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Desktop\MHWorldCalculator\"/>
    </mc:Choice>
  </mc:AlternateContent>
  <xr:revisionPtr revIDLastSave="0" documentId="13_ncr:1_{80DE1A2B-0766-4C84-9E5A-A068BFD4B4A5}" xr6:coauthVersionLast="47" xr6:coauthVersionMax="47" xr10:uidLastSave="{00000000-0000-0000-0000-000000000000}"/>
  <bookViews>
    <workbookView xWindow="28680" yWindow="-120" windowWidth="29040" windowHeight="15720" tabRatio="893" xr2:uid="{4F605162-747D-45E0-B68A-A3B0D8C77BB5}"/>
  </bookViews>
  <sheets>
    <sheet name="Calculator" sheetId="3" r:id="rId1"/>
    <sheet name="Combos" sheetId="17" r:id="rId2"/>
    <sheet name="tbWeapons" sheetId="6" r:id="rId3"/>
    <sheet name="tbMoveset" sheetId="1" r:id="rId4"/>
    <sheet name="tbMoves" sheetId="18" r:id="rId5"/>
    <sheet name="tbSkills" sheetId="7" r:id="rId6"/>
    <sheet name="tbStatus" sheetId="4" r:id="rId7"/>
    <sheet name="tbHitzones" sheetId="12" r:id="rId8"/>
    <sheet name="tbMonsters" sheetId="2" r:id="rId9"/>
    <sheet name="tbSharpness" sheetId="5" r:id="rId10"/>
    <sheet name="tbBloat" sheetId="10" r:id="rId11"/>
    <sheet name="tbCustom" sheetId="14" r:id="rId12"/>
    <sheet name="tbAwaken" sheetId="16" r:id="rId13"/>
    <sheet name="Backdoors" sheetId="8" r:id="rId14"/>
    <sheet name="BackdoorsMoveset" sheetId="9" r:id="rId15"/>
    <sheet name="SavedBuildNumbers" sheetId="13" r:id="rId16"/>
    <sheet name="Credits" sheetId="19" r:id="rId17"/>
  </sheets>
  <definedNames>
    <definedName name="DynamicMonsterElement">OFFSET(Backdoors!$BN$3,0,0,COUNTIF(Backdoors!$BN$3:$BN$46,"&gt;0"))</definedName>
    <definedName name="DynamicMonsterNames">OFFSET(Backdoors!$BQ$3,,,COUNTIF(Backdoors!$BQ$3:$BQ$100,""))</definedName>
    <definedName name="DynamicMonsterRaw">OFFSET(Backdoors!$BL$3,0,0,COUNTIF(Backdoors!$BL$3:$BL$46,"&gt;0"))</definedName>
    <definedName name="DynamicMonsterValues">OFFSET(Backdoors!$BP$3,0,0,COUNTIF(Backdoors!$BP$3:$BP$46,"&gt;0"))</definedName>
    <definedName name="SavedInfo">OFFSET(Backdoors!$BR$3,0,0,COUNTIF(Backdoors!$BR$3:$BR$46,"&gt;0"))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74" i="8" l="1"/>
  <c r="BS73" i="8"/>
  <c r="BS72" i="8"/>
  <c r="Z11" i="8"/>
  <c r="BS71" i="8"/>
  <c r="BS70" i="8"/>
  <c r="BS69" i="8"/>
  <c r="BS68" i="8"/>
  <c r="BS67" i="8"/>
  <c r="BS66" i="8"/>
  <c r="BS65" i="8"/>
  <c r="BS64" i="8"/>
  <c r="BS63" i="8"/>
  <c r="BS62" i="8"/>
  <c r="BS61" i="8"/>
  <c r="BS60" i="8"/>
  <c r="BS59" i="8"/>
  <c r="BS58" i="8"/>
  <c r="BS57" i="8"/>
  <c r="BS56" i="8"/>
  <c r="BS55" i="8"/>
  <c r="BS54" i="8"/>
  <c r="BS53" i="8"/>
  <c r="BS52" i="8"/>
  <c r="BS51" i="8"/>
  <c r="BS50" i="8"/>
  <c r="BS49" i="8"/>
  <c r="BS48" i="8"/>
  <c r="BS47" i="8"/>
  <c r="BS46" i="8"/>
  <c r="BS45" i="8"/>
  <c r="BS44" i="8"/>
  <c r="BS43" i="8"/>
  <c r="BS42" i="8"/>
  <c r="BS41" i="8"/>
  <c r="BS40" i="8"/>
  <c r="BS39" i="8"/>
  <c r="BS38" i="8"/>
  <c r="BS37" i="8"/>
  <c r="BS36" i="8"/>
  <c r="BS35" i="8"/>
  <c r="BS34" i="8"/>
  <c r="BS33" i="8"/>
  <c r="BS32" i="8"/>
  <c r="BS31" i="8"/>
  <c r="BS30" i="8"/>
  <c r="BS29" i="8"/>
  <c r="BS28" i="8"/>
  <c r="BS27" i="8"/>
  <c r="BS26" i="8"/>
  <c r="BS25" i="8"/>
  <c r="BS24" i="8"/>
  <c r="BS23" i="8"/>
  <c r="BS22" i="8"/>
  <c r="BS21" i="8"/>
  <c r="BS20" i="8"/>
  <c r="BS19" i="8"/>
  <c r="BS18" i="8"/>
  <c r="BS17" i="8"/>
  <c r="BS16" i="8"/>
  <c r="BS15" i="8"/>
  <c r="BS14" i="8"/>
  <c r="BS13" i="8"/>
  <c r="BS12" i="8"/>
  <c r="BS11" i="8"/>
  <c r="N9" i="8" l="1"/>
  <c r="N11" i="8"/>
  <c r="N10" i="8"/>
  <c r="H20" i="3"/>
  <c r="AC4" i="8"/>
  <c r="Z4" i="8"/>
  <c r="Q10" i="8"/>
  <c r="Q7" i="8"/>
  <c r="Q8" i="8"/>
  <c r="AP5" i="7"/>
  <c r="AP4" i="7"/>
  <c r="AP3" i="7"/>
  <c r="Z6" i="8"/>
  <c r="C3" i="17"/>
  <c r="G3" i="17"/>
  <c r="F3" i="17"/>
  <c r="E3" i="17"/>
  <c r="D3" i="17"/>
  <c r="BS9" i="8"/>
  <c r="BS2" i="8"/>
  <c r="BS4" i="8"/>
  <c r="BS5" i="8"/>
  <c r="BS3" i="8"/>
  <c r="D59" i="18"/>
  <c r="D60" i="18"/>
  <c r="D66" i="18"/>
  <c r="D81" i="18"/>
  <c r="D82" i="18"/>
  <c r="D83" i="18"/>
  <c r="D84" i="18"/>
  <c r="D86" i="18"/>
  <c r="K3" i="17"/>
  <c r="J3" i="17"/>
  <c r="I3" i="17"/>
  <c r="H3" i="17"/>
  <c r="B3" i="17"/>
  <c r="A36" i="8" s="1"/>
  <c r="BS6" i="8"/>
  <c r="W2" i="8"/>
  <c r="AI9" i="8"/>
  <c r="T3" i="8"/>
  <c r="K55" i="8"/>
  <c r="K53" i="8"/>
  <c r="K49" i="8"/>
  <c r="K50" i="8" s="1"/>
  <c r="K47" i="8"/>
  <c r="K48" i="8" s="1"/>
  <c r="K57" i="8"/>
  <c r="K58" i="8" s="1"/>
  <c r="R251" i="6"/>
  <c r="Y251" i="6"/>
  <c r="C717" i="12"/>
  <c r="D717" i="12"/>
  <c r="E717" i="12"/>
  <c r="E716" i="12"/>
  <c r="D716" i="12"/>
  <c r="C716" i="12"/>
  <c r="E714" i="12"/>
  <c r="D714" i="12"/>
  <c r="C714" i="12"/>
  <c r="E713" i="12"/>
  <c r="D713" i="12"/>
  <c r="C713" i="12"/>
  <c r="E711" i="12"/>
  <c r="D711" i="12"/>
  <c r="C711" i="12"/>
  <c r="C710" i="12"/>
  <c r="F17" i="4"/>
  <c r="D71" i="2"/>
  <c r="F16" i="4"/>
  <c r="D70" i="2"/>
  <c r="E707" i="12"/>
  <c r="E708" i="12"/>
  <c r="E709" i="12"/>
  <c r="E710" i="12"/>
  <c r="D710" i="12"/>
  <c r="D709" i="12"/>
  <c r="D708" i="12"/>
  <c r="D707" i="12"/>
  <c r="D706" i="12"/>
  <c r="C709" i="12"/>
  <c r="C708" i="12"/>
  <c r="C707" i="12"/>
  <c r="C700" i="12"/>
  <c r="D703" i="12"/>
  <c r="D704" i="12"/>
  <c r="D705" i="12"/>
  <c r="C706" i="12"/>
  <c r="C705" i="12"/>
  <c r="C704" i="12"/>
  <c r="C703" i="12"/>
  <c r="E706" i="12"/>
  <c r="E705" i="12"/>
  <c r="E704" i="12"/>
  <c r="E703" i="12"/>
  <c r="E702" i="12"/>
  <c r="E701" i="12"/>
  <c r="E700" i="12"/>
  <c r="E699" i="12"/>
  <c r="D699" i="12"/>
  <c r="D700" i="12"/>
  <c r="D701" i="12"/>
  <c r="D702" i="12"/>
  <c r="C702" i="12"/>
  <c r="C701" i="12"/>
  <c r="C699" i="12"/>
  <c r="E698" i="12"/>
  <c r="E697" i="12"/>
  <c r="E696" i="12"/>
  <c r="E695" i="12"/>
  <c r="D695" i="12"/>
  <c r="D696" i="12"/>
  <c r="D697" i="12"/>
  <c r="D698" i="12"/>
  <c r="C698" i="12"/>
  <c r="C697" i="12"/>
  <c r="C696" i="12"/>
  <c r="C695" i="12"/>
  <c r="E694" i="12"/>
  <c r="E693" i="12"/>
  <c r="E692" i="12"/>
  <c r="E691" i="12"/>
  <c r="D694" i="12"/>
  <c r="D693" i="12"/>
  <c r="D692" i="12"/>
  <c r="D691" i="12"/>
  <c r="C694" i="12"/>
  <c r="C693" i="12"/>
  <c r="C692" i="12"/>
  <c r="C691" i="12"/>
  <c r="E690" i="12"/>
  <c r="E689" i="12"/>
  <c r="E688" i="12"/>
  <c r="E687" i="12"/>
  <c r="E686" i="12"/>
  <c r="D687" i="12"/>
  <c r="D688" i="12"/>
  <c r="D689" i="12"/>
  <c r="D690" i="12"/>
  <c r="C690" i="12"/>
  <c r="C689" i="12"/>
  <c r="C688" i="12"/>
  <c r="C687" i="12"/>
  <c r="C686" i="12"/>
  <c r="E685" i="12"/>
  <c r="E684" i="12"/>
  <c r="E683" i="12"/>
  <c r="D683" i="12"/>
  <c r="D684" i="12"/>
  <c r="D685" i="12"/>
  <c r="D686" i="12"/>
  <c r="C685" i="12"/>
  <c r="C684" i="12"/>
  <c r="C683" i="12"/>
  <c r="C682" i="12"/>
  <c r="E682" i="12"/>
  <c r="D682" i="12"/>
  <c r="E681" i="12"/>
  <c r="D681" i="12"/>
  <c r="C681" i="12"/>
  <c r="D680" i="12"/>
  <c r="E680" i="12"/>
  <c r="D678" i="12"/>
  <c r="C680" i="12"/>
  <c r="E678" i="12"/>
  <c r="D677" i="12"/>
  <c r="C678" i="12"/>
  <c r="E677" i="12"/>
  <c r="D676" i="12"/>
  <c r="C677" i="12"/>
  <c r="E676" i="12"/>
  <c r="C676" i="12"/>
  <c r="E673" i="12"/>
  <c r="D673" i="12"/>
  <c r="C673" i="12"/>
  <c r="D69" i="2"/>
  <c r="C671" i="12"/>
  <c r="D667" i="12"/>
  <c r="E670" i="12"/>
  <c r="C667" i="12"/>
  <c r="D671" i="12"/>
  <c r="E669" i="12"/>
  <c r="D669" i="12"/>
  <c r="C669" i="12"/>
  <c r="E665" i="12"/>
  <c r="D665" i="12"/>
  <c r="C665" i="12"/>
  <c r="C670" i="12"/>
  <c r="E664" i="12"/>
  <c r="E672" i="12"/>
  <c r="E671" i="12"/>
  <c r="E668" i="12"/>
  <c r="E663" i="12"/>
  <c r="D670" i="12"/>
  <c r="E667" i="12"/>
  <c r="E662" i="12"/>
  <c r="D664" i="12"/>
  <c r="D662" i="12"/>
  <c r="D663" i="12"/>
  <c r="D668" i="12"/>
  <c r="D672" i="12"/>
  <c r="C672" i="12"/>
  <c r="C668" i="12"/>
  <c r="C663" i="12"/>
  <c r="C664" i="12"/>
  <c r="C662" i="12"/>
  <c r="C661" i="12"/>
  <c r="D68" i="2"/>
  <c r="E659" i="12"/>
  <c r="D659" i="12"/>
  <c r="C659" i="12"/>
  <c r="C658" i="12"/>
  <c r="D658" i="12"/>
  <c r="E658" i="12"/>
  <c r="E657" i="12"/>
  <c r="D657" i="12"/>
  <c r="C657" i="12"/>
  <c r="E661" i="12"/>
  <c r="D661" i="12"/>
  <c r="E660" i="12"/>
  <c r="D660" i="12"/>
  <c r="C660" i="12"/>
  <c r="E729" i="12"/>
  <c r="D67" i="2"/>
  <c r="F5" i="4"/>
  <c r="E649" i="12"/>
  <c r="C649" i="12"/>
  <c r="E652" i="12"/>
  <c r="D652" i="12"/>
  <c r="C652" i="12"/>
  <c r="D649" i="12"/>
  <c r="E653" i="12"/>
  <c r="D653" i="12"/>
  <c r="C653" i="12"/>
  <c r="E651" i="12"/>
  <c r="D651" i="12"/>
  <c r="C651" i="12"/>
  <c r="E650" i="12"/>
  <c r="D650" i="12"/>
  <c r="C650" i="12"/>
  <c r="E648" i="12"/>
  <c r="D648" i="12"/>
  <c r="C648" i="12"/>
  <c r="E638" i="12"/>
  <c r="E635" i="12"/>
  <c r="D638" i="12"/>
  <c r="D635" i="12"/>
  <c r="C638" i="12"/>
  <c r="C635" i="12"/>
  <c r="E637" i="12"/>
  <c r="E634" i="12"/>
  <c r="D637" i="12"/>
  <c r="D634" i="12"/>
  <c r="C637" i="12"/>
  <c r="C634" i="12"/>
  <c r="D636" i="12"/>
  <c r="C636" i="12"/>
  <c r="E636" i="12"/>
  <c r="E633" i="12"/>
  <c r="D633" i="12"/>
  <c r="C633" i="12"/>
  <c r="E632" i="12"/>
  <c r="D632" i="12"/>
  <c r="C632" i="12"/>
  <c r="E631" i="12"/>
  <c r="D631" i="12"/>
  <c r="C631" i="12"/>
  <c r="E630" i="12"/>
  <c r="D630" i="12"/>
  <c r="C630" i="12"/>
  <c r="E628" i="12"/>
  <c r="D628" i="12"/>
  <c r="C628" i="12"/>
  <c r="E629" i="12"/>
  <c r="D629" i="12"/>
  <c r="C629" i="12"/>
  <c r="E627" i="12"/>
  <c r="D627" i="12"/>
  <c r="C627" i="12"/>
  <c r="C617" i="12"/>
  <c r="C613" i="12"/>
  <c r="D617" i="12"/>
  <c r="D613" i="12"/>
  <c r="E617" i="12"/>
  <c r="E616" i="12"/>
  <c r="D616" i="12"/>
  <c r="C616" i="12"/>
  <c r="C615" i="12"/>
  <c r="C611" i="12"/>
  <c r="D615" i="12"/>
  <c r="D614" i="12"/>
  <c r="E615" i="12"/>
  <c r="E614" i="12"/>
  <c r="C614" i="12"/>
  <c r="E613" i="12"/>
  <c r="E612" i="12"/>
  <c r="D612" i="12"/>
  <c r="C612" i="12"/>
  <c r="E611" i="12"/>
  <c r="D611" i="12"/>
  <c r="E610" i="12"/>
  <c r="C610" i="12"/>
  <c r="D610" i="12"/>
  <c r="A43" i="8" l="1"/>
  <c r="A44" i="8"/>
  <c r="A45" i="8"/>
  <c r="A47" i="8"/>
  <c r="A48" i="8"/>
  <c r="A53" i="8"/>
  <c r="A46" i="8"/>
  <c r="A49" i="8"/>
  <c r="A50" i="8"/>
  <c r="A51" i="8"/>
  <c r="A52" i="8"/>
  <c r="A54" i="8"/>
  <c r="A55" i="8"/>
  <c r="A56" i="8"/>
  <c r="A57" i="8"/>
  <c r="A38" i="8"/>
  <c r="A58" i="8"/>
  <c r="A39" i="8"/>
  <c r="A59" i="8"/>
  <c r="A40" i="8"/>
  <c r="A60" i="8"/>
  <c r="A41" i="8"/>
  <c r="A61" i="8"/>
  <c r="A42" i="8"/>
  <c r="BS1" i="8"/>
  <c r="BR46" i="8"/>
  <c r="BR45" i="8"/>
  <c r="BR44" i="8"/>
  <c r="BR43" i="8"/>
  <c r="BR42" i="8"/>
  <c r="BR41" i="8"/>
  <c r="BR40" i="8"/>
  <c r="BR39" i="8"/>
  <c r="BR38" i="8"/>
  <c r="BR37" i="8"/>
  <c r="BR36" i="8"/>
  <c r="BR35" i="8"/>
  <c r="BR34" i="8"/>
  <c r="BR33" i="8"/>
  <c r="BR32" i="8"/>
  <c r="BR31" i="8"/>
  <c r="BR30" i="8"/>
  <c r="BR29" i="8"/>
  <c r="BR28" i="8"/>
  <c r="BR27" i="8"/>
  <c r="BR26" i="8"/>
  <c r="BR25" i="8"/>
  <c r="BR24" i="8"/>
  <c r="D66" i="2"/>
  <c r="E609" i="12"/>
  <c r="D609" i="12"/>
  <c r="C609" i="12"/>
  <c r="E608" i="12"/>
  <c r="D608" i="12"/>
  <c r="C608" i="12"/>
  <c r="E605" i="12"/>
  <c r="D605" i="12"/>
  <c r="C605" i="12"/>
  <c r="E604" i="12"/>
  <c r="D604" i="12"/>
  <c r="C604" i="12"/>
  <c r="E603" i="12"/>
  <c r="D603" i="12"/>
  <c r="C603" i="12"/>
  <c r="E602" i="12"/>
  <c r="D602" i="12"/>
  <c r="C602" i="12"/>
  <c r="E599" i="12"/>
  <c r="D599" i="12"/>
  <c r="C599" i="12"/>
  <c r="E598" i="12"/>
  <c r="E597" i="12"/>
  <c r="D598" i="12"/>
  <c r="C598" i="12"/>
  <c r="D597" i="12"/>
  <c r="C597" i="12"/>
  <c r="C585" i="12"/>
  <c r="E596" i="12"/>
  <c r="D596" i="12"/>
  <c r="C596" i="12"/>
  <c r="C595" i="12"/>
  <c r="D65" i="2"/>
  <c r="D595" i="12"/>
  <c r="E595" i="12"/>
  <c r="E594" i="12"/>
  <c r="D594" i="12"/>
  <c r="C594" i="12"/>
  <c r="E593" i="12"/>
  <c r="D593" i="12"/>
  <c r="C593" i="12"/>
  <c r="E592" i="12"/>
  <c r="D592" i="12"/>
  <c r="C592" i="12"/>
  <c r="E591" i="12"/>
  <c r="D591" i="12"/>
  <c r="C591" i="12"/>
  <c r="C588" i="12"/>
  <c r="D64" i="2"/>
  <c r="E588" i="12"/>
  <c r="D588" i="12"/>
  <c r="E587" i="12"/>
  <c r="D587" i="12"/>
  <c r="C587" i="12"/>
  <c r="E586" i="12"/>
  <c r="D586" i="12"/>
  <c r="C586" i="12"/>
  <c r="E585" i="12"/>
  <c r="D585" i="12"/>
  <c r="E582" i="12"/>
  <c r="D582" i="12"/>
  <c r="C582" i="12"/>
  <c r="C581" i="12"/>
  <c r="E581" i="12"/>
  <c r="D581" i="12"/>
  <c r="C579" i="12"/>
  <c r="C580" i="12"/>
  <c r="D580" i="12"/>
  <c r="E580" i="12"/>
  <c r="E579" i="12"/>
  <c r="D579" i="12"/>
  <c r="C571" i="12"/>
  <c r="C578" i="12"/>
  <c r="D63" i="2"/>
  <c r="E578" i="12"/>
  <c r="D578" i="12"/>
  <c r="E577" i="12"/>
  <c r="D577" i="12"/>
  <c r="C577" i="12"/>
  <c r="E576" i="12"/>
  <c r="D576" i="12"/>
  <c r="C576" i="12"/>
  <c r="E575" i="12"/>
  <c r="D575" i="12"/>
  <c r="C575" i="12"/>
  <c r="E572" i="12"/>
  <c r="D572" i="12"/>
  <c r="C572" i="12"/>
  <c r="E571" i="12"/>
  <c r="D571" i="12"/>
  <c r="E570" i="12"/>
  <c r="D570" i="12"/>
  <c r="C570" i="12"/>
  <c r="E569" i="12"/>
  <c r="D569" i="12"/>
  <c r="C569" i="12"/>
  <c r="C568" i="12"/>
  <c r="D62" i="2"/>
  <c r="E568" i="12"/>
  <c r="E567" i="12"/>
  <c r="C567" i="12"/>
  <c r="D568" i="12"/>
  <c r="D567" i="12"/>
  <c r="E565" i="12"/>
  <c r="D565" i="12"/>
  <c r="C565" i="12"/>
  <c r="E562" i="12"/>
  <c r="D562" i="12"/>
  <c r="C562" i="12"/>
  <c r="C561" i="12"/>
  <c r="D61" i="2"/>
  <c r="D60" i="2"/>
  <c r="E561" i="12"/>
  <c r="E560" i="12"/>
  <c r="E559" i="12"/>
  <c r="D559" i="12"/>
  <c r="D560" i="12"/>
  <c r="D561" i="12"/>
  <c r="C560" i="12"/>
  <c r="C559" i="12"/>
  <c r="C558" i="12"/>
  <c r="D558" i="12"/>
  <c r="E558" i="12"/>
  <c r="E557" i="12"/>
  <c r="D557" i="12"/>
  <c r="C557" i="12"/>
  <c r="C554" i="12"/>
  <c r="D554" i="12"/>
  <c r="E554" i="12"/>
  <c r="E553" i="12"/>
  <c r="D553" i="12"/>
  <c r="C553" i="12"/>
  <c r="E552" i="12"/>
  <c r="D552" i="12"/>
  <c r="C552" i="12"/>
  <c r="E551" i="12"/>
  <c r="D551" i="12"/>
  <c r="C551" i="12"/>
  <c r="C550" i="12"/>
  <c r="D550" i="12"/>
  <c r="E550" i="12"/>
  <c r="E549" i="12"/>
  <c r="D549" i="12"/>
  <c r="C549" i="12"/>
  <c r="E548" i="12"/>
  <c r="D548" i="12"/>
  <c r="C548" i="12"/>
  <c r="C545" i="12"/>
  <c r="D545" i="12"/>
  <c r="E545" i="12"/>
  <c r="E544" i="12"/>
  <c r="D544" i="12"/>
  <c r="C544" i="12"/>
  <c r="C533" i="12"/>
  <c r="D59" i="2"/>
  <c r="C543" i="12"/>
  <c r="D543" i="12"/>
  <c r="E543" i="12"/>
  <c r="E539" i="12"/>
  <c r="E542" i="12"/>
  <c r="D542" i="12"/>
  <c r="C542" i="12"/>
  <c r="C536" i="12"/>
  <c r="C539" i="12"/>
  <c r="D539" i="12"/>
  <c r="E532" i="12"/>
  <c r="E538" i="12"/>
  <c r="D538" i="12"/>
  <c r="C538" i="12"/>
  <c r="C537" i="12"/>
  <c r="E537" i="12"/>
  <c r="D537" i="12"/>
  <c r="C532" i="12"/>
  <c r="E536" i="12"/>
  <c r="D536" i="12"/>
  <c r="D533" i="12"/>
  <c r="E533" i="12"/>
  <c r="D530" i="12"/>
  <c r="D532" i="12"/>
  <c r="C530" i="12"/>
  <c r="C531" i="12"/>
  <c r="D531" i="12"/>
  <c r="E531" i="12"/>
  <c r="E530" i="12"/>
  <c r="C529" i="12"/>
  <c r="D58" i="2"/>
  <c r="AI4" i="8"/>
  <c r="Z8" i="8"/>
  <c r="Q9" i="8"/>
  <c r="A62" i="8" l="1"/>
  <c r="A112" i="9"/>
  <c r="Z2" i="8" l="1"/>
  <c r="BR2" i="8" l="1"/>
  <c r="K17" i="8"/>
  <c r="K8" i="8"/>
  <c r="B21" i="8"/>
  <c r="BR23" i="8"/>
  <c r="BR22" i="8"/>
  <c r="BR21" i="8"/>
  <c r="BR20" i="8"/>
  <c r="BR19" i="8"/>
  <c r="BR18" i="8"/>
  <c r="BR17" i="8"/>
  <c r="BR16" i="8"/>
  <c r="BR15" i="8"/>
  <c r="BR14" i="8"/>
  <c r="BR13" i="8"/>
  <c r="BR12" i="8"/>
  <c r="BR11" i="8"/>
  <c r="BR10" i="8"/>
  <c r="BR9" i="8"/>
  <c r="BR8" i="8"/>
  <c r="BR7" i="8"/>
  <c r="BR6" i="8"/>
  <c r="BR5" i="8"/>
  <c r="BR4" i="8"/>
  <c r="BR3" i="8"/>
  <c r="K29" i="8" l="1"/>
  <c r="K30" i="8"/>
  <c r="K32" i="8"/>
  <c r="K33" i="8" s="1"/>
  <c r="K34" i="8" s="1"/>
  <c r="K13" i="8"/>
  <c r="K11" i="8"/>
  <c r="K12" i="8" s="1"/>
  <c r="K9" i="8"/>
  <c r="K10" i="8" s="1"/>
  <c r="K18" i="8"/>
  <c r="K36" i="8"/>
  <c r="K21" i="8"/>
  <c r="H3" i="8"/>
  <c r="C527" i="12"/>
  <c r="D527" i="12"/>
  <c r="D529" i="12"/>
  <c r="E529" i="12"/>
  <c r="E527" i="12"/>
  <c r="E526" i="12"/>
  <c r="D526" i="12"/>
  <c r="C526" i="12"/>
  <c r="E524" i="12"/>
  <c r="D524" i="12"/>
  <c r="C524" i="12"/>
  <c r="C513" i="12"/>
  <c r="E523" i="12"/>
  <c r="D523" i="12"/>
  <c r="C523" i="12"/>
  <c r="E522" i="12"/>
  <c r="D522" i="12"/>
  <c r="C522" i="12"/>
  <c r="E520" i="12"/>
  <c r="E521" i="12"/>
  <c r="D521" i="12"/>
  <c r="D518" i="12"/>
  <c r="C521" i="12"/>
  <c r="C518" i="12"/>
  <c r="D520" i="12"/>
  <c r="C520" i="12"/>
  <c r="E519" i="12"/>
  <c r="D519" i="12"/>
  <c r="C519" i="12"/>
  <c r="E518" i="12"/>
  <c r="E517" i="12"/>
  <c r="E516" i="12"/>
  <c r="E515" i="12"/>
  <c r="D516" i="12"/>
  <c r="D515" i="12"/>
  <c r="C516" i="12"/>
  <c r="D517" i="12"/>
  <c r="C517" i="12"/>
  <c r="C515" i="12"/>
  <c r="C512" i="12"/>
  <c r="F4" i="4"/>
  <c r="G10" i="4"/>
  <c r="E10" i="4"/>
  <c r="E514" i="12"/>
  <c r="D514" i="12"/>
  <c r="C514" i="12"/>
  <c r="E513" i="12"/>
  <c r="D513" i="12"/>
  <c r="E512" i="12"/>
  <c r="E511" i="12"/>
  <c r="D512" i="12"/>
  <c r="D511" i="12"/>
  <c r="C511" i="12"/>
  <c r="E510" i="12"/>
  <c r="D510" i="12"/>
  <c r="C510" i="12"/>
  <c r="C509" i="12"/>
  <c r="D509" i="12"/>
  <c r="E509" i="12"/>
  <c r="E508" i="12"/>
  <c r="D508" i="12"/>
  <c r="C508" i="12"/>
  <c r="E506" i="12"/>
  <c r="D506" i="12"/>
  <c r="C506" i="12"/>
  <c r="C505" i="12"/>
  <c r="D505" i="12"/>
  <c r="E505" i="12"/>
  <c r="E504" i="12"/>
  <c r="D504" i="12"/>
  <c r="E498" i="12"/>
  <c r="C504" i="12"/>
  <c r="E501" i="12"/>
  <c r="D501" i="12"/>
  <c r="C501" i="12"/>
  <c r="D500" i="12"/>
  <c r="C500" i="12"/>
  <c r="E499" i="12"/>
  <c r="E500" i="12"/>
  <c r="D499" i="12"/>
  <c r="C499" i="12"/>
  <c r="D498" i="12"/>
  <c r="C498" i="12"/>
  <c r="E497" i="12"/>
  <c r="D497" i="12"/>
  <c r="C497" i="12"/>
  <c r="C496" i="12"/>
  <c r="E496" i="12"/>
  <c r="D496" i="12"/>
  <c r="C495" i="12"/>
  <c r="D495" i="12"/>
  <c r="C494" i="12"/>
  <c r="E495" i="12"/>
  <c r="E494" i="12"/>
  <c r="D494" i="12"/>
  <c r="E493" i="12"/>
  <c r="D493" i="12"/>
  <c r="C493" i="12"/>
  <c r="E492" i="12"/>
  <c r="D492" i="12"/>
  <c r="E490" i="12"/>
  <c r="C492" i="12"/>
  <c r="E480" i="12"/>
  <c r="E491" i="12"/>
  <c r="C490" i="12"/>
  <c r="D491" i="12"/>
  <c r="C491" i="12"/>
  <c r="D488" i="12"/>
  <c r="D487" i="12"/>
  <c r="D490" i="12"/>
  <c r="C487" i="12"/>
  <c r="E487" i="12"/>
  <c r="E486" i="12"/>
  <c r="E489" i="12"/>
  <c r="D489" i="12"/>
  <c r="C489" i="12"/>
  <c r="E488" i="12"/>
  <c r="C488" i="12"/>
  <c r="C480" i="12"/>
  <c r="C485" i="12"/>
  <c r="D486" i="12"/>
  <c r="C486" i="12"/>
  <c r="D484" i="12"/>
  <c r="E485" i="12"/>
  <c r="D485" i="12"/>
  <c r="E474" i="12"/>
  <c r="E484" i="12"/>
  <c r="C484" i="12"/>
  <c r="C474" i="12"/>
  <c r="E483" i="12"/>
  <c r="D483" i="12"/>
  <c r="C483" i="12"/>
  <c r="D480" i="12"/>
  <c r="E479" i="12"/>
  <c r="D479" i="12"/>
  <c r="C479" i="12"/>
  <c r="D473" i="12"/>
  <c r="D474" i="12"/>
  <c r="E472" i="12"/>
  <c r="C473" i="12"/>
  <c r="E473" i="12"/>
  <c r="D472" i="12"/>
  <c r="C472" i="12"/>
  <c r="C471" i="12"/>
  <c r="E471" i="12"/>
  <c r="D471" i="12"/>
  <c r="C470" i="12"/>
  <c r="C465" i="12"/>
  <c r="D470" i="12"/>
  <c r="D469" i="12"/>
  <c r="E470" i="12"/>
  <c r="D464" i="12"/>
  <c r="E469" i="12"/>
  <c r="C469" i="12"/>
  <c r="E465" i="12"/>
  <c r="E468" i="12"/>
  <c r="D465" i="12"/>
  <c r="D468" i="12"/>
  <c r="E454" i="12"/>
  <c r="C468" i="12"/>
  <c r="C458" i="12"/>
  <c r="D461" i="12"/>
  <c r="C464" i="12"/>
  <c r="D459" i="12"/>
  <c r="E464" i="12"/>
  <c r="D460" i="12"/>
  <c r="C461" i="12"/>
  <c r="E461" i="12"/>
  <c r="D452" i="12"/>
  <c r="E455" i="12"/>
  <c r="E458" i="12"/>
  <c r="E460" i="12"/>
  <c r="E459" i="12"/>
  <c r="C445" i="12"/>
  <c r="C460" i="12"/>
  <c r="C459" i="12"/>
  <c r="C442" i="12"/>
  <c r="E448" i="12"/>
  <c r="D458" i="12"/>
  <c r="C455" i="12"/>
  <c r="E456" i="12"/>
  <c r="D456" i="12"/>
  <c r="C456" i="12"/>
  <c r="D455" i="12"/>
  <c r="C454" i="12"/>
  <c r="D454" i="12"/>
  <c r="E453" i="12"/>
  <c r="D449" i="12"/>
  <c r="C453" i="12"/>
  <c r="D453" i="12"/>
  <c r="E452" i="12"/>
  <c r="C452" i="12"/>
  <c r="E449" i="12"/>
  <c r="E447" i="12"/>
  <c r="C449" i="12"/>
  <c r="D57" i="2"/>
  <c r="D56" i="2"/>
  <c r="D55" i="2"/>
  <c r="D54" i="2"/>
  <c r="D53" i="2"/>
  <c r="D52" i="2"/>
  <c r="K39" i="8" l="1"/>
  <c r="K42" i="8"/>
  <c r="K14" i="8"/>
  <c r="F10" i="4"/>
  <c r="E437" i="12"/>
  <c r="D437" i="12"/>
  <c r="C437" i="12"/>
  <c r="E436" i="12"/>
  <c r="D436" i="12"/>
  <c r="C436" i="12"/>
  <c r="E434" i="12"/>
  <c r="D434" i="12"/>
  <c r="C434" i="12"/>
  <c r="D435" i="12"/>
  <c r="C435" i="12"/>
  <c r="E435" i="12"/>
  <c r="E433" i="12"/>
  <c r="D433" i="12"/>
  <c r="C433" i="12"/>
  <c r="C432" i="12"/>
  <c r="D432" i="12"/>
  <c r="E432" i="12"/>
  <c r="E431" i="12"/>
  <c r="D431" i="12"/>
  <c r="C431" i="12"/>
  <c r="E428" i="12"/>
  <c r="D428" i="12"/>
  <c r="C428" i="12"/>
  <c r="C427" i="12"/>
  <c r="D427" i="12"/>
  <c r="E427" i="12"/>
  <c r="E426" i="12"/>
  <c r="D426" i="12"/>
  <c r="C426" i="12"/>
  <c r="C425" i="12"/>
  <c r="D50" i="2"/>
  <c r="D425" i="12"/>
  <c r="E425" i="12"/>
  <c r="E424" i="12"/>
  <c r="D424" i="12"/>
  <c r="C424" i="12"/>
  <c r="E418" i="12"/>
  <c r="C423" i="12"/>
  <c r="C422" i="12"/>
  <c r="D423" i="12"/>
  <c r="D422" i="12"/>
  <c r="E423" i="12"/>
  <c r="E422" i="12"/>
  <c r="E421" i="12"/>
  <c r="D421" i="12"/>
  <c r="C421" i="12"/>
  <c r="D418" i="12"/>
  <c r="C418" i="12"/>
  <c r="E419" i="12"/>
  <c r="D419" i="12"/>
  <c r="C419" i="12"/>
  <c r="E417" i="12"/>
  <c r="D417" i="12"/>
  <c r="C417" i="12"/>
  <c r="D415" i="12"/>
  <c r="C416" i="12"/>
  <c r="D416" i="12"/>
  <c r="E416" i="12"/>
  <c r="E415" i="12"/>
  <c r="C415" i="12"/>
  <c r="C414" i="12"/>
  <c r="D49" i="2"/>
  <c r="C413" i="12"/>
  <c r="D413" i="12"/>
  <c r="E413" i="12"/>
  <c r="E414" i="12"/>
  <c r="E412" i="12"/>
  <c r="D412" i="12"/>
  <c r="D414" i="12"/>
  <c r="C412" i="12"/>
  <c r="D399" i="12"/>
  <c r="C411" i="12"/>
  <c r="D411" i="12"/>
  <c r="E411" i="12"/>
  <c r="E410" i="12"/>
  <c r="D410" i="12"/>
  <c r="C410" i="12"/>
  <c r="C399" i="12"/>
  <c r="E409" i="12"/>
  <c r="D409" i="12"/>
  <c r="C409" i="12"/>
  <c r="C408" i="12"/>
  <c r="D408" i="12"/>
  <c r="E408" i="12"/>
  <c r="E407" i="12"/>
  <c r="D407" i="12"/>
  <c r="C407" i="12"/>
  <c r="C405" i="12"/>
  <c r="C406" i="12"/>
  <c r="D406" i="12"/>
  <c r="D404" i="12"/>
  <c r="E406" i="12"/>
  <c r="E405" i="12"/>
  <c r="D405" i="12"/>
  <c r="C403" i="12"/>
  <c r="C404" i="12"/>
  <c r="E404" i="12"/>
  <c r="E403" i="12"/>
  <c r="D403" i="12"/>
  <c r="C402" i="12"/>
  <c r="D402" i="12"/>
  <c r="D401" i="12"/>
  <c r="E402" i="12"/>
  <c r="E401" i="12"/>
  <c r="C401" i="12"/>
  <c r="D400" i="12"/>
  <c r="C400" i="12"/>
  <c r="E400" i="12"/>
  <c r="E399" i="12"/>
  <c r="C438" i="12"/>
  <c r="D438" i="12"/>
  <c r="E438" i="12"/>
  <c r="C439" i="12"/>
  <c r="D439" i="12"/>
  <c r="E439" i="12"/>
  <c r="D48" i="2"/>
  <c r="E398" i="12"/>
  <c r="D398" i="12"/>
  <c r="C398" i="12"/>
  <c r="E397" i="12"/>
  <c r="D397" i="12"/>
  <c r="C397" i="12"/>
  <c r="E396" i="12"/>
  <c r="D396" i="12"/>
  <c r="C396" i="12"/>
  <c r="C393" i="12"/>
  <c r="D393" i="12"/>
  <c r="E393" i="12"/>
  <c r="E392" i="12"/>
  <c r="D392" i="12"/>
  <c r="C392" i="12"/>
  <c r="E9" i="4"/>
  <c r="G9" i="4"/>
  <c r="D47" i="2"/>
  <c r="C448" i="12"/>
  <c r="D448" i="12"/>
  <c r="D447" i="12"/>
  <c r="C447" i="12"/>
  <c r="C446" i="12"/>
  <c r="D446" i="12"/>
  <c r="E446" i="12"/>
  <c r="E445" i="12"/>
  <c r="D445" i="12"/>
  <c r="E442" i="12"/>
  <c r="D442" i="12"/>
  <c r="C441" i="12"/>
  <c r="D441" i="12"/>
  <c r="E441" i="12"/>
  <c r="E440" i="12"/>
  <c r="D440" i="12"/>
  <c r="C440" i="12"/>
  <c r="C391" i="12"/>
  <c r="D51" i="2"/>
  <c r="D391" i="12"/>
  <c r="E391" i="12"/>
  <c r="E390" i="12"/>
  <c r="D390" i="12"/>
  <c r="C390" i="12"/>
  <c r="E388" i="12"/>
  <c r="D388" i="12"/>
  <c r="C388" i="12"/>
  <c r="E385" i="12"/>
  <c r="D385" i="12"/>
  <c r="C385" i="12"/>
  <c r="C384" i="12"/>
  <c r="D46" i="2"/>
  <c r="D384" i="12"/>
  <c r="E384" i="12"/>
  <c r="E383" i="12"/>
  <c r="D383" i="12"/>
  <c r="C383" i="12"/>
  <c r="E381" i="12"/>
  <c r="D381" i="12"/>
  <c r="C381" i="12"/>
  <c r="E378" i="12"/>
  <c r="D378" i="12"/>
  <c r="C378" i="12"/>
  <c r="D45" i="2"/>
  <c r="C377" i="12"/>
  <c r="D377" i="12"/>
  <c r="E377" i="12"/>
  <c r="E376" i="12"/>
  <c r="D376" i="12"/>
  <c r="C376" i="12"/>
  <c r="E375" i="12"/>
  <c r="E374" i="12"/>
  <c r="E373" i="12"/>
  <c r="D375" i="12"/>
  <c r="D374" i="12"/>
  <c r="D373" i="12"/>
  <c r="C375" i="12"/>
  <c r="C374" i="12"/>
  <c r="C373" i="12"/>
  <c r="E370" i="12"/>
  <c r="D370" i="12"/>
  <c r="C370" i="12"/>
  <c r="C371" i="12"/>
  <c r="D371" i="12"/>
  <c r="E371" i="12"/>
  <c r="E369" i="12"/>
  <c r="D369" i="12"/>
  <c r="C369" i="12"/>
  <c r="C368" i="12"/>
  <c r="D368" i="12"/>
  <c r="E368" i="12"/>
  <c r="E367" i="12"/>
  <c r="D367" i="12"/>
  <c r="C367" i="12"/>
  <c r="D44" i="2"/>
  <c r="C366" i="12"/>
  <c r="D366" i="12"/>
  <c r="E366" i="12"/>
  <c r="E365" i="12"/>
  <c r="D365" i="12"/>
  <c r="C365" i="12"/>
  <c r="E363" i="12"/>
  <c r="D363" i="12"/>
  <c r="C363" i="12"/>
  <c r="C362" i="12"/>
  <c r="D362" i="12"/>
  <c r="E362" i="12"/>
  <c r="E359" i="12"/>
  <c r="D359" i="12"/>
  <c r="C359" i="12"/>
  <c r="D43" i="2"/>
  <c r="AF2" i="8"/>
  <c r="Q5" i="8"/>
  <c r="T2" i="8"/>
  <c r="E15" i="4"/>
  <c r="E14" i="4"/>
  <c r="E13" i="4"/>
  <c r="E12" i="4"/>
  <c r="E11" i="4"/>
  <c r="E8" i="4"/>
  <c r="E7" i="4"/>
  <c r="E6" i="4"/>
  <c r="G15" i="4"/>
  <c r="G14" i="4"/>
  <c r="G13" i="4"/>
  <c r="G12" i="4"/>
  <c r="G11" i="4"/>
  <c r="G8" i="4"/>
  <c r="G7" i="4"/>
  <c r="G6" i="4"/>
  <c r="G3" i="4"/>
  <c r="E3" i="4"/>
  <c r="T4" i="8"/>
  <c r="AC7" i="8"/>
  <c r="AI11" i="8"/>
  <c r="K31" i="8" l="1"/>
  <c r="K35" i="8" s="1"/>
  <c r="B41" i="3" s="1"/>
  <c r="H6" i="3"/>
  <c r="F9" i="4"/>
  <c r="W145" i="6"/>
  <c r="E26" i="4"/>
  <c r="E25" i="4"/>
  <c r="E23" i="4"/>
  <c r="E22" i="4"/>
  <c r="C358" i="12"/>
  <c r="D358" i="12"/>
  <c r="E358" i="12"/>
  <c r="E357" i="12"/>
  <c r="D357" i="12"/>
  <c r="C357" i="12"/>
  <c r="C355" i="12"/>
  <c r="D355" i="12"/>
  <c r="E355" i="12"/>
  <c r="E354" i="12"/>
  <c r="D354" i="12"/>
  <c r="C354" i="12"/>
  <c r="C353" i="12"/>
  <c r="D353" i="12"/>
  <c r="D352" i="12"/>
  <c r="E353" i="12"/>
  <c r="E352" i="12"/>
  <c r="C352" i="12"/>
  <c r="E349" i="12"/>
  <c r="D349" i="12"/>
  <c r="C349" i="12"/>
  <c r="C348" i="12"/>
  <c r="D348" i="12"/>
  <c r="E348" i="12"/>
  <c r="E346" i="12"/>
  <c r="D346" i="12"/>
  <c r="C346" i="12"/>
  <c r="C347" i="12"/>
  <c r="D347" i="12"/>
  <c r="E347" i="12"/>
  <c r="E344" i="12"/>
  <c r="D344" i="12"/>
  <c r="C344" i="12"/>
  <c r="C343" i="12"/>
  <c r="D343" i="12"/>
  <c r="E343" i="12"/>
  <c r="E342" i="12"/>
  <c r="D342" i="12"/>
  <c r="C342" i="12"/>
  <c r="E339" i="12"/>
  <c r="D339" i="12"/>
  <c r="C339" i="12"/>
  <c r="C338" i="12"/>
  <c r="D338" i="12"/>
  <c r="E338" i="12"/>
  <c r="E337" i="12"/>
  <c r="D337" i="12"/>
  <c r="C337" i="12"/>
  <c r="C336" i="12"/>
  <c r="E336" i="12"/>
  <c r="D336" i="12"/>
  <c r="C334" i="12"/>
  <c r="D334" i="12"/>
  <c r="E334" i="12"/>
  <c r="E333" i="12"/>
  <c r="D333" i="12"/>
  <c r="C333" i="12"/>
  <c r="C332" i="12"/>
  <c r="D332" i="12"/>
  <c r="E332" i="12"/>
  <c r="E331" i="12"/>
  <c r="D331" i="12"/>
  <c r="C331" i="12"/>
  <c r="E330" i="12"/>
  <c r="D330" i="12"/>
  <c r="C330" i="12"/>
  <c r="C329" i="12"/>
  <c r="E329" i="12"/>
  <c r="D329" i="12"/>
  <c r="C328" i="12"/>
  <c r="D328" i="12"/>
  <c r="E328" i="12"/>
  <c r="E327" i="12"/>
  <c r="D327" i="12"/>
  <c r="C327" i="12"/>
  <c r="E323" i="12"/>
  <c r="E322" i="12"/>
  <c r="D323" i="12"/>
  <c r="C323" i="12"/>
  <c r="C322" i="12"/>
  <c r="D322" i="12"/>
  <c r="E321" i="12"/>
  <c r="D321" i="12"/>
  <c r="C321" i="12"/>
  <c r="C320" i="12"/>
  <c r="E320" i="12"/>
  <c r="E319" i="12"/>
  <c r="E318" i="12"/>
  <c r="E317" i="12"/>
  <c r="E316" i="12"/>
  <c r="D316" i="12"/>
  <c r="E315" i="12"/>
  <c r="E314" i="12"/>
  <c r="D319" i="12"/>
  <c r="D318" i="12"/>
  <c r="C318" i="12"/>
  <c r="C316" i="12"/>
  <c r="D315" i="12"/>
  <c r="D314" i="12"/>
  <c r="C314" i="12"/>
  <c r="D317" i="12"/>
  <c r="D320" i="12"/>
  <c r="C317" i="12"/>
  <c r="C319" i="12"/>
  <c r="C315" i="12"/>
  <c r="C312" i="12"/>
  <c r="D41" i="2"/>
  <c r="D40" i="2"/>
  <c r="D15" i="4"/>
  <c r="D39" i="2"/>
  <c r="D8" i="4"/>
  <c r="D42" i="2"/>
  <c r="D38" i="2"/>
  <c r="D37" i="2"/>
  <c r="C28" i="4"/>
  <c r="D28" i="4"/>
  <c r="E28" i="4"/>
  <c r="D26" i="4"/>
  <c r="C26" i="4"/>
  <c r="C25" i="4"/>
  <c r="D25" i="4"/>
  <c r="C23" i="4"/>
  <c r="D23" i="4"/>
  <c r="D22" i="4"/>
  <c r="D12" i="4"/>
  <c r="C12" i="4"/>
  <c r="C15" i="4"/>
  <c r="C8" i="4"/>
  <c r="D6" i="4"/>
  <c r="C6" i="4"/>
  <c r="D7" i="4"/>
  <c r="C7" i="4"/>
  <c r="D3" i="4"/>
  <c r="C3" i="4"/>
  <c r="G5" i="2"/>
  <c r="G4" i="2"/>
  <c r="G8" i="2"/>
  <c r="C22" i="4"/>
  <c r="F11" i="4" l="1"/>
  <c r="F18" i="4"/>
  <c r="F13" i="4"/>
  <c r="F12" i="4"/>
  <c r="D729" i="12"/>
  <c r="C729" i="12"/>
  <c r="E728" i="12"/>
  <c r="D728" i="12"/>
  <c r="C728" i="12"/>
  <c r="E726" i="12"/>
  <c r="D726" i="12"/>
  <c r="C726" i="12"/>
  <c r="E725" i="12"/>
  <c r="D725" i="12"/>
  <c r="C725" i="12"/>
  <c r="C722" i="12"/>
  <c r="E722" i="12"/>
  <c r="D722" i="12"/>
  <c r="E737" i="12"/>
  <c r="E736" i="12"/>
  <c r="E735" i="12"/>
  <c r="C737" i="12"/>
  <c r="D737" i="12"/>
  <c r="D736" i="12"/>
  <c r="C736" i="12"/>
  <c r="D735" i="12"/>
  <c r="C735" i="12"/>
  <c r="E734" i="12"/>
  <c r="D734" i="12"/>
  <c r="C734" i="12"/>
  <c r="C730" i="12"/>
  <c r="E730" i="12"/>
  <c r="D730" i="12"/>
  <c r="F6" i="4"/>
  <c r="G35" i="2"/>
  <c r="G33" i="2"/>
  <c r="J292" i="12"/>
  <c r="I292" i="12"/>
  <c r="G292" i="12"/>
  <c r="J290" i="12"/>
  <c r="H290" i="12"/>
  <c r="G290" i="12"/>
  <c r="F290" i="12"/>
  <c r="J289" i="12"/>
  <c r="I289" i="12"/>
  <c r="G289" i="12"/>
  <c r="J288" i="12"/>
  <c r="I288" i="12"/>
  <c r="G288" i="12"/>
  <c r="J286" i="12"/>
  <c r="H286" i="12"/>
  <c r="G286" i="12"/>
  <c r="F286" i="12"/>
  <c r="J285" i="12"/>
  <c r="I285" i="12"/>
  <c r="G285" i="12"/>
  <c r="G283" i="12"/>
  <c r="J291" i="12"/>
  <c r="J287" i="12"/>
  <c r="J284" i="12"/>
  <c r="J280" i="12"/>
  <c r="H291" i="12"/>
  <c r="H287" i="12"/>
  <c r="H284" i="12"/>
  <c r="H280" i="12"/>
  <c r="G291" i="12"/>
  <c r="G287" i="12"/>
  <c r="G284" i="12"/>
  <c r="G280" i="12"/>
  <c r="F291" i="12"/>
  <c r="F287" i="12"/>
  <c r="F284" i="12"/>
  <c r="F280" i="12"/>
  <c r="J283" i="12"/>
  <c r="H283" i="12"/>
  <c r="F283" i="12"/>
  <c r="J282" i="12"/>
  <c r="I282" i="12"/>
  <c r="G282" i="12"/>
  <c r="J281" i="12"/>
  <c r="I281" i="12"/>
  <c r="G281" i="12"/>
  <c r="J279" i="12"/>
  <c r="H279" i="12"/>
  <c r="G279" i="12"/>
  <c r="F279" i="12"/>
  <c r="D292" i="12"/>
  <c r="C292" i="12"/>
  <c r="D291" i="12"/>
  <c r="D284" i="12"/>
  <c r="C291" i="12"/>
  <c r="C284" i="12"/>
  <c r="D290" i="12"/>
  <c r="D283" i="12"/>
  <c r="C290" i="12"/>
  <c r="C283" i="12"/>
  <c r="D289" i="12"/>
  <c r="C289" i="12"/>
  <c r="E288" i="12"/>
  <c r="E281" i="12"/>
  <c r="D288" i="12"/>
  <c r="C288" i="12"/>
  <c r="C282" i="12"/>
  <c r="E287" i="12"/>
  <c r="E280" i="12"/>
  <c r="D287" i="12"/>
  <c r="D280" i="12"/>
  <c r="C287" i="12"/>
  <c r="C280" i="12"/>
  <c r="E286" i="12"/>
  <c r="D286" i="12"/>
  <c r="D279" i="12"/>
  <c r="C286" i="12"/>
  <c r="C279" i="12"/>
  <c r="E282" i="12"/>
  <c r="D282" i="12"/>
  <c r="D281" i="12"/>
  <c r="C281" i="12"/>
  <c r="E279" i="12"/>
  <c r="D74" i="2"/>
  <c r="D72" i="2"/>
  <c r="D35" i="2"/>
  <c r="Q14" i="8"/>
  <c r="Q11" i="8"/>
  <c r="K2" i="8" l="1"/>
  <c r="H2" i="8" s="1"/>
  <c r="H4" i="8" l="1"/>
  <c r="K4" i="8"/>
  <c r="K3" i="8"/>
  <c r="K24" i="8" s="1"/>
  <c r="H8" i="8" l="1"/>
  <c r="H5" i="8"/>
  <c r="H6" i="8"/>
  <c r="H7" i="8"/>
  <c r="BI4" i="7"/>
  <c r="BI5" i="7"/>
  <c r="D304" i="12"/>
  <c r="E313" i="12"/>
  <c r="E312" i="12"/>
  <c r="D312" i="12"/>
  <c r="C304" i="12"/>
  <c r="C311" i="12"/>
  <c r="D311" i="12"/>
  <c r="E311" i="12"/>
  <c r="E310" i="12"/>
  <c r="D310" i="12"/>
  <c r="C310" i="12"/>
  <c r="C309" i="12"/>
  <c r="D309" i="12"/>
  <c r="E309" i="12"/>
  <c r="E308" i="12"/>
  <c r="D308" i="12"/>
  <c r="C308" i="12"/>
  <c r="C303" i="12"/>
  <c r="E307" i="12"/>
  <c r="D307" i="12"/>
  <c r="C307" i="12"/>
  <c r="E304" i="12"/>
  <c r="D303" i="12"/>
  <c r="D293" i="12"/>
  <c r="E295" i="12"/>
  <c r="E303" i="12"/>
  <c r="E302" i="12"/>
  <c r="D302" i="12"/>
  <c r="C302" i="12"/>
  <c r="E294" i="12"/>
  <c r="D295" i="12"/>
  <c r="C295" i="12"/>
  <c r="C294" i="12"/>
  <c r="D294" i="12"/>
  <c r="E293" i="12"/>
  <c r="C293" i="12"/>
  <c r="E733" i="12"/>
  <c r="E732" i="12"/>
  <c r="C733" i="12"/>
  <c r="D733" i="12"/>
  <c r="D732" i="12"/>
  <c r="C732" i="12"/>
  <c r="C731" i="12"/>
  <c r="D731" i="12"/>
  <c r="E731" i="12"/>
  <c r="C278" i="12"/>
  <c r="E278" i="12"/>
  <c r="D278" i="12"/>
  <c r="E277" i="12"/>
  <c r="D277" i="12"/>
  <c r="C277" i="12"/>
  <c r="C274" i="12"/>
  <c r="D274" i="12"/>
  <c r="E274" i="12"/>
  <c r="C273" i="12"/>
  <c r="E273" i="12"/>
  <c r="D273" i="12"/>
  <c r="E272" i="12"/>
  <c r="D272" i="12"/>
  <c r="C272" i="12"/>
  <c r="E271" i="12"/>
  <c r="D271" i="12"/>
  <c r="C271" i="12"/>
  <c r="E270" i="12"/>
  <c r="D270" i="12"/>
  <c r="C270" i="12"/>
  <c r="E269" i="12"/>
  <c r="D269" i="12"/>
  <c r="C269" i="12"/>
  <c r="E268" i="12"/>
  <c r="D268" i="12"/>
  <c r="C268" i="12"/>
  <c r="C267" i="12"/>
  <c r="C266" i="12"/>
  <c r="D266" i="12"/>
  <c r="E266" i="12"/>
  <c r="E265" i="12"/>
  <c r="D265" i="12"/>
  <c r="C265" i="12"/>
  <c r="C264" i="12"/>
  <c r="E260" i="12"/>
  <c r="D260" i="12"/>
  <c r="C260" i="12"/>
  <c r="C258" i="12"/>
  <c r="D263" i="12"/>
  <c r="C257" i="12"/>
  <c r="E263" i="12"/>
  <c r="C263" i="12"/>
  <c r="D256" i="12"/>
  <c r="E264" i="12"/>
  <c r="D264" i="12"/>
  <c r="D251" i="12"/>
  <c r="E257" i="12"/>
  <c r="D257" i="12"/>
  <c r="C255" i="12"/>
  <c r="E256" i="12"/>
  <c r="D244" i="12"/>
  <c r="C256" i="12"/>
  <c r="D255" i="12"/>
  <c r="E255" i="12"/>
  <c r="E253" i="12"/>
  <c r="D253" i="12"/>
  <c r="C253" i="12"/>
  <c r="D249" i="12"/>
  <c r="D252" i="12"/>
  <c r="C252" i="12"/>
  <c r="C251" i="12"/>
  <c r="D250" i="12"/>
  <c r="C249" i="12"/>
  <c r="E249" i="12"/>
  <c r="E244" i="12"/>
  <c r="E243" i="12"/>
  <c r="D243" i="12"/>
  <c r="C244" i="12"/>
  <c r="C243" i="12"/>
  <c r="C248" i="12"/>
  <c r="D248" i="12"/>
  <c r="E248" i="12"/>
  <c r="E247" i="12"/>
  <c r="D247" i="12"/>
  <c r="C247" i="12"/>
  <c r="E241" i="12"/>
  <c r="D241" i="12"/>
  <c r="C241" i="12"/>
  <c r="F8" i="4"/>
  <c r="F7" i="4"/>
  <c r="F3" i="4"/>
  <c r="F14" i="4"/>
  <c r="F15" i="4"/>
  <c r="D36" i="2"/>
  <c r="G32" i="2"/>
  <c r="C32" i="2"/>
  <c r="D32" i="2" s="1"/>
  <c r="C240" i="12"/>
  <c r="D240" i="12"/>
  <c r="E240" i="12"/>
  <c r="E239" i="12"/>
  <c r="D239" i="12"/>
  <c r="C239" i="12"/>
  <c r="C238" i="12"/>
  <c r="D238" i="12"/>
  <c r="E238" i="12"/>
  <c r="E237" i="12"/>
  <c r="D237" i="12"/>
  <c r="C237" i="12"/>
  <c r="E236" i="12"/>
  <c r="D236" i="12"/>
  <c r="C236" i="12"/>
  <c r="E235" i="12"/>
  <c r="D235" i="12"/>
  <c r="C235" i="12"/>
  <c r="E234" i="12"/>
  <c r="D234" i="12"/>
  <c r="C234" i="12"/>
  <c r="E232" i="12"/>
  <c r="D232" i="12"/>
  <c r="C232" i="12"/>
  <c r="C231" i="12"/>
  <c r="D231" i="12"/>
  <c r="E231" i="12"/>
  <c r="E230" i="12"/>
  <c r="D230" i="12"/>
  <c r="C230" i="12"/>
  <c r="E227" i="12"/>
  <c r="D227" i="12"/>
  <c r="C227" i="12"/>
  <c r="C226" i="12"/>
  <c r="D226" i="12"/>
  <c r="E226" i="12"/>
  <c r="E225" i="12"/>
  <c r="D225" i="12"/>
  <c r="C225" i="12"/>
  <c r="C224" i="12"/>
  <c r="D224" i="12"/>
  <c r="E224" i="12"/>
  <c r="E223" i="12"/>
  <c r="D223" i="12"/>
  <c r="C223" i="12"/>
  <c r="D222" i="12"/>
  <c r="C222" i="12"/>
  <c r="C212" i="12"/>
  <c r="E222" i="12"/>
  <c r="D221" i="12"/>
  <c r="E221" i="12"/>
  <c r="C221" i="12"/>
  <c r="C220" i="12"/>
  <c r="D220" i="12"/>
  <c r="E220" i="12"/>
  <c r="E218" i="12"/>
  <c r="D218" i="12"/>
  <c r="C218" i="12"/>
  <c r="E216" i="12"/>
  <c r="E217" i="12"/>
  <c r="D217" i="12"/>
  <c r="C217" i="12"/>
  <c r="D214" i="12"/>
  <c r="D216" i="12"/>
  <c r="C216" i="12"/>
  <c r="C215" i="12"/>
  <c r="D215" i="12"/>
  <c r="E215" i="12"/>
  <c r="E214" i="12"/>
  <c r="C214" i="12"/>
  <c r="D212" i="12"/>
  <c r="C191" i="12"/>
  <c r="C213" i="12"/>
  <c r="D213" i="12"/>
  <c r="E213" i="12"/>
  <c r="E212" i="12"/>
  <c r="E211" i="12"/>
  <c r="D211" i="12"/>
  <c r="C211" i="12"/>
  <c r="E210" i="12"/>
  <c r="D210" i="12"/>
  <c r="C210" i="12"/>
  <c r="C206" i="12"/>
  <c r="D208" i="12"/>
  <c r="D209" i="12"/>
  <c r="C209" i="12"/>
  <c r="C208" i="12"/>
  <c r="C207" i="12"/>
  <c r="D207" i="12"/>
  <c r="E207" i="12"/>
  <c r="E206" i="12"/>
  <c r="D206" i="12"/>
  <c r="C205" i="12"/>
  <c r="E205" i="12"/>
  <c r="D205" i="12"/>
  <c r="C204" i="12"/>
  <c r="D204" i="12"/>
  <c r="E204" i="12"/>
  <c r="E203" i="12"/>
  <c r="D203" i="12"/>
  <c r="C203" i="12"/>
  <c r="E202" i="12"/>
  <c r="E201" i="12"/>
  <c r="D202" i="12"/>
  <c r="C202" i="12"/>
  <c r="C200" i="12"/>
  <c r="D201" i="12"/>
  <c r="C201" i="12"/>
  <c r="D200" i="12"/>
  <c r="E200" i="12"/>
  <c r="C184" i="12"/>
  <c r="E199" i="12"/>
  <c r="D199" i="12"/>
  <c r="C199" i="12"/>
  <c r="C196" i="12"/>
  <c r="E198" i="12"/>
  <c r="C197" i="12"/>
  <c r="D196" i="12"/>
  <c r="E196" i="12"/>
  <c r="E195" i="12"/>
  <c r="D195" i="12"/>
  <c r="C195" i="12"/>
  <c r="E194" i="12"/>
  <c r="D194" i="12"/>
  <c r="C194" i="12"/>
  <c r="E183" i="12"/>
  <c r="D183" i="12"/>
  <c r="C183" i="12"/>
  <c r="D184" i="12"/>
  <c r="E193" i="12"/>
  <c r="D193" i="12"/>
  <c r="C193" i="12"/>
  <c r="E192" i="12"/>
  <c r="D192" i="12"/>
  <c r="C192" i="12"/>
  <c r="D191" i="12"/>
  <c r="E187" i="12"/>
  <c r="D187" i="12"/>
  <c r="C187" i="12"/>
  <c r="E186" i="12"/>
  <c r="D186" i="12"/>
  <c r="C186" i="12"/>
  <c r="E185" i="12"/>
  <c r="D185" i="12"/>
  <c r="C185" i="12"/>
  <c r="E182" i="12"/>
  <c r="D182" i="12"/>
  <c r="C182" i="12"/>
  <c r="D181" i="12"/>
  <c r="E181" i="12"/>
  <c r="C181" i="12"/>
  <c r="D180" i="12"/>
  <c r="E180" i="12"/>
  <c r="C180" i="12"/>
  <c r="E179" i="12"/>
  <c r="C179" i="12"/>
  <c r="E191" i="12"/>
  <c r="E184" i="12"/>
  <c r="D179" i="12"/>
  <c r="C170" i="12"/>
  <c r="E178" i="12"/>
  <c r="D178" i="12"/>
  <c r="C178" i="12"/>
  <c r="E177" i="12"/>
  <c r="D177" i="12"/>
  <c r="C177" i="12"/>
  <c r="E173" i="12"/>
  <c r="D173" i="12"/>
  <c r="C173" i="12"/>
  <c r="C171" i="12"/>
  <c r="E174" i="12"/>
  <c r="D174" i="12"/>
  <c r="C174" i="12"/>
  <c r="E172" i="12"/>
  <c r="D172" i="12"/>
  <c r="C172" i="12"/>
  <c r="E169" i="12"/>
  <c r="D169" i="12"/>
  <c r="C169" i="12"/>
  <c r="E171" i="12"/>
  <c r="D171" i="12"/>
  <c r="E170" i="12"/>
  <c r="D170" i="12"/>
  <c r="E166" i="12"/>
  <c r="D166" i="12"/>
  <c r="C166" i="12"/>
  <c r="E165" i="12"/>
  <c r="D165" i="12"/>
  <c r="C165" i="12"/>
  <c r="E164" i="12"/>
  <c r="D164" i="12"/>
  <c r="C164" i="12"/>
  <c r="C163" i="12"/>
  <c r="D163" i="12"/>
  <c r="E163" i="12"/>
  <c r="E162" i="12"/>
  <c r="D162" i="12"/>
  <c r="C162" i="12"/>
  <c r="E159" i="12"/>
  <c r="D159" i="12"/>
  <c r="C159" i="12"/>
  <c r="D157" i="12"/>
  <c r="C157" i="12"/>
  <c r="D156" i="12"/>
  <c r="C156" i="12"/>
  <c r="C158" i="12"/>
  <c r="D158" i="12"/>
  <c r="E158" i="12"/>
  <c r="E157" i="12"/>
  <c r="E156" i="12"/>
  <c r="E155" i="12"/>
  <c r="D155" i="12"/>
  <c r="C155" i="12"/>
  <c r="C152" i="12"/>
  <c r="C154" i="12"/>
  <c r="D154" i="12"/>
  <c r="D153" i="12"/>
  <c r="C153" i="12"/>
  <c r="D152" i="12"/>
  <c r="E152" i="12"/>
  <c r="E151" i="12"/>
  <c r="D151" i="12"/>
  <c r="C151" i="12"/>
  <c r="D140" i="12"/>
  <c r="E148" i="12"/>
  <c r="D148" i="12"/>
  <c r="C148" i="12"/>
  <c r="E150" i="12"/>
  <c r="D150" i="12"/>
  <c r="C150" i="12"/>
  <c r="E145" i="12"/>
  <c r="D145" i="12"/>
  <c r="C145" i="12"/>
  <c r="C144" i="12"/>
  <c r="D144" i="12"/>
  <c r="E144" i="12"/>
  <c r="E142" i="12"/>
  <c r="D142" i="12"/>
  <c r="C142" i="12"/>
  <c r="E141" i="12"/>
  <c r="D141" i="12"/>
  <c r="C141" i="12"/>
  <c r="E143" i="12"/>
  <c r="D143" i="12"/>
  <c r="C143" i="12"/>
  <c r="E140" i="12"/>
  <c r="C140" i="12"/>
  <c r="D128" i="12"/>
  <c r="C128" i="12"/>
  <c r="D129" i="12"/>
  <c r="C129" i="12"/>
  <c r="D127" i="12"/>
  <c r="C127" i="12"/>
  <c r="C124" i="12"/>
  <c r="E129" i="12"/>
  <c r="E128" i="12"/>
  <c r="E127" i="12"/>
  <c r="E126" i="12"/>
  <c r="D126" i="12"/>
  <c r="C126" i="12"/>
  <c r="E125" i="12"/>
  <c r="D125" i="12"/>
  <c r="C125" i="12"/>
  <c r="D124" i="12"/>
  <c r="C119" i="12"/>
  <c r="E124" i="12"/>
  <c r="E123" i="12"/>
  <c r="D123" i="12"/>
  <c r="C123" i="12"/>
  <c r="E122" i="12"/>
  <c r="D122" i="12"/>
  <c r="C122" i="12"/>
  <c r="E120" i="12"/>
  <c r="D120" i="12"/>
  <c r="C120" i="12"/>
  <c r="C118" i="12"/>
  <c r="D119" i="12"/>
  <c r="E119" i="12"/>
  <c r="E117" i="12"/>
  <c r="E118" i="12"/>
  <c r="D118" i="12"/>
  <c r="C117" i="12"/>
  <c r="C108" i="12"/>
  <c r="D117" i="12"/>
  <c r="E116" i="12"/>
  <c r="D116" i="12"/>
  <c r="C116" i="12"/>
  <c r="C113" i="12"/>
  <c r="E115" i="12"/>
  <c r="D115" i="12"/>
  <c r="C115" i="12"/>
  <c r="E114" i="12"/>
  <c r="D114" i="12"/>
  <c r="C114" i="12"/>
  <c r="C110" i="12"/>
  <c r="E113" i="12"/>
  <c r="D113" i="12"/>
  <c r="E110" i="12"/>
  <c r="D110" i="12"/>
  <c r="E109" i="12"/>
  <c r="D109" i="12"/>
  <c r="C109" i="12"/>
  <c r="E108" i="12"/>
  <c r="E107" i="12"/>
  <c r="D108" i="12"/>
  <c r="D107" i="12"/>
  <c r="C107" i="12"/>
  <c r="E106" i="12"/>
  <c r="D106" i="12"/>
  <c r="C106" i="12"/>
  <c r="E103" i="12"/>
  <c r="D103" i="12"/>
  <c r="C103" i="12"/>
  <c r="E102" i="12"/>
  <c r="D102" i="12"/>
  <c r="C102" i="12"/>
  <c r="E101" i="12"/>
  <c r="D101" i="12"/>
  <c r="C101" i="12"/>
  <c r="E100" i="12"/>
  <c r="D100" i="12"/>
  <c r="C100" i="12"/>
  <c r="E99" i="12"/>
  <c r="D99" i="12"/>
  <c r="C99" i="12"/>
  <c r="C96" i="12"/>
  <c r="C98" i="12"/>
  <c r="D98" i="12"/>
  <c r="D97" i="12"/>
  <c r="E98" i="12"/>
  <c r="E97" i="12"/>
  <c r="C97" i="12"/>
  <c r="E96" i="12"/>
  <c r="D96" i="12"/>
  <c r="C94" i="12"/>
  <c r="E95" i="12"/>
  <c r="D95" i="12"/>
  <c r="C95" i="12"/>
  <c r="C86" i="12"/>
  <c r="E86" i="12"/>
  <c r="E94" i="12"/>
  <c r="D94" i="12"/>
  <c r="E93" i="12"/>
  <c r="D93" i="12"/>
  <c r="C93" i="12"/>
  <c r="E92" i="12"/>
  <c r="D92" i="12"/>
  <c r="C92" i="12"/>
  <c r="E91" i="12"/>
  <c r="D91" i="12"/>
  <c r="C91" i="12"/>
  <c r="C90" i="12"/>
  <c r="K2" i="12"/>
  <c r="E90" i="12"/>
  <c r="D90" i="12"/>
  <c r="E88" i="12"/>
  <c r="E84" i="12"/>
  <c r="D88" i="12"/>
  <c r="C88" i="12"/>
  <c r="C87" i="12"/>
  <c r="E87" i="12"/>
  <c r="D87" i="12"/>
  <c r="D86" i="12"/>
  <c r="C84" i="12"/>
  <c r="E85" i="12"/>
  <c r="D85" i="12"/>
  <c r="C85" i="12"/>
  <c r="C80" i="12"/>
  <c r="D84" i="12"/>
  <c r="E81" i="12"/>
  <c r="D81" i="12"/>
  <c r="C81" i="12"/>
  <c r="D78" i="12"/>
  <c r="E80" i="12"/>
  <c r="D80" i="12"/>
  <c r="C79" i="12"/>
  <c r="D79" i="12"/>
  <c r="C75" i="12"/>
  <c r="E79" i="12"/>
  <c r="E78" i="12"/>
  <c r="C78" i="12"/>
  <c r="C74" i="12"/>
  <c r="E75" i="12"/>
  <c r="D75" i="12"/>
  <c r="E69" i="12"/>
  <c r="E74" i="12"/>
  <c r="D74" i="12"/>
  <c r="E73" i="12"/>
  <c r="D73" i="12"/>
  <c r="C73" i="12"/>
  <c r="C67" i="12"/>
  <c r="E71" i="12"/>
  <c r="D71" i="12"/>
  <c r="C71" i="12"/>
  <c r="E70" i="12"/>
  <c r="D70" i="12"/>
  <c r="C70" i="12"/>
  <c r="D69" i="12"/>
  <c r="C69" i="12"/>
  <c r="E68" i="12"/>
  <c r="D68" i="12"/>
  <c r="C68" i="12"/>
  <c r="E67" i="12"/>
  <c r="D67" i="12"/>
  <c r="E66" i="12"/>
  <c r="D66" i="12"/>
  <c r="C66" i="12"/>
  <c r="E65" i="12"/>
  <c r="D65" i="12"/>
  <c r="C65" i="12"/>
  <c r="E62" i="12"/>
  <c r="D62" i="12"/>
  <c r="C62" i="12"/>
  <c r="E61" i="12"/>
  <c r="D61" i="12"/>
  <c r="C61" i="12"/>
  <c r="E60" i="12"/>
  <c r="D60" i="12"/>
  <c r="C60" i="12"/>
  <c r="E59" i="12"/>
  <c r="D59" i="12"/>
  <c r="C59" i="12"/>
  <c r="E58" i="12"/>
  <c r="D58" i="12"/>
  <c r="C58" i="12"/>
  <c r="E57" i="12"/>
  <c r="D57" i="12"/>
  <c r="C57" i="12"/>
  <c r="E56" i="12"/>
  <c r="D56" i="12"/>
  <c r="C56" i="12"/>
  <c r="E55" i="12"/>
  <c r="D55" i="12"/>
  <c r="C55" i="12"/>
  <c r="E54" i="12"/>
  <c r="D54" i="12"/>
  <c r="C54" i="12"/>
  <c r="E53" i="12"/>
  <c r="D53" i="12"/>
  <c r="C53" i="12"/>
  <c r="E52" i="12"/>
  <c r="D52" i="12"/>
  <c r="C52" i="12"/>
  <c r="E51" i="12"/>
  <c r="D51" i="12"/>
  <c r="C51" i="12"/>
  <c r="E49" i="12"/>
  <c r="D49" i="12"/>
  <c r="C49" i="12"/>
  <c r="E48" i="12"/>
  <c r="D48" i="12"/>
  <c r="C48" i="12"/>
  <c r="E47" i="12"/>
  <c r="D47" i="12"/>
  <c r="C47" i="12"/>
  <c r="E46" i="12"/>
  <c r="D46" i="12"/>
  <c r="C46" i="12"/>
  <c r="E45" i="12"/>
  <c r="D45" i="12"/>
  <c r="C45" i="12"/>
  <c r="E44" i="12"/>
  <c r="D44" i="12"/>
  <c r="C44" i="12"/>
  <c r="E43" i="12"/>
  <c r="D43" i="12"/>
  <c r="C43" i="12"/>
  <c r="E42" i="12"/>
  <c r="D42" i="12"/>
  <c r="C42" i="12"/>
  <c r="E40" i="12"/>
  <c r="D40" i="12"/>
  <c r="C40" i="12"/>
  <c r="E39" i="12"/>
  <c r="D39" i="12"/>
  <c r="C39" i="12"/>
  <c r="E38" i="12"/>
  <c r="D38" i="12"/>
  <c r="C38" i="12"/>
  <c r="E37" i="12"/>
  <c r="D37" i="12"/>
  <c r="C37" i="12"/>
  <c r="E36" i="12"/>
  <c r="D36" i="12"/>
  <c r="C36" i="12"/>
  <c r="E35" i="12"/>
  <c r="D35" i="12"/>
  <c r="C35" i="12"/>
  <c r="E34" i="12"/>
  <c r="D34" i="12"/>
  <c r="C34" i="12"/>
  <c r="E33" i="12"/>
  <c r="D33" i="12"/>
  <c r="C33" i="12"/>
  <c r="E32" i="12"/>
  <c r="D32" i="12"/>
  <c r="C32" i="12"/>
  <c r="E31" i="12"/>
  <c r="D31" i="12"/>
  <c r="C31" i="12"/>
  <c r="E30" i="12"/>
  <c r="D30" i="12"/>
  <c r="C30" i="12"/>
  <c r="E29" i="12"/>
  <c r="D29" i="12"/>
  <c r="C29" i="12"/>
  <c r="E28" i="12"/>
  <c r="D28" i="12"/>
  <c r="C28" i="12"/>
  <c r="E27" i="12"/>
  <c r="D27" i="12"/>
  <c r="C27" i="12"/>
  <c r="E25" i="12"/>
  <c r="D25" i="12"/>
  <c r="C25" i="12"/>
  <c r="E24" i="12"/>
  <c r="D24" i="12"/>
  <c r="C24" i="12"/>
  <c r="E23" i="12"/>
  <c r="D23" i="12"/>
  <c r="C23" i="12"/>
  <c r="E22" i="12"/>
  <c r="D22" i="12"/>
  <c r="C22" i="12"/>
  <c r="E21" i="12"/>
  <c r="D21" i="12"/>
  <c r="C21" i="12"/>
  <c r="E19" i="12"/>
  <c r="D19" i="12"/>
  <c r="C19" i="12"/>
  <c r="E18" i="12"/>
  <c r="D18" i="12"/>
  <c r="C18" i="12"/>
  <c r="E17" i="12"/>
  <c r="D17" i="12"/>
  <c r="C17" i="12"/>
  <c r="E14" i="12"/>
  <c r="D14" i="12"/>
  <c r="C14" i="12"/>
  <c r="E13" i="12"/>
  <c r="D13" i="12"/>
  <c r="C13" i="12"/>
  <c r="E12" i="12"/>
  <c r="D12" i="12"/>
  <c r="C12" i="12"/>
  <c r="E11" i="12"/>
  <c r="D11" i="12"/>
  <c r="C11" i="12"/>
  <c r="E8" i="12"/>
  <c r="D8" i="12"/>
  <c r="C8" i="12"/>
  <c r="E7" i="12"/>
  <c r="D7" i="12"/>
  <c r="C7" i="12"/>
  <c r="E6" i="12"/>
  <c r="D6" i="12"/>
  <c r="C6" i="12"/>
  <c r="E5" i="12"/>
  <c r="D5" i="12"/>
  <c r="C5" i="12"/>
  <c r="E4" i="12"/>
  <c r="D4" i="12"/>
  <c r="C4" i="12"/>
  <c r="I28" i="2"/>
  <c r="H28" i="2"/>
  <c r="H29" i="2"/>
  <c r="J29" i="2"/>
  <c r="I29" i="2"/>
  <c r="K27" i="2"/>
  <c r="H26" i="2"/>
  <c r="I23" i="2"/>
  <c r="H23" i="2"/>
  <c r="I19" i="2"/>
  <c r="I18" i="2"/>
  <c r="H27" i="2"/>
  <c r="H19" i="2"/>
  <c r="H18" i="2"/>
  <c r="H17" i="2"/>
  <c r="I17" i="2"/>
  <c r="I16" i="2"/>
  <c r="H16" i="2"/>
  <c r="H15" i="2"/>
  <c r="I14" i="2"/>
  <c r="H12" i="2"/>
  <c r="I11" i="2"/>
  <c r="J10" i="2"/>
  <c r="H13" i="2"/>
  <c r="H11" i="2"/>
  <c r="H10" i="2"/>
  <c r="H9" i="2"/>
  <c r="H8" i="2"/>
  <c r="H7" i="2"/>
  <c r="I6" i="2"/>
  <c r="H6" i="2"/>
  <c r="C20" i="2"/>
  <c r="J2" i="2" l="1"/>
  <c r="N2" i="8" s="1"/>
  <c r="I2" i="2"/>
  <c r="H12" i="8"/>
  <c r="H9" i="8"/>
  <c r="H10" i="8"/>
  <c r="H11" i="8"/>
  <c r="B14" i="8"/>
  <c r="K3" i="12"/>
  <c r="G31" i="2"/>
  <c r="G30" i="2"/>
  <c r="G29" i="2"/>
  <c r="G28" i="2"/>
  <c r="G27" i="2"/>
  <c r="G26" i="2"/>
  <c r="G23" i="2"/>
  <c r="G22" i="2"/>
  <c r="G20" i="2"/>
  <c r="G19" i="2"/>
  <c r="G18" i="2"/>
  <c r="G17" i="2"/>
  <c r="G16" i="2"/>
  <c r="G15" i="2"/>
  <c r="G14" i="2"/>
  <c r="G13" i="2"/>
  <c r="G12" i="2"/>
  <c r="G11" i="2"/>
  <c r="G10" i="2"/>
  <c r="G9" i="2"/>
  <c r="G7" i="2"/>
  <c r="G6" i="2"/>
  <c r="D34" i="2"/>
  <c r="C33" i="2"/>
  <c r="D33" i="2" s="1"/>
  <c r="C31" i="2"/>
  <c r="D31" i="2" s="1"/>
  <c r="C30" i="2"/>
  <c r="D30" i="2" s="1"/>
  <c r="C29" i="2"/>
  <c r="D29" i="2" s="1"/>
  <c r="C28" i="2"/>
  <c r="D28" i="2" s="1"/>
  <c r="C27" i="2"/>
  <c r="D27" i="2" s="1"/>
  <c r="C26" i="2"/>
  <c r="D26" i="2" s="1"/>
  <c r="D24" i="2"/>
  <c r="C23" i="2"/>
  <c r="D23" i="2" s="1"/>
  <c r="C22" i="2"/>
  <c r="D22" i="2" s="1"/>
  <c r="C21" i="2"/>
  <c r="D21" i="2" s="1"/>
  <c r="D20" i="2"/>
  <c r="C19" i="2"/>
  <c r="D19" i="2" s="1"/>
  <c r="C18" i="2"/>
  <c r="D18" i="2" s="1"/>
  <c r="C17" i="2"/>
  <c r="D17" i="2" s="1"/>
  <c r="C16" i="2"/>
  <c r="D16" i="2" s="1"/>
  <c r="C15" i="2"/>
  <c r="D15" i="2" s="1"/>
  <c r="C14" i="2"/>
  <c r="D14" i="2" s="1"/>
  <c r="C13" i="2"/>
  <c r="D13" i="2" s="1"/>
  <c r="C12" i="2"/>
  <c r="D12" i="2" s="1"/>
  <c r="C4" i="2"/>
  <c r="D4" i="2" s="1"/>
  <c r="C5" i="2"/>
  <c r="D5" i="2" s="1"/>
  <c r="C6" i="2"/>
  <c r="D6" i="2" s="1"/>
  <c r="C7" i="2"/>
  <c r="D7" i="2" s="1"/>
  <c r="C8" i="2"/>
  <c r="D8" i="2" s="1"/>
  <c r="C9" i="2"/>
  <c r="D9" i="2" s="1"/>
  <c r="C10" i="2"/>
  <c r="D10" i="2" s="1"/>
  <c r="C11" i="2"/>
  <c r="D11" i="2" s="1"/>
  <c r="D73" i="2"/>
  <c r="D25" i="2"/>
  <c r="H5" i="2"/>
  <c r="N4" i="8"/>
  <c r="D2" i="2" l="1"/>
  <c r="G2" i="2"/>
  <c r="N3" i="8"/>
  <c r="N5" i="8" s="1"/>
  <c r="H25" i="3" s="1"/>
  <c r="D3" i="2"/>
  <c r="H13" i="8"/>
  <c r="H19" i="3" s="1"/>
  <c r="K4" i="12"/>
  <c r="AI7" i="8"/>
  <c r="Q2" i="8" l="1"/>
  <c r="N7" i="8"/>
  <c r="K5" i="12"/>
  <c r="N6" i="8"/>
  <c r="Q3" i="8"/>
  <c r="AD101" i="6"/>
  <c r="W101" i="6"/>
  <c r="Q13" i="8"/>
  <c r="Q12" i="8"/>
  <c r="K6" i="12" l="1"/>
  <c r="K7" i="12" l="1"/>
  <c r="K8" i="12" l="1"/>
  <c r="B3" i="2"/>
  <c r="B2" i="2"/>
  <c r="K9" i="12" l="1"/>
  <c r="AO11" i="8"/>
  <c r="AO8" i="8"/>
  <c r="AO10" i="8" s="1"/>
  <c r="AO7" i="8"/>
  <c r="AI14" i="8"/>
  <c r="AI6" i="8"/>
  <c r="H18" i="3"/>
  <c r="K10" i="12" l="1"/>
  <c r="B9" i="8"/>
  <c r="AE2" i="6"/>
  <c r="AE3" i="6"/>
  <c r="AE7" i="6"/>
  <c r="AE12" i="6"/>
  <c r="AE24" i="6"/>
  <c r="AE37" i="6"/>
  <c r="AE52" i="6"/>
  <c r="AE53" i="6"/>
  <c r="AE133" i="6"/>
  <c r="AE146" i="6"/>
  <c r="AE198" i="6"/>
  <c r="AE4" i="6"/>
  <c r="AE5" i="6"/>
  <c r="AE8" i="6"/>
  <c r="AE13" i="6"/>
  <c r="AE25" i="6"/>
  <c r="AE38" i="6"/>
  <c r="AE54" i="6"/>
  <c r="AE55" i="6"/>
  <c r="AE134" i="6"/>
  <c r="AE147" i="6"/>
  <c r="AE199" i="6"/>
  <c r="AE9" i="6"/>
  <c r="AE14" i="6"/>
  <c r="AE26" i="6"/>
  <c r="AE39" i="6"/>
  <c r="AE56" i="6"/>
  <c r="AE57" i="6"/>
  <c r="AE135" i="6"/>
  <c r="AE148" i="6"/>
  <c r="AE10" i="6"/>
  <c r="AE15" i="6"/>
  <c r="AE27" i="6"/>
  <c r="AE40" i="6"/>
  <c r="AE58" i="6"/>
  <c r="AE59" i="6"/>
  <c r="AE136" i="6"/>
  <c r="AE149" i="6"/>
  <c r="AE11" i="6"/>
  <c r="AE16" i="6"/>
  <c r="AE28" i="6"/>
  <c r="AE41" i="6"/>
  <c r="AE60" i="6"/>
  <c r="AE61" i="6"/>
  <c r="AE137" i="6"/>
  <c r="AE150" i="6"/>
  <c r="AE17" i="6"/>
  <c r="AE29" i="6"/>
  <c r="AE42" i="6"/>
  <c r="AE62" i="6"/>
  <c r="AE89" i="6"/>
  <c r="AE138" i="6"/>
  <c r="AE151" i="6"/>
  <c r="AE90" i="6"/>
  <c r="AE112" i="6"/>
  <c r="AE233" i="6"/>
  <c r="AE18" i="6"/>
  <c r="AE30" i="6"/>
  <c r="AE43" i="6"/>
  <c r="AE63" i="6"/>
  <c r="AE64" i="6"/>
  <c r="AE139" i="6"/>
  <c r="AE152" i="6"/>
  <c r="AE19" i="6"/>
  <c r="AE31" i="6"/>
  <c r="AE44" i="6"/>
  <c r="AE65" i="6"/>
  <c r="AE66" i="6"/>
  <c r="AE140" i="6"/>
  <c r="AE153" i="6"/>
  <c r="AE32" i="6"/>
  <c r="AE45" i="6"/>
  <c r="AE67" i="6"/>
  <c r="AE113" i="6"/>
  <c r="AE154" i="6"/>
  <c r="AE155" i="6"/>
  <c r="AE156" i="6"/>
  <c r="AE157" i="6"/>
  <c r="AE234" i="6"/>
  <c r="AE33" i="6"/>
  <c r="AE46" i="6"/>
  <c r="AE68" i="6"/>
  <c r="AE91" i="6"/>
  <c r="AE158" i="6"/>
  <c r="AE159" i="6"/>
  <c r="AE34" i="6"/>
  <c r="AE92" i="6"/>
  <c r="AE114" i="6"/>
  <c r="AE200" i="6"/>
  <c r="AE69" i="6"/>
  <c r="AE93" i="6"/>
  <c r="AE160" i="6"/>
  <c r="AE161" i="6"/>
  <c r="AE94" i="6"/>
  <c r="AE115" i="6"/>
  <c r="AE201" i="6"/>
  <c r="AE116" i="6"/>
  <c r="AE235" i="6"/>
  <c r="AE70" i="6"/>
  <c r="AE117" i="6"/>
  <c r="AE202" i="6"/>
  <c r="AE236" i="6"/>
  <c r="AE47" i="6"/>
  <c r="AE95" i="6"/>
  <c r="AE203" i="6"/>
  <c r="AE20" i="6"/>
  <c r="AE35" i="6"/>
  <c r="AE96" i="6"/>
  <c r="AE162" i="6"/>
  <c r="AE204" i="6"/>
  <c r="AE48" i="6"/>
  <c r="AE71" i="6"/>
  <c r="AE36" i="6"/>
  <c r="AE49" i="6"/>
  <c r="AE72" i="6"/>
  <c r="AE73" i="6"/>
  <c r="AE163" i="6"/>
  <c r="AE164" i="6"/>
  <c r="AE205" i="6"/>
  <c r="AE21" i="6"/>
  <c r="AE50" i="6"/>
  <c r="AE97" i="6"/>
  <c r="AE141" i="6"/>
  <c r="AE165" i="6"/>
  <c r="AE206" i="6"/>
  <c r="AE74" i="6"/>
  <c r="AE98" i="6"/>
  <c r="AE237" i="6"/>
  <c r="AE99" i="6"/>
  <c r="AE118" i="6"/>
  <c r="AE238" i="6"/>
  <c r="AE119" i="6"/>
  <c r="AE239" i="6"/>
  <c r="AE120" i="6"/>
  <c r="AE240" i="6"/>
  <c r="AE22" i="6"/>
  <c r="AE100" i="6"/>
  <c r="AE207" i="6"/>
  <c r="AE121" i="6"/>
  <c r="AE241" i="6"/>
  <c r="AE6" i="6"/>
  <c r="AE23" i="6"/>
  <c r="AE51" i="6"/>
  <c r="AE75" i="6"/>
  <c r="AE101" i="6"/>
  <c r="AE208" i="6"/>
  <c r="AE242" i="6"/>
  <c r="AE142" i="6"/>
  <c r="AE166" i="6"/>
  <c r="AE167" i="6"/>
  <c r="AE168" i="6"/>
  <c r="AE169" i="6"/>
  <c r="AE170" i="6"/>
  <c r="AE209" i="6"/>
  <c r="AE210" i="6"/>
  <c r="AE243" i="6"/>
  <c r="AE171" i="6"/>
  <c r="AE172" i="6"/>
  <c r="AE173" i="6"/>
  <c r="AE174" i="6"/>
  <c r="AE175" i="6"/>
  <c r="AE176" i="6"/>
  <c r="AE244" i="6"/>
  <c r="AE211" i="6"/>
  <c r="AE245" i="6"/>
  <c r="AE212" i="6"/>
  <c r="AE246" i="6"/>
  <c r="AE177" i="6"/>
  <c r="AE213" i="6"/>
  <c r="AE178" i="6"/>
  <c r="AE214" i="6"/>
  <c r="AE247" i="6"/>
  <c r="AE179" i="6"/>
  <c r="AE215" i="6"/>
  <c r="AE143" i="6"/>
  <c r="AE180" i="6"/>
  <c r="AE144" i="6"/>
  <c r="AE181" i="6"/>
  <c r="AE182" i="6"/>
  <c r="AE216" i="6"/>
  <c r="AE217" i="6"/>
  <c r="AE145" i="6"/>
  <c r="AE218" i="6"/>
  <c r="AE183" i="6"/>
  <c r="AE219" i="6"/>
  <c r="AE184" i="6"/>
  <c r="AE248" i="6"/>
  <c r="AE249" i="6"/>
  <c r="AE250" i="6"/>
  <c r="AE220" i="6"/>
  <c r="AE221" i="6"/>
  <c r="AE260" i="6"/>
  <c r="AE222" i="6"/>
  <c r="AE185" i="6"/>
  <c r="AE186" i="6"/>
  <c r="AE187" i="6"/>
  <c r="AE188" i="6"/>
  <c r="AE189" i="6"/>
  <c r="AE190" i="6"/>
  <c r="AE223" i="6"/>
  <c r="AE224" i="6"/>
  <c r="AE225" i="6"/>
  <c r="AE226" i="6"/>
  <c r="AE227" i="6"/>
  <c r="AE228" i="6"/>
  <c r="AE229" i="6"/>
  <c r="AE230" i="6"/>
  <c r="AE191" i="6"/>
  <c r="AE231" i="6"/>
  <c r="AE261" i="6"/>
  <c r="AE262" i="6"/>
  <c r="AE263" i="6"/>
  <c r="AE264" i="6"/>
  <c r="AE265" i="6"/>
  <c r="AE266" i="6"/>
  <c r="AE267" i="6"/>
  <c r="AE268" i="6"/>
  <c r="AE269" i="6"/>
  <c r="AE270" i="6"/>
  <c r="AE271" i="6"/>
  <c r="AE232" i="6"/>
  <c r="AE192" i="6"/>
  <c r="AE193" i="6"/>
  <c r="AE194" i="6"/>
  <c r="AE195" i="6"/>
  <c r="AE196" i="6"/>
  <c r="AE197" i="6"/>
  <c r="AE102" i="6"/>
  <c r="AE76" i="6"/>
  <c r="AE77" i="6"/>
  <c r="AE78" i="6"/>
  <c r="AE79" i="6"/>
  <c r="AE103" i="6"/>
  <c r="AE104" i="6"/>
  <c r="AE105" i="6"/>
  <c r="AE106" i="6"/>
  <c r="AE107" i="6"/>
  <c r="AE80" i="6"/>
  <c r="AE108" i="6"/>
  <c r="AE109" i="6"/>
  <c r="AE110" i="6"/>
  <c r="AE111" i="6"/>
  <c r="AE122" i="6"/>
  <c r="AE123" i="6"/>
  <c r="AE124" i="6"/>
  <c r="AE125" i="6"/>
  <c r="AE81" i="6"/>
  <c r="AE126" i="6"/>
  <c r="AE127" i="6"/>
  <c r="AE128" i="6"/>
  <c r="AE129" i="6"/>
  <c r="AE130" i="6"/>
  <c r="AE131" i="6"/>
  <c r="AE132" i="6"/>
  <c r="AE82" i="6"/>
  <c r="AE83" i="6"/>
  <c r="AE84" i="6"/>
  <c r="AE85" i="6"/>
  <c r="AE86" i="6"/>
  <c r="AE87" i="6"/>
  <c r="AE88" i="6"/>
  <c r="AD2" i="6"/>
  <c r="AD3" i="6"/>
  <c r="AD7" i="6"/>
  <c r="AD12" i="6"/>
  <c r="AD24" i="6"/>
  <c r="AD37" i="6"/>
  <c r="AD52" i="6"/>
  <c r="AD53" i="6"/>
  <c r="AD133" i="6"/>
  <c r="AD146" i="6"/>
  <c r="AD198" i="6"/>
  <c r="AD4" i="6"/>
  <c r="AD5" i="6"/>
  <c r="AD8" i="6"/>
  <c r="AD13" i="6"/>
  <c r="AD25" i="6"/>
  <c r="AD38" i="6"/>
  <c r="AD54" i="6"/>
  <c r="AD55" i="6"/>
  <c r="AD134" i="6"/>
  <c r="AD147" i="6"/>
  <c r="AD199" i="6"/>
  <c r="AD9" i="6"/>
  <c r="AD14" i="6"/>
  <c r="AD26" i="6"/>
  <c r="AD39" i="6"/>
  <c r="AD56" i="6"/>
  <c r="AD57" i="6"/>
  <c r="AD135" i="6"/>
  <c r="AD148" i="6"/>
  <c r="AD10" i="6"/>
  <c r="AD15" i="6"/>
  <c r="AD27" i="6"/>
  <c r="AD40" i="6"/>
  <c r="AD58" i="6"/>
  <c r="AD59" i="6"/>
  <c r="AD136" i="6"/>
  <c r="AD149" i="6"/>
  <c r="AD11" i="6"/>
  <c r="AD16" i="6"/>
  <c r="AD28" i="6"/>
  <c r="AD41" i="6"/>
  <c r="AD60" i="6"/>
  <c r="AD61" i="6"/>
  <c r="AD137" i="6"/>
  <c r="AD150" i="6"/>
  <c r="AD17" i="6"/>
  <c r="AD29" i="6"/>
  <c r="AD42" i="6"/>
  <c r="AD62" i="6"/>
  <c r="AD89" i="6"/>
  <c r="AD138" i="6"/>
  <c r="AD151" i="6"/>
  <c r="AD90" i="6"/>
  <c r="AD112" i="6"/>
  <c r="AD233" i="6"/>
  <c r="AD18" i="6"/>
  <c r="AD30" i="6"/>
  <c r="AD43" i="6"/>
  <c r="AD63" i="6"/>
  <c r="AD64" i="6"/>
  <c r="AD139" i="6"/>
  <c r="AD152" i="6"/>
  <c r="AD19" i="6"/>
  <c r="AD31" i="6"/>
  <c r="AD44" i="6"/>
  <c r="AD65" i="6"/>
  <c r="AD66" i="6"/>
  <c r="AD140" i="6"/>
  <c r="AD153" i="6"/>
  <c r="AD32" i="6"/>
  <c r="AD45" i="6"/>
  <c r="AD67" i="6"/>
  <c r="AD113" i="6"/>
  <c r="AD154" i="6"/>
  <c r="AD155" i="6"/>
  <c r="AD156" i="6"/>
  <c r="AD157" i="6"/>
  <c r="AD234" i="6"/>
  <c r="AD33" i="6"/>
  <c r="AD46" i="6"/>
  <c r="AD68" i="6"/>
  <c r="AD91" i="6"/>
  <c r="AD158" i="6"/>
  <c r="AD159" i="6"/>
  <c r="AD34" i="6"/>
  <c r="AD92" i="6"/>
  <c r="AD114" i="6"/>
  <c r="AD200" i="6"/>
  <c r="AD69" i="6"/>
  <c r="AD93" i="6"/>
  <c r="AD160" i="6"/>
  <c r="AD161" i="6"/>
  <c r="AD94" i="6"/>
  <c r="AD115" i="6"/>
  <c r="AD201" i="6"/>
  <c r="AD116" i="6"/>
  <c r="AD235" i="6"/>
  <c r="AD70" i="6"/>
  <c r="AD117" i="6"/>
  <c r="AD202" i="6"/>
  <c r="AD236" i="6"/>
  <c r="AD47" i="6"/>
  <c r="AD95" i="6"/>
  <c r="AD203" i="6"/>
  <c r="AD20" i="6"/>
  <c r="AD35" i="6"/>
  <c r="AD96" i="6"/>
  <c r="AD162" i="6"/>
  <c r="AD204" i="6"/>
  <c r="AD48" i="6"/>
  <c r="AD71" i="6"/>
  <c r="AD36" i="6"/>
  <c r="AD49" i="6"/>
  <c r="AD72" i="6"/>
  <c r="AD73" i="6"/>
  <c r="AD163" i="6"/>
  <c r="AD164" i="6"/>
  <c r="AD205" i="6"/>
  <c r="AD21" i="6"/>
  <c r="AD50" i="6"/>
  <c r="AD97" i="6"/>
  <c r="AD141" i="6"/>
  <c r="AD165" i="6"/>
  <c r="AD206" i="6"/>
  <c r="AD74" i="6"/>
  <c r="AD98" i="6"/>
  <c r="AD237" i="6"/>
  <c r="AD99" i="6"/>
  <c r="AD118" i="6"/>
  <c r="AD238" i="6"/>
  <c r="AD119" i="6"/>
  <c r="AD239" i="6"/>
  <c r="AD120" i="6"/>
  <c r="AD240" i="6"/>
  <c r="AD22" i="6"/>
  <c r="AD100" i="6"/>
  <c r="AD207" i="6"/>
  <c r="AD121" i="6"/>
  <c r="AD241" i="6"/>
  <c r="AD6" i="6"/>
  <c r="AD23" i="6"/>
  <c r="AD51" i="6"/>
  <c r="AD75" i="6"/>
  <c r="AD208" i="6"/>
  <c r="AD242" i="6"/>
  <c r="AD142" i="6"/>
  <c r="AD166" i="6"/>
  <c r="AD167" i="6"/>
  <c r="AD168" i="6"/>
  <c r="AD169" i="6"/>
  <c r="AD170" i="6"/>
  <c r="AD209" i="6"/>
  <c r="AD210" i="6"/>
  <c r="AD243" i="6"/>
  <c r="AD171" i="6"/>
  <c r="AD172" i="6"/>
  <c r="AD173" i="6"/>
  <c r="AD174" i="6"/>
  <c r="AD175" i="6"/>
  <c r="AD176" i="6"/>
  <c r="AD244" i="6"/>
  <c r="AD211" i="6"/>
  <c r="AD245" i="6"/>
  <c r="AD212" i="6"/>
  <c r="AD246" i="6"/>
  <c r="AD177" i="6"/>
  <c r="AD213" i="6"/>
  <c r="AD178" i="6"/>
  <c r="AD214" i="6"/>
  <c r="AD247" i="6"/>
  <c r="AD179" i="6"/>
  <c r="AD215" i="6"/>
  <c r="AD143" i="6"/>
  <c r="AD180" i="6"/>
  <c r="AD144" i="6"/>
  <c r="AD181" i="6"/>
  <c r="AD182" i="6"/>
  <c r="AD216" i="6"/>
  <c r="AD217" i="6"/>
  <c r="AD145" i="6"/>
  <c r="AD218" i="6"/>
  <c r="AD183" i="6"/>
  <c r="AD219" i="6"/>
  <c r="AD184" i="6"/>
  <c r="AD248" i="6"/>
  <c r="AD249" i="6"/>
  <c r="AD250" i="6"/>
  <c r="AD220" i="6"/>
  <c r="AD221" i="6"/>
  <c r="AD260" i="6"/>
  <c r="AD222" i="6"/>
  <c r="AD185" i="6"/>
  <c r="AD186" i="6"/>
  <c r="AD187" i="6"/>
  <c r="AD188" i="6"/>
  <c r="AD189" i="6"/>
  <c r="AD190" i="6"/>
  <c r="AD223" i="6"/>
  <c r="AD224" i="6"/>
  <c r="AD225" i="6"/>
  <c r="AD226" i="6"/>
  <c r="AD227" i="6"/>
  <c r="AD228" i="6"/>
  <c r="AD229" i="6"/>
  <c r="AD230" i="6"/>
  <c r="AD191" i="6"/>
  <c r="AD231" i="6"/>
  <c r="AD261" i="6"/>
  <c r="AD262" i="6"/>
  <c r="AD263" i="6"/>
  <c r="AD264" i="6"/>
  <c r="AD265" i="6"/>
  <c r="AD266" i="6"/>
  <c r="AD267" i="6"/>
  <c r="AD268" i="6"/>
  <c r="AD269" i="6"/>
  <c r="AD270" i="6"/>
  <c r="AD271" i="6"/>
  <c r="AD232" i="6"/>
  <c r="AD192" i="6"/>
  <c r="AD193" i="6"/>
  <c r="AD194" i="6"/>
  <c r="AD195" i="6"/>
  <c r="AD196" i="6"/>
  <c r="AD197" i="6"/>
  <c r="AD102" i="6"/>
  <c r="AD76" i="6"/>
  <c r="AD77" i="6"/>
  <c r="AD78" i="6"/>
  <c r="AD79" i="6"/>
  <c r="AD103" i="6"/>
  <c r="AD104" i="6"/>
  <c r="AD105" i="6"/>
  <c r="AD106" i="6"/>
  <c r="AD107" i="6"/>
  <c r="AD80" i="6"/>
  <c r="AD108" i="6"/>
  <c r="AD109" i="6"/>
  <c r="AD110" i="6"/>
  <c r="AD111" i="6"/>
  <c r="AD122" i="6"/>
  <c r="AD123" i="6"/>
  <c r="AD124" i="6"/>
  <c r="AD125" i="6"/>
  <c r="AD81" i="6"/>
  <c r="AD126" i="6"/>
  <c r="AD127" i="6"/>
  <c r="AD128" i="6"/>
  <c r="AD129" i="6"/>
  <c r="AD130" i="6"/>
  <c r="AD131" i="6"/>
  <c r="AD132" i="6"/>
  <c r="AD82" i="6"/>
  <c r="AD83" i="6"/>
  <c r="AD84" i="6"/>
  <c r="AD85" i="6"/>
  <c r="AD86" i="6"/>
  <c r="AD87" i="6"/>
  <c r="AD88" i="6"/>
  <c r="AC2" i="6"/>
  <c r="AC3" i="6"/>
  <c r="AC7" i="6"/>
  <c r="AC12" i="6"/>
  <c r="AC24" i="6"/>
  <c r="AC37" i="6"/>
  <c r="AC52" i="6"/>
  <c r="AC53" i="6"/>
  <c r="AC133" i="6"/>
  <c r="AC146" i="6"/>
  <c r="AC198" i="6"/>
  <c r="AC4" i="6"/>
  <c r="AC5" i="6"/>
  <c r="AC8" i="6"/>
  <c r="AC13" i="6"/>
  <c r="AC25" i="6"/>
  <c r="AC38" i="6"/>
  <c r="AC54" i="6"/>
  <c r="AC55" i="6"/>
  <c r="AC134" i="6"/>
  <c r="AC147" i="6"/>
  <c r="AC199" i="6"/>
  <c r="AC9" i="6"/>
  <c r="AC14" i="6"/>
  <c r="AC26" i="6"/>
  <c r="AC39" i="6"/>
  <c r="AC56" i="6"/>
  <c r="AC57" i="6"/>
  <c r="AC135" i="6"/>
  <c r="AC148" i="6"/>
  <c r="AC10" i="6"/>
  <c r="AC15" i="6"/>
  <c r="AC27" i="6"/>
  <c r="AC40" i="6"/>
  <c r="AC58" i="6"/>
  <c r="AC59" i="6"/>
  <c r="AC136" i="6"/>
  <c r="AC149" i="6"/>
  <c r="AC11" i="6"/>
  <c r="AC16" i="6"/>
  <c r="AC28" i="6"/>
  <c r="AC41" i="6"/>
  <c r="AC60" i="6"/>
  <c r="AC61" i="6"/>
  <c r="AC137" i="6"/>
  <c r="AC150" i="6"/>
  <c r="AC17" i="6"/>
  <c r="AC29" i="6"/>
  <c r="AC42" i="6"/>
  <c r="AC62" i="6"/>
  <c r="AC89" i="6"/>
  <c r="AC138" i="6"/>
  <c r="AC151" i="6"/>
  <c r="AC90" i="6"/>
  <c r="AC112" i="6"/>
  <c r="AC233" i="6"/>
  <c r="AC18" i="6"/>
  <c r="AC30" i="6"/>
  <c r="AC43" i="6"/>
  <c r="AC63" i="6"/>
  <c r="AC64" i="6"/>
  <c r="AC139" i="6"/>
  <c r="AC152" i="6"/>
  <c r="AC19" i="6"/>
  <c r="AC31" i="6"/>
  <c r="AC44" i="6"/>
  <c r="AC65" i="6"/>
  <c r="AC66" i="6"/>
  <c r="AC140" i="6"/>
  <c r="AC153" i="6"/>
  <c r="AC32" i="6"/>
  <c r="AC45" i="6"/>
  <c r="AC67" i="6"/>
  <c r="AC113" i="6"/>
  <c r="AC154" i="6"/>
  <c r="AC155" i="6"/>
  <c r="AC156" i="6"/>
  <c r="AC157" i="6"/>
  <c r="AC234" i="6"/>
  <c r="AC33" i="6"/>
  <c r="AC46" i="6"/>
  <c r="AC68" i="6"/>
  <c r="AC91" i="6"/>
  <c r="AC158" i="6"/>
  <c r="AC159" i="6"/>
  <c r="AC34" i="6"/>
  <c r="AC92" i="6"/>
  <c r="AC114" i="6"/>
  <c r="AC200" i="6"/>
  <c r="AC69" i="6"/>
  <c r="AC93" i="6"/>
  <c r="AC160" i="6"/>
  <c r="AC161" i="6"/>
  <c r="AC94" i="6"/>
  <c r="AC115" i="6"/>
  <c r="AC201" i="6"/>
  <c r="AC116" i="6"/>
  <c r="AC235" i="6"/>
  <c r="AC70" i="6"/>
  <c r="AC117" i="6"/>
  <c r="AC202" i="6"/>
  <c r="AC236" i="6"/>
  <c r="AC47" i="6"/>
  <c r="AC95" i="6"/>
  <c r="AC203" i="6"/>
  <c r="AC20" i="6"/>
  <c r="AC35" i="6"/>
  <c r="AC96" i="6"/>
  <c r="AC162" i="6"/>
  <c r="AC204" i="6"/>
  <c r="AC48" i="6"/>
  <c r="AC71" i="6"/>
  <c r="AC36" i="6"/>
  <c r="AC49" i="6"/>
  <c r="AC72" i="6"/>
  <c r="AC73" i="6"/>
  <c r="AC163" i="6"/>
  <c r="AC164" i="6"/>
  <c r="AC205" i="6"/>
  <c r="AC21" i="6"/>
  <c r="AC50" i="6"/>
  <c r="AC97" i="6"/>
  <c r="AC141" i="6"/>
  <c r="AC165" i="6"/>
  <c r="AC206" i="6"/>
  <c r="AC74" i="6"/>
  <c r="AC98" i="6"/>
  <c r="AC237" i="6"/>
  <c r="AC99" i="6"/>
  <c r="AC118" i="6"/>
  <c r="AC238" i="6"/>
  <c r="AC119" i="6"/>
  <c r="AC239" i="6"/>
  <c r="AC120" i="6"/>
  <c r="AC240" i="6"/>
  <c r="AC22" i="6"/>
  <c r="AC100" i="6"/>
  <c r="AC207" i="6"/>
  <c r="AC121" i="6"/>
  <c r="AC241" i="6"/>
  <c r="AC6" i="6"/>
  <c r="AC23" i="6"/>
  <c r="AC51" i="6"/>
  <c r="AC75" i="6"/>
  <c r="AC101" i="6"/>
  <c r="AC208" i="6"/>
  <c r="AC242" i="6"/>
  <c r="AC142" i="6"/>
  <c r="AC166" i="6"/>
  <c r="AC167" i="6"/>
  <c r="AC168" i="6"/>
  <c r="AC169" i="6"/>
  <c r="AC170" i="6"/>
  <c r="AC209" i="6"/>
  <c r="AC210" i="6"/>
  <c r="AC243" i="6"/>
  <c r="AC171" i="6"/>
  <c r="AC172" i="6"/>
  <c r="AC173" i="6"/>
  <c r="AC174" i="6"/>
  <c r="AC175" i="6"/>
  <c r="AC176" i="6"/>
  <c r="AC244" i="6"/>
  <c r="AC211" i="6"/>
  <c r="AC245" i="6"/>
  <c r="AC212" i="6"/>
  <c r="AC246" i="6"/>
  <c r="AC177" i="6"/>
  <c r="AC213" i="6"/>
  <c r="AC178" i="6"/>
  <c r="AC214" i="6"/>
  <c r="AC247" i="6"/>
  <c r="AC179" i="6"/>
  <c r="AC215" i="6"/>
  <c r="AC143" i="6"/>
  <c r="AC180" i="6"/>
  <c r="AC144" i="6"/>
  <c r="AC181" i="6"/>
  <c r="AC182" i="6"/>
  <c r="AC216" i="6"/>
  <c r="AC217" i="6"/>
  <c r="AC145" i="6"/>
  <c r="AC218" i="6"/>
  <c r="AC183" i="6"/>
  <c r="AC219" i="6"/>
  <c r="AC184" i="6"/>
  <c r="AC248" i="6"/>
  <c r="AC249" i="6"/>
  <c r="AC250" i="6"/>
  <c r="AC251" i="6"/>
  <c r="AC252" i="6"/>
  <c r="AC253" i="6"/>
  <c r="AC254" i="6"/>
  <c r="AC255" i="6"/>
  <c r="AC256" i="6"/>
  <c r="AC257" i="6"/>
  <c r="AC258" i="6"/>
  <c r="AC259" i="6"/>
  <c r="AC220" i="6"/>
  <c r="AC221" i="6"/>
  <c r="AC260" i="6"/>
  <c r="AC222" i="6"/>
  <c r="AC185" i="6"/>
  <c r="AC186" i="6"/>
  <c r="AC187" i="6"/>
  <c r="AC188" i="6"/>
  <c r="AC189" i="6"/>
  <c r="AC190" i="6"/>
  <c r="AC223" i="6"/>
  <c r="AC224" i="6"/>
  <c r="AC225" i="6"/>
  <c r="AC226" i="6"/>
  <c r="AC227" i="6"/>
  <c r="AC228" i="6"/>
  <c r="AC229" i="6"/>
  <c r="AC230" i="6"/>
  <c r="AC191" i="6"/>
  <c r="AC231" i="6"/>
  <c r="AC261" i="6"/>
  <c r="AC262" i="6"/>
  <c r="AC263" i="6"/>
  <c r="AC264" i="6"/>
  <c r="AC265" i="6"/>
  <c r="AC266" i="6"/>
  <c r="AC267" i="6"/>
  <c r="AC268" i="6"/>
  <c r="AC269" i="6"/>
  <c r="AC270" i="6"/>
  <c r="AC271" i="6"/>
  <c r="AC232" i="6"/>
  <c r="AC192" i="6"/>
  <c r="AC193" i="6"/>
  <c r="AC194" i="6"/>
  <c r="AC195" i="6"/>
  <c r="AC196" i="6"/>
  <c r="AC197" i="6"/>
  <c r="AC102" i="6"/>
  <c r="AC76" i="6"/>
  <c r="AC77" i="6"/>
  <c r="AC78" i="6"/>
  <c r="AC79" i="6"/>
  <c r="AC103" i="6"/>
  <c r="AC104" i="6"/>
  <c r="AC105" i="6"/>
  <c r="AC106" i="6"/>
  <c r="AC107" i="6"/>
  <c r="AC80" i="6"/>
  <c r="AC108" i="6"/>
  <c r="AC109" i="6"/>
  <c r="AC110" i="6"/>
  <c r="AC111" i="6"/>
  <c r="AC122" i="6"/>
  <c r="AC123" i="6"/>
  <c r="AC124" i="6"/>
  <c r="AC125" i="6"/>
  <c r="AC81" i="6"/>
  <c r="AC126" i="6"/>
  <c r="AC127" i="6"/>
  <c r="AC128" i="6"/>
  <c r="AC129" i="6"/>
  <c r="AC130" i="6"/>
  <c r="AC131" i="6"/>
  <c r="AC132" i="6"/>
  <c r="AC82" i="6"/>
  <c r="AC83" i="6"/>
  <c r="AC84" i="6"/>
  <c r="AC85" i="6"/>
  <c r="AC86" i="6"/>
  <c r="AC87" i="6"/>
  <c r="AC88" i="6"/>
  <c r="AB2" i="6"/>
  <c r="AB3" i="6"/>
  <c r="AB7" i="6"/>
  <c r="AB12" i="6"/>
  <c r="AB24" i="6"/>
  <c r="AB37" i="6"/>
  <c r="AB52" i="6"/>
  <c r="AB53" i="6"/>
  <c r="AB133" i="6"/>
  <c r="AB146" i="6"/>
  <c r="AB198" i="6"/>
  <c r="AB4" i="6"/>
  <c r="AB5" i="6"/>
  <c r="AB8" i="6"/>
  <c r="AB13" i="6"/>
  <c r="AB25" i="6"/>
  <c r="AB38" i="6"/>
  <c r="AB54" i="6"/>
  <c r="AB55" i="6"/>
  <c r="AB134" i="6"/>
  <c r="AB147" i="6"/>
  <c r="AB199" i="6"/>
  <c r="AB9" i="6"/>
  <c r="AB14" i="6"/>
  <c r="AB26" i="6"/>
  <c r="AB39" i="6"/>
  <c r="AB56" i="6"/>
  <c r="AB57" i="6"/>
  <c r="AB135" i="6"/>
  <c r="AB148" i="6"/>
  <c r="AB10" i="6"/>
  <c r="AB15" i="6"/>
  <c r="AB27" i="6"/>
  <c r="AB40" i="6"/>
  <c r="AB58" i="6"/>
  <c r="AB59" i="6"/>
  <c r="AB136" i="6"/>
  <c r="AB149" i="6"/>
  <c r="AB11" i="6"/>
  <c r="AB16" i="6"/>
  <c r="AB28" i="6"/>
  <c r="AB41" i="6"/>
  <c r="AB60" i="6"/>
  <c r="AB61" i="6"/>
  <c r="AB137" i="6"/>
  <c r="AB150" i="6"/>
  <c r="AB17" i="6"/>
  <c r="AB29" i="6"/>
  <c r="AB42" i="6"/>
  <c r="AB62" i="6"/>
  <c r="AB89" i="6"/>
  <c r="AB138" i="6"/>
  <c r="AB151" i="6"/>
  <c r="AB90" i="6"/>
  <c r="AB112" i="6"/>
  <c r="AB233" i="6"/>
  <c r="AB18" i="6"/>
  <c r="AB30" i="6"/>
  <c r="AB43" i="6"/>
  <c r="AB63" i="6"/>
  <c r="AB64" i="6"/>
  <c r="AB139" i="6"/>
  <c r="AB152" i="6"/>
  <c r="AB19" i="6"/>
  <c r="AB31" i="6"/>
  <c r="AB44" i="6"/>
  <c r="AB65" i="6"/>
  <c r="AB66" i="6"/>
  <c r="AB140" i="6"/>
  <c r="AB153" i="6"/>
  <c r="AB32" i="6"/>
  <c r="AB45" i="6"/>
  <c r="AB67" i="6"/>
  <c r="AB113" i="6"/>
  <c r="AB154" i="6"/>
  <c r="AB155" i="6"/>
  <c r="AB156" i="6"/>
  <c r="AB157" i="6"/>
  <c r="AB234" i="6"/>
  <c r="AB33" i="6"/>
  <c r="AB46" i="6"/>
  <c r="AB68" i="6"/>
  <c r="AB91" i="6"/>
  <c r="AB158" i="6"/>
  <c r="AB159" i="6"/>
  <c r="AB34" i="6"/>
  <c r="AB92" i="6"/>
  <c r="AB114" i="6"/>
  <c r="AB200" i="6"/>
  <c r="AB69" i="6"/>
  <c r="AB93" i="6"/>
  <c r="AB160" i="6"/>
  <c r="AB161" i="6"/>
  <c r="AB94" i="6"/>
  <c r="AB115" i="6"/>
  <c r="AB201" i="6"/>
  <c r="AB116" i="6"/>
  <c r="AB235" i="6"/>
  <c r="AB70" i="6"/>
  <c r="AB117" i="6"/>
  <c r="AB202" i="6"/>
  <c r="AB236" i="6"/>
  <c r="AB47" i="6"/>
  <c r="AB95" i="6"/>
  <c r="AB203" i="6"/>
  <c r="AB20" i="6"/>
  <c r="AB35" i="6"/>
  <c r="AB96" i="6"/>
  <c r="AB162" i="6"/>
  <c r="AB204" i="6"/>
  <c r="AB48" i="6"/>
  <c r="AB71" i="6"/>
  <c r="AB36" i="6"/>
  <c r="AB49" i="6"/>
  <c r="AB72" i="6"/>
  <c r="AB73" i="6"/>
  <c r="AB163" i="6"/>
  <c r="AB164" i="6"/>
  <c r="AB205" i="6"/>
  <c r="AB21" i="6"/>
  <c r="AB50" i="6"/>
  <c r="AB97" i="6"/>
  <c r="AB141" i="6"/>
  <c r="AB165" i="6"/>
  <c r="AB206" i="6"/>
  <c r="AB74" i="6"/>
  <c r="AB98" i="6"/>
  <c r="AB237" i="6"/>
  <c r="AB99" i="6"/>
  <c r="AB118" i="6"/>
  <c r="AB238" i="6"/>
  <c r="AB119" i="6"/>
  <c r="AB239" i="6"/>
  <c r="AB120" i="6"/>
  <c r="AB240" i="6"/>
  <c r="AB22" i="6"/>
  <c r="AB100" i="6"/>
  <c r="AB207" i="6"/>
  <c r="AB121" i="6"/>
  <c r="AB241" i="6"/>
  <c r="AB6" i="6"/>
  <c r="AB23" i="6"/>
  <c r="AB51" i="6"/>
  <c r="AB75" i="6"/>
  <c r="AB101" i="6"/>
  <c r="AB208" i="6"/>
  <c r="AB242" i="6"/>
  <c r="AB142" i="6"/>
  <c r="AB166" i="6"/>
  <c r="AB167" i="6"/>
  <c r="AB168" i="6"/>
  <c r="AB169" i="6"/>
  <c r="AB170" i="6"/>
  <c r="AB209" i="6"/>
  <c r="AB210" i="6"/>
  <c r="AB243" i="6"/>
  <c r="AB171" i="6"/>
  <c r="AB172" i="6"/>
  <c r="AB173" i="6"/>
  <c r="AB174" i="6"/>
  <c r="AB175" i="6"/>
  <c r="AB176" i="6"/>
  <c r="AB244" i="6"/>
  <c r="AB211" i="6"/>
  <c r="AB245" i="6"/>
  <c r="AB212" i="6"/>
  <c r="AB246" i="6"/>
  <c r="AB177" i="6"/>
  <c r="AB213" i="6"/>
  <c r="AB178" i="6"/>
  <c r="AB214" i="6"/>
  <c r="AB247" i="6"/>
  <c r="AB179" i="6"/>
  <c r="AB215" i="6"/>
  <c r="AB143" i="6"/>
  <c r="AB180" i="6"/>
  <c r="AB144" i="6"/>
  <c r="AB181" i="6"/>
  <c r="AB182" i="6"/>
  <c r="AB216" i="6"/>
  <c r="AB217" i="6"/>
  <c r="AB145" i="6"/>
  <c r="AB218" i="6"/>
  <c r="AB183" i="6"/>
  <c r="AB219" i="6"/>
  <c r="AB184" i="6"/>
  <c r="AB248" i="6"/>
  <c r="AB249" i="6"/>
  <c r="AB250" i="6"/>
  <c r="AB251" i="6"/>
  <c r="AB252" i="6"/>
  <c r="AB253" i="6"/>
  <c r="AB254" i="6"/>
  <c r="AB255" i="6"/>
  <c r="AB256" i="6"/>
  <c r="AB257" i="6"/>
  <c r="AB258" i="6"/>
  <c r="AB259" i="6"/>
  <c r="AB220" i="6"/>
  <c r="AB221" i="6"/>
  <c r="AB260" i="6"/>
  <c r="AB222" i="6"/>
  <c r="AB185" i="6"/>
  <c r="AB186" i="6"/>
  <c r="AB187" i="6"/>
  <c r="AB188" i="6"/>
  <c r="AB189" i="6"/>
  <c r="AB190" i="6"/>
  <c r="AB223" i="6"/>
  <c r="AB224" i="6"/>
  <c r="AB225" i="6"/>
  <c r="AB226" i="6"/>
  <c r="AB227" i="6"/>
  <c r="AB228" i="6"/>
  <c r="AB229" i="6"/>
  <c r="AB230" i="6"/>
  <c r="AB191" i="6"/>
  <c r="AB231" i="6"/>
  <c r="AB261" i="6"/>
  <c r="AB262" i="6"/>
  <c r="AB263" i="6"/>
  <c r="AB264" i="6"/>
  <c r="AB265" i="6"/>
  <c r="AB266" i="6"/>
  <c r="AB267" i="6"/>
  <c r="AB268" i="6"/>
  <c r="AB269" i="6"/>
  <c r="AB270" i="6"/>
  <c r="AB271" i="6"/>
  <c r="AB232" i="6"/>
  <c r="AB192" i="6"/>
  <c r="AB193" i="6"/>
  <c r="AB194" i="6"/>
  <c r="AB195" i="6"/>
  <c r="AB196" i="6"/>
  <c r="AB197" i="6"/>
  <c r="AB102" i="6"/>
  <c r="AB76" i="6"/>
  <c r="AB77" i="6"/>
  <c r="AB78" i="6"/>
  <c r="AB79" i="6"/>
  <c r="AB103" i="6"/>
  <c r="AB104" i="6"/>
  <c r="AB105" i="6"/>
  <c r="AB106" i="6"/>
  <c r="AB107" i="6"/>
  <c r="AB80" i="6"/>
  <c r="AB108" i="6"/>
  <c r="AB109" i="6"/>
  <c r="AB110" i="6"/>
  <c r="AB111" i="6"/>
  <c r="AB122" i="6"/>
  <c r="AB123" i="6"/>
  <c r="AB124" i="6"/>
  <c r="AB125" i="6"/>
  <c r="AB81" i="6"/>
  <c r="AB126" i="6"/>
  <c r="AB127" i="6"/>
  <c r="AB128" i="6"/>
  <c r="AB129" i="6"/>
  <c r="AB130" i="6"/>
  <c r="AB131" i="6"/>
  <c r="AB132" i="6"/>
  <c r="AB82" i="6"/>
  <c r="AB83" i="6"/>
  <c r="AB84" i="6"/>
  <c r="AB85" i="6"/>
  <c r="AB86" i="6"/>
  <c r="AB87" i="6"/>
  <c r="AB88" i="6"/>
  <c r="AA2" i="6"/>
  <c r="AA3" i="6"/>
  <c r="AA7" i="6"/>
  <c r="AA12" i="6"/>
  <c r="AA24" i="6"/>
  <c r="AA37" i="6"/>
  <c r="AA52" i="6"/>
  <c r="AA53" i="6"/>
  <c r="AA133" i="6"/>
  <c r="AA146" i="6"/>
  <c r="AA198" i="6"/>
  <c r="AA4" i="6"/>
  <c r="AA5" i="6"/>
  <c r="AA8" i="6"/>
  <c r="AA13" i="6"/>
  <c r="AA25" i="6"/>
  <c r="AA38" i="6"/>
  <c r="AA54" i="6"/>
  <c r="AA55" i="6"/>
  <c r="AA134" i="6"/>
  <c r="AA147" i="6"/>
  <c r="AA199" i="6"/>
  <c r="AA9" i="6"/>
  <c r="AA14" i="6"/>
  <c r="AA26" i="6"/>
  <c r="AA39" i="6"/>
  <c r="AA56" i="6"/>
  <c r="AA57" i="6"/>
  <c r="AA135" i="6"/>
  <c r="AA148" i="6"/>
  <c r="AA10" i="6"/>
  <c r="AA15" i="6"/>
  <c r="AA27" i="6"/>
  <c r="AA40" i="6"/>
  <c r="AA58" i="6"/>
  <c r="AA59" i="6"/>
  <c r="AA136" i="6"/>
  <c r="AA149" i="6"/>
  <c r="AA11" i="6"/>
  <c r="AA16" i="6"/>
  <c r="AA28" i="6"/>
  <c r="AA41" i="6"/>
  <c r="AA60" i="6"/>
  <c r="AA61" i="6"/>
  <c r="AA137" i="6"/>
  <c r="AA150" i="6"/>
  <c r="AA17" i="6"/>
  <c r="AA29" i="6"/>
  <c r="AA42" i="6"/>
  <c r="AA62" i="6"/>
  <c r="AA89" i="6"/>
  <c r="AA138" i="6"/>
  <c r="AA151" i="6"/>
  <c r="AA90" i="6"/>
  <c r="AA112" i="6"/>
  <c r="AA233" i="6"/>
  <c r="AA18" i="6"/>
  <c r="AA30" i="6"/>
  <c r="AA43" i="6"/>
  <c r="AA63" i="6"/>
  <c r="AA64" i="6"/>
  <c r="AA139" i="6"/>
  <c r="AA152" i="6"/>
  <c r="AA19" i="6"/>
  <c r="AA31" i="6"/>
  <c r="AA44" i="6"/>
  <c r="AA65" i="6"/>
  <c r="AA66" i="6"/>
  <c r="AA140" i="6"/>
  <c r="AA153" i="6"/>
  <c r="AA32" i="6"/>
  <c r="AA45" i="6"/>
  <c r="AA67" i="6"/>
  <c r="AA113" i="6"/>
  <c r="AA154" i="6"/>
  <c r="AA155" i="6"/>
  <c r="AA156" i="6"/>
  <c r="AA157" i="6"/>
  <c r="AA234" i="6"/>
  <c r="AA33" i="6"/>
  <c r="AA46" i="6"/>
  <c r="AA68" i="6"/>
  <c r="AA91" i="6"/>
  <c r="AA158" i="6"/>
  <c r="AA159" i="6"/>
  <c r="AA34" i="6"/>
  <c r="AA92" i="6"/>
  <c r="AA114" i="6"/>
  <c r="AA200" i="6"/>
  <c r="AA69" i="6"/>
  <c r="AA93" i="6"/>
  <c r="AA160" i="6"/>
  <c r="AA161" i="6"/>
  <c r="AA94" i="6"/>
  <c r="AA115" i="6"/>
  <c r="AA201" i="6"/>
  <c r="AA116" i="6"/>
  <c r="AA235" i="6"/>
  <c r="AA70" i="6"/>
  <c r="AA117" i="6"/>
  <c r="AA202" i="6"/>
  <c r="AA236" i="6"/>
  <c r="AA47" i="6"/>
  <c r="AA95" i="6"/>
  <c r="AA203" i="6"/>
  <c r="AA20" i="6"/>
  <c r="AA35" i="6"/>
  <c r="AA96" i="6"/>
  <c r="AA162" i="6"/>
  <c r="AA204" i="6"/>
  <c r="AA48" i="6"/>
  <c r="AA71" i="6"/>
  <c r="AA36" i="6"/>
  <c r="AA49" i="6"/>
  <c r="AA72" i="6"/>
  <c r="AA73" i="6"/>
  <c r="AA163" i="6"/>
  <c r="AA164" i="6"/>
  <c r="AA205" i="6"/>
  <c r="AA21" i="6"/>
  <c r="AA50" i="6"/>
  <c r="AA97" i="6"/>
  <c r="AA141" i="6"/>
  <c r="AA165" i="6"/>
  <c r="AA206" i="6"/>
  <c r="AA74" i="6"/>
  <c r="AA98" i="6"/>
  <c r="AA237" i="6"/>
  <c r="AA99" i="6"/>
  <c r="AA118" i="6"/>
  <c r="AA238" i="6"/>
  <c r="AA119" i="6"/>
  <c r="AA239" i="6"/>
  <c r="AA120" i="6"/>
  <c r="AA240" i="6"/>
  <c r="AA22" i="6"/>
  <c r="AA100" i="6"/>
  <c r="AA207" i="6"/>
  <c r="AA121" i="6"/>
  <c r="AA241" i="6"/>
  <c r="AA6" i="6"/>
  <c r="AA23" i="6"/>
  <c r="AA51" i="6"/>
  <c r="AA75" i="6"/>
  <c r="AA101" i="6"/>
  <c r="AA208" i="6"/>
  <c r="AA242" i="6"/>
  <c r="AA142" i="6"/>
  <c r="AA166" i="6"/>
  <c r="AA167" i="6"/>
  <c r="AA168" i="6"/>
  <c r="AA169" i="6"/>
  <c r="AA170" i="6"/>
  <c r="AA209" i="6"/>
  <c r="AA210" i="6"/>
  <c r="AA243" i="6"/>
  <c r="AA171" i="6"/>
  <c r="AA172" i="6"/>
  <c r="AA173" i="6"/>
  <c r="AA174" i="6"/>
  <c r="AA175" i="6"/>
  <c r="AA176" i="6"/>
  <c r="AA244" i="6"/>
  <c r="AA211" i="6"/>
  <c r="AA245" i="6"/>
  <c r="AA212" i="6"/>
  <c r="AA246" i="6"/>
  <c r="AA177" i="6"/>
  <c r="AA213" i="6"/>
  <c r="AA178" i="6"/>
  <c r="AA214" i="6"/>
  <c r="AA247" i="6"/>
  <c r="AA179" i="6"/>
  <c r="AA215" i="6"/>
  <c r="AA143" i="6"/>
  <c r="AA180" i="6"/>
  <c r="AA144" i="6"/>
  <c r="AA181" i="6"/>
  <c r="AA182" i="6"/>
  <c r="AA216" i="6"/>
  <c r="AA217" i="6"/>
  <c r="AA145" i="6"/>
  <c r="AA218" i="6"/>
  <c r="AA183" i="6"/>
  <c r="AA219" i="6"/>
  <c r="AA184" i="6"/>
  <c r="AA248" i="6"/>
  <c r="AA249" i="6"/>
  <c r="AA250" i="6"/>
  <c r="AA251" i="6"/>
  <c r="AA252" i="6"/>
  <c r="AA253" i="6"/>
  <c r="AA254" i="6"/>
  <c r="AA255" i="6"/>
  <c r="AA256" i="6"/>
  <c r="AA257" i="6"/>
  <c r="AA258" i="6"/>
  <c r="AA259" i="6"/>
  <c r="AA220" i="6"/>
  <c r="AA221" i="6"/>
  <c r="AA260" i="6"/>
  <c r="AA222" i="6"/>
  <c r="AA185" i="6"/>
  <c r="AA186" i="6"/>
  <c r="AA187" i="6"/>
  <c r="AA188" i="6"/>
  <c r="AA189" i="6"/>
  <c r="AA190" i="6"/>
  <c r="AA223" i="6"/>
  <c r="AA224" i="6"/>
  <c r="AA225" i="6"/>
  <c r="AA226" i="6"/>
  <c r="AA227" i="6"/>
  <c r="AA228" i="6"/>
  <c r="AA229" i="6"/>
  <c r="AA230" i="6"/>
  <c r="AA191" i="6"/>
  <c r="AA231" i="6"/>
  <c r="AA261" i="6"/>
  <c r="AA262" i="6"/>
  <c r="AA263" i="6"/>
  <c r="AA264" i="6"/>
  <c r="AA265" i="6"/>
  <c r="AA266" i="6"/>
  <c r="AA267" i="6"/>
  <c r="AA268" i="6"/>
  <c r="AA269" i="6"/>
  <c r="AA270" i="6"/>
  <c r="AA271" i="6"/>
  <c r="AA232" i="6"/>
  <c r="AA192" i="6"/>
  <c r="AA193" i="6"/>
  <c r="AA194" i="6"/>
  <c r="AA195" i="6"/>
  <c r="AA196" i="6"/>
  <c r="AA197" i="6"/>
  <c r="AA102" i="6"/>
  <c r="AA76" i="6"/>
  <c r="AA77" i="6"/>
  <c r="AA78" i="6"/>
  <c r="AA79" i="6"/>
  <c r="AA103" i="6"/>
  <c r="AA104" i="6"/>
  <c r="AA105" i="6"/>
  <c r="AA106" i="6"/>
  <c r="AA107" i="6"/>
  <c r="AA80" i="6"/>
  <c r="AA108" i="6"/>
  <c r="AA109" i="6"/>
  <c r="AA110" i="6"/>
  <c r="AA111" i="6"/>
  <c r="AA122" i="6"/>
  <c r="AA123" i="6"/>
  <c r="AA124" i="6"/>
  <c r="AA125" i="6"/>
  <c r="AA81" i="6"/>
  <c r="AA126" i="6"/>
  <c r="AA127" i="6"/>
  <c r="AA128" i="6"/>
  <c r="AA129" i="6"/>
  <c r="AA130" i="6"/>
  <c r="AA131" i="6"/>
  <c r="AA132" i="6"/>
  <c r="AA82" i="6"/>
  <c r="AA83" i="6"/>
  <c r="AA84" i="6"/>
  <c r="AA85" i="6"/>
  <c r="AA86" i="6"/>
  <c r="AA87" i="6"/>
  <c r="AA88" i="6"/>
  <c r="Z2" i="6"/>
  <c r="Z3" i="6"/>
  <c r="Z7" i="6"/>
  <c r="Z12" i="6"/>
  <c r="Z24" i="6"/>
  <c r="Z37" i="6"/>
  <c r="Z52" i="6"/>
  <c r="Z53" i="6"/>
  <c r="Z133" i="6"/>
  <c r="Z146" i="6"/>
  <c r="Z198" i="6"/>
  <c r="Z4" i="6"/>
  <c r="Z5" i="6"/>
  <c r="Z8" i="6"/>
  <c r="Z13" i="6"/>
  <c r="Z25" i="6"/>
  <c r="Z38" i="6"/>
  <c r="Z54" i="6"/>
  <c r="Z55" i="6"/>
  <c r="Z134" i="6"/>
  <c r="Z147" i="6"/>
  <c r="Z199" i="6"/>
  <c r="Z9" i="6"/>
  <c r="Z14" i="6"/>
  <c r="Z26" i="6"/>
  <c r="Z39" i="6"/>
  <c r="Z56" i="6"/>
  <c r="Z57" i="6"/>
  <c r="Z135" i="6"/>
  <c r="Z148" i="6"/>
  <c r="Z10" i="6"/>
  <c r="Z15" i="6"/>
  <c r="Z27" i="6"/>
  <c r="Z40" i="6"/>
  <c r="Z58" i="6"/>
  <c r="Z59" i="6"/>
  <c r="Z136" i="6"/>
  <c r="Z149" i="6"/>
  <c r="Z11" i="6"/>
  <c r="Z16" i="6"/>
  <c r="Z28" i="6"/>
  <c r="Z41" i="6"/>
  <c r="Z60" i="6"/>
  <c r="Z61" i="6"/>
  <c r="Z137" i="6"/>
  <c r="Z150" i="6"/>
  <c r="Z17" i="6"/>
  <c r="Z29" i="6"/>
  <c r="Z42" i="6"/>
  <c r="Z62" i="6"/>
  <c r="Z89" i="6"/>
  <c r="Z138" i="6"/>
  <c r="Z151" i="6"/>
  <c r="Z90" i="6"/>
  <c r="Z112" i="6"/>
  <c r="Z233" i="6"/>
  <c r="Z18" i="6"/>
  <c r="Z30" i="6"/>
  <c r="Z43" i="6"/>
  <c r="Z63" i="6"/>
  <c r="Z64" i="6"/>
  <c r="Z139" i="6"/>
  <c r="Z152" i="6"/>
  <c r="Z19" i="6"/>
  <c r="Z31" i="6"/>
  <c r="Z44" i="6"/>
  <c r="Z65" i="6"/>
  <c r="Z66" i="6"/>
  <c r="Z140" i="6"/>
  <c r="Z153" i="6"/>
  <c r="Z32" i="6"/>
  <c r="Z45" i="6"/>
  <c r="Z67" i="6"/>
  <c r="Z113" i="6"/>
  <c r="Z154" i="6"/>
  <c r="Z155" i="6"/>
  <c r="Z156" i="6"/>
  <c r="Z157" i="6"/>
  <c r="Z234" i="6"/>
  <c r="Z33" i="6"/>
  <c r="Z46" i="6"/>
  <c r="Z68" i="6"/>
  <c r="Z91" i="6"/>
  <c r="Z158" i="6"/>
  <c r="Z159" i="6"/>
  <c r="Z34" i="6"/>
  <c r="Z92" i="6"/>
  <c r="Z114" i="6"/>
  <c r="Z200" i="6"/>
  <c r="Z69" i="6"/>
  <c r="Z93" i="6"/>
  <c r="Z160" i="6"/>
  <c r="Z161" i="6"/>
  <c r="Z94" i="6"/>
  <c r="Z115" i="6"/>
  <c r="Z201" i="6"/>
  <c r="Z116" i="6"/>
  <c r="Z235" i="6"/>
  <c r="Z70" i="6"/>
  <c r="Z117" i="6"/>
  <c r="Z202" i="6"/>
  <c r="Z236" i="6"/>
  <c r="Z47" i="6"/>
  <c r="Z95" i="6"/>
  <c r="Z203" i="6"/>
  <c r="Z20" i="6"/>
  <c r="Z35" i="6"/>
  <c r="Z96" i="6"/>
  <c r="Z162" i="6"/>
  <c r="Z204" i="6"/>
  <c r="Z48" i="6"/>
  <c r="Z71" i="6"/>
  <c r="Z36" i="6"/>
  <c r="Z49" i="6"/>
  <c r="Z72" i="6"/>
  <c r="Z73" i="6"/>
  <c r="Z163" i="6"/>
  <c r="Z164" i="6"/>
  <c r="Z205" i="6"/>
  <c r="Z21" i="6"/>
  <c r="Z50" i="6"/>
  <c r="Z97" i="6"/>
  <c r="Z141" i="6"/>
  <c r="Z165" i="6"/>
  <c r="Z206" i="6"/>
  <c r="Z74" i="6"/>
  <c r="Z98" i="6"/>
  <c r="Z237" i="6"/>
  <c r="Z99" i="6"/>
  <c r="Z118" i="6"/>
  <c r="Z238" i="6"/>
  <c r="Z119" i="6"/>
  <c r="Z239" i="6"/>
  <c r="Z120" i="6"/>
  <c r="Z240" i="6"/>
  <c r="Z22" i="6"/>
  <c r="Z100" i="6"/>
  <c r="Z207" i="6"/>
  <c r="Z121" i="6"/>
  <c r="Z241" i="6"/>
  <c r="Z6" i="6"/>
  <c r="Z23" i="6"/>
  <c r="Z51" i="6"/>
  <c r="Z75" i="6"/>
  <c r="Z101" i="6"/>
  <c r="Z208" i="6"/>
  <c r="Z242" i="6"/>
  <c r="Z142" i="6"/>
  <c r="Z166" i="6"/>
  <c r="Z167" i="6"/>
  <c r="Z168" i="6"/>
  <c r="Z169" i="6"/>
  <c r="Z170" i="6"/>
  <c r="Z209" i="6"/>
  <c r="Z210" i="6"/>
  <c r="Z243" i="6"/>
  <c r="Z171" i="6"/>
  <c r="Z172" i="6"/>
  <c r="Z173" i="6"/>
  <c r="Z174" i="6"/>
  <c r="Z175" i="6"/>
  <c r="Z176" i="6"/>
  <c r="Z244" i="6"/>
  <c r="Z211" i="6"/>
  <c r="Z245" i="6"/>
  <c r="Z212" i="6"/>
  <c r="Z246" i="6"/>
  <c r="Z177" i="6"/>
  <c r="Z213" i="6"/>
  <c r="Z178" i="6"/>
  <c r="Z214" i="6"/>
  <c r="Z247" i="6"/>
  <c r="Z179" i="6"/>
  <c r="Z215" i="6"/>
  <c r="Z143" i="6"/>
  <c r="Z180" i="6"/>
  <c r="Z144" i="6"/>
  <c r="Z181" i="6"/>
  <c r="Z182" i="6"/>
  <c r="Z216" i="6"/>
  <c r="Z217" i="6"/>
  <c r="Z145" i="6"/>
  <c r="Z218" i="6"/>
  <c r="Z183" i="6"/>
  <c r="Z219" i="6"/>
  <c r="Z184" i="6"/>
  <c r="Z248" i="6"/>
  <c r="Z249" i="6"/>
  <c r="Z250" i="6"/>
  <c r="Z251" i="6"/>
  <c r="Z252" i="6"/>
  <c r="Z253" i="6"/>
  <c r="Z254" i="6"/>
  <c r="Z255" i="6"/>
  <c r="Z256" i="6"/>
  <c r="Z257" i="6"/>
  <c r="Z258" i="6"/>
  <c r="Z259" i="6"/>
  <c r="Z220" i="6"/>
  <c r="Z221" i="6"/>
  <c r="Z260" i="6"/>
  <c r="Z222" i="6"/>
  <c r="Z185" i="6"/>
  <c r="Z186" i="6"/>
  <c r="Z187" i="6"/>
  <c r="Z188" i="6"/>
  <c r="Z189" i="6"/>
  <c r="Z190" i="6"/>
  <c r="Z223" i="6"/>
  <c r="Z224" i="6"/>
  <c r="Z225" i="6"/>
  <c r="Z226" i="6"/>
  <c r="Z227" i="6"/>
  <c r="Z228" i="6"/>
  <c r="Z229" i="6"/>
  <c r="Z230" i="6"/>
  <c r="Z191" i="6"/>
  <c r="Z231" i="6"/>
  <c r="Z261" i="6"/>
  <c r="Z262" i="6"/>
  <c r="Z263" i="6"/>
  <c r="Z264" i="6"/>
  <c r="Z265" i="6"/>
  <c r="Z266" i="6"/>
  <c r="Z267" i="6"/>
  <c r="Z268" i="6"/>
  <c r="Z269" i="6"/>
  <c r="Z270" i="6"/>
  <c r="Z271" i="6"/>
  <c r="Z232" i="6"/>
  <c r="Z192" i="6"/>
  <c r="Z193" i="6"/>
  <c r="Z194" i="6"/>
  <c r="Z195" i="6"/>
  <c r="Z196" i="6"/>
  <c r="Z197" i="6"/>
  <c r="Z102" i="6"/>
  <c r="Z76" i="6"/>
  <c r="Z77" i="6"/>
  <c r="Z78" i="6"/>
  <c r="Z79" i="6"/>
  <c r="Z103" i="6"/>
  <c r="Z104" i="6"/>
  <c r="Z105" i="6"/>
  <c r="Z106" i="6"/>
  <c r="Z107" i="6"/>
  <c r="Z80" i="6"/>
  <c r="Z108" i="6"/>
  <c r="Z109" i="6"/>
  <c r="Z110" i="6"/>
  <c r="Z111" i="6"/>
  <c r="Z122" i="6"/>
  <c r="Z123" i="6"/>
  <c r="Z124" i="6"/>
  <c r="Z125" i="6"/>
  <c r="Z81" i="6"/>
  <c r="Z126" i="6"/>
  <c r="Z127" i="6"/>
  <c r="Z128" i="6"/>
  <c r="Z129" i="6"/>
  <c r="Z130" i="6"/>
  <c r="Z131" i="6"/>
  <c r="Z132" i="6"/>
  <c r="Z82" i="6"/>
  <c r="Z83" i="6"/>
  <c r="Z84" i="6"/>
  <c r="Z85" i="6"/>
  <c r="Z86" i="6"/>
  <c r="Z87" i="6"/>
  <c r="Z88" i="6"/>
  <c r="Y2" i="6"/>
  <c r="Y3" i="6"/>
  <c r="Y7" i="6"/>
  <c r="Y12" i="6"/>
  <c r="Y24" i="6"/>
  <c r="Y37" i="6"/>
  <c r="Y52" i="6"/>
  <c r="Y53" i="6"/>
  <c r="Y133" i="6"/>
  <c r="Y146" i="6"/>
  <c r="Y198" i="6"/>
  <c r="Y4" i="6"/>
  <c r="Y5" i="6"/>
  <c r="Y8" i="6"/>
  <c r="Y13" i="6"/>
  <c r="Y25" i="6"/>
  <c r="Y38" i="6"/>
  <c r="Y54" i="6"/>
  <c r="Y55" i="6"/>
  <c r="Y134" i="6"/>
  <c r="Y147" i="6"/>
  <c r="Y199" i="6"/>
  <c r="Y9" i="6"/>
  <c r="Y14" i="6"/>
  <c r="Y26" i="6"/>
  <c r="Y39" i="6"/>
  <c r="Y56" i="6"/>
  <c r="Y57" i="6"/>
  <c r="Y135" i="6"/>
  <c r="Y148" i="6"/>
  <c r="Y10" i="6"/>
  <c r="Y15" i="6"/>
  <c r="Y27" i="6"/>
  <c r="Y40" i="6"/>
  <c r="Y58" i="6"/>
  <c r="Y59" i="6"/>
  <c r="Y136" i="6"/>
  <c r="Y149" i="6"/>
  <c r="Y11" i="6"/>
  <c r="Y16" i="6"/>
  <c r="Y28" i="6"/>
  <c r="Y41" i="6"/>
  <c r="Y60" i="6"/>
  <c r="Y61" i="6"/>
  <c r="Y137" i="6"/>
  <c r="Y150" i="6"/>
  <c r="Y17" i="6"/>
  <c r="Y29" i="6"/>
  <c r="Y42" i="6"/>
  <c r="Y62" i="6"/>
  <c r="Y89" i="6"/>
  <c r="Y138" i="6"/>
  <c r="Y151" i="6"/>
  <c r="Y90" i="6"/>
  <c r="Y112" i="6"/>
  <c r="Y233" i="6"/>
  <c r="Y18" i="6"/>
  <c r="Y30" i="6"/>
  <c r="Y43" i="6"/>
  <c r="Y63" i="6"/>
  <c r="Y64" i="6"/>
  <c r="Y139" i="6"/>
  <c r="Y152" i="6"/>
  <c r="Y19" i="6"/>
  <c r="Y31" i="6"/>
  <c r="Y44" i="6"/>
  <c r="Y65" i="6"/>
  <c r="Y66" i="6"/>
  <c r="Y140" i="6"/>
  <c r="Y153" i="6"/>
  <c r="Y32" i="6"/>
  <c r="Y45" i="6"/>
  <c r="Y67" i="6"/>
  <c r="Y113" i="6"/>
  <c r="Y154" i="6"/>
  <c r="Y155" i="6"/>
  <c r="Y156" i="6"/>
  <c r="Y157" i="6"/>
  <c r="Y234" i="6"/>
  <c r="Y33" i="6"/>
  <c r="Y46" i="6"/>
  <c r="Y68" i="6"/>
  <c r="Y91" i="6"/>
  <c r="Y158" i="6"/>
  <c r="Y159" i="6"/>
  <c r="Y34" i="6"/>
  <c r="Y92" i="6"/>
  <c r="Y114" i="6"/>
  <c r="Y200" i="6"/>
  <c r="Y69" i="6"/>
  <c r="Y93" i="6"/>
  <c r="Y160" i="6"/>
  <c r="Y161" i="6"/>
  <c r="Y94" i="6"/>
  <c r="Y115" i="6"/>
  <c r="Y201" i="6"/>
  <c r="Y116" i="6"/>
  <c r="Y235" i="6"/>
  <c r="Y70" i="6"/>
  <c r="Y117" i="6"/>
  <c r="Y202" i="6"/>
  <c r="Y236" i="6"/>
  <c r="Y47" i="6"/>
  <c r="Y95" i="6"/>
  <c r="Y203" i="6"/>
  <c r="Y20" i="6"/>
  <c r="Y35" i="6"/>
  <c r="Y96" i="6"/>
  <c r="Y162" i="6"/>
  <c r="Y204" i="6"/>
  <c r="Y48" i="6"/>
  <c r="Y71" i="6"/>
  <c r="Y36" i="6"/>
  <c r="Y49" i="6"/>
  <c r="Y72" i="6"/>
  <c r="Y73" i="6"/>
  <c r="Y163" i="6"/>
  <c r="Y164" i="6"/>
  <c r="Y205" i="6"/>
  <c r="Y21" i="6"/>
  <c r="Y50" i="6"/>
  <c r="Y97" i="6"/>
  <c r="Y141" i="6"/>
  <c r="Y165" i="6"/>
  <c r="Y206" i="6"/>
  <c r="Y74" i="6"/>
  <c r="Y98" i="6"/>
  <c r="Y237" i="6"/>
  <c r="Y99" i="6"/>
  <c r="Y118" i="6"/>
  <c r="Y238" i="6"/>
  <c r="Y119" i="6"/>
  <c r="Y239" i="6"/>
  <c r="Y120" i="6"/>
  <c r="Y240" i="6"/>
  <c r="Y22" i="6"/>
  <c r="Y100" i="6"/>
  <c r="Y207" i="6"/>
  <c r="Y121" i="6"/>
  <c r="Y241" i="6"/>
  <c r="Y6" i="6"/>
  <c r="Y23" i="6"/>
  <c r="Y51" i="6"/>
  <c r="Y75" i="6"/>
  <c r="Y101" i="6"/>
  <c r="Y208" i="6"/>
  <c r="Y242" i="6"/>
  <c r="Y142" i="6"/>
  <c r="Y166" i="6"/>
  <c r="Y167" i="6"/>
  <c r="Y168" i="6"/>
  <c r="Y169" i="6"/>
  <c r="Y170" i="6"/>
  <c r="Y209" i="6"/>
  <c r="Y210" i="6"/>
  <c r="Y243" i="6"/>
  <c r="Y171" i="6"/>
  <c r="Y172" i="6"/>
  <c r="Y173" i="6"/>
  <c r="Y174" i="6"/>
  <c r="Y175" i="6"/>
  <c r="Y176" i="6"/>
  <c r="Y244" i="6"/>
  <c r="Y211" i="6"/>
  <c r="Y245" i="6"/>
  <c r="Y212" i="6"/>
  <c r="Y246" i="6"/>
  <c r="Y177" i="6"/>
  <c r="Y213" i="6"/>
  <c r="Y178" i="6"/>
  <c r="Y214" i="6"/>
  <c r="Y247" i="6"/>
  <c r="Y179" i="6"/>
  <c r="Y215" i="6"/>
  <c r="Y143" i="6"/>
  <c r="Y180" i="6"/>
  <c r="Y144" i="6"/>
  <c r="Y181" i="6"/>
  <c r="Y182" i="6"/>
  <c r="Y216" i="6"/>
  <c r="Y217" i="6"/>
  <c r="Y145" i="6"/>
  <c r="Y218" i="6"/>
  <c r="Y183" i="6"/>
  <c r="Y219" i="6"/>
  <c r="Y184" i="6"/>
  <c r="Y248" i="6"/>
  <c r="Y249" i="6"/>
  <c r="Y250" i="6"/>
  <c r="Y252" i="6"/>
  <c r="Y253" i="6"/>
  <c r="Y254" i="6"/>
  <c r="Y255" i="6"/>
  <c r="Y256" i="6"/>
  <c r="Y257" i="6"/>
  <c r="Y258" i="6"/>
  <c r="Y259" i="6"/>
  <c r="Y220" i="6"/>
  <c r="Y221" i="6"/>
  <c r="Y260" i="6"/>
  <c r="Y222" i="6"/>
  <c r="Y185" i="6"/>
  <c r="Y186" i="6"/>
  <c r="Y187" i="6"/>
  <c r="Y188" i="6"/>
  <c r="Y189" i="6"/>
  <c r="Y190" i="6"/>
  <c r="Y223" i="6"/>
  <c r="Y224" i="6"/>
  <c r="Y225" i="6"/>
  <c r="Y226" i="6"/>
  <c r="Y227" i="6"/>
  <c r="Y228" i="6"/>
  <c r="Y229" i="6"/>
  <c r="Y230" i="6"/>
  <c r="Y191" i="6"/>
  <c r="Y231" i="6"/>
  <c r="Y261" i="6"/>
  <c r="Y262" i="6"/>
  <c r="Y263" i="6"/>
  <c r="Y264" i="6"/>
  <c r="Y265" i="6"/>
  <c r="Y266" i="6"/>
  <c r="Y267" i="6"/>
  <c r="Y268" i="6"/>
  <c r="Y269" i="6"/>
  <c r="Y270" i="6"/>
  <c r="Y271" i="6"/>
  <c r="Y232" i="6"/>
  <c r="Y192" i="6"/>
  <c r="Y193" i="6"/>
  <c r="Y194" i="6"/>
  <c r="Y195" i="6"/>
  <c r="Y196" i="6"/>
  <c r="Y197" i="6"/>
  <c r="Y102" i="6"/>
  <c r="Y76" i="6"/>
  <c r="Y77" i="6"/>
  <c r="Y78" i="6"/>
  <c r="Y79" i="6"/>
  <c r="Y103" i="6"/>
  <c r="Y104" i="6"/>
  <c r="Y105" i="6"/>
  <c r="Y106" i="6"/>
  <c r="Y107" i="6"/>
  <c r="Y80" i="6"/>
  <c r="Y108" i="6"/>
  <c r="Y109" i="6"/>
  <c r="Y110" i="6"/>
  <c r="Y111" i="6"/>
  <c r="Y122" i="6"/>
  <c r="Y123" i="6"/>
  <c r="Y124" i="6"/>
  <c r="Y125" i="6"/>
  <c r="Y81" i="6"/>
  <c r="Y126" i="6"/>
  <c r="Y127" i="6"/>
  <c r="Y128" i="6"/>
  <c r="Y129" i="6"/>
  <c r="Y130" i="6"/>
  <c r="Y131" i="6"/>
  <c r="Y132" i="6"/>
  <c r="Y82" i="6"/>
  <c r="Y83" i="6"/>
  <c r="Y84" i="6"/>
  <c r="Y85" i="6"/>
  <c r="Y86" i="6"/>
  <c r="Y87" i="6"/>
  <c r="Y88" i="6"/>
  <c r="X2" i="6"/>
  <c r="X3" i="6"/>
  <c r="X7" i="6"/>
  <c r="X12" i="6"/>
  <c r="X24" i="6"/>
  <c r="X37" i="6"/>
  <c r="X52" i="6"/>
  <c r="X53" i="6"/>
  <c r="X133" i="6"/>
  <c r="X146" i="6"/>
  <c r="X198" i="6"/>
  <c r="X4" i="6"/>
  <c r="X5" i="6"/>
  <c r="X8" i="6"/>
  <c r="X13" i="6"/>
  <c r="X25" i="6"/>
  <c r="X38" i="6"/>
  <c r="X54" i="6"/>
  <c r="X55" i="6"/>
  <c r="X134" i="6"/>
  <c r="X147" i="6"/>
  <c r="X199" i="6"/>
  <c r="X9" i="6"/>
  <c r="X14" i="6"/>
  <c r="X26" i="6"/>
  <c r="X39" i="6"/>
  <c r="X56" i="6"/>
  <c r="X57" i="6"/>
  <c r="X135" i="6"/>
  <c r="X148" i="6"/>
  <c r="X10" i="6"/>
  <c r="X15" i="6"/>
  <c r="X27" i="6"/>
  <c r="X40" i="6"/>
  <c r="X58" i="6"/>
  <c r="X59" i="6"/>
  <c r="X136" i="6"/>
  <c r="X149" i="6"/>
  <c r="X11" i="6"/>
  <c r="X16" i="6"/>
  <c r="X28" i="6"/>
  <c r="X41" i="6"/>
  <c r="X60" i="6"/>
  <c r="X61" i="6"/>
  <c r="X137" i="6"/>
  <c r="X150" i="6"/>
  <c r="X17" i="6"/>
  <c r="X29" i="6"/>
  <c r="X42" i="6"/>
  <c r="X62" i="6"/>
  <c r="X89" i="6"/>
  <c r="X138" i="6"/>
  <c r="X151" i="6"/>
  <c r="X90" i="6"/>
  <c r="X112" i="6"/>
  <c r="X233" i="6"/>
  <c r="X18" i="6"/>
  <c r="X30" i="6"/>
  <c r="X43" i="6"/>
  <c r="X63" i="6"/>
  <c r="X64" i="6"/>
  <c r="X139" i="6"/>
  <c r="X152" i="6"/>
  <c r="X19" i="6"/>
  <c r="X31" i="6"/>
  <c r="X44" i="6"/>
  <c r="X65" i="6"/>
  <c r="X66" i="6"/>
  <c r="X140" i="6"/>
  <c r="X153" i="6"/>
  <c r="X32" i="6"/>
  <c r="X45" i="6"/>
  <c r="X67" i="6"/>
  <c r="X113" i="6"/>
  <c r="X154" i="6"/>
  <c r="X155" i="6"/>
  <c r="X156" i="6"/>
  <c r="X157" i="6"/>
  <c r="X234" i="6"/>
  <c r="X33" i="6"/>
  <c r="X46" i="6"/>
  <c r="X68" i="6"/>
  <c r="X91" i="6"/>
  <c r="X158" i="6"/>
  <c r="X159" i="6"/>
  <c r="X34" i="6"/>
  <c r="X92" i="6"/>
  <c r="X114" i="6"/>
  <c r="X200" i="6"/>
  <c r="X69" i="6"/>
  <c r="X93" i="6"/>
  <c r="X160" i="6"/>
  <c r="X161" i="6"/>
  <c r="X94" i="6"/>
  <c r="X115" i="6"/>
  <c r="X201" i="6"/>
  <c r="X116" i="6"/>
  <c r="X235" i="6"/>
  <c r="X70" i="6"/>
  <c r="X117" i="6"/>
  <c r="X202" i="6"/>
  <c r="X236" i="6"/>
  <c r="X47" i="6"/>
  <c r="X95" i="6"/>
  <c r="X203" i="6"/>
  <c r="X20" i="6"/>
  <c r="X35" i="6"/>
  <c r="X96" i="6"/>
  <c r="X162" i="6"/>
  <c r="X204" i="6"/>
  <c r="X48" i="6"/>
  <c r="X71" i="6"/>
  <c r="X36" i="6"/>
  <c r="X49" i="6"/>
  <c r="X72" i="6"/>
  <c r="X73" i="6"/>
  <c r="X163" i="6"/>
  <c r="X164" i="6"/>
  <c r="X205" i="6"/>
  <c r="X21" i="6"/>
  <c r="X50" i="6"/>
  <c r="X97" i="6"/>
  <c r="X141" i="6"/>
  <c r="X165" i="6"/>
  <c r="X206" i="6"/>
  <c r="X74" i="6"/>
  <c r="X98" i="6"/>
  <c r="X237" i="6"/>
  <c r="X99" i="6"/>
  <c r="X118" i="6"/>
  <c r="X238" i="6"/>
  <c r="X119" i="6"/>
  <c r="X239" i="6"/>
  <c r="X120" i="6"/>
  <c r="X240" i="6"/>
  <c r="X22" i="6"/>
  <c r="X100" i="6"/>
  <c r="X207" i="6"/>
  <c r="X121" i="6"/>
  <c r="X241" i="6"/>
  <c r="X6" i="6"/>
  <c r="X23" i="6"/>
  <c r="X51" i="6"/>
  <c r="X75" i="6"/>
  <c r="X101" i="6"/>
  <c r="X208" i="6"/>
  <c r="X242" i="6"/>
  <c r="X142" i="6"/>
  <c r="X166" i="6"/>
  <c r="X167" i="6"/>
  <c r="X168" i="6"/>
  <c r="X169" i="6"/>
  <c r="X170" i="6"/>
  <c r="X209" i="6"/>
  <c r="X210" i="6"/>
  <c r="X243" i="6"/>
  <c r="X171" i="6"/>
  <c r="X172" i="6"/>
  <c r="X173" i="6"/>
  <c r="X174" i="6"/>
  <c r="X175" i="6"/>
  <c r="X176" i="6"/>
  <c r="X244" i="6"/>
  <c r="X211" i="6"/>
  <c r="X245" i="6"/>
  <c r="X212" i="6"/>
  <c r="X246" i="6"/>
  <c r="X177" i="6"/>
  <c r="X213" i="6"/>
  <c r="X178" i="6"/>
  <c r="X214" i="6"/>
  <c r="X247" i="6"/>
  <c r="X179" i="6"/>
  <c r="X215" i="6"/>
  <c r="X143" i="6"/>
  <c r="X180" i="6"/>
  <c r="X144" i="6"/>
  <c r="X181" i="6"/>
  <c r="X182" i="6"/>
  <c r="X216" i="6"/>
  <c r="X217" i="6"/>
  <c r="X218" i="6"/>
  <c r="X183" i="6"/>
  <c r="X219" i="6"/>
  <c r="X184" i="6"/>
  <c r="X248" i="6"/>
  <c r="X249" i="6"/>
  <c r="X250" i="6"/>
  <c r="X220" i="6"/>
  <c r="X221" i="6"/>
  <c r="X260" i="6"/>
  <c r="X222" i="6"/>
  <c r="X185" i="6"/>
  <c r="X186" i="6"/>
  <c r="X187" i="6"/>
  <c r="X188" i="6"/>
  <c r="X189" i="6"/>
  <c r="X190" i="6"/>
  <c r="X223" i="6"/>
  <c r="X224" i="6"/>
  <c r="X225" i="6"/>
  <c r="X226" i="6"/>
  <c r="X227" i="6"/>
  <c r="X228" i="6"/>
  <c r="X229" i="6"/>
  <c r="X230" i="6"/>
  <c r="X191" i="6"/>
  <c r="X231" i="6"/>
  <c r="X261" i="6"/>
  <c r="X262" i="6"/>
  <c r="X263" i="6"/>
  <c r="X264" i="6"/>
  <c r="X265" i="6"/>
  <c r="X266" i="6"/>
  <c r="X267" i="6"/>
  <c r="X268" i="6"/>
  <c r="X269" i="6"/>
  <c r="X270" i="6"/>
  <c r="X271" i="6"/>
  <c r="X232" i="6"/>
  <c r="X192" i="6"/>
  <c r="X193" i="6"/>
  <c r="X194" i="6"/>
  <c r="X195" i="6"/>
  <c r="X196" i="6"/>
  <c r="X197" i="6"/>
  <c r="X102" i="6"/>
  <c r="X76" i="6"/>
  <c r="X77" i="6"/>
  <c r="X78" i="6"/>
  <c r="X79" i="6"/>
  <c r="X103" i="6"/>
  <c r="X104" i="6"/>
  <c r="X105" i="6"/>
  <c r="X106" i="6"/>
  <c r="X107" i="6"/>
  <c r="X80" i="6"/>
  <c r="X108" i="6"/>
  <c r="X109" i="6"/>
  <c r="X110" i="6"/>
  <c r="X111" i="6"/>
  <c r="X122" i="6"/>
  <c r="X123" i="6"/>
  <c r="X124" i="6"/>
  <c r="X125" i="6"/>
  <c r="X81" i="6"/>
  <c r="X126" i="6"/>
  <c r="X127" i="6"/>
  <c r="X128" i="6"/>
  <c r="X129" i="6"/>
  <c r="X130" i="6"/>
  <c r="X131" i="6"/>
  <c r="X132" i="6"/>
  <c r="X82" i="6"/>
  <c r="X83" i="6"/>
  <c r="X84" i="6"/>
  <c r="X85" i="6"/>
  <c r="X86" i="6"/>
  <c r="X87" i="6"/>
  <c r="X88" i="6"/>
  <c r="W2" i="6"/>
  <c r="W3" i="6"/>
  <c r="W7" i="6"/>
  <c r="W12" i="6"/>
  <c r="W24" i="6"/>
  <c r="W37" i="6"/>
  <c r="W52" i="6"/>
  <c r="W53" i="6"/>
  <c r="W133" i="6"/>
  <c r="W146" i="6"/>
  <c r="W198" i="6"/>
  <c r="W4" i="6"/>
  <c r="W5" i="6"/>
  <c r="W8" i="6"/>
  <c r="W13" i="6"/>
  <c r="W25" i="6"/>
  <c r="W38" i="6"/>
  <c r="W54" i="6"/>
  <c r="W55" i="6"/>
  <c r="W134" i="6"/>
  <c r="W147" i="6"/>
  <c r="W199" i="6"/>
  <c r="W9" i="6"/>
  <c r="W14" i="6"/>
  <c r="W26" i="6"/>
  <c r="W39" i="6"/>
  <c r="W56" i="6"/>
  <c r="W57" i="6"/>
  <c r="W135" i="6"/>
  <c r="W148" i="6"/>
  <c r="W10" i="6"/>
  <c r="W15" i="6"/>
  <c r="W27" i="6"/>
  <c r="W40" i="6"/>
  <c r="W58" i="6"/>
  <c r="W59" i="6"/>
  <c r="W136" i="6"/>
  <c r="W149" i="6"/>
  <c r="W11" i="6"/>
  <c r="W16" i="6"/>
  <c r="W28" i="6"/>
  <c r="W41" i="6"/>
  <c r="W60" i="6"/>
  <c r="W61" i="6"/>
  <c r="W137" i="6"/>
  <c r="W150" i="6"/>
  <c r="W17" i="6"/>
  <c r="W29" i="6"/>
  <c r="W42" i="6"/>
  <c r="W62" i="6"/>
  <c r="W89" i="6"/>
  <c r="W138" i="6"/>
  <c r="W151" i="6"/>
  <c r="W90" i="6"/>
  <c r="W112" i="6"/>
  <c r="W233" i="6"/>
  <c r="W18" i="6"/>
  <c r="W30" i="6"/>
  <c r="W43" i="6"/>
  <c r="W63" i="6"/>
  <c r="W64" i="6"/>
  <c r="W139" i="6"/>
  <c r="W152" i="6"/>
  <c r="W19" i="6"/>
  <c r="W31" i="6"/>
  <c r="W44" i="6"/>
  <c r="W65" i="6"/>
  <c r="W66" i="6"/>
  <c r="W140" i="6"/>
  <c r="W153" i="6"/>
  <c r="W32" i="6"/>
  <c r="W45" i="6"/>
  <c r="W67" i="6"/>
  <c r="W113" i="6"/>
  <c r="W154" i="6"/>
  <c r="W155" i="6"/>
  <c r="W156" i="6"/>
  <c r="W157" i="6"/>
  <c r="W234" i="6"/>
  <c r="W33" i="6"/>
  <c r="W46" i="6"/>
  <c r="W68" i="6"/>
  <c r="W91" i="6"/>
  <c r="W158" i="6"/>
  <c r="W159" i="6"/>
  <c r="W34" i="6"/>
  <c r="W92" i="6"/>
  <c r="W114" i="6"/>
  <c r="W200" i="6"/>
  <c r="W69" i="6"/>
  <c r="W93" i="6"/>
  <c r="W160" i="6"/>
  <c r="W161" i="6"/>
  <c r="W94" i="6"/>
  <c r="W115" i="6"/>
  <c r="W201" i="6"/>
  <c r="W116" i="6"/>
  <c r="W235" i="6"/>
  <c r="W70" i="6"/>
  <c r="W117" i="6"/>
  <c r="W202" i="6"/>
  <c r="W236" i="6"/>
  <c r="W47" i="6"/>
  <c r="W95" i="6"/>
  <c r="W203" i="6"/>
  <c r="W20" i="6"/>
  <c r="W35" i="6"/>
  <c r="W96" i="6"/>
  <c r="W162" i="6"/>
  <c r="W204" i="6"/>
  <c r="W48" i="6"/>
  <c r="W71" i="6"/>
  <c r="W36" i="6"/>
  <c r="W49" i="6"/>
  <c r="W72" i="6"/>
  <c r="W73" i="6"/>
  <c r="W163" i="6"/>
  <c r="W164" i="6"/>
  <c r="W205" i="6"/>
  <c r="W21" i="6"/>
  <c r="W50" i="6"/>
  <c r="W97" i="6"/>
  <c r="W141" i="6"/>
  <c r="W165" i="6"/>
  <c r="W206" i="6"/>
  <c r="W74" i="6"/>
  <c r="W98" i="6"/>
  <c r="W237" i="6"/>
  <c r="W99" i="6"/>
  <c r="W118" i="6"/>
  <c r="W238" i="6"/>
  <c r="W119" i="6"/>
  <c r="W239" i="6"/>
  <c r="W120" i="6"/>
  <c r="W240" i="6"/>
  <c r="W22" i="6"/>
  <c r="W100" i="6"/>
  <c r="W207" i="6"/>
  <c r="W121" i="6"/>
  <c r="W241" i="6"/>
  <c r="W6" i="6"/>
  <c r="W23" i="6"/>
  <c r="W51" i="6"/>
  <c r="W75" i="6"/>
  <c r="W208" i="6"/>
  <c r="W242" i="6"/>
  <c r="W142" i="6"/>
  <c r="W166" i="6"/>
  <c r="W167" i="6"/>
  <c r="W168" i="6"/>
  <c r="W169" i="6"/>
  <c r="W170" i="6"/>
  <c r="W209" i="6"/>
  <c r="W210" i="6"/>
  <c r="W243" i="6"/>
  <c r="W171" i="6"/>
  <c r="W172" i="6"/>
  <c r="W173" i="6"/>
  <c r="W174" i="6"/>
  <c r="W175" i="6"/>
  <c r="W176" i="6"/>
  <c r="W244" i="6"/>
  <c r="W211" i="6"/>
  <c r="W245" i="6"/>
  <c r="W212" i="6"/>
  <c r="W246" i="6"/>
  <c r="W177" i="6"/>
  <c r="W213" i="6"/>
  <c r="W178" i="6"/>
  <c r="W214" i="6"/>
  <c r="W247" i="6"/>
  <c r="W179" i="6"/>
  <c r="W215" i="6"/>
  <c r="W143" i="6"/>
  <c r="W180" i="6"/>
  <c r="W144" i="6"/>
  <c r="W181" i="6"/>
  <c r="W182" i="6"/>
  <c r="W216" i="6"/>
  <c r="W217" i="6"/>
  <c r="W218" i="6"/>
  <c r="W183" i="6"/>
  <c r="W219" i="6"/>
  <c r="W184" i="6"/>
  <c r="W248" i="6"/>
  <c r="W249" i="6"/>
  <c r="W250" i="6"/>
  <c r="W220" i="6"/>
  <c r="W221" i="6"/>
  <c r="W260" i="6"/>
  <c r="W222" i="6"/>
  <c r="W185" i="6"/>
  <c r="W186" i="6"/>
  <c r="W187" i="6"/>
  <c r="W188" i="6"/>
  <c r="W189" i="6"/>
  <c r="W190" i="6"/>
  <c r="W223" i="6"/>
  <c r="W224" i="6"/>
  <c r="W225" i="6"/>
  <c r="W226" i="6"/>
  <c r="W227" i="6"/>
  <c r="W228" i="6"/>
  <c r="W229" i="6"/>
  <c r="W230" i="6"/>
  <c r="W191" i="6"/>
  <c r="W231" i="6"/>
  <c r="W261" i="6"/>
  <c r="W262" i="6"/>
  <c r="W263" i="6"/>
  <c r="W264" i="6"/>
  <c r="W265" i="6"/>
  <c r="W266" i="6"/>
  <c r="W267" i="6"/>
  <c r="W268" i="6"/>
  <c r="W269" i="6"/>
  <c r="W270" i="6"/>
  <c r="W271" i="6"/>
  <c r="W232" i="6"/>
  <c r="W192" i="6"/>
  <c r="W193" i="6"/>
  <c r="W194" i="6"/>
  <c r="W195" i="6"/>
  <c r="W196" i="6"/>
  <c r="W197" i="6"/>
  <c r="W102" i="6"/>
  <c r="W76" i="6"/>
  <c r="W77" i="6"/>
  <c r="W78" i="6"/>
  <c r="W79" i="6"/>
  <c r="W103" i="6"/>
  <c r="W104" i="6"/>
  <c r="W105" i="6"/>
  <c r="W106" i="6"/>
  <c r="W107" i="6"/>
  <c r="W80" i="6"/>
  <c r="W108" i="6"/>
  <c r="W109" i="6"/>
  <c r="W110" i="6"/>
  <c r="W111" i="6"/>
  <c r="W122" i="6"/>
  <c r="W123" i="6"/>
  <c r="W124" i="6"/>
  <c r="W125" i="6"/>
  <c r="W81" i="6"/>
  <c r="W126" i="6"/>
  <c r="W127" i="6"/>
  <c r="W128" i="6"/>
  <c r="W129" i="6"/>
  <c r="W130" i="6"/>
  <c r="W131" i="6"/>
  <c r="W132" i="6"/>
  <c r="W82" i="6"/>
  <c r="W83" i="6"/>
  <c r="W84" i="6"/>
  <c r="W85" i="6"/>
  <c r="W86" i="6"/>
  <c r="W87" i="6"/>
  <c r="W88" i="6"/>
  <c r="V2" i="6"/>
  <c r="V3" i="6"/>
  <c r="V7" i="6"/>
  <c r="V12" i="6"/>
  <c r="V24" i="6"/>
  <c r="V37" i="6"/>
  <c r="V52" i="6"/>
  <c r="V53" i="6"/>
  <c r="V133" i="6"/>
  <c r="V146" i="6"/>
  <c r="V198" i="6"/>
  <c r="V4" i="6"/>
  <c r="V5" i="6"/>
  <c r="V8" i="6"/>
  <c r="V13" i="6"/>
  <c r="V25" i="6"/>
  <c r="V38" i="6"/>
  <c r="V54" i="6"/>
  <c r="V55" i="6"/>
  <c r="V134" i="6"/>
  <c r="V147" i="6"/>
  <c r="V199" i="6"/>
  <c r="V9" i="6"/>
  <c r="V14" i="6"/>
  <c r="V26" i="6"/>
  <c r="V39" i="6"/>
  <c r="V56" i="6"/>
  <c r="V57" i="6"/>
  <c r="V135" i="6"/>
  <c r="V148" i="6"/>
  <c r="V10" i="6"/>
  <c r="V15" i="6"/>
  <c r="V27" i="6"/>
  <c r="V40" i="6"/>
  <c r="V58" i="6"/>
  <c r="V59" i="6"/>
  <c r="V136" i="6"/>
  <c r="V149" i="6"/>
  <c r="V11" i="6"/>
  <c r="V16" i="6"/>
  <c r="V28" i="6"/>
  <c r="V41" i="6"/>
  <c r="V60" i="6"/>
  <c r="V61" i="6"/>
  <c r="V137" i="6"/>
  <c r="V150" i="6"/>
  <c r="V17" i="6"/>
  <c r="V29" i="6"/>
  <c r="V42" i="6"/>
  <c r="V62" i="6"/>
  <c r="V89" i="6"/>
  <c r="V138" i="6"/>
  <c r="V151" i="6"/>
  <c r="V90" i="6"/>
  <c r="V112" i="6"/>
  <c r="V233" i="6"/>
  <c r="V18" i="6"/>
  <c r="V30" i="6"/>
  <c r="V43" i="6"/>
  <c r="V63" i="6"/>
  <c r="V64" i="6"/>
  <c r="V139" i="6"/>
  <c r="V152" i="6"/>
  <c r="V19" i="6"/>
  <c r="V31" i="6"/>
  <c r="V44" i="6"/>
  <c r="V65" i="6"/>
  <c r="V66" i="6"/>
  <c r="V140" i="6"/>
  <c r="V153" i="6"/>
  <c r="V32" i="6"/>
  <c r="V45" i="6"/>
  <c r="V67" i="6"/>
  <c r="V113" i="6"/>
  <c r="V154" i="6"/>
  <c r="V155" i="6"/>
  <c r="V156" i="6"/>
  <c r="V157" i="6"/>
  <c r="V234" i="6"/>
  <c r="V33" i="6"/>
  <c r="V46" i="6"/>
  <c r="V68" i="6"/>
  <c r="V91" i="6"/>
  <c r="V158" i="6"/>
  <c r="V159" i="6"/>
  <c r="V34" i="6"/>
  <c r="V92" i="6"/>
  <c r="V114" i="6"/>
  <c r="V200" i="6"/>
  <c r="V69" i="6"/>
  <c r="V93" i="6"/>
  <c r="V160" i="6"/>
  <c r="V161" i="6"/>
  <c r="V94" i="6"/>
  <c r="V115" i="6"/>
  <c r="V201" i="6"/>
  <c r="V116" i="6"/>
  <c r="V235" i="6"/>
  <c r="V70" i="6"/>
  <c r="V117" i="6"/>
  <c r="V202" i="6"/>
  <c r="V236" i="6"/>
  <c r="V47" i="6"/>
  <c r="V95" i="6"/>
  <c r="V203" i="6"/>
  <c r="V20" i="6"/>
  <c r="V35" i="6"/>
  <c r="V96" i="6"/>
  <c r="V162" i="6"/>
  <c r="V204" i="6"/>
  <c r="V48" i="6"/>
  <c r="V71" i="6"/>
  <c r="V36" i="6"/>
  <c r="V49" i="6"/>
  <c r="V72" i="6"/>
  <c r="V73" i="6"/>
  <c r="V163" i="6"/>
  <c r="V164" i="6"/>
  <c r="V205" i="6"/>
  <c r="V21" i="6"/>
  <c r="V50" i="6"/>
  <c r="V97" i="6"/>
  <c r="V141" i="6"/>
  <c r="V165" i="6"/>
  <c r="V206" i="6"/>
  <c r="V74" i="6"/>
  <c r="V98" i="6"/>
  <c r="V237" i="6"/>
  <c r="V99" i="6"/>
  <c r="V118" i="6"/>
  <c r="V238" i="6"/>
  <c r="V119" i="6"/>
  <c r="V239" i="6"/>
  <c r="V120" i="6"/>
  <c r="V240" i="6"/>
  <c r="V22" i="6"/>
  <c r="V100" i="6"/>
  <c r="V207" i="6"/>
  <c r="V121" i="6"/>
  <c r="V241" i="6"/>
  <c r="V6" i="6"/>
  <c r="V23" i="6"/>
  <c r="V51" i="6"/>
  <c r="V75" i="6"/>
  <c r="V101" i="6"/>
  <c r="V208" i="6"/>
  <c r="V242" i="6"/>
  <c r="V142" i="6"/>
  <c r="V166" i="6"/>
  <c r="V167" i="6"/>
  <c r="V168" i="6"/>
  <c r="V169" i="6"/>
  <c r="V170" i="6"/>
  <c r="V209" i="6"/>
  <c r="V210" i="6"/>
  <c r="V243" i="6"/>
  <c r="V171" i="6"/>
  <c r="V172" i="6"/>
  <c r="V173" i="6"/>
  <c r="V174" i="6"/>
  <c r="V175" i="6"/>
  <c r="V176" i="6"/>
  <c r="V244" i="6"/>
  <c r="V211" i="6"/>
  <c r="V245" i="6"/>
  <c r="V212" i="6"/>
  <c r="V246" i="6"/>
  <c r="V177" i="6"/>
  <c r="V213" i="6"/>
  <c r="V178" i="6"/>
  <c r="V214" i="6"/>
  <c r="V247" i="6"/>
  <c r="V179" i="6"/>
  <c r="V215" i="6"/>
  <c r="V143" i="6"/>
  <c r="V180" i="6"/>
  <c r="V144" i="6"/>
  <c r="V181" i="6"/>
  <c r="V182" i="6"/>
  <c r="V216" i="6"/>
  <c r="V217" i="6"/>
  <c r="V145" i="6"/>
  <c r="V218" i="6"/>
  <c r="V183" i="6"/>
  <c r="V219" i="6"/>
  <c r="V184" i="6"/>
  <c r="V248" i="6"/>
  <c r="V249" i="6"/>
  <c r="V250" i="6"/>
  <c r="V251" i="6"/>
  <c r="V252" i="6"/>
  <c r="V253" i="6"/>
  <c r="V254" i="6"/>
  <c r="V255" i="6"/>
  <c r="V256" i="6"/>
  <c r="V257" i="6"/>
  <c r="V258" i="6"/>
  <c r="V259" i="6"/>
  <c r="V220" i="6"/>
  <c r="V221" i="6"/>
  <c r="V260" i="6"/>
  <c r="V222" i="6"/>
  <c r="V185" i="6"/>
  <c r="V186" i="6"/>
  <c r="V187" i="6"/>
  <c r="V188" i="6"/>
  <c r="V189" i="6"/>
  <c r="V190" i="6"/>
  <c r="V223" i="6"/>
  <c r="V224" i="6"/>
  <c r="V225" i="6"/>
  <c r="V226" i="6"/>
  <c r="V227" i="6"/>
  <c r="V228" i="6"/>
  <c r="V229" i="6"/>
  <c r="V230" i="6"/>
  <c r="V191" i="6"/>
  <c r="V231" i="6"/>
  <c r="V261" i="6"/>
  <c r="V262" i="6"/>
  <c r="V263" i="6"/>
  <c r="V264" i="6"/>
  <c r="V265" i="6"/>
  <c r="V266" i="6"/>
  <c r="V267" i="6"/>
  <c r="V268" i="6"/>
  <c r="V269" i="6"/>
  <c r="V270" i="6"/>
  <c r="V271" i="6"/>
  <c r="V232" i="6"/>
  <c r="V192" i="6"/>
  <c r="V193" i="6"/>
  <c r="V194" i="6"/>
  <c r="V195" i="6"/>
  <c r="V196" i="6"/>
  <c r="V197" i="6"/>
  <c r="V102" i="6"/>
  <c r="V76" i="6"/>
  <c r="V77" i="6"/>
  <c r="V78" i="6"/>
  <c r="V79" i="6"/>
  <c r="V103" i="6"/>
  <c r="V104" i="6"/>
  <c r="V105" i="6"/>
  <c r="V106" i="6"/>
  <c r="V107" i="6"/>
  <c r="V80" i="6"/>
  <c r="V108" i="6"/>
  <c r="V109" i="6"/>
  <c r="V110" i="6"/>
  <c r="V111" i="6"/>
  <c r="V122" i="6"/>
  <c r="V123" i="6"/>
  <c r="V124" i="6"/>
  <c r="V125" i="6"/>
  <c r="V81" i="6"/>
  <c r="V126" i="6"/>
  <c r="V127" i="6"/>
  <c r="V128" i="6"/>
  <c r="V129" i="6"/>
  <c r="V130" i="6"/>
  <c r="V131" i="6"/>
  <c r="V132" i="6"/>
  <c r="V82" i="6"/>
  <c r="V83" i="6"/>
  <c r="V84" i="6"/>
  <c r="V85" i="6"/>
  <c r="V86" i="6"/>
  <c r="V87" i="6"/>
  <c r="V88" i="6"/>
  <c r="U2" i="6"/>
  <c r="U3" i="6"/>
  <c r="U7" i="6"/>
  <c r="U12" i="6"/>
  <c r="U24" i="6"/>
  <c r="U37" i="6"/>
  <c r="U52" i="6"/>
  <c r="U53" i="6"/>
  <c r="U133" i="6"/>
  <c r="U146" i="6"/>
  <c r="U198" i="6"/>
  <c r="U4" i="6"/>
  <c r="U5" i="6"/>
  <c r="U8" i="6"/>
  <c r="U13" i="6"/>
  <c r="U25" i="6"/>
  <c r="U38" i="6"/>
  <c r="U54" i="6"/>
  <c r="U55" i="6"/>
  <c r="U134" i="6"/>
  <c r="U147" i="6"/>
  <c r="U199" i="6"/>
  <c r="U9" i="6"/>
  <c r="U14" i="6"/>
  <c r="U26" i="6"/>
  <c r="U39" i="6"/>
  <c r="U56" i="6"/>
  <c r="U57" i="6"/>
  <c r="U135" i="6"/>
  <c r="U148" i="6"/>
  <c r="U10" i="6"/>
  <c r="U15" i="6"/>
  <c r="U27" i="6"/>
  <c r="U40" i="6"/>
  <c r="U58" i="6"/>
  <c r="U59" i="6"/>
  <c r="U136" i="6"/>
  <c r="U149" i="6"/>
  <c r="U11" i="6"/>
  <c r="U16" i="6"/>
  <c r="U28" i="6"/>
  <c r="U41" i="6"/>
  <c r="U60" i="6"/>
  <c r="U61" i="6"/>
  <c r="U137" i="6"/>
  <c r="U150" i="6"/>
  <c r="U17" i="6"/>
  <c r="U29" i="6"/>
  <c r="U42" i="6"/>
  <c r="U62" i="6"/>
  <c r="U89" i="6"/>
  <c r="U138" i="6"/>
  <c r="U151" i="6"/>
  <c r="U90" i="6"/>
  <c r="U112" i="6"/>
  <c r="U233" i="6"/>
  <c r="U18" i="6"/>
  <c r="U30" i="6"/>
  <c r="U43" i="6"/>
  <c r="U63" i="6"/>
  <c r="U64" i="6"/>
  <c r="U139" i="6"/>
  <c r="U152" i="6"/>
  <c r="U19" i="6"/>
  <c r="U31" i="6"/>
  <c r="U44" i="6"/>
  <c r="U65" i="6"/>
  <c r="U66" i="6"/>
  <c r="U140" i="6"/>
  <c r="U153" i="6"/>
  <c r="U32" i="6"/>
  <c r="U45" i="6"/>
  <c r="U67" i="6"/>
  <c r="U113" i="6"/>
  <c r="U154" i="6"/>
  <c r="U155" i="6"/>
  <c r="U156" i="6"/>
  <c r="U157" i="6"/>
  <c r="U234" i="6"/>
  <c r="U33" i="6"/>
  <c r="U46" i="6"/>
  <c r="U68" i="6"/>
  <c r="U91" i="6"/>
  <c r="U158" i="6"/>
  <c r="U159" i="6"/>
  <c r="U34" i="6"/>
  <c r="U92" i="6"/>
  <c r="U114" i="6"/>
  <c r="U200" i="6"/>
  <c r="U69" i="6"/>
  <c r="U93" i="6"/>
  <c r="U160" i="6"/>
  <c r="U161" i="6"/>
  <c r="U94" i="6"/>
  <c r="U115" i="6"/>
  <c r="U201" i="6"/>
  <c r="U116" i="6"/>
  <c r="U235" i="6"/>
  <c r="U70" i="6"/>
  <c r="U117" i="6"/>
  <c r="U202" i="6"/>
  <c r="U236" i="6"/>
  <c r="U47" i="6"/>
  <c r="U95" i="6"/>
  <c r="U203" i="6"/>
  <c r="U20" i="6"/>
  <c r="U35" i="6"/>
  <c r="U96" i="6"/>
  <c r="U162" i="6"/>
  <c r="U204" i="6"/>
  <c r="U48" i="6"/>
  <c r="U71" i="6"/>
  <c r="U36" i="6"/>
  <c r="U49" i="6"/>
  <c r="U72" i="6"/>
  <c r="U73" i="6"/>
  <c r="U163" i="6"/>
  <c r="U164" i="6"/>
  <c r="U205" i="6"/>
  <c r="U21" i="6"/>
  <c r="U50" i="6"/>
  <c r="U97" i="6"/>
  <c r="U141" i="6"/>
  <c r="U165" i="6"/>
  <c r="U206" i="6"/>
  <c r="U74" i="6"/>
  <c r="U98" i="6"/>
  <c r="U237" i="6"/>
  <c r="U99" i="6"/>
  <c r="U118" i="6"/>
  <c r="U238" i="6"/>
  <c r="U119" i="6"/>
  <c r="U239" i="6"/>
  <c r="U120" i="6"/>
  <c r="U240" i="6"/>
  <c r="U22" i="6"/>
  <c r="U100" i="6"/>
  <c r="U207" i="6"/>
  <c r="U121" i="6"/>
  <c r="U241" i="6"/>
  <c r="U6" i="6"/>
  <c r="U23" i="6"/>
  <c r="U51" i="6"/>
  <c r="U75" i="6"/>
  <c r="U101" i="6"/>
  <c r="U208" i="6"/>
  <c r="U242" i="6"/>
  <c r="U142" i="6"/>
  <c r="U166" i="6"/>
  <c r="U167" i="6"/>
  <c r="U168" i="6"/>
  <c r="U169" i="6"/>
  <c r="U170" i="6"/>
  <c r="U209" i="6"/>
  <c r="U210" i="6"/>
  <c r="U243" i="6"/>
  <c r="U171" i="6"/>
  <c r="U172" i="6"/>
  <c r="U173" i="6"/>
  <c r="U174" i="6"/>
  <c r="U175" i="6"/>
  <c r="U176" i="6"/>
  <c r="U244" i="6"/>
  <c r="U211" i="6"/>
  <c r="U245" i="6"/>
  <c r="U212" i="6"/>
  <c r="U246" i="6"/>
  <c r="U177" i="6"/>
  <c r="U213" i="6"/>
  <c r="U178" i="6"/>
  <c r="U214" i="6"/>
  <c r="U247" i="6"/>
  <c r="U179" i="6"/>
  <c r="U215" i="6"/>
  <c r="U143" i="6"/>
  <c r="U180" i="6"/>
  <c r="U144" i="6"/>
  <c r="U181" i="6"/>
  <c r="U182" i="6"/>
  <c r="U216" i="6"/>
  <c r="U217" i="6"/>
  <c r="U145" i="6"/>
  <c r="U218" i="6"/>
  <c r="U183" i="6"/>
  <c r="U219" i="6"/>
  <c r="U184" i="6"/>
  <c r="U248" i="6"/>
  <c r="U249" i="6"/>
  <c r="U250" i="6"/>
  <c r="U251" i="6"/>
  <c r="U252" i="6"/>
  <c r="U253" i="6"/>
  <c r="U254" i="6"/>
  <c r="U255" i="6"/>
  <c r="U256" i="6"/>
  <c r="U257" i="6"/>
  <c r="U258" i="6"/>
  <c r="U259" i="6"/>
  <c r="U220" i="6"/>
  <c r="U221" i="6"/>
  <c r="U260" i="6"/>
  <c r="U222" i="6"/>
  <c r="U185" i="6"/>
  <c r="U186" i="6"/>
  <c r="U187" i="6"/>
  <c r="U188" i="6"/>
  <c r="U189" i="6"/>
  <c r="U190" i="6"/>
  <c r="U223" i="6"/>
  <c r="U224" i="6"/>
  <c r="U225" i="6"/>
  <c r="U226" i="6"/>
  <c r="U227" i="6"/>
  <c r="U228" i="6"/>
  <c r="U229" i="6"/>
  <c r="U230" i="6"/>
  <c r="U191" i="6"/>
  <c r="U231" i="6"/>
  <c r="U261" i="6"/>
  <c r="U262" i="6"/>
  <c r="U263" i="6"/>
  <c r="U264" i="6"/>
  <c r="U265" i="6"/>
  <c r="U266" i="6"/>
  <c r="U267" i="6"/>
  <c r="U268" i="6"/>
  <c r="U269" i="6"/>
  <c r="U270" i="6"/>
  <c r="U271" i="6"/>
  <c r="U232" i="6"/>
  <c r="U192" i="6"/>
  <c r="U193" i="6"/>
  <c r="U194" i="6"/>
  <c r="U195" i="6"/>
  <c r="U196" i="6"/>
  <c r="U197" i="6"/>
  <c r="U102" i="6"/>
  <c r="U76" i="6"/>
  <c r="U77" i="6"/>
  <c r="U78" i="6"/>
  <c r="U79" i="6"/>
  <c r="U103" i="6"/>
  <c r="U104" i="6"/>
  <c r="U105" i="6"/>
  <c r="U106" i="6"/>
  <c r="U107" i="6"/>
  <c r="U80" i="6"/>
  <c r="U108" i="6"/>
  <c r="U109" i="6"/>
  <c r="U110" i="6"/>
  <c r="U111" i="6"/>
  <c r="U122" i="6"/>
  <c r="U123" i="6"/>
  <c r="U124" i="6"/>
  <c r="U125" i="6"/>
  <c r="U81" i="6"/>
  <c r="U126" i="6"/>
  <c r="U127" i="6"/>
  <c r="U128" i="6"/>
  <c r="U129" i="6"/>
  <c r="U130" i="6"/>
  <c r="U131" i="6"/>
  <c r="U132" i="6"/>
  <c r="U82" i="6"/>
  <c r="U83" i="6"/>
  <c r="U84" i="6"/>
  <c r="U85" i="6"/>
  <c r="U86" i="6"/>
  <c r="U87" i="6"/>
  <c r="U88" i="6"/>
  <c r="T2" i="6"/>
  <c r="T3" i="6"/>
  <c r="T7" i="6"/>
  <c r="T12" i="6"/>
  <c r="T24" i="6"/>
  <c r="T37" i="6"/>
  <c r="T52" i="6"/>
  <c r="T53" i="6"/>
  <c r="T133" i="6"/>
  <c r="T146" i="6"/>
  <c r="T198" i="6"/>
  <c r="T4" i="6"/>
  <c r="T5" i="6"/>
  <c r="T8" i="6"/>
  <c r="T13" i="6"/>
  <c r="T25" i="6"/>
  <c r="T38" i="6"/>
  <c r="T54" i="6"/>
  <c r="T55" i="6"/>
  <c r="T134" i="6"/>
  <c r="T147" i="6"/>
  <c r="T199" i="6"/>
  <c r="T9" i="6"/>
  <c r="T14" i="6"/>
  <c r="T26" i="6"/>
  <c r="T39" i="6"/>
  <c r="T56" i="6"/>
  <c r="T57" i="6"/>
  <c r="T135" i="6"/>
  <c r="T148" i="6"/>
  <c r="T10" i="6"/>
  <c r="T15" i="6"/>
  <c r="T27" i="6"/>
  <c r="T40" i="6"/>
  <c r="T58" i="6"/>
  <c r="T59" i="6"/>
  <c r="T136" i="6"/>
  <c r="T149" i="6"/>
  <c r="T11" i="6"/>
  <c r="T16" i="6"/>
  <c r="T28" i="6"/>
  <c r="T41" i="6"/>
  <c r="T60" i="6"/>
  <c r="T61" i="6"/>
  <c r="T137" i="6"/>
  <c r="T150" i="6"/>
  <c r="T17" i="6"/>
  <c r="T29" i="6"/>
  <c r="T42" i="6"/>
  <c r="T62" i="6"/>
  <c r="T89" i="6"/>
  <c r="T138" i="6"/>
  <c r="T151" i="6"/>
  <c r="T90" i="6"/>
  <c r="T112" i="6"/>
  <c r="T233" i="6"/>
  <c r="T18" i="6"/>
  <c r="T30" i="6"/>
  <c r="T43" i="6"/>
  <c r="T63" i="6"/>
  <c r="T64" i="6"/>
  <c r="T139" i="6"/>
  <c r="T152" i="6"/>
  <c r="T19" i="6"/>
  <c r="T31" i="6"/>
  <c r="T44" i="6"/>
  <c r="T65" i="6"/>
  <c r="T66" i="6"/>
  <c r="T140" i="6"/>
  <c r="T153" i="6"/>
  <c r="T32" i="6"/>
  <c r="T45" i="6"/>
  <c r="T67" i="6"/>
  <c r="T113" i="6"/>
  <c r="T154" i="6"/>
  <c r="T155" i="6"/>
  <c r="T156" i="6"/>
  <c r="T157" i="6"/>
  <c r="T234" i="6"/>
  <c r="T33" i="6"/>
  <c r="T46" i="6"/>
  <c r="T68" i="6"/>
  <c r="T91" i="6"/>
  <c r="T158" i="6"/>
  <c r="T159" i="6"/>
  <c r="T34" i="6"/>
  <c r="T92" i="6"/>
  <c r="T114" i="6"/>
  <c r="T200" i="6"/>
  <c r="T69" i="6"/>
  <c r="T93" i="6"/>
  <c r="T160" i="6"/>
  <c r="T161" i="6"/>
  <c r="T94" i="6"/>
  <c r="T115" i="6"/>
  <c r="T201" i="6"/>
  <c r="T116" i="6"/>
  <c r="T235" i="6"/>
  <c r="T70" i="6"/>
  <c r="T117" i="6"/>
  <c r="T202" i="6"/>
  <c r="T236" i="6"/>
  <c r="T47" i="6"/>
  <c r="T95" i="6"/>
  <c r="T203" i="6"/>
  <c r="T20" i="6"/>
  <c r="T35" i="6"/>
  <c r="T96" i="6"/>
  <c r="T162" i="6"/>
  <c r="T204" i="6"/>
  <c r="T48" i="6"/>
  <c r="T71" i="6"/>
  <c r="T36" i="6"/>
  <c r="T49" i="6"/>
  <c r="T72" i="6"/>
  <c r="T73" i="6"/>
  <c r="T163" i="6"/>
  <c r="T164" i="6"/>
  <c r="T205" i="6"/>
  <c r="T21" i="6"/>
  <c r="T50" i="6"/>
  <c r="T97" i="6"/>
  <c r="T141" i="6"/>
  <c r="T165" i="6"/>
  <c r="T206" i="6"/>
  <c r="T74" i="6"/>
  <c r="T98" i="6"/>
  <c r="T237" i="6"/>
  <c r="T99" i="6"/>
  <c r="T118" i="6"/>
  <c r="T238" i="6"/>
  <c r="T119" i="6"/>
  <c r="T239" i="6"/>
  <c r="T120" i="6"/>
  <c r="T240" i="6"/>
  <c r="T22" i="6"/>
  <c r="T100" i="6"/>
  <c r="T207" i="6"/>
  <c r="T121" i="6"/>
  <c r="T241" i="6"/>
  <c r="T6" i="6"/>
  <c r="T23" i="6"/>
  <c r="T51" i="6"/>
  <c r="T75" i="6"/>
  <c r="T101" i="6"/>
  <c r="T208" i="6"/>
  <c r="T242" i="6"/>
  <c r="T142" i="6"/>
  <c r="T166" i="6"/>
  <c r="T167" i="6"/>
  <c r="T168" i="6"/>
  <c r="T169" i="6"/>
  <c r="T170" i="6"/>
  <c r="T209" i="6"/>
  <c r="T210" i="6"/>
  <c r="T243" i="6"/>
  <c r="T171" i="6"/>
  <c r="T172" i="6"/>
  <c r="T173" i="6"/>
  <c r="T174" i="6"/>
  <c r="T175" i="6"/>
  <c r="T176" i="6"/>
  <c r="T244" i="6"/>
  <c r="T211" i="6"/>
  <c r="T245" i="6"/>
  <c r="T212" i="6"/>
  <c r="T246" i="6"/>
  <c r="T177" i="6"/>
  <c r="T213" i="6"/>
  <c r="T178" i="6"/>
  <c r="T214" i="6"/>
  <c r="T247" i="6"/>
  <c r="T179" i="6"/>
  <c r="T215" i="6"/>
  <c r="T143" i="6"/>
  <c r="T180" i="6"/>
  <c r="T144" i="6"/>
  <c r="T181" i="6"/>
  <c r="T182" i="6"/>
  <c r="T216" i="6"/>
  <c r="T217" i="6"/>
  <c r="T145" i="6"/>
  <c r="T218" i="6"/>
  <c r="T183" i="6"/>
  <c r="T219" i="6"/>
  <c r="T184" i="6"/>
  <c r="T248" i="6"/>
  <c r="T249" i="6"/>
  <c r="T250" i="6"/>
  <c r="T251" i="6"/>
  <c r="T252" i="6"/>
  <c r="T253" i="6"/>
  <c r="T254" i="6"/>
  <c r="T255" i="6"/>
  <c r="T256" i="6"/>
  <c r="T257" i="6"/>
  <c r="T258" i="6"/>
  <c r="T259" i="6"/>
  <c r="T220" i="6"/>
  <c r="T221" i="6"/>
  <c r="T260" i="6"/>
  <c r="T222" i="6"/>
  <c r="T185" i="6"/>
  <c r="T186" i="6"/>
  <c r="T187" i="6"/>
  <c r="T188" i="6"/>
  <c r="T189" i="6"/>
  <c r="T190" i="6"/>
  <c r="T223" i="6"/>
  <c r="T224" i="6"/>
  <c r="T225" i="6"/>
  <c r="T226" i="6"/>
  <c r="T227" i="6"/>
  <c r="T228" i="6"/>
  <c r="T229" i="6"/>
  <c r="T230" i="6"/>
  <c r="T191" i="6"/>
  <c r="T231" i="6"/>
  <c r="T261" i="6"/>
  <c r="T262" i="6"/>
  <c r="T263" i="6"/>
  <c r="T264" i="6"/>
  <c r="T265" i="6"/>
  <c r="T266" i="6"/>
  <c r="T267" i="6"/>
  <c r="T268" i="6"/>
  <c r="T269" i="6"/>
  <c r="T270" i="6"/>
  <c r="T271" i="6"/>
  <c r="T232" i="6"/>
  <c r="T192" i="6"/>
  <c r="T193" i="6"/>
  <c r="T194" i="6"/>
  <c r="T195" i="6"/>
  <c r="T196" i="6"/>
  <c r="T197" i="6"/>
  <c r="T102" i="6"/>
  <c r="T76" i="6"/>
  <c r="T77" i="6"/>
  <c r="T78" i="6"/>
  <c r="T79" i="6"/>
  <c r="T103" i="6"/>
  <c r="T104" i="6"/>
  <c r="T105" i="6"/>
  <c r="T106" i="6"/>
  <c r="T107" i="6"/>
  <c r="T80" i="6"/>
  <c r="T108" i="6"/>
  <c r="T109" i="6"/>
  <c r="T110" i="6"/>
  <c r="T111" i="6"/>
  <c r="T122" i="6"/>
  <c r="T123" i="6"/>
  <c r="T124" i="6"/>
  <c r="T125" i="6"/>
  <c r="T81" i="6"/>
  <c r="T126" i="6"/>
  <c r="T127" i="6"/>
  <c r="T128" i="6"/>
  <c r="T129" i="6"/>
  <c r="T130" i="6"/>
  <c r="T131" i="6"/>
  <c r="T132" i="6"/>
  <c r="T82" i="6"/>
  <c r="T83" i="6"/>
  <c r="T84" i="6"/>
  <c r="T85" i="6"/>
  <c r="T86" i="6"/>
  <c r="T87" i="6"/>
  <c r="T88" i="6"/>
  <c r="S2" i="6"/>
  <c r="S3" i="6"/>
  <c r="S7" i="6"/>
  <c r="S12" i="6"/>
  <c r="S24" i="6"/>
  <c r="S37" i="6"/>
  <c r="S52" i="6"/>
  <c r="S53" i="6"/>
  <c r="S133" i="6"/>
  <c r="S146" i="6"/>
  <c r="S198" i="6"/>
  <c r="S4" i="6"/>
  <c r="S5" i="6"/>
  <c r="S8" i="6"/>
  <c r="S13" i="6"/>
  <c r="S25" i="6"/>
  <c r="S38" i="6"/>
  <c r="S54" i="6"/>
  <c r="S55" i="6"/>
  <c r="S134" i="6"/>
  <c r="S147" i="6"/>
  <c r="S199" i="6"/>
  <c r="S9" i="6"/>
  <c r="S14" i="6"/>
  <c r="S26" i="6"/>
  <c r="S39" i="6"/>
  <c r="S56" i="6"/>
  <c r="S57" i="6"/>
  <c r="S135" i="6"/>
  <c r="S148" i="6"/>
  <c r="S10" i="6"/>
  <c r="S15" i="6"/>
  <c r="S27" i="6"/>
  <c r="S40" i="6"/>
  <c r="S58" i="6"/>
  <c r="S59" i="6"/>
  <c r="S136" i="6"/>
  <c r="S149" i="6"/>
  <c r="S11" i="6"/>
  <c r="S16" i="6"/>
  <c r="S28" i="6"/>
  <c r="S41" i="6"/>
  <c r="S60" i="6"/>
  <c r="S61" i="6"/>
  <c r="S137" i="6"/>
  <c r="S150" i="6"/>
  <c r="S17" i="6"/>
  <c r="S29" i="6"/>
  <c r="S42" i="6"/>
  <c r="S62" i="6"/>
  <c r="S89" i="6"/>
  <c r="S138" i="6"/>
  <c r="S151" i="6"/>
  <c r="S90" i="6"/>
  <c r="S112" i="6"/>
  <c r="S233" i="6"/>
  <c r="S18" i="6"/>
  <c r="S30" i="6"/>
  <c r="S43" i="6"/>
  <c r="S63" i="6"/>
  <c r="S64" i="6"/>
  <c r="S139" i="6"/>
  <c r="S152" i="6"/>
  <c r="S19" i="6"/>
  <c r="S31" i="6"/>
  <c r="S44" i="6"/>
  <c r="S65" i="6"/>
  <c r="S66" i="6"/>
  <c r="S140" i="6"/>
  <c r="S153" i="6"/>
  <c r="S32" i="6"/>
  <c r="S45" i="6"/>
  <c r="S67" i="6"/>
  <c r="S113" i="6"/>
  <c r="S154" i="6"/>
  <c r="S155" i="6"/>
  <c r="S156" i="6"/>
  <c r="S157" i="6"/>
  <c r="S234" i="6"/>
  <c r="S33" i="6"/>
  <c r="S46" i="6"/>
  <c r="S68" i="6"/>
  <c r="S91" i="6"/>
  <c r="S158" i="6"/>
  <c r="S159" i="6"/>
  <c r="S34" i="6"/>
  <c r="S92" i="6"/>
  <c r="S114" i="6"/>
  <c r="S200" i="6"/>
  <c r="S69" i="6"/>
  <c r="S93" i="6"/>
  <c r="S160" i="6"/>
  <c r="S161" i="6"/>
  <c r="S94" i="6"/>
  <c r="S115" i="6"/>
  <c r="S201" i="6"/>
  <c r="S116" i="6"/>
  <c r="S235" i="6"/>
  <c r="S70" i="6"/>
  <c r="S117" i="6"/>
  <c r="S202" i="6"/>
  <c r="S236" i="6"/>
  <c r="S47" i="6"/>
  <c r="S95" i="6"/>
  <c r="S203" i="6"/>
  <c r="S20" i="6"/>
  <c r="S35" i="6"/>
  <c r="S96" i="6"/>
  <c r="S162" i="6"/>
  <c r="S204" i="6"/>
  <c r="S48" i="6"/>
  <c r="S71" i="6"/>
  <c r="S36" i="6"/>
  <c r="S49" i="6"/>
  <c r="S72" i="6"/>
  <c r="S73" i="6"/>
  <c r="S163" i="6"/>
  <c r="S164" i="6"/>
  <c r="S205" i="6"/>
  <c r="S21" i="6"/>
  <c r="S50" i="6"/>
  <c r="S97" i="6"/>
  <c r="S141" i="6"/>
  <c r="S165" i="6"/>
  <c r="S206" i="6"/>
  <c r="S74" i="6"/>
  <c r="S98" i="6"/>
  <c r="S237" i="6"/>
  <c r="S99" i="6"/>
  <c r="S118" i="6"/>
  <c r="S238" i="6"/>
  <c r="S119" i="6"/>
  <c r="S239" i="6"/>
  <c r="S120" i="6"/>
  <c r="S240" i="6"/>
  <c r="S22" i="6"/>
  <c r="S100" i="6"/>
  <c r="S207" i="6"/>
  <c r="S121" i="6"/>
  <c r="S241" i="6"/>
  <c r="S6" i="6"/>
  <c r="S23" i="6"/>
  <c r="S51" i="6"/>
  <c r="S75" i="6"/>
  <c r="S101" i="6"/>
  <c r="S208" i="6"/>
  <c r="S242" i="6"/>
  <c r="S142" i="6"/>
  <c r="S166" i="6"/>
  <c r="S167" i="6"/>
  <c r="S168" i="6"/>
  <c r="S169" i="6"/>
  <c r="S170" i="6"/>
  <c r="S209" i="6"/>
  <c r="S210" i="6"/>
  <c r="S243" i="6"/>
  <c r="S171" i="6"/>
  <c r="S172" i="6"/>
  <c r="S173" i="6"/>
  <c r="S174" i="6"/>
  <c r="S175" i="6"/>
  <c r="S176" i="6"/>
  <c r="S244" i="6"/>
  <c r="S211" i="6"/>
  <c r="S245" i="6"/>
  <c r="S212" i="6"/>
  <c r="S246" i="6"/>
  <c r="S177" i="6"/>
  <c r="S213" i="6"/>
  <c r="S178" i="6"/>
  <c r="S214" i="6"/>
  <c r="S247" i="6"/>
  <c r="S179" i="6"/>
  <c r="S215" i="6"/>
  <c r="S143" i="6"/>
  <c r="S180" i="6"/>
  <c r="S144" i="6"/>
  <c r="S181" i="6"/>
  <c r="S182" i="6"/>
  <c r="S216" i="6"/>
  <c r="S217" i="6"/>
  <c r="S145" i="6"/>
  <c r="S218" i="6"/>
  <c r="S183" i="6"/>
  <c r="S219" i="6"/>
  <c r="S184" i="6"/>
  <c r="S248" i="6"/>
  <c r="S249" i="6"/>
  <c r="S250" i="6"/>
  <c r="S251" i="6"/>
  <c r="S252" i="6"/>
  <c r="S253" i="6"/>
  <c r="S254" i="6"/>
  <c r="S255" i="6"/>
  <c r="S256" i="6"/>
  <c r="S257" i="6"/>
  <c r="S258" i="6"/>
  <c r="S259" i="6"/>
  <c r="S220" i="6"/>
  <c r="S221" i="6"/>
  <c r="S260" i="6"/>
  <c r="S222" i="6"/>
  <c r="S185" i="6"/>
  <c r="S186" i="6"/>
  <c r="S187" i="6"/>
  <c r="S188" i="6"/>
  <c r="S189" i="6"/>
  <c r="S190" i="6"/>
  <c r="S223" i="6"/>
  <c r="S224" i="6"/>
  <c r="S225" i="6"/>
  <c r="S226" i="6"/>
  <c r="S227" i="6"/>
  <c r="S228" i="6"/>
  <c r="S229" i="6"/>
  <c r="S230" i="6"/>
  <c r="S191" i="6"/>
  <c r="S231" i="6"/>
  <c r="S261" i="6"/>
  <c r="S262" i="6"/>
  <c r="S263" i="6"/>
  <c r="S264" i="6"/>
  <c r="S265" i="6"/>
  <c r="S266" i="6"/>
  <c r="S267" i="6"/>
  <c r="S268" i="6"/>
  <c r="S269" i="6"/>
  <c r="S270" i="6"/>
  <c r="S271" i="6"/>
  <c r="S232" i="6"/>
  <c r="S192" i="6"/>
  <c r="S193" i="6"/>
  <c r="S194" i="6"/>
  <c r="S195" i="6"/>
  <c r="S196" i="6"/>
  <c r="S197" i="6"/>
  <c r="S102" i="6"/>
  <c r="S76" i="6"/>
  <c r="S77" i="6"/>
  <c r="S78" i="6"/>
  <c r="S79" i="6"/>
  <c r="S103" i="6"/>
  <c r="S104" i="6"/>
  <c r="S105" i="6"/>
  <c r="S106" i="6"/>
  <c r="S107" i="6"/>
  <c r="S80" i="6"/>
  <c r="S108" i="6"/>
  <c r="S109" i="6"/>
  <c r="S110" i="6"/>
  <c r="S111" i="6"/>
  <c r="S122" i="6"/>
  <c r="S123" i="6"/>
  <c r="S124" i="6"/>
  <c r="S125" i="6"/>
  <c r="S81" i="6"/>
  <c r="S126" i="6"/>
  <c r="S127" i="6"/>
  <c r="S128" i="6"/>
  <c r="S129" i="6"/>
  <c r="S130" i="6"/>
  <c r="S131" i="6"/>
  <c r="S132" i="6"/>
  <c r="S82" i="6"/>
  <c r="S83" i="6"/>
  <c r="S84" i="6"/>
  <c r="S85" i="6"/>
  <c r="S86" i="6"/>
  <c r="S87" i="6"/>
  <c r="S88" i="6"/>
  <c r="R2" i="6"/>
  <c r="R3" i="6"/>
  <c r="R7" i="6"/>
  <c r="R12" i="6"/>
  <c r="R24" i="6"/>
  <c r="R37" i="6"/>
  <c r="R52" i="6"/>
  <c r="R53" i="6"/>
  <c r="R133" i="6"/>
  <c r="R146" i="6"/>
  <c r="R198" i="6"/>
  <c r="R4" i="6"/>
  <c r="R5" i="6"/>
  <c r="R8" i="6"/>
  <c r="R13" i="6"/>
  <c r="R25" i="6"/>
  <c r="R38" i="6"/>
  <c r="R54" i="6"/>
  <c r="R55" i="6"/>
  <c r="R134" i="6"/>
  <c r="R147" i="6"/>
  <c r="R199" i="6"/>
  <c r="R9" i="6"/>
  <c r="R14" i="6"/>
  <c r="R26" i="6"/>
  <c r="R39" i="6"/>
  <c r="R56" i="6"/>
  <c r="R57" i="6"/>
  <c r="R135" i="6"/>
  <c r="R148" i="6"/>
  <c r="R10" i="6"/>
  <c r="R15" i="6"/>
  <c r="R27" i="6"/>
  <c r="R40" i="6"/>
  <c r="R58" i="6"/>
  <c r="R59" i="6"/>
  <c r="R136" i="6"/>
  <c r="R149" i="6"/>
  <c r="R11" i="6"/>
  <c r="R16" i="6"/>
  <c r="R28" i="6"/>
  <c r="R41" i="6"/>
  <c r="R60" i="6"/>
  <c r="R61" i="6"/>
  <c r="R137" i="6"/>
  <c r="R150" i="6"/>
  <c r="R17" i="6"/>
  <c r="R29" i="6"/>
  <c r="R42" i="6"/>
  <c r="R62" i="6"/>
  <c r="R89" i="6"/>
  <c r="R138" i="6"/>
  <c r="R151" i="6"/>
  <c r="R90" i="6"/>
  <c r="R112" i="6"/>
  <c r="R233" i="6"/>
  <c r="R18" i="6"/>
  <c r="R30" i="6"/>
  <c r="R43" i="6"/>
  <c r="R63" i="6"/>
  <c r="R64" i="6"/>
  <c r="R139" i="6"/>
  <c r="R152" i="6"/>
  <c r="R19" i="6"/>
  <c r="R31" i="6"/>
  <c r="R44" i="6"/>
  <c r="R65" i="6"/>
  <c r="R66" i="6"/>
  <c r="R140" i="6"/>
  <c r="R153" i="6"/>
  <c r="R32" i="6"/>
  <c r="R45" i="6"/>
  <c r="R67" i="6"/>
  <c r="R113" i="6"/>
  <c r="R154" i="6"/>
  <c r="R155" i="6"/>
  <c r="R156" i="6"/>
  <c r="R157" i="6"/>
  <c r="R234" i="6"/>
  <c r="R33" i="6"/>
  <c r="R46" i="6"/>
  <c r="R68" i="6"/>
  <c r="R91" i="6"/>
  <c r="R158" i="6"/>
  <c r="R159" i="6"/>
  <c r="R34" i="6"/>
  <c r="R92" i="6"/>
  <c r="R114" i="6"/>
  <c r="R200" i="6"/>
  <c r="R69" i="6"/>
  <c r="R93" i="6"/>
  <c r="R160" i="6"/>
  <c r="R161" i="6"/>
  <c r="R94" i="6"/>
  <c r="R115" i="6"/>
  <c r="R201" i="6"/>
  <c r="R116" i="6"/>
  <c r="R235" i="6"/>
  <c r="R70" i="6"/>
  <c r="R117" i="6"/>
  <c r="R202" i="6"/>
  <c r="R236" i="6"/>
  <c r="R47" i="6"/>
  <c r="R95" i="6"/>
  <c r="R203" i="6"/>
  <c r="R20" i="6"/>
  <c r="R35" i="6"/>
  <c r="R96" i="6"/>
  <c r="R162" i="6"/>
  <c r="R204" i="6"/>
  <c r="R48" i="6"/>
  <c r="R71" i="6"/>
  <c r="R36" i="6"/>
  <c r="R49" i="6"/>
  <c r="R72" i="6"/>
  <c r="R73" i="6"/>
  <c r="R163" i="6"/>
  <c r="R164" i="6"/>
  <c r="R205" i="6"/>
  <c r="R21" i="6"/>
  <c r="R50" i="6"/>
  <c r="R97" i="6"/>
  <c r="R141" i="6"/>
  <c r="R165" i="6"/>
  <c r="R206" i="6"/>
  <c r="R74" i="6"/>
  <c r="R98" i="6"/>
  <c r="R237" i="6"/>
  <c r="R99" i="6"/>
  <c r="R118" i="6"/>
  <c r="R238" i="6"/>
  <c r="R119" i="6"/>
  <c r="R239" i="6"/>
  <c r="R120" i="6"/>
  <c r="R240" i="6"/>
  <c r="R22" i="6"/>
  <c r="R100" i="6"/>
  <c r="R207" i="6"/>
  <c r="R121" i="6"/>
  <c r="R241" i="6"/>
  <c r="R6" i="6"/>
  <c r="R23" i="6"/>
  <c r="R51" i="6"/>
  <c r="R75" i="6"/>
  <c r="R101" i="6"/>
  <c r="R208" i="6"/>
  <c r="R242" i="6"/>
  <c r="R142" i="6"/>
  <c r="R166" i="6"/>
  <c r="R167" i="6"/>
  <c r="R168" i="6"/>
  <c r="R169" i="6"/>
  <c r="R170" i="6"/>
  <c r="R209" i="6"/>
  <c r="R210" i="6"/>
  <c r="R243" i="6"/>
  <c r="R171" i="6"/>
  <c r="R172" i="6"/>
  <c r="R173" i="6"/>
  <c r="R174" i="6"/>
  <c r="R175" i="6"/>
  <c r="R176" i="6"/>
  <c r="R244" i="6"/>
  <c r="R211" i="6"/>
  <c r="R245" i="6"/>
  <c r="R212" i="6"/>
  <c r="R246" i="6"/>
  <c r="R177" i="6"/>
  <c r="R213" i="6"/>
  <c r="R178" i="6"/>
  <c r="R214" i="6"/>
  <c r="R247" i="6"/>
  <c r="R179" i="6"/>
  <c r="R215" i="6"/>
  <c r="R143" i="6"/>
  <c r="R180" i="6"/>
  <c r="R144" i="6"/>
  <c r="R181" i="6"/>
  <c r="R182" i="6"/>
  <c r="R216" i="6"/>
  <c r="R217" i="6"/>
  <c r="R145" i="6"/>
  <c r="R218" i="6"/>
  <c r="R183" i="6"/>
  <c r="R219" i="6"/>
  <c r="R184" i="6"/>
  <c r="R248" i="6"/>
  <c r="R249" i="6"/>
  <c r="R250" i="6"/>
  <c r="R252" i="6"/>
  <c r="R253" i="6"/>
  <c r="R254" i="6"/>
  <c r="R255" i="6"/>
  <c r="R256" i="6"/>
  <c r="R257" i="6"/>
  <c r="R258" i="6"/>
  <c r="R259" i="6"/>
  <c r="R220" i="6"/>
  <c r="R221" i="6"/>
  <c r="R260" i="6"/>
  <c r="R222" i="6"/>
  <c r="R185" i="6"/>
  <c r="R186" i="6"/>
  <c r="R187" i="6"/>
  <c r="R188" i="6"/>
  <c r="R189" i="6"/>
  <c r="R190" i="6"/>
  <c r="R223" i="6"/>
  <c r="R224" i="6"/>
  <c r="R225" i="6"/>
  <c r="R226" i="6"/>
  <c r="R227" i="6"/>
  <c r="R228" i="6"/>
  <c r="R229" i="6"/>
  <c r="R230" i="6"/>
  <c r="R191" i="6"/>
  <c r="R231" i="6"/>
  <c r="R261" i="6"/>
  <c r="R262" i="6"/>
  <c r="R263" i="6"/>
  <c r="R264" i="6"/>
  <c r="R265" i="6"/>
  <c r="R266" i="6"/>
  <c r="R267" i="6"/>
  <c r="R268" i="6"/>
  <c r="R269" i="6"/>
  <c r="R270" i="6"/>
  <c r="R271" i="6"/>
  <c r="R232" i="6"/>
  <c r="R192" i="6"/>
  <c r="R193" i="6"/>
  <c r="R194" i="6"/>
  <c r="R195" i="6"/>
  <c r="R196" i="6"/>
  <c r="R197" i="6"/>
  <c r="R102" i="6"/>
  <c r="R76" i="6"/>
  <c r="R77" i="6"/>
  <c r="R78" i="6"/>
  <c r="R79" i="6"/>
  <c r="R103" i="6"/>
  <c r="R104" i="6"/>
  <c r="R105" i="6"/>
  <c r="R106" i="6"/>
  <c r="R107" i="6"/>
  <c r="R80" i="6"/>
  <c r="R108" i="6"/>
  <c r="R109" i="6"/>
  <c r="R110" i="6"/>
  <c r="R111" i="6"/>
  <c r="R122" i="6"/>
  <c r="R123" i="6"/>
  <c r="R124" i="6"/>
  <c r="R125" i="6"/>
  <c r="R81" i="6"/>
  <c r="R126" i="6"/>
  <c r="R127" i="6"/>
  <c r="R128" i="6"/>
  <c r="R129" i="6"/>
  <c r="R130" i="6"/>
  <c r="R131" i="6"/>
  <c r="R132" i="6"/>
  <c r="R82" i="6"/>
  <c r="R83" i="6"/>
  <c r="R84" i="6"/>
  <c r="R85" i="6"/>
  <c r="R86" i="6"/>
  <c r="R87" i="6"/>
  <c r="R88" i="6"/>
  <c r="B3" i="8"/>
  <c r="B2" i="8"/>
  <c r="Z5" i="8" s="1"/>
  <c r="Q6" i="8"/>
  <c r="AI8" i="8"/>
  <c r="AL2" i="8"/>
  <c r="AI3" i="8"/>
  <c r="E14" i="8"/>
  <c r="Z17" i="8" l="1"/>
  <c r="Z18" i="8"/>
  <c r="B33" i="8"/>
  <c r="BS7" i="8"/>
  <c r="H2" i="3"/>
  <c r="BC4" i="7"/>
  <c r="T6" i="8" s="1"/>
  <c r="M63" i="18"/>
  <c r="M83" i="18"/>
  <c r="M253" i="18"/>
  <c r="M273" i="18"/>
  <c r="M293" i="18"/>
  <c r="M313" i="18"/>
  <c r="M333" i="18"/>
  <c r="M353" i="18"/>
  <c r="M373" i="18"/>
  <c r="M393" i="18"/>
  <c r="M413" i="18"/>
  <c r="M433" i="18"/>
  <c r="M453" i="18"/>
  <c r="M473" i="18"/>
  <c r="M493" i="18"/>
  <c r="M513" i="18"/>
  <c r="M533" i="18"/>
  <c r="M553" i="18"/>
  <c r="M316" i="18"/>
  <c r="M436" i="18"/>
  <c r="M556" i="18"/>
  <c r="M337" i="18"/>
  <c r="M437" i="18"/>
  <c r="M517" i="18"/>
  <c r="M557" i="18"/>
  <c r="M558" i="18" s="1"/>
  <c r="M559" i="18" s="1"/>
  <c r="M560" i="18" s="1"/>
  <c r="M561" i="18" s="1"/>
  <c r="M562" i="18" s="1"/>
  <c r="M563" i="18" s="1"/>
  <c r="M564" i="18" s="1"/>
  <c r="M565" i="18" s="1"/>
  <c r="M566" i="18" s="1"/>
  <c r="M567" i="18" s="1"/>
  <c r="M568" i="18" s="1"/>
  <c r="M569" i="18" s="1"/>
  <c r="M570" i="18" s="1"/>
  <c r="M571" i="18" s="1"/>
  <c r="M572" i="18" s="1"/>
  <c r="M573" i="18" s="1"/>
  <c r="M68" i="18"/>
  <c r="M258" i="18"/>
  <c r="M318" i="18"/>
  <c r="M378" i="18"/>
  <c r="M438" i="18"/>
  <c r="M498" i="18"/>
  <c r="M69" i="18"/>
  <c r="M259" i="18"/>
  <c r="M319" i="18"/>
  <c r="M359" i="18"/>
  <c r="M439" i="18"/>
  <c r="M499" i="18"/>
  <c r="M300" i="18"/>
  <c r="M360" i="18"/>
  <c r="M440" i="18"/>
  <c r="M480" i="18"/>
  <c r="M71" i="18"/>
  <c r="M91" i="18"/>
  <c r="M301" i="18"/>
  <c r="M361" i="18"/>
  <c r="M461" i="18"/>
  <c r="M64" i="18"/>
  <c r="M84" i="18"/>
  <c r="M254" i="18"/>
  <c r="M274" i="18"/>
  <c r="M294" i="18"/>
  <c r="M314" i="18"/>
  <c r="M334" i="18"/>
  <c r="M354" i="18"/>
  <c r="M374" i="18"/>
  <c r="M394" i="18"/>
  <c r="M414" i="18"/>
  <c r="M434" i="18"/>
  <c r="M454" i="18"/>
  <c r="M474" i="18"/>
  <c r="M494" i="18"/>
  <c r="M514" i="18"/>
  <c r="M534" i="18"/>
  <c r="M554" i="18"/>
  <c r="M2" i="18"/>
  <c r="M356" i="18"/>
  <c r="M496" i="18"/>
  <c r="M317" i="18"/>
  <c r="M417" i="18"/>
  <c r="M477" i="18"/>
  <c r="M537" i="18"/>
  <c r="M298" i="18"/>
  <c r="M358" i="18"/>
  <c r="M418" i="18"/>
  <c r="M478" i="18"/>
  <c r="M538" i="18"/>
  <c r="M299" i="18"/>
  <c r="M379" i="18"/>
  <c r="M399" i="18"/>
  <c r="M459" i="18"/>
  <c r="M519" i="18"/>
  <c r="M70" i="18"/>
  <c r="M280" i="18"/>
  <c r="M320" i="18"/>
  <c r="M380" i="18"/>
  <c r="M420" i="18"/>
  <c r="M460" i="18"/>
  <c r="M500" i="18"/>
  <c r="M520" i="18"/>
  <c r="M281" i="18"/>
  <c r="M321" i="18"/>
  <c r="M381" i="18"/>
  <c r="M65" i="18"/>
  <c r="M85" i="18"/>
  <c r="M255" i="18"/>
  <c r="M275" i="18"/>
  <c r="M295" i="18"/>
  <c r="M315" i="18"/>
  <c r="M335" i="18"/>
  <c r="M355" i="18"/>
  <c r="M375" i="18"/>
  <c r="M395" i="18"/>
  <c r="M415" i="18"/>
  <c r="M435" i="18"/>
  <c r="M455" i="18"/>
  <c r="M475" i="18"/>
  <c r="M495" i="18"/>
  <c r="M515" i="18"/>
  <c r="M535" i="18"/>
  <c r="M555" i="18"/>
  <c r="M66" i="18"/>
  <c r="M86" i="18"/>
  <c r="M256" i="18"/>
  <c r="M276" i="18"/>
  <c r="M296" i="18"/>
  <c r="M336" i="18"/>
  <c r="M376" i="18"/>
  <c r="M396" i="18"/>
  <c r="M416" i="18"/>
  <c r="M456" i="18"/>
  <c r="M476" i="18"/>
  <c r="M516" i="18"/>
  <c r="M536" i="18"/>
  <c r="M67" i="18"/>
  <c r="M87" i="18"/>
  <c r="M257" i="18"/>
  <c r="M277" i="18"/>
  <c r="M297" i="18"/>
  <c r="M357" i="18"/>
  <c r="M377" i="18"/>
  <c r="M397" i="18"/>
  <c r="M457" i="18"/>
  <c r="M497" i="18"/>
  <c r="M88" i="18"/>
  <c r="M278" i="18"/>
  <c r="M338" i="18"/>
  <c r="M398" i="18"/>
  <c r="M458" i="18"/>
  <c r="M518" i="18"/>
  <c r="M89" i="18"/>
  <c r="M279" i="18"/>
  <c r="M339" i="18"/>
  <c r="M419" i="18"/>
  <c r="M479" i="18"/>
  <c r="M539" i="18"/>
  <c r="M90" i="18"/>
  <c r="M260" i="18"/>
  <c r="M340" i="18"/>
  <c r="M400" i="18"/>
  <c r="M540" i="18"/>
  <c r="M261" i="18"/>
  <c r="M341" i="18"/>
  <c r="M401" i="18"/>
  <c r="M421" i="18"/>
  <c r="M441" i="18"/>
  <c r="M501" i="18"/>
  <c r="M521" i="18"/>
  <c r="M79" i="18"/>
  <c r="M283" i="18"/>
  <c r="M312" i="18"/>
  <c r="M350" i="18"/>
  <c r="M388" i="18"/>
  <c r="M426" i="18"/>
  <c r="M464" i="18"/>
  <c r="M492" i="18"/>
  <c r="M530" i="18"/>
  <c r="M285" i="18"/>
  <c r="M390" i="18"/>
  <c r="M466" i="18"/>
  <c r="M503" i="18"/>
  <c r="M53" i="18"/>
  <c r="M82" i="18"/>
  <c r="M286" i="18"/>
  <c r="M324" i="18"/>
  <c r="M362" i="18"/>
  <c r="M391" i="18"/>
  <c r="M429" i="18"/>
  <c r="M467" i="18"/>
  <c r="M504" i="18"/>
  <c r="M92" i="18"/>
  <c r="M287" i="18"/>
  <c r="M325" i="18"/>
  <c r="M363" i="18"/>
  <c r="M392" i="18"/>
  <c r="M468" i="18"/>
  <c r="M505" i="18"/>
  <c r="M55" i="18"/>
  <c r="M326" i="18"/>
  <c r="M402" i="18"/>
  <c r="M506" i="18"/>
  <c r="M543" i="18"/>
  <c r="M365" i="18"/>
  <c r="M432" i="18"/>
  <c r="M470" i="18"/>
  <c r="M544" i="18"/>
  <c r="M328" i="18"/>
  <c r="M366" i="18"/>
  <c r="M442" i="18"/>
  <c r="M508" i="18"/>
  <c r="M291" i="18"/>
  <c r="M367" i="18"/>
  <c r="M472" i="18"/>
  <c r="M59" i="18"/>
  <c r="M263" i="18"/>
  <c r="M330" i="18"/>
  <c r="M406" i="18"/>
  <c r="M444" i="18"/>
  <c r="M510" i="18"/>
  <c r="M547" i="18"/>
  <c r="M60" i="18"/>
  <c r="M302" i="18"/>
  <c r="M369" i="18"/>
  <c r="M445" i="18"/>
  <c r="M511" i="18"/>
  <c r="M548" i="18"/>
  <c r="M80" i="18"/>
  <c r="M284" i="18"/>
  <c r="M322" i="18"/>
  <c r="M351" i="18"/>
  <c r="M389" i="18"/>
  <c r="M427" i="18"/>
  <c r="M465" i="18"/>
  <c r="M502" i="18"/>
  <c r="M531" i="18"/>
  <c r="M81" i="18"/>
  <c r="M323" i="18"/>
  <c r="M352" i="18"/>
  <c r="M428" i="18"/>
  <c r="M532" i="18"/>
  <c r="M541" i="18"/>
  <c r="M54" i="18"/>
  <c r="M430" i="18"/>
  <c r="M542" i="18"/>
  <c r="M93" i="18"/>
  <c r="M288" i="18"/>
  <c r="M364" i="18"/>
  <c r="M431" i="18"/>
  <c r="M469" i="18"/>
  <c r="M56" i="18"/>
  <c r="M94" i="18"/>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M117" i="18" s="1"/>
  <c r="M118" i="18" s="1"/>
  <c r="M119" i="18" s="1"/>
  <c r="M120" i="18" s="1"/>
  <c r="M121" i="18" s="1"/>
  <c r="M122" i="18" s="1"/>
  <c r="M123" i="18" s="1"/>
  <c r="M124" i="18" s="1"/>
  <c r="M125" i="18" s="1"/>
  <c r="M126" i="18" s="1"/>
  <c r="M127" i="18" s="1"/>
  <c r="M128" i="18" s="1"/>
  <c r="M129" i="18" s="1"/>
  <c r="M130" i="18" s="1"/>
  <c r="M131" i="18" s="1"/>
  <c r="M132" i="18" s="1"/>
  <c r="M133" i="18" s="1"/>
  <c r="M134" i="18" s="1"/>
  <c r="M135" i="18" s="1"/>
  <c r="M136" i="18" s="1"/>
  <c r="M137" i="18" s="1"/>
  <c r="M138" i="18" s="1"/>
  <c r="M139" i="18" s="1"/>
  <c r="M140" i="18" s="1"/>
  <c r="M141" i="18" s="1"/>
  <c r="M142" i="18" s="1"/>
  <c r="M143" i="18" s="1"/>
  <c r="M144" i="18" s="1"/>
  <c r="M145" i="18" s="1"/>
  <c r="M146" i="18" s="1"/>
  <c r="M147" i="18" s="1"/>
  <c r="M148" i="18" s="1"/>
  <c r="M149" i="18" s="1"/>
  <c r="M150" i="18" s="1"/>
  <c r="M151" i="18" s="1"/>
  <c r="M152" i="18" s="1"/>
  <c r="M153" i="18" s="1"/>
  <c r="M154" i="18" s="1"/>
  <c r="M155" i="18" s="1"/>
  <c r="M156" i="18" s="1"/>
  <c r="M157" i="18" s="1"/>
  <c r="M158" i="18" s="1"/>
  <c r="M159" i="18" s="1"/>
  <c r="M160" i="18" s="1"/>
  <c r="M161" i="18" s="1"/>
  <c r="M162" i="18" s="1"/>
  <c r="M163" i="18" s="1"/>
  <c r="M164" i="18" s="1"/>
  <c r="M165" i="18" s="1"/>
  <c r="M166" i="18" s="1"/>
  <c r="M167" i="18" s="1"/>
  <c r="M168" i="18" s="1"/>
  <c r="M169" i="18" s="1"/>
  <c r="M170" i="18" s="1"/>
  <c r="M171" i="18" s="1"/>
  <c r="M172" i="18" s="1"/>
  <c r="M173" i="18" s="1"/>
  <c r="M174" i="18" s="1"/>
  <c r="M175" i="18" s="1"/>
  <c r="M176" i="18" s="1"/>
  <c r="M177" i="18" s="1"/>
  <c r="M178" i="18" s="1"/>
  <c r="M179" i="18" s="1"/>
  <c r="M180" i="18" s="1"/>
  <c r="M181" i="18" s="1"/>
  <c r="M182" i="18" s="1"/>
  <c r="M183" i="18" s="1"/>
  <c r="M184" i="18" s="1"/>
  <c r="M185" i="18" s="1"/>
  <c r="M186" i="18" s="1"/>
  <c r="M187" i="18" s="1"/>
  <c r="M188" i="18" s="1"/>
  <c r="M189" i="18" s="1"/>
  <c r="M190" i="18" s="1"/>
  <c r="M191" i="18" s="1"/>
  <c r="M192" i="18" s="1"/>
  <c r="M193" i="18" s="1"/>
  <c r="M194" i="18" s="1"/>
  <c r="M195" i="18" s="1"/>
  <c r="M196" i="18" s="1"/>
  <c r="M197" i="18" s="1"/>
  <c r="M198" i="18" s="1"/>
  <c r="M199" i="18" s="1"/>
  <c r="M200" i="18" s="1"/>
  <c r="M201" i="18" s="1"/>
  <c r="M202" i="18" s="1"/>
  <c r="M203" i="18" s="1"/>
  <c r="M204" i="18" s="1"/>
  <c r="M205" i="18" s="1"/>
  <c r="M206" i="18" s="1"/>
  <c r="M207" i="18" s="1"/>
  <c r="M208" i="18" s="1"/>
  <c r="M209" i="18" s="1"/>
  <c r="M210" i="18" s="1"/>
  <c r="M211" i="18" s="1"/>
  <c r="M212" i="18" s="1"/>
  <c r="M213" i="18" s="1"/>
  <c r="M214" i="18" s="1"/>
  <c r="M215" i="18" s="1"/>
  <c r="M216" i="18" s="1"/>
  <c r="M217" i="18" s="1"/>
  <c r="M218" i="18" s="1"/>
  <c r="M219" i="18" s="1"/>
  <c r="M220" i="18" s="1"/>
  <c r="M221" i="18" s="1"/>
  <c r="M222" i="18" s="1"/>
  <c r="M223" i="18" s="1"/>
  <c r="M224" i="18" s="1"/>
  <c r="M225" i="18" s="1"/>
  <c r="M226" i="18" s="1"/>
  <c r="M227" i="18" s="1"/>
  <c r="M228" i="18" s="1"/>
  <c r="M229" i="18" s="1"/>
  <c r="M230" i="18" s="1"/>
  <c r="M231" i="18" s="1"/>
  <c r="M232" i="18" s="1"/>
  <c r="M233" i="18" s="1"/>
  <c r="M234" i="18" s="1"/>
  <c r="M235" i="18" s="1"/>
  <c r="M236" i="18" s="1"/>
  <c r="M237" i="18" s="1"/>
  <c r="M238" i="18" s="1"/>
  <c r="M239" i="18" s="1"/>
  <c r="M240" i="18" s="1"/>
  <c r="M241" i="18" s="1"/>
  <c r="M242" i="18" s="1"/>
  <c r="M243" i="18" s="1"/>
  <c r="M244" i="18" s="1"/>
  <c r="M245" i="18" s="1"/>
  <c r="M246" i="18" s="1"/>
  <c r="M247" i="18" s="1"/>
  <c r="M248" i="18" s="1"/>
  <c r="M249" i="18" s="1"/>
  <c r="M250" i="18" s="1"/>
  <c r="M251" i="18" s="1"/>
  <c r="M252" i="18" s="1"/>
  <c r="M289" i="18"/>
  <c r="M327" i="18"/>
  <c r="M403" i="18"/>
  <c r="M507" i="18"/>
  <c r="M57" i="18"/>
  <c r="M290" i="18"/>
  <c r="M404" i="18"/>
  <c r="M471" i="18"/>
  <c r="M545" i="18"/>
  <c r="M58" i="18"/>
  <c r="M262" i="18"/>
  <c r="M329" i="18"/>
  <c r="M405" i="18"/>
  <c r="M443" i="18"/>
  <c r="M509" i="18"/>
  <c r="M546" i="18"/>
  <c r="M292" i="18"/>
  <c r="M368" i="18"/>
  <c r="M481" i="18"/>
  <c r="M264" i="18"/>
  <c r="M331" i="18"/>
  <c r="M407" i="18"/>
  <c r="M482" i="18"/>
  <c r="M61" i="18"/>
  <c r="M272" i="18"/>
  <c r="M370" i="18"/>
  <c r="M448" i="18"/>
  <c r="M525" i="18"/>
  <c r="M449" i="18"/>
  <c r="M303" i="18"/>
  <c r="M372" i="18"/>
  <c r="M450" i="18"/>
  <c r="M451" i="18"/>
  <c r="M305" i="18"/>
  <c r="M452" i="18"/>
  <c r="M306" i="18"/>
  <c r="M462" i="18"/>
  <c r="M308" i="18"/>
  <c r="M386" i="18"/>
  <c r="M483" i="18"/>
  <c r="M551" i="18"/>
  <c r="M62" i="18"/>
  <c r="M387" i="18"/>
  <c r="M552" i="18"/>
  <c r="M310" i="18"/>
  <c r="M485" i="18"/>
  <c r="M73" i="18"/>
  <c r="M311" i="18"/>
  <c r="M486" i="18"/>
  <c r="M74" i="18"/>
  <c r="M410" i="18"/>
  <c r="M411" i="18"/>
  <c r="M265" i="18"/>
  <c r="M412" i="18"/>
  <c r="M266" i="18"/>
  <c r="M344" i="18"/>
  <c r="M490" i="18"/>
  <c r="M267" i="18"/>
  <c r="M345" i="18"/>
  <c r="M491" i="18"/>
  <c r="M268" i="18"/>
  <c r="M346" i="18"/>
  <c r="M512" i="18"/>
  <c r="M269" i="18"/>
  <c r="M347" i="18"/>
  <c r="M522" i="18"/>
  <c r="M270" i="18"/>
  <c r="M348" i="18"/>
  <c r="M523" i="18"/>
  <c r="M271" i="18"/>
  <c r="M349" i="18"/>
  <c r="M447" i="18"/>
  <c r="M282" i="18"/>
  <c r="M371" i="18"/>
  <c r="M526" i="18"/>
  <c r="M527" i="18"/>
  <c r="M304" i="18"/>
  <c r="M382" i="18"/>
  <c r="M528" i="18"/>
  <c r="Z20" i="8"/>
  <c r="M383" i="18"/>
  <c r="M529" i="18"/>
  <c r="M384" i="18"/>
  <c r="M549" i="18"/>
  <c r="M307" i="18"/>
  <c r="M385" i="18"/>
  <c r="M463" i="18"/>
  <c r="M550" i="18"/>
  <c r="M309" i="18"/>
  <c r="M484" i="18"/>
  <c r="M72" i="18"/>
  <c r="M408" i="18"/>
  <c r="M409" i="18"/>
  <c r="M332" i="18"/>
  <c r="M487" i="18"/>
  <c r="M75" i="18"/>
  <c r="M342" i="18"/>
  <c r="M488" i="18"/>
  <c r="M76" i="18"/>
  <c r="M343" i="18"/>
  <c r="M489" i="18"/>
  <c r="M77" i="18"/>
  <c r="M422" i="18"/>
  <c r="M78" i="18"/>
  <c r="M423" i="18"/>
  <c r="M424" i="18"/>
  <c r="M425" i="18"/>
  <c r="M446" i="18"/>
  <c r="M524" i="18"/>
  <c r="K7" i="16"/>
  <c r="K6" i="16"/>
  <c r="K5" i="16"/>
  <c r="K4" i="16"/>
  <c r="K3" i="16"/>
  <c r="K2" i="16"/>
  <c r="N7" i="16"/>
  <c r="N6" i="16"/>
  <c r="N5" i="16"/>
  <c r="H7" i="16"/>
  <c r="H5" i="16"/>
  <c r="H3" i="16"/>
  <c r="N4" i="16"/>
  <c r="N3" i="16"/>
  <c r="H2" i="16"/>
  <c r="N2" i="16"/>
  <c r="H6" i="16"/>
  <c r="H4" i="16"/>
  <c r="C8" i="14"/>
  <c r="C7" i="14"/>
  <c r="C6" i="14"/>
  <c r="C5" i="14"/>
  <c r="C4" i="14"/>
  <c r="C3" i="14"/>
  <c r="C9" i="14"/>
  <c r="K11" i="12"/>
  <c r="B8" i="14"/>
  <c r="K19" i="8" s="1"/>
  <c r="AO14" i="8"/>
  <c r="AO5" i="8"/>
  <c r="Z10" i="8"/>
  <c r="Z15" i="8"/>
  <c r="G4" i="3"/>
  <c r="Z7" i="8"/>
  <c r="Z9" i="8"/>
  <c r="Z21" i="8"/>
  <c r="Z19" i="8"/>
  <c r="Z16" i="8"/>
  <c r="Z14" i="8"/>
  <c r="Z3" i="8"/>
  <c r="AV4" i="7"/>
  <c r="AC5" i="8" s="1"/>
  <c r="BL6" i="7"/>
  <c r="BL4" i="7"/>
  <c r="BL5" i="7"/>
  <c r="B10" i="8"/>
  <c r="H7" i="3"/>
  <c r="B11" i="8"/>
  <c r="AO9" i="8" s="1"/>
  <c r="AD5" i="7"/>
  <c r="AD4" i="7"/>
  <c r="AL3" i="8" s="1"/>
  <c r="N8" i="8"/>
  <c r="H24" i="3" s="1"/>
  <c r="E2" i="8"/>
  <c r="AO13" i="8"/>
  <c r="AO12" i="8"/>
  <c r="AU2" i="8" s="1"/>
  <c r="AC2" i="8" l="1"/>
  <c r="M3" i="18"/>
  <c r="K20" i="8"/>
  <c r="K26" i="8" s="1"/>
  <c r="K54" i="8"/>
  <c r="AD258" i="6" s="1"/>
  <c r="K56" i="8"/>
  <c r="K51" i="8"/>
  <c r="K52" i="8" s="1"/>
  <c r="K12" i="12"/>
  <c r="B12" i="8"/>
  <c r="B13" i="8" s="1"/>
  <c r="G5" i="3"/>
  <c r="AO2" i="8"/>
  <c r="Z12" i="8"/>
  <c r="AC6" i="8"/>
  <c r="H8" i="3"/>
  <c r="AF3" i="8"/>
  <c r="W3" i="8"/>
  <c r="W4" i="8" s="1"/>
  <c r="T5" i="8"/>
  <c r="T7" i="8" s="1"/>
  <c r="AJ5" i="7"/>
  <c r="AJ4" i="7"/>
  <c r="AC3" i="8"/>
  <c r="AU3" i="8"/>
  <c r="AU4" i="8" s="1"/>
  <c r="AU5" i="8" s="1"/>
  <c r="AU6" i="8" s="1"/>
  <c r="AU7" i="8" s="1"/>
  <c r="AU8" i="8" s="1"/>
  <c r="AU9" i="8" s="1"/>
  <c r="AU10" i="8" s="1"/>
  <c r="AU11" i="8" s="1"/>
  <c r="AU12" i="8" s="1"/>
  <c r="AU13" i="8" s="1"/>
  <c r="AU14" i="8" s="1"/>
  <c r="AU15" i="8" s="1"/>
  <c r="AU16" i="8" s="1"/>
  <c r="AU17" i="8" s="1"/>
  <c r="AU18" i="8" s="1"/>
  <c r="AU19" i="8" s="1"/>
  <c r="AU20" i="8" s="1"/>
  <c r="AU21" i="8" s="1"/>
  <c r="AU22" i="8" s="1"/>
  <c r="AU23" i="8" s="1"/>
  <c r="AU24" i="8" s="1"/>
  <c r="AU25" i="8" s="1"/>
  <c r="AU26" i="8" s="1"/>
  <c r="AU27" i="8" s="1"/>
  <c r="AU28" i="8" s="1"/>
  <c r="AU29" i="8" s="1"/>
  <c r="AU30" i="8" s="1"/>
  <c r="AU31" i="8" s="1"/>
  <c r="AU32" i="8" s="1"/>
  <c r="AU33" i="8" s="1"/>
  <c r="AU34" i="8" s="1"/>
  <c r="AU35" i="8" s="1"/>
  <c r="AU36" i="8" s="1"/>
  <c r="AU37" i="8" s="1"/>
  <c r="AU38" i="8" s="1"/>
  <c r="AU39" i="8" s="1"/>
  <c r="AU40" i="8" s="1"/>
  <c r="AU41" i="8" s="1"/>
  <c r="AU42" i="8" s="1"/>
  <c r="AU43" i="8" s="1"/>
  <c r="AU44" i="8" s="1"/>
  <c r="AU45" i="8" s="1"/>
  <c r="AU46" i="8" s="1"/>
  <c r="AU47" i="8" s="1"/>
  <c r="AU48" i="8" s="1"/>
  <c r="AU49" i="8" s="1"/>
  <c r="AU50" i="8" s="1"/>
  <c r="AU51" i="8" s="1"/>
  <c r="B15" i="8" l="1"/>
  <c r="B16" i="8" s="1"/>
  <c r="B34" i="8"/>
  <c r="K43" i="8"/>
  <c r="K44" i="8" s="1"/>
  <c r="M4" i="18"/>
  <c r="K40" i="8"/>
  <c r="K41" i="8" s="1"/>
  <c r="W252" i="6"/>
  <c r="AE259" i="6"/>
  <c r="W253" i="6"/>
  <c r="W251" i="6"/>
  <c r="AE253" i="6"/>
  <c r="AE251" i="6"/>
  <c r="AE256" i="6"/>
  <c r="W255" i="6"/>
  <c r="AE254" i="6"/>
  <c r="X251" i="6"/>
  <c r="X253" i="6"/>
  <c r="AD252" i="6"/>
  <c r="X256" i="6"/>
  <c r="X255" i="6"/>
  <c r="AD254" i="6"/>
  <c r="X258" i="6"/>
  <c r="X257" i="6"/>
  <c r="X259" i="6"/>
  <c r="AE252" i="6"/>
  <c r="AE257" i="6"/>
  <c r="W259" i="6"/>
  <c r="X254" i="6"/>
  <c r="AD259" i="6"/>
  <c r="W254" i="6"/>
  <c r="W256" i="6"/>
  <c r="AE255" i="6"/>
  <c r="W258" i="6"/>
  <c r="W257" i="6"/>
  <c r="AE258" i="6"/>
  <c r="X252" i="6"/>
  <c r="AD253" i="6"/>
  <c r="AD251" i="6"/>
  <c r="AD255" i="6"/>
  <c r="AD256" i="6"/>
  <c r="AD257" i="6"/>
  <c r="AO3" i="8"/>
  <c r="K13" i="12"/>
  <c r="AL4" i="8"/>
  <c r="B17" i="8" l="1"/>
  <c r="M5" i="18"/>
  <c r="E5" i="8"/>
  <c r="E3" i="8" s="1"/>
  <c r="E4" i="8"/>
  <c r="E6" i="8"/>
  <c r="E7" i="8"/>
  <c r="E15" i="8" s="1"/>
  <c r="K14" i="12"/>
  <c r="K15" i="12" s="1"/>
  <c r="K16" i="12" s="1"/>
  <c r="K17" i="12" s="1"/>
  <c r="K18" i="12" s="1"/>
  <c r="K19" i="12" s="1"/>
  <c r="K20" i="12" s="1"/>
  <c r="K21" i="12" s="1"/>
  <c r="K22" i="12" s="1"/>
  <c r="K23" i="12" s="1"/>
  <c r="K24" i="12" s="1"/>
  <c r="K25" i="12" s="1"/>
  <c r="K26" i="12" s="1"/>
  <c r="K27" i="12" s="1"/>
  <c r="K28" i="12" s="1"/>
  <c r="K29" i="12" s="1"/>
  <c r="K30" i="12" s="1"/>
  <c r="K31" i="12" s="1"/>
  <c r="K32" i="12" s="1"/>
  <c r="K33" i="12" s="1"/>
  <c r="K34" i="12" s="1"/>
  <c r="K35" i="12" s="1"/>
  <c r="K36" i="12" s="1"/>
  <c r="K37" i="12" s="1"/>
  <c r="K38" i="12" s="1"/>
  <c r="K39" i="12" s="1"/>
  <c r="K40" i="12" s="1"/>
  <c r="K41" i="12" s="1"/>
  <c r="K42" i="12" s="1"/>
  <c r="K43" i="12" s="1"/>
  <c r="K44" i="12" s="1"/>
  <c r="K45" i="12" s="1"/>
  <c r="K46" i="12" s="1"/>
  <c r="K47" i="12" s="1"/>
  <c r="K48" i="12" s="1"/>
  <c r="K49" i="12" s="1"/>
  <c r="K50" i="12" s="1"/>
  <c r="K51" i="12" s="1"/>
  <c r="K52" i="12" s="1"/>
  <c r="K53" i="12" s="1"/>
  <c r="K54" i="12" s="1"/>
  <c r="K55" i="12" s="1"/>
  <c r="K56" i="12" s="1"/>
  <c r="K57" i="12" s="1"/>
  <c r="K58" i="12" s="1"/>
  <c r="K59" i="12" s="1"/>
  <c r="K60" i="12" s="1"/>
  <c r="K61" i="12" s="1"/>
  <c r="K62" i="12" s="1"/>
  <c r="K63" i="12" s="1"/>
  <c r="K64" i="12" s="1"/>
  <c r="K65" i="12" s="1"/>
  <c r="K66" i="12" s="1"/>
  <c r="K67" i="12" s="1"/>
  <c r="K68" i="12" s="1"/>
  <c r="K69" i="12" s="1"/>
  <c r="K70" i="12" s="1"/>
  <c r="K71" i="12" s="1"/>
  <c r="K72" i="12" s="1"/>
  <c r="K73" i="12" s="1"/>
  <c r="K74" i="12" s="1"/>
  <c r="K75" i="12" s="1"/>
  <c r="K76" i="12" s="1"/>
  <c r="K77" i="12" s="1"/>
  <c r="K78" i="12" s="1"/>
  <c r="K79" i="12" s="1"/>
  <c r="K80" i="12" s="1"/>
  <c r="K81" i="12" s="1"/>
  <c r="K82" i="12" s="1"/>
  <c r="K83" i="12" s="1"/>
  <c r="K84" i="12" s="1"/>
  <c r="K85" i="12" s="1"/>
  <c r="K86" i="12" s="1"/>
  <c r="K87" i="12" s="1"/>
  <c r="K88" i="12" s="1"/>
  <c r="K89" i="12" s="1"/>
  <c r="K90" i="12" s="1"/>
  <c r="K91" i="12" s="1"/>
  <c r="K92" i="12" s="1"/>
  <c r="K93" i="12" s="1"/>
  <c r="K94" i="12" s="1"/>
  <c r="K95" i="12" s="1"/>
  <c r="K96" i="12" s="1"/>
  <c r="K97" i="12" s="1"/>
  <c r="K98" i="12" s="1"/>
  <c r="K99" i="12" s="1"/>
  <c r="K100" i="12" s="1"/>
  <c r="K101" i="12" s="1"/>
  <c r="K102" i="12" s="1"/>
  <c r="K103" i="12" s="1"/>
  <c r="K104" i="12" s="1"/>
  <c r="K105" i="12" s="1"/>
  <c r="K106" i="12" s="1"/>
  <c r="K107" i="12" s="1"/>
  <c r="K108" i="12" s="1"/>
  <c r="K109" i="12" s="1"/>
  <c r="K110" i="12" s="1"/>
  <c r="K111" i="12" s="1"/>
  <c r="K112" i="12" s="1"/>
  <c r="K113" i="12" s="1"/>
  <c r="K114" i="12" s="1"/>
  <c r="K115" i="12" s="1"/>
  <c r="K116" i="12" s="1"/>
  <c r="K117" i="12" s="1"/>
  <c r="K118" i="12" s="1"/>
  <c r="K119" i="12" s="1"/>
  <c r="K120" i="12" s="1"/>
  <c r="K121" i="12" s="1"/>
  <c r="K122" i="12" s="1"/>
  <c r="K123" i="12" s="1"/>
  <c r="K124" i="12" s="1"/>
  <c r="K125" i="12" s="1"/>
  <c r="K126" i="12" s="1"/>
  <c r="K127" i="12" s="1"/>
  <c r="K128" i="12" s="1"/>
  <c r="K129" i="12" s="1"/>
  <c r="K130" i="12" s="1"/>
  <c r="K131" i="12" s="1"/>
  <c r="K132" i="12" s="1"/>
  <c r="K133" i="12" s="1"/>
  <c r="K134" i="12" s="1"/>
  <c r="K135" i="12" s="1"/>
  <c r="K136" i="12" s="1"/>
  <c r="K137" i="12" s="1"/>
  <c r="K138" i="12" s="1"/>
  <c r="K139" i="12" s="1"/>
  <c r="K140" i="12" s="1"/>
  <c r="K141" i="12" s="1"/>
  <c r="K142" i="12" s="1"/>
  <c r="K143" i="12" s="1"/>
  <c r="K144" i="12" s="1"/>
  <c r="K145" i="12" s="1"/>
  <c r="K146" i="12" s="1"/>
  <c r="K147" i="12" s="1"/>
  <c r="K148" i="12" s="1"/>
  <c r="K149" i="12" s="1"/>
  <c r="K150" i="12" s="1"/>
  <c r="K151" i="12" s="1"/>
  <c r="K152" i="12" s="1"/>
  <c r="K153" i="12" s="1"/>
  <c r="K154" i="12" s="1"/>
  <c r="K155" i="12" s="1"/>
  <c r="K156" i="12" s="1"/>
  <c r="K157" i="12" s="1"/>
  <c r="K158" i="12" s="1"/>
  <c r="K159" i="12" s="1"/>
  <c r="K160" i="12" s="1"/>
  <c r="K161" i="12" s="1"/>
  <c r="K162" i="12" s="1"/>
  <c r="K163" i="12" s="1"/>
  <c r="K164" i="12" s="1"/>
  <c r="K165" i="12" s="1"/>
  <c r="K166" i="12" s="1"/>
  <c r="K167" i="12" s="1"/>
  <c r="K168" i="12" s="1"/>
  <c r="K169" i="12" s="1"/>
  <c r="K170" i="12" s="1"/>
  <c r="K171" i="12" s="1"/>
  <c r="K172" i="12" s="1"/>
  <c r="K173" i="12" s="1"/>
  <c r="K174" i="12" s="1"/>
  <c r="K175" i="12" s="1"/>
  <c r="K176" i="12" s="1"/>
  <c r="K177" i="12" s="1"/>
  <c r="K178" i="12" s="1"/>
  <c r="K179" i="12" s="1"/>
  <c r="K180" i="12" s="1"/>
  <c r="K181" i="12" s="1"/>
  <c r="K182" i="12" s="1"/>
  <c r="K183" i="12" s="1"/>
  <c r="K184" i="12" s="1"/>
  <c r="K185" i="12" s="1"/>
  <c r="K186" i="12" s="1"/>
  <c r="K187" i="12" s="1"/>
  <c r="K188" i="12" s="1"/>
  <c r="K189" i="12" s="1"/>
  <c r="K190" i="12" s="1"/>
  <c r="K191" i="12" s="1"/>
  <c r="K192" i="12" s="1"/>
  <c r="K193" i="12" s="1"/>
  <c r="K194" i="12" s="1"/>
  <c r="K195" i="12" s="1"/>
  <c r="K196" i="12" s="1"/>
  <c r="K197" i="12" s="1"/>
  <c r="K198" i="12" s="1"/>
  <c r="K199" i="12" s="1"/>
  <c r="K200" i="12" s="1"/>
  <c r="K201" i="12" s="1"/>
  <c r="K202" i="12" s="1"/>
  <c r="K203" i="12" s="1"/>
  <c r="K204" i="12" s="1"/>
  <c r="K205" i="12" s="1"/>
  <c r="K206" i="12" s="1"/>
  <c r="K207" i="12" s="1"/>
  <c r="K208" i="12" s="1"/>
  <c r="K209" i="12" s="1"/>
  <c r="K210" i="12" s="1"/>
  <c r="K211" i="12" s="1"/>
  <c r="K212" i="12" s="1"/>
  <c r="K213" i="12" s="1"/>
  <c r="K214" i="12" s="1"/>
  <c r="K215" i="12" s="1"/>
  <c r="K216" i="12" s="1"/>
  <c r="K217" i="12" s="1"/>
  <c r="K218" i="12" s="1"/>
  <c r="K219" i="12" s="1"/>
  <c r="K220" i="12" s="1"/>
  <c r="K221" i="12" s="1"/>
  <c r="K222" i="12" s="1"/>
  <c r="K223" i="12" s="1"/>
  <c r="K224" i="12" s="1"/>
  <c r="K225" i="12" s="1"/>
  <c r="K226" i="12" s="1"/>
  <c r="K227" i="12" s="1"/>
  <c r="K228" i="12" s="1"/>
  <c r="K229" i="12" s="1"/>
  <c r="K230" i="12" s="1"/>
  <c r="K231" i="12" s="1"/>
  <c r="K232" i="12" s="1"/>
  <c r="K233" i="12" s="1"/>
  <c r="K234" i="12" s="1"/>
  <c r="K235" i="12" s="1"/>
  <c r="K236" i="12" s="1"/>
  <c r="K237" i="12" s="1"/>
  <c r="K238" i="12" s="1"/>
  <c r="K239" i="12" s="1"/>
  <c r="K240" i="12" s="1"/>
  <c r="K241" i="12" s="1"/>
  <c r="K242" i="12" s="1"/>
  <c r="K243" i="12" s="1"/>
  <c r="K244" i="12" s="1"/>
  <c r="K245" i="12" s="1"/>
  <c r="K246" i="12" s="1"/>
  <c r="K247" i="12" s="1"/>
  <c r="K248" i="12" s="1"/>
  <c r="K249" i="12" s="1"/>
  <c r="K250" i="12" s="1"/>
  <c r="K251" i="12" s="1"/>
  <c r="K252" i="12" s="1"/>
  <c r="K253" i="12" s="1"/>
  <c r="K254" i="12" s="1"/>
  <c r="K255" i="12" s="1"/>
  <c r="K256" i="12" s="1"/>
  <c r="K257" i="12" s="1"/>
  <c r="K258" i="12" s="1"/>
  <c r="K259" i="12" s="1"/>
  <c r="K260" i="12" s="1"/>
  <c r="K261" i="12" s="1"/>
  <c r="K262" i="12" s="1"/>
  <c r="K263" i="12" s="1"/>
  <c r="K264" i="12" s="1"/>
  <c r="K265" i="12" s="1"/>
  <c r="K266" i="12" s="1"/>
  <c r="K267" i="12" s="1"/>
  <c r="K268" i="12" s="1"/>
  <c r="K269" i="12" s="1"/>
  <c r="K270" i="12" s="1"/>
  <c r="K271" i="12" s="1"/>
  <c r="K272" i="12" s="1"/>
  <c r="K273" i="12" s="1"/>
  <c r="K274" i="12" s="1"/>
  <c r="K275" i="12" s="1"/>
  <c r="K276" i="12" s="1"/>
  <c r="K277" i="12" s="1"/>
  <c r="K278" i="12" s="1"/>
  <c r="K279" i="12" s="1"/>
  <c r="K280" i="12" s="1"/>
  <c r="K281" i="12" s="1"/>
  <c r="K282" i="12" s="1"/>
  <c r="K283" i="12" s="1"/>
  <c r="K284" i="12" s="1"/>
  <c r="K285" i="12" s="1"/>
  <c r="K286" i="12" s="1"/>
  <c r="K287" i="12" s="1"/>
  <c r="K288" i="12" s="1"/>
  <c r="K289" i="12" s="1"/>
  <c r="K290" i="12" s="1"/>
  <c r="K291" i="12" s="1"/>
  <c r="K292" i="12" s="1"/>
  <c r="K293" i="12" s="1"/>
  <c r="K294" i="12" s="1"/>
  <c r="K295" i="12" s="1"/>
  <c r="K296" i="12" s="1"/>
  <c r="K297" i="12" s="1"/>
  <c r="K298" i="12" s="1"/>
  <c r="K299" i="12" s="1"/>
  <c r="K300" i="12" s="1"/>
  <c r="K301" i="12" s="1"/>
  <c r="K302" i="12" s="1"/>
  <c r="K303" i="12" s="1"/>
  <c r="K304" i="12" s="1"/>
  <c r="K305" i="12" s="1"/>
  <c r="K306" i="12" s="1"/>
  <c r="K307" i="12" s="1"/>
  <c r="K308" i="12" s="1"/>
  <c r="K309" i="12" s="1"/>
  <c r="K310" i="12" s="1"/>
  <c r="K311" i="12" s="1"/>
  <c r="K312" i="12" s="1"/>
  <c r="K313" i="12" s="1"/>
  <c r="K314" i="12" s="1"/>
  <c r="K315" i="12" s="1"/>
  <c r="K316" i="12" s="1"/>
  <c r="K317" i="12" s="1"/>
  <c r="K318" i="12" s="1"/>
  <c r="K319" i="12" s="1"/>
  <c r="K320" i="12" s="1"/>
  <c r="K321" i="12" s="1"/>
  <c r="K322" i="12" s="1"/>
  <c r="K323" i="12" s="1"/>
  <c r="K324" i="12" s="1"/>
  <c r="K325" i="12" s="1"/>
  <c r="K326" i="12" s="1"/>
  <c r="K327" i="12" s="1"/>
  <c r="K328" i="12" s="1"/>
  <c r="K329" i="12" s="1"/>
  <c r="K330" i="12" s="1"/>
  <c r="K331" i="12" s="1"/>
  <c r="K332" i="12" s="1"/>
  <c r="K333" i="12" s="1"/>
  <c r="K334" i="12" s="1"/>
  <c r="K335" i="12" s="1"/>
  <c r="K336" i="12" s="1"/>
  <c r="K337" i="12" s="1"/>
  <c r="K338" i="12" s="1"/>
  <c r="K339" i="12" s="1"/>
  <c r="K340" i="12" s="1"/>
  <c r="K341" i="12" s="1"/>
  <c r="K342" i="12" s="1"/>
  <c r="K343" i="12" s="1"/>
  <c r="K344" i="12" s="1"/>
  <c r="K345" i="12" s="1"/>
  <c r="K346" i="12" s="1"/>
  <c r="K347" i="12" s="1"/>
  <c r="K348" i="12" s="1"/>
  <c r="K349" i="12" s="1"/>
  <c r="K350" i="12" s="1"/>
  <c r="K351" i="12" s="1"/>
  <c r="K352" i="12" s="1"/>
  <c r="K353" i="12" s="1"/>
  <c r="K354" i="12" s="1"/>
  <c r="K355" i="12" s="1"/>
  <c r="K356" i="12" s="1"/>
  <c r="K357" i="12" s="1"/>
  <c r="K358" i="12" s="1"/>
  <c r="K359" i="12" s="1"/>
  <c r="K360" i="12" s="1"/>
  <c r="K361" i="12" s="1"/>
  <c r="K362" i="12" s="1"/>
  <c r="K363" i="12" s="1"/>
  <c r="K364" i="12" s="1"/>
  <c r="K365" i="12" s="1"/>
  <c r="K366" i="12" s="1"/>
  <c r="K367" i="12" s="1"/>
  <c r="K368" i="12" s="1"/>
  <c r="K369" i="12" s="1"/>
  <c r="K370" i="12" s="1"/>
  <c r="K371" i="12" s="1"/>
  <c r="K372" i="12" s="1"/>
  <c r="K373" i="12" s="1"/>
  <c r="K374" i="12" s="1"/>
  <c r="K375" i="12" s="1"/>
  <c r="K376" i="12" s="1"/>
  <c r="K377" i="12" s="1"/>
  <c r="K378" i="12" s="1"/>
  <c r="K379" i="12" s="1"/>
  <c r="K380" i="12" s="1"/>
  <c r="K381" i="12" s="1"/>
  <c r="K382" i="12" s="1"/>
  <c r="K383" i="12" s="1"/>
  <c r="K384" i="12" s="1"/>
  <c r="K385" i="12" s="1"/>
  <c r="K386" i="12" s="1"/>
  <c r="K387" i="12" s="1"/>
  <c r="K388" i="12" s="1"/>
  <c r="K389" i="12" s="1"/>
  <c r="K390" i="12" s="1"/>
  <c r="K391" i="12" s="1"/>
  <c r="K392" i="12" s="1"/>
  <c r="K393" i="12" s="1"/>
  <c r="K394" i="12" s="1"/>
  <c r="K395" i="12" s="1"/>
  <c r="K396" i="12" s="1"/>
  <c r="K397" i="12" s="1"/>
  <c r="K398" i="12" s="1"/>
  <c r="K399" i="12" s="1"/>
  <c r="K400" i="12" s="1"/>
  <c r="K401" i="12" s="1"/>
  <c r="K402" i="12" s="1"/>
  <c r="K403" i="12" s="1"/>
  <c r="K404" i="12" s="1"/>
  <c r="K405" i="12" s="1"/>
  <c r="K406" i="12" s="1"/>
  <c r="K407" i="12" s="1"/>
  <c r="K408" i="12" s="1"/>
  <c r="K409" i="12" s="1"/>
  <c r="K410" i="12" s="1"/>
  <c r="K411" i="12" s="1"/>
  <c r="K412" i="12" s="1"/>
  <c r="K413" i="12" s="1"/>
  <c r="K414" i="12" s="1"/>
  <c r="K415" i="12" s="1"/>
  <c r="K416" i="12" s="1"/>
  <c r="K417" i="12" s="1"/>
  <c r="K418" i="12" s="1"/>
  <c r="K419" i="12" s="1"/>
  <c r="K420" i="12" s="1"/>
  <c r="K421" i="12" s="1"/>
  <c r="K422" i="12" s="1"/>
  <c r="K423" i="12" s="1"/>
  <c r="K424" i="12" s="1"/>
  <c r="K425" i="12" s="1"/>
  <c r="K426" i="12" s="1"/>
  <c r="K427" i="12" s="1"/>
  <c r="K428" i="12" s="1"/>
  <c r="K429" i="12" s="1"/>
  <c r="K430" i="12" s="1"/>
  <c r="K431" i="12" s="1"/>
  <c r="K432" i="12" s="1"/>
  <c r="K433" i="12" s="1"/>
  <c r="K434" i="12" s="1"/>
  <c r="K435" i="12" s="1"/>
  <c r="K436" i="12" s="1"/>
  <c r="K437" i="12" s="1"/>
  <c r="K438" i="12" s="1"/>
  <c r="K439" i="12" s="1"/>
  <c r="K440" i="12" s="1"/>
  <c r="K441" i="12" s="1"/>
  <c r="K442" i="12" s="1"/>
  <c r="K443" i="12" s="1"/>
  <c r="K444" i="12" s="1"/>
  <c r="K445" i="12" s="1"/>
  <c r="K446" i="12" s="1"/>
  <c r="K447" i="12" s="1"/>
  <c r="K448" i="12" s="1"/>
  <c r="K449" i="12" s="1"/>
  <c r="K450" i="12" s="1"/>
  <c r="K451" i="12" s="1"/>
  <c r="K452" i="12" s="1"/>
  <c r="K453" i="12" s="1"/>
  <c r="K454" i="12" s="1"/>
  <c r="K455" i="12" s="1"/>
  <c r="K456" i="12" s="1"/>
  <c r="K457" i="12" s="1"/>
  <c r="K458" i="12" s="1"/>
  <c r="K459" i="12" s="1"/>
  <c r="K460" i="12" s="1"/>
  <c r="K461" i="12" s="1"/>
  <c r="K462" i="12" s="1"/>
  <c r="K463" i="12" s="1"/>
  <c r="K464" i="12" s="1"/>
  <c r="K465" i="12" s="1"/>
  <c r="K466" i="12" s="1"/>
  <c r="K467" i="12" s="1"/>
  <c r="K468" i="12" s="1"/>
  <c r="K469" i="12" s="1"/>
  <c r="K470" i="12" s="1"/>
  <c r="K471" i="12" s="1"/>
  <c r="K472" i="12" s="1"/>
  <c r="K473" i="12" s="1"/>
  <c r="K474" i="12" s="1"/>
  <c r="K475" i="12" s="1"/>
  <c r="K476" i="12" s="1"/>
  <c r="K477" i="12" s="1"/>
  <c r="K478" i="12" s="1"/>
  <c r="K479" i="12" s="1"/>
  <c r="K480" i="12" s="1"/>
  <c r="K481" i="12" s="1"/>
  <c r="K482" i="12" s="1"/>
  <c r="K483" i="12" s="1"/>
  <c r="K484" i="12" s="1"/>
  <c r="K485" i="12" s="1"/>
  <c r="K486" i="12" s="1"/>
  <c r="K487" i="12" s="1"/>
  <c r="K488" i="12" s="1"/>
  <c r="K489" i="12" s="1"/>
  <c r="K490" i="12" s="1"/>
  <c r="K491" i="12" s="1"/>
  <c r="K492" i="12" s="1"/>
  <c r="K493" i="12" s="1"/>
  <c r="K494" i="12" s="1"/>
  <c r="K495" i="12" s="1"/>
  <c r="K496" i="12" s="1"/>
  <c r="K497" i="12" s="1"/>
  <c r="K498" i="12" s="1"/>
  <c r="K499" i="12" s="1"/>
  <c r="K500" i="12" s="1"/>
  <c r="K501" i="12" s="1"/>
  <c r="K502" i="12" s="1"/>
  <c r="K503" i="12" s="1"/>
  <c r="K504" i="12" s="1"/>
  <c r="K505" i="12" s="1"/>
  <c r="K506" i="12" s="1"/>
  <c r="K507" i="12" s="1"/>
  <c r="K508" i="12" s="1"/>
  <c r="K509" i="12" s="1"/>
  <c r="K510" i="12" s="1"/>
  <c r="K511" i="12" s="1"/>
  <c r="K512" i="12" s="1"/>
  <c r="K513" i="12" s="1"/>
  <c r="K514" i="12" s="1"/>
  <c r="K515" i="12" s="1"/>
  <c r="K516" i="12" s="1"/>
  <c r="K517" i="12" s="1"/>
  <c r="K518" i="12" s="1"/>
  <c r="K519" i="12" s="1"/>
  <c r="K520" i="12" s="1"/>
  <c r="K521" i="12" s="1"/>
  <c r="K522" i="12" s="1"/>
  <c r="K523" i="12" s="1"/>
  <c r="K524" i="12" s="1"/>
  <c r="K525" i="12" s="1"/>
  <c r="K526" i="12" s="1"/>
  <c r="K527" i="12" s="1"/>
  <c r="K528" i="12" s="1"/>
  <c r="K529" i="12" s="1"/>
  <c r="K530" i="12" s="1"/>
  <c r="K531" i="12" s="1"/>
  <c r="K532" i="12" s="1"/>
  <c r="K533" i="12" s="1"/>
  <c r="K534" i="12" s="1"/>
  <c r="K535" i="12" s="1"/>
  <c r="K536" i="12" s="1"/>
  <c r="K537" i="12" s="1"/>
  <c r="K538" i="12" s="1"/>
  <c r="K539" i="12" s="1"/>
  <c r="K540" i="12" s="1"/>
  <c r="K541" i="12" s="1"/>
  <c r="K542" i="12" s="1"/>
  <c r="K543" i="12" s="1"/>
  <c r="K544" i="12" s="1"/>
  <c r="K545" i="12" s="1"/>
  <c r="K546" i="12" s="1"/>
  <c r="K547" i="12" s="1"/>
  <c r="K548" i="12" s="1"/>
  <c r="K549" i="12" s="1"/>
  <c r="K550" i="12" s="1"/>
  <c r="K551" i="12" s="1"/>
  <c r="K552" i="12" s="1"/>
  <c r="K553" i="12" s="1"/>
  <c r="K554" i="12" s="1"/>
  <c r="K555" i="12" s="1"/>
  <c r="K556" i="12" s="1"/>
  <c r="K557" i="12" s="1"/>
  <c r="K558" i="12" s="1"/>
  <c r="K559" i="12" s="1"/>
  <c r="K560" i="12" s="1"/>
  <c r="K561" i="12" s="1"/>
  <c r="K562" i="12" s="1"/>
  <c r="K563" i="12" s="1"/>
  <c r="K564" i="12" s="1"/>
  <c r="K565" i="12" s="1"/>
  <c r="K566" i="12" s="1"/>
  <c r="K567" i="12" s="1"/>
  <c r="K568" i="12" s="1"/>
  <c r="K569" i="12" s="1"/>
  <c r="K570" i="12" s="1"/>
  <c r="K571" i="12" s="1"/>
  <c r="K572" i="12" s="1"/>
  <c r="K573" i="12" s="1"/>
  <c r="K574" i="12" s="1"/>
  <c r="K575" i="12" s="1"/>
  <c r="K576" i="12" s="1"/>
  <c r="K577" i="12" s="1"/>
  <c r="K578" i="12" s="1"/>
  <c r="K579" i="12" s="1"/>
  <c r="K580" i="12" s="1"/>
  <c r="K581" i="12" s="1"/>
  <c r="K582" i="12" s="1"/>
  <c r="K583" i="12" s="1"/>
  <c r="K584" i="12" s="1"/>
  <c r="K585" i="12" s="1"/>
  <c r="K586" i="12" s="1"/>
  <c r="K587" i="12" s="1"/>
  <c r="K588" i="12" s="1"/>
  <c r="K589" i="12" s="1"/>
  <c r="K590" i="12" s="1"/>
  <c r="K591" i="12" s="1"/>
  <c r="K592" i="12" s="1"/>
  <c r="K593" i="12" s="1"/>
  <c r="K594" i="12" s="1"/>
  <c r="K595" i="12" s="1"/>
  <c r="K596" i="12" s="1"/>
  <c r="K597" i="12" s="1"/>
  <c r="K598" i="12" s="1"/>
  <c r="K599" i="12" s="1"/>
  <c r="K600" i="12" s="1"/>
  <c r="K601" i="12" s="1"/>
  <c r="K602" i="12" s="1"/>
  <c r="K603" i="12" s="1"/>
  <c r="K604" i="12" s="1"/>
  <c r="K605" i="12" s="1"/>
  <c r="K606" i="12" s="1"/>
  <c r="K607" i="12" s="1"/>
  <c r="K608" i="12" s="1"/>
  <c r="K609" i="12" s="1"/>
  <c r="K610" i="12" s="1"/>
  <c r="K611" i="12" s="1"/>
  <c r="K612" i="12" s="1"/>
  <c r="K613" i="12" s="1"/>
  <c r="K614" i="12" s="1"/>
  <c r="K615" i="12" s="1"/>
  <c r="K616" i="12" s="1"/>
  <c r="K617" i="12" s="1"/>
  <c r="K618" i="12" s="1"/>
  <c r="K619" i="12" s="1"/>
  <c r="K620" i="12" s="1"/>
  <c r="K621" i="12" s="1"/>
  <c r="K622" i="12" s="1"/>
  <c r="K623" i="12" s="1"/>
  <c r="K624" i="12" s="1"/>
  <c r="K625" i="12" s="1"/>
  <c r="K626" i="12" s="1"/>
  <c r="K627" i="12" s="1"/>
  <c r="K628" i="12" s="1"/>
  <c r="K629" i="12" s="1"/>
  <c r="K630" i="12" s="1"/>
  <c r="K631" i="12" s="1"/>
  <c r="K632" i="12" s="1"/>
  <c r="K633" i="12" s="1"/>
  <c r="K634" i="12" s="1"/>
  <c r="K635" i="12" s="1"/>
  <c r="K636" i="12" s="1"/>
  <c r="K637" i="12" s="1"/>
  <c r="K638" i="12" s="1"/>
  <c r="K639" i="12" s="1"/>
  <c r="K640" i="12" s="1"/>
  <c r="K641" i="12" s="1"/>
  <c r="K642" i="12" s="1"/>
  <c r="K643" i="12" s="1"/>
  <c r="K644" i="12" s="1"/>
  <c r="K645" i="12" s="1"/>
  <c r="K646" i="12" s="1"/>
  <c r="K647" i="12" s="1"/>
  <c r="K648" i="12" s="1"/>
  <c r="K649" i="12" s="1"/>
  <c r="K650" i="12" s="1"/>
  <c r="K651" i="12" s="1"/>
  <c r="K652" i="12" s="1"/>
  <c r="K653" i="12" s="1"/>
  <c r="K654" i="12" s="1"/>
  <c r="K655" i="12" s="1"/>
  <c r="K656" i="12" s="1"/>
  <c r="K657" i="12" s="1"/>
  <c r="K658" i="12" s="1"/>
  <c r="K659" i="12" s="1"/>
  <c r="K660" i="12" s="1"/>
  <c r="K661" i="12" s="1"/>
  <c r="K662" i="12" s="1"/>
  <c r="K663" i="12" s="1"/>
  <c r="K664" i="12" s="1"/>
  <c r="K665" i="12" s="1"/>
  <c r="K666" i="12" s="1"/>
  <c r="K667" i="12" s="1"/>
  <c r="K668" i="12" s="1"/>
  <c r="K669" i="12" s="1"/>
  <c r="K670" i="12" s="1"/>
  <c r="K671" i="12" s="1"/>
  <c r="K672" i="12" s="1"/>
  <c r="K673" i="12" s="1"/>
  <c r="K674" i="12" s="1"/>
  <c r="K675" i="12" s="1"/>
  <c r="K676" i="12" s="1"/>
  <c r="K677" i="12" s="1"/>
  <c r="K678" i="12" s="1"/>
  <c r="K679" i="12" s="1"/>
  <c r="K680" i="12" s="1"/>
  <c r="K681" i="12" s="1"/>
  <c r="K682" i="12" s="1"/>
  <c r="K683" i="12" s="1"/>
  <c r="K684" i="12" s="1"/>
  <c r="K685" i="12" s="1"/>
  <c r="K686" i="12" s="1"/>
  <c r="K687" i="12" s="1"/>
  <c r="K688" i="12" s="1"/>
  <c r="K689" i="12" s="1"/>
  <c r="K690" i="12" s="1"/>
  <c r="K691" i="12" s="1"/>
  <c r="K692" i="12" s="1"/>
  <c r="K693" i="12" s="1"/>
  <c r="K694" i="12" s="1"/>
  <c r="K695" i="12" s="1"/>
  <c r="K696" i="12" s="1"/>
  <c r="K697" i="12" s="1"/>
  <c r="K698" i="12" s="1"/>
  <c r="K699" i="12" s="1"/>
  <c r="K700" i="12" s="1"/>
  <c r="K701" i="12" s="1"/>
  <c r="K702" i="12" s="1"/>
  <c r="K703" i="12" s="1"/>
  <c r="K704" i="12" s="1"/>
  <c r="K705" i="12" s="1"/>
  <c r="K706" i="12" s="1"/>
  <c r="K707" i="12" s="1"/>
  <c r="K708" i="12" s="1"/>
  <c r="K709" i="12" s="1"/>
  <c r="K710" i="12" s="1"/>
  <c r="K711" i="12" s="1"/>
  <c r="K712" i="12" s="1"/>
  <c r="K713" i="12" s="1"/>
  <c r="K714" i="12" s="1"/>
  <c r="K715" i="12" s="1"/>
  <c r="K716" i="12" s="1"/>
  <c r="K717" i="12" s="1"/>
  <c r="K718" i="12" s="1"/>
  <c r="K719" i="12" s="1"/>
  <c r="K720" i="12" s="1"/>
  <c r="K721" i="12" s="1"/>
  <c r="K722" i="12" s="1"/>
  <c r="K723" i="12" s="1"/>
  <c r="K724" i="12" s="1"/>
  <c r="K725" i="12" s="1"/>
  <c r="K726" i="12" s="1"/>
  <c r="K727" i="12" s="1"/>
  <c r="K728" i="12" s="1"/>
  <c r="K729" i="12" s="1"/>
  <c r="K730" i="12" s="1"/>
  <c r="K731" i="12" s="1"/>
  <c r="K732" i="12" s="1"/>
  <c r="K733" i="12" s="1"/>
  <c r="K734" i="12" s="1"/>
  <c r="K735" i="12" s="1"/>
  <c r="K736" i="12" s="1"/>
  <c r="K737" i="12" s="1"/>
  <c r="AW3" i="8" s="1"/>
  <c r="AO4" i="8"/>
  <c r="AO6" i="8" s="1"/>
  <c r="M6" i="18" l="1"/>
  <c r="E9" i="8"/>
  <c r="E11" i="8" s="1"/>
  <c r="E23" i="8"/>
  <c r="E16" i="8"/>
  <c r="E17" i="8" s="1"/>
  <c r="E8" i="8" s="1"/>
  <c r="E10" i="8" s="1"/>
  <c r="E13" i="8" s="1"/>
  <c r="E18" i="8" s="1"/>
  <c r="E20" i="8" s="1"/>
  <c r="AR262" i="8"/>
  <c r="AR561" i="8"/>
  <c r="AN26" i="8"/>
  <c r="AN38" i="8"/>
  <c r="AN53" i="8"/>
  <c r="AN57" i="8"/>
  <c r="AN27" i="8"/>
  <c r="AN28" i="8"/>
  <c r="AN47" i="8"/>
  <c r="AR301" i="8"/>
  <c r="AN46" i="8"/>
  <c r="AN45" i="8"/>
  <c r="AR509" i="8"/>
  <c r="AN34" i="8"/>
  <c r="AR392" i="8"/>
  <c r="AN37" i="8"/>
  <c r="AR431" i="8"/>
  <c r="AN44" i="8"/>
  <c r="AR483" i="8"/>
  <c r="AN43" i="8"/>
  <c r="AR405" i="8"/>
  <c r="AN51" i="8"/>
  <c r="AR366" i="8"/>
  <c r="AN39" i="8"/>
  <c r="AN24" i="8"/>
  <c r="AR522" i="8"/>
  <c r="AN42" i="8"/>
  <c r="AN49" i="8"/>
  <c r="AR418" i="8"/>
  <c r="AN54" i="8"/>
  <c r="AR496" i="8"/>
  <c r="AR314" i="8"/>
  <c r="AN58" i="8"/>
  <c r="AN41" i="8"/>
  <c r="AN61" i="8"/>
  <c r="AN21" i="8"/>
  <c r="AN50" i="8"/>
  <c r="AN23" i="8"/>
  <c r="AN29" i="8"/>
  <c r="AR379" i="8"/>
  <c r="AN55" i="8"/>
  <c r="AN33" i="8"/>
  <c r="AN31" i="8"/>
  <c r="AN52" i="8"/>
  <c r="AR535" i="8"/>
  <c r="AR275" i="8"/>
  <c r="AR470" i="8"/>
  <c r="AN48" i="8"/>
  <c r="AR327" i="8"/>
  <c r="AN30" i="8"/>
  <c r="AN25" i="8"/>
  <c r="AN60" i="8"/>
  <c r="AN35" i="8"/>
  <c r="AN18" i="8"/>
  <c r="AR444" i="8"/>
  <c r="AN32" i="8"/>
  <c r="AR288" i="8"/>
  <c r="AN36" i="8"/>
  <c r="AN19" i="8"/>
  <c r="AN22" i="8"/>
  <c r="AR457" i="8"/>
  <c r="AR548" i="8"/>
  <c r="AN20" i="8"/>
  <c r="AN56" i="8"/>
  <c r="AN59" i="8"/>
  <c r="AR353" i="8"/>
  <c r="AR340" i="8"/>
  <c r="AN40" i="8"/>
  <c r="AR184" i="8"/>
  <c r="AR158" i="8"/>
  <c r="AR132" i="8"/>
  <c r="AR210" i="8"/>
  <c r="AR236" i="8"/>
  <c r="AR145" i="8"/>
  <c r="BB29" i="8"/>
  <c r="BI32" i="8"/>
  <c r="AZ36" i="8"/>
  <c r="BI28" i="8"/>
  <c r="AY6" i="8"/>
  <c r="BK32" i="8"/>
  <c r="BD37" i="8"/>
  <c r="BB9" i="8"/>
  <c r="BH12" i="8"/>
  <c r="AZ33" i="8"/>
  <c r="BK19" i="8"/>
  <c r="AY33" i="8"/>
  <c r="BH23" i="8"/>
  <c r="AZ13" i="8"/>
  <c r="BD6" i="8"/>
  <c r="AZ41" i="8"/>
  <c r="BK46" i="8"/>
  <c r="AW4" i="8"/>
  <c r="BK7" i="8"/>
  <c r="AY18" i="8"/>
  <c r="AY43" i="8"/>
  <c r="BH29" i="8"/>
  <c r="BF11" i="8"/>
  <c r="AY21" i="8"/>
  <c r="BE30" i="8"/>
  <c r="BK33" i="8"/>
  <c r="BI38" i="8"/>
  <c r="BF10" i="8"/>
  <c r="BI45" i="8"/>
  <c r="BI17" i="8"/>
  <c r="AZ37" i="8"/>
  <c r="AW16" i="8"/>
  <c r="AW25" i="8"/>
  <c r="BF22" i="8"/>
  <c r="AY42" i="8"/>
  <c r="AW27" i="8"/>
  <c r="AX3" i="8"/>
  <c r="AX18" i="8"/>
  <c r="BD8" i="8"/>
  <c r="AW6" i="8"/>
  <c r="AW34" i="8"/>
  <c r="BA4" i="8"/>
  <c r="AX11" i="8"/>
  <c r="BC41" i="8"/>
  <c r="BE8" i="8"/>
  <c r="BI20" i="8"/>
  <c r="BK9" i="8"/>
  <c r="AX26" i="8"/>
  <c r="BD18" i="8"/>
  <c r="BH17" i="8"/>
  <c r="BH28" i="8"/>
  <c r="AX23" i="8"/>
  <c r="BC36" i="8"/>
  <c r="BK15" i="8"/>
  <c r="BD10" i="8"/>
  <c r="BA41" i="8"/>
  <c r="BA30" i="8"/>
  <c r="BB39" i="8"/>
  <c r="AX36" i="8"/>
  <c r="AW36" i="8"/>
  <c r="BI9" i="8"/>
  <c r="AW39" i="8"/>
  <c r="AX9" i="8"/>
  <c r="BF35" i="8"/>
  <c r="BF12" i="8"/>
  <c r="AX29" i="8"/>
  <c r="BA37" i="8"/>
  <c r="AW45" i="8"/>
  <c r="BE28" i="8"/>
  <c r="BE7" i="8"/>
  <c r="AW8" i="8"/>
  <c r="AZ22" i="8"/>
  <c r="AY8" i="8"/>
  <c r="BB41" i="8"/>
  <c r="BI4" i="8"/>
  <c r="BB27" i="8"/>
  <c r="BH16" i="8"/>
  <c r="AY13" i="8"/>
  <c r="AZ34" i="8"/>
  <c r="BE16" i="8"/>
  <c r="BF30" i="8"/>
  <c r="AY15" i="8"/>
  <c r="BF39" i="8"/>
  <c r="BB13" i="8"/>
  <c r="AX22" i="8"/>
  <c r="BD33" i="8"/>
  <c r="AX7" i="8"/>
  <c r="BI8" i="8"/>
  <c r="BI22" i="8"/>
  <c r="AZ28" i="8"/>
  <c r="BA42" i="8"/>
  <c r="BI10" i="8"/>
  <c r="BI18" i="8"/>
  <c r="BE11" i="8"/>
  <c r="BA3" i="8"/>
  <c r="BF9" i="8"/>
  <c r="AY12" i="8"/>
  <c r="BB15" i="8"/>
  <c r="AZ9" i="8"/>
  <c r="BB7" i="8"/>
  <c r="BD41" i="8"/>
  <c r="BB25" i="8"/>
  <c r="BA8" i="8"/>
  <c r="BD14" i="8"/>
  <c r="BE10" i="8"/>
  <c r="AZ46" i="8"/>
  <c r="BC22" i="8"/>
  <c r="BB35" i="8"/>
  <c r="BA29" i="8"/>
  <c r="BK26" i="8"/>
  <c r="AX32" i="8"/>
  <c r="BF36" i="8"/>
  <c r="AZ23" i="8"/>
  <c r="BD32" i="8"/>
  <c r="AX33" i="8"/>
  <c r="BI6" i="8"/>
  <c r="BC6" i="8"/>
  <c r="BE22" i="8"/>
  <c r="AZ11" i="8"/>
  <c r="AW43" i="8"/>
  <c r="BD44" i="8"/>
  <c r="BC10" i="8"/>
  <c r="BK35" i="8"/>
  <c r="BK34" i="8"/>
  <c r="AY4" i="8"/>
  <c r="BF41" i="8"/>
  <c r="BH15" i="8"/>
  <c r="BI7" i="8"/>
  <c r="BF29" i="8"/>
  <c r="BD34" i="8"/>
  <c r="BH37" i="8"/>
  <c r="BC24" i="8"/>
  <c r="BE38" i="8"/>
  <c r="BA33" i="8"/>
  <c r="BA6" i="8"/>
  <c r="BB37" i="8"/>
  <c r="AZ31" i="8"/>
  <c r="AX25" i="8"/>
  <c r="BE9" i="8"/>
  <c r="BK16" i="8"/>
  <c r="BI27" i="8"/>
  <c r="BC21" i="8"/>
  <c r="BF26" i="8"/>
  <c r="BB18" i="8"/>
  <c r="BH7" i="8"/>
  <c r="BI33" i="8"/>
  <c r="BH21" i="8"/>
  <c r="BK27" i="8"/>
  <c r="BC8" i="8"/>
  <c r="AX5" i="8"/>
  <c r="AZ20" i="8"/>
  <c r="BC28" i="8"/>
  <c r="BH30" i="8"/>
  <c r="BK39" i="8"/>
  <c r="AW20" i="8"/>
  <c r="BD21" i="8"/>
  <c r="BA17" i="8"/>
  <c r="BE37" i="8"/>
  <c r="BF20" i="8"/>
  <c r="BC5" i="8"/>
  <c r="AZ7" i="8"/>
  <c r="BI44" i="8"/>
  <c r="BD3" i="8"/>
  <c r="BK5" i="8"/>
  <c r="BC9" i="8"/>
  <c r="BF16" i="8"/>
  <c r="BI41" i="8"/>
  <c r="BF43" i="8"/>
  <c r="AZ10" i="8"/>
  <c r="AY24" i="8"/>
  <c r="AZ5" i="8"/>
  <c r="AW13" i="8"/>
  <c r="BA12" i="8"/>
  <c r="BF24" i="8"/>
  <c r="BC40" i="8"/>
  <c r="BA7" i="8"/>
  <c r="BF4" i="8"/>
  <c r="BA20" i="8"/>
  <c r="BA40" i="8"/>
  <c r="BD11" i="8"/>
  <c r="BC30" i="8"/>
  <c r="AX27" i="8"/>
  <c r="AY29" i="8"/>
  <c r="BC15" i="8"/>
  <c r="BC13" i="8"/>
  <c r="AY10" i="8"/>
  <c r="BK25" i="8"/>
  <c r="BB14" i="8"/>
  <c r="BC14" i="8"/>
  <c r="BA14" i="8"/>
  <c r="BB12" i="8"/>
  <c r="BF19" i="8"/>
  <c r="AZ42" i="8"/>
  <c r="AZ40" i="8"/>
  <c r="BB42" i="8"/>
  <c r="AX20" i="8"/>
  <c r="BB11" i="8"/>
  <c r="AZ21" i="8"/>
  <c r="BE13" i="8"/>
  <c r="BE44" i="8"/>
  <c r="BC26" i="8"/>
  <c r="AZ45" i="8"/>
  <c r="BH6" i="8"/>
  <c r="BK36" i="8"/>
  <c r="AX42" i="8"/>
  <c r="BF21" i="8"/>
  <c r="AY16" i="8"/>
  <c r="BD27" i="8"/>
  <c r="AX16" i="8"/>
  <c r="BC33" i="8"/>
  <c r="AX44" i="8"/>
  <c r="BK23" i="8"/>
  <c r="BK13" i="8"/>
  <c r="BE35" i="8"/>
  <c r="BF6" i="8"/>
  <c r="BB28" i="8"/>
  <c r="AX19" i="8"/>
  <c r="BH13" i="8"/>
  <c r="AY3" i="8"/>
  <c r="BH18" i="8"/>
  <c r="BI16" i="8"/>
  <c r="AW33" i="8"/>
  <c r="BA35" i="8"/>
  <c r="BF32" i="8"/>
  <c r="BB10" i="8"/>
  <c r="AW30" i="8"/>
  <c r="AZ3" i="8"/>
  <c r="AW21" i="8"/>
  <c r="BD28" i="8"/>
  <c r="BD25" i="8"/>
  <c r="BE19" i="8"/>
  <c r="BI3" i="8"/>
  <c r="BD35" i="8"/>
  <c r="BC39" i="8"/>
  <c r="BH31" i="8"/>
  <c r="AX13" i="8"/>
  <c r="AW11" i="8"/>
  <c r="BC46" i="8"/>
  <c r="BK12" i="8"/>
  <c r="BA34" i="8"/>
  <c r="BD29" i="8"/>
  <c r="BE46" i="8"/>
  <c r="BD17" i="8"/>
  <c r="BK11" i="8"/>
  <c r="BE32" i="8"/>
  <c r="BF42" i="8"/>
  <c r="BA11" i="8"/>
  <c r="AY46" i="8"/>
  <c r="BH24" i="8"/>
  <c r="BD46" i="8"/>
  <c r="BC11" i="8"/>
  <c r="AZ19" i="8"/>
  <c r="BA24" i="8"/>
  <c r="BC4" i="8"/>
  <c r="BB3" i="8"/>
  <c r="BA43" i="8"/>
  <c r="BF25" i="8"/>
  <c r="BA31" i="8"/>
  <c r="AW17" i="8"/>
  <c r="BH26" i="8"/>
  <c r="BI25" i="8"/>
  <c r="BH40" i="8"/>
  <c r="AY40" i="8"/>
  <c r="BK17" i="8"/>
  <c r="BH39" i="8"/>
  <c r="BE5" i="8"/>
  <c r="AX14" i="8"/>
  <c r="BI13" i="8"/>
  <c r="AZ27" i="8"/>
  <c r="AW35" i="8"/>
  <c r="BF37" i="8"/>
  <c r="BH44" i="8"/>
  <c r="AW24" i="8"/>
  <c r="BC12" i="8"/>
  <c r="AX45" i="8"/>
  <c r="AX37" i="8"/>
  <c r="AZ18" i="8"/>
  <c r="BK22" i="8"/>
  <c r="AX6" i="8"/>
  <c r="BI23" i="8"/>
  <c r="BA32" i="8"/>
  <c r="BE40" i="8"/>
  <c r="AW26" i="8"/>
  <c r="BE29" i="8"/>
  <c r="BB19" i="8"/>
  <c r="BD42" i="8"/>
  <c r="BB26" i="8"/>
  <c r="BD12" i="8"/>
  <c r="AZ30" i="8"/>
  <c r="AZ38" i="8"/>
  <c r="BC35" i="8"/>
  <c r="BA13" i="8"/>
  <c r="BI26" i="8"/>
  <c r="BE15" i="8"/>
  <c r="AW37" i="8"/>
  <c r="BH25" i="8"/>
  <c r="BC18" i="8"/>
  <c r="BI36" i="8"/>
  <c r="BB44" i="8"/>
  <c r="BF40" i="8"/>
  <c r="BF38" i="8"/>
  <c r="AZ39" i="8"/>
  <c r="BA27" i="8"/>
  <c r="BD4" i="8"/>
  <c r="BK29" i="8"/>
  <c r="BE21" i="8"/>
  <c r="BE18" i="8"/>
  <c r="BA19" i="8"/>
  <c r="BD13" i="8"/>
  <c r="BB4" i="8"/>
  <c r="AZ29" i="8"/>
  <c r="BH38" i="8"/>
  <c r="BK44" i="8"/>
  <c r="AX43" i="8"/>
  <c r="AX12" i="8"/>
  <c r="AX34" i="8"/>
  <c r="BK28" i="8"/>
  <c r="BE41" i="8"/>
  <c r="BF5" i="8"/>
  <c r="AX40" i="8"/>
  <c r="BD23" i="8"/>
  <c r="AW22" i="8"/>
  <c r="AZ6" i="8"/>
  <c r="BH46" i="8"/>
  <c r="BF14" i="8"/>
  <c r="BD39" i="8"/>
  <c r="BH14" i="8"/>
  <c r="AZ4" i="8"/>
  <c r="BH9" i="8"/>
  <c r="BE26" i="8"/>
  <c r="BH27" i="8"/>
  <c r="BD5" i="8"/>
  <c r="BB38" i="8"/>
  <c r="BK38" i="8"/>
  <c r="BF15" i="8"/>
  <c r="BI39" i="8"/>
  <c r="BB5" i="8"/>
  <c r="BE17" i="8"/>
  <c r="BK40" i="8"/>
  <c r="BE24" i="8"/>
  <c r="AW23" i="8"/>
  <c r="AW9" i="8"/>
  <c r="BA18" i="8"/>
  <c r="BD45" i="8"/>
  <c r="BB43" i="8"/>
  <c r="BD40" i="8"/>
  <c r="AX28" i="8"/>
  <c r="BF33" i="8"/>
  <c r="AY31" i="8"/>
  <c r="BI19" i="8"/>
  <c r="AW5" i="8"/>
  <c r="BH32" i="8"/>
  <c r="AX46" i="8"/>
  <c r="AY28" i="8"/>
  <c r="BF46" i="8"/>
  <c r="BH5" i="8"/>
  <c r="BC31" i="8"/>
  <c r="BF7" i="8"/>
  <c r="BH10" i="8"/>
  <c r="BH41" i="8"/>
  <c r="BE25" i="8"/>
  <c r="BD43" i="8"/>
  <c r="BE33" i="8"/>
  <c r="BC29" i="8"/>
  <c r="BA25" i="8"/>
  <c r="BA5" i="8"/>
  <c r="BB30" i="8"/>
  <c r="AW14" i="8"/>
  <c r="BA26" i="8"/>
  <c r="AY17" i="8"/>
  <c r="AW19" i="8"/>
  <c r="BA9" i="8"/>
  <c r="BE42" i="8"/>
  <c r="BD38" i="8"/>
  <c r="BK43" i="8"/>
  <c r="AX24" i="8"/>
  <c r="BE27" i="8"/>
  <c r="BD24" i="8"/>
  <c r="BH33" i="8"/>
  <c r="AZ12" i="8"/>
  <c r="BE45" i="8"/>
  <c r="BK31" i="8"/>
  <c r="BA28" i="8"/>
  <c r="BI40" i="8"/>
  <c r="AY32" i="8"/>
  <c r="BD19" i="8"/>
  <c r="AY25" i="8"/>
  <c r="AX39" i="8"/>
  <c r="BA21" i="8"/>
  <c r="BA23" i="8"/>
  <c r="BK41" i="8"/>
  <c r="BB33" i="8"/>
  <c r="AW42" i="8"/>
  <c r="BI34" i="8"/>
  <c r="AY36" i="8"/>
  <c r="AY30" i="8"/>
  <c r="BB6" i="8"/>
  <c r="BH45" i="8"/>
  <c r="BI31" i="8"/>
  <c r="AZ26" i="8"/>
  <c r="BD36" i="8"/>
  <c r="AZ8" i="8"/>
  <c r="AZ35" i="8"/>
  <c r="AY11" i="8"/>
  <c r="BB32" i="8"/>
  <c r="BI21" i="8"/>
  <c r="BI43" i="8"/>
  <c r="BE12" i="8"/>
  <c r="BK20" i="8"/>
  <c r="BA36" i="8"/>
  <c r="BF31" i="8"/>
  <c r="BA45" i="8"/>
  <c r="BD20" i="8"/>
  <c r="AW15" i="8"/>
  <c r="BB17" i="8"/>
  <c r="BB46" i="8"/>
  <c r="BC16" i="8"/>
  <c r="BB24" i="8"/>
  <c r="AX17" i="8"/>
  <c r="BF34" i="8"/>
  <c r="BB16" i="8"/>
  <c r="AZ24" i="8"/>
  <c r="BH11" i="8"/>
  <c r="BH3" i="8"/>
  <c r="BD31" i="8"/>
  <c r="AY26" i="8"/>
  <c r="BI37" i="8"/>
  <c r="AX35" i="8"/>
  <c r="BC38" i="8"/>
  <c r="BK8" i="8"/>
  <c r="BB8" i="8"/>
  <c r="AX30" i="8"/>
  <c r="AW38" i="8"/>
  <c r="AY27" i="8"/>
  <c r="BH36" i="8"/>
  <c r="AX31" i="8"/>
  <c r="BF13" i="8"/>
  <c r="AY19" i="8"/>
  <c r="BA15" i="8"/>
  <c r="BI12" i="8"/>
  <c r="AZ32" i="8"/>
  <c r="AY39" i="8"/>
  <c r="BE39" i="8"/>
  <c r="BC23" i="8"/>
  <c r="BH22" i="8"/>
  <c r="BH4" i="8"/>
  <c r="BK10" i="8"/>
  <c r="BI11" i="8"/>
  <c r="AW32" i="8"/>
  <c r="AZ17" i="8"/>
  <c r="BE43" i="8"/>
  <c r="BK37" i="8"/>
  <c r="BK14" i="8"/>
  <c r="BK6" i="8"/>
  <c r="BD9" i="8"/>
  <c r="BF18" i="8"/>
  <c r="BE31" i="8"/>
  <c r="AW31" i="8"/>
  <c r="AY14" i="8"/>
  <c r="BH19" i="8"/>
  <c r="BF27" i="8"/>
  <c r="BE23" i="8"/>
  <c r="BI46" i="8"/>
  <c r="BB40" i="8"/>
  <c r="BH35" i="8"/>
  <c r="AX10" i="8"/>
  <c r="BE36" i="8"/>
  <c r="AZ25" i="8"/>
  <c r="AW18" i="8"/>
  <c r="AY23" i="8"/>
  <c r="AY37" i="8"/>
  <c r="BD22" i="8"/>
  <c r="AY44" i="8"/>
  <c r="AX8" i="8"/>
  <c r="BA10" i="8"/>
  <c r="AZ14" i="8"/>
  <c r="BD15" i="8"/>
  <c r="AZ44" i="8"/>
  <c r="BC42" i="8"/>
  <c r="AY9" i="8"/>
  <c r="BI14" i="8"/>
  <c r="AY38" i="8"/>
  <c r="AX41" i="8"/>
  <c r="BE4" i="8"/>
  <c r="BC34" i="8"/>
  <c r="AW46" i="8"/>
  <c r="AX15" i="8"/>
  <c r="BD26" i="8"/>
  <c r="BH20" i="8"/>
  <c r="BI30" i="8"/>
  <c r="AY34" i="8"/>
  <c r="BB22" i="8"/>
  <c r="BI24" i="8"/>
  <c r="BD30" i="8"/>
  <c r="BC32" i="8"/>
  <c r="BK24" i="8"/>
  <c r="BF28" i="8"/>
  <c r="BF3" i="8"/>
  <c r="BC45" i="8"/>
  <c r="BF17" i="8"/>
  <c r="BA22" i="8"/>
  <c r="AY7" i="8"/>
  <c r="BB36" i="8"/>
  <c r="AY35" i="8"/>
  <c r="BI42" i="8"/>
  <c r="AY20" i="8"/>
  <c r="AW7" i="8"/>
  <c r="AW41" i="8"/>
  <c r="AZ43" i="8"/>
  <c r="BF23" i="8"/>
  <c r="BA46" i="8"/>
  <c r="AW29" i="8"/>
  <c r="AX21" i="8"/>
  <c r="BK4" i="8"/>
  <c r="BB21" i="8"/>
  <c r="AW10" i="8"/>
  <c r="BB45" i="8"/>
  <c r="BE20" i="8"/>
  <c r="BK21" i="8"/>
  <c r="BC27" i="8"/>
  <c r="BC25" i="8"/>
  <c r="BH43" i="8"/>
  <c r="BE3" i="8"/>
  <c r="BK30" i="8"/>
  <c r="AY41" i="8"/>
  <c r="AY5" i="8"/>
  <c r="BE14" i="8"/>
  <c r="AX4" i="8"/>
  <c r="BB31" i="8"/>
  <c r="AW28" i="8"/>
  <c r="BH34" i="8"/>
  <c r="BC17" i="8"/>
  <c r="BK45" i="8"/>
  <c r="BF44" i="8"/>
  <c r="AW44" i="8"/>
  <c r="BK3" i="8"/>
  <c r="AW40" i="8"/>
  <c r="BK42" i="8"/>
  <c r="BA44" i="8"/>
  <c r="AY22" i="8"/>
  <c r="BD16" i="8"/>
  <c r="BE6" i="8"/>
  <c r="BI35" i="8"/>
  <c r="BI5" i="8"/>
  <c r="BA39" i="8"/>
  <c r="AZ15" i="8"/>
  <c r="BK18" i="8"/>
  <c r="BH8" i="8"/>
  <c r="BD7" i="8"/>
  <c r="BC3" i="8"/>
  <c r="BC20" i="8"/>
  <c r="BB34" i="8"/>
  <c r="BC19" i="8"/>
  <c r="AY45" i="8"/>
  <c r="BF8" i="8"/>
  <c r="BC44" i="8"/>
  <c r="BB20" i="8"/>
  <c r="BA38" i="8"/>
  <c r="BI15" i="8"/>
  <c r="BE34" i="8"/>
  <c r="BB23" i="8"/>
  <c r="AW12" i="8"/>
  <c r="BA16" i="8"/>
  <c r="BI29" i="8"/>
  <c r="BC43" i="8"/>
  <c r="BF45" i="8"/>
  <c r="BH42" i="8"/>
  <c r="BC7" i="8"/>
  <c r="AZ16" i="8"/>
  <c r="BC37" i="8"/>
  <c r="AX38" i="8"/>
  <c r="AR197" i="8"/>
  <c r="AR106" i="8"/>
  <c r="AR171" i="8"/>
  <c r="AR249" i="8"/>
  <c r="AR223" i="8"/>
  <c r="AR119" i="8"/>
  <c r="B20" i="8"/>
  <c r="H11" i="3" a="1"/>
  <c r="E32" i="3" l="1"/>
  <c r="Q4" i="8"/>
  <c r="Q15" i="8" s="1"/>
  <c r="E34" i="3"/>
  <c r="E21" i="8"/>
  <c r="E22" i="8" s="1"/>
  <c r="B19" i="8"/>
  <c r="M7" i="18"/>
  <c r="H11" i="3"/>
  <c r="E12" i="8"/>
  <c r="E19" i="8" s="1"/>
  <c r="E24" i="8" s="1"/>
  <c r="E25" i="8" s="1"/>
  <c r="BG10" i="8"/>
  <c r="BG40" i="8"/>
  <c r="BG32" i="8"/>
  <c r="BG43" i="8"/>
  <c r="BG19" i="8"/>
  <c r="BG36" i="8"/>
  <c r="BG26" i="8"/>
  <c r="BG29" i="8"/>
  <c r="BG23" i="8"/>
  <c r="BG25" i="8"/>
  <c r="BG6" i="8"/>
  <c r="BG24" i="8"/>
  <c r="BG44" i="8"/>
  <c r="BG46" i="8"/>
  <c r="BG18" i="8"/>
  <c r="BG13" i="8"/>
  <c r="BG7" i="8"/>
  <c r="BG33" i="8"/>
  <c r="BG15" i="8"/>
  <c r="BG4" i="8"/>
  <c r="BG11" i="8"/>
  <c r="BG28" i="8"/>
  <c r="BG37" i="8"/>
  <c r="BG27" i="8"/>
  <c r="BG45" i="8"/>
  <c r="BG21" i="8"/>
  <c r="BG17" i="8"/>
  <c r="BG3" i="8"/>
  <c r="BG42" i="8"/>
  <c r="BG16" i="8"/>
  <c r="BG12" i="8"/>
  <c r="BG20" i="8"/>
  <c r="BG5" i="8"/>
  <c r="BG39" i="8"/>
  <c r="BG38" i="8"/>
  <c r="BG41" i="8"/>
  <c r="BG34" i="8"/>
  <c r="BG22" i="8"/>
  <c r="BG8" i="8"/>
  <c r="BG31" i="8"/>
  <c r="BG30" i="8"/>
  <c r="BG14" i="8"/>
  <c r="BG35" i="8"/>
  <c r="BG9" i="8"/>
  <c r="H5" i="3"/>
  <c r="BS8" i="8" a="1"/>
  <c r="M8" i="18" l="1"/>
  <c r="BS8" i="8"/>
  <c r="AR80" i="8"/>
  <c r="AR93" i="8"/>
  <c r="AR67" i="8"/>
  <c r="AR54" i="8"/>
  <c r="AR15" i="8"/>
  <c r="AX2" i="8"/>
  <c r="AR2" i="8"/>
  <c r="AR41" i="8"/>
  <c r="AR28" i="8"/>
  <c r="M9" i="18" l="1"/>
  <c r="M10" i="18" l="1"/>
  <c r="K5" i="8"/>
  <c r="M11" i="18" l="1"/>
  <c r="K25" i="8"/>
  <c r="AI5" i="8" s="1"/>
  <c r="M12" i="18" l="1"/>
  <c r="AI10" i="8"/>
  <c r="AI2" i="8"/>
  <c r="M13" i="18" l="1"/>
  <c r="AI12" i="8"/>
  <c r="B18" i="8"/>
  <c r="M14" i="18" l="1"/>
  <c r="E26" i="8"/>
  <c r="E27" i="8" s="1"/>
  <c r="H16" i="3" s="1"/>
  <c r="H9" i="3"/>
  <c r="H4" i="3"/>
  <c r="Z13" i="8"/>
  <c r="B4" i="8" s="1"/>
  <c r="B5" i="8" l="1"/>
  <c r="B6" i="8" s="1"/>
  <c r="B8" i="8" s="1"/>
  <c r="M15" i="18"/>
  <c r="B24" i="8" l="1"/>
  <c r="B25" i="8" s="1"/>
  <c r="B28" i="8"/>
  <c r="B29" i="8" s="1"/>
  <c r="B22" i="8"/>
  <c r="B26" i="8"/>
  <c r="B27" i="8" s="1"/>
  <c r="B30" i="8"/>
  <c r="B31" i="8" s="1"/>
  <c r="M16" i="18"/>
  <c r="B7" i="8"/>
  <c r="AO15" i="8" l="1"/>
  <c r="AO16" i="8" s="1"/>
  <c r="B32" i="8"/>
  <c r="B23" i="8"/>
  <c r="M17" i="18"/>
  <c r="H3" i="3"/>
  <c r="M18" i="18" l="1"/>
  <c r="M19" i="18" l="1"/>
  <c r="M20" i="18" l="1"/>
  <c r="M21" i="18" l="1"/>
  <c r="M22" i="18" l="1"/>
  <c r="M23" i="18" l="1"/>
  <c r="M24" i="18" l="1"/>
  <c r="M25" i="18" l="1"/>
  <c r="M26" i="18" l="1"/>
  <c r="M27" i="18" l="1"/>
  <c r="A37" i="8"/>
  <c r="M28" i="18" l="1"/>
  <c r="M29" i="18" l="1"/>
  <c r="M30" i="18" l="1"/>
  <c r="M31" i="18" l="1"/>
  <c r="M32" i="18" l="1"/>
  <c r="M33" i="18" l="1"/>
  <c r="M34" i="18" s="1"/>
  <c r="M35" i="18" s="1"/>
  <c r="M36" i="18" s="1"/>
  <c r="M37" i="18" s="1"/>
  <c r="M38" i="18" s="1"/>
  <c r="M39" i="18" s="1"/>
  <c r="M40" i="18" s="1"/>
  <c r="M41" i="18" s="1"/>
  <c r="M42" i="18" s="1"/>
  <c r="M43" i="18" s="1"/>
  <c r="M44" i="18" s="1"/>
  <c r="M45" i="18" s="1"/>
  <c r="M46" i="18" s="1"/>
  <c r="M47" i="18" s="1"/>
  <c r="M48" i="18" s="1"/>
  <c r="M49" i="18" s="1"/>
  <c r="M50" i="18" s="1"/>
  <c r="M51" i="18" s="1"/>
  <c r="M52" i="18" s="1"/>
  <c r="F8" i="1" l="1"/>
  <c r="F6" i="1"/>
  <c r="J3" i="1"/>
  <c r="K8" i="1"/>
  <c r="K3" i="1"/>
  <c r="F69" i="1"/>
  <c r="C28" i="1"/>
  <c r="E54" i="1"/>
  <c r="G75" i="1"/>
  <c r="E109" i="1"/>
  <c r="I36" i="1"/>
  <c r="A94" i="1"/>
  <c r="F49" i="1"/>
  <c r="B78" i="1"/>
  <c r="A49" i="1"/>
  <c r="F91" i="1"/>
  <c r="G41" i="1"/>
  <c r="J24" i="1"/>
  <c r="E45" i="1"/>
  <c r="F3" i="1"/>
  <c r="K95" i="1"/>
  <c r="D80" i="1"/>
  <c r="K20" i="1"/>
  <c r="F34" i="1"/>
  <c r="A110" i="1"/>
  <c r="D51" i="1"/>
  <c r="J88" i="1"/>
  <c r="G36" i="1"/>
  <c r="G77" i="1"/>
  <c r="K91" i="1"/>
  <c r="B45" i="1"/>
  <c r="I63" i="1"/>
  <c r="I24" i="1"/>
  <c r="F66" i="1"/>
  <c r="I72" i="1"/>
  <c r="I21" i="1"/>
  <c r="A109" i="1"/>
  <c r="D84" i="1"/>
  <c r="K65" i="1"/>
  <c r="I5" i="1"/>
  <c r="G29" i="1"/>
  <c r="G30" i="1"/>
  <c r="B77" i="1"/>
  <c r="G68" i="1"/>
  <c r="C91" i="1"/>
  <c r="D68" i="1"/>
  <c r="I105" i="1"/>
  <c r="I10" i="1"/>
  <c r="D96" i="1"/>
  <c r="H72" i="1"/>
  <c r="C23" i="1"/>
  <c r="F46" i="1"/>
  <c r="H92" i="1"/>
  <c r="K15" i="1"/>
  <c r="D110" i="1"/>
  <c r="B66" i="1"/>
  <c r="D111" i="1"/>
  <c r="G102" i="1"/>
  <c r="D73" i="1"/>
  <c r="I73" i="1"/>
  <c r="E46" i="1"/>
  <c r="F102" i="1"/>
  <c r="A103" i="1"/>
  <c r="B107" i="1"/>
  <c r="H14" i="1"/>
  <c r="D14" i="1"/>
  <c r="A74" i="1"/>
  <c r="D7" i="1"/>
  <c r="E83" i="1"/>
  <c r="C90" i="1"/>
  <c r="A37" i="1"/>
  <c r="C38" i="1"/>
  <c r="C15" i="1"/>
  <c r="I74" i="1"/>
  <c r="B13" i="1"/>
  <c r="E75" i="1"/>
  <c r="K22" i="1"/>
  <c r="B59" i="1"/>
  <c r="J45" i="1"/>
  <c r="K76" i="1"/>
  <c r="J61" i="1"/>
  <c r="A100" i="1"/>
  <c r="G106" i="1"/>
  <c r="E78" i="1"/>
  <c r="B34" i="1"/>
  <c r="K10" i="1"/>
  <c r="K37" i="1"/>
  <c r="E87" i="1"/>
  <c r="J34" i="1"/>
  <c r="A5" i="1"/>
  <c r="A82" i="1"/>
  <c r="C54" i="1"/>
  <c r="F9" i="1"/>
  <c r="I90" i="1"/>
  <c r="B104" i="1"/>
  <c r="A77" i="1"/>
  <c r="I9" i="1"/>
  <c r="C39" i="1"/>
  <c r="C101" i="1"/>
  <c r="D76" i="1"/>
  <c r="J104" i="1"/>
  <c r="E22" i="1"/>
  <c r="J4" i="1"/>
  <c r="G94" i="1"/>
  <c r="C66" i="1"/>
  <c r="G69" i="1"/>
  <c r="G22" i="1"/>
  <c r="A28" i="1"/>
  <c r="C79" i="1"/>
  <c r="A81" i="1"/>
  <c r="I44" i="1"/>
  <c r="J71" i="1"/>
  <c r="G85" i="1"/>
  <c r="I41" i="1"/>
  <c r="F35" i="1"/>
  <c r="F31" i="1"/>
  <c r="B14" i="1"/>
  <c r="J37" i="1"/>
  <c r="J68" i="1"/>
  <c r="G32" i="1"/>
  <c r="B46" i="1"/>
  <c r="I40" i="1"/>
  <c r="H68" i="1"/>
  <c r="F26" i="1"/>
  <c r="D47" i="1"/>
  <c r="C53" i="1"/>
  <c r="E57" i="1"/>
  <c r="K21" i="1"/>
  <c r="G5" i="1"/>
  <c r="H57" i="1"/>
  <c r="G34" i="1"/>
  <c r="H110" i="1"/>
  <c r="B86" i="1"/>
  <c r="H94" i="1"/>
  <c r="K35" i="1"/>
  <c r="K89" i="1"/>
  <c r="I20" i="1"/>
  <c r="J11" i="1"/>
  <c r="K77" i="1"/>
  <c r="F43" i="1"/>
  <c r="B79" i="1"/>
  <c r="J31" i="1"/>
  <c r="G52" i="1"/>
  <c r="J59" i="1"/>
  <c r="C32" i="1"/>
  <c r="D100" i="1"/>
  <c r="D55" i="1"/>
  <c r="B102" i="1"/>
  <c r="H109" i="1"/>
  <c r="B98" i="1"/>
  <c r="K44" i="1"/>
  <c r="H58" i="1"/>
  <c r="B47" i="1"/>
  <c r="H46" i="1"/>
  <c r="E47" i="1"/>
  <c r="E104" i="1"/>
  <c r="J41" i="1"/>
  <c r="F73" i="1"/>
  <c r="B103" i="1"/>
  <c r="B32" i="1"/>
  <c r="B100" i="1"/>
  <c r="A84" i="1"/>
  <c r="J6" i="1"/>
  <c r="J77" i="1"/>
  <c r="H36" i="1"/>
  <c r="F101" i="1"/>
  <c r="H31" i="1"/>
  <c r="E17" i="1"/>
  <c r="E14" i="1"/>
  <c r="G88" i="1"/>
  <c r="F13" i="1"/>
  <c r="D78" i="1"/>
  <c r="D26" i="1"/>
  <c r="G89" i="1"/>
  <c r="K64" i="1"/>
  <c r="E93" i="1"/>
  <c r="G47" i="1"/>
  <c r="A89" i="1"/>
  <c r="H65" i="1"/>
  <c r="C44" i="1"/>
  <c r="J81" i="1"/>
  <c r="K73" i="1"/>
  <c r="E86" i="1"/>
  <c r="J17" i="1"/>
  <c r="A34" i="1"/>
  <c r="D16" i="1"/>
  <c r="E12" i="1"/>
  <c r="J85" i="1"/>
  <c r="C40" i="1"/>
  <c r="B83" i="1"/>
  <c r="D106" i="1"/>
  <c r="E41" i="1"/>
  <c r="H59" i="1"/>
  <c r="I51" i="1"/>
  <c r="H78" i="1"/>
  <c r="G92" i="1"/>
  <c r="J26" i="1"/>
  <c r="D38" i="1"/>
  <c r="G87" i="1"/>
  <c r="G96" i="1"/>
  <c r="C46" i="1"/>
  <c r="D91" i="1"/>
  <c r="D43" i="1"/>
  <c r="I101" i="1"/>
  <c r="J110" i="1"/>
  <c r="G20" i="1"/>
  <c r="J78" i="1"/>
  <c r="B89" i="1"/>
  <c r="I19" i="1"/>
  <c r="K100" i="1"/>
  <c r="B109" i="1"/>
  <c r="G108" i="1"/>
  <c r="F71" i="1"/>
  <c r="D89" i="1"/>
  <c r="D71" i="1"/>
  <c r="F30" i="1"/>
  <c r="C67" i="1"/>
  <c r="D48" i="1"/>
  <c r="J107" i="1"/>
  <c r="D75" i="1"/>
  <c r="K80" i="1"/>
  <c r="H75" i="1"/>
  <c r="G55" i="1"/>
  <c r="E6" i="1"/>
  <c r="G39" i="1"/>
  <c r="J27" i="1"/>
  <c r="D70" i="1"/>
  <c r="J21" i="1"/>
  <c r="I52" i="1"/>
  <c r="C60" i="1"/>
  <c r="G65" i="1"/>
  <c r="B51" i="1"/>
  <c r="I62" i="1"/>
  <c r="A66" i="1"/>
  <c r="I67" i="1"/>
  <c r="B50" i="1"/>
  <c r="K34" i="1"/>
  <c r="H5" i="1"/>
  <c r="C13" i="1"/>
  <c r="G57" i="1"/>
  <c r="E107" i="1"/>
  <c r="G37" i="1"/>
  <c r="G27" i="1"/>
  <c r="E25" i="1"/>
  <c r="D20" i="1"/>
  <c r="B36" i="1"/>
  <c r="J80" i="1"/>
  <c r="H76" i="1"/>
  <c r="I16" i="1"/>
  <c r="D42" i="1"/>
  <c r="C96" i="1"/>
  <c r="H79" i="1"/>
  <c r="J108" i="1"/>
  <c r="H91" i="1"/>
  <c r="G48" i="1"/>
  <c r="K90" i="1"/>
  <c r="G58" i="1"/>
  <c r="I49" i="1"/>
  <c r="K82" i="1"/>
  <c r="K109" i="1"/>
  <c r="H45" i="1"/>
  <c r="D24" i="1"/>
  <c r="I99" i="1"/>
  <c r="E48" i="1"/>
  <c r="I75" i="1"/>
  <c r="J106" i="1"/>
  <c r="G64" i="1"/>
  <c r="G38" i="1"/>
  <c r="F36" i="1"/>
  <c r="H85" i="1"/>
  <c r="B30" i="1"/>
  <c r="F79" i="1"/>
  <c r="G51" i="1"/>
  <c r="D36" i="1"/>
  <c r="C99" i="1"/>
  <c r="A46" i="1"/>
  <c r="A25" i="1"/>
  <c r="H7" i="1"/>
  <c r="H70" i="1"/>
  <c r="E66" i="1"/>
  <c r="I77" i="1"/>
  <c r="K57" i="1"/>
  <c r="D10" i="1"/>
  <c r="K101" i="1"/>
  <c r="F48" i="1"/>
  <c r="F104" i="1"/>
  <c r="C12" i="1"/>
  <c r="J38" i="1"/>
  <c r="I48" i="1"/>
  <c r="I89" i="1"/>
  <c r="E85" i="1"/>
  <c r="J90" i="1"/>
  <c r="A78" i="1"/>
  <c r="G19" i="1"/>
  <c r="J49" i="1"/>
  <c r="J103" i="1"/>
  <c r="F25" i="1"/>
  <c r="K43" i="1"/>
  <c r="F18" i="1"/>
  <c r="H33" i="1"/>
  <c r="I109" i="1"/>
  <c r="H71" i="1"/>
  <c r="D12" i="1"/>
  <c r="J57" i="1"/>
  <c r="B110" i="1"/>
  <c r="K83" i="1"/>
  <c r="A64" i="1"/>
  <c r="E98" i="1"/>
  <c r="G110" i="1"/>
  <c r="I56" i="1"/>
  <c r="D108" i="1"/>
  <c r="A43" i="1"/>
  <c r="J48" i="1"/>
  <c r="G105" i="1"/>
  <c r="I64" i="1"/>
  <c r="D87" i="1"/>
  <c r="K106" i="1"/>
  <c r="C47" i="1"/>
  <c r="I70" i="1"/>
  <c r="F59" i="1"/>
  <c r="G72" i="1"/>
  <c r="H26" i="1"/>
  <c r="F98" i="1"/>
  <c r="H22" i="1"/>
  <c r="H6" i="1"/>
  <c r="D107" i="1"/>
  <c r="K66" i="1"/>
  <c r="K40" i="1"/>
  <c r="C22" i="1"/>
  <c r="G14" i="1"/>
  <c r="J54" i="1"/>
  <c r="K46" i="1"/>
  <c r="I22" i="1"/>
  <c r="H41" i="1"/>
  <c r="D15" i="1"/>
  <c r="G46" i="1"/>
  <c r="C82" i="1"/>
  <c r="H86" i="1"/>
  <c r="G25" i="1"/>
  <c r="I26" i="1"/>
  <c r="F39" i="1"/>
  <c r="B39" i="1"/>
  <c r="B37" i="1"/>
  <c r="G90" i="1"/>
  <c r="F32" i="1"/>
  <c r="D44" i="1"/>
  <c r="F56" i="1"/>
  <c r="A72" i="1"/>
  <c r="D77" i="1"/>
  <c r="G60" i="1"/>
  <c r="E80" i="1"/>
  <c r="D41" i="1"/>
  <c r="F40" i="1"/>
  <c r="J30" i="1"/>
  <c r="A95" i="1"/>
  <c r="F90" i="1"/>
  <c r="B35" i="1"/>
  <c r="F29" i="1"/>
  <c r="I32" i="1"/>
  <c r="F81" i="1"/>
  <c r="F110" i="1"/>
  <c r="C102" i="1"/>
  <c r="D67" i="1"/>
  <c r="B95" i="1"/>
  <c r="A10" i="1"/>
  <c r="C86" i="1"/>
  <c r="D59" i="1"/>
  <c r="J94" i="1"/>
  <c r="I108" i="1"/>
  <c r="F96" i="1"/>
  <c r="B18" i="1"/>
  <c r="J58" i="1"/>
  <c r="I13" i="1"/>
  <c r="B29" i="1"/>
  <c r="B64" i="1"/>
  <c r="C65" i="1"/>
  <c r="J20" i="1"/>
  <c r="F99" i="1"/>
  <c r="I92" i="1"/>
  <c r="E89" i="1"/>
  <c r="K39" i="1"/>
  <c r="E21" i="1"/>
  <c r="H35" i="1"/>
  <c r="J76" i="1"/>
  <c r="E3" i="1"/>
  <c r="J51" i="1"/>
  <c r="E88" i="1"/>
  <c r="B27" i="1"/>
  <c r="G31" i="1"/>
  <c r="A33" i="1"/>
  <c r="C77" i="1"/>
  <c r="I29" i="1"/>
  <c r="A40" i="1"/>
  <c r="E70" i="1"/>
  <c r="F70" i="1"/>
  <c r="B105" i="1"/>
  <c r="D95" i="1"/>
  <c r="I55" i="1"/>
  <c r="E92" i="1"/>
  <c r="B91" i="1"/>
  <c r="H89" i="1"/>
  <c r="C110" i="1"/>
  <c r="B92" i="1"/>
  <c r="J83" i="1"/>
  <c r="B60" i="1"/>
  <c r="K87" i="1"/>
  <c r="H16" i="1"/>
  <c r="D32" i="1"/>
  <c r="A69" i="1"/>
  <c r="F22" i="1"/>
  <c r="D30" i="1"/>
  <c r="C48" i="1"/>
  <c r="J65" i="1"/>
  <c r="D33" i="1"/>
  <c r="F24" i="1"/>
  <c r="A18" i="1"/>
  <c r="C64" i="1"/>
  <c r="I106" i="1"/>
  <c r="H40" i="1"/>
  <c r="I58" i="1"/>
  <c r="A58" i="1"/>
  <c r="F23" i="1"/>
  <c r="G43" i="1"/>
  <c r="A107" i="1"/>
  <c r="F87" i="1"/>
  <c r="D60" i="1"/>
  <c r="K51" i="1"/>
  <c r="F109" i="1"/>
  <c r="G109" i="1"/>
  <c r="J93" i="1"/>
  <c r="I95" i="1"/>
  <c r="F19" i="1"/>
  <c r="F17" i="1"/>
  <c r="B82" i="1"/>
  <c r="C74" i="1"/>
  <c r="I59" i="1"/>
  <c r="G101" i="1"/>
  <c r="C11" i="1"/>
  <c r="I97" i="1"/>
  <c r="K59" i="1"/>
  <c r="B58" i="1"/>
  <c r="I66" i="1"/>
  <c r="E29" i="1"/>
  <c r="C85" i="1"/>
  <c r="H30" i="1"/>
  <c r="D86" i="1"/>
  <c r="H53" i="1"/>
  <c r="I42" i="1"/>
  <c r="I25" i="1"/>
  <c r="A53" i="1"/>
  <c r="D72" i="1"/>
  <c r="H84" i="1"/>
  <c r="E28" i="1"/>
  <c r="E42" i="1"/>
  <c r="C108" i="1"/>
  <c r="B84" i="1"/>
  <c r="C98" i="1"/>
  <c r="I107" i="1"/>
  <c r="G53" i="1"/>
  <c r="K107" i="1"/>
  <c r="J73" i="1"/>
  <c r="H67" i="1"/>
  <c r="F92" i="1"/>
  <c r="F45" i="1"/>
  <c r="D40" i="1"/>
  <c r="H62" i="1"/>
  <c r="F86" i="1"/>
  <c r="H56" i="1"/>
  <c r="C10" i="1"/>
  <c r="J46" i="1"/>
  <c r="G82" i="1"/>
  <c r="J82" i="1"/>
  <c r="K9" i="1"/>
  <c r="H13" i="1"/>
  <c r="D53" i="1"/>
  <c r="A11" i="1"/>
  <c r="B8" i="1"/>
  <c r="B44" i="1"/>
  <c r="C68" i="1"/>
  <c r="D28" i="1"/>
  <c r="C76" i="1"/>
  <c r="F37" i="1"/>
  <c r="I47" i="1"/>
  <c r="D46" i="1"/>
  <c r="C71" i="1"/>
  <c r="E44" i="1"/>
  <c r="B106" i="1"/>
  <c r="J39" i="1"/>
  <c r="A104" i="1"/>
  <c r="K81" i="1"/>
  <c r="F72" i="1"/>
  <c r="B56" i="1"/>
  <c r="I96" i="1"/>
  <c r="B94" i="1"/>
  <c r="K4" i="1"/>
  <c r="E64" i="1"/>
  <c r="I61" i="1"/>
  <c r="G71" i="1"/>
  <c r="E53" i="1"/>
  <c r="E59" i="1"/>
  <c r="J67" i="1"/>
  <c r="C81" i="1"/>
  <c r="J18" i="1"/>
  <c r="H61" i="1"/>
  <c r="G73" i="1"/>
  <c r="I69" i="1"/>
  <c r="I4" i="1"/>
  <c r="C92" i="1"/>
  <c r="H88" i="1"/>
  <c r="A108" i="1"/>
  <c r="F58" i="1"/>
  <c r="F83" i="1"/>
  <c r="K71" i="1"/>
  <c r="K67" i="1"/>
  <c r="J102" i="1"/>
  <c r="J22" i="1"/>
  <c r="C69" i="1"/>
  <c r="B88" i="1"/>
  <c r="K63" i="1"/>
  <c r="G12" i="1"/>
  <c r="B31" i="1"/>
  <c r="J64" i="1"/>
  <c r="E71" i="1"/>
  <c r="D57" i="1"/>
  <c r="K32" i="1"/>
  <c r="E101" i="1"/>
  <c r="F64" i="1"/>
  <c r="J70" i="1"/>
  <c r="K12" i="1"/>
  <c r="G67" i="1"/>
  <c r="C16" i="1"/>
  <c r="G26" i="1"/>
  <c r="A4" i="1"/>
  <c r="A79" i="1"/>
  <c r="H29" i="1"/>
  <c r="F54" i="1"/>
  <c r="C103" i="1"/>
  <c r="K49" i="1"/>
  <c r="K29" i="1"/>
  <c r="H77" i="1"/>
  <c r="E35" i="1"/>
  <c r="H98" i="1"/>
  <c r="G10" i="1"/>
  <c r="A29" i="1"/>
  <c r="I68" i="1"/>
  <c r="G79" i="1"/>
  <c r="J50" i="1"/>
  <c r="H20" i="1"/>
  <c r="D21" i="1"/>
  <c r="I17" i="1"/>
  <c r="C6" i="1"/>
  <c r="A57" i="1"/>
  <c r="J63" i="1"/>
  <c r="D34" i="1"/>
  <c r="D23" i="1"/>
  <c r="I88" i="1"/>
  <c r="D90" i="1"/>
  <c r="I34" i="1"/>
  <c r="G56" i="1"/>
  <c r="H99" i="1"/>
  <c r="J62" i="1"/>
  <c r="J19" i="1"/>
  <c r="I35" i="1"/>
  <c r="D105" i="1"/>
  <c r="D22" i="1"/>
  <c r="I84" i="1"/>
  <c r="E111" i="1"/>
  <c r="A111" i="1"/>
  <c r="I39" i="1"/>
  <c r="K18" i="1"/>
  <c r="F78" i="1"/>
  <c r="F77" i="1"/>
  <c r="K105" i="1"/>
  <c r="H18" i="1"/>
  <c r="G18" i="1"/>
  <c r="H47" i="1"/>
  <c r="H15" i="1"/>
  <c r="K74" i="1"/>
  <c r="K108" i="1"/>
  <c r="I78" i="1"/>
  <c r="K27" i="1"/>
  <c r="A32" i="1"/>
  <c r="J55" i="1"/>
  <c r="B25" i="1"/>
  <c r="D97" i="1"/>
  <c r="F5" i="1"/>
  <c r="A87" i="1"/>
  <c r="B48" i="1"/>
  <c r="I15" i="1"/>
  <c r="J75" i="1"/>
  <c r="E27" i="1"/>
  <c r="G8" i="1"/>
  <c r="B90" i="1"/>
  <c r="A26" i="1"/>
  <c r="J42" i="1"/>
  <c r="D39" i="1"/>
  <c r="G42" i="1"/>
  <c r="E9" i="1"/>
  <c r="K13" i="1"/>
  <c r="F51" i="1"/>
  <c r="B111" i="1"/>
  <c r="A71" i="1"/>
  <c r="C58" i="1"/>
  <c r="E84" i="1"/>
  <c r="C80" i="1"/>
  <c r="G23" i="1"/>
  <c r="J33" i="1"/>
  <c r="J69" i="1"/>
  <c r="F41" i="1"/>
  <c r="J29" i="1"/>
  <c r="E100" i="1"/>
  <c r="H107" i="1"/>
  <c r="G35" i="1"/>
  <c r="A93" i="1"/>
  <c r="K110" i="1"/>
  <c r="K45" i="1"/>
  <c r="D104" i="1"/>
  <c r="I102" i="1"/>
  <c r="E51" i="1"/>
  <c r="B72" i="1"/>
  <c r="C55" i="1"/>
  <c r="J99" i="1"/>
  <c r="A101" i="1"/>
  <c r="K98" i="1"/>
  <c r="E97" i="1"/>
  <c r="G11" i="1"/>
  <c r="B75" i="1"/>
  <c r="G91" i="1"/>
  <c r="G107" i="1"/>
  <c r="G45" i="1"/>
  <c r="C3" i="1"/>
  <c r="D45" i="1"/>
  <c r="H60" i="1"/>
  <c r="J91" i="1"/>
  <c r="A24" i="1"/>
  <c r="K42" i="1"/>
  <c r="A17" i="1"/>
  <c r="I12" i="1"/>
  <c r="J111" i="1"/>
  <c r="H108" i="1"/>
  <c r="D27" i="1"/>
  <c r="F111" i="1"/>
  <c r="K70" i="1"/>
  <c r="F20" i="1"/>
  <c r="J92" i="1"/>
  <c r="E49" i="1"/>
  <c r="B93" i="1"/>
  <c r="E63" i="1"/>
  <c r="G49" i="1"/>
  <c r="D31" i="1"/>
  <c r="K75" i="1"/>
  <c r="G86" i="1"/>
  <c r="B38" i="1"/>
  <c r="C29" i="1"/>
  <c r="C30" i="1"/>
  <c r="B43" i="1"/>
  <c r="I79" i="1"/>
  <c r="G40" i="1"/>
  <c r="I76" i="1"/>
  <c r="E11" i="1"/>
  <c r="K25" i="1"/>
  <c r="H93" i="1"/>
  <c r="D63" i="1"/>
  <c r="D3" i="1"/>
  <c r="C14" i="1"/>
  <c r="E65" i="1"/>
  <c r="A90" i="1"/>
  <c r="F57" i="1"/>
  <c r="I46" i="1"/>
  <c r="F16" i="1"/>
  <c r="E96" i="1"/>
  <c r="F88" i="1"/>
  <c r="K79" i="1"/>
  <c r="D37" i="1"/>
  <c r="H23" i="1"/>
  <c r="E76" i="1"/>
  <c r="K99" i="1"/>
  <c r="B7" i="1"/>
  <c r="C7" i="1"/>
  <c r="E77" i="1"/>
  <c r="H96" i="1"/>
  <c r="B101" i="1"/>
  <c r="B42" i="1"/>
  <c r="F108" i="1"/>
  <c r="K5" i="1"/>
  <c r="E38" i="1"/>
  <c r="G103" i="1"/>
  <c r="B26" i="1"/>
  <c r="A51" i="1"/>
  <c r="D93" i="1"/>
  <c r="K47" i="1"/>
  <c r="J32" i="1"/>
  <c r="H83" i="1"/>
  <c r="E103" i="1"/>
  <c r="A60" i="1"/>
  <c r="F33" i="1"/>
  <c r="F107" i="1"/>
  <c r="J14" i="1"/>
  <c r="H106" i="1"/>
  <c r="H63" i="1"/>
  <c r="B62" i="1"/>
  <c r="H21" i="1"/>
  <c r="C36" i="1"/>
  <c r="D109" i="1"/>
  <c r="A30" i="1"/>
  <c r="K104" i="1"/>
  <c r="C35" i="1"/>
  <c r="G28" i="1"/>
  <c r="E95" i="1"/>
  <c r="K103" i="1"/>
  <c r="E40" i="1"/>
  <c r="H111" i="1"/>
  <c r="D62" i="1"/>
  <c r="E58" i="1"/>
  <c r="A56" i="1"/>
  <c r="A88" i="1"/>
  <c r="H66" i="1"/>
  <c r="F80" i="1"/>
  <c r="E16" i="1"/>
  <c r="A41" i="1"/>
  <c r="A68" i="1"/>
  <c r="C78" i="1"/>
  <c r="E10" i="1"/>
  <c r="C19" i="1"/>
  <c r="B4" i="1"/>
  <c r="H87" i="1"/>
  <c r="A22" i="1"/>
  <c r="C50" i="1"/>
  <c r="J5" i="1"/>
  <c r="J105" i="1"/>
  <c r="J36" i="1"/>
  <c r="I83" i="1"/>
  <c r="B20" i="1"/>
  <c r="B54" i="1"/>
  <c r="J10" i="1"/>
  <c r="C51" i="1"/>
  <c r="K88" i="1"/>
  <c r="C31" i="1"/>
  <c r="C34" i="1"/>
  <c r="H73" i="1"/>
  <c r="A106" i="1"/>
  <c r="J74" i="1"/>
  <c r="B96" i="1"/>
  <c r="A70" i="1"/>
  <c r="B3" i="1"/>
  <c r="I71" i="1"/>
  <c r="J101" i="1"/>
  <c r="D81" i="1"/>
  <c r="C84" i="1"/>
  <c r="C70" i="1"/>
  <c r="A21" i="1"/>
  <c r="A65" i="1"/>
  <c r="H24" i="1"/>
  <c r="B23" i="1"/>
  <c r="B24" i="1"/>
  <c r="K31" i="1"/>
  <c r="C83" i="1"/>
  <c r="I93" i="1"/>
  <c r="I98" i="1"/>
  <c r="I23" i="1"/>
  <c r="G99" i="1"/>
  <c r="A91" i="1"/>
  <c r="C4" i="1"/>
  <c r="H8" i="1"/>
  <c r="K97" i="1"/>
  <c r="A3" i="1"/>
  <c r="J53" i="1"/>
  <c r="I86" i="1"/>
  <c r="H50" i="1"/>
  <c r="E91" i="1"/>
  <c r="A45" i="1"/>
  <c r="K23" i="1"/>
  <c r="D61" i="1"/>
  <c r="C75" i="1"/>
  <c r="D66" i="1"/>
  <c r="C25" i="1"/>
  <c r="K55" i="1"/>
  <c r="J9" i="1"/>
  <c r="A38" i="1"/>
  <c r="G78" i="1"/>
  <c r="I38" i="1"/>
  <c r="G61" i="1"/>
  <c r="E36" i="1"/>
  <c r="B21" i="1"/>
  <c r="B57" i="1"/>
  <c r="J52" i="1"/>
  <c r="A98" i="1"/>
  <c r="K61" i="1"/>
  <c r="K78" i="1"/>
  <c r="E106" i="1"/>
  <c r="K54" i="1"/>
  <c r="H102" i="1"/>
  <c r="B68" i="1"/>
  <c r="B67" i="1"/>
  <c r="E67" i="1"/>
  <c r="G59" i="1"/>
  <c r="J98" i="1"/>
  <c r="E99" i="1"/>
  <c r="H95" i="1"/>
  <c r="I6" i="1"/>
  <c r="B61" i="1"/>
  <c r="F103" i="1"/>
  <c r="C97" i="1"/>
  <c r="D58" i="1"/>
  <c r="B6" i="1"/>
  <c r="B19" i="1"/>
  <c r="I3" i="1"/>
  <c r="F4" i="1"/>
  <c r="I103" i="1"/>
  <c r="F10" i="1"/>
  <c r="K41" i="1"/>
  <c r="G83" i="1"/>
  <c r="B12" i="1"/>
  <c r="E20" i="1"/>
  <c r="K53" i="1"/>
  <c r="B69" i="1"/>
  <c r="E23" i="1"/>
  <c r="G66" i="1"/>
  <c r="D65" i="1"/>
  <c r="J15" i="1"/>
  <c r="E30" i="1"/>
  <c r="A85" i="1"/>
  <c r="E62" i="1"/>
  <c r="A47" i="1"/>
  <c r="A27" i="1"/>
  <c r="C41" i="1"/>
  <c r="G95" i="1"/>
  <c r="B80" i="1"/>
  <c r="J87" i="1"/>
  <c r="A48" i="1"/>
  <c r="B73" i="1"/>
  <c r="H25" i="1"/>
  <c r="F47" i="1"/>
  <c r="K11" i="1"/>
  <c r="G3" i="1"/>
  <c r="G33" i="1"/>
  <c r="C43" i="1"/>
  <c r="D98" i="1"/>
  <c r="J25" i="1"/>
  <c r="D25" i="1"/>
  <c r="A102" i="1"/>
  <c r="J89" i="1"/>
  <c r="H3" i="1"/>
  <c r="C33" i="1"/>
  <c r="H90" i="1"/>
  <c r="K94" i="1"/>
  <c r="B49" i="1"/>
  <c r="I91" i="1"/>
  <c r="H97" i="1"/>
  <c r="C21" i="1"/>
  <c r="G54" i="1"/>
  <c r="I33" i="1"/>
  <c r="F105" i="1"/>
  <c r="G62" i="1"/>
  <c r="F14" i="1"/>
  <c r="H42" i="1"/>
  <c r="I104" i="1"/>
  <c r="G9" i="1"/>
  <c r="C37" i="1"/>
  <c r="G15" i="1"/>
  <c r="C59" i="1"/>
  <c r="C95" i="1"/>
  <c r="H54" i="1"/>
  <c r="D35" i="1"/>
  <c r="F84" i="1"/>
  <c r="G74" i="1"/>
  <c r="H80" i="1"/>
  <c r="A55" i="1"/>
  <c r="I27" i="1"/>
  <c r="B15" i="1"/>
  <c r="A59" i="1"/>
  <c r="E13" i="1"/>
  <c r="C94" i="1"/>
  <c r="B22" i="1"/>
  <c r="I14" i="1"/>
  <c r="E108" i="1"/>
  <c r="F85" i="1"/>
  <c r="D52" i="1"/>
  <c r="I7" i="1"/>
  <c r="B11" i="1"/>
  <c r="D9" i="1"/>
  <c r="C73" i="1"/>
  <c r="F50" i="1"/>
  <c r="C17" i="1"/>
  <c r="B87" i="1"/>
  <c r="B17" i="1"/>
  <c r="D56" i="1"/>
  <c r="B108" i="1"/>
  <c r="J23" i="1"/>
  <c r="G63" i="1"/>
  <c r="A105" i="1"/>
  <c r="D29" i="1"/>
  <c r="F55" i="1"/>
  <c r="E79" i="1"/>
  <c r="G100" i="1"/>
  <c r="E82" i="1"/>
  <c r="D11" i="1"/>
  <c r="F27" i="1"/>
  <c r="K56" i="1"/>
  <c r="J8" i="1"/>
  <c r="G111" i="1"/>
  <c r="C56" i="1"/>
  <c r="J43" i="1"/>
  <c r="A23" i="1"/>
  <c r="C20" i="1"/>
  <c r="I100" i="1"/>
  <c r="K85" i="1"/>
  <c r="K24" i="1"/>
  <c r="E19" i="1"/>
  <c r="A96" i="1"/>
  <c r="J79" i="1"/>
  <c r="H81" i="1"/>
  <c r="I43" i="1"/>
  <c r="F52" i="1"/>
  <c r="H74" i="1"/>
  <c r="I53" i="1"/>
  <c r="H64" i="1"/>
  <c r="J96" i="1"/>
  <c r="J60" i="1"/>
  <c r="B52" i="1"/>
  <c r="H69" i="1"/>
  <c r="B85" i="1"/>
  <c r="E55" i="1"/>
  <c r="J97" i="1"/>
  <c r="K84" i="1"/>
  <c r="F95" i="1"/>
  <c r="C111" i="1"/>
  <c r="A36" i="1"/>
  <c r="H37" i="1"/>
  <c r="K92" i="1"/>
  <c r="A75" i="1"/>
  <c r="C61" i="1"/>
  <c r="K28" i="1"/>
  <c r="K68" i="1"/>
  <c r="H28" i="1"/>
  <c r="J12" i="1"/>
  <c r="F97" i="1"/>
  <c r="A6" i="1"/>
  <c r="F100" i="1"/>
  <c r="J84" i="1"/>
  <c r="G7" i="1"/>
  <c r="H55" i="1"/>
  <c r="K72" i="1"/>
  <c r="H51" i="1"/>
  <c r="H32" i="1"/>
  <c r="F42" i="1"/>
  <c r="G104" i="1"/>
  <c r="K96" i="1"/>
  <c r="I28" i="1"/>
  <c r="K26" i="1"/>
  <c r="H34" i="1"/>
  <c r="F11" i="1"/>
  <c r="E4" i="1"/>
  <c r="F15" i="1"/>
  <c r="J56" i="1"/>
  <c r="G24" i="1"/>
  <c r="A92" i="1"/>
  <c r="D19" i="1"/>
  <c r="A39" i="1"/>
  <c r="E43" i="1"/>
  <c r="A80" i="1"/>
  <c r="F82" i="1"/>
  <c r="E90" i="1"/>
  <c r="F7" i="1"/>
  <c r="C8" i="1"/>
  <c r="J28" i="1"/>
  <c r="B41" i="1"/>
  <c r="G97" i="1"/>
  <c r="F74" i="1"/>
  <c r="F68" i="1"/>
  <c r="F38" i="1"/>
  <c r="H49" i="1"/>
  <c r="K102" i="1"/>
  <c r="F60" i="1"/>
  <c r="D82" i="1"/>
  <c r="H17" i="1"/>
  <c r="E39" i="1"/>
  <c r="H4" i="1"/>
  <c r="K19" i="1"/>
  <c r="D83" i="1"/>
  <c r="D6" i="1"/>
  <c r="G44" i="1"/>
  <c r="K17" i="1"/>
  <c r="D17" i="1"/>
  <c r="J72" i="1"/>
  <c r="A97" i="1"/>
  <c r="D49" i="1"/>
  <c r="D69" i="1"/>
  <c r="A13" i="1"/>
  <c r="F89" i="1"/>
  <c r="C49" i="1"/>
  <c r="E110" i="1"/>
  <c r="D92" i="1"/>
  <c r="E15" i="1"/>
  <c r="A7" i="1"/>
  <c r="C100" i="1"/>
  <c r="A19" i="1"/>
  <c r="H19" i="1"/>
  <c r="D54" i="1"/>
  <c r="G13" i="1"/>
  <c r="B53" i="1"/>
  <c r="A99" i="1"/>
  <c r="C62" i="1"/>
  <c r="I57" i="1"/>
  <c r="H39" i="1"/>
  <c r="J47" i="1"/>
  <c r="A35" i="1"/>
  <c r="E52" i="1"/>
  <c r="D4" i="1"/>
  <c r="B99" i="1"/>
  <c r="H43" i="1"/>
  <c r="C88" i="1"/>
  <c r="J109" i="1"/>
  <c r="H103" i="1"/>
  <c r="A50" i="1"/>
  <c r="K62" i="1"/>
  <c r="E74" i="1"/>
  <c r="A14" i="1"/>
  <c r="C42" i="1"/>
  <c r="I30" i="1"/>
  <c r="I110" i="1"/>
  <c r="A63" i="1"/>
  <c r="H11" i="1"/>
  <c r="E5" i="1"/>
  <c r="J16" i="1"/>
  <c r="E7" i="1"/>
  <c r="F28" i="1"/>
  <c r="A52" i="1"/>
  <c r="D88" i="1"/>
  <c r="K93" i="1"/>
  <c r="J35" i="1"/>
  <c r="H44" i="1"/>
  <c r="E81" i="1"/>
  <c r="K58" i="1"/>
  <c r="D50" i="1"/>
  <c r="B28" i="1"/>
  <c r="E18" i="1"/>
  <c r="H52" i="1"/>
  <c r="E31" i="1"/>
  <c r="F76" i="1"/>
  <c r="C87" i="1"/>
  <c r="E102" i="1"/>
  <c r="C18" i="1"/>
  <c r="E37" i="1"/>
  <c r="F61" i="1"/>
  <c r="G50" i="1"/>
  <c r="I87" i="1"/>
  <c r="C57" i="1"/>
  <c r="E72" i="1"/>
  <c r="F53" i="1"/>
  <c r="G80" i="1"/>
  <c r="B16" i="1"/>
  <c r="A12" i="1"/>
  <c r="D8" i="1"/>
  <c r="F12" i="1"/>
  <c r="B76" i="1"/>
  <c r="D102" i="1"/>
  <c r="K30" i="1"/>
  <c r="C26" i="1"/>
  <c r="E26" i="1"/>
  <c r="E33" i="1"/>
  <c r="G4" i="1"/>
  <c r="H105" i="1"/>
  <c r="K50" i="1"/>
  <c r="A31" i="1"/>
  <c r="F62" i="1"/>
  <c r="C5" i="1"/>
  <c r="I60" i="1"/>
  <c r="K16" i="1"/>
  <c r="J13" i="1"/>
  <c r="D101" i="1"/>
  <c r="H10" i="1"/>
  <c r="D103" i="1"/>
  <c r="I85" i="1"/>
  <c r="E8" i="1"/>
  <c r="K48" i="1"/>
  <c r="B71" i="1"/>
  <c r="A76" i="1"/>
  <c r="B55" i="1"/>
  <c r="E24" i="1"/>
  <c r="B63" i="1"/>
  <c r="A86" i="1"/>
  <c r="K52" i="1"/>
  <c r="E61" i="1"/>
  <c r="J40" i="1"/>
  <c r="G81" i="1"/>
  <c r="A54" i="1"/>
  <c r="F21" i="1"/>
  <c r="C109" i="1"/>
  <c r="C63" i="1"/>
  <c r="B5" i="1"/>
  <c r="I82" i="1"/>
  <c r="H12" i="1"/>
  <c r="G21" i="1"/>
  <c r="C24" i="1"/>
  <c r="E56" i="1"/>
  <c r="I50" i="1"/>
  <c r="B81" i="1"/>
  <c r="E69" i="1"/>
  <c r="K7" i="1"/>
  <c r="K86" i="1"/>
  <c r="J95" i="1"/>
  <c r="F67" i="1"/>
  <c r="C107" i="1"/>
  <c r="F106" i="1"/>
  <c r="G17" i="1"/>
  <c r="D18" i="1"/>
  <c r="I111" i="1"/>
  <c r="H38" i="1"/>
  <c r="D94" i="1"/>
  <c r="G76" i="1"/>
  <c r="J100" i="1"/>
  <c r="F93" i="1"/>
  <c r="H100" i="1"/>
  <c r="F75" i="1"/>
  <c r="K60" i="1"/>
  <c r="F94" i="1"/>
  <c r="I18" i="1"/>
  <c r="B40" i="1"/>
  <c r="E34" i="1"/>
  <c r="H27" i="1"/>
  <c r="B70" i="1"/>
  <c r="J66" i="1"/>
  <c r="A61" i="1"/>
  <c r="E60" i="1"/>
  <c r="A42" i="1"/>
  <c r="B10" i="1"/>
  <c r="A20" i="1"/>
  <c r="F44" i="1"/>
  <c r="D74" i="1"/>
  <c r="G6" i="1"/>
  <c r="E68" i="1"/>
  <c r="K36" i="1"/>
  <c r="A9" i="1"/>
  <c r="G98" i="1"/>
  <c r="I8" i="1"/>
  <c r="K69" i="1"/>
  <c r="J44" i="1"/>
  <c r="H104" i="1"/>
  <c r="I54" i="1"/>
  <c r="B65" i="1"/>
  <c r="G70" i="1"/>
  <c r="C104" i="1"/>
  <c r="E94" i="1"/>
  <c r="B74" i="1"/>
  <c r="G84" i="1"/>
  <c r="C72" i="1"/>
  <c r="A62" i="1"/>
  <c r="K38" i="1"/>
  <c r="A73" i="1"/>
  <c r="I65" i="1"/>
  <c r="I31" i="1"/>
  <c r="K14" i="1"/>
  <c r="D79" i="1"/>
  <c r="B33" i="1"/>
  <c r="A83" i="1"/>
  <c r="C93" i="1"/>
  <c r="C106" i="1"/>
  <c r="H48" i="1"/>
  <c r="J7" i="1"/>
  <c r="C9" i="1"/>
  <c r="A67" i="1"/>
  <c r="K6" i="1"/>
  <c r="C52" i="1"/>
  <c r="D99" i="1"/>
  <c r="C105" i="1"/>
  <c r="B9" i="1"/>
  <c r="A44" i="1"/>
  <c r="A16" i="1"/>
  <c r="D5" i="1"/>
  <c r="D13" i="1"/>
  <c r="K33" i="1"/>
  <c r="C27" i="1"/>
  <c r="I94" i="1"/>
  <c r="G16" i="1"/>
  <c r="B97" i="1"/>
  <c r="A15" i="1"/>
  <c r="I45" i="1"/>
  <c r="H9" i="1"/>
  <c r="I11" i="1"/>
  <c r="E50" i="1"/>
  <c r="A8" i="1"/>
  <c r="E105" i="1"/>
  <c r="D85" i="1"/>
  <c r="K111" i="1"/>
  <c r="C45" i="1"/>
  <c r="I81" i="1"/>
  <c r="J86" i="1"/>
  <c r="C89" i="1"/>
  <c r="I80" i="1"/>
  <c r="F65" i="1"/>
  <c r="H101" i="1"/>
  <c r="E32" i="1"/>
  <c r="F63" i="1"/>
  <c r="E73" i="1"/>
  <c r="H82" i="1"/>
  <c r="D64" i="1"/>
  <c r="I37" i="1"/>
  <c r="G93" i="1"/>
  <c r="BU2" i="8" l="1"/>
  <c r="A99" i="9"/>
  <c r="HL99" i="9"/>
  <c r="GC99" i="9"/>
  <c r="BU99" i="9"/>
  <c r="ET99" i="9"/>
  <c r="FO99" i="9"/>
  <c r="CP99" i="9"/>
  <c r="BG99" i="9"/>
  <c r="CB99" i="9"/>
  <c r="X99" i="9"/>
  <c r="KK99" i="9"/>
  <c r="FV99" i="9"/>
  <c r="BN99" i="9"/>
  <c r="EM99" i="9"/>
  <c r="FH99" i="9"/>
  <c r="EF99" i="9"/>
  <c r="C99" i="9"/>
  <c r="JI99" i="9"/>
  <c r="HS99" i="9"/>
  <c r="DY99" i="9"/>
  <c r="HE99" i="9"/>
  <c r="AZ99" i="9"/>
  <c r="AL99" i="9"/>
  <c r="GX99" i="9"/>
  <c r="JB99" i="9"/>
  <c r="AS99" i="9"/>
  <c r="GQ99" i="9"/>
  <c r="CI99" i="9"/>
  <c r="DR99" i="9"/>
  <c r="DK99" i="9"/>
  <c r="IG99" i="9"/>
  <c r="J99" i="9"/>
  <c r="KR99" i="9"/>
  <c r="HZ99" i="9"/>
  <c r="JP99" i="9"/>
  <c r="KD99" i="9"/>
  <c r="GJ99" i="9"/>
  <c r="AE99" i="9"/>
  <c r="IN99" i="9"/>
  <c r="JW99" i="9"/>
  <c r="FA99" i="9"/>
  <c r="CW99" i="9"/>
  <c r="IU99" i="9"/>
  <c r="DD99" i="9"/>
  <c r="Q99" i="9"/>
  <c r="A84" i="9"/>
  <c r="AS84" i="9"/>
  <c r="JP84" i="9"/>
  <c r="HZ84" i="9"/>
  <c r="HS84" i="9"/>
  <c r="ET84" i="9"/>
  <c r="GJ84" i="9"/>
  <c r="J84" i="9"/>
  <c r="CI84" i="9"/>
  <c r="JW84" i="9"/>
  <c r="GQ84" i="9"/>
  <c r="GC84" i="9"/>
  <c r="KD84" i="9"/>
  <c r="DK84" i="9"/>
  <c r="X84" i="9"/>
  <c r="FO84" i="9"/>
  <c r="GX84" i="9"/>
  <c r="KK84" i="9"/>
  <c r="BN84" i="9"/>
  <c r="BG84" i="9"/>
  <c r="HE84" i="9"/>
  <c r="DY84" i="9"/>
  <c r="JI84" i="9"/>
  <c r="KR84" i="9"/>
  <c r="FA84" i="9"/>
  <c r="AE84" i="9"/>
  <c r="EM84" i="9"/>
  <c r="FV84" i="9"/>
  <c r="CB84" i="9"/>
  <c r="IU84" i="9"/>
  <c r="HL84" i="9"/>
  <c r="JB84" i="9"/>
  <c r="IG84" i="9"/>
  <c r="FH84" i="9"/>
  <c r="EF84" i="9"/>
  <c r="AZ84" i="9"/>
  <c r="Q84" i="9"/>
  <c r="CW84" i="9"/>
  <c r="CP84" i="9"/>
  <c r="AL84" i="9"/>
  <c r="BU84" i="9"/>
  <c r="C84" i="9"/>
  <c r="IN84" i="9"/>
  <c r="DR84" i="9"/>
  <c r="DD84" i="9"/>
  <c r="A80" i="9"/>
  <c r="BG80" i="9"/>
  <c r="CI80" i="9"/>
  <c r="EF80" i="9"/>
  <c r="J80" i="9"/>
  <c r="KD80" i="9"/>
  <c r="AZ80" i="9"/>
  <c r="CW80" i="9"/>
  <c r="GQ80" i="9"/>
  <c r="FV80" i="9"/>
  <c r="GX80" i="9"/>
  <c r="AE80" i="9"/>
  <c r="BN80" i="9"/>
  <c r="JW80" i="9"/>
  <c r="CP80" i="9"/>
  <c r="IG80" i="9"/>
  <c r="IN80" i="9"/>
  <c r="JI80" i="9"/>
  <c r="KR80" i="9"/>
  <c r="DR80" i="9"/>
  <c r="DD80" i="9"/>
  <c r="BU80" i="9"/>
  <c r="KK80" i="9"/>
  <c r="HL80" i="9"/>
  <c r="ET80" i="9"/>
  <c r="FO80" i="9"/>
  <c r="GC80" i="9"/>
  <c r="CB80" i="9"/>
  <c r="HE80" i="9"/>
  <c r="AL80" i="9"/>
  <c r="DK80" i="9"/>
  <c r="EM80" i="9"/>
  <c r="DY80" i="9"/>
  <c r="Q80" i="9"/>
  <c r="HZ80" i="9"/>
  <c r="FH80" i="9"/>
  <c r="JP80" i="9"/>
  <c r="FA80" i="9"/>
  <c r="IU80" i="9"/>
  <c r="AS80" i="9"/>
  <c r="JB80" i="9"/>
  <c r="X80" i="9"/>
  <c r="HS80" i="9"/>
  <c r="GJ80" i="9"/>
  <c r="C80" i="9"/>
  <c r="A14" i="9"/>
  <c r="CI14" i="9"/>
  <c r="DY14" i="9"/>
  <c r="HL14" i="9"/>
  <c r="CW14" i="9"/>
  <c r="ET14" i="9"/>
  <c r="FH14" i="9"/>
  <c r="AZ14" i="9"/>
  <c r="HS14" i="9"/>
  <c r="KK14" i="9"/>
  <c r="GC14" i="9"/>
  <c r="Q14" i="9"/>
  <c r="BN14" i="9"/>
  <c r="IN14" i="9"/>
  <c r="GJ14" i="9"/>
  <c r="AL14" i="9"/>
  <c r="FO14" i="9"/>
  <c r="GQ14" i="9"/>
  <c r="DK14" i="9"/>
  <c r="EF14" i="9"/>
  <c r="BU14" i="9"/>
  <c r="FA14" i="9"/>
  <c r="JB14" i="9"/>
  <c r="IG14" i="9"/>
  <c r="JW14" i="9"/>
  <c r="IU14" i="9"/>
  <c r="HZ14" i="9"/>
  <c r="CP14" i="9"/>
  <c r="EM14" i="9"/>
  <c r="JP14" i="9"/>
  <c r="AE14" i="9"/>
  <c r="DR14" i="9"/>
  <c r="AS14" i="9"/>
  <c r="GX14" i="9"/>
  <c r="J14" i="9"/>
  <c r="C14" i="9"/>
  <c r="CB14" i="9"/>
  <c r="KD14" i="9"/>
  <c r="BG14" i="9"/>
  <c r="JI14" i="9"/>
  <c r="HE14" i="9"/>
  <c r="KR14" i="9"/>
  <c r="FV14" i="9"/>
  <c r="DD14" i="9"/>
  <c r="X14" i="9"/>
  <c r="A15" i="9"/>
  <c r="IN15" i="9"/>
  <c r="DD15" i="9"/>
  <c r="HS15" i="9"/>
  <c r="HE15" i="9"/>
  <c r="AZ15" i="9"/>
  <c r="KD15" i="9"/>
  <c r="JW15" i="9"/>
  <c r="AS15" i="9"/>
  <c r="GX15" i="9"/>
  <c r="BN15" i="9"/>
  <c r="BU15" i="9"/>
  <c r="GJ15" i="9"/>
  <c r="KR15" i="9"/>
  <c r="GC15" i="9"/>
  <c r="BG15" i="9"/>
  <c r="KK15" i="9"/>
  <c r="JI15" i="9"/>
  <c r="X15" i="9"/>
  <c r="CB15" i="9"/>
  <c r="J15" i="9"/>
  <c r="FH15" i="9"/>
  <c r="EF15" i="9"/>
  <c r="JB15" i="9"/>
  <c r="IU15" i="9"/>
  <c r="ET15" i="9"/>
  <c r="FO15" i="9"/>
  <c r="C15" i="9"/>
  <c r="HL15" i="9"/>
  <c r="IG15" i="9"/>
  <c r="DR15" i="9"/>
  <c r="FV15" i="9"/>
  <c r="GQ15" i="9"/>
  <c r="CI15" i="9"/>
  <c r="CP15" i="9"/>
  <c r="Q15" i="9"/>
  <c r="EM15" i="9"/>
  <c r="FA15" i="9"/>
  <c r="DY15" i="9"/>
  <c r="DK15" i="9"/>
  <c r="AE15" i="9"/>
  <c r="CW15" i="9"/>
  <c r="HZ15" i="9"/>
  <c r="JP15" i="9"/>
  <c r="AL15" i="9"/>
  <c r="IG11" i="9"/>
  <c r="JW11" i="9"/>
  <c r="Q11" i="9"/>
  <c r="JP11" i="9"/>
  <c r="GQ11" i="9"/>
  <c r="HE11" i="9"/>
  <c r="GX11" i="9"/>
  <c r="DK11" i="9"/>
  <c r="FH11" i="9"/>
  <c r="DR11" i="9"/>
  <c r="DD11" i="9"/>
  <c r="KR11" i="9"/>
  <c r="AZ11" i="9"/>
  <c r="HS11" i="9"/>
  <c r="BU11" i="9"/>
  <c r="JB11" i="9"/>
  <c r="KK11" i="9"/>
  <c r="DY11" i="9"/>
  <c r="JI11" i="9"/>
  <c r="FO11" i="9"/>
  <c r="FV11" i="9"/>
  <c r="HZ11" i="9"/>
  <c r="IU11" i="9"/>
  <c r="EF11" i="9"/>
  <c r="GJ11" i="9"/>
  <c r="KD11" i="9"/>
  <c r="A11" i="9"/>
  <c r="C11" i="9"/>
  <c r="CP11" i="9"/>
  <c r="HL11" i="9"/>
  <c r="AS11" i="9"/>
  <c r="AE11" i="9"/>
  <c r="CB11" i="9"/>
  <c r="CI11" i="9"/>
  <c r="IN11" i="9"/>
  <c r="BG11" i="9"/>
  <c r="X11" i="9"/>
  <c r="GC11" i="9"/>
  <c r="FA11" i="9"/>
  <c r="BN11" i="9"/>
  <c r="EM11" i="9"/>
  <c r="AL11" i="9"/>
  <c r="J11" i="9"/>
  <c r="CW11" i="9"/>
  <c r="ET11" i="9"/>
  <c r="A46" i="9"/>
  <c r="GQ46" i="9"/>
  <c r="IG46" i="9"/>
  <c r="EM46" i="9"/>
  <c r="CP46" i="9"/>
  <c r="KD46" i="9"/>
  <c r="BG46" i="9"/>
  <c r="FH46" i="9"/>
  <c r="EF46" i="9"/>
  <c r="CW46" i="9"/>
  <c r="AZ46" i="9"/>
  <c r="JP46" i="9"/>
  <c r="JB46" i="9"/>
  <c r="GJ46" i="9"/>
  <c r="FV46" i="9"/>
  <c r="JI46" i="9"/>
  <c r="Q46" i="9"/>
  <c r="HE46" i="9"/>
  <c r="GC46" i="9"/>
  <c r="JW46" i="9"/>
  <c r="HS46" i="9"/>
  <c r="DD46" i="9"/>
  <c r="KR46" i="9"/>
  <c r="GX46" i="9"/>
  <c r="FO46" i="9"/>
  <c r="J46" i="9"/>
  <c r="FA46" i="9"/>
  <c r="X46" i="9"/>
  <c r="DR46" i="9"/>
  <c r="IU46" i="9"/>
  <c r="IN46" i="9"/>
  <c r="C46" i="9"/>
  <c r="AS46" i="9"/>
  <c r="CB46" i="9"/>
  <c r="ET46" i="9"/>
  <c r="BU46" i="9"/>
  <c r="DY46" i="9"/>
  <c r="HZ46" i="9"/>
  <c r="AE46" i="9"/>
  <c r="AL46" i="9"/>
  <c r="DK46" i="9"/>
  <c r="HL46" i="9"/>
  <c r="BN46" i="9"/>
  <c r="CI46" i="9"/>
  <c r="KK46" i="9"/>
  <c r="A24" i="9"/>
  <c r="GC24" i="9"/>
  <c r="C24" i="9"/>
  <c r="GQ24" i="9"/>
  <c r="KK24" i="9"/>
  <c r="FA24" i="9"/>
  <c r="KR24" i="9"/>
  <c r="AL24" i="9"/>
  <c r="X24" i="9"/>
  <c r="Q24" i="9"/>
  <c r="CW24" i="9"/>
  <c r="FO24" i="9"/>
  <c r="AS24" i="9"/>
  <c r="FH24" i="9"/>
  <c r="IN24" i="9"/>
  <c r="EM24" i="9"/>
  <c r="AE24" i="9"/>
  <c r="HS24" i="9"/>
  <c r="CP24" i="9"/>
  <c r="JP24" i="9"/>
  <c r="DR24" i="9"/>
  <c r="BG24" i="9"/>
  <c r="EF24" i="9"/>
  <c r="HZ24" i="9"/>
  <c r="CI24" i="9"/>
  <c r="GJ24" i="9"/>
  <c r="IU24" i="9"/>
  <c r="JI24" i="9"/>
  <c r="DK24" i="9"/>
  <c r="KD24" i="9"/>
  <c r="HL24" i="9"/>
  <c r="HE24" i="9"/>
  <c r="AZ24" i="9"/>
  <c r="BN24" i="9"/>
  <c r="JW24" i="9"/>
  <c r="DD24" i="9"/>
  <c r="DY24" i="9"/>
  <c r="J24" i="9"/>
  <c r="IG24" i="9"/>
  <c r="CB24" i="9"/>
  <c r="BU24" i="9"/>
  <c r="GX24" i="9"/>
  <c r="ET24" i="9"/>
  <c r="FV24" i="9"/>
  <c r="JB24" i="9"/>
  <c r="A26" i="9"/>
  <c r="BG26" i="9"/>
  <c r="J26" i="9"/>
  <c r="BU26" i="9"/>
  <c r="JB26" i="9"/>
  <c r="IN26" i="9"/>
  <c r="EM26" i="9"/>
  <c r="DR26" i="9"/>
  <c r="AZ26" i="9"/>
  <c r="JW26" i="9"/>
  <c r="FH26" i="9"/>
  <c r="Q26" i="9"/>
  <c r="JI26" i="9"/>
  <c r="FV26" i="9"/>
  <c r="GJ26" i="9"/>
  <c r="DY26" i="9"/>
  <c r="DD26" i="9"/>
  <c r="GC26" i="9"/>
  <c r="AE26" i="9"/>
  <c r="CW26" i="9"/>
  <c r="KD26" i="9"/>
  <c r="ET26" i="9"/>
  <c r="X26" i="9"/>
  <c r="GQ26" i="9"/>
  <c r="HS26" i="9"/>
  <c r="KR26" i="9"/>
  <c r="GX26" i="9"/>
  <c r="FO26" i="9"/>
  <c r="HL26" i="9"/>
  <c r="EF26" i="9"/>
  <c r="JP26" i="9"/>
  <c r="IU26" i="9"/>
  <c r="KK26" i="9"/>
  <c r="CI26" i="9"/>
  <c r="AL26" i="9"/>
  <c r="DK26" i="9"/>
  <c r="C26" i="9"/>
  <c r="HZ26" i="9"/>
  <c r="IG26" i="9"/>
  <c r="AS26" i="9"/>
  <c r="CP26" i="9"/>
  <c r="CB26" i="9"/>
  <c r="BN26" i="9"/>
  <c r="HE26" i="9"/>
  <c r="FA26" i="9"/>
  <c r="A78" i="9"/>
  <c r="GQ78" i="9"/>
  <c r="DD78" i="9"/>
  <c r="HE78" i="9"/>
  <c r="X78" i="9"/>
  <c r="KK78" i="9"/>
  <c r="HS78" i="9"/>
  <c r="BU78" i="9"/>
  <c r="JB78" i="9"/>
  <c r="FA78" i="9"/>
  <c r="KD78" i="9"/>
  <c r="JW78" i="9"/>
  <c r="HL78" i="9"/>
  <c r="IG78" i="9"/>
  <c r="FO78" i="9"/>
  <c r="BN78" i="9"/>
  <c r="BG78" i="9"/>
  <c r="KR78" i="9"/>
  <c r="CP78" i="9"/>
  <c r="AS78" i="9"/>
  <c r="FH78" i="9"/>
  <c r="DR78" i="9"/>
  <c r="DK78" i="9"/>
  <c r="GC78" i="9"/>
  <c r="GJ78" i="9"/>
  <c r="DY78" i="9"/>
  <c r="JP78" i="9"/>
  <c r="FV78" i="9"/>
  <c r="JI78" i="9"/>
  <c r="Q78" i="9"/>
  <c r="GX78" i="9"/>
  <c r="AL78" i="9"/>
  <c r="AZ78" i="9"/>
  <c r="EM78" i="9"/>
  <c r="ET78" i="9"/>
  <c r="EF78" i="9"/>
  <c r="J78" i="9"/>
  <c r="CW78" i="9"/>
  <c r="HZ78" i="9"/>
  <c r="CI78" i="9"/>
  <c r="IN78" i="9"/>
  <c r="CB78" i="9"/>
  <c r="AE78" i="9"/>
  <c r="IU78" i="9"/>
  <c r="C78" i="9"/>
  <c r="A65" i="9"/>
  <c r="JW65" i="9"/>
  <c r="EM65" i="9"/>
  <c r="HL65" i="9"/>
  <c r="GQ65" i="9"/>
  <c r="Q65" i="9"/>
  <c r="FV65" i="9"/>
  <c r="X65" i="9"/>
  <c r="DK65" i="9"/>
  <c r="C65" i="9"/>
  <c r="BN65" i="9"/>
  <c r="AE65" i="9"/>
  <c r="BU65" i="9"/>
  <c r="CB65" i="9"/>
  <c r="KD65" i="9"/>
  <c r="FO65" i="9"/>
  <c r="DR65" i="9"/>
  <c r="CI65" i="9"/>
  <c r="GX65" i="9"/>
  <c r="HZ65" i="9"/>
  <c r="JI65" i="9"/>
  <c r="FA65" i="9"/>
  <c r="FH65" i="9"/>
  <c r="GJ65" i="9"/>
  <c r="IG65" i="9"/>
  <c r="BG65" i="9"/>
  <c r="EF65" i="9"/>
  <c r="KR65" i="9"/>
  <c r="IN65" i="9"/>
  <c r="IU65" i="9"/>
  <c r="CW65" i="9"/>
  <c r="AS65" i="9"/>
  <c r="JB65" i="9"/>
  <c r="AZ65" i="9"/>
  <c r="ET65" i="9"/>
  <c r="JP65" i="9"/>
  <c r="AL65" i="9"/>
  <c r="DY65" i="9"/>
  <c r="HS65" i="9"/>
  <c r="KK65" i="9"/>
  <c r="DD65" i="9"/>
  <c r="CP65" i="9"/>
  <c r="GC65" i="9"/>
  <c r="J65" i="9"/>
  <c r="HE65" i="9"/>
  <c r="A57" i="9"/>
  <c r="GX57" i="9"/>
  <c r="JW57" i="9"/>
  <c r="CI57" i="9"/>
  <c r="JB57" i="9"/>
  <c r="DY57" i="9"/>
  <c r="BU57" i="9"/>
  <c r="FA57" i="9"/>
  <c r="IN57" i="9"/>
  <c r="HS57" i="9"/>
  <c r="EM57" i="9"/>
  <c r="IU57" i="9"/>
  <c r="AE57" i="9"/>
  <c r="CB57" i="9"/>
  <c r="HL57" i="9"/>
  <c r="DR57" i="9"/>
  <c r="EF57" i="9"/>
  <c r="GJ57" i="9"/>
  <c r="IG57" i="9"/>
  <c r="CW57" i="9"/>
  <c r="GQ57" i="9"/>
  <c r="KK57" i="9"/>
  <c r="DK57" i="9"/>
  <c r="JP57" i="9"/>
  <c r="AS57" i="9"/>
  <c r="FV57" i="9"/>
  <c r="HE57" i="9"/>
  <c r="GC57" i="9"/>
  <c r="C57" i="9"/>
  <c r="BG57" i="9"/>
  <c r="J57" i="9"/>
  <c r="HZ57" i="9"/>
  <c r="BN57" i="9"/>
  <c r="FH57" i="9"/>
  <c r="ET57" i="9"/>
  <c r="DD57" i="9"/>
  <c r="KD57" i="9"/>
  <c r="KR57" i="9"/>
  <c r="CP57" i="9"/>
  <c r="X57" i="9"/>
  <c r="AL57" i="9"/>
  <c r="Q57" i="9"/>
  <c r="FO57" i="9"/>
  <c r="JI57" i="9"/>
  <c r="AZ57" i="9"/>
  <c r="A43" i="9"/>
  <c r="X43" i="9"/>
  <c r="JW43" i="9"/>
  <c r="FH43" i="9"/>
  <c r="HE43" i="9"/>
  <c r="EF43" i="9"/>
  <c r="KK43" i="9"/>
  <c r="ET43" i="9"/>
  <c r="GX43" i="9"/>
  <c r="C43" i="9"/>
  <c r="DR43" i="9"/>
  <c r="JB43" i="9"/>
  <c r="KR43" i="9"/>
  <c r="DY43" i="9"/>
  <c r="J43" i="9"/>
  <c r="HZ43" i="9"/>
  <c r="FV43" i="9"/>
  <c r="AE43" i="9"/>
  <c r="JP43" i="9"/>
  <c r="GJ43" i="9"/>
  <c r="IU43" i="9"/>
  <c r="DK43" i="9"/>
  <c r="CP43" i="9"/>
  <c r="GC43" i="9"/>
  <c r="FA43" i="9"/>
  <c r="CI43" i="9"/>
  <c r="JI43" i="9"/>
  <c r="FO43" i="9"/>
  <c r="AL43" i="9"/>
  <c r="GQ43" i="9"/>
  <c r="KD43" i="9"/>
  <c r="BN43" i="9"/>
  <c r="Q43" i="9"/>
  <c r="BG43" i="9"/>
  <c r="CW43" i="9"/>
  <c r="CB43" i="9"/>
  <c r="HS43" i="9"/>
  <c r="DD43" i="9"/>
  <c r="AS43" i="9"/>
  <c r="HL43" i="9"/>
  <c r="AZ43" i="9"/>
  <c r="IG43" i="9"/>
  <c r="EM43" i="9"/>
  <c r="BU43" i="9"/>
  <c r="IN43" i="9"/>
  <c r="A94" i="9"/>
  <c r="AZ94" i="9"/>
  <c r="FA94" i="9"/>
  <c r="DD94" i="9"/>
  <c r="GQ94" i="9"/>
  <c r="J94" i="9"/>
  <c r="DR94" i="9"/>
  <c r="Q94" i="9"/>
  <c r="GX94" i="9"/>
  <c r="FO94" i="9"/>
  <c r="DK94" i="9"/>
  <c r="CP94" i="9"/>
  <c r="FH94" i="9"/>
  <c r="ET94" i="9"/>
  <c r="EF94" i="9"/>
  <c r="JP94" i="9"/>
  <c r="IU94" i="9"/>
  <c r="IN94" i="9"/>
  <c r="JI94" i="9"/>
  <c r="C94" i="9"/>
  <c r="CW94" i="9"/>
  <c r="BN94" i="9"/>
  <c r="HL94" i="9"/>
  <c r="FV94" i="9"/>
  <c r="KK94" i="9"/>
  <c r="DY94" i="9"/>
  <c r="BG94" i="9"/>
  <c r="JW94" i="9"/>
  <c r="JB94" i="9"/>
  <c r="KR94" i="9"/>
  <c r="BU94" i="9"/>
  <c r="X94" i="9"/>
  <c r="HZ94" i="9"/>
  <c r="AL94" i="9"/>
  <c r="EM94" i="9"/>
  <c r="GC94" i="9"/>
  <c r="CI94" i="9"/>
  <c r="AE94" i="9"/>
  <c r="IG94" i="9"/>
  <c r="AS94" i="9"/>
  <c r="KD94" i="9"/>
  <c r="GJ94" i="9"/>
  <c r="CB94" i="9"/>
  <c r="HE94" i="9"/>
  <c r="HS94" i="9"/>
  <c r="A75" i="9"/>
  <c r="DR75" i="9"/>
  <c r="JB75" i="9"/>
  <c r="AL75" i="9"/>
  <c r="Q75" i="9"/>
  <c r="KK75" i="9"/>
  <c r="HZ75" i="9"/>
  <c r="CW75" i="9"/>
  <c r="IN75" i="9"/>
  <c r="DY75" i="9"/>
  <c r="C75" i="9"/>
  <c r="J75" i="9"/>
  <c r="FA75" i="9"/>
  <c r="ET75" i="9"/>
  <c r="X75" i="9"/>
  <c r="BU75" i="9"/>
  <c r="BG75" i="9"/>
  <c r="HL75" i="9"/>
  <c r="FO75" i="9"/>
  <c r="CB75" i="9"/>
  <c r="AZ75" i="9"/>
  <c r="AE75" i="9"/>
  <c r="CI75" i="9"/>
  <c r="FH75" i="9"/>
  <c r="HS75" i="9"/>
  <c r="JI75" i="9"/>
  <c r="FV75" i="9"/>
  <c r="JP75" i="9"/>
  <c r="GC75" i="9"/>
  <c r="CP75" i="9"/>
  <c r="DD75" i="9"/>
  <c r="KD75" i="9"/>
  <c r="EM75" i="9"/>
  <c r="EF75" i="9"/>
  <c r="AS75" i="9"/>
  <c r="HE75" i="9"/>
  <c r="DK75" i="9"/>
  <c r="KR75" i="9"/>
  <c r="GX75" i="9"/>
  <c r="JW75" i="9"/>
  <c r="GJ75" i="9"/>
  <c r="GQ75" i="9"/>
  <c r="IG75" i="9"/>
  <c r="IU75" i="9"/>
  <c r="BN75" i="9"/>
  <c r="A105" i="9"/>
  <c r="HL105" i="9"/>
  <c r="DK105" i="9"/>
  <c r="AZ105" i="9"/>
  <c r="IG105" i="9"/>
  <c r="J105" i="9"/>
  <c r="IU105" i="9"/>
  <c r="CI105" i="9"/>
  <c r="Q105" i="9"/>
  <c r="JW105" i="9"/>
  <c r="KR105" i="9"/>
  <c r="BG105" i="9"/>
  <c r="ET105" i="9"/>
  <c r="JP105" i="9"/>
  <c r="GQ105" i="9"/>
  <c r="AL105" i="9"/>
  <c r="JI105" i="9"/>
  <c r="X105" i="9"/>
  <c r="FA105" i="9"/>
  <c r="GJ105" i="9"/>
  <c r="KK105" i="9"/>
  <c r="AS105" i="9"/>
  <c r="CP105" i="9"/>
  <c r="FV105" i="9"/>
  <c r="DR105" i="9"/>
  <c r="DY105" i="9"/>
  <c r="IN105" i="9"/>
  <c r="FH105" i="9"/>
  <c r="EF105" i="9"/>
  <c r="HZ105" i="9"/>
  <c r="C105" i="9"/>
  <c r="GX105" i="9"/>
  <c r="HS105" i="9"/>
  <c r="JB105" i="9"/>
  <c r="KD105" i="9"/>
  <c r="HE105" i="9"/>
  <c r="GC105" i="9"/>
  <c r="BU105" i="9"/>
  <c r="EM105" i="9"/>
  <c r="CW105" i="9"/>
  <c r="DD105" i="9"/>
  <c r="BN105" i="9"/>
  <c r="CB105" i="9"/>
  <c r="FO105" i="9"/>
  <c r="AE105" i="9"/>
  <c r="A59" i="9"/>
  <c r="DR59" i="9"/>
  <c r="FO59" i="9"/>
  <c r="FV59" i="9"/>
  <c r="GQ59" i="9"/>
  <c r="BN59" i="9"/>
  <c r="IG59" i="9"/>
  <c r="BU59" i="9"/>
  <c r="ET59" i="9"/>
  <c r="Q59" i="9"/>
  <c r="EF59" i="9"/>
  <c r="DD59" i="9"/>
  <c r="KR59" i="9"/>
  <c r="DY59" i="9"/>
  <c r="AL59" i="9"/>
  <c r="EM59" i="9"/>
  <c r="AZ59" i="9"/>
  <c r="J59" i="9"/>
  <c r="FA59" i="9"/>
  <c r="C59" i="9"/>
  <c r="IN59" i="9"/>
  <c r="JB59" i="9"/>
  <c r="HZ59" i="9"/>
  <c r="GC59" i="9"/>
  <c r="CP59" i="9"/>
  <c r="HS59" i="9"/>
  <c r="CI59" i="9"/>
  <c r="KD59" i="9"/>
  <c r="JI59" i="9"/>
  <c r="KK59" i="9"/>
  <c r="FH59" i="9"/>
  <c r="BG59" i="9"/>
  <c r="IU59" i="9"/>
  <c r="JW59" i="9"/>
  <c r="X59" i="9"/>
  <c r="AE59" i="9"/>
  <c r="GJ59" i="9"/>
  <c r="CB59" i="9"/>
  <c r="AS59" i="9"/>
  <c r="DK59" i="9"/>
  <c r="JP59" i="9"/>
  <c r="CW59" i="9"/>
  <c r="GX59" i="9"/>
  <c r="HL59" i="9"/>
  <c r="HE59" i="9"/>
  <c r="A45" i="9"/>
  <c r="AS45" i="9"/>
  <c r="GC45" i="9"/>
  <c r="KR45" i="9"/>
  <c r="JI45" i="9"/>
  <c r="GJ45" i="9"/>
  <c r="X45" i="9"/>
  <c r="FO45" i="9"/>
  <c r="IU45" i="9"/>
  <c r="DD45" i="9"/>
  <c r="CB45" i="9"/>
  <c r="JW45" i="9"/>
  <c r="CI45" i="9"/>
  <c r="AE45" i="9"/>
  <c r="HL45" i="9"/>
  <c r="KK45" i="9"/>
  <c r="CW45" i="9"/>
  <c r="ET45" i="9"/>
  <c r="DK45" i="9"/>
  <c r="EF45" i="9"/>
  <c r="GX45" i="9"/>
  <c r="KD45" i="9"/>
  <c r="FV45" i="9"/>
  <c r="JP45" i="9"/>
  <c r="FA45" i="9"/>
  <c r="DR45" i="9"/>
  <c r="EM45" i="9"/>
  <c r="BU45" i="9"/>
  <c r="BN45" i="9"/>
  <c r="CP45" i="9"/>
  <c r="AL45" i="9"/>
  <c r="HS45" i="9"/>
  <c r="Q45" i="9"/>
  <c r="FH45" i="9"/>
  <c r="AZ45" i="9"/>
  <c r="HE45" i="9"/>
  <c r="J45" i="9"/>
  <c r="C45" i="9"/>
  <c r="HZ45" i="9"/>
  <c r="DY45" i="9"/>
  <c r="IN45" i="9"/>
  <c r="IG45" i="9"/>
  <c r="JB45" i="9"/>
  <c r="BG45" i="9"/>
  <c r="GQ45" i="9"/>
  <c r="A21" i="9"/>
  <c r="DR21" i="9"/>
  <c r="AS21" i="9"/>
  <c r="FA21" i="9"/>
  <c r="HE21" i="9"/>
  <c r="JB21" i="9"/>
  <c r="ET21" i="9"/>
  <c r="HZ21" i="9"/>
  <c r="IG21" i="9"/>
  <c r="BG21" i="9"/>
  <c r="X21" i="9"/>
  <c r="DY21" i="9"/>
  <c r="J21" i="9"/>
  <c r="EM21" i="9"/>
  <c r="HL21" i="9"/>
  <c r="EF21" i="9"/>
  <c r="KR21" i="9"/>
  <c r="FO21" i="9"/>
  <c r="FV21" i="9"/>
  <c r="JW21" i="9"/>
  <c r="GJ21" i="9"/>
  <c r="C21" i="9"/>
  <c r="HS21" i="9"/>
  <c r="DK21" i="9"/>
  <c r="GC21" i="9"/>
  <c r="JP21" i="9"/>
  <c r="IU21" i="9"/>
  <c r="IN21" i="9"/>
  <c r="KD21" i="9"/>
  <c r="KK21" i="9"/>
  <c r="BN21" i="9"/>
  <c r="AZ21" i="9"/>
  <c r="CW21" i="9"/>
  <c r="FH21" i="9"/>
  <c r="CI21" i="9"/>
  <c r="AL21" i="9"/>
  <c r="JI21" i="9"/>
  <c r="Q21" i="9"/>
  <c r="CB21" i="9"/>
  <c r="GX21" i="9"/>
  <c r="GQ21" i="9"/>
  <c r="AE21" i="9"/>
  <c r="CP21" i="9"/>
  <c r="DD21" i="9"/>
  <c r="BU21" i="9"/>
  <c r="A82" i="9"/>
  <c r="KR82" i="9"/>
  <c r="JB82" i="9"/>
  <c r="HZ82" i="9"/>
  <c r="FH82" i="9"/>
  <c r="IN82" i="9"/>
  <c r="Q82" i="9"/>
  <c r="FA82" i="9"/>
  <c r="FO82" i="9"/>
  <c r="DK82" i="9"/>
  <c r="CB82" i="9"/>
  <c r="CP82" i="9"/>
  <c r="X82" i="9"/>
  <c r="AL82" i="9"/>
  <c r="GX82" i="9"/>
  <c r="KK82" i="9"/>
  <c r="AE82" i="9"/>
  <c r="GJ82" i="9"/>
  <c r="FV82" i="9"/>
  <c r="J82" i="9"/>
  <c r="C82" i="9"/>
  <c r="BG82" i="9"/>
  <c r="AZ82" i="9"/>
  <c r="EF82" i="9"/>
  <c r="DD82" i="9"/>
  <c r="HS82" i="9"/>
  <c r="BU82" i="9"/>
  <c r="IG82" i="9"/>
  <c r="CW82" i="9"/>
  <c r="DY82" i="9"/>
  <c r="HE82" i="9"/>
  <c r="BN82" i="9"/>
  <c r="AS82" i="9"/>
  <c r="EM82" i="9"/>
  <c r="JI82" i="9"/>
  <c r="HL82" i="9"/>
  <c r="ET82" i="9"/>
  <c r="DR82" i="9"/>
  <c r="CI82" i="9"/>
  <c r="JP82" i="9"/>
  <c r="JW82" i="9"/>
  <c r="GQ82" i="9"/>
  <c r="IU82" i="9"/>
  <c r="KD82" i="9"/>
  <c r="GC82" i="9"/>
  <c r="A37" i="9"/>
  <c r="GQ37" i="9"/>
  <c r="HE37" i="9"/>
  <c r="KK37" i="9"/>
  <c r="Q37" i="9"/>
  <c r="AZ37" i="9"/>
  <c r="BN37" i="9"/>
  <c r="ET37" i="9"/>
  <c r="X37" i="9"/>
  <c r="BU37" i="9"/>
  <c r="KD37" i="9"/>
  <c r="DK37" i="9"/>
  <c r="C37" i="9"/>
  <c r="GX37" i="9"/>
  <c r="FO37" i="9"/>
  <c r="FH37" i="9"/>
  <c r="JW37" i="9"/>
  <c r="CI37" i="9"/>
  <c r="HZ37" i="9"/>
  <c r="BG37" i="9"/>
  <c r="CB37" i="9"/>
  <c r="FV37" i="9"/>
  <c r="DD37" i="9"/>
  <c r="EF37" i="9"/>
  <c r="CW37" i="9"/>
  <c r="AE37" i="9"/>
  <c r="DY37" i="9"/>
  <c r="CP37" i="9"/>
  <c r="IN37" i="9"/>
  <c r="GJ37" i="9"/>
  <c r="AL37" i="9"/>
  <c r="KR37" i="9"/>
  <c r="FA37" i="9"/>
  <c r="JP37" i="9"/>
  <c r="EM37" i="9"/>
  <c r="GC37" i="9"/>
  <c r="HL37" i="9"/>
  <c r="IG37" i="9"/>
  <c r="DR37" i="9"/>
  <c r="AS37" i="9"/>
  <c r="IU37" i="9"/>
  <c r="JI37" i="9"/>
  <c r="HS37" i="9"/>
  <c r="J37" i="9"/>
  <c r="JB37" i="9"/>
  <c r="A86" i="9"/>
  <c r="DY86" i="9"/>
  <c r="HS86" i="9"/>
  <c r="Q86" i="9"/>
  <c r="GX86" i="9"/>
  <c r="KK86" i="9"/>
  <c r="DD86" i="9"/>
  <c r="AZ86" i="9"/>
  <c r="GQ86" i="9"/>
  <c r="HE86" i="9"/>
  <c r="GJ86" i="9"/>
  <c r="BU86" i="9"/>
  <c r="ET86" i="9"/>
  <c r="JP86" i="9"/>
  <c r="J86" i="9"/>
  <c r="BN86" i="9"/>
  <c r="JW86" i="9"/>
  <c r="EM86" i="9"/>
  <c r="IN86" i="9"/>
  <c r="CB86" i="9"/>
  <c r="AS86" i="9"/>
  <c r="AE86" i="9"/>
  <c r="CI86" i="9"/>
  <c r="IU86" i="9"/>
  <c r="EF86" i="9"/>
  <c r="JI86" i="9"/>
  <c r="FO86" i="9"/>
  <c r="IG86" i="9"/>
  <c r="DR86" i="9"/>
  <c r="AL86" i="9"/>
  <c r="HL86" i="9"/>
  <c r="KR86" i="9"/>
  <c r="KD86" i="9"/>
  <c r="X86" i="9"/>
  <c r="HZ86" i="9"/>
  <c r="FA86" i="9"/>
  <c r="GC86" i="9"/>
  <c r="FH86" i="9"/>
  <c r="JB86" i="9"/>
  <c r="DK86" i="9"/>
  <c r="BG86" i="9"/>
  <c r="CW86" i="9"/>
  <c r="CP86" i="9"/>
  <c r="FV86" i="9"/>
  <c r="C86" i="9"/>
  <c r="A41" i="9"/>
  <c r="BN41" i="9"/>
  <c r="GQ41" i="9"/>
  <c r="HE41" i="9"/>
  <c r="IN41" i="9"/>
  <c r="Q41" i="9"/>
  <c r="BG41" i="9"/>
  <c r="CB41" i="9"/>
  <c r="JP41" i="9"/>
  <c r="C41" i="9"/>
  <c r="DY41" i="9"/>
  <c r="BU41" i="9"/>
  <c r="FO41" i="9"/>
  <c r="CW41" i="9"/>
  <c r="FH41" i="9"/>
  <c r="GX41" i="9"/>
  <c r="AS41" i="9"/>
  <c r="JI41" i="9"/>
  <c r="HL41" i="9"/>
  <c r="AE41" i="9"/>
  <c r="IU41" i="9"/>
  <c r="JW41" i="9"/>
  <c r="CP41" i="9"/>
  <c r="GC41" i="9"/>
  <c r="FV41" i="9"/>
  <c r="KK41" i="9"/>
  <c r="CI41" i="9"/>
  <c r="DD41" i="9"/>
  <c r="AL41" i="9"/>
  <c r="J41" i="9"/>
  <c r="HS41" i="9"/>
  <c r="EF41" i="9"/>
  <c r="ET41" i="9"/>
  <c r="HZ41" i="9"/>
  <c r="DK41" i="9"/>
  <c r="AZ41" i="9"/>
  <c r="FA41" i="9"/>
  <c r="EM41" i="9"/>
  <c r="KR41" i="9"/>
  <c r="DR41" i="9"/>
  <c r="KD41" i="9"/>
  <c r="IG41" i="9"/>
  <c r="JB41" i="9"/>
  <c r="GJ41" i="9"/>
  <c r="X41" i="9"/>
  <c r="A38" i="9"/>
  <c r="IG38" i="9"/>
  <c r="Q38" i="9"/>
  <c r="JI38" i="9"/>
  <c r="CB38" i="9"/>
  <c r="AL38" i="9"/>
  <c r="GJ38" i="9"/>
  <c r="KD38" i="9"/>
  <c r="HZ38" i="9"/>
  <c r="JB38" i="9"/>
  <c r="JW38" i="9"/>
  <c r="FO38" i="9"/>
  <c r="KR38" i="9"/>
  <c r="HL38" i="9"/>
  <c r="IN38" i="9"/>
  <c r="DK38" i="9"/>
  <c r="FV38" i="9"/>
  <c r="GC38" i="9"/>
  <c r="DD38" i="9"/>
  <c r="BG38" i="9"/>
  <c r="AS38" i="9"/>
  <c r="JP38" i="9"/>
  <c r="CI38" i="9"/>
  <c r="DY38" i="9"/>
  <c r="GX38" i="9"/>
  <c r="AZ38" i="9"/>
  <c r="C38" i="9"/>
  <c r="X38" i="9"/>
  <c r="CW38" i="9"/>
  <c r="DR38" i="9"/>
  <c r="FH38" i="9"/>
  <c r="FA38" i="9"/>
  <c r="GQ38" i="9"/>
  <c r="EM38" i="9"/>
  <c r="BU38" i="9"/>
  <c r="KK38" i="9"/>
  <c r="HS38" i="9"/>
  <c r="AE38" i="9"/>
  <c r="ET38" i="9"/>
  <c r="CP38" i="9"/>
  <c r="BN38" i="9"/>
  <c r="EF38" i="9"/>
  <c r="HE38" i="9"/>
  <c r="J38" i="9"/>
  <c r="IU38" i="9"/>
  <c r="A77" i="9"/>
  <c r="FA77" i="9"/>
  <c r="AL77" i="9"/>
  <c r="FH77" i="9"/>
  <c r="HE77" i="9"/>
  <c r="JP77" i="9"/>
  <c r="J77" i="9"/>
  <c r="AE77" i="9"/>
  <c r="GC77" i="9"/>
  <c r="HZ77" i="9"/>
  <c r="IG77" i="9"/>
  <c r="JB77" i="9"/>
  <c r="KR77" i="9"/>
  <c r="CW77" i="9"/>
  <c r="HL77" i="9"/>
  <c r="IN77" i="9"/>
  <c r="AS77" i="9"/>
  <c r="JI77" i="9"/>
  <c r="KK77" i="9"/>
  <c r="X77" i="9"/>
  <c r="IU77" i="9"/>
  <c r="BN77" i="9"/>
  <c r="CB77" i="9"/>
  <c r="DD77" i="9"/>
  <c r="GQ77" i="9"/>
  <c r="ET77" i="9"/>
  <c r="DR77" i="9"/>
  <c r="EM77" i="9"/>
  <c r="FV77" i="9"/>
  <c r="HS77" i="9"/>
  <c r="Q77" i="9"/>
  <c r="KD77" i="9"/>
  <c r="CP77" i="9"/>
  <c r="JW77" i="9"/>
  <c r="CI77" i="9"/>
  <c r="BG77" i="9"/>
  <c r="GX77" i="9"/>
  <c r="EF77" i="9"/>
  <c r="BU77" i="9"/>
  <c r="DK77" i="9"/>
  <c r="DY77" i="9"/>
  <c r="AZ77" i="9"/>
  <c r="FO77" i="9"/>
  <c r="C77" i="9"/>
  <c r="GJ77" i="9"/>
  <c r="A69" i="9"/>
  <c r="AE69" i="9"/>
  <c r="ET69" i="9"/>
  <c r="CP69" i="9"/>
  <c r="GJ69" i="9"/>
  <c r="DD69" i="9"/>
  <c r="IU69" i="9"/>
  <c r="KR69" i="9"/>
  <c r="EF69" i="9"/>
  <c r="HL69" i="9"/>
  <c r="JI69" i="9"/>
  <c r="DK69" i="9"/>
  <c r="GC69" i="9"/>
  <c r="GQ69" i="9"/>
  <c r="CI69" i="9"/>
  <c r="IN69" i="9"/>
  <c r="Q69" i="9"/>
  <c r="AL69" i="9"/>
  <c r="HE69" i="9"/>
  <c r="GX69" i="9"/>
  <c r="HS69" i="9"/>
  <c r="FV69" i="9"/>
  <c r="AZ69" i="9"/>
  <c r="C69" i="9"/>
  <c r="BN69" i="9"/>
  <c r="DR69" i="9"/>
  <c r="DY69" i="9"/>
  <c r="AS69" i="9"/>
  <c r="BG69" i="9"/>
  <c r="KD69" i="9"/>
  <c r="EM69" i="9"/>
  <c r="IG69" i="9"/>
  <c r="CB69" i="9"/>
  <c r="JW69" i="9"/>
  <c r="KK69" i="9"/>
  <c r="FA69" i="9"/>
  <c r="JP69" i="9"/>
  <c r="HZ69" i="9"/>
  <c r="BU69" i="9"/>
  <c r="CW69" i="9"/>
  <c r="JB69" i="9"/>
  <c r="J69" i="9"/>
  <c r="FO69" i="9"/>
  <c r="FH69" i="9"/>
  <c r="X69" i="9"/>
  <c r="A20" i="9"/>
  <c r="HE20" i="9"/>
  <c r="IU20" i="9"/>
  <c r="DY20" i="9"/>
  <c r="GX20" i="9"/>
  <c r="DK20" i="9"/>
  <c r="HZ20" i="9"/>
  <c r="DR20" i="9"/>
  <c r="CW20" i="9"/>
  <c r="FO20" i="9"/>
  <c r="BG20" i="9"/>
  <c r="X20" i="9"/>
  <c r="IG20" i="9"/>
  <c r="AZ20" i="9"/>
  <c r="EF20" i="9"/>
  <c r="CB20" i="9"/>
  <c r="IN20" i="9"/>
  <c r="DD20" i="9"/>
  <c r="KR20" i="9"/>
  <c r="KK20" i="9"/>
  <c r="AS20" i="9"/>
  <c r="C20" i="9"/>
  <c r="JW20" i="9"/>
  <c r="JB20" i="9"/>
  <c r="GC20" i="9"/>
  <c r="Q20" i="9"/>
  <c r="GJ20" i="9"/>
  <c r="HS20" i="9"/>
  <c r="CI20" i="9"/>
  <c r="CP20" i="9"/>
  <c r="EM20" i="9"/>
  <c r="ET20" i="9"/>
  <c r="JI20" i="9"/>
  <c r="GQ20" i="9"/>
  <c r="AE20" i="9"/>
  <c r="FA20" i="9"/>
  <c r="JP20" i="9"/>
  <c r="AL20" i="9"/>
  <c r="J20" i="9"/>
  <c r="HL20" i="9"/>
  <c r="KD20" i="9"/>
  <c r="BN20" i="9"/>
  <c r="FH20" i="9"/>
  <c r="BU20" i="9"/>
  <c r="FV20" i="9"/>
  <c r="A72" i="9"/>
  <c r="JI72" i="9"/>
  <c r="HE72" i="9"/>
  <c r="HZ72" i="9"/>
  <c r="DR72" i="9"/>
  <c r="FA72" i="9"/>
  <c r="X72" i="9"/>
  <c r="IG72" i="9"/>
  <c r="JW72" i="9"/>
  <c r="AZ72" i="9"/>
  <c r="FH72" i="9"/>
  <c r="KR72" i="9"/>
  <c r="ET72" i="9"/>
  <c r="CI72" i="9"/>
  <c r="KK72" i="9"/>
  <c r="C72" i="9"/>
  <c r="JP72" i="9"/>
  <c r="DK72" i="9"/>
  <c r="GJ72" i="9"/>
  <c r="EF72" i="9"/>
  <c r="CP72" i="9"/>
  <c r="JB72" i="9"/>
  <c r="J72" i="9"/>
  <c r="IU72" i="9"/>
  <c r="GX72" i="9"/>
  <c r="GC72" i="9"/>
  <c r="DY72" i="9"/>
  <c r="FO72" i="9"/>
  <c r="HS72" i="9"/>
  <c r="GQ72" i="9"/>
  <c r="CW72" i="9"/>
  <c r="AS72" i="9"/>
  <c r="KD72" i="9"/>
  <c r="IN72" i="9"/>
  <c r="HL72" i="9"/>
  <c r="AL72" i="9"/>
  <c r="AE72" i="9"/>
  <c r="BU72" i="9"/>
  <c r="DD72" i="9"/>
  <c r="BG72" i="9"/>
  <c r="Q72" i="9"/>
  <c r="EM72" i="9"/>
  <c r="BN72" i="9"/>
  <c r="FV72" i="9"/>
  <c r="CB72" i="9"/>
  <c r="A28" i="9"/>
  <c r="GX28" i="9"/>
  <c r="ET28" i="9"/>
  <c r="BN28" i="9"/>
  <c r="JI28" i="9"/>
  <c r="EF28" i="9"/>
  <c r="EM28" i="9"/>
  <c r="CP28" i="9"/>
  <c r="AL28" i="9"/>
  <c r="HE28" i="9"/>
  <c r="FA28" i="9"/>
  <c r="DD28" i="9"/>
  <c r="C28" i="9"/>
  <c r="IU28" i="9"/>
  <c r="IN28" i="9"/>
  <c r="HZ28" i="9"/>
  <c r="FH28" i="9"/>
  <c r="CW28" i="9"/>
  <c r="X28" i="9"/>
  <c r="GC28" i="9"/>
  <c r="JW28" i="9"/>
  <c r="JP28" i="9"/>
  <c r="HS28" i="9"/>
  <c r="IG28" i="9"/>
  <c r="Q28" i="9"/>
  <c r="AZ28" i="9"/>
  <c r="GJ28" i="9"/>
  <c r="GQ28" i="9"/>
  <c r="J28" i="9"/>
  <c r="KK28" i="9"/>
  <c r="KR28" i="9"/>
  <c r="CB28" i="9"/>
  <c r="AE28" i="9"/>
  <c r="BG28" i="9"/>
  <c r="BU28" i="9"/>
  <c r="DK28" i="9"/>
  <c r="JB28" i="9"/>
  <c r="CI28" i="9"/>
  <c r="FV28" i="9"/>
  <c r="DR28" i="9"/>
  <c r="KD28" i="9"/>
  <c r="DY28" i="9"/>
  <c r="HL28" i="9"/>
  <c r="FO28" i="9"/>
  <c r="AS28" i="9"/>
  <c r="A71" i="9"/>
  <c r="CW71" i="9"/>
  <c r="CB71" i="9"/>
  <c r="HL71" i="9"/>
  <c r="J71" i="9"/>
  <c r="BG71" i="9"/>
  <c r="GC71" i="9"/>
  <c r="BU71" i="9"/>
  <c r="GJ71" i="9"/>
  <c r="DK71" i="9"/>
  <c r="KR71" i="9"/>
  <c r="C71" i="9"/>
  <c r="BN71" i="9"/>
  <c r="AS71" i="9"/>
  <c r="JB71" i="9"/>
  <c r="ET71" i="9"/>
  <c r="DR71" i="9"/>
  <c r="KD71" i="9"/>
  <c r="EM71" i="9"/>
  <c r="FH71" i="9"/>
  <c r="CP71" i="9"/>
  <c r="GX71" i="9"/>
  <c r="JP71" i="9"/>
  <c r="DY71" i="9"/>
  <c r="HS71" i="9"/>
  <c r="IN71" i="9"/>
  <c r="HE71" i="9"/>
  <c r="JW71" i="9"/>
  <c r="IU71" i="9"/>
  <c r="AE71" i="9"/>
  <c r="Q71" i="9"/>
  <c r="X71" i="9"/>
  <c r="FA71" i="9"/>
  <c r="AZ71" i="9"/>
  <c r="EF71" i="9"/>
  <c r="FO71" i="9"/>
  <c r="FV71" i="9"/>
  <c r="IG71" i="9"/>
  <c r="KK71" i="9"/>
  <c r="CI71" i="9"/>
  <c r="GQ71" i="9"/>
  <c r="AL71" i="9"/>
  <c r="DD71" i="9"/>
  <c r="JI71" i="9"/>
  <c r="HZ71" i="9"/>
  <c r="A83" i="9"/>
  <c r="HE83" i="9"/>
  <c r="IG83" i="9"/>
  <c r="BN83" i="9"/>
  <c r="FH83" i="9"/>
  <c r="AE83" i="9"/>
  <c r="IU83" i="9"/>
  <c r="GJ83" i="9"/>
  <c r="CI83" i="9"/>
  <c r="BG83" i="9"/>
  <c r="HL83" i="9"/>
  <c r="JP83" i="9"/>
  <c r="J83" i="9"/>
  <c r="HS83" i="9"/>
  <c r="CW83" i="9"/>
  <c r="AL83" i="9"/>
  <c r="GX83" i="9"/>
  <c r="FV83" i="9"/>
  <c r="FO83" i="9"/>
  <c r="HZ83" i="9"/>
  <c r="IN83" i="9"/>
  <c r="GC83" i="9"/>
  <c r="DR83" i="9"/>
  <c r="FA83" i="9"/>
  <c r="EM83" i="9"/>
  <c r="X83" i="9"/>
  <c r="JW83" i="9"/>
  <c r="ET83" i="9"/>
  <c r="C83" i="9"/>
  <c r="DK83" i="9"/>
  <c r="JI83" i="9"/>
  <c r="DD83" i="9"/>
  <c r="JB83" i="9"/>
  <c r="BU83" i="9"/>
  <c r="Q83" i="9"/>
  <c r="CP83" i="9"/>
  <c r="EF83" i="9"/>
  <c r="AZ83" i="9"/>
  <c r="KR83" i="9"/>
  <c r="DY83" i="9"/>
  <c r="AS83" i="9"/>
  <c r="CB83" i="9"/>
  <c r="KD83" i="9"/>
  <c r="GQ83" i="9"/>
  <c r="KK83" i="9"/>
  <c r="A56" i="9"/>
  <c r="CW56" i="9"/>
  <c r="AS56" i="9"/>
  <c r="GC56" i="9"/>
  <c r="JB56" i="9"/>
  <c r="CI56" i="9"/>
  <c r="EF56" i="9"/>
  <c r="AE56" i="9"/>
  <c r="BU56" i="9"/>
  <c r="BN56" i="9"/>
  <c r="GQ56" i="9"/>
  <c r="HS56" i="9"/>
  <c r="JP56" i="9"/>
  <c r="KR56" i="9"/>
  <c r="HZ56" i="9"/>
  <c r="KK56" i="9"/>
  <c r="FH56" i="9"/>
  <c r="CB56" i="9"/>
  <c r="C56" i="9"/>
  <c r="X56" i="9"/>
  <c r="HL56" i="9"/>
  <c r="FA56" i="9"/>
  <c r="ET56" i="9"/>
  <c r="FO56" i="9"/>
  <c r="DR56" i="9"/>
  <c r="HE56" i="9"/>
  <c r="IN56" i="9"/>
  <c r="KD56" i="9"/>
  <c r="GJ56" i="9"/>
  <c r="J56" i="9"/>
  <c r="JI56" i="9"/>
  <c r="EM56" i="9"/>
  <c r="FV56" i="9"/>
  <c r="Q56" i="9"/>
  <c r="AZ56" i="9"/>
  <c r="BG56" i="9"/>
  <c r="DY56" i="9"/>
  <c r="IG56" i="9"/>
  <c r="JW56" i="9"/>
  <c r="DD56" i="9"/>
  <c r="CP56" i="9"/>
  <c r="GX56" i="9"/>
  <c r="DK56" i="9"/>
  <c r="IU56" i="9"/>
  <c r="AL56" i="9"/>
  <c r="A93" i="9"/>
  <c r="JW93" i="9"/>
  <c r="GC93" i="9"/>
  <c r="DY93" i="9"/>
  <c r="FH93" i="9"/>
  <c r="HE93" i="9"/>
  <c r="IG93" i="9"/>
  <c r="AE93" i="9"/>
  <c r="X93" i="9"/>
  <c r="ET93" i="9"/>
  <c r="JP93" i="9"/>
  <c r="GX93" i="9"/>
  <c r="BN93" i="9"/>
  <c r="CW93" i="9"/>
  <c r="FA93" i="9"/>
  <c r="KK93" i="9"/>
  <c r="BG93" i="9"/>
  <c r="Q93" i="9"/>
  <c r="J93" i="9"/>
  <c r="EM93" i="9"/>
  <c r="EF93" i="9"/>
  <c r="KD93" i="9"/>
  <c r="FO93" i="9"/>
  <c r="AS93" i="9"/>
  <c r="DD93" i="9"/>
  <c r="HS93" i="9"/>
  <c r="DR93" i="9"/>
  <c r="AL93" i="9"/>
  <c r="AZ93" i="9"/>
  <c r="IN93" i="9"/>
  <c r="GQ93" i="9"/>
  <c r="CI93" i="9"/>
  <c r="CP93" i="9"/>
  <c r="IU93" i="9"/>
  <c r="GJ93" i="9"/>
  <c r="CB93" i="9"/>
  <c r="BU93" i="9"/>
  <c r="KR93" i="9"/>
  <c r="JI93" i="9"/>
  <c r="C93" i="9"/>
  <c r="DK93" i="9"/>
  <c r="JB93" i="9"/>
  <c r="HL93" i="9"/>
  <c r="HZ93" i="9"/>
  <c r="FV93" i="9"/>
  <c r="A12" i="9"/>
  <c r="ET12" i="9"/>
  <c r="EM12" i="9"/>
  <c r="X12" i="9"/>
  <c r="AZ12" i="9"/>
  <c r="AE12" i="9"/>
  <c r="HL12" i="9"/>
  <c r="HZ12" i="9"/>
  <c r="DK12" i="9"/>
  <c r="AL12" i="9"/>
  <c r="BN12" i="9"/>
  <c r="EF12" i="9"/>
  <c r="FA12" i="9"/>
  <c r="CW12" i="9"/>
  <c r="JB12" i="9"/>
  <c r="JP12" i="9"/>
  <c r="KK12" i="9"/>
  <c r="DD12" i="9"/>
  <c r="CB12" i="9"/>
  <c r="C12" i="9"/>
  <c r="FO12" i="9"/>
  <c r="JW12" i="9"/>
  <c r="KR12" i="9"/>
  <c r="IG12" i="9"/>
  <c r="Q12" i="9"/>
  <c r="FV12" i="9"/>
  <c r="AS12" i="9"/>
  <c r="BG12" i="9"/>
  <c r="FH12" i="9"/>
  <c r="KD12" i="9"/>
  <c r="HE12" i="9"/>
  <c r="IU12" i="9"/>
  <c r="CI12" i="9"/>
  <c r="J12" i="9"/>
  <c r="CP12" i="9"/>
  <c r="GQ12" i="9"/>
  <c r="DY12" i="9"/>
  <c r="JI12" i="9"/>
  <c r="GC12" i="9"/>
  <c r="HS12" i="9"/>
  <c r="GX12" i="9"/>
  <c r="DR12" i="9"/>
  <c r="BU12" i="9"/>
  <c r="GJ12" i="9"/>
  <c r="IN12" i="9"/>
  <c r="JI5" i="9"/>
  <c r="FA5" i="9"/>
  <c r="CI5" i="9"/>
  <c r="J5" i="9"/>
  <c r="A5" i="9"/>
  <c r="GC5" i="9"/>
  <c r="ET5" i="9"/>
  <c r="HZ5" i="9"/>
  <c r="C5" i="9"/>
  <c r="HL5" i="9"/>
  <c r="EF5" i="9"/>
  <c r="HE5" i="9"/>
  <c r="CW5" i="9"/>
  <c r="AS5" i="9"/>
  <c r="DK5" i="9"/>
  <c r="CP5" i="9"/>
  <c r="X5" i="9"/>
  <c r="CB5" i="9"/>
  <c r="EM5" i="9"/>
  <c r="GX5" i="9"/>
  <c r="KR5" i="9"/>
  <c r="BN5" i="9"/>
  <c r="BU5" i="9"/>
  <c r="Q5" i="9"/>
  <c r="IN5" i="9"/>
  <c r="IG5" i="9"/>
  <c r="JB5" i="9"/>
  <c r="KD5" i="9"/>
  <c r="JW5" i="9"/>
  <c r="GJ5" i="9"/>
  <c r="IU5" i="9"/>
  <c r="FH5" i="9"/>
  <c r="AL5" i="9"/>
  <c r="AZ5" i="9"/>
  <c r="DD5" i="9"/>
  <c r="FO5" i="9"/>
  <c r="DR5" i="9"/>
  <c r="FV5" i="9"/>
  <c r="DY5" i="9"/>
  <c r="BG5" i="9"/>
  <c r="GQ5" i="9"/>
  <c r="JP5" i="9"/>
  <c r="KK5" i="9"/>
  <c r="HS5" i="9"/>
  <c r="AE5" i="9"/>
  <c r="A16" i="9"/>
  <c r="C16" i="9"/>
  <c r="EM16" i="9"/>
  <c r="IN16" i="9"/>
  <c r="Q16" i="9"/>
  <c r="BU16" i="9"/>
  <c r="J16" i="9"/>
  <c r="FH16" i="9"/>
  <c r="FV16" i="9"/>
  <c r="DR16" i="9"/>
  <c r="JW16" i="9"/>
  <c r="AS16" i="9"/>
  <c r="GX16" i="9"/>
  <c r="HE16" i="9"/>
  <c r="GC16" i="9"/>
  <c r="IG16" i="9"/>
  <c r="KD16" i="9"/>
  <c r="KR16" i="9"/>
  <c r="FA16" i="9"/>
  <c r="FO16" i="9"/>
  <c r="DY16" i="9"/>
  <c r="DK16" i="9"/>
  <c r="AL16" i="9"/>
  <c r="EF16" i="9"/>
  <c r="GJ16" i="9"/>
  <c r="ET16" i="9"/>
  <c r="HZ16" i="9"/>
  <c r="BG16" i="9"/>
  <c r="JB16" i="9"/>
  <c r="CI16" i="9"/>
  <c r="HL16" i="9"/>
  <c r="JP16" i="9"/>
  <c r="X16" i="9"/>
  <c r="JI16" i="9"/>
  <c r="DD16" i="9"/>
  <c r="KK16" i="9"/>
  <c r="HS16" i="9"/>
  <c r="GQ16" i="9"/>
  <c r="CP16" i="9"/>
  <c r="CB16" i="9"/>
  <c r="AZ16" i="9"/>
  <c r="AE16" i="9"/>
  <c r="CW16" i="9"/>
  <c r="IU16" i="9"/>
  <c r="BN16" i="9"/>
  <c r="A13" i="9"/>
  <c r="Q13" i="9"/>
  <c r="CI13" i="9"/>
  <c r="HS13" i="9"/>
  <c r="AL13" i="9"/>
  <c r="FV13" i="9"/>
  <c r="AS13" i="9"/>
  <c r="JW13" i="9"/>
  <c r="IN13" i="9"/>
  <c r="HL13" i="9"/>
  <c r="KR13" i="9"/>
  <c r="DY13" i="9"/>
  <c r="FA13" i="9"/>
  <c r="JB13" i="9"/>
  <c r="BG13" i="9"/>
  <c r="ET13" i="9"/>
  <c r="DD13" i="9"/>
  <c r="GQ13" i="9"/>
  <c r="DR13" i="9"/>
  <c r="J13" i="9"/>
  <c r="HZ13" i="9"/>
  <c r="AZ13" i="9"/>
  <c r="FH13" i="9"/>
  <c r="BU13" i="9"/>
  <c r="CW13" i="9"/>
  <c r="JI13" i="9"/>
  <c r="DK13" i="9"/>
  <c r="GJ13" i="9"/>
  <c r="GC13" i="9"/>
  <c r="IU13" i="9"/>
  <c r="AE13" i="9"/>
  <c r="C13" i="9"/>
  <c r="X13" i="9"/>
  <c r="HE13" i="9"/>
  <c r="IG13" i="9"/>
  <c r="CB13" i="9"/>
  <c r="JP13" i="9"/>
  <c r="GX13" i="9"/>
  <c r="FO13" i="9"/>
  <c r="EM13" i="9"/>
  <c r="KD13" i="9"/>
  <c r="BN13" i="9"/>
  <c r="KK13" i="9"/>
  <c r="EF13" i="9"/>
  <c r="CP13" i="9"/>
  <c r="A52" i="9"/>
  <c r="BU52" i="9"/>
  <c r="HZ52" i="9"/>
  <c r="JP52" i="9"/>
  <c r="KD52" i="9"/>
  <c r="EF52" i="9"/>
  <c r="AZ52" i="9"/>
  <c r="GJ52" i="9"/>
  <c r="GX52" i="9"/>
  <c r="BN52" i="9"/>
  <c r="DK52" i="9"/>
  <c r="CP52" i="9"/>
  <c r="KK52" i="9"/>
  <c r="JB52" i="9"/>
  <c r="CB52" i="9"/>
  <c r="AL52" i="9"/>
  <c r="C52" i="9"/>
  <c r="JW52" i="9"/>
  <c r="X52" i="9"/>
  <c r="IN52" i="9"/>
  <c r="ET52" i="9"/>
  <c r="IG52" i="9"/>
  <c r="KR52" i="9"/>
  <c r="GQ52" i="9"/>
  <c r="CW52" i="9"/>
  <c r="HE52" i="9"/>
  <c r="FO52" i="9"/>
  <c r="AS52" i="9"/>
  <c r="DR52" i="9"/>
  <c r="BG52" i="9"/>
  <c r="HL52" i="9"/>
  <c r="Q52" i="9"/>
  <c r="J52" i="9"/>
  <c r="AE52" i="9"/>
  <c r="CI52" i="9"/>
  <c r="DY52" i="9"/>
  <c r="JI52" i="9"/>
  <c r="IU52" i="9"/>
  <c r="EM52" i="9"/>
  <c r="GC52" i="9"/>
  <c r="HS52" i="9"/>
  <c r="FV52" i="9"/>
  <c r="FH52" i="9"/>
  <c r="DD52" i="9"/>
  <c r="FA52" i="9"/>
  <c r="A64" i="9"/>
  <c r="KK64" i="9"/>
  <c r="IN64" i="9"/>
  <c r="BN64" i="9"/>
  <c r="J64" i="9"/>
  <c r="ET64" i="9"/>
  <c r="DD64" i="9"/>
  <c r="FA64" i="9"/>
  <c r="AE64" i="9"/>
  <c r="JI64" i="9"/>
  <c r="FV64" i="9"/>
  <c r="HZ64" i="9"/>
  <c r="FO64" i="9"/>
  <c r="HS64" i="9"/>
  <c r="Q64" i="9"/>
  <c r="AS64" i="9"/>
  <c r="IG64" i="9"/>
  <c r="CW64" i="9"/>
  <c r="GJ64" i="9"/>
  <c r="BU64" i="9"/>
  <c r="DK64" i="9"/>
  <c r="GX64" i="9"/>
  <c r="KD64" i="9"/>
  <c r="GC64" i="9"/>
  <c r="AL64" i="9"/>
  <c r="IU64" i="9"/>
  <c r="EF64" i="9"/>
  <c r="CI64" i="9"/>
  <c r="GQ64" i="9"/>
  <c r="X64" i="9"/>
  <c r="CB64" i="9"/>
  <c r="C64" i="9"/>
  <c r="EM64" i="9"/>
  <c r="HL64" i="9"/>
  <c r="CP64" i="9"/>
  <c r="FH64" i="9"/>
  <c r="DR64" i="9"/>
  <c r="HE64" i="9"/>
  <c r="DY64" i="9"/>
  <c r="JB64" i="9"/>
  <c r="JW64" i="9"/>
  <c r="AZ64" i="9"/>
  <c r="BG64" i="9"/>
  <c r="JP64" i="9"/>
  <c r="KR64" i="9"/>
  <c r="A74" i="9"/>
  <c r="IG74" i="9"/>
  <c r="X74" i="9"/>
  <c r="KD74" i="9"/>
  <c r="CW74" i="9"/>
  <c r="FA74" i="9"/>
  <c r="FH74" i="9"/>
  <c r="DK74" i="9"/>
  <c r="C74" i="9"/>
  <c r="GC74" i="9"/>
  <c r="CI74" i="9"/>
  <c r="IU74" i="9"/>
  <c r="AS74" i="9"/>
  <c r="Q74" i="9"/>
  <c r="KK74" i="9"/>
  <c r="HE74" i="9"/>
  <c r="JP74" i="9"/>
  <c r="GJ74" i="9"/>
  <c r="DY74" i="9"/>
  <c r="AL74" i="9"/>
  <c r="KR74" i="9"/>
  <c r="BG74" i="9"/>
  <c r="CP74" i="9"/>
  <c r="HS74" i="9"/>
  <c r="HZ74" i="9"/>
  <c r="ET74" i="9"/>
  <c r="CB74" i="9"/>
  <c r="EM74" i="9"/>
  <c r="DR74" i="9"/>
  <c r="J74" i="9"/>
  <c r="AZ74" i="9"/>
  <c r="FV74" i="9"/>
  <c r="BU74" i="9"/>
  <c r="JB74" i="9"/>
  <c r="IN74" i="9"/>
  <c r="HL74" i="9"/>
  <c r="AE74" i="9"/>
  <c r="EF74" i="9"/>
  <c r="FO74" i="9"/>
  <c r="JI74" i="9"/>
  <c r="GQ74" i="9"/>
  <c r="GX74" i="9"/>
  <c r="JW74" i="9"/>
  <c r="BN74" i="9"/>
  <c r="DD74" i="9"/>
  <c r="A103" i="9"/>
  <c r="GX103" i="9"/>
  <c r="FV103" i="9"/>
  <c r="AL103" i="9"/>
  <c r="AZ103" i="9"/>
  <c r="AE103" i="9"/>
  <c r="GQ103" i="9"/>
  <c r="CB103" i="9"/>
  <c r="KK103" i="9"/>
  <c r="X103" i="9"/>
  <c r="JW103" i="9"/>
  <c r="HL103" i="9"/>
  <c r="HS103" i="9"/>
  <c r="AS103" i="9"/>
  <c r="FH103" i="9"/>
  <c r="JB103" i="9"/>
  <c r="IU103" i="9"/>
  <c r="ET103" i="9"/>
  <c r="KD103" i="9"/>
  <c r="HZ103" i="9"/>
  <c r="IG103" i="9"/>
  <c r="BN103" i="9"/>
  <c r="IN103" i="9"/>
  <c r="EF103" i="9"/>
  <c r="HE103" i="9"/>
  <c r="DR103" i="9"/>
  <c r="GJ103" i="9"/>
  <c r="C103" i="9"/>
  <c r="CW103" i="9"/>
  <c r="BU103" i="9"/>
  <c r="DK103" i="9"/>
  <c r="DY103" i="9"/>
  <c r="KR103" i="9"/>
  <c r="J103" i="9"/>
  <c r="FA103" i="9"/>
  <c r="CP103" i="9"/>
  <c r="EM103" i="9"/>
  <c r="Q103" i="9"/>
  <c r="FO103" i="9"/>
  <c r="GC103" i="9"/>
  <c r="JI103" i="9"/>
  <c r="JP103" i="9"/>
  <c r="BG103" i="9"/>
  <c r="CI103" i="9"/>
  <c r="DD103" i="9"/>
  <c r="A67" i="9"/>
  <c r="DK67" i="9"/>
  <c r="C67" i="9"/>
  <c r="AL67" i="9"/>
  <c r="JW67" i="9"/>
  <c r="Q67" i="9"/>
  <c r="GX67" i="9"/>
  <c r="JI67" i="9"/>
  <c r="GQ67" i="9"/>
  <c r="IU67" i="9"/>
  <c r="ET67" i="9"/>
  <c r="HL67" i="9"/>
  <c r="HZ67" i="9"/>
  <c r="AS67" i="9"/>
  <c r="KK67" i="9"/>
  <c r="BG67" i="9"/>
  <c r="FO67" i="9"/>
  <c r="DY67" i="9"/>
  <c r="X67" i="9"/>
  <c r="BU67" i="9"/>
  <c r="BN67" i="9"/>
  <c r="CP67" i="9"/>
  <c r="FV67" i="9"/>
  <c r="HE67" i="9"/>
  <c r="IN67" i="9"/>
  <c r="CB67" i="9"/>
  <c r="AZ67" i="9"/>
  <c r="CI67" i="9"/>
  <c r="JP67" i="9"/>
  <c r="GC67" i="9"/>
  <c r="IG67" i="9"/>
  <c r="FH67" i="9"/>
  <c r="EM67" i="9"/>
  <c r="FA67" i="9"/>
  <c r="KR67" i="9"/>
  <c r="KD67" i="9"/>
  <c r="J67" i="9"/>
  <c r="DR67" i="9"/>
  <c r="GJ67" i="9"/>
  <c r="EF67" i="9"/>
  <c r="JB67" i="9"/>
  <c r="DD67" i="9"/>
  <c r="CW67" i="9"/>
  <c r="HS67" i="9"/>
  <c r="AE67" i="9"/>
  <c r="A91" i="9"/>
  <c r="KK91" i="9"/>
  <c r="DY91" i="9"/>
  <c r="IU91" i="9"/>
  <c r="AL91" i="9"/>
  <c r="CW91" i="9"/>
  <c r="KD91" i="9"/>
  <c r="EM91" i="9"/>
  <c r="GJ91" i="9"/>
  <c r="FH91" i="9"/>
  <c r="KR91" i="9"/>
  <c r="ET91" i="9"/>
  <c r="AE91" i="9"/>
  <c r="FV91" i="9"/>
  <c r="IN91" i="9"/>
  <c r="GQ91" i="9"/>
  <c r="CI91" i="9"/>
  <c r="JP91" i="9"/>
  <c r="IG91" i="9"/>
  <c r="HS91" i="9"/>
  <c r="DR91" i="9"/>
  <c r="GC91" i="9"/>
  <c r="DK91" i="9"/>
  <c r="FO91" i="9"/>
  <c r="AS91" i="9"/>
  <c r="FA91" i="9"/>
  <c r="Q91" i="9"/>
  <c r="JW91" i="9"/>
  <c r="BU91" i="9"/>
  <c r="JI91" i="9"/>
  <c r="HL91" i="9"/>
  <c r="BN91" i="9"/>
  <c r="BG91" i="9"/>
  <c r="HZ91" i="9"/>
  <c r="AZ91" i="9"/>
  <c r="DD91" i="9"/>
  <c r="X91" i="9"/>
  <c r="GX91" i="9"/>
  <c r="JB91" i="9"/>
  <c r="CP91" i="9"/>
  <c r="J91" i="9"/>
  <c r="EF91" i="9"/>
  <c r="HE91" i="9"/>
  <c r="CB91" i="9"/>
  <c r="C91" i="9"/>
  <c r="A100" i="9"/>
  <c r="AL100" i="9"/>
  <c r="C100" i="9"/>
  <c r="JP100" i="9"/>
  <c r="HZ100" i="9"/>
  <c r="FO100" i="9"/>
  <c r="BN100" i="9"/>
  <c r="HE100" i="9"/>
  <c r="IU100" i="9"/>
  <c r="DK100" i="9"/>
  <c r="FH100" i="9"/>
  <c r="EM100" i="9"/>
  <c r="J100" i="9"/>
  <c r="GC100" i="9"/>
  <c r="IN100" i="9"/>
  <c r="GJ100" i="9"/>
  <c r="JB100" i="9"/>
  <c r="HL100" i="9"/>
  <c r="BU100" i="9"/>
  <c r="KD100" i="9"/>
  <c r="EF100" i="9"/>
  <c r="JW100" i="9"/>
  <c r="CW100" i="9"/>
  <c r="GX100" i="9"/>
  <c r="FV100" i="9"/>
  <c r="X100" i="9"/>
  <c r="FA100" i="9"/>
  <c r="AS100" i="9"/>
  <c r="ET100" i="9"/>
  <c r="CI100" i="9"/>
  <c r="AE100" i="9"/>
  <c r="KR100" i="9"/>
  <c r="HS100" i="9"/>
  <c r="DR100" i="9"/>
  <c r="CB100" i="9"/>
  <c r="IG100" i="9"/>
  <c r="AZ100" i="9"/>
  <c r="KK100" i="9"/>
  <c r="BG100" i="9"/>
  <c r="DD100" i="9"/>
  <c r="DY100" i="9"/>
  <c r="JI100" i="9"/>
  <c r="CP100" i="9"/>
  <c r="GQ100" i="9"/>
  <c r="Q100" i="9"/>
  <c r="A68" i="9"/>
  <c r="IN68" i="9"/>
  <c r="HS68" i="9"/>
  <c r="DK68" i="9"/>
  <c r="GC68" i="9"/>
  <c r="IU68" i="9"/>
  <c r="AZ68" i="9"/>
  <c r="DY68" i="9"/>
  <c r="BG68" i="9"/>
  <c r="BN68" i="9"/>
  <c r="FO68" i="9"/>
  <c r="AL68" i="9"/>
  <c r="JB68" i="9"/>
  <c r="HZ68" i="9"/>
  <c r="KR68" i="9"/>
  <c r="CI68" i="9"/>
  <c r="EM68" i="9"/>
  <c r="KK68" i="9"/>
  <c r="AE68" i="9"/>
  <c r="CP68" i="9"/>
  <c r="IG68" i="9"/>
  <c r="KD68" i="9"/>
  <c r="GQ68" i="9"/>
  <c r="DR68" i="9"/>
  <c r="C68" i="9"/>
  <c r="AS68" i="9"/>
  <c r="FA68" i="9"/>
  <c r="X68" i="9"/>
  <c r="FV68" i="9"/>
  <c r="FH68" i="9"/>
  <c r="GJ68" i="9"/>
  <c r="HL68" i="9"/>
  <c r="HE68" i="9"/>
  <c r="JW68" i="9"/>
  <c r="ET68" i="9"/>
  <c r="JP68" i="9"/>
  <c r="Q68" i="9"/>
  <c r="BU68" i="9"/>
  <c r="J68" i="9"/>
  <c r="CB68" i="9"/>
  <c r="EF68" i="9"/>
  <c r="CW68" i="9"/>
  <c r="DD68" i="9"/>
  <c r="JI68" i="9"/>
  <c r="GX68" i="9"/>
  <c r="A76" i="9"/>
  <c r="AE76" i="9"/>
  <c r="HZ76" i="9"/>
  <c r="JP76" i="9"/>
  <c r="DD76" i="9"/>
  <c r="JI76" i="9"/>
  <c r="KD76" i="9"/>
  <c r="BN76" i="9"/>
  <c r="DY76" i="9"/>
  <c r="EF76" i="9"/>
  <c r="IN76" i="9"/>
  <c r="DK76" i="9"/>
  <c r="HS76" i="9"/>
  <c r="DR76" i="9"/>
  <c r="FO76" i="9"/>
  <c r="GC76" i="9"/>
  <c r="KK76" i="9"/>
  <c r="ET76" i="9"/>
  <c r="KR76" i="9"/>
  <c r="CP76" i="9"/>
  <c r="GQ76" i="9"/>
  <c r="IG76" i="9"/>
  <c r="IU76" i="9"/>
  <c r="JB76" i="9"/>
  <c r="Q76" i="9"/>
  <c r="FH76" i="9"/>
  <c r="X76" i="9"/>
  <c r="GJ76" i="9"/>
  <c r="EM76" i="9"/>
  <c r="FV76" i="9"/>
  <c r="BG76" i="9"/>
  <c r="BU76" i="9"/>
  <c r="HE76" i="9"/>
  <c r="FA76" i="9"/>
  <c r="AS76" i="9"/>
  <c r="C76" i="9"/>
  <c r="GX76" i="9"/>
  <c r="AL76" i="9"/>
  <c r="CB76" i="9"/>
  <c r="CW76" i="9"/>
  <c r="HL76" i="9"/>
  <c r="JW76" i="9"/>
  <c r="CI76" i="9"/>
  <c r="J76" i="9"/>
  <c r="AZ76" i="9"/>
  <c r="A92" i="9"/>
  <c r="FV92" i="9"/>
  <c r="HE92" i="9"/>
  <c r="JI92" i="9"/>
  <c r="IN92" i="9"/>
  <c r="BN92" i="9"/>
  <c r="BU92" i="9"/>
  <c r="X92" i="9"/>
  <c r="KK92" i="9"/>
  <c r="HZ92" i="9"/>
  <c r="DD92" i="9"/>
  <c r="DY92" i="9"/>
  <c r="EM92" i="9"/>
  <c r="Q92" i="9"/>
  <c r="IG92" i="9"/>
  <c r="CB92" i="9"/>
  <c r="DR92" i="9"/>
  <c r="FO92" i="9"/>
  <c r="GC92" i="9"/>
  <c r="AE92" i="9"/>
  <c r="HL92" i="9"/>
  <c r="CI92" i="9"/>
  <c r="FA92" i="9"/>
  <c r="IU92" i="9"/>
  <c r="BG92" i="9"/>
  <c r="KR92" i="9"/>
  <c r="JB92" i="9"/>
  <c r="HS92" i="9"/>
  <c r="GJ92" i="9"/>
  <c r="AS92" i="9"/>
  <c r="JW92" i="9"/>
  <c r="KD92" i="9"/>
  <c r="EF92" i="9"/>
  <c r="JP92" i="9"/>
  <c r="CP92" i="9"/>
  <c r="J92" i="9"/>
  <c r="AL92" i="9"/>
  <c r="FH92" i="9"/>
  <c r="AZ92" i="9"/>
  <c r="ET92" i="9"/>
  <c r="GQ92" i="9"/>
  <c r="GX92" i="9"/>
  <c r="C92" i="9"/>
  <c r="CW92" i="9"/>
  <c r="DK92" i="9"/>
  <c r="A109" i="9"/>
  <c r="KK109" i="9"/>
  <c r="C109" i="9"/>
  <c r="CW109" i="9"/>
  <c r="DY109" i="9"/>
  <c r="JP109" i="9"/>
  <c r="CP109" i="9"/>
  <c r="IU109" i="9"/>
  <c r="GX109" i="9"/>
  <c r="KD109" i="9"/>
  <c r="JW109" i="9"/>
  <c r="FA109" i="9"/>
  <c r="DK109" i="9"/>
  <c r="GC109" i="9"/>
  <c r="BN109" i="9"/>
  <c r="CI109" i="9"/>
  <c r="CB109" i="9"/>
  <c r="DR109" i="9"/>
  <c r="IN109" i="9"/>
  <c r="BG109" i="9"/>
  <c r="Q109" i="9"/>
  <c r="HZ109" i="9"/>
  <c r="AS109" i="9"/>
  <c r="HS109" i="9"/>
  <c r="IG109" i="9"/>
  <c r="KR109" i="9"/>
  <c r="ET109" i="9"/>
  <c r="HL109" i="9"/>
  <c r="J109" i="9"/>
  <c r="GQ109" i="9"/>
  <c r="EF109" i="9"/>
  <c r="FV109" i="9"/>
  <c r="FH109" i="9"/>
  <c r="X109" i="9"/>
  <c r="JB109" i="9"/>
  <c r="DD109" i="9"/>
  <c r="AE109" i="9"/>
  <c r="FO109" i="9"/>
  <c r="BU109" i="9"/>
  <c r="JI109" i="9"/>
  <c r="HE109" i="9"/>
  <c r="AZ109" i="9"/>
  <c r="GJ109" i="9"/>
  <c r="AL109" i="9"/>
  <c r="EM109" i="9"/>
  <c r="A88" i="9"/>
  <c r="JW88" i="9"/>
  <c r="IU88" i="9"/>
  <c r="HZ88" i="9"/>
  <c r="BU88" i="9"/>
  <c r="X88" i="9"/>
  <c r="KK88" i="9"/>
  <c r="FO88" i="9"/>
  <c r="CW88" i="9"/>
  <c r="KD88" i="9"/>
  <c r="AZ88" i="9"/>
  <c r="KR88" i="9"/>
  <c r="Q88" i="9"/>
  <c r="AL88" i="9"/>
  <c r="FA88" i="9"/>
  <c r="IN88" i="9"/>
  <c r="BG88" i="9"/>
  <c r="DD88" i="9"/>
  <c r="DR88" i="9"/>
  <c r="DK88" i="9"/>
  <c r="FH88" i="9"/>
  <c r="JP88" i="9"/>
  <c r="CB88" i="9"/>
  <c r="ET88" i="9"/>
  <c r="CI88" i="9"/>
  <c r="EM88" i="9"/>
  <c r="CP88" i="9"/>
  <c r="DY88" i="9"/>
  <c r="GX88" i="9"/>
  <c r="GJ88" i="9"/>
  <c r="HE88" i="9"/>
  <c r="JI88" i="9"/>
  <c r="IG88" i="9"/>
  <c r="J88" i="9"/>
  <c r="EF88" i="9"/>
  <c r="HS88" i="9"/>
  <c r="C88" i="9"/>
  <c r="JB88" i="9"/>
  <c r="AE88" i="9"/>
  <c r="GC88" i="9"/>
  <c r="BN88" i="9"/>
  <c r="HL88" i="9"/>
  <c r="FV88" i="9"/>
  <c r="GQ88" i="9"/>
  <c r="AS88" i="9"/>
  <c r="A50" i="9"/>
  <c r="DD50" i="9"/>
  <c r="AZ50" i="9"/>
  <c r="IU50" i="9"/>
  <c r="HS50" i="9"/>
  <c r="KR50" i="9"/>
  <c r="AL50" i="9"/>
  <c r="KK50" i="9"/>
  <c r="DK50" i="9"/>
  <c r="FO50" i="9"/>
  <c r="IG50" i="9"/>
  <c r="JI50" i="9"/>
  <c r="AE50" i="9"/>
  <c r="HL50" i="9"/>
  <c r="FV50" i="9"/>
  <c r="DR50" i="9"/>
  <c r="EM50" i="9"/>
  <c r="X50" i="9"/>
  <c r="Q50" i="9"/>
  <c r="KD50" i="9"/>
  <c r="HZ50" i="9"/>
  <c r="BN50" i="9"/>
  <c r="FH50" i="9"/>
  <c r="GC50" i="9"/>
  <c r="GQ50" i="9"/>
  <c r="BU50" i="9"/>
  <c r="J50" i="9"/>
  <c r="EF50" i="9"/>
  <c r="CI50" i="9"/>
  <c r="CB50" i="9"/>
  <c r="GJ50" i="9"/>
  <c r="JW50" i="9"/>
  <c r="ET50" i="9"/>
  <c r="CP50" i="9"/>
  <c r="DY50" i="9"/>
  <c r="AS50" i="9"/>
  <c r="JB50" i="9"/>
  <c r="FA50" i="9"/>
  <c r="C50" i="9"/>
  <c r="CW50" i="9"/>
  <c r="BG50" i="9"/>
  <c r="GX50" i="9"/>
  <c r="IN50" i="9"/>
  <c r="HE50" i="9"/>
  <c r="JP50" i="9"/>
  <c r="A95" i="9"/>
  <c r="HL95" i="9"/>
  <c r="AL95" i="9"/>
  <c r="ET95" i="9"/>
  <c r="GJ95" i="9"/>
  <c r="DR95" i="9"/>
  <c r="JP95" i="9"/>
  <c r="JI95" i="9"/>
  <c r="CP95" i="9"/>
  <c r="HZ95" i="9"/>
  <c r="GQ95" i="9"/>
  <c r="IU95" i="9"/>
  <c r="EF95" i="9"/>
  <c r="DK95" i="9"/>
  <c r="IN95" i="9"/>
  <c r="AS95" i="9"/>
  <c r="BG95" i="9"/>
  <c r="GC95" i="9"/>
  <c r="HS95" i="9"/>
  <c r="BN95" i="9"/>
  <c r="AZ95" i="9"/>
  <c r="HE95" i="9"/>
  <c r="CI95" i="9"/>
  <c r="FA95" i="9"/>
  <c r="JW95" i="9"/>
  <c r="GX95" i="9"/>
  <c r="Q95" i="9"/>
  <c r="KK95" i="9"/>
  <c r="J95" i="9"/>
  <c r="C95" i="9"/>
  <c r="EM95" i="9"/>
  <c r="IG95" i="9"/>
  <c r="KD95" i="9"/>
  <c r="FH95" i="9"/>
  <c r="JB95" i="9"/>
  <c r="CB95" i="9"/>
  <c r="CW95" i="9"/>
  <c r="AE95" i="9"/>
  <c r="KR95" i="9"/>
  <c r="BU95" i="9"/>
  <c r="FV95" i="9"/>
  <c r="X95" i="9"/>
  <c r="DD95" i="9"/>
  <c r="DY95" i="9"/>
  <c r="FO95" i="9"/>
  <c r="HL4" i="9"/>
  <c r="C4" i="9"/>
  <c r="KD4" i="9"/>
  <c r="AE4" i="9"/>
  <c r="DD4" i="9"/>
  <c r="DR4" i="9"/>
  <c r="EM4" i="9"/>
  <c r="AS4" i="9"/>
  <c r="Q4" i="9"/>
  <c r="GX4" i="9"/>
  <c r="FA4" i="9"/>
  <c r="KK4" i="9"/>
  <c r="X4" i="9"/>
  <c r="FH4" i="9"/>
  <c r="A4" i="9"/>
  <c r="DY4" i="9"/>
  <c r="IG4" i="9"/>
  <c r="HE4" i="9"/>
  <c r="BU4" i="9"/>
  <c r="AZ4" i="9"/>
  <c r="JW4" i="9"/>
  <c r="GJ4" i="9"/>
  <c r="JI4" i="9"/>
  <c r="CP4" i="9"/>
  <c r="BN4" i="9"/>
  <c r="BG4" i="9"/>
  <c r="EF4" i="9"/>
  <c r="CW4" i="9"/>
  <c r="J4" i="9"/>
  <c r="FV4" i="9"/>
  <c r="DK4" i="9"/>
  <c r="HZ4" i="9"/>
  <c r="JP4" i="9"/>
  <c r="JB4" i="9"/>
  <c r="IN4" i="9"/>
  <c r="KR4" i="9"/>
  <c r="CI4" i="9"/>
  <c r="CB4" i="9"/>
  <c r="GC4" i="9"/>
  <c r="AL4" i="9"/>
  <c r="ET4" i="9"/>
  <c r="FO4" i="9"/>
  <c r="GQ4" i="9"/>
  <c r="IU4" i="9"/>
  <c r="HS4" i="9"/>
  <c r="A53" i="9"/>
  <c r="IG53" i="9"/>
  <c r="HL53" i="9"/>
  <c r="GQ53" i="9"/>
  <c r="CI53" i="9"/>
  <c r="JB53" i="9"/>
  <c r="BN53" i="9"/>
  <c r="CP53" i="9"/>
  <c r="JP53" i="9"/>
  <c r="DK53" i="9"/>
  <c r="IU53" i="9"/>
  <c r="Q53" i="9"/>
  <c r="JW53" i="9"/>
  <c r="AZ53" i="9"/>
  <c r="GX53" i="9"/>
  <c r="FH53" i="9"/>
  <c r="X53" i="9"/>
  <c r="EF53" i="9"/>
  <c r="KK53" i="9"/>
  <c r="BG53" i="9"/>
  <c r="JI53" i="9"/>
  <c r="DY53" i="9"/>
  <c r="IN53" i="9"/>
  <c r="FO53" i="9"/>
  <c r="CB53" i="9"/>
  <c r="HS53" i="9"/>
  <c r="DR53" i="9"/>
  <c r="KD53" i="9"/>
  <c r="GC53" i="9"/>
  <c r="FA53" i="9"/>
  <c r="EM53" i="9"/>
  <c r="C53" i="9"/>
  <c r="BU53" i="9"/>
  <c r="FV53" i="9"/>
  <c r="ET53" i="9"/>
  <c r="GJ53" i="9"/>
  <c r="CW53" i="9"/>
  <c r="J53" i="9"/>
  <c r="HE53" i="9"/>
  <c r="AE53" i="9"/>
  <c r="DD53" i="9"/>
  <c r="AL53" i="9"/>
  <c r="HZ53" i="9"/>
  <c r="KR53" i="9"/>
  <c r="AS53" i="9"/>
  <c r="FV33" i="9"/>
  <c r="AS33" i="9"/>
  <c r="A33" i="9"/>
  <c r="IG33" i="9"/>
  <c r="IN33" i="9"/>
  <c r="GQ33" i="9"/>
  <c r="HZ33" i="9"/>
  <c r="GX33" i="9"/>
  <c r="DK33" i="9"/>
  <c r="IU33" i="9"/>
  <c r="AZ33" i="9"/>
  <c r="FH33" i="9"/>
  <c r="KR33" i="9"/>
  <c r="GJ33" i="9"/>
  <c r="DR33" i="9"/>
  <c r="CB33" i="9"/>
  <c r="JP33" i="9"/>
  <c r="CP33" i="9"/>
  <c r="Q33" i="9"/>
  <c r="EF33" i="9"/>
  <c r="DD33" i="9"/>
  <c r="BN33" i="9"/>
  <c r="HE33" i="9"/>
  <c r="DY33" i="9"/>
  <c r="JB33" i="9"/>
  <c r="JI33" i="9"/>
  <c r="BU33" i="9"/>
  <c r="KD33" i="9"/>
  <c r="GC33" i="9"/>
  <c r="ET33" i="9"/>
  <c r="HS33" i="9"/>
  <c r="AL33" i="9"/>
  <c r="BG33" i="9"/>
  <c r="CW33" i="9"/>
  <c r="FA33" i="9"/>
  <c r="HL33" i="9"/>
  <c r="KK33" i="9"/>
  <c r="AE33" i="9"/>
  <c r="CI33" i="9"/>
  <c r="FO33" i="9"/>
  <c r="JW33" i="9"/>
  <c r="J33" i="9"/>
  <c r="EM33" i="9"/>
  <c r="X33" i="9"/>
  <c r="C33" i="9"/>
  <c r="A51" i="9"/>
  <c r="CP51" i="9"/>
  <c r="Q51" i="9"/>
  <c r="CB51" i="9"/>
  <c r="IN51" i="9"/>
  <c r="BG51" i="9"/>
  <c r="JB51" i="9"/>
  <c r="AS51" i="9"/>
  <c r="FV51" i="9"/>
  <c r="IG51" i="9"/>
  <c r="C51" i="9"/>
  <c r="DY51" i="9"/>
  <c r="DR51" i="9"/>
  <c r="BN51" i="9"/>
  <c r="JI51" i="9"/>
  <c r="HS51" i="9"/>
  <c r="DD51" i="9"/>
  <c r="FO51" i="9"/>
  <c r="AL51" i="9"/>
  <c r="AZ51" i="9"/>
  <c r="GC51" i="9"/>
  <c r="FH51" i="9"/>
  <c r="X51" i="9"/>
  <c r="EF51" i="9"/>
  <c r="HE51" i="9"/>
  <c r="KD51" i="9"/>
  <c r="AE51" i="9"/>
  <c r="DK51" i="9"/>
  <c r="GQ51" i="9"/>
  <c r="BU51" i="9"/>
  <c r="KK51" i="9"/>
  <c r="HZ51" i="9"/>
  <c r="KR51" i="9"/>
  <c r="FA51" i="9"/>
  <c r="GJ51" i="9"/>
  <c r="HL51" i="9"/>
  <c r="ET51" i="9"/>
  <c r="CW51" i="9"/>
  <c r="IU51" i="9"/>
  <c r="J51" i="9"/>
  <c r="GX51" i="9"/>
  <c r="JP51" i="9"/>
  <c r="EM51" i="9"/>
  <c r="JW51" i="9"/>
  <c r="CI51" i="9"/>
  <c r="A62" i="9"/>
  <c r="GJ62" i="9"/>
  <c r="Q62" i="9"/>
  <c r="AS62" i="9"/>
  <c r="GX62" i="9"/>
  <c r="JI62" i="9"/>
  <c r="CW62" i="9"/>
  <c r="C62" i="9"/>
  <c r="FV62" i="9"/>
  <c r="FA62" i="9"/>
  <c r="ET62" i="9"/>
  <c r="FH62" i="9"/>
  <c r="FO62" i="9"/>
  <c r="IN62" i="9"/>
  <c r="CI62" i="9"/>
  <c r="JB62" i="9"/>
  <c r="IG62" i="9"/>
  <c r="J62" i="9"/>
  <c r="CP62" i="9"/>
  <c r="HZ62" i="9"/>
  <c r="JP62" i="9"/>
  <c r="GQ62" i="9"/>
  <c r="EM62" i="9"/>
  <c r="GC62" i="9"/>
  <c r="DY62" i="9"/>
  <c r="JW62" i="9"/>
  <c r="CB62" i="9"/>
  <c r="BU62" i="9"/>
  <c r="DD62" i="9"/>
  <c r="AL62" i="9"/>
  <c r="HL62" i="9"/>
  <c r="AZ62" i="9"/>
  <c r="DK62" i="9"/>
  <c r="EF62" i="9"/>
  <c r="KK62" i="9"/>
  <c r="KD62" i="9"/>
  <c r="HE62" i="9"/>
  <c r="AE62" i="9"/>
  <c r="IU62" i="9"/>
  <c r="BG62" i="9"/>
  <c r="BN62" i="9"/>
  <c r="KR62" i="9"/>
  <c r="DR62" i="9"/>
  <c r="HS62" i="9"/>
  <c r="X62" i="9"/>
  <c r="A36" i="9"/>
  <c r="AE36" i="9"/>
  <c r="KK36" i="9"/>
  <c r="KD36" i="9"/>
  <c r="GQ36" i="9"/>
  <c r="GC36" i="9"/>
  <c r="Q36" i="9"/>
  <c r="CI36" i="9"/>
  <c r="GJ36" i="9"/>
  <c r="HE36" i="9"/>
  <c r="BN36" i="9"/>
  <c r="IG36" i="9"/>
  <c r="JW36" i="9"/>
  <c r="JI36" i="9"/>
  <c r="FO36" i="9"/>
  <c r="HS36" i="9"/>
  <c r="ET36" i="9"/>
  <c r="DD36" i="9"/>
  <c r="J36" i="9"/>
  <c r="HL36" i="9"/>
  <c r="CP36" i="9"/>
  <c r="FA36" i="9"/>
  <c r="EF36" i="9"/>
  <c r="CB36" i="9"/>
  <c r="BG36" i="9"/>
  <c r="KR36" i="9"/>
  <c r="JP36" i="9"/>
  <c r="DR36" i="9"/>
  <c r="EM36" i="9"/>
  <c r="X36" i="9"/>
  <c r="IU36" i="9"/>
  <c r="FV36" i="9"/>
  <c r="CW36" i="9"/>
  <c r="AL36" i="9"/>
  <c r="AZ36" i="9"/>
  <c r="BU36" i="9"/>
  <c r="DY36" i="9"/>
  <c r="FH36" i="9"/>
  <c r="HZ36" i="9"/>
  <c r="GX36" i="9"/>
  <c r="AS36" i="9"/>
  <c r="IN36" i="9"/>
  <c r="JB36" i="9"/>
  <c r="DK36" i="9"/>
  <c r="C36" i="9"/>
  <c r="A98" i="9"/>
  <c r="IN98" i="9"/>
  <c r="JP98" i="9"/>
  <c r="GX98" i="9"/>
  <c r="GJ98" i="9"/>
  <c r="FO98" i="9"/>
  <c r="AS98" i="9"/>
  <c r="DY98" i="9"/>
  <c r="HL98" i="9"/>
  <c r="KR98" i="9"/>
  <c r="FH98" i="9"/>
  <c r="J98" i="9"/>
  <c r="EM98" i="9"/>
  <c r="EF98" i="9"/>
  <c r="FA98" i="9"/>
  <c r="JB98" i="9"/>
  <c r="JI98" i="9"/>
  <c r="ET98" i="9"/>
  <c r="HZ98" i="9"/>
  <c r="AZ98" i="9"/>
  <c r="GQ98" i="9"/>
  <c r="CB98" i="9"/>
  <c r="AL98" i="9"/>
  <c r="KK98" i="9"/>
  <c r="CP98" i="9"/>
  <c r="C98" i="9"/>
  <c r="X98" i="9"/>
  <c r="IG98" i="9"/>
  <c r="CW98" i="9"/>
  <c r="DD98" i="9"/>
  <c r="CI98" i="9"/>
  <c r="AE98" i="9"/>
  <c r="GC98" i="9"/>
  <c r="IU98" i="9"/>
  <c r="DK98" i="9"/>
  <c r="JW98" i="9"/>
  <c r="FV98" i="9"/>
  <c r="HE98" i="9"/>
  <c r="BU98" i="9"/>
  <c r="DR98" i="9"/>
  <c r="BN98" i="9"/>
  <c r="HS98" i="9"/>
  <c r="BG98" i="9"/>
  <c r="KD98" i="9"/>
  <c r="Q98" i="9"/>
  <c r="A87" i="9"/>
  <c r="GC87" i="9"/>
  <c r="AL87" i="9"/>
  <c r="JP87" i="9"/>
  <c r="AS87" i="9"/>
  <c r="DY87" i="9"/>
  <c r="Q87" i="9"/>
  <c r="HZ87" i="9"/>
  <c r="JB87" i="9"/>
  <c r="DR87" i="9"/>
  <c r="KR87" i="9"/>
  <c r="JI87" i="9"/>
  <c r="X87" i="9"/>
  <c r="FV87" i="9"/>
  <c r="C87" i="9"/>
  <c r="CB87" i="9"/>
  <c r="HE87" i="9"/>
  <c r="GJ87" i="9"/>
  <c r="IN87" i="9"/>
  <c r="BG87" i="9"/>
  <c r="DK87" i="9"/>
  <c r="FO87" i="9"/>
  <c r="EF87" i="9"/>
  <c r="CP87" i="9"/>
  <c r="KK87" i="9"/>
  <c r="DD87" i="9"/>
  <c r="KD87" i="9"/>
  <c r="AZ87" i="9"/>
  <c r="IG87" i="9"/>
  <c r="CI87" i="9"/>
  <c r="GX87" i="9"/>
  <c r="CW87" i="9"/>
  <c r="AE87" i="9"/>
  <c r="HS87" i="9"/>
  <c r="FH87" i="9"/>
  <c r="FA87" i="9"/>
  <c r="IU87" i="9"/>
  <c r="BN87" i="9"/>
  <c r="EM87" i="9"/>
  <c r="J87" i="9"/>
  <c r="JW87" i="9"/>
  <c r="GQ87" i="9"/>
  <c r="ET87" i="9"/>
  <c r="BU87" i="9"/>
  <c r="HL87" i="9"/>
  <c r="A42" i="9"/>
  <c r="FO42" i="9"/>
  <c r="DY42" i="9"/>
  <c r="HS42" i="9"/>
  <c r="DD42" i="9"/>
  <c r="FA42" i="9"/>
  <c r="CI42" i="9"/>
  <c r="AZ42" i="9"/>
  <c r="DK42" i="9"/>
  <c r="BU42" i="9"/>
  <c r="GQ42" i="9"/>
  <c r="JI42" i="9"/>
  <c r="GJ42" i="9"/>
  <c r="EM42" i="9"/>
  <c r="GX42" i="9"/>
  <c r="KR42" i="9"/>
  <c r="IG42" i="9"/>
  <c r="FH42" i="9"/>
  <c r="X42" i="9"/>
  <c r="Q42" i="9"/>
  <c r="BN42" i="9"/>
  <c r="AL42" i="9"/>
  <c r="CB42" i="9"/>
  <c r="JW42" i="9"/>
  <c r="JP42" i="9"/>
  <c r="J42" i="9"/>
  <c r="CP42" i="9"/>
  <c r="AE42" i="9"/>
  <c r="EF42" i="9"/>
  <c r="FV42" i="9"/>
  <c r="GC42" i="9"/>
  <c r="BG42" i="9"/>
  <c r="C42" i="9"/>
  <c r="CW42" i="9"/>
  <c r="KK42" i="9"/>
  <c r="HE42" i="9"/>
  <c r="AS42" i="9"/>
  <c r="IU42" i="9"/>
  <c r="HL42" i="9"/>
  <c r="JB42" i="9"/>
  <c r="HZ42" i="9"/>
  <c r="ET42" i="9"/>
  <c r="DR42" i="9"/>
  <c r="KD42" i="9"/>
  <c r="IN42" i="9"/>
  <c r="A97" i="9"/>
  <c r="JI97" i="9"/>
  <c r="GX97" i="9"/>
  <c r="HE97" i="9"/>
  <c r="AZ97" i="9"/>
  <c r="JB97" i="9"/>
  <c r="FV97" i="9"/>
  <c r="FH97" i="9"/>
  <c r="J97" i="9"/>
  <c r="X97" i="9"/>
  <c r="GQ97" i="9"/>
  <c r="IG97" i="9"/>
  <c r="IN97" i="9"/>
  <c r="DD97" i="9"/>
  <c r="BU97" i="9"/>
  <c r="AE97" i="9"/>
  <c r="JP97" i="9"/>
  <c r="JW97" i="9"/>
  <c r="C97" i="9"/>
  <c r="EF97" i="9"/>
  <c r="DK97" i="9"/>
  <c r="BN97" i="9"/>
  <c r="CB97" i="9"/>
  <c r="KD97" i="9"/>
  <c r="GJ97" i="9"/>
  <c r="CI97" i="9"/>
  <c r="CW97" i="9"/>
  <c r="EM97" i="9"/>
  <c r="HZ97" i="9"/>
  <c r="DY97" i="9"/>
  <c r="HS97" i="9"/>
  <c r="AL97" i="9"/>
  <c r="FA97" i="9"/>
  <c r="KR97" i="9"/>
  <c r="BG97" i="9"/>
  <c r="AS97" i="9"/>
  <c r="ET97" i="9"/>
  <c r="GC97" i="9"/>
  <c r="IU97" i="9"/>
  <c r="FO97" i="9"/>
  <c r="KK97" i="9"/>
  <c r="DR97" i="9"/>
  <c r="HL97" i="9"/>
  <c r="Q97" i="9"/>
  <c r="CP97" i="9"/>
  <c r="JW3" i="9"/>
  <c r="EF3" i="9"/>
  <c r="AD112" i="9"/>
  <c r="AI112" i="9" s="1"/>
  <c r="DX112" i="9"/>
  <c r="EC112" i="9" s="1"/>
  <c r="CA112" i="9"/>
  <c r="CF112" i="9" s="1"/>
  <c r="CW112" i="9"/>
  <c r="DZ112" i="9"/>
  <c r="Y112" i="9"/>
  <c r="EU112" i="9"/>
  <c r="HE3" i="9"/>
  <c r="BG3" i="9"/>
  <c r="ES112" i="9"/>
  <c r="EX112" i="9" s="1"/>
  <c r="JP112" i="9"/>
  <c r="CP112" i="9"/>
  <c r="Q112" i="9"/>
  <c r="D112" i="9"/>
  <c r="DE112" i="9"/>
  <c r="KK3" i="9"/>
  <c r="GQ3" i="9"/>
  <c r="HK112" i="9"/>
  <c r="HP112" i="9" s="1"/>
  <c r="FN112" i="9"/>
  <c r="AR112" i="9"/>
  <c r="AW112" i="9" s="1"/>
  <c r="KK112" i="9"/>
  <c r="GD112" i="9"/>
  <c r="KL112" i="9"/>
  <c r="BN3" i="9"/>
  <c r="FV3" i="9"/>
  <c r="AL112" i="9"/>
  <c r="GX112" i="9"/>
  <c r="IG112" i="9"/>
  <c r="BU112" i="9"/>
  <c r="IO112" i="9"/>
  <c r="GY112" i="9"/>
  <c r="GC3" i="9"/>
  <c r="DK3" i="9"/>
  <c r="HD112" i="9"/>
  <c r="HI112" i="9" s="1"/>
  <c r="BT112" i="9"/>
  <c r="BY112" i="9" s="1"/>
  <c r="X112" i="9"/>
  <c r="J112" i="9"/>
  <c r="HM112" i="9"/>
  <c r="BO112" i="9"/>
  <c r="DD3" i="9"/>
  <c r="X3" i="9"/>
  <c r="IM112" i="9"/>
  <c r="IR112" i="9" s="1"/>
  <c r="HY112" i="9"/>
  <c r="BM112" i="9"/>
  <c r="BR112" i="9" s="1"/>
  <c r="AK112" i="9"/>
  <c r="JJ112" i="9"/>
  <c r="IV112" i="9"/>
  <c r="A3" i="9"/>
  <c r="CB3" i="9"/>
  <c r="DR3" i="9"/>
  <c r="EF112" i="9"/>
  <c r="JH112" i="9"/>
  <c r="JM112" i="9" s="1"/>
  <c r="GI112" i="9"/>
  <c r="GN112" i="9" s="1"/>
  <c r="DR112" i="9"/>
  <c r="CQ112" i="9"/>
  <c r="JX112" i="9"/>
  <c r="JB3" i="9"/>
  <c r="GJ3" i="9"/>
  <c r="KR112" i="9"/>
  <c r="GW112" i="9"/>
  <c r="HB112" i="9" s="1"/>
  <c r="CV112" i="9"/>
  <c r="DA112" i="9" s="1"/>
  <c r="JC112" i="9"/>
  <c r="JI3" i="9"/>
  <c r="AS3" i="9"/>
  <c r="JV112" i="9"/>
  <c r="DK112" i="9"/>
  <c r="IF112" i="9"/>
  <c r="IK112" i="9" s="1"/>
  <c r="AT112" i="9"/>
  <c r="EM3" i="9"/>
  <c r="FA112" i="9"/>
  <c r="DJ112" i="9"/>
  <c r="DO112" i="9" s="1"/>
  <c r="FH112" i="9"/>
  <c r="IH112" i="9"/>
  <c r="EN112" i="9"/>
  <c r="FH3" i="9"/>
  <c r="JI112" i="9"/>
  <c r="GC112" i="9"/>
  <c r="HF112" i="9"/>
  <c r="BU3" i="9"/>
  <c r="CI112" i="9"/>
  <c r="DD112" i="9"/>
  <c r="FO112" i="9"/>
  <c r="AF112" i="9"/>
  <c r="GK112" i="9"/>
  <c r="KJ112" i="9"/>
  <c r="K112" i="9"/>
  <c r="FO3" i="9"/>
  <c r="AZ112" i="9"/>
  <c r="IN112" i="9"/>
  <c r="R112" i="9"/>
  <c r="CW3" i="9"/>
  <c r="AS112" i="9"/>
  <c r="CB112" i="9"/>
  <c r="DL112" i="9"/>
  <c r="IU3" i="9"/>
  <c r="ET3" i="9"/>
  <c r="C112" i="9"/>
  <c r="BG112" i="9"/>
  <c r="AM112" i="9"/>
  <c r="HL3" i="9"/>
  <c r="J3" i="9"/>
  <c r="JB112" i="9"/>
  <c r="HE112" i="9"/>
  <c r="KS112" i="9"/>
  <c r="IN3" i="9"/>
  <c r="P112" i="9"/>
  <c r="KD112" i="9"/>
  <c r="HR112" i="9"/>
  <c r="HW112" i="9" s="1"/>
  <c r="CJ112" i="9"/>
  <c r="BF112" i="9"/>
  <c r="EE112" i="9"/>
  <c r="I112" i="9"/>
  <c r="IT112" i="9"/>
  <c r="IY112" i="9" s="1"/>
  <c r="DY112" i="9"/>
  <c r="EL112" i="9"/>
  <c r="EQ112" i="9" s="1"/>
  <c r="GX3" i="9"/>
  <c r="FG112" i="9"/>
  <c r="FL112" i="9" s="1"/>
  <c r="DQ112" i="9"/>
  <c r="DV112" i="9" s="1"/>
  <c r="FU112" i="9"/>
  <c r="FZ112" i="9" s="1"/>
  <c r="FI112" i="9"/>
  <c r="KD3" i="9"/>
  <c r="GQ112" i="9"/>
  <c r="FP112" i="9"/>
  <c r="JP3" i="9"/>
  <c r="JA112" i="9"/>
  <c r="IA112" i="9"/>
  <c r="HZ3" i="9"/>
  <c r="CO112" i="9"/>
  <c r="FB112" i="9"/>
  <c r="AE112" i="9"/>
  <c r="FV112" i="9"/>
  <c r="KE112" i="9"/>
  <c r="FW112" i="9"/>
  <c r="EM112" i="9"/>
  <c r="HS112" i="9"/>
  <c r="KQ112" i="9"/>
  <c r="KV112" i="9" s="1"/>
  <c r="CH112" i="9"/>
  <c r="BU112" i="8"/>
  <c r="AZ3" i="9"/>
  <c r="HZ112" i="9"/>
  <c r="DC112" i="9"/>
  <c r="GB112" i="9"/>
  <c r="GG112" i="9" s="1"/>
  <c r="GP112" i="9"/>
  <c r="GJ112" i="9"/>
  <c r="GR112" i="9"/>
  <c r="DS112" i="9"/>
  <c r="BA112" i="9"/>
  <c r="IG3" i="9"/>
  <c r="BH112" i="9"/>
  <c r="C3" i="9"/>
  <c r="FA3" i="9"/>
  <c r="B112" i="9"/>
  <c r="IU112" i="9"/>
  <c r="AY112" i="9"/>
  <c r="BD112" i="9" s="1"/>
  <c r="JW112" i="9"/>
  <c r="KR3" i="9"/>
  <c r="ET112" i="9"/>
  <c r="JQ112" i="9"/>
  <c r="HS3" i="9"/>
  <c r="JO112" i="9"/>
  <c r="EG112" i="9"/>
  <c r="CI3" i="9"/>
  <c r="W112" i="9"/>
  <c r="CC112" i="9"/>
  <c r="CP3" i="9"/>
  <c r="BN112" i="9"/>
  <c r="HT112" i="9"/>
  <c r="Q3" i="9"/>
  <c r="CX112" i="9"/>
  <c r="AL3" i="9"/>
  <c r="KC112" i="9"/>
  <c r="BV112" i="9"/>
  <c r="BW112" i="9" s="1"/>
  <c r="HL112" i="9"/>
  <c r="EZ112" i="9"/>
  <c r="FE112" i="9" s="1"/>
  <c r="DY3" i="9"/>
  <c r="AE3" i="9"/>
  <c r="A101" i="9"/>
  <c r="Q101" i="9"/>
  <c r="DR101" i="9"/>
  <c r="CI101" i="9"/>
  <c r="GQ101" i="9"/>
  <c r="IG101" i="9"/>
  <c r="AL101" i="9"/>
  <c r="JP101" i="9"/>
  <c r="ET101" i="9"/>
  <c r="DK101" i="9"/>
  <c r="KR101" i="9"/>
  <c r="FV101" i="9"/>
  <c r="KK101" i="9"/>
  <c r="CW101" i="9"/>
  <c r="GC101" i="9"/>
  <c r="IN101" i="9"/>
  <c r="EM101" i="9"/>
  <c r="JW101" i="9"/>
  <c r="HE101" i="9"/>
  <c r="FO101" i="9"/>
  <c r="GX101" i="9"/>
  <c r="AS101" i="9"/>
  <c r="HZ101" i="9"/>
  <c r="BN101" i="9"/>
  <c r="DY101" i="9"/>
  <c r="KD101" i="9"/>
  <c r="EF101" i="9"/>
  <c r="BG101" i="9"/>
  <c r="FH101" i="9"/>
  <c r="GJ101" i="9"/>
  <c r="JB101" i="9"/>
  <c r="JI101" i="9"/>
  <c r="BU101" i="9"/>
  <c r="IU101" i="9"/>
  <c r="C101" i="9"/>
  <c r="HL101" i="9"/>
  <c r="X101" i="9"/>
  <c r="J101" i="9"/>
  <c r="AE101" i="9"/>
  <c r="HS101" i="9"/>
  <c r="CP101" i="9"/>
  <c r="CB101" i="9"/>
  <c r="FA101" i="9"/>
  <c r="AZ101" i="9"/>
  <c r="DD101" i="9"/>
  <c r="A63" i="9"/>
  <c r="KD63" i="9"/>
  <c r="AE63" i="9"/>
  <c r="Q63" i="9"/>
  <c r="IG63" i="9"/>
  <c r="JB63" i="9"/>
  <c r="KK63" i="9"/>
  <c r="KR63" i="9"/>
  <c r="FO63" i="9"/>
  <c r="BU63" i="9"/>
  <c r="FA63" i="9"/>
  <c r="JP63" i="9"/>
  <c r="FV63" i="9"/>
  <c r="AZ63" i="9"/>
  <c r="DR63" i="9"/>
  <c r="JI63" i="9"/>
  <c r="EM63" i="9"/>
  <c r="HS63" i="9"/>
  <c r="IN63" i="9"/>
  <c r="HL63" i="9"/>
  <c r="C63" i="9"/>
  <c r="CW63" i="9"/>
  <c r="BG63" i="9"/>
  <c r="AS63" i="9"/>
  <c r="CP63" i="9"/>
  <c r="HE63" i="9"/>
  <c r="DY63" i="9"/>
  <c r="JW63" i="9"/>
  <c r="J63" i="9"/>
  <c r="GJ63" i="9"/>
  <c r="DK63" i="9"/>
  <c r="GQ63" i="9"/>
  <c r="ET63" i="9"/>
  <c r="BN63" i="9"/>
  <c r="X63" i="9"/>
  <c r="AL63" i="9"/>
  <c r="CB63" i="9"/>
  <c r="IU63" i="9"/>
  <c r="DD63" i="9"/>
  <c r="EF63" i="9"/>
  <c r="GC63" i="9"/>
  <c r="CI63" i="9"/>
  <c r="FH63" i="9"/>
  <c r="GX63" i="9"/>
  <c r="HZ63" i="9"/>
  <c r="A32" i="9"/>
  <c r="IN32" i="9"/>
  <c r="AE32" i="9"/>
  <c r="KR32" i="9"/>
  <c r="GX32" i="9"/>
  <c r="GC32" i="9"/>
  <c r="CW32" i="9"/>
  <c r="DD32" i="9"/>
  <c r="HL32" i="9"/>
  <c r="HS32" i="9"/>
  <c r="IG32" i="9"/>
  <c r="FV32" i="9"/>
  <c r="FA32" i="9"/>
  <c r="HZ32" i="9"/>
  <c r="DK32" i="9"/>
  <c r="JP32" i="9"/>
  <c r="J32" i="9"/>
  <c r="GJ32" i="9"/>
  <c r="AS32" i="9"/>
  <c r="CI32" i="9"/>
  <c r="AL32" i="9"/>
  <c r="BG32" i="9"/>
  <c r="CP32" i="9"/>
  <c r="EM32" i="9"/>
  <c r="FH32" i="9"/>
  <c r="DR32" i="9"/>
  <c r="KD32" i="9"/>
  <c r="C32" i="9"/>
  <c r="AZ32" i="9"/>
  <c r="KK32" i="9"/>
  <c r="CB32" i="9"/>
  <c r="JI32" i="9"/>
  <c r="X32" i="9"/>
  <c r="Q32" i="9"/>
  <c r="BU32" i="9"/>
  <c r="GQ32" i="9"/>
  <c r="DY32" i="9"/>
  <c r="ET32" i="9"/>
  <c r="JB32" i="9"/>
  <c r="BN32" i="9"/>
  <c r="FO32" i="9"/>
  <c r="HE32" i="9"/>
  <c r="IU32" i="9"/>
  <c r="JW32" i="9"/>
  <c r="EF32" i="9"/>
  <c r="A102" i="9"/>
  <c r="GQ102" i="9"/>
  <c r="ET102" i="9"/>
  <c r="CW102" i="9"/>
  <c r="EF102" i="9"/>
  <c r="J102" i="9"/>
  <c r="GC102" i="9"/>
  <c r="CB102" i="9"/>
  <c r="HS102" i="9"/>
  <c r="Q102" i="9"/>
  <c r="AS102" i="9"/>
  <c r="BG102" i="9"/>
  <c r="HE102" i="9"/>
  <c r="EM102" i="9"/>
  <c r="GX102" i="9"/>
  <c r="CP102" i="9"/>
  <c r="DR102" i="9"/>
  <c r="KD102" i="9"/>
  <c r="X102" i="9"/>
  <c r="FH102" i="9"/>
  <c r="IG102" i="9"/>
  <c r="DD102" i="9"/>
  <c r="IU102" i="9"/>
  <c r="JW102" i="9"/>
  <c r="CI102" i="9"/>
  <c r="GJ102" i="9"/>
  <c r="JI102" i="9"/>
  <c r="HL102" i="9"/>
  <c r="AZ102" i="9"/>
  <c r="DK102" i="9"/>
  <c r="JB102" i="9"/>
  <c r="BN102" i="9"/>
  <c r="FV102" i="9"/>
  <c r="KK102" i="9"/>
  <c r="KR102" i="9"/>
  <c r="DY102" i="9"/>
  <c r="FO102" i="9"/>
  <c r="HZ102" i="9"/>
  <c r="BU102" i="9"/>
  <c r="AE102" i="9"/>
  <c r="IN102" i="9"/>
  <c r="FA102" i="9"/>
  <c r="JP102" i="9"/>
  <c r="C102" i="9"/>
  <c r="AL102" i="9"/>
  <c r="A106" i="9"/>
  <c r="JB106" i="9"/>
  <c r="AZ106" i="9"/>
  <c r="C106" i="9"/>
  <c r="KD106" i="9"/>
  <c r="HS106" i="9"/>
  <c r="GC106" i="9"/>
  <c r="BU106" i="9"/>
  <c r="EF106" i="9"/>
  <c r="CI106" i="9"/>
  <c r="JP106" i="9"/>
  <c r="J106" i="9"/>
  <c r="AL106" i="9"/>
  <c r="FV106" i="9"/>
  <c r="Q106" i="9"/>
  <c r="KK106" i="9"/>
  <c r="AE106" i="9"/>
  <c r="EM106" i="9"/>
  <c r="IG106" i="9"/>
  <c r="CB106" i="9"/>
  <c r="CW106" i="9"/>
  <c r="KR106" i="9"/>
  <c r="X106" i="9"/>
  <c r="AS106" i="9"/>
  <c r="DD106" i="9"/>
  <c r="HE106" i="9"/>
  <c r="JW106" i="9"/>
  <c r="JI106" i="9"/>
  <c r="IU106" i="9"/>
  <c r="GQ106" i="9"/>
  <c r="HZ106" i="9"/>
  <c r="HL106" i="9"/>
  <c r="DY106" i="9"/>
  <c r="BG106" i="9"/>
  <c r="ET106" i="9"/>
  <c r="CP106" i="9"/>
  <c r="FH106" i="9"/>
  <c r="BN106" i="9"/>
  <c r="DR106" i="9"/>
  <c r="IN106" i="9"/>
  <c r="FA106" i="9"/>
  <c r="GX106" i="9"/>
  <c r="FO106" i="9"/>
  <c r="GJ106" i="9"/>
  <c r="DK106" i="9"/>
  <c r="A58" i="9"/>
  <c r="FA58" i="9"/>
  <c r="HL58" i="9"/>
  <c r="DK58" i="9"/>
  <c r="BN58" i="9"/>
  <c r="JP58" i="9"/>
  <c r="KK58" i="9"/>
  <c r="X58" i="9"/>
  <c r="KD58" i="9"/>
  <c r="AS58" i="9"/>
  <c r="JW58" i="9"/>
  <c r="FH58" i="9"/>
  <c r="ET58" i="9"/>
  <c r="CW58" i="9"/>
  <c r="HZ58" i="9"/>
  <c r="AL58" i="9"/>
  <c r="IN58" i="9"/>
  <c r="EF58" i="9"/>
  <c r="DD58" i="9"/>
  <c r="IU58" i="9"/>
  <c r="HE58" i="9"/>
  <c r="EM58" i="9"/>
  <c r="AZ58" i="9"/>
  <c r="CI58" i="9"/>
  <c r="CP58" i="9"/>
  <c r="GQ58" i="9"/>
  <c r="C58" i="9"/>
  <c r="GX58" i="9"/>
  <c r="CB58" i="9"/>
  <c r="GJ58" i="9"/>
  <c r="JB58" i="9"/>
  <c r="JI58" i="9"/>
  <c r="DR58" i="9"/>
  <c r="FO58" i="9"/>
  <c r="BG58" i="9"/>
  <c r="IG58" i="9"/>
  <c r="DY58" i="9"/>
  <c r="J58" i="9"/>
  <c r="HS58" i="9"/>
  <c r="FV58" i="9"/>
  <c r="BU58" i="9"/>
  <c r="GC58" i="9"/>
  <c r="AE58" i="9"/>
  <c r="Q58" i="9"/>
  <c r="KR58" i="9"/>
  <c r="A39" i="9"/>
  <c r="CW39" i="9"/>
  <c r="GQ39" i="9"/>
  <c r="CI39" i="9"/>
  <c r="J39" i="9"/>
  <c r="JP39" i="9"/>
  <c r="FA39" i="9"/>
  <c r="IG39" i="9"/>
  <c r="ET39" i="9"/>
  <c r="BG39" i="9"/>
  <c r="GJ39" i="9"/>
  <c r="CP39" i="9"/>
  <c r="DY39" i="9"/>
  <c r="JB39" i="9"/>
  <c r="DK39" i="9"/>
  <c r="HZ39" i="9"/>
  <c r="JW39" i="9"/>
  <c r="X39" i="9"/>
  <c r="DD39" i="9"/>
  <c r="DR39" i="9"/>
  <c r="KR39" i="9"/>
  <c r="FV39" i="9"/>
  <c r="FO39" i="9"/>
  <c r="HL39" i="9"/>
  <c r="HE39" i="9"/>
  <c r="Q39" i="9"/>
  <c r="KD39" i="9"/>
  <c r="EM39" i="9"/>
  <c r="FH39" i="9"/>
  <c r="BU39" i="9"/>
  <c r="HS39" i="9"/>
  <c r="IN39" i="9"/>
  <c r="AE39" i="9"/>
  <c r="KK39" i="9"/>
  <c r="AZ39" i="9"/>
  <c r="BN39" i="9"/>
  <c r="AS39" i="9"/>
  <c r="C39" i="9"/>
  <c r="IU39" i="9"/>
  <c r="AL39" i="9"/>
  <c r="GX39" i="9"/>
  <c r="CB39" i="9"/>
  <c r="EF39" i="9"/>
  <c r="GC39" i="9"/>
  <c r="JI39" i="9"/>
  <c r="A89" i="9"/>
  <c r="FA89" i="9"/>
  <c r="KR89" i="9"/>
  <c r="AE89" i="9"/>
  <c r="HS89" i="9"/>
  <c r="IN89" i="9"/>
  <c r="DD89" i="9"/>
  <c r="KK89" i="9"/>
  <c r="GX89" i="9"/>
  <c r="EM89" i="9"/>
  <c r="CI89" i="9"/>
  <c r="DR89" i="9"/>
  <c r="HZ89" i="9"/>
  <c r="GC89" i="9"/>
  <c r="HL89" i="9"/>
  <c r="GQ89" i="9"/>
  <c r="GJ89" i="9"/>
  <c r="CP89" i="9"/>
  <c r="ET89" i="9"/>
  <c r="JI89" i="9"/>
  <c r="X89" i="9"/>
  <c r="AZ89" i="9"/>
  <c r="FV89" i="9"/>
  <c r="KD89" i="9"/>
  <c r="JB89" i="9"/>
  <c r="DY89" i="9"/>
  <c r="BN89" i="9"/>
  <c r="CB89" i="9"/>
  <c r="JW89" i="9"/>
  <c r="C89" i="9"/>
  <c r="J89" i="9"/>
  <c r="AS89" i="9"/>
  <c r="BU89" i="9"/>
  <c r="CW89" i="9"/>
  <c r="EF89" i="9"/>
  <c r="FH89" i="9"/>
  <c r="HE89" i="9"/>
  <c r="IG89" i="9"/>
  <c r="FO89" i="9"/>
  <c r="BG89" i="9"/>
  <c r="JP89" i="9"/>
  <c r="DK89" i="9"/>
  <c r="AL89" i="9"/>
  <c r="IU89" i="9"/>
  <c r="Q89" i="9"/>
  <c r="A19" i="9"/>
  <c r="FA19" i="9"/>
  <c r="HL19" i="9"/>
  <c r="CB19" i="9"/>
  <c r="HS19" i="9"/>
  <c r="Q19" i="9"/>
  <c r="GQ19" i="9"/>
  <c r="BN19" i="9"/>
  <c r="DK19" i="9"/>
  <c r="GJ19" i="9"/>
  <c r="FO19" i="9"/>
  <c r="KD19" i="9"/>
  <c r="KR19" i="9"/>
  <c r="CP19" i="9"/>
  <c r="AL19" i="9"/>
  <c r="C19" i="9"/>
  <c r="EF19" i="9"/>
  <c r="GC19" i="9"/>
  <c r="BU19" i="9"/>
  <c r="JP19" i="9"/>
  <c r="ET19" i="9"/>
  <c r="IG19" i="9"/>
  <c r="IN19" i="9"/>
  <c r="J19" i="9"/>
  <c r="IU19" i="9"/>
  <c r="DY19" i="9"/>
  <c r="JI19" i="9"/>
  <c r="KK19" i="9"/>
  <c r="AE19" i="9"/>
  <c r="AS19" i="9"/>
  <c r="BG19" i="9"/>
  <c r="GX19" i="9"/>
  <c r="FV19" i="9"/>
  <c r="DR19" i="9"/>
  <c r="X19" i="9"/>
  <c r="HZ19" i="9"/>
  <c r="HE19" i="9"/>
  <c r="JB19" i="9"/>
  <c r="DD19" i="9"/>
  <c r="FH19" i="9"/>
  <c r="EM19" i="9"/>
  <c r="CW19" i="9"/>
  <c r="AZ19" i="9"/>
  <c r="JW19" i="9"/>
  <c r="CI19" i="9"/>
  <c r="HL7" i="9"/>
  <c r="AE7" i="9"/>
  <c r="A7" i="9"/>
  <c r="X7" i="9"/>
  <c r="BG7" i="9"/>
  <c r="JB7" i="9"/>
  <c r="AS7" i="9"/>
  <c r="CW7" i="9"/>
  <c r="KD7" i="9"/>
  <c r="BU7" i="9"/>
  <c r="IU7" i="9"/>
  <c r="Q7" i="9"/>
  <c r="HS7" i="9"/>
  <c r="FA7" i="9"/>
  <c r="BN7" i="9"/>
  <c r="FV7" i="9"/>
  <c r="CB7" i="9"/>
  <c r="EM7" i="9"/>
  <c r="GX7" i="9"/>
  <c r="AL7" i="9"/>
  <c r="JP7" i="9"/>
  <c r="FH7" i="9"/>
  <c r="HE7" i="9"/>
  <c r="KK7" i="9"/>
  <c r="GJ7" i="9"/>
  <c r="CP7" i="9"/>
  <c r="CI7" i="9"/>
  <c r="DR7" i="9"/>
  <c r="ET7" i="9"/>
  <c r="J7" i="9"/>
  <c r="AZ7" i="9"/>
  <c r="IG7" i="9"/>
  <c r="HZ7" i="9"/>
  <c r="IN7" i="9"/>
  <c r="JW7" i="9"/>
  <c r="KR7" i="9"/>
  <c r="EF7" i="9"/>
  <c r="C7" i="9"/>
  <c r="DY7" i="9"/>
  <c r="GQ7" i="9"/>
  <c r="JI7" i="9"/>
  <c r="DD7" i="9"/>
  <c r="DK7" i="9"/>
  <c r="GC7" i="9"/>
  <c r="FO7" i="9"/>
  <c r="A49" i="9"/>
  <c r="HS49" i="9"/>
  <c r="IU49" i="9"/>
  <c r="AE49" i="9"/>
  <c r="AL49" i="9"/>
  <c r="C49" i="9"/>
  <c r="GX49" i="9"/>
  <c r="JI49" i="9"/>
  <c r="CP49" i="9"/>
  <c r="KK49" i="9"/>
  <c r="GQ49" i="9"/>
  <c r="EF49" i="9"/>
  <c r="DR49" i="9"/>
  <c r="GC49" i="9"/>
  <c r="DK49" i="9"/>
  <c r="BG49" i="9"/>
  <c r="KR49" i="9"/>
  <c r="JP49" i="9"/>
  <c r="AS49" i="9"/>
  <c r="CW49" i="9"/>
  <c r="JB49" i="9"/>
  <c r="IN49" i="9"/>
  <c r="HZ49" i="9"/>
  <c r="FH49" i="9"/>
  <c r="Q49" i="9"/>
  <c r="DD49" i="9"/>
  <c r="EM49" i="9"/>
  <c r="X49" i="9"/>
  <c r="DY49" i="9"/>
  <c r="ET49" i="9"/>
  <c r="CI49" i="9"/>
  <c r="FO49" i="9"/>
  <c r="CB49" i="9"/>
  <c r="JW49" i="9"/>
  <c r="GJ49" i="9"/>
  <c r="FA49" i="9"/>
  <c r="HL49" i="9"/>
  <c r="AZ49" i="9"/>
  <c r="IG49" i="9"/>
  <c r="J49" i="9"/>
  <c r="KD49" i="9"/>
  <c r="FV49" i="9"/>
  <c r="BN49" i="9"/>
  <c r="BU49" i="9"/>
  <c r="HE49" i="9"/>
  <c r="AE9" i="9"/>
  <c r="DD9" i="9"/>
  <c r="BG9" i="9"/>
  <c r="HE9" i="9"/>
  <c r="Q9" i="9"/>
  <c r="CW9" i="9"/>
  <c r="KK9" i="9"/>
  <c r="JW9" i="9"/>
  <c r="FO9" i="9"/>
  <c r="GX9" i="9"/>
  <c r="AS9" i="9"/>
  <c r="ET9" i="9"/>
  <c r="AL9" i="9"/>
  <c r="CI9" i="9"/>
  <c r="EM9" i="9"/>
  <c r="DK9" i="9"/>
  <c r="HL9" i="9"/>
  <c r="DY9" i="9"/>
  <c r="A9" i="9"/>
  <c r="J9" i="9"/>
  <c r="HS9" i="9"/>
  <c r="FA9" i="9"/>
  <c r="IG9" i="9"/>
  <c r="IN9" i="9"/>
  <c r="JI9" i="9"/>
  <c r="EF9" i="9"/>
  <c r="JP9" i="9"/>
  <c r="KD9" i="9"/>
  <c r="DR9" i="9"/>
  <c r="AZ9" i="9"/>
  <c r="X9" i="9"/>
  <c r="CB9" i="9"/>
  <c r="FH9" i="9"/>
  <c r="JB9" i="9"/>
  <c r="BN9" i="9"/>
  <c r="KR9" i="9"/>
  <c r="CP9" i="9"/>
  <c r="FV9" i="9"/>
  <c r="GQ9" i="9"/>
  <c r="IU9" i="9"/>
  <c r="GC9" i="9"/>
  <c r="C9" i="9"/>
  <c r="GJ9" i="9"/>
  <c r="BU9" i="9"/>
  <c r="HZ9" i="9"/>
  <c r="A66" i="9"/>
  <c r="HZ66" i="9"/>
  <c r="ET66" i="9"/>
  <c r="IU66" i="9"/>
  <c r="KR66" i="9"/>
  <c r="JW66" i="9"/>
  <c r="FH66" i="9"/>
  <c r="FV66" i="9"/>
  <c r="JI66" i="9"/>
  <c r="IN66" i="9"/>
  <c r="FO66" i="9"/>
  <c r="EM66" i="9"/>
  <c r="EF66" i="9"/>
  <c r="CB66" i="9"/>
  <c r="HS66" i="9"/>
  <c r="DK66" i="9"/>
  <c r="J66" i="9"/>
  <c r="GJ66" i="9"/>
  <c r="FA66" i="9"/>
  <c r="DR66" i="9"/>
  <c r="HL66" i="9"/>
  <c r="IG66" i="9"/>
  <c r="X66" i="9"/>
  <c r="AL66" i="9"/>
  <c r="CI66" i="9"/>
  <c r="Q66" i="9"/>
  <c r="HE66" i="9"/>
  <c r="KK66" i="9"/>
  <c r="AZ66" i="9"/>
  <c r="DY66" i="9"/>
  <c r="DD66" i="9"/>
  <c r="GQ66" i="9"/>
  <c r="JB66" i="9"/>
  <c r="GX66" i="9"/>
  <c r="CW66" i="9"/>
  <c r="GC66" i="9"/>
  <c r="BN66" i="9"/>
  <c r="AE66" i="9"/>
  <c r="JP66" i="9"/>
  <c r="CP66" i="9"/>
  <c r="BU66" i="9"/>
  <c r="BG66" i="9"/>
  <c r="C66" i="9"/>
  <c r="KD66" i="9"/>
  <c r="AS66" i="9"/>
  <c r="A73" i="9"/>
  <c r="DD73" i="9"/>
  <c r="EM73" i="9"/>
  <c r="CB73" i="9"/>
  <c r="GQ73" i="9"/>
  <c r="GJ73" i="9"/>
  <c r="BU73" i="9"/>
  <c r="AE73" i="9"/>
  <c r="BG73" i="9"/>
  <c r="C73" i="9"/>
  <c r="HE73" i="9"/>
  <c r="KR73" i="9"/>
  <c r="KD73" i="9"/>
  <c r="BN73" i="9"/>
  <c r="AZ73" i="9"/>
  <c r="FV73" i="9"/>
  <c r="EF73" i="9"/>
  <c r="GX73" i="9"/>
  <c r="FO73" i="9"/>
  <c r="KK73" i="9"/>
  <c r="FA73" i="9"/>
  <c r="AL73" i="9"/>
  <c r="X73" i="9"/>
  <c r="DY73" i="9"/>
  <c r="JB73" i="9"/>
  <c r="IG73" i="9"/>
  <c r="HL73" i="9"/>
  <c r="CP73" i="9"/>
  <c r="Q73" i="9"/>
  <c r="DK73" i="9"/>
  <c r="JI73" i="9"/>
  <c r="CW73" i="9"/>
  <c r="HZ73" i="9"/>
  <c r="IU73" i="9"/>
  <c r="CI73" i="9"/>
  <c r="HS73" i="9"/>
  <c r="FH73" i="9"/>
  <c r="AS73" i="9"/>
  <c r="JP73" i="9"/>
  <c r="GC73" i="9"/>
  <c r="JW73" i="9"/>
  <c r="DR73" i="9"/>
  <c r="IN73" i="9"/>
  <c r="ET73" i="9"/>
  <c r="J73" i="9"/>
  <c r="A96" i="9"/>
  <c r="X96" i="9"/>
  <c r="FH96" i="9"/>
  <c r="DD96" i="9"/>
  <c r="AS96" i="9"/>
  <c r="IU96" i="9"/>
  <c r="GQ96" i="9"/>
  <c r="CI96" i="9"/>
  <c r="Q96" i="9"/>
  <c r="HZ96" i="9"/>
  <c r="JI96" i="9"/>
  <c r="GX96" i="9"/>
  <c r="BU96" i="9"/>
  <c r="HS96" i="9"/>
  <c r="BN96" i="9"/>
  <c r="FO96" i="9"/>
  <c r="BG96" i="9"/>
  <c r="KK96" i="9"/>
  <c r="CB96" i="9"/>
  <c r="IG96" i="9"/>
  <c r="FA96" i="9"/>
  <c r="JP96" i="9"/>
  <c r="JW96" i="9"/>
  <c r="CW96" i="9"/>
  <c r="DR96" i="9"/>
  <c r="JB96" i="9"/>
  <c r="HE96" i="9"/>
  <c r="J96" i="9"/>
  <c r="EF96" i="9"/>
  <c r="FV96" i="9"/>
  <c r="AE96" i="9"/>
  <c r="HL96" i="9"/>
  <c r="AZ96" i="9"/>
  <c r="CP96" i="9"/>
  <c r="DY96" i="9"/>
  <c r="GC96" i="9"/>
  <c r="KD96" i="9"/>
  <c r="IN96" i="9"/>
  <c r="C96" i="9"/>
  <c r="EM96" i="9"/>
  <c r="ET96" i="9"/>
  <c r="GJ96" i="9"/>
  <c r="AL96" i="9"/>
  <c r="KR96" i="9"/>
  <c r="DK96" i="9"/>
  <c r="A81" i="9"/>
  <c r="HS81" i="9"/>
  <c r="KK81" i="9"/>
  <c r="BG81" i="9"/>
  <c r="X81" i="9"/>
  <c r="FH81" i="9"/>
  <c r="J81" i="9"/>
  <c r="AE81" i="9"/>
  <c r="IU81" i="9"/>
  <c r="CI81" i="9"/>
  <c r="C81" i="9"/>
  <c r="DY81" i="9"/>
  <c r="DK81" i="9"/>
  <c r="BN81" i="9"/>
  <c r="FV81" i="9"/>
  <c r="GX81" i="9"/>
  <c r="GC81" i="9"/>
  <c r="EM81" i="9"/>
  <c r="FO81" i="9"/>
  <c r="IG81" i="9"/>
  <c r="KD81" i="9"/>
  <c r="BU81" i="9"/>
  <c r="GQ81" i="9"/>
  <c r="FA81" i="9"/>
  <c r="ET81" i="9"/>
  <c r="KR81" i="9"/>
  <c r="HL81" i="9"/>
  <c r="GJ81" i="9"/>
  <c r="JP81" i="9"/>
  <c r="JW81" i="9"/>
  <c r="HZ81" i="9"/>
  <c r="AL81" i="9"/>
  <c r="AZ81" i="9"/>
  <c r="CB81" i="9"/>
  <c r="DR81" i="9"/>
  <c r="CP81" i="9"/>
  <c r="DD81" i="9"/>
  <c r="EF81" i="9"/>
  <c r="JI81" i="9"/>
  <c r="CW81" i="9"/>
  <c r="JB81" i="9"/>
  <c r="HE81" i="9"/>
  <c r="AS81" i="9"/>
  <c r="IN81" i="9"/>
  <c r="Q81" i="9"/>
  <c r="A104" i="9"/>
  <c r="JB104" i="9"/>
  <c r="GX104" i="9"/>
  <c r="JW104" i="9"/>
  <c r="AS104" i="9"/>
  <c r="HE104" i="9"/>
  <c r="BU104" i="9"/>
  <c r="J104" i="9"/>
  <c r="FO104" i="9"/>
  <c r="DD104" i="9"/>
  <c r="GQ104" i="9"/>
  <c r="CW104" i="9"/>
  <c r="FV104" i="9"/>
  <c r="Q104" i="9"/>
  <c r="KR104" i="9"/>
  <c r="HZ104" i="9"/>
  <c r="HS104" i="9"/>
  <c r="BN104" i="9"/>
  <c r="CP104" i="9"/>
  <c r="GC104" i="9"/>
  <c r="FA104" i="9"/>
  <c r="BG104" i="9"/>
  <c r="DR104" i="9"/>
  <c r="AZ104" i="9"/>
  <c r="EF104" i="9"/>
  <c r="JP104" i="9"/>
  <c r="IG104" i="9"/>
  <c r="GJ104" i="9"/>
  <c r="IN104" i="9"/>
  <c r="CB104" i="9"/>
  <c r="ET104" i="9"/>
  <c r="IU104" i="9"/>
  <c r="EM104" i="9"/>
  <c r="DK104" i="9"/>
  <c r="KD104" i="9"/>
  <c r="HL104" i="9"/>
  <c r="AL104" i="9"/>
  <c r="JI104" i="9"/>
  <c r="CI104" i="9"/>
  <c r="KK104" i="9"/>
  <c r="AE104" i="9"/>
  <c r="FH104" i="9"/>
  <c r="C104" i="9"/>
  <c r="X104" i="9"/>
  <c r="DY104" i="9"/>
  <c r="A44" i="9"/>
  <c r="DD44" i="9"/>
  <c r="DY44" i="9"/>
  <c r="BU44" i="9"/>
  <c r="HZ44" i="9"/>
  <c r="CI44" i="9"/>
  <c r="Q44" i="9"/>
  <c r="EF44" i="9"/>
  <c r="FA44" i="9"/>
  <c r="HE44" i="9"/>
  <c r="GC44" i="9"/>
  <c r="DR44" i="9"/>
  <c r="IG44" i="9"/>
  <c r="J44" i="9"/>
  <c r="X44" i="9"/>
  <c r="KR44" i="9"/>
  <c r="GX44" i="9"/>
  <c r="JB44" i="9"/>
  <c r="FH44" i="9"/>
  <c r="BN44" i="9"/>
  <c r="GJ44" i="9"/>
  <c r="JI44" i="9"/>
  <c r="EM44" i="9"/>
  <c r="CP44" i="9"/>
  <c r="FV44" i="9"/>
  <c r="BG44" i="9"/>
  <c r="AS44" i="9"/>
  <c r="KD44" i="9"/>
  <c r="HL44" i="9"/>
  <c r="C44" i="9"/>
  <c r="JW44" i="9"/>
  <c r="KK44" i="9"/>
  <c r="FO44" i="9"/>
  <c r="HS44" i="9"/>
  <c r="AZ44" i="9"/>
  <c r="CB44" i="9"/>
  <c r="DK44" i="9"/>
  <c r="GQ44" i="9"/>
  <c r="IU44" i="9"/>
  <c r="AE44" i="9"/>
  <c r="ET44" i="9"/>
  <c r="CW44" i="9"/>
  <c r="JP44" i="9"/>
  <c r="AL44" i="9"/>
  <c r="IN44" i="9"/>
  <c r="A111" i="9"/>
  <c r="DY111" i="9"/>
  <c r="C111" i="9"/>
  <c r="FH111" i="9"/>
  <c r="CI111" i="9"/>
  <c r="FA111" i="9"/>
  <c r="DD111" i="9"/>
  <c r="GQ111" i="9"/>
  <c r="ET111" i="9"/>
  <c r="JI111" i="9"/>
  <c r="BG111" i="9"/>
  <c r="GJ111" i="9"/>
  <c r="JP111" i="9"/>
  <c r="HE111" i="9"/>
  <c r="FV111" i="9"/>
  <c r="AZ111" i="9"/>
  <c r="BU111" i="9"/>
  <c r="IU111" i="9"/>
  <c r="GX111" i="9"/>
  <c r="HZ111" i="9"/>
  <c r="KK111" i="9"/>
  <c r="KD111" i="9"/>
  <c r="HS111" i="9"/>
  <c r="IN111" i="9"/>
  <c r="FO111" i="9"/>
  <c r="CB111" i="9"/>
  <c r="CW111" i="9"/>
  <c r="KR111" i="9"/>
  <c r="GC111" i="9"/>
  <c r="DK111" i="9"/>
  <c r="HL111" i="9"/>
  <c r="JW111" i="9"/>
  <c r="EF111" i="9"/>
  <c r="JB111" i="9"/>
  <c r="AL111" i="9"/>
  <c r="Q111" i="9"/>
  <c r="DR111" i="9"/>
  <c r="X111" i="9"/>
  <c r="AS111" i="9"/>
  <c r="J111" i="9"/>
  <c r="EM111" i="9"/>
  <c r="IG111" i="9"/>
  <c r="CP111" i="9"/>
  <c r="AE111" i="9"/>
  <c r="BN111" i="9"/>
  <c r="A35" i="9"/>
  <c r="DY35" i="9"/>
  <c r="C35" i="9"/>
  <c r="BG35" i="9"/>
  <c r="FA35" i="9"/>
  <c r="JI35" i="9"/>
  <c r="AE35" i="9"/>
  <c r="JP35" i="9"/>
  <c r="HS35" i="9"/>
  <c r="FV35" i="9"/>
  <c r="BU35" i="9"/>
  <c r="KD35" i="9"/>
  <c r="AL35" i="9"/>
  <c r="HE35" i="9"/>
  <c r="EM35" i="9"/>
  <c r="GJ35" i="9"/>
  <c r="X35" i="9"/>
  <c r="AS35" i="9"/>
  <c r="IG35" i="9"/>
  <c r="GC35" i="9"/>
  <c r="DK35" i="9"/>
  <c r="CB35" i="9"/>
  <c r="IN35" i="9"/>
  <c r="HZ35" i="9"/>
  <c r="FO35" i="9"/>
  <c r="AZ35" i="9"/>
  <c r="CI35" i="9"/>
  <c r="Q35" i="9"/>
  <c r="IU35" i="9"/>
  <c r="BN35" i="9"/>
  <c r="DR35" i="9"/>
  <c r="DD35" i="9"/>
  <c r="FH35" i="9"/>
  <c r="HL35" i="9"/>
  <c r="EF35" i="9"/>
  <c r="CP35" i="9"/>
  <c r="KR35" i="9"/>
  <c r="KK35" i="9"/>
  <c r="JB35" i="9"/>
  <c r="J35" i="9"/>
  <c r="GQ35" i="9"/>
  <c r="ET35" i="9"/>
  <c r="CW35" i="9"/>
  <c r="GX35" i="9"/>
  <c r="JW35" i="9"/>
  <c r="A22" i="9"/>
  <c r="HL22" i="9"/>
  <c r="CW22" i="9"/>
  <c r="J22" i="9"/>
  <c r="JI22" i="9"/>
  <c r="HE22" i="9"/>
  <c r="AS22" i="9"/>
  <c r="EF22" i="9"/>
  <c r="Q22" i="9"/>
  <c r="IN22" i="9"/>
  <c r="FA22" i="9"/>
  <c r="DD22" i="9"/>
  <c r="GC22" i="9"/>
  <c r="IU22" i="9"/>
  <c r="BG22" i="9"/>
  <c r="GX22" i="9"/>
  <c r="C22" i="9"/>
  <c r="KD22" i="9"/>
  <c r="ET22" i="9"/>
  <c r="EM22" i="9"/>
  <c r="CP22" i="9"/>
  <c r="FV22" i="9"/>
  <c r="X22" i="9"/>
  <c r="AE22" i="9"/>
  <c r="AL22" i="9"/>
  <c r="JB22" i="9"/>
  <c r="FH22" i="9"/>
  <c r="GQ22" i="9"/>
  <c r="JW22" i="9"/>
  <c r="KR22" i="9"/>
  <c r="CB22" i="9"/>
  <c r="HS22" i="9"/>
  <c r="AZ22" i="9"/>
  <c r="BN22" i="9"/>
  <c r="BU22" i="9"/>
  <c r="DR22" i="9"/>
  <c r="DK22" i="9"/>
  <c r="IG22" i="9"/>
  <c r="FO22" i="9"/>
  <c r="HZ22" i="9"/>
  <c r="GJ22" i="9"/>
  <c r="KK22" i="9"/>
  <c r="JP22" i="9"/>
  <c r="DY22" i="9"/>
  <c r="CI22" i="9"/>
  <c r="A90" i="9"/>
  <c r="DD90" i="9"/>
  <c r="BN90" i="9"/>
  <c r="GQ90" i="9"/>
  <c r="BG90" i="9"/>
  <c r="GC90" i="9"/>
  <c r="IN90" i="9"/>
  <c r="HE90" i="9"/>
  <c r="FO90" i="9"/>
  <c r="AS90" i="9"/>
  <c r="JW90" i="9"/>
  <c r="X90" i="9"/>
  <c r="GJ90" i="9"/>
  <c r="AL90" i="9"/>
  <c r="J90" i="9"/>
  <c r="KR90" i="9"/>
  <c r="IG90" i="9"/>
  <c r="C90" i="9"/>
  <c r="AE90" i="9"/>
  <c r="AZ90" i="9"/>
  <c r="KD90" i="9"/>
  <c r="DK90" i="9"/>
  <c r="FH90" i="9"/>
  <c r="DR90" i="9"/>
  <c r="Q90" i="9"/>
  <c r="FV90" i="9"/>
  <c r="IU90" i="9"/>
  <c r="JP90" i="9"/>
  <c r="BU90" i="9"/>
  <c r="KK90" i="9"/>
  <c r="GX90" i="9"/>
  <c r="CI90" i="9"/>
  <c r="JI90" i="9"/>
  <c r="FA90" i="9"/>
  <c r="ET90" i="9"/>
  <c r="CB90" i="9"/>
  <c r="EF90" i="9"/>
  <c r="CP90" i="9"/>
  <c r="HZ90" i="9"/>
  <c r="HL90" i="9"/>
  <c r="JB90" i="9"/>
  <c r="HS90" i="9"/>
  <c r="CW90" i="9"/>
  <c r="EM90" i="9"/>
  <c r="DY90" i="9"/>
  <c r="A31" i="9"/>
  <c r="CB31" i="9"/>
  <c r="X31" i="9"/>
  <c r="IU31" i="9"/>
  <c r="DK31" i="9"/>
  <c r="BU31" i="9"/>
  <c r="HZ31" i="9"/>
  <c r="EM31" i="9"/>
  <c r="FA31" i="9"/>
  <c r="FV31" i="9"/>
  <c r="HS31" i="9"/>
  <c r="HE31" i="9"/>
  <c r="J31" i="9"/>
  <c r="AE31" i="9"/>
  <c r="BN31" i="9"/>
  <c r="JW31" i="9"/>
  <c r="GC31" i="9"/>
  <c r="DD31" i="9"/>
  <c r="GX31" i="9"/>
  <c r="IG31" i="9"/>
  <c r="Q31" i="9"/>
  <c r="AS31" i="9"/>
  <c r="KK31" i="9"/>
  <c r="KR31" i="9"/>
  <c r="JI31" i="9"/>
  <c r="JB31" i="9"/>
  <c r="KD31" i="9"/>
  <c r="EF31" i="9"/>
  <c r="FO31" i="9"/>
  <c r="BG31" i="9"/>
  <c r="CP31" i="9"/>
  <c r="CI31" i="9"/>
  <c r="AZ31" i="9"/>
  <c r="C31" i="9"/>
  <c r="IN31" i="9"/>
  <c r="CW31" i="9"/>
  <c r="JP31" i="9"/>
  <c r="AL31" i="9"/>
  <c r="GJ31" i="9"/>
  <c r="GQ31" i="9"/>
  <c r="FH31" i="9"/>
  <c r="DY31" i="9"/>
  <c r="DR31" i="9"/>
  <c r="HL31" i="9"/>
  <c r="ET31" i="9"/>
  <c r="A27" i="9"/>
  <c r="FA27" i="9"/>
  <c r="EM27" i="9"/>
  <c r="DR27" i="9"/>
  <c r="X27" i="9"/>
  <c r="Q27" i="9"/>
  <c r="DK27" i="9"/>
  <c r="JB27" i="9"/>
  <c r="JI27" i="9"/>
  <c r="CW27" i="9"/>
  <c r="HL27" i="9"/>
  <c r="AL27" i="9"/>
  <c r="FO27" i="9"/>
  <c r="HE27" i="9"/>
  <c r="AS27" i="9"/>
  <c r="KD27" i="9"/>
  <c r="ET27" i="9"/>
  <c r="GX27" i="9"/>
  <c r="IU27" i="9"/>
  <c r="C27" i="9"/>
  <c r="AE27" i="9"/>
  <c r="CB27" i="9"/>
  <c r="BU27" i="9"/>
  <c r="KK27" i="9"/>
  <c r="EF27" i="9"/>
  <c r="GQ27" i="9"/>
  <c r="BG27" i="9"/>
  <c r="FH27" i="9"/>
  <c r="IG27" i="9"/>
  <c r="AZ27" i="9"/>
  <c r="DD27" i="9"/>
  <c r="GJ27" i="9"/>
  <c r="IN27" i="9"/>
  <c r="JW27" i="9"/>
  <c r="DY27" i="9"/>
  <c r="CI27" i="9"/>
  <c r="FV27" i="9"/>
  <c r="CP27" i="9"/>
  <c r="HS27" i="9"/>
  <c r="GC27" i="9"/>
  <c r="HZ27" i="9"/>
  <c r="J27" i="9"/>
  <c r="JP27" i="9"/>
  <c r="BN27" i="9"/>
  <c r="KR27" i="9"/>
  <c r="A30" i="9"/>
  <c r="HZ30" i="9"/>
  <c r="DY30" i="9"/>
  <c r="JW30" i="9"/>
  <c r="BG30" i="9"/>
  <c r="JB30" i="9"/>
  <c r="IG30" i="9"/>
  <c r="HL30" i="9"/>
  <c r="KK30" i="9"/>
  <c r="GJ30" i="9"/>
  <c r="EF30" i="9"/>
  <c r="HE30" i="9"/>
  <c r="DD30" i="9"/>
  <c r="FA30" i="9"/>
  <c r="AE30" i="9"/>
  <c r="EM30" i="9"/>
  <c r="AZ30" i="9"/>
  <c r="CB30" i="9"/>
  <c r="KD30" i="9"/>
  <c r="JP30" i="9"/>
  <c r="FO30" i="9"/>
  <c r="X30" i="9"/>
  <c r="BU30" i="9"/>
  <c r="BN30" i="9"/>
  <c r="HS30" i="9"/>
  <c r="FH30" i="9"/>
  <c r="GQ30" i="9"/>
  <c r="C30" i="9"/>
  <c r="Q30" i="9"/>
  <c r="JI30" i="9"/>
  <c r="CI30" i="9"/>
  <c r="GX30" i="9"/>
  <c r="CW30" i="9"/>
  <c r="J30" i="9"/>
  <c r="CP30" i="9"/>
  <c r="GC30" i="9"/>
  <c r="DR30" i="9"/>
  <c r="IU30" i="9"/>
  <c r="KR30" i="9"/>
  <c r="IN30" i="9"/>
  <c r="DK30" i="9"/>
  <c r="AS30" i="9"/>
  <c r="FV30" i="9"/>
  <c r="ET30" i="9"/>
  <c r="AL30" i="9"/>
  <c r="A10" i="9"/>
  <c r="DD10" i="9"/>
  <c r="KK10" i="9"/>
  <c r="AZ10" i="9"/>
  <c r="EF10" i="9"/>
  <c r="AS10" i="9"/>
  <c r="HE10" i="9"/>
  <c r="KR10" i="9"/>
  <c r="Q10" i="9"/>
  <c r="IU10" i="9"/>
  <c r="DY10" i="9"/>
  <c r="EM10" i="9"/>
  <c r="C10" i="9"/>
  <c r="ET10" i="9"/>
  <c r="FO10" i="9"/>
  <c r="JB10" i="9"/>
  <c r="CB10" i="9"/>
  <c r="X10" i="9"/>
  <c r="GQ10" i="9"/>
  <c r="FH10" i="9"/>
  <c r="HL10" i="9"/>
  <c r="BU10" i="9"/>
  <c r="FV10" i="9"/>
  <c r="AE10" i="9"/>
  <c r="KD10" i="9"/>
  <c r="JP10" i="9"/>
  <c r="J10" i="9"/>
  <c r="HZ10" i="9"/>
  <c r="AL10" i="9"/>
  <c r="JW10" i="9"/>
  <c r="BN10" i="9"/>
  <c r="FA10" i="9"/>
  <c r="IG10" i="9"/>
  <c r="JI10" i="9"/>
  <c r="GC10" i="9"/>
  <c r="DK10" i="9"/>
  <c r="GJ10" i="9"/>
  <c r="CW10" i="9"/>
  <c r="IN10" i="9"/>
  <c r="DR10" i="9"/>
  <c r="GX10" i="9"/>
  <c r="BG10" i="9"/>
  <c r="HS10" i="9"/>
  <c r="CI10" i="9"/>
  <c r="CP10" i="9"/>
  <c r="A34" i="9"/>
  <c r="FV34" i="9"/>
  <c r="BU34" i="9"/>
  <c r="Q34" i="9"/>
  <c r="J34" i="9"/>
  <c r="JI34" i="9"/>
  <c r="CW34" i="9"/>
  <c r="JB34" i="9"/>
  <c r="EM34" i="9"/>
  <c r="CI34" i="9"/>
  <c r="DK34" i="9"/>
  <c r="IN34" i="9"/>
  <c r="GX34" i="9"/>
  <c r="AE34" i="9"/>
  <c r="GJ34" i="9"/>
  <c r="FH34" i="9"/>
  <c r="FO34" i="9"/>
  <c r="HS34" i="9"/>
  <c r="HZ34" i="9"/>
  <c r="ET34" i="9"/>
  <c r="JW34" i="9"/>
  <c r="HL34" i="9"/>
  <c r="GC34" i="9"/>
  <c r="KR34" i="9"/>
  <c r="FA34" i="9"/>
  <c r="CP34" i="9"/>
  <c r="KK34" i="9"/>
  <c r="X34" i="9"/>
  <c r="BG34" i="9"/>
  <c r="IU34" i="9"/>
  <c r="JP34" i="9"/>
  <c r="HE34" i="9"/>
  <c r="IG34" i="9"/>
  <c r="C34" i="9"/>
  <c r="KD34" i="9"/>
  <c r="AS34" i="9"/>
  <c r="GQ34" i="9"/>
  <c r="EF34" i="9"/>
  <c r="DD34" i="9"/>
  <c r="AZ34" i="9"/>
  <c r="BN34" i="9"/>
  <c r="DY34" i="9"/>
  <c r="AL34" i="9"/>
  <c r="DR34" i="9"/>
  <c r="CB34" i="9"/>
  <c r="A110" i="9"/>
  <c r="BN110" i="9"/>
  <c r="DR110" i="9"/>
  <c r="HS110" i="9"/>
  <c r="FH110" i="9"/>
  <c r="HL110" i="9"/>
  <c r="CP110" i="9"/>
  <c r="FV110" i="9"/>
  <c r="FO110" i="9"/>
  <c r="AZ110" i="9"/>
  <c r="DD110" i="9"/>
  <c r="X110" i="9"/>
  <c r="BU110" i="9"/>
  <c r="ET110" i="9"/>
  <c r="KR110" i="9"/>
  <c r="JW110" i="9"/>
  <c r="CB110" i="9"/>
  <c r="GJ110" i="9"/>
  <c r="KK110" i="9"/>
  <c r="CW110" i="9"/>
  <c r="HZ110" i="9"/>
  <c r="AS110" i="9"/>
  <c r="GC110" i="9"/>
  <c r="FA110" i="9"/>
  <c r="IG110" i="9"/>
  <c r="GQ110" i="9"/>
  <c r="IU110" i="9"/>
  <c r="JB110" i="9"/>
  <c r="Q110" i="9"/>
  <c r="AL110" i="9"/>
  <c r="HE110" i="9"/>
  <c r="EM110" i="9"/>
  <c r="AE110" i="9"/>
  <c r="BG110" i="9"/>
  <c r="JP110" i="9"/>
  <c r="DK110" i="9"/>
  <c r="GX110" i="9"/>
  <c r="KD110" i="9"/>
  <c r="IN110" i="9"/>
  <c r="J110" i="9"/>
  <c r="EF110" i="9"/>
  <c r="DY110" i="9"/>
  <c r="CI110" i="9"/>
  <c r="JI110" i="9"/>
  <c r="C110" i="9"/>
  <c r="HS8" i="9"/>
  <c r="AS8" i="9"/>
  <c r="CW8" i="9"/>
  <c r="JP8" i="9"/>
  <c r="AL8" i="9"/>
  <c r="IN8" i="9"/>
  <c r="EM8" i="9"/>
  <c r="JW8" i="9"/>
  <c r="DR8" i="9"/>
  <c r="A8" i="9"/>
  <c r="GQ8" i="9"/>
  <c r="FH8" i="9"/>
  <c r="AZ8" i="9"/>
  <c r="KR8" i="9"/>
  <c r="BG8" i="9"/>
  <c r="CP8" i="9"/>
  <c r="BN8" i="9"/>
  <c r="JB8" i="9"/>
  <c r="Q8" i="9"/>
  <c r="IG8" i="9"/>
  <c r="EF8" i="9"/>
  <c r="JI8" i="9"/>
  <c r="C8" i="9"/>
  <c r="KD8" i="9"/>
  <c r="FO8" i="9"/>
  <c r="DD8" i="9"/>
  <c r="DK8" i="9"/>
  <c r="FA8" i="9"/>
  <c r="BU8" i="9"/>
  <c r="DY8" i="9"/>
  <c r="GX8" i="9"/>
  <c r="HZ8" i="9"/>
  <c r="IU8" i="9"/>
  <c r="KK8" i="9"/>
  <c r="CI8" i="9"/>
  <c r="AE8" i="9"/>
  <c r="ET8" i="9"/>
  <c r="GC8" i="9"/>
  <c r="CB8" i="9"/>
  <c r="HL8" i="9"/>
  <c r="FV8" i="9"/>
  <c r="J8" i="9"/>
  <c r="HE8" i="9"/>
  <c r="X8" i="9"/>
  <c r="GJ8" i="9"/>
  <c r="A85" i="9"/>
  <c r="AS85" i="9"/>
  <c r="X85" i="9"/>
  <c r="FA85" i="9"/>
  <c r="JP85" i="9"/>
  <c r="GJ85" i="9"/>
  <c r="Q85" i="9"/>
  <c r="KK85" i="9"/>
  <c r="GQ85" i="9"/>
  <c r="AE85" i="9"/>
  <c r="IU85" i="9"/>
  <c r="BU85" i="9"/>
  <c r="DR85" i="9"/>
  <c r="CP85" i="9"/>
  <c r="IG85" i="9"/>
  <c r="CI85" i="9"/>
  <c r="HZ85" i="9"/>
  <c r="HS85" i="9"/>
  <c r="C85" i="9"/>
  <c r="DK85" i="9"/>
  <c r="ET85" i="9"/>
  <c r="FH85" i="9"/>
  <c r="JB85" i="9"/>
  <c r="KD85" i="9"/>
  <c r="J85" i="9"/>
  <c r="JW85" i="9"/>
  <c r="EF85" i="9"/>
  <c r="HE85" i="9"/>
  <c r="FO85" i="9"/>
  <c r="GC85" i="9"/>
  <c r="KR85" i="9"/>
  <c r="EM85" i="9"/>
  <c r="FV85" i="9"/>
  <c r="HL85" i="9"/>
  <c r="AZ85" i="9"/>
  <c r="CB85" i="9"/>
  <c r="BG85" i="9"/>
  <c r="DY85" i="9"/>
  <c r="CW85" i="9"/>
  <c r="AL85" i="9"/>
  <c r="BN85" i="9"/>
  <c r="GX85" i="9"/>
  <c r="DD85" i="9"/>
  <c r="JI85" i="9"/>
  <c r="IN85" i="9"/>
  <c r="IU6" i="9"/>
  <c r="C6" i="9"/>
  <c r="JI6" i="9"/>
  <c r="AL6" i="9"/>
  <c r="KR6" i="9"/>
  <c r="BG6" i="9"/>
  <c r="IG6" i="9"/>
  <c r="FO6" i="9"/>
  <c r="FV6" i="9"/>
  <c r="EF6" i="9"/>
  <c r="GJ6" i="9"/>
  <c r="CW6" i="9"/>
  <c r="A6" i="9"/>
  <c r="Q6" i="9"/>
  <c r="JW6" i="9"/>
  <c r="FH6" i="9"/>
  <c r="JB6" i="9"/>
  <c r="GQ6" i="9"/>
  <c r="GX6" i="9"/>
  <c r="KK6" i="9"/>
  <c r="J6" i="9"/>
  <c r="AZ6" i="9"/>
  <c r="HZ6" i="9"/>
  <c r="DD6" i="9"/>
  <c r="HS6" i="9"/>
  <c r="DK6" i="9"/>
  <c r="JP6" i="9"/>
  <c r="X6" i="9"/>
  <c r="HL6" i="9"/>
  <c r="HE6" i="9"/>
  <c r="CP6" i="9"/>
  <c r="BN6" i="9"/>
  <c r="AS6" i="9"/>
  <c r="CI6" i="9"/>
  <c r="FA6" i="9"/>
  <c r="DR6" i="9"/>
  <c r="ET6" i="9"/>
  <c r="BU6" i="9"/>
  <c r="DY6" i="9"/>
  <c r="EM6" i="9"/>
  <c r="AE6" i="9"/>
  <c r="IN6" i="9"/>
  <c r="KD6" i="9"/>
  <c r="GC6" i="9"/>
  <c r="CB6" i="9"/>
  <c r="A17" i="9"/>
  <c r="GX17" i="9"/>
  <c r="FV17" i="9"/>
  <c r="DR17" i="9"/>
  <c r="JI17" i="9"/>
  <c r="JB17" i="9"/>
  <c r="X17" i="9"/>
  <c r="HZ17" i="9"/>
  <c r="FA17" i="9"/>
  <c r="EM17" i="9"/>
  <c r="BN17" i="9"/>
  <c r="GC17" i="9"/>
  <c r="AS17" i="9"/>
  <c r="DD17" i="9"/>
  <c r="DK17" i="9"/>
  <c r="JW17" i="9"/>
  <c r="Q17" i="9"/>
  <c r="IG17" i="9"/>
  <c r="CW17" i="9"/>
  <c r="GQ17" i="9"/>
  <c r="KK17" i="9"/>
  <c r="JP17" i="9"/>
  <c r="AE17" i="9"/>
  <c r="BU17" i="9"/>
  <c r="J17" i="9"/>
  <c r="CI17" i="9"/>
  <c r="DY17" i="9"/>
  <c r="C17" i="9"/>
  <c r="BG17" i="9"/>
  <c r="AL17" i="9"/>
  <c r="AZ17" i="9"/>
  <c r="IU17" i="9"/>
  <c r="HL17" i="9"/>
  <c r="ET17" i="9"/>
  <c r="HE17" i="9"/>
  <c r="CB17" i="9"/>
  <c r="KR17" i="9"/>
  <c r="KD17" i="9"/>
  <c r="FH17" i="9"/>
  <c r="EF17" i="9"/>
  <c r="GJ17" i="9"/>
  <c r="IN17" i="9"/>
  <c r="CP17" i="9"/>
  <c r="HS17" i="9"/>
  <c r="FO17" i="9"/>
  <c r="A25" i="9"/>
  <c r="EM25" i="9"/>
  <c r="DK25" i="9"/>
  <c r="FV25" i="9"/>
  <c r="AS25" i="9"/>
  <c r="DY25" i="9"/>
  <c r="HL25" i="9"/>
  <c r="CI25" i="9"/>
  <c r="KK25" i="9"/>
  <c r="BN25" i="9"/>
  <c r="JW25" i="9"/>
  <c r="C25" i="9"/>
  <c r="CP25" i="9"/>
  <c r="GJ25" i="9"/>
  <c r="FA25" i="9"/>
  <c r="IN25" i="9"/>
  <c r="DD25" i="9"/>
  <c r="JP25" i="9"/>
  <c r="J25" i="9"/>
  <c r="FH25" i="9"/>
  <c r="AL25" i="9"/>
  <c r="KD25" i="9"/>
  <c r="AE25" i="9"/>
  <c r="JI25" i="9"/>
  <c r="GX25" i="9"/>
  <c r="FO25" i="9"/>
  <c r="BG25" i="9"/>
  <c r="ET25" i="9"/>
  <c r="HS25" i="9"/>
  <c r="IU25" i="9"/>
  <c r="AZ25" i="9"/>
  <c r="JB25" i="9"/>
  <c r="GQ25" i="9"/>
  <c r="EF25" i="9"/>
  <c r="HE25" i="9"/>
  <c r="DR25" i="9"/>
  <c r="HZ25" i="9"/>
  <c r="CW25" i="9"/>
  <c r="IG25" i="9"/>
  <c r="X25" i="9"/>
  <c r="CB25" i="9"/>
  <c r="Q25" i="9"/>
  <c r="GC25" i="9"/>
  <c r="BU25" i="9"/>
  <c r="KR25" i="9"/>
  <c r="A18" i="9"/>
  <c r="DY18" i="9"/>
  <c r="FH18" i="9"/>
  <c r="IG18" i="9"/>
  <c r="FA18" i="9"/>
  <c r="HL18" i="9"/>
  <c r="DK18" i="9"/>
  <c r="JW18" i="9"/>
  <c r="KD18" i="9"/>
  <c r="JP18" i="9"/>
  <c r="KR18" i="9"/>
  <c r="ET18" i="9"/>
  <c r="FV18" i="9"/>
  <c r="JI18" i="9"/>
  <c r="CW18" i="9"/>
  <c r="DR18" i="9"/>
  <c r="AL18" i="9"/>
  <c r="GC18" i="9"/>
  <c r="Q18" i="9"/>
  <c r="AZ18" i="9"/>
  <c r="KK18" i="9"/>
  <c r="X18" i="9"/>
  <c r="CI18" i="9"/>
  <c r="AS18" i="9"/>
  <c r="DD18" i="9"/>
  <c r="CP18" i="9"/>
  <c r="BU18" i="9"/>
  <c r="GQ18" i="9"/>
  <c r="IN18" i="9"/>
  <c r="AE18" i="9"/>
  <c r="BN18" i="9"/>
  <c r="JB18" i="9"/>
  <c r="C18" i="9"/>
  <c r="EF18" i="9"/>
  <c r="J18" i="9"/>
  <c r="HS18" i="9"/>
  <c r="CB18" i="9"/>
  <c r="HZ18" i="9"/>
  <c r="BG18" i="9"/>
  <c r="GX18" i="9"/>
  <c r="GJ18" i="9"/>
  <c r="FO18" i="9"/>
  <c r="EM18" i="9"/>
  <c r="IU18" i="9"/>
  <c r="HE18" i="9"/>
  <c r="A60" i="9"/>
  <c r="C60" i="9"/>
  <c r="FO60" i="9"/>
  <c r="IU60" i="9"/>
  <c r="HL60" i="9"/>
  <c r="CW60" i="9"/>
  <c r="HE60" i="9"/>
  <c r="GQ60" i="9"/>
  <c r="FH60" i="9"/>
  <c r="EF60" i="9"/>
  <c r="AS60" i="9"/>
  <c r="CB60" i="9"/>
  <c r="BU60" i="9"/>
  <c r="JI60" i="9"/>
  <c r="ET60" i="9"/>
  <c r="FV60" i="9"/>
  <c r="J60" i="9"/>
  <c r="BN60" i="9"/>
  <c r="DK60" i="9"/>
  <c r="Q60" i="9"/>
  <c r="DY60" i="9"/>
  <c r="GC60" i="9"/>
  <c r="BG60" i="9"/>
  <c r="FA60" i="9"/>
  <c r="IG60" i="9"/>
  <c r="JP60" i="9"/>
  <c r="IN60" i="9"/>
  <c r="AL60" i="9"/>
  <c r="HZ60" i="9"/>
  <c r="DR60" i="9"/>
  <c r="HS60" i="9"/>
  <c r="AZ60" i="9"/>
  <c r="DD60" i="9"/>
  <c r="KR60" i="9"/>
  <c r="KK60" i="9"/>
  <c r="KD60" i="9"/>
  <c r="GX60" i="9"/>
  <c r="CI60" i="9"/>
  <c r="JW60" i="9"/>
  <c r="EM60" i="9"/>
  <c r="GJ60" i="9"/>
  <c r="X60" i="9"/>
  <c r="CP60" i="9"/>
  <c r="JB60" i="9"/>
  <c r="AE60" i="9"/>
  <c r="A79" i="9"/>
  <c r="CI79" i="9"/>
  <c r="CP79" i="9"/>
  <c r="FA79" i="9"/>
  <c r="HS79" i="9"/>
  <c r="AE79" i="9"/>
  <c r="GC79" i="9"/>
  <c r="JI79" i="9"/>
  <c r="GQ79" i="9"/>
  <c r="JB79" i="9"/>
  <c r="EM79" i="9"/>
  <c r="EF79" i="9"/>
  <c r="KR79" i="9"/>
  <c r="DD79" i="9"/>
  <c r="FO79" i="9"/>
  <c r="BU79" i="9"/>
  <c r="HE79" i="9"/>
  <c r="DK79" i="9"/>
  <c r="CW79" i="9"/>
  <c r="AS79" i="9"/>
  <c r="HL79" i="9"/>
  <c r="KD79" i="9"/>
  <c r="Q79" i="9"/>
  <c r="JW79" i="9"/>
  <c r="KK79" i="9"/>
  <c r="IG79" i="9"/>
  <c r="BN79" i="9"/>
  <c r="JP79" i="9"/>
  <c r="ET79" i="9"/>
  <c r="GJ79" i="9"/>
  <c r="BG79" i="9"/>
  <c r="CB79" i="9"/>
  <c r="C79" i="9"/>
  <c r="AL79" i="9"/>
  <c r="DY79" i="9"/>
  <c r="FV79" i="9"/>
  <c r="DR79" i="9"/>
  <c r="HZ79" i="9"/>
  <c r="FH79" i="9"/>
  <c r="AZ79" i="9"/>
  <c r="GX79" i="9"/>
  <c r="X79" i="9"/>
  <c r="J79" i="9"/>
  <c r="IU79" i="9"/>
  <c r="IN79" i="9"/>
  <c r="A40" i="9"/>
  <c r="BU40" i="9"/>
  <c r="CP40" i="9"/>
  <c r="AS40" i="9"/>
  <c r="IU40" i="9"/>
  <c r="KK40" i="9"/>
  <c r="HL40" i="9"/>
  <c r="GJ40" i="9"/>
  <c r="AZ40" i="9"/>
  <c r="BN40" i="9"/>
  <c r="DK40" i="9"/>
  <c r="FH40" i="9"/>
  <c r="IG40" i="9"/>
  <c r="EM40" i="9"/>
  <c r="CI40" i="9"/>
  <c r="GX40" i="9"/>
  <c r="GQ40" i="9"/>
  <c r="Q40" i="9"/>
  <c r="X40" i="9"/>
  <c r="FA40" i="9"/>
  <c r="GC40" i="9"/>
  <c r="DR40" i="9"/>
  <c r="IN40" i="9"/>
  <c r="BG40" i="9"/>
  <c r="EF40" i="9"/>
  <c r="J40" i="9"/>
  <c r="KR40" i="9"/>
  <c r="FV40" i="9"/>
  <c r="CW40" i="9"/>
  <c r="HZ40" i="9"/>
  <c r="JW40" i="9"/>
  <c r="DD40" i="9"/>
  <c r="KD40" i="9"/>
  <c r="AL40" i="9"/>
  <c r="HS40" i="9"/>
  <c r="ET40" i="9"/>
  <c r="DY40" i="9"/>
  <c r="JB40" i="9"/>
  <c r="JP40" i="9"/>
  <c r="CB40" i="9"/>
  <c r="JI40" i="9"/>
  <c r="C40" i="9"/>
  <c r="FO40" i="9"/>
  <c r="HE40" i="9"/>
  <c r="AE40" i="9"/>
  <c r="X48" i="9"/>
  <c r="HL48" i="9"/>
  <c r="GC48" i="9"/>
  <c r="EF48" i="9"/>
  <c r="Q48" i="9"/>
  <c r="GJ48" i="9"/>
  <c r="A48" i="9"/>
  <c r="HS48" i="9"/>
  <c r="BG48" i="9"/>
  <c r="KR48" i="9"/>
  <c r="DD48" i="9"/>
  <c r="FO48" i="9"/>
  <c r="JW48" i="9"/>
  <c r="GX48" i="9"/>
  <c r="DR48" i="9"/>
  <c r="AE48" i="9"/>
  <c r="JB48" i="9"/>
  <c r="KD48" i="9"/>
  <c r="GQ48" i="9"/>
  <c r="CB48" i="9"/>
  <c r="EM48" i="9"/>
  <c r="FA48" i="9"/>
  <c r="BU48" i="9"/>
  <c r="AZ48" i="9"/>
  <c r="AS48" i="9"/>
  <c r="JI48" i="9"/>
  <c r="BN48" i="9"/>
  <c r="CI48" i="9"/>
  <c r="JP48" i="9"/>
  <c r="DK48" i="9"/>
  <c r="FV48" i="9"/>
  <c r="AL48" i="9"/>
  <c r="KK48" i="9"/>
  <c r="J48" i="9"/>
  <c r="ET48" i="9"/>
  <c r="HZ48" i="9"/>
  <c r="HE48" i="9"/>
  <c r="IU48" i="9"/>
  <c r="DY48" i="9"/>
  <c r="C48" i="9"/>
  <c r="FH48" i="9"/>
  <c r="CP48" i="9"/>
  <c r="CW48" i="9"/>
  <c r="IN48" i="9"/>
  <c r="IG48" i="9"/>
  <c r="A108" i="9"/>
  <c r="CW108" i="9"/>
  <c r="HZ108" i="9"/>
  <c r="Q108" i="9"/>
  <c r="CB108" i="9"/>
  <c r="GC108" i="9"/>
  <c r="BG108" i="9"/>
  <c r="HL108" i="9"/>
  <c r="HE108" i="9"/>
  <c r="AS108" i="9"/>
  <c r="J108" i="9"/>
  <c r="IG108" i="9"/>
  <c r="JP108" i="9"/>
  <c r="BU108" i="9"/>
  <c r="JI108" i="9"/>
  <c r="KD108" i="9"/>
  <c r="AZ108" i="9"/>
  <c r="GJ108" i="9"/>
  <c r="JW108" i="9"/>
  <c r="IN108" i="9"/>
  <c r="GX108" i="9"/>
  <c r="FH108" i="9"/>
  <c r="FO108" i="9"/>
  <c r="AE108" i="9"/>
  <c r="KK108" i="9"/>
  <c r="KR108" i="9"/>
  <c r="FA108" i="9"/>
  <c r="X108" i="9"/>
  <c r="ET108" i="9"/>
  <c r="IU108" i="9"/>
  <c r="CI108" i="9"/>
  <c r="DK108" i="9"/>
  <c r="EM108" i="9"/>
  <c r="DY108" i="9"/>
  <c r="CP108" i="9"/>
  <c r="EF108" i="9"/>
  <c r="HS108" i="9"/>
  <c r="FV108" i="9"/>
  <c r="BN108" i="9"/>
  <c r="AL108" i="9"/>
  <c r="JB108" i="9"/>
  <c r="DD108" i="9"/>
  <c r="GQ108" i="9"/>
  <c r="DR108" i="9"/>
  <c r="C108" i="9"/>
  <c r="A55" i="9"/>
  <c r="GC55" i="9"/>
  <c r="J55" i="9"/>
  <c r="JP55" i="9"/>
  <c r="JW55" i="9"/>
  <c r="DD55" i="9"/>
  <c r="AL55" i="9"/>
  <c r="AZ55" i="9"/>
  <c r="EF55" i="9"/>
  <c r="IG55" i="9"/>
  <c r="FO55" i="9"/>
  <c r="CW55" i="9"/>
  <c r="JI55" i="9"/>
  <c r="KR55" i="9"/>
  <c r="IU55" i="9"/>
  <c r="DY55" i="9"/>
  <c r="GX55" i="9"/>
  <c r="FV55" i="9"/>
  <c r="EM55" i="9"/>
  <c r="BU55" i="9"/>
  <c r="FA55" i="9"/>
  <c r="IN55" i="9"/>
  <c r="Q55" i="9"/>
  <c r="CP55" i="9"/>
  <c r="BG55" i="9"/>
  <c r="CI55" i="9"/>
  <c r="X55" i="9"/>
  <c r="C55" i="9"/>
  <c r="DR55" i="9"/>
  <c r="KD55" i="9"/>
  <c r="FH55" i="9"/>
  <c r="AS55" i="9"/>
  <c r="GQ55" i="9"/>
  <c r="HZ55" i="9"/>
  <c r="AE55" i="9"/>
  <c r="HS55" i="9"/>
  <c r="HL55" i="9"/>
  <c r="GJ55" i="9"/>
  <c r="CB55" i="9"/>
  <c r="ET55" i="9"/>
  <c r="DK55" i="9"/>
  <c r="BN55" i="9"/>
  <c r="HE55" i="9"/>
  <c r="JB55" i="9"/>
  <c r="KK55" i="9"/>
  <c r="A54" i="9"/>
  <c r="J54" i="9"/>
  <c r="HL54" i="9"/>
  <c r="CP54" i="9"/>
  <c r="CI54" i="9"/>
  <c r="IU54" i="9"/>
  <c r="C54" i="9"/>
  <c r="FA54" i="9"/>
  <c r="DK54" i="9"/>
  <c r="EM54" i="9"/>
  <c r="ET54" i="9"/>
  <c r="GX54" i="9"/>
  <c r="CB54" i="9"/>
  <c r="HZ54" i="9"/>
  <c r="IN54" i="9"/>
  <c r="EF54" i="9"/>
  <c r="HS54" i="9"/>
  <c r="JW54" i="9"/>
  <c r="HE54" i="9"/>
  <c r="JB54" i="9"/>
  <c r="KK54" i="9"/>
  <c r="AS54" i="9"/>
  <c r="IG54" i="9"/>
  <c r="FH54" i="9"/>
  <c r="BN54" i="9"/>
  <c r="X54" i="9"/>
  <c r="GQ54" i="9"/>
  <c r="KD54" i="9"/>
  <c r="BU54" i="9"/>
  <c r="DD54" i="9"/>
  <c r="GJ54" i="9"/>
  <c r="KR54" i="9"/>
  <c r="GC54" i="9"/>
  <c r="DY54" i="9"/>
  <c r="JI54" i="9"/>
  <c r="Q54" i="9"/>
  <c r="DR54" i="9"/>
  <c r="AZ54" i="9"/>
  <c r="AE54" i="9"/>
  <c r="JP54" i="9"/>
  <c r="FO54" i="9"/>
  <c r="CW54" i="9"/>
  <c r="FV54" i="9"/>
  <c r="BG54" i="9"/>
  <c r="AL54" i="9"/>
  <c r="A61" i="9"/>
  <c r="GJ61" i="9"/>
  <c r="EF61" i="9"/>
  <c r="EM61" i="9"/>
  <c r="AL61" i="9"/>
  <c r="IN61" i="9"/>
  <c r="Q61" i="9"/>
  <c r="FO61" i="9"/>
  <c r="DK61" i="9"/>
  <c r="X61" i="9"/>
  <c r="GQ61" i="9"/>
  <c r="JI61" i="9"/>
  <c r="CI61" i="9"/>
  <c r="KR61" i="9"/>
  <c r="GC61" i="9"/>
  <c r="GX61" i="9"/>
  <c r="BN61" i="9"/>
  <c r="C61" i="9"/>
  <c r="IU61" i="9"/>
  <c r="J61" i="9"/>
  <c r="JP61" i="9"/>
  <c r="FV61" i="9"/>
  <c r="HL61" i="9"/>
  <c r="AZ61" i="9"/>
  <c r="JW61" i="9"/>
  <c r="HZ61" i="9"/>
  <c r="JB61" i="9"/>
  <c r="HE61" i="9"/>
  <c r="CB61" i="9"/>
  <c r="DR61" i="9"/>
  <c r="FH61" i="9"/>
  <c r="CP61" i="9"/>
  <c r="BG61" i="9"/>
  <c r="IG61" i="9"/>
  <c r="KD61" i="9"/>
  <c r="HS61" i="9"/>
  <c r="DY61" i="9"/>
  <c r="BU61" i="9"/>
  <c r="FA61" i="9"/>
  <c r="CW61" i="9"/>
  <c r="ET61" i="9"/>
  <c r="AS61" i="9"/>
  <c r="DD61" i="9"/>
  <c r="AE61" i="9"/>
  <c r="KK61" i="9"/>
  <c r="A23" i="9"/>
  <c r="FV23" i="9"/>
  <c r="GX23" i="9"/>
  <c r="BU23" i="9"/>
  <c r="X23" i="9"/>
  <c r="JP23" i="9"/>
  <c r="CP23" i="9"/>
  <c r="AZ23" i="9"/>
  <c r="HE23" i="9"/>
  <c r="AS23" i="9"/>
  <c r="DY23" i="9"/>
  <c r="JB23" i="9"/>
  <c r="KK23" i="9"/>
  <c r="CW23" i="9"/>
  <c r="BN23" i="9"/>
  <c r="DD23" i="9"/>
  <c r="GJ23" i="9"/>
  <c r="IU23" i="9"/>
  <c r="Q23" i="9"/>
  <c r="DK23" i="9"/>
  <c r="JW23" i="9"/>
  <c r="EM23" i="9"/>
  <c r="J23" i="9"/>
  <c r="EF23" i="9"/>
  <c r="FO23" i="9"/>
  <c r="AL23" i="9"/>
  <c r="AE23" i="9"/>
  <c r="FA23" i="9"/>
  <c r="JI23" i="9"/>
  <c r="KR23" i="9"/>
  <c r="GQ23" i="9"/>
  <c r="ET23" i="9"/>
  <c r="HL23" i="9"/>
  <c r="IN23" i="9"/>
  <c r="KD23" i="9"/>
  <c r="GC23" i="9"/>
  <c r="IG23" i="9"/>
  <c r="HS23" i="9"/>
  <c r="DR23" i="9"/>
  <c r="C23" i="9"/>
  <c r="HZ23" i="9"/>
  <c r="BG23" i="9"/>
  <c r="CI23" i="9"/>
  <c r="CB23" i="9"/>
  <c r="FH23" i="9"/>
  <c r="A47" i="9"/>
  <c r="IG47" i="9"/>
  <c r="EM47" i="9"/>
  <c r="J47" i="9"/>
  <c r="AE47" i="9"/>
  <c r="DD47" i="9"/>
  <c r="CB47" i="9"/>
  <c r="JI47" i="9"/>
  <c r="FH47" i="9"/>
  <c r="FO47" i="9"/>
  <c r="BN47" i="9"/>
  <c r="BU47" i="9"/>
  <c r="HZ47" i="9"/>
  <c r="IN47" i="9"/>
  <c r="FA47" i="9"/>
  <c r="CI47" i="9"/>
  <c r="GQ47" i="9"/>
  <c r="DR47" i="9"/>
  <c r="DK47" i="9"/>
  <c r="DY47" i="9"/>
  <c r="GJ47" i="9"/>
  <c r="KD47" i="9"/>
  <c r="GX47" i="9"/>
  <c r="X47" i="9"/>
  <c r="Q47" i="9"/>
  <c r="C47" i="9"/>
  <c r="IU47" i="9"/>
  <c r="CP47" i="9"/>
  <c r="JB47" i="9"/>
  <c r="CW47" i="9"/>
  <c r="KR47" i="9"/>
  <c r="HE47" i="9"/>
  <c r="HL47" i="9"/>
  <c r="BG47" i="9"/>
  <c r="JP47" i="9"/>
  <c r="GC47" i="9"/>
  <c r="ET47" i="9"/>
  <c r="HS47" i="9"/>
  <c r="AZ47" i="9"/>
  <c r="AL47" i="9"/>
  <c r="JW47" i="9"/>
  <c r="EF47" i="9"/>
  <c r="KK47" i="9"/>
  <c r="AS47" i="9"/>
  <c r="FV47" i="9"/>
  <c r="A70" i="9"/>
  <c r="AL70" i="9"/>
  <c r="DY70" i="9"/>
  <c r="HL70" i="9"/>
  <c r="DR70" i="9"/>
  <c r="C70" i="9"/>
  <c r="HZ70" i="9"/>
  <c r="DD70" i="9"/>
  <c r="DK70" i="9"/>
  <c r="BN70" i="9"/>
  <c r="Q70" i="9"/>
  <c r="IG70" i="9"/>
  <c r="CW70" i="9"/>
  <c r="KR70" i="9"/>
  <c r="GC70" i="9"/>
  <c r="JI70" i="9"/>
  <c r="KK70" i="9"/>
  <c r="EM70" i="9"/>
  <c r="GX70" i="9"/>
  <c r="HE70" i="9"/>
  <c r="GQ70" i="9"/>
  <c r="X70" i="9"/>
  <c r="CI70" i="9"/>
  <c r="FV70" i="9"/>
  <c r="ET70" i="9"/>
  <c r="FH70" i="9"/>
  <c r="CP70" i="9"/>
  <c r="CB70" i="9"/>
  <c r="IN70" i="9"/>
  <c r="KD70" i="9"/>
  <c r="JW70" i="9"/>
  <c r="J70" i="9"/>
  <c r="FO70" i="9"/>
  <c r="BG70" i="9"/>
  <c r="AE70" i="9"/>
  <c r="IU70" i="9"/>
  <c r="BU70" i="9"/>
  <c r="JP70" i="9"/>
  <c r="EF70" i="9"/>
  <c r="AS70" i="9"/>
  <c r="GJ70" i="9"/>
  <c r="HS70" i="9"/>
  <c r="JB70" i="9"/>
  <c r="FA70" i="9"/>
  <c r="AZ70" i="9"/>
  <c r="A29" i="9"/>
  <c r="BN29" i="9"/>
  <c r="HL29" i="9"/>
  <c r="C29" i="9"/>
  <c r="FH29" i="9"/>
  <c r="KR29" i="9"/>
  <c r="AL29" i="9"/>
  <c r="KK29" i="9"/>
  <c r="FV29" i="9"/>
  <c r="FO29" i="9"/>
  <c r="CP29" i="9"/>
  <c r="HS29" i="9"/>
  <c r="DD29" i="9"/>
  <c r="JI29" i="9"/>
  <c r="EF29" i="9"/>
  <c r="DR29" i="9"/>
  <c r="CW29" i="9"/>
  <c r="BG29" i="9"/>
  <c r="HE29" i="9"/>
  <c r="IU29" i="9"/>
  <c r="IG29" i="9"/>
  <c r="GX29" i="9"/>
  <c r="Q29" i="9"/>
  <c r="BU29" i="9"/>
  <c r="GJ29" i="9"/>
  <c r="DK29" i="9"/>
  <c r="EM29" i="9"/>
  <c r="JB29" i="9"/>
  <c r="JW29" i="9"/>
  <c r="HZ29" i="9"/>
  <c r="X29" i="9"/>
  <c r="FA29" i="9"/>
  <c r="AS29" i="9"/>
  <c r="J29" i="9"/>
  <c r="IN29" i="9"/>
  <c r="GC29" i="9"/>
  <c r="JP29" i="9"/>
  <c r="ET29" i="9"/>
  <c r="AE29" i="9"/>
  <c r="AZ29" i="9"/>
  <c r="GQ29" i="9"/>
  <c r="KD29" i="9"/>
  <c r="CI29" i="9"/>
  <c r="CB29" i="9"/>
  <c r="DY29" i="9"/>
  <c r="A107" i="9"/>
  <c r="AE107" i="9"/>
  <c r="BN107" i="9"/>
  <c r="HS107" i="9"/>
  <c r="GX107" i="9"/>
  <c r="FH107" i="9"/>
  <c r="JW107" i="9"/>
  <c r="GC107" i="9"/>
  <c r="AL107" i="9"/>
  <c r="KK107" i="9"/>
  <c r="EM107" i="9"/>
  <c r="FO107" i="9"/>
  <c r="FV107" i="9"/>
  <c r="IN107" i="9"/>
  <c r="CP107" i="9"/>
  <c r="C107" i="9"/>
  <c r="CW107" i="9"/>
  <c r="HE107" i="9"/>
  <c r="FA107" i="9"/>
  <c r="Q107" i="9"/>
  <c r="JP107" i="9"/>
  <c r="GJ107" i="9"/>
  <c r="DR107" i="9"/>
  <c r="AS107" i="9"/>
  <c r="X107" i="9"/>
  <c r="CI107" i="9"/>
  <c r="J107" i="9"/>
  <c r="DK107" i="9"/>
  <c r="BG107" i="9"/>
  <c r="HL107" i="9"/>
  <c r="DD107" i="9"/>
  <c r="GQ107" i="9"/>
  <c r="BU107" i="9"/>
  <c r="ET107" i="9"/>
  <c r="JB107" i="9"/>
  <c r="HZ107" i="9"/>
  <c r="KR107" i="9"/>
  <c r="JI107" i="9"/>
  <c r="DY107" i="9"/>
  <c r="IU107" i="9"/>
  <c r="KD107" i="9"/>
  <c r="IG107" i="9"/>
  <c r="EF107" i="9"/>
  <c r="AZ107" i="9"/>
  <c r="CB107" i="9"/>
  <c r="DF112" i="9" l="1"/>
  <c r="GZ112" i="9"/>
  <c r="IB112" i="9"/>
  <c r="FQ112" i="9"/>
  <c r="CY112" i="9"/>
  <c r="DT112" i="9"/>
  <c r="IW112" i="9"/>
  <c r="GL112" i="9"/>
  <c r="KT112" i="9"/>
  <c r="CR112" i="9"/>
  <c r="GS112" i="9"/>
  <c r="JR112" i="9"/>
  <c r="FJ112" i="9"/>
  <c r="GE112" i="9"/>
  <c r="JY112" i="9"/>
  <c r="II112" i="9"/>
  <c r="Z112" i="9"/>
  <c r="CK112" i="9"/>
  <c r="E112" i="9"/>
  <c r="L112" i="9"/>
  <c r="BI112" i="9"/>
  <c r="KF112" i="9"/>
  <c r="S112" i="9"/>
  <c r="EH112" i="9"/>
  <c r="JD112" i="9"/>
  <c r="KM112" i="9"/>
  <c r="AN112" i="9"/>
  <c r="HU112" i="9"/>
  <c r="JK112" i="9"/>
  <c r="IP112" i="9"/>
  <c r="DM112" i="9"/>
  <c r="FX112" i="9"/>
  <c r="HG112" i="9"/>
  <c r="EV112" i="9"/>
  <c r="FC112" i="9"/>
  <c r="EO112" i="9"/>
  <c r="HN112" i="9"/>
  <c r="AU112" i="9"/>
  <c r="AG112" i="9"/>
  <c r="BP112" i="9"/>
  <c r="EA112" i="9"/>
  <c r="BB112" i="9"/>
  <c r="CD112" i="9"/>
  <c r="BU42" i="8"/>
  <c r="BU72" i="8"/>
  <c r="BU3" i="8"/>
  <c r="BU108" i="8"/>
  <c r="BU41" i="8"/>
  <c r="BU21" i="8"/>
  <c r="BU75" i="8"/>
  <c r="BU33" i="8"/>
  <c r="BU100" i="8"/>
  <c r="BU107" i="8"/>
  <c r="BU39" i="8"/>
  <c r="BU95" i="8"/>
  <c r="BU92" i="8"/>
  <c r="BU64" i="8"/>
  <c r="BU58" i="8"/>
  <c r="BU62" i="8"/>
  <c r="BU74" i="8"/>
  <c r="BU14" i="8"/>
  <c r="BU29" i="8"/>
  <c r="BU98" i="8"/>
  <c r="BU50" i="8"/>
  <c r="BU76" i="8"/>
  <c r="BU67" i="8"/>
  <c r="BU52" i="8"/>
  <c r="BU12" i="8"/>
  <c r="BU71" i="8"/>
  <c r="BU69" i="8"/>
  <c r="BU86" i="8"/>
  <c r="BU45" i="8"/>
  <c r="BU94" i="8"/>
  <c r="BU78" i="8"/>
  <c r="BU84" i="8"/>
  <c r="BU38" i="8"/>
  <c r="BU105" i="8"/>
  <c r="BU34" i="8"/>
  <c r="BU49" i="8"/>
  <c r="BU65" i="8"/>
  <c r="BU46" i="8"/>
  <c r="BU18" i="8"/>
  <c r="BU73" i="8"/>
  <c r="BU16" i="8"/>
  <c r="BU56" i="8"/>
  <c r="BU5" i="8"/>
  <c r="BU90" i="8"/>
  <c r="BU44" i="8"/>
  <c r="BU63" i="8"/>
  <c r="BU6" i="8"/>
  <c r="BU70" i="8"/>
  <c r="BU54" i="8"/>
  <c r="BU40" i="8"/>
  <c r="BU25" i="8"/>
  <c r="BU30" i="8"/>
  <c r="BU22" i="8"/>
  <c r="BU104" i="8"/>
  <c r="BU66" i="8"/>
  <c r="BU19" i="8"/>
  <c r="BU106" i="8"/>
  <c r="BU101" i="8"/>
  <c r="BU9" i="8"/>
  <c r="BU109" i="8"/>
  <c r="BU82" i="8"/>
  <c r="BU57" i="8"/>
  <c r="BU24" i="8"/>
  <c r="BU8" i="8"/>
  <c r="BU87" i="8"/>
  <c r="BU51" i="8"/>
  <c r="BU83" i="8"/>
  <c r="BU7" i="8"/>
  <c r="BU91" i="8"/>
  <c r="BU20" i="8"/>
  <c r="BU85" i="8"/>
  <c r="BU23" i="8"/>
  <c r="BU60" i="8"/>
  <c r="BU31" i="8"/>
  <c r="BU111" i="8"/>
  <c r="BU96" i="8"/>
  <c r="BU32" i="8"/>
  <c r="BU11" i="8"/>
  <c r="BU10" i="8"/>
  <c r="BU97" i="8"/>
  <c r="BU36" i="8"/>
  <c r="BU53" i="8"/>
  <c r="BU88" i="8"/>
  <c r="BU68" i="8"/>
  <c r="BU103" i="8"/>
  <c r="BU13" i="8"/>
  <c r="BU93" i="8"/>
  <c r="BU28" i="8"/>
  <c r="BU77" i="8"/>
  <c r="BU37" i="8"/>
  <c r="BU59" i="8"/>
  <c r="BU43" i="8"/>
  <c r="BU26" i="8"/>
  <c r="BU15" i="8"/>
  <c r="BU99" i="8"/>
  <c r="BU48" i="8"/>
  <c r="BU80" i="8"/>
  <c r="BU4" i="8"/>
  <c r="BU61" i="8"/>
  <c r="BU47" i="8"/>
  <c r="BU55" i="8"/>
  <c r="BU79" i="8"/>
  <c r="BU17" i="8"/>
  <c r="BU110" i="8"/>
  <c r="BU27" i="8"/>
  <c r="BU35" i="8"/>
  <c r="BU81" i="8"/>
  <c r="BU89" i="8"/>
  <c r="BU102" i="8"/>
  <c r="EI112" i="9"/>
  <c r="HV112" i="9"/>
  <c r="JE112" i="9"/>
  <c r="KN112" i="9"/>
  <c r="T112" i="9"/>
  <c r="AA112" i="9"/>
  <c r="IC112" i="9"/>
  <c r="GT112" i="9"/>
  <c r="IX112" i="9"/>
  <c r="KG112" i="9"/>
  <c r="CM112" i="9"/>
  <c r="EP112" i="9"/>
  <c r="KU112" i="9"/>
  <c r="CS112" i="9"/>
  <c r="FY112" i="9"/>
  <c r="IJ112" i="9"/>
  <c r="JS112" i="9"/>
  <c r="CL112" i="9"/>
  <c r="KH112" i="9"/>
  <c r="FR112" i="9"/>
  <c r="DG112" i="9"/>
  <c r="JT112" i="9"/>
  <c r="AV112" i="9"/>
  <c r="AB112" i="9"/>
  <c r="HO112" i="9"/>
  <c r="JZ112" i="9"/>
  <c r="JF112" i="9"/>
  <c r="CE112" i="9"/>
  <c r="EB112" i="9"/>
  <c r="U112" i="9"/>
  <c r="F112" i="9"/>
  <c r="M112" i="9"/>
  <c r="FK112" i="9"/>
  <c r="KO112" i="9"/>
  <c r="ID112" i="9"/>
  <c r="FS112" i="9"/>
  <c r="DH112" i="9"/>
  <c r="AO112" i="9"/>
  <c r="BJ112" i="9"/>
  <c r="FD112" i="9"/>
  <c r="EW112" i="9"/>
  <c r="AP112" i="9"/>
  <c r="CZ112" i="9"/>
  <c r="IQ112" i="9"/>
  <c r="BX112" i="9"/>
  <c r="GF112" i="9"/>
  <c r="EL93" i="9"/>
  <c r="CV93" i="9"/>
  <c r="EE93" i="9"/>
  <c r="IF93" i="9"/>
  <c r="FG93" i="9"/>
  <c r="W93" i="9"/>
  <c r="FU93" i="9"/>
  <c r="AD93" i="9"/>
  <c r="DQ93" i="9"/>
  <c r="GI93" i="9"/>
  <c r="GW93" i="9"/>
  <c r="EZ93" i="9"/>
  <c r="I93" i="9"/>
  <c r="GP93" i="9"/>
  <c r="JO93" i="9"/>
  <c r="IT93" i="9"/>
  <c r="DX93" i="9"/>
  <c r="P93" i="9"/>
  <c r="JA93" i="9"/>
  <c r="AK93" i="9"/>
  <c r="CH93" i="9"/>
  <c r="ES93" i="9"/>
  <c r="FN93" i="9"/>
  <c r="BT93" i="9"/>
  <c r="BY93" i="9" s="1"/>
  <c r="KC93" i="9"/>
  <c r="DC93" i="9"/>
  <c r="IM93" i="9"/>
  <c r="KJ93" i="9"/>
  <c r="HY93" i="9"/>
  <c r="GB93" i="9"/>
  <c r="AR93" i="9"/>
  <c r="HK93" i="9"/>
  <c r="JH93" i="9"/>
  <c r="CA93" i="9"/>
  <c r="KQ93" i="9"/>
  <c r="KV93" i="9" s="1"/>
  <c r="BF93" i="9"/>
  <c r="HD93" i="9"/>
  <c r="DJ93" i="9"/>
  <c r="AY93" i="9"/>
  <c r="JV93" i="9"/>
  <c r="CO93" i="9"/>
  <c r="HR93" i="9"/>
  <c r="B93" i="9"/>
  <c r="BM93" i="9"/>
  <c r="BO93" i="9" s="1"/>
  <c r="FG41" i="9"/>
  <c r="BM41" i="9"/>
  <c r="IT41" i="9"/>
  <c r="JO41" i="9"/>
  <c r="JH41" i="9"/>
  <c r="IF41" i="9"/>
  <c r="AK41" i="9"/>
  <c r="I41" i="9"/>
  <c r="IM41" i="9"/>
  <c r="HR41" i="9"/>
  <c r="HK41" i="9"/>
  <c r="CV41" i="9"/>
  <c r="EE41" i="9"/>
  <c r="HY41" i="9"/>
  <c r="AD41" i="9"/>
  <c r="EL41" i="9"/>
  <c r="AR41" i="9"/>
  <c r="ES41" i="9"/>
  <c r="FN41" i="9"/>
  <c r="CO41" i="9"/>
  <c r="W41" i="9"/>
  <c r="FU41" i="9"/>
  <c r="DC41" i="9"/>
  <c r="P41" i="9"/>
  <c r="JV41" i="9"/>
  <c r="KJ41" i="9"/>
  <c r="CH41" i="9"/>
  <c r="EZ41" i="9"/>
  <c r="KC41" i="9"/>
  <c r="GW41" i="9"/>
  <c r="HD41" i="9"/>
  <c r="AY41" i="9"/>
  <c r="BT41" i="9"/>
  <c r="JA41" i="9"/>
  <c r="DJ41" i="9"/>
  <c r="DX41" i="9"/>
  <c r="GP41" i="9"/>
  <c r="CA41" i="9"/>
  <c r="BF41" i="9"/>
  <c r="KQ41" i="9"/>
  <c r="DQ41" i="9"/>
  <c r="DU41" i="9" s="1"/>
  <c r="GI41" i="9"/>
  <c r="GB41" i="9"/>
  <c r="B41" i="9"/>
  <c r="AK43" i="9"/>
  <c r="EZ43" i="9"/>
  <c r="IM43" i="9"/>
  <c r="HD43" i="9"/>
  <c r="JA43" i="9"/>
  <c r="DX43" i="9"/>
  <c r="GW43" i="9"/>
  <c r="KQ43" i="9"/>
  <c r="BM43" i="9"/>
  <c r="IT43" i="9"/>
  <c r="W43" i="9"/>
  <c r="JO43" i="9"/>
  <c r="IF43" i="9"/>
  <c r="HR43" i="9"/>
  <c r="P43" i="9"/>
  <c r="AR43" i="9"/>
  <c r="AV43" i="9" s="1"/>
  <c r="FU43" i="9"/>
  <c r="GP43" i="9"/>
  <c r="B43" i="9"/>
  <c r="AD43" i="9"/>
  <c r="BF43" i="9"/>
  <c r="CH43" i="9"/>
  <c r="I43" i="9"/>
  <c r="CO43" i="9"/>
  <c r="FG43" i="9"/>
  <c r="HY43" i="9"/>
  <c r="GB43" i="9"/>
  <c r="CA43" i="9"/>
  <c r="FN43" i="9"/>
  <c r="ES43" i="9"/>
  <c r="JV43" i="9"/>
  <c r="JZ43" i="9" s="1"/>
  <c r="DJ43" i="9"/>
  <c r="AY43" i="9"/>
  <c r="EL43" i="9"/>
  <c r="KJ43" i="9"/>
  <c r="JH43" i="9"/>
  <c r="GI43" i="9"/>
  <c r="EE43" i="9"/>
  <c r="BT43" i="9"/>
  <c r="KC43" i="9"/>
  <c r="DC43" i="9"/>
  <c r="CV43" i="9"/>
  <c r="DQ43" i="9"/>
  <c r="HK43" i="9"/>
  <c r="DC108" i="9"/>
  <c r="KC108" i="9"/>
  <c r="EZ108" i="9"/>
  <c r="JH108" i="9"/>
  <c r="AD108" i="9"/>
  <c r="JO108" i="9"/>
  <c r="EL108" i="9"/>
  <c r="BF108" i="9"/>
  <c r="GI108" i="9"/>
  <c r="BT108" i="9"/>
  <c r="ES108" i="9"/>
  <c r="BM108" i="9"/>
  <c r="B108" i="9"/>
  <c r="JV108" i="9"/>
  <c r="DQ108" i="9"/>
  <c r="HK108" i="9"/>
  <c r="AR108" i="9"/>
  <c r="I108" i="9"/>
  <c r="JA108" i="9"/>
  <c r="KQ108" i="9"/>
  <c r="HR108" i="9"/>
  <c r="DJ108" i="9"/>
  <c r="GB108" i="9"/>
  <c r="IT108" i="9"/>
  <c r="CO108" i="9"/>
  <c r="HD108" i="9"/>
  <c r="FG108" i="9"/>
  <c r="DX108" i="9"/>
  <c r="AK108" i="9"/>
  <c r="CV108" i="9"/>
  <c r="CA108" i="9"/>
  <c r="CH108" i="9"/>
  <c r="EE108" i="9"/>
  <c r="KJ108" i="9"/>
  <c r="HY108" i="9"/>
  <c r="FN108" i="9"/>
  <c r="GW108" i="9"/>
  <c r="IM108" i="9"/>
  <c r="P108" i="9"/>
  <c r="GP108" i="9"/>
  <c r="IF108" i="9"/>
  <c r="W108" i="9"/>
  <c r="FU108" i="9"/>
  <c r="AY108" i="9"/>
  <c r="W48" i="9"/>
  <c r="KQ48" i="9"/>
  <c r="AY48" i="9"/>
  <c r="CH48" i="9"/>
  <c r="EZ48" i="9"/>
  <c r="IT48" i="9"/>
  <c r="ES48" i="9"/>
  <c r="CA48" i="9"/>
  <c r="GB48" i="9"/>
  <c r="DQ48" i="9"/>
  <c r="HD48" i="9"/>
  <c r="IF48" i="9"/>
  <c r="AK48" i="9"/>
  <c r="GW48" i="9"/>
  <c r="I48" i="9"/>
  <c r="AR48" i="9"/>
  <c r="JH48" i="9"/>
  <c r="JV48" i="9"/>
  <c r="P48" i="9"/>
  <c r="GI48" i="9"/>
  <c r="HY48" i="9"/>
  <c r="EL48" i="9"/>
  <c r="DX48" i="9"/>
  <c r="HK48" i="9"/>
  <c r="JA48" i="9"/>
  <c r="CO48" i="9"/>
  <c r="BM48" i="9"/>
  <c r="BF48" i="9"/>
  <c r="GP48" i="9"/>
  <c r="FU48" i="9"/>
  <c r="EE48" i="9"/>
  <c r="KJ48" i="9"/>
  <c r="JO48" i="9"/>
  <c r="HR48" i="9"/>
  <c r="B48" i="9"/>
  <c r="G48" i="9" s="1"/>
  <c r="FN48" i="9"/>
  <c r="FG48" i="9"/>
  <c r="CV48" i="9"/>
  <c r="DJ48" i="9"/>
  <c r="IM48" i="9"/>
  <c r="KC48" i="9"/>
  <c r="BT48" i="9"/>
  <c r="DC48" i="9"/>
  <c r="AD48" i="9"/>
  <c r="N112" i="9"/>
  <c r="GU112" i="9"/>
  <c r="GB53" i="9"/>
  <c r="HR53" i="9"/>
  <c r="GI53" i="9"/>
  <c r="JH53" i="9"/>
  <c r="JO53" i="9"/>
  <c r="EZ53" i="9"/>
  <c r="KC53" i="9"/>
  <c r="ES53" i="9"/>
  <c r="CH53" i="9"/>
  <c r="FU53" i="9"/>
  <c r="IT53" i="9"/>
  <c r="FN53" i="9"/>
  <c r="AR53" i="9"/>
  <c r="DX53" i="9"/>
  <c r="HD53" i="9"/>
  <c r="AD53" i="9"/>
  <c r="DQ53" i="9"/>
  <c r="DS53" i="9" s="1"/>
  <c r="GP53" i="9"/>
  <c r="AY53" i="9"/>
  <c r="HY53" i="9"/>
  <c r="KJ53" i="9"/>
  <c r="CV53" i="9"/>
  <c r="JV53" i="9"/>
  <c r="GW53" i="9"/>
  <c r="DJ53" i="9"/>
  <c r="IF53" i="9"/>
  <c r="BF53" i="9"/>
  <c r="HK53" i="9"/>
  <c r="FG53" i="9"/>
  <c r="BM53" i="9"/>
  <c r="EE53" i="9"/>
  <c r="EI53" i="9" s="1"/>
  <c r="EL53" i="9"/>
  <c r="CO53" i="9"/>
  <c r="CA53" i="9"/>
  <c r="B53" i="9"/>
  <c r="D53" i="9" s="1"/>
  <c r="I53" i="9"/>
  <c r="K53" i="9" s="1"/>
  <c r="IM53" i="9"/>
  <c r="BT53" i="9"/>
  <c r="JA53" i="9"/>
  <c r="W53" i="9"/>
  <c r="DC53" i="9"/>
  <c r="KQ53" i="9"/>
  <c r="AK53" i="9"/>
  <c r="P53" i="9"/>
  <c r="BT91" i="9"/>
  <c r="KC91" i="9"/>
  <c r="DQ91" i="9"/>
  <c r="FG91" i="9"/>
  <c r="AK91" i="9"/>
  <c r="BM91" i="9"/>
  <c r="GB91" i="9"/>
  <c r="HK91" i="9"/>
  <c r="P91" i="9"/>
  <c r="IM91" i="9"/>
  <c r="JV91" i="9"/>
  <c r="B91" i="9"/>
  <c r="G91" i="9" s="1"/>
  <c r="EZ91" i="9"/>
  <c r="HY91" i="9"/>
  <c r="AD91" i="9"/>
  <c r="GI91" i="9"/>
  <c r="EL91" i="9"/>
  <c r="IF91" i="9"/>
  <c r="DJ91" i="9"/>
  <c r="BF91" i="9"/>
  <c r="CH91" i="9"/>
  <c r="GW91" i="9"/>
  <c r="AY91" i="9"/>
  <c r="EE91" i="9"/>
  <c r="HR91" i="9"/>
  <c r="I91" i="9"/>
  <c r="GP91" i="9"/>
  <c r="JO91" i="9"/>
  <c r="FU91" i="9"/>
  <c r="KJ91" i="9"/>
  <c r="FN91" i="9"/>
  <c r="FR91" i="9" s="1"/>
  <c r="DX91" i="9"/>
  <c r="ES91" i="9"/>
  <c r="HD91" i="9"/>
  <c r="CO91" i="9"/>
  <c r="CT91" i="9" s="1"/>
  <c r="IT91" i="9"/>
  <c r="JH91" i="9"/>
  <c r="JA91" i="9"/>
  <c r="CA91" i="9"/>
  <c r="CV91" i="9"/>
  <c r="AR91" i="9"/>
  <c r="KQ91" i="9"/>
  <c r="W91" i="9"/>
  <c r="DC91" i="9"/>
  <c r="P34" i="9"/>
  <c r="CO34" i="9"/>
  <c r="DJ34" i="9"/>
  <c r="JO34" i="9"/>
  <c r="HK34" i="9"/>
  <c r="HP34" i="9" s="1"/>
  <c r="KQ34" i="9"/>
  <c r="GP34" i="9"/>
  <c r="B34" i="9"/>
  <c r="AY34" i="9"/>
  <c r="AK34" i="9"/>
  <c r="I34" i="9"/>
  <c r="DC34" i="9"/>
  <c r="CA34" i="9"/>
  <c r="FG34" i="9"/>
  <c r="CV34" i="9"/>
  <c r="IM34" i="9"/>
  <c r="IT34" i="9"/>
  <c r="HD34" i="9"/>
  <c r="HF34" i="9" s="1"/>
  <c r="HG34" i="9" s="1"/>
  <c r="EL34" i="9"/>
  <c r="KC34" i="9"/>
  <c r="FU34" i="9"/>
  <c r="EE34" i="9"/>
  <c r="DQ34" i="9"/>
  <c r="JV34" i="9"/>
  <c r="HY34" i="9"/>
  <c r="DX34" i="9"/>
  <c r="KJ34" i="9"/>
  <c r="JA34" i="9"/>
  <c r="AD34" i="9"/>
  <c r="GB34" i="9"/>
  <c r="CH34" i="9"/>
  <c r="EZ34" i="9"/>
  <c r="BT34" i="9"/>
  <c r="GI34" i="9"/>
  <c r="IF34" i="9"/>
  <c r="FN34" i="9"/>
  <c r="HR34" i="9"/>
  <c r="HV34" i="9" s="1"/>
  <c r="BF34" i="9"/>
  <c r="BM34" i="9"/>
  <c r="JH34" i="9"/>
  <c r="GW34" i="9"/>
  <c r="AR34" i="9"/>
  <c r="W34" i="9"/>
  <c r="ES34" i="9"/>
  <c r="IM65" i="9"/>
  <c r="EL65" i="9"/>
  <c r="AD65" i="9"/>
  <c r="BM65" i="9"/>
  <c r="DC65" i="9"/>
  <c r="KQ65" i="9"/>
  <c r="GP65" i="9"/>
  <c r="HK65" i="9"/>
  <c r="DX65" i="9"/>
  <c r="JV65" i="9"/>
  <c r="AK65" i="9"/>
  <c r="GW65" i="9"/>
  <c r="EZ65" i="9"/>
  <c r="HY65" i="9"/>
  <c r="FN65" i="9"/>
  <c r="GI65" i="9"/>
  <c r="KC65" i="9"/>
  <c r="DQ65" i="9"/>
  <c r="AY65" i="9"/>
  <c r="FU65" i="9"/>
  <c r="CV65" i="9"/>
  <c r="GB65" i="9"/>
  <c r="ES65" i="9"/>
  <c r="HR65" i="9"/>
  <c r="AR65" i="9"/>
  <c r="DJ65" i="9"/>
  <c r="JH65" i="9"/>
  <c r="JA65" i="9"/>
  <c r="IT65" i="9"/>
  <c r="W65" i="9"/>
  <c r="P65" i="9"/>
  <c r="JO65" i="9"/>
  <c r="B65" i="9"/>
  <c r="KJ65" i="9"/>
  <c r="CO65" i="9"/>
  <c r="CA65" i="9"/>
  <c r="BF65" i="9"/>
  <c r="IF65" i="9"/>
  <c r="EE65" i="9"/>
  <c r="FG65" i="9"/>
  <c r="BT65" i="9"/>
  <c r="I65" i="9"/>
  <c r="CH65" i="9"/>
  <c r="HD65" i="9"/>
  <c r="FN11" i="9"/>
  <c r="W11" i="9"/>
  <c r="B11" i="9"/>
  <c r="CH11" i="9"/>
  <c r="HY11" i="9"/>
  <c r="EL11" i="9"/>
  <c r="AR11" i="9"/>
  <c r="DQ11" i="9"/>
  <c r="BF11" i="9"/>
  <c r="DC11" i="9"/>
  <c r="ES11" i="9"/>
  <c r="GP11" i="9"/>
  <c r="AY11" i="9"/>
  <c r="DJ11" i="9"/>
  <c r="HK11" i="9"/>
  <c r="GW11" i="9"/>
  <c r="EE11" i="9"/>
  <c r="FG11" i="9"/>
  <c r="BM11" i="9"/>
  <c r="JV11" i="9"/>
  <c r="KQ11" i="9"/>
  <c r="AK11" i="9"/>
  <c r="EZ11" i="9"/>
  <c r="GI11" i="9"/>
  <c r="BT11" i="9"/>
  <c r="AD11" i="9"/>
  <c r="KC11" i="9"/>
  <c r="IM11" i="9"/>
  <c r="JH11" i="9"/>
  <c r="IT11" i="9"/>
  <c r="IF11" i="9"/>
  <c r="HR11" i="9"/>
  <c r="CO11" i="9"/>
  <c r="KJ11" i="9"/>
  <c r="CA11" i="9"/>
  <c r="GB11" i="9"/>
  <c r="DX11" i="9"/>
  <c r="FU11" i="9"/>
  <c r="CV11" i="9"/>
  <c r="P11" i="9"/>
  <c r="HD11" i="9"/>
  <c r="JA11" i="9"/>
  <c r="I11" i="9"/>
  <c r="JO11" i="9"/>
  <c r="DC31" i="9"/>
  <c r="EE31" i="9"/>
  <c r="AY31" i="9"/>
  <c r="AR31" i="9"/>
  <c r="GP31" i="9"/>
  <c r="BF31" i="9"/>
  <c r="DX31" i="9"/>
  <c r="B31" i="9"/>
  <c r="HD31" i="9"/>
  <c r="IM31" i="9"/>
  <c r="I31" i="9"/>
  <c r="HR31" i="9"/>
  <c r="JA31" i="9"/>
  <c r="IT31" i="9"/>
  <c r="BT31" i="9"/>
  <c r="BM31" i="9"/>
  <c r="KJ31" i="9"/>
  <c r="KC31" i="9"/>
  <c r="HY31" i="9"/>
  <c r="IF31" i="9"/>
  <c r="ES31" i="9"/>
  <c r="JV31" i="9"/>
  <c r="CH31" i="9"/>
  <c r="JO31" i="9"/>
  <c r="JT31" i="9" s="1"/>
  <c r="FG31" i="9"/>
  <c r="CO31" i="9"/>
  <c r="KQ31" i="9"/>
  <c r="GI31" i="9"/>
  <c r="GW31" i="9"/>
  <c r="P31" i="9"/>
  <c r="HK31" i="9"/>
  <c r="CV31" i="9"/>
  <c r="AD31" i="9"/>
  <c r="JH31" i="9"/>
  <c r="EL31" i="9"/>
  <c r="CA31" i="9"/>
  <c r="CC31" i="9" s="1"/>
  <c r="EZ31" i="9"/>
  <c r="W31" i="9"/>
  <c r="GB31" i="9"/>
  <c r="AK31" i="9"/>
  <c r="FN31" i="9"/>
  <c r="DQ31" i="9"/>
  <c r="FU31" i="9"/>
  <c r="DJ31" i="9"/>
  <c r="CO66" i="9"/>
  <c r="JV66" i="9"/>
  <c r="JA66" i="9"/>
  <c r="ES66" i="9"/>
  <c r="JH66" i="9"/>
  <c r="GI66" i="9"/>
  <c r="KJ66" i="9"/>
  <c r="HY66" i="9"/>
  <c r="AY66" i="9"/>
  <c r="B66" i="9"/>
  <c r="FU66" i="9"/>
  <c r="IM66" i="9"/>
  <c r="BT66" i="9"/>
  <c r="KQ66" i="9"/>
  <c r="GW66" i="9"/>
  <c r="DQ66" i="9"/>
  <c r="CA66" i="9"/>
  <c r="KC66" i="9"/>
  <c r="CH66" i="9"/>
  <c r="I66" i="9"/>
  <c r="BF66" i="9"/>
  <c r="BK66" i="9" s="1"/>
  <c r="HK66" i="9"/>
  <c r="AK66" i="9"/>
  <c r="IT66" i="9"/>
  <c r="HR66" i="9"/>
  <c r="AR66" i="9"/>
  <c r="FG66" i="9"/>
  <c r="DC66" i="9"/>
  <c r="AD66" i="9"/>
  <c r="P66" i="9"/>
  <c r="DJ66" i="9"/>
  <c r="GB66" i="9"/>
  <c r="EE66" i="9"/>
  <c r="EZ66" i="9"/>
  <c r="CV66" i="9"/>
  <c r="W66" i="9"/>
  <c r="FN66" i="9"/>
  <c r="BM66" i="9"/>
  <c r="EL66" i="9"/>
  <c r="IF66" i="9"/>
  <c r="HD66" i="9"/>
  <c r="HH66" i="9" s="1"/>
  <c r="JO66" i="9"/>
  <c r="GP66" i="9"/>
  <c r="DX66" i="9"/>
  <c r="AK58" i="9"/>
  <c r="GI58" i="9"/>
  <c r="JH58" i="9"/>
  <c r="HY58" i="9"/>
  <c r="CH58" i="9"/>
  <c r="AD58" i="9"/>
  <c r="HD58" i="9"/>
  <c r="JA58" i="9"/>
  <c r="DQ58" i="9"/>
  <c r="HK58" i="9"/>
  <c r="IM58" i="9"/>
  <c r="KQ58" i="9"/>
  <c r="CA58" i="9"/>
  <c r="GW58" i="9"/>
  <c r="KC58" i="9"/>
  <c r="EL58" i="9"/>
  <c r="W58" i="9"/>
  <c r="CV58" i="9"/>
  <c r="FG58" i="9"/>
  <c r="AY58" i="9"/>
  <c r="EZ58" i="9"/>
  <c r="BF58" i="9"/>
  <c r="DJ58" i="9"/>
  <c r="B58" i="9"/>
  <c r="G58" i="9" s="1"/>
  <c r="KJ58" i="9"/>
  <c r="IF58" i="9"/>
  <c r="IT58" i="9"/>
  <c r="DC58" i="9"/>
  <c r="P58" i="9"/>
  <c r="GP58" i="9"/>
  <c r="JV58" i="9"/>
  <c r="JX58" i="9" s="1"/>
  <c r="JY58" i="9" s="1"/>
  <c r="JO58" i="9"/>
  <c r="ES58" i="9"/>
  <c r="AR58" i="9"/>
  <c r="FN58" i="9"/>
  <c r="BM58" i="9"/>
  <c r="I58" i="9"/>
  <c r="DX58" i="9"/>
  <c r="HR58" i="9"/>
  <c r="EE58" i="9"/>
  <c r="GB58" i="9"/>
  <c r="CO58" i="9"/>
  <c r="BT58" i="9"/>
  <c r="FU58" i="9"/>
  <c r="ES23" i="9"/>
  <c r="JH23" i="9"/>
  <c r="DJ23" i="9"/>
  <c r="EE23" i="9"/>
  <c r="JO23" i="9"/>
  <c r="B23" i="9"/>
  <c r="F23" i="9" s="1"/>
  <c r="AY23" i="9"/>
  <c r="GB23" i="9"/>
  <c r="DQ23" i="9"/>
  <c r="IT23" i="9"/>
  <c r="IM23" i="9"/>
  <c r="CO23" i="9"/>
  <c r="FG23" i="9"/>
  <c r="CA23" i="9"/>
  <c r="DX23" i="9"/>
  <c r="HR23" i="9"/>
  <c r="W23" i="9"/>
  <c r="CV23" i="9"/>
  <c r="BT23" i="9"/>
  <c r="DC23" i="9"/>
  <c r="FU23" i="9"/>
  <c r="GI23" i="9"/>
  <c r="AR23" i="9"/>
  <c r="BF23" i="9"/>
  <c r="EL23" i="9"/>
  <c r="EZ23" i="9"/>
  <c r="HK23" i="9"/>
  <c r="BM23" i="9"/>
  <c r="IF23" i="9"/>
  <c r="JA23" i="9"/>
  <c r="JV23" i="9"/>
  <c r="HD23" i="9"/>
  <c r="CH23" i="9"/>
  <c r="AD23" i="9"/>
  <c r="GP23" i="9"/>
  <c r="AK23" i="9"/>
  <c r="HY23" i="9"/>
  <c r="GW23" i="9"/>
  <c r="P23" i="9"/>
  <c r="KJ23" i="9"/>
  <c r="KC23" i="9"/>
  <c r="FN23" i="9"/>
  <c r="KQ23" i="9"/>
  <c r="I23" i="9"/>
  <c r="EJ112" i="9"/>
  <c r="IT82" i="9"/>
  <c r="JA82" i="9"/>
  <c r="JE82" i="9" s="1"/>
  <c r="AD82" i="9"/>
  <c r="AY82" i="9"/>
  <c r="JH82" i="9"/>
  <c r="BM82" i="9"/>
  <c r="BO82" i="9" s="1"/>
  <c r="CV82" i="9"/>
  <c r="DA82" i="9" s="1"/>
  <c r="DQ82" i="9"/>
  <c r="DJ82" i="9"/>
  <c r="ES82" i="9"/>
  <c r="EX82" i="9" s="1"/>
  <c r="BF82" i="9"/>
  <c r="I82" i="9"/>
  <c r="K82" i="9" s="1"/>
  <c r="EE82" i="9"/>
  <c r="JV82" i="9"/>
  <c r="JX82" i="9" s="1"/>
  <c r="GW82" i="9"/>
  <c r="AR82" i="9"/>
  <c r="P82" i="9"/>
  <c r="FG82" i="9"/>
  <c r="CO82" i="9"/>
  <c r="FU82" i="9"/>
  <c r="KJ82" i="9"/>
  <c r="W82" i="9"/>
  <c r="HD82" i="9"/>
  <c r="GP82" i="9"/>
  <c r="EZ82" i="9"/>
  <c r="BT82" i="9"/>
  <c r="HR82" i="9"/>
  <c r="HW82" i="9" s="1"/>
  <c r="KQ82" i="9"/>
  <c r="KS82" i="9" s="1"/>
  <c r="AK82" i="9"/>
  <c r="AP82" i="9" s="1"/>
  <c r="JO82" i="9"/>
  <c r="EL82" i="9"/>
  <c r="B82" i="9"/>
  <c r="G82" i="9" s="1"/>
  <c r="GI82" i="9"/>
  <c r="HK82" i="9"/>
  <c r="IF82" i="9"/>
  <c r="CA82" i="9"/>
  <c r="CH82" i="9"/>
  <c r="DX82" i="9"/>
  <c r="KC82" i="9"/>
  <c r="IM82" i="9"/>
  <c r="FN82" i="9"/>
  <c r="GB82" i="9"/>
  <c r="GG82" i="9" s="1"/>
  <c r="HY82" i="9"/>
  <c r="DC82" i="9"/>
  <c r="EZ29" i="9"/>
  <c r="I29" i="9"/>
  <c r="EE29" i="9"/>
  <c r="EJ29" i="9" s="1"/>
  <c r="AD29" i="9"/>
  <c r="AH29" i="9" s="1"/>
  <c r="DJ29" i="9"/>
  <c r="P29" i="9"/>
  <c r="CV29" i="9"/>
  <c r="AR29" i="9"/>
  <c r="HR29" i="9"/>
  <c r="KQ29" i="9"/>
  <c r="KS29" i="9" s="1"/>
  <c r="KT29" i="9" s="1"/>
  <c r="B29" i="9"/>
  <c r="D29" i="9" s="1"/>
  <c r="AK29" i="9"/>
  <c r="IM29" i="9"/>
  <c r="IQ29" i="9" s="1"/>
  <c r="AY29" i="9"/>
  <c r="DX29" i="9"/>
  <c r="DQ29" i="9"/>
  <c r="IF29" i="9"/>
  <c r="HY29" i="9"/>
  <c r="DC29" i="9"/>
  <c r="CA29" i="9"/>
  <c r="JA29" i="9"/>
  <c r="FU29" i="9"/>
  <c r="GW29" i="9"/>
  <c r="CH29" i="9"/>
  <c r="JH29" i="9"/>
  <c r="JO29" i="9"/>
  <c r="JT29" i="9" s="1"/>
  <c r="GI29" i="9"/>
  <c r="BF29" i="9"/>
  <c r="BK29" i="9" s="1"/>
  <c r="JV29" i="9"/>
  <c r="KA29" i="9" s="1"/>
  <c r="KC29" i="9"/>
  <c r="GP29" i="9"/>
  <c r="FN29" i="9"/>
  <c r="FG29" i="9"/>
  <c r="FL29" i="9" s="1"/>
  <c r="CO29" i="9"/>
  <c r="GB29" i="9"/>
  <c r="GG29" i="9" s="1"/>
  <c r="ES29" i="9"/>
  <c r="EL29" i="9"/>
  <c r="HK29" i="9"/>
  <c r="BT29" i="9"/>
  <c r="KJ29" i="9"/>
  <c r="BM29" i="9"/>
  <c r="BR29" i="9" s="1"/>
  <c r="HD29" i="9"/>
  <c r="IT29" i="9"/>
  <c r="IX29" i="9" s="1"/>
  <c r="W29" i="9"/>
  <c r="EL74" i="9"/>
  <c r="BF74" i="9"/>
  <c r="DJ74" i="9"/>
  <c r="DO74" i="9" s="1"/>
  <c r="GB74" i="9"/>
  <c r="AK74" i="9"/>
  <c r="AO74" i="9" s="1"/>
  <c r="GI74" i="9"/>
  <c r="ES74" i="9"/>
  <c r="IM74" i="9"/>
  <c r="CA74" i="9"/>
  <c r="HK74" i="9"/>
  <c r="KC74" i="9"/>
  <c r="IF74" i="9"/>
  <c r="DC74" i="9"/>
  <c r="GW74" i="9"/>
  <c r="JA74" i="9"/>
  <c r="HR74" i="9"/>
  <c r="AD74" i="9"/>
  <c r="I74" i="9"/>
  <c r="HD74" i="9"/>
  <c r="HI74" i="9" s="1"/>
  <c r="AY74" i="9"/>
  <c r="JH74" i="9"/>
  <c r="CH74" i="9"/>
  <c r="FU74" i="9"/>
  <c r="IT74" i="9"/>
  <c r="FG74" i="9"/>
  <c r="AR74" i="9"/>
  <c r="EZ74" i="9"/>
  <c r="KJ74" i="9"/>
  <c r="CO74" i="9"/>
  <c r="CV74" i="9"/>
  <c r="P74" i="9"/>
  <c r="DX74" i="9"/>
  <c r="EE74" i="9"/>
  <c r="JV74" i="9"/>
  <c r="BT74" i="9"/>
  <c r="GP74" i="9"/>
  <c r="W74" i="9"/>
  <c r="KQ74" i="9"/>
  <c r="HY74" i="9"/>
  <c r="B74" i="9"/>
  <c r="F74" i="9" s="1"/>
  <c r="DQ74" i="9"/>
  <c r="JO74" i="9"/>
  <c r="FN74" i="9"/>
  <c r="BM74" i="9"/>
  <c r="CA80" i="9"/>
  <c r="JV80" i="9"/>
  <c r="CO80" i="9"/>
  <c r="JO80" i="9"/>
  <c r="I80" i="9"/>
  <c r="ES80" i="9"/>
  <c r="GI80" i="9"/>
  <c r="IM80" i="9"/>
  <c r="AD80" i="9"/>
  <c r="CV80" i="9"/>
  <c r="DJ80" i="9"/>
  <c r="BF80" i="9"/>
  <c r="EZ80" i="9"/>
  <c r="P80" i="9"/>
  <c r="GW80" i="9"/>
  <c r="AK80" i="9"/>
  <c r="DX80" i="9"/>
  <c r="HR80" i="9"/>
  <c r="AR80" i="9"/>
  <c r="W80" i="9"/>
  <c r="HK80" i="9"/>
  <c r="JA80" i="9"/>
  <c r="DQ80" i="9"/>
  <c r="BT80" i="9"/>
  <c r="FG80" i="9"/>
  <c r="EL80" i="9"/>
  <c r="EP80" i="9" s="1"/>
  <c r="KQ80" i="9"/>
  <c r="IF80" i="9"/>
  <c r="AY80" i="9"/>
  <c r="HY80" i="9"/>
  <c r="FU80" i="9"/>
  <c r="FN80" i="9"/>
  <c r="GB80" i="9"/>
  <c r="CH80" i="9"/>
  <c r="JH80" i="9"/>
  <c r="GP80" i="9"/>
  <c r="IT80" i="9"/>
  <c r="EE80" i="9"/>
  <c r="B80" i="9"/>
  <c r="D80" i="9" s="1"/>
  <c r="KC80" i="9"/>
  <c r="HD80" i="9"/>
  <c r="DC80" i="9"/>
  <c r="KJ80" i="9"/>
  <c r="BM80" i="9"/>
  <c r="FU63" i="9"/>
  <c r="FZ63" i="9" s="1"/>
  <c r="EZ63" i="9"/>
  <c r="EL63" i="9"/>
  <c r="DC63" i="9"/>
  <c r="ES63" i="9"/>
  <c r="GP63" i="9"/>
  <c r="CV63" i="9"/>
  <c r="P63" i="9"/>
  <c r="AR63" i="9"/>
  <c r="JO63" i="9"/>
  <c r="GB63" i="9"/>
  <c r="GW63" i="9"/>
  <c r="IF63" i="9"/>
  <c r="CA63" i="9"/>
  <c r="I63" i="9"/>
  <c r="CH63" i="9"/>
  <c r="B63" i="9"/>
  <c r="F63" i="9" s="1"/>
  <c r="AY63" i="9"/>
  <c r="FN63" i="9"/>
  <c r="JA63" i="9"/>
  <c r="HK63" i="9"/>
  <c r="KQ63" i="9"/>
  <c r="GI63" i="9"/>
  <c r="AD63" i="9"/>
  <c r="BT63" i="9"/>
  <c r="HY63" i="9"/>
  <c r="FG63" i="9"/>
  <c r="IT63" i="9"/>
  <c r="JV63" i="9"/>
  <c r="CO63" i="9"/>
  <c r="EE63" i="9"/>
  <c r="HR63" i="9"/>
  <c r="BF63" i="9"/>
  <c r="KJ63" i="9"/>
  <c r="DJ63" i="9"/>
  <c r="JH63" i="9"/>
  <c r="HD63" i="9"/>
  <c r="KC63" i="9"/>
  <c r="W63" i="9"/>
  <c r="IM63" i="9"/>
  <c r="BM63" i="9"/>
  <c r="DQ63" i="9"/>
  <c r="AK63" i="9"/>
  <c r="DX63" i="9"/>
  <c r="JL112" i="9"/>
  <c r="CH90" i="9"/>
  <c r="JA90" i="9"/>
  <c r="AD90" i="9"/>
  <c r="HK90" i="9"/>
  <c r="HD90" i="9"/>
  <c r="P90" i="9"/>
  <c r="JV90" i="9"/>
  <c r="AR90" i="9"/>
  <c r="HR90" i="9"/>
  <c r="EE90" i="9"/>
  <c r="KQ90" i="9"/>
  <c r="I90" i="9"/>
  <c r="FG90" i="9"/>
  <c r="FU90" i="9"/>
  <c r="CV90" i="9"/>
  <c r="CO90" i="9"/>
  <c r="GB90" i="9"/>
  <c r="BM90" i="9"/>
  <c r="AY90" i="9"/>
  <c r="GI90" i="9"/>
  <c r="BF90" i="9"/>
  <c r="DX90" i="9"/>
  <c r="FN90" i="9"/>
  <c r="GW90" i="9"/>
  <c r="CA90" i="9"/>
  <c r="IF90" i="9"/>
  <c r="DC90" i="9"/>
  <c r="JO90" i="9"/>
  <c r="B90" i="9"/>
  <c r="IM90" i="9"/>
  <c r="GP90" i="9"/>
  <c r="EZ90" i="9"/>
  <c r="BT90" i="9"/>
  <c r="KC90" i="9"/>
  <c r="DJ90" i="9"/>
  <c r="EL90" i="9"/>
  <c r="HY90" i="9"/>
  <c r="KJ90" i="9"/>
  <c r="ES90" i="9"/>
  <c r="JH90" i="9"/>
  <c r="W90" i="9"/>
  <c r="IT90" i="9"/>
  <c r="DQ90" i="9"/>
  <c r="AK90" i="9"/>
  <c r="CH106" i="9"/>
  <c r="CJ106" i="9" s="1"/>
  <c r="CK106" i="9" s="1"/>
  <c r="GB106" i="9"/>
  <c r="FG106" i="9"/>
  <c r="EE106" i="9"/>
  <c r="FU106" i="9"/>
  <c r="EL106" i="9"/>
  <c r="I106" i="9"/>
  <c r="AY106" i="9"/>
  <c r="GW106" i="9"/>
  <c r="GP106" i="9"/>
  <c r="IF106" i="9"/>
  <c r="W106" i="9"/>
  <c r="DX106" i="9"/>
  <c r="EZ106" i="9"/>
  <c r="JO106" i="9"/>
  <c r="ES106" i="9"/>
  <c r="BF106" i="9"/>
  <c r="AR106" i="9"/>
  <c r="JA106" i="9"/>
  <c r="AD106" i="9"/>
  <c r="AF106" i="9" s="1"/>
  <c r="B106" i="9"/>
  <c r="F106" i="9" s="1"/>
  <c r="BM106" i="9"/>
  <c r="CA106" i="9"/>
  <c r="IM106" i="9"/>
  <c r="DQ106" i="9"/>
  <c r="HY106" i="9"/>
  <c r="KQ106" i="9"/>
  <c r="DJ106" i="9"/>
  <c r="GI106" i="9"/>
  <c r="HD106" i="9"/>
  <c r="HF106" i="9" s="1"/>
  <c r="KJ106" i="9"/>
  <c r="JV106" i="9"/>
  <c r="JH106" i="9"/>
  <c r="CV106" i="9"/>
  <c r="IT106" i="9"/>
  <c r="HR106" i="9"/>
  <c r="KC106" i="9"/>
  <c r="CO106" i="9"/>
  <c r="P106" i="9"/>
  <c r="FN106" i="9"/>
  <c r="BT106" i="9"/>
  <c r="AK106" i="9"/>
  <c r="DC106" i="9"/>
  <c r="HK106" i="9"/>
  <c r="CV69" i="9"/>
  <c r="AK69" i="9"/>
  <c r="DC69" i="9"/>
  <c r="GB69" i="9"/>
  <c r="EZ69" i="9"/>
  <c r="ES69" i="9"/>
  <c r="GI69" i="9"/>
  <c r="AR69" i="9"/>
  <c r="GW69" i="9"/>
  <c r="JV69" i="9"/>
  <c r="KJ69" i="9"/>
  <c r="KC69" i="9"/>
  <c r="KH69" i="9" s="1"/>
  <c r="I69" i="9"/>
  <c r="IM69" i="9"/>
  <c r="HD69" i="9"/>
  <c r="JA69" i="9"/>
  <c r="FN69" i="9"/>
  <c r="HR69" i="9"/>
  <c r="IF69" i="9"/>
  <c r="HY69" i="9"/>
  <c r="CO69" i="9"/>
  <c r="CA69" i="9"/>
  <c r="AY69" i="9"/>
  <c r="DX69" i="9"/>
  <c r="JH69" i="9"/>
  <c r="EL69" i="9"/>
  <c r="JO69" i="9"/>
  <c r="CH69" i="9"/>
  <c r="DJ69" i="9"/>
  <c r="HK69" i="9"/>
  <c r="FG69" i="9"/>
  <c r="DQ69" i="9"/>
  <c r="BF69" i="9"/>
  <c r="FU69" i="9"/>
  <c r="GP69" i="9"/>
  <c r="EE69" i="9"/>
  <c r="KQ69" i="9"/>
  <c r="BM69" i="9"/>
  <c r="W69" i="9"/>
  <c r="AD69" i="9"/>
  <c r="B69" i="9"/>
  <c r="BT69" i="9"/>
  <c r="P69" i="9"/>
  <c r="IT69" i="9"/>
  <c r="CO105" i="9"/>
  <c r="GP105" i="9"/>
  <c r="KC105" i="9"/>
  <c r="AR105" i="9"/>
  <c r="DC105" i="9"/>
  <c r="AY105" i="9"/>
  <c r="DX105" i="9"/>
  <c r="EL105" i="9"/>
  <c r="GB105" i="9"/>
  <c r="KQ105" i="9"/>
  <c r="AD105" i="9"/>
  <c r="P105" i="9"/>
  <c r="U105" i="9" s="1"/>
  <c r="BT105" i="9"/>
  <c r="GI105" i="9"/>
  <c r="HY105" i="9"/>
  <c r="FU105" i="9"/>
  <c r="EE105" i="9"/>
  <c r="EZ105" i="9"/>
  <c r="IT105" i="9"/>
  <c r="BM105" i="9"/>
  <c r="DJ105" i="9"/>
  <c r="FN105" i="9"/>
  <c r="JV105" i="9"/>
  <c r="HR105" i="9"/>
  <c r="IF105" i="9"/>
  <c r="IK105" i="9" s="1"/>
  <c r="DQ105" i="9"/>
  <c r="BF105" i="9"/>
  <c r="CV105" i="9"/>
  <c r="GW105" i="9"/>
  <c r="JA105" i="9"/>
  <c r="JO105" i="9"/>
  <c r="JH105" i="9"/>
  <c r="IM105" i="9"/>
  <c r="B105" i="9"/>
  <c r="G105" i="9" s="1"/>
  <c r="W105" i="9"/>
  <c r="HD105" i="9"/>
  <c r="AK105" i="9"/>
  <c r="HK105" i="9"/>
  <c r="HO105" i="9" s="1"/>
  <c r="KJ105" i="9"/>
  <c r="ES105" i="9"/>
  <c r="CH105" i="9"/>
  <c r="I105" i="9"/>
  <c r="CA105" i="9"/>
  <c r="FG105" i="9"/>
  <c r="JH61" i="9"/>
  <c r="KJ61" i="9"/>
  <c r="AK61" i="9"/>
  <c r="KC61" i="9"/>
  <c r="P61" i="9"/>
  <c r="EZ61" i="9"/>
  <c r="BF61" i="9"/>
  <c r="FG61" i="9"/>
  <c r="FI61" i="9" s="1"/>
  <c r="GP61" i="9"/>
  <c r="CO61" i="9"/>
  <c r="AR61" i="9"/>
  <c r="EE61" i="9"/>
  <c r="FN61" i="9"/>
  <c r="HK61" i="9"/>
  <c r="AY61" i="9"/>
  <c r="DJ61" i="9"/>
  <c r="DQ61" i="9"/>
  <c r="CV61" i="9"/>
  <c r="EL61" i="9"/>
  <c r="GB61" i="9"/>
  <c r="JV61" i="9"/>
  <c r="CH61" i="9"/>
  <c r="ES61" i="9"/>
  <c r="HD61" i="9"/>
  <c r="JA61" i="9"/>
  <c r="IM61" i="9"/>
  <c r="GI61" i="9"/>
  <c r="AD61" i="9"/>
  <c r="KQ61" i="9"/>
  <c r="FU61" i="9"/>
  <c r="B61" i="9"/>
  <c r="GW61" i="9"/>
  <c r="CA61" i="9"/>
  <c r="BM61" i="9"/>
  <c r="BT61" i="9"/>
  <c r="W61" i="9"/>
  <c r="IT61" i="9"/>
  <c r="DX61" i="9"/>
  <c r="IF61" i="9"/>
  <c r="DC61" i="9"/>
  <c r="HR61" i="9"/>
  <c r="JO61" i="9"/>
  <c r="HY61" i="9"/>
  <c r="I61" i="9"/>
  <c r="BF17" i="9"/>
  <c r="HD17" i="9"/>
  <c r="EZ17" i="9"/>
  <c r="FN17" i="9"/>
  <c r="IT17" i="9"/>
  <c r="AK17" i="9"/>
  <c r="CH17" i="9"/>
  <c r="EE17" i="9"/>
  <c r="P17" i="9"/>
  <c r="AD17" i="9"/>
  <c r="FG17" i="9"/>
  <c r="BT17" i="9"/>
  <c r="ES17" i="9"/>
  <c r="JA17" i="9"/>
  <c r="KQ17" i="9"/>
  <c r="HK17" i="9"/>
  <c r="HR17" i="9"/>
  <c r="JO17" i="9"/>
  <c r="CA17" i="9"/>
  <c r="JH17" i="9"/>
  <c r="HY17" i="9"/>
  <c r="BM17" i="9"/>
  <c r="GW17" i="9"/>
  <c r="CO17" i="9"/>
  <c r="CS17" i="9" s="1"/>
  <c r="GI17" i="9"/>
  <c r="DC17" i="9"/>
  <c r="IF17" i="9"/>
  <c r="JV17" i="9"/>
  <c r="JZ17" i="9" s="1"/>
  <c r="FU17" i="9"/>
  <c r="I17" i="9"/>
  <c r="KJ17" i="9"/>
  <c r="DQ17" i="9"/>
  <c r="DX17" i="9"/>
  <c r="EB17" i="9" s="1"/>
  <c r="AY17" i="9"/>
  <c r="IM17" i="9"/>
  <c r="CV17" i="9"/>
  <c r="DJ17" i="9"/>
  <c r="W17" i="9"/>
  <c r="KC17" i="9"/>
  <c r="GP17" i="9"/>
  <c r="AR17" i="9"/>
  <c r="B17" i="9"/>
  <c r="GB17" i="9"/>
  <c r="EL17" i="9"/>
  <c r="W9" i="9"/>
  <c r="JO9" i="9"/>
  <c r="DJ9" i="9"/>
  <c r="IF9" i="9"/>
  <c r="EZ9" i="9"/>
  <c r="HK9" i="9"/>
  <c r="AK9" i="9"/>
  <c r="FN9" i="9"/>
  <c r="I9" i="9"/>
  <c r="BT9" i="9"/>
  <c r="GP9" i="9"/>
  <c r="HD9" i="9"/>
  <c r="CA9" i="9"/>
  <c r="CC9" i="9" s="1"/>
  <c r="JA9" i="9"/>
  <c r="JF9" i="9" s="1"/>
  <c r="IT9" i="9"/>
  <c r="AD9" i="9"/>
  <c r="ES9" i="9"/>
  <c r="KJ9" i="9"/>
  <c r="BF9" i="9"/>
  <c r="HR9" i="9"/>
  <c r="HT9" i="9" s="1"/>
  <c r="FU9" i="9"/>
  <c r="KQ9" i="9"/>
  <c r="CV9" i="9"/>
  <c r="BM9" i="9"/>
  <c r="CO9" i="9"/>
  <c r="HY9" i="9"/>
  <c r="AY9" i="9"/>
  <c r="GI9" i="9"/>
  <c r="GB9" i="9"/>
  <c r="B9" i="9"/>
  <c r="EE9" i="9"/>
  <c r="P9" i="9"/>
  <c r="DX9" i="9"/>
  <c r="DC9" i="9"/>
  <c r="DQ9" i="9"/>
  <c r="FG9" i="9"/>
  <c r="IM9" i="9"/>
  <c r="IO9" i="9" s="1"/>
  <c r="EL9" i="9"/>
  <c r="CH9" i="9"/>
  <c r="GW9" i="9"/>
  <c r="JV9" i="9"/>
  <c r="JH9" i="9"/>
  <c r="AR9" i="9"/>
  <c r="KC9" i="9"/>
  <c r="CT112" i="9"/>
  <c r="HA112" i="9"/>
  <c r="EZ62" i="9"/>
  <c r="GB62" i="9"/>
  <c r="AY62" i="9"/>
  <c r="DX62" i="9"/>
  <c r="FG62" i="9"/>
  <c r="CH62" i="9"/>
  <c r="HK62" i="9"/>
  <c r="FU62" i="9"/>
  <c r="DC62" i="9"/>
  <c r="I62" i="9"/>
  <c r="KQ62" i="9"/>
  <c r="B62" i="9"/>
  <c r="IF62" i="9"/>
  <c r="DQ62" i="9"/>
  <c r="FN62" i="9"/>
  <c r="GW62" i="9"/>
  <c r="AR62" i="9"/>
  <c r="GP62" i="9"/>
  <c r="CO62" i="9"/>
  <c r="AD62" i="9"/>
  <c r="HD62" i="9"/>
  <c r="CV62" i="9"/>
  <c r="BM62" i="9"/>
  <c r="GI62" i="9"/>
  <c r="BF62" i="9"/>
  <c r="CA62" i="9"/>
  <c r="JV62" i="9"/>
  <c r="EL62" i="9"/>
  <c r="W62" i="9"/>
  <c r="HY62" i="9"/>
  <c r="EE62" i="9"/>
  <c r="JO62" i="9"/>
  <c r="KJ62" i="9"/>
  <c r="IM62" i="9"/>
  <c r="JH62" i="9"/>
  <c r="JA62" i="9"/>
  <c r="AK62" i="9"/>
  <c r="BT62" i="9"/>
  <c r="KC62" i="9"/>
  <c r="ES62" i="9"/>
  <c r="HR62" i="9"/>
  <c r="IT62" i="9"/>
  <c r="P62" i="9"/>
  <c r="DJ62" i="9"/>
  <c r="GB76" i="9"/>
  <c r="CO76" i="9"/>
  <c r="HK76" i="9"/>
  <c r="GP76" i="9"/>
  <c r="IT76" i="9"/>
  <c r="GW76" i="9"/>
  <c r="EE76" i="9"/>
  <c r="KJ76" i="9"/>
  <c r="GI76" i="9"/>
  <c r="ES76" i="9"/>
  <c r="BT76" i="9"/>
  <c r="CV76" i="9"/>
  <c r="HR76" i="9"/>
  <c r="JV76" i="9"/>
  <c r="EZ76" i="9"/>
  <c r="EL76" i="9"/>
  <c r="BM76" i="9"/>
  <c r="HD76" i="9"/>
  <c r="KC76" i="9"/>
  <c r="KE76" i="9" s="1"/>
  <c r="JH76" i="9"/>
  <c r="P76" i="9"/>
  <c r="IM76" i="9"/>
  <c r="W76" i="9"/>
  <c r="AY76" i="9"/>
  <c r="DJ76" i="9"/>
  <c r="DQ76" i="9"/>
  <c r="FU76" i="9"/>
  <c r="FG76" i="9"/>
  <c r="CH76" i="9"/>
  <c r="IF76" i="9"/>
  <c r="JA76" i="9"/>
  <c r="HY76" i="9"/>
  <c r="JO76" i="9"/>
  <c r="JS76" i="9" s="1"/>
  <c r="I76" i="9"/>
  <c r="CA76" i="9"/>
  <c r="AK76" i="9"/>
  <c r="AR76" i="9"/>
  <c r="FN76" i="9"/>
  <c r="DX76" i="9"/>
  <c r="DC76" i="9"/>
  <c r="AD76" i="9"/>
  <c r="B76" i="9"/>
  <c r="F76" i="9" s="1"/>
  <c r="BF76" i="9"/>
  <c r="BK76" i="9" s="1"/>
  <c r="KQ76" i="9"/>
  <c r="BM16" i="9"/>
  <c r="JO16" i="9"/>
  <c r="GP16" i="9"/>
  <c r="IF16" i="9"/>
  <c r="CO16" i="9"/>
  <c r="EE16" i="9"/>
  <c r="HY16" i="9"/>
  <c r="DJ16" i="9"/>
  <c r="FG16" i="9"/>
  <c r="AY16" i="9"/>
  <c r="CH16" i="9"/>
  <c r="JH16" i="9"/>
  <c r="IM16" i="9"/>
  <c r="I16" i="9"/>
  <c r="KC16" i="9"/>
  <c r="AD16" i="9"/>
  <c r="W16" i="9"/>
  <c r="HR16" i="9"/>
  <c r="AK16" i="9"/>
  <c r="AO16" i="9" s="1"/>
  <c r="KJ16" i="9"/>
  <c r="DQ16" i="9"/>
  <c r="BT16" i="9"/>
  <c r="KQ16" i="9"/>
  <c r="DX16" i="9"/>
  <c r="JA16" i="9"/>
  <c r="GB16" i="9"/>
  <c r="EZ16" i="9"/>
  <c r="CA16" i="9"/>
  <c r="FU16" i="9"/>
  <c r="HD16" i="9"/>
  <c r="FN16" i="9"/>
  <c r="GW16" i="9"/>
  <c r="ES16" i="9"/>
  <c r="B16" i="9"/>
  <c r="F16" i="9" s="1"/>
  <c r="GI16" i="9"/>
  <c r="IT16" i="9"/>
  <c r="BF16" i="9"/>
  <c r="JV16" i="9"/>
  <c r="EL16" i="9"/>
  <c r="HK16" i="9"/>
  <c r="AR16" i="9"/>
  <c r="P16" i="9"/>
  <c r="CV16" i="9"/>
  <c r="DC16" i="9"/>
  <c r="JV30" i="9"/>
  <c r="FN30" i="9"/>
  <c r="AK30" i="9"/>
  <c r="CO30" i="9"/>
  <c r="DX30" i="9"/>
  <c r="EL30" i="9"/>
  <c r="CH30" i="9"/>
  <c r="CJ30" i="9" s="1"/>
  <c r="BT30" i="9"/>
  <c r="IT30" i="9"/>
  <c r="KQ30" i="9"/>
  <c r="P30" i="9"/>
  <c r="CV30" i="9"/>
  <c r="HK30" i="9"/>
  <c r="AY30" i="9"/>
  <c r="JA30" i="9"/>
  <c r="JH30" i="9"/>
  <c r="KJ30" i="9"/>
  <c r="AD30" i="9"/>
  <c r="FG30" i="9"/>
  <c r="W30" i="9"/>
  <c r="DJ30" i="9"/>
  <c r="IM30" i="9"/>
  <c r="GI30" i="9"/>
  <c r="CA30" i="9"/>
  <c r="HY30" i="9"/>
  <c r="B30" i="9"/>
  <c r="F30" i="9" s="1"/>
  <c r="BM30" i="9"/>
  <c r="GW30" i="9"/>
  <c r="HR30" i="9"/>
  <c r="AR30" i="9"/>
  <c r="I30" i="9"/>
  <c r="FU30" i="9"/>
  <c r="BF30" i="9"/>
  <c r="JO30" i="9"/>
  <c r="ES30" i="9"/>
  <c r="DC30" i="9"/>
  <c r="IF30" i="9"/>
  <c r="GB30" i="9"/>
  <c r="EZ30" i="9"/>
  <c r="DQ30" i="9"/>
  <c r="KC30" i="9"/>
  <c r="EE30" i="9"/>
  <c r="GP30" i="9"/>
  <c r="HD30" i="9"/>
  <c r="CO96" i="9"/>
  <c r="JO96" i="9"/>
  <c r="P96" i="9"/>
  <c r="DC96" i="9"/>
  <c r="FN96" i="9"/>
  <c r="JH96" i="9"/>
  <c r="IT96" i="9"/>
  <c r="AR96" i="9"/>
  <c r="BT96" i="9"/>
  <c r="DQ96" i="9"/>
  <c r="GW96" i="9"/>
  <c r="CH96" i="9"/>
  <c r="AK96" i="9"/>
  <c r="KJ96" i="9"/>
  <c r="HD96" i="9"/>
  <c r="B96" i="9"/>
  <c r="AD96" i="9"/>
  <c r="GP96" i="9"/>
  <c r="JA96" i="9"/>
  <c r="FU96" i="9"/>
  <c r="EZ96" i="9"/>
  <c r="IM96" i="9"/>
  <c r="JV96" i="9"/>
  <c r="BM96" i="9"/>
  <c r="BF96" i="9"/>
  <c r="FG96" i="9"/>
  <c r="AY96" i="9"/>
  <c r="CV96" i="9"/>
  <c r="HY96" i="9"/>
  <c r="IF96" i="9"/>
  <c r="KQ96" i="9"/>
  <c r="KC96" i="9"/>
  <c r="HR96" i="9"/>
  <c r="EE96" i="9"/>
  <c r="W96" i="9"/>
  <c r="ES96" i="9"/>
  <c r="GI96" i="9"/>
  <c r="I96" i="9"/>
  <c r="K96" i="9" s="1"/>
  <c r="L96" i="9" s="1"/>
  <c r="EL96" i="9"/>
  <c r="HK96" i="9"/>
  <c r="GB96" i="9"/>
  <c r="DX96" i="9"/>
  <c r="CA96" i="9"/>
  <c r="DJ96" i="9"/>
  <c r="P89" i="9"/>
  <c r="HD89" i="9"/>
  <c r="B89" i="9"/>
  <c r="G89" i="9" s="1"/>
  <c r="HK89" i="9"/>
  <c r="FN89" i="9"/>
  <c r="EZ89" i="9"/>
  <c r="IM89" i="9"/>
  <c r="BF89" i="9"/>
  <c r="DX89" i="9"/>
  <c r="W89" i="9"/>
  <c r="GB89" i="9"/>
  <c r="CA89" i="9"/>
  <c r="IT89" i="9"/>
  <c r="ES89" i="9"/>
  <c r="I89" i="9"/>
  <c r="FU89" i="9"/>
  <c r="AK89" i="9"/>
  <c r="DC89" i="9"/>
  <c r="JH89" i="9"/>
  <c r="GI89" i="9"/>
  <c r="GW89" i="9"/>
  <c r="IF89" i="9"/>
  <c r="KQ89" i="9"/>
  <c r="GP89" i="9"/>
  <c r="KC89" i="9"/>
  <c r="EE89" i="9"/>
  <c r="BM89" i="9"/>
  <c r="JO89" i="9"/>
  <c r="HR89" i="9"/>
  <c r="BT89" i="9"/>
  <c r="JV89" i="9"/>
  <c r="FG89" i="9"/>
  <c r="CV89" i="9"/>
  <c r="CH89" i="9"/>
  <c r="CJ89" i="9" s="1"/>
  <c r="EL89" i="9"/>
  <c r="DQ89" i="9"/>
  <c r="HY89" i="9"/>
  <c r="AD89" i="9"/>
  <c r="DJ89" i="9"/>
  <c r="AY89" i="9"/>
  <c r="KJ89" i="9"/>
  <c r="AR89" i="9"/>
  <c r="JA89" i="9"/>
  <c r="CO89" i="9"/>
  <c r="DU112" i="9"/>
  <c r="HD5" i="9"/>
  <c r="W5" i="9"/>
  <c r="JA5" i="9"/>
  <c r="GB5" i="9"/>
  <c r="CH5" i="9"/>
  <c r="BM5" i="9"/>
  <c r="DJ5" i="9"/>
  <c r="I5" i="9"/>
  <c r="FU5" i="9"/>
  <c r="GP5" i="9"/>
  <c r="JV5" i="9"/>
  <c r="B5" i="9"/>
  <c r="KQ5" i="9"/>
  <c r="ES5" i="9"/>
  <c r="IF5" i="9"/>
  <c r="CO5" i="9"/>
  <c r="JH5" i="9"/>
  <c r="EZ5" i="9"/>
  <c r="AR5" i="9"/>
  <c r="KJ5" i="9"/>
  <c r="BF5" i="9"/>
  <c r="BJ5" i="9" s="1"/>
  <c r="DQ5" i="9"/>
  <c r="IM5" i="9"/>
  <c r="JO5" i="9"/>
  <c r="DC5" i="9"/>
  <c r="HY5" i="9"/>
  <c r="IT5" i="9"/>
  <c r="DX5" i="9"/>
  <c r="HK5" i="9"/>
  <c r="KC5" i="9"/>
  <c r="AK5" i="9"/>
  <c r="EE5" i="9"/>
  <c r="AY5" i="9"/>
  <c r="GI5" i="9"/>
  <c r="AD5" i="9"/>
  <c r="P5" i="9"/>
  <c r="FN5" i="9"/>
  <c r="CA5" i="9"/>
  <c r="BT5" i="9"/>
  <c r="HR5" i="9"/>
  <c r="CV5" i="9"/>
  <c r="GW5" i="9"/>
  <c r="FG5" i="9"/>
  <c r="EL5" i="9"/>
  <c r="GW28" i="9"/>
  <c r="I28" i="9"/>
  <c r="AR28" i="9"/>
  <c r="HR28" i="9"/>
  <c r="CV28" i="9"/>
  <c r="DA28" i="9" s="1"/>
  <c r="HK28" i="9"/>
  <c r="IF28" i="9"/>
  <c r="AK28" i="9"/>
  <c r="HY28" i="9"/>
  <c r="HD28" i="9"/>
  <c r="BM28" i="9"/>
  <c r="BT28" i="9"/>
  <c r="JA28" i="9"/>
  <c r="JV28" i="9"/>
  <c r="KC28" i="9"/>
  <c r="GP28" i="9"/>
  <c r="FG28" i="9"/>
  <c r="EE28" i="9"/>
  <c r="AY28" i="9"/>
  <c r="CA28" i="9"/>
  <c r="JH28" i="9"/>
  <c r="ES28" i="9"/>
  <c r="P28" i="9"/>
  <c r="EZ28" i="9"/>
  <c r="KQ28" i="9"/>
  <c r="CH28" i="9"/>
  <c r="GB28" i="9"/>
  <c r="FU28" i="9"/>
  <c r="JO28" i="9"/>
  <c r="DC28" i="9"/>
  <c r="DX28" i="9"/>
  <c r="BF28" i="9"/>
  <c r="AD28" i="9"/>
  <c r="DQ28" i="9"/>
  <c r="IT28" i="9"/>
  <c r="DJ28" i="9"/>
  <c r="GI28" i="9"/>
  <c r="EL28" i="9"/>
  <c r="W28" i="9"/>
  <c r="FN28" i="9"/>
  <c r="IM28" i="9"/>
  <c r="B28" i="9"/>
  <c r="KJ28" i="9"/>
  <c r="CO28" i="9"/>
  <c r="KJ21" i="9"/>
  <c r="IF21" i="9"/>
  <c r="BT21" i="9"/>
  <c r="W21" i="9"/>
  <c r="IM21" i="9"/>
  <c r="CA21" i="9"/>
  <c r="JV21" i="9"/>
  <c r="ES21" i="9"/>
  <c r="CO21" i="9"/>
  <c r="BM21" i="9"/>
  <c r="JO21" i="9"/>
  <c r="GW21" i="9"/>
  <c r="FU21" i="9"/>
  <c r="AR21" i="9"/>
  <c r="CH21" i="9"/>
  <c r="AK21" i="9"/>
  <c r="KC21" i="9"/>
  <c r="AD21" i="9"/>
  <c r="GP21" i="9"/>
  <c r="BF21" i="9"/>
  <c r="IT21" i="9"/>
  <c r="FN21" i="9"/>
  <c r="EL21" i="9"/>
  <c r="KQ21" i="9"/>
  <c r="CV21" i="9"/>
  <c r="B21" i="9"/>
  <c r="G21" i="9" s="1"/>
  <c r="DX21" i="9"/>
  <c r="HK21" i="9"/>
  <c r="JH21" i="9"/>
  <c r="HD21" i="9"/>
  <c r="EZ21" i="9"/>
  <c r="P21" i="9"/>
  <c r="AY21" i="9"/>
  <c r="HR21" i="9"/>
  <c r="GB21" i="9"/>
  <c r="EE21" i="9"/>
  <c r="GI21" i="9"/>
  <c r="DC21" i="9"/>
  <c r="DJ21" i="9"/>
  <c r="DQ21" i="9"/>
  <c r="FG21" i="9"/>
  <c r="I21" i="9"/>
  <c r="JA21" i="9"/>
  <c r="HY21" i="9"/>
  <c r="DC26" i="9"/>
  <c r="HY26" i="9"/>
  <c r="EL26" i="9"/>
  <c r="KQ26" i="9"/>
  <c r="AY26" i="9"/>
  <c r="EZ26" i="9"/>
  <c r="HK26" i="9"/>
  <c r="FN26" i="9"/>
  <c r="BM26" i="9"/>
  <c r="KC26" i="9"/>
  <c r="IF26" i="9"/>
  <c r="CO26" i="9"/>
  <c r="B26" i="9"/>
  <c r="G26" i="9" s="1"/>
  <c r="HR26" i="9"/>
  <c r="AD26" i="9"/>
  <c r="P26" i="9"/>
  <c r="EE26" i="9"/>
  <c r="GB26" i="9"/>
  <c r="JV26" i="9"/>
  <c r="AK26" i="9"/>
  <c r="AR26" i="9"/>
  <c r="FG26" i="9"/>
  <c r="ES26" i="9"/>
  <c r="CV26" i="9"/>
  <c r="FU26" i="9"/>
  <c r="DQ26" i="9"/>
  <c r="JO26" i="9"/>
  <c r="DX26" i="9"/>
  <c r="CH26" i="9"/>
  <c r="W26" i="9"/>
  <c r="GW26" i="9"/>
  <c r="JH26" i="9"/>
  <c r="KJ26" i="9"/>
  <c r="HD26" i="9"/>
  <c r="GI26" i="9"/>
  <c r="IT26" i="9"/>
  <c r="BF26" i="9"/>
  <c r="GP26" i="9"/>
  <c r="IM26" i="9"/>
  <c r="BT26" i="9"/>
  <c r="JA26" i="9"/>
  <c r="I26" i="9"/>
  <c r="DJ26" i="9"/>
  <c r="CA26" i="9"/>
  <c r="ES77" i="9"/>
  <c r="AK77" i="9"/>
  <c r="JV77" i="9"/>
  <c r="IT77" i="9"/>
  <c r="HR77" i="9"/>
  <c r="FG77" i="9"/>
  <c r="W77" i="9"/>
  <c r="FN77" i="9"/>
  <c r="JO77" i="9"/>
  <c r="JH77" i="9"/>
  <c r="GB77" i="9"/>
  <c r="DC77" i="9"/>
  <c r="KJ77" i="9"/>
  <c r="KN77" i="9" s="1"/>
  <c r="JA77" i="9"/>
  <c r="I77" i="9"/>
  <c r="EE77" i="9"/>
  <c r="CO77" i="9"/>
  <c r="BF77" i="9"/>
  <c r="IF77" i="9"/>
  <c r="CV77" i="9"/>
  <c r="GI77" i="9"/>
  <c r="CA77" i="9"/>
  <c r="DX77" i="9"/>
  <c r="P77" i="9"/>
  <c r="GP77" i="9"/>
  <c r="DQ77" i="9"/>
  <c r="KC77" i="9"/>
  <c r="HY77" i="9"/>
  <c r="AD77" i="9"/>
  <c r="AY77" i="9"/>
  <c r="FU77" i="9"/>
  <c r="DJ77" i="9"/>
  <c r="BM77" i="9"/>
  <c r="GW77" i="9"/>
  <c r="CH77" i="9"/>
  <c r="HK77" i="9"/>
  <c r="EL77" i="9"/>
  <c r="AR77" i="9"/>
  <c r="KQ77" i="9"/>
  <c r="BT77" i="9"/>
  <c r="IM77" i="9"/>
  <c r="HD77" i="9"/>
  <c r="EZ77" i="9"/>
  <c r="B77" i="9"/>
  <c r="D77" i="9" s="1"/>
  <c r="HR75" i="9"/>
  <c r="ES75" i="9"/>
  <c r="FN75" i="9"/>
  <c r="HD75" i="9"/>
  <c r="AK75" i="9"/>
  <c r="JA75" i="9"/>
  <c r="P75" i="9"/>
  <c r="GW75" i="9"/>
  <c r="B75" i="9"/>
  <c r="GB75" i="9"/>
  <c r="DQ75" i="9"/>
  <c r="EL75" i="9"/>
  <c r="AY75" i="9"/>
  <c r="DC75" i="9"/>
  <c r="DX75" i="9"/>
  <c r="BM75" i="9"/>
  <c r="I75" i="9"/>
  <c r="FG75" i="9"/>
  <c r="BT75" i="9"/>
  <c r="DJ75" i="9"/>
  <c r="CH75" i="9"/>
  <c r="BF75" i="9"/>
  <c r="W75" i="9"/>
  <c r="AR75" i="9"/>
  <c r="GP75" i="9"/>
  <c r="FU75" i="9"/>
  <c r="KQ75" i="9"/>
  <c r="CO75" i="9"/>
  <c r="CA75" i="9"/>
  <c r="JH75" i="9"/>
  <c r="AD75" i="9"/>
  <c r="GI75" i="9"/>
  <c r="EZ75" i="9"/>
  <c r="IT75" i="9"/>
  <c r="JO75" i="9"/>
  <c r="IF75" i="9"/>
  <c r="EE75" i="9"/>
  <c r="CV75" i="9"/>
  <c r="HK75" i="9"/>
  <c r="KC75" i="9"/>
  <c r="IM75" i="9"/>
  <c r="JV75" i="9"/>
  <c r="KJ75" i="9"/>
  <c r="HY75" i="9"/>
  <c r="HD104" i="9"/>
  <c r="HY104" i="9"/>
  <c r="FG104" i="9"/>
  <c r="CO104" i="9"/>
  <c r="GW104" i="9"/>
  <c r="DC104" i="9"/>
  <c r="JH104" i="9"/>
  <c r="JM104" i="9" s="1"/>
  <c r="CV104" i="9"/>
  <c r="AY104" i="9"/>
  <c r="AD104" i="9"/>
  <c r="DX104" i="9"/>
  <c r="DQ104" i="9"/>
  <c r="ES104" i="9"/>
  <c r="B104" i="9"/>
  <c r="KC104" i="9"/>
  <c r="FU104" i="9"/>
  <c r="JA104" i="9"/>
  <c r="JV104" i="9"/>
  <c r="AR104" i="9"/>
  <c r="DJ104" i="9"/>
  <c r="DL104" i="9" s="1"/>
  <c r="W104" i="9"/>
  <c r="CA104" i="9"/>
  <c r="GB104" i="9"/>
  <c r="IF104" i="9"/>
  <c r="IT104" i="9"/>
  <c r="GP104" i="9"/>
  <c r="HK104" i="9"/>
  <c r="JO104" i="9"/>
  <c r="JT104" i="9" s="1"/>
  <c r="GI104" i="9"/>
  <c r="AK104" i="9"/>
  <c r="EE104" i="9"/>
  <c r="I104" i="9"/>
  <c r="IM104" i="9"/>
  <c r="EL104" i="9"/>
  <c r="BM104" i="9"/>
  <c r="KJ104" i="9"/>
  <c r="FN104" i="9"/>
  <c r="EZ104" i="9"/>
  <c r="BT104" i="9"/>
  <c r="HR104" i="9"/>
  <c r="KQ104" i="9"/>
  <c r="CH104" i="9"/>
  <c r="BF104" i="9"/>
  <c r="P104" i="9"/>
  <c r="HK107" i="9"/>
  <c r="GW107" i="9"/>
  <c r="CA107" i="9"/>
  <c r="IM107" i="9"/>
  <c r="AD107" i="9"/>
  <c r="GP107" i="9"/>
  <c r="DQ107" i="9"/>
  <c r="BF107" i="9"/>
  <c r="CO107" i="9"/>
  <c r="W107" i="9"/>
  <c r="DX107" i="9"/>
  <c r="IF107" i="9"/>
  <c r="HY107" i="9"/>
  <c r="CV107" i="9"/>
  <c r="ES107" i="9"/>
  <c r="BM107" i="9"/>
  <c r="CH107" i="9"/>
  <c r="HR107" i="9"/>
  <c r="I107" i="9"/>
  <c r="JA107" i="9"/>
  <c r="FU107" i="9"/>
  <c r="FN107" i="9"/>
  <c r="GI107" i="9"/>
  <c r="BT107" i="9"/>
  <c r="HD107" i="9"/>
  <c r="AK107" i="9"/>
  <c r="B107" i="9"/>
  <c r="JV107" i="9"/>
  <c r="KC107" i="9"/>
  <c r="IT107" i="9"/>
  <c r="EL107" i="9"/>
  <c r="EZ107" i="9"/>
  <c r="EE107" i="9"/>
  <c r="FG107" i="9"/>
  <c r="P107" i="9"/>
  <c r="DJ107" i="9"/>
  <c r="KQ107" i="9"/>
  <c r="AR107" i="9"/>
  <c r="AY107" i="9"/>
  <c r="JO107" i="9"/>
  <c r="KJ107" i="9"/>
  <c r="GB107" i="9"/>
  <c r="JH107" i="9"/>
  <c r="DC107" i="9"/>
  <c r="GB95" i="9"/>
  <c r="BT95" i="9"/>
  <c r="GP95" i="9"/>
  <c r="ES95" i="9"/>
  <c r="DQ95" i="9"/>
  <c r="KC95" i="9"/>
  <c r="DC95" i="9"/>
  <c r="DX95" i="9"/>
  <c r="KQ95" i="9"/>
  <c r="AR95" i="9"/>
  <c r="EE95" i="9"/>
  <c r="HY95" i="9"/>
  <c r="FU95" i="9"/>
  <c r="AK95" i="9"/>
  <c r="IF95" i="9"/>
  <c r="BF95" i="9"/>
  <c r="JH95" i="9"/>
  <c r="CH95" i="9"/>
  <c r="W95" i="9"/>
  <c r="AD95" i="9"/>
  <c r="HR95" i="9"/>
  <c r="CA95" i="9"/>
  <c r="BM95" i="9"/>
  <c r="AY95" i="9"/>
  <c r="EZ95" i="9"/>
  <c r="CO95" i="9"/>
  <c r="FG95" i="9"/>
  <c r="GW95" i="9"/>
  <c r="IT95" i="9"/>
  <c r="JO95" i="9"/>
  <c r="GI95" i="9"/>
  <c r="JV95" i="9"/>
  <c r="B95" i="9"/>
  <c r="F95" i="9" s="1"/>
  <c r="IM95" i="9"/>
  <c r="JA95" i="9"/>
  <c r="CV95" i="9"/>
  <c r="P95" i="9"/>
  <c r="EL95" i="9"/>
  <c r="HD95" i="9"/>
  <c r="DJ95" i="9"/>
  <c r="KJ95" i="9"/>
  <c r="I95" i="9"/>
  <c r="HK95" i="9"/>
  <c r="FN95" i="9"/>
  <c r="CO94" i="9"/>
  <c r="FU94" i="9"/>
  <c r="GP94" i="9"/>
  <c r="GI94" i="9"/>
  <c r="AY94" i="9"/>
  <c r="B94" i="9"/>
  <c r="DQ94" i="9"/>
  <c r="BF94" i="9"/>
  <c r="KC94" i="9"/>
  <c r="EZ94" i="9"/>
  <c r="FN94" i="9"/>
  <c r="GB94" i="9"/>
  <c r="JO94" i="9"/>
  <c r="KJ94" i="9"/>
  <c r="EL94" i="9"/>
  <c r="JA94" i="9"/>
  <c r="I94" i="9"/>
  <c r="DC94" i="9"/>
  <c r="CA94" i="9"/>
  <c r="JV94" i="9"/>
  <c r="EE94" i="9"/>
  <c r="KQ94" i="9"/>
  <c r="IM94" i="9"/>
  <c r="P94" i="9"/>
  <c r="AD94" i="9"/>
  <c r="CH94" i="9"/>
  <c r="DJ94" i="9"/>
  <c r="W94" i="9"/>
  <c r="FG94" i="9"/>
  <c r="AK94" i="9"/>
  <c r="IT94" i="9"/>
  <c r="BT94" i="9"/>
  <c r="CV94" i="9"/>
  <c r="GW94" i="9"/>
  <c r="BM94" i="9"/>
  <c r="IF94" i="9"/>
  <c r="HD94" i="9"/>
  <c r="JH94" i="9"/>
  <c r="DX94" i="9"/>
  <c r="HK94" i="9"/>
  <c r="AR94" i="9"/>
  <c r="HY94" i="9"/>
  <c r="ES94" i="9"/>
  <c r="HR94" i="9"/>
  <c r="KC100" i="9"/>
  <c r="AD100" i="9"/>
  <c r="GB100" i="9"/>
  <c r="DC100" i="9"/>
  <c r="DX100" i="9"/>
  <c r="GW100" i="9"/>
  <c r="I100" i="9"/>
  <c r="HR100" i="9"/>
  <c r="HD100" i="9"/>
  <c r="JH100" i="9"/>
  <c r="CA100" i="9"/>
  <c r="AR100" i="9"/>
  <c r="KJ100" i="9"/>
  <c r="KQ100" i="9"/>
  <c r="B100" i="9"/>
  <c r="G100" i="9" s="1"/>
  <c r="IF100" i="9"/>
  <c r="HK100" i="9"/>
  <c r="BT100" i="9"/>
  <c r="JV100" i="9"/>
  <c r="JA100" i="9"/>
  <c r="HY100" i="9"/>
  <c r="GI100" i="9"/>
  <c r="IT100" i="9"/>
  <c r="JO100" i="9"/>
  <c r="DQ100" i="9"/>
  <c r="AY100" i="9"/>
  <c r="ES100" i="9"/>
  <c r="FN100" i="9"/>
  <c r="CO100" i="9"/>
  <c r="BM100" i="9"/>
  <c r="CH100" i="9"/>
  <c r="DJ100" i="9"/>
  <c r="AK100" i="9"/>
  <c r="W100" i="9"/>
  <c r="GP100" i="9"/>
  <c r="P100" i="9"/>
  <c r="FU100" i="9"/>
  <c r="IM100" i="9"/>
  <c r="FG100" i="9"/>
  <c r="EE100" i="9"/>
  <c r="BF100" i="9"/>
  <c r="EZ100" i="9"/>
  <c r="CV100" i="9"/>
  <c r="EL100" i="9"/>
  <c r="JO6" i="9"/>
  <c r="EL6" i="9"/>
  <c r="JV6" i="9"/>
  <c r="AD6" i="9"/>
  <c r="FG6" i="9"/>
  <c r="IF6" i="9"/>
  <c r="AR6" i="9"/>
  <c r="CA6" i="9"/>
  <c r="GW6" i="9"/>
  <c r="DX6" i="9"/>
  <c r="HD6" i="9"/>
  <c r="DC6" i="9"/>
  <c r="JA6" i="9"/>
  <c r="CO6" i="9"/>
  <c r="IM6" i="9"/>
  <c r="CH6" i="9"/>
  <c r="HY6" i="9"/>
  <c r="W6" i="9"/>
  <c r="GP6" i="9"/>
  <c r="IT6" i="9"/>
  <c r="CV6" i="9"/>
  <c r="HK6" i="9"/>
  <c r="B6" i="9"/>
  <c r="BT6" i="9"/>
  <c r="EE6" i="9"/>
  <c r="BF6" i="9"/>
  <c r="AK6" i="9"/>
  <c r="FN6" i="9"/>
  <c r="DQ6" i="9"/>
  <c r="P6" i="9"/>
  <c r="HR6" i="9"/>
  <c r="GB6" i="9"/>
  <c r="BM6" i="9"/>
  <c r="I6" i="9"/>
  <c r="KC6" i="9"/>
  <c r="KE6" i="9" s="1"/>
  <c r="EZ6" i="9"/>
  <c r="KQ6" i="9"/>
  <c r="GI6" i="9"/>
  <c r="KJ6" i="9"/>
  <c r="AY6" i="9"/>
  <c r="FU6" i="9"/>
  <c r="DJ6" i="9"/>
  <c r="ES6" i="9"/>
  <c r="JH6" i="9"/>
  <c r="GP20" i="9"/>
  <c r="HR20" i="9"/>
  <c r="CV20" i="9"/>
  <c r="HK20" i="9"/>
  <c r="KC20" i="9"/>
  <c r="EZ20" i="9"/>
  <c r="I20" i="9"/>
  <c r="JA20" i="9"/>
  <c r="FU20" i="9"/>
  <c r="BT20" i="9"/>
  <c r="P20" i="9"/>
  <c r="JH20" i="9"/>
  <c r="W20" i="9"/>
  <c r="FN20" i="9"/>
  <c r="AK20" i="9"/>
  <c r="B20" i="9"/>
  <c r="G20" i="9" s="1"/>
  <c r="GB20" i="9"/>
  <c r="IF20" i="9"/>
  <c r="EE20" i="9"/>
  <c r="BF20" i="9"/>
  <c r="CO20" i="9"/>
  <c r="GI20" i="9"/>
  <c r="JO20" i="9"/>
  <c r="ES20" i="9"/>
  <c r="HD20" i="9"/>
  <c r="DQ20" i="9"/>
  <c r="AD20" i="9"/>
  <c r="DC20" i="9"/>
  <c r="DJ20" i="9"/>
  <c r="AY20" i="9"/>
  <c r="HY20" i="9"/>
  <c r="CH20" i="9"/>
  <c r="IT20" i="9"/>
  <c r="JV20" i="9"/>
  <c r="AR20" i="9"/>
  <c r="FG20" i="9"/>
  <c r="DX20" i="9"/>
  <c r="EL20" i="9"/>
  <c r="IM20" i="9"/>
  <c r="CA20" i="9"/>
  <c r="KJ20" i="9"/>
  <c r="BM20" i="9"/>
  <c r="KQ20" i="9"/>
  <c r="GW20" i="9"/>
  <c r="KQ59" i="9"/>
  <c r="KJ59" i="9"/>
  <c r="BF59" i="9"/>
  <c r="EL59" i="9"/>
  <c r="GI59" i="9"/>
  <c r="AK59" i="9"/>
  <c r="FU59" i="9"/>
  <c r="FG59" i="9"/>
  <c r="DJ59" i="9"/>
  <c r="JV59" i="9"/>
  <c r="DC59" i="9"/>
  <c r="HR59" i="9"/>
  <c r="JA59" i="9"/>
  <c r="AY59" i="9"/>
  <c r="JH59" i="9"/>
  <c r="CV59" i="9"/>
  <c r="BT59" i="9"/>
  <c r="JO59" i="9"/>
  <c r="IT59" i="9"/>
  <c r="GP59" i="9"/>
  <c r="HK59" i="9"/>
  <c r="W59" i="9"/>
  <c r="EZ59" i="9"/>
  <c r="FD59" i="9" s="1"/>
  <c r="HD59" i="9"/>
  <c r="ES59" i="9"/>
  <c r="DX59" i="9"/>
  <c r="CA59" i="9"/>
  <c r="HY59" i="9"/>
  <c r="IF59" i="9"/>
  <c r="AR59" i="9"/>
  <c r="CO59" i="9"/>
  <c r="B59" i="9"/>
  <c r="G59" i="9" s="1"/>
  <c r="GB59" i="9"/>
  <c r="I59" i="9"/>
  <c r="BM59" i="9"/>
  <c r="AD59" i="9"/>
  <c r="CH59" i="9"/>
  <c r="KC59" i="9"/>
  <c r="DQ59" i="9"/>
  <c r="EE59" i="9"/>
  <c r="FN59" i="9"/>
  <c r="P59" i="9"/>
  <c r="IM59" i="9"/>
  <c r="GW59" i="9"/>
  <c r="IT46" i="9"/>
  <c r="HY46" i="9"/>
  <c r="DQ46" i="9"/>
  <c r="AD46" i="9"/>
  <c r="CO46" i="9"/>
  <c r="HK46" i="9"/>
  <c r="JH46" i="9"/>
  <c r="ES46" i="9"/>
  <c r="AY46" i="9"/>
  <c r="B46" i="9"/>
  <c r="D46" i="9" s="1"/>
  <c r="HD46" i="9"/>
  <c r="CV46" i="9"/>
  <c r="CH46" i="9"/>
  <c r="FU46" i="9"/>
  <c r="FG46" i="9"/>
  <c r="GW46" i="9"/>
  <c r="EL46" i="9"/>
  <c r="KQ46" i="9"/>
  <c r="HR46" i="9"/>
  <c r="BF46" i="9"/>
  <c r="BK46" i="9" s="1"/>
  <c r="BM46" i="9"/>
  <c r="DX46" i="9"/>
  <c r="BT46" i="9"/>
  <c r="GP46" i="9"/>
  <c r="IF46" i="9"/>
  <c r="I46" i="9"/>
  <c r="CA46" i="9"/>
  <c r="JA46" i="9"/>
  <c r="GI46" i="9"/>
  <c r="AR46" i="9"/>
  <c r="DC46" i="9"/>
  <c r="JO46" i="9"/>
  <c r="FN46" i="9"/>
  <c r="GB46" i="9"/>
  <c r="EZ46" i="9"/>
  <c r="AK46" i="9"/>
  <c r="W46" i="9"/>
  <c r="KJ46" i="9"/>
  <c r="EE46" i="9"/>
  <c r="IM46" i="9"/>
  <c r="KC46" i="9"/>
  <c r="JV46" i="9"/>
  <c r="P46" i="9"/>
  <c r="DJ46" i="9"/>
  <c r="DJ10" i="9"/>
  <c r="IT10" i="9"/>
  <c r="AR10" i="9"/>
  <c r="W10" i="9"/>
  <c r="CH10" i="9"/>
  <c r="AY10" i="9"/>
  <c r="FG10" i="9"/>
  <c r="BM10" i="9"/>
  <c r="KJ10" i="9"/>
  <c r="GI10" i="9"/>
  <c r="DC10" i="9"/>
  <c r="GW10" i="9"/>
  <c r="ES10" i="9"/>
  <c r="JH10" i="9"/>
  <c r="FN10" i="9"/>
  <c r="IF10" i="9"/>
  <c r="KC10" i="9"/>
  <c r="CV10" i="9"/>
  <c r="HK10" i="9"/>
  <c r="I10" i="9"/>
  <c r="KQ10" i="9"/>
  <c r="EZ10" i="9"/>
  <c r="CO10" i="9"/>
  <c r="P10" i="9"/>
  <c r="JA10" i="9"/>
  <c r="GB10" i="9"/>
  <c r="HR10" i="9"/>
  <c r="DX10" i="9"/>
  <c r="CA10" i="9"/>
  <c r="DQ10" i="9"/>
  <c r="GP10" i="9"/>
  <c r="BF10" i="9"/>
  <c r="IM10" i="9"/>
  <c r="EE10" i="9"/>
  <c r="HY10" i="9"/>
  <c r="AD10" i="9"/>
  <c r="EL10" i="9"/>
  <c r="HD10" i="9"/>
  <c r="B10" i="9"/>
  <c r="F10" i="9" s="1"/>
  <c r="FU10" i="9"/>
  <c r="JO10" i="9"/>
  <c r="AK10" i="9"/>
  <c r="JV10" i="9"/>
  <c r="BT10" i="9"/>
  <c r="HD19" i="9"/>
  <c r="IF19" i="9"/>
  <c r="CO19" i="9"/>
  <c r="KQ19" i="9"/>
  <c r="BM19" i="9"/>
  <c r="FU19" i="9"/>
  <c r="HR19" i="9"/>
  <c r="GI19" i="9"/>
  <c r="IT19" i="9"/>
  <c r="CH19" i="9"/>
  <c r="HK19" i="9"/>
  <c r="EL19" i="9"/>
  <c r="EP19" i="9" s="1"/>
  <c r="CV19" i="9"/>
  <c r="JV19" i="9"/>
  <c r="KC19" i="9"/>
  <c r="HY19" i="9"/>
  <c r="JH19" i="9"/>
  <c r="ES19" i="9"/>
  <c r="JO19" i="9"/>
  <c r="W19" i="9"/>
  <c r="GB19" i="9"/>
  <c r="EZ19" i="9"/>
  <c r="CA19" i="9"/>
  <c r="B19" i="9"/>
  <c r="G19" i="9" s="1"/>
  <c r="FN19" i="9"/>
  <c r="BF19" i="9"/>
  <c r="KJ19" i="9"/>
  <c r="DQ19" i="9"/>
  <c r="DJ19" i="9"/>
  <c r="FG19" i="9"/>
  <c r="AD19" i="9"/>
  <c r="DC19" i="9"/>
  <c r="AY19" i="9"/>
  <c r="IM19" i="9"/>
  <c r="JA19" i="9"/>
  <c r="GP19" i="9"/>
  <c r="AR19" i="9"/>
  <c r="GW19" i="9"/>
  <c r="DX19" i="9"/>
  <c r="EE19" i="9"/>
  <c r="P19" i="9"/>
  <c r="I19" i="9"/>
  <c r="BT19" i="9"/>
  <c r="AK19" i="9"/>
  <c r="AK71" i="9"/>
  <c r="CO71" i="9"/>
  <c r="IF71" i="9"/>
  <c r="GI71" i="9"/>
  <c r="DX71" i="9"/>
  <c r="GW71" i="9"/>
  <c r="KQ71" i="9"/>
  <c r="JV71" i="9"/>
  <c r="CV71" i="9"/>
  <c r="AR71" i="9"/>
  <c r="JH71" i="9"/>
  <c r="EZ71" i="9"/>
  <c r="W71" i="9"/>
  <c r="CH71" i="9"/>
  <c r="B71" i="9"/>
  <c r="JA71" i="9"/>
  <c r="FG71" i="9"/>
  <c r="IM71" i="9"/>
  <c r="I71" i="9"/>
  <c r="IT71" i="9"/>
  <c r="BF71" i="9"/>
  <c r="AD71" i="9"/>
  <c r="GP71" i="9"/>
  <c r="EE71" i="9"/>
  <c r="KC71" i="9"/>
  <c r="EL71" i="9"/>
  <c r="GB71" i="9"/>
  <c r="P71" i="9"/>
  <c r="JO71" i="9"/>
  <c r="HD71" i="9"/>
  <c r="KJ71" i="9"/>
  <c r="BM71" i="9"/>
  <c r="BT71" i="9"/>
  <c r="DC71" i="9"/>
  <c r="FN71" i="9"/>
  <c r="DJ71" i="9"/>
  <c r="CA71" i="9"/>
  <c r="HY71" i="9"/>
  <c r="FU71" i="9"/>
  <c r="DQ71" i="9"/>
  <c r="HK71" i="9"/>
  <c r="AY71" i="9"/>
  <c r="ES71" i="9"/>
  <c r="HR71" i="9"/>
  <c r="DQ78" i="9"/>
  <c r="CA78" i="9"/>
  <c r="DX78" i="9"/>
  <c r="KJ78" i="9"/>
  <c r="JA78" i="9"/>
  <c r="IM78" i="9"/>
  <c r="HK78" i="9"/>
  <c r="CH78" i="9"/>
  <c r="FN78" i="9"/>
  <c r="EZ78" i="9"/>
  <c r="CO78" i="9"/>
  <c r="FG78" i="9"/>
  <c r="HY78" i="9"/>
  <c r="KQ78" i="9"/>
  <c r="ES78" i="9"/>
  <c r="BF78" i="9"/>
  <c r="DJ78" i="9"/>
  <c r="EE78" i="9"/>
  <c r="JV78" i="9"/>
  <c r="CV78" i="9"/>
  <c r="GW78" i="9"/>
  <c r="JH78" i="9"/>
  <c r="FU78" i="9"/>
  <c r="AR78" i="9"/>
  <c r="W78" i="9"/>
  <c r="KC78" i="9"/>
  <c r="HD78" i="9"/>
  <c r="GI78" i="9"/>
  <c r="DC78" i="9"/>
  <c r="GP78" i="9"/>
  <c r="IT78" i="9"/>
  <c r="IF78" i="9"/>
  <c r="AK78" i="9"/>
  <c r="I78" i="9"/>
  <c r="EL78" i="9"/>
  <c r="BM78" i="9"/>
  <c r="BT78" i="9"/>
  <c r="JO78" i="9"/>
  <c r="GB78" i="9"/>
  <c r="B78" i="9"/>
  <c r="AY78" i="9"/>
  <c r="P78" i="9"/>
  <c r="HR78" i="9"/>
  <c r="AD78" i="9"/>
  <c r="DQ79" i="9"/>
  <c r="IT79" i="9"/>
  <c r="BT79" i="9"/>
  <c r="KQ79" i="9"/>
  <c r="JO79" i="9"/>
  <c r="P79" i="9"/>
  <c r="IM79" i="9"/>
  <c r="FG79" i="9"/>
  <c r="AR79" i="9"/>
  <c r="DX79" i="9"/>
  <c r="AY79" i="9"/>
  <c r="W79" i="9"/>
  <c r="ES79" i="9"/>
  <c r="HD79" i="9"/>
  <c r="B79" i="9"/>
  <c r="HY79" i="9"/>
  <c r="JA79" i="9"/>
  <c r="GP79" i="9"/>
  <c r="CV79" i="9"/>
  <c r="IF79" i="9"/>
  <c r="DC79" i="9"/>
  <c r="I79" i="9"/>
  <c r="DJ79" i="9"/>
  <c r="DO79" i="9" s="1"/>
  <c r="BF79" i="9"/>
  <c r="JV79" i="9"/>
  <c r="KC79" i="9"/>
  <c r="AK79" i="9"/>
  <c r="HR79" i="9"/>
  <c r="HW79" i="9" s="1"/>
  <c r="GB79" i="9"/>
  <c r="GW79" i="9"/>
  <c r="JH79" i="9"/>
  <c r="FN79" i="9"/>
  <c r="AD79" i="9"/>
  <c r="BM79" i="9"/>
  <c r="CA79" i="9"/>
  <c r="EZ79" i="9"/>
  <c r="KJ79" i="9"/>
  <c r="KL79" i="9" s="1"/>
  <c r="HK79" i="9"/>
  <c r="HO79" i="9" s="1"/>
  <c r="EE79" i="9"/>
  <c r="FU79" i="9"/>
  <c r="CO79" i="9"/>
  <c r="EL79" i="9"/>
  <c r="CH79" i="9"/>
  <c r="GI79" i="9"/>
  <c r="ES110" i="9"/>
  <c r="BT110" i="9"/>
  <c r="BY110" i="9" s="1"/>
  <c r="JO110" i="9"/>
  <c r="JV110" i="9"/>
  <c r="GB110" i="9"/>
  <c r="JA110" i="9"/>
  <c r="EL110" i="9"/>
  <c r="HR110" i="9"/>
  <c r="IT110" i="9"/>
  <c r="GW110" i="9"/>
  <c r="AR110" i="9"/>
  <c r="IF110" i="9"/>
  <c r="W110" i="9"/>
  <c r="CA110" i="9"/>
  <c r="HK110" i="9"/>
  <c r="IM110" i="9"/>
  <c r="IQ110" i="9" s="1"/>
  <c r="BF110" i="9"/>
  <c r="EE110" i="9"/>
  <c r="KJ110" i="9"/>
  <c r="KQ110" i="9"/>
  <c r="AY110" i="9"/>
  <c r="CO110" i="9"/>
  <c r="CV110" i="9"/>
  <c r="CH110" i="9"/>
  <c r="P110" i="9"/>
  <c r="DJ110" i="9"/>
  <c r="BM110" i="9"/>
  <c r="DC110" i="9"/>
  <c r="HY110" i="9"/>
  <c r="AD110" i="9"/>
  <c r="FN110" i="9"/>
  <c r="GP110" i="9"/>
  <c r="EZ110" i="9"/>
  <c r="AK110" i="9"/>
  <c r="FU110" i="9"/>
  <c r="FG110" i="9"/>
  <c r="DX110" i="9"/>
  <c r="GI110" i="9"/>
  <c r="HD110" i="9"/>
  <c r="DQ110" i="9"/>
  <c r="JH110" i="9"/>
  <c r="B110" i="9"/>
  <c r="D110" i="9" s="1"/>
  <c r="KC110" i="9"/>
  <c r="I110" i="9"/>
  <c r="BF44" i="9"/>
  <c r="AY44" i="9"/>
  <c r="EE44" i="9"/>
  <c r="KQ44" i="9"/>
  <c r="HR44" i="9"/>
  <c r="IF44" i="9"/>
  <c r="GW44" i="9"/>
  <c r="FU44" i="9"/>
  <c r="AR44" i="9"/>
  <c r="GP44" i="9"/>
  <c r="B44" i="9"/>
  <c r="F44" i="9" s="1"/>
  <c r="I44" i="9"/>
  <c r="IT44" i="9"/>
  <c r="BT44" i="9"/>
  <c r="FG44" i="9"/>
  <c r="AD44" i="9"/>
  <c r="JV44" i="9"/>
  <c r="BM44" i="9"/>
  <c r="HK44" i="9"/>
  <c r="GB44" i="9"/>
  <c r="EZ44" i="9"/>
  <c r="EL44" i="9"/>
  <c r="KC44" i="9"/>
  <c r="IM44" i="9"/>
  <c r="CH44" i="9"/>
  <c r="JO44" i="9"/>
  <c r="KJ44" i="9"/>
  <c r="DQ44" i="9"/>
  <c r="P44" i="9"/>
  <c r="AK44" i="9"/>
  <c r="CV44" i="9"/>
  <c r="ES44" i="9"/>
  <c r="JA44" i="9"/>
  <c r="JH44" i="9"/>
  <c r="FN44" i="9"/>
  <c r="DJ44" i="9"/>
  <c r="CO44" i="9"/>
  <c r="GI44" i="9"/>
  <c r="W44" i="9"/>
  <c r="HY44" i="9"/>
  <c r="CA44" i="9"/>
  <c r="DX44" i="9"/>
  <c r="HD44" i="9"/>
  <c r="DC44" i="9"/>
  <c r="DN112" i="9"/>
  <c r="EZ86" i="9"/>
  <c r="BF86" i="9"/>
  <c r="GI86" i="9"/>
  <c r="JH86" i="9"/>
  <c r="I86" i="9"/>
  <c r="JO86" i="9"/>
  <c r="JA86" i="9"/>
  <c r="B86" i="9"/>
  <c r="G86" i="9" s="1"/>
  <c r="KJ86" i="9"/>
  <c r="IT86" i="9"/>
  <c r="P86" i="9"/>
  <c r="AR86" i="9"/>
  <c r="CH86" i="9"/>
  <c r="EE86" i="9"/>
  <c r="CO86" i="9"/>
  <c r="GP86" i="9"/>
  <c r="ES86" i="9"/>
  <c r="DJ86" i="9"/>
  <c r="AD86" i="9"/>
  <c r="DC86" i="9"/>
  <c r="W86" i="9"/>
  <c r="HD86" i="9"/>
  <c r="HR86" i="9"/>
  <c r="KQ86" i="9"/>
  <c r="IF86" i="9"/>
  <c r="DX86" i="9"/>
  <c r="EL86" i="9"/>
  <c r="CA86" i="9"/>
  <c r="HK86" i="9"/>
  <c r="HY86" i="9"/>
  <c r="AK86" i="9"/>
  <c r="FU86" i="9"/>
  <c r="AY86" i="9"/>
  <c r="BM86" i="9"/>
  <c r="DQ86" i="9"/>
  <c r="BT86" i="9"/>
  <c r="FN86" i="9"/>
  <c r="CV86" i="9"/>
  <c r="IM86" i="9"/>
  <c r="FG86" i="9"/>
  <c r="GB86" i="9"/>
  <c r="JV86" i="9"/>
  <c r="KC86" i="9"/>
  <c r="GW86" i="9"/>
  <c r="EZ57" i="9"/>
  <c r="GP57" i="9"/>
  <c r="KQ57" i="9"/>
  <c r="GI57" i="9"/>
  <c r="CA57" i="9"/>
  <c r="KC57" i="9"/>
  <c r="P57" i="9"/>
  <c r="IT57" i="9"/>
  <c r="AR57" i="9"/>
  <c r="FG57" i="9"/>
  <c r="AD57" i="9"/>
  <c r="AK57" i="9"/>
  <c r="AP57" i="9" s="1"/>
  <c r="DJ57" i="9"/>
  <c r="HR57" i="9"/>
  <c r="BT57" i="9"/>
  <c r="AY57" i="9"/>
  <c r="BF57" i="9"/>
  <c r="CO57" i="9"/>
  <c r="JH57" i="9"/>
  <c r="JA57" i="9"/>
  <c r="B57" i="9"/>
  <c r="G57" i="9" s="1"/>
  <c r="DQ57" i="9"/>
  <c r="KJ57" i="9"/>
  <c r="GB57" i="9"/>
  <c r="EL57" i="9"/>
  <c r="BM57" i="9"/>
  <c r="FN57" i="9"/>
  <c r="ES57" i="9"/>
  <c r="EE57" i="9"/>
  <c r="EG57" i="9" s="1"/>
  <c r="GW57" i="9"/>
  <c r="HY57" i="9"/>
  <c r="W57" i="9"/>
  <c r="JO57" i="9"/>
  <c r="CV57" i="9"/>
  <c r="IM57" i="9"/>
  <c r="FU57" i="9"/>
  <c r="JV57" i="9"/>
  <c r="HD57" i="9"/>
  <c r="HF57" i="9" s="1"/>
  <c r="HG57" i="9" s="1"/>
  <c r="CH57" i="9"/>
  <c r="IF57" i="9"/>
  <c r="DC57" i="9"/>
  <c r="DX57" i="9"/>
  <c r="EC57" i="9" s="1"/>
  <c r="I57" i="9"/>
  <c r="HK57" i="9"/>
  <c r="BC112" i="9"/>
  <c r="AK15" i="9"/>
  <c r="P15" i="9"/>
  <c r="W15" i="9"/>
  <c r="IF15" i="9"/>
  <c r="GB15" i="9"/>
  <c r="BM15" i="9"/>
  <c r="KQ15" i="9"/>
  <c r="DQ15" i="9"/>
  <c r="KC15" i="9"/>
  <c r="HK15" i="9"/>
  <c r="EL15" i="9"/>
  <c r="DC15" i="9"/>
  <c r="GP15" i="9"/>
  <c r="CV15" i="9"/>
  <c r="IM15" i="9"/>
  <c r="AD15" i="9"/>
  <c r="DX15" i="9"/>
  <c r="GW15" i="9"/>
  <c r="HD15" i="9"/>
  <c r="HY15" i="9"/>
  <c r="CO15" i="9"/>
  <c r="FG15" i="9"/>
  <c r="CH15" i="9"/>
  <c r="AY15" i="9"/>
  <c r="FU15" i="9"/>
  <c r="ES15" i="9"/>
  <c r="HR15" i="9"/>
  <c r="JO15" i="9"/>
  <c r="BF15" i="9"/>
  <c r="B15" i="9"/>
  <c r="AR15" i="9"/>
  <c r="AV15" i="9" s="1"/>
  <c r="BT15" i="9"/>
  <c r="FN15" i="9"/>
  <c r="CA15" i="9"/>
  <c r="EZ15" i="9"/>
  <c r="GI15" i="9"/>
  <c r="GN15" i="9" s="1"/>
  <c r="I15" i="9"/>
  <c r="JH15" i="9"/>
  <c r="EE15" i="9"/>
  <c r="IT15" i="9"/>
  <c r="DJ15" i="9"/>
  <c r="JV15" i="9"/>
  <c r="JA15" i="9"/>
  <c r="KJ15" i="9"/>
  <c r="DJ54" i="9"/>
  <c r="HD54" i="9"/>
  <c r="HK54" i="9"/>
  <c r="AR54" i="9"/>
  <c r="FU54" i="9"/>
  <c r="FG54" i="9"/>
  <c r="EL54" i="9"/>
  <c r="BM54" i="9"/>
  <c r="IM54" i="9"/>
  <c r="EZ54" i="9"/>
  <c r="GB54" i="9"/>
  <c r="AD54" i="9"/>
  <c r="W54" i="9"/>
  <c r="AB54" i="9" s="1"/>
  <c r="IT54" i="9"/>
  <c r="GW54" i="9"/>
  <c r="JA54" i="9"/>
  <c r="JV54" i="9"/>
  <c r="P54" i="9"/>
  <c r="B54" i="9"/>
  <c r="D54" i="9" s="1"/>
  <c r="CV54" i="9"/>
  <c r="AK54" i="9"/>
  <c r="DX54" i="9"/>
  <c r="IF54" i="9"/>
  <c r="JH54" i="9"/>
  <c r="EE54" i="9"/>
  <c r="HY54" i="9"/>
  <c r="CA54" i="9"/>
  <c r="CO54" i="9"/>
  <c r="KQ54" i="9"/>
  <c r="BT54" i="9"/>
  <c r="BF54" i="9"/>
  <c r="KC54" i="9"/>
  <c r="HR54" i="9"/>
  <c r="KJ54" i="9"/>
  <c r="AY54" i="9"/>
  <c r="JO54" i="9"/>
  <c r="CH54" i="9"/>
  <c r="GP54" i="9"/>
  <c r="DC54" i="9"/>
  <c r="FN54" i="9"/>
  <c r="I54" i="9"/>
  <c r="DQ54" i="9"/>
  <c r="ES54" i="9"/>
  <c r="GI54" i="9"/>
  <c r="KA112" i="9"/>
  <c r="KQ51" i="9"/>
  <c r="AR51" i="9"/>
  <c r="EE51" i="9"/>
  <c r="AK51" i="9"/>
  <c r="KJ51" i="9"/>
  <c r="CO51" i="9"/>
  <c r="GW51" i="9"/>
  <c r="W51" i="9"/>
  <c r="AY51" i="9"/>
  <c r="EZ51" i="9"/>
  <c r="HD51" i="9"/>
  <c r="B51" i="9"/>
  <c r="G51" i="9" s="1"/>
  <c r="DQ51" i="9"/>
  <c r="P51" i="9"/>
  <c r="JH51" i="9"/>
  <c r="CA51" i="9"/>
  <c r="HK51" i="9"/>
  <c r="EL51" i="9"/>
  <c r="ES51" i="9"/>
  <c r="JO51" i="9"/>
  <c r="GP51" i="9"/>
  <c r="DC51" i="9"/>
  <c r="JA51" i="9"/>
  <c r="IM51" i="9"/>
  <c r="GI51" i="9"/>
  <c r="FN51" i="9"/>
  <c r="KC51" i="9"/>
  <c r="IF51" i="9"/>
  <c r="DX51" i="9"/>
  <c r="IT51" i="9"/>
  <c r="HY51" i="9"/>
  <c r="FU51" i="9"/>
  <c r="GB51" i="9"/>
  <c r="DJ51" i="9"/>
  <c r="FG51" i="9"/>
  <c r="BT51" i="9"/>
  <c r="CH51" i="9"/>
  <c r="BF51" i="9"/>
  <c r="I51" i="9"/>
  <c r="AD51" i="9"/>
  <c r="BM51" i="9"/>
  <c r="HR51" i="9"/>
  <c r="JV51" i="9"/>
  <c r="CV51" i="9"/>
  <c r="FU68" i="9"/>
  <c r="HY68" i="9"/>
  <c r="DC68" i="9"/>
  <c r="BF68" i="9"/>
  <c r="EZ68" i="9"/>
  <c r="CA68" i="9"/>
  <c r="KC68" i="9"/>
  <c r="AR68" i="9"/>
  <c r="B68" i="9"/>
  <c r="G68" i="9" s="1"/>
  <c r="GW68" i="9"/>
  <c r="CV68" i="9"/>
  <c r="IF68" i="9"/>
  <c r="HD68" i="9"/>
  <c r="P68" i="9"/>
  <c r="HR68" i="9"/>
  <c r="KJ68" i="9"/>
  <c r="CO68" i="9"/>
  <c r="GI68" i="9"/>
  <c r="EL68" i="9"/>
  <c r="FG68" i="9"/>
  <c r="W68" i="9"/>
  <c r="JO68" i="9"/>
  <c r="IM68" i="9"/>
  <c r="GB68" i="9"/>
  <c r="JH68" i="9"/>
  <c r="AK68" i="9"/>
  <c r="EE68" i="9"/>
  <c r="GP68" i="9"/>
  <c r="JV68" i="9"/>
  <c r="DX68" i="9"/>
  <c r="CH68" i="9"/>
  <c r="BM68" i="9"/>
  <c r="HK68" i="9"/>
  <c r="I68" i="9"/>
  <c r="DQ68" i="9"/>
  <c r="AD68" i="9"/>
  <c r="AY68" i="9"/>
  <c r="BT68" i="9"/>
  <c r="IT68" i="9"/>
  <c r="JA68" i="9"/>
  <c r="ES68" i="9"/>
  <c r="DJ68" i="9"/>
  <c r="FN68" i="9"/>
  <c r="KQ68" i="9"/>
  <c r="DC83" i="9"/>
  <c r="KJ83" i="9"/>
  <c r="CO83" i="9"/>
  <c r="JA83" i="9"/>
  <c r="DQ83" i="9"/>
  <c r="BT83" i="9"/>
  <c r="HK83" i="9"/>
  <c r="AK83" i="9"/>
  <c r="AD83" i="9"/>
  <c r="DX83" i="9"/>
  <c r="FU83" i="9"/>
  <c r="CA83" i="9"/>
  <c r="CV83" i="9"/>
  <c r="KQ83" i="9"/>
  <c r="CH83" i="9"/>
  <c r="EZ83" i="9"/>
  <c r="AY83" i="9"/>
  <c r="FN83" i="9"/>
  <c r="EL83" i="9"/>
  <c r="IM83" i="9"/>
  <c r="B83" i="9"/>
  <c r="G83" i="9" s="1"/>
  <c r="GW83" i="9"/>
  <c r="IT83" i="9"/>
  <c r="JH83" i="9"/>
  <c r="AR83" i="9"/>
  <c r="BM83" i="9"/>
  <c r="ES83" i="9"/>
  <c r="IF83" i="9"/>
  <c r="GP83" i="9"/>
  <c r="DJ83" i="9"/>
  <c r="P83" i="9"/>
  <c r="KC83" i="9"/>
  <c r="FG83" i="9"/>
  <c r="I83" i="9"/>
  <c r="GB83" i="9"/>
  <c r="JV83" i="9"/>
  <c r="BF83" i="9"/>
  <c r="EE83" i="9"/>
  <c r="HY83" i="9"/>
  <c r="HR83" i="9"/>
  <c r="HD83" i="9"/>
  <c r="JO83" i="9"/>
  <c r="GI83" i="9"/>
  <c r="W83" i="9"/>
  <c r="FN37" i="9"/>
  <c r="DQ37" i="9"/>
  <c r="DV37" i="9" s="1"/>
  <c r="BT37" i="9"/>
  <c r="HD37" i="9"/>
  <c r="CA37" i="9"/>
  <c r="FG37" i="9"/>
  <c r="KQ37" i="9"/>
  <c r="AK37" i="9"/>
  <c r="CH37" i="9"/>
  <c r="I37" i="9"/>
  <c r="W37" i="9"/>
  <c r="DX37" i="9"/>
  <c r="JV37" i="9"/>
  <c r="KJ37" i="9"/>
  <c r="KN37" i="9" s="1"/>
  <c r="AD37" i="9"/>
  <c r="GI37" i="9"/>
  <c r="IM37" i="9"/>
  <c r="AR37" i="9"/>
  <c r="CO37" i="9"/>
  <c r="GB37" i="9"/>
  <c r="IT37" i="9"/>
  <c r="EL37" i="9"/>
  <c r="CV37" i="9"/>
  <c r="P37" i="9"/>
  <c r="BM37" i="9"/>
  <c r="EZ37" i="9"/>
  <c r="AY37" i="9"/>
  <c r="DC37" i="9"/>
  <c r="HK37" i="9"/>
  <c r="JO37" i="9"/>
  <c r="JH37" i="9"/>
  <c r="B37" i="9"/>
  <c r="HY37" i="9"/>
  <c r="IA37" i="9" s="1"/>
  <c r="IB37" i="9" s="1"/>
  <c r="EE37" i="9"/>
  <c r="HR37" i="9"/>
  <c r="ES37" i="9"/>
  <c r="JA37" i="9"/>
  <c r="BF37" i="9"/>
  <c r="FU37" i="9"/>
  <c r="GP37" i="9"/>
  <c r="IF37" i="9"/>
  <c r="GW37" i="9"/>
  <c r="KC37" i="9"/>
  <c r="DJ37" i="9"/>
  <c r="EL40" i="9"/>
  <c r="JH40" i="9"/>
  <c r="CO40" i="9"/>
  <c r="P40" i="9"/>
  <c r="CH40" i="9"/>
  <c r="EE40" i="9"/>
  <c r="DQ40" i="9"/>
  <c r="JO40" i="9"/>
  <c r="AK40" i="9"/>
  <c r="KQ40" i="9"/>
  <c r="DX40" i="9"/>
  <c r="BT40" i="9"/>
  <c r="AR40" i="9"/>
  <c r="JV40" i="9"/>
  <c r="EZ40" i="9"/>
  <c r="HD40" i="9"/>
  <c r="JA40" i="9"/>
  <c r="HR40" i="9"/>
  <c r="HK40" i="9"/>
  <c r="GI40" i="9"/>
  <c r="GW40" i="9"/>
  <c r="FN40" i="9"/>
  <c r="DC40" i="9"/>
  <c r="CA40" i="9"/>
  <c r="KJ40" i="9"/>
  <c r="CV40" i="9"/>
  <c r="AD40" i="9"/>
  <c r="GP40" i="9"/>
  <c r="B40" i="9"/>
  <c r="G40" i="9" s="1"/>
  <c r="FU40" i="9"/>
  <c r="ES40" i="9"/>
  <c r="AY40" i="9"/>
  <c r="GB40" i="9"/>
  <c r="FG40" i="9"/>
  <c r="IF40" i="9"/>
  <c r="IT40" i="9"/>
  <c r="W40" i="9"/>
  <c r="HY40" i="9"/>
  <c r="DJ40" i="9"/>
  <c r="BF40" i="9"/>
  <c r="BM40" i="9"/>
  <c r="KC40" i="9"/>
  <c r="IM40" i="9"/>
  <c r="I40" i="9"/>
  <c r="B97" i="9"/>
  <c r="F97" i="9" s="1"/>
  <c r="IF97" i="9"/>
  <c r="BF97" i="9"/>
  <c r="KJ97" i="9"/>
  <c r="GI97" i="9"/>
  <c r="KC97" i="9"/>
  <c r="GP97" i="9"/>
  <c r="HR97" i="9"/>
  <c r="BT97" i="9"/>
  <c r="AD97" i="9"/>
  <c r="JO97" i="9"/>
  <c r="EL97" i="9"/>
  <c r="BM97" i="9"/>
  <c r="DX97" i="9"/>
  <c r="AY97" i="9"/>
  <c r="FU97" i="9"/>
  <c r="DQ97" i="9"/>
  <c r="JA97" i="9"/>
  <c r="CV97" i="9"/>
  <c r="HY97" i="9"/>
  <c r="DJ97" i="9"/>
  <c r="FN97" i="9"/>
  <c r="CA97" i="9"/>
  <c r="GB97" i="9"/>
  <c r="IT97" i="9"/>
  <c r="CH97" i="9"/>
  <c r="KQ97" i="9"/>
  <c r="I97" i="9"/>
  <c r="ES97" i="9"/>
  <c r="JV97" i="9"/>
  <c r="P97" i="9"/>
  <c r="AK97" i="9"/>
  <c r="DC97" i="9"/>
  <c r="W97" i="9"/>
  <c r="JH97" i="9"/>
  <c r="EZ97" i="9"/>
  <c r="GW97" i="9"/>
  <c r="AR97" i="9"/>
  <c r="HD97" i="9"/>
  <c r="HK97" i="9"/>
  <c r="EE97" i="9"/>
  <c r="CO97" i="9"/>
  <c r="FG97" i="9"/>
  <c r="IM97" i="9"/>
  <c r="JA33" i="9"/>
  <c r="HR33" i="9"/>
  <c r="CH33" i="9"/>
  <c r="GW33" i="9"/>
  <c r="I33" i="9"/>
  <c r="JO33" i="9"/>
  <c r="W33" i="9"/>
  <c r="AK33" i="9"/>
  <c r="IT33" i="9"/>
  <c r="BM33" i="9"/>
  <c r="DJ33" i="9"/>
  <c r="HK33" i="9"/>
  <c r="FU33" i="9"/>
  <c r="AD33" i="9"/>
  <c r="EL33" i="9"/>
  <c r="AY33" i="9"/>
  <c r="JV33" i="9"/>
  <c r="KJ33" i="9"/>
  <c r="CO33" i="9"/>
  <c r="EE33" i="9"/>
  <c r="ES33" i="9"/>
  <c r="AR33" i="9"/>
  <c r="HY33" i="9"/>
  <c r="CA33" i="9"/>
  <c r="BT33" i="9"/>
  <c r="IF33" i="9"/>
  <c r="JH33" i="9"/>
  <c r="BF33" i="9"/>
  <c r="DX33" i="9"/>
  <c r="KC33" i="9"/>
  <c r="GI33" i="9"/>
  <c r="CV33" i="9"/>
  <c r="HD33" i="9"/>
  <c r="DQ33" i="9"/>
  <c r="P33" i="9"/>
  <c r="EZ33" i="9"/>
  <c r="FG33" i="9"/>
  <c r="B33" i="9"/>
  <c r="FN33" i="9"/>
  <c r="DC33" i="9"/>
  <c r="KQ33" i="9"/>
  <c r="GB33" i="9"/>
  <c r="IM33" i="9"/>
  <c r="GP33" i="9"/>
  <c r="IM4" i="9"/>
  <c r="W4" i="9"/>
  <c r="AK4" i="9"/>
  <c r="CH4" i="9"/>
  <c r="I4" i="9"/>
  <c r="GP4" i="9"/>
  <c r="HR4" i="9"/>
  <c r="DX4" i="9"/>
  <c r="JO4" i="9"/>
  <c r="DC4" i="9"/>
  <c r="JA4" i="9"/>
  <c r="FG4" i="9"/>
  <c r="KC4" i="9"/>
  <c r="EL4" i="9"/>
  <c r="JH4" i="9"/>
  <c r="CV4" i="9"/>
  <c r="IF4" i="9"/>
  <c r="KQ4" i="9"/>
  <c r="AY4" i="9"/>
  <c r="FU4" i="9"/>
  <c r="EE4" i="9"/>
  <c r="B4" i="9"/>
  <c r="D4" i="9" s="1"/>
  <c r="KJ4" i="9"/>
  <c r="BM4" i="9"/>
  <c r="EZ4" i="9"/>
  <c r="AR4" i="9"/>
  <c r="GB4" i="9"/>
  <c r="FN4" i="9"/>
  <c r="BT4" i="9"/>
  <c r="DJ4" i="9"/>
  <c r="BF4" i="9"/>
  <c r="ES4" i="9"/>
  <c r="AD4" i="9"/>
  <c r="DQ4" i="9"/>
  <c r="CA4" i="9"/>
  <c r="GW4" i="9"/>
  <c r="HD4" i="9"/>
  <c r="GI4" i="9"/>
  <c r="HY4" i="9"/>
  <c r="P4" i="9"/>
  <c r="HK4" i="9"/>
  <c r="JV4" i="9"/>
  <c r="IT4" i="9"/>
  <c r="CO4" i="9"/>
  <c r="HK14" i="9"/>
  <c r="B14" i="9"/>
  <c r="F14" i="9" s="1"/>
  <c r="JO14" i="9"/>
  <c r="JH14" i="9"/>
  <c r="DQ14" i="9"/>
  <c r="FU14" i="9"/>
  <c r="GI14" i="9"/>
  <c r="IT14" i="9"/>
  <c r="W14" i="9"/>
  <c r="KQ14" i="9"/>
  <c r="HR14" i="9"/>
  <c r="GP14" i="9"/>
  <c r="GW14" i="9"/>
  <c r="CA14" i="9"/>
  <c r="GB14" i="9"/>
  <c r="CH14" i="9"/>
  <c r="ES14" i="9"/>
  <c r="AR14" i="9"/>
  <c r="EL14" i="9"/>
  <c r="AK14" i="9"/>
  <c r="HD14" i="9"/>
  <c r="DX14" i="9"/>
  <c r="DC14" i="9"/>
  <c r="IM14" i="9"/>
  <c r="FG14" i="9"/>
  <c r="P14" i="9"/>
  <c r="CV14" i="9"/>
  <c r="BF14" i="9"/>
  <c r="JA14" i="9"/>
  <c r="EE14" i="9"/>
  <c r="IF14" i="9"/>
  <c r="FN14" i="9"/>
  <c r="HY14" i="9"/>
  <c r="I14" i="9"/>
  <c r="AD14" i="9"/>
  <c r="JV14" i="9"/>
  <c r="DJ14" i="9"/>
  <c r="EZ14" i="9"/>
  <c r="KJ14" i="9"/>
  <c r="BM14" i="9"/>
  <c r="CO14" i="9"/>
  <c r="BT14" i="9"/>
  <c r="AY14" i="9"/>
  <c r="KC14" i="9"/>
  <c r="GW85" i="9"/>
  <c r="KJ85" i="9"/>
  <c r="IF85" i="9"/>
  <c r="AK85" i="9"/>
  <c r="CV85" i="9"/>
  <c r="KC85" i="9"/>
  <c r="EL85" i="9"/>
  <c r="P85" i="9"/>
  <c r="FG85" i="9"/>
  <c r="DX85" i="9"/>
  <c r="DC85" i="9"/>
  <c r="GI85" i="9"/>
  <c r="GP85" i="9"/>
  <c r="CH85" i="9"/>
  <c r="HR85" i="9"/>
  <c r="BT85" i="9"/>
  <c r="ES85" i="9"/>
  <c r="AR85" i="9"/>
  <c r="W85" i="9"/>
  <c r="KQ85" i="9"/>
  <c r="JV85" i="9"/>
  <c r="I85" i="9"/>
  <c r="JH85" i="9"/>
  <c r="CA85" i="9"/>
  <c r="JO85" i="9"/>
  <c r="B85" i="9"/>
  <c r="CO85" i="9"/>
  <c r="EZ85" i="9"/>
  <c r="EE85" i="9"/>
  <c r="DQ85" i="9"/>
  <c r="BM85" i="9"/>
  <c r="IM85" i="9"/>
  <c r="AD85" i="9"/>
  <c r="BF85" i="9"/>
  <c r="HK85" i="9"/>
  <c r="GB85" i="9"/>
  <c r="FN85" i="9"/>
  <c r="JA85" i="9"/>
  <c r="AY85" i="9"/>
  <c r="DJ85" i="9"/>
  <c r="FU85" i="9"/>
  <c r="HD85" i="9"/>
  <c r="IT85" i="9"/>
  <c r="HY85" i="9"/>
  <c r="W32" i="9"/>
  <c r="JH32" i="9"/>
  <c r="GI32" i="9"/>
  <c r="EZ32" i="9"/>
  <c r="I32" i="9"/>
  <c r="KJ32" i="9"/>
  <c r="BF32" i="9"/>
  <c r="KC32" i="9"/>
  <c r="KG32" i="9" s="1"/>
  <c r="IF32" i="9"/>
  <c r="HY32" i="9"/>
  <c r="ES32" i="9"/>
  <c r="GW32" i="9"/>
  <c r="JV32" i="9"/>
  <c r="CV32" i="9"/>
  <c r="BM32" i="9"/>
  <c r="FG32" i="9"/>
  <c r="HK32" i="9"/>
  <c r="FN32" i="9"/>
  <c r="JA32" i="9"/>
  <c r="GB32" i="9"/>
  <c r="IM32" i="9"/>
  <c r="AK32" i="9"/>
  <c r="KQ32" i="9"/>
  <c r="FU32" i="9"/>
  <c r="CO32" i="9"/>
  <c r="DC32" i="9"/>
  <c r="GP32" i="9"/>
  <c r="DX32" i="9"/>
  <c r="P32" i="9"/>
  <c r="DQ32" i="9"/>
  <c r="AY32" i="9"/>
  <c r="AD32" i="9"/>
  <c r="EE32" i="9"/>
  <c r="BT32" i="9"/>
  <c r="B32" i="9"/>
  <c r="D32" i="9" s="1"/>
  <c r="EL32" i="9"/>
  <c r="DJ32" i="9"/>
  <c r="JO32" i="9"/>
  <c r="HR32" i="9"/>
  <c r="CA32" i="9"/>
  <c r="IT32" i="9"/>
  <c r="CH32" i="9"/>
  <c r="AR32" i="9"/>
  <c r="HD32" i="9"/>
  <c r="HR38" i="9"/>
  <c r="GP38" i="9"/>
  <c r="HY38" i="9"/>
  <c r="IF38" i="9"/>
  <c r="HK38" i="9"/>
  <c r="IT38" i="9"/>
  <c r="CH38" i="9"/>
  <c r="EE38" i="9"/>
  <c r="HD38" i="9"/>
  <c r="CO38" i="9"/>
  <c r="DJ38" i="9"/>
  <c r="AY38" i="9"/>
  <c r="ES38" i="9"/>
  <c r="BT38" i="9"/>
  <c r="JO38" i="9"/>
  <c r="CV38" i="9"/>
  <c r="DX38" i="9"/>
  <c r="P38" i="9"/>
  <c r="KC38" i="9"/>
  <c r="GW38" i="9"/>
  <c r="EL38" i="9"/>
  <c r="JA38" i="9"/>
  <c r="GB38" i="9"/>
  <c r="FG38" i="9"/>
  <c r="KQ38" i="9"/>
  <c r="JH38" i="9"/>
  <c r="JM38" i="9" s="1"/>
  <c r="BM38" i="9"/>
  <c r="AR38" i="9"/>
  <c r="JV38" i="9"/>
  <c r="I38" i="9"/>
  <c r="B38" i="9"/>
  <c r="F38" i="9" s="1"/>
  <c r="AK38" i="9"/>
  <c r="AP38" i="9" s="1"/>
  <c r="GI38" i="9"/>
  <c r="EZ38" i="9"/>
  <c r="AD38" i="9"/>
  <c r="W38" i="9"/>
  <c r="FU38" i="9"/>
  <c r="CA38" i="9"/>
  <c r="DQ38" i="9"/>
  <c r="IM38" i="9"/>
  <c r="KJ38" i="9"/>
  <c r="DC38" i="9"/>
  <c r="BF38" i="9"/>
  <c r="FN38" i="9"/>
  <c r="P55" i="9"/>
  <c r="IF55" i="9"/>
  <c r="B55" i="9"/>
  <c r="D55" i="9" s="1"/>
  <c r="BT55" i="9"/>
  <c r="KC55" i="9"/>
  <c r="GW55" i="9"/>
  <c r="HR55" i="9"/>
  <c r="EL55" i="9"/>
  <c r="FU55" i="9"/>
  <c r="CH55" i="9"/>
  <c r="HK55" i="9"/>
  <c r="W55" i="9"/>
  <c r="CV55" i="9"/>
  <c r="IT55" i="9"/>
  <c r="AY55" i="9"/>
  <c r="DQ55" i="9"/>
  <c r="AR55" i="9"/>
  <c r="AK55" i="9"/>
  <c r="ES55" i="9"/>
  <c r="IM55" i="9"/>
  <c r="JO55" i="9"/>
  <c r="KQ55" i="9"/>
  <c r="GB55" i="9"/>
  <c r="AD55" i="9"/>
  <c r="HD55" i="9"/>
  <c r="HY55" i="9"/>
  <c r="DJ55" i="9"/>
  <c r="GP55" i="9"/>
  <c r="JH55" i="9"/>
  <c r="DC55" i="9"/>
  <c r="BF55" i="9"/>
  <c r="BM55" i="9"/>
  <c r="I55" i="9"/>
  <c r="FG55" i="9"/>
  <c r="JA55" i="9"/>
  <c r="JV55" i="9"/>
  <c r="CA55" i="9"/>
  <c r="EE55" i="9"/>
  <c r="KJ55" i="9"/>
  <c r="CO55" i="9"/>
  <c r="FN55" i="9"/>
  <c r="EZ55" i="9"/>
  <c r="GI55" i="9"/>
  <c r="DX55" i="9"/>
  <c r="AR25" i="9"/>
  <c r="IM25" i="9"/>
  <c r="EL25" i="9"/>
  <c r="HD25" i="9"/>
  <c r="IT25" i="9"/>
  <c r="JA25" i="9"/>
  <c r="FU25" i="9"/>
  <c r="GB25" i="9"/>
  <c r="DX25" i="9"/>
  <c r="CV25" i="9"/>
  <c r="W25" i="9"/>
  <c r="AD25" i="9"/>
  <c r="HK25" i="9"/>
  <c r="B25" i="9"/>
  <c r="KJ25" i="9"/>
  <c r="FN25" i="9"/>
  <c r="GW25" i="9"/>
  <c r="DQ25" i="9"/>
  <c r="JO25" i="9"/>
  <c r="KC25" i="9"/>
  <c r="I25" i="9"/>
  <c r="DC25" i="9"/>
  <c r="BT25" i="9"/>
  <c r="P25" i="9"/>
  <c r="GP25" i="9"/>
  <c r="GI25" i="9"/>
  <c r="CA25" i="9"/>
  <c r="HY25" i="9"/>
  <c r="EE25" i="9"/>
  <c r="KQ25" i="9"/>
  <c r="BM25" i="9"/>
  <c r="JH25" i="9"/>
  <c r="FG25" i="9"/>
  <c r="CH25" i="9"/>
  <c r="DJ25" i="9"/>
  <c r="AK25" i="9"/>
  <c r="BF25" i="9"/>
  <c r="HR25" i="9"/>
  <c r="IF25" i="9"/>
  <c r="JV25" i="9"/>
  <c r="EZ25" i="9"/>
  <c r="CO25" i="9"/>
  <c r="AY25" i="9"/>
  <c r="ES25" i="9"/>
  <c r="B36" i="9"/>
  <c r="F36" i="9" s="1"/>
  <c r="DQ36" i="9"/>
  <c r="KQ36" i="9"/>
  <c r="GI36" i="9"/>
  <c r="W36" i="9"/>
  <c r="CO36" i="9"/>
  <c r="BT36" i="9"/>
  <c r="ES36" i="9"/>
  <c r="HR36" i="9"/>
  <c r="KC36" i="9"/>
  <c r="IF36" i="9"/>
  <c r="AK36" i="9"/>
  <c r="BF36" i="9"/>
  <c r="AD36" i="9"/>
  <c r="HK36" i="9"/>
  <c r="BM36" i="9"/>
  <c r="DX36" i="9"/>
  <c r="I36" i="9"/>
  <c r="GB36" i="9"/>
  <c r="AR36" i="9"/>
  <c r="FG36" i="9"/>
  <c r="P36" i="9"/>
  <c r="IM36" i="9"/>
  <c r="JV36" i="9"/>
  <c r="IT36" i="9"/>
  <c r="GP36" i="9"/>
  <c r="KJ36" i="9"/>
  <c r="EZ36" i="9"/>
  <c r="FN36" i="9"/>
  <c r="CH36" i="9"/>
  <c r="CV36" i="9"/>
  <c r="JH36" i="9"/>
  <c r="GW36" i="9"/>
  <c r="CA36" i="9"/>
  <c r="JO36" i="9"/>
  <c r="JA36" i="9"/>
  <c r="DC36" i="9"/>
  <c r="EE36" i="9"/>
  <c r="EL36" i="9"/>
  <c r="HD36" i="9"/>
  <c r="AY36" i="9"/>
  <c r="HY36" i="9"/>
  <c r="DJ36" i="9"/>
  <c r="FU36" i="9"/>
  <c r="IT13" i="9"/>
  <c r="CV13" i="9"/>
  <c r="JV13" i="9"/>
  <c r="DC13" i="9"/>
  <c r="JA13" i="9"/>
  <c r="GW13" i="9"/>
  <c r="ES13" i="9"/>
  <c r="EE13" i="9"/>
  <c r="AY13" i="9"/>
  <c r="HD13" i="9"/>
  <c r="JH13" i="9"/>
  <c r="DJ13" i="9"/>
  <c r="FG13" i="9"/>
  <c r="W13" i="9"/>
  <c r="EZ13" i="9"/>
  <c r="HR13" i="9"/>
  <c r="FN13" i="9"/>
  <c r="P13" i="9"/>
  <c r="DX13" i="9"/>
  <c r="AR13" i="9"/>
  <c r="AK13" i="9"/>
  <c r="HY13" i="9"/>
  <c r="I13" i="9"/>
  <c r="B13" i="9"/>
  <c r="D13" i="9" s="1"/>
  <c r="JO13" i="9"/>
  <c r="EL13" i="9"/>
  <c r="DQ13" i="9"/>
  <c r="CA13" i="9"/>
  <c r="FU13" i="9"/>
  <c r="IM13" i="9"/>
  <c r="IF13" i="9"/>
  <c r="HK13" i="9"/>
  <c r="BT13" i="9"/>
  <c r="BM13" i="9"/>
  <c r="BF13" i="9"/>
  <c r="GI13" i="9"/>
  <c r="KQ13" i="9"/>
  <c r="KJ13" i="9"/>
  <c r="KC13" i="9"/>
  <c r="AD13" i="9"/>
  <c r="GB13" i="9"/>
  <c r="CO13" i="9"/>
  <c r="CH13" i="9"/>
  <c r="GP13" i="9"/>
  <c r="JV81" i="9"/>
  <c r="DJ81" i="9"/>
  <c r="BF81" i="9"/>
  <c r="W81" i="9"/>
  <c r="AK81" i="9"/>
  <c r="IT81" i="9"/>
  <c r="CA81" i="9"/>
  <c r="CE81" i="9" s="1"/>
  <c r="BT81" i="9"/>
  <c r="AD81" i="9"/>
  <c r="KQ81" i="9"/>
  <c r="ES81" i="9"/>
  <c r="KC81" i="9"/>
  <c r="P81" i="9"/>
  <c r="FN81" i="9"/>
  <c r="HD81" i="9"/>
  <c r="FU81" i="9"/>
  <c r="EE81" i="9"/>
  <c r="GW81" i="9"/>
  <c r="BM81" i="9"/>
  <c r="IF81" i="9"/>
  <c r="CV81" i="9"/>
  <c r="KJ81" i="9"/>
  <c r="HY81" i="9"/>
  <c r="JO81" i="9"/>
  <c r="GI81" i="9"/>
  <c r="DQ81" i="9"/>
  <c r="AR81" i="9"/>
  <c r="GB81" i="9"/>
  <c r="I81" i="9"/>
  <c r="GP81" i="9"/>
  <c r="CH81" i="9"/>
  <c r="IM81" i="9"/>
  <c r="EZ81" i="9"/>
  <c r="DC81" i="9"/>
  <c r="FG81" i="9"/>
  <c r="HK81" i="9"/>
  <c r="B81" i="9"/>
  <c r="F81" i="9" s="1"/>
  <c r="AY81" i="9"/>
  <c r="DX81" i="9"/>
  <c r="CO81" i="9"/>
  <c r="HR81" i="9"/>
  <c r="EL81" i="9"/>
  <c r="JA81" i="9"/>
  <c r="JF81" i="9" s="1"/>
  <c r="JH81" i="9"/>
  <c r="HY3" i="9"/>
  <c r="BF3" i="9"/>
  <c r="CV3" i="9"/>
  <c r="P3" i="9"/>
  <c r="CH3" i="9"/>
  <c r="GP3" i="9"/>
  <c r="JH3" i="9"/>
  <c r="EZ3" i="9"/>
  <c r="JV3" i="9"/>
  <c r="AR3" i="9"/>
  <c r="KJ3" i="9"/>
  <c r="W3" i="9"/>
  <c r="HR3" i="9"/>
  <c r="GB3" i="9"/>
  <c r="HD3" i="9"/>
  <c r="DQ3" i="9"/>
  <c r="FG3" i="9"/>
  <c r="IT3" i="9"/>
  <c r="CO3" i="9"/>
  <c r="IM3" i="9"/>
  <c r="FN3" i="9"/>
  <c r="KC3" i="9"/>
  <c r="ES3" i="9"/>
  <c r="CA3" i="9"/>
  <c r="KQ3" i="9"/>
  <c r="EL3" i="9"/>
  <c r="JO3" i="9"/>
  <c r="HK3" i="9"/>
  <c r="JA3" i="9"/>
  <c r="IF3" i="9"/>
  <c r="GW3" i="9"/>
  <c r="AY3" i="9"/>
  <c r="GI3" i="9"/>
  <c r="AD3" i="9"/>
  <c r="EE3" i="9"/>
  <c r="DX3" i="9"/>
  <c r="BM3" i="9"/>
  <c r="BT3" i="9"/>
  <c r="FU3" i="9"/>
  <c r="B3" i="9"/>
  <c r="AO17" i="8" s="1"/>
  <c r="AK3" i="9"/>
  <c r="I3" i="9"/>
  <c r="DJ3" i="9"/>
  <c r="DC3" i="9"/>
  <c r="IM42" i="9"/>
  <c r="DJ42" i="9"/>
  <c r="KQ42" i="9"/>
  <c r="HD42" i="9"/>
  <c r="FN42" i="9"/>
  <c r="KJ42" i="9"/>
  <c r="GB42" i="9"/>
  <c r="HR42" i="9"/>
  <c r="DC42" i="9"/>
  <c r="JA42" i="9"/>
  <c r="AK42" i="9"/>
  <c r="BF42" i="9"/>
  <c r="JV42" i="9"/>
  <c r="GI42" i="9"/>
  <c r="EZ42" i="9"/>
  <c r="JO42" i="9"/>
  <c r="CH42" i="9"/>
  <c r="KC42" i="9"/>
  <c r="CO42" i="9"/>
  <c r="EL42" i="9"/>
  <c r="IF42" i="9"/>
  <c r="DQ42" i="9"/>
  <c r="GP42" i="9"/>
  <c r="HK42" i="9"/>
  <c r="JH42" i="9"/>
  <c r="GW42" i="9"/>
  <c r="EE42" i="9"/>
  <c r="ES42" i="9"/>
  <c r="CA42" i="9"/>
  <c r="AR42" i="9"/>
  <c r="B42" i="9"/>
  <c r="BT42" i="9"/>
  <c r="HY42" i="9"/>
  <c r="AY42" i="9"/>
  <c r="FU42" i="9"/>
  <c r="CV42" i="9"/>
  <c r="AD42" i="9"/>
  <c r="FG42" i="9"/>
  <c r="I42" i="9"/>
  <c r="W42" i="9"/>
  <c r="IT42" i="9"/>
  <c r="P42" i="9"/>
  <c r="BM42" i="9"/>
  <c r="DX42" i="9"/>
  <c r="G112" i="9"/>
  <c r="GM112" i="9"/>
  <c r="W88" i="9"/>
  <c r="BM88" i="9"/>
  <c r="FG88" i="9"/>
  <c r="IT88" i="9"/>
  <c r="KC88" i="9"/>
  <c r="JA88" i="9"/>
  <c r="GB88" i="9"/>
  <c r="GP88" i="9"/>
  <c r="AY88" i="9"/>
  <c r="CV88" i="9"/>
  <c r="JH88" i="9"/>
  <c r="HK88" i="9"/>
  <c r="DX88" i="9"/>
  <c r="AR88" i="9"/>
  <c r="FU88" i="9"/>
  <c r="EZ88" i="9"/>
  <c r="DJ88" i="9"/>
  <c r="CH88" i="9"/>
  <c r="IF88" i="9"/>
  <c r="AK88" i="9"/>
  <c r="HD88" i="9"/>
  <c r="JV88" i="9"/>
  <c r="GI88" i="9"/>
  <c r="GW88" i="9"/>
  <c r="HR88" i="9"/>
  <c r="JO88" i="9"/>
  <c r="CO88" i="9"/>
  <c r="DC88" i="9"/>
  <c r="FN88" i="9"/>
  <c r="P88" i="9"/>
  <c r="ES88" i="9"/>
  <c r="DQ88" i="9"/>
  <c r="EE88" i="9"/>
  <c r="KJ88" i="9"/>
  <c r="B88" i="9"/>
  <c r="F88" i="9" s="1"/>
  <c r="IM88" i="9"/>
  <c r="BF88" i="9"/>
  <c r="AD88" i="9"/>
  <c r="BT88" i="9"/>
  <c r="CA88" i="9"/>
  <c r="HY88" i="9"/>
  <c r="EL88" i="9"/>
  <c r="KQ88" i="9"/>
  <c r="I88" i="9"/>
  <c r="EL56" i="9"/>
  <c r="HD56" i="9"/>
  <c r="DJ56" i="9"/>
  <c r="KQ56" i="9"/>
  <c r="FU56" i="9"/>
  <c r="BT56" i="9"/>
  <c r="DC56" i="9"/>
  <c r="HR56" i="9"/>
  <c r="JA56" i="9"/>
  <c r="FG56" i="9"/>
  <c r="FL56" i="9" s="1"/>
  <c r="CO56" i="9"/>
  <c r="CA56" i="9"/>
  <c r="GP56" i="9"/>
  <c r="CV56" i="9"/>
  <c r="FN56" i="9"/>
  <c r="AD56" i="9"/>
  <c r="IM56" i="9"/>
  <c r="DQ56" i="9"/>
  <c r="GW56" i="9"/>
  <c r="KC56" i="9"/>
  <c r="DX56" i="9"/>
  <c r="ES56" i="9"/>
  <c r="BM56" i="9"/>
  <c r="GI56" i="9"/>
  <c r="IF56" i="9"/>
  <c r="JV56" i="9"/>
  <c r="P56" i="9"/>
  <c r="KJ56" i="9"/>
  <c r="AY56" i="9"/>
  <c r="BF56" i="9"/>
  <c r="JH56" i="9"/>
  <c r="HK56" i="9"/>
  <c r="I56" i="9"/>
  <c r="M56" i="9" s="1"/>
  <c r="JO56" i="9"/>
  <c r="EZ56" i="9"/>
  <c r="FD56" i="9" s="1"/>
  <c r="AR56" i="9"/>
  <c r="AW56" i="9" s="1"/>
  <c r="W56" i="9"/>
  <c r="B56" i="9"/>
  <c r="G56" i="9" s="1"/>
  <c r="IT56" i="9"/>
  <c r="EE56" i="9"/>
  <c r="HY56" i="9"/>
  <c r="AK56" i="9"/>
  <c r="GB56" i="9"/>
  <c r="CH56" i="9"/>
  <c r="CM56" i="9" s="1"/>
  <c r="DJ67" i="9"/>
  <c r="FG67" i="9"/>
  <c r="FU67" i="9"/>
  <c r="BT67" i="9"/>
  <c r="AD67" i="9"/>
  <c r="KC67" i="9"/>
  <c r="CV67" i="9"/>
  <c r="AR67" i="9"/>
  <c r="HK67" i="9"/>
  <c r="BM67" i="9"/>
  <c r="DX67" i="9"/>
  <c r="AY67" i="9"/>
  <c r="BF67" i="9"/>
  <c r="HD67" i="9"/>
  <c r="GI67" i="9"/>
  <c r="JA67" i="9"/>
  <c r="DC67" i="9"/>
  <c r="I67" i="9"/>
  <c r="AK67" i="9"/>
  <c r="JV67" i="9"/>
  <c r="IF67" i="9"/>
  <c r="CH67" i="9"/>
  <c r="KJ67" i="9"/>
  <c r="EZ67" i="9"/>
  <c r="GB67" i="9"/>
  <c r="HR67" i="9"/>
  <c r="GP67" i="9"/>
  <c r="ES67" i="9"/>
  <c r="FN67" i="9"/>
  <c r="EL67" i="9"/>
  <c r="EN67" i="9" s="1"/>
  <c r="KQ67" i="9"/>
  <c r="JO67" i="9"/>
  <c r="EE67" i="9"/>
  <c r="CA67" i="9"/>
  <c r="CO67" i="9"/>
  <c r="JH67" i="9"/>
  <c r="W67" i="9"/>
  <c r="IT67" i="9"/>
  <c r="GW67" i="9"/>
  <c r="HB67" i="9" s="1"/>
  <c r="HY67" i="9"/>
  <c r="B67" i="9"/>
  <c r="IM67" i="9"/>
  <c r="P67" i="9"/>
  <c r="DQ67" i="9"/>
  <c r="CV22" i="9"/>
  <c r="DX22" i="9"/>
  <c r="IT22" i="9"/>
  <c r="FG22" i="9"/>
  <c r="AR22" i="9"/>
  <c r="B22" i="9"/>
  <c r="DJ22" i="9"/>
  <c r="W22" i="9"/>
  <c r="BM22" i="9"/>
  <c r="KJ22" i="9"/>
  <c r="HR22" i="9"/>
  <c r="ES22" i="9"/>
  <c r="EL22" i="9"/>
  <c r="EZ22" i="9"/>
  <c r="KC22" i="9"/>
  <c r="HY22" i="9"/>
  <c r="IA22" i="9" s="1"/>
  <c r="BT22" i="9"/>
  <c r="GI22" i="9"/>
  <c r="JA22" i="9"/>
  <c r="FN22" i="9"/>
  <c r="I22" i="9"/>
  <c r="JO22" i="9"/>
  <c r="HD22" i="9"/>
  <c r="IM22" i="9"/>
  <c r="GW22" i="9"/>
  <c r="DQ22" i="9"/>
  <c r="JV22" i="9"/>
  <c r="AD22" i="9"/>
  <c r="EE22" i="9"/>
  <c r="CA22" i="9"/>
  <c r="P22" i="9"/>
  <c r="DC22" i="9"/>
  <c r="BF22" i="9"/>
  <c r="GP22" i="9"/>
  <c r="HK22" i="9"/>
  <c r="GB22" i="9"/>
  <c r="JH22" i="9"/>
  <c r="AY22" i="9"/>
  <c r="KQ22" i="9"/>
  <c r="IF22" i="9"/>
  <c r="CO22" i="9"/>
  <c r="AK22" i="9"/>
  <c r="CH22" i="9"/>
  <c r="FU22" i="9"/>
  <c r="JO102" i="9"/>
  <c r="KC102" i="9"/>
  <c r="KQ102" i="9"/>
  <c r="KU102" i="9" s="1"/>
  <c r="IF102" i="9"/>
  <c r="AR102" i="9"/>
  <c r="AW102" i="9" s="1"/>
  <c r="GI102" i="9"/>
  <c r="JA102" i="9"/>
  <c r="HK102" i="9"/>
  <c r="CA102" i="9"/>
  <c r="IT102" i="9"/>
  <c r="KJ102" i="9"/>
  <c r="EE102" i="9"/>
  <c r="GB102" i="9"/>
  <c r="AK102" i="9"/>
  <c r="I102" i="9"/>
  <c r="HY102" i="9"/>
  <c r="CV102" i="9"/>
  <c r="BM102" i="9"/>
  <c r="BF102" i="9"/>
  <c r="AY102" i="9"/>
  <c r="W102" i="9"/>
  <c r="IM102" i="9"/>
  <c r="FG102" i="9"/>
  <c r="EZ102" i="9"/>
  <c r="FU102" i="9"/>
  <c r="CO102" i="9"/>
  <c r="JV102" i="9"/>
  <c r="P102" i="9"/>
  <c r="DQ102" i="9"/>
  <c r="GW102" i="9"/>
  <c r="DC102" i="9"/>
  <c r="GP102" i="9"/>
  <c r="HD102" i="9"/>
  <c r="AD102" i="9"/>
  <c r="AF102" i="9" s="1"/>
  <c r="JH102" i="9"/>
  <c r="B102" i="9"/>
  <c r="F102" i="9" s="1"/>
  <c r="DX102" i="9"/>
  <c r="HR102" i="9"/>
  <c r="DJ102" i="9"/>
  <c r="ES102" i="9"/>
  <c r="BT102" i="9"/>
  <c r="FN102" i="9"/>
  <c r="EL102" i="9"/>
  <c r="CH102" i="9"/>
  <c r="AH112" i="9"/>
  <c r="CH27" i="9"/>
  <c r="FG27" i="9"/>
  <c r="KC27" i="9"/>
  <c r="EZ27" i="9"/>
  <c r="P27" i="9"/>
  <c r="ES27" i="9"/>
  <c r="DX27" i="9"/>
  <c r="EC27" i="9" s="1"/>
  <c r="W27" i="9"/>
  <c r="GI27" i="9"/>
  <c r="AY27" i="9"/>
  <c r="GB27" i="9"/>
  <c r="JH27" i="9"/>
  <c r="AK27" i="9"/>
  <c r="BT27" i="9"/>
  <c r="IM27" i="9"/>
  <c r="BM27" i="9"/>
  <c r="DJ27" i="9"/>
  <c r="IT27" i="9"/>
  <c r="GW27" i="9"/>
  <c r="B27" i="9"/>
  <c r="F27" i="9" s="1"/>
  <c r="HR27" i="9"/>
  <c r="KQ27" i="9"/>
  <c r="HY27" i="9"/>
  <c r="AR27" i="9"/>
  <c r="JO27" i="9"/>
  <c r="CV27" i="9"/>
  <c r="JV27" i="9"/>
  <c r="HD27" i="9"/>
  <c r="CO27" i="9"/>
  <c r="HK27" i="9"/>
  <c r="GP27" i="9"/>
  <c r="EE27" i="9"/>
  <c r="IF27" i="9"/>
  <c r="BF27" i="9"/>
  <c r="CA27" i="9"/>
  <c r="KJ27" i="9"/>
  <c r="EL27" i="9"/>
  <c r="FU27" i="9"/>
  <c r="FN27" i="9"/>
  <c r="AD27" i="9"/>
  <c r="DQ27" i="9"/>
  <c r="DC27" i="9"/>
  <c r="I27" i="9"/>
  <c r="JA27" i="9"/>
  <c r="AD73" i="9"/>
  <c r="FN73" i="9"/>
  <c r="I73" i="9"/>
  <c r="GI73" i="9"/>
  <c r="GN73" i="9" s="1"/>
  <c r="GP73" i="9"/>
  <c r="EZ73" i="9"/>
  <c r="HK73" i="9"/>
  <c r="BT73" i="9"/>
  <c r="EL73" i="9"/>
  <c r="B73" i="9"/>
  <c r="FU73" i="9"/>
  <c r="EE73" i="9"/>
  <c r="ES73" i="9"/>
  <c r="JH73" i="9"/>
  <c r="CH73" i="9"/>
  <c r="CO73" i="9"/>
  <c r="KC73" i="9"/>
  <c r="DC73" i="9"/>
  <c r="HY73" i="9"/>
  <c r="BM73" i="9"/>
  <c r="W73" i="9"/>
  <c r="KJ73" i="9"/>
  <c r="DQ73" i="9"/>
  <c r="P73" i="9"/>
  <c r="IM73" i="9"/>
  <c r="DJ73" i="9"/>
  <c r="IT73" i="9"/>
  <c r="GW73" i="9"/>
  <c r="JV73" i="9"/>
  <c r="IF73" i="9"/>
  <c r="GB73" i="9"/>
  <c r="CV73" i="9"/>
  <c r="KQ73" i="9"/>
  <c r="DX73" i="9"/>
  <c r="AY73" i="9"/>
  <c r="FG73" i="9"/>
  <c r="AR73" i="9"/>
  <c r="CA73" i="9"/>
  <c r="BF73" i="9"/>
  <c r="AK73" i="9"/>
  <c r="HD73" i="9"/>
  <c r="JA73" i="9"/>
  <c r="JO73" i="9"/>
  <c r="HR73" i="9"/>
  <c r="I7" i="9"/>
  <c r="FN7" i="9"/>
  <c r="HD7" i="9"/>
  <c r="AD7" i="9"/>
  <c r="JO7" i="9"/>
  <c r="ES7" i="9"/>
  <c r="HR7" i="9"/>
  <c r="AR7" i="9"/>
  <c r="KJ7" i="9"/>
  <c r="BF7" i="9"/>
  <c r="IM7" i="9"/>
  <c r="BM7" i="9"/>
  <c r="JA7" i="9"/>
  <c r="GB7" i="9"/>
  <c r="CV7" i="9"/>
  <c r="HK7" i="9"/>
  <c r="CH7" i="9"/>
  <c r="KC7" i="9"/>
  <c r="EL7" i="9"/>
  <c r="FU7" i="9"/>
  <c r="AK7" i="9"/>
  <c r="JV7" i="9"/>
  <c r="JH7" i="9"/>
  <c r="GI7" i="9"/>
  <c r="DJ7" i="9"/>
  <c r="DC7" i="9"/>
  <c r="FG7" i="9"/>
  <c r="IF7" i="9"/>
  <c r="W7" i="9"/>
  <c r="DX7" i="9"/>
  <c r="CO7" i="9"/>
  <c r="KQ7" i="9"/>
  <c r="IT7" i="9"/>
  <c r="EZ7" i="9"/>
  <c r="P7" i="9"/>
  <c r="DQ7" i="9"/>
  <c r="BT7" i="9"/>
  <c r="CA7" i="9"/>
  <c r="GW7" i="9"/>
  <c r="HY7" i="9"/>
  <c r="GP7" i="9"/>
  <c r="EE7" i="9"/>
  <c r="B7" i="9"/>
  <c r="AY7" i="9"/>
  <c r="BT39" i="9"/>
  <c r="DJ39" i="9"/>
  <c r="FG39" i="9"/>
  <c r="HY39" i="9"/>
  <c r="GI39" i="9"/>
  <c r="EZ39" i="9"/>
  <c r="BF39" i="9"/>
  <c r="W39" i="9"/>
  <c r="FN39" i="9"/>
  <c r="KC39" i="9"/>
  <c r="GP39" i="9"/>
  <c r="AR39" i="9"/>
  <c r="JV39" i="9"/>
  <c r="B39" i="9"/>
  <c r="D39" i="9" s="1"/>
  <c r="KQ39" i="9"/>
  <c r="GW39" i="9"/>
  <c r="DC39" i="9"/>
  <c r="JO39" i="9"/>
  <c r="IT39" i="9"/>
  <c r="HR39" i="9"/>
  <c r="P39" i="9"/>
  <c r="AK39" i="9"/>
  <c r="IM39" i="9"/>
  <c r="AY39" i="9"/>
  <c r="CH39" i="9"/>
  <c r="KJ39" i="9"/>
  <c r="HK39" i="9"/>
  <c r="BM39" i="9"/>
  <c r="I39" i="9"/>
  <c r="EL39" i="9"/>
  <c r="FU39" i="9"/>
  <c r="DQ39" i="9"/>
  <c r="CO39" i="9"/>
  <c r="JH39" i="9"/>
  <c r="CA39" i="9"/>
  <c r="DX39" i="9"/>
  <c r="AD39" i="9"/>
  <c r="ES39" i="9"/>
  <c r="GB39" i="9"/>
  <c r="CV39" i="9"/>
  <c r="HD39" i="9"/>
  <c r="JA39" i="9"/>
  <c r="EE39" i="9"/>
  <c r="IF39" i="9"/>
  <c r="BK112" i="9"/>
  <c r="IM72" i="9"/>
  <c r="IT72" i="9"/>
  <c r="HY72" i="9"/>
  <c r="HK72" i="9"/>
  <c r="JV72" i="9"/>
  <c r="W72" i="9"/>
  <c r="GP72" i="9"/>
  <c r="AR72" i="9"/>
  <c r="DJ72" i="9"/>
  <c r="IF72" i="9"/>
  <c r="ES72" i="9"/>
  <c r="EW72" i="9" s="1"/>
  <c r="HD72" i="9"/>
  <c r="DQ72" i="9"/>
  <c r="HR72" i="9"/>
  <c r="KJ72" i="9"/>
  <c r="AD72" i="9"/>
  <c r="GI72" i="9"/>
  <c r="CA72" i="9"/>
  <c r="KC72" i="9"/>
  <c r="FU72" i="9"/>
  <c r="CV72" i="9"/>
  <c r="EE72" i="9"/>
  <c r="FN72" i="9"/>
  <c r="B72" i="9"/>
  <c r="JA72" i="9"/>
  <c r="CH72" i="9"/>
  <c r="CO72" i="9"/>
  <c r="BM72" i="9"/>
  <c r="DC72" i="9"/>
  <c r="I72" i="9"/>
  <c r="EZ72" i="9"/>
  <c r="FE72" i="9" s="1"/>
  <c r="AK72" i="9"/>
  <c r="AO72" i="9" s="1"/>
  <c r="EL72" i="9"/>
  <c r="AY72" i="9"/>
  <c r="JO72" i="9"/>
  <c r="JH72" i="9"/>
  <c r="FG72" i="9"/>
  <c r="GW72" i="9"/>
  <c r="KQ72" i="9"/>
  <c r="BF72" i="9"/>
  <c r="GB72" i="9"/>
  <c r="BT72" i="9"/>
  <c r="P72" i="9"/>
  <c r="DX72" i="9"/>
  <c r="EL45" i="9"/>
  <c r="AY45" i="9"/>
  <c r="GB45" i="9"/>
  <c r="DJ45" i="9"/>
  <c r="W45" i="9"/>
  <c r="BF45" i="9"/>
  <c r="AD45" i="9"/>
  <c r="HK45" i="9"/>
  <c r="KC45" i="9"/>
  <c r="DC45" i="9"/>
  <c r="IT45" i="9"/>
  <c r="JA45" i="9"/>
  <c r="DX45" i="9"/>
  <c r="AK45" i="9"/>
  <c r="CV45" i="9"/>
  <c r="JV45" i="9"/>
  <c r="GI45" i="9"/>
  <c r="HY45" i="9"/>
  <c r="CH45" i="9"/>
  <c r="HD45" i="9"/>
  <c r="AR45" i="9"/>
  <c r="DQ45" i="9"/>
  <c r="JO45" i="9"/>
  <c r="GP45" i="9"/>
  <c r="P45" i="9"/>
  <c r="EE45" i="9"/>
  <c r="I45" i="9"/>
  <c r="JH45" i="9"/>
  <c r="BM45" i="9"/>
  <c r="CO45" i="9"/>
  <c r="IM45" i="9"/>
  <c r="FG45" i="9"/>
  <c r="HR45" i="9"/>
  <c r="IF45" i="9"/>
  <c r="KJ45" i="9"/>
  <c r="EZ45" i="9"/>
  <c r="KQ45" i="9"/>
  <c r="FU45" i="9"/>
  <c r="FN45" i="9"/>
  <c r="ES45" i="9"/>
  <c r="GW45" i="9"/>
  <c r="CA45" i="9"/>
  <c r="BT45" i="9"/>
  <c r="B45" i="9"/>
  <c r="G45" i="9" s="1"/>
  <c r="P24" i="9"/>
  <c r="HD24" i="9"/>
  <c r="ES24" i="9"/>
  <c r="KC24" i="9"/>
  <c r="W24" i="9"/>
  <c r="IT24" i="9"/>
  <c r="IY24" i="9" s="1"/>
  <c r="JA24" i="9"/>
  <c r="HR24" i="9"/>
  <c r="HK24" i="9"/>
  <c r="CA24" i="9"/>
  <c r="FG24" i="9"/>
  <c r="GI24" i="9"/>
  <c r="GK24" i="9" s="1"/>
  <c r="JV24" i="9"/>
  <c r="BM24" i="9"/>
  <c r="AR24" i="9"/>
  <c r="DQ24" i="9"/>
  <c r="IF24" i="9"/>
  <c r="CV24" i="9"/>
  <c r="DJ24" i="9"/>
  <c r="GW24" i="9"/>
  <c r="IM24" i="9"/>
  <c r="AK24" i="9"/>
  <c r="DC24" i="9"/>
  <c r="CH24" i="9"/>
  <c r="GP24" i="9"/>
  <c r="EE24" i="9"/>
  <c r="BF24" i="9"/>
  <c r="FU24" i="9"/>
  <c r="I24" i="9"/>
  <c r="AD24" i="9"/>
  <c r="EZ24" i="9"/>
  <c r="GB24" i="9"/>
  <c r="AY24" i="9"/>
  <c r="JH24" i="9"/>
  <c r="DX24" i="9"/>
  <c r="BT24" i="9"/>
  <c r="JO24" i="9"/>
  <c r="KQ24" i="9"/>
  <c r="HY24" i="9"/>
  <c r="KJ24" i="9"/>
  <c r="EL24" i="9"/>
  <c r="CO24" i="9"/>
  <c r="FN24" i="9"/>
  <c r="B24" i="9"/>
  <c r="D24" i="9" s="1"/>
  <c r="AR103" i="9"/>
  <c r="EZ103" i="9"/>
  <c r="BM103" i="9"/>
  <c r="JH103" i="9"/>
  <c r="KJ103" i="9"/>
  <c r="DJ103" i="9"/>
  <c r="JO103" i="9"/>
  <c r="JQ103" i="9" s="1"/>
  <c r="JR103" i="9" s="1"/>
  <c r="ES103" i="9"/>
  <c r="BT103" i="9"/>
  <c r="EE103" i="9"/>
  <c r="DC103" i="9"/>
  <c r="JV103" i="9"/>
  <c r="HK103" i="9"/>
  <c r="CO103" i="9"/>
  <c r="BF103" i="9"/>
  <c r="CV103" i="9"/>
  <c r="FN103" i="9"/>
  <c r="GW103" i="9"/>
  <c r="IM103" i="9"/>
  <c r="AY103" i="9"/>
  <c r="GI103" i="9"/>
  <c r="GB103" i="9"/>
  <c r="EL103" i="9"/>
  <c r="CA103" i="9"/>
  <c r="HD103" i="9"/>
  <c r="IT103" i="9"/>
  <c r="GP103" i="9"/>
  <c r="DX103" i="9"/>
  <c r="HR103" i="9"/>
  <c r="B103" i="9"/>
  <c r="AD103" i="9"/>
  <c r="P103" i="9"/>
  <c r="FG103" i="9"/>
  <c r="KC103" i="9"/>
  <c r="JA103" i="9"/>
  <c r="KQ103" i="9"/>
  <c r="IF103" i="9"/>
  <c r="CH103" i="9"/>
  <c r="I103" i="9"/>
  <c r="W103" i="9"/>
  <c r="HY103" i="9"/>
  <c r="FU103" i="9"/>
  <c r="AK103" i="9"/>
  <c r="DQ103" i="9"/>
  <c r="KC35" i="9"/>
  <c r="DQ35" i="9"/>
  <c r="GP35" i="9"/>
  <c r="CA35" i="9"/>
  <c r="KQ35" i="9"/>
  <c r="P35" i="9"/>
  <c r="GI35" i="9"/>
  <c r="GB35" i="9"/>
  <c r="DJ35" i="9"/>
  <c r="AK35" i="9"/>
  <c r="KJ35" i="9"/>
  <c r="GW35" i="9"/>
  <c r="EE35" i="9"/>
  <c r="DX35" i="9"/>
  <c r="JV35" i="9"/>
  <c r="JH35" i="9"/>
  <c r="HK35" i="9"/>
  <c r="EZ35" i="9"/>
  <c r="HD35" i="9"/>
  <c r="HY35" i="9"/>
  <c r="CO35" i="9"/>
  <c r="ES35" i="9"/>
  <c r="AR35" i="9"/>
  <c r="BM35" i="9"/>
  <c r="FN35" i="9"/>
  <c r="AY35" i="9"/>
  <c r="HR35" i="9"/>
  <c r="CV35" i="9"/>
  <c r="I35" i="9"/>
  <c r="BF35" i="9"/>
  <c r="JA35" i="9"/>
  <c r="EL35" i="9"/>
  <c r="FU35" i="9"/>
  <c r="IT35" i="9"/>
  <c r="IF35" i="9"/>
  <c r="DC35" i="9"/>
  <c r="W35" i="9"/>
  <c r="CH35" i="9"/>
  <c r="JO35" i="9"/>
  <c r="BT35" i="9"/>
  <c r="B35" i="9"/>
  <c r="AD35" i="9"/>
  <c r="IM35" i="9"/>
  <c r="FG35" i="9"/>
  <c r="AR12" i="9"/>
  <c r="FU12" i="9"/>
  <c r="DX12" i="9"/>
  <c r="GI12" i="9"/>
  <c r="ES12" i="9"/>
  <c r="GB12" i="9"/>
  <c r="IM12" i="9"/>
  <c r="BF12" i="9"/>
  <c r="AY12" i="9"/>
  <c r="DQ12" i="9"/>
  <c r="W12" i="9"/>
  <c r="FG12" i="9"/>
  <c r="GP12" i="9"/>
  <c r="EL12" i="9"/>
  <c r="AD12" i="9"/>
  <c r="HR12" i="9"/>
  <c r="CV12" i="9"/>
  <c r="IT12" i="9"/>
  <c r="HK12" i="9"/>
  <c r="EE12" i="9"/>
  <c r="JA12" i="9"/>
  <c r="I12" i="9"/>
  <c r="DC12" i="9"/>
  <c r="DJ12" i="9"/>
  <c r="KQ12" i="9"/>
  <c r="KC12" i="9"/>
  <c r="JH12" i="9"/>
  <c r="CH12" i="9"/>
  <c r="AK12" i="9"/>
  <c r="CO12" i="9"/>
  <c r="HY12" i="9"/>
  <c r="JO12" i="9"/>
  <c r="GW12" i="9"/>
  <c r="BT12" i="9"/>
  <c r="P12" i="9"/>
  <c r="FN12" i="9"/>
  <c r="HD12" i="9"/>
  <c r="B12" i="9"/>
  <c r="JV12" i="9"/>
  <c r="IF12" i="9"/>
  <c r="EZ12" i="9"/>
  <c r="KJ12" i="9"/>
  <c r="BM12" i="9"/>
  <c r="CA12" i="9"/>
  <c r="HH112" i="9"/>
  <c r="AR92" i="9"/>
  <c r="KC92" i="9"/>
  <c r="HD92" i="9"/>
  <c r="HK92" i="9"/>
  <c r="IF92" i="9"/>
  <c r="W92" i="9"/>
  <c r="DX92" i="9"/>
  <c r="FN92" i="9"/>
  <c r="KJ92" i="9"/>
  <c r="FU92" i="9"/>
  <c r="GW92" i="9"/>
  <c r="IM92" i="9"/>
  <c r="EZ92" i="9"/>
  <c r="CO92" i="9"/>
  <c r="CA92" i="9"/>
  <c r="HR92" i="9"/>
  <c r="DC92" i="9"/>
  <c r="AK92" i="9"/>
  <c r="BF92" i="9"/>
  <c r="B92" i="9"/>
  <c r="D92" i="9" s="1"/>
  <c r="I92" i="9"/>
  <c r="KQ92" i="9"/>
  <c r="CH92" i="9"/>
  <c r="HY92" i="9"/>
  <c r="DQ92" i="9"/>
  <c r="GI92" i="9"/>
  <c r="GB92" i="9"/>
  <c r="IT92" i="9"/>
  <c r="ES92" i="9"/>
  <c r="JO92" i="9"/>
  <c r="DJ92" i="9"/>
  <c r="FG92" i="9"/>
  <c r="GP92" i="9"/>
  <c r="EL92" i="9"/>
  <c r="BM92" i="9"/>
  <c r="JH92" i="9"/>
  <c r="JV92" i="9"/>
  <c r="JA92" i="9"/>
  <c r="AD92" i="9"/>
  <c r="EE92" i="9"/>
  <c r="AY92" i="9"/>
  <c r="CV92" i="9"/>
  <c r="P92" i="9"/>
  <c r="BT92" i="9"/>
  <c r="GB50" i="9"/>
  <c r="EZ50" i="9"/>
  <c r="HR50" i="9"/>
  <c r="BT50" i="9"/>
  <c r="IF50" i="9"/>
  <c r="HD50" i="9"/>
  <c r="FG50" i="9"/>
  <c r="GW50" i="9"/>
  <c r="IT50" i="9"/>
  <c r="JH50" i="9"/>
  <c r="EE50" i="9"/>
  <c r="HY50" i="9"/>
  <c r="KQ50" i="9"/>
  <c r="W50" i="9"/>
  <c r="I50" i="9"/>
  <c r="IM50" i="9"/>
  <c r="BF50" i="9"/>
  <c r="AY50" i="9"/>
  <c r="GI50" i="9"/>
  <c r="KC50" i="9"/>
  <c r="EL50" i="9"/>
  <c r="CV50" i="9"/>
  <c r="KJ50" i="9"/>
  <c r="CH50" i="9"/>
  <c r="CJ50" i="9" s="1"/>
  <c r="CK50" i="9" s="1"/>
  <c r="FU50" i="9"/>
  <c r="HK50" i="9"/>
  <c r="AR50" i="9"/>
  <c r="DJ50" i="9"/>
  <c r="JO50" i="9"/>
  <c r="DQ50" i="9"/>
  <c r="AK50" i="9"/>
  <c r="CO50" i="9"/>
  <c r="GP50" i="9"/>
  <c r="JA50" i="9"/>
  <c r="B50" i="9"/>
  <c r="DX50" i="9"/>
  <c r="JV50" i="9"/>
  <c r="FN50" i="9"/>
  <c r="BM50" i="9"/>
  <c r="CA50" i="9"/>
  <c r="DC50" i="9"/>
  <c r="AD50" i="9"/>
  <c r="P50" i="9"/>
  <c r="ES50" i="9"/>
  <c r="HD111" i="9"/>
  <c r="BF111" i="9"/>
  <c r="ES111" i="9"/>
  <c r="AR111" i="9"/>
  <c r="AK111" i="9"/>
  <c r="IT111" i="9"/>
  <c r="EL111" i="9"/>
  <c r="JV111" i="9"/>
  <c r="KC111" i="9"/>
  <c r="KQ111" i="9"/>
  <c r="DJ111" i="9"/>
  <c r="BM111" i="9"/>
  <c r="HR111" i="9"/>
  <c r="DX111" i="9"/>
  <c r="EE111" i="9"/>
  <c r="GI111" i="9"/>
  <c r="AD111" i="9"/>
  <c r="DC111" i="9"/>
  <c r="FN111" i="9"/>
  <c r="DQ111" i="9"/>
  <c r="EZ111" i="9"/>
  <c r="HY111" i="9"/>
  <c r="CO111" i="9"/>
  <c r="I111" i="9"/>
  <c r="IF111" i="9"/>
  <c r="GW111" i="9"/>
  <c r="CH111" i="9"/>
  <c r="JO111" i="9"/>
  <c r="P111" i="9"/>
  <c r="GP111" i="9"/>
  <c r="JH111" i="9"/>
  <c r="FG111" i="9"/>
  <c r="CV111" i="9"/>
  <c r="CA111" i="9"/>
  <c r="AY111" i="9"/>
  <c r="GB111" i="9"/>
  <c r="W111" i="9"/>
  <c r="AB111" i="9" s="1"/>
  <c r="FU111" i="9"/>
  <c r="BT111" i="9"/>
  <c r="KJ111" i="9"/>
  <c r="IM111" i="9"/>
  <c r="JA111" i="9"/>
  <c r="B111" i="9"/>
  <c r="F111" i="9" s="1"/>
  <c r="HK111" i="9"/>
  <c r="JO70" i="9"/>
  <c r="AD70" i="9"/>
  <c r="EL70" i="9"/>
  <c r="DX70" i="9"/>
  <c r="AY70" i="9"/>
  <c r="GB70" i="9"/>
  <c r="EE70" i="9"/>
  <c r="P70" i="9"/>
  <c r="DJ70" i="9"/>
  <c r="HY70" i="9"/>
  <c r="HR70" i="9"/>
  <c r="KC70" i="9"/>
  <c r="AK70" i="9"/>
  <c r="GP70" i="9"/>
  <c r="W70" i="9"/>
  <c r="Y70" i="9" s="1"/>
  <c r="Z70" i="9" s="1"/>
  <c r="JH70" i="9"/>
  <c r="DC70" i="9"/>
  <c r="KQ70" i="9"/>
  <c r="FG70" i="9"/>
  <c r="CA70" i="9"/>
  <c r="BF70" i="9"/>
  <c r="HK70" i="9"/>
  <c r="CO70" i="9"/>
  <c r="BT70" i="9"/>
  <c r="CH70" i="9"/>
  <c r="KJ70" i="9"/>
  <c r="IT70" i="9"/>
  <c r="AR70" i="9"/>
  <c r="IF70" i="9"/>
  <c r="ES70" i="9"/>
  <c r="BM70" i="9"/>
  <c r="IM70" i="9"/>
  <c r="JA70" i="9"/>
  <c r="GW70" i="9"/>
  <c r="FU70" i="9"/>
  <c r="GI70" i="9"/>
  <c r="HD70" i="9"/>
  <c r="JV70" i="9"/>
  <c r="EZ70" i="9"/>
  <c r="I70" i="9"/>
  <c r="B70" i="9"/>
  <c r="G70" i="9" s="1"/>
  <c r="CV70" i="9"/>
  <c r="DQ70" i="9"/>
  <c r="FN70" i="9"/>
  <c r="EL60" i="9"/>
  <c r="IM60" i="9"/>
  <c r="HR60" i="9"/>
  <c r="HY60" i="9"/>
  <c r="JA60" i="9"/>
  <c r="JO60" i="9"/>
  <c r="CA60" i="9"/>
  <c r="P60" i="9"/>
  <c r="BM60" i="9"/>
  <c r="AR60" i="9"/>
  <c r="HD60" i="9"/>
  <c r="JH60" i="9"/>
  <c r="KC60" i="9"/>
  <c r="CH60" i="9"/>
  <c r="ES60" i="9"/>
  <c r="AD60" i="9"/>
  <c r="FU60" i="9"/>
  <c r="DX60" i="9"/>
  <c r="DC60" i="9"/>
  <c r="EZ60" i="9"/>
  <c r="IF60" i="9"/>
  <c r="GI60" i="9"/>
  <c r="DJ60" i="9"/>
  <c r="FG60" i="9"/>
  <c r="EE60" i="9"/>
  <c r="B60" i="9"/>
  <c r="G60" i="9" s="1"/>
  <c r="HK60" i="9"/>
  <c r="FN60" i="9"/>
  <c r="CO60" i="9"/>
  <c r="AK60" i="9"/>
  <c r="GB60" i="9"/>
  <c r="IT60" i="9"/>
  <c r="JV60" i="9"/>
  <c r="I60" i="9"/>
  <c r="CV60" i="9"/>
  <c r="GW60" i="9"/>
  <c r="DQ60" i="9"/>
  <c r="AY60" i="9"/>
  <c r="BF60" i="9"/>
  <c r="W60" i="9"/>
  <c r="KJ60" i="9"/>
  <c r="BT60" i="9"/>
  <c r="KQ60" i="9"/>
  <c r="GP60" i="9"/>
  <c r="FN87" i="9"/>
  <c r="HD87" i="9"/>
  <c r="JV87" i="9"/>
  <c r="JA87" i="9"/>
  <c r="AK87" i="9"/>
  <c r="HR87" i="9"/>
  <c r="ES87" i="9"/>
  <c r="KC87" i="9"/>
  <c r="DQ87" i="9"/>
  <c r="BM87" i="9"/>
  <c r="CO87" i="9"/>
  <c r="EZ87" i="9"/>
  <c r="P87" i="9"/>
  <c r="GP87" i="9"/>
  <c r="FU87" i="9"/>
  <c r="AD87" i="9"/>
  <c r="JO87" i="9"/>
  <c r="AY87" i="9"/>
  <c r="B87" i="9"/>
  <c r="IM87" i="9"/>
  <c r="HK87" i="9"/>
  <c r="DC87" i="9"/>
  <c r="DJ87" i="9"/>
  <c r="BF87" i="9"/>
  <c r="I87" i="9"/>
  <c r="AR87" i="9"/>
  <c r="KJ87" i="9"/>
  <c r="DX87" i="9"/>
  <c r="CV87" i="9"/>
  <c r="IF87" i="9"/>
  <c r="EE87" i="9"/>
  <c r="CA87" i="9"/>
  <c r="KQ87" i="9"/>
  <c r="GW87" i="9"/>
  <c r="BT87" i="9"/>
  <c r="EL87" i="9"/>
  <c r="FG87" i="9"/>
  <c r="CH87" i="9"/>
  <c r="GB87" i="9"/>
  <c r="IT87" i="9"/>
  <c r="HY87" i="9"/>
  <c r="GI87" i="9"/>
  <c r="W87" i="9"/>
  <c r="JH87" i="9"/>
  <c r="DX64" i="9"/>
  <c r="FG64" i="9"/>
  <c r="JO64" i="9"/>
  <c r="EE64" i="9"/>
  <c r="BF64" i="9"/>
  <c r="AY64" i="9"/>
  <c r="W64" i="9"/>
  <c r="KC64" i="9"/>
  <c r="JV64" i="9"/>
  <c r="AK64" i="9"/>
  <c r="HD64" i="9"/>
  <c r="KJ64" i="9"/>
  <c r="DC64" i="9"/>
  <c r="CH64" i="9"/>
  <c r="CO64" i="9"/>
  <c r="I64" i="9"/>
  <c r="GW64" i="9"/>
  <c r="GI64" i="9"/>
  <c r="HY64" i="9"/>
  <c r="IT64" i="9"/>
  <c r="IF64" i="9"/>
  <c r="IM64" i="9"/>
  <c r="GP64" i="9"/>
  <c r="ES64" i="9"/>
  <c r="DQ64" i="9"/>
  <c r="AR64" i="9"/>
  <c r="GB64" i="9"/>
  <c r="HK64" i="9"/>
  <c r="B64" i="9"/>
  <c r="G64" i="9" s="1"/>
  <c r="CA64" i="9"/>
  <c r="FN64" i="9"/>
  <c r="EZ64" i="9"/>
  <c r="P64" i="9"/>
  <c r="AD64" i="9"/>
  <c r="KQ64" i="9"/>
  <c r="HR64" i="9"/>
  <c r="CV64" i="9"/>
  <c r="JH64" i="9"/>
  <c r="FU64" i="9"/>
  <c r="EL64" i="9"/>
  <c r="BT64" i="9"/>
  <c r="DJ64" i="9"/>
  <c r="JA64" i="9"/>
  <c r="BM64" i="9"/>
  <c r="HD84" i="9"/>
  <c r="DX84" i="9"/>
  <c r="EL84" i="9"/>
  <c r="FN84" i="9"/>
  <c r="AY84" i="9"/>
  <c r="KC84" i="9"/>
  <c r="GP84" i="9"/>
  <c r="B84" i="9"/>
  <c r="AK84" i="9"/>
  <c r="HR84" i="9"/>
  <c r="CH84" i="9"/>
  <c r="CA84" i="9"/>
  <c r="JA84" i="9"/>
  <c r="GB84" i="9"/>
  <c r="DJ84" i="9"/>
  <c r="I84" i="9"/>
  <c r="EZ84" i="9"/>
  <c r="HK84" i="9"/>
  <c r="EE84" i="9"/>
  <c r="GW84" i="9"/>
  <c r="JO84" i="9"/>
  <c r="DQ84" i="9"/>
  <c r="IM84" i="9"/>
  <c r="GI84" i="9"/>
  <c r="W84" i="9"/>
  <c r="P84" i="9"/>
  <c r="HY84" i="9"/>
  <c r="BT84" i="9"/>
  <c r="BM84" i="9"/>
  <c r="CV84" i="9"/>
  <c r="FU84" i="9"/>
  <c r="AR84" i="9"/>
  <c r="CO84" i="9"/>
  <c r="JV84" i="9"/>
  <c r="IT84" i="9"/>
  <c r="AD84" i="9"/>
  <c r="ES84" i="9"/>
  <c r="JH84" i="9"/>
  <c r="IF84" i="9"/>
  <c r="KJ84" i="9"/>
  <c r="DC84" i="9"/>
  <c r="KQ84" i="9"/>
  <c r="FG84" i="9"/>
  <c r="BF84" i="9"/>
  <c r="HY101" i="9"/>
  <c r="HD101" i="9"/>
  <c r="AD101" i="9"/>
  <c r="CH101" i="9"/>
  <c r="KC101" i="9"/>
  <c r="GW101" i="9"/>
  <c r="CA101" i="9"/>
  <c r="DJ101" i="9"/>
  <c r="IF101" i="9"/>
  <c r="CO101" i="9"/>
  <c r="CV101" i="9"/>
  <c r="AR101" i="9"/>
  <c r="EL101" i="9"/>
  <c r="JO101" i="9"/>
  <c r="FU101" i="9"/>
  <c r="JH101" i="9"/>
  <c r="FG101" i="9"/>
  <c r="BF101" i="9"/>
  <c r="DC101" i="9"/>
  <c r="P101" i="9"/>
  <c r="JA101" i="9"/>
  <c r="I101" i="9"/>
  <c r="DX101" i="9"/>
  <c r="FN101" i="9"/>
  <c r="HK101" i="9"/>
  <c r="KJ101" i="9"/>
  <c r="IM101" i="9"/>
  <c r="HR101" i="9"/>
  <c r="JV101" i="9"/>
  <c r="AY101" i="9"/>
  <c r="B101" i="9"/>
  <c r="G101" i="9" s="1"/>
  <c r="GB101" i="9"/>
  <c r="AK101" i="9"/>
  <c r="BT101" i="9"/>
  <c r="GI101" i="9"/>
  <c r="IT101" i="9"/>
  <c r="ES101" i="9"/>
  <c r="KQ101" i="9"/>
  <c r="DQ101" i="9"/>
  <c r="EZ101" i="9"/>
  <c r="W101" i="9"/>
  <c r="GP101" i="9"/>
  <c r="BM101" i="9"/>
  <c r="EE101" i="9"/>
  <c r="IT49" i="9"/>
  <c r="HY49" i="9"/>
  <c r="I49" i="9"/>
  <c r="DC49" i="9"/>
  <c r="AR49" i="9"/>
  <c r="W49" i="9"/>
  <c r="FN49" i="9"/>
  <c r="CH49" i="9"/>
  <c r="BM49" i="9"/>
  <c r="CA49" i="9"/>
  <c r="HD49" i="9"/>
  <c r="HR49" i="9"/>
  <c r="EL49" i="9"/>
  <c r="P49" i="9"/>
  <c r="ES49" i="9"/>
  <c r="JA49" i="9"/>
  <c r="DX49" i="9"/>
  <c r="JO49" i="9"/>
  <c r="DJ49" i="9"/>
  <c r="AD49" i="9"/>
  <c r="IM49" i="9"/>
  <c r="AY49" i="9"/>
  <c r="CO49" i="9"/>
  <c r="EE49" i="9"/>
  <c r="FU49" i="9"/>
  <c r="IF49" i="9"/>
  <c r="GW49" i="9"/>
  <c r="KJ49" i="9"/>
  <c r="DQ49" i="9"/>
  <c r="JV49" i="9"/>
  <c r="AK49" i="9"/>
  <c r="EZ49" i="9"/>
  <c r="KQ49" i="9"/>
  <c r="KC49" i="9"/>
  <c r="CV49" i="9"/>
  <c r="HK49" i="9"/>
  <c r="FG49" i="9"/>
  <c r="JH49" i="9"/>
  <c r="GP49" i="9"/>
  <c r="BT49" i="9"/>
  <c r="GB49" i="9"/>
  <c r="GI49" i="9"/>
  <c r="B49" i="9"/>
  <c r="BF49" i="9"/>
  <c r="W47" i="9"/>
  <c r="Y47" i="9" s="1"/>
  <c r="JH47" i="9"/>
  <c r="FG47" i="9"/>
  <c r="IF47" i="9"/>
  <c r="ES47" i="9"/>
  <c r="EL47" i="9"/>
  <c r="GI47" i="9"/>
  <c r="DQ47" i="9"/>
  <c r="FN47" i="9"/>
  <c r="CH47" i="9"/>
  <c r="DC47" i="9"/>
  <c r="IM47" i="9"/>
  <c r="CO47" i="9"/>
  <c r="CA47" i="9"/>
  <c r="HD47" i="9"/>
  <c r="AK47" i="9"/>
  <c r="GW47" i="9"/>
  <c r="CV47" i="9"/>
  <c r="EE47" i="9"/>
  <c r="B47" i="9"/>
  <c r="G47" i="9" s="1"/>
  <c r="KC47" i="9"/>
  <c r="JA47" i="9"/>
  <c r="GB47" i="9"/>
  <c r="HY47" i="9"/>
  <c r="AD47" i="9"/>
  <c r="P47" i="9"/>
  <c r="KJ47" i="9"/>
  <c r="I47" i="9"/>
  <c r="AY47" i="9"/>
  <c r="BC47" i="9" s="1"/>
  <c r="HK47" i="9"/>
  <c r="AR47" i="9"/>
  <c r="IT47" i="9"/>
  <c r="KQ47" i="9"/>
  <c r="JV47" i="9"/>
  <c r="EZ47" i="9"/>
  <c r="JO47" i="9"/>
  <c r="BM47" i="9"/>
  <c r="HR47" i="9"/>
  <c r="BF47" i="9"/>
  <c r="FU47" i="9"/>
  <c r="GP47" i="9"/>
  <c r="BT47" i="9"/>
  <c r="BX47" i="9" s="1"/>
  <c r="DJ47" i="9"/>
  <c r="DX47" i="9"/>
  <c r="EB47" i="9" s="1"/>
  <c r="IF18" i="9"/>
  <c r="HD18" i="9"/>
  <c r="GI18" i="9"/>
  <c r="B18" i="9"/>
  <c r="G18" i="9" s="1"/>
  <c r="EZ18" i="9"/>
  <c r="JV18" i="9"/>
  <c r="GB18" i="9"/>
  <c r="FN18" i="9"/>
  <c r="I18" i="9"/>
  <c r="KC18" i="9"/>
  <c r="JH18" i="9"/>
  <c r="FU18" i="9"/>
  <c r="HK18" i="9"/>
  <c r="CH18" i="9"/>
  <c r="KQ18" i="9"/>
  <c r="CV18" i="9"/>
  <c r="IT18" i="9"/>
  <c r="IM18" i="9"/>
  <c r="CA18" i="9"/>
  <c r="W18" i="9"/>
  <c r="BF18" i="9"/>
  <c r="DQ18" i="9"/>
  <c r="GW18" i="9"/>
  <c r="JO18" i="9"/>
  <c r="ES18" i="9"/>
  <c r="BM18" i="9"/>
  <c r="AK18" i="9"/>
  <c r="FG18" i="9"/>
  <c r="DC18" i="9"/>
  <c r="BT18" i="9"/>
  <c r="EE18" i="9"/>
  <c r="DX18" i="9"/>
  <c r="HR18" i="9"/>
  <c r="AD18" i="9"/>
  <c r="AR18" i="9"/>
  <c r="JA18" i="9"/>
  <c r="AY18" i="9"/>
  <c r="P18" i="9"/>
  <c r="KJ18" i="9"/>
  <c r="EL18" i="9"/>
  <c r="DJ18" i="9"/>
  <c r="GP18" i="9"/>
  <c r="CO18" i="9"/>
  <c r="HY18" i="9"/>
  <c r="GP8" i="9"/>
  <c r="AY8" i="9"/>
  <c r="HD8" i="9"/>
  <c r="EE8" i="9"/>
  <c r="FG8" i="9"/>
  <c r="B8" i="9"/>
  <c r="G8" i="9" s="1"/>
  <c r="IT8" i="9"/>
  <c r="FU8" i="9"/>
  <c r="DQ8" i="9"/>
  <c r="AR8" i="9"/>
  <c r="BT8" i="9"/>
  <c r="AD8" i="9"/>
  <c r="JV8" i="9"/>
  <c r="CO8" i="9"/>
  <c r="KJ8" i="9"/>
  <c r="EZ8" i="9"/>
  <c r="JO8" i="9"/>
  <c r="CH8" i="9"/>
  <c r="HY8" i="9"/>
  <c r="ES8" i="9"/>
  <c r="IM8" i="9"/>
  <c r="CV8" i="9"/>
  <c r="CA8" i="9"/>
  <c r="GB8" i="9"/>
  <c r="EL8" i="9"/>
  <c r="FN8" i="9"/>
  <c r="P8" i="9"/>
  <c r="GW8" i="9"/>
  <c r="HR8" i="9"/>
  <c r="W8" i="9"/>
  <c r="AK8" i="9"/>
  <c r="JA8" i="9"/>
  <c r="KQ8" i="9"/>
  <c r="IF8" i="9"/>
  <c r="JH8" i="9"/>
  <c r="HK8" i="9"/>
  <c r="KC8" i="9"/>
  <c r="GI8" i="9"/>
  <c r="DJ8" i="9"/>
  <c r="BF8" i="9"/>
  <c r="BM8" i="9"/>
  <c r="DC8" i="9"/>
  <c r="DX8" i="9"/>
  <c r="I8" i="9"/>
  <c r="BQ112" i="9"/>
  <c r="FU98" i="9"/>
  <c r="AD98" i="9"/>
  <c r="CA98" i="9"/>
  <c r="BT98" i="9"/>
  <c r="CO98" i="9"/>
  <c r="W98" i="9"/>
  <c r="DJ98" i="9"/>
  <c r="JH98" i="9"/>
  <c r="ES98" i="9"/>
  <c r="AK98" i="9"/>
  <c r="HD98" i="9"/>
  <c r="JV98" i="9"/>
  <c r="HR98" i="9"/>
  <c r="EL98" i="9"/>
  <c r="CV98" i="9"/>
  <c r="I98" i="9"/>
  <c r="KQ98" i="9"/>
  <c r="P98" i="9"/>
  <c r="KC98" i="9"/>
  <c r="KJ98" i="9"/>
  <c r="EZ98" i="9"/>
  <c r="EE98" i="9"/>
  <c r="GI98" i="9"/>
  <c r="HK98" i="9"/>
  <c r="IT98" i="9"/>
  <c r="AY98" i="9"/>
  <c r="FG98" i="9"/>
  <c r="JO98" i="9"/>
  <c r="B98" i="9"/>
  <c r="G98" i="9" s="1"/>
  <c r="GW98" i="9"/>
  <c r="IM98" i="9"/>
  <c r="IF98" i="9"/>
  <c r="JA98" i="9"/>
  <c r="HY98" i="9"/>
  <c r="AR98" i="9"/>
  <c r="GB98" i="9"/>
  <c r="DC98" i="9"/>
  <c r="BF98" i="9"/>
  <c r="DX98" i="9"/>
  <c r="GP98" i="9"/>
  <c r="FN98" i="9"/>
  <c r="BM98" i="9"/>
  <c r="CH98" i="9"/>
  <c r="DQ98" i="9"/>
  <c r="BF109" i="9"/>
  <c r="AY109" i="9"/>
  <c r="KQ109" i="9"/>
  <c r="CO109" i="9"/>
  <c r="JA109" i="9"/>
  <c r="I109" i="9"/>
  <c r="EZ109" i="9"/>
  <c r="FN109" i="9"/>
  <c r="W109" i="9"/>
  <c r="ES109" i="9"/>
  <c r="EW109" i="9" s="1"/>
  <c r="JV109" i="9"/>
  <c r="HK109" i="9"/>
  <c r="EE109" i="9"/>
  <c r="EG109" i="9" s="1"/>
  <c r="EH109" i="9" s="1"/>
  <c r="FU109" i="9"/>
  <c r="IT109" i="9"/>
  <c r="IF109" i="9"/>
  <c r="CA109" i="9"/>
  <c r="HY109" i="9"/>
  <c r="B109" i="9"/>
  <c r="F109" i="9" s="1"/>
  <c r="GB109" i="9"/>
  <c r="BM109" i="9"/>
  <c r="GI109" i="9"/>
  <c r="EL109" i="9"/>
  <c r="JO109" i="9"/>
  <c r="DJ109" i="9"/>
  <c r="DO109" i="9" s="1"/>
  <c r="BT109" i="9"/>
  <c r="GW109" i="9"/>
  <c r="GP109" i="9"/>
  <c r="P109" i="9"/>
  <c r="IM109" i="9"/>
  <c r="DX109" i="9"/>
  <c r="AD109" i="9"/>
  <c r="FG109" i="9"/>
  <c r="CH109" i="9"/>
  <c r="CV109" i="9"/>
  <c r="KC109" i="9"/>
  <c r="KE109" i="9" s="1"/>
  <c r="DQ109" i="9"/>
  <c r="JH109" i="9"/>
  <c r="AK109" i="9"/>
  <c r="DC109" i="9"/>
  <c r="HR109" i="9"/>
  <c r="KJ109" i="9"/>
  <c r="KN109" i="9" s="1"/>
  <c r="HD109" i="9"/>
  <c r="AR109" i="9"/>
  <c r="EL52" i="9"/>
  <c r="EE52" i="9"/>
  <c r="BF52" i="9"/>
  <c r="HD52" i="9"/>
  <c r="FG52" i="9"/>
  <c r="IM52" i="9"/>
  <c r="AK52" i="9"/>
  <c r="P52" i="9"/>
  <c r="JO52" i="9"/>
  <c r="CH52" i="9"/>
  <c r="BM52" i="9"/>
  <c r="DX52" i="9"/>
  <c r="JA52" i="9"/>
  <c r="IF52" i="9"/>
  <c r="EZ52" i="9"/>
  <c r="GP52" i="9"/>
  <c r="BT52" i="9"/>
  <c r="AR52" i="9"/>
  <c r="HR52" i="9"/>
  <c r="IT52" i="9"/>
  <c r="W52" i="9"/>
  <c r="CO52" i="9"/>
  <c r="AD52" i="9"/>
  <c r="KC52" i="9"/>
  <c r="GI52" i="9"/>
  <c r="B52" i="9"/>
  <c r="G52" i="9" s="1"/>
  <c r="GW52" i="9"/>
  <c r="KQ52" i="9"/>
  <c r="FN52" i="9"/>
  <c r="JH52" i="9"/>
  <c r="JV52" i="9"/>
  <c r="CV52" i="9"/>
  <c r="ES52" i="9"/>
  <c r="CA52" i="9"/>
  <c r="KJ52" i="9"/>
  <c r="HK52" i="9"/>
  <c r="DQ52" i="9"/>
  <c r="FU52" i="9"/>
  <c r="HY52" i="9"/>
  <c r="GB52" i="9"/>
  <c r="AY52" i="9"/>
  <c r="DC52" i="9"/>
  <c r="I52" i="9"/>
  <c r="DJ52" i="9"/>
  <c r="CA99" i="9"/>
  <c r="AR99" i="9"/>
  <c r="JV99" i="9"/>
  <c r="DC99" i="9"/>
  <c r="W99" i="9"/>
  <c r="EL99" i="9"/>
  <c r="P99" i="9"/>
  <c r="GB99" i="9"/>
  <c r="IF99" i="9"/>
  <c r="KQ99" i="9"/>
  <c r="EE99" i="9"/>
  <c r="B99" i="9"/>
  <c r="F99" i="9" s="1"/>
  <c r="AK99" i="9"/>
  <c r="AD99" i="9"/>
  <c r="CV99" i="9"/>
  <c r="CH99" i="9"/>
  <c r="JH99" i="9"/>
  <c r="HR99" i="9"/>
  <c r="IT99" i="9"/>
  <c r="FU99" i="9"/>
  <c r="FY99" i="9" s="1"/>
  <c r="FN99" i="9"/>
  <c r="KC99" i="9"/>
  <c r="DQ99" i="9"/>
  <c r="EZ99" i="9"/>
  <c r="HY99" i="9"/>
  <c r="AY99" i="9"/>
  <c r="KJ99" i="9"/>
  <c r="BT99" i="9"/>
  <c r="BF99" i="9"/>
  <c r="ES99" i="9"/>
  <c r="IM99" i="9"/>
  <c r="I99" i="9"/>
  <c r="GP99" i="9"/>
  <c r="CO99" i="9"/>
  <c r="HK99" i="9"/>
  <c r="DX99" i="9"/>
  <c r="BM99" i="9"/>
  <c r="DJ99" i="9"/>
  <c r="JA99" i="9"/>
  <c r="JF99" i="9" s="1"/>
  <c r="JO99" i="9"/>
  <c r="GI99" i="9"/>
  <c r="GW99" i="9"/>
  <c r="HD99" i="9"/>
  <c r="FG99" i="9"/>
  <c r="DE53" i="9" l="1"/>
  <c r="DF53" i="9" s="1"/>
  <c r="DG6" i="9"/>
  <c r="DE24" i="9"/>
  <c r="DF24" i="9" s="1"/>
  <c r="DG9" i="9"/>
  <c r="DE25" i="9"/>
  <c r="DF25" i="9" s="1"/>
  <c r="DH97" i="9"/>
  <c r="KT82" i="9"/>
  <c r="CD31" i="9"/>
  <c r="KU109" i="9"/>
  <c r="DN101" i="9"/>
  <c r="FD7" i="9"/>
  <c r="U22" i="9"/>
  <c r="CX95" i="9"/>
  <c r="CY95" i="9" s="1"/>
  <c r="BJ21" i="9"/>
  <c r="FE28" i="9"/>
  <c r="IV89" i="9"/>
  <c r="IW89" i="9" s="1"/>
  <c r="JC16" i="9"/>
  <c r="JD16" i="9" s="1"/>
  <c r="CJ76" i="9"/>
  <c r="CK76" i="9" s="1"/>
  <c r="GK76" i="9"/>
  <c r="GL76" i="9" s="1"/>
  <c r="KL62" i="9"/>
  <c r="KM62" i="9" s="1"/>
  <c r="IH62" i="9"/>
  <c r="II62" i="9" s="1"/>
  <c r="BH9" i="9"/>
  <c r="BI9" i="9" s="1"/>
  <c r="GD17" i="9"/>
  <c r="GE17" i="9" s="1"/>
  <c r="HA17" i="9"/>
  <c r="FD17" i="9"/>
  <c r="BJ61" i="9"/>
  <c r="AH105" i="9"/>
  <c r="GU69" i="9"/>
  <c r="AF90" i="9"/>
  <c r="AG90" i="9" s="1"/>
  <c r="EX108" i="9"/>
  <c r="CE73" i="9"/>
  <c r="DL98" i="9"/>
  <c r="DM98" i="9" s="1"/>
  <c r="IX87" i="9"/>
  <c r="KV12" i="9"/>
  <c r="KE39" i="9"/>
  <c r="KF39" i="9" s="1"/>
  <c r="FI88" i="9"/>
  <c r="FJ88" i="9" s="1"/>
  <c r="IV32" i="9"/>
  <c r="IW32" i="9" s="1"/>
  <c r="KS51" i="9"/>
  <c r="KT51" i="9" s="1"/>
  <c r="GD13" i="9"/>
  <c r="GE13" i="9" s="1"/>
  <c r="DU21" i="9"/>
  <c r="EN39" i="9"/>
  <c r="EO39" i="9" s="1"/>
  <c r="GN88" i="9"/>
  <c r="HV3" i="9"/>
  <c r="EB25" i="9"/>
  <c r="HM15" i="9"/>
  <c r="HN15" i="9" s="1"/>
  <c r="HV110" i="9"/>
  <c r="BH95" i="9"/>
  <c r="BI95" i="9" s="1"/>
  <c r="T104" i="9"/>
  <c r="HB75" i="9"/>
  <c r="KH30" i="9"/>
  <c r="ID52" i="9"/>
  <c r="FW47" i="9"/>
  <c r="FX47" i="9" s="1"/>
  <c r="HA45" i="9"/>
  <c r="GG7" i="9"/>
  <c r="CZ83" i="9"/>
  <c r="DE110" i="9"/>
  <c r="DF110" i="9" s="1"/>
  <c r="DS71" i="9"/>
  <c r="DT71" i="9" s="1"/>
  <c r="BK20" i="9"/>
  <c r="AI6" i="9"/>
  <c r="BV94" i="9"/>
  <c r="BW94" i="9" s="1"/>
  <c r="JC107" i="9"/>
  <c r="JD107" i="9" s="1"/>
  <c r="CT75" i="9"/>
  <c r="DL30" i="9"/>
  <c r="DM30" i="9" s="1"/>
  <c r="HT52" i="9"/>
  <c r="HU52" i="9" s="1"/>
  <c r="HT101" i="9"/>
  <c r="HU101" i="9" s="1"/>
  <c r="IQ87" i="9"/>
  <c r="U70" i="9"/>
  <c r="EX12" i="9"/>
  <c r="KS27" i="9"/>
  <c r="KT27" i="9" s="1"/>
  <c r="CJ37" i="9"/>
  <c r="CK37" i="9" s="1"/>
  <c r="KS44" i="9"/>
  <c r="KT44" i="9" s="1"/>
  <c r="AA79" i="9"/>
  <c r="AM19" i="9"/>
  <c r="AN19" i="9" s="1"/>
  <c r="DL77" i="9"/>
  <c r="DM77" i="9" s="1"/>
  <c r="AH96" i="9"/>
  <c r="HP99" i="9"/>
  <c r="FK98" i="9"/>
  <c r="CX18" i="9"/>
  <c r="CY18" i="9" s="1"/>
  <c r="BH49" i="9"/>
  <c r="BI49" i="9" s="1"/>
  <c r="DH49" i="9"/>
  <c r="M64" i="9"/>
  <c r="AV70" i="9"/>
  <c r="K35" i="9"/>
  <c r="L35" i="9" s="1"/>
  <c r="GK67" i="9"/>
  <c r="GL67" i="9" s="1"/>
  <c r="CE42" i="9"/>
  <c r="GK3" i="9"/>
  <c r="GL3" i="9" s="1"/>
  <c r="AP13" i="9"/>
  <c r="KO40" i="9"/>
  <c r="AH86" i="9"/>
  <c r="FP79" i="9"/>
  <c r="FQ79" i="9" s="1"/>
  <c r="GM96" i="9"/>
  <c r="CZ99" i="9"/>
  <c r="JF18" i="9"/>
  <c r="FL60" i="9"/>
  <c r="DZ50" i="9"/>
  <c r="EA50" i="9" s="1"/>
  <c r="DO35" i="9"/>
  <c r="IJ24" i="9"/>
  <c r="EJ81" i="9"/>
  <c r="IQ32" i="9"/>
  <c r="BH78" i="9"/>
  <c r="BI78" i="9" s="1"/>
  <c r="GG94" i="9"/>
  <c r="EQ109" i="9"/>
  <c r="JE8" i="9"/>
  <c r="EJ49" i="9"/>
  <c r="HV64" i="9"/>
  <c r="IY56" i="9"/>
  <c r="AH4" i="9"/>
  <c r="IQ86" i="9"/>
  <c r="KS19" i="9"/>
  <c r="KT19" i="9" s="1"/>
  <c r="JQ46" i="9"/>
  <c r="JR46" i="9" s="1"/>
  <c r="JJ6" i="9"/>
  <c r="JK6" i="9" s="1"/>
  <c r="JQ107" i="9"/>
  <c r="JR107" i="9" s="1"/>
  <c r="HH109" i="9"/>
  <c r="AI8" i="9"/>
  <c r="ID60" i="9"/>
  <c r="EJ92" i="9"/>
  <c r="HM103" i="9"/>
  <c r="HN103" i="9" s="1"/>
  <c r="JX72" i="9"/>
  <c r="JY72" i="9" s="1"/>
  <c r="JX102" i="9"/>
  <c r="JY102" i="9" s="1"/>
  <c r="AA36" i="9"/>
  <c r="CJ40" i="9"/>
  <c r="CK40" i="9" s="1"/>
  <c r="CT68" i="9"/>
  <c r="BX57" i="9"/>
  <c r="BO78" i="9"/>
  <c r="BP78" i="9" s="1"/>
  <c r="FR80" i="9"/>
  <c r="KO43" i="9"/>
  <c r="AM8" i="9"/>
  <c r="AN8" i="9" s="1"/>
  <c r="KU64" i="9"/>
  <c r="KV60" i="9"/>
  <c r="BK92" i="9"/>
  <c r="GM12" i="9"/>
  <c r="GG35" i="9"/>
  <c r="BX24" i="9"/>
  <c r="K39" i="9"/>
  <c r="L39" i="9" s="1"/>
  <c r="CJ27" i="9"/>
  <c r="CK27" i="9" s="1"/>
  <c r="FY81" i="9"/>
  <c r="GD32" i="9"/>
  <c r="GE32" i="9" s="1"/>
  <c r="IY14" i="9"/>
  <c r="JS51" i="9"/>
  <c r="FW71" i="9"/>
  <c r="FX71" i="9" s="1"/>
  <c r="JJ59" i="9"/>
  <c r="JK59" i="9" s="1"/>
  <c r="U75" i="9"/>
  <c r="AF26" i="9"/>
  <c r="AG26" i="9" s="1"/>
  <c r="IY5" i="9"/>
  <c r="DS30" i="9"/>
  <c r="DT30" i="9" s="1"/>
  <c r="IK16" i="9"/>
  <c r="IO61" i="9"/>
  <c r="IP61" i="9" s="1"/>
  <c r="AV106" i="9"/>
  <c r="IY48" i="9"/>
  <c r="GR99" i="9"/>
  <c r="GS99" i="9" s="1"/>
  <c r="CT98" i="9"/>
  <c r="CJ18" i="9"/>
  <c r="CK18" i="9" s="1"/>
  <c r="CX84" i="9"/>
  <c r="CY84" i="9" s="1"/>
  <c r="DH12" i="9"/>
  <c r="FS45" i="9"/>
  <c r="KV7" i="9"/>
  <c r="KV36" i="9"/>
  <c r="JJ54" i="9"/>
  <c r="JK54" i="9" s="1"/>
  <c r="DU15" i="9"/>
  <c r="EQ44" i="9"/>
  <c r="EC79" i="9"/>
  <c r="IR95" i="9"/>
  <c r="AI21" i="9"/>
  <c r="IC17" i="9"/>
  <c r="HB47" i="9"/>
  <c r="KE101" i="9"/>
  <c r="KF101" i="9" s="1"/>
  <c r="KO12" i="9"/>
  <c r="CT7" i="9"/>
  <c r="CJ102" i="9"/>
  <c r="CK102" i="9" s="1"/>
  <c r="BC67" i="9"/>
  <c r="IJ3" i="9"/>
  <c r="FR32" i="9"/>
  <c r="AV97" i="9"/>
  <c r="KU104" i="9"/>
  <c r="BY89" i="9"/>
  <c r="BY63" i="9"/>
  <c r="FE52" i="9"/>
  <c r="FD64" i="9"/>
  <c r="ID50" i="9"/>
  <c r="FL102" i="9"/>
  <c r="DO22" i="9"/>
  <c r="FS56" i="9"/>
  <c r="FR13" i="9"/>
  <c r="FW85" i="9"/>
  <c r="FX85" i="9" s="1"/>
  <c r="BV4" i="9"/>
  <c r="BW4" i="9" s="1"/>
  <c r="HH68" i="9"/>
  <c r="HI54" i="9"/>
  <c r="DU86" i="9"/>
  <c r="KA110" i="9"/>
  <c r="JE46" i="9"/>
  <c r="EX90" i="9"/>
  <c r="AH98" i="9"/>
  <c r="R8" i="9"/>
  <c r="S8" i="9" s="1"/>
  <c r="FD47" i="9"/>
  <c r="BO101" i="9"/>
  <c r="BP101" i="9" s="1"/>
  <c r="FP64" i="9"/>
  <c r="FQ64" i="9" s="1"/>
  <c r="CT70" i="9"/>
  <c r="FW72" i="9"/>
  <c r="FX72" i="9" s="1"/>
  <c r="DA56" i="9"/>
  <c r="T25" i="9"/>
  <c r="FY15" i="9"/>
  <c r="HO44" i="9"/>
  <c r="IQ79" i="9"/>
  <c r="JT19" i="9"/>
  <c r="AW10" i="9"/>
  <c r="AW20" i="9"/>
  <c r="GG100" i="9"/>
  <c r="HB26" i="9"/>
  <c r="BC28" i="9"/>
  <c r="BK89" i="9"/>
  <c r="JS17" i="9"/>
  <c r="FE106" i="9"/>
  <c r="CF109" i="9"/>
  <c r="FB98" i="9"/>
  <c r="FC98" i="9" s="1"/>
  <c r="FZ98" i="9"/>
  <c r="FR8" i="9"/>
  <c r="BV18" i="9"/>
  <c r="BW18" i="9" s="1"/>
  <c r="CC47" i="9"/>
  <c r="CD47" i="9" s="1"/>
  <c r="JQ49" i="9"/>
  <c r="JR49" i="9" s="1"/>
  <c r="GT101" i="9"/>
  <c r="M101" i="9"/>
  <c r="HI101" i="9"/>
  <c r="KE84" i="9"/>
  <c r="KF84" i="9" s="1"/>
  <c r="CE64" i="9"/>
  <c r="AO64" i="9"/>
  <c r="GY87" i="9"/>
  <c r="GZ87" i="9" s="1"/>
  <c r="EC60" i="9"/>
  <c r="CZ70" i="9"/>
  <c r="HP70" i="9"/>
  <c r="AH70" i="9"/>
  <c r="CT92" i="9"/>
  <c r="IR35" i="9"/>
  <c r="AV35" i="9"/>
  <c r="GU35" i="9"/>
  <c r="FE24" i="9"/>
  <c r="FL24" i="9"/>
  <c r="CZ45" i="9"/>
  <c r="KU72" i="9"/>
  <c r="KG72" i="9"/>
  <c r="ID39" i="9"/>
  <c r="CZ73" i="9"/>
  <c r="EI73" i="9"/>
  <c r="KO27" i="9"/>
  <c r="FP67" i="9"/>
  <c r="FQ67" i="9" s="1"/>
  <c r="HO67" i="9"/>
  <c r="GR56" i="9"/>
  <c r="GS56" i="9" s="1"/>
  <c r="BR42" i="9"/>
  <c r="GT42" i="9"/>
  <c r="KV42" i="9"/>
  <c r="JS3" i="9"/>
  <c r="JL3" i="9"/>
  <c r="BJ13" i="9"/>
  <c r="FB13" i="9"/>
  <c r="FC13" i="9" s="1"/>
  <c r="EP36" i="9"/>
  <c r="EQ25" i="9"/>
  <c r="HT55" i="9"/>
  <c r="HU55" i="9" s="1"/>
  <c r="BD85" i="9"/>
  <c r="AB85" i="9"/>
  <c r="BD14" i="9"/>
  <c r="DE14" i="9"/>
  <c r="DF14" i="9" s="1"/>
  <c r="JM97" i="9"/>
  <c r="KH37" i="9"/>
  <c r="CZ37" i="9"/>
  <c r="BX37" i="9"/>
  <c r="EW83" i="9"/>
  <c r="HO83" i="9"/>
  <c r="CL68" i="9"/>
  <c r="IJ15" i="9"/>
  <c r="IP9" i="9"/>
  <c r="BY8" i="9"/>
  <c r="IQ69" i="9"/>
  <c r="R72" i="9"/>
  <c r="S72" i="9" s="1"/>
  <c r="EI42" i="9"/>
  <c r="HT68" i="9"/>
  <c r="HU68" i="9" s="1"/>
  <c r="FE30" i="9"/>
  <c r="IA45" i="9"/>
  <c r="IB45" i="9" s="1"/>
  <c r="HA42" i="9"/>
  <c r="FE37" i="9"/>
  <c r="JT111" i="9"/>
  <c r="EU61" i="9"/>
  <c r="EV61" i="9" s="1"/>
  <c r="JJ111" i="9"/>
  <c r="JK111" i="9" s="1"/>
  <c r="BA3" i="9"/>
  <c r="BB3" i="9" s="1"/>
  <c r="ID97" i="9"/>
  <c r="JS11" i="9"/>
  <c r="CZ47" i="9"/>
  <c r="DZ13" i="9"/>
  <c r="EA13" i="9" s="1"/>
  <c r="EG62" i="9"/>
  <c r="EH62" i="9" s="1"/>
  <c r="HW18" i="9"/>
  <c r="DH64" i="9"/>
  <c r="M85" i="9"/>
  <c r="KV107" i="9"/>
  <c r="GM90" i="9"/>
  <c r="EC18" i="9"/>
  <c r="FP70" i="9"/>
  <c r="FQ70" i="9" s="1"/>
  <c r="BX103" i="9"/>
  <c r="DZ7" i="9"/>
  <c r="EA7" i="9" s="1"/>
  <c r="KU67" i="9"/>
  <c r="KU13" i="9"/>
  <c r="JQ4" i="9"/>
  <c r="JR4" i="9" s="1"/>
  <c r="DH100" i="9"/>
  <c r="BD90" i="9"/>
  <c r="JJ14" i="9"/>
  <c r="JK14" i="9" s="1"/>
  <c r="JT110" i="9"/>
  <c r="KV47" i="9"/>
  <c r="JZ52" i="9"/>
  <c r="IY47" i="9"/>
  <c r="HA60" i="9"/>
  <c r="DH47" i="9"/>
  <c r="BY35" i="9"/>
  <c r="JX88" i="9"/>
  <c r="JY88" i="9" s="1"/>
  <c r="CX38" i="9"/>
  <c r="CY38" i="9" s="1"/>
  <c r="CE83" i="9"/>
  <c r="JL79" i="9"/>
  <c r="FL89" i="9"/>
  <c r="BK109" i="9"/>
  <c r="IQ60" i="9"/>
  <c r="AV24" i="9"/>
  <c r="HI88" i="9"/>
  <c r="HF96" i="9"/>
  <c r="HG96" i="9" s="1"/>
  <c r="HM98" i="9"/>
  <c r="HN98" i="9" s="1"/>
  <c r="EQ60" i="9"/>
  <c r="BH51" i="9"/>
  <c r="BI51" i="9" s="1"/>
  <c r="AT79" i="9"/>
  <c r="AU79" i="9" s="1"/>
  <c r="DV100" i="9"/>
  <c r="IR28" i="9"/>
  <c r="EP105" i="9"/>
  <c r="EI101" i="9"/>
  <c r="FD39" i="9"/>
  <c r="HO32" i="9"/>
  <c r="BA6" i="9"/>
  <c r="BB6" i="9" s="1"/>
  <c r="IJ30" i="9"/>
  <c r="EI98" i="9"/>
  <c r="GU84" i="9"/>
  <c r="EJ12" i="9"/>
  <c r="HT13" i="9"/>
  <c r="HU13" i="9" s="1"/>
  <c r="EB19" i="9"/>
  <c r="BX104" i="9"/>
  <c r="DM104" i="9"/>
  <c r="K70" i="9"/>
  <c r="L70" i="9" s="1"/>
  <c r="EO67" i="9"/>
  <c r="CJ45" i="9"/>
  <c r="CK45" i="9" s="1"/>
  <c r="BD10" i="9"/>
  <c r="KA89" i="9"/>
  <c r="DE109" i="9"/>
  <c r="DF109" i="9" s="1"/>
  <c r="FL87" i="9"/>
  <c r="KH94" i="9"/>
  <c r="FK14" i="9"/>
  <c r="FK20" i="9"/>
  <c r="IV76" i="9"/>
  <c r="IW76" i="9" s="1"/>
  <c r="EC63" i="9"/>
  <c r="KO7" i="9"/>
  <c r="DL37" i="9"/>
  <c r="DM37" i="9" s="1"/>
  <c r="BQ52" i="9"/>
  <c r="GL24" i="9"/>
  <c r="BY34" i="9"/>
  <c r="EP91" i="9"/>
  <c r="CT99" i="9"/>
  <c r="CQ64" i="9"/>
  <c r="CR64" i="9" s="1"/>
  <c r="CE67" i="9"/>
  <c r="HP81" i="9"/>
  <c r="BJ14" i="9"/>
  <c r="AI51" i="9"/>
  <c r="CE89" i="9"/>
  <c r="KL76" i="9"/>
  <c r="KM76" i="9" s="1"/>
  <c r="DG29" i="9"/>
  <c r="Y66" i="9"/>
  <c r="Z66" i="9" s="1"/>
  <c r="GK11" i="9"/>
  <c r="GL11" i="9" s="1"/>
  <c r="CL11" i="9"/>
  <c r="DH34" i="9"/>
  <c r="BO109" i="9"/>
  <c r="BP109" i="9" s="1"/>
  <c r="GG70" i="9"/>
  <c r="AH103" i="9"/>
  <c r="ID88" i="9"/>
  <c r="DA16" i="9"/>
  <c r="KV62" i="9"/>
  <c r="GY105" i="9"/>
  <c r="GZ105" i="9" s="1"/>
  <c r="BJ106" i="9"/>
  <c r="DA80" i="9"/>
  <c r="BR47" i="9"/>
  <c r="HO101" i="9"/>
  <c r="GR50" i="9"/>
  <c r="GS50" i="9" s="1"/>
  <c r="JM24" i="9"/>
  <c r="FD102" i="9"/>
  <c r="AM88" i="9"/>
  <c r="AN88" i="9" s="1"/>
  <c r="ID36" i="9"/>
  <c r="DH4" i="9"/>
  <c r="FK37" i="9"/>
  <c r="BX86" i="9"/>
  <c r="BJ44" i="9"/>
  <c r="HI104" i="9"/>
  <c r="DU76" i="9"/>
  <c r="CJ98" i="9"/>
  <c r="CK98" i="9" s="1"/>
  <c r="AA60" i="9"/>
  <c r="JL92" i="9"/>
  <c r="DO32" i="9"/>
  <c r="CE37" i="9"/>
  <c r="FR77" i="9"/>
  <c r="JS5" i="9"/>
  <c r="FW82" i="9"/>
  <c r="FX82" i="9" s="1"/>
  <c r="FB31" i="9"/>
  <c r="FC31" i="9" s="1"/>
  <c r="BX87" i="9"/>
  <c r="DS70" i="9"/>
  <c r="DT70" i="9" s="1"/>
  <c r="EP70" i="9"/>
  <c r="EJ50" i="9"/>
  <c r="IK12" i="9"/>
  <c r="CF35" i="9"/>
  <c r="GF24" i="9"/>
  <c r="BJ72" i="9"/>
  <c r="GN39" i="9"/>
  <c r="EQ27" i="9"/>
  <c r="HH42" i="9"/>
  <c r="KH81" i="9"/>
  <c r="BC38" i="9"/>
  <c r="IK83" i="9"/>
  <c r="JZ10" i="9"/>
  <c r="JL46" i="9"/>
  <c r="AO20" i="9"/>
  <c r="GT6" i="9"/>
  <c r="DU94" i="9"/>
  <c r="AT104" i="9"/>
  <c r="AU104" i="9" s="1"/>
  <c r="JS89" i="9"/>
  <c r="KV80" i="9"/>
  <c r="EP8" i="9"/>
  <c r="FI49" i="9"/>
  <c r="FJ49" i="9" s="1"/>
  <c r="JS50" i="9"/>
  <c r="GN84" i="9"/>
  <c r="FS84" i="9"/>
  <c r="KH64" i="9"/>
  <c r="AI60" i="9"/>
  <c r="HP111" i="9"/>
  <c r="HA50" i="9"/>
  <c r="HH12" i="9"/>
  <c r="HI103" i="9"/>
  <c r="HM24" i="9"/>
  <c r="HN24" i="9" s="1"/>
  <c r="CQ56" i="9"/>
  <c r="CR56" i="9" s="1"/>
  <c r="KV3" i="9"/>
  <c r="BY13" i="9"/>
  <c r="BD99" i="9"/>
  <c r="CM52" i="9"/>
  <c r="IR84" i="9"/>
  <c r="EI87" i="9"/>
  <c r="HA92" i="9"/>
  <c r="CF103" i="9"/>
  <c r="FR90" i="9"/>
  <c r="GU74" i="9"/>
  <c r="BX11" i="9"/>
  <c r="FR41" i="9"/>
  <c r="AW52" i="9"/>
  <c r="DL111" i="9"/>
  <c r="DM111" i="9" s="1"/>
  <c r="EU4" i="9"/>
  <c r="EV4" i="9" s="1"/>
  <c r="R40" i="9"/>
  <c r="S40" i="9" s="1"/>
  <c r="CX57" i="9"/>
  <c r="CY57" i="9" s="1"/>
  <c r="KH44" i="9"/>
  <c r="EJ20" i="9"/>
  <c r="FR94" i="9"/>
  <c r="FI104" i="9"/>
  <c r="FJ104" i="9" s="1"/>
  <c r="DN21" i="9"/>
  <c r="JS62" i="9"/>
  <c r="KU105" i="9"/>
  <c r="CQ48" i="9"/>
  <c r="CR48" i="9" s="1"/>
  <c r="EN43" i="9"/>
  <c r="EO43" i="9" s="1"/>
  <c r="HV93" i="9"/>
  <c r="DV52" i="9"/>
  <c r="HW47" i="9"/>
  <c r="AO92" i="9"/>
  <c r="DH103" i="9"/>
  <c r="BO39" i="9"/>
  <c r="BP39" i="9" s="1"/>
  <c r="FW102" i="9"/>
  <c r="FX102" i="9" s="1"/>
  <c r="IQ40" i="9"/>
  <c r="EU51" i="9"/>
  <c r="EV51" i="9" s="1"/>
  <c r="AT46" i="9"/>
  <c r="AU46" i="9" s="1"/>
  <c r="ID104" i="9"/>
  <c r="HH26" i="9"/>
  <c r="KU16" i="9"/>
  <c r="BH69" i="9"/>
  <c r="BI69" i="9" s="1"/>
  <c r="BH90" i="9"/>
  <c r="BI90" i="9" s="1"/>
  <c r="CL73" i="9"/>
  <c r="FR81" i="9"/>
  <c r="GM25" i="9"/>
  <c r="HH85" i="9"/>
  <c r="JE97" i="9"/>
  <c r="Y57" i="9"/>
  <c r="Z57" i="9" s="1"/>
  <c r="R110" i="9"/>
  <c r="S110" i="9" s="1"/>
  <c r="KE21" i="9"/>
  <c r="KF21" i="9" s="1"/>
  <c r="KL96" i="9"/>
  <c r="KM96" i="9" s="1"/>
  <c r="JM17" i="9"/>
  <c r="DV69" i="9"/>
  <c r="JQ47" i="9"/>
  <c r="JR47" i="9" s="1"/>
  <c r="DZ70" i="9"/>
  <c r="EA70" i="9" s="1"/>
  <c r="GM45" i="9"/>
  <c r="JZ22" i="9"/>
  <c r="IK88" i="9"/>
  <c r="IC57" i="9"/>
  <c r="EU46" i="9"/>
  <c r="EV46" i="9" s="1"/>
  <c r="AM96" i="9"/>
  <c r="AN96" i="9" s="1"/>
  <c r="AV16" i="9"/>
  <c r="JL109" i="9"/>
  <c r="DZ4" i="9"/>
  <c r="EA4" i="9" s="1"/>
  <c r="BX51" i="9"/>
  <c r="HA57" i="9"/>
  <c r="CQ59" i="9"/>
  <c r="CR59" i="9" s="1"/>
  <c r="FS75" i="9"/>
  <c r="GG99" i="9"/>
  <c r="CZ52" i="9"/>
  <c r="IJ109" i="9"/>
  <c r="FK8" i="9"/>
  <c r="EB49" i="9"/>
  <c r="AB84" i="9"/>
  <c r="IX12" i="9"/>
  <c r="AM18" i="9"/>
  <c r="AN18" i="9" s="1"/>
  <c r="EX49" i="9"/>
  <c r="EP84" i="9"/>
  <c r="CT87" i="9"/>
  <c r="EW60" i="9"/>
  <c r="EX111" i="9"/>
  <c r="JC45" i="9"/>
  <c r="JD45" i="9" s="1"/>
  <c r="HH69" i="9"/>
  <c r="R63" i="9"/>
  <c r="S63" i="9" s="1"/>
  <c r="FP31" i="9"/>
  <c r="FQ31" i="9" s="1"/>
  <c r="T43" i="9"/>
  <c r="GF87" i="9"/>
  <c r="AI92" i="9"/>
  <c r="KH73" i="9"/>
  <c r="GD25" i="9"/>
  <c r="GE25" i="9" s="1"/>
  <c r="IA85" i="9"/>
  <c r="IB85" i="9" s="1"/>
  <c r="KE83" i="9"/>
  <c r="KF83" i="9" s="1"/>
  <c r="EN110" i="9"/>
  <c r="EO110" i="9" s="1"/>
  <c r="K71" i="9"/>
  <c r="L71" i="9" s="1"/>
  <c r="HI46" i="9"/>
  <c r="EX6" i="9"/>
  <c r="JC95" i="9"/>
  <c r="JD95" i="9" s="1"/>
  <c r="KV75" i="9"/>
  <c r="KO28" i="9"/>
  <c r="Y30" i="9"/>
  <c r="Z30" i="9" s="1"/>
  <c r="FZ69" i="9"/>
  <c r="IX98" i="9"/>
  <c r="AI18" i="9"/>
  <c r="HA101" i="9"/>
  <c r="BV60" i="9"/>
  <c r="BW60" i="9" s="1"/>
  <c r="JC92" i="9"/>
  <c r="JD92" i="9" s="1"/>
  <c r="BO12" i="9"/>
  <c r="BP12" i="9" s="1"/>
  <c r="DZ24" i="9"/>
  <c r="EA24" i="9" s="1"/>
  <c r="BQ7" i="9"/>
  <c r="EG22" i="9"/>
  <c r="EH22" i="9" s="1"/>
  <c r="DL36" i="9"/>
  <c r="DM36" i="9" s="1"/>
  <c r="GN14" i="9"/>
  <c r="DS98" i="9"/>
  <c r="DT98" i="9" s="1"/>
  <c r="CJ70" i="9"/>
  <c r="CK70" i="9" s="1"/>
  <c r="KU50" i="9"/>
  <c r="BC35" i="9"/>
  <c r="HP39" i="9"/>
  <c r="BC73" i="9"/>
  <c r="CJ55" i="9"/>
  <c r="CK55" i="9" s="1"/>
  <c r="EC83" i="9"/>
  <c r="HF19" i="9"/>
  <c r="HG19" i="9" s="1"/>
  <c r="GG59" i="9"/>
  <c r="KO26" i="9"/>
  <c r="JJ28" i="9"/>
  <c r="JK28" i="9" s="1"/>
  <c r="AB89" i="9"/>
  <c r="EW63" i="9"/>
  <c r="DG74" i="9"/>
  <c r="KL82" i="9"/>
  <c r="KM82" i="9" s="1"/>
  <c r="AB11" i="9"/>
  <c r="AM109" i="9"/>
  <c r="AN109" i="9" s="1"/>
  <c r="EQ87" i="9"/>
  <c r="JF12" i="9"/>
  <c r="AW12" i="9"/>
  <c r="BC24" i="9"/>
  <c r="CX72" i="9"/>
  <c r="CY72" i="9" s="1"/>
  <c r="KA3" i="9"/>
  <c r="GU83" i="9"/>
  <c r="HP51" i="9"/>
  <c r="ID44" i="9"/>
  <c r="FI78" i="9"/>
  <c r="FJ78" i="9" s="1"/>
  <c r="BQ107" i="9"/>
  <c r="IA75" i="9"/>
  <c r="IB75" i="9" s="1"/>
  <c r="FR28" i="9"/>
  <c r="HT89" i="9"/>
  <c r="HU89" i="9" s="1"/>
  <c r="CC17" i="9"/>
  <c r="CD17" i="9" s="1"/>
  <c r="AI63" i="9"/>
  <c r="IJ80" i="9"/>
  <c r="KV99" i="9"/>
  <c r="KU73" i="9"/>
  <c r="FE97" i="9"/>
  <c r="DL54" i="9"/>
  <c r="DM54" i="9" s="1"/>
  <c r="Y44" i="9"/>
  <c r="Z44" i="9" s="1"/>
  <c r="DA110" i="9"/>
  <c r="CQ10" i="9"/>
  <c r="CR10" i="9" s="1"/>
  <c r="JE5" i="9"/>
  <c r="HM69" i="9"/>
  <c r="HN69" i="9" s="1"/>
  <c r="KN98" i="9"/>
  <c r="KU87" i="9"/>
  <c r="DS60" i="9"/>
  <c r="DT60" i="9" s="1"/>
  <c r="IK111" i="9"/>
  <c r="IX50" i="9"/>
  <c r="DA109" i="9"/>
  <c r="FP18" i="9"/>
  <c r="FQ18" i="9" s="1"/>
  <c r="HO49" i="9"/>
  <c r="BK84" i="9"/>
  <c r="BX27" i="9"/>
  <c r="CX67" i="9"/>
  <c r="CY67" i="9" s="1"/>
  <c r="FZ88" i="9"/>
  <c r="N25" i="9"/>
  <c r="JZ38" i="9"/>
  <c r="FP85" i="9"/>
  <c r="FQ85" i="9" s="1"/>
  <c r="EB8" i="9"/>
  <c r="GG18" i="9"/>
  <c r="DH101" i="9"/>
  <c r="Y64" i="9"/>
  <c r="Z64" i="9" s="1"/>
  <c r="FI50" i="9"/>
  <c r="FJ50" i="9" s="1"/>
  <c r="FS12" i="9"/>
  <c r="JL103" i="9"/>
  <c r="HT74" i="9"/>
  <c r="HU74" i="9" s="1"/>
  <c r="GU82" i="9"/>
  <c r="FS66" i="9"/>
  <c r="IY65" i="9"/>
  <c r="GK109" i="9"/>
  <c r="GL109" i="9" s="1"/>
  <c r="KV18" i="9"/>
  <c r="IO101" i="9"/>
  <c r="IP101" i="9" s="1"/>
  <c r="CC12" i="9"/>
  <c r="CD12" i="9" s="1"/>
  <c r="JX103" i="9"/>
  <c r="JY103" i="9" s="1"/>
  <c r="FP39" i="9"/>
  <c r="FQ39" i="9" s="1"/>
  <c r="DG37" i="9"/>
  <c r="DA86" i="9"/>
  <c r="BC79" i="9"/>
  <c r="EX100" i="9"/>
  <c r="N107" i="9"/>
  <c r="GF77" i="9"/>
  <c r="DG16" i="9"/>
  <c r="IX90" i="9"/>
  <c r="FL63" i="9"/>
  <c r="KU58" i="9"/>
  <c r="GN91" i="9"/>
  <c r="CF41" i="9"/>
  <c r="EW93" i="9"/>
  <c r="BV52" i="9"/>
  <c r="BW52" i="9" s="1"/>
  <c r="BA49" i="9"/>
  <c r="BB49" i="9" s="1"/>
  <c r="AH64" i="9"/>
  <c r="KL70" i="9"/>
  <c r="KM70" i="9" s="1"/>
  <c r="AA50" i="9"/>
  <c r="EC12" i="9"/>
  <c r="FR72" i="9"/>
  <c r="IQ36" i="9"/>
  <c r="R83" i="9"/>
  <c r="S83" i="9" s="1"/>
  <c r="JE110" i="9"/>
  <c r="HT107" i="9"/>
  <c r="HU107" i="9" s="1"/>
  <c r="JM77" i="9"/>
  <c r="IA5" i="9"/>
  <c r="IB5" i="9" s="1"/>
  <c r="HM52" i="9"/>
  <c r="HN52" i="9" s="1"/>
  <c r="KL13" i="9"/>
  <c r="KM13" i="9" s="1"/>
  <c r="DV36" i="9"/>
  <c r="FB38" i="9"/>
  <c r="FC38" i="9" s="1"/>
  <c r="T14" i="9"/>
  <c r="R68" i="9"/>
  <c r="S68" i="9" s="1"/>
  <c r="CE44" i="9"/>
  <c r="GF79" i="9"/>
  <c r="BA46" i="9"/>
  <c r="BB46" i="9" s="1"/>
  <c r="GD20" i="9"/>
  <c r="GE20" i="9" s="1"/>
  <c r="EJ74" i="9"/>
  <c r="KV65" i="9"/>
  <c r="CJ101" i="9"/>
  <c r="CK101" i="9" s="1"/>
  <c r="HV92" i="9"/>
  <c r="HW103" i="9"/>
  <c r="JZ24" i="9"/>
  <c r="IR72" i="9"/>
  <c r="EB73" i="9"/>
  <c r="FR42" i="9"/>
  <c r="FY33" i="9"/>
  <c r="EC54" i="9"/>
  <c r="AF57" i="9"/>
  <c r="AG57" i="9" s="1"/>
  <c r="BY10" i="9"/>
  <c r="AV75" i="9"/>
  <c r="HW96" i="9"/>
  <c r="DS16" i="9"/>
  <c r="DT16" i="9" s="1"/>
  <c r="FI69" i="9"/>
  <c r="FJ69" i="9" s="1"/>
  <c r="JQ23" i="9"/>
  <c r="JR23" i="9" s="1"/>
  <c r="EJ66" i="9"/>
  <c r="KN31" i="9"/>
  <c r="KU11" i="9"/>
  <c r="FS11" i="9"/>
  <c r="IK52" i="9"/>
  <c r="HH47" i="9"/>
  <c r="AF101" i="9"/>
  <c r="AG101" i="9" s="1"/>
  <c r="BQ92" i="9"/>
  <c r="FL35" i="9"/>
  <c r="CM39" i="9"/>
  <c r="AA7" i="9"/>
  <c r="DV22" i="9"/>
  <c r="AP83" i="9"/>
  <c r="N54" i="9"/>
  <c r="FI57" i="9"/>
  <c r="FJ57" i="9" s="1"/>
  <c r="DH59" i="9"/>
  <c r="AB77" i="9"/>
  <c r="CS47" i="9"/>
  <c r="T87" i="9"/>
  <c r="DN103" i="9"/>
  <c r="R99" i="9"/>
  <c r="S99" i="9" s="1"/>
  <c r="EB98" i="9"/>
  <c r="IR47" i="9"/>
  <c r="T101" i="9"/>
  <c r="N24" i="9"/>
  <c r="DZ45" i="9"/>
  <c r="EA45" i="9" s="1"/>
  <c r="BK27" i="9"/>
  <c r="EB36" i="9"/>
  <c r="HF38" i="9"/>
  <c r="HG38" i="9" s="1"/>
  <c r="JJ52" i="9"/>
  <c r="JK52" i="9" s="1"/>
  <c r="BH98" i="9"/>
  <c r="BI98" i="9" s="1"/>
  <c r="GF64" i="9"/>
  <c r="AT50" i="9"/>
  <c r="AU50" i="9" s="1"/>
  <c r="EQ73" i="9"/>
  <c r="HT102" i="9"/>
  <c r="HU102" i="9" s="1"/>
  <c r="DU90" i="9"/>
  <c r="EX31" i="9"/>
  <c r="Y98" i="9"/>
  <c r="Z98" i="9" s="1"/>
  <c r="DN12" i="9"/>
  <c r="IY7" i="9"/>
  <c r="AI13" i="9"/>
  <c r="FI4" i="9"/>
  <c r="FJ4" i="9" s="1"/>
  <c r="BJ15" i="9"/>
  <c r="IQ20" i="9"/>
  <c r="KA6" i="9"/>
  <c r="BD107" i="9"/>
  <c r="FW77" i="9"/>
  <c r="FX77" i="9" s="1"/>
  <c r="R28" i="9"/>
  <c r="S28" i="9" s="1"/>
  <c r="EB16" i="9"/>
  <c r="BR22" i="9"/>
  <c r="IR56" i="9"/>
  <c r="KO3" i="9"/>
  <c r="FY25" i="9"/>
  <c r="IH85" i="9"/>
  <c r="II85" i="9" s="1"/>
  <c r="N51" i="9"/>
  <c r="DN110" i="9"/>
  <c r="CE104" i="9"/>
  <c r="FI30" i="9"/>
  <c r="FJ30" i="9" s="1"/>
  <c r="BH17" i="9"/>
  <c r="BI17" i="9" s="1"/>
  <c r="N69" i="9"/>
  <c r="GT63" i="9"/>
  <c r="GD109" i="9"/>
  <c r="GE109" i="9" s="1"/>
  <c r="DU8" i="9"/>
  <c r="AP84" i="9"/>
  <c r="JQ87" i="9"/>
  <c r="JR87" i="9" s="1"/>
  <c r="KH111" i="9"/>
  <c r="EG103" i="9"/>
  <c r="EH103" i="9" s="1"/>
  <c r="BJ39" i="9"/>
  <c r="DG55" i="9"/>
  <c r="DN4" i="9"/>
  <c r="GD110" i="9"/>
  <c r="GE110" i="9" s="1"/>
  <c r="AM47" i="9"/>
  <c r="AN47" i="9" s="1"/>
  <c r="AH83" i="9"/>
  <c r="U10" i="9"/>
  <c r="AA10" i="9"/>
  <c r="HT59" i="9"/>
  <c r="HU59" i="9" s="1"/>
  <c r="IV6" i="9"/>
  <c r="IW6" i="9" s="1"/>
  <c r="JX95" i="9"/>
  <c r="JY95" i="9" s="1"/>
  <c r="CF28" i="9"/>
  <c r="DZ89" i="9"/>
  <c r="EA89" i="9" s="1"/>
  <c r="KG17" i="9"/>
  <c r="IO82" i="9"/>
  <c r="IP82" i="9" s="1"/>
  <c r="IC109" i="9"/>
  <c r="DL49" i="9"/>
  <c r="DM49" i="9" s="1"/>
  <c r="ID84" i="9"/>
  <c r="DG60" i="9"/>
  <c r="BQ35" i="9"/>
  <c r="FE45" i="9"/>
  <c r="JT56" i="9"/>
  <c r="DZ42" i="9"/>
  <c r="EA42" i="9" s="1"/>
  <c r="HP33" i="9"/>
  <c r="HF37" i="9"/>
  <c r="HG37" i="9" s="1"/>
  <c r="CF46" i="9"/>
  <c r="GM95" i="9"/>
  <c r="GD21" i="9"/>
  <c r="GE21" i="9" s="1"/>
  <c r="FK5" i="9"/>
  <c r="CL96" i="9"/>
  <c r="KO16" i="9"/>
  <c r="BC105" i="9"/>
  <c r="AM63" i="9"/>
  <c r="AN63" i="9" s="1"/>
  <c r="DU109" i="9"/>
  <c r="DG18" i="9"/>
  <c r="AB101" i="9"/>
  <c r="AP111" i="9"/>
  <c r="FB92" i="9"/>
  <c r="FC92" i="9" s="1"/>
  <c r="IX103" i="9"/>
  <c r="IY109" i="9"/>
  <c r="M8" i="9"/>
  <c r="DL50" i="9"/>
  <c r="DM50" i="9" s="1"/>
  <c r="KL103" i="9"/>
  <c r="KM103" i="9" s="1"/>
  <c r="HW45" i="9"/>
  <c r="JC39" i="9"/>
  <c r="JD39" i="9" s="1"/>
  <c r="JL56" i="9"/>
  <c r="KE55" i="9"/>
  <c r="KF55" i="9" s="1"/>
  <c r="JX32" i="9"/>
  <c r="JY32" i="9" s="1"/>
  <c r="FW109" i="9"/>
  <c r="FX109" i="9" s="1"/>
  <c r="CE8" i="9"/>
  <c r="DV101" i="9"/>
  <c r="DN92" i="9"/>
  <c r="FZ24" i="9"/>
  <c r="HT24" i="9"/>
  <c r="HU24" i="9" s="1"/>
  <c r="JM72" i="9"/>
  <c r="R39" i="9"/>
  <c r="S39" i="9" s="1"/>
  <c r="KA73" i="9"/>
  <c r="AO27" i="9"/>
  <c r="AF99" i="9"/>
  <c r="AG99" i="9" s="1"/>
  <c r="EJ70" i="9"/>
  <c r="JF7" i="9"/>
  <c r="GN102" i="9"/>
  <c r="EP88" i="9"/>
  <c r="IC25" i="9"/>
  <c r="DO86" i="9"/>
  <c r="FK76" i="9"/>
  <c r="BY29" i="9"/>
  <c r="IV91" i="9"/>
  <c r="IW91" i="9" s="1"/>
  <c r="AB53" i="9"/>
  <c r="CM64" i="9"/>
  <c r="GT111" i="9"/>
  <c r="HW35" i="9"/>
  <c r="ID72" i="9"/>
  <c r="BH67" i="9"/>
  <c r="BI67" i="9" s="1"/>
  <c r="FY83" i="9"/>
  <c r="IK20" i="9"/>
  <c r="AW107" i="9"/>
  <c r="BQ5" i="9"/>
  <c r="EU9" i="9"/>
  <c r="EV9" i="9" s="1"/>
  <c r="HA74" i="9"/>
  <c r="FY45" i="9"/>
  <c r="DH81" i="9"/>
  <c r="N68" i="9"/>
  <c r="HV15" i="9"/>
  <c r="GN21" i="9"/>
  <c r="CL5" i="9"/>
  <c r="GG34" i="9"/>
  <c r="KL52" i="9"/>
  <c r="KM52" i="9" s="1"/>
  <c r="GY8" i="9"/>
  <c r="GZ8" i="9" s="1"/>
  <c r="BX49" i="9"/>
  <c r="AH87" i="9"/>
  <c r="DU54" i="9"/>
  <c r="EI19" i="9"/>
  <c r="IC95" i="9"/>
  <c r="DZ105" i="9"/>
  <c r="EA105" i="9" s="1"/>
  <c r="BR98" i="9"/>
  <c r="GR49" i="9"/>
  <c r="GS49" i="9" s="1"/>
  <c r="FY87" i="9"/>
  <c r="DZ103" i="9"/>
  <c r="EA103" i="9" s="1"/>
  <c r="CJ88" i="9"/>
  <c r="CK88" i="9" s="1"/>
  <c r="AM54" i="9"/>
  <c r="AN54" i="9" s="1"/>
  <c r="EJ95" i="9"/>
  <c r="KH96" i="9"/>
  <c r="IJ99" i="9"/>
  <c r="BY99" i="9"/>
  <c r="M18" i="9"/>
  <c r="JC101" i="9"/>
  <c r="JD101" i="9" s="1"/>
  <c r="FZ60" i="9"/>
  <c r="BR99" i="9"/>
  <c r="JM99" i="9"/>
  <c r="AB52" i="9"/>
  <c r="EP52" i="9"/>
  <c r="JE109" i="9"/>
  <c r="EU98" i="9"/>
  <c r="EV98" i="9" s="1"/>
  <c r="IH8" i="9"/>
  <c r="II8" i="9" s="1"/>
  <c r="GG84" i="9"/>
  <c r="JM64" i="9"/>
  <c r="GK64" i="9"/>
  <c r="GL64" i="9" s="1"/>
  <c r="GM87" i="9"/>
  <c r="DH87" i="9"/>
  <c r="HI87" i="9"/>
  <c r="EB111" i="9"/>
  <c r="FP50" i="9"/>
  <c r="FQ50" i="9" s="1"/>
  <c r="DA92" i="9"/>
  <c r="KG92" i="9"/>
  <c r="JL12" i="9"/>
  <c r="IQ12" i="9"/>
  <c r="JC35" i="9"/>
  <c r="JD35" i="9" s="1"/>
  <c r="KL35" i="9"/>
  <c r="KM35" i="9" s="1"/>
  <c r="JC103" i="9"/>
  <c r="JD103" i="9" s="1"/>
  <c r="BJ103" i="9"/>
  <c r="DO24" i="9"/>
  <c r="GD45" i="9"/>
  <c r="GE45" i="9" s="1"/>
  <c r="GT72" i="9"/>
  <c r="DU39" i="9"/>
  <c r="AW39" i="9"/>
  <c r="DV7" i="9"/>
  <c r="AP73" i="9"/>
  <c r="BR73" i="9"/>
  <c r="JF27" i="9"/>
  <c r="AV27" i="9"/>
  <c r="FE27" i="9"/>
  <c r="DU102" i="9"/>
  <c r="CF102" i="9"/>
  <c r="EQ22" i="9"/>
  <c r="IC56" i="9"/>
  <c r="EQ56" i="9"/>
  <c r="KG88" i="9"/>
  <c r="HH3" i="9"/>
  <c r="EB81" i="9"/>
  <c r="CJ13" i="9"/>
  <c r="CK13" i="9" s="1"/>
  <c r="M13" i="9"/>
  <c r="JZ13" i="9"/>
  <c r="AB25" i="9"/>
  <c r="JF55" i="9"/>
  <c r="DV38" i="9"/>
  <c r="KE38" i="9"/>
  <c r="KF38" i="9" s="1"/>
  <c r="AT32" i="9"/>
  <c r="AU32" i="9" s="1"/>
  <c r="KU32" i="9"/>
  <c r="GM32" i="9"/>
  <c r="CQ85" i="9"/>
  <c r="CR85" i="9" s="1"/>
  <c r="EP85" i="9"/>
  <c r="IK14" i="9"/>
  <c r="HT14" i="9"/>
  <c r="HU14" i="9" s="1"/>
  <c r="JL4" i="9"/>
  <c r="FS33" i="9"/>
  <c r="CS33" i="9"/>
  <c r="FI97" i="9"/>
  <c r="FJ97" i="9" s="1"/>
  <c r="BK97" i="9"/>
  <c r="DV40" i="9"/>
  <c r="JC51" i="9"/>
  <c r="JD51" i="9" s="1"/>
  <c r="BR54" i="9"/>
  <c r="BK57" i="9"/>
  <c r="JQ44" i="9"/>
  <c r="JR44" i="9" s="1"/>
  <c r="DG31" i="9"/>
  <c r="BO48" i="9"/>
  <c r="BP48" i="9" s="1"/>
  <c r="AV18" i="9"/>
  <c r="T103" i="9"/>
  <c r="CT102" i="9"/>
  <c r="HI67" i="9"/>
  <c r="JZ36" i="9"/>
  <c r="CC40" i="9"/>
  <c r="CD40" i="9" s="1"/>
  <c r="AF68" i="9"/>
  <c r="AG68" i="9" s="1"/>
  <c r="KH15" i="9"/>
  <c r="DH46" i="9"/>
  <c r="IY94" i="9"/>
  <c r="HW109" i="9"/>
  <c r="Y8" i="9"/>
  <c r="Z8" i="9" s="1"/>
  <c r="IC49" i="9"/>
  <c r="CJ87" i="9"/>
  <c r="CK87" i="9" s="1"/>
  <c r="KV111" i="9"/>
  <c r="GM35" i="9"/>
  <c r="FL81" i="9"/>
  <c r="CZ14" i="9"/>
  <c r="BH4" i="9"/>
  <c r="BI4" i="9" s="1"/>
  <c r="CX97" i="9"/>
  <c r="CY97" i="9" s="1"/>
  <c r="KV37" i="9"/>
  <c r="AT54" i="9"/>
  <c r="AU54" i="9" s="1"/>
  <c r="EP20" i="9"/>
  <c r="FZ75" i="9"/>
  <c r="FZ76" i="9"/>
  <c r="KG106" i="9"/>
  <c r="IC80" i="9"/>
  <c r="N99" i="9"/>
  <c r="KN42" i="9"/>
  <c r="U13" i="9"/>
  <c r="DL83" i="9"/>
  <c r="DM83" i="9" s="1"/>
  <c r="EN51" i="9"/>
  <c r="EO51" i="9" s="1"/>
  <c r="GU86" i="9"/>
  <c r="GK46" i="9"/>
  <c r="GL46" i="9" s="1"/>
  <c r="JE59" i="9"/>
  <c r="CJ107" i="9"/>
  <c r="CK107" i="9" s="1"/>
  <c r="JS77" i="9"/>
  <c r="GY28" i="9"/>
  <c r="GZ28" i="9" s="1"/>
  <c r="BX16" i="9"/>
  <c r="FS101" i="9"/>
  <c r="FD60" i="9"/>
  <c r="EC99" i="9"/>
  <c r="CL99" i="9"/>
  <c r="GF52" i="9"/>
  <c r="IY52" i="9"/>
  <c r="JT109" i="9"/>
  <c r="CT109" i="9"/>
  <c r="JT98" i="9"/>
  <c r="JJ98" i="9"/>
  <c r="JK98" i="9" s="1"/>
  <c r="KS8" i="9"/>
  <c r="KT8" i="9" s="1"/>
  <c r="IV18" i="9"/>
  <c r="IW18" i="9" s="1"/>
  <c r="KA101" i="9"/>
  <c r="IH101" i="9"/>
  <c r="II101" i="9" s="1"/>
  <c r="JE84" i="9"/>
  <c r="DA64" i="9"/>
  <c r="HA64" i="9"/>
  <c r="IA87" i="9"/>
  <c r="IB87" i="9" s="1"/>
  <c r="HO87" i="9"/>
  <c r="FP87" i="9"/>
  <c r="FQ87" i="9" s="1"/>
  <c r="EI60" i="9"/>
  <c r="IH70" i="9"/>
  <c r="II70" i="9" s="1"/>
  <c r="CZ111" i="9"/>
  <c r="HW111" i="9"/>
  <c r="JX50" i="9"/>
  <c r="JY50" i="9" s="1"/>
  <c r="BK50" i="9"/>
  <c r="BA92" i="9"/>
  <c r="BB92" i="9" s="1"/>
  <c r="K92" i="9"/>
  <c r="L92" i="9" s="1"/>
  <c r="AT92" i="9"/>
  <c r="AU92" i="9" s="1"/>
  <c r="KG12" i="9"/>
  <c r="GG12" i="9"/>
  <c r="BK35" i="9"/>
  <c r="KG103" i="9"/>
  <c r="CS103" i="9"/>
  <c r="CC45" i="9"/>
  <c r="CD45" i="9" s="1"/>
  <c r="DS45" i="9"/>
  <c r="DT45" i="9" s="1"/>
  <c r="GT39" i="9"/>
  <c r="T7" i="9"/>
  <c r="CZ7" i="9"/>
  <c r="N27" i="9"/>
  <c r="KG27" i="9"/>
  <c r="HO102" i="9"/>
  <c r="DH22" i="9"/>
  <c r="EX22" i="9"/>
  <c r="JL67" i="9"/>
  <c r="JC67" i="9"/>
  <c r="JD67" i="9" s="1"/>
  <c r="KH56" i="9"/>
  <c r="AT42" i="9"/>
  <c r="AU42" i="9" s="1"/>
  <c r="IC13" i="9"/>
  <c r="CX13" i="9"/>
  <c r="CY13" i="9" s="1"/>
  <c r="FK55" i="9"/>
  <c r="T38" i="9"/>
  <c r="JM32" i="9"/>
  <c r="EG14" i="9"/>
  <c r="EH14" i="9" s="1"/>
  <c r="KS14" i="9"/>
  <c r="KT14" i="9" s="1"/>
  <c r="DS4" i="9"/>
  <c r="DT4" i="9" s="1"/>
  <c r="EQ4" i="9"/>
  <c r="KO33" i="9"/>
  <c r="FR97" i="9"/>
  <c r="EI40" i="9"/>
  <c r="M37" i="9"/>
  <c r="KS83" i="9"/>
  <c r="KT83" i="9" s="1"/>
  <c r="BY68" i="9"/>
  <c r="GK68" i="9"/>
  <c r="GL68" i="9" s="1"/>
  <c r="HW51" i="9"/>
  <c r="DE51" i="9"/>
  <c r="DF51" i="9" s="1"/>
  <c r="AW51" i="9"/>
  <c r="EN15" i="9"/>
  <c r="EO15" i="9" s="1"/>
  <c r="BC57" i="9"/>
  <c r="FI86" i="9"/>
  <c r="FJ86" i="9" s="1"/>
  <c r="DE86" i="9"/>
  <c r="DF86" i="9" s="1"/>
  <c r="ID110" i="9"/>
  <c r="EX79" i="9"/>
  <c r="KN10" i="9"/>
  <c r="FS46" i="9"/>
  <c r="CL46" i="9"/>
  <c r="CM59" i="9"/>
  <c r="KL20" i="9"/>
  <c r="KM20" i="9" s="1"/>
  <c r="CT20" i="9"/>
  <c r="GU20" i="9"/>
  <c r="CQ100" i="9"/>
  <c r="CR100" i="9" s="1"/>
  <c r="HI100" i="9"/>
  <c r="DA94" i="9"/>
  <c r="JQ94" i="9"/>
  <c r="JR94" i="9" s="1"/>
  <c r="Z47" i="9"/>
  <c r="KF109" i="9"/>
  <c r="IH45" i="9"/>
  <c r="II45" i="9" s="1"/>
  <c r="AP45" i="9"/>
  <c r="GY72" i="9"/>
  <c r="GZ72" i="9" s="1"/>
  <c r="EI39" i="9"/>
  <c r="IQ39" i="9"/>
  <c r="GD73" i="9"/>
  <c r="GE73" i="9" s="1"/>
  <c r="FY73" i="9"/>
  <c r="IR27" i="9"/>
  <c r="BC102" i="9"/>
  <c r="IO22" i="9"/>
  <c r="IP22" i="9" s="1"/>
  <c r="EW67" i="9"/>
  <c r="CC56" i="9"/>
  <c r="CD56" i="9" s="1"/>
  <c r="IQ88" i="9"/>
  <c r="FB88" i="9"/>
  <c r="FC88" i="9" s="1"/>
  <c r="T42" i="9"/>
  <c r="DO42" i="9"/>
  <c r="BQ13" i="9"/>
  <c r="AA13" i="9"/>
  <c r="EI36" i="9"/>
  <c r="CT25" i="9"/>
  <c r="IR25" i="9"/>
  <c r="IC55" i="9"/>
  <c r="BX32" i="9"/>
  <c r="CX32" i="9"/>
  <c r="CY32" i="9" s="1"/>
  <c r="JE85" i="9"/>
  <c r="BY14" i="9"/>
  <c r="KG33" i="9"/>
  <c r="BQ33" i="9"/>
  <c r="IA40" i="9"/>
  <c r="IB40" i="9" s="1"/>
  <c r="HA37" i="9"/>
  <c r="BO83" i="9"/>
  <c r="BP83" i="9" s="1"/>
  <c r="BV83" i="9"/>
  <c r="BW83" i="9" s="1"/>
  <c r="DZ68" i="9"/>
  <c r="EA68" i="9" s="1"/>
  <c r="DL51" i="9"/>
  <c r="DM51" i="9" s="1"/>
  <c r="U51" i="9"/>
  <c r="IX57" i="9"/>
  <c r="FZ86" i="9"/>
  <c r="AW86" i="9"/>
  <c r="CQ44" i="9"/>
  <c r="CR44" i="9" s="1"/>
  <c r="JZ44" i="9"/>
  <c r="BC110" i="9"/>
  <c r="KA79" i="9"/>
  <c r="JQ79" i="9"/>
  <c r="JR79" i="9" s="1"/>
  <c r="DH78" i="9"/>
  <c r="FP78" i="9"/>
  <c r="FQ78" i="9" s="1"/>
  <c r="JT10" i="9"/>
  <c r="KS10" i="9"/>
  <c r="KT10" i="9" s="1"/>
  <c r="DN10" i="9"/>
  <c r="IK46" i="9"/>
  <c r="CQ46" i="9"/>
  <c r="CR46" i="9" s="1"/>
  <c r="IX20" i="9"/>
  <c r="Y20" i="9"/>
  <c r="Z20" i="9" s="1"/>
  <c r="AH94" i="9"/>
  <c r="BA94" i="9"/>
  <c r="BB94" i="9" s="1"/>
  <c r="FR104" i="9"/>
  <c r="JF104" i="9"/>
  <c r="BD21" i="9"/>
  <c r="FY21" i="9"/>
  <c r="GK28" i="9"/>
  <c r="GL28" i="9" s="1"/>
  <c r="FL28" i="9"/>
  <c r="HF5" i="9"/>
  <c r="HG5" i="9" s="1"/>
  <c r="EI89" i="9"/>
  <c r="FE89" i="9"/>
  <c r="IJ96" i="9"/>
  <c r="DV96" i="9"/>
  <c r="BA30" i="9"/>
  <c r="BB30" i="9" s="1"/>
  <c r="JX16" i="9"/>
  <c r="JY16" i="9" s="1"/>
  <c r="HT16" i="9"/>
  <c r="HU16" i="9" s="1"/>
  <c r="IR76" i="9"/>
  <c r="CF62" i="9"/>
  <c r="CJ62" i="9"/>
  <c r="CK62" i="9" s="1"/>
  <c r="HI9" i="9"/>
  <c r="DA17" i="9"/>
  <c r="DE61" i="9"/>
  <c r="DF61" i="9" s="1"/>
  <c r="GD61" i="9"/>
  <c r="GE61" i="9" s="1"/>
  <c r="FI105" i="9"/>
  <c r="FJ105" i="9" s="1"/>
  <c r="CM69" i="9"/>
  <c r="AV69" i="9"/>
  <c r="KF76" i="9"/>
  <c r="EX85" i="9"/>
  <c r="CQ14" i="9"/>
  <c r="CR14" i="9" s="1"/>
  <c r="HI14" i="9"/>
  <c r="HP14" i="9"/>
  <c r="FD4" i="9"/>
  <c r="DZ33" i="9"/>
  <c r="EA33" i="9" s="1"/>
  <c r="AA40" i="9"/>
  <c r="IH37" i="9"/>
  <c r="II37" i="9" s="1"/>
  <c r="IV37" i="9"/>
  <c r="IW37" i="9" s="1"/>
  <c r="FP37" i="9"/>
  <c r="FQ37" i="9" s="1"/>
  <c r="JZ68" i="9"/>
  <c r="GF51" i="9"/>
  <c r="DU51" i="9"/>
  <c r="KA15" i="9"/>
  <c r="FK15" i="9"/>
  <c r="AM86" i="9"/>
  <c r="AN86" i="9" s="1"/>
  <c r="DO44" i="9"/>
  <c r="DV110" i="9"/>
  <c r="GN79" i="9"/>
  <c r="FE71" i="9"/>
  <c r="GU19" i="9"/>
  <c r="ID19" i="9"/>
  <c r="CM20" i="9"/>
  <c r="JL20" i="9"/>
  <c r="FD6" i="9"/>
  <c r="HW94" i="9"/>
  <c r="U94" i="9"/>
  <c r="GK94" i="9"/>
  <c r="GL94" i="9" s="1"/>
  <c r="HA95" i="9"/>
  <c r="FE107" i="9"/>
  <c r="T77" i="9"/>
  <c r="IV77" i="9"/>
  <c r="IW77" i="9" s="1"/>
  <c r="FR26" i="9"/>
  <c r="U21" i="9"/>
  <c r="GY21" i="9"/>
  <c r="GZ21" i="9" s="1"/>
  <c r="DO28" i="9"/>
  <c r="HV5" i="9"/>
  <c r="KN5" i="9"/>
  <c r="KH89" i="9"/>
  <c r="FR89" i="9"/>
  <c r="IC96" i="9"/>
  <c r="BK30" i="9"/>
  <c r="HP30" i="9"/>
  <c r="AI76" i="9"/>
  <c r="R76" i="9"/>
  <c r="S76" i="9" s="1"/>
  <c r="FI62" i="9"/>
  <c r="FJ62" i="9" s="1"/>
  <c r="GT9" i="9"/>
  <c r="KU17" i="9"/>
  <c r="IK61" i="9"/>
  <c r="EP61" i="9"/>
  <c r="KA105" i="9"/>
  <c r="GK69" i="9"/>
  <c r="GL69" i="9" s="1"/>
  <c r="KN106" i="9"/>
  <c r="DA90" i="9"/>
  <c r="JE63" i="9"/>
  <c r="JQ80" i="9"/>
  <c r="JR80" i="9" s="1"/>
  <c r="IO74" i="9"/>
  <c r="IP74" i="9" s="1"/>
  <c r="FW23" i="9"/>
  <c r="FX23" i="9" s="1"/>
  <c r="KL58" i="9"/>
  <c r="KM58" i="9" s="1"/>
  <c r="AH66" i="9"/>
  <c r="BA66" i="9"/>
  <c r="BB66" i="9" s="1"/>
  <c r="DZ11" i="9"/>
  <c r="EA11" i="9" s="1"/>
  <c r="EJ11" i="9"/>
  <c r="IB22" i="9"/>
  <c r="AM15" i="9"/>
  <c r="AN15" i="9" s="1"/>
  <c r="DU46" i="9"/>
  <c r="DE66" i="9"/>
  <c r="DF66" i="9" s="1"/>
  <c r="IA66" i="9"/>
  <c r="IB66" i="9" s="1"/>
  <c r="GY11" i="9"/>
  <c r="GZ11" i="9" s="1"/>
  <c r="FZ65" i="9"/>
  <c r="JQ34" i="9"/>
  <c r="JR34" i="9" s="1"/>
  <c r="EP53" i="9"/>
  <c r="CX48" i="9"/>
  <c r="CY48" i="9" s="1"/>
  <c r="AA108" i="9"/>
  <c r="KE108" i="9"/>
  <c r="KF108" i="9" s="1"/>
  <c r="IA43" i="9"/>
  <c r="IB43" i="9" s="1"/>
  <c r="EC43" i="9"/>
  <c r="HA41" i="9"/>
  <c r="HW41" i="9"/>
  <c r="JC111" i="9"/>
  <c r="JD111" i="9" s="1"/>
  <c r="KL86" i="9"/>
  <c r="KM86" i="9" s="1"/>
  <c r="GM110" i="9"/>
  <c r="KE78" i="9"/>
  <c r="KF78" i="9" s="1"/>
  <c r="IO78" i="9"/>
  <c r="IP78" i="9" s="1"/>
  <c r="HH71" i="9"/>
  <c r="AT71" i="9"/>
  <c r="AU71" i="9" s="1"/>
  <c r="IQ19" i="9"/>
  <c r="JZ19" i="9"/>
  <c r="CZ10" i="9"/>
  <c r="EC46" i="9"/>
  <c r="IA46" i="9"/>
  <c r="IB46" i="9" s="1"/>
  <c r="AM59" i="9"/>
  <c r="AN59" i="9" s="1"/>
  <c r="BA20" i="9"/>
  <c r="BB20" i="9" s="1"/>
  <c r="M6" i="9"/>
  <c r="CT6" i="9"/>
  <c r="BY100" i="9"/>
  <c r="KU94" i="9"/>
  <c r="DA75" i="9"/>
  <c r="DS26" i="9"/>
  <c r="DT26" i="9" s="1"/>
  <c r="FE26" i="9"/>
  <c r="BR21" i="9"/>
  <c r="DS28" i="9"/>
  <c r="DT28" i="9" s="1"/>
  <c r="BD96" i="9"/>
  <c r="K30" i="9"/>
  <c r="L30" i="9" s="1"/>
  <c r="U30" i="9"/>
  <c r="KE16" i="9"/>
  <c r="KF16" i="9" s="1"/>
  <c r="BA62" i="9"/>
  <c r="BB62" i="9" s="1"/>
  <c r="K9" i="9"/>
  <c r="L9" i="9" s="1"/>
  <c r="EU17" i="9"/>
  <c r="EV17" i="9" s="1"/>
  <c r="IX61" i="9"/>
  <c r="DV61" i="9"/>
  <c r="BY90" i="9"/>
  <c r="KG63" i="9"/>
  <c r="BC63" i="9"/>
  <c r="DE80" i="9"/>
  <c r="DF80" i="9" s="1"/>
  <c r="JZ80" i="9"/>
  <c r="KH29" i="9"/>
  <c r="JC36" i="9"/>
  <c r="JD36" i="9" s="1"/>
  <c r="KG25" i="9"/>
  <c r="AI32" i="9"/>
  <c r="HO78" i="9"/>
  <c r="BQ18" i="9"/>
  <c r="BJ111" i="9"/>
  <c r="HM36" i="9"/>
  <c r="HN36" i="9" s="1"/>
  <c r="BQ38" i="9"/>
  <c r="KS52" i="9"/>
  <c r="KT52" i="9" s="1"/>
  <c r="EP49" i="9"/>
  <c r="DA87" i="9"/>
  <c r="HH111" i="9"/>
  <c r="EP12" i="9"/>
  <c r="IX73" i="9"/>
  <c r="DU88" i="9"/>
  <c r="HO88" i="9"/>
  <c r="N3" i="9"/>
  <c r="IO13" i="9"/>
  <c r="IP13" i="9" s="1"/>
  <c r="HH13" i="9"/>
  <c r="CC36" i="9"/>
  <c r="CD36" i="9" s="1"/>
  <c r="AF36" i="9"/>
  <c r="AG36" i="9" s="1"/>
  <c r="DU25" i="9"/>
  <c r="DV32" i="9"/>
  <c r="ID32" i="9"/>
  <c r="BJ85" i="9"/>
  <c r="CM85" i="9"/>
  <c r="AT14" i="9"/>
  <c r="AU14" i="9" s="1"/>
  <c r="KA4" i="9"/>
  <c r="JQ33" i="9"/>
  <c r="JR33" i="9" s="1"/>
  <c r="KA40" i="9"/>
  <c r="JQ83" i="9"/>
  <c r="JR83" i="9" s="1"/>
  <c r="HB83" i="9"/>
  <c r="BA54" i="9"/>
  <c r="BB54" i="9" s="1"/>
  <c r="EG15" i="9"/>
  <c r="EH15" i="9" s="1"/>
  <c r="HO57" i="9"/>
  <c r="GG57" i="9"/>
  <c r="GM57" i="9"/>
  <c r="EC110" i="9"/>
  <c r="BK110" i="9"/>
  <c r="DE79" i="9"/>
  <c r="DF79" i="9" s="1"/>
  <c r="DS79" i="9"/>
  <c r="DT79" i="9" s="1"/>
  <c r="CZ19" i="9"/>
  <c r="EN10" i="9"/>
  <c r="EO10" i="9" s="1"/>
  <c r="KG10" i="9"/>
  <c r="GM59" i="9"/>
  <c r="JE6" i="9"/>
  <c r="FZ100" i="9"/>
  <c r="AV94" i="9"/>
  <c r="KG107" i="9"/>
  <c r="CQ107" i="9"/>
  <c r="CR107" i="9" s="1"/>
  <c r="EG75" i="9"/>
  <c r="EH75" i="9" s="1"/>
  <c r="FY26" i="9"/>
  <c r="BA26" i="9"/>
  <c r="BB26" i="9" s="1"/>
  <c r="JJ21" i="9"/>
  <c r="JK21" i="9" s="1"/>
  <c r="CS21" i="9"/>
  <c r="AI28" i="9"/>
  <c r="IJ89" i="9"/>
  <c r="HI89" i="9"/>
  <c r="FI96" i="9"/>
  <c r="FJ96" i="9" s="1"/>
  <c r="JJ96" i="9"/>
  <c r="JK96" i="9" s="1"/>
  <c r="AT30" i="9"/>
  <c r="AU30" i="9" s="1"/>
  <c r="M16" i="9"/>
  <c r="CZ62" i="9"/>
  <c r="GD62" i="9"/>
  <c r="GE62" i="9" s="1"/>
  <c r="GN9" i="9"/>
  <c r="FP9" i="9"/>
  <c r="FQ9" i="9" s="1"/>
  <c r="BR105" i="9"/>
  <c r="IY69" i="9"/>
  <c r="FE90" i="9"/>
  <c r="HH63" i="9"/>
  <c r="FI74" i="9"/>
  <c r="FJ74" i="9" s="1"/>
  <c r="HT29" i="9"/>
  <c r="HU29" i="9" s="1"/>
  <c r="CX23" i="9"/>
  <c r="CY23" i="9" s="1"/>
  <c r="CT58" i="9"/>
  <c r="GN58" i="9"/>
  <c r="AW66" i="9"/>
  <c r="GM66" i="9"/>
  <c r="IH65" i="9"/>
  <c r="II65" i="9" s="1"/>
  <c r="DU65" i="9"/>
  <c r="AW34" i="9"/>
  <c r="EI34" i="9"/>
  <c r="CQ34" i="9"/>
  <c r="CR34" i="9" s="1"/>
  <c r="GR108" i="9"/>
  <c r="GS108" i="9" s="1"/>
  <c r="KU108" i="9"/>
  <c r="HF43" i="9"/>
  <c r="HG43" i="9" s="1"/>
  <c r="FE41" i="9"/>
  <c r="M41" i="9"/>
  <c r="KF6" i="9"/>
  <c r="L82" i="9"/>
  <c r="HG106" i="9"/>
  <c r="BQ102" i="9"/>
  <c r="CC3" i="9"/>
  <c r="CD3" i="9" s="1"/>
  <c r="BR36" i="9"/>
  <c r="AH55" i="9"/>
  <c r="GY32" i="9"/>
  <c r="GZ32" i="9" s="1"/>
  <c r="CT4" i="9"/>
  <c r="AM33" i="9"/>
  <c r="AN33" i="9" s="1"/>
  <c r="GF37" i="9"/>
  <c r="FZ51" i="9"/>
  <c r="DS80" i="9"/>
  <c r="DT80" i="9" s="1"/>
  <c r="DH8" i="9"/>
  <c r="JX18" i="9"/>
  <c r="JY18" i="9" s="1"/>
  <c r="KH49" i="9"/>
  <c r="DU84" i="9"/>
  <c r="CM60" i="9"/>
  <c r="HP50" i="9"/>
  <c r="IR45" i="9"/>
  <c r="BA56" i="9"/>
  <c r="BB56" i="9" s="1"/>
  <c r="JM13" i="9"/>
  <c r="JQ25" i="9"/>
  <c r="JR25" i="9" s="1"/>
  <c r="KL14" i="9"/>
  <c r="KM14" i="9" s="1"/>
  <c r="FD99" i="9"/>
  <c r="M98" i="9"/>
  <c r="DV64" i="9"/>
  <c r="DH70" i="9"/>
  <c r="EW92" i="9"/>
  <c r="GG103" i="9"/>
  <c r="FS22" i="9"/>
  <c r="JX99" i="9"/>
  <c r="JY99" i="9" s="1"/>
  <c r="BK8" i="9"/>
  <c r="KG87" i="9"/>
  <c r="AA35" i="9"/>
  <c r="JT39" i="9"/>
  <c r="EI7" i="9"/>
  <c r="JX7" i="9"/>
  <c r="JY7" i="9" s="1"/>
  <c r="DO73" i="9"/>
  <c r="M102" i="9"/>
  <c r="KV22" i="9"/>
  <c r="KN67" i="9"/>
  <c r="DG56" i="9"/>
  <c r="AF42" i="9"/>
  <c r="AG42" i="9" s="1"/>
  <c r="CL42" i="9"/>
  <c r="AO3" i="9"/>
  <c r="ID3" i="9"/>
  <c r="AO81" i="9"/>
  <c r="FY13" i="9"/>
  <c r="BD13" i="9"/>
  <c r="HA36" i="9"/>
  <c r="BK25" i="9"/>
  <c r="FP55" i="9"/>
  <c r="FQ55" i="9" s="1"/>
  <c r="HM38" i="9"/>
  <c r="HN38" i="9" s="1"/>
  <c r="IH32" i="9"/>
  <c r="II32" i="9" s="1"/>
  <c r="AH85" i="9"/>
  <c r="GT85" i="9"/>
  <c r="HM4" i="9"/>
  <c r="HN4" i="9" s="1"/>
  <c r="BX33" i="9"/>
  <c r="BX97" i="9"/>
  <c r="HI83" i="9"/>
  <c r="DE83" i="9"/>
  <c r="DF83" i="9" s="1"/>
  <c r="FE68" i="9"/>
  <c r="DZ51" i="9"/>
  <c r="EA51" i="9" s="1"/>
  <c r="BC51" i="9"/>
  <c r="KL54" i="9"/>
  <c r="KM54" i="9" s="1"/>
  <c r="N57" i="9"/>
  <c r="KO57" i="9"/>
  <c r="KV57" i="9"/>
  <c r="FL110" i="9"/>
  <c r="FY79" i="9"/>
  <c r="IJ79" i="9"/>
  <c r="AH78" i="9"/>
  <c r="AT78" i="9"/>
  <c r="AU78" i="9" s="1"/>
  <c r="R71" i="9"/>
  <c r="S71" i="9" s="1"/>
  <c r="JZ71" i="9"/>
  <c r="DH19" i="9"/>
  <c r="IH10" i="9"/>
  <c r="II10" i="9" s="1"/>
  <c r="HB59" i="9"/>
  <c r="EN59" i="9"/>
  <c r="EO59" i="9" s="1"/>
  <c r="JC20" i="9"/>
  <c r="JD20" i="9" s="1"/>
  <c r="U100" i="9"/>
  <c r="JX94" i="9"/>
  <c r="JY94" i="9" s="1"/>
  <c r="BJ107" i="9"/>
  <c r="N104" i="9"/>
  <c r="DS104" i="9"/>
  <c r="DT104" i="9" s="1"/>
  <c r="IJ75" i="9"/>
  <c r="BQ75" i="9"/>
  <c r="CC26" i="9"/>
  <c r="CD26" i="9" s="1"/>
  <c r="CX26" i="9"/>
  <c r="CY26" i="9" s="1"/>
  <c r="KU26" i="9"/>
  <c r="HO21" i="9"/>
  <c r="BK28" i="9"/>
  <c r="BX28" i="9"/>
  <c r="CT5" i="9"/>
  <c r="KO89" i="9"/>
  <c r="U89" i="9"/>
  <c r="HV30" i="9"/>
  <c r="IV30" i="9"/>
  <c r="IW30" i="9" s="1"/>
  <c r="AW76" i="9"/>
  <c r="HW62" i="9"/>
  <c r="HI62" i="9"/>
  <c r="FE62" i="9"/>
  <c r="BA9" i="9"/>
  <c r="BB9" i="9" s="1"/>
  <c r="BY61" i="9"/>
  <c r="BA61" i="9"/>
  <c r="BB61" i="9" s="1"/>
  <c r="KL105" i="9"/>
  <c r="KM105" i="9" s="1"/>
  <c r="BA69" i="9"/>
  <c r="BB69" i="9" s="1"/>
  <c r="M106" i="9"/>
  <c r="JL63" i="9"/>
  <c r="CM63" i="9"/>
  <c r="KH80" i="9"/>
  <c r="BR74" i="9"/>
  <c r="GG74" i="9"/>
  <c r="HW66" i="9"/>
  <c r="JM66" i="9"/>
  <c r="CT11" i="9"/>
  <c r="BH65" i="9"/>
  <c r="BI65" i="9" s="1"/>
  <c r="KG65" i="9"/>
  <c r="R34" i="9"/>
  <c r="S34" i="9" s="1"/>
  <c r="HV91" i="9"/>
  <c r="AP91" i="9"/>
  <c r="FK53" i="9"/>
  <c r="CL53" i="9"/>
  <c r="K48" i="9"/>
  <c r="L48" i="9" s="1"/>
  <c r="DS43" i="9"/>
  <c r="DT43" i="9" s="1"/>
  <c r="CM41" i="9"/>
  <c r="AM41" i="9"/>
  <c r="AN41" i="9" s="1"/>
  <c r="HB93" i="9"/>
  <c r="AB42" i="9"/>
  <c r="DO13" i="9"/>
  <c r="BH33" i="9"/>
  <c r="BI33" i="9" s="1"/>
  <c r="JL83" i="9"/>
  <c r="BY79" i="9"/>
  <c r="JX100" i="9"/>
  <c r="JY100" i="9" s="1"/>
  <c r="KG28" i="9"/>
  <c r="AT96" i="9"/>
  <c r="AU96" i="9" s="1"/>
  <c r="IX16" i="9"/>
  <c r="GM62" i="9"/>
  <c r="BA17" i="9"/>
  <c r="BB17" i="9" s="1"/>
  <c r="FP52" i="9"/>
  <c r="FQ52" i="9" s="1"/>
  <c r="IY45" i="9"/>
  <c r="K42" i="9"/>
  <c r="L42" i="9" s="1"/>
  <c r="IK13" i="9"/>
  <c r="AP4" i="9"/>
  <c r="FZ50" i="9"/>
  <c r="HI7" i="9"/>
  <c r="IJ22" i="9"/>
  <c r="KA109" i="9"/>
  <c r="FR92" i="9"/>
  <c r="HA18" i="9"/>
  <c r="FY101" i="9"/>
  <c r="JS64" i="9"/>
  <c r="GF60" i="9"/>
  <c r="JT12" i="9"/>
  <c r="BC103" i="9"/>
  <c r="AI39" i="9"/>
  <c r="GU73" i="9"/>
  <c r="CZ88" i="9"/>
  <c r="EG13" i="9"/>
  <c r="EH13" i="9" s="1"/>
  <c r="FS25" i="9"/>
  <c r="IO55" i="9"/>
  <c r="IP55" i="9" s="1"/>
  <c r="IQ85" i="9"/>
  <c r="GN85" i="9"/>
  <c r="KA14" i="9"/>
  <c r="CM14" i="9"/>
  <c r="HB33" i="9"/>
  <c r="K97" i="9"/>
  <c r="L97" i="9" s="1"/>
  <c r="HV97" i="9"/>
  <c r="BA40" i="9"/>
  <c r="BB40" i="9" s="1"/>
  <c r="IR83" i="9"/>
  <c r="KU68" i="9"/>
  <c r="BJ68" i="9"/>
  <c r="IK51" i="9"/>
  <c r="HT54" i="9"/>
  <c r="HU54" i="9" s="1"/>
  <c r="N15" i="9"/>
  <c r="EC15" i="9"/>
  <c r="DU57" i="9"/>
  <c r="JT86" i="9"/>
  <c r="CX44" i="9"/>
  <c r="CY44" i="9" s="1"/>
  <c r="HT78" i="9"/>
  <c r="HU78" i="9" s="1"/>
  <c r="FW78" i="9"/>
  <c r="FX78" i="9" s="1"/>
  <c r="DZ78" i="9"/>
  <c r="EA78" i="9" s="1"/>
  <c r="GD71" i="9"/>
  <c r="GE71" i="9" s="1"/>
  <c r="AH19" i="9"/>
  <c r="HP19" i="9"/>
  <c r="EJ46" i="9"/>
  <c r="IO59" i="9"/>
  <c r="IP59" i="9" s="1"/>
  <c r="K20" i="9"/>
  <c r="L20" i="9" s="1"/>
  <c r="HI6" i="9"/>
  <c r="CE94" i="9"/>
  <c r="HO95" i="9"/>
  <c r="DV107" i="9"/>
  <c r="EI104" i="9"/>
  <c r="DZ104" i="9"/>
  <c r="EA104" i="9" s="1"/>
  <c r="EB75" i="9"/>
  <c r="KU77" i="9"/>
  <c r="IH77" i="9"/>
  <c r="II77" i="9" s="1"/>
  <c r="DL26" i="9"/>
  <c r="DM26" i="9" s="1"/>
  <c r="EN26" i="9"/>
  <c r="EO26" i="9" s="1"/>
  <c r="KA21" i="9"/>
  <c r="EC28" i="9"/>
  <c r="DN96" i="9"/>
  <c r="DE96" i="9"/>
  <c r="DF96" i="9" s="1"/>
  <c r="GY16" i="9"/>
  <c r="GZ16" i="9" s="1"/>
  <c r="EW62" i="9"/>
  <c r="HM9" i="9"/>
  <c r="HN9" i="9" s="1"/>
  <c r="BR61" i="9"/>
  <c r="BV69" i="9"/>
  <c r="BW69" i="9" s="1"/>
  <c r="CF69" i="9"/>
  <c r="EJ90" i="9"/>
  <c r="AW80" i="9"/>
  <c r="FR74" i="9"/>
  <c r="FY74" i="9"/>
  <c r="BH82" i="9"/>
  <c r="BI82" i="9" s="1"/>
  <c r="AM23" i="9"/>
  <c r="AN23" i="9" s="1"/>
  <c r="HV23" i="9"/>
  <c r="DZ66" i="9"/>
  <c r="EA66" i="9" s="1"/>
  <c r="IY66" i="9"/>
  <c r="EU66" i="9"/>
  <c r="EV66" i="9" s="1"/>
  <c r="GK31" i="9"/>
  <c r="GL31" i="9" s="1"/>
  <c r="CF65" i="9"/>
  <c r="GN65" i="9"/>
  <c r="KH34" i="9"/>
  <c r="FL91" i="9"/>
  <c r="HO53" i="9"/>
  <c r="HW48" i="9"/>
  <c r="HB48" i="9"/>
  <c r="CL43" i="9"/>
  <c r="FD43" i="9"/>
  <c r="KL41" i="9"/>
  <c r="KM41" i="9" s="1"/>
  <c r="IK41" i="9"/>
  <c r="AA83" i="9"/>
  <c r="CS15" i="9"/>
  <c r="IX86" i="9"/>
  <c r="KE19" i="9"/>
  <c r="KF19" i="9" s="1"/>
  <c r="CC59" i="9"/>
  <c r="CD59" i="9" s="1"/>
  <c r="FE77" i="9"/>
  <c r="FB21" i="9"/>
  <c r="FC21" i="9" s="1"/>
  <c r="AW5" i="9"/>
  <c r="EW74" i="9"/>
  <c r="IA99" i="9"/>
  <c r="IB99" i="9" s="1"/>
  <c r="KU98" i="9"/>
  <c r="CJ47" i="9"/>
  <c r="CK47" i="9" s="1"/>
  <c r="KV70" i="9"/>
  <c r="JC24" i="9"/>
  <c r="JD24" i="9" s="1"/>
  <c r="HW39" i="9"/>
  <c r="AI7" i="9"/>
  <c r="DZ88" i="9"/>
  <c r="EA88" i="9" s="1"/>
  <c r="EX3" i="9"/>
  <c r="JS36" i="9"/>
  <c r="GM55" i="9"/>
  <c r="HW85" i="9"/>
  <c r="JL33" i="9"/>
  <c r="DH99" i="9"/>
  <c r="DG84" i="9"/>
  <c r="KO92" i="9"/>
  <c r="DV99" i="9"/>
  <c r="AP52" i="9"/>
  <c r="BQ64" i="9"/>
  <c r="EX50" i="9"/>
  <c r="EX39" i="9"/>
  <c r="KG99" i="9"/>
  <c r="IR109" i="9"/>
  <c r="DL8" i="9"/>
  <c r="DM8" i="9" s="1"/>
  <c r="GK18" i="9"/>
  <c r="GL18" i="9" s="1"/>
  <c r="HI49" i="9"/>
  <c r="GT64" i="9"/>
  <c r="GD92" i="9"/>
  <c r="GE92" i="9" s="1"/>
  <c r="FL12" i="9"/>
  <c r="IQ73" i="9"/>
  <c r="CQ27" i="9"/>
  <c r="CR27" i="9" s="1"/>
  <c r="IR3" i="9"/>
  <c r="AP25" i="9"/>
  <c r="R4" i="9"/>
  <c r="S4" i="9" s="1"/>
  <c r="GM52" i="9"/>
  <c r="FK52" i="9"/>
  <c r="JE98" i="9"/>
  <c r="GN8" i="9"/>
  <c r="CM8" i="9"/>
  <c r="DU18" i="9"/>
  <c r="JZ49" i="9"/>
  <c r="BX101" i="9"/>
  <c r="JS101" i="9"/>
  <c r="HP84" i="9"/>
  <c r="IO64" i="9"/>
  <c r="IP64" i="9" s="1"/>
  <c r="FK64" i="9"/>
  <c r="HW87" i="9"/>
  <c r="AO60" i="9"/>
  <c r="DH111" i="9"/>
  <c r="DA50" i="9"/>
  <c r="AA92" i="9"/>
  <c r="IJ35" i="9"/>
  <c r="KA35" i="9"/>
  <c r="M103" i="9"/>
  <c r="IQ103" i="9"/>
  <c r="EU24" i="9"/>
  <c r="EV24" i="9" s="1"/>
  <c r="N45" i="9"/>
  <c r="AI45" i="9"/>
  <c r="HB39" i="9"/>
  <c r="ID7" i="9"/>
  <c r="FY7" i="9"/>
  <c r="HT73" i="9"/>
  <c r="HU73" i="9" s="1"/>
  <c r="HF27" i="9"/>
  <c r="HG27" i="9" s="1"/>
  <c r="AB27" i="9"/>
  <c r="HH102" i="9"/>
  <c r="GF102" i="9"/>
  <c r="JJ22" i="9"/>
  <c r="JK22" i="9" s="1"/>
  <c r="DL67" i="9"/>
  <c r="DM67" i="9" s="1"/>
  <c r="FE42" i="9"/>
  <c r="FW3" i="9"/>
  <c r="FX3" i="9" s="1"/>
  <c r="CS3" i="9"/>
  <c r="ID81" i="9"/>
  <c r="BH81" i="9"/>
  <c r="BI81" i="9" s="1"/>
  <c r="CX36" i="9"/>
  <c r="CY36" i="9" s="1"/>
  <c r="IH36" i="9"/>
  <c r="II36" i="9" s="1"/>
  <c r="DL25" i="9"/>
  <c r="DM25" i="9" s="1"/>
  <c r="KL25" i="9"/>
  <c r="KM25" i="9" s="1"/>
  <c r="EU55" i="9"/>
  <c r="EV55" i="9" s="1"/>
  <c r="IA4" i="9"/>
  <c r="IB4" i="9" s="1"/>
  <c r="BA4" i="9"/>
  <c r="BB4" i="9" s="1"/>
  <c r="IR33" i="9"/>
  <c r="IC33" i="9"/>
  <c r="CL33" i="9"/>
  <c r="GR97" i="9"/>
  <c r="GS97" i="9" s="1"/>
  <c r="EX40" i="9"/>
  <c r="EN83" i="9"/>
  <c r="EO83" i="9" s="1"/>
  <c r="IR68" i="9"/>
  <c r="KG51" i="9"/>
  <c r="HA51" i="9"/>
  <c r="AF54" i="9"/>
  <c r="AG54" i="9" s="1"/>
  <c r="DH57" i="9"/>
  <c r="FB57" i="9"/>
  <c r="FC57" i="9" s="1"/>
  <c r="IH86" i="9"/>
  <c r="II86" i="9" s="1"/>
  <c r="N86" i="9"/>
  <c r="AP110" i="9"/>
  <c r="CF110" i="9"/>
  <c r="T78" i="9"/>
  <c r="JJ78" i="9"/>
  <c r="JK78" i="9" s="1"/>
  <c r="CE78" i="9"/>
  <c r="EN71" i="9"/>
  <c r="EO71" i="9" s="1"/>
  <c r="HA71" i="9"/>
  <c r="EG10" i="9"/>
  <c r="EH10" i="9" s="1"/>
  <c r="JM10" i="9"/>
  <c r="KU46" i="9"/>
  <c r="AA59" i="9"/>
  <c r="DV20" i="9"/>
  <c r="FB20" i="9"/>
  <c r="FC20" i="9" s="1"/>
  <c r="AA100" i="9"/>
  <c r="KS100" i="9"/>
  <c r="KT100" i="9" s="1"/>
  <c r="JL94" i="9"/>
  <c r="DE94" i="9"/>
  <c r="DF94" i="9" s="1"/>
  <c r="GU107" i="9"/>
  <c r="IV75" i="9"/>
  <c r="IW75" i="9" s="1"/>
  <c r="FI26" i="9"/>
  <c r="FJ26" i="9" s="1"/>
  <c r="ID26" i="9"/>
  <c r="GK5" i="9"/>
  <c r="GL5" i="9" s="1"/>
  <c r="DL89" i="9"/>
  <c r="DM89" i="9" s="1"/>
  <c r="JL89" i="9"/>
  <c r="CC96" i="9"/>
  <c r="CD96" i="9" s="1"/>
  <c r="JX96" i="9"/>
  <c r="JY96" i="9" s="1"/>
  <c r="FR16" i="9"/>
  <c r="CC76" i="9"/>
  <c r="CD76" i="9" s="1"/>
  <c r="FB76" i="9"/>
  <c r="FC76" i="9" s="1"/>
  <c r="KE62" i="9"/>
  <c r="KF62" i="9" s="1"/>
  <c r="CS62" i="9"/>
  <c r="FE9" i="9"/>
  <c r="CE61" i="9"/>
  <c r="CZ69" i="9"/>
  <c r="GR37" i="9"/>
  <c r="GS37" i="9" s="1"/>
  <c r="JE83" i="9"/>
  <c r="IC86" i="9"/>
  <c r="CJ79" i="9"/>
  <c r="CK79" i="9" s="1"/>
  <c r="BR104" i="9"/>
  <c r="KA77" i="9"/>
  <c r="JS21" i="9"/>
  <c r="CT89" i="9"/>
  <c r="FZ30" i="9"/>
  <c r="CZ61" i="9"/>
  <c r="DE98" i="9"/>
  <c r="DF98" i="9" s="1"/>
  <c r="EC84" i="9"/>
  <c r="N60" i="9"/>
  <c r="HF50" i="9"/>
  <c r="HG50" i="9" s="1"/>
  <c r="BH24" i="9"/>
  <c r="BI24" i="9" s="1"/>
  <c r="CX39" i="9"/>
  <c r="CY39" i="9" s="1"/>
  <c r="HA73" i="9"/>
  <c r="JC56" i="9"/>
  <c r="JD56" i="9" s="1"/>
  <c r="AV81" i="9"/>
  <c r="FE40" i="9"/>
  <c r="CT37" i="9"/>
  <c r="IO8" i="9"/>
  <c r="IP8" i="9" s="1"/>
  <c r="FS47" i="9"/>
  <c r="JT84" i="9"/>
  <c r="IJ50" i="9"/>
  <c r="EJ24" i="9"/>
  <c r="EU8" i="9"/>
  <c r="EV8" i="9" s="1"/>
  <c r="M47" i="9"/>
  <c r="IY101" i="9"/>
  <c r="DZ87" i="9"/>
  <c r="EA87" i="9" s="1"/>
  <c r="HM35" i="9"/>
  <c r="HN35" i="9" s="1"/>
  <c r="AW103" i="9"/>
  <c r="DU72" i="9"/>
  <c r="AV99" i="9"/>
  <c r="EP98" i="9"/>
  <c r="KN87" i="9"/>
  <c r="KO50" i="9"/>
  <c r="HF72" i="9"/>
  <c r="HG72" i="9" s="1"/>
  <c r="CT55" i="9"/>
  <c r="GU33" i="9"/>
  <c r="GM99" i="9"/>
  <c r="CE99" i="9"/>
  <c r="R109" i="9"/>
  <c r="S109" i="9" s="1"/>
  <c r="HT98" i="9"/>
  <c r="HU98" i="9" s="1"/>
  <c r="HI18" i="9"/>
  <c r="CE49" i="9"/>
  <c r="JQ99" i="9"/>
  <c r="JR99" i="9" s="1"/>
  <c r="DO52" i="9"/>
  <c r="KH52" i="9"/>
  <c r="HH52" i="9"/>
  <c r="GT109" i="9"/>
  <c r="FP109" i="9"/>
  <c r="FQ109" i="9" s="1"/>
  <c r="IH98" i="9"/>
  <c r="II98" i="9" s="1"/>
  <c r="KG8" i="9"/>
  <c r="JQ8" i="9"/>
  <c r="JR8" i="9" s="1"/>
  <c r="BJ18" i="9"/>
  <c r="DU49" i="9"/>
  <c r="BO49" i="9"/>
  <c r="BP49" i="9" s="1"/>
  <c r="EU84" i="9"/>
  <c r="EV84" i="9" s="1"/>
  <c r="BY64" i="9"/>
  <c r="IK64" i="9"/>
  <c r="DZ64" i="9"/>
  <c r="EA64" i="9" s="1"/>
  <c r="M87" i="9"/>
  <c r="AO87" i="9"/>
  <c r="JC70" i="9"/>
  <c r="JD70" i="9" s="1"/>
  <c r="AP70" i="9"/>
  <c r="AI111" i="9"/>
  <c r="DS92" i="9"/>
  <c r="DT92" i="9" s="1"/>
  <c r="IK92" i="9"/>
  <c r="DZ35" i="9"/>
  <c r="EA35" i="9" s="1"/>
  <c r="CM103" i="9"/>
  <c r="HA103" i="9"/>
  <c r="CQ24" i="9"/>
  <c r="CR24" i="9" s="1"/>
  <c r="AP24" i="9"/>
  <c r="HH24" i="9"/>
  <c r="EI45" i="9"/>
  <c r="BH45" i="9"/>
  <c r="BI45" i="9" s="1"/>
  <c r="N72" i="9"/>
  <c r="JT73" i="9"/>
  <c r="N73" i="9"/>
  <c r="JZ27" i="9"/>
  <c r="EI102" i="9"/>
  <c r="KA67" i="9"/>
  <c r="GK56" i="9"/>
  <c r="GL56" i="9" s="1"/>
  <c r="GU88" i="9"/>
  <c r="BD42" i="9"/>
  <c r="GK42" i="9"/>
  <c r="GL42" i="9" s="1"/>
  <c r="EQ81" i="9"/>
  <c r="KL81" i="9"/>
  <c r="KM81" i="9" s="1"/>
  <c r="EP13" i="9"/>
  <c r="GY13" i="9"/>
  <c r="GZ13" i="9" s="1"/>
  <c r="KE36" i="9"/>
  <c r="KF36" i="9" s="1"/>
  <c r="AP55" i="9"/>
  <c r="GU38" i="9"/>
  <c r="EB85" i="9"/>
  <c r="M14" i="9"/>
  <c r="GD33" i="9"/>
  <c r="GE33" i="9" s="1"/>
  <c r="HW33" i="9"/>
  <c r="CM97" i="9"/>
  <c r="KG97" i="9"/>
  <c r="FW40" i="9"/>
  <c r="FX40" i="9" s="1"/>
  <c r="KU40" i="9"/>
  <c r="DL68" i="9"/>
  <c r="DM68" i="9" s="1"/>
  <c r="JS68" i="9"/>
  <c r="BJ54" i="9"/>
  <c r="GF54" i="9"/>
  <c r="FE15" i="9"/>
  <c r="IR15" i="9"/>
  <c r="JF57" i="9"/>
  <c r="HA86" i="9"/>
  <c r="KV86" i="9"/>
  <c r="JM86" i="9"/>
  <c r="FE110" i="9"/>
  <c r="GY78" i="9"/>
  <c r="GZ78" i="9" s="1"/>
  <c r="IV19" i="9"/>
  <c r="IW19" i="9" s="1"/>
  <c r="EN46" i="9"/>
  <c r="EO46" i="9" s="1"/>
  <c r="HI20" i="9"/>
  <c r="KG20" i="9"/>
  <c r="AP100" i="9"/>
  <c r="HH94" i="9"/>
  <c r="N94" i="9"/>
  <c r="KL95" i="9"/>
  <c r="KM95" i="9" s="1"/>
  <c r="HW95" i="9"/>
  <c r="GF95" i="9"/>
  <c r="HF107" i="9"/>
  <c r="HG107" i="9" s="1"/>
  <c r="AH107" i="9"/>
  <c r="BC75" i="9"/>
  <c r="EN77" i="9"/>
  <c r="EO77" i="9" s="1"/>
  <c r="CS77" i="9"/>
  <c r="JF26" i="9"/>
  <c r="AT26" i="9"/>
  <c r="AU26" i="9" s="1"/>
  <c r="DG26" i="9"/>
  <c r="AI89" i="9"/>
  <c r="EC96" i="9"/>
  <c r="JQ96" i="9"/>
  <c r="JR96" i="9" s="1"/>
  <c r="EN30" i="9"/>
  <c r="EO30" i="9" s="1"/>
  <c r="HI16" i="9"/>
  <c r="K76" i="9"/>
  <c r="L76" i="9" s="1"/>
  <c r="JX76" i="9"/>
  <c r="JY76" i="9" s="1"/>
  <c r="KG9" i="9"/>
  <c r="AG102" i="9"/>
  <c r="JQ22" i="9"/>
  <c r="JR22" i="9" s="1"/>
  <c r="HP13" i="9"/>
  <c r="KA25" i="9"/>
  <c r="AT38" i="9"/>
  <c r="AU38" i="9" s="1"/>
  <c r="BR14" i="9"/>
  <c r="EP97" i="9"/>
  <c r="FW59" i="9"/>
  <c r="FX59" i="9" s="1"/>
  <c r="CX30" i="9"/>
  <c r="CY30" i="9" s="1"/>
  <c r="DH76" i="9"/>
  <c r="JF17" i="9"/>
  <c r="JT52" i="9"/>
  <c r="BO87" i="9"/>
  <c r="BP87" i="9" s="1"/>
  <c r="IA111" i="9"/>
  <c r="IB111" i="9" s="1"/>
  <c r="FY92" i="9"/>
  <c r="EN103" i="9"/>
  <c r="EO103" i="9" s="1"/>
  <c r="KN72" i="9"/>
  <c r="GN7" i="9"/>
  <c r="BY73" i="9"/>
  <c r="JM27" i="9"/>
  <c r="EI88" i="9"/>
  <c r="CX3" i="9"/>
  <c r="CY3" i="9" s="1"/>
  <c r="BA32" i="9"/>
  <c r="BB32" i="9" s="1"/>
  <c r="EP14" i="9"/>
  <c r="KN4" i="9"/>
  <c r="IH40" i="9"/>
  <c r="II40" i="9" s="1"/>
  <c r="IC51" i="9"/>
  <c r="FK99" i="9"/>
  <c r="GG98" i="9"/>
  <c r="EX18" i="9"/>
  <c r="BK64" i="9"/>
  <c r="IR111" i="9"/>
  <c r="CT45" i="9"/>
  <c r="HW72" i="9"/>
  <c r="GU27" i="9"/>
  <c r="HA52" i="9"/>
  <c r="CZ98" i="9"/>
  <c r="JQ18" i="9"/>
  <c r="JR18" i="9" s="1"/>
  <c r="DV47" i="9"/>
  <c r="JJ101" i="9"/>
  <c r="JK101" i="9" s="1"/>
  <c r="EX64" i="9"/>
  <c r="JL70" i="9"/>
  <c r="BV50" i="9"/>
  <c r="BW50" i="9" s="1"/>
  <c r="IQ52" i="9"/>
  <c r="KL47" i="9"/>
  <c r="KM47" i="9" s="1"/>
  <c r="GK101" i="9"/>
  <c r="GL101" i="9" s="1"/>
  <c r="JC64" i="9"/>
  <c r="JD64" i="9" s="1"/>
  <c r="EU87" i="9"/>
  <c r="EV87" i="9" s="1"/>
  <c r="FZ70" i="9"/>
  <c r="T50" i="9"/>
  <c r="M7" i="9"/>
  <c r="BC22" i="9"/>
  <c r="R88" i="9"/>
  <c r="S88" i="9" s="1"/>
  <c r="IV99" i="9"/>
  <c r="IW99" i="9" s="1"/>
  <c r="N52" i="9"/>
  <c r="AH52" i="9"/>
  <c r="BJ52" i="9"/>
  <c r="GY109" i="9"/>
  <c r="GZ109" i="9" s="1"/>
  <c r="FB109" i="9"/>
  <c r="FC109" i="9" s="1"/>
  <c r="IO98" i="9"/>
  <c r="IP98" i="9" s="1"/>
  <c r="HH98" i="9"/>
  <c r="EP18" i="9"/>
  <c r="AB18" i="9"/>
  <c r="IC47" i="9"/>
  <c r="IH47" i="9"/>
  <c r="II47" i="9" s="1"/>
  <c r="KN49" i="9"/>
  <c r="CJ49" i="9"/>
  <c r="CK49" i="9" s="1"/>
  <c r="GD101" i="9"/>
  <c r="GE101" i="9" s="1"/>
  <c r="AW101" i="9"/>
  <c r="EQ64" i="9"/>
  <c r="BK87" i="9"/>
  <c r="JC87" i="9"/>
  <c r="JD87" i="9" s="1"/>
  <c r="FP60" i="9"/>
  <c r="FQ60" i="9" s="1"/>
  <c r="KE70" i="9"/>
  <c r="KF70" i="9" s="1"/>
  <c r="GK111" i="9"/>
  <c r="GL111" i="9" s="1"/>
  <c r="BX92" i="9"/>
  <c r="ID92" i="9"/>
  <c r="HM92" i="9"/>
  <c r="HN92" i="9" s="1"/>
  <c r="AM12" i="9"/>
  <c r="AN12" i="9" s="1"/>
  <c r="BA12" i="9"/>
  <c r="BB12" i="9" s="1"/>
  <c r="EI35" i="9"/>
  <c r="FS103" i="9"/>
  <c r="EP24" i="9"/>
  <c r="U24" i="9"/>
  <c r="AB45" i="9"/>
  <c r="DE72" i="9"/>
  <c r="DF72" i="9" s="1"/>
  <c r="KE7" i="9"/>
  <c r="KF7" i="9" s="1"/>
  <c r="JE73" i="9"/>
  <c r="KO73" i="9"/>
  <c r="FS73" i="9"/>
  <c r="CZ27" i="9"/>
  <c r="EX27" i="9"/>
  <c r="DE102" i="9"/>
  <c r="DF102" i="9" s="1"/>
  <c r="HO22" i="9"/>
  <c r="KE22" i="9"/>
  <c r="KF22" i="9" s="1"/>
  <c r="CS88" i="9"/>
  <c r="GG88" i="9"/>
  <c r="IC42" i="9"/>
  <c r="JZ42" i="9"/>
  <c r="CX81" i="9"/>
  <c r="CY81" i="9" s="1"/>
  <c r="JT13" i="9"/>
  <c r="FR36" i="9"/>
  <c r="FI25" i="9"/>
  <c r="FJ25" i="9" s="1"/>
  <c r="HT38" i="9"/>
  <c r="HU38" i="9" s="1"/>
  <c r="CT32" i="9"/>
  <c r="EG85" i="9"/>
  <c r="EH85" i="9" s="1"/>
  <c r="HF4" i="9"/>
  <c r="HG4" i="9" s="1"/>
  <c r="IJ4" i="9"/>
  <c r="KV33" i="9"/>
  <c r="EU33" i="9"/>
  <c r="EV33" i="9" s="1"/>
  <c r="JE33" i="9"/>
  <c r="BD83" i="9"/>
  <c r="FZ68" i="9"/>
  <c r="GK51" i="9"/>
  <c r="GL51" i="9" s="1"/>
  <c r="KO51" i="9"/>
  <c r="CC15" i="9"/>
  <c r="CD15" i="9" s="1"/>
  <c r="DA15" i="9"/>
  <c r="CJ57" i="9"/>
  <c r="CK57" i="9" s="1"/>
  <c r="JJ57" i="9"/>
  <c r="JK57" i="9" s="1"/>
  <c r="DV44" i="9"/>
  <c r="IJ110" i="9"/>
  <c r="CZ78" i="9"/>
  <c r="HW71" i="9"/>
  <c r="EJ71" i="9"/>
  <c r="DV19" i="9"/>
  <c r="GM19" i="9"/>
  <c r="BJ10" i="9"/>
  <c r="GY10" i="9"/>
  <c r="GZ10" i="9" s="1"/>
  <c r="HB46" i="9"/>
  <c r="EU20" i="9"/>
  <c r="EV20" i="9" s="1"/>
  <c r="HO20" i="9"/>
  <c r="DL100" i="9"/>
  <c r="DM100" i="9" s="1"/>
  <c r="AV100" i="9"/>
  <c r="IJ94" i="9"/>
  <c r="JC94" i="9"/>
  <c r="JD94" i="9" s="1"/>
  <c r="GK75" i="9"/>
  <c r="GL75" i="9" s="1"/>
  <c r="EQ75" i="9"/>
  <c r="BV26" i="9"/>
  <c r="BW26" i="9" s="1"/>
  <c r="AO26" i="9"/>
  <c r="IC21" i="9"/>
  <c r="AA21" i="9"/>
  <c r="EI5" i="9"/>
  <c r="GD96" i="9"/>
  <c r="GE96" i="9" s="1"/>
  <c r="IC30" i="9"/>
  <c r="FK16" i="9"/>
  <c r="AO62" i="9"/>
  <c r="AT9" i="9"/>
  <c r="AU9" i="9" s="1"/>
  <c r="AT61" i="9"/>
  <c r="AU61" i="9" s="1"/>
  <c r="AB105" i="9"/>
  <c r="AB69" i="9"/>
  <c r="JX90" i="9"/>
  <c r="JY90" i="9" s="1"/>
  <c r="HT63" i="9"/>
  <c r="HU63" i="9" s="1"/>
  <c r="HA63" i="9"/>
  <c r="GR80" i="9"/>
  <c r="GS80" i="9" s="1"/>
  <c r="AO80" i="9"/>
  <c r="BC74" i="9"/>
  <c r="AB29" i="9"/>
  <c r="CK30" i="9"/>
  <c r="KO88" i="9"/>
  <c r="BY81" i="9"/>
  <c r="EC55" i="9"/>
  <c r="BV46" i="9"/>
  <c r="BW46" i="9" s="1"/>
  <c r="FI100" i="9"/>
  <c r="FJ100" i="9" s="1"/>
  <c r="GU94" i="9"/>
  <c r="EQ107" i="9"/>
  <c r="HP75" i="9"/>
  <c r="JT26" i="9"/>
  <c r="IV28" i="9"/>
  <c r="IW28" i="9" s="1"/>
  <c r="DA96" i="9"/>
  <c r="JJ76" i="9"/>
  <c r="JK76" i="9" s="1"/>
  <c r="FP105" i="9"/>
  <c r="FQ105" i="9" s="1"/>
  <c r="GR106" i="9"/>
  <c r="GS106" i="9" s="1"/>
  <c r="AA99" i="9"/>
  <c r="HP47" i="9"/>
  <c r="T49" i="9"/>
  <c r="AW64" i="9"/>
  <c r="R12" i="9"/>
  <c r="S12" i="9" s="1"/>
  <c r="BR103" i="9"/>
  <c r="EG27" i="9"/>
  <c r="EH27" i="9" s="1"/>
  <c r="IJ25" i="9"/>
  <c r="GD55" i="9"/>
  <c r="GE55" i="9" s="1"/>
  <c r="EU32" i="9"/>
  <c r="EV32" i="9" s="1"/>
  <c r="IX4" i="9"/>
  <c r="U97" i="9"/>
  <c r="FW37" i="9"/>
  <c r="FX37" i="9" s="1"/>
  <c r="IC15" i="9"/>
  <c r="U52" i="9"/>
  <c r="GT8" i="9"/>
  <c r="KV49" i="9"/>
  <c r="FB111" i="9"/>
  <c r="FC111" i="9" s="1"/>
  <c r="CJ35" i="9"/>
  <c r="CK35" i="9" s="1"/>
  <c r="GD39" i="9"/>
  <c r="GE39" i="9" s="1"/>
  <c r="GU12" i="9"/>
  <c r="IC103" i="9"/>
  <c r="EQ72" i="9"/>
  <c r="ID98" i="9"/>
  <c r="CT18" i="9"/>
  <c r="GM47" i="9"/>
  <c r="AP49" i="9"/>
  <c r="EG84" i="9"/>
  <c r="EH84" i="9" s="1"/>
  <c r="FR111" i="9"/>
  <c r="EB92" i="9"/>
  <c r="DE35" i="9"/>
  <c r="DF35" i="9" s="1"/>
  <c r="JM45" i="9"/>
  <c r="DG39" i="9"/>
  <c r="JM81" i="9"/>
  <c r="CF13" i="9"/>
  <c r="EB32" i="9"/>
  <c r="DL99" i="9"/>
  <c r="DM99" i="9" s="1"/>
  <c r="HW99" i="9"/>
  <c r="DH52" i="9"/>
  <c r="CS52" i="9"/>
  <c r="EJ52" i="9"/>
  <c r="M109" i="9"/>
  <c r="GY98" i="9"/>
  <c r="GZ98" i="9" s="1"/>
  <c r="AO98" i="9"/>
  <c r="JM8" i="9"/>
  <c r="KO8" i="9"/>
  <c r="KO18" i="9"/>
  <c r="GD47" i="9"/>
  <c r="GE47" i="9" s="1"/>
  <c r="FK47" i="9"/>
  <c r="HB49" i="9"/>
  <c r="FR49" i="9"/>
  <c r="DA101" i="9"/>
  <c r="IV84" i="9"/>
  <c r="IW84" i="9" s="1"/>
  <c r="FZ64" i="9"/>
  <c r="ID64" i="9"/>
  <c r="DO87" i="9"/>
  <c r="HO60" i="9"/>
  <c r="CF60" i="9"/>
  <c r="BO70" i="9"/>
  <c r="BP70" i="9" s="1"/>
  <c r="HT70" i="9"/>
  <c r="HU70" i="9" s="1"/>
  <c r="BC111" i="9"/>
  <c r="EG111" i="9"/>
  <c r="EH111" i="9" s="1"/>
  <c r="GN50" i="9"/>
  <c r="U92" i="9"/>
  <c r="HF92" i="9"/>
  <c r="HG92" i="9" s="1"/>
  <c r="CJ12" i="9"/>
  <c r="CK12" i="9" s="1"/>
  <c r="BJ12" i="9"/>
  <c r="EN35" i="9"/>
  <c r="EO35" i="9" s="1"/>
  <c r="HB35" i="9"/>
  <c r="KV103" i="9"/>
  <c r="DA103" i="9"/>
  <c r="KL24" i="9"/>
  <c r="KM24" i="9" s="1"/>
  <c r="BQ72" i="9"/>
  <c r="AV72" i="9"/>
  <c r="CT39" i="9"/>
  <c r="JZ39" i="9"/>
  <c r="BV7" i="9"/>
  <c r="BW7" i="9" s="1"/>
  <c r="AA73" i="9"/>
  <c r="AF73" i="9"/>
  <c r="AG73" i="9" s="1"/>
  <c r="HA102" i="9"/>
  <c r="GR22" i="9"/>
  <c r="GS22" i="9" s="1"/>
  <c r="FE22" i="9"/>
  <c r="N67" i="9"/>
  <c r="AP56" i="9"/>
  <c r="BJ42" i="9"/>
  <c r="EC3" i="9"/>
  <c r="DV3" i="9"/>
  <c r="CS81" i="9"/>
  <c r="IH81" i="9"/>
  <c r="II81" i="9" s="1"/>
  <c r="GT13" i="9"/>
  <c r="DG13" i="9"/>
  <c r="FB36" i="9"/>
  <c r="FC36" i="9" s="1"/>
  <c r="EX36" i="9"/>
  <c r="AH25" i="9"/>
  <c r="KA55" i="9"/>
  <c r="IO38" i="9"/>
  <c r="IP38" i="9" s="1"/>
  <c r="HA38" i="9"/>
  <c r="FZ32" i="9"/>
  <c r="FE32" i="9"/>
  <c r="FB85" i="9"/>
  <c r="FC85" i="9" s="1"/>
  <c r="GY4" i="9"/>
  <c r="GZ4" i="9" s="1"/>
  <c r="DG33" i="9"/>
  <c r="IR97" i="9"/>
  <c r="GD97" i="9"/>
  <c r="GE97" i="9" s="1"/>
  <c r="JT40" i="9"/>
  <c r="FD83" i="9"/>
  <c r="JC68" i="9"/>
  <c r="JD68" i="9" s="1"/>
  <c r="KV54" i="9"/>
  <c r="IO54" i="9"/>
  <c r="IP54" i="9" s="1"/>
  <c r="JX86" i="9"/>
  <c r="JY86" i="9" s="1"/>
  <c r="HI86" i="9"/>
  <c r="BJ86" i="9"/>
  <c r="KO44" i="9"/>
  <c r="GD78" i="9"/>
  <c r="GE78" i="9" s="1"/>
  <c r="JX78" i="9"/>
  <c r="JY78" i="9" s="1"/>
  <c r="EW71" i="9"/>
  <c r="GR10" i="9"/>
  <c r="GS10" i="9" s="1"/>
  <c r="DH10" i="9"/>
  <c r="DS59" i="9"/>
  <c r="DT59" i="9" s="1"/>
  <c r="CX20" i="9"/>
  <c r="CY20" i="9" s="1"/>
  <c r="BO94" i="9"/>
  <c r="BP94" i="9" s="1"/>
  <c r="EQ94" i="9"/>
  <c r="BX21" i="9"/>
  <c r="JX5" i="9"/>
  <c r="JY5" i="9" s="1"/>
  <c r="DU89" i="9"/>
  <c r="FZ89" i="9"/>
  <c r="HM96" i="9"/>
  <c r="HN96" i="9" s="1"/>
  <c r="FW96" i="9"/>
  <c r="FX96" i="9" s="1"/>
  <c r="HH30" i="9"/>
  <c r="CE16" i="9"/>
  <c r="DO16" i="9"/>
  <c r="JJ9" i="9"/>
  <c r="JK9" i="9" s="1"/>
  <c r="KU9" i="9"/>
  <c r="DH17" i="9"/>
  <c r="AM17" i="9"/>
  <c r="AN17" i="9" s="1"/>
  <c r="CT61" i="9"/>
  <c r="GK105" i="9"/>
  <c r="GL105" i="9" s="1"/>
  <c r="HW69" i="9"/>
  <c r="AM106" i="9"/>
  <c r="AN106" i="9" s="1"/>
  <c r="IH90" i="9"/>
  <c r="II90" i="9" s="1"/>
  <c r="T90" i="9"/>
  <c r="EI63" i="9"/>
  <c r="GF63" i="9"/>
  <c r="JJ80" i="9"/>
  <c r="JK80" i="9" s="1"/>
  <c r="GY80" i="9"/>
  <c r="GZ80" i="9" s="1"/>
  <c r="KM79" i="9"/>
  <c r="AH110" i="9"/>
  <c r="HI79" i="9"/>
  <c r="JS78" i="9"/>
  <c r="AI71" i="9"/>
  <c r="CS71" i="9"/>
  <c r="BH19" i="9"/>
  <c r="BI19" i="9" s="1"/>
  <c r="BO20" i="9"/>
  <c r="BP20" i="9" s="1"/>
  <c r="GK20" i="9"/>
  <c r="GL20" i="9" s="1"/>
  <c r="HT20" i="9"/>
  <c r="HU20" i="9" s="1"/>
  <c r="GY94" i="9"/>
  <c r="GZ94" i="9" s="1"/>
  <c r="KN94" i="9"/>
  <c r="CJ95" i="9"/>
  <c r="CK95" i="9" s="1"/>
  <c r="GG107" i="9"/>
  <c r="FR107" i="9"/>
  <c r="GR104" i="9"/>
  <c r="GS104" i="9" s="1"/>
  <c r="DG104" i="9"/>
  <c r="JM75" i="9"/>
  <c r="GD75" i="9"/>
  <c r="GE75" i="9" s="1"/>
  <c r="JF77" i="9"/>
  <c r="GR26" i="9"/>
  <c r="GS26" i="9" s="1"/>
  <c r="GF26" i="9"/>
  <c r="FR21" i="9"/>
  <c r="IK21" i="9"/>
  <c r="EN89" i="9"/>
  <c r="EO89" i="9" s="1"/>
  <c r="EN96" i="9"/>
  <c r="EO96" i="9" s="1"/>
  <c r="GU30" i="9"/>
  <c r="GN30" i="9"/>
  <c r="FB16" i="9"/>
  <c r="FC16" i="9" s="1"/>
  <c r="ID16" i="9"/>
  <c r="BV76" i="9"/>
  <c r="BW76" i="9" s="1"/>
  <c r="JL62" i="9"/>
  <c r="FP62" i="9"/>
  <c r="FQ62" i="9" s="1"/>
  <c r="GM17" i="9"/>
  <c r="IX17" i="9"/>
  <c r="GU61" i="9"/>
  <c r="IQ105" i="9"/>
  <c r="BV105" i="9"/>
  <c r="BW105" i="9" s="1"/>
  <c r="KU69" i="9"/>
  <c r="FR69" i="9"/>
  <c r="JQ63" i="9"/>
  <c r="JR63" i="9" s="1"/>
  <c r="CM80" i="9"/>
  <c r="N74" i="9"/>
  <c r="HH29" i="9"/>
  <c r="BV82" i="9"/>
  <c r="BW82" i="9" s="1"/>
  <c r="FZ107" i="9"/>
  <c r="HO107" i="9"/>
  <c r="IY104" i="9"/>
  <c r="HB104" i="9"/>
  <c r="BR77" i="9"/>
  <c r="EI26" i="9"/>
  <c r="FK21" i="9"/>
  <c r="KU28" i="9"/>
  <c r="EH57" i="9"/>
  <c r="IO58" i="9"/>
  <c r="IP58" i="9" s="1"/>
  <c r="CZ66" i="9"/>
  <c r="K11" i="9"/>
  <c r="L11" i="9" s="1"/>
  <c r="FD11" i="9"/>
  <c r="GR65" i="9"/>
  <c r="GS65" i="9" s="1"/>
  <c r="CJ34" i="9"/>
  <c r="CK34" i="9" s="1"/>
  <c r="JC53" i="9"/>
  <c r="JD53" i="9" s="1"/>
  <c r="BA53" i="9"/>
  <c r="BB53" i="9" s="1"/>
  <c r="JF48" i="9"/>
  <c r="AO108" i="9"/>
  <c r="AT41" i="9"/>
  <c r="AU41" i="9" s="1"/>
  <c r="CT93" i="9"/>
  <c r="CJ93" i="9"/>
  <c r="CK93" i="9" s="1"/>
  <c r="EQ93" i="9"/>
  <c r="AP34" i="9"/>
  <c r="HH91" i="9"/>
  <c r="BY53" i="9"/>
  <c r="GT53" i="9"/>
  <c r="AI48" i="9"/>
  <c r="EC108" i="9"/>
  <c r="DN43" i="9"/>
  <c r="JS43" i="9"/>
  <c r="EP41" i="9"/>
  <c r="KA93" i="9"/>
  <c r="AM93" i="9"/>
  <c r="AN93" i="9" s="1"/>
  <c r="AW65" i="9"/>
  <c r="BD34" i="9"/>
  <c r="EU91" i="9"/>
  <c r="EV91" i="9" s="1"/>
  <c r="FD91" i="9"/>
  <c r="IQ53" i="9"/>
  <c r="EC48" i="9"/>
  <c r="BA48" i="9"/>
  <c r="BB48" i="9" s="1"/>
  <c r="FI108" i="9"/>
  <c r="FJ108" i="9" s="1"/>
  <c r="EN108" i="9"/>
  <c r="EO108" i="9" s="1"/>
  <c r="DN41" i="9"/>
  <c r="AF41" i="9"/>
  <c r="AG41" i="9" s="1"/>
  <c r="KG74" i="9"/>
  <c r="KG82" i="9"/>
  <c r="N23" i="9"/>
  <c r="DE58" i="9"/>
  <c r="DF58" i="9" s="1"/>
  <c r="BR31" i="9"/>
  <c r="T11" i="9"/>
  <c r="KA11" i="9"/>
  <c r="HT65" i="9"/>
  <c r="HU65" i="9" s="1"/>
  <c r="EC91" i="9"/>
  <c r="AH53" i="9"/>
  <c r="KV48" i="9"/>
  <c r="EU43" i="9"/>
  <c r="EV43" i="9" s="1"/>
  <c r="IY43" i="9"/>
  <c r="IA41" i="9"/>
  <c r="IB41" i="9" s="1"/>
  <c r="BP82" i="9"/>
  <c r="BC86" i="9"/>
  <c r="CM86" i="9"/>
  <c r="GN44" i="9"/>
  <c r="BQ44" i="9"/>
  <c r="CS110" i="9"/>
  <c r="KE79" i="9"/>
  <c r="KF79" i="9" s="1"/>
  <c r="FD78" i="9"/>
  <c r="DH71" i="9"/>
  <c r="CJ71" i="9"/>
  <c r="CK71" i="9" s="1"/>
  <c r="AM10" i="9"/>
  <c r="AN10" i="9" s="1"/>
  <c r="FB10" i="9"/>
  <c r="FC10" i="9" s="1"/>
  <c r="IX10" i="9"/>
  <c r="M46" i="9"/>
  <c r="HO46" i="9"/>
  <c r="FP20" i="9"/>
  <c r="FQ20" i="9" s="1"/>
  <c r="AB6" i="9"/>
  <c r="AH100" i="9"/>
  <c r="CL94" i="9"/>
  <c r="JT95" i="9"/>
  <c r="AW95" i="9"/>
  <c r="CX107" i="9"/>
  <c r="CY107" i="9" s="1"/>
  <c r="FE104" i="9"/>
  <c r="EW75" i="9"/>
  <c r="HW21" i="9"/>
  <c r="EQ28" i="9"/>
  <c r="EG28" i="9"/>
  <c r="EH28" i="9" s="1"/>
  <c r="HB5" i="9"/>
  <c r="DS5" i="9"/>
  <c r="DT5" i="9" s="1"/>
  <c r="HA96" i="9"/>
  <c r="JF30" i="9"/>
  <c r="EP16" i="9"/>
  <c r="EB9" i="9"/>
  <c r="DN17" i="9"/>
  <c r="HV61" i="9"/>
  <c r="JX61" i="9"/>
  <c r="JY61" i="9" s="1"/>
  <c r="JJ61" i="9"/>
  <c r="JK61" i="9" s="1"/>
  <c r="DL69" i="9"/>
  <c r="DM69" i="9" s="1"/>
  <c r="HA69" i="9"/>
  <c r="JL106" i="9"/>
  <c r="EB106" i="9"/>
  <c r="IA90" i="9"/>
  <c r="IB90" i="9" s="1"/>
  <c r="GF90" i="9"/>
  <c r="DV63" i="9"/>
  <c r="KV63" i="9"/>
  <c r="EU80" i="9"/>
  <c r="EV80" i="9" s="1"/>
  <c r="BA29" i="9"/>
  <c r="BB29" i="9" s="1"/>
  <c r="DZ82" i="9"/>
  <c r="EA82" i="9" s="1"/>
  <c r="KV23" i="9"/>
  <c r="IY58" i="9"/>
  <c r="DN66" i="9"/>
  <c r="BQ11" i="9"/>
  <c r="L53" i="9"/>
  <c r="JX106" i="9"/>
  <c r="JY106" i="9" s="1"/>
  <c r="EN90" i="9"/>
  <c r="EO90" i="9" s="1"/>
  <c r="HM63" i="9"/>
  <c r="HN63" i="9" s="1"/>
  <c r="N80" i="9"/>
  <c r="CQ74" i="9"/>
  <c r="CR74" i="9" s="1"/>
  <c r="CC74" i="9"/>
  <c r="CD74" i="9" s="1"/>
  <c r="GN23" i="9"/>
  <c r="U66" i="9"/>
  <c r="FW11" i="9"/>
  <c r="FX11" i="9" s="1"/>
  <c r="FL11" i="9"/>
  <c r="N65" i="9"/>
  <c r="GD65" i="9"/>
  <c r="GE65" i="9" s="1"/>
  <c r="KS34" i="9"/>
  <c r="KT34" i="9" s="1"/>
  <c r="KO91" i="9"/>
  <c r="IQ91" i="9"/>
  <c r="CE53" i="9"/>
  <c r="DZ53" i="9"/>
  <c r="EA53" i="9" s="1"/>
  <c r="GK48" i="9"/>
  <c r="GL48" i="9" s="1"/>
  <c r="BA108" i="9"/>
  <c r="BB108" i="9" s="1"/>
  <c r="IV108" i="9"/>
  <c r="IW108" i="9" s="1"/>
  <c r="JJ108" i="9"/>
  <c r="JK108" i="9" s="1"/>
  <c r="CE43" i="9"/>
  <c r="KS43" i="9"/>
  <c r="KT43" i="9" s="1"/>
  <c r="BD41" i="9"/>
  <c r="CZ41" i="9"/>
  <c r="BH93" i="9"/>
  <c r="BI93" i="9" s="1"/>
  <c r="IV93" i="9"/>
  <c r="IW93" i="9" s="1"/>
  <c r="CD9" i="9"/>
  <c r="IR65" i="9"/>
  <c r="IA34" i="9"/>
  <c r="IB34" i="9" s="1"/>
  <c r="FY91" i="9"/>
  <c r="U91" i="9"/>
  <c r="CQ53" i="9"/>
  <c r="CR53" i="9" s="1"/>
  <c r="AT53" i="9"/>
  <c r="AU53" i="9" s="1"/>
  <c r="GG108" i="9"/>
  <c r="GG43" i="9"/>
  <c r="HB43" i="9"/>
  <c r="HI41" i="9"/>
  <c r="HP41" i="9"/>
  <c r="JT93" i="9"/>
  <c r="DT53" i="9"/>
  <c r="JZ91" i="9"/>
  <c r="HI53" i="9"/>
  <c r="FP43" i="9"/>
  <c r="FQ43" i="9" s="1"/>
  <c r="BO43" i="9"/>
  <c r="BP43" i="9" s="1"/>
  <c r="HF93" i="9"/>
  <c r="HG93" i="9" s="1"/>
  <c r="EB93" i="9"/>
  <c r="HU9" i="9"/>
  <c r="FJ61" i="9"/>
  <c r="BX23" i="9"/>
  <c r="M31" i="9"/>
  <c r="DS34" i="9"/>
  <c r="DT34" i="9" s="1"/>
  <c r="GT91" i="9"/>
  <c r="JJ48" i="9"/>
  <c r="JK48" i="9" s="1"/>
  <c r="IH108" i="9"/>
  <c r="II108" i="9" s="1"/>
  <c r="HV108" i="9"/>
  <c r="DG108" i="9"/>
  <c r="KE41" i="9"/>
  <c r="KF41" i="9" s="1"/>
  <c r="IR41" i="9"/>
  <c r="AG106" i="9"/>
  <c r="JY82" i="9"/>
  <c r="BP93" i="9"/>
  <c r="EJ80" i="9"/>
  <c r="HW80" i="9"/>
  <c r="CM74" i="9"/>
  <c r="BH74" i="9"/>
  <c r="BI74" i="9" s="1"/>
  <c r="R29" i="9"/>
  <c r="S29" i="9" s="1"/>
  <c r="JQ82" i="9"/>
  <c r="JR82" i="9" s="1"/>
  <c r="GU23" i="9"/>
  <c r="DZ23" i="9"/>
  <c r="EA23" i="9" s="1"/>
  <c r="EC31" i="9"/>
  <c r="CT65" i="9"/>
  <c r="Y91" i="9"/>
  <c r="Z91" i="9" s="1"/>
  <c r="AO48" i="9"/>
  <c r="JL41" i="9"/>
  <c r="EG17" i="9"/>
  <c r="EH17" i="9" s="1"/>
  <c r="HB61" i="9"/>
  <c r="JQ90" i="9"/>
  <c r="JR90" i="9" s="1"/>
  <c r="BJ63" i="9"/>
  <c r="IV80" i="9"/>
  <c r="IW80" i="9" s="1"/>
  <c r="EB80" i="9"/>
  <c r="DU74" i="9"/>
  <c r="DA58" i="9"/>
  <c r="JZ66" i="9"/>
  <c r="CT31" i="9"/>
  <c r="KL65" i="9"/>
  <c r="KM65" i="9" s="1"/>
  <c r="ID65" i="9"/>
  <c r="HB91" i="9"/>
  <c r="IH53" i="9"/>
  <c r="II53" i="9" s="1"/>
  <c r="KL48" i="9"/>
  <c r="KM48" i="9" s="1"/>
  <c r="KN93" i="9"/>
  <c r="CK89" i="9"/>
  <c r="K58" i="9"/>
  <c r="L58" i="9" s="1"/>
  <c r="FI31" i="9"/>
  <c r="FJ31" i="9" s="1"/>
  <c r="GU31" i="9"/>
  <c r="BH11" i="9"/>
  <c r="BI11" i="9" s="1"/>
  <c r="IX34" i="9"/>
  <c r="AW91" i="9"/>
  <c r="HI48" i="9"/>
  <c r="IC108" i="9"/>
  <c r="IV41" i="9"/>
  <c r="IW41" i="9" s="1"/>
  <c r="IQ93" i="9"/>
  <c r="HI23" i="9"/>
  <c r="CT23" i="9"/>
  <c r="JT65" i="9"/>
  <c r="FS34" i="9"/>
  <c r="FW48" i="9"/>
  <c r="FX48" i="9" s="1"/>
  <c r="DV48" i="9"/>
  <c r="KA108" i="9"/>
  <c r="GR43" i="9"/>
  <c r="GS43" i="9" s="1"/>
  <c r="FY41" i="9"/>
  <c r="FP58" i="9"/>
  <c r="FQ58" i="9" s="1"/>
  <c r="KE58" i="9"/>
  <c r="KF58" i="9" s="1"/>
  <c r="FY31" i="9"/>
  <c r="CL31" i="9"/>
  <c r="BA31" i="9"/>
  <c r="BB31" i="9" s="1"/>
  <c r="KE11" i="9"/>
  <c r="KF11" i="9" s="1"/>
  <c r="AT11" i="9"/>
  <c r="AU11" i="9" s="1"/>
  <c r="DL91" i="9"/>
  <c r="DM91" i="9" s="1"/>
  <c r="JX53" i="9"/>
  <c r="JY53" i="9" s="1"/>
  <c r="GF48" i="9"/>
  <c r="EI108" i="9"/>
  <c r="FY43" i="9"/>
  <c r="FK93" i="9"/>
  <c r="GR96" i="9"/>
  <c r="GS96" i="9" s="1"/>
  <c r="EJ30" i="9"/>
  <c r="GF16" i="9"/>
  <c r="EG16" i="9"/>
  <c r="EH16" i="9" s="1"/>
  <c r="EX76" i="9"/>
  <c r="IO62" i="9"/>
  <c r="IP62" i="9" s="1"/>
  <c r="DV62" i="9"/>
  <c r="EQ17" i="9"/>
  <c r="FR17" i="9"/>
  <c r="AF61" i="9"/>
  <c r="AG61" i="9" s="1"/>
  <c r="FS106" i="9"/>
  <c r="AO90" i="9"/>
  <c r="GY90" i="9"/>
  <c r="GZ90" i="9" s="1"/>
  <c r="HP90" i="9"/>
  <c r="GG80" i="9"/>
  <c r="Y74" i="9"/>
  <c r="Z74" i="9" s="1"/>
  <c r="JF23" i="9"/>
  <c r="IY23" i="9"/>
  <c r="JX31" i="9"/>
  <c r="JY31" i="9" s="1"/>
  <c r="EJ31" i="9"/>
  <c r="EQ11" i="9"/>
  <c r="AB65" i="9"/>
  <c r="GM34" i="9"/>
  <c r="FK34" i="9"/>
  <c r="JC91" i="9"/>
  <c r="JD91" i="9" s="1"/>
  <c r="CZ53" i="9"/>
  <c r="HV53" i="9"/>
  <c r="CC48" i="9"/>
  <c r="CD48" i="9" s="1"/>
  <c r="CJ108" i="9"/>
  <c r="CK108" i="9" s="1"/>
  <c r="JJ43" i="9"/>
  <c r="JK43" i="9" s="1"/>
  <c r="KV41" i="9"/>
  <c r="E77" i="9"/>
  <c r="E29" i="9"/>
  <c r="E54" i="9"/>
  <c r="E4" i="9"/>
  <c r="E80" i="9"/>
  <c r="E13" i="9"/>
  <c r="E46" i="9"/>
  <c r="E32" i="9"/>
  <c r="E110" i="9"/>
  <c r="E24" i="9"/>
  <c r="E92" i="9"/>
  <c r="E53" i="9"/>
  <c r="E55" i="9"/>
  <c r="E39" i="9"/>
  <c r="EK112" i="9"/>
  <c r="HQ112" i="9"/>
  <c r="HX112" i="9"/>
  <c r="JG112" i="9"/>
  <c r="AC112" i="9"/>
  <c r="GO112" i="9"/>
  <c r="KW112" i="9"/>
  <c r="V112" i="9"/>
  <c r="CN112" i="9"/>
  <c r="KP112" i="9"/>
  <c r="ED112" i="9"/>
  <c r="IZ112" i="9"/>
  <c r="AJ112" i="9"/>
  <c r="IE112" i="9"/>
  <c r="KI112" i="9"/>
  <c r="FT112" i="9"/>
  <c r="AP41" i="9"/>
  <c r="KB112" i="9"/>
  <c r="AQ112" i="9"/>
  <c r="DI112" i="9"/>
  <c r="GV112" i="9"/>
  <c r="KO41" i="9"/>
  <c r="KU93" i="9"/>
  <c r="GA112" i="9"/>
  <c r="CG112" i="9"/>
  <c r="ER112" i="9"/>
  <c r="CL93" i="9"/>
  <c r="JU112" i="9"/>
  <c r="KG89" i="9"/>
  <c r="CU112" i="9"/>
  <c r="CM93" i="9"/>
  <c r="AX112" i="9"/>
  <c r="EY112" i="9"/>
  <c r="FL74" i="9"/>
  <c r="HO38" i="9"/>
  <c r="G77" i="9"/>
  <c r="KE44" i="9"/>
  <c r="KF44" i="9" s="1"/>
  <c r="IJ41" i="9"/>
  <c r="CT110" i="9"/>
  <c r="BX110" i="9"/>
  <c r="FZ102" i="9"/>
  <c r="GT73" i="9"/>
  <c r="GM51" i="9"/>
  <c r="DZ47" i="9"/>
  <c r="DG49" i="9"/>
  <c r="EI71" i="9"/>
  <c r="IA97" i="9"/>
  <c r="IB97" i="9" s="1"/>
  <c r="AV102" i="9"/>
  <c r="JE57" i="9"/>
  <c r="FI37" i="9"/>
  <c r="BO42" i="9"/>
  <c r="BP42" i="9" s="1"/>
  <c r="BH52" i="9"/>
  <c r="GR42" i="9"/>
  <c r="F57" i="9"/>
  <c r="EW43" i="9"/>
  <c r="DN25" i="9"/>
  <c r="DO25" i="9"/>
  <c r="CT3" i="9"/>
  <c r="FY3" i="9"/>
  <c r="CM11" i="9"/>
  <c r="AV92" i="9"/>
  <c r="KE92" i="9"/>
  <c r="GT69" i="9"/>
  <c r="AM111" i="9"/>
  <c r="AN111" i="9" s="1"/>
  <c r="KE80" i="9"/>
  <c r="KF80" i="9" s="1"/>
  <c r="GR101" i="9"/>
  <c r="EB3" i="9"/>
  <c r="GF110" i="9"/>
  <c r="EG71" i="9"/>
  <c r="EH71" i="9" s="1"/>
  <c r="HJ112" i="9"/>
  <c r="BV8" i="9"/>
  <c r="BW8" i="9" s="1"/>
  <c r="JF64" i="9"/>
  <c r="BO35" i="9"/>
  <c r="BP35" i="9" s="1"/>
  <c r="JL57" i="9"/>
  <c r="HP83" i="9"/>
  <c r="DN98" i="9"/>
  <c r="JJ64" i="9"/>
  <c r="JK64" i="9" s="1"/>
  <c r="FB22" i="9"/>
  <c r="FC22" i="9" s="1"/>
  <c r="AM49" i="9"/>
  <c r="AN49" i="9" s="1"/>
  <c r="GU22" i="9"/>
  <c r="JL52" i="9"/>
  <c r="IV90" i="9"/>
  <c r="FY102" i="9"/>
  <c r="GF103" i="9"/>
  <c r="EU27" i="9"/>
  <c r="EV27" i="9" s="1"/>
  <c r="FL37" i="9"/>
  <c r="IY90" i="9"/>
  <c r="DZ93" i="9"/>
  <c r="CL39" i="9"/>
  <c r="JC18" i="9"/>
  <c r="JD18" i="9" s="1"/>
  <c r="FI87" i="9"/>
  <c r="FJ87" i="9" s="1"/>
  <c r="KE89" i="9"/>
  <c r="KF89" i="9" s="1"/>
  <c r="HH93" i="9"/>
  <c r="KG37" i="9"/>
  <c r="CL79" i="9"/>
  <c r="EI29" i="9"/>
  <c r="BD108" i="9"/>
  <c r="EC93" i="9"/>
  <c r="EN85" i="9"/>
  <c r="EB89" i="9"/>
  <c r="IH41" i="9"/>
  <c r="II41" i="9" s="1"/>
  <c r="EW27" i="9"/>
  <c r="FK89" i="9"/>
  <c r="IO69" i="9"/>
  <c r="KO82" i="9"/>
  <c r="EC42" i="9"/>
  <c r="JL61" i="9"/>
  <c r="IJ111" i="9"/>
  <c r="BQ42" i="9"/>
  <c r="FZ79" i="9"/>
  <c r="EQ61" i="9"/>
  <c r="KS108" i="9"/>
  <c r="KT108" i="9" s="1"/>
  <c r="FL69" i="9"/>
  <c r="T51" i="9"/>
  <c r="IH20" i="9"/>
  <c r="II20" i="9" s="1"/>
  <c r="DU61" i="9"/>
  <c r="GU104" i="9"/>
  <c r="EG92" i="9"/>
  <c r="EH92" i="9" s="1"/>
  <c r="HM44" i="9"/>
  <c r="IY10" i="9"/>
  <c r="GF61" i="9"/>
  <c r="BR11" i="9"/>
  <c r="JJ46" i="9"/>
  <c r="IV17" i="9"/>
  <c r="IW17" i="9" s="1"/>
  <c r="BJ84" i="9"/>
  <c r="KH92" i="9"/>
  <c r="AV51" i="9"/>
  <c r="HP44" i="9"/>
  <c r="R10" i="9"/>
  <c r="S10" i="9" s="1"/>
  <c r="DV5" i="9"/>
  <c r="M96" i="9"/>
  <c r="O96" i="9" s="1"/>
  <c r="FR106" i="9"/>
  <c r="HV72" i="9"/>
  <c r="AT51" i="9"/>
  <c r="AU51" i="9" s="1"/>
  <c r="KS57" i="9"/>
  <c r="KT57" i="9" s="1"/>
  <c r="CT10" i="9"/>
  <c r="GG61" i="9"/>
  <c r="DN35" i="9"/>
  <c r="CS70" i="9"/>
  <c r="BD92" i="9"/>
  <c r="KV72" i="9"/>
  <c r="JF51" i="9"/>
  <c r="D57" i="9"/>
  <c r="E57" i="9" s="1"/>
  <c r="FD10" i="9"/>
  <c r="IJ61" i="9"/>
  <c r="CJ11" i="9"/>
  <c r="CK11" i="9" s="1"/>
  <c r="CF53" i="9"/>
  <c r="GT108" i="9"/>
  <c r="BC46" i="9"/>
  <c r="EP39" i="9"/>
  <c r="KG15" i="9"/>
  <c r="FR47" i="9"/>
  <c r="HO70" i="9"/>
  <c r="AW92" i="9"/>
  <c r="GK57" i="9"/>
  <c r="GL57" i="9" s="1"/>
  <c r="HW78" i="9"/>
  <c r="HI93" i="9"/>
  <c r="IC110" i="9"/>
  <c r="IR12" i="9"/>
  <c r="HP92" i="9"/>
  <c r="GD103" i="9"/>
  <c r="GE103" i="9" s="1"/>
  <c r="HV33" i="9"/>
  <c r="CM57" i="9"/>
  <c r="HF53" i="9"/>
  <c r="HG53" i="9" s="1"/>
  <c r="EW36" i="9"/>
  <c r="CC53" i="9"/>
  <c r="DA111" i="9"/>
  <c r="GR83" i="9"/>
  <c r="GS83" i="9" s="1"/>
  <c r="EQ98" i="9"/>
  <c r="EJ87" i="9"/>
  <c r="N92" i="9"/>
  <c r="CC103" i="9"/>
  <c r="CD103" i="9" s="1"/>
  <c r="DN83" i="9"/>
  <c r="EC78" i="9"/>
  <c r="JX80" i="9"/>
  <c r="JY80" i="9" s="1"/>
  <c r="M53" i="9"/>
  <c r="IC32" i="9"/>
  <c r="M30" i="9"/>
  <c r="IR53" i="9"/>
  <c r="F98" i="9"/>
  <c r="HH101" i="9"/>
  <c r="HV73" i="9"/>
  <c r="AT102" i="9"/>
  <c r="AU102" i="9" s="1"/>
  <c r="GT37" i="9"/>
  <c r="CS10" i="9"/>
  <c r="DE9" i="9"/>
  <c r="DF9" i="9" s="1"/>
  <c r="HH53" i="9"/>
  <c r="BC108" i="9"/>
  <c r="IH46" i="9"/>
  <c r="II46" i="9" s="1"/>
  <c r="T83" i="9"/>
  <c r="FS37" i="9"/>
  <c r="GF75" i="9"/>
  <c r="N53" i="9"/>
  <c r="AT72" i="9"/>
  <c r="HB94" i="9"/>
  <c r="IQ33" i="9"/>
  <c r="DA37" i="9"/>
  <c r="JJ75" i="9"/>
  <c r="JK75" i="9" s="1"/>
  <c r="EU36" i="9"/>
  <c r="EV36" i="9" s="1"/>
  <c r="IO53" i="9"/>
  <c r="IP53" i="9" s="1"/>
  <c r="DE104" i="9"/>
  <c r="DF104" i="9" s="1"/>
  <c r="IA32" i="9"/>
  <c r="IB32" i="9" s="1"/>
  <c r="GD37" i="9"/>
  <c r="GE37" i="9" s="1"/>
  <c r="BK90" i="9"/>
  <c r="DL74" i="9"/>
  <c r="DM74" i="9" s="1"/>
  <c r="GM11" i="9"/>
  <c r="FL14" i="9"/>
  <c r="FZ40" i="9"/>
  <c r="G53" i="9"/>
  <c r="CQ37" i="9"/>
  <c r="CR37" i="9" s="1"/>
  <c r="BJ50" i="9"/>
  <c r="EB13" i="9"/>
  <c r="BJ90" i="9"/>
  <c r="KN44" i="9"/>
  <c r="HB32" i="9"/>
  <c r="BH50" i="9"/>
  <c r="BI50" i="9" s="1"/>
  <c r="KE52" i="9"/>
  <c r="KF52" i="9" s="1"/>
  <c r="EQ39" i="9"/>
  <c r="HH88" i="9"/>
  <c r="CX37" i="9"/>
  <c r="FB89" i="9"/>
  <c r="FC89" i="9" s="1"/>
  <c r="KE69" i="9"/>
  <c r="KF69" i="9" s="1"/>
  <c r="KH11" i="9"/>
  <c r="DZ18" i="9"/>
  <c r="EA18" i="9" s="1"/>
  <c r="M52" i="9"/>
  <c r="FK88" i="9"/>
  <c r="BO11" i="9"/>
  <c r="BP11" i="9" s="1"/>
  <c r="KV43" i="9"/>
  <c r="EI22" i="9"/>
  <c r="DS32" i="9"/>
  <c r="DT32" i="9" s="1"/>
  <c r="EG60" i="9"/>
  <c r="CQ21" i="9"/>
  <c r="AI96" i="9"/>
  <c r="CX103" i="9"/>
  <c r="CY103" i="9" s="1"/>
  <c r="JJ45" i="9"/>
  <c r="JK45" i="9" s="1"/>
  <c r="JT50" i="9"/>
  <c r="GU42" i="9"/>
  <c r="BJ81" i="9"/>
  <c r="CZ15" i="9"/>
  <c r="JT77" i="9"/>
  <c r="HP96" i="9"/>
  <c r="DG61" i="9"/>
  <c r="BA74" i="9"/>
  <c r="BB74" i="9" s="1"/>
  <c r="HT82" i="9"/>
  <c r="HU82" i="9" s="1"/>
  <c r="KL91" i="9"/>
  <c r="KM91" i="9" s="1"/>
  <c r="JT94" i="9"/>
  <c r="BO21" i="9"/>
  <c r="BP21" i="9" s="1"/>
  <c r="BX18" i="9"/>
  <c r="JL21" i="9"/>
  <c r="CZ103" i="9"/>
  <c r="K15" i="9"/>
  <c r="L15" i="9" s="1"/>
  <c r="IR19" i="9"/>
  <c r="FP46" i="9"/>
  <c r="FQ46" i="9" s="1"/>
  <c r="AF96" i="9"/>
  <c r="JM106" i="9"/>
  <c r="F91" i="9"/>
  <c r="HT45" i="9"/>
  <c r="HU45" i="9" s="1"/>
  <c r="CZ36" i="9"/>
  <c r="JM21" i="9"/>
  <c r="CC109" i="9"/>
  <c r="CD109" i="9" s="1"/>
  <c r="U101" i="9"/>
  <c r="EN64" i="9"/>
  <c r="EO64" i="9" s="1"/>
  <c r="FR70" i="9"/>
  <c r="FP36" i="9"/>
  <c r="FQ36" i="9" s="1"/>
  <c r="GT38" i="9"/>
  <c r="IV4" i="9"/>
  <c r="D68" i="9"/>
  <c r="E68" i="9" s="1"/>
  <c r="GY86" i="9"/>
  <c r="AF19" i="9"/>
  <c r="EC106" i="9"/>
  <c r="FR31" i="9"/>
  <c r="KG96" i="9"/>
  <c r="AM98" i="9"/>
  <c r="HB73" i="9"/>
  <c r="GG92" i="9"/>
  <c r="AF39" i="9"/>
  <c r="AG39" i="9" s="1"/>
  <c r="JJ109" i="9"/>
  <c r="IV101" i="9"/>
  <c r="IW101" i="9" s="1"/>
  <c r="K103" i="9"/>
  <c r="GM67" i="9"/>
  <c r="BC85" i="9"/>
  <c r="DG4" i="9"/>
  <c r="AO54" i="9"/>
  <c r="IO19" i="9"/>
  <c r="CM96" i="9"/>
  <c r="EG31" i="9"/>
  <c r="EH31" i="9" s="1"/>
  <c r="HA98" i="9"/>
  <c r="FB40" i="9"/>
  <c r="FC40" i="9" s="1"/>
  <c r="AF78" i="9"/>
  <c r="HV95" i="9"/>
  <c r="HA28" i="9"/>
  <c r="EI31" i="9"/>
  <c r="EP71" i="9"/>
  <c r="FD20" i="9"/>
  <c r="DH104" i="9"/>
  <c r="GN96" i="9"/>
  <c r="CM102" i="9"/>
  <c r="DN54" i="9"/>
  <c r="EB110" i="9"/>
  <c r="JJ72" i="9"/>
  <c r="JK72" i="9" s="1"/>
  <c r="M67" i="9"/>
  <c r="IR85" i="9"/>
  <c r="BY4" i="9"/>
  <c r="K54" i="9"/>
  <c r="L54" i="9" s="1"/>
  <c r="HB28" i="9"/>
  <c r="CF76" i="9"/>
  <c r="JS94" i="9"/>
  <c r="DU32" i="9"/>
  <c r="FY109" i="9"/>
  <c r="JM101" i="9"/>
  <c r="IR103" i="9"/>
  <c r="JL72" i="9"/>
  <c r="BJ67" i="9"/>
  <c r="AA85" i="9"/>
  <c r="AI78" i="9"/>
  <c r="FD76" i="9"/>
  <c r="KA17" i="9"/>
  <c r="IC65" i="9"/>
  <c r="CC43" i="9"/>
  <c r="IY93" i="9"/>
  <c r="AI107" i="9"/>
  <c r="EG24" i="9"/>
  <c r="EH24" i="9" s="1"/>
  <c r="JF56" i="9"/>
  <c r="DN22" i="9"/>
  <c r="DO98" i="9"/>
  <c r="JZ73" i="9"/>
  <c r="GM91" i="9"/>
  <c r="FS91" i="9"/>
  <c r="JF85" i="9"/>
  <c r="BX8" i="9"/>
  <c r="KN92" i="9"/>
  <c r="BR12" i="9"/>
  <c r="IQ72" i="9"/>
  <c r="IO27" i="9"/>
  <c r="IP27" i="9" s="1"/>
  <c r="BK67" i="9"/>
  <c r="DU3" i="9"/>
  <c r="KO25" i="9"/>
  <c r="BK85" i="9"/>
  <c r="FY40" i="9"/>
  <c r="AP54" i="9"/>
  <c r="EP75" i="9"/>
  <c r="IC26" i="9"/>
  <c r="JL28" i="9"/>
  <c r="AV80" i="9"/>
  <c r="CS65" i="9"/>
  <c r="BC56" i="9"/>
  <c r="KS72" i="9"/>
  <c r="KT72" i="9" s="1"/>
  <c r="KE25" i="9"/>
  <c r="DO54" i="9"/>
  <c r="IL112" i="9"/>
  <c r="G111" i="9"/>
  <c r="GN3" i="9"/>
  <c r="EI13" i="9"/>
  <c r="DV25" i="9"/>
  <c r="M54" i="9"/>
  <c r="CS75" i="9"/>
  <c r="CM30" i="9"/>
  <c r="FD90" i="9"/>
  <c r="F80" i="9"/>
  <c r="M15" i="9"/>
  <c r="DZ79" i="9"/>
  <c r="EA79" i="9" s="1"/>
  <c r="BJ82" i="9"/>
  <c r="FD27" i="9"/>
  <c r="GY51" i="9"/>
  <c r="IA65" i="9"/>
  <c r="IB65" i="9" s="1"/>
  <c r="BK52" i="9"/>
  <c r="JS87" i="9"/>
  <c r="BC92" i="9"/>
  <c r="DV72" i="9"/>
  <c r="DZ3" i="9"/>
  <c r="EA3" i="9" s="1"/>
  <c r="AO13" i="9"/>
  <c r="JZ32" i="9"/>
  <c r="HV51" i="9"/>
  <c r="KL44" i="9"/>
  <c r="KM44" i="9" s="1"/>
  <c r="AO10" i="9"/>
  <c r="JL75" i="9"/>
  <c r="KN26" i="9"/>
  <c r="AT80" i="9"/>
  <c r="AU80" i="9" s="1"/>
  <c r="AW53" i="9"/>
  <c r="FE43" i="9"/>
  <c r="AH42" i="9"/>
  <c r="CC99" i="9"/>
  <c r="FB37" i="9"/>
  <c r="FC37" i="9" s="1"/>
  <c r="IY50" i="9"/>
  <c r="CX94" i="9"/>
  <c r="CY94" i="9" s="1"/>
  <c r="DU104" i="9"/>
  <c r="IK77" i="9"/>
  <c r="KG16" i="9"/>
  <c r="BJ69" i="9"/>
  <c r="DZ106" i="9"/>
  <c r="U90" i="9"/>
  <c r="KL31" i="9"/>
  <c r="ID43" i="9"/>
  <c r="GT20" i="9"/>
  <c r="EN94" i="9"/>
  <c r="EO94" i="9" s="1"/>
  <c r="KG41" i="9"/>
  <c r="KA22" i="9"/>
  <c r="IA25" i="9"/>
  <c r="IV43" i="9"/>
  <c r="IW43" i="9" s="1"/>
  <c r="CF99" i="9"/>
  <c r="DV60" i="9"/>
  <c r="IK45" i="9"/>
  <c r="AH102" i="9"/>
  <c r="JE36" i="9"/>
  <c r="HW20" i="9"/>
  <c r="DG101" i="9"/>
  <c r="BA111" i="9"/>
  <c r="BB111" i="9" s="1"/>
  <c r="FW92" i="9"/>
  <c r="FX92" i="9" s="1"/>
  <c r="DO103" i="9"/>
  <c r="AF7" i="9"/>
  <c r="AG7" i="9" s="1"/>
  <c r="FB27" i="9"/>
  <c r="FC27" i="9" s="1"/>
  <c r="FI102" i="9"/>
  <c r="FJ102" i="9" s="1"/>
  <c r="DV88" i="9"/>
  <c r="EN13" i="9"/>
  <c r="EO13" i="9" s="1"/>
  <c r="HB51" i="9"/>
  <c r="BV110" i="9"/>
  <c r="BW110" i="9" s="1"/>
  <c r="GN20" i="9"/>
  <c r="HA94" i="9"/>
  <c r="CL107" i="9"/>
  <c r="HW89" i="9"/>
  <c r="FP16" i="9"/>
  <c r="FQ16" i="9" s="1"/>
  <c r="IH61" i="9"/>
  <c r="II61" i="9" s="1"/>
  <c r="BK69" i="9"/>
  <c r="KG80" i="9"/>
  <c r="FS31" i="9"/>
  <c r="FE11" i="9"/>
  <c r="EB53" i="9"/>
  <c r="GU108" i="9"/>
  <c r="IR110" i="9"/>
  <c r="CZ94" i="9"/>
  <c r="DL4" i="9"/>
  <c r="GM20" i="9"/>
  <c r="IJ36" i="9"/>
  <c r="JM46" i="9"/>
  <c r="T52" i="9"/>
  <c r="JT87" i="9"/>
  <c r="F60" i="9"/>
  <c r="DU92" i="9"/>
  <c r="AM45" i="9"/>
  <c r="AN45" i="9" s="1"/>
  <c r="Y7" i="9"/>
  <c r="JL27" i="9"/>
  <c r="DS88" i="9"/>
  <c r="AH32" i="9"/>
  <c r="BA85" i="9"/>
  <c r="BB85" i="9" s="1"/>
  <c r="T97" i="9"/>
  <c r="IC37" i="9"/>
  <c r="IE37" i="9" s="1"/>
  <c r="EX83" i="9"/>
  <c r="CX86" i="9"/>
  <c r="CY86" i="9" s="1"/>
  <c r="HV78" i="9"/>
  <c r="DU71" i="9"/>
  <c r="BR20" i="9"/>
  <c r="Y100" i="9"/>
  <c r="FP28" i="9"/>
  <c r="FQ28" i="9" s="1"/>
  <c r="CZ30" i="9"/>
  <c r="FE16" i="9"/>
  <c r="JJ62" i="9"/>
  <c r="JK62" i="9" s="1"/>
  <c r="G80" i="9"/>
  <c r="Y29" i="9"/>
  <c r="Z29" i="9" s="1"/>
  <c r="BQ31" i="9"/>
  <c r="HI34" i="9"/>
  <c r="HP53" i="9"/>
  <c r="HM41" i="9"/>
  <c r="HN41" i="9" s="1"/>
  <c r="JQ50" i="9"/>
  <c r="JR50" i="9" s="1"/>
  <c r="JJ12" i="9"/>
  <c r="AO83" i="9"/>
  <c r="HA26" i="9"/>
  <c r="IO12" i="9"/>
  <c r="CX41" i="9"/>
  <c r="JJ106" i="9"/>
  <c r="JK106" i="9" s="1"/>
  <c r="IY80" i="9"/>
  <c r="KH7" i="9"/>
  <c r="KU100" i="9"/>
  <c r="HW16" i="9"/>
  <c r="JL17" i="9"/>
  <c r="HH34" i="9"/>
  <c r="HJ34" i="9" s="1"/>
  <c r="CQ52" i="9"/>
  <c r="CR52" i="9" s="1"/>
  <c r="EJ60" i="9"/>
  <c r="EI92" i="9"/>
  <c r="EB45" i="9"/>
  <c r="EB27" i="9"/>
  <c r="EG81" i="9"/>
  <c r="EH81" i="9" s="1"/>
  <c r="IK36" i="9"/>
  <c r="IO85" i="9"/>
  <c r="HM14" i="9"/>
  <c r="HN14" i="9" s="1"/>
  <c r="ID37" i="9"/>
  <c r="F68" i="9"/>
  <c r="CZ86" i="9"/>
  <c r="DV71" i="9"/>
  <c r="KA10" i="9"/>
  <c r="AW46" i="9"/>
  <c r="FY59" i="9"/>
  <c r="EI20" i="9"/>
  <c r="EU100" i="9"/>
  <c r="EV100" i="9" s="1"/>
  <c r="DL21" i="9"/>
  <c r="FS28" i="9"/>
  <c r="N30" i="9"/>
  <c r="K69" i="9"/>
  <c r="L69" i="9" s="1"/>
  <c r="AW106" i="9"/>
  <c r="KA31" i="9"/>
  <c r="KG11" i="9"/>
  <c r="DV53" i="9"/>
  <c r="KS103" i="9"/>
  <c r="KT103" i="9" s="1"/>
  <c r="JF46" i="9"/>
  <c r="BV35" i="9"/>
  <c r="BW35" i="9" s="1"/>
  <c r="N7" i="9"/>
  <c r="EI27" i="9"/>
  <c r="HB78" i="9"/>
  <c r="T10" i="9"/>
  <c r="CE46" i="9"/>
  <c r="KV100" i="9"/>
  <c r="AV107" i="9"/>
  <c r="CC28" i="9"/>
  <c r="CD28" i="9" s="1"/>
  <c r="IK62" i="9"/>
  <c r="EG63" i="9"/>
  <c r="EH63" i="9" s="1"/>
  <c r="D82" i="9"/>
  <c r="E82" i="9" s="1"/>
  <c r="CF31" i="9"/>
  <c r="HH41" i="9"/>
  <c r="BC12" i="9"/>
  <c r="JS29" i="9"/>
  <c r="FI89" i="9"/>
  <c r="FJ89" i="9" s="1"/>
  <c r="AV101" i="9"/>
  <c r="BO14" i="9"/>
  <c r="BP14" i="9" s="1"/>
  <c r="JZ35" i="9"/>
  <c r="CQ45" i="9"/>
  <c r="CR45" i="9" s="1"/>
  <c r="CS44" i="9"/>
  <c r="HT69" i="9"/>
  <c r="HU69" i="9" s="1"/>
  <c r="JL99" i="9"/>
  <c r="AH7" i="9"/>
  <c r="K73" i="9"/>
  <c r="L73" i="9" s="1"/>
  <c r="JZ102" i="9"/>
  <c r="DO67" i="9"/>
  <c r="AV56" i="9"/>
  <c r="Y85" i="9"/>
  <c r="Z85" i="9" s="1"/>
  <c r="HO14" i="9"/>
  <c r="IJ83" i="9"/>
  <c r="JX68" i="9"/>
  <c r="JY68" i="9" s="1"/>
  <c r="GN57" i="9"/>
  <c r="JM78" i="9"/>
  <c r="T71" i="9"/>
  <c r="AT10" i="9"/>
  <c r="AU10" i="9" s="1"/>
  <c r="JC46" i="9"/>
  <c r="IV20" i="9"/>
  <c r="AM100" i="9"/>
  <c r="AN100" i="9" s="1"/>
  <c r="DU69" i="9"/>
  <c r="AT106" i="9"/>
  <c r="CJ63" i="9"/>
  <c r="CK63" i="9" s="1"/>
  <c r="EB66" i="9"/>
  <c r="JM48" i="9"/>
  <c r="CL41" i="9"/>
  <c r="KO20" i="9"/>
  <c r="JQ73" i="9"/>
  <c r="JR73" i="9" s="1"/>
  <c r="BQ22" i="9"/>
  <c r="BH15" i="9"/>
  <c r="CF89" i="9"/>
  <c r="BH106" i="9"/>
  <c r="KS49" i="9"/>
  <c r="KT49" i="9" s="1"/>
  <c r="AI42" i="9"/>
  <c r="KL94" i="9"/>
  <c r="JC8" i="9"/>
  <c r="GK87" i="9"/>
  <c r="JJ97" i="9"/>
  <c r="JK97" i="9" s="1"/>
  <c r="GR84" i="9"/>
  <c r="GS84" i="9" s="1"/>
  <c r="KA99" i="9"/>
  <c r="CT52" i="9"/>
  <c r="CQ98" i="9"/>
  <c r="CR98" i="9" s="1"/>
  <c r="DL87" i="9"/>
  <c r="DM87" i="9" s="1"/>
  <c r="AH92" i="9"/>
  <c r="JQ39" i="9"/>
  <c r="JR39" i="9" s="1"/>
  <c r="M73" i="9"/>
  <c r="FE56" i="9"/>
  <c r="JC85" i="9"/>
  <c r="JD85" i="9" s="1"/>
  <c r="CT14" i="9"/>
  <c r="GR33" i="9"/>
  <c r="GS33" i="9" s="1"/>
  <c r="FR37" i="9"/>
  <c r="KA68" i="9"/>
  <c r="BK15" i="9"/>
  <c r="GD57" i="9"/>
  <c r="GE57" i="9" s="1"/>
  <c r="BK86" i="9"/>
  <c r="JQ78" i="9"/>
  <c r="JR78" i="9" s="1"/>
  <c r="N71" i="9"/>
  <c r="JX10" i="9"/>
  <c r="KN20" i="9"/>
  <c r="AB100" i="9"/>
  <c r="AT107" i="9"/>
  <c r="AU107" i="9" s="1"/>
  <c r="FS77" i="9"/>
  <c r="N96" i="9"/>
  <c r="KA16" i="9"/>
  <c r="KS17" i="9"/>
  <c r="KT17" i="9" s="1"/>
  <c r="M69" i="9"/>
  <c r="HV66" i="9"/>
  <c r="FE31" i="9"/>
  <c r="GD43" i="9"/>
  <c r="GE43" i="9" s="1"/>
  <c r="CJ41" i="9"/>
  <c r="CK41" i="9" s="1"/>
  <c r="IX93" i="9"/>
  <c r="GN66" i="9"/>
  <c r="EC80" i="9"/>
  <c r="JX101" i="9"/>
  <c r="JY101" i="9" s="1"/>
  <c r="KU103" i="9"/>
  <c r="EJ22" i="9"/>
  <c r="CJ42" i="9"/>
  <c r="CK42" i="9" s="1"/>
  <c r="HV20" i="9"/>
  <c r="EC104" i="9"/>
  <c r="EC82" i="9"/>
  <c r="GT88" i="9"/>
  <c r="FL4" i="9"/>
  <c r="BK106" i="9"/>
  <c r="IA81" i="9"/>
  <c r="IB81" i="9" s="1"/>
  <c r="DA36" i="9"/>
  <c r="BC32" i="9"/>
  <c r="HF14" i="9"/>
  <c r="HG14" i="9" s="1"/>
  <c r="JL111" i="9"/>
  <c r="HV98" i="9"/>
  <c r="BL112" i="9"/>
  <c r="F92" i="9"/>
  <c r="GK39" i="9"/>
  <c r="GL39" i="9" s="1"/>
  <c r="KL73" i="9"/>
  <c r="KM73" i="9" s="1"/>
  <c r="HA67" i="9"/>
  <c r="CF56" i="9"/>
  <c r="EW32" i="9"/>
  <c r="BV14" i="9"/>
  <c r="BW14" i="9" s="1"/>
  <c r="CS37" i="9"/>
  <c r="KV68" i="9"/>
  <c r="GF57" i="9"/>
  <c r="EB78" i="9"/>
  <c r="M71" i="9"/>
  <c r="DA10" i="9"/>
  <c r="AV46" i="9"/>
  <c r="AP20" i="9"/>
  <c r="AF107" i="9"/>
  <c r="DO21" i="9"/>
  <c r="FD89" i="9"/>
  <c r="FZ96" i="9"/>
  <c r="EP17" i="9"/>
  <c r="IR69" i="9"/>
  <c r="AT66" i="9"/>
  <c r="AU66" i="9" s="1"/>
  <c r="AF53" i="9"/>
  <c r="HB41" i="9"/>
  <c r="BO36" i="9"/>
  <c r="BP36" i="9" s="1"/>
  <c r="KU49" i="9"/>
  <c r="EB104" i="9"/>
  <c r="JZ16" i="9"/>
  <c r="KV98" i="9"/>
  <c r="JX35" i="9"/>
  <c r="JY35" i="9" s="1"/>
  <c r="EC45" i="9"/>
  <c r="KN73" i="9"/>
  <c r="FR73" i="9"/>
  <c r="GG101" i="9"/>
  <c r="BH87" i="9"/>
  <c r="BI87" i="9" s="1"/>
  <c r="FP73" i="9"/>
  <c r="FQ73" i="9" s="1"/>
  <c r="K67" i="9"/>
  <c r="L67" i="9" s="1"/>
  <c r="GT33" i="9"/>
  <c r="IX37" i="9"/>
  <c r="KE15" i="9"/>
  <c r="KF15" i="9" s="1"/>
  <c r="IJ46" i="9"/>
  <c r="BQ20" i="9"/>
  <c r="IA95" i="9"/>
  <c r="IB95" i="9" s="1"/>
  <c r="GY75" i="9"/>
  <c r="GZ75" i="9" s="1"/>
  <c r="GT96" i="9"/>
  <c r="KG69" i="9"/>
  <c r="DG66" i="9"/>
  <c r="CF43" i="9"/>
  <c r="DA41" i="9"/>
  <c r="JF73" i="9"/>
  <c r="BR43" i="9"/>
  <c r="IR20" i="9"/>
  <c r="HP95" i="9"/>
  <c r="CC89" i="9"/>
  <c r="CD89" i="9" s="1"/>
  <c r="CF74" i="9"/>
  <c r="JJ66" i="9"/>
  <c r="JK66" i="9" s="1"/>
  <c r="HA43" i="9"/>
  <c r="KN41" i="9"/>
  <c r="GK66" i="9"/>
  <c r="HI38" i="9"/>
  <c r="EP4" i="9"/>
  <c r="CM107" i="9"/>
  <c r="GM28" i="9"/>
  <c r="KV17" i="9"/>
  <c r="IK101" i="9"/>
  <c r="FK87" i="9"/>
  <c r="FD92" i="9"/>
  <c r="EW39" i="9"/>
  <c r="JS73" i="9"/>
  <c r="HO81" i="9"/>
  <c r="KH36" i="9"/>
  <c r="CM40" i="9"/>
  <c r="IH83" i="9"/>
  <c r="II83" i="9" s="1"/>
  <c r="IJ101" i="9"/>
  <c r="DV70" i="9"/>
  <c r="AF92" i="9"/>
  <c r="AG92" i="9" s="1"/>
  <c r="JM12" i="9"/>
  <c r="EC24" i="9"/>
  <c r="GU39" i="9"/>
  <c r="EI81" i="9"/>
  <c r="FS36" i="9"/>
  <c r="HM32" i="9"/>
  <c r="HN32" i="9" s="1"/>
  <c r="IO33" i="9"/>
  <c r="IP33" i="9" s="1"/>
  <c r="IK40" i="9"/>
  <c r="HM83" i="9"/>
  <c r="HN83" i="9" s="1"/>
  <c r="KN54" i="9"/>
  <c r="HM57" i="9"/>
  <c r="HN57" i="9" s="1"/>
  <c r="F110" i="9"/>
  <c r="FZ78" i="9"/>
  <c r="HM95" i="9"/>
  <c r="Y89" i="9"/>
  <c r="Z89" i="9" s="1"/>
  <c r="GK96" i="9"/>
  <c r="FK105" i="9"/>
  <c r="HH23" i="9"/>
  <c r="IV66" i="9"/>
  <c r="IW66" i="9" s="1"/>
  <c r="FB41" i="9"/>
  <c r="FC41" i="9" s="1"/>
  <c r="AH74" i="9"/>
  <c r="AI74" i="9"/>
  <c r="DN55" i="9"/>
  <c r="DL55" i="9"/>
  <c r="DM55" i="9" s="1"/>
  <c r="DO55" i="9"/>
  <c r="CJ86" i="9"/>
  <c r="CK86" i="9" s="1"/>
  <c r="CJ78" i="9"/>
  <c r="CK78" i="9" s="1"/>
  <c r="CL78" i="9"/>
  <c r="AV7" i="9"/>
  <c r="AW7" i="9"/>
  <c r="JM22" i="9"/>
  <c r="R79" i="9"/>
  <c r="S79" i="9" s="1"/>
  <c r="U79" i="9"/>
  <c r="T79" i="9"/>
  <c r="GU9" i="9"/>
  <c r="GR9" i="9"/>
  <c r="CL16" i="9"/>
  <c r="CM16" i="9"/>
  <c r="G9" i="9"/>
  <c r="F9" i="9"/>
  <c r="FZ39" i="9"/>
  <c r="FY39" i="9"/>
  <c r="IJ81" i="9"/>
  <c r="BV86" i="9"/>
  <c r="M99" i="9"/>
  <c r="HB52" i="9"/>
  <c r="AT18" i="9"/>
  <c r="FY47" i="9"/>
  <c r="GK84" i="9"/>
  <c r="GL84" i="9" s="1"/>
  <c r="DO60" i="9"/>
  <c r="DL60" i="9"/>
  <c r="DM60" i="9" s="1"/>
  <c r="GF12" i="9"/>
  <c r="GU103" i="9"/>
  <c r="GR103" i="9"/>
  <c r="GS103" i="9" s="1"/>
  <c r="FY72" i="9"/>
  <c r="CM72" i="9"/>
  <c r="CL72" i="9"/>
  <c r="CS27" i="9"/>
  <c r="CT27" i="9"/>
  <c r="GN27" i="9"/>
  <c r="GK27" i="9"/>
  <c r="GL27" i="9" s="1"/>
  <c r="KL102" i="9"/>
  <c r="KM102" i="9" s="1"/>
  <c r="KN102" i="9"/>
  <c r="JC4" i="9"/>
  <c r="JD4" i="9" s="1"/>
  <c r="JF4" i="9"/>
  <c r="CQ68" i="9"/>
  <c r="CR68" i="9" s="1"/>
  <c r="CT54" i="9"/>
  <c r="CQ54" i="9"/>
  <c r="CR54" i="9" s="1"/>
  <c r="DU96" i="9"/>
  <c r="DH9" i="9"/>
  <c r="HB105" i="9"/>
  <c r="HA105" i="9"/>
  <c r="Y90" i="9"/>
  <c r="Z90" i="9" s="1"/>
  <c r="AA90" i="9"/>
  <c r="AB90" i="9"/>
  <c r="CJ90" i="9"/>
  <c r="CK90" i="9" s="1"/>
  <c r="CL90" i="9"/>
  <c r="HT58" i="9"/>
  <c r="HU58" i="9" s="1"/>
  <c r="HV58" i="9"/>
  <c r="HW58" i="9"/>
  <c r="FK58" i="9"/>
  <c r="FL58" i="9"/>
  <c r="AT34" i="9"/>
  <c r="AU34" i="9" s="1"/>
  <c r="AO93" i="9"/>
  <c r="AP93" i="9"/>
  <c r="FP24" i="9"/>
  <c r="FQ24" i="9" s="1"/>
  <c r="FS24" i="9"/>
  <c r="GF71" i="9"/>
  <c r="T60" i="9"/>
  <c r="R60" i="9"/>
  <c r="S60" i="9" s="1"/>
  <c r="CF9" i="9"/>
  <c r="GM58" i="9"/>
  <c r="GK58" i="9"/>
  <c r="GL58" i="9" s="1"/>
  <c r="CE109" i="9"/>
  <c r="GG32" i="9"/>
  <c r="GM84" i="9"/>
  <c r="JQ86" i="9"/>
  <c r="JR86" i="9" s="1"/>
  <c r="JS86" i="9"/>
  <c r="D59" i="9"/>
  <c r="E59" i="9" s="1"/>
  <c r="CX6" i="9"/>
  <c r="CY6" i="9" s="1"/>
  <c r="DA6" i="9"/>
  <c r="CZ6" i="9"/>
  <c r="GR28" i="9"/>
  <c r="GS28" i="9" s="1"/>
  <c r="GT28" i="9"/>
  <c r="KA5" i="9"/>
  <c r="IC16" i="9"/>
  <c r="IA16" i="9"/>
  <c r="IB16" i="9" s="1"/>
  <c r="JM29" i="9"/>
  <c r="JJ29" i="9"/>
  <c r="JK29" i="9" s="1"/>
  <c r="FS82" i="9"/>
  <c r="FP82" i="9"/>
  <c r="FQ82" i="9" s="1"/>
  <c r="FR82" i="9"/>
  <c r="M11" i="9"/>
  <c r="N11" i="9"/>
  <c r="G11" i="9"/>
  <c r="F11" i="9"/>
  <c r="D11" i="9"/>
  <c r="E11" i="9" s="1"/>
  <c r="AV34" i="9"/>
  <c r="BJ51" i="9"/>
  <c r="KV71" i="9"/>
  <c r="KU71" i="9"/>
  <c r="BO65" i="9"/>
  <c r="BP65" i="9" s="1"/>
  <c r="BR65" i="9"/>
  <c r="T88" i="9"/>
  <c r="Y26" i="9"/>
  <c r="Z26" i="9" s="1"/>
  <c r="AB26" i="9"/>
  <c r="AA26" i="9"/>
  <c r="HV82" i="9"/>
  <c r="BH58" i="9"/>
  <c r="BI58" i="9" s="1"/>
  <c r="BJ58" i="9"/>
  <c r="G93" i="9"/>
  <c r="D93" i="9"/>
  <c r="E93" i="9" s="1"/>
  <c r="CT47" i="9"/>
  <c r="CQ47" i="9"/>
  <c r="CR47" i="9" s="1"/>
  <c r="FE101" i="9"/>
  <c r="FD101" i="9"/>
  <c r="GR39" i="9"/>
  <c r="DU26" i="9"/>
  <c r="DV26" i="9"/>
  <c r="FY48" i="9"/>
  <c r="CF47" i="9"/>
  <c r="HH82" i="9"/>
  <c r="HF82" i="9"/>
  <c r="HG82" i="9" s="1"/>
  <c r="JM111" i="9"/>
  <c r="GD12" i="9"/>
  <c r="GE12" i="9" s="1"/>
  <c r="JM67" i="9"/>
  <c r="JT47" i="9"/>
  <c r="FB101" i="9"/>
  <c r="FC101" i="9" s="1"/>
  <c r="FR84" i="9"/>
  <c r="JM87" i="9"/>
  <c r="JL87" i="9"/>
  <c r="AA27" i="9"/>
  <c r="IQ55" i="9"/>
  <c r="IR55" i="9"/>
  <c r="AW14" i="9"/>
  <c r="IY4" i="9"/>
  <c r="CS54" i="9"/>
  <c r="FS57" i="9"/>
  <c r="FP57" i="9"/>
  <c r="FQ57" i="9" s="1"/>
  <c r="FR57" i="9"/>
  <c r="R57" i="9"/>
  <c r="S57" i="9" s="1"/>
  <c r="T57" i="9"/>
  <c r="U57" i="9"/>
  <c r="IR78" i="9"/>
  <c r="D9" i="9"/>
  <c r="E9" i="9" s="1"/>
  <c r="EU90" i="9"/>
  <c r="EV90" i="9" s="1"/>
  <c r="EW90" i="9"/>
  <c r="CJ29" i="9"/>
  <c r="CK29" i="9" s="1"/>
  <c r="CL29" i="9"/>
  <c r="JE11" i="9"/>
  <c r="JF11" i="9"/>
  <c r="AO11" i="9"/>
  <c r="AM11" i="9"/>
  <c r="AN11" i="9" s="1"/>
  <c r="AA11" i="9"/>
  <c r="Y11" i="9"/>
  <c r="Z11" i="9" s="1"/>
  <c r="FS65" i="9"/>
  <c r="FP65" i="9"/>
  <c r="FQ65" i="9" s="1"/>
  <c r="DS48" i="9"/>
  <c r="DT48" i="9" s="1"/>
  <c r="D43" i="9"/>
  <c r="E43" i="9" s="1"/>
  <c r="G43" i="9"/>
  <c r="EP93" i="9"/>
  <c r="KV74" i="9"/>
  <c r="KU74" i="9"/>
  <c r="KS74" i="9"/>
  <c r="KT74" i="9" s="1"/>
  <c r="AV48" i="9"/>
  <c r="AT48" i="9"/>
  <c r="AU48" i="9" s="1"/>
  <c r="KA106" i="9"/>
  <c r="JZ106" i="9"/>
  <c r="FL76" i="9"/>
  <c r="FI76" i="9"/>
  <c r="GG71" i="9"/>
  <c r="AM95" i="9"/>
  <c r="AN95" i="9" s="1"/>
  <c r="AO95" i="9"/>
  <c r="AP95" i="9"/>
  <c r="IJ17" i="9"/>
  <c r="IK17" i="9"/>
  <c r="BH108" i="9"/>
  <c r="BI108" i="9" s="1"/>
  <c r="BJ108" i="9"/>
  <c r="JQ60" i="9"/>
  <c r="JR60" i="9" s="1"/>
  <c r="JS60" i="9"/>
  <c r="GT86" i="9"/>
  <c r="IX53" i="9"/>
  <c r="IV53" i="9"/>
  <c r="IW53" i="9" s="1"/>
  <c r="IY53" i="9"/>
  <c r="BY86" i="9"/>
  <c r="FS26" i="9"/>
  <c r="CT17" i="9"/>
  <c r="CQ17" i="9"/>
  <c r="BA65" i="9"/>
  <c r="BB65" i="9" s="1"/>
  <c r="BC65" i="9"/>
  <c r="KV88" i="9"/>
  <c r="KS88" i="9"/>
  <c r="KT88" i="9" s="1"/>
  <c r="CS25" i="9"/>
  <c r="HM97" i="9"/>
  <c r="HN97" i="9" s="1"/>
  <c r="HP97" i="9"/>
  <c r="EC90" i="9"/>
  <c r="EB90" i="9"/>
  <c r="DZ90" i="9"/>
  <c r="EA90" i="9" s="1"/>
  <c r="JT49" i="9"/>
  <c r="U35" i="9"/>
  <c r="R35" i="9"/>
  <c r="S35" i="9" s="1"/>
  <c r="T35" i="9"/>
  <c r="K99" i="9"/>
  <c r="L99" i="9" s="1"/>
  <c r="IV109" i="9"/>
  <c r="IW109" i="9" s="1"/>
  <c r="IX99" i="9"/>
  <c r="JF8" i="9"/>
  <c r="BK18" i="9"/>
  <c r="JS47" i="9"/>
  <c r="FL49" i="9"/>
  <c r="GF101" i="9"/>
  <c r="GT84" i="9"/>
  <c r="GY64" i="9"/>
  <c r="GZ64" i="9" s="1"/>
  <c r="FS70" i="9"/>
  <c r="DO111" i="9"/>
  <c r="AP12" i="9"/>
  <c r="JC27" i="9"/>
  <c r="JD27" i="9" s="1"/>
  <c r="CX27" i="9"/>
  <c r="DA27" i="9"/>
  <c r="GY56" i="9"/>
  <c r="GZ56" i="9" s="1"/>
  <c r="HA56" i="9"/>
  <c r="HM88" i="9"/>
  <c r="AM81" i="9"/>
  <c r="AN81" i="9" s="1"/>
  <c r="FS81" i="9"/>
  <c r="FP81" i="9"/>
  <c r="CE13" i="9"/>
  <c r="HP36" i="9"/>
  <c r="HO36" i="9"/>
  <c r="CZ32" i="9"/>
  <c r="DA32" i="9"/>
  <c r="HT33" i="9"/>
  <c r="HU33" i="9" s="1"/>
  <c r="IJ33" i="9"/>
  <c r="IH33" i="9"/>
  <c r="II33" i="9" s="1"/>
  <c r="IK33" i="9"/>
  <c r="CL40" i="9"/>
  <c r="KH83" i="9"/>
  <c r="KG83" i="9"/>
  <c r="K68" i="9"/>
  <c r="L68" i="9" s="1"/>
  <c r="JZ15" i="9"/>
  <c r="F59" i="9"/>
  <c r="AB20" i="9"/>
  <c r="AA20" i="9"/>
  <c r="F77" i="9"/>
  <c r="EJ21" i="9"/>
  <c r="EG21" i="9"/>
  <c r="EH21" i="9" s="1"/>
  <c r="AO21" i="9"/>
  <c r="AP21" i="9"/>
  <c r="CL30" i="9"/>
  <c r="BV63" i="9"/>
  <c r="BW63" i="9" s="1"/>
  <c r="IY29" i="9"/>
  <c r="IV29" i="9"/>
  <c r="GY29" i="9"/>
  <c r="GZ29" i="9" s="1"/>
  <c r="HA29" i="9"/>
  <c r="EI66" i="9"/>
  <c r="HI11" i="9"/>
  <c r="HF11" i="9"/>
  <c r="HG11" i="9" s="1"/>
  <c r="FR11" i="9"/>
  <c r="FP11" i="9"/>
  <c r="FQ11" i="9" s="1"/>
  <c r="HF84" i="9"/>
  <c r="HG84" i="9" s="1"/>
  <c r="HI84" i="9"/>
  <c r="IX7" i="9"/>
  <c r="IV7" i="9"/>
  <c r="IW7" i="9" s="1"/>
  <c r="CX71" i="9"/>
  <c r="CY71" i="9" s="1"/>
  <c r="CZ71" i="9"/>
  <c r="JF54" i="9"/>
  <c r="JC54" i="9"/>
  <c r="JD54" i="9" s="1"/>
  <c r="HI109" i="9"/>
  <c r="IK26" i="9"/>
  <c r="IJ26" i="9"/>
  <c r="HA39" i="9"/>
  <c r="GM108" i="9"/>
  <c r="GK108" i="9"/>
  <c r="GL108" i="9" s="1"/>
  <c r="HP101" i="9"/>
  <c r="BA70" i="9"/>
  <c r="BB70" i="9" s="1"/>
  <c r="BC70" i="9"/>
  <c r="BD70" i="9"/>
  <c r="CE9" i="9"/>
  <c r="M74" i="9"/>
  <c r="JE103" i="9"/>
  <c r="JL22" i="9"/>
  <c r="GF14" i="9"/>
  <c r="GG14" i="9"/>
  <c r="JE18" i="9"/>
  <c r="JE90" i="9"/>
  <c r="JC90" i="9"/>
  <c r="JD90" i="9" s="1"/>
  <c r="JF90" i="9"/>
  <c r="JM109" i="9"/>
  <c r="GG109" i="9"/>
  <c r="DG98" i="9"/>
  <c r="GN18" i="9"/>
  <c r="BO47" i="9"/>
  <c r="BP47" i="9" s="1"/>
  <c r="DE49" i="9"/>
  <c r="DF49" i="9" s="1"/>
  <c r="FS49" i="9"/>
  <c r="FP49" i="9"/>
  <c r="FQ49" i="9" s="1"/>
  <c r="D101" i="9"/>
  <c r="E101" i="9" s="1"/>
  <c r="EB64" i="9"/>
  <c r="R70" i="9"/>
  <c r="S70" i="9" s="1"/>
  <c r="DN50" i="9"/>
  <c r="DO50" i="9"/>
  <c r="FW39" i="9"/>
  <c r="FX39" i="9" s="1"/>
  <c r="Y73" i="9"/>
  <c r="Z73" i="9" s="1"/>
  <c r="AB73" i="9"/>
  <c r="AT27" i="9"/>
  <c r="JQ27" i="9"/>
  <c r="JR27" i="9" s="1"/>
  <c r="JT27" i="9"/>
  <c r="JS27" i="9"/>
  <c r="KO102" i="9"/>
  <c r="JC14" i="9"/>
  <c r="JD14" i="9" s="1"/>
  <c r="JF14" i="9"/>
  <c r="HO19" i="9"/>
  <c r="FL100" i="9"/>
  <c r="IX94" i="9"/>
  <c r="IV94" i="9"/>
  <c r="IW94" i="9" s="1"/>
  <c r="GD107" i="9"/>
  <c r="GE107" i="9" s="1"/>
  <c r="GF107" i="9"/>
  <c r="FS107" i="9"/>
  <c r="FP107" i="9"/>
  <c r="FQ107" i="9" s="1"/>
  <c r="HB107" i="9"/>
  <c r="HA107" i="9"/>
  <c r="U77" i="9"/>
  <c r="R77" i="9"/>
  <c r="IY77" i="9"/>
  <c r="IX77" i="9"/>
  <c r="AF28" i="9"/>
  <c r="AG28" i="9" s="1"/>
  <c r="AH28" i="9"/>
  <c r="DE105" i="9"/>
  <c r="DF105" i="9" s="1"/>
  <c r="K74" i="9"/>
  <c r="L74" i="9" s="1"/>
  <c r="FZ29" i="9"/>
  <c r="FW29" i="9"/>
  <c r="FX29" i="9" s="1"/>
  <c r="K29" i="9"/>
  <c r="L29" i="9" s="1"/>
  <c r="N29" i="9"/>
  <c r="GK43" i="9"/>
  <c r="GL43" i="9" s="1"/>
  <c r="GN43" i="9"/>
  <c r="CQ93" i="9"/>
  <c r="CR93" i="9" s="1"/>
  <c r="EG34" i="9"/>
  <c r="EJ34" i="9"/>
  <c r="D48" i="9"/>
  <c r="E48" i="9" s="1"/>
  <c r="F48" i="9"/>
  <c r="FZ34" i="9"/>
  <c r="FY34" i="9"/>
  <c r="N48" i="9"/>
  <c r="KV109" i="9"/>
  <c r="DE88" i="9"/>
  <c r="DF88" i="9" s="1"/>
  <c r="DG88" i="9"/>
  <c r="DH88" i="9"/>
  <c r="EN14" i="9"/>
  <c r="EQ14" i="9"/>
  <c r="IV97" i="9"/>
  <c r="IW97" i="9" s="1"/>
  <c r="IY97" i="9"/>
  <c r="IH26" i="9"/>
  <c r="II26" i="9" s="1"/>
  <c r="DV76" i="9"/>
  <c r="CF97" i="9"/>
  <c r="CE97" i="9"/>
  <c r="JE100" i="9"/>
  <c r="JC100" i="9"/>
  <c r="JD100" i="9" s="1"/>
  <c r="FZ95" i="9"/>
  <c r="FW95" i="9"/>
  <c r="FX95" i="9" s="1"/>
  <c r="JJ16" i="9"/>
  <c r="JK16" i="9" s="1"/>
  <c r="JM16" i="9"/>
  <c r="KU82" i="9"/>
  <c r="M48" i="9"/>
  <c r="BK98" i="9"/>
  <c r="JE7" i="9"/>
  <c r="AP102" i="9"/>
  <c r="AO102" i="9"/>
  <c r="IJ56" i="9"/>
  <c r="IK56" i="9"/>
  <c r="IH56" i="9"/>
  <c r="II56" i="9" s="1"/>
  <c r="GY26" i="9"/>
  <c r="GZ26" i="9" s="1"/>
  <c r="N106" i="9"/>
  <c r="K106" i="9"/>
  <c r="FW34" i="9"/>
  <c r="FX34" i="9" s="1"/>
  <c r="ID95" i="9"/>
  <c r="EC9" i="9"/>
  <c r="G31" i="9"/>
  <c r="D31" i="9"/>
  <c r="E31" i="9" s="1"/>
  <c r="IX47" i="9"/>
  <c r="BQ99" i="9"/>
  <c r="JL8" i="9"/>
  <c r="FK49" i="9"/>
  <c r="CM70" i="9"/>
  <c r="GK88" i="9"/>
  <c r="GL88" i="9" s="1"/>
  <c r="GM3" i="9"/>
  <c r="CQ25" i="9"/>
  <c r="CR25" i="9" s="1"/>
  <c r="GF32" i="9"/>
  <c r="JE4" i="9"/>
  <c r="ID40" i="9"/>
  <c r="JE15" i="9"/>
  <c r="JC15" i="9"/>
  <c r="JD15" i="9" s="1"/>
  <c r="CQ110" i="9"/>
  <c r="AI19" i="9"/>
  <c r="EN104" i="9"/>
  <c r="EO104" i="9" s="1"/>
  <c r="EQ104" i="9"/>
  <c r="D104" i="9"/>
  <c r="E104" i="9" s="1"/>
  <c r="F104" i="9"/>
  <c r="G104" i="9"/>
  <c r="IY30" i="9"/>
  <c r="HB58" i="9"/>
  <c r="HA58" i="9"/>
  <c r="GY58" i="9"/>
  <c r="GZ58" i="9" s="1"/>
  <c r="CX11" i="9"/>
  <c r="CY11" i="9" s="1"/>
  <c r="DA11" i="9"/>
  <c r="CZ11" i="9"/>
  <c r="AF34" i="9"/>
  <c r="AG34" i="9" s="1"/>
  <c r="AI34" i="9"/>
  <c r="BA34" i="9"/>
  <c r="BB34" i="9" s="1"/>
  <c r="BC34" i="9"/>
  <c r="AF59" i="9"/>
  <c r="AG59" i="9" s="1"/>
  <c r="AH59" i="9"/>
  <c r="BQ63" i="9"/>
  <c r="BO63" i="9"/>
  <c r="BP63" i="9" s="1"/>
  <c r="IQ95" i="9"/>
  <c r="IO95" i="9"/>
  <c r="IP95" i="9" s="1"/>
  <c r="AI99" i="9"/>
  <c r="BV70" i="9"/>
  <c r="BW70" i="9" s="1"/>
  <c r="BY70" i="9"/>
  <c r="BX70" i="9"/>
  <c r="EJ100" i="9"/>
  <c r="EI100" i="9"/>
  <c r="DA95" i="9"/>
  <c r="GD9" i="9"/>
  <c r="GE9" i="9" s="1"/>
  <c r="GG9" i="9"/>
  <c r="GF9" i="9"/>
  <c r="Y101" i="9"/>
  <c r="Z101" i="9" s="1"/>
  <c r="HT3" i="9"/>
  <c r="HW3" i="9"/>
  <c r="IA33" i="9"/>
  <c r="ID33" i="9"/>
  <c r="DZ54" i="9"/>
  <c r="EA54" i="9" s="1"/>
  <c r="EB54" i="9"/>
  <c r="IJ20" i="9"/>
  <c r="FZ21" i="9"/>
  <c r="FW21" i="9"/>
  <c r="FX21" i="9" s="1"/>
  <c r="DN28" i="9"/>
  <c r="CE105" i="9"/>
  <c r="CC105" i="9"/>
  <c r="CD105" i="9" s="1"/>
  <c r="EX80" i="9"/>
  <c r="EW80" i="9"/>
  <c r="CS34" i="9"/>
  <c r="DS100" i="9"/>
  <c r="DT100" i="9" s="1"/>
  <c r="EP95" i="9"/>
  <c r="EQ95" i="9"/>
  <c r="EN95" i="9"/>
  <c r="EO95" i="9" s="1"/>
  <c r="HV40" i="9"/>
  <c r="HT40" i="9"/>
  <c r="HU40" i="9" s="1"/>
  <c r="HW40" i="9"/>
  <c r="IK95" i="9"/>
  <c r="IJ95" i="9"/>
  <c r="KH26" i="9"/>
  <c r="KG26" i="9"/>
  <c r="KE26" i="9"/>
  <c r="KF26" i="9" s="1"/>
  <c r="IQ61" i="9"/>
  <c r="DV82" i="9"/>
  <c r="DU82" i="9"/>
  <c r="DS82" i="9"/>
  <c r="DT82" i="9" s="1"/>
  <c r="EX65" i="9"/>
  <c r="EW65" i="9"/>
  <c r="BY65" i="9"/>
  <c r="BX65" i="9"/>
  <c r="Y18" i="9"/>
  <c r="Z18" i="9" s="1"/>
  <c r="FR60" i="9"/>
  <c r="DV68" i="9"/>
  <c r="DS68" i="9"/>
  <c r="DT68" i="9" s="1"/>
  <c r="CS59" i="9"/>
  <c r="CT59" i="9"/>
  <c r="JF60" i="9"/>
  <c r="JC60" i="9"/>
  <c r="JD60" i="9" s="1"/>
  <c r="D109" i="9"/>
  <c r="GF109" i="9"/>
  <c r="CZ18" i="9"/>
  <c r="R101" i="9"/>
  <c r="BH84" i="9"/>
  <c r="BI84" i="9" s="1"/>
  <c r="JT60" i="9"/>
  <c r="CL70" i="9"/>
  <c r="BK72" i="9"/>
  <c r="BH72" i="9"/>
  <c r="EU13" i="9"/>
  <c r="EV13" i="9" s="1"/>
  <c r="EX13" i="9"/>
  <c r="CM99" i="9"/>
  <c r="DV109" i="9"/>
  <c r="DG109" i="9"/>
  <c r="KN8" i="9"/>
  <c r="CL101" i="9"/>
  <c r="Y84" i="9"/>
  <c r="Z84" i="9" s="1"/>
  <c r="AA84" i="9"/>
  <c r="D60" i="9"/>
  <c r="E60" i="9" s="1"/>
  <c r="BO111" i="9"/>
  <c r="BP111" i="9" s="1"/>
  <c r="BR111" i="9"/>
  <c r="BQ111" i="9"/>
  <c r="GY92" i="9"/>
  <c r="Y27" i="9"/>
  <c r="Z27" i="9" s="1"/>
  <c r="AP81" i="9"/>
  <c r="IJ13" i="9"/>
  <c r="CM79" i="9"/>
  <c r="FY19" i="9"/>
  <c r="FW19" i="9"/>
  <c r="FX19" i="9" s="1"/>
  <c r="FZ19" i="9"/>
  <c r="BA107" i="9"/>
  <c r="BB107" i="9" s="1"/>
  <c r="BC107" i="9"/>
  <c r="JT74" i="9"/>
  <c r="JS74" i="9"/>
  <c r="CJ74" i="9"/>
  <c r="CK74" i="9" s="1"/>
  <c r="CL74" i="9"/>
  <c r="BK74" i="9"/>
  <c r="BJ74" i="9"/>
  <c r="KN82" i="9"/>
  <c r="CT34" i="9"/>
  <c r="JJ91" i="9"/>
  <c r="JK91" i="9" s="1"/>
  <c r="IO25" i="9"/>
  <c r="IP25" i="9" s="1"/>
  <c r="IQ25" i="9"/>
  <c r="CM95" i="9"/>
  <c r="CL95" i="9"/>
  <c r="EI70" i="9"/>
  <c r="IR79" i="9"/>
  <c r="IO79" i="9"/>
  <c r="AO109" i="9"/>
  <c r="BQ47" i="9"/>
  <c r="DZ9" i="9"/>
  <c r="FS53" i="9"/>
  <c r="FP53" i="9"/>
  <c r="FQ53" i="9" s="1"/>
  <c r="HB4" i="9"/>
  <c r="EQ70" i="9"/>
  <c r="AP67" i="9"/>
  <c r="AM67" i="9"/>
  <c r="AN67" i="9" s="1"/>
  <c r="AO67" i="9"/>
  <c r="CQ88" i="9"/>
  <c r="CT85" i="9"/>
  <c r="CS85" i="9"/>
  <c r="KO4" i="9"/>
  <c r="KL4" i="9"/>
  <c r="FI110" i="9"/>
  <c r="FJ110" i="9" s="1"/>
  <c r="FK110" i="9"/>
  <c r="BV77" i="9"/>
  <c r="BW77" i="9" s="1"/>
  <c r="BX77" i="9"/>
  <c r="BY77" i="9"/>
  <c r="AM30" i="9"/>
  <c r="AN30" i="9" s="1"/>
  <c r="AP30" i="9"/>
  <c r="BC43" i="9"/>
  <c r="BD43" i="9"/>
  <c r="BA43" i="9"/>
  <c r="BB43" i="9" s="1"/>
  <c r="AT101" i="9"/>
  <c r="AU101" i="9" s="1"/>
  <c r="IY64" i="9"/>
  <c r="IV64" i="9"/>
  <c r="IW64" i="9" s="1"/>
  <c r="CS87" i="9"/>
  <c r="JE60" i="9"/>
  <c r="T24" i="9"/>
  <c r="GK72" i="9"/>
  <c r="GL72" i="9" s="1"/>
  <c r="GM72" i="9"/>
  <c r="HT36" i="9"/>
  <c r="HU36" i="9" s="1"/>
  <c r="HV36" i="9"/>
  <c r="KE14" i="9"/>
  <c r="KF14" i="9" s="1"/>
  <c r="KG14" i="9"/>
  <c r="IO14" i="9"/>
  <c r="IP14" i="9" s="1"/>
  <c r="IQ14" i="9"/>
  <c r="JL14" i="9"/>
  <c r="JM14" i="9"/>
  <c r="DE40" i="9"/>
  <c r="DF40" i="9" s="1"/>
  <c r="DG40" i="9"/>
  <c r="HH15" i="9"/>
  <c r="HF15" i="9"/>
  <c r="HG15" i="9" s="1"/>
  <c r="IY57" i="9"/>
  <c r="GR86" i="9"/>
  <c r="GS86" i="9" s="1"/>
  <c r="KH79" i="9"/>
  <c r="KS71" i="9"/>
  <c r="KT71" i="9" s="1"/>
  <c r="EX46" i="9"/>
  <c r="EW46" i="9"/>
  <c r="CT21" i="9"/>
  <c r="HI21" i="9"/>
  <c r="HF21" i="9"/>
  <c r="HG21" i="9" s="1"/>
  <c r="EN17" i="9"/>
  <c r="EO17" i="9" s="1"/>
  <c r="CS80" i="9"/>
  <c r="CT80" i="9"/>
  <c r="CQ80" i="9"/>
  <c r="CR80" i="9" s="1"/>
  <c r="AI29" i="9"/>
  <c r="U34" i="9"/>
  <c r="AH91" i="9"/>
  <c r="AI91" i="9"/>
  <c r="IK18" i="9"/>
  <c r="IJ18" i="9"/>
  <c r="IA13" i="9"/>
  <c r="ID13" i="9"/>
  <c r="FP48" i="9"/>
  <c r="FQ48" i="9" s="1"/>
  <c r="FR48" i="9"/>
  <c r="Y106" i="9"/>
  <c r="Z106" i="9" s="1"/>
  <c r="AB106" i="9"/>
  <c r="AA106" i="9"/>
  <c r="CX100" i="9"/>
  <c r="CY100" i="9" s="1"/>
  <c r="DA100" i="9"/>
  <c r="GY34" i="9"/>
  <c r="GZ34" i="9" s="1"/>
  <c r="HB34" i="9"/>
  <c r="JT48" i="9"/>
  <c r="JQ48" i="9"/>
  <c r="JR48" i="9" s="1"/>
  <c r="JL39" i="9"/>
  <c r="JM39" i="9"/>
  <c r="GN78" i="9"/>
  <c r="GK78" i="9"/>
  <c r="GL78" i="9" s="1"/>
  <c r="GM78" i="9"/>
  <c r="BV56" i="9"/>
  <c r="BW56" i="9" s="1"/>
  <c r="BY56" i="9"/>
  <c r="EI9" i="9"/>
  <c r="EG9" i="9"/>
  <c r="EH9" i="9" s="1"/>
  <c r="EJ9" i="9"/>
  <c r="AT39" i="9"/>
  <c r="AU39" i="9" s="1"/>
  <c r="AV39" i="9"/>
  <c r="U88" i="9"/>
  <c r="FS83" i="9"/>
  <c r="FR83" i="9"/>
  <c r="BV9" i="9"/>
  <c r="BW9" i="9" s="1"/>
  <c r="BX9" i="9"/>
  <c r="D99" i="9"/>
  <c r="E99" i="9" s="1"/>
  <c r="DS109" i="9"/>
  <c r="AO111" i="9"/>
  <c r="JT92" i="9"/>
  <c r="JS92" i="9"/>
  <c r="HH39" i="9"/>
  <c r="HI39" i="9"/>
  <c r="HO7" i="9"/>
  <c r="HP7" i="9"/>
  <c r="HM7" i="9"/>
  <c r="HN7" i="9" s="1"/>
  <c r="CM36" i="9"/>
  <c r="CJ36" i="9"/>
  <c r="CK36" i="9" s="1"/>
  <c r="U71" i="9"/>
  <c r="HW107" i="9"/>
  <c r="HV107" i="9"/>
  <c r="CZ77" i="9"/>
  <c r="DA77" i="9"/>
  <c r="BQ80" i="9"/>
  <c r="BR80" i="9"/>
  <c r="G99" i="9"/>
  <c r="BQ109" i="9"/>
  <c r="BR52" i="9"/>
  <c r="DE101" i="9"/>
  <c r="DF101" i="9" s="1"/>
  <c r="DN111" i="9"/>
  <c r="HB92" i="9"/>
  <c r="CF45" i="9"/>
  <c r="CE45" i="9"/>
  <c r="GD7" i="9"/>
  <c r="GE7" i="9" s="1"/>
  <c r="GF7" i="9"/>
  <c r="GM27" i="9"/>
  <c r="JJ67" i="9"/>
  <c r="DE67" i="9"/>
  <c r="DF67" i="9" s="1"/>
  <c r="DH67" i="9"/>
  <c r="GF88" i="9"/>
  <c r="CL36" i="9"/>
  <c r="FE36" i="9"/>
  <c r="FD36" i="9"/>
  <c r="BY25" i="9"/>
  <c r="BX25" i="9"/>
  <c r="BJ97" i="9"/>
  <c r="G44" i="9"/>
  <c r="G110" i="9"/>
  <c r="BX79" i="9"/>
  <c r="CM78" i="9"/>
  <c r="EN20" i="9"/>
  <c r="HF95" i="9"/>
  <c r="HG95" i="9" s="1"/>
  <c r="HI95" i="9"/>
  <c r="Y95" i="9"/>
  <c r="Z95" i="9" s="1"/>
  <c r="AA95" i="9"/>
  <c r="EP104" i="9"/>
  <c r="KS61" i="9"/>
  <c r="KT61" i="9" s="1"/>
  <c r="KV61" i="9"/>
  <c r="KU61" i="9"/>
  <c r="GR61" i="9"/>
  <c r="GS61" i="9" s="1"/>
  <c r="GT61" i="9"/>
  <c r="DE63" i="9"/>
  <c r="DF63" i="9" s="1"/>
  <c r="DG63" i="9"/>
  <c r="ID74" i="9"/>
  <c r="IA74" i="9"/>
  <c r="IB74" i="9" s="1"/>
  <c r="IC74" i="9"/>
  <c r="AA29" i="9"/>
  <c r="KH58" i="9"/>
  <c r="BD65" i="9"/>
  <c r="IJ62" i="9"/>
  <c r="GF108" i="9"/>
  <c r="BC41" i="9"/>
  <c r="JQ93" i="9"/>
  <c r="JR93" i="9" s="1"/>
  <c r="DH39" i="9"/>
  <c r="JC73" i="9"/>
  <c r="JD73" i="9" s="1"/>
  <c r="DL22" i="9"/>
  <c r="DM22" i="9" s="1"/>
  <c r="KN25" i="9"/>
  <c r="HP32" i="9"/>
  <c r="EX4" i="9"/>
  <c r="IJ40" i="9"/>
  <c r="FZ37" i="9"/>
  <c r="GT83" i="9"/>
  <c r="HT51" i="9"/>
  <c r="HU51" i="9" s="1"/>
  <c r="HP57" i="9"/>
  <c r="DE57" i="9"/>
  <c r="DF57" i="9" s="1"/>
  <c r="HH79" i="9"/>
  <c r="BD46" i="9"/>
  <c r="EW100" i="9"/>
  <c r="KO94" i="9"/>
  <c r="DS69" i="9"/>
  <c r="DT69" i="9" s="1"/>
  <c r="GT23" i="9"/>
  <c r="KS65" i="9"/>
  <c r="KT65" i="9" s="1"/>
  <c r="IO91" i="9"/>
  <c r="IP91" i="9" s="1"/>
  <c r="IY37" i="9"/>
  <c r="IV10" i="9"/>
  <c r="JQ77" i="9"/>
  <c r="GR23" i="9"/>
  <c r="GS23" i="9" s="1"/>
  <c r="CT53" i="9"/>
  <c r="AO41" i="9"/>
  <c r="G14" i="9"/>
  <c r="KS68" i="9"/>
  <c r="KT68" i="9" s="1"/>
  <c r="GN75" i="9"/>
  <c r="DH61" i="9"/>
  <c r="IX23" i="9"/>
  <c r="DB112" i="9"/>
  <c r="D14" i="9"/>
  <c r="E14" i="9" s="1"/>
  <c r="JT4" i="9"/>
  <c r="GM75" i="9"/>
  <c r="EC89" i="9"/>
  <c r="GD63" i="9"/>
  <c r="GE63" i="9" s="1"/>
  <c r="KO65" i="9"/>
  <c r="IA92" i="9"/>
  <c r="IB92" i="9" s="1"/>
  <c r="KE37" i="9"/>
  <c r="KF37" i="9" s="1"/>
  <c r="HA75" i="9"/>
  <c r="JL76" i="9"/>
  <c r="EI90" i="9"/>
  <c r="CE74" i="9"/>
  <c r="HF23" i="9"/>
  <c r="HG23" i="9" s="1"/>
  <c r="DZ43" i="9"/>
  <c r="EA43" i="9" s="1"/>
  <c r="FM112" i="9"/>
  <c r="EG20" i="9"/>
  <c r="EH20" i="9" s="1"/>
  <c r="JN112" i="9"/>
  <c r="CS23" i="9"/>
  <c r="DU53" i="9"/>
  <c r="N103" i="9"/>
  <c r="IO45" i="9"/>
  <c r="IP45" i="9" s="1"/>
  <c r="FB72" i="9"/>
  <c r="FC72" i="9" s="1"/>
  <c r="BV27" i="9"/>
  <c r="JX25" i="9"/>
  <c r="JY25" i="9" s="1"/>
  <c r="HA32" i="9"/>
  <c r="EU83" i="9"/>
  <c r="EV83" i="9" s="1"/>
  <c r="CX15" i="9"/>
  <c r="CY15" i="9" s="1"/>
  <c r="GT104" i="9"/>
  <c r="JF5" i="9"/>
  <c r="BH89" i="9"/>
  <c r="BI89" i="9" s="1"/>
  <c r="HT96" i="9"/>
  <c r="HU96" i="9" s="1"/>
  <c r="JM62" i="9"/>
  <c r="T105" i="9"/>
  <c r="HP69" i="9"/>
  <c r="HB63" i="9"/>
  <c r="KG29" i="9"/>
  <c r="EC23" i="9"/>
  <c r="DZ12" i="9"/>
  <c r="EA12" i="9" s="1"/>
  <c r="IO103" i="9"/>
  <c r="IQ45" i="9"/>
  <c r="EP73" i="9"/>
  <c r="JX22" i="9"/>
  <c r="IO88" i="9"/>
  <c r="JC81" i="9"/>
  <c r="JD81" i="9" s="1"/>
  <c r="AF32" i="9"/>
  <c r="AG32" i="9" s="1"/>
  <c r="BH85" i="9"/>
  <c r="BI85" i="9" s="1"/>
  <c r="JS4" i="9"/>
  <c r="EW33" i="9"/>
  <c r="JL97" i="9"/>
  <c r="CL57" i="9"/>
  <c r="HF79" i="9"/>
  <c r="HG79" i="9" s="1"/>
  <c r="CC46" i="9"/>
  <c r="CD46" i="9" s="1"/>
  <c r="GR20" i="9"/>
  <c r="GS20" i="9" s="1"/>
  <c r="CQ20" i="9"/>
  <c r="CR20" i="9" s="1"/>
  <c r="HT95" i="9"/>
  <c r="HU95" i="9" s="1"/>
  <c r="IA26" i="9"/>
  <c r="IB26" i="9" s="1"/>
  <c r="AT5" i="9"/>
  <c r="AU5" i="9" s="1"/>
  <c r="DU62" i="9"/>
  <c r="KE106" i="9"/>
  <c r="CL63" i="9"/>
  <c r="IX80" i="9"/>
  <c r="IV23" i="9"/>
  <c r="IW23" i="9" s="1"/>
  <c r="FP35" i="9"/>
  <c r="FQ35" i="9" s="1"/>
  <c r="FR35" i="9"/>
  <c r="BD87" i="9"/>
  <c r="BA87" i="9"/>
  <c r="BB87" i="9" s="1"/>
  <c r="T84" i="9"/>
  <c r="U84" i="9"/>
  <c r="DA35" i="9"/>
  <c r="CZ35" i="9"/>
  <c r="BH88" i="9"/>
  <c r="BI88" i="9" s="1"/>
  <c r="BK88" i="9"/>
  <c r="DO88" i="9"/>
  <c r="DL88" i="9"/>
  <c r="DM88" i="9" s="1"/>
  <c r="BD84" i="9"/>
  <c r="BA84" i="9"/>
  <c r="BB84" i="9" s="1"/>
  <c r="IH68" i="9"/>
  <c r="II68" i="9" s="1"/>
  <c r="IK68" i="9"/>
  <c r="IJ68" i="9"/>
  <c r="FK94" i="9"/>
  <c r="FL94" i="9"/>
  <c r="JJ107" i="9"/>
  <c r="JK107" i="9" s="1"/>
  <c r="JM107" i="9"/>
  <c r="GN107" i="9"/>
  <c r="GM107" i="9"/>
  <c r="GK107" i="9"/>
  <c r="GL107" i="9" s="1"/>
  <c r="CE107" i="9"/>
  <c r="CC107" i="9"/>
  <c r="CD107" i="9" s="1"/>
  <c r="Y77" i="9"/>
  <c r="Z77" i="9" s="1"/>
  <c r="DV77" i="9"/>
  <c r="DS77" i="9"/>
  <c r="DT77" i="9" s="1"/>
  <c r="DU77" i="9"/>
  <c r="FI77" i="9"/>
  <c r="FJ77" i="9" s="1"/>
  <c r="FK77" i="9"/>
  <c r="GU18" i="9"/>
  <c r="GR18" i="9"/>
  <c r="GS18" i="9" s="1"/>
  <c r="EN84" i="9"/>
  <c r="GN103" i="9"/>
  <c r="GM103" i="9"/>
  <c r="GU45" i="9"/>
  <c r="GR45" i="9"/>
  <c r="GS45" i="9" s="1"/>
  <c r="U39" i="9"/>
  <c r="IK39" i="9"/>
  <c r="IH39" i="9"/>
  <c r="II39" i="9" s="1"/>
  <c r="KG77" i="9"/>
  <c r="KH77" i="9"/>
  <c r="KE77" i="9"/>
  <c r="KF77" i="9" s="1"/>
  <c r="FP8" i="9"/>
  <c r="GF18" i="9"/>
  <c r="DO18" i="9"/>
  <c r="DL18" i="9"/>
  <c r="DM18" i="9" s="1"/>
  <c r="IK47" i="9"/>
  <c r="R49" i="9"/>
  <c r="CS60" i="9"/>
  <c r="CT60" i="9"/>
  <c r="BQ60" i="9"/>
  <c r="BR60" i="9"/>
  <c r="BQ12" i="9"/>
  <c r="HF39" i="9"/>
  <c r="HG39" i="9" s="1"/>
  <c r="EJ39" i="9"/>
  <c r="EG39" i="9"/>
  <c r="EH39" i="9" s="1"/>
  <c r="FL39" i="9"/>
  <c r="FI39" i="9"/>
  <c r="FJ39" i="9" s="1"/>
  <c r="FK39" i="9"/>
  <c r="GR27" i="9"/>
  <c r="GS27" i="9" s="1"/>
  <c r="GT27" i="9"/>
  <c r="GD27" i="9"/>
  <c r="GE27" i="9" s="1"/>
  <c r="GG27" i="9"/>
  <c r="DN85" i="9"/>
  <c r="DL85" i="9"/>
  <c r="DM85" i="9" s="1"/>
  <c r="KV85" i="9"/>
  <c r="KS85" i="9"/>
  <c r="KT85" i="9" s="1"/>
  <c r="KU85" i="9"/>
  <c r="BO68" i="9"/>
  <c r="BP68" i="9" s="1"/>
  <c r="BR68" i="9"/>
  <c r="BQ68" i="9"/>
  <c r="AH99" i="9"/>
  <c r="HV52" i="9"/>
  <c r="CJ109" i="9"/>
  <c r="CK109" i="9" s="1"/>
  <c r="CL109" i="9"/>
  <c r="CM109" i="9"/>
  <c r="T98" i="9"/>
  <c r="U98" i="9"/>
  <c r="FI8" i="9"/>
  <c r="FJ8" i="9" s="1"/>
  <c r="AW18" i="9"/>
  <c r="AB47" i="9"/>
  <c r="JL49" i="9"/>
  <c r="JM49" i="9"/>
  <c r="IX101" i="9"/>
  <c r="EP64" i="9"/>
  <c r="DG87" i="9"/>
  <c r="IO87" i="9"/>
  <c r="IR87" i="9"/>
  <c r="HM70" i="9"/>
  <c r="HN70" i="9" s="1"/>
  <c r="G92" i="9"/>
  <c r="FB24" i="9"/>
  <c r="FC24" i="9" s="1"/>
  <c r="GR73" i="9"/>
  <c r="GS73" i="9" s="1"/>
  <c r="CL27" i="9"/>
  <c r="HO27" i="9"/>
  <c r="HP27" i="9"/>
  <c r="BD27" i="9"/>
  <c r="BA27" i="9"/>
  <c r="BB27" i="9" s="1"/>
  <c r="BR38" i="9"/>
  <c r="BO38" i="9"/>
  <c r="CL38" i="9"/>
  <c r="CM38" i="9"/>
  <c r="CC4" i="9"/>
  <c r="CD4" i="9" s="1"/>
  <c r="CF4" i="9"/>
  <c r="IY40" i="9"/>
  <c r="IX40" i="9"/>
  <c r="BC37" i="9"/>
  <c r="BD37" i="9"/>
  <c r="BA37" i="9"/>
  <c r="BB37" i="9" s="1"/>
  <c r="AT57" i="9"/>
  <c r="AU57" i="9" s="1"/>
  <c r="AW57" i="9"/>
  <c r="AV57" i="9"/>
  <c r="HT60" i="9"/>
  <c r="HU60" i="9" s="1"/>
  <c r="HW60" i="9"/>
  <c r="GF72" i="9"/>
  <c r="GD72" i="9"/>
  <c r="GE72" i="9" s="1"/>
  <c r="GG72" i="9"/>
  <c r="G7" i="9"/>
  <c r="F7" i="9"/>
  <c r="D7" i="9"/>
  <c r="E7" i="9" s="1"/>
  <c r="JM7" i="9"/>
  <c r="JL7" i="9"/>
  <c r="FW42" i="9"/>
  <c r="FX42" i="9" s="1"/>
  <c r="FZ42" i="9"/>
  <c r="HI3" i="9"/>
  <c r="AF3" i="9"/>
  <c r="AG3" i="9" s="1"/>
  <c r="AH3" i="9"/>
  <c r="AI3" i="9"/>
  <c r="GD3" i="9"/>
  <c r="GE3" i="9" s="1"/>
  <c r="GF3" i="9"/>
  <c r="T44" i="9"/>
  <c r="U44" i="9"/>
  <c r="R44" i="9"/>
  <c r="S44" i="9" s="1"/>
  <c r="AT44" i="9"/>
  <c r="AU44" i="9" s="1"/>
  <c r="AV44" i="9"/>
  <c r="AW44" i="9"/>
  <c r="IO100" i="9"/>
  <c r="IP100" i="9" s="1"/>
  <c r="IQ100" i="9"/>
  <c r="EW34" i="9"/>
  <c r="EX34" i="9"/>
  <c r="JX34" i="9"/>
  <c r="JY34" i="9" s="1"/>
  <c r="JZ34" i="9"/>
  <c r="IK93" i="9"/>
  <c r="IJ93" i="9"/>
  <c r="IH93" i="9"/>
  <c r="II93" i="9" s="1"/>
  <c r="EC39" i="9"/>
  <c r="DZ39" i="9"/>
  <c r="EA39" i="9" s="1"/>
  <c r="GN13" i="9"/>
  <c r="GK13" i="9"/>
  <c r="GL13" i="9" s="1"/>
  <c r="GM13" i="9"/>
  <c r="GR85" i="9"/>
  <c r="GS85" i="9" s="1"/>
  <c r="GU85" i="9"/>
  <c r="JM68" i="9"/>
  <c r="JJ68" i="9"/>
  <c r="JK68" i="9" s="1"/>
  <c r="JE10" i="9"/>
  <c r="JF10" i="9"/>
  <c r="JC10" i="9"/>
  <c r="JD10" i="9" s="1"/>
  <c r="CM10" i="9"/>
  <c r="CJ10" i="9"/>
  <c r="CK10" i="9" s="1"/>
  <c r="IJ59" i="9"/>
  <c r="IH59" i="9"/>
  <c r="II59" i="9" s="1"/>
  <c r="IK59" i="9"/>
  <c r="DN59" i="9"/>
  <c r="DO59" i="9"/>
  <c r="DL59" i="9"/>
  <c r="DM59" i="9" s="1"/>
  <c r="AB34" i="9"/>
  <c r="Y34" i="9"/>
  <c r="Z34" i="9" s="1"/>
  <c r="AA34" i="9"/>
  <c r="DL34" i="9"/>
  <c r="DM34" i="9" s="1"/>
  <c r="DN34" i="9"/>
  <c r="DO34" i="9"/>
  <c r="EG93" i="9"/>
  <c r="EH93" i="9" s="1"/>
  <c r="EJ93" i="9"/>
  <c r="EI93" i="9"/>
  <c r="U18" i="9"/>
  <c r="R18" i="9"/>
  <c r="S18" i="9" s="1"/>
  <c r="D94" i="9"/>
  <c r="E94" i="9" s="1"/>
  <c r="F94" i="9"/>
  <c r="G94" i="9"/>
  <c r="KL64" i="9"/>
  <c r="KM64" i="9" s="1"/>
  <c r="KO64" i="9"/>
  <c r="KN50" i="9"/>
  <c r="FY55" i="9"/>
  <c r="FZ55" i="9"/>
  <c r="AM44" i="9"/>
  <c r="AN44" i="9" s="1"/>
  <c r="AO44" i="9"/>
  <c r="KH23" i="9"/>
  <c r="KE23" i="9"/>
  <c r="KF23" i="9" s="1"/>
  <c r="KG23" i="9"/>
  <c r="GN60" i="9"/>
  <c r="GM60" i="9"/>
  <c r="GK103" i="9"/>
  <c r="GL103" i="9" s="1"/>
  <c r="T109" i="9"/>
  <c r="BR109" i="9"/>
  <c r="HF18" i="9"/>
  <c r="HG18" i="9" s="1"/>
  <c r="DO47" i="9"/>
  <c r="DL47" i="9"/>
  <c r="DM47" i="9" s="1"/>
  <c r="HF49" i="9"/>
  <c r="HG49" i="9" s="1"/>
  <c r="HH49" i="9"/>
  <c r="N101" i="9"/>
  <c r="KG101" i="9"/>
  <c r="KH101" i="9"/>
  <c r="HO64" i="9"/>
  <c r="HP64" i="9"/>
  <c r="BC87" i="9"/>
  <c r="T70" i="9"/>
  <c r="FS50" i="9"/>
  <c r="GF92" i="9"/>
  <c r="DO12" i="9"/>
  <c r="AT103" i="9"/>
  <c r="AU103" i="9" s="1"/>
  <c r="CZ72" i="9"/>
  <c r="FE13" i="9"/>
  <c r="FD13" i="9"/>
  <c r="GG68" i="9"/>
  <c r="GD68" i="9"/>
  <c r="GE68" i="9" s="1"/>
  <c r="GF68" i="9"/>
  <c r="BH68" i="9"/>
  <c r="BK68" i="9"/>
  <c r="JQ24" i="9"/>
  <c r="JR24" i="9" s="1"/>
  <c r="JT24" i="9"/>
  <c r="EJ8" i="9"/>
  <c r="EI8" i="9"/>
  <c r="EG3" i="9"/>
  <c r="EH3" i="9" s="1"/>
  <c r="EJ3" i="9"/>
  <c r="EI3" i="9"/>
  <c r="EQ8" i="9"/>
  <c r="IA8" i="9"/>
  <c r="IB8" i="9" s="1"/>
  <c r="ID8" i="9"/>
  <c r="FW18" i="9"/>
  <c r="FX18" i="9" s="1"/>
  <c r="FY18" i="9"/>
  <c r="FP101" i="9"/>
  <c r="FQ101" i="9" s="1"/>
  <c r="DE84" i="9"/>
  <c r="DF84" i="9" s="1"/>
  <c r="EC64" i="9"/>
  <c r="GK60" i="9"/>
  <c r="GL60" i="9" s="1"/>
  <c r="AW70" i="9"/>
  <c r="EX70" i="9"/>
  <c r="EU70" i="9"/>
  <c r="EV70" i="9" s="1"/>
  <c r="EW70" i="9"/>
  <c r="IO50" i="9"/>
  <c r="IP50" i="9" s="1"/>
  <c r="IQ50" i="9"/>
  <c r="JM103" i="9"/>
  <c r="BY24" i="9"/>
  <c r="EJ7" i="9"/>
  <c r="CL102" i="9"/>
  <c r="GD22" i="9"/>
  <c r="GE22" i="9" s="1"/>
  <c r="GF22" i="9"/>
  <c r="GG22" i="9"/>
  <c r="FB42" i="9"/>
  <c r="FC42" i="9" s="1"/>
  <c r="GT32" i="9"/>
  <c r="GR32" i="9"/>
  <c r="GS32" i="9" s="1"/>
  <c r="IV83" i="9"/>
  <c r="IW83" i="9" s="1"/>
  <c r="IY83" i="9"/>
  <c r="CE54" i="9"/>
  <c r="CC54" i="9"/>
  <c r="CD54" i="9" s="1"/>
  <c r="CF54" i="9"/>
  <c r="EQ54" i="9"/>
  <c r="EN54" i="9"/>
  <c r="EO54" i="9" s="1"/>
  <c r="EP54" i="9"/>
  <c r="G78" i="9"/>
  <c r="D78" i="9"/>
  <c r="E78" i="9" s="1"/>
  <c r="HP106" i="9"/>
  <c r="HO106" i="9"/>
  <c r="HM106" i="9"/>
  <c r="HN106" i="9" s="1"/>
  <c r="IQ106" i="9"/>
  <c r="IO106" i="9"/>
  <c r="IP106" i="9" s="1"/>
  <c r="IR106" i="9"/>
  <c r="EJ106" i="9"/>
  <c r="EI106" i="9"/>
  <c r="EG106" i="9"/>
  <c r="EH106" i="9" s="1"/>
  <c r="GR41" i="9"/>
  <c r="GS41" i="9" s="1"/>
  <c r="GT41" i="9"/>
  <c r="GY97" i="9"/>
  <c r="GZ97" i="9" s="1"/>
  <c r="HA97" i="9"/>
  <c r="HB97" i="9"/>
  <c r="AV98" i="9"/>
  <c r="AW98" i="9"/>
  <c r="GK12" i="9"/>
  <c r="GN12" i="9"/>
  <c r="EB24" i="9"/>
  <c r="EN8" i="9"/>
  <c r="HH18" i="9"/>
  <c r="FZ47" i="9"/>
  <c r="KN64" i="9"/>
  <c r="AT70" i="9"/>
  <c r="AU70" i="9" s="1"/>
  <c r="AB50" i="9"/>
  <c r="K50" i="9"/>
  <c r="L50" i="9" s="1"/>
  <c r="N50" i="9"/>
  <c r="DV92" i="9"/>
  <c r="CE12" i="9"/>
  <c r="AB35" i="9"/>
  <c r="Y35" i="9"/>
  <c r="HP35" i="9"/>
  <c r="HO35" i="9"/>
  <c r="CT103" i="9"/>
  <c r="FI72" i="9"/>
  <c r="FJ72" i="9" s="1"/>
  <c r="FL72" i="9"/>
  <c r="EB39" i="9"/>
  <c r="HB7" i="9"/>
  <c r="GY7" i="9"/>
  <c r="GZ7" i="9" s="1"/>
  <c r="EQ7" i="9"/>
  <c r="EP7" i="9"/>
  <c r="HW73" i="9"/>
  <c r="HM22" i="9"/>
  <c r="HN22" i="9" s="1"/>
  <c r="HP22" i="9"/>
  <c r="KH22" i="9"/>
  <c r="KG22" i="9"/>
  <c r="AF85" i="9"/>
  <c r="IA54" i="9"/>
  <c r="IB54" i="9" s="1"/>
  <c r="ID54" i="9"/>
  <c r="FL54" i="9"/>
  <c r="FI54" i="9"/>
  <c r="FJ54" i="9" s="1"/>
  <c r="IK86" i="9"/>
  <c r="IJ86" i="9"/>
  <c r="IA69" i="9"/>
  <c r="IB69" i="9" s="1"/>
  <c r="IC69" i="9"/>
  <c r="ID69" i="9"/>
  <c r="BO81" i="9"/>
  <c r="BP81" i="9" s="1"/>
  <c r="BR81" i="9"/>
  <c r="KU84" i="9"/>
  <c r="KV84" i="9"/>
  <c r="FI42" i="9"/>
  <c r="FJ42" i="9" s="1"/>
  <c r="FK42" i="9"/>
  <c r="BY85" i="9"/>
  <c r="BV85" i="9"/>
  <c r="BW85" i="9" s="1"/>
  <c r="GR68" i="9"/>
  <c r="GS68" i="9" s="1"/>
  <c r="GT68" i="9"/>
  <c r="GR60" i="9"/>
  <c r="GS60" i="9" s="1"/>
  <c r="GU60" i="9"/>
  <c r="GT60" i="9"/>
  <c r="BO24" i="9"/>
  <c r="BP24" i="9" s="1"/>
  <c r="BQ24" i="9"/>
  <c r="BC7" i="9"/>
  <c r="BD7" i="9"/>
  <c r="BA7" i="9"/>
  <c r="BB7" i="9" s="1"/>
  <c r="HP85" i="9"/>
  <c r="HM85" i="9"/>
  <c r="HN85" i="9" s="1"/>
  <c r="HO85" i="9"/>
  <c r="AP44" i="9"/>
  <c r="EX23" i="9"/>
  <c r="EU23" i="9"/>
  <c r="EV23" i="9" s="1"/>
  <c r="EW23" i="9"/>
  <c r="FW52" i="9"/>
  <c r="FX52" i="9" s="1"/>
  <c r="FY52" i="9"/>
  <c r="EQ84" i="9"/>
  <c r="EB18" i="9"/>
  <c r="KH84" i="9"/>
  <c r="HV60" i="9"/>
  <c r="BD60" i="9"/>
  <c r="BA60" i="9"/>
  <c r="BB60" i="9" s="1"/>
  <c r="EI50" i="9"/>
  <c r="JF50" i="9"/>
  <c r="JC50" i="9"/>
  <c r="JD50" i="9" s="1"/>
  <c r="HM71" i="9"/>
  <c r="HN71" i="9" s="1"/>
  <c r="HO71" i="9"/>
  <c r="BK71" i="9"/>
  <c r="BJ71" i="9"/>
  <c r="AP71" i="9"/>
  <c r="AM71" i="9"/>
  <c r="AN71" i="9" s="1"/>
  <c r="HF17" i="9"/>
  <c r="HG17" i="9" s="1"/>
  <c r="HI17" i="9"/>
  <c r="HH17" i="9"/>
  <c r="IH69" i="9"/>
  <c r="II69" i="9" s="1"/>
  <c r="IJ69" i="9"/>
  <c r="AV52" i="9"/>
  <c r="FL98" i="9"/>
  <c r="FI98" i="9"/>
  <c r="F8" i="9"/>
  <c r="FZ18" i="9"/>
  <c r="GG47" i="9"/>
  <c r="EG47" i="9"/>
  <c r="EH47" i="9" s="1"/>
  <c r="EI47" i="9"/>
  <c r="EW49" i="9"/>
  <c r="K101" i="9"/>
  <c r="IO84" i="9"/>
  <c r="IP84" i="9" s="1"/>
  <c r="Y60" i="9"/>
  <c r="IV70" i="9"/>
  <c r="IW70" i="9" s="1"/>
  <c r="IX70" i="9"/>
  <c r="IY70" i="9"/>
  <c r="Y50" i="9"/>
  <c r="Z50" i="9" s="1"/>
  <c r="HO92" i="9"/>
  <c r="IY92" i="9"/>
  <c r="IX92" i="9"/>
  <c r="ID103" i="9"/>
  <c r="EU103" i="9"/>
  <c r="EV103" i="9" s="1"/>
  <c r="EW103" i="9"/>
  <c r="GN72" i="9"/>
  <c r="HA7" i="9"/>
  <c r="GK73" i="9"/>
  <c r="GL73" i="9" s="1"/>
  <c r="FD22" i="9"/>
  <c r="GN54" i="9"/>
  <c r="GM54" i="9"/>
  <c r="GK54" i="9"/>
  <c r="GL54" i="9" s="1"/>
  <c r="JL54" i="9"/>
  <c r="JM54" i="9"/>
  <c r="AW54" i="9"/>
  <c r="AV54" i="9"/>
  <c r="IK30" i="9"/>
  <c r="IH30" i="9"/>
  <c r="KO30" i="9"/>
  <c r="KL30" i="9"/>
  <c r="KM30" i="9" s="1"/>
  <c r="KN30" i="9"/>
  <c r="JT9" i="9"/>
  <c r="JS9" i="9"/>
  <c r="JQ9" i="9"/>
  <c r="JR9" i="9" s="1"/>
  <c r="DH73" i="9"/>
  <c r="DE73" i="9"/>
  <c r="DF73" i="9" s="1"/>
  <c r="DG73" i="9"/>
  <c r="JM15" i="9"/>
  <c r="JJ15" i="9"/>
  <c r="JK15" i="9" s="1"/>
  <c r="JL15" i="9"/>
  <c r="BD58" i="9"/>
  <c r="BC58" i="9"/>
  <c r="BA58" i="9"/>
  <c r="BB58" i="9" s="1"/>
  <c r="CJ52" i="9"/>
  <c r="CK52" i="9" s="1"/>
  <c r="EU49" i="9"/>
  <c r="EV49" i="9" s="1"/>
  <c r="IA103" i="9"/>
  <c r="IB103" i="9" s="1"/>
  <c r="IJ39" i="9"/>
  <c r="KG52" i="9"/>
  <c r="FZ52" i="9"/>
  <c r="BA98" i="9"/>
  <c r="BB98" i="9" s="1"/>
  <c r="BD98" i="9"/>
  <c r="BC98" i="9"/>
  <c r="HV47" i="9"/>
  <c r="HT47" i="9"/>
  <c r="HU47" i="9" s="1"/>
  <c r="GN87" i="9"/>
  <c r="HF103" i="9"/>
  <c r="HG103" i="9" s="1"/>
  <c r="DA72" i="9"/>
  <c r="DU7" i="9"/>
  <c r="DS7" i="9"/>
  <c r="DT7" i="9" s="1"/>
  <c r="IV73" i="9"/>
  <c r="IY73" i="9"/>
  <c r="DG22" i="9"/>
  <c r="DE22" i="9"/>
  <c r="DF22" i="9" s="1"/>
  <c r="Y67" i="9"/>
  <c r="Z67" i="9" s="1"/>
  <c r="AB67" i="9"/>
  <c r="AA67" i="9"/>
  <c r="HW42" i="9"/>
  <c r="HV42" i="9"/>
  <c r="HP71" i="9"/>
  <c r="DH30" i="9"/>
  <c r="DE30" i="9"/>
  <c r="DF30" i="9" s="1"/>
  <c r="FW111" i="9"/>
  <c r="FX111" i="9" s="1"/>
  <c r="FY111" i="9"/>
  <c r="BC8" i="9"/>
  <c r="BA8" i="9"/>
  <c r="BB8" i="9" s="1"/>
  <c r="HW98" i="9"/>
  <c r="GT18" i="9"/>
  <c r="GY47" i="9"/>
  <c r="GZ47" i="9" s="1"/>
  <c r="HA47" i="9"/>
  <c r="IQ84" i="9"/>
  <c r="AP50" i="9"/>
  <c r="AO50" i="9"/>
  <c r="AM50" i="9"/>
  <c r="AN50" i="9" s="1"/>
  <c r="KS12" i="9"/>
  <c r="KT12" i="9" s="1"/>
  <c r="JC7" i="9"/>
  <c r="JD7" i="9" s="1"/>
  <c r="FE73" i="9"/>
  <c r="FD73" i="9"/>
  <c r="HT22" i="9"/>
  <c r="HU22" i="9" s="1"/>
  <c r="HW22" i="9"/>
  <c r="JE19" i="9"/>
  <c r="JF19" i="9"/>
  <c r="JC19" i="9"/>
  <c r="JD19" i="9" s="1"/>
  <c r="IK69" i="9"/>
  <c r="EJ69" i="9"/>
  <c r="EG69" i="9"/>
  <c r="EH69" i="9" s="1"/>
  <c r="EI69" i="9"/>
  <c r="JC69" i="9"/>
  <c r="JD69" i="9" s="1"/>
  <c r="JE69" i="9"/>
  <c r="JF69" i="9"/>
  <c r="FI60" i="9"/>
  <c r="FJ60" i="9" s="1"/>
  <c r="FK60" i="9"/>
  <c r="KN52" i="9"/>
  <c r="KO52" i="9"/>
  <c r="BK49" i="9"/>
  <c r="BJ49" i="9"/>
  <c r="HT84" i="9"/>
  <c r="HU84" i="9" s="1"/>
  <c r="HV84" i="9"/>
  <c r="KN103" i="9"/>
  <c r="KO103" i="9"/>
  <c r="GM73" i="9"/>
  <c r="IO73" i="9"/>
  <c r="IR73" i="9"/>
  <c r="FB102" i="9"/>
  <c r="FC102" i="9" s="1"/>
  <c r="FE102" i="9"/>
  <c r="IH102" i="9"/>
  <c r="II102" i="9" s="1"/>
  <c r="IK102" i="9"/>
  <c r="IJ102" i="9"/>
  <c r="CF22" i="9"/>
  <c r="CE22" i="9"/>
  <c r="CC22" i="9"/>
  <c r="CD22" i="9" s="1"/>
  <c r="KL22" i="9"/>
  <c r="KM22" i="9" s="1"/>
  <c r="KN22" i="9"/>
  <c r="KO22" i="9"/>
  <c r="AF56" i="9"/>
  <c r="AG56" i="9" s="1"/>
  <c r="AI56" i="9"/>
  <c r="JJ33" i="9"/>
  <c r="JM33" i="9"/>
  <c r="Y33" i="9"/>
  <c r="Z33" i="9" s="1"/>
  <c r="AA33" i="9"/>
  <c r="AB33" i="9"/>
  <c r="FL86" i="9"/>
  <c r="FK86" i="9"/>
  <c r="CC5" i="9"/>
  <c r="CD5" i="9" s="1"/>
  <c r="CE5" i="9"/>
  <c r="FB5" i="9"/>
  <c r="FC5" i="9" s="1"/>
  <c r="FE5" i="9"/>
  <c r="D87" i="9"/>
  <c r="E87" i="9" s="1"/>
  <c r="F87" i="9"/>
  <c r="G87" i="9"/>
  <c r="AT68" i="9"/>
  <c r="AU68" i="9" s="1"/>
  <c r="AV68" i="9"/>
  <c r="AW68" i="9"/>
  <c r="JZ56" i="9"/>
  <c r="KA56" i="9"/>
  <c r="CX8" i="9"/>
  <c r="CY8" i="9" s="1"/>
  <c r="DA8" i="9"/>
  <c r="ID47" i="9"/>
  <c r="IA47" i="9"/>
  <c r="IQ101" i="9"/>
  <c r="JT99" i="9"/>
  <c r="JS99" i="9"/>
  <c r="IK8" i="9"/>
  <c r="IJ8" i="9"/>
  <c r="CQ8" i="9"/>
  <c r="CR8" i="9" s="1"/>
  <c r="CT8" i="9"/>
  <c r="CX99" i="9"/>
  <c r="EN98" i="9"/>
  <c r="F47" i="9"/>
  <c r="BK101" i="9"/>
  <c r="BJ101" i="9"/>
  <c r="EG50" i="9"/>
  <c r="EH50" i="9" s="1"/>
  <c r="KU12" i="9"/>
  <c r="DU98" i="9"/>
  <c r="CM87" i="9"/>
  <c r="IA60" i="9"/>
  <c r="IB60" i="9" s="1"/>
  <c r="T39" i="9"/>
  <c r="R73" i="9"/>
  <c r="S73" i="9" s="1"/>
  <c r="U73" i="9"/>
  <c r="T73" i="9"/>
  <c r="FY4" i="9"/>
  <c r="FZ4" i="9"/>
  <c r="GU68" i="9"/>
  <c r="CF107" i="9"/>
  <c r="BY39" i="9"/>
  <c r="BX39" i="9"/>
  <c r="DS97" i="9"/>
  <c r="DT97" i="9" s="1"/>
  <c r="DU97" i="9"/>
  <c r="DV97" i="9"/>
  <c r="EG58" i="9"/>
  <c r="EH58" i="9" s="1"/>
  <c r="EI58" i="9"/>
  <c r="EJ58" i="9"/>
  <c r="GD40" i="9"/>
  <c r="GE40" i="9" s="1"/>
  <c r="GG40" i="9"/>
  <c r="GF40" i="9"/>
  <c r="JL24" i="9"/>
  <c r="JJ24" i="9"/>
  <c r="JK24" i="9" s="1"/>
  <c r="IO109" i="9"/>
  <c r="IP109" i="9" s="1"/>
  <c r="JJ84" i="9"/>
  <c r="JK84" i="9" s="1"/>
  <c r="JM84" i="9"/>
  <c r="CS99" i="9"/>
  <c r="CQ99" i="9"/>
  <c r="CR99" i="9" s="1"/>
  <c r="DS18" i="9"/>
  <c r="DT18" i="9" s="1"/>
  <c r="EG49" i="9"/>
  <c r="EH49" i="9" s="1"/>
  <c r="EI49" i="9"/>
  <c r="JL84" i="9"/>
  <c r="DU50" i="9"/>
  <c r="DS50" i="9"/>
  <c r="DT50" i="9" s="1"/>
  <c r="JJ50" i="9"/>
  <c r="JK50" i="9" s="1"/>
  <c r="JM50" i="9"/>
  <c r="DA99" i="9"/>
  <c r="AT52" i="9"/>
  <c r="AU52" i="9" s="1"/>
  <c r="DV18" i="9"/>
  <c r="DN49" i="9"/>
  <c r="CT49" i="9"/>
  <c r="CS49" i="9"/>
  <c r="FR50" i="9"/>
  <c r="FS8" i="9"/>
  <c r="IQ47" i="9"/>
  <c r="KA47" i="9"/>
  <c r="JX47" i="9"/>
  <c r="JY47" i="9" s="1"/>
  <c r="DO49" i="9"/>
  <c r="R84" i="9"/>
  <c r="S84" i="9" s="1"/>
  <c r="BV84" i="9"/>
  <c r="BW84" i="9" s="1"/>
  <c r="BY84" i="9"/>
  <c r="IX64" i="9"/>
  <c r="IA64" i="9"/>
  <c r="IB64" i="9" s="1"/>
  <c r="IC64" i="9"/>
  <c r="CL87" i="9"/>
  <c r="IJ70" i="9"/>
  <c r="CF12" i="9"/>
  <c r="AM35" i="9"/>
  <c r="AN35" i="9" s="1"/>
  <c r="AO35" i="9"/>
  <c r="AV103" i="9"/>
  <c r="GF45" i="9"/>
  <c r="BK45" i="9"/>
  <c r="BJ45" i="9"/>
  <c r="HH72" i="9"/>
  <c r="IK72" i="9"/>
  <c r="IJ72" i="9"/>
  <c r="BV39" i="9"/>
  <c r="BW39" i="9" s="1"/>
  <c r="EG7" i="9"/>
  <c r="DS73" i="9"/>
  <c r="DT73" i="9" s="1"/>
  <c r="DV73" i="9"/>
  <c r="KE102" i="9"/>
  <c r="KF102" i="9" s="1"/>
  <c r="KG102" i="9"/>
  <c r="T22" i="9"/>
  <c r="Y81" i="9"/>
  <c r="Z81" i="9" s="1"/>
  <c r="AA81" i="9"/>
  <c r="CE55" i="9"/>
  <c r="CF55" i="9"/>
  <c r="AW55" i="9"/>
  <c r="AV55" i="9"/>
  <c r="AT55" i="9"/>
  <c r="AU55" i="9" s="1"/>
  <c r="DO38" i="9"/>
  <c r="DL38" i="9"/>
  <c r="DM38" i="9" s="1"/>
  <c r="DN38" i="9"/>
  <c r="CJ83" i="9"/>
  <c r="CK83" i="9" s="1"/>
  <c r="CL83" i="9"/>
  <c r="IC54" i="9"/>
  <c r="IJ78" i="9"/>
  <c r="IK78" i="9"/>
  <c r="IH78" i="9"/>
  <c r="II78" i="9" s="1"/>
  <c r="KS35" i="9"/>
  <c r="KT35" i="9" s="1"/>
  <c r="KU35" i="9"/>
  <c r="BX75" i="9"/>
  <c r="BY75" i="9"/>
  <c r="BV75" i="9"/>
  <c r="BW75" i="9" s="1"/>
  <c r="T64" i="9"/>
  <c r="U64" i="9"/>
  <c r="R64" i="9"/>
  <c r="S64" i="9" s="1"/>
  <c r="HT109" i="9"/>
  <c r="HU109" i="9" s="1"/>
  <c r="HV109" i="9"/>
  <c r="BJ109" i="9"/>
  <c r="BH109" i="9"/>
  <c r="BI109" i="9" s="1"/>
  <c r="D8" i="9"/>
  <c r="E8" i="9" s="1"/>
  <c r="IJ47" i="9"/>
  <c r="HW52" i="9"/>
  <c r="BV64" i="9"/>
  <c r="BW64" i="9" s="1"/>
  <c r="BX64" i="9"/>
  <c r="IJ64" i="9"/>
  <c r="IH64" i="9"/>
  <c r="II64" i="9" s="1"/>
  <c r="AP99" i="9"/>
  <c r="AO99" i="9"/>
  <c r="DN18" i="9"/>
  <c r="FB47" i="9"/>
  <c r="FE47" i="9"/>
  <c r="BC84" i="9"/>
  <c r="BO84" i="9"/>
  <c r="BP84" i="9" s="1"/>
  <c r="BR84" i="9"/>
  <c r="CE27" i="9"/>
  <c r="CF27" i="9"/>
  <c r="EN102" i="9"/>
  <c r="EO102" i="9" s="1"/>
  <c r="EQ102" i="9"/>
  <c r="EP102" i="9"/>
  <c r="FZ99" i="9"/>
  <c r="FB52" i="9"/>
  <c r="FC52" i="9" s="1"/>
  <c r="FD52" i="9"/>
  <c r="K52" i="9"/>
  <c r="L52" i="9" s="1"/>
  <c r="BJ98" i="9"/>
  <c r="CQ18" i="9"/>
  <c r="CR18" i="9" s="1"/>
  <c r="CS18" i="9"/>
  <c r="HB18" i="9"/>
  <c r="GY18" i="9"/>
  <c r="D47" i="9"/>
  <c r="E47" i="9" s="1"/>
  <c r="U49" i="9"/>
  <c r="IC84" i="9"/>
  <c r="IA84" i="9"/>
  <c r="IB84" i="9" s="1"/>
  <c r="FR64" i="9"/>
  <c r="FZ87" i="9"/>
  <c r="KA87" i="9"/>
  <c r="JX87" i="9"/>
  <c r="JY87" i="9" s="1"/>
  <c r="EG70" i="9"/>
  <c r="EH70" i="9" s="1"/>
  <c r="KU92" i="9"/>
  <c r="KV92" i="9"/>
  <c r="KS92" i="9"/>
  <c r="KT92" i="9" s="1"/>
  <c r="DL12" i="9"/>
  <c r="AP35" i="9"/>
  <c r="FZ103" i="9"/>
  <c r="FY103" i="9"/>
  <c r="FE103" i="9"/>
  <c r="FB103" i="9"/>
  <c r="FC103" i="9" s="1"/>
  <c r="DN72" i="9"/>
  <c r="DO72" i="9"/>
  <c r="GY73" i="9"/>
  <c r="GZ73" i="9" s="1"/>
  <c r="BV102" i="9"/>
  <c r="BW102" i="9" s="1"/>
  <c r="BY102" i="9"/>
  <c r="BX102" i="9"/>
  <c r="AB102" i="9"/>
  <c r="Y102" i="9"/>
  <c r="Z102" i="9" s="1"/>
  <c r="AA102" i="9"/>
  <c r="JT102" i="9"/>
  <c r="JQ102" i="9"/>
  <c r="JR102" i="9" s="1"/>
  <c r="JS102" i="9"/>
  <c r="GT56" i="9"/>
  <c r="GU56" i="9"/>
  <c r="AF88" i="9"/>
  <c r="AG88" i="9" s="1"/>
  <c r="AI88" i="9"/>
  <c r="AH88" i="9"/>
  <c r="CJ38" i="9"/>
  <c r="CK38" i="9" s="1"/>
  <c r="CT38" i="9"/>
  <c r="CQ38" i="9"/>
  <c r="CR38" i="9" s="1"/>
  <c r="CS38" i="9"/>
  <c r="G4" i="9"/>
  <c r="F4" i="9"/>
  <c r="DL15" i="9"/>
  <c r="DM15" i="9" s="1"/>
  <c r="DN15" i="9"/>
  <c r="AO15" i="9"/>
  <c r="AP15" i="9"/>
  <c r="AH44" i="9"/>
  <c r="AF44" i="9"/>
  <c r="AG44" i="9" s="1"/>
  <c r="EU71" i="9"/>
  <c r="EX71" i="9"/>
  <c r="GU71" i="9"/>
  <c r="GT71" i="9"/>
  <c r="GR71" i="9"/>
  <c r="GS71" i="9" s="1"/>
  <c r="IK71" i="9"/>
  <c r="IH71" i="9"/>
  <c r="II71" i="9" s="1"/>
  <c r="IJ71" i="9"/>
  <c r="DO6" i="9"/>
  <c r="DN6" i="9"/>
  <c r="HM6" i="9"/>
  <c r="HN6" i="9" s="1"/>
  <c r="HP6" i="9"/>
  <c r="HO6" i="9"/>
  <c r="EN6" i="9"/>
  <c r="EO6" i="9" s="1"/>
  <c r="EQ6" i="9"/>
  <c r="DN95" i="9"/>
  <c r="DO95" i="9"/>
  <c r="AI95" i="9"/>
  <c r="AF95" i="9"/>
  <c r="AG95" i="9" s="1"/>
  <c r="CL91" i="9"/>
  <c r="CJ91" i="9"/>
  <c r="CK91" i="9" s="1"/>
  <c r="CM91" i="9"/>
  <c r="BD12" i="9"/>
  <c r="JX39" i="9"/>
  <c r="CC7" i="9"/>
  <c r="CD7" i="9" s="1"/>
  <c r="CF7" i="9"/>
  <c r="HH73" i="9"/>
  <c r="HF73" i="9"/>
  <c r="HG73" i="9" s="1"/>
  <c r="AI73" i="9"/>
  <c r="AH73" i="9"/>
  <c r="BJ22" i="9"/>
  <c r="BK22" i="9"/>
  <c r="BC42" i="9"/>
  <c r="BA42" i="9"/>
  <c r="BB42" i="9" s="1"/>
  <c r="IQ3" i="9"/>
  <c r="IO3" i="9"/>
  <c r="IP3" i="9" s="1"/>
  <c r="AT85" i="9"/>
  <c r="AU85" i="9" s="1"/>
  <c r="AV85" i="9"/>
  <c r="AW85" i="9"/>
  <c r="FI14" i="9"/>
  <c r="BC97" i="9"/>
  <c r="BD97" i="9"/>
  <c r="BA97" i="9"/>
  <c r="BB97" i="9" s="1"/>
  <c r="EB68" i="9"/>
  <c r="EC68" i="9"/>
  <c r="K51" i="9"/>
  <c r="L51" i="9" s="1"/>
  <c r="M51" i="9"/>
  <c r="EX51" i="9"/>
  <c r="EW51" i="9"/>
  <c r="JF15" i="9"/>
  <c r="GD79" i="9"/>
  <c r="GE79" i="9" s="1"/>
  <c r="HT79" i="9"/>
  <c r="HU79" i="9" s="1"/>
  <c r="HV79" i="9"/>
  <c r="FL79" i="9"/>
  <c r="FK79" i="9"/>
  <c r="FZ6" i="9"/>
  <c r="FY6" i="9"/>
  <c r="FW6" i="9"/>
  <c r="FX6" i="9" s="1"/>
  <c r="JQ6" i="9"/>
  <c r="JR6" i="9" s="1"/>
  <c r="JT6" i="9"/>
  <c r="JS6" i="9"/>
  <c r="CZ5" i="9"/>
  <c r="CX5" i="9"/>
  <c r="CY5" i="9" s="1"/>
  <c r="DA5" i="9"/>
  <c r="GD30" i="9"/>
  <c r="GE30" i="9" s="1"/>
  <c r="GG30" i="9"/>
  <c r="GF30" i="9"/>
  <c r="AI30" i="9"/>
  <c r="AF30" i="9"/>
  <c r="AG30" i="9" s="1"/>
  <c r="AH30" i="9"/>
  <c r="KO90" i="9"/>
  <c r="KN90" i="9"/>
  <c r="KL90" i="9"/>
  <c r="KM90" i="9" s="1"/>
  <c r="BR90" i="9"/>
  <c r="BO90" i="9"/>
  <c r="BP90" i="9" s="1"/>
  <c r="BQ90" i="9"/>
  <c r="CQ70" i="9"/>
  <c r="CR70" i="9" s="1"/>
  <c r="D111" i="9"/>
  <c r="HV45" i="9"/>
  <c r="KO72" i="9"/>
  <c r="HI73" i="9"/>
  <c r="HF67" i="9"/>
  <c r="HG67" i="9" s="1"/>
  <c r="IH88" i="9"/>
  <c r="II88" i="9" s="1"/>
  <c r="IJ88" i="9"/>
  <c r="HW81" i="9"/>
  <c r="HV81" i="9"/>
  <c r="GK36" i="9"/>
  <c r="GL36" i="9" s="1"/>
  <c r="GN36" i="9"/>
  <c r="DS25" i="9"/>
  <c r="DT25" i="9" s="1"/>
  <c r="EG38" i="9"/>
  <c r="EH38" i="9" s="1"/>
  <c r="EI38" i="9"/>
  <c r="BD32" i="9"/>
  <c r="HF85" i="9"/>
  <c r="BQ14" i="9"/>
  <c r="HH14" i="9"/>
  <c r="HI4" i="9"/>
  <c r="HH4" i="9"/>
  <c r="IK4" i="9"/>
  <c r="IH4" i="9"/>
  <c r="BJ33" i="9"/>
  <c r="BK33" i="9"/>
  <c r="AO33" i="9"/>
  <c r="AP33" i="9"/>
  <c r="DS40" i="9"/>
  <c r="DT40" i="9" s="1"/>
  <c r="HI37" i="9"/>
  <c r="AF51" i="9"/>
  <c r="AG51" i="9" s="1"/>
  <c r="GY57" i="9"/>
  <c r="BD86" i="9"/>
  <c r="JT30" i="9"/>
  <c r="JS30" i="9"/>
  <c r="JQ30" i="9"/>
  <c r="JR30" i="9" s="1"/>
  <c r="CC39" i="9"/>
  <c r="CD39" i="9" s="1"/>
  <c r="CF39" i="9"/>
  <c r="KV39" i="9"/>
  <c r="KS39" i="9"/>
  <c r="KT39" i="9" s="1"/>
  <c r="DV13" i="9"/>
  <c r="DS13" i="9"/>
  <c r="DT13" i="9" s="1"/>
  <c r="BD36" i="9"/>
  <c r="BC36" i="9"/>
  <c r="EP55" i="9"/>
  <c r="EQ55" i="9"/>
  <c r="DV14" i="9"/>
  <c r="DS14" i="9"/>
  <c r="DT14" i="9" s="1"/>
  <c r="N33" i="9"/>
  <c r="K33" i="9"/>
  <c r="L33" i="9" s="1"/>
  <c r="HO97" i="9"/>
  <c r="K83" i="9"/>
  <c r="L83" i="9" s="1"/>
  <c r="N83" i="9"/>
  <c r="FR68" i="9"/>
  <c r="FP68" i="9"/>
  <c r="FQ68" i="9" s="1"/>
  <c r="FS68" i="9"/>
  <c r="DS54" i="9"/>
  <c r="DT54" i="9" s="1"/>
  <c r="DV54" i="9"/>
  <c r="FW44" i="9"/>
  <c r="FX44" i="9" s="1"/>
  <c r="FZ44" i="9"/>
  <c r="FR79" i="9"/>
  <c r="CF59" i="9"/>
  <c r="CE59" i="9"/>
  <c r="FI75" i="9"/>
  <c r="FJ75" i="9" s="1"/>
  <c r="FK75" i="9"/>
  <c r="GM5" i="9"/>
  <c r="GN5" i="9"/>
  <c r="EW5" i="9"/>
  <c r="EU5" i="9"/>
  <c r="EV5" i="9" s="1"/>
  <c r="EX5" i="9"/>
  <c r="CJ72" i="9"/>
  <c r="CK72" i="9" s="1"/>
  <c r="CQ39" i="9"/>
  <c r="CR39" i="9" s="1"/>
  <c r="FB56" i="9"/>
  <c r="D88" i="9"/>
  <c r="E88" i="9" s="1"/>
  <c r="G88" i="9"/>
  <c r="DU13" i="9"/>
  <c r="JC25" i="9"/>
  <c r="JD25" i="9" s="1"/>
  <c r="JE25" i="9"/>
  <c r="DU85" i="9"/>
  <c r="DV85" i="9"/>
  <c r="CC33" i="9"/>
  <c r="CD33" i="9" s="1"/>
  <c r="CE33" i="9"/>
  <c r="GY33" i="9"/>
  <c r="GZ33" i="9" s="1"/>
  <c r="HA33" i="9"/>
  <c r="IC97" i="9"/>
  <c r="DN37" i="9"/>
  <c r="DO37" i="9"/>
  <c r="U37" i="9"/>
  <c r="T37" i="9"/>
  <c r="JT51" i="9"/>
  <c r="BO57" i="9"/>
  <c r="BP57" i="9" s="1"/>
  <c r="BQ57" i="9"/>
  <c r="KE57" i="9"/>
  <c r="KF57" i="9" s="1"/>
  <c r="KH57" i="9"/>
  <c r="IC76" i="9"/>
  <c r="ID76" i="9"/>
  <c r="CX76" i="9"/>
  <c r="CY76" i="9" s="1"/>
  <c r="DA76" i="9"/>
  <c r="CZ76" i="9"/>
  <c r="DZ61" i="9"/>
  <c r="EA61" i="9" s="1"/>
  <c r="EB61" i="9"/>
  <c r="DA61" i="9"/>
  <c r="CX61" i="9"/>
  <c r="CY61" i="9" s="1"/>
  <c r="KL74" i="9"/>
  <c r="KM74" i="9" s="1"/>
  <c r="KN74" i="9"/>
  <c r="KO74" i="9"/>
  <c r="IJ11" i="9"/>
  <c r="IK11" i="9"/>
  <c r="AA72" i="9"/>
  <c r="Y72" i="9"/>
  <c r="Z72" i="9" s="1"/>
  <c r="IX56" i="9"/>
  <c r="GG56" i="9"/>
  <c r="GF56" i="9"/>
  <c r="IR88" i="9"/>
  <c r="FZ81" i="9"/>
  <c r="FW81" i="9"/>
  <c r="FX81" i="9" s="1"/>
  <c r="EQ32" i="9"/>
  <c r="EN32" i="9"/>
  <c r="EO32" i="9" s="1"/>
  <c r="HI85" i="9"/>
  <c r="CC83" i="9"/>
  <c r="CD83" i="9" s="1"/>
  <c r="CF83" i="9"/>
  <c r="FD51" i="9"/>
  <c r="FE51" i="9"/>
  <c r="EP57" i="9"/>
  <c r="EQ57" i="9"/>
  <c r="EN57" i="9"/>
  <c r="EO57" i="9" s="1"/>
  <c r="CF57" i="9"/>
  <c r="CE57" i="9"/>
  <c r="AI44" i="9"/>
  <c r="JT44" i="9"/>
  <c r="JS44" i="9"/>
  <c r="IH44" i="9"/>
  <c r="II44" i="9" s="1"/>
  <c r="IK44" i="9"/>
  <c r="Y71" i="9"/>
  <c r="Z71" i="9" s="1"/>
  <c r="AA71" i="9"/>
  <c r="CX19" i="9"/>
  <c r="CY19" i="9" s="1"/>
  <c r="KS94" i="9"/>
  <c r="KT94" i="9" s="1"/>
  <c r="KV94" i="9"/>
  <c r="FB77" i="9"/>
  <c r="FC77" i="9" s="1"/>
  <c r="FD77" i="9"/>
  <c r="JC76" i="9"/>
  <c r="JD76" i="9" s="1"/>
  <c r="JE76" i="9"/>
  <c r="BY76" i="9"/>
  <c r="BX76" i="9"/>
  <c r="IJ98" i="9"/>
  <c r="JF101" i="9"/>
  <c r="JZ50" i="9"/>
  <c r="JS39" i="9"/>
  <c r="CC67" i="9"/>
  <c r="EJ67" i="9"/>
  <c r="EI67" i="9"/>
  <c r="EG88" i="9"/>
  <c r="EJ88" i="9"/>
  <c r="KH32" i="9"/>
  <c r="EC14" i="9"/>
  <c r="DZ14" i="9"/>
  <c r="EA14" i="9" s="1"/>
  <c r="EB14" i="9"/>
  <c r="GF33" i="9"/>
  <c r="GG33" i="9"/>
  <c r="DH40" i="9"/>
  <c r="HH37" i="9"/>
  <c r="DS37" i="9"/>
  <c r="DT37" i="9" s="1"/>
  <c r="DU37" i="9"/>
  <c r="DO83" i="9"/>
  <c r="KN51" i="9"/>
  <c r="GN51" i="9"/>
  <c r="BR57" i="9"/>
  <c r="AI86" i="9"/>
  <c r="D44" i="9"/>
  <c r="JT75" i="9"/>
  <c r="JQ75" i="9"/>
  <c r="JR75" i="9" s="1"/>
  <c r="JS75" i="9"/>
  <c r="EC75" i="9"/>
  <c r="DZ75" i="9"/>
  <c r="EA75" i="9" s="1"/>
  <c r="AB61" i="9"/>
  <c r="Y61" i="9"/>
  <c r="Z61" i="9" s="1"/>
  <c r="DL61" i="9"/>
  <c r="DM61" i="9" s="1"/>
  <c r="DO61" i="9"/>
  <c r="DN61" i="9"/>
  <c r="BV41" i="9"/>
  <c r="BW41" i="9" s="1"/>
  <c r="BX41" i="9"/>
  <c r="BY41" i="9"/>
  <c r="EG41" i="9"/>
  <c r="EH41" i="9" s="1"/>
  <c r="EI41" i="9"/>
  <c r="HB50" i="9"/>
  <c r="FE92" i="9"/>
  <c r="KH12" i="9"/>
  <c r="KA39" i="9"/>
  <c r="AB7" i="9"/>
  <c r="JX73" i="9"/>
  <c r="JY73" i="9" s="1"/>
  <c r="DZ27" i="9"/>
  <c r="EA27" i="9" s="1"/>
  <c r="CF67" i="9"/>
  <c r="HB56" i="9"/>
  <c r="KS42" i="9"/>
  <c r="KT42" i="9" s="1"/>
  <c r="KU42" i="9"/>
  <c r="F3" i="9"/>
  <c r="D81" i="9"/>
  <c r="DE81" i="9"/>
  <c r="DF81" i="9" s="1"/>
  <c r="DG81" i="9"/>
  <c r="JF25" i="9"/>
  <c r="DZ55" i="9"/>
  <c r="EA55" i="9" s="1"/>
  <c r="EB55" i="9"/>
  <c r="AF55" i="9"/>
  <c r="AI55" i="9"/>
  <c r="BY55" i="9"/>
  <c r="BV55" i="9"/>
  <c r="BW55" i="9" s="1"/>
  <c r="BX55" i="9"/>
  <c r="BV32" i="9"/>
  <c r="BW32" i="9" s="1"/>
  <c r="KU33" i="9"/>
  <c r="KS33" i="9"/>
  <c r="KT33" i="9" s="1"/>
  <c r="JQ51" i="9"/>
  <c r="EP15" i="9"/>
  <c r="AV86" i="9"/>
  <c r="KG44" i="9"/>
  <c r="R46" i="9"/>
  <c r="S46" i="9" s="1"/>
  <c r="U46" i="9"/>
  <c r="T46" i="9"/>
  <c r="IY75" i="9"/>
  <c r="IX75" i="9"/>
  <c r="DE75" i="9"/>
  <c r="DF75" i="9" s="1"/>
  <c r="DH75" i="9"/>
  <c r="DG75" i="9"/>
  <c r="JX28" i="9"/>
  <c r="JY28" i="9" s="1"/>
  <c r="JZ28" i="9"/>
  <c r="IA76" i="9"/>
  <c r="IB76" i="9" s="1"/>
  <c r="GR66" i="9"/>
  <c r="GS66" i="9" s="1"/>
  <c r="GT66" i="9"/>
  <c r="GU66" i="9"/>
  <c r="AM66" i="9"/>
  <c r="AN66" i="9" s="1"/>
  <c r="AO66" i="9"/>
  <c r="JC66" i="9"/>
  <c r="JD66" i="9" s="1"/>
  <c r="JF66" i="9"/>
  <c r="JE66" i="9"/>
  <c r="JL64" i="9"/>
  <c r="EC111" i="9"/>
  <c r="GD24" i="9"/>
  <c r="CE39" i="9"/>
  <c r="KS73" i="9"/>
  <c r="KT73" i="9" s="1"/>
  <c r="FK102" i="9"/>
  <c r="GN67" i="9"/>
  <c r="FR56" i="9"/>
  <c r="G81" i="9"/>
  <c r="AV14" i="9"/>
  <c r="EW4" i="9"/>
  <c r="AH40" i="9"/>
  <c r="AI40" i="9"/>
  <c r="AF40" i="9"/>
  <c r="AG40" i="9" s="1"/>
  <c r="KL51" i="9"/>
  <c r="KM51" i="9" s="1"/>
  <c r="EG86" i="9"/>
  <c r="EH86" i="9" s="1"/>
  <c r="EI86" i="9"/>
  <c r="CZ75" i="9"/>
  <c r="JT66" i="9"/>
  <c r="JQ66" i="9"/>
  <c r="JR66" i="9" s="1"/>
  <c r="JS66" i="9"/>
  <c r="HM66" i="9"/>
  <c r="HN66" i="9" s="1"/>
  <c r="HP66" i="9"/>
  <c r="HO66" i="9"/>
  <c r="JX66" i="9"/>
  <c r="JY66" i="9" s="1"/>
  <c r="KA66" i="9"/>
  <c r="JT91" i="9"/>
  <c r="JS91" i="9"/>
  <c r="JQ91" i="9"/>
  <c r="JR91" i="9" s="1"/>
  <c r="HO91" i="9"/>
  <c r="HP91" i="9"/>
  <c r="KG48" i="9"/>
  <c r="KE48" i="9"/>
  <c r="KF48" i="9" s="1"/>
  <c r="IA48" i="9"/>
  <c r="IB48" i="9" s="1"/>
  <c r="IC48" i="9"/>
  <c r="AA48" i="9"/>
  <c r="AB48" i="9"/>
  <c r="FP56" i="9"/>
  <c r="FQ56" i="9" s="1"/>
  <c r="R13" i="9"/>
  <c r="S13" i="9" s="1"/>
  <c r="JT36" i="9"/>
  <c r="JQ36" i="9"/>
  <c r="EC32" i="9"/>
  <c r="DH51" i="9"/>
  <c r="DO15" i="9"/>
  <c r="KE46" i="9"/>
  <c r="KF46" i="9" s="1"/>
  <c r="KG46" i="9"/>
  <c r="EP6" i="9"/>
  <c r="BR100" i="9"/>
  <c r="BQ100" i="9"/>
  <c r="BO100" i="9"/>
  <c r="BP100" i="9" s="1"/>
  <c r="JM100" i="9"/>
  <c r="JJ100" i="9"/>
  <c r="JK100" i="9" s="1"/>
  <c r="BH96" i="9"/>
  <c r="BI96" i="9" s="1"/>
  <c r="BK96" i="9"/>
  <c r="BJ96" i="9"/>
  <c r="FP96" i="9"/>
  <c r="FQ96" i="9" s="1"/>
  <c r="FS96" i="9"/>
  <c r="EJ76" i="9"/>
  <c r="EG76" i="9"/>
  <c r="EH76" i="9" s="1"/>
  <c r="BJ80" i="9"/>
  <c r="BK80" i="9"/>
  <c r="CM42" i="9"/>
  <c r="AI36" i="9"/>
  <c r="AH36" i="9"/>
  <c r="KO14" i="9"/>
  <c r="FB14" i="9"/>
  <c r="FC14" i="9" s="1"/>
  <c r="FE14" i="9"/>
  <c r="FD14" i="9"/>
  <c r="DG51" i="9"/>
  <c r="CL86" i="9"/>
  <c r="IQ46" i="9"/>
  <c r="IO46" i="9"/>
  <c r="IP46" i="9" s="1"/>
  <c r="IR46" i="9"/>
  <c r="AM104" i="9"/>
  <c r="AN104" i="9" s="1"/>
  <c r="AO104" i="9"/>
  <c r="AP104" i="9"/>
  <c r="AF104" i="9"/>
  <c r="AG104" i="9" s="1"/>
  <c r="AI104" i="9"/>
  <c r="ID63" i="9"/>
  <c r="IA63" i="9"/>
  <c r="IB63" i="9" s="1"/>
  <c r="GU63" i="9"/>
  <c r="GR63" i="9"/>
  <c r="FW58" i="9"/>
  <c r="FX58" i="9" s="1"/>
  <c r="FY58" i="9"/>
  <c r="FZ58" i="9"/>
  <c r="D58" i="9"/>
  <c r="E58" i="9" s="1"/>
  <c r="F58" i="9"/>
  <c r="IC58" i="9"/>
  <c r="IA58" i="9"/>
  <c r="IB58" i="9" s="1"/>
  <c r="ID58" i="9"/>
  <c r="HM91" i="9"/>
  <c r="HN91" i="9" s="1"/>
  <c r="FI43" i="9"/>
  <c r="FJ43" i="9" s="1"/>
  <c r="FK43" i="9"/>
  <c r="JC43" i="9"/>
  <c r="JD43" i="9" s="1"/>
  <c r="JF43" i="9"/>
  <c r="KS102" i="9"/>
  <c r="KT102" i="9" s="1"/>
  <c r="KV102" i="9"/>
  <c r="AB56" i="9"/>
  <c r="AA56" i="9"/>
  <c r="IO56" i="9"/>
  <c r="IP56" i="9" s="1"/>
  <c r="IQ56" i="9"/>
  <c r="IX85" i="9"/>
  <c r="IY85" i="9"/>
  <c r="IV85" i="9"/>
  <c r="IW85" i="9" s="1"/>
  <c r="IK85" i="9"/>
  <c r="IJ85" i="9"/>
  <c r="CT15" i="9"/>
  <c r="BJ6" i="9"/>
  <c r="BK6" i="9"/>
  <c r="D61" i="9"/>
  <c r="E61" i="9" s="1"/>
  <c r="F61" i="9"/>
  <c r="BV58" i="9"/>
  <c r="BW58" i="9" s="1"/>
  <c r="BX58" i="9"/>
  <c r="BY58" i="9"/>
  <c r="HW25" i="9"/>
  <c r="HT25" i="9"/>
  <c r="HU25" i="9" s="1"/>
  <c r="HV25" i="9"/>
  <c r="R32" i="9"/>
  <c r="S32" i="9" s="1"/>
  <c r="IK32" i="9"/>
  <c r="IJ32" i="9"/>
  <c r="CT40" i="9"/>
  <c r="CQ40" i="9"/>
  <c r="CR40" i="9" s="1"/>
  <c r="DS83" i="9"/>
  <c r="DT83" i="9" s="1"/>
  <c r="DU83" i="9"/>
  <c r="JZ51" i="9"/>
  <c r="KA51" i="9"/>
  <c r="JX51" i="9"/>
  <c r="JY51" i="9" s="1"/>
  <c r="JZ110" i="9"/>
  <c r="JX110" i="9"/>
  <c r="JY110" i="9" s="1"/>
  <c r="AB79" i="9"/>
  <c r="Y79" i="9"/>
  <c r="CF78" i="9"/>
  <c r="CC78" i="9"/>
  <c r="CD78" i="9" s="1"/>
  <c r="DA104" i="9"/>
  <c r="CZ104" i="9"/>
  <c r="FL48" i="9"/>
  <c r="FK48" i="9"/>
  <c r="GY108" i="9"/>
  <c r="GZ108" i="9" s="1"/>
  <c r="HA108" i="9"/>
  <c r="AT108" i="9"/>
  <c r="AU108" i="9" s="1"/>
  <c r="AW108" i="9"/>
  <c r="AV108" i="9"/>
  <c r="JE43" i="9"/>
  <c r="JC97" i="9"/>
  <c r="JD97" i="9" s="1"/>
  <c r="JF97" i="9"/>
  <c r="IR40" i="9"/>
  <c r="CM15" i="9"/>
  <c r="CL15" i="9"/>
  <c r="KH110" i="9"/>
  <c r="KG110" i="9"/>
  <c r="KE110" i="9"/>
  <c r="KF110" i="9" s="1"/>
  <c r="JS110" i="9"/>
  <c r="JQ110" i="9"/>
  <c r="JR110" i="9" s="1"/>
  <c r="FS79" i="9"/>
  <c r="JZ78" i="9"/>
  <c r="FZ59" i="9"/>
  <c r="HM104" i="9"/>
  <c r="HN104" i="9" s="1"/>
  <c r="HO104" i="9"/>
  <c r="HP104" i="9"/>
  <c r="JL104" i="9"/>
  <c r="JJ104" i="9"/>
  <c r="JK104" i="9" s="1"/>
  <c r="GN63" i="9"/>
  <c r="GM63" i="9"/>
  <c r="GD58" i="9"/>
  <c r="GE58" i="9" s="1"/>
  <c r="GF58" i="9"/>
  <c r="GG58" i="9"/>
  <c r="FE58" i="9"/>
  <c r="FB58" i="9"/>
  <c r="FC58" i="9" s="1"/>
  <c r="FD58" i="9"/>
  <c r="AM58" i="9"/>
  <c r="AN58" i="9" s="1"/>
  <c r="AO58" i="9"/>
  <c r="AP58" i="9"/>
  <c r="KA46" i="9"/>
  <c r="JX46" i="9"/>
  <c r="JY46" i="9" s="1"/>
  <c r="JZ46" i="9"/>
  <c r="BV5" i="9"/>
  <c r="BW5" i="9" s="1"/>
  <c r="AV96" i="9"/>
  <c r="AW96" i="9"/>
  <c r="AO69" i="9"/>
  <c r="AP69" i="9"/>
  <c r="AM69" i="9"/>
  <c r="AN69" i="9" s="1"/>
  <c r="BY82" i="9"/>
  <c r="FS23" i="9"/>
  <c r="FP23" i="9"/>
  <c r="FQ23" i="9" s="1"/>
  <c r="JJ23" i="9"/>
  <c r="JK23" i="9" s="1"/>
  <c r="JM23" i="9"/>
  <c r="K91" i="9"/>
  <c r="L91" i="9" s="1"/>
  <c r="M91" i="9"/>
  <c r="BR91" i="9"/>
  <c r="BO91" i="9"/>
  <c r="BP91" i="9" s="1"/>
  <c r="BQ91" i="9"/>
  <c r="IQ48" i="9"/>
  <c r="IR48" i="9"/>
  <c r="AP79" i="9"/>
  <c r="AM79" i="9"/>
  <c r="AN79" i="9" s="1"/>
  <c r="BC78" i="9"/>
  <c r="BA78" i="9"/>
  <c r="BB78" i="9" s="1"/>
  <c r="BD78" i="9"/>
  <c r="DS78" i="9"/>
  <c r="DT78" i="9" s="1"/>
  <c r="DV78" i="9"/>
  <c r="DU78" i="9"/>
  <c r="GU28" i="9"/>
  <c r="BX5" i="9"/>
  <c r="AI5" i="9"/>
  <c r="AH5" i="9"/>
  <c r="IK5" i="9"/>
  <c r="IJ5" i="9"/>
  <c r="IH5" i="9"/>
  <c r="II5" i="9" s="1"/>
  <c r="DO96" i="9"/>
  <c r="DL96" i="9"/>
  <c r="AO30" i="9"/>
  <c r="EU30" i="9"/>
  <c r="EV30" i="9" s="1"/>
  <c r="EW30" i="9"/>
  <c r="EU63" i="9"/>
  <c r="EX63" i="9"/>
  <c r="GY23" i="9"/>
  <c r="GZ23" i="9" s="1"/>
  <c r="HA23" i="9"/>
  <c r="CQ11" i="9"/>
  <c r="CR11" i="9" s="1"/>
  <c r="BV65" i="9"/>
  <c r="BW65" i="9" s="1"/>
  <c r="JF41" i="9"/>
  <c r="JC41" i="9"/>
  <c r="JD41" i="9" s="1"/>
  <c r="KE93" i="9"/>
  <c r="KF93" i="9" s="1"/>
  <c r="KG93" i="9"/>
  <c r="HW36" i="9"/>
  <c r="KH25" i="9"/>
  <c r="GK85" i="9"/>
  <c r="GL85" i="9" s="1"/>
  <c r="JC57" i="9"/>
  <c r="JD57" i="9" s="1"/>
  <c r="HB86" i="9"/>
  <c r="AO79" i="9"/>
  <c r="HV71" i="9"/>
  <c r="HF46" i="9"/>
  <c r="HG46" i="9" s="1"/>
  <c r="BD6" i="9"/>
  <c r="BC6" i="9"/>
  <c r="IX6" i="9"/>
  <c r="IY6" i="9"/>
  <c r="CT94" i="9"/>
  <c r="CS94" i="9"/>
  <c r="CQ94" i="9"/>
  <c r="CR94" i="9" s="1"/>
  <c r="CX77" i="9"/>
  <c r="CY77" i="9" s="1"/>
  <c r="GN28" i="9"/>
  <c r="JC30" i="9"/>
  <c r="JD30" i="9" s="1"/>
  <c r="AM16" i="9"/>
  <c r="AN16" i="9" s="1"/>
  <c r="AP16" i="9"/>
  <c r="JE9" i="9"/>
  <c r="JC9" i="9"/>
  <c r="JD9" i="9" s="1"/>
  <c r="HT61" i="9"/>
  <c r="HU61" i="9" s="1"/>
  <c r="DS61" i="9"/>
  <c r="DT61" i="9" s="1"/>
  <c r="BK105" i="9"/>
  <c r="BH105" i="9"/>
  <c r="BI105" i="9" s="1"/>
  <c r="EC105" i="9"/>
  <c r="EB105" i="9"/>
  <c r="DU63" i="9"/>
  <c r="DS63" i="9"/>
  <c r="DT63" i="9" s="1"/>
  <c r="CZ82" i="9"/>
  <c r="AH11" i="9"/>
  <c r="AI11" i="9"/>
  <c r="AF11" i="9"/>
  <c r="AG11" i="9" s="1"/>
  <c r="HM43" i="9"/>
  <c r="HN43" i="9" s="1"/>
  <c r="HP43" i="9"/>
  <c r="CT43" i="9"/>
  <c r="CS43" i="9"/>
  <c r="CQ43" i="9"/>
  <c r="CR43" i="9" s="1"/>
  <c r="HI43" i="9"/>
  <c r="HH43" i="9"/>
  <c r="DA93" i="9"/>
  <c r="CX93" i="9"/>
  <c r="CY93" i="9" s="1"/>
  <c r="HT71" i="9"/>
  <c r="HU71" i="9" s="1"/>
  <c r="KN6" i="9"/>
  <c r="KO6" i="9"/>
  <c r="GN95" i="9"/>
  <c r="GK95" i="9"/>
  <c r="KO107" i="9"/>
  <c r="KN107" i="9"/>
  <c r="AV5" i="9"/>
  <c r="EJ89" i="9"/>
  <c r="EG89" i="9"/>
  <c r="GR30" i="9"/>
  <c r="GS30" i="9" s="1"/>
  <c r="CT76" i="9"/>
  <c r="CQ76" i="9"/>
  <c r="CR76" i="9" s="1"/>
  <c r="CM106" i="9"/>
  <c r="CL106" i="9"/>
  <c r="CN106" i="9" s="1"/>
  <c r="HM82" i="9"/>
  <c r="HN82" i="9" s="1"/>
  <c r="HO82" i="9"/>
  <c r="HP82" i="9"/>
  <c r="BY11" i="9"/>
  <c r="BV11" i="9"/>
  <c r="BW11" i="9" s="1"/>
  <c r="IA11" i="9"/>
  <c r="IB11" i="9" s="1"/>
  <c r="IC11" i="9"/>
  <c r="ID11" i="9"/>
  <c r="N43" i="9"/>
  <c r="K43" i="9"/>
  <c r="L43" i="9" s="1"/>
  <c r="IO43" i="9"/>
  <c r="IP43" i="9" s="1"/>
  <c r="IQ43" i="9"/>
  <c r="EN93" i="9"/>
  <c r="EO93" i="9" s="1"/>
  <c r="EW13" i="9"/>
  <c r="BH86" i="9"/>
  <c r="GF59" i="9"/>
  <c r="DZ94" i="9"/>
  <c r="EA94" i="9" s="1"/>
  <c r="EB94" i="9"/>
  <c r="KS77" i="9"/>
  <c r="KT77" i="9" s="1"/>
  <c r="KV77" i="9"/>
  <c r="AW28" i="9"/>
  <c r="AV28" i="9"/>
  <c r="FS89" i="9"/>
  <c r="FP89" i="9"/>
  <c r="AO96" i="9"/>
  <c r="JE30" i="9"/>
  <c r="AV30" i="9"/>
  <c r="AW30" i="9"/>
  <c r="HT62" i="9"/>
  <c r="HU62" i="9" s="1"/>
  <c r="HV62" i="9"/>
  <c r="HF62" i="9"/>
  <c r="HG62" i="9" s="1"/>
  <c r="HH62" i="9"/>
  <c r="FB62" i="9"/>
  <c r="FC62" i="9" s="1"/>
  <c r="FD62" i="9"/>
  <c r="IV61" i="9"/>
  <c r="BJ29" i="9"/>
  <c r="BH29" i="9"/>
  <c r="BI29" i="9" s="1"/>
  <c r="AW29" i="9"/>
  <c r="AV29" i="9"/>
  <c r="AT29" i="9"/>
  <c r="AU29" i="9" s="1"/>
  <c r="M43" i="9"/>
  <c r="CX43" i="9"/>
  <c r="CY43" i="9" s="1"/>
  <c r="DA43" i="9"/>
  <c r="CZ43" i="9"/>
  <c r="JJ27" i="9"/>
  <c r="JK27" i="9" s="1"/>
  <c r="FZ3" i="9"/>
  <c r="GG110" i="9"/>
  <c r="EQ10" i="9"/>
  <c r="EP10" i="9"/>
  <c r="KH10" i="9"/>
  <c r="KE10" i="9"/>
  <c r="IC46" i="9"/>
  <c r="EG100" i="9"/>
  <c r="EH100" i="9" s="1"/>
  <c r="HH95" i="9"/>
  <c r="FY107" i="9"/>
  <c r="BH77" i="9"/>
  <c r="BI77" i="9" s="1"/>
  <c r="BK77" i="9"/>
  <c r="HV21" i="9"/>
  <c r="GM21" i="9"/>
  <c r="GK21" i="9"/>
  <c r="GL21" i="9" s="1"/>
  <c r="KH21" i="9"/>
  <c r="KG21" i="9"/>
  <c r="CQ89" i="9"/>
  <c r="CR89" i="9" s="1"/>
  <c r="CS89" i="9"/>
  <c r="GU89" i="9"/>
  <c r="GT89" i="9"/>
  <c r="HM89" i="9"/>
  <c r="HN89" i="9" s="1"/>
  <c r="HP89" i="9"/>
  <c r="HO89" i="9"/>
  <c r="EX30" i="9"/>
  <c r="AH16" i="9"/>
  <c r="AF16" i="9"/>
  <c r="AG16" i="9" s="1"/>
  <c r="AI16" i="9"/>
  <c r="U106" i="9"/>
  <c r="T106" i="9"/>
  <c r="JC106" i="9"/>
  <c r="JD106" i="9" s="1"/>
  <c r="JF106" i="9"/>
  <c r="N82" i="9"/>
  <c r="M82" i="9"/>
  <c r="GM23" i="9"/>
  <c r="BA93" i="9"/>
  <c r="BB93" i="9" s="1"/>
  <c r="BD93" i="9"/>
  <c r="BC93" i="9"/>
  <c r="JC93" i="9"/>
  <c r="JD93" i="9" s="1"/>
  <c r="JE93" i="9"/>
  <c r="JF93" i="9"/>
  <c r="DE46" i="9"/>
  <c r="DF46" i="9" s="1"/>
  <c r="DG46" i="9"/>
  <c r="AT20" i="9"/>
  <c r="AU20" i="9" s="1"/>
  <c r="AV20" i="9"/>
  <c r="FB26" i="9"/>
  <c r="FC26" i="9" s="1"/>
  <c r="IO28" i="9"/>
  <c r="IP28" i="9" s="1"/>
  <c r="IQ28" i="9"/>
  <c r="JZ5" i="9"/>
  <c r="HV96" i="9"/>
  <c r="GN16" i="9"/>
  <c r="GM16" i="9"/>
  <c r="GK16" i="9"/>
  <c r="GL16" i="9" s="1"/>
  <c r="EB76" i="9"/>
  <c r="EC76" i="9"/>
  <c r="AM62" i="9"/>
  <c r="AN62" i="9" s="1"/>
  <c r="CX17" i="9"/>
  <c r="CY17" i="9" s="1"/>
  <c r="CZ17" i="9"/>
  <c r="HW61" i="9"/>
  <c r="CT106" i="9"/>
  <c r="CQ106" i="9"/>
  <c r="CR106" i="9" s="1"/>
  <c r="CS106" i="9"/>
  <c r="BX63" i="9"/>
  <c r="T29" i="9"/>
  <c r="U29" i="9"/>
  <c r="EQ82" i="9"/>
  <c r="EN82" i="9"/>
  <c r="EO82" i="9" s="1"/>
  <c r="DO93" i="9"/>
  <c r="DL93" i="9"/>
  <c r="DM93" i="9" s="1"/>
  <c r="R93" i="9"/>
  <c r="S93" i="9" s="1"/>
  <c r="U93" i="9"/>
  <c r="GM85" i="9"/>
  <c r="BC83" i="9"/>
  <c r="JZ86" i="9"/>
  <c r="G46" i="9"/>
  <c r="F46" i="9"/>
  <c r="DA59" i="9"/>
  <c r="CX59" i="9"/>
  <c r="CY59" i="9" s="1"/>
  <c r="CZ59" i="9"/>
  <c r="AM20" i="9"/>
  <c r="AN20" i="9" s="1"/>
  <c r="FB104" i="9"/>
  <c r="FC104" i="9" s="1"/>
  <c r="AB104" i="9"/>
  <c r="Y104" i="9"/>
  <c r="Z104" i="9" s="1"/>
  <c r="AA104" i="9"/>
  <c r="JQ26" i="9"/>
  <c r="JR26" i="9" s="1"/>
  <c r="JS26" i="9"/>
  <c r="HP26" i="9"/>
  <c r="HO26" i="9"/>
  <c r="HT21" i="9"/>
  <c r="HU21" i="9" s="1"/>
  <c r="AF5" i="9"/>
  <c r="AG5" i="9" s="1"/>
  <c r="AP96" i="9"/>
  <c r="DZ76" i="9"/>
  <c r="EA76" i="9" s="1"/>
  <c r="BO80" i="9"/>
  <c r="BP80" i="9" s="1"/>
  <c r="JQ29" i="9"/>
  <c r="JR29" i="9" s="1"/>
  <c r="DO29" i="9"/>
  <c r="DN29" i="9"/>
  <c r="JT82" i="9"/>
  <c r="JS82" i="9"/>
  <c r="EU82" i="9"/>
  <c r="EV82" i="9" s="1"/>
  <c r="EW82" i="9"/>
  <c r="U31" i="9"/>
  <c r="R31" i="9"/>
  <c r="S31" i="9" s="1"/>
  <c r="DH65" i="9"/>
  <c r="DE65" i="9"/>
  <c r="DF65" i="9" s="1"/>
  <c r="IY100" i="9"/>
  <c r="IX100" i="9"/>
  <c r="IV100" i="9"/>
  <c r="IW100" i="9" s="1"/>
  <c r="GF100" i="9"/>
  <c r="GD100" i="9"/>
  <c r="GE100" i="9" s="1"/>
  <c r="AW21" i="9"/>
  <c r="AT21" i="9"/>
  <c r="AU21" i="9" s="1"/>
  <c r="AV62" i="9"/>
  <c r="AW62" i="9"/>
  <c r="AT62" i="9"/>
  <c r="AU62" i="9" s="1"/>
  <c r="JE17" i="9"/>
  <c r="JC17" i="9"/>
  <c r="JD17" i="9" s="1"/>
  <c r="KA61" i="9"/>
  <c r="BV80" i="9"/>
  <c r="BW80" i="9" s="1"/>
  <c r="BY80" i="9"/>
  <c r="AO82" i="9"/>
  <c r="AM82" i="9"/>
  <c r="AN82" i="9" s="1"/>
  <c r="DO82" i="9"/>
  <c r="DN82" i="9"/>
  <c r="DL82" i="9"/>
  <c r="DM82" i="9" s="1"/>
  <c r="FR23" i="9"/>
  <c r="GN31" i="9"/>
  <c r="DN93" i="9"/>
  <c r="JF100" i="9"/>
  <c r="FE100" i="9"/>
  <c r="FB100" i="9"/>
  <c r="FC100" i="9" s="1"/>
  <c r="GK100" i="9"/>
  <c r="GL100" i="9" s="1"/>
  <c r="GM100" i="9"/>
  <c r="GN100" i="9"/>
  <c r="AB95" i="9"/>
  <c r="KL89" i="9"/>
  <c r="KM89" i="9" s="1"/>
  <c r="EJ96" i="9"/>
  <c r="EG96" i="9"/>
  <c r="EH96" i="9" s="1"/>
  <c r="EI96" i="9"/>
  <c r="KO96" i="9"/>
  <c r="KN96" i="9"/>
  <c r="DZ17" i="9"/>
  <c r="EC17" i="9"/>
  <c r="IY61" i="9"/>
  <c r="DN69" i="9"/>
  <c r="CJ69" i="9"/>
  <c r="CK69" i="9" s="1"/>
  <c r="CL69" i="9"/>
  <c r="AW69" i="9"/>
  <c r="AT69" i="9"/>
  <c r="CJ65" i="9"/>
  <c r="CK65" i="9" s="1"/>
  <c r="CM65" i="9"/>
  <c r="AI65" i="9"/>
  <c r="AH65" i="9"/>
  <c r="AF65" i="9"/>
  <c r="AG65" i="9" s="1"/>
  <c r="CS93" i="9"/>
  <c r="GK71" i="9"/>
  <c r="GL71" i="9" s="1"/>
  <c r="GN71" i="9"/>
  <c r="GM71" i="9"/>
  <c r="CZ100" i="9"/>
  <c r="CE26" i="9"/>
  <c r="CF26" i="9"/>
  <c r="FK28" i="9"/>
  <c r="FI28" i="9"/>
  <c r="FJ28" i="9" s="1"/>
  <c r="KE96" i="9"/>
  <c r="KF96" i="9" s="1"/>
  <c r="ID9" i="9"/>
  <c r="IC9" i="9"/>
  <c r="IA9" i="9"/>
  <c r="IB9" i="9" s="1"/>
  <c r="HO9" i="9"/>
  <c r="HP9" i="9"/>
  <c r="KU31" i="9"/>
  <c r="KV31" i="9"/>
  <c r="GM48" i="9"/>
  <c r="GU95" i="9"/>
  <c r="GT95" i="9"/>
  <c r="GR95" i="9"/>
  <c r="GS95" i="9" s="1"/>
  <c r="EP26" i="9"/>
  <c r="EQ26" i="9"/>
  <c r="GM30" i="9"/>
  <c r="GK30" i="9"/>
  <c r="GL30" i="9" s="1"/>
  <c r="HH16" i="9"/>
  <c r="HF16" i="9"/>
  <c r="HG16" i="9" s="1"/>
  <c r="BA16" i="9"/>
  <c r="BB16" i="9" s="1"/>
  <c r="BD16" i="9"/>
  <c r="IR62" i="9"/>
  <c r="IQ62" i="9"/>
  <c r="DS62" i="9"/>
  <c r="DT62" i="9" s="1"/>
  <c r="JT90" i="9"/>
  <c r="JS90" i="9"/>
  <c r="AV90" i="9"/>
  <c r="AT90" i="9"/>
  <c r="AU90" i="9" s="1"/>
  <c r="EX93" i="9"/>
  <c r="DS3" i="9"/>
  <c r="DT3" i="9" s="1"/>
  <c r="BR13" i="9"/>
  <c r="JE14" i="9"/>
  <c r="FY37" i="9"/>
  <c r="KA86" i="9"/>
  <c r="GM44" i="9"/>
  <c r="GD59" i="9"/>
  <c r="GE59" i="9" s="1"/>
  <c r="GG20" i="9"/>
  <c r="IJ77" i="9"/>
  <c r="FP26" i="9"/>
  <c r="KN89" i="9"/>
  <c r="EG30" i="9"/>
  <c r="EH30" i="9" s="1"/>
  <c r="EI30" i="9"/>
  <c r="JL16" i="9"/>
  <c r="KN62" i="9"/>
  <c r="KO62" i="9"/>
  <c r="K17" i="9"/>
  <c r="L17" i="9" s="1"/>
  <c r="M17" i="9"/>
  <c r="BJ105" i="9"/>
  <c r="KE29" i="9"/>
  <c r="KF29" i="9" s="1"/>
  <c r="F82" i="9"/>
  <c r="CL65" i="9"/>
  <c r="JC34" i="9"/>
  <c r="JD34" i="9" s="1"/>
  <c r="JF34" i="9"/>
  <c r="JE34" i="9"/>
  <c r="D34" i="9"/>
  <c r="E34" i="9" s="1"/>
  <c r="G34" i="9"/>
  <c r="F34" i="9"/>
  <c r="FW91" i="9"/>
  <c r="FX91" i="9" s="1"/>
  <c r="FZ91" i="9"/>
  <c r="T91" i="9"/>
  <c r="R91" i="9"/>
  <c r="S91" i="9" s="1"/>
  <c r="BD74" i="9"/>
  <c r="FP91" i="9"/>
  <c r="KU43" i="9"/>
  <c r="FY95" i="9"/>
  <c r="DA30" i="9"/>
  <c r="DH105" i="9"/>
  <c r="FY29" i="9"/>
  <c r="EW91" i="9"/>
  <c r="FR53" i="9"/>
  <c r="KV108" i="9"/>
  <c r="IC43" i="9"/>
  <c r="JZ93" i="9"/>
  <c r="GY107" i="9"/>
  <c r="GZ107" i="9" s="1"/>
  <c r="EG104" i="9"/>
  <c r="EH104" i="9" s="1"/>
  <c r="BR75" i="9"/>
  <c r="JZ96" i="9"/>
  <c r="HO96" i="9"/>
  <c r="BK63" i="9"/>
  <c r="GU80" i="9"/>
  <c r="GR31" i="9"/>
  <c r="GS31" i="9" s="1"/>
  <c r="EQ71" i="9"/>
  <c r="FK100" i="9"/>
  <c r="KN95" i="9"/>
  <c r="EJ104" i="9"/>
  <c r="EN75" i="9"/>
  <c r="EO75" i="9" s="1"/>
  <c r="HH21" i="9"/>
  <c r="HV89" i="9"/>
  <c r="EQ30" i="9"/>
  <c r="HI69" i="9"/>
  <c r="AH106" i="9"/>
  <c r="CM90" i="9"/>
  <c r="BC90" i="9"/>
  <c r="BR63" i="9"/>
  <c r="AF74" i="9"/>
  <c r="AG74" i="9" s="1"/>
  <c r="FY69" i="9"/>
  <c r="DV90" i="9"/>
  <c r="JL66" i="9"/>
  <c r="HM34" i="9"/>
  <c r="HN34" i="9" s="1"/>
  <c r="DZ108" i="9"/>
  <c r="EA108" i="9" s="1"/>
  <c r="JX93" i="9"/>
  <c r="JY93" i="9" s="1"/>
  <c r="M107" i="9"/>
  <c r="GG75" i="9"/>
  <c r="GD77" i="9"/>
  <c r="GT80" i="9"/>
  <c r="JM80" i="9"/>
  <c r="AB74" i="9"/>
  <c r="EG29" i="9"/>
  <c r="EH29" i="9" s="1"/>
  <c r="EB23" i="9"/>
  <c r="DH66" i="9"/>
  <c r="FL31" i="9"/>
  <c r="AV53" i="9"/>
  <c r="EP108" i="9"/>
  <c r="FL108" i="9"/>
  <c r="IX43" i="9"/>
  <c r="GF43" i="9"/>
  <c r="HO41" i="9"/>
  <c r="IO41" i="9"/>
  <c r="IP41" i="9" s="1"/>
  <c r="BJ93" i="9"/>
  <c r="BC21" i="9"/>
  <c r="AI106" i="9"/>
  <c r="GY63" i="9"/>
  <c r="GZ63" i="9" s="1"/>
  <c r="CT74" i="9"/>
  <c r="IC66" i="9"/>
  <c r="FB11" i="9"/>
  <c r="FC11" i="9" s="1"/>
  <c r="GF65" i="9"/>
  <c r="T34" i="9"/>
  <c r="DZ91" i="9"/>
  <c r="EA91" i="9" s="1"/>
  <c r="JS48" i="9"/>
  <c r="FK108" i="9"/>
  <c r="BQ43" i="9"/>
  <c r="HF41" i="9"/>
  <c r="HG41" i="9" s="1"/>
  <c r="BZ112" i="9"/>
  <c r="IS112" i="9"/>
  <c r="EN53" i="9"/>
  <c r="FF112" i="9"/>
  <c r="CL80" i="9"/>
  <c r="D74" i="9"/>
  <c r="ID66" i="9"/>
  <c r="EX91" i="9"/>
  <c r="DU48" i="9"/>
  <c r="EB82" i="9"/>
  <c r="JC23" i="9"/>
  <c r="JD23" i="9" s="1"/>
  <c r="BO31" i="9"/>
  <c r="BP31" i="9" s="1"/>
  <c r="FB91" i="9"/>
  <c r="EQ53" i="9"/>
  <c r="FY78" i="9"/>
  <c r="GG95" i="9"/>
  <c r="BQ21" i="9"/>
  <c r="FE76" i="9"/>
  <c r="AI61" i="9"/>
  <c r="HV69" i="9"/>
  <c r="JZ90" i="9"/>
  <c r="HT80" i="9"/>
  <c r="HU80" i="9" s="1"/>
  <c r="G74" i="9"/>
  <c r="HF29" i="9"/>
  <c r="HG29" i="9" s="1"/>
  <c r="KV82" i="9"/>
  <c r="CE31" i="9"/>
  <c r="HH11" i="9"/>
  <c r="AW11" i="9"/>
  <c r="GG65" i="9"/>
  <c r="D91" i="9"/>
  <c r="E91" i="9" s="1"/>
  <c r="IY35" i="9"/>
  <c r="IX35" i="9"/>
  <c r="M78" i="9"/>
  <c r="K78" i="9"/>
  <c r="L78" i="9" s="1"/>
  <c r="N78" i="9"/>
  <c r="FB94" i="9"/>
  <c r="FC94" i="9" s="1"/>
  <c r="FE94" i="9"/>
  <c r="FD94" i="9"/>
  <c r="IH19" i="9"/>
  <c r="II19" i="9" s="1"/>
  <c r="IJ19" i="9"/>
  <c r="IK19" i="9"/>
  <c r="FS100" i="9"/>
  <c r="FR100" i="9"/>
  <c r="EX109" i="9"/>
  <c r="IK38" i="9"/>
  <c r="IJ38" i="9"/>
  <c r="IH38" i="9"/>
  <c r="II38" i="9" s="1"/>
  <c r="FS98" i="9"/>
  <c r="FP98" i="9"/>
  <c r="FQ98" i="9" s="1"/>
  <c r="GK49" i="9"/>
  <c r="GL49" i="9" s="1"/>
  <c r="GN49" i="9"/>
  <c r="AF24" i="9"/>
  <c r="AG24" i="9" s="1"/>
  <c r="AH24" i="9"/>
  <c r="AI24" i="9"/>
  <c r="Y19" i="9"/>
  <c r="Z19" i="9" s="1"/>
  <c r="AA19" i="9"/>
  <c r="FZ57" i="9"/>
  <c r="FY57" i="9"/>
  <c r="FW57" i="9"/>
  <c r="FX57" i="9" s="1"/>
  <c r="AT110" i="9"/>
  <c r="AU110" i="9" s="1"/>
  <c r="AV110" i="9"/>
  <c r="AM46" i="9"/>
  <c r="AN46" i="9" s="1"/>
  <c r="AO46" i="9"/>
  <c r="AP46" i="9"/>
  <c r="N61" i="9"/>
  <c r="K61" i="9"/>
  <c r="L61" i="9" s="1"/>
  <c r="M61" i="9"/>
  <c r="GU87" i="9"/>
  <c r="GR87" i="9"/>
  <c r="GS87" i="9" s="1"/>
  <c r="FB18" i="9"/>
  <c r="FC18" i="9" s="1"/>
  <c r="FD18" i="9"/>
  <c r="KV101" i="9"/>
  <c r="KS101" i="9"/>
  <c r="KT101" i="9" s="1"/>
  <c r="EU86" i="9"/>
  <c r="EV86" i="9" s="1"/>
  <c r="EX86" i="9"/>
  <c r="CJ61" i="9"/>
  <c r="CK61" i="9" s="1"/>
  <c r="CM61" i="9"/>
  <c r="CL61" i="9"/>
  <c r="HT15" i="9"/>
  <c r="HW15" i="9"/>
  <c r="T82" i="9"/>
  <c r="R82" i="9"/>
  <c r="S82" i="9" s="1"/>
  <c r="U82" i="9"/>
  <c r="U65" i="9"/>
  <c r="R65" i="9"/>
  <c r="S65" i="9" s="1"/>
  <c r="T65" i="9"/>
  <c r="IV42" i="9"/>
  <c r="IW42" i="9" s="1"/>
  <c r="IX42" i="9"/>
  <c r="IY42" i="9"/>
  <c r="BY3" i="9"/>
  <c r="BV3" i="9"/>
  <c r="BW3" i="9" s="1"/>
  <c r="EQ68" i="9"/>
  <c r="EN68" i="9"/>
  <c r="EO68" i="9" s="1"/>
  <c r="HT75" i="9"/>
  <c r="HU75" i="9" s="1"/>
  <c r="HW75" i="9"/>
  <c r="HV75" i="9"/>
  <c r="FW93" i="9"/>
  <c r="FX93" i="9" s="1"/>
  <c r="FZ93" i="9"/>
  <c r="GF98" i="9"/>
  <c r="IC98" i="9"/>
  <c r="IA98" i="9"/>
  <c r="IB98" i="9" s="1"/>
  <c r="FL47" i="9"/>
  <c r="FI47" i="9"/>
  <c r="FJ47" i="9" s="1"/>
  <c r="ID49" i="9"/>
  <c r="CX49" i="9"/>
  <c r="CY49" i="9" s="1"/>
  <c r="DA49" i="9"/>
  <c r="KU101" i="9"/>
  <c r="DH84" i="9"/>
  <c r="FS64" i="9"/>
  <c r="BJ87" i="9"/>
  <c r="EN60" i="9"/>
  <c r="EO60" i="9" s="1"/>
  <c r="BH60" i="9"/>
  <c r="BI60" i="9" s="1"/>
  <c r="BK60" i="9"/>
  <c r="HW92" i="9"/>
  <c r="JJ92" i="9"/>
  <c r="GU92" i="9"/>
  <c r="GR92" i="9"/>
  <c r="GS92" i="9" s="1"/>
  <c r="JT103" i="9"/>
  <c r="IX24" i="9"/>
  <c r="DH24" i="9"/>
  <c r="DG24" i="9"/>
  <c r="EW24" i="9"/>
  <c r="EX24" i="9"/>
  <c r="CS45" i="9"/>
  <c r="DL45" i="9"/>
  <c r="DM45" i="9" s="1"/>
  <c r="DO45" i="9"/>
  <c r="BR72" i="9"/>
  <c r="BO72" i="9"/>
  <c r="BP72" i="9" s="1"/>
  <c r="IO7" i="9"/>
  <c r="IP7" i="9" s="1"/>
  <c r="IQ7" i="9"/>
  <c r="IR7" i="9"/>
  <c r="FR22" i="9"/>
  <c r="CE56" i="9"/>
  <c r="AA42" i="9"/>
  <c r="Y42" i="9"/>
  <c r="Z42" i="9" s="1"/>
  <c r="EQ42" i="9"/>
  <c r="EP42" i="9"/>
  <c r="GN55" i="9"/>
  <c r="GK55" i="9"/>
  <c r="GF55" i="9"/>
  <c r="GG55" i="9"/>
  <c r="G55" i="9"/>
  <c r="F55" i="9"/>
  <c r="FW97" i="9"/>
  <c r="FX97" i="9" s="1"/>
  <c r="FY97" i="9"/>
  <c r="FZ97" i="9"/>
  <c r="IV40" i="9"/>
  <c r="IW40" i="9" s="1"/>
  <c r="BX68" i="9"/>
  <c r="BV68" i="9"/>
  <c r="BW68" i="9" s="1"/>
  <c r="BA15" i="9"/>
  <c r="BB15" i="9" s="1"/>
  <c r="BC15" i="9"/>
  <c r="EW86" i="9"/>
  <c r="EN79" i="9"/>
  <c r="EO79" i="9" s="1"/>
  <c r="EP79" i="9"/>
  <c r="EQ79" i="9"/>
  <c r="EG19" i="9"/>
  <c r="CL104" i="9"/>
  <c r="CM104" i="9"/>
  <c r="HH64" i="9"/>
  <c r="HI64" i="9"/>
  <c r="CQ12" i="9"/>
  <c r="CR12" i="9" s="1"/>
  <c r="CS12" i="9"/>
  <c r="FP38" i="9"/>
  <c r="FQ38" i="9" s="1"/>
  <c r="FS38" i="9"/>
  <c r="CJ23" i="9"/>
  <c r="CK23" i="9" s="1"/>
  <c r="CM23" i="9"/>
  <c r="CL23" i="9"/>
  <c r="R52" i="9"/>
  <c r="S52" i="9" s="1"/>
  <c r="DE47" i="9"/>
  <c r="DF47" i="9" s="1"/>
  <c r="CC24" i="9"/>
  <c r="CD24" i="9" s="1"/>
  <c r="CF24" i="9"/>
  <c r="DA102" i="9"/>
  <c r="CZ102" i="9"/>
  <c r="KS56" i="9"/>
  <c r="KT56" i="9" s="1"/>
  <c r="KU56" i="9"/>
  <c r="IV49" i="9"/>
  <c r="IW49" i="9" s="1"/>
  <c r="IX49" i="9"/>
  <c r="JC38" i="9"/>
  <c r="JD38" i="9" s="1"/>
  <c r="JF38" i="9"/>
  <c r="JE38" i="9"/>
  <c r="FR20" i="9"/>
  <c r="HF61" i="9"/>
  <c r="HG61" i="9" s="1"/>
  <c r="HH61" i="9"/>
  <c r="AH50" i="9"/>
  <c r="AF50" i="9"/>
  <c r="AG50" i="9" s="1"/>
  <c r="JM102" i="9"/>
  <c r="JJ102" i="9"/>
  <c r="JK102" i="9" s="1"/>
  <c r="HH56" i="9"/>
  <c r="HI56" i="9"/>
  <c r="HF56" i="9"/>
  <c r="HG56" i="9" s="1"/>
  <c r="DN97" i="9"/>
  <c r="DL97" i="9"/>
  <c r="DM97" i="9" s="1"/>
  <c r="DO97" i="9"/>
  <c r="DL70" i="9"/>
  <c r="DM70" i="9" s="1"/>
  <c r="DO70" i="9"/>
  <c r="DN70" i="9"/>
  <c r="HW24" i="9"/>
  <c r="HP45" i="9"/>
  <c r="HO45" i="9"/>
  <c r="HI40" i="9"/>
  <c r="HH40" i="9"/>
  <c r="HF40" i="9"/>
  <c r="HG40" i="9" s="1"/>
  <c r="DZ111" i="9"/>
  <c r="EA111" i="9" s="1"/>
  <c r="FI12" i="9"/>
  <c r="FJ12" i="9" s="1"/>
  <c r="BR101" i="9"/>
  <c r="EG45" i="9"/>
  <c r="EJ45" i="9"/>
  <c r="GU102" i="9"/>
  <c r="GR102" i="9"/>
  <c r="GS102" i="9" s="1"/>
  <c r="CL56" i="9"/>
  <c r="GR51" i="9"/>
  <c r="GS51" i="9" s="1"/>
  <c r="GU51" i="9"/>
  <c r="AB16" i="9"/>
  <c r="Y16" i="9"/>
  <c r="Z16" i="9" s="1"/>
  <c r="AA16" i="9"/>
  <c r="M45" i="9"/>
  <c r="U45" i="9"/>
  <c r="R45" i="9"/>
  <c r="S45" i="9" s="1"/>
  <c r="T45" i="9"/>
  <c r="HT72" i="9"/>
  <c r="HU72" i="9" s="1"/>
  <c r="U109" i="9"/>
  <c r="HB98" i="9"/>
  <c r="JF98" i="9"/>
  <c r="JC98" i="9"/>
  <c r="DO8" i="9"/>
  <c r="DN8" i="9"/>
  <c r="F18" i="9"/>
  <c r="DG47" i="9"/>
  <c r="HM49" i="9"/>
  <c r="JL101" i="9"/>
  <c r="GT87" i="9"/>
  <c r="DZ60" i="9"/>
  <c r="EA60" i="9" s="1"/>
  <c r="EB60" i="9"/>
  <c r="Y111" i="9"/>
  <c r="Z111" i="9" s="1"/>
  <c r="DL103" i="9"/>
  <c r="HI72" i="9"/>
  <c r="CQ72" i="9"/>
  <c r="CR72" i="9" s="1"/>
  <c r="CS72" i="9"/>
  <c r="BD39" i="9"/>
  <c r="BC39" i="9"/>
  <c r="BA39" i="9"/>
  <c r="BB39" i="9" s="1"/>
  <c r="EJ102" i="9"/>
  <c r="HW102" i="9"/>
  <c r="BA67" i="9"/>
  <c r="BD67" i="9"/>
  <c r="N42" i="9"/>
  <c r="M42" i="9"/>
  <c r="CQ42" i="9"/>
  <c r="CR42" i="9" s="1"/>
  <c r="CT42" i="9"/>
  <c r="GT81" i="9"/>
  <c r="GR81" i="9"/>
  <c r="GS81" i="9" s="1"/>
  <c r="FE55" i="9"/>
  <c r="FB55" i="9"/>
  <c r="FC55" i="9" s="1"/>
  <c r="KU55" i="9"/>
  <c r="KV55" i="9"/>
  <c r="KS55" i="9"/>
  <c r="KT55" i="9" s="1"/>
  <c r="IH55" i="9"/>
  <c r="II55" i="9" s="1"/>
  <c r="IK55" i="9"/>
  <c r="IJ55" i="9"/>
  <c r="FR38" i="9"/>
  <c r="KH85" i="9"/>
  <c r="KG85" i="9"/>
  <c r="KE85" i="9"/>
  <c r="KF85" i="9" s="1"/>
  <c r="IA14" i="9"/>
  <c r="IB14" i="9" s="1"/>
  <c r="ID14" i="9"/>
  <c r="IC14" i="9"/>
  <c r="JZ33" i="9"/>
  <c r="KA33" i="9"/>
  <c r="EU40" i="9"/>
  <c r="EV40" i="9" s="1"/>
  <c r="EW40" i="9"/>
  <c r="DZ40" i="9"/>
  <c r="EA40" i="9" s="1"/>
  <c r="EC40" i="9"/>
  <c r="JQ68" i="9"/>
  <c r="CT79" i="9"/>
  <c r="CS79" i="9"/>
  <c r="CQ79" i="9"/>
  <c r="CR79" i="9" s="1"/>
  <c r="DG79" i="9"/>
  <c r="DH79" i="9"/>
  <c r="DV79" i="9"/>
  <c r="DU79" i="9"/>
  <c r="AB19" i="9"/>
  <c r="KU78" i="9"/>
  <c r="KS78" i="9"/>
  <c r="KT78" i="9" s="1"/>
  <c r="KV78" i="9"/>
  <c r="CQ19" i="9"/>
  <c r="CR19" i="9" s="1"/>
  <c r="CS19" i="9"/>
  <c r="CT19" i="9"/>
  <c r="CF98" i="9"/>
  <c r="CC98" i="9"/>
  <c r="CD98" i="9" s="1"/>
  <c r="AW25" i="9"/>
  <c r="AT25" i="9"/>
  <c r="AU25" i="9" s="1"/>
  <c r="FB19" i="9"/>
  <c r="FC19" i="9" s="1"/>
  <c r="FE19" i="9"/>
  <c r="FD19" i="9"/>
  <c r="HW100" i="9"/>
  <c r="HT100" i="9"/>
  <c r="HU100" i="9" s="1"/>
  <c r="FW50" i="9"/>
  <c r="FX50" i="9" s="1"/>
  <c r="FY50" i="9"/>
  <c r="GM24" i="9"/>
  <c r="IY27" i="9"/>
  <c r="IX27" i="9"/>
  <c r="KA20" i="9"/>
  <c r="JX20" i="9"/>
  <c r="JY20" i="9" s="1"/>
  <c r="JZ20" i="9"/>
  <c r="CE3" i="9"/>
  <c r="CF3" i="9"/>
  <c r="BK38" i="9"/>
  <c r="BJ38" i="9"/>
  <c r="BH38" i="9"/>
  <c r="BI38" i="9" s="1"/>
  <c r="DE18" i="9"/>
  <c r="DF18" i="9" s="1"/>
  <c r="FY84" i="9"/>
  <c r="FZ84" i="9"/>
  <c r="BC72" i="9"/>
  <c r="BD72" i="9"/>
  <c r="HV102" i="9"/>
  <c r="K22" i="9"/>
  <c r="L22" i="9" s="1"/>
  <c r="M22" i="9"/>
  <c r="FR3" i="9"/>
  <c r="FS3" i="9"/>
  <c r="HP38" i="9"/>
  <c r="JT61" i="9"/>
  <c r="JQ61" i="9"/>
  <c r="JR61" i="9" s="1"/>
  <c r="JS61" i="9"/>
  <c r="AP27" i="9"/>
  <c r="AM27" i="9"/>
  <c r="AN27" i="9" s="1"/>
  <c r="JM92" i="9"/>
  <c r="HF109" i="9"/>
  <c r="AO18" i="9"/>
  <c r="BD47" i="9"/>
  <c r="JC49" i="9"/>
  <c r="JD49" i="9" s="1"/>
  <c r="JF49" i="9"/>
  <c r="HT92" i="9"/>
  <c r="AP103" i="9"/>
  <c r="AM103" i="9"/>
  <c r="AN103" i="9" s="1"/>
  <c r="AO103" i="9"/>
  <c r="IO42" i="9"/>
  <c r="IP42" i="9" s="1"/>
  <c r="IQ42" i="9"/>
  <c r="IV3" i="9"/>
  <c r="IW3" i="9" s="1"/>
  <c r="IY3" i="9"/>
  <c r="GT51" i="9"/>
  <c r="EJ19" i="9"/>
  <c r="IQ75" i="9"/>
  <c r="IR75" i="9"/>
  <c r="IO75" i="9"/>
  <c r="IP75" i="9" s="1"/>
  <c r="CJ75" i="9"/>
  <c r="CK75" i="9" s="1"/>
  <c r="JC99" i="9"/>
  <c r="JD99" i="9" s="1"/>
  <c r="HI99" i="9"/>
  <c r="HH99" i="9"/>
  <c r="IX109" i="9"/>
  <c r="GF99" i="9"/>
  <c r="HA99" i="9"/>
  <c r="GY99" i="9"/>
  <c r="GZ99" i="9" s="1"/>
  <c r="K109" i="9"/>
  <c r="HT99" i="9"/>
  <c r="HU99" i="9" s="1"/>
  <c r="GN99" i="9"/>
  <c r="GK99" i="9"/>
  <c r="F52" i="9"/>
  <c r="DS52" i="9"/>
  <c r="DT52" i="9" s="1"/>
  <c r="DU52" i="9"/>
  <c r="KS109" i="9"/>
  <c r="KT109" i="9" s="1"/>
  <c r="FR98" i="9"/>
  <c r="DH98" i="9"/>
  <c r="AP98" i="9"/>
  <c r="JZ18" i="9"/>
  <c r="BA47" i="9"/>
  <c r="KG47" i="9"/>
  <c r="KH47" i="9"/>
  <c r="BH101" i="9"/>
  <c r="BI101" i="9" s="1"/>
  <c r="FI84" i="9"/>
  <c r="FJ84" i="9" s="1"/>
  <c r="FK84" i="9"/>
  <c r="EP60" i="9"/>
  <c r="AO70" i="9"/>
  <c r="JF70" i="9"/>
  <c r="DG111" i="9"/>
  <c r="IV92" i="9"/>
  <c r="IW92" i="9" s="1"/>
  <c r="EJ35" i="9"/>
  <c r="EI24" i="9"/>
  <c r="IO39" i="9"/>
  <c r="IP39" i="9" s="1"/>
  <c r="IR39" i="9"/>
  <c r="JJ7" i="9"/>
  <c r="JK7" i="9" s="1"/>
  <c r="GF73" i="9"/>
  <c r="KS67" i="9"/>
  <c r="KT67" i="9" s="1"/>
  <c r="KV67" i="9"/>
  <c r="EB67" i="9"/>
  <c r="EC67" i="9"/>
  <c r="DZ67" i="9"/>
  <c r="EA67" i="9" s="1"/>
  <c r="KV56" i="9"/>
  <c r="KL88" i="9"/>
  <c r="KM88" i="9" s="1"/>
  <c r="KN88" i="9"/>
  <c r="AT88" i="9"/>
  <c r="AU88" i="9" s="1"/>
  <c r="AW88" i="9"/>
  <c r="AV88" i="9"/>
  <c r="KH42" i="9"/>
  <c r="KE42" i="9"/>
  <c r="KF42" i="9" s="1"/>
  <c r="KG42" i="9"/>
  <c r="EN81" i="9"/>
  <c r="EO81" i="9" s="1"/>
  <c r="AH81" i="9"/>
  <c r="AI81" i="9"/>
  <c r="AF81" i="9"/>
  <c r="AG81" i="9" s="1"/>
  <c r="GY36" i="9"/>
  <c r="HB36" i="9"/>
  <c r="BK36" i="9"/>
  <c r="BH36" i="9"/>
  <c r="BI36" i="9" s="1"/>
  <c r="BJ36" i="9"/>
  <c r="JS55" i="9"/>
  <c r="JQ55" i="9"/>
  <c r="JR55" i="9" s="1"/>
  <c r="R55" i="9"/>
  <c r="S55" i="9" s="1"/>
  <c r="T55" i="9"/>
  <c r="U55" i="9"/>
  <c r="JQ85" i="9"/>
  <c r="JR85" i="9" s="1"/>
  <c r="JS85" i="9"/>
  <c r="JT85" i="9"/>
  <c r="CJ51" i="9"/>
  <c r="CK51" i="9" s="1"/>
  <c r="CM51" i="9"/>
  <c r="AH54" i="9"/>
  <c r="IK58" i="9"/>
  <c r="IH58" i="9"/>
  <c r="II58" i="9" s="1"/>
  <c r="AH58" i="9"/>
  <c r="AI58" i="9"/>
  <c r="AF58" i="9"/>
  <c r="AG58" i="9" s="1"/>
  <c r="DS111" i="9"/>
  <c r="DT111" i="9" s="1"/>
  <c r="DU111" i="9"/>
  <c r="T67" i="9"/>
  <c r="U67" i="9"/>
  <c r="JF88" i="9"/>
  <c r="JC88" i="9"/>
  <c r="JD88" i="9" s="1"/>
  <c r="IC12" i="9"/>
  <c r="ID12" i="9"/>
  <c r="HB27" i="9"/>
  <c r="GY27" i="9"/>
  <c r="GZ27" i="9" s="1"/>
  <c r="BH102" i="9"/>
  <c r="BI102" i="9" s="1"/>
  <c r="BJ102" i="9"/>
  <c r="FB25" i="9"/>
  <c r="FC25" i="9" s="1"/>
  <c r="FD25" i="9"/>
  <c r="FE25" i="9"/>
  <c r="N19" i="9"/>
  <c r="M19" i="9"/>
  <c r="K19" i="9"/>
  <c r="L19" i="9" s="1"/>
  <c r="AT47" i="9"/>
  <c r="AU47" i="9" s="1"/>
  <c r="BQ101" i="9"/>
  <c r="FD109" i="9"/>
  <c r="FE109" i="9"/>
  <c r="GN24" i="9"/>
  <c r="EB102" i="9"/>
  <c r="EC102" i="9"/>
  <c r="DZ102" i="9"/>
  <c r="EA102" i="9" s="1"/>
  <c r="ID67" i="9"/>
  <c r="IA67" i="9"/>
  <c r="IB67" i="9" s="1"/>
  <c r="IC67" i="9"/>
  <c r="IK48" i="9"/>
  <c r="IH48" i="9"/>
  <c r="II48" i="9" s="1"/>
  <c r="IJ48" i="9"/>
  <c r="BV109" i="9"/>
  <c r="BW109" i="9" s="1"/>
  <c r="BY109" i="9"/>
  <c r="IA49" i="9"/>
  <c r="AF49" i="9"/>
  <c r="AG49" i="9" s="1"/>
  <c r="AH49" i="9"/>
  <c r="JE70" i="9"/>
  <c r="FE50" i="9"/>
  <c r="FB50" i="9"/>
  <c r="FC50" i="9" s="1"/>
  <c r="HP24" i="9"/>
  <c r="FK59" i="9"/>
  <c r="FI59" i="9"/>
  <c r="FJ59" i="9" s="1"/>
  <c r="FL59" i="9"/>
  <c r="EW18" i="9"/>
  <c r="EU18" i="9"/>
  <c r="EV18" i="9" s="1"/>
  <c r="GN47" i="9"/>
  <c r="GK47" i="9"/>
  <c r="BY50" i="9"/>
  <c r="JZ103" i="9"/>
  <c r="JE45" i="9"/>
  <c r="KO61" i="9"/>
  <c r="KN61" i="9"/>
  <c r="KL61" i="9"/>
  <c r="KM61" i="9" s="1"/>
  <c r="JF92" i="9"/>
  <c r="HV24" i="9"/>
  <c r="CJ82" i="9"/>
  <c r="CK82" i="9" s="1"/>
  <c r="CM82" i="9"/>
  <c r="HI102" i="9"/>
  <c r="AI54" i="9"/>
  <c r="BK16" i="9"/>
  <c r="BH16" i="9"/>
  <c r="BI16" i="9" s="1"/>
  <c r="GF104" i="9"/>
  <c r="GG104" i="9"/>
  <c r="IO93" i="9"/>
  <c r="IP93" i="9" s="1"/>
  <c r="IR93" i="9"/>
  <c r="JE99" i="9"/>
  <c r="DO99" i="9"/>
  <c r="KL109" i="9"/>
  <c r="KM109" i="9" s="1"/>
  <c r="KS98" i="9"/>
  <c r="KT98" i="9" s="1"/>
  <c r="KH8" i="9"/>
  <c r="KE8" i="9"/>
  <c r="IH18" i="9"/>
  <c r="II18" i="9" s="1"/>
  <c r="EC47" i="9"/>
  <c r="FB49" i="9"/>
  <c r="FC49" i="9" s="1"/>
  <c r="FE49" i="9"/>
  <c r="HT49" i="9"/>
  <c r="HU49" i="9" s="1"/>
  <c r="HV49" i="9"/>
  <c r="BX84" i="9"/>
  <c r="DZ84" i="9"/>
  <c r="EA84" i="9" s="1"/>
  <c r="EB84" i="9"/>
  <c r="GN64" i="9"/>
  <c r="GM64" i="9"/>
  <c r="EN87" i="9"/>
  <c r="EO87" i="9" s="1"/>
  <c r="BC60" i="9"/>
  <c r="AM70" i="9"/>
  <c r="AN70" i="9" s="1"/>
  <c r="AF111" i="9"/>
  <c r="AG111" i="9" s="1"/>
  <c r="CZ50" i="9"/>
  <c r="T92" i="9"/>
  <c r="GG45" i="9"/>
  <c r="AW72" i="9"/>
  <c r="CJ39" i="9"/>
  <c r="CK39" i="9" s="1"/>
  <c r="HF102" i="9"/>
  <c r="EP22" i="9"/>
  <c r="EN22" i="9"/>
  <c r="EO22" i="9" s="1"/>
  <c r="EQ67" i="9"/>
  <c r="EP67" i="9"/>
  <c r="BO67" i="9"/>
  <c r="BP67" i="9" s="1"/>
  <c r="BQ67" i="9"/>
  <c r="CJ56" i="9"/>
  <c r="CK56" i="9" s="1"/>
  <c r="JQ56" i="9"/>
  <c r="JR56" i="9" s="1"/>
  <c r="JS56" i="9"/>
  <c r="JL36" i="9"/>
  <c r="JM36" i="9"/>
  <c r="JJ36" i="9"/>
  <c r="JK36" i="9" s="1"/>
  <c r="AM36" i="9"/>
  <c r="AN36" i="9" s="1"/>
  <c r="AO36" i="9"/>
  <c r="CQ55" i="9"/>
  <c r="CR55" i="9" s="1"/>
  <c r="CS55" i="9"/>
  <c r="GY38" i="9"/>
  <c r="IC85" i="9"/>
  <c r="ID85" i="9"/>
  <c r="CF85" i="9"/>
  <c r="CE85" i="9"/>
  <c r="CC85" i="9"/>
  <c r="CD85" i="9" s="1"/>
  <c r="AP85" i="9"/>
  <c r="AO85" i="9"/>
  <c r="AM85" i="9"/>
  <c r="AN85" i="9" s="1"/>
  <c r="AW110" i="9"/>
  <c r="EI79" i="9"/>
  <c r="EG79" i="9"/>
  <c r="EH79" i="9" s="1"/>
  <c r="EJ79" i="9"/>
  <c r="DA79" i="9"/>
  <c r="CX79" i="9"/>
  <c r="CY79" i="9" s="1"/>
  <c r="CZ79" i="9"/>
  <c r="BV104" i="9"/>
  <c r="BW104" i="9" s="1"/>
  <c r="BY104" i="9"/>
  <c r="CL75" i="9"/>
  <c r="EX105" i="9"/>
  <c r="EU105" i="9"/>
  <c r="EV105" i="9" s="1"/>
  <c r="EW105" i="9"/>
  <c r="IY38" i="9"/>
  <c r="IV38" i="9"/>
  <c r="IW38" i="9" s="1"/>
  <c r="DZ101" i="9"/>
  <c r="EA101" i="9" s="1"/>
  <c r="EC101" i="9"/>
  <c r="FY22" i="9"/>
  <c r="FZ22" i="9"/>
  <c r="DE45" i="9"/>
  <c r="DF45" i="9" s="1"/>
  <c r="DG45" i="9"/>
  <c r="D102" i="9"/>
  <c r="G102" i="9"/>
  <c r="CT97" i="9"/>
  <c r="CS97" i="9"/>
  <c r="KG45" i="9"/>
  <c r="KH45" i="9"/>
  <c r="KE45" i="9"/>
  <c r="KF45" i="9" s="1"/>
  <c r="HB19" i="9"/>
  <c r="GY19" i="9"/>
  <c r="GZ19" i="9" s="1"/>
  <c r="HA19" i="9"/>
  <c r="ID68" i="9"/>
  <c r="IC68" i="9"/>
  <c r="IA68" i="9"/>
  <c r="IB68" i="9" s="1"/>
  <c r="JE92" i="9"/>
  <c r="EU68" i="9"/>
  <c r="EV68" i="9" s="1"/>
  <c r="EX68" i="9"/>
  <c r="EW68" i="9"/>
  <c r="FK12" i="9"/>
  <c r="GD98" i="9"/>
  <c r="GE98" i="9" s="1"/>
  <c r="IH42" i="9"/>
  <c r="II42" i="9" s="1"/>
  <c r="IJ42" i="9"/>
  <c r="IK42" i="9"/>
  <c r="HV31" i="9"/>
  <c r="HT31" i="9"/>
  <c r="HU31" i="9" s="1"/>
  <c r="BC99" i="9"/>
  <c r="HF64" i="9"/>
  <c r="HG64" i="9" s="1"/>
  <c r="F70" i="9"/>
  <c r="D70" i="9"/>
  <c r="E70" i="9" s="1"/>
  <c r="JT70" i="9"/>
  <c r="JS70" i="9"/>
  <c r="CT12" i="9"/>
  <c r="BH35" i="9"/>
  <c r="BI35" i="9" s="1"/>
  <c r="IV24" i="9"/>
  <c r="IW24" i="9" s="1"/>
  <c r="FD72" i="9"/>
  <c r="IC7" i="9"/>
  <c r="FI7" i="9"/>
  <c r="FJ7" i="9" s="1"/>
  <c r="FK7" i="9"/>
  <c r="BV73" i="9"/>
  <c r="BW73" i="9" s="1"/>
  <c r="GT102" i="9"/>
  <c r="FW22" i="9"/>
  <c r="FX22" i="9" s="1"/>
  <c r="AO56" i="9"/>
  <c r="CX42" i="9"/>
  <c r="CY42" i="9" s="1"/>
  <c r="CZ42" i="9"/>
  <c r="JQ42" i="9"/>
  <c r="JR42" i="9" s="1"/>
  <c r="JS42" i="9"/>
  <c r="CF81" i="9"/>
  <c r="CC81" i="9"/>
  <c r="KN55" i="9"/>
  <c r="KL55" i="9"/>
  <c r="KM55" i="9" s="1"/>
  <c r="KO55" i="9"/>
  <c r="EW55" i="9"/>
  <c r="EX55" i="9"/>
  <c r="DU33" i="9"/>
  <c r="DV33" i="9"/>
  <c r="DS33" i="9"/>
  <c r="DT33" i="9" s="1"/>
  <c r="AI33" i="9"/>
  <c r="AF33" i="9"/>
  <c r="AG33" i="9" s="1"/>
  <c r="FY68" i="9"/>
  <c r="CJ44" i="9"/>
  <c r="CK44" i="9" s="1"/>
  <c r="CM44" i="9"/>
  <c r="CL44" i="9"/>
  <c r="HT44" i="9"/>
  <c r="HU44" i="9" s="1"/>
  <c r="HV44" i="9"/>
  <c r="HW44" i="9"/>
  <c r="GR79" i="9"/>
  <c r="GS79" i="9" s="1"/>
  <c r="GU79" i="9"/>
  <c r="BD71" i="9"/>
  <c r="BA71" i="9"/>
  <c r="BB71" i="9" s="1"/>
  <c r="R95" i="9"/>
  <c r="S95" i="9" s="1"/>
  <c r="U95" i="9"/>
  <c r="T95" i="9"/>
  <c r="JQ52" i="9"/>
  <c r="JR52" i="9" s="1"/>
  <c r="JS52" i="9"/>
  <c r="AI103" i="9"/>
  <c r="AF103" i="9"/>
  <c r="M24" i="9"/>
  <c r="K24" i="9"/>
  <c r="L24" i="9" s="1"/>
  <c r="EU56" i="9"/>
  <c r="EV56" i="9" s="1"/>
  <c r="EW56" i="9"/>
  <c r="EG97" i="9"/>
  <c r="EH97" i="9" s="1"/>
  <c r="EJ97" i="9"/>
  <c r="EI97" i="9"/>
  <c r="KN47" i="9"/>
  <c r="KO47" i="9"/>
  <c r="FI24" i="9"/>
  <c r="FJ24" i="9" s="1"/>
  <c r="FR86" i="9"/>
  <c r="FP86" i="9"/>
  <c r="FQ86" i="9" s="1"/>
  <c r="FS86" i="9"/>
  <c r="KS22" i="9"/>
  <c r="KT22" i="9" s="1"/>
  <c r="HP8" i="9"/>
  <c r="HM8" i="9"/>
  <c r="HN8" i="9" s="1"/>
  <c r="BD18" i="9"/>
  <c r="BA18" i="9"/>
  <c r="BB18" i="9" s="1"/>
  <c r="CJ60" i="9"/>
  <c r="CK60" i="9" s="1"/>
  <c r="CL60" i="9"/>
  <c r="DA12" i="9"/>
  <c r="CX12" i="9"/>
  <c r="CY12" i="9" s="1"/>
  <c r="CZ12" i="9"/>
  <c r="JS103" i="9"/>
  <c r="JU103" i="9" s="1"/>
  <c r="HO24" i="9"/>
  <c r="DA24" i="9"/>
  <c r="CZ24" i="9"/>
  <c r="FW7" i="9"/>
  <c r="FX7" i="9" s="1"/>
  <c r="BX73" i="9"/>
  <c r="KN27" i="9"/>
  <c r="BD22" i="9"/>
  <c r="KU22" i="9"/>
  <c r="AM56" i="9"/>
  <c r="AN56" i="9" s="1"/>
  <c r="HP56" i="9"/>
  <c r="HO56" i="9"/>
  <c r="HA13" i="9"/>
  <c r="HB13" i="9"/>
  <c r="EG55" i="9"/>
  <c r="EH55" i="9" s="1"/>
  <c r="EJ55" i="9"/>
  <c r="JS97" i="9"/>
  <c r="JT97" i="9"/>
  <c r="EP68" i="9"/>
  <c r="HP68" i="9"/>
  <c r="HM68" i="9"/>
  <c r="HN68" i="9" s="1"/>
  <c r="HI68" i="9"/>
  <c r="HF68" i="9"/>
  <c r="DE44" i="9"/>
  <c r="DF44" i="9" s="1"/>
  <c r="DG44" i="9"/>
  <c r="DH44" i="9"/>
  <c r="BR6" i="9"/>
  <c r="BO6" i="9"/>
  <c r="BP6" i="9" s="1"/>
  <c r="BQ6" i="9"/>
  <c r="CE19" i="9"/>
  <c r="CC19" i="9"/>
  <c r="CD19" i="9" s="1"/>
  <c r="CF19" i="9"/>
  <c r="Y109" i="9"/>
  <c r="Z109" i="9" s="1"/>
  <c r="AB109" i="9"/>
  <c r="FW35" i="9"/>
  <c r="FX35" i="9" s="1"/>
  <c r="FY35" i="9"/>
  <c r="DG14" i="9"/>
  <c r="DH14" i="9"/>
  <c r="FW56" i="9"/>
  <c r="FX56" i="9" s="1"/>
  <c r="FZ56" i="9"/>
  <c r="FL38" i="9"/>
  <c r="FK38" i="9"/>
  <c r="FI38" i="9"/>
  <c r="FJ38" i="9" s="1"/>
  <c r="FL23" i="9"/>
  <c r="FI23" i="9"/>
  <c r="FJ23" i="9" s="1"/>
  <c r="FK23" i="9"/>
  <c r="DE111" i="9"/>
  <c r="DF111" i="9" s="1"/>
  <c r="JX67" i="9"/>
  <c r="JY67" i="9" s="1"/>
  <c r="R3" i="9"/>
  <c r="S3" i="9" s="1"/>
  <c r="U3" i="9"/>
  <c r="FB54" i="9"/>
  <c r="FC54" i="9" s="1"/>
  <c r="FD54" i="9"/>
  <c r="BJ57" i="9"/>
  <c r="BH57" i="9"/>
  <c r="BI57" i="9" s="1"/>
  <c r="IR49" i="9"/>
  <c r="IO49" i="9"/>
  <c r="IP49" i="9" s="1"/>
  <c r="GD84" i="9"/>
  <c r="GE84" i="9" s="1"/>
  <c r="F64" i="9"/>
  <c r="HM60" i="9"/>
  <c r="HN60" i="9" s="1"/>
  <c r="GD111" i="9"/>
  <c r="GE111" i="9" s="1"/>
  <c r="GF111" i="9"/>
  <c r="GG111" i="9"/>
  <c r="EU3" i="9"/>
  <c r="EV3" i="9" s="1"/>
  <c r="EW3" i="9"/>
  <c r="AV25" i="9"/>
  <c r="FP97" i="9"/>
  <c r="FQ97" i="9" s="1"/>
  <c r="FS97" i="9"/>
  <c r="AH101" i="9"/>
  <c r="N102" i="9"/>
  <c r="K102" i="9"/>
  <c r="L102" i="9" s="1"/>
  <c r="JC40" i="9"/>
  <c r="JD40" i="9" s="1"/>
  <c r="JE40" i="9"/>
  <c r="DA51" i="9"/>
  <c r="CZ51" i="9"/>
  <c r="CX51" i="9"/>
  <c r="CY51" i="9" s="1"/>
  <c r="CC60" i="9"/>
  <c r="CD60" i="9" s="1"/>
  <c r="CF111" i="9"/>
  <c r="CE111" i="9"/>
  <c r="CC111" i="9"/>
  <c r="CD111" i="9" s="1"/>
  <c r="IK73" i="9"/>
  <c r="IH73" i="9"/>
  <c r="II73" i="9" s="1"/>
  <c r="IV27" i="9"/>
  <c r="IW27" i="9" s="1"/>
  <c r="FY56" i="9"/>
  <c r="IR38" i="9"/>
  <c r="IQ38" i="9"/>
  <c r="DE52" i="9"/>
  <c r="DF52" i="9" s="1"/>
  <c r="DG52" i="9"/>
  <c r="EP109" i="9"/>
  <c r="EN109" i="9"/>
  <c r="EO109" i="9" s="1"/>
  <c r="KL50" i="9"/>
  <c r="KM50" i="9" s="1"/>
  <c r="AM65" i="9"/>
  <c r="AN65" i="9" s="1"/>
  <c r="AP65" i="9"/>
  <c r="AO65" i="9"/>
  <c r="KL60" i="9"/>
  <c r="KM60" i="9" s="1"/>
  <c r="KO60" i="9"/>
  <c r="KN60" i="9"/>
  <c r="FL85" i="9"/>
  <c r="FK85" i="9"/>
  <c r="EU109" i="9"/>
  <c r="EQ103" i="9"/>
  <c r="EP103" i="9"/>
  <c r="IV45" i="9"/>
  <c r="IW45" i="9" s="1"/>
  <c r="M39" i="9"/>
  <c r="GN109" i="9"/>
  <c r="N98" i="9"/>
  <c r="BO18" i="9"/>
  <c r="JQ84" i="9"/>
  <c r="JR84" i="9" s="1"/>
  <c r="JS84" i="9"/>
  <c r="KO98" i="9"/>
  <c r="DS47" i="9"/>
  <c r="DT47" i="9" s="1"/>
  <c r="JS49" i="9"/>
  <c r="CF49" i="9"/>
  <c r="CC49" i="9"/>
  <c r="JQ70" i="9"/>
  <c r="JR70" i="9" s="1"/>
  <c r="JS12" i="9"/>
  <c r="HF12" i="9"/>
  <c r="HI12" i="9"/>
  <c r="GY52" i="9"/>
  <c r="GZ52" i="9" s="1"/>
  <c r="IQ109" i="9"/>
  <c r="BQ98" i="9"/>
  <c r="IC8" i="9"/>
  <c r="K18" i="9"/>
  <c r="DH18" i="9"/>
  <c r="KA18" i="9"/>
  <c r="KU18" i="9"/>
  <c r="KS18" i="9"/>
  <c r="KT18" i="9" s="1"/>
  <c r="N47" i="9"/>
  <c r="GF47" i="9"/>
  <c r="CZ49" i="9"/>
  <c r="GN101" i="9"/>
  <c r="HM64" i="9"/>
  <c r="HN64" i="9" s="1"/>
  <c r="AM64" i="9"/>
  <c r="AN64" i="9" s="1"/>
  <c r="KV64" i="9"/>
  <c r="KS64" i="9"/>
  <c r="KT64" i="9" s="1"/>
  <c r="CS64" i="9"/>
  <c r="CT64" i="9"/>
  <c r="FW87" i="9"/>
  <c r="EJ111" i="9"/>
  <c r="HM111" i="9"/>
  <c r="HN111" i="9" s="1"/>
  <c r="HO111" i="9"/>
  <c r="AW111" i="9"/>
  <c r="AT111" i="9"/>
  <c r="AU111" i="9" s="1"/>
  <c r="AI50" i="9"/>
  <c r="FZ92" i="9"/>
  <c r="BK12" i="9"/>
  <c r="EG35" i="9"/>
  <c r="EH35" i="9" s="1"/>
  <c r="HH103" i="9"/>
  <c r="GT103" i="9"/>
  <c r="IX45" i="9"/>
  <c r="CT72" i="9"/>
  <c r="IX72" i="9"/>
  <c r="IV72" i="9"/>
  <c r="IW72" i="9" s="1"/>
  <c r="GM39" i="9"/>
  <c r="GF39" i="9"/>
  <c r="GG39" i="9"/>
  <c r="IV39" i="9"/>
  <c r="IW39" i="9" s="1"/>
  <c r="IY39" i="9"/>
  <c r="AT7" i="9"/>
  <c r="AU7" i="9" s="1"/>
  <c r="DL7" i="9"/>
  <c r="DM7" i="9" s="1"/>
  <c r="DN7" i="9"/>
  <c r="DO7" i="9"/>
  <c r="JS7" i="9"/>
  <c r="JT7" i="9"/>
  <c r="JQ7" i="9"/>
  <c r="JR7" i="9" s="1"/>
  <c r="CX102" i="9"/>
  <c r="CY102" i="9" s="1"/>
  <c r="JZ67" i="9"/>
  <c r="JE56" i="9"/>
  <c r="JM56" i="9"/>
  <c r="JJ56" i="9"/>
  <c r="CT56" i="9"/>
  <c r="CS56" i="9"/>
  <c r="DA42" i="9"/>
  <c r="GM81" i="9"/>
  <c r="GK81" i="9"/>
  <c r="GL81" i="9" s="1"/>
  <c r="JQ13" i="9"/>
  <c r="JR13" i="9" s="1"/>
  <c r="JS13" i="9"/>
  <c r="JF13" i="9"/>
  <c r="JC13" i="9"/>
  <c r="JD13" i="9" s="1"/>
  <c r="JE13" i="9"/>
  <c r="AM25" i="9"/>
  <c r="AN25" i="9" s="1"/>
  <c r="JZ85" i="9"/>
  <c r="KA85" i="9"/>
  <c r="JX85" i="9"/>
  <c r="JY85" i="9" s="1"/>
  <c r="FR4" i="9"/>
  <c r="FS4" i="9"/>
  <c r="FP4" i="9"/>
  <c r="FQ4" i="9" s="1"/>
  <c r="EB4" i="9"/>
  <c r="EC4" i="9"/>
  <c r="AH33" i="9"/>
  <c r="HH44" i="9"/>
  <c r="HI44" i="9"/>
  <c r="HF44" i="9"/>
  <c r="HG44" i="9" s="1"/>
  <c r="EJ44" i="9"/>
  <c r="EG44" i="9"/>
  <c r="EH44" i="9" s="1"/>
  <c r="EI44" i="9"/>
  <c r="CF20" i="9"/>
  <c r="CC20" i="9"/>
  <c r="CD20" i="9" s="1"/>
  <c r="CE20" i="9"/>
  <c r="BH20" i="9"/>
  <c r="BI20" i="9" s="1"/>
  <c r="BJ20" i="9"/>
  <c r="DL107" i="9"/>
  <c r="DM107" i="9" s="1"/>
  <c r="DO107" i="9"/>
  <c r="DN107" i="9"/>
  <c r="BO107" i="9"/>
  <c r="BR107" i="9"/>
  <c r="KL104" i="9"/>
  <c r="KM104" i="9" s="1"/>
  <c r="KO104" i="9"/>
  <c r="FW104" i="9"/>
  <c r="FX104" i="9" s="1"/>
  <c r="FY104" i="9"/>
  <c r="FZ104" i="9"/>
  <c r="AT8" i="9"/>
  <c r="AU8" i="9" s="1"/>
  <c r="AW8" i="9"/>
  <c r="CM92" i="9"/>
  <c r="CJ92" i="9"/>
  <c r="CK92" i="9" s="1"/>
  <c r="EB35" i="9"/>
  <c r="EC35" i="9"/>
  <c r="IH107" i="9"/>
  <c r="II107" i="9" s="1"/>
  <c r="IK107" i="9"/>
  <c r="IJ107" i="9"/>
  <c r="JT14" i="9"/>
  <c r="JS14" i="9"/>
  <c r="JQ14" i="9"/>
  <c r="JR14" i="9" s="1"/>
  <c r="KE54" i="9"/>
  <c r="KF54" i="9" s="1"/>
  <c r="KH54" i="9"/>
  <c r="BO102" i="9"/>
  <c r="BR102" i="9"/>
  <c r="FL22" i="9"/>
  <c r="FI22" i="9"/>
  <c r="FJ22" i="9" s="1"/>
  <c r="HH19" i="9"/>
  <c r="HI19" i="9"/>
  <c r="AI101" i="9"/>
  <c r="ID38" i="9"/>
  <c r="IA38" i="9"/>
  <c r="IB38" i="9" s="1"/>
  <c r="IC38" i="9"/>
  <c r="GN111" i="9"/>
  <c r="GM111" i="9"/>
  <c r="HW50" i="9"/>
  <c r="HT50" i="9"/>
  <c r="HU50" i="9" s="1"/>
  <c r="HV50" i="9"/>
  <c r="EB103" i="9"/>
  <c r="EC103" i="9"/>
  <c r="JJ38" i="9"/>
  <c r="JK38" i="9" s="1"/>
  <c r="IJ97" i="9"/>
  <c r="IK97" i="9"/>
  <c r="IH97" i="9"/>
  <c r="II97" i="9" s="1"/>
  <c r="AP64" i="9"/>
  <c r="JF45" i="9"/>
  <c r="BR45" i="9"/>
  <c r="BO45" i="9"/>
  <c r="BP45" i="9" s="1"/>
  <c r="BQ45" i="9"/>
  <c r="KV73" i="9"/>
  <c r="GY25" i="9"/>
  <c r="GZ25" i="9" s="1"/>
  <c r="HB25" i="9"/>
  <c r="HA25" i="9"/>
  <c r="FE54" i="9"/>
  <c r="IA61" i="9"/>
  <c r="IB61" i="9" s="1"/>
  <c r="IC61" i="9"/>
  <c r="ID61" i="9"/>
  <c r="BD111" i="9"/>
  <c r="G73" i="9"/>
  <c r="D73" i="9"/>
  <c r="E73" i="9" s="1"/>
  <c r="F73" i="9"/>
  <c r="DN68" i="9"/>
  <c r="DO68" i="9"/>
  <c r="EI52" i="9"/>
  <c r="EG52" i="9"/>
  <c r="EH52" i="9" s="1"/>
  <c r="BO98" i="9"/>
  <c r="BP98" i="9" s="1"/>
  <c r="BX60" i="9"/>
  <c r="BY60" i="9"/>
  <c r="DV111" i="9"/>
  <c r="AM52" i="9"/>
  <c r="AN52" i="9" s="1"/>
  <c r="BX109" i="9"/>
  <c r="BD109" i="9"/>
  <c r="BC109" i="9"/>
  <c r="N18" i="9"/>
  <c r="IH60" i="9"/>
  <c r="II60" i="9" s="1"/>
  <c r="IJ60" i="9"/>
  <c r="CE24" i="9"/>
  <c r="CQ87" i="9"/>
  <c r="CR87" i="9" s="1"/>
  <c r="IK60" i="9"/>
  <c r="BR70" i="9"/>
  <c r="GG73" i="9"/>
  <c r="FP25" i="9"/>
  <c r="FQ25" i="9" s="1"/>
  <c r="EG87" i="9"/>
  <c r="EH87" i="9" s="1"/>
  <c r="CZ60" i="9"/>
  <c r="DA60" i="9"/>
  <c r="IK70" i="9"/>
  <c r="BK70" i="9"/>
  <c r="BJ70" i="9"/>
  <c r="BH70" i="9"/>
  <c r="BI70" i="9" s="1"/>
  <c r="EI111" i="9"/>
  <c r="GD99" i="9"/>
  <c r="GE99" i="9" s="1"/>
  <c r="CC52" i="9"/>
  <c r="CD52" i="9" s="1"/>
  <c r="CF52" i="9"/>
  <c r="HP49" i="9"/>
  <c r="CT50" i="9"/>
  <c r="CS50" i="9"/>
  <c r="HV99" i="9"/>
  <c r="IY99" i="9"/>
  <c r="DZ99" i="9"/>
  <c r="EA99" i="9" s="1"/>
  <c r="EB99" i="9"/>
  <c r="FS52" i="9"/>
  <c r="DL109" i="9"/>
  <c r="DM109" i="9" s="1"/>
  <c r="DV98" i="9"/>
  <c r="KL98" i="9"/>
  <c r="CZ8" i="9"/>
  <c r="DA18" i="9"/>
  <c r="AA47" i="9"/>
  <c r="AI49" i="9"/>
  <c r="GM101" i="9"/>
  <c r="HH84" i="9"/>
  <c r="HO84" i="9"/>
  <c r="HM84" i="9"/>
  <c r="HN84" i="9" s="1"/>
  <c r="AF64" i="9"/>
  <c r="AI64" i="9"/>
  <c r="CL64" i="9"/>
  <c r="CJ64" i="9"/>
  <c r="CK64" i="9" s="1"/>
  <c r="EP87" i="9"/>
  <c r="FZ111" i="9"/>
  <c r="R92" i="9"/>
  <c r="S92" i="9" s="1"/>
  <c r="GK92" i="9"/>
  <c r="GL92" i="9" s="1"/>
  <c r="GN92" i="9"/>
  <c r="GM92" i="9"/>
  <c r="AB92" i="9"/>
  <c r="Y92" i="9"/>
  <c r="EW12" i="9"/>
  <c r="FI35" i="9"/>
  <c r="FJ35" i="9" s="1"/>
  <c r="DL35" i="9"/>
  <c r="DM35" i="9" s="1"/>
  <c r="BO103" i="9"/>
  <c r="BP103" i="9" s="1"/>
  <c r="BQ103" i="9"/>
  <c r="JL45" i="9"/>
  <c r="M72" i="9"/>
  <c r="CM27" i="9"/>
  <c r="BD102" i="9"/>
  <c r="GN56" i="9"/>
  <c r="HM56" i="9"/>
  <c r="HN56" i="9" s="1"/>
  <c r="BK56" i="9"/>
  <c r="BJ56" i="9"/>
  <c r="ID42" i="9"/>
  <c r="IA42" i="9"/>
  <c r="FP3" i="9"/>
  <c r="FQ3" i="9" s="1"/>
  <c r="GU13" i="9"/>
  <c r="GR13" i="9"/>
  <c r="G13" i="9"/>
  <c r="F13" i="9"/>
  <c r="DH13" i="9"/>
  <c r="DE13" i="9"/>
  <c r="DF13" i="9" s="1"/>
  <c r="EG32" i="9"/>
  <c r="EH32" i="9" s="1"/>
  <c r="EJ32" i="9"/>
  <c r="EI32" i="9"/>
  <c r="HW4" i="9"/>
  <c r="HV4" i="9"/>
  <c r="BY83" i="9"/>
  <c r="BX83" i="9"/>
  <c r="DZ44" i="9"/>
  <c r="EA44" i="9" s="1"/>
  <c r="EC44" i="9"/>
  <c r="EP44" i="9"/>
  <c r="EN44" i="9"/>
  <c r="EO44" i="9" s="1"/>
  <c r="CF79" i="9"/>
  <c r="CC79" i="9"/>
  <c r="CD79" i="9" s="1"/>
  <c r="G79" i="9"/>
  <c r="F79" i="9"/>
  <c r="D79" i="9"/>
  <c r="E79" i="9" s="1"/>
  <c r="KL111" i="9"/>
  <c r="KM111" i="9" s="1"/>
  <c r="KO111" i="9"/>
  <c r="EU102" i="9"/>
  <c r="EV102" i="9" s="1"/>
  <c r="BV19" i="9"/>
  <c r="BW19" i="9" s="1"/>
  <c r="BY19" i="9"/>
  <c r="BX19" i="9"/>
  <c r="AP94" i="9"/>
  <c r="AM94" i="9"/>
  <c r="AN94" i="9" s="1"/>
  <c r="AO94" i="9"/>
  <c r="KE18" i="9"/>
  <c r="KF18" i="9" s="1"/>
  <c r="KG18" i="9"/>
  <c r="AB12" i="9"/>
  <c r="AA12" i="9"/>
  <c r="GR3" i="9"/>
  <c r="GS3" i="9" s="1"/>
  <c r="GT3" i="9"/>
  <c r="IQ22" i="9"/>
  <c r="IR22" i="9"/>
  <c r="BK54" i="9"/>
  <c r="BH54" i="9"/>
  <c r="R19" i="9"/>
  <c r="S19" i="9" s="1"/>
  <c r="U19" i="9"/>
  <c r="D64" i="9"/>
  <c r="E64" i="9" s="1"/>
  <c r="KE64" i="9"/>
  <c r="KF64" i="9" s="1"/>
  <c r="KG64" i="9"/>
  <c r="HP60" i="9"/>
  <c r="KO35" i="9"/>
  <c r="KN35" i="9"/>
  <c r="DE3" i="9"/>
  <c r="DF3" i="9" s="1"/>
  <c r="DH3" i="9"/>
  <c r="GG38" i="9"/>
  <c r="GD38" i="9"/>
  <c r="GE38" i="9" s="1"/>
  <c r="BY54" i="9"/>
  <c r="BX54" i="9"/>
  <c r="BV54" i="9"/>
  <c r="BW54" i="9" s="1"/>
  <c r="GT98" i="9"/>
  <c r="GU98" i="9"/>
  <c r="GR98" i="9"/>
  <c r="GS98" i="9" s="1"/>
  <c r="GF49" i="9"/>
  <c r="GD49" i="9"/>
  <c r="GE49" i="9" s="1"/>
  <c r="CE60" i="9"/>
  <c r="BO88" i="9"/>
  <c r="BP88" i="9" s="1"/>
  <c r="BQ88" i="9"/>
  <c r="DN3" i="9"/>
  <c r="DL3" i="9"/>
  <c r="DM3" i="9" s="1"/>
  <c r="DO3" i="9"/>
  <c r="DH38" i="9"/>
  <c r="DG38" i="9"/>
  <c r="KH61" i="9"/>
  <c r="KE61" i="9"/>
  <c r="KF61" i="9" s="1"/>
  <c r="BV29" i="9"/>
  <c r="BW29" i="9" s="1"/>
  <c r="BX29" i="9"/>
  <c r="FW24" i="9"/>
  <c r="FX24" i="9" s="1"/>
  <c r="FY24" i="9"/>
  <c r="Y40" i="9"/>
  <c r="AB40" i="9"/>
  <c r="IC59" i="9"/>
  <c r="IA59" i="9"/>
  <c r="IB59" i="9" s="1"/>
  <c r="ID59" i="9"/>
  <c r="AM61" i="9"/>
  <c r="AN61" i="9" s="1"/>
  <c r="AP61" i="9"/>
  <c r="AO61" i="9"/>
  <c r="AW109" i="9"/>
  <c r="AV109" i="9"/>
  <c r="AT109" i="9"/>
  <c r="AU109" i="9" s="1"/>
  <c r="FZ35" i="9"/>
  <c r="N109" i="9"/>
  <c r="IA18" i="9"/>
  <c r="IB18" i="9" s="1"/>
  <c r="ID18" i="9"/>
  <c r="JT18" i="9"/>
  <c r="JS18" i="9"/>
  <c r="GM49" i="9"/>
  <c r="FK101" i="9"/>
  <c r="FL101" i="9"/>
  <c r="Y12" i="9"/>
  <c r="Z12" i="9" s="1"/>
  <c r="IJ27" i="9"/>
  <c r="IK27" i="9"/>
  <c r="IH27" i="9"/>
  <c r="II27" i="9" s="1"/>
  <c r="GF38" i="9"/>
  <c r="Y68" i="9"/>
  <c r="Z68" i="9" s="1"/>
  <c r="AB68" i="9"/>
  <c r="KG61" i="9"/>
  <c r="GG11" i="9"/>
  <c r="GD11" i="9"/>
  <c r="GE11" i="9" s="1"/>
  <c r="GF11" i="9"/>
  <c r="DS42" i="9"/>
  <c r="DT42" i="9" s="1"/>
  <c r="DV42" i="9"/>
  <c r="DU42" i="9"/>
  <c r="BR51" i="9"/>
  <c r="BQ51" i="9"/>
  <c r="BO51" i="9"/>
  <c r="BP51" i="9" s="1"/>
  <c r="T19" i="9"/>
  <c r="FW101" i="9"/>
  <c r="FZ101" i="9"/>
  <c r="FE60" i="9"/>
  <c r="FB60" i="9"/>
  <c r="BA50" i="9"/>
  <c r="BB50" i="9" s="1"/>
  <c r="BC50" i="9"/>
  <c r="FZ7" i="9"/>
  <c r="DA31" i="9"/>
  <c r="CX31" i="9"/>
  <c r="CY31" i="9" s="1"/>
  <c r="CZ31" i="9"/>
  <c r="JX49" i="9"/>
  <c r="KA49" i="9"/>
  <c r="HB64" i="9"/>
  <c r="HW64" i="9"/>
  <c r="HT64" i="9"/>
  <c r="JZ99" i="9"/>
  <c r="DN99" i="9"/>
  <c r="HM99" i="9"/>
  <c r="HN99" i="9" s="1"/>
  <c r="HO99" i="9"/>
  <c r="KA52" i="9"/>
  <c r="JX52" i="9"/>
  <c r="AP109" i="9"/>
  <c r="GM109" i="9"/>
  <c r="AF109" i="9"/>
  <c r="AG109" i="9" s="1"/>
  <c r="AH109" i="9"/>
  <c r="CL98" i="9"/>
  <c r="K98" i="9"/>
  <c r="AB98" i="9"/>
  <c r="AA98" i="9"/>
  <c r="KL8" i="9"/>
  <c r="KM8" i="9" s="1"/>
  <c r="AF8" i="9"/>
  <c r="AG8" i="9" s="1"/>
  <c r="AH8" i="9"/>
  <c r="GD18" i="9"/>
  <c r="GE18" i="9" s="1"/>
  <c r="FE18" i="9"/>
  <c r="DU47" i="9"/>
  <c r="FP47" i="9"/>
  <c r="FQ47" i="9" s="1"/>
  <c r="GY49" i="9"/>
  <c r="GZ49" i="9" s="1"/>
  <c r="HA49" i="9"/>
  <c r="F101" i="9"/>
  <c r="KO101" i="9"/>
  <c r="KL101" i="9"/>
  <c r="KM101" i="9" s="1"/>
  <c r="FW84" i="9"/>
  <c r="FX84" i="9" s="1"/>
  <c r="FL84" i="9"/>
  <c r="FB84" i="9"/>
  <c r="FC84" i="9" s="1"/>
  <c r="FD84" i="9"/>
  <c r="DE64" i="9"/>
  <c r="DF64" i="9" s="1"/>
  <c r="DG64" i="9"/>
  <c r="HA87" i="9"/>
  <c r="HB87" i="9"/>
  <c r="IC87" i="9"/>
  <c r="ID87" i="9"/>
  <c r="HM87" i="9"/>
  <c r="HN87" i="9" s="1"/>
  <c r="HP87" i="9"/>
  <c r="FR87" i="9"/>
  <c r="FS87" i="9"/>
  <c r="AH111" i="9"/>
  <c r="BX50" i="9"/>
  <c r="GT92" i="9"/>
  <c r="EU12" i="9"/>
  <c r="EV12" i="9" s="1"/>
  <c r="GY35" i="9"/>
  <c r="GZ35" i="9" s="1"/>
  <c r="DG35" i="9"/>
  <c r="DH35" i="9"/>
  <c r="JJ35" i="9"/>
  <c r="JK35" i="9" s="1"/>
  <c r="JM35" i="9"/>
  <c r="R103" i="9"/>
  <c r="KH103" i="9"/>
  <c r="KE103" i="9"/>
  <c r="FR24" i="9"/>
  <c r="DH45" i="9"/>
  <c r="BA72" i="9"/>
  <c r="BB72" i="9" s="1"/>
  <c r="HH7" i="9"/>
  <c r="HF7" i="9"/>
  <c r="HG7" i="9" s="1"/>
  <c r="CC73" i="9"/>
  <c r="CD73" i="9" s="1"/>
  <c r="CF73" i="9"/>
  <c r="HA27" i="9"/>
  <c r="IO102" i="9"/>
  <c r="IP102" i="9" s="1"/>
  <c r="IR102" i="9"/>
  <c r="DL42" i="9"/>
  <c r="DM42" i="9" s="1"/>
  <c r="BX3" i="9"/>
  <c r="K13" i="9"/>
  <c r="N13" i="9"/>
  <c r="JX13" i="9"/>
  <c r="KA13" i="9"/>
  <c r="AP36" i="9"/>
  <c r="AO25" i="9"/>
  <c r="EI55" i="9"/>
  <c r="HB38" i="9"/>
  <c r="AV38" i="9"/>
  <c r="AW38" i="9"/>
  <c r="BR37" i="9"/>
  <c r="BQ37" i="9"/>
  <c r="BO37" i="9"/>
  <c r="BP37" i="9" s="1"/>
  <c r="CC37" i="9"/>
  <c r="CD37" i="9" s="1"/>
  <c r="CF37" i="9"/>
  <c r="AT83" i="9"/>
  <c r="AU83" i="9" s="1"/>
  <c r="AW83" i="9"/>
  <c r="HO68" i="9"/>
  <c r="BO59" i="9"/>
  <c r="BP59" i="9" s="1"/>
  <c r="BQ59" i="9"/>
  <c r="BR59" i="9"/>
  <c r="JL59" i="9"/>
  <c r="JM59" i="9"/>
  <c r="FL107" i="9"/>
  <c r="FI107" i="9"/>
  <c r="FJ107" i="9" s="1"/>
  <c r="FK107" i="9"/>
  <c r="KN104" i="9"/>
  <c r="JQ28" i="9"/>
  <c r="JR28" i="9" s="1"/>
  <c r="JS28" i="9"/>
  <c r="JT28" i="9"/>
  <c r="IC28" i="9"/>
  <c r="IA28" i="9"/>
  <c r="IB28" i="9" s="1"/>
  <c r="ID28" i="9"/>
  <c r="K25" i="9"/>
  <c r="L25" i="9" s="1"/>
  <c r="M25" i="9"/>
  <c r="KV38" i="9"/>
  <c r="KS38" i="9"/>
  <c r="KT38" i="9" s="1"/>
  <c r="BA14" i="9"/>
  <c r="BB14" i="9" s="1"/>
  <c r="DS12" i="9"/>
  <c r="DT12" i="9" s="1"/>
  <c r="DV12" i="9"/>
  <c r="FL45" i="9"/>
  <c r="FI45" i="9"/>
  <c r="FJ45" i="9" s="1"/>
  <c r="GG54" i="9"/>
  <c r="GD54" i="9"/>
  <c r="GD19" i="9"/>
  <c r="GE19" i="9" s="1"/>
  <c r="GF19" i="9"/>
  <c r="GG19" i="9"/>
  <c r="KL46" i="9"/>
  <c r="KM46" i="9" s="1"/>
  <c r="KN46" i="9"/>
  <c r="KO46" i="9"/>
  <c r="IR52" i="9"/>
  <c r="IO52" i="9"/>
  <c r="FD98" i="9"/>
  <c r="FE98" i="9"/>
  <c r="IA12" i="9"/>
  <c r="IB12" i="9" s="1"/>
  <c r="BA102" i="9"/>
  <c r="KE98" i="9"/>
  <c r="KF98" i="9" s="1"/>
  <c r="KH98" i="9"/>
  <c r="IA7" i="9"/>
  <c r="IB7" i="9" s="1"/>
  <c r="FK22" i="9"/>
  <c r="CX22" i="9"/>
  <c r="CY22" i="9" s="1"/>
  <c r="CZ22" i="9"/>
  <c r="DA22" i="9"/>
  <c r="AB88" i="9"/>
  <c r="Y88" i="9"/>
  <c r="Z88" i="9" s="1"/>
  <c r="G97" i="9"/>
  <c r="D97" i="9"/>
  <c r="EU19" i="9"/>
  <c r="EV19" i="9" s="1"/>
  <c r="EX19" i="9"/>
  <c r="EW19" i="9"/>
  <c r="GT49" i="9"/>
  <c r="GU49" i="9"/>
  <c r="JF40" i="9"/>
  <c r="FB87" i="9"/>
  <c r="FC87" i="9" s="1"/>
  <c r="FD87" i="9"/>
  <c r="N39" i="9"/>
  <c r="CQ97" i="9"/>
  <c r="CR97" i="9" s="1"/>
  <c r="KU15" i="9"/>
  <c r="KS15" i="9"/>
  <c r="KT15" i="9" s="1"/>
  <c r="KV15" i="9"/>
  <c r="DE8" i="9"/>
  <c r="DF8" i="9" s="1"/>
  <c r="DG8" i="9"/>
  <c r="BR18" i="9"/>
  <c r="K47" i="9"/>
  <c r="L47" i="9" s="1"/>
  <c r="FK111" i="9"/>
  <c r="FI111" i="9"/>
  <c r="FJ111" i="9" s="1"/>
  <c r="R42" i="9"/>
  <c r="S42" i="9" s="1"/>
  <c r="U42" i="9"/>
  <c r="FK68" i="9"/>
  <c r="FI68" i="9"/>
  <c r="FJ68" i="9" s="1"/>
  <c r="FL68" i="9"/>
  <c r="CZ109" i="9"/>
  <c r="CX109" i="9"/>
  <c r="CY109" i="9" s="1"/>
  <c r="HO8" i="9"/>
  <c r="FW99" i="9"/>
  <c r="FX99" i="9" s="1"/>
  <c r="HF99" i="9"/>
  <c r="HG99" i="9" s="1"/>
  <c r="D52" i="9"/>
  <c r="E52" i="9" s="1"/>
  <c r="Y52" i="9"/>
  <c r="Z52" i="9" s="1"/>
  <c r="DN109" i="9"/>
  <c r="HO98" i="9"/>
  <c r="AA8" i="9"/>
  <c r="BD8" i="9"/>
  <c r="AO8" i="9"/>
  <c r="AP8" i="9"/>
  <c r="AP18" i="9"/>
  <c r="BC18" i="9"/>
  <c r="EJ47" i="9"/>
  <c r="DN47" i="9"/>
  <c r="EB101" i="9"/>
  <c r="JZ101" i="9"/>
  <c r="FE64" i="9"/>
  <c r="FB64" i="9"/>
  <c r="AB60" i="9"/>
  <c r="BQ70" i="9"/>
  <c r="AA111" i="9"/>
  <c r="BD50" i="9"/>
  <c r="M50" i="9"/>
  <c r="BJ35" i="9"/>
  <c r="IH35" i="9"/>
  <c r="II35" i="9" s="1"/>
  <c r="IK35" i="9"/>
  <c r="KA103" i="9"/>
  <c r="DL72" i="9"/>
  <c r="DM72" i="9" s="1"/>
  <c r="KE72" i="9"/>
  <c r="KH72" i="9"/>
  <c r="FR7" i="9"/>
  <c r="FS7" i="9"/>
  <c r="EW102" i="9"/>
  <c r="EX56" i="9"/>
  <c r="JT42" i="9"/>
  <c r="T3" i="9"/>
  <c r="KO81" i="9"/>
  <c r="KN81" i="9"/>
  <c r="DO81" i="9"/>
  <c r="DL81" i="9"/>
  <c r="DM81" i="9" s="1"/>
  <c r="DN81" i="9"/>
  <c r="CM13" i="9"/>
  <c r="CT13" i="9"/>
  <c r="CQ13" i="9"/>
  <c r="CR13" i="9" s="1"/>
  <c r="CS13" i="9"/>
  <c r="CZ13" i="9"/>
  <c r="DA13" i="9"/>
  <c r="IX38" i="9"/>
  <c r="JT68" i="9"/>
  <c r="GG44" i="9"/>
  <c r="GD44" i="9"/>
  <c r="GE44" i="9" s="1"/>
  <c r="CE79" i="9"/>
  <c r="FS20" i="9"/>
  <c r="DZ20" i="9"/>
  <c r="EA20" i="9" s="1"/>
  <c r="EC20" i="9"/>
  <c r="EB20" i="9"/>
  <c r="FE88" i="9"/>
  <c r="KE3" i="9"/>
  <c r="KF3" i="9" s="1"/>
  <c r="KG3" i="9"/>
  <c r="KH3" i="9"/>
  <c r="BK3" i="9"/>
  <c r="BH3" i="9"/>
  <c r="BI3" i="9" s="1"/>
  <c r="GG13" i="9"/>
  <c r="GF13" i="9"/>
  <c r="IY13" i="9"/>
  <c r="IX13" i="9"/>
  <c r="IV13" i="9"/>
  <c r="IW13" i="9" s="1"/>
  <c r="KN38" i="9"/>
  <c r="KO38" i="9"/>
  <c r="EQ38" i="9"/>
  <c r="EP38" i="9"/>
  <c r="HW38" i="9"/>
  <c r="HV38" i="9"/>
  <c r="KO85" i="9"/>
  <c r="KN85" i="9"/>
  <c r="GN83" i="9"/>
  <c r="GK83" i="9"/>
  <c r="GL83" i="9" s="1"/>
  <c r="CQ83" i="9"/>
  <c r="CR83" i="9" s="1"/>
  <c r="CS83" i="9"/>
  <c r="EJ78" i="9"/>
  <c r="EI78" i="9"/>
  <c r="EG78" i="9"/>
  <c r="EH78" i="9" s="1"/>
  <c r="M100" i="9"/>
  <c r="K100" i="9"/>
  <c r="L100" i="9" s="1"/>
  <c r="N100" i="9"/>
  <c r="IA89" i="9"/>
  <c r="IB89" i="9" s="1"/>
  <c r="ID89" i="9"/>
  <c r="AP89" i="9"/>
  <c r="AO89" i="9"/>
  <c r="KH13" i="9"/>
  <c r="KG13" i="9"/>
  <c r="BY36" i="9"/>
  <c r="BX36" i="9"/>
  <c r="BV36" i="9"/>
  <c r="BW36" i="9" s="1"/>
  <c r="CC51" i="9"/>
  <c r="CD51" i="9" s="1"/>
  <c r="CF51" i="9"/>
  <c r="CE51" i="9"/>
  <c r="EW15" i="9"/>
  <c r="EU15" i="9"/>
  <c r="EV15" i="9" s="1"/>
  <c r="EX15" i="9"/>
  <c r="BR15" i="9"/>
  <c r="BO15" i="9"/>
  <c r="BP15" i="9" s="1"/>
  <c r="BQ15" i="9"/>
  <c r="BR78" i="9"/>
  <c r="BQ78" i="9"/>
  <c r="GD10" i="9"/>
  <c r="GE10" i="9" s="1"/>
  <c r="GF10" i="9"/>
  <c r="BC10" i="9"/>
  <c r="BA10" i="9"/>
  <c r="BB10" i="9" s="1"/>
  <c r="IR104" i="9"/>
  <c r="IO104" i="9"/>
  <c r="IP104" i="9" s="1"/>
  <c r="EU104" i="9"/>
  <c r="EV104" i="9" s="1"/>
  <c r="EX104" i="9"/>
  <c r="BR28" i="9"/>
  <c r="BQ28" i="9"/>
  <c r="HP31" i="9"/>
  <c r="HM31" i="9"/>
  <c r="HN31" i="9" s="1"/>
  <c r="HO31" i="9"/>
  <c r="K31" i="9"/>
  <c r="L31" i="9" s="1"/>
  <c r="N31" i="9"/>
  <c r="IQ108" i="9"/>
  <c r="IR108" i="9"/>
  <c r="IO108" i="9"/>
  <c r="IP108" i="9" s="1"/>
  <c r="M108" i="9"/>
  <c r="K108" i="9"/>
  <c r="L108" i="9" s="1"/>
  <c r="N108" i="9"/>
  <c r="DN56" i="9"/>
  <c r="DO56" i="9"/>
  <c r="AB81" i="9"/>
  <c r="KE13" i="9"/>
  <c r="KF13" i="9" s="1"/>
  <c r="R38" i="9"/>
  <c r="U38" i="9"/>
  <c r="BJ32" i="9"/>
  <c r="BH32" i="9"/>
  <c r="BI32" i="9" s="1"/>
  <c r="BD4" i="9"/>
  <c r="BC4" i="9"/>
  <c r="JT33" i="9"/>
  <c r="JS33" i="9"/>
  <c r="AO97" i="9"/>
  <c r="AP97" i="9"/>
  <c r="AM97" i="9"/>
  <c r="AN97" i="9" s="1"/>
  <c r="IQ83" i="9"/>
  <c r="IO83" i="9"/>
  <c r="IP83" i="9" s="1"/>
  <c r="FI51" i="9"/>
  <c r="FJ51" i="9" s="1"/>
  <c r="FK51" i="9"/>
  <c r="FL51" i="9"/>
  <c r="JM51" i="9"/>
  <c r="JL51" i="9"/>
  <c r="FW15" i="9"/>
  <c r="FZ15" i="9"/>
  <c r="GD15" i="9"/>
  <c r="GE15" i="9" s="1"/>
  <c r="GF15" i="9"/>
  <c r="GG15" i="9"/>
  <c r="FI95" i="9"/>
  <c r="FJ95" i="9" s="1"/>
  <c r="FK95" i="9"/>
  <c r="FL95" i="9"/>
  <c r="HI28" i="9"/>
  <c r="HH28" i="9"/>
  <c r="HF28" i="9"/>
  <c r="HG28" i="9" s="1"/>
  <c r="CL105" i="9"/>
  <c r="CM105" i="9"/>
  <c r="CJ105" i="9"/>
  <c r="CK105" i="9" s="1"/>
  <c r="DO105" i="9"/>
  <c r="DL105" i="9"/>
  <c r="DM105" i="9" s="1"/>
  <c r="DN105" i="9"/>
  <c r="CQ105" i="9"/>
  <c r="CR105" i="9" s="1"/>
  <c r="CT105" i="9"/>
  <c r="CS105" i="9"/>
  <c r="KU90" i="9"/>
  <c r="KV90" i="9"/>
  <c r="KS90" i="9"/>
  <c r="KT90" i="9" s="1"/>
  <c r="FW80" i="9"/>
  <c r="FX80" i="9" s="1"/>
  <c r="FY80" i="9"/>
  <c r="FZ80" i="9"/>
  <c r="DO80" i="9"/>
  <c r="DN80" i="9"/>
  <c r="DL80" i="9"/>
  <c r="DM80" i="9" s="1"/>
  <c r="GM82" i="9"/>
  <c r="GN82" i="9"/>
  <c r="GK82" i="9"/>
  <c r="GL82" i="9" s="1"/>
  <c r="EJ82" i="9"/>
  <c r="EI82" i="9"/>
  <c r="DH109" i="9"/>
  <c r="AO49" i="9"/>
  <c r="AA101" i="9"/>
  <c r="FS35" i="9"/>
  <c r="GM7" i="9"/>
  <c r="HP88" i="9"/>
  <c r="EC88" i="9"/>
  <c r="EB88" i="9"/>
  <c r="BR3" i="9"/>
  <c r="BQ3" i="9"/>
  <c r="BO3" i="9"/>
  <c r="BP3" i="9" s="1"/>
  <c r="FL3" i="9"/>
  <c r="FK3" i="9"/>
  <c r="FI3" i="9"/>
  <c r="FJ3" i="9" s="1"/>
  <c r="DA81" i="9"/>
  <c r="CZ81" i="9"/>
  <c r="KA81" i="9"/>
  <c r="JX81" i="9"/>
  <c r="JY81" i="9" s="1"/>
  <c r="CQ32" i="9"/>
  <c r="CR32" i="9" s="1"/>
  <c r="CS32" i="9"/>
  <c r="FS85" i="9"/>
  <c r="FR85" i="9"/>
  <c r="EW85" i="9"/>
  <c r="EU85" i="9"/>
  <c r="EV85" i="9" s="1"/>
  <c r="GD14" i="9"/>
  <c r="GE14" i="9" s="1"/>
  <c r="AH97" i="9"/>
  <c r="AF97" i="9"/>
  <c r="AG97" i="9" s="1"/>
  <c r="JZ37" i="9"/>
  <c r="JX37" i="9"/>
  <c r="JY37" i="9" s="1"/>
  <c r="KA37" i="9"/>
  <c r="DE54" i="9"/>
  <c r="DF54" i="9" s="1"/>
  <c r="DH54" i="9"/>
  <c r="AI110" i="9"/>
  <c r="AF110" i="9"/>
  <c r="GY110" i="9"/>
  <c r="GZ110" i="9" s="1"/>
  <c r="HB110" i="9"/>
  <c r="HA110" i="9"/>
  <c r="AO78" i="9"/>
  <c r="AP78" i="9"/>
  <c r="AM78" i="9"/>
  <c r="AN78" i="9" s="1"/>
  <c r="DG5" i="9"/>
  <c r="DE5" i="9"/>
  <c r="DF5" i="9" s="1"/>
  <c r="AM89" i="9"/>
  <c r="AN89" i="9" s="1"/>
  <c r="JE96" i="9"/>
  <c r="JF96" i="9"/>
  <c r="BH30" i="9"/>
  <c r="BI30" i="9" s="1"/>
  <c r="IR9" i="9"/>
  <c r="IQ9" i="9"/>
  <c r="EW9" i="9"/>
  <c r="EX9" i="9"/>
  <c r="EU39" i="9"/>
  <c r="EV39" i="9" s="1"/>
  <c r="GK7" i="9"/>
  <c r="GL7" i="9" s="1"/>
  <c r="EJ27" i="9"/>
  <c r="IX67" i="9"/>
  <c r="IY67" i="9"/>
  <c r="BX56" i="9"/>
  <c r="FD88" i="9"/>
  <c r="CQ81" i="9"/>
  <c r="CR81" i="9" s="1"/>
  <c r="CT81" i="9"/>
  <c r="EC13" i="9"/>
  <c r="BK32" i="9"/>
  <c r="FW32" i="9"/>
  <c r="FX32" i="9" s="1"/>
  <c r="FY32" i="9"/>
  <c r="FB32" i="9"/>
  <c r="FC32" i="9" s="1"/>
  <c r="FD32" i="9"/>
  <c r="GG85" i="9"/>
  <c r="GF85" i="9"/>
  <c r="FW4" i="9"/>
  <c r="FX4" i="9" s="1"/>
  <c r="BV97" i="9"/>
  <c r="BW97" i="9" s="1"/>
  <c r="BY97" i="9"/>
  <c r="GM83" i="9"/>
  <c r="BH83" i="9"/>
  <c r="BI83" i="9" s="1"/>
  <c r="BJ83" i="9"/>
  <c r="BK83" i="9"/>
  <c r="JJ51" i="9"/>
  <c r="JK51" i="9" s="1"/>
  <c r="IV110" i="9"/>
  <c r="IW110" i="9" s="1"/>
  <c r="IY110" i="9"/>
  <c r="IX110" i="9"/>
  <c r="BH100" i="9"/>
  <c r="BI100" i="9" s="1"/>
  <c r="BJ100" i="9"/>
  <c r="BK100" i="9"/>
  <c r="IC100" i="9"/>
  <c r="ID100" i="9"/>
  <c r="IA100" i="9"/>
  <c r="IB100" i="9" s="1"/>
  <c r="KG100" i="9"/>
  <c r="KH100" i="9"/>
  <c r="BA77" i="9"/>
  <c r="BB77" i="9" s="1"/>
  <c r="BC77" i="9"/>
  <c r="BD77" i="9"/>
  <c r="JL77" i="9"/>
  <c r="JJ77" i="9"/>
  <c r="JK77" i="9" s="1"/>
  <c r="BO28" i="9"/>
  <c r="BP28" i="9" s="1"/>
  <c r="EC81" i="9"/>
  <c r="DZ81" i="9"/>
  <c r="T36" i="9"/>
  <c r="R36" i="9"/>
  <c r="S36" i="9" s="1"/>
  <c r="DS36" i="9"/>
  <c r="DT36" i="9" s="1"/>
  <c r="DU36" i="9"/>
  <c r="GK25" i="9"/>
  <c r="GL25" i="9" s="1"/>
  <c r="GN25" i="9"/>
  <c r="IX83" i="9"/>
  <c r="CT83" i="9"/>
  <c r="EI68" i="9"/>
  <c r="EJ68" i="9"/>
  <c r="EG68" i="9"/>
  <c r="EH68" i="9" s="1"/>
  <c r="DH110" i="9"/>
  <c r="DG110" i="9"/>
  <c r="CT78" i="9"/>
  <c r="CS78" i="9"/>
  <c r="DG71" i="9"/>
  <c r="DE71" i="9"/>
  <c r="DF71" i="9" s="1"/>
  <c r="GM6" i="9"/>
  <c r="GN6" i="9"/>
  <c r="GK6" i="9"/>
  <c r="GL6" i="9" s="1"/>
  <c r="AH77" i="9"/>
  <c r="AF77" i="9"/>
  <c r="AG77" i="9" s="1"/>
  <c r="CM101" i="9"/>
  <c r="EB70" i="9"/>
  <c r="EB50" i="9"/>
  <c r="IR50" i="9"/>
  <c r="KV35" i="9"/>
  <c r="FW103" i="9"/>
  <c r="FX103" i="9" s="1"/>
  <c r="EN7" i="9"/>
  <c r="EO7" i="9" s="1"/>
  <c r="HM27" i="9"/>
  <c r="HN27" i="9" s="1"/>
  <c r="JF67" i="9"/>
  <c r="JE67" i="9"/>
  <c r="CT88" i="9"/>
  <c r="CX88" i="9"/>
  <c r="CY88" i="9" s="1"/>
  <c r="DA88" i="9"/>
  <c r="AM13" i="9"/>
  <c r="AN13" i="9" s="1"/>
  <c r="D36" i="9"/>
  <c r="IY25" i="9"/>
  <c r="IX25" i="9"/>
  <c r="IV25" i="9"/>
  <c r="IW25" i="9" s="1"/>
  <c r="EN38" i="9"/>
  <c r="EO38" i="9" s="1"/>
  <c r="GU32" i="9"/>
  <c r="KU14" i="9"/>
  <c r="AA14" i="9"/>
  <c r="AB14" i="9"/>
  <c r="Y14" i="9"/>
  <c r="Z14" i="9" s="1"/>
  <c r="DV4" i="9"/>
  <c r="DU4" i="9"/>
  <c r="JF33" i="9"/>
  <c r="JC33" i="9"/>
  <c r="BA83" i="9"/>
  <c r="BB83" i="9" s="1"/>
  <c r="DV15" i="9"/>
  <c r="BQ110" i="9"/>
  <c r="BO110" i="9"/>
  <c r="BP110" i="9" s="1"/>
  <c r="BR110" i="9"/>
  <c r="EQ110" i="9"/>
  <c r="EP110" i="9"/>
  <c r="CQ78" i="9"/>
  <c r="CR78" i="9" s="1"/>
  <c r="FB78" i="9"/>
  <c r="FE78" i="9"/>
  <c r="FY10" i="9"/>
  <c r="FW10" i="9"/>
  <c r="FX10" i="9" s="1"/>
  <c r="FZ10" i="9"/>
  <c r="K10" i="9"/>
  <c r="L10" i="9" s="1"/>
  <c r="N10" i="9"/>
  <c r="M10" i="9"/>
  <c r="KU6" i="9"/>
  <c r="KV6" i="9"/>
  <c r="KS6" i="9"/>
  <c r="KT6" i="9" s="1"/>
  <c r="IA6" i="9"/>
  <c r="IB6" i="9" s="1"/>
  <c r="IC6" i="9"/>
  <c r="ID6" i="9"/>
  <c r="ID77" i="9"/>
  <c r="IC77" i="9"/>
  <c r="BQ84" i="9"/>
  <c r="JE50" i="9"/>
  <c r="IH92" i="9"/>
  <c r="II92" i="9" s="1"/>
  <c r="FD103" i="9"/>
  <c r="FB73" i="9"/>
  <c r="FC73" i="9" s="1"/>
  <c r="HI27" i="9"/>
  <c r="AM102" i="9"/>
  <c r="AN102" i="9" s="1"/>
  <c r="IV67" i="9"/>
  <c r="IW67" i="9" s="1"/>
  <c r="JL42" i="9"/>
  <c r="JM42" i="9"/>
  <c r="HT81" i="9"/>
  <c r="HU81" i="9" s="1"/>
  <c r="KO13" i="9"/>
  <c r="T13" i="9"/>
  <c r="HM13" i="9"/>
  <c r="HN13" i="9" s="1"/>
  <c r="HO13" i="9"/>
  <c r="HI25" i="9"/>
  <c r="HF25" i="9"/>
  <c r="HG25" i="9" s="1"/>
  <c r="HH25" i="9"/>
  <c r="KV14" i="9"/>
  <c r="AF4" i="9"/>
  <c r="AI4" i="9"/>
  <c r="KE4" i="9"/>
  <c r="KF4" i="9" s="1"/>
  <c r="KH4" i="9"/>
  <c r="EJ33" i="9"/>
  <c r="EI33" i="9"/>
  <c r="EG33" i="9"/>
  <c r="EH33" i="9" s="1"/>
  <c r="KE97" i="9"/>
  <c r="KH97" i="9"/>
  <c r="EG40" i="9"/>
  <c r="EH40" i="9" s="1"/>
  <c r="EJ40" i="9"/>
  <c r="HA54" i="9"/>
  <c r="HB54" i="9"/>
  <c r="IA110" i="9"/>
  <c r="IB110" i="9" s="1"/>
  <c r="DO110" i="9"/>
  <c r="DL110" i="9"/>
  <c r="DM110" i="9" s="1"/>
  <c r="HA20" i="9"/>
  <c r="GY20" i="9"/>
  <c r="GZ20" i="9" s="1"/>
  <c r="HB20" i="9"/>
  <c r="FE6" i="9"/>
  <c r="FB6" i="9"/>
  <c r="CL6" i="9"/>
  <c r="CM6" i="9"/>
  <c r="CJ6" i="9"/>
  <c r="CK6" i="9" s="1"/>
  <c r="IA77" i="9"/>
  <c r="IB77" i="9" s="1"/>
  <c r="JJ99" i="9"/>
  <c r="JK99" i="9" s="1"/>
  <c r="IK98" i="9"/>
  <c r="FL8" i="9"/>
  <c r="IR101" i="9"/>
  <c r="FP84" i="9"/>
  <c r="FQ84" i="9" s="1"/>
  <c r="EC70" i="9"/>
  <c r="BJ92" i="9"/>
  <c r="M92" i="9"/>
  <c r="EB12" i="9"/>
  <c r="FK72" i="9"/>
  <c r="KU39" i="9"/>
  <c r="CS39" i="9"/>
  <c r="GY39" i="9"/>
  <c r="GZ39" i="9" s="1"/>
  <c r="EJ73" i="9"/>
  <c r="KA102" i="9"/>
  <c r="R22" i="9"/>
  <c r="S22" i="9" s="1"/>
  <c r="HV22" i="9"/>
  <c r="EG67" i="9"/>
  <c r="EH67" i="9" s="1"/>
  <c r="JX56" i="9"/>
  <c r="JY56" i="9" s="1"/>
  <c r="GD88" i="9"/>
  <c r="GE88" i="9" s="1"/>
  <c r="HP42" i="9"/>
  <c r="HM42" i="9"/>
  <c r="HN42" i="9" s="1"/>
  <c r="BQ81" i="9"/>
  <c r="DN36" i="9"/>
  <c r="BA25" i="9"/>
  <c r="BB25" i="9" s="1"/>
  <c r="BC25" i="9"/>
  <c r="BD25" i="9"/>
  <c r="EP25" i="9"/>
  <c r="EN25" i="9"/>
  <c r="EO25" i="9" s="1"/>
  <c r="ID55" i="9"/>
  <c r="IA55" i="9"/>
  <c r="IB55" i="9" s="1"/>
  <c r="FP33" i="9"/>
  <c r="FQ33" i="9" s="1"/>
  <c r="FR33" i="9"/>
  <c r="DE37" i="9"/>
  <c r="DF37" i="9" s="1"/>
  <c r="DH37" i="9"/>
  <c r="AP37" i="9"/>
  <c r="AM37" i="9"/>
  <c r="AN37" i="9" s="1"/>
  <c r="AO37" i="9"/>
  <c r="FL83" i="9"/>
  <c r="FK83" i="9"/>
  <c r="FI83" i="9"/>
  <c r="FJ83" i="9" s="1"/>
  <c r="CX83" i="9"/>
  <c r="DA83" i="9"/>
  <c r="IX54" i="9"/>
  <c r="IY54" i="9"/>
  <c r="IV54" i="9"/>
  <c r="IW54" i="9" s="1"/>
  <c r="CE86" i="9"/>
  <c r="CC86" i="9"/>
  <c r="CD86" i="9" s="1"/>
  <c r="CF86" i="9"/>
  <c r="D86" i="9"/>
  <c r="E86" i="9" s="1"/>
  <c r="F86" i="9"/>
  <c r="JT78" i="9"/>
  <c r="BO19" i="9"/>
  <c r="BP19" i="9" s="1"/>
  <c r="BR19" i="9"/>
  <c r="BQ19" i="9"/>
  <c r="GG10" i="9"/>
  <c r="KU20" i="9"/>
  <c r="KV20" i="9"/>
  <c r="JS20" i="9"/>
  <c r="JQ20" i="9"/>
  <c r="JR20" i="9" s="1"/>
  <c r="JT20" i="9"/>
  <c r="IR6" i="9"/>
  <c r="IO6" i="9"/>
  <c r="IP6" i="9" s="1"/>
  <c r="FP77" i="9"/>
  <c r="FR101" i="9"/>
  <c r="KG84" i="9"/>
  <c r="CZ84" i="9"/>
  <c r="BO60" i="9"/>
  <c r="BP60" i="9" s="1"/>
  <c r="GD35" i="9"/>
  <c r="GE35" i="9" s="1"/>
  <c r="JJ103" i="9"/>
  <c r="IO72" i="9"/>
  <c r="IP72" i="9" s="1"/>
  <c r="FZ72" i="9"/>
  <c r="KE56" i="9"/>
  <c r="KF56" i="9" s="1"/>
  <c r="BK81" i="9"/>
  <c r="FK81" i="9"/>
  <c r="FI81" i="9"/>
  <c r="FJ81" i="9" s="1"/>
  <c r="HI81" i="9"/>
  <c r="HF81" i="9"/>
  <c r="HG81" i="9" s="1"/>
  <c r="IR36" i="9"/>
  <c r="EG36" i="9"/>
  <c r="EJ36" i="9"/>
  <c r="DH25" i="9"/>
  <c r="DG25" i="9"/>
  <c r="HF55" i="9"/>
  <c r="HG55" i="9" s="1"/>
  <c r="HI55" i="9"/>
  <c r="DZ32" i="9"/>
  <c r="EA32" i="9" s="1"/>
  <c r="KG4" i="9"/>
  <c r="G33" i="9"/>
  <c r="D33" i="9"/>
  <c r="E33" i="9" s="1"/>
  <c r="F33" i="9"/>
  <c r="KN33" i="9"/>
  <c r="KL33" i="9"/>
  <c r="KM33" i="9" s="1"/>
  <c r="N40" i="9"/>
  <c r="K40" i="9"/>
  <c r="L40" i="9" s="1"/>
  <c r="KU37" i="9"/>
  <c r="KS37" i="9"/>
  <c r="KT37" i="9" s="1"/>
  <c r="IQ68" i="9"/>
  <c r="IO68" i="9"/>
  <c r="IP68" i="9" s="1"/>
  <c r="DH68" i="9"/>
  <c r="DG68" i="9"/>
  <c r="DE68" i="9"/>
  <c r="DF68" i="9" s="1"/>
  <c r="M57" i="9"/>
  <c r="K57" i="9"/>
  <c r="L57" i="9" s="1"/>
  <c r="KL57" i="9"/>
  <c r="KM57" i="9" s="1"/>
  <c r="KN57" i="9"/>
  <c r="K110" i="9"/>
  <c r="L110" i="9" s="1"/>
  <c r="M110" i="9"/>
  <c r="N110" i="9"/>
  <c r="CM110" i="9"/>
  <c r="CL110" i="9"/>
  <c r="CJ110" i="9"/>
  <c r="CK110" i="9" s="1"/>
  <c r="DL79" i="9"/>
  <c r="DM79" i="9" s="1"/>
  <c r="DN79" i="9"/>
  <c r="KE100" i="9"/>
  <c r="KF100" i="9" s="1"/>
  <c r="GR77" i="9"/>
  <c r="GS77" i="9" s="1"/>
  <c r="GT77" i="9"/>
  <c r="GU77" i="9"/>
  <c r="HW77" i="9"/>
  <c r="HT77" i="9"/>
  <c r="HU77" i="9" s="1"/>
  <c r="AF31" i="9"/>
  <c r="AG31" i="9" s="1"/>
  <c r="AH31" i="9"/>
  <c r="JE31" i="9"/>
  <c r="JF31" i="9"/>
  <c r="JC31" i="9"/>
  <c r="JD31" i="9" s="1"/>
  <c r="Y65" i="9"/>
  <c r="Z65" i="9" s="1"/>
  <c r="AA65" i="9"/>
  <c r="JX65" i="9"/>
  <c r="JY65" i="9" s="1"/>
  <c r="JZ65" i="9"/>
  <c r="U14" i="9"/>
  <c r="R14" i="9"/>
  <c r="FY14" i="9"/>
  <c r="FZ14" i="9"/>
  <c r="FB51" i="9"/>
  <c r="FC51" i="9" s="1"/>
  <c r="AB15" i="9"/>
  <c r="Y15" i="9"/>
  <c r="Z15" i="9" s="1"/>
  <c r="HP78" i="9"/>
  <c r="HM78" i="9"/>
  <c r="EI10" i="9"/>
  <c r="HF10" i="9"/>
  <c r="HG10" i="9" s="1"/>
  <c r="HH10" i="9"/>
  <c r="HF59" i="9"/>
  <c r="HG59" i="9" s="1"/>
  <c r="HI59" i="9"/>
  <c r="EQ59" i="9"/>
  <c r="EP59" i="9"/>
  <c r="GD6" i="9"/>
  <c r="GE6" i="9" s="1"/>
  <c r="GF6" i="9"/>
  <c r="GG6" i="9"/>
  <c r="DH6" i="9"/>
  <c r="DE6" i="9"/>
  <c r="DF6" i="9" s="1"/>
  <c r="DU9" i="9"/>
  <c r="DS9" i="9"/>
  <c r="DT9" i="9" s="1"/>
  <c r="IY9" i="9"/>
  <c r="IV9" i="9"/>
  <c r="IW9" i="9" s="1"/>
  <c r="IX9" i="9"/>
  <c r="IV105" i="9"/>
  <c r="IW105" i="9" s="1"/>
  <c r="IX105" i="9"/>
  <c r="IY105" i="9"/>
  <c r="BR106" i="9"/>
  <c r="BQ106" i="9"/>
  <c r="BO106" i="9"/>
  <c r="BP106" i="9" s="1"/>
  <c r="KO58" i="9"/>
  <c r="KN58" i="9"/>
  <c r="CJ58" i="9"/>
  <c r="CK58" i="9" s="1"/>
  <c r="CM58" i="9"/>
  <c r="CL58" i="9"/>
  <c r="JJ65" i="9"/>
  <c r="JK65" i="9" s="1"/>
  <c r="JM65" i="9"/>
  <c r="JL65" i="9"/>
  <c r="GT65" i="9"/>
  <c r="GU65" i="9"/>
  <c r="CZ4" i="9"/>
  <c r="DA4" i="9"/>
  <c r="CX4" i="9"/>
  <c r="CY4" i="9" s="1"/>
  <c r="EB33" i="9"/>
  <c r="EC33" i="9"/>
  <c r="IQ97" i="9"/>
  <c r="IO97" i="9"/>
  <c r="IP97" i="9" s="1"/>
  <c r="FI40" i="9"/>
  <c r="FJ40" i="9" s="1"/>
  <c r="FK40" i="9"/>
  <c r="JZ40" i="9"/>
  <c r="JX40" i="9"/>
  <c r="JY40" i="9" s="1"/>
  <c r="GF83" i="9"/>
  <c r="GD83" i="9"/>
  <c r="GE83" i="9" s="1"/>
  <c r="AH68" i="9"/>
  <c r="AI68" i="9"/>
  <c r="T15" i="9"/>
  <c r="R15" i="9"/>
  <c r="S15" i="9" s="1"/>
  <c r="EC86" i="9"/>
  <c r="EB86" i="9"/>
  <c r="DZ86" i="9"/>
  <c r="EA86" i="9" s="1"/>
  <c r="GR19" i="9"/>
  <c r="GS19" i="9" s="1"/>
  <c r="GT19" i="9"/>
  <c r="IA19" i="9"/>
  <c r="IB19" i="9" s="1"/>
  <c r="IC19" i="9"/>
  <c r="CX10" i="9"/>
  <c r="HT6" i="9"/>
  <c r="HU6" i="9" s="1"/>
  <c r="HW6" i="9"/>
  <c r="FD75" i="9"/>
  <c r="FE75" i="9"/>
  <c r="FB75" i="9"/>
  <c r="FC75" i="9" s="1"/>
  <c r="BD75" i="9"/>
  <c r="BA75" i="9"/>
  <c r="BB75" i="9" s="1"/>
  <c r="IQ77" i="9"/>
  <c r="IO77" i="9"/>
  <c r="IP77" i="9" s="1"/>
  <c r="IR77" i="9"/>
  <c r="GK77" i="9"/>
  <c r="GL77" i="9" s="1"/>
  <c r="GN77" i="9"/>
  <c r="EX77" i="9"/>
  <c r="EW77" i="9"/>
  <c r="EU77" i="9"/>
  <c r="EV77" i="9" s="1"/>
  <c r="IO89" i="9"/>
  <c r="IP89" i="9" s="1"/>
  <c r="IQ89" i="9"/>
  <c r="IR89" i="9"/>
  <c r="GY31" i="9"/>
  <c r="GZ31" i="9" s="1"/>
  <c r="HA31" i="9"/>
  <c r="HI31" i="9"/>
  <c r="HH31" i="9"/>
  <c r="CC13" i="9"/>
  <c r="CD13" i="9" s="1"/>
  <c r="BO32" i="9"/>
  <c r="BP32" i="9" s="1"/>
  <c r="BR32" i="9"/>
  <c r="JM4" i="9"/>
  <c r="JJ4" i="9"/>
  <c r="FK97" i="9"/>
  <c r="FL97" i="9"/>
  <c r="AT40" i="9"/>
  <c r="AU40" i="9" s="1"/>
  <c r="AV40" i="9"/>
  <c r="AW40" i="9"/>
  <c r="EP37" i="9"/>
  <c r="EN37" i="9"/>
  <c r="EO37" i="9" s="1"/>
  <c r="HI15" i="9"/>
  <c r="AO57" i="9"/>
  <c r="AM57" i="9"/>
  <c r="AN57" i="9" s="1"/>
  <c r="K86" i="9"/>
  <c r="L86" i="9" s="1"/>
  <c r="M86" i="9"/>
  <c r="GF78" i="9"/>
  <c r="GM77" i="9"/>
  <c r="K21" i="9"/>
  <c r="L21" i="9" s="1"/>
  <c r="M21" i="9"/>
  <c r="IH21" i="9"/>
  <c r="II21" i="9" s="1"/>
  <c r="IJ21" i="9"/>
  <c r="AI31" i="9"/>
  <c r="IA51" i="9"/>
  <c r="ID51" i="9"/>
  <c r="HF51" i="9"/>
  <c r="HG51" i="9" s="1"/>
  <c r="HI51" i="9"/>
  <c r="ID15" i="9"/>
  <c r="IA15" i="9"/>
  <c r="IB15" i="9" s="1"/>
  <c r="ID57" i="9"/>
  <c r="IA57" i="9"/>
  <c r="KS86" i="9"/>
  <c r="KT86" i="9" s="1"/>
  <c r="KU86" i="9"/>
  <c r="JJ86" i="9"/>
  <c r="JK86" i="9" s="1"/>
  <c r="JL86" i="9"/>
  <c r="DA44" i="9"/>
  <c r="CZ44" i="9"/>
  <c r="AW78" i="9"/>
  <c r="AV78" i="9"/>
  <c r="KN78" i="9"/>
  <c r="KL78" i="9"/>
  <c r="KM78" i="9" s="1"/>
  <c r="IA10" i="9"/>
  <c r="IB10" i="9" s="1"/>
  <c r="ID10" i="9"/>
  <c r="FR59" i="9"/>
  <c r="FS59" i="9"/>
  <c r="IK100" i="9"/>
  <c r="IH100" i="9"/>
  <c r="II100" i="9" s="1"/>
  <c r="EB79" i="9"/>
  <c r="JT71" i="9"/>
  <c r="JS71" i="9"/>
  <c r="JQ71" i="9"/>
  <c r="JR71" i="9" s="1"/>
  <c r="DV21" i="9"/>
  <c r="DS21" i="9"/>
  <c r="IV56" i="9"/>
  <c r="IW56" i="9" s="1"/>
  <c r="GM88" i="9"/>
  <c r="CC55" i="9"/>
  <c r="CD55" i="9" s="1"/>
  <c r="HT85" i="9"/>
  <c r="HU85" i="9" s="1"/>
  <c r="HV85" i="9"/>
  <c r="KN14" i="9"/>
  <c r="BX4" i="9"/>
  <c r="BH97" i="9"/>
  <c r="BI97" i="9" s="1"/>
  <c r="DU40" i="9"/>
  <c r="KV40" i="9"/>
  <c r="KS40" i="9"/>
  <c r="KT40" i="9" s="1"/>
  <c r="CS68" i="9"/>
  <c r="DV51" i="9"/>
  <c r="DS51" i="9"/>
  <c r="DT51" i="9" s="1"/>
  <c r="EC51" i="9"/>
  <c r="EB51" i="9"/>
  <c r="BD51" i="9"/>
  <c r="BA51" i="9"/>
  <c r="AA15" i="9"/>
  <c r="JX15" i="9"/>
  <c r="JY15" i="9" s="1"/>
  <c r="HA15" i="9"/>
  <c r="GY15" i="9"/>
  <c r="GZ15" i="9" s="1"/>
  <c r="HB15" i="9"/>
  <c r="IV57" i="9"/>
  <c r="IW57" i="9" s="1"/>
  <c r="EJ57" i="9"/>
  <c r="EI57" i="9"/>
  <c r="HF86" i="9"/>
  <c r="HG86" i="9" s="1"/>
  <c r="HH86" i="9"/>
  <c r="IJ44" i="9"/>
  <c r="JS79" i="9"/>
  <c r="GG78" i="9"/>
  <c r="JX71" i="9"/>
  <c r="JY71" i="9" s="1"/>
  <c r="KA71" i="9"/>
  <c r="BY46" i="9"/>
  <c r="BX46" i="9"/>
  <c r="DV46" i="9"/>
  <c r="DS46" i="9"/>
  <c r="DT46" i="9" s="1"/>
  <c r="JF20" i="9"/>
  <c r="JE20" i="9"/>
  <c r="IJ100" i="9"/>
  <c r="IO26" i="9"/>
  <c r="IP26" i="9" s="1"/>
  <c r="IR26" i="9"/>
  <c r="IQ26" i="9"/>
  <c r="JX26" i="9"/>
  <c r="JY26" i="9" s="1"/>
  <c r="JZ26" i="9"/>
  <c r="KA26" i="9"/>
  <c r="JC89" i="9"/>
  <c r="JD89" i="9" s="1"/>
  <c r="JF89" i="9"/>
  <c r="JE89" i="9"/>
  <c r="IA23" i="9"/>
  <c r="IB23" i="9" s="1"/>
  <c r="IC23" i="9"/>
  <c r="Y23" i="9"/>
  <c r="Z23" i="9" s="1"/>
  <c r="AB23" i="9"/>
  <c r="FL88" i="9"/>
  <c r="CE36" i="9"/>
  <c r="G32" i="9"/>
  <c r="AI85" i="9"/>
  <c r="CJ85" i="9"/>
  <c r="CK85" i="9" s="1"/>
  <c r="CL85" i="9"/>
  <c r="DU14" i="9"/>
  <c r="AP14" i="9"/>
  <c r="AM14" i="9"/>
  <c r="AN14" i="9" s="1"/>
  <c r="CE4" i="9"/>
  <c r="BJ4" i="9"/>
  <c r="BK4" i="9"/>
  <c r="CC97" i="9"/>
  <c r="CD97" i="9" s="1"/>
  <c r="HI97" i="9"/>
  <c r="HH97" i="9"/>
  <c r="FD40" i="9"/>
  <c r="D40" i="9"/>
  <c r="E40" i="9" s="1"/>
  <c r="F40" i="9"/>
  <c r="DZ83" i="9"/>
  <c r="EA83" i="9" s="1"/>
  <c r="EB83" i="9"/>
  <c r="R51" i="9"/>
  <c r="S51" i="9" s="1"/>
  <c r="IH51" i="9"/>
  <c r="II51" i="9" s="1"/>
  <c r="IJ51" i="9"/>
  <c r="HB57" i="9"/>
  <c r="AF86" i="9"/>
  <c r="AG86" i="9" s="1"/>
  <c r="AB71" i="9"/>
  <c r="DZ46" i="9"/>
  <c r="EA46" i="9" s="1"/>
  <c r="EB46" i="9"/>
  <c r="JS59" i="9"/>
  <c r="JT59" i="9"/>
  <c r="N20" i="9"/>
  <c r="M20" i="9"/>
  <c r="BV21" i="9"/>
  <c r="AP23" i="9"/>
  <c r="AO23" i="9"/>
  <c r="HW23" i="9"/>
  <c r="HT23" i="9"/>
  <c r="FB66" i="9"/>
  <c r="FC66" i="9" s="1"/>
  <c r="FD66" i="9"/>
  <c r="KS66" i="9"/>
  <c r="KT66" i="9" s="1"/>
  <c r="KV66" i="9"/>
  <c r="KU66" i="9"/>
  <c r="FY42" i="9"/>
  <c r="FD42" i="9"/>
  <c r="G3" i="9"/>
  <c r="D3" i="9"/>
  <c r="E3" i="9" s="1"/>
  <c r="Y13" i="9"/>
  <c r="IK25" i="9"/>
  <c r="N38" i="9"/>
  <c r="M38" i="9"/>
  <c r="IX97" i="9"/>
  <c r="HB68" i="9"/>
  <c r="HA68" i="9"/>
  <c r="GY68" i="9"/>
  <c r="GZ68" i="9" s="1"/>
  <c r="HH51" i="9"/>
  <c r="KE51" i="9"/>
  <c r="KH51" i="9"/>
  <c r="AI15" i="9"/>
  <c r="AF15" i="9"/>
  <c r="AG15" i="9" s="1"/>
  <c r="AH15" i="9"/>
  <c r="DH86" i="9"/>
  <c r="DG86" i="9"/>
  <c r="HA44" i="9"/>
  <c r="GY44" i="9"/>
  <c r="GZ44" i="9" s="1"/>
  <c r="HB44" i="9"/>
  <c r="IO110" i="9"/>
  <c r="KO78" i="9"/>
  <c r="HV6" i="9"/>
  <c r="IH94" i="9"/>
  <c r="IK94" i="9"/>
  <c r="JF94" i="9"/>
  <c r="JE94" i="9"/>
  <c r="IX104" i="9"/>
  <c r="IV104" i="9"/>
  <c r="IW104" i="9" s="1"/>
  <c r="GY104" i="9"/>
  <c r="GZ104" i="9" s="1"/>
  <c r="HA104" i="9"/>
  <c r="BK26" i="9"/>
  <c r="BH26" i="9"/>
  <c r="BI26" i="9" s="1"/>
  <c r="BJ26" i="9"/>
  <c r="EJ26" i="9"/>
  <c r="EG26" i="9"/>
  <c r="EH26" i="9" s="1"/>
  <c r="BC5" i="9"/>
  <c r="BD5" i="9"/>
  <c r="BA5" i="9"/>
  <c r="BB5" i="9" s="1"/>
  <c r="KV5" i="9"/>
  <c r="KU5" i="9"/>
  <c r="IH25" i="9"/>
  <c r="II25" i="9" s="1"/>
  <c r="JZ25" i="9"/>
  <c r="FW14" i="9"/>
  <c r="FX14" i="9" s="1"/>
  <c r="AT33" i="9"/>
  <c r="AU33" i="9" s="1"/>
  <c r="AV33" i="9"/>
  <c r="FL40" i="9"/>
  <c r="IR86" i="9"/>
  <c r="IO86" i="9"/>
  <c r="JZ79" i="9"/>
  <c r="JX79" i="9"/>
  <c r="JY79" i="9" s="1"/>
  <c r="DA71" i="9"/>
  <c r="KG71" i="9"/>
  <c r="KH71" i="9"/>
  <c r="EC71" i="9"/>
  <c r="EB71" i="9"/>
  <c r="DA19" i="9"/>
  <c r="HI10" i="9"/>
  <c r="ID46" i="9"/>
  <c r="BJ46" i="9"/>
  <c r="BH46" i="9"/>
  <c r="BI46" i="9" s="1"/>
  <c r="JL6" i="9"/>
  <c r="JM6" i="9"/>
  <c r="BX6" i="9"/>
  <c r="BV6" i="9"/>
  <c r="BW6" i="9" s="1"/>
  <c r="BY6" i="9"/>
  <c r="AF6" i="9"/>
  <c r="AG6" i="9" s="1"/>
  <c r="AH6" i="9"/>
  <c r="BA89" i="9"/>
  <c r="BB89" i="9" s="1"/>
  <c r="BC89" i="9"/>
  <c r="GK89" i="9"/>
  <c r="GL89" i="9" s="1"/>
  <c r="GM89" i="9"/>
  <c r="HM16" i="9"/>
  <c r="HN16" i="9" s="1"/>
  <c r="HO16" i="9"/>
  <c r="HP16" i="9"/>
  <c r="IR61" i="9"/>
  <c r="AH23" i="9"/>
  <c r="AI23" i="9"/>
  <c r="CC23" i="9"/>
  <c r="CD23" i="9" s="1"/>
  <c r="CE23" i="9"/>
  <c r="CF23" i="9"/>
  <c r="IV107" i="9"/>
  <c r="IW107" i="9" s="1"/>
  <c r="IX107" i="9"/>
  <c r="IY107" i="9"/>
  <c r="KS104" i="9"/>
  <c r="KT104" i="9" s="1"/>
  <c r="KV104" i="9"/>
  <c r="D26" i="9"/>
  <c r="E26" i="9" s="1"/>
  <c r="F26" i="9"/>
  <c r="GR21" i="9"/>
  <c r="GS21" i="9" s="1"/>
  <c r="GU21" i="9"/>
  <c r="GT21" i="9"/>
  <c r="AV89" i="9"/>
  <c r="AT89" i="9"/>
  <c r="AU89" i="9" s="1"/>
  <c r="AW89" i="9"/>
  <c r="CM76" i="9"/>
  <c r="IH17" i="9"/>
  <c r="II17" i="9" s="1"/>
  <c r="KA23" i="9"/>
  <c r="JZ23" i="9"/>
  <c r="JX23" i="9"/>
  <c r="JY23" i="9" s="1"/>
  <c r="IR23" i="9"/>
  <c r="IQ23" i="9"/>
  <c r="IO23" i="9"/>
  <c r="IP23" i="9" s="1"/>
  <c r="IV65" i="9"/>
  <c r="IW65" i="9" s="1"/>
  <c r="IX65" i="9"/>
  <c r="EC65" i="9"/>
  <c r="EB65" i="9"/>
  <c r="DZ65" i="9"/>
  <c r="EA65" i="9" s="1"/>
  <c r="DE21" i="9"/>
  <c r="DF21" i="9" s="1"/>
  <c r="DH21" i="9"/>
  <c r="DG21" i="9"/>
  <c r="AF21" i="9"/>
  <c r="AG21" i="9" s="1"/>
  <c r="AH21" i="9"/>
  <c r="CZ28" i="9"/>
  <c r="CX28" i="9"/>
  <c r="CY28" i="9" s="1"/>
  <c r="HB89" i="9"/>
  <c r="GY89" i="9"/>
  <c r="GZ89" i="9" s="1"/>
  <c r="DV30" i="9"/>
  <c r="CL76" i="9"/>
  <c r="JF65" i="9"/>
  <c r="JE65" i="9"/>
  <c r="JC65" i="9"/>
  <c r="JD65" i="9" s="1"/>
  <c r="HM65" i="9"/>
  <c r="HN65" i="9" s="1"/>
  <c r="HP65" i="9"/>
  <c r="HO65" i="9"/>
  <c r="T108" i="9"/>
  <c r="U108" i="9"/>
  <c r="R108" i="9"/>
  <c r="S108" i="9" s="1"/>
  <c r="JC108" i="9"/>
  <c r="JD108" i="9" s="1"/>
  <c r="JE108" i="9"/>
  <c r="GG41" i="9"/>
  <c r="GF41" i="9"/>
  <c r="GD41" i="9"/>
  <c r="GE41" i="9" s="1"/>
  <c r="JX104" i="9"/>
  <c r="JY104" i="9" s="1"/>
  <c r="KA104" i="9"/>
  <c r="JZ104" i="9"/>
  <c r="BD26" i="9"/>
  <c r="KL26" i="9"/>
  <c r="KM26" i="9" s="1"/>
  <c r="U28" i="9"/>
  <c r="T28" i="9"/>
  <c r="IV5" i="9"/>
  <c r="IW5" i="9" s="1"/>
  <c r="IX5" i="9"/>
  <c r="EC30" i="9"/>
  <c r="DZ30" i="9"/>
  <c r="EA30" i="9" s="1"/>
  <c r="EB30" i="9"/>
  <c r="BV66" i="9"/>
  <c r="BW66" i="9" s="1"/>
  <c r="BX66" i="9"/>
  <c r="DN65" i="9"/>
  <c r="DL65" i="9"/>
  <c r="DM65" i="9" s="1"/>
  <c r="DO65" i="9"/>
  <c r="FK41" i="9"/>
  <c r="FL41" i="9"/>
  <c r="GG37" i="9"/>
  <c r="JM57" i="9"/>
  <c r="BA86" i="9"/>
  <c r="BB86" i="9" s="1"/>
  <c r="KH19" i="9"/>
  <c r="FE10" i="9"/>
  <c r="AP10" i="9"/>
  <c r="JT46" i="9"/>
  <c r="JS46" i="9"/>
  <c r="DE59" i="9"/>
  <c r="DF59" i="9" s="1"/>
  <c r="DV59" i="9"/>
  <c r="DU59" i="9"/>
  <c r="IY20" i="9"/>
  <c r="FP94" i="9"/>
  <c r="FS94" i="9"/>
  <c r="BC26" i="9"/>
  <c r="GG21" i="9"/>
  <c r="GF21" i="9"/>
  <c r="CL21" i="9"/>
  <c r="CJ21" i="9"/>
  <c r="CK21" i="9" s="1"/>
  <c r="AT28" i="9"/>
  <c r="AU28" i="9" s="1"/>
  <c r="BK5" i="9"/>
  <c r="ID5" i="9"/>
  <c r="IC5" i="9"/>
  <c r="FR96" i="9"/>
  <c r="DG30" i="9"/>
  <c r="IH76" i="9"/>
  <c r="II76" i="9" s="1"/>
  <c r="IJ76" i="9"/>
  <c r="IK76" i="9"/>
  <c r="EU76" i="9"/>
  <c r="EV76" i="9" s="1"/>
  <c r="EW76" i="9"/>
  <c r="DG17" i="9"/>
  <c r="DE17" i="9"/>
  <c r="DF17" i="9" s="1"/>
  <c r="AO17" i="9"/>
  <c r="AP17" i="9"/>
  <c r="BD105" i="9"/>
  <c r="AM90" i="9"/>
  <c r="AN90" i="9" s="1"/>
  <c r="AP90" i="9"/>
  <c r="HA90" i="9"/>
  <c r="HB90" i="9"/>
  <c r="HM90" i="9"/>
  <c r="HN90" i="9" s="1"/>
  <c r="HO90" i="9"/>
  <c r="IO66" i="9"/>
  <c r="IP66" i="9" s="1"/>
  <c r="IR66" i="9"/>
  <c r="IQ66" i="9"/>
  <c r="BQ65" i="9"/>
  <c r="FR108" i="9"/>
  <c r="FP108" i="9"/>
  <c r="FQ108" i="9" s="1"/>
  <c r="FS108" i="9"/>
  <c r="HM108" i="9"/>
  <c r="HN108" i="9" s="1"/>
  <c r="HP108" i="9"/>
  <c r="FI41" i="9"/>
  <c r="FJ41" i="9" s="1"/>
  <c r="GN76" i="9"/>
  <c r="GM76" i="9"/>
  <c r="BH62" i="9"/>
  <c r="BI62" i="9" s="1"/>
  <c r="BK62" i="9"/>
  <c r="BJ62" i="9"/>
  <c r="HV106" i="9"/>
  <c r="HW106" i="9"/>
  <c r="HT106" i="9"/>
  <c r="HU106" i="9" s="1"/>
  <c r="EX106" i="9"/>
  <c r="EU106" i="9"/>
  <c r="EV106" i="9" s="1"/>
  <c r="EW106" i="9"/>
  <c r="GK29" i="9"/>
  <c r="GL29" i="9" s="1"/>
  <c r="GM29" i="9"/>
  <c r="GN29" i="9"/>
  <c r="CX29" i="9"/>
  <c r="CY29" i="9" s="1"/>
  <c r="DA29" i="9"/>
  <c r="FW66" i="9"/>
  <c r="FX66" i="9" s="1"/>
  <c r="FY66" i="9"/>
  <c r="HI65" i="9"/>
  <c r="HF65" i="9"/>
  <c r="HG65" i="9" s="1"/>
  <c r="HH65" i="9"/>
  <c r="HW65" i="9"/>
  <c r="HV65" i="9"/>
  <c r="BK41" i="9"/>
  <c r="BH41" i="9"/>
  <c r="BI41" i="9" s="1"/>
  <c r="BJ41" i="9"/>
  <c r="FP41" i="9"/>
  <c r="FS41" i="9"/>
  <c r="IK37" i="9"/>
  <c r="M83" i="9"/>
  <c r="BK44" i="9"/>
  <c r="JL78" i="9"/>
  <c r="AO71" i="9"/>
  <c r="CL59" i="9"/>
  <c r="CJ59" i="9"/>
  <c r="CK59" i="9" s="1"/>
  <c r="BV59" i="9"/>
  <c r="BW59" i="9" s="1"/>
  <c r="BX59" i="9"/>
  <c r="BY59" i="9"/>
  <c r="DU100" i="9"/>
  <c r="KO75" i="9"/>
  <c r="KL75" i="9"/>
  <c r="KM75" i="9" s="1"/>
  <c r="JT21" i="9"/>
  <c r="JQ5" i="9"/>
  <c r="JT5" i="9"/>
  <c r="GG5" i="9"/>
  <c r="GF5" i="9"/>
  <c r="GD5" i="9"/>
  <c r="GE5" i="9" s="1"/>
  <c r="DL62" i="9"/>
  <c r="DM62" i="9" s="1"/>
  <c r="DN62" i="9"/>
  <c r="DO62" i="9"/>
  <c r="GN62" i="9"/>
  <c r="GK62" i="9"/>
  <c r="EC62" i="9"/>
  <c r="EB62" i="9"/>
  <c r="CF105" i="9"/>
  <c r="IV106" i="9"/>
  <c r="IW106" i="9" s="1"/>
  <c r="IX106" i="9"/>
  <c r="IY106" i="9"/>
  <c r="JQ106" i="9"/>
  <c r="JR106" i="9" s="1"/>
  <c r="JT106" i="9"/>
  <c r="IR63" i="9"/>
  <c r="IQ63" i="9"/>
  <c r="IO63" i="9"/>
  <c r="IP63" i="9" s="1"/>
  <c r="JC63" i="9"/>
  <c r="JF63" i="9"/>
  <c r="FZ66" i="9"/>
  <c r="KG19" i="9"/>
  <c r="DE10" i="9"/>
  <c r="DF10" i="9" s="1"/>
  <c r="AI100" i="9"/>
  <c r="AF100" i="9"/>
  <c r="KV28" i="9"/>
  <c r="IO5" i="9"/>
  <c r="IP5" i="9" s="1"/>
  <c r="IR5" i="9"/>
  <c r="BA96" i="9"/>
  <c r="BB96" i="9" s="1"/>
  <c r="IV96" i="9"/>
  <c r="IW96" i="9" s="1"/>
  <c r="IY96" i="9"/>
  <c r="KG30" i="9"/>
  <c r="KE30" i="9"/>
  <c r="KF30" i="9" s="1"/>
  <c r="DO30" i="9"/>
  <c r="DN30" i="9"/>
  <c r="KA30" i="9"/>
  <c r="JZ30" i="9"/>
  <c r="JX30" i="9"/>
  <c r="JY30" i="9" s="1"/>
  <c r="R62" i="9"/>
  <c r="S62" i="9" s="1"/>
  <c r="T62" i="9"/>
  <c r="U62" i="9"/>
  <c r="BR62" i="9"/>
  <c r="BQ62" i="9"/>
  <c r="BO62" i="9"/>
  <c r="BP62" i="9" s="1"/>
  <c r="BD62" i="9"/>
  <c r="BC62" i="9"/>
  <c r="FB17" i="9"/>
  <c r="FE17" i="9"/>
  <c r="CZ106" i="9"/>
  <c r="CX106" i="9"/>
  <c r="CY106" i="9" s="1"/>
  <c r="DA106" i="9"/>
  <c r="FB106" i="9"/>
  <c r="FC106" i="9" s="1"/>
  <c r="FD106" i="9"/>
  <c r="KL80" i="9"/>
  <c r="KM80" i="9" s="1"/>
  <c r="KO80" i="9"/>
  <c r="KN80" i="9"/>
  <c r="DV80" i="9"/>
  <c r="DU80" i="9"/>
  <c r="KS58" i="9"/>
  <c r="KT58" i="9" s="1"/>
  <c r="KV58" i="9"/>
  <c r="AF66" i="9"/>
  <c r="AI66" i="9"/>
  <c r="HO108" i="9"/>
  <c r="FZ26" i="9"/>
  <c r="FW26" i="9"/>
  <c r="FX26" i="9" s="1"/>
  <c r="FD21" i="9"/>
  <c r="FE21" i="9"/>
  <c r="AA5" i="9"/>
  <c r="AB5" i="9"/>
  <c r="CM89" i="9"/>
  <c r="CL89" i="9"/>
  <c r="FK96" i="9"/>
  <c r="FL96" i="9"/>
  <c r="AB30" i="9"/>
  <c r="AA30" i="9"/>
  <c r="HB76" i="9"/>
  <c r="GY76" i="9"/>
  <c r="GZ76" i="9" s="1"/>
  <c r="HA76" i="9"/>
  <c r="IX62" i="9"/>
  <c r="IV62" i="9"/>
  <c r="IW62" i="9" s="1"/>
  <c r="IK9" i="9"/>
  <c r="IH9" i="9"/>
  <c r="II9" i="9" s="1"/>
  <c r="IJ9" i="9"/>
  <c r="D17" i="9"/>
  <c r="E17" i="9" s="1"/>
  <c r="G17" i="9"/>
  <c r="BQ17" i="9"/>
  <c r="BR17" i="9"/>
  <c r="BO17" i="9"/>
  <c r="BP17" i="9" s="1"/>
  <c r="DS105" i="9"/>
  <c r="DT105" i="9" s="1"/>
  <c r="DV105" i="9"/>
  <c r="DU105" i="9"/>
  <c r="KO69" i="9"/>
  <c r="KN69" i="9"/>
  <c r="JF80" i="9"/>
  <c r="JE80" i="9"/>
  <c r="JC80" i="9"/>
  <c r="JD80" i="9" s="1"/>
  <c r="CZ29" i="9"/>
  <c r="IR58" i="9"/>
  <c r="IQ58" i="9"/>
  <c r="EG66" i="9"/>
  <c r="EH66" i="9" s="1"/>
  <c r="O112" i="9"/>
  <c r="F78" i="9"/>
  <c r="FR46" i="9"/>
  <c r="CJ94" i="9"/>
  <c r="CM94" i="9"/>
  <c r="GD95" i="9"/>
  <c r="D95" i="9"/>
  <c r="G95" i="9"/>
  <c r="HH5" i="9"/>
  <c r="HI5" i="9"/>
  <c r="FB30" i="9"/>
  <c r="FC30" i="9" s="1"/>
  <c r="FD30" i="9"/>
  <c r="CX16" i="9"/>
  <c r="CY16" i="9" s="1"/>
  <c r="GD16" i="9"/>
  <c r="GE16" i="9" s="1"/>
  <c r="GG16" i="9"/>
  <c r="EJ16" i="9"/>
  <c r="EI16" i="9"/>
  <c r="CS76" i="9"/>
  <c r="DN76" i="9"/>
  <c r="DO76" i="9"/>
  <c r="DL76" i="9"/>
  <c r="DM76" i="9" s="1"/>
  <c r="IX76" i="9"/>
  <c r="IY76" i="9"/>
  <c r="DO9" i="9"/>
  <c r="DN9" i="9"/>
  <c r="DL9" i="9"/>
  <c r="DM9" i="9" s="1"/>
  <c r="AT17" i="9"/>
  <c r="AU17" i="9" s="1"/>
  <c r="AV17" i="9"/>
  <c r="AW17" i="9"/>
  <c r="AV61" i="9"/>
  <c r="AW61" i="9"/>
  <c r="BA105" i="9"/>
  <c r="BB105" i="9" s="1"/>
  <c r="IJ105" i="9"/>
  <c r="IH105" i="9"/>
  <c r="II105" i="9" s="1"/>
  <c r="KA69" i="9"/>
  <c r="JX69" i="9"/>
  <c r="JY69" i="9" s="1"/>
  <c r="JZ69" i="9"/>
  <c r="HI63" i="9"/>
  <c r="HF63" i="9"/>
  <c r="GU58" i="9"/>
  <c r="GR58" i="9"/>
  <c r="GS58" i="9" s="1"/>
  <c r="HO58" i="9"/>
  <c r="HM58" i="9"/>
  <c r="HN58" i="9" s="1"/>
  <c r="KH31" i="9"/>
  <c r="KE31" i="9"/>
  <c r="KF31" i="9" s="1"/>
  <c r="R11" i="9"/>
  <c r="U11" i="9"/>
  <c r="JZ11" i="9"/>
  <c r="JX11" i="9"/>
  <c r="JY11" i="9" s="1"/>
  <c r="EJ43" i="9"/>
  <c r="EI43" i="9"/>
  <c r="EG43" i="9"/>
  <c r="EH43" i="9" s="1"/>
  <c r="AH51" i="9"/>
  <c r="GG79" i="9"/>
  <c r="BV10" i="9"/>
  <c r="BW10" i="9" s="1"/>
  <c r="BX10" i="9"/>
  <c r="JF59" i="9"/>
  <c r="JC59" i="9"/>
  <c r="AF94" i="9"/>
  <c r="AG94" i="9" s="1"/>
  <c r="AI94" i="9"/>
  <c r="BC94" i="9"/>
  <c r="BD94" i="9"/>
  <c r="JF107" i="9"/>
  <c r="JE107" i="9"/>
  <c r="GG77" i="9"/>
  <c r="KO77" i="9"/>
  <c r="KL77" i="9"/>
  <c r="KM77" i="9" s="1"/>
  <c r="KL28" i="9"/>
  <c r="KM28" i="9" s="1"/>
  <c r="KN28" i="9"/>
  <c r="HA5" i="9"/>
  <c r="CZ16" i="9"/>
  <c r="KV76" i="9"/>
  <c r="KS76" i="9"/>
  <c r="KT76" i="9" s="1"/>
  <c r="BA76" i="9"/>
  <c r="BB76" i="9" s="1"/>
  <c r="BD76" i="9"/>
  <c r="BC76" i="9"/>
  <c r="GR76" i="9"/>
  <c r="GS76" i="9" s="1"/>
  <c r="GU76" i="9"/>
  <c r="GT76" i="9"/>
  <c r="GR17" i="9"/>
  <c r="GS17" i="9" s="1"/>
  <c r="GT17" i="9"/>
  <c r="GU17" i="9"/>
  <c r="DG105" i="9"/>
  <c r="HW105" i="9"/>
  <c r="HT105" i="9"/>
  <c r="HU105" i="9" s="1"/>
  <c r="HV105" i="9"/>
  <c r="AT105" i="9"/>
  <c r="AU105" i="9" s="1"/>
  <c r="AV105" i="9"/>
  <c r="FK69" i="9"/>
  <c r="GY69" i="9"/>
  <c r="GZ69" i="9" s="1"/>
  <c r="HB69" i="9"/>
  <c r="HP58" i="9"/>
  <c r="BX14" i="9"/>
  <c r="CS14" i="9"/>
  <c r="GU37" i="9"/>
  <c r="FD37" i="9"/>
  <c r="CC57" i="9"/>
  <c r="CD57" i="9" s="1"/>
  <c r="DG57" i="9"/>
  <c r="BH44" i="9"/>
  <c r="IQ78" i="9"/>
  <c r="BH71" i="9"/>
  <c r="BI71" i="9" s="1"/>
  <c r="HV59" i="9"/>
  <c r="HW59" i="9"/>
  <c r="FY100" i="9"/>
  <c r="GM94" i="9"/>
  <c r="GN94" i="9"/>
  <c r="EG95" i="9"/>
  <c r="EH95" i="9" s="1"/>
  <c r="EI95" i="9"/>
  <c r="DO77" i="9"/>
  <c r="DN77" i="9"/>
  <c r="DH77" i="9"/>
  <c r="DG77" i="9"/>
  <c r="IY28" i="9"/>
  <c r="IX28" i="9"/>
  <c r="KE28" i="9"/>
  <c r="KF28" i="9" s="1"/>
  <c r="KH28" i="9"/>
  <c r="JC5" i="9"/>
  <c r="HA89" i="9"/>
  <c r="CE96" i="9"/>
  <c r="CF96" i="9"/>
  <c r="U96" i="9"/>
  <c r="T96" i="9"/>
  <c r="DU30" i="9"/>
  <c r="DH16" i="9"/>
  <c r="DE16" i="9"/>
  <c r="DF16" i="9" s="1"/>
  <c r="EC16" i="9"/>
  <c r="DZ16" i="9"/>
  <c r="IJ16" i="9"/>
  <c r="IH16" i="9"/>
  <c r="II16" i="9" s="1"/>
  <c r="AA76" i="9"/>
  <c r="Y76" i="9"/>
  <c r="Z76" i="9" s="1"/>
  <c r="HP76" i="9"/>
  <c r="HO76" i="9"/>
  <c r="DA62" i="9"/>
  <c r="KH62" i="9"/>
  <c r="KG62" i="9"/>
  <c r="CQ62" i="9"/>
  <c r="CT62" i="9"/>
  <c r="KH17" i="9"/>
  <c r="KE17" i="9"/>
  <c r="CF17" i="9"/>
  <c r="CE17" i="9"/>
  <c r="JX105" i="9"/>
  <c r="JY105" i="9" s="1"/>
  <c r="JZ105" i="9"/>
  <c r="KH105" i="9"/>
  <c r="KE105" i="9"/>
  <c r="KF105" i="9" s="1"/>
  <c r="DO69" i="9"/>
  <c r="JF29" i="9"/>
  <c r="JE29" i="9"/>
  <c r="JC29" i="9"/>
  <c r="JD29" i="9" s="1"/>
  <c r="GT58" i="9"/>
  <c r="DG10" i="9"/>
  <c r="BD104" i="9"/>
  <c r="BC104" i="9"/>
  <c r="CQ75" i="9"/>
  <c r="CR75" i="9" s="1"/>
  <c r="AW26" i="9"/>
  <c r="AV26" i="9"/>
  <c r="JQ21" i="9"/>
  <c r="DZ96" i="9"/>
  <c r="EA96" i="9" s="1"/>
  <c r="EB96" i="9"/>
  <c r="IQ96" i="9"/>
  <c r="IO96" i="9"/>
  <c r="IP96" i="9" s="1"/>
  <c r="IR96" i="9"/>
  <c r="JL30" i="9"/>
  <c r="JM30" i="9"/>
  <c r="JJ30" i="9"/>
  <c r="JK30" i="9" s="1"/>
  <c r="KV16" i="9"/>
  <c r="KS16" i="9"/>
  <c r="KT16" i="9" s="1"/>
  <c r="GR16" i="9"/>
  <c r="GS16" i="9" s="1"/>
  <c r="GU16" i="9"/>
  <c r="DS76" i="9"/>
  <c r="D76" i="9"/>
  <c r="E76" i="9" s="1"/>
  <c r="G76" i="9"/>
  <c r="IY62" i="9"/>
  <c r="BY62" i="9"/>
  <c r="BV62" i="9"/>
  <c r="BW62" i="9" s="1"/>
  <c r="BX62" i="9"/>
  <c r="GU62" i="9"/>
  <c r="GR62" i="9"/>
  <c r="GS62" i="9" s="1"/>
  <c r="GT62" i="9"/>
  <c r="Y17" i="9"/>
  <c r="Z17" i="9" s="1"/>
  <c r="AA17" i="9"/>
  <c r="AB17" i="9"/>
  <c r="JT17" i="9"/>
  <c r="JQ17" i="9"/>
  <c r="FK61" i="9"/>
  <c r="FL61" i="9"/>
  <c r="K105" i="9"/>
  <c r="L105" i="9" s="1"/>
  <c r="M105" i="9"/>
  <c r="N105" i="9"/>
  <c r="FS105" i="9"/>
  <c r="FR105" i="9"/>
  <c r="GR105" i="9"/>
  <c r="GS105" i="9" s="1"/>
  <c r="GU105" i="9"/>
  <c r="GT105" i="9"/>
  <c r="HO69" i="9"/>
  <c r="DS74" i="9"/>
  <c r="DV74" i="9"/>
  <c r="JM74" i="9"/>
  <c r="JJ74" i="9"/>
  <c r="JK74" i="9" s="1"/>
  <c r="JL74" i="9"/>
  <c r="EN74" i="9"/>
  <c r="EO74" i="9" s="1"/>
  <c r="EQ74" i="9"/>
  <c r="KL29" i="9"/>
  <c r="KM29" i="9" s="1"/>
  <c r="KO29" i="9"/>
  <c r="KN29" i="9"/>
  <c r="IV58" i="9"/>
  <c r="IW58" i="9" s="1"/>
  <c r="IX58" i="9"/>
  <c r="HI58" i="9"/>
  <c r="HH58" i="9"/>
  <c r="HF58" i="9"/>
  <c r="HG58" i="9" s="1"/>
  <c r="HT48" i="9"/>
  <c r="HU48" i="9" s="1"/>
  <c r="HV48" i="9"/>
  <c r="GY48" i="9"/>
  <c r="GZ48" i="9" s="1"/>
  <c r="HA48" i="9"/>
  <c r="R66" i="9"/>
  <c r="S66" i="9" s="1"/>
  <c r="T66" i="9"/>
  <c r="G66" i="9"/>
  <c r="F66" i="9"/>
  <c r="IO31" i="9"/>
  <c r="IP31" i="9" s="1"/>
  <c r="IR31" i="9"/>
  <c r="IQ31" i="9"/>
  <c r="KU107" i="9"/>
  <c r="CX75" i="9"/>
  <c r="CY75" i="9" s="1"/>
  <c r="EN16" i="9"/>
  <c r="EO16" i="9" s="1"/>
  <c r="EQ16" i="9"/>
  <c r="M9" i="9"/>
  <c r="EC61" i="9"/>
  <c r="FP90" i="9"/>
  <c r="FQ90" i="9" s="1"/>
  <c r="FS90" i="9"/>
  <c r="AI90" i="9"/>
  <c r="AH90" i="9"/>
  <c r="BH80" i="9"/>
  <c r="BI80" i="9" s="1"/>
  <c r="CX82" i="9"/>
  <c r="CY82" i="9" s="1"/>
  <c r="AM48" i="9"/>
  <c r="EI48" i="9"/>
  <c r="EJ48" i="9"/>
  <c r="HF48" i="9"/>
  <c r="HG48" i="9" s="1"/>
  <c r="HH48" i="9"/>
  <c r="CE41" i="9"/>
  <c r="CC41" i="9"/>
  <c r="CD41" i="9" s="1"/>
  <c r="EW41" i="9"/>
  <c r="EU41" i="9"/>
  <c r="EV41" i="9" s="1"/>
  <c r="EX41" i="9"/>
  <c r="DH93" i="9"/>
  <c r="DE93" i="9"/>
  <c r="DF93" i="9" s="1"/>
  <c r="DG93" i="9"/>
  <c r="Y93" i="9"/>
  <c r="Z93" i="9" s="1"/>
  <c r="AA93" i="9"/>
  <c r="AV21" i="9"/>
  <c r="DW112" i="9"/>
  <c r="CJ96" i="9"/>
  <c r="BC16" i="9"/>
  <c r="HM17" i="9"/>
  <c r="HN17" i="9" s="1"/>
  <c r="HO17" i="9"/>
  <c r="AP63" i="9"/>
  <c r="BR82" i="9"/>
  <c r="BQ82" i="9"/>
  <c r="DO58" i="9"/>
  <c r="DN58" i="9"/>
  <c r="JL58" i="9"/>
  <c r="JJ58" i="9"/>
  <c r="JK58" i="9" s="1"/>
  <c r="FL66" i="9"/>
  <c r="FK66" i="9"/>
  <c r="FI66" i="9"/>
  <c r="FJ66" i="9" s="1"/>
  <c r="KN66" i="9"/>
  <c r="KO66" i="9"/>
  <c r="GR91" i="9"/>
  <c r="GU91" i="9"/>
  <c r="GF91" i="9"/>
  <c r="GD91" i="9"/>
  <c r="GE91" i="9" s="1"/>
  <c r="AT43" i="9"/>
  <c r="AW43" i="9"/>
  <c r="IO17" i="9"/>
  <c r="IP17" i="9" s="1"/>
  <c r="IQ17" i="9"/>
  <c r="F69" i="9"/>
  <c r="D69" i="9"/>
  <c r="E69" i="9" s="1"/>
  <c r="IY63" i="9"/>
  <c r="IV63" i="9"/>
  <c r="IW63" i="9" s="1"/>
  <c r="U63" i="9"/>
  <c r="T63" i="9"/>
  <c r="FD82" i="9"/>
  <c r="FE82" i="9"/>
  <c r="JM82" i="9"/>
  <c r="JL82" i="9"/>
  <c r="CQ31" i="9"/>
  <c r="CR31" i="9" s="1"/>
  <c r="CS31" i="9"/>
  <c r="BK31" i="9"/>
  <c r="BH31" i="9"/>
  <c r="BI31" i="9" s="1"/>
  <c r="EW11" i="9"/>
  <c r="EU11" i="9"/>
  <c r="EV11" i="9" s="1"/>
  <c r="GU48" i="9"/>
  <c r="GR48" i="9"/>
  <c r="GS48" i="9" s="1"/>
  <c r="GT48" i="9"/>
  <c r="GD48" i="9"/>
  <c r="GE48" i="9" s="1"/>
  <c r="GG48" i="9"/>
  <c r="DZ41" i="9"/>
  <c r="EA41" i="9" s="1"/>
  <c r="EB41" i="9"/>
  <c r="EC41" i="9"/>
  <c r="BD17" i="9"/>
  <c r="BC17" i="9"/>
  <c r="IO105" i="9"/>
  <c r="IP105" i="9" s="1"/>
  <c r="IR105" i="9"/>
  <c r="AI69" i="9"/>
  <c r="AF69" i="9"/>
  <c r="AG69" i="9" s="1"/>
  <c r="JM90" i="9"/>
  <c r="JJ90" i="9"/>
  <c r="JK90" i="9" s="1"/>
  <c r="JL90" i="9"/>
  <c r="GK90" i="9"/>
  <c r="GL90" i="9" s="1"/>
  <c r="GN90" i="9"/>
  <c r="DZ63" i="9"/>
  <c r="EA63" i="9" s="1"/>
  <c r="DA63" i="9"/>
  <c r="CZ63" i="9"/>
  <c r="CX63" i="9"/>
  <c r="CY63" i="9" s="1"/>
  <c r="EG80" i="9"/>
  <c r="EH80" i="9" s="1"/>
  <c r="EI80" i="9"/>
  <c r="DN74" i="9"/>
  <c r="GD29" i="9"/>
  <c r="GE29" i="9" s="1"/>
  <c r="GF29" i="9"/>
  <c r="HB23" i="9"/>
  <c r="BH23" i="9"/>
  <c r="BI23" i="9" s="1"/>
  <c r="BJ23" i="9"/>
  <c r="JM58" i="9"/>
  <c r="IY11" i="9"/>
  <c r="IX11" i="9"/>
  <c r="DH11" i="9"/>
  <c r="DG11" i="9"/>
  <c r="HT91" i="9"/>
  <c r="HW91" i="9"/>
  <c r="AM91" i="9"/>
  <c r="AN91" i="9" s="1"/>
  <c r="AO91" i="9"/>
  <c r="CE48" i="9"/>
  <c r="CF48" i="9"/>
  <c r="HV43" i="9"/>
  <c r="HT43" i="9"/>
  <c r="HU43" i="9" s="1"/>
  <c r="HW43" i="9"/>
  <c r="FR93" i="9"/>
  <c r="FP93" i="9"/>
  <c r="FQ93" i="9" s="1"/>
  <c r="IO20" i="9"/>
  <c r="HM75" i="9"/>
  <c r="HN75" i="9" s="1"/>
  <c r="EI21" i="9"/>
  <c r="CE28" i="9"/>
  <c r="CF5" i="9"/>
  <c r="GR89" i="9"/>
  <c r="GS89" i="9" s="1"/>
  <c r="HV16" i="9"/>
  <c r="N9" i="9"/>
  <c r="AA61" i="9"/>
  <c r="EP90" i="9"/>
  <c r="GK63" i="9"/>
  <c r="GL63" i="9" s="1"/>
  <c r="DZ80" i="9"/>
  <c r="EA80" i="9" s="1"/>
  <c r="IR74" i="9"/>
  <c r="IQ74" i="9"/>
  <c r="CT29" i="9"/>
  <c r="CS29" i="9"/>
  <c r="BC29" i="9"/>
  <c r="BD29" i="9"/>
  <c r="KS23" i="9"/>
  <c r="KT23" i="9" s="1"/>
  <c r="KU23" i="9"/>
  <c r="BJ31" i="9"/>
  <c r="AP53" i="9"/>
  <c r="AO53" i="9"/>
  <c r="KA53" i="9"/>
  <c r="JZ53" i="9"/>
  <c r="GN53" i="9"/>
  <c r="GK53" i="9"/>
  <c r="GL53" i="9" s="1"/>
  <c r="AP48" i="9"/>
  <c r="IK43" i="9"/>
  <c r="IJ43" i="9"/>
  <c r="FE20" i="9"/>
  <c r="IH75" i="9"/>
  <c r="BJ77" i="9"/>
  <c r="FK26" i="9"/>
  <c r="EI28" i="9"/>
  <c r="K16" i="9"/>
  <c r="L16" i="9" s="1"/>
  <c r="N16" i="9"/>
  <c r="F62" i="9"/>
  <c r="D62" i="9"/>
  <c r="E62" i="9" s="1"/>
  <c r="AM80" i="9"/>
  <c r="AP80" i="9"/>
  <c r="FK74" i="9"/>
  <c r="BX82" i="9"/>
  <c r="JF82" i="9"/>
  <c r="JC82" i="9"/>
  <c r="KL66" i="9"/>
  <c r="KM66" i="9" s="1"/>
  <c r="JJ34" i="9"/>
  <c r="JK34" i="9" s="1"/>
  <c r="JL34" i="9"/>
  <c r="GG91" i="9"/>
  <c r="KU53" i="9"/>
  <c r="KS53" i="9"/>
  <c r="KT53" i="9" s="1"/>
  <c r="DA53" i="9"/>
  <c r="CX53" i="9"/>
  <c r="CY53" i="9" s="1"/>
  <c r="HT53" i="9"/>
  <c r="HW53" i="9"/>
  <c r="IX108" i="9"/>
  <c r="IY108" i="9"/>
  <c r="JM108" i="9"/>
  <c r="JL108" i="9"/>
  <c r="DO43" i="9"/>
  <c r="DL43" i="9"/>
  <c r="FS9" i="9"/>
  <c r="FR9" i="9"/>
  <c r="IR17" i="9"/>
  <c r="BD61" i="9"/>
  <c r="BC61" i="9"/>
  <c r="ID90" i="9"/>
  <c r="IC90" i="9"/>
  <c r="GD90" i="9"/>
  <c r="GG90" i="9"/>
  <c r="AF63" i="9"/>
  <c r="AG63" i="9" s="1"/>
  <c r="HA80" i="9"/>
  <c r="HB80" i="9"/>
  <c r="AW74" i="9"/>
  <c r="AT74" i="9"/>
  <c r="AU74" i="9" s="1"/>
  <c r="AV74" i="9"/>
  <c r="IV82" i="9"/>
  <c r="IW82" i="9" s="1"/>
  <c r="IX82" i="9"/>
  <c r="BO34" i="9"/>
  <c r="BP34" i="9" s="1"/>
  <c r="BQ34" i="9"/>
  <c r="BR34" i="9"/>
  <c r="EP34" i="9"/>
  <c r="EQ34" i="9"/>
  <c r="FD48" i="9"/>
  <c r="FB48" i="9"/>
  <c r="FC48" i="9" s="1"/>
  <c r="FE48" i="9"/>
  <c r="FZ108" i="9"/>
  <c r="FW108" i="9"/>
  <c r="FX108" i="9" s="1"/>
  <c r="FY108" i="9"/>
  <c r="FB108" i="9"/>
  <c r="FC108" i="9" s="1"/>
  <c r="FD108" i="9"/>
  <c r="IR100" i="9"/>
  <c r="EC94" i="9"/>
  <c r="HI107" i="9"/>
  <c r="KS107" i="9"/>
  <c r="KT107" i="9" s="1"/>
  <c r="AH104" i="9"/>
  <c r="BO75" i="9"/>
  <c r="HO75" i="9"/>
  <c r="FD26" i="9"/>
  <c r="FD5" i="9"/>
  <c r="BY5" i="9"/>
  <c r="BD30" i="9"/>
  <c r="FY30" i="9"/>
  <c r="JQ76" i="9"/>
  <c r="JT76" i="9"/>
  <c r="GD105" i="9"/>
  <c r="GE105" i="9" s="1"/>
  <c r="GF105" i="9"/>
  <c r="CS90" i="9"/>
  <c r="CQ90" i="9"/>
  <c r="CR90" i="9" s="1"/>
  <c r="CT90" i="9"/>
  <c r="EN63" i="9"/>
  <c r="EO63" i="9" s="1"/>
  <c r="EP63" i="9"/>
  <c r="EQ63" i="9"/>
  <c r="R80" i="9"/>
  <c r="S80" i="9" s="1"/>
  <c r="U80" i="9"/>
  <c r="T80" i="9"/>
  <c r="AP74" i="9"/>
  <c r="AM74" i="9"/>
  <c r="BH34" i="9"/>
  <c r="BI34" i="9" s="1"/>
  <c r="BK34" i="9"/>
  <c r="BJ34" i="9"/>
  <c r="AT91" i="9"/>
  <c r="AU91" i="9" s="1"/>
  <c r="AV91" i="9"/>
  <c r="FZ48" i="9"/>
  <c r="FE108" i="9"/>
  <c r="Y108" i="9"/>
  <c r="AB108" i="9"/>
  <c r="DO108" i="9"/>
  <c r="DL108" i="9"/>
  <c r="DM108" i="9" s="1"/>
  <c r="DN108" i="9"/>
  <c r="KH108" i="9"/>
  <c r="KG108" i="9"/>
  <c r="FS93" i="9"/>
  <c r="AO100" i="9"/>
  <c r="JL107" i="9"/>
  <c r="DV104" i="9"/>
  <c r="FL75" i="9"/>
  <c r="H112" i="9"/>
  <c r="JM28" i="9"/>
  <c r="DL28" i="9"/>
  <c r="DM28" i="9" s="1"/>
  <c r="GU96" i="9"/>
  <c r="IX30" i="9"/>
  <c r="FW30" i="9"/>
  <c r="FX30" i="9" s="1"/>
  <c r="JM76" i="9"/>
  <c r="BY9" i="9"/>
  <c r="EQ90" i="9"/>
  <c r="KU63" i="9"/>
  <c r="KS63" i="9"/>
  <c r="KT63" i="9" s="1"/>
  <c r="FB63" i="9"/>
  <c r="FC63" i="9" s="1"/>
  <c r="FE63" i="9"/>
  <c r="FD63" i="9"/>
  <c r="JL80" i="9"/>
  <c r="GF80" i="9"/>
  <c r="GD80" i="9"/>
  <c r="GE80" i="9" s="1"/>
  <c r="FB80" i="9"/>
  <c r="FC80" i="9" s="1"/>
  <c r="FD80" i="9"/>
  <c r="IX74" i="9"/>
  <c r="IY74" i="9"/>
  <c r="KV29" i="9"/>
  <c r="KU29" i="9"/>
  <c r="KW29" i="9" s="1"/>
  <c r="T31" i="9"/>
  <c r="EN34" i="9"/>
  <c r="EO34" i="9" s="1"/>
  <c r="HT34" i="9"/>
  <c r="HW34" i="9"/>
  <c r="IV34" i="9"/>
  <c r="IY34" i="9"/>
  <c r="N91" i="9"/>
  <c r="IJ108" i="9"/>
  <c r="IK108" i="9"/>
  <c r="HT108" i="9"/>
  <c r="HU108" i="9" s="1"/>
  <c r="HW108" i="9"/>
  <c r="DH108" i="9"/>
  <c r="DE108" i="9"/>
  <c r="DF108" i="9" s="1"/>
  <c r="AW94" i="9"/>
  <c r="GK9" i="9"/>
  <c r="GL9" i="9" s="1"/>
  <c r="GM9" i="9"/>
  <c r="HP17" i="9"/>
  <c r="EN61" i="9"/>
  <c r="BX61" i="9"/>
  <c r="DH63" i="9"/>
  <c r="HP63" i="9"/>
  <c r="HO63" i="9"/>
  <c r="FW63" i="9"/>
  <c r="FX63" i="9" s="1"/>
  <c r="FY63" i="9"/>
  <c r="CJ80" i="9"/>
  <c r="CK80" i="9" s="1"/>
  <c r="FP80" i="9"/>
  <c r="FS80" i="9"/>
  <c r="FS74" i="9"/>
  <c r="FP74" i="9"/>
  <c r="FW74" i="9"/>
  <c r="FZ74" i="9"/>
  <c r="JZ29" i="9"/>
  <c r="JX29" i="9"/>
  <c r="JY29" i="9" s="1"/>
  <c r="HW29" i="9"/>
  <c r="HV29" i="9"/>
  <c r="FL82" i="9"/>
  <c r="FK82" i="9"/>
  <c r="DA23" i="9"/>
  <c r="CZ23" i="9"/>
  <c r="DL58" i="9"/>
  <c r="DM58" i="9" s="1"/>
  <c r="GY91" i="9"/>
  <c r="GZ91" i="9" s="1"/>
  <c r="BV53" i="9"/>
  <c r="BW53" i="9" s="1"/>
  <c r="BX53" i="9"/>
  <c r="GU53" i="9"/>
  <c r="GR53" i="9"/>
  <c r="GD108" i="9"/>
  <c r="GE108" i="9" s="1"/>
  <c r="AB93" i="9"/>
  <c r="IR91" i="9"/>
  <c r="EG53" i="9"/>
  <c r="DA48" i="9"/>
  <c r="K41" i="9"/>
  <c r="L41" i="9" s="1"/>
  <c r="FW69" i="9"/>
  <c r="FX69" i="9" s="1"/>
  <c r="JQ74" i="9"/>
  <c r="JR74" i="9" s="1"/>
  <c r="FI58" i="9"/>
  <c r="FJ58" i="9" s="1"/>
  <c r="M65" i="9"/>
  <c r="AV65" i="9"/>
  <c r="HO34" i="9"/>
  <c r="GK91" i="9"/>
  <c r="GL91" i="9" s="1"/>
  <c r="JL48" i="9"/>
  <c r="FB43" i="9"/>
  <c r="IR43" i="9"/>
  <c r="KH41" i="9"/>
  <c r="JE41" i="9"/>
  <c r="GY41" i="9"/>
  <c r="BK93" i="9"/>
  <c r="HB29" i="9"/>
  <c r="CQ23" i="9"/>
  <c r="CR23" i="9" s="1"/>
  <c r="KS31" i="9"/>
  <c r="KT31" i="9" s="1"/>
  <c r="JT11" i="9"/>
  <c r="GN11" i="9"/>
  <c r="FY65" i="9"/>
  <c r="DE34" i="9"/>
  <c r="DF34" i="9" s="1"/>
  <c r="KN91" i="9"/>
  <c r="KA91" i="9"/>
  <c r="JF53" i="9"/>
  <c r="BC53" i="9"/>
  <c r="CM43" i="9"/>
  <c r="DV43" i="9"/>
  <c r="KA90" i="9"/>
  <c r="DL29" i="9"/>
  <c r="DM29" i="9" s="1"/>
  <c r="KV11" i="9"/>
  <c r="JQ11" i="9"/>
  <c r="JR11" i="9" s="1"/>
  <c r="K65" i="9"/>
  <c r="L65" i="9" s="1"/>
  <c r="ID34" i="9"/>
  <c r="EB91" i="9"/>
  <c r="FE91" i="9"/>
  <c r="FI48" i="9"/>
  <c r="FJ48" i="9" s="1"/>
  <c r="KS93" i="9"/>
  <c r="KT93" i="9" s="1"/>
  <c r="EB31" i="9"/>
  <c r="KA34" i="9"/>
  <c r="HB108" i="9"/>
  <c r="DU43" i="9"/>
  <c r="N41" i="9"/>
  <c r="AW41" i="9"/>
  <c r="KS11" i="9"/>
  <c r="KT11" i="9" s="1"/>
  <c r="BD53" i="9"/>
  <c r="GN108" i="9"/>
  <c r="CJ43" i="9"/>
  <c r="IC41" i="9"/>
  <c r="JX91" i="9"/>
  <c r="EJ53" i="9"/>
  <c r="GH112" i="9"/>
  <c r="KH106" i="9"/>
  <c r="EJ63" i="9"/>
  <c r="HV63" i="9"/>
  <c r="AF29" i="9"/>
  <c r="M29" i="9"/>
  <c r="JE23" i="9"/>
  <c r="CQ58" i="9"/>
  <c r="CR58" i="9" s="1"/>
  <c r="EX66" i="9"/>
  <c r="AV11" i="9"/>
  <c r="EN11" i="9"/>
  <c r="EO11" i="9" s="1"/>
  <c r="DV34" i="9"/>
  <c r="AI53" i="9"/>
  <c r="F53" i="9"/>
  <c r="Y48" i="9"/>
  <c r="Z48" i="9" s="1"/>
  <c r="BK108" i="9"/>
  <c r="EB43" i="9"/>
  <c r="GY43" i="9"/>
  <c r="GZ43" i="9" s="1"/>
  <c r="BA41" i="9"/>
  <c r="BB41" i="9" s="1"/>
  <c r="EJ41" i="9"/>
  <c r="HT41" i="9"/>
  <c r="HU41" i="9" s="1"/>
  <c r="JS93" i="9"/>
  <c r="T93" i="9"/>
  <c r="FP106" i="9"/>
  <c r="FQ106" i="9" s="1"/>
  <c r="BK82" i="9"/>
  <c r="AP66" i="9"/>
  <c r="AV66" i="9"/>
  <c r="KO31" i="9"/>
  <c r="FK31" i="9"/>
  <c r="FW65" i="9"/>
  <c r="FX65" i="9" s="1"/>
  <c r="EU65" i="9"/>
  <c r="EV65" i="9" s="1"/>
  <c r="CS53" i="9"/>
  <c r="ID41" i="9"/>
  <c r="BE112" i="9"/>
  <c r="DP112" i="9"/>
  <c r="GR52" i="9"/>
  <c r="GS52" i="9" s="1"/>
  <c r="GT52" i="9"/>
  <c r="DU35" i="9"/>
  <c r="DS35" i="9"/>
  <c r="DT35" i="9" s="1"/>
  <c r="HT67" i="9"/>
  <c r="HU67" i="9" s="1"/>
  <c r="HW67" i="9"/>
  <c r="F42" i="9"/>
  <c r="D42" i="9"/>
  <c r="E42" i="9" s="1"/>
  <c r="GK38" i="9"/>
  <c r="GL38" i="9" s="1"/>
  <c r="GN38" i="9"/>
  <c r="GM38" i="9"/>
  <c r="Y97" i="9"/>
  <c r="Z97" i="9" s="1"/>
  <c r="AA97" i="9"/>
  <c r="AB97" i="9"/>
  <c r="EG83" i="9"/>
  <c r="EH83" i="9" s="1"/>
  <c r="EI83" i="9"/>
  <c r="EJ83" i="9"/>
  <c r="JM44" i="9"/>
  <c r="JL44" i="9"/>
  <c r="BV44" i="9"/>
  <c r="BW44" i="9" s="1"/>
  <c r="BY44" i="9"/>
  <c r="BX44" i="9"/>
  <c r="GU46" i="9"/>
  <c r="GR46" i="9"/>
  <c r="GS46" i="9" s="1"/>
  <c r="EG8" i="9"/>
  <c r="EH8" i="9" s="1"/>
  <c r="KL84" i="9"/>
  <c r="KM84" i="9" s="1"/>
  <c r="KN84" i="9"/>
  <c r="GY84" i="9"/>
  <c r="GZ84" i="9" s="1"/>
  <c r="HA84" i="9"/>
  <c r="HB84" i="9"/>
  <c r="IH87" i="9"/>
  <c r="II87" i="9" s="1"/>
  <c r="IJ87" i="9"/>
  <c r="BR87" i="9"/>
  <c r="BQ87" i="9"/>
  <c r="M70" i="9"/>
  <c r="N70" i="9"/>
  <c r="CF70" i="9"/>
  <c r="CC70" i="9"/>
  <c r="CD70" i="9" s="1"/>
  <c r="D35" i="9"/>
  <c r="E35" i="9" s="1"/>
  <c r="G35" i="9"/>
  <c r="CQ35" i="9"/>
  <c r="CR35" i="9" s="1"/>
  <c r="CS35" i="9"/>
  <c r="KG35" i="9"/>
  <c r="KH35" i="9"/>
  <c r="KE35" i="9"/>
  <c r="KF35" i="9" s="1"/>
  <c r="GD67" i="9"/>
  <c r="GE67" i="9" s="1"/>
  <c r="GG67" i="9"/>
  <c r="GF67" i="9"/>
  <c r="AH67" i="9"/>
  <c r="AF67" i="9"/>
  <c r="AG67" i="9" s="1"/>
  <c r="FP88" i="9"/>
  <c r="FQ88" i="9" s="1"/>
  <c r="FR88" i="9"/>
  <c r="FS88" i="9"/>
  <c r="BC88" i="9"/>
  <c r="BD88" i="9"/>
  <c r="BA88" i="9"/>
  <c r="BB88" i="9" s="1"/>
  <c r="G42" i="9"/>
  <c r="AV42" i="9"/>
  <c r="AW42" i="9"/>
  <c r="JE42" i="9"/>
  <c r="JF42" i="9"/>
  <c r="JC42" i="9"/>
  <c r="JD42" i="9" s="1"/>
  <c r="CJ54" i="9"/>
  <c r="CK54" i="9" s="1"/>
  <c r="CM54" i="9"/>
  <c r="CL54" i="9"/>
  <c r="JX54" i="9"/>
  <c r="JY54" i="9" s="1"/>
  <c r="JZ54" i="9"/>
  <c r="KA54" i="9"/>
  <c r="JF44" i="9"/>
  <c r="JE44" i="9"/>
  <c r="JC44" i="9"/>
  <c r="JD44" i="9" s="1"/>
  <c r="IX44" i="9"/>
  <c r="IV44" i="9"/>
  <c r="IW44" i="9" s="1"/>
  <c r="IY44" i="9"/>
  <c r="BO104" i="9"/>
  <c r="BP104" i="9" s="1"/>
  <c r="BQ104" i="9"/>
  <c r="KE104" i="9"/>
  <c r="KF104" i="9" s="1"/>
  <c r="KH104" i="9"/>
  <c r="KG104" i="9"/>
  <c r="CC93" i="9"/>
  <c r="CD93" i="9" s="1"/>
  <c r="CF93" i="9"/>
  <c r="CE93" i="9"/>
  <c r="GR93" i="9"/>
  <c r="GS93" i="9" s="1"/>
  <c r="GT93" i="9"/>
  <c r="GU93" i="9"/>
  <c r="GY22" i="9"/>
  <c r="GZ22" i="9" s="1"/>
  <c r="HA22" i="9"/>
  <c r="HB22" i="9"/>
  <c r="AT22" i="9"/>
  <c r="AU22" i="9" s="1"/>
  <c r="AW22" i="9"/>
  <c r="AV22" i="9"/>
  <c r="KE67" i="9"/>
  <c r="KF67" i="9" s="1"/>
  <c r="KG67" i="9"/>
  <c r="KH67" i="9"/>
  <c r="AP42" i="9"/>
  <c r="AO42" i="9"/>
  <c r="AM42" i="9"/>
  <c r="AN42" i="9" s="1"/>
  <c r="EX38" i="9"/>
  <c r="EU38" i="9"/>
  <c r="EV38" i="9" s="1"/>
  <c r="EW38" i="9"/>
  <c r="DZ97" i="9"/>
  <c r="EA97" i="9" s="1"/>
  <c r="EB97" i="9"/>
  <c r="GR54" i="9"/>
  <c r="GS54" i="9" s="1"/>
  <c r="GU54" i="9"/>
  <c r="GT54" i="9"/>
  <c r="R54" i="9"/>
  <c r="S54" i="9" s="1"/>
  <c r="U54" i="9"/>
  <c r="T54" i="9"/>
  <c r="DO46" i="9"/>
  <c r="DN46" i="9"/>
  <c r="AI46" i="9"/>
  <c r="AF46" i="9"/>
  <c r="AG46" i="9" s="1"/>
  <c r="AH46" i="9"/>
  <c r="IJ49" i="9"/>
  <c r="IK49" i="9"/>
  <c r="IH49" i="9"/>
  <c r="II49" i="9" s="1"/>
  <c r="Y49" i="9"/>
  <c r="Z49" i="9" s="1"/>
  <c r="AA49" i="9"/>
  <c r="AB49" i="9"/>
  <c r="IH52" i="9"/>
  <c r="II52" i="9" s="1"/>
  <c r="IJ52" i="9"/>
  <c r="IR98" i="9"/>
  <c r="HT18" i="9"/>
  <c r="HU18" i="9" s="1"/>
  <c r="EI18" i="9"/>
  <c r="EJ18" i="9"/>
  <c r="JJ18" i="9"/>
  <c r="JK18" i="9" s="1"/>
  <c r="JM18" i="9"/>
  <c r="FW49" i="9"/>
  <c r="FX49" i="9" s="1"/>
  <c r="FZ49" i="9"/>
  <c r="FY49" i="9"/>
  <c r="AT49" i="9"/>
  <c r="AU49" i="9" s="1"/>
  <c r="AW49" i="9"/>
  <c r="AV49" i="9"/>
  <c r="KO84" i="9"/>
  <c r="IH84" i="9"/>
  <c r="II84" i="9" s="1"/>
  <c r="IK84" i="9"/>
  <c r="IJ84" i="9"/>
  <c r="EJ84" i="9"/>
  <c r="EI84" i="9"/>
  <c r="DS87" i="9"/>
  <c r="DT87" i="9" s="1"/>
  <c r="DV87" i="9"/>
  <c r="FB70" i="9"/>
  <c r="FC70" i="9" s="1"/>
  <c r="FE70" i="9"/>
  <c r="FI70" i="9"/>
  <c r="FJ70" i="9" s="1"/>
  <c r="FK70" i="9"/>
  <c r="ID35" i="9"/>
  <c r="IC35" i="9"/>
  <c r="IA35" i="9"/>
  <c r="IB35" i="9" s="1"/>
  <c r="BK24" i="9"/>
  <c r="BJ24" i="9"/>
  <c r="JF24" i="9"/>
  <c r="JE24" i="9"/>
  <c r="FS72" i="9"/>
  <c r="IY72" i="9"/>
  <c r="FP72" i="9"/>
  <c r="FQ72" i="9" s="1"/>
  <c r="JC72" i="9"/>
  <c r="JD72" i="9" s="1"/>
  <c r="JE72" i="9"/>
  <c r="JZ72" i="9"/>
  <c r="KA72" i="9"/>
  <c r="CJ22" i="9"/>
  <c r="CK22" i="9" s="1"/>
  <c r="CL22" i="9"/>
  <c r="HF22" i="9"/>
  <c r="HG22" i="9" s="1"/>
  <c r="HI22" i="9"/>
  <c r="IV22" i="9"/>
  <c r="IW22" i="9" s="1"/>
  <c r="IX22" i="9"/>
  <c r="IY22" i="9"/>
  <c r="DU67" i="9"/>
  <c r="DV67" i="9"/>
  <c r="FE67" i="9"/>
  <c r="FB67" i="9"/>
  <c r="FC67" i="9" s="1"/>
  <c r="FD67" i="9"/>
  <c r="BV67" i="9"/>
  <c r="BW67" i="9" s="1"/>
  <c r="BY67" i="9"/>
  <c r="BX67" i="9"/>
  <c r="HT42" i="9"/>
  <c r="HU42" i="9" s="1"/>
  <c r="DE42" i="9"/>
  <c r="DF42" i="9" s="1"/>
  <c r="DH42" i="9"/>
  <c r="DG42" i="9"/>
  <c r="KE40" i="9"/>
  <c r="KF40" i="9" s="1"/>
  <c r="KG40" i="9"/>
  <c r="KH40" i="9"/>
  <c r="FP40" i="9"/>
  <c r="FQ40" i="9" s="1"/>
  <c r="FS40" i="9"/>
  <c r="JJ40" i="9"/>
  <c r="JK40" i="9" s="1"/>
  <c r="JM40" i="9"/>
  <c r="JX83" i="9"/>
  <c r="JY83" i="9" s="1"/>
  <c r="JZ83" i="9"/>
  <c r="KA83" i="9"/>
  <c r="FB83" i="9"/>
  <c r="FC83" i="9" s="1"/>
  <c r="FE83" i="9"/>
  <c r="EW44" i="9"/>
  <c r="EU44" i="9"/>
  <c r="EV44" i="9" s="1"/>
  <c r="EX44" i="9"/>
  <c r="N44" i="9"/>
  <c r="K44" i="9"/>
  <c r="L44" i="9" s="1"/>
  <c r="M44" i="9"/>
  <c r="GT46" i="9"/>
  <c r="EN66" i="9"/>
  <c r="EO66" i="9" s="1"/>
  <c r="EQ66" i="9"/>
  <c r="EP66" i="9"/>
  <c r="CM66" i="9"/>
  <c r="CJ66" i="9"/>
  <c r="CK66" i="9" s="1"/>
  <c r="CL66" i="9"/>
  <c r="JM93" i="9"/>
  <c r="JJ93" i="9"/>
  <c r="JK93" i="9" s="1"/>
  <c r="JL93" i="9"/>
  <c r="M93" i="9"/>
  <c r="K93" i="9"/>
  <c r="L93" i="9" s="1"/>
  <c r="N93" i="9"/>
  <c r="IO99" i="9"/>
  <c r="IP99" i="9" s="1"/>
  <c r="IQ99" i="9"/>
  <c r="JC52" i="9"/>
  <c r="JD52" i="9" s="1"/>
  <c r="JE52" i="9"/>
  <c r="FI109" i="9"/>
  <c r="FJ109" i="9" s="1"/>
  <c r="FK109" i="9"/>
  <c r="FL109" i="9"/>
  <c r="JZ98" i="9"/>
  <c r="JX98" i="9"/>
  <c r="JY98" i="9" s="1"/>
  <c r="AF84" i="9"/>
  <c r="AG84" i="9" s="1"/>
  <c r="AI84" i="9"/>
  <c r="K84" i="9"/>
  <c r="L84" i="9" s="1"/>
  <c r="M84" i="9"/>
  <c r="AT87" i="9"/>
  <c r="AU87" i="9" s="1"/>
  <c r="AW87" i="9"/>
  <c r="AV87" i="9"/>
  <c r="HT87" i="9"/>
  <c r="HU87" i="9" s="1"/>
  <c r="HV87" i="9"/>
  <c r="GK70" i="9"/>
  <c r="GL70" i="9" s="1"/>
  <c r="GM70" i="9"/>
  <c r="JJ70" i="9"/>
  <c r="JM70" i="9"/>
  <c r="GU111" i="9"/>
  <c r="GR111" i="9"/>
  <c r="GS111" i="9" s="1"/>
  <c r="CC50" i="9"/>
  <c r="CD50" i="9" s="1"/>
  <c r="CF50" i="9"/>
  <c r="KE50" i="9"/>
  <c r="KF50" i="9" s="1"/>
  <c r="KG50" i="9"/>
  <c r="KA92" i="9"/>
  <c r="JX92" i="9"/>
  <c r="JY92" i="9" s="1"/>
  <c r="DE92" i="9"/>
  <c r="DF92" i="9" s="1"/>
  <c r="DH92" i="9"/>
  <c r="DV35" i="9"/>
  <c r="CL103" i="9"/>
  <c r="CJ103" i="9"/>
  <c r="CK103" i="9" s="1"/>
  <c r="HB103" i="9"/>
  <c r="GY103" i="9"/>
  <c r="GZ103" i="9" s="1"/>
  <c r="F24" i="9"/>
  <c r="G24" i="9"/>
  <c r="CL24" i="9"/>
  <c r="CM24" i="9"/>
  <c r="CJ24" i="9"/>
  <c r="CK24" i="9" s="1"/>
  <c r="KG24" i="9"/>
  <c r="KE24" i="9"/>
  <c r="KF24" i="9" s="1"/>
  <c r="KH24" i="9"/>
  <c r="BY72" i="9"/>
  <c r="BV72" i="9"/>
  <c r="BW72" i="9" s="1"/>
  <c r="BX72" i="9"/>
  <c r="EJ72" i="9"/>
  <c r="EG72" i="9"/>
  <c r="EH72" i="9" s="1"/>
  <c r="EI72" i="9"/>
  <c r="HV67" i="9"/>
  <c r="HT88" i="9"/>
  <c r="HU88" i="9" s="1"/>
  <c r="HV88" i="9"/>
  <c r="HW88" i="9"/>
  <c r="KH88" i="9"/>
  <c r="KE88" i="9"/>
  <c r="HB42" i="9"/>
  <c r="GY42" i="9"/>
  <c r="KL42" i="9"/>
  <c r="KO42" i="9"/>
  <c r="DN40" i="9"/>
  <c r="DO40" i="9"/>
  <c r="HP40" i="9"/>
  <c r="HO40" i="9"/>
  <c r="HM40" i="9"/>
  <c r="HN40" i="9" s="1"/>
  <c r="IC71" i="9"/>
  <c r="IA71" i="9"/>
  <c r="IB71" i="9" s="1"/>
  <c r="ID71" i="9"/>
  <c r="IR71" i="9"/>
  <c r="IQ71" i="9"/>
  <c r="IO71" i="9"/>
  <c r="IP71" i="9" s="1"/>
  <c r="FL19" i="9"/>
  <c r="FI19" i="9"/>
  <c r="FJ19" i="9" s="1"/>
  <c r="FK19" i="9"/>
  <c r="CL19" i="9"/>
  <c r="CJ19" i="9"/>
  <c r="CK19" i="9" s="1"/>
  <c r="CM19" i="9"/>
  <c r="ID106" i="9"/>
  <c r="IA106" i="9"/>
  <c r="IB106" i="9" s="1"/>
  <c r="EN106" i="9"/>
  <c r="EO106" i="9" s="1"/>
  <c r="EQ106" i="9"/>
  <c r="EP106" i="9"/>
  <c r="GG93" i="9"/>
  <c r="GD93" i="9"/>
  <c r="GE93" i="9" s="1"/>
  <c r="GF93" i="9"/>
  <c r="GM93" i="9"/>
  <c r="GN93" i="9"/>
  <c r="GK93" i="9"/>
  <c r="GL93" i="9" s="1"/>
  <c r="AF35" i="9"/>
  <c r="AG35" i="9" s="1"/>
  <c r="AH35" i="9"/>
  <c r="AI35" i="9"/>
  <c r="DL39" i="9"/>
  <c r="DM39" i="9" s="1"/>
  <c r="DO39" i="9"/>
  <c r="DN39" i="9"/>
  <c r="BR40" i="9"/>
  <c r="BQ40" i="9"/>
  <c r="HH8" i="9"/>
  <c r="HI8" i="9"/>
  <c r="EQ50" i="9"/>
  <c r="EN50" i="9"/>
  <c r="EO50" i="9" s="1"/>
  <c r="EP50" i="9"/>
  <c r="GR24" i="9"/>
  <c r="GS24" i="9" s="1"/>
  <c r="GU24" i="9"/>
  <c r="IO67" i="9"/>
  <c r="IP67" i="9" s="1"/>
  <c r="IQ67" i="9"/>
  <c r="IR67" i="9"/>
  <c r="HO109" i="9"/>
  <c r="HM109" i="9"/>
  <c r="HN109" i="9" s="1"/>
  <c r="EX47" i="9"/>
  <c r="EW47" i="9"/>
  <c r="FW70" i="9"/>
  <c r="FX70" i="9" s="1"/>
  <c r="FY70" i="9"/>
  <c r="FR51" i="9"/>
  <c r="FP51" i="9"/>
  <c r="FQ51" i="9" s="1"/>
  <c r="FS51" i="9"/>
  <c r="FI71" i="9"/>
  <c r="FJ71" i="9" s="1"/>
  <c r="FK71" i="9"/>
  <c r="FL71" i="9"/>
  <c r="IY19" i="9"/>
  <c r="IX19" i="9"/>
  <c r="IV8" i="9"/>
  <c r="IW8" i="9" s="1"/>
  <c r="IX8" i="9"/>
  <c r="EC22" i="9"/>
  <c r="DZ22" i="9"/>
  <c r="EA22" i="9" s="1"/>
  <c r="EB22" i="9"/>
  <c r="BQ8" i="9"/>
  <c r="BR8" i="9"/>
  <c r="BO50" i="9"/>
  <c r="BP50" i="9" s="1"/>
  <c r="BQ50" i="9"/>
  <c r="KO99" i="9"/>
  <c r="KL99" i="9"/>
  <c r="KM99" i="9" s="1"/>
  <c r="KN99" i="9"/>
  <c r="JX84" i="9"/>
  <c r="JY84" i="9" s="1"/>
  <c r="JZ84" i="9"/>
  <c r="KA84" i="9"/>
  <c r="K87" i="9"/>
  <c r="GY70" i="9"/>
  <c r="GZ70" i="9" s="1"/>
  <c r="HA70" i="9"/>
  <c r="GU70" i="9"/>
  <c r="GR70" i="9"/>
  <c r="GS70" i="9" s="1"/>
  <c r="GT70" i="9"/>
  <c r="JX111" i="9"/>
  <c r="JY111" i="9" s="1"/>
  <c r="JZ111" i="9"/>
  <c r="KA111" i="9"/>
  <c r="BO92" i="9"/>
  <c r="BR92" i="9"/>
  <c r="CC92" i="9"/>
  <c r="CD92" i="9" s="1"/>
  <c r="CE92" i="9"/>
  <c r="CF92" i="9"/>
  <c r="CT24" i="9"/>
  <c r="CS24" i="9"/>
  <c r="AM24" i="9"/>
  <c r="AN24" i="9" s="1"/>
  <c r="AO24" i="9"/>
  <c r="HI24" i="9"/>
  <c r="HF24" i="9"/>
  <c r="BK73" i="9"/>
  <c r="BH73" i="9"/>
  <c r="BI73" i="9" s="1"/>
  <c r="BJ73" i="9"/>
  <c r="IC73" i="9"/>
  <c r="ID73" i="9"/>
  <c r="IA73" i="9"/>
  <c r="IB73" i="9" s="1"/>
  <c r="IO81" i="9"/>
  <c r="IP81" i="9" s="1"/>
  <c r="IQ81" i="9"/>
  <c r="IR81" i="9"/>
  <c r="KE81" i="9"/>
  <c r="KF81" i="9" s="1"/>
  <c r="KG81" i="9"/>
  <c r="U33" i="9"/>
  <c r="T33" i="9"/>
  <c r="R33" i="9"/>
  <c r="S33" i="9" s="1"/>
  <c r="EQ33" i="9"/>
  <c r="EN33" i="9"/>
  <c r="EO33" i="9" s="1"/>
  <c r="EP33" i="9"/>
  <c r="KH86" i="9"/>
  <c r="KG86" i="9"/>
  <c r="KE86" i="9"/>
  <c r="KF86" i="9" s="1"/>
  <c r="HW86" i="9"/>
  <c r="HT86" i="9"/>
  <c r="HU86" i="9" s="1"/>
  <c r="HV86" i="9"/>
  <c r="GK86" i="9"/>
  <c r="GL86" i="9" s="1"/>
  <c r="GM86" i="9"/>
  <c r="GN86" i="9"/>
  <c r="DN71" i="9"/>
  <c r="DO71" i="9"/>
  <c r="DL71" i="9"/>
  <c r="DM71" i="9" s="1"/>
  <c r="JF71" i="9"/>
  <c r="JC71" i="9"/>
  <c r="JD71" i="9" s="1"/>
  <c r="JE71" i="9"/>
  <c r="EQ100" i="9"/>
  <c r="EP100" i="9"/>
  <c r="EN100" i="9"/>
  <c r="EO100" i="9" s="1"/>
  <c r="JQ100" i="9"/>
  <c r="JR100" i="9" s="1"/>
  <c r="JT100" i="9"/>
  <c r="DG100" i="9"/>
  <c r="DE100" i="9"/>
  <c r="DF100" i="9" s="1"/>
  <c r="AB94" i="9"/>
  <c r="AA94" i="9"/>
  <c r="Y94" i="9"/>
  <c r="Z94" i="9" s="1"/>
  <c r="BH94" i="9"/>
  <c r="BI94" i="9" s="1"/>
  <c r="BJ94" i="9"/>
  <c r="BK94" i="9"/>
  <c r="D65" i="9"/>
  <c r="E65" i="9" s="1"/>
  <c r="F65" i="9"/>
  <c r="G65" i="9"/>
  <c r="FE65" i="9"/>
  <c r="FD65" i="9"/>
  <c r="FB65" i="9"/>
  <c r="FC65" i="9" s="1"/>
  <c r="HF35" i="9"/>
  <c r="HG35" i="9" s="1"/>
  <c r="HI35" i="9"/>
  <c r="G72" i="9"/>
  <c r="D72" i="9"/>
  <c r="E72" i="9" s="1"/>
  <c r="AM22" i="9"/>
  <c r="AN22" i="9" s="1"/>
  <c r="AP22" i="9"/>
  <c r="AO22" i="9"/>
  <c r="KO87" i="9"/>
  <c r="KL87" i="9"/>
  <c r="GY93" i="9"/>
  <c r="GZ93" i="9" s="1"/>
  <c r="HA93" i="9"/>
  <c r="BV99" i="9"/>
  <c r="BW99" i="9" s="1"/>
  <c r="BX99" i="9"/>
  <c r="IK87" i="9"/>
  <c r="IH99" i="9"/>
  <c r="EQ99" i="9"/>
  <c r="EN99" i="9"/>
  <c r="EO99" i="9" s="1"/>
  <c r="EW98" i="9"/>
  <c r="EX98" i="9"/>
  <c r="CQ84" i="9"/>
  <c r="CR84" i="9" s="1"/>
  <c r="CS84" i="9"/>
  <c r="CT84" i="9"/>
  <c r="JC84" i="9"/>
  <c r="JF84" i="9"/>
  <c r="CX87" i="9"/>
  <c r="CY87" i="9" s="1"/>
  <c r="CL111" i="9"/>
  <c r="CM111" i="9"/>
  <c r="CJ111" i="9"/>
  <c r="CK111" i="9" s="1"/>
  <c r="EN111" i="9"/>
  <c r="EO111" i="9" s="1"/>
  <c r="EP111" i="9"/>
  <c r="EQ111" i="9"/>
  <c r="EQ92" i="9"/>
  <c r="EP92" i="9"/>
  <c r="CQ92" i="9"/>
  <c r="CR92" i="9" s="1"/>
  <c r="CS92" i="9"/>
  <c r="IQ24" i="9"/>
  <c r="IR24" i="9"/>
  <c r="IO24" i="9"/>
  <c r="IP24" i="9" s="1"/>
  <c r="HB102" i="9"/>
  <c r="GY102" i="9"/>
  <c r="IX102" i="9"/>
  <c r="IV102" i="9"/>
  <c r="IW102" i="9" s="1"/>
  <c r="IY102" i="9"/>
  <c r="CM22" i="9"/>
  <c r="HH22" i="9"/>
  <c r="CJ81" i="9"/>
  <c r="CK81" i="9" s="1"/>
  <c r="CM81" i="9"/>
  <c r="CL81" i="9"/>
  <c r="EX81" i="9"/>
  <c r="EW81" i="9"/>
  <c r="EU81" i="9"/>
  <c r="EV81" i="9" s="1"/>
  <c r="BK37" i="9"/>
  <c r="BH37" i="9"/>
  <c r="BI37" i="9" s="1"/>
  <c r="BJ37" i="9"/>
  <c r="AV37" i="9"/>
  <c r="AT37" i="9"/>
  <c r="AU37" i="9" s="1"/>
  <c r="AW37" i="9"/>
  <c r="IR51" i="9"/>
  <c r="IO51" i="9"/>
  <c r="IP51" i="9" s="1"/>
  <c r="IQ51" i="9"/>
  <c r="AP51" i="9"/>
  <c r="AO51" i="9"/>
  <c r="AM51" i="9"/>
  <c r="AN51" i="9" s="1"/>
  <c r="FS71" i="9"/>
  <c r="FR71" i="9"/>
  <c r="FP71" i="9"/>
  <c r="FQ71" i="9" s="1"/>
  <c r="D71" i="9"/>
  <c r="E71" i="9" s="1"/>
  <c r="F71" i="9"/>
  <c r="G71" i="9"/>
  <c r="U6" i="9"/>
  <c r="R6" i="9"/>
  <c r="S6" i="9" s="1"/>
  <c r="T6" i="9"/>
  <c r="EB6" i="9"/>
  <c r="DZ6" i="9"/>
  <c r="EA6" i="9" s="1"/>
  <c r="EC6" i="9"/>
  <c r="DG106" i="9"/>
  <c r="DE106" i="9"/>
  <c r="DF106" i="9" s="1"/>
  <c r="CC106" i="9"/>
  <c r="CD106" i="9" s="1"/>
  <c r="CF106" i="9"/>
  <c r="CE106" i="9"/>
  <c r="FI106" i="9"/>
  <c r="FJ106" i="9" s="1"/>
  <c r="FL106" i="9"/>
  <c r="FK106" i="9"/>
  <c r="AB103" i="9"/>
  <c r="Y103" i="9"/>
  <c r="Z103" i="9" s="1"/>
  <c r="AA103" i="9"/>
  <c r="HM72" i="9"/>
  <c r="HN72" i="9" s="1"/>
  <c r="HO72" i="9"/>
  <c r="HP72" i="9"/>
  <c r="FY67" i="9"/>
  <c r="FW67" i="9"/>
  <c r="FX67" i="9" s="1"/>
  <c r="FZ67" i="9"/>
  <c r="EW29" i="9"/>
  <c r="EU29" i="9"/>
  <c r="EV29" i="9" s="1"/>
  <c r="EX29" i="9"/>
  <c r="GG42" i="9"/>
  <c r="GD42" i="9"/>
  <c r="GE42" i="9" s="1"/>
  <c r="AW93" i="9"/>
  <c r="AT93" i="9"/>
  <c r="AU93" i="9" s="1"/>
  <c r="AV93" i="9"/>
  <c r="IV88" i="9"/>
  <c r="IW88" i="9" s="1"/>
  <c r="IY88" i="9"/>
  <c r="T99" i="9"/>
  <c r="JQ98" i="9"/>
  <c r="JR98" i="9" s="1"/>
  <c r="JS98" i="9"/>
  <c r="EG18" i="9"/>
  <c r="EH18" i="9" s="1"/>
  <c r="JE47" i="9"/>
  <c r="JC47" i="9"/>
  <c r="JD47" i="9" s="1"/>
  <c r="AT84" i="9"/>
  <c r="AU84" i="9" s="1"/>
  <c r="AV84" i="9"/>
  <c r="AW84" i="9"/>
  <c r="CC84" i="9"/>
  <c r="CD84" i="9" s="1"/>
  <c r="CF84" i="9"/>
  <c r="CE84" i="9"/>
  <c r="CC64" i="9"/>
  <c r="CF64" i="9"/>
  <c r="FW60" i="9"/>
  <c r="FX60" i="9" s="1"/>
  <c r="FY60" i="9"/>
  <c r="HB70" i="9"/>
  <c r="DE70" i="9"/>
  <c r="DF70" i="9" s="1"/>
  <c r="JS111" i="9"/>
  <c r="JQ111" i="9"/>
  <c r="JR111" i="9" s="1"/>
  <c r="HB111" i="9"/>
  <c r="HA111" i="9"/>
  <c r="GY111" i="9"/>
  <c r="GZ111" i="9" s="1"/>
  <c r="IY111" i="9"/>
  <c r="IV111" i="9"/>
  <c r="IW111" i="9" s="1"/>
  <c r="IX111" i="9"/>
  <c r="DG92" i="9"/>
  <c r="KL12" i="9"/>
  <c r="KM12" i="9" s="1"/>
  <c r="KN12" i="9"/>
  <c r="M12" i="9"/>
  <c r="K12" i="9"/>
  <c r="L12" i="9" s="1"/>
  <c r="N12" i="9"/>
  <c r="FW12" i="9"/>
  <c r="FX12" i="9" s="1"/>
  <c r="FY12" i="9"/>
  <c r="FZ12" i="9"/>
  <c r="CL35" i="9"/>
  <c r="EN24" i="9"/>
  <c r="KN24" i="9"/>
  <c r="KO24" i="9"/>
  <c r="HB24" i="9"/>
  <c r="HA24" i="9"/>
  <c r="BV45" i="9"/>
  <c r="BW45" i="9" s="1"/>
  <c r="BY45" i="9"/>
  <c r="BX45" i="9"/>
  <c r="JT45" i="9"/>
  <c r="JQ45" i="9"/>
  <c r="JR45" i="9" s="1"/>
  <c r="CF72" i="9"/>
  <c r="CC72" i="9"/>
  <c r="CD72" i="9" s="1"/>
  <c r="CE72" i="9"/>
  <c r="AT73" i="9"/>
  <c r="AU73" i="9" s="1"/>
  <c r="AW73" i="9"/>
  <c r="KG73" i="9"/>
  <c r="KE73" i="9"/>
  <c r="KF73" i="9" s="1"/>
  <c r="DS102" i="9"/>
  <c r="DV102" i="9"/>
  <c r="IX88" i="9"/>
  <c r="BD3" i="9"/>
  <c r="BC3" i="9"/>
  <c r="AB3" i="9"/>
  <c r="Y3" i="9"/>
  <c r="Z3" i="9" s="1"/>
  <c r="AA3" i="9"/>
  <c r="HF33" i="9"/>
  <c r="HG33" i="9" s="1"/>
  <c r="HI33" i="9"/>
  <c r="FZ33" i="9"/>
  <c r="FW33" i="9"/>
  <c r="JF37" i="9"/>
  <c r="JC37" i="9"/>
  <c r="JD37" i="9" s="1"/>
  <c r="JE37" i="9"/>
  <c r="IQ37" i="9"/>
  <c r="IR37" i="9"/>
  <c r="IO37" i="9"/>
  <c r="IP37" i="9" s="1"/>
  <c r="GG86" i="9"/>
  <c r="GF86" i="9"/>
  <c r="GD86" i="9"/>
  <c r="GE86" i="9" s="1"/>
  <c r="Y86" i="9"/>
  <c r="Z86" i="9" s="1"/>
  <c r="AA86" i="9"/>
  <c r="AB86" i="9"/>
  <c r="FD86" i="9"/>
  <c r="FB86" i="9"/>
  <c r="FC86" i="9" s="1"/>
  <c r="FE86" i="9"/>
  <c r="EQ78" i="9"/>
  <c r="EP78" i="9"/>
  <c r="EN78" i="9"/>
  <c r="EO78" i="9" s="1"/>
  <c r="EX78" i="9"/>
  <c r="EU78" i="9"/>
  <c r="EV78" i="9" s="1"/>
  <c r="EW78" i="9"/>
  <c r="DV6" i="9"/>
  <c r="DS6" i="9"/>
  <c r="DT6" i="9" s="1"/>
  <c r="HB6" i="9"/>
  <c r="GY6" i="9"/>
  <c r="GZ6" i="9" s="1"/>
  <c r="HA6" i="9"/>
  <c r="DU17" i="9"/>
  <c r="DV17" i="9"/>
  <c r="BX17" i="9"/>
  <c r="BY17" i="9"/>
  <c r="BV17" i="9"/>
  <c r="BW17" i="9" s="1"/>
  <c r="JE61" i="9"/>
  <c r="JC61" i="9"/>
  <c r="JD61" i="9" s="1"/>
  <c r="JF61" i="9"/>
  <c r="T61" i="9"/>
  <c r="U61" i="9"/>
  <c r="DN63" i="9"/>
  <c r="DL63" i="9"/>
  <c r="DM63" i="9" s="1"/>
  <c r="DO63" i="9"/>
  <c r="N63" i="9"/>
  <c r="M63" i="9"/>
  <c r="K63" i="9"/>
  <c r="L63" i="9" s="1"/>
  <c r="EB72" i="9"/>
  <c r="EC72" i="9"/>
  <c r="DZ72" i="9"/>
  <c r="EA72" i="9" s="1"/>
  <c r="EN40" i="9"/>
  <c r="EO40" i="9" s="1"/>
  <c r="EQ40" i="9"/>
  <c r="EP40" i="9"/>
  <c r="CC8" i="9"/>
  <c r="CF8" i="9"/>
  <c r="F49" i="9"/>
  <c r="D49" i="9"/>
  <c r="E49" i="9" s="1"/>
  <c r="HI70" i="9"/>
  <c r="HH70" i="9"/>
  <c r="HF70" i="9"/>
  <c r="HG70" i="9" s="1"/>
  <c r="FB35" i="9"/>
  <c r="FC35" i="9" s="1"/>
  <c r="FE35" i="9"/>
  <c r="FD35" i="9"/>
  <c r="AA24" i="9"/>
  <c r="AB24" i="9"/>
  <c r="Y24" i="9"/>
  <c r="Z24" i="9" s="1"/>
  <c r="FI67" i="9"/>
  <c r="FJ67" i="9" s="1"/>
  <c r="FL67" i="9"/>
  <c r="IR8" i="9"/>
  <c r="IQ8" i="9"/>
  <c r="AH47" i="9"/>
  <c r="AI47" i="9"/>
  <c r="AF47" i="9"/>
  <c r="AG47" i="9" s="1"/>
  <c r="FB81" i="9"/>
  <c r="FC81" i="9" s="1"/>
  <c r="FE81" i="9"/>
  <c r="FD81" i="9"/>
  <c r="IC99" i="9"/>
  <c r="FS109" i="9"/>
  <c r="FR109" i="9"/>
  <c r="KA64" i="9"/>
  <c r="JX64" i="9"/>
  <c r="JY64" i="9" s="1"/>
  <c r="N87" i="9"/>
  <c r="GY60" i="9"/>
  <c r="GZ60" i="9" s="1"/>
  <c r="HB60" i="9"/>
  <c r="AF60" i="9"/>
  <c r="AG60" i="9" s="1"/>
  <c r="AH60" i="9"/>
  <c r="CE70" i="9"/>
  <c r="D50" i="9"/>
  <c r="E50" i="9" s="1"/>
  <c r="G50" i="9"/>
  <c r="F50" i="9"/>
  <c r="FL92" i="9"/>
  <c r="FI92" i="9"/>
  <c r="FJ92" i="9" s="1"/>
  <c r="FK92" i="9"/>
  <c r="IR92" i="9"/>
  <c r="IQ92" i="9"/>
  <c r="FD12" i="9"/>
  <c r="FE12" i="9"/>
  <c r="JE12" i="9"/>
  <c r="JC12" i="9"/>
  <c r="JD12" i="9" s="1"/>
  <c r="CM35" i="9"/>
  <c r="EQ24" i="9"/>
  <c r="GT24" i="9"/>
  <c r="IA24" i="9"/>
  <c r="IB24" i="9" s="1"/>
  <c r="IC24" i="9"/>
  <c r="DN24" i="9"/>
  <c r="DL24" i="9"/>
  <c r="DM24" i="9" s="1"/>
  <c r="DV45" i="9"/>
  <c r="DU45" i="9"/>
  <c r="BD45" i="9"/>
  <c r="BC45" i="9"/>
  <c r="BA45" i="9"/>
  <c r="BB45" i="9" s="1"/>
  <c r="FI73" i="9"/>
  <c r="FJ73" i="9" s="1"/>
  <c r="FL73" i="9"/>
  <c r="FK73" i="9"/>
  <c r="CQ73" i="9"/>
  <c r="CR73" i="9" s="1"/>
  <c r="CS73" i="9"/>
  <c r="CT73" i="9"/>
  <c r="R102" i="9"/>
  <c r="S102" i="9" s="1"/>
  <c r="U102" i="9"/>
  <c r="T102" i="9"/>
  <c r="HM102" i="9"/>
  <c r="HP102" i="9"/>
  <c r="KL56" i="9"/>
  <c r="KM56" i="9" s="1"/>
  <c r="KN56" i="9"/>
  <c r="KO56" i="9"/>
  <c r="HT56" i="9"/>
  <c r="HU56" i="9" s="1"/>
  <c r="HV56" i="9"/>
  <c r="HW56" i="9"/>
  <c r="JJ42" i="9"/>
  <c r="JK42" i="9" s="1"/>
  <c r="GY3" i="9"/>
  <c r="GZ3" i="9" s="1"/>
  <c r="HB3" i="9"/>
  <c r="HA3" i="9"/>
  <c r="KN3" i="9"/>
  <c r="KL3" i="9"/>
  <c r="KM3" i="9" s="1"/>
  <c r="FI55" i="9"/>
  <c r="CX33" i="9"/>
  <c r="CY33" i="9" s="1"/>
  <c r="CZ33" i="9"/>
  <c r="DA33" i="9"/>
  <c r="HO33" i="9"/>
  <c r="HM33" i="9"/>
  <c r="HN33" i="9" s="1"/>
  <c r="EX37" i="9"/>
  <c r="EW37" i="9"/>
  <c r="EU37" i="9"/>
  <c r="EV37" i="9" s="1"/>
  <c r="GK37" i="9"/>
  <c r="GL37" i="9" s="1"/>
  <c r="GM37" i="9"/>
  <c r="GN37" i="9"/>
  <c r="FS6" i="9"/>
  <c r="FR6" i="9"/>
  <c r="FP6" i="9"/>
  <c r="FQ6" i="9" s="1"/>
  <c r="CE6" i="9"/>
  <c r="CC6" i="9"/>
  <c r="CD6" i="9" s="1"/>
  <c r="CF6" i="9"/>
  <c r="KO17" i="9"/>
  <c r="KL17" i="9"/>
  <c r="KM17" i="9" s="1"/>
  <c r="FK17" i="9"/>
  <c r="FI17" i="9"/>
  <c r="FJ17" i="9" s="1"/>
  <c r="DH106" i="9"/>
  <c r="IC106" i="9"/>
  <c r="HO18" i="9"/>
  <c r="HM18" i="9"/>
  <c r="HN18" i="9" s="1"/>
  <c r="EX52" i="9"/>
  <c r="EU52" i="9"/>
  <c r="EV52" i="9" s="1"/>
  <c r="HV18" i="9"/>
  <c r="KA70" i="9"/>
  <c r="JX70" i="9"/>
  <c r="JY70" i="9" s="1"/>
  <c r="JZ70" i="9"/>
  <c r="JT35" i="9"/>
  <c r="JS35" i="9"/>
  <c r="JQ35" i="9"/>
  <c r="JR35" i="9" s="1"/>
  <c r="BR85" i="9"/>
  <c r="BO85" i="9"/>
  <c r="BP85" i="9" s="1"/>
  <c r="BQ85" i="9"/>
  <c r="KS99" i="9"/>
  <c r="KT99" i="9" s="1"/>
  <c r="IY84" i="9"/>
  <c r="IX84" i="9"/>
  <c r="CQ51" i="9"/>
  <c r="CR51" i="9" s="1"/>
  <c r="CS51" i="9"/>
  <c r="CT51" i="9"/>
  <c r="EI109" i="9"/>
  <c r="EK109" i="9" s="1"/>
  <c r="JX109" i="9"/>
  <c r="JY109" i="9" s="1"/>
  <c r="JZ109" i="9"/>
  <c r="HP18" i="9"/>
  <c r="JJ47" i="9"/>
  <c r="JK47" i="9" s="1"/>
  <c r="JM47" i="9"/>
  <c r="JL47" i="9"/>
  <c r="GU109" i="9"/>
  <c r="GR109" i="9"/>
  <c r="BV101" i="9"/>
  <c r="BW101" i="9" s="1"/>
  <c r="BY101" i="9"/>
  <c r="DS99" i="9"/>
  <c r="DT99" i="9" s="1"/>
  <c r="DU99" i="9"/>
  <c r="BO8" i="9"/>
  <c r="BP8" i="9" s="1"/>
  <c r="CZ87" i="9"/>
  <c r="GN70" i="9"/>
  <c r="IH111" i="9"/>
  <c r="II111" i="9" s="1"/>
  <c r="N111" i="9"/>
  <c r="K111" i="9"/>
  <c r="L111" i="9" s="1"/>
  <c r="BR50" i="9"/>
  <c r="DO92" i="9"/>
  <c r="DL92" i="9"/>
  <c r="IH12" i="9"/>
  <c r="II12" i="9" s="1"/>
  <c r="IJ12" i="9"/>
  <c r="EG12" i="9"/>
  <c r="EH12" i="9" s="1"/>
  <c r="EI12" i="9"/>
  <c r="F35" i="9"/>
  <c r="R24" i="9"/>
  <c r="S24" i="9" s="1"/>
  <c r="ID24" i="9"/>
  <c r="GY45" i="9"/>
  <c r="HB45" i="9"/>
  <c r="AW45" i="9"/>
  <c r="AT45" i="9"/>
  <c r="AU45" i="9" s="1"/>
  <c r="AV45" i="9"/>
  <c r="EN45" i="9"/>
  <c r="EO45" i="9" s="1"/>
  <c r="EP45" i="9"/>
  <c r="EQ45" i="9"/>
  <c r="HB72" i="9"/>
  <c r="GU7" i="9"/>
  <c r="GR7" i="9"/>
  <c r="GS7" i="9" s="1"/>
  <c r="AM7" i="9"/>
  <c r="AN7" i="9" s="1"/>
  <c r="AP7" i="9"/>
  <c r="AO7" i="9"/>
  <c r="K7" i="9"/>
  <c r="BA73" i="9"/>
  <c r="BD73" i="9"/>
  <c r="CM73" i="9"/>
  <c r="CJ73" i="9"/>
  <c r="JE102" i="9"/>
  <c r="JF102" i="9"/>
  <c r="R56" i="9"/>
  <c r="S56" i="9" s="1"/>
  <c r="T56" i="9"/>
  <c r="U56" i="9"/>
  <c r="DH56" i="9"/>
  <c r="DE56" i="9"/>
  <c r="DF56" i="9" s="1"/>
  <c r="JE88" i="9"/>
  <c r="IK3" i="9"/>
  <c r="IH3" i="9"/>
  <c r="II3" i="9" s="1"/>
  <c r="AW3" i="9"/>
  <c r="AV3" i="9"/>
  <c r="AT3" i="9"/>
  <c r="AU3" i="9" s="1"/>
  <c r="HH33" i="9"/>
  <c r="GN33" i="9"/>
  <c r="GM33" i="9"/>
  <c r="GK33" i="9"/>
  <c r="GL33" i="9" s="1"/>
  <c r="DN33" i="9"/>
  <c r="DL33" i="9"/>
  <c r="DM33" i="9" s="1"/>
  <c r="DO33" i="9"/>
  <c r="JL40" i="9"/>
  <c r="HW37" i="9"/>
  <c r="HV37" i="9"/>
  <c r="HT37" i="9"/>
  <c r="HU37" i="9" s="1"/>
  <c r="AF37" i="9"/>
  <c r="AG37" i="9" s="1"/>
  <c r="AH37" i="9"/>
  <c r="AI37" i="9"/>
  <c r="FP83" i="9"/>
  <c r="FQ83" i="9" s="1"/>
  <c r="AM6" i="9"/>
  <c r="AN6" i="9" s="1"/>
  <c r="AP6" i="9"/>
  <c r="AO6" i="9"/>
  <c r="AW6" i="9"/>
  <c r="AV6" i="9"/>
  <c r="AT6" i="9"/>
  <c r="AU6" i="9" s="1"/>
  <c r="AH17" i="9"/>
  <c r="AF17" i="9"/>
  <c r="AG17" i="9" s="1"/>
  <c r="AI17" i="9"/>
  <c r="R61" i="9"/>
  <c r="S61" i="9" s="1"/>
  <c r="EG99" i="9"/>
  <c r="EH99" i="9" s="1"/>
  <c r="EJ99" i="9"/>
  <c r="EI99" i="9"/>
  <c r="AP39" i="9"/>
  <c r="AM39" i="9"/>
  <c r="AN39" i="9" s="1"/>
  <c r="KL67" i="9"/>
  <c r="KM67" i="9" s="1"/>
  <c r="DS29" i="9"/>
  <c r="DT29" i="9" s="1"/>
  <c r="DU29" i="9"/>
  <c r="DV29" i="9"/>
  <c r="DH50" i="9"/>
  <c r="DG50" i="9"/>
  <c r="AO39" i="9"/>
  <c r="BK40" i="9"/>
  <c r="BH40" i="9"/>
  <c r="BI40" i="9" s="1"/>
  <c r="BJ40" i="9"/>
  <c r="AP87" i="9"/>
  <c r="AM87" i="9"/>
  <c r="FP103" i="9"/>
  <c r="FQ103" i="9" s="1"/>
  <c r="FR103" i="9"/>
  <c r="FB33" i="9"/>
  <c r="FC33" i="9" s="1"/>
  <c r="FD33" i="9"/>
  <c r="FE33" i="9"/>
  <c r="CC71" i="9"/>
  <c r="CD71" i="9" s="1"/>
  <c r="CE71" i="9"/>
  <c r="CF71" i="9"/>
  <c r="DO19" i="9"/>
  <c r="DN19" i="9"/>
  <c r="DL19" i="9"/>
  <c r="DM19" i="9" s="1"/>
  <c r="EB109" i="9"/>
  <c r="EC109" i="9"/>
  <c r="DZ109" i="9"/>
  <c r="EA109" i="9" s="1"/>
  <c r="KU99" i="9"/>
  <c r="AB99" i="9"/>
  <c r="Y99" i="9"/>
  <c r="Z99" i="9" s="1"/>
  <c r="HO52" i="9"/>
  <c r="JM98" i="9"/>
  <c r="JL98" i="9"/>
  <c r="N8" i="9"/>
  <c r="BY47" i="9"/>
  <c r="BV47" i="9"/>
  <c r="FL99" i="9"/>
  <c r="FI99" i="9"/>
  <c r="FE99" i="9"/>
  <c r="FB99" i="9"/>
  <c r="DE99" i="9"/>
  <c r="DF99" i="9" s="1"/>
  <c r="DG99" i="9"/>
  <c r="GU52" i="9"/>
  <c r="T18" i="9"/>
  <c r="GU47" i="9"/>
  <c r="GT47" i="9"/>
  <c r="GR47" i="9"/>
  <c r="GS47" i="9" s="1"/>
  <c r="CQ49" i="9"/>
  <c r="CR49" i="9" s="1"/>
  <c r="JQ101" i="9"/>
  <c r="JT101" i="9"/>
  <c r="ID99" i="9"/>
  <c r="EW52" i="9"/>
  <c r="HA109" i="9"/>
  <c r="HB109" i="9"/>
  <c r="KN18" i="9"/>
  <c r="AM101" i="9"/>
  <c r="AN101" i="9" s="1"/>
  <c r="AO101" i="9"/>
  <c r="AP101" i="9"/>
  <c r="EN101" i="9"/>
  <c r="EO101" i="9" s="1"/>
  <c r="EQ101" i="9"/>
  <c r="EP101" i="9"/>
  <c r="GF84" i="9"/>
  <c r="EU60" i="9"/>
  <c r="EV60" i="9" s="1"/>
  <c r="EX60" i="9"/>
  <c r="FL70" i="9"/>
  <c r="EP99" i="9"/>
  <c r="JF52" i="9"/>
  <c r="U8" i="9"/>
  <c r="KL18" i="9"/>
  <c r="KM18" i="9" s="1"/>
  <c r="BK47" i="9"/>
  <c r="BJ47" i="9"/>
  <c r="BH47" i="9"/>
  <c r="BI47" i="9" s="1"/>
  <c r="JE64" i="9"/>
  <c r="GG64" i="9"/>
  <c r="GD64" i="9"/>
  <c r="AB64" i="9"/>
  <c r="AA64" i="9"/>
  <c r="K60" i="9"/>
  <c r="L60" i="9" s="1"/>
  <c r="M60" i="9"/>
  <c r="CT111" i="9"/>
  <c r="CS111" i="9"/>
  <c r="CQ111" i="9"/>
  <c r="CR111" i="9" s="1"/>
  <c r="EU111" i="9"/>
  <c r="EV111" i="9" s="1"/>
  <c r="EW111" i="9"/>
  <c r="GT50" i="9"/>
  <c r="GU50" i="9"/>
  <c r="KV50" i="9"/>
  <c r="KS50" i="9"/>
  <c r="KT50" i="9" s="1"/>
  <c r="JZ92" i="9"/>
  <c r="FB12" i="9"/>
  <c r="FC12" i="9" s="1"/>
  <c r="JX12" i="9"/>
  <c r="JY12" i="9" s="1"/>
  <c r="JZ12" i="9"/>
  <c r="KA12" i="9"/>
  <c r="HP12" i="9"/>
  <c r="HO12" i="9"/>
  <c r="HM12" i="9"/>
  <c r="HN12" i="9" s="1"/>
  <c r="GY24" i="9"/>
  <c r="GZ24" i="9" s="1"/>
  <c r="EX45" i="9"/>
  <c r="EW45" i="9"/>
  <c r="EU45" i="9"/>
  <c r="EV45" i="9" s="1"/>
  <c r="HF45" i="9"/>
  <c r="HG45" i="9" s="1"/>
  <c r="HI45" i="9"/>
  <c r="HH45" i="9"/>
  <c r="GT7" i="9"/>
  <c r="EC73" i="9"/>
  <c r="DZ73" i="9"/>
  <c r="JM73" i="9"/>
  <c r="JL73" i="9"/>
  <c r="JJ73" i="9"/>
  <c r="JK73" i="9" s="1"/>
  <c r="K27" i="9"/>
  <c r="L27" i="9" s="1"/>
  <c r="M27" i="9"/>
  <c r="IA27" i="9"/>
  <c r="IB27" i="9" s="1"/>
  <c r="IC27" i="9"/>
  <c r="ID27" i="9"/>
  <c r="KE27" i="9"/>
  <c r="KH27" i="9"/>
  <c r="JC102" i="9"/>
  <c r="JD102" i="9" s="1"/>
  <c r="CQ102" i="9"/>
  <c r="CR102" i="9" s="1"/>
  <c r="CS102" i="9"/>
  <c r="GK102" i="9"/>
  <c r="GL102" i="9" s="1"/>
  <c r="GM102" i="9"/>
  <c r="JE3" i="9"/>
  <c r="JF3" i="9"/>
  <c r="JC3" i="9"/>
  <c r="JD3" i="9" s="1"/>
  <c r="JX3" i="9"/>
  <c r="JY3" i="9" s="1"/>
  <c r="JZ3" i="9"/>
  <c r="FL55" i="9"/>
  <c r="JX55" i="9"/>
  <c r="JY55" i="9" s="1"/>
  <c r="JZ55" i="9"/>
  <c r="DV55" i="9"/>
  <c r="DS55" i="9"/>
  <c r="DT55" i="9" s="1"/>
  <c r="DU55" i="9"/>
  <c r="DL40" i="9"/>
  <c r="DM40" i="9" s="1"/>
  <c r="EI37" i="9"/>
  <c r="EG37" i="9"/>
  <c r="EH37" i="9" s="1"/>
  <c r="EJ37" i="9"/>
  <c r="KO37" i="9"/>
  <c r="KL37" i="9"/>
  <c r="JS100" i="9"/>
  <c r="FI9" i="9"/>
  <c r="FJ9" i="9" s="1"/>
  <c r="FL9" i="9"/>
  <c r="FK9" i="9"/>
  <c r="AI9" i="9"/>
  <c r="AH9" i="9"/>
  <c r="AF9" i="9"/>
  <c r="AG9" i="9" s="1"/>
  <c r="FL17" i="9"/>
  <c r="N17" i="9"/>
  <c r="FW17" i="9"/>
  <c r="FX17" i="9" s="1"/>
  <c r="FZ17" i="9"/>
  <c r="FY17" i="9"/>
  <c r="U17" i="9"/>
  <c r="R17" i="9"/>
  <c r="S17" i="9" s="1"/>
  <c r="T17" i="9"/>
  <c r="KE87" i="9"/>
  <c r="KH87" i="9"/>
  <c r="KS70" i="9"/>
  <c r="KT70" i="9" s="1"/>
  <c r="DE85" i="9"/>
  <c r="DF85" i="9" s="1"/>
  <c r="DH85" i="9"/>
  <c r="DG85" i="9"/>
  <c r="CL67" i="9"/>
  <c r="CM67" i="9"/>
  <c r="CJ67" i="9"/>
  <c r="CK67" i="9" s="1"/>
  <c r="JT88" i="9"/>
  <c r="JQ88" i="9"/>
  <c r="JR88" i="9" s="1"/>
  <c r="EJ42" i="9"/>
  <c r="EG42" i="9"/>
  <c r="BK99" i="9"/>
  <c r="BH99" i="9"/>
  <c r="BI99" i="9" s="1"/>
  <c r="BJ99" i="9"/>
  <c r="T111" i="9"/>
  <c r="U111" i="9"/>
  <c r="R111" i="9"/>
  <c r="S111" i="9" s="1"/>
  <c r="U81" i="9"/>
  <c r="R81" i="9"/>
  <c r="S81" i="9" s="1"/>
  <c r="T81" i="9"/>
  <c r="BC33" i="9"/>
  <c r="BD33" i="9"/>
  <c r="HF8" i="9"/>
  <c r="HG8" i="9" s="1"/>
  <c r="CE52" i="9"/>
  <c r="JF109" i="9"/>
  <c r="JC109" i="9"/>
  <c r="KA98" i="9"/>
  <c r="CX47" i="9"/>
  <c r="DA47" i="9"/>
  <c r="CX101" i="9"/>
  <c r="CY101" i="9" s="1"/>
  <c r="CZ101" i="9"/>
  <c r="AH84" i="9"/>
  <c r="AV64" i="9"/>
  <c r="AT64" i="9"/>
  <c r="AU64" i="9" s="1"/>
  <c r="BA64" i="9"/>
  <c r="BB64" i="9" s="1"/>
  <c r="BD64" i="9"/>
  <c r="BC64" i="9"/>
  <c r="CX60" i="9"/>
  <c r="CY60" i="9" s="1"/>
  <c r="DU60" i="9"/>
  <c r="JX60" i="9"/>
  <c r="JY60" i="9" s="1"/>
  <c r="JZ60" i="9"/>
  <c r="KG60" i="9"/>
  <c r="KH60" i="9"/>
  <c r="KE60" i="9"/>
  <c r="KF60" i="9" s="1"/>
  <c r="KU70" i="9"/>
  <c r="JF111" i="9"/>
  <c r="JE111" i="9"/>
  <c r="IC111" i="9"/>
  <c r="ID111" i="9"/>
  <c r="BK111" i="9"/>
  <c r="BH111" i="9"/>
  <c r="GM50" i="9"/>
  <c r="EN92" i="9"/>
  <c r="EO92" i="9" s="1"/>
  <c r="AT12" i="9"/>
  <c r="AU12" i="9" s="1"/>
  <c r="G12" i="9"/>
  <c r="D12" i="9"/>
  <c r="E12" i="9" s="1"/>
  <c r="F12" i="9"/>
  <c r="IV12" i="9"/>
  <c r="IY12" i="9"/>
  <c r="FR45" i="9"/>
  <c r="FP45" i="9"/>
  <c r="FQ45" i="9" s="1"/>
  <c r="CM45" i="9"/>
  <c r="CL45" i="9"/>
  <c r="EG73" i="9"/>
  <c r="EU73" i="9"/>
  <c r="EV73" i="9" s="1"/>
  <c r="EX73" i="9"/>
  <c r="EW73" i="9"/>
  <c r="DE27" i="9"/>
  <c r="DF27" i="9" s="1"/>
  <c r="DH27" i="9"/>
  <c r="DG27" i="9"/>
  <c r="KV27" i="9"/>
  <c r="KU27" i="9"/>
  <c r="FK27" i="9"/>
  <c r="FI27" i="9"/>
  <c r="FJ27" i="9" s="1"/>
  <c r="FL27" i="9"/>
  <c r="DL56" i="9"/>
  <c r="DM56" i="9" s="1"/>
  <c r="HO3" i="9"/>
  <c r="HP3" i="9"/>
  <c r="HM3" i="9"/>
  <c r="HN3" i="9" s="1"/>
  <c r="FD3" i="9"/>
  <c r="FB3" i="9"/>
  <c r="FC3" i="9" s="1"/>
  <c r="FE3" i="9"/>
  <c r="KL36" i="9"/>
  <c r="KM36" i="9" s="1"/>
  <c r="KN36" i="9"/>
  <c r="KO36" i="9"/>
  <c r="CJ25" i="9"/>
  <c r="CK25" i="9" s="1"/>
  <c r="CM25" i="9"/>
  <c r="CL25" i="9"/>
  <c r="F25" i="9"/>
  <c r="G25" i="9"/>
  <c r="D25" i="9"/>
  <c r="E25" i="9" s="1"/>
  <c r="JC55" i="9"/>
  <c r="JD55" i="9" s="1"/>
  <c r="JE55" i="9"/>
  <c r="BA55" i="9"/>
  <c r="BB55" i="9" s="1"/>
  <c r="BC55" i="9"/>
  <c r="BD55" i="9"/>
  <c r="DL14" i="9"/>
  <c r="DM14" i="9" s="1"/>
  <c r="DN14" i="9"/>
  <c r="DO14" i="9"/>
  <c r="EX14" i="9"/>
  <c r="EW14" i="9"/>
  <c r="FD79" i="9"/>
  <c r="FB79" i="9"/>
  <c r="FC79" i="9" s="1"/>
  <c r="FE79" i="9"/>
  <c r="IA79" i="9"/>
  <c r="IB79" i="9" s="1"/>
  <c r="IC79" i="9"/>
  <c r="ID79" i="9"/>
  <c r="DS17" i="9"/>
  <c r="DT17" i="9" s="1"/>
  <c r="KN17" i="9"/>
  <c r="GG8" i="9"/>
  <c r="GF8" i="9"/>
  <c r="GD8" i="9"/>
  <c r="GE8" i="9" s="1"/>
  <c r="G49" i="9"/>
  <c r="EW84" i="9"/>
  <c r="EX84" i="9"/>
  <c r="U72" i="9"/>
  <c r="T72" i="9"/>
  <c r="KE111" i="9"/>
  <c r="KF111" i="9" s="1"/>
  <c r="KG111" i="9"/>
  <c r="FZ106" i="9"/>
  <c r="FW106" i="9"/>
  <c r="FX106" i="9" s="1"/>
  <c r="FY106" i="9"/>
  <c r="CE18" i="9"/>
  <c r="CC18" i="9"/>
  <c r="CD18" i="9" s="1"/>
  <c r="BD101" i="9"/>
  <c r="BC101" i="9"/>
  <c r="BA101" i="9"/>
  <c r="BB101" i="9" s="1"/>
  <c r="CS101" i="9"/>
  <c r="CQ101" i="9"/>
  <c r="CR101" i="9" s="1"/>
  <c r="CT101" i="9"/>
  <c r="FE84" i="9"/>
  <c r="DU64" i="9"/>
  <c r="DS64" i="9"/>
  <c r="DT64" i="9" s="1"/>
  <c r="BH64" i="9"/>
  <c r="BI64" i="9" s="1"/>
  <c r="BJ64" i="9"/>
  <c r="IV60" i="9"/>
  <c r="IW60" i="9" s="1"/>
  <c r="IY60" i="9"/>
  <c r="IX60" i="9"/>
  <c r="JM60" i="9"/>
  <c r="JL60" i="9"/>
  <c r="JJ60" i="9"/>
  <c r="JK60" i="9" s="1"/>
  <c r="DG70" i="9"/>
  <c r="KU111" i="9"/>
  <c r="FZ45" i="9"/>
  <c r="FW45" i="9"/>
  <c r="IC45" i="9"/>
  <c r="ID45" i="9"/>
  <c r="DA73" i="9"/>
  <c r="CX73" i="9"/>
  <c r="DS27" i="9"/>
  <c r="DT27" i="9" s="1"/>
  <c r="DU27" i="9"/>
  <c r="DV27" i="9"/>
  <c r="HV27" i="9"/>
  <c r="HW27" i="9"/>
  <c r="HT27" i="9"/>
  <c r="HU27" i="9" s="1"/>
  <c r="GR36" i="9"/>
  <c r="GS36" i="9" s="1"/>
  <c r="GU36" i="9"/>
  <c r="GT36" i="9"/>
  <c r="CQ36" i="9"/>
  <c r="CR36" i="9" s="1"/>
  <c r="CS36" i="9"/>
  <c r="CT36" i="9"/>
  <c r="FL25" i="9"/>
  <c r="FK25" i="9"/>
  <c r="HO25" i="9"/>
  <c r="HP25" i="9"/>
  <c r="HM25" i="9"/>
  <c r="HN25" i="9" s="1"/>
  <c r="IY55" i="9"/>
  <c r="IX55" i="9"/>
  <c r="IV55" i="9"/>
  <c r="IW55" i="9" s="1"/>
  <c r="DU38" i="9"/>
  <c r="DS38" i="9"/>
  <c r="DT38" i="9" s="1"/>
  <c r="KH38" i="9"/>
  <c r="KG38" i="9"/>
  <c r="DH32" i="9"/>
  <c r="DE32" i="9"/>
  <c r="DF32" i="9" s="1"/>
  <c r="DG32" i="9"/>
  <c r="KN32" i="9"/>
  <c r="KL32" i="9"/>
  <c r="KM32" i="9" s="1"/>
  <c r="KO32" i="9"/>
  <c r="HP52" i="9"/>
  <c r="EU42" i="9"/>
  <c r="EV42" i="9" s="1"/>
  <c r="EX42" i="9"/>
  <c r="EW42" i="9"/>
  <c r="EU99" i="9"/>
  <c r="EV99" i="9" s="1"/>
  <c r="EW99" i="9"/>
  <c r="EX99" i="9"/>
  <c r="GR8" i="9"/>
  <c r="GU8" i="9"/>
  <c r="U99" i="9"/>
  <c r="BC52" i="9"/>
  <c r="BA52" i="9"/>
  <c r="BB52" i="9" s="1"/>
  <c r="BD52" i="9"/>
  <c r="EQ52" i="9"/>
  <c r="EN52" i="9"/>
  <c r="EG64" i="9"/>
  <c r="EH64" i="9" s="1"/>
  <c r="EJ64" i="9"/>
  <c r="EI64" i="9"/>
  <c r="GD60" i="9"/>
  <c r="GG60" i="9"/>
  <c r="GK50" i="9"/>
  <c r="GL50" i="9" s="1"/>
  <c r="FR12" i="9"/>
  <c r="FP12" i="9"/>
  <c r="FQ12" i="9" s="1"/>
  <c r="HW12" i="9"/>
  <c r="HV12" i="9"/>
  <c r="KS45" i="9"/>
  <c r="KT45" i="9" s="1"/>
  <c r="KU45" i="9"/>
  <c r="GK45" i="9"/>
  <c r="GN45" i="9"/>
  <c r="BY7" i="9"/>
  <c r="BX7" i="9"/>
  <c r="CM7" i="9"/>
  <c r="CJ7" i="9"/>
  <c r="CK7" i="9" s="1"/>
  <c r="AF27" i="9"/>
  <c r="AG27" i="9" s="1"/>
  <c r="AH27" i="9"/>
  <c r="D27" i="9"/>
  <c r="E27" i="9" s="1"/>
  <c r="G27" i="9"/>
  <c r="KO67" i="9"/>
  <c r="BR56" i="9"/>
  <c r="BQ56" i="9"/>
  <c r="BO56" i="9"/>
  <c r="BP56" i="9" s="1"/>
  <c r="GF42" i="9"/>
  <c r="IY36" i="9"/>
  <c r="IX36" i="9"/>
  <c r="IV36" i="9"/>
  <c r="IW36" i="9" s="1"/>
  <c r="AB36" i="9"/>
  <c r="Y36" i="9"/>
  <c r="Z36" i="9" s="1"/>
  <c r="JM25" i="9"/>
  <c r="JJ25" i="9"/>
  <c r="JK25" i="9" s="1"/>
  <c r="JL25" i="9"/>
  <c r="AF25" i="9"/>
  <c r="AI25" i="9"/>
  <c r="N55" i="9"/>
  <c r="K55" i="9"/>
  <c r="L55" i="9" s="1"/>
  <c r="M55" i="9"/>
  <c r="DA55" i="9"/>
  <c r="CZ55" i="9"/>
  <c r="CX55" i="9"/>
  <c r="CY55" i="9" s="1"/>
  <c r="CC38" i="9"/>
  <c r="CD38" i="9" s="1"/>
  <c r="CE38" i="9"/>
  <c r="CF38" i="9"/>
  <c r="K32" i="9"/>
  <c r="L32" i="9" s="1"/>
  <c r="N32" i="9"/>
  <c r="M32" i="9"/>
  <c r="FS15" i="9"/>
  <c r="FP15" i="9"/>
  <c r="FQ15" i="9" s="1"/>
  <c r="FR15" i="9"/>
  <c r="GU15" i="9"/>
  <c r="GR15" i="9"/>
  <c r="GS15" i="9" s="1"/>
  <c r="GT15" i="9"/>
  <c r="DU6" i="9"/>
  <c r="IA62" i="9"/>
  <c r="IB62" i="9" s="1"/>
  <c r="IC62" i="9"/>
  <c r="ID62" i="9"/>
  <c r="N62" i="9"/>
  <c r="M62" i="9"/>
  <c r="K62" i="9"/>
  <c r="L62" i="9" s="1"/>
  <c r="BA103" i="9"/>
  <c r="BD103" i="9"/>
  <c r="HB40" i="9"/>
  <c r="HA40" i="9"/>
  <c r="GY40" i="9"/>
  <c r="GZ40" i="9" s="1"/>
  <c r="HP93" i="9"/>
  <c r="HM93" i="9"/>
  <c r="HN93" i="9" s="1"/>
  <c r="HO93" i="9"/>
  <c r="K49" i="9"/>
  <c r="L49" i="9" s="1"/>
  <c r="N49" i="9"/>
  <c r="M49" i="9"/>
  <c r="GD50" i="9"/>
  <c r="GE50" i="9" s="1"/>
  <c r="GG50" i="9"/>
  <c r="GF50" i="9"/>
  <c r="IA72" i="9"/>
  <c r="IB72" i="9" s="1"/>
  <c r="IC72" i="9"/>
  <c r="DL84" i="9"/>
  <c r="DM84" i="9" s="1"/>
  <c r="DN84" i="9"/>
  <c r="DO84" i="9"/>
  <c r="AA70" i="9"/>
  <c r="AC70" i="9" s="1"/>
  <c r="AB70" i="9"/>
  <c r="K88" i="9"/>
  <c r="L88" i="9" s="1"/>
  <c r="M88" i="9"/>
  <c r="FS42" i="9"/>
  <c r="FP42" i="9"/>
  <c r="DU106" i="9"/>
  <c r="DS106" i="9"/>
  <c r="DT106" i="9" s="1"/>
  <c r="DV106" i="9"/>
  <c r="K8" i="9"/>
  <c r="N84" i="9"/>
  <c r="BO64" i="9"/>
  <c r="BP64" i="9" s="1"/>
  <c r="BR64" i="9"/>
  <c r="HF60" i="9"/>
  <c r="HG60" i="9" s="1"/>
  <c r="HI60" i="9"/>
  <c r="HH60" i="9"/>
  <c r="AA52" i="9"/>
  <c r="GG52" i="9"/>
  <c r="GD52" i="9"/>
  <c r="IV52" i="9"/>
  <c r="IW52" i="9" s="1"/>
  <c r="IX52" i="9"/>
  <c r="HP109" i="9"/>
  <c r="IY18" i="9"/>
  <c r="IX18" i="9"/>
  <c r="KE47" i="9"/>
  <c r="KF47" i="9" s="1"/>
  <c r="HV101" i="9"/>
  <c r="HW101" i="9"/>
  <c r="DO101" i="9"/>
  <c r="DL101" i="9"/>
  <c r="GU64" i="9"/>
  <c r="GR64" i="9"/>
  <c r="JQ64" i="9"/>
  <c r="JT64" i="9"/>
  <c r="KA60" i="9"/>
  <c r="AM60" i="9"/>
  <c r="AP60" i="9"/>
  <c r="AW60" i="9"/>
  <c r="AV60" i="9"/>
  <c r="AT60" i="9"/>
  <c r="AU60" i="9" s="1"/>
  <c r="AV111" i="9"/>
  <c r="IO92" i="9"/>
  <c r="IP92" i="9" s="1"/>
  <c r="T12" i="9"/>
  <c r="U12" i="9"/>
  <c r="AI12" i="9"/>
  <c r="AF12" i="9"/>
  <c r="AG12" i="9" s="1"/>
  <c r="AH12" i="9"/>
  <c r="CT35" i="9"/>
  <c r="JS45" i="9"/>
  <c r="FD45" i="9"/>
  <c r="FB45" i="9"/>
  <c r="FC45" i="9" s="1"/>
  <c r="KA45" i="9"/>
  <c r="JZ45" i="9"/>
  <c r="JX45" i="9"/>
  <c r="JY45" i="9" s="1"/>
  <c r="JF72" i="9"/>
  <c r="FR39" i="9"/>
  <c r="FS39" i="9"/>
  <c r="AV73" i="9"/>
  <c r="KL27" i="9"/>
  <c r="KM27" i="9" s="1"/>
  <c r="FS27" i="9"/>
  <c r="FR27" i="9"/>
  <c r="FP27" i="9"/>
  <c r="FQ27" i="9" s="1"/>
  <c r="FK67" i="9"/>
  <c r="BQ25" i="9"/>
  <c r="BO25" i="9"/>
  <c r="BP25" i="9" s="1"/>
  <c r="BR25" i="9"/>
  <c r="AA25" i="9"/>
  <c r="Y25" i="9"/>
  <c r="Z25" i="9" s="1"/>
  <c r="BR55" i="9"/>
  <c r="BQ55" i="9"/>
  <c r="BO55" i="9"/>
  <c r="BP55" i="9" s="1"/>
  <c r="AB55" i="9"/>
  <c r="Y55" i="9"/>
  <c r="Z55" i="9" s="1"/>
  <c r="AA55" i="9"/>
  <c r="FW38" i="9"/>
  <c r="FX38" i="9" s="1"/>
  <c r="FY38" i="9"/>
  <c r="FZ38" i="9"/>
  <c r="DZ38" i="9"/>
  <c r="EA38" i="9" s="1"/>
  <c r="EC38" i="9"/>
  <c r="EB38" i="9"/>
  <c r="HF32" i="9"/>
  <c r="HG32" i="9" s="1"/>
  <c r="HI32" i="9"/>
  <c r="HH32" i="9"/>
  <c r="FR40" i="9"/>
  <c r="BY15" i="9"/>
  <c r="BV15" i="9"/>
  <c r="BW15" i="9" s="1"/>
  <c r="BX15" i="9"/>
  <c r="DE15" i="9"/>
  <c r="DF15" i="9" s="1"/>
  <c r="DG15" i="9"/>
  <c r="DH15" i="9"/>
  <c r="KE5" i="9"/>
  <c r="KF5" i="9" s="1"/>
  <c r="KH5" i="9"/>
  <c r="KG5" i="9"/>
  <c r="GT5" i="9"/>
  <c r="GR5" i="9"/>
  <c r="GS5" i="9" s="1"/>
  <c r="GU5" i="9"/>
  <c r="AB62" i="9"/>
  <c r="Y62" i="9"/>
  <c r="Z62" i="9" s="1"/>
  <c r="AA62" i="9"/>
  <c r="DG62" i="9"/>
  <c r="DH62" i="9"/>
  <c r="DE62" i="9"/>
  <c r="DF62" i="9" s="1"/>
  <c r="EX35" i="9"/>
  <c r="EW35" i="9"/>
  <c r="EU35" i="9"/>
  <c r="EV35" i="9" s="1"/>
  <c r="JF39" i="9"/>
  <c r="JE39" i="9"/>
  <c r="FD93" i="9"/>
  <c r="FE93" i="9"/>
  <c r="FB93" i="9"/>
  <c r="FC93" i="9" s="1"/>
  <c r="DZ52" i="9"/>
  <c r="EA52" i="9" s="1"/>
  <c r="EB52" i="9"/>
  <c r="EC52" i="9"/>
  <c r="JJ44" i="9"/>
  <c r="JK44" i="9" s="1"/>
  <c r="HB88" i="9"/>
  <c r="GY88" i="9"/>
  <c r="GZ88" i="9" s="1"/>
  <c r="EC97" i="9"/>
  <c r="IK99" i="9"/>
  <c r="IR99" i="9"/>
  <c r="T8" i="9"/>
  <c r="EU64" i="9"/>
  <c r="EV64" i="9" s="1"/>
  <c r="EW64" i="9"/>
  <c r="IA52" i="9"/>
  <c r="IB52" i="9" s="1"/>
  <c r="IC52" i="9"/>
  <c r="IY8" i="9"/>
  <c r="CF18" i="9"/>
  <c r="EU47" i="9"/>
  <c r="EV47" i="9" s="1"/>
  <c r="DN64" i="9"/>
  <c r="DL64" i="9"/>
  <c r="DM64" i="9" s="1"/>
  <c r="DO64" i="9"/>
  <c r="IQ64" i="9"/>
  <c r="IR64" i="9"/>
  <c r="FL64" i="9"/>
  <c r="FI64" i="9"/>
  <c r="FD70" i="9"/>
  <c r="CE50" i="9"/>
  <c r="BX12" i="9"/>
  <c r="BV12" i="9"/>
  <c r="BW12" i="9" s="1"/>
  <c r="BY12" i="9"/>
  <c r="EN12" i="9"/>
  <c r="EQ12" i="9"/>
  <c r="HH35" i="9"/>
  <c r="CE103" i="9"/>
  <c r="KL45" i="9"/>
  <c r="KM45" i="9" s="1"/>
  <c r="KN45" i="9"/>
  <c r="KO45" i="9"/>
  <c r="DA45" i="9"/>
  <c r="CX45" i="9"/>
  <c r="BR39" i="9"/>
  <c r="BQ39" i="9"/>
  <c r="Y39" i="9"/>
  <c r="Z39" i="9" s="1"/>
  <c r="AA39" i="9"/>
  <c r="AB39" i="9"/>
  <c r="CL7" i="9"/>
  <c r="R7" i="9"/>
  <c r="U7" i="9"/>
  <c r="CX7" i="9"/>
  <c r="DA7" i="9"/>
  <c r="FY27" i="9"/>
  <c r="FZ27" i="9"/>
  <c r="FW27" i="9"/>
  <c r="FX27" i="9" s="1"/>
  <c r="AH22" i="9"/>
  <c r="AF22" i="9"/>
  <c r="AG22" i="9" s="1"/>
  <c r="AI22" i="9"/>
  <c r="AB22" i="9"/>
  <c r="Y22" i="9"/>
  <c r="Z22" i="9" s="1"/>
  <c r="AA22" i="9"/>
  <c r="DS67" i="9"/>
  <c r="DT67" i="9" s="1"/>
  <c r="FR67" i="9"/>
  <c r="FS67" i="9"/>
  <c r="HP67" i="9"/>
  <c r="HM67" i="9"/>
  <c r="HN67" i="9" s="1"/>
  <c r="GD56" i="9"/>
  <c r="GE56" i="9" s="1"/>
  <c r="IA56" i="9"/>
  <c r="ID56" i="9"/>
  <c r="EC56" i="9"/>
  <c r="DZ56" i="9"/>
  <c r="EA56" i="9" s="1"/>
  <c r="EB56" i="9"/>
  <c r="EP56" i="9"/>
  <c r="EN56" i="9"/>
  <c r="EO56" i="9" s="1"/>
  <c r="CF42" i="9"/>
  <c r="KU25" i="9"/>
  <c r="KV25" i="9"/>
  <c r="KS25" i="9"/>
  <c r="KT25" i="9" s="1"/>
  <c r="CZ25" i="9"/>
  <c r="DA25" i="9"/>
  <c r="CX25" i="9"/>
  <c r="CY25" i="9" s="1"/>
  <c r="BK55" i="9"/>
  <c r="BH55" i="9"/>
  <c r="BI55" i="9" s="1"/>
  <c r="BJ55" i="9"/>
  <c r="HP55" i="9"/>
  <c r="HO55" i="9"/>
  <c r="HM55" i="9"/>
  <c r="HN55" i="9" s="1"/>
  <c r="AA38" i="9"/>
  <c r="AB38" i="9"/>
  <c r="Y38" i="9"/>
  <c r="Z38" i="9" s="1"/>
  <c r="DA38" i="9"/>
  <c r="CZ38" i="9"/>
  <c r="AW32" i="9"/>
  <c r="AV32" i="9"/>
  <c r="KV32" i="9"/>
  <c r="KS32" i="9"/>
  <c r="KT32" i="9" s="1"/>
  <c r="GK32" i="9"/>
  <c r="GN32" i="9"/>
  <c r="EU14" i="9"/>
  <c r="EV14" i="9" s="1"/>
  <c r="BA33" i="9"/>
  <c r="BB33" i="9" s="1"/>
  <c r="BO40" i="9"/>
  <c r="BP40" i="9" s="1"/>
  <c r="EN62" i="9"/>
  <c r="EO62" i="9" s="1"/>
  <c r="EQ62" i="9"/>
  <c r="EP62" i="9"/>
  <c r="FW62" i="9"/>
  <c r="FX62" i="9" s="1"/>
  <c r="FY62" i="9"/>
  <c r="FZ62" i="9"/>
  <c r="EC8" i="9"/>
  <c r="DZ8" i="9"/>
  <c r="EX87" i="9"/>
  <c r="EW87" i="9"/>
  <c r="IK103" i="9"/>
  <c r="IH103" i="9"/>
  <c r="II103" i="9" s="1"/>
  <c r="IJ103" i="9"/>
  <c r="IQ18" i="9"/>
  <c r="IR18" i="9"/>
  <c r="IO18" i="9"/>
  <c r="IP18" i="9" s="1"/>
  <c r="BA99" i="9"/>
  <c r="BB99" i="9" s="1"/>
  <c r="EJ109" i="9"/>
  <c r="D98" i="9"/>
  <c r="E98" i="9" s="1"/>
  <c r="HW8" i="9"/>
  <c r="HV8" i="9"/>
  <c r="HT8" i="9"/>
  <c r="HU8" i="9" s="1"/>
  <c r="DV8" i="9"/>
  <c r="DS8" i="9"/>
  <c r="DV49" i="9"/>
  <c r="DS49" i="9"/>
  <c r="BR49" i="9"/>
  <c r="BQ49" i="9"/>
  <c r="JZ64" i="9"/>
  <c r="FE87" i="9"/>
  <c r="KS87" i="9"/>
  <c r="KT87" i="9" s="1"/>
  <c r="KV87" i="9"/>
  <c r="R87" i="9"/>
  <c r="U87" i="9"/>
  <c r="KS111" i="9"/>
  <c r="KT111" i="9" s="1"/>
  <c r="M111" i="9"/>
  <c r="KH50" i="9"/>
  <c r="HT12" i="9"/>
  <c r="HU12" i="9" s="1"/>
  <c r="AV12" i="9"/>
  <c r="KV45" i="9"/>
  <c r="HM39" i="9"/>
  <c r="HN39" i="9" s="1"/>
  <c r="HO39" i="9"/>
  <c r="BH39" i="9"/>
  <c r="BK39" i="9"/>
  <c r="FB7" i="9"/>
  <c r="FE7" i="9"/>
  <c r="AI27" i="9"/>
  <c r="EN27" i="9"/>
  <c r="EO27" i="9" s="1"/>
  <c r="EP27" i="9"/>
  <c r="DO27" i="9"/>
  <c r="DL27" i="9"/>
  <c r="DM27" i="9" s="1"/>
  <c r="DN27" i="9"/>
  <c r="CE102" i="9"/>
  <c r="R67" i="9"/>
  <c r="S67" i="9" s="1"/>
  <c r="EX67" i="9"/>
  <c r="EU67" i="9"/>
  <c r="AV67" i="9"/>
  <c r="AT67" i="9"/>
  <c r="AU67" i="9" s="1"/>
  <c r="AW67" i="9"/>
  <c r="DH55" i="9"/>
  <c r="DE55" i="9"/>
  <c r="DF55" i="9" s="1"/>
  <c r="CM55" i="9"/>
  <c r="CL55" i="9"/>
  <c r="AF38" i="9"/>
  <c r="AG38" i="9" s="1"/>
  <c r="AH38" i="9"/>
  <c r="AI38" i="9"/>
  <c r="JS38" i="9"/>
  <c r="JQ38" i="9"/>
  <c r="JR38" i="9" s="1"/>
  <c r="JT38" i="9"/>
  <c r="CL32" i="9"/>
  <c r="CJ32" i="9"/>
  <c r="CK32" i="9" s="1"/>
  <c r="CM32" i="9"/>
  <c r="AO32" i="9"/>
  <c r="AP32" i="9"/>
  <c r="AM32" i="9"/>
  <c r="AN32" i="9" s="1"/>
  <c r="JJ32" i="9"/>
  <c r="JK32" i="9" s="1"/>
  <c r="JL32" i="9"/>
  <c r="FS54" i="9"/>
  <c r="FP54" i="9"/>
  <c r="FQ54" i="9" s="1"/>
  <c r="FR54" i="9"/>
  <c r="CZ54" i="9"/>
  <c r="DA54" i="9"/>
  <c r="CX54" i="9"/>
  <c r="CY54" i="9" s="1"/>
  <c r="FW28" i="9"/>
  <c r="FX28" i="9" s="1"/>
  <c r="FY28" i="9"/>
  <c r="FZ28" i="9"/>
  <c r="AM28" i="9"/>
  <c r="AN28" i="9" s="1"/>
  <c r="AP28" i="9"/>
  <c r="AO28" i="9"/>
  <c r="EC87" i="9"/>
  <c r="EB87" i="9"/>
  <c r="JS22" i="9"/>
  <c r="JT22" i="9"/>
  <c r="DA52" i="9"/>
  <c r="CX52" i="9"/>
  <c r="F72" i="9"/>
  <c r="GN40" i="9"/>
  <c r="GM40" i="9"/>
  <c r="GK40" i="9"/>
  <c r="GL40" i="9" s="1"/>
  <c r="HI98" i="9"/>
  <c r="HF98" i="9"/>
  <c r="BY52" i="9"/>
  <c r="BX52" i="9"/>
  <c r="AI109" i="9"/>
  <c r="IQ98" i="9"/>
  <c r="HA8" i="9"/>
  <c r="HB8" i="9"/>
  <c r="FW8" i="9"/>
  <c r="FX8" i="9" s="1"/>
  <c r="FY8" i="9"/>
  <c r="FZ8" i="9"/>
  <c r="JL18" i="9"/>
  <c r="AH18" i="9"/>
  <c r="AF18" i="9"/>
  <c r="AG18" i="9" s="1"/>
  <c r="CM18" i="9"/>
  <c r="CL18" i="9"/>
  <c r="JF47" i="9"/>
  <c r="KL49" i="9"/>
  <c r="KO49" i="9"/>
  <c r="CM49" i="9"/>
  <c r="CL49" i="9"/>
  <c r="DU87" i="9"/>
  <c r="CE87" i="9"/>
  <c r="CF87" i="9"/>
  <c r="CC87" i="9"/>
  <c r="CD87" i="9" s="1"/>
  <c r="CX70" i="9"/>
  <c r="DA70" i="9"/>
  <c r="AI70" i="9"/>
  <c r="AF70" i="9"/>
  <c r="DE50" i="9"/>
  <c r="DF50" i="9" s="1"/>
  <c r="BX35" i="9"/>
  <c r="IQ35" i="9"/>
  <c r="IO35" i="9"/>
  <c r="IP35" i="9" s="1"/>
  <c r="AT35" i="9"/>
  <c r="AW35" i="9"/>
  <c r="GR35" i="9"/>
  <c r="GS35" i="9" s="1"/>
  <c r="GT35" i="9"/>
  <c r="DU103" i="9"/>
  <c r="DS103" i="9"/>
  <c r="DT103" i="9" s="1"/>
  <c r="DV103" i="9"/>
  <c r="HA72" i="9"/>
  <c r="KL39" i="9"/>
  <c r="KM39" i="9" s="1"/>
  <c r="KO39" i="9"/>
  <c r="KN39" i="9"/>
  <c r="FB39" i="9"/>
  <c r="FE39" i="9"/>
  <c r="BQ27" i="9"/>
  <c r="BR27" i="9"/>
  <c r="BO27" i="9"/>
  <c r="BP27" i="9" s="1"/>
  <c r="CC102" i="9"/>
  <c r="CD102" i="9" s="1"/>
  <c r="DS22" i="9"/>
  <c r="DT22" i="9" s="1"/>
  <c r="DU22" i="9"/>
  <c r="D22" i="9"/>
  <c r="E22" i="9" s="1"/>
  <c r="G22" i="9"/>
  <c r="F22" i="9"/>
  <c r="AI67" i="9"/>
  <c r="GU67" i="9"/>
  <c r="GT67" i="9"/>
  <c r="GR67" i="9"/>
  <c r="GS67" i="9" s="1"/>
  <c r="DA67" i="9"/>
  <c r="CZ67" i="9"/>
  <c r="HA88" i="9"/>
  <c r="JS88" i="9"/>
  <c r="N88" i="9"/>
  <c r="EU88" i="9"/>
  <c r="EV88" i="9" s="1"/>
  <c r="EX88" i="9"/>
  <c r="EW88" i="9"/>
  <c r="JL88" i="9"/>
  <c r="JJ88" i="9"/>
  <c r="JK88" i="9" s="1"/>
  <c r="JM88" i="9"/>
  <c r="CC42" i="9"/>
  <c r="BX42" i="9"/>
  <c r="BV42" i="9"/>
  <c r="BW42" i="9" s="1"/>
  <c r="BY42" i="9"/>
  <c r="BH42" i="9"/>
  <c r="BK42" i="9"/>
  <c r="FE38" i="9"/>
  <c r="FD38" i="9"/>
  <c r="BY38" i="9"/>
  <c r="BX38" i="9"/>
  <c r="BV38" i="9"/>
  <c r="BW38" i="9" s="1"/>
  <c r="IX32" i="9"/>
  <c r="IY32" i="9"/>
  <c r="IR32" i="9"/>
  <c r="IO32" i="9"/>
  <c r="AB32" i="9"/>
  <c r="AA32" i="9"/>
  <c r="Y32" i="9"/>
  <c r="Z32" i="9" s="1"/>
  <c r="IA83" i="9"/>
  <c r="IB83" i="9" s="1"/>
  <c r="ID83" i="9"/>
  <c r="IC83" i="9"/>
  <c r="EQ83" i="9"/>
  <c r="EP83" i="9"/>
  <c r="FS44" i="9"/>
  <c r="FR44" i="9"/>
  <c r="FP44" i="9"/>
  <c r="FQ44" i="9" s="1"/>
  <c r="FI44" i="9"/>
  <c r="FJ44" i="9" s="1"/>
  <c r="FL44" i="9"/>
  <c r="FK44" i="9"/>
  <c r="DL46" i="9"/>
  <c r="DM46" i="9" s="1"/>
  <c r="GG28" i="9"/>
  <c r="GF28" i="9"/>
  <c r="GD28" i="9"/>
  <c r="GE28" i="9" s="1"/>
  <c r="IK28" i="9"/>
  <c r="IH28" i="9"/>
  <c r="II28" i="9" s="1"/>
  <c r="IJ28" i="9"/>
  <c r="BD81" i="9"/>
  <c r="BA81" i="9"/>
  <c r="BB81" i="9" s="1"/>
  <c r="BC81" i="9"/>
  <c r="GY81" i="9"/>
  <c r="GZ81" i="9" s="1"/>
  <c r="HA81" i="9"/>
  <c r="FI33" i="9"/>
  <c r="FJ33" i="9" s="1"/>
  <c r="FL33" i="9"/>
  <c r="T40" i="9"/>
  <c r="U40" i="9"/>
  <c r="AP68" i="9"/>
  <c r="AO68" i="9"/>
  <c r="CE68" i="9"/>
  <c r="CF68" i="9"/>
  <c r="EX54" i="9"/>
  <c r="EU54" i="9"/>
  <c r="EV54" i="9" s="1"/>
  <c r="EW54" i="9"/>
  <c r="IK54" i="9"/>
  <c r="IJ54" i="9"/>
  <c r="IH54" i="9"/>
  <c r="II54" i="9" s="1"/>
  <c r="HM54" i="9"/>
  <c r="HN54" i="9" s="1"/>
  <c r="HP54" i="9"/>
  <c r="JT57" i="9"/>
  <c r="JQ57" i="9"/>
  <c r="JR57" i="9" s="1"/>
  <c r="DL57" i="9"/>
  <c r="DM57" i="9" s="1"/>
  <c r="DO57" i="9"/>
  <c r="EN86" i="9"/>
  <c r="EO86" i="9" s="1"/>
  <c r="EP86" i="9"/>
  <c r="EQ86" i="9"/>
  <c r="JF86" i="9"/>
  <c r="JE86" i="9"/>
  <c r="JC86" i="9"/>
  <c r="JD86" i="9" s="1"/>
  <c r="BY78" i="9"/>
  <c r="BX78" i="9"/>
  <c r="BV78" i="9"/>
  <c r="BW78" i="9" s="1"/>
  <c r="DN78" i="9"/>
  <c r="DL78" i="9"/>
  <c r="DM78" i="9" s="1"/>
  <c r="DZ100" i="9"/>
  <c r="EA100" i="9" s="1"/>
  <c r="EC100" i="9"/>
  <c r="EB100" i="9"/>
  <c r="ID75" i="9"/>
  <c r="IC75" i="9"/>
  <c r="AT75" i="9"/>
  <c r="AU75" i="9" s="1"/>
  <c r="AW75" i="9"/>
  <c r="HF75" i="9"/>
  <c r="HG75" i="9" s="1"/>
  <c r="HH75" i="9"/>
  <c r="HI75" i="9"/>
  <c r="CX74" i="9"/>
  <c r="CY74" i="9" s="1"/>
  <c r="CZ74" i="9"/>
  <c r="DA74" i="9"/>
  <c r="HM74" i="9"/>
  <c r="HN74" i="9" s="1"/>
  <c r="HP74" i="9"/>
  <c r="HP29" i="9"/>
  <c r="HM29" i="9"/>
  <c r="HN29" i="9" s="1"/>
  <c r="IC29" i="9"/>
  <c r="IA29" i="9"/>
  <c r="IB29" i="9" s="1"/>
  <c r="ID29" i="9"/>
  <c r="CF32" i="9"/>
  <c r="CE32" i="9"/>
  <c r="DZ85" i="9"/>
  <c r="EA85" i="9" s="1"/>
  <c r="EC85" i="9"/>
  <c r="CJ14" i="9"/>
  <c r="CK14" i="9" s="1"/>
  <c r="CL14" i="9"/>
  <c r="GD4" i="9"/>
  <c r="GE4" i="9" s="1"/>
  <c r="GF4" i="9"/>
  <c r="R97" i="9"/>
  <c r="S97" i="9" s="1"/>
  <c r="BR97" i="9"/>
  <c r="BQ97" i="9"/>
  <c r="BO97" i="9"/>
  <c r="BP97" i="9" s="1"/>
  <c r="JS54" i="9"/>
  <c r="JQ54" i="9"/>
  <c r="JR54" i="9" s="1"/>
  <c r="JT54" i="9"/>
  <c r="AW15" i="9"/>
  <c r="AT15" i="9"/>
  <c r="KL19" i="9"/>
  <c r="KM19" i="9" s="1"/>
  <c r="KO19" i="9"/>
  <c r="KN19" i="9"/>
  <c r="HV19" i="9"/>
  <c r="HW19" i="9"/>
  <c r="HT19" i="9"/>
  <c r="HU19" i="9" s="1"/>
  <c r="EG6" i="9"/>
  <c r="EH6" i="9" s="1"/>
  <c r="EJ6" i="9"/>
  <c r="EI6" i="9"/>
  <c r="FL6" i="9"/>
  <c r="FI6" i="9"/>
  <c r="FJ6" i="9" s="1"/>
  <c r="FK6" i="9"/>
  <c r="IV95" i="9"/>
  <c r="IW95" i="9" s="1"/>
  <c r="IX95" i="9"/>
  <c r="IY95" i="9"/>
  <c r="KS95" i="9"/>
  <c r="KT95" i="9" s="1"/>
  <c r="KU95" i="9"/>
  <c r="KV95" i="9"/>
  <c r="JJ26" i="9"/>
  <c r="JK26" i="9" s="1"/>
  <c r="JM26" i="9"/>
  <c r="JL26" i="9"/>
  <c r="CQ26" i="9"/>
  <c r="CR26" i="9" s="1"/>
  <c r="CT26" i="9"/>
  <c r="CS26" i="9"/>
  <c r="JX62" i="9"/>
  <c r="JY62" i="9" s="1"/>
  <c r="KA62" i="9"/>
  <c r="JZ62" i="9"/>
  <c r="HP62" i="9"/>
  <c r="HO62" i="9"/>
  <c r="HM62" i="9"/>
  <c r="HN62" i="9" s="1"/>
  <c r="JQ65" i="9"/>
  <c r="JR65" i="9" s="1"/>
  <c r="JS65" i="9"/>
  <c r="GY65" i="9"/>
  <c r="GZ65" i="9" s="1"/>
  <c r="HA65" i="9"/>
  <c r="HB65" i="9"/>
  <c r="KL93" i="9"/>
  <c r="KO93" i="9"/>
  <c r="AI93" i="9"/>
  <c r="AF93" i="9"/>
  <c r="AG93" i="9" s="1"/>
  <c r="AH93" i="9"/>
  <c r="FR102" i="9"/>
  <c r="FS102" i="9"/>
  <c r="CQ22" i="9"/>
  <c r="CR22" i="9" s="1"/>
  <c r="G67" i="9"/>
  <c r="D67" i="9"/>
  <c r="E67" i="9" s="1"/>
  <c r="IH67" i="9"/>
  <c r="II67" i="9" s="1"/>
  <c r="IK67" i="9"/>
  <c r="EJ56" i="9"/>
  <c r="EI56" i="9"/>
  <c r="HF42" i="9"/>
  <c r="HI42" i="9"/>
  <c r="JT3" i="9"/>
  <c r="JQ3" i="9"/>
  <c r="JJ3" i="9"/>
  <c r="JM3" i="9"/>
  <c r="KU81" i="9"/>
  <c r="KS81" i="9"/>
  <c r="KT81" i="9" s="1"/>
  <c r="FW13" i="9"/>
  <c r="FX13" i="9" s="1"/>
  <c r="FW36" i="9"/>
  <c r="FX36" i="9" s="1"/>
  <c r="FZ36" i="9"/>
  <c r="FY36" i="9"/>
  <c r="KA36" i="9"/>
  <c r="JX36" i="9"/>
  <c r="JY36" i="9" s="1"/>
  <c r="EJ25" i="9"/>
  <c r="EG25" i="9"/>
  <c r="EH25" i="9" s="1"/>
  <c r="EI25" i="9"/>
  <c r="DZ25" i="9"/>
  <c r="JJ55" i="9"/>
  <c r="JK55" i="9" s="1"/>
  <c r="JM55" i="9"/>
  <c r="JL55" i="9"/>
  <c r="AM38" i="9"/>
  <c r="AN38" i="9" s="1"/>
  <c r="AO38" i="9"/>
  <c r="BA38" i="9"/>
  <c r="BD38" i="9"/>
  <c r="HT32" i="9"/>
  <c r="HU32" i="9" s="1"/>
  <c r="HW32" i="9"/>
  <c r="JC32" i="9"/>
  <c r="JD32" i="9" s="1"/>
  <c r="JF32" i="9"/>
  <c r="EJ85" i="9"/>
  <c r="EI85" i="9"/>
  <c r="AI14" i="9"/>
  <c r="AF14" i="9"/>
  <c r="AG14" i="9" s="1"/>
  <c r="AH14" i="9"/>
  <c r="AT4" i="9"/>
  <c r="AU4" i="9" s="1"/>
  <c r="AV4" i="9"/>
  <c r="AW4" i="9"/>
  <c r="GU4" i="9"/>
  <c r="GR4" i="9"/>
  <c r="GS4" i="9" s="1"/>
  <c r="GT4" i="9"/>
  <c r="IY33" i="9"/>
  <c r="IX33" i="9"/>
  <c r="EQ97" i="9"/>
  <c r="EN97" i="9"/>
  <c r="G37" i="9"/>
  <c r="D37" i="9"/>
  <c r="E37" i="9" s="1"/>
  <c r="EB37" i="9"/>
  <c r="DZ37" i="9"/>
  <c r="EA37" i="9" s="1"/>
  <c r="HO54" i="9"/>
  <c r="BD54" i="9"/>
  <c r="BC54" i="9"/>
  <c r="G15" i="9"/>
  <c r="D15" i="9"/>
  <c r="E15" i="9" s="1"/>
  <c r="HP15" i="9"/>
  <c r="HO15" i="9"/>
  <c r="JJ110" i="9"/>
  <c r="JK110" i="9" s="1"/>
  <c r="JL110" i="9"/>
  <c r="JM110" i="9"/>
  <c r="BA110" i="9"/>
  <c r="BD110" i="9"/>
  <c r="EX110" i="9"/>
  <c r="EW110" i="9"/>
  <c r="DV10" i="9"/>
  <c r="DU10" i="9"/>
  <c r="GM10" i="9"/>
  <c r="GN10" i="9"/>
  <c r="GK10" i="9"/>
  <c r="GL10" i="9" s="1"/>
  <c r="BR46" i="9"/>
  <c r="BQ46" i="9"/>
  <c r="BO46" i="9"/>
  <c r="BP46" i="9" s="1"/>
  <c r="IX46" i="9"/>
  <c r="IY46" i="9"/>
  <c r="IV46" i="9"/>
  <c r="IW46" i="9" s="1"/>
  <c r="GY95" i="9"/>
  <c r="HB95" i="9"/>
  <c r="EC95" i="9"/>
  <c r="EB95" i="9"/>
  <c r="DZ95" i="9"/>
  <c r="EA95" i="9" s="1"/>
  <c r="U107" i="9"/>
  <c r="R107" i="9"/>
  <c r="S107" i="9" s="1"/>
  <c r="EU107" i="9"/>
  <c r="EV107" i="9" s="1"/>
  <c r="EW107" i="9"/>
  <c r="EX107" i="9"/>
  <c r="GN104" i="9"/>
  <c r="GK104" i="9"/>
  <c r="GL104" i="9" s="1"/>
  <c r="GM104" i="9"/>
  <c r="EU16" i="9"/>
  <c r="EV16" i="9" s="1"/>
  <c r="EX16" i="9"/>
  <c r="EW16" i="9"/>
  <c r="IR16" i="9"/>
  <c r="IO16" i="9"/>
  <c r="IP16" i="9" s="1"/>
  <c r="CC11" i="9"/>
  <c r="CD11" i="9" s="1"/>
  <c r="CF11" i="9"/>
  <c r="CE11" i="9"/>
  <c r="HP11" i="9"/>
  <c r="HM11" i="9"/>
  <c r="HN11" i="9" s="1"/>
  <c r="HO11" i="9"/>
  <c r="D28" i="9"/>
  <c r="E28" i="9" s="1"/>
  <c r="G28" i="9"/>
  <c r="F28" i="9"/>
  <c r="EX28" i="9"/>
  <c r="EW28" i="9"/>
  <c r="EU28" i="9"/>
  <c r="EV28" i="9" s="1"/>
  <c r="N28" i="9"/>
  <c r="M28" i="9"/>
  <c r="K28" i="9"/>
  <c r="L28" i="9" s="1"/>
  <c r="IQ16" i="9"/>
  <c r="KN11" i="9"/>
  <c r="KO11" i="9"/>
  <c r="KL11" i="9"/>
  <c r="KM11" i="9" s="1"/>
  <c r="DO11" i="9"/>
  <c r="DN11" i="9"/>
  <c r="DL11" i="9"/>
  <c r="DM11" i="9" s="1"/>
  <c r="CQ109" i="9"/>
  <c r="CR109" i="9" s="1"/>
  <c r="EP3" i="9"/>
  <c r="EQ3" i="9"/>
  <c r="EN3" i="9"/>
  <c r="EO3" i="9" s="1"/>
  <c r="JQ32" i="9"/>
  <c r="JR32" i="9" s="1"/>
  <c r="JT32" i="9"/>
  <c r="GY101" i="9"/>
  <c r="HB101" i="9"/>
  <c r="EU92" i="9"/>
  <c r="EX92" i="9"/>
  <c r="CZ39" i="9"/>
  <c r="HT39" i="9"/>
  <c r="HU39" i="9" s="1"/>
  <c r="BJ27" i="9"/>
  <c r="HF88" i="9"/>
  <c r="HG88" i="9" s="1"/>
  <c r="JT37" i="9"/>
  <c r="JQ37" i="9"/>
  <c r="JR37" i="9" s="1"/>
  <c r="JS37" i="9"/>
  <c r="HI110" i="9"/>
  <c r="HH110" i="9"/>
  <c r="HF110" i="9"/>
  <c r="HG110" i="9" s="1"/>
  <c r="DZ10" i="9"/>
  <c r="EA10" i="9" s="1"/>
  <c r="AM99" i="9"/>
  <c r="AN99" i="9" s="1"/>
  <c r="CS109" i="9"/>
  <c r="GN98" i="9"/>
  <c r="GM98" i="9"/>
  <c r="GK98" i="9"/>
  <c r="GL98" i="9" s="1"/>
  <c r="AV8" i="9"/>
  <c r="FK18" i="9"/>
  <c r="FI18" i="9"/>
  <c r="FJ18" i="9" s="1"/>
  <c r="EN70" i="9"/>
  <c r="EO70" i="9" s="1"/>
  <c r="FD50" i="9"/>
  <c r="FI103" i="9"/>
  <c r="FJ103" i="9" s="1"/>
  <c r="FL103" i="9"/>
  <c r="FK103" i="9"/>
  <c r="BY27" i="9"/>
  <c r="AP88" i="9"/>
  <c r="AO88" i="9"/>
  <c r="FI36" i="9"/>
  <c r="FJ36" i="9" s="1"/>
  <c r="FK36" i="9"/>
  <c r="GG25" i="9"/>
  <c r="GY55" i="9"/>
  <c r="GZ55" i="9" s="1"/>
  <c r="HB55" i="9"/>
  <c r="JX38" i="9"/>
  <c r="KA38" i="9"/>
  <c r="DL32" i="9"/>
  <c r="DM32" i="9" s="1"/>
  <c r="FL32" i="9"/>
  <c r="FI32" i="9"/>
  <c r="FJ32" i="9" s="1"/>
  <c r="FK32" i="9"/>
  <c r="EQ85" i="9"/>
  <c r="G85" i="9"/>
  <c r="F85" i="9"/>
  <c r="FP14" i="9"/>
  <c r="FQ14" i="9" s="1"/>
  <c r="FS14" i="9"/>
  <c r="FR14" i="9"/>
  <c r="GR14" i="9"/>
  <c r="GS14" i="9" s="1"/>
  <c r="GT14" i="9"/>
  <c r="AO4" i="9"/>
  <c r="AM4" i="9"/>
  <c r="AN4" i="9" s="1"/>
  <c r="JQ97" i="9"/>
  <c r="JR97" i="9" s="1"/>
  <c r="EX97" i="9"/>
  <c r="EW97" i="9"/>
  <c r="CF40" i="9"/>
  <c r="HP37" i="9"/>
  <c r="HM37" i="9"/>
  <c r="HN37" i="9" s="1"/>
  <c r="CM37" i="9"/>
  <c r="CL37" i="9"/>
  <c r="DS15" i="9"/>
  <c r="DT15" i="9" s="1"/>
  <c r="DZ57" i="9"/>
  <c r="EA57" i="9" s="1"/>
  <c r="EB57" i="9"/>
  <c r="DS57" i="9"/>
  <c r="DT57" i="9" s="1"/>
  <c r="DV57" i="9"/>
  <c r="GU57" i="9"/>
  <c r="GR57" i="9"/>
  <c r="GS57" i="9" s="1"/>
  <c r="GK110" i="9"/>
  <c r="GN110" i="9"/>
  <c r="EI110" i="9"/>
  <c r="EJ110" i="9"/>
  <c r="EG110" i="9"/>
  <c r="EH110" i="9" s="1"/>
  <c r="EB10" i="9"/>
  <c r="HW10" i="9"/>
  <c r="HT10" i="9"/>
  <c r="HU10" i="9" s="1"/>
  <c r="HV10" i="9"/>
  <c r="FL10" i="9"/>
  <c r="FI10" i="9"/>
  <c r="FJ10" i="9" s="1"/>
  <c r="FK10" i="9"/>
  <c r="KH46" i="9"/>
  <c r="R59" i="9"/>
  <c r="S59" i="9" s="1"/>
  <c r="U59" i="9"/>
  <c r="Y59" i="9"/>
  <c r="AB59" i="9"/>
  <c r="KN59" i="9"/>
  <c r="KO59" i="9"/>
  <c r="KL59" i="9"/>
  <c r="KM59" i="9" s="1"/>
  <c r="FE95" i="9"/>
  <c r="FB95" i="9"/>
  <c r="FC95" i="9" s="1"/>
  <c r="FD95" i="9"/>
  <c r="DS95" i="9"/>
  <c r="DT95" i="9" s="1"/>
  <c r="DV95" i="9"/>
  <c r="HF77" i="9"/>
  <c r="HG77" i="9" s="1"/>
  <c r="HH77" i="9"/>
  <c r="HI77" i="9"/>
  <c r="CC77" i="9"/>
  <c r="CD77" i="9" s="1"/>
  <c r="CF77" i="9"/>
  <c r="CE77" i="9"/>
  <c r="AM77" i="9"/>
  <c r="AN77" i="9" s="1"/>
  <c r="AO77" i="9"/>
  <c r="AP77" i="9"/>
  <c r="DZ26" i="9"/>
  <c r="EA26" i="9" s="1"/>
  <c r="EC26" i="9"/>
  <c r="EB26" i="9"/>
  <c r="EX89" i="9"/>
  <c r="EU89" i="9"/>
  <c r="EV89" i="9" s="1"/>
  <c r="EW89" i="9"/>
  <c r="JQ69" i="9"/>
  <c r="JR69" i="9" s="1"/>
  <c r="JS69" i="9"/>
  <c r="JT69" i="9"/>
  <c r="GM69" i="9"/>
  <c r="GN69" i="9"/>
  <c r="HT11" i="9"/>
  <c r="HU11" i="9" s="1"/>
  <c r="HW11" i="9"/>
  <c r="HV11" i="9"/>
  <c r="GU11" i="9"/>
  <c r="GT11" i="9"/>
  <c r="GR11" i="9"/>
  <c r="GS11" i="9" s="1"/>
  <c r="CC101" i="9"/>
  <c r="CD101" i="9" s="1"/>
  <c r="CE101" i="9"/>
  <c r="CF101" i="9"/>
  <c r="DS110" i="9"/>
  <c r="DT110" i="9" s="1"/>
  <c r="DU110" i="9"/>
  <c r="CF10" i="9"/>
  <c r="CE10" i="9"/>
  <c r="CC10" i="9"/>
  <c r="CD10" i="9" s="1"/>
  <c r="JX6" i="9"/>
  <c r="JY6" i="9" s="1"/>
  <c r="JZ6" i="9"/>
  <c r="JJ87" i="9"/>
  <c r="JK87" i="9" s="1"/>
  <c r="JE22" i="9"/>
  <c r="JC22" i="9"/>
  <c r="JD22" i="9" s="1"/>
  <c r="KU3" i="9"/>
  <c r="KS3" i="9"/>
  <c r="KT3" i="9" s="1"/>
  <c r="GG81" i="9"/>
  <c r="GD81" i="9"/>
  <c r="GE81" i="9" s="1"/>
  <c r="JS32" i="9"/>
  <c r="KA97" i="9"/>
  <c r="JZ97" i="9"/>
  <c r="JX97" i="9"/>
  <c r="JY97" i="9" s="1"/>
  <c r="KL68" i="9"/>
  <c r="KM68" i="9" s="1"/>
  <c r="KN68" i="9"/>
  <c r="KO110" i="9"/>
  <c r="KN110" i="9"/>
  <c r="KL110" i="9"/>
  <c r="KM110" i="9" s="1"/>
  <c r="CQ95" i="9"/>
  <c r="CR95" i="9" s="1"/>
  <c r="CT95" i="9"/>
  <c r="CS95" i="9"/>
  <c r="CL26" i="9"/>
  <c r="CJ26" i="9"/>
  <c r="CK26" i="9" s="1"/>
  <c r="CM26" i="9"/>
  <c r="BR26" i="9"/>
  <c r="BO26" i="9"/>
  <c r="BP26" i="9" s="1"/>
  <c r="BQ26" i="9"/>
  <c r="BO99" i="9"/>
  <c r="BP99" i="9" s="1"/>
  <c r="GM8" i="9"/>
  <c r="GK8" i="9"/>
  <c r="GL8" i="9" s="1"/>
  <c r="FS111" i="9"/>
  <c r="FP111" i="9"/>
  <c r="FS92" i="9"/>
  <c r="CX24" i="9"/>
  <c r="CY24" i="9" s="1"/>
  <c r="CS7" i="9"/>
  <c r="BJ7" i="9"/>
  <c r="BH7" i="9"/>
  <c r="BI7" i="9" s="1"/>
  <c r="EX102" i="9"/>
  <c r="DO102" i="9"/>
  <c r="DN102" i="9"/>
  <c r="DL102" i="9"/>
  <c r="DM102" i="9" s="1"/>
  <c r="AW81" i="9"/>
  <c r="AT81" i="9"/>
  <c r="AU81" i="9" s="1"/>
  <c r="G109" i="9"/>
  <c r="IV98" i="9"/>
  <c r="EJ98" i="9"/>
  <c r="EG98" i="9"/>
  <c r="AF98" i="9"/>
  <c r="AI98" i="9"/>
  <c r="CL8" i="9"/>
  <c r="BH8" i="9"/>
  <c r="BI8" i="9" s="1"/>
  <c r="JJ8" i="9"/>
  <c r="JK8" i="9" s="1"/>
  <c r="JS8" i="9"/>
  <c r="JT8" i="9"/>
  <c r="GM18" i="9"/>
  <c r="FL18" i="9"/>
  <c r="AP47" i="9"/>
  <c r="KS47" i="9"/>
  <c r="KT47" i="9" s="1"/>
  <c r="KU47" i="9"/>
  <c r="FD49" i="9"/>
  <c r="BY49" i="9"/>
  <c r="GU101" i="9"/>
  <c r="EG101" i="9"/>
  <c r="EJ101" i="9"/>
  <c r="AO84" i="9"/>
  <c r="G84" i="9"/>
  <c r="F84" i="9"/>
  <c r="D84" i="9"/>
  <c r="E84" i="9" s="1"/>
  <c r="FY64" i="9"/>
  <c r="GD87" i="9"/>
  <c r="BJ60" i="9"/>
  <c r="KN70" i="9"/>
  <c r="IA70" i="9"/>
  <c r="IB70" i="9" s="1"/>
  <c r="IC70" i="9"/>
  <c r="HF111" i="9"/>
  <c r="KN111" i="9"/>
  <c r="FP92" i="9"/>
  <c r="FQ92" i="9" s="1"/>
  <c r="IC92" i="9"/>
  <c r="IJ92" i="9"/>
  <c r="DZ92" i="9"/>
  <c r="EC92" i="9"/>
  <c r="GR12" i="9"/>
  <c r="GS12" i="9" s="1"/>
  <c r="JF35" i="9"/>
  <c r="JE35" i="9"/>
  <c r="JF103" i="9"/>
  <c r="BA24" i="9"/>
  <c r="BD24" i="9"/>
  <c r="AW24" i="9"/>
  <c r="AT24" i="9"/>
  <c r="AH45" i="9"/>
  <c r="IJ45" i="9"/>
  <c r="EN72" i="9"/>
  <c r="EO72" i="9" s="1"/>
  <c r="EP72" i="9"/>
  <c r="DA39" i="9"/>
  <c r="FP7" i="9"/>
  <c r="FQ7" i="9" s="1"/>
  <c r="BR7" i="9"/>
  <c r="KL7" i="9"/>
  <c r="KM7" i="9" s="1"/>
  <c r="KN7" i="9"/>
  <c r="IJ73" i="9"/>
  <c r="HM73" i="9"/>
  <c r="HN73" i="9" s="1"/>
  <c r="HO73" i="9"/>
  <c r="BH27" i="9"/>
  <c r="BI27" i="9" s="1"/>
  <c r="N22" i="9"/>
  <c r="BY22" i="9"/>
  <c r="BX22" i="9"/>
  <c r="IJ67" i="9"/>
  <c r="EG56" i="9"/>
  <c r="EH56" i="9" s="1"/>
  <c r="BD56" i="9"/>
  <c r="BV88" i="9"/>
  <c r="BW88" i="9" s="1"/>
  <c r="BY88" i="9"/>
  <c r="DA3" i="9"/>
  <c r="CZ3" i="9"/>
  <c r="BV81" i="9"/>
  <c r="BW81" i="9" s="1"/>
  <c r="DV81" i="9"/>
  <c r="DS81" i="9"/>
  <c r="DT81" i="9" s="1"/>
  <c r="IV81" i="9"/>
  <c r="IW81" i="9" s="1"/>
  <c r="IX81" i="9"/>
  <c r="IY81" i="9"/>
  <c r="KV13" i="9"/>
  <c r="KS13" i="9"/>
  <c r="KT13" i="9" s="1"/>
  <c r="FP13" i="9"/>
  <c r="FS13" i="9"/>
  <c r="HF36" i="9"/>
  <c r="HG36" i="9" s="1"/>
  <c r="HI36" i="9"/>
  <c r="HH36" i="9"/>
  <c r="AT36" i="9"/>
  <c r="AU36" i="9" s="1"/>
  <c r="AV36" i="9"/>
  <c r="AW36" i="9"/>
  <c r="GU25" i="9"/>
  <c r="GR25" i="9"/>
  <c r="GS25" i="9" s="1"/>
  <c r="GT25" i="9"/>
  <c r="CC32" i="9"/>
  <c r="CD32" i="9" s="1"/>
  <c r="DA85" i="9"/>
  <c r="CZ85" i="9"/>
  <c r="CX85" i="9"/>
  <c r="CY85" i="9" s="1"/>
  <c r="IH14" i="9"/>
  <c r="II14" i="9" s="1"/>
  <c r="IJ14" i="9"/>
  <c r="HW14" i="9"/>
  <c r="HV14" i="9"/>
  <c r="JX4" i="9"/>
  <c r="JY4" i="9" s="1"/>
  <c r="JZ4" i="9"/>
  <c r="AA4" i="9"/>
  <c r="Y4" i="9"/>
  <c r="Z4" i="9" s="1"/>
  <c r="AB4" i="9"/>
  <c r="BR33" i="9"/>
  <c r="DE97" i="9"/>
  <c r="DF97" i="9" s="1"/>
  <c r="N97" i="9"/>
  <c r="M97" i="9"/>
  <c r="HT97" i="9"/>
  <c r="HW97" i="9"/>
  <c r="U68" i="9"/>
  <c r="T68" i="9"/>
  <c r="AA78" i="9"/>
  <c r="AB78" i="9"/>
  <c r="Y78" i="9"/>
  <c r="Z78" i="9" s="1"/>
  <c r="JF78" i="9"/>
  <c r="JC78" i="9"/>
  <c r="JD78" i="9" s="1"/>
  <c r="JE78" i="9"/>
  <c r="HP59" i="9"/>
  <c r="HO59" i="9"/>
  <c r="HM59" i="9"/>
  <c r="HN59" i="9" s="1"/>
  <c r="KU59" i="9"/>
  <c r="KS59" i="9"/>
  <c r="KT59" i="9" s="1"/>
  <c r="KV59" i="9"/>
  <c r="FS95" i="9"/>
  <c r="FP95" i="9"/>
  <c r="FQ95" i="9" s="1"/>
  <c r="FR95" i="9"/>
  <c r="BD95" i="9"/>
  <c r="BA95" i="9"/>
  <c r="BB95" i="9" s="1"/>
  <c r="BC95" i="9"/>
  <c r="EX95" i="9"/>
  <c r="EW95" i="9"/>
  <c r="EU95" i="9"/>
  <c r="EV95" i="9" s="1"/>
  <c r="T107" i="9"/>
  <c r="EN107" i="9"/>
  <c r="EO107" i="9" s="1"/>
  <c r="EP107" i="9"/>
  <c r="EB107" i="9"/>
  <c r="DZ107" i="9"/>
  <c r="EA107" i="9" s="1"/>
  <c r="EC107" i="9"/>
  <c r="DA108" i="9"/>
  <c r="CZ108" i="9"/>
  <c r="CX108" i="9"/>
  <c r="CY108" i="9" s="1"/>
  <c r="BY108" i="9"/>
  <c r="BV108" i="9"/>
  <c r="BW108" i="9" s="1"/>
  <c r="BX108" i="9"/>
  <c r="HB12" i="9"/>
  <c r="HA12" i="9"/>
  <c r="BK103" i="9"/>
  <c r="BH103" i="9"/>
  <c r="FP32" i="9"/>
  <c r="FS32" i="9"/>
  <c r="DS85" i="9"/>
  <c r="DT85" i="9" s="1"/>
  <c r="BR71" i="9"/>
  <c r="BQ71" i="9"/>
  <c r="BO71" i="9"/>
  <c r="BP71" i="9" s="1"/>
  <c r="D6" i="9"/>
  <c r="E6" i="9" s="1"/>
  <c r="F6" i="9"/>
  <c r="G6" i="9"/>
  <c r="KE99" i="9"/>
  <c r="KH99" i="9"/>
  <c r="BV98" i="9"/>
  <c r="BW98" i="9" s="1"/>
  <c r="BX98" i="9"/>
  <c r="HI47" i="9"/>
  <c r="HF47" i="9"/>
  <c r="IH24" i="9"/>
  <c r="IK24" i="9"/>
  <c r="CT22" i="9"/>
  <c r="KU88" i="9"/>
  <c r="HB81" i="9"/>
  <c r="BO4" i="9"/>
  <c r="BP4" i="9" s="1"/>
  <c r="BQ4" i="9"/>
  <c r="DG97" i="9"/>
  <c r="KL71" i="9"/>
  <c r="KM71" i="9" s="1"/>
  <c r="KO71" i="9"/>
  <c r="IY98" i="9"/>
  <c r="CS8" i="9"/>
  <c r="HW70" i="9"/>
  <c r="HV70" i="9"/>
  <c r="BV111" i="9"/>
  <c r="BW111" i="9" s="1"/>
  <c r="BY111" i="9"/>
  <c r="JQ12" i="9"/>
  <c r="JR12" i="9" s="1"/>
  <c r="HP103" i="9"/>
  <c r="HO103" i="9"/>
  <c r="JS24" i="9"/>
  <c r="DV24" i="9"/>
  <c r="DS24" i="9"/>
  <c r="DT24" i="9" s="1"/>
  <c r="CQ7" i="9"/>
  <c r="CR7" i="9" s="1"/>
  <c r="EC7" i="9"/>
  <c r="EB7" i="9"/>
  <c r="CC27" i="9"/>
  <c r="CD27" i="9" s="1"/>
  <c r="GM22" i="9"/>
  <c r="GN22" i="9"/>
  <c r="GK22" i="9"/>
  <c r="GL22" i="9" s="1"/>
  <c r="AA88" i="9"/>
  <c r="CF88" i="9"/>
  <c r="CE88" i="9"/>
  <c r="KV81" i="9"/>
  <c r="GT99" i="9"/>
  <c r="KU52" i="9"/>
  <c r="KV52" i="9"/>
  <c r="KO109" i="9"/>
  <c r="FW98" i="9"/>
  <c r="FX98" i="9" s="1"/>
  <c r="FY98" i="9"/>
  <c r="FE8" i="9"/>
  <c r="FB8" i="9"/>
  <c r="FC8" i="9" s="1"/>
  <c r="T47" i="9"/>
  <c r="IV47" i="9"/>
  <c r="IW47" i="9" s="1"/>
  <c r="GG49" i="9"/>
  <c r="JJ49" i="9"/>
  <c r="JK49" i="9" s="1"/>
  <c r="HM101" i="9"/>
  <c r="CZ64" i="9"/>
  <c r="CX64" i="9"/>
  <c r="CY64" i="9" s="1"/>
  <c r="DN87" i="9"/>
  <c r="IV87" i="9"/>
  <c r="IY87" i="9"/>
  <c r="HI111" i="9"/>
  <c r="FD111" i="9"/>
  <c r="IV50" i="9"/>
  <c r="IW50" i="9" s="1"/>
  <c r="FL50" i="9"/>
  <c r="GY50" i="9"/>
  <c r="GY12" i="9"/>
  <c r="GZ12" i="9" s="1"/>
  <c r="BH12" i="9"/>
  <c r="GF35" i="9"/>
  <c r="BR35" i="9"/>
  <c r="EX103" i="9"/>
  <c r="U103" i="9"/>
  <c r="DE103" i="9"/>
  <c r="DF103" i="9" s="1"/>
  <c r="DG103" i="9"/>
  <c r="AF45" i="9"/>
  <c r="AG45" i="9" s="1"/>
  <c r="DN45" i="9"/>
  <c r="KL72" i="9"/>
  <c r="AM72" i="9"/>
  <c r="AN72" i="9" s="1"/>
  <c r="AP72" i="9"/>
  <c r="IK7" i="9"/>
  <c r="IJ7" i="9"/>
  <c r="IH7" i="9"/>
  <c r="II7" i="9" s="1"/>
  <c r="DL73" i="9"/>
  <c r="DM73" i="9" s="1"/>
  <c r="DN73" i="9"/>
  <c r="AW27" i="9"/>
  <c r="JF22" i="9"/>
  <c r="BA22" i="9"/>
  <c r="BB22" i="9" s="1"/>
  <c r="ID22" i="9"/>
  <c r="IC22" i="9"/>
  <c r="BR67" i="9"/>
  <c r="AT56" i="9"/>
  <c r="AU56" i="9" s="1"/>
  <c r="CL88" i="9"/>
  <c r="CM88" i="9"/>
  <c r="M3" i="9"/>
  <c r="K3" i="9"/>
  <c r="L3" i="9" s="1"/>
  <c r="IC81" i="9"/>
  <c r="BC13" i="9"/>
  <c r="FZ13" i="9"/>
  <c r="HV13" i="9"/>
  <c r="HW13" i="9"/>
  <c r="IO36" i="9"/>
  <c r="IP36" i="9" s="1"/>
  <c r="EQ36" i="9"/>
  <c r="EN36" i="9"/>
  <c r="EO36" i="9" s="1"/>
  <c r="GG36" i="9"/>
  <c r="GF36" i="9"/>
  <c r="ID25" i="9"/>
  <c r="EX25" i="9"/>
  <c r="EU25" i="9"/>
  <c r="EV25" i="9" s="1"/>
  <c r="EW25" i="9"/>
  <c r="R25" i="9"/>
  <c r="U25" i="9"/>
  <c r="EJ14" i="9"/>
  <c r="EI14" i="9"/>
  <c r="HP4" i="9"/>
  <c r="HO4" i="9"/>
  <c r="EJ4" i="9"/>
  <c r="EI4" i="9"/>
  <c r="IR4" i="9"/>
  <c r="IQ4" i="9"/>
  <c r="IV33" i="9"/>
  <c r="IW33" i="9" s="1"/>
  <c r="KS97" i="9"/>
  <c r="KT97" i="9" s="1"/>
  <c r="KV97" i="9"/>
  <c r="GU97" i="9"/>
  <c r="GT97" i="9"/>
  <c r="AM68" i="9"/>
  <c r="AN68" i="9" s="1"/>
  <c r="JE54" i="9"/>
  <c r="IK57" i="9"/>
  <c r="IJ57" i="9"/>
  <c r="IH57" i="9"/>
  <c r="II57" i="9" s="1"/>
  <c r="FP59" i="9"/>
  <c r="FQ59" i="9" s="1"/>
  <c r="EG59" i="9"/>
  <c r="EH59" i="9" s="1"/>
  <c r="EJ59" i="9"/>
  <c r="EI59" i="9"/>
  <c r="GR59" i="9"/>
  <c r="GS59" i="9" s="1"/>
  <c r="GU59" i="9"/>
  <c r="GT59" i="9"/>
  <c r="JQ109" i="9"/>
  <c r="JR109" i="9" s="1"/>
  <c r="EN88" i="9"/>
  <c r="EQ88" i="9"/>
  <c r="R85" i="9"/>
  <c r="S85" i="9" s="1"/>
  <c r="T85" i="9"/>
  <c r="M4" i="9"/>
  <c r="N4" i="9"/>
  <c r="JM37" i="9"/>
  <c r="JJ37" i="9"/>
  <c r="JK37" i="9" s="1"/>
  <c r="JL37" i="9"/>
  <c r="KV110" i="9"/>
  <c r="KU110" i="9"/>
  <c r="KS110" i="9"/>
  <c r="KT110" i="9" s="1"/>
  <c r="FB71" i="9"/>
  <c r="FC71" i="9" s="1"/>
  <c r="FD71" i="9"/>
  <c r="JQ92" i="9"/>
  <c r="JR92" i="9" s="1"/>
  <c r="CS4" i="9"/>
  <c r="CQ4" i="9"/>
  <c r="CR4" i="9" s="1"/>
  <c r="CJ4" i="9"/>
  <c r="CK4" i="9" s="1"/>
  <c r="CL4" i="9"/>
  <c r="JT15" i="9"/>
  <c r="JQ15" i="9"/>
  <c r="JR15" i="9" s="1"/>
  <c r="JJ71" i="9"/>
  <c r="JK71" i="9" s="1"/>
  <c r="JM71" i="9"/>
  <c r="JL71" i="9"/>
  <c r="BO10" i="9"/>
  <c r="BP10" i="9" s="1"/>
  <c r="BR10" i="9"/>
  <c r="BQ10" i="9"/>
  <c r="KH95" i="9"/>
  <c r="KE95" i="9"/>
  <c r="KF95" i="9" s="1"/>
  <c r="FS99" i="9"/>
  <c r="FR99" i="9"/>
  <c r="D18" i="9"/>
  <c r="E18" i="9" s="1"/>
  <c r="IC18" i="9"/>
  <c r="FS18" i="9"/>
  <c r="FR18" i="9"/>
  <c r="FP99" i="9"/>
  <c r="FQ99" i="9" s="1"/>
  <c r="BO52" i="9"/>
  <c r="BA109" i="9"/>
  <c r="BB109" i="9" s="1"/>
  <c r="CM98" i="9"/>
  <c r="BY18" i="9"/>
  <c r="CE47" i="9"/>
  <c r="JZ47" i="9"/>
  <c r="HW49" i="9"/>
  <c r="DZ49" i="9"/>
  <c r="EC49" i="9"/>
  <c r="FI101" i="9"/>
  <c r="FJ101" i="9" s="1"/>
  <c r="HW84" i="9"/>
  <c r="FW64" i="9"/>
  <c r="FX64" i="9" s="1"/>
  <c r="K64" i="9"/>
  <c r="N64" i="9"/>
  <c r="HF87" i="9"/>
  <c r="HG87" i="9" s="1"/>
  <c r="CQ60" i="9"/>
  <c r="CR60" i="9" s="1"/>
  <c r="JL50" i="9"/>
  <c r="DV50" i="9"/>
  <c r="AW50" i="9"/>
  <c r="AV50" i="9"/>
  <c r="KE12" i="9"/>
  <c r="CM12" i="9"/>
  <c r="CL12" i="9"/>
  <c r="FK35" i="9"/>
  <c r="N35" i="9"/>
  <c r="M35" i="9"/>
  <c r="F103" i="9"/>
  <c r="G103" i="9"/>
  <c r="EI103" i="9"/>
  <c r="EJ103" i="9"/>
  <c r="FK24" i="9"/>
  <c r="KA24" i="9"/>
  <c r="JX24" i="9"/>
  <c r="AO45" i="9"/>
  <c r="AB72" i="9"/>
  <c r="EX72" i="9"/>
  <c r="EU72" i="9"/>
  <c r="HV7" i="9"/>
  <c r="HW7" i="9"/>
  <c r="HT7" i="9"/>
  <c r="HU7" i="9" s="1"/>
  <c r="AI102" i="9"/>
  <c r="IA102" i="9"/>
  <c r="IB102" i="9" s="1"/>
  <c r="IC102" i="9"/>
  <c r="ID102" i="9"/>
  <c r="F67" i="9"/>
  <c r="CQ67" i="9"/>
  <c r="CR67" i="9" s="1"/>
  <c r="CT67" i="9"/>
  <c r="CX56" i="9"/>
  <c r="CY56" i="9" s="1"/>
  <c r="CZ56" i="9"/>
  <c r="BR88" i="9"/>
  <c r="HO42" i="9"/>
  <c r="AM3" i="9"/>
  <c r="AP3" i="9"/>
  <c r="IA3" i="9"/>
  <c r="IB3" i="9" s="1"/>
  <c r="IC3" i="9"/>
  <c r="JJ81" i="9"/>
  <c r="JK81" i="9" s="1"/>
  <c r="JL81" i="9"/>
  <c r="JS81" i="9"/>
  <c r="JT81" i="9"/>
  <c r="BK13" i="9"/>
  <c r="BH13" i="9"/>
  <c r="U36" i="9"/>
  <c r="N36" i="9"/>
  <c r="M36" i="9"/>
  <c r="K36" i="9"/>
  <c r="L36" i="9" s="1"/>
  <c r="EC25" i="9"/>
  <c r="HH38" i="9"/>
  <c r="FE85" i="9"/>
  <c r="JM85" i="9"/>
  <c r="JJ85" i="9"/>
  <c r="JK85" i="9" s="1"/>
  <c r="JL85" i="9"/>
  <c r="IX14" i="9"/>
  <c r="IV14" i="9"/>
  <c r="IW14" i="9" s="1"/>
  <c r="U4" i="9"/>
  <c r="T4" i="9"/>
  <c r="BO33" i="9"/>
  <c r="CJ97" i="9"/>
  <c r="CK97" i="9" s="1"/>
  <c r="CL97" i="9"/>
  <c r="BR83" i="9"/>
  <c r="BQ83" i="9"/>
  <c r="HW68" i="9"/>
  <c r="KN15" i="9"/>
  <c r="KL15" i="9"/>
  <c r="KM15" i="9" s="1"/>
  <c r="KO15" i="9"/>
  <c r="FZ110" i="9"/>
  <c r="FY110" i="9"/>
  <c r="FW110" i="9"/>
  <c r="FX110" i="9" s="1"/>
  <c r="HP110" i="9"/>
  <c r="HO110" i="9"/>
  <c r="CJ20" i="9"/>
  <c r="CK20" i="9" s="1"/>
  <c r="CL20" i="9"/>
  <c r="JJ20" i="9"/>
  <c r="JM20" i="9"/>
  <c r="M95" i="9"/>
  <c r="K95" i="9"/>
  <c r="L95" i="9" s="1"/>
  <c r="CE95" i="9"/>
  <c r="CC95" i="9"/>
  <c r="CD95" i="9" s="1"/>
  <c r="CF95" i="9"/>
  <c r="BX95" i="9"/>
  <c r="BY95" i="9"/>
  <c r="BV95" i="9"/>
  <c r="BW95" i="9" s="1"/>
  <c r="BA104" i="9"/>
  <c r="BB104" i="9" s="1"/>
  <c r="FP5" i="9"/>
  <c r="FQ5" i="9" s="1"/>
  <c r="FS5" i="9"/>
  <c r="FR5" i="9"/>
  <c r="JL5" i="9"/>
  <c r="JJ5" i="9"/>
  <c r="JK5" i="9" s="1"/>
  <c r="JM5" i="9"/>
  <c r="GG96" i="9"/>
  <c r="GF96" i="9"/>
  <c r="FB96" i="9"/>
  <c r="FC96" i="9" s="1"/>
  <c r="FD96" i="9"/>
  <c r="CT96" i="9"/>
  <c r="CQ96" i="9"/>
  <c r="CR96" i="9" s="1"/>
  <c r="CS96" i="9"/>
  <c r="IH34" i="9"/>
  <c r="II34" i="9" s="1"/>
  <c r="IK34" i="9"/>
  <c r="IJ34" i="9"/>
  <c r="CX34" i="9"/>
  <c r="CY34" i="9" s="1"/>
  <c r="DA34" i="9"/>
  <c r="CZ34" i="9"/>
  <c r="AH13" i="9"/>
  <c r="AF13" i="9"/>
  <c r="AG13" i="9" s="1"/>
  <c r="KS36" i="9"/>
  <c r="KT36" i="9" s="1"/>
  <c r="KU36" i="9"/>
  <c r="K14" i="9"/>
  <c r="N14" i="9"/>
  <c r="GU99" i="9"/>
  <c r="AT98" i="9"/>
  <c r="AU98" i="9" s="1"/>
  <c r="DZ98" i="9"/>
  <c r="EC98" i="9"/>
  <c r="KN101" i="9"/>
  <c r="FS60" i="9"/>
  <c r="KG70" i="9"/>
  <c r="FE111" i="9"/>
  <c r="IV35" i="9"/>
  <c r="IW35" i="9" s="1"/>
  <c r="G39" i="9"/>
  <c r="F39" i="9"/>
  <c r="BO7" i="9"/>
  <c r="DE7" i="9"/>
  <c r="DF7" i="9" s="1"/>
  <c r="DH7" i="9"/>
  <c r="EX7" i="9"/>
  <c r="EU7" i="9"/>
  <c r="EV7" i="9" s="1"/>
  <c r="EN73" i="9"/>
  <c r="EO73" i="9" s="1"/>
  <c r="BK102" i="9"/>
  <c r="DN67" i="9"/>
  <c r="N56" i="9"/>
  <c r="K56" i="9"/>
  <c r="EB42" i="9"/>
  <c r="BX81" i="9"/>
  <c r="GU81" i="9"/>
  <c r="KN13" i="9"/>
  <c r="BO13" i="9"/>
  <c r="FL36" i="9"/>
  <c r="DO36" i="9"/>
  <c r="DE36" i="9"/>
  <c r="DF36" i="9" s="1"/>
  <c r="DG36" i="9"/>
  <c r="DH36" i="9"/>
  <c r="DZ36" i="9"/>
  <c r="EA36" i="9" s="1"/>
  <c r="EC36" i="9"/>
  <c r="HV32" i="9"/>
  <c r="D85" i="9"/>
  <c r="E85" i="9" s="1"/>
  <c r="N85" i="9"/>
  <c r="K85" i="9"/>
  <c r="BH14" i="9"/>
  <c r="BK14" i="9"/>
  <c r="ID4" i="9"/>
  <c r="IC4" i="9"/>
  <c r="KH33" i="9"/>
  <c r="GK97" i="9"/>
  <c r="GL97" i="9" s="1"/>
  <c r="GM97" i="9"/>
  <c r="M40" i="9"/>
  <c r="AP40" i="9"/>
  <c r="AM40" i="9"/>
  <c r="AN40" i="9" s="1"/>
  <c r="AO40" i="9"/>
  <c r="EC37" i="9"/>
  <c r="KO68" i="9"/>
  <c r="CC68" i="9"/>
  <c r="CD68" i="9" s="1"/>
  <c r="DU68" i="9"/>
  <c r="CM68" i="9"/>
  <c r="CJ68" i="9"/>
  <c r="CZ68" i="9"/>
  <c r="CX68" i="9"/>
  <c r="CY68" i="9" s="1"/>
  <c r="DA68" i="9"/>
  <c r="DO51" i="9"/>
  <c r="DN51" i="9"/>
  <c r="GT57" i="9"/>
  <c r="HI57" i="9"/>
  <c r="HH57" i="9"/>
  <c r="HJ57" i="9" s="1"/>
  <c r="CT57" i="9"/>
  <c r="CS57" i="9"/>
  <c r="EU110" i="9"/>
  <c r="EV110" i="9" s="1"/>
  <c r="U5" i="9"/>
  <c r="T5" i="9"/>
  <c r="R5" i="9"/>
  <c r="S5" i="9" s="1"/>
  <c r="CQ5" i="9"/>
  <c r="CR5" i="9" s="1"/>
  <c r="CS5" i="9"/>
  <c r="IH23" i="9"/>
  <c r="II23" i="9" s="1"/>
  <c r="IK23" i="9"/>
  <c r="IJ23" i="9"/>
  <c r="DS23" i="9"/>
  <c r="DT23" i="9" s="1"/>
  <c r="DU23" i="9"/>
  <c r="DV23" i="9"/>
  <c r="BD49" i="9"/>
  <c r="BC49" i="9"/>
  <c r="CJ84" i="9"/>
  <c r="CK84" i="9" s="1"/>
  <c r="CL84" i="9"/>
  <c r="CM84" i="9"/>
  <c r="AF72" i="9"/>
  <c r="AG72" i="9" s="1"/>
  <c r="AH72" i="9"/>
  <c r="AI72" i="9"/>
  <c r="GR55" i="9"/>
  <c r="GS55" i="9" s="1"/>
  <c r="GU55" i="9"/>
  <c r="Y37" i="9"/>
  <c r="Z37" i="9" s="1"/>
  <c r="AA37" i="9"/>
  <c r="AB37" i="9"/>
  <c r="CS98" i="9"/>
  <c r="KH18" i="9"/>
  <c r="IR60" i="9"/>
  <c r="IO60" i="9"/>
  <c r="IH50" i="9"/>
  <c r="IK50" i="9"/>
  <c r="CX35" i="9"/>
  <c r="CY35" i="9" s="1"/>
  <c r="HV103" i="9"/>
  <c r="KG39" i="9"/>
  <c r="HH27" i="9"/>
  <c r="KA27" i="9"/>
  <c r="JX27" i="9"/>
  <c r="KH102" i="9"/>
  <c r="FP102" i="9"/>
  <c r="FQ102" i="9" s="1"/>
  <c r="CS22" i="9"/>
  <c r="Y56" i="9"/>
  <c r="Z56" i="9" s="1"/>
  <c r="FW88" i="9"/>
  <c r="FX88" i="9" s="1"/>
  <c r="FY88" i="9"/>
  <c r="BA13" i="9"/>
  <c r="BB13" i="9" s="1"/>
  <c r="BV13" i="9"/>
  <c r="BW13" i="9" s="1"/>
  <c r="BX13" i="9"/>
  <c r="FL13" i="9"/>
  <c r="FK13" i="9"/>
  <c r="G36" i="9"/>
  <c r="EP32" i="9"/>
  <c r="FD85" i="9"/>
  <c r="KL85" i="9"/>
  <c r="KM85" i="9" s="1"/>
  <c r="FZ85" i="9"/>
  <c r="FY85" i="9"/>
  <c r="HB85" i="9"/>
  <c r="HA85" i="9"/>
  <c r="DA14" i="9"/>
  <c r="CX14" i="9"/>
  <c r="GM14" i="9"/>
  <c r="GK14" i="9"/>
  <c r="GL14" i="9" s="1"/>
  <c r="GK4" i="9"/>
  <c r="GL4" i="9" s="1"/>
  <c r="GN4" i="9"/>
  <c r="GM4" i="9"/>
  <c r="KU4" i="9"/>
  <c r="KV4" i="9"/>
  <c r="KS4" i="9"/>
  <c r="KT4" i="9" s="1"/>
  <c r="KE33" i="9"/>
  <c r="GG97" i="9"/>
  <c r="GF97" i="9"/>
  <c r="KO97" i="9"/>
  <c r="KL97" i="9"/>
  <c r="KM97" i="9" s="1"/>
  <c r="KN97" i="9"/>
  <c r="GU40" i="9"/>
  <c r="GT40" i="9"/>
  <c r="GR40" i="9"/>
  <c r="GS40" i="9" s="1"/>
  <c r="JQ40" i="9"/>
  <c r="JR40" i="9" s="1"/>
  <c r="JS40" i="9"/>
  <c r="F37" i="9"/>
  <c r="HO37" i="9"/>
  <c r="AB83" i="9"/>
  <c r="Y83" i="9"/>
  <c r="Z83" i="9" s="1"/>
  <c r="JM83" i="9"/>
  <c r="JJ83" i="9"/>
  <c r="JC83" i="9"/>
  <c r="JF83" i="9"/>
  <c r="HV68" i="9"/>
  <c r="GY54" i="9"/>
  <c r="GZ54" i="9" s="1"/>
  <c r="JS15" i="9"/>
  <c r="EQ15" i="9"/>
  <c r="AP86" i="9"/>
  <c r="AO86" i="9"/>
  <c r="R86" i="9"/>
  <c r="S86" i="9" s="1"/>
  <c r="T86" i="9"/>
  <c r="U86" i="9"/>
  <c r="FB110" i="9"/>
  <c r="FC110" i="9" s="1"/>
  <c r="FD110" i="9"/>
  <c r="Y110" i="9"/>
  <c r="Z110" i="9" s="1"/>
  <c r="AA110" i="9"/>
  <c r="AB110" i="9"/>
  <c r="KN71" i="9"/>
  <c r="DS10" i="9"/>
  <c r="DT10" i="9" s="1"/>
  <c r="BD20" i="9"/>
  <c r="BC20" i="9"/>
  <c r="BY20" i="9"/>
  <c r="BX20" i="9"/>
  <c r="BV20" i="9"/>
  <c r="BW20" i="9" s="1"/>
  <c r="BO23" i="9"/>
  <c r="BP23" i="9" s="1"/>
  <c r="BR23" i="9"/>
  <c r="BQ23" i="9"/>
  <c r="GG23" i="9"/>
  <c r="GD23" i="9"/>
  <c r="GE23" i="9" s="1"/>
  <c r="GF23" i="9"/>
  <c r="DL31" i="9"/>
  <c r="DM31" i="9" s="1"/>
  <c r="DN31" i="9"/>
  <c r="DO31" i="9"/>
  <c r="JQ31" i="9"/>
  <c r="JR31" i="9" s="1"/>
  <c r="JS31" i="9"/>
  <c r="AV31" i="9"/>
  <c r="AT31" i="9"/>
  <c r="AU31" i="9" s="1"/>
  <c r="AW31" i="9"/>
  <c r="IO111" i="9"/>
  <c r="IP111" i="9" s="1"/>
  <c r="IQ111" i="9"/>
  <c r="AT13" i="9"/>
  <c r="AU13" i="9" s="1"/>
  <c r="AW13" i="9"/>
  <c r="EN55" i="9"/>
  <c r="EO55" i="9" s="1"/>
  <c r="D38" i="9"/>
  <c r="E38" i="9" s="1"/>
  <c r="G38" i="9"/>
  <c r="CC14" i="9"/>
  <c r="CD14" i="9" s="1"/>
  <c r="CF14" i="9"/>
  <c r="FE4" i="9"/>
  <c r="FB4" i="9"/>
  <c r="KO10" i="9"/>
  <c r="KL10" i="9"/>
  <c r="AT99" i="9"/>
  <c r="AU99" i="9" s="1"/>
  <c r="AW99" i="9"/>
  <c r="Y87" i="9"/>
  <c r="Z87" i="9" s="1"/>
  <c r="AB87" i="9"/>
  <c r="AA87" i="9"/>
  <c r="DV56" i="9"/>
  <c r="DS56" i="9"/>
  <c r="DT56" i="9" s="1"/>
  <c r="CM3" i="9"/>
  <c r="CL3" i="9"/>
  <c r="CC25" i="9"/>
  <c r="CD25" i="9" s="1"/>
  <c r="CE25" i="9"/>
  <c r="CF25" i="9"/>
  <c r="HB14" i="9"/>
  <c r="GY14" i="9"/>
  <c r="GZ14" i="9" s="1"/>
  <c r="N37" i="9"/>
  <c r="K37" i="9"/>
  <c r="JS109" i="9"/>
  <c r="ID109" i="9"/>
  <c r="IA109" i="9"/>
  <c r="ID101" i="9"/>
  <c r="IC101" i="9"/>
  <c r="IA101" i="9"/>
  <c r="IB101" i="9" s="1"/>
  <c r="JZ87" i="9"/>
  <c r="HM50" i="9"/>
  <c r="HN50" i="9" s="1"/>
  <c r="HO50" i="9"/>
  <c r="BV92" i="9"/>
  <c r="BY92" i="9"/>
  <c r="BV103" i="9"/>
  <c r="BY103" i="9"/>
  <c r="CL52" i="9"/>
  <c r="GK52" i="9"/>
  <c r="GN52" i="9"/>
  <c r="FZ109" i="9"/>
  <c r="AB8" i="9"/>
  <c r="KV8" i="9"/>
  <c r="KU8" i="9"/>
  <c r="JZ8" i="9"/>
  <c r="JX8" i="9"/>
  <c r="JY8" i="9" s="1"/>
  <c r="KA8" i="9"/>
  <c r="EW101" i="9"/>
  <c r="HH87" i="9"/>
  <c r="KU60" i="9"/>
  <c r="GD70" i="9"/>
  <c r="GE70" i="9" s="1"/>
  <c r="GF70" i="9"/>
  <c r="CX50" i="9"/>
  <c r="CY50" i="9" s="1"/>
  <c r="HI92" i="9"/>
  <c r="HH92" i="9"/>
  <c r="HT35" i="9"/>
  <c r="HU35" i="9" s="1"/>
  <c r="HV35" i="9"/>
  <c r="K45" i="9"/>
  <c r="L45" i="9" s="1"/>
  <c r="DH72" i="9"/>
  <c r="DG72" i="9"/>
  <c r="IX39" i="9"/>
  <c r="FW73" i="9"/>
  <c r="IQ27" i="9"/>
  <c r="HB99" i="9"/>
  <c r="FR52" i="9"/>
  <c r="JM52" i="9"/>
  <c r="DL52" i="9"/>
  <c r="DM52" i="9" s="1"/>
  <c r="DN52" i="9"/>
  <c r="HF52" i="9"/>
  <c r="HI52" i="9"/>
  <c r="KH109" i="9"/>
  <c r="KG109" i="9"/>
  <c r="IK109" i="9"/>
  <c r="IH109" i="9"/>
  <c r="KG98" i="9"/>
  <c r="BJ8" i="9"/>
  <c r="CJ8" i="9"/>
  <c r="CK8" i="9" s="1"/>
  <c r="AA18" i="9"/>
  <c r="AW47" i="9"/>
  <c r="IO47" i="9"/>
  <c r="IP47" i="9" s="1"/>
  <c r="KE49" i="9"/>
  <c r="KF49" i="9" s="1"/>
  <c r="KG49" i="9"/>
  <c r="JE101" i="9"/>
  <c r="HF101" i="9"/>
  <c r="HG101" i="9" s="1"/>
  <c r="DU101" i="9"/>
  <c r="DS101" i="9"/>
  <c r="DT101" i="9" s="1"/>
  <c r="DA84" i="9"/>
  <c r="GG87" i="9"/>
  <c r="AI87" i="9"/>
  <c r="AF87" i="9"/>
  <c r="DN60" i="9"/>
  <c r="ID70" i="9"/>
  <c r="DU70" i="9"/>
  <c r="FL111" i="9"/>
  <c r="CX111" i="9"/>
  <c r="HT111" i="9"/>
  <c r="HU111" i="9" s="1"/>
  <c r="HV111" i="9"/>
  <c r="FK50" i="9"/>
  <c r="EU50" i="9"/>
  <c r="EV50" i="9" s="1"/>
  <c r="EW50" i="9"/>
  <c r="CM50" i="9"/>
  <c r="CL50" i="9"/>
  <c r="CN50" i="9" s="1"/>
  <c r="CX92" i="9"/>
  <c r="CY92" i="9" s="1"/>
  <c r="CZ92" i="9"/>
  <c r="EP35" i="9"/>
  <c r="HA35" i="9"/>
  <c r="BA35" i="9"/>
  <c r="BD35" i="9"/>
  <c r="BV24" i="9"/>
  <c r="FD24" i="9"/>
  <c r="IH72" i="9"/>
  <c r="II72" i="9" s="1"/>
  <c r="DS72" i="9"/>
  <c r="DE39" i="9"/>
  <c r="DF39" i="9" s="1"/>
  <c r="AH39" i="9"/>
  <c r="KH39" i="9"/>
  <c r="DV39" i="9"/>
  <c r="DS39" i="9"/>
  <c r="BK7" i="9"/>
  <c r="HP73" i="9"/>
  <c r="BC27" i="9"/>
  <c r="EG102" i="9"/>
  <c r="EH102" i="9" s="1"/>
  <c r="JL102" i="9"/>
  <c r="DH102" i="9"/>
  <c r="GD102" i="9"/>
  <c r="GG102" i="9"/>
  <c r="FP22" i="9"/>
  <c r="FQ22" i="9" s="1"/>
  <c r="GT22" i="9"/>
  <c r="EU22" i="9"/>
  <c r="EV22" i="9" s="1"/>
  <c r="EW22" i="9"/>
  <c r="JS67" i="9"/>
  <c r="JT67" i="9"/>
  <c r="JQ67" i="9"/>
  <c r="JR67" i="9" s="1"/>
  <c r="BH56" i="9"/>
  <c r="BI56" i="9" s="1"/>
  <c r="BX88" i="9"/>
  <c r="DG3" i="9"/>
  <c r="BJ3" i="9"/>
  <c r="EP81" i="9"/>
  <c r="DU81" i="9"/>
  <c r="AB13" i="9"/>
  <c r="DL13" i="9"/>
  <c r="DM13" i="9" s="1"/>
  <c r="DN13" i="9"/>
  <c r="BA36" i="9"/>
  <c r="BB36" i="9" s="1"/>
  <c r="GT55" i="9"/>
  <c r="HA55" i="9"/>
  <c r="JE32" i="9"/>
  <c r="DN32" i="9"/>
  <c r="U85" i="9"/>
  <c r="FI85" i="9"/>
  <c r="FJ85" i="9" s="1"/>
  <c r="JX14" i="9"/>
  <c r="JY14" i="9" s="1"/>
  <c r="CE14" i="9"/>
  <c r="GG4" i="9"/>
  <c r="K4" i="9"/>
  <c r="L4" i="9" s="1"/>
  <c r="JX33" i="9"/>
  <c r="JY33" i="9" s="1"/>
  <c r="KU97" i="9"/>
  <c r="M68" i="9"/>
  <c r="FW51" i="9"/>
  <c r="FX51" i="9" s="1"/>
  <c r="FY51" i="9"/>
  <c r="D51" i="9"/>
  <c r="E51" i="9" s="1"/>
  <c r="F51" i="9"/>
  <c r="DN57" i="9"/>
  <c r="IA86" i="9"/>
  <c r="ID86" i="9"/>
  <c r="IV86" i="9"/>
  <c r="IY86" i="9"/>
  <c r="GM79" i="9"/>
  <c r="GK79" i="9"/>
  <c r="GL79" i="9" s="1"/>
  <c r="BJ79" i="9"/>
  <c r="BK79" i="9"/>
  <c r="BH79" i="9"/>
  <c r="BI79" i="9" s="1"/>
  <c r="KS79" i="9"/>
  <c r="KT79" i="9" s="1"/>
  <c r="KU79" i="9"/>
  <c r="KV79" i="9"/>
  <c r="AV19" i="9"/>
  <c r="AW19" i="9"/>
  <c r="AT19" i="9"/>
  <c r="AU19" i="9" s="1"/>
  <c r="JM19" i="9"/>
  <c r="JJ19" i="9"/>
  <c r="JK19" i="9" s="1"/>
  <c r="JL19" i="9"/>
  <c r="JS10" i="9"/>
  <c r="JQ10" i="9"/>
  <c r="JR10" i="9" s="1"/>
  <c r="KV10" i="9"/>
  <c r="KU10" i="9"/>
  <c r="DO10" i="9"/>
  <c r="DL10" i="9"/>
  <c r="DU95" i="9"/>
  <c r="HO77" i="9"/>
  <c r="HM77" i="9"/>
  <c r="HN77" i="9" s="1"/>
  <c r="HP77" i="9"/>
  <c r="EJ77" i="9"/>
  <c r="EI77" i="9"/>
  <c r="EG77" i="9"/>
  <c r="EH77" i="9" s="1"/>
  <c r="FE96" i="9"/>
  <c r="HO29" i="9"/>
  <c r="JF87" i="9"/>
  <c r="JE87" i="9"/>
  <c r="KS24" i="9"/>
  <c r="KT24" i="9" s="1"/>
  <c r="KU24" i="9"/>
  <c r="IH22" i="9"/>
  <c r="IK22" i="9"/>
  <c r="KA88" i="9"/>
  <c r="JZ88" i="9"/>
  <c r="K81" i="9"/>
  <c r="L81" i="9" s="1"/>
  <c r="N81" i="9"/>
  <c r="EU6" i="9"/>
  <c r="EV6" i="9" s="1"/>
  <c r="EW6" i="9"/>
  <c r="IO70" i="9"/>
  <c r="IP70" i="9" s="1"/>
  <c r="IQ70" i="9"/>
  <c r="IR70" i="9"/>
  <c r="CQ50" i="9"/>
  <c r="CR50" i="9" s="1"/>
  <c r="JQ72" i="9"/>
  <c r="JR72" i="9" s="1"/>
  <c r="JS72" i="9"/>
  <c r="F56" i="9"/>
  <c r="D56" i="9"/>
  <c r="E56" i="9" s="1"/>
  <c r="IA88" i="9"/>
  <c r="IB88" i="9" s="1"/>
  <c r="IC88" i="9"/>
  <c r="GM36" i="9"/>
  <c r="IC36" i="9"/>
  <c r="IA36" i="9"/>
  <c r="IB36" i="9" s="1"/>
  <c r="FZ25" i="9"/>
  <c r="FW25" i="9"/>
  <c r="HV55" i="9"/>
  <c r="HW55" i="9"/>
  <c r="HP98" i="9"/>
  <c r="AO47" i="9"/>
  <c r="HM47" i="9"/>
  <c r="HN47" i="9" s="1"/>
  <c r="HO47" i="9"/>
  <c r="CL47" i="9"/>
  <c r="CM47" i="9"/>
  <c r="KH70" i="9"/>
  <c r="HH50" i="9"/>
  <c r="HI50" i="9"/>
  <c r="KL92" i="9"/>
  <c r="KM92" i="9" s="1"/>
  <c r="GT12" i="9"/>
  <c r="KV24" i="9"/>
  <c r="GG24" i="9"/>
  <c r="CJ99" i="9"/>
  <c r="FI52" i="9"/>
  <c r="FL52" i="9"/>
  <c r="R98" i="9"/>
  <c r="S98" i="9" s="1"/>
  <c r="BV49" i="9"/>
  <c r="JE49" i="9"/>
  <c r="GK35" i="9"/>
  <c r="GN35" i="9"/>
  <c r="DU24" i="9"/>
  <c r="HM45" i="9"/>
  <c r="HN45" i="9" s="1"/>
  <c r="JT72" i="9"/>
  <c r="KU7" i="9"/>
  <c r="AO52" i="9"/>
  <c r="AF52" i="9"/>
  <c r="AG52" i="9" s="1"/>
  <c r="AI52" i="9"/>
  <c r="CE98" i="9"/>
  <c r="FD8" i="9"/>
  <c r="BH18" i="9"/>
  <c r="BI18" i="9" s="1"/>
  <c r="AV47" i="9"/>
  <c r="EQ49" i="9"/>
  <c r="EN49" i="9"/>
  <c r="EO49" i="9" s="1"/>
  <c r="AM84" i="9"/>
  <c r="AN84" i="9" s="1"/>
  <c r="KS84" i="9"/>
  <c r="KT84" i="9" s="1"/>
  <c r="DV84" i="9"/>
  <c r="DS84" i="9"/>
  <c r="DE87" i="9"/>
  <c r="DF87" i="9" s="1"/>
  <c r="BV87" i="9"/>
  <c r="BY87" i="9"/>
  <c r="KS60" i="9"/>
  <c r="KT60" i="9" s="1"/>
  <c r="KO70" i="9"/>
  <c r="BX111" i="9"/>
  <c r="U50" i="9"/>
  <c r="R50" i="9"/>
  <c r="CL92" i="9"/>
  <c r="EQ35" i="9"/>
  <c r="HT103" i="9"/>
  <c r="HU103" i="9" s="1"/>
  <c r="D103" i="9"/>
  <c r="E103" i="9" s="1"/>
  <c r="CQ103" i="9"/>
  <c r="IY103" i="9"/>
  <c r="IV103" i="9"/>
  <c r="BR24" i="9"/>
  <c r="GT45" i="9"/>
  <c r="Y45" i="9"/>
  <c r="Z45" i="9" s="1"/>
  <c r="AA45" i="9"/>
  <c r="GR72" i="9"/>
  <c r="GU72" i="9"/>
  <c r="EW7" i="9"/>
  <c r="FL7" i="9"/>
  <c r="JE27" i="9"/>
  <c r="R27" i="9"/>
  <c r="S27" i="9" s="1"/>
  <c r="U27" i="9"/>
  <c r="T27" i="9"/>
  <c r="IQ102" i="9"/>
  <c r="DG102" i="9"/>
  <c r="BV22" i="9"/>
  <c r="BW22" i="9" s="1"/>
  <c r="DG67" i="9"/>
  <c r="CS67" i="9"/>
  <c r="AH56" i="9"/>
  <c r="KG56" i="9"/>
  <c r="FI56" i="9"/>
  <c r="FJ56" i="9" s="1"/>
  <c r="FK56" i="9"/>
  <c r="DN88" i="9"/>
  <c r="BJ88" i="9"/>
  <c r="EN42" i="9"/>
  <c r="EO42" i="9" s="1"/>
  <c r="GN42" i="9"/>
  <c r="GM42" i="9"/>
  <c r="JQ81" i="9"/>
  <c r="JR81" i="9" s="1"/>
  <c r="JE81" i="9"/>
  <c r="GN81" i="9"/>
  <c r="FI13" i="9"/>
  <c r="FJ13" i="9" s="1"/>
  <c r="AV13" i="9"/>
  <c r="IH13" i="9"/>
  <c r="II13" i="9" s="1"/>
  <c r="JL13" i="9"/>
  <c r="JJ13" i="9"/>
  <c r="JK13" i="9" s="1"/>
  <c r="GD36" i="9"/>
  <c r="GE36" i="9" s="1"/>
  <c r="K38" i="9"/>
  <c r="L38" i="9" s="1"/>
  <c r="JZ14" i="9"/>
  <c r="HT4" i="9"/>
  <c r="HU4" i="9" s="1"/>
  <c r="BR4" i="9"/>
  <c r="CM4" i="9"/>
  <c r="AI97" i="9"/>
  <c r="GN97" i="9"/>
  <c r="EU97" i="9"/>
  <c r="EV97" i="9" s="1"/>
  <c r="CE40" i="9"/>
  <c r="CX40" i="9"/>
  <c r="CY40" i="9" s="1"/>
  <c r="CZ40" i="9"/>
  <c r="JT83" i="9"/>
  <c r="JS83" i="9"/>
  <c r="HA83" i="9"/>
  <c r="GY83" i="9"/>
  <c r="GZ83" i="9" s="1"/>
  <c r="KL83" i="9"/>
  <c r="KM83" i="9" s="1"/>
  <c r="KO83" i="9"/>
  <c r="KN83" i="9"/>
  <c r="EJ54" i="9"/>
  <c r="EG54" i="9"/>
  <c r="EH54" i="9" s="1"/>
  <c r="EI54" i="9"/>
  <c r="FW54" i="9"/>
  <c r="FX54" i="9" s="1"/>
  <c r="FZ54" i="9"/>
  <c r="FY54" i="9"/>
  <c r="JS57" i="9"/>
  <c r="IO57" i="9"/>
  <c r="IP57" i="9" s="1"/>
  <c r="IQ57" i="9"/>
  <c r="IR57" i="9"/>
  <c r="BV57" i="9"/>
  <c r="BY57" i="9"/>
  <c r="HP86" i="9"/>
  <c r="HM86" i="9"/>
  <c r="HN86" i="9" s="1"/>
  <c r="HO86" i="9"/>
  <c r="KO86" i="9"/>
  <c r="KN86" i="9"/>
  <c r="HM110" i="9"/>
  <c r="HN110" i="9" s="1"/>
  <c r="EC10" i="9"/>
  <c r="FW75" i="9"/>
  <c r="FX75" i="9" s="1"/>
  <c r="FY75" i="9"/>
  <c r="JF75" i="9"/>
  <c r="JC75" i="9"/>
  <c r="JD75" i="9" s="1"/>
  <c r="JE75" i="9"/>
  <c r="CJ77" i="9"/>
  <c r="CK77" i="9" s="1"/>
  <c r="CM77" i="9"/>
  <c r="CL77" i="9"/>
  <c r="M77" i="9"/>
  <c r="K77" i="9"/>
  <c r="L77" i="9" s="1"/>
  <c r="N77" i="9"/>
  <c r="EC74" i="9"/>
  <c r="DZ74" i="9"/>
  <c r="EA74" i="9" s="1"/>
  <c r="EB74" i="9"/>
  <c r="IH74" i="9"/>
  <c r="II74" i="9" s="1"/>
  <c r="IK74" i="9"/>
  <c r="IJ74" i="9"/>
  <c r="EW8" i="9"/>
  <c r="EX8" i="9"/>
  <c r="IA50" i="9"/>
  <c r="IB50" i="9" s="1"/>
  <c r="IC50" i="9"/>
  <c r="BY98" i="9"/>
  <c r="DA98" i="9"/>
  <c r="CX98" i="9"/>
  <c r="EN18" i="9"/>
  <c r="EQ18" i="9"/>
  <c r="R47" i="9"/>
  <c r="S47" i="9" s="1"/>
  <c r="U47" i="9"/>
  <c r="EQ47" i="9"/>
  <c r="EP47" i="9"/>
  <c r="EN47" i="9"/>
  <c r="EO47" i="9" s="1"/>
  <c r="IQ49" i="9"/>
  <c r="IY49" i="9"/>
  <c r="EU101" i="9"/>
  <c r="EV101" i="9" s="1"/>
  <c r="EX101" i="9"/>
  <c r="U60" i="9"/>
  <c r="DE60" i="9"/>
  <c r="DF60" i="9" s="1"/>
  <c r="DH60" i="9"/>
  <c r="DE12" i="9"/>
  <c r="DF12" i="9" s="1"/>
  <c r="DG12" i="9"/>
  <c r="CC35" i="9"/>
  <c r="CD35" i="9" s="1"/>
  <c r="CE35" i="9"/>
  <c r="D45" i="9"/>
  <c r="E45" i="9" s="1"/>
  <c r="F45" i="9"/>
  <c r="K72" i="9"/>
  <c r="L72" i="9" s="1"/>
  <c r="JJ39" i="9"/>
  <c r="JK39" i="9" s="1"/>
  <c r="HV39" i="9"/>
  <c r="KS7" i="9"/>
  <c r="KT7" i="9" s="1"/>
  <c r="DG7" i="9"/>
  <c r="KA7" i="9"/>
  <c r="JZ7" i="9"/>
  <c r="FZ73" i="9"/>
  <c r="AM73" i="9"/>
  <c r="AN73" i="9" s="1"/>
  <c r="AO73" i="9"/>
  <c r="BO73" i="9"/>
  <c r="BP73" i="9" s="1"/>
  <c r="BQ73" i="9"/>
  <c r="BH22" i="9"/>
  <c r="BI22" i="9" s="1"/>
  <c r="HH67" i="9"/>
  <c r="DU56" i="9"/>
  <c r="CC88" i="9"/>
  <c r="CD88" i="9" s="1"/>
  <c r="KA42" i="9"/>
  <c r="JX42" i="9"/>
  <c r="GU3" i="9"/>
  <c r="CJ3" i="9"/>
  <c r="CK3" i="9" s="1"/>
  <c r="GF81" i="9"/>
  <c r="M81" i="9"/>
  <c r="IQ13" i="9"/>
  <c r="IR13" i="9"/>
  <c r="HF13" i="9"/>
  <c r="HI13" i="9"/>
  <c r="GF25" i="9"/>
  <c r="FW55" i="9"/>
  <c r="FX55" i="9" s="1"/>
  <c r="GY85" i="9"/>
  <c r="GZ85" i="9" s="1"/>
  <c r="GU14" i="9"/>
  <c r="HA14" i="9"/>
  <c r="EG4" i="9"/>
  <c r="EH4" i="9" s="1"/>
  <c r="IO4" i="9"/>
  <c r="IP4" i="9" s="1"/>
  <c r="FK33" i="9"/>
  <c r="DA40" i="9"/>
  <c r="KL40" i="9"/>
  <c r="KM40" i="9" s="1"/>
  <c r="KN40" i="9"/>
  <c r="HF83" i="9"/>
  <c r="HG83" i="9" s="1"/>
  <c r="HH83" i="9"/>
  <c r="D83" i="9"/>
  <c r="E83" i="9" s="1"/>
  <c r="F83" i="9"/>
  <c r="DH83" i="9"/>
  <c r="DG83" i="9"/>
  <c r="KE68" i="9"/>
  <c r="KF68" i="9" s="1"/>
  <c r="KG68" i="9"/>
  <c r="KH68" i="9"/>
  <c r="IX51" i="9"/>
  <c r="IV51" i="9"/>
  <c r="IW51" i="9" s="1"/>
  <c r="IY51" i="9"/>
  <c r="F15" i="9"/>
  <c r="CQ57" i="9"/>
  <c r="CR57" i="9" s="1"/>
  <c r="N79" i="9"/>
  <c r="M79" i="9"/>
  <c r="K79" i="9"/>
  <c r="L79" i="9" s="1"/>
  <c r="IY79" i="9"/>
  <c r="IX79" i="9"/>
  <c r="IV79" i="9"/>
  <c r="IW79" i="9" s="1"/>
  <c r="DO78" i="9"/>
  <c r="T59" i="9"/>
  <c r="BA100" i="9"/>
  <c r="BB100" i="9" s="1"/>
  <c r="BC100" i="9"/>
  <c r="BD100" i="9"/>
  <c r="GY100" i="9"/>
  <c r="GZ100" i="9" s="1"/>
  <c r="HA100" i="9"/>
  <c r="HB100" i="9"/>
  <c r="N95" i="9"/>
  <c r="KG95" i="9"/>
  <c r="GR75" i="9"/>
  <c r="GS75" i="9" s="1"/>
  <c r="GT75" i="9"/>
  <c r="GU75" i="9"/>
  <c r="AO75" i="9"/>
  <c r="AM75" i="9"/>
  <c r="AN75" i="9" s="1"/>
  <c r="AP75" i="9"/>
  <c r="EJ5" i="9"/>
  <c r="EG5" i="9"/>
  <c r="F5" i="9"/>
  <c r="D5" i="9"/>
  <c r="E5" i="9" s="1"/>
  <c r="G5" i="9"/>
  <c r="EX96" i="9"/>
  <c r="EW96" i="9"/>
  <c r="EU96" i="9"/>
  <c r="EV96" i="9" s="1"/>
  <c r="D96" i="9"/>
  <c r="E96" i="9" s="1"/>
  <c r="G96" i="9"/>
  <c r="F96" i="9"/>
  <c r="HO74" i="9"/>
  <c r="R74" i="9"/>
  <c r="S74" i="9" s="1"/>
  <c r="U74" i="9"/>
  <c r="T74" i="9"/>
  <c r="KE74" i="9"/>
  <c r="KH74" i="9"/>
  <c r="HT83" i="9"/>
  <c r="HU83" i="9" s="1"/>
  <c r="HV83" i="9"/>
  <c r="AA51" i="9"/>
  <c r="Y51" i="9"/>
  <c r="Z51" i="9" s="1"/>
  <c r="F54" i="9"/>
  <c r="G54" i="9"/>
  <c r="BD15" i="9"/>
  <c r="JZ57" i="9"/>
  <c r="JX57" i="9"/>
  <c r="JY57" i="9" s="1"/>
  <c r="BH110" i="9"/>
  <c r="BI110" i="9" s="1"/>
  <c r="BJ110" i="9"/>
  <c r="IH79" i="9"/>
  <c r="IK79" i="9"/>
  <c r="BY71" i="9"/>
  <c r="BX71" i="9"/>
  <c r="BV71" i="9"/>
  <c r="BW71" i="9" s="1"/>
  <c r="BQ95" i="9"/>
  <c r="BR95" i="9"/>
  <c r="BO95" i="9"/>
  <c r="BP95" i="9" s="1"/>
  <c r="EG107" i="9"/>
  <c r="EH107" i="9" s="1"/>
  <c r="EJ107" i="9"/>
  <c r="EI107" i="9"/>
  <c r="IC107" i="9"/>
  <c r="IA107" i="9"/>
  <c r="IB107" i="9" s="1"/>
  <c r="Y75" i="9"/>
  <c r="Z75" i="9" s="1"/>
  <c r="AA75" i="9"/>
  <c r="AB75" i="9"/>
  <c r="FP75" i="9"/>
  <c r="FQ75" i="9" s="1"/>
  <c r="FR75" i="9"/>
  <c r="EQ77" i="9"/>
  <c r="EP77" i="9"/>
  <c r="CT77" i="9"/>
  <c r="CQ77" i="9"/>
  <c r="CR77" i="9" s="1"/>
  <c r="AA63" i="9"/>
  <c r="Y63" i="9"/>
  <c r="Z63" i="9" s="1"/>
  <c r="AB63" i="9"/>
  <c r="FP63" i="9"/>
  <c r="FQ63" i="9" s="1"/>
  <c r="FR63" i="9"/>
  <c r="FS63" i="9"/>
  <c r="EQ29" i="9"/>
  <c r="EP29" i="9"/>
  <c r="IK29" i="9"/>
  <c r="IJ29" i="9"/>
  <c r="IH29" i="9"/>
  <c r="II29" i="9" s="1"/>
  <c r="BC11" i="9"/>
  <c r="BD11" i="9"/>
  <c r="BA11" i="9"/>
  <c r="BB11" i="9" s="1"/>
  <c r="IK15" i="9"/>
  <c r="IH15" i="9"/>
  <c r="DA57" i="9"/>
  <c r="CZ57" i="9"/>
  <c r="HW57" i="9"/>
  <c r="HV57" i="9"/>
  <c r="CC110" i="9"/>
  <c r="CD110" i="9" s="1"/>
  <c r="CE110" i="9"/>
  <c r="KO79" i="9"/>
  <c r="KN79" i="9"/>
  <c r="JF79" i="9"/>
  <c r="JC79" i="9"/>
  <c r="JD79" i="9" s="1"/>
  <c r="JE79" i="9"/>
  <c r="HI71" i="9"/>
  <c r="HF71" i="9"/>
  <c r="AV71" i="9"/>
  <c r="AW71" i="9"/>
  <c r="DS19" i="9"/>
  <c r="DT19" i="9" s="1"/>
  <c r="DU19" i="9"/>
  <c r="GK19" i="9"/>
  <c r="GN19" i="9"/>
  <c r="IA20" i="9"/>
  <c r="IB20" i="9" s="1"/>
  <c r="ID20" i="9"/>
  <c r="IC20" i="9"/>
  <c r="R20" i="9"/>
  <c r="S20" i="9" s="1"/>
  <c r="T20" i="9"/>
  <c r="HO100" i="9"/>
  <c r="HP100" i="9"/>
  <c r="HM100" i="9"/>
  <c r="HN100" i="9" s="1"/>
  <c r="DO94" i="9"/>
  <c r="DL94" i="9"/>
  <c r="DM94" i="9" s="1"/>
  <c r="DN94" i="9"/>
  <c r="DV94" i="9"/>
  <c r="DS94" i="9"/>
  <c r="JQ104" i="9"/>
  <c r="JR104" i="9" s="1"/>
  <c r="JS104" i="9"/>
  <c r="KE75" i="9"/>
  <c r="KF75" i="9" s="1"/>
  <c r="KH75" i="9"/>
  <c r="KG75" i="9"/>
  <c r="DN75" i="9"/>
  <c r="DO75" i="9"/>
  <c r="DL75" i="9"/>
  <c r="DM75" i="9" s="1"/>
  <c r="GY77" i="9"/>
  <c r="GZ77" i="9" s="1"/>
  <c r="HA77" i="9"/>
  <c r="HB77" i="9"/>
  <c r="JE77" i="9"/>
  <c r="JC77" i="9"/>
  <c r="JD77" i="9" s="1"/>
  <c r="AP5" i="9"/>
  <c r="AO5" i="9"/>
  <c r="FP34" i="9"/>
  <c r="FQ34" i="9" s="1"/>
  <c r="FR34" i="9"/>
  <c r="IQ34" i="9"/>
  <c r="IR34" i="9"/>
  <c r="IO34" i="9"/>
  <c r="IP34" i="9" s="1"/>
  <c r="EG51" i="9"/>
  <c r="EH51" i="9" s="1"/>
  <c r="EI51" i="9"/>
  <c r="EJ51" i="9"/>
  <c r="AB57" i="9"/>
  <c r="AA57" i="9"/>
  <c r="IQ44" i="9"/>
  <c r="IR44" i="9"/>
  <c r="IO44" i="9"/>
  <c r="IP44" i="9" s="1"/>
  <c r="KU44" i="9"/>
  <c r="KV44" i="9"/>
  <c r="GR110" i="9"/>
  <c r="GS110" i="9" s="1"/>
  <c r="GU110" i="9"/>
  <c r="IK110" i="9"/>
  <c r="IH110" i="9"/>
  <c r="II110" i="9" s="1"/>
  <c r="HO5" i="9"/>
  <c r="HP5" i="9"/>
  <c r="HM5" i="9"/>
  <c r="HN5" i="9" s="1"/>
  <c r="FY5" i="9"/>
  <c r="FZ5" i="9"/>
  <c r="FW5" i="9"/>
  <c r="FX5" i="9" s="1"/>
  <c r="AB96" i="9"/>
  <c r="AA96" i="9"/>
  <c r="Y96" i="9"/>
  <c r="Z96" i="9" s="1"/>
  <c r="HH96" i="9"/>
  <c r="HI96" i="9"/>
  <c r="HT30" i="9"/>
  <c r="HW30" i="9"/>
  <c r="R16" i="9"/>
  <c r="S16" i="9" s="1"/>
  <c r="U16" i="9"/>
  <c r="T16" i="9"/>
  <c r="BY16" i="9"/>
  <c r="BV16" i="9"/>
  <c r="JT16" i="9"/>
  <c r="JQ16" i="9"/>
  <c r="JR16" i="9" s="1"/>
  <c r="JS16" i="9"/>
  <c r="EU62" i="9"/>
  <c r="EX62" i="9"/>
  <c r="AI62" i="9"/>
  <c r="AH62" i="9"/>
  <c r="AF62" i="9"/>
  <c r="AG62" i="9" s="1"/>
  <c r="EN69" i="9"/>
  <c r="EO69" i="9" s="1"/>
  <c r="EP69" i="9"/>
  <c r="EW69" i="9"/>
  <c r="EU69" i="9"/>
  <c r="EV69" i="9" s="1"/>
  <c r="EX69" i="9"/>
  <c r="KN63" i="9"/>
  <c r="KL63" i="9"/>
  <c r="KM63" i="9" s="1"/>
  <c r="KO63" i="9"/>
  <c r="CF63" i="9"/>
  <c r="CE63" i="9"/>
  <c r="CC63" i="9"/>
  <c r="CD63" i="9" s="1"/>
  <c r="IA80" i="9"/>
  <c r="IB80" i="9" s="1"/>
  <c r="ID80" i="9"/>
  <c r="CZ80" i="9"/>
  <c r="CX80" i="9"/>
  <c r="CY80" i="9" s="1"/>
  <c r="BR66" i="9"/>
  <c r="BQ66" i="9"/>
  <c r="KE66" i="9"/>
  <c r="KF66" i="9" s="1"/>
  <c r="KG66" i="9"/>
  <c r="KH66" i="9"/>
  <c r="IO11" i="9"/>
  <c r="IP11" i="9" s="1"/>
  <c r="IR11" i="9"/>
  <c r="DS11" i="9"/>
  <c r="DT11" i="9" s="1"/>
  <c r="DU11" i="9"/>
  <c r="DV11" i="9"/>
  <c r="AA109" i="9"/>
  <c r="IC60" i="9"/>
  <c r="EC50" i="9"/>
  <c r="BH92" i="9"/>
  <c r="BI92" i="9" s="1"/>
  <c r="DU12" i="9"/>
  <c r="FK45" i="9"/>
  <c r="IA39" i="9"/>
  <c r="IB39" i="9" s="1"/>
  <c r="IC39" i="9"/>
  <c r="CE7" i="9"/>
  <c r="IR42" i="9"/>
  <c r="DN42" i="9"/>
  <c r="IX3" i="9"/>
  <c r="IK81" i="9"/>
  <c r="CL13" i="9"/>
  <c r="EQ13" i="9"/>
  <c r="HH55" i="9"/>
  <c r="AM55" i="9"/>
  <c r="AN55" i="9" s="1"/>
  <c r="GR38" i="9"/>
  <c r="GS38" i="9" s="1"/>
  <c r="KU38" i="9"/>
  <c r="KE32" i="9"/>
  <c r="KF32" i="9" s="1"/>
  <c r="KA32" i="9"/>
  <c r="EN4" i="9"/>
  <c r="EO4" i="9" s="1"/>
  <c r="DO4" i="9"/>
  <c r="CF33" i="9"/>
  <c r="U83" i="9"/>
  <c r="GG83" i="9"/>
  <c r="KV83" i="9"/>
  <c r="KU83" i="9"/>
  <c r="FD68" i="9"/>
  <c r="AA68" i="9"/>
  <c r="HW54" i="9"/>
  <c r="HV54" i="9"/>
  <c r="AA54" i="9"/>
  <c r="Y54" i="9"/>
  <c r="Z54" i="9" s="1"/>
  <c r="FI15" i="9"/>
  <c r="AI57" i="9"/>
  <c r="AH57" i="9"/>
  <c r="FS110" i="9"/>
  <c r="FR110" i="9"/>
  <c r="FP110" i="9"/>
  <c r="FQ110" i="9" s="1"/>
  <c r="BR79" i="9"/>
  <c r="BO79" i="9"/>
  <c r="BP79" i="9" s="1"/>
  <c r="BQ79" i="9"/>
  <c r="FR19" i="9"/>
  <c r="FS19" i="9"/>
  <c r="Y46" i="9"/>
  <c r="Z46" i="9" s="1"/>
  <c r="AB46" i="9"/>
  <c r="AA46" i="9"/>
  <c r="EP46" i="9"/>
  <c r="EQ46" i="9"/>
  <c r="AW59" i="9"/>
  <c r="AT59" i="9"/>
  <c r="AU59" i="9" s="1"/>
  <c r="AV59" i="9"/>
  <c r="JX59" i="9"/>
  <c r="JY59" i="9" s="1"/>
  <c r="KA59" i="9"/>
  <c r="JZ59" i="9"/>
  <c r="DE20" i="9"/>
  <c r="DF20" i="9" s="1"/>
  <c r="DG20" i="9"/>
  <c r="DH20" i="9"/>
  <c r="FW100" i="9"/>
  <c r="FX100" i="9" s="1"/>
  <c r="HV94" i="9"/>
  <c r="HT94" i="9"/>
  <c r="HU94" i="9" s="1"/>
  <c r="R94" i="9"/>
  <c r="S94" i="9" s="1"/>
  <c r="T94" i="9"/>
  <c r="G107" i="9"/>
  <c r="F107" i="9"/>
  <c r="D107" i="9"/>
  <c r="E107" i="9" s="1"/>
  <c r="DU107" i="9"/>
  <c r="DS107" i="9"/>
  <c r="DT107" i="9" s="1"/>
  <c r="CJ104" i="9"/>
  <c r="CK104" i="9" s="1"/>
  <c r="DZ5" i="9"/>
  <c r="EA5" i="9" s="1"/>
  <c r="EB5" i="9"/>
  <c r="EC5" i="9"/>
  <c r="M5" i="9"/>
  <c r="N5" i="9"/>
  <c r="K5" i="9"/>
  <c r="L5" i="9" s="1"/>
  <c r="IK89" i="9"/>
  <c r="IH89" i="9"/>
  <c r="HF89" i="9"/>
  <c r="HG89" i="9" s="1"/>
  <c r="HH89" i="9"/>
  <c r="GY30" i="9"/>
  <c r="GZ30" i="9" s="1"/>
  <c r="HB30" i="9"/>
  <c r="HA30" i="9"/>
  <c r="BX30" i="9"/>
  <c r="BV30" i="9"/>
  <c r="BW30" i="9" s="1"/>
  <c r="BY30" i="9"/>
  <c r="AT16" i="9"/>
  <c r="AW16" i="9"/>
  <c r="DU16" i="9"/>
  <c r="DV16" i="9"/>
  <c r="BR16" i="9"/>
  <c r="BQ16" i="9"/>
  <c r="BO16" i="9"/>
  <c r="BP16" i="9" s="1"/>
  <c r="JM69" i="9"/>
  <c r="JL69" i="9"/>
  <c r="JJ69" i="9"/>
  <c r="JK69" i="9" s="1"/>
  <c r="FE69" i="9"/>
  <c r="FD69" i="9"/>
  <c r="FB69" i="9"/>
  <c r="FC69" i="9" s="1"/>
  <c r="IJ90" i="9"/>
  <c r="DE90" i="9"/>
  <c r="DF90" i="9" s="1"/>
  <c r="DH90" i="9"/>
  <c r="DG90" i="9"/>
  <c r="IK63" i="9"/>
  <c r="IJ63" i="9"/>
  <c r="IH63" i="9"/>
  <c r="II63" i="9" s="1"/>
  <c r="BA80" i="9"/>
  <c r="BB80" i="9" s="1"/>
  <c r="BC80" i="9"/>
  <c r="BD80" i="9"/>
  <c r="AF80" i="9"/>
  <c r="AG80" i="9" s="1"/>
  <c r="AH80" i="9"/>
  <c r="AI80" i="9"/>
  <c r="FP66" i="9"/>
  <c r="FQ66" i="9" s="1"/>
  <c r="FR66" i="9"/>
  <c r="CE66" i="9"/>
  <c r="CF66" i="9"/>
  <c r="CC66" i="9"/>
  <c r="CD66" i="9" s="1"/>
  <c r="AM31" i="9"/>
  <c r="AN31" i="9" s="1"/>
  <c r="AP31" i="9"/>
  <c r="AO31" i="9"/>
  <c r="IJ31" i="9"/>
  <c r="IK31" i="9"/>
  <c r="DG43" i="9"/>
  <c r="DE43" i="9"/>
  <c r="DF43" i="9" s="1"/>
  <c r="DH43" i="9"/>
  <c r="BJ43" i="9"/>
  <c r="BH43" i="9"/>
  <c r="BI43" i="9" s="1"/>
  <c r="BK43" i="9"/>
  <c r="AM43" i="9"/>
  <c r="AN43" i="9" s="1"/>
  <c r="AO43" i="9"/>
  <c r="AP43" i="9"/>
  <c r="KG7" i="9"/>
  <c r="GM56" i="9"/>
  <c r="HF3" i="9"/>
  <c r="HH81" i="9"/>
  <c r="JS25" i="9"/>
  <c r="BJ25" i="9"/>
  <c r="FD55" i="9"/>
  <c r="KL38" i="9"/>
  <c r="KM38" i="9" s="1"/>
  <c r="EX32" i="9"/>
  <c r="DO85" i="9"/>
  <c r="EX33" i="9"/>
  <c r="DE33" i="9"/>
  <c r="DF33" i="9" s="1"/>
  <c r="BY33" i="9"/>
  <c r="BV33" i="9"/>
  <c r="CZ97" i="9"/>
  <c r="EB40" i="9"/>
  <c r="AM83" i="9"/>
  <c r="AN83" i="9" s="1"/>
  <c r="KU51" i="9"/>
  <c r="KV51" i="9"/>
  <c r="IX15" i="9"/>
  <c r="IV15" i="9"/>
  <c r="IW15" i="9" s="1"/>
  <c r="IY15" i="9"/>
  <c r="DL86" i="9"/>
  <c r="DM86" i="9" s="1"/>
  <c r="GF44" i="9"/>
  <c r="GK44" i="9"/>
  <c r="GL44" i="9" s="1"/>
  <c r="CT44" i="9"/>
  <c r="BD44" i="9"/>
  <c r="BA44" i="9"/>
  <c r="BB44" i="9" s="1"/>
  <c r="BC44" i="9"/>
  <c r="FW79" i="9"/>
  <c r="AI79" i="9"/>
  <c r="AH79" i="9"/>
  <c r="AF79" i="9"/>
  <c r="AG79" i="9" s="1"/>
  <c r="EW79" i="9"/>
  <c r="EU79" i="9"/>
  <c r="EV79" i="9" s="1"/>
  <c r="FL78" i="9"/>
  <c r="FK78" i="9"/>
  <c r="AP19" i="9"/>
  <c r="AO19" i="9"/>
  <c r="D19" i="9"/>
  <c r="E19" i="9" s="1"/>
  <c r="F19" i="9"/>
  <c r="KU19" i="9"/>
  <c r="KV19" i="9"/>
  <c r="GY46" i="9"/>
  <c r="GZ46" i="9" s="1"/>
  <c r="HA46" i="9"/>
  <c r="AI20" i="9"/>
  <c r="AF20" i="9"/>
  <c r="AG20" i="9" s="1"/>
  <c r="KO100" i="9"/>
  <c r="KL100" i="9"/>
  <c r="KM100" i="9" s="1"/>
  <c r="KN100" i="9"/>
  <c r="EX94" i="9"/>
  <c r="EW94" i="9"/>
  <c r="EU94" i="9"/>
  <c r="EV94" i="9" s="1"/>
  <c r="IR94" i="9"/>
  <c r="IQ94" i="9"/>
  <c r="IO94" i="9"/>
  <c r="IP94" i="9" s="1"/>
  <c r="GR94" i="9"/>
  <c r="GS94" i="9" s="1"/>
  <c r="GT94" i="9"/>
  <c r="ID107" i="9"/>
  <c r="AP107" i="9"/>
  <c r="AM107" i="9"/>
  <c r="AN107" i="9" s="1"/>
  <c r="AO107" i="9"/>
  <c r="GR107" i="9"/>
  <c r="GS107" i="9" s="1"/>
  <c r="GT107" i="9"/>
  <c r="R104" i="9"/>
  <c r="U104" i="9"/>
  <c r="IK104" i="9"/>
  <c r="IJ104" i="9"/>
  <c r="IH104" i="9"/>
  <c r="II104" i="9" s="1"/>
  <c r="CQ104" i="9"/>
  <c r="CR104" i="9" s="1"/>
  <c r="CT104" i="9"/>
  <c r="CS104" i="9"/>
  <c r="IK80" i="9"/>
  <c r="IH80" i="9"/>
  <c r="IO80" i="9"/>
  <c r="IP80" i="9" s="1"/>
  <c r="IR80" i="9"/>
  <c r="IQ80" i="9"/>
  <c r="U58" i="9"/>
  <c r="T58" i="9"/>
  <c r="R58" i="9"/>
  <c r="S58" i="9" s="1"/>
  <c r="DS58" i="9"/>
  <c r="DT58" i="9" s="1"/>
  <c r="DV58" i="9"/>
  <c r="DU58" i="9"/>
  <c r="BO66" i="9"/>
  <c r="BP66" i="9" s="1"/>
  <c r="AB66" i="9"/>
  <c r="AA66" i="9"/>
  <c r="DV66" i="9"/>
  <c r="DU66" i="9"/>
  <c r="DS66" i="9"/>
  <c r="DT66" i="9" s="1"/>
  <c r="GD31" i="9"/>
  <c r="GE31" i="9" s="1"/>
  <c r="GG31" i="9"/>
  <c r="GF31" i="9"/>
  <c r="ID31" i="9"/>
  <c r="IC31" i="9"/>
  <c r="IA31" i="9"/>
  <c r="IB31" i="9" s="1"/>
  <c r="IQ11" i="9"/>
  <c r="IK53" i="9"/>
  <c r="IJ53" i="9"/>
  <c r="FE53" i="9"/>
  <c r="FD53" i="9"/>
  <c r="FB53" i="9"/>
  <c r="FC53" i="9" s="1"/>
  <c r="KE43" i="9"/>
  <c r="KF43" i="9" s="1"/>
  <c r="KH43" i="9"/>
  <c r="KG43" i="9"/>
  <c r="AF43" i="9"/>
  <c r="AG43" i="9" s="1"/>
  <c r="AH43" i="9"/>
  <c r="AI43" i="9"/>
  <c r="HM81" i="9"/>
  <c r="HN81" i="9" s="1"/>
  <c r="KG36" i="9"/>
  <c r="FR25" i="9"/>
  <c r="EJ38" i="9"/>
  <c r="DE38" i="9"/>
  <c r="DF38" i="9" s="1"/>
  <c r="U32" i="9"/>
  <c r="DH33" i="9"/>
  <c r="EQ37" i="9"/>
  <c r="R37" i="9"/>
  <c r="S37" i="9" s="1"/>
  <c r="JL68" i="9"/>
  <c r="EJ15" i="9"/>
  <c r="EI15" i="9"/>
  <c r="KA57" i="9"/>
  <c r="CF44" i="9"/>
  <c r="CC44" i="9"/>
  <c r="FE44" i="9"/>
  <c r="FB44" i="9"/>
  <c r="FC44" i="9" s="1"/>
  <c r="FD44" i="9"/>
  <c r="AM110" i="9"/>
  <c r="AN110" i="9" s="1"/>
  <c r="IY78" i="9"/>
  <c r="IX78" i="9"/>
  <c r="IV78" i="9"/>
  <c r="IW78" i="9" s="1"/>
  <c r="BC71" i="9"/>
  <c r="FP19" i="9"/>
  <c r="FQ19" i="9" s="1"/>
  <c r="FB46" i="9"/>
  <c r="FC46" i="9" s="1"/>
  <c r="FD46" i="9"/>
  <c r="FE46" i="9"/>
  <c r="FK46" i="9"/>
  <c r="FI46" i="9"/>
  <c r="FJ46" i="9" s="1"/>
  <c r="FL46" i="9"/>
  <c r="HH59" i="9"/>
  <c r="U20" i="9"/>
  <c r="DS20" i="9"/>
  <c r="DT20" i="9" s="1"/>
  <c r="DU20" i="9"/>
  <c r="DO100" i="9"/>
  <c r="DN100" i="9"/>
  <c r="AW100" i="9"/>
  <c r="AT100" i="9"/>
  <c r="BK104" i="9"/>
  <c r="BH104" i="9"/>
  <c r="BI104" i="9" s="1"/>
  <c r="BJ104" i="9"/>
  <c r="GD104" i="9"/>
  <c r="GE104" i="9" s="1"/>
  <c r="FK104" i="9"/>
  <c r="FL104" i="9"/>
  <c r="BY21" i="9"/>
  <c r="N21" i="9"/>
  <c r="EC21" i="9"/>
  <c r="DZ21" i="9"/>
  <c r="EA21" i="9" s="1"/>
  <c r="EB21" i="9"/>
  <c r="JZ21" i="9"/>
  <c r="JX21" i="9"/>
  <c r="JY21" i="9" s="1"/>
  <c r="IK90" i="9"/>
  <c r="BH63" i="9"/>
  <c r="DH58" i="9"/>
  <c r="DG58" i="9"/>
  <c r="JC58" i="9"/>
  <c r="JD58" i="9" s="1"/>
  <c r="JF58" i="9"/>
  <c r="JE58" i="9"/>
  <c r="DN53" i="9"/>
  <c r="DL53" i="9"/>
  <c r="DM53" i="9" s="1"/>
  <c r="DO53" i="9"/>
  <c r="JQ53" i="9"/>
  <c r="JR53" i="9" s="1"/>
  <c r="JS53" i="9"/>
  <c r="JT53" i="9"/>
  <c r="HI108" i="9"/>
  <c r="HF108" i="9"/>
  <c r="HG108" i="9" s="1"/>
  <c r="HH108" i="9"/>
  <c r="JS108" i="9"/>
  <c r="JQ108" i="9"/>
  <c r="JR108" i="9" s="1"/>
  <c r="JT108" i="9"/>
  <c r="FR55" i="9"/>
  <c r="KH55" i="9"/>
  <c r="CM33" i="9"/>
  <c r="CJ33" i="9"/>
  <c r="FW83" i="9"/>
  <c r="FZ83" i="9"/>
  <c r="FB68" i="9"/>
  <c r="FC68" i="9" s="1"/>
  <c r="DG54" i="9"/>
  <c r="U15" i="9"/>
  <c r="EU57" i="9"/>
  <c r="EV57" i="9" s="1"/>
  <c r="EW57" i="9"/>
  <c r="EX57" i="9"/>
  <c r="IC44" i="9"/>
  <c r="IA44" i="9"/>
  <c r="IB44" i="9" s="1"/>
  <c r="AO110" i="9"/>
  <c r="GR78" i="9"/>
  <c r="GS78" i="9" s="1"/>
  <c r="GU78" i="9"/>
  <c r="AF10" i="9"/>
  <c r="AG10" i="9" s="1"/>
  <c r="AH10" i="9"/>
  <c r="AI10" i="9"/>
  <c r="IK10" i="9"/>
  <c r="IJ10" i="9"/>
  <c r="GD46" i="9"/>
  <c r="GE46" i="9" s="1"/>
  <c r="GG46" i="9"/>
  <c r="GF46" i="9"/>
  <c r="FW46" i="9"/>
  <c r="FX46" i="9" s="1"/>
  <c r="FY46" i="9"/>
  <c r="FZ46" i="9"/>
  <c r="HH20" i="9"/>
  <c r="HF20" i="9"/>
  <c r="HG20" i="9" s="1"/>
  <c r="KE20" i="9"/>
  <c r="KH20" i="9"/>
  <c r="KH6" i="9"/>
  <c r="KG6" i="9"/>
  <c r="CJ100" i="9"/>
  <c r="CK100" i="9" s="1"/>
  <c r="CL100" i="9"/>
  <c r="CM100" i="9"/>
  <c r="CF100" i="9"/>
  <c r="CE100" i="9"/>
  <c r="CC100" i="9"/>
  <c r="CD100" i="9" s="1"/>
  <c r="EG94" i="9"/>
  <c r="EH94" i="9" s="1"/>
  <c r="EI94" i="9"/>
  <c r="EJ94" i="9"/>
  <c r="DE107" i="9"/>
  <c r="DF107" i="9" s="1"/>
  <c r="DH107" i="9"/>
  <c r="DG107" i="9"/>
  <c r="BY107" i="9"/>
  <c r="BX107" i="9"/>
  <c r="BV107" i="9"/>
  <c r="BW107" i="9" s="1"/>
  <c r="IR107" i="9"/>
  <c r="IQ107" i="9"/>
  <c r="IO107" i="9"/>
  <c r="IP107" i="9" s="1"/>
  <c r="CC104" i="9"/>
  <c r="CF104" i="9"/>
  <c r="IA104" i="9"/>
  <c r="IB104" i="9" s="1"/>
  <c r="IC104" i="9"/>
  <c r="KN75" i="9"/>
  <c r="F21" i="9"/>
  <c r="D21" i="9"/>
  <c r="E21" i="9" s="1"/>
  <c r="CC21" i="9"/>
  <c r="CD21" i="9" s="1"/>
  <c r="CF21" i="9"/>
  <c r="CE21" i="9"/>
  <c r="KS96" i="9"/>
  <c r="KT96" i="9" s="1"/>
  <c r="KV96" i="9"/>
  <c r="KU96" i="9"/>
  <c r="HB96" i="9"/>
  <c r="GY96" i="9"/>
  <c r="HM105" i="9"/>
  <c r="HP105" i="9"/>
  <c r="FE105" i="9"/>
  <c r="FB105" i="9"/>
  <c r="FC105" i="9" s="1"/>
  <c r="FD105" i="9"/>
  <c r="EQ69" i="9"/>
  <c r="CS11" i="9"/>
  <c r="R53" i="9"/>
  <c r="S53" i="9" s="1"/>
  <c r="U53" i="9"/>
  <c r="HA53" i="9"/>
  <c r="GY53" i="9"/>
  <c r="GZ53" i="9" s="1"/>
  <c r="HB53" i="9"/>
  <c r="JJ53" i="9"/>
  <c r="JK53" i="9" s="1"/>
  <c r="JL53" i="9"/>
  <c r="JM53" i="9"/>
  <c r="CQ108" i="9"/>
  <c r="CR108" i="9" s="1"/>
  <c r="CT108" i="9"/>
  <c r="CS108" i="9"/>
  <c r="AF108" i="9"/>
  <c r="AG108" i="9" s="1"/>
  <c r="AI108" i="9"/>
  <c r="AH108" i="9"/>
  <c r="KA50" i="9"/>
  <c r="AP92" i="9"/>
  <c r="AM92" i="9"/>
  <c r="JL35" i="9"/>
  <c r="GF27" i="9"/>
  <c r="BO22" i="9"/>
  <c r="BP22" i="9" s="1"/>
  <c r="GY67" i="9"/>
  <c r="GZ67" i="9" s="1"/>
  <c r="BQ36" i="9"/>
  <c r="BH25" i="9"/>
  <c r="BI25" i="9" s="1"/>
  <c r="JT25" i="9"/>
  <c r="KG55" i="9"/>
  <c r="AO55" i="9"/>
  <c r="JL38" i="9"/>
  <c r="F32" i="9"/>
  <c r="GD85" i="9"/>
  <c r="GE85" i="9" s="1"/>
  <c r="AO14" i="9"/>
  <c r="IR14" i="9"/>
  <c r="BC14" i="9"/>
  <c r="DA97" i="9"/>
  <c r="AW97" i="9"/>
  <c r="AT97" i="9"/>
  <c r="BY37" i="9"/>
  <c r="BV37" i="9"/>
  <c r="FW68" i="9"/>
  <c r="FX68" i="9" s="1"/>
  <c r="JE68" i="9"/>
  <c r="JF68" i="9"/>
  <c r="CL51" i="9"/>
  <c r="EQ51" i="9"/>
  <c r="EP51" i="9"/>
  <c r="KG54" i="9"/>
  <c r="KS54" i="9"/>
  <c r="KT54" i="9" s="1"/>
  <c r="KU54" i="9"/>
  <c r="IR54" i="9"/>
  <c r="IQ54" i="9"/>
  <c r="FL15" i="9"/>
  <c r="DZ15" i="9"/>
  <c r="EA15" i="9" s="1"/>
  <c r="EB15" i="9"/>
  <c r="DN86" i="9"/>
  <c r="DS86" i="9"/>
  <c r="DT86" i="9" s="1"/>
  <c r="DV86" i="9"/>
  <c r="CS86" i="9"/>
  <c r="CQ86" i="9"/>
  <c r="CR86" i="9" s="1"/>
  <c r="CT86" i="9"/>
  <c r="EB44" i="9"/>
  <c r="AB44" i="9"/>
  <c r="AA44" i="9"/>
  <c r="GY79" i="9"/>
  <c r="GZ79" i="9" s="1"/>
  <c r="HA79" i="9"/>
  <c r="HB79" i="9"/>
  <c r="DE78" i="9"/>
  <c r="DF78" i="9" s="1"/>
  <c r="DG78" i="9"/>
  <c r="FS78" i="9"/>
  <c r="FR78" i="9"/>
  <c r="FR10" i="9"/>
  <c r="FS10" i="9"/>
  <c r="FP10" i="9"/>
  <c r="FQ10" i="9" s="1"/>
  <c r="DZ59" i="9"/>
  <c r="EA59" i="9" s="1"/>
  <c r="EB59" i="9"/>
  <c r="EC59" i="9"/>
  <c r="AP59" i="9"/>
  <c r="AO59" i="9"/>
  <c r="AH20" i="9"/>
  <c r="EW20" i="9"/>
  <c r="EX20" i="9"/>
  <c r="HP20" i="9"/>
  <c r="HM20" i="9"/>
  <c r="AT94" i="9"/>
  <c r="HM94" i="9"/>
  <c r="HN94" i="9" s="1"/>
  <c r="HO94" i="9"/>
  <c r="JZ94" i="9"/>
  <c r="KA94" i="9"/>
  <c r="IY26" i="9"/>
  <c r="IV26" i="9"/>
  <c r="IW26" i="9" s="1"/>
  <c r="IX26" i="9"/>
  <c r="U26" i="9"/>
  <c r="R26" i="9"/>
  <c r="S26" i="9" s="1"/>
  <c r="T26" i="9"/>
  <c r="DA21" i="9"/>
  <c r="CX21" i="9"/>
  <c r="CY21" i="9" s="1"/>
  <c r="CZ21" i="9"/>
  <c r="IR21" i="9"/>
  <c r="IQ21" i="9"/>
  <c r="IO21" i="9"/>
  <c r="IP21" i="9" s="1"/>
  <c r="AM5" i="9"/>
  <c r="AN5" i="9" s="1"/>
  <c r="IH96" i="9"/>
  <c r="IK96" i="9"/>
  <c r="DS96" i="9"/>
  <c r="DT96" i="9" s="1"/>
  <c r="HF30" i="9"/>
  <c r="HI30" i="9"/>
  <c r="CF30" i="9"/>
  <c r="CC30" i="9"/>
  <c r="CD30" i="9" s="1"/>
  <c r="CE30" i="9"/>
  <c r="CT30" i="9"/>
  <c r="CS30" i="9"/>
  <c r="CQ30" i="9"/>
  <c r="CR30" i="9" s="1"/>
  <c r="AP105" i="9"/>
  <c r="AO105" i="9"/>
  <c r="AM105" i="9"/>
  <c r="AN105" i="9" s="1"/>
  <c r="EJ105" i="9"/>
  <c r="EG105" i="9"/>
  <c r="EH105" i="9" s="1"/>
  <c r="EI105" i="9"/>
  <c r="KO106" i="9"/>
  <c r="KL106" i="9"/>
  <c r="IJ106" i="9"/>
  <c r="IK106" i="9"/>
  <c r="IH106" i="9"/>
  <c r="II106" i="9" s="1"/>
  <c r="IH82" i="9"/>
  <c r="II82" i="9" s="1"/>
  <c r="IK82" i="9"/>
  <c r="IJ82" i="9"/>
  <c r="HB82" i="9"/>
  <c r="HA82" i="9"/>
  <c r="GY82" i="9"/>
  <c r="GZ82" i="9" s="1"/>
  <c r="T53" i="9"/>
  <c r="JF36" i="9"/>
  <c r="JT55" i="9"/>
  <c r="BQ32" i="9"/>
  <c r="IC40" i="9"/>
  <c r="BC40" i="9"/>
  <c r="BD40" i="9"/>
  <c r="BV40" i="9"/>
  <c r="BW40" i="9" s="1"/>
  <c r="BX40" i="9"/>
  <c r="HB37" i="9"/>
  <c r="GY37" i="9"/>
  <c r="AF83" i="9"/>
  <c r="AI83" i="9"/>
  <c r="IY68" i="9"/>
  <c r="IV68" i="9"/>
  <c r="IW68" i="9" s="1"/>
  <c r="HO51" i="9"/>
  <c r="HM51" i="9"/>
  <c r="HN51" i="9" s="1"/>
  <c r="BR86" i="9"/>
  <c r="BO86" i="9"/>
  <c r="BP86" i="9" s="1"/>
  <c r="BQ86" i="9"/>
  <c r="BO44" i="9"/>
  <c r="BR44" i="9"/>
  <c r="AF71" i="9"/>
  <c r="AG71" i="9" s="1"/>
  <c r="AH71" i="9"/>
  <c r="CQ71" i="9"/>
  <c r="CT71" i="9"/>
  <c r="JL10" i="9"/>
  <c r="JJ10" i="9"/>
  <c r="JK10" i="9" s="1"/>
  <c r="CT100" i="9"/>
  <c r="CS100" i="9"/>
  <c r="HH100" i="9"/>
  <c r="HF100" i="9"/>
  <c r="HG100" i="9" s="1"/>
  <c r="CX104" i="9"/>
  <c r="CY104" i="9" s="1"/>
  <c r="GK26" i="9"/>
  <c r="GL26" i="9" s="1"/>
  <c r="GN26" i="9"/>
  <c r="GM26" i="9"/>
  <c r="AI26" i="9"/>
  <c r="AH26" i="9"/>
  <c r="IA21" i="9"/>
  <c r="ID21" i="9"/>
  <c r="KS21" i="9"/>
  <c r="KT21" i="9" s="1"/>
  <c r="KV21" i="9"/>
  <c r="KU21" i="9"/>
  <c r="AB21" i="9"/>
  <c r="Y21" i="9"/>
  <c r="HI105" i="9"/>
  <c r="HF105" i="9"/>
  <c r="HG105" i="9" s="1"/>
  <c r="HH105" i="9"/>
  <c r="FW105" i="9"/>
  <c r="FX105" i="9" s="1"/>
  <c r="FY105" i="9"/>
  <c r="FZ105" i="9"/>
  <c r="HI106" i="9"/>
  <c r="HH106" i="9"/>
  <c r="GU106" i="9"/>
  <c r="GT106" i="9"/>
  <c r="R90" i="9"/>
  <c r="S90" i="9" s="1"/>
  <c r="EN31" i="9"/>
  <c r="EO31" i="9" s="1"/>
  <c r="EP31" i="9"/>
  <c r="EQ31" i="9"/>
  <c r="BY31" i="9"/>
  <c r="BX31" i="9"/>
  <c r="FS55" i="9"/>
  <c r="DE4" i="9"/>
  <c r="DF4" i="9" s="1"/>
  <c r="HF97" i="9"/>
  <c r="HG97" i="9" s="1"/>
  <c r="FB97" i="9"/>
  <c r="FC97" i="9" s="1"/>
  <c r="FD97" i="9"/>
  <c r="IO40" i="9"/>
  <c r="CM83" i="9"/>
  <c r="IX68" i="9"/>
  <c r="GN68" i="9"/>
  <c r="GM68" i="9"/>
  <c r="JE51" i="9"/>
  <c r="BY51" i="9"/>
  <c r="BV51" i="9"/>
  <c r="BW51" i="9" s="1"/>
  <c r="KO54" i="9"/>
  <c r="FB15" i="9"/>
  <c r="FC15" i="9" s="1"/>
  <c r="FD15" i="9"/>
  <c r="IQ15" i="9"/>
  <c r="IO15" i="9"/>
  <c r="IP15" i="9" s="1"/>
  <c r="HT57" i="9"/>
  <c r="HU57" i="9" s="1"/>
  <c r="EJ86" i="9"/>
  <c r="JX44" i="9"/>
  <c r="KA44" i="9"/>
  <c r="GT110" i="9"/>
  <c r="U110" i="9"/>
  <c r="T110" i="9"/>
  <c r="HH78" i="9"/>
  <c r="HI78" i="9"/>
  <c r="HF78" i="9"/>
  <c r="HG78" i="9" s="1"/>
  <c r="EJ10" i="9"/>
  <c r="HA59" i="9"/>
  <c r="GY59" i="9"/>
  <c r="GZ59" i="9" s="1"/>
  <c r="AF75" i="9"/>
  <c r="AG75" i="9" s="1"/>
  <c r="AI75" i="9"/>
  <c r="AH75" i="9"/>
  <c r="DS75" i="9"/>
  <c r="DT75" i="9" s="1"/>
  <c r="DU75" i="9"/>
  <c r="DV75" i="9"/>
  <c r="HI26" i="9"/>
  <c r="HF26" i="9"/>
  <c r="HW26" i="9"/>
  <c r="HT26" i="9"/>
  <c r="HU26" i="9" s="1"/>
  <c r="HV26" i="9"/>
  <c r="JF21" i="9"/>
  <c r="JE21" i="9"/>
  <c r="JC21" i="9"/>
  <c r="JD21" i="9" s="1"/>
  <c r="EQ21" i="9"/>
  <c r="EP21" i="9"/>
  <c r="EN21" i="9"/>
  <c r="EO21" i="9" s="1"/>
  <c r="CX96" i="9"/>
  <c r="CY96" i="9" s="1"/>
  <c r="CZ96" i="9"/>
  <c r="IR30" i="9"/>
  <c r="IQ30" i="9"/>
  <c r="IO30" i="9"/>
  <c r="IP30" i="9" s="1"/>
  <c r="FS30" i="9"/>
  <c r="FP30" i="9"/>
  <c r="FQ30" i="9" s="1"/>
  <c r="FR30" i="9"/>
  <c r="Y105" i="9"/>
  <c r="Z105" i="9" s="1"/>
  <c r="AA105" i="9"/>
  <c r="ID105" i="9"/>
  <c r="IA105" i="9"/>
  <c r="IB105" i="9" s="1"/>
  <c r="IC105" i="9"/>
  <c r="GN106" i="9"/>
  <c r="GK106" i="9"/>
  <c r="GL106" i="9" s="1"/>
  <c r="GM106" i="9"/>
  <c r="HB106" i="9"/>
  <c r="HA106" i="9"/>
  <c r="GY106" i="9"/>
  <c r="GZ106" i="9" s="1"/>
  <c r="BV31" i="9"/>
  <c r="BW31" i="9" s="1"/>
  <c r="JM31" i="9"/>
  <c r="JL31" i="9"/>
  <c r="JJ31" i="9"/>
  <c r="JK31" i="9" s="1"/>
  <c r="IY31" i="9"/>
  <c r="IX31" i="9"/>
  <c r="IV31" i="9"/>
  <c r="IW31" i="9" s="1"/>
  <c r="DG53" i="9"/>
  <c r="DH53" i="9"/>
  <c r="KL53" i="9"/>
  <c r="KM53" i="9" s="1"/>
  <c r="KO53" i="9"/>
  <c r="KN53" i="9"/>
  <c r="GD53" i="9"/>
  <c r="GE53" i="9" s="1"/>
  <c r="GG53" i="9"/>
  <c r="GF53" i="9"/>
  <c r="AO12" i="9"/>
  <c r="DU73" i="9"/>
  <c r="GR88" i="9"/>
  <c r="GS88" i="9" s="1"/>
  <c r="FL42" i="9"/>
  <c r="CS42" i="9"/>
  <c r="CQ3" i="9"/>
  <c r="GG3" i="9"/>
  <c r="JZ81" i="9"/>
  <c r="EJ13" i="9"/>
  <c r="CF36" i="9"/>
  <c r="BV25" i="9"/>
  <c r="BW25" i="9" s="1"/>
  <c r="BY32" i="9"/>
  <c r="T32" i="9"/>
  <c r="BX85" i="9"/>
  <c r="KH14" i="9"/>
  <c r="HA4" i="9"/>
  <c r="FK4" i="9"/>
  <c r="AW33" i="9"/>
  <c r="M33" i="9"/>
  <c r="CQ33" i="9"/>
  <c r="CT33" i="9"/>
  <c r="BY40" i="9"/>
  <c r="CS40" i="9"/>
  <c r="HW83" i="9"/>
  <c r="BD68" i="9"/>
  <c r="BA68" i="9"/>
  <c r="BB68" i="9" s="1"/>
  <c r="BC68" i="9"/>
  <c r="BK51" i="9"/>
  <c r="AB51" i="9"/>
  <c r="CE15" i="9"/>
  <c r="CF15" i="9"/>
  <c r="KG57" i="9"/>
  <c r="DZ110" i="9"/>
  <c r="EA110" i="9" s="1"/>
  <c r="GT78" i="9"/>
  <c r="IC10" i="9"/>
  <c r="IR59" i="9"/>
  <c r="IQ59" i="9"/>
  <c r="FE59" i="9"/>
  <c r="FB59" i="9"/>
  <c r="BH59" i="9"/>
  <c r="BI59" i="9" s="1"/>
  <c r="BJ59" i="9"/>
  <c r="BK59" i="9"/>
  <c r="IQ6" i="9"/>
  <c r="HF6" i="9"/>
  <c r="HG6" i="9" s="1"/>
  <c r="HH6" i="9"/>
  <c r="HP94" i="9"/>
  <c r="JQ95" i="9"/>
  <c r="JR95" i="9" s="1"/>
  <c r="JS95" i="9"/>
  <c r="AV95" i="9"/>
  <c r="AT95" i="9"/>
  <c r="AU95" i="9" s="1"/>
  <c r="FS21" i="9"/>
  <c r="FP21" i="9"/>
  <c r="FQ21" i="9" s="1"/>
  <c r="EQ89" i="9"/>
  <c r="EP89" i="9"/>
  <c r="K89" i="9"/>
  <c r="L89" i="9" s="1"/>
  <c r="M89" i="9"/>
  <c r="N89" i="9"/>
  <c r="AH76" i="9"/>
  <c r="AF76" i="9"/>
  <c r="AG76" i="9" s="1"/>
  <c r="T76" i="9"/>
  <c r="U76" i="9"/>
  <c r="GG76" i="9"/>
  <c r="GF76" i="9"/>
  <c r="GD76" i="9"/>
  <c r="GE76" i="9" s="1"/>
  <c r="EW17" i="9"/>
  <c r="EX17" i="9"/>
  <c r="FB61" i="9"/>
  <c r="FC61" i="9" s="1"/>
  <c r="FE61" i="9"/>
  <c r="FD61" i="9"/>
  <c r="DO106" i="9"/>
  <c r="DL106" i="9"/>
  <c r="DM106" i="9" s="1"/>
  <c r="DN106" i="9"/>
  <c r="BA106" i="9"/>
  <c r="BB106" i="9" s="1"/>
  <c r="BC106" i="9"/>
  <c r="BD106" i="9"/>
  <c r="EN29" i="9"/>
  <c r="EO29" i="9" s="1"/>
  <c r="IH31" i="9"/>
  <c r="II31" i="9" s="1"/>
  <c r="EB34" i="9"/>
  <c r="DZ34" i="9"/>
  <c r="EA34" i="9" s="1"/>
  <c r="EC34" i="9"/>
  <c r="KU34" i="9"/>
  <c r="KV34" i="9"/>
  <c r="BH48" i="9"/>
  <c r="BI48" i="9" s="1"/>
  <c r="BK48" i="9"/>
  <c r="BJ48" i="9"/>
  <c r="DL44" i="9"/>
  <c r="DM44" i="9" s="1"/>
  <c r="DN44" i="9"/>
  <c r="HM79" i="9"/>
  <c r="HP79" i="9"/>
  <c r="KH78" i="9"/>
  <c r="KG78" i="9"/>
  <c r="D10" i="9"/>
  <c r="G10" i="9"/>
  <c r="HP10" i="9"/>
  <c r="HO10" i="9"/>
  <c r="HM10" i="9"/>
  <c r="HN10" i="9" s="1"/>
  <c r="K46" i="9"/>
  <c r="N46" i="9"/>
  <c r="HM46" i="9"/>
  <c r="HP46" i="9"/>
  <c r="EX59" i="9"/>
  <c r="EW59" i="9"/>
  <c r="EU59" i="9"/>
  <c r="EV59" i="9" s="1"/>
  <c r="GN59" i="9"/>
  <c r="GK59" i="9"/>
  <c r="DL20" i="9"/>
  <c r="DM20" i="9" s="1"/>
  <c r="DO20" i="9"/>
  <c r="DN20" i="9"/>
  <c r="FW20" i="9"/>
  <c r="FX20" i="9" s="1"/>
  <c r="FY20" i="9"/>
  <c r="IK6" i="9"/>
  <c r="IJ6" i="9"/>
  <c r="IH6" i="9"/>
  <c r="II6" i="9" s="1"/>
  <c r="IC94" i="9"/>
  <c r="IA94" i="9"/>
  <c r="IB94" i="9" s="1"/>
  <c r="ID94" i="9"/>
  <c r="FZ94" i="9"/>
  <c r="FW94" i="9"/>
  <c r="FX94" i="9" s="1"/>
  <c r="FY94" i="9"/>
  <c r="FL21" i="9"/>
  <c r="FI21" i="9"/>
  <c r="IV21" i="9"/>
  <c r="IW21" i="9" s="1"/>
  <c r="IX21" i="9"/>
  <c r="IY21" i="9"/>
  <c r="KL21" i="9"/>
  <c r="KM21" i="9" s="1"/>
  <c r="BJ28" i="9"/>
  <c r="BH28" i="9"/>
  <c r="BI28" i="9" s="1"/>
  <c r="BY28" i="9"/>
  <c r="BV28" i="9"/>
  <c r="EI17" i="9"/>
  <c r="EJ17" i="9"/>
  <c r="EX61" i="9"/>
  <c r="EW61" i="9"/>
  <c r="KS106" i="9"/>
  <c r="KT106" i="9" s="1"/>
  <c r="KV106" i="9"/>
  <c r="BK23" i="9"/>
  <c r="Y31" i="9"/>
  <c r="Z31" i="9" s="1"/>
  <c r="AB31" i="9"/>
  <c r="AA31" i="9"/>
  <c r="JM11" i="9"/>
  <c r="JJ11" i="9"/>
  <c r="JK11" i="9" s="1"/>
  <c r="JL11" i="9"/>
  <c r="BK11" i="9"/>
  <c r="BJ11" i="9"/>
  <c r="Y53" i="9"/>
  <c r="Z53" i="9" s="1"/>
  <c r="AA53" i="9"/>
  <c r="ID53" i="9"/>
  <c r="IA53" i="9"/>
  <c r="IB53" i="9" s="1"/>
  <c r="IC53" i="9"/>
  <c r="CZ48" i="9"/>
  <c r="IA93" i="9"/>
  <c r="IB93" i="9" s="1"/>
  <c r="IC93" i="9"/>
  <c r="ID93" i="9"/>
  <c r="DV93" i="9"/>
  <c r="DS93" i="9"/>
  <c r="DT93" i="9" s="1"/>
  <c r="DU93" i="9"/>
  <c r="GU44" i="9"/>
  <c r="GR44" i="9"/>
  <c r="GS44" i="9" s="1"/>
  <c r="GT44" i="9"/>
  <c r="CX110" i="9"/>
  <c r="CY110" i="9" s="1"/>
  <c r="CZ110" i="9"/>
  <c r="HM19" i="9"/>
  <c r="HN19" i="9" s="1"/>
  <c r="BD19" i="9"/>
  <c r="BC19" i="9"/>
  <c r="BA19" i="9"/>
  <c r="BB19" i="9" s="1"/>
  <c r="IQ10" i="9"/>
  <c r="IO10" i="9"/>
  <c r="IP10" i="9" s="1"/>
  <c r="IR10" i="9"/>
  <c r="EU10" i="9"/>
  <c r="EV10" i="9" s="1"/>
  <c r="EW10" i="9"/>
  <c r="EX10" i="9"/>
  <c r="IV59" i="9"/>
  <c r="IW59" i="9" s="1"/>
  <c r="IY59" i="9"/>
  <c r="IX59" i="9"/>
  <c r="KS20" i="9"/>
  <c r="KT20" i="9" s="1"/>
  <c r="DA20" i="9"/>
  <c r="CZ20" i="9"/>
  <c r="AB107" i="9"/>
  <c r="AA107" i="9"/>
  <c r="Y107" i="9"/>
  <c r="Z107" i="9" s="1"/>
  <c r="CC75" i="9"/>
  <c r="CD75" i="9" s="1"/>
  <c r="CE75" i="9"/>
  <c r="CF75" i="9"/>
  <c r="D75" i="9"/>
  <c r="E75" i="9" s="1"/>
  <c r="F75" i="9"/>
  <c r="G75" i="9"/>
  <c r="GD26" i="9"/>
  <c r="BY26" i="9"/>
  <c r="BX26" i="9"/>
  <c r="AM26" i="9"/>
  <c r="AP26" i="9"/>
  <c r="KO21" i="9"/>
  <c r="CM28" i="9"/>
  <c r="CL28" i="9"/>
  <c r="CJ28" i="9"/>
  <c r="CK28" i="9" s="1"/>
  <c r="HP28" i="9"/>
  <c r="HO28" i="9"/>
  <c r="AF89" i="9"/>
  <c r="AG89" i="9" s="1"/>
  <c r="AH89" i="9"/>
  <c r="DH89" i="9"/>
  <c r="DG89" i="9"/>
  <c r="DE89" i="9"/>
  <c r="DF89" i="9" s="1"/>
  <c r="DE76" i="9"/>
  <c r="DF76" i="9" s="1"/>
  <c r="DG76" i="9"/>
  <c r="G62" i="9"/>
  <c r="CQ9" i="9"/>
  <c r="CR9" i="9" s="1"/>
  <c r="CT9" i="9"/>
  <c r="CS9" i="9"/>
  <c r="FB9" i="9"/>
  <c r="FC9" i="9" s="1"/>
  <c r="FD9" i="9"/>
  <c r="F105" i="9"/>
  <c r="D105" i="9"/>
  <c r="E105" i="9" s="1"/>
  <c r="GN105" i="9"/>
  <c r="GM105" i="9"/>
  <c r="IV69" i="9"/>
  <c r="IW69" i="9" s="1"/>
  <c r="IX69" i="9"/>
  <c r="EC69" i="9"/>
  <c r="DZ69" i="9"/>
  <c r="EA69" i="9" s="1"/>
  <c r="EB69" i="9"/>
  <c r="GG69" i="9"/>
  <c r="GD69" i="9"/>
  <c r="GE69" i="9" s="1"/>
  <c r="GF69" i="9"/>
  <c r="CQ63" i="9"/>
  <c r="CR63" i="9" s="1"/>
  <c r="CS63" i="9"/>
  <c r="CT63" i="9"/>
  <c r="JT63" i="9"/>
  <c r="JS63" i="9"/>
  <c r="DZ29" i="9"/>
  <c r="EA29" i="9" s="1"/>
  <c r="EC29" i="9"/>
  <c r="EB29" i="9"/>
  <c r="HO23" i="9"/>
  <c r="HP23" i="9"/>
  <c r="HM23" i="9"/>
  <c r="HN23" i="9" s="1"/>
  <c r="BD23" i="9"/>
  <c r="BA23" i="9"/>
  <c r="BB23" i="9" s="1"/>
  <c r="BC23" i="9"/>
  <c r="KG31" i="9"/>
  <c r="GN34" i="9"/>
  <c r="GK34" i="9"/>
  <c r="FI34" i="9"/>
  <c r="FL34" i="9"/>
  <c r="HA91" i="9"/>
  <c r="AH48" i="9"/>
  <c r="AF48" i="9"/>
  <c r="AG48" i="9" s="1"/>
  <c r="HP48" i="9"/>
  <c r="HM48" i="9"/>
  <c r="HN48" i="9" s="1"/>
  <c r="HO48" i="9"/>
  <c r="CL48" i="9"/>
  <c r="CJ48" i="9"/>
  <c r="CK48" i="9" s="1"/>
  <c r="BD57" i="9"/>
  <c r="BA57" i="9"/>
  <c r="FY86" i="9"/>
  <c r="FW86" i="9"/>
  <c r="FX86" i="9" s="1"/>
  <c r="JJ79" i="9"/>
  <c r="JM79" i="9"/>
  <c r="BA79" i="9"/>
  <c r="BD79" i="9"/>
  <c r="IV71" i="9"/>
  <c r="IW71" i="9" s="1"/>
  <c r="IX71" i="9"/>
  <c r="IY71" i="9"/>
  <c r="DE19" i="9"/>
  <c r="DF19" i="9" s="1"/>
  <c r="DG19" i="9"/>
  <c r="EQ19" i="9"/>
  <c r="EN19" i="9"/>
  <c r="BK10" i="9"/>
  <c r="BH10" i="9"/>
  <c r="HB10" i="9"/>
  <c r="HA10" i="9"/>
  <c r="EI46" i="9"/>
  <c r="EG46" i="9"/>
  <c r="EH46" i="9" s="1"/>
  <c r="HT46" i="9"/>
  <c r="HU46" i="9" s="1"/>
  <c r="HV46" i="9"/>
  <c r="HW46" i="9"/>
  <c r="KH59" i="9"/>
  <c r="KE59" i="9"/>
  <c r="KF59" i="9" s="1"/>
  <c r="KG59" i="9"/>
  <c r="JQ59" i="9"/>
  <c r="JR59" i="9" s="1"/>
  <c r="KE107" i="9"/>
  <c r="KH107" i="9"/>
  <c r="CT107" i="9"/>
  <c r="CS107" i="9"/>
  <c r="KN21" i="9"/>
  <c r="KS28" i="9"/>
  <c r="KT28" i="9" s="1"/>
  <c r="EP30" i="9"/>
  <c r="R30" i="9"/>
  <c r="S30" i="9" s="1"/>
  <c r="T30" i="9"/>
  <c r="DL16" i="9"/>
  <c r="DM16" i="9" s="1"/>
  <c r="KH76" i="9"/>
  <c r="KG76" i="9"/>
  <c r="KH9" i="9"/>
  <c r="KE9" i="9"/>
  <c r="BO9" i="9"/>
  <c r="BP9" i="9" s="1"/>
  <c r="BR9" i="9"/>
  <c r="BQ9" i="9"/>
  <c r="ID17" i="9"/>
  <c r="IA17" i="9"/>
  <c r="BK17" i="9"/>
  <c r="BJ17" i="9"/>
  <c r="BY105" i="9"/>
  <c r="BX105" i="9"/>
  <c r="T69" i="9"/>
  <c r="U69" i="9"/>
  <c r="R69" i="9"/>
  <c r="S69" i="9" s="1"/>
  <c r="BC69" i="9"/>
  <c r="BD69" i="9"/>
  <c r="DE69" i="9"/>
  <c r="DF69" i="9" s="1"/>
  <c r="DH69" i="9"/>
  <c r="DG69" i="9"/>
  <c r="KU106" i="9"/>
  <c r="DO90" i="9"/>
  <c r="DL90" i="9"/>
  <c r="DM90" i="9" s="1"/>
  <c r="DN90" i="9"/>
  <c r="CX90" i="9"/>
  <c r="CY90" i="9" s="1"/>
  <c r="CZ90" i="9"/>
  <c r="JX63" i="9"/>
  <c r="JY63" i="9" s="1"/>
  <c r="JZ63" i="9"/>
  <c r="KA63" i="9"/>
  <c r="AT63" i="9"/>
  <c r="AU63" i="9" s="1"/>
  <c r="AW63" i="9"/>
  <c r="AV63" i="9"/>
  <c r="FD23" i="9"/>
  <c r="FB23" i="9"/>
  <c r="FC23" i="9" s="1"/>
  <c r="FE23" i="9"/>
  <c r="D23" i="9"/>
  <c r="G23" i="9"/>
  <c r="BV34" i="9"/>
  <c r="BW34" i="9" s="1"/>
  <c r="BX34" i="9"/>
  <c r="CC34" i="9"/>
  <c r="CD34" i="9" s="1"/>
  <c r="CE34" i="9"/>
  <c r="CF34" i="9"/>
  <c r="DE91" i="9"/>
  <c r="DF91" i="9" s="1"/>
  <c r="DH91" i="9"/>
  <c r="DG91" i="9"/>
  <c r="EG91" i="9"/>
  <c r="EH91" i="9" s="1"/>
  <c r="EJ91" i="9"/>
  <c r="EI91" i="9"/>
  <c r="FI91" i="9"/>
  <c r="FJ91" i="9" s="1"/>
  <c r="FK91" i="9"/>
  <c r="DE48" i="9"/>
  <c r="DF48" i="9" s="1"/>
  <c r="DH48" i="9"/>
  <c r="DG48" i="9"/>
  <c r="EB48" i="9"/>
  <c r="DZ48" i="9"/>
  <c r="EA48" i="9" s="1"/>
  <c r="BD48" i="9"/>
  <c r="BC48" i="9"/>
  <c r="FZ71" i="9"/>
  <c r="FY71" i="9"/>
  <c r="GU10" i="9"/>
  <c r="GT10" i="9"/>
  <c r="KV46" i="9"/>
  <c r="KS46" i="9"/>
  <c r="KT46" i="9" s="1"/>
  <c r="KA95" i="9"/>
  <c r="JZ95" i="9"/>
  <c r="JZ107" i="9"/>
  <c r="JX107" i="9"/>
  <c r="JY107" i="9" s="1"/>
  <c r="BH107" i="9"/>
  <c r="BK107" i="9"/>
  <c r="KU75" i="9"/>
  <c r="KS75" i="9"/>
  <c r="KT75" i="9" s="1"/>
  <c r="R75" i="9"/>
  <c r="S75" i="9" s="1"/>
  <c r="T75" i="9"/>
  <c r="EC77" i="9"/>
  <c r="EB77" i="9"/>
  <c r="DZ77" i="9"/>
  <c r="EA77" i="9" s="1"/>
  <c r="JX77" i="9"/>
  <c r="JY77" i="9" s="1"/>
  <c r="JZ77" i="9"/>
  <c r="GT26" i="9"/>
  <c r="GU26" i="9"/>
  <c r="CS28" i="9"/>
  <c r="CT28" i="9"/>
  <c r="CQ28" i="9"/>
  <c r="CR28" i="9" s="1"/>
  <c r="FB28" i="9"/>
  <c r="FC28" i="9" s="1"/>
  <c r="FD28" i="9"/>
  <c r="HT28" i="9"/>
  <c r="HU28" i="9" s="1"/>
  <c r="HV28" i="9"/>
  <c r="HW28" i="9"/>
  <c r="DS89" i="9"/>
  <c r="DT89" i="9" s="1"/>
  <c r="DV89" i="9"/>
  <c r="FY89" i="9"/>
  <c r="FW89" i="9"/>
  <c r="FX89" i="9" s="1"/>
  <c r="KV30" i="9"/>
  <c r="KU30" i="9"/>
  <c r="KS30" i="9"/>
  <c r="KT30" i="9" s="1"/>
  <c r="FD16" i="9"/>
  <c r="FP76" i="9"/>
  <c r="FQ76" i="9" s="1"/>
  <c r="FS76" i="9"/>
  <c r="FR76" i="9"/>
  <c r="HI76" i="9"/>
  <c r="HH76" i="9"/>
  <c r="HF76" i="9"/>
  <c r="HG76" i="9" s="1"/>
  <c r="JF62" i="9"/>
  <c r="JE62" i="9"/>
  <c r="JC62" i="9"/>
  <c r="JD62" i="9" s="1"/>
  <c r="GY62" i="9"/>
  <c r="GZ62" i="9" s="1"/>
  <c r="HA62" i="9"/>
  <c r="HB62" i="9"/>
  <c r="AV9" i="9"/>
  <c r="AW9" i="9"/>
  <c r="DA9" i="9"/>
  <c r="CZ9" i="9"/>
  <c r="CX9" i="9"/>
  <c r="CY9" i="9" s="1"/>
  <c r="JM105" i="9"/>
  <c r="JJ105" i="9"/>
  <c r="JK105" i="9" s="1"/>
  <c r="JL105" i="9"/>
  <c r="R105" i="9"/>
  <c r="S105" i="9" s="1"/>
  <c r="BY69" i="9"/>
  <c r="BX69" i="9"/>
  <c r="CC69" i="9"/>
  <c r="CD69" i="9" s="1"/>
  <c r="CE69" i="9"/>
  <c r="KG90" i="9"/>
  <c r="KE90" i="9"/>
  <c r="KF90" i="9" s="1"/>
  <c r="KH90" i="9"/>
  <c r="FZ90" i="9"/>
  <c r="FW90" i="9"/>
  <c r="FX90" i="9" s="1"/>
  <c r="FY90" i="9"/>
  <c r="EP23" i="9"/>
  <c r="EN23" i="9"/>
  <c r="EO23" i="9" s="1"/>
  <c r="EQ23" i="9"/>
  <c r="JS23" i="9"/>
  <c r="JT23" i="9"/>
  <c r="EI65" i="9"/>
  <c r="EJ65" i="9"/>
  <c r="AB91" i="9"/>
  <c r="AA91" i="9"/>
  <c r="BC91" i="9"/>
  <c r="BA91" i="9"/>
  <c r="BB91" i="9" s="1"/>
  <c r="BD91" i="9"/>
  <c r="DV91" i="9"/>
  <c r="DS91" i="9"/>
  <c r="DT91" i="9" s="1"/>
  <c r="DU91" i="9"/>
  <c r="BV48" i="9"/>
  <c r="BW48" i="9" s="1"/>
  <c r="BX48" i="9"/>
  <c r="BY48" i="9"/>
  <c r="EQ48" i="9"/>
  <c r="EP48" i="9"/>
  <c r="EN48" i="9"/>
  <c r="EO48" i="9" s="1"/>
  <c r="KU48" i="9"/>
  <c r="KS48" i="9"/>
  <c r="KT48" i="9" s="1"/>
  <c r="JX41" i="9"/>
  <c r="JY41" i="9" s="1"/>
  <c r="JZ41" i="9"/>
  <c r="JM41" i="9"/>
  <c r="JJ41" i="9"/>
  <c r="DN16" i="9"/>
  <c r="FW16" i="9"/>
  <c r="FX16" i="9" s="1"/>
  <c r="FZ16" i="9"/>
  <c r="FY16" i="9"/>
  <c r="FL16" i="9"/>
  <c r="FI16" i="9"/>
  <c r="AT76" i="9"/>
  <c r="AU76" i="9" s="1"/>
  <c r="AV76" i="9"/>
  <c r="BR76" i="9"/>
  <c r="BQ76" i="9"/>
  <c r="BO76" i="9"/>
  <c r="BP76" i="9" s="1"/>
  <c r="JM9" i="9"/>
  <c r="JL9" i="9"/>
  <c r="KS9" i="9"/>
  <c r="KT9" i="9" s="1"/>
  <c r="KV9" i="9"/>
  <c r="JQ105" i="9"/>
  <c r="JR105" i="9" s="1"/>
  <c r="JT105" i="9"/>
  <c r="AF105" i="9"/>
  <c r="AI105" i="9"/>
  <c r="CS69" i="9"/>
  <c r="CQ69" i="9"/>
  <c r="CR69" i="9" s="1"/>
  <c r="CT69" i="9"/>
  <c r="DA69" i="9"/>
  <c r="CX69" i="9"/>
  <c r="BV90" i="9"/>
  <c r="BW90" i="9" s="1"/>
  <c r="BX90" i="9"/>
  <c r="FL90" i="9"/>
  <c r="FK90" i="9"/>
  <c r="FI90" i="9"/>
  <c r="FJ90" i="9" s="1"/>
  <c r="FS29" i="9"/>
  <c r="FP29" i="9"/>
  <c r="FQ29" i="9" s="1"/>
  <c r="AP29" i="9"/>
  <c r="AM29" i="9"/>
  <c r="AN29" i="9" s="1"/>
  <c r="AO29" i="9"/>
  <c r="K23" i="9"/>
  <c r="L23" i="9" s="1"/>
  <c r="M23" i="9"/>
  <c r="EJ23" i="9"/>
  <c r="EI23" i="9"/>
  <c r="EG23" i="9"/>
  <c r="EH23" i="9" s="1"/>
  <c r="KS91" i="9"/>
  <c r="KT91" i="9" s="1"/>
  <c r="KV91" i="9"/>
  <c r="KH91" i="9"/>
  <c r="KE91" i="9"/>
  <c r="KF91" i="9" s="1"/>
  <c r="KG91" i="9"/>
  <c r="D41" i="9"/>
  <c r="E41" i="9" s="1"/>
  <c r="F41" i="9"/>
  <c r="G41" i="9"/>
  <c r="T41" i="9"/>
  <c r="R41" i="9"/>
  <c r="S41" i="9" s="1"/>
  <c r="JT41" i="9"/>
  <c r="JQ41" i="9"/>
  <c r="JR41" i="9" s="1"/>
  <c r="JS41" i="9"/>
  <c r="CC16" i="9"/>
  <c r="CF16" i="9"/>
  <c r="AM76" i="9"/>
  <c r="AN76" i="9" s="1"/>
  <c r="AP76" i="9"/>
  <c r="AO76" i="9"/>
  <c r="EN76" i="9"/>
  <c r="EO76" i="9" s="1"/>
  <c r="EP76" i="9"/>
  <c r="EQ76" i="9"/>
  <c r="JZ9" i="9"/>
  <c r="KA9" i="9"/>
  <c r="JX9" i="9"/>
  <c r="JY9" i="9" s="1"/>
  <c r="FY9" i="9"/>
  <c r="FW9" i="9"/>
  <c r="FX9" i="9" s="1"/>
  <c r="FZ9" i="9"/>
  <c r="AB9" i="9"/>
  <c r="AA9" i="9"/>
  <c r="Y9" i="9"/>
  <c r="Z9" i="9" s="1"/>
  <c r="JE105" i="9"/>
  <c r="JF105" i="9"/>
  <c r="KS105" i="9"/>
  <c r="KT105" i="9" s="1"/>
  <c r="KV105" i="9"/>
  <c r="M90" i="9"/>
  <c r="K90" i="9"/>
  <c r="L90" i="9" s="1"/>
  <c r="N90" i="9"/>
  <c r="GR74" i="9"/>
  <c r="GS74" i="9" s="1"/>
  <c r="GT74" i="9"/>
  <c r="HW74" i="9"/>
  <c r="HV74" i="9"/>
  <c r="FR29" i="9"/>
  <c r="GT29" i="9"/>
  <c r="GU29" i="9"/>
  <c r="GR29" i="9"/>
  <c r="GS29" i="9" s="1"/>
  <c r="F29" i="9"/>
  <c r="G29" i="9"/>
  <c r="KE82" i="9"/>
  <c r="KH82" i="9"/>
  <c r="CQ82" i="9"/>
  <c r="CR82" i="9" s="1"/>
  <c r="CT82" i="9"/>
  <c r="CS82" i="9"/>
  <c r="AV23" i="9"/>
  <c r="AT23" i="9"/>
  <c r="AU23" i="9" s="1"/>
  <c r="AW23" i="9"/>
  <c r="DN23" i="9"/>
  <c r="DO23" i="9"/>
  <c r="DL23" i="9"/>
  <c r="DM23" i="9" s="1"/>
  <c r="BX91" i="9"/>
  <c r="BY91" i="9"/>
  <c r="BV91" i="9"/>
  <c r="BW91" i="9" s="1"/>
  <c r="BR53" i="9"/>
  <c r="BO53" i="9"/>
  <c r="BP53" i="9" s="1"/>
  <c r="BQ53" i="9"/>
  <c r="FZ53" i="9"/>
  <c r="FW53" i="9"/>
  <c r="FX53" i="9" s="1"/>
  <c r="FY53" i="9"/>
  <c r="KA41" i="9"/>
  <c r="DH41" i="9"/>
  <c r="DG41" i="9"/>
  <c r="DE41" i="9"/>
  <c r="DF41" i="9" s="1"/>
  <c r="IY41" i="9"/>
  <c r="IX41" i="9"/>
  <c r="DA89" i="9"/>
  <c r="CX89" i="9"/>
  <c r="CY89" i="9" s="1"/>
  <c r="CZ89" i="9"/>
  <c r="IX89" i="9"/>
  <c r="IY89" i="9"/>
  <c r="IA96" i="9"/>
  <c r="ID96" i="9"/>
  <c r="BY96" i="9"/>
  <c r="BV96" i="9"/>
  <c r="BW96" i="9" s="1"/>
  <c r="BX96" i="9"/>
  <c r="BR30" i="9"/>
  <c r="BO30" i="9"/>
  <c r="BP30" i="9" s="1"/>
  <c r="BQ30" i="9"/>
  <c r="HB9" i="9"/>
  <c r="GY9" i="9"/>
  <c r="GZ9" i="9" s="1"/>
  <c r="HA9" i="9"/>
  <c r="HV9" i="9"/>
  <c r="HW9" i="9"/>
  <c r="DO17" i="9"/>
  <c r="DL17" i="9"/>
  <c r="HW17" i="9"/>
  <c r="HT17" i="9"/>
  <c r="HU17" i="9" s="1"/>
  <c r="HV17" i="9"/>
  <c r="JS105" i="9"/>
  <c r="Y69" i="9"/>
  <c r="Z69" i="9" s="1"/>
  <c r="AA69" i="9"/>
  <c r="FB90" i="9"/>
  <c r="FC90" i="9" s="1"/>
  <c r="GR90" i="9"/>
  <c r="GS90" i="9" s="1"/>
  <c r="GU90" i="9"/>
  <c r="GT90" i="9"/>
  <c r="HI80" i="9"/>
  <c r="HF80" i="9"/>
  <c r="HG80" i="9" s="1"/>
  <c r="HH80" i="9"/>
  <c r="HP80" i="9"/>
  <c r="HM80" i="9"/>
  <c r="HN80" i="9" s="1"/>
  <c r="HO80" i="9"/>
  <c r="CC80" i="9"/>
  <c r="CD80" i="9" s="1"/>
  <c r="CF80" i="9"/>
  <c r="CE80" i="9"/>
  <c r="BY74" i="9"/>
  <c r="BV74" i="9"/>
  <c r="BW74" i="9" s="1"/>
  <c r="BX74" i="9"/>
  <c r="JF74" i="9"/>
  <c r="JE74" i="9"/>
  <c r="JC74" i="9"/>
  <c r="JD74" i="9" s="1"/>
  <c r="CX91" i="9"/>
  <c r="CY91" i="9" s="1"/>
  <c r="DA91" i="9"/>
  <c r="CZ91" i="9"/>
  <c r="BH91" i="9"/>
  <c r="BI91" i="9" s="1"/>
  <c r="BK91" i="9"/>
  <c r="BJ91" i="9"/>
  <c r="DN48" i="9"/>
  <c r="DO48" i="9"/>
  <c r="DL48" i="9"/>
  <c r="DM48" i="9" s="1"/>
  <c r="R48" i="9"/>
  <c r="S48" i="9" s="1"/>
  <c r="U48" i="9"/>
  <c r="T48" i="9"/>
  <c r="GN41" i="9"/>
  <c r="GK41" i="9"/>
  <c r="GL41" i="9" s="1"/>
  <c r="GM41" i="9"/>
  <c r="FZ41" i="9"/>
  <c r="FW41" i="9"/>
  <c r="BQ41" i="9"/>
  <c r="BO41" i="9"/>
  <c r="BP41" i="9" s="1"/>
  <c r="BR41" i="9"/>
  <c r="G30" i="9"/>
  <c r="D30" i="9"/>
  <c r="M76" i="9"/>
  <c r="N76" i="9"/>
  <c r="KA76" i="9"/>
  <c r="JZ76" i="9"/>
  <c r="JT62" i="9"/>
  <c r="JQ62" i="9"/>
  <c r="CL9" i="9"/>
  <c r="CM9" i="9"/>
  <c r="CJ9" i="9"/>
  <c r="CK9" i="9" s="1"/>
  <c r="BJ9" i="9"/>
  <c r="BK9" i="9"/>
  <c r="BR69" i="9"/>
  <c r="BO69" i="9"/>
  <c r="BP69" i="9" s="1"/>
  <c r="BQ69" i="9"/>
  <c r="IO90" i="9"/>
  <c r="IP90" i="9" s="1"/>
  <c r="IR90" i="9"/>
  <c r="IQ90" i="9"/>
  <c r="JZ74" i="9"/>
  <c r="JX74" i="9"/>
  <c r="JY74" i="9" s="1"/>
  <c r="KA74" i="9"/>
  <c r="GY74" i="9"/>
  <c r="HB74" i="9"/>
  <c r="EX58" i="9"/>
  <c r="EU58" i="9"/>
  <c r="EV58" i="9" s="1"/>
  <c r="EW58" i="9"/>
  <c r="CC58" i="9"/>
  <c r="CD58" i="9" s="1"/>
  <c r="CE58" i="9"/>
  <c r="CF58" i="9"/>
  <c r="HF66" i="9"/>
  <c r="HI66" i="9"/>
  <c r="BJ66" i="9"/>
  <c r="BH66" i="9"/>
  <c r="BI66" i="9" s="1"/>
  <c r="CQ66" i="9"/>
  <c r="CR66" i="9" s="1"/>
  <c r="CS66" i="9"/>
  <c r="CT66" i="9"/>
  <c r="CC91" i="9"/>
  <c r="CD91" i="9" s="1"/>
  <c r="CF91" i="9"/>
  <c r="CE91" i="9"/>
  <c r="DO91" i="9"/>
  <c r="DN91" i="9"/>
  <c r="JX48" i="9"/>
  <c r="JY48" i="9" s="1"/>
  <c r="KA48" i="9"/>
  <c r="JZ48" i="9"/>
  <c r="U41" i="9"/>
  <c r="DS41" i="9"/>
  <c r="DT41" i="9" s="1"/>
  <c r="DV41" i="9"/>
  <c r="Y41" i="9"/>
  <c r="Z41" i="9" s="1"/>
  <c r="AA41" i="9"/>
  <c r="AB41" i="9"/>
  <c r="GK15" i="9"/>
  <c r="GL15" i="9" s="1"/>
  <c r="GM15" i="9"/>
  <c r="FL57" i="9"/>
  <c r="FK57" i="9"/>
  <c r="AT86" i="9"/>
  <c r="AU86" i="9" s="1"/>
  <c r="GT79" i="9"/>
  <c r="IA78" i="9"/>
  <c r="IB78" i="9" s="1"/>
  <c r="ID78" i="9"/>
  <c r="IC78" i="9"/>
  <c r="CM71" i="9"/>
  <c r="CL71" i="9"/>
  <c r="BJ19" i="9"/>
  <c r="BK19" i="9"/>
  <c r="FZ20" i="9"/>
  <c r="FI20" i="9"/>
  <c r="FL20" i="9"/>
  <c r="D20" i="9"/>
  <c r="E20" i="9" s="1"/>
  <c r="F20" i="9"/>
  <c r="BH6" i="9"/>
  <c r="BI6" i="9" s="1"/>
  <c r="JF6" i="9"/>
  <c r="JC6" i="9"/>
  <c r="JD6" i="9" s="1"/>
  <c r="GU100" i="9"/>
  <c r="GR100" i="9"/>
  <c r="GS100" i="9" s="1"/>
  <c r="GT100" i="9"/>
  <c r="D100" i="9"/>
  <c r="E100" i="9" s="1"/>
  <c r="F100" i="9"/>
  <c r="FI94" i="9"/>
  <c r="FJ94" i="9" s="1"/>
  <c r="KG94" i="9"/>
  <c r="KE94" i="9"/>
  <c r="KF94" i="9" s="1"/>
  <c r="DH95" i="9"/>
  <c r="DE95" i="9"/>
  <c r="DF95" i="9" s="1"/>
  <c r="DG95" i="9"/>
  <c r="KA107" i="9"/>
  <c r="KA75" i="9"/>
  <c r="JX75" i="9"/>
  <c r="JY75" i="9" s="1"/>
  <c r="JZ75" i="9"/>
  <c r="BK75" i="9"/>
  <c r="BH75" i="9"/>
  <c r="BI75" i="9" s="1"/>
  <c r="BJ75" i="9"/>
  <c r="EU75" i="9"/>
  <c r="EX75" i="9"/>
  <c r="AW77" i="9"/>
  <c r="AV77" i="9"/>
  <c r="AT77" i="9"/>
  <c r="AU77" i="9" s="1"/>
  <c r="GG26" i="9"/>
  <c r="HP21" i="9"/>
  <c r="HM21" i="9"/>
  <c r="EW21" i="9"/>
  <c r="EX21" i="9"/>
  <c r="EU21" i="9"/>
  <c r="EV21" i="9" s="1"/>
  <c r="HM28" i="9"/>
  <c r="HN28" i="9" s="1"/>
  <c r="Y28" i="9"/>
  <c r="Z28" i="9" s="1"/>
  <c r="AB28" i="9"/>
  <c r="AA28" i="9"/>
  <c r="BD28" i="9"/>
  <c r="BA28" i="9"/>
  <c r="BB28" i="9" s="1"/>
  <c r="IC89" i="9"/>
  <c r="JX89" i="9"/>
  <c r="JY89" i="9" s="1"/>
  <c r="JZ89" i="9"/>
  <c r="GG89" i="9"/>
  <c r="GF89" i="9"/>
  <c r="GD89" i="9"/>
  <c r="GE89" i="9" s="1"/>
  <c r="IA30" i="9"/>
  <c r="ID30" i="9"/>
  <c r="JF16" i="9"/>
  <c r="JE16" i="9"/>
  <c r="CS16" i="9"/>
  <c r="CT16" i="9"/>
  <c r="CQ16" i="9"/>
  <c r="CR16" i="9" s="1"/>
  <c r="CE76" i="9"/>
  <c r="HW76" i="9"/>
  <c r="HT76" i="9"/>
  <c r="HU76" i="9" s="1"/>
  <c r="HV76" i="9"/>
  <c r="EI62" i="9"/>
  <c r="EJ62" i="9"/>
  <c r="KU62" i="9"/>
  <c r="KS62" i="9"/>
  <c r="KT62" i="9" s="1"/>
  <c r="EN9" i="9"/>
  <c r="EO9" i="9" s="1"/>
  <c r="EQ9" i="9"/>
  <c r="EP9" i="9"/>
  <c r="KN9" i="9"/>
  <c r="KL9" i="9"/>
  <c r="KM9" i="9" s="1"/>
  <c r="KO9" i="9"/>
  <c r="JX17" i="9"/>
  <c r="FY61" i="9"/>
  <c r="FZ61" i="9"/>
  <c r="FW61" i="9"/>
  <c r="FX61" i="9" s="1"/>
  <c r="CQ61" i="9"/>
  <c r="CR61" i="9" s="1"/>
  <c r="CS61" i="9"/>
  <c r="JC105" i="9"/>
  <c r="JD105" i="9" s="1"/>
  <c r="AH69" i="9"/>
  <c r="G69" i="9"/>
  <c r="EG90" i="9"/>
  <c r="EH90" i="9" s="1"/>
  <c r="D90" i="9"/>
  <c r="E90" i="9" s="1"/>
  <c r="G90" i="9"/>
  <c r="F90" i="9"/>
  <c r="HT90" i="9"/>
  <c r="HU90" i="9" s="1"/>
  <c r="HV90" i="9"/>
  <c r="HW90" i="9"/>
  <c r="EG74" i="9"/>
  <c r="EH74" i="9" s="1"/>
  <c r="EI74" i="9"/>
  <c r="DH74" i="9"/>
  <c r="DE74" i="9"/>
  <c r="DF74" i="9" s="1"/>
  <c r="IK66" i="9"/>
  <c r="IJ66" i="9"/>
  <c r="IH66" i="9"/>
  <c r="II66" i="9" s="1"/>
  <c r="K66" i="9"/>
  <c r="L66" i="9" s="1"/>
  <c r="M66" i="9"/>
  <c r="N66" i="9"/>
  <c r="HA11" i="9"/>
  <c r="HB11" i="9"/>
  <c r="EG65" i="9"/>
  <c r="EH65" i="9" s="1"/>
  <c r="KU91" i="9"/>
  <c r="JE91" i="9"/>
  <c r="JF91" i="9"/>
  <c r="IH91" i="9"/>
  <c r="II91" i="9" s="1"/>
  <c r="IK91" i="9"/>
  <c r="IJ91" i="9"/>
  <c r="CM48" i="9"/>
  <c r="CC94" i="9"/>
  <c r="CF94" i="9"/>
  <c r="HH104" i="9"/>
  <c r="HF104" i="9"/>
  <c r="HG104" i="9" s="1"/>
  <c r="EJ75" i="9"/>
  <c r="EI75" i="9"/>
  <c r="M75" i="9"/>
  <c r="N75" i="9"/>
  <c r="BK21" i="9"/>
  <c r="BH21" i="9"/>
  <c r="EN28" i="9"/>
  <c r="EO28" i="9" s="1"/>
  <c r="EP28" i="9"/>
  <c r="DO5" i="9"/>
  <c r="DL5" i="9"/>
  <c r="DM5" i="9" s="1"/>
  <c r="DN5" i="9"/>
  <c r="JQ89" i="9"/>
  <c r="JC96" i="9"/>
  <c r="JD96" i="9" s="1"/>
  <c r="FS16" i="9"/>
  <c r="CC62" i="9"/>
  <c r="CD62" i="9" s="1"/>
  <c r="CE62" i="9"/>
  <c r="CL62" i="9"/>
  <c r="CM62" i="9"/>
  <c r="CM17" i="9"/>
  <c r="CJ17" i="9"/>
  <c r="CK17" i="9" s="1"/>
  <c r="CZ105" i="9"/>
  <c r="CX105" i="9"/>
  <c r="CY105" i="9" s="1"/>
  <c r="EQ105" i="9"/>
  <c r="EN105" i="9"/>
  <c r="KS69" i="9"/>
  <c r="KT69" i="9" s="1"/>
  <c r="KV69" i="9"/>
  <c r="FP69" i="9"/>
  <c r="FQ69" i="9" s="1"/>
  <c r="FS69" i="9"/>
  <c r="AP106" i="9"/>
  <c r="AO106" i="9"/>
  <c r="GG106" i="9"/>
  <c r="GD106" i="9"/>
  <c r="GE106" i="9" s="1"/>
  <c r="GF106" i="9"/>
  <c r="CF90" i="9"/>
  <c r="CC90" i="9"/>
  <c r="CD90" i="9" s="1"/>
  <c r="CE90" i="9"/>
  <c r="HH90" i="9"/>
  <c r="HI90" i="9"/>
  <c r="HF90" i="9"/>
  <c r="HG90" i="9" s="1"/>
  <c r="KS80" i="9"/>
  <c r="KT80" i="9" s="1"/>
  <c r="KU80" i="9"/>
  <c r="GK80" i="9"/>
  <c r="GL80" i="9" s="1"/>
  <c r="GN80" i="9"/>
  <c r="GM80" i="9"/>
  <c r="KO23" i="9"/>
  <c r="KL23" i="9"/>
  <c r="KM23" i="9" s="1"/>
  <c r="KN23" i="9"/>
  <c r="DH23" i="9"/>
  <c r="DG23" i="9"/>
  <c r="CX66" i="9"/>
  <c r="DA66" i="9"/>
  <c r="GY66" i="9"/>
  <c r="GZ66" i="9" s="1"/>
  <c r="HB66" i="9"/>
  <c r="HA66" i="9"/>
  <c r="FE34" i="9"/>
  <c r="FB34" i="9"/>
  <c r="FC34" i="9" s="1"/>
  <c r="BV43" i="9"/>
  <c r="BW43" i="9" s="1"/>
  <c r="BY43" i="9"/>
  <c r="BX43" i="9"/>
  <c r="CT41" i="9"/>
  <c r="CS41" i="9"/>
  <c r="CQ41" i="9"/>
  <c r="CR41" i="9" s="1"/>
  <c r="FL93" i="9"/>
  <c r="FI93" i="9"/>
  <c r="GD51" i="9"/>
  <c r="GE51" i="9" s="1"/>
  <c r="GG51" i="9"/>
  <c r="JT79" i="9"/>
  <c r="BV79" i="9"/>
  <c r="BW79" i="9" s="1"/>
  <c r="AW79" i="9"/>
  <c r="AV79" i="9"/>
  <c r="U78" i="9"/>
  <c r="R78" i="9"/>
  <c r="KE71" i="9"/>
  <c r="KF71" i="9" s="1"/>
  <c r="CJ46" i="9"/>
  <c r="CM46" i="9"/>
  <c r="DG59" i="9"/>
  <c r="JJ94" i="9"/>
  <c r="JM94" i="9"/>
  <c r="DH94" i="9"/>
  <c r="DG94" i="9"/>
  <c r="JS107" i="9"/>
  <c r="JT107" i="9"/>
  <c r="HW104" i="9"/>
  <c r="HV104" i="9"/>
  <c r="HT104" i="9"/>
  <c r="HU104" i="9" s="1"/>
  <c r="DO104" i="9"/>
  <c r="DN104" i="9"/>
  <c r="BO5" i="9"/>
  <c r="BR89" i="9"/>
  <c r="BQ89" i="9"/>
  <c r="R96" i="9"/>
  <c r="S96" i="9" s="1"/>
  <c r="KA96" i="9"/>
  <c r="JM96" i="9"/>
  <c r="JL96" i="9"/>
  <c r="AB76" i="9"/>
  <c r="FL62" i="9"/>
  <c r="FK62" i="9"/>
  <c r="BX106" i="9"/>
  <c r="BY106" i="9"/>
  <c r="BV106" i="9"/>
  <c r="BW106" i="9" s="1"/>
  <c r="G106" i="9"/>
  <c r="D106" i="9"/>
  <c r="E106" i="9" s="1"/>
  <c r="EQ80" i="9"/>
  <c r="EN80" i="9"/>
  <c r="IY82" i="9"/>
  <c r="DE82" i="9"/>
  <c r="DF82" i="9" s="1"/>
  <c r="DG82" i="9"/>
  <c r="DH82" i="9"/>
  <c r="GR82" i="9"/>
  <c r="GS82" i="9" s="1"/>
  <c r="GT82" i="9"/>
  <c r="BD82" i="9"/>
  <c r="BC82" i="9"/>
  <c r="R23" i="9"/>
  <c r="S23" i="9" s="1"/>
  <c r="U23" i="9"/>
  <c r="T23" i="9"/>
  <c r="BV23" i="9"/>
  <c r="BW23" i="9" s="1"/>
  <c r="BY23" i="9"/>
  <c r="EC58" i="9"/>
  <c r="DZ58" i="9"/>
  <c r="EA58" i="9" s="1"/>
  <c r="EB58" i="9"/>
  <c r="CX58" i="9"/>
  <c r="CY58" i="9" s="1"/>
  <c r="CZ58" i="9"/>
  <c r="GF34" i="9"/>
  <c r="CM34" i="9"/>
  <c r="CL34" i="9"/>
  <c r="K34" i="9"/>
  <c r="L34" i="9" s="1"/>
  <c r="N34" i="9"/>
  <c r="M34" i="9"/>
  <c r="CS91" i="9"/>
  <c r="CQ91" i="9"/>
  <c r="CR91" i="9" s="1"/>
  <c r="ID108" i="9"/>
  <c r="IA108" i="9"/>
  <c r="DV108" i="9"/>
  <c r="DU108" i="9"/>
  <c r="DS108" i="9"/>
  <c r="DT108" i="9" s="1"/>
  <c r="GU43" i="9"/>
  <c r="GT43" i="9"/>
  <c r="KS41" i="9"/>
  <c r="KT41" i="9" s="1"/>
  <c r="KH93" i="9"/>
  <c r="BR93" i="9"/>
  <c r="BQ93" i="9"/>
  <c r="BV93" i="9"/>
  <c r="BW93" i="9" s="1"/>
  <c r="BX93" i="9"/>
  <c r="DA46" i="9"/>
  <c r="CZ46" i="9"/>
  <c r="CX46" i="9"/>
  <c r="CY46" i="9" s="1"/>
  <c r="HF94" i="9"/>
  <c r="HI94" i="9"/>
  <c r="K94" i="9"/>
  <c r="L94" i="9" s="1"/>
  <c r="M94" i="9"/>
  <c r="DL95" i="9"/>
  <c r="DM95" i="9" s="1"/>
  <c r="AH95" i="9"/>
  <c r="KL107" i="9"/>
  <c r="KM107" i="9" s="1"/>
  <c r="AW104" i="9"/>
  <c r="AV104" i="9"/>
  <c r="DA26" i="9"/>
  <c r="CZ26" i="9"/>
  <c r="KV26" i="9"/>
  <c r="KS26" i="9"/>
  <c r="KT26" i="9" s="1"/>
  <c r="CM5" i="9"/>
  <c r="CJ5" i="9"/>
  <c r="BJ89" i="9"/>
  <c r="BD89" i="9"/>
  <c r="FL30" i="9"/>
  <c r="FK30" i="9"/>
  <c r="JF76" i="9"/>
  <c r="DZ62" i="9"/>
  <c r="EA62" i="9" s="1"/>
  <c r="GN17" i="9"/>
  <c r="GK17" i="9"/>
  <c r="BQ61" i="9"/>
  <c r="BO61" i="9"/>
  <c r="BP61" i="9" s="1"/>
  <c r="HM61" i="9"/>
  <c r="HN61" i="9" s="1"/>
  <c r="HO61" i="9"/>
  <c r="HP61" i="9"/>
  <c r="GR69" i="9"/>
  <c r="GS69" i="9" s="1"/>
  <c r="FI80" i="9"/>
  <c r="FJ80" i="9" s="1"/>
  <c r="FL80" i="9"/>
  <c r="FK80" i="9"/>
  <c r="K80" i="9"/>
  <c r="L80" i="9" s="1"/>
  <c r="M80" i="9"/>
  <c r="FB74" i="9"/>
  <c r="FC74" i="9" s="1"/>
  <c r="FE74" i="9"/>
  <c r="EX74" i="9"/>
  <c r="EU74" i="9"/>
  <c r="ID82" i="9"/>
  <c r="IC82" i="9"/>
  <c r="IA82" i="9"/>
  <c r="IB82" i="9" s="1"/>
  <c r="AF82" i="9"/>
  <c r="AG82" i="9" s="1"/>
  <c r="AH82" i="9"/>
  <c r="M58" i="9"/>
  <c r="N58" i="9"/>
  <c r="Y58" i="9"/>
  <c r="Z58" i="9" s="1"/>
  <c r="AB58" i="9"/>
  <c r="AA58" i="9"/>
  <c r="AO34" i="9"/>
  <c r="AM34" i="9"/>
  <c r="AN34" i="9" s="1"/>
  <c r="HI91" i="9"/>
  <c r="HF91" i="9"/>
  <c r="IA91" i="9"/>
  <c r="IB91" i="9" s="1"/>
  <c r="ID91" i="9"/>
  <c r="KL108" i="9"/>
  <c r="KM108" i="9" s="1"/>
  <c r="KO108" i="9"/>
  <c r="KN108" i="9"/>
  <c r="JZ108" i="9"/>
  <c r="JX108" i="9"/>
  <c r="JY108" i="9" s="1"/>
  <c r="F43" i="9"/>
  <c r="FW43" i="9"/>
  <c r="FX43" i="9" s="1"/>
  <c r="FZ43" i="9"/>
  <c r="KU41" i="9"/>
  <c r="AV83" i="9"/>
  <c r="FK54" i="9"/>
  <c r="BO54" i="9"/>
  <c r="BP54" i="9" s="1"/>
  <c r="BQ54" i="9"/>
  <c r="CJ15" i="9"/>
  <c r="CK15" i="9" s="1"/>
  <c r="FY44" i="9"/>
  <c r="DS44" i="9"/>
  <c r="DT44" i="9" s="1"/>
  <c r="HT110" i="9"/>
  <c r="HW110" i="9"/>
  <c r="CX78" i="9"/>
  <c r="CY78" i="9" s="1"/>
  <c r="DA78" i="9"/>
  <c r="CL10" i="9"/>
  <c r="Y10" i="9"/>
  <c r="AB10" i="9"/>
  <c r="GR6" i="9"/>
  <c r="AA6" i="9"/>
  <c r="Y6" i="9"/>
  <c r="Z6" i="9" s="1"/>
  <c r="JJ95" i="9"/>
  <c r="JK95" i="9" s="1"/>
  <c r="JL95" i="9"/>
  <c r="JM95" i="9"/>
  <c r="HM107" i="9"/>
  <c r="AI77" i="9"/>
  <c r="BQ77" i="9"/>
  <c r="BO77" i="9"/>
  <c r="BP77" i="9" s="1"/>
  <c r="DO26" i="9"/>
  <c r="DN26" i="9"/>
  <c r="EX26" i="9"/>
  <c r="EW26" i="9"/>
  <c r="EU26" i="9"/>
  <c r="EV26" i="9" s="1"/>
  <c r="BA21" i="9"/>
  <c r="BB21" i="9" s="1"/>
  <c r="DU5" i="9"/>
  <c r="EQ5" i="9"/>
  <c r="EP5" i="9"/>
  <c r="EN5" i="9"/>
  <c r="EO5" i="9" s="1"/>
  <c r="BO89" i="9"/>
  <c r="BP89" i="9" s="1"/>
  <c r="BO96" i="9"/>
  <c r="BP96" i="9" s="1"/>
  <c r="BR96" i="9"/>
  <c r="BQ96" i="9"/>
  <c r="DH96" i="9"/>
  <c r="DG96" i="9"/>
  <c r="BJ30" i="9"/>
  <c r="IV16" i="9"/>
  <c r="IW16" i="9" s="1"/>
  <c r="IY16" i="9"/>
  <c r="KN76" i="9"/>
  <c r="KO76" i="9"/>
  <c r="R9" i="9"/>
  <c r="S9" i="9" s="1"/>
  <c r="T9" i="9"/>
  <c r="HH9" i="9"/>
  <c r="HF9" i="9"/>
  <c r="HG9" i="9" s="1"/>
  <c r="FS17" i="9"/>
  <c r="FP17" i="9"/>
  <c r="G61" i="9"/>
  <c r="CF61" i="9"/>
  <c r="CC61" i="9"/>
  <c r="CD61" i="9" s="1"/>
  <c r="FS61" i="9"/>
  <c r="FR61" i="9"/>
  <c r="FP61" i="9"/>
  <c r="FQ61" i="9" s="1"/>
  <c r="HF69" i="9"/>
  <c r="JT80" i="9"/>
  <c r="JS80" i="9"/>
  <c r="GN74" i="9"/>
  <c r="GK74" i="9"/>
  <c r="GL74" i="9" s="1"/>
  <c r="GM74" i="9"/>
  <c r="GF82" i="9"/>
  <c r="GD82" i="9"/>
  <c r="GE82" i="9" s="1"/>
  <c r="AB82" i="9"/>
  <c r="AA82" i="9"/>
  <c r="Y82" i="9"/>
  <c r="Z82" i="9" s="1"/>
  <c r="BR58" i="9"/>
  <c r="BQ58" i="9"/>
  <c r="BO58" i="9"/>
  <c r="BP58" i="9" s="1"/>
  <c r="EN58" i="9"/>
  <c r="EO58" i="9" s="1"/>
  <c r="EP58" i="9"/>
  <c r="EQ58" i="9"/>
  <c r="GD66" i="9"/>
  <c r="GE66" i="9" s="1"/>
  <c r="GG66" i="9"/>
  <c r="GF66" i="9"/>
  <c r="JZ31" i="9"/>
  <c r="EN65" i="9"/>
  <c r="EO65" i="9" s="1"/>
  <c r="EP65" i="9"/>
  <c r="EQ65" i="9"/>
  <c r="AF91" i="9"/>
  <c r="AG91" i="9" s="1"/>
  <c r="EJ108" i="9"/>
  <c r="EG108" i="9"/>
  <c r="D108" i="9"/>
  <c r="E108" i="9" s="1"/>
  <c r="F108" i="9"/>
  <c r="JM43" i="9"/>
  <c r="JL43" i="9"/>
  <c r="GY71" i="9"/>
  <c r="HB71" i="9"/>
  <c r="EC19" i="9"/>
  <c r="DZ19" i="9"/>
  <c r="JQ19" i="9"/>
  <c r="JR19" i="9" s="1"/>
  <c r="JS19" i="9"/>
  <c r="K59" i="9"/>
  <c r="L59" i="9" s="1"/>
  <c r="M59" i="9"/>
  <c r="BD59" i="9"/>
  <c r="BC59" i="9"/>
  <c r="BA59" i="9"/>
  <c r="BB59" i="9" s="1"/>
  <c r="KL6" i="9"/>
  <c r="KM6" i="9" s="1"/>
  <c r="KA100" i="9"/>
  <c r="JZ100" i="9"/>
  <c r="BK95" i="9"/>
  <c r="BJ95" i="9"/>
  <c r="FW107" i="9"/>
  <c r="FX107" i="9" s="1"/>
  <c r="FS104" i="9"/>
  <c r="FP104" i="9"/>
  <c r="JE104" i="9"/>
  <c r="JC104" i="9"/>
  <c r="JD104" i="9" s="1"/>
  <c r="K75" i="9"/>
  <c r="L75" i="9" s="1"/>
  <c r="FZ77" i="9"/>
  <c r="N26" i="9"/>
  <c r="K26" i="9"/>
  <c r="L26" i="9" s="1"/>
  <c r="EJ28" i="9"/>
  <c r="DU28" i="9"/>
  <c r="DV28" i="9"/>
  <c r="FI5" i="9"/>
  <c r="FL5" i="9"/>
  <c r="GN89" i="9"/>
  <c r="HM76" i="9"/>
  <c r="HN76" i="9" s="1"/>
  <c r="FW76" i="9"/>
  <c r="FX76" i="9" s="1"/>
  <c r="FY76" i="9"/>
  <c r="GG62" i="9"/>
  <c r="GF62" i="9"/>
  <c r="GG17" i="9"/>
  <c r="GF17" i="9"/>
  <c r="GY17" i="9"/>
  <c r="HB17" i="9"/>
  <c r="GY61" i="9"/>
  <c r="GZ61" i="9" s="1"/>
  <c r="HA61" i="9"/>
  <c r="EJ61" i="9"/>
  <c r="EG61" i="9"/>
  <c r="EH61" i="9" s="1"/>
  <c r="EI61" i="9"/>
  <c r="DA105" i="9"/>
  <c r="AI82" i="9"/>
  <c r="DE23" i="9"/>
  <c r="DF23" i="9" s="1"/>
  <c r="FR58" i="9"/>
  <c r="FS58" i="9"/>
  <c r="DL66" i="9"/>
  <c r="DO66" i="9"/>
  <c r="DA65" i="9"/>
  <c r="CZ65" i="9"/>
  <c r="CX65" i="9"/>
  <c r="CY65" i="9" s="1"/>
  <c r="IO65" i="9"/>
  <c r="IP65" i="9" s="1"/>
  <c r="IQ65" i="9"/>
  <c r="FD34" i="9"/>
  <c r="IC91" i="9"/>
  <c r="CM108" i="9"/>
  <c r="CL108" i="9"/>
  <c r="BO108" i="9"/>
  <c r="BP108" i="9" s="1"/>
  <c r="BQ108" i="9"/>
  <c r="BR108" i="9"/>
  <c r="GM43" i="9"/>
  <c r="KL43" i="9"/>
  <c r="KM43" i="9" s="1"/>
  <c r="KN43" i="9"/>
  <c r="U43" i="9"/>
  <c r="R43" i="9"/>
  <c r="EQ41" i="9"/>
  <c r="EN41" i="9"/>
  <c r="JC110" i="9"/>
  <c r="JF110" i="9"/>
  <c r="HA78" i="9"/>
  <c r="GN46" i="9"/>
  <c r="GM46" i="9"/>
  <c r="AI59" i="9"/>
  <c r="EQ20" i="9"/>
  <c r="BV100" i="9"/>
  <c r="BW100" i="9" s="1"/>
  <c r="BX100" i="9"/>
  <c r="JF95" i="9"/>
  <c r="JE95" i="9"/>
  <c r="IH95" i="9"/>
  <c r="II95" i="9" s="1"/>
  <c r="K107" i="9"/>
  <c r="L107" i="9" s="1"/>
  <c r="FY77" i="9"/>
  <c r="M26" i="9"/>
  <c r="JC26" i="9"/>
  <c r="JD26" i="9" s="1"/>
  <c r="JE26" i="9"/>
  <c r="DE26" i="9"/>
  <c r="DF26" i="9" s="1"/>
  <c r="DH26" i="9"/>
  <c r="JF28" i="9"/>
  <c r="JC28" i="9"/>
  <c r="JD28" i="9" s="1"/>
  <c r="GY5" i="9"/>
  <c r="GZ5" i="9" s="1"/>
  <c r="Y5" i="9"/>
  <c r="Z5" i="9" s="1"/>
  <c r="KV89" i="9"/>
  <c r="KS89" i="9"/>
  <c r="KT89" i="9" s="1"/>
  <c r="F89" i="9"/>
  <c r="D89" i="9"/>
  <c r="E89" i="9" s="1"/>
  <c r="BC96" i="9"/>
  <c r="JS96" i="9"/>
  <c r="JT96" i="9"/>
  <c r="D16" i="9"/>
  <c r="G16" i="9"/>
  <c r="FD74" i="9"/>
  <c r="IR82" i="9"/>
  <c r="IQ82" i="9"/>
  <c r="FZ82" i="9"/>
  <c r="FY82" i="9"/>
  <c r="AT58" i="9"/>
  <c r="AU58" i="9" s="1"/>
  <c r="AV58" i="9"/>
  <c r="FI65" i="9"/>
  <c r="FJ65" i="9" s="1"/>
  <c r="FL65" i="9"/>
  <c r="FK65" i="9"/>
  <c r="GD34" i="9"/>
  <c r="GE34" i="9" s="1"/>
  <c r="KL34" i="9"/>
  <c r="KM34" i="9" s="1"/>
  <c r="KO34" i="9"/>
  <c r="KN34" i="9"/>
  <c r="GR34" i="9"/>
  <c r="GS34" i="9" s="1"/>
  <c r="GU34" i="9"/>
  <c r="GT34" i="9"/>
  <c r="CF108" i="9"/>
  <c r="CE108" i="9"/>
  <c r="EW108" i="9"/>
  <c r="EU108" i="9"/>
  <c r="EV108" i="9" s="1"/>
  <c r="DO41" i="9"/>
  <c r="DL41" i="9"/>
  <c r="AH41" i="9"/>
  <c r="AI41" i="9"/>
  <c r="FE57" i="9"/>
  <c r="FD57" i="9"/>
  <c r="DU44" i="9"/>
  <c r="FI79" i="9"/>
  <c r="FJ79" i="9" s="1"/>
  <c r="BK78" i="9"/>
  <c r="BJ78" i="9"/>
  <c r="N59" i="9"/>
  <c r="GF20" i="9"/>
  <c r="GU6" i="9"/>
  <c r="K6" i="9"/>
  <c r="N6" i="9"/>
  <c r="CQ6" i="9"/>
  <c r="CR6" i="9" s="1"/>
  <c r="CS6" i="9"/>
  <c r="R100" i="9"/>
  <c r="S100" i="9" s="1"/>
  <c r="T100" i="9"/>
  <c r="BR94" i="9"/>
  <c r="EP94" i="9"/>
  <c r="BY94" i="9"/>
  <c r="BX94" i="9"/>
  <c r="GD94" i="9"/>
  <c r="GE94" i="9" s="1"/>
  <c r="GF94" i="9"/>
  <c r="HP107" i="9"/>
  <c r="DA107" i="9"/>
  <c r="CZ107" i="9"/>
  <c r="AM21" i="9"/>
  <c r="AN21" i="9" s="1"/>
  <c r="DZ28" i="9"/>
  <c r="EA28" i="9" s="1"/>
  <c r="EB28" i="9"/>
  <c r="IQ5" i="9"/>
  <c r="HW5" i="9"/>
  <c r="HT5" i="9"/>
  <c r="HU5" i="9" s="1"/>
  <c r="KL5" i="9"/>
  <c r="KO5" i="9"/>
  <c r="T89" i="9"/>
  <c r="R89" i="9"/>
  <c r="S89" i="9" s="1"/>
  <c r="IX96" i="9"/>
  <c r="KH16" i="9"/>
  <c r="HA16" i="9"/>
  <c r="HB16" i="9"/>
  <c r="EI76" i="9"/>
  <c r="CX62" i="9"/>
  <c r="KE63" i="9"/>
  <c r="KH63" i="9"/>
  <c r="BD63" i="9"/>
  <c r="BA63" i="9"/>
  <c r="AB80" i="9"/>
  <c r="Y80" i="9"/>
  <c r="Z80" i="9" s="1"/>
  <c r="AA80" i="9"/>
  <c r="BQ29" i="9"/>
  <c r="BO29" i="9"/>
  <c r="BP29" i="9" s="1"/>
  <c r="FB29" i="9"/>
  <c r="FC29" i="9" s="1"/>
  <c r="FD29" i="9"/>
  <c r="FE29" i="9"/>
  <c r="JJ82" i="9"/>
  <c r="JK82" i="9" s="1"/>
  <c r="JT58" i="9"/>
  <c r="JQ58" i="9"/>
  <c r="JR58" i="9" s="1"/>
  <c r="JS58" i="9"/>
  <c r="FZ31" i="9"/>
  <c r="FW31" i="9"/>
  <c r="FX31" i="9" s="1"/>
  <c r="CJ31" i="9"/>
  <c r="CM31" i="9"/>
  <c r="BD31" i="9"/>
  <c r="BC31" i="9"/>
  <c r="IJ65" i="9"/>
  <c r="IK65" i="9"/>
  <c r="DV65" i="9"/>
  <c r="DS65" i="9"/>
  <c r="DG34" i="9"/>
  <c r="FI53" i="9"/>
  <c r="FL53" i="9"/>
  <c r="CM53" i="9"/>
  <c r="CJ53" i="9"/>
  <c r="BR48" i="9"/>
  <c r="BQ48" i="9"/>
  <c r="EU48" i="9"/>
  <c r="EV48" i="9" s="1"/>
  <c r="EW48" i="9"/>
  <c r="AP108" i="9"/>
  <c r="AM108" i="9"/>
  <c r="JT43" i="9"/>
  <c r="JQ43" i="9"/>
  <c r="JR43" i="9" s="1"/>
  <c r="R21" i="9"/>
  <c r="S21" i="9" s="1"/>
  <c r="T21" i="9"/>
  <c r="HB21" i="9"/>
  <c r="HA21" i="9"/>
  <c r="DH28" i="9"/>
  <c r="DE28" i="9"/>
  <c r="DF28" i="9" s="1"/>
  <c r="DG28" i="9"/>
  <c r="EQ96" i="9"/>
  <c r="EP96" i="9"/>
  <c r="HM30" i="9"/>
  <c r="HN30" i="9" s="1"/>
  <c r="HO30" i="9"/>
  <c r="CJ16" i="9"/>
  <c r="CK16" i="9" s="1"/>
  <c r="BH76" i="9"/>
  <c r="BI76" i="9" s="1"/>
  <c r="BJ76" i="9"/>
  <c r="BC9" i="9"/>
  <c r="BD9" i="9"/>
  <c r="AP9" i="9"/>
  <c r="AM9" i="9"/>
  <c r="AN9" i="9" s="1"/>
  <c r="BO105" i="9"/>
  <c r="BP105" i="9" s="1"/>
  <c r="BQ105" i="9"/>
  <c r="D63" i="9"/>
  <c r="G63" i="9"/>
  <c r="CF29" i="9"/>
  <c r="CC29" i="9"/>
  <c r="CD29" i="9" s="1"/>
  <c r="CE29" i="9"/>
  <c r="HI82" i="9"/>
  <c r="DV31" i="9"/>
  <c r="DS31" i="9"/>
  <c r="DT31" i="9" s="1"/>
  <c r="FZ11" i="9"/>
  <c r="FY11" i="9"/>
  <c r="FI11" i="9"/>
  <c r="FJ11" i="9" s="1"/>
  <c r="FK11" i="9"/>
  <c r="BK65" i="9"/>
  <c r="BJ65" i="9"/>
  <c r="KE65" i="9"/>
  <c r="KF65" i="9" s="1"/>
  <c r="KH65" i="9"/>
  <c r="HM53" i="9"/>
  <c r="EU53" i="9"/>
  <c r="EV53" i="9" s="1"/>
  <c r="EW53" i="9"/>
  <c r="EX53" i="9"/>
  <c r="CS48" i="9"/>
  <c r="CT48" i="9"/>
  <c r="IX48" i="9"/>
  <c r="IV48" i="9"/>
  <c r="IW48" i="9" s="1"/>
  <c r="CC108" i="9"/>
  <c r="CD108" i="9" s="1"/>
  <c r="KA43" i="9"/>
  <c r="JX43" i="9"/>
  <c r="AB43" i="9"/>
  <c r="Y43" i="9"/>
  <c r="Z43" i="9" s="1"/>
  <c r="AA43" i="9"/>
  <c r="IJ37" i="9"/>
  <c r="DV83" i="9"/>
  <c r="HF54" i="9"/>
  <c r="HG54" i="9" s="1"/>
  <c r="HH54" i="9"/>
  <c r="CQ15" i="9"/>
  <c r="CR15" i="9" s="1"/>
  <c r="KU57" i="9"/>
  <c r="KG79" i="9"/>
  <c r="KA78" i="9"/>
  <c r="DZ71" i="9"/>
  <c r="EA71" i="9" s="1"/>
  <c r="JX19" i="9"/>
  <c r="JY19" i="9" s="1"/>
  <c r="KA19" i="9"/>
  <c r="HH46" i="9"/>
  <c r="CS46" i="9"/>
  <c r="CT46" i="9"/>
  <c r="CS20" i="9"/>
  <c r="BQ94" i="9"/>
  <c r="CZ95" i="9"/>
  <c r="FB107" i="9"/>
  <c r="FC107" i="9" s="1"/>
  <c r="FD107" i="9"/>
  <c r="FD104" i="9"/>
  <c r="K104" i="9"/>
  <c r="L104" i="9" s="1"/>
  <c r="M104" i="9"/>
  <c r="IK75" i="9"/>
  <c r="DE77" i="9"/>
  <c r="DF77" i="9" s="1"/>
  <c r="FL77" i="9"/>
  <c r="FL26" i="9"/>
  <c r="KA28" i="9"/>
  <c r="JE28" i="9"/>
  <c r="DH5" i="9"/>
  <c r="BR5" i="9"/>
  <c r="KU89" i="9"/>
  <c r="JT89" i="9"/>
  <c r="DO89" i="9"/>
  <c r="DN89" i="9"/>
  <c r="JM89" i="9"/>
  <c r="JJ89" i="9"/>
  <c r="JK89" i="9" s="1"/>
  <c r="BC30" i="9"/>
  <c r="BJ16" i="9"/>
  <c r="IO76" i="9"/>
  <c r="IP76" i="9" s="1"/>
  <c r="IQ76" i="9"/>
  <c r="AO9" i="9"/>
  <c r="U9" i="9"/>
  <c r="IY17" i="9"/>
  <c r="CL17" i="9"/>
  <c r="AH61" i="9"/>
  <c r="BV61" i="9"/>
  <c r="BW61" i="9" s="1"/>
  <c r="GK61" i="9"/>
  <c r="GL61" i="9" s="1"/>
  <c r="GM61" i="9"/>
  <c r="GN61" i="9"/>
  <c r="BH61" i="9"/>
  <c r="BK61" i="9"/>
  <c r="KO105" i="9"/>
  <c r="KN105" i="9"/>
  <c r="JJ63" i="9"/>
  <c r="JM63" i="9"/>
  <c r="BX80" i="9"/>
  <c r="DH29" i="9"/>
  <c r="DE29" i="9"/>
  <c r="DF29" i="9" s="1"/>
  <c r="FB82" i="9"/>
  <c r="FC82" i="9" s="1"/>
  <c r="BA82" i="9"/>
  <c r="BB82" i="9" s="1"/>
  <c r="CF82" i="9"/>
  <c r="CC82" i="9"/>
  <c r="CD82" i="9" s="1"/>
  <c r="CE82" i="9"/>
  <c r="AT82" i="9"/>
  <c r="AU82" i="9" s="1"/>
  <c r="AV82" i="9"/>
  <c r="AW82" i="9"/>
  <c r="AW58" i="9"/>
  <c r="KG58" i="9"/>
  <c r="DU31" i="9"/>
  <c r="EU31" i="9"/>
  <c r="EV31" i="9" s="1"/>
  <c r="EW31" i="9"/>
  <c r="DH31" i="9"/>
  <c r="DE31" i="9"/>
  <c r="DF31" i="9" s="1"/>
  <c r="EC11" i="9"/>
  <c r="EB11" i="9"/>
  <c r="EI11" i="9"/>
  <c r="EG11" i="9"/>
  <c r="EH11" i="9" s="1"/>
  <c r="CE65" i="9"/>
  <c r="CC65" i="9"/>
  <c r="CD65" i="9" s="1"/>
  <c r="GK65" i="9"/>
  <c r="GL65" i="9" s="1"/>
  <c r="GM65" i="9"/>
  <c r="BH53" i="9"/>
  <c r="BI53" i="9" s="1"/>
  <c r="BK53" i="9"/>
  <c r="BJ53" i="9"/>
  <c r="KE53" i="9"/>
  <c r="KF53" i="9" s="1"/>
  <c r="KH53" i="9"/>
  <c r="KG53" i="9"/>
  <c r="EX48" i="9"/>
  <c r="JE48" i="9"/>
  <c r="JC48" i="9"/>
  <c r="JD48" i="9" s="1"/>
  <c r="G108" i="9"/>
  <c r="FK63" i="9"/>
  <c r="DG80" i="9"/>
  <c r="GD74" i="9"/>
  <c r="GE74" i="9" s="1"/>
  <c r="BO74" i="9"/>
  <c r="BP74" i="9" s="1"/>
  <c r="FI29" i="9"/>
  <c r="FJ29" i="9" s="1"/>
  <c r="CZ93" i="9"/>
  <c r="GF74" i="9"/>
  <c r="EG82" i="9"/>
  <c r="EH82" i="9" s="1"/>
  <c r="KN16" i="9"/>
  <c r="AO63" i="9"/>
  <c r="GG63" i="9"/>
  <c r="KA80" i="9"/>
  <c r="DH80" i="9"/>
  <c r="HF74" i="9"/>
  <c r="HG74" i="9" s="1"/>
  <c r="IR29" i="9"/>
  <c r="FI82" i="9"/>
  <c r="FJ82" i="9" s="1"/>
  <c r="FY23" i="9"/>
  <c r="ID23" i="9"/>
  <c r="CS58" i="9"/>
  <c r="JZ58" i="9"/>
  <c r="KB58" i="9" s="1"/>
  <c r="EP11" i="9"/>
  <c r="KA65" i="9"/>
  <c r="AT65" i="9"/>
  <c r="AU65" i="9" s="1"/>
  <c r="JS34" i="9"/>
  <c r="BS112" i="9"/>
  <c r="EP43" i="9"/>
  <c r="EQ43" i="9"/>
  <c r="HT93" i="9"/>
  <c r="HH107" i="9"/>
  <c r="AA77" i="9"/>
  <c r="GT30" i="9"/>
  <c r="FS62" i="9"/>
  <c r="AP62" i="9"/>
  <c r="FI63" i="9"/>
  <c r="FJ63" i="9" s="1"/>
  <c r="IX63" i="9"/>
  <c r="IV74" i="9"/>
  <c r="IW74" i="9" s="1"/>
  <c r="AA74" i="9"/>
  <c r="HH74" i="9"/>
  <c r="HI29" i="9"/>
  <c r="BK58" i="9"/>
  <c r="FE66" i="9"/>
  <c r="BD66" i="9"/>
  <c r="GM31" i="9"/>
  <c r="FD31" i="9"/>
  <c r="HF31" i="9"/>
  <c r="HG31" i="9" s="1"/>
  <c r="GT31" i="9"/>
  <c r="IH11" i="9"/>
  <c r="II11" i="9" s="1"/>
  <c r="KN65" i="9"/>
  <c r="JT34" i="9"/>
  <c r="IC34" i="9"/>
  <c r="IX91" i="9"/>
  <c r="JL91" i="9"/>
  <c r="KH48" i="9"/>
  <c r="ID48" i="9"/>
  <c r="FL43" i="9"/>
  <c r="HO43" i="9"/>
  <c r="AV41" i="9"/>
  <c r="IQ41" i="9"/>
  <c r="HW93" i="9"/>
  <c r="DL6" i="9"/>
  <c r="DM6" i="9" s="1"/>
  <c r="KO95" i="9"/>
  <c r="HV77" i="9"/>
  <c r="HM26" i="9"/>
  <c r="HN26" i="9" s="1"/>
  <c r="CM21" i="9"/>
  <c r="BH5" i="9"/>
  <c r="AA89" i="9"/>
  <c r="FY96" i="9"/>
  <c r="KU76" i="9"/>
  <c r="HC112" i="9"/>
  <c r="DV9" i="9"/>
  <c r="F17" i="9"/>
  <c r="AW105" i="9"/>
  <c r="BA90" i="9"/>
  <c r="BB90" i="9" s="1"/>
  <c r="AW90" i="9"/>
  <c r="IC63" i="9"/>
  <c r="BQ74" i="9"/>
  <c r="EP74" i="9"/>
  <c r="CQ29" i="9"/>
  <c r="CR29" i="9" s="1"/>
  <c r="CM29" i="9"/>
  <c r="KA82" i="9"/>
  <c r="GK23" i="9"/>
  <c r="GL23" i="9" s="1"/>
  <c r="AF23" i="9"/>
  <c r="AG23" i="9" s="1"/>
  <c r="IJ58" i="9"/>
  <c r="IX66" i="9"/>
  <c r="EW66" i="9"/>
  <c r="BC66" i="9"/>
  <c r="DZ31" i="9"/>
  <c r="EA31" i="9" s="1"/>
  <c r="AP11" i="9"/>
  <c r="EX11" i="9"/>
  <c r="DE11" i="9"/>
  <c r="DF11" i="9" s="1"/>
  <c r="AH34" i="9"/>
  <c r="DU34" i="9"/>
  <c r="EQ91" i="9"/>
  <c r="JE53" i="9"/>
  <c r="EC53" i="9"/>
  <c r="EG48" i="9"/>
  <c r="EH48" i="9" s="1"/>
  <c r="EB108" i="9"/>
  <c r="IH43" i="9"/>
  <c r="II43" i="9" s="1"/>
  <c r="HV80" i="9"/>
  <c r="FE80" i="9"/>
  <c r="D66" i="9"/>
  <c r="E66" i="9" s="1"/>
  <c r="HT66" i="9"/>
  <c r="HU66" i="9" s="1"/>
  <c r="F31" i="9"/>
  <c r="HW31" i="9"/>
  <c r="KU65" i="9"/>
  <c r="KG34" i="9"/>
  <c r="EU34" i="9"/>
  <c r="EV34" i="9" s="1"/>
  <c r="KN48" i="9"/>
  <c r="GU41" i="9"/>
  <c r="FY93" i="9"/>
  <c r="JE106" i="9"/>
  <c r="FK29" i="9"/>
  <c r="CL82" i="9"/>
  <c r="JL23" i="9"/>
  <c r="IV11" i="9"/>
  <c r="IW11" i="9" s="1"/>
  <c r="IY91" i="9"/>
  <c r="AM53" i="9"/>
  <c r="AN53" i="9" s="1"/>
  <c r="KV53" i="9"/>
  <c r="EQ108" i="9"/>
  <c r="EU93" i="9"/>
  <c r="KL69" i="9"/>
  <c r="KM69" i="9" s="1"/>
  <c r="HW63" i="9"/>
  <c r="CS74" i="9"/>
  <c r="KA58" i="9"/>
  <c r="JC11" i="9"/>
  <c r="JD11" i="9" s="1"/>
  <c r="CQ65" i="9"/>
  <c r="CR65" i="9" s="1"/>
  <c r="KE34" i="9"/>
  <c r="KF34" i="9" s="1"/>
  <c r="EN91" i="9"/>
  <c r="KO48" i="9"/>
  <c r="IO48" i="9"/>
  <c r="IP48" i="9" s="1"/>
  <c r="GN48" i="9"/>
  <c r="JF108" i="9"/>
  <c r="F93" i="9"/>
  <c r="AV10" i="9"/>
  <c r="HV100" i="9"/>
  <c r="FD100" i="9"/>
  <c r="IQ104" i="9"/>
  <c r="KS5" i="9"/>
  <c r="KT5" i="9" s="1"/>
  <c r="BX89" i="9"/>
  <c r="BV89" i="9"/>
  <c r="BW89" i="9" s="1"/>
  <c r="GT16" i="9"/>
  <c r="JM61" i="9"/>
  <c r="JZ61" i="9"/>
  <c r="HI61" i="9"/>
  <c r="GG105" i="9"/>
  <c r="KG105" i="9"/>
  <c r="R106" i="9"/>
  <c r="S106" i="9" s="1"/>
  <c r="DS90" i="9"/>
  <c r="DT90" i="9" s="1"/>
  <c r="IO29" i="9"/>
  <c r="EP82" i="9"/>
  <c r="AA23" i="9"/>
  <c r="FZ23" i="9"/>
  <c r="EC66" i="9"/>
  <c r="FR65" i="9"/>
  <c r="DG65" i="9"/>
  <c r="HA34" i="9"/>
  <c r="JM91" i="9"/>
  <c r="GM53" i="9"/>
  <c r="AW48" i="9"/>
  <c r="FR43" i="9"/>
  <c r="FD41" i="9"/>
  <c r="HV41" i="9"/>
  <c r="FP100" i="9"/>
  <c r="FQ100" i="9" s="1"/>
  <c r="JL100" i="9"/>
  <c r="EW104" i="9"/>
  <c r="CM75" i="9"/>
  <c r="KL16" i="9"/>
  <c r="KM16" i="9" s="1"/>
  <c r="FR62" i="9"/>
  <c r="JJ17" i="9"/>
  <c r="JK17" i="9" s="1"/>
  <c r="FL105" i="9"/>
  <c r="JS106" i="9"/>
  <c r="EB63" i="9"/>
  <c r="AH63" i="9"/>
  <c r="JL29" i="9"/>
  <c r="JZ82" i="9"/>
  <c r="BY66" i="9"/>
  <c r="HB31" i="9"/>
  <c r="JM34" i="9"/>
  <c r="FS48" i="9"/>
  <c r="FS43" i="9"/>
  <c r="EX43" i="9"/>
  <c r="DI25" i="9" l="1"/>
  <c r="CG31" i="9"/>
  <c r="DI9" i="9"/>
  <c r="DB95" i="9"/>
  <c r="H54" i="9"/>
  <c r="DI72" i="9"/>
  <c r="IZ18" i="9"/>
  <c r="DI53" i="9"/>
  <c r="DB38" i="9"/>
  <c r="DI51" i="9"/>
  <c r="GH20" i="9"/>
  <c r="V110" i="9"/>
  <c r="GA102" i="9"/>
  <c r="DP91" i="9"/>
  <c r="BE40" i="9"/>
  <c r="DI86" i="9"/>
  <c r="BS49" i="9"/>
  <c r="CN87" i="9"/>
  <c r="DI96" i="9"/>
  <c r="DI58" i="9"/>
  <c r="HQ103" i="9"/>
  <c r="EK62" i="9"/>
  <c r="EY66" i="9"/>
  <c r="HC16" i="9"/>
  <c r="GO31" i="9"/>
  <c r="V40" i="9"/>
  <c r="CN35" i="9"/>
  <c r="AX78" i="9"/>
  <c r="DI61" i="9"/>
  <c r="ED4" i="9"/>
  <c r="EK103" i="9"/>
  <c r="DB97" i="9"/>
  <c r="DI18" i="9"/>
  <c r="GO69" i="9"/>
  <c r="DI6" i="9"/>
  <c r="IL85" i="9"/>
  <c r="AQ106" i="9"/>
  <c r="JU46" i="9"/>
  <c r="GV26" i="9"/>
  <c r="ED66" i="9"/>
  <c r="ED53" i="9"/>
  <c r="ER96" i="9"/>
  <c r="AX71" i="9"/>
  <c r="KW8" i="9"/>
  <c r="BL19" i="9"/>
  <c r="BL98" i="9"/>
  <c r="HX74" i="9"/>
  <c r="EY84" i="9"/>
  <c r="CN107" i="9"/>
  <c r="KI19" i="9"/>
  <c r="IS61" i="9"/>
  <c r="IZ99" i="9"/>
  <c r="KI76" i="9"/>
  <c r="JN59" i="9"/>
  <c r="FM57" i="9"/>
  <c r="BE49" i="9"/>
  <c r="KI62" i="9"/>
  <c r="HQ98" i="9"/>
  <c r="EY55" i="9"/>
  <c r="KB103" i="9"/>
  <c r="JU94" i="9"/>
  <c r="FF57" i="9"/>
  <c r="GH62" i="9"/>
  <c r="KP76" i="9"/>
  <c r="AC66" i="9"/>
  <c r="AQ47" i="9"/>
  <c r="DW104" i="9"/>
  <c r="DW16" i="9"/>
  <c r="CU56" i="9"/>
  <c r="JG91" i="9"/>
  <c r="H39" i="9"/>
  <c r="FF38" i="9"/>
  <c r="HX29" i="9"/>
  <c r="O42" i="9"/>
  <c r="KP96" i="9"/>
  <c r="AQ96" i="9"/>
  <c r="CN102" i="9"/>
  <c r="GV37" i="9"/>
  <c r="AX14" i="9"/>
  <c r="EY8" i="9"/>
  <c r="ER35" i="9"/>
  <c r="BE66" i="9"/>
  <c r="BL78" i="9"/>
  <c r="DP100" i="9"/>
  <c r="KB72" i="9"/>
  <c r="CG26" i="9"/>
  <c r="JU4" i="9"/>
  <c r="JG39" i="9"/>
  <c r="BE30" i="9"/>
  <c r="AJ101" i="9"/>
  <c r="AJ36" i="9"/>
  <c r="KP65" i="9"/>
  <c r="FF31" i="9"/>
  <c r="JU80" i="9"/>
  <c r="HX54" i="9"/>
  <c r="CG40" i="9"/>
  <c r="BE3" i="9"/>
  <c r="DP77" i="9"/>
  <c r="KI21" i="9"/>
  <c r="HC32" i="9"/>
  <c r="DP111" i="9"/>
  <c r="AJ42" i="9"/>
  <c r="DI60" i="9"/>
  <c r="DI33" i="9"/>
  <c r="HJ107" i="9"/>
  <c r="H29" i="9"/>
  <c r="EK14" i="9"/>
  <c r="HJ37" i="9"/>
  <c r="JG101" i="9"/>
  <c r="IE22" i="9"/>
  <c r="AC47" i="9"/>
  <c r="BZ60" i="9"/>
  <c r="FM86" i="9"/>
  <c r="V76" i="9"/>
  <c r="FF88" i="9"/>
  <c r="HC80" i="9"/>
  <c r="CG76" i="9"/>
  <c r="KP79" i="9"/>
  <c r="GO67" i="9"/>
  <c r="AQ19" i="9"/>
  <c r="KI38" i="9"/>
  <c r="BS87" i="9"/>
  <c r="AJ68" i="9"/>
  <c r="ER59" i="9"/>
  <c r="KP81" i="9"/>
  <c r="EY24" i="9"/>
  <c r="ED24" i="9"/>
  <c r="GH101" i="9"/>
  <c r="EY32" i="9"/>
  <c r="IZ89" i="9"/>
  <c r="KW51" i="9"/>
  <c r="HX14" i="9"/>
  <c r="IZ84" i="9"/>
  <c r="BS109" i="9"/>
  <c r="AJ41" i="9"/>
  <c r="FM4" i="9"/>
  <c r="KB94" i="9"/>
  <c r="EY91" i="9"/>
  <c r="AJ54" i="9"/>
  <c r="AQ33" i="9"/>
  <c r="AJ57" i="9"/>
  <c r="BL11" i="9"/>
  <c r="FM96" i="9"/>
  <c r="CU53" i="9"/>
  <c r="DW43" i="9"/>
  <c r="GO48" i="9"/>
  <c r="DW30" i="9"/>
  <c r="BS12" i="9"/>
  <c r="IS22" i="9"/>
  <c r="HJ50" i="9"/>
  <c r="EK57" i="9"/>
  <c r="KP52" i="9"/>
  <c r="BS48" i="9"/>
  <c r="FM74" i="9"/>
  <c r="IS78" i="9"/>
  <c r="DB72" i="9"/>
  <c r="GO3" i="9"/>
  <c r="CN62" i="9"/>
  <c r="BZ52" i="9"/>
  <c r="AC20" i="9"/>
  <c r="ED11" i="9"/>
  <c r="IE40" i="9"/>
  <c r="AQ12" i="9"/>
  <c r="KI7" i="9"/>
  <c r="GO94" i="9"/>
  <c r="DI39" i="9"/>
  <c r="BL24" i="9"/>
  <c r="DB57" i="9"/>
  <c r="KI109" i="9"/>
  <c r="ER110" i="9"/>
  <c r="ER67" i="9"/>
  <c r="CN37" i="9"/>
  <c r="AJ61" i="9"/>
  <c r="FT9" i="9"/>
  <c r="EY9" i="9"/>
  <c r="IL81" i="9"/>
  <c r="ED13" i="9"/>
  <c r="IS9" i="9"/>
  <c r="KP41" i="9"/>
  <c r="CN45" i="9"/>
  <c r="IL70" i="9"/>
  <c r="GA11" i="9"/>
  <c r="BZ69" i="9"/>
  <c r="KP86" i="9"/>
  <c r="O97" i="9"/>
  <c r="HX101" i="9"/>
  <c r="HQ69" i="9"/>
  <c r="DB13" i="9"/>
  <c r="JU18" i="9"/>
  <c r="HJ4" i="9"/>
  <c r="JG103" i="9"/>
  <c r="GA59" i="9"/>
  <c r="JN96" i="9"/>
  <c r="GA71" i="9"/>
  <c r="JU63" i="9"/>
  <c r="DB67" i="9"/>
  <c r="CN49" i="9"/>
  <c r="GO46" i="9"/>
  <c r="BL95" i="9"/>
  <c r="AQ59" i="9"/>
  <c r="KI78" i="9"/>
  <c r="AX42" i="9"/>
  <c r="FM26" i="9"/>
  <c r="CN40" i="9"/>
  <c r="JN28" i="9"/>
  <c r="FT70" i="9"/>
  <c r="FT109" i="9"/>
  <c r="KB96" i="9"/>
  <c r="IS55" i="9"/>
  <c r="O35" i="9"/>
  <c r="DW45" i="9"/>
  <c r="HC78" i="9"/>
  <c r="JN98" i="9"/>
  <c r="V4" i="9"/>
  <c r="KB16" i="9"/>
  <c r="HU53" i="9"/>
  <c r="HX53" i="9" s="1"/>
  <c r="GA72" i="9"/>
  <c r="ED89" i="9"/>
  <c r="V68" i="9"/>
  <c r="KB100" i="9"/>
  <c r="KB88" i="9"/>
  <c r="DB107" i="9"/>
  <c r="GH97" i="9"/>
  <c r="BS83" i="9"/>
  <c r="AX50" i="9"/>
  <c r="GA96" i="9"/>
  <c r="DI29" i="9"/>
  <c r="KB76" i="9"/>
  <c r="BE48" i="9"/>
  <c r="EY17" i="9"/>
  <c r="JU83" i="9"/>
  <c r="CN88" i="9"/>
  <c r="BE54" i="9"/>
  <c r="EK85" i="9"/>
  <c r="DW60" i="9"/>
  <c r="BE53" i="9"/>
  <c r="IZ28" i="9"/>
  <c r="JG20" i="9"/>
  <c r="AQ18" i="9"/>
  <c r="CG9" i="9"/>
  <c r="KI83" i="9"/>
  <c r="O71" i="9"/>
  <c r="CU44" i="9"/>
  <c r="CU10" i="9"/>
  <c r="JU33" i="9"/>
  <c r="H80" i="9"/>
  <c r="CN34" i="9"/>
  <c r="DB39" i="9"/>
  <c r="ED87" i="9"/>
  <c r="IL32" i="9"/>
  <c r="KP103" i="9"/>
  <c r="HC94" i="9"/>
  <c r="DW28" i="9"/>
  <c r="JG24" i="9"/>
  <c r="IL108" i="9"/>
  <c r="DP68" i="9"/>
  <c r="IE43" i="9"/>
  <c r="IZ80" i="9"/>
  <c r="DB32" i="9"/>
  <c r="KB106" i="9"/>
  <c r="GH71" i="9"/>
  <c r="H13" i="9"/>
  <c r="GA82" i="9"/>
  <c r="KW27" i="9"/>
  <c r="KB90" i="9"/>
  <c r="HC4" i="9"/>
  <c r="IS13" i="9"/>
  <c r="DP25" i="9"/>
  <c r="DB81" i="9"/>
  <c r="ER26" i="9"/>
  <c r="AJ26" i="9"/>
  <c r="DW70" i="9"/>
  <c r="JU107" i="9"/>
  <c r="GO105" i="9"/>
  <c r="ER51" i="9"/>
  <c r="GO18" i="9"/>
  <c r="KB53" i="9"/>
  <c r="AQ23" i="9"/>
  <c r="DI79" i="9"/>
  <c r="GH45" i="9"/>
  <c r="IZ93" i="9"/>
  <c r="HC8" i="9"/>
  <c r="KB78" i="9"/>
  <c r="IL86" i="9"/>
  <c r="AJ99" i="9"/>
  <c r="AQ93" i="9"/>
  <c r="BL67" i="9"/>
  <c r="DP83" i="9"/>
  <c r="BZ26" i="9"/>
  <c r="GH17" i="9"/>
  <c r="IZ32" i="9"/>
  <c r="JN48" i="9"/>
  <c r="EK16" i="9"/>
  <c r="KP25" i="9"/>
  <c r="KP48" i="9"/>
  <c r="DP30" i="9"/>
  <c r="BE56" i="9"/>
  <c r="KW10" i="9"/>
  <c r="HC109" i="9"/>
  <c r="EK84" i="9"/>
  <c r="FT58" i="9"/>
  <c r="FM97" i="9"/>
  <c r="O30" i="9"/>
  <c r="HJ92" i="9"/>
  <c r="IE90" i="9"/>
  <c r="FM61" i="9"/>
  <c r="AC98" i="9"/>
  <c r="DW79" i="9"/>
  <c r="AX53" i="9"/>
  <c r="ER15" i="9"/>
  <c r="IS82" i="9"/>
  <c r="JG16" i="9"/>
  <c r="FT39" i="9"/>
  <c r="DI56" i="9"/>
  <c r="HQ24" i="9"/>
  <c r="IL47" i="9"/>
  <c r="BL45" i="9"/>
  <c r="DP98" i="9"/>
  <c r="JU23" i="9"/>
  <c r="KB82" i="9"/>
  <c r="HX13" i="9"/>
  <c r="IZ30" i="9"/>
  <c r="ED88" i="9"/>
  <c r="IZ77" i="9"/>
  <c r="JU96" i="9"/>
  <c r="GV43" i="9"/>
  <c r="FM62" i="9"/>
  <c r="DB48" i="9"/>
  <c r="CG15" i="9"/>
  <c r="JG68" i="9"/>
  <c r="CN55" i="9"/>
  <c r="BS39" i="9"/>
  <c r="CG96" i="9"/>
  <c r="BE26" i="9"/>
  <c r="BL4" i="9"/>
  <c r="GH78" i="9"/>
  <c r="DI110" i="9"/>
  <c r="AQ8" i="9"/>
  <c r="GO111" i="9"/>
  <c r="CG56" i="9"/>
  <c r="GV80" i="9"/>
  <c r="AQ41" i="9"/>
  <c r="KB102" i="9"/>
  <c r="DW71" i="9"/>
  <c r="V83" i="9"/>
  <c r="ER39" i="9"/>
  <c r="EY51" i="9"/>
  <c r="DP67" i="9"/>
  <c r="DB3" i="9"/>
  <c r="IL90" i="9"/>
  <c r="GV22" i="9"/>
  <c r="FM25" i="9"/>
  <c r="BS82" i="9"/>
  <c r="ED33" i="9"/>
  <c r="DI37" i="9"/>
  <c r="JG67" i="9"/>
  <c r="CU64" i="9"/>
  <c r="KP95" i="9"/>
  <c r="DI109" i="9"/>
  <c r="JG107" i="9"/>
  <c r="DW5" i="9"/>
  <c r="BE94" i="9"/>
  <c r="BL65" i="9"/>
  <c r="KP70" i="9"/>
  <c r="AX104" i="9"/>
  <c r="AQ86" i="9"/>
  <c r="HQ4" i="9"/>
  <c r="ED7" i="9"/>
  <c r="DI55" i="9"/>
  <c r="AC64" i="9"/>
  <c r="IE41" i="9"/>
  <c r="GO76" i="9"/>
  <c r="AQ17" i="9"/>
  <c r="GH39" i="9"/>
  <c r="IE85" i="9"/>
  <c r="JG45" i="9"/>
  <c r="GH92" i="9"/>
  <c r="JN22" i="9"/>
  <c r="GV108" i="9"/>
  <c r="KP24" i="9"/>
  <c r="DI31" i="9"/>
  <c r="KP105" i="9"/>
  <c r="CU46" i="9"/>
  <c r="DP104" i="9"/>
  <c r="HC11" i="9"/>
  <c r="KB7" i="9"/>
  <c r="AX32" i="9"/>
  <c r="IE99" i="9"/>
  <c r="FM69" i="9"/>
  <c r="GO64" i="9"/>
  <c r="FF92" i="9"/>
  <c r="DI66" i="9"/>
  <c r="ED104" i="9"/>
  <c r="IL62" i="9"/>
  <c r="ER46" i="9"/>
  <c r="KW52" i="9"/>
  <c r="O9" i="9"/>
  <c r="FF109" i="9"/>
  <c r="GH73" i="9"/>
  <c r="KB86" i="9"/>
  <c r="O82" i="9"/>
  <c r="DB36" i="9"/>
  <c r="BZ94" i="9"/>
  <c r="DB20" i="9"/>
  <c r="FM78" i="9"/>
  <c r="KW83" i="9"/>
  <c r="GV97" i="9"/>
  <c r="HX70" i="9"/>
  <c r="FF21" i="9"/>
  <c r="KP58" i="9"/>
  <c r="BE4" i="9"/>
  <c r="BS101" i="9"/>
  <c r="GH55" i="9"/>
  <c r="HJ72" i="9"/>
  <c r="GH109" i="9"/>
  <c r="JU47" i="9"/>
  <c r="GA47" i="9"/>
  <c r="BS78" i="9"/>
  <c r="ER43" i="9"/>
  <c r="DP89" i="9"/>
  <c r="JN78" i="9"/>
  <c r="IE5" i="9"/>
  <c r="GV49" i="9"/>
  <c r="DI83" i="9"/>
  <c r="GV50" i="9"/>
  <c r="DI16" i="9"/>
  <c r="JU79" i="9"/>
  <c r="AX38" i="9"/>
  <c r="GO24" i="9"/>
  <c r="AJ106" i="9"/>
  <c r="AX54" i="9"/>
  <c r="CU85" i="9"/>
  <c r="CN30" i="9"/>
  <c r="HQ36" i="9"/>
  <c r="GO28" i="9"/>
  <c r="FF76" i="9"/>
  <c r="HX38" i="9"/>
  <c r="ED103" i="9"/>
  <c r="ED68" i="9"/>
  <c r="HX52" i="9"/>
  <c r="KP82" i="9"/>
  <c r="JN57" i="9"/>
  <c r="JG64" i="9"/>
  <c r="CG45" i="9"/>
  <c r="JG35" i="9"/>
  <c r="CG3" i="9"/>
  <c r="CU107" i="9"/>
  <c r="EY98" i="9"/>
  <c r="KP47" i="9"/>
  <c r="GA40" i="9"/>
  <c r="BL49" i="9"/>
  <c r="DI94" i="9"/>
  <c r="DI74" i="9"/>
  <c r="EY61" i="9"/>
  <c r="HJ38" i="9"/>
  <c r="IE75" i="9"/>
  <c r="IS8" i="9"/>
  <c r="HX59" i="9"/>
  <c r="EK10" i="9"/>
  <c r="DW98" i="9"/>
  <c r="HQ35" i="9"/>
  <c r="V88" i="9"/>
  <c r="IL36" i="9"/>
  <c r="BL90" i="9"/>
  <c r="AQ88" i="9"/>
  <c r="CN18" i="9"/>
  <c r="ED51" i="9"/>
  <c r="GH61" i="9"/>
  <c r="IL10" i="9"/>
  <c r="DP36" i="9"/>
  <c r="IL53" i="9"/>
  <c r="EK75" i="9"/>
  <c r="IZ19" i="9"/>
  <c r="BS93" i="9"/>
  <c r="BE9" i="9"/>
  <c r="DP51" i="9"/>
  <c r="JU8" i="9"/>
  <c r="IS98" i="9"/>
  <c r="IE45" i="9"/>
  <c r="V63" i="9"/>
  <c r="HX102" i="9"/>
  <c r="GA78" i="9"/>
  <c r="V34" i="9"/>
  <c r="IZ6" i="9"/>
  <c r="DI84" i="9"/>
  <c r="HX107" i="9"/>
  <c r="CU59" i="9"/>
  <c r="GO20" i="9"/>
  <c r="GH75" i="9"/>
  <c r="V99" i="9"/>
  <c r="GO56" i="9"/>
  <c r="CN89" i="9"/>
  <c r="IS101" i="9"/>
  <c r="GO75" i="9"/>
  <c r="GA23" i="9"/>
  <c r="IZ41" i="9"/>
  <c r="CN108" i="9"/>
  <c r="BL9" i="9"/>
  <c r="HX9" i="9"/>
  <c r="AC44" i="9"/>
  <c r="KI6" i="9"/>
  <c r="DI102" i="9"/>
  <c r="GA85" i="9"/>
  <c r="IS64" i="9"/>
  <c r="JG94" i="9"/>
  <c r="GO109" i="9"/>
  <c r="DI14" i="9"/>
  <c r="GH65" i="9"/>
  <c r="JU90" i="9"/>
  <c r="HQ9" i="9"/>
  <c r="IE46" i="9"/>
  <c r="BE6" i="9"/>
  <c r="DP37" i="9"/>
  <c r="CN101" i="9"/>
  <c r="H77" i="9"/>
  <c r="JN111" i="9"/>
  <c r="HC28" i="9"/>
  <c r="BS94" i="9"/>
  <c r="KW19" i="9"/>
  <c r="DB84" i="9"/>
  <c r="CU48" i="9"/>
  <c r="FT78" i="9"/>
  <c r="AC74" i="9"/>
  <c r="ED42" i="9"/>
  <c r="JG95" i="9"/>
  <c r="JN43" i="9"/>
  <c r="DB26" i="9"/>
  <c r="EK17" i="9"/>
  <c r="HJ106" i="9"/>
  <c r="FM104" i="9"/>
  <c r="IL45" i="9"/>
  <c r="IS58" i="9"/>
  <c r="DB44" i="9"/>
  <c r="JG92" i="9"/>
  <c r="IL98" i="9"/>
  <c r="BL33" i="9"/>
  <c r="BE69" i="9"/>
  <c r="AX79" i="9"/>
  <c r="HQ52" i="9"/>
  <c r="CN71" i="9"/>
  <c r="IS54" i="9"/>
  <c r="ER83" i="9"/>
  <c r="ER103" i="9"/>
  <c r="AX96" i="9"/>
  <c r="IZ91" i="9"/>
  <c r="JG51" i="9"/>
  <c r="HQ15" i="9"/>
  <c r="FT67" i="9"/>
  <c r="DW80" i="9"/>
  <c r="DI35" i="9"/>
  <c r="IE66" i="9"/>
  <c r="ED105" i="9"/>
  <c r="BZ76" i="9"/>
  <c r="BE32" i="9"/>
  <c r="KI58" i="9"/>
  <c r="AQ63" i="9"/>
  <c r="GO68" i="9"/>
  <c r="HJ96" i="9"/>
  <c r="DB23" i="9"/>
  <c r="AC8" i="9"/>
  <c r="CG59" i="9"/>
  <c r="FT64" i="9"/>
  <c r="KW82" i="9"/>
  <c r="GH110" i="9"/>
  <c r="EV75" i="9"/>
  <c r="EY75" i="9" s="1"/>
  <c r="AN26" i="9"/>
  <c r="AQ26" i="9" s="1"/>
  <c r="II96" i="9"/>
  <c r="IL96" i="9" s="1"/>
  <c r="CD104" i="9"/>
  <c r="CG104" i="9" s="1"/>
  <c r="HG66" i="9"/>
  <c r="HJ66" i="9" s="1"/>
  <c r="L85" i="9"/>
  <c r="O85" i="9" s="1"/>
  <c r="KM72" i="9"/>
  <c r="KP72" i="9" s="1"/>
  <c r="BI39" i="9"/>
  <c r="EH73" i="9"/>
  <c r="EK73" i="9" s="1"/>
  <c r="GS109" i="9"/>
  <c r="GV109" i="9" s="1"/>
  <c r="JK94" i="9"/>
  <c r="JN94" i="9" s="1"/>
  <c r="FX79" i="9"/>
  <c r="GA79" i="9" s="1"/>
  <c r="HU30" i="9"/>
  <c r="HX30" i="9" s="1"/>
  <c r="GL19" i="9"/>
  <c r="GO19" i="9" s="1"/>
  <c r="JY38" i="9"/>
  <c r="KB38" i="9" s="1"/>
  <c r="DM101" i="9"/>
  <c r="DP101" i="9" s="1"/>
  <c r="HU110" i="9"/>
  <c r="HX110" i="9" s="1"/>
  <c r="CD94" i="9"/>
  <c r="CG94" i="9" s="1"/>
  <c r="S50" i="9"/>
  <c r="V50" i="9" s="1"/>
  <c r="KM10" i="9"/>
  <c r="KP10" i="9" s="1"/>
  <c r="FJ14" i="9"/>
  <c r="FM14" i="9" s="1"/>
  <c r="IW73" i="9"/>
  <c r="IZ73" i="9" s="1"/>
  <c r="GZ17" i="9"/>
  <c r="HC17" i="9" s="1"/>
  <c r="BZ23" i="9"/>
  <c r="BW28" i="9"/>
  <c r="BZ28" i="9" s="1"/>
  <c r="CN12" i="9"/>
  <c r="FQ32" i="9"/>
  <c r="FT32" i="9" s="1"/>
  <c r="FJ99" i="9"/>
  <c r="FM99" i="9" s="1"/>
  <c r="CK73" i="9"/>
  <c r="CN73" i="9" s="1"/>
  <c r="JY91" i="9"/>
  <c r="KB91" i="9" s="1"/>
  <c r="JR21" i="9"/>
  <c r="JU21" i="9" s="1"/>
  <c r="JR5" i="9"/>
  <c r="JU5" i="9" s="1"/>
  <c r="HX65" i="9"/>
  <c r="KW104" i="9"/>
  <c r="FX101" i="9"/>
  <c r="GA101" i="9" s="1"/>
  <c r="ED35" i="9"/>
  <c r="KF8" i="9"/>
  <c r="KI8" i="9" s="1"/>
  <c r="GE77" i="9"/>
  <c r="GH77" i="9" s="1"/>
  <c r="KP62" i="9"/>
  <c r="GL95" i="9"/>
  <c r="GO95" i="9" s="1"/>
  <c r="Z79" i="9"/>
  <c r="AC79" i="9" s="1"/>
  <c r="S49" i="9"/>
  <c r="V49" i="9" s="1"/>
  <c r="FT60" i="9"/>
  <c r="O48" i="9"/>
  <c r="KM5" i="9"/>
  <c r="KP5" i="9" s="1"/>
  <c r="FQ104" i="9"/>
  <c r="FT104" i="9" s="1"/>
  <c r="GV10" i="9"/>
  <c r="KI32" i="9"/>
  <c r="AC57" i="9"/>
  <c r="CN47" i="9"/>
  <c r="BB35" i="9"/>
  <c r="BE35" i="9" s="1"/>
  <c r="IB109" i="9"/>
  <c r="IE109" i="9" s="1"/>
  <c r="HN101" i="9"/>
  <c r="HQ101" i="9" s="1"/>
  <c r="GE87" i="9"/>
  <c r="GH87" i="9" s="1"/>
  <c r="KM37" i="9"/>
  <c r="KP37" i="9" s="1"/>
  <c r="HX5" i="9"/>
  <c r="L6" i="9"/>
  <c r="O6" i="9" s="1"/>
  <c r="DP26" i="9"/>
  <c r="FJ16" i="9"/>
  <c r="FM16" i="9" s="1"/>
  <c r="HC10" i="9"/>
  <c r="HN79" i="9"/>
  <c r="HQ79" i="9" s="1"/>
  <c r="GZ37" i="9"/>
  <c r="HC37" i="9" s="1"/>
  <c r="KM106" i="9"/>
  <c r="KP106" i="9" s="1"/>
  <c r="EY20" i="9"/>
  <c r="AN92" i="9"/>
  <c r="AQ92" i="9" s="1"/>
  <c r="KF20" i="9"/>
  <c r="KI20" i="9" s="1"/>
  <c r="EH5" i="9"/>
  <c r="EK5" i="9" s="1"/>
  <c r="FC4" i="9"/>
  <c r="FF4" i="9" s="1"/>
  <c r="AU24" i="9"/>
  <c r="AX24" i="9" s="1"/>
  <c r="HG98" i="9"/>
  <c r="HJ98" i="9" s="1"/>
  <c r="FX33" i="9"/>
  <c r="GA33" i="9" s="1"/>
  <c r="JN108" i="9"/>
  <c r="AX26" i="9"/>
  <c r="CR62" i="9"/>
  <c r="CU62" i="9" s="1"/>
  <c r="FQ94" i="9"/>
  <c r="FT94" i="9" s="1"/>
  <c r="II94" i="9"/>
  <c r="IL94" i="9" s="1"/>
  <c r="L13" i="9"/>
  <c r="O13" i="9" s="1"/>
  <c r="BZ83" i="9"/>
  <c r="AG64" i="9"/>
  <c r="AJ64" i="9" s="1"/>
  <c r="FM100" i="9"/>
  <c r="FQ91" i="9"/>
  <c r="FT91" i="9" s="1"/>
  <c r="IS62" i="9"/>
  <c r="DP69" i="9"/>
  <c r="V29" i="9"/>
  <c r="ER10" i="9"/>
  <c r="DM96" i="9"/>
  <c r="DP96" i="9" s="1"/>
  <c r="AG55" i="9"/>
  <c r="AJ55" i="9" s="1"/>
  <c r="DB61" i="9"/>
  <c r="IP87" i="9"/>
  <c r="IS87" i="9" s="1"/>
  <c r="AG83" i="9"/>
  <c r="AJ83" i="9" s="1"/>
  <c r="JD63" i="9"/>
  <c r="JG63" i="9" s="1"/>
  <c r="EA106" i="9"/>
  <c r="ED106" i="9" s="1"/>
  <c r="II89" i="9"/>
  <c r="IL89" i="9" s="1"/>
  <c r="HC13" i="9"/>
  <c r="FJ53" i="9"/>
  <c r="FM53" i="9" s="1"/>
  <c r="GL35" i="9"/>
  <c r="GO35" i="9" s="1"/>
  <c r="FX73" i="9"/>
  <c r="GA73" i="9" s="1"/>
  <c r="GL32" i="9"/>
  <c r="GO32" i="9" s="1"/>
  <c r="V12" i="9"/>
  <c r="CK53" i="9"/>
  <c r="CN53" i="9" s="1"/>
  <c r="JD110" i="9"/>
  <c r="JG110" i="9" s="1"/>
  <c r="O76" i="9"/>
  <c r="Z21" i="9"/>
  <c r="AC21" i="9" s="1"/>
  <c r="CD44" i="9"/>
  <c r="CG44" i="9" s="1"/>
  <c r="GS72" i="9"/>
  <c r="GV72" i="9" s="1"/>
  <c r="DT84" i="9"/>
  <c r="DW84" i="9" s="1"/>
  <c r="FX25" i="9"/>
  <c r="GA25" i="9" s="1"/>
  <c r="BP33" i="9"/>
  <c r="BS33" i="9" s="1"/>
  <c r="EH101" i="9"/>
  <c r="EK101" i="9" s="1"/>
  <c r="JR68" i="9"/>
  <c r="JU68" i="9" s="1"/>
  <c r="BI103" i="9"/>
  <c r="BL103" i="9" s="1"/>
  <c r="JR62" i="9"/>
  <c r="JU62" i="9" s="1"/>
  <c r="GZ38" i="9"/>
  <c r="DM92" i="9"/>
  <c r="DP92" i="9" s="1"/>
  <c r="JU34" i="9"/>
  <c r="BB63" i="9"/>
  <c r="BE63" i="9" s="1"/>
  <c r="GL17" i="9"/>
  <c r="GO17" i="9" s="1"/>
  <c r="GZ74" i="9"/>
  <c r="HC74" i="9" s="1"/>
  <c r="JK41" i="9"/>
  <c r="JN41" i="9" s="1"/>
  <c r="CR71" i="9"/>
  <c r="CU71" i="9" s="1"/>
  <c r="BW49" i="9"/>
  <c r="BZ49" i="9" s="1"/>
  <c r="AX81" i="9"/>
  <c r="KW32" i="9"/>
  <c r="KB61" i="9"/>
  <c r="JK63" i="9"/>
  <c r="JN63" i="9" s="1"/>
  <c r="HC21" i="9"/>
  <c r="IL65" i="9"/>
  <c r="EO41" i="9"/>
  <c r="ER41" i="9" s="1"/>
  <c r="DM66" i="9"/>
  <c r="DP66" i="9" s="1"/>
  <c r="BP5" i="9"/>
  <c r="BS5" i="9" s="1"/>
  <c r="KW34" i="9"/>
  <c r="CK33" i="9"/>
  <c r="CN33" i="9" s="1"/>
  <c r="BW57" i="9"/>
  <c r="BZ57" i="9" s="1"/>
  <c r="GL52" i="9"/>
  <c r="GO52" i="9" s="1"/>
  <c r="BI12" i="9"/>
  <c r="BL12" i="9" s="1"/>
  <c r="GL110" i="9"/>
  <c r="GO110" i="9" s="1"/>
  <c r="BI42" i="9"/>
  <c r="BL42" i="9" s="1"/>
  <c r="AC99" i="9"/>
  <c r="GZ102" i="9"/>
  <c r="HC102" i="9" s="1"/>
  <c r="CY52" i="9"/>
  <c r="DB52" i="9" s="1"/>
  <c r="KW58" i="9"/>
  <c r="IP29" i="9"/>
  <c r="IS29" i="9" s="1"/>
  <c r="CU100" i="9"/>
  <c r="HC60" i="9"/>
  <c r="AU15" i="9"/>
  <c r="AX15" i="9" s="1"/>
  <c r="FF16" i="9"/>
  <c r="BI5" i="9"/>
  <c r="BL5" i="9" s="1"/>
  <c r="BE31" i="9"/>
  <c r="KB31" i="9"/>
  <c r="HG69" i="9"/>
  <c r="HJ69" i="9" s="1"/>
  <c r="GA43" i="9"/>
  <c r="FT69" i="9"/>
  <c r="IB96" i="9"/>
  <c r="IE96" i="9" s="1"/>
  <c r="AG105" i="9"/>
  <c r="AJ105" i="9" s="1"/>
  <c r="BZ105" i="9"/>
  <c r="FJ34" i="9"/>
  <c r="FM34" i="9" s="1"/>
  <c r="CR33" i="9"/>
  <c r="CU33" i="9" s="1"/>
  <c r="EV62" i="9"/>
  <c r="EY62" i="9" s="1"/>
  <c r="GH25" i="9"/>
  <c r="II22" i="9"/>
  <c r="IL22" i="9" s="1"/>
  <c r="FM50" i="9"/>
  <c r="BE20" i="9"/>
  <c r="JK83" i="9"/>
  <c r="JN83" i="9" s="1"/>
  <c r="BE22" i="9"/>
  <c r="FQ13" i="9"/>
  <c r="FT13" i="9" s="1"/>
  <c r="AU35" i="9"/>
  <c r="AX35" i="9" s="1"/>
  <c r="S87" i="9"/>
  <c r="V87" i="9" s="1"/>
  <c r="EO12" i="9"/>
  <c r="ER12" i="9" s="1"/>
  <c r="V8" i="9"/>
  <c r="GE52" i="9"/>
  <c r="GH52" i="9" s="1"/>
  <c r="EO52" i="9"/>
  <c r="ER52" i="9" s="1"/>
  <c r="JR101" i="9"/>
  <c r="JU101" i="9" s="1"/>
  <c r="EO24" i="9"/>
  <c r="ER24" i="9" s="1"/>
  <c r="BP92" i="9"/>
  <c r="BS92" i="9" s="1"/>
  <c r="JY52" i="9"/>
  <c r="KB52" i="9" s="1"/>
  <c r="CY45" i="9"/>
  <c r="DB45" i="9" s="1"/>
  <c r="II50" i="9"/>
  <c r="IL50" i="9" s="1"/>
  <c r="DW41" i="9"/>
  <c r="FT18" i="9"/>
  <c r="KW28" i="9"/>
  <c r="FJ5" i="9"/>
  <c r="FM5" i="9" s="1"/>
  <c r="KW13" i="9"/>
  <c r="FM31" i="9"/>
  <c r="HX108" i="9"/>
  <c r="HU91" i="9"/>
  <c r="HX91" i="9" s="1"/>
  <c r="GS91" i="9"/>
  <c r="GV91" i="9" s="1"/>
  <c r="KW16" i="9"/>
  <c r="FQ77" i="9"/>
  <c r="FT77" i="9" s="1"/>
  <c r="Z92" i="9"/>
  <c r="AC92" i="9" s="1"/>
  <c r="KM98" i="9"/>
  <c r="KP98" i="9" s="1"/>
  <c r="BP102" i="9"/>
  <c r="BS102" i="9" s="1"/>
  <c r="IS38" i="9"/>
  <c r="GA7" i="9"/>
  <c r="KW67" i="9"/>
  <c r="JR36" i="9"/>
  <c r="JU36" i="9" s="1"/>
  <c r="ED75" i="9"/>
  <c r="DW25" i="9"/>
  <c r="AC50" i="9"/>
  <c r="IP88" i="9"/>
  <c r="IS88" i="9" s="1"/>
  <c r="BW27" i="9"/>
  <c r="BZ27" i="9" s="1"/>
  <c r="DT109" i="9"/>
  <c r="DW109" i="9" s="1"/>
  <c r="S101" i="9"/>
  <c r="V101" i="9" s="1"/>
  <c r="L106" i="9"/>
  <c r="O106" i="9" s="1"/>
  <c r="IW29" i="9"/>
  <c r="IZ29" i="9" s="1"/>
  <c r="FJ76" i="9"/>
  <c r="FM76" i="9" s="1"/>
  <c r="KP54" i="9"/>
  <c r="JU78" i="9"/>
  <c r="V71" i="9"/>
  <c r="L103" i="9"/>
  <c r="O103" i="9" s="1"/>
  <c r="HN44" i="9"/>
  <c r="BL34" i="8" s="1"/>
  <c r="EO85" i="9"/>
  <c r="ER85" i="9" s="1"/>
  <c r="GA3" i="9"/>
  <c r="FJ21" i="9"/>
  <c r="FM21" i="9" s="1"/>
  <c r="JY49" i="9"/>
  <c r="KB49" i="9" s="1"/>
  <c r="JD84" i="9"/>
  <c r="JG84" i="9" s="1"/>
  <c r="JD8" i="9"/>
  <c r="JG8" i="9" s="1"/>
  <c r="IP20" i="9"/>
  <c r="IS20" i="9" s="1"/>
  <c r="HG63" i="9"/>
  <c r="HJ63" i="9" s="1"/>
  <c r="CY10" i="9"/>
  <c r="DB10" i="9" s="1"/>
  <c r="KF12" i="9"/>
  <c r="KI12" i="9" s="1"/>
  <c r="DM10" i="9"/>
  <c r="DP10" i="9" s="1"/>
  <c r="EH98" i="9"/>
  <c r="EK98" i="9" s="1"/>
  <c r="CR3" i="9"/>
  <c r="CU3" i="9" s="1"/>
  <c r="CY66" i="9"/>
  <c r="DB66" i="9" s="1"/>
  <c r="BP13" i="9"/>
  <c r="BS13" i="9" s="1"/>
  <c r="HG13" i="9"/>
  <c r="HJ13" i="9" s="1"/>
  <c r="KP77" i="9"/>
  <c r="FC17" i="9"/>
  <c r="FF17" i="9" s="1"/>
  <c r="GL62" i="9"/>
  <c r="GO62" i="9" s="1"/>
  <c r="BE86" i="9"/>
  <c r="KB71" i="9"/>
  <c r="KF97" i="9"/>
  <c r="KI97" i="9" s="1"/>
  <c r="IE87" i="9"/>
  <c r="EK87" i="9"/>
  <c r="BP107" i="9"/>
  <c r="BS107" i="9" s="1"/>
  <c r="FT20" i="9"/>
  <c r="DI24" i="9"/>
  <c r="GA37" i="9"/>
  <c r="KW77" i="9"/>
  <c r="FC56" i="9"/>
  <c r="FF56" i="9" s="1"/>
  <c r="II30" i="9"/>
  <c r="IL30" i="9" s="1"/>
  <c r="JY22" i="9"/>
  <c r="KB22" i="9" s="1"/>
  <c r="KM4" i="9"/>
  <c r="KP4" i="9" s="1"/>
  <c r="GZ92" i="9"/>
  <c r="HC92" i="9" s="1"/>
  <c r="CR110" i="9"/>
  <c r="CU110" i="9" s="1"/>
  <c r="HQ83" i="9"/>
  <c r="GV96" i="9"/>
  <c r="KM94" i="9"/>
  <c r="KP94" i="9" s="1"/>
  <c r="BE12" i="9"/>
  <c r="DW92" i="9"/>
  <c r="DP54" i="9"/>
  <c r="KM93" i="9"/>
  <c r="KP93" i="9" s="1"/>
  <c r="CD43" i="9"/>
  <c r="CG43" i="9" s="1"/>
  <c r="EO91" i="9"/>
  <c r="ER91" i="9" s="1"/>
  <c r="EH108" i="9"/>
  <c r="EK108" i="9" s="1"/>
  <c r="DM43" i="9"/>
  <c r="DP43" i="9" s="1"/>
  <c r="IB108" i="9"/>
  <c r="IE108" i="9" s="1"/>
  <c r="BW87" i="9"/>
  <c r="BZ87" i="9" s="1"/>
  <c r="EV72" i="9"/>
  <c r="EY72" i="9" s="1"/>
  <c r="HN46" i="9"/>
  <c r="HQ46" i="9" s="1"/>
  <c r="JU22" i="9"/>
  <c r="KW69" i="9"/>
  <c r="CK99" i="9"/>
  <c r="CN99" i="9" s="1"/>
  <c r="BB38" i="9"/>
  <c r="S11" i="9"/>
  <c r="V11" i="9" s="1"/>
  <c r="CY83" i="9"/>
  <c r="DB83" i="9" s="1"/>
  <c r="EA81" i="9"/>
  <c r="ED81" i="9" s="1"/>
  <c r="O39" i="9"/>
  <c r="HG68" i="9"/>
  <c r="HJ68" i="9" s="1"/>
  <c r="GZ36" i="9"/>
  <c r="HC36" i="9" s="1"/>
  <c r="KW109" i="9"/>
  <c r="EH88" i="9"/>
  <c r="EK88" i="9" s="1"/>
  <c r="GZ57" i="9"/>
  <c r="HC57" i="9" s="1"/>
  <c r="GL12" i="9"/>
  <c r="GO12" i="9" s="1"/>
  <c r="BI68" i="9"/>
  <c r="BL68" i="9" s="1"/>
  <c r="EK39" i="9"/>
  <c r="DI98" i="9"/>
  <c r="CR17" i="9"/>
  <c r="CU17" i="9" s="1"/>
  <c r="JK109" i="9"/>
  <c r="JN109" i="9" s="1"/>
  <c r="DT74" i="9"/>
  <c r="DW74" i="9" s="1"/>
  <c r="BW37" i="9"/>
  <c r="BZ37" i="9" s="1"/>
  <c r="FQ42" i="9"/>
  <c r="FT42" i="9" s="1"/>
  <c r="CK43" i="9"/>
  <c r="HC63" i="9"/>
  <c r="CU34" i="9"/>
  <c r="EO61" i="9"/>
  <c r="ER61" i="9" s="1"/>
  <c r="DW90" i="9"/>
  <c r="BB73" i="9"/>
  <c r="BE73" i="9" s="1"/>
  <c r="AU100" i="9"/>
  <c r="AX100" i="9" s="1"/>
  <c r="IW86" i="9"/>
  <c r="IZ86" i="9" s="1"/>
  <c r="KF10" i="9"/>
  <c r="KI10" i="9" s="1"/>
  <c r="JY43" i="9"/>
  <c r="KB43" i="9" s="1"/>
  <c r="ER30" i="9"/>
  <c r="DW86" i="9"/>
  <c r="KM49" i="9"/>
  <c r="KP49" i="9" s="1"/>
  <c r="HN102" i="9"/>
  <c r="HQ102" i="9" s="1"/>
  <c r="HG3" i="9"/>
  <c r="HJ3" i="9" s="1"/>
  <c r="HG47" i="9"/>
  <c r="HJ47" i="9" s="1"/>
  <c r="DI26" i="9"/>
  <c r="GL34" i="9"/>
  <c r="GO34" i="9" s="1"/>
  <c r="EK15" i="9"/>
  <c r="JY24" i="9"/>
  <c r="KB24" i="9" s="1"/>
  <c r="EV93" i="9"/>
  <c r="EY93" i="9" s="1"/>
  <c r="GH51" i="9"/>
  <c r="AC83" i="9"/>
  <c r="GV111" i="9"/>
  <c r="FQ74" i="9"/>
  <c r="FT74" i="9" s="1"/>
  <c r="KB19" i="9"/>
  <c r="CK31" i="9"/>
  <c r="CN31" i="9" s="1"/>
  <c r="EO80" i="9"/>
  <c r="ER80" i="9" s="1"/>
  <c r="EO105" i="9"/>
  <c r="ER105" i="9" s="1"/>
  <c r="IS59" i="9"/>
  <c r="DW57" i="9"/>
  <c r="KW40" i="9"/>
  <c r="DM41" i="9"/>
  <c r="DP41" i="9" s="1"/>
  <c r="KW9" i="9"/>
  <c r="IB17" i="9"/>
  <c r="IE17" i="9" s="1"/>
  <c r="BB79" i="9"/>
  <c r="BE79" i="9" s="1"/>
  <c r="IB21" i="9"/>
  <c r="IE21" i="9" s="1"/>
  <c r="AU16" i="9"/>
  <c r="AX16" i="9" s="1"/>
  <c r="IE80" i="9"/>
  <c r="BW16" i="9"/>
  <c r="BZ16" i="9" s="1"/>
  <c r="CU77" i="9"/>
  <c r="II109" i="9"/>
  <c r="IL109" i="9" s="1"/>
  <c r="BW92" i="9"/>
  <c r="BZ92" i="9" s="1"/>
  <c r="EA98" i="9"/>
  <c r="ED98" i="9" s="1"/>
  <c r="GH96" i="9"/>
  <c r="FF111" i="9"/>
  <c r="FT92" i="9"/>
  <c r="Z59" i="9"/>
  <c r="AC59" i="9" s="1"/>
  <c r="EV92" i="9"/>
  <c r="EY92" i="9" s="1"/>
  <c r="AN60" i="9"/>
  <c r="AQ60" i="9" s="1"/>
  <c r="AG25" i="9"/>
  <c r="AJ25" i="9" s="1"/>
  <c r="BZ7" i="9"/>
  <c r="CD64" i="9"/>
  <c r="CG64" i="9" s="1"/>
  <c r="II99" i="9"/>
  <c r="IL99" i="9" s="1"/>
  <c r="HX16" i="9"/>
  <c r="ER16" i="9"/>
  <c r="JR17" i="9"/>
  <c r="JU17" i="9" s="1"/>
  <c r="GA26" i="9"/>
  <c r="HU23" i="9"/>
  <c r="HX23" i="9" s="1"/>
  <c r="HC87" i="9"/>
  <c r="BI54" i="9"/>
  <c r="BL54" i="9" s="1"/>
  <c r="L18" i="9"/>
  <c r="O18" i="9" s="1"/>
  <c r="HU15" i="9"/>
  <c r="HX15" i="9" s="1"/>
  <c r="BS43" i="9"/>
  <c r="JR51" i="9"/>
  <c r="JU51" i="9" s="1"/>
  <c r="JU44" i="9"/>
  <c r="DM12" i="9"/>
  <c r="DP12" i="9" s="1"/>
  <c r="FT50" i="9"/>
  <c r="IE103" i="9"/>
  <c r="AU18" i="9"/>
  <c r="AX18" i="9" s="1"/>
  <c r="IE95" i="9"/>
  <c r="KB68" i="9"/>
  <c r="CU52" i="9"/>
  <c r="JN62" i="9"/>
  <c r="KI41" i="9"/>
  <c r="O53" i="9"/>
  <c r="II4" i="9"/>
  <c r="IL4" i="9" s="1"/>
  <c r="IP52" i="9"/>
  <c r="IS52" i="9" s="1"/>
  <c r="JK33" i="9"/>
  <c r="JN33" i="9" s="1"/>
  <c r="FC43" i="9"/>
  <c r="FF43" i="9" s="1"/>
  <c r="HU97" i="9"/>
  <c r="HX97" i="9" s="1"/>
  <c r="HU92" i="9"/>
  <c r="HX92" i="9" s="1"/>
  <c r="HG24" i="9"/>
  <c r="HJ24" i="9" s="1"/>
  <c r="JY13" i="9"/>
  <c r="KB13" i="9" s="1"/>
  <c r="BP52" i="9"/>
  <c r="BS52" i="9" s="1"/>
  <c r="AN74" i="9"/>
  <c r="AQ74" i="9" s="1"/>
  <c r="ED82" i="9"/>
  <c r="JU25" i="9"/>
  <c r="HG71" i="9"/>
  <c r="HJ71" i="9" s="1"/>
  <c r="BP7" i="9"/>
  <c r="BS7" i="9" s="1"/>
  <c r="BB24" i="9"/>
  <c r="BE24" i="9" s="1"/>
  <c r="IP40" i="9"/>
  <c r="IS40" i="9" s="1"/>
  <c r="II24" i="9"/>
  <c r="IL24" i="9" s="1"/>
  <c r="GE60" i="9"/>
  <c r="GH60" i="9" s="1"/>
  <c r="JN89" i="9"/>
  <c r="GO42" i="9"/>
  <c r="KF63" i="9"/>
  <c r="KI63" i="9" s="1"/>
  <c r="FC59" i="9"/>
  <c r="FF59" i="9" s="1"/>
  <c r="IL3" i="9"/>
  <c r="BL17" i="9"/>
  <c r="IL110" i="9"/>
  <c r="KP13" i="9"/>
  <c r="AN3" i="9"/>
  <c r="AQ3" i="9" s="1"/>
  <c r="EH53" i="9"/>
  <c r="EK53" i="9" s="1"/>
  <c r="EA16" i="9"/>
  <c r="ED16" i="9" s="1"/>
  <c r="FJ93" i="9"/>
  <c r="FM93" i="9" s="1"/>
  <c r="DW89" i="9"/>
  <c r="IW103" i="9"/>
  <c r="IZ103" i="9" s="1"/>
  <c r="CD42" i="9"/>
  <c r="CG42" i="9" s="1"/>
  <c r="EY87" i="9"/>
  <c r="CY7" i="9"/>
  <c r="DB7" i="9" s="1"/>
  <c r="CD8" i="9"/>
  <c r="CG8" i="9" s="1"/>
  <c r="DT102" i="9"/>
  <c r="DW102" i="9" s="1"/>
  <c r="BE62" i="9"/>
  <c r="JK4" i="9"/>
  <c r="JN4" i="9" s="1"/>
  <c r="GA31" i="9"/>
  <c r="FX41" i="9"/>
  <c r="GA41" i="9" s="1"/>
  <c r="GA77" i="9"/>
  <c r="JN9" i="9"/>
  <c r="II79" i="9"/>
  <c r="IL79" i="9" s="1"/>
  <c r="CR103" i="9"/>
  <c r="CU103" i="9" s="1"/>
  <c r="BL18" i="9"/>
  <c r="CY14" i="9"/>
  <c r="DB14" i="9" s="1"/>
  <c r="HG42" i="9"/>
  <c r="HJ42" i="9" s="1"/>
  <c r="AG70" i="9"/>
  <c r="AJ70" i="9" s="1"/>
  <c r="EA8" i="9"/>
  <c r="ED8" i="9" s="1"/>
  <c r="S7" i="9"/>
  <c r="V7" i="9" s="1"/>
  <c r="CY73" i="9"/>
  <c r="DB73" i="9" s="1"/>
  <c r="JK70" i="9"/>
  <c r="JN70" i="9" s="1"/>
  <c r="AG29" i="9"/>
  <c r="AJ29" i="9" s="1"/>
  <c r="FQ80" i="9"/>
  <c r="FT80" i="9" s="1"/>
  <c r="BE61" i="9"/>
  <c r="KF51" i="9"/>
  <c r="KI51" i="9" s="1"/>
  <c r="EH36" i="9"/>
  <c r="EK36" i="9" s="1"/>
  <c r="KF103" i="9"/>
  <c r="KI103" i="9" s="1"/>
  <c r="L98" i="9"/>
  <c r="O98" i="9" s="1"/>
  <c r="JG70" i="9"/>
  <c r="IS39" i="9"/>
  <c r="FM108" i="9"/>
  <c r="Z60" i="9"/>
  <c r="AC60" i="9" s="1"/>
  <c r="IP103" i="9"/>
  <c r="IS103" i="9" s="1"/>
  <c r="DW53" i="9"/>
  <c r="IB33" i="9"/>
  <c r="IE33" i="9" s="1"/>
  <c r="HQ32" i="9"/>
  <c r="AQ10" i="9"/>
  <c r="KB80" i="9"/>
  <c r="GO57" i="9"/>
  <c r="HQ38" i="9"/>
  <c r="GZ96" i="9"/>
  <c r="HC96" i="9" s="1"/>
  <c r="KF82" i="9"/>
  <c r="KI82" i="9" s="1"/>
  <c r="GS13" i="9"/>
  <c r="GV13" i="9" s="1"/>
  <c r="AN87" i="9"/>
  <c r="AQ87" i="9" s="1"/>
  <c r="EV74" i="9"/>
  <c r="EY74" i="9" s="1"/>
  <c r="KF106" i="9"/>
  <c r="KI106" i="9" s="1"/>
  <c r="DT94" i="9"/>
  <c r="DW94" i="9" s="1"/>
  <c r="BI44" i="9"/>
  <c r="BL44" i="9" s="1"/>
  <c r="FJ37" i="9"/>
  <c r="FM37" i="9" s="1"/>
  <c r="GE26" i="9"/>
  <c r="GH26" i="9" s="1"/>
  <c r="EO98" i="9"/>
  <c r="ER98" i="9" s="1"/>
  <c r="AG85" i="9"/>
  <c r="AJ85" i="9" s="1"/>
  <c r="JR77" i="9"/>
  <c r="JU77" i="9" s="1"/>
  <c r="HU93" i="9"/>
  <c r="HX93" i="9" s="1"/>
  <c r="BI10" i="9"/>
  <c r="BL10" i="9" s="1"/>
  <c r="KF27" i="9"/>
  <c r="KI27" i="9" s="1"/>
  <c r="CD49" i="9"/>
  <c r="CG49" i="9" s="1"/>
  <c r="S78" i="9"/>
  <c r="V78" i="9" s="1"/>
  <c r="FJ20" i="9"/>
  <c r="FM20" i="9" s="1"/>
  <c r="EO19" i="9"/>
  <c r="ER19" i="9" s="1"/>
  <c r="FJ15" i="9"/>
  <c r="FM15" i="9" s="1"/>
  <c r="BB103" i="9"/>
  <c r="BE103" i="9" s="1"/>
  <c r="FJ52" i="9"/>
  <c r="FM52" i="9" s="1"/>
  <c r="EA92" i="9"/>
  <c r="ED92" i="9" s="1"/>
  <c r="JK20" i="9"/>
  <c r="JN20" i="9" s="1"/>
  <c r="EO97" i="9"/>
  <c r="ER97" i="9" s="1"/>
  <c r="BI61" i="9"/>
  <c r="BL61" i="9" s="1"/>
  <c r="L46" i="9"/>
  <c r="O46" i="9" s="1"/>
  <c r="CY111" i="9"/>
  <c r="DB111" i="9" s="1"/>
  <c r="IZ50" i="9"/>
  <c r="ER70" i="9"/>
  <c r="BI111" i="9"/>
  <c r="BL111" i="9" s="1"/>
  <c r="BE75" i="9"/>
  <c r="AG110" i="9"/>
  <c r="AJ110" i="9" s="1"/>
  <c r="CG61" i="9"/>
  <c r="BI107" i="9"/>
  <c r="BL107" i="9" s="1"/>
  <c r="AX41" i="9"/>
  <c r="AN108" i="9"/>
  <c r="AQ108" i="9" s="1"/>
  <c r="Z10" i="9"/>
  <c r="AC10" i="9" s="1"/>
  <c r="KW105" i="9"/>
  <c r="ER89" i="9"/>
  <c r="II80" i="9"/>
  <c r="IL80" i="9" s="1"/>
  <c r="JY27" i="9"/>
  <c r="KB27" i="9" s="1"/>
  <c r="IE4" i="9"/>
  <c r="EA49" i="9"/>
  <c r="ED49" i="9" s="1"/>
  <c r="DW15" i="9"/>
  <c r="GZ101" i="9"/>
  <c r="HC101" i="9" s="1"/>
  <c r="AX75" i="9"/>
  <c r="IB56" i="9"/>
  <c r="IE56" i="9" s="1"/>
  <c r="FJ64" i="9"/>
  <c r="FM64" i="9" s="1"/>
  <c r="IE111" i="9"/>
  <c r="CY47" i="9"/>
  <c r="DB47" i="9" s="1"/>
  <c r="EY60" i="9"/>
  <c r="KM42" i="9"/>
  <c r="KP42" i="9" s="1"/>
  <c r="FF83" i="9"/>
  <c r="GS53" i="9"/>
  <c r="GV53" i="9" s="1"/>
  <c r="IW34" i="9"/>
  <c r="IZ34" i="9" s="1"/>
  <c r="JD82" i="9"/>
  <c r="JG82" i="9" s="1"/>
  <c r="V42" i="9"/>
  <c r="IB42" i="9"/>
  <c r="IE42" i="9" s="1"/>
  <c r="ED23" i="9"/>
  <c r="IW61" i="9"/>
  <c r="IZ61" i="9" s="1"/>
  <c r="BI86" i="9"/>
  <c r="BL86" i="9" s="1"/>
  <c r="EH89" i="9"/>
  <c r="EK89" i="9" s="1"/>
  <c r="KW102" i="9"/>
  <c r="CD67" i="9"/>
  <c r="CG67" i="9" s="1"/>
  <c r="JY39" i="9"/>
  <c r="KB39" i="9" s="1"/>
  <c r="GV56" i="9"/>
  <c r="CN27" i="9"/>
  <c r="FF36" i="9"/>
  <c r="EY46" i="9"/>
  <c r="EO14" i="9"/>
  <c r="ER14" i="9" s="1"/>
  <c r="FT37" i="9"/>
  <c r="EK63" i="9"/>
  <c r="DM21" i="9"/>
  <c r="DP21" i="9" s="1"/>
  <c r="ER13" i="9"/>
  <c r="FF20" i="9"/>
  <c r="AG96" i="9"/>
  <c r="AJ96" i="9" s="1"/>
  <c r="AU72" i="9"/>
  <c r="AX72" i="9" s="1"/>
  <c r="CK94" i="9"/>
  <c r="CN94" i="9" s="1"/>
  <c r="L109" i="9"/>
  <c r="O109" i="9" s="1"/>
  <c r="IB86" i="9"/>
  <c r="IE86" i="9" s="1"/>
  <c r="BW33" i="9"/>
  <c r="BZ33" i="9" s="1"/>
  <c r="L37" i="9"/>
  <c r="O37" i="9" s="1"/>
  <c r="FX15" i="9"/>
  <c r="GA15" i="9" s="1"/>
  <c r="FC64" i="9"/>
  <c r="AJ94" i="9"/>
  <c r="HG12" i="9"/>
  <c r="HJ12" i="9" s="1"/>
  <c r="CK46" i="9"/>
  <c r="CN46" i="9" s="1"/>
  <c r="BW47" i="9"/>
  <c r="BZ47" i="9" s="1"/>
  <c r="JD33" i="9"/>
  <c r="JG33" i="9" s="1"/>
  <c r="KW98" i="9"/>
  <c r="JN101" i="9"/>
  <c r="AQ15" i="9"/>
  <c r="CY69" i="9"/>
  <c r="DB69" i="9" s="1"/>
  <c r="AU97" i="9"/>
  <c r="AX97" i="9" s="1"/>
  <c r="GE102" i="9"/>
  <c r="GH102" i="9" s="1"/>
  <c r="JR89" i="9"/>
  <c r="JU89" i="9" s="1"/>
  <c r="GL59" i="9"/>
  <c r="GO59" i="9" s="1"/>
  <c r="L7" i="9"/>
  <c r="O7" i="9" s="1"/>
  <c r="IZ16" i="9"/>
  <c r="KF33" i="9"/>
  <c r="KI33" i="9" s="1"/>
  <c r="IW98" i="9"/>
  <c r="IZ98" i="9" s="1"/>
  <c r="IW12" i="9"/>
  <c r="IZ12" i="9" s="1"/>
  <c r="KW11" i="9"/>
  <c r="HN107" i="9"/>
  <c r="HQ107" i="9" s="1"/>
  <c r="HX55" i="9"/>
  <c r="S25" i="9"/>
  <c r="V25" i="9" s="1"/>
  <c r="EV67" i="9"/>
  <c r="L64" i="9"/>
  <c r="O64" i="9" s="1"/>
  <c r="CY62" i="9"/>
  <c r="DB62" i="9" s="1"/>
  <c r="FM30" i="9"/>
  <c r="BP44" i="9"/>
  <c r="BS44" i="9" s="1"/>
  <c r="ER49" i="9"/>
  <c r="KF99" i="9"/>
  <c r="KI99" i="9" s="1"/>
  <c r="JR3" i="9"/>
  <c r="JU3" i="9" s="1"/>
  <c r="KW87" i="9"/>
  <c r="FJ55" i="9"/>
  <c r="GE90" i="9"/>
  <c r="GH90" i="9" s="1"/>
  <c r="JU43" i="9"/>
  <c r="AX9" i="9"/>
  <c r="HG26" i="9"/>
  <c r="HJ26" i="9" s="1"/>
  <c r="GV99" i="9"/>
  <c r="EH42" i="9"/>
  <c r="EK42" i="9" s="1"/>
  <c r="EA73" i="9"/>
  <c r="ED73" i="9" s="1"/>
  <c r="GE95" i="9"/>
  <c r="GH95" i="9" s="1"/>
  <c r="CD16" i="9"/>
  <c r="CG16" i="9" s="1"/>
  <c r="HN53" i="9"/>
  <c r="HQ53" i="9" s="1"/>
  <c r="EA19" i="9"/>
  <c r="ED19" i="9" s="1"/>
  <c r="CK5" i="9"/>
  <c r="CN5" i="9" s="1"/>
  <c r="JY17" i="9"/>
  <c r="KB17" i="9" s="1"/>
  <c r="DM17" i="9"/>
  <c r="DP17" i="9" s="1"/>
  <c r="ER77" i="9"/>
  <c r="EO18" i="9"/>
  <c r="ER18" i="9" s="1"/>
  <c r="DT72" i="9"/>
  <c r="DW72" i="9" s="1"/>
  <c r="L56" i="9"/>
  <c r="O56" i="9" s="1"/>
  <c r="FQ17" i="9"/>
  <c r="FT17" i="9" s="1"/>
  <c r="IB30" i="9"/>
  <c r="IE30" i="9" s="1"/>
  <c r="KB95" i="9"/>
  <c r="V90" i="9"/>
  <c r="HG30" i="9"/>
  <c r="HJ30" i="9" s="1"/>
  <c r="KW44" i="9"/>
  <c r="CY98" i="9"/>
  <c r="DB98" i="9" s="1"/>
  <c r="IW87" i="9"/>
  <c r="IZ87" i="9" s="1"/>
  <c r="BB110" i="9"/>
  <c r="BE110" i="9" s="1"/>
  <c r="DT49" i="9"/>
  <c r="DW49" i="9" s="1"/>
  <c r="JR64" i="9"/>
  <c r="JU64" i="9" s="1"/>
  <c r="BS64" i="9"/>
  <c r="GL45" i="9"/>
  <c r="GO45" i="9" s="1"/>
  <c r="GS8" i="9"/>
  <c r="GV8" i="9" s="1"/>
  <c r="JG111" i="9"/>
  <c r="KP67" i="9"/>
  <c r="GZ42" i="9"/>
  <c r="HC42" i="9" s="1"/>
  <c r="GZ41" i="9"/>
  <c r="HC41" i="9" s="1"/>
  <c r="JR76" i="9"/>
  <c r="JU76" i="9" s="1"/>
  <c r="FC78" i="9"/>
  <c r="FF78" i="9" s="1"/>
  <c r="AG53" i="9"/>
  <c r="AJ53" i="9" s="1"/>
  <c r="KF74" i="9"/>
  <c r="KI74" i="9" s="1"/>
  <c r="AN80" i="9"/>
  <c r="AQ80" i="9" s="1"/>
  <c r="Z108" i="9"/>
  <c r="AC108" i="9" s="1"/>
  <c r="GZ95" i="9"/>
  <c r="HC95" i="9" s="1"/>
  <c r="IB25" i="9"/>
  <c r="IE25" i="9" s="1"/>
  <c r="IZ57" i="9"/>
  <c r="HG102" i="9"/>
  <c r="HJ102" i="9" s="1"/>
  <c r="FF11" i="9"/>
  <c r="BI13" i="9"/>
  <c r="BL13" i="9" s="1"/>
  <c r="AG98" i="9"/>
  <c r="AJ98" i="9" s="1"/>
  <c r="IP60" i="9"/>
  <c r="IS60" i="9" s="1"/>
  <c r="GE64" i="9"/>
  <c r="GH64" i="9" s="1"/>
  <c r="CU24" i="9"/>
  <c r="BP75" i="9"/>
  <c r="BS75" i="9" s="1"/>
  <c r="HN105" i="9"/>
  <c r="HQ105" i="9" s="1"/>
  <c r="DT65" i="9"/>
  <c r="DW65" i="9" s="1"/>
  <c r="AC91" i="9"/>
  <c r="O58" i="9"/>
  <c r="EK102" i="9"/>
  <c r="GA13" i="9"/>
  <c r="V72" i="9"/>
  <c r="S43" i="9"/>
  <c r="V43" i="9" s="1"/>
  <c r="BI21" i="9"/>
  <c r="BL21" i="9" s="1"/>
  <c r="JY44" i="9"/>
  <c r="KB44" i="9" s="1"/>
  <c r="DT39" i="9"/>
  <c r="DW39" i="9" s="1"/>
  <c r="JK3" i="9"/>
  <c r="JN3" i="9" s="1"/>
  <c r="KW50" i="9"/>
  <c r="KF107" i="9"/>
  <c r="KI107" i="9" s="1"/>
  <c r="BW103" i="9"/>
  <c r="BZ103" i="9" s="1"/>
  <c r="GS6" i="9"/>
  <c r="GV6" i="9" s="1"/>
  <c r="JG87" i="9"/>
  <c r="JG53" i="9"/>
  <c r="CU15" i="9"/>
  <c r="KI65" i="9"/>
  <c r="DB78" i="9"/>
  <c r="KW26" i="9"/>
  <c r="FT21" i="9"/>
  <c r="GV106" i="9"/>
  <c r="AU94" i="9"/>
  <c r="AX94" i="9" s="1"/>
  <c r="II15" i="9"/>
  <c r="IL15" i="9" s="1"/>
  <c r="AG87" i="9"/>
  <c r="AJ87" i="9" s="1"/>
  <c r="HJ27" i="9"/>
  <c r="L14" i="9"/>
  <c r="O14" i="9" s="1"/>
  <c r="EA25" i="9"/>
  <c r="ED25" i="9" s="1"/>
  <c r="CY70" i="9"/>
  <c r="DB70" i="9" s="1"/>
  <c r="FC7" i="9"/>
  <c r="FF7" i="9" s="1"/>
  <c r="HQ67" i="9"/>
  <c r="GS64" i="9"/>
  <c r="GV64" i="9" s="1"/>
  <c r="JD109" i="9"/>
  <c r="JG109" i="9" s="1"/>
  <c r="HU34" i="9"/>
  <c r="HX34" i="9" s="1"/>
  <c r="BZ82" i="9"/>
  <c r="BE17" i="9"/>
  <c r="AG66" i="9"/>
  <c r="AJ66" i="9" s="1"/>
  <c r="GH21" i="9"/>
  <c r="BW21" i="9"/>
  <c r="BZ21" i="9" s="1"/>
  <c r="KP14" i="9"/>
  <c r="HN78" i="9"/>
  <c r="HQ78" i="9" s="1"/>
  <c r="BZ97" i="9"/>
  <c r="S38" i="9"/>
  <c r="V38" i="9" s="1"/>
  <c r="FC60" i="9"/>
  <c r="FF60" i="9" s="1"/>
  <c r="HC52" i="9"/>
  <c r="IB49" i="9"/>
  <c r="IE49" i="9" s="1"/>
  <c r="DM103" i="9"/>
  <c r="DP103" i="9" s="1"/>
  <c r="JK92" i="9"/>
  <c r="JN92" i="9" s="1"/>
  <c r="AU69" i="9"/>
  <c r="AX69" i="9" s="1"/>
  <c r="EV63" i="9"/>
  <c r="EY63" i="9" s="1"/>
  <c r="KW68" i="9"/>
  <c r="GL66" i="9"/>
  <c r="GO66" i="9" s="1"/>
  <c r="HX98" i="9"/>
  <c r="KW100" i="9"/>
  <c r="Z100" i="9"/>
  <c r="AC100" i="9" s="1"/>
  <c r="KM31" i="9"/>
  <c r="KP31" i="9" s="1"/>
  <c r="CR21" i="9"/>
  <c r="CU21" i="9" s="1"/>
  <c r="KW108" i="9"/>
  <c r="BI52" i="9"/>
  <c r="BL52" i="9" s="1"/>
  <c r="AG100" i="9"/>
  <c r="AJ100" i="9" s="1"/>
  <c r="IB47" i="9"/>
  <c r="IE47" i="9" s="1"/>
  <c r="GL55" i="9"/>
  <c r="HN21" i="9"/>
  <c r="HQ21" i="9" s="1"/>
  <c r="JD5" i="9"/>
  <c r="JG5" i="9" s="1"/>
  <c r="BI106" i="9"/>
  <c r="BL106" i="9" s="1"/>
  <c r="JK79" i="9"/>
  <c r="JN79" i="9" s="1"/>
  <c r="KF72" i="9"/>
  <c r="KI72" i="9" s="1"/>
  <c r="FC91" i="9"/>
  <c r="FF91" i="9" s="1"/>
  <c r="HN88" i="9"/>
  <c r="HQ88" i="9" s="1"/>
  <c r="CK68" i="9"/>
  <c r="CN68" i="9" s="1"/>
  <c r="BE28" i="9"/>
  <c r="GZ71" i="9"/>
  <c r="HC71" i="9" s="1"/>
  <c r="HG91" i="9"/>
  <c r="HJ91" i="9" s="1"/>
  <c r="JG6" i="9"/>
  <c r="KW46" i="9"/>
  <c r="KF9" i="9"/>
  <c r="KI9" i="9" s="1"/>
  <c r="BB57" i="9"/>
  <c r="BE57" i="9" s="1"/>
  <c r="BZ51" i="9"/>
  <c r="HN20" i="9"/>
  <c r="HQ20" i="9" s="1"/>
  <c r="JY42" i="9"/>
  <c r="KB42" i="9" s="1"/>
  <c r="AJ52" i="9"/>
  <c r="BW24" i="9"/>
  <c r="BZ24" i="9" s="1"/>
  <c r="HG52" i="9"/>
  <c r="HJ52" i="9" s="1"/>
  <c r="AX99" i="9"/>
  <c r="BI14" i="9"/>
  <c r="BL14" i="9" s="1"/>
  <c r="EO88" i="9"/>
  <c r="ER88" i="9" s="1"/>
  <c r="AQ72" i="9"/>
  <c r="FQ111" i="9"/>
  <c r="FT111" i="9" s="1"/>
  <c r="ED85" i="9"/>
  <c r="IP32" i="9"/>
  <c r="IS32" i="9" s="1"/>
  <c r="FC39" i="9"/>
  <c r="FF39" i="9" s="1"/>
  <c r="DT8" i="9"/>
  <c r="DW8" i="9" s="1"/>
  <c r="L8" i="9"/>
  <c r="O8" i="9" s="1"/>
  <c r="FX45" i="9"/>
  <c r="GA45" i="9" s="1"/>
  <c r="FC99" i="9"/>
  <c r="FF99" i="9" s="1"/>
  <c r="GZ45" i="9"/>
  <c r="HC45" i="9" s="1"/>
  <c r="BZ101" i="9"/>
  <c r="L87" i="9"/>
  <c r="O87" i="9" s="1"/>
  <c r="KF88" i="9"/>
  <c r="KI88" i="9" s="1"/>
  <c r="HC103" i="9"/>
  <c r="JU11" i="9"/>
  <c r="HQ63" i="9"/>
  <c r="KF17" i="9"/>
  <c r="KI17" i="9" s="1"/>
  <c r="AQ90" i="9"/>
  <c r="O20" i="9"/>
  <c r="FC6" i="9"/>
  <c r="FF6" i="9" s="1"/>
  <c r="AG4" i="9"/>
  <c r="AJ4" i="9" s="1"/>
  <c r="DB88" i="9"/>
  <c r="O47" i="9"/>
  <c r="GE54" i="9"/>
  <c r="GH54" i="9" s="1"/>
  <c r="Z40" i="9"/>
  <c r="AC40" i="9" s="1"/>
  <c r="FX87" i="9"/>
  <c r="GA87" i="9" s="1"/>
  <c r="AG103" i="9"/>
  <c r="AJ103" i="9" s="1"/>
  <c r="CG78" i="9"/>
  <c r="GO5" i="9"/>
  <c r="EV71" i="9"/>
  <c r="EY71" i="9" s="1"/>
  <c r="Z35" i="9"/>
  <c r="AC35" i="9" s="1"/>
  <c r="GV85" i="9"/>
  <c r="IL40" i="9"/>
  <c r="AU27" i="9"/>
  <c r="AX27" i="9" s="1"/>
  <c r="AQ81" i="9"/>
  <c r="JG85" i="9"/>
  <c r="DM4" i="9"/>
  <c r="DP4" i="9" s="1"/>
  <c r="FT31" i="9"/>
  <c r="EH60" i="9"/>
  <c r="EK60" i="9" s="1"/>
  <c r="BI63" i="9"/>
  <c r="BL63" i="9" s="1"/>
  <c r="CR88" i="9"/>
  <c r="CU88" i="9" s="1"/>
  <c r="IB51" i="9"/>
  <c r="IE51" i="9" s="1"/>
  <c r="HG94" i="9"/>
  <c r="HJ94" i="9" s="1"/>
  <c r="KM87" i="9"/>
  <c r="KP87" i="9" s="1"/>
  <c r="JD83" i="9"/>
  <c r="JG83" i="9" s="1"/>
  <c r="FX74" i="9"/>
  <c r="GA74" i="9" s="1"/>
  <c r="KF87" i="9"/>
  <c r="KI87" i="9" s="1"/>
  <c r="HG111" i="9"/>
  <c r="HJ111" i="9" s="1"/>
  <c r="JD59" i="9"/>
  <c r="JG59" i="9" s="1"/>
  <c r="FX83" i="9"/>
  <c r="GA83" i="9" s="1"/>
  <c r="GZ50" i="9"/>
  <c r="HC50" i="9" s="1"/>
  <c r="S104" i="9"/>
  <c r="V104" i="9" s="1"/>
  <c r="IS105" i="9"/>
  <c r="CG17" i="9"/>
  <c r="IZ76" i="9"/>
  <c r="FQ41" i="9"/>
  <c r="FT41" i="9" s="1"/>
  <c r="HC90" i="9"/>
  <c r="EV109" i="9"/>
  <c r="EY109" i="9" s="1"/>
  <c r="HQ60" i="9"/>
  <c r="HX24" i="9"/>
  <c r="EH19" i="9"/>
  <c r="EK19" i="9" s="1"/>
  <c r="HX89" i="9"/>
  <c r="KB5" i="9"/>
  <c r="BZ32" i="9"/>
  <c r="DP49" i="9"/>
  <c r="JN54" i="9"/>
  <c r="L101" i="9"/>
  <c r="O101" i="9" s="1"/>
  <c r="FF13" i="9"/>
  <c r="V109" i="9"/>
  <c r="BL74" i="9"/>
  <c r="FQ81" i="9"/>
  <c r="FT81" i="9" s="1"/>
  <c r="BW86" i="9"/>
  <c r="BZ86" i="9" s="1"/>
  <c r="BI15" i="9"/>
  <c r="BL15" i="9" s="1"/>
  <c r="FT28" i="9"/>
  <c r="EK13" i="9"/>
  <c r="ER71" i="9"/>
  <c r="HJ93" i="9"/>
  <c r="BS35" i="9"/>
  <c r="GS42" i="9"/>
  <c r="EO84" i="9"/>
  <c r="ER84" i="9" s="1"/>
  <c r="S77" i="9"/>
  <c r="V77" i="9" s="1"/>
  <c r="AC73" i="9"/>
  <c r="GA48" i="9"/>
  <c r="JN106" i="9"/>
  <c r="BL69" i="9"/>
  <c r="GA109" i="9"/>
  <c r="AG19" i="9"/>
  <c r="AJ19" i="9" s="1"/>
  <c r="JN21" i="9"/>
  <c r="EK22" i="9"/>
  <c r="JK67" i="9"/>
  <c r="JN67" i="9" s="1"/>
  <c r="IB13" i="9"/>
  <c r="IE13" i="9" s="1"/>
  <c r="FM49" i="9"/>
  <c r="BL51" i="9"/>
  <c r="KW17" i="9"/>
  <c r="GA92" i="9"/>
  <c r="KI16" i="9"/>
  <c r="BE92" i="9"/>
  <c r="GZ86" i="9"/>
  <c r="HC86" i="9" s="1"/>
  <c r="BZ18" i="9"/>
  <c r="BE108" i="9"/>
  <c r="KF25" i="9"/>
  <c r="KI25" i="9" s="1"/>
  <c r="DW26" i="9"/>
  <c r="CU27" i="9"/>
  <c r="CG89" i="9"/>
  <c r="AX46" i="9"/>
  <c r="IP12" i="9"/>
  <c r="IS12" i="9" s="1"/>
  <c r="BE111" i="9"/>
  <c r="JU87" i="9"/>
  <c r="HC98" i="9"/>
  <c r="BS11" i="9"/>
  <c r="JN61" i="9"/>
  <c r="CN93" i="9"/>
  <c r="AG107" i="9"/>
  <c r="AJ107" i="9" s="1"/>
  <c r="GL99" i="9"/>
  <c r="GO99" i="9" s="1"/>
  <c r="AG78" i="9"/>
  <c r="AJ78" i="9" s="1"/>
  <c r="S103" i="9"/>
  <c r="V103" i="9" s="1"/>
  <c r="BE29" i="9"/>
  <c r="GH48" i="9"/>
  <c r="KI28" i="9"/>
  <c r="AC30" i="9"/>
  <c r="DW59" i="9"/>
  <c r="JN6" i="9"/>
  <c r="IL25" i="9"/>
  <c r="DT21" i="9"/>
  <c r="DW21" i="9" s="1"/>
  <c r="IE55" i="9"/>
  <c r="DP110" i="9"/>
  <c r="IL35" i="9"/>
  <c r="AQ64" i="9"/>
  <c r="KP109" i="9"/>
  <c r="AX30" i="9"/>
  <c r="FT79" i="9"/>
  <c r="CY99" i="9"/>
  <c r="DB99" i="9" s="1"/>
  <c r="FJ98" i="9"/>
  <c r="FM98" i="9" s="1"/>
  <c r="KI22" i="9"/>
  <c r="JN76" i="9"/>
  <c r="JG73" i="9"/>
  <c r="EY80" i="9"/>
  <c r="DP50" i="9"/>
  <c r="GS39" i="9"/>
  <c r="GV39" i="9" s="1"/>
  <c r="EK27" i="9"/>
  <c r="CN11" i="9"/>
  <c r="GS101" i="9"/>
  <c r="GV101" i="9" s="1"/>
  <c r="AN48" i="9"/>
  <c r="AQ48" i="9" s="1"/>
  <c r="IZ108" i="9"/>
  <c r="O16" i="9"/>
  <c r="GH16" i="9"/>
  <c r="IP110" i="9"/>
  <c r="IS110" i="9" s="1"/>
  <c r="S14" i="9"/>
  <c r="V14" i="9" s="1"/>
  <c r="JK103" i="9"/>
  <c r="JN103" i="9" s="1"/>
  <c r="DW4" i="9"/>
  <c r="FT85" i="9"/>
  <c r="GH13" i="9"/>
  <c r="BZ50" i="9"/>
  <c r="DP99" i="9"/>
  <c r="EK111" i="9"/>
  <c r="BS72" i="9"/>
  <c r="EA17" i="9"/>
  <c r="ED17" i="9" s="1"/>
  <c r="CG83" i="9"/>
  <c r="FT107" i="9"/>
  <c r="GS9" i="9"/>
  <c r="GV9" i="9" s="1"/>
  <c r="GL96" i="9"/>
  <c r="GO96" i="9" s="1"/>
  <c r="AU106" i="9"/>
  <c r="AX106" i="9" s="1"/>
  <c r="IP86" i="9"/>
  <c r="IS86" i="9" s="1"/>
  <c r="AJ86" i="9"/>
  <c r="BB51" i="9"/>
  <c r="BE51" i="9" s="1"/>
  <c r="IB57" i="9"/>
  <c r="IE57" i="9" s="1"/>
  <c r="GV65" i="9"/>
  <c r="KB99" i="9"/>
  <c r="KP35" i="9"/>
  <c r="GO101" i="9"/>
  <c r="O102" i="9"/>
  <c r="HG109" i="9"/>
  <c r="HJ109" i="9" s="1"/>
  <c r="FQ26" i="9"/>
  <c r="FT26" i="9" s="1"/>
  <c r="AQ20" i="9"/>
  <c r="BZ11" i="9"/>
  <c r="HX61" i="9"/>
  <c r="IZ75" i="9"/>
  <c r="H4" i="9"/>
  <c r="HC73" i="9"/>
  <c r="AX70" i="9"/>
  <c r="EY33" i="9"/>
  <c r="GV104" i="9"/>
  <c r="IS91" i="9"/>
  <c r="AQ109" i="9"/>
  <c r="BI72" i="9"/>
  <c r="BL72" i="9" s="1"/>
  <c r="ED64" i="9"/>
  <c r="ED78" i="9"/>
  <c r="JK12" i="9"/>
  <c r="JN12" i="9" s="1"/>
  <c r="GZ51" i="9"/>
  <c r="HC51" i="9" s="1"/>
  <c r="IP19" i="9"/>
  <c r="IS19" i="9" s="1"/>
  <c r="FT36" i="9"/>
  <c r="FF10" i="9"/>
  <c r="IZ17" i="9"/>
  <c r="IP69" i="9"/>
  <c r="EA47" i="9"/>
  <c r="ED47" i="9" s="1"/>
  <c r="IS74" i="9"/>
  <c r="CG48" i="9"/>
  <c r="AU43" i="9"/>
  <c r="AX43" i="9" s="1"/>
  <c r="CK96" i="9"/>
  <c r="CN96" i="9" s="1"/>
  <c r="AJ90" i="9"/>
  <c r="FT105" i="9"/>
  <c r="BE105" i="9"/>
  <c r="V28" i="9"/>
  <c r="DW46" i="9"/>
  <c r="O92" i="9"/>
  <c r="HU64" i="9"/>
  <c r="BL35" i="8" s="1"/>
  <c r="HJ19" i="9"/>
  <c r="JK56" i="9"/>
  <c r="CD81" i="9"/>
  <c r="CG81" i="9" s="1"/>
  <c r="BZ104" i="9"/>
  <c r="DP8" i="9"/>
  <c r="GA91" i="9"/>
  <c r="IL77" i="9"/>
  <c r="FQ89" i="9"/>
  <c r="FT89" i="9" s="1"/>
  <c r="KB66" i="9"/>
  <c r="KW73" i="9"/>
  <c r="GH33" i="9"/>
  <c r="HG85" i="9"/>
  <c r="HJ85" i="9" s="1"/>
  <c r="IL8" i="9"/>
  <c r="FF102" i="9"/>
  <c r="HQ22" i="9"/>
  <c r="JN14" i="9"/>
  <c r="IP79" i="9"/>
  <c r="IS79" i="9" s="1"/>
  <c r="CU47" i="9"/>
  <c r="HN95" i="9"/>
  <c r="HQ95" i="9" s="1"/>
  <c r="IP85" i="9"/>
  <c r="IS85" i="9" s="1"/>
  <c r="JU50" i="9"/>
  <c r="AQ54" i="9"/>
  <c r="BE74" i="9"/>
  <c r="GH37" i="9"/>
  <c r="JK46" i="9"/>
  <c r="JN46" i="9" s="1"/>
  <c r="GO51" i="9"/>
  <c r="EA9" i="9"/>
  <c r="ED9" i="9" s="1"/>
  <c r="EH45" i="9"/>
  <c r="EK45" i="9" s="1"/>
  <c r="EH34" i="9"/>
  <c r="EK34" i="9" s="1"/>
  <c r="Z13" i="9"/>
  <c r="AC13" i="9" s="1"/>
  <c r="DI108" i="9"/>
  <c r="DB53" i="9"/>
  <c r="CN76" i="9"/>
  <c r="IE15" i="9"/>
  <c r="ED50" i="9"/>
  <c r="GO25" i="9"/>
  <c r="GA99" i="9"/>
  <c r="FT87" i="9"/>
  <c r="GH47" i="9"/>
  <c r="IS93" i="9"/>
  <c r="BB47" i="9"/>
  <c r="BE47" i="9" s="1"/>
  <c r="AQ27" i="9"/>
  <c r="JU82" i="9"/>
  <c r="HJ43" i="9"/>
  <c r="JG97" i="9"/>
  <c r="KW94" i="9"/>
  <c r="DW54" i="9"/>
  <c r="DW18" i="9"/>
  <c r="BL85" i="9"/>
  <c r="EY83" i="9"/>
  <c r="EO20" i="9"/>
  <c r="ER20" i="9" s="1"/>
  <c r="CN70" i="9"/>
  <c r="FT49" i="9"/>
  <c r="O11" i="9"/>
  <c r="KP20" i="9"/>
  <c r="IW20" i="9"/>
  <c r="IZ20" i="9" s="1"/>
  <c r="CD99" i="9"/>
  <c r="CG99" i="9" s="1"/>
  <c r="BL82" i="9"/>
  <c r="HX73" i="9"/>
  <c r="IW90" i="9"/>
  <c r="IZ90" i="9" s="1"/>
  <c r="KF92" i="9"/>
  <c r="KI92" i="9" s="1"/>
  <c r="EA93" i="9"/>
  <c r="ED93" i="9" s="1"/>
  <c r="IW10" i="9"/>
  <c r="IZ10" i="9" s="1"/>
  <c r="CY27" i="9"/>
  <c r="DB27" i="9" s="1"/>
  <c r="BB102" i="9"/>
  <c r="BE102" i="9" s="1"/>
  <c r="DT76" i="9"/>
  <c r="DW76" i="9" s="1"/>
  <c r="FQ8" i="9"/>
  <c r="FT8" i="9" s="1"/>
  <c r="HU3" i="9"/>
  <c r="HX3" i="9" s="1"/>
  <c r="JN80" i="9"/>
  <c r="KI108" i="9"/>
  <c r="ED80" i="9"/>
  <c r="HC69" i="9"/>
  <c r="AX61" i="9"/>
  <c r="BZ46" i="9"/>
  <c r="ED32" i="9"/>
  <c r="ED70" i="9"/>
  <c r="CU81" i="9"/>
  <c r="BS70" i="9"/>
  <c r="CG37" i="9"/>
  <c r="CG73" i="9"/>
  <c r="DI13" i="9"/>
  <c r="JG56" i="9"/>
  <c r="KB18" i="9"/>
  <c r="BB67" i="9"/>
  <c r="BE67" i="9" s="1"/>
  <c r="JD98" i="9"/>
  <c r="JG98" i="9" s="1"/>
  <c r="HJ29" i="9"/>
  <c r="GE24" i="9"/>
  <c r="GH24" i="9" s="1"/>
  <c r="DB19" i="9"/>
  <c r="GA81" i="9"/>
  <c r="GH79" i="9"/>
  <c r="EH7" i="9"/>
  <c r="EK7" i="9" s="1"/>
  <c r="JU99" i="9"/>
  <c r="IP73" i="9"/>
  <c r="IS73" i="9" s="1"/>
  <c r="KI101" i="9"/>
  <c r="GH63" i="9"/>
  <c r="GA21" i="9"/>
  <c r="HC64" i="9"/>
  <c r="HC105" i="9"/>
  <c r="HX20" i="9"/>
  <c r="JY10" i="9"/>
  <c r="KB10" i="9" s="1"/>
  <c r="JD46" i="9"/>
  <c r="JG46" i="9" s="1"/>
  <c r="FT16" i="9"/>
  <c r="DI104" i="9"/>
  <c r="JN52" i="9"/>
  <c r="AX92" i="9"/>
  <c r="CD53" i="9"/>
  <c r="CG53" i="9" s="1"/>
  <c r="IW4" i="9"/>
  <c r="IZ4" i="9" s="1"/>
  <c r="GZ18" i="9"/>
  <c r="HC18" i="9" s="1"/>
  <c r="KW72" i="9"/>
  <c r="FC47" i="9"/>
  <c r="FF47" i="9" s="1"/>
  <c r="FT72" i="9"/>
  <c r="O70" i="9"/>
  <c r="AX11" i="9"/>
  <c r="O41" i="9"/>
  <c r="GO90" i="9"/>
  <c r="FT90" i="9"/>
  <c r="HJ5" i="9"/>
  <c r="EK26" i="9"/>
  <c r="DW51" i="9"/>
  <c r="EK40" i="9"/>
  <c r="KW14" i="9"/>
  <c r="O31" i="9"/>
  <c r="FF98" i="9"/>
  <c r="HQ87" i="9"/>
  <c r="EK35" i="9"/>
  <c r="FT97" i="9"/>
  <c r="ED111" i="9"/>
  <c r="H55" i="9"/>
  <c r="FM47" i="9"/>
  <c r="EO53" i="9"/>
  <c r="ER53" i="9" s="1"/>
  <c r="EK104" i="9"/>
  <c r="AQ62" i="9"/>
  <c r="AQ16" i="9"/>
  <c r="GS63" i="9"/>
  <c r="GV63" i="9" s="1"/>
  <c r="AJ73" i="9"/>
  <c r="HQ92" i="9"/>
  <c r="EO8" i="9"/>
  <c r="ER8" i="9" s="1"/>
  <c r="BP38" i="9"/>
  <c r="BS38" i="9" s="1"/>
  <c r="FM8" i="9"/>
  <c r="CN95" i="9"/>
  <c r="HQ57" i="9"/>
  <c r="CN42" i="9"/>
  <c r="GL87" i="9"/>
  <c r="GO87" i="9" s="1"/>
  <c r="Z7" i="9"/>
  <c r="AC7" i="9" s="1"/>
  <c r="CY37" i="9"/>
  <c r="DB37" i="9" s="1"/>
  <c r="IS53" i="9"/>
  <c r="CY41" i="9"/>
  <c r="DB41" i="9" s="1"/>
  <c r="AN98" i="9"/>
  <c r="AQ98" i="9" s="1"/>
  <c r="GL47" i="9"/>
  <c r="GO47" i="9" s="1"/>
  <c r="II75" i="9"/>
  <c r="IL75" i="9" s="1"/>
  <c r="DT88" i="9"/>
  <c r="DW88" i="9" s="1"/>
  <c r="BP18" i="9"/>
  <c r="BS18" i="9" s="1"/>
  <c r="HN49" i="9"/>
  <c r="HQ49" i="9" s="1"/>
  <c r="H24" i="9"/>
  <c r="H110" i="9"/>
  <c r="H46" i="9"/>
  <c r="H32" i="9"/>
  <c r="E81" i="9"/>
  <c r="H81" i="9" s="1"/>
  <c r="H38" i="9"/>
  <c r="E97" i="9"/>
  <c r="H97" i="9" s="1"/>
  <c r="E16" i="9"/>
  <c r="H16" i="9" s="1"/>
  <c r="E36" i="9"/>
  <c r="H36" i="9" s="1"/>
  <c r="H88" i="9"/>
  <c r="H53" i="9"/>
  <c r="H14" i="9"/>
  <c r="E74" i="9"/>
  <c r="H74" i="9" s="1"/>
  <c r="E10" i="9"/>
  <c r="H10" i="9" s="1"/>
  <c r="H27" i="9"/>
  <c r="E95" i="9"/>
  <c r="H95" i="9" s="1"/>
  <c r="H76" i="9"/>
  <c r="H99" i="9"/>
  <c r="E30" i="9"/>
  <c r="H30" i="9" s="1"/>
  <c r="E63" i="9"/>
  <c r="H63" i="9" s="1"/>
  <c r="E102" i="9"/>
  <c r="H102" i="9" s="1"/>
  <c r="E44" i="9"/>
  <c r="H44" i="9" s="1"/>
  <c r="H106" i="9"/>
  <c r="E109" i="9"/>
  <c r="H109" i="9" s="1"/>
  <c r="E23" i="9"/>
  <c r="H23" i="9" s="1"/>
  <c r="E111" i="9"/>
  <c r="H111" i="9" s="1"/>
  <c r="EK29" i="9"/>
  <c r="KW93" i="9"/>
  <c r="KI89" i="9"/>
  <c r="CN104" i="9"/>
  <c r="BZ110" i="9"/>
  <c r="KW35" i="9"/>
  <c r="AQ44" i="9"/>
  <c r="KI44" i="9"/>
  <c r="GH18" i="9"/>
  <c r="AC77" i="9"/>
  <c r="CU68" i="9"/>
  <c r="CU83" i="9"/>
  <c r="FT100" i="9"/>
  <c r="DW73" i="9"/>
  <c r="AQ49" i="9"/>
  <c r="CG39" i="9"/>
  <c r="IZ74" i="9"/>
  <c r="DI87" i="9"/>
  <c r="DB35" i="9"/>
  <c r="BZ85" i="9"/>
  <c r="V24" i="9"/>
  <c r="JU30" i="9"/>
  <c r="CU38" i="9"/>
  <c r="ED18" i="9"/>
  <c r="FT24" i="9"/>
  <c r="IL41" i="9"/>
  <c r="DP74" i="9"/>
  <c r="IS41" i="9"/>
  <c r="HQ31" i="9"/>
  <c r="ED3" i="9"/>
  <c r="DI49" i="9"/>
  <c r="ER90" i="9"/>
  <c r="EK48" i="9"/>
  <c r="EK90" i="9"/>
  <c r="CU65" i="9"/>
  <c r="BL22" i="9"/>
  <c r="HX96" i="9"/>
  <c r="IL111" i="9"/>
  <c r="DB94" i="9"/>
  <c r="GV73" i="9"/>
  <c r="JG57" i="9"/>
  <c r="GA18" i="9"/>
  <c r="EK38" i="9"/>
  <c r="AQ83" i="9"/>
  <c r="IL95" i="9"/>
  <c r="CU74" i="9"/>
  <c r="IZ63" i="9"/>
  <c r="JU85" i="9"/>
  <c r="GO91" i="9"/>
  <c r="DB58" i="9"/>
  <c r="AX7" i="9"/>
  <c r="DI101" i="9"/>
  <c r="V51" i="9"/>
  <c r="EK71" i="9"/>
  <c r="DW77" i="9"/>
  <c r="IE97" i="9"/>
  <c r="HJ39" i="9"/>
  <c r="V105" i="9"/>
  <c r="IE67" i="9"/>
  <c r="CN78" i="9"/>
  <c r="AX101" i="9"/>
  <c r="FF37" i="9"/>
  <c r="AJ32" i="9"/>
  <c r="JU49" i="9"/>
  <c r="ED46" i="9"/>
  <c r="IZ106" i="9"/>
  <c r="IL48" i="9"/>
  <c r="BL102" i="9"/>
  <c r="HC99" i="9"/>
  <c r="O25" i="9"/>
  <c r="BE65" i="9"/>
  <c r="KW85" i="9"/>
  <c r="BS106" i="9"/>
  <c r="FF103" i="9"/>
  <c r="CU45" i="9"/>
  <c r="AC71" i="9"/>
  <c r="IE98" i="9"/>
  <c r="KI15" i="9"/>
  <c r="GH103" i="9"/>
  <c r="AQ99" i="9"/>
  <c r="ER37" i="9"/>
  <c r="AC16" i="9"/>
  <c r="JU70" i="9"/>
  <c r="FF63" i="9"/>
  <c r="DW105" i="9"/>
  <c r="EY105" i="9"/>
  <c r="CN51" i="9"/>
  <c r="KI96" i="9"/>
  <c r="DW13" i="9"/>
  <c r="IZ40" i="9"/>
  <c r="HX95" i="9"/>
  <c r="JG15" i="9"/>
  <c r="BE42" i="9"/>
  <c r="H69" i="9"/>
  <c r="GV76" i="9"/>
  <c r="AX102" i="9"/>
  <c r="HJ53" i="9"/>
  <c r="BE85" i="9"/>
  <c r="H57" i="9"/>
  <c r="KI37" i="9"/>
  <c r="CN79" i="9"/>
  <c r="BZ14" i="9"/>
  <c r="EY43" i="9"/>
  <c r="IS72" i="9"/>
  <c r="GO100" i="9"/>
  <c r="BL29" i="9"/>
  <c r="JU106" i="9"/>
  <c r="FT96" i="9"/>
  <c r="KB104" i="9"/>
  <c r="JG31" i="9"/>
  <c r="HX45" i="9"/>
  <c r="V52" i="9"/>
  <c r="CU70" i="9"/>
  <c r="GO108" i="9"/>
  <c r="BZ8" i="9"/>
  <c r="ED31" i="9"/>
  <c r="AQ82" i="9"/>
  <c r="FM87" i="9"/>
  <c r="KB35" i="9"/>
  <c r="H68" i="9"/>
  <c r="BS42" i="9"/>
  <c r="EY82" i="9"/>
  <c r="JG93" i="9"/>
  <c r="EK11" i="9"/>
  <c r="DP88" i="9"/>
  <c r="BS3" i="9"/>
  <c r="O72" i="9"/>
  <c r="CG57" i="9"/>
  <c r="IS106" i="9"/>
  <c r="IL93" i="9"/>
  <c r="EY27" i="9"/>
  <c r="KI80" i="9"/>
  <c r="CU29" i="9"/>
  <c r="JN64" i="9"/>
  <c r="KW74" i="9"/>
  <c r="KI69" i="9"/>
  <c r="GO107" i="9"/>
  <c r="CU79" i="9"/>
  <c r="IZ96" i="9"/>
  <c r="HX7" i="9"/>
  <c r="DB85" i="9"/>
  <c r="CN105" i="9"/>
  <c r="HJ88" i="9"/>
  <c r="FM66" i="9"/>
  <c r="HC27" i="9"/>
  <c r="GA68" i="9"/>
  <c r="ER11" i="9"/>
  <c r="CG28" i="9"/>
  <c r="H91" i="9"/>
  <c r="KW5" i="9"/>
  <c r="DB75" i="9"/>
  <c r="AQ111" i="9"/>
  <c r="IZ94" i="9"/>
  <c r="IL33" i="9"/>
  <c r="HQ70" i="9"/>
  <c r="CG51" i="9"/>
  <c r="FF55" i="9"/>
  <c r="DP76" i="9"/>
  <c r="DB31" i="9"/>
  <c r="IS97" i="9"/>
  <c r="DP61" i="9"/>
  <c r="BS90" i="9"/>
  <c r="GO13" i="9"/>
  <c r="FM77" i="9"/>
  <c r="IE74" i="9"/>
  <c r="IL26" i="9"/>
  <c r="BL58" i="9"/>
  <c r="GV83" i="9"/>
  <c r="GV69" i="9"/>
  <c r="ER42" i="9"/>
  <c r="KI102" i="9"/>
  <c r="CN10" i="9"/>
  <c r="HJ65" i="9"/>
  <c r="V92" i="9"/>
  <c r="BL28" i="9"/>
  <c r="GH8" i="9"/>
  <c r="JG55" i="9"/>
  <c r="CN29" i="9"/>
  <c r="DI54" i="9"/>
  <c r="GV19" i="9"/>
  <c r="AQ89" i="9"/>
  <c r="CG20" i="9"/>
  <c r="JG38" i="9"/>
  <c r="JG14" i="9"/>
  <c r="AJ30" i="9"/>
  <c r="CU18" i="9"/>
  <c r="IL69" i="9"/>
  <c r="GA52" i="9"/>
  <c r="EK3" i="9"/>
  <c r="DP59" i="9"/>
  <c r="JN97" i="9"/>
  <c r="AC84" i="9"/>
  <c r="DI88" i="9"/>
  <c r="HQ45" i="9"/>
  <c r="AX105" i="9"/>
  <c r="BE46" i="9"/>
  <c r="ED101" i="9"/>
  <c r="BE98" i="9"/>
  <c r="JG18" i="9"/>
  <c r="JG11" i="9"/>
  <c r="DI15" i="9"/>
  <c r="BS21" i="9"/>
  <c r="JU48" i="9"/>
  <c r="BE78" i="9"/>
  <c r="CN39" i="9"/>
  <c r="GV89" i="9"/>
  <c r="ED83" i="9"/>
  <c r="DB18" i="9"/>
  <c r="FT84" i="9"/>
  <c r="GV66" i="9"/>
  <c r="IE32" i="9"/>
  <c r="HX78" i="9"/>
  <c r="BZ102" i="9"/>
  <c r="HJ104" i="9"/>
  <c r="GV17" i="9"/>
  <c r="AX107" i="9"/>
  <c r="JN29" i="9"/>
  <c r="AX86" i="9"/>
  <c r="V97" i="9"/>
  <c r="FF40" i="9"/>
  <c r="FM102" i="9"/>
  <c r="FM88" i="9"/>
  <c r="KI56" i="9"/>
  <c r="GA98" i="9"/>
  <c r="HX71" i="9"/>
  <c r="BS100" i="9"/>
  <c r="CG54" i="9"/>
  <c r="DW69" i="9"/>
  <c r="JG100" i="9"/>
  <c r="BE70" i="9"/>
  <c r="DP6" i="9"/>
  <c r="ED43" i="9"/>
  <c r="FF5" i="9"/>
  <c r="BS37" i="9"/>
  <c r="AQ70" i="9"/>
  <c r="KB110" i="9"/>
  <c r="IE58" i="9"/>
  <c r="JU91" i="9"/>
  <c r="CG22" i="9"/>
  <c r="V10" i="9"/>
  <c r="EK31" i="9"/>
  <c r="AX51" i="9"/>
  <c r="O83" i="9"/>
  <c r="EK78" i="9"/>
  <c r="IZ49" i="9"/>
  <c r="KW33" i="9"/>
  <c r="IL59" i="9"/>
  <c r="EK21" i="9"/>
  <c r="FF100" i="9"/>
  <c r="KI57" i="9"/>
  <c r="FT52" i="9"/>
  <c r="HQ75" i="9"/>
  <c r="AJ21" i="9"/>
  <c r="KB79" i="9"/>
  <c r="IL44" i="9"/>
  <c r="EY15" i="9"/>
  <c r="JG7" i="9"/>
  <c r="GA39" i="9"/>
  <c r="EY36" i="9"/>
  <c r="FM42" i="9"/>
  <c r="HC75" i="9"/>
  <c r="HX100" i="9"/>
  <c r="KP85" i="9"/>
  <c r="FF89" i="9"/>
  <c r="FT48" i="9"/>
  <c r="EY95" i="9"/>
  <c r="GH56" i="9"/>
  <c r="FT93" i="9"/>
  <c r="BS31" i="9"/>
  <c r="IS46" i="9"/>
  <c r="DI22" i="9"/>
  <c r="FT11" i="9"/>
  <c r="ED90" i="9"/>
  <c r="AQ36" i="9"/>
  <c r="EY40" i="9"/>
  <c r="H61" i="9"/>
  <c r="HQ71" i="9"/>
  <c r="BL87" i="9"/>
  <c r="GA55" i="9"/>
  <c r="GO83" i="9"/>
  <c r="BL105" i="9"/>
  <c r="HX60" i="9"/>
  <c r="CU80" i="9"/>
  <c r="O73" i="9"/>
  <c r="CG46" i="9"/>
  <c r="HX51" i="9"/>
  <c r="FT46" i="9"/>
  <c r="DI3" i="9"/>
  <c r="FM28" i="9"/>
  <c r="CU106" i="9"/>
  <c r="HQ89" i="9"/>
  <c r="IE11" i="9"/>
  <c r="IL5" i="9"/>
  <c r="O91" i="9"/>
  <c r="GA6" i="9"/>
  <c r="DW7" i="9"/>
  <c r="GV18" i="9"/>
  <c r="HQ96" i="9"/>
  <c r="FM110" i="9"/>
  <c r="IS95" i="9"/>
  <c r="GH107" i="9"/>
  <c r="FT73" i="9"/>
  <c r="AJ7" i="9"/>
  <c r="KB32" i="9"/>
  <c r="IL20" i="9"/>
  <c r="IE14" i="9"/>
  <c r="FF22" i="9"/>
  <c r="AC29" i="9"/>
  <c r="BL84" i="9"/>
  <c r="CU25" i="9"/>
  <c r="CG74" i="9"/>
  <c r="GA93" i="9"/>
  <c r="FF25" i="9"/>
  <c r="V106" i="9"/>
  <c r="DB65" i="9"/>
  <c r="IZ56" i="9"/>
  <c r="DP79" i="9"/>
  <c r="GA4" i="9"/>
  <c r="FT3" i="9"/>
  <c r="HJ16" i="9"/>
  <c r="IS3" i="9"/>
  <c r="DW50" i="9"/>
  <c r="DW97" i="9"/>
  <c r="GV32" i="9"/>
  <c r="IS25" i="9"/>
  <c r="KI26" i="9"/>
  <c r="BS63" i="9"/>
  <c r="HX69" i="9"/>
  <c r="DW32" i="9"/>
  <c r="IS75" i="9"/>
  <c r="IE54" i="9"/>
  <c r="HX33" i="9"/>
  <c r="BL46" i="9"/>
  <c r="CU39" i="9"/>
  <c r="AQ56" i="9"/>
  <c r="IZ64" i="9"/>
  <c r="BZ39" i="9"/>
  <c r="KI23" i="9"/>
  <c r="BZ9" i="9"/>
  <c r="ED94" i="9"/>
  <c r="AJ34" i="9"/>
  <c r="HQ6" i="9"/>
  <c r="HQ106" i="9"/>
  <c r="AJ28" i="9"/>
  <c r="GA107" i="9"/>
  <c r="EY108" i="9"/>
  <c r="BE11" i="9"/>
  <c r="KB47" i="9"/>
  <c r="KI86" i="9"/>
  <c r="DB106" i="9"/>
  <c r="GH98" i="9"/>
  <c r="AQ85" i="9"/>
  <c r="HQ104" i="9"/>
  <c r="KP30" i="9"/>
  <c r="CU11" i="9"/>
  <c r="FM48" i="9"/>
  <c r="GA103" i="9"/>
  <c r="AC101" i="9"/>
  <c r="KW15" i="9"/>
  <c r="DB12" i="9"/>
  <c r="O24" i="9"/>
  <c r="JU66" i="9"/>
  <c r="IZ92" i="9"/>
  <c r="HX40" i="9"/>
  <c r="AX48" i="9"/>
  <c r="FM89" i="9"/>
  <c r="IL61" i="9"/>
  <c r="AC104" i="9"/>
  <c r="DI46" i="9"/>
  <c r="DB103" i="9"/>
  <c r="GH83" i="9"/>
  <c r="O57" i="9"/>
  <c r="KI84" i="9"/>
  <c r="IZ83" i="9"/>
  <c r="V82" i="9"/>
  <c r="KP90" i="9"/>
  <c r="HX79" i="9"/>
  <c r="GV68" i="9"/>
  <c r="AJ3" i="9"/>
  <c r="DP18" i="9"/>
  <c r="DI63" i="9"/>
  <c r="DB100" i="9"/>
  <c r="GO72" i="9"/>
  <c r="AJ59" i="9"/>
  <c r="HC26" i="9"/>
  <c r="CU37" i="9"/>
  <c r="V96" i="9"/>
  <c r="HX72" i="9"/>
  <c r="GO21" i="9"/>
  <c r="AX29" i="9"/>
  <c r="KW42" i="9"/>
  <c r="GA111" i="9"/>
  <c r="GH22" i="9"/>
  <c r="DP85" i="9"/>
  <c r="EY90" i="9"/>
  <c r="IE16" i="9"/>
  <c r="CG79" i="9"/>
  <c r="GA100" i="9"/>
  <c r="DI45" i="9"/>
  <c r="BL97" i="9"/>
  <c r="IS33" i="9"/>
  <c r="FF58" i="9"/>
  <c r="KB20" i="9"/>
  <c r="H58" i="9"/>
  <c r="ED71" i="9"/>
  <c r="GA69" i="9"/>
  <c r="IS63" i="9"/>
  <c r="DP65" i="9"/>
  <c r="JG108" i="9"/>
  <c r="CG97" i="9"/>
  <c r="DW36" i="9"/>
  <c r="CN60" i="9"/>
  <c r="CU72" i="9"/>
  <c r="BZ77" i="9"/>
  <c r="DB93" i="9"/>
  <c r="AC89" i="9"/>
  <c r="FT47" i="9"/>
  <c r="KB37" i="9"/>
  <c r="DW61" i="9"/>
  <c r="V31" i="9"/>
  <c r="KW57" i="9"/>
  <c r="IE81" i="9"/>
  <c r="GO43" i="9"/>
  <c r="BS77" i="9"/>
  <c r="CN15" i="9"/>
  <c r="BL80" i="9"/>
  <c r="CU14" i="9"/>
  <c r="JG80" i="9"/>
  <c r="BL62" i="9"/>
  <c r="IZ97" i="9"/>
  <c r="JU20" i="9"/>
  <c r="FM83" i="9"/>
  <c r="JN99" i="9"/>
  <c r="KB73" i="9"/>
  <c r="O52" i="9"/>
  <c r="O99" i="9"/>
  <c r="EK92" i="9"/>
  <c r="EK58" i="9"/>
  <c r="FF104" i="9"/>
  <c r="FM79" i="9"/>
  <c r="HQ81" i="9"/>
  <c r="IS27" i="9"/>
  <c r="IL46" i="9"/>
  <c r="EK69" i="9"/>
  <c r="ED54" i="9"/>
  <c r="CU60" i="9"/>
  <c r="FT106" i="9"/>
  <c r="DP35" i="9"/>
  <c r="HJ21" i="9"/>
  <c r="FM39" i="9"/>
  <c r="ER104" i="9"/>
  <c r="ER17" i="9"/>
  <c r="CN41" i="9"/>
  <c r="GV33" i="9"/>
  <c r="IL83" i="9"/>
  <c r="JN72" i="9"/>
  <c r="CG109" i="9"/>
  <c r="GH15" i="9"/>
  <c r="IE110" i="9"/>
  <c r="FT82" i="9"/>
  <c r="BZ79" i="9"/>
  <c r="DP87" i="9"/>
  <c r="EY104" i="9"/>
  <c r="JN23" i="9"/>
  <c r="FM54" i="9"/>
  <c r="GV88" i="9"/>
  <c r="JU97" i="9"/>
  <c r="FM3" i="9"/>
  <c r="AX90" i="9"/>
  <c r="AX5" i="9"/>
  <c r="AQ104" i="9"/>
  <c r="IE48" i="9"/>
  <c r="JU39" i="9"/>
  <c r="IE65" i="9"/>
  <c r="GA30" i="9"/>
  <c r="FF32" i="9"/>
  <c r="DB86" i="9"/>
  <c r="DP28" i="9"/>
  <c r="JG9" i="9"/>
  <c r="KP92" i="9"/>
  <c r="FF49" i="9"/>
  <c r="AC61" i="9"/>
  <c r="BS84" i="9"/>
  <c r="AQ13" i="9"/>
  <c r="IE28" i="9"/>
  <c r="AJ16" i="9"/>
  <c r="JU110" i="9"/>
  <c r="KI48" i="9"/>
  <c r="BL109" i="9"/>
  <c r="HQ7" i="9"/>
  <c r="GO78" i="9"/>
  <c r="BS47" i="9"/>
  <c r="AJ102" i="9"/>
  <c r="AJ92" i="9"/>
  <c r="AC85" i="9"/>
  <c r="EY100" i="9"/>
  <c r="BZ35" i="9"/>
  <c r="V22" i="9"/>
  <c r="JG23" i="9"/>
  <c r="IE76" i="9"/>
  <c r="EK70" i="9"/>
  <c r="AX103" i="9"/>
  <c r="CN63" i="9"/>
  <c r="GO11" i="9"/>
  <c r="JN16" i="9"/>
  <c r="H73" i="9"/>
  <c r="ED62" i="9"/>
  <c r="AC5" i="9"/>
  <c r="KB11" i="9"/>
  <c r="EY77" i="9"/>
  <c r="ED86" i="9"/>
  <c r="DW9" i="9"/>
  <c r="JN36" i="9"/>
  <c r="V55" i="9"/>
  <c r="BZ68" i="9"/>
  <c r="BS91" i="9"/>
  <c r="AQ58" i="9"/>
  <c r="KI110" i="9"/>
  <c r="HQ91" i="9"/>
  <c r="V70" i="9"/>
  <c r="BL108" i="9"/>
  <c r="H11" i="9"/>
  <c r="FM105" i="9"/>
  <c r="JU73" i="9"/>
  <c r="KP44" i="9"/>
  <c r="BL50" i="9"/>
  <c r="JN75" i="9"/>
  <c r="FF18" i="9"/>
  <c r="IE100" i="9"/>
  <c r="GA32" i="9"/>
  <c r="KI54" i="9"/>
  <c r="DB108" i="9"/>
  <c r="BS34" i="9"/>
  <c r="DI5" i="9"/>
  <c r="IL101" i="9"/>
  <c r="IE84" i="9"/>
  <c r="H47" i="9"/>
  <c r="JG69" i="9"/>
  <c r="CN69" i="9"/>
  <c r="BL81" i="9"/>
  <c r="FM94" i="9"/>
  <c r="AJ39" i="9"/>
  <c r="CN98" i="9"/>
  <c r="CN44" i="9"/>
  <c r="BZ75" i="9"/>
  <c r="IL102" i="9"/>
  <c r="KW23" i="9"/>
  <c r="IS96" i="9"/>
  <c r="GA10" i="9"/>
  <c r="BL100" i="9"/>
  <c r="BE37" i="9"/>
  <c r="GH6" i="9"/>
  <c r="AJ97" i="9"/>
  <c r="IS14" i="9"/>
  <c r="ED110" i="9"/>
  <c r="IZ65" i="9"/>
  <c r="JG25" i="9"/>
  <c r="JN91" i="9"/>
  <c r="FF24" i="9"/>
  <c r="DP60" i="9"/>
  <c r="CU98" i="9"/>
  <c r="CU8" i="9"/>
  <c r="BL93" i="9"/>
  <c r="HJ48" i="9"/>
  <c r="KW37" i="9"/>
  <c r="AJ49" i="9"/>
  <c r="BL30" i="9"/>
  <c r="HX44" i="9"/>
  <c r="H101" i="9"/>
  <c r="JN51" i="9"/>
  <c r="JN45" i="9"/>
  <c r="IZ101" i="9"/>
  <c r="GH85" i="9"/>
  <c r="H98" i="9"/>
  <c r="BS62" i="9"/>
  <c r="JG50" i="9"/>
  <c r="CU93" i="9"/>
  <c r="CN57" i="9"/>
  <c r="AC65" i="9"/>
  <c r="DI93" i="9"/>
  <c r="JU86" i="9"/>
  <c r="JN38" i="9"/>
  <c r="JG96" i="9"/>
  <c r="CU41" i="9"/>
  <c r="HQ19" i="9"/>
  <c r="IS49" i="9"/>
  <c r="GO22" i="9"/>
  <c r="CU23" i="9"/>
  <c r="HQ17" i="9"/>
  <c r="KP26" i="9"/>
  <c r="KB23" i="9"/>
  <c r="CN85" i="9"/>
  <c r="JN86" i="9"/>
  <c r="BL83" i="9"/>
  <c r="BS80" i="9"/>
  <c r="DI65" i="9"/>
  <c r="IZ82" i="9"/>
  <c r="FT83" i="9"/>
  <c r="CU75" i="9"/>
  <c r="GO85" i="9"/>
  <c r="JU27" i="9"/>
  <c r="H9" i="9"/>
  <c r="CN86" i="9"/>
  <c r="KW103" i="9"/>
  <c r="KI11" i="9"/>
  <c r="EK81" i="9"/>
  <c r="FM43" i="9"/>
  <c r="KI71" i="9"/>
  <c r="IS104" i="9"/>
  <c r="AX56" i="9"/>
  <c r="AC23" i="9"/>
  <c r="IL37" i="9"/>
  <c r="IE44" i="9"/>
  <c r="CG103" i="9"/>
  <c r="EK66" i="9"/>
  <c r="KW86" i="9"/>
  <c r="EY39" i="9"/>
  <c r="DW3" i="9"/>
  <c r="JU75" i="9"/>
  <c r="BS57" i="9"/>
  <c r="CN72" i="9"/>
  <c r="HQ97" i="9"/>
  <c r="AC33" i="9"/>
  <c r="HX22" i="9"/>
  <c r="DB15" i="9"/>
  <c r="CN74" i="9"/>
  <c r="DB71" i="9"/>
  <c r="JG4" i="9"/>
  <c r="GH57" i="9"/>
  <c r="ED27" i="9"/>
  <c r="JN27" i="9"/>
  <c r="FF27" i="9"/>
  <c r="O54" i="9"/>
  <c r="GH38" i="9"/>
  <c r="BL6" i="9"/>
  <c r="BZ25" i="9"/>
  <c r="AC88" i="9"/>
  <c r="IL13" i="9"/>
  <c r="CU20" i="9"/>
  <c r="JG27" i="9"/>
  <c r="FM95" i="9"/>
  <c r="EY19" i="9"/>
  <c r="HJ103" i="9"/>
  <c r="KI29" i="9"/>
  <c r="EK86" i="9"/>
  <c r="O51" i="9"/>
  <c r="CN83" i="9"/>
  <c r="KI52" i="9"/>
  <c r="H78" i="9"/>
  <c r="IS50" i="9"/>
  <c r="IL39" i="9"/>
  <c r="IZ7" i="9"/>
  <c r="GV28" i="9"/>
  <c r="KP73" i="9"/>
  <c r="GH32" i="9"/>
  <c r="ED45" i="9"/>
  <c r="IE26" i="9"/>
  <c r="FF90" i="9"/>
  <c r="IZ66" i="9"/>
  <c r="CN16" i="9"/>
  <c r="HX80" i="9"/>
  <c r="IS48" i="9"/>
  <c r="HJ46" i="9"/>
  <c r="KP6" i="9"/>
  <c r="KI31" i="9"/>
  <c r="HJ101" i="9"/>
  <c r="KB30" i="9"/>
  <c r="FT33" i="9"/>
  <c r="HC39" i="9"/>
  <c r="BE72" i="9"/>
  <c r="ER60" i="9"/>
  <c r="AQ79" i="9"/>
  <c r="KB46" i="9"/>
  <c r="BL96" i="9"/>
  <c r="EY4" i="9"/>
  <c r="DW100" i="9"/>
  <c r="GH14" i="9"/>
  <c r="GO39" i="9"/>
  <c r="HJ41" i="9"/>
  <c r="O69" i="9"/>
  <c r="IZ43" i="9"/>
  <c r="ER64" i="9"/>
  <c r="BZ58" i="9"/>
  <c r="FM60" i="9"/>
  <c r="CU58" i="9"/>
  <c r="HQ40" i="9"/>
  <c r="CN80" i="9"/>
  <c r="HJ58" i="9"/>
  <c r="GV58" i="9"/>
  <c r="HX106" i="9"/>
  <c r="GH41" i="9"/>
  <c r="DB28" i="9"/>
  <c r="BE77" i="9"/>
  <c r="BL101" i="9"/>
  <c r="HJ56" i="9"/>
  <c r="IS28" i="9"/>
  <c r="AJ40" i="9"/>
  <c r="H8" i="9"/>
  <c r="ED39" i="9"/>
  <c r="JN107" i="9"/>
  <c r="IZ23" i="9"/>
  <c r="H59" i="9"/>
  <c r="KW49" i="9"/>
  <c r="AX80" i="9"/>
  <c r="O15" i="9"/>
  <c r="BS65" i="9"/>
  <c r="HX6" i="9"/>
  <c r="HX82" i="9"/>
  <c r="DB11" i="9"/>
  <c r="HC67" i="9"/>
  <c r="EY34" i="9"/>
  <c r="DB82" i="9"/>
  <c r="IS66" i="9"/>
  <c r="AQ25" i="9"/>
  <c r="EY3" i="9"/>
  <c r="DB79" i="9"/>
  <c r="CN36" i="9"/>
  <c r="AQ67" i="9"/>
  <c r="AC26" i="9"/>
  <c r="IE61" i="9"/>
  <c r="FT35" i="9"/>
  <c r="GV86" i="9"/>
  <c r="AX10" i="9"/>
  <c r="DI4" i="9"/>
  <c r="JN100" i="9"/>
  <c r="ER82" i="9"/>
  <c r="HJ81" i="9"/>
  <c r="JG81" i="9"/>
  <c r="GH86" i="9"/>
  <c r="HC48" i="9"/>
  <c r="BS81" i="9"/>
  <c r="EY85" i="9"/>
  <c r="IZ45" i="9"/>
  <c r="JU42" i="9"/>
  <c r="HX31" i="9"/>
  <c r="JG99" i="9"/>
  <c r="ER75" i="9"/>
  <c r="HC23" i="9"/>
  <c r="JG66" i="9"/>
  <c r="KI77" i="9"/>
  <c r="CG107" i="9"/>
  <c r="GV61" i="9"/>
  <c r="AX39" i="9"/>
  <c r="JG90" i="9"/>
  <c r="CU13" i="9"/>
  <c r="HJ17" i="9"/>
  <c r="DP22" i="9"/>
  <c r="BZ56" i="9"/>
  <c r="EK100" i="9"/>
  <c r="HC58" i="9"/>
  <c r="HC56" i="9"/>
  <c r="V57" i="9"/>
  <c r="KP102" i="9"/>
  <c r="HJ67" i="9"/>
  <c r="HQ59" i="9"/>
  <c r="ER34" i="9"/>
  <c r="IZ58" i="9"/>
  <c r="DP81" i="9"/>
  <c r="HJ40" i="9"/>
  <c r="ER54" i="9"/>
  <c r="EY70" i="9"/>
  <c r="DP47" i="9"/>
  <c r="H94" i="9"/>
  <c r="IS100" i="9"/>
  <c r="AC95" i="9"/>
  <c r="GH7" i="9"/>
  <c r="DI40" i="9"/>
  <c r="BE107" i="9"/>
  <c r="HC107" i="9"/>
  <c r="KB15" i="9"/>
  <c r="DB6" i="9"/>
  <c r="GO27" i="9"/>
  <c r="H82" i="9"/>
  <c r="AQ30" i="9"/>
  <c r="O74" i="9"/>
  <c r="FT57" i="9"/>
  <c r="HQ14" i="9"/>
  <c r="JN90" i="9"/>
  <c r="DB42" i="9"/>
  <c r="IZ53" i="9"/>
  <c r="O40" i="9"/>
  <c r="O33" i="9"/>
  <c r="DP58" i="9"/>
  <c r="BL23" i="9"/>
  <c r="KP29" i="9"/>
  <c r="BL26" i="9"/>
  <c r="ED79" i="9"/>
  <c r="V39" i="9"/>
  <c r="BS28" i="9"/>
  <c r="DW42" i="9"/>
  <c r="BL57" i="9"/>
  <c r="HQ41" i="9"/>
  <c r="FM75" i="9"/>
  <c r="AJ44" i="9"/>
  <c r="HX109" i="9"/>
  <c r="AQ35" i="9"/>
  <c r="GH40" i="9"/>
  <c r="KW12" i="9"/>
  <c r="KP22" i="9"/>
  <c r="BE58" i="9"/>
  <c r="IE69" i="9"/>
  <c r="GH68" i="9"/>
  <c r="IL68" i="9"/>
  <c r="IS45" i="9"/>
  <c r="GA19" i="9"/>
  <c r="CG105" i="9"/>
  <c r="H48" i="9"/>
  <c r="AX34" i="9"/>
  <c r="HX58" i="9"/>
  <c r="AJ51" i="9"/>
  <c r="BS59" i="9"/>
  <c r="BE14" i="9"/>
  <c r="FM46" i="9"/>
  <c r="HC70" i="9"/>
  <c r="BL34" i="9"/>
  <c r="HX105" i="9"/>
  <c r="O110" i="9"/>
  <c r="DP80" i="9"/>
  <c r="HJ44" i="9"/>
  <c r="EK24" i="9"/>
  <c r="V45" i="9"/>
  <c r="V64" i="9"/>
  <c r="EK50" i="9"/>
  <c r="GO54" i="9"/>
  <c r="JN68" i="9"/>
  <c r="DW82" i="9"/>
  <c r="BZ70" i="9"/>
  <c r="H104" i="9"/>
  <c r="HJ11" i="9"/>
  <c r="CU54" i="9"/>
  <c r="HJ23" i="9"/>
  <c r="O67" i="9"/>
  <c r="HJ14" i="9"/>
  <c r="EK20" i="9"/>
  <c r="DB30" i="9"/>
  <c r="GV20" i="9"/>
  <c r="HX42" i="9"/>
  <c r="KB101" i="9"/>
  <c r="GH111" i="9"/>
  <c r="O17" i="9"/>
  <c r="GH105" i="9"/>
  <c r="KP91" i="9"/>
  <c r="JN58" i="9"/>
  <c r="KP57" i="9"/>
  <c r="FF54" i="9"/>
  <c r="KI46" i="9"/>
  <c r="JG76" i="9"/>
  <c r="EK47" i="9"/>
  <c r="HC97" i="9"/>
  <c r="KI14" i="9"/>
  <c r="HQ26" i="9"/>
  <c r="IL43" i="9"/>
  <c r="V37" i="9"/>
  <c r="FM41" i="9"/>
  <c r="BZ19" i="9"/>
  <c r="KP50" i="9"/>
  <c r="GO30" i="9"/>
  <c r="DB59" i="9"/>
  <c r="FT23" i="9"/>
  <c r="GH58" i="9"/>
  <c r="AC81" i="9"/>
  <c r="HC47" i="9"/>
  <c r="JN15" i="9"/>
  <c r="BS24" i="9"/>
  <c r="CN21" i="9"/>
  <c r="GV38" i="9"/>
  <c r="O107" i="9"/>
  <c r="BZ45" i="9"/>
  <c r="DI67" i="9"/>
  <c r="KI35" i="9"/>
  <c r="EK8" i="9"/>
  <c r="AJ104" i="9"/>
  <c r="H34" i="9"/>
  <c r="EK96" i="9"/>
  <c r="DB17" i="9"/>
  <c r="GO63" i="9"/>
  <c r="DW83" i="9"/>
  <c r="GA58" i="9"/>
  <c r="FF77" i="9"/>
  <c r="BS14" i="9"/>
  <c r="DP15" i="9"/>
  <c r="IE64" i="9"/>
  <c r="H87" i="9"/>
  <c r="GA34" i="9"/>
  <c r="HC29" i="9"/>
  <c r="AQ95" i="9"/>
  <c r="AC90" i="9"/>
  <c r="V79" i="9"/>
  <c r="GV31" i="9"/>
  <c r="ED108" i="9"/>
  <c r="AC3" i="9"/>
  <c r="AQ100" i="9"/>
  <c r="V80" i="9"/>
  <c r="HQ65" i="9"/>
  <c r="AX33" i="9"/>
  <c r="IL21" i="9"/>
  <c r="CG86" i="9"/>
  <c r="JU84" i="9"/>
  <c r="BE93" i="9"/>
  <c r="CU43" i="9"/>
  <c r="HX36" i="9"/>
  <c r="GV84" i="9"/>
  <c r="AC48" i="9"/>
  <c r="O61" i="9"/>
  <c r="IS47" i="9"/>
  <c r="AC18" i="9"/>
  <c r="JU98" i="9"/>
  <c r="JN82" i="9"/>
  <c r="H89" i="9"/>
  <c r="ER7" i="9"/>
  <c r="JG30" i="9"/>
  <c r="JG41" i="9"/>
  <c r="AQ69" i="9"/>
  <c r="GH12" i="9"/>
  <c r="EK67" i="9"/>
  <c r="FM85" i="9"/>
  <c r="JG61" i="9"/>
  <c r="DB29" i="9"/>
  <c r="IS23" i="9"/>
  <c r="CG60" i="9"/>
  <c r="H79" i="9"/>
  <c r="GO92" i="9"/>
  <c r="KB50" i="9"/>
  <c r="GH99" i="9"/>
  <c r="HX75" i="9"/>
  <c r="FT53" i="9"/>
  <c r="JG34" i="9"/>
  <c r="AX62" i="9"/>
  <c r="JU29" i="9"/>
  <c r="ED76" i="9"/>
  <c r="V46" i="9"/>
  <c r="ED14" i="9"/>
  <c r="EK49" i="9"/>
  <c r="V60" i="9"/>
  <c r="EY23" i="9"/>
  <c r="EK97" i="9"/>
  <c r="V35" i="9"/>
  <c r="IZ79" i="9"/>
  <c r="O62" i="9"/>
  <c r="GH84" i="9"/>
  <c r="AJ35" i="9"/>
  <c r="HX81" i="9"/>
  <c r="IZ109" i="9"/>
  <c r="BE15" i="9"/>
  <c r="O78" i="9"/>
  <c r="ED91" i="9"/>
  <c r="AJ65" i="9"/>
  <c r="BE83" i="9"/>
  <c r="DB77" i="9"/>
  <c r="GH91" i="9"/>
  <c r="IL27" i="9"/>
  <c r="IE59" i="9"/>
  <c r="GV98" i="9"/>
  <c r="BL20" i="9"/>
  <c r="KI45" i="9"/>
  <c r="GV81" i="9"/>
  <c r="BZ41" i="9"/>
  <c r="CN91" i="9"/>
  <c r="AX55" i="9"/>
  <c r="EY49" i="9"/>
  <c r="JG10" i="9"/>
  <c r="BE43" i="9"/>
  <c r="HJ82" i="9"/>
  <c r="DP55" i="9"/>
  <c r="FT108" i="9"/>
  <c r="HC68" i="9"/>
  <c r="GO71" i="9"/>
  <c r="IZ85" i="9"/>
  <c r="AQ50" i="9"/>
  <c r="IS84" i="9"/>
  <c r="HX90" i="9"/>
  <c r="BL38" i="9"/>
  <c r="AX44" i="9"/>
  <c r="BZ54" i="9"/>
  <c r="HQ66" i="9"/>
  <c r="GV95" i="9"/>
  <c r="HX41" i="9"/>
  <c r="KB26" i="9"/>
  <c r="O21" i="9"/>
  <c r="GA22" i="9"/>
  <c r="GV87" i="9"/>
  <c r="GH59" i="9"/>
  <c r="GV41" i="9"/>
  <c r="CN90" i="9"/>
  <c r="HC43" i="9"/>
  <c r="AJ69" i="9"/>
  <c r="IS34" i="9"/>
  <c r="IE88" i="9"/>
  <c r="AQ45" i="9"/>
  <c r="DW35" i="9"/>
  <c r="AX28" i="9"/>
  <c r="HC89" i="9"/>
  <c r="IL17" i="9"/>
  <c r="CG55" i="9"/>
  <c r="ED12" i="9"/>
  <c r="V13" i="9"/>
  <c r="IZ42" i="9"/>
  <c r="HX25" i="9"/>
  <c r="DP34" i="9"/>
  <c r="AC11" i="9"/>
  <c r="JN8" i="9"/>
  <c r="DI77" i="9"/>
  <c r="FM58" i="9"/>
  <c r="BZ65" i="9"/>
  <c r="GH104" i="9"/>
  <c r="KB29" i="9"/>
  <c r="AJ111" i="9"/>
  <c r="HJ84" i="9"/>
  <c r="DB51" i="9"/>
  <c r="BZ73" i="9"/>
  <c r="BZ84" i="9"/>
  <c r="HJ61" i="9"/>
  <c r="DB49" i="9"/>
  <c r="V65" i="9"/>
  <c r="IL38" i="9"/>
  <c r="DW48" i="9"/>
  <c r="GA95" i="9"/>
  <c r="GH100" i="9"/>
  <c r="HX21" i="9"/>
  <c r="HJ95" i="9"/>
  <c r="CG12" i="9"/>
  <c r="H92" i="9"/>
  <c r="AC34" i="9"/>
  <c r="EY54" i="9"/>
  <c r="KB69" i="9"/>
  <c r="AJ91" i="9"/>
  <c r="FT22" i="9"/>
  <c r="IZ35" i="9"/>
  <c r="KB93" i="9"/>
  <c r="ER93" i="9"/>
  <c r="GH50" i="9"/>
  <c r="JG17" i="9"/>
  <c r="JG58" i="9"/>
  <c r="ED40" i="9"/>
  <c r="ER4" i="9"/>
  <c r="DW12" i="9"/>
  <c r="O95" i="9"/>
  <c r="FM24" i="9"/>
  <c r="GO8" i="9"/>
  <c r="AX4" i="9"/>
  <c r="AJ17" i="9"/>
  <c r="DI42" i="9"/>
  <c r="EY41" i="9"/>
  <c r="BZ36" i="9"/>
  <c r="HX49" i="9"/>
  <c r="CU12" i="9"/>
  <c r="EY103" i="9"/>
  <c r="AQ11" i="9"/>
  <c r="AC27" i="9"/>
  <c r="GO58" i="9"/>
  <c r="BS20" i="9"/>
  <c r="KW39" i="9"/>
  <c r="BE109" i="9"/>
  <c r="EY65" i="9"/>
  <c r="CG41" i="9"/>
  <c r="AJ81" i="9"/>
  <c r="DW62" i="9"/>
  <c r="IE9" i="9"/>
  <c r="DW63" i="9"/>
  <c r="JU93" i="9"/>
  <c r="DI44" i="9"/>
  <c r="DB24" i="9"/>
  <c r="KB25" i="9"/>
  <c r="ED44" i="9"/>
  <c r="BS32" i="9"/>
  <c r="GA65" i="9"/>
  <c r="KI100" i="9"/>
  <c r="BS98" i="9"/>
  <c r="FF72" i="9"/>
  <c r="HJ64" i="9"/>
  <c r="JN66" i="9"/>
  <c r="GA29" i="9"/>
  <c r="BZ63" i="9"/>
  <c r="DB33" i="9"/>
  <c r="JN93" i="9"/>
  <c r="KP78" i="9"/>
  <c r="CU76" i="9"/>
  <c r="DI34" i="9"/>
  <c r="ER32" i="9"/>
  <c r="AJ56" i="9"/>
  <c r="O68" i="9"/>
  <c r="IE18" i="9"/>
  <c r="DW85" i="9"/>
  <c r="KP27" i="9"/>
  <c r="IL12" i="9"/>
  <c r="DI92" i="9"/>
  <c r="DP108" i="9"/>
  <c r="DB63" i="9"/>
  <c r="DP9" i="9"/>
  <c r="IL51" i="9"/>
  <c r="DB4" i="9"/>
  <c r="FF51" i="9"/>
  <c r="EY102" i="9"/>
  <c r="DW33" i="9"/>
  <c r="IE68" i="9"/>
  <c r="JG19" i="9"/>
  <c r="HJ79" i="9"/>
  <c r="BS111" i="9"/>
  <c r="JG60" i="9"/>
  <c r="IL56" i="9"/>
  <c r="DI10" i="9"/>
  <c r="KI93" i="9"/>
  <c r="GV79" i="9"/>
  <c r="FM106" i="9"/>
  <c r="BZ31" i="9"/>
  <c r="BE41" i="9"/>
  <c r="BS99" i="9"/>
  <c r="DI38" i="9"/>
  <c r="ED5" i="9"/>
  <c r="GH44" i="9"/>
  <c r="H64" i="9"/>
  <c r="V3" i="9"/>
  <c r="HQ8" i="9"/>
  <c r="IL18" i="9"/>
  <c r="KP61" i="9"/>
  <c r="KW55" i="9"/>
  <c r="GH43" i="9"/>
  <c r="BZ55" i="9"/>
  <c r="GH30" i="9"/>
  <c r="KW71" i="9"/>
  <c r="H60" i="9"/>
  <c r="BE34" i="9"/>
  <c r="FF101" i="9"/>
  <c r="GO84" i="9"/>
  <c r="AC102" i="9"/>
  <c r="AX108" i="9"/>
  <c r="IZ37" i="9"/>
  <c r="GV74" i="9"/>
  <c r="KI98" i="9"/>
  <c r="DW78" i="9"/>
  <c r="ER94" i="9"/>
  <c r="JN50" i="9"/>
  <c r="H3" i="9"/>
  <c r="BL92" i="9"/>
  <c r="DB104" i="9"/>
  <c r="JU92" i="9"/>
  <c r="IZ47" i="9"/>
  <c r="HX66" i="9"/>
  <c r="HQ76" i="9"/>
  <c r="BS22" i="9"/>
  <c r="JN39" i="9"/>
  <c r="KB33" i="9"/>
  <c r="BL3" i="9"/>
  <c r="AX98" i="9"/>
  <c r="GV59" i="9"/>
  <c r="CG27" i="9"/>
  <c r="AX66" i="9"/>
  <c r="GH108" i="9"/>
  <c r="BL77" i="9"/>
  <c r="IS17" i="9"/>
  <c r="KI61" i="9"/>
  <c r="BS88" i="9"/>
  <c r="KP111" i="9"/>
  <c r="BZ109" i="9"/>
  <c r="HX99" i="9"/>
  <c r="AJ74" i="9"/>
  <c r="JN84" i="9"/>
  <c r="HJ18" i="9"/>
  <c r="JN7" i="9"/>
  <c r="BE87" i="9"/>
  <c r="GV23" i="9"/>
  <c r="CU87" i="9"/>
  <c r="BZ10" i="9"/>
  <c r="HQ82" i="9"/>
  <c r="HJ25" i="9"/>
  <c r="BZ80" i="9"/>
  <c r="H43" i="9"/>
  <c r="GO53" i="9"/>
  <c r="JN102" i="9"/>
  <c r="JN17" i="9"/>
  <c r="H31" i="9"/>
  <c r="FT65" i="9"/>
  <c r="AQ53" i="9"/>
  <c r="FM11" i="9"/>
  <c r="AJ95" i="9"/>
  <c r="HJ97" i="9"/>
  <c r="GO44" i="9"/>
  <c r="KB87" i="9"/>
  <c r="DI57" i="9"/>
  <c r="KB56" i="9"/>
  <c r="IL97" i="9"/>
  <c r="KP51" i="9"/>
  <c r="IS109" i="9"/>
  <c r="FF73" i="9"/>
  <c r="HC7" i="9"/>
  <c r="KP64" i="9"/>
  <c r="KB34" i="9"/>
  <c r="CN38" i="9"/>
  <c r="GV27" i="9"/>
  <c r="GH72" i="9"/>
  <c r="BE104" i="9"/>
  <c r="JN104" i="9"/>
  <c r="KW65" i="9"/>
  <c r="GV45" i="9"/>
  <c r="IL73" i="9"/>
  <c r="KP101" i="9"/>
  <c r="DP95" i="9"/>
  <c r="DW108" i="9"/>
  <c r="HX104" i="9"/>
  <c r="KP75" i="9"/>
  <c r="KW88" i="9"/>
  <c r="AX8" i="9"/>
  <c r="FF3" i="9"/>
  <c r="AQ37" i="9"/>
  <c r="IZ25" i="9"/>
  <c r="AJ77" i="9"/>
  <c r="V36" i="9"/>
  <c r="DP72" i="9"/>
  <c r="GH49" i="9"/>
  <c r="KP55" i="9"/>
  <c r="HC19" i="9"/>
  <c r="KW56" i="9"/>
  <c r="GA57" i="9"/>
  <c r="KB51" i="9"/>
  <c r="EK41" i="9"/>
  <c r="DP38" i="9"/>
  <c r="HX84" i="9"/>
  <c r="AC67" i="9"/>
  <c r="IZ70" i="9"/>
  <c r="ER95" i="9"/>
  <c r="GH9" i="9"/>
  <c r="ED61" i="9"/>
  <c r="GO29" i="9"/>
  <c r="GO103" i="9"/>
  <c r="HC35" i="9"/>
  <c r="IZ11" i="9"/>
  <c r="GA44" i="9"/>
  <c r="GA9" i="9"/>
  <c r="JN35" i="9"/>
  <c r="KB21" i="9"/>
  <c r="HJ55" i="9"/>
  <c r="ER73" i="9"/>
  <c r="BE99" i="9"/>
  <c r="FM71" i="9"/>
  <c r="O29" i="9"/>
  <c r="IL100" i="9"/>
  <c r="V15" i="9"/>
  <c r="IZ110" i="9"/>
  <c r="IZ13" i="9"/>
  <c r="BE50" i="9"/>
  <c r="FM23" i="9"/>
  <c r="FT86" i="9"/>
  <c r="CU89" i="9"/>
  <c r="FF14" i="9"/>
  <c r="DI75" i="9"/>
  <c r="JU6" i="9"/>
  <c r="BE97" i="9"/>
  <c r="JU102" i="9"/>
  <c r="ER102" i="9"/>
  <c r="H7" i="9"/>
  <c r="KW61" i="9"/>
  <c r="EK9" i="9"/>
  <c r="HJ15" i="9"/>
  <c r="DP29" i="9"/>
  <c r="AQ71" i="9"/>
  <c r="EK55" i="9"/>
  <c r="FT98" i="9"/>
  <c r="DW96" i="9"/>
  <c r="AQ14" i="9"/>
  <c r="KP40" i="9"/>
  <c r="KP59" i="9"/>
  <c r="JG29" i="9"/>
  <c r="IL76" i="9"/>
  <c r="IZ107" i="9"/>
  <c r="CN6" i="9"/>
  <c r="KP46" i="9"/>
  <c r="KP8" i="9"/>
  <c r="GH11" i="9"/>
  <c r="AX109" i="9"/>
  <c r="KI64" i="9"/>
  <c r="DB8" i="9"/>
  <c r="EK52" i="9"/>
  <c r="KP104" i="9"/>
  <c r="FT4" i="9"/>
  <c r="GV103" i="9"/>
  <c r="CG85" i="9"/>
  <c r="ER22" i="9"/>
  <c r="AJ50" i="9"/>
  <c r="DW14" i="9"/>
  <c r="IL88" i="9"/>
  <c r="AC106" i="9"/>
  <c r="CU69" i="9"/>
  <c r="ER55" i="9"/>
  <c r="DW67" i="9"/>
  <c r="HJ70" i="9"/>
  <c r="AC94" i="9"/>
  <c r="ED41" i="9"/>
  <c r="V62" i="9"/>
  <c r="DP62" i="9"/>
  <c r="KB28" i="9"/>
  <c r="KW92" i="9"/>
  <c r="FF52" i="9"/>
  <c r="V73" i="9"/>
  <c r="HC76" i="9"/>
  <c r="GA63" i="9"/>
  <c r="GH5" i="9"/>
  <c r="DI8" i="9"/>
  <c r="FM107" i="9"/>
  <c r="DI64" i="9"/>
  <c r="AQ61" i="9"/>
  <c r="DW37" i="9"/>
  <c r="HC33" i="9"/>
  <c r="IE63" i="9"/>
  <c r="BZ38" i="9"/>
  <c r="AX6" i="9"/>
  <c r="GV48" i="9"/>
  <c r="KW107" i="9"/>
  <c r="KP28" i="9"/>
  <c r="CG4" i="9"/>
  <c r="H86" i="9"/>
  <c r="O108" i="9"/>
  <c r="DP109" i="9"/>
  <c r="FF84" i="9"/>
  <c r="AJ109" i="9"/>
  <c r="DI111" i="9"/>
  <c r="IS42" i="9"/>
  <c r="O22" i="9"/>
  <c r="GA50" i="9"/>
  <c r="HJ49" i="9"/>
  <c r="KP74" i="9"/>
  <c r="KB40" i="9"/>
  <c r="HC20" i="9"/>
  <c r="AJ63" i="9"/>
  <c r="V69" i="9"/>
  <c r="DP106" i="9"/>
  <c r="IE92" i="9"/>
  <c r="EY111" i="9"/>
  <c r="V54" i="9"/>
  <c r="KP66" i="9"/>
  <c r="AC17" i="9"/>
  <c r="BL71" i="9"/>
  <c r="BE5" i="9"/>
  <c r="CG13" i="9"/>
  <c r="FM72" i="9"/>
  <c r="GO7" i="9"/>
  <c r="IS108" i="9"/>
  <c r="HX50" i="9"/>
  <c r="JG13" i="9"/>
  <c r="GA56" i="9"/>
  <c r="AJ5" i="9"/>
  <c r="V93" i="9"/>
  <c r="AJ11" i="9"/>
  <c r="CU94" i="9"/>
  <c r="HC108" i="9"/>
  <c r="AX68" i="9"/>
  <c r="BE7" i="9"/>
  <c r="HX63" i="9"/>
  <c r="DP16" i="9"/>
  <c r="FT25" i="9"/>
  <c r="IL92" i="9"/>
  <c r="AX91" i="9"/>
  <c r="AQ21" i="9"/>
  <c r="AC31" i="9"/>
  <c r="CU40" i="9"/>
  <c r="O38" i="9"/>
  <c r="KW84" i="9"/>
  <c r="BE13" i="9"/>
  <c r="DP45" i="9"/>
  <c r="FF106" i="9"/>
  <c r="EY58" i="9"/>
  <c r="DP44" i="9"/>
  <c r="BL110" i="9"/>
  <c r="ER72" i="9"/>
  <c r="IS71" i="9"/>
  <c r="GV62" i="9"/>
  <c r="DI105" i="9"/>
  <c r="HQ16" i="9"/>
  <c r="HC44" i="9"/>
  <c r="IS26" i="9"/>
  <c r="GO88" i="9"/>
  <c r="FM40" i="9"/>
  <c r="DI68" i="9"/>
  <c r="CU78" i="9"/>
  <c r="HC110" i="9"/>
  <c r="HJ28" i="9"/>
  <c r="AQ97" i="9"/>
  <c r="CN64" i="9"/>
  <c r="IL60" i="9"/>
  <c r="AX88" i="9"/>
  <c r="AC111" i="9"/>
  <c r="AQ46" i="9"/>
  <c r="DP93" i="9"/>
  <c r="EY13" i="9"/>
  <c r="DI81" i="9"/>
  <c r="KI79" i="9"/>
  <c r="JG54" i="9"/>
  <c r="IL67" i="9"/>
  <c r="HX18" i="9"/>
  <c r="BL31" i="9"/>
  <c r="FF19" i="9"/>
  <c r="DP70" i="9"/>
  <c r="AX110" i="9"/>
  <c r="V91" i="9"/>
  <c r="EK30" i="9"/>
  <c r="BZ5" i="9"/>
  <c r="HQ27" i="9"/>
  <c r="KW53" i="9"/>
  <c r="V47" i="9"/>
  <c r="V18" i="9"/>
  <c r="FF70" i="9"/>
  <c r="JU74" i="9"/>
  <c r="GV21" i="9"/>
  <c r="O86" i="9"/>
  <c r="FM84" i="9"/>
  <c r="GA84" i="9"/>
  <c r="EK93" i="9"/>
  <c r="FT59" i="9"/>
  <c r="KW43" i="9"/>
  <c r="BE21" i="9"/>
  <c r="KB107" i="9"/>
  <c r="CU30" i="9"/>
  <c r="BE100" i="9"/>
  <c r="DW68" i="9"/>
  <c r="JN87" i="9"/>
  <c r="DW29" i="9"/>
  <c r="KW31" i="9"/>
  <c r="V66" i="9"/>
  <c r="BS17" i="9"/>
  <c r="GA42" i="9"/>
  <c r="HC31" i="9"/>
  <c r="IE19" i="9"/>
  <c r="IZ105" i="9"/>
  <c r="AC15" i="9"/>
  <c r="IS68" i="9"/>
  <c r="IZ54" i="9"/>
  <c r="KW6" i="9"/>
  <c r="KI3" i="9"/>
  <c r="FF87" i="9"/>
  <c r="BS51" i="9"/>
  <c r="GO49" i="9"/>
  <c r="HC25" i="9"/>
  <c r="EK44" i="9"/>
  <c r="GO81" i="9"/>
  <c r="CG111" i="9"/>
  <c r="EY18" i="9"/>
  <c r="IE12" i="9"/>
  <c r="GV51" i="9"/>
  <c r="DB102" i="9"/>
  <c r="IL19" i="9"/>
  <c r="FF26" i="9"/>
  <c r="JG43" i="9"/>
  <c r="GO60" i="9"/>
  <c r="H93" i="9"/>
  <c r="AQ91" i="9"/>
  <c r="BL89" i="9"/>
  <c r="JG106" i="9"/>
  <c r="DB46" i="9"/>
  <c r="HC82" i="9"/>
  <c r="O45" i="9"/>
  <c r="CU4" i="9"/>
  <c r="BZ111" i="9"/>
  <c r="ER45" i="9"/>
  <c r="HQ18" i="9"/>
  <c r="O65" i="9"/>
  <c r="AX21" i="9"/>
  <c r="BE89" i="9"/>
  <c r="AQ57" i="9"/>
  <c r="IZ9" i="9"/>
  <c r="EK68" i="9"/>
  <c r="HQ84" i="9"/>
  <c r="CN56" i="9"/>
  <c r="FF94" i="9"/>
  <c r="JU26" i="9"/>
  <c r="AX20" i="9"/>
  <c r="HX62" i="9"/>
  <c r="EY30" i="9"/>
  <c r="GO73" i="9"/>
  <c r="BE60" i="9"/>
  <c r="AX57" i="9"/>
  <c r="BS68" i="9"/>
  <c r="BE84" i="9"/>
  <c r="JU60" i="9"/>
  <c r="IE60" i="9"/>
  <c r="GV102" i="9"/>
  <c r="O43" i="9"/>
  <c r="BE8" i="9"/>
  <c r="DI73" i="9"/>
  <c r="EK106" i="9"/>
  <c r="GH3" i="9"/>
  <c r="DB40" i="9"/>
  <c r="GH35" i="9"/>
  <c r="JN49" i="9"/>
  <c r="EY56" i="9"/>
  <c r="IL42" i="9"/>
  <c r="CN75" i="9"/>
  <c r="V84" i="9"/>
  <c r="CG5" i="9"/>
  <c r="FF42" i="9"/>
  <c r="AX12" i="9"/>
  <c r="GH93" i="9"/>
  <c r="AC93" i="9"/>
  <c r="HX48" i="9"/>
  <c r="AJ6" i="9"/>
  <c r="ED84" i="9"/>
  <c r="AC19" i="9"/>
  <c r="AQ66" i="9"/>
  <c r="HX47" i="9"/>
  <c r="CU49" i="9"/>
  <c r="JN53" i="9"/>
  <c r="EK94" i="9"/>
  <c r="FT62" i="9"/>
  <c r="IL58" i="9"/>
  <c r="IL82" i="9"/>
  <c r="GV35" i="9"/>
  <c r="AJ23" i="9"/>
  <c r="CG91" i="9"/>
  <c r="BZ4" i="9"/>
  <c r="GH27" i="9"/>
  <c r="BE71" i="9"/>
  <c r="BE27" i="9"/>
  <c r="HX35" i="9"/>
  <c r="JU69" i="9"/>
  <c r="AQ101" i="9"/>
  <c r="AQ42" i="9"/>
  <c r="GA66" i="9"/>
  <c r="HQ108" i="9"/>
  <c r="DI59" i="9"/>
  <c r="FF66" i="9"/>
  <c r="GH88" i="9"/>
  <c r="KW90" i="9"/>
  <c r="BS67" i="9"/>
  <c r="GH19" i="9"/>
  <c r="GO23" i="9"/>
  <c r="GO61" i="9"/>
  <c r="HC106" i="9"/>
  <c r="V98" i="9"/>
  <c r="CN52" i="9"/>
  <c r="IE73" i="9"/>
  <c r="JG52" i="9"/>
  <c r="H62" i="9"/>
  <c r="GH29" i="9"/>
  <c r="IL9" i="9"/>
  <c r="BZ6" i="9"/>
  <c r="IZ104" i="9"/>
  <c r="IE23" i="9"/>
  <c r="AQ102" i="9"/>
  <c r="KI13" i="9"/>
  <c r="EK32" i="9"/>
  <c r="FM22" i="9"/>
  <c r="GA104" i="9"/>
  <c r="HQ64" i="9"/>
  <c r="GA35" i="9"/>
  <c r="AJ33" i="9"/>
  <c r="FM7" i="9"/>
  <c r="HJ73" i="9"/>
  <c r="IL71" i="9"/>
  <c r="AJ88" i="9"/>
  <c r="BZ64" i="9"/>
  <c r="CU99" i="9"/>
  <c r="DI30" i="9"/>
  <c r="AJ89" i="9"/>
  <c r="IZ31" i="9"/>
  <c r="FM45" i="9"/>
  <c r="EK110" i="9"/>
  <c r="GO98" i="9"/>
  <c r="O28" i="9"/>
  <c r="JU38" i="9"/>
  <c r="ED52" i="9"/>
  <c r="EK80" i="9"/>
  <c r="ED65" i="9"/>
  <c r="AQ78" i="9"/>
  <c r="GH10" i="9"/>
  <c r="JU28" i="9"/>
  <c r="BS103" i="9"/>
  <c r="BL70" i="9"/>
  <c r="IZ72" i="9"/>
  <c r="CN65" i="9"/>
  <c r="EY5" i="9"/>
  <c r="IL64" i="9"/>
  <c r="HX77" i="9"/>
  <c r="KB74" i="9"/>
  <c r="IL6" i="9"/>
  <c r="GH76" i="9"/>
  <c r="AC54" i="9"/>
  <c r="H84" i="9"/>
  <c r="HX43" i="9"/>
  <c r="HC104" i="9"/>
  <c r="BS60" i="9"/>
  <c r="ER25" i="9"/>
  <c r="BS110" i="9"/>
  <c r="CU32" i="9"/>
  <c r="IS83" i="9"/>
  <c r="CN109" i="9"/>
  <c r="CG63" i="9"/>
  <c r="DP52" i="9"/>
  <c r="BS4" i="9"/>
  <c r="DB60" i="9"/>
  <c r="EY81" i="9"/>
  <c r="FF48" i="9"/>
  <c r="IL16" i="9"/>
  <c r="IZ5" i="9"/>
  <c r="DI71" i="9"/>
  <c r="EK79" i="9"/>
  <c r="ED102" i="9"/>
  <c r="IS56" i="9"/>
  <c r="ER57" i="9"/>
  <c r="V44" i="9"/>
  <c r="BE96" i="9"/>
  <c r="FT101" i="9"/>
  <c r="JN77" i="9"/>
  <c r="O100" i="9"/>
  <c r="JU55" i="9"/>
  <c r="DP97" i="9"/>
  <c r="IZ100" i="9"/>
  <c r="HJ62" i="9"/>
  <c r="DB5" i="9"/>
  <c r="GV71" i="9"/>
  <c r="FM59" i="9"/>
  <c r="DP82" i="9"/>
  <c r="IS43" i="9"/>
  <c r="ED55" i="9"/>
  <c r="JU9" i="9"/>
  <c r="CN77" i="9"/>
  <c r="V32" i="9"/>
  <c r="KP21" i="9"/>
  <c r="AC68" i="9"/>
  <c r="AC109" i="9"/>
  <c r="GA64" i="9"/>
  <c r="DI103" i="9"/>
  <c r="BZ42" i="9"/>
  <c r="DW103" i="9"/>
  <c r="AX64" i="9"/>
  <c r="H49" i="9"/>
  <c r="FF30" i="9"/>
  <c r="O50" i="9"/>
  <c r="KW18" i="9"/>
  <c r="ER109" i="9"/>
  <c r="BL36" i="9"/>
  <c r="CG24" i="9"/>
  <c r="CG33" i="9"/>
  <c r="JN24" i="9"/>
  <c r="JG49" i="9"/>
  <c r="H28" i="9"/>
  <c r="AC52" i="9"/>
  <c r="DP40" i="9"/>
  <c r="IS31" i="9"/>
  <c r="IS89" i="9"/>
  <c r="HJ99" i="9"/>
  <c r="EY68" i="9"/>
  <c r="DI47" i="9"/>
  <c r="FT56" i="9"/>
  <c r="EK12" i="9"/>
  <c r="JN34" i="9"/>
  <c r="GV60" i="9"/>
  <c r="V94" i="9"/>
  <c r="HC100" i="9"/>
  <c r="FF85" i="9"/>
  <c r="FM35" i="9"/>
  <c r="BZ12" i="9"/>
  <c r="BE16" i="9"/>
  <c r="JN74" i="9"/>
  <c r="KP80" i="9"/>
  <c r="EY106" i="9"/>
  <c r="CG23" i="9"/>
  <c r="GA14" i="9"/>
  <c r="JU14" i="9"/>
  <c r="DP107" i="9"/>
  <c r="KB85" i="9"/>
  <c r="KB67" i="9"/>
  <c r="JU52" i="9"/>
  <c r="IZ38" i="9"/>
  <c r="CU19" i="9"/>
  <c r="EY86" i="9"/>
  <c r="EK76" i="9"/>
  <c r="O89" i="9"/>
  <c r="GO4" i="9"/>
  <c r="DW17" i="9"/>
  <c r="H50" i="9"/>
  <c r="ED99" i="9"/>
  <c r="JU7" i="9"/>
  <c r="IZ24" i="9"/>
  <c r="DB76" i="9"/>
  <c r="ED15" i="9"/>
  <c r="BL88" i="9"/>
  <c r="IS70" i="9"/>
  <c r="KB8" i="9"/>
  <c r="IZ33" i="9"/>
  <c r="JG88" i="9"/>
  <c r="BS104" i="9"/>
  <c r="FF80" i="9"/>
  <c r="AX17" i="9"/>
  <c r="KI30" i="9"/>
  <c r="HQ90" i="9"/>
  <c r="DW40" i="9"/>
  <c r="CN110" i="9"/>
  <c r="KP33" i="9"/>
  <c r="FM81" i="9"/>
  <c r="EK33" i="9"/>
  <c r="O10" i="9"/>
  <c r="BS6" i="9"/>
  <c r="V95" i="9"/>
  <c r="BL35" i="9"/>
  <c r="O19" i="9"/>
  <c r="BZ3" i="9"/>
  <c r="AX85" i="9"/>
  <c r="AX52" i="9"/>
  <c r="IL72" i="9"/>
  <c r="ED29" i="9"/>
  <c r="IE77" i="9"/>
  <c r="EY12" i="9"/>
  <c r="FM12" i="9"/>
  <c r="GV30" i="9"/>
  <c r="CU6" i="9"/>
  <c r="FF74" i="9"/>
  <c r="BZ74" i="9"/>
  <c r="HC91" i="9"/>
  <c r="GH46" i="9"/>
  <c r="JU53" i="9"/>
  <c r="CG66" i="9"/>
  <c r="FM56" i="9"/>
  <c r="CG98" i="9"/>
  <c r="JU40" i="9"/>
  <c r="GA88" i="9"/>
  <c r="DP78" i="9"/>
  <c r="AQ32" i="9"/>
  <c r="HQ55" i="9"/>
  <c r="IE62" i="9"/>
  <c r="CG106" i="9"/>
  <c r="CU31" i="9"/>
  <c r="BZ62" i="9"/>
  <c r="GO77" i="9"/>
  <c r="GV92" i="9"/>
  <c r="HQ99" i="9"/>
  <c r="GA24" i="9"/>
  <c r="IL107" i="9"/>
  <c r="DP7" i="9"/>
  <c r="IE8" i="9"/>
  <c r="DW52" i="9"/>
  <c r="DW91" i="9"/>
  <c r="HJ31" i="9"/>
  <c r="ER108" i="9"/>
  <c r="GH94" i="9"/>
  <c r="GH53" i="9"/>
  <c r="DI97" i="9"/>
  <c r="JU54" i="9"/>
  <c r="HJ32" i="9"/>
  <c r="KP32" i="9"/>
  <c r="IE24" i="9"/>
  <c r="ER63" i="9"/>
  <c r="AX74" i="9"/>
  <c r="GV105" i="9"/>
  <c r="AX40" i="9"/>
  <c r="H33" i="9"/>
  <c r="BS19" i="9"/>
  <c r="ED20" i="9"/>
  <c r="IZ27" i="9"/>
  <c r="H52" i="9"/>
  <c r="GA97" i="9"/>
  <c r="KP89" i="9"/>
  <c r="DB43" i="9"/>
  <c r="DB21" i="9"/>
  <c r="H41" i="9"/>
  <c r="EY107" i="9"/>
  <c r="BE90" i="9"/>
  <c r="IE70" i="9"/>
  <c r="HQ58" i="9"/>
  <c r="AX89" i="9"/>
  <c r="IS77" i="9"/>
  <c r="CN58" i="9"/>
  <c r="FM68" i="9"/>
  <c r="KI18" i="9"/>
  <c r="FM38" i="9"/>
  <c r="H70" i="9"/>
  <c r="KI42" i="9"/>
  <c r="FT68" i="9"/>
  <c r="ER6" i="9"/>
  <c r="HQ85" i="9"/>
  <c r="BZ61" i="9"/>
  <c r="IS6" i="9"/>
  <c r="DW47" i="9"/>
  <c r="KP107" i="9"/>
  <c r="BZ43" i="9"/>
  <c r="FF97" i="9"/>
  <c r="CG7" i="9"/>
  <c r="FT63" i="9"/>
  <c r="HJ83" i="9"/>
  <c r="DB92" i="9"/>
  <c r="AC56" i="9"/>
  <c r="AC4" i="9"/>
  <c r="FM18" i="9"/>
  <c r="V67" i="9"/>
  <c r="ED38" i="9"/>
  <c r="DI32" i="9"/>
  <c r="FM17" i="9"/>
  <c r="HQ109" i="9"/>
  <c r="HQ34" i="9"/>
  <c r="GO89" i="9"/>
  <c r="EY22" i="9"/>
  <c r="IL11" i="9"/>
  <c r="HX28" i="9"/>
  <c r="GO80" i="9"/>
  <c r="KW76" i="9"/>
  <c r="BL16" i="9"/>
  <c r="JG26" i="9"/>
  <c r="FF62" i="9"/>
  <c r="HX27" i="9"/>
  <c r="CU90" i="9"/>
  <c r="FF108" i="9"/>
  <c r="V108" i="9"/>
  <c r="KW66" i="9"/>
  <c r="HC15" i="9"/>
  <c r="CU105" i="9"/>
  <c r="AQ94" i="9"/>
  <c r="GO16" i="9"/>
  <c r="EK95" i="9"/>
  <c r="ED63" i="9"/>
  <c r="FM82" i="9"/>
  <c r="BS108" i="9"/>
  <c r="KB89" i="9"/>
  <c r="HQ5" i="9"/>
  <c r="GV16" i="9"/>
  <c r="EK28" i="9"/>
  <c r="IE89" i="9"/>
  <c r="KP38" i="9"/>
  <c r="CN3" i="9"/>
  <c r="BL56" i="9"/>
  <c r="CU95" i="9"/>
  <c r="KI47" i="9"/>
  <c r="JN18" i="9"/>
  <c r="KW63" i="9"/>
  <c r="GA108" i="9"/>
  <c r="BE76" i="9"/>
  <c r="BZ66" i="9"/>
  <c r="FF75" i="9"/>
  <c r="DP105" i="9"/>
  <c r="FM111" i="9"/>
  <c r="HJ7" i="9"/>
  <c r="AJ8" i="9"/>
  <c r="HQ68" i="9"/>
  <c r="AC72" i="9"/>
  <c r="IL78" i="9"/>
  <c r="CG75" i="9"/>
  <c r="H17" i="9"/>
  <c r="HQ100" i="9"/>
  <c r="HX88" i="9"/>
  <c r="HQ56" i="9"/>
  <c r="FF61" i="9"/>
  <c r="FM51" i="9"/>
  <c r="ED30" i="9"/>
  <c r="HC62" i="9"/>
  <c r="DW56" i="9"/>
  <c r="ER107" i="9"/>
  <c r="EY76" i="9"/>
  <c r="EY79" i="9"/>
  <c r="BE25" i="9"/>
  <c r="IE6" i="9"/>
  <c r="ER79" i="9"/>
  <c r="AX76" i="9"/>
  <c r="GV77" i="9"/>
  <c r="DP13" i="9"/>
  <c r="EY11" i="9"/>
  <c r="CG19" i="9"/>
  <c r="DW111" i="9"/>
  <c r="BS105" i="9"/>
  <c r="IE91" i="9"/>
  <c r="DI52" i="9"/>
  <c r="JG89" i="9"/>
  <c r="GH80" i="9"/>
  <c r="GV3" i="9"/>
  <c r="EK105" i="9"/>
  <c r="AJ79" i="9"/>
  <c r="H107" i="9"/>
  <c r="AC51" i="9"/>
  <c r="JG75" i="9"/>
  <c r="KW79" i="9"/>
  <c r="JN5" i="9"/>
  <c r="KW81" i="9"/>
  <c r="JU57" i="9"/>
  <c r="HC81" i="9"/>
  <c r="JN44" i="9"/>
  <c r="FF86" i="9"/>
  <c r="EK43" i="9"/>
  <c r="IL105" i="9"/>
  <c r="IZ62" i="9"/>
  <c r="HJ86" i="9"/>
  <c r="BE10" i="9"/>
  <c r="HC49" i="9"/>
  <c r="BZ29" i="9"/>
  <c r="ER44" i="9"/>
  <c r="KW22" i="9"/>
  <c r="AJ58" i="9"/>
  <c r="AC69" i="9"/>
  <c r="KB81" i="9"/>
  <c r="HC77" i="9"/>
  <c r="AO51" i="8"/>
  <c r="AR433" i="8" s="1"/>
  <c r="CN8" i="9"/>
  <c r="BS10" i="9"/>
  <c r="FF50" i="9"/>
  <c r="IS92" i="9"/>
  <c r="CN25" i="9"/>
  <c r="JN47" i="9"/>
  <c r="JN42" i="9"/>
  <c r="KB105" i="9"/>
  <c r="HQ111" i="9"/>
  <c r="IZ48" i="9"/>
  <c r="IS65" i="9"/>
  <c r="O94" i="9"/>
  <c r="GO41" i="9"/>
  <c r="FF28" i="9"/>
  <c r="JG21" i="9"/>
  <c r="AO55" i="8"/>
  <c r="AR485" i="8" s="1"/>
  <c r="KW38" i="9"/>
  <c r="DP75" i="9"/>
  <c r="V20" i="9"/>
  <c r="CG110" i="9"/>
  <c r="IE50" i="9"/>
  <c r="CN92" i="9"/>
  <c r="ER81" i="9"/>
  <c r="IE101" i="9"/>
  <c r="KP68" i="9"/>
  <c r="CU109" i="9"/>
  <c r="BE81" i="9"/>
  <c r="IE83" i="9"/>
  <c r="AJ38" i="9"/>
  <c r="AX111" i="9"/>
  <c r="CN7" i="9"/>
  <c r="IE79" i="9"/>
  <c r="DI27" i="9"/>
  <c r="BL99" i="9"/>
  <c r="ER101" i="9"/>
  <c r="H26" i="9"/>
  <c r="HJ51" i="9"/>
  <c r="GO82" i="9"/>
  <c r="JU61" i="9"/>
  <c r="KW78" i="9"/>
  <c r="CN61" i="9"/>
  <c r="DB16" i="9"/>
  <c r="EK61" i="9"/>
  <c r="H83" i="9"/>
  <c r="GA54" i="9"/>
  <c r="IZ39" i="9"/>
  <c r="O84" i="9"/>
  <c r="KP69" i="9"/>
  <c r="EK82" i="9"/>
  <c r="CU28" i="9"/>
  <c r="KW21" i="9"/>
  <c r="FF53" i="9"/>
  <c r="AQ31" i="9"/>
  <c r="HX4" i="9"/>
  <c r="GO79" i="9"/>
  <c r="AC87" i="9"/>
  <c r="JU12" i="9"/>
  <c r="GV12" i="9"/>
  <c r="KB97" i="9"/>
  <c r="DP11" i="9"/>
  <c r="AJ22" i="9"/>
  <c r="FF93" i="9"/>
  <c r="H65" i="9"/>
  <c r="IS81" i="9"/>
  <c r="ED96" i="9"/>
  <c r="JG65" i="9"/>
  <c r="IZ67" i="9"/>
  <c r="AC14" i="9"/>
  <c r="JU13" i="9"/>
  <c r="KI85" i="9"/>
  <c r="CN23" i="9"/>
  <c r="IS7" i="9"/>
  <c r="ER68" i="9"/>
  <c r="IZ78" i="9"/>
  <c r="AQ107" i="9"/>
  <c r="HJ89" i="9"/>
  <c r="HQ110" i="9"/>
  <c r="JN85" i="9"/>
  <c r="O3" i="9"/>
  <c r="BZ81" i="9"/>
  <c r="FT7" i="9"/>
  <c r="HC65" i="9"/>
  <c r="JN88" i="9"/>
  <c r="AJ9" i="9"/>
  <c r="KB12" i="9"/>
  <c r="CG71" i="9"/>
  <c r="HQ33" i="9"/>
  <c r="DP24" i="9"/>
  <c r="BZ99" i="9"/>
  <c r="KB98" i="9"/>
  <c r="JN65" i="9"/>
  <c r="BS15" i="9"/>
  <c r="DP3" i="9"/>
  <c r="BE39" i="9"/>
  <c r="KW101" i="9"/>
  <c r="AJ24" i="9"/>
  <c r="KB65" i="9"/>
  <c r="FF9" i="9"/>
  <c r="AC110" i="9"/>
  <c r="ER66" i="9"/>
  <c r="FT54" i="9"/>
  <c r="IE38" i="9"/>
  <c r="JU24" i="9"/>
  <c r="DB34" i="9"/>
  <c r="FF110" i="9"/>
  <c r="GV40" i="9"/>
  <c r="JN81" i="9"/>
  <c r="ED26" i="9"/>
  <c r="HC6" i="9"/>
  <c r="CG50" i="9"/>
  <c r="ER38" i="9"/>
  <c r="CG32" i="9"/>
  <c r="GV14" i="9"/>
  <c r="FM6" i="9"/>
  <c r="BL41" i="9"/>
  <c r="V19" i="9"/>
  <c r="BS45" i="9"/>
  <c r="AQ103" i="9"/>
  <c r="IL55" i="9"/>
  <c r="HX68" i="9"/>
  <c r="AQ39" i="9"/>
  <c r="O23" i="9"/>
  <c r="DI50" i="9"/>
  <c r="KW45" i="9"/>
  <c r="BL64" i="9"/>
  <c r="DP14" i="9"/>
  <c r="CG52" i="9"/>
  <c r="DW87" i="9"/>
  <c r="KI4" i="9"/>
  <c r="GA80" i="9"/>
  <c r="BL32" i="9"/>
  <c r="DB22" i="9"/>
  <c r="KP60" i="9"/>
  <c r="ER87" i="9"/>
  <c r="AX83" i="9"/>
  <c r="FM70" i="9"/>
  <c r="HQ43" i="9"/>
  <c r="FM9" i="9"/>
  <c r="AX47" i="9"/>
  <c r="GV44" i="9"/>
  <c r="IE10" i="9"/>
  <c r="AC58" i="9"/>
  <c r="GV94" i="9"/>
  <c r="DW11" i="9"/>
  <c r="ER74" i="9"/>
  <c r="JU59" i="9"/>
  <c r="DI23" i="9"/>
  <c r="HQ28" i="9"/>
  <c r="HJ80" i="9"/>
  <c r="ER29" i="9"/>
  <c r="FF44" i="9"/>
  <c r="IS11" i="9"/>
  <c r="ED10" i="9"/>
  <c r="HJ8" i="9"/>
  <c r="V102" i="9"/>
  <c r="AO27" i="8"/>
  <c r="AR121" i="8" s="1"/>
  <c r="GO9" i="9"/>
  <c r="O105" i="9"/>
  <c r="H40" i="9"/>
  <c r="AJ31" i="9"/>
  <c r="IE7" i="9"/>
  <c r="JU56" i="9"/>
  <c r="KP88" i="9"/>
  <c r="KI105" i="9"/>
  <c r="FF107" i="9"/>
  <c r="GO86" i="9"/>
  <c r="IZ22" i="9"/>
  <c r="CU55" i="9"/>
  <c r="GO65" i="9"/>
  <c r="KW20" i="9"/>
  <c r="JN105" i="9"/>
  <c r="HQ48" i="9"/>
  <c r="FT76" i="9"/>
  <c r="CN13" i="9"/>
  <c r="AQ110" i="9"/>
  <c r="IZ3" i="9"/>
  <c r="DW23" i="9"/>
  <c r="HC9" i="9"/>
  <c r="CU50" i="9"/>
  <c r="DP46" i="9"/>
  <c r="BZ89" i="9"/>
  <c r="DW34" i="9"/>
  <c r="O59" i="9"/>
  <c r="DP5" i="9"/>
  <c r="GO15" i="9"/>
  <c r="AC9" i="9"/>
  <c r="V41" i="9"/>
  <c r="IS15" i="9"/>
  <c r="EK4" i="9"/>
  <c r="H51" i="9"/>
  <c r="HQ42" i="9"/>
  <c r="FM101" i="9"/>
  <c r="AJ45" i="9"/>
  <c r="KP71" i="9"/>
  <c r="EK6" i="9"/>
  <c r="HX12" i="9"/>
  <c r="BE55" i="9"/>
  <c r="DP56" i="9"/>
  <c r="AX37" i="9"/>
  <c r="JU100" i="9"/>
  <c r="JG72" i="9"/>
  <c r="AC76" i="9"/>
  <c r="HJ10" i="9"/>
  <c r="CU97" i="9"/>
  <c r="AQ65" i="9"/>
  <c r="CU42" i="9"/>
  <c r="GV100" i="9"/>
  <c r="JN55" i="9"/>
  <c r="DB90" i="9"/>
  <c r="JU104" i="9"/>
  <c r="JN19" i="9"/>
  <c r="AX65" i="9"/>
  <c r="GH34" i="9"/>
  <c r="AC82" i="9"/>
  <c r="BM5" i="8"/>
  <c r="AQ52" i="9"/>
  <c r="H18" i="9"/>
  <c r="BL60" i="9"/>
  <c r="KP39" i="9"/>
  <c r="ED67" i="9"/>
  <c r="AX25" i="9"/>
  <c r="BZ53" i="9"/>
  <c r="AJ15" i="9"/>
  <c r="BL75" i="9"/>
  <c r="FF82" i="9"/>
  <c r="DI21" i="9"/>
  <c r="H66" i="9"/>
  <c r="EY31" i="9"/>
  <c r="EK74" i="9"/>
  <c r="KW54" i="9"/>
  <c r="EY96" i="9"/>
  <c r="DB50" i="9"/>
  <c r="FT102" i="9"/>
  <c r="ED107" i="9"/>
  <c r="FT44" i="9"/>
  <c r="AC62" i="9"/>
  <c r="IE72" i="9"/>
  <c r="GO50" i="9"/>
  <c r="KW70" i="9"/>
  <c r="DP63" i="9"/>
  <c r="AX84" i="9"/>
  <c r="GV52" i="9"/>
  <c r="BZ59" i="9"/>
  <c r="JU71" i="9"/>
  <c r="HQ13" i="9"/>
  <c r="GO6" i="9"/>
  <c r="JG40" i="9"/>
  <c r="BE18" i="9"/>
  <c r="ED60" i="9"/>
  <c r="HX85" i="9"/>
  <c r="HC5" i="9"/>
  <c r="DI80" i="9"/>
  <c r="DI11" i="9"/>
  <c r="JG48" i="9"/>
  <c r="KP9" i="9"/>
  <c r="GV29" i="9"/>
  <c r="FM90" i="9"/>
  <c r="BS76" i="9"/>
  <c r="HJ100" i="9"/>
  <c r="HC85" i="9"/>
  <c r="IS102" i="9"/>
  <c r="HC54" i="9"/>
  <c r="V5" i="9"/>
  <c r="KW110" i="9"/>
  <c r="CU7" i="9"/>
  <c r="KW111" i="9"/>
  <c r="H25" i="9"/>
  <c r="FT6" i="9"/>
  <c r="KP3" i="9"/>
  <c r="JN30" i="9"/>
  <c r="CN59" i="9"/>
  <c r="DI17" i="9"/>
  <c r="DB109" i="9"/>
  <c r="AC12" i="9"/>
  <c r="AC42" i="9"/>
  <c r="CU104" i="9"/>
  <c r="EY21" i="9"/>
  <c r="BM43" i="8"/>
  <c r="BZ98" i="9"/>
  <c r="GV93" i="9"/>
  <c r="KP99" i="9"/>
  <c r="BS30" i="9"/>
  <c r="BZ34" i="9"/>
  <c r="AX45" i="9"/>
  <c r="ED97" i="9"/>
  <c r="IE104" i="9"/>
  <c r="HJ87" i="9"/>
  <c r="CN67" i="9"/>
  <c r="HJ33" i="9"/>
  <c r="BE82" i="9"/>
  <c r="HJ54" i="9"/>
  <c r="V89" i="9"/>
  <c r="GO74" i="9"/>
  <c r="V9" i="9"/>
  <c r="IS5" i="9"/>
  <c r="DB9" i="9"/>
  <c r="JN11" i="9"/>
  <c r="HQ10" i="9"/>
  <c r="IZ68" i="9"/>
  <c r="FT55" i="9"/>
  <c r="HJ59" i="9"/>
  <c r="DW66" i="9"/>
  <c r="BS16" i="9"/>
  <c r="HX83" i="9"/>
  <c r="GA75" i="9"/>
  <c r="O81" i="9"/>
  <c r="HQ77" i="9"/>
  <c r="HQ50" i="9"/>
  <c r="FT99" i="9"/>
  <c r="HQ73" i="9"/>
  <c r="HX10" i="9"/>
  <c r="GO10" i="9"/>
  <c r="GH28" i="9"/>
  <c r="CG102" i="9"/>
  <c r="DB55" i="9"/>
  <c r="FT12" i="9"/>
  <c r="EY99" i="9"/>
  <c r="DW64" i="9"/>
  <c r="KB3" i="9"/>
  <c r="BE45" i="9"/>
  <c r="HC111" i="9"/>
  <c r="IS24" i="9"/>
  <c r="IL87" i="9"/>
  <c r="KW48" i="9"/>
  <c r="KW30" i="9"/>
  <c r="ED77" i="9"/>
  <c r="AQ105" i="9"/>
  <c r="HC53" i="9"/>
  <c r="EY94" i="9"/>
  <c r="CG95" i="9"/>
  <c r="BS27" i="9"/>
  <c r="FT45" i="9"/>
  <c r="CN24" i="9"/>
  <c r="GV54" i="9"/>
  <c r="HX26" i="9"/>
  <c r="GA53" i="9"/>
  <c r="AQ40" i="9"/>
  <c r="KI70" i="9"/>
  <c r="FT95" i="9"/>
  <c r="JU32" i="9"/>
  <c r="EY89" i="9"/>
  <c r="CU26" i="9"/>
  <c r="H12" i="9"/>
  <c r="CU102" i="9"/>
  <c r="JG71" i="9"/>
  <c r="FM19" i="9"/>
  <c r="AJ43" i="9"/>
  <c r="DB74" i="9"/>
  <c r="KI66" i="9"/>
  <c r="CN17" i="9"/>
  <c r="V56" i="9"/>
  <c r="O34" i="9"/>
  <c r="BS53" i="9"/>
  <c r="KW60" i="9"/>
  <c r="AO32" i="8"/>
  <c r="AR186" i="8" s="1"/>
  <c r="BE64" i="9"/>
  <c r="V81" i="9"/>
  <c r="CU51" i="9"/>
  <c r="GV90" i="9"/>
  <c r="AC105" i="9"/>
  <c r="IZ71" i="9"/>
  <c r="IE39" i="9"/>
  <c r="FF96" i="9"/>
  <c r="BZ96" i="9"/>
  <c r="DI69" i="9"/>
  <c r="HQ86" i="9"/>
  <c r="KW24" i="9"/>
  <c r="EY110" i="9"/>
  <c r="FF8" i="9"/>
  <c r="H6" i="9"/>
  <c r="KW47" i="9"/>
  <c r="AJ93" i="9"/>
  <c r="FT15" i="9"/>
  <c r="EK99" i="9"/>
  <c r="ER40" i="9"/>
  <c r="AC49" i="9"/>
  <c r="GV46" i="9"/>
  <c r="BE95" i="9"/>
  <c r="KW80" i="9"/>
  <c r="JN32" i="9"/>
  <c r="GA70" i="9"/>
  <c r="KI43" i="9"/>
  <c r="V100" i="9"/>
  <c r="FT30" i="9"/>
  <c r="CN14" i="9"/>
  <c r="GV82" i="9"/>
  <c r="BZ48" i="9"/>
  <c r="EK51" i="9"/>
  <c r="DI12" i="9"/>
  <c r="BE59" i="9"/>
  <c r="ER58" i="9"/>
  <c r="FT61" i="9"/>
  <c r="DI82" i="9"/>
  <c r="HC66" i="9"/>
  <c r="AO30" i="8"/>
  <c r="AR160" i="8" s="1"/>
  <c r="KW91" i="9"/>
  <c r="KB48" i="9"/>
  <c r="CG58" i="9"/>
  <c r="BZ91" i="9"/>
  <c r="KB9" i="9"/>
  <c r="JG62" i="9"/>
  <c r="DI48" i="9"/>
  <c r="FT10" i="9"/>
  <c r="FF105" i="9"/>
  <c r="JU16" i="9"/>
  <c r="JG77" i="9"/>
  <c r="JU72" i="9"/>
  <c r="KW59" i="9"/>
  <c r="EY64" i="9"/>
  <c r="JN25" i="9"/>
  <c r="ER92" i="9"/>
  <c r="HJ45" i="9"/>
  <c r="ED72" i="9"/>
  <c r="ER111" i="9"/>
  <c r="BZ67" i="9"/>
  <c r="IL84" i="9"/>
  <c r="IL49" i="9"/>
  <c r="KI104" i="9"/>
  <c r="BS54" i="9"/>
  <c r="IL74" i="9"/>
  <c r="DP39" i="9"/>
  <c r="GV78" i="9"/>
  <c r="GV25" i="9"/>
  <c r="ED28" i="9"/>
  <c r="KP34" i="9"/>
  <c r="BS58" i="9"/>
  <c r="JN31" i="9"/>
  <c r="BL25" i="9"/>
  <c r="HC46" i="9"/>
  <c r="H96" i="9"/>
  <c r="CG88" i="9"/>
  <c r="CU67" i="9"/>
  <c r="KI95" i="9"/>
  <c r="DP102" i="9"/>
  <c r="GV11" i="9"/>
  <c r="AQ4" i="9"/>
  <c r="GA62" i="9"/>
  <c r="EY35" i="9"/>
  <c r="AC25" i="9"/>
  <c r="IZ52" i="9"/>
  <c r="O88" i="9"/>
  <c r="HC40" i="9"/>
  <c r="O32" i="9"/>
  <c r="JG102" i="9"/>
  <c r="EY45" i="9"/>
  <c r="KW99" i="9"/>
  <c r="GA12" i="9"/>
  <c r="CU35" i="9"/>
  <c r="IE3" i="9"/>
  <c r="CN22" i="9"/>
  <c r="CU5" i="9"/>
  <c r="DB91" i="9"/>
  <c r="AJ71" i="9"/>
  <c r="IL103" i="9"/>
  <c r="V23" i="9"/>
  <c r="CG35" i="9"/>
  <c r="DI85" i="9"/>
  <c r="GA76" i="9"/>
  <c r="O75" i="9"/>
  <c r="KW41" i="9"/>
  <c r="HX76" i="9"/>
  <c r="CG69" i="9"/>
  <c r="V30" i="9"/>
  <c r="IE53" i="9"/>
  <c r="AJ75" i="9"/>
  <c r="HC30" i="9"/>
  <c r="DI7" i="9"/>
  <c r="BZ22" i="9"/>
  <c r="AX19" i="9"/>
  <c r="GO14" i="9"/>
  <c r="CN84" i="9"/>
  <c r="JN26" i="9"/>
  <c r="IS16" i="9"/>
  <c r="JN60" i="9"/>
  <c r="GV47" i="9"/>
  <c r="BL40" i="9"/>
  <c r="DW99" i="9"/>
  <c r="AC24" i="9"/>
  <c r="O12" i="9"/>
  <c r="AQ51" i="9"/>
  <c r="HJ22" i="9"/>
  <c r="IE71" i="9"/>
  <c r="EK72" i="9"/>
  <c r="BE88" i="9"/>
  <c r="BZ44" i="9"/>
  <c r="FF34" i="9"/>
  <c r="AO23" i="8"/>
  <c r="AR69" i="8" s="1"/>
  <c r="JG104" i="9"/>
  <c r="BE91" i="9"/>
  <c r="EK46" i="9"/>
  <c r="GA86" i="9"/>
  <c r="EK107" i="9"/>
  <c r="KW7" i="9"/>
  <c r="DW101" i="9"/>
  <c r="KW97" i="9"/>
  <c r="KW95" i="9"/>
  <c r="H22" i="9"/>
  <c r="BS25" i="9"/>
  <c r="FF79" i="9"/>
  <c r="HC24" i="9"/>
  <c r="CG6" i="9"/>
  <c r="O63" i="9"/>
  <c r="DW6" i="9"/>
  <c r="IZ44" i="9"/>
  <c r="CG34" i="9"/>
  <c r="O44" i="9"/>
  <c r="ER31" i="9"/>
  <c r="IL91" i="9"/>
  <c r="AC55" i="9"/>
  <c r="CU92" i="9"/>
  <c r="AJ82" i="9"/>
  <c r="O66" i="9"/>
  <c r="IZ69" i="9"/>
  <c r="BS79" i="9"/>
  <c r="V16" i="9"/>
  <c r="IS57" i="9"/>
  <c r="AQ77" i="9"/>
  <c r="DP27" i="9"/>
  <c r="AC39" i="9"/>
  <c r="IZ60" i="9"/>
  <c r="EY73" i="9"/>
  <c r="KP12" i="9"/>
  <c r="BZ72" i="9"/>
  <c r="BL91" i="9"/>
  <c r="DI19" i="9"/>
  <c r="AC41" i="9"/>
  <c r="GV34" i="9"/>
  <c r="AO28" i="8"/>
  <c r="AR134" i="8" s="1"/>
  <c r="AC53" i="9"/>
  <c r="AO29" i="8"/>
  <c r="AR147" i="8" s="1"/>
  <c r="DI78" i="9"/>
  <c r="BS74" i="9"/>
  <c r="AX82" i="9"/>
  <c r="BS61" i="9"/>
  <c r="IL66" i="9"/>
  <c r="CU61" i="9"/>
  <c r="AX63" i="9"/>
  <c r="GA94" i="9"/>
  <c r="ER21" i="9"/>
  <c r="KI55" i="9"/>
  <c r="AQ5" i="9"/>
  <c r="GA46" i="9"/>
  <c r="EY57" i="9"/>
  <c r="H19" i="9"/>
  <c r="DP86" i="9"/>
  <c r="FT66" i="9"/>
  <c r="EY97" i="9"/>
  <c r="HX103" i="9"/>
  <c r="EY6" i="9"/>
  <c r="GA51" i="9"/>
  <c r="IE102" i="9"/>
  <c r="FT14" i="9"/>
  <c r="EY16" i="9"/>
  <c r="GA28" i="9"/>
  <c r="BS40" i="9"/>
  <c r="BM20" i="8"/>
  <c r="CG84" i="9"/>
  <c r="DB87" i="9"/>
  <c r="ER50" i="9"/>
  <c r="DW93" i="9"/>
  <c r="HQ61" i="9"/>
  <c r="GH74" i="9"/>
  <c r="AQ76" i="9"/>
  <c r="EK91" i="9"/>
  <c r="KW96" i="9"/>
  <c r="AO61" i="8"/>
  <c r="AR563" i="8" s="1"/>
  <c r="CG101" i="9"/>
  <c r="AC78" i="9"/>
  <c r="BE33" i="9"/>
  <c r="JU88" i="9"/>
  <c r="FF35" i="9"/>
  <c r="KI50" i="9"/>
  <c r="AX22" i="9"/>
  <c r="FT88" i="9"/>
  <c r="AQ24" i="9"/>
  <c r="HC61" i="9"/>
  <c r="GO102" i="9"/>
  <c r="GH66" i="9"/>
  <c r="V74" i="9"/>
  <c r="AQ55" i="9"/>
  <c r="DW31" i="9"/>
  <c r="KP108" i="9"/>
  <c r="GA61" i="9"/>
  <c r="CU16" i="9"/>
  <c r="DI107" i="9"/>
  <c r="CG82" i="9"/>
  <c r="V21" i="9"/>
  <c r="ER65" i="9"/>
  <c r="JN95" i="9"/>
  <c r="DW44" i="9"/>
  <c r="DP48" i="9"/>
  <c r="DI91" i="9"/>
  <c r="HJ78" i="9"/>
  <c r="HQ51" i="9"/>
  <c r="ED21" i="9"/>
  <c r="IS94" i="9"/>
  <c r="DI20" i="9"/>
  <c r="FT110" i="9"/>
  <c r="H45" i="9"/>
  <c r="JU81" i="9"/>
  <c r="KI49" i="9"/>
  <c r="DP73" i="9"/>
  <c r="IL14" i="9"/>
  <c r="KP110" i="9"/>
  <c r="KB6" i="9"/>
  <c r="GO104" i="9"/>
  <c r="HQ62" i="9"/>
  <c r="BS97" i="9"/>
  <c r="IL28" i="9"/>
  <c r="AC32" i="9"/>
  <c r="ER27" i="9"/>
  <c r="IS18" i="9"/>
  <c r="HJ60" i="9"/>
  <c r="IZ55" i="9"/>
  <c r="JN73" i="9"/>
  <c r="GV7" i="9"/>
  <c r="ER78" i="9"/>
  <c r="AQ22" i="9"/>
  <c r="DI100" i="9"/>
  <c r="BL73" i="9"/>
  <c r="CG87" i="9"/>
  <c r="IE52" i="9"/>
  <c r="GO37" i="9"/>
  <c r="FM92" i="9"/>
  <c r="EY26" i="9"/>
  <c r="AQ34" i="9"/>
  <c r="ER28" i="9"/>
  <c r="JU41" i="9"/>
  <c r="KB41" i="9"/>
  <c r="DB96" i="9"/>
  <c r="HC59" i="9"/>
  <c r="FF15" i="9"/>
  <c r="CG36" i="9"/>
  <c r="FM10" i="9"/>
  <c r="BM22" i="8"/>
  <c r="ED56" i="9"/>
  <c r="AJ27" i="9"/>
  <c r="HX56" i="9"/>
  <c r="ED74" i="9"/>
  <c r="HJ90" i="9"/>
  <c r="AO36" i="8"/>
  <c r="AR238" i="8" s="1"/>
  <c r="AC36" i="9"/>
  <c r="EK37" i="9"/>
  <c r="AO26" i="8"/>
  <c r="AR108" i="8" s="1"/>
  <c r="BE68" i="9"/>
  <c r="CU96" i="9"/>
  <c r="CU36" i="9"/>
  <c r="AO37" i="8"/>
  <c r="AR251" i="8" s="1"/>
  <c r="KP18" i="9"/>
  <c r="AO39" i="8"/>
  <c r="AR277" i="8" s="1"/>
  <c r="BL37" i="9"/>
  <c r="O26" i="9"/>
  <c r="FT43" i="9"/>
  <c r="CN82" i="9"/>
  <c r="BZ100" i="9"/>
  <c r="KP43" i="9"/>
  <c r="BL59" i="9"/>
  <c r="IZ51" i="9"/>
  <c r="ED36" i="9"/>
  <c r="BL21" i="8"/>
  <c r="AO21" i="8"/>
  <c r="AR43" i="8" s="1"/>
  <c r="CU111" i="9"/>
  <c r="V6" i="9"/>
  <c r="GO38" i="9"/>
  <c r="IE94" i="9"/>
  <c r="HC79" i="9"/>
  <c r="FF69" i="9"/>
  <c r="HX94" i="9"/>
  <c r="FT38" i="9"/>
  <c r="AO33" i="8"/>
  <c r="AR199" i="8" s="1"/>
  <c r="DW110" i="9"/>
  <c r="GV36" i="9"/>
  <c r="H42" i="9"/>
  <c r="CG90" i="9"/>
  <c r="JG74" i="9"/>
  <c r="AJ48" i="9"/>
  <c r="CU9" i="9"/>
  <c r="EY25" i="9"/>
  <c r="KP7" i="9"/>
  <c r="BM42" i="8"/>
  <c r="HQ74" i="9"/>
  <c r="GA106" i="9"/>
  <c r="GA60" i="9"/>
  <c r="HQ72" i="9"/>
  <c r="KP84" i="9"/>
  <c r="BM32" i="8"/>
  <c r="BM34" i="8"/>
  <c r="GO97" i="9"/>
  <c r="DP84" i="9"/>
  <c r="DW55" i="9"/>
  <c r="KI73" i="9"/>
  <c r="BS50" i="9"/>
  <c r="BS95" i="9"/>
  <c r="AO35" i="8"/>
  <c r="AR225" i="8" s="1"/>
  <c r="BM3" i="8"/>
  <c r="BM21" i="8"/>
  <c r="JG86" i="9"/>
  <c r="DW38" i="9"/>
  <c r="GA17" i="9"/>
  <c r="IS37" i="9"/>
  <c r="AQ29" i="9"/>
  <c r="FM65" i="9"/>
  <c r="FF29" i="9"/>
  <c r="BS29" i="9"/>
  <c r="JG105" i="9"/>
  <c r="JU105" i="9"/>
  <c r="KI59" i="9"/>
  <c r="CU63" i="9"/>
  <c r="GH31" i="9"/>
  <c r="AO50" i="8"/>
  <c r="AR420" i="8" s="1"/>
  <c r="AO45" i="8"/>
  <c r="AR355" i="8" s="1"/>
  <c r="AO53" i="8"/>
  <c r="AR459" i="8" s="1"/>
  <c r="EY101" i="9"/>
  <c r="FT27" i="9"/>
  <c r="AJ12" i="9"/>
  <c r="AX3" i="9"/>
  <c r="BM38" i="8"/>
  <c r="V53" i="9"/>
  <c r="AJ10" i="9"/>
  <c r="BM19" i="8"/>
  <c r="BM41" i="8"/>
  <c r="BM40" i="8"/>
  <c r="FF23" i="9"/>
  <c r="DP53" i="9"/>
  <c r="GH23" i="9"/>
  <c r="KI60" i="9"/>
  <c r="AQ6" i="9"/>
  <c r="BL94" i="9"/>
  <c r="KB111" i="9"/>
  <c r="KB83" i="9"/>
  <c r="EY53" i="9"/>
  <c r="BM23" i="8"/>
  <c r="BL76" i="9"/>
  <c r="V48" i="9"/>
  <c r="BM13" i="8"/>
  <c r="BM37" i="8"/>
  <c r="BM26" i="8"/>
  <c r="BM8" i="8"/>
  <c r="KP19" i="9"/>
  <c r="GA38" i="9"/>
  <c r="HC93" i="9"/>
  <c r="HX86" i="9"/>
  <c r="FF41" i="9"/>
  <c r="BM25" i="8"/>
  <c r="KP83" i="9"/>
  <c r="H108" i="9"/>
  <c r="CG29" i="9"/>
  <c r="FM91" i="9"/>
  <c r="DW75" i="9"/>
  <c r="DW19" i="9"/>
  <c r="FM36" i="9"/>
  <c r="KI5" i="9"/>
  <c r="JG44" i="9"/>
  <c r="CG77" i="9"/>
  <c r="DI36" i="9"/>
  <c r="BM18" i="8"/>
  <c r="AC28" i="9"/>
  <c r="AC80" i="9"/>
  <c r="KB75" i="9"/>
  <c r="AC6" i="9"/>
  <c r="HX57" i="9"/>
  <c r="GO26" i="9"/>
  <c r="AO25" i="8"/>
  <c r="AR95" i="8" s="1"/>
  <c r="IS107" i="9"/>
  <c r="KP15" i="9"/>
  <c r="ED57" i="9"/>
  <c r="BM17" i="8"/>
  <c r="ER56" i="9"/>
  <c r="AQ9" i="9"/>
  <c r="IE82" i="9"/>
  <c r="DB105" i="9"/>
  <c r="H100" i="9"/>
  <c r="ED48" i="9"/>
  <c r="CN28" i="9"/>
  <c r="BE106" i="9"/>
  <c r="HJ6" i="9"/>
  <c r="IS30" i="9"/>
  <c r="CN100" i="9"/>
  <c r="DW20" i="9"/>
  <c r="AC46" i="9"/>
  <c r="KI75" i="9"/>
  <c r="FM33" i="9"/>
  <c r="EK54" i="9"/>
  <c r="AQ84" i="9"/>
  <c r="KB14" i="9"/>
  <c r="CG14" i="9"/>
  <c r="DP31" i="9"/>
  <c r="BZ13" i="9"/>
  <c r="AJ72" i="9"/>
  <c r="IL34" i="9"/>
  <c r="FF71" i="9"/>
  <c r="JU109" i="9"/>
  <c r="IZ81" i="9"/>
  <c r="HC55" i="9"/>
  <c r="JU37" i="9"/>
  <c r="BS46" i="9"/>
  <c r="GV4" i="9"/>
  <c r="AQ38" i="9"/>
  <c r="HX19" i="9"/>
  <c r="GH4" i="9"/>
  <c r="GV67" i="9"/>
  <c r="GA8" i="9"/>
  <c r="V17" i="9"/>
  <c r="HC72" i="9"/>
  <c r="BM27" i="8"/>
  <c r="BS8" i="9"/>
  <c r="EY37" i="9"/>
  <c r="DI70" i="9"/>
  <c r="KI81" i="9"/>
  <c r="CG92" i="9"/>
  <c r="KI24" i="9"/>
  <c r="O93" i="9"/>
  <c r="KI67" i="9"/>
  <c r="JG42" i="9"/>
  <c r="HC84" i="9"/>
  <c r="IE78" i="9"/>
  <c r="CN9" i="9"/>
  <c r="CU82" i="9"/>
  <c r="GA16" i="9"/>
  <c r="HJ76" i="9"/>
  <c r="DB110" i="9"/>
  <c r="IS21" i="9"/>
  <c r="BM12" i="8"/>
  <c r="AJ108" i="9"/>
  <c r="FF68" i="9"/>
  <c r="IS80" i="9"/>
  <c r="DB80" i="9"/>
  <c r="GA5" i="9"/>
  <c r="AC63" i="9"/>
  <c r="IS4" i="9"/>
  <c r="AQ73" i="9"/>
  <c r="IZ14" i="9"/>
  <c r="AQ68" i="9"/>
  <c r="DW81" i="9"/>
  <c r="CG10" i="9"/>
  <c r="HX11" i="9"/>
  <c r="V59" i="9"/>
  <c r="AO57" i="8"/>
  <c r="AR511" i="8" s="1"/>
  <c r="H15" i="9"/>
  <c r="AC38" i="9"/>
  <c r="GA27" i="9"/>
  <c r="EY47" i="9"/>
  <c r="GV5" i="9"/>
  <c r="AO59" i="8"/>
  <c r="AR537" i="8" s="1"/>
  <c r="CG18" i="9"/>
  <c r="HQ3" i="9"/>
  <c r="BM24" i="8"/>
  <c r="HC3" i="9"/>
  <c r="FM73" i="9"/>
  <c r="GA67" i="9"/>
  <c r="ED6" i="9"/>
  <c r="BM11" i="8"/>
  <c r="IZ102" i="9"/>
  <c r="CN19" i="9"/>
  <c r="AJ84" i="9"/>
  <c r="CU108" i="9"/>
  <c r="BZ107" i="9"/>
  <c r="HJ20" i="9"/>
  <c r="IZ15" i="9"/>
  <c r="JN69" i="9"/>
  <c r="FT34" i="9"/>
  <c r="KI68" i="9"/>
  <c r="HC83" i="9"/>
  <c r="EK77" i="9"/>
  <c r="V86" i="9"/>
  <c r="BL18" i="8"/>
  <c r="JN71" i="9"/>
  <c r="JN37" i="9"/>
  <c r="BM29" i="8"/>
  <c r="HJ75" i="9"/>
  <c r="ER62" i="9"/>
  <c r="IZ36" i="9"/>
  <c r="KB60" i="9"/>
  <c r="FF33" i="9"/>
  <c r="AO22" i="8"/>
  <c r="AR56" i="8" s="1"/>
  <c r="AQ7" i="9"/>
  <c r="KP17" i="9"/>
  <c r="EY78" i="9"/>
  <c r="JG37" i="9"/>
  <c r="IZ88" i="9"/>
  <c r="CN66" i="9"/>
  <c r="JN40" i="9"/>
  <c r="IL52" i="9"/>
  <c r="HC22" i="9"/>
  <c r="HX67" i="9"/>
  <c r="JG36" i="9"/>
  <c r="DP42" i="9"/>
  <c r="BS23" i="9"/>
  <c r="JU15" i="9"/>
  <c r="AO56" i="8"/>
  <c r="AR498" i="8" s="1"/>
  <c r="AO44" i="8"/>
  <c r="AR342" i="8" s="1"/>
  <c r="AO24" i="8"/>
  <c r="AR82" i="8" s="1"/>
  <c r="HX39" i="9"/>
  <c r="HQ11" i="9"/>
  <c r="AJ14" i="9"/>
  <c r="EK25" i="9"/>
  <c r="ER86" i="9"/>
  <c r="BM39" i="8"/>
  <c r="EY42" i="9"/>
  <c r="BM7" i="8"/>
  <c r="BS85" i="9"/>
  <c r="AX73" i="9"/>
  <c r="ED22" i="9"/>
  <c r="O80" i="9"/>
  <c r="H20" i="9"/>
  <c r="HX17" i="9"/>
  <c r="HX46" i="9"/>
  <c r="IZ59" i="9"/>
  <c r="BL48" i="9"/>
  <c r="GO106" i="9"/>
  <c r="AO47" i="8"/>
  <c r="AR381" i="8" s="1"/>
  <c r="V26" i="9"/>
  <c r="BM44" i="8"/>
  <c r="AQ43" i="9"/>
  <c r="O5" i="9"/>
  <c r="DP94" i="9"/>
  <c r="H5" i="9"/>
  <c r="O77" i="9"/>
  <c r="IE36" i="9"/>
  <c r="JU67" i="9"/>
  <c r="KP97" i="9"/>
  <c r="AO34" i="8"/>
  <c r="AR212" i="8" s="1"/>
  <c r="ER36" i="9"/>
  <c r="BM9" i="8"/>
  <c r="BZ88" i="9"/>
  <c r="HJ77" i="9"/>
  <c r="V107" i="9"/>
  <c r="AQ28" i="9"/>
  <c r="BL55" i="9"/>
  <c r="AO54" i="8"/>
  <c r="AR472" i="8" s="1"/>
  <c r="HQ25" i="9"/>
  <c r="KB55" i="9"/>
  <c r="IE27" i="9"/>
  <c r="O60" i="9"/>
  <c r="FT103" i="9"/>
  <c r="AJ37" i="9"/>
  <c r="KP56" i="9"/>
  <c r="FF81" i="9"/>
  <c r="AC103" i="9"/>
  <c r="H71" i="9"/>
  <c r="CU84" i="9"/>
  <c r="GV70" i="9"/>
  <c r="IS67" i="9"/>
  <c r="GO93" i="9"/>
  <c r="FT40" i="9"/>
  <c r="FF67" i="9"/>
  <c r="DI95" i="9"/>
  <c r="IS90" i="9"/>
  <c r="FT29" i="9"/>
  <c r="ER48" i="9"/>
  <c r="ER23" i="9"/>
  <c r="GH69" i="9"/>
  <c r="IE93" i="9"/>
  <c r="GA105" i="9"/>
  <c r="FF46" i="9"/>
  <c r="AJ80" i="9"/>
  <c r="KP63" i="9"/>
  <c r="BZ71" i="9"/>
  <c r="BM36" i="8"/>
  <c r="AO41" i="8"/>
  <c r="AR303" i="8" s="1"/>
  <c r="EY7" i="9"/>
  <c r="EK59" i="9"/>
  <c r="AO38" i="8"/>
  <c r="AR264" i="8" s="1"/>
  <c r="JG78" i="9"/>
  <c r="AX36" i="9"/>
  <c r="GH81" i="9"/>
  <c r="DW95" i="9"/>
  <c r="BM15" i="8"/>
  <c r="CG11" i="9"/>
  <c r="KB36" i="9"/>
  <c r="H67" i="9"/>
  <c r="JU65" i="9"/>
  <c r="FM44" i="9"/>
  <c r="DW22" i="9"/>
  <c r="CN32" i="9"/>
  <c r="HQ39" i="9"/>
  <c r="BS55" i="9"/>
  <c r="AO42" i="8"/>
  <c r="AR316" i="8" s="1"/>
  <c r="CG38" i="9"/>
  <c r="EK64" i="9"/>
  <c r="KI111" i="9"/>
  <c r="FM27" i="9"/>
  <c r="O27" i="9"/>
  <c r="HQ12" i="9"/>
  <c r="HX37" i="9"/>
  <c r="JU35" i="9"/>
  <c r="CG72" i="9"/>
  <c r="FT71" i="9"/>
  <c r="BM14" i="8"/>
  <c r="H72" i="9"/>
  <c r="IZ8" i="9"/>
  <c r="KB54" i="9"/>
  <c r="H35" i="9"/>
  <c r="GH36" i="9"/>
  <c r="BM30" i="8"/>
  <c r="HJ36" i="9"/>
  <c r="BM33" i="8"/>
  <c r="EK56" i="9"/>
  <c r="KP11" i="9"/>
  <c r="AO58" i="8"/>
  <c r="AR524" i="8" s="1"/>
  <c r="DP57" i="9"/>
  <c r="DB25" i="9"/>
  <c r="BM35" i="8"/>
  <c r="AJ47" i="9"/>
  <c r="GV24" i="9"/>
  <c r="CN54" i="9"/>
  <c r="KI53" i="9"/>
  <c r="HJ105" i="9"/>
  <c r="BZ40" i="9"/>
  <c r="CG30" i="9"/>
  <c r="IZ26" i="9"/>
  <c r="ED59" i="9"/>
  <c r="BL104" i="9"/>
  <c r="DW58" i="9"/>
  <c r="IL104" i="9"/>
  <c r="KP100" i="9"/>
  <c r="BL43" i="9"/>
  <c r="IL29" i="9"/>
  <c r="JN13" i="9"/>
  <c r="AC45" i="9"/>
  <c r="BE36" i="9"/>
  <c r="EY50" i="9"/>
  <c r="IS111" i="9"/>
  <c r="BZ20" i="9"/>
  <c r="DB68" i="9"/>
  <c r="CN20" i="9"/>
  <c r="CN97" i="9"/>
  <c r="CN4" i="9"/>
  <c r="V85" i="9"/>
  <c r="IS36" i="9"/>
  <c r="DB64" i="9"/>
  <c r="KB4" i="9"/>
  <c r="AO48" i="8"/>
  <c r="AR394" i="8" s="1"/>
  <c r="BS26" i="9"/>
  <c r="KW3" i="9"/>
  <c r="HQ37" i="9"/>
  <c r="FM32" i="9"/>
  <c r="ED95" i="9"/>
  <c r="ED37" i="9"/>
  <c r="BM28" i="8"/>
  <c r="IZ95" i="9"/>
  <c r="AX67" i="9"/>
  <c r="EY14" i="9"/>
  <c r="BZ15" i="9"/>
  <c r="DW106" i="9"/>
  <c r="GO36" i="9"/>
  <c r="KI36" i="9"/>
  <c r="AJ60" i="9"/>
  <c r="JU45" i="9"/>
  <c r="AX93" i="9"/>
  <c r="ER100" i="9"/>
  <c r="ER33" i="9"/>
  <c r="CN103" i="9"/>
  <c r="GO70" i="9"/>
  <c r="FM109" i="9"/>
  <c r="KI40" i="9"/>
  <c r="CG70" i="9"/>
  <c r="AX58" i="9"/>
  <c r="GH106" i="9"/>
  <c r="AO49" i="8"/>
  <c r="AR407" i="8" s="1"/>
  <c r="JG32" i="9"/>
  <c r="AO43" i="8"/>
  <c r="AR329" i="8" s="1"/>
  <c r="CU22" i="9"/>
  <c r="HJ35" i="9"/>
  <c r="HC34" i="9"/>
  <c r="KW89" i="9"/>
  <c r="BS96" i="9"/>
  <c r="O104" i="9"/>
  <c r="CU66" i="9"/>
  <c r="ED69" i="9"/>
  <c r="KW36" i="9"/>
  <c r="BM46" i="8"/>
  <c r="FM29" i="9"/>
  <c r="JU58" i="9"/>
  <c r="CU91" i="9"/>
  <c r="EK65" i="9"/>
  <c r="H90" i="9"/>
  <c r="KW62" i="9"/>
  <c r="BL66" i="9"/>
  <c r="HQ80" i="9"/>
  <c r="DP23" i="9"/>
  <c r="KI91" i="9"/>
  <c r="KB63" i="9"/>
  <c r="DI89" i="9"/>
  <c r="H75" i="9"/>
  <c r="IS10" i="9"/>
  <c r="KW106" i="9"/>
  <c r="DP20" i="9"/>
  <c r="ED34" i="9"/>
  <c r="AX95" i="9"/>
  <c r="KP53" i="9"/>
  <c r="BM10" i="8"/>
  <c r="CG21" i="9"/>
  <c r="FT19" i="9"/>
  <c r="AJ20" i="9"/>
  <c r="BE80" i="9"/>
  <c r="EY69" i="9"/>
  <c r="JG79" i="9"/>
  <c r="FT75" i="9"/>
  <c r="AQ75" i="9"/>
  <c r="O79" i="9"/>
  <c r="BL79" i="9"/>
  <c r="AC37" i="9"/>
  <c r="O36" i="9"/>
  <c r="JG22" i="9"/>
  <c r="FF95" i="9"/>
  <c r="H37" i="9"/>
  <c r="GA36" i="9"/>
  <c r="IS35" i="9"/>
  <c r="DB54" i="9"/>
  <c r="KW25" i="9"/>
  <c r="KB45" i="9"/>
  <c r="AX60" i="9"/>
  <c r="AO31" i="8"/>
  <c r="AR173" i="8" s="1"/>
  <c r="AO60" i="8"/>
  <c r="AR550" i="8" s="1"/>
  <c r="JG3" i="9"/>
  <c r="ED109" i="9"/>
  <c r="V61" i="9"/>
  <c r="O111" i="9"/>
  <c r="KB70" i="9"/>
  <c r="IZ111" i="9"/>
  <c r="GH42" i="9"/>
  <c r="CN81" i="9"/>
  <c r="V33" i="9"/>
  <c r="HX87" i="9"/>
  <c r="IE35" i="9"/>
  <c r="EY38" i="9"/>
  <c r="CG93" i="9"/>
  <c r="AJ67" i="9"/>
  <c r="FM63" i="9"/>
  <c r="ED58" i="9"/>
  <c r="CG80" i="9"/>
  <c r="KP23" i="9"/>
  <c r="ER9" i="9"/>
  <c r="HJ74" i="9"/>
  <c r="BL53" i="9"/>
  <c r="ER5" i="9"/>
  <c r="KB108" i="9"/>
  <c r="BZ106" i="9"/>
  <c r="GH89" i="9"/>
  <c r="KI94" i="9"/>
  <c r="ER76" i="9"/>
  <c r="BZ90" i="9"/>
  <c r="HQ23" i="9"/>
  <c r="CU86" i="9"/>
  <c r="H21" i="9"/>
  <c r="JU108" i="9"/>
  <c r="DI43" i="9"/>
  <c r="KB59" i="9"/>
  <c r="GV110" i="9"/>
  <c r="ER47" i="9"/>
  <c r="H56" i="9"/>
  <c r="HX111" i="9"/>
  <c r="AX31" i="9"/>
  <c r="KW4" i="9"/>
  <c r="IL23" i="9"/>
  <c r="AJ13" i="9"/>
  <c r="FT5" i="9"/>
  <c r="BM4" i="8"/>
  <c r="KI39" i="9"/>
  <c r="IL57" i="9"/>
  <c r="CN26" i="9"/>
  <c r="DP32" i="9"/>
  <c r="HJ110" i="9"/>
  <c r="HX32" i="9"/>
  <c r="IE29" i="9"/>
  <c r="ED100" i="9"/>
  <c r="EY88" i="9"/>
  <c r="GO40" i="9"/>
  <c r="DI62" i="9"/>
  <c r="O49" i="9"/>
  <c r="BS56" i="9"/>
  <c r="BE52" i="9"/>
  <c r="BM45" i="8"/>
  <c r="V111" i="9"/>
  <c r="DP33" i="9"/>
  <c r="BZ17" i="9"/>
  <c r="FF65" i="9"/>
  <c r="ER106" i="9"/>
  <c r="AX49" i="9"/>
  <c r="EK83" i="9"/>
  <c r="HQ30" i="9"/>
  <c r="CG62" i="9"/>
  <c r="EY48" i="9"/>
  <c r="FM80" i="9"/>
  <c r="KB77" i="9"/>
  <c r="DI76" i="9"/>
  <c r="BS89" i="9"/>
  <c r="IE34" i="9"/>
  <c r="CG108" i="9"/>
  <c r="GH82" i="9"/>
  <c r="HJ9" i="9"/>
  <c r="AX77" i="9"/>
  <c r="KI90" i="9"/>
  <c r="GA89" i="9"/>
  <c r="V75" i="9"/>
  <c r="BE19" i="9"/>
  <c r="IL31" i="9"/>
  <c r="JU95" i="9"/>
  <c r="CG100" i="9"/>
  <c r="V58" i="9"/>
  <c r="IL63" i="9"/>
  <c r="AX13" i="9"/>
  <c r="HC14" i="9"/>
  <c r="GA110" i="9"/>
  <c r="AO19" i="8"/>
  <c r="AR17" i="8" s="1"/>
  <c r="DB56" i="9"/>
  <c r="BL8" i="9"/>
  <c r="BL7" i="9"/>
  <c r="BM16" i="8"/>
  <c r="KP36" i="9"/>
  <c r="FF12" i="9"/>
  <c r="KB64" i="9"/>
  <c r="ER99" i="9"/>
  <c r="KP16" i="9"/>
  <c r="IS76" i="9"/>
  <c r="BS66" i="9"/>
  <c r="EY10" i="9"/>
  <c r="BE23" i="9"/>
  <c r="GA20" i="9"/>
  <c r="BS86" i="9"/>
  <c r="BS9" i="9"/>
  <c r="IL106" i="9"/>
  <c r="AX59" i="9"/>
  <c r="ER69" i="9"/>
  <c r="IE20" i="9"/>
  <c r="AC75" i="9"/>
  <c r="FM13" i="9"/>
  <c r="DW10" i="9"/>
  <c r="AO18" i="8"/>
  <c r="AR4" i="8" s="1"/>
  <c r="GV55" i="9"/>
  <c r="CG68" i="9"/>
  <c r="AO52" i="8"/>
  <c r="AR446" i="8" s="1"/>
  <c r="DW24" i="9"/>
  <c r="BL27" i="9"/>
  <c r="FM103" i="9"/>
  <c r="HQ29" i="9"/>
  <c r="AO40" i="8"/>
  <c r="AR290" i="8" s="1"/>
  <c r="DW27" i="9"/>
  <c r="AJ18" i="9"/>
  <c r="AC22" i="9"/>
  <c r="FF45" i="9"/>
  <c r="HQ93" i="9"/>
  <c r="GV15" i="9"/>
  <c r="O55" i="9"/>
  <c r="CU101" i="9"/>
  <c r="DB101" i="9"/>
  <c r="DI99" i="9"/>
  <c r="DP19" i="9"/>
  <c r="GO33" i="9"/>
  <c r="KB109" i="9"/>
  <c r="JG12" i="9"/>
  <c r="AC86" i="9"/>
  <c r="JG47" i="9"/>
  <c r="IS51" i="9"/>
  <c r="KB84" i="9"/>
  <c r="BS36" i="9"/>
  <c r="KI34" i="9"/>
  <c r="AC43" i="9"/>
  <c r="JU19" i="9"/>
  <c r="DB89" i="9"/>
  <c r="GA90" i="9"/>
  <c r="IE105" i="9"/>
  <c r="CG65" i="9"/>
  <c r="DI28" i="9"/>
  <c r="JG28" i="9"/>
  <c r="BZ93" i="9"/>
  <c r="BS69" i="9"/>
  <c r="DI41" i="9"/>
  <c r="AX23" i="9"/>
  <c r="O90" i="9"/>
  <c r="KW75" i="9"/>
  <c r="DP90" i="9"/>
  <c r="IZ21" i="9"/>
  <c r="AJ76" i="9"/>
  <c r="HQ94" i="9"/>
  <c r="HJ108" i="9"/>
  <c r="GV107" i="9"/>
  <c r="BE44" i="9"/>
  <c r="DW107" i="9"/>
  <c r="AC96" i="9"/>
  <c r="IS44" i="9"/>
  <c r="KB57" i="9"/>
  <c r="GV75" i="9"/>
  <c r="CU57" i="9"/>
  <c r="V27" i="9"/>
  <c r="HQ47" i="9"/>
  <c r="O4" i="9"/>
  <c r="CG47" i="9"/>
  <c r="GH70" i="9"/>
  <c r="JU31" i="9"/>
  <c r="IL7" i="9"/>
  <c r="HC12" i="9"/>
  <c r="BZ108" i="9"/>
  <c r="IZ46" i="9"/>
  <c r="JN110" i="9"/>
  <c r="KB62" i="9"/>
  <c r="HQ54" i="9"/>
  <c r="HX8" i="9"/>
  <c r="HC88" i="9"/>
  <c r="BL37" i="8"/>
  <c r="BM31" i="8"/>
  <c r="EY52" i="9"/>
  <c r="FM67" i="9"/>
  <c r="CN111" i="9"/>
  <c r="DP71" i="9"/>
  <c r="IE106" i="9"/>
  <c r="AX87" i="9"/>
  <c r="GA49" i="9"/>
  <c r="BM6" i="8"/>
  <c r="GH67" i="9"/>
  <c r="BS41" i="9"/>
  <c r="EK23" i="9"/>
  <c r="CN48" i="9"/>
  <c r="H105" i="9"/>
  <c r="AC107" i="9"/>
  <c r="EY59" i="9"/>
  <c r="JN10" i="9"/>
  <c r="IE31" i="9"/>
  <c r="DI90" i="9"/>
  <c r="BZ30" i="9"/>
  <c r="AJ62" i="9"/>
  <c r="IE107" i="9"/>
  <c r="BS73" i="9"/>
  <c r="H103" i="9"/>
  <c r="JU10" i="9"/>
  <c r="CG25" i="9"/>
  <c r="H85" i="9"/>
  <c r="BZ95" i="9"/>
  <c r="AO20" i="8"/>
  <c r="AR30" i="8" s="1"/>
  <c r="BS71" i="9"/>
  <c r="GV57" i="9"/>
  <c r="ER3" i="9"/>
  <c r="EY28" i="9"/>
  <c r="BZ78" i="9"/>
  <c r="IL54" i="9"/>
  <c r="KP45" i="9"/>
  <c r="DP64" i="9"/>
  <c r="AO46" i="8"/>
  <c r="AR368" i="8" s="1"/>
  <c r="BE101" i="9"/>
  <c r="BL47" i="9"/>
  <c r="CU73" i="9"/>
  <c r="JU111" i="9"/>
  <c r="EK18" i="9"/>
  <c r="EY29" i="9"/>
  <c r="DI106" i="9"/>
  <c r="FT51" i="9"/>
  <c r="KB92" i="9"/>
  <c r="IS99" i="9"/>
  <c r="EY44" i="9"/>
  <c r="AJ46" i="9"/>
  <c r="AC97" i="9"/>
  <c r="BM2" i="8" a="1"/>
  <c r="BL15" i="8" l="1"/>
  <c r="BL8" i="8"/>
  <c r="BL14" i="8"/>
  <c r="BL16" i="8"/>
  <c r="BL5" i="8"/>
  <c r="BL19" i="8"/>
  <c r="BL23" i="8"/>
  <c r="BL33" i="8"/>
  <c r="BL26" i="8"/>
  <c r="BL44" i="8"/>
  <c r="BL27" i="8"/>
  <c r="HX64" i="9"/>
  <c r="BN35" i="8" s="1"/>
  <c r="BL10" i="8"/>
  <c r="BL11" i="8"/>
  <c r="BL29" i="8"/>
  <c r="BL28" i="8"/>
  <c r="BL30" i="8"/>
  <c r="BL39" i="8"/>
  <c r="BL36" i="8"/>
  <c r="BL25" i="8"/>
  <c r="BL7" i="8"/>
  <c r="BL17" i="8"/>
  <c r="FM55" i="9"/>
  <c r="BN26" i="8" s="1"/>
  <c r="HQ44" i="9"/>
  <c r="BN34" i="8" s="1"/>
  <c r="GO55" i="9"/>
  <c r="BN30" i="8" s="1"/>
  <c r="BL46" i="8"/>
  <c r="BL32" i="8"/>
  <c r="BL42" i="8"/>
  <c r="BL22" i="8"/>
  <c r="BL6" i="8"/>
  <c r="BL13" i="8"/>
  <c r="BE38" i="9"/>
  <c r="BN10" i="8" s="1"/>
  <c r="BL43" i="8"/>
  <c r="BL12" i="8"/>
  <c r="BL40" i="8"/>
  <c r="BL38" i="8"/>
  <c r="BL4" i="8"/>
  <c r="BL41" i="8"/>
  <c r="BL39" i="9"/>
  <c r="BN11" i="8" s="1"/>
  <c r="AR107" i="8" s="1"/>
  <c r="AR109" i="8" s="1"/>
  <c r="AR110" i="8" s="1"/>
  <c r="AR111" i="8" s="1"/>
  <c r="AR112" i="8" s="1"/>
  <c r="AR113" i="8" s="1"/>
  <c r="AR114" i="8" s="1"/>
  <c r="AR115" i="8" s="1"/>
  <c r="AR116" i="8" s="1"/>
  <c r="AR117" i="8" s="1"/>
  <c r="BL24" i="8"/>
  <c r="BL31" i="8"/>
  <c r="BL9" i="8"/>
  <c r="BL45" i="8"/>
  <c r="JN56" i="9"/>
  <c r="BN41" i="8" s="1"/>
  <c r="EY67" i="9"/>
  <c r="BN24" i="8" s="1"/>
  <c r="CN43" i="9"/>
  <c r="BN15" i="8" s="1"/>
  <c r="AR159" i="8" s="1"/>
  <c r="AR161" i="8" s="1"/>
  <c r="AR162" i="8" s="1"/>
  <c r="AR163" i="8" s="1"/>
  <c r="AR164" i="8" s="1"/>
  <c r="AR165" i="8" s="1"/>
  <c r="AR166" i="8" s="1"/>
  <c r="AR167" i="8" s="1"/>
  <c r="AR168" i="8" s="1"/>
  <c r="AR169" i="8" s="1"/>
  <c r="HC38" i="9"/>
  <c r="BN32" i="8" s="1"/>
  <c r="KW64" i="9"/>
  <c r="BN46" i="8" s="1"/>
  <c r="BL20" i="8"/>
  <c r="IS69" i="9"/>
  <c r="BN38" i="8" s="1"/>
  <c r="GV42" i="9"/>
  <c r="BN31" i="8" s="1"/>
  <c r="FF64" i="9"/>
  <c r="BN25" i="8" s="1"/>
  <c r="AR289" i="8" s="1"/>
  <c r="AR291" i="8" s="1"/>
  <c r="AR292" i="8" s="1"/>
  <c r="AR293" i="8" s="1"/>
  <c r="AR294" i="8" s="1"/>
  <c r="AR295" i="8" s="1"/>
  <c r="AR296" i="8" s="1"/>
  <c r="AR297" i="8" s="1"/>
  <c r="AR298" i="8" s="1"/>
  <c r="AR299" i="8" s="1"/>
  <c r="BL3" i="8"/>
  <c r="BN36" i="8"/>
  <c r="BN37" i="8"/>
  <c r="AR445" i="8" s="1"/>
  <c r="AR447" i="8" s="1"/>
  <c r="AR448" i="8" s="1"/>
  <c r="AR449" i="8" s="1"/>
  <c r="AR450" i="8" s="1"/>
  <c r="AR451" i="8" s="1"/>
  <c r="AR452" i="8" s="1"/>
  <c r="AR453" i="8" s="1"/>
  <c r="AR454" i="8" s="1"/>
  <c r="AR455" i="8" s="1"/>
  <c r="BN8" i="8"/>
  <c r="AR68" i="8" s="1"/>
  <c r="AR70" i="8" s="1"/>
  <c r="AR71" i="8" s="1"/>
  <c r="AR72" i="8" s="1"/>
  <c r="AR73" i="8" s="1"/>
  <c r="AR74" i="8" s="1"/>
  <c r="AR75" i="8" s="1"/>
  <c r="AR76" i="8" s="1"/>
  <c r="AR77" i="8" s="1"/>
  <c r="AR78" i="8" s="1"/>
  <c r="BN42" i="8"/>
  <c r="AR510" i="8" s="1"/>
  <c r="AR512" i="8" s="1"/>
  <c r="AR513" i="8" s="1"/>
  <c r="AR514" i="8" s="1"/>
  <c r="AR515" i="8" s="1"/>
  <c r="AR516" i="8" s="1"/>
  <c r="AR517" i="8" s="1"/>
  <c r="AR518" i="8" s="1"/>
  <c r="AR519" i="8" s="1"/>
  <c r="AR520" i="8" s="1"/>
  <c r="BN19" i="8"/>
  <c r="BN3" i="8"/>
  <c r="AR3" i="8" s="1"/>
  <c r="BN45" i="8"/>
  <c r="AR549" i="8" s="1"/>
  <c r="AR551" i="8" s="1"/>
  <c r="AR552" i="8" s="1"/>
  <c r="AR553" i="8" s="1"/>
  <c r="AR554" i="8" s="1"/>
  <c r="AR555" i="8" s="1"/>
  <c r="AR556" i="8" s="1"/>
  <c r="AR557" i="8" s="1"/>
  <c r="AR558" i="8" s="1"/>
  <c r="AR559" i="8" s="1"/>
  <c r="BN33" i="8"/>
  <c r="AR393" i="8" s="1"/>
  <c r="AR395" i="8" s="1"/>
  <c r="AR396" i="8" s="1"/>
  <c r="AR397" i="8" s="1"/>
  <c r="AR398" i="8" s="1"/>
  <c r="AR399" i="8" s="1"/>
  <c r="AR400" i="8" s="1"/>
  <c r="AR401" i="8" s="1"/>
  <c r="AR402" i="8" s="1"/>
  <c r="AR403" i="8" s="1"/>
  <c r="BN17" i="8"/>
  <c r="AR185" i="8" s="1"/>
  <c r="AR187" i="8" s="1"/>
  <c r="AR188" i="8" s="1"/>
  <c r="AR189" i="8" s="1"/>
  <c r="AR190" i="8" s="1"/>
  <c r="AR191" i="8" s="1"/>
  <c r="AR192" i="8" s="1"/>
  <c r="AR193" i="8" s="1"/>
  <c r="AR194" i="8" s="1"/>
  <c r="AR195" i="8" s="1"/>
  <c r="BN22" i="8"/>
  <c r="AR250" i="8" s="1"/>
  <c r="AR252" i="8" s="1"/>
  <c r="AR253" i="8" s="1"/>
  <c r="AR254" i="8" s="1"/>
  <c r="AR255" i="8" s="1"/>
  <c r="AR256" i="8" s="1"/>
  <c r="AR257" i="8" s="1"/>
  <c r="AR258" i="8" s="1"/>
  <c r="AR259" i="8" s="1"/>
  <c r="AR260" i="8" s="1"/>
  <c r="BN20" i="8"/>
  <c r="BN13" i="8"/>
  <c r="AR133" i="8" s="1"/>
  <c r="AR135" i="8" s="1"/>
  <c r="AR136" i="8" s="1"/>
  <c r="AR137" i="8" s="1"/>
  <c r="AR138" i="8" s="1"/>
  <c r="AR139" i="8" s="1"/>
  <c r="AR140" i="8" s="1"/>
  <c r="AR141" i="8" s="1"/>
  <c r="AR142" i="8" s="1"/>
  <c r="AR143" i="8" s="1"/>
  <c r="BN5" i="8"/>
  <c r="BN39" i="8"/>
  <c r="BN27" i="8"/>
  <c r="BM2" i="8"/>
  <c r="BN16" i="8"/>
  <c r="BN23" i="8"/>
  <c r="BN40" i="8"/>
  <c r="BN14" i="8"/>
  <c r="BN28" i="8"/>
  <c r="BN18" i="8"/>
  <c r="BN29" i="8"/>
  <c r="BN9" i="8"/>
  <c r="BN12" i="8"/>
  <c r="BN21" i="8"/>
  <c r="BN4" i="8"/>
  <c r="BN44" i="8"/>
  <c r="BN7" i="8"/>
  <c r="BN6" i="8"/>
  <c r="BN43" i="8"/>
  <c r="BN2" i="8" a="1"/>
  <c r="BL2" i="8" a="1"/>
  <c r="BL2" i="8" l="1"/>
  <c r="BO15" i="8"/>
  <c r="BP15" i="8" s="1"/>
  <c r="BQ15" i="8" s="1"/>
  <c r="AR94" i="8"/>
  <c r="AR96" i="8" s="1"/>
  <c r="AR97" i="8" s="1"/>
  <c r="AR98" i="8" s="1"/>
  <c r="AR99" i="8" s="1"/>
  <c r="AR100" i="8" s="1"/>
  <c r="AR101" i="8" s="1"/>
  <c r="AR102" i="8" s="1"/>
  <c r="AR103" i="8" s="1"/>
  <c r="AR104" i="8" s="1"/>
  <c r="BO10" i="8" s="1"/>
  <c r="BP10" i="8" s="1"/>
  <c r="BQ10" i="8" s="1"/>
  <c r="AR497" i="8"/>
  <c r="AR499" i="8" s="1"/>
  <c r="AR500" i="8" s="1"/>
  <c r="AR501" i="8" s="1"/>
  <c r="AR502" i="8" s="1"/>
  <c r="AR503" i="8" s="1"/>
  <c r="AR504" i="8" s="1"/>
  <c r="AR505" i="8" s="1"/>
  <c r="AR506" i="8" s="1"/>
  <c r="AR507" i="8" s="1"/>
  <c r="BO41" i="8" s="1"/>
  <c r="BP41" i="8" s="1"/>
  <c r="BQ41" i="8" s="1"/>
  <c r="AR432" i="8"/>
  <c r="AR434" i="8" s="1"/>
  <c r="AR435" i="8" s="1"/>
  <c r="AR436" i="8" s="1"/>
  <c r="AR437" i="8" s="1"/>
  <c r="AR438" i="8" s="1"/>
  <c r="AR439" i="8" s="1"/>
  <c r="AR440" i="8" s="1"/>
  <c r="AR441" i="8" s="1"/>
  <c r="AR442" i="8" s="1"/>
  <c r="BO36" i="8" s="1"/>
  <c r="BP36" i="8" s="1"/>
  <c r="BQ36" i="8" s="1"/>
  <c r="BO8" i="8"/>
  <c r="BP8" i="8" s="1"/>
  <c r="BQ8" i="8" s="1"/>
  <c r="BO17" i="8"/>
  <c r="BP17" i="8" s="1"/>
  <c r="BQ17" i="8" s="1"/>
  <c r="BO37" i="8"/>
  <c r="BP37" i="8" s="1"/>
  <c r="BQ37" i="8" s="1"/>
  <c r="AR211" i="8"/>
  <c r="AR213" i="8" s="1"/>
  <c r="AR214" i="8" s="1"/>
  <c r="AR215" i="8" s="1"/>
  <c r="AR216" i="8" s="1"/>
  <c r="AR217" i="8" s="1"/>
  <c r="AR218" i="8" s="1"/>
  <c r="AR219" i="8" s="1"/>
  <c r="AR220" i="8" s="1"/>
  <c r="AR221" i="8" s="1"/>
  <c r="BO19" i="8" s="1"/>
  <c r="BP19" i="8" s="1"/>
  <c r="BQ19" i="8" s="1"/>
  <c r="BO25" i="8"/>
  <c r="BP25" i="8" s="1"/>
  <c r="BQ25" i="8" s="1"/>
  <c r="BO42" i="8"/>
  <c r="BP42" i="8" s="1"/>
  <c r="BQ42" i="8" s="1"/>
  <c r="AR471" i="8"/>
  <c r="AR473" i="8" s="1"/>
  <c r="AR474" i="8" s="1"/>
  <c r="AR475" i="8" s="1"/>
  <c r="AR476" i="8" s="1"/>
  <c r="AR477" i="8" s="1"/>
  <c r="AR478" i="8" s="1"/>
  <c r="AR479" i="8" s="1"/>
  <c r="AR480" i="8" s="1"/>
  <c r="AR481" i="8" s="1"/>
  <c r="BO39" i="8" s="1"/>
  <c r="BP39" i="8" s="1"/>
  <c r="BQ39" i="8" s="1"/>
  <c r="BN2" i="8"/>
  <c r="BO13" i="8"/>
  <c r="BP13" i="8" s="1"/>
  <c r="BQ13" i="8" s="1"/>
  <c r="BO11" i="8"/>
  <c r="BP11" i="8" s="1"/>
  <c r="BQ11" i="8" s="1"/>
  <c r="AR406" i="8"/>
  <c r="AR408" i="8" s="1"/>
  <c r="AR409" i="8" s="1"/>
  <c r="AR410" i="8" s="1"/>
  <c r="AR411" i="8" s="1"/>
  <c r="AR412" i="8" s="1"/>
  <c r="AR413" i="8" s="1"/>
  <c r="AR414" i="8" s="1"/>
  <c r="AR415" i="8" s="1"/>
  <c r="AR416" i="8" s="1"/>
  <c r="BO34" i="8" s="1"/>
  <c r="BP34" i="8" s="1"/>
  <c r="BQ34" i="8" s="1"/>
  <c r="BO33" i="8"/>
  <c r="BP33" i="8" s="1"/>
  <c r="BQ33" i="8" s="1"/>
  <c r="BO45" i="8"/>
  <c r="BP45" i="8" s="1"/>
  <c r="BQ45" i="8" s="1"/>
  <c r="AR29" i="8"/>
  <c r="AR31" i="8" s="1"/>
  <c r="AR32" i="8" s="1"/>
  <c r="AR33" i="8" s="1"/>
  <c r="AR34" i="8" s="1"/>
  <c r="AR35" i="8" s="1"/>
  <c r="AR36" i="8" s="1"/>
  <c r="AR37" i="8" s="1"/>
  <c r="AR38" i="8" s="1"/>
  <c r="AR39" i="8" s="1"/>
  <c r="BO5" i="8" s="1"/>
  <c r="BP5" i="8" s="1"/>
  <c r="BQ5" i="8" s="1"/>
  <c r="AR380" i="8"/>
  <c r="AR382" i="8" s="1"/>
  <c r="AR383" i="8" s="1"/>
  <c r="AR384" i="8" s="1"/>
  <c r="AR385" i="8" s="1"/>
  <c r="AR386" i="8" s="1"/>
  <c r="AR387" i="8" s="1"/>
  <c r="AR388" i="8" s="1"/>
  <c r="AR389" i="8" s="1"/>
  <c r="AR390" i="8" s="1"/>
  <c r="BO32" i="8" s="1"/>
  <c r="BP32" i="8" s="1"/>
  <c r="BQ32" i="8" s="1"/>
  <c r="AR315" i="8"/>
  <c r="AR317" i="8" s="1"/>
  <c r="AR318" i="8" s="1"/>
  <c r="AR319" i="8" s="1"/>
  <c r="AR320" i="8" s="1"/>
  <c r="AR321" i="8" s="1"/>
  <c r="AR322" i="8" s="1"/>
  <c r="AR323" i="8" s="1"/>
  <c r="AR324" i="8" s="1"/>
  <c r="AR325" i="8" s="1"/>
  <c r="BO27" i="8" s="1"/>
  <c r="BP27" i="8" s="1"/>
  <c r="BQ27" i="8" s="1"/>
  <c r="BO22" i="8"/>
  <c r="BP22" i="8" s="1"/>
  <c r="BQ22" i="8" s="1"/>
  <c r="AR224" i="8"/>
  <c r="AR226" i="8" s="1"/>
  <c r="AR227" i="8" s="1"/>
  <c r="AR228" i="8" s="1"/>
  <c r="AR229" i="8" s="1"/>
  <c r="AR230" i="8" s="1"/>
  <c r="AR231" i="8" s="1"/>
  <c r="AR232" i="8" s="1"/>
  <c r="AR233" i="8" s="1"/>
  <c r="AR234" i="8" s="1"/>
  <c r="BO20" i="8" s="1"/>
  <c r="BP20" i="8" s="1"/>
  <c r="BQ20" i="8" s="1"/>
  <c r="AR536" i="8"/>
  <c r="AR538" i="8" s="1"/>
  <c r="AR539" i="8" s="1"/>
  <c r="AR540" i="8" s="1"/>
  <c r="AR541" i="8" s="1"/>
  <c r="AR542" i="8" s="1"/>
  <c r="AR543" i="8" s="1"/>
  <c r="AR544" i="8" s="1"/>
  <c r="AR545" i="8" s="1"/>
  <c r="AR546" i="8" s="1"/>
  <c r="BO44" i="8" s="1"/>
  <c r="BP44" i="8" s="1"/>
  <c r="BQ44" i="8" s="1"/>
  <c r="AR16" i="8"/>
  <c r="AR18" i="8" s="1"/>
  <c r="AR19" i="8" s="1"/>
  <c r="AR20" i="8" s="1"/>
  <c r="AR21" i="8" s="1"/>
  <c r="AR22" i="8" s="1"/>
  <c r="AR23" i="8" s="1"/>
  <c r="AR24" i="8" s="1"/>
  <c r="AR25" i="8" s="1"/>
  <c r="AR26" i="8" s="1"/>
  <c r="BO4" i="8" s="1"/>
  <c r="BP4" i="8" s="1"/>
  <c r="BQ4" i="8" s="1"/>
  <c r="AR148" i="8"/>
  <c r="AR149" i="8" s="1"/>
  <c r="AR150" i="8" s="1"/>
  <c r="AR151" i="8" s="1"/>
  <c r="AR152" i="8" s="1"/>
  <c r="AR153" i="8" s="1"/>
  <c r="AR154" i="8" s="1"/>
  <c r="AR155" i="8" s="1"/>
  <c r="AR156" i="8" s="1"/>
  <c r="BO14" i="8" s="1"/>
  <c r="BP14" i="8" s="1"/>
  <c r="BQ14" i="8" s="1"/>
  <c r="AR5" i="8"/>
  <c r="AR6" i="8" s="1"/>
  <c r="AR7" i="8" s="1"/>
  <c r="AR8" i="8" s="1"/>
  <c r="AR9" i="8" s="1"/>
  <c r="AR10" i="8" s="1"/>
  <c r="AR11" i="8" s="1"/>
  <c r="AR12" i="8" s="1"/>
  <c r="AR13" i="8" s="1"/>
  <c r="BO3" i="8" s="1"/>
  <c r="AR419" i="8"/>
  <c r="AR421" i="8" s="1"/>
  <c r="AR422" i="8" s="1"/>
  <c r="AR423" i="8" s="1"/>
  <c r="AR424" i="8" s="1"/>
  <c r="AR425" i="8" s="1"/>
  <c r="AR426" i="8" s="1"/>
  <c r="AR427" i="8" s="1"/>
  <c r="AR428" i="8" s="1"/>
  <c r="AR429" i="8" s="1"/>
  <c r="BO35" i="8" s="1"/>
  <c r="BP35" i="8" s="1"/>
  <c r="BQ35" i="8" s="1"/>
  <c r="AR120" i="8"/>
  <c r="AR122" i="8" s="1"/>
  <c r="AR123" i="8" s="1"/>
  <c r="AR124" i="8" s="1"/>
  <c r="AR125" i="8" s="1"/>
  <c r="AR126" i="8" s="1"/>
  <c r="AR127" i="8" s="1"/>
  <c r="AR128" i="8" s="1"/>
  <c r="AR129" i="8" s="1"/>
  <c r="AR130" i="8" s="1"/>
  <c r="BO12" i="8" s="1"/>
  <c r="BP12" i="8" s="1"/>
  <c r="BQ12" i="8" s="1"/>
  <c r="AR81" i="8"/>
  <c r="AR83" i="8" s="1"/>
  <c r="AR84" i="8" s="1"/>
  <c r="AR85" i="8" s="1"/>
  <c r="AR86" i="8" s="1"/>
  <c r="AR87" i="8" s="1"/>
  <c r="AR88" i="8" s="1"/>
  <c r="AR89" i="8" s="1"/>
  <c r="AR90" i="8" s="1"/>
  <c r="AR91" i="8" s="1"/>
  <c r="BO9" i="8" s="1"/>
  <c r="BP9" i="8" s="1"/>
  <c r="BQ9" i="8" s="1"/>
  <c r="AR458" i="8"/>
  <c r="AR460" i="8" s="1"/>
  <c r="AR461" i="8" s="1"/>
  <c r="AR462" i="8" s="1"/>
  <c r="AR463" i="8" s="1"/>
  <c r="AR464" i="8" s="1"/>
  <c r="AR465" i="8" s="1"/>
  <c r="AR466" i="8" s="1"/>
  <c r="AR467" i="8" s="1"/>
  <c r="AR468" i="8" s="1"/>
  <c r="BO38" i="8" s="1"/>
  <c r="BP38" i="8" s="1"/>
  <c r="BQ38" i="8" s="1"/>
  <c r="AR237" i="8"/>
  <c r="AR239" i="8" s="1"/>
  <c r="AR240" i="8" s="1"/>
  <c r="AR241" i="8" s="1"/>
  <c r="AR242" i="8" s="1"/>
  <c r="AR243" i="8" s="1"/>
  <c r="AR244" i="8" s="1"/>
  <c r="AR245" i="8" s="1"/>
  <c r="AR246" i="8" s="1"/>
  <c r="AR247" i="8" s="1"/>
  <c r="BO21" i="8" s="1"/>
  <c r="BP21" i="8" s="1"/>
  <c r="BQ21" i="8" s="1"/>
  <c r="AR341" i="8"/>
  <c r="AR343" i="8" s="1"/>
  <c r="AR344" i="8" s="1"/>
  <c r="AR345" i="8" s="1"/>
  <c r="AR346" i="8" s="1"/>
  <c r="AR347" i="8" s="1"/>
  <c r="AR348" i="8" s="1"/>
  <c r="AR349" i="8" s="1"/>
  <c r="AR350" i="8" s="1"/>
  <c r="AR351" i="8" s="1"/>
  <c r="BO29" i="8" s="1"/>
  <c r="BP29" i="8" s="1"/>
  <c r="BQ29" i="8" s="1"/>
  <c r="AR276" i="8"/>
  <c r="AR278" i="8" s="1"/>
  <c r="AR279" i="8" s="1"/>
  <c r="AR280" i="8" s="1"/>
  <c r="AR281" i="8" s="1"/>
  <c r="AR282" i="8" s="1"/>
  <c r="AR283" i="8" s="1"/>
  <c r="AR284" i="8" s="1"/>
  <c r="AR285" i="8" s="1"/>
  <c r="AR286" i="8" s="1"/>
  <c r="BO24" i="8" s="1"/>
  <c r="BP24" i="8" s="1"/>
  <c r="BQ24" i="8" s="1"/>
  <c r="AR367" i="8"/>
  <c r="AR369" i="8" s="1"/>
  <c r="AR370" i="8" s="1"/>
  <c r="AR371" i="8" s="1"/>
  <c r="AR372" i="8" s="1"/>
  <c r="AR373" i="8" s="1"/>
  <c r="AR374" i="8" s="1"/>
  <c r="AR375" i="8" s="1"/>
  <c r="AR376" i="8" s="1"/>
  <c r="AR377" i="8" s="1"/>
  <c r="BO31" i="8" s="1"/>
  <c r="BP31" i="8" s="1"/>
  <c r="BQ31" i="8" s="1"/>
  <c r="AR523" i="8"/>
  <c r="AR525" i="8" s="1"/>
  <c r="AR526" i="8" s="1"/>
  <c r="AR527" i="8" s="1"/>
  <c r="AR528" i="8" s="1"/>
  <c r="AR529" i="8" s="1"/>
  <c r="AR530" i="8" s="1"/>
  <c r="AR531" i="8" s="1"/>
  <c r="AR532" i="8" s="1"/>
  <c r="AR533" i="8" s="1"/>
  <c r="BO43" i="8" s="1"/>
  <c r="BP43" i="8" s="1"/>
  <c r="BQ43" i="8" s="1"/>
  <c r="AR55" i="8"/>
  <c r="AR57" i="8" s="1"/>
  <c r="AR58" i="8" s="1"/>
  <c r="AR59" i="8" s="1"/>
  <c r="AR60" i="8" s="1"/>
  <c r="AR61" i="8" s="1"/>
  <c r="AR62" i="8" s="1"/>
  <c r="AR63" i="8" s="1"/>
  <c r="AR64" i="8" s="1"/>
  <c r="AR65" i="8" s="1"/>
  <c r="BO7" i="8" s="1"/>
  <c r="BP7" i="8" s="1"/>
  <c r="BQ7" i="8" s="1"/>
  <c r="AR198" i="8"/>
  <c r="AR200" i="8" s="1"/>
  <c r="AR201" i="8" s="1"/>
  <c r="AR202" i="8" s="1"/>
  <c r="AR203" i="8" s="1"/>
  <c r="AR204" i="8" s="1"/>
  <c r="AR205" i="8" s="1"/>
  <c r="AR206" i="8" s="1"/>
  <c r="AR207" i="8" s="1"/>
  <c r="AR208" i="8" s="1"/>
  <c r="BO18" i="8" s="1"/>
  <c r="BP18" i="8" s="1"/>
  <c r="BQ18" i="8" s="1"/>
  <c r="AR354" i="8"/>
  <c r="AR356" i="8" s="1"/>
  <c r="AR357" i="8" s="1"/>
  <c r="AR358" i="8" s="1"/>
  <c r="AR359" i="8" s="1"/>
  <c r="AR360" i="8" s="1"/>
  <c r="AR361" i="8" s="1"/>
  <c r="AR362" i="8" s="1"/>
  <c r="AR363" i="8" s="1"/>
  <c r="AR364" i="8" s="1"/>
  <c r="BO30" i="8" s="1"/>
  <c r="BP30" i="8" s="1"/>
  <c r="BQ30" i="8" s="1"/>
  <c r="AR146" i="8"/>
  <c r="AR328" i="8"/>
  <c r="AR330" i="8" s="1"/>
  <c r="AR331" i="8" s="1"/>
  <c r="AR332" i="8" s="1"/>
  <c r="AR333" i="8" s="1"/>
  <c r="AR334" i="8" s="1"/>
  <c r="AR335" i="8" s="1"/>
  <c r="AR336" i="8" s="1"/>
  <c r="AR337" i="8" s="1"/>
  <c r="AR338" i="8" s="1"/>
  <c r="BO28" i="8" s="1"/>
  <c r="BP28" i="8" s="1"/>
  <c r="BQ28" i="8" s="1"/>
  <c r="AR42" i="8"/>
  <c r="AR44" i="8" s="1"/>
  <c r="AR45" i="8" s="1"/>
  <c r="AR46" i="8" s="1"/>
  <c r="AR47" i="8" s="1"/>
  <c r="AR48" i="8" s="1"/>
  <c r="AR49" i="8" s="1"/>
  <c r="AR50" i="8" s="1"/>
  <c r="AR51" i="8" s="1"/>
  <c r="AR52" i="8" s="1"/>
  <c r="BO6" i="8" s="1"/>
  <c r="BP6" i="8" s="1"/>
  <c r="BQ6" i="8" s="1"/>
  <c r="AR484" i="8"/>
  <c r="AR486" i="8" s="1"/>
  <c r="AR487" i="8" s="1"/>
  <c r="AR488" i="8" s="1"/>
  <c r="AR489" i="8" s="1"/>
  <c r="AR490" i="8" s="1"/>
  <c r="AR491" i="8" s="1"/>
  <c r="AR492" i="8" s="1"/>
  <c r="AR493" i="8" s="1"/>
  <c r="AR494" i="8" s="1"/>
  <c r="BO40" i="8" s="1"/>
  <c r="BP40" i="8" s="1"/>
  <c r="BQ40" i="8" s="1"/>
  <c r="AR263" i="8"/>
  <c r="AR265" i="8" s="1"/>
  <c r="AR266" i="8" s="1"/>
  <c r="AR267" i="8" s="1"/>
  <c r="AR268" i="8" s="1"/>
  <c r="AR269" i="8" s="1"/>
  <c r="AR270" i="8" s="1"/>
  <c r="AR271" i="8" s="1"/>
  <c r="AR272" i="8" s="1"/>
  <c r="AR273" i="8" s="1"/>
  <c r="BO23" i="8" s="1"/>
  <c r="BP23" i="8" s="1"/>
  <c r="BQ23" i="8" s="1"/>
  <c r="AR302" i="8"/>
  <c r="AR304" i="8" s="1"/>
  <c r="AR305" i="8" s="1"/>
  <c r="AR306" i="8" s="1"/>
  <c r="AR307" i="8" s="1"/>
  <c r="AR308" i="8" s="1"/>
  <c r="AR309" i="8" s="1"/>
  <c r="AR310" i="8" s="1"/>
  <c r="AR311" i="8" s="1"/>
  <c r="AR312" i="8" s="1"/>
  <c r="BO26" i="8" s="1"/>
  <c r="BP26" i="8" s="1"/>
  <c r="BQ26" i="8" s="1"/>
  <c r="AR562" i="8"/>
  <c r="AR564" i="8" s="1"/>
  <c r="AR565" i="8" s="1"/>
  <c r="AR566" i="8" s="1"/>
  <c r="AR567" i="8" s="1"/>
  <c r="AR568" i="8" s="1"/>
  <c r="AR569" i="8" s="1"/>
  <c r="AR570" i="8" s="1"/>
  <c r="AR571" i="8" s="1"/>
  <c r="AR572" i="8" s="1"/>
  <c r="BO46" i="8" s="1"/>
  <c r="BP46" i="8" s="1"/>
  <c r="BQ46" i="8" s="1"/>
  <c r="AR172" i="8"/>
  <c r="AR174" i="8" s="1"/>
  <c r="AR175" i="8" s="1"/>
  <c r="AR176" i="8" s="1"/>
  <c r="AR177" i="8" s="1"/>
  <c r="AR178" i="8" s="1"/>
  <c r="AR179" i="8" s="1"/>
  <c r="AR180" i="8" s="1"/>
  <c r="AR181" i="8" s="1"/>
  <c r="AR182" i="8" s="1"/>
  <c r="BO16" i="8" s="1"/>
  <c r="BP16" i="8" s="1"/>
  <c r="BQ16" i="8" s="1"/>
  <c r="BO2" i="8" a="1"/>
  <c r="BO2" i="8" l="1"/>
  <c r="BP3" i="8"/>
  <c r="BQ3" i="8" s="1"/>
  <c r="BP2" i="8" l="1"/>
  <c r="H21" i="3" l="1"/>
  <c r="H22" i="3"/>
  <c r="H23" i="3"/>
  <c r="H12" i="3"/>
  <c r="H15" i="3" s="1"/>
  <c r="BS10" i="8"/>
  <c r="H14" i="3" l="1"/>
  <c r="H1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<sst xmlns="http://schemas.openxmlformats.org/spreadsheetml/2006/main" count="7478" uniqueCount="1580">
  <si>
    <t>Sever</t>
  </si>
  <si>
    <t>Double Slash (R)</t>
  </si>
  <si>
    <t>Double Slash Return Stroke (R)</t>
  </si>
  <si>
    <t>Double Slash Return Stroke (L)</t>
  </si>
  <si>
    <t>Circle Slash (R1)</t>
  </si>
  <si>
    <t>Circle Slash (L)</t>
  </si>
  <si>
    <t>Circle Slash (R2)</t>
  </si>
  <si>
    <t>Lunging Strike (L1)</t>
  </si>
  <si>
    <t>Lunging Strike (R1)</t>
  </si>
  <si>
    <t>Lunging Strike (L2)</t>
  </si>
  <si>
    <t>Lunging Strike (R2)</t>
  </si>
  <si>
    <t>Rising Slash (After Lunging Strike)</t>
  </si>
  <si>
    <t>Turn Slash (L)</t>
  </si>
  <si>
    <t>Turn Slash (R)</t>
  </si>
  <si>
    <t>Left Roundslash (L1)</t>
  </si>
  <si>
    <t>O</t>
  </si>
  <si>
    <t>Left Roundslash (R)</t>
  </si>
  <si>
    <t>Left Roundslash (L2)</t>
  </si>
  <si>
    <t>Right Roundslash (R1)</t>
  </si>
  <si>
    <t>Right Roundslash (L)</t>
  </si>
  <si>
    <t>Right Roundslash (R2)</t>
  </si>
  <si>
    <t>Left Double Roundslash (L1)</t>
  </si>
  <si>
    <t>Left Double Roundslash (R)</t>
  </si>
  <si>
    <t>Left Double Roundslash (L2)</t>
  </si>
  <si>
    <t>Right Double Roundslash (R1)</t>
  </si>
  <si>
    <t>Right Double Roundslash (L)</t>
  </si>
  <si>
    <t>Right Double Roundslash (R2)</t>
  </si>
  <si>
    <t>Demon Flurry (L1)</t>
  </si>
  <si>
    <t>Demon Flurry (R1)</t>
  </si>
  <si>
    <t>Demon Flurry (R2)</t>
  </si>
  <si>
    <t>Demon Flurry (L2)</t>
  </si>
  <si>
    <t>Demon Flurry (R3)</t>
  </si>
  <si>
    <t>Demon Flurry (L3)</t>
  </si>
  <si>
    <t>Demon Flurry (R4)</t>
  </si>
  <si>
    <t>Demon Fangs</t>
  </si>
  <si>
    <t>Twofold Demon Slash (R)</t>
  </si>
  <si>
    <t>Twofold Demon Slash (L)</t>
  </si>
  <si>
    <t>Sixfold Demon Slash (L1)</t>
  </si>
  <si>
    <t>Sixfold Demon Slash (R1)</t>
  </si>
  <si>
    <t>Sixfold Demon Slash (R2)</t>
  </si>
  <si>
    <t>Sixfold Demon Slash (L2)</t>
  </si>
  <si>
    <t>Sixfold Demon Slash (L3)</t>
  </si>
  <si>
    <t>Sixfold Demon Slash (R3)</t>
  </si>
  <si>
    <t>Left Fade Slash</t>
  </si>
  <si>
    <t>Right Fade Slash</t>
  </si>
  <si>
    <t>Rising Slash (After Fade Slash)</t>
  </si>
  <si>
    <t>Demon Flurry Rush (L1)</t>
  </si>
  <si>
    <t>Demon Flurry Rush (L2)</t>
  </si>
  <si>
    <t>Demon Flurry Rush (L3)</t>
  </si>
  <si>
    <t>Demon Flurry Rush (R1)</t>
  </si>
  <si>
    <t>Demon Flurry Rush (R2)</t>
  </si>
  <si>
    <t>Demon Flurry Rush (R3)</t>
  </si>
  <si>
    <t>Rising Slash (After Demon Flurry Rush)</t>
  </si>
  <si>
    <t>Blade Dance (L1)</t>
  </si>
  <si>
    <t>Blade Dance (R1)</t>
  </si>
  <si>
    <t>Blade Dance (L2)</t>
  </si>
  <si>
    <t>Blade Dance (R2)</t>
  </si>
  <si>
    <t>Blade Dance (L3)</t>
  </si>
  <si>
    <t>Blade Dance (R3)</t>
  </si>
  <si>
    <t>Blade Dance (R4)</t>
  </si>
  <si>
    <t>Blade Dance (L4)</t>
  </si>
  <si>
    <t>Blade Dance (R5)</t>
  </si>
  <si>
    <t>Blade Dance (L5)</t>
  </si>
  <si>
    <t>Blade Dance (L6)</t>
  </si>
  <si>
    <t>Blade Dance (R6)</t>
  </si>
  <si>
    <t>Blade Dance (L7)</t>
  </si>
  <si>
    <t>Blade Dance (R7)</t>
  </si>
  <si>
    <t>Blade Dance (L8)</t>
  </si>
  <si>
    <t>Blade Dance (R8)</t>
  </si>
  <si>
    <t>Jumping Double Slash (R)</t>
  </si>
  <si>
    <t>Jumping Double Slash (L)</t>
  </si>
  <si>
    <t>Sliding Slash (L1)</t>
  </si>
  <si>
    <t>Sliding Slash (R1)</t>
  </si>
  <si>
    <t>Sliding Slash (L2)</t>
  </si>
  <si>
    <t>Sliding Slash (R2)</t>
  </si>
  <si>
    <t>Midair Spinning Blade Dance (R1)</t>
  </si>
  <si>
    <t>Midair Spinning Blade Dance (L1)</t>
  </si>
  <si>
    <t>Midair Spinning Blade Dance (R2)</t>
  </si>
  <si>
    <t>Midair Spinning Blade Dance (L2)</t>
  </si>
  <si>
    <t>Midair Spinning Blade Dance Finisher (L1)</t>
  </si>
  <si>
    <t>Midair Spinning Blade Dance Finisher (R1)</t>
  </si>
  <si>
    <t>Heavenly Blade Dance (L1)</t>
  </si>
  <si>
    <t>Heavenly Blade Dance (R1)</t>
  </si>
  <si>
    <t>Heavenly Blade Dance (L2)</t>
  </si>
  <si>
    <t>Heavenly Blade Dance (R2)</t>
  </si>
  <si>
    <t>Heavenly Blade Dance Finisher (R)</t>
  </si>
  <si>
    <t>Heavenly Blade Dance Finisher (L)</t>
  </si>
  <si>
    <t>Spinning Blade Dance Finisher (L1)</t>
  </si>
  <si>
    <t>Spinning Blade Dance Finisher (R1)</t>
  </si>
  <si>
    <t>Spinning Blade Dance Finisher (L2)</t>
  </si>
  <si>
    <t>Spinning Blade Dance Finisher (R2)</t>
  </si>
  <si>
    <t>[Clutching] Weapon Attack (L1, R1)</t>
  </si>
  <si>
    <t>[Clutching] Weapon Attack (R2)</t>
  </si>
  <si>
    <t>[Clutching] Weapon Attack (L2)</t>
  </si>
  <si>
    <t>[Clutching] Weapon Attack (R3)</t>
  </si>
  <si>
    <t>[Clutching] Weapon Attack (L3 Repeated)</t>
  </si>
  <si>
    <t>[Clutching] Weapon Attack (R4 Repeated)</t>
  </si>
  <si>
    <t>[Clutching] Spinning Rising Slash (L)</t>
  </si>
  <si>
    <t>[Clutching] Spinning Rising Slash (R)</t>
  </si>
  <si>
    <t>[Mounting] Demon Flurry (L1)</t>
  </si>
  <si>
    <t>[Mounting] Demon Flurry (R1)</t>
  </si>
  <si>
    <t>[Mounting] Demon Flurry (R2)</t>
  </si>
  <si>
    <t>[Mounting] Demon Flurry (L2)</t>
  </si>
  <si>
    <t>[Mounting] Demon Flurry (R3)</t>
  </si>
  <si>
    <t>[Mounting] Demon Flurry (L3)</t>
  </si>
  <si>
    <t>[Mounting] Demon Flurry (R4)</t>
  </si>
  <si>
    <t>[Mounting] Demon Flurry (L Repeated)</t>
  </si>
  <si>
    <t>[Mounting] Demon Flurry (R Repeated)</t>
  </si>
  <si>
    <t>[Mounting] Demon Flurry (L Final)</t>
  </si>
  <si>
    <t>[Mounting] Demon Flurry (R Final)</t>
  </si>
  <si>
    <t>Double Slash (L)</t>
  </si>
  <si>
    <t>Attack Name</t>
  </si>
  <si>
    <t>Type</t>
  </si>
  <si>
    <t>Motion Values</t>
  </si>
  <si>
    <t>Mount</t>
  </si>
  <si>
    <t>Part</t>
  </si>
  <si>
    <t>Element Multiplier</t>
  </si>
  <si>
    <t>Status Multiplier</t>
  </si>
  <si>
    <t>Notes</t>
  </si>
  <si>
    <t>Monsters Hitpoints</t>
  </si>
  <si>
    <t>Blunt</t>
  </si>
  <si>
    <t>Projectile</t>
  </si>
  <si>
    <t>Fire</t>
  </si>
  <si>
    <t>Water</t>
  </si>
  <si>
    <t>Thunder</t>
  </si>
  <si>
    <t>Ice</t>
  </si>
  <si>
    <t>Dragon</t>
  </si>
  <si>
    <t>Poison</t>
  </si>
  <si>
    <t>Blast</t>
  </si>
  <si>
    <t>Health</t>
  </si>
  <si>
    <t>Capture Rate</t>
  </si>
  <si>
    <t>Ailment</t>
  </si>
  <si>
    <t>Exhaust</t>
  </si>
  <si>
    <t>Rage</t>
  </si>
  <si>
    <t>Rage Damage</t>
  </si>
  <si>
    <t>Anger Threshold</t>
  </si>
  <si>
    <t>Health Multiplier</t>
  </si>
  <si>
    <t>C</t>
  </si>
  <si>
    <t>B</t>
  </si>
  <si>
    <t>D</t>
  </si>
  <si>
    <t>A</t>
  </si>
  <si>
    <t>E</t>
  </si>
  <si>
    <t>Base Health</t>
  </si>
  <si>
    <t>Initial Threshold</t>
  </si>
  <si>
    <t>Tolerance Build-up</t>
  </si>
  <si>
    <t>Max Threshold</t>
  </si>
  <si>
    <t>Duration</t>
  </si>
  <si>
    <t>Ticks</t>
  </si>
  <si>
    <t>Total Damage</t>
  </si>
  <si>
    <t>Damage</t>
  </si>
  <si>
    <t>Sharpness Multipliers</t>
  </si>
  <si>
    <t>Sharpness Raw Multiplier</t>
  </si>
  <si>
    <t>Sharpness Element Multiplier</t>
  </si>
  <si>
    <t>Red</t>
  </si>
  <si>
    <t>Orange</t>
  </si>
  <si>
    <t>Yellow</t>
  </si>
  <si>
    <t>Green</t>
  </si>
  <si>
    <t>Blue</t>
  </si>
  <si>
    <t>White</t>
  </si>
  <si>
    <t>Purple</t>
  </si>
  <si>
    <t>Weapon Name</t>
  </si>
  <si>
    <t>Raw</t>
  </si>
  <si>
    <t>Affinity</t>
  </si>
  <si>
    <t>Paralysis</t>
  </si>
  <si>
    <t>Sleep</t>
  </si>
  <si>
    <t>Gem Slot 4</t>
  </si>
  <si>
    <t>Gem Slot 3</t>
  </si>
  <si>
    <t>Gem Slot 2</t>
  </si>
  <si>
    <t>Gem Slot 1</t>
  </si>
  <si>
    <t>Max Red</t>
  </si>
  <si>
    <t>Mad Orange</t>
  </si>
  <si>
    <t>Max Yellow</t>
  </si>
  <si>
    <t>Max Green</t>
  </si>
  <si>
    <t>Max Blue</t>
  </si>
  <si>
    <t>Max White</t>
  </si>
  <si>
    <t>Max Purple</t>
  </si>
  <si>
    <t>Rarity</t>
  </si>
  <si>
    <t>Matched Slicers I</t>
  </si>
  <si>
    <t>Dual Blades</t>
  </si>
  <si>
    <t>Defender Chainsaws I</t>
  </si>
  <si>
    <t>Bone Hatchets I</t>
  </si>
  <si>
    <t>Attack Boost</t>
  </si>
  <si>
    <t>Lv</t>
  </si>
  <si>
    <t>Fixed Raw</t>
  </si>
  <si>
    <t>Training Pole</t>
  </si>
  <si>
    <t>General Settings</t>
  </si>
  <si>
    <t>Weapon Type</t>
  </si>
  <si>
    <t>Matched Slicers II</t>
  </si>
  <si>
    <t>Raw Damage</t>
  </si>
  <si>
    <t>Element Damage</t>
  </si>
  <si>
    <t>Status Damage</t>
  </si>
  <si>
    <t>Natural Sharpness</t>
  </si>
  <si>
    <t>Base Application</t>
  </si>
  <si>
    <t>Base Colour</t>
  </si>
  <si>
    <t>Base Value</t>
  </si>
  <si>
    <t>Handicraft</t>
  </si>
  <si>
    <t>Max Colour</t>
  </si>
  <si>
    <t>Max Value</t>
  </si>
  <si>
    <t>Pre Threshold</t>
  </si>
  <si>
    <t>Max Base Value</t>
  </si>
  <si>
    <t>Post Threshold</t>
  </si>
  <si>
    <t>Final Primary Sharpness</t>
  </si>
  <si>
    <t>Final Secondary Sharpness</t>
  </si>
  <si>
    <t>Primary</t>
  </si>
  <si>
    <t>Second Colour</t>
  </si>
  <si>
    <t>Does it hit max</t>
  </si>
  <si>
    <t>Sharpness Values</t>
  </si>
  <si>
    <t>Slivers</t>
  </si>
  <si>
    <t>Sharpness Skills</t>
  </si>
  <si>
    <t>Sharpness Tier</t>
  </si>
  <si>
    <t>Sharpness Upgrade?</t>
  </si>
  <si>
    <t>Total Values</t>
  </si>
  <si>
    <t>Effective Raw</t>
  </si>
  <si>
    <t>Bloat Values</t>
  </si>
  <si>
    <t>Great Sword</t>
  </si>
  <si>
    <t>Long Sword</t>
  </si>
  <si>
    <t>Sword &amp; Shield</t>
  </si>
  <si>
    <t>Lance</t>
  </si>
  <si>
    <t>Gunlance</t>
  </si>
  <si>
    <t>Hammer</t>
  </si>
  <si>
    <t>Hunting Horn</t>
  </si>
  <si>
    <t>Switch Axe</t>
  </si>
  <si>
    <t>Charge Blade</t>
  </si>
  <si>
    <t>Insect Glaive</t>
  </si>
  <si>
    <t>Light Bowgun</t>
  </si>
  <si>
    <t>Heavy Bowgun</t>
  </si>
  <si>
    <t>Bow</t>
  </si>
  <si>
    <t>Bone Hatchets II</t>
  </si>
  <si>
    <t>Rending Beaks I</t>
  </si>
  <si>
    <t>Critical Boost</t>
  </si>
  <si>
    <t>Base Bloat Raw</t>
  </si>
  <si>
    <t>Display-only Raw</t>
  </si>
  <si>
    <t>Total</t>
  </si>
  <si>
    <t>Multipliers</t>
  </si>
  <si>
    <r>
      <t>(</t>
    </r>
    <r>
      <rPr>
        <b/>
        <sz val="11"/>
        <color theme="1"/>
        <rFont val="Calibri"/>
        <family val="2"/>
        <scheme val="minor"/>
      </rPr>
      <t>Test</t>
    </r>
    <r>
      <rPr>
        <sz val="11"/>
        <color theme="1"/>
        <rFont val="Calibri"/>
        <family val="2"/>
        <scheme val="minor"/>
      </rPr>
      <t>) Combos before kill</t>
    </r>
  </si>
  <si>
    <t>Triggers</t>
  </si>
  <si>
    <t>Damage caused by triggers</t>
  </si>
  <si>
    <t>Health after all Blast triggers</t>
  </si>
  <si>
    <r>
      <t>(</t>
    </r>
    <r>
      <rPr>
        <b/>
        <sz val="11"/>
        <color theme="1"/>
        <rFont val="Calibri"/>
        <family val="2"/>
        <scheme val="minor"/>
      </rPr>
      <t>Reality</t>
    </r>
    <r>
      <rPr>
        <sz val="11"/>
        <color theme="1"/>
        <rFont val="Calibri"/>
        <family val="2"/>
        <scheme val="minor"/>
      </rPr>
      <t>) Combos before kill with Blast</t>
    </r>
  </si>
  <si>
    <r>
      <rPr>
        <b/>
        <i/>
        <sz val="11"/>
        <color theme="1"/>
        <rFont val="Calibri"/>
        <family val="2"/>
        <scheme val="minor"/>
      </rPr>
      <t>Actual Status</t>
    </r>
    <r>
      <rPr>
        <sz val="11"/>
        <color theme="1"/>
        <rFont val="Calibri"/>
        <family val="2"/>
        <scheme val="minor"/>
      </rPr>
      <t xml:space="preserve"> Damage</t>
    </r>
  </si>
  <si>
    <r>
      <rPr>
        <b/>
        <i/>
        <sz val="11"/>
        <color theme="1"/>
        <rFont val="Calibri"/>
        <family val="2"/>
        <scheme val="minor"/>
      </rPr>
      <t xml:space="preserve">Actual </t>
    </r>
    <r>
      <rPr>
        <sz val="11"/>
        <color theme="1"/>
        <rFont val="Calibri"/>
        <family val="2"/>
        <scheme val="minor"/>
      </rPr>
      <t>Triggers</t>
    </r>
  </si>
  <si>
    <r>
      <rPr>
        <b/>
        <i/>
        <sz val="11"/>
        <color theme="1"/>
        <rFont val="Calibri"/>
        <family val="2"/>
        <scheme val="minor"/>
      </rPr>
      <t>Actual Damage</t>
    </r>
    <r>
      <rPr>
        <sz val="11"/>
        <color theme="1"/>
        <rFont val="Calibri"/>
        <family val="2"/>
        <scheme val="minor"/>
      </rPr>
      <t xml:space="preserve"> caused by triggers</t>
    </r>
  </si>
  <si>
    <t>Blast Average</t>
  </si>
  <si>
    <t>Damage per Second</t>
  </si>
  <si>
    <t>Damage per Hit</t>
  </si>
  <si>
    <t>Status</t>
  </si>
  <si>
    <t>Base Bloat Primary Status</t>
  </si>
  <si>
    <t>Dual</t>
  </si>
  <si>
    <t>Poison Check</t>
  </si>
  <si>
    <t>Blast Check</t>
  </si>
  <si>
    <t>Blast Triggers</t>
  </si>
  <si>
    <t>Poison Combo Count</t>
  </si>
  <si>
    <t>Blast Initial Threshold</t>
  </si>
  <si>
    <t>Blast Tolerance</t>
  </si>
  <si>
    <t>Blast Max</t>
  </si>
  <si>
    <t>Weapon Check</t>
  </si>
  <si>
    <t>Critical Eye</t>
  </si>
  <si>
    <t>Matched Slicers III</t>
  </si>
  <si>
    <t>Dual Slicers I</t>
  </si>
  <si>
    <t>Sworn Rapiers</t>
  </si>
  <si>
    <t>Bone Hatchets III</t>
  </si>
  <si>
    <t>Fixed Element</t>
  </si>
  <si>
    <t>Display Element</t>
  </si>
  <si>
    <t>Effective Element</t>
  </si>
  <si>
    <t>Base Bloat Element</t>
  </si>
  <si>
    <t>Madness Pangas I</t>
  </si>
  <si>
    <t>Cooking</t>
  </si>
  <si>
    <t>Dual Slicers II</t>
  </si>
  <si>
    <t>Dual Slicers III</t>
  </si>
  <si>
    <t>Chrome Slicers I</t>
  </si>
  <si>
    <t>Chrome Slicers II</t>
  </si>
  <si>
    <t>Chrome Cross I</t>
  </si>
  <si>
    <t>Chrome Cross II</t>
  </si>
  <si>
    <t>Chrome Cross III</t>
  </si>
  <si>
    <t>Wild Hatchets I</t>
  </si>
  <si>
    <t>Wild Hatchets II</t>
  </si>
  <si>
    <t>Wild Hatchets III</t>
  </si>
  <si>
    <t>Strong Hatchets I</t>
  </si>
  <si>
    <t>Strong Hatchets II</t>
  </si>
  <si>
    <t>Hulking Choppers I</t>
  </si>
  <si>
    <t>Hulking Choppers II</t>
  </si>
  <si>
    <t>Hulking Choppers III</t>
  </si>
  <si>
    <t>Rending Beaks II</t>
  </si>
  <si>
    <t>Rending Beaks III</t>
  </si>
  <si>
    <t>Arcanaria I</t>
  </si>
  <si>
    <t>Arcanaria II</t>
  </si>
  <si>
    <t>Arcanaria III</t>
  </si>
  <si>
    <t>Asefar al-Nasr I</t>
  </si>
  <si>
    <t>Asefar al-Nasr II</t>
  </si>
  <si>
    <t>Madness Pangas II</t>
  </si>
  <si>
    <t>Madness Pangas III</t>
  </si>
  <si>
    <t>Jyura Hatchets I</t>
  </si>
  <si>
    <t>Jyura Hatchets II</t>
  </si>
  <si>
    <t>Jyura Hatchets III</t>
  </si>
  <si>
    <t>Jyura Keenblades I</t>
  </si>
  <si>
    <t>Jyura Keenblades II</t>
  </si>
  <si>
    <t>Pulsar Hatchets I</t>
  </si>
  <si>
    <t>Pulsar Hatchets II</t>
  </si>
  <si>
    <t>Pulsar Hatchets III</t>
  </si>
  <si>
    <t>Kadachi Claws I</t>
  </si>
  <si>
    <t>Kadachi Claws II</t>
  </si>
  <si>
    <t>Kadachi Claws III</t>
  </si>
  <si>
    <t>Kadachi Greathawks I</t>
  </si>
  <si>
    <t>Kadachi Greathawks II</t>
  </si>
  <si>
    <t>Blazing Hatchets I</t>
  </si>
  <si>
    <t>Blazing Hatchets II</t>
  </si>
  <si>
    <t>Anja Cyclone I</t>
  </si>
  <si>
    <t>Anja Cyclone II</t>
  </si>
  <si>
    <t>Anja Cyclone III</t>
  </si>
  <si>
    <t>Anja Twinrippers I</t>
  </si>
  <si>
    <t>Anja Twinrippers II</t>
  </si>
  <si>
    <t>Nergal Gouge</t>
  </si>
  <si>
    <t>Decimation Claws</t>
  </si>
  <si>
    <t>Ruinous Decimation</t>
  </si>
  <si>
    <t>Taurus Pangas I</t>
  </si>
  <si>
    <t>Taurus Pangas II</t>
  </si>
  <si>
    <t>Dark Ripper I</t>
  </si>
  <si>
    <t>Dark Ripper II</t>
  </si>
  <si>
    <t>Dark Ripper III</t>
  </si>
  <si>
    <t>Abyss Eaters I</t>
  </si>
  <si>
    <t>Abyss Eaters II</t>
  </si>
  <si>
    <t>Luminous Daggers I</t>
  </si>
  <si>
    <t>Luminous Daggers II</t>
  </si>
  <si>
    <t>Dual Destroyers I</t>
  </si>
  <si>
    <t>Dual Destroyers II</t>
  </si>
  <si>
    <t>Dual Destroyers III</t>
  </si>
  <si>
    <t>Cross Destroyers I</t>
  </si>
  <si>
    <t>Cross Destroyers II</t>
  </si>
  <si>
    <t>Garon Hatchets I</t>
  </si>
  <si>
    <t>Garon Hatchets II</t>
  </si>
  <si>
    <t>Blood-drinker Chainblade</t>
  </si>
  <si>
    <t>Sin</t>
  </si>
  <si>
    <t>Sin+</t>
  </si>
  <si>
    <t>Crime</t>
  </si>
  <si>
    <t>Twin Flames</t>
  </si>
  <si>
    <t>Wyvern Lovers</t>
  </si>
  <si>
    <t>Wyvern Strife</t>
  </si>
  <si>
    <t>Diablos Hatchets I</t>
  </si>
  <si>
    <t>Diablos Hatchets II</t>
  </si>
  <si>
    <t>Diablos Clubs I</t>
  </si>
  <si>
    <t>Diablos Clubs II</t>
  </si>
  <si>
    <t>Diablos Clubs III</t>
  </si>
  <si>
    <t>Thanatos Mauls</t>
  </si>
  <si>
    <t>Kirin Bolts</t>
  </si>
  <si>
    <t>Kirin Bolts+</t>
  </si>
  <si>
    <t>Monarch</t>
  </si>
  <si>
    <t>Wunderkirins</t>
  </si>
  <si>
    <t>Lava Cyclone I</t>
  </si>
  <si>
    <t>Lava Cyclone II</t>
  </si>
  <si>
    <t>Shattering Flames I</t>
  </si>
  <si>
    <t>Shattering Flames II</t>
  </si>
  <si>
    <t>Twin Nails</t>
  </si>
  <si>
    <t>Fire and Ice</t>
  </si>
  <si>
    <t>Blizzard and Blaze</t>
  </si>
  <si>
    <t>Xeno Raqs</t>
  </si>
  <si>
    <t>Xeno Raqs+</t>
  </si>
  <si>
    <t>Rookslayer Handaxes</t>
  </si>
  <si>
    <t>Bazelhawk Rookslayer</t>
  </si>
  <si>
    <t>Blazing Warhawks</t>
  </si>
  <si>
    <t>Bazel Bombers</t>
  </si>
  <si>
    <t>Magda Ungulae I</t>
  </si>
  <si>
    <t>Magda Ungulae II</t>
  </si>
  <si>
    <t>Magdaros Volcancross</t>
  </si>
  <si>
    <t>Dragonbone Twinblades I</t>
  </si>
  <si>
    <t>Dragonbone Twinblades II</t>
  </si>
  <si>
    <t>Enduring Schism</t>
  </si>
  <si>
    <t>Enduring Sacrifice</t>
  </si>
  <si>
    <t>Enduring Surrender</t>
  </si>
  <si>
    <t>Blacksteel Twins I</t>
  </si>
  <si>
    <t>Blacksteel Twins II</t>
  </si>
  <si>
    <t>Freeze Daggers I</t>
  </si>
  <si>
    <t>Freeze Daggers II</t>
  </si>
  <si>
    <t>Freeze Chain I</t>
  </si>
  <si>
    <t>Freeze Chain II</t>
  </si>
  <si>
    <t>Blizzarioths</t>
  </si>
  <si>
    <t>Blizzarioths+</t>
  </si>
  <si>
    <t>Mountain Blizzarioths</t>
  </si>
  <si>
    <t>Sworn Rapiers+</t>
  </si>
  <si>
    <t>Holy Sabers</t>
  </si>
  <si>
    <t>Guild Knight Sabers</t>
  </si>
  <si>
    <t>Master Sabers</t>
  </si>
  <si>
    <t>Holy Guild Knight</t>
  </si>
  <si>
    <t>Wrathful Predation</t>
  </si>
  <si>
    <t>Consummate Pair</t>
  </si>
  <si>
    <t>Empress Daggers</t>
  </si>
  <si>
    <t>Empress Daggers "Blaze"</t>
  </si>
  <si>
    <t>Soulfire Fangs "Blaze"</t>
  </si>
  <si>
    <t>Empress Daggers "Ruin"</t>
  </si>
  <si>
    <t>Soulfire Fangs "Ruin"</t>
  </si>
  <si>
    <t>Empress Daggers "Styx"</t>
  </si>
  <si>
    <t>Soulfire Fangs "Styx"</t>
  </si>
  <si>
    <t>Downy Crake Brooms</t>
  </si>
  <si>
    <t>Downy Crake Love</t>
  </si>
  <si>
    <t>Downy Paradise</t>
  </si>
  <si>
    <t>Zireael</t>
  </si>
  <si>
    <t>Zireael+</t>
  </si>
  <si>
    <t>Defender Chainsaws II</t>
  </si>
  <si>
    <t>Defender Chainsaws III</t>
  </si>
  <si>
    <t>Defender Chainsaws IV</t>
  </si>
  <si>
    <t>Defender Chainsaws V</t>
  </si>
  <si>
    <t>Drakespirit Hellclaws</t>
  </si>
  <si>
    <t>Stygian Bloodclaws</t>
  </si>
  <si>
    <t>Mammoth Direbones I</t>
  </si>
  <si>
    <t>Mammoth Direbones II</t>
  </si>
  <si>
    <t>Hidden Tomahawk I</t>
  </si>
  <si>
    <t>Hidden Tomahawk II</t>
  </si>
  <si>
    <t>Smoldering Cities</t>
  </si>
  <si>
    <t>Smoldering Cities+</t>
  </si>
  <si>
    <t>Smoldering Kingdoms</t>
  </si>
  <si>
    <t>Icefeather</t>
  </si>
  <si>
    <t>Untouched Hel</t>
  </si>
  <si>
    <t>Rex Chain I</t>
  </si>
  <si>
    <t>Rex Chain II</t>
  </si>
  <si>
    <t>Fulguring Tornado I</t>
  </si>
  <si>
    <t>Fulguring Tornado II</t>
  </si>
  <si>
    <t>Brachydios Blasters I</t>
  </si>
  <si>
    <t>Brachydios Blasters II</t>
  </si>
  <si>
    <t>Boundless Farsight</t>
  </si>
  <si>
    <t>Suzuka Takamaru</t>
  </si>
  <si>
    <t>Suzuka Otakemaru</t>
  </si>
  <si>
    <t>Alatreon Dual Blades</t>
  </si>
  <si>
    <t>Alatreon Madness</t>
  </si>
  <si>
    <t>Raven Tessen</t>
  </si>
  <si>
    <t>Wolf Tessen</t>
  </si>
  <si>
    <t>Usurper's Fulgur</t>
  </si>
  <si>
    <t>Usurper's Fulgur+</t>
  </si>
  <si>
    <t>Despot's Blitz</t>
  </si>
  <si>
    <t>Sulfurteinn Ortho</t>
  </si>
  <si>
    <t>The Stripping Shears</t>
  </si>
  <si>
    <t>Crimson Viperclaws I</t>
  </si>
  <si>
    <t>Crimson Viperclaws II</t>
  </si>
  <si>
    <t>Beo Hatchets I</t>
  </si>
  <si>
    <t>Beo Hatchets II</t>
  </si>
  <si>
    <t>Nether Chainblades</t>
  </si>
  <si>
    <t>Death Row</t>
  </si>
  <si>
    <t>Accursed Chain</t>
  </si>
  <si>
    <t>Whetfish Sabers</t>
  </si>
  <si>
    <t>Whetfish Sabers+</t>
  </si>
  <si>
    <t>Strong Ale</t>
  </si>
  <si>
    <t>Master Ale</t>
  </si>
  <si>
    <t>Guild Palace Sabers</t>
  </si>
  <si>
    <t>Royal Savior Daggers</t>
  </si>
  <si>
    <t>Demonlord Hellfists</t>
  </si>
  <si>
    <t>Lightbreak Twins</t>
  </si>
  <si>
    <t>Safi's Dreamclaws</t>
  </si>
  <si>
    <t>Safi's Shatterclaws</t>
  </si>
  <si>
    <t>Safi's Hellclaws</t>
  </si>
  <si>
    <t>Safi's Aquaclaws</t>
  </si>
  <si>
    <t>Safi's Frostclaws</t>
  </si>
  <si>
    <t>Safi's Boltclaws</t>
  </si>
  <si>
    <t>Safi's Drakclaws</t>
  </si>
  <si>
    <t>Safi's Venomclaws</t>
  </si>
  <si>
    <t>Safi's Bindclaws</t>
  </si>
  <si>
    <t>Bergel Vetra</t>
  </si>
  <si>
    <t>Taroth Daggers "Erupter"</t>
  </si>
  <si>
    <t>Lurk Gold Twinblades</t>
  </si>
  <si>
    <t>Flash Gold Twinblades</t>
  </si>
  <si>
    <t>Claw Gold Twinblades</t>
  </si>
  <si>
    <t>Horn Gold Twinblades</t>
  </si>
  <si>
    <t>Erupter Gold Twinblades</t>
  </si>
  <si>
    <t>Magma Gold Twinblades</t>
  </si>
  <si>
    <t>Taroth Daggers "Thief"</t>
  </si>
  <si>
    <t>Taroth Daggers "Mire"</t>
  </si>
  <si>
    <t>Taroth Daggers "Spark"</t>
  </si>
  <si>
    <t>Taroth Daggers "Rage"</t>
  </si>
  <si>
    <t>Taroth Daggers "Lurk"</t>
  </si>
  <si>
    <t>Taroth Daggers "Flash"</t>
  </si>
  <si>
    <t>Taroth Daggers "Claw"</t>
  </si>
  <si>
    <t>Taroth Daggers "Horn"</t>
  </si>
  <si>
    <t>Rage Gold Twinblades</t>
  </si>
  <si>
    <t>Taroth Daggers "Magma"</t>
  </si>
  <si>
    <t>Taroth Daggers "Water"</t>
  </si>
  <si>
    <t>Taroth Daggers "Ice"</t>
  </si>
  <si>
    <t>Taroth Daggers "Poison"</t>
  </si>
  <si>
    <t>Taroth Daggers "Fire"</t>
  </si>
  <si>
    <t>Kjárr Daggers "Spark"</t>
  </si>
  <si>
    <t>Kjárr Daggers "Rage"</t>
  </si>
  <si>
    <t>Kjárr Daggers "Magma"</t>
  </si>
  <si>
    <t>Kjárr Daggers "Lurk"</t>
  </si>
  <si>
    <t>Kjárr Daggers "Water"</t>
  </si>
  <si>
    <t>Kjárr Daggers "Ice"</t>
  </si>
  <si>
    <t>Kjárr Daggers "Dragon"</t>
  </si>
  <si>
    <t>Spark Gold Twinblades</t>
  </si>
  <si>
    <t>Mire Gold Twinblades</t>
  </si>
  <si>
    <t>Thief Gold Twinblades</t>
  </si>
  <si>
    <t>Gold Poison Twinblades</t>
  </si>
  <si>
    <t>Gold Ice Twinblades</t>
  </si>
  <si>
    <t>Gold Water Twinblades</t>
  </si>
  <si>
    <t>Artemis's Dual Blades</t>
  </si>
  <si>
    <t>Fatalis Dual Blades</t>
  </si>
  <si>
    <t>Fatalis Dual Skies</t>
  </si>
  <si>
    <t>Fire Attack</t>
  </si>
  <si>
    <t>Water Attack</t>
  </si>
  <si>
    <t>Thunder Attack</t>
  </si>
  <si>
    <t>Element Attack</t>
  </si>
  <si>
    <t>Percentage</t>
  </si>
  <si>
    <t>Fixed</t>
  </si>
  <si>
    <t>Ice Attack</t>
  </si>
  <si>
    <t>Dragon Attack</t>
  </si>
  <si>
    <t>Raw Percentage</t>
  </si>
  <si>
    <t>Element Percentage</t>
  </si>
  <si>
    <t>Status Percentage</t>
  </si>
  <si>
    <t>Head</t>
  </si>
  <si>
    <t>Chest</t>
  </si>
  <si>
    <t>Arms</t>
  </si>
  <si>
    <t>Legs</t>
  </si>
  <si>
    <t>Display Damage</t>
  </si>
  <si>
    <t>Affinity Sliding</t>
  </si>
  <si>
    <t>Set Bonus Skills</t>
  </si>
  <si>
    <t>Skills</t>
  </si>
  <si>
    <t>Weakness Exploit</t>
  </si>
  <si>
    <t>Bonus</t>
  </si>
  <si>
    <t>Raw Critical</t>
  </si>
  <si>
    <t>Critical Element</t>
  </si>
  <si>
    <t>Great Jagras</t>
  </si>
  <si>
    <t>Helper</t>
  </si>
  <si>
    <t>Kulu-Ya-Ku</t>
  </si>
  <si>
    <t>Pukei-Pukei</t>
  </si>
  <si>
    <t>Barroth</t>
  </si>
  <si>
    <t>Jyuratodus</t>
  </si>
  <si>
    <t>Tobi-Kadachi</t>
  </si>
  <si>
    <t>Anjanath</t>
  </si>
  <si>
    <t>Rathian</t>
  </si>
  <si>
    <t>Tzitzi-Ya-Ku</t>
  </si>
  <si>
    <t>Paolumu</t>
  </si>
  <si>
    <t>Great Girros</t>
  </si>
  <si>
    <t>Radobaan</t>
  </si>
  <si>
    <t>Legiana</t>
  </si>
  <si>
    <t>Neck</t>
  </si>
  <si>
    <t>Body</t>
  </si>
  <si>
    <t>Back</t>
  </si>
  <si>
    <t>Forelegs</t>
  </si>
  <si>
    <t>Hindlegs</t>
  </si>
  <si>
    <t>Tail</t>
  </si>
  <si>
    <t>Stomach (Inflated)</t>
  </si>
  <si>
    <t>Forearms</t>
  </si>
  <si>
    <t>Rock</t>
  </si>
  <si>
    <t>Monster Hitzones</t>
  </si>
  <si>
    <t>Monster's Name</t>
  </si>
  <si>
    <t>Average</t>
  </si>
  <si>
    <t>Raw Resistance</t>
  </si>
  <si>
    <t>Element Resistance</t>
  </si>
  <si>
    <t>Primer</t>
  </si>
  <si>
    <t>Selected Element</t>
  </si>
  <si>
    <t>Primer?</t>
  </si>
  <si>
    <t>Powercharm</t>
  </si>
  <si>
    <t>Element Multipliers</t>
  </si>
  <si>
    <t>Tongue</t>
  </si>
  <si>
    <t>Wings</t>
  </si>
  <si>
    <t>Secondary</t>
  </si>
  <si>
    <t>Head (Mud)</t>
  </si>
  <si>
    <t>Body (Mud)</t>
  </si>
  <si>
    <t>Arms (Mud)</t>
  </si>
  <si>
    <t>Legs (Mud)</t>
  </si>
  <si>
    <t>Tail (Mud)</t>
  </si>
  <si>
    <t>Fin</t>
  </si>
  <si>
    <t>Nose</t>
  </si>
  <si>
    <t>Legs (Wounded)</t>
  </si>
  <si>
    <t>Tail (Wounded)</t>
  </si>
  <si>
    <t>Antennae</t>
  </si>
  <si>
    <t>Neck Pouch</t>
  </si>
  <si>
    <t>Head Bone</t>
  </si>
  <si>
    <t>Hindleg Bones</t>
  </si>
  <si>
    <t>Odogaron</t>
  </si>
  <si>
    <t>Rathalos</t>
  </si>
  <si>
    <t>Diablos</t>
  </si>
  <si>
    <t>Horns</t>
  </si>
  <si>
    <t>Stomach</t>
  </si>
  <si>
    <t>Tail Tip</t>
  </si>
  <si>
    <t>Hitcount</t>
  </si>
  <si>
    <t>Critical Status</t>
  </si>
  <si>
    <t>Effective Status</t>
  </si>
  <si>
    <t>Blast Status</t>
  </si>
  <si>
    <t>True Effective Poison</t>
  </si>
  <si>
    <t>Hitzone</t>
  </si>
  <si>
    <t>Blast Threshold Check</t>
  </si>
  <si>
    <t>Wound</t>
  </si>
  <si>
    <t>Fixed Status</t>
  </si>
  <si>
    <t>Status Attack</t>
  </si>
  <si>
    <t>Poison Attack</t>
  </si>
  <si>
    <t>Blast Attack</t>
  </si>
  <si>
    <t>Status Multipliers</t>
  </si>
  <si>
    <t>True Status</t>
  </si>
  <si>
    <t>True Raw</t>
  </si>
  <si>
    <t>Wrath &amp; Rancor</t>
  </si>
  <si>
    <t>Powertalon</t>
  </si>
  <si>
    <t>Display Status</t>
  </si>
  <si>
    <t>Fun Facts</t>
  </si>
  <si>
    <t>Evaluations (Uses Primer Hitzone)</t>
  </si>
  <si>
    <t>Non-elemental Boost</t>
  </si>
  <si>
    <t>Raw Multipliers</t>
  </si>
  <si>
    <t>Agitator</t>
  </si>
  <si>
    <t>Master's Touch</t>
  </si>
  <si>
    <t>Latent Power</t>
  </si>
  <si>
    <t>Base Affinity</t>
  </si>
  <si>
    <t>Monster State</t>
  </si>
  <si>
    <t>Hunter Rank</t>
  </si>
  <si>
    <t>Enraged</t>
  </si>
  <si>
    <t>Capture?</t>
  </si>
  <si>
    <t>Cart Monster</t>
  </si>
  <si>
    <t>Monster States</t>
  </si>
  <si>
    <t>Threshold</t>
  </si>
  <si>
    <t>Rage Multiplier Average</t>
  </si>
  <si>
    <t>Kirin</t>
  </si>
  <si>
    <t>Zorah Magdaros</t>
  </si>
  <si>
    <t>Dodogama</t>
  </si>
  <si>
    <t>Pink Rathian</t>
  </si>
  <si>
    <t>Bazelgeuse</t>
  </si>
  <si>
    <t>Deviljho</t>
  </si>
  <si>
    <t>Lavasioth</t>
  </si>
  <si>
    <t>Uragaan</t>
  </si>
  <si>
    <t>Azure Rathalos</t>
  </si>
  <si>
    <t>Black Diablos</t>
  </si>
  <si>
    <t>Nergigante</t>
  </si>
  <si>
    <t>Teostra</t>
  </si>
  <si>
    <t>Kushala Daora</t>
  </si>
  <si>
    <t>Vaal Hazak</t>
  </si>
  <si>
    <t>Leshen</t>
  </si>
  <si>
    <t>F</t>
  </si>
  <si>
    <t>Monster Health</t>
  </si>
  <si>
    <t>Theoretical Average (60/20)</t>
  </si>
  <si>
    <t>Back Bone</t>
  </si>
  <si>
    <t>Bludgeoner</t>
  </si>
  <si>
    <t>Body (Electricity)</t>
  </si>
  <si>
    <t>Lower Body</t>
  </si>
  <si>
    <t>Lower Body (Electricity)</t>
  </si>
  <si>
    <t>Shell</t>
  </si>
  <si>
    <t>Weak Shells</t>
  </si>
  <si>
    <t>Chest Broken</t>
  </si>
  <si>
    <t>Magma Core</t>
  </si>
  <si>
    <t>Head (Rock 1)</t>
  </si>
  <si>
    <t>Neck (Rock 1)</t>
  </si>
  <si>
    <t>Head (Rock 2)</t>
  </si>
  <si>
    <t>Neck (Rock 2)</t>
  </si>
  <si>
    <t>Weapon Rarity</t>
  </si>
  <si>
    <t>Tenderized Zones</t>
  </si>
  <si>
    <t>Head (Enraged)</t>
  </si>
  <si>
    <t>Body (Enraged)</t>
  </si>
  <si>
    <t>Chest (Enraged)</t>
  </si>
  <si>
    <t>Lower Body (Enraged)</t>
  </si>
  <si>
    <t>Arms (Enraged)</t>
  </si>
  <si>
    <t>Legs (Enraged)</t>
  </si>
  <si>
    <t>Tail (Enraged)</t>
  </si>
  <si>
    <t>Head (Magma Armor)</t>
  </si>
  <si>
    <t>Back (Magma Armor)</t>
  </si>
  <si>
    <t>Fins</t>
  </si>
  <si>
    <t>Legs (Magma Armor)</t>
  </si>
  <si>
    <t>Tail (Magma Armor)</t>
  </si>
  <si>
    <t>Head (Wounded)</t>
  </si>
  <si>
    <t>Back (Wounded)</t>
  </si>
  <si>
    <t>Head (Heated)</t>
  </si>
  <si>
    <t>Back (Heated)</t>
  </si>
  <si>
    <t>Legs (Heated)</t>
  </si>
  <si>
    <t>Tail (Heated)</t>
  </si>
  <si>
    <t>Jaw</t>
  </si>
  <si>
    <t>Jaw (Wounded)</t>
  </si>
  <si>
    <t>Upper Neck</t>
  </si>
  <si>
    <t>Lower Neck</t>
  </si>
  <si>
    <t>Tail (Top)</t>
  </si>
  <si>
    <t>Tail (Bottom)</t>
  </si>
  <si>
    <t>Horn</t>
  </si>
  <si>
    <t>Horn (Wounded)</t>
  </si>
  <si>
    <t>Head (White)</t>
  </si>
  <si>
    <t>Head (Black)</t>
  </si>
  <si>
    <t>Forearms (White)</t>
  </si>
  <si>
    <t>Forearms (Black)</t>
  </si>
  <si>
    <t>Tail Tip (White)</t>
  </si>
  <si>
    <t>Tail Tip (Black)</t>
  </si>
  <si>
    <t>Wings (White)</t>
  </si>
  <si>
    <t>Wings (Black)</t>
  </si>
  <si>
    <t>Lunastra</t>
  </si>
  <si>
    <t>Xeno'jiiva</t>
  </si>
  <si>
    <t>G</t>
  </si>
  <si>
    <t>Primer Hitzone</t>
  </si>
  <si>
    <t>Stomach (Wounded)</t>
  </si>
  <si>
    <t>Forelegs (Wounded)</t>
  </si>
  <si>
    <t>discrepancy</t>
  </si>
  <si>
    <t>Wings (Wounded)</t>
  </si>
  <si>
    <t>Head (Critical State)</t>
  </si>
  <si>
    <t>Neck (Critical State)</t>
  </si>
  <si>
    <t>Body (Critical State)</t>
  </si>
  <si>
    <t>Chest (Critical State)</t>
  </si>
  <si>
    <t>Forelegs (Critical State)</t>
  </si>
  <si>
    <t>Hindlegs (Critical State)</t>
  </si>
  <si>
    <t>Wings (Critical State)</t>
  </si>
  <si>
    <t>Tail (Critical State)</t>
  </si>
  <si>
    <t>Tail Tip (Critical State)</t>
  </si>
  <si>
    <t>Free Elem/Ammo Up</t>
  </si>
  <si>
    <t>Critical Element/Status</t>
  </si>
  <si>
    <t>Kjárr Critical Element</t>
  </si>
  <si>
    <t>Kjárr Critical Status</t>
  </si>
  <si>
    <t>Free Element</t>
  </si>
  <si>
    <t>Element/Status Lock</t>
  </si>
  <si>
    <t>True Element</t>
  </si>
  <si>
    <t>Augmentation 1</t>
  </si>
  <si>
    <t>Augmentation 3</t>
  </si>
  <si>
    <t>Augmentation 2</t>
  </si>
  <si>
    <t>Attack Increase</t>
  </si>
  <si>
    <t>Affinity Increase</t>
  </si>
  <si>
    <t>Augments</t>
  </si>
  <si>
    <t>Augmentation Slots</t>
  </si>
  <si>
    <t>Affinity Check</t>
  </si>
  <si>
    <t>Guts</t>
  </si>
  <si>
    <t>Hasten Recovery</t>
  </si>
  <si>
    <t>Razor Sharp/Spare Shot</t>
  </si>
  <si>
    <t>Slots</t>
  </si>
  <si>
    <t>Slot Values</t>
  </si>
  <si>
    <t>Level 1 Decoration</t>
  </si>
  <si>
    <t>Level 4 Decoration</t>
  </si>
  <si>
    <t>Level 3 Decoration</t>
  </si>
  <si>
    <t>Level 2 Decoration</t>
  </si>
  <si>
    <t>Level 4 Check</t>
  </si>
  <si>
    <t>Level 3 Check</t>
  </si>
  <si>
    <t>Level 2 Check</t>
  </si>
  <si>
    <t>Level 1 Check</t>
  </si>
  <si>
    <t>Slot Increase</t>
  </si>
  <si>
    <t>Affixes</t>
  </si>
  <si>
    <t>Resentment</t>
  </si>
  <si>
    <t>Maximum Might</t>
  </si>
  <si>
    <t>Peak Performance</t>
  </si>
  <si>
    <t>Razor Sharp</t>
  </si>
  <si>
    <t>Kulve Taroth</t>
  </si>
  <si>
    <t>Ancient Leshen</t>
  </si>
  <si>
    <t>Behemoth</t>
  </si>
  <si>
    <t>Head (Released)</t>
  </si>
  <si>
    <t>Head (Molten)</t>
  </si>
  <si>
    <t>Forelegs (Released)</t>
  </si>
  <si>
    <t>Forelegs (Molten)</t>
  </si>
  <si>
    <t>Body (Molten)</t>
  </si>
  <si>
    <t>Body (Released)</t>
  </si>
  <si>
    <t>Tail (Released)</t>
  </si>
  <si>
    <t>Tail (Molten)</t>
  </si>
  <si>
    <t>H</t>
  </si>
  <si>
    <t>Horns (Wounded)</t>
  </si>
  <si>
    <t>Shoulders</t>
  </si>
  <si>
    <t>I</t>
  </si>
  <si>
    <t>J</t>
  </si>
  <si>
    <t>Master's Touch W/O WEX</t>
  </si>
  <si>
    <t>Master's Touch W/ WEX</t>
  </si>
  <si>
    <t>Monster Name</t>
  </si>
  <si>
    <t>Augmentation (Rarity 6-8 Weapons-only)</t>
  </si>
  <si>
    <t>Super Effective</t>
  </si>
  <si>
    <t>Radobaan &amp; Uragaan</t>
  </si>
  <si>
    <t>Immune</t>
  </si>
  <si>
    <t>Resistant</t>
  </si>
  <si>
    <t>Regular</t>
  </si>
  <si>
    <t>Super Resistant</t>
  </si>
  <si>
    <t>Protective Polish</t>
  </si>
  <si>
    <t>Beotodus</t>
  </si>
  <si>
    <t>Banbaro</t>
  </si>
  <si>
    <t>Barioth</t>
  </si>
  <si>
    <t>Viper Tobi-Kadachi</t>
  </si>
  <si>
    <t>Nightshade Paolumu</t>
  </si>
  <si>
    <t>Coral Pukei-Pukei</t>
  </si>
  <si>
    <t>Head (Snow)</t>
  </si>
  <si>
    <t>Body (Snow)</t>
  </si>
  <si>
    <t>Tail (Snow)</t>
  </si>
  <si>
    <t>Torso</t>
  </si>
  <si>
    <t>Horns (Broken)</t>
  </si>
  <si>
    <t>Hindlegs (Broken)</t>
  </si>
  <si>
    <t>Claws</t>
  </si>
  <si>
    <t>Claws (Broken)</t>
  </si>
  <si>
    <t>Latent Power (theoretical)</t>
  </si>
  <si>
    <t>Element Acceleration</t>
  </si>
  <si>
    <t>Poison Duration Up</t>
  </si>
  <si>
    <t>Coalescence</t>
  </si>
  <si>
    <t>Check</t>
  </si>
  <si>
    <t>Multiplier</t>
  </si>
  <si>
    <t>Element</t>
  </si>
  <si>
    <t>Nargacuga</t>
  </si>
  <si>
    <t>Glavenus</t>
  </si>
  <si>
    <t>Tigrex</t>
  </si>
  <si>
    <t>Brachydios</t>
  </si>
  <si>
    <t>Velkhana</t>
  </si>
  <si>
    <t>Forelegs (Broken)</t>
  </si>
  <si>
    <t>Throat</t>
  </si>
  <si>
    <t>Tail (Rust)</t>
  </si>
  <si>
    <t>Tail Base</t>
  </si>
  <si>
    <t>Head (Broken)</t>
  </si>
  <si>
    <t>Neck (Broken)</t>
  </si>
  <si>
    <t>Wings (Broken)</t>
  </si>
  <si>
    <t>Tail (Broken)</t>
  </si>
  <si>
    <t>Shrieking Legiana</t>
  </si>
  <si>
    <t>K</t>
  </si>
  <si>
    <t>Leg</t>
  </si>
  <si>
    <t>Fulgur Anjanath</t>
  </si>
  <si>
    <t>Acidic Glavenus</t>
  </si>
  <si>
    <t>Ebony Odogaron</t>
  </si>
  <si>
    <t>Leg (Broken)</t>
  </si>
  <si>
    <t>Nose (Charged)</t>
  </si>
  <si>
    <t>Head (Charged)</t>
  </si>
  <si>
    <t>Neck (Charged)</t>
  </si>
  <si>
    <t>Wings (Charged)</t>
  </si>
  <si>
    <t>Torso (Charged)</t>
  </si>
  <si>
    <t>Leg (Charged)</t>
  </si>
  <si>
    <t>Tail (Charged)</t>
  </si>
  <si>
    <t>Tail (Crystalized)</t>
  </si>
  <si>
    <t>Tail (Sharpened)</t>
  </si>
  <si>
    <t>Frostcraft</t>
  </si>
  <si>
    <t>Seething Bazelgeuse</t>
  </si>
  <si>
    <t>Blackveil Vaal Hazak</t>
  </si>
  <si>
    <t>Namielle</t>
  </si>
  <si>
    <t>Savage Deviljho</t>
  </si>
  <si>
    <t>Shara Ishvalda</t>
  </si>
  <si>
    <t>Ruiner Nergigante</t>
  </si>
  <si>
    <t>Stomach (Broken)</t>
  </si>
  <si>
    <t>Back (Broken)</t>
  </si>
  <si>
    <t>Spore Sac</t>
  </si>
  <si>
    <t>Spore Sac (Tail)</t>
  </si>
  <si>
    <t>Chest (Broken)</t>
  </si>
  <si>
    <t>Rock Head Casing (Face)</t>
  </si>
  <si>
    <t>Rock Head Casing (Top)</t>
  </si>
  <si>
    <t>Rock Head Casing (Bottom)</t>
  </si>
  <si>
    <t>Rock Forelegs</t>
  </si>
  <si>
    <t>Rock Forelegs (Broken)</t>
  </si>
  <si>
    <t>Rock Hindlegs</t>
  </si>
  <si>
    <t>Rock Wings</t>
  </si>
  <si>
    <t>Rock Wings (Broken)</t>
  </si>
  <si>
    <t>Head (Dehydrated)</t>
  </si>
  <si>
    <t>Neck (Dehydrated)</t>
  </si>
  <si>
    <t>Stomach (Dehydrated)</t>
  </si>
  <si>
    <t>Back (Dehydrated)</t>
  </si>
  <si>
    <t>Forelegs (Dehydrated)</t>
  </si>
  <si>
    <t>Hindlegs (Dehydrated)</t>
  </si>
  <si>
    <t>Wings (Dehydrated)</t>
  </si>
  <si>
    <t>Tail (Dehydrated)</t>
  </si>
  <si>
    <t>Head (Wet)</t>
  </si>
  <si>
    <t>Neck (Wet)</t>
  </si>
  <si>
    <t>Stomach (Wet)</t>
  </si>
  <si>
    <t>Back (Wet)</t>
  </si>
  <si>
    <t>Forelegs (Wet)</t>
  </si>
  <si>
    <t>Hindlegs (Wet)</t>
  </si>
  <si>
    <t>Wings (Wet)</t>
  </si>
  <si>
    <t>Tail (Wet)</t>
  </si>
  <si>
    <t>L</t>
  </si>
  <si>
    <t>M</t>
  </si>
  <si>
    <t>Rock Tail</t>
  </si>
  <si>
    <t>Saved Info</t>
  </si>
  <si>
    <t>Augmentation (Rarity 10-12 Weapons-only)</t>
  </si>
  <si>
    <t>Augmentation 4</t>
  </si>
  <si>
    <t>Augmentation 5</t>
  </si>
  <si>
    <t>Custom</t>
  </si>
  <si>
    <t>Element/Status Effect Up</t>
  </si>
  <si>
    <t>Augmentation (10-12)</t>
  </si>
  <si>
    <t>Augmentation (6-8)</t>
  </si>
  <si>
    <t>Decoration Slots Possible</t>
  </si>
  <si>
    <t>Attack Check</t>
  </si>
  <si>
    <t>Augmentation Addition</t>
  </si>
  <si>
    <t>Element/Status Effect Up Check</t>
  </si>
  <si>
    <t>End</t>
  </si>
  <si>
    <t>Slot Check</t>
  </si>
  <si>
    <t>Custom Augmentation</t>
  </si>
  <si>
    <t>Custom Upgrades (Customizable Weapons-only)</t>
  </si>
  <si>
    <t>Augmentation 6</t>
  </si>
  <si>
    <t>Augmentation 7</t>
  </si>
  <si>
    <t>Sharpness</t>
  </si>
  <si>
    <t>BUDGET CHECK</t>
  </si>
  <si>
    <t>Budget Check</t>
  </si>
  <si>
    <t>Slot Count</t>
  </si>
  <si>
    <t>Slot Budget</t>
  </si>
  <si>
    <t>Attack/Affinity/Element/Status Budget</t>
  </si>
  <si>
    <t>Total Budget</t>
  </si>
  <si>
    <t>N/A</t>
  </si>
  <si>
    <t>In-between Check</t>
  </si>
  <si>
    <t>Post In-between Threshold</t>
  </si>
  <si>
    <t>Pre In-between Threshold</t>
  </si>
  <si>
    <t>Max In-between Threshold</t>
  </si>
  <si>
    <t>In-between Value</t>
  </si>
  <si>
    <t>Handicraft Check</t>
  </si>
  <si>
    <t>Handicraft In-Between Value Check</t>
  </si>
  <si>
    <t>Allowed Budget</t>
  </si>
  <si>
    <t>Airborne</t>
  </si>
  <si>
    <t>Elemental Airborne</t>
  </si>
  <si>
    <t>Special Ammo Boost</t>
  </si>
  <si>
    <t>Normal Shots</t>
  </si>
  <si>
    <t>Artillery</t>
  </si>
  <si>
    <t>Piercing Shots</t>
  </si>
  <si>
    <t>Spread/Power Shots</t>
  </si>
  <si>
    <t>Felyne Booster</t>
  </si>
  <si>
    <t>Felyne Bombardier</t>
  </si>
  <si>
    <t>Heroics</t>
  </si>
  <si>
    <t>Felyne Temper</t>
  </si>
  <si>
    <t>Offensive Guard</t>
  </si>
  <si>
    <t>Felyne Heroics</t>
  </si>
  <si>
    <t>Affinity Booster</t>
  </si>
  <si>
    <t>Apothecary Mantle</t>
  </si>
  <si>
    <t>Felyne Sharpshooter</t>
  </si>
  <si>
    <t>Felyne Specialist</t>
  </si>
  <si>
    <t>Element Airborne</t>
  </si>
  <si>
    <t>Pierce Shots</t>
  </si>
  <si>
    <t>Bullet Type</t>
  </si>
  <si>
    <t>Fixed Special/Power</t>
  </si>
  <si>
    <t>Fixed Normal</t>
  </si>
  <si>
    <t>Fixed Pierce</t>
  </si>
  <si>
    <t>Fixed Spread</t>
  </si>
  <si>
    <t>Effective Normal</t>
  </si>
  <si>
    <t>Effective Pierce</t>
  </si>
  <si>
    <t>Effective Special/Power</t>
  </si>
  <si>
    <t>Effective Spread</t>
  </si>
  <si>
    <t>Display Bullet</t>
  </si>
  <si>
    <t>Critical</t>
  </si>
  <si>
    <t>Fixed Other</t>
  </si>
  <si>
    <t>Effective Other</t>
  </si>
  <si>
    <t>Bullet Element/Status Check</t>
  </si>
  <si>
    <t>Airborne/Elemental Airborne</t>
  </si>
  <si>
    <t>Felyne Heroics/Heroics</t>
  </si>
  <si>
    <t>Bowgun Element/Status</t>
  </si>
  <si>
    <t>Element Effect Up Check</t>
  </si>
  <si>
    <t>Status Effect Up Check</t>
  </si>
  <si>
    <t>Bowgun Total Status Multiplier</t>
  </si>
  <si>
    <t>Bowgun Check</t>
  </si>
  <si>
    <t>Critical Projectile Check</t>
  </si>
  <si>
    <t>Health Regen Check</t>
  </si>
  <si>
    <t>Defense Increase Check</t>
  </si>
  <si>
    <t>Custom Upgrades</t>
  </si>
  <si>
    <t>Zinogre</t>
  </si>
  <si>
    <t>Yian Garuga</t>
  </si>
  <si>
    <t>Scarred Yian Garuga</t>
  </si>
  <si>
    <t>Brute Tigrex</t>
  </si>
  <si>
    <t>Gold Rathian</t>
  </si>
  <si>
    <t>Silver Rathalos</t>
  </si>
  <si>
    <t>Rajang</t>
  </si>
  <si>
    <t>Stygian Zinogre</t>
  </si>
  <si>
    <t>Safi'jiiva</t>
  </si>
  <si>
    <t>Furious Rajang</t>
  </si>
  <si>
    <t>Raging Brachydios</t>
  </si>
  <si>
    <t>Frostfang Barioth</t>
  </si>
  <si>
    <t>Back (Charged)</t>
  </si>
  <si>
    <t>Forelegs (Charged)</t>
  </si>
  <si>
    <t>Hindlegs (Charged)</t>
  </si>
  <si>
    <t>Alatreon</t>
  </si>
  <si>
    <t>Forelegs (Hardened)</t>
  </si>
  <si>
    <t>Tail (Hardened)</t>
  </si>
  <si>
    <t>Head (Critical)</t>
  </si>
  <si>
    <t>Head (Broken &amp; Critical)</t>
  </si>
  <si>
    <t>Snout</t>
  </si>
  <si>
    <t>Snout (Broken)</t>
  </si>
  <si>
    <t>Snout (Critical)</t>
  </si>
  <si>
    <t>Snout (Broken &amp; Critical)</t>
  </si>
  <si>
    <t>Neck (Critical)</t>
  </si>
  <si>
    <t>Body (Critical)</t>
  </si>
  <si>
    <t>Chest (Critical)</t>
  </si>
  <si>
    <t>Back (Critical)</t>
  </si>
  <si>
    <t>Forelegs (Critical)</t>
  </si>
  <si>
    <t>Forefeet</t>
  </si>
  <si>
    <t>Forefeet (Critical)</t>
  </si>
  <si>
    <t>Forefeet (Broken)</t>
  </si>
  <si>
    <t>Hindlegs (Critical)</t>
  </si>
  <si>
    <t>Hindfeet</t>
  </si>
  <si>
    <t>Hindfeet (Broken)</t>
  </si>
  <si>
    <t>Hindfeet (Critical)</t>
  </si>
  <si>
    <t>Wings (Critical)</t>
  </si>
  <si>
    <t>Wing Webbings</t>
  </si>
  <si>
    <t>Wing Webbings (Broken)</t>
  </si>
  <si>
    <t>Wing Webbings (Critical)</t>
  </si>
  <si>
    <t>Wing Tips</t>
  </si>
  <si>
    <t>Wing Tips (Broken)</t>
  </si>
  <si>
    <t>Wing Tips (Critical)</t>
  </si>
  <si>
    <t>Tail (Critical)</t>
  </si>
  <si>
    <t>Tail Tip (Broken)</t>
  </si>
  <si>
    <t>Tail Tip (Critical)</t>
  </si>
  <si>
    <t>guessed</t>
  </si>
  <si>
    <t>N</t>
  </si>
  <si>
    <t>Fatalis</t>
  </si>
  <si>
    <t>Forelegs (Furious)</t>
  </si>
  <si>
    <t>Tail (Furious)</t>
  </si>
  <si>
    <t>Head (Furious)</t>
  </si>
  <si>
    <t>Horn (Flashpoint Slime)</t>
  </si>
  <si>
    <t>Tail Tip (Flashpoint Slime)</t>
  </si>
  <si>
    <t>Arms (Flashpoint Slime)</t>
  </si>
  <si>
    <t>Head (Fire)</t>
  </si>
  <si>
    <t>Neck (Fire)</t>
  </si>
  <si>
    <t>Body (Fire)</t>
  </si>
  <si>
    <t>Wings (Fire)</t>
  </si>
  <si>
    <t>Tail (Fire)</t>
  </si>
  <si>
    <t>Head (Ice)</t>
  </si>
  <si>
    <t>Neck (Ice)</t>
  </si>
  <si>
    <t>Body (Ice)</t>
  </si>
  <si>
    <t>Wings (Ice)</t>
  </si>
  <si>
    <t>Tail (Ice)</t>
  </si>
  <si>
    <t>Head (Dragon)</t>
  </si>
  <si>
    <t>Neck (Dragon)</t>
  </si>
  <si>
    <t>Body (Dragon)</t>
  </si>
  <si>
    <t>Wings (Dragon)</t>
  </si>
  <si>
    <t>Tail (Dragon)</t>
  </si>
  <si>
    <t>Head (No Element)</t>
  </si>
  <si>
    <t>Neck (No Element)</t>
  </si>
  <si>
    <t>Body (No Element)</t>
  </si>
  <si>
    <t>Wings (No Element)</t>
  </si>
  <si>
    <t>Tail (No Element)</t>
  </si>
  <si>
    <t>Forelegs (Fire)</t>
  </si>
  <si>
    <t>Forelegs (Ice)</t>
  </si>
  <si>
    <t>Forelegs (Dragon)</t>
  </si>
  <si>
    <t>Forelegs (No Element)</t>
  </si>
  <si>
    <t>Hindlegs (Fire)</t>
  </si>
  <si>
    <t>Hindlegs (Ice)</t>
  </si>
  <si>
    <t>Hindlegs (Dragon)</t>
  </si>
  <si>
    <t>Hindlegs (No Element)</t>
  </si>
  <si>
    <t>P</t>
  </si>
  <si>
    <t>Upgrade 1</t>
  </si>
  <si>
    <t>Upgrade 2</t>
  </si>
  <si>
    <t>Upgrade 3</t>
  </si>
  <si>
    <t>Upgrade 4</t>
  </si>
  <si>
    <t>Upgrade 5</t>
  </si>
  <si>
    <t>Upgrade 6</t>
  </si>
  <si>
    <t>Upgrade 7</t>
  </si>
  <si>
    <t>Awakened Ability 1</t>
  </si>
  <si>
    <t>Awakened Ability 2</t>
  </si>
  <si>
    <t>Awakened Ability 3</t>
  </si>
  <si>
    <t>Awakened Ability 4</t>
  </si>
  <si>
    <t>Awakened Ability 5</t>
  </si>
  <si>
    <t>Awakened Abilities (Safi'jiiva Weapons-only)</t>
  </si>
  <si>
    <t>Attack Increase I</t>
  </si>
  <si>
    <t>Attack Increase II</t>
  </si>
  <si>
    <t>Attack Increase VI</t>
  </si>
  <si>
    <t>Attack Increase IV</t>
  </si>
  <si>
    <t>Attack Increase III</t>
  </si>
  <si>
    <t>Attack Increase V</t>
  </si>
  <si>
    <t>Affinity Increase VI</t>
  </si>
  <si>
    <t>Affinity Increase V</t>
  </si>
  <si>
    <t>Affinity Increase IV</t>
  </si>
  <si>
    <t>Affinity Increase III</t>
  </si>
  <si>
    <t>Affinity Increase II</t>
  </si>
  <si>
    <t>Affinity Increase I</t>
  </si>
  <si>
    <t>Element Up</t>
  </si>
  <si>
    <t>Sharpness Increase</t>
  </si>
  <si>
    <t>Slot Upgrade</t>
  </si>
  <si>
    <t>Status Effect Up</t>
  </si>
  <si>
    <t>Element Up VI</t>
  </si>
  <si>
    <t>Element Up V</t>
  </si>
  <si>
    <t>Element Up I</t>
  </si>
  <si>
    <t>Element Up II</t>
  </si>
  <si>
    <t>Element Up III</t>
  </si>
  <si>
    <t>Element Up IV</t>
  </si>
  <si>
    <t>Sharpness Increase I</t>
  </si>
  <si>
    <t>Sharpness Increase II</t>
  </si>
  <si>
    <t>Sharpness Increase III</t>
  </si>
  <si>
    <t>Sharpness Increase IV</t>
  </si>
  <si>
    <t>Sharpness Increase V</t>
  </si>
  <si>
    <t>Sharpness Increase VI</t>
  </si>
  <si>
    <t>Status Effect Up I</t>
  </si>
  <si>
    <t>Status Effect Up II</t>
  </si>
  <si>
    <t>Status Effect Up III</t>
  </si>
  <si>
    <t>Status Effect Up IV</t>
  </si>
  <si>
    <t>Status Effect Up V</t>
  </si>
  <si>
    <t>Status Effect Up VI</t>
  </si>
  <si>
    <t>Slot Upgrade I</t>
  </si>
  <si>
    <t>Slot Upgrade II</t>
  </si>
  <si>
    <t>Slot Upgrade III</t>
  </si>
  <si>
    <t>Slot Upgrade IV</t>
  </si>
  <si>
    <t>Safi</t>
  </si>
  <si>
    <t>Awakened Abilities</t>
  </si>
  <si>
    <t>List</t>
  </si>
  <si>
    <t>Sharpness Increase Check</t>
  </si>
  <si>
    <t>Element Up Check</t>
  </si>
  <si>
    <t>Affinity Increase Check</t>
  </si>
  <si>
    <t>Attack Increase Check</t>
  </si>
  <si>
    <t>Dragonvein Awakening</t>
  </si>
  <si>
    <t>Enrage Uptime</t>
  </si>
  <si>
    <t>Gold Water Twinblades Lv5</t>
  </si>
  <si>
    <t>Gold Ice Twinblades Lv5</t>
  </si>
  <si>
    <t>Gold Poison Twinblades Lv5</t>
  </si>
  <si>
    <t>Thief Gold Twinblades Lv5</t>
  </si>
  <si>
    <t>Mire Gold Twinblades Lv5</t>
  </si>
  <si>
    <t>Spark Gold Twinblades Lv5</t>
  </si>
  <si>
    <t>Rage Gold Twinblades Lv5</t>
  </si>
  <si>
    <t>Lurk Gold Twinblades Lv5</t>
  </si>
  <si>
    <t>Flash Gold Twinblades Lv5</t>
  </si>
  <si>
    <t>Claw Gold Twinblades Lv5</t>
  </si>
  <si>
    <t>Horn Gold Twinblades Lv5</t>
  </si>
  <si>
    <t>Erupter Gold Twinblades Lv5</t>
  </si>
  <si>
    <t>Magma Gold Twinblades Lv5</t>
  </si>
  <si>
    <t>Taroth Daggers "Erupter" Lv5</t>
  </si>
  <si>
    <t>Taroth Daggers "Thief" Lv5</t>
  </si>
  <si>
    <t>Taroth Daggers "Mire" Lv5</t>
  </si>
  <si>
    <t>Taroth Daggers "Spark" Lv5</t>
  </si>
  <si>
    <t>Taroth Daggers "Rage" Lv5</t>
  </si>
  <si>
    <t>Taroth Daggers "Lurk" Lv5</t>
  </si>
  <si>
    <t>Taroth Daggers "Flash" Lv5</t>
  </si>
  <si>
    <t>Taroth Daggers "Claw" Lv5</t>
  </si>
  <si>
    <t>Taroth Daggers "Horn" Lv5</t>
  </si>
  <si>
    <t>Taroth Daggers "Magma" Lv5</t>
  </si>
  <si>
    <t>Taroth Daggers "Water" Lv5</t>
  </si>
  <si>
    <t>Taroth Daggers "Ice" Lv5</t>
  </si>
  <si>
    <t>Taroth Daggers "Poison" Lv5</t>
  </si>
  <si>
    <t>Taroth Daggers "Fire" Lv5</t>
  </si>
  <si>
    <t>Kjárr Daggers "Spark" Lv5</t>
  </si>
  <si>
    <t>Kjárr Daggers "Rage" Lv5</t>
  </si>
  <si>
    <t>Kjárr Daggers "Magma" Lv5</t>
  </si>
  <si>
    <t>Kjárr Daggers "Lurk" Lv5</t>
  </si>
  <si>
    <t>Kjárr Daggers "Water" Lv5</t>
  </si>
  <si>
    <t>Kjárr Daggers "Ice" Lv5</t>
  </si>
  <si>
    <t>Kjárr Daggers "Dragon" Lv5</t>
  </si>
  <si>
    <t>Element Resistance Total</t>
  </si>
  <si>
    <t>Element Conversion</t>
  </si>
  <si>
    <t>Combo 1</t>
  </si>
  <si>
    <t>Combo 10</t>
  </si>
  <si>
    <t>Combo 2</t>
  </si>
  <si>
    <t>Combo 3</t>
  </si>
  <si>
    <t>Combo 4</t>
  </si>
  <si>
    <t>Combo 5</t>
  </si>
  <si>
    <t>Combo 6</t>
  </si>
  <si>
    <t>Combo 7</t>
  </si>
  <si>
    <t>Combo 8</t>
  </si>
  <si>
    <t>Combo 9</t>
  </si>
  <si>
    <t>Combo Name</t>
  </si>
  <si>
    <t>Combo List</t>
  </si>
  <si>
    <t>Move 1</t>
  </si>
  <si>
    <t>Move 2</t>
  </si>
  <si>
    <t>Move 3</t>
  </si>
  <si>
    <t>Move 4</t>
  </si>
  <si>
    <t>Move 5</t>
  </si>
  <si>
    <t>Move 6</t>
  </si>
  <si>
    <t>Move 7</t>
  </si>
  <si>
    <t>Move 8</t>
  </si>
  <si>
    <t>Move 9</t>
  </si>
  <si>
    <t>Move 10</t>
  </si>
  <si>
    <t>Move 11</t>
  </si>
  <si>
    <t>Move 12</t>
  </si>
  <si>
    <t>Move 13</t>
  </si>
  <si>
    <t>Move 14</t>
  </si>
  <si>
    <t>Move 15</t>
  </si>
  <si>
    <t>Move 16</t>
  </si>
  <si>
    <t>Move 17</t>
  </si>
  <si>
    <t>Move 18</t>
  </si>
  <si>
    <t>Move 19</t>
  </si>
  <si>
    <t>Move 20</t>
  </si>
  <si>
    <t>Move 21</t>
  </si>
  <si>
    <t>Move 22</t>
  </si>
  <si>
    <t>Move 23</t>
  </si>
  <si>
    <t>Move 24</t>
  </si>
  <si>
    <t>Move 25</t>
  </si>
  <si>
    <t>Combo</t>
  </si>
  <si>
    <t>Sixfold -&gt; Blade Dance</t>
  </si>
  <si>
    <t>Sixfold Demon Slash</t>
  </si>
  <si>
    <t>Blade Dance</t>
  </si>
  <si>
    <t>Overhead Slash</t>
  </si>
  <si>
    <t>Side Blow</t>
  </si>
  <si>
    <t>Charged Slash Lv1</t>
  </si>
  <si>
    <t>Charged Slash Lv2</t>
  </si>
  <si>
    <t>Charged Slash Lv3</t>
  </si>
  <si>
    <t>Strong Charged Slash Lv1</t>
  </si>
  <si>
    <t>Strong Charged Slash Lv2</t>
  </si>
  <si>
    <t>Strong Charged Slash Lv3</t>
  </si>
  <si>
    <t>Strong Wide Slash Lv1</t>
  </si>
  <si>
    <t>Strong Wide Slash Lv2</t>
  </si>
  <si>
    <t>Strong Wide Slash Lv3</t>
  </si>
  <si>
    <t>True Charge Slash Lv1 (1st Hit)</t>
  </si>
  <si>
    <t>True Charge Slash Lv2 (1st Hit)</t>
  </si>
  <si>
    <t>True Charge Slash Lv3 (1st Hit)</t>
  </si>
  <si>
    <t>True Charge Slash Lv1 (2nd Hit)</t>
  </si>
  <si>
    <t>True Charge Slash Lv2 (2nd Hit)</t>
  </si>
  <si>
    <t>True Charge Slash Lv3 (2nd Hit)</t>
  </si>
  <si>
    <t>[Power] True Charge Slash Lv1 (2nd Hit)</t>
  </si>
  <si>
    <t>[Power] True Charge Slash Lv2 (2nd Hit)</t>
  </si>
  <si>
    <t>[Power] True Charge Slash Lv3 (2nd Hit)</t>
  </si>
  <si>
    <t>Kick</t>
  </si>
  <si>
    <t>Tackle Lv1</t>
  </si>
  <si>
    <t>Tackle Lv2</t>
  </si>
  <si>
    <t>Tackle Lv3</t>
  </si>
  <si>
    <t>Wide Slash</t>
  </si>
  <si>
    <t>Rising Slash</t>
  </si>
  <si>
    <t>Side Blow (v2)</t>
  </si>
  <si>
    <t>Wide Slash (v2)</t>
  </si>
  <si>
    <t>Rising Slash (v2)</t>
  </si>
  <si>
    <t>Jumping Wide Slash Lv1</t>
  </si>
  <si>
    <t>Jumping Wide Slash Lv2</t>
  </si>
  <si>
    <t>Jumping Wide Slash Lv3</t>
  </si>
  <si>
    <t>Mid-Air Charged Slash Lv1 / Jumping Slash</t>
  </si>
  <si>
    <t>Mid-Air Charged Slash Lv2</t>
  </si>
  <si>
    <t>Mid-Air Charged Slash Lv3</t>
  </si>
  <si>
    <t>Charged Rising Slash Lv1</t>
  </si>
  <si>
    <t>Charged Rising Slash Lv2</t>
  </si>
  <si>
    <t>Charged Rising Slash Lv3</t>
  </si>
  <si>
    <t>Plunging Thrust Lv1</t>
  </si>
  <si>
    <t>Plunging Thrust Lv2</t>
  </si>
  <si>
    <t>Plunging Thrust Lv3</t>
  </si>
  <si>
    <t>[Clutching] Weapon Attack (1st Hit)</t>
  </si>
  <si>
    <t>[Clutching] Weapon Attack (2nd Hit)</t>
  </si>
  <si>
    <t>[Clutching] Weapon Attack (Repeated)</t>
  </si>
  <si>
    <t>[Clutching] Weapon Attack (Final Hit)</t>
  </si>
  <si>
    <t>[Mounting] Charged Slash Lv1 (1st Hit)</t>
  </si>
  <si>
    <t>[Mounting] Charged Slash Lv2 (1st Hit)</t>
  </si>
  <si>
    <t>[Mounting] Charged Slash Lv3 (1st Hit)</t>
  </si>
  <si>
    <t>[Mounting] Charged Slash Lv1 (2nd Hit)</t>
  </si>
  <si>
    <t>[Mounting] Charged Slash Lv2 (2nd Hit)</t>
  </si>
  <si>
    <t>[Mounting] Charged Slash Lv3 (2nd Hit)</t>
  </si>
  <si>
    <t>Step Slash</t>
  </si>
  <si>
    <t>Thrust</t>
  </si>
  <si>
    <t>Fade Slash</t>
  </si>
  <si>
    <t>Lateral Fade Slash</t>
  </si>
  <si>
    <t>Spirit Jumping Slash</t>
  </si>
  <si>
    <t>Spirit Blade I</t>
  </si>
  <si>
    <t>Spirit Blade II</t>
  </si>
  <si>
    <t>Spirit Blade III (1st Hit)</t>
  </si>
  <si>
    <t>Spirit Blade III (2nd Hit)</t>
  </si>
  <si>
    <t>Spirit Blade III (3rd Hit)</t>
  </si>
  <si>
    <t>Spirit Roundslash</t>
  </si>
  <si>
    <t>Foresight Slash</t>
  </si>
  <si>
    <t>Spirit Thrust</t>
  </si>
  <si>
    <t>[White Gauge] Spirit Helm Breaker</t>
  </si>
  <si>
    <t>[Yellow Gauge] Spirit Helm Breaker</t>
  </si>
  <si>
    <t>[Red Gauge] Spirit Helm Breaker</t>
  </si>
  <si>
    <t>Iai Slash (1st Hit)</t>
  </si>
  <si>
    <t>Iai Slash (2nd Hit)</t>
  </si>
  <si>
    <t>[No Gauge] Iai Spirit Slash</t>
  </si>
  <si>
    <t>[White Gauge] Iai Spirit Slash (1st Hit)</t>
  </si>
  <si>
    <t>[White Gauge] Iai Spirit Slash (2nd Hit)</t>
  </si>
  <si>
    <t>[Yellow Gauge] Iai Spirit Slash (1st Hit)</t>
  </si>
  <si>
    <t>[Yellow Gauge] Iai Spirit Slash (2nd Hit)</t>
  </si>
  <si>
    <t>[Red Gauge] Iai Spirit Slash (1st Hit)</t>
  </si>
  <si>
    <t>[Red Gauge] Iai Spirit Slash (2nd Hit)</t>
  </si>
  <si>
    <t>Jumping Slash</t>
  </si>
  <si>
    <t>Jumping Spirit Blade</t>
  </si>
  <si>
    <t>Jumping Spirit Blade II / III (1st Hit)</t>
  </si>
  <si>
    <t>Jumping Spirit Blade II / III (2nd Hit)</t>
  </si>
  <si>
    <t>Jumping Spirit Blade III (3rd Hit)</t>
  </si>
  <si>
    <t>Jumping Rising Slash</t>
  </si>
  <si>
    <t>Aerial Draw Spirit Blade</t>
  </si>
  <si>
    <t>[Mounting] Spirit Storm (1st Hit)</t>
  </si>
  <si>
    <t>[Mounting] Spirit Storm (2nd Hit)</t>
  </si>
  <si>
    <t>[Mounting] Spirit Storm (3rd Hit)</t>
  </si>
  <si>
    <t>[Mounting] Spirit Storm (Finisher)</t>
  </si>
  <si>
    <t>[Mounting: Head] Spirit Storm (Finisher, 1st Hit)</t>
  </si>
  <si>
    <t>[Mounting: Head] Spirit Storm (Finisher, 2nd Hit)</t>
  </si>
  <si>
    <t>Weapon-specific Boosts</t>
  </si>
  <si>
    <t>Long Sword - Consume SG</t>
  </si>
  <si>
    <t>Long Sword - Spirit Gauge</t>
  </si>
  <si>
    <t>Clear</t>
  </si>
  <si>
    <t>Spirit Gauge</t>
  </si>
  <si>
    <t>Chop</t>
  </si>
  <si>
    <t>Side Slash</t>
  </si>
  <si>
    <t>Sword/Shield Combo (Sword)</t>
  </si>
  <si>
    <t>Sword/Shield Combo (Shield)</t>
  </si>
  <si>
    <t>Spiral Slash</t>
  </si>
  <si>
    <t>Spiral Slash (Backwards)</t>
  </si>
  <si>
    <t>Guard Slash</t>
  </si>
  <si>
    <t>Short Shield Bash</t>
  </si>
  <si>
    <t>Round Slash</t>
  </si>
  <si>
    <t>Lateral Slash</t>
  </si>
  <si>
    <t>Return Stroke</t>
  </si>
  <si>
    <t>Charged Slash (1st Hit)</t>
  </si>
  <si>
    <t>Charged Slash (2nd Hit)</t>
  </si>
  <si>
    <t>Scaling Slash</t>
  </si>
  <si>
    <t>Falling Bash</t>
  </si>
  <si>
    <t>Falling Bash (Landing)</t>
  </si>
  <si>
    <t>Leaping Slash</t>
  </si>
  <si>
    <t>Perfect Rush I (1st Hit)</t>
  </si>
  <si>
    <t>Perfect Rush I (2nd Hit)</t>
  </si>
  <si>
    <t>Perfect Rush I (3rd Hit)</t>
  </si>
  <si>
    <t>Perfect Rush II</t>
  </si>
  <si>
    <t>Perfect Rush III (1st Hit)</t>
  </si>
  <si>
    <t>Perfect Rush III (2nd Hit)</t>
  </si>
  <si>
    <t>Perfect Rush III (2nd Hit, Failed)</t>
  </si>
  <si>
    <t>[Timed] Perfect Rush I (1st Hit)</t>
  </si>
  <si>
    <t>[Timed] Perfect Rush I (2nd Hit)</t>
  </si>
  <si>
    <t>[Timed] Perfect Rush I (3rd Hit)</t>
  </si>
  <si>
    <t>[Timed] Perfect Rush II</t>
  </si>
  <si>
    <t>[Timed] Perfect Rush III (1st Hit)</t>
  </si>
  <si>
    <t>[Timed] Perfect Rush III (2nd Hit)</t>
  </si>
  <si>
    <t>[Timed] Perfect Rush III (2nd Hit, Failed)</t>
  </si>
  <si>
    <t>Shield Attack</t>
  </si>
  <si>
    <t>Shield Bash</t>
  </si>
  <si>
    <t>Hard Bash</t>
  </si>
  <si>
    <t>Advancing Slash</t>
  </si>
  <si>
    <t>Helm Breaker</t>
  </si>
  <si>
    <t>Jumping Advancing Slash</t>
  </si>
  <si>
    <t>Sliding Slash (1st Hit)</t>
  </si>
  <si>
    <t>Sliding Slash (2nd Hit)</t>
  </si>
  <si>
    <t>[Clutching] Weapon Attack (3rd Hit)</t>
  </si>
  <si>
    <t>[Clutching] Weapon Attack (4th Hit)</t>
  </si>
  <si>
    <t>[Mounting] Triple Strikes (Shield)</t>
  </si>
  <si>
    <t>[Mounting] Triple Strikes (Sword)</t>
  </si>
  <si>
    <t>Mid Thrust I</t>
  </si>
  <si>
    <t>Mid Thrust II</t>
  </si>
  <si>
    <t>Mid Thrust III</t>
  </si>
  <si>
    <t>High Thrust I / Cancel Thrust</t>
  </si>
  <si>
    <t>High Thrust II</t>
  </si>
  <si>
    <t>High Thrust III</t>
  </si>
  <si>
    <t>Wide Sweep I/II/III</t>
  </si>
  <si>
    <t>Guard Thrust</t>
  </si>
  <si>
    <t>Counter-thrust</t>
  </si>
  <si>
    <t>Leaping Thrust</t>
  </si>
  <si>
    <t>Dash Attack</t>
  </si>
  <si>
    <t>Finishing Thrust</t>
  </si>
  <si>
    <t>Finishing Twin Thrust (1st Hit)</t>
  </si>
  <si>
    <t>Finishing Twin Thrust (2nd Hit)</t>
  </si>
  <si>
    <t>Reverse Attack</t>
  </si>
  <si>
    <t>Jumping Thrust / Advancing Jump Thrust</t>
  </si>
  <si>
    <t>Dash Attack (Midair)</t>
  </si>
  <si>
    <t>Counter Claw (2nd Hit)</t>
  </si>
  <si>
    <t>[Mounting] Finishing Thrust (1st Hit)</t>
  </si>
  <si>
    <t>[Mounting] Finishing Thrust (2nd Hit)</t>
  </si>
  <si>
    <t>[Mounting] Finishing Thrust (3rd Hit)</t>
  </si>
  <si>
    <t>Lunging Upthrust</t>
  </si>
  <si>
    <t>Lateral Thrust</t>
  </si>
  <si>
    <t>Overhead Smash</t>
  </si>
  <si>
    <t>Wide Sweep</t>
  </si>
  <si>
    <t>Jumping Thrust</t>
  </si>
  <si>
    <t>Jumping Smash / Jumping Smash (2nd Hit)</t>
  </si>
  <si>
    <t>Jumping Smash (1st Hit)</t>
  </si>
  <si>
    <t>Aerial Burst (1st Hit)</t>
  </si>
  <si>
    <t>[Mounting] Burst Fire (Thrust)</t>
  </si>
  <si>
    <t>Axe: Side Slash / Sword: Morph Slash</t>
  </si>
  <si>
    <t>Axe: Forward Slash</t>
  </si>
  <si>
    <t>Axe: Rising Slash</t>
  </si>
  <si>
    <t>Axe: Overhead Slash</t>
  </si>
  <si>
    <t>Axe: Wild Swing (Right Swing)</t>
  </si>
  <si>
    <t>Axe: Wild Swing (Left Swing)</t>
  </si>
  <si>
    <t>Axe: Heavy Slam (1st Hit)</t>
  </si>
  <si>
    <t>Axe: Heavy Slam (2nd Hit)</t>
  </si>
  <si>
    <t>Axe: Fade Slash</t>
  </si>
  <si>
    <t>Axe: Morph Sweep (1st Hit)</t>
  </si>
  <si>
    <t>Axe: Morph Sweep (2nd Hit)</t>
  </si>
  <si>
    <t>Axe: Morph Sweep (3rd Hit)</t>
  </si>
  <si>
    <t>Sword: Overhead Slash / Axe: Morph Slash</t>
  </si>
  <si>
    <t>Sword: Right Rising Slash</t>
  </si>
  <si>
    <t>Sword: Left Rising Slash</t>
  </si>
  <si>
    <t>Sword: Bridging Slash</t>
  </si>
  <si>
    <t>Sword: Double Slash (1st Hit)</t>
  </si>
  <si>
    <t>Sword: Double Slash (2nd Hit)</t>
  </si>
  <si>
    <t>Sword: Heavenward Flurry (1st Hit)</t>
  </si>
  <si>
    <t>Sword: Heavenward Flurry (2nd Hit)</t>
  </si>
  <si>
    <t>Sword: Downward Fade Slash</t>
  </si>
  <si>
    <t>[Amped] Sword: Phial Burst</t>
  </si>
  <si>
    <t>[Amped] Sword: Overhead Slash / Morph Slash</t>
  </si>
  <si>
    <t>[Amped] Sword: Right Rising Slash</t>
  </si>
  <si>
    <t>[Amped] Sword: Left Rising Slash</t>
  </si>
  <si>
    <t>[Amped] Sword: Double Slash (1st Hit)</t>
  </si>
  <si>
    <t>[Amped] Sword: Double Slash (2nd Hit)</t>
  </si>
  <si>
    <t>[Amped] Sword: Bridging Slash</t>
  </si>
  <si>
    <t>[Amped] Sword: Heavenward Flurry (1st Hit)</t>
  </si>
  <si>
    <t>[Amped] Sword: Heavenward Flurry (2nd Hit)</t>
  </si>
  <si>
    <t>Axe: Jumping Slash</t>
  </si>
  <si>
    <t>Sword: Jumping Slash</t>
  </si>
  <si>
    <t>Axe: Jumping Sweep</t>
  </si>
  <si>
    <t>Sword: Jumping Rising Slash</t>
  </si>
  <si>
    <t>Element Discharge (Thrust)</t>
  </si>
  <si>
    <t>Elemental Discharge (Ticks)</t>
  </si>
  <si>
    <t>Zero Sum Discharge (Thrust)</t>
  </si>
  <si>
    <t>Zero Sum Discharge (Ticks)</t>
  </si>
  <si>
    <t>Element / Zero Sum Discharge Finisher</t>
  </si>
  <si>
    <t>Special Claw Shot (1st Hit)</t>
  </si>
  <si>
    <t>Special Claw Shot (2nd Hit)</t>
  </si>
  <si>
    <t>[Mounting] Element Discharge (Thrust)</t>
  </si>
  <si>
    <t>[Mounting] Element Discharge (Ticks)</t>
  </si>
  <si>
    <t>[Mounting] Element Discharge Finisher</t>
  </si>
  <si>
    <t>Swing</t>
  </si>
  <si>
    <t>Backswing</t>
  </si>
  <si>
    <t>Overhead Smash I</t>
  </si>
  <si>
    <t>Overhead Smash II</t>
  </si>
  <si>
    <t>Upswing / Spinning Strong Upswing</t>
  </si>
  <si>
    <t>Charged Side Blow</t>
  </si>
  <si>
    <t>Charged Follow-up</t>
  </si>
  <si>
    <t>Charged Upswing</t>
  </si>
  <si>
    <t>Side Smash / Spinning Side Smash</t>
  </si>
  <si>
    <t>Charged Big Bang (1st Hit)</t>
  </si>
  <si>
    <t>Charged Big Bang (2nd Hit)</t>
  </si>
  <si>
    <t>Charged Brutal Upswing</t>
  </si>
  <si>
    <t>Charged Brutal Big Bang (1st and 2nd Hit)</t>
  </si>
  <si>
    <t>Charged Brutal Big Bang (Final Hit)</t>
  </si>
  <si>
    <t>Spinning Bludgeon (1st Hit)</t>
  </si>
  <si>
    <t>Spinning Bludgeon (Spinning)</t>
  </si>
  <si>
    <t>Spinning Follow-up / Charged Follow-up (Power Charge)</t>
  </si>
  <si>
    <t>Spinning Swing</t>
  </si>
  <si>
    <t>Big Bang I / Big Bang Finisher (1st and 2nd Hit)</t>
  </si>
  <si>
    <t>Big Bang II</t>
  </si>
  <si>
    <t>Big Bang III</t>
  </si>
  <si>
    <t>Big Bang IV</t>
  </si>
  <si>
    <t>Big Bang Finisher (3rd Hit)</t>
  </si>
  <si>
    <t>Jumping Smash</t>
  </si>
  <si>
    <t>Jumping Charged Attack</t>
  </si>
  <si>
    <t>Jumping Charged Attack II</t>
  </si>
  <si>
    <t>Jumping Charged Attack III</t>
  </si>
  <si>
    <t>Midair Spinning Bludgeon (Spinning)</t>
  </si>
  <si>
    <t>Midair Spinning Bludgeon (Final Hit)</t>
  </si>
  <si>
    <t>Spinning Flying Smash</t>
  </si>
  <si>
    <t>Flying Smash / Spinning Flying Smash Finisher</t>
  </si>
  <si>
    <t>[Mounting] Charged Attack Lv1</t>
  </si>
  <si>
    <t>[Mounting] Charged Attack Lv2</t>
  </si>
  <si>
    <t>[Mounting] Charged Attack Lv3</t>
  </si>
  <si>
    <t>[Mounting: Tail] Charged Attack Lv1 (1st Hit)</t>
  </si>
  <si>
    <t>[Mounting: Tail] Charged Attack Lv2 (1st Hit)</t>
  </si>
  <si>
    <t>[Mounting: Tail] Charged Attack Lv3 (1st Hit)</t>
  </si>
  <si>
    <t>[Mounting: Tail] Charged Attack Lv1 (2nd Hit)</t>
  </si>
  <si>
    <t>[Mounting: Tail] Charged Attack Lv2 (2nd Hit)</t>
  </si>
  <si>
    <t>[Mounting: Tail] Charged Attack Lv3 (2nd Hit)</t>
  </si>
  <si>
    <t>Left Swing</t>
  </si>
  <si>
    <t>Forward Smash</t>
  </si>
  <si>
    <t>Right Swing</t>
  </si>
  <si>
    <t>Flourish (1st Hit)</t>
  </si>
  <si>
    <t>Flourish (2nd Hit)</t>
  </si>
  <si>
    <t>Backwards Strike</t>
  </si>
  <si>
    <t>Overhead Smash (1st Hit)</t>
  </si>
  <si>
    <t>Overhead Smash (2nd Hit)</t>
  </si>
  <si>
    <t>Hilt Stab / Echo Attack (Initial Hit)</t>
  </si>
  <si>
    <t>Echo Attack (Spin)</t>
  </si>
  <si>
    <t>Performance</t>
  </si>
  <si>
    <t>Encore</t>
  </si>
  <si>
    <t>Jumping Strong Overhead Smash</t>
  </si>
  <si>
    <t>Midair Performance</t>
  </si>
  <si>
    <t>[Mounting] Overhead Smash (Repeated)</t>
  </si>
  <si>
    <t>[Mounting] Overhead Smash (Final Hit)</t>
  </si>
  <si>
    <t>Sword: Forward Slash</t>
  </si>
  <si>
    <t>Sword: Weak Slash</t>
  </si>
  <si>
    <t>Sword: Return Stroke</t>
  </si>
  <si>
    <t>Sword: Spinning Slash / Axe: Morph Slash / Element Roundslash</t>
  </si>
  <si>
    <t>Sword: Charged Rising Slash</t>
  </si>
  <si>
    <t>Sword: Charged Double Slash (1st Hit)</t>
  </si>
  <si>
    <t>Sword: Charged Double Slash (2nd Hit)</t>
  </si>
  <si>
    <t>Sword: Condensed Element Slash</t>
  </si>
  <si>
    <t>Sword: Shield Thrust (1st Hit)</t>
  </si>
  <si>
    <t>Sword: Shield Thrust (2nd Hit)</t>
  </si>
  <si>
    <t>Sword: Sliding Slash</t>
  </si>
  <si>
    <t>Axe: Smash / Sword: Morph Slash</t>
  </si>
  <si>
    <t>Axe: Dash Slam</t>
  </si>
  <si>
    <t>Axe: Element Discharge I / Rushing Element Discharge I</t>
  </si>
  <si>
    <t>Axe: Element Discharge II (1st Hit)</t>
  </si>
  <si>
    <t>Axe: Element Discharge II (2nd Hit)</t>
  </si>
  <si>
    <t>Axe: Amped Element Discharge</t>
  </si>
  <si>
    <t>Axe: Super Amped Element Discharge (1st Hit)</t>
  </si>
  <si>
    <t>Axe: Super Amped Element Discharge (2nd Hit)</t>
  </si>
  <si>
    <t>Axe: Super Amped Element Discharge (3rd Hit)</t>
  </si>
  <si>
    <t>Axe: Super Amped Element Discharge (1st Hit, No Phials)</t>
  </si>
  <si>
    <t>Axe: Super Amped Element Discharge (2nd Hit, No Phials)</t>
  </si>
  <si>
    <t>Savage Axe Slash</t>
  </si>
  <si>
    <t>Power Axe Ticks</t>
  </si>
  <si>
    <t>Power Axe Ticks (AED, SAED only)</t>
  </si>
  <si>
    <t>Axe: Jumping Slash / Sword: Jumping Morph Slash</t>
  </si>
  <si>
    <t>Sword: Sliding Slash (1st Hit)</t>
  </si>
  <si>
    <t>Sword: Sliding Slash (2nd Hit)</t>
  </si>
  <si>
    <t>[Mounting] Super Amped Element Discharge (1st Hit)</t>
  </si>
  <si>
    <t>[Mounting] Super Amped Element Discharge (2nd Hit)</t>
  </si>
  <si>
    <t>Rising Slash (1st Hit)</t>
  </si>
  <si>
    <t>Rising Slash (2nd Hit)</t>
  </si>
  <si>
    <t>Reaping Slash</t>
  </si>
  <si>
    <t>Double Slash (1st Hit)</t>
  </si>
  <si>
    <t>Double Slash (2nd Hit)</t>
  </si>
  <si>
    <t>Wide Sweep / Strong Wide Sweep (2nd Hit)</t>
  </si>
  <si>
    <t>Strong Rising Slash Combo (1st Hit)</t>
  </si>
  <si>
    <t>Strong Rising Slash Combo (2nd Hit)</t>
  </si>
  <si>
    <t>Strong Rising Slash Combo (3rd Hit)</t>
  </si>
  <si>
    <t>Strong Reaping Slash (1st Hit)</t>
  </si>
  <si>
    <t>Strong Reaping Slash (2nd Hit)</t>
  </si>
  <si>
    <t>Strong Double Slash (1st Hit)</t>
  </si>
  <si>
    <t>Strong Double Slash (2nd Hit)</t>
  </si>
  <si>
    <t>Strong Double Slash (3rd Hit)</t>
  </si>
  <si>
    <t>Strong Thrust (1st Hit)</t>
  </si>
  <si>
    <t>Strong Thrust (2nd Hit)</t>
  </si>
  <si>
    <t>Strong Wide Sweep (1st Hit)</t>
  </si>
  <si>
    <t>Tornado Slash (1st Hit)</t>
  </si>
  <si>
    <t>Tornado Slash (2nd Hit)</t>
  </si>
  <si>
    <t>Bridging Slash</t>
  </si>
  <si>
    <t>Dodge Slash</t>
  </si>
  <si>
    <t>Strong Jumping Slash</t>
  </si>
  <si>
    <t>Strong Jumping Advancing Slash (1st Hit)</t>
  </si>
  <si>
    <t>Strong Jumping Advancing Slash (2nd Hit)</t>
  </si>
  <si>
    <t>Strong Jumping Advancing Slash (3rd Hit)</t>
  </si>
  <si>
    <t>Strong Jumping Advancing Slash (4th Hit)</t>
  </si>
  <si>
    <t>Strong Jumping Advancing Slash (5th Hit)</t>
  </si>
  <si>
    <t>Strong Jumping Advancing Slash (Finisher)</t>
  </si>
  <si>
    <t>Descending Thrust (Midair)</t>
  </si>
  <si>
    <t>Descending Thrust (Landing)</t>
  </si>
  <si>
    <t>Descending Thrust Finisher (1st Hit)</t>
  </si>
  <si>
    <t>Descending Thrust Finisher (2nd Hit)</t>
  </si>
  <si>
    <t>[Clutching] Weapon Attack (Finisher)</t>
  </si>
  <si>
    <t>[Mounting] Flying Slash (1st Hit)</t>
  </si>
  <si>
    <t>[Mounting] Flying Slash (2nd and 3rd Hit)</t>
  </si>
  <si>
    <t>[Mounting] Flying Slash (4th Hit)</t>
  </si>
  <si>
    <t>[Mounting] Slash Flurry (1st Hit and 2nd Hit)</t>
  </si>
  <si>
    <t>[Mounting] Slash Flurry (3rd Hit)</t>
  </si>
  <si>
    <t>[Mounting] Slash Flurry (4th Hit)</t>
  </si>
  <si>
    <t>Normal Ammo Lv1</t>
  </si>
  <si>
    <t>Normal Ammo Lv2</t>
  </si>
  <si>
    <t>Normal Ammo Lv3</t>
  </si>
  <si>
    <t>Pierce Ammo Lv1</t>
  </si>
  <si>
    <t>Pierce Ammo Lv2</t>
  </si>
  <si>
    <t>Pierce Ammo Lv3</t>
  </si>
  <si>
    <t>Spread Ammo Lv1</t>
  </si>
  <si>
    <t>Spread Ammo Lv2</t>
  </si>
  <si>
    <t>Spread Ammo Lv3</t>
  </si>
  <si>
    <t>Sticky Ammo Projectile</t>
  </si>
  <si>
    <t>Cluster Projectile</t>
  </si>
  <si>
    <t>Poison Ammo Lv1</t>
  </si>
  <si>
    <t>Poison Ammo Lv2</t>
  </si>
  <si>
    <t>Paralysis Ammo Lv1</t>
  </si>
  <si>
    <t>Paralysis Ammo Lv2</t>
  </si>
  <si>
    <t>Sleep Ammo Lv1</t>
  </si>
  <si>
    <t>Sleep Ammo Lv2</t>
  </si>
  <si>
    <t>Exhaust Ammo Lv1</t>
  </si>
  <si>
    <t>Exhaust Ammo Lv2</t>
  </si>
  <si>
    <t>Flaming Ammo</t>
  </si>
  <si>
    <t>Water Ammo</t>
  </si>
  <si>
    <t>Freeze Ammo</t>
  </si>
  <si>
    <t>Thunder Ammo</t>
  </si>
  <si>
    <t>Dragon Ammo</t>
  </si>
  <si>
    <t>Slicing Ammo Projectile</t>
  </si>
  <si>
    <t>Slicing Ammo</t>
  </si>
  <si>
    <t>Wyvernheart</t>
  </si>
  <si>
    <t>Wyvernsnipe</t>
  </si>
  <si>
    <t>Wyvernsnipe Explosion (S)</t>
  </si>
  <si>
    <t>Wyvernsnipe Explosion (M)</t>
  </si>
  <si>
    <t>Wyvernsnipe Explosion (L)</t>
  </si>
  <si>
    <t>Wyvernsnipe Type 2 (No Match)</t>
  </si>
  <si>
    <t>Wyvernsnipe Type 2 (Distance Only)</t>
  </si>
  <si>
    <t>Wyvernsnipe Type 2 (HZV Only)</t>
  </si>
  <si>
    <t>Wyvernsnipe Type 2 (Perfect Match)</t>
  </si>
  <si>
    <t>[Clutching] Weapon Attack (Snipe)</t>
  </si>
  <si>
    <t>Normal</t>
  </si>
  <si>
    <t>Pierce</t>
  </si>
  <si>
    <t>Spread</t>
  </si>
  <si>
    <t>Melee Attack</t>
  </si>
  <si>
    <t>Jumping Reload</t>
  </si>
  <si>
    <t>[Mounting] Rapid Fire (Initial Hits)</t>
  </si>
  <si>
    <t>Shot</t>
  </si>
  <si>
    <t>[Mounting] Rapid Fire (Final Hit)</t>
  </si>
  <si>
    <t>Other</t>
  </si>
  <si>
    <t>Special Ammo/Power</t>
  </si>
  <si>
    <t>[Mounting] Fire</t>
  </si>
  <si>
    <t>Normal Shot Lv1</t>
  </si>
  <si>
    <t>Normal Shot Lv2</t>
  </si>
  <si>
    <t>Normal Shot Lv3</t>
  </si>
  <si>
    <t>Normal Shot Lv4</t>
  </si>
  <si>
    <t>Quick Shot</t>
  </si>
  <si>
    <t>Power Shot Lv2</t>
  </si>
  <si>
    <t>Power Shot Lv3</t>
  </si>
  <si>
    <t>Power Shot Lv4</t>
  </si>
  <si>
    <t>Lunging Melee Attack</t>
  </si>
  <si>
    <t>Jumping Melee Attack</t>
  </si>
  <si>
    <t>[Mounting] Charged Shot Lv1</t>
  </si>
  <si>
    <t>[Mounting] Charged Shot Lv2</t>
  </si>
  <si>
    <t>[Mounting] Charged Shot Lv3</t>
  </si>
  <si>
    <t>[Mounting] Charged Shot Lv4</t>
  </si>
  <si>
    <t>**check**</t>
  </si>
  <si>
    <t>Demon Flurry Rush -&gt; Clutch Rising Slash</t>
  </si>
  <si>
    <t>Evasion Mantle</t>
  </si>
  <si>
    <t>Dragonproof Mantle</t>
  </si>
  <si>
    <t>None</t>
  </si>
  <si>
    <t>Raw Cap</t>
  </si>
  <si>
    <t>Element Cap</t>
  </si>
  <si>
    <t>Cap Check</t>
  </si>
  <si>
    <t>Cap</t>
  </si>
  <si>
    <t>Demondrug</t>
  </si>
  <si>
    <t>Mega Demondrug</t>
  </si>
  <si>
    <t>Might Seed</t>
  </si>
  <si>
    <t>Might Pill</t>
  </si>
  <si>
    <t>Demon Powder</t>
  </si>
  <si>
    <t>Hunting Horn - Attack Up</t>
  </si>
  <si>
    <t>Attack Up Melody</t>
  </si>
  <si>
    <t>Hunting Horn - Element Attack Boost</t>
  </si>
  <si>
    <t>Element Attack Melody</t>
  </si>
  <si>
    <t>Hammer - Power Charge</t>
  </si>
  <si>
    <t>Power Charge</t>
  </si>
  <si>
    <t>Hunting Horn - Self-improvement</t>
  </si>
  <si>
    <t>Self-improvement</t>
  </si>
  <si>
    <t>Insect Glaive - Extract</t>
  </si>
  <si>
    <t>Extract</t>
  </si>
  <si>
    <t>Combo Rotation</t>
  </si>
  <si>
    <t>Both States</t>
  </si>
  <si>
    <t>Level 0</t>
  </si>
  <si>
    <t>Velkhana Armour Element</t>
  </si>
  <si>
    <t>Velkhana Armour Projectile</t>
  </si>
  <si>
    <t>Velkhana Armour Sever/Blunt</t>
  </si>
  <si>
    <t>Fortify</t>
  </si>
  <si>
    <t>No carts.</t>
  </si>
  <si>
    <t>Velkhana Aura</t>
  </si>
  <si>
    <t>Low Rank</t>
  </si>
  <si>
    <t>1 cart.</t>
  </si>
  <si>
    <t>2 carts.</t>
  </si>
  <si>
    <t>MathHunter Wld</t>
  </si>
  <si>
    <t>Welcome! This friendly tool is designed to check out your weapon's damage output for entire combos against every hitzone of the selected monster. It is also able to check how many hits you can get out of a weapon before too much Sharpness Gauge is lost. If you purchased this calculator, you have been scammed as this is a free source tool.</t>
  </si>
  <si>
    <t>Credit for majority of the values in the calculator are thanks to the incredible work by Deathcream and MoonBunnie!</t>
  </si>
  <si>
    <t>The database for weapons is credited towards Cartiledge, who amazingly fetched all the info from Kiranico's database. At this time, there is not a file to share of their database, as some of the values had to be corrected.</t>
  </si>
  <si>
    <t>Released</t>
  </si>
  <si>
    <t>Version 1.1, by Pilgrim</t>
  </si>
  <si>
    <t>Added Velkhana Aura function</t>
  </si>
  <si>
    <t>Added Set Saved Build button</t>
  </si>
  <si>
    <t>Added Check function (conditional formatting pink if different from Saved Build)</t>
  </si>
  <si>
    <t>Version 1.0 (03-24-10)</t>
  </si>
  <si>
    <t>Version 1.1 (03-24-23)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</si>
</sst>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Arial"/>
      <family val="2"/>
    </font>
    <font>
      <sz val="10"/>
      <color theme="0"/>
      <name val="Calibri"/>
      <family val="2"/>
      <scheme val="minor"/>
    </font>
    <font>
      <sz val="10"/>
      <color theme="1"/>
      <name val="Calibri"/>
      <family val="2"/>
      <scheme val="minor"/>
    </font>
    <font>
      <sz val="10"/>
      <name val="Calibri"/>
      <family val="2"/>
      <scheme val="minor"/>
    </font>
    <font>
      <sz val="11"/>
      <name val="Calibri"/>
      <family val="2"/>
      <scheme val="minor"/>
    </font>
    <font>
      <b/>
      <i/>
      <sz val="11"/>
      <name val="Calibri"/>
      <family val="2"/>
      <scheme val="minor"/>
    </font>
    <font>
      <b/>
      <i/>
      <sz val="11"/>
      <color theme="1"/>
      <name val="Calibri"/>
      <family val="2"/>
      <scheme val="minor"/>
    </font>
    <font>
      <sz val="11"/>
      <color rgb="FF000000"/>
      <name val="Calibri"/>
      <family val="2"/>
      <scheme val="minor"/>
    </font>
    <font>
      <strike/>
      <sz val="11"/>
      <color theme="0"/>
      <name val="Calibri"/>
      <family val="2"/>
      <scheme val="minor"/>
    </font>
    <font>
      <strike/>
      <sz val="11"/>
      <color theme="1"/>
      <name val="Calibri"/>
      <family val="2"/>
      <scheme val="minor"/>
    </font>
    <font>
      <sz val="10"/>
      <color rgb="FF000000"/>
      <name val="Arial"/>
      <family val="2"/>
    </font>
    <font>
      <sz val="11"/>
      <color theme="1" tint="0.249977111117893"/>
      <name val="Calibri"/>
      <family val="2"/>
      <scheme val="minor"/>
    </font>
    <font>
      <sz val="20"/>
      <color theme="1"/>
      <name val="Arial"/>
      <family val="2"/>
    </font>
  </fonts>
  <fills count="18">
    <fill>
      <patternFill patternType="none"/>
    </fill>
    <fill>
      <patternFill patternType="gray125"/>
    </fill>
    <fill>
      <patternFill patternType="solid">
        <fgColor theme="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99FF"/>
        <bgColor indexed="64"/>
      </patternFill>
    </fill>
    <fill>
      <patternFill patternType="solid">
        <fgColor rgb="FFFF0000"/>
        <bgColor indexed="64"/>
      </patternFill>
    </fill>
    <fill>
      <patternFill patternType="solid">
        <fgColor theme="5"/>
        <bgColor indexed="64"/>
      </patternFill>
    </fill>
    <fill>
      <patternFill patternType="solid">
        <fgColor theme="9"/>
        <bgColor indexed="64"/>
      </patternFill>
    </fill>
    <fill>
      <patternFill patternType="solid">
        <fgColor rgb="FF0070C0"/>
        <bgColor indexed="64"/>
      </patternFill>
    </fill>
    <fill>
      <patternFill patternType="solid">
        <fgColor theme="0"/>
        <bgColor indexed="64"/>
      </patternFill>
    </fill>
    <fill>
      <patternFill patternType="solid">
        <fgColor rgb="FF7030A0"/>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rgb="FF580000"/>
        <bgColor indexed="64"/>
      </patternFill>
    </fill>
    <fill>
      <patternFill patternType="solid">
        <fgColor theme="1"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14">
    <xf numFmtId="0" fontId="0" fillId="0" borderId="0" xfId="0"/>
    <xf numFmtId="0" fontId="4" fillId="0" borderId="0" xfId="0" applyFont="1" applyAlignment="1">
      <alignment horizontal="left" vertical="center" wrapText="1" readingOrder="1"/>
    </xf>
    <xf numFmtId="0" fontId="4" fillId="0" borderId="0" xfId="0" applyFont="1" applyAlignment="1">
      <alignment horizontal="center" vertical="center" readingOrder="1"/>
    </xf>
    <xf numFmtId="0" fontId="4" fillId="0" borderId="0" xfId="0" applyFont="1" applyAlignment="1">
      <alignment horizontal="left" readingOrder="1"/>
    </xf>
    <xf numFmtId="0" fontId="3" fillId="2" borderId="1" xfId="0" applyFont="1" applyFill="1" applyBorder="1"/>
    <xf numFmtId="0" fontId="0" fillId="0" borderId="0" xfId="0" applyAlignment="1">
      <alignment horizontal="right"/>
    </xf>
    <xf numFmtId="0" fontId="0" fillId="0" borderId="1" xfId="0" applyBorder="1"/>
    <xf numFmtId="0" fontId="0" fillId="0" borderId="1" xfId="0" applyBorder="1" applyAlignment="1">
      <alignment horizontal="right"/>
    </xf>
    <xf numFmtId="0" fontId="0" fillId="3" borderId="1" xfId="0" applyFill="1" applyBorder="1" applyAlignment="1">
      <alignment horizontal="right"/>
    </xf>
    <xf numFmtId="0" fontId="0" fillId="4" borderId="1" xfId="0" applyFill="1" applyBorder="1" applyAlignment="1">
      <alignment horizontal="right"/>
    </xf>
    <xf numFmtId="0" fontId="0" fillId="5" borderId="1" xfId="0" applyFill="1" applyBorder="1" applyAlignment="1">
      <alignment horizontal="right"/>
    </xf>
    <xf numFmtId="0" fontId="0" fillId="6" borderId="1" xfId="0" applyFill="1" applyBorder="1" applyAlignment="1">
      <alignment horizontal="right"/>
    </xf>
    <xf numFmtId="0" fontId="0" fillId="7" borderId="1" xfId="0" applyFill="1" applyBorder="1" applyAlignment="1">
      <alignment horizontal="right"/>
    </xf>
    <xf numFmtId="0" fontId="6" fillId="0" borderId="0" xfId="0" applyFont="1" applyAlignment="1">
      <alignment wrapText="1"/>
    </xf>
    <xf numFmtId="0" fontId="5" fillId="2" borderId="1" xfId="0" applyFont="1" applyFill="1" applyBorder="1" applyAlignment="1">
      <alignment horizontal="left" vertical="center" wrapText="1"/>
    </xf>
    <xf numFmtId="0" fontId="5" fillId="2" borderId="1" xfId="0" applyFont="1" applyFill="1" applyBorder="1"/>
    <xf numFmtId="0" fontId="6" fillId="0" borderId="0" xfId="0" applyFont="1" applyAlignment="1">
      <alignment horizontal="left" vertical="center" wrapText="1"/>
    </xf>
    <xf numFmtId="0" fontId="7" fillId="6" borderId="1" xfId="0" applyFont="1" applyFill="1" applyBorder="1" applyAlignment="1">
      <alignment horizontal="right" wrapText="1"/>
    </xf>
    <xf numFmtId="0" fontId="0" fillId="6" borderId="1" xfId="0" applyFill="1" applyBorder="1"/>
    <xf numFmtId="0" fontId="7" fillId="0" borderId="0" xfId="0" applyFont="1" applyAlignment="1">
      <alignment wrapText="1"/>
    </xf>
    <xf numFmtId="0" fontId="8" fillId="0" borderId="0" xfId="0" applyFont="1"/>
    <xf numFmtId="0" fontId="7" fillId="0" borderId="0" xfId="0" applyFont="1" applyAlignment="1">
      <alignment horizontal="left" vertical="center" wrapText="1"/>
    </xf>
    <xf numFmtId="0" fontId="7" fillId="0" borderId="0" xfId="0" applyFont="1" applyAlignment="1">
      <alignment horizontal="right" wrapText="1"/>
    </xf>
    <xf numFmtId="0" fontId="2" fillId="8" borderId="1" xfId="0" applyFont="1" applyFill="1" applyBorder="1"/>
    <xf numFmtId="0" fontId="8" fillId="6" borderId="1" xfId="0" applyFont="1" applyFill="1" applyBorder="1"/>
    <xf numFmtId="0" fontId="2" fillId="9" borderId="1" xfId="0" applyFont="1" applyFill="1" applyBorder="1"/>
    <xf numFmtId="0" fontId="2" fillId="5" borderId="1" xfId="0" applyFont="1" applyFill="1" applyBorder="1"/>
    <xf numFmtId="0" fontId="1" fillId="10" borderId="1" xfId="0" applyFont="1" applyFill="1" applyBorder="1"/>
    <xf numFmtId="0" fontId="1" fillId="11" borderId="1" xfId="0" applyFont="1" applyFill="1" applyBorder="1"/>
    <xf numFmtId="0" fontId="2" fillId="12" borderId="1" xfId="0" applyFont="1" applyFill="1" applyBorder="1"/>
    <xf numFmtId="0" fontId="1" fillId="13" borderId="1" xfId="0" applyFont="1" applyFill="1" applyBorder="1"/>
    <xf numFmtId="0" fontId="9" fillId="14" borderId="1" xfId="0" applyFont="1" applyFill="1" applyBorder="1" applyAlignment="1">
      <alignment horizontal="right"/>
    </xf>
    <xf numFmtId="0" fontId="3" fillId="2" borderId="6" xfId="0" applyFont="1" applyFill="1" applyBorder="1"/>
    <xf numFmtId="0" fontId="0" fillId="0" borderId="7" xfId="0" applyBorder="1" applyAlignment="1">
      <alignment horizontal="right"/>
    </xf>
    <xf numFmtId="0" fontId="3" fillId="2" borderId="0" xfId="0" applyFont="1" applyFill="1"/>
    <xf numFmtId="0" fontId="10" fillId="14" borderId="1" xfId="0" applyFont="1" applyFill="1" applyBorder="1" applyAlignment="1">
      <alignment horizontal="right"/>
    </xf>
    <xf numFmtId="0" fontId="0" fillId="6" borderId="6" xfId="0" applyFill="1" applyBorder="1"/>
    <xf numFmtId="0" fontId="8" fillId="6" borderId="6" xfId="0" applyFont="1" applyFill="1" applyBorder="1"/>
    <xf numFmtId="0" fontId="1" fillId="2" borderId="1" xfId="0" applyFont="1" applyFill="1" applyBorder="1"/>
    <xf numFmtId="0" fontId="2" fillId="0" borderId="1" xfId="0" applyFont="1" applyBorder="1"/>
    <xf numFmtId="0" fontId="3" fillId="2" borderId="1" xfId="0" applyFont="1" applyFill="1" applyBorder="1" applyAlignment="1">
      <alignment wrapText="1"/>
    </xf>
    <xf numFmtId="0" fontId="3" fillId="2" borderId="1" xfId="0" applyFont="1" applyFill="1" applyBorder="1" applyAlignment="1">
      <alignment horizontal="right" wrapText="1"/>
    </xf>
    <xf numFmtId="0" fontId="3" fillId="8" borderId="1" xfId="0" applyFont="1" applyFill="1" applyBorder="1"/>
    <xf numFmtId="0" fontId="0" fillId="5" borderId="1" xfId="0" applyFill="1" applyBorder="1"/>
    <xf numFmtId="0" fontId="3" fillId="11" borderId="1" xfId="0" applyFont="1" applyFill="1" applyBorder="1"/>
    <xf numFmtId="0" fontId="0" fillId="6" borderId="6" xfId="0" applyFill="1" applyBorder="1" applyAlignment="1">
      <alignment horizontal="right"/>
    </xf>
    <xf numFmtId="0" fontId="8" fillId="6" borderId="1" xfId="0" applyFont="1" applyFill="1" applyBorder="1" applyAlignment="1">
      <alignment horizontal="right"/>
    </xf>
    <xf numFmtId="0" fontId="3" fillId="0" borderId="1" xfId="0" applyFont="1" applyBorder="1" applyAlignment="1">
      <alignment horizontal="right"/>
    </xf>
    <xf numFmtId="0" fontId="3" fillId="2" borderId="7" xfId="0" applyFont="1" applyFill="1" applyBorder="1"/>
    <xf numFmtId="0" fontId="11" fillId="0" borderId="0" xfId="0" applyFont="1"/>
    <xf numFmtId="0" fontId="3" fillId="0" borderId="1" xfId="0" applyFont="1" applyBorder="1"/>
    <xf numFmtId="0" fontId="0" fillId="0" borderId="0" xfId="0" applyAlignment="1">
      <alignment horizontal="center"/>
    </xf>
    <xf numFmtId="0" fontId="3" fillId="2" borderId="5" xfId="0" applyFont="1" applyFill="1" applyBorder="1"/>
    <xf numFmtId="0" fontId="3" fillId="13" borderId="1" xfId="0" applyFont="1" applyFill="1" applyBorder="1"/>
    <xf numFmtId="0" fontId="8" fillId="15" borderId="1" xfId="0" applyFont="1" applyFill="1" applyBorder="1"/>
    <xf numFmtId="0" fontId="3" fillId="2" borderId="0" xfId="0" applyFont="1" applyFill="1" applyAlignment="1">
      <alignment wrapText="1"/>
    </xf>
    <xf numFmtId="0" fontId="3" fillId="2" borderId="0" xfId="0" applyFont="1" applyFill="1" applyAlignment="1">
      <alignment horizontal="right" wrapText="1"/>
    </xf>
    <xf numFmtId="0" fontId="3" fillId="2" borderId="0" xfId="0" applyFont="1" applyFill="1" applyAlignment="1">
      <alignment horizontal="right"/>
    </xf>
    <xf numFmtId="0" fontId="8" fillId="0" borderId="1" xfId="0" applyFont="1" applyBorder="1" applyAlignment="1">
      <alignment horizontal="right"/>
    </xf>
    <xf numFmtId="0" fontId="3" fillId="16" borderId="1" xfId="0" applyFont="1" applyFill="1" applyBorder="1"/>
    <xf numFmtId="0" fontId="0" fillId="8" borderId="0" xfId="0" applyFill="1"/>
    <xf numFmtId="0" fontId="0" fillId="2" borderId="0" xfId="0" applyFill="1"/>
    <xf numFmtId="0" fontId="12" fillId="2" borderId="1" xfId="0" applyFont="1" applyFill="1" applyBorder="1"/>
    <xf numFmtId="0" fontId="13" fillId="0" borderId="0" xfId="0" applyFont="1"/>
    <xf numFmtId="0" fontId="10" fillId="0" borderId="1" xfId="0" applyFont="1" applyBorder="1" applyAlignment="1">
      <alignment horizontal="right"/>
    </xf>
    <xf numFmtId="0" fontId="0" fillId="0" borderId="1" xfId="0" applyBorder="1" applyAlignment="1">
      <alignment horizontal="left"/>
    </xf>
    <xf numFmtId="0" fontId="0" fillId="0" borderId="0" xfId="0" applyAlignment="1">
      <alignment horizontal="left"/>
    </xf>
    <xf numFmtId="0" fontId="8" fillId="0" borderId="0" xfId="0" applyFont="1" applyAlignment="1">
      <alignment horizontal="left"/>
    </xf>
    <xf numFmtId="0" fontId="3" fillId="2" borderId="1" xfId="0" applyFont="1" applyFill="1"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8" fillId="0" borderId="0" xfId="0" applyFont="1" applyAlignment="1">
      <alignment horizontal="center"/>
    </xf>
    <xf numFmtId="0" fontId="8" fillId="0" borderId="0" xfId="0" applyFont="1" applyAlignment="1">
      <alignment horizontal="left" vertical="center" wrapText="1" readingOrder="1"/>
    </xf>
    <xf numFmtId="0" fontId="8" fillId="0" borderId="0" xfId="0" applyFont="1" applyAlignment="1">
      <alignment horizontal="center" vertical="center" readingOrder="1"/>
    </xf>
    <xf numFmtId="0" fontId="8" fillId="0" borderId="0" xfId="0" applyFont="1" applyAlignment="1">
      <alignment horizontal="left" readingOrder="1"/>
    </xf>
    <xf numFmtId="0" fontId="8" fillId="0" borderId="0" xfId="0" applyFont="1" applyAlignment="1">
      <alignment horizontal="left" vertical="center" readingOrder="1"/>
    </xf>
    <xf numFmtId="0" fontId="8" fillId="0" borderId="0" xfId="0" applyFont="1" applyAlignment="1">
      <alignment horizontal="left" vertical="center" wrapText="1"/>
    </xf>
    <xf numFmtId="0" fontId="8" fillId="0" borderId="0" xfId="0" applyFont="1" applyAlignment="1">
      <alignment vertical="center" wrapText="1" readingOrder="1"/>
    </xf>
    <xf numFmtId="0" fontId="8" fillId="0" borderId="0" xfId="0" applyFont="1" applyAlignment="1">
      <alignment vertical="center" readingOrder="1"/>
    </xf>
    <xf numFmtId="0" fontId="8" fillId="0" borderId="0" xfId="0" applyFont="1" applyAlignment="1">
      <alignment readingOrder="1"/>
    </xf>
    <xf numFmtId="0" fontId="4" fillId="0" borderId="0" xfId="0" applyFont="1" applyAlignment="1">
      <alignment horizontal="left"/>
    </xf>
    <xf numFmtId="0" fontId="14" fillId="0" borderId="0" xfId="0" applyFont="1" applyAlignment="1">
      <alignment horizontal="left"/>
    </xf>
    <xf numFmtId="0" fontId="14" fillId="0" borderId="0" xfId="0" applyFont="1" applyAlignment="1">
      <alignment horizontal="center"/>
    </xf>
    <xf numFmtId="0" fontId="0" fillId="0" borderId="10" xfId="0" applyBorder="1"/>
    <xf numFmtId="0" fontId="0" fillId="0" borderId="9" xfId="0" applyBorder="1"/>
    <xf numFmtId="0" fontId="0" fillId="0" borderId="11" xfId="0" applyBorder="1"/>
    <xf numFmtId="0" fontId="11" fillId="0" borderId="8" xfId="0" applyFont="1" applyBorder="1"/>
    <xf numFmtId="0" fontId="0" fillId="0" borderId="12" xfId="0" applyBorder="1"/>
    <xf numFmtId="0" fontId="11" fillId="0" borderId="13" xfId="0" applyFont="1" applyBorder="1"/>
    <xf numFmtId="0" fontId="11" fillId="0" borderId="14" xfId="0" applyFont="1" applyBorder="1"/>
    <xf numFmtId="0" fontId="0" fillId="0" borderId="15" xfId="0" applyBorder="1"/>
    <xf numFmtId="0" fontId="0" fillId="0" borderId="8" xfId="0" applyBorder="1"/>
    <xf numFmtId="0" fontId="0" fillId="0" borderId="13" xfId="0" applyBorder="1"/>
    <xf numFmtId="0" fontId="0" fillId="0" borderId="14" xfId="0" applyBorder="1"/>
    <xf numFmtId="0" fontId="0" fillId="0" borderId="5" xfId="0" applyBorder="1"/>
    <xf numFmtId="0" fontId="0" fillId="0" borderId="7" xfId="0" applyBorder="1" applyAlignment="1">
      <alignment horizontal="left" vertical="center" wrapText="1" readingOrder="1"/>
    </xf>
    <xf numFmtId="0" fontId="0" fillId="0" borderId="6" xfId="0" applyBorder="1" applyAlignment="1">
      <alignment horizontal="left" vertical="center" wrapText="1" readingOrder="1"/>
    </xf>
    <xf numFmtId="0" fontId="15" fillId="17" borderId="1" xfId="0" applyFont="1" applyFill="1" applyBorder="1" applyAlignment="1">
      <alignment horizontal="right"/>
    </xf>
    <xf numFmtId="0" fontId="16" fillId="0" borderId="0" xfId="0" applyFont="1" applyAlignment="1">
      <alignment wrapText="1"/>
    </xf>
    <xf numFmtId="0" fontId="4" fillId="0" borderId="0" xfId="0" applyFont="1"/>
    <xf numFmtId="0" fontId="4" fillId="0" borderId="0" xfId="0" applyFont="1" applyAlignment="1">
      <alignment wrapText="1"/>
    </xf>
    <xf numFmtId="0" fontId="4" fillId="0" borderId="0" xfId="0" applyFont="1" applyAlignment="1">
      <alignment vertical="top" wrapText="1"/>
    </xf>
    <xf numFmtId="0" fontId="3" fillId="2" borderId="9" xfId="0" applyFont="1" applyFill="1" applyBorder="1" applyAlignment="1">
      <alignment horizontal="center"/>
    </xf>
    <xf numFmtId="0" fontId="3" fillId="2" borderId="5"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2" borderId="8" xfId="0" applyFont="1" applyFill="1" applyBorder="1" applyAlignment="1">
      <alignment horizontal="center"/>
    </xf>
    <xf numFmtId="0" fontId="3" fillId="2" borderId="0" xfId="0" applyFont="1" applyFill="1" applyAlignment="1">
      <alignment horizontal="center"/>
    </xf>
    <xf numFmtId="0" fontId="5" fillId="2" borderId="2" xfId="0" applyFont="1" applyFill="1" applyBorder="1" applyAlignment="1">
      <alignment horizontal="center" wrapText="1"/>
    </xf>
    <xf numFmtId="0" fontId="5" fillId="2" borderId="3" xfId="0" applyFont="1" applyFill="1" applyBorder="1" applyAlignment="1">
      <alignment horizontal="center" wrapText="1"/>
    </xf>
    <xf numFmtId="0" fontId="5" fillId="2" borderId="4" xfId="0" applyFont="1" applyFill="1" applyBorder="1" applyAlignment="1">
      <alignment horizontal="center" wrapText="1"/>
    </xf>
    <xf numFmtId="0" fontId="0" fillId="0" borderId="0" xfId="0" applyAlignment="1">
      <alignment horizontal="center"/>
    </xf>
  </cellXfs>
  <cellStyles count="1">
    <cellStyle name="Normal" xfId="0" builtinId="0"/>
  </cellStyles>
  <dxfs count="99">
    <dxf>
      <fill>
        <patternFill>
          <bgColor rgb="FFFF99CC"/>
        </patternFill>
      </fill>
    </dxf>
    <dxf>
      <fill>
        <patternFill>
          <bgColor theme="0" tint="-0.14996795556505021"/>
        </patternFill>
      </fill>
    </dxf>
    <dxf>
      <fill>
        <patternFill>
          <bgColor rgb="FFFFFF00"/>
        </patternFill>
      </fill>
    </dxf>
    <dxf>
      <fill>
        <patternFill>
          <bgColor theme="8" tint="0.59996337778862885"/>
        </patternFill>
      </fill>
    </dxf>
    <dxf>
      <fill>
        <patternFill>
          <bgColor theme="5" tint="0.59996337778862885"/>
        </patternFill>
      </fill>
    </dxf>
    <dxf>
      <font>
        <b/>
        <i/>
      </font>
      <fill>
        <patternFill>
          <bgColor theme="9" tint="0.79998168889431442"/>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rgb="FFFFCCFF"/>
      </font>
      <fill>
        <patternFill>
          <bgColor rgb="FFFFCCFF"/>
        </patternFill>
      </fill>
    </dxf>
    <dxf>
      <fill>
        <patternFill>
          <bgColor rgb="FFFFCCFF"/>
        </patternFill>
      </fill>
    </dxf>
    <dxf>
      <font>
        <color rgb="FFFFCCFF"/>
      </font>
      <fill>
        <patternFill>
          <bgColor rgb="FFFFCCFF"/>
        </patternFill>
      </fill>
    </dxf>
    <dxf>
      <font>
        <color rgb="FFFFCCFF"/>
      </font>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rgb="FFFFCCFF"/>
      </font>
      <fill>
        <patternFill>
          <bgColor rgb="FFFFCCFF"/>
        </patternFill>
      </fill>
    </dxf>
    <dxf>
      <fill>
        <patternFill>
          <bgColor rgb="FFFFCCFF"/>
        </patternFill>
      </fill>
    </dxf>
    <dxf>
      <font>
        <color rgb="FFFFCCFF"/>
      </font>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rgb="FFFFCCFF"/>
      </font>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rgb="FFFFCCFF"/>
      </font>
      <fill>
        <patternFill>
          <bgColor rgb="FFFFCCFF"/>
        </patternFill>
      </fill>
    </dxf>
    <dxf>
      <font>
        <color rgb="FFFFCCFF"/>
      </font>
      <fill>
        <patternFill>
          <bgColor rgb="FFFFCCFF"/>
        </patternFill>
      </fill>
    </dxf>
    <dxf>
      <fill>
        <patternFill>
          <bgColor rgb="FFFFCCFF"/>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auto="1"/>
      </font>
      <fill>
        <patternFill>
          <bgColor rgb="FFFF0000"/>
        </patternFill>
      </fill>
    </dxf>
    <dxf>
      <font>
        <color theme="1" tint="0.24994659260841701"/>
      </font>
      <fill>
        <patternFill>
          <bgColor theme="1" tint="0.24994659260841701"/>
        </patternFill>
      </fill>
    </dxf>
    <dxf>
      <fill>
        <patternFill>
          <bgColor theme="9" tint="0.39994506668294322"/>
        </patternFill>
      </fill>
    </dxf>
    <dxf>
      <fill>
        <patternFill>
          <bgColor rgb="FFFF0000"/>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s>
  <tableStyles count="0" defaultTableStyle="TableStyleMedium2" defaultPivotStyle="PivotStyleLight16"/>
  <colors>
    <mruColors>
      <color rgb="FFFFCCFF"/>
      <color rgb="FFFF99FF"/>
      <color rgb="FF580000"/>
      <color rgb="FFDE8282"/>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Calculator!$B$4</c:f>
          <c:strCache>
            <c:ptCount val="1"/>
            <c:pt idx="0">
              <c:v>Great Jagras</c:v>
            </c:pt>
          </c:strCache>
        </c:strRef>
      </c:tx>
      <c:overlay val="0"/>
      <c:spPr>
        <a:noFill/>
        <a:ln>
          <a:noFill/>
        </a:ln>
        <a:effectLst/>
      </c:spPr>
      <c:txPr>
        <a:bodyPr rot="0" spcFirstLastPara="1" vertOverflow="ellipsis" vert="horz" wrap="square" anchor="ctr" anchorCtr="1"/>
        <a:lstStyle/>
        <a:p>
          <a:pPr>
            <a:defRPr sz="1400" b="1" i="1" u="none" strike="noStrike" kern="1200" cap="none" baseline="0">
              <a:solidFill>
                <a:schemeClr val="accent2">
                  <a:lumMod val="60000"/>
                  <a:lumOff val="40000"/>
                </a:schemeClr>
              </a:solidFill>
              <a:latin typeface="+mn-lt"/>
              <a:ea typeface="+mn-ea"/>
              <a:cs typeface="+mn-cs"/>
            </a:defRPr>
          </a:pPr>
          <a:endParaRPr lang="en-US"/>
        </a:p>
      </c:txPr>
    </c:title>
    <c:autoTitleDeleted val="0"/>
    <c:plotArea>
      <c:layout/>
      <c:radarChart>
        <c:radarStyle val="marker"/>
        <c:varyColors val="0"/>
        <c:ser>
          <c:idx val="0"/>
          <c:order val="0"/>
          <c:tx>
            <c:v>Status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[0]!DynamicMonsterNames</c:f>
              <c:strCache>
                <c:ptCount val="8"/>
                <c:pt idx="0">
                  <c:v>Head, 185</c:v>
                </c:pt>
                <c:pt idx="1">
                  <c:v>Neck, 151</c:v>
                </c:pt>
                <c:pt idx="2">
                  <c:v>Body, 119</c:v>
                </c:pt>
                <c:pt idx="3">
                  <c:v>Back, 103</c:v>
                </c:pt>
                <c:pt idx="4">
                  <c:v>Forelegs, 151</c:v>
                </c:pt>
                <c:pt idx="5">
                  <c:v>Hindlegs, 103</c:v>
                </c:pt>
                <c:pt idx="6">
                  <c:v>Tail, 103</c:v>
                </c:pt>
                <c:pt idx="7">
                  <c:v>Stomach (Inflated), 212</c:v>
                </c:pt>
              </c:strCache>
              <c:extLst xmlns:c15="http://schemas.microsoft.com/office/drawing/2012/chart"/>
            </c:strRef>
          </c:cat>
          <c:val>
            <c:numRef>
              <c:f>[0]!DynamicMonsterValues</c:f>
              <c:numCache>
                <c:formatCode>General</c:formatCode>
                <c:ptCount val="8"/>
                <c:pt idx="0">
                  <c:v>185</c:v>
                </c:pt>
                <c:pt idx="1">
                  <c:v>151</c:v>
                </c:pt>
                <c:pt idx="2">
                  <c:v>119</c:v>
                </c:pt>
                <c:pt idx="3">
                  <c:v>103</c:v>
                </c:pt>
                <c:pt idx="4">
                  <c:v>151</c:v>
                </c:pt>
                <c:pt idx="5">
                  <c:v>103</c:v>
                </c:pt>
                <c:pt idx="6">
                  <c:v>103</c:v>
                </c:pt>
                <c:pt idx="7">
                  <c:v>212</c:v>
                </c:pt>
              </c:numCache>
            </c:numRef>
          </c:val>
          <c:extLst>
            <c:ext xmlns:c16="http://schemas.microsoft.com/office/drawing/2014/chart" uri="{C3380CC4-5D6E-409C-BE32-E72D297353CC}">
              <c16:uniqueId val="{00000000-7877-4DD0-89EB-AAD4E55AA09B}"/>
            </c:ext>
          </c:extLst>
        </c:ser>
        <c:ser>
          <c:idx val="2"/>
          <c:order val="1"/>
          <c:tx>
            <c:v>Element</c:v>
          </c:tx>
          <c:spPr>
            <a:ln w="34925" cap="rnd">
              <a:solidFill>
                <a:srgbClr val="FF0000"/>
              </a:solidFill>
              <a:round/>
            </a:ln>
            <a:effectLst>
              <a:outerShdw blurRad="57150" dist="19050" dir="5400000" algn="ctr" rotWithShape="0">
                <a:srgbClr val="000000">
                  <a:alpha val="63000"/>
                </a:srgbClr>
              </a:outerShdw>
            </a:effectLst>
          </c:spPr>
          <c:marker>
            <c:symbol val="none"/>
          </c:marker>
          <c:val>
            <c:numRef>
              <c:f>[0]!DynamicMonsterElement</c:f>
              <c:numCache>
                <c:formatCode>General</c:formatCode>
                <c:ptCount val="8"/>
                <c:pt idx="0">
                  <c:v>185</c:v>
                </c:pt>
                <c:pt idx="1">
                  <c:v>151</c:v>
                </c:pt>
                <c:pt idx="2">
                  <c:v>119</c:v>
                </c:pt>
                <c:pt idx="3">
                  <c:v>103</c:v>
                </c:pt>
                <c:pt idx="4">
                  <c:v>151</c:v>
                </c:pt>
                <c:pt idx="5">
                  <c:v>103</c:v>
                </c:pt>
                <c:pt idx="6">
                  <c:v>103</c:v>
                </c:pt>
                <c:pt idx="7">
                  <c:v>212</c:v>
                </c:pt>
              </c:numCache>
            </c:numRef>
          </c:val>
          <c:extLst>
            <c:ext xmlns:c16="http://schemas.microsoft.com/office/drawing/2014/chart" uri="{C3380CC4-5D6E-409C-BE32-E72D297353CC}">
              <c16:uniqueId val="{00000001-5E13-464B-A10D-D90BB9578EB5}"/>
            </c:ext>
          </c:extLst>
        </c:ser>
        <c:ser>
          <c:idx val="1"/>
          <c:order val="2"/>
          <c:tx>
            <c:v>Raw</c:v>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[0]!DynamicMonsterRaw</c:f>
              <c:numCache>
                <c:formatCode>General</c:formatCode>
                <c:ptCount val="8"/>
                <c:pt idx="0">
                  <c:v>185</c:v>
                </c:pt>
                <c:pt idx="1">
                  <c:v>151</c:v>
                </c:pt>
                <c:pt idx="2">
                  <c:v>119</c:v>
                </c:pt>
                <c:pt idx="3">
                  <c:v>103</c:v>
                </c:pt>
                <c:pt idx="4">
                  <c:v>151</c:v>
                </c:pt>
                <c:pt idx="5">
                  <c:v>103</c:v>
                </c:pt>
                <c:pt idx="6">
                  <c:v>103</c:v>
                </c:pt>
                <c:pt idx="7">
                  <c:v>212</c:v>
                </c:pt>
              </c:numCache>
            </c:numRef>
          </c:val>
          <c:extLst>
            <c:ext xmlns:c16="http://schemas.microsoft.com/office/drawing/2014/chart" uri="{C3380CC4-5D6E-409C-BE32-E72D297353CC}">
              <c16:uniqueId val="{00000000-C52D-41FC-AFDC-5D43C56FDB8C}"/>
            </c:ext>
          </c:extLst>
        </c:ser>
        <c:ser>
          <c:idx val="3"/>
          <c:order val="3"/>
          <c:tx>
            <c:v>Saved Build</c:v>
          </c:tx>
          <c:spPr>
            <a:ln w="25400" cap="rnd">
              <a:solidFill>
                <a:schemeClr val="accent6"/>
              </a:solidFill>
              <a:prstDash val="sysDash"/>
              <a:round/>
            </a:ln>
            <a:effectLst>
              <a:outerShdw blurRad="57150" dist="19050" dir="5400000" algn="ctr" rotWithShape="0">
                <a:srgbClr val="000000">
                  <a:alpha val="63000"/>
                </a:srgbClr>
              </a:outerShdw>
            </a:effectLst>
          </c:spPr>
          <c:marker>
            <c:symbol val="none"/>
          </c:marker>
          <c:val>
            <c:numRef>
              <c:f>[0]!SavedInfo</c:f>
              <c:numCache>
                <c:formatCode>General</c:formatCode>
                <c:ptCount val="1"/>
                <c:pt idx="0">
                  <c:v>1</c:v>
                </c:pt>
              </c:numCache>
            </c:numRef>
          </c:val>
          <c:extLst>
            <c:ext xmlns:c16="http://schemas.microsoft.com/office/drawing/2014/chart" uri="{C3380CC4-5D6E-409C-BE32-E72D297353CC}">
              <c16:uniqueId val="{00000000-A876-4186-8CE8-E2B89075CDB6}"/>
            </c:ext>
          </c:extLst>
        </c:ser>
        <c:dLbls>
          <c:showLegendKey val="0"/>
          <c:showVal val="0"/>
          <c:showCatName val="0"/>
          <c:showSerName val="0"/>
          <c:showPercent val="0"/>
          <c:showBubbleSize val="0"/>
        </c:dLbls>
        <c:axId val="1465724416"/>
        <c:axId val="1465068624"/>
      </c:radarChart>
      <c:catAx>
        <c:axId val="14657244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1465068624"/>
        <c:crosses val="autoZero"/>
        <c:auto val="1"/>
        <c:lblAlgn val="ctr"/>
        <c:lblOffset val="100"/>
        <c:noMultiLvlLbl val="0"/>
      </c:catAx>
      <c:valAx>
        <c:axId val="1465068624"/>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crossAx val="146572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B$8" lockText="1" noThreeD="1"/>
</file>

<file path=xl/ctrlProps/ctrlProp2.xml><?xml version="1.0" encoding="utf-8"?>
<formControlPr xmlns="http://schemas.microsoft.com/office/spreadsheetml/2009/9/main" objectType="CheckBox" fmlaLink="$B$18" lockText="1" noThreeD="1"/>
</file>

<file path=xl/ctrlProps/ctrlProp3.xml><?xml version="1.0" encoding="utf-8"?>
<formControlPr xmlns="http://schemas.microsoft.com/office/spreadsheetml/2009/9/main" objectType="CheckBox" fmlaLink="$B$17" lockText="1" noThreeD="1"/>
</file>

<file path=xl/ctrlProps/ctrlProp4.xml><?xml version="1.0" encoding="utf-8"?>
<formControlPr xmlns="http://schemas.microsoft.com/office/spreadsheetml/2009/9/main" objectType="CheckBox" fmlaLink="$E$35" lockText="1" noThreeD="1"/>
</file>

<file path=xl/ctrlProps/ctrlProp5.xml><?xml version="1.0" encoding="utf-8"?>
<formControlPr xmlns="http://schemas.microsoft.com/office/spreadsheetml/2009/9/main" objectType="CheckBox" fmlaLink="$B$11" lockText="1" noThreeD="1"/>
</file>

<file path=xl/ctrlProps/ctrlProp6.xml><?xml version="1.0" encoding="utf-8"?>
<formControlPr xmlns="http://schemas.microsoft.com/office/spreadsheetml/2009/9/main" objectType="CheckBox" fmlaLink="$B$14" lockText="1" noThreeD="1"/>
</file>

<file path=xl/ctrlProps/ctrlProp7.xml><?xml version="1.0" encoding="utf-8"?>
<formControlPr xmlns="http://schemas.microsoft.com/office/spreadsheetml/2009/9/main" objectType="CheckBox" fmlaLink="$B$12" lockText="1" noThreeD="1"/>
</file>

<file path=xl/ctrlProps/ctrlProp8.xml><?xml version="1.0" encoding="utf-8"?>
<formControlPr xmlns="http://schemas.microsoft.com/office/spreadsheetml/2009/9/main" objectType="CheckBox" fmlaLink="$B$13" lockText="1" noThreeD="1"/>
</file>

<file path=xl/ctrlProps/ctrlProp9.xml><?xml version="1.0" encoding="utf-8"?>
<formControlPr xmlns="http://schemas.microsoft.com/office/spreadsheetml/2009/9/main" objectType="CheckBox" fmlaLink="$B$25" lockText="1" noThreeD="1"/>
</file>

<file path=xl/ctrlProps/ctrlProp10.xml><?xml version="1.0" encoding="utf-8"?>
<formControlPr xmlns="http://schemas.microsoft.com/office/spreadsheetml/2009/9/main" objectType="CheckBox" fmlaLink="$B$24" lockText="1" noThreeD="1"/>
</file>

<file path=xl/ctrlProps/ctrlProp11.xml><?xml version="1.0" encoding="utf-8"?>
<formControlPr xmlns="http://schemas.microsoft.com/office/spreadsheetml/2009/9/main" objectType="CheckBox" fmlaLink="$B$16" lockText="1" noThreeD="1"/>
</file>

<file path=xl/ctrlProps/ctrlProp12.xml><?xml version="1.0" encoding="utf-8"?>
<formControlPr xmlns="http://schemas.microsoft.com/office/spreadsheetml/2009/9/main" objectType="CheckBox" fmlaLink="$B$15" lockText="1" noThreeD="1"/>
</file>

<file path=xl/ctrlProps/ctrlProp13.xml><?xml version="1.0" encoding="utf-8"?>
<formControlPr xmlns="http://schemas.microsoft.com/office/spreadsheetml/2009/9/main" objectType="CheckBox" fmlaLink="$E$44" lockText="1" noThreeD="1"/>
</file>

<file path=xl/ctrlProps/ctrlProp14.xml><?xml version="1.0" encoding="utf-8"?>
<formControlPr xmlns="http://schemas.microsoft.com/office/spreadsheetml/2009/9/main" objectType="CheckBox" fmlaLink="$E$43" lockText="1" noThreeD="1"/>
</file>

<file path=xl/ctrlProps/ctrlProp15.xml><?xml version="1.0" encoding="utf-8"?>
<formControlPr xmlns="http://schemas.microsoft.com/office/spreadsheetml/2009/9/main" objectType="CheckBox" fmlaLink="$E$4" lockText="1" noThreeD="1"/>
</file>

<file path=xl/ctrlProps/ctrlProp16.xml><?xml version="1.0" encoding="utf-8"?>
<formControlPr xmlns="http://schemas.microsoft.com/office/spreadsheetml/2009/9/main" objectType="CheckBox" fmlaLink="$E$2" lockText="1" noThreeD="1"/>
</file>

<file path=xl/ctrlProps/ctrlProp17.xml><?xml version="1.0" encoding="utf-8"?>
<formControlPr xmlns="http://schemas.microsoft.com/office/spreadsheetml/2009/9/main" objectType="CheckBox" fmlaLink="$E$15" lockText="1" noThreeD="1"/>
</file>

<file path=xl/ctrlProps/ctrlProp18.xml><?xml version="1.0" encoding="utf-8"?>
<formControlPr xmlns="http://schemas.microsoft.com/office/spreadsheetml/2009/9/main" objectType="CheckBox" fmlaLink="$E$38" lockText="1" noThreeD="1"/>
</file>

<file path=xl/ctrlProps/ctrlProp19.xml><?xml version="1.0" encoding="utf-8"?>
<formControlPr xmlns="http://schemas.microsoft.com/office/spreadsheetml/2009/9/main" objectType="CheckBox" fmlaLink="$E$46" lockText="1" noThreeD="1"/>
</file>

<file path=xl/ctrlProps/ctrlProp20.xml><?xml version="1.0" encoding="utf-8"?>
<formControlPr xmlns="http://schemas.microsoft.com/office/spreadsheetml/2009/9/main" objectType="CheckBox" fmlaLink="$B$63" lockText="1" noThreeD="1"/>
</file>

<file path=xl/ctrlProps/ctrlProp21.xml><?xml version="1.0" encoding="utf-8"?>
<formControlPr xmlns="http://schemas.microsoft.com/office/spreadsheetml/2009/9/main" objectType="CheckBox" fmlaLink="$B$27" lockText="1" noThreeD="1"/>
</file>

<file path=xl/ctrlProps/ctrlProp22.xml><?xml version="1.0" encoding="utf-8"?>
<formControlPr xmlns="http://schemas.microsoft.com/office/spreadsheetml/2009/9/main" objectType="CheckBox" fmlaLink="$B$26" lockText="1" noThreeD="1"/>
</file>

<file path=xl/ctrlProps/ctrlProp23.xml><?xml version="1.0" encoding="utf-8"?>
<formControlPr xmlns="http://schemas.microsoft.com/office/spreadsheetml/2009/9/main" objectType="CheckBox" fmlaLink="$B$19" lockText="1" noThreeD="1"/>
</file>

<file path=xl/ctrlProps/ctrlProp24.xml><?xml version="1.0" encoding="utf-8"?>
<formControlPr xmlns="http://schemas.microsoft.com/office/spreadsheetml/2009/9/main" objectType="CheckBox" fmlaLink="$B$20" lockText="1" noThreeD="1"/>
</file>

<file path=xl/ctrlProps/ctrlProp25.xml><?xml version="1.0" encoding="utf-8"?>
<formControlPr xmlns="http://schemas.microsoft.com/office/spreadsheetml/2009/9/main" objectType="CheckBox" fmlaLink="$B$21" lockText="1" noThreeD="1"/>
</file>

<file path=xl/ctrlProps/ctrlProp26.xml><?xml version="1.0" encoding="utf-8"?>
<formControlPr xmlns="http://schemas.microsoft.com/office/spreadsheetml/2009/9/main" objectType="CheckBox" fmlaLink="$B$22" lockText="1" noThreeD="1"/>
</file>

<file path=xl/ctrlProps/ctrlProp27.xml><?xml version="1.0" encoding="utf-8"?>
<formControlPr xmlns="http://schemas.microsoft.com/office/spreadsheetml/2009/9/main" objectType="CheckBox" fmlaLink="$B$23" lockText="1" noThreeD="1"/>
</file>

<file path=xl/ctrlProps/ctrlProp28.xml><?xml version="1.0" encoding="utf-8"?>
<formControlPr xmlns="http://schemas.microsoft.com/office/spreadsheetml/2009/9/main" objectType="CheckBox" fmlaLink="$B$57" lockText="1" noThreeD="1"/>
</file>

<file path=xl/ctrlProps/ctrlProp29.xml><?xml version="1.0" encoding="utf-8"?>
<formControlPr xmlns="http://schemas.microsoft.com/office/spreadsheetml/2009/9/main" objectType="CheckBox" fmlaLink="$B$60" lockText="1" noThreeD="1"/>
</file>

<file path=xl/ctrlProps/ctrlProp30.xml><?xml version="1.0" encoding="utf-8"?>
<formControlPr xmlns="http://schemas.microsoft.com/office/spreadsheetml/2009/9/main" objectType="CheckBox" fmlaLink="#REF!"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6</xdr:row>
          <xdr:rowOff>180975</xdr:rowOff>
        </xdr:from>
        <xdr:to>
          <xdr:col>1</xdr:col>
          <xdr:colOff>2095500</xdr:colOff>
          <xdr:row>8</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16</xdr:row>
          <xdr:rowOff>142875</xdr:rowOff>
        </xdr:from>
        <xdr:to>
          <xdr:col>1</xdr:col>
          <xdr:colOff>2105025</xdr:colOff>
          <xdr:row>18</xdr:row>
          <xdr:rowOff>47625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16</xdr:row>
          <xdr:rowOff>0</xdr:rowOff>
        </xdr:from>
        <xdr:to>
          <xdr:col>1</xdr:col>
          <xdr:colOff>2076450</xdr:colOff>
          <xdr:row>16</xdr:row>
          <xdr:rowOff>180975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5406</xdr:colOff>
      <xdr:row>0</xdr:row>
      <xdr:rowOff>0</xdr:rowOff>
    </xdr:from>
    <xdr:to>
      <xdr:col>17</xdr:col>
      <xdr:colOff>549088</xdr:colOff>
      <xdr:row>25</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1238250</xdr:colOff>
          <xdr:row>34</xdr:row>
          <xdr:rowOff>0</xdr:rowOff>
        </xdr:from>
        <xdr:to>
          <xdr:col>4</xdr:col>
          <xdr:colOff>1419225</xdr:colOff>
          <xdr:row>34</xdr:row>
          <xdr:rowOff>180975</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9525</xdr:rowOff>
        </xdr:from>
        <xdr:to>
          <xdr:col>10</xdr:col>
          <xdr:colOff>447675</xdr:colOff>
          <xdr:row>28</xdr:row>
          <xdr:rowOff>19050</xdr:rowOff>
        </xdr:to>
        <xdr:sp macro="" textlink="">
          <xdr:nvSpPr>
            <xdr:cNvPr id="1053" name="CommandButton1"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29</xdr:row>
          <xdr:rowOff>0</xdr:rowOff>
        </xdr:from>
        <xdr:to>
          <xdr:col>10</xdr:col>
          <xdr:colOff>438150</xdr:colOff>
          <xdr:row>31</xdr:row>
          <xdr:rowOff>9525</xdr:rowOff>
        </xdr:to>
        <xdr:sp macro="" textlink="">
          <xdr:nvSpPr>
            <xdr:cNvPr id="1056" name="CommandButton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10</xdr:row>
          <xdr:rowOff>0</xdr:rowOff>
        </xdr:from>
        <xdr:to>
          <xdr:col>1</xdr:col>
          <xdr:colOff>2076450</xdr:colOff>
          <xdr:row>10</xdr:row>
          <xdr:rowOff>180975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13</xdr:row>
          <xdr:rowOff>0</xdr:rowOff>
        </xdr:from>
        <xdr:to>
          <xdr:col>1</xdr:col>
          <xdr:colOff>2076450</xdr:colOff>
          <xdr:row>13</xdr:row>
          <xdr:rowOff>180975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11</xdr:row>
          <xdr:rowOff>0</xdr:rowOff>
        </xdr:from>
        <xdr:to>
          <xdr:col>1</xdr:col>
          <xdr:colOff>2076450</xdr:colOff>
          <xdr:row>11</xdr:row>
          <xdr:rowOff>180975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12</xdr:row>
          <xdr:rowOff>0</xdr:rowOff>
        </xdr:from>
        <xdr:to>
          <xdr:col>1</xdr:col>
          <xdr:colOff>2076450</xdr:colOff>
          <xdr:row>12</xdr:row>
          <xdr:rowOff>180975</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23</xdr:row>
          <xdr:rowOff>133350</xdr:rowOff>
        </xdr:from>
        <xdr:to>
          <xdr:col>1</xdr:col>
          <xdr:colOff>2105025</xdr:colOff>
          <xdr:row>25</xdr:row>
          <xdr:rowOff>38100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22</xdr:row>
          <xdr:rowOff>133350</xdr:rowOff>
        </xdr:from>
        <xdr:to>
          <xdr:col>1</xdr:col>
          <xdr:colOff>2105025</xdr:colOff>
          <xdr:row>24</xdr:row>
          <xdr:rowOff>38100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15</xdr:row>
          <xdr:rowOff>0</xdr:rowOff>
        </xdr:from>
        <xdr:to>
          <xdr:col>1</xdr:col>
          <xdr:colOff>2076450</xdr:colOff>
          <xdr:row>15</xdr:row>
          <xdr:rowOff>180975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14</xdr:row>
          <xdr:rowOff>0</xdr:rowOff>
        </xdr:from>
        <xdr:to>
          <xdr:col>1</xdr:col>
          <xdr:colOff>2076450</xdr:colOff>
          <xdr:row>14</xdr:row>
          <xdr:rowOff>180975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43</xdr:row>
          <xdr:rowOff>0</xdr:rowOff>
        </xdr:from>
        <xdr:to>
          <xdr:col>4</xdr:col>
          <xdr:colOff>1419225</xdr:colOff>
          <xdr:row>43</xdr:row>
          <xdr:rowOff>180975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42</xdr:row>
          <xdr:rowOff>0</xdr:rowOff>
        </xdr:from>
        <xdr:to>
          <xdr:col>4</xdr:col>
          <xdr:colOff>1419225</xdr:colOff>
          <xdr:row>42</xdr:row>
          <xdr:rowOff>180975</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3</xdr:row>
          <xdr:rowOff>0</xdr:rowOff>
        </xdr:from>
        <xdr:to>
          <xdr:col>4</xdr:col>
          <xdr:colOff>1419225</xdr:colOff>
          <xdr:row>3</xdr:row>
          <xdr:rowOff>180975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1</xdr:row>
          <xdr:rowOff>0</xdr:rowOff>
        </xdr:from>
        <xdr:to>
          <xdr:col>4</xdr:col>
          <xdr:colOff>1419225</xdr:colOff>
          <xdr:row>1</xdr:row>
          <xdr:rowOff>180975</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14</xdr:row>
          <xdr:rowOff>0</xdr:rowOff>
        </xdr:from>
        <xdr:to>
          <xdr:col>4</xdr:col>
          <xdr:colOff>1419225</xdr:colOff>
          <xdr:row>14</xdr:row>
          <xdr:rowOff>180975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37</xdr:row>
          <xdr:rowOff>0</xdr:rowOff>
        </xdr:from>
        <xdr:to>
          <xdr:col>4</xdr:col>
          <xdr:colOff>1419225</xdr:colOff>
          <xdr:row>37</xdr:row>
          <xdr:rowOff>180975</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45</xdr:row>
          <xdr:rowOff>0</xdr:rowOff>
        </xdr:from>
        <xdr:to>
          <xdr:col>4</xdr:col>
          <xdr:colOff>1419225</xdr:colOff>
          <xdr:row>45</xdr:row>
          <xdr:rowOff>180975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61</xdr:row>
          <xdr:rowOff>142875</xdr:rowOff>
        </xdr:from>
        <xdr:to>
          <xdr:col>1</xdr:col>
          <xdr:colOff>2114550</xdr:colOff>
          <xdr:row>63</xdr:row>
          <xdr:rowOff>47625</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25</xdr:row>
          <xdr:rowOff>133350</xdr:rowOff>
        </xdr:from>
        <xdr:to>
          <xdr:col>1</xdr:col>
          <xdr:colOff>2105025</xdr:colOff>
          <xdr:row>27</xdr:row>
          <xdr:rowOff>38100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24</xdr:row>
          <xdr:rowOff>133350</xdr:rowOff>
        </xdr:from>
        <xdr:to>
          <xdr:col>1</xdr:col>
          <xdr:colOff>2105025</xdr:colOff>
          <xdr:row>26</xdr:row>
          <xdr:rowOff>38100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17</xdr:row>
          <xdr:rowOff>142875</xdr:rowOff>
        </xdr:from>
        <xdr:to>
          <xdr:col>1</xdr:col>
          <xdr:colOff>2105025</xdr:colOff>
          <xdr:row>19</xdr:row>
          <xdr:rowOff>47625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18</xdr:row>
          <xdr:rowOff>142875</xdr:rowOff>
        </xdr:from>
        <xdr:to>
          <xdr:col>1</xdr:col>
          <xdr:colOff>2105025</xdr:colOff>
          <xdr:row>20</xdr:row>
          <xdr:rowOff>47625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19</xdr:row>
          <xdr:rowOff>142875</xdr:rowOff>
        </xdr:from>
        <xdr:to>
          <xdr:col>1</xdr:col>
          <xdr:colOff>2105025</xdr:colOff>
          <xdr:row>21</xdr:row>
          <xdr:rowOff>47625</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20</xdr:row>
          <xdr:rowOff>142875</xdr:rowOff>
        </xdr:from>
        <xdr:to>
          <xdr:col>1</xdr:col>
          <xdr:colOff>2105025</xdr:colOff>
          <xdr:row>22</xdr:row>
          <xdr:rowOff>47625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21</xdr:row>
          <xdr:rowOff>142875</xdr:rowOff>
        </xdr:from>
        <xdr:to>
          <xdr:col>1</xdr:col>
          <xdr:colOff>2105025</xdr:colOff>
          <xdr:row>23</xdr:row>
          <xdr:rowOff>47625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55</xdr:row>
          <xdr:rowOff>142875</xdr:rowOff>
        </xdr:from>
        <xdr:to>
          <xdr:col>1</xdr:col>
          <xdr:colOff>2114550</xdr:colOff>
          <xdr:row>57</xdr:row>
          <xdr:rowOff>47625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58</xdr:row>
          <xdr:rowOff>142875</xdr:rowOff>
        </xdr:from>
        <xdr:to>
          <xdr:col>1</xdr:col>
          <xdr:colOff>2114550</xdr:colOff>
          <xdr:row>60</xdr:row>
          <xdr:rowOff>47625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61</xdr:row>
          <xdr:rowOff>142875</xdr:rowOff>
        </xdr:from>
        <xdr:to>
          <xdr:col>1</xdr:col>
          <xdr:colOff>2114550</xdr:colOff>
          <xdr:row>63</xdr:row>
          <xdr:rowOff>47625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31</xdr:row>
          <xdr:rowOff>180975</xdr:rowOff>
        </xdr:from>
        <xdr:to>
          <xdr:col>10</xdr:col>
          <xdr:colOff>438150</xdr:colOff>
          <xdr:row>34</xdr:row>
          <xdr:rowOff>0</xdr:rowOff>
        </xdr:to>
        <xdr:sp macro="" textlink="">
          <xdr:nvSpPr>
            <xdr:cNvPr id="1113" name="CommandButton3"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0.60245</cdr:x>
      <cdr:y>0.00508</cdr:y>
    </cdr:from>
    <cdr:to>
      <cdr:x>1</cdr:x>
      <cdr:y>0.06607</cdr:y>
    </cdr:to>
    <cdr:sp macro="" textlink="Backdoors!$BS$1">
      <cdr:nvSpPr>
        <cdr:cNvPr id="2" name="TextBox 1">
          <a:extLst xmlns:a="http://schemas.openxmlformats.org/drawingml/2006/main">
            <a:ext uri="{FF2B5EF4-FFF2-40B4-BE49-F238E27FC236}">
              <a16:creationId xmlns:a16="http://schemas.microsoft.com/office/drawing/2014/main" id="{174CF775-A081-ACF3-91F1-F38016E18EAE}"/>
            </a:ext>
          </a:extLst>
        </cdr:cNvPr>
        <cdr:cNvSpPr txBox="1"/>
      </cdr:nvSpPr>
      <cdr:spPr>
        <a:xfrm xmlns:a="http://schemas.openxmlformats.org/drawingml/2006/main">
          <a:off x="4415120" y="24820"/>
          <a:ext cx="2913529" cy="29798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75EF4884-9E87-4BF6-B826-3E9E7871A0B2}" type="TxLink">
            <a:rPr lang="en-US" sz="1200" b="1" i="1" u="none" strike="noStrike">
              <a:solidFill>
                <a:schemeClr val="accent2">
                  <a:lumMod val="40000"/>
                  <a:lumOff val="60000"/>
                </a:schemeClr>
              </a:solidFill>
              <a:latin typeface="Calibri"/>
              <a:ea typeface="Calibri"/>
              <a:cs typeface="Calibri"/>
            </a:rPr>
            <a:pPr algn="r"/>
            <a:t> </a:t>
          </a:fld>
          <a:endParaRPr lang="en-US" sz="1200" b="1" i="1">
            <a:solidFill>
              <a:schemeClr val="accent2">
                <a:lumMod val="40000"/>
                <a:lumOff val="60000"/>
              </a:schemeClr>
            </a:solidFill>
          </a:endParaRPr>
        </a:p>
      </cdr:txBody>
    </cdr:sp>
  </cdr:relSizeAnchor>
  <cdr:relSizeAnchor xmlns:cdr="http://schemas.openxmlformats.org/drawingml/2006/chartDrawing">
    <cdr:from>
      <cdr:x>0.62747</cdr:x>
      <cdr:y>0.08746</cdr:y>
    </cdr:from>
    <cdr:to>
      <cdr:x>1</cdr:x>
      <cdr:y>0.14845</cdr:y>
    </cdr:to>
    <cdr:sp macro="" textlink="Backdoors!$BS$3">
      <cdr:nvSpPr>
        <cdr:cNvPr id="3" name="TextBox 1">
          <a:extLst xmlns:a="http://schemas.openxmlformats.org/drawingml/2006/main">
            <a:ext uri="{FF2B5EF4-FFF2-40B4-BE49-F238E27FC236}">
              <a16:creationId xmlns:a16="http://schemas.microsoft.com/office/drawing/2014/main" id="{0DBA0845-3EA9-EDB9-F273-1D072DB619C6}"/>
            </a:ext>
          </a:extLst>
        </cdr:cNvPr>
        <cdr:cNvSpPr txBox="1"/>
      </cdr:nvSpPr>
      <cdr:spPr>
        <a:xfrm xmlns:a="http://schemas.openxmlformats.org/drawingml/2006/main">
          <a:off x="4356048" y="416549"/>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B165211F-35A1-4D1F-90AD-AEB3DB415D4A}"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dr:relSizeAnchor xmlns:cdr="http://schemas.openxmlformats.org/drawingml/2006/chartDrawing">
    <cdr:from>
      <cdr:x>0.62747</cdr:x>
      <cdr:y>0.16577</cdr:y>
    </cdr:from>
    <cdr:to>
      <cdr:x>1</cdr:x>
      <cdr:y>0.22675</cdr:y>
    </cdr:to>
    <cdr:sp macro="" textlink="Backdoors!$BS$5">
      <cdr:nvSpPr>
        <cdr:cNvPr id="4" name="TextBox 1">
          <a:extLst xmlns:a="http://schemas.openxmlformats.org/drawingml/2006/main">
            <a:ext uri="{FF2B5EF4-FFF2-40B4-BE49-F238E27FC236}">
              <a16:creationId xmlns:a16="http://schemas.microsoft.com/office/drawing/2014/main" id="{0DBA0845-3EA9-EDB9-F273-1D072DB619C6}"/>
            </a:ext>
          </a:extLst>
        </cdr:cNvPr>
        <cdr:cNvSpPr txBox="1"/>
      </cdr:nvSpPr>
      <cdr:spPr>
        <a:xfrm xmlns:a="http://schemas.openxmlformats.org/drawingml/2006/main">
          <a:off x="4356048" y="789486"/>
          <a:ext cx="2586193" cy="2904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6B63FD6E-60F1-4AC2-871D-94F91F4B2FC4}"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0.00688</cdr:y>
    </cdr:from>
    <cdr:to>
      <cdr:x>0.48467</cdr:x>
      <cdr:y>0.09404</cdr:y>
    </cdr:to>
    <cdr:sp macro="" textlink="Backdoors!$BS$6">
      <cdr:nvSpPr>
        <cdr:cNvPr id="15" name="TextBox 14">
          <a:extLst xmlns:a="http://schemas.openxmlformats.org/drawingml/2006/main">
            <a:ext uri="{FF2B5EF4-FFF2-40B4-BE49-F238E27FC236}">
              <a16:creationId xmlns:a16="http://schemas.microsoft.com/office/drawing/2014/main" id="{43A27D49-9B63-3D49-EF52-9773AB7E23C5}"/>
            </a:ext>
          </a:extLst>
        </cdr:cNvPr>
        <cdr:cNvSpPr txBox="1"/>
      </cdr:nvSpPr>
      <cdr:spPr>
        <a:xfrm xmlns:a="http://schemas.openxmlformats.org/drawingml/2006/main">
          <a:off x="0" y="32766"/>
          <a:ext cx="2919329" cy="415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fld id="{0DE32CFB-B243-4D47-B14A-9C801114486C}" type="TxLink">
            <a:rPr lang="en-US" sz="1200" b="1" i="1" u="none" strike="noStrike">
              <a:solidFill>
                <a:schemeClr val="accent2">
                  <a:lumMod val="40000"/>
                  <a:lumOff val="60000"/>
                </a:schemeClr>
              </a:solidFill>
              <a:latin typeface="Calibri"/>
              <a:ea typeface="Calibri"/>
              <a:cs typeface="Calibri"/>
            </a:rPr>
            <a:pPr algn="l"/>
            <a:t>Current Build: Matched Slicers I</a:t>
          </a:fld>
          <a:endParaRPr lang="en-US" sz="1200" b="1" i="1">
            <a:solidFill>
              <a:schemeClr val="accent2">
                <a:lumMod val="40000"/>
                <a:lumOff val="60000"/>
              </a:schemeClr>
            </a:solidFill>
          </a:endParaRPr>
        </a:p>
      </cdr:txBody>
    </cdr:sp>
  </cdr:relSizeAnchor>
  <cdr:relSizeAnchor xmlns:cdr="http://schemas.openxmlformats.org/drawingml/2006/chartDrawing">
    <cdr:from>
      <cdr:x>0</cdr:x>
      <cdr:y>0.09156</cdr:y>
    </cdr:from>
    <cdr:to>
      <cdr:x>0.37253</cdr:x>
      <cdr:y>0.15255</cdr:y>
    </cdr:to>
    <cdr:sp macro="" textlink="Backdoors!$BS$8">
      <cdr:nvSpPr>
        <cdr:cNvPr id="17" name="TextBox 1">
          <a:extLst xmlns:a="http://schemas.openxmlformats.org/drawingml/2006/main">
            <a:ext uri="{FF2B5EF4-FFF2-40B4-BE49-F238E27FC236}">
              <a16:creationId xmlns:a16="http://schemas.microsoft.com/office/drawing/2014/main" id="{BE1CE774-B69C-50B0-38B0-52B32A61D502}"/>
            </a:ext>
          </a:extLst>
        </cdr:cNvPr>
        <cdr:cNvSpPr txBox="1"/>
      </cdr:nvSpPr>
      <cdr:spPr>
        <a:xfrm xmlns:a="http://schemas.openxmlformats.org/drawingml/2006/main">
          <a:off x="0" y="436074"/>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5B7DCE1-1688-431F-96CE-AEE46F397F1C}" type="TxLink">
            <a:rPr lang="en-US" sz="1100" b="1" i="1" u="none" strike="noStrike">
              <a:solidFill>
                <a:schemeClr val="accent2">
                  <a:lumMod val="40000"/>
                  <a:lumOff val="60000"/>
                </a:schemeClr>
              </a:solidFill>
              <a:latin typeface="Calibri"/>
              <a:ea typeface="Calibri"/>
              <a:cs typeface="Calibri"/>
            </a:rPr>
            <a:pPr algn="l"/>
            <a:t>Primer Hit Zone: Head</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0.16799</cdr:y>
    </cdr:from>
    <cdr:to>
      <cdr:x>0.37253</cdr:x>
      <cdr:y>0.22897</cdr:y>
    </cdr:to>
    <cdr:sp macro="" textlink="Backdoors!$BS$10">
      <cdr:nvSpPr>
        <cdr:cNvPr id="18" name="TextBox 1">
          <a:extLst xmlns:a="http://schemas.openxmlformats.org/drawingml/2006/main">
            <a:ext uri="{FF2B5EF4-FFF2-40B4-BE49-F238E27FC236}">
              <a16:creationId xmlns:a16="http://schemas.microsoft.com/office/drawing/2014/main" id="{CA042EB2-F545-4227-5C93-02F5D9AD6FE8}"/>
            </a:ext>
          </a:extLst>
        </cdr:cNvPr>
        <cdr:cNvSpPr txBox="1"/>
      </cdr:nvSpPr>
      <cdr:spPr>
        <a:xfrm xmlns:a="http://schemas.openxmlformats.org/drawingml/2006/main">
          <a:off x="0" y="800045"/>
          <a:ext cx="2586193" cy="2904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6FACB0B-D2E7-4B7E-B454-CA37038E97A2}" type="TxLink">
            <a:rPr lang="en-US" sz="1100" b="1" i="1" u="none" strike="noStrike">
              <a:solidFill>
                <a:schemeClr val="accent2">
                  <a:lumMod val="40000"/>
                  <a:lumOff val="60000"/>
                </a:schemeClr>
              </a:solidFill>
              <a:latin typeface="Calibri"/>
              <a:ea typeface="Calibri"/>
              <a:cs typeface="Calibri"/>
            </a:rPr>
            <a:pPr algn="l"/>
            <a:t>Primer Damage: 185</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0.05067</cdr:y>
    </cdr:from>
    <cdr:to>
      <cdr:x>0.37253</cdr:x>
      <cdr:y>0.11166</cdr:y>
    </cdr:to>
    <cdr:sp macro="" textlink="Backdoors!$BS$7">
      <cdr:nvSpPr>
        <cdr:cNvPr id="5" name="TextBox 1">
          <a:extLst xmlns:a="http://schemas.openxmlformats.org/drawingml/2006/main">
            <a:ext uri="{FF2B5EF4-FFF2-40B4-BE49-F238E27FC236}">
              <a16:creationId xmlns:a16="http://schemas.microsoft.com/office/drawing/2014/main" id="{3A9FC0F8-EEAF-73D7-2992-B64D526600D2}"/>
            </a:ext>
          </a:extLst>
        </cdr:cNvPr>
        <cdr:cNvSpPr txBox="1"/>
      </cdr:nvSpPr>
      <cdr:spPr>
        <a:xfrm xmlns:a="http://schemas.openxmlformats.org/drawingml/2006/main">
          <a:off x="0" y="241301"/>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0261E2EB-9A86-4431-83C8-326B156C5553}" type="TxLink">
            <a:rPr lang="en-US" sz="1100" b="1" i="1" u="none" strike="noStrike">
              <a:solidFill>
                <a:schemeClr val="accent2">
                  <a:lumMod val="40000"/>
                  <a:lumOff val="60000"/>
                </a:schemeClr>
              </a:solidFill>
              <a:latin typeface="Calibri"/>
              <a:ea typeface="Calibri"/>
              <a:cs typeface="Calibri"/>
            </a:rPr>
            <a:pPr algn="l"/>
            <a:t>Weapon Type: Dual Blades</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0.12831</cdr:y>
    </cdr:from>
    <cdr:to>
      <cdr:x>0.37253</cdr:x>
      <cdr:y>0.18929</cdr:y>
    </cdr:to>
    <cdr:sp macro="" textlink="Backdoors!$BS$9">
      <cdr:nvSpPr>
        <cdr:cNvPr id="6" name="TextBox 1">
          <a:extLst xmlns:a="http://schemas.openxmlformats.org/drawingml/2006/main">
            <a:ext uri="{FF2B5EF4-FFF2-40B4-BE49-F238E27FC236}">
              <a16:creationId xmlns:a16="http://schemas.microsoft.com/office/drawing/2014/main" id="{98F900A3-00D9-A29A-AAEF-A05B00B0641A}"/>
            </a:ext>
          </a:extLst>
        </cdr:cNvPr>
        <cdr:cNvSpPr txBox="1"/>
      </cdr:nvSpPr>
      <cdr:spPr>
        <a:xfrm xmlns:a="http://schemas.openxmlformats.org/drawingml/2006/main">
          <a:off x="0" y="611096"/>
          <a:ext cx="2586193" cy="2904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CF7782E-E2A9-4C9F-B3B4-3825AB0A6BE0}" type="TxLink">
            <a:rPr lang="en-US" sz="1100" b="1" i="1" u="none" strike="noStrike">
              <a:solidFill>
                <a:schemeClr val="accent2">
                  <a:lumMod val="40000"/>
                  <a:lumOff val="60000"/>
                </a:schemeClr>
              </a:solidFill>
              <a:latin typeface="Calibri"/>
              <a:ea typeface="Calibri"/>
              <a:cs typeface="Calibri"/>
            </a:rPr>
            <a:pPr algn="l"/>
            <a:t>Combo: Sixfold -&gt; Blade Dance</a:t>
          </a:fld>
          <a:endParaRPr lang="en-US" sz="1100" b="1" i="1">
            <a:solidFill>
              <a:schemeClr val="accent2">
                <a:lumMod val="40000"/>
                <a:lumOff val="60000"/>
              </a:schemeClr>
            </a:solidFill>
          </a:endParaRPr>
        </a:p>
      </cdr:txBody>
    </cdr:sp>
  </cdr:relSizeAnchor>
  <cdr:relSizeAnchor xmlns:cdr="http://schemas.openxmlformats.org/drawingml/2006/chartDrawing">
    <cdr:from>
      <cdr:x>0.62747</cdr:x>
      <cdr:y>0.04596</cdr:y>
    </cdr:from>
    <cdr:to>
      <cdr:x>1</cdr:x>
      <cdr:y>0.10695</cdr:y>
    </cdr:to>
    <cdr:sp macro="" textlink="Backdoors!$BS$2">
      <cdr:nvSpPr>
        <cdr:cNvPr id="7" name="TextBox 1">
          <a:extLst xmlns:a="http://schemas.openxmlformats.org/drawingml/2006/main">
            <a:ext uri="{FF2B5EF4-FFF2-40B4-BE49-F238E27FC236}">
              <a16:creationId xmlns:a16="http://schemas.microsoft.com/office/drawing/2014/main" id="{6CD7775D-9A82-D595-F608-B878D15160A7}"/>
            </a:ext>
          </a:extLst>
        </cdr:cNvPr>
        <cdr:cNvSpPr txBox="1"/>
      </cdr:nvSpPr>
      <cdr:spPr>
        <a:xfrm xmlns:a="http://schemas.openxmlformats.org/drawingml/2006/main">
          <a:off x="4356048" y="218888"/>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4F5DC012-D711-41CA-9432-29260F096608}"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dr:relSizeAnchor xmlns:cdr="http://schemas.openxmlformats.org/drawingml/2006/chartDrawing">
    <cdr:from>
      <cdr:x>0.62747</cdr:x>
      <cdr:y>0.12596</cdr:y>
    </cdr:from>
    <cdr:to>
      <cdr:x>1</cdr:x>
      <cdr:y>0.18695</cdr:y>
    </cdr:to>
    <cdr:sp macro="" textlink="Backdoors!$BS$4">
      <cdr:nvSpPr>
        <cdr:cNvPr id="8" name="TextBox 1">
          <a:extLst xmlns:a="http://schemas.openxmlformats.org/drawingml/2006/main">
            <a:ext uri="{FF2B5EF4-FFF2-40B4-BE49-F238E27FC236}">
              <a16:creationId xmlns:a16="http://schemas.microsoft.com/office/drawing/2014/main" id="{5431247B-845B-96E6-013E-7F5A214998B3}"/>
            </a:ext>
          </a:extLst>
        </cdr:cNvPr>
        <cdr:cNvSpPr txBox="1"/>
      </cdr:nvSpPr>
      <cdr:spPr>
        <a:xfrm xmlns:a="http://schemas.openxmlformats.org/drawingml/2006/main">
          <a:off x="4356048" y="599888"/>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5419E34D-6715-4BFF-8D8E-1274315ECBBB}"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userShap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39B1C-2766-4949-9597-8A89301E4DF2}">
  <sheetPr codeName="Sheet1"/>
  <dimension ref="A1:AJ250"/>
  <sheetViews>
    <sheetView tabSelected="1" zoomScale="85" zoomScaleNormal="85" workbookViewId="0">
      <selection activeCell="M30" sqref="M30"/>
    </sheetView>
  </sheetViews>
  <sheetFormatPr defaultRowHeight="15" x14ac:dyDescent="0.25"/>
  <cols>
    <col min="1" max="1" width="35.28515625" bestFit="1" customWidth="1"/>
    <col min="2" max="2" width="31.85546875" customWidth="1"/>
    <col min="3" max="3" width="22.28515625" bestFit="1" customWidth="1"/>
    <col min="4" max="4" width="25.28515625" customWidth="1"/>
    <col min="5" max="5" width="21.85546875" customWidth="1"/>
    <col min="7" max="7" width="21.140625" bestFit="1" customWidth="1"/>
    <col min="8" max="8" width="30.28515625" bestFit="1" customWidth="1"/>
    <col min="10" max="10" width="23" customWidth="1"/>
    <col min="11" max="11" width="18.42578125" bestFit="1" customWidth="1"/>
    <col min="16" max="16" width="9.140625" customWidth="1"/>
  </cols>
  <sheetData>
    <row r="1" spans="1:8" x14ac:dyDescent="0.25">
      <c r="A1" s="104" t="s">
        <v>185</v>
      </c>
      <c r="B1" s="104"/>
      <c r="D1" s="104" t="s">
        <v>509</v>
      </c>
      <c r="E1" s="104"/>
      <c r="G1" s="104" t="s">
        <v>245</v>
      </c>
      <c r="H1" s="104"/>
    </row>
    <row r="2" spans="1:8" x14ac:dyDescent="0.25">
      <c r="A2" s="4" t="s">
        <v>160</v>
      </c>
      <c r="B2" s="7" t="s">
        <v>177</v>
      </c>
      <c r="D2" s="4" t="s">
        <v>507</v>
      </c>
      <c r="E2" s="47" t="b">
        <v>0</v>
      </c>
      <c r="G2" s="4" t="s">
        <v>186</v>
      </c>
      <c r="H2" s="46" t="str">
        <f>Backdoors!B2</f>
        <v>Dual Blades</v>
      </c>
    </row>
    <row r="3" spans="1:8" x14ac:dyDescent="0.25">
      <c r="A3" s="4" t="s">
        <v>596</v>
      </c>
      <c r="B3" s="7" t="s">
        <v>1566</v>
      </c>
      <c r="D3" s="4" t="s">
        <v>591</v>
      </c>
      <c r="E3" s="6">
        <v>0</v>
      </c>
      <c r="G3" s="4" t="s">
        <v>506</v>
      </c>
      <c r="H3" s="46">
        <f>IF(OR(Backdoors!B2="Light Bowgun",Backdoors!B2="Heavy Bowgun"),Backdoors!B32,Backdoors!B7)</f>
        <v>112</v>
      </c>
    </row>
    <row r="4" spans="1:8" x14ac:dyDescent="0.25">
      <c r="A4" s="4" t="s">
        <v>739</v>
      </c>
      <c r="B4" s="7" t="s">
        <v>514</v>
      </c>
      <c r="D4" s="4" t="s">
        <v>871</v>
      </c>
      <c r="E4" s="47" t="b">
        <v>0</v>
      </c>
      <c r="G4" s="4" t="str">
        <f>IF(AND(Backdoors!B2&lt;&gt;"Light Bowgun",Backdoors!B2&lt;&gt;"Heavy Bowgun"),IF(Backdoors!B9&lt;&gt;"Raw",CONCATENATE("Display ",Backdoors!B9),"N/A"),"N/A")</f>
        <v>N/A</v>
      </c>
      <c r="H4" s="46">
        <f>IF(AND(Backdoors!B2&lt;&gt;"Light Bowgun",Backdoors!B2&lt;&gt;"Heavy Bowgun"),IF(Backdoors!B10="Element",Backdoors!B18,IF(Backdoors!B10="Status",Backdoors!B20,0)),"N/A")</f>
        <v>0</v>
      </c>
    </row>
    <row r="5" spans="1:8" x14ac:dyDescent="0.25">
      <c r="A5" s="4" t="s">
        <v>595</v>
      </c>
      <c r="B5" s="7" t="s">
        <v>1558</v>
      </c>
      <c r="D5" s="4" t="s">
        <v>875</v>
      </c>
      <c r="E5" s="6">
        <v>0</v>
      </c>
      <c r="G5" s="4" t="str">
        <f>IF(Backdoors!B11&lt;&gt;"Raw",CONCATENATE("Display ",Backdoors!B11),"N/A")</f>
        <v>N/A</v>
      </c>
      <c r="H5" s="46" t="str">
        <f>IF(Backdoors!B11&lt;&gt;"Raw",IF(Backdoors!B12="Element",Backdoors!B18,IF(Backdoors!B12="Status",Backdoors!B20,0)),"N/A")</f>
        <v>N/A</v>
      </c>
    </row>
    <row r="6" spans="1:8" x14ac:dyDescent="0.25">
      <c r="A6" s="4" t="s">
        <v>1565</v>
      </c>
      <c r="B6" s="7" t="s">
        <v>1559</v>
      </c>
      <c r="D6" s="38" t="s">
        <v>181</v>
      </c>
      <c r="E6" s="39">
        <v>0</v>
      </c>
      <c r="G6" s="4" t="s">
        <v>692</v>
      </c>
      <c r="H6" s="46" t="str">
        <f>IF(VLOOKUP(B2,tbWeapons!A2:AG271,33,FALSE)="Free Element",IF(OR(E11&gt;0,E42&gt;0),CONCATENATE((ROUND(Backdoors!AC7*100,2)),"% unlocked."),"Locked."),"Unlocked.")</f>
        <v>Unlocked.</v>
      </c>
    </row>
    <row r="7" spans="1:8" x14ac:dyDescent="0.25">
      <c r="A7" s="4" t="s">
        <v>1132</v>
      </c>
      <c r="B7" s="7" t="s">
        <v>1133</v>
      </c>
      <c r="D7" s="4" t="s">
        <v>765</v>
      </c>
      <c r="E7" s="6">
        <v>0</v>
      </c>
      <c r="G7" s="4" t="s">
        <v>203</v>
      </c>
      <c r="H7" s="46" t="str">
        <f>Backdoors!B9</f>
        <v>Raw</v>
      </c>
    </row>
    <row r="8" spans="1:8" x14ac:dyDescent="0.25">
      <c r="A8" s="4" t="s">
        <v>635</v>
      </c>
      <c r="B8" s="47" t="b">
        <v>0</v>
      </c>
      <c r="D8" s="38" t="s">
        <v>229</v>
      </c>
      <c r="E8" s="39">
        <v>0</v>
      </c>
      <c r="G8" s="4" t="s">
        <v>549</v>
      </c>
      <c r="H8" s="46" t="str">
        <f>Backdoors!B11</f>
        <v>Raw</v>
      </c>
    </row>
    <row r="9" spans="1:8" x14ac:dyDescent="0.25">
      <c r="A9" s="4" t="s">
        <v>598</v>
      </c>
      <c r="B9" s="7" t="s">
        <v>599</v>
      </c>
      <c r="D9" s="38" t="s">
        <v>256</v>
      </c>
      <c r="E9" s="39">
        <v>0</v>
      </c>
      <c r="G9" s="4" t="s">
        <v>162</v>
      </c>
      <c r="H9" s="46" t="str">
        <f>CONCATENATE(Backdoors!AI12,"%",IF(E23&gt;0,CONCATENATE(" + ",Backdoors!AI14,"% (Theoretical WEX)"),""))</f>
        <v>0%</v>
      </c>
    </row>
    <row r="10" spans="1:8" x14ac:dyDescent="0.25">
      <c r="A10" s="4" t="s">
        <v>266</v>
      </c>
      <c r="B10" s="7" t="s">
        <v>1537</v>
      </c>
      <c r="D10" s="4" t="s">
        <v>1563</v>
      </c>
      <c r="E10" s="58" t="s">
        <v>1564</v>
      </c>
      <c r="G10" s="104" t="s">
        <v>588</v>
      </c>
      <c r="H10" s="104"/>
    </row>
    <row r="11" spans="1:8" x14ac:dyDescent="0.25">
      <c r="A11" s="62" t="s">
        <v>879</v>
      </c>
      <c r="B11" s="97" t="b">
        <v>0</v>
      </c>
      <c r="D11" s="4" t="s">
        <v>687</v>
      </c>
      <c r="E11" s="6">
        <v>0</v>
      </c>
      <c r="G11" s="34" t="s">
        <v>673</v>
      </c>
      <c r="H11" s="46" t="str" cm="1">
        <f t="array" aca="1" ref="H11" ca="1">INDIRECT("Backdoors!AX"&amp;MATCH("Primer",Backdoors!BH3:BH46,0)+2)</f>
        <v>Head</v>
      </c>
    </row>
    <row r="12" spans="1:8" x14ac:dyDescent="0.25">
      <c r="A12" s="4" t="s">
        <v>878</v>
      </c>
      <c r="B12" s="50" t="b">
        <v>0</v>
      </c>
      <c r="D12" s="4" t="s">
        <v>880</v>
      </c>
      <c r="E12" s="6">
        <v>0</v>
      </c>
      <c r="G12" s="34" t="s">
        <v>148</v>
      </c>
      <c r="H12" s="35">
        <f ca="1">Backdoors!BP2</f>
        <v>185</v>
      </c>
    </row>
    <row r="13" spans="1:8" x14ac:dyDescent="0.25">
      <c r="A13" s="4" t="s">
        <v>883</v>
      </c>
      <c r="B13" s="50" t="b">
        <v>0</v>
      </c>
      <c r="D13" s="4" t="s">
        <v>762</v>
      </c>
      <c r="E13" s="6">
        <v>0</v>
      </c>
      <c r="G13" s="34" t="s">
        <v>244</v>
      </c>
      <c r="H13" s="35">
        <f ca="1">ROUND(H12/(COUNT(BackdoorsMoveset!H36:H44)+COUNT(BackdoorsMoveset!H55:H70)),0)</f>
        <v>7</v>
      </c>
    </row>
    <row r="14" spans="1:8" x14ac:dyDescent="0.25">
      <c r="A14" s="4" t="s">
        <v>886</v>
      </c>
      <c r="B14" s="50" t="b">
        <v>0</v>
      </c>
      <c r="D14" s="4" t="s">
        <v>718</v>
      </c>
      <c r="E14" s="6">
        <v>0</v>
      </c>
      <c r="G14" s="34" t="s">
        <v>243</v>
      </c>
      <c r="H14" s="35">
        <f ca="1">ROUND(H12/Backdoors!A36,0)</f>
        <v>29</v>
      </c>
    </row>
    <row r="15" spans="1:8" x14ac:dyDescent="0.25">
      <c r="A15" s="62" t="s">
        <v>887</v>
      </c>
      <c r="B15" s="97" t="b">
        <v>0</v>
      </c>
      <c r="D15" s="4" t="s">
        <v>589</v>
      </c>
      <c r="E15" s="47" t="b">
        <v>0</v>
      </c>
      <c r="G15" s="34" t="s">
        <v>1557</v>
      </c>
      <c r="H15" s="35" t="str">
        <f ca="1">CONCATENATE(ROUNDUP((H24/H12),1)," rotations.")</f>
        <v>7.7 rotations.</v>
      </c>
    </row>
    <row r="16" spans="1:8" x14ac:dyDescent="0.25">
      <c r="A16" s="4" t="s">
        <v>881</v>
      </c>
      <c r="B16" s="50" t="b">
        <v>0</v>
      </c>
      <c r="D16" s="4" t="s">
        <v>874</v>
      </c>
      <c r="E16" s="6">
        <v>0</v>
      </c>
      <c r="G16" s="34" t="s">
        <v>569</v>
      </c>
      <c r="H16" s="46" t="str">
        <f>IF(OR(Backdoors!B2="Light Bowgun",Backdoors!B2="Heavy Bowgun",Backdoors!B2="Bow"),"N/A",CONCATENATE(Backdoors!E26,IF(AND(E35=TRUE,E23&gt;0),CONCATENATE(IF(Backdoors!E26="Infinite",CONCATENATE(""),CONCATENATE("-")),Backdoors!E27," hits.")," hits.")))</f>
        <v>180 hits.</v>
      </c>
    </row>
    <row r="17" spans="1:8" x14ac:dyDescent="0.25">
      <c r="A17" s="4" t="s">
        <v>545</v>
      </c>
      <c r="B17" s="47" t="b">
        <v>0</v>
      </c>
      <c r="D17" s="4" t="s">
        <v>882</v>
      </c>
      <c r="E17" s="6">
        <v>0</v>
      </c>
      <c r="G17" s="104" t="s">
        <v>587</v>
      </c>
      <c r="H17" s="104"/>
    </row>
    <row r="18" spans="1:8" x14ac:dyDescent="0.25">
      <c r="A18" s="4" t="s">
        <v>585</v>
      </c>
      <c r="B18" s="50" t="b">
        <v>0</v>
      </c>
      <c r="D18" s="4" t="s">
        <v>719</v>
      </c>
      <c r="E18" s="6">
        <v>0</v>
      </c>
      <c r="G18" s="4" t="s">
        <v>634</v>
      </c>
      <c r="H18" s="46" t="str">
        <f>CONCATENATE("Rarity ",VLOOKUP(B2,tbWeapons!A2:AF271,32,FALSE))</f>
        <v>Rarity 1</v>
      </c>
    </row>
    <row r="19" spans="1:8" x14ac:dyDescent="0.25">
      <c r="A19" s="34" t="s">
        <v>1544</v>
      </c>
      <c r="B19" s="50" t="b">
        <v>0</v>
      </c>
      <c r="D19" s="4" t="s">
        <v>876</v>
      </c>
      <c r="E19" s="6">
        <v>0</v>
      </c>
      <c r="G19" s="34" t="s">
        <v>705</v>
      </c>
      <c r="H19" s="46" t="str">
        <f>Backdoors!H13</f>
        <v>None.</v>
      </c>
    </row>
    <row r="20" spans="1:8" x14ac:dyDescent="0.25">
      <c r="A20" s="4" t="s">
        <v>1542</v>
      </c>
      <c r="B20" s="50" t="b">
        <v>0</v>
      </c>
      <c r="D20" s="4" t="s">
        <v>717</v>
      </c>
      <c r="E20" s="6">
        <v>0</v>
      </c>
      <c r="G20" s="34" t="s">
        <v>716</v>
      </c>
      <c r="H20" s="46" t="str">
        <f>IF(AND(VLOOKUP(B2,tbWeapons!A2:AG271,33,FALSE)&lt;&gt;"Free Element",VLOOKUP(B2,tbWeapons!A2:AG271,33,FALSE)&lt;&gt;""),VLOOKUP(B2,tbWeapons!A2:AG271,33,FALSE),"None.")</f>
        <v>None.</v>
      </c>
    </row>
    <row r="21" spans="1:8" x14ac:dyDescent="0.25">
      <c r="A21" s="34" t="s">
        <v>1543</v>
      </c>
      <c r="B21" s="50" t="b">
        <v>0</v>
      </c>
      <c r="D21" s="4" t="s">
        <v>873</v>
      </c>
      <c r="E21" s="6">
        <v>0</v>
      </c>
      <c r="G21" s="34" t="s">
        <v>499</v>
      </c>
      <c r="H21" s="45" t="str">
        <f ca="1">CONCATENATE(ROUND((Backdoors!BL2/Backdoors!BP2)*100,2),"%")</f>
        <v>100%</v>
      </c>
    </row>
    <row r="22" spans="1:8" x14ac:dyDescent="0.25">
      <c r="A22" s="34" t="s">
        <v>1545</v>
      </c>
      <c r="B22" s="50" t="b">
        <v>0</v>
      </c>
      <c r="D22" s="4" t="s">
        <v>877</v>
      </c>
      <c r="E22" s="6">
        <v>0</v>
      </c>
      <c r="G22" s="34" t="s">
        <v>500</v>
      </c>
      <c r="H22" s="11" t="str">
        <f ca="1">CONCATENATE(ROUND((Backdoors!BM2/Backdoors!BP2)*100,2),"%")</f>
        <v>0%</v>
      </c>
    </row>
    <row r="23" spans="1:8" x14ac:dyDescent="0.25">
      <c r="A23" s="34" t="s">
        <v>1546</v>
      </c>
      <c r="B23" s="50" t="b">
        <v>0</v>
      </c>
      <c r="D23" s="38" t="s">
        <v>510</v>
      </c>
      <c r="E23" s="39">
        <v>0</v>
      </c>
      <c r="G23" s="34" t="s">
        <v>501</v>
      </c>
      <c r="H23" s="11" t="str">
        <f ca="1">CONCATENATE(ROUND((Backdoors!BO2/Backdoors!BP2)*100,2),"%")</f>
        <v>0%</v>
      </c>
    </row>
    <row r="24" spans="1:8" x14ac:dyDescent="0.25">
      <c r="A24" s="4" t="s">
        <v>884</v>
      </c>
      <c r="B24" s="50" t="b">
        <v>0</v>
      </c>
      <c r="D24" s="42" t="s">
        <v>491</v>
      </c>
      <c r="E24" s="6">
        <v>0</v>
      </c>
      <c r="G24" s="34" t="s">
        <v>619</v>
      </c>
      <c r="H24" s="11" t="str">
        <f>CONCATENATE(Backdoors!N8,IF(B9="Capture Monster"," (Capture)",""))</f>
        <v>1408</v>
      </c>
    </row>
    <row r="25" spans="1:8" x14ac:dyDescent="0.25">
      <c r="A25" s="34" t="s">
        <v>885</v>
      </c>
      <c r="B25" s="50" t="b">
        <v>0</v>
      </c>
      <c r="D25" s="44" t="s">
        <v>492</v>
      </c>
      <c r="E25" s="6">
        <v>0</v>
      </c>
      <c r="G25" s="34" t="s">
        <v>1058</v>
      </c>
      <c r="H25" s="11" t="str">
        <f>CONCATENATE(ROUND(Backdoors!N5*100,2),"% of the time.")</f>
        <v>60% of the time.</v>
      </c>
    </row>
    <row r="26" spans="1:8" x14ac:dyDescent="0.25">
      <c r="A26" s="34" t="s">
        <v>1536</v>
      </c>
      <c r="B26" s="50" t="b">
        <v>0</v>
      </c>
      <c r="D26" s="43" t="s">
        <v>493</v>
      </c>
      <c r="E26" s="6">
        <v>0</v>
      </c>
    </row>
    <row r="27" spans="1:8" x14ac:dyDescent="0.25">
      <c r="A27" s="34" t="s">
        <v>1535</v>
      </c>
      <c r="B27" s="50" t="b">
        <v>0</v>
      </c>
      <c r="D27" s="18" t="s">
        <v>497</v>
      </c>
      <c r="E27" s="6">
        <v>0</v>
      </c>
    </row>
    <row r="28" spans="1:8" x14ac:dyDescent="0.25">
      <c r="A28" s="34" t="s">
        <v>1093</v>
      </c>
      <c r="B28" s="6">
        <v>0</v>
      </c>
      <c r="D28" s="59" t="s">
        <v>498</v>
      </c>
      <c r="E28" s="6">
        <v>0</v>
      </c>
    </row>
    <row r="29" spans="1:8" x14ac:dyDescent="0.25">
      <c r="A29" s="103" t="s">
        <v>740</v>
      </c>
      <c r="B29" s="103"/>
      <c r="D29" s="53" t="s">
        <v>579</v>
      </c>
      <c r="E29" s="6">
        <v>0</v>
      </c>
    </row>
    <row r="30" spans="1:8" x14ac:dyDescent="0.25">
      <c r="A30" s="4" t="s">
        <v>694</v>
      </c>
      <c r="B30" s="7"/>
      <c r="D30" s="54" t="s">
        <v>580</v>
      </c>
      <c r="E30" s="6">
        <v>0</v>
      </c>
    </row>
    <row r="31" spans="1:8" x14ac:dyDescent="0.25">
      <c r="A31" s="4" t="s">
        <v>696</v>
      </c>
      <c r="B31" s="7"/>
      <c r="D31" s="103" t="s">
        <v>208</v>
      </c>
      <c r="E31" s="103"/>
    </row>
    <row r="32" spans="1:8" x14ac:dyDescent="0.25">
      <c r="A32" s="4" t="s">
        <v>695</v>
      </c>
      <c r="B32" s="7"/>
      <c r="D32" s="4" t="s">
        <v>209</v>
      </c>
      <c r="E32" s="31" t="str">
        <f>Backdoors!E20</f>
        <v>Yellow</v>
      </c>
    </row>
    <row r="33" spans="1:14" x14ac:dyDescent="0.25">
      <c r="A33" s="103" t="s">
        <v>838</v>
      </c>
      <c r="B33" s="103"/>
      <c r="D33" s="32" t="s">
        <v>195</v>
      </c>
      <c r="E33" s="33">
        <v>0</v>
      </c>
    </row>
    <row r="34" spans="1:14" x14ac:dyDescent="0.25">
      <c r="A34" s="4" t="s">
        <v>694</v>
      </c>
      <c r="B34" s="7"/>
      <c r="D34" s="34" t="s">
        <v>210</v>
      </c>
      <c r="E34" s="35" t="str">
        <f>IF(Backdoors!$E4&lt;&gt;Backdoors!$E6,IF(((10-Backdoors!E14+2)/2)=0,"No upgrade",CONCATENATE(IF(Backdoors!E9&lt;&gt;"N/A",CONCATENATE("Handicraft Lv",(((10-Backdoors!E7)-Backdoors!E11)+2)/2,", "),""),"Handicraft Lv",(10-Backdoors!E7+2)/2)),"No upgrade")</f>
        <v>Handicraft Lv3</v>
      </c>
    </row>
    <row r="35" spans="1:14" x14ac:dyDescent="0.25">
      <c r="A35" s="4" t="s">
        <v>696</v>
      </c>
      <c r="B35" s="7"/>
      <c r="D35" s="34" t="s">
        <v>592</v>
      </c>
      <c r="E35" s="47" t="b">
        <v>0</v>
      </c>
      <c r="N35" s="5"/>
    </row>
    <row r="36" spans="1:14" x14ac:dyDescent="0.25">
      <c r="A36" s="4" t="s">
        <v>695</v>
      </c>
      <c r="B36" s="7"/>
      <c r="D36" s="34" t="s">
        <v>720</v>
      </c>
      <c r="E36" s="58">
        <v>0</v>
      </c>
    </row>
    <row r="37" spans="1:14" x14ac:dyDescent="0.25">
      <c r="A37" s="4" t="s">
        <v>839</v>
      </c>
      <c r="B37" s="7"/>
      <c r="D37" s="104" t="s">
        <v>508</v>
      </c>
      <c r="E37" s="104"/>
    </row>
    <row r="38" spans="1:14" x14ac:dyDescent="0.25">
      <c r="A38" s="4" t="s">
        <v>840</v>
      </c>
      <c r="B38" s="7"/>
      <c r="D38" s="4" t="s">
        <v>622</v>
      </c>
      <c r="E38" s="47" t="b">
        <v>0</v>
      </c>
    </row>
    <row r="39" spans="1:14" x14ac:dyDescent="0.25">
      <c r="A39" s="4" t="s">
        <v>853</v>
      </c>
      <c r="B39" s="7"/>
      <c r="D39" s="4" t="s">
        <v>513</v>
      </c>
      <c r="E39" s="6">
        <v>0</v>
      </c>
    </row>
    <row r="40" spans="1:14" x14ac:dyDescent="0.25">
      <c r="A40" s="4" t="s">
        <v>854</v>
      </c>
      <c r="B40" s="7"/>
      <c r="D40" s="4" t="s">
        <v>570</v>
      </c>
      <c r="E40" s="6">
        <v>0</v>
      </c>
    </row>
    <row r="41" spans="1:14" x14ac:dyDescent="0.25">
      <c r="A41" s="48" t="s">
        <v>856</v>
      </c>
      <c r="B41" s="64" t="str">
        <f>CONCATENATE(Backdoors!K35," / ",Backdoors!K36)</f>
        <v>0 / 0</v>
      </c>
      <c r="D41" s="4" t="s">
        <v>1057</v>
      </c>
      <c r="E41" s="6">
        <v>0</v>
      </c>
    </row>
    <row r="42" spans="1:14" x14ac:dyDescent="0.25">
      <c r="A42" s="103" t="s">
        <v>852</v>
      </c>
      <c r="B42" s="103"/>
      <c r="D42" s="4" t="s">
        <v>763</v>
      </c>
      <c r="E42" s="6">
        <v>0</v>
      </c>
    </row>
    <row r="43" spans="1:14" x14ac:dyDescent="0.25">
      <c r="A43" s="4" t="s">
        <v>999</v>
      </c>
      <c r="B43" s="7"/>
      <c r="D43" s="4" t="s">
        <v>872</v>
      </c>
      <c r="E43" s="47" t="b">
        <v>0</v>
      </c>
    </row>
    <row r="44" spans="1:14" x14ac:dyDescent="0.25">
      <c r="A44" s="4" t="s">
        <v>1000</v>
      </c>
      <c r="B44" s="7"/>
      <c r="D44" s="4" t="s">
        <v>1094</v>
      </c>
      <c r="E44" s="47" t="b">
        <v>0</v>
      </c>
    </row>
    <row r="45" spans="1:14" x14ac:dyDescent="0.25">
      <c r="A45" s="4" t="s">
        <v>1001</v>
      </c>
      <c r="B45" s="7"/>
      <c r="D45" s="4" t="s">
        <v>798</v>
      </c>
      <c r="E45" s="6">
        <v>0</v>
      </c>
    </row>
    <row r="46" spans="1:14" x14ac:dyDescent="0.25">
      <c r="A46" s="4" t="s">
        <v>1002</v>
      </c>
      <c r="B46" s="7"/>
      <c r="D46" s="4" t="s">
        <v>764</v>
      </c>
      <c r="E46" s="47" t="b">
        <v>0</v>
      </c>
    </row>
    <row r="47" spans="1:14" x14ac:dyDescent="0.25">
      <c r="A47" s="4" t="s">
        <v>1003</v>
      </c>
      <c r="B47" s="7"/>
    </row>
    <row r="48" spans="1:14" x14ac:dyDescent="0.25">
      <c r="A48" s="4" t="s">
        <v>1004</v>
      </c>
      <c r="B48" s="7"/>
      <c r="N48" s="5"/>
    </row>
    <row r="49" spans="1:2" x14ac:dyDescent="0.25">
      <c r="A49" s="4" t="s">
        <v>1005</v>
      </c>
      <c r="B49" s="7"/>
    </row>
    <row r="50" spans="1:2" x14ac:dyDescent="0.25">
      <c r="A50" s="103" t="s">
        <v>1011</v>
      </c>
      <c r="B50" s="103"/>
    </row>
    <row r="51" spans="1:2" x14ac:dyDescent="0.25">
      <c r="A51" s="4" t="s">
        <v>1006</v>
      </c>
      <c r="B51" s="7"/>
    </row>
    <row r="52" spans="1:2" x14ac:dyDescent="0.25">
      <c r="A52" s="4" t="s">
        <v>1007</v>
      </c>
      <c r="B52" s="7"/>
    </row>
    <row r="53" spans="1:2" x14ac:dyDescent="0.25">
      <c r="A53" s="4" t="s">
        <v>1008</v>
      </c>
      <c r="B53" s="7"/>
    </row>
    <row r="54" spans="1:2" x14ac:dyDescent="0.25">
      <c r="A54" s="4" t="s">
        <v>1009</v>
      </c>
      <c r="B54" s="7"/>
    </row>
    <row r="55" spans="1:2" x14ac:dyDescent="0.25">
      <c r="A55" s="4" t="s">
        <v>1010</v>
      </c>
      <c r="B55" s="7"/>
    </row>
    <row r="56" spans="1:2" x14ac:dyDescent="0.25">
      <c r="A56" s="102" t="s">
        <v>1225</v>
      </c>
      <c r="B56" s="102"/>
    </row>
    <row r="57" spans="1:2" x14ac:dyDescent="0.25">
      <c r="A57" s="4" t="s">
        <v>1551</v>
      </c>
      <c r="B57" s="47" t="b">
        <v>0</v>
      </c>
    </row>
    <row r="58" spans="1:2" x14ac:dyDescent="0.25">
      <c r="A58" s="4" t="s">
        <v>1547</v>
      </c>
      <c r="B58" s="7" t="s">
        <v>1537</v>
      </c>
    </row>
    <row r="59" spans="1:2" x14ac:dyDescent="0.25">
      <c r="A59" s="4" t="s">
        <v>1549</v>
      </c>
      <c r="B59" s="7" t="s">
        <v>1537</v>
      </c>
    </row>
    <row r="60" spans="1:2" x14ac:dyDescent="0.25">
      <c r="A60" s="4" t="s">
        <v>1553</v>
      </c>
      <c r="B60" s="47" t="b">
        <v>0</v>
      </c>
    </row>
    <row r="61" spans="1:2" x14ac:dyDescent="0.25">
      <c r="A61" s="4" t="s">
        <v>1555</v>
      </c>
      <c r="B61" s="7" t="s">
        <v>1537</v>
      </c>
    </row>
    <row r="62" spans="1:2" x14ac:dyDescent="0.25">
      <c r="A62" s="4" t="s">
        <v>1227</v>
      </c>
      <c r="B62" s="7" t="s">
        <v>1228</v>
      </c>
    </row>
    <row r="63" spans="1:2" x14ac:dyDescent="0.25">
      <c r="A63" s="4" t="s">
        <v>1226</v>
      </c>
      <c r="B63" s="47" t="b">
        <v>0</v>
      </c>
    </row>
    <row r="179" spans="1:1" x14ac:dyDescent="0.25">
      <c r="A179" t="s">
        <v>427</v>
      </c>
    </row>
    <row r="203" spans="35:36" x14ac:dyDescent="0.25">
      <c r="AI203" t="b">
        <v>1</v>
      </c>
      <c r="AJ203" t="b">
        <v>1</v>
      </c>
    </row>
    <row r="205" spans="35:36" x14ac:dyDescent="0.25">
      <c r="AI205" s="61" t="b">
        <v>1</v>
      </c>
      <c r="AJ205" s="61" t="b">
        <v>0</v>
      </c>
    </row>
    <row r="206" spans="35:36" x14ac:dyDescent="0.25">
      <c r="AI206" s="61"/>
      <c r="AJ206" s="61"/>
    </row>
    <row r="207" spans="35:36" x14ac:dyDescent="0.25">
      <c r="AI207" t="b">
        <v>1</v>
      </c>
      <c r="AJ207" t="b">
        <v>0</v>
      </c>
    </row>
    <row r="219" spans="35:36" x14ac:dyDescent="0.25">
      <c r="AI219" s="60" t="b">
        <v>1</v>
      </c>
      <c r="AJ219" s="60" t="b">
        <v>0</v>
      </c>
    </row>
    <row r="232" spans="1:36" x14ac:dyDescent="0.25">
      <c r="A232" t="s">
        <v>488</v>
      </c>
      <c r="AI232" s="60" t="b">
        <v>1</v>
      </c>
      <c r="AJ232" s="60" t="b">
        <v>0</v>
      </c>
    </row>
    <row r="235" spans="1:36" x14ac:dyDescent="0.25">
      <c r="AI235" t="b">
        <v>1</v>
      </c>
      <c r="AJ235" t="b">
        <v>0</v>
      </c>
    </row>
    <row r="237" spans="1:36" x14ac:dyDescent="0.25">
      <c r="AI237" t="b">
        <v>1</v>
      </c>
      <c r="AJ237" t="b">
        <v>0</v>
      </c>
    </row>
    <row r="238" spans="1:36" x14ac:dyDescent="0.25">
      <c r="AG238" t="s">
        <v>702</v>
      </c>
      <c r="AI238" t="b">
        <v>1</v>
      </c>
      <c r="AJ238" t="b">
        <v>0</v>
      </c>
    </row>
    <row r="239" spans="1:36" x14ac:dyDescent="0.25">
      <c r="AG239" t="s">
        <v>703</v>
      </c>
      <c r="AI239" t="b">
        <v>1</v>
      </c>
      <c r="AJ239" t="b">
        <v>0</v>
      </c>
    </row>
    <row r="240" spans="1:36" x14ac:dyDescent="0.25">
      <c r="AG240" t="s">
        <v>704</v>
      </c>
      <c r="AI240" t="b">
        <v>1</v>
      </c>
      <c r="AJ240" t="b">
        <v>0</v>
      </c>
    </row>
    <row r="241" spans="35:36" x14ac:dyDescent="0.25">
      <c r="AI241" t="b">
        <v>1</v>
      </c>
      <c r="AJ241" t="b">
        <v>0</v>
      </c>
    </row>
    <row r="242" spans="35:36" x14ac:dyDescent="0.25">
      <c r="AI242" s="60" t="b">
        <v>1</v>
      </c>
      <c r="AJ242" s="60" t="b">
        <v>0</v>
      </c>
    </row>
    <row r="244" spans="35:36" x14ac:dyDescent="0.25">
      <c r="AI244" t="b">
        <v>1</v>
      </c>
      <c r="AJ244" t="b">
        <v>0</v>
      </c>
    </row>
    <row r="245" spans="35:36" x14ac:dyDescent="0.25">
      <c r="AI245" s="60" t="b">
        <v>1</v>
      </c>
      <c r="AJ245" s="60" t="b">
        <v>0</v>
      </c>
    </row>
    <row r="246" spans="35:36" x14ac:dyDescent="0.25">
      <c r="AI246" s="60" t="b">
        <v>1</v>
      </c>
      <c r="AJ246" s="60" t="b">
        <v>0</v>
      </c>
    </row>
    <row r="248" spans="35:36" x14ac:dyDescent="0.25">
      <c r="AI248" t="b">
        <v>1</v>
      </c>
      <c r="AJ248" t="b">
        <v>0</v>
      </c>
    </row>
    <row r="249" spans="35:36" x14ac:dyDescent="0.25">
      <c r="AI249" s="60" t="b">
        <v>1</v>
      </c>
      <c r="AJ249" s="60" t="b">
        <v>0</v>
      </c>
    </row>
    <row r="250" spans="35:36" x14ac:dyDescent="0.25">
      <c r="AI250" s="60" t="b">
        <v>1</v>
      </c>
      <c r="AJ250" s="60" t="b">
        <v>0</v>
      </c>
    </row>
  </sheetData>
  <mergeCells count="12">
    <mergeCell ref="A56:B56"/>
    <mergeCell ref="A50:B50"/>
    <mergeCell ref="D37:E37"/>
    <mergeCell ref="G1:H1"/>
    <mergeCell ref="G10:H10"/>
    <mergeCell ref="D31:E31"/>
    <mergeCell ref="A33:B33"/>
    <mergeCell ref="A42:B42"/>
    <mergeCell ref="G17:H17"/>
    <mergeCell ref="A1:B1"/>
    <mergeCell ref="A29:B29"/>
    <mergeCell ref="D1:E1"/>
  </mergeCells>
  <conditionalFormatting sqref="B57">
    <cfRule type="expression" dxfId="98" priority="72">
      <formula>$B$2&lt;&gt;"Hammer"</formula>
    </cfRule>
  </conditionalFormatting>
  <conditionalFormatting sqref="B6">
    <cfRule type="expression" dxfId="97" priority="66">
      <formula>$B$4&lt;&gt;"Velkhana"</formula>
    </cfRule>
  </conditionalFormatting>
  <dataValidations count="16">
    <dataValidation type="list" allowBlank="1" showInputMessage="1" showErrorMessage="1" sqref="B10" xr:uid="{0CD8D52B-EF44-4481-913B-9543B9760C23}">
      <formula1>"None,Small,Medium,Large"</formula1>
    </dataValidation>
    <dataValidation type="list" allowBlank="1" showInputMessage="1" showErrorMessage="1" sqref="B5" xr:uid="{5F670D90-359F-4D6C-83C0-650AD4FC2C56}">
      <formula1>"Calm/Exhausted,Enraged,Both States"</formula1>
    </dataValidation>
    <dataValidation type="list" allowBlank="1" showInputMessage="1" showErrorMessage="1" sqref="B3" xr:uid="{F2727DF7-DAAC-4083-BD79-F8EB09CF0440}">
      <formula1>"Low Rank,High Rank,Master Rank"</formula1>
    </dataValidation>
    <dataValidation type="list" allowBlank="1" showInputMessage="1" showErrorMessage="1" sqref="B9" xr:uid="{A68669E0-463B-4EE0-9B57-6312BDAAF964}">
      <formula1>"Cart Monster, Capture Monster"</formula1>
    </dataValidation>
    <dataValidation type="list" allowBlank="1" showInputMessage="1" showErrorMessage="1" sqref="B30:B32" xr:uid="{6FDC5D6B-81E6-430D-8338-8BF80801203F}">
      <formula1>"Attack Increase,Affinity Increase,Slot Increase"</formula1>
    </dataValidation>
    <dataValidation type="list" allowBlank="1" showInputMessage="1" showErrorMessage="1" sqref="B48" xr:uid="{EAFB608A-6D22-4B16-9BDB-B2C69D34548C}">
      <formula1>"Multi-Increase (weapon-specfic)"</formula1>
    </dataValidation>
    <dataValidation type="list" allowBlank="1" showInputMessage="1" showErrorMessage="1" sqref="B49" xr:uid="{8762B724-A4AA-4FC0-A9CA-FF7D4B97FC17}">
      <formula1>"Attack Increase,Affinity Increase,Element/Status Effect Up,Sharpness Increase"</formula1>
    </dataValidation>
    <dataValidation type="list" allowBlank="1" showInputMessage="1" showErrorMessage="1" sqref="B34:B40" xr:uid="{F65184E1-A2CF-4028-B772-86F006792B6D}">
      <formula1>"Attack Increase,Affinity Increase,Defense Increase,Slot Upgrade,Health Regen,Element/Status Effect Up"</formula1>
    </dataValidation>
    <dataValidation type="list" allowBlank="1" showInputMessage="1" showErrorMessage="1" sqref="B43:B47" xr:uid="{E89065D7-3C5C-4503-BCE1-6A5A5A8CC174}">
      <formula1>"Attack Increase,Affinity Increase,Element/Status Effect Up"</formula1>
    </dataValidation>
    <dataValidation type="list" allowBlank="1" showInputMessage="1" showErrorMessage="1" sqref="B28" xr:uid="{8C27AE76-257D-439C-B8C5-0ED90FCAF2F7}">
      <formula1>"0,10,30,50,70,90,110,130,150,170,190,210,230,250,270,290,310,330,350,370,390"</formula1>
    </dataValidation>
    <dataValidation type="list" allowBlank="1" showInputMessage="1" showErrorMessage="1" sqref="B62" xr:uid="{4FD71468-0E81-4C2D-B660-EBF8EFD27D3D}">
      <formula1>"Clear,White,Yellow,Red"</formula1>
    </dataValidation>
    <dataValidation type="list" allowBlank="1" showInputMessage="1" showErrorMessage="1" sqref="B58" xr:uid="{8604B8F9-5992-4ABB-9BB7-C6EC7F84D045}">
      <formula1>"None,Attack Up (S),Attack Up (L), Attack Up (XL)"</formula1>
    </dataValidation>
    <dataValidation type="list" allowBlank="1" showInputMessage="1" showErrorMessage="1" sqref="B59" xr:uid="{15744C79-A43B-4F3B-AE89-4F68D6B133BC}">
      <formula1>"None,Element Attack Boost (S),Element Attack Boost (L),Element Effectiveness Up,EEU+Element Attack Boost (S),EEU+Element Attack Boost (L)"</formula1>
    </dataValidation>
    <dataValidation type="list" allowBlank="1" showInputMessage="1" showErrorMessage="1" sqref="B61" xr:uid="{E4A71884-1615-4FA4-9F4E-7D4634052A2C}">
      <formula1>"None,Red+White Extract,Triple Extract"</formula1>
    </dataValidation>
    <dataValidation type="list" allowBlank="1" showInputMessage="1" showErrorMessage="1" sqref="B6" xr:uid="{A8BA7F95-1BE3-471D-A2CA-BE1A7DB43B1C}">
      <formula1>"Level 0,Level 1,Level 2"</formula1>
    </dataValidation>
    <dataValidation type="list" allowBlank="1" showInputMessage="1" showErrorMessage="1" sqref="E10" xr:uid="{53305CF7-CC9B-4A81-89C2-181ED2C7EAA4}">
      <formula1>"No carts., 1 cart., 2 carts."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13" r:id="rId4" name="CommandButton3">
          <controlPr defaultSize="0" autoLine="0" r:id="rId5">
            <anchor moveWithCells="1">
              <from>
                <xdr:col>8</xdr:col>
                <xdr:colOff>590550</xdr:colOff>
                <xdr:row>31</xdr:row>
                <xdr:rowOff>180975</xdr:rowOff>
              </from>
              <to>
                <xdr:col>10</xdr:col>
                <xdr:colOff>438150</xdr:colOff>
                <xdr:row>34</xdr:row>
                <xdr:rowOff>0</xdr:rowOff>
              </to>
            </anchor>
          </controlPr>
        </control>
      </mc:Choice>
      <mc:Fallback>
        <control shapeId="1113" r:id="rId4" name="CommandButton3"/>
      </mc:Fallback>
    </mc:AlternateContent>
    <mc:AlternateContent xmlns:mc="http://schemas.openxmlformats.org/markup-compatibility/2006">
      <mc:Choice Requires="x14">
        <control shapeId="1053" r:id="rId6" name="CommandButton1">
          <controlPr defaultSize="0" autoLine="0" r:id="rId7">
            <anchor moveWithCells="1">
              <from>
                <xdr:col>9</xdr:col>
                <xdr:colOff>0</xdr:colOff>
                <xdr:row>26</xdr:row>
                <xdr:rowOff>9525</xdr:rowOff>
              </from>
              <to>
                <xdr:col>10</xdr:col>
                <xdr:colOff>447675</xdr:colOff>
                <xdr:row>28</xdr:row>
                <xdr:rowOff>19050</xdr:rowOff>
              </to>
            </anchor>
          </controlPr>
        </control>
      </mc:Choice>
      <mc:Fallback>
        <control shapeId="1053" r:id="rId6" name="CommandButton1"/>
      </mc:Fallback>
    </mc:AlternateContent>
    <mc:AlternateContent xmlns:mc="http://schemas.openxmlformats.org/markup-compatibility/2006">
      <mc:Choice Requires="x14">
        <control shapeId="1056" r:id="rId8" name="CommandButton2">
          <controlPr defaultSize="0" autoLine="0" r:id="rId9">
            <anchor moveWithCells="1">
              <from>
                <xdr:col>8</xdr:col>
                <xdr:colOff>590550</xdr:colOff>
                <xdr:row>29</xdr:row>
                <xdr:rowOff>0</xdr:rowOff>
              </from>
              <to>
                <xdr:col>10</xdr:col>
                <xdr:colOff>438150</xdr:colOff>
                <xdr:row>31</xdr:row>
                <xdr:rowOff>9525</xdr:rowOff>
              </to>
            </anchor>
          </controlPr>
        </control>
      </mc:Choice>
      <mc:Fallback>
        <control shapeId="1056" r:id="rId8" name="CommandButton2"/>
      </mc:Fallback>
    </mc:AlternateContent>
    <mc:AlternateContent xmlns:mc="http://schemas.openxmlformats.org/markup-compatibility/2006">
      <mc:Choice Requires="x14">
        <control shapeId="1030" r:id="rId10" name="Check Box 6">
          <controlPr defaultSize="0" autoFill="0" autoLine="0" autoPict="0">
            <anchor moveWithCells="1">
              <from>
                <xdr:col>1</xdr:col>
                <xdr:colOff>1914525</xdr:colOff>
                <xdr:row>6</xdr:row>
                <xdr:rowOff>180975</xdr:rowOff>
              </from>
              <to>
                <xdr:col>1</xdr:col>
                <xdr:colOff>2095500</xdr:colOff>
                <xdr:row>8</xdr:row>
                <xdr:rowOff>0</xdr:rowOff>
              </to>
            </anchor>
          </controlPr>
        </control>
      </mc:Choice>
    </mc:AlternateContent>
    <mc:AlternateContent xmlns:mc="http://schemas.openxmlformats.org/markup-compatibility/2006">
      <mc:Choice Requires="x14">
        <control shapeId="1041" r:id="rId11" name="Check Box 17">
          <controlPr defaultSize="0" autoFill="0" autoLine="0" autoPict="0">
            <anchor moveWithCells="1">
              <from>
                <xdr:col>1</xdr:col>
                <xdr:colOff>1914525</xdr:colOff>
                <xdr:row>16</xdr:row>
                <xdr:rowOff>142875</xdr:rowOff>
              </from>
              <to>
                <xdr:col>1</xdr:col>
                <xdr:colOff>2105025</xdr:colOff>
                <xdr:row>18</xdr:row>
                <xdr:rowOff>47625</xdr:rowOff>
              </to>
            </anchor>
          </controlPr>
        </control>
      </mc:Choice>
    </mc:AlternateContent>
    <mc:AlternateContent xmlns:mc="http://schemas.openxmlformats.org/markup-compatibility/2006">
      <mc:Choice Requires="x14">
        <control shapeId="1042" r:id="rId12" name="Check Box 18">
          <controlPr defaultSize="0" autoFill="0" autoLine="0" autoPict="0">
            <anchor moveWithCells="1">
              <from>
                <xdr:col>1</xdr:col>
                <xdr:colOff>1914525</xdr:colOff>
                <xdr:row>16</xdr:row>
                <xdr:rowOff>0</xdr:rowOff>
              </from>
              <to>
                <xdr:col>1</xdr:col>
                <xdr:colOff>2076450</xdr:colOff>
                <xdr:row>16</xdr:row>
                <xdr:rowOff>180975</xdr:rowOff>
              </to>
            </anchor>
          </controlPr>
        </control>
      </mc:Choice>
    </mc:AlternateContent>
    <mc:AlternateContent xmlns:mc="http://schemas.openxmlformats.org/markup-compatibility/2006">
      <mc:Choice Requires="x14">
        <control shapeId="1049" r:id="rId13" name="Check Box 25">
          <controlPr defaultSize="0" autoFill="0" autoLine="0" autoPict="0">
            <anchor moveWithCells="1">
              <from>
                <xdr:col>4</xdr:col>
                <xdr:colOff>1238250</xdr:colOff>
                <xdr:row>34</xdr:row>
                <xdr:rowOff>0</xdr:rowOff>
              </from>
              <to>
                <xdr:col>4</xdr:col>
                <xdr:colOff>1419225</xdr:colOff>
                <xdr:row>34</xdr:row>
                <xdr:rowOff>180975</xdr:rowOff>
              </to>
            </anchor>
          </controlPr>
        </control>
      </mc:Choice>
    </mc:AlternateContent>
    <mc:AlternateContent xmlns:mc="http://schemas.openxmlformats.org/markup-compatibility/2006">
      <mc:Choice Requires="x14">
        <control shapeId="1061" r:id="rId14" name="Check Box 37">
          <controlPr defaultSize="0" autoFill="0" autoLine="0" autoPict="0">
            <anchor moveWithCells="1">
              <from>
                <xdr:col>1</xdr:col>
                <xdr:colOff>1914525</xdr:colOff>
                <xdr:row>10</xdr:row>
                <xdr:rowOff>0</xdr:rowOff>
              </from>
              <to>
                <xdr:col>1</xdr:col>
                <xdr:colOff>2076450</xdr:colOff>
                <xdr:row>10</xdr:row>
                <xdr:rowOff>180975</xdr:rowOff>
              </to>
            </anchor>
          </controlPr>
        </control>
      </mc:Choice>
    </mc:AlternateContent>
    <mc:AlternateContent xmlns:mc="http://schemas.openxmlformats.org/markup-compatibility/2006">
      <mc:Choice Requires="x14">
        <control shapeId="1062" r:id="rId15" name="Check Box 38">
          <controlPr defaultSize="0" autoFill="0" autoLine="0" autoPict="0">
            <anchor moveWithCells="1">
              <from>
                <xdr:col>1</xdr:col>
                <xdr:colOff>1914525</xdr:colOff>
                <xdr:row>13</xdr:row>
                <xdr:rowOff>0</xdr:rowOff>
              </from>
              <to>
                <xdr:col>1</xdr:col>
                <xdr:colOff>2076450</xdr:colOff>
                <xdr:row>13</xdr:row>
                <xdr:rowOff>180975</xdr:rowOff>
              </to>
            </anchor>
          </controlPr>
        </control>
      </mc:Choice>
    </mc:AlternateContent>
    <mc:AlternateContent xmlns:mc="http://schemas.openxmlformats.org/markup-compatibility/2006">
      <mc:Choice Requires="x14">
        <control shapeId="1064" r:id="rId16" name="Check Box 40">
          <controlPr defaultSize="0" autoFill="0" autoLine="0" autoPict="0">
            <anchor moveWithCells="1">
              <from>
                <xdr:col>1</xdr:col>
                <xdr:colOff>1914525</xdr:colOff>
                <xdr:row>11</xdr:row>
                <xdr:rowOff>0</xdr:rowOff>
              </from>
              <to>
                <xdr:col>1</xdr:col>
                <xdr:colOff>2076450</xdr:colOff>
                <xdr:row>11</xdr:row>
                <xdr:rowOff>180975</xdr:rowOff>
              </to>
            </anchor>
          </controlPr>
        </control>
      </mc:Choice>
    </mc:AlternateContent>
    <mc:AlternateContent xmlns:mc="http://schemas.openxmlformats.org/markup-compatibility/2006">
      <mc:Choice Requires="x14">
        <control shapeId="1065" r:id="rId17" name="Check Box 41">
          <controlPr defaultSize="0" autoFill="0" autoLine="0" autoPict="0">
            <anchor moveWithCells="1">
              <from>
                <xdr:col>1</xdr:col>
                <xdr:colOff>1914525</xdr:colOff>
                <xdr:row>12</xdr:row>
                <xdr:rowOff>0</xdr:rowOff>
              </from>
              <to>
                <xdr:col>1</xdr:col>
                <xdr:colOff>2076450</xdr:colOff>
                <xdr:row>12</xdr:row>
                <xdr:rowOff>180975</xdr:rowOff>
              </to>
            </anchor>
          </controlPr>
        </control>
      </mc:Choice>
    </mc:AlternateContent>
    <mc:AlternateContent xmlns:mc="http://schemas.openxmlformats.org/markup-compatibility/2006">
      <mc:Choice Requires="x14">
        <control shapeId="1067" r:id="rId18" name="Check Box 43">
          <controlPr defaultSize="0" autoFill="0" autoLine="0" autoPict="0">
            <anchor moveWithCells="1">
              <from>
                <xdr:col>1</xdr:col>
                <xdr:colOff>1914525</xdr:colOff>
                <xdr:row>23</xdr:row>
                <xdr:rowOff>133350</xdr:rowOff>
              </from>
              <to>
                <xdr:col>1</xdr:col>
                <xdr:colOff>2105025</xdr:colOff>
                <xdr:row>25</xdr:row>
                <xdr:rowOff>38100</xdr:rowOff>
              </to>
            </anchor>
          </controlPr>
        </control>
      </mc:Choice>
    </mc:AlternateContent>
    <mc:AlternateContent xmlns:mc="http://schemas.openxmlformats.org/markup-compatibility/2006">
      <mc:Choice Requires="x14">
        <control shapeId="1069" r:id="rId19" name="Check Box 45">
          <controlPr defaultSize="0" autoFill="0" autoLine="0" autoPict="0">
            <anchor moveWithCells="1">
              <from>
                <xdr:col>1</xdr:col>
                <xdr:colOff>1914525</xdr:colOff>
                <xdr:row>22</xdr:row>
                <xdr:rowOff>133350</xdr:rowOff>
              </from>
              <to>
                <xdr:col>1</xdr:col>
                <xdr:colOff>2105025</xdr:colOff>
                <xdr:row>24</xdr:row>
                <xdr:rowOff>38100</xdr:rowOff>
              </to>
            </anchor>
          </controlPr>
        </control>
      </mc:Choice>
    </mc:AlternateContent>
    <mc:AlternateContent xmlns:mc="http://schemas.openxmlformats.org/markup-compatibility/2006">
      <mc:Choice Requires="x14">
        <control shapeId="1070" r:id="rId20" name="Check Box 46">
          <controlPr defaultSize="0" autoFill="0" autoLine="0" autoPict="0">
            <anchor moveWithCells="1">
              <from>
                <xdr:col>1</xdr:col>
                <xdr:colOff>1914525</xdr:colOff>
                <xdr:row>15</xdr:row>
                <xdr:rowOff>0</xdr:rowOff>
              </from>
              <to>
                <xdr:col>1</xdr:col>
                <xdr:colOff>2076450</xdr:colOff>
                <xdr:row>15</xdr:row>
                <xdr:rowOff>180975</xdr:rowOff>
              </to>
            </anchor>
          </controlPr>
        </control>
      </mc:Choice>
    </mc:AlternateContent>
    <mc:AlternateContent xmlns:mc="http://schemas.openxmlformats.org/markup-compatibility/2006">
      <mc:Choice Requires="x14">
        <control shapeId="1071" r:id="rId21" name="Check Box 47">
          <controlPr defaultSize="0" autoFill="0" autoLine="0" autoPict="0">
            <anchor moveWithCells="1">
              <from>
                <xdr:col>1</xdr:col>
                <xdr:colOff>1914525</xdr:colOff>
                <xdr:row>14</xdr:row>
                <xdr:rowOff>0</xdr:rowOff>
              </from>
              <to>
                <xdr:col>1</xdr:col>
                <xdr:colOff>2076450</xdr:colOff>
                <xdr:row>14</xdr:row>
                <xdr:rowOff>180975</xdr:rowOff>
              </to>
            </anchor>
          </controlPr>
        </control>
      </mc:Choice>
    </mc:AlternateContent>
    <mc:AlternateContent xmlns:mc="http://schemas.openxmlformats.org/markup-compatibility/2006">
      <mc:Choice Requires="x14">
        <control shapeId="1073" r:id="rId22" name="Check Box 49">
          <controlPr defaultSize="0" autoFill="0" autoLine="0" autoPict="0">
            <anchor moveWithCells="1">
              <from>
                <xdr:col>4</xdr:col>
                <xdr:colOff>1238250</xdr:colOff>
                <xdr:row>43</xdr:row>
                <xdr:rowOff>0</xdr:rowOff>
              </from>
              <to>
                <xdr:col>4</xdr:col>
                <xdr:colOff>1419225</xdr:colOff>
                <xdr:row>43</xdr:row>
                <xdr:rowOff>180975</xdr:rowOff>
              </to>
            </anchor>
          </controlPr>
        </control>
      </mc:Choice>
    </mc:AlternateContent>
    <mc:AlternateContent xmlns:mc="http://schemas.openxmlformats.org/markup-compatibility/2006">
      <mc:Choice Requires="x14">
        <control shapeId="1075" r:id="rId23" name="Check Box 51">
          <controlPr defaultSize="0" autoFill="0" autoLine="0" autoPict="0">
            <anchor moveWithCells="1">
              <from>
                <xdr:col>4</xdr:col>
                <xdr:colOff>1238250</xdr:colOff>
                <xdr:row>42</xdr:row>
                <xdr:rowOff>0</xdr:rowOff>
              </from>
              <to>
                <xdr:col>4</xdr:col>
                <xdr:colOff>1419225</xdr:colOff>
                <xdr:row>42</xdr:row>
                <xdr:rowOff>180975</xdr:rowOff>
              </to>
            </anchor>
          </controlPr>
        </control>
      </mc:Choice>
    </mc:AlternateContent>
    <mc:AlternateContent xmlns:mc="http://schemas.openxmlformats.org/markup-compatibility/2006">
      <mc:Choice Requires="x14">
        <control shapeId="1076" r:id="rId24" name="Check Box 52">
          <controlPr defaultSize="0" autoFill="0" autoLine="0" autoPict="0">
            <anchor moveWithCells="1">
              <from>
                <xdr:col>4</xdr:col>
                <xdr:colOff>1238250</xdr:colOff>
                <xdr:row>3</xdr:row>
                <xdr:rowOff>0</xdr:rowOff>
              </from>
              <to>
                <xdr:col>4</xdr:col>
                <xdr:colOff>1419225</xdr:colOff>
                <xdr:row>3</xdr:row>
                <xdr:rowOff>180975</xdr:rowOff>
              </to>
            </anchor>
          </controlPr>
        </control>
      </mc:Choice>
    </mc:AlternateContent>
    <mc:AlternateContent xmlns:mc="http://schemas.openxmlformats.org/markup-compatibility/2006">
      <mc:Choice Requires="x14">
        <control shapeId="1078" r:id="rId25" name="Check Box 54">
          <controlPr defaultSize="0" autoFill="0" autoLine="0" autoPict="0">
            <anchor moveWithCells="1">
              <from>
                <xdr:col>4</xdr:col>
                <xdr:colOff>1238250</xdr:colOff>
                <xdr:row>1</xdr:row>
                <xdr:rowOff>0</xdr:rowOff>
              </from>
              <to>
                <xdr:col>4</xdr:col>
                <xdr:colOff>1419225</xdr:colOff>
                <xdr:row>1</xdr:row>
                <xdr:rowOff>180975</xdr:rowOff>
              </to>
            </anchor>
          </controlPr>
        </control>
      </mc:Choice>
    </mc:AlternateContent>
    <mc:AlternateContent xmlns:mc="http://schemas.openxmlformats.org/markup-compatibility/2006">
      <mc:Choice Requires="x14">
        <control shapeId="1079" r:id="rId26" name="Check Box 55">
          <controlPr defaultSize="0" autoFill="0" autoLine="0" autoPict="0">
            <anchor moveWithCells="1">
              <from>
                <xdr:col>4</xdr:col>
                <xdr:colOff>1238250</xdr:colOff>
                <xdr:row>14</xdr:row>
                <xdr:rowOff>0</xdr:rowOff>
              </from>
              <to>
                <xdr:col>4</xdr:col>
                <xdr:colOff>1419225</xdr:colOff>
                <xdr:row>14</xdr:row>
                <xdr:rowOff>180975</xdr:rowOff>
              </to>
            </anchor>
          </controlPr>
        </control>
      </mc:Choice>
    </mc:AlternateContent>
    <mc:AlternateContent xmlns:mc="http://schemas.openxmlformats.org/markup-compatibility/2006">
      <mc:Choice Requires="x14">
        <control shapeId="1080" r:id="rId27" name="Check Box 56">
          <controlPr defaultSize="0" autoFill="0" autoLine="0" autoPict="0">
            <anchor moveWithCells="1">
              <from>
                <xdr:col>4</xdr:col>
                <xdr:colOff>1238250</xdr:colOff>
                <xdr:row>37</xdr:row>
                <xdr:rowOff>0</xdr:rowOff>
              </from>
              <to>
                <xdr:col>4</xdr:col>
                <xdr:colOff>1419225</xdr:colOff>
                <xdr:row>37</xdr:row>
                <xdr:rowOff>180975</xdr:rowOff>
              </to>
            </anchor>
          </controlPr>
        </control>
      </mc:Choice>
    </mc:AlternateContent>
    <mc:AlternateContent xmlns:mc="http://schemas.openxmlformats.org/markup-compatibility/2006">
      <mc:Choice Requires="x14">
        <control shapeId="1081" r:id="rId28" name="Check Box 57">
          <controlPr defaultSize="0" autoFill="0" autoLine="0" autoPict="0">
            <anchor moveWithCells="1">
              <from>
                <xdr:col>4</xdr:col>
                <xdr:colOff>1238250</xdr:colOff>
                <xdr:row>45</xdr:row>
                <xdr:rowOff>0</xdr:rowOff>
              </from>
              <to>
                <xdr:col>4</xdr:col>
                <xdr:colOff>1419225</xdr:colOff>
                <xdr:row>45</xdr:row>
                <xdr:rowOff>180975</xdr:rowOff>
              </to>
            </anchor>
          </controlPr>
        </control>
      </mc:Choice>
    </mc:AlternateContent>
    <mc:AlternateContent xmlns:mc="http://schemas.openxmlformats.org/markup-compatibility/2006">
      <mc:Choice Requires="x14">
        <control shapeId="1088" r:id="rId29" name="Check Box 64">
          <controlPr defaultSize="0" autoFill="0" autoLine="0" autoPict="0">
            <anchor moveWithCells="1">
              <from>
                <xdr:col>1</xdr:col>
                <xdr:colOff>1924050</xdr:colOff>
                <xdr:row>61</xdr:row>
                <xdr:rowOff>142875</xdr:rowOff>
              </from>
              <to>
                <xdr:col>1</xdr:col>
                <xdr:colOff>2114550</xdr:colOff>
                <xdr:row>63</xdr:row>
                <xdr:rowOff>47625</xdr:rowOff>
              </to>
            </anchor>
          </controlPr>
        </control>
      </mc:Choice>
    </mc:AlternateContent>
    <mc:AlternateContent xmlns:mc="http://schemas.openxmlformats.org/markup-compatibility/2006">
      <mc:Choice Requires="x14">
        <control shapeId="1089" r:id="rId30" name="Check Box 65">
          <controlPr defaultSize="0" autoFill="0" autoLine="0" autoPict="0">
            <anchor moveWithCells="1">
              <from>
                <xdr:col>1</xdr:col>
                <xdr:colOff>1914525</xdr:colOff>
                <xdr:row>25</xdr:row>
                <xdr:rowOff>133350</xdr:rowOff>
              </from>
              <to>
                <xdr:col>1</xdr:col>
                <xdr:colOff>2105025</xdr:colOff>
                <xdr:row>27</xdr:row>
                <xdr:rowOff>38100</xdr:rowOff>
              </to>
            </anchor>
          </controlPr>
        </control>
      </mc:Choice>
    </mc:AlternateContent>
    <mc:AlternateContent xmlns:mc="http://schemas.openxmlformats.org/markup-compatibility/2006">
      <mc:Choice Requires="x14">
        <control shapeId="1090" r:id="rId31" name="Check Box 66">
          <controlPr defaultSize="0" autoFill="0" autoLine="0" autoPict="0">
            <anchor moveWithCells="1">
              <from>
                <xdr:col>1</xdr:col>
                <xdr:colOff>1914525</xdr:colOff>
                <xdr:row>24</xdr:row>
                <xdr:rowOff>133350</xdr:rowOff>
              </from>
              <to>
                <xdr:col>1</xdr:col>
                <xdr:colOff>2105025</xdr:colOff>
                <xdr:row>26</xdr:row>
                <xdr:rowOff>38100</xdr:rowOff>
              </to>
            </anchor>
          </controlPr>
        </control>
      </mc:Choice>
    </mc:AlternateContent>
    <mc:AlternateContent xmlns:mc="http://schemas.openxmlformats.org/markup-compatibility/2006">
      <mc:Choice Requires="x14">
        <control shapeId="1096" r:id="rId32" name="Check Box 72">
          <controlPr defaultSize="0" autoFill="0" autoLine="0" autoPict="0">
            <anchor moveWithCells="1">
              <from>
                <xdr:col>1</xdr:col>
                <xdr:colOff>1914525</xdr:colOff>
                <xdr:row>17</xdr:row>
                <xdr:rowOff>142875</xdr:rowOff>
              </from>
              <to>
                <xdr:col>1</xdr:col>
                <xdr:colOff>2105025</xdr:colOff>
                <xdr:row>19</xdr:row>
                <xdr:rowOff>47625</xdr:rowOff>
              </to>
            </anchor>
          </controlPr>
        </control>
      </mc:Choice>
    </mc:AlternateContent>
    <mc:AlternateContent xmlns:mc="http://schemas.openxmlformats.org/markup-compatibility/2006">
      <mc:Choice Requires="x14">
        <control shapeId="1097" r:id="rId33" name="Check Box 73">
          <controlPr defaultSize="0" autoFill="0" autoLine="0" autoPict="0">
            <anchor moveWithCells="1">
              <from>
                <xdr:col>1</xdr:col>
                <xdr:colOff>1914525</xdr:colOff>
                <xdr:row>18</xdr:row>
                <xdr:rowOff>142875</xdr:rowOff>
              </from>
              <to>
                <xdr:col>1</xdr:col>
                <xdr:colOff>2105025</xdr:colOff>
                <xdr:row>20</xdr:row>
                <xdr:rowOff>47625</xdr:rowOff>
              </to>
            </anchor>
          </controlPr>
        </control>
      </mc:Choice>
    </mc:AlternateContent>
    <mc:AlternateContent xmlns:mc="http://schemas.openxmlformats.org/markup-compatibility/2006">
      <mc:Choice Requires="x14">
        <control shapeId="1098" r:id="rId34" name="Check Box 74">
          <controlPr defaultSize="0" autoFill="0" autoLine="0" autoPict="0">
            <anchor moveWithCells="1">
              <from>
                <xdr:col>1</xdr:col>
                <xdr:colOff>1914525</xdr:colOff>
                <xdr:row>19</xdr:row>
                <xdr:rowOff>142875</xdr:rowOff>
              </from>
              <to>
                <xdr:col>1</xdr:col>
                <xdr:colOff>2105025</xdr:colOff>
                <xdr:row>21</xdr:row>
                <xdr:rowOff>47625</xdr:rowOff>
              </to>
            </anchor>
          </controlPr>
        </control>
      </mc:Choice>
    </mc:AlternateContent>
    <mc:AlternateContent xmlns:mc="http://schemas.openxmlformats.org/markup-compatibility/2006">
      <mc:Choice Requires="x14">
        <control shapeId="1099" r:id="rId35" name="Check Box 75">
          <controlPr defaultSize="0" autoFill="0" autoLine="0" autoPict="0">
            <anchor moveWithCells="1">
              <from>
                <xdr:col>1</xdr:col>
                <xdr:colOff>1914525</xdr:colOff>
                <xdr:row>20</xdr:row>
                <xdr:rowOff>142875</xdr:rowOff>
              </from>
              <to>
                <xdr:col>1</xdr:col>
                <xdr:colOff>2105025</xdr:colOff>
                <xdr:row>22</xdr:row>
                <xdr:rowOff>47625</xdr:rowOff>
              </to>
            </anchor>
          </controlPr>
        </control>
      </mc:Choice>
    </mc:AlternateContent>
    <mc:AlternateContent xmlns:mc="http://schemas.openxmlformats.org/markup-compatibility/2006">
      <mc:Choice Requires="x14">
        <control shapeId="1100" r:id="rId36" name="Check Box 76">
          <controlPr defaultSize="0" autoFill="0" autoLine="0" autoPict="0">
            <anchor moveWithCells="1">
              <from>
                <xdr:col>1</xdr:col>
                <xdr:colOff>1914525</xdr:colOff>
                <xdr:row>21</xdr:row>
                <xdr:rowOff>142875</xdr:rowOff>
              </from>
              <to>
                <xdr:col>1</xdr:col>
                <xdr:colOff>2105025</xdr:colOff>
                <xdr:row>23</xdr:row>
                <xdr:rowOff>47625</xdr:rowOff>
              </to>
            </anchor>
          </controlPr>
        </control>
      </mc:Choice>
    </mc:AlternateContent>
    <mc:AlternateContent xmlns:mc="http://schemas.openxmlformats.org/markup-compatibility/2006">
      <mc:Choice Requires="x14">
        <control shapeId="1102" r:id="rId37" name="Check Box 78">
          <controlPr defaultSize="0" autoFill="0" autoLine="0" autoPict="0">
            <anchor moveWithCells="1">
              <from>
                <xdr:col>1</xdr:col>
                <xdr:colOff>1924050</xdr:colOff>
                <xdr:row>55</xdr:row>
                <xdr:rowOff>142875</xdr:rowOff>
              </from>
              <to>
                <xdr:col>1</xdr:col>
                <xdr:colOff>2114550</xdr:colOff>
                <xdr:row>57</xdr:row>
                <xdr:rowOff>47625</xdr:rowOff>
              </to>
            </anchor>
          </controlPr>
        </control>
      </mc:Choice>
    </mc:AlternateContent>
    <mc:AlternateContent xmlns:mc="http://schemas.openxmlformats.org/markup-compatibility/2006">
      <mc:Choice Requires="x14">
        <control shapeId="1103" r:id="rId38" name="Check Box 79">
          <controlPr defaultSize="0" autoFill="0" autoLine="0" autoPict="0">
            <anchor moveWithCells="1">
              <from>
                <xdr:col>1</xdr:col>
                <xdr:colOff>1924050</xdr:colOff>
                <xdr:row>58</xdr:row>
                <xdr:rowOff>142875</xdr:rowOff>
              </from>
              <to>
                <xdr:col>1</xdr:col>
                <xdr:colOff>2114550</xdr:colOff>
                <xdr:row>60</xdr:row>
                <xdr:rowOff>47625</xdr:rowOff>
              </to>
            </anchor>
          </controlPr>
        </control>
      </mc:Choice>
    </mc:AlternateContent>
    <mc:AlternateContent xmlns:mc="http://schemas.openxmlformats.org/markup-compatibility/2006">
      <mc:Choice Requires="x14">
        <control shapeId="1104" r:id="rId39" name="Check Box 80">
          <controlPr defaultSize="0" autoFill="0" autoLine="0" autoPict="0">
            <anchor moveWithCells="1">
              <from>
                <xdr:col>1</xdr:col>
                <xdr:colOff>1924050</xdr:colOff>
                <xdr:row>61</xdr:row>
                <xdr:rowOff>142875</xdr:rowOff>
              </from>
              <to>
                <xdr:col>1</xdr:col>
                <xdr:colOff>2114550</xdr:colOff>
                <xdr:row>63</xdr:row>
                <xdr:rowOff>47625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23" id="{172ABAC5-5597-4562-8BD3-1A1680170521}">
            <xm:f>Backdoors!$K$2&lt;1</xm:f>
            <x14:dxf>
              <font>
                <color theme="1" tint="0.24994659260841701"/>
              </font>
              <fill>
                <patternFill>
                  <bgColor theme="1" tint="0.24994659260841701"/>
                </patternFill>
              </fill>
            </x14:dxf>
          </x14:cfRule>
          <x14:cfRule type="expression" priority="96" id="{EF046EA5-98DB-4209-95C9-F4F748E1FE88}">
            <xm:f>$B$30&lt;&gt;Backdoors!$BS$52</xm:f>
            <x14:dxf>
              <fill>
                <patternFill>
                  <bgColor rgb="FFFFCCFF"/>
                </patternFill>
              </fill>
            </x14:dxf>
          </x14:cfRule>
          <xm:sqref>B30</xm:sqref>
        </x14:conditionalFormatting>
        <x14:conditionalFormatting xmlns:xm="http://schemas.microsoft.com/office/excel/2006/main">
          <x14:cfRule type="expression" priority="22" id="{CF4572B1-4B3A-4B66-89E9-E70EC64B6D58}">
            <xm:f>Backdoors!$K$2&lt;2</xm:f>
            <x14:dxf>
              <font>
                <color theme="1" tint="0.24994659260841701"/>
              </font>
              <fill>
                <patternFill>
                  <bgColor theme="1" tint="0.24994659260841701"/>
                </patternFill>
              </fill>
            </x14:dxf>
          </x14:cfRule>
          <x14:cfRule type="expression" priority="92" id="{61C2045C-6A8C-425C-91CA-AF7DAE33ABB5}">
            <xm:f>$B$31&lt;&gt;Backdoors!$BS$53</xm:f>
            <x14:dxf>
              <fill>
                <patternFill>
                  <bgColor rgb="FFFFCCFF"/>
                </patternFill>
              </fill>
            </x14:dxf>
          </x14:cfRule>
          <xm:sqref>B31</xm:sqref>
        </x14:conditionalFormatting>
        <x14:conditionalFormatting xmlns:xm="http://schemas.microsoft.com/office/excel/2006/main">
          <x14:cfRule type="expression" priority="21" id="{937EAADF-E190-4FE0-BBB0-8DA01C0EDD3C}">
            <xm:f>Backdoors!$K$2&lt;3</xm:f>
            <x14:dxf>
              <font>
                <color theme="1" tint="0.24994659260841701"/>
              </font>
              <fill>
                <patternFill>
                  <bgColor theme="1" tint="0.24994659260841701"/>
                </patternFill>
              </fill>
            </x14:dxf>
          </x14:cfRule>
          <x14:cfRule type="expression" priority="98" id="{A87975E9-423D-4B47-BE97-B7F87F3857AB}">
            <xm:f>$B$32&lt;&gt;Backdoors!$BS$54</xm:f>
            <x14:dxf>
              <fill>
                <patternFill>
                  <bgColor rgb="FFFFCCFF"/>
                </patternFill>
              </fill>
            </x14:dxf>
          </x14:cfRule>
          <xm:sqref>B32</xm:sqref>
        </x14:conditionalFormatting>
        <x14:conditionalFormatting xmlns:xm="http://schemas.microsoft.com/office/excel/2006/main">
          <x14:cfRule type="expression" priority="7" id="{3B34D9DC-FAE2-4B82-968D-1B052F2C8982}">
            <xm:f>Backdoors!$K$17&lt;&gt;TRUE</xm:f>
            <x14:dxf>
              <font>
                <color theme="1" tint="0.24994659260841701"/>
              </font>
              <fill>
                <patternFill>
                  <bgColor theme="1" tint="0.24994659260841701"/>
                </patternFill>
              </fill>
            </x14:dxf>
          </x14:cfRule>
          <xm:sqref>B43:B49</xm:sqref>
        </x14:conditionalFormatting>
        <x14:conditionalFormatting xmlns:xm="http://schemas.microsoft.com/office/excel/2006/main">
          <x14:cfRule type="expression" priority="102" id="{00000000-000E-0000-0000-000001000000}">
            <xm:f>Backdoors!$K$35&gt;Backdoors!$K$36</xm:f>
            <x14:dxf>
              <fill>
                <patternFill>
                  <bgColor rgb="FFFF0000"/>
                </patternFill>
              </fill>
            </x14:dxf>
          </x14:cfRule>
          <x14:cfRule type="expression" priority="103" id="{00000000-000E-0000-0000-000002000000}">
            <xm:f>Backdoors!$K$35&lt;(Backdoors!$K$36+1)</xm:f>
            <x14:dxf>
              <fill>
                <patternFill>
                  <bgColor theme="9" tint="0.39994506668294322"/>
                </patternFill>
              </fill>
            </x14:dxf>
          </x14:cfRule>
          <xm:sqref>B41</xm:sqref>
        </x14:conditionalFormatting>
        <x14:conditionalFormatting xmlns:xm="http://schemas.microsoft.com/office/excel/2006/main">
          <x14:cfRule type="expression" priority="8" id="{7AA08FF6-AEF6-44FE-849C-5789C4B9D670}">
            <xm:f>OR(Backdoors!$B$2="Bow",Backdoors!$B$2="Light Bowgun",Backdoors!$B$2="Heavy Bowgun")</xm:f>
            <x14:dxf>
              <font>
                <color theme="1" tint="0.24994659260841701"/>
              </font>
              <fill>
                <patternFill>
                  <bgColor theme="1" tint="0.24994659260841701"/>
                </patternFill>
              </fill>
            </x14:dxf>
          </x14:cfRule>
          <x14:cfRule type="expression" priority="83" id="{4C160F48-2103-47A3-8921-5AE11B55EFE8}">
            <xm:f>AND($B$49="Element/Status Effect Up",tbCustom!$C$9=0)</xm:f>
            <x14:dxf>
              <font>
                <color auto="1"/>
              </font>
              <fill>
                <patternFill>
                  <bgColor rgb="FFFF0000"/>
                </patternFill>
              </fill>
            </x14:dxf>
          </x14:cfRule>
          <x14:cfRule type="expression" priority="84" id="{3712D7C6-D93F-4997-8EB4-032151387B3B}">
            <xm:f>$B$49&lt;&gt;Backdoors!$BS$68</xm:f>
            <x14:dxf>
              <fill>
                <patternFill>
                  <bgColor rgb="FFFFCCFF"/>
                </patternFill>
              </fill>
            </x14:dxf>
          </x14:cfRule>
          <xm:sqref>B49</xm:sqref>
        </x14:conditionalFormatting>
        <x14:conditionalFormatting xmlns:xm="http://schemas.microsoft.com/office/excel/2006/main">
          <x14:cfRule type="expression" priority="13" id="{B1B18E2F-096F-461B-A773-3A56ADD95EC2}">
            <xm:f>AND($B$43="Element/Status Effect Up",OR(Backdoors!$B$2="Light Bowgun",Backdoors!$B$2="Heavy Bowgun"))</xm:f>
            <x14:dxf>
              <font>
                <color theme="1" tint="0.24994659260841701"/>
              </font>
              <fill>
                <patternFill>
                  <bgColor theme="1" tint="0.24994659260841701"/>
                </patternFill>
              </fill>
            </x14:dxf>
          </x14:cfRule>
          <x14:cfRule type="expression" priority="89" id="{C74D18FB-F06F-4C9D-A5E0-A86B85F0D425}">
            <xm:f>$B$43&lt;&gt;Backdoors!$BS$62</xm:f>
            <x14:dxf>
              <fill>
                <patternFill>
                  <bgColor rgb="FFFFCCFF"/>
                </patternFill>
              </fill>
            </x14:dxf>
          </x14:cfRule>
          <xm:sqref>B43</xm:sqref>
        </x14:conditionalFormatting>
        <x14:conditionalFormatting xmlns:xm="http://schemas.microsoft.com/office/excel/2006/main">
          <x14:cfRule type="expression" priority="12" id="{CB5F2945-DA1B-4B6C-9F75-40F9EC76BE4A}">
            <xm:f>AND($B$44="Element/Status Effect Up",OR(Backdoors!$B$2="Light Bowgun",Backdoors!$B$2="Heavy Bowgun"))</xm:f>
            <x14:dxf>
              <font>
                <color theme="1" tint="0.24994659260841701"/>
              </font>
              <fill>
                <patternFill>
                  <bgColor theme="1" tint="0.24994659260841701"/>
                </patternFill>
              </fill>
            </x14:dxf>
          </x14:cfRule>
          <x14:cfRule type="expression" priority="82" id="{6E6BAFAF-6D4A-4FBD-ABE7-C296116F716C}">
            <xm:f>$B$44&lt;&gt;Backdoors!$BS$63</xm:f>
            <x14:dxf>
              <fill>
                <patternFill>
                  <bgColor rgb="FFFFCCFF"/>
                </patternFill>
              </fill>
            </x14:dxf>
          </x14:cfRule>
          <xm:sqref>B44</xm:sqref>
        </x14:conditionalFormatting>
        <x14:conditionalFormatting xmlns:xm="http://schemas.microsoft.com/office/excel/2006/main">
          <x14:cfRule type="expression" priority="11" id="{94325469-3500-490C-9D98-A96A7FB0AA59}">
            <xm:f>AND($B$45="Element/Status Effect Up",OR(Backdoors!$B$2="Light Bowgun",Backdoors!$B$2="Heavy Bowgun"))</xm:f>
            <x14:dxf>
              <font>
                <color theme="1" tint="0.24994659260841701"/>
              </font>
              <fill>
                <patternFill>
                  <bgColor theme="1" tint="0.24994659260841701"/>
                </patternFill>
              </fill>
            </x14:dxf>
          </x14:cfRule>
          <x14:cfRule type="expression" priority="81" id="{F77D6A5C-7918-4477-816D-FDCC0B1558C6}">
            <xm:f>$B$45&lt;&gt;Backdoors!$BS$64</xm:f>
            <x14:dxf>
              <fill>
                <patternFill>
                  <bgColor rgb="FFFFCCFF"/>
                </patternFill>
              </fill>
            </x14:dxf>
          </x14:cfRule>
          <xm:sqref>B45</xm:sqref>
        </x14:conditionalFormatting>
        <x14:conditionalFormatting xmlns:xm="http://schemas.microsoft.com/office/excel/2006/main">
          <x14:cfRule type="expression" priority="10" id="{DA39609F-9BB6-4379-9B9E-2158037DAE71}">
            <xm:f>AND($B$46="Element/Status Effect Up",OR(Backdoors!$B$2="Light Bowgun",Backdoors!$B$2="Heavy Bowgun"))</xm:f>
            <x14:dxf>
              <font>
                <color theme="1" tint="0.24994659260841701"/>
              </font>
              <fill>
                <patternFill>
                  <bgColor theme="1" tint="0.24994659260841701"/>
                </patternFill>
              </fill>
            </x14:dxf>
          </x14:cfRule>
          <x14:cfRule type="expression" priority="80" id="{BF1D316F-2C58-4BC8-855A-62F196B1505C}">
            <xm:f>$B$46&lt;&gt;Backdoors!$BS$65</xm:f>
            <x14:dxf>
              <fill>
                <patternFill>
                  <bgColor rgb="FFFFCCFF"/>
                </patternFill>
              </fill>
            </x14:dxf>
          </x14:cfRule>
          <xm:sqref>B46</xm:sqref>
        </x14:conditionalFormatting>
        <x14:conditionalFormatting xmlns:xm="http://schemas.microsoft.com/office/excel/2006/main">
          <x14:cfRule type="expression" priority="9" id="{090D661B-DEDE-4532-AE72-820D5B5F77B5}">
            <xm:f>AND($B$47="Element/Status Effect Up",OR(Backdoors!$B$2="Light Bowgun",Backdoors!$B$2="Heavy Bowgun"))</xm:f>
            <x14:dxf>
              <font>
                <color theme="1" tint="0.24994659260841701"/>
              </font>
              <fill>
                <patternFill>
                  <bgColor theme="1" tint="0.24994659260841701"/>
                </patternFill>
              </fill>
            </x14:dxf>
          </x14:cfRule>
          <x14:cfRule type="expression" priority="79" id="{3D009C08-AAE1-4B3E-B773-B8D048F72E41}">
            <xm:f>$B$47&lt;&gt;Backdoors!$BS$66</xm:f>
            <x14:dxf>
              <fill>
                <patternFill>
                  <bgColor rgb="FFFFCCFF"/>
                </patternFill>
              </fill>
            </x14:dxf>
          </x14:cfRule>
          <xm:sqref>B47</xm:sqref>
        </x14:conditionalFormatting>
        <x14:conditionalFormatting xmlns:xm="http://schemas.microsoft.com/office/excel/2006/main">
          <x14:cfRule type="expression" priority="5" id="{AD4C221F-0A20-4A59-9D02-52D71FAAA2D3}">
            <xm:f>VLOOKUP($B$2,tbWeapons!$A$2:$AK$271,37,FALSE)=FALSE</xm:f>
            <x14:dxf>
              <font>
                <color theme="1" tint="0.24994659260841701"/>
              </font>
              <fill>
                <patternFill>
                  <bgColor theme="1" tint="0.24994659260841701"/>
                </patternFill>
              </fill>
            </x14:dxf>
          </x14:cfRule>
          <x14:cfRule type="expression" priority="77" id="{F2E56E17-0517-4B97-BA29-E8997CAC7E36}">
            <xm:f>$B$52&lt;&gt;Backdoors!$BS$70</xm:f>
            <x14:dxf>
              <fill>
                <patternFill>
                  <bgColor rgb="FFFFCCFF"/>
                </patternFill>
              </fill>
            </x14:dxf>
          </x14:cfRule>
          <xm:sqref>B52</xm:sqref>
        </x14:conditionalFormatting>
        <x14:conditionalFormatting xmlns:xm="http://schemas.microsoft.com/office/excel/2006/main">
          <x14:cfRule type="expression" priority="6" id="{A226D046-05D8-4764-80D5-F6DCC9CF3EBB}">
            <xm:f>VLOOKUP($B$2,tbWeapons!$A$2:$AK$271,37,FALSE)=FALSE</xm:f>
            <x14:dxf>
              <font>
                <color theme="1" tint="0.24994659260841701"/>
              </font>
              <fill>
                <patternFill>
                  <bgColor theme="1" tint="0.24994659260841701"/>
                </patternFill>
              </fill>
            </x14:dxf>
          </x14:cfRule>
          <x14:cfRule type="expression" priority="76" id="{470E920E-F123-47B2-A081-4CFDA58D601B}">
            <xm:f>$B$51&lt;&gt;Backdoors!$BS$69</xm:f>
            <x14:dxf>
              <fill>
                <patternFill>
                  <bgColor rgb="FFFFCCFF"/>
                </patternFill>
              </fill>
            </x14:dxf>
          </x14:cfRule>
          <xm:sqref>B51</xm:sqref>
        </x14:conditionalFormatting>
        <x14:conditionalFormatting xmlns:xm="http://schemas.microsoft.com/office/excel/2006/main">
          <x14:cfRule type="expression" priority="4" id="{17D7A38F-9014-4B13-AD95-F1408082C488}">
            <xm:f>VLOOKUP($B$2,tbWeapons!$A$2:$AK$271,37,FALSE)=FALSE</xm:f>
            <x14:dxf>
              <font>
                <color theme="1" tint="0.24994659260841701"/>
              </font>
              <fill>
                <patternFill>
                  <bgColor theme="1" tint="0.24994659260841701"/>
                </patternFill>
              </fill>
            </x14:dxf>
          </x14:cfRule>
          <x14:cfRule type="expression" priority="75" id="{D0AE2526-0034-4FF8-BB4E-BE972B053F49}">
            <xm:f>$B$53&lt;&gt;Backdoors!$BS$71</xm:f>
            <x14:dxf>
              <fill>
                <patternFill>
                  <bgColor rgb="FFFFCCFF"/>
                </patternFill>
              </fill>
            </x14:dxf>
          </x14:cfRule>
          <xm:sqref>B53</xm:sqref>
        </x14:conditionalFormatting>
        <x14:conditionalFormatting xmlns:xm="http://schemas.microsoft.com/office/excel/2006/main">
          <x14:cfRule type="expression" priority="3" id="{1C7BA2AA-09DE-4D32-ADC3-F241DD7B7251}">
            <xm:f>VLOOKUP($B$2,tbWeapons!$A$2:$AK$271,37,FALSE)=FALSE</xm:f>
            <x14:dxf>
              <font>
                <color theme="1" tint="0.24994659260841701"/>
              </font>
              <fill>
                <patternFill>
                  <bgColor theme="1" tint="0.24994659260841701"/>
                </patternFill>
              </fill>
            </x14:dxf>
          </x14:cfRule>
          <x14:cfRule type="expression" priority="74" id="{93851E55-28E4-4DE7-BA92-6C7545EFA02C}">
            <xm:f>$B$54&lt;&gt;Backdoors!$BS$72</xm:f>
            <x14:dxf>
              <fill>
                <patternFill>
                  <bgColor rgb="FFFFCCFF"/>
                </patternFill>
              </fill>
            </x14:dxf>
          </x14:cfRule>
          <xm:sqref>B54</xm:sqref>
        </x14:conditionalFormatting>
        <x14:conditionalFormatting xmlns:xm="http://schemas.microsoft.com/office/excel/2006/main">
          <x14:cfRule type="expression" priority="2" id="{5E5487B9-A16E-49C8-BF9A-D6A99DB459B4}">
            <xm:f>VLOOKUP($B$2,tbWeapons!$A$2:$AK$271,37,FALSE)=FALSE</xm:f>
            <x14:dxf>
              <font>
                <color theme="1" tint="0.24994659260841701"/>
              </font>
              <fill>
                <patternFill>
                  <bgColor theme="1" tint="0.24994659260841701"/>
                </patternFill>
              </fill>
            </x14:dxf>
          </x14:cfRule>
          <x14:cfRule type="expression" priority="73" id="{973F3CB9-7CB2-4730-9451-EF36952ACEC2}">
            <xm:f>$B$55&lt;&gt;Backdoors!$BS$73</xm:f>
            <x14:dxf>
              <fill>
                <patternFill>
                  <bgColor rgb="FFFFCCFF"/>
                </patternFill>
              </fill>
            </x14:dxf>
          </x14:cfRule>
          <xm:sqref>B55</xm:sqref>
        </x14:conditionalFormatting>
        <x14:conditionalFormatting xmlns:xm="http://schemas.microsoft.com/office/excel/2006/main">
          <x14:cfRule type="expression" priority="14" id="{39857C98-3948-4742-AC14-0ECE47F20C1A}">
            <xm:f>OR(Backdoors!$K$8&lt;&gt;TRUE,,Backdoors!$B$21&lt;&gt;10)</xm:f>
            <x14:dxf>
              <font>
                <color theme="1" tint="0.24994659260841701"/>
              </font>
              <fill>
                <patternFill>
                  <bgColor theme="1" tint="0.24994659260841701"/>
                </patternFill>
              </fill>
            </x14:dxf>
          </x14:cfRule>
          <x14:cfRule type="expression" priority="131" id="{B32CF218-8D0C-4069-BC1F-D76161CFD629}">
            <xm:f>$B$40&lt;&gt;Backdoors!$BS$61</xm:f>
            <x14:dxf>
              <fill>
                <patternFill>
                  <bgColor rgb="FFFFCCFF"/>
                </patternFill>
              </fill>
            </x14:dxf>
          </x14:cfRule>
          <xm:sqref>B40</xm:sqref>
        </x14:conditionalFormatting>
        <x14:conditionalFormatting xmlns:xm="http://schemas.microsoft.com/office/excel/2006/main">
          <x14:cfRule type="expression" priority="15" id="{101A0DD7-4C39-4504-A722-0E65E60A0D40}">
            <xm:f>OR(Backdoors!$K$8&lt;&gt;TRUE,OR(Backdoors!$B$21&gt;11,Backdoors!$B$21&lt;10))</xm:f>
            <x14:dxf>
              <font>
                <color theme="1" tint="0.24994659260841701"/>
              </font>
              <fill>
                <patternFill>
                  <bgColor theme="1" tint="0.24994659260841701"/>
                </patternFill>
              </fill>
            </x14:dxf>
          </x14:cfRule>
          <x14:cfRule type="expression" priority="132" id="{7821FE20-57FE-415B-9A3A-6011DAEBA59C}">
            <xm:f>$B$39&lt;&gt;Backdoors!$BS$60</xm:f>
            <x14:dxf>
              <fill>
                <patternFill>
                  <bgColor rgb="FFFFCCFF"/>
                </patternFill>
              </fill>
            </x14:dxf>
          </x14:cfRule>
          <xm:sqref>B39</xm:sqref>
        </x14:conditionalFormatting>
        <x14:conditionalFormatting xmlns:xm="http://schemas.microsoft.com/office/excel/2006/main">
          <x14:cfRule type="expression" priority="16" id="{8E2DBA36-3B71-46F9-BA57-595CA6765903}">
            <xm:f>OR(Backdoors!$K$8&lt;&gt;TRUE,Backdoors!$B$21&lt;10)</xm:f>
            <x14:dxf>
              <font>
                <color theme="1" tint="0.24994659260841701"/>
              </font>
              <fill>
                <patternFill>
                  <bgColor theme="1" tint="0.24994659260841701"/>
                </patternFill>
              </fill>
            </x14:dxf>
          </x14:cfRule>
          <xm:sqref>B34:B38</xm:sqref>
        </x14:conditionalFormatting>
        <x14:conditionalFormatting xmlns:xm="http://schemas.microsoft.com/office/excel/2006/main">
          <x14:cfRule type="expression" priority="71" id="{D344CC16-A428-490E-8637-8729ACC326BB}">
            <xm:f>Backdoors!$B$2&lt;&gt;"Hunting Horn"</xm:f>
            <x14:dxf>
              <font>
                <color theme="1" tint="0.24994659260841701"/>
              </font>
              <fill>
                <patternFill>
                  <bgColor theme="1" tint="0.24994659260841701"/>
                </patternFill>
              </fill>
            </x14:dxf>
          </x14:cfRule>
          <xm:sqref>B60</xm:sqref>
        </x14:conditionalFormatting>
        <x14:conditionalFormatting xmlns:xm="http://schemas.microsoft.com/office/excel/2006/main">
          <x14:cfRule type="expression" priority="70" id="{79FBCF7F-266D-44E3-90F8-5E83EC0F83F7}">
            <xm:f>Backdoors!$B$2&lt;&gt;"Insect Glaive"</xm:f>
            <x14:dxf>
              <font>
                <color theme="1" tint="0.24994659260841701"/>
              </font>
              <fill>
                <patternFill>
                  <bgColor theme="1" tint="0.24994659260841701"/>
                </patternFill>
              </fill>
            </x14:dxf>
          </x14:cfRule>
          <xm:sqref>B61</xm:sqref>
        </x14:conditionalFormatting>
        <x14:conditionalFormatting xmlns:xm="http://schemas.microsoft.com/office/excel/2006/main">
          <x14:cfRule type="expression" priority="69" id="{C2B2F031-DFA0-484D-A39B-1C3B19133688}">
            <xm:f>Backdoors!$B$2&lt;&gt;"Long Sword"</xm:f>
            <x14:dxf>
              <font>
                <color theme="1" tint="0.24994659260841701"/>
              </font>
              <fill>
                <patternFill>
                  <bgColor theme="1" tint="0.24994659260841701"/>
                </patternFill>
              </fill>
            </x14:dxf>
          </x14:cfRule>
          <xm:sqref>B62</xm:sqref>
        </x14:conditionalFormatting>
        <x14:conditionalFormatting xmlns:xm="http://schemas.microsoft.com/office/excel/2006/main">
          <x14:cfRule type="expression" priority="68" id="{5E9BC357-53B3-4F0C-A9E8-14D4088ADBFC}">
            <xm:f>Backdoors!$B$2&lt;&gt;"Long Sword"</xm:f>
            <x14:dxf>
              <font>
                <color theme="1" tint="0.24994659260841701"/>
              </font>
              <fill>
                <patternFill>
                  <bgColor theme="1" tint="0.24994659260841701"/>
                </patternFill>
              </fill>
            </x14:dxf>
          </x14:cfRule>
          <xm:sqref>B63</xm:sqref>
        </x14:conditionalFormatting>
        <x14:conditionalFormatting xmlns:xm="http://schemas.microsoft.com/office/excel/2006/main">
          <x14:cfRule type="expression" priority="44" id="{45745BA6-4BBE-4593-BA42-D37AB733F4BE}">
            <xm:f>OR(Backdoors!$B$2&lt;&gt;"Light Bowgun",Backdoors!$B$2&lt;&gt;"Heavy Bowgun",Backdoors!$B$2&lt;&gt;"Bow")</xm:f>
            <x14:dxf>
              <font>
                <color theme="1" tint="0.24994659260841701"/>
              </font>
              <fill>
                <patternFill>
                  <bgColor theme="1" tint="0.24994659260841701"/>
                </patternFill>
              </fill>
            </x14:dxf>
          </x14:cfRule>
          <xm:sqref>E21:E22 E19 E16</xm:sqref>
        </x14:conditionalFormatting>
        <x14:conditionalFormatting xmlns:xm="http://schemas.microsoft.com/office/excel/2006/main">
          <x14:cfRule type="expression" priority="65" id="{5516D89D-CA6D-48B4-88AA-6C6BBB6A0293}">
            <xm:f>$E$3&lt;&gt;Backdoors!$BS$12</xm:f>
            <x14:dxf>
              <fill>
                <patternFill>
                  <bgColor rgb="FFFFCCFF"/>
                </patternFill>
              </fill>
            </x14:dxf>
          </x14:cfRule>
          <xm:sqref>E3</xm:sqref>
        </x14:conditionalFormatting>
        <x14:conditionalFormatting xmlns:xm="http://schemas.microsoft.com/office/excel/2006/main">
          <x14:cfRule type="expression" priority="64" id="{47B68A2E-FC69-48EA-AD3C-4EC2AAF20876}">
            <xm:f>$E$2&lt;&gt;Backdoors!$BS$11</xm:f>
            <x14:dxf>
              <font>
                <color rgb="FFFFCCFF"/>
              </font>
              <fill>
                <patternFill>
                  <bgColor rgb="FFFFCCFF"/>
                </patternFill>
              </fill>
            </x14:dxf>
          </x14:cfRule>
          <xm:sqref>E2</xm:sqref>
        </x14:conditionalFormatting>
        <x14:conditionalFormatting xmlns:xm="http://schemas.microsoft.com/office/excel/2006/main">
          <x14:cfRule type="expression" priority="63" id="{D2DC728F-B309-4A60-AF92-F0DAFD4D15D3}">
            <xm:f>$E$4&lt;&gt;Backdoors!$BS$13</xm:f>
            <x14:dxf>
              <font>
                <color rgb="FFFFCCFF"/>
              </font>
              <fill>
                <patternFill>
                  <bgColor rgb="FFFFCCFF"/>
                </patternFill>
              </fill>
            </x14:dxf>
          </x14:cfRule>
          <xm:sqref>E4</xm:sqref>
        </x14:conditionalFormatting>
        <x14:conditionalFormatting xmlns:xm="http://schemas.microsoft.com/office/excel/2006/main">
          <x14:cfRule type="expression" priority="62" id="{C435FB12-BDF4-451A-AE85-29648B8EA448}">
            <xm:f>$E$5&lt;&gt;Backdoors!$BS$14</xm:f>
            <x14:dxf>
              <fill>
                <patternFill>
                  <bgColor rgb="FFFFCCFF"/>
                </patternFill>
              </fill>
            </x14:dxf>
          </x14:cfRule>
          <xm:sqref>E5</xm:sqref>
        </x14:conditionalFormatting>
        <x14:conditionalFormatting xmlns:xm="http://schemas.microsoft.com/office/excel/2006/main">
          <x14:cfRule type="expression" priority="61" id="{932A7FBB-9FB5-43C4-83C8-595E13C6E67E}">
            <xm:f>$E$6&lt;&gt;Backdoors!$BS$15</xm:f>
            <x14:dxf>
              <fill>
                <patternFill>
                  <bgColor rgb="FFFFCCFF"/>
                </patternFill>
              </fill>
            </x14:dxf>
          </x14:cfRule>
          <xm:sqref>E6</xm:sqref>
        </x14:conditionalFormatting>
        <x14:conditionalFormatting xmlns:xm="http://schemas.microsoft.com/office/excel/2006/main">
          <x14:cfRule type="expression" priority="60" id="{AE3E23A5-B66D-405C-A6AF-86C8AEDE4DF0}">
            <xm:f>$E$7&lt;&gt;Backdoors!$BS$16</xm:f>
            <x14:dxf>
              <fill>
                <patternFill>
                  <bgColor rgb="FFFFCCFF"/>
                </patternFill>
              </fill>
            </x14:dxf>
          </x14:cfRule>
          <xm:sqref>E7</xm:sqref>
        </x14:conditionalFormatting>
        <x14:conditionalFormatting xmlns:xm="http://schemas.microsoft.com/office/excel/2006/main">
          <x14:cfRule type="expression" priority="59" id="{5E864174-0EB1-4274-BCA4-5116B488E379}">
            <xm:f>$E$8&lt;&gt;Backdoors!$BS$17</xm:f>
            <x14:dxf>
              <fill>
                <patternFill>
                  <bgColor rgb="FFFFCCFF"/>
                </patternFill>
              </fill>
            </x14:dxf>
          </x14:cfRule>
          <xm:sqref>E8</xm:sqref>
        </x14:conditionalFormatting>
        <x14:conditionalFormatting xmlns:xm="http://schemas.microsoft.com/office/excel/2006/main">
          <x14:cfRule type="expression" priority="58" id="{FF754D3C-72D7-4D38-A9A2-34F3F3305E2E}">
            <xm:f>$E$9&lt;&gt;Backdoors!$BS$18</xm:f>
            <x14:dxf>
              <fill>
                <patternFill>
                  <bgColor rgb="FFFFCCFF"/>
                </patternFill>
              </fill>
            </x14:dxf>
          </x14:cfRule>
          <xm:sqref>E9</xm:sqref>
        </x14:conditionalFormatting>
        <x14:conditionalFormatting xmlns:xm="http://schemas.microsoft.com/office/excel/2006/main">
          <x14:cfRule type="expression" priority="57" id="{1C73ABDC-63C0-4B9C-AFD3-D6D95A023871}">
            <xm:f>$E$10&lt;&gt;Backdoors!$BS$19</xm:f>
            <x14:dxf>
              <fill>
                <patternFill>
                  <bgColor rgb="FFFFCCFF"/>
                </patternFill>
              </fill>
            </x14:dxf>
          </x14:cfRule>
          <xm:sqref>E10</xm:sqref>
        </x14:conditionalFormatting>
        <x14:conditionalFormatting xmlns:xm="http://schemas.microsoft.com/office/excel/2006/main">
          <x14:cfRule type="expression" priority="56" id="{387160E1-2350-406F-BAC3-57B2FE4B9A4A}">
            <xm:f>$E$11&lt;&gt;Backdoors!$BS$20</xm:f>
            <x14:dxf>
              <fill>
                <patternFill>
                  <bgColor rgb="FFFFCCFF"/>
                </patternFill>
              </fill>
            </x14:dxf>
          </x14:cfRule>
          <xm:sqref>E11</xm:sqref>
        </x14:conditionalFormatting>
        <x14:conditionalFormatting xmlns:xm="http://schemas.microsoft.com/office/excel/2006/main">
          <x14:cfRule type="expression" priority="55" id="{446E8174-0F85-4B12-9A33-E7465E0EB955}">
            <xm:f>$E$12&lt;&gt;Backdoors!$BS$21</xm:f>
            <x14:dxf>
              <fill>
                <patternFill>
                  <bgColor rgb="FFFFCCFF"/>
                </patternFill>
              </fill>
            </x14:dxf>
          </x14:cfRule>
          <xm:sqref>E12</xm:sqref>
        </x14:conditionalFormatting>
        <x14:conditionalFormatting xmlns:xm="http://schemas.microsoft.com/office/excel/2006/main">
          <x14:cfRule type="expression" priority="54" id="{BE3E501E-6B60-4A8E-BEF3-008040D3F8F1}">
            <xm:f>$E$13&lt;&gt;Backdoors!$BS$22</xm:f>
            <x14:dxf>
              <fill>
                <patternFill>
                  <bgColor rgb="FFFFCCFF"/>
                </patternFill>
              </fill>
            </x14:dxf>
          </x14:cfRule>
          <xm:sqref>E13</xm:sqref>
        </x14:conditionalFormatting>
        <x14:conditionalFormatting xmlns:xm="http://schemas.microsoft.com/office/excel/2006/main">
          <x14:cfRule type="expression" priority="53" id="{B21B71E9-3EC8-4E5B-9B26-8C6D40DB030A}">
            <xm:f>$E$14&lt;&gt;Backdoors!$BS$23</xm:f>
            <x14:dxf>
              <fill>
                <patternFill>
                  <bgColor rgb="FFFFCCFF"/>
                </patternFill>
              </fill>
            </x14:dxf>
          </x14:cfRule>
          <xm:sqref>E14</xm:sqref>
        </x14:conditionalFormatting>
        <x14:conditionalFormatting xmlns:xm="http://schemas.microsoft.com/office/excel/2006/main">
          <x14:cfRule type="expression" priority="52" id="{EF352082-686F-4F54-A931-EDB3A0E268BE}">
            <xm:f>$E$15&lt;&gt;Backdoors!$BS$24</xm:f>
            <x14:dxf>
              <font>
                <color rgb="FFFFCCFF"/>
              </font>
              <fill>
                <patternFill>
                  <bgColor rgb="FFFFCCFF"/>
                </patternFill>
              </fill>
            </x14:dxf>
          </x14:cfRule>
          <xm:sqref>E15</xm:sqref>
        </x14:conditionalFormatting>
        <x14:conditionalFormatting xmlns:xm="http://schemas.microsoft.com/office/excel/2006/main">
          <x14:cfRule type="expression" priority="67" id="{0FD80B34-A84F-4C3F-93F5-9A38C25314D4}">
            <xm:f>$E$16&lt;&gt;Backdoors!$BS$25</xm:f>
            <x14:dxf>
              <fill>
                <patternFill>
                  <bgColor rgb="FFFFCCFF"/>
                </patternFill>
              </fill>
            </x14:dxf>
          </x14:cfRule>
          <xm:sqref>E16</xm:sqref>
        </x14:conditionalFormatting>
        <x14:conditionalFormatting xmlns:xm="http://schemas.microsoft.com/office/excel/2006/main">
          <x14:cfRule type="expression" priority="49" id="{8A5D0CD8-8C67-46F8-A54C-33D85188AE8F}">
            <xm:f>OR(Backdoors!B2&lt;&gt;"Great Sword",Backdoors!B2&lt;&gt;"Sword &amp; Shield",Backdoors!B2&lt;&gt;"Lance",Backdoors!B2&lt;&gt;"Gunlance",Backdoors!B2&lt;&gt;"Charge Blade",Backdoors!B2&lt;&gt;"Heavy Bowgun")</xm:f>
            <x14:dxf>
              <font>
                <color theme="1" tint="0.24994659260841701"/>
              </font>
              <fill>
                <patternFill>
                  <bgColor theme="1" tint="0.24994659260841701"/>
                </patternFill>
              </fill>
            </x14:dxf>
          </x14:cfRule>
          <x14:cfRule type="expression" priority="50" id="{8F8C0DE4-95E7-429B-91DA-B41ED8DA65B5}">
            <xm:f>$E$17&lt;&gt;Backdoors!$BS$26</xm:f>
            <x14:dxf>
              <fill>
                <patternFill>
                  <bgColor rgb="FFFFCCFF"/>
                </patternFill>
              </fill>
            </x14:dxf>
          </x14:cfRule>
          <xm:sqref>E17</xm:sqref>
        </x14:conditionalFormatting>
        <x14:conditionalFormatting xmlns:xm="http://schemas.microsoft.com/office/excel/2006/main">
          <x14:cfRule type="expression" priority="48" id="{CD1B2069-66EA-40D0-B1AB-40B5C8C3C72B}">
            <xm:f>$E$18&lt;&gt;Backdoors!$BS$27</xm:f>
            <x14:dxf>
              <fill>
                <patternFill>
                  <bgColor rgb="FFFFCCFF"/>
                </patternFill>
              </fill>
            </x14:dxf>
          </x14:cfRule>
          <xm:sqref>E18</xm:sqref>
        </x14:conditionalFormatting>
        <x14:conditionalFormatting xmlns:xm="http://schemas.microsoft.com/office/excel/2006/main">
          <x14:cfRule type="expression" priority="51" id="{C4BD183D-AF5B-4640-A54B-65826E4EF67D}">
            <xm:f>$E$19&lt;&gt;Backdoors!$BS$28</xm:f>
            <x14:dxf>
              <fill>
                <patternFill>
                  <bgColor rgb="FFFFCCFF"/>
                </patternFill>
              </fill>
            </x14:dxf>
          </x14:cfRule>
          <xm:sqref>E19</xm:sqref>
        </x14:conditionalFormatting>
        <x14:conditionalFormatting xmlns:xm="http://schemas.microsoft.com/office/excel/2006/main">
          <x14:cfRule type="expression" priority="46" id="{2B174CA2-3974-4019-8429-8A04B6738F75}">
            <xm:f>$E$20&lt;&gt;Backdoors!$BS$29</xm:f>
            <x14:dxf>
              <fill>
                <patternFill>
                  <bgColor rgb="FFFFCCFF"/>
                </patternFill>
              </fill>
            </x14:dxf>
          </x14:cfRule>
          <xm:sqref>E20</xm:sqref>
        </x14:conditionalFormatting>
        <x14:conditionalFormatting xmlns:xm="http://schemas.microsoft.com/office/excel/2006/main">
          <x14:cfRule type="expression" priority="47" id="{7A9D51D1-FAFE-4A91-BC9C-4627A79850AD}">
            <xm:f>$E$21&lt;&gt;Backdoors!$BS$30</xm:f>
            <x14:dxf>
              <fill>
                <patternFill>
                  <bgColor rgb="FFFFCCFF"/>
                </patternFill>
              </fill>
            </x14:dxf>
          </x14:cfRule>
          <xm:sqref>E21</xm:sqref>
        </x14:conditionalFormatting>
        <x14:conditionalFormatting xmlns:xm="http://schemas.microsoft.com/office/excel/2006/main">
          <x14:cfRule type="expression" priority="45" id="{B92DADDC-CEF2-484F-B965-D7B2BE9774B8}">
            <xm:f>$E$22&lt;&gt;Backdoors!$BS$31</xm:f>
            <x14:dxf>
              <fill>
                <patternFill>
                  <bgColor rgb="FFFFCCFF"/>
                </patternFill>
              </fill>
            </x14:dxf>
          </x14:cfRule>
          <xm:sqref>E22</xm:sqref>
        </x14:conditionalFormatting>
        <x14:conditionalFormatting xmlns:xm="http://schemas.microsoft.com/office/excel/2006/main">
          <x14:cfRule type="expression" priority="43" id="{860343FB-6AE2-4944-B6C2-09A8E3990C67}">
            <xm:f>$E$23&lt;&gt;Backdoors!$BS$32</xm:f>
            <x14:dxf>
              <fill>
                <patternFill>
                  <bgColor rgb="FFFFCCFF"/>
                </patternFill>
              </fill>
            </x14:dxf>
          </x14:cfRule>
          <xm:sqref>E23</xm:sqref>
        </x14:conditionalFormatting>
        <x14:conditionalFormatting xmlns:xm="http://schemas.microsoft.com/office/excel/2006/main">
          <x14:cfRule type="expression" priority="42" id="{8CF2A731-72FB-4397-888E-2DDCFE6C821E}">
            <xm:f>$E$24&lt;&gt;Backdoors!$BS$33</xm:f>
            <x14:dxf>
              <fill>
                <patternFill>
                  <bgColor rgb="FFFFCCFF"/>
                </patternFill>
              </fill>
            </x14:dxf>
          </x14:cfRule>
          <xm:sqref>E24</xm:sqref>
        </x14:conditionalFormatting>
        <x14:conditionalFormatting xmlns:xm="http://schemas.microsoft.com/office/excel/2006/main">
          <x14:cfRule type="expression" priority="41" id="{7478DD2B-742A-42AB-A036-8798360A12A7}">
            <xm:f>$E$25&lt;&gt;Backdoors!$BS$34</xm:f>
            <x14:dxf>
              <fill>
                <patternFill>
                  <bgColor rgb="FFFFCCFF"/>
                </patternFill>
              </fill>
            </x14:dxf>
          </x14:cfRule>
          <xm:sqref>E25</xm:sqref>
        </x14:conditionalFormatting>
        <x14:conditionalFormatting xmlns:xm="http://schemas.microsoft.com/office/excel/2006/main">
          <x14:cfRule type="expression" priority="40" id="{930332EC-E2C6-4BA3-BF40-C980E07DA945}">
            <xm:f>$E$26&lt;&gt;Backdoors!$BS$35</xm:f>
            <x14:dxf>
              <fill>
                <patternFill>
                  <bgColor rgb="FFFFCCFF"/>
                </patternFill>
              </fill>
            </x14:dxf>
          </x14:cfRule>
          <xm:sqref>E26</xm:sqref>
        </x14:conditionalFormatting>
        <x14:conditionalFormatting xmlns:xm="http://schemas.microsoft.com/office/excel/2006/main">
          <x14:cfRule type="expression" priority="39" id="{B3EA82EC-151A-4C67-A307-4EAF244A2482}">
            <xm:f>$E$27&lt;&gt;Backdoors!$BS$36</xm:f>
            <x14:dxf>
              <fill>
                <patternFill>
                  <bgColor rgb="FFFFCCFF"/>
                </patternFill>
              </fill>
            </x14:dxf>
          </x14:cfRule>
          <xm:sqref>E27</xm:sqref>
        </x14:conditionalFormatting>
        <x14:conditionalFormatting xmlns:xm="http://schemas.microsoft.com/office/excel/2006/main">
          <x14:cfRule type="expression" priority="38" id="{819941ED-9C7F-45AA-8CEA-0A8D60A23AAD}">
            <xm:f>$E$28&lt;&gt;Backdoors!$BS$37</xm:f>
            <x14:dxf>
              <fill>
                <patternFill>
                  <bgColor rgb="FFFFCCFF"/>
                </patternFill>
              </fill>
            </x14:dxf>
          </x14:cfRule>
          <xm:sqref>E28</xm:sqref>
        </x14:conditionalFormatting>
        <x14:conditionalFormatting xmlns:xm="http://schemas.microsoft.com/office/excel/2006/main">
          <x14:cfRule type="expression" priority="37" id="{550B030A-9074-483C-AE16-86AD48DF84A6}">
            <xm:f>$E$29&lt;&gt;Backdoors!$BS$38</xm:f>
            <x14:dxf>
              <fill>
                <patternFill>
                  <bgColor rgb="FFFFCCFF"/>
                </patternFill>
              </fill>
            </x14:dxf>
          </x14:cfRule>
          <xm:sqref>E29</xm:sqref>
        </x14:conditionalFormatting>
        <x14:conditionalFormatting xmlns:xm="http://schemas.microsoft.com/office/excel/2006/main">
          <x14:cfRule type="expression" priority="36" id="{4931544F-A697-495F-A4C3-38935D123EB8}">
            <xm:f>$E$30&lt;&gt;Backdoors!$BS$39</xm:f>
            <x14:dxf>
              <fill>
                <patternFill>
                  <bgColor rgb="FFFFCCFF"/>
                </patternFill>
              </fill>
            </x14:dxf>
          </x14:cfRule>
          <xm:sqref>E30</xm:sqref>
        </x14:conditionalFormatting>
        <x14:conditionalFormatting xmlns:xm="http://schemas.microsoft.com/office/excel/2006/main">
          <x14:cfRule type="expression" priority="35" id="{91FF1353-EBB0-48CE-BAAD-BA6F778D0D89}">
            <xm:f>$E$33&lt;&gt;Backdoors!$BS$40</xm:f>
            <x14:dxf>
              <fill>
                <patternFill>
                  <bgColor rgb="FFFFCCFF"/>
                </patternFill>
              </fill>
            </x14:dxf>
          </x14:cfRule>
          <xm:sqref>E33</xm:sqref>
        </x14:conditionalFormatting>
        <x14:conditionalFormatting xmlns:xm="http://schemas.microsoft.com/office/excel/2006/main">
          <x14:cfRule type="expression" priority="34" id="{CF845E05-FC5D-4F67-88C4-1B61E003DC98}">
            <xm:f>$E$35&lt;&gt;Backdoors!$BS$41</xm:f>
            <x14:dxf>
              <font>
                <color rgb="FFFFCCFF"/>
              </font>
              <fill>
                <patternFill>
                  <bgColor rgb="FFFFCCFF"/>
                </patternFill>
              </fill>
            </x14:dxf>
          </x14:cfRule>
          <xm:sqref>E35</xm:sqref>
        </x14:conditionalFormatting>
        <x14:conditionalFormatting xmlns:xm="http://schemas.microsoft.com/office/excel/2006/main">
          <x14:cfRule type="expression" priority="33" id="{FFA80DD8-CEB9-43E6-9EBD-2A92057C09BD}">
            <xm:f>$E$36&lt;&gt;Backdoors!$BS$42</xm:f>
            <x14:dxf>
              <fill>
                <patternFill>
                  <bgColor rgb="FFFFCCFF"/>
                </patternFill>
              </fill>
            </x14:dxf>
          </x14:cfRule>
          <xm:sqref>E36</xm:sqref>
        </x14:conditionalFormatting>
        <x14:conditionalFormatting xmlns:xm="http://schemas.microsoft.com/office/excel/2006/main">
          <x14:cfRule type="expression" priority="32" id="{1F82A487-D005-411A-A584-2BC2E9E11DCE}">
            <xm:f>$E$38&lt;&gt;Backdoors!$BS$43</xm:f>
            <x14:dxf>
              <font>
                <color rgb="FFFFCCFF"/>
              </font>
              <fill>
                <patternFill>
                  <bgColor rgb="FFFFCCFF"/>
                </patternFill>
              </fill>
            </x14:dxf>
          </x14:cfRule>
          <xm:sqref>E38</xm:sqref>
        </x14:conditionalFormatting>
        <x14:conditionalFormatting xmlns:xm="http://schemas.microsoft.com/office/excel/2006/main">
          <x14:cfRule type="expression" priority="31" id="{A7CA509C-7405-46C3-8BCA-9830B90A09C6}">
            <xm:f>$E$39&lt;&gt;Backdoors!$BS$44</xm:f>
            <x14:dxf>
              <fill>
                <patternFill>
                  <bgColor rgb="FFFFCCFF"/>
                </patternFill>
              </fill>
            </x14:dxf>
          </x14:cfRule>
          <xm:sqref>E39</xm:sqref>
        </x14:conditionalFormatting>
        <x14:conditionalFormatting xmlns:xm="http://schemas.microsoft.com/office/excel/2006/main">
          <x14:cfRule type="expression" priority="30" id="{8D757C85-3AEB-4890-9107-63E53984EF91}">
            <xm:f>$E$40&lt;&gt;Backdoors!$BS$45</xm:f>
            <x14:dxf>
              <fill>
                <patternFill>
                  <bgColor rgb="FFFFCCFF"/>
                </patternFill>
              </fill>
            </x14:dxf>
          </x14:cfRule>
          <xm:sqref>E40</xm:sqref>
        </x14:conditionalFormatting>
        <x14:conditionalFormatting xmlns:xm="http://schemas.microsoft.com/office/excel/2006/main">
          <x14:cfRule type="expression" priority="29" id="{4E0C1CE4-7B2E-4798-9624-0990A243A9FC}">
            <xm:f>$E$41&lt;&gt;Backdoors!$BS$46</xm:f>
            <x14:dxf>
              <fill>
                <patternFill>
                  <bgColor rgb="FFFFCCFF"/>
                </patternFill>
              </fill>
            </x14:dxf>
          </x14:cfRule>
          <xm:sqref>E41</xm:sqref>
        </x14:conditionalFormatting>
        <x14:conditionalFormatting xmlns:xm="http://schemas.microsoft.com/office/excel/2006/main">
          <x14:cfRule type="expression" priority="28" id="{F4C734AF-E20B-4C78-8556-800D6EC38DBE}">
            <xm:f>$E$42&lt;&gt;Backdoors!$BS$47</xm:f>
            <x14:dxf>
              <fill>
                <patternFill>
                  <bgColor rgb="FFFFCCFF"/>
                </patternFill>
              </fill>
            </x14:dxf>
          </x14:cfRule>
          <xm:sqref>E42</xm:sqref>
        </x14:conditionalFormatting>
        <x14:conditionalFormatting xmlns:xm="http://schemas.microsoft.com/office/excel/2006/main">
          <x14:cfRule type="expression" priority="27" id="{F7C7FC96-BAC5-4251-B944-89715BA591CF}">
            <xm:f>$E$43&lt;&gt;Backdoors!$BS$48</xm:f>
            <x14:dxf>
              <font>
                <color rgb="FFFFCCFF"/>
              </font>
              <fill>
                <patternFill>
                  <bgColor rgb="FFFFCCFF"/>
                </patternFill>
              </fill>
            </x14:dxf>
          </x14:cfRule>
          <xm:sqref>E43</xm:sqref>
        </x14:conditionalFormatting>
        <x14:conditionalFormatting xmlns:xm="http://schemas.microsoft.com/office/excel/2006/main">
          <x14:cfRule type="expression" priority="26" id="{6D0926FA-CBA7-4AF8-97C4-7E19D79DAA8F}">
            <xm:f>$E$44&lt;&gt;Backdoors!$BS$49</xm:f>
            <x14:dxf>
              <font>
                <color rgb="FFFFCCFF"/>
              </font>
              <fill>
                <patternFill>
                  <bgColor rgb="FFFFCCFF"/>
                </patternFill>
              </fill>
            </x14:dxf>
          </x14:cfRule>
          <xm:sqref>E44</xm:sqref>
        </x14:conditionalFormatting>
        <x14:conditionalFormatting xmlns:xm="http://schemas.microsoft.com/office/excel/2006/main">
          <x14:cfRule type="expression" priority="25" id="{D50C057A-4CD5-44B3-A86F-00F608426C97}">
            <xm:f>$E$45&lt;&gt;Backdoors!$BS$50</xm:f>
            <x14:dxf>
              <fill>
                <patternFill>
                  <bgColor rgb="FFFFCCFF"/>
                </patternFill>
              </fill>
            </x14:dxf>
          </x14:cfRule>
          <xm:sqref>E45</xm:sqref>
        </x14:conditionalFormatting>
        <x14:conditionalFormatting xmlns:xm="http://schemas.microsoft.com/office/excel/2006/main">
          <x14:cfRule type="expression" priority="24" id="{1B4DD867-A011-4870-A949-7EA565005969}">
            <xm:f>$E$46&lt;&gt;Backdoors!$BS$51</xm:f>
            <x14:dxf>
              <font>
                <color rgb="FFFFCCFF"/>
              </font>
              <fill>
                <patternFill>
                  <bgColor rgb="FFFFCCFF"/>
                </patternFill>
              </fill>
            </x14:dxf>
          </x14:cfRule>
          <xm:sqref>E46</xm:sqref>
        </x14:conditionalFormatting>
        <x14:conditionalFormatting xmlns:xm="http://schemas.microsoft.com/office/excel/2006/main">
          <x14:cfRule type="expression" priority="133" id="{63D5B1DA-B718-4C11-8D5A-70F70F5B3E68}">
            <xm:f>$B$34&lt;&gt;Backdoors!$BS$55</xm:f>
            <x14:dxf>
              <fill>
                <patternFill>
                  <bgColor rgb="FFFFCCFF"/>
                </patternFill>
              </fill>
            </x14:dxf>
          </x14:cfRule>
          <xm:sqref>B34</xm:sqref>
        </x14:conditionalFormatting>
        <x14:conditionalFormatting xmlns:xm="http://schemas.microsoft.com/office/excel/2006/main">
          <x14:cfRule type="expression" priority="20" id="{BF1FCCC3-9D33-44F7-9ED3-A83167C2C253}">
            <xm:f>$B$35&lt;&gt;Backdoors!$BS$56</xm:f>
            <x14:dxf>
              <fill>
                <patternFill>
                  <bgColor rgb="FFFFCCFF"/>
                </patternFill>
              </fill>
            </x14:dxf>
          </x14:cfRule>
          <xm:sqref>B35</xm:sqref>
        </x14:conditionalFormatting>
        <x14:conditionalFormatting xmlns:xm="http://schemas.microsoft.com/office/excel/2006/main">
          <x14:cfRule type="expression" priority="19" id="{5C081396-369E-4D9F-84D4-1907CC64E9FA}">
            <xm:f>$B$36&lt;&gt;Backdoors!$BS$57</xm:f>
            <x14:dxf>
              <fill>
                <patternFill>
                  <bgColor rgb="FFFFCCFF"/>
                </patternFill>
              </fill>
            </x14:dxf>
          </x14:cfRule>
          <xm:sqref>B36</xm:sqref>
        </x14:conditionalFormatting>
        <x14:conditionalFormatting xmlns:xm="http://schemas.microsoft.com/office/excel/2006/main">
          <x14:cfRule type="expression" priority="18" id="{853E9443-A035-4E2E-9DD1-A0B096EE7215}">
            <xm:f>$B$37&lt;&gt;Backdoors!$BS$58</xm:f>
            <x14:dxf>
              <fill>
                <patternFill>
                  <bgColor rgb="FFFFCCFF"/>
                </patternFill>
              </fill>
            </x14:dxf>
          </x14:cfRule>
          <xm:sqref>B37</xm:sqref>
        </x14:conditionalFormatting>
        <x14:conditionalFormatting xmlns:xm="http://schemas.microsoft.com/office/excel/2006/main">
          <x14:cfRule type="expression" priority="17" id="{5686A473-A9A5-46AB-B146-570504F7F252}">
            <xm:f>$B$38&lt;&gt;Backdoors!$BS$59</xm:f>
            <x14:dxf>
              <fill>
                <patternFill>
                  <bgColor rgb="FFFFCCFF"/>
                </patternFill>
              </fill>
            </x14:dxf>
          </x14:cfRule>
          <xm:sqref>B38</xm:sqref>
        </x14:conditionalFormatting>
        <x14:conditionalFormatting xmlns:xm="http://schemas.microsoft.com/office/excel/2006/main">
          <x14:cfRule type="expression" priority="78" id="{B990122E-49FC-4862-A3E4-2CC29DA1159E}">
            <xm:f>$B$48&lt;&gt;Backdoors!$BS$67</xm:f>
            <x14:dxf>
              <fill>
                <patternFill>
                  <bgColor rgb="FFFFCCFF"/>
                </patternFill>
              </fill>
            </x14:dxf>
          </x14:cfRule>
          <xm:sqref>B48</xm:sqref>
        </x14:conditionalFormatting>
        <x14:conditionalFormatting xmlns:xm="http://schemas.microsoft.com/office/excel/2006/main">
          <x14:cfRule type="expression" priority="1" id="{D43C1F72-7583-4A55-83D5-B27BF7E8C0A6}">
            <xm:f>AND($B$2&lt;&gt;Backdoors!$BS$74,Backdoors!$BS$74&lt;&gt;"N/A")</xm:f>
            <x14:dxf>
              <fill>
                <patternFill>
                  <bgColor rgb="FFFFCCFF"/>
                </patternFill>
              </fill>
            </x14:dxf>
          </x14:cfRule>
          <xm:sqref>B2</xm:sqref>
        </x14:conditionalFormatting>
      </x14:conditionalFormattings>
    </ext>
    <ext xmlns:x14="http://schemas.microsoft.com/office/spreadsheetml/2009/9/main" uri="{CCE6A557-97BC-4b89-ADB6-D9C93CAAB3DF}">
      <x14:dataValidations xmlns:xm="http://schemas.microsoft.com/office/excel/2006/main" count="31">
        <x14:dataValidation type="list" allowBlank="1" showInputMessage="1" showErrorMessage="1" xr:uid="{0C317D34-BF8A-4F7B-8E3E-349F8EC3368F}">
          <x14:formula1>
            <xm:f>tbSkills!$BN$3:$BN$8</xm:f>
          </x14:formula1>
          <xm:sqref>E33</xm:sqref>
        </x14:dataValidation>
        <x14:dataValidation type="list" allowBlank="1" showInputMessage="1" showErrorMessage="1" xr:uid="{3F2229B3-6DBD-4432-B9A8-67454779ABB4}">
          <x14:formula1>
            <xm:f>tbSkills!$Z$3:$Z$6</xm:f>
          </x14:formula1>
          <xm:sqref>E8</xm:sqref>
        </x14:dataValidation>
        <x14:dataValidation type="list" allowBlank="1" showInputMessage="1" showErrorMessage="1" xr:uid="{CFFE1803-1FAF-4F9F-B7F7-E8DEAD2168EB}">
          <x14:formula1>
            <xm:f>tbSkills!$AX$3:$AX$9</xm:f>
          </x14:formula1>
          <xm:sqref>E24:E28</xm:sqref>
        </x14:dataValidation>
        <x14:dataValidation type="list" allowBlank="1" showInputMessage="1" showErrorMessage="1" xr:uid="{6853E52F-671E-498B-B3B5-05D56C49B05A}">
          <x14:formula1>
            <xm:f>tbSkills!$DH$3:$DH$6</xm:f>
          </x14:formula1>
          <xm:sqref>E23</xm:sqref>
        </x14:dataValidation>
        <x14:dataValidation type="list" allowBlank="1" showInputMessage="1" showErrorMessage="1" xr:uid="{CDF39D98-B44A-43B6-9342-417A92491A47}">
          <x14:formula1>
            <xm:f>tbSkills!$AC$3:$AC$5</xm:f>
          </x14:formula1>
          <xm:sqref>E39</xm:sqref>
        </x14:dataValidation>
        <x14:dataValidation type="list" allowBlank="1" showInputMessage="1" showErrorMessage="1" xr:uid="{9572EAEF-9009-4DA8-8EF0-4AEA3F365513}">
          <x14:formula1>
            <xm:f>tbSkills!$DD$3:$DD$7</xm:f>
          </x14:formula1>
          <xm:sqref>E29:E30</xm:sqref>
        </x14:dataValidation>
        <x14:dataValidation type="list" allowBlank="1" showInputMessage="1" showErrorMessage="1" xr:uid="{75F69372-129B-4ED1-B662-7821954D54D7}">
          <x14:formula1>
            <xm:f>tbSkills!$BT$3:$BT$10</xm:f>
          </x14:formula1>
          <xm:sqref>E13</xm:sqref>
        </x14:dataValidation>
        <x14:dataValidation type="list" allowBlank="1" showInputMessage="1" showErrorMessage="1" xr:uid="{AFC68C59-33A1-4C9E-87A7-C289324EA64D}">
          <x14:formula1>
            <xm:f>tbSkills!$BH$3:$BH$6</xm:f>
          </x14:formula1>
          <xm:sqref>E11</xm:sqref>
        </x14:dataValidation>
        <x14:dataValidation type="list" allowBlank="1" showInputMessage="1" showErrorMessage="1" xr:uid="{E96CA34E-C136-493E-8706-24CC81379AF2}">
          <x14:formula1>
            <xm:f>tbSkills!$BW$3:$BW$8</xm:f>
          </x14:formula1>
          <xm:sqref>E14</xm:sqref>
        </x14:dataValidation>
        <x14:dataValidation type="list" allowBlank="1" showInputMessage="1" showErrorMessage="1" xr:uid="{059CE5B4-6694-47F3-AAB1-A5DE977C7B31}">
          <x14:formula1>
            <xm:f>tbSkills!$CI$3:$CI$6</xm:f>
          </x14:formula1>
          <xm:sqref>E18</xm:sqref>
        </x14:dataValidation>
        <x14:dataValidation type="list" allowBlank="1" showInputMessage="1" showErrorMessage="1" xr:uid="{E3F271CD-CEE0-496B-868D-41FCC7DD637C}">
          <x14:formula1>
            <xm:f>tbSkills!$CU$3:$CU$8</xm:f>
          </x14:formula1>
          <xm:sqref>E20</xm:sqref>
        </x14:dataValidation>
        <x14:dataValidation type="list" allowBlank="1" showInputMessage="1" showErrorMessage="1" xr:uid="{AB37E6C7-937D-4F06-BE04-2C39A367299D}">
          <x14:formula1>
            <xm:f>tbSkills!$D$3:$D$10</xm:f>
          </x14:formula1>
          <xm:sqref>E3</xm:sqref>
        </x14:dataValidation>
        <x14:dataValidation type="list" allowBlank="1" showInputMessage="1" showErrorMessage="1" xr:uid="{2764C774-3C30-4396-A99E-99E426CFEB37}">
          <x14:formula1>
            <xm:f>tbSkills!$N$3:$N$10</xm:f>
          </x14:formula1>
          <xm:sqref>E6</xm:sqref>
        </x14:dataValidation>
        <x14:dataValidation type="list" allowBlank="1" showInputMessage="1" showErrorMessage="1" xr:uid="{6659AB79-11CC-4570-ADDC-391638299667}">
          <x14:formula1>
            <xm:f>tbSkills!$AI$3:$AI$5</xm:f>
          </x14:formula1>
          <xm:sqref>E40</xm:sqref>
        </x14:dataValidation>
        <x14:dataValidation type="list" allowBlank="1" showInputMessage="1" showErrorMessage="1" xr:uid="{A87B1BFB-3E22-4E71-A472-C049FDCC395C}">
          <x14:formula1>
            <xm:f>tbSkills!$AF$3:$AF$10</xm:f>
          </x14:formula1>
          <xm:sqref>E9</xm:sqref>
        </x14:dataValidation>
        <x14:dataValidation type="list" allowBlank="1" showInputMessage="1" showErrorMessage="1" xr:uid="{6E16CBFA-37A1-4458-A1BB-86604524843C}">
          <x14:formula1>
            <xm:f>tbSkills!$AR$3:$AR$5</xm:f>
          </x14:formula1>
          <xm:sqref>E42</xm:sqref>
        </x14:dataValidation>
        <x14:dataValidation type="list" allowBlank="1" showInputMessage="1" showErrorMessage="1" xr:uid="{DAF4DAED-82FA-4200-8660-6D3BEFBB3590}">
          <x14:formula1>
            <xm:f>tbSkills!$U$3:$U$6</xm:f>
          </x14:formula1>
          <xm:sqref>E7</xm:sqref>
        </x14:dataValidation>
        <x14:dataValidation type="list" allowBlank="1" showInputMessage="1" showErrorMessage="1" xr:uid="{E7351135-8738-40FF-8A8A-A9FD486CE3C5}">
          <x14:formula1>
            <xm:f>tbSkills!$CR$3:$CR$5</xm:f>
          </x14:formula1>
          <xm:sqref>E36</xm:sqref>
        </x14:dataValidation>
        <x14:dataValidation type="list" allowBlank="1" showInputMessage="1" showErrorMessage="1" xr:uid="{F922E1FB-19FF-4218-8B7D-D55DAD93E903}">
          <x14:formula1>
            <xm:f>tbSkills!$BK$3:$BK$6</xm:f>
          </x14:formula1>
          <xm:sqref>E45</xm:sqref>
        </x14:dataValidation>
        <x14:dataValidation type="list" allowBlank="1" showInputMessage="1" showErrorMessage="1" xr:uid="{F895ACA1-13EA-40A6-A1B0-77D084741F3F}">
          <x14:formula1>
            <xm:f>tbSkills!$K$3:$K$8</xm:f>
          </x14:formula1>
          <xm:sqref>E5</xm:sqref>
        </x14:dataValidation>
        <x14:dataValidation type="list" allowBlank="1" showInputMessage="1" showErrorMessage="1" xr:uid="{04967287-313A-4C62-A9D5-1E8E2C9DAE0E}">
          <x14:formula1>
            <xm:f>tbSkills!$CC$3:$CC$5</xm:f>
          </x14:formula1>
          <xm:sqref>E16</xm:sqref>
        </x14:dataValidation>
        <x14:dataValidation type="list" allowBlank="1" showInputMessage="1" showErrorMessage="1" xr:uid="{DA4FC15D-274B-4A22-8D79-6343F97A7EF7}">
          <x14:formula1>
            <xm:f>tbSkills!$CL$3:$CL$5</xm:f>
          </x14:formula1>
          <xm:sqref>E19</xm:sqref>
        </x14:dataValidation>
        <x14:dataValidation type="list" allowBlank="1" showInputMessage="1" showErrorMessage="1" xr:uid="{4C2A9CF2-C3A2-4E76-8E1D-E561C3DFA28B}">
          <x14:formula1>
            <xm:f>tbSkills!$CX$3:$CX$5</xm:f>
          </x14:formula1>
          <xm:sqref>E21</xm:sqref>
        </x14:dataValidation>
        <x14:dataValidation type="list" allowBlank="1" showInputMessage="1" showErrorMessage="1" xr:uid="{A83B9B34-89B3-4DF7-8D0E-4B3B53E097FF}">
          <x14:formula1>
            <xm:f>tbSkills!$DA$3:$DA$5</xm:f>
          </x14:formula1>
          <xm:sqref>E22</xm:sqref>
        </x14:dataValidation>
        <x14:dataValidation type="list" allowBlank="1" showInputMessage="1" showErrorMessage="1" xr:uid="{1DE75451-F338-4E3A-9E90-271D8C58F409}">
          <x14:formula1>
            <xm:f>tbSkills!$BQ$3:$BQ$10</xm:f>
          </x14:formula1>
          <xm:sqref>E12</xm:sqref>
        </x14:dataValidation>
        <x14:dataValidation type="list" allowBlank="1" showInputMessage="1" showErrorMessage="1" xr:uid="{5A733C26-434D-4138-B50A-FEFA6D716ADA}">
          <x14:formula1>
            <xm:f>tbSkills!$CF$3:$CF$6</xm:f>
          </x14:formula1>
          <xm:sqref>E17</xm:sqref>
        </x14:dataValidation>
        <x14:dataValidation type="list" allowBlank="1" showInputMessage="1" showErrorMessage="1" xr:uid="{77E62959-6E0B-4963-AEA7-BF337DA1CCAE}">
          <x14:formula1>
            <xm:f>tbMonsters!$A$2:$A$74</xm:f>
          </x14:formula1>
          <xm:sqref>B4</xm:sqref>
        </x14:dataValidation>
        <x14:dataValidation type="list" allowBlank="1" showInputMessage="1" showErrorMessage="1" xr:uid="{45612C60-BCC1-4B0E-81AE-8A03F33D1EC6}">
          <x14:formula1>
            <xm:f>tbWeapons!$A$2:$A$271</xm:f>
          </x14:formula1>
          <xm:sqref>B2</xm:sqref>
        </x14:dataValidation>
        <x14:dataValidation type="list" allowBlank="1" showInputMessage="1" showErrorMessage="1" xr:uid="{5EAD5283-5D3D-4E4B-BA8F-71359CFEF371}">
          <x14:formula1>
            <xm:f>tbAwaken!$S$2:$S$35</xm:f>
          </x14:formula1>
          <xm:sqref>B51:B55</xm:sqref>
        </x14:dataValidation>
        <x14:dataValidation type="list" allowBlank="1" showInputMessage="1" showErrorMessage="1" xr:uid="{98B7B290-CCEF-41B1-A86C-BB2F33C8B628}">
          <x14:formula1>
            <xm:f>tbSkills!$AL$3:$AL$5</xm:f>
          </x14:formula1>
          <xm:sqref>E41</xm:sqref>
        </x14:dataValidation>
        <x14:dataValidation type="list" allowBlank="1" showInputMessage="1" showErrorMessage="1" xr:uid="{F8361629-9822-41A2-9448-DFFA8D45375D}">
          <x14:formula1>
            <xm:f>Combos!$B$3:$K$3</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14B0C-40E9-4302-93B9-B6418E2BCCC1}">
  <sheetPr codeName="Sheet12"/>
  <dimension ref="A1:K29"/>
  <sheetViews>
    <sheetView workbookViewId="0">
      <selection activeCell="I15" sqref="I15"/>
    </sheetView>
  </sheetViews>
  <sheetFormatPr defaultRowHeight="15" x14ac:dyDescent="0.25"/>
  <cols>
    <col min="1" max="1" width="13.140625" bestFit="1" customWidth="1"/>
    <col min="2" max="11" width="23.5703125" bestFit="1" customWidth="1"/>
  </cols>
  <sheetData>
    <row r="1" spans="1:11" x14ac:dyDescent="0.25">
      <c r="A1" s="34" t="s">
        <v>1106</v>
      </c>
      <c r="B1" s="34" t="s">
        <v>1095</v>
      </c>
      <c r="C1" s="34" t="s">
        <v>1097</v>
      </c>
      <c r="D1" s="34" t="s">
        <v>1098</v>
      </c>
      <c r="E1" s="34" t="s">
        <v>1099</v>
      </c>
      <c r="F1" s="34" t="s">
        <v>1100</v>
      </c>
      <c r="G1" s="34" t="s">
        <v>1101</v>
      </c>
      <c r="H1" s="34" t="s">
        <v>1102</v>
      </c>
      <c r="I1" s="34" t="s">
        <v>1103</v>
      </c>
      <c r="J1" s="34" t="s">
        <v>1104</v>
      </c>
      <c r="K1" s="34" t="s">
        <v>1096</v>
      </c>
    </row>
    <row r="2" spans="1:11" x14ac:dyDescent="0.25">
      <c r="A2" s="34" t="s">
        <v>1105</v>
      </c>
      <c r="B2" s="69" t="s">
        <v>1133</v>
      </c>
      <c r="C2" s="69" t="s">
        <v>1134</v>
      </c>
      <c r="D2" s="69" t="s">
        <v>1135</v>
      </c>
      <c r="E2" s="69" t="s">
        <v>1534</v>
      </c>
      <c r="F2" s="69"/>
      <c r="G2" s="69"/>
      <c r="H2" s="69"/>
      <c r="I2" s="69"/>
      <c r="J2" s="69"/>
      <c r="K2" s="69"/>
    </row>
    <row r="3" spans="1:11" ht="15.75" customHeight="1" x14ac:dyDescent="0.25">
      <c r="A3" s="4" t="s">
        <v>766</v>
      </c>
      <c r="B3" s="68" t="str">
        <f>IF(Combos!B2="","Combo 1",Combos!B2)</f>
        <v>Sixfold -&gt; Blade Dance</v>
      </c>
      <c r="C3" s="68" t="str">
        <f>IF(Combos!C2="","Combo 2",Combos!C2)</f>
        <v>Sixfold Demon Slash</v>
      </c>
      <c r="D3" s="68" t="str">
        <f>IF(Combos!D2="","Combo 3",Combos!D2)</f>
        <v>Blade Dance</v>
      </c>
      <c r="E3" s="68" t="str">
        <f>IF(Combos!E2="","Combo 4",Combos!E2)</f>
        <v>Demon Flurry Rush -&gt; Clutch Rising Slash</v>
      </c>
      <c r="F3" s="68" t="str">
        <f>IF(Combos!F2="","Combo 5",Combos!F2)</f>
        <v>Combo 5</v>
      </c>
      <c r="G3" s="68" t="str">
        <f>IF(Combos!G2="","Combo 6",Combos!G2)</f>
        <v>Combo 6</v>
      </c>
      <c r="H3" s="68" t="str">
        <f>IF(Combos!H2="","Combo 7",Combos!H2)</f>
        <v>Combo 7</v>
      </c>
      <c r="I3" s="68" t="str">
        <f>IF(Combos!I2="","Combo 8",Combos!I2)</f>
        <v>Combo 8</v>
      </c>
      <c r="J3" s="68" t="str">
        <f>IF(Combos!J2="","Combo 9",Combos!J2)</f>
        <v>Combo 9</v>
      </c>
      <c r="K3" s="68" t="str">
        <f>IF(Combos!K2="","Combo 10",Combos!K2)</f>
        <v>Combo 10</v>
      </c>
    </row>
    <row r="4" spans="1:11" x14ac:dyDescent="0.25">
      <c r="A4" s="34" t="s">
        <v>146</v>
      </c>
      <c r="B4" s="70">
        <v>6.3330000000000002</v>
      </c>
      <c r="C4" s="70">
        <v>2.327</v>
      </c>
      <c r="D4" s="70">
        <v>3.9449999999999998</v>
      </c>
      <c r="E4" s="70">
        <v>7.4649999999999999</v>
      </c>
      <c r="F4" s="70"/>
      <c r="G4" s="70"/>
      <c r="H4" s="70"/>
      <c r="I4" s="70"/>
      <c r="J4" s="70"/>
      <c r="K4" s="70"/>
    </row>
    <row r="5" spans="1:11" x14ac:dyDescent="0.25">
      <c r="A5" s="34" t="s">
        <v>1107</v>
      </c>
      <c r="B5" s="65" t="s">
        <v>34</v>
      </c>
      <c r="C5" s="65" t="s">
        <v>34</v>
      </c>
      <c r="D5" s="65" t="s">
        <v>53</v>
      </c>
      <c r="E5" s="65" t="s">
        <v>46</v>
      </c>
      <c r="F5" s="65"/>
      <c r="G5" s="65"/>
      <c r="H5" s="65"/>
      <c r="I5" s="65"/>
      <c r="J5" s="65"/>
      <c r="K5" s="65"/>
    </row>
    <row r="6" spans="1:11" x14ac:dyDescent="0.25">
      <c r="A6" s="34" t="s">
        <v>1108</v>
      </c>
      <c r="B6" s="65" t="s">
        <v>35</v>
      </c>
      <c r="C6" s="65" t="s">
        <v>35</v>
      </c>
      <c r="D6" s="65" t="s">
        <v>54</v>
      </c>
      <c r="E6" s="65" t="s">
        <v>49</v>
      </c>
      <c r="F6" s="65"/>
      <c r="G6" s="65"/>
      <c r="H6" s="65"/>
      <c r="I6" s="65"/>
      <c r="J6" s="65"/>
      <c r="K6" s="65"/>
    </row>
    <row r="7" spans="1:11" x14ac:dyDescent="0.25">
      <c r="A7" s="34" t="s">
        <v>1109</v>
      </c>
      <c r="B7" s="65" t="s">
        <v>36</v>
      </c>
      <c r="C7" s="65" t="s">
        <v>36</v>
      </c>
      <c r="D7" s="65" t="s">
        <v>55</v>
      </c>
      <c r="E7" s="65" t="s">
        <v>47</v>
      </c>
      <c r="F7" s="65"/>
      <c r="G7" s="65"/>
      <c r="H7" s="65"/>
      <c r="I7" s="65"/>
      <c r="J7" s="65"/>
      <c r="K7" s="65"/>
    </row>
    <row r="8" spans="1:11" x14ac:dyDescent="0.25">
      <c r="A8" s="34" t="s">
        <v>1110</v>
      </c>
      <c r="B8" s="65" t="s">
        <v>37</v>
      </c>
      <c r="C8" s="65" t="s">
        <v>37</v>
      </c>
      <c r="D8" s="65" t="s">
        <v>56</v>
      </c>
      <c r="E8" s="65" t="s">
        <v>50</v>
      </c>
      <c r="F8" s="65"/>
      <c r="G8" s="65"/>
      <c r="H8" s="65"/>
      <c r="I8" s="65"/>
      <c r="J8" s="65"/>
      <c r="K8" s="65"/>
    </row>
    <row r="9" spans="1:11" x14ac:dyDescent="0.25">
      <c r="A9" s="34" t="s">
        <v>1111</v>
      </c>
      <c r="B9" s="65" t="s">
        <v>38</v>
      </c>
      <c r="C9" s="65" t="s">
        <v>38</v>
      </c>
      <c r="D9" s="65" t="s">
        <v>57</v>
      </c>
      <c r="E9" s="65" t="s">
        <v>48</v>
      </c>
      <c r="F9" s="65"/>
      <c r="G9" s="65"/>
      <c r="H9" s="65"/>
      <c r="I9" s="65"/>
      <c r="J9" s="65"/>
      <c r="K9" s="65"/>
    </row>
    <row r="10" spans="1:11" x14ac:dyDescent="0.25">
      <c r="A10" s="34" t="s">
        <v>1112</v>
      </c>
      <c r="B10" s="65" t="s">
        <v>39</v>
      </c>
      <c r="C10" s="65" t="s">
        <v>39</v>
      </c>
      <c r="D10" s="65" t="s">
        <v>58</v>
      </c>
      <c r="E10" s="65" t="s">
        <v>51</v>
      </c>
      <c r="F10" s="65"/>
      <c r="G10" s="65"/>
      <c r="H10" s="65"/>
      <c r="I10" s="65"/>
      <c r="J10" s="65"/>
      <c r="K10" s="65"/>
    </row>
    <row r="11" spans="1:11" x14ac:dyDescent="0.25">
      <c r="A11" s="34" t="s">
        <v>1113</v>
      </c>
      <c r="B11" s="65" t="s">
        <v>40</v>
      </c>
      <c r="C11" s="65" t="s">
        <v>40</v>
      </c>
      <c r="D11" s="65" t="s">
        <v>59</v>
      </c>
      <c r="E11" s="65" t="s">
        <v>14</v>
      </c>
      <c r="F11" s="65"/>
      <c r="G11" s="65"/>
      <c r="H11" s="65"/>
      <c r="I11" s="65"/>
      <c r="J11" s="65"/>
      <c r="K11" s="65"/>
    </row>
    <row r="12" spans="1:11" x14ac:dyDescent="0.25">
      <c r="A12" s="34" t="s">
        <v>1114</v>
      </c>
      <c r="B12" s="65" t="s">
        <v>41</v>
      </c>
      <c r="C12" s="65" t="s">
        <v>41</v>
      </c>
      <c r="D12" s="65" t="s">
        <v>60</v>
      </c>
      <c r="E12" s="65" t="s">
        <v>16</v>
      </c>
      <c r="F12" s="65"/>
      <c r="G12" s="65"/>
      <c r="H12" s="65"/>
      <c r="I12" s="65"/>
      <c r="J12" s="65"/>
      <c r="K12" s="65"/>
    </row>
    <row r="13" spans="1:11" x14ac:dyDescent="0.25">
      <c r="A13" s="34" t="s">
        <v>1115</v>
      </c>
      <c r="B13" s="65" t="s">
        <v>42</v>
      </c>
      <c r="C13" s="65" t="s">
        <v>42</v>
      </c>
      <c r="D13" s="65" t="s">
        <v>61</v>
      </c>
      <c r="E13" s="65" t="s">
        <v>17</v>
      </c>
      <c r="F13" s="65"/>
      <c r="G13" s="65"/>
      <c r="H13" s="65"/>
      <c r="I13" s="65"/>
      <c r="J13" s="65"/>
      <c r="K13" s="65"/>
    </row>
    <row r="14" spans="1:11" x14ac:dyDescent="0.25">
      <c r="A14" s="34" t="s">
        <v>1116</v>
      </c>
      <c r="B14" s="65" t="s">
        <v>53</v>
      </c>
      <c r="C14" s="65"/>
      <c r="D14" s="65" t="s">
        <v>62</v>
      </c>
      <c r="E14" s="65" t="s">
        <v>21</v>
      </c>
      <c r="F14" s="65"/>
      <c r="G14" s="65"/>
      <c r="H14" s="65"/>
      <c r="I14" s="65"/>
      <c r="J14" s="65"/>
      <c r="K14" s="65"/>
    </row>
    <row r="15" spans="1:11" x14ac:dyDescent="0.25">
      <c r="A15" s="34" t="s">
        <v>1117</v>
      </c>
      <c r="B15" s="65" t="s">
        <v>54</v>
      </c>
      <c r="C15" s="65"/>
      <c r="D15" s="65" t="s">
        <v>63</v>
      </c>
      <c r="E15" s="65" t="s">
        <v>16</v>
      </c>
      <c r="F15" s="65"/>
      <c r="G15" s="65"/>
      <c r="H15" s="65"/>
      <c r="I15" s="65"/>
      <c r="J15" s="65"/>
      <c r="K15" s="65"/>
    </row>
    <row r="16" spans="1:11" x14ac:dyDescent="0.25">
      <c r="A16" s="34" t="s">
        <v>1118</v>
      </c>
      <c r="B16" s="65" t="s">
        <v>55</v>
      </c>
      <c r="C16" s="65"/>
      <c r="D16" s="65" t="s">
        <v>64</v>
      </c>
      <c r="E16" s="65" t="s">
        <v>17</v>
      </c>
      <c r="F16" s="65"/>
      <c r="G16" s="65"/>
      <c r="H16" s="65"/>
      <c r="I16" s="65"/>
      <c r="J16" s="65"/>
      <c r="K16" s="65"/>
    </row>
    <row r="17" spans="1:11" x14ac:dyDescent="0.25">
      <c r="A17" s="34" t="s">
        <v>1119</v>
      </c>
      <c r="B17" s="65" t="s">
        <v>56</v>
      </c>
      <c r="C17" s="65"/>
      <c r="D17" s="65" t="s">
        <v>65</v>
      </c>
      <c r="E17" s="65"/>
      <c r="F17" s="65"/>
      <c r="G17" s="65"/>
      <c r="H17" s="65"/>
      <c r="I17" s="65"/>
      <c r="J17" s="65"/>
      <c r="K17" s="65"/>
    </row>
    <row r="18" spans="1:11" x14ac:dyDescent="0.25">
      <c r="A18" s="34" t="s">
        <v>1120</v>
      </c>
      <c r="B18" s="65" t="s">
        <v>57</v>
      </c>
      <c r="C18" s="65"/>
      <c r="D18" s="65" t="s">
        <v>66</v>
      </c>
      <c r="E18" s="65" t="s">
        <v>97</v>
      </c>
      <c r="F18" s="65"/>
      <c r="G18" s="65"/>
      <c r="H18" s="65"/>
      <c r="I18" s="65"/>
      <c r="J18" s="65"/>
      <c r="K18" s="65"/>
    </row>
    <row r="19" spans="1:11" x14ac:dyDescent="0.25">
      <c r="A19" s="34" t="s">
        <v>1121</v>
      </c>
      <c r="B19" s="65" t="s">
        <v>58</v>
      </c>
      <c r="C19" s="65"/>
      <c r="D19" s="65" t="s">
        <v>67</v>
      </c>
      <c r="E19" s="65" t="s">
        <v>98</v>
      </c>
      <c r="F19" s="65"/>
      <c r="G19" s="65"/>
      <c r="H19" s="65"/>
      <c r="I19" s="65"/>
      <c r="J19" s="65"/>
      <c r="K19" s="65"/>
    </row>
    <row r="20" spans="1:11" x14ac:dyDescent="0.25">
      <c r="A20" s="34" t="s">
        <v>1122</v>
      </c>
      <c r="B20" s="65" t="s">
        <v>59</v>
      </c>
      <c r="C20" s="65"/>
      <c r="D20" s="65" t="s">
        <v>68</v>
      </c>
      <c r="E20" s="65" t="s">
        <v>97</v>
      </c>
      <c r="F20" s="65"/>
      <c r="G20" s="65"/>
      <c r="H20" s="65"/>
      <c r="I20" s="65"/>
      <c r="J20" s="65"/>
      <c r="K20" s="65"/>
    </row>
    <row r="21" spans="1:11" x14ac:dyDescent="0.25">
      <c r="A21" s="34" t="s">
        <v>1123</v>
      </c>
      <c r="B21" s="65" t="s">
        <v>60</v>
      </c>
      <c r="C21" s="65"/>
      <c r="D21" s="65"/>
      <c r="E21" s="65" t="s">
        <v>98</v>
      </c>
      <c r="F21" s="65"/>
      <c r="G21" s="65"/>
      <c r="H21" s="65"/>
      <c r="I21" s="65"/>
      <c r="J21" s="65"/>
      <c r="K21" s="65"/>
    </row>
    <row r="22" spans="1:11" x14ac:dyDescent="0.25">
      <c r="A22" s="34" t="s">
        <v>1124</v>
      </c>
      <c r="B22" s="65" t="s">
        <v>61</v>
      </c>
      <c r="C22" s="65"/>
      <c r="D22" s="65"/>
      <c r="E22" s="65"/>
      <c r="F22" s="65"/>
      <c r="G22" s="65"/>
      <c r="H22" s="65"/>
      <c r="I22" s="65"/>
      <c r="J22" s="65"/>
      <c r="K22" s="65"/>
    </row>
    <row r="23" spans="1:11" x14ac:dyDescent="0.25">
      <c r="A23" s="34" t="s">
        <v>1125</v>
      </c>
      <c r="B23" s="65" t="s">
        <v>62</v>
      </c>
      <c r="C23" s="65"/>
      <c r="D23" s="65"/>
      <c r="E23" s="65"/>
      <c r="F23" s="65"/>
      <c r="G23" s="65"/>
      <c r="H23" s="65"/>
      <c r="I23" s="65"/>
      <c r="J23" s="65"/>
      <c r="K23" s="65"/>
    </row>
    <row r="24" spans="1:11" x14ac:dyDescent="0.25">
      <c r="A24" s="34" t="s">
        <v>1126</v>
      </c>
      <c r="B24" s="65" t="s">
        <v>63</v>
      </c>
      <c r="C24" s="65"/>
      <c r="D24" s="65"/>
      <c r="E24" s="65"/>
      <c r="F24" s="65"/>
      <c r="G24" s="65"/>
      <c r="H24" s="65"/>
      <c r="I24" s="65"/>
      <c r="J24" s="65"/>
      <c r="K24" s="65"/>
    </row>
    <row r="25" spans="1:11" x14ac:dyDescent="0.25">
      <c r="A25" s="34" t="s">
        <v>1127</v>
      </c>
      <c r="B25" s="65" t="s">
        <v>64</v>
      </c>
      <c r="C25" s="65"/>
      <c r="D25" s="65"/>
      <c r="E25" s="65"/>
      <c r="F25" s="65"/>
      <c r="G25" s="65"/>
      <c r="H25" s="65"/>
      <c r="I25" s="65"/>
      <c r="J25" s="65"/>
      <c r="K25" s="65"/>
    </row>
    <row r="26" spans="1:11" x14ac:dyDescent="0.25">
      <c r="A26" s="34" t="s">
        <v>1128</v>
      </c>
      <c r="B26" s="65" t="s">
        <v>65</v>
      </c>
      <c r="C26" s="65"/>
      <c r="D26" s="65"/>
      <c r="E26" s="65"/>
      <c r="F26" s="65"/>
      <c r="G26" s="65"/>
      <c r="H26" s="65"/>
      <c r="I26" s="65"/>
      <c r="J26" s="65"/>
      <c r="K26" s="65"/>
    </row>
    <row r="27" spans="1:11" x14ac:dyDescent="0.25">
      <c r="A27" s="34" t="s">
        <v>1129</v>
      </c>
      <c r="B27" s="65" t="s">
        <v>66</v>
      </c>
      <c r="C27" s="65"/>
      <c r="D27" s="65"/>
      <c r="E27" s="65"/>
      <c r="F27" s="65"/>
      <c r="G27" s="65"/>
      <c r="H27" s="65"/>
      <c r="I27" s="65"/>
      <c r="J27" s="65"/>
      <c r="K27" s="65"/>
    </row>
    <row r="28" spans="1:11" x14ac:dyDescent="0.25">
      <c r="A28" s="34" t="s">
        <v>1130</v>
      </c>
      <c r="B28" s="65" t="s">
        <v>67</v>
      </c>
      <c r="C28" s="65"/>
      <c r="D28" s="65"/>
      <c r="E28" s="65"/>
      <c r="F28" s="65"/>
      <c r="G28" s="65"/>
      <c r="H28" s="65"/>
      <c r="I28" s="65"/>
      <c r="J28" s="65"/>
      <c r="K28" s="65"/>
    </row>
    <row r="29" spans="1:11" x14ac:dyDescent="0.25">
      <c r="A29" s="34" t="s">
        <v>1131</v>
      </c>
      <c r="B29" s="65" t="s">
        <v>68</v>
      </c>
      <c r="C29" s="65"/>
      <c r="D29" s="65"/>
      <c r="E29" s="65"/>
      <c r="F29" s="65"/>
      <c r="G29" s="65"/>
      <c r="H29" s="65"/>
      <c r="I29" s="65"/>
      <c r="J29" s="65"/>
      <c r="K29" s="65"/>
    </row>
  </sheetData>
  <dataValidations count="2">
    <dataValidation type="decimal" allowBlank="1" showInputMessage="1" showErrorMessage="1" sqref="B4:K4" xr:uid="{C321CA5C-8143-42FF-94C3-EB36A03966C9}">
      <formula1>0</formula1>
      <formula2>3600</formula2>
    </dataValidation>
    <dataValidation type="textLength" operator="greaterThanOrEqual" showInputMessage="1" showErrorMessage="1" sqref="B2:E2 F2:K3 C3:E3" xr:uid="{A69A1F6B-F473-4DB2-B013-1918757D1E62}">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B0917EA-23C9-4DAA-882D-577F58B68BF7}">
          <x14:formula1>
            <xm:f>tbMoveset!$A$2:$A$112</xm:f>
          </x14:formula1>
          <xm:sqref>B5:K29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D0B8E-21CB-4EB1-AE34-7E54EDEC7795}">
  <sheetPr codeName="Sheet3"/>
  <dimension ref="A1:AM271"/>
  <sheetViews>
    <sheetView zoomScale="70" zoomScaleNormal="70" workbookViewId="0">
      <selection activeCell="B2" sqref="B2"/>
    </sheetView>
  </sheetViews>
  <sheetFormatPr defaultColWidth="35.7109375" defaultRowHeight="15" x14ac:dyDescent="0.25"/>
  <cols>
    <col min="1" max="1" width="29.140625" bestFit="1" customWidth="1"/>
    <col min="2" max="2" width="12.5703125" bestFit="1" customWidth="1"/>
    <col min="3" max="3" width="5.42578125" bestFit="1" customWidth="1"/>
    <col min="4" max="4" width="7.7109375" bestFit="1" customWidth="1"/>
    <col min="5" max="5" width="5" bestFit="1" customWidth="1"/>
    <col min="6" max="6" width="6.85546875" bestFit="1" customWidth="1"/>
    <col min="7" max="7" width="9.28515625" bestFit="1" customWidth="1"/>
    <col min="8" max="8" width="5" bestFit="1" customWidth="1"/>
    <col min="9" max="9" width="8.28515625" bestFit="1" customWidth="1"/>
    <col min="10" max="10" width="7.85546875" bestFit="1" customWidth="1"/>
    <col min="11" max="11" width="9.7109375" bestFit="1" customWidth="1"/>
    <col min="12" max="12" width="6.85546875" bestFit="1" customWidth="1"/>
    <col min="13" max="13" width="6" bestFit="1" customWidth="1"/>
    <col min="14" max="14" width="11.140625" bestFit="1" customWidth="1"/>
    <col min="15" max="17" width="11.5703125" bestFit="1" customWidth="1"/>
    <col min="18" max="18" width="5.28515625" bestFit="1" customWidth="1"/>
    <col min="19" max="19" width="8.5703125" bestFit="1" customWidth="1"/>
    <col min="20" max="20" width="7.42578125" bestFit="1" customWidth="1"/>
    <col min="21" max="21" width="7.28515625" bestFit="1" customWidth="1"/>
    <col min="22" max="22" width="5.7109375" bestFit="1" customWidth="1"/>
    <col min="23" max="23" width="6.7109375" bestFit="1" customWidth="1"/>
    <col min="24" max="24" width="7.42578125" bestFit="1" customWidth="1"/>
    <col min="25" max="25" width="9.5703125" bestFit="1" customWidth="1"/>
    <col min="26" max="26" width="13" bestFit="1" customWidth="1"/>
    <col min="27" max="27" width="11.7109375" bestFit="1" customWidth="1"/>
    <col min="28" max="28" width="11.5703125" bestFit="1" customWidth="1"/>
    <col min="29" max="29" width="10" bestFit="1" customWidth="1"/>
    <col min="30" max="30" width="11" bestFit="1" customWidth="1"/>
    <col min="31" max="31" width="11.7109375" bestFit="1" customWidth="1"/>
    <col min="32" max="32" width="6.7109375" bestFit="1" customWidth="1"/>
    <col min="33" max="33" width="24.5703125" style="5" bestFit="1" customWidth="1"/>
    <col min="34" max="34" width="11" style="5" bestFit="1" customWidth="1"/>
    <col min="35" max="35" width="6.7109375" style="5" bestFit="1" customWidth="1"/>
    <col min="36" max="36" width="8.5703125" style="5" bestFit="1" customWidth="1"/>
    <col min="37" max="37" width="6.7109375" style="5" bestFit="1" customWidth="1"/>
    <col min="39" max="39" width="5" bestFit="1" customWidth="1"/>
  </cols>
  <sheetData>
    <row r="1" spans="1:39" x14ac:dyDescent="0.25">
      <c r="A1" s="40" t="s">
        <v>160</v>
      </c>
      <c r="B1" s="40" t="s">
        <v>112</v>
      </c>
      <c r="C1" s="40" t="s">
        <v>161</v>
      </c>
      <c r="D1" s="40" t="s">
        <v>162</v>
      </c>
      <c r="E1" s="40" t="s">
        <v>122</v>
      </c>
      <c r="F1" s="40" t="s">
        <v>123</v>
      </c>
      <c r="G1" s="40" t="s">
        <v>124</v>
      </c>
      <c r="H1" s="40" t="s">
        <v>125</v>
      </c>
      <c r="I1" s="40" t="s">
        <v>126</v>
      </c>
      <c r="J1" s="40" t="s">
        <v>127</v>
      </c>
      <c r="K1" s="40" t="s">
        <v>163</v>
      </c>
      <c r="L1" s="40" t="s">
        <v>164</v>
      </c>
      <c r="M1" s="40" t="s">
        <v>128</v>
      </c>
      <c r="N1" s="40" t="s">
        <v>168</v>
      </c>
      <c r="O1" s="40" t="s">
        <v>167</v>
      </c>
      <c r="P1" s="40" t="s">
        <v>166</v>
      </c>
      <c r="Q1" s="40" t="s">
        <v>165</v>
      </c>
      <c r="R1" s="40" t="s">
        <v>153</v>
      </c>
      <c r="S1" s="40" t="s">
        <v>154</v>
      </c>
      <c r="T1" s="40" t="s">
        <v>155</v>
      </c>
      <c r="U1" s="40" t="s">
        <v>156</v>
      </c>
      <c r="V1" s="40" t="s">
        <v>157</v>
      </c>
      <c r="W1" s="40" t="s">
        <v>158</v>
      </c>
      <c r="X1" s="40" t="s">
        <v>159</v>
      </c>
      <c r="Y1" s="40" t="s">
        <v>169</v>
      </c>
      <c r="Z1" s="40" t="s">
        <v>170</v>
      </c>
      <c r="AA1" s="40" t="s">
        <v>171</v>
      </c>
      <c r="AB1" s="40" t="s">
        <v>172</v>
      </c>
      <c r="AC1" s="40" t="s">
        <v>173</v>
      </c>
      <c r="AD1" s="40" t="s">
        <v>174</v>
      </c>
      <c r="AE1" s="40" t="s">
        <v>175</v>
      </c>
      <c r="AF1" s="40" t="s">
        <v>176</v>
      </c>
      <c r="AG1" s="55" t="s">
        <v>688</v>
      </c>
      <c r="AH1" s="55" t="s">
        <v>699</v>
      </c>
      <c r="AI1" s="55" t="s">
        <v>849</v>
      </c>
      <c r="AJ1" s="55" t="s">
        <v>841</v>
      </c>
      <c r="AK1" s="55" t="s">
        <v>1050</v>
      </c>
      <c r="AM1">
        <v>1</v>
      </c>
    </row>
    <row r="2" spans="1:39" x14ac:dyDescent="0.25">
      <c r="A2" s="40" t="s">
        <v>177</v>
      </c>
      <c r="B2" s="41" t="s">
        <v>178</v>
      </c>
      <c r="C2" s="41">
        <v>112</v>
      </c>
      <c r="D2" s="41"/>
      <c r="E2" s="41"/>
      <c r="F2" s="41"/>
      <c r="G2" s="41"/>
      <c r="H2" s="41"/>
      <c r="I2" s="41"/>
      <c r="J2" s="41"/>
      <c r="K2" s="41"/>
      <c r="L2" s="41"/>
      <c r="M2" s="41"/>
      <c r="N2" s="41">
        <v>0</v>
      </c>
      <c r="O2" s="41">
        <v>0</v>
      </c>
      <c r="P2" s="41">
        <v>0</v>
      </c>
      <c r="Q2" s="41">
        <v>0</v>
      </c>
      <c r="R2" s="41">
        <f>(22.5/2.5)*2</f>
        <v>18</v>
      </c>
      <c r="S2" s="41">
        <f>(12.5/2.5)*2</f>
        <v>10</v>
      </c>
      <c r="T2" s="41">
        <f>(15/2.5)*2</f>
        <v>12</v>
      </c>
      <c r="U2" s="41">
        <f>(0/2.5)*2</f>
        <v>0</v>
      </c>
      <c r="V2" s="41">
        <f>(0/2.5)*2</f>
        <v>0</v>
      </c>
      <c r="W2" s="41">
        <f>(0/2.5)*2</f>
        <v>0</v>
      </c>
      <c r="X2" s="41">
        <f>(0/2.5)*2</f>
        <v>0</v>
      </c>
      <c r="Y2" s="41">
        <f>(22.5/2.5)*2</f>
        <v>18</v>
      </c>
      <c r="Z2" s="41">
        <f>(12.5/2.5)*2</f>
        <v>10</v>
      </c>
      <c r="AA2" s="41">
        <f>(20/2.5)*2</f>
        <v>16</v>
      </c>
      <c r="AB2" s="41">
        <f>(7.5/2.5)*2</f>
        <v>6</v>
      </c>
      <c r="AC2" s="41">
        <f t="shared" ref="AC2:AE21" si="0">(0/2.5)*2</f>
        <v>0</v>
      </c>
      <c r="AD2" s="41">
        <f t="shared" si="0"/>
        <v>0</v>
      </c>
      <c r="AE2" s="41">
        <f t="shared" si="0"/>
        <v>0</v>
      </c>
      <c r="AF2" s="41">
        <v>1</v>
      </c>
      <c r="AG2" s="56"/>
      <c r="AH2" s="56"/>
      <c r="AI2" s="56"/>
      <c r="AJ2" s="56"/>
      <c r="AK2" s="56"/>
      <c r="AM2">
        <v>2</v>
      </c>
    </row>
    <row r="3" spans="1:39" x14ac:dyDescent="0.25">
      <c r="A3" s="40" t="s">
        <v>187</v>
      </c>
      <c r="B3" s="41" t="s">
        <v>178</v>
      </c>
      <c r="C3" s="41">
        <v>126</v>
      </c>
      <c r="D3" s="41"/>
      <c r="E3" s="41"/>
      <c r="F3" s="41"/>
      <c r="G3" s="41"/>
      <c r="H3" s="41"/>
      <c r="I3" s="41"/>
      <c r="J3" s="41"/>
      <c r="K3" s="41"/>
      <c r="L3" s="41"/>
      <c r="M3" s="41"/>
      <c r="N3" s="41">
        <v>0</v>
      </c>
      <c r="O3" s="41">
        <v>0</v>
      </c>
      <c r="P3" s="41">
        <v>0</v>
      </c>
      <c r="Q3" s="41">
        <v>0</v>
      </c>
      <c r="R3" s="41">
        <f>(17.5/2.5)*2</f>
        <v>14</v>
      </c>
      <c r="S3" s="41">
        <f>(17.5/2.5)*2</f>
        <v>14</v>
      </c>
      <c r="T3" s="41">
        <f>(7.5/2.5)*2</f>
        <v>6</v>
      </c>
      <c r="U3" s="41">
        <f>(7.5/2.5)*2</f>
        <v>6</v>
      </c>
      <c r="V3" s="41">
        <f t="shared" ref="V3:X22" si="1">(0/2.5)*2</f>
        <v>0</v>
      </c>
      <c r="W3" s="41">
        <f t="shared" si="1"/>
        <v>0</v>
      </c>
      <c r="X3" s="41">
        <f t="shared" si="1"/>
        <v>0</v>
      </c>
      <c r="Y3" s="41">
        <f>(17.5/2.5)*2</f>
        <v>14</v>
      </c>
      <c r="Z3" s="41">
        <f>(17.5/2.5)*2</f>
        <v>14</v>
      </c>
      <c r="AA3" s="41">
        <f>(7.5/2.5)*2</f>
        <v>6</v>
      </c>
      <c r="AB3" s="41">
        <f>(20/2.5)*2</f>
        <v>16</v>
      </c>
      <c r="AC3" s="41">
        <f t="shared" si="0"/>
        <v>0</v>
      </c>
      <c r="AD3" s="41">
        <f t="shared" si="0"/>
        <v>0</v>
      </c>
      <c r="AE3" s="41">
        <f t="shared" si="0"/>
        <v>0</v>
      </c>
      <c r="AF3" s="41">
        <v>1</v>
      </c>
      <c r="AG3" s="56"/>
      <c r="AH3" s="56"/>
      <c r="AI3" s="56"/>
      <c r="AJ3" s="56"/>
      <c r="AK3" s="56"/>
      <c r="AM3">
        <v>3</v>
      </c>
    </row>
    <row r="4" spans="1:39" x14ac:dyDescent="0.25">
      <c r="A4" s="40" t="s">
        <v>180</v>
      </c>
      <c r="B4" s="41" t="s">
        <v>178</v>
      </c>
      <c r="C4" s="41">
        <v>140</v>
      </c>
      <c r="D4" s="41"/>
      <c r="E4" s="41"/>
      <c r="F4" s="41"/>
      <c r="G4" s="41"/>
      <c r="H4" s="41"/>
      <c r="I4" s="41"/>
      <c r="J4" s="41"/>
      <c r="K4" s="41"/>
      <c r="L4" s="41"/>
      <c r="M4" s="41"/>
      <c r="N4" s="41">
        <v>0</v>
      </c>
      <c r="O4" s="41">
        <v>0</v>
      </c>
      <c r="P4" s="41">
        <v>0</v>
      </c>
      <c r="Q4" s="41">
        <v>0</v>
      </c>
      <c r="R4" s="41">
        <f>(25/2.5)*2</f>
        <v>20</v>
      </c>
      <c r="S4" s="41">
        <f>(15/2.5)*2</f>
        <v>12</v>
      </c>
      <c r="T4" s="41">
        <f>(10/2.5)*2</f>
        <v>8</v>
      </c>
      <c r="U4" s="41">
        <f>(0/2.5)*2</f>
        <v>0</v>
      </c>
      <c r="V4" s="41">
        <f t="shared" si="1"/>
        <v>0</v>
      </c>
      <c r="W4" s="41">
        <f t="shared" si="1"/>
        <v>0</v>
      </c>
      <c r="X4" s="41">
        <f t="shared" si="1"/>
        <v>0</v>
      </c>
      <c r="Y4" s="41">
        <f>(25/2.5)*2</f>
        <v>20</v>
      </c>
      <c r="Z4" s="41">
        <f>(15/2.5)*2</f>
        <v>12</v>
      </c>
      <c r="AA4" s="41">
        <f>(20/2.5)*2</f>
        <v>16</v>
      </c>
      <c r="AB4" s="41">
        <f>(2.5/2.5)*2</f>
        <v>2</v>
      </c>
      <c r="AC4" s="41">
        <f t="shared" si="0"/>
        <v>0</v>
      </c>
      <c r="AD4" s="41">
        <f t="shared" si="0"/>
        <v>0</v>
      </c>
      <c r="AE4" s="41">
        <f t="shared" si="0"/>
        <v>0</v>
      </c>
      <c r="AF4" s="41">
        <v>1</v>
      </c>
      <c r="AG4" s="56"/>
      <c r="AH4" s="56"/>
      <c r="AI4" s="56"/>
      <c r="AJ4" s="56"/>
      <c r="AK4" s="56"/>
      <c r="AM4">
        <v>4</v>
      </c>
    </row>
    <row r="5" spans="1:39" x14ac:dyDescent="0.25">
      <c r="A5" s="40" t="s">
        <v>227</v>
      </c>
      <c r="B5" s="41" t="s">
        <v>178</v>
      </c>
      <c r="C5" s="41">
        <v>154</v>
      </c>
      <c r="D5" s="41"/>
      <c r="E5" s="41"/>
      <c r="F5" s="41"/>
      <c r="G5" s="41"/>
      <c r="H5" s="41"/>
      <c r="I5" s="41"/>
      <c r="J5" s="41"/>
      <c r="K5" s="41"/>
      <c r="L5" s="41"/>
      <c r="M5" s="41"/>
      <c r="N5" s="41">
        <v>0</v>
      </c>
      <c r="O5" s="41">
        <v>0</v>
      </c>
      <c r="P5" s="41">
        <v>0</v>
      </c>
      <c r="Q5" s="41">
        <v>0</v>
      </c>
      <c r="R5" s="41">
        <f>(22.5/2.5)*2</f>
        <v>18</v>
      </c>
      <c r="S5" s="41">
        <f>(12.5/2.5)*2</f>
        <v>10</v>
      </c>
      <c r="T5" s="41">
        <f>(15/2.5)*2</f>
        <v>12</v>
      </c>
      <c r="U5" s="41">
        <f>(0/2.5)*2</f>
        <v>0</v>
      </c>
      <c r="V5" s="41">
        <f t="shared" si="1"/>
        <v>0</v>
      </c>
      <c r="W5" s="41">
        <f t="shared" si="1"/>
        <v>0</v>
      </c>
      <c r="X5" s="41">
        <f t="shared" si="1"/>
        <v>0</v>
      </c>
      <c r="Y5" s="41">
        <f>(22.5/2.5)*2</f>
        <v>18</v>
      </c>
      <c r="Z5" s="41">
        <f>(12.5/2.5)*2</f>
        <v>10</v>
      </c>
      <c r="AA5" s="41">
        <f>(20/2.5)*2</f>
        <v>16</v>
      </c>
      <c r="AB5" s="41">
        <f>(7.5/2.5)*2</f>
        <v>6</v>
      </c>
      <c r="AC5" s="41">
        <f t="shared" si="0"/>
        <v>0</v>
      </c>
      <c r="AD5" s="41">
        <f t="shared" si="0"/>
        <v>0</v>
      </c>
      <c r="AE5" s="41">
        <f t="shared" si="0"/>
        <v>0</v>
      </c>
      <c r="AF5" s="41">
        <v>1</v>
      </c>
      <c r="AG5" s="56"/>
      <c r="AH5" s="56"/>
      <c r="AI5" s="56"/>
      <c r="AJ5" s="56"/>
      <c r="AK5" s="56"/>
      <c r="AM5">
        <v>5</v>
      </c>
    </row>
    <row r="6" spans="1:39" x14ac:dyDescent="0.25">
      <c r="A6" s="4" t="s">
        <v>179</v>
      </c>
      <c r="B6" s="41" t="s">
        <v>178</v>
      </c>
      <c r="C6" s="4">
        <v>182</v>
      </c>
      <c r="D6" s="4"/>
      <c r="E6" s="4"/>
      <c r="F6" s="4"/>
      <c r="G6" s="4"/>
      <c r="H6" s="4"/>
      <c r="I6" s="4"/>
      <c r="J6" s="4"/>
      <c r="K6" s="4"/>
      <c r="L6" s="4"/>
      <c r="M6" s="4">
        <v>120</v>
      </c>
      <c r="N6" s="4">
        <v>0</v>
      </c>
      <c r="O6" s="4">
        <v>0</v>
      </c>
      <c r="P6" s="4">
        <v>0</v>
      </c>
      <c r="Q6" s="4">
        <v>0</v>
      </c>
      <c r="R6" s="4">
        <f>(7.5/2.5)*2</f>
        <v>6</v>
      </c>
      <c r="S6" s="4">
        <f>(15/2.5)*2</f>
        <v>12</v>
      </c>
      <c r="T6" s="4">
        <f>(5/2.5)*2</f>
        <v>4</v>
      </c>
      <c r="U6" s="4">
        <f>(22.5/2.5)*2</f>
        <v>18</v>
      </c>
      <c r="V6" s="4">
        <f t="shared" si="1"/>
        <v>0</v>
      </c>
      <c r="W6" s="4">
        <f t="shared" si="1"/>
        <v>0</v>
      </c>
      <c r="X6" s="4">
        <f t="shared" si="1"/>
        <v>0</v>
      </c>
      <c r="Y6" s="4">
        <f>(7.5/2.5)*2</f>
        <v>6</v>
      </c>
      <c r="Z6" s="4">
        <f>(15/2.5)*2</f>
        <v>12</v>
      </c>
      <c r="AA6" s="4">
        <f>(5/2.5)*2</f>
        <v>4</v>
      </c>
      <c r="AB6" s="4">
        <f>(35/2.5)*2</f>
        <v>28</v>
      </c>
      <c r="AC6" s="4">
        <f t="shared" si="0"/>
        <v>0</v>
      </c>
      <c r="AD6" s="4">
        <f t="shared" si="0"/>
        <v>0</v>
      </c>
      <c r="AE6" s="4">
        <f t="shared" si="0"/>
        <v>0</v>
      </c>
      <c r="AF6" s="4">
        <v>1</v>
      </c>
      <c r="AG6" s="57"/>
      <c r="AH6" s="57"/>
      <c r="AI6" s="57"/>
      <c r="AJ6" s="57"/>
      <c r="AK6" s="57"/>
      <c r="AM6">
        <v>6</v>
      </c>
    </row>
    <row r="7" spans="1:39" x14ac:dyDescent="0.25">
      <c r="A7" s="40" t="s">
        <v>257</v>
      </c>
      <c r="B7" s="41" t="s">
        <v>178</v>
      </c>
      <c r="C7" s="41">
        <v>140</v>
      </c>
      <c r="D7" s="41"/>
      <c r="E7" s="41"/>
      <c r="F7" s="41"/>
      <c r="G7" s="41"/>
      <c r="H7" s="41"/>
      <c r="I7" s="41"/>
      <c r="J7" s="41"/>
      <c r="K7" s="41"/>
      <c r="L7" s="41"/>
      <c r="M7" s="41"/>
      <c r="N7" s="41">
        <v>0</v>
      </c>
      <c r="O7" s="41">
        <v>0</v>
      </c>
      <c r="P7" s="41">
        <v>0</v>
      </c>
      <c r="Q7" s="41">
        <v>0</v>
      </c>
      <c r="R7" s="41">
        <f>(12.5/2.5)*2</f>
        <v>10</v>
      </c>
      <c r="S7" s="41">
        <f>(17.5/2.5)*2</f>
        <v>14</v>
      </c>
      <c r="T7" s="41">
        <f>(7.5/2.5)*2</f>
        <v>6</v>
      </c>
      <c r="U7" s="41">
        <f>(12.5/2.5)*2</f>
        <v>10</v>
      </c>
      <c r="V7" s="41">
        <f t="shared" si="1"/>
        <v>0</v>
      </c>
      <c r="W7" s="41">
        <f t="shared" si="1"/>
        <v>0</v>
      </c>
      <c r="X7" s="41">
        <f t="shared" si="1"/>
        <v>0</v>
      </c>
      <c r="Y7" s="41">
        <f>(12.5/2.5)*2</f>
        <v>10</v>
      </c>
      <c r="Z7" s="41">
        <f>(17.5/2.5)*2</f>
        <v>14</v>
      </c>
      <c r="AA7" s="41">
        <f>(7.5/2.5)*2</f>
        <v>6</v>
      </c>
      <c r="AB7" s="41">
        <f>(25/2.5)*2</f>
        <v>20</v>
      </c>
      <c r="AC7" s="41">
        <f t="shared" si="0"/>
        <v>0</v>
      </c>
      <c r="AD7" s="41">
        <f t="shared" si="0"/>
        <v>0</v>
      </c>
      <c r="AE7" s="41">
        <f t="shared" si="0"/>
        <v>0</v>
      </c>
      <c r="AF7" s="41">
        <v>2</v>
      </c>
      <c r="AG7" s="56"/>
      <c r="AH7" s="56"/>
      <c r="AI7" s="56"/>
      <c r="AJ7" s="56"/>
      <c r="AK7" s="56"/>
      <c r="AM7">
        <v>7</v>
      </c>
    </row>
    <row r="8" spans="1:39" x14ac:dyDescent="0.25">
      <c r="A8" s="40" t="s">
        <v>260</v>
      </c>
      <c r="B8" s="41" t="s">
        <v>178</v>
      </c>
      <c r="C8" s="41">
        <v>168</v>
      </c>
      <c r="D8" s="41"/>
      <c r="E8" s="41"/>
      <c r="F8" s="41"/>
      <c r="G8" s="41"/>
      <c r="H8" s="41"/>
      <c r="I8" s="41"/>
      <c r="J8" s="41"/>
      <c r="K8" s="41"/>
      <c r="L8" s="41"/>
      <c r="M8" s="41"/>
      <c r="N8" s="41">
        <v>0</v>
      </c>
      <c r="O8" s="41">
        <v>0</v>
      </c>
      <c r="P8" s="41">
        <v>0</v>
      </c>
      <c r="Q8" s="41">
        <v>0</v>
      </c>
      <c r="R8" s="41">
        <f>(20/2.5)*2</f>
        <v>16</v>
      </c>
      <c r="S8" s="41">
        <f>(17.5/2.5)*2</f>
        <v>14</v>
      </c>
      <c r="T8" s="41">
        <f>(7.5/2.5)*2</f>
        <v>6</v>
      </c>
      <c r="U8" s="41">
        <f>(5/2.5)*2</f>
        <v>4</v>
      </c>
      <c r="V8" s="41">
        <f t="shared" si="1"/>
        <v>0</v>
      </c>
      <c r="W8" s="41">
        <f t="shared" si="1"/>
        <v>0</v>
      </c>
      <c r="X8" s="41">
        <f t="shared" si="1"/>
        <v>0</v>
      </c>
      <c r="Y8" s="41">
        <f>(20/2.5)*2</f>
        <v>16</v>
      </c>
      <c r="Z8" s="41">
        <f>(17.5/2.5)*2</f>
        <v>14</v>
      </c>
      <c r="AA8" s="41">
        <f>(7.5/2.5)*2</f>
        <v>6</v>
      </c>
      <c r="AB8" s="41">
        <f>(17.5/2.5)*2</f>
        <v>14</v>
      </c>
      <c r="AC8" s="41">
        <f t="shared" si="0"/>
        <v>0</v>
      </c>
      <c r="AD8" s="41">
        <f t="shared" si="0"/>
        <v>0</v>
      </c>
      <c r="AE8" s="41">
        <f t="shared" si="0"/>
        <v>0</v>
      </c>
      <c r="AF8" s="41">
        <v>2</v>
      </c>
      <c r="AG8" s="56"/>
      <c r="AH8" s="56"/>
      <c r="AI8" s="56"/>
      <c r="AJ8" s="56"/>
      <c r="AK8" s="56"/>
      <c r="AM8">
        <v>8</v>
      </c>
    </row>
    <row r="9" spans="1:39" x14ac:dyDescent="0.25">
      <c r="A9" s="40" t="s">
        <v>228</v>
      </c>
      <c r="B9" s="41" t="s">
        <v>178</v>
      </c>
      <c r="C9" s="41">
        <v>154</v>
      </c>
      <c r="D9" s="41">
        <v>15</v>
      </c>
      <c r="E9" s="41"/>
      <c r="F9" s="41"/>
      <c r="G9" s="41"/>
      <c r="H9" s="41"/>
      <c r="I9" s="41"/>
      <c r="J9" s="41"/>
      <c r="K9" s="41"/>
      <c r="L9" s="41"/>
      <c r="M9" s="41"/>
      <c r="N9" s="41">
        <v>0</v>
      </c>
      <c r="O9" s="41">
        <v>0</v>
      </c>
      <c r="P9" s="41">
        <v>0</v>
      </c>
      <c r="Q9" s="41">
        <v>0</v>
      </c>
      <c r="R9" s="41">
        <f>(15/2.5)*2</f>
        <v>12</v>
      </c>
      <c r="S9" s="41">
        <f>(17.5/2.5)*2</f>
        <v>14</v>
      </c>
      <c r="T9" s="41">
        <f>(7.5/2.5)*2</f>
        <v>6</v>
      </c>
      <c r="U9" s="41">
        <f>(10/2.5)*2</f>
        <v>8</v>
      </c>
      <c r="V9" s="41">
        <f t="shared" si="1"/>
        <v>0</v>
      </c>
      <c r="W9" s="41">
        <f t="shared" si="1"/>
        <v>0</v>
      </c>
      <c r="X9" s="41">
        <f t="shared" si="1"/>
        <v>0</v>
      </c>
      <c r="Y9" s="41">
        <f>(15/2.5)*2</f>
        <v>12</v>
      </c>
      <c r="Z9" s="41">
        <f>(17.5/2.5)*2</f>
        <v>14</v>
      </c>
      <c r="AA9" s="41">
        <f>(7.5/2.5)*2</f>
        <v>6</v>
      </c>
      <c r="AB9" s="41">
        <f>(22.5/2.5)*2</f>
        <v>18</v>
      </c>
      <c r="AC9" s="41">
        <f t="shared" si="0"/>
        <v>0</v>
      </c>
      <c r="AD9" s="41">
        <f t="shared" si="0"/>
        <v>0</v>
      </c>
      <c r="AE9" s="41">
        <f t="shared" si="0"/>
        <v>0</v>
      </c>
      <c r="AF9" s="41">
        <v>2</v>
      </c>
      <c r="AG9" s="56"/>
      <c r="AH9" s="56"/>
      <c r="AI9" s="56"/>
      <c r="AJ9" s="56"/>
      <c r="AK9" s="56"/>
      <c r="AM9">
        <v>9</v>
      </c>
    </row>
    <row r="10" spans="1:39" x14ac:dyDescent="0.25">
      <c r="A10" s="40" t="s">
        <v>265</v>
      </c>
      <c r="B10" s="41" t="s">
        <v>178</v>
      </c>
      <c r="C10" s="41">
        <v>154</v>
      </c>
      <c r="D10" s="41"/>
      <c r="E10" s="41"/>
      <c r="F10" s="41">
        <v>90</v>
      </c>
      <c r="G10" s="41"/>
      <c r="H10" s="41"/>
      <c r="I10" s="41"/>
      <c r="J10" s="41"/>
      <c r="K10" s="41"/>
      <c r="L10" s="41"/>
      <c r="M10" s="41"/>
      <c r="N10" s="41">
        <v>0</v>
      </c>
      <c r="O10" s="41">
        <v>0</v>
      </c>
      <c r="P10" s="41">
        <v>0</v>
      </c>
      <c r="Q10" s="41">
        <v>0</v>
      </c>
      <c r="R10" s="41">
        <f>(20/2.5)*2</f>
        <v>16</v>
      </c>
      <c r="S10" s="41">
        <f>(12.5/2.5)*2</f>
        <v>10</v>
      </c>
      <c r="T10" s="41">
        <f>(12.5/2.5)*2</f>
        <v>10</v>
      </c>
      <c r="U10" s="41">
        <f>(5/2.5)*2</f>
        <v>4</v>
      </c>
      <c r="V10" s="41">
        <f t="shared" si="1"/>
        <v>0</v>
      </c>
      <c r="W10" s="41">
        <f t="shared" si="1"/>
        <v>0</v>
      </c>
      <c r="X10" s="41">
        <f t="shared" si="1"/>
        <v>0</v>
      </c>
      <c r="Y10" s="41">
        <f>(20/2.5)*2</f>
        <v>16</v>
      </c>
      <c r="Z10" s="41">
        <f>(12.5/2.5)*2</f>
        <v>10</v>
      </c>
      <c r="AA10" s="41">
        <f>(12.5/2.5)*2</f>
        <v>10</v>
      </c>
      <c r="AB10" s="41">
        <f>(17.5/2.5)*2</f>
        <v>14</v>
      </c>
      <c r="AC10" s="41">
        <f t="shared" si="0"/>
        <v>0</v>
      </c>
      <c r="AD10" s="41">
        <f t="shared" si="0"/>
        <v>0</v>
      </c>
      <c r="AE10" s="41">
        <f t="shared" si="0"/>
        <v>0</v>
      </c>
      <c r="AF10" s="41">
        <v>2</v>
      </c>
      <c r="AG10" s="56"/>
      <c r="AH10" s="56"/>
      <c r="AI10" s="56"/>
      <c r="AJ10" s="56"/>
      <c r="AK10" s="56"/>
      <c r="AM10">
        <v>10</v>
      </c>
    </row>
    <row r="11" spans="1:39" x14ac:dyDescent="0.25">
      <c r="A11" s="40" t="s">
        <v>296</v>
      </c>
      <c r="B11" s="41" t="s">
        <v>178</v>
      </c>
      <c r="C11" s="41">
        <v>154</v>
      </c>
      <c r="D11" s="41">
        <v>10</v>
      </c>
      <c r="E11" s="41"/>
      <c r="F11" s="41"/>
      <c r="G11" s="41">
        <v>60</v>
      </c>
      <c r="H11" s="41"/>
      <c r="I11" s="41"/>
      <c r="J11" s="41"/>
      <c r="K11" s="41"/>
      <c r="L11" s="41"/>
      <c r="M11" s="41"/>
      <c r="N11" s="41">
        <v>0</v>
      </c>
      <c r="O11" s="41">
        <v>0</v>
      </c>
      <c r="P11" s="41">
        <v>0</v>
      </c>
      <c r="Q11" s="41">
        <v>0</v>
      </c>
      <c r="R11" s="41">
        <f>(17.5/2.5)*2</f>
        <v>14</v>
      </c>
      <c r="S11" s="41">
        <f>(12.5/2.5)*2</f>
        <v>10</v>
      </c>
      <c r="T11" s="41">
        <f>(12.5/2.5)*2</f>
        <v>10</v>
      </c>
      <c r="U11" s="41">
        <f>(7.5/2.5)*2</f>
        <v>6</v>
      </c>
      <c r="V11" s="41">
        <f t="shared" si="1"/>
        <v>0</v>
      </c>
      <c r="W11" s="41">
        <f t="shared" si="1"/>
        <v>0</v>
      </c>
      <c r="X11" s="41">
        <f t="shared" si="1"/>
        <v>0</v>
      </c>
      <c r="Y11" s="41">
        <f>(17.5/2.5)*2</f>
        <v>14</v>
      </c>
      <c r="Z11" s="41">
        <f>(12.5/2.5)*2</f>
        <v>10</v>
      </c>
      <c r="AA11" s="41">
        <f>(12.5/2.5)*2</f>
        <v>10</v>
      </c>
      <c r="AB11" s="41">
        <f>(20/2.5)*2</f>
        <v>16</v>
      </c>
      <c r="AC11" s="41">
        <f t="shared" si="0"/>
        <v>0</v>
      </c>
      <c r="AD11" s="41">
        <f t="shared" si="0"/>
        <v>0</v>
      </c>
      <c r="AE11" s="41">
        <f t="shared" si="0"/>
        <v>0</v>
      </c>
      <c r="AF11" s="41">
        <v>2</v>
      </c>
      <c r="AG11" s="56"/>
      <c r="AH11" s="56"/>
      <c r="AI11" s="56"/>
      <c r="AJ11" s="56"/>
      <c r="AK11" s="56"/>
      <c r="AM11">
        <v>11</v>
      </c>
    </row>
    <row r="12" spans="1:39" x14ac:dyDescent="0.25">
      <c r="A12" s="40" t="s">
        <v>258</v>
      </c>
      <c r="B12" s="41" t="s">
        <v>178</v>
      </c>
      <c r="C12" s="41">
        <v>154</v>
      </c>
      <c r="D12" s="41"/>
      <c r="E12" s="41"/>
      <c r="F12" s="41"/>
      <c r="G12" s="41"/>
      <c r="H12" s="41"/>
      <c r="I12" s="41"/>
      <c r="J12" s="41"/>
      <c r="K12" s="41"/>
      <c r="L12" s="41"/>
      <c r="M12" s="41"/>
      <c r="N12" s="41">
        <v>0</v>
      </c>
      <c r="O12" s="41">
        <v>0</v>
      </c>
      <c r="P12" s="41">
        <v>0</v>
      </c>
      <c r="Q12" s="41">
        <v>0</v>
      </c>
      <c r="R12" s="41">
        <f>(15/2.5)*2</f>
        <v>12</v>
      </c>
      <c r="S12" s="41">
        <f>(12.5/2.5)*2</f>
        <v>10</v>
      </c>
      <c r="T12" s="41">
        <f>(20/2.5)*2</f>
        <v>16</v>
      </c>
      <c r="U12" s="41">
        <f>(15/2.5)*2</f>
        <v>12</v>
      </c>
      <c r="V12" s="41">
        <f t="shared" si="1"/>
        <v>0</v>
      </c>
      <c r="W12" s="41">
        <f t="shared" si="1"/>
        <v>0</v>
      </c>
      <c r="X12" s="41">
        <f t="shared" si="1"/>
        <v>0</v>
      </c>
      <c r="Y12" s="41">
        <f>(15/2.5)*2</f>
        <v>12</v>
      </c>
      <c r="Z12" s="41">
        <f>(12.5/2.5)*2</f>
        <v>10</v>
      </c>
      <c r="AA12" s="41">
        <f>(20/2.5)*2</f>
        <v>16</v>
      </c>
      <c r="AB12" s="41">
        <f>(27.5/2.5)*2</f>
        <v>22</v>
      </c>
      <c r="AC12" s="41">
        <f t="shared" si="0"/>
        <v>0</v>
      </c>
      <c r="AD12" s="41">
        <f t="shared" si="0"/>
        <v>0</v>
      </c>
      <c r="AE12" s="41">
        <f t="shared" si="0"/>
        <v>0</v>
      </c>
      <c r="AF12" s="41">
        <v>3</v>
      </c>
      <c r="AG12" s="56"/>
      <c r="AH12" s="56"/>
      <c r="AI12" s="56"/>
      <c r="AJ12" s="56"/>
      <c r="AK12" s="56"/>
      <c r="AM12">
        <v>12</v>
      </c>
    </row>
    <row r="13" spans="1:39" x14ac:dyDescent="0.25">
      <c r="A13" s="40" t="s">
        <v>274</v>
      </c>
      <c r="B13" s="41" t="s">
        <v>178</v>
      </c>
      <c r="C13" s="41">
        <v>196</v>
      </c>
      <c r="D13" s="41"/>
      <c r="E13" s="41"/>
      <c r="F13" s="41"/>
      <c r="G13" s="41"/>
      <c r="H13" s="41"/>
      <c r="I13" s="41"/>
      <c r="J13" s="41"/>
      <c r="K13" s="41"/>
      <c r="L13" s="41"/>
      <c r="M13" s="41"/>
      <c r="N13" s="41">
        <v>0</v>
      </c>
      <c r="O13" s="41">
        <v>0</v>
      </c>
      <c r="P13" s="41">
        <v>0</v>
      </c>
      <c r="Q13" s="41">
        <v>0</v>
      </c>
      <c r="R13" s="41">
        <f>(27.5/2.5)*2</f>
        <v>22</v>
      </c>
      <c r="S13" s="41">
        <f>(17.5/2.5)*2</f>
        <v>14</v>
      </c>
      <c r="T13" s="41">
        <f>(7.5/2.5)*2</f>
        <v>6</v>
      </c>
      <c r="U13" s="41">
        <f>(10/2.5)*2</f>
        <v>8</v>
      </c>
      <c r="V13" s="41">
        <f t="shared" si="1"/>
        <v>0</v>
      </c>
      <c r="W13" s="41">
        <f t="shared" si="1"/>
        <v>0</v>
      </c>
      <c r="X13" s="41">
        <f t="shared" si="1"/>
        <v>0</v>
      </c>
      <c r="Y13" s="41">
        <f>(27.5/2.5)*2</f>
        <v>22</v>
      </c>
      <c r="Z13" s="41">
        <f>(17.5/2.5)*2</f>
        <v>14</v>
      </c>
      <c r="AA13" s="41">
        <f>(7.5/2.5)*2</f>
        <v>6</v>
      </c>
      <c r="AB13" s="41">
        <f>(22.5/2.5)*2</f>
        <v>18</v>
      </c>
      <c r="AC13" s="41">
        <f t="shared" si="0"/>
        <v>0</v>
      </c>
      <c r="AD13" s="41">
        <f t="shared" si="0"/>
        <v>0</v>
      </c>
      <c r="AE13" s="41">
        <f t="shared" si="0"/>
        <v>0</v>
      </c>
      <c r="AF13" s="41">
        <v>3</v>
      </c>
      <c r="AG13" s="56"/>
      <c r="AH13" s="56"/>
      <c r="AI13" s="56"/>
      <c r="AJ13" s="56"/>
      <c r="AK13" s="56"/>
      <c r="AM13">
        <v>13</v>
      </c>
    </row>
    <row r="14" spans="1:39" x14ac:dyDescent="0.25">
      <c r="A14" s="40" t="s">
        <v>282</v>
      </c>
      <c r="B14" s="41" t="s">
        <v>178</v>
      </c>
      <c r="C14" s="41">
        <v>168</v>
      </c>
      <c r="D14" s="41">
        <v>15</v>
      </c>
      <c r="E14" s="41"/>
      <c r="F14" s="41"/>
      <c r="G14" s="41"/>
      <c r="H14" s="41"/>
      <c r="I14" s="41"/>
      <c r="J14" s="41"/>
      <c r="K14" s="41"/>
      <c r="L14" s="41"/>
      <c r="M14" s="41"/>
      <c r="N14" s="41">
        <v>0</v>
      </c>
      <c r="O14" s="41">
        <v>0</v>
      </c>
      <c r="P14" s="41">
        <v>0</v>
      </c>
      <c r="Q14" s="41">
        <v>0</v>
      </c>
      <c r="R14" s="41">
        <f>(15/2.5)*2</f>
        <v>12</v>
      </c>
      <c r="S14" s="41">
        <f>(12.5/2.5)*2</f>
        <v>10</v>
      </c>
      <c r="T14" s="41">
        <f>(20/2.5)*2</f>
        <v>16</v>
      </c>
      <c r="U14" s="41">
        <f>(15/2.5)*2</f>
        <v>12</v>
      </c>
      <c r="V14" s="41">
        <f t="shared" si="1"/>
        <v>0</v>
      </c>
      <c r="W14" s="41">
        <f t="shared" si="1"/>
        <v>0</v>
      </c>
      <c r="X14" s="41">
        <f t="shared" si="1"/>
        <v>0</v>
      </c>
      <c r="Y14" s="41">
        <f>(15/2.5)*2</f>
        <v>12</v>
      </c>
      <c r="Z14" s="41">
        <f>(12.5/2.5)*2</f>
        <v>10</v>
      </c>
      <c r="AA14" s="41">
        <f>(20/2.5)*2</f>
        <v>16</v>
      </c>
      <c r="AB14" s="41">
        <f>(27.5/2.5)*2</f>
        <v>22</v>
      </c>
      <c r="AC14" s="41">
        <f t="shared" si="0"/>
        <v>0</v>
      </c>
      <c r="AD14" s="41">
        <f t="shared" si="0"/>
        <v>0</v>
      </c>
      <c r="AE14" s="41">
        <f t="shared" si="0"/>
        <v>0</v>
      </c>
      <c r="AF14" s="41">
        <v>3</v>
      </c>
      <c r="AG14" s="56"/>
      <c r="AH14" s="56"/>
      <c r="AI14" s="56"/>
      <c r="AJ14" s="56"/>
      <c r="AK14" s="56"/>
      <c r="AM14">
        <v>14</v>
      </c>
    </row>
    <row r="15" spans="1:39" x14ac:dyDescent="0.25">
      <c r="A15" s="40" t="s">
        <v>289</v>
      </c>
      <c r="B15" s="41" t="s">
        <v>178</v>
      </c>
      <c r="C15" s="41">
        <v>182</v>
      </c>
      <c r="D15" s="41"/>
      <c r="E15" s="41"/>
      <c r="F15" s="41">
        <v>90</v>
      </c>
      <c r="G15" s="41"/>
      <c r="H15" s="41"/>
      <c r="I15" s="41"/>
      <c r="J15" s="41"/>
      <c r="K15" s="41"/>
      <c r="L15" s="41"/>
      <c r="M15" s="41"/>
      <c r="N15" s="41">
        <v>0</v>
      </c>
      <c r="O15" s="41">
        <v>0</v>
      </c>
      <c r="P15" s="41">
        <v>0</v>
      </c>
      <c r="Q15" s="41">
        <v>0</v>
      </c>
      <c r="R15" s="41">
        <f>(30/2.5)*2</f>
        <v>24</v>
      </c>
      <c r="S15" s="41">
        <f>(17.5/2.5)*2</f>
        <v>14</v>
      </c>
      <c r="T15" s="41">
        <f>(7.5/2.5)*2</f>
        <v>6</v>
      </c>
      <c r="U15" s="41">
        <f>(7.5/2.5)*2</f>
        <v>6</v>
      </c>
      <c r="V15" s="41">
        <f t="shared" si="1"/>
        <v>0</v>
      </c>
      <c r="W15" s="41">
        <f t="shared" si="1"/>
        <v>0</v>
      </c>
      <c r="X15" s="41">
        <f t="shared" si="1"/>
        <v>0</v>
      </c>
      <c r="Y15" s="41">
        <f>(30/2.5)*2</f>
        <v>24</v>
      </c>
      <c r="Z15" s="41">
        <f>(17.5/2.5)*2</f>
        <v>14</v>
      </c>
      <c r="AA15" s="41">
        <f>(7.5/2.5)*2</f>
        <v>6</v>
      </c>
      <c r="AB15" s="41">
        <f>(20/2.5)*2</f>
        <v>16</v>
      </c>
      <c r="AC15" s="41">
        <f t="shared" si="0"/>
        <v>0</v>
      </c>
      <c r="AD15" s="41">
        <f t="shared" si="0"/>
        <v>0</v>
      </c>
      <c r="AE15" s="41">
        <f t="shared" si="0"/>
        <v>0</v>
      </c>
      <c r="AF15" s="41">
        <v>3</v>
      </c>
      <c r="AG15" s="56"/>
      <c r="AH15" s="56"/>
      <c r="AI15" s="56"/>
      <c r="AJ15" s="56"/>
      <c r="AK15" s="56"/>
      <c r="AM15">
        <v>15</v>
      </c>
    </row>
    <row r="16" spans="1:39" x14ac:dyDescent="0.25">
      <c r="A16" s="40" t="s">
        <v>297</v>
      </c>
      <c r="B16" s="41" t="s">
        <v>178</v>
      </c>
      <c r="C16" s="41">
        <v>168</v>
      </c>
      <c r="D16" s="41">
        <v>10</v>
      </c>
      <c r="E16" s="41"/>
      <c r="F16" s="41"/>
      <c r="G16" s="41">
        <v>60</v>
      </c>
      <c r="H16" s="41"/>
      <c r="I16" s="41"/>
      <c r="J16" s="41"/>
      <c r="K16" s="41"/>
      <c r="L16" s="41"/>
      <c r="M16" s="41"/>
      <c r="N16" s="41">
        <v>0</v>
      </c>
      <c r="O16" s="41">
        <v>0</v>
      </c>
      <c r="P16" s="41">
        <v>0</v>
      </c>
      <c r="Q16" s="41">
        <v>0</v>
      </c>
      <c r="R16" s="41">
        <f>(25/2.5)*2</f>
        <v>20</v>
      </c>
      <c r="S16" s="41">
        <f>(17.5/2.5)*2</f>
        <v>14</v>
      </c>
      <c r="T16" s="41">
        <f>(7.5/2.5)*2</f>
        <v>6</v>
      </c>
      <c r="U16" s="41">
        <f>(12.5/2.5)*2</f>
        <v>10</v>
      </c>
      <c r="V16" s="41">
        <f t="shared" si="1"/>
        <v>0</v>
      </c>
      <c r="W16" s="41">
        <f t="shared" si="1"/>
        <v>0</v>
      </c>
      <c r="X16" s="41">
        <f t="shared" si="1"/>
        <v>0</v>
      </c>
      <c r="Y16" s="41">
        <f>(25/2.5)*2</f>
        <v>20</v>
      </c>
      <c r="Z16" s="41">
        <f>(17.5/2.5)*2</f>
        <v>14</v>
      </c>
      <c r="AA16" s="41">
        <f>(7.5/2.5)*2</f>
        <v>6</v>
      </c>
      <c r="AB16" s="41">
        <f>(25/2.5)*2</f>
        <v>20</v>
      </c>
      <c r="AC16" s="41">
        <f t="shared" si="0"/>
        <v>0</v>
      </c>
      <c r="AD16" s="41">
        <f t="shared" si="0"/>
        <v>0</v>
      </c>
      <c r="AE16" s="41">
        <f t="shared" si="0"/>
        <v>0</v>
      </c>
      <c r="AF16" s="41">
        <v>3</v>
      </c>
      <c r="AG16" s="56"/>
      <c r="AH16" s="56"/>
      <c r="AI16" s="56"/>
      <c r="AJ16" s="56"/>
      <c r="AK16" s="56"/>
      <c r="AM16">
        <v>16</v>
      </c>
    </row>
    <row r="17" spans="1:39" x14ac:dyDescent="0.25">
      <c r="A17" s="40" t="s">
        <v>304</v>
      </c>
      <c r="B17" s="41" t="s">
        <v>178</v>
      </c>
      <c r="C17" s="41">
        <v>196</v>
      </c>
      <c r="D17" s="41">
        <v>-20</v>
      </c>
      <c r="E17" s="41">
        <v>90</v>
      </c>
      <c r="F17" s="41"/>
      <c r="G17" s="41"/>
      <c r="H17" s="41"/>
      <c r="I17" s="41"/>
      <c r="J17" s="41"/>
      <c r="K17" s="41"/>
      <c r="L17" s="41"/>
      <c r="M17" s="41"/>
      <c r="N17" s="41">
        <v>0</v>
      </c>
      <c r="O17" s="41">
        <v>0</v>
      </c>
      <c r="P17" s="41">
        <v>0</v>
      </c>
      <c r="Q17" s="41">
        <v>0</v>
      </c>
      <c r="R17" s="41">
        <f>(30/2.5)*2</f>
        <v>24</v>
      </c>
      <c r="S17" s="41">
        <f>(17.5/2.5)*2</f>
        <v>14</v>
      </c>
      <c r="T17" s="41">
        <f>(7.5/2.5)*2</f>
        <v>6</v>
      </c>
      <c r="U17" s="41">
        <f>(7.5/2.5)*2</f>
        <v>6</v>
      </c>
      <c r="V17" s="41">
        <f t="shared" si="1"/>
        <v>0</v>
      </c>
      <c r="W17" s="41">
        <f t="shared" si="1"/>
        <v>0</v>
      </c>
      <c r="X17" s="41">
        <f t="shared" si="1"/>
        <v>0</v>
      </c>
      <c r="Y17" s="41">
        <f>(30/2.5)*2</f>
        <v>24</v>
      </c>
      <c r="Z17" s="41">
        <f>(17.5/2.5)*2</f>
        <v>14</v>
      </c>
      <c r="AA17" s="41">
        <f>(7.5/2.5)*2</f>
        <v>6</v>
      </c>
      <c r="AB17" s="41">
        <f>(20/2.5)*2</f>
        <v>16</v>
      </c>
      <c r="AC17" s="41">
        <f t="shared" si="0"/>
        <v>0</v>
      </c>
      <c r="AD17" s="41">
        <f t="shared" si="0"/>
        <v>0</v>
      </c>
      <c r="AE17" s="41">
        <f t="shared" si="0"/>
        <v>0</v>
      </c>
      <c r="AF17" s="41">
        <v>3</v>
      </c>
      <c r="AG17" s="56"/>
      <c r="AH17" s="56"/>
      <c r="AI17" s="56"/>
      <c r="AJ17" s="56"/>
      <c r="AK17" s="56"/>
      <c r="AM17">
        <v>17</v>
      </c>
    </row>
    <row r="18" spans="1:39" x14ac:dyDescent="0.25">
      <c r="A18" s="40" t="s">
        <v>314</v>
      </c>
      <c r="B18" s="41" t="s">
        <v>178</v>
      </c>
      <c r="C18" s="41">
        <v>168</v>
      </c>
      <c r="D18" s="41"/>
      <c r="E18" s="41"/>
      <c r="F18" s="41"/>
      <c r="G18" s="41"/>
      <c r="H18" s="41"/>
      <c r="I18" s="41"/>
      <c r="J18" s="41"/>
      <c r="K18" s="41"/>
      <c r="L18" s="41"/>
      <c r="M18" s="41"/>
      <c r="N18" s="41">
        <v>0</v>
      </c>
      <c r="O18" s="41">
        <v>0</v>
      </c>
      <c r="P18" s="41">
        <v>0</v>
      </c>
      <c r="Q18" s="41">
        <v>0</v>
      </c>
      <c r="R18" s="41">
        <f>(25/2.5)*2</f>
        <v>20</v>
      </c>
      <c r="S18" s="41">
        <f>(17.5/2.5)*2</f>
        <v>14</v>
      </c>
      <c r="T18" s="41">
        <f>(7.5/2.5)*2</f>
        <v>6</v>
      </c>
      <c r="U18" s="41">
        <f>(12.5/2.5)*2</f>
        <v>10</v>
      </c>
      <c r="V18" s="41">
        <f t="shared" si="1"/>
        <v>0</v>
      </c>
      <c r="W18" s="41">
        <f t="shared" si="1"/>
        <v>0</v>
      </c>
      <c r="X18" s="41">
        <f t="shared" si="1"/>
        <v>0</v>
      </c>
      <c r="Y18" s="41">
        <f>(25/2.5)*2</f>
        <v>20</v>
      </c>
      <c r="Z18" s="41">
        <f>(17.5/2.5)*2</f>
        <v>14</v>
      </c>
      <c r="AA18" s="41">
        <f>(7.5/2.5)*2</f>
        <v>6</v>
      </c>
      <c r="AB18" s="41">
        <f>(25/2.5)*2</f>
        <v>20</v>
      </c>
      <c r="AC18" s="41">
        <f t="shared" si="0"/>
        <v>0</v>
      </c>
      <c r="AD18" s="41">
        <f t="shared" si="0"/>
        <v>0</v>
      </c>
      <c r="AE18" s="41">
        <f t="shared" si="0"/>
        <v>0</v>
      </c>
      <c r="AF18" s="41">
        <v>3</v>
      </c>
      <c r="AG18" s="56"/>
      <c r="AH18" s="56"/>
      <c r="AI18" s="56"/>
      <c r="AJ18" s="56"/>
      <c r="AK18" s="56"/>
      <c r="AM18">
        <v>18</v>
      </c>
    </row>
    <row r="19" spans="1:39" x14ac:dyDescent="0.25">
      <c r="A19" s="40" t="s">
        <v>321</v>
      </c>
      <c r="B19" s="41" t="s">
        <v>178</v>
      </c>
      <c r="C19" s="41">
        <v>168</v>
      </c>
      <c r="D19" s="41"/>
      <c r="E19" s="41"/>
      <c r="F19" s="41"/>
      <c r="G19" s="41"/>
      <c r="H19" s="41"/>
      <c r="I19" s="41"/>
      <c r="J19" s="41"/>
      <c r="K19" s="41"/>
      <c r="L19" s="41"/>
      <c r="M19" s="41"/>
      <c r="N19" s="41">
        <v>0</v>
      </c>
      <c r="O19" s="41">
        <v>0</v>
      </c>
      <c r="P19" s="41">
        <v>0</v>
      </c>
      <c r="Q19" s="41">
        <v>0</v>
      </c>
      <c r="R19" s="41">
        <f>(17.5/2.5)*2</f>
        <v>14</v>
      </c>
      <c r="S19" s="41">
        <f>(12.5/2.5)*2</f>
        <v>10</v>
      </c>
      <c r="T19" s="41">
        <f>(20/2.5)*2</f>
        <v>16</v>
      </c>
      <c r="U19" s="41">
        <f>(12.5/2.5)*2</f>
        <v>10</v>
      </c>
      <c r="V19" s="41">
        <f t="shared" si="1"/>
        <v>0</v>
      </c>
      <c r="W19" s="41">
        <f t="shared" si="1"/>
        <v>0</v>
      </c>
      <c r="X19" s="41">
        <f t="shared" si="1"/>
        <v>0</v>
      </c>
      <c r="Y19" s="41">
        <f>(17.5/2.5)*2</f>
        <v>14</v>
      </c>
      <c r="Z19" s="41">
        <f>(12.5/2.5)*2</f>
        <v>10</v>
      </c>
      <c r="AA19" s="41">
        <f>(20/2.5)*2</f>
        <v>16</v>
      </c>
      <c r="AB19" s="41">
        <f>(25/2.5)*2</f>
        <v>20</v>
      </c>
      <c r="AC19" s="41">
        <f t="shared" si="0"/>
        <v>0</v>
      </c>
      <c r="AD19" s="41">
        <f t="shared" si="0"/>
        <v>0</v>
      </c>
      <c r="AE19" s="41">
        <f t="shared" si="0"/>
        <v>0</v>
      </c>
      <c r="AF19" s="41">
        <v>3</v>
      </c>
      <c r="AG19" s="56"/>
      <c r="AH19" s="56"/>
      <c r="AI19" s="56"/>
      <c r="AJ19" s="56"/>
      <c r="AK19" s="56"/>
      <c r="AM19">
        <v>19</v>
      </c>
    </row>
    <row r="20" spans="1:39" x14ac:dyDescent="0.25">
      <c r="A20" s="4" t="s">
        <v>363</v>
      </c>
      <c r="B20" s="41" t="s">
        <v>178</v>
      </c>
      <c r="C20" s="4">
        <v>140</v>
      </c>
      <c r="D20" s="4"/>
      <c r="E20" s="4"/>
      <c r="F20" s="4"/>
      <c r="G20" s="4"/>
      <c r="H20" s="4"/>
      <c r="I20" s="4">
        <v>120</v>
      </c>
      <c r="J20" s="4"/>
      <c r="K20" s="4"/>
      <c r="L20" s="4"/>
      <c r="M20" s="4"/>
      <c r="N20" s="4">
        <v>0</v>
      </c>
      <c r="O20" s="4">
        <v>0</v>
      </c>
      <c r="P20" s="4">
        <v>0</v>
      </c>
      <c r="Q20" s="4">
        <v>0</v>
      </c>
      <c r="R20" s="4">
        <f>(27.5/2.5)*2</f>
        <v>22</v>
      </c>
      <c r="S20" s="4">
        <f>(17.5/2.5)*2</f>
        <v>14</v>
      </c>
      <c r="T20" s="4">
        <f>(7.5/2.5)*2</f>
        <v>6</v>
      </c>
      <c r="U20" s="4">
        <f>(10/2.5)*2</f>
        <v>8</v>
      </c>
      <c r="V20" s="4">
        <f t="shared" si="1"/>
        <v>0</v>
      </c>
      <c r="W20" s="4">
        <f t="shared" si="1"/>
        <v>0</v>
      </c>
      <c r="X20" s="4">
        <f t="shared" si="1"/>
        <v>0</v>
      </c>
      <c r="Y20" s="4">
        <f>(27.5/2.5)*2</f>
        <v>22</v>
      </c>
      <c r="Z20" s="4">
        <f>(17.5/2.5)*2</f>
        <v>14</v>
      </c>
      <c r="AA20" s="4">
        <f>(7.5/2.5)*2</f>
        <v>6</v>
      </c>
      <c r="AB20" s="4">
        <f>(22.5/2.5)*2</f>
        <v>18</v>
      </c>
      <c r="AC20" s="4">
        <f t="shared" si="0"/>
        <v>0</v>
      </c>
      <c r="AD20" s="4">
        <f t="shared" si="0"/>
        <v>0</v>
      </c>
      <c r="AE20" s="4">
        <f t="shared" si="0"/>
        <v>0</v>
      </c>
      <c r="AF20" s="4">
        <v>3</v>
      </c>
      <c r="AG20" s="57"/>
      <c r="AH20" s="57"/>
      <c r="AI20" s="57"/>
      <c r="AJ20" s="57"/>
      <c r="AK20" s="57"/>
      <c r="AM20">
        <v>20</v>
      </c>
    </row>
    <row r="21" spans="1:39" x14ac:dyDescent="0.25">
      <c r="A21" s="4" t="s">
        <v>259</v>
      </c>
      <c r="B21" s="41" t="s">
        <v>178</v>
      </c>
      <c r="C21" s="4">
        <v>182</v>
      </c>
      <c r="D21" s="4"/>
      <c r="E21" s="4"/>
      <c r="F21" s="4">
        <v>90</v>
      </c>
      <c r="G21" s="4"/>
      <c r="H21" s="4"/>
      <c r="I21" s="4"/>
      <c r="J21" s="4"/>
      <c r="K21" s="4"/>
      <c r="L21" s="4"/>
      <c r="M21" s="4"/>
      <c r="N21" s="4">
        <v>0</v>
      </c>
      <c r="O21" s="4">
        <v>0</v>
      </c>
      <c r="P21" s="4">
        <v>0</v>
      </c>
      <c r="Q21" s="4">
        <v>0</v>
      </c>
      <c r="R21" s="4">
        <f>(12.5/2.5)*2</f>
        <v>10</v>
      </c>
      <c r="S21" s="4">
        <f>(12.5/2.5)*2</f>
        <v>10</v>
      </c>
      <c r="T21" s="4">
        <f>(20/2.5)*2</f>
        <v>16</v>
      </c>
      <c r="U21" s="4">
        <f>(17.5/2.5)*2</f>
        <v>14</v>
      </c>
      <c r="V21" s="4">
        <f t="shared" si="1"/>
        <v>0</v>
      </c>
      <c r="W21" s="4">
        <f t="shared" si="1"/>
        <v>0</v>
      </c>
      <c r="X21" s="4">
        <f t="shared" si="1"/>
        <v>0</v>
      </c>
      <c r="Y21" s="4">
        <f>(12.5/2.5)*2</f>
        <v>10</v>
      </c>
      <c r="Z21" s="4">
        <f>(12.5/2.5)*2</f>
        <v>10</v>
      </c>
      <c r="AA21" s="4">
        <f>(20/2.5)*2</f>
        <v>16</v>
      </c>
      <c r="AB21" s="4">
        <f>(30/2.5)*2</f>
        <v>24</v>
      </c>
      <c r="AC21" s="4">
        <f t="shared" si="0"/>
        <v>0</v>
      </c>
      <c r="AD21" s="4">
        <f t="shared" si="0"/>
        <v>0</v>
      </c>
      <c r="AE21" s="4">
        <f t="shared" si="0"/>
        <v>0</v>
      </c>
      <c r="AF21" s="4">
        <v>3</v>
      </c>
      <c r="AG21" s="57"/>
      <c r="AH21" s="57"/>
      <c r="AI21" s="57"/>
      <c r="AJ21" s="57"/>
      <c r="AK21" s="57"/>
      <c r="AM21">
        <v>21</v>
      </c>
    </row>
    <row r="22" spans="1:39" x14ac:dyDescent="0.25">
      <c r="A22" s="4" t="s">
        <v>391</v>
      </c>
      <c r="B22" s="41" t="s">
        <v>178</v>
      </c>
      <c r="C22" s="4">
        <v>154</v>
      </c>
      <c r="D22" s="4"/>
      <c r="E22" s="4"/>
      <c r="F22" s="4"/>
      <c r="G22" s="4"/>
      <c r="H22" s="4"/>
      <c r="I22" s="4"/>
      <c r="J22" s="4"/>
      <c r="K22" s="4"/>
      <c r="L22" s="4">
        <v>90</v>
      </c>
      <c r="M22" s="4"/>
      <c r="N22" s="4">
        <v>0</v>
      </c>
      <c r="O22" s="4">
        <v>0</v>
      </c>
      <c r="P22" s="4">
        <v>0</v>
      </c>
      <c r="Q22" s="4">
        <v>0</v>
      </c>
      <c r="R22" s="4">
        <f>(15/2.5)*2</f>
        <v>12</v>
      </c>
      <c r="S22" s="4">
        <f>(12.5/2.5)*2</f>
        <v>10</v>
      </c>
      <c r="T22" s="4">
        <f>(15/2.5)*2</f>
        <v>12</v>
      </c>
      <c r="U22" s="4">
        <f>(20/2.5)*2</f>
        <v>16</v>
      </c>
      <c r="V22" s="4">
        <f t="shared" si="1"/>
        <v>0</v>
      </c>
      <c r="W22" s="4">
        <f t="shared" si="1"/>
        <v>0</v>
      </c>
      <c r="X22" s="4">
        <f t="shared" si="1"/>
        <v>0</v>
      </c>
      <c r="Y22" s="4">
        <f>(15/2.5)*2</f>
        <v>12</v>
      </c>
      <c r="Z22" s="4">
        <f>(12.5/2.5)*2</f>
        <v>10</v>
      </c>
      <c r="AA22" s="4">
        <f>(15/2.5)*2</f>
        <v>12</v>
      </c>
      <c r="AB22" s="4">
        <f>(30/2.5)*2</f>
        <v>24</v>
      </c>
      <c r="AC22" s="4">
        <f>(2.5/2.5)*2</f>
        <v>2</v>
      </c>
      <c r="AD22" s="4">
        <f t="shared" ref="AD22:AE52" si="2">(0/2.5)*2</f>
        <v>0</v>
      </c>
      <c r="AE22" s="4">
        <f t="shared" si="2"/>
        <v>0</v>
      </c>
      <c r="AF22" s="4">
        <v>3</v>
      </c>
      <c r="AG22" s="57"/>
      <c r="AH22" s="57"/>
      <c r="AI22" s="57"/>
      <c r="AJ22" s="57"/>
      <c r="AK22" s="57"/>
      <c r="AM22">
        <v>22</v>
      </c>
    </row>
    <row r="23" spans="1:39" x14ac:dyDescent="0.25">
      <c r="A23" s="4" t="s">
        <v>396</v>
      </c>
      <c r="B23" s="41" t="s">
        <v>178</v>
      </c>
      <c r="C23" s="4">
        <v>238</v>
      </c>
      <c r="D23" s="4"/>
      <c r="E23" s="4"/>
      <c r="F23" s="4"/>
      <c r="G23" s="4"/>
      <c r="H23" s="4"/>
      <c r="I23" s="4"/>
      <c r="J23" s="4"/>
      <c r="K23" s="4"/>
      <c r="L23" s="4"/>
      <c r="M23" s="4">
        <v>150</v>
      </c>
      <c r="N23" s="4">
        <v>0</v>
      </c>
      <c r="O23" s="4">
        <v>0</v>
      </c>
      <c r="P23" s="4">
        <v>0</v>
      </c>
      <c r="Q23" s="4">
        <v>0</v>
      </c>
      <c r="R23" s="4">
        <f>(7.5/2.5)*2</f>
        <v>6</v>
      </c>
      <c r="S23" s="4">
        <f>(15/2.5)*2</f>
        <v>12</v>
      </c>
      <c r="T23" s="4">
        <f>(5/2.5)*2</f>
        <v>4</v>
      </c>
      <c r="U23" s="4">
        <f>(35/2.5)*2</f>
        <v>28</v>
      </c>
      <c r="V23" s="4">
        <f t="shared" ref="V23:X36" si="3">(0/2.5)*2</f>
        <v>0</v>
      </c>
      <c r="W23" s="4">
        <f t="shared" si="3"/>
        <v>0</v>
      </c>
      <c r="X23" s="4">
        <f t="shared" si="3"/>
        <v>0</v>
      </c>
      <c r="Y23" s="4">
        <f>(7.5/2.5)*2</f>
        <v>6</v>
      </c>
      <c r="Z23" s="4">
        <f>(15/2.5)*2</f>
        <v>12</v>
      </c>
      <c r="AA23" s="4">
        <f>(5/2.5)*2</f>
        <v>4</v>
      </c>
      <c r="AB23" s="4">
        <f>(37.5/2.5)*2</f>
        <v>30</v>
      </c>
      <c r="AC23" s="4">
        <f>(10/2.5)*2</f>
        <v>8</v>
      </c>
      <c r="AD23" s="4">
        <f t="shared" si="2"/>
        <v>0</v>
      </c>
      <c r="AE23" s="4">
        <f t="shared" si="2"/>
        <v>0</v>
      </c>
      <c r="AF23" s="4">
        <v>3</v>
      </c>
      <c r="AG23" s="57"/>
      <c r="AH23" s="57"/>
      <c r="AI23" s="57"/>
      <c r="AJ23" s="57"/>
      <c r="AK23" s="57"/>
      <c r="AM23">
        <v>23</v>
      </c>
    </row>
    <row r="24" spans="1:39" x14ac:dyDescent="0.25">
      <c r="A24" s="40" t="s">
        <v>267</v>
      </c>
      <c r="B24" s="41" t="s">
        <v>178</v>
      </c>
      <c r="C24" s="41">
        <v>182</v>
      </c>
      <c r="D24" s="41"/>
      <c r="E24" s="41"/>
      <c r="F24" s="41"/>
      <c r="G24" s="41"/>
      <c r="H24" s="41"/>
      <c r="I24" s="41"/>
      <c r="J24" s="41"/>
      <c r="K24" s="41"/>
      <c r="L24" s="41"/>
      <c r="M24" s="41"/>
      <c r="N24" s="41">
        <v>0</v>
      </c>
      <c r="O24" s="41">
        <v>0</v>
      </c>
      <c r="P24" s="41">
        <v>0</v>
      </c>
      <c r="Q24" s="41">
        <v>0</v>
      </c>
      <c r="R24" s="41">
        <f>(12.5/2.5)*2</f>
        <v>10</v>
      </c>
      <c r="S24" s="41">
        <f>(12.5/2.5)*2</f>
        <v>10</v>
      </c>
      <c r="T24" s="41">
        <f>(20/2.5)*2</f>
        <v>16</v>
      </c>
      <c r="U24" s="41">
        <f>(17.5/2.5)*2</f>
        <v>14</v>
      </c>
      <c r="V24" s="41">
        <f t="shared" si="3"/>
        <v>0</v>
      </c>
      <c r="W24" s="41">
        <f t="shared" si="3"/>
        <v>0</v>
      </c>
      <c r="X24" s="41">
        <f t="shared" si="3"/>
        <v>0</v>
      </c>
      <c r="Y24" s="41">
        <f>(12.5/2.5)*2</f>
        <v>10</v>
      </c>
      <c r="Z24" s="41">
        <f>(12.5/2.5)*2</f>
        <v>10</v>
      </c>
      <c r="AA24" s="41">
        <f>(20/2.5)*2</f>
        <v>16</v>
      </c>
      <c r="AB24" s="41">
        <f>(30/2.5)*2</f>
        <v>24</v>
      </c>
      <c r="AC24" s="41">
        <f t="shared" ref="AC24:AC36" si="4">(0/2.5)*2</f>
        <v>0</v>
      </c>
      <c r="AD24" s="41">
        <f t="shared" si="2"/>
        <v>0</v>
      </c>
      <c r="AE24" s="41">
        <f t="shared" si="2"/>
        <v>0</v>
      </c>
      <c r="AF24" s="41">
        <v>4</v>
      </c>
      <c r="AG24" s="56"/>
      <c r="AH24" s="56"/>
      <c r="AI24" s="56"/>
      <c r="AJ24" s="56"/>
      <c r="AK24" s="56"/>
      <c r="AM24">
        <v>24</v>
      </c>
    </row>
    <row r="25" spans="1:39" x14ac:dyDescent="0.25">
      <c r="A25" s="40" t="s">
        <v>275</v>
      </c>
      <c r="B25" s="41" t="s">
        <v>178</v>
      </c>
      <c r="C25" s="41">
        <v>210</v>
      </c>
      <c r="D25" s="41"/>
      <c r="E25" s="41"/>
      <c r="F25" s="41"/>
      <c r="G25" s="41"/>
      <c r="H25" s="41"/>
      <c r="I25" s="41"/>
      <c r="J25" s="41"/>
      <c r="K25" s="41"/>
      <c r="L25" s="41"/>
      <c r="M25" s="41"/>
      <c r="N25" s="41">
        <v>0</v>
      </c>
      <c r="O25" s="41">
        <v>0</v>
      </c>
      <c r="P25" s="41">
        <v>0</v>
      </c>
      <c r="Q25" s="41">
        <v>0</v>
      </c>
      <c r="R25" s="41">
        <f>(22.5/2.5)*2</f>
        <v>18</v>
      </c>
      <c r="S25" s="41">
        <f>(17.5/2.5)*2</f>
        <v>14</v>
      </c>
      <c r="T25" s="41">
        <f>(7.5/2.5)*2</f>
        <v>6</v>
      </c>
      <c r="U25" s="41">
        <f>(15/2.5)*2</f>
        <v>12</v>
      </c>
      <c r="V25" s="41">
        <f t="shared" si="3"/>
        <v>0</v>
      </c>
      <c r="W25" s="41">
        <f t="shared" si="3"/>
        <v>0</v>
      </c>
      <c r="X25" s="41">
        <f t="shared" si="3"/>
        <v>0</v>
      </c>
      <c r="Y25" s="41">
        <f>(22.5/2.5)*2</f>
        <v>18</v>
      </c>
      <c r="Z25" s="41">
        <f>(17.5/2.5)*2</f>
        <v>14</v>
      </c>
      <c r="AA25" s="41">
        <f>(7.5/2.5)*2</f>
        <v>6</v>
      </c>
      <c r="AB25" s="41">
        <f>(27.5/2.5)*2</f>
        <v>22</v>
      </c>
      <c r="AC25" s="41">
        <f t="shared" si="4"/>
        <v>0</v>
      </c>
      <c r="AD25" s="41">
        <f t="shared" si="2"/>
        <v>0</v>
      </c>
      <c r="AE25" s="41">
        <f t="shared" si="2"/>
        <v>0</v>
      </c>
      <c r="AF25" s="41">
        <v>4</v>
      </c>
      <c r="AG25" s="56"/>
      <c r="AH25" s="56"/>
      <c r="AI25" s="56"/>
      <c r="AJ25" s="56"/>
      <c r="AK25" s="56"/>
      <c r="AM25">
        <v>25</v>
      </c>
    </row>
    <row r="26" spans="1:39" x14ac:dyDescent="0.25">
      <c r="A26" s="40" t="s">
        <v>283</v>
      </c>
      <c r="B26" s="41" t="s">
        <v>178</v>
      </c>
      <c r="C26" s="41">
        <v>182</v>
      </c>
      <c r="D26" s="41">
        <v>15</v>
      </c>
      <c r="E26" s="41"/>
      <c r="F26" s="41"/>
      <c r="G26" s="41"/>
      <c r="H26" s="41"/>
      <c r="I26" s="41"/>
      <c r="J26" s="41"/>
      <c r="K26" s="41"/>
      <c r="L26" s="41"/>
      <c r="M26" s="41"/>
      <c r="N26" s="41">
        <v>0</v>
      </c>
      <c r="O26" s="41">
        <v>0</v>
      </c>
      <c r="P26" s="41">
        <v>0</v>
      </c>
      <c r="Q26" s="41">
        <v>0</v>
      </c>
      <c r="R26" s="41">
        <f>(12.5/2.5)*2</f>
        <v>10</v>
      </c>
      <c r="S26" s="41">
        <f>(12.5/2.5)*2</f>
        <v>10</v>
      </c>
      <c r="T26" s="41">
        <f>(20/2.5)*2</f>
        <v>16</v>
      </c>
      <c r="U26" s="41">
        <f>(17.5/2.5)*2</f>
        <v>14</v>
      </c>
      <c r="V26" s="41">
        <f t="shared" si="3"/>
        <v>0</v>
      </c>
      <c r="W26" s="41">
        <f t="shared" si="3"/>
        <v>0</v>
      </c>
      <c r="X26" s="41">
        <f t="shared" si="3"/>
        <v>0</v>
      </c>
      <c r="Y26" s="41">
        <f>(12.5/2.5)*2</f>
        <v>10</v>
      </c>
      <c r="Z26" s="41">
        <f>(12.5/2.5)*2</f>
        <v>10</v>
      </c>
      <c r="AA26" s="41">
        <f>(20/2.5)*2</f>
        <v>16</v>
      </c>
      <c r="AB26" s="41">
        <f>(30/2.5)*2</f>
        <v>24</v>
      </c>
      <c r="AC26" s="41">
        <f t="shared" si="4"/>
        <v>0</v>
      </c>
      <c r="AD26" s="41">
        <f t="shared" si="2"/>
        <v>0</v>
      </c>
      <c r="AE26" s="41">
        <f t="shared" si="2"/>
        <v>0</v>
      </c>
      <c r="AF26" s="41">
        <v>4</v>
      </c>
      <c r="AG26" s="56"/>
      <c r="AH26" s="56"/>
      <c r="AI26" s="56"/>
      <c r="AJ26" s="56"/>
      <c r="AK26" s="56"/>
      <c r="AM26">
        <v>26</v>
      </c>
    </row>
    <row r="27" spans="1:39" x14ac:dyDescent="0.25">
      <c r="A27" s="40" t="s">
        <v>290</v>
      </c>
      <c r="B27" s="41" t="s">
        <v>178</v>
      </c>
      <c r="C27" s="41">
        <v>210</v>
      </c>
      <c r="D27" s="41"/>
      <c r="E27" s="41"/>
      <c r="F27" s="41">
        <v>120</v>
      </c>
      <c r="G27" s="41"/>
      <c r="H27" s="41"/>
      <c r="I27" s="41"/>
      <c r="J27" s="41"/>
      <c r="K27" s="41"/>
      <c r="L27" s="41"/>
      <c r="M27" s="41"/>
      <c r="N27" s="41">
        <v>0</v>
      </c>
      <c r="O27" s="41">
        <v>0</v>
      </c>
      <c r="P27" s="41">
        <v>0</v>
      </c>
      <c r="Q27" s="41">
        <v>0</v>
      </c>
      <c r="R27" s="41">
        <f>(27.5/2.5)*2</f>
        <v>22</v>
      </c>
      <c r="S27" s="41">
        <f>(17.5/2.5)*2</f>
        <v>14</v>
      </c>
      <c r="T27" s="41">
        <f>(7.5/2.5)*2</f>
        <v>6</v>
      </c>
      <c r="U27" s="41">
        <f>(10/2.5)*2</f>
        <v>8</v>
      </c>
      <c r="V27" s="41">
        <f t="shared" si="3"/>
        <v>0</v>
      </c>
      <c r="W27" s="41">
        <f t="shared" si="3"/>
        <v>0</v>
      </c>
      <c r="X27" s="41">
        <f t="shared" si="3"/>
        <v>0</v>
      </c>
      <c r="Y27" s="41">
        <f>(27.5/2.5)*2</f>
        <v>22</v>
      </c>
      <c r="Z27" s="41">
        <f>(17.5/2.5)*2</f>
        <v>14</v>
      </c>
      <c r="AA27" s="41">
        <f>(7.5/2.5)*2</f>
        <v>6</v>
      </c>
      <c r="AB27" s="41">
        <f>(22.5/2.5)*2</f>
        <v>18</v>
      </c>
      <c r="AC27" s="41">
        <f t="shared" si="4"/>
        <v>0</v>
      </c>
      <c r="AD27" s="41">
        <f t="shared" si="2"/>
        <v>0</v>
      </c>
      <c r="AE27" s="41">
        <f t="shared" si="2"/>
        <v>0</v>
      </c>
      <c r="AF27" s="41">
        <v>4</v>
      </c>
      <c r="AG27" s="56"/>
      <c r="AH27" s="56"/>
      <c r="AI27" s="56"/>
      <c r="AJ27" s="56"/>
      <c r="AK27" s="56"/>
      <c r="AM27">
        <v>27</v>
      </c>
    </row>
    <row r="28" spans="1:39" x14ac:dyDescent="0.25">
      <c r="A28" s="40" t="s">
        <v>298</v>
      </c>
      <c r="B28" s="41" t="s">
        <v>178</v>
      </c>
      <c r="C28" s="41">
        <v>196</v>
      </c>
      <c r="D28" s="41">
        <v>10</v>
      </c>
      <c r="E28" s="41"/>
      <c r="F28" s="41"/>
      <c r="G28" s="41">
        <v>60</v>
      </c>
      <c r="H28" s="41"/>
      <c r="I28" s="41"/>
      <c r="J28" s="41"/>
      <c r="K28" s="41"/>
      <c r="L28" s="41"/>
      <c r="M28" s="41"/>
      <c r="N28" s="41">
        <v>0</v>
      </c>
      <c r="O28" s="41">
        <v>0</v>
      </c>
      <c r="P28" s="41">
        <v>0</v>
      </c>
      <c r="Q28" s="41">
        <v>0</v>
      </c>
      <c r="R28" s="41">
        <f>(22.5/2.5)*2</f>
        <v>18</v>
      </c>
      <c r="S28" s="41">
        <f>(17.5/2.5)*2</f>
        <v>14</v>
      </c>
      <c r="T28" s="41">
        <f>(7.5/2.5)*2</f>
        <v>6</v>
      </c>
      <c r="U28" s="41">
        <f>(15/2.5)*2</f>
        <v>12</v>
      </c>
      <c r="V28" s="41">
        <f t="shared" si="3"/>
        <v>0</v>
      </c>
      <c r="W28" s="41">
        <f t="shared" si="3"/>
        <v>0</v>
      </c>
      <c r="X28" s="41">
        <f t="shared" si="3"/>
        <v>0</v>
      </c>
      <c r="Y28" s="41">
        <f>(22.5/2.5)*2</f>
        <v>18</v>
      </c>
      <c r="Z28" s="41">
        <f>(17.5/2.5)*2</f>
        <v>14</v>
      </c>
      <c r="AA28" s="41">
        <f>(7.5/2.5)*2</f>
        <v>6</v>
      </c>
      <c r="AB28" s="41">
        <f>(27.5/2.5)*2</f>
        <v>22</v>
      </c>
      <c r="AC28" s="41">
        <f t="shared" si="4"/>
        <v>0</v>
      </c>
      <c r="AD28" s="41">
        <f t="shared" si="2"/>
        <v>0</v>
      </c>
      <c r="AE28" s="41">
        <f t="shared" si="2"/>
        <v>0</v>
      </c>
      <c r="AF28" s="41">
        <v>4</v>
      </c>
      <c r="AG28" s="56"/>
      <c r="AH28" s="56"/>
      <c r="AI28" s="56"/>
      <c r="AJ28" s="56"/>
      <c r="AK28" s="56"/>
      <c r="AM28">
        <v>28</v>
      </c>
    </row>
    <row r="29" spans="1:39" x14ac:dyDescent="0.25">
      <c r="A29" s="40" t="s">
        <v>305</v>
      </c>
      <c r="B29" s="41" t="s">
        <v>178</v>
      </c>
      <c r="C29" s="41">
        <v>210</v>
      </c>
      <c r="D29" s="41">
        <v>-20</v>
      </c>
      <c r="E29" s="41">
        <v>120</v>
      </c>
      <c r="F29" s="41"/>
      <c r="G29" s="41"/>
      <c r="H29" s="41"/>
      <c r="I29" s="41"/>
      <c r="J29" s="41"/>
      <c r="K29" s="41"/>
      <c r="L29" s="41"/>
      <c r="M29" s="41"/>
      <c r="N29" s="41">
        <v>0</v>
      </c>
      <c r="O29" s="41">
        <v>0</v>
      </c>
      <c r="P29" s="41">
        <v>0</v>
      </c>
      <c r="Q29" s="41">
        <v>0</v>
      </c>
      <c r="R29" s="41">
        <f>(25/2.5)*2</f>
        <v>20</v>
      </c>
      <c r="S29" s="41">
        <f>(17.5/2.5)*2</f>
        <v>14</v>
      </c>
      <c r="T29" s="41">
        <f>(7.5/2.5)*2</f>
        <v>6</v>
      </c>
      <c r="U29" s="41">
        <f>(12.5/2.5)*2</f>
        <v>10</v>
      </c>
      <c r="V29" s="41">
        <f t="shared" si="3"/>
        <v>0</v>
      </c>
      <c r="W29" s="41">
        <f t="shared" si="3"/>
        <v>0</v>
      </c>
      <c r="X29" s="41">
        <f t="shared" si="3"/>
        <v>0</v>
      </c>
      <c r="Y29" s="41">
        <f>(25/2.5)*2</f>
        <v>20</v>
      </c>
      <c r="Z29" s="41">
        <f>(17.5/2.5)*2</f>
        <v>14</v>
      </c>
      <c r="AA29" s="41">
        <f>(7.5/2.5)*2</f>
        <v>6</v>
      </c>
      <c r="AB29" s="41">
        <f>(25/2.5)*2</f>
        <v>20</v>
      </c>
      <c r="AC29" s="41">
        <f t="shared" si="4"/>
        <v>0</v>
      </c>
      <c r="AD29" s="41">
        <f t="shared" si="2"/>
        <v>0</v>
      </c>
      <c r="AE29" s="41">
        <f t="shared" si="2"/>
        <v>0</v>
      </c>
      <c r="AF29" s="41">
        <v>4</v>
      </c>
      <c r="AG29" s="56"/>
      <c r="AH29" s="56"/>
      <c r="AI29" s="56"/>
      <c r="AJ29" s="56"/>
      <c r="AK29" s="56"/>
      <c r="AM29">
        <v>29</v>
      </c>
    </row>
    <row r="30" spans="1:39" x14ac:dyDescent="0.25">
      <c r="A30" s="40" t="s">
        <v>315</v>
      </c>
      <c r="B30" s="41" t="s">
        <v>178</v>
      </c>
      <c r="C30" s="41">
        <v>182</v>
      </c>
      <c r="D30" s="41"/>
      <c r="E30" s="41"/>
      <c r="F30" s="41"/>
      <c r="G30" s="41"/>
      <c r="H30" s="41"/>
      <c r="I30" s="41"/>
      <c r="J30" s="41"/>
      <c r="K30" s="41"/>
      <c r="L30" s="41"/>
      <c r="M30" s="41"/>
      <c r="N30" s="41">
        <v>0</v>
      </c>
      <c r="O30" s="41">
        <v>0</v>
      </c>
      <c r="P30" s="41">
        <v>0</v>
      </c>
      <c r="Q30" s="41">
        <v>0</v>
      </c>
      <c r="R30" s="41">
        <f>(20/2.5)*2</f>
        <v>16</v>
      </c>
      <c r="S30" s="41">
        <f>(17.5/2.5)*2</f>
        <v>14</v>
      </c>
      <c r="T30" s="41">
        <f>(7.5/2.5)*2</f>
        <v>6</v>
      </c>
      <c r="U30" s="41">
        <f>(17.5/2.5)*2</f>
        <v>14</v>
      </c>
      <c r="V30" s="41">
        <f t="shared" si="3"/>
        <v>0</v>
      </c>
      <c r="W30" s="41">
        <f t="shared" si="3"/>
        <v>0</v>
      </c>
      <c r="X30" s="41">
        <f t="shared" si="3"/>
        <v>0</v>
      </c>
      <c r="Y30" s="41">
        <f>(20/2.5)*2</f>
        <v>16</v>
      </c>
      <c r="Z30" s="41">
        <f>(17.5/2.5)*2</f>
        <v>14</v>
      </c>
      <c r="AA30" s="41">
        <f>(7.5/2.5)*2</f>
        <v>6</v>
      </c>
      <c r="AB30" s="41">
        <f>(30/2.5)*2</f>
        <v>24</v>
      </c>
      <c r="AC30" s="41">
        <f t="shared" si="4"/>
        <v>0</v>
      </c>
      <c r="AD30" s="41">
        <f t="shared" si="2"/>
        <v>0</v>
      </c>
      <c r="AE30" s="41">
        <f t="shared" si="2"/>
        <v>0</v>
      </c>
      <c r="AF30" s="41">
        <v>4</v>
      </c>
      <c r="AG30" s="56"/>
      <c r="AH30" s="56"/>
      <c r="AI30" s="56"/>
      <c r="AJ30" s="56"/>
      <c r="AK30" s="56"/>
      <c r="AM30">
        <v>30</v>
      </c>
    </row>
    <row r="31" spans="1:39" x14ac:dyDescent="0.25">
      <c r="A31" s="40" t="s">
        <v>322</v>
      </c>
      <c r="B31" s="41" t="s">
        <v>178</v>
      </c>
      <c r="C31" s="41">
        <v>196</v>
      </c>
      <c r="D31" s="41"/>
      <c r="E31" s="41"/>
      <c r="F31" s="41"/>
      <c r="G31" s="41"/>
      <c r="H31" s="41"/>
      <c r="I31" s="41"/>
      <c r="J31" s="41"/>
      <c r="K31" s="41"/>
      <c r="L31" s="41"/>
      <c r="M31" s="41"/>
      <c r="N31" s="41">
        <v>0</v>
      </c>
      <c r="O31" s="41">
        <v>0</v>
      </c>
      <c r="P31" s="41">
        <v>0</v>
      </c>
      <c r="Q31" s="41">
        <v>0</v>
      </c>
      <c r="R31" s="41">
        <f>(15/2.5)*2</f>
        <v>12</v>
      </c>
      <c r="S31" s="41">
        <f>(12.5/2.5)*2</f>
        <v>10</v>
      </c>
      <c r="T31" s="41">
        <f>(20/2.5)*2</f>
        <v>16</v>
      </c>
      <c r="U31" s="41">
        <f>(15/2.5)*2</f>
        <v>12</v>
      </c>
      <c r="V31" s="41">
        <f t="shared" si="3"/>
        <v>0</v>
      </c>
      <c r="W31" s="41">
        <f t="shared" si="3"/>
        <v>0</v>
      </c>
      <c r="X31" s="41">
        <f t="shared" si="3"/>
        <v>0</v>
      </c>
      <c r="Y31" s="41">
        <f>(15/2.5)*2</f>
        <v>12</v>
      </c>
      <c r="Z31" s="41">
        <f>(12.5/2.5)*2</f>
        <v>10</v>
      </c>
      <c r="AA31" s="41">
        <f>(20/2.5)*2</f>
        <v>16</v>
      </c>
      <c r="AB31" s="41">
        <f>(27.5/2.5)*2</f>
        <v>22</v>
      </c>
      <c r="AC31" s="41">
        <f t="shared" si="4"/>
        <v>0</v>
      </c>
      <c r="AD31" s="41">
        <f t="shared" si="2"/>
        <v>0</v>
      </c>
      <c r="AE31" s="41">
        <f t="shared" si="2"/>
        <v>0</v>
      </c>
      <c r="AF31" s="41">
        <v>4</v>
      </c>
      <c r="AG31" s="56"/>
      <c r="AH31" s="56"/>
      <c r="AI31" s="56"/>
      <c r="AJ31" s="56"/>
      <c r="AK31" s="56"/>
      <c r="AM31">
        <v>31</v>
      </c>
    </row>
    <row r="32" spans="1:39" x14ac:dyDescent="0.25">
      <c r="A32" s="40" t="s">
        <v>328</v>
      </c>
      <c r="B32" s="41" t="s">
        <v>178</v>
      </c>
      <c r="C32" s="41">
        <v>182</v>
      </c>
      <c r="D32" s="41">
        <v>20</v>
      </c>
      <c r="E32" s="41"/>
      <c r="F32" s="41"/>
      <c r="G32" s="41"/>
      <c r="H32" s="41"/>
      <c r="I32" s="41"/>
      <c r="J32" s="41"/>
      <c r="K32" s="41"/>
      <c r="L32" s="41"/>
      <c r="M32" s="41"/>
      <c r="N32" s="41">
        <v>0</v>
      </c>
      <c r="O32" s="41">
        <v>0</v>
      </c>
      <c r="P32" s="41">
        <v>0</v>
      </c>
      <c r="Q32" s="41">
        <v>0</v>
      </c>
      <c r="R32" s="41">
        <f>(20/2.5)*2</f>
        <v>16</v>
      </c>
      <c r="S32" s="41">
        <f>(17.5/2.5)*2</f>
        <v>14</v>
      </c>
      <c r="T32" s="41">
        <f>(7.5/2.5)*2</f>
        <v>6</v>
      </c>
      <c r="U32" s="41">
        <f>(17.5/2.5)*2</f>
        <v>14</v>
      </c>
      <c r="V32" s="41">
        <f t="shared" si="3"/>
        <v>0</v>
      </c>
      <c r="W32" s="41">
        <f t="shared" si="3"/>
        <v>0</v>
      </c>
      <c r="X32" s="41">
        <f t="shared" si="3"/>
        <v>0</v>
      </c>
      <c r="Y32" s="41">
        <f>(20/2.5)*2</f>
        <v>16</v>
      </c>
      <c r="Z32" s="41">
        <f>(17.5/2.5)*2</f>
        <v>14</v>
      </c>
      <c r="AA32" s="41">
        <f>(7.5/2.5)*2</f>
        <v>6</v>
      </c>
      <c r="AB32" s="41">
        <f>(30/2.5)*2</f>
        <v>24</v>
      </c>
      <c r="AC32" s="41">
        <f t="shared" si="4"/>
        <v>0</v>
      </c>
      <c r="AD32" s="41">
        <f t="shared" si="2"/>
        <v>0</v>
      </c>
      <c r="AE32" s="41">
        <f t="shared" si="2"/>
        <v>0</v>
      </c>
      <c r="AF32" s="41">
        <v>4</v>
      </c>
      <c r="AG32" s="56"/>
      <c r="AH32" s="56"/>
      <c r="AI32" s="56"/>
      <c r="AJ32" s="56"/>
      <c r="AK32" s="56"/>
      <c r="AM32">
        <v>32</v>
      </c>
    </row>
    <row r="33" spans="1:39" x14ac:dyDescent="0.25">
      <c r="A33" s="4" t="s">
        <v>337</v>
      </c>
      <c r="B33" s="41" t="s">
        <v>178</v>
      </c>
      <c r="C33" s="4">
        <v>224</v>
      </c>
      <c r="D33" s="4">
        <v>-10</v>
      </c>
      <c r="E33" s="4"/>
      <c r="F33" s="4"/>
      <c r="G33" s="4"/>
      <c r="H33" s="4"/>
      <c r="I33" s="4"/>
      <c r="J33" s="4"/>
      <c r="K33" s="4"/>
      <c r="L33" s="4"/>
      <c r="M33" s="4"/>
      <c r="N33" s="4">
        <v>0</v>
      </c>
      <c r="O33" s="4">
        <v>0</v>
      </c>
      <c r="P33" s="4">
        <v>0</v>
      </c>
      <c r="Q33" s="4">
        <v>0</v>
      </c>
      <c r="R33" s="4">
        <f>(27.5/2.5)*2</f>
        <v>22</v>
      </c>
      <c r="S33" s="4">
        <f>(17.5/2.5)*2</f>
        <v>14</v>
      </c>
      <c r="T33" s="4">
        <f>(7.5/2.5)*2</f>
        <v>6</v>
      </c>
      <c r="U33" s="4">
        <f>(10/2.5)*2</f>
        <v>8</v>
      </c>
      <c r="V33" s="4">
        <f t="shared" si="3"/>
        <v>0</v>
      </c>
      <c r="W33" s="4">
        <f t="shared" si="3"/>
        <v>0</v>
      </c>
      <c r="X33" s="4">
        <f t="shared" si="3"/>
        <v>0</v>
      </c>
      <c r="Y33" s="4">
        <f>(27.5/2.5)*2</f>
        <v>22</v>
      </c>
      <c r="Z33" s="4">
        <f>(17.5/2.5)*2</f>
        <v>14</v>
      </c>
      <c r="AA33" s="4">
        <f>(7.5/2.5)*2</f>
        <v>6</v>
      </c>
      <c r="AB33" s="4">
        <f>(22.5/2.5)*2</f>
        <v>18</v>
      </c>
      <c r="AC33" s="4">
        <f t="shared" si="4"/>
        <v>0</v>
      </c>
      <c r="AD33" s="4">
        <f t="shared" si="2"/>
        <v>0</v>
      </c>
      <c r="AE33" s="4">
        <f t="shared" si="2"/>
        <v>0</v>
      </c>
      <c r="AF33" s="4">
        <v>4</v>
      </c>
      <c r="AG33" s="57"/>
      <c r="AH33" s="57"/>
      <c r="AI33" s="57"/>
      <c r="AJ33" s="57"/>
      <c r="AK33" s="57"/>
      <c r="AM33">
        <v>33</v>
      </c>
    </row>
    <row r="34" spans="1:39" x14ac:dyDescent="0.25">
      <c r="A34" s="4" t="s">
        <v>343</v>
      </c>
      <c r="B34" s="41" t="s">
        <v>178</v>
      </c>
      <c r="C34" s="4">
        <v>154</v>
      </c>
      <c r="D34" s="4"/>
      <c r="E34" s="4"/>
      <c r="F34" s="4"/>
      <c r="G34" s="4">
        <v>210</v>
      </c>
      <c r="H34" s="4"/>
      <c r="I34" s="4"/>
      <c r="J34" s="4"/>
      <c r="K34" s="4"/>
      <c r="L34" s="4"/>
      <c r="M34" s="4"/>
      <c r="N34" s="4">
        <v>0</v>
      </c>
      <c r="O34" s="4">
        <v>0</v>
      </c>
      <c r="P34" s="4">
        <v>0</v>
      </c>
      <c r="Q34" s="4">
        <v>0</v>
      </c>
      <c r="R34" s="4">
        <f>(17.5/2.5)*2</f>
        <v>14</v>
      </c>
      <c r="S34" s="4">
        <f>(17.5/2.5)*2</f>
        <v>14</v>
      </c>
      <c r="T34" s="4">
        <f>(7.5/2.5)*2</f>
        <v>6</v>
      </c>
      <c r="U34" s="4">
        <f>(20/2.5)*2</f>
        <v>16</v>
      </c>
      <c r="V34" s="4">
        <f t="shared" si="3"/>
        <v>0</v>
      </c>
      <c r="W34" s="4">
        <f t="shared" si="3"/>
        <v>0</v>
      </c>
      <c r="X34" s="4">
        <f t="shared" si="3"/>
        <v>0</v>
      </c>
      <c r="Y34" s="4">
        <f>(17.5/2.5)*2</f>
        <v>14</v>
      </c>
      <c r="Z34" s="4">
        <f>(17.5/2.5)*2</f>
        <v>14</v>
      </c>
      <c r="AA34" s="4">
        <f>(7.5/2.5)*2</f>
        <v>6</v>
      </c>
      <c r="AB34" s="4">
        <f>(32.5/2.5)*2</f>
        <v>26</v>
      </c>
      <c r="AC34" s="4">
        <f t="shared" si="4"/>
        <v>0</v>
      </c>
      <c r="AD34" s="4">
        <f t="shared" si="2"/>
        <v>0</v>
      </c>
      <c r="AE34" s="4">
        <f t="shared" si="2"/>
        <v>0</v>
      </c>
      <c r="AF34" s="4">
        <v>4</v>
      </c>
      <c r="AG34" s="57"/>
      <c r="AH34" s="57"/>
      <c r="AI34" s="57"/>
      <c r="AJ34" s="57"/>
      <c r="AK34" s="57"/>
      <c r="AM34">
        <v>34</v>
      </c>
    </row>
    <row r="35" spans="1:39" x14ac:dyDescent="0.25">
      <c r="A35" s="4" t="s">
        <v>364</v>
      </c>
      <c r="B35" s="41" t="s">
        <v>178</v>
      </c>
      <c r="C35" s="4">
        <v>168</v>
      </c>
      <c r="D35" s="4"/>
      <c r="E35" s="4"/>
      <c r="F35" s="4"/>
      <c r="G35" s="4"/>
      <c r="H35" s="4"/>
      <c r="I35" s="4">
        <v>150</v>
      </c>
      <c r="J35" s="4"/>
      <c r="K35" s="4"/>
      <c r="L35" s="4"/>
      <c r="M35" s="4"/>
      <c r="N35" s="4">
        <v>0</v>
      </c>
      <c r="O35" s="4">
        <v>0</v>
      </c>
      <c r="P35" s="4">
        <v>0</v>
      </c>
      <c r="Q35" s="4">
        <v>0</v>
      </c>
      <c r="R35" s="4">
        <f>(17.5/2.5)*2</f>
        <v>14</v>
      </c>
      <c r="S35" s="4">
        <f>(17.5/2.5)*2</f>
        <v>14</v>
      </c>
      <c r="T35" s="4">
        <f>(7.5/2.5)*2</f>
        <v>6</v>
      </c>
      <c r="U35" s="4">
        <f>(20/2.5)*2</f>
        <v>16</v>
      </c>
      <c r="V35" s="4">
        <f t="shared" si="3"/>
        <v>0</v>
      </c>
      <c r="W35" s="4">
        <f t="shared" si="3"/>
        <v>0</v>
      </c>
      <c r="X35" s="4">
        <f t="shared" si="3"/>
        <v>0</v>
      </c>
      <c r="Y35" s="4">
        <f>(17.5/2.5)*2</f>
        <v>14</v>
      </c>
      <c r="Z35" s="4">
        <f>(17.5/2.5)*2</f>
        <v>14</v>
      </c>
      <c r="AA35" s="4">
        <f>(7.5/2.5)*2</f>
        <v>6</v>
      </c>
      <c r="AB35" s="4">
        <f>(32.5/2.5)*2</f>
        <v>26</v>
      </c>
      <c r="AC35" s="4">
        <f t="shared" si="4"/>
        <v>0</v>
      </c>
      <c r="AD35" s="4">
        <f t="shared" si="2"/>
        <v>0</v>
      </c>
      <c r="AE35" s="4">
        <f t="shared" si="2"/>
        <v>0</v>
      </c>
      <c r="AF35" s="4">
        <v>4</v>
      </c>
      <c r="AG35" s="57"/>
      <c r="AH35" s="57"/>
      <c r="AI35" s="57"/>
      <c r="AJ35" s="57"/>
      <c r="AK35" s="57"/>
      <c r="AM35">
        <v>35</v>
      </c>
    </row>
    <row r="36" spans="1:39" x14ac:dyDescent="0.25">
      <c r="A36" s="4" t="s">
        <v>370</v>
      </c>
      <c r="B36" s="41" t="s">
        <v>178</v>
      </c>
      <c r="C36" s="4">
        <v>182</v>
      </c>
      <c r="D36" s="4"/>
      <c r="E36" s="4"/>
      <c r="F36" s="4"/>
      <c r="G36" s="4"/>
      <c r="H36" s="4">
        <v>60</v>
      </c>
      <c r="I36" s="4"/>
      <c r="J36" s="4"/>
      <c r="K36" s="4"/>
      <c r="L36" s="4"/>
      <c r="M36" s="4"/>
      <c r="N36" s="4">
        <v>0</v>
      </c>
      <c r="O36" s="4">
        <v>0</v>
      </c>
      <c r="P36" s="4">
        <v>0</v>
      </c>
      <c r="Q36" s="4">
        <v>0</v>
      </c>
      <c r="R36" s="4">
        <f>(12.5/2.5)*2</f>
        <v>10</v>
      </c>
      <c r="S36" s="4">
        <f>(12.5/2.5)*2</f>
        <v>10</v>
      </c>
      <c r="T36" s="4">
        <f>(20/2.5)*2</f>
        <v>16</v>
      </c>
      <c r="U36" s="4">
        <f>(17.5/2.5)*2</f>
        <v>14</v>
      </c>
      <c r="V36" s="4">
        <f t="shared" si="3"/>
        <v>0</v>
      </c>
      <c r="W36" s="4">
        <f t="shared" si="3"/>
        <v>0</v>
      </c>
      <c r="X36" s="4">
        <f t="shared" si="3"/>
        <v>0</v>
      </c>
      <c r="Y36" s="4">
        <f>(12.5/2.5)*2</f>
        <v>10</v>
      </c>
      <c r="Z36" s="4">
        <f>(12.5/2.5)*2</f>
        <v>10</v>
      </c>
      <c r="AA36" s="4">
        <f>(20/2.5)*2</f>
        <v>16</v>
      </c>
      <c r="AB36" s="4">
        <f>(30/2.5)*2</f>
        <v>24</v>
      </c>
      <c r="AC36" s="4">
        <f t="shared" si="4"/>
        <v>0</v>
      </c>
      <c r="AD36" s="4">
        <f t="shared" si="2"/>
        <v>0</v>
      </c>
      <c r="AE36" s="4">
        <f t="shared" si="2"/>
        <v>0</v>
      </c>
      <c r="AF36" s="4">
        <v>4</v>
      </c>
      <c r="AG36" s="57"/>
      <c r="AH36" s="57"/>
      <c r="AI36" s="57"/>
      <c r="AJ36" s="57"/>
      <c r="AK36" s="57"/>
      <c r="AM36">
        <v>36</v>
      </c>
    </row>
    <row r="37" spans="1:39" x14ac:dyDescent="0.25">
      <c r="A37" s="40" t="s">
        <v>268</v>
      </c>
      <c r="B37" s="41" t="s">
        <v>178</v>
      </c>
      <c r="C37" s="41">
        <v>196</v>
      </c>
      <c r="D37" s="41"/>
      <c r="E37" s="41"/>
      <c r="F37" s="41"/>
      <c r="G37" s="41"/>
      <c r="H37" s="41"/>
      <c r="I37" s="41"/>
      <c r="J37" s="41">
        <v>210</v>
      </c>
      <c r="K37" s="41"/>
      <c r="L37" s="41"/>
      <c r="M37" s="41"/>
      <c r="N37" s="41">
        <v>1</v>
      </c>
      <c r="O37" s="41">
        <v>0</v>
      </c>
      <c r="P37" s="41">
        <v>0</v>
      </c>
      <c r="Q37" s="41">
        <v>0</v>
      </c>
      <c r="R37" s="41">
        <f>(22.5/2.5)*2</f>
        <v>18</v>
      </c>
      <c r="S37" s="41">
        <f>(12.5/2.5)*2</f>
        <v>10</v>
      </c>
      <c r="T37" s="41">
        <f>(12.5/2.5)*2</f>
        <v>10</v>
      </c>
      <c r="U37" s="41">
        <f>(20/2.5)*2</f>
        <v>16</v>
      </c>
      <c r="V37" s="41">
        <f>(7.5/2.5)*2</f>
        <v>6</v>
      </c>
      <c r="W37" s="41">
        <f t="shared" ref="W37:X63" si="5">(0/2.5)*2</f>
        <v>0</v>
      </c>
      <c r="X37" s="41">
        <f t="shared" si="5"/>
        <v>0</v>
      </c>
      <c r="Y37" s="41">
        <f>(22.5/2.5)*2</f>
        <v>18</v>
      </c>
      <c r="Z37" s="41">
        <f>(12.5/2.5)*2</f>
        <v>10</v>
      </c>
      <c r="AA37" s="41">
        <f>(12.5/2.5)*2</f>
        <v>10</v>
      </c>
      <c r="AB37" s="41">
        <f>(20/2.5)*2</f>
        <v>16</v>
      </c>
      <c r="AC37" s="41">
        <f>(20/2.5)*2</f>
        <v>16</v>
      </c>
      <c r="AD37" s="41">
        <f t="shared" si="2"/>
        <v>0</v>
      </c>
      <c r="AE37" s="41">
        <f t="shared" si="2"/>
        <v>0</v>
      </c>
      <c r="AF37" s="41">
        <v>5</v>
      </c>
      <c r="AG37" s="56" t="s">
        <v>691</v>
      </c>
      <c r="AH37" s="56"/>
      <c r="AI37" s="56"/>
      <c r="AJ37" s="56"/>
      <c r="AK37" s="56"/>
      <c r="AM37">
        <v>37</v>
      </c>
    </row>
    <row r="38" spans="1:39" x14ac:dyDescent="0.25">
      <c r="A38" s="40" t="s">
        <v>276</v>
      </c>
      <c r="B38" s="41" t="s">
        <v>178</v>
      </c>
      <c r="C38" s="41">
        <v>224</v>
      </c>
      <c r="D38" s="41"/>
      <c r="E38" s="41"/>
      <c r="F38" s="41"/>
      <c r="G38" s="41"/>
      <c r="H38" s="41"/>
      <c r="I38" s="41"/>
      <c r="J38" s="41"/>
      <c r="K38" s="41"/>
      <c r="L38" s="41"/>
      <c r="M38" s="41">
        <v>120</v>
      </c>
      <c r="N38" s="41">
        <v>0</v>
      </c>
      <c r="O38" s="41">
        <v>1</v>
      </c>
      <c r="P38" s="41">
        <v>0</v>
      </c>
      <c r="Q38" s="41">
        <v>0</v>
      </c>
      <c r="R38" s="41">
        <f>(30/2.5)*2</f>
        <v>24</v>
      </c>
      <c r="S38" s="41">
        <f>(17.5/2.5)*2</f>
        <v>14</v>
      </c>
      <c r="T38" s="41">
        <f>(7.5/2.5)*2</f>
        <v>6</v>
      </c>
      <c r="U38" s="41">
        <f>(20/2.5)*2</f>
        <v>16</v>
      </c>
      <c r="V38" s="41">
        <f>(0/2.5)*2</f>
        <v>0</v>
      </c>
      <c r="W38" s="41">
        <f t="shared" si="5"/>
        <v>0</v>
      </c>
      <c r="X38" s="41">
        <f t="shared" si="5"/>
        <v>0</v>
      </c>
      <c r="Y38" s="41">
        <f>(30/2.5)*2</f>
        <v>24</v>
      </c>
      <c r="Z38" s="41">
        <f>(17.5/2.5)*2</f>
        <v>14</v>
      </c>
      <c r="AA38" s="41">
        <f>(7.5/2.5)*2</f>
        <v>6</v>
      </c>
      <c r="AB38" s="41">
        <f>(25/2.5)*2</f>
        <v>20</v>
      </c>
      <c r="AC38" s="41">
        <f>(7.5/2.5)*2</f>
        <v>6</v>
      </c>
      <c r="AD38" s="41">
        <f t="shared" si="2"/>
        <v>0</v>
      </c>
      <c r="AE38" s="41">
        <f t="shared" si="2"/>
        <v>0</v>
      </c>
      <c r="AF38" s="41">
        <v>5</v>
      </c>
      <c r="AG38" s="56" t="s">
        <v>691</v>
      </c>
      <c r="AH38" s="56"/>
      <c r="AI38" s="56"/>
      <c r="AJ38" s="56"/>
      <c r="AK38" s="56"/>
      <c r="AM38">
        <v>38</v>
      </c>
    </row>
    <row r="39" spans="1:39" x14ac:dyDescent="0.25">
      <c r="A39" s="40" t="s">
        <v>284</v>
      </c>
      <c r="B39" s="41" t="s">
        <v>178</v>
      </c>
      <c r="C39" s="41">
        <v>210</v>
      </c>
      <c r="D39" s="41">
        <v>20</v>
      </c>
      <c r="E39" s="41"/>
      <c r="F39" s="41"/>
      <c r="G39" s="41"/>
      <c r="H39" s="41"/>
      <c r="I39" s="41"/>
      <c r="J39" s="41"/>
      <c r="K39" s="41"/>
      <c r="L39" s="41">
        <v>90</v>
      </c>
      <c r="M39" s="41"/>
      <c r="N39" s="41">
        <v>0</v>
      </c>
      <c r="O39" s="41">
        <v>0</v>
      </c>
      <c r="P39" s="41">
        <v>0</v>
      </c>
      <c r="Q39" s="41">
        <v>0</v>
      </c>
      <c r="R39" s="41">
        <f>(22.5/2.5)*2</f>
        <v>18</v>
      </c>
      <c r="S39" s="41">
        <f>(12.5/2.5)*2</f>
        <v>10</v>
      </c>
      <c r="T39" s="41">
        <f>(12.5/2.5)*2</f>
        <v>10</v>
      </c>
      <c r="U39" s="41">
        <f>(20/2.5)*2</f>
        <v>16</v>
      </c>
      <c r="V39" s="41">
        <f>(7.5/2.5)*2</f>
        <v>6</v>
      </c>
      <c r="W39" s="41">
        <f t="shared" si="5"/>
        <v>0</v>
      </c>
      <c r="X39" s="41">
        <f t="shared" si="5"/>
        <v>0</v>
      </c>
      <c r="Y39" s="41">
        <f>(22.5/2.5)*2</f>
        <v>18</v>
      </c>
      <c r="Z39" s="41">
        <f>(12.5/2.5)*2</f>
        <v>10</v>
      </c>
      <c r="AA39" s="41">
        <f>(12.5/2.5)*2</f>
        <v>10</v>
      </c>
      <c r="AB39" s="41">
        <f>(20/2.5)*2</f>
        <v>16</v>
      </c>
      <c r="AC39" s="41">
        <f>(20/2.5)*2</f>
        <v>16</v>
      </c>
      <c r="AD39" s="41">
        <f t="shared" si="2"/>
        <v>0</v>
      </c>
      <c r="AE39" s="41">
        <f t="shared" si="2"/>
        <v>0</v>
      </c>
      <c r="AF39" s="41">
        <v>5</v>
      </c>
      <c r="AG39" s="56" t="s">
        <v>691</v>
      </c>
      <c r="AH39" s="56"/>
      <c r="AI39" s="56"/>
      <c r="AJ39" s="56"/>
      <c r="AK39" s="56"/>
      <c r="AM39">
        <v>39</v>
      </c>
    </row>
    <row r="40" spans="1:39" x14ac:dyDescent="0.25">
      <c r="A40" s="40" t="s">
        <v>291</v>
      </c>
      <c r="B40" s="41" t="s">
        <v>178</v>
      </c>
      <c r="C40" s="41">
        <v>238</v>
      </c>
      <c r="D40" s="41"/>
      <c r="E40" s="41"/>
      <c r="F40" s="41">
        <v>150</v>
      </c>
      <c r="G40" s="41"/>
      <c r="H40" s="41"/>
      <c r="I40" s="41"/>
      <c r="J40" s="41"/>
      <c r="K40" s="41"/>
      <c r="L40" s="41"/>
      <c r="M40" s="41"/>
      <c r="N40" s="41">
        <v>1</v>
      </c>
      <c r="O40" s="41">
        <v>0</v>
      </c>
      <c r="P40" s="41">
        <v>0</v>
      </c>
      <c r="Q40" s="41">
        <v>0</v>
      </c>
      <c r="R40" s="41">
        <f>(35/2.5)*2</f>
        <v>28</v>
      </c>
      <c r="S40" s="41">
        <f>(17.5/2.5)*2</f>
        <v>14</v>
      </c>
      <c r="T40" s="41">
        <f>(7.5/2.5)*2</f>
        <v>6</v>
      </c>
      <c r="U40" s="41">
        <f>(15/2.5)*2</f>
        <v>12</v>
      </c>
      <c r="V40" s="41">
        <f>(0/2.5)*2</f>
        <v>0</v>
      </c>
      <c r="W40" s="41">
        <f t="shared" si="5"/>
        <v>0</v>
      </c>
      <c r="X40" s="41">
        <f t="shared" si="5"/>
        <v>0</v>
      </c>
      <c r="Y40" s="41">
        <f>(35/2.5)*2</f>
        <v>28</v>
      </c>
      <c r="Z40" s="41">
        <f>(17.5/2.5)*2</f>
        <v>14</v>
      </c>
      <c r="AA40" s="41">
        <f>(7.5/2.5)*2</f>
        <v>6</v>
      </c>
      <c r="AB40" s="41">
        <f>(25/2.5)*2</f>
        <v>20</v>
      </c>
      <c r="AC40" s="41">
        <f>(2.5/2.5)*2</f>
        <v>2</v>
      </c>
      <c r="AD40" s="41">
        <f t="shared" si="2"/>
        <v>0</v>
      </c>
      <c r="AE40" s="41">
        <f t="shared" si="2"/>
        <v>0</v>
      </c>
      <c r="AF40" s="41">
        <v>5</v>
      </c>
      <c r="AG40" s="56"/>
      <c r="AH40" s="56"/>
      <c r="AI40" s="56"/>
      <c r="AJ40" s="56"/>
      <c r="AK40" s="56"/>
      <c r="AM40">
        <v>40</v>
      </c>
    </row>
    <row r="41" spans="1:39" x14ac:dyDescent="0.25">
      <c r="A41" s="40" t="s">
        <v>299</v>
      </c>
      <c r="B41" s="41" t="s">
        <v>178</v>
      </c>
      <c r="C41" s="41">
        <v>224</v>
      </c>
      <c r="D41" s="41">
        <v>10</v>
      </c>
      <c r="E41" s="41"/>
      <c r="F41" s="41"/>
      <c r="G41" s="41">
        <v>90</v>
      </c>
      <c r="H41" s="41"/>
      <c r="I41" s="41"/>
      <c r="J41" s="41"/>
      <c r="K41" s="41"/>
      <c r="L41" s="41"/>
      <c r="M41" s="41"/>
      <c r="N41" s="41">
        <v>1</v>
      </c>
      <c r="O41" s="41">
        <v>0</v>
      </c>
      <c r="P41" s="41">
        <v>0</v>
      </c>
      <c r="Q41" s="41">
        <v>0</v>
      </c>
      <c r="R41" s="41">
        <f>(25/2.5)*2</f>
        <v>20</v>
      </c>
      <c r="S41" s="41">
        <f>(25/2.5)*2</f>
        <v>20</v>
      </c>
      <c r="T41" s="41">
        <f>(10/2.5)*2</f>
        <v>8</v>
      </c>
      <c r="U41" s="41">
        <f>(10/2.5)*2</f>
        <v>8</v>
      </c>
      <c r="V41" s="41">
        <f>(5/2.5)*2</f>
        <v>4</v>
      </c>
      <c r="W41" s="41">
        <f t="shared" si="5"/>
        <v>0</v>
      </c>
      <c r="X41" s="41">
        <f t="shared" si="5"/>
        <v>0</v>
      </c>
      <c r="Y41" s="41">
        <f>(25/2.5)*2</f>
        <v>20</v>
      </c>
      <c r="Z41" s="41">
        <f>(25/2.5)*2</f>
        <v>20</v>
      </c>
      <c r="AA41" s="41">
        <f>(10/2.5)*2</f>
        <v>8</v>
      </c>
      <c r="AB41" s="41">
        <f>(10/2.5)*2</f>
        <v>8</v>
      </c>
      <c r="AC41" s="41">
        <f>(17.5/2.5)*2</f>
        <v>14</v>
      </c>
      <c r="AD41" s="41">
        <f t="shared" si="2"/>
        <v>0</v>
      </c>
      <c r="AE41" s="41">
        <f t="shared" si="2"/>
        <v>0</v>
      </c>
      <c r="AF41" s="41">
        <v>5</v>
      </c>
      <c r="AG41" s="56"/>
      <c r="AH41" s="56"/>
      <c r="AI41" s="56"/>
      <c r="AJ41" s="56"/>
      <c r="AK41" s="56"/>
      <c r="AM41">
        <v>41</v>
      </c>
    </row>
    <row r="42" spans="1:39" x14ac:dyDescent="0.25">
      <c r="A42" s="40" t="s">
        <v>306</v>
      </c>
      <c r="B42" s="41" t="s">
        <v>178</v>
      </c>
      <c r="C42" s="41">
        <v>238</v>
      </c>
      <c r="D42" s="41">
        <v>-20</v>
      </c>
      <c r="E42" s="41">
        <v>150</v>
      </c>
      <c r="F42" s="41"/>
      <c r="G42" s="41"/>
      <c r="H42" s="41"/>
      <c r="I42" s="41"/>
      <c r="J42" s="41"/>
      <c r="K42" s="41"/>
      <c r="L42" s="41"/>
      <c r="M42" s="41"/>
      <c r="N42" s="41">
        <v>0</v>
      </c>
      <c r="O42" s="41">
        <v>0</v>
      </c>
      <c r="P42" s="41">
        <v>0</v>
      </c>
      <c r="Q42" s="41">
        <v>0</v>
      </c>
      <c r="R42" s="41">
        <f>(35/2.5)*2</f>
        <v>28</v>
      </c>
      <c r="S42" s="41">
        <f>(17.5/2.5)*2</f>
        <v>14</v>
      </c>
      <c r="T42" s="41">
        <f>(7.5/2.5)*2</f>
        <v>6</v>
      </c>
      <c r="U42" s="41">
        <f>(15/2.5)*2</f>
        <v>12</v>
      </c>
      <c r="V42" s="41">
        <f>(0/2.5)*2</f>
        <v>0</v>
      </c>
      <c r="W42" s="41">
        <f t="shared" si="5"/>
        <v>0</v>
      </c>
      <c r="X42" s="41">
        <f t="shared" si="5"/>
        <v>0</v>
      </c>
      <c r="Y42" s="41">
        <f>(35/2.5)*2</f>
        <v>28</v>
      </c>
      <c r="Z42" s="41">
        <f>(17.5/2.5)*2</f>
        <v>14</v>
      </c>
      <c r="AA42" s="41">
        <f>(7.5/2.5)*2</f>
        <v>6</v>
      </c>
      <c r="AB42" s="41">
        <f>(25/2.5)*2</f>
        <v>20</v>
      </c>
      <c r="AC42" s="41">
        <f>(2.5/2.5)*2</f>
        <v>2</v>
      </c>
      <c r="AD42" s="41">
        <f t="shared" si="2"/>
        <v>0</v>
      </c>
      <c r="AE42" s="41">
        <f t="shared" si="2"/>
        <v>0</v>
      </c>
      <c r="AF42" s="41">
        <v>5</v>
      </c>
      <c r="AG42" s="56"/>
      <c r="AH42" s="56"/>
      <c r="AI42" s="56"/>
      <c r="AJ42" s="56"/>
      <c r="AK42" s="56"/>
      <c r="AM42">
        <v>42</v>
      </c>
    </row>
    <row r="43" spans="1:39" x14ac:dyDescent="0.25">
      <c r="A43" s="40" t="s">
        <v>316</v>
      </c>
      <c r="B43" s="41" t="s">
        <v>178</v>
      </c>
      <c r="C43" s="41">
        <v>196</v>
      </c>
      <c r="D43" s="41"/>
      <c r="E43" s="41"/>
      <c r="F43" s="41"/>
      <c r="G43" s="41"/>
      <c r="H43" s="41"/>
      <c r="I43" s="41"/>
      <c r="J43" s="41"/>
      <c r="K43" s="41">
        <v>90</v>
      </c>
      <c r="L43" s="41"/>
      <c r="M43" s="41"/>
      <c r="N43" s="41">
        <v>0</v>
      </c>
      <c r="O43" s="41">
        <v>1</v>
      </c>
      <c r="P43" s="41">
        <v>0</v>
      </c>
      <c r="Q43" s="41">
        <v>0</v>
      </c>
      <c r="R43" s="41">
        <f>(22.5/2.5)*2</f>
        <v>18</v>
      </c>
      <c r="S43" s="41">
        <f>(25/2.5)*2</f>
        <v>20</v>
      </c>
      <c r="T43" s="41">
        <f>(10/2.5)*2</f>
        <v>8</v>
      </c>
      <c r="U43" s="41">
        <f>(10/2.5)*2</f>
        <v>8</v>
      </c>
      <c r="V43" s="41">
        <f>(7.5/2.5)*2</f>
        <v>6</v>
      </c>
      <c r="W43" s="41">
        <f t="shared" si="5"/>
        <v>0</v>
      </c>
      <c r="X43" s="41">
        <f t="shared" si="5"/>
        <v>0</v>
      </c>
      <c r="Y43" s="41">
        <f>(22.5/2.5)*2</f>
        <v>18</v>
      </c>
      <c r="Z43" s="41">
        <f>(25/2.5)*2</f>
        <v>20</v>
      </c>
      <c r="AA43" s="41">
        <f>(10/2.5)*2</f>
        <v>8</v>
      </c>
      <c r="AB43" s="41">
        <f>(10/2.5)*2</f>
        <v>8</v>
      </c>
      <c r="AC43" s="41">
        <f>(20/2.5)*2</f>
        <v>16</v>
      </c>
      <c r="AD43" s="41">
        <f t="shared" si="2"/>
        <v>0</v>
      </c>
      <c r="AE43" s="41">
        <f t="shared" si="2"/>
        <v>0</v>
      </c>
      <c r="AF43" s="41">
        <v>5</v>
      </c>
      <c r="AG43" s="56" t="s">
        <v>691</v>
      </c>
      <c r="AH43" s="56"/>
      <c r="AI43" s="56"/>
      <c r="AJ43" s="56"/>
      <c r="AK43" s="56"/>
      <c r="AM43">
        <v>43</v>
      </c>
    </row>
    <row r="44" spans="1:39" x14ac:dyDescent="0.25">
      <c r="A44" s="40" t="s">
        <v>323</v>
      </c>
      <c r="B44" s="41" t="s">
        <v>178</v>
      </c>
      <c r="C44" s="41">
        <v>224</v>
      </c>
      <c r="D44" s="41"/>
      <c r="E44" s="41"/>
      <c r="F44" s="41"/>
      <c r="G44" s="41">
        <v>120</v>
      </c>
      <c r="H44" s="41"/>
      <c r="I44" s="41"/>
      <c r="J44" s="41"/>
      <c r="K44" s="41"/>
      <c r="L44" s="41"/>
      <c r="M44" s="41"/>
      <c r="N44" s="41">
        <v>1</v>
      </c>
      <c r="O44" s="41">
        <v>0</v>
      </c>
      <c r="P44" s="41">
        <v>0</v>
      </c>
      <c r="Q44" s="41">
        <v>0</v>
      </c>
      <c r="R44" s="41">
        <f>(25/2.5)*2</f>
        <v>20</v>
      </c>
      <c r="S44" s="41">
        <f>(12.5/2.5)*2</f>
        <v>10</v>
      </c>
      <c r="T44" s="41">
        <f>(12.5/2.5)*2</f>
        <v>10</v>
      </c>
      <c r="U44" s="41">
        <f>(20/2.5)*2</f>
        <v>16</v>
      </c>
      <c r="V44" s="41">
        <f>(5/2.5)*2</f>
        <v>4</v>
      </c>
      <c r="W44" s="41">
        <f t="shared" si="5"/>
        <v>0</v>
      </c>
      <c r="X44" s="41">
        <f t="shared" si="5"/>
        <v>0</v>
      </c>
      <c r="Y44" s="41">
        <f>(25/2.5)*2</f>
        <v>20</v>
      </c>
      <c r="Z44" s="41">
        <f>(12.5/2.5)*2</f>
        <v>10</v>
      </c>
      <c r="AA44" s="41">
        <f>(12.5/2.5)*2</f>
        <v>10</v>
      </c>
      <c r="AB44" s="41">
        <f>(20/2.5)*2</f>
        <v>16</v>
      </c>
      <c r="AC44" s="41">
        <f>(17.5/2.5)*2</f>
        <v>14</v>
      </c>
      <c r="AD44" s="41">
        <f t="shared" si="2"/>
        <v>0</v>
      </c>
      <c r="AE44" s="41">
        <f t="shared" si="2"/>
        <v>0</v>
      </c>
      <c r="AF44" s="41">
        <v>5</v>
      </c>
      <c r="AG44" s="56" t="s">
        <v>691</v>
      </c>
      <c r="AH44" s="56"/>
      <c r="AI44" s="56"/>
      <c r="AJ44" s="56"/>
      <c r="AK44" s="56"/>
      <c r="AM44">
        <v>44</v>
      </c>
    </row>
    <row r="45" spans="1:39" x14ac:dyDescent="0.25">
      <c r="A45" s="4" t="s">
        <v>329</v>
      </c>
      <c r="B45" s="41" t="s">
        <v>178</v>
      </c>
      <c r="C45" s="4">
        <v>196</v>
      </c>
      <c r="D45" s="4">
        <v>20</v>
      </c>
      <c r="E45" s="4">
        <v>180</v>
      </c>
      <c r="F45" s="4"/>
      <c r="G45" s="4"/>
      <c r="H45" s="4"/>
      <c r="I45" s="4"/>
      <c r="J45" s="4"/>
      <c r="K45" s="4"/>
      <c r="L45" s="4"/>
      <c r="M45" s="4"/>
      <c r="N45" s="4">
        <v>0</v>
      </c>
      <c r="O45" s="4">
        <v>0</v>
      </c>
      <c r="P45" s="4">
        <v>0</v>
      </c>
      <c r="Q45" s="4">
        <v>0</v>
      </c>
      <c r="R45" s="4">
        <f>(22.5/2.5)*2</f>
        <v>18</v>
      </c>
      <c r="S45" s="4">
        <f>(25/2.5)*2</f>
        <v>20</v>
      </c>
      <c r="T45" s="4">
        <f>(10/2.5)*2</f>
        <v>8</v>
      </c>
      <c r="U45" s="4">
        <f>(10/2.5)*2</f>
        <v>8</v>
      </c>
      <c r="V45" s="4">
        <f>(7.5/2.5)*2</f>
        <v>6</v>
      </c>
      <c r="W45" s="4">
        <f t="shared" si="5"/>
        <v>0</v>
      </c>
      <c r="X45" s="4">
        <f t="shared" si="5"/>
        <v>0</v>
      </c>
      <c r="Y45" s="4">
        <f>(22.5/2.5)*2</f>
        <v>18</v>
      </c>
      <c r="Z45" s="4">
        <f>(25/2.5)*2</f>
        <v>20</v>
      </c>
      <c r="AA45" s="4">
        <f>(10/2.5)*2</f>
        <v>8</v>
      </c>
      <c r="AB45" s="4">
        <f>(10/2.5)*2</f>
        <v>8</v>
      </c>
      <c r="AC45" s="4">
        <f>(20/2.5)*2</f>
        <v>16</v>
      </c>
      <c r="AD45" s="4">
        <f t="shared" si="2"/>
        <v>0</v>
      </c>
      <c r="AE45" s="4">
        <f t="shared" si="2"/>
        <v>0</v>
      </c>
      <c r="AF45" s="4">
        <v>5</v>
      </c>
      <c r="AG45" s="56" t="s">
        <v>691</v>
      </c>
      <c r="AH45" s="56"/>
      <c r="AI45" s="56"/>
      <c r="AJ45" s="56"/>
      <c r="AK45" s="56"/>
      <c r="AM45">
        <v>45</v>
      </c>
    </row>
    <row r="46" spans="1:39" x14ac:dyDescent="0.25">
      <c r="A46" s="4" t="s">
        <v>338</v>
      </c>
      <c r="B46" s="41" t="s">
        <v>178</v>
      </c>
      <c r="C46" s="4">
        <v>266</v>
      </c>
      <c r="D46" s="4">
        <v>-10</v>
      </c>
      <c r="E46" s="4"/>
      <c r="F46" s="4"/>
      <c r="G46" s="4"/>
      <c r="H46" s="4">
        <v>90</v>
      </c>
      <c r="I46" s="4"/>
      <c r="J46" s="4"/>
      <c r="K46" s="4"/>
      <c r="L46" s="4"/>
      <c r="M46" s="4"/>
      <c r="N46" s="4">
        <v>0</v>
      </c>
      <c r="O46" s="4">
        <v>1</v>
      </c>
      <c r="P46" s="4">
        <v>0</v>
      </c>
      <c r="Q46" s="4">
        <v>0</v>
      </c>
      <c r="R46" s="4">
        <f>(35/2.5)*2</f>
        <v>28</v>
      </c>
      <c r="S46" s="4">
        <f>(17.5/2.5)*2</f>
        <v>14</v>
      </c>
      <c r="T46" s="4">
        <f>(7.5/2.5)*2</f>
        <v>6</v>
      </c>
      <c r="U46" s="4">
        <f>(15/2.5)*2</f>
        <v>12</v>
      </c>
      <c r="V46" s="4">
        <f>(0/2.5)*2</f>
        <v>0</v>
      </c>
      <c r="W46" s="4">
        <f t="shared" si="5"/>
        <v>0</v>
      </c>
      <c r="X46" s="4">
        <f t="shared" si="5"/>
        <v>0</v>
      </c>
      <c r="Y46" s="4">
        <f>(35/2.5)*2</f>
        <v>28</v>
      </c>
      <c r="Z46" s="4">
        <f>(17.5/2.5)*2</f>
        <v>14</v>
      </c>
      <c r="AA46" s="4">
        <f>(7.5/2.5)*2</f>
        <v>6</v>
      </c>
      <c r="AB46" s="4">
        <f>(25/2.5)*2</f>
        <v>20</v>
      </c>
      <c r="AC46" s="4">
        <f>(2.5/2.5)*2</f>
        <v>2</v>
      </c>
      <c r="AD46" s="4">
        <f t="shared" si="2"/>
        <v>0</v>
      </c>
      <c r="AE46" s="4">
        <f t="shared" si="2"/>
        <v>0</v>
      </c>
      <c r="AF46" s="4">
        <v>5</v>
      </c>
      <c r="AG46" s="57" t="s">
        <v>691</v>
      </c>
      <c r="AH46" s="57"/>
      <c r="AI46" s="57"/>
      <c r="AJ46" s="57"/>
      <c r="AK46" s="57"/>
      <c r="AM46">
        <v>46</v>
      </c>
    </row>
    <row r="47" spans="1:39" x14ac:dyDescent="0.25">
      <c r="A47" s="4" t="s">
        <v>360</v>
      </c>
      <c r="B47" s="41" t="s">
        <v>178</v>
      </c>
      <c r="C47" s="4">
        <v>224</v>
      </c>
      <c r="D47" s="4">
        <v>-20</v>
      </c>
      <c r="E47" s="4"/>
      <c r="F47" s="4"/>
      <c r="G47" s="4"/>
      <c r="H47" s="4"/>
      <c r="I47" s="4"/>
      <c r="J47" s="4"/>
      <c r="K47" s="4"/>
      <c r="L47" s="4"/>
      <c r="M47" s="4">
        <v>180</v>
      </c>
      <c r="N47" s="4">
        <v>0</v>
      </c>
      <c r="O47" s="4">
        <v>1</v>
      </c>
      <c r="P47" s="4">
        <v>0</v>
      </c>
      <c r="Q47" s="4">
        <v>0</v>
      </c>
      <c r="R47" s="4">
        <f>(27.5/2.5)*2</f>
        <v>22</v>
      </c>
      <c r="S47" s="4">
        <f>(12.5/2.5)*2</f>
        <v>10</v>
      </c>
      <c r="T47" s="4">
        <f>(20/2.5)*2</f>
        <v>16</v>
      </c>
      <c r="U47" s="4">
        <f>(15/2.5)*2</f>
        <v>12</v>
      </c>
      <c r="V47" s="4">
        <f>(0/2.5)*2</f>
        <v>0</v>
      </c>
      <c r="W47" s="4">
        <f t="shared" si="5"/>
        <v>0</v>
      </c>
      <c r="X47" s="4">
        <f t="shared" si="5"/>
        <v>0</v>
      </c>
      <c r="Y47" s="4">
        <f>(27.5/2.5)*2</f>
        <v>22</v>
      </c>
      <c r="Z47" s="4">
        <f>(12.5/2.5)*2</f>
        <v>10</v>
      </c>
      <c r="AA47" s="4">
        <f>(20/2.5)*2</f>
        <v>16</v>
      </c>
      <c r="AB47" s="4">
        <f>(25/2.5)*2</f>
        <v>20</v>
      </c>
      <c r="AC47" s="4">
        <f>(2.5/2.5)*2</f>
        <v>2</v>
      </c>
      <c r="AD47" s="4">
        <f t="shared" si="2"/>
        <v>0</v>
      </c>
      <c r="AE47" s="4">
        <f t="shared" si="2"/>
        <v>0</v>
      </c>
      <c r="AF47" s="4">
        <v>5</v>
      </c>
      <c r="AG47" s="57"/>
      <c r="AH47" s="57"/>
      <c r="AI47" s="57"/>
      <c r="AJ47" s="57"/>
      <c r="AK47" s="57"/>
      <c r="AM47">
        <v>47</v>
      </c>
    </row>
    <row r="48" spans="1:39" x14ac:dyDescent="0.25">
      <c r="A48" s="4" t="s">
        <v>368</v>
      </c>
      <c r="B48" s="41" t="s">
        <v>178</v>
      </c>
      <c r="C48" s="4">
        <v>140</v>
      </c>
      <c r="D48" s="4"/>
      <c r="E48" s="4"/>
      <c r="F48" s="4"/>
      <c r="G48" s="4"/>
      <c r="H48" s="4"/>
      <c r="I48" s="4">
        <v>90</v>
      </c>
      <c r="J48" s="4"/>
      <c r="K48" s="4"/>
      <c r="L48" s="4"/>
      <c r="M48" s="4"/>
      <c r="N48" s="4">
        <v>0</v>
      </c>
      <c r="O48" s="4">
        <v>0</v>
      </c>
      <c r="P48" s="4">
        <v>0</v>
      </c>
      <c r="Q48" s="4">
        <v>0</v>
      </c>
      <c r="R48" s="4">
        <f>(37.5/2.5)*2</f>
        <v>30</v>
      </c>
      <c r="S48" s="4">
        <f>(27.5/2.5)*2</f>
        <v>22</v>
      </c>
      <c r="T48" s="4">
        <f>(10/2.5)*2</f>
        <v>8</v>
      </c>
      <c r="U48" s="4">
        <f>(0/2.5)*2</f>
        <v>0</v>
      </c>
      <c r="V48" s="4">
        <f>(0/2.5)*2</f>
        <v>0</v>
      </c>
      <c r="W48" s="4">
        <f t="shared" si="5"/>
        <v>0</v>
      </c>
      <c r="X48" s="4">
        <f t="shared" si="5"/>
        <v>0</v>
      </c>
      <c r="Y48" s="4">
        <f>(37.5/2.5)*2</f>
        <v>30</v>
      </c>
      <c r="Z48" s="4">
        <f>(27.5/2.5)*2</f>
        <v>22</v>
      </c>
      <c r="AA48" s="4">
        <f>(10/2.5)*2</f>
        <v>8</v>
      </c>
      <c r="AB48" s="4">
        <f>(10/2.5)*2</f>
        <v>8</v>
      </c>
      <c r="AC48" s="4">
        <f>(2.5/2.5)*2</f>
        <v>2</v>
      </c>
      <c r="AD48" s="4">
        <f t="shared" si="2"/>
        <v>0</v>
      </c>
      <c r="AE48" s="4">
        <f t="shared" si="2"/>
        <v>0</v>
      </c>
      <c r="AF48" s="4">
        <v>5</v>
      </c>
      <c r="AG48" s="57"/>
      <c r="AH48" s="57"/>
      <c r="AI48" s="57"/>
      <c r="AJ48" s="57"/>
      <c r="AK48" s="57"/>
      <c r="AM48">
        <v>48</v>
      </c>
    </row>
    <row r="49" spans="1:39" x14ac:dyDescent="0.25">
      <c r="A49" s="4" t="s">
        <v>371</v>
      </c>
      <c r="B49" s="41" t="s">
        <v>178</v>
      </c>
      <c r="C49" s="4">
        <v>210</v>
      </c>
      <c r="D49" s="4"/>
      <c r="E49" s="4"/>
      <c r="F49" s="4"/>
      <c r="G49" s="4"/>
      <c r="H49" s="4">
        <v>90</v>
      </c>
      <c r="I49" s="4"/>
      <c r="J49" s="4"/>
      <c r="K49" s="4"/>
      <c r="L49" s="4"/>
      <c r="M49" s="4"/>
      <c r="N49" s="4">
        <v>0</v>
      </c>
      <c r="O49" s="4">
        <v>1</v>
      </c>
      <c r="P49" s="4">
        <v>0</v>
      </c>
      <c r="Q49" s="4">
        <v>0</v>
      </c>
      <c r="R49" s="4">
        <f>(25/2.5)*2</f>
        <v>20</v>
      </c>
      <c r="S49" s="4">
        <f t="shared" ref="S49:T52" si="6">(12.5/2.5)*2</f>
        <v>10</v>
      </c>
      <c r="T49" s="4">
        <f t="shared" si="6"/>
        <v>10</v>
      </c>
      <c r="U49" s="4">
        <f>(20/2.5)*2</f>
        <v>16</v>
      </c>
      <c r="V49" s="4">
        <f>(5/2.5)*2</f>
        <v>4</v>
      </c>
      <c r="W49" s="4">
        <f t="shared" si="5"/>
        <v>0</v>
      </c>
      <c r="X49" s="4">
        <f t="shared" si="5"/>
        <v>0</v>
      </c>
      <c r="Y49" s="4">
        <f>(25/2.5)*2</f>
        <v>20</v>
      </c>
      <c r="Z49" s="4">
        <f t="shared" ref="Z49:AA52" si="7">(12.5/2.5)*2</f>
        <v>10</v>
      </c>
      <c r="AA49" s="4">
        <f t="shared" si="7"/>
        <v>10</v>
      </c>
      <c r="AB49" s="4">
        <f>(20/2.5)*2</f>
        <v>16</v>
      </c>
      <c r="AC49" s="4">
        <f>(17.5/2.5)*2</f>
        <v>14</v>
      </c>
      <c r="AD49" s="4">
        <f t="shared" si="2"/>
        <v>0</v>
      </c>
      <c r="AE49" s="4">
        <f t="shared" si="2"/>
        <v>0</v>
      </c>
      <c r="AF49" s="4">
        <v>5</v>
      </c>
      <c r="AG49" s="57"/>
      <c r="AH49" s="57"/>
      <c r="AI49" s="57"/>
      <c r="AJ49" s="57"/>
      <c r="AK49" s="57"/>
      <c r="AM49">
        <v>49</v>
      </c>
    </row>
    <row r="50" spans="1:39" x14ac:dyDescent="0.25">
      <c r="A50" s="4" t="s">
        <v>377</v>
      </c>
      <c r="B50" s="41" t="s">
        <v>178</v>
      </c>
      <c r="C50" s="4">
        <v>210</v>
      </c>
      <c r="D50" s="4"/>
      <c r="E50" s="4"/>
      <c r="F50" s="4">
        <v>90</v>
      </c>
      <c r="G50" s="4"/>
      <c r="H50" s="4"/>
      <c r="I50" s="4"/>
      <c r="J50" s="4"/>
      <c r="K50" s="4"/>
      <c r="L50" s="4"/>
      <c r="M50" s="4"/>
      <c r="N50" s="4">
        <v>0</v>
      </c>
      <c r="O50" s="4">
        <v>1</v>
      </c>
      <c r="P50" s="4">
        <v>0</v>
      </c>
      <c r="Q50" s="4">
        <v>0</v>
      </c>
      <c r="R50" s="4">
        <f>(22.5/2.5)*2</f>
        <v>18</v>
      </c>
      <c r="S50" s="4">
        <f t="shared" si="6"/>
        <v>10</v>
      </c>
      <c r="T50" s="4">
        <f t="shared" si="6"/>
        <v>10</v>
      </c>
      <c r="U50" s="4">
        <f>(20/2.5)*2</f>
        <v>16</v>
      </c>
      <c r="V50" s="4">
        <f>(7.5/2.5)*2</f>
        <v>6</v>
      </c>
      <c r="W50" s="4">
        <f t="shared" si="5"/>
        <v>0</v>
      </c>
      <c r="X50" s="4">
        <f t="shared" si="5"/>
        <v>0</v>
      </c>
      <c r="Y50" s="4">
        <f>(22.5/2.5)*2</f>
        <v>18</v>
      </c>
      <c r="Z50" s="4">
        <f t="shared" si="7"/>
        <v>10</v>
      </c>
      <c r="AA50" s="4">
        <f t="shared" si="7"/>
        <v>10</v>
      </c>
      <c r="AB50" s="4">
        <f>(20/2.5)*2</f>
        <v>16</v>
      </c>
      <c r="AC50" s="4">
        <f>(20/2.5)*2</f>
        <v>16</v>
      </c>
      <c r="AD50" s="4">
        <f t="shared" si="2"/>
        <v>0</v>
      </c>
      <c r="AE50" s="4">
        <f t="shared" si="2"/>
        <v>0</v>
      </c>
      <c r="AF50" s="4">
        <v>5</v>
      </c>
      <c r="AG50" s="57"/>
      <c r="AH50" s="57"/>
      <c r="AI50" s="57"/>
      <c r="AJ50" s="57"/>
      <c r="AK50" s="57"/>
      <c r="AM50">
        <v>50</v>
      </c>
    </row>
    <row r="51" spans="1:39" x14ac:dyDescent="0.25">
      <c r="A51" s="4" t="s">
        <v>397</v>
      </c>
      <c r="B51" s="41" t="s">
        <v>178</v>
      </c>
      <c r="C51" s="4">
        <v>266</v>
      </c>
      <c r="D51" s="4"/>
      <c r="E51" s="4"/>
      <c r="F51" s="4"/>
      <c r="G51" s="4"/>
      <c r="H51" s="4"/>
      <c r="I51" s="4"/>
      <c r="J51" s="4"/>
      <c r="K51" s="4"/>
      <c r="L51" s="4"/>
      <c r="M51" s="4">
        <v>180</v>
      </c>
      <c r="N51" s="4">
        <v>0</v>
      </c>
      <c r="O51" s="4">
        <v>0</v>
      </c>
      <c r="P51" s="4">
        <v>0</v>
      </c>
      <c r="Q51" s="4">
        <v>0</v>
      </c>
      <c r="R51" s="4">
        <f>(12.5/2.5)*2</f>
        <v>10</v>
      </c>
      <c r="S51" s="4">
        <f t="shared" si="6"/>
        <v>10</v>
      </c>
      <c r="T51" s="4">
        <f t="shared" si="6"/>
        <v>10</v>
      </c>
      <c r="U51" s="4">
        <f>(20/2.5)*2</f>
        <v>16</v>
      </c>
      <c r="V51" s="4">
        <f>(17.5/2.5)*2</f>
        <v>14</v>
      </c>
      <c r="W51" s="4">
        <f t="shared" si="5"/>
        <v>0</v>
      </c>
      <c r="X51" s="4">
        <f t="shared" si="5"/>
        <v>0</v>
      </c>
      <c r="Y51" s="4">
        <f>(12.5/2.5)*2</f>
        <v>10</v>
      </c>
      <c r="Z51" s="4">
        <f t="shared" si="7"/>
        <v>10</v>
      </c>
      <c r="AA51" s="4">
        <f t="shared" si="7"/>
        <v>10</v>
      </c>
      <c r="AB51" s="4">
        <f>(20/2.5)*2</f>
        <v>16</v>
      </c>
      <c r="AC51" s="4">
        <f>(30/2.5)*2</f>
        <v>24</v>
      </c>
      <c r="AD51" s="4">
        <f t="shared" si="2"/>
        <v>0</v>
      </c>
      <c r="AE51" s="4">
        <f t="shared" si="2"/>
        <v>0</v>
      </c>
      <c r="AF51" s="4">
        <v>5</v>
      </c>
      <c r="AG51" s="57"/>
      <c r="AH51" s="57"/>
      <c r="AI51" s="57"/>
      <c r="AJ51" s="57"/>
      <c r="AK51" s="57"/>
      <c r="AM51">
        <v>51</v>
      </c>
    </row>
    <row r="52" spans="1:39" x14ac:dyDescent="0.25">
      <c r="A52" s="40" t="s">
        <v>269</v>
      </c>
      <c r="B52" s="41" t="s">
        <v>178</v>
      </c>
      <c r="C52" s="41">
        <v>224</v>
      </c>
      <c r="D52" s="41"/>
      <c r="E52" s="41"/>
      <c r="F52" s="41"/>
      <c r="G52" s="41"/>
      <c r="H52" s="41"/>
      <c r="I52" s="41"/>
      <c r="J52" s="41">
        <v>240</v>
      </c>
      <c r="K52" s="41"/>
      <c r="L52" s="41"/>
      <c r="M52" s="41"/>
      <c r="N52" s="41">
        <v>1</v>
      </c>
      <c r="O52" s="41">
        <v>0</v>
      </c>
      <c r="P52" s="41">
        <v>0</v>
      </c>
      <c r="Q52" s="41">
        <v>0</v>
      </c>
      <c r="R52" s="41">
        <f>(20/2.5)*2</f>
        <v>16</v>
      </c>
      <c r="S52" s="41">
        <f t="shared" si="6"/>
        <v>10</v>
      </c>
      <c r="T52" s="41">
        <f t="shared" si="6"/>
        <v>10</v>
      </c>
      <c r="U52" s="41">
        <f>(20/2.5)*2</f>
        <v>16</v>
      </c>
      <c r="V52" s="41">
        <f>(10/2.5)*2</f>
        <v>8</v>
      </c>
      <c r="W52" s="41">
        <f t="shared" si="5"/>
        <v>0</v>
      </c>
      <c r="X52" s="41">
        <f t="shared" si="5"/>
        <v>0</v>
      </c>
      <c r="Y52" s="41">
        <f>(20/2.5)*2</f>
        <v>16</v>
      </c>
      <c r="Z52" s="41">
        <f t="shared" si="7"/>
        <v>10</v>
      </c>
      <c r="AA52" s="41">
        <f t="shared" si="7"/>
        <v>10</v>
      </c>
      <c r="AB52" s="41">
        <f>(20/2.5)*2</f>
        <v>16</v>
      </c>
      <c r="AC52" s="41">
        <f>(22.5/2.5)*2</f>
        <v>18</v>
      </c>
      <c r="AD52" s="41">
        <f t="shared" si="2"/>
        <v>0</v>
      </c>
      <c r="AE52" s="41">
        <f t="shared" si="2"/>
        <v>0</v>
      </c>
      <c r="AF52" s="41">
        <v>6</v>
      </c>
      <c r="AG52" s="56" t="s">
        <v>691</v>
      </c>
      <c r="AH52" s="56"/>
      <c r="AI52" s="56"/>
      <c r="AJ52" s="56"/>
      <c r="AK52" s="56"/>
      <c r="AM52">
        <v>52</v>
      </c>
    </row>
    <row r="53" spans="1:39" x14ac:dyDescent="0.25">
      <c r="A53" s="40" t="s">
        <v>270</v>
      </c>
      <c r="B53" s="41" t="s">
        <v>178</v>
      </c>
      <c r="C53" s="41">
        <v>252</v>
      </c>
      <c r="D53" s="41"/>
      <c r="E53" s="41"/>
      <c r="F53" s="41"/>
      <c r="G53" s="41"/>
      <c r="H53" s="41"/>
      <c r="I53" s="41"/>
      <c r="J53" s="41">
        <v>270</v>
      </c>
      <c r="K53" s="41"/>
      <c r="L53" s="41"/>
      <c r="M53" s="41"/>
      <c r="N53" s="41">
        <v>2</v>
      </c>
      <c r="O53" s="41">
        <v>0</v>
      </c>
      <c r="P53" s="41">
        <v>0</v>
      </c>
      <c r="Q53" s="41">
        <v>0</v>
      </c>
      <c r="R53" s="41">
        <f>(15/2.5)*2</f>
        <v>12</v>
      </c>
      <c r="S53" s="41">
        <f>(15/2.5)*2</f>
        <v>12</v>
      </c>
      <c r="T53" s="41">
        <f>(5/2.5)*2</f>
        <v>4</v>
      </c>
      <c r="U53" s="41">
        <f>(37.5/2.5)*2</f>
        <v>30</v>
      </c>
      <c r="V53" s="41">
        <f>(15/2.5)*2</f>
        <v>12</v>
      </c>
      <c r="W53" s="41">
        <f t="shared" si="5"/>
        <v>0</v>
      </c>
      <c r="X53" s="41">
        <f t="shared" si="5"/>
        <v>0</v>
      </c>
      <c r="Y53" s="41">
        <f>(15/2.5)*2</f>
        <v>12</v>
      </c>
      <c r="Z53" s="41">
        <f>(15/2.5)*2</f>
        <v>12</v>
      </c>
      <c r="AA53" s="41">
        <f>(5/2.5)*2</f>
        <v>4</v>
      </c>
      <c r="AB53" s="41">
        <f>(37.5/2.5)*2</f>
        <v>30</v>
      </c>
      <c r="AC53" s="41">
        <f>(22.5/2.5)*2</f>
        <v>18</v>
      </c>
      <c r="AD53" s="41">
        <f>(5/2.5)*2</f>
        <v>4</v>
      </c>
      <c r="AE53" s="41">
        <f t="shared" ref="AE53:AE84" si="8">(0/2.5)*2</f>
        <v>0</v>
      </c>
      <c r="AF53" s="41">
        <v>6</v>
      </c>
      <c r="AG53" s="56" t="s">
        <v>691</v>
      </c>
      <c r="AH53" s="56">
        <v>3</v>
      </c>
      <c r="AI53" s="56"/>
      <c r="AJ53" s="56"/>
      <c r="AK53" s="56"/>
      <c r="AM53">
        <v>53</v>
      </c>
    </row>
    <row r="54" spans="1:39" x14ac:dyDescent="0.25">
      <c r="A54" s="40" t="s">
        <v>277</v>
      </c>
      <c r="B54" s="41" t="s">
        <v>178</v>
      </c>
      <c r="C54" s="41">
        <v>238</v>
      </c>
      <c r="D54" s="41"/>
      <c r="E54" s="41"/>
      <c r="F54" s="41"/>
      <c r="G54" s="41"/>
      <c r="H54" s="41"/>
      <c r="I54" s="41"/>
      <c r="J54" s="41"/>
      <c r="K54" s="41"/>
      <c r="L54" s="41"/>
      <c r="M54" s="41">
        <v>150</v>
      </c>
      <c r="N54" s="41">
        <v>0</v>
      </c>
      <c r="O54" s="41">
        <v>1</v>
      </c>
      <c r="P54" s="41">
        <v>0</v>
      </c>
      <c r="Q54" s="41">
        <v>0</v>
      </c>
      <c r="R54" s="41">
        <f>(15/2.5)*2</f>
        <v>12</v>
      </c>
      <c r="S54" s="41">
        <f>(15/2.5)*2</f>
        <v>12</v>
      </c>
      <c r="T54" s="41">
        <f>(15/2.5)*2</f>
        <v>12</v>
      </c>
      <c r="U54" s="41">
        <f>(25/2.5)*2</f>
        <v>20</v>
      </c>
      <c r="V54" s="41">
        <f>(5/2.5)*2</f>
        <v>4</v>
      </c>
      <c r="W54" s="41">
        <f t="shared" si="5"/>
        <v>0</v>
      </c>
      <c r="X54" s="41">
        <f t="shared" si="5"/>
        <v>0</v>
      </c>
      <c r="Y54" s="41">
        <f>(15/2.5)*2</f>
        <v>12</v>
      </c>
      <c r="Z54" s="41">
        <f>(15/2.5)*2</f>
        <v>12</v>
      </c>
      <c r="AA54" s="41">
        <f>(15/2.5)*2</f>
        <v>12</v>
      </c>
      <c r="AB54" s="41">
        <f>(25/2.5)*2</f>
        <v>20</v>
      </c>
      <c r="AC54" s="41">
        <f>(17.5/2.5)*2</f>
        <v>14</v>
      </c>
      <c r="AD54" s="41">
        <f>(0/2.5)*2</f>
        <v>0</v>
      </c>
      <c r="AE54" s="41">
        <f t="shared" si="8"/>
        <v>0</v>
      </c>
      <c r="AF54" s="41">
        <v>6</v>
      </c>
      <c r="AG54" s="56" t="s">
        <v>691</v>
      </c>
      <c r="AH54" s="56"/>
      <c r="AI54" s="56"/>
      <c r="AJ54" s="56"/>
      <c r="AK54" s="56"/>
      <c r="AM54">
        <v>54</v>
      </c>
    </row>
    <row r="55" spans="1:39" x14ac:dyDescent="0.25">
      <c r="A55" s="40" t="s">
        <v>278</v>
      </c>
      <c r="B55" s="41" t="s">
        <v>178</v>
      </c>
      <c r="C55" s="41">
        <v>266</v>
      </c>
      <c r="D55" s="41"/>
      <c r="E55" s="41"/>
      <c r="F55" s="41"/>
      <c r="G55" s="41"/>
      <c r="H55" s="41"/>
      <c r="I55" s="41"/>
      <c r="J55" s="41"/>
      <c r="K55" s="41"/>
      <c r="L55" s="41"/>
      <c r="M55" s="41">
        <v>180</v>
      </c>
      <c r="N55" s="41">
        <v>0</v>
      </c>
      <c r="O55" s="41">
        <v>0</v>
      </c>
      <c r="P55" s="41">
        <v>1</v>
      </c>
      <c r="Q55" s="41">
        <v>0</v>
      </c>
      <c r="R55" s="41">
        <f>(27.5/2.5)*2</f>
        <v>22</v>
      </c>
      <c r="S55" s="41">
        <f>(12.5/2.5)*2</f>
        <v>10</v>
      </c>
      <c r="T55" s="41">
        <f>(12.5/2.5)*2</f>
        <v>10</v>
      </c>
      <c r="U55" s="41">
        <f>(20/2.5)*2</f>
        <v>16</v>
      </c>
      <c r="V55" s="41">
        <f>(15/2.5)*2</f>
        <v>12</v>
      </c>
      <c r="W55" s="41">
        <f t="shared" si="5"/>
        <v>0</v>
      </c>
      <c r="X55" s="41">
        <f t="shared" si="5"/>
        <v>0</v>
      </c>
      <c r="Y55" s="41">
        <f>(27.5/2.5)*2</f>
        <v>22</v>
      </c>
      <c r="Z55" s="41">
        <f>(12.5/2.5)*2</f>
        <v>10</v>
      </c>
      <c r="AA55" s="41">
        <f>(12.5/2.5)*2</f>
        <v>10</v>
      </c>
      <c r="AB55" s="41">
        <f>(20/2.5)*2</f>
        <v>16</v>
      </c>
      <c r="AC55" s="41">
        <f>(27.5/2.5)*2</f>
        <v>22</v>
      </c>
      <c r="AD55" s="41">
        <f>(0/2.5)*2</f>
        <v>0</v>
      </c>
      <c r="AE55" s="41">
        <f t="shared" si="8"/>
        <v>0</v>
      </c>
      <c r="AF55" s="41">
        <v>6</v>
      </c>
      <c r="AG55" s="56" t="s">
        <v>691</v>
      </c>
      <c r="AH55" s="56">
        <v>3</v>
      </c>
      <c r="AI55" s="56"/>
      <c r="AJ55" s="56"/>
      <c r="AK55" s="56"/>
      <c r="AM55">
        <v>55</v>
      </c>
    </row>
    <row r="56" spans="1:39" x14ac:dyDescent="0.25">
      <c r="A56" s="40" t="s">
        <v>285</v>
      </c>
      <c r="B56" s="41" t="s">
        <v>178</v>
      </c>
      <c r="C56" s="41">
        <v>224</v>
      </c>
      <c r="D56" s="41">
        <v>20</v>
      </c>
      <c r="E56" s="41"/>
      <c r="F56" s="41"/>
      <c r="G56" s="41"/>
      <c r="H56" s="41"/>
      <c r="I56" s="41"/>
      <c r="J56" s="41"/>
      <c r="K56" s="41"/>
      <c r="L56" s="41">
        <v>90</v>
      </c>
      <c r="M56" s="41"/>
      <c r="N56" s="41">
        <v>0</v>
      </c>
      <c r="O56" s="41">
        <v>0</v>
      </c>
      <c r="P56" s="41">
        <v>0</v>
      </c>
      <c r="Q56" s="41">
        <v>0</v>
      </c>
      <c r="R56" s="41">
        <f>(20/2.5)*2</f>
        <v>16</v>
      </c>
      <c r="S56" s="41">
        <f>(12.5/2.5)*2</f>
        <v>10</v>
      </c>
      <c r="T56" s="41">
        <f>(12.5/2.5)*2</f>
        <v>10</v>
      </c>
      <c r="U56" s="41">
        <f>(20/2.5)*2</f>
        <v>16</v>
      </c>
      <c r="V56" s="41">
        <f>(10/2.5)*2</f>
        <v>8</v>
      </c>
      <c r="W56" s="41">
        <f t="shared" si="5"/>
        <v>0</v>
      </c>
      <c r="X56" s="41">
        <f t="shared" si="5"/>
        <v>0</v>
      </c>
      <c r="Y56" s="41">
        <f>(20/2.5)*2</f>
        <v>16</v>
      </c>
      <c r="Z56" s="41">
        <f>(12.5/2.5)*2</f>
        <v>10</v>
      </c>
      <c r="AA56" s="41">
        <f>(12.5/2.5)*2</f>
        <v>10</v>
      </c>
      <c r="AB56" s="41">
        <f>(20/2.5)*2</f>
        <v>16</v>
      </c>
      <c r="AC56" s="41">
        <f>(22.5/2.5)*2</f>
        <v>18</v>
      </c>
      <c r="AD56" s="41">
        <f>(0/2.5)*2</f>
        <v>0</v>
      </c>
      <c r="AE56" s="41">
        <f t="shared" si="8"/>
        <v>0</v>
      </c>
      <c r="AF56" s="41">
        <v>6</v>
      </c>
      <c r="AG56" s="56" t="s">
        <v>691</v>
      </c>
      <c r="AH56" s="56"/>
      <c r="AI56" s="56"/>
      <c r="AJ56" s="56"/>
      <c r="AK56" s="56"/>
      <c r="AM56">
        <v>56</v>
      </c>
    </row>
    <row r="57" spans="1:39" x14ac:dyDescent="0.25">
      <c r="A57" s="40" t="s">
        <v>286</v>
      </c>
      <c r="B57" s="41" t="s">
        <v>178</v>
      </c>
      <c r="C57" s="41">
        <v>238</v>
      </c>
      <c r="D57" s="41">
        <v>20</v>
      </c>
      <c r="E57" s="41"/>
      <c r="F57" s="41"/>
      <c r="G57" s="41"/>
      <c r="H57" s="41"/>
      <c r="I57" s="41"/>
      <c r="J57" s="41"/>
      <c r="K57" s="41"/>
      <c r="L57" s="41">
        <v>120</v>
      </c>
      <c r="M57" s="41"/>
      <c r="N57" s="41">
        <v>0</v>
      </c>
      <c r="O57" s="41">
        <v>0</v>
      </c>
      <c r="P57" s="41">
        <v>0</v>
      </c>
      <c r="Q57" s="41">
        <v>0</v>
      </c>
      <c r="R57" s="41">
        <f>(20/2.5)*2</f>
        <v>16</v>
      </c>
      <c r="S57" s="41">
        <f>(15/2.5)*2</f>
        <v>12</v>
      </c>
      <c r="T57" s="41">
        <f>(15/2.5)*2</f>
        <v>12</v>
      </c>
      <c r="U57" s="41">
        <f>(25/2.5)*2</f>
        <v>20</v>
      </c>
      <c r="V57" s="41">
        <f>(12.5/2.5)*2</f>
        <v>10</v>
      </c>
      <c r="W57" s="41">
        <f t="shared" si="5"/>
        <v>0</v>
      </c>
      <c r="X57" s="41">
        <f t="shared" si="5"/>
        <v>0</v>
      </c>
      <c r="Y57" s="41">
        <f>(20/2.5)*2</f>
        <v>16</v>
      </c>
      <c r="Z57" s="41">
        <f>(15/2.5)*2</f>
        <v>12</v>
      </c>
      <c r="AA57" s="41">
        <f>(15/2.5)*2</f>
        <v>12</v>
      </c>
      <c r="AB57" s="41">
        <f>(25/2.5)*2</f>
        <v>20</v>
      </c>
      <c r="AC57" s="41">
        <f>(17.5/2.5)*2</f>
        <v>14</v>
      </c>
      <c r="AD57" s="41">
        <f>(7.5/2.5)*2</f>
        <v>6</v>
      </c>
      <c r="AE57" s="41">
        <f t="shared" si="8"/>
        <v>0</v>
      </c>
      <c r="AF57" s="41">
        <v>6</v>
      </c>
      <c r="AG57" s="56" t="s">
        <v>691</v>
      </c>
      <c r="AH57" s="56">
        <v>3</v>
      </c>
      <c r="AI57" s="56"/>
      <c r="AJ57" s="56"/>
      <c r="AK57" s="56"/>
      <c r="AM57">
        <v>57</v>
      </c>
    </row>
    <row r="58" spans="1:39" x14ac:dyDescent="0.25">
      <c r="A58" s="40" t="s">
        <v>292</v>
      </c>
      <c r="B58" s="41" t="s">
        <v>178</v>
      </c>
      <c r="C58" s="41">
        <v>252</v>
      </c>
      <c r="D58" s="41"/>
      <c r="E58" s="41"/>
      <c r="F58" s="41">
        <v>180</v>
      </c>
      <c r="G58" s="41"/>
      <c r="H58" s="41"/>
      <c r="I58" s="41"/>
      <c r="J58" s="41"/>
      <c r="K58" s="41"/>
      <c r="L58" s="41"/>
      <c r="M58" s="41"/>
      <c r="N58" s="41">
        <v>1</v>
      </c>
      <c r="O58" s="41">
        <v>0</v>
      </c>
      <c r="P58" s="41">
        <v>0</v>
      </c>
      <c r="Q58" s="41">
        <v>0</v>
      </c>
      <c r="R58" s="41">
        <f>(25/2.5)*2</f>
        <v>20</v>
      </c>
      <c r="S58" s="41">
        <f>(25/2.5)*2</f>
        <v>20</v>
      </c>
      <c r="T58" s="41">
        <f>(10/2.5)*2</f>
        <v>8</v>
      </c>
      <c r="U58" s="41">
        <f>(10/2.5)*2</f>
        <v>8</v>
      </c>
      <c r="V58" s="41">
        <f>(5/2.5)*2</f>
        <v>4</v>
      </c>
      <c r="W58" s="41">
        <f t="shared" si="5"/>
        <v>0</v>
      </c>
      <c r="X58" s="41">
        <f t="shared" si="5"/>
        <v>0</v>
      </c>
      <c r="Y58" s="41">
        <f>(25/2.5)*2</f>
        <v>20</v>
      </c>
      <c r="Z58" s="41">
        <f>(25/2.5)*2</f>
        <v>20</v>
      </c>
      <c r="AA58" s="41">
        <f>(10/2.5)*2</f>
        <v>8</v>
      </c>
      <c r="AB58" s="41">
        <f>(10/2.5)*2</f>
        <v>8</v>
      </c>
      <c r="AC58" s="41">
        <f>(17.5/2.5)*2</f>
        <v>14</v>
      </c>
      <c r="AD58" s="41">
        <f>(0/2.5)*2</f>
        <v>0</v>
      </c>
      <c r="AE58" s="41">
        <f t="shared" si="8"/>
        <v>0</v>
      </c>
      <c r="AF58" s="41">
        <v>6</v>
      </c>
      <c r="AG58" s="56"/>
      <c r="AH58" s="56"/>
      <c r="AI58" s="56"/>
      <c r="AJ58" s="56"/>
      <c r="AK58" s="56"/>
      <c r="AM58">
        <v>58</v>
      </c>
    </row>
    <row r="59" spans="1:39" x14ac:dyDescent="0.25">
      <c r="A59" s="40" t="s">
        <v>293</v>
      </c>
      <c r="B59" s="41" t="s">
        <v>178</v>
      </c>
      <c r="C59" s="41">
        <v>266</v>
      </c>
      <c r="D59" s="41"/>
      <c r="E59" s="41"/>
      <c r="F59" s="41">
        <v>210</v>
      </c>
      <c r="G59" s="41"/>
      <c r="H59" s="41"/>
      <c r="I59" s="41"/>
      <c r="J59" s="41"/>
      <c r="K59" s="41"/>
      <c r="L59" s="41"/>
      <c r="M59" s="41"/>
      <c r="N59" s="41">
        <v>1</v>
      </c>
      <c r="O59" s="41">
        <v>0</v>
      </c>
      <c r="P59" s="41">
        <v>0</v>
      </c>
      <c r="Q59" s="41">
        <v>0</v>
      </c>
      <c r="R59" s="41">
        <f>(40/2.5)*2</f>
        <v>32</v>
      </c>
      <c r="S59" s="41">
        <f>(25/2.5)*2</f>
        <v>20</v>
      </c>
      <c r="T59" s="41">
        <f>(7.5/2.5)*2</f>
        <v>6</v>
      </c>
      <c r="U59" s="41">
        <f>(7.5/2.5)*2</f>
        <v>6</v>
      </c>
      <c r="V59" s="41">
        <f>(7.5/2.5)*2</f>
        <v>6</v>
      </c>
      <c r="W59" s="41">
        <f t="shared" si="5"/>
        <v>0</v>
      </c>
      <c r="X59" s="41">
        <f t="shared" si="5"/>
        <v>0</v>
      </c>
      <c r="Y59" s="41">
        <f>(40/2.5)*2</f>
        <v>32</v>
      </c>
      <c r="Z59" s="41">
        <f>(25/2.5)*2</f>
        <v>20</v>
      </c>
      <c r="AA59" s="41">
        <f>(7.5/2.5)*2</f>
        <v>6</v>
      </c>
      <c r="AB59" s="41">
        <f>(7.5/2.5)*2</f>
        <v>6</v>
      </c>
      <c r="AC59" s="41">
        <f>(12.5/2.5)*2</f>
        <v>10</v>
      </c>
      <c r="AD59" s="41">
        <f>(7.5/2.5)*2</f>
        <v>6</v>
      </c>
      <c r="AE59" s="41">
        <f t="shared" si="8"/>
        <v>0</v>
      </c>
      <c r="AF59" s="41">
        <v>6</v>
      </c>
      <c r="AG59" s="56"/>
      <c r="AH59" s="56">
        <v>3</v>
      </c>
      <c r="AI59" s="56"/>
      <c r="AJ59" s="56"/>
      <c r="AK59" s="56"/>
      <c r="AM59">
        <v>59</v>
      </c>
    </row>
    <row r="60" spans="1:39" x14ac:dyDescent="0.25">
      <c r="A60" s="40" t="s">
        <v>300</v>
      </c>
      <c r="B60" s="41" t="s">
        <v>178</v>
      </c>
      <c r="C60" s="41">
        <v>238</v>
      </c>
      <c r="D60" s="41">
        <v>10</v>
      </c>
      <c r="E60" s="41"/>
      <c r="F60" s="41"/>
      <c r="G60" s="41">
        <v>120</v>
      </c>
      <c r="H60" s="41"/>
      <c r="I60" s="41"/>
      <c r="J60" s="41"/>
      <c r="K60" s="41"/>
      <c r="L60" s="41"/>
      <c r="M60" s="41"/>
      <c r="N60" s="41">
        <v>1</v>
      </c>
      <c r="O60" s="41">
        <v>0</v>
      </c>
      <c r="P60" s="41">
        <v>0</v>
      </c>
      <c r="Q60" s="41">
        <v>0</v>
      </c>
      <c r="R60" s="41">
        <f>(22.5/2.5)*2</f>
        <v>18</v>
      </c>
      <c r="S60" s="41">
        <f>(25/2.5)*2</f>
        <v>20</v>
      </c>
      <c r="T60" s="41">
        <f>(10/2.5)*2</f>
        <v>8</v>
      </c>
      <c r="U60" s="41">
        <f>(10/2.5)*2</f>
        <v>8</v>
      </c>
      <c r="V60" s="41">
        <f>(7.5/2.5)*2</f>
        <v>6</v>
      </c>
      <c r="W60" s="41">
        <f t="shared" si="5"/>
        <v>0</v>
      </c>
      <c r="X60" s="41">
        <f t="shared" si="5"/>
        <v>0</v>
      </c>
      <c r="Y60" s="41">
        <f>(22.5/2.5)*2</f>
        <v>18</v>
      </c>
      <c r="Z60" s="41">
        <f>(25/2.5)*2</f>
        <v>20</v>
      </c>
      <c r="AA60" s="41">
        <f>(10/2.5)*2</f>
        <v>8</v>
      </c>
      <c r="AB60" s="41">
        <f>(10/2.5)*2</f>
        <v>8</v>
      </c>
      <c r="AC60" s="41">
        <f>(20/2.5)*2</f>
        <v>16</v>
      </c>
      <c r="AD60" s="41">
        <f>(0/2.5)*2</f>
        <v>0</v>
      </c>
      <c r="AE60" s="41">
        <f t="shared" si="8"/>
        <v>0</v>
      </c>
      <c r="AF60" s="41">
        <v>6</v>
      </c>
      <c r="AG60" s="56"/>
      <c r="AH60" s="56"/>
      <c r="AI60" s="56"/>
      <c r="AJ60" s="56"/>
      <c r="AK60" s="56"/>
      <c r="AM60">
        <v>60</v>
      </c>
    </row>
    <row r="61" spans="1:39" x14ac:dyDescent="0.25">
      <c r="A61" s="40" t="s">
        <v>301</v>
      </c>
      <c r="B61" s="41" t="s">
        <v>178</v>
      </c>
      <c r="C61" s="41">
        <v>252</v>
      </c>
      <c r="D61" s="41">
        <v>10</v>
      </c>
      <c r="E61" s="41"/>
      <c r="F61" s="41"/>
      <c r="G61" s="41">
        <v>150</v>
      </c>
      <c r="H61" s="41"/>
      <c r="I61" s="41"/>
      <c r="J61" s="41"/>
      <c r="K61" s="41"/>
      <c r="L61" s="41"/>
      <c r="M61" s="41"/>
      <c r="N61" s="41">
        <v>1</v>
      </c>
      <c r="O61" s="41">
        <v>0</v>
      </c>
      <c r="P61" s="41">
        <v>0</v>
      </c>
      <c r="Q61" s="41">
        <v>0</v>
      </c>
      <c r="R61" s="41">
        <f>(50/2.5)*2</f>
        <v>40</v>
      </c>
      <c r="S61" s="41">
        <f>(17.5/2.5)*2</f>
        <v>14</v>
      </c>
      <c r="T61" s="41">
        <f>(5/2.5)*2</f>
        <v>4</v>
      </c>
      <c r="U61" s="41">
        <f>(5/2.5)*2</f>
        <v>4</v>
      </c>
      <c r="V61" s="41">
        <f>(10/2.5)*2</f>
        <v>8</v>
      </c>
      <c r="W61" s="41">
        <f t="shared" si="5"/>
        <v>0</v>
      </c>
      <c r="X61" s="41">
        <f t="shared" si="5"/>
        <v>0</v>
      </c>
      <c r="Y61" s="41">
        <f>(50/2.5)*2</f>
        <v>40</v>
      </c>
      <c r="Z61" s="41">
        <f>(17.5/2.5)*2</f>
        <v>14</v>
      </c>
      <c r="AA61" s="41">
        <f>(5/2.5)*2</f>
        <v>4</v>
      </c>
      <c r="AB61" s="41">
        <f>(5/2.5)*2</f>
        <v>4</v>
      </c>
      <c r="AC61" s="41">
        <f>(12.5/2.5)*2</f>
        <v>10</v>
      </c>
      <c r="AD61" s="41">
        <f>(10/2.5)*2</f>
        <v>8</v>
      </c>
      <c r="AE61" s="41">
        <f t="shared" si="8"/>
        <v>0</v>
      </c>
      <c r="AF61" s="41">
        <v>6</v>
      </c>
      <c r="AG61" s="56"/>
      <c r="AH61" s="56">
        <v>3</v>
      </c>
      <c r="AI61" s="56"/>
      <c r="AJ61" s="56"/>
      <c r="AK61" s="56"/>
      <c r="AM61">
        <v>61</v>
      </c>
    </row>
    <row r="62" spans="1:39" x14ac:dyDescent="0.25">
      <c r="A62" s="40" t="s">
        <v>307</v>
      </c>
      <c r="B62" s="41" t="s">
        <v>178</v>
      </c>
      <c r="C62" s="41">
        <v>266</v>
      </c>
      <c r="D62" s="41">
        <v>-20</v>
      </c>
      <c r="E62" s="41">
        <v>180</v>
      </c>
      <c r="F62" s="41"/>
      <c r="G62" s="41"/>
      <c r="H62" s="41"/>
      <c r="I62" s="41"/>
      <c r="J62" s="41"/>
      <c r="K62" s="41"/>
      <c r="L62" s="41"/>
      <c r="M62" s="41"/>
      <c r="N62" s="41">
        <v>0</v>
      </c>
      <c r="O62" s="41">
        <v>0</v>
      </c>
      <c r="P62" s="41">
        <v>0</v>
      </c>
      <c r="Q62" s="41">
        <v>0</v>
      </c>
      <c r="R62" s="41">
        <f>(32.5/2.5)*2</f>
        <v>26</v>
      </c>
      <c r="S62" s="41">
        <f>(17.5/2.5)*2</f>
        <v>14</v>
      </c>
      <c r="T62" s="41">
        <f>(7.5/2.5)*2</f>
        <v>6</v>
      </c>
      <c r="U62" s="41">
        <f>(17.5/2.5)*2</f>
        <v>14</v>
      </c>
      <c r="V62" s="41">
        <f>(0/2.5)*2</f>
        <v>0</v>
      </c>
      <c r="W62" s="41">
        <f t="shared" si="5"/>
        <v>0</v>
      </c>
      <c r="X62" s="41">
        <f t="shared" si="5"/>
        <v>0</v>
      </c>
      <c r="Y62" s="41">
        <f>(32.5/2.5)*2</f>
        <v>26</v>
      </c>
      <c r="Z62" s="41">
        <f>(17.5/2.5)*2</f>
        <v>14</v>
      </c>
      <c r="AA62" s="41">
        <f>(7.5/2.5)*2</f>
        <v>6</v>
      </c>
      <c r="AB62" s="41">
        <f>(25/2.5)*2</f>
        <v>20</v>
      </c>
      <c r="AC62" s="41">
        <f>(5/2.5)*2</f>
        <v>4</v>
      </c>
      <c r="AD62" s="41">
        <f>(0/2.5)*2</f>
        <v>0</v>
      </c>
      <c r="AE62" s="41">
        <f t="shared" si="8"/>
        <v>0</v>
      </c>
      <c r="AF62" s="41">
        <v>6</v>
      </c>
      <c r="AG62" s="56"/>
      <c r="AH62" s="56"/>
      <c r="AI62" s="56"/>
      <c r="AJ62" s="56"/>
      <c r="AK62" s="56"/>
      <c r="AM62">
        <v>62</v>
      </c>
    </row>
    <row r="63" spans="1:39" x14ac:dyDescent="0.25">
      <c r="A63" s="40" t="s">
        <v>317</v>
      </c>
      <c r="B63" s="41" t="s">
        <v>178</v>
      </c>
      <c r="C63" s="41">
        <v>210</v>
      </c>
      <c r="D63" s="41"/>
      <c r="E63" s="41"/>
      <c r="F63" s="41"/>
      <c r="G63" s="41"/>
      <c r="H63" s="41"/>
      <c r="I63" s="41"/>
      <c r="J63" s="41"/>
      <c r="K63" s="41">
        <v>90</v>
      </c>
      <c r="L63" s="41"/>
      <c r="M63" s="41"/>
      <c r="N63" s="41">
        <v>0</v>
      </c>
      <c r="O63" s="41">
        <v>1</v>
      </c>
      <c r="P63" s="41">
        <v>0</v>
      </c>
      <c r="Q63" s="41">
        <v>0</v>
      </c>
      <c r="R63" s="41">
        <f>(20/2.5)*2</f>
        <v>16</v>
      </c>
      <c r="S63" s="41">
        <f>(25/2.5)*2</f>
        <v>20</v>
      </c>
      <c r="T63" s="41">
        <f>(10/2.5)*2</f>
        <v>8</v>
      </c>
      <c r="U63" s="41">
        <f>(10/2.5)*2</f>
        <v>8</v>
      </c>
      <c r="V63" s="41">
        <f>(10/2.5)*2</f>
        <v>8</v>
      </c>
      <c r="W63" s="41">
        <f t="shared" si="5"/>
        <v>0</v>
      </c>
      <c r="X63" s="41">
        <f t="shared" si="5"/>
        <v>0</v>
      </c>
      <c r="Y63" s="41">
        <f>(20/2.5)*2</f>
        <v>16</v>
      </c>
      <c r="Z63" s="41">
        <f>(25/2.5)*2</f>
        <v>20</v>
      </c>
      <c r="AA63" s="41">
        <f>(10/2.5)*2</f>
        <v>8</v>
      </c>
      <c r="AB63" s="41">
        <f>(10/2.5)*2</f>
        <v>8</v>
      </c>
      <c r="AC63" s="41">
        <f>(22.5/2.5)*2</f>
        <v>18</v>
      </c>
      <c r="AD63" s="41">
        <f>(0/2.5)*2</f>
        <v>0</v>
      </c>
      <c r="AE63" s="41">
        <f t="shared" si="8"/>
        <v>0</v>
      </c>
      <c r="AF63" s="41">
        <v>6</v>
      </c>
      <c r="AG63" s="56" t="s">
        <v>691</v>
      </c>
      <c r="AH63" s="56"/>
      <c r="AI63" s="56"/>
      <c r="AJ63" s="56"/>
      <c r="AK63" s="56"/>
      <c r="AM63">
        <v>63</v>
      </c>
    </row>
    <row r="64" spans="1:39" x14ac:dyDescent="0.25">
      <c r="A64" s="40" t="s">
        <v>318</v>
      </c>
      <c r="B64" s="41" t="s">
        <v>178</v>
      </c>
      <c r="C64" s="41">
        <v>224</v>
      </c>
      <c r="D64" s="41"/>
      <c r="E64" s="41"/>
      <c r="F64" s="41"/>
      <c r="G64" s="41"/>
      <c r="H64" s="41"/>
      <c r="I64" s="41"/>
      <c r="J64" s="41"/>
      <c r="K64" s="41">
        <v>90</v>
      </c>
      <c r="L64" s="41"/>
      <c r="M64" s="41"/>
      <c r="N64" s="41">
        <v>0</v>
      </c>
      <c r="O64" s="41">
        <v>1</v>
      </c>
      <c r="P64" s="41">
        <v>0</v>
      </c>
      <c r="Q64" s="41">
        <v>0</v>
      </c>
      <c r="R64" s="41">
        <f>(27.5/2.5)*2</f>
        <v>22</v>
      </c>
      <c r="S64" s="41">
        <f>(7.5/2.5)*2</f>
        <v>6</v>
      </c>
      <c r="T64" s="41">
        <f>(15/2.5)*2</f>
        <v>12</v>
      </c>
      <c r="U64" s="41">
        <f>(20/2.5)*2</f>
        <v>16</v>
      </c>
      <c r="V64" s="41">
        <f>(10/2.5)*2</f>
        <v>8</v>
      </c>
      <c r="W64" s="41">
        <f>(7.5/2.5)*2</f>
        <v>6</v>
      </c>
      <c r="X64" s="41">
        <f t="shared" ref="X64:X95" si="9">(0/2.5)*2</f>
        <v>0</v>
      </c>
      <c r="Y64" s="41">
        <f>(27.5/2.5)*2</f>
        <v>22</v>
      </c>
      <c r="Z64" s="41">
        <f>(7.5/2.5)*2</f>
        <v>6</v>
      </c>
      <c r="AA64" s="41">
        <f>(15/2.5)*2</f>
        <v>12</v>
      </c>
      <c r="AB64" s="41">
        <f>(20/2.5)*2</f>
        <v>16</v>
      </c>
      <c r="AC64" s="41">
        <f>(10/2.5)*2</f>
        <v>8</v>
      </c>
      <c r="AD64" s="41">
        <f>(20/2.5)*2</f>
        <v>16</v>
      </c>
      <c r="AE64" s="41">
        <f t="shared" si="8"/>
        <v>0</v>
      </c>
      <c r="AF64" s="41">
        <v>6</v>
      </c>
      <c r="AG64" s="56" t="s">
        <v>691</v>
      </c>
      <c r="AH64" s="56">
        <v>3</v>
      </c>
      <c r="AI64" s="56"/>
      <c r="AJ64" s="56"/>
      <c r="AK64" s="56"/>
      <c r="AM64">
        <v>64</v>
      </c>
    </row>
    <row r="65" spans="1:39" x14ac:dyDescent="0.25">
      <c r="A65" s="40" t="s">
        <v>324</v>
      </c>
      <c r="B65" s="41" t="s">
        <v>178</v>
      </c>
      <c r="C65" s="41">
        <v>238</v>
      </c>
      <c r="D65" s="41"/>
      <c r="E65" s="41"/>
      <c r="F65" s="41"/>
      <c r="G65" s="41">
        <v>150</v>
      </c>
      <c r="H65" s="41"/>
      <c r="I65" s="41"/>
      <c r="J65" s="41"/>
      <c r="K65" s="41"/>
      <c r="L65" s="41"/>
      <c r="M65" s="41"/>
      <c r="N65" s="41">
        <v>0</v>
      </c>
      <c r="O65" s="41">
        <v>1</v>
      </c>
      <c r="P65" s="41">
        <v>0</v>
      </c>
      <c r="Q65" s="41">
        <v>0</v>
      </c>
      <c r="R65" s="41">
        <f>(22.5/2.5)*2</f>
        <v>18</v>
      </c>
      <c r="S65" s="41">
        <f>(12.5/2.5)*2</f>
        <v>10</v>
      </c>
      <c r="T65" s="41">
        <f>(12.5/2.5)*2</f>
        <v>10</v>
      </c>
      <c r="U65" s="41">
        <f>(20/2.5)*2</f>
        <v>16</v>
      </c>
      <c r="V65" s="41">
        <f>(7.5/2.5)*2</f>
        <v>6</v>
      </c>
      <c r="W65" s="41">
        <f t="shared" ref="W65:W80" si="10">(0/2.5)*2</f>
        <v>0</v>
      </c>
      <c r="X65" s="41">
        <f t="shared" si="9"/>
        <v>0</v>
      </c>
      <c r="Y65" s="41">
        <f>(22.5/2.5)*2</f>
        <v>18</v>
      </c>
      <c r="Z65" s="41">
        <f>(12.5/2.5)*2</f>
        <v>10</v>
      </c>
      <c r="AA65" s="41">
        <f>(12.5/2.5)*2</f>
        <v>10</v>
      </c>
      <c r="AB65" s="41">
        <f>(20/2.5)*2</f>
        <v>16</v>
      </c>
      <c r="AC65" s="41">
        <f>(20/2.5)*2</f>
        <v>16</v>
      </c>
      <c r="AD65" s="41">
        <f>(0/2.5)*2</f>
        <v>0</v>
      </c>
      <c r="AE65" s="41">
        <f t="shared" si="8"/>
        <v>0</v>
      </c>
      <c r="AF65" s="41">
        <v>6</v>
      </c>
      <c r="AG65" s="56" t="s">
        <v>691</v>
      </c>
      <c r="AH65" s="56"/>
      <c r="AI65" s="56"/>
      <c r="AJ65" s="56"/>
      <c r="AK65" s="56"/>
      <c r="AM65">
        <v>65</v>
      </c>
    </row>
    <row r="66" spans="1:39" x14ac:dyDescent="0.25">
      <c r="A66" s="40" t="s">
        <v>325</v>
      </c>
      <c r="B66" s="41" t="s">
        <v>178</v>
      </c>
      <c r="C66" s="41">
        <v>252</v>
      </c>
      <c r="D66" s="41"/>
      <c r="E66" s="41"/>
      <c r="F66" s="41"/>
      <c r="G66" s="41">
        <v>210</v>
      </c>
      <c r="H66" s="41"/>
      <c r="I66" s="41"/>
      <c r="J66" s="41"/>
      <c r="K66" s="41"/>
      <c r="L66" s="41"/>
      <c r="M66" s="41"/>
      <c r="N66" s="41">
        <v>0</v>
      </c>
      <c r="O66" s="41">
        <v>0</v>
      </c>
      <c r="P66" s="41">
        <v>1</v>
      </c>
      <c r="Q66" s="41">
        <v>0</v>
      </c>
      <c r="R66" s="41">
        <f>(20/2.5)*2</f>
        <v>16</v>
      </c>
      <c r="S66" s="41">
        <f>(12.5/2.5)*2</f>
        <v>10</v>
      </c>
      <c r="T66" s="41">
        <f>(15/2.5)*2</f>
        <v>12</v>
      </c>
      <c r="U66" s="41">
        <f>(30/2.5)*2</f>
        <v>24</v>
      </c>
      <c r="V66" s="41">
        <f>(10/2.5)*2</f>
        <v>8</v>
      </c>
      <c r="W66" s="41">
        <f t="shared" si="10"/>
        <v>0</v>
      </c>
      <c r="X66" s="41">
        <f t="shared" si="9"/>
        <v>0</v>
      </c>
      <c r="Y66" s="41">
        <f>(20/2.5)*2</f>
        <v>16</v>
      </c>
      <c r="Z66" s="41">
        <f>(12.5/2.5)*2</f>
        <v>10</v>
      </c>
      <c r="AA66" s="41">
        <f>(15/2.5)*2</f>
        <v>12</v>
      </c>
      <c r="AB66" s="41">
        <f>(30/2.5)*2</f>
        <v>24</v>
      </c>
      <c r="AC66" s="41">
        <f>(12.5/2.5)*2</f>
        <v>10</v>
      </c>
      <c r="AD66" s="41">
        <f>(10/2.5)*2</f>
        <v>8</v>
      </c>
      <c r="AE66" s="41">
        <f t="shared" si="8"/>
        <v>0</v>
      </c>
      <c r="AF66" s="41">
        <v>6</v>
      </c>
      <c r="AG66" s="56" t="s">
        <v>691</v>
      </c>
      <c r="AH66" s="56">
        <v>3</v>
      </c>
      <c r="AI66" s="56"/>
      <c r="AJ66" s="56"/>
      <c r="AK66" s="56"/>
      <c r="AM66">
        <v>66</v>
      </c>
    </row>
    <row r="67" spans="1:39" x14ac:dyDescent="0.25">
      <c r="A67" s="4" t="s">
        <v>330</v>
      </c>
      <c r="B67" s="41" t="s">
        <v>178</v>
      </c>
      <c r="C67" s="4">
        <v>210</v>
      </c>
      <c r="D67" s="4">
        <v>20</v>
      </c>
      <c r="E67" s="4">
        <v>180</v>
      </c>
      <c r="F67" s="4"/>
      <c r="G67" s="4"/>
      <c r="H67" s="4"/>
      <c r="I67" s="4"/>
      <c r="J67" s="4"/>
      <c r="K67" s="4"/>
      <c r="L67" s="4"/>
      <c r="M67" s="4"/>
      <c r="N67" s="4">
        <v>0</v>
      </c>
      <c r="O67" s="4">
        <v>0</v>
      </c>
      <c r="P67" s="4">
        <v>0</v>
      </c>
      <c r="Q67" s="4">
        <v>0</v>
      </c>
      <c r="R67" s="4">
        <f>(20/2.5)*2</f>
        <v>16</v>
      </c>
      <c r="S67" s="4">
        <f>(25/2.5)*2</f>
        <v>20</v>
      </c>
      <c r="T67" s="4">
        <f t="shared" ref="T67:U69" si="11">(10/2.5)*2</f>
        <v>8</v>
      </c>
      <c r="U67" s="4">
        <f t="shared" si="11"/>
        <v>8</v>
      </c>
      <c r="V67" s="4">
        <f>(10/2.5)*2</f>
        <v>8</v>
      </c>
      <c r="W67" s="4">
        <f t="shared" si="10"/>
        <v>0</v>
      </c>
      <c r="X67" s="4">
        <f t="shared" si="9"/>
        <v>0</v>
      </c>
      <c r="Y67" s="4">
        <f>(20/2.5)*2</f>
        <v>16</v>
      </c>
      <c r="Z67" s="4">
        <f>(25/2.5)*2</f>
        <v>20</v>
      </c>
      <c r="AA67" s="4">
        <f t="shared" ref="AA67:AB69" si="12">(10/2.5)*2</f>
        <v>8</v>
      </c>
      <c r="AB67" s="4">
        <f t="shared" si="12"/>
        <v>8</v>
      </c>
      <c r="AC67" s="4">
        <f>(22.5/2.5)*2</f>
        <v>18</v>
      </c>
      <c r="AD67" s="4">
        <f t="shared" ref="AD67:AD72" si="13">(0/2.5)*2</f>
        <v>0</v>
      </c>
      <c r="AE67" s="4">
        <f t="shared" si="8"/>
        <v>0</v>
      </c>
      <c r="AF67" s="4">
        <v>6</v>
      </c>
      <c r="AG67" s="57" t="s">
        <v>691</v>
      </c>
      <c r="AH67" s="57"/>
      <c r="AI67" s="57"/>
      <c r="AJ67" s="57"/>
      <c r="AK67" s="57"/>
      <c r="AM67">
        <v>67</v>
      </c>
    </row>
    <row r="68" spans="1:39" x14ac:dyDescent="0.25">
      <c r="A68" s="4" t="s">
        <v>339</v>
      </c>
      <c r="B68" s="41" t="s">
        <v>178</v>
      </c>
      <c r="C68" s="4">
        <v>294</v>
      </c>
      <c r="D68" s="4">
        <v>-10</v>
      </c>
      <c r="E68" s="4"/>
      <c r="F68" s="4"/>
      <c r="G68" s="4"/>
      <c r="H68" s="4">
        <v>90</v>
      </c>
      <c r="I68" s="4"/>
      <c r="J68" s="4"/>
      <c r="K68" s="4"/>
      <c r="L68" s="4"/>
      <c r="M68" s="4"/>
      <c r="N68" s="4">
        <v>0</v>
      </c>
      <c r="O68" s="4">
        <v>1</v>
      </c>
      <c r="P68" s="4">
        <v>0</v>
      </c>
      <c r="Q68" s="4">
        <v>0</v>
      </c>
      <c r="R68" s="4">
        <f>(25/2.5)*2</f>
        <v>20</v>
      </c>
      <c r="S68" s="4">
        <f>(25/2.5)*2</f>
        <v>20</v>
      </c>
      <c r="T68" s="4">
        <f t="shared" si="11"/>
        <v>8</v>
      </c>
      <c r="U68" s="4">
        <f t="shared" si="11"/>
        <v>8</v>
      </c>
      <c r="V68" s="4">
        <f>(5/2.5)*2</f>
        <v>4</v>
      </c>
      <c r="W68" s="4">
        <f t="shared" si="10"/>
        <v>0</v>
      </c>
      <c r="X68" s="4">
        <f t="shared" si="9"/>
        <v>0</v>
      </c>
      <c r="Y68" s="4">
        <f>(25/2.5)*2</f>
        <v>20</v>
      </c>
      <c r="Z68" s="4">
        <f>(25/2.5)*2</f>
        <v>20</v>
      </c>
      <c r="AA68" s="4">
        <f t="shared" si="12"/>
        <v>8</v>
      </c>
      <c r="AB68" s="4">
        <f t="shared" si="12"/>
        <v>8</v>
      </c>
      <c r="AC68" s="4">
        <f>(17.5/2.5)*2</f>
        <v>14</v>
      </c>
      <c r="AD68" s="4">
        <f t="shared" si="13"/>
        <v>0</v>
      </c>
      <c r="AE68" s="4">
        <f t="shared" si="8"/>
        <v>0</v>
      </c>
      <c r="AF68" s="4">
        <v>6</v>
      </c>
      <c r="AG68" s="57" t="s">
        <v>691</v>
      </c>
      <c r="AH68" s="57"/>
      <c r="AI68" s="57"/>
      <c r="AJ68" s="57"/>
      <c r="AK68" s="57"/>
      <c r="AM68">
        <v>68</v>
      </c>
    </row>
    <row r="69" spans="1:39" x14ac:dyDescent="0.25">
      <c r="A69" s="4" t="s">
        <v>347</v>
      </c>
      <c r="B69" s="41" t="s">
        <v>178</v>
      </c>
      <c r="C69" s="4">
        <v>252</v>
      </c>
      <c r="D69" s="4"/>
      <c r="E69" s="4">
        <v>120</v>
      </c>
      <c r="F69" s="4"/>
      <c r="G69" s="4"/>
      <c r="H69" s="4"/>
      <c r="I69" s="4"/>
      <c r="J69" s="4"/>
      <c r="K69" s="4"/>
      <c r="L69" s="4"/>
      <c r="M69" s="4"/>
      <c r="N69" s="4">
        <v>0</v>
      </c>
      <c r="O69" s="4">
        <v>2</v>
      </c>
      <c r="P69" s="4">
        <v>0</v>
      </c>
      <c r="Q69" s="4">
        <v>0</v>
      </c>
      <c r="R69" s="4">
        <f>(25/2.5)*2</f>
        <v>20</v>
      </c>
      <c r="S69" s="4">
        <f>(25/2.5)*2</f>
        <v>20</v>
      </c>
      <c r="T69" s="4">
        <f t="shared" si="11"/>
        <v>8</v>
      </c>
      <c r="U69" s="4">
        <f t="shared" si="11"/>
        <v>8</v>
      </c>
      <c r="V69" s="4">
        <f>(5/2.5)*2</f>
        <v>4</v>
      </c>
      <c r="W69" s="4">
        <f t="shared" si="10"/>
        <v>0</v>
      </c>
      <c r="X69" s="4">
        <f t="shared" si="9"/>
        <v>0</v>
      </c>
      <c r="Y69" s="4">
        <f>(25/2.5)*2</f>
        <v>20</v>
      </c>
      <c r="Z69" s="4">
        <f>(25/2.5)*2</f>
        <v>20</v>
      </c>
      <c r="AA69" s="4">
        <f t="shared" si="12"/>
        <v>8</v>
      </c>
      <c r="AB69" s="4">
        <f t="shared" si="12"/>
        <v>8</v>
      </c>
      <c r="AC69" s="4">
        <f>(17.5/2.5)*2</f>
        <v>14</v>
      </c>
      <c r="AD69" s="4">
        <f t="shared" si="13"/>
        <v>0</v>
      </c>
      <c r="AE69" s="4">
        <f t="shared" si="8"/>
        <v>0</v>
      </c>
      <c r="AF69" s="4">
        <v>6</v>
      </c>
      <c r="AG69" s="57"/>
      <c r="AH69" s="57"/>
      <c r="AI69" s="57"/>
      <c r="AJ69" s="57"/>
      <c r="AK69" s="57"/>
      <c r="AM69">
        <v>69</v>
      </c>
    </row>
    <row r="70" spans="1:39" x14ac:dyDescent="0.25">
      <c r="A70" s="4" t="s">
        <v>356</v>
      </c>
      <c r="B70" s="41" t="s">
        <v>178</v>
      </c>
      <c r="C70" s="4">
        <v>252</v>
      </c>
      <c r="D70" s="4">
        <v>-10</v>
      </c>
      <c r="E70" s="4"/>
      <c r="F70" s="4"/>
      <c r="G70" s="4"/>
      <c r="H70" s="4"/>
      <c r="I70" s="4"/>
      <c r="J70" s="4"/>
      <c r="K70" s="4"/>
      <c r="L70" s="4"/>
      <c r="M70" s="4">
        <v>120</v>
      </c>
      <c r="N70" s="4">
        <v>1</v>
      </c>
      <c r="O70" s="4">
        <v>0</v>
      </c>
      <c r="P70" s="4">
        <v>0</v>
      </c>
      <c r="Q70" s="4">
        <v>0</v>
      </c>
      <c r="R70" s="4">
        <f>(25/2.5)*2</f>
        <v>20</v>
      </c>
      <c r="S70" s="4">
        <f>(12.5/2.5)*2</f>
        <v>10</v>
      </c>
      <c r="T70" s="4">
        <f>(12.5/2.5)*2</f>
        <v>10</v>
      </c>
      <c r="U70" s="4">
        <f>(20/2.5)*2</f>
        <v>16</v>
      </c>
      <c r="V70" s="4">
        <f>(5/2.5)*2</f>
        <v>4</v>
      </c>
      <c r="W70" s="4">
        <f t="shared" si="10"/>
        <v>0</v>
      </c>
      <c r="X70" s="4">
        <f t="shared" si="9"/>
        <v>0</v>
      </c>
      <c r="Y70" s="4">
        <f>(25/2.5)*2</f>
        <v>20</v>
      </c>
      <c r="Z70" s="4">
        <f>(12.5/2.5)*2</f>
        <v>10</v>
      </c>
      <c r="AA70" s="4">
        <f>(12.5/2.5)*2</f>
        <v>10</v>
      </c>
      <c r="AB70" s="4">
        <f>(20/2.5)*2</f>
        <v>16</v>
      </c>
      <c r="AC70" s="4">
        <f>(17.5/2.5)*2</f>
        <v>14</v>
      </c>
      <c r="AD70" s="4">
        <f t="shared" si="13"/>
        <v>0</v>
      </c>
      <c r="AE70" s="4">
        <f t="shared" si="8"/>
        <v>0</v>
      </c>
      <c r="AF70" s="4">
        <v>6</v>
      </c>
      <c r="AG70" s="57"/>
      <c r="AH70" s="57"/>
      <c r="AI70" s="57"/>
      <c r="AJ70" s="57"/>
      <c r="AK70" s="57"/>
      <c r="AM70">
        <v>70</v>
      </c>
    </row>
    <row r="71" spans="1:39" x14ac:dyDescent="0.25">
      <c r="A71" s="4" t="s">
        <v>369</v>
      </c>
      <c r="B71" s="41" t="s">
        <v>178</v>
      </c>
      <c r="C71" s="4">
        <v>154</v>
      </c>
      <c r="D71" s="4"/>
      <c r="E71" s="4"/>
      <c r="F71" s="4"/>
      <c r="G71" s="4"/>
      <c r="H71" s="4"/>
      <c r="I71" s="4">
        <v>120</v>
      </c>
      <c r="J71" s="4"/>
      <c r="K71" s="4"/>
      <c r="L71" s="4"/>
      <c r="M71" s="4"/>
      <c r="N71" s="4">
        <v>0</v>
      </c>
      <c r="O71" s="4">
        <v>0</v>
      </c>
      <c r="P71" s="4">
        <v>0</v>
      </c>
      <c r="Q71" s="4">
        <v>0</v>
      </c>
      <c r="R71" s="4">
        <f>(35/2.5)*2</f>
        <v>28</v>
      </c>
      <c r="S71" s="4">
        <f>(27.5/2.5)*2</f>
        <v>22</v>
      </c>
      <c r="T71" s="4">
        <f>(10/2.5)*2</f>
        <v>8</v>
      </c>
      <c r="U71" s="4">
        <f>(2.5/2.5)*2</f>
        <v>2</v>
      </c>
      <c r="V71" s="4">
        <f>(0/2.5)*2</f>
        <v>0</v>
      </c>
      <c r="W71" s="4">
        <f t="shared" si="10"/>
        <v>0</v>
      </c>
      <c r="X71" s="4">
        <f t="shared" si="9"/>
        <v>0</v>
      </c>
      <c r="Y71" s="4">
        <f>(35/2.5)*2</f>
        <v>28</v>
      </c>
      <c r="Z71" s="4">
        <f>(27.5/2.5)*2</f>
        <v>22</v>
      </c>
      <c r="AA71" s="4">
        <f>(10/2.5)*2</f>
        <v>8</v>
      </c>
      <c r="AB71" s="4">
        <f>(10/2.5)*2</f>
        <v>8</v>
      </c>
      <c r="AC71" s="4">
        <f>(5/2.5)*2</f>
        <v>4</v>
      </c>
      <c r="AD71" s="4">
        <f t="shared" si="13"/>
        <v>0</v>
      </c>
      <c r="AE71" s="4">
        <f t="shared" si="8"/>
        <v>0</v>
      </c>
      <c r="AF71" s="4">
        <v>6</v>
      </c>
      <c r="AG71" s="57"/>
      <c r="AH71" s="57"/>
      <c r="AI71" s="57"/>
      <c r="AJ71" s="57"/>
      <c r="AK71" s="57"/>
      <c r="AM71">
        <v>71</v>
      </c>
    </row>
    <row r="72" spans="1:39" x14ac:dyDescent="0.25">
      <c r="A72" s="4" t="s">
        <v>372</v>
      </c>
      <c r="B72" s="41" t="s">
        <v>178</v>
      </c>
      <c r="C72" s="4">
        <v>238</v>
      </c>
      <c r="D72" s="4"/>
      <c r="E72" s="4"/>
      <c r="F72" s="4"/>
      <c r="G72" s="4"/>
      <c r="H72" s="4">
        <v>120</v>
      </c>
      <c r="I72" s="4"/>
      <c r="J72" s="4"/>
      <c r="K72" s="4"/>
      <c r="L72" s="4"/>
      <c r="M72" s="4"/>
      <c r="N72" s="4">
        <v>0</v>
      </c>
      <c r="O72" s="4">
        <v>1</v>
      </c>
      <c r="P72" s="4">
        <v>0</v>
      </c>
      <c r="Q72" s="4">
        <v>0</v>
      </c>
      <c r="R72" s="4">
        <f>(22.5/2.5)*2</f>
        <v>18</v>
      </c>
      <c r="S72" s="4">
        <f>(12.5/2.5)*2</f>
        <v>10</v>
      </c>
      <c r="T72" s="4">
        <f>(12.5/2.5)*2</f>
        <v>10</v>
      </c>
      <c r="U72" s="4">
        <f>(20/2.5)*2</f>
        <v>16</v>
      </c>
      <c r="V72" s="4">
        <f>(7.5/2.5)*2</f>
        <v>6</v>
      </c>
      <c r="W72" s="4">
        <f t="shared" si="10"/>
        <v>0</v>
      </c>
      <c r="X72" s="4">
        <f t="shared" si="9"/>
        <v>0</v>
      </c>
      <c r="Y72" s="4">
        <f>(22.5/2.5)*2</f>
        <v>18</v>
      </c>
      <c r="Z72" s="4">
        <f>(12.5/2.5)*2</f>
        <v>10</v>
      </c>
      <c r="AA72" s="4">
        <f>(12.5/2.5)*2</f>
        <v>10</v>
      </c>
      <c r="AB72" s="4">
        <f>(20/2.5)*2</f>
        <v>16</v>
      </c>
      <c r="AC72" s="4">
        <f>(20/2.5)*2</f>
        <v>16</v>
      </c>
      <c r="AD72" s="4">
        <f t="shared" si="13"/>
        <v>0</v>
      </c>
      <c r="AE72" s="4">
        <f t="shared" si="8"/>
        <v>0</v>
      </c>
      <c r="AF72" s="4">
        <v>6</v>
      </c>
      <c r="AG72" s="57"/>
      <c r="AH72" s="57"/>
      <c r="AI72" s="57"/>
      <c r="AJ72" s="57"/>
      <c r="AK72" s="57"/>
      <c r="AM72">
        <v>72</v>
      </c>
    </row>
    <row r="73" spans="1:39" x14ac:dyDescent="0.25">
      <c r="A73" s="4" t="s">
        <v>373</v>
      </c>
      <c r="B73" s="41" t="s">
        <v>178</v>
      </c>
      <c r="C73" s="4">
        <v>252</v>
      </c>
      <c r="D73" s="4"/>
      <c r="E73" s="4"/>
      <c r="F73" s="4"/>
      <c r="G73" s="4"/>
      <c r="H73" s="4">
        <v>150</v>
      </c>
      <c r="I73" s="4"/>
      <c r="J73" s="4"/>
      <c r="K73" s="4"/>
      <c r="L73" s="4"/>
      <c r="M73" s="4"/>
      <c r="N73" s="4">
        <v>0</v>
      </c>
      <c r="O73" s="4">
        <v>1</v>
      </c>
      <c r="P73" s="4">
        <v>0</v>
      </c>
      <c r="Q73" s="4">
        <v>0</v>
      </c>
      <c r="R73" s="4">
        <f>(20/2.5)*2</f>
        <v>16</v>
      </c>
      <c r="S73" s="4">
        <f>(12.5/2.5)*2</f>
        <v>10</v>
      </c>
      <c r="T73" s="4">
        <f>(15/2.5)*2</f>
        <v>12</v>
      </c>
      <c r="U73" s="4">
        <f>(30/2.5)*2</f>
        <v>24</v>
      </c>
      <c r="V73" s="4">
        <f>(10/2.5)*2</f>
        <v>8</v>
      </c>
      <c r="W73" s="4">
        <f t="shared" si="10"/>
        <v>0</v>
      </c>
      <c r="X73" s="4">
        <f t="shared" si="9"/>
        <v>0</v>
      </c>
      <c r="Y73" s="4">
        <f>(20/2.5)*2</f>
        <v>16</v>
      </c>
      <c r="Z73" s="4">
        <f>(12.5/2.5)*2</f>
        <v>10</v>
      </c>
      <c r="AA73" s="4">
        <f>(15/2.5)*2</f>
        <v>12</v>
      </c>
      <c r="AB73" s="4">
        <f>(30/2.5)*2</f>
        <v>24</v>
      </c>
      <c r="AC73" s="4">
        <f>(12.5/2.5)*2</f>
        <v>10</v>
      </c>
      <c r="AD73" s="4">
        <f>(10/2.5)*2</f>
        <v>8</v>
      </c>
      <c r="AE73" s="4">
        <f t="shared" si="8"/>
        <v>0</v>
      </c>
      <c r="AF73" s="4">
        <v>6</v>
      </c>
      <c r="AG73" s="57"/>
      <c r="AH73" s="57">
        <v>3</v>
      </c>
      <c r="AI73" s="57"/>
      <c r="AJ73" s="57"/>
      <c r="AK73" s="57"/>
      <c r="AM73">
        <v>73</v>
      </c>
    </row>
    <row r="74" spans="1:39" x14ac:dyDescent="0.25">
      <c r="A74" s="4" t="s">
        <v>584</v>
      </c>
      <c r="B74" s="41" t="s">
        <v>178</v>
      </c>
      <c r="C74" s="4">
        <v>280</v>
      </c>
      <c r="D74" s="4">
        <v>-20</v>
      </c>
      <c r="E74" s="4"/>
      <c r="F74" s="4"/>
      <c r="G74" s="4"/>
      <c r="H74" s="4"/>
      <c r="I74" s="4">
        <v>120</v>
      </c>
      <c r="J74" s="4"/>
      <c r="K74" s="4"/>
      <c r="L74" s="4"/>
      <c r="M74" s="4"/>
      <c r="N74" s="4">
        <v>0</v>
      </c>
      <c r="O74" s="4">
        <v>0</v>
      </c>
      <c r="P74" s="4">
        <v>0</v>
      </c>
      <c r="Q74" s="4">
        <v>0</v>
      </c>
      <c r="R74" s="4">
        <f>(12.5/2.5)*2</f>
        <v>10</v>
      </c>
      <c r="S74" s="4">
        <f>(30/2.5)*2</f>
        <v>24</v>
      </c>
      <c r="T74" s="4">
        <f>(20/2.5)*2</f>
        <v>16</v>
      </c>
      <c r="U74" s="4">
        <f>(15/2.5)*2</f>
        <v>12</v>
      </c>
      <c r="V74" s="4">
        <f>(10/2.5)*2</f>
        <v>8</v>
      </c>
      <c r="W74" s="4">
        <f t="shared" si="10"/>
        <v>0</v>
      </c>
      <c r="X74" s="4">
        <f t="shared" si="9"/>
        <v>0</v>
      </c>
      <c r="Y74" s="4">
        <f>(12.5/2.5)*2</f>
        <v>10</v>
      </c>
      <c r="Z74" s="4">
        <f>(30/2.5)*2</f>
        <v>24</v>
      </c>
      <c r="AA74" s="4">
        <f>(20/2.5)*2</f>
        <v>16</v>
      </c>
      <c r="AB74" s="4">
        <f>(15/2.5)*2</f>
        <v>12</v>
      </c>
      <c r="AC74" s="4">
        <f>(10/2.5)*2</f>
        <v>8</v>
      </c>
      <c r="AD74" s="4">
        <f>(12.5/2.5)*2</f>
        <v>10</v>
      </c>
      <c r="AE74" s="4">
        <f t="shared" si="8"/>
        <v>0</v>
      </c>
      <c r="AF74" s="4">
        <v>6</v>
      </c>
      <c r="AG74" s="57"/>
      <c r="AH74" s="57"/>
      <c r="AI74" s="57"/>
      <c r="AJ74" s="57"/>
      <c r="AK74" s="57"/>
      <c r="AM74">
        <v>74</v>
      </c>
    </row>
    <row r="75" spans="1:39" x14ac:dyDescent="0.25">
      <c r="A75" s="4" t="s">
        <v>398</v>
      </c>
      <c r="B75" s="41" t="s">
        <v>178</v>
      </c>
      <c r="C75" s="4">
        <v>294</v>
      </c>
      <c r="D75" s="4"/>
      <c r="E75" s="4"/>
      <c r="F75" s="4"/>
      <c r="G75" s="4"/>
      <c r="H75" s="4"/>
      <c r="I75" s="4"/>
      <c r="J75" s="4"/>
      <c r="K75" s="4"/>
      <c r="L75" s="4"/>
      <c r="M75" s="4">
        <v>210</v>
      </c>
      <c r="N75" s="4">
        <v>0</v>
      </c>
      <c r="O75" s="4">
        <v>0</v>
      </c>
      <c r="P75" s="4">
        <v>0</v>
      </c>
      <c r="Q75" s="4">
        <v>0</v>
      </c>
      <c r="R75" s="4">
        <f>(7.5/2.5)*2</f>
        <v>6</v>
      </c>
      <c r="S75" s="4">
        <f>(12.5/2.5)*2</f>
        <v>10</v>
      </c>
      <c r="T75" s="4">
        <f>(12.5/2.5)*2</f>
        <v>10</v>
      </c>
      <c r="U75" s="4">
        <f>(20/2.5)*2</f>
        <v>16</v>
      </c>
      <c r="V75" s="4">
        <f>(22.5/2.5)*2</f>
        <v>18</v>
      </c>
      <c r="W75" s="4">
        <f t="shared" si="10"/>
        <v>0</v>
      </c>
      <c r="X75" s="4">
        <f t="shared" si="9"/>
        <v>0</v>
      </c>
      <c r="Y75" s="4">
        <f>(7.5/2.5)*2</f>
        <v>6</v>
      </c>
      <c r="Z75" s="4">
        <f>(12.5/2.5)*2</f>
        <v>10</v>
      </c>
      <c r="AA75" s="4">
        <f>(12.5/2.5)*2</f>
        <v>10</v>
      </c>
      <c r="AB75" s="4">
        <f>(20/2.5)*2</f>
        <v>16</v>
      </c>
      <c r="AC75" s="4">
        <f>(35/2.5)*2</f>
        <v>28</v>
      </c>
      <c r="AD75" s="4">
        <f>(0/2.5)*2</f>
        <v>0</v>
      </c>
      <c r="AE75" s="4">
        <f t="shared" si="8"/>
        <v>0</v>
      </c>
      <c r="AF75" s="4">
        <v>6</v>
      </c>
      <c r="AG75" s="57"/>
      <c r="AH75" s="57"/>
      <c r="AI75" s="57"/>
      <c r="AJ75" s="57"/>
      <c r="AK75" s="57"/>
      <c r="AM75">
        <v>75</v>
      </c>
    </row>
    <row r="76" spans="1:39" x14ac:dyDescent="0.25">
      <c r="A76" s="4" t="s">
        <v>457</v>
      </c>
      <c r="B76" s="41" t="s">
        <v>178</v>
      </c>
      <c r="C76" s="4">
        <v>196</v>
      </c>
      <c r="D76" s="4">
        <v>20</v>
      </c>
      <c r="E76" s="4">
        <v>60</v>
      </c>
      <c r="F76" s="4"/>
      <c r="G76" s="4"/>
      <c r="H76" s="4"/>
      <c r="I76" s="4"/>
      <c r="J76" s="4"/>
      <c r="K76" s="4"/>
      <c r="L76" s="4"/>
      <c r="M76" s="4"/>
      <c r="N76" s="4">
        <v>0</v>
      </c>
      <c r="O76" s="4">
        <v>0</v>
      </c>
      <c r="P76" s="4">
        <v>0</v>
      </c>
      <c r="Q76" s="4">
        <v>0</v>
      </c>
      <c r="R76" s="4">
        <f>(10/2.5)*2</f>
        <v>8</v>
      </c>
      <c r="S76" s="4">
        <f>(30/2.5)*2</f>
        <v>24</v>
      </c>
      <c r="T76" s="4">
        <f>(20/2.5)*2</f>
        <v>16</v>
      </c>
      <c r="U76" s="4">
        <f>(15/2.5)*2</f>
        <v>12</v>
      </c>
      <c r="V76" s="4">
        <f>(12.5/2.5)*2</f>
        <v>10</v>
      </c>
      <c r="W76" s="4">
        <f t="shared" si="10"/>
        <v>0</v>
      </c>
      <c r="X76" s="4">
        <f t="shared" si="9"/>
        <v>0</v>
      </c>
      <c r="Y76" s="4">
        <f>(10/2.5)*2</f>
        <v>8</v>
      </c>
      <c r="Z76" s="4">
        <f>(30/2.5)*2</f>
        <v>24</v>
      </c>
      <c r="AA76" s="4">
        <f>(20/2.5)*2</f>
        <v>16</v>
      </c>
      <c r="AB76" s="4">
        <f>(15/2.5)*2</f>
        <v>12</v>
      </c>
      <c r="AC76" s="4">
        <f>(12.5/2.5)*2</f>
        <v>10</v>
      </c>
      <c r="AD76" s="4">
        <f>(12.5/2.5)*2</f>
        <v>10</v>
      </c>
      <c r="AE76" s="4">
        <f t="shared" si="8"/>
        <v>0</v>
      </c>
      <c r="AF76" s="4">
        <v>6</v>
      </c>
      <c r="AG76" s="57" t="s">
        <v>691</v>
      </c>
      <c r="AH76" s="57"/>
      <c r="AI76" s="57"/>
      <c r="AJ76" s="57"/>
      <c r="AK76" s="57"/>
      <c r="AM76">
        <v>76</v>
      </c>
    </row>
    <row r="77" spans="1:39" x14ac:dyDescent="0.25">
      <c r="A77" s="4" t="s">
        <v>458</v>
      </c>
      <c r="B77" s="41" t="s">
        <v>178</v>
      </c>
      <c r="C77" s="4">
        <v>266</v>
      </c>
      <c r="D77" s="4">
        <v>-10</v>
      </c>
      <c r="E77" s="4"/>
      <c r="F77" s="4"/>
      <c r="G77" s="4"/>
      <c r="H77" s="4">
        <v>60</v>
      </c>
      <c r="I77" s="4"/>
      <c r="J77" s="4"/>
      <c r="K77" s="4"/>
      <c r="L77" s="4"/>
      <c r="M77" s="4"/>
      <c r="N77" s="4">
        <v>0</v>
      </c>
      <c r="O77" s="4">
        <v>0</v>
      </c>
      <c r="P77" s="4">
        <v>0</v>
      </c>
      <c r="Q77" s="4">
        <v>0</v>
      </c>
      <c r="R77" s="4">
        <f>(22.5/2.5)*2</f>
        <v>18</v>
      </c>
      <c r="S77" s="4">
        <f>(12.5/2.5)*2</f>
        <v>10</v>
      </c>
      <c r="T77" s="4">
        <f>(15/2.5)*2</f>
        <v>12</v>
      </c>
      <c r="U77" s="4">
        <f>(30/2.5)*2</f>
        <v>24</v>
      </c>
      <c r="V77" s="4">
        <f>(7.5/2.5)*2</f>
        <v>6</v>
      </c>
      <c r="W77" s="4">
        <f t="shared" si="10"/>
        <v>0</v>
      </c>
      <c r="X77" s="4">
        <f t="shared" si="9"/>
        <v>0</v>
      </c>
      <c r="Y77" s="4">
        <f>(22.5/2.5)*2</f>
        <v>18</v>
      </c>
      <c r="Z77" s="4">
        <f>(12.5/2.5)*2</f>
        <v>10</v>
      </c>
      <c r="AA77" s="4">
        <f>(15/2.5)*2</f>
        <v>12</v>
      </c>
      <c r="AB77" s="4">
        <f>(30/2.5)*2</f>
        <v>24</v>
      </c>
      <c r="AC77" s="4">
        <f>(15/2.5)*2</f>
        <v>12</v>
      </c>
      <c r="AD77" s="4">
        <f>(5/2.5)*2</f>
        <v>4</v>
      </c>
      <c r="AE77" s="4">
        <f t="shared" si="8"/>
        <v>0</v>
      </c>
      <c r="AF77" s="4">
        <v>6</v>
      </c>
      <c r="AG77" s="57" t="s">
        <v>691</v>
      </c>
      <c r="AH77" s="57"/>
      <c r="AI77" s="57"/>
      <c r="AJ77" s="57"/>
      <c r="AK77" s="57"/>
      <c r="AM77">
        <v>77</v>
      </c>
    </row>
    <row r="78" spans="1:39" x14ac:dyDescent="0.25">
      <c r="A78" s="4" t="s">
        <v>459</v>
      </c>
      <c r="B78" s="41" t="s">
        <v>178</v>
      </c>
      <c r="C78" s="4">
        <v>238</v>
      </c>
      <c r="D78" s="4"/>
      <c r="E78" s="4">
        <v>60</v>
      </c>
      <c r="F78" s="4"/>
      <c r="G78" s="4"/>
      <c r="H78" s="4"/>
      <c r="I78" s="4"/>
      <c r="J78" s="4"/>
      <c r="K78" s="4"/>
      <c r="L78" s="4"/>
      <c r="M78" s="4"/>
      <c r="N78" s="4">
        <v>1</v>
      </c>
      <c r="O78" s="4">
        <v>0</v>
      </c>
      <c r="P78" s="4">
        <v>0</v>
      </c>
      <c r="Q78" s="4">
        <v>0</v>
      </c>
      <c r="R78" s="4">
        <f>(50/2.5)*2</f>
        <v>40</v>
      </c>
      <c r="S78" s="4">
        <f>(17.5/2.5)*2</f>
        <v>14</v>
      </c>
      <c r="T78" s="4">
        <f>(5/2.5)*2</f>
        <v>4</v>
      </c>
      <c r="U78" s="4">
        <f>(5/2.5)*2</f>
        <v>4</v>
      </c>
      <c r="V78" s="4">
        <f>(10/2.5)*2</f>
        <v>8</v>
      </c>
      <c r="W78" s="4">
        <f t="shared" si="10"/>
        <v>0</v>
      </c>
      <c r="X78" s="4">
        <f t="shared" si="9"/>
        <v>0</v>
      </c>
      <c r="Y78" s="4">
        <f>(50/2.5)*2</f>
        <v>40</v>
      </c>
      <c r="Z78" s="4">
        <f>(17.5/2.5)*2</f>
        <v>14</v>
      </c>
      <c r="AA78" s="4">
        <f>(5/2.5)*2</f>
        <v>4</v>
      </c>
      <c r="AB78" s="4">
        <f>(5/2.5)*2</f>
        <v>4</v>
      </c>
      <c r="AC78" s="4">
        <f>(12.5/2.5)*2</f>
        <v>10</v>
      </c>
      <c r="AD78" s="4">
        <f>(10/2.5)*2</f>
        <v>8</v>
      </c>
      <c r="AE78" s="4">
        <f t="shared" si="8"/>
        <v>0</v>
      </c>
      <c r="AF78" s="4">
        <v>6</v>
      </c>
      <c r="AG78" s="57"/>
      <c r="AH78" s="57"/>
      <c r="AI78" s="57"/>
      <c r="AJ78" s="57"/>
      <c r="AK78" s="57"/>
      <c r="AM78">
        <v>78</v>
      </c>
    </row>
    <row r="79" spans="1:39" x14ac:dyDescent="0.25">
      <c r="A79" s="4" t="s">
        <v>460</v>
      </c>
      <c r="B79" s="41" t="s">
        <v>178</v>
      </c>
      <c r="C79" s="4">
        <v>238</v>
      </c>
      <c r="D79" s="4">
        <v>-20</v>
      </c>
      <c r="E79" s="4"/>
      <c r="F79" s="4"/>
      <c r="G79" s="4"/>
      <c r="H79" s="4"/>
      <c r="I79" s="4"/>
      <c r="J79" s="4"/>
      <c r="K79" s="4"/>
      <c r="L79" s="4"/>
      <c r="M79" s="4">
        <v>90</v>
      </c>
      <c r="N79" s="4">
        <v>0</v>
      </c>
      <c r="O79" s="4">
        <v>0</v>
      </c>
      <c r="P79" s="4">
        <v>0</v>
      </c>
      <c r="Q79" s="4">
        <v>0</v>
      </c>
      <c r="R79" s="4">
        <f>(25/2.5)*2</f>
        <v>20</v>
      </c>
      <c r="S79" s="4">
        <f>(30/2.5)*2</f>
        <v>24</v>
      </c>
      <c r="T79" s="4">
        <f>(10/2.5)*2</f>
        <v>8</v>
      </c>
      <c r="U79" s="4">
        <f>(12.5/2.5)*2</f>
        <v>10</v>
      </c>
      <c r="V79" s="4">
        <f>(10/2.5)*2</f>
        <v>8</v>
      </c>
      <c r="W79" s="4">
        <f t="shared" si="10"/>
        <v>0</v>
      </c>
      <c r="X79" s="4">
        <f t="shared" si="9"/>
        <v>0</v>
      </c>
      <c r="Y79" s="4">
        <f>(25/2.5)*2</f>
        <v>20</v>
      </c>
      <c r="Z79" s="4">
        <f>(30/2.5)*2</f>
        <v>24</v>
      </c>
      <c r="AA79" s="4">
        <f>(10/2.5)*2</f>
        <v>8</v>
      </c>
      <c r="AB79" s="4">
        <f>(12.5/2.5)*2</f>
        <v>10</v>
      </c>
      <c r="AC79" s="4">
        <f>(22.5/2.5)*2</f>
        <v>18</v>
      </c>
      <c r="AD79" s="4">
        <f>(0/2.5)*2</f>
        <v>0</v>
      </c>
      <c r="AE79" s="4">
        <f t="shared" si="8"/>
        <v>0</v>
      </c>
      <c r="AF79" s="4">
        <v>6</v>
      </c>
      <c r="AG79" s="57"/>
      <c r="AH79" s="57"/>
      <c r="AI79" s="57"/>
      <c r="AJ79" s="57"/>
      <c r="AK79" s="57"/>
      <c r="AM79">
        <v>79</v>
      </c>
    </row>
    <row r="80" spans="1:39" x14ac:dyDescent="0.25">
      <c r="A80" s="4" t="s">
        <v>456</v>
      </c>
      <c r="B80" s="41" t="s">
        <v>178</v>
      </c>
      <c r="C80" s="4">
        <v>224</v>
      </c>
      <c r="D80" s="4"/>
      <c r="E80" s="4"/>
      <c r="F80" s="4"/>
      <c r="G80" s="4">
        <v>90</v>
      </c>
      <c r="H80" s="4"/>
      <c r="I80" s="4"/>
      <c r="J80" s="4"/>
      <c r="K80" s="4"/>
      <c r="L80" s="4"/>
      <c r="M80" s="4"/>
      <c r="N80" s="4">
        <v>0</v>
      </c>
      <c r="O80" s="4">
        <v>0</v>
      </c>
      <c r="P80" s="4">
        <v>0</v>
      </c>
      <c r="Q80" s="4">
        <v>0</v>
      </c>
      <c r="R80" s="4">
        <f>(20/2.5)*2</f>
        <v>16</v>
      </c>
      <c r="S80" s="4">
        <f>(12.5/2.5)*2</f>
        <v>10</v>
      </c>
      <c r="T80" s="4">
        <f>(15/2.5)*2</f>
        <v>12</v>
      </c>
      <c r="U80" s="4">
        <f>(30/2.5)*2</f>
        <v>24</v>
      </c>
      <c r="V80" s="4">
        <f>(10/2.5)*2</f>
        <v>8</v>
      </c>
      <c r="W80" s="4">
        <f t="shared" si="10"/>
        <v>0</v>
      </c>
      <c r="X80" s="4">
        <f t="shared" si="9"/>
        <v>0</v>
      </c>
      <c r="Y80" s="4">
        <f>(20/2.5)*2</f>
        <v>16</v>
      </c>
      <c r="Z80" s="4">
        <f>(12.5/2.5)*2</f>
        <v>10</v>
      </c>
      <c r="AA80" s="4">
        <f>(15/2.5)*2</f>
        <v>12</v>
      </c>
      <c r="AB80" s="4">
        <f>(30/2.5)*2</f>
        <v>24</v>
      </c>
      <c r="AC80" s="4">
        <f>(12.5/2.5)*2</f>
        <v>10</v>
      </c>
      <c r="AD80" s="4">
        <f>(10/2.5)*2</f>
        <v>8</v>
      </c>
      <c r="AE80" s="4">
        <f t="shared" si="8"/>
        <v>0</v>
      </c>
      <c r="AF80" s="4">
        <v>6</v>
      </c>
      <c r="AG80" s="57" t="s">
        <v>691</v>
      </c>
      <c r="AH80" s="57"/>
      <c r="AI80" s="57"/>
      <c r="AJ80" s="57"/>
      <c r="AK80" s="57"/>
      <c r="AM80">
        <v>80</v>
      </c>
    </row>
    <row r="81" spans="1:39" x14ac:dyDescent="0.25">
      <c r="A81" s="4" t="s">
        <v>455</v>
      </c>
      <c r="B81" s="41" t="s">
        <v>178</v>
      </c>
      <c r="C81" s="4">
        <v>182</v>
      </c>
      <c r="D81" s="4"/>
      <c r="E81" s="4"/>
      <c r="F81" s="4"/>
      <c r="G81" s="4"/>
      <c r="H81" s="4"/>
      <c r="I81" s="4"/>
      <c r="J81" s="4"/>
      <c r="K81" s="4">
        <v>60</v>
      </c>
      <c r="L81" s="4"/>
      <c r="M81" s="4"/>
      <c r="N81" s="4">
        <v>0</v>
      </c>
      <c r="O81" s="4">
        <v>0</v>
      </c>
      <c r="P81" s="4">
        <v>0</v>
      </c>
      <c r="Q81" s="4">
        <v>0</v>
      </c>
      <c r="R81" s="4">
        <f>(27.5/2.5)*2</f>
        <v>22</v>
      </c>
      <c r="S81" s="4">
        <f>(7.5/2.5)*2</f>
        <v>6</v>
      </c>
      <c r="T81" s="4">
        <f>(15/2.5)*2</f>
        <v>12</v>
      </c>
      <c r="U81" s="4">
        <f>(20/2.5)*2</f>
        <v>16</v>
      </c>
      <c r="V81" s="4">
        <f>(10/2.5)*2</f>
        <v>8</v>
      </c>
      <c r="W81" s="4">
        <f>(7.5/2.5)*2</f>
        <v>6</v>
      </c>
      <c r="X81" s="4">
        <f t="shared" si="9"/>
        <v>0</v>
      </c>
      <c r="Y81" s="4">
        <f>(27.5/2.5)*2</f>
        <v>22</v>
      </c>
      <c r="Z81" s="4">
        <f>(7.5/2.5)*2</f>
        <v>6</v>
      </c>
      <c r="AA81" s="4">
        <f>(15/2.5)*2</f>
        <v>12</v>
      </c>
      <c r="AB81" s="4">
        <f>(20/2.5)*2</f>
        <v>16</v>
      </c>
      <c r="AC81" s="4">
        <f>(10/2.5)*2</f>
        <v>8</v>
      </c>
      <c r="AD81" s="4">
        <f>(20/2.5)*2</f>
        <v>16</v>
      </c>
      <c r="AE81" s="4">
        <f t="shared" si="8"/>
        <v>0</v>
      </c>
      <c r="AF81" s="4">
        <v>6</v>
      </c>
      <c r="AG81" s="57" t="s">
        <v>691</v>
      </c>
      <c r="AH81" s="57"/>
      <c r="AI81" s="57"/>
      <c r="AJ81" s="57"/>
      <c r="AK81" s="57"/>
      <c r="AM81">
        <v>81</v>
      </c>
    </row>
    <row r="82" spans="1:39" x14ac:dyDescent="0.25">
      <c r="A82" s="4" t="s">
        <v>487</v>
      </c>
      <c r="B82" s="41" t="s">
        <v>178</v>
      </c>
      <c r="C82" s="4">
        <v>238</v>
      </c>
      <c r="D82" s="4"/>
      <c r="E82" s="4"/>
      <c r="F82" s="4">
        <v>120</v>
      </c>
      <c r="G82" s="4"/>
      <c r="H82" s="4"/>
      <c r="I82" s="4"/>
      <c r="J82" s="4"/>
      <c r="K82" s="4"/>
      <c r="L82" s="4"/>
      <c r="M82" s="4"/>
      <c r="N82" s="4">
        <v>0</v>
      </c>
      <c r="O82" s="4">
        <v>0</v>
      </c>
      <c r="P82" s="4">
        <v>0</v>
      </c>
      <c r="Q82" s="4">
        <v>0</v>
      </c>
      <c r="R82" s="4">
        <f>(47.5/2.5)*2</f>
        <v>38</v>
      </c>
      <c r="S82" s="4">
        <f>(17.5/2.5)*2</f>
        <v>14</v>
      </c>
      <c r="T82" s="4">
        <f>(5/2.5)*2</f>
        <v>4</v>
      </c>
      <c r="U82" s="4">
        <f>(5/2.5)*2</f>
        <v>4</v>
      </c>
      <c r="V82" s="4">
        <f>(12.5/2.5)*2</f>
        <v>10</v>
      </c>
      <c r="W82" s="4">
        <f>(0/2.5)*2</f>
        <v>0</v>
      </c>
      <c r="X82" s="4">
        <f t="shared" si="9"/>
        <v>0</v>
      </c>
      <c r="Y82" s="4">
        <f>(47.5/2.5)*2</f>
        <v>38</v>
      </c>
      <c r="Z82" s="4">
        <f>(17.5/2.5)*2</f>
        <v>14</v>
      </c>
      <c r="AA82" s="4">
        <f>(5/2.5)*2</f>
        <v>4</v>
      </c>
      <c r="AB82" s="4">
        <f>(5/2.5)*2</f>
        <v>4</v>
      </c>
      <c r="AC82" s="4">
        <f>(15/2.5)*2</f>
        <v>12</v>
      </c>
      <c r="AD82" s="4">
        <f>(10/2.5)*2</f>
        <v>8</v>
      </c>
      <c r="AE82" s="4">
        <f t="shared" si="8"/>
        <v>0</v>
      </c>
      <c r="AF82" s="4">
        <v>6</v>
      </c>
      <c r="AG82" s="57" t="s">
        <v>691</v>
      </c>
      <c r="AH82" s="57"/>
      <c r="AI82" s="57"/>
      <c r="AJ82" s="57"/>
      <c r="AK82" s="57"/>
      <c r="AM82">
        <v>82</v>
      </c>
    </row>
    <row r="83" spans="1:39" x14ac:dyDescent="0.25">
      <c r="A83" s="4" t="s">
        <v>486</v>
      </c>
      <c r="B83" s="41" t="s">
        <v>178</v>
      </c>
      <c r="C83" s="4">
        <v>224</v>
      </c>
      <c r="D83" s="4"/>
      <c r="E83" s="4"/>
      <c r="F83" s="4"/>
      <c r="G83" s="4"/>
      <c r="H83" s="4">
        <v>120</v>
      </c>
      <c r="I83" s="4"/>
      <c r="J83" s="4"/>
      <c r="K83" s="4"/>
      <c r="L83" s="4"/>
      <c r="M83" s="4"/>
      <c r="N83" s="4">
        <v>0</v>
      </c>
      <c r="O83" s="4">
        <v>0</v>
      </c>
      <c r="P83" s="4">
        <v>0</v>
      </c>
      <c r="Q83" s="4">
        <v>0</v>
      </c>
      <c r="R83" s="4">
        <f>(20/2.5)*2</f>
        <v>16</v>
      </c>
      <c r="S83" s="4">
        <f>(12.5/2.5)*2</f>
        <v>10</v>
      </c>
      <c r="T83" s="4">
        <f>(15/2.5)*2</f>
        <v>12</v>
      </c>
      <c r="U83" s="4">
        <f>(30/2.5)*2</f>
        <v>24</v>
      </c>
      <c r="V83" s="4">
        <f>(10/2.5)*2</f>
        <v>8</v>
      </c>
      <c r="W83" s="4">
        <f>(0/2.5)*2</f>
        <v>0</v>
      </c>
      <c r="X83" s="4">
        <f t="shared" si="9"/>
        <v>0</v>
      </c>
      <c r="Y83" s="4">
        <f>(20/2.5)*2</f>
        <v>16</v>
      </c>
      <c r="Z83" s="4">
        <f>(12.5/2.5)*2</f>
        <v>10</v>
      </c>
      <c r="AA83" s="4">
        <f>(15/2.5)*2</f>
        <v>12</v>
      </c>
      <c r="AB83" s="4">
        <f>(30/2.5)*2</f>
        <v>24</v>
      </c>
      <c r="AC83" s="4">
        <f>(12.5/2.5)*2</f>
        <v>10</v>
      </c>
      <c r="AD83" s="4">
        <f>(10/2.5)*2</f>
        <v>8</v>
      </c>
      <c r="AE83" s="4">
        <f t="shared" si="8"/>
        <v>0</v>
      </c>
      <c r="AF83" s="4">
        <v>6</v>
      </c>
      <c r="AG83" s="57" t="s">
        <v>691</v>
      </c>
      <c r="AH83" s="57"/>
      <c r="AI83" s="57"/>
      <c r="AJ83" s="57"/>
      <c r="AK83" s="57"/>
      <c r="AM83">
        <v>83</v>
      </c>
    </row>
    <row r="84" spans="1:39" x14ac:dyDescent="0.25">
      <c r="A84" s="4" t="s">
        <v>485</v>
      </c>
      <c r="B84" s="41" t="s">
        <v>178</v>
      </c>
      <c r="C84" s="4">
        <v>224</v>
      </c>
      <c r="D84" s="4"/>
      <c r="E84" s="4"/>
      <c r="F84" s="4"/>
      <c r="G84" s="4"/>
      <c r="H84" s="4"/>
      <c r="I84" s="4"/>
      <c r="J84" s="4">
        <v>150</v>
      </c>
      <c r="K84" s="4"/>
      <c r="L84" s="4"/>
      <c r="M84" s="4"/>
      <c r="N84" s="4">
        <v>0</v>
      </c>
      <c r="O84" s="4">
        <v>0</v>
      </c>
      <c r="P84" s="4">
        <v>0</v>
      </c>
      <c r="Q84" s="4">
        <v>0</v>
      </c>
      <c r="R84" s="4">
        <f>(15/2.5)*2</f>
        <v>12</v>
      </c>
      <c r="S84" s="4">
        <f>(15/2.5)*2</f>
        <v>12</v>
      </c>
      <c r="T84" s="4">
        <f>(5/2.5)*2</f>
        <v>4</v>
      </c>
      <c r="U84" s="4">
        <f>(37.5/2.5)*2</f>
        <v>30</v>
      </c>
      <c r="V84" s="4">
        <f>(15/2.5)*2</f>
        <v>12</v>
      </c>
      <c r="W84" s="4">
        <f>(0/2.5)*2</f>
        <v>0</v>
      </c>
      <c r="X84" s="4">
        <f t="shared" si="9"/>
        <v>0</v>
      </c>
      <c r="Y84" s="4">
        <f>(15/2.5)*2</f>
        <v>12</v>
      </c>
      <c r="Z84" s="4">
        <f>(15/2.5)*2</f>
        <v>12</v>
      </c>
      <c r="AA84" s="4">
        <f>(5/2.5)*2</f>
        <v>4</v>
      </c>
      <c r="AB84" s="4">
        <f>(37.5/2.5)*2</f>
        <v>30</v>
      </c>
      <c r="AC84" s="4">
        <f>(22.5/2.5)*2</f>
        <v>18</v>
      </c>
      <c r="AD84" s="4">
        <f>(5/2.5)*2</f>
        <v>4</v>
      </c>
      <c r="AE84" s="4">
        <f t="shared" si="8"/>
        <v>0</v>
      </c>
      <c r="AF84" s="4">
        <v>6</v>
      </c>
      <c r="AG84" s="57" t="s">
        <v>691</v>
      </c>
      <c r="AH84" s="57"/>
      <c r="AI84" s="57"/>
      <c r="AJ84" s="57"/>
      <c r="AK84" s="57"/>
      <c r="AM84">
        <v>84</v>
      </c>
    </row>
    <row r="85" spans="1:39" x14ac:dyDescent="0.25">
      <c r="A85" s="4" t="s">
        <v>484</v>
      </c>
      <c r="B85" s="41" t="s">
        <v>178</v>
      </c>
      <c r="C85" s="4">
        <v>210</v>
      </c>
      <c r="D85" s="4">
        <v>20</v>
      </c>
      <c r="E85" s="4"/>
      <c r="F85" s="4"/>
      <c r="G85" s="4"/>
      <c r="H85" s="4"/>
      <c r="I85" s="4"/>
      <c r="J85" s="4"/>
      <c r="K85" s="4"/>
      <c r="L85" s="4">
        <v>60</v>
      </c>
      <c r="M85" s="4"/>
      <c r="N85" s="4">
        <v>0</v>
      </c>
      <c r="O85" s="4">
        <v>0</v>
      </c>
      <c r="P85" s="4">
        <v>0</v>
      </c>
      <c r="Q85" s="4">
        <v>0</v>
      </c>
      <c r="R85" s="4">
        <f>(20/2.5)*2</f>
        <v>16</v>
      </c>
      <c r="S85" s="4">
        <f>(15/2.5)*2</f>
        <v>12</v>
      </c>
      <c r="T85" s="4">
        <f>(15/2.5)*2</f>
        <v>12</v>
      </c>
      <c r="U85" s="4">
        <f>(25/2.5)*2</f>
        <v>20</v>
      </c>
      <c r="V85" s="4">
        <f>(12.5/2.5)*2</f>
        <v>10</v>
      </c>
      <c r="W85" s="4">
        <f>(0/2.5)*2</f>
        <v>0</v>
      </c>
      <c r="X85" s="4">
        <f t="shared" si="9"/>
        <v>0</v>
      </c>
      <c r="Y85" s="4">
        <f>(20/2.5)*2</f>
        <v>16</v>
      </c>
      <c r="Z85" s="4">
        <f>(15/2.5)*2</f>
        <v>12</v>
      </c>
      <c r="AA85" s="4">
        <f>(15/2.5)*2</f>
        <v>12</v>
      </c>
      <c r="AB85" s="4">
        <f>(25/2.5)*2</f>
        <v>20</v>
      </c>
      <c r="AC85" s="4">
        <f>(17.5/2.5)*2</f>
        <v>14</v>
      </c>
      <c r="AD85" s="4">
        <f>(7.5/2.5)*2</f>
        <v>6</v>
      </c>
      <c r="AE85" s="4">
        <f t="shared" ref="AE85:AE116" si="14">(0/2.5)*2</f>
        <v>0</v>
      </c>
      <c r="AF85" s="4">
        <v>6</v>
      </c>
      <c r="AG85" s="57"/>
      <c r="AH85" s="57"/>
      <c r="AI85" s="57"/>
      <c r="AJ85" s="57"/>
      <c r="AK85" s="57"/>
      <c r="AM85">
        <v>85</v>
      </c>
    </row>
    <row r="86" spans="1:39" x14ac:dyDescent="0.25">
      <c r="A86" s="4" t="s">
        <v>483</v>
      </c>
      <c r="B86" s="41" t="s">
        <v>178</v>
      </c>
      <c r="C86" s="4">
        <v>182</v>
      </c>
      <c r="D86" s="4">
        <v>10</v>
      </c>
      <c r="E86" s="4"/>
      <c r="F86" s="4">
        <v>90</v>
      </c>
      <c r="G86" s="4"/>
      <c r="H86" s="4"/>
      <c r="I86" s="4"/>
      <c r="J86" s="4"/>
      <c r="K86" s="4"/>
      <c r="L86" s="4"/>
      <c r="M86" s="4"/>
      <c r="N86" s="4">
        <v>0</v>
      </c>
      <c r="O86" s="4">
        <v>0</v>
      </c>
      <c r="P86" s="4">
        <v>0</v>
      </c>
      <c r="Q86" s="4">
        <v>0</v>
      </c>
      <c r="R86" s="4">
        <f>(40/2.5)*2</f>
        <v>32</v>
      </c>
      <c r="S86" s="4">
        <f>(25/2.5)*2</f>
        <v>20</v>
      </c>
      <c r="T86" s="4">
        <f>(7.5/2.5)*2</f>
        <v>6</v>
      </c>
      <c r="U86" s="4">
        <f>(7.5/2.5)*2</f>
        <v>6</v>
      </c>
      <c r="V86" s="4">
        <f>(7.5/2.5)*2</f>
        <v>6</v>
      </c>
      <c r="W86" s="4">
        <f>(0/2.5)*2</f>
        <v>0</v>
      </c>
      <c r="X86" s="4">
        <f t="shared" si="9"/>
        <v>0</v>
      </c>
      <c r="Y86" s="4">
        <f>(40/2.5)*2</f>
        <v>32</v>
      </c>
      <c r="Z86" s="4">
        <f>(25/2.5)*2</f>
        <v>20</v>
      </c>
      <c r="AA86" s="4">
        <f>(7.5/2.5)*2</f>
        <v>6</v>
      </c>
      <c r="AB86" s="4">
        <f>(7.5/2.5)*2</f>
        <v>6</v>
      </c>
      <c r="AC86" s="4">
        <f>(12.5/2.5)*2</f>
        <v>10</v>
      </c>
      <c r="AD86" s="4">
        <f>(7.5/2.5)*2</f>
        <v>6</v>
      </c>
      <c r="AE86" s="4">
        <f t="shared" si="14"/>
        <v>0</v>
      </c>
      <c r="AF86" s="4">
        <v>6</v>
      </c>
      <c r="AG86" s="57"/>
      <c r="AH86" s="57"/>
      <c r="AI86" s="57"/>
      <c r="AJ86" s="57"/>
      <c r="AK86" s="57"/>
      <c r="AM86">
        <v>86</v>
      </c>
    </row>
    <row r="87" spans="1:39" x14ac:dyDescent="0.25">
      <c r="A87" s="4" t="s">
        <v>482</v>
      </c>
      <c r="B87" s="41" t="s">
        <v>178</v>
      </c>
      <c r="C87" s="4">
        <v>196</v>
      </c>
      <c r="D87" s="4">
        <v>10</v>
      </c>
      <c r="E87" s="4"/>
      <c r="F87" s="4"/>
      <c r="G87" s="4">
        <v>60</v>
      </c>
      <c r="H87" s="4"/>
      <c r="I87" s="4"/>
      <c r="J87" s="4"/>
      <c r="K87" s="4"/>
      <c r="L87" s="4"/>
      <c r="M87" s="4"/>
      <c r="N87" s="4">
        <v>0</v>
      </c>
      <c r="O87" s="4">
        <v>0</v>
      </c>
      <c r="P87" s="4">
        <v>0</v>
      </c>
      <c r="Q87" s="4">
        <v>0</v>
      </c>
      <c r="R87" s="4">
        <f>(55/2.5)*2</f>
        <v>44</v>
      </c>
      <c r="S87" s="4">
        <f>(5/2.5)*2</f>
        <v>4</v>
      </c>
      <c r="T87" s="4">
        <f>(5/2.5)*2</f>
        <v>4</v>
      </c>
      <c r="U87" s="4">
        <f>(12.5/2.5)*2</f>
        <v>10</v>
      </c>
      <c r="V87" s="4">
        <f>(5/2.5)*2</f>
        <v>4</v>
      </c>
      <c r="W87" s="4">
        <f>(5/2.5)*2</f>
        <v>4</v>
      </c>
      <c r="X87" s="4">
        <f t="shared" si="9"/>
        <v>0</v>
      </c>
      <c r="Y87" s="4">
        <f>(55/2.5)*2</f>
        <v>44</v>
      </c>
      <c r="Z87" s="4">
        <f>(5/2.5)*2</f>
        <v>4</v>
      </c>
      <c r="AA87" s="4">
        <f>(5/2.5)*2</f>
        <v>4</v>
      </c>
      <c r="AB87" s="4">
        <f>(12.5/2.5)*2</f>
        <v>10</v>
      </c>
      <c r="AC87" s="4">
        <f>(5/2.5)*2</f>
        <v>4</v>
      </c>
      <c r="AD87" s="4">
        <f>(17.5/2.5)*2</f>
        <v>14</v>
      </c>
      <c r="AE87" s="4">
        <f t="shared" si="14"/>
        <v>0</v>
      </c>
      <c r="AF87" s="4">
        <v>6</v>
      </c>
      <c r="AG87" s="57"/>
      <c r="AH87" s="57"/>
      <c r="AI87" s="57"/>
      <c r="AJ87" s="57"/>
      <c r="AK87" s="57"/>
      <c r="AM87">
        <v>87</v>
      </c>
    </row>
    <row r="88" spans="1:39" x14ac:dyDescent="0.25">
      <c r="A88" s="4" t="s">
        <v>469</v>
      </c>
      <c r="B88" s="41" t="s">
        <v>178</v>
      </c>
      <c r="C88" s="4">
        <v>224</v>
      </c>
      <c r="D88" s="4">
        <v>-20</v>
      </c>
      <c r="E88" s="4">
        <v>120</v>
      </c>
      <c r="F88" s="4"/>
      <c r="G88" s="4"/>
      <c r="H88" s="4"/>
      <c r="I88" s="4"/>
      <c r="J88" s="4"/>
      <c r="K88" s="4"/>
      <c r="L88" s="4"/>
      <c r="M88" s="4"/>
      <c r="N88" s="4">
        <v>0</v>
      </c>
      <c r="O88" s="4">
        <v>0</v>
      </c>
      <c r="P88" s="4">
        <v>0</v>
      </c>
      <c r="Q88" s="4">
        <v>0</v>
      </c>
      <c r="R88" s="4">
        <f>(25/2.5)*2</f>
        <v>20</v>
      </c>
      <c r="S88" s="4">
        <f>(30/2.5)*2</f>
        <v>24</v>
      </c>
      <c r="T88" s="4">
        <f>(10/2.5)*2</f>
        <v>8</v>
      </c>
      <c r="U88" s="4">
        <f>(12.5/2.5)*2</f>
        <v>10</v>
      </c>
      <c r="V88" s="4">
        <f>(10/2.5)*2</f>
        <v>8</v>
      </c>
      <c r="W88" s="4">
        <f t="shared" ref="W88:W98" si="15">(0/2.5)*2</f>
        <v>0</v>
      </c>
      <c r="X88" s="4">
        <f t="shared" si="9"/>
        <v>0</v>
      </c>
      <c r="Y88" s="4">
        <f>(25/2.5)*2</f>
        <v>20</v>
      </c>
      <c r="Z88" s="4">
        <f>(30/2.5)*2</f>
        <v>24</v>
      </c>
      <c r="AA88" s="4">
        <f>(10/2.5)*2</f>
        <v>8</v>
      </c>
      <c r="AB88" s="4">
        <f>(12.5/2.5)*2</f>
        <v>10</v>
      </c>
      <c r="AC88" s="4">
        <f>(22.5/2.5)*2</f>
        <v>18</v>
      </c>
      <c r="AD88" s="4">
        <f>(0/2.5)*2</f>
        <v>0</v>
      </c>
      <c r="AE88" s="4">
        <f t="shared" si="14"/>
        <v>0</v>
      </c>
      <c r="AF88" s="4">
        <v>6</v>
      </c>
      <c r="AG88" s="57"/>
      <c r="AH88" s="57"/>
      <c r="AI88" s="57"/>
      <c r="AJ88" s="57"/>
      <c r="AK88" s="57"/>
      <c r="AM88">
        <v>88</v>
      </c>
    </row>
    <row r="89" spans="1:39" x14ac:dyDescent="0.25">
      <c r="A89" s="40" t="s">
        <v>308</v>
      </c>
      <c r="B89" s="41" t="s">
        <v>178</v>
      </c>
      <c r="C89" s="41">
        <v>294</v>
      </c>
      <c r="D89" s="41">
        <v>-20</v>
      </c>
      <c r="E89" s="41">
        <v>210</v>
      </c>
      <c r="F89" s="41"/>
      <c r="G89" s="41"/>
      <c r="H89" s="41"/>
      <c r="I89" s="41"/>
      <c r="J89" s="41"/>
      <c r="K89" s="41"/>
      <c r="L89" s="41"/>
      <c r="M89" s="41"/>
      <c r="N89" s="41">
        <v>0</v>
      </c>
      <c r="O89" s="41">
        <v>0</v>
      </c>
      <c r="P89" s="41">
        <v>0</v>
      </c>
      <c r="Q89" s="41">
        <v>0</v>
      </c>
      <c r="R89" s="41">
        <f>(25/2.5)*2</f>
        <v>20</v>
      </c>
      <c r="S89" s="41">
        <f>(30/2.5)*2</f>
        <v>24</v>
      </c>
      <c r="T89" s="41">
        <f>(10/2.5)*2</f>
        <v>8</v>
      </c>
      <c r="U89" s="41">
        <f>(12.5/2.5)*2</f>
        <v>10</v>
      </c>
      <c r="V89" s="41">
        <f>(10/2.5)*2</f>
        <v>8</v>
      </c>
      <c r="W89" s="41">
        <f t="shared" si="15"/>
        <v>0</v>
      </c>
      <c r="X89" s="41">
        <f t="shared" si="9"/>
        <v>0</v>
      </c>
      <c r="Y89" s="41">
        <f>(25/2.5)*2</f>
        <v>20</v>
      </c>
      <c r="Z89" s="41">
        <f>(30/2.5)*2</f>
        <v>24</v>
      </c>
      <c r="AA89" s="41">
        <f>(10/2.5)*2</f>
        <v>8</v>
      </c>
      <c r="AB89" s="41">
        <f>(12.5/2.5)*2</f>
        <v>10</v>
      </c>
      <c r="AC89" s="41">
        <f>(22.5/2.5)*2</f>
        <v>18</v>
      </c>
      <c r="AD89" s="41">
        <f>(0/2.5)*2</f>
        <v>0</v>
      </c>
      <c r="AE89" s="41">
        <f t="shared" si="14"/>
        <v>0</v>
      </c>
      <c r="AF89" s="41">
        <v>7</v>
      </c>
      <c r="AG89" s="56"/>
      <c r="AH89" s="56">
        <v>2</v>
      </c>
      <c r="AI89" s="56"/>
      <c r="AJ89" s="56"/>
      <c r="AK89" s="56"/>
      <c r="AM89">
        <v>89</v>
      </c>
    </row>
    <row r="90" spans="1:39" x14ac:dyDescent="0.25">
      <c r="A90" s="40" t="s">
        <v>311</v>
      </c>
      <c r="B90" s="41" t="s">
        <v>178</v>
      </c>
      <c r="C90" s="41">
        <v>280</v>
      </c>
      <c r="D90" s="41"/>
      <c r="E90" s="41"/>
      <c r="F90" s="41"/>
      <c r="G90" s="41"/>
      <c r="H90" s="41"/>
      <c r="I90" s="41">
        <v>90</v>
      </c>
      <c r="J90" s="41"/>
      <c r="K90" s="41"/>
      <c r="L90" s="41"/>
      <c r="M90" s="41"/>
      <c r="N90" s="41">
        <v>1</v>
      </c>
      <c r="O90" s="41">
        <v>0</v>
      </c>
      <c r="P90" s="41">
        <v>0</v>
      </c>
      <c r="Q90" s="41">
        <v>0</v>
      </c>
      <c r="R90" s="41">
        <f>(27.5/2.5)*2</f>
        <v>22</v>
      </c>
      <c r="S90" s="41">
        <f>(30/2.5)*2</f>
        <v>24</v>
      </c>
      <c r="T90" s="41">
        <f>(10/2.5)*2</f>
        <v>8</v>
      </c>
      <c r="U90" s="41">
        <f>(12.5/2.5)*2</f>
        <v>10</v>
      </c>
      <c r="V90" s="41">
        <f>(20/2.5)*2</f>
        <v>16</v>
      </c>
      <c r="W90" s="41">
        <f t="shared" si="15"/>
        <v>0</v>
      </c>
      <c r="X90" s="41">
        <f t="shared" si="9"/>
        <v>0</v>
      </c>
      <c r="Y90" s="41">
        <f>(27.5/2.5)*2</f>
        <v>22</v>
      </c>
      <c r="Z90" s="41">
        <f>(30/2.5)*2</f>
        <v>24</v>
      </c>
      <c r="AA90" s="41">
        <f>(10/2.5)*2</f>
        <v>8</v>
      </c>
      <c r="AB90" s="41">
        <f>(12.5/2.5)*2</f>
        <v>10</v>
      </c>
      <c r="AC90" s="41">
        <f>(20/2.5)*2</f>
        <v>16</v>
      </c>
      <c r="AD90" s="41">
        <f>(0/2.5)*2</f>
        <v>0</v>
      </c>
      <c r="AE90" s="41">
        <f t="shared" si="14"/>
        <v>0</v>
      </c>
      <c r="AF90" s="41">
        <v>7</v>
      </c>
      <c r="AG90" s="56"/>
      <c r="AH90" s="56"/>
      <c r="AI90" s="56"/>
      <c r="AJ90" s="56"/>
      <c r="AK90" s="56"/>
      <c r="AM90">
        <v>90</v>
      </c>
    </row>
    <row r="91" spans="1:39" x14ac:dyDescent="0.25">
      <c r="A91" s="4" t="s">
        <v>340</v>
      </c>
      <c r="B91" s="41" t="s">
        <v>178</v>
      </c>
      <c r="C91" s="4">
        <v>322</v>
      </c>
      <c r="D91" s="4">
        <v>-10</v>
      </c>
      <c r="E91" s="4"/>
      <c r="F91" s="4"/>
      <c r="G91" s="4"/>
      <c r="H91" s="4">
        <v>90</v>
      </c>
      <c r="I91" s="4"/>
      <c r="J91" s="4"/>
      <c r="K91" s="4"/>
      <c r="L91" s="4"/>
      <c r="M91" s="4"/>
      <c r="N91" s="4">
        <v>0</v>
      </c>
      <c r="O91" s="4">
        <v>1</v>
      </c>
      <c r="P91" s="4">
        <v>0</v>
      </c>
      <c r="Q91" s="4">
        <v>0</v>
      </c>
      <c r="R91" s="4">
        <f>(22.5/2.5)*2</f>
        <v>18</v>
      </c>
      <c r="S91" s="4">
        <f>(12.5/2.5)*2</f>
        <v>10</v>
      </c>
      <c r="T91" s="4">
        <f>(15/2.5)*2</f>
        <v>12</v>
      </c>
      <c r="U91" s="4">
        <f>(30/2.5)*2</f>
        <v>24</v>
      </c>
      <c r="V91" s="4">
        <f>(7.5/2.5)*2</f>
        <v>6</v>
      </c>
      <c r="W91" s="4">
        <f t="shared" si="15"/>
        <v>0</v>
      </c>
      <c r="X91" s="4">
        <f t="shared" si="9"/>
        <v>0</v>
      </c>
      <c r="Y91" s="4">
        <f>(22.5/2.5)*2</f>
        <v>18</v>
      </c>
      <c r="Z91" s="4">
        <f>(12.5/2.5)*2</f>
        <v>10</v>
      </c>
      <c r="AA91" s="4">
        <f>(15/2.5)*2</f>
        <v>12</v>
      </c>
      <c r="AB91" s="4">
        <f>(30/2.5)*2</f>
        <v>24</v>
      </c>
      <c r="AC91" s="4">
        <f>(15/2.5)*2</f>
        <v>12</v>
      </c>
      <c r="AD91" s="4">
        <f>(5/2.5)*2</f>
        <v>4</v>
      </c>
      <c r="AE91" s="4">
        <f t="shared" si="14"/>
        <v>0</v>
      </c>
      <c r="AF91" s="4">
        <v>7</v>
      </c>
      <c r="AG91" s="57" t="s">
        <v>691</v>
      </c>
      <c r="AH91" s="57">
        <v>2</v>
      </c>
      <c r="AI91" s="57"/>
      <c r="AJ91" s="57"/>
      <c r="AK91" s="57"/>
      <c r="AM91">
        <v>91</v>
      </c>
    </row>
    <row r="92" spans="1:39" x14ac:dyDescent="0.25">
      <c r="A92" s="4" t="s">
        <v>344</v>
      </c>
      <c r="B92" s="41" t="s">
        <v>178</v>
      </c>
      <c r="C92" s="4">
        <v>196</v>
      </c>
      <c r="D92" s="4"/>
      <c r="E92" s="4"/>
      <c r="F92" s="4"/>
      <c r="G92" s="4">
        <v>240</v>
      </c>
      <c r="H92" s="4"/>
      <c r="I92" s="4"/>
      <c r="J92" s="4"/>
      <c r="K92" s="4"/>
      <c r="L92" s="4"/>
      <c r="M92" s="4"/>
      <c r="N92" s="4">
        <v>0</v>
      </c>
      <c r="O92" s="4">
        <v>0</v>
      </c>
      <c r="P92" s="4">
        <v>0</v>
      </c>
      <c r="Q92" s="4">
        <v>0</v>
      </c>
      <c r="R92" s="4">
        <f>(27.5/2.5)*2</f>
        <v>22</v>
      </c>
      <c r="S92" s="4">
        <f>(5/2.5)*2</f>
        <v>4</v>
      </c>
      <c r="T92" s="4">
        <f>(5/2.5)*2</f>
        <v>4</v>
      </c>
      <c r="U92" s="4">
        <f>(35/2.5)*2</f>
        <v>28</v>
      </c>
      <c r="V92" s="4">
        <f>(15/2.5)*2</f>
        <v>12</v>
      </c>
      <c r="W92" s="4">
        <f t="shared" si="15"/>
        <v>0</v>
      </c>
      <c r="X92" s="4">
        <f t="shared" si="9"/>
        <v>0</v>
      </c>
      <c r="Y92" s="4">
        <f>(27.5/2.5)*2</f>
        <v>22</v>
      </c>
      <c r="Z92" s="4">
        <f>(5/2.5)*2</f>
        <v>4</v>
      </c>
      <c r="AA92" s="4">
        <f>(5/2.5)*2</f>
        <v>4</v>
      </c>
      <c r="AB92" s="4">
        <f>(35/2.5)*2</f>
        <v>28</v>
      </c>
      <c r="AC92" s="4">
        <f>(27.5/2.5)*2</f>
        <v>22</v>
      </c>
      <c r="AD92" s="4">
        <f>(0/2.5)*2</f>
        <v>0</v>
      </c>
      <c r="AE92" s="4">
        <f t="shared" si="14"/>
        <v>0</v>
      </c>
      <c r="AF92" s="4">
        <v>7</v>
      </c>
      <c r="AG92" s="57"/>
      <c r="AH92" s="57">
        <v>1</v>
      </c>
      <c r="AI92" s="57"/>
      <c r="AJ92" s="57"/>
      <c r="AK92" s="57"/>
      <c r="AM92">
        <v>92</v>
      </c>
    </row>
    <row r="93" spans="1:39" x14ac:dyDescent="0.25">
      <c r="A93" s="4" t="s">
        <v>348</v>
      </c>
      <c r="B93" s="41" t="s">
        <v>178</v>
      </c>
      <c r="C93" s="4">
        <v>252</v>
      </c>
      <c r="D93" s="4"/>
      <c r="E93" s="4">
        <v>150</v>
      </c>
      <c r="F93" s="4"/>
      <c r="G93" s="4"/>
      <c r="H93" s="4"/>
      <c r="I93" s="4"/>
      <c r="J93" s="4"/>
      <c r="K93" s="4"/>
      <c r="L93" s="4"/>
      <c r="M93" s="4"/>
      <c r="N93" s="4">
        <v>0</v>
      </c>
      <c r="O93" s="4">
        <v>2</v>
      </c>
      <c r="P93" s="4">
        <v>0</v>
      </c>
      <c r="Q93" s="4">
        <v>0</v>
      </c>
      <c r="R93" s="4">
        <f>(50/2.5)*2</f>
        <v>40</v>
      </c>
      <c r="S93" s="4">
        <f>(17.5/2.5)*2</f>
        <v>14</v>
      </c>
      <c r="T93" s="4">
        <f>(5/2.5)*2</f>
        <v>4</v>
      </c>
      <c r="U93" s="4">
        <f>(5/2.5)*2</f>
        <v>4</v>
      </c>
      <c r="V93" s="4">
        <f>(10/2.5)*2</f>
        <v>8</v>
      </c>
      <c r="W93" s="4">
        <f t="shared" si="15"/>
        <v>0</v>
      </c>
      <c r="X93" s="4">
        <f t="shared" si="9"/>
        <v>0</v>
      </c>
      <c r="Y93" s="4">
        <f>(50/2.5)*2</f>
        <v>40</v>
      </c>
      <c r="Z93" s="4">
        <f>(17.5/2.5)*2</f>
        <v>14</v>
      </c>
      <c r="AA93" s="4">
        <f>(5/2.5)*2</f>
        <v>4</v>
      </c>
      <c r="AB93" s="4">
        <f>(5/2.5)*2</f>
        <v>4</v>
      </c>
      <c r="AC93" s="4">
        <f>(12.5/2.5)*2</f>
        <v>10</v>
      </c>
      <c r="AD93" s="4">
        <f>(10/2.5)*2</f>
        <v>8</v>
      </c>
      <c r="AE93" s="4">
        <f t="shared" si="14"/>
        <v>0</v>
      </c>
      <c r="AF93" s="4">
        <v>7</v>
      </c>
      <c r="AG93" s="57"/>
      <c r="AH93" s="57">
        <v>2</v>
      </c>
      <c r="AI93" s="57"/>
      <c r="AJ93" s="57"/>
      <c r="AK93" s="57"/>
      <c r="AM93">
        <v>93</v>
      </c>
    </row>
    <row r="94" spans="1:39" x14ac:dyDescent="0.25">
      <c r="A94" s="4" t="s">
        <v>351</v>
      </c>
      <c r="B94" s="41" t="s">
        <v>178</v>
      </c>
      <c r="C94" s="4">
        <v>238</v>
      </c>
      <c r="D94" s="4">
        <v>10</v>
      </c>
      <c r="E94" s="4"/>
      <c r="F94" s="4"/>
      <c r="G94" s="4"/>
      <c r="H94" s="4">
        <v>210</v>
      </c>
      <c r="I94" s="4"/>
      <c r="J94" s="4"/>
      <c r="K94" s="4"/>
      <c r="L94" s="4"/>
      <c r="M94" s="4">
        <v>210</v>
      </c>
      <c r="N94" s="4">
        <v>0</v>
      </c>
      <c r="O94" s="4">
        <v>1</v>
      </c>
      <c r="P94" s="4">
        <v>0</v>
      </c>
      <c r="Q94" s="4">
        <v>0</v>
      </c>
      <c r="R94" s="4">
        <f>(25/2.5)*2</f>
        <v>20</v>
      </c>
      <c r="S94" s="4">
        <f>(15/2.5)*2</f>
        <v>12</v>
      </c>
      <c r="T94" s="4">
        <f>(20/2.5)*2</f>
        <v>16</v>
      </c>
      <c r="U94" s="4">
        <f>(20/2.5)*2</f>
        <v>16</v>
      </c>
      <c r="V94" s="4">
        <f>(7.5/2.5)*2</f>
        <v>6</v>
      </c>
      <c r="W94" s="4">
        <f t="shared" si="15"/>
        <v>0</v>
      </c>
      <c r="X94" s="4">
        <f t="shared" si="9"/>
        <v>0</v>
      </c>
      <c r="Y94" s="4">
        <f>(25/2.5)*2</f>
        <v>20</v>
      </c>
      <c r="Z94" s="4">
        <f>(15/2.5)*2</f>
        <v>12</v>
      </c>
      <c r="AA94" s="4">
        <f>(20/2.5)*2</f>
        <v>16</v>
      </c>
      <c r="AB94" s="4">
        <f>(20/2.5)*2</f>
        <v>16</v>
      </c>
      <c r="AC94" s="4">
        <f>(15/2.5)*2</f>
        <v>12</v>
      </c>
      <c r="AD94" s="4">
        <f>(5/2.5)*2</f>
        <v>4</v>
      </c>
      <c r="AE94" s="4">
        <f t="shared" si="14"/>
        <v>0</v>
      </c>
      <c r="AF94" s="4">
        <v>7</v>
      </c>
      <c r="AG94" s="57"/>
      <c r="AH94" s="57"/>
      <c r="AI94" s="57"/>
      <c r="AJ94" s="57"/>
      <c r="AK94" s="57"/>
      <c r="AM94">
        <v>94</v>
      </c>
    </row>
    <row r="95" spans="1:39" x14ac:dyDescent="0.25">
      <c r="A95" s="4" t="s">
        <v>361</v>
      </c>
      <c r="B95" s="41" t="s">
        <v>178</v>
      </c>
      <c r="C95" s="4">
        <v>308</v>
      </c>
      <c r="D95" s="4">
        <v>-20</v>
      </c>
      <c r="E95" s="4"/>
      <c r="F95" s="4"/>
      <c r="G95" s="4"/>
      <c r="H95" s="4"/>
      <c r="I95" s="4"/>
      <c r="J95" s="4"/>
      <c r="K95" s="4"/>
      <c r="L95" s="4"/>
      <c r="M95" s="4">
        <v>210</v>
      </c>
      <c r="N95" s="4">
        <v>0</v>
      </c>
      <c r="O95" s="4">
        <v>1</v>
      </c>
      <c r="P95" s="4">
        <v>0</v>
      </c>
      <c r="Q95" s="4">
        <v>0</v>
      </c>
      <c r="R95" s="4">
        <f>(45/2.5)*2</f>
        <v>36</v>
      </c>
      <c r="S95" s="4">
        <f>(7.5/2.5)*2</f>
        <v>6</v>
      </c>
      <c r="T95" s="4">
        <f>(15/2.5)*2</f>
        <v>12</v>
      </c>
      <c r="U95" s="4">
        <f>(20/2.5)*2</f>
        <v>16</v>
      </c>
      <c r="V95" s="4">
        <f>(0/2.5)*2</f>
        <v>0</v>
      </c>
      <c r="W95" s="4">
        <f t="shared" si="15"/>
        <v>0</v>
      </c>
      <c r="X95" s="4">
        <f t="shared" si="9"/>
        <v>0</v>
      </c>
      <c r="Y95" s="4">
        <f>(45/2.5)*2</f>
        <v>36</v>
      </c>
      <c r="Z95" s="4">
        <f>(7.5/2.5)*2</f>
        <v>6</v>
      </c>
      <c r="AA95" s="4">
        <f>(15/2.5)*2</f>
        <v>12</v>
      </c>
      <c r="AB95" s="4">
        <f>(22.5/2.5)*2</f>
        <v>18</v>
      </c>
      <c r="AC95" s="4">
        <f>(10/2.5)*2</f>
        <v>8</v>
      </c>
      <c r="AD95" s="4">
        <f>(0/2.5)*2</f>
        <v>0</v>
      </c>
      <c r="AE95" s="4">
        <f t="shared" si="14"/>
        <v>0</v>
      </c>
      <c r="AF95" s="4">
        <v>7</v>
      </c>
      <c r="AG95" s="57"/>
      <c r="AH95" s="57">
        <v>2</v>
      </c>
      <c r="AI95" s="57"/>
      <c r="AJ95" s="57"/>
      <c r="AK95" s="57"/>
      <c r="AM95">
        <v>95</v>
      </c>
    </row>
    <row r="96" spans="1:39" x14ac:dyDescent="0.25">
      <c r="A96" s="4" t="s">
        <v>365</v>
      </c>
      <c r="B96" s="41" t="s">
        <v>178</v>
      </c>
      <c r="C96" s="4">
        <v>196</v>
      </c>
      <c r="D96" s="4"/>
      <c r="E96" s="4"/>
      <c r="F96" s="4"/>
      <c r="G96" s="4"/>
      <c r="H96" s="4"/>
      <c r="I96" s="4">
        <v>270</v>
      </c>
      <c r="J96" s="4"/>
      <c r="K96" s="4"/>
      <c r="L96" s="4"/>
      <c r="M96" s="4"/>
      <c r="N96" s="4">
        <v>2</v>
      </c>
      <c r="O96" s="4">
        <v>0</v>
      </c>
      <c r="P96" s="4">
        <v>0</v>
      </c>
      <c r="Q96" s="4">
        <v>0</v>
      </c>
      <c r="R96" s="4">
        <f>(27.5/2.5)*2</f>
        <v>22</v>
      </c>
      <c r="S96" s="4">
        <f>(27.5/2.5)*2</f>
        <v>22</v>
      </c>
      <c r="T96" s="4">
        <f>(10/2.5)*2</f>
        <v>8</v>
      </c>
      <c r="U96" s="4">
        <f>(10/2.5)*2</f>
        <v>8</v>
      </c>
      <c r="V96" s="4">
        <f>(12.5/2.5)*2</f>
        <v>10</v>
      </c>
      <c r="W96" s="4">
        <f t="shared" si="15"/>
        <v>0</v>
      </c>
      <c r="X96" s="4">
        <f t="shared" ref="X96:X127" si="16">(0/2.5)*2</f>
        <v>0</v>
      </c>
      <c r="Y96" s="4">
        <f>(27.5/2.5)*2</f>
        <v>22</v>
      </c>
      <c r="Z96" s="4">
        <f>(27.5/2.5)*2</f>
        <v>22</v>
      </c>
      <c r="AA96" s="4">
        <f>(10/2.5)*2</f>
        <v>8</v>
      </c>
      <c r="AB96" s="4">
        <f>(10/2.5)*2</f>
        <v>8</v>
      </c>
      <c r="AC96" s="4">
        <f>(20/2.5)*2</f>
        <v>16</v>
      </c>
      <c r="AD96" s="4">
        <f>(5/2.5)*2</f>
        <v>4</v>
      </c>
      <c r="AE96" s="4">
        <f t="shared" si="14"/>
        <v>0</v>
      </c>
      <c r="AF96" s="4">
        <v>7</v>
      </c>
      <c r="AG96" s="57"/>
      <c r="AH96" s="57">
        <v>2</v>
      </c>
      <c r="AI96" s="57"/>
      <c r="AJ96" s="57"/>
      <c r="AK96" s="57"/>
      <c r="AM96">
        <v>96</v>
      </c>
    </row>
    <row r="97" spans="1:39" x14ac:dyDescent="0.25">
      <c r="A97" s="4" t="s">
        <v>378</v>
      </c>
      <c r="B97" s="41" t="s">
        <v>178</v>
      </c>
      <c r="C97" s="4">
        <v>252</v>
      </c>
      <c r="D97" s="4"/>
      <c r="E97" s="4"/>
      <c r="F97" s="4">
        <v>120</v>
      </c>
      <c r="G97" s="4"/>
      <c r="H97" s="4"/>
      <c r="I97" s="4"/>
      <c r="J97" s="4"/>
      <c r="K97" s="4"/>
      <c r="L97" s="4"/>
      <c r="M97" s="4"/>
      <c r="N97" s="4">
        <v>0</v>
      </c>
      <c r="O97" s="4">
        <v>0</v>
      </c>
      <c r="P97" s="4">
        <v>1</v>
      </c>
      <c r="Q97" s="4">
        <v>0</v>
      </c>
      <c r="R97" s="4">
        <f>(15/2.5)*2</f>
        <v>12</v>
      </c>
      <c r="S97" s="4">
        <f>(12.5/2.5)*2</f>
        <v>10</v>
      </c>
      <c r="T97" s="4">
        <f>(15/2.5)*2</f>
        <v>12</v>
      </c>
      <c r="U97" s="4">
        <f>(30/2.5)*2</f>
        <v>24</v>
      </c>
      <c r="V97" s="4">
        <f>(15/2.5)*2</f>
        <v>12</v>
      </c>
      <c r="W97" s="4">
        <f t="shared" si="15"/>
        <v>0</v>
      </c>
      <c r="X97" s="4">
        <f t="shared" si="16"/>
        <v>0</v>
      </c>
      <c r="Y97" s="4">
        <f>(15/2.5)*2</f>
        <v>12</v>
      </c>
      <c r="Z97" s="4">
        <f>(12.5/2.5)*2</f>
        <v>10</v>
      </c>
      <c r="AA97" s="4">
        <f>(15/2.5)*2</f>
        <v>12</v>
      </c>
      <c r="AB97" s="4">
        <f>(30/2.5)*2</f>
        <v>24</v>
      </c>
      <c r="AC97" s="4">
        <f>(17.5/2.5)*2</f>
        <v>14</v>
      </c>
      <c r="AD97" s="4">
        <f>(10/2.5)*2</f>
        <v>8</v>
      </c>
      <c r="AE97" s="4">
        <f t="shared" si="14"/>
        <v>0</v>
      </c>
      <c r="AF97" s="4">
        <v>7</v>
      </c>
      <c r="AG97" s="57"/>
      <c r="AH97" s="57">
        <v>2</v>
      </c>
      <c r="AI97" s="57"/>
      <c r="AJ97" s="57"/>
      <c r="AK97" s="57"/>
      <c r="AM97">
        <v>97</v>
      </c>
    </row>
    <row r="98" spans="1:39" x14ac:dyDescent="0.25">
      <c r="A98" s="4" t="s">
        <v>382</v>
      </c>
      <c r="B98" s="41" t="s">
        <v>178</v>
      </c>
      <c r="C98" s="4">
        <v>308</v>
      </c>
      <c r="D98" s="4">
        <v>-20</v>
      </c>
      <c r="E98" s="4"/>
      <c r="F98" s="4"/>
      <c r="G98" s="4"/>
      <c r="H98" s="4"/>
      <c r="I98" s="4">
        <v>180</v>
      </c>
      <c r="J98" s="4"/>
      <c r="K98" s="4"/>
      <c r="L98" s="4"/>
      <c r="M98" s="4"/>
      <c r="N98" s="4">
        <v>0</v>
      </c>
      <c r="O98" s="4">
        <v>0</v>
      </c>
      <c r="P98" s="4">
        <v>0</v>
      </c>
      <c r="Q98" s="4">
        <v>0</v>
      </c>
      <c r="R98" s="4">
        <f>(10/2.5)*2</f>
        <v>8</v>
      </c>
      <c r="S98" s="4">
        <f>(30/2.5)*2</f>
        <v>24</v>
      </c>
      <c r="T98" s="4">
        <f>(20/2.5)*2</f>
        <v>16</v>
      </c>
      <c r="U98" s="4">
        <f>(15/2.5)*2</f>
        <v>12</v>
      </c>
      <c r="V98" s="4">
        <f>(12.5/2.5)*2</f>
        <v>10</v>
      </c>
      <c r="W98" s="4">
        <f t="shared" si="15"/>
        <v>0</v>
      </c>
      <c r="X98" s="4">
        <f t="shared" si="16"/>
        <v>0</v>
      </c>
      <c r="Y98" s="4">
        <f>(10/2.5)*2</f>
        <v>8</v>
      </c>
      <c r="Z98" s="4">
        <f>(30/2.5)*2</f>
        <v>24</v>
      </c>
      <c r="AA98" s="4">
        <f>(20/2.5)*2</f>
        <v>16</v>
      </c>
      <c r="AB98" s="4">
        <f>(15/2.5)*2</f>
        <v>12</v>
      </c>
      <c r="AC98" s="4">
        <f>(12.5/2.5)*2</f>
        <v>10</v>
      </c>
      <c r="AD98" s="4">
        <f>(12.5/2.5)*2</f>
        <v>10</v>
      </c>
      <c r="AE98" s="4">
        <f t="shared" si="14"/>
        <v>0</v>
      </c>
      <c r="AF98" s="4">
        <v>7</v>
      </c>
      <c r="AG98" s="57"/>
      <c r="AH98" s="57">
        <v>2</v>
      </c>
      <c r="AI98" s="57"/>
      <c r="AJ98" s="57"/>
      <c r="AK98" s="57"/>
      <c r="AM98">
        <v>98</v>
      </c>
    </row>
    <row r="99" spans="1:39" x14ac:dyDescent="0.25">
      <c r="A99" s="4" t="s">
        <v>384</v>
      </c>
      <c r="B99" s="41" t="s">
        <v>178</v>
      </c>
      <c r="C99" s="4">
        <v>252</v>
      </c>
      <c r="D99" s="4"/>
      <c r="E99" s="4"/>
      <c r="F99" s="4"/>
      <c r="G99" s="4"/>
      <c r="H99" s="4"/>
      <c r="I99" s="4"/>
      <c r="J99" s="4"/>
      <c r="K99" s="4"/>
      <c r="L99" s="4"/>
      <c r="M99" s="4">
        <v>60</v>
      </c>
      <c r="N99" s="4">
        <v>1</v>
      </c>
      <c r="O99" s="4">
        <v>1</v>
      </c>
      <c r="P99" s="4">
        <v>0</v>
      </c>
      <c r="Q99" s="4">
        <v>0</v>
      </c>
      <c r="R99" s="4">
        <f>(22.5/2.5)*2</f>
        <v>18</v>
      </c>
      <c r="S99" s="4">
        <f>(7.5/2.5)*2</f>
        <v>6</v>
      </c>
      <c r="T99" s="4">
        <f>(15/2.5)*2</f>
        <v>12</v>
      </c>
      <c r="U99" s="4">
        <f>(20/2.5)*2</f>
        <v>16</v>
      </c>
      <c r="V99" s="4">
        <f>(10/2.5)*2</f>
        <v>8</v>
      </c>
      <c r="W99" s="4">
        <f>(12.5/2.5)*2</f>
        <v>10</v>
      </c>
      <c r="X99" s="4">
        <f t="shared" si="16"/>
        <v>0</v>
      </c>
      <c r="Y99" s="4">
        <f>(22.5/2.5)*2</f>
        <v>18</v>
      </c>
      <c r="Z99" s="4">
        <f>(7.5/2.5)*2</f>
        <v>6</v>
      </c>
      <c r="AA99" s="4">
        <f>(15/2.5)*2</f>
        <v>12</v>
      </c>
      <c r="AB99" s="4">
        <f>(20/2.5)*2</f>
        <v>16</v>
      </c>
      <c r="AC99" s="4">
        <f>(10/2.5)*2</f>
        <v>8</v>
      </c>
      <c r="AD99" s="4">
        <f>(25/2.5)*2</f>
        <v>20</v>
      </c>
      <c r="AE99" s="4">
        <f t="shared" si="14"/>
        <v>0</v>
      </c>
      <c r="AF99" s="4">
        <v>7</v>
      </c>
      <c r="AG99" s="57"/>
      <c r="AH99" s="57"/>
      <c r="AI99" s="57"/>
      <c r="AJ99" s="57"/>
      <c r="AK99" s="57"/>
      <c r="AM99">
        <v>99</v>
      </c>
    </row>
    <row r="100" spans="1:39" x14ac:dyDescent="0.25">
      <c r="A100" s="4" t="s">
        <v>392</v>
      </c>
      <c r="B100" s="41" t="s">
        <v>178</v>
      </c>
      <c r="C100" s="4">
        <v>252</v>
      </c>
      <c r="D100" s="4"/>
      <c r="E100" s="4"/>
      <c r="F100" s="4"/>
      <c r="G100" s="4"/>
      <c r="H100" s="4"/>
      <c r="I100" s="4"/>
      <c r="J100" s="4"/>
      <c r="K100" s="4"/>
      <c r="L100" s="4">
        <v>120</v>
      </c>
      <c r="M100" s="4"/>
      <c r="N100" s="4">
        <v>0</v>
      </c>
      <c r="O100" s="4">
        <v>0</v>
      </c>
      <c r="P100" s="4">
        <v>0</v>
      </c>
      <c r="Q100" s="4">
        <v>0</v>
      </c>
      <c r="R100" s="4">
        <f>(22.5/2.5)*2</f>
        <v>18</v>
      </c>
      <c r="S100" s="4">
        <f>(12.5/2.5)*2</f>
        <v>10</v>
      </c>
      <c r="T100" s="4">
        <f>(12.5/2.5)*2</f>
        <v>10</v>
      </c>
      <c r="U100" s="4">
        <f>(20/2.5)*2</f>
        <v>16</v>
      </c>
      <c r="V100" s="4">
        <f>(20/2.5)*2</f>
        <v>16</v>
      </c>
      <c r="W100" s="4">
        <f>(0/2.5)*2</f>
        <v>0</v>
      </c>
      <c r="X100" s="4">
        <f t="shared" si="16"/>
        <v>0</v>
      </c>
      <c r="Y100" s="4">
        <f>(22.5/2.5)*2</f>
        <v>18</v>
      </c>
      <c r="Z100" s="4">
        <f>(12.5/2.5)*2</f>
        <v>10</v>
      </c>
      <c r="AA100" s="4">
        <f>(12.5/2.5)*2</f>
        <v>10</v>
      </c>
      <c r="AB100" s="4">
        <f>(20/2.5)*2</f>
        <v>16</v>
      </c>
      <c r="AC100" s="4">
        <f>(32.5/2.5)*2</f>
        <v>26</v>
      </c>
      <c r="AD100" s="4">
        <f>(0/2.5)*2</f>
        <v>0</v>
      </c>
      <c r="AE100" s="4">
        <f t="shared" si="14"/>
        <v>0</v>
      </c>
      <c r="AF100" s="4">
        <v>7</v>
      </c>
      <c r="AG100" s="57"/>
      <c r="AH100" s="57">
        <v>2</v>
      </c>
      <c r="AI100" s="57"/>
      <c r="AJ100" s="57"/>
      <c r="AK100" s="57"/>
      <c r="AM100">
        <v>100</v>
      </c>
    </row>
    <row r="101" spans="1:39" x14ac:dyDescent="0.25">
      <c r="A101" s="4" t="s">
        <v>399</v>
      </c>
      <c r="B101" s="41" t="s">
        <v>178</v>
      </c>
      <c r="C101" s="4">
        <v>308</v>
      </c>
      <c r="D101" s="4"/>
      <c r="E101" s="4"/>
      <c r="F101" s="4"/>
      <c r="G101" s="4"/>
      <c r="H101" s="4"/>
      <c r="I101" s="4"/>
      <c r="J101" s="4"/>
      <c r="K101" s="4"/>
      <c r="L101" s="4"/>
      <c r="M101" s="4">
        <v>240</v>
      </c>
      <c r="N101" s="4">
        <v>0</v>
      </c>
      <c r="O101" s="4">
        <v>0</v>
      </c>
      <c r="P101" s="4">
        <v>0</v>
      </c>
      <c r="Q101" s="4">
        <v>0</v>
      </c>
      <c r="R101" s="4">
        <f>(22.5/2.5)*2</f>
        <v>18</v>
      </c>
      <c r="S101" s="4">
        <f>(7.5/2.5)*2</f>
        <v>6</v>
      </c>
      <c r="T101" s="4">
        <f>(7.5/2.5)*2</f>
        <v>6</v>
      </c>
      <c r="U101" s="4">
        <f>(27.5/2.5)*2</f>
        <v>22</v>
      </c>
      <c r="V101" s="4">
        <f>(10/2.5)*2</f>
        <v>8</v>
      </c>
      <c r="W101" s="4">
        <f>(12.5/2.5)*2</f>
        <v>10</v>
      </c>
      <c r="X101" s="4">
        <f t="shared" si="16"/>
        <v>0</v>
      </c>
      <c r="Y101" s="4">
        <f>(22.5/2.5)*2</f>
        <v>18</v>
      </c>
      <c r="Z101" s="4">
        <f>(7.5/2.5)*2</f>
        <v>6</v>
      </c>
      <c r="AA101" s="4">
        <f>(7.5/2.5)*2</f>
        <v>6</v>
      </c>
      <c r="AB101" s="4">
        <f>(27.5/2.5)*2</f>
        <v>22</v>
      </c>
      <c r="AC101" s="4">
        <f>(10/2.5)*2</f>
        <v>8</v>
      </c>
      <c r="AD101" s="4">
        <f>(25/2.5)*2</f>
        <v>20</v>
      </c>
      <c r="AE101" s="4">
        <f t="shared" si="14"/>
        <v>0</v>
      </c>
      <c r="AF101" s="4">
        <v>7</v>
      </c>
      <c r="AG101" s="57"/>
      <c r="AH101" s="57">
        <v>2</v>
      </c>
      <c r="AI101" s="57" t="b">
        <v>1</v>
      </c>
      <c r="AJ101" s="57"/>
      <c r="AK101" s="57"/>
      <c r="AM101">
        <v>101</v>
      </c>
    </row>
    <row r="102" spans="1:39" x14ac:dyDescent="0.25">
      <c r="A102" s="4" t="s">
        <v>466</v>
      </c>
      <c r="B102" s="41" t="s">
        <v>178</v>
      </c>
      <c r="C102" s="4">
        <v>266</v>
      </c>
      <c r="D102" s="4"/>
      <c r="E102" s="4"/>
      <c r="F102" s="4"/>
      <c r="G102" s="4">
        <v>210</v>
      </c>
      <c r="H102" s="4"/>
      <c r="I102" s="4"/>
      <c r="J102" s="4"/>
      <c r="K102" s="4"/>
      <c r="L102" s="4"/>
      <c r="M102" s="4"/>
      <c r="N102" s="4">
        <v>0</v>
      </c>
      <c r="O102" s="4">
        <v>0</v>
      </c>
      <c r="P102" s="4">
        <v>0</v>
      </c>
      <c r="Q102" s="4">
        <v>0</v>
      </c>
      <c r="R102" s="4">
        <f>(20/2.5)*2</f>
        <v>16</v>
      </c>
      <c r="S102" s="4">
        <f>(12.5/2.5)*2</f>
        <v>10</v>
      </c>
      <c r="T102" s="4">
        <f>(15/2.5)*2</f>
        <v>12</v>
      </c>
      <c r="U102" s="4">
        <f>(30/2.5)*2</f>
        <v>24</v>
      </c>
      <c r="V102" s="4">
        <f>(10/2.5)*2</f>
        <v>8</v>
      </c>
      <c r="W102" s="4">
        <f>(0/2.5)*2</f>
        <v>0</v>
      </c>
      <c r="X102" s="4">
        <f t="shared" si="16"/>
        <v>0</v>
      </c>
      <c r="Y102" s="4">
        <f>(20/2.5)*2</f>
        <v>16</v>
      </c>
      <c r="Z102" s="4">
        <f>(12.5/2.5)*2</f>
        <v>10</v>
      </c>
      <c r="AA102" s="4">
        <f>(15/2.5)*2</f>
        <v>12</v>
      </c>
      <c r="AB102" s="4">
        <f>(30/2.5)*2</f>
        <v>24</v>
      </c>
      <c r="AC102" s="4">
        <f>(12.5/2.5)*2</f>
        <v>10</v>
      </c>
      <c r="AD102" s="4">
        <f>(10/2.5)*2</f>
        <v>8</v>
      </c>
      <c r="AE102" s="4">
        <f t="shared" si="14"/>
        <v>0</v>
      </c>
      <c r="AF102" s="4">
        <v>7</v>
      </c>
      <c r="AG102" s="57" t="s">
        <v>691</v>
      </c>
      <c r="AH102" s="57"/>
      <c r="AI102" s="57"/>
      <c r="AJ102" s="57"/>
      <c r="AK102" s="57"/>
      <c r="AM102">
        <v>102</v>
      </c>
    </row>
    <row r="103" spans="1:39" x14ac:dyDescent="0.25">
      <c r="A103" s="4" t="s">
        <v>461</v>
      </c>
      <c r="B103" s="41" t="s">
        <v>178</v>
      </c>
      <c r="C103" s="4">
        <v>238</v>
      </c>
      <c r="D103" s="4">
        <v>20</v>
      </c>
      <c r="E103" s="4"/>
      <c r="F103" s="4"/>
      <c r="G103" s="4"/>
      <c r="H103" s="4"/>
      <c r="I103" s="4"/>
      <c r="J103" s="4"/>
      <c r="K103" s="4"/>
      <c r="L103" s="4">
        <v>90</v>
      </c>
      <c r="M103" s="4"/>
      <c r="N103" s="4">
        <v>0</v>
      </c>
      <c r="O103" s="4">
        <v>0</v>
      </c>
      <c r="P103" s="4">
        <v>0</v>
      </c>
      <c r="Q103" s="4">
        <v>0</v>
      </c>
      <c r="R103" s="4">
        <f>(20/2.5)*2</f>
        <v>16</v>
      </c>
      <c r="S103" s="4">
        <f>(15/2.5)*2</f>
        <v>12</v>
      </c>
      <c r="T103" s="4">
        <f>(15/2.5)*2</f>
        <v>12</v>
      </c>
      <c r="U103" s="4">
        <f>(25/2.5)*2</f>
        <v>20</v>
      </c>
      <c r="V103" s="4">
        <f>(12.5/2.5)*2</f>
        <v>10</v>
      </c>
      <c r="W103" s="4">
        <f>(0/2.5)*2</f>
        <v>0</v>
      </c>
      <c r="X103" s="4">
        <f t="shared" si="16"/>
        <v>0</v>
      </c>
      <c r="Y103" s="4">
        <f>(20/2.5)*2</f>
        <v>16</v>
      </c>
      <c r="Z103" s="4">
        <f>(15/2.5)*2</f>
        <v>12</v>
      </c>
      <c r="AA103" s="4">
        <f>(15/2.5)*2</f>
        <v>12</v>
      </c>
      <c r="AB103" s="4">
        <f>(25/2.5)*2</f>
        <v>20</v>
      </c>
      <c r="AC103" s="4">
        <f>(17.5/2.5)*2</f>
        <v>14</v>
      </c>
      <c r="AD103" s="4">
        <f>(7.5/2.5)*2</f>
        <v>6</v>
      </c>
      <c r="AE103" s="4">
        <f t="shared" si="14"/>
        <v>0</v>
      </c>
      <c r="AF103" s="4">
        <v>7</v>
      </c>
      <c r="AG103" s="57"/>
      <c r="AH103" s="57"/>
      <c r="AI103" s="57"/>
      <c r="AJ103" s="57"/>
      <c r="AK103" s="57"/>
      <c r="AM103">
        <v>103</v>
      </c>
    </row>
    <row r="104" spans="1:39" x14ac:dyDescent="0.25">
      <c r="A104" s="4" t="s">
        <v>462</v>
      </c>
      <c r="B104" s="41" t="s">
        <v>178</v>
      </c>
      <c r="C104" s="4">
        <v>266</v>
      </c>
      <c r="D104" s="4">
        <v>10</v>
      </c>
      <c r="E104" s="4"/>
      <c r="F104" s="4">
        <v>210</v>
      </c>
      <c r="G104" s="4"/>
      <c r="H104" s="4"/>
      <c r="I104" s="4"/>
      <c r="J104" s="4"/>
      <c r="K104" s="4"/>
      <c r="L104" s="4"/>
      <c r="M104" s="4"/>
      <c r="N104" s="4">
        <v>0</v>
      </c>
      <c r="O104" s="4">
        <v>0</v>
      </c>
      <c r="P104" s="4">
        <v>0</v>
      </c>
      <c r="Q104" s="4">
        <v>0</v>
      </c>
      <c r="R104" s="4">
        <f>(40/2.5)*2</f>
        <v>32</v>
      </c>
      <c r="S104" s="4">
        <f>(25/2.5)*2</f>
        <v>20</v>
      </c>
      <c r="T104" s="4">
        <f>(7.5/2.5)*2</f>
        <v>6</v>
      </c>
      <c r="U104" s="4">
        <f>(7.5/2.5)*2</f>
        <v>6</v>
      </c>
      <c r="V104" s="4">
        <f>(7.5/2.5)*2</f>
        <v>6</v>
      </c>
      <c r="W104" s="4">
        <f>(0/2.5)*2</f>
        <v>0</v>
      </c>
      <c r="X104" s="4">
        <f t="shared" si="16"/>
        <v>0</v>
      </c>
      <c r="Y104" s="4">
        <f>(40/2.5)*2</f>
        <v>32</v>
      </c>
      <c r="Z104" s="4">
        <f>(25/2.5)*2</f>
        <v>20</v>
      </c>
      <c r="AA104" s="4">
        <f>(7.5/2.5)*2</f>
        <v>6</v>
      </c>
      <c r="AB104" s="4">
        <f>(7.5/2.5)*2</f>
        <v>6</v>
      </c>
      <c r="AC104" s="4">
        <f>(12.5/2.5)*2</f>
        <v>10</v>
      </c>
      <c r="AD104" s="4">
        <f>(7.5/2.5)*2</f>
        <v>6</v>
      </c>
      <c r="AE104" s="4">
        <f t="shared" si="14"/>
        <v>0</v>
      </c>
      <c r="AF104" s="4">
        <v>7</v>
      </c>
      <c r="AG104" s="57"/>
      <c r="AH104" s="57"/>
      <c r="AI104" s="57"/>
      <c r="AJ104" s="57"/>
      <c r="AK104" s="57"/>
      <c r="AM104">
        <v>104</v>
      </c>
    </row>
    <row r="105" spans="1:39" x14ac:dyDescent="0.25">
      <c r="A105" s="4" t="s">
        <v>463</v>
      </c>
      <c r="B105" s="41" t="s">
        <v>178</v>
      </c>
      <c r="C105" s="4">
        <v>252</v>
      </c>
      <c r="D105" s="4">
        <v>10</v>
      </c>
      <c r="E105" s="4"/>
      <c r="F105" s="4"/>
      <c r="G105" s="4">
        <v>150</v>
      </c>
      <c r="H105" s="4"/>
      <c r="I105" s="4"/>
      <c r="J105" s="4"/>
      <c r="K105" s="4"/>
      <c r="L105" s="4"/>
      <c r="M105" s="4"/>
      <c r="N105" s="4">
        <v>0</v>
      </c>
      <c r="O105" s="4">
        <v>0</v>
      </c>
      <c r="P105" s="4">
        <v>0</v>
      </c>
      <c r="Q105" s="4">
        <v>0</v>
      </c>
      <c r="R105" s="4">
        <f>(55/2.5)*2</f>
        <v>44</v>
      </c>
      <c r="S105" s="4">
        <f>(5/2.5)*2</f>
        <v>4</v>
      </c>
      <c r="T105" s="4">
        <f>(5/2.5)*2</f>
        <v>4</v>
      </c>
      <c r="U105" s="4">
        <f>(12.5/2.5)*2</f>
        <v>10</v>
      </c>
      <c r="V105" s="4">
        <f>(5/2.5)*2</f>
        <v>4</v>
      </c>
      <c r="W105" s="4">
        <f>(5/2.5)*2</f>
        <v>4</v>
      </c>
      <c r="X105" s="4">
        <f t="shared" si="16"/>
        <v>0</v>
      </c>
      <c r="Y105" s="4">
        <f>(55/2.5)*2</f>
        <v>44</v>
      </c>
      <c r="Z105" s="4">
        <f>(5/2.5)*2</f>
        <v>4</v>
      </c>
      <c r="AA105" s="4">
        <f>(5/2.5)*2</f>
        <v>4</v>
      </c>
      <c r="AB105" s="4">
        <f>(12.5/2.5)*2</f>
        <v>10</v>
      </c>
      <c r="AC105" s="4">
        <f>(5/2.5)*2</f>
        <v>4</v>
      </c>
      <c r="AD105" s="4">
        <f>(17.5/2.5)*2</f>
        <v>14</v>
      </c>
      <c r="AE105" s="4">
        <f t="shared" si="14"/>
        <v>0</v>
      </c>
      <c r="AF105" s="4">
        <v>7</v>
      </c>
      <c r="AG105" s="57"/>
      <c r="AH105" s="57"/>
      <c r="AI105" s="57"/>
      <c r="AJ105" s="57"/>
      <c r="AK105" s="57"/>
      <c r="AM105">
        <v>105</v>
      </c>
    </row>
    <row r="106" spans="1:39" x14ac:dyDescent="0.25">
      <c r="A106" s="4" t="s">
        <v>464</v>
      </c>
      <c r="B106" s="41" t="s">
        <v>178</v>
      </c>
      <c r="C106" s="4">
        <v>294</v>
      </c>
      <c r="D106" s="4">
        <v>-20</v>
      </c>
      <c r="E106" s="4">
        <v>240</v>
      </c>
      <c r="F106" s="4"/>
      <c r="G106" s="4"/>
      <c r="H106" s="4"/>
      <c r="I106" s="4"/>
      <c r="J106" s="4"/>
      <c r="K106" s="4"/>
      <c r="L106" s="4"/>
      <c r="M106" s="4"/>
      <c r="N106" s="4">
        <v>0</v>
      </c>
      <c r="O106" s="4">
        <v>0</v>
      </c>
      <c r="P106" s="4">
        <v>0</v>
      </c>
      <c r="Q106" s="4">
        <v>0</v>
      </c>
      <c r="R106" s="4">
        <f>(25/2.5)*2</f>
        <v>20</v>
      </c>
      <c r="S106" s="4">
        <f>(30/2.5)*2</f>
        <v>24</v>
      </c>
      <c r="T106" s="4">
        <f>(10/2.5)*2</f>
        <v>8</v>
      </c>
      <c r="U106" s="4">
        <f>(12.5/2.5)*2</f>
        <v>10</v>
      </c>
      <c r="V106" s="4">
        <f>(10/2.5)*2</f>
        <v>8</v>
      </c>
      <c r="W106" s="4">
        <f>(0/2.5)*2</f>
        <v>0</v>
      </c>
      <c r="X106" s="4">
        <f t="shared" si="16"/>
        <v>0</v>
      </c>
      <c r="Y106" s="4">
        <f>(25/2.5)*2</f>
        <v>20</v>
      </c>
      <c r="Z106" s="4">
        <f>(30/2.5)*2</f>
        <v>24</v>
      </c>
      <c r="AA106" s="4">
        <f>(10/2.5)*2</f>
        <v>8</v>
      </c>
      <c r="AB106" s="4">
        <f>(12.5/2.5)*2</f>
        <v>10</v>
      </c>
      <c r="AC106" s="4">
        <f>(22.5/2.5)*2</f>
        <v>18</v>
      </c>
      <c r="AD106" s="4">
        <f>(0/2.5)*2</f>
        <v>0</v>
      </c>
      <c r="AE106" s="4">
        <f t="shared" si="14"/>
        <v>0</v>
      </c>
      <c r="AF106" s="4">
        <v>7</v>
      </c>
      <c r="AG106" s="57"/>
      <c r="AH106" s="57"/>
      <c r="AI106" s="57"/>
      <c r="AJ106" s="57"/>
      <c r="AK106" s="57"/>
      <c r="AM106">
        <v>106</v>
      </c>
    </row>
    <row r="107" spans="1:39" x14ac:dyDescent="0.25">
      <c r="A107" s="4" t="s">
        <v>465</v>
      </c>
      <c r="B107" s="41" t="s">
        <v>178</v>
      </c>
      <c r="C107" s="4">
        <v>238</v>
      </c>
      <c r="D107" s="4"/>
      <c r="E107" s="4"/>
      <c r="F107" s="4"/>
      <c r="G107" s="4"/>
      <c r="H107" s="4"/>
      <c r="I107" s="4"/>
      <c r="J107" s="4"/>
      <c r="K107" s="4">
        <v>90</v>
      </c>
      <c r="L107" s="4"/>
      <c r="M107" s="4"/>
      <c r="N107" s="4">
        <v>0</v>
      </c>
      <c r="O107" s="4">
        <v>0</v>
      </c>
      <c r="P107" s="4">
        <v>0</v>
      </c>
      <c r="Q107" s="4">
        <v>0</v>
      </c>
      <c r="R107" s="4">
        <f>(27.5/2.5)*2</f>
        <v>22</v>
      </c>
      <c r="S107" s="4">
        <f>(7.5/2.5)*2</f>
        <v>6</v>
      </c>
      <c r="T107" s="4">
        <f>(15/2.5)*2</f>
        <v>12</v>
      </c>
      <c r="U107" s="4">
        <f>(20/2.5)*2</f>
        <v>16</v>
      </c>
      <c r="V107" s="4">
        <f>(10/2.5)*2</f>
        <v>8</v>
      </c>
      <c r="W107" s="4">
        <f>(7.5/2.5)*2</f>
        <v>6</v>
      </c>
      <c r="X107" s="4">
        <f t="shared" si="16"/>
        <v>0</v>
      </c>
      <c r="Y107" s="4">
        <f>(27.5/2.5)*2</f>
        <v>22</v>
      </c>
      <c r="Z107" s="4">
        <f>(7.5/2.5)*2</f>
        <v>6</v>
      </c>
      <c r="AA107" s="4">
        <f>(15/2.5)*2</f>
        <v>12</v>
      </c>
      <c r="AB107" s="4">
        <f>(20/2.5)*2</f>
        <v>16</v>
      </c>
      <c r="AC107" s="4">
        <f>(10/2.5)*2</f>
        <v>8</v>
      </c>
      <c r="AD107" s="4">
        <f>(20/2.5)*2</f>
        <v>16</v>
      </c>
      <c r="AE107" s="4">
        <f t="shared" si="14"/>
        <v>0</v>
      </c>
      <c r="AF107" s="4">
        <v>7</v>
      </c>
      <c r="AG107" s="57" t="s">
        <v>691</v>
      </c>
      <c r="AH107" s="57"/>
      <c r="AI107" s="57"/>
      <c r="AJ107" s="57"/>
      <c r="AK107" s="57"/>
      <c r="AM107">
        <v>107</v>
      </c>
    </row>
    <row r="108" spans="1:39" x14ac:dyDescent="0.25">
      <c r="A108" s="4" t="s">
        <v>467</v>
      </c>
      <c r="B108" s="41" t="s">
        <v>178</v>
      </c>
      <c r="C108" s="4">
        <v>252</v>
      </c>
      <c r="D108" s="4">
        <v>20</v>
      </c>
      <c r="E108" s="4">
        <v>90</v>
      </c>
      <c r="F108" s="4"/>
      <c r="G108" s="4"/>
      <c r="H108" s="4"/>
      <c r="I108" s="4"/>
      <c r="J108" s="4"/>
      <c r="K108" s="4"/>
      <c r="L108" s="4"/>
      <c r="M108" s="4"/>
      <c r="N108" s="4">
        <v>0</v>
      </c>
      <c r="O108" s="4">
        <v>0</v>
      </c>
      <c r="P108" s="4">
        <v>0</v>
      </c>
      <c r="Q108" s="4">
        <v>0</v>
      </c>
      <c r="R108" s="4">
        <f>(10/2.5)*2</f>
        <v>8</v>
      </c>
      <c r="S108" s="4">
        <f>(30/2.5)*2</f>
        <v>24</v>
      </c>
      <c r="T108" s="4">
        <f>(20/2.5)*2</f>
        <v>16</v>
      </c>
      <c r="U108" s="4">
        <f>(15/2.5)*2</f>
        <v>12</v>
      </c>
      <c r="V108" s="4">
        <f>(12.5/2.5)*2</f>
        <v>10</v>
      </c>
      <c r="W108" s="4">
        <f>(0/2.5)*2</f>
        <v>0</v>
      </c>
      <c r="X108" s="4">
        <f t="shared" si="16"/>
        <v>0</v>
      </c>
      <c r="Y108" s="4">
        <f>(10/2.5)*2</f>
        <v>8</v>
      </c>
      <c r="Z108" s="4">
        <f>(30/2.5)*2</f>
        <v>24</v>
      </c>
      <c r="AA108" s="4">
        <f>(20/2.5)*2</f>
        <v>16</v>
      </c>
      <c r="AB108" s="4">
        <f>(15/2.5)*2</f>
        <v>12</v>
      </c>
      <c r="AC108" s="4">
        <f>(12.5/2.5)*2</f>
        <v>10</v>
      </c>
      <c r="AD108" s="4">
        <f>(12.5/2.5)*2</f>
        <v>10</v>
      </c>
      <c r="AE108" s="4">
        <f t="shared" si="14"/>
        <v>0</v>
      </c>
      <c r="AF108" s="4">
        <v>7</v>
      </c>
      <c r="AG108" s="57" t="s">
        <v>691</v>
      </c>
      <c r="AH108" s="57"/>
      <c r="AI108" s="57"/>
      <c r="AJ108" s="57"/>
      <c r="AK108" s="57"/>
      <c r="AM108">
        <v>108</v>
      </c>
    </row>
    <row r="109" spans="1:39" x14ac:dyDescent="0.25">
      <c r="A109" s="4" t="s">
        <v>468</v>
      </c>
      <c r="B109" s="41" t="s">
        <v>178</v>
      </c>
      <c r="C109" s="4">
        <v>322</v>
      </c>
      <c r="D109" s="4">
        <v>-10</v>
      </c>
      <c r="E109" s="4"/>
      <c r="F109" s="4"/>
      <c r="G109" s="4"/>
      <c r="H109" s="4">
        <v>150</v>
      </c>
      <c r="I109" s="4"/>
      <c r="J109" s="4"/>
      <c r="K109" s="4"/>
      <c r="L109" s="4"/>
      <c r="M109" s="4"/>
      <c r="N109" s="4">
        <v>0</v>
      </c>
      <c r="O109" s="4">
        <v>0</v>
      </c>
      <c r="P109" s="4">
        <v>0</v>
      </c>
      <c r="Q109" s="4">
        <v>0</v>
      </c>
      <c r="R109" s="4">
        <f>(22.5/2.5)*2</f>
        <v>18</v>
      </c>
      <c r="S109" s="4">
        <f>(12.5/2.5)*2</f>
        <v>10</v>
      </c>
      <c r="T109" s="4">
        <f>(15/2.5)*2</f>
        <v>12</v>
      </c>
      <c r="U109" s="4">
        <f>(30/2.5)*2</f>
        <v>24</v>
      </c>
      <c r="V109" s="4">
        <f>(7.5/2.5)*2</f>
        <v>6</v>
      </c>
      <c r="W109" s="4">
        <f>(0/2.5)*2</f>
        <v>0</v>
      </c>
      <c r="X109" s="4">
        <f t="shared" si="16"/>
        <v>0</v>
      </c>
      <c r="Y109" s="4">
        <f>(22.5/2.5)*2</f>
        <v>18</v>
      </c>
      <c r="Z109" s="4">
        <f>(12.5/2.5)*2</f>
        <v>10</v>
      </c>
      <c r="AA109" s="4">
        <f>(15/2.5)*2</f>
        <v>12</v>
      </c>
      <c r="AB109" s="4">
        <f>(30/2.5)*2</f>
        <v>24</v>
      </c>
      <c r="AC109" s="4">
        <f>(15/2.5)*2</f>
        <v>12</v>
      </c>
      <c r="AD109" s="4">
        <f>(5/2.5)*2</f>
        <v>4</v>
      </c>
      <c r="AE109" s="4">
        <f t="shared" si="14"/>
        <v>0</v>
      </c>
      <c r="AF109" s="4">
        <v>7</v>
      </c>
      <c r="AG109" s="57" t="s">
        <v>691</v>
      </c>
      <c r="AH109" s="57"/>
      <c r="AI109" s="57"/>
      <c r="AJ109" s="57"/>
      <c r="AK109" s="57"/>
      <c r="AM109">
        <v>109</v>
      </c>
    </row>
    <row r="110" spans="1:39" x14ac:dyDescent="0.25">
      <c r="A110" s="4" t="s">
        <v>454</v>
      </c>
      <c r="B110" s="41" t="s">
        <v>178</v>
      </c>
      <c r="C110" s="4">
        <v>266</v>
      </c>
      <c r="D110" s="4"/>
      <c r="E110" s="4">
        <v>150</v>
      </c>
      <c r="F110" s="4"/>
      <c r="G110" s="4"/>
      <c r="H110" s="4"/>
      <c r="I110" s="4"/>
      <c r="J110" s="4"/>
      <c r="K110" s="4"/>
      <c r="L110" s="4"/>
      <c r="M110" s="4"/>
      <c r="N110" s="4">
        <v>1</v>
      </c>
      <c r="O110" s="4">
        <v>0</v>
      </c>
      <c r="P110" s="4">
        <v>0</v>
      </c>
      <c r="Q110" s="4">
        <v>0</v>
      </c>
      <c r="R110" s="4">
        <f>(50/2.5)*2</f>
        <v>40</v>
      </c>
      <c r="S110" s="4">
        <f>(17.5/2.5)*2</f>
        <v>14</v>
      </c>
      <c r="T110" s="4">
        <f>(5/2.5)*2</f>
        <v>4</v>
      </c>
      <c r="U110" s="4">
        <f>(5/2.5)*2</f>
        <v>4</v>
      </c>
      <c r="V110" s="4">
        <f>(10/2.5)*2</f>
        <v>8</v>
      </c>
      <c r="W110" s="4">
        <f>(0/2.5)*2</f>
        <v>0</v>
      </c>
      <c r="X110" s="4">
        <f t="shared" si="16"/>
        <v>0</v>
      </c>
      <c r="Y110" s="4">
        <f>(50/2.5)*2</f>
        <v>40</v>
      </c>
      <c r="Z110" s="4">
        <f>(17.5/2.5)*2</f>
        <v>14</v>
      </c>
      <c r="AA110" s="4">
        <f>(5/2.5)*2</f>
        <v>4</v>
      </c>
      <c r="AB110" s="4">
        <f>(5/2.5)*2</f>
        <v>4</v>
      </c>
      <c r="AC110" s="4">
        <f>(12.5/2.5)*2</f>
        <v>10</v>
      </c>
      <c r="AD110" s="4">
        <f>(10/2.5)*2</f>
        <v>8</v>
      </c>
      <c r="AE110" s="4">
        <f t="shared" si="14"/>
        <v>0</v>
      </c>
      <c r="AF110" s="4">
        <v>7</v>
      </c>
      <c r="AG110" s="57"/>
      <c r="AH110" s="57"/>
      <c r="AI110" s="57"/>
      <c r="AJ110" s="57"/>
      <c r="AK110" s="57"/>
      <c r="AM110">
        <v>110</v>
      </c>
    </row>
    <row r="111" spans="1:39" x14ac:dyDescent="0.25">
      <c r="A111" s="4" t="s">
        <v>470</v>
      </c>
      <c r="B111" s="41" t="s">
        <v>178</v>
      </c>
      <c r="C111" s="4">
        <v>280</v>
      </c>
      <c r="D111" s="4">
        <v>-20</v>
      </c>
      <c r="E111" s="4"/>
      <c r="F111" s="4"/>
      <c r="G111" s="4"/>
      <c r="H111" s="4"/>
      <c r="I111" s="4"/>
      <c r="J111" s="4"/>
      <c r="K111" s="4"/>
      <c r="L111" s="4"/>
      <c r="M111" s="4">
        <v>210</v>
      </c>
      <c r="N111" s="4">
        <v>0</v>
      </c>
      <c r="O111" s="4">
        <v>0</v>
      </c>
      <c r="P111" s="4">
        <v>0</v>
      </c>
      <c r="Q111" s="4">
        <v>0</v>
      </c>
      <c r="R111" s="4">
        <f>(25/2.5)*2</f>
        <v>20</v>
      </c>
      <c r="S111" s="4">
        <f>(30/2.5)*2</f>
        <v>24</v>
      </c>
      <c r="T111" s="4">
        <f>(10/2.5)*2</f>
        <v>8</v>
      </c>
      <c r="U111" s="4">
        <f>(12.5/2.5)*2</f>
        <v>10</v>
      </c>
      <c r="V111" s="4">
        <f>(10/2.5)*2</f>
        <v>8</v>
      </c>
      <c r="W111" s="4">
        <f>(0/2.5)*2</f>
        <v>0</v>
      </c>
      <c r="X111" s="4">
        <f t="shared" si="16"/>
        <v>0</v>
      </c>
      <c r="Y111" s="4">
        <f>(25/2.5)*2</f>
        <v>20</v>
      </c>
      <c r="Z111" s="4">
        <f>(30/2.5)*2</f>
        <v>24</v>
      </c>
      <c r="AA111" s="4">
        <f>(10/2.5)*2</f>
        <v>8</v>
      </c>
      <c r="AB111" s="4">
        <f>(12.5/2.5)*2</f>
        <v>10</v>
      </c>
      <c r="AC111" s="4">
        <f>(22.5/2.5)*2</f>
        <v>18</v>
      </c>
      <c r="AD111" s="4">
        <f>(0/2.5)*2</f>
        <v>0</v>
      </c>
      <c r="AE111" s="4">
        <f t="shared" si="14"/>
        <v>0</v>
      </c>
      <c r="AF111" s="4">
        <v>7</v>
      </c>
      <c r="AG111" s="57"/>
      <c r="AH111" s="57"/>
      <c r="AI111" s="57"/>
      <c r="AJ111" s="57"/>
      <c r="AK111" s="57"/>
      <c r="AM111">
        <v>111</v>
      </c>
    </row>
    <row r="112" spans="1:39" x14ac:dyDescent="0.25">
      <c r="A112" s="40" t="s">
        <v>312</v>
      </c>
      <c r="B112" s="41" t="s">
        <v>178</v>
      </c>
      <c r="C112" s="41">
        <v>294</v>
      </c>
      <c r="D112" s="41"/>
      <c r="E112" s="41"/>
      <c r="F112" s="41"/>
      <c r="G112" s="41"/>
      <c r="H112" s="41"/>
      <c r="I112" s="41">
        <v>120</v>
      </c>
      <c r="J112" s="41"/>
      <c r="K112" s="41"/>
      <c r="L112" s="41"/>
      <c r="M112" s="41"/>
      <c r="N112" s="41">
        <v>1</v>
      </c>
      <c r="O112" s="41">
        <v>0</v>
      </c>
      <c r="P112" s="41">
        <v>0</v>
      </c>
      <c r="Q112" s="41">
        <v>0</v>
      </c>
      <c r="R112" s="41">
        <f>(22.5/2.5)*2</f>
        <v>18</v>
      </c>
      <c r="S112" s="41">
        <f>(30/2.5)*2</f>
        <v>24</v>
      </c>
      <c r="T112" s="41">
        <f>(10/2.5)*2</f>
        <v>8</v>
      </c>
      <c r="U112" s="41">
        <f>(12.5/2.5)*2</f>
        <v>10</v>
      </c>
      <c r="V112" s="41">
        <f>(25/2.5)*2</f>
        <v>20</v>
      </c>
      <c r="W112" s="41">
        <f>(0/2.5)*2</f>
        <v>0</v>
      </c>
      <c r="X112" s="41">
        <f t="shared" si="16"/>
        <v>0</v>
      </c>
      <c r="Y112" s="41">
        <f>(22.5/2.5)*2</f>
        <v>18</v>
      </c>
      <c r="Z112" s="41">
        <f>(30/2.5)*2</f>
        <v>24</v>
      </c>
      <c r="AA112" s="41">
        <f>(10/2.5)*2</f>
        <v>8</v>
      </c>
      <c r="AB112" s="41">
        <f>(12.5/2.5)*2</f>
        <v>10</v>
      </c>
      <c r="AC112" s="41">
        <f>(25/2.5)*2</f>
        <v>20</v>
      </c>
      <c r="AD112" s="41">
        <f>(0/2.5)*2</f>
        <v>0</v>
      </c>
      <c r="AE112" s="41">
        <f t="shared" si="14"/>
        <v>0</v>
      </c>
      <c r="AF112" s="41">
        <v>8</v>
      </c>
      <c r="AG112" s="56"/>
      <c r="AH112" s="56">
        <v>1</v>
      </c>
      <c r="AI112" s="56"/>
      <c r="AJ112" s="56"/>
      <c r="AK112" s="56"/>
      <c r="AM112">
        <v>112</v>
      </c>
    </row>
    <row r="113" spans="1:39" x14ac:dyDescent="0.25">
      <c r="A113" s="4" t="s">
        <v>331</v>
      </c>
      <c r="B113" s="41" t="s">
        <v>178</v>
      </c>
      <c r="C113" s="4">
        <v>224</v>
      </c>
      <c r="D113" s="4">
        <v>20</v>
      </c>
      <c r="E113" s="4">
        <v>180</v>
      </c>
      <c r="F113" s="4"/>
      <c r="G113" s="4"/>
      <c r="H113" s="4"/>
      <c r="I113" s="4"/>
      <c r="J113" s="4"/>
      <c r="K113" s="4"/>
      <c r="L113" s="4"/>
      <c r="M113" s="4"/>
      <c r="N113" s="4">
        <v>0</v>
      </c>
      <c r="O113" s="4">
        <v>0</v>
      </c>
      <c r="P113" s="4">
        <v>0</v>
      </c>
      <c r="Q113" s="4">
        <v>0</v>
      </c>
      <c r="R113" s="4">
        <f>(50/2.5)*2</f>
        <v>40</v>
      </c>
      <c r="S113" s="4">
        <f>(17.5/2.5)*2</f>
        <v>14</v>
      </c>
      <c r="T113" s="4">
        <f>(5/2.5)*2</f>
        <v>4</v>
      </c>
      <c r="U113" s="4">
        <f>(5/2.5)*2</f>
        <v>4</v>
      </c>
      <c r="V113" s="4">
        <f>(12.5/2.5)*2</f>
        <v>10</v>
      </c>
      <c r="W113" s="4">
        <f>(10/2.5)*2</f>
        <v>8</v>
      </c>
      <c r="X113" s="4">
        <f t="shared" si="16"/>
        <v>0</v>
      </c>
      <c r="Y113" s="4">
        <f>(50/2.5)*2</f>
        <v>40</v>
      </c>
      <c r="Z113" s="4">
        <f>(17.5/2.5)*2</f>
        <v>14</v>
      </c>
      <c r="AA113" s="4">
        <f>(5/2.5)*2</f>
        <v>4</v>
      </c>
      <c r="AB113" s="4">
        <f>(5/2.5)*2</f>
        <v>4</v>
      </c>
      <c r="AC113" s="4">
        <f>(12.5/2.5)*2</f>
        <v>10</v>
      </c>
      <c r="AD113" s="4">
        <f>(10/2.5)*2</f>
        <v>8</v>
      </c>
      <c r="AE113" s="4">
        <f t="shared" si="14"/>
        <v>0</v>
      </c>
      <c r="AF113" s="4">
        <v>8</v>
      </c>
      <c r="AG113" s="57" t="s">
        <v>691</v>
      </c>
      <c r="AH113" s="57">
        <v>1</v>
      </c>
      <c r="AI113" s="57"/>
      <c r="AJ113" s="57"/>
      <c r="AK113" s="57"/>
      <c r="AM113">
        <v>113</v>
      </c>
    </row>
    <row r="114" spans="1:39" x14ac:dyDescent="0.25">
      <c r="A114" s="4" t="s">
        <v>345</v>
      </c>
      <c r="B114" s="41" t="s">
        <v>178</v>
      </c>
      <c r="C114" s="4">
        <v>224</v>
      </c>
      <c r="D114" s="4"/>
      <c r="E114" s="4"/>
      <c r="F114" s="4"/>
      <c r="G114" s="4">
        <v>270</v>
      </c>
      <c r="H114" s="4"/>
      <c r="I114" s="4"/>
      <c r="J114" s="4"/>
      <c r="K114" s="4"/>
      <c r="L114" s="4"/>
      <c r="M114" s="4"/>
      <c r="N114" s="4">
        <v>0</v>
      </c>
      <c r="O114" s="4">
        <v>0</v>
      </c>
      <c r="P114" s="4">
        <v>0</v>
      </c>
      <c r="Q114" s="4">
        <v>0</v>
      </c>
      <c r="R114" s="4">
        <f>(27.5/2.5)*2</f>
        <v>22</v>
      </c>
      <c r="S114" s="4">
        <f>(5/2.5)*2</f>
        <v>4</v>
      </c>
      <c r="T114" s="4">
        <f>(5/2.5)*2</f>
        <v>4</v>
      </c>
      <c r="U114" s="4">
        <f>(30/2.5)*2</f>
        <v>24</v>
      </c>
      <c r="V114" s="4">
        <f>(20/2.5)*2</f>
        <v>16</v>
      </c>
      <c r="W114" s="4">
        <f>(0/2.5)*2</f>
        <v>0</v>
      </c>
      <c r="X114" s="4">
        <f t="shared" si="16"/>
        <v>0</v>
      </c>
      <c r="Y114" s="4">
        <f>(27.5/2.5)*2</f>
        <v>22</v>
      </c>
      <c r="Z114" s="4">
        <f>(5/2.5)*2</f>
        <v>4</v>
      </c>
      <c r="AA114" s="4">
        <f>(5/2.5)*2</f>
        <v>4</v>
      </c>
      <c r="AB114" s="4">
        <f>(30/2.5)*2</f>
        <v>24</v>
      </c>
      <c r="AC114" s="4">
        <f>(32.5/2.5)*2</f>
        <v>26</v>
      </c>
      <c r="AD114" s="4">
        <f>(0/2.5)*2</f>
        <v>0</v>
      </c>
      <c r="AE114" s="4">
        <f t="shared" si="14"/>
        <v>0</v>
      </c>
      <c r="AF114" s="4">
        <v>8</v>
      </c>
      <c r="AG114" s="57"/>
      <c r="AH114" s="57"/>
      <c r="AI114" s="57"/>
      <c r="AJ114" s="57"/>
      <c r="AK114" s="57"/>
      <c r="AM114">
        <v>114</v>
      </c>
    </row>
    <row r="115" spans="1:39" x14ac:dyDescent="0.25">
      <c r="A115" s="4" t="s">
        <v>352</v>
      </c>
      <c r="B115" s="41" t="s">
        <v>178</v>
      </c>
      <c r="C115" s="4">
        <v>252</v>
      </c>
      <c r="D115" s="4">
        <v>10</v>
      </c>
      <c r="E115" s="4"/>
      <c r="F115" s="4"/>
      <c r="G115" s="4"/>
      <c r="H115" s="4">
        <v>240</v>
      </c>
      <c r="I115" s="4"/>
      <c r="J115" s="4"/>
      <c r="K115" s="4"/>
      <c r="L115" s="4"/>
      <c r="M115" s="4">
        <v>240</v>
      </c>
      <c r="N115" s="4">
        <v>0</v>
      </c>
      <c r="O115" s="4">
        <v>1</v>
      </c>
      <c r="P115" s="4">
        <v>0</v>
      </c>
      <c r="Q115" s="4">
        <v>0</v>
      </c>
      <c r="R115" s="4">
        <f>(15/2.5)*2</f>
        <v>12</v>
      </c>
      <c r="S115" s="4">
        <f>(12.5/2.5)*2</f>
        <v>10</v>
      </c>
      <c r="T115" s="4">
        <f>(15/2.5)*2</f>
        <v>12</v>
      </c>
      <c r="U115" s="4">
        <f>(30/2.5)*2</f>
        <v>24</v>
      </c>
      <c r="V115" s="4">
        <f>(15/2.5)*2</f>
        <v>12</v>
      </c>
      <c r="W115" s="4">
        <f>(0/2.5)*2</f>
        <v>0</v>
      </c>
      <c r="X115" s="4">
        <f t="shared" si="16"/>
        <v>0</v>
      </c>
      <c r="Y115" s="4">
        <f>(15/2.5)*2</f>
        <v>12</v>
      </c>
      <c r="Z115" s="4">
        <f>(12.5/2.5)*2</f>
        <v>10</v>
      </c>
      <c r="AA115" s="4">
        <f>(15/2.5)*2</f>
        <v>12</v>
      </c>
      <c r="AB115" s="4">
        <f>(30/2.5)*2</f>
        <v>24</v>
      </c>
      <c r="AC115" s="4">
        <f>(17.5/2.5)*2</f>
        <v>14</v>
      </c>
      <c r="AD115" s="4">
        <f>(10/2.5)*2</f>
        <v>8</v>
      </c>
      <c r="AE115" s="4">
        <f t="shared" si="14"/>
        <v>0</v>
      </c>
      <c r="AF115" s="4">
        <v>8</v>
      </c>
      <c r="AG115" s="57"/>
      <c r="AH115" s="57">
        <v>1</v>
      </c>
      <c r="AI115" s="57"/>
      <c r="AJ115" s="57"/>
      <c r="AK115" s="57"/>
      <c r="AM115">
        <v>115</v>
      </c>
    </row>
    <row r="116" spans="1:39" x14ac:dyDescent="0.25">
      <c r="A116" s="4" t="s">
        <v>354</v>
      </c>
      <c r="B116" s="41" t="s">
        <v>178</v>
      </c>
      <c r="C116" s="4">
        <v>238</v>
      </c>
      <c r="D116" s="4">
        <v>15</v>
      </c>
      <c r="E116" s="4"/>
      <c r="F116" s="4"/>
      <c r="G116" s="4"/>
      <c r="H116" s="4"/>
      <c r="I116" s="4">
        <v>150</v>
      </c>
      <c r="J116" s="4"/>
      <c r="K116" s="4"/>
      <c r="L116" s="4"/>
      <c r="M116" s="4"/>
      <c r="N116" s="4">
        <v>0</v>
      </c>
      <c r="O116" s="4">
        <v>0</v>
      </c>
      <c r="P116" s="4">
        <v>2</v>
      </c>
      <c r="Q116" s="4">
        <v>0</v>
      </c>
      <c r="R116" s="4">
        <f>(30/2.5)*2</f>
        <v>24</v>
      </c>
      <c r="S116" s="4">
        <f>(7.5/2.5)*2</f>
        <v>6</v>
      </c>
      <c r="T116" s="4">
        <f>(15/2.5)*2</f>
        <v>12</v>
      </c>
      <c r="U116" s="4">
        <f>(20/2.5)*2</f>
        <v>16</v>
      </c>
      <c r="V116" s="4">
        <f>(10/2.5)*2</f>
        <v>8</v>
      </c>
      <c r="W116" s="4">
        <f>(5/2.5)*2</f>
        <v>4</v>
      </c>
      <c r="X116" s="4">
        <f t="shared" si="16"/>
        <v>0</v>
      </c>
      <c r="Y116" s="4">
        <f>(30/2.5)*2</f>
        <v>24</v>
      </c>
      <c r="Z116" s="4">
        <f>(7.5/2.5)*2</f>
        <v>6</v>
      </c>
      <c r="AA116" s="4">
        <f>(15/2.5)*2</f>
        <v>12</v>
      </c>
      <c r="AB116" s="4">
        <f>(20/2.5)*2</f>
        <v>16</v>
      </c>
      <c r="AC116" s="4">
        <f>(10/2.5)*2</f>
        <v>8</v>
      </c>
      <c r="AD116" s="4">
        <f>(17.5/2.5)*2</f>
        <v>14</v>
      </c>
      <c r="AE116" s="4">
        <f t="shared" si="14"/>
        <v>0</v>
      </c>
      <c r="AF116" s="4">
        <v>8</v>
      </c>
      <c r="AG116" s="57"/>
      <c r="AH116" s="57">
        <v>1</v>
      </c>
      <c r="AI116" s="57"/>
      <c r="AJ116" s="57"/>
      <c r="AK116" s="57"/>
      <c r="AM116">
        <v>116</v>
      </c>
    </row>
    <row r="117" spans="1:39" x14ac:dyDescent="0.25">
      <c r="A117" s="4" t="s">
        <v>357</v>
      </c>
      <c r="B117" s="41" t="s">
        <v>178</v>
      </c>
      <c r="C117" s="4">
        <v>280</v>
      </c>
      <c r="D117" s="4">
        <v>-10</v>
      </c>
      <c r="E117" s="4"/>
      <c r="F117" s="4"/>
      <c r="G117" s="4"/>
      <c r="H117" s="4"/>
      <c r="I117" s="4"/>
      <c r="J117" s="4"/>
      <c r="K117" s="4"/>
      <c r="L117" s="4"/>
      <c r="M117" s="4">
        <v>150</v>
      </c>
      <c r="N117" s="4">
        <v>1</v>
      </c>
      <c r="O117" s="4">
        <v>0</v>
      </c>
      <c r="P117" s="4">
        <v>0</v>
      </c>
      <c r="Q117" s="4">
        <v>0</v>
      </c>
      <c r="R117" s="4">
        <f>(15/2.5)*2</f>
        <v>12</v>
      </c>
      <c r="S117" s="4">
        <f>(30/2.5)*2</f>
        <v>24</v>
      </c>
      <c r="T117" s="4">
        <f>(20/2.5)*2</f>
        <v>16</v>
      </c>
      <c r="U117" s="4">
        <f>(15/2.5)*2</f>
        <v>12</v>
      </c>
      <c r="V117" s="4">
        <f>(7.5/2.5)*2</f>
        <v>6</v>
      </c>
      <c r="W117" s="4">
        <f>(0/2.5)*2</f>
        <v>0</v>
      </c>
      <c r="X117" s="4">
        <f t="shared" si="16"/>
        <v>0</v>
      </c>
      <c r="Y117" s="4">
        <f>(15/2.5)*2</f>
        <v>12</v>
      </c>
      <c r="Z117" s="4">
        <f>(30/2.5)*2</f>
        <v>24</v>
      </c>
      <c r="AA117" s="4">
        <f>(20/2.5)*2</f>
        <v>16</v>
      </c>
      <c r="AB117" s="4">
        <f>(15/2.5)*2</f>
        <v>12</v>
      </c>
      <c r="AC117" s="4">
        <f>(7.5/2.5)*2</f>
        <v>6</v>
      </c>
      <c r="AD117" s="4">
        <f>(12.5/2.5)*2</f>
        <v>10</v>
      </c>
      <c r="AE117" s="4">
        <f t="shared" ref="AE117:AE144" si="17">(0/2.5)*2</f>
        <v>0</v>
      </c>
      <c r="AF117" s="4">
        <v>8</v>
      </c>
      <c r="AG117" s="57"/>
      <c r="AH117" s="57">
        <v>1</v>
      </c>
      <c r="AI117" s="57"/>
      <c r="AJ117" s="57"/>
      <c r="AK117" s="57"/>
      <c r="AM117">
        <v>117</v>
      </c>
    </row>
    <row r="118" spans="1:39" x14ac:dyDescent="0.25">
      <c r="A118" s="4" t="s">
        <v>385</v>
      </c>
      <c r="B118" s="41" t="s">
        <v>178</v>
      </c>
      <c r="C118" s="4">
        <v>252</v>
      </c>
      <c r="D118" s="4">
        <v>20</v>
      </c>
      <c r="E118" s="4"/>
      <c r="F118" s="4"/>
      <c r="G118" s="4"/>
      <c r="H118" s="4"/>
      <c r="I118" s="4"/>
      <c r="J118" s="4"/>
      <c r="K118" s="4"/>
      <c r="L118" s="4"/>
      <c r="M118" s="4">
        <v>90</v>
      </c>
      <c r="N118" s="4">
        <v>0</v>
      </c>
      <c r="O118" s="4">
        <v>0</v>
      </c>
      <c r="P118" s="4">
        <v>0</v>
      </c>
      <c r="Q118" s="4">
        <v>0</v>
      </c>
      <c r="R118" s="4">
        <f>(22.5/2.5)*2</f>
        <v>18</v>
      </c>
      <c r="S118" s="4">
        <f>(7.5/2.5)*2</f>
        <v>6</v>
      </c>
      <c r="T118" s="4">
        <f>(15/2.5)*2</f>
        <v>12</v>
      </c>
      <c r="U118" s="4">
        <f>(20/2.5)*2</f>
        <v>16</v>
      </c>
      <c r="V118" s="4">
        <f>(10/2.5)*2</f>
        <v>8</v>
      </c>
      <c r="W118" s="4">
        <f>(12.5/2.5)*2</f>
        <v>10</v>
      </c>
      <c r="X118" s="4">
        <f t="shared" si="16"/>
        <v>0</v>
      </c>
      <c r="Y118" s="4">
        <f>(22.5/2.5)*2</f>
        <v>18</v>
      </c>
      <c r="Z118" s="4">
        <f>(7.5/2.5)*2</f>
        <v>6</v>
      </c>
      <c r="AA118" s="4">
        <f>(15/2.5)*2</f>
        <v>12</v>
      </c>
      <c r="AB118" s="4">
        <f>(20/2.5)*2</f>
        <v>16</v>
      </c>
      <c r="AC118" s="4">
        <f>(10/2.5)*2</f>
        <v>8</v>
      </c>
      <c r="AD118" s="4">
        <f>(25/2.5)*2</f>
        <v>20</v>
      </c>
      <c r="AE118" s="4">
        <f t="shared" si="17"/>
        <v>0</v>
      </c>
      <c r="AF118" s="4">
        <v>8</v>
      </c>
      <c r="AG118" s="57" t="s">
        <v>702</v>
      </c>
      <c r="AH118" s="57">
        <v>1</v>
      </c>
      <c r="AI118" s="57"/>
      <c r="AJ118" s="57"/>
      <c r="AK118" s="57"/>
      <c r="AM118">
        <v>118</v>
      </c>
    </row>
    <row r="119" spans="1:39" x14ac:dyDescent="0.25">
      <c r="A119" s="4" t="s">
        <v>387</v>
      </c>
      <c r="B119" s="41" t="s">
        <v>178</v>
      </c>
      <c r="C119" s="4">
        <v>266</v>
      </c>
      <c r="D119" s="4"/>
      <c r="E119" s="4"/>
      <c r="F119" s="4"/>
      <c r="G119" s="4"/>
      <c r="H119" s="4"/>
      <c r="I119" s="4"/>
      <c r="J119" s="4"/>
      <c r="K119" s="4"/>
      <c r="L119" s="4"/>
      <c r="M119" s="4">
        <v>60</v>
      </c>
      <c r="N119" s="4">
        <v>0</v>
      </c>
      <c r="O119" s="4">
        <v>0</v>
      </c>
      <c r="P119" s="4">
        <v>0</v>
      </c>
      <c r="Q119" s="4">
        <v>0</v>
      </c>
      <c r="R119" s="4">
        <f>(22.5/2.5)*2</f>
        <v>18</v>
      </c>
      <c r="S119" s="4">
        <f>(7.5/2.5)*2</f>
        <v>6</v>
      </c>
      <c r="T119" s="4">
        <f>(15/2.5)*2</f>
        <v>12</v>
      </c>
      <c r="U119" s="4">
        <f>(20/2.5)*2</f>
        <v>16</v>
      </c>
      <c r="V119" s="4">
        <f>(10/2.5)*2</f>
        <v>8</v>
      </c>
      <c r="W119" s="4">
        <f>(12.5/2.5)*2</f>
        <v>10</v>
      </c>
      <c r="X119" s="4">
        <f t="shared" si="16"/>
        <v>0</v>
      </c>
      <c r="Y119" s="4">
        <f>(22.5/2.5)*2</f>
        <v>18</v>
      </c>
      <c r="Z119" s="4">
        <f>(7.5/2.5)*2</f>
        <v>6</v>
      </c>
      <c r="AA119" s="4">
        <f>(15/2.5)*2</f>
        <v>12</v>
      </c>
      <c r="AB119" s="4">
        <f>(20/2.5)*2</f>
        <v>16</v>
      </c>
      <c r="AC119" s="4">
        <f>(10/2.5)*2</f>
        <v>8</v>
      </c>
      <c r="AD119" s="4">
        <f>(25/2.5)*2</f>
        <v>20</v>
      </c>
      <c r="AE119" s="4">
        <f t="shared" si="17"/>
        <v>0</v>
      </c>
      <c r="AF119" s="4">
        <v>8</v>
      </c>
      <c r="AG119" s="57" t="s">
        <v>703</v>
      </c>
      <c r="AH119" s="57">
        <v>1</v>
      </c>
      <c r="AI119" s="57"/>
      <c r="AJ119" s="57"/>
      <c r="AK119" s="57"/>
      <c r="AM119">
        <v>119</v>
      </c>
    </row>
    <row r="120" spans="1:39" x14ac:dyDescent="0.25">
      <c r="A120" s="4" t="s">
        <v>389</v>
      </c>
      <c r="B120" s="41" t="s">
        <v>178</v>
      </c>
      <c r="C120" s="4">
        <v>252</v>
      </c>
      <c r="D120" s="4">
        <v>10</v>
      </c>
      <c r="E120" s="4"/>
      <c r="F120" s="4"/>
      <c r="G120" s="4"/>
      <c r="H120" s="4"/>
      <c r="I120" s="4"/>
      <c r="J120" s="4"/>
      <c r="K120" s="4"/>
      <c r="L120" s="4"/>
      <c r="M120" s="4">
        <v>120</v>
      </c>
      <c r="N120" s="4">
        <v>0</v>
      </c>
      <c r="O120" s="4">
        <v>0</v>
      </c>
      <c r="P120" s="4">
        <v>0</v>
      </c>
      <c r="Q120" s="4">
        <v>0</v>
      </c>
      <c r="R120" s="4">
        <f>(22.5/2.5)*2</f>
        <v>18</v>
      </c>
      <c r="S120" s="4">
        <f>(7.5/2.5)*2</f>
        <v>6</v>
      </c>
      <c r="T120" s="4">
        <f>(15/2.5)*2</f>
        <v>12</v>
      </c>
      <c r="U120" s="4">
        <f>(20/2.5)*2</f>
        <v>16</v>
      </c>
      <c r="V120" s="4">
        <f>(10/2.5)*2</f>
        <v>8</v>
      </c>
      <c r="W120" s="4">
        <f>(12.5/2.5)*2</f>
        <v>10</v>
      </c>
      <c r="X120" s="4">
        <f t="shared" si="16"/>
        <v>0</v>
      </c>
      <c r="Y120" s="4">
        <f>(22.5/2.5)*2</f>
        <v>18</v>
      </c>
      <c r="Z120" s="4">
        <f>(7.5/2.5)*2</f>
        <v>6</v>
      </c>
      <c r="AA120" s="4">
        <f>(15/2.5)*2</f>
        <v>12</v>
      </c>
      <c r="AB120" s="4">
        <f>(20/2.5)*2</f>
        <v>16</v>
      </c>
      <c r="AC120" s="4">
        <f>(10/2.5)*2</f>
        <v>8</v>
      </c>
      <c r="AD120" s="4">
        <f>(25/2.5)*2</f>
        <v>20</v>
      </c>
      <c r="AE120" s="4">
        <f t="shared" si="17"/>
        <v>0</v>
      </c>
      <c r="AF120" s="4">
        <v>8</v>
      </c>
      <c r="AG120" s="57" t="s">
        <v>704</v>
      </c>
      <c r="AH120" s="57">
        <v>1</v>
      </c>
      <c r="AI120" s="57"/>
      <c r="AJ120" s="57"/>
      <c r="AK120" s="57"/>
      <c r="AM120">
        <v>120</v>
      </c>
    </row>
    <row r="121" spans="1:39" x14ac:dyDescent="0.25">
      <c r="A121" s="4" t="s">
        <v>394</v>
      </c>
      <c r="B121" s="41" t="s">
        <v>178</v>
      </c>
      <c r="C121" s="4">
        <v>294</v>
      </c>
      <c r="D121" s="4"/>
      <c r="E121" s="4"/>
      <c r="F121" s="4"/>
      <c r="G121" s="4"/>
      <c r="H121" s="4"/>
      <c r="I121" s="4">
        <v>240</v>
      </c>
      <c r="J121" s="4"/>
      <c r="K121" s="4"/>
      <c r="L121" s="4"/>
      <c r="M121" s="4"/>
      <c r="N121" s="4">
        <v>0</v>
      </c>
      <c r="O121" s="4">
        <v>0</v>
      </c>
      <c r="P121" s="4">
        <v>1</v>
      </c>
      <c r="Q121" s="4">
        <v>0</v>
      </c>
      <c r="R121" s="4">
        <f>(57.5/2.5)*2</f>
        <v>46</v>
      </c>
      <c r="S121" s="4">
        <f>(5/2.5)*2</f>
        <v>4</v>
      </c>
      <c r="T121" s="4">
        <f>(5/2.5)*2</f>
        <v>4</v>
      </c>
      <c r="U121" s="4">
        <f>(5/2.5)*2</f>
        <v>4</v>
      </c>
      <c r="V121" s="4">
        <f>(7.5/2.5)*2</f>
        <v>6</v>
      </c>
      <c r="W121" s="4">
        <f>(7.5/2.5)*2</f>
        <v>6</v>
      </c>
      <c r="X121" s="4">
        <f t="shared" si="16"/>
        <v>0</v>
      </c>
      <c r="Y121" s="4">
        <f>(57.5/2.5)*2</f>
        <v>46</v>
      </c>
      <c r="Z121" s="4">
        <f>(5/2.5)*2</f>
        <v>4</v>
      </c>
      <c r="AA121" s="4">
        <f>(5/2.5)*2</f>
        <v>4</v>
      </c>
      <c r="AB121" s="4">
        <f>(5/2.5)*2</f>
        <v>4</v>
      </c>
      <c r="AC121" s="4">
        <f>(7.5/2.5)*2</f>
        <v>6</v>
      </c>
      <c r="AD121" s="4">
        <f>(20/2.5)*2</f>
        <v>16</v>
      </c>
      <c r="AE121" s="4">
        <f t="shared" si="17"/>
        <v>0</v>
      </c>
      <c r="AF121" s="4">
        <v>8</v>
      </c>
      <c r="AG121" s="57" t="s">
        <v>691</v>
      </c>
      <c r="AH121" s="57">
        <v>1</v>
      </c>
      <c r="AI121" s="57"/>
      <c r="AJ121" s="57"/>
      <c r="AK121" s="57"/>
      <c r="AM121">
        <v>121</v>
      </c>
    </row>
    <row r="122" spans="1:39" x14ac:dyDescent="0.25">
      <c r="A122" s="4" t="s">
        <v>471</v>
      </c>
      <c r="B122" s="41" t="s">
        <v>178</v>
      </c>
      <c r="C122" s="4">
        <v>266</v>
      </c>
      <c r="D122" s="4"/>
      <c r="E122" s="4"/>
      <c r="F122" s="4">
        <v>270</v>
      </c>
      <c r="G122" s="4"/>
      <c r="H122" s="4"/>
      <c r="I122" s="4"/>
      <c r="J122" s="4"/>
      <c r="K122" s="4"/>
      <c r="L122" s="4"/>
      <c r="M122" s="4"/>
      <c r="N122" s="4">
        <v>0</v>
      </c>
      <c r="O122" s="4">
        <v>0</v>
      </c>
      <c r="P122" s="4">
        <v>1</v>
      </c>
      <c r="Q122" s="4">
        <v>0</v>
      </c>
      <c r="R122" s="4">
        <f>(47.5/2.5)*2</f>
        <v>38</v>
      </c>
      <c r="S122" s="4">
        <f>(17.5/2.5)*2</f>
        <v>14</v>
      </c>
      <c r="T122" s="4">
        <f>(5/2.5)*2</f>
        <v>4</v>
      </c>
      <c r="U122" s="4">
        <f>(5/2.5)*2</f>
        <v>4</v>
      </c>
      <c r="V122" s="4">
        <f>(12.5/2.5)*2</f>
        <v>10</v>
      </c>
      <c r="W122" s="4">
        <f>(0/2.5)*2</f>
        <v>0</v>
      </c>
      <c r="X122" s="4">
        <f t="shared" si="16"/>
        <v>0</v>
      </c>
      <c r="Y122" s="4">
        <f>(47.5/2.5)*2</f>
        <v>38</v>
      </c>
      <c r="Z122" s="4">
        <f>(17.5/2.5)*2</f>
        <v>14</v>
      </c>
      <c r="AA122" s="4">
        <f>(5/2.5)*2</f>
        <v>4</v>
      </c>
      <c r="AB122" s="4">
        <f>(5/2.5)*2</f>
        <v>4</v>
      </c>
      <c r="AC122" s="4">
        <f>(15/2.5)*2</f>
        <v>12</v>
      </c>
      <c r="AD122" s="4">
        <f>(10/2.5)*2</f>
        <v>8</v>
      </c>
      <c r="AE122" s="4">
        <f t="shared" si="17"/>
        <v>0</v>
      </c>
      <c r="AF122" s="4">
        <v>8</v>
      </c>
      <c r="AG122" s="57" t="s">
        <v>691</v>
      </c>
      <c r="AH122" s="57"/>
      <c r="AI122" s="57"/>
      <c r="AJ122" s="57"/>
      <c r="AK122" s="57"/>
      <c r="AM122">
        <v>122</v>
      </c>
    </row>
    <row r="123" spans="1:39" x14ac:dyDescent="0.25">
      <c r="A123" s="4" t="s">
        <v>472</v>
      </c>
      <c r="B123" s="41" t="s">
        <v>178</v>
      </c>
      <c r="C123" s="4">
        <v>266</v>
      </c>
      <c r="D123" s="4"/>
      <c r="E123" s="4"/>
      <c r="F123" s="4"/>
      <c r="G123" s="4"/>
      <c r="H123" s="4">
        <v>270</v>
      </c>
      <c r="I123" s="4"/>
      <c r="J123" s="4"/>
      <c r="K123" s="4"/>
      <c r="L123" s="4"/>
      <c r="M123" s="4"/>
      <c r="N123" s="4">
        <v>0</v>
      </c>
      <c r="O123" s="4">
        <v>0</v>
      </c>
      <c r="P123" s="4">
        <v>1</v>
      </c>
      <c r="Q123" s="4">
        <v>0</v>
      </c>
      <c r="R123" s="4">
        <f>(12.5/2.5)*2</f>
        <v>10</v>
      </c>
      <c r="S123" s="4">
        <f>(12.5/2.5)*2</f>
        <v>10</v>
      </c>
      <c r="T123" s="4">
        <f>(15/2.5)*2</f>
        <v>12</v>
      </c>
      <c r="U123" s="4">
        <f>(30/2.5)*2</f>
        <v>24</v>
      </c>
      <c r="V123" s="4">
        <f>(17.5/2.5)*2</f>
        <v>14</v>
      </c>
      <c r="W123" s="4">
        <f>(0/2.5)*2</f>
        <v>0</v>
      </c>
      <c r="X123" s="4">
        <f t="shared" si="16"/>
        <v>0</v>
      </c>
      <c r="Y123" s="4">
        <f>(12.5/2.5)*2</f>
        <v>10</v>
      </c>
      <c r="Z123" s="4">
        <f>(12.5/2.5)*2</f>
        <v>10</v>
      </c>
      <c r="AA123" s="4">
        <f>(15/2.5)*2</f>
        <v>12</v>
      </c>
      <c r="AB123" s="4">
        <f>(30/2.5)*2</f>
        <v>24</v>
      </c>
      <c r="AC123" s="4">
        <f>(20/2.5)*2</f>
        <v>16</v>
      </c>
      <c r="AD123" s="4">
        <f>(10/2.5)*2</f>
        <v>8</v>
      </c>
      <c r="AE123" s="4">
        <f t="shared" si="17"/>
        <v>0</v>
      </c>
      <c r="AF123" s="4">
        <v>8</v>
      </c>
      <c r="AG123" s="57" t="s">
        <v>691</v>
      </c>
      <c r="AH123" s="57"/>
      <c r="AI123" s="57"/>
      <c r="AJ123" s="57"/>
      <c r="AK123" s="57"/>
      <c r="AM123">
        <v>123</v>
      </c>
    </row>
    <row r="124" spans="1:39" x14ac:dyDescent="0.25">
      <c r="A124" s="4" t="s">
        <v>473</v>
      </c>
      <c r="B124" s="41" t="s">
        <v>178</v>
      </c>
      <c r="C124" s="4">
        <v>266</v>
      </c>
      <c r="D124" s="4"/>
      <c r="E124" s="4"/>
      <c r="F124" s="4"/>
      <c r="G124" s="4"/>
      <c r="H124" s="4"/>
      <c r="I124" s="4"/>
      <c r="J124" s="4">
        <v>330</v>
      </c>
      <c r="K124" s="4"/>
      <c r="L124" s="4"/>
      <c r="M124" s="4"/>
      <c r="N124" s="4">
        <v>0</v>
      </c>
      <c r="O124" s="4">
        <v>0</v>
      </c>
      <c r="P124" s="4">
        <v>1</v>
      </c>
      <c r="Q124" s="4">
        <v>0</v>
      </c>
      <c r="R124" s="4">
        <f>(10/2.5)*2</f>
        <v>8</v>
      </c>
      <c r="S124" s="4">
        <f>(12.5/2.5)*2</f>
        <v>10</v>
      </c>
      <c r="T124" s="4">
        <f>(15/2.5)*2</f>
        <v>12</v>
      </c>
      <c r="U124" s="4">
        <f>(30/2.5)*2</f>
        <v>24</v>
      </c>
      <c r="V124" s="4">
        <f>(20/2.5)*2</f>
        <v>16</v>
      </c>
      <c r="W124" s="4">
        <f>(0/2.5)*2</f>
        <v>0</v>
      </c>
      <c r="X124" s="4">
        <f t="shared" si="16"/>
        <v>0</v>
      </c>
      <c r="Y124" s="4">
        <f>(10/2.5)*2</f>
        <v>8</v>
      </c>
      <c r="Z124" s="4">
        <f>(12.5/2.5)*2</f>
        <v>10</v>
      </c>
      <c r="AA124" s="4">
        <f>(15/2.5)*2</f>
        <v>12</v>
      </c>
      <c r="AB124" s="4">
        <f>(30/2.5)*2</f>
        <v>24</v>
      </c>
      <c r="AC124" s="4">
        <f>(22.5/2.5)*2</f>
        <v>18</v>
      </c>
      <c r="AD124" s="4">
        <f>(10/2.5)*2</f>
        <v>8</v>
      </c>
      <c r="AE124" s="4">
        <f t="shared" si="17"/>
        <v>0</v>
      </c>
      <c r="AF124" s="4">
        <v>8</v>
      </c>
      <c r="AG124" s="57" t="s">
        <v>691</v>
      </c>
      <c r="AH124" s="57"/>
      <c r="AI124" s="57"/>
      <c r="AJ124" s="57"/>
      <c r="AK124" s="57"/>
      <c r="AM124">
        <v>124</v>
      </c>
    </row>
    <row r="125" spans="1:39" x14ac:dyDescent="0.25">
      <c r="A125" s="4" t="s">
        <v>474</v>
      </c>
      <c r="B125" s="41" t="s">
        <v>178</v>
      </c>
      <c r="C125" s="4">
        <v>252</v>
      </c>
      <c r="D125" s="4"/>
      <c r="E125" s="4">
        <v>180</v>
      </c>
      <c r="F125" s="4"/>
      <c r="G125" s="4"/>
      <c r="H125" s="4"/>
      <c r="I125" s="4"/>
      <c r="J125" s="4"/>
      <c r="K125" s="4"/>
      <c r="L125" s="4"/>
      <c r="M125" s="4"/>
      <c r="N125" s="4">
        <v>0</v>
      </c>
      <c r="O125" s="4">
        <v>0</v>
      </c>
      <c r="P125" s="4">
        <v>1</v>
      </c>
      <c r="Q125" s="4">
        <v>0</v>
      </c>
      <c r="R125" s="4">
        <f>(55/2.5)*2</f>
        <v>44</v>
      </c>
      <c r="S125" s="4">
        <f>(5/2.5)*2</f>
        <v>4</v>
      </c>
      <c r="T125" s="4">
        <f>(5/2.5)*2</f>
        <v>4</v>
      </c>
      <c r="U125" s="4">
        <f>(5/2.5)*2</f>
        <v>4</v>
      </c>
      <c r="V125" s="4">
        <f>(7.5/2.5)*2</f>
        <v>6</v>
      </c>
      <c r="W125" s="4">
        <f>(10/2.5)*2</f>
        <v>8</v>
      </c>
      <c r="X125" s="4">
        <f t="shared" si="16"/>
        <v>0</v>
      </c>
      <c r="Y125" s="4">
        <f>(55/2.5)*2</f>
        <v>44</v>
      </c>
      <c r="Z125" s="4">
        <f>(5/2.5)*2</f>
        <v>4</v>
      </c>
      <c r="AA125" s="4">
        <f>(5/2.5)*2</f>
        <v>4</v>
      </c>
      <c r="AB125" s="4">
        <f>(5/2.5)*2</f>
        <v>4</v>
      </c>
      <c r="AC125" s="4">
        <f>(7.5/2.5)*2</f>
        <v>6</v>
      </c>
      <c r="AD125" s="4">
        <f>(22.5/2.5)*2</f>
        <v>18</v>
      </c>
      <c r="AE125" s="4">
        <f t="shared" si="17"/>
        <v>0</v>
      </c>
      <c r="AF125" s="4">
        <v>8</v>
      </c>
      <c r="AG125" s="57" t="s">
        <v>691</v>
      </c>
      <c r="AH125" s="57"/>
      <c r="AI125" s="57"/>
      <c r="AJ125" s="57"/>
      <c r="AK125" s="57"/>
      <c r="AM125">
        <v>125</v>
      </c>
    </row>
    <row r="126" spans="1:39" x14ac:dyDescent="0.25">
      <c r="A126" s="4" t="s">
        <v>481</v>
      </c>
      <c r="B126" s="41" t="s">
        <v>178</v>
      </c>
      <c r="C126" s="4">
        <v>252</v>
      </c>
      <c r="D126" s="4">
        <v>20</v>
      </c>
      <c r="E126" s="4"/>
      <c r="F126" s="4"/>
      <c r="G126" s="4"/>
      <c r="H126" s="4"/>
      <c r="I126" s="4">
        <v>210</v>
      </c>
      <c r="J126" s="4"/>
      <c r="K126" s="4"/>
      <c r="L126" s="4"/>
      <c r="M126" s="4"/>
      <c r="N126" s="4">
        <v>1</v>
      </c>
      <c r="O126" s="4">
        <v>0</v>
      </c>
      <c r="P126" s="4">
        <v>0</v>
      </c>
      <c r="Q126" s="4">
        <v>0</v>
      </c>
      <c r="R126" s="4">
        <f>(10/2.5)*2</f>
        <v>8</v>
      </c>
      <c r="S126" s="4">
        <f>(12.5/2.5)*2</f>
        <v>10</v>
      </c>
      <c r="T126" s="4">
        <f>(15/2.5)*2</f>
        <v>12</v>
      </c>
      <c r="U126" s="4">
        <f>(30/2.5)*2</f>
        <v>24</v>
      </c>
      <c r="V126" s="4">
        <f>(20/2.5)*2</f>
        <v>16</v>
      </c>
      <c r="W126" s="4">
        <f>(0/2.5)*2</f>
        <v>0</v>
      </c>
      <c r="X126" s="4">
        <f t="shared" si="16"/>
        <v>0</v>
      </c>
      <c r="Y126" s="4">
        <f>(10/2.5)*2</f>
        <v>8</v>
      </c>
      <c r="Z126" s="4">
        <f>(12.5/2.5)*2</f>
        <v>10</v>
      </c>
      <c r="AA126" s="4">
        <f>(15/2.5)*2</f>
        <v>12</v>
      </c>
      <c r="AB126" s="4">
        <f>(30/2.5)*2</f>
        <v>24</v>
      </c>
      <c r="AC126" s="4">
        <f>(22.5/2.5)*2</f>
        <v>18</v>
      </c>
      <c r="AD126" s="4">
        <f>(10/2.5)*2</f>
        <v>8</v>
      </c>
      <c r="AE126" s="4">
        <f t="shared" si="17"/>
        <v>0</v>
      </c>
      <c r="AF126" s="4">
        <v>8</v>
      </c>
      <c r="AG126" s="57" t="s">
        <v>513</v>
      </c>
      <c r="AH126" s="57">
        <v>1</v>
      </c>
      <c r="AI126" s="57"/>
      <c r="AJ126" s="57"/>
      <c r="AK126" s="57"/>
      <c r="AM126">
        <v>126</v>
      </c>
    </row>
    <row r="127" spans="1:39" x14ac:dyDescent="0.25">
      <c r="A127" s="4" t="s">
        <v>480</v>
      </c>
      <c r="B127" s="41" t="s">
        <v>178</v>
      </c>
      <c r="C127" s="4">
        <v>252</v>
      </c>
      <c r="D127" s="4">
        <v>15</v>
      </c>
      <c r="E127" s="4"/>
      <c r="F127" s="4"/>
      <c r="G127" s="4"/>
      <c r="H127" s="4">
        <v>210</v>
      </c>
      <c r="I127" s="4"/>
      <c r="J127" s="4"/>
      <c r="K127" s="4"/>
      <c r="L127" s="4"/>
      <c r="M127" s="4"/>
      <c r="N127" s="4">
        <v>1</v>
      </c>
      <c r="O127" s="4">
        <v>0</v>
      </c>
      <c r="P127" s="4">
        <v>0</v>
      </c>
      <c r="Q127" s="4">
        <v>0</v>
      </c>
      <c r="R127" s="4">
        <f>(10/2.5)*2</f>
        <v>8</v>
      </c>
      <c r="S127" s="4">
        <f>(12.5/2.5)*2</f>
        <v>10</v>
      </c>
      <c r="T127" s="4">
        <f>(15/2.5)*2</f>
        <v>12</v>
      </c>
      <c r="U127" s="4">
        <f>(30/2.5)*2</f>
        <v>24</v>
      </c>
      <c r="V127" s="4">
        <f>(20/2.5)*2</f>
        <v>16</v>
      </c>
      <c r="W127" s="4">
        <f>(0/2.5)*2</f>
        <v>0</v>
      </c>
      <c r="X127" s="4">
        <f t="shared" si="16"/>
        <v>0</v>
      </c>
      <c r="Y127" s="4">
        <f>(10/2.5)*2</f>
        <v>8</v>
      </c>
      <c r="Z127" s="4">
        <f>(12.5/2.5)*2</f>
        <v>10</v>
      </c>
      <c r="AA127" s="4">
        <f>(15/2.5)*2</f>
        <v>12</v>
      </c>
      <c r="AB127" s="4">
        <f>(30/2.5)*2</f>
        <v>24</v>
      </c>
      <c r="AC127" s="4">
        <f>(22.5/2.5)*2</f>
        <v>18</v>
      </c>
      <c r="AD127" s="4">
        <f>(10/2.5)*2</f>
        <v>8</v>
      </c>
      <c r="AE127" s="4">
        <f t="shared" si="17"/>
        <v>0</v>
      </c>
      <c r="AF127" s="4">
        <v>8</v>
      </c>
      <c r="AG127" s="57" t="s">
        <v>513</v>
      </c>
      <c r="AH127" s="57"/>
      <c r="AI127" s="57"/>
      <c r="AJ127" s="57"/>
      <c r="AK127" s="57"/>
      <c r="AM127">
        <v>127</v>
      </c>
    </row>
    <row r="128" spans="1:39" x14ac:dyDescent="0.25">
      <c r="A128" s="4" t="s">
        <v>479</v>
      </c>
      <c r="B128" s="41" t="s">
        <v>178</v>
      </c>
      <c r="C128" s="4">
        <v>252</v>
      </c>
      <c r="D128" s="4">
        <v>10</v>
      </c>
      <c r="E128" s="4"/>
      <c r="F128" s="4">
        <v>210</v>
      </c>
      <c r="G128" s="4"/>
      <c r="H128" s="4"/>
      <c r="I128" s="4"/>
      <c r="J128" s="4"/>
      <c r="K128" s="4"/>
      <c r="L128" s="4"/>
      <c r="M128" s="4"/>
      <c r="N128" s="4">
        <v>1</v>
      </c>
      <c r="O128" s="4">
        <v>0</v>
      </c>
      <c r="P128" s="4">
        <v>0</v>
      </c>
      <c r="Q128" s="4">
        <v>0</v>
      </c>
      <c r="R128" s="4">
        <f>(42.5/2.5)*2</f>
        <v>34</v>
      </c>
      <c r="S128" s="4">
        <f>(17.5/2.5)*2</f>
        <v>14</v>
      </c>
      <c r="T128" s="4">
        <f>(5/2.5)*2</f>
        <v>4</v>
      </c>
      <c r="U128" s="4">
        <f>(5/2.5)*2</f>
        <v>4</v>
      </c>
      <c r="V128" s="4">
        <f>(17.5/2.5)*2</f>
        <v>14</v>
      </c>
      <c r="W128" s="4">
        <f>(0/2.5)*2</f>
        <v>0</v>
      </c>
      <c r="X128" s="4">
        <f t="shared" ref="X128:X144" si="18">(0/2.5)*2</f>
        <v>0</v>
      </c>
      <c r="Y128" s="4">
        <f>(42.5/2.5)*2</f>
        <v>34</v>
      </c>
      <c r="Z128" s="4">
        <f>(17.5/2.5)*2</f>
        <v>14</v>
      </c>
      <c r="AA128" s="4">
        <f>(5/2.5)*2</f>
        <v>4</v>
      </c>
      <c r="AB128" s="4">
        <f>(5/2.5)*2</f>
        <v>4</v>
      </c>
      <c r="AC128" s="4">
        <f>(20/2.5)*2</f>
        <v>16</v>
      </c>
      <c r="AD128" s="4">
        <f>(10/2.5)*2</f>
        <v>8</v>
      </c>
      <c r="AE128" s="4">
        <f t="shared" si="17"/>
        <v>0</v>
      </c>
      <c r="AF128" s="4">
        <v>8</v>
      </c>
      <c r="AG128" s="57" t="s">
        <v>513</v>
      </c>
      <c r="AH128" s="57"/>
      <c r="AI128" s="57"/>
      <c r="AJ128" s="57"/>
      <c r="AK128" s="57"/>
      <c r="AM128">
        <v>128</v>
      </c>
    </row>
    <row r="129" spans="1:39" x14ac:dyDescent="0.25">
      <c r="A129" s="4" t="s">
        <v>478</v>
      </c>
      <c r="B129" s="41" t="s">
        <v>178</v>
      </c>
      <c r="C129" s="4">
        <v>224</v>
      </c>
      <c r="D129" s="4">
        <v>10</v>
      </c>
      <c r="E129" s="4"/>
      <c r="F129" s="4"/>
      <c r="G129" s="4"/>
      <c r="H129" s="4"/>
      <c r="I129" s="4"/>
      <c r="J129" s="4"/>
      <c r="K129" s="4">
        <v>90</v>
      </c>
      <c r="L129" s="4"/>
      <c r="M129" s="4"/>
      <c r="N129" s="4">
        <v>1</v>
      </c>
      <c r="O129" s="4">
        <v>0</v>
      </c>
      <c r="P129" s="4">
        <v>0</v>
      </c>
      <c r="Q129" s="4">
        <v>0</v>
      </c>
      <c r="R129" s="4">
        <f>(25/2.5)*2</f>
        <v>20</v>
      </c>
      <c r="S129" s="4">
        <f>(7.5/2.5)*2</f>
        <v>6</v>
      </c>
      <c r="T129" s="4">
        <f>(15/2.5)*2</f>
        <v>12</v>
      </c>
      <c r="U129" s="4">
        <f>(20/2.5)*2</f>
        <v>16</v>
      </c>
      <c r="V129" s="4">
        <f>(10/2.5)*2</f>
        <v>8</v>
      </c>
      <c r="W129" s="4">
        <f>(10/2.5)*2</f>
        <v>8</v>
      </c>
      <c r="X129" s="4">
        <f t="shared" si="18"/>
        <v>0</v>
      </c>
      <c r="Y129" s="4">
        <f>(25/2.5)*2</f>
        <v>20</v>
      </c>
      <c r="Z129" s="4">
        <f>(7.5/2.5)*2</f>
        <v>6</v>
      </c>
      <c r="AA129" s="4">
        <f>(15/2.5)*2</f>
        <v>12</v>
      </c>
      <c r="AB129" s="4">
        <f>(20/2.5)*2</f>
        <v>16</v>
      </c>
      <c r="AC129" s="4">
        <f>(10/2.5)*2</f>
        <v>8</v>
      </c>
      <c r="AD129" s="4">
        <f>(22.5/2.5)*2</f>
        <v>18</v>
      </c>
      <c r="AE129" s="4">
        <f t="shared" si="17"/>
        <v>0</v>
      </c>
      <c r="AF129" s="4">
        <v>8</v>
      </c>
      <c r="AG129" s="57" t="s">
        <v>570</v>
      </c>
      <c r="AH129" s="57"/>
      <c r="AI129" s="57"/>
      <c r="AJ129" s="57"/>
      <c r="AK129" s="57"/>
      <c r="AM129">
        <v>129</v>
      </c>
    </row>
    <row r="130" spans="1:39" x14ac:dyDescent="0.25">
      <c r="A130" s="4" t="s">
        <v>477</v>
      </c>
      <c r="B130" s="41" t="s">
        <v>178</v>
      </c>
      <c r="C130" s="4">
        <v>266</v>
      </c>
      <c r="D130" s="4">
        <v>5</v>
      </c>
      <c r="E130" s="4"/>
      <c r="F130" s="4"/>
      <c r="G130" s="4"/>
      <c r="H130" s="4"/>
      <c r="I130" s="4"/>
      <c r="J130" s="4"/>
      <c r="K130" s="4"/>
      <c r="L130" s="4"/>
      <c r="M130" s="4">
        <v>180</v>
      </c>
      <c r="N130" s="4">
        <v>1</v>
      </c>
      <c r="O130" s="4">
        <v>0</v>
      </c>
      <c r="P130" s="4">
        <v>0</v>
      </c>
      <c r="Q130" s="4">
        <v>0</v>
      </c>
      <c r="R130" s="4">
        <f>(22.5/2.5)*2</f>
        <v>18</v>
      </c>
      <c r="S130" s="4">
        <f>(30/2.5)*2</f>
        <v>24</v>
      </c>
      <c r="T130" s="4">
        <f>(10/2.5)*2</f>
        <v>8</v>
      </c>
      <c r="U130" s="4">
        <f>(12.5/2.5)*2</f>
        <v>10</v>
      </c>
      <c r="V130" s="4">
        <f>(12.5/2.5)*2</f>
        <v>10</v>
      </c>
      <c r="W130" s="4">
        <f>(0/2.5)*2</f>
        <v>0</v>
      </c>
      <c r="X130" s="4">
        <f t="shared" si="18"/>
        <v>0</v>
      </c>
      <c r="Y130" s="4">
        <f>(22.5/2.5)*2</f>
        <v>18</v>
      </c>
      <c r="Z130" s="4">
        <f>(30/2.5)*2</f>
        <v>24</v>
      </c>
      <c r="AA130" s="4">
        <f>(10/2.5)*2</f>
        <v>8</v>
      </c>
      <c r="AB130" s="4">
        <f>(12.5/2.5)*2</f>
        <v>10</v>
      </c>
      <c r="AC130" s="4">
        <f>(25/2.5)*2</f>
        <v>20</v>
      </c>
      <c r="AD130" s="4">
        <f>(0/2.5)*2</f>
        <v>0</v>
      </c>
      <c r="AE130" s="4">
        <f t="shared" si="17"/>
        <v>0</v>
      </c>
      <c r="AF130" s="4">
        <v>8</v>
      </c>
      <c r="AG130" s="57" t="s">
        <v>570</v>
      </c>
      <c r="AH130" s="57"/>
      <c r="AI130" s="57"/>
      <c r="AJ130" s="57"/>
      <c r="AK130" s="57"/>
      <c r="AM130">
        <v>130</v>
      </c>
    </row>
    <row r="131" spans="1:39" x14ac:dyDescent="0.25">
      <c r="A131" s="4" t="s">
        <v>476</v>
      </c>
      <c r="B131" s="41" t="s">
        <v>178</v>
      </c>
      <c r="C131" s="4">
        <v>280</v>
      </c>
      <c r="D131" s="4">
        <v>5</v>
      </c>
      <c r="E131" s="4">
        <v>210</v>
      </c>
      <c r="F131" s="4"/>
      <c r="G131" s="4"/>
      <c r="H131" s="4"/>
      <c r="I131" s="4"/>
      <c r="J131" s="4"/>
      <c r="K131" s="4"/>
      <c r="L131" s="4"/>
      <c r="M131" s="4"/>
      <c r="N131" s="4">
        <v>0</v>
      </c>
      <c r="O131" s="4">
        <v>0</v>
      </c>
      <c r="P131" s="4">
        <v>0</v>
      </c>
      <c r="Q131" s="4">
        <v>0</v>
      </c>
      <c r="R131" s="4">
        <f>(20/2.5)*2</f>
        <v>16</v>
      </c>
      <c r="S131" s="4">
        <f>(12.5/2.5)*2</f>
        <v>10</v>
      </c>
      <c r="T131" s="4">
        <f>(12.5/2.5)*2</f>
        <v>10</v>
      </c>
      <c r="U131" s="4">
        <f>(20/2.5)*2</f>
        <v>16</v>
      </c>
      <c r="V131" s="4">
        <f>(22.5/2.5)*2</f>
        <v>18</v>
      </c>
      <c r="W131" s="4">
        <f>(0/2.5)*2</f>
        <v>0</v>
      </c>
      <c r="X131" s="4">
        <f t="shared" si="18"/>
        <v>0</v>
      </c>
      <c r="Y131" s="4">
        <f>(20/2.5)*2</f>
        <v>16</v>
      </c>
      <c r="Z131" s="4">
        <f>(12.5/2.5)*2</f>
        <v>10</v>
      </c>
      <c r="AA131" s="4">
        <f>(12.5/2.5)*2</f>
        <v>10</v>
      </c>
      <c r="AB131" s="4">
        <f>(20/2.5)*2</f>
        <v>16</v>
      </c>
      <c r="AC131" s="4">
        <f>(35/2.5)*2</f>
        <v>28</v>
      </c>
      <c r="AD131" s="4">
        <f>(0/2.5)*2</f>
        <v>0</v>
      </c>
      <c r="AE131" s="4">
        <f t="shared" si="17"/>
        <v>0</v>
      </c>
      <c r="AF131" s="4">
        <v>8</v>
      </c>
      <c r="AG131" s="57" t="s">
        <v>513</v>
      </c>
      <c r="AH131" s="57"/>
      <c r="AI131" s="57"/>
      <c r="AJ131" s="57"/>
      <c r="AK131" s="57"/>
      <c r="AM131">
        <v>131</v>
      </c>
    </row>
    <row r="132" spans="1:39" x14ac:dyDescent="0.25">
      <c r="A132" s="4" t="s">
        <v>475</v>
      </c>
      <c r="B132" s="41" t="s">
        <v>178</v>
      </c>
      <c r="C132" s="4">
        <v>252</v>
      </c>
      <c r="D132" s="4">
        <v>15</v>
      </c>
      <c r="E132" s="4"/>
      <c r="F132" s="4"/>
      <c r="G132" s="4">
        <v>180</v>
      </c>
      <c r="H132" s="4"/>
      <c r="I132" s="4"/>
      <c r="J132" s="4"/>
      <c r="K132" s="4"/>
      <c r="L132" s="4"/>
      <c r="M132" s="4"/>
      <c r="N132" s="4">
        <v>1</v>
      </c>
      <c r="O132" s="4">
        <v>0</v>
      </c>
      <c r="P132" s="4">
        <v>0</v>
      </c>
      <c r="Q132" s="4">
        <v>0</v>
      </c>
      <c r="R132" s="4">
        <f>(55/2.5)*2</f>
        <v>44</v>
      </c>
      <c r="S132" s="4">
        <f>(5/2.5)*2</f>
        <v>4</v>
      </c>
      <c r="T132" s="4">
        <f>(5/2.5)*2</f>
        <v>4</v>
      </c>
      <c r="U132" s="4">
        <f>(12.5/2.5)*2</f>
        <v>10</v>
      </c>
      <c r="V132" s="4">
        <f>(5/2.5)*2</f>
        <v>4</v>
      </c>
      <c r="W132" s="4">
        <f>(5/2.5)*2</f>
        <v>4</v>
      </c>
      <c r="X132" s="4">
        <f t="shared" si="18"/>
        <v>0</v>
      </c>
      <c r="Y132" s="4">
        <f>(55/2.5)*2</f>
        <v>44</v>
      </c>
      <c r="Z132" s="4">
        <f>(5/2.5)*2</f>
        <v>4</v>
      </c>
      <c r="AA132" s="4">
        <f>(5/2.5)*2</f>
        <v>4</v>
      </c>
      <c r="AB132" s="4">
        <f>(12.5/2.5)*2</f>
        <v>10</v>
      </c>
      <c r="AC132" s="4">
        <f>(5/2.5)*2</f>
        <v>4</v>
      </c>
      <c r="AD132" s="4">
        <f>(17.5/2.5)*2</f>
        <v>14</v>
      </c>
      <c r="AE132" s="4">
        <f t="shared" si="17"/>
        <v>0</v>
      </c>
      <c r="AF132" s="4">
        <v>8</v>
      </c>
      <c r="AG132" s="57" t="s">
        <v>513</v>
      </c>
      <c r="AH132" s="57"/>
      <c r="AI132" s="57"/>
      <c r="AJ132" s="57"/>
      <c r="AK132" s="57"/>
      <c r="AM132">
        <v>132</v>
      </c>
    </row>
    <row r="133" spans="1:39" x14ac:dyDescent="0.25">
      <c r="A133" s="40" t="s">
        <v>271</v>
      </c>
      <c r="B133" s="41" t="s">
        <v>178</v>
      </c>
      <c r="C133" s="41">
        <v>308</v>
      </c>
      <c r="D133" s="41"/>
      <c r="E133" s="41"/>
      <c r="F133" s="41"/>
      <c r="G133" s="41"/>
      <c r="H133" s="41"/>
      <c r="I133" s="41"/>
      <c r="J133" s="41">
        <v>300</v>
      </c>
      <c r="K133" s="41"/>
      <c r="L133" s="41"/>
      <c r="M133" s="41"/>
      <c r="N133" s="41">
        <v>2</v>
      </c>
      <c r="O133" s="41">
        <v>0</v>
      </c>
      <c r="P133" s="41">
        <v>0</v>
      </c>
      <c r="Q133" s="41">
        <v>0</v>
      </c>
      <c r="R133" s="41">
        <f>(17.5/2.5)*2</f>
        <v>14</v>
      </c>
      <c r="S133" s="41">
        <f>(20/2.5)*2</f>
        <v>16</v>
      </c>
      <c r="T133" s="41">
        <f>(7.5/2.5)*2</f>
        <v>6</v>
      </c>
      <c r="U133" s="41">
        <f>(7.5/2.5)*2</f>
        <v>6</v>
      </c>
      <c r="V133" s="41">
        <f>(20/2.5)*2</f>
        <v>16</v>
      </c>
      <c r="W133" s="41">
        <f>(15/2.5)*2</f>
        <v>12</v>
      </c>
      <c r="X133" s="41">
        <f t="shared" si="18"/>
        <v>0</v>
      </c>
      <c r="Y133" s="41">
        <f>(17.5/2.5)*2</f>
        <v>14</v>
      </c>
      <c r="Z133" s="41">
        <f>(20/2.5)*2</f>
        <v>16</v>
      </c>
      <c r="AA133" s="41">
        <f>(7.5/2.5)*2</f>
        <v>6</v>
      </c>
      <c r="AB133" s="41">
        <f>(7.5/2.5)*2</f>
        <v>6</v>
      </c>
      <c r="AC133" s="41">
        <f>(20/2.5)*2</f>
        <v>16</v>
      </c>
      <c r="AD133" s="41">
        <f>(27.5/2.5)*2</f>
        <v>22</v>
      </c>
      <c r="AE133" s="41">
        <f t="shared" si="17"/>
        <v>0</v>
      </c>
      <c r="AF133" s="41">
        <v>9</v>
      </c>
      <c r="AG133" s="56" t="s">
        <v>691</v>
      </c>
      <c r="AH133" s="56"/>
      <c r="AI133" s="56"/>
      <c r="AJ133" s="56"/>
      <c r="AK133" s="56"/>
      <c r="AM133">
        <v>133</v>
      </c>
    </row>
    <row r="134" spans="1:39" x14ac:dyDescent="0.25">
      <c r="A134" s="40" t="s">
        <v>279</v>
      </c>
      <c r="B134" s="41" t="s">
        <v>178</v>
      </c>
      <c r="C134" s="41">
        <v>322</v>
      </c>
      <c r="D134" s="41"/>
      <c r="E134" s="41"/>
      <c r="F134" s="41"/>
      <c r="G134" s="41"/>
      <c r="H134" s="41"/>
      <c r="I134" s="41"/>
      <c r="J134" s="41"/>
      <c r="K134" s="41"/>
      <c r="L134" s="41"/>
      <c r="M134" s="41">
        <v>210</v>
      </c>
      <c r="N134" s="41">
        <v>0</v>
      </c>
      <c r="O134" s="41">
        <v>0</v>
      </c>
      <c r="P134" s="41">
        <v>1</v>
      </c>
      <c r="Q134" s="41">
        <v>0</v>
      </c>
      <c r="R134" s="41">
        <f>(20/2.5)*2</f>
        <v>16</v>
      </c>
      <c r="S134" s="41">
        <f>(25/2.5)*2</f>
        <v>20</v>
      </c>
      <c r="T134" s="41">
        <f>(10/2.5)*2</f>
        <v>8</v>
      </c>
      <c r="U134" s="41">
        <f>(12.5/2.5)*2</f>
        <v>10</v>
      </c>
      <c r="V134" s="41">
        <f>(20/2.5)*2</f>
        <v>16</v>
      </c>
      <c r="W134" s="41">
        <f>(0/2.5)*2</f>
        <v>0</v>
      </c>
      <c r="X134" s="41">
        <f t="shared" si="18"/>
        <v>0</v>
      </c>
      <c r="Y134" s="41">
        <f>(20/2.5)*2</f>
        <v>16</v>
      </c>
      <c r="Z134" s="41">
        <f>(25/2.5)*2</f>
        <v>20</v>
      </c>
      <c r="AA134" s="41">
        <f>(10/2.5)*2</f>
        <v>8</v>
      </c>
      <c r="AB134" s="41">
        <f>(12.5/2.5)*2</f>
        <v>10</v>
      </c>
      <c r="AC134" s="41">
        <f>(20/2.5)*2</f>
        <v>16</v>
      </c>
      <c r="AD134" s="41">
        <f>(12.5/2.5)*2</f>
        <v>10</v>
      </c>
      <c r="AE134" s="41">
        <f t="shared" si="17"/>
        <v>0</v>
      </c>
      <c r="AF134" s="41">
        <v>9</v>
      </c>
      <c r="AG134" s="56" t="s">
        <v>691</v>
      </c>
      <c r="AH134" s="56"/>
      <c r="AI134" s="56"/>
      <c r="AJ134" s="56"/>
      <c r="AK134" s="56"/>
      <c r="AM134">
        <v>134</v>
      </c>
    </row>
    <row r="135" spans="1:39" x14ac:dyDescent="0.25">
      <c r="A135" s="40" t="s">
        <v>287</v>
      </c>
      <c r="B135" s="41" t="s">
        <v>178</v>
      </c>
      <c r="C135" s="41">
        <v>308</v>
      </c>
      <c r="D135" s="41">
        <v>20</v>
      </c>
      <c r="E135" s="41"/>
      <c r="F135" s="41"/>
      <c r="G135" s="41"/>
      <c r="H135" s="41"/>
      <c r="I135" s="41"/>
      <c r="J135" s="41"/>
      <c r="K135" s="41"/>
      <c r="L135" s="41">
        <v>180</v>
      </c>
      <c r="M135" s="41"/>
      <c r="N135" s="41">
        <v>0</v>
      </c>
      <c r="O135" s="41">
        <v>0</v>
      </c>
      <c r="P135" s="41">
        <v>0</v>
      </c>
      <c r="Q135" s="41">
        <v>0</v>
      </c>
      <c r="R135" s="41">
        <f>(22.5/2.5)*2</f>
        <v>18</v>
      </c>
      <c r="S135" s="41">
        <f>(25/2.5)*2</f>
        <v>20</v>
      </c>
      <c r="T135" s="41">
        <f>(10/2.5)*2</f>
        <v>8</v>
      </c>
      <c r="U135" s="41">
        <f>(12.5/2.5)*2</f>
        <v>10</v>
      </c>
      <c r="V135" s="41">
        <f>(17.5/2.5)*2</f>
        <v>14</v>
      </c>
      <c r="W135" s="41">
        <f>(0/2.5)*2</f>
        <v>0</v>
      </c>
      <c r="X135" s="41">
        <f t="shared" si="18"/>
        <v>0</v>
      </c>
      <c r="Y135" s="41">
        <f>(22.5/2.5)*2</f>
        <v>18</v>
      </c>
      <c r="Z135" s="41">
        <f>(25/2.5)*2</f>
        <v>20</v>
      </c>
      <c r="AA135" s="41">
        <f>(10/2.5)*2</f>
        <v>8</v>
      </c>
      <c r="AB135" s="41">
        <f>(12.5/2.5)*2</f>
        <v>10</v>
      </c>
      <c r="AC135" s="41">
        <f>(17.5/2.5)*2</f>
        <v>14</v>
      </c>
      <c r="AD135" s="41">
        <f>(12.5/2.5)*2</f>
        <v>10</v>
      </c>
      <c r="AE135" s="41">
        <f t="shared" si="17"/>
        <v>0</v>
      </c>
      <c r="AF135" s="41">
        <v>9</v>
      </c>
      <c r="AG135" s="56" t="s">
        <v>691</v>
      </c>
      <c r="AH135" s="56"/>
      <c r="AI135" s="56"/>
      <c r="AJ135" s="56"/>
      <c r="AK135" s="56"/>
      <c r="AM135">
        <v>135</v>
      </c>
    </row>
    <row r="136" spans="1:39" x14ac:dyDescent="0.25">
      <c r="A136" s="40" t="s">
        <v>294</v>
      </c>
      <c r="B136" s="41" t="s">
        <v>178</v>
      </c>
      <c r="C136" s="41">
        <v>322</v>
      </c>
      <c r="D136" s="41"/>
      <c r="E136" s="41"/>
      <c r="F136" s="41">
        <v>240</v>
      </c>
      <c r="G136" s="41"/>
      <c r="H136" s="41"/>
      <c r="I136" s="41"/>
      <c r="J136" s="41"/>
      <c r="K136" s="41"/>
      <c r="L136" s="41"/>
      <c r="M136" s="41"/>
      <c r="N136" s="41">
        <v>0</v>
      </c>
      <c r="O136" s="41">
        <v>0</v>
      </c>
      <c r="P136" s="41">
        <v>1</v>
      </c>
      <c r="Q136" s="41">
        <v>0</v>
      </c>
      <c r="R136" s="41">
        <f>(20/2.5)*2</f>
        <v>16</v>
      </c>
      <c r="S136" s="41">
        <f>(25/2.5)*2</f>
        <v>20</v>
      </c>
      <c r="T136" s="41">
        <f>(10/2.5)*2</f>
        <v>8</v>
      </c>
      <c r="U136" s="41">
        <f>(12.5/2.5)*2</f>
        <v>10</v>
      </c>
      <c r="V136" s="41">
        <f>(20/2.5)*2</f>
        <v>16</v>
      </c>
      <c r="W136" s="41">
        <f>(0/2.5)*2</f>
        <v>0</v>
      </c>
      <c r="X136" s="41">
        <f t="shared" si="18"/>
        <v>0</v>
      </c>
      <c r="Y136" s="41">
        <f>(20/2.5)*2</f>
        <v>16</v>
      </c>
      <c r="Z136" s="41">
        <f>(25/2.5)*2</f>
        <v>20</v>
      </c>
      <c r="AA136" s="41">
        <f>(10/2.5)*2</f>
        <v>8</v>
      </c>
      <c r="AB136" s="41">
        <f>(12.5/2.5)*2</f>
        <v>10</v>
      </c>
      <c r="AC136" s="41">
        <f>(20/2.5)*2</f>
        <v>16</v>
      </c>
      <c r="AD136" s="41">
        <f>(12.5/2.5)*2</f>
        <v>10</v>
      </c>
      <c r="AE136" s="41">
        <f t="shared" si="17"/>
        <v>0</v>
      </c>
      <c r="AF136" s="41">
        <v>9</v>
      </c>
      <c r="AG136" s="56"/>
      <c r="AH136" s="56"/>
      <c r="AI136" s="56"/>
      <c r="AJ136" s="56"/>
      <c r="AK136" s="56"/>
      <c r="AM136">
        <v>136</v>
      </c>
    </row>
    <row r="137" spans="1:39" x14ac:dyDescent="0.25">
      <c r="A137" s="40" t="s">
        <v>302</v>
      </c>
      <c r="B137" s="41" t="s">
        <v>178</v>
      </c>
      <c r="C137" s="41">
        <v>294</v>
      </c>
      <c r="D137" s="41">
        <v>10</v>
      </c>
      <c r="E137" s="41"/>
      <c r="F137" s="41"/>
      <c r="G137" s="41">
        <v>210</v>
      </c>
      <c r="H137" s="41"/>
      <c r="I137" s="41"/>
      <c r="J137" s="41"/>
      <c r="K137" s="41"/>
      <c r="L137" s="41"/>
      <c r="M137" s="41"/>
      <c r="N137" s="41">
        <v>1</v>
      </c>
      <c r="O137" s="41">
        <v>0</v>
      </c>
      <c r="P137" s="41">
        <v>0</v>
      </c>
      <c r="Q137" s="41">
        <v>0</v>
      </c>
      <c r="R137" s="41">
        <f>(25/2.5)*2</f>
        <v>20</v>
      </c>
      <c r="S137" s="41">
        <f>(7.5/2.5)*2</f>
        <v>6</v>
      </c>
      <c r="T137" s="41">
        <f>(7.5/2.5)*2</f>
        <v>6</v>
      </c>
      <c r="U137" s="41">
        <f>(27.5/2.5)*2</f>
        <v>22</v>
      </c>
      <c r="V137" s="41">
        <f>(10/2.5)*2</f>
        <v>8</v>
      </c>
      <c r="W137" s="41">
        <f>(10/2.5)*2</f>
        <v>8</v>
      </c>
      <c r="X137" s="41">
        <f t="shared" si="18"/>
        <v>0</v>
      </c>
      <c r="Y137" s="41">
        <f>(25/2.5)*2</f>
        <v>20</v>
      </c>
      <c r="Z137" s="41">
        <f>(7.5/2.5)*2</f>
        <v>6</v>
      </c>
      <c r="AA137" s="41">
        <f>(7.5/2.5)*2</f>
        <v>6</v>
      </c>
      <c r="AB137" s="41">
        <f>(27.5/2.5)*2</f>
        <v>22</v>
      </c>
      <c r="AC137" s="41">
        <f>(10/2.5)*2</f>
        <v>8</v>
      </c>
      <c r="AD137" s="41">
        <f>(22.5/2.5)*2</f>
        <v>18</v>
      </c>
      <c r="AE137" s="41">
        <f t="shared" si="17"/>
        <v>0</v>
      </c>
      <c r="AF137" s="41">
        <v>9</v>
      </c>
      <c r="AG137" s="56"/>
      <c r="AH137" s="56"/>
      <c r="AI137" s="56"/>
      <c r="AJ137" s="56"/>
      <c r="AK137" s="56"/>
      <c r="AM137">
        <v>137</v>
      </c>
    </row>
    <row r="138" spans="1:39" x14ac:dyDescent="0.25">
      <c r="A138" s="40" t="s">
        <v>309</v>
      </c>
      <c r="B138" s="41" t="s">
        <v>178</v>
      </c>
      <c r="C138" s="41">
        <v>322</v>
      </c>
      <c r="D138" s="41">
        <v>-20</v>
      </c>
      <c r="E138" s="41">
        <v>210</v>
      </c>
      <c r="F138" s="41"/>
      <c r="G138" s="41"/>
      <c r="H138" s="41"/>
      <c r="I138" s="41"/>
      <c r="J138" s="41"/>
      <c r="K138" s="41"/>
      <c r="L138" s="41"/>
      <c r="M138" s="41"/>
      <c r="N138" s="41">
        <v>0</v>
      </c>
      <c r="O138" s="41">
        <v>0</v>
      </c>
      <c r="P138" s="41">
        <v>0</v>
      </c>
      <c r="Q138" s="41">
        <v>0</v>
      </c>
      <c r="R138" s="41">
        <f>(15/2.5)*2</f>
        <v>12</v>
      </c>
      <c r="S138" s="41">
        <f>(25/2.5)*2</f>
        <v>20</v>
      </c>
      <c r="T138" s="41">
        <f>(10/2.5)*2</f>
        <v>8</v>
      </c>
      <c r="U138" s="41">
        <f>(12.5/2.5)*2</f>
        <v>10</v>
      </c>
      <c r="V138" s="41">
        <f>(25/2.5)*2</f>
        <v>20</v>
      </c>
      <c r="W138" s="41">
        <f>(0/2.5)*2</f>
        <v>0</v>
      </c>
      <c r="X138" s="41">
        <f t="shared" si="18"/>
        <v>0</v>
      </c>
      <c r="Y138" s="41">
        <f>(15/2.5)*2</f>
        <v>12</v>
      </c>
      <c r="Z138" s="41">
        <f>(25/2.5)*2</f>
        <v>20</v>
      </c>
      <c r="AA138" s="41">
        <f>(10/2.5)*2</f>
        <v>8</v>
      </c>
      <c r="AB138" s="41">
        <f>(12.5/2.5)*2</f>
        <v>10</v>
      </c>
      <c r="AC138" s="41">
        <f>(25/2.5)*2</f>
        <v>20</v>
      </c>
      <c r="AD138" s="41">
        <f>(12.5/2.5)*2</f>
        <v>10</v>
      </c>
      <c r="AE138" s="41">
        <f t="shared" si="17"/>
        <v>0</v>
      </c>
      <c r="AF138" s="41">
        <v>9</v>
      </c>
      <c r="AG138" s="56"/>
      <c r="AH138" s="56"/>
      <c r="AI138" s="56"/>
      <c r="AJ138" s="56"/>
      <c r="AK138" s="56"/>
      <c r="AM138">
        <v>138</v>
      </c>
    </row>
    <row r="139" spans="1:39" x14ac:dyDescent="0.25">
      <c r="A139" s="40" t="s">
        <v>319</v>
      </c>
      <c r="B139" s="41" t="s">
        <v>178</v>
      </c>
      <c r="C139" s="41">
        <v>280</v>
      </c>
      <c r="D139" s="41"/>
      <c r="E139" s="41"/>
      <c r="F139" s="41"/>
      <c r="G139" s="41"/>
      <c r="H139" s="41"/>
      <c r="I139" s="41"/>
      <c r="J139" s="41"/>
      <c r="K139" s="41">
        <v>150</v>
      </c>
      <c r="L139" s="41"/>
      <c r="M139" s="41"/>
      <c r="N139" s="41">
        <v>0</v>
      </c>
      <c r="O139" s="41">
        <v>1</v>
      </c>
      <c r="P139" s="41">
        <v>0</v>
      </c>
      <c r="Q139" s="41">
        <v>0</v>
      </c>
      <c r="R139" s="41">
        <f>(20/2.5)*2</f>
        <v>16</v>
      </c>
      <c r="S139" s="41">
        <f>(7.5/2.5)*2</f>
        <v>6</v>
      </c>
      <c r="T139" s="41">
        <f>(7.5/2.5)*2</f>
        <v>6</v>
      </c>
      <c r="U139" s="41">
        <f>(27.5/2.5)*2</f>
        <v>22</v>
      </c>
      <c r="V139" s="41">
        <f>(10/2.5)*2</f>
        <v>8</v>
      </c>
      <c r="W139" s="41">
        <f>(15/2.5)*2</f>
        <v>12</v>
      </c>
      <c r="X139" s="41">
        <f t="shared" si="18"/>
        <v>0</v>
      </c>
      <c r="Y139" s="41">
        <f>(20/2.5)*2</f>
        <v>16</v>
      </c>
      <c r="Z139" s="41">
        <f>(7.5/2.5)*2</f>
        <v>6</v>
      </c>
      <c r="AA139" s="41">
        <f>(7.5/2.5)*2</f>
        <v>6</v>
      </c>
      <c r="AB139" s="41">
        <f>(27.5/2.5)*2</f>
        <v>22</v>
      </c>
      <c r="AC139" s="41">
        <f>(10/2.5)*2</f>
        <v>8</v>
      </c>
      <c r="AD139" s="41">
        <f>(27.5/2.5)*2</f>
        <v>22</v>
      </c>
      <c r="AE139" s="41">
        <f t="shared" si="17"/>
        <v>0</v>
      </c>
      <c r="AF139" s="41">
        <v>9</v>
      </c>
      <c r="AG139" s="56" t="s">
        <v>691</v>
      </c>
      <c r="AH139" s="56"/>
      <c r="AI139" s="56"/>
      <c r="AJ139" s="56"/>
      <c r="AK139" s="56"/>
      <c r="AM139">
        <v>139</v>
      </c>
    </row>
    <row r="140" spans="1:39" x14ac:dyDescent="0.25">
      <c r="A140" s="40" t="s">
        <v>326</v>
      </c>
      <c r="B140" s="41" t="s">
        <v>178</v>
      </c>
      <c r="C140" s="41">
        <v>294</v>
      </c>
      <c r="D140" s="41"/>
      <c r="E140" s="41"/>
      <c r="F140" s="41"/>
      <c r="G140" s="41">
        <v>300</v>
      </c>
      <c r="H140" s="41"/>
      <c r="I140" s="41"/>
      <c r="J140" s="41"/>
      <c r="K140" s="41"/>
      <c r="L140" s="41"/>
      <c r="M140" s="41"/>
      <c r="N140" s="41">
        <v>0</v>
      </c>
      <c r="O140" s="41">
        <v>0</v>
      </c>
      <c r="P140" s="41">
        <v>1</v>
      </c>
      <c r="Q140" s="41">
        <v>0</v>
      </c>
      <c r="R140" s="41">
        <f>(27.5/2.5)*2</f>
        <v>22</v>
      </c>
      <c r="S140" s="41">
        <f>(7.5/2.5)*2</f>
        <v>6</v>
      </c>
      <c r="T140" s="41">
        <f>(7.5/2.5)*2</f>
        <v>6</v>
      </c>
      <c r="U140" s="41">
        <f>(27.5/2.5)*2</f>
        <v>22</v>
      </c>
      <c r="V140" s="41">
        <f>(10/2.5)*2</f>
        <v>8</v>
      </c>
      <c r="W140" s="41">
        <f>(7.5/2.5)*2</f>
        <v>6</v>
      </c>
      <c r="X140" s="41">
        <f t="shared" si="18"/>
        <v>0</v>
      </c>
      <c r="Y140" s="41">
        <f>(27.5/2.5)*2</f>
        <v>22</v>
      </c>
      <c r="Z140" s="41">
        <f>(7.5/2.5)*2</f>
        <v>6</v>
      </c>
      <c r="AA140" s="41">
        <f>(7.5/2.5)*2</f>
        <v>6</v>
      </c>
      <c r="AB140" s="41">
        <f>(27.5/2.5)*2</f>
        <v>22</v>
      </c>
      <c r="AC140" s="41">
        <f>(10/2.5)*2</f>
        <v>8</v>
      </c>
      <c r="AD140" s="41">
        <f>(20/2.5)*2</f>
        <v>16</v>
      </c>
      <c r="AE140" s="41">
        <f t="shared" si="17"/>
        <v>0</v>
      </c>
      <c r="AF140" s="41">
        <v>9</v>
      </c>
      <c r="AG140" s="56" t="s">
        <v>691</v>
      </c>
      <c r="AH140" s="56"/>
      <c r="AI140" s="56"/>
      <c r="AJ140" s="56"/>
      <c r="AK140" s="56"/>
      <c r="AM140">
        <v>140</v>
      </c>
    </row>
    <row r="141" spans="1:39" x14ac:dyDescent="0.25">
      <c r="A141" s="4" t="s">
        <v>379</v>
      </c>
      <c r="B141" s="41" t="s">
        <v>178</v>
      </c>
      <c r="C141" s="4">
        <v>294</v>
      </c>
      <c r="D141" s="4"/>
      <c r="E141" s="4"/>
      <c r="F141" s="4">
        <v>150</v>
      </c>
      <c r="G141" s="4"/>
      <c r="H141" s="4"/>
      <c r="I141" s="4"/>
      <c r="J141" s="4"/>
      <c r="K141" s="4"/>
      <c r="L141" s="4"/>
      <c r="M141" s="4"/>
      <c r="N141" s="4">
        <v>0</v>
      </c>
      <c r="O141" s="4">
        <v>0</v>
      </c>
      <c r="P141" s="4">
        <v>1</v>
      </c>
      <c r="Q141" s="4">
        <v>0</v>
      </c>
      <c r="R141" s="4">
        <f>(20/2.5)*2</f>
        <v>16</v>
      </c>
      <c r="S141" s="4">
        <f>(20/2.5)*2</f>
        <v>16</v>
      </c>
      <c r="T141" s="4">
        <f>(7.5/2.5)*2</f>
        <v>6</v>
      </c>
      <c r="U141" s="4">
        <f>(7.5/2.5)*2</f>
        <v>6</v>
      </c>
      <c r="V141" s="4">
        <f>(20/2.5)*2</f>
        <v>16</v>
      </c>
      <c r="W141" s="4">
        <f>(12.5/2.5)*2</f>
        <v>10</v>
      </c>
      <c r="X141" s="4">
        <f t="shared" si="18"/>
        <v>0</v>
      </c>
      <c r="Y141" s="4">
        <f>(20/2.5)*2</f>
        <v>16</v>
      </c>
      <c r="Z141" s="4">
        <f>(20/2.5)*2</f>
        <v>16</v>
      </c>
      <c r="AA141" s="4">
        <f>(7.5/2.5)*2</f>
        <v>6</v>
      </c>
      <c r="AB141" s="4">
        <f>(7.5/2.5)*2</f>
        <v>6</v>
      </c>
      <c r="AC141" s="4">
        <f>(20/2.5)*2</f>
        <v>16</v>
      </c>
      <c r="AD141" s="4">
        <f>(25/2.5)*2</f>
        <v>20</v>
      </c>
      <c r="AE141" s="4">
        <f t="shared" si="17"/>
        <v>0</v>
      </c>
      <c r="AF141" s="4">
        <v>9</v>
      </c>
      <c r="AG141" s="57"/>
      <c r="AH141" s="57"/>
      <c r="AI141" s="57"/>
      <c r="AJ141" s="57"/>
      <c r="AK141" s="57"/>
      <c r="AM141">
        <v>141</v>
      </c>
    </row>
    <row r="142" spans="1:39" x14ac:dyDescent="0.25">
      <c r="A142" s="4" t="s">
        <v>402</v>
      </c>
      <c r="B142" s="41" t="s">
        <v>178</v>
      </c>
      <c r="C142" s="4">
        <v>336</v>
      </c>
      <c r="D142" s="4"/>
      <c r="E142" s="4"/>
      <c r="F142" s="4"/>
      <c r="G142" s="4"/>
      <c r="H142" s="4">
        <v>330</v>
      </c>
      <c r="I142" s="4"/>
      <c r="J142" s="4"/>
      <c r="K142" s="4"/>
      <c r="L142" s="4"/>
      <c r="M142" s="4"/>
      <c r="N142" s="4">
        <v>0</v>
      </c>
      <c r="O142" s="4">
        <v>0</v>
      </c>
      <c r="P142" s="4">
        <v>0</v>
      </c>
      <c r="Q142" s="4">
        <v>1</v>
      </c>
      <c r="R142" s="4">
        <f>(15/2.5)*2</f>
        <v>12</v>
      </c>
      <c r="S142" s="4">
        <f>(25/2.5)*2</f>
        <v>20</v>
      </c>
      <c r="T142" s="4">
        <f>(10/2.5)*2</f>
        <v>8</v>
      </c>
      <c r="U142" s="4">
        <f>(12.5/2.5)*2</f>
        <v>10</v>
      </c>
      <c r="V142" s="4">
        <f>(25/2.5)*2</f>
        <v>20</v>
      </c>
      <c r="W142" s="4">
        <f>(0/2.5)*2</f>
        <v>0</v>
      </c>
      <c r="X142" s="4">
        <f t="shared" si="18"/>
        <v>0</v>
      </c>
      <c r="Y142" s="4">
        <f>(15/2.5)*2</f>
        <v>12</v>
      </c>
      <c r="Z142" s="4">
        <f>(25/2.5)*2</f>
        <v>20</v>
      </c>
      <c r="AA142" s="4">
        <f>(10/2.5)*2</f>
        <v>8</v>
      </c>
      <c r="AB142" s="4">
        <f>(12.5/2.5)*2</f>
        <v>10</v>
      </c>
      <c r="AC142" s="4">
        <f>(25/2.5)*2</f>
        <v>20</v>
      </c>
      <c r="AD142" s="4">
        <f>(12.5/2.5)*2</f>
        <v>10</v>
      </c>
      <c r="AE142" s="4">
        <f t="shared" si="17"/>
        <v>0</v>
      </c>
      <c r="AF142" s="4">
        <v>9</v>
      </c>
      <c r="AG142" s="57" t="s">
        <v>691</v>
      </c>
      <c r="AH142" s="57"/>
      <c r="AI142" s="57"/>
      <c r="AJ142" s="57"/>
      <c r="AK142" s="57"/>
      <c r="AM142">
        <v>142</v>
      </c>
    </row>
    <row r="143" spans="1:39" x14ac:dyDescent="0.25">
      <c r="A143" s="4" t="s">
        <v>429</v>
      </c>
      <c r="B143" s="41" t="s">
        <v>178</v>
      </c>
      <c r="C143" s="4">
        <v>322</v>
      </c>
      <c r="D143" s="4">
        <v>10</v>
      </c>
      <c r="E143" s="4"/>
      <c r="F143" s="4"/>
      <c r="G143" s="4"/>
      <c r="H143" s="4"/>
      <c r="I143" s="4"/>
      <c r="J143" s="4">
        <v>240</v>
      </c>
      <c r="K143" s="4"/>
      <c r="L143" s="4"/>
      <c r="M143" s="4"/>
      <c r="N143" s="4">
        <v>1</v>
      </c>
      <c r="O143" s="4">
        <v>0</v>
      </c>
      <c r="P143" s="4">
        <v>0</v>
      </c>
      <c r="Q143" s="4">
        <v>0</v>
      </c>
      <c r="R143" s="4">
        <f>(20/2.5)*2</f>
        <v>16</v>
      </c>
      <c r="S143" s="4">
        <f>(7.5/2.5)*2</f>
        <v>6</v>
      </c>
      <c r="T143" s="4">
        <f>(7.5/2.5)*2</f>
        <v>6</v>
      </c>
      <c r="U143" s="4">
        <f>(27.5/2.5)*2</f>
        <v>22</v>
      </c>
      <c r="V143" s="4">
        <f>(10/2.5)*2</f>
        <v>8</v>
      </c>
      <c r="W143" s="4">
        <f>(15/2.5)*2</f>
        <v>12</v>
      </c>
      <c r="X143" s="4">
        <f t="shared" si="18"/>
        <v>0</v>
      </c>
      <c r="Y143" s="4">
        <f>(20/2.5)*2</f>
        <v>16</v>
      </c>
      <c r="Z143" s="4">
        <f>(7.5/2.5)*2</f>
        <v>6</v>
      </c>
      <c r="AA143" s="4">
        <f>(7.5/2.5)*2</f>
        <v>6</v>
      </c>
      <c r="AB143" s="4">
        <f>(27.5/2.5)*2</f>
        <v>22</v>
      </c>
      <c r="AC143" s="4">
        <f>(10/2.5)*2</f>
        <v>8</v>
      </c>
      <c r="AD143" s="4">
        <f>(27.5/2.5)*2</f>
        <v>22</v>
      </c>
      <c r="AE143" s="4">
        <f t="shared" si="17"/>
        <v>0</v>
      </c>
      <c r="AF143" s="4">
        <v>9</v>
      </c>
      <c r="AG143" s="57"/>
      <c r="AH143" s="57"/>
      <c r="AI143" s="57"/>
      <c r="AJ143" s="57"/>
      <c r="AK143" s="57"/>
      <c r="AM143">
        <v>143</v>
      </c>
    </row>
    <row r="144" spans="1:39" x14ac:dyDescent="0.25">
      <c r="A144" s="4" t="s">
        <v>431</v>
      </c>
      <c r="B144" s="41" t="s">
        <v>178</v>
      </c>
      <c r="C144" s="4">
        <v>294</v>
      </c>
      <c r="D144" s="4"/>
      <c r="E144" s="4"/>
      <c r="F144" s="4"/>
      <c r="G144" s="4"/>
      <c r="H144" s="4">
        <v>270</v>
      </c>
      <c r="I144" s="4"/>
      <c r="J144" s="4"/>
      <c r="K144" s="4"/>
      <c r="L144" s="4"/>
      <c r="M144" s="4"/>
      <c r="N144" s="4">
        <v>1</v>
      </c>
      <c r="O144" s="4">
        <v>1</v>
      </c>
      <c r="P144" s="4">
        <v>0</v>
      </c>
      <c r="Q144" s="4">
        <v>0</v>
      </c>
      <c r="R144" s="4">
        <f>(17.5/2.5)*2</f>
        <v>14</v>
      </c>
      <c r="S144" s="4">
        <f>(7.5/2.5)*2</f>
        <v>6</v>
      </c>
      <c r="T144" s="4">
        <f>(7.5/2.5)*2</f>
        <v>6</v>
      </c>
      <c r="U144" s="4">
        <f>(27.5/2.5)*2</f>
        <v>22</v>
      </c>
      <c r="V144" s="4">
        <f>(10/2.5)*2</f>
        <v>8</v>
      </c>
      <c r="W144" s="4">
        <f>(17.5/2.5)*2</f>
        <v>14</v>
      </c>
      <c r="X144" s="4">
        <f t="shared" si="18"/>
        <v>0</v>
      </c>
      <c r="Y144" s="4">
        <f>(17.5/2.5)*2</f>
        <v>14</v>
      </c>
      <c r="Z144" s="4">
        <f>(7.5/2.5)*2</f>
        <v>6</v>
      </c>
      <c r="AA144" s="4">
        <f>(7.5/2.5)*2</f>
        <v>6</v>
      </c>
      <c r="AB144" s="4">
        <f>(27.5/2.5)*2</f>
        <v>22</v>
      </c>
      <c r="AC144" s="4">
        <f>(10/2.5)*2</f>
        <v>8</v>
      </c>
      <c r="AD144" s="4">
        <f>(30/2.5)*2</f>
        <v>24</v>
      </c>
      <c r="AE144" s="4">
        <f t="shared" si="17"/>
        <v>0</v>
      </c>
      <c r="AF144" s="4">
        <v>9</v>
      </c>
      <c r="AG144" s="57"/>
      <c r="AH144" s="57"/>
      <c r="AI144" s="57"/>
      <c r="AJ144" s="57"/>
      <c r="AK144" s="57"/>
      <c r="AM144">
        <v>144</v>
      </c>
    </row>
    <row r="145" spans="1:39" x14ac:dyDescent="0.25">
      <c r="A145" s="4" t="s">
        <v>436</v>
      </c>
      <c r="B145" s="41" t="s">
        <v>178</v>
      </c>
      <c r="C145" s="4">
        <v>280</v>
      </c>
      <c r="D145" s="4">
        <v>5</v>
      </c>
      <c r="E145" s="4"/>
      <c r="F145" s="4">
        <v>330</v>
      </c>
      <c r="G145" s="4"/>
      <c r="H145" s="4"/>
      <c r="I145" s="4"/>
      <c r="J145" s="4"/>
      <c r="K145" s="4"/>
      <c r="L145" s="4"/>
      <c r="M145" s="4"/>
      <c r="N145" s="4">
        <v>0</v>
      </c>
      <c r="O145" s="4">
        <v>0</v>
      </c>
      <c r="P145" s="4">
        <v>0</v>
      </c>
      <c r="Q145" s="4">
        <v>0</v>
      </c>
      <c r="R145" s="4">
        <f>(20/2.5)*2</f>
        <v>16</v>
      </c>
      <c r="S145" s="4">
        <f>(12.5/2.5)*2</f>
        <v>10</v>
      </c>
      <c r="T145" s="4">
        <f>(27.5/2.5)*2</f>
        <v>22</v>
      </c>
      <c r="U145" s="4">
        <f>(22.5/2.5)*2</f>
        <v>18</v>
      </c>
      <c r="V145" s="4">
        <f>(10/2.5)*2</f>
        <v>8</v>
      </c>
      <c r="W145" s="4">
        <f>(5/2.5)*2</f>
        <v>4</v>
      </c>
      <c r="X145" s="4">
        <v>2</v>
      </c>
      <c r="Y145" s="4">
        <f>(20/2.5)*2</f>
        <v>16</v>
      </c>
      <c r="Z145" s="4">
        <f>(12.5/2.5)*2</f>
        <v>10</v>
      </c>
      <c r="AA145" s="4">
        <f>(27.5/2.5)*2</f>
        <v>22</v>
      </c>
      <c r="AB145" s="4">
        <f>(22.5/2.5)*2</f>
        <v>18</v>
      </c>
      <c r="AC145" s="4">
        <f>(10/2.5)*2</f>
        <v>8</v>
      </c>
      <c r="AD145" s="4">
        <f>(5/2.5)*2</f>
        <v>4</v>
      </c>
      <c r="AE145" s="4">
        <f>(2.5/2.5)*2</f>
        <v>2</v>
      </c>
      <c r="AF145" s="4">
        <v>9</v>
      </c>
      <c r="AG145" s="57" t="s">
        <v>747</v>
      </c>
      <c r="AH145" s="57"/>
      <c r="AI145" s="57"/>
      <c r="AJ145" s="57"/>
      <c r="AK145" s="57"/>
      <c r="AM145">
        <v>145</v>
      </c>
    </row>
    <row r="146" spans="1:39" x14ac:dyDescent="0.25">
      <c r="A146" s="40" t="s">
        <v>272</v>
      </c>
      <c r="B146" s="41" t="s">
        <v>178</v>
      </c>
      <c r="C146" s="41">
        <v>336</v>
      </c>
      <c r="D146" s="41"/>
      <c r="E146" s="41"/>
      <c r="F146" s="41"/>
      <c r="G146" s="41"/>
      <c r="H146" s="41"/>
      <c r="I146" s="41"/>
      <c r="J146" s="41">
        <v>330</v>
      </c>
      <c r="K146" s="41"/>
      <c r="L146" s="41"/>
      <c r="M146" s="41"/>
      <c r="N146" s="41">
        <v>2</v>
      </c>
      <c r="O146" s="41">
        <v>0</v>
      </c>
      <c r="P146" s="41">
        <v>0</v>
      </c>
      <c r="Q146" s="41">
        <v>0</v>
      </c>
      <c r="R146" s="41">
        <f>(15/2.5)*2</f>
        <v>12</v>
      </c>
      <c r="S146" s="41">
        <f>(20/2.5)*2</f>
        <v>16</v>
      </c>
      <c r="T146" s="41">
        <f>(7.5/2.5)*2</f>
        <v>6</v>
      </c>
      <c r="U146" s="41">
        <f>(7.5/2.5)*2</f>
        <v>6</v>
      </c>
      <c r="V146" s="41">
        <f>(20/2.5)*2</f>
        <v>16</v>
      </c>
      <c r="W146" s="41">
        <f>(17.5/2.5)*2</f>
        <v>14</v>
      </c>
      <c r="X146" s="41">
        <f t="shared" ref="X146:X151" si="19">(0/2.5)*2</f>
        <v>0</v>
      </c>
      <c r="Y146" s="41">
        <f>(15/2.5)*2</f>
        <v>12</v>
      </c>
      <c r="Z146" s="41">
        <f>(20/2.5)*2</f>
        <v>16</v>
      </c>
      <c r="AA146" s="41">
        <f>(7.5/2.5)*2</f>
        <v>6</v>
      </c>
      <c r="AB146" s="41">
        <f>(7.5/2.5)*2</f>
        <v>6</v>
      </c>
      <c r="AC146" s="41">
        <f>(20/2.5)*2</f>
        <v>16</v>
      </c>
      <c r="AD146" s="41">
        <f>(30/2.5)*2</f>
        <v>24</v>
      </c>
      <c r="AE146" s="41">
        <f>(0/2.5)*2</f>
        <v>0</v>
      </c>
      <c r="AF146" s="41">
        <v>10</v>
      </c>
      <c r="AG146" s="56" t="s">
        <v>691</v>
      </c>
      <c r="AH146" s="56"/>
      <c r="AI146" s="56"/>
      <c r="AJ146" s="56"/>
      <c r="AK146" s="56"/>
      <c r="AM146">
        <v>146</v>
      </c>
    </row>
    <row r="147" spans="1:39" x14ac:dyDescent="0.25">
      <c r="A147" s="40" t="s">
        <v>280</v>
      </c>
      <c r="B147" s="41" t="s">
        <v>178</v>
      </c>
      <c r="C147" s="41">
        <v>350</v>
      </c>
      <c r="D147" s="41"/>
      <c r="E147" s="41"/>
      <c r="F147" s="41"/>
      <c r="G147" s="41"/>
      <c r="H147" s="41"/>
      <c r="I147" s="41"/>
      <c r="J147" s="41"/>
      <c r="K147" s="41"/>
      <c r="L147" s="41"/>
      <c r="M147" s="41">
        <v>240</v>
      </c>
      <c r="N147" s="41">
        <v>0</v>
      </c>
      <c r="O147" s="41">
        <v>0</v>
      </c>
      <c r="P147" s="41">
        <v>1</v>
      </c>
      <c r="Q147" s="41">
        <v>0</v>
      </c>
      <c r="R147" s="41">
        <f>(17.5/2.5)*2</f>
        <v>14</v>
      </c>
      <c r="S147" s="41">
        <f>(25/2.5)*2</f>
        <v>20</v>
      </c>
      <c r="T147" s="41">
        <f>(10/2.5)*2</f>
        <v>8</v>
      </c>
      <c r="U147" s="41">
        <f>(12.5/2.5)*2</f>
        <v>10</v>
      </c>
      <c r="V147" s="41">
        <f>(22.5/2.5)*2</f>
        <v>18</v>
      </c>
      <c r="W147" s="41">
        <f>(0/2.5)*2</f>
        <v>0</v>
      </c>
      <c r="X147" s="41">
        <f t="shared" si="19"/>
        <v>0</v>
      </c>
      <c r="Y147" s="41">
        <f>(17.5/2.5)*2</f>
        <v>14</v>
      </c>
      <c r="Z147" s="41">
        <f>(25/2.5)*2</f>
        <v>20</v>
      </c>
      <c r="AA147" s="41">
        <f>(10/2.5)*2</f>
        <v>8</v>
      </c>
      <c r="AB147" s="41">
        <f>(12.5/2.5)*2</f>
        <v>10</v>
      </c>
      <c r="AC147" s="41">
        <f>(22.5/2.5)*2</f>
        <v>18</v>
      </c>
      <c r="AD147" s="41">
        <f>(12.5/2.5)*2</f>
        <v>10</v>
      </c>
      <c r="AE147" s="41">
        <f>(0/2.5)*2</f>
        <v>0</v>
      </c>
      <c r="AF147" s="41">
        <v>10</v>
      </c>
      <c r="AG147" s="56" t="s">
        <v>691</v>
      </c>
      <c r="AH147" s="56"/>
      <c r="AI147" s="56"/>
      <c r="AJ147" s="56"/>
      <c r="AK147" s="56"/>
      <c r="AM147">
        <v>147</v>
      </c>
    </row>
    <row r="148" spans="1:39" x14ac:dyDescent="0.25">
      <c r="A148" s="40" t="s">
        <v>288</v>
      </c>
      <c r="B148" s="41" t="s">
        <v>178</v>
      </c>
      <c r="C148" s="41">
        <v>364</v>
      </c>
      <c r="D148" s="41">
        <v>20</v>
      </c>
      <c r="E148" s="41"/>
      <c r="F148" s="41"/>
      <c r="G148" s="41"/>
      <c r="H148" s="41"/>
      <c r="I148" s="41"/>
      <c r="J148" s="41"/>
      <c r="K148" s="41"/>
      <c r="L148" s="41">
        <v>210</v>
      </c>
      <c r="M148" s="41"/>
      <c r="N148" s="41">
        <v>0</v>
      </c>
      <c r="O148" s="41">
        <v>0</v>
      </c>
      <c r="P148" s="41">
        <v>0</v>
      </c>
      <c r="Q148" s="41">
        <v>0</v>
      </c>
      <c r="R148" s="41">
        <f>(22.5/2.5)*2</f>
        <v>18</v>
      </c>
      <c r="S148" s="41">
        <f>(7.5/2.5)*2</f>
        <v>6</v>
      </c>
      <c r="T148" s="41">
        <f>(7.5/2.5)*2</f>
        <v>6</v>
      </c>
      <c r="U148" s="41">
        <f>(27.5/2.5)*2</f>
        <v>22</v>
      </c>
      <c r="V148" s="41">
        <f>(10/2.5)*2</f>
        <v>8</v>
      </c>
      <c r="W148" s="41">
        <f>(12.5/2.5)*2</f>
        <v>10</v>
      </c>
      <c r="X148" s="41">
        <f t="shared" si="19"/>
        <v>0</v>
      </c>
      <c r="Y148" s="41">
        <f>(22.5/2.5)*2</f>
        <v>18</v>
      </c>
      <c r="Z148" s="41">
        <f>(7.5/2.5)*2</f>
        <v>6</v>
      </c>
      <c r="AA148" s="41">
        <f>(7.5/2.5)*2</f>
        <v>6</v>
      </c>
      <c r="AB148" s="41">
        <f>(27.5/2.5)*2</f>
        <v>22</v>
      </c>
      <c r="AC148" s="41">
        <f>(10/2.5)*2</f>
        <v>8</v>
      </c>
      <c r="AD148" s="41">
        <f>(25/2.5)*2</f>
        <v>20</v>
      </c>
      <c r="AE148" s="41">
        <f>(0/2.5)*2</f>
        <v>0</v>
      </c>
      <c r="AF148" s="41">
        <v>10</v>
      </c>
      <c r="AG148" s="56" t="s">
        <v>691</v>
      </c>
      <c r="AH148" s="56"/>
      <c r="AI148" s="56" t="b">
        <v>1</v>
      </c>
      <c r="AJ148" s="56" t="b">
        <v>1</v>
      </c>
      <c r="AK148" s="56"/>
      <c r="AM148">
        <v>148</v>
      </c>
    </row>
    <row r="149" spans="1:39" x14ac:dyDescent="0.25">
      <c r="A149" s="40" t="s">
        <v>295</v>
      </c>
      <c r="B149" s="41" t="s">
        <v>178</v>
      </c>
      <c r="C149" s="41">
        <v>364</v>
      </c>
      <c r="D149" s="41"/>
      <c r="E149" s="41"/>
      <c r="F149" s="41">
        <v>300</v>
      </c>
      <c r="G149" s="41"/>
      <c r="H149" s="41"/>
      <c r="I149" s="41"/>
      <c r="J149" s="41"/>
      <c r="K149" s="41"/>
      <c r="L149" s="41"/>
      <c r="M149" s="41"/>
      <c r="N149" s="41">
        <v>1</v>
      </c>
      <c r="O149" s="41">
        <v>0</v>
      </c>
      <c r="P149" s="41">
        <v>1</v>
      </c>
      <c r="Q149" s="41">
        <v>0</v>
      </c>
      <c r="R149" s="41">
        <f>(20/2.5)*2</f>
        <v>16</v>
      </c>
      <c r="S149" s="41">
        <f>(25/2.5)*2</f>
        <v>20</v>
      </c>
      <c r="T149" s="41">
        <f>(10/2.5)*2</f>
        <v>8</v>
      </c>
      <c r="U149" s="41">
        <f>(12.5/2.5)*2</f>
        <v>10</v>
      </c>
      <c r="V149" s="41">
        <f>(20/2.5)*2</f>
        <v>16</v>
      </c>
      <c r="W149" s="41">
        <f>(0/2.5)*2</f>
        <v>0</v>
      </c>
      <c r="X149" s="41">
        <f t="shared" si="19"/>
        <v>0</v>
      </c>
      <c r="Y149" s="41">
        <f>(20/2.5)*2</f>
        <v>16</v>
      </c>
      <c r="Z149" s="41">
        <f>(25/2.5)*2</f>
        <v>20</v>
      </c>
      <c r="AA149" s="41">
        <f>(10/2.5)*2</f>
        <v>8</v>
      </c>
      <c r="AB149" s="41">
        <f>(12.5/2.5)*2</f>
        <v>10</v>
      </c>
      <c r="AC149" s="41">
        <f>(20/2.5)*2</f>
        <v>16</v>
      </c>
      <c r="AD149" s="41">
        <f>(12.5/2.5)*2</f>
        <v>10</v>
      </c>
      <c r="AE149" s="41">
        <f>(0/2.5)*2</f>
        <v>0</v>
      </c>
      <c r="AF149" s="41">
        <v>10</v>
      </c>
      <c r="AG149" s="56"/>
      <c r="AH149" s="56"/>
      <c r="AI149" s="56" t="b">
        <v>1</v>
      </c>
      <c r="AJ149" s="56" t="b">
        <v>1</v>
      </c>
      <c r="AK149" s="56"/>
      <c r="AM149">
        <v>149</v>
      </c>
    </row>
    <row r="150" spans="1:39" x14ac:dyDescent="0.25">
      <c r="A150" s="40" t="s">
        <v>303</v>
      </c>
      <c r="B150" s="41" t="s">
        <v>178</v>
      </c>
      <c r="C150" s="41">
        <v>322</v>
      </c>
      <c r="D150" s="41">
        <v>10</v>
      </c>
      <c r="E150" s="41"/>
      <c r="F150" s="41"/>
      <c r="G150" s="41">
        <v>330</v>
      </c>
      <c r="H150" s="41"/>
      <c r="I150" s="41"/>
      <c r="J150" s="41"/>
      <c r="K150" s="41"/>
      <c r="L150" s="41"/>
      <c r="M150" s="41"/>
      <c r="N150" s="41">
        <v>1</v>
      </c>
      <c r="O150" s="41">
        <v>0</v>
      </c>
      <c r="P150" s="41">
        <v>0</v>
      </c>
      <c r="Q150" s="41">
        <v>0</v>
      </c>
      <c r="R150" s="41">
        <f>(35/2.5)*2</f>
        <v>28</v>
      </c>
      <c r="S150" s="41">
        <f>(7.5/2.5)*2</f>
        <v>6</v>
      </c>
      <c r="T150" s="41">
        <f>(7.5/2.5)*2</f>
        <v>6</v>
      </c>
      <c r="U150" s="41">
        <f>(15/2.5)*2</f>
        <v>12</v>
      </c>
      <c r="V150" s="41">
        <f>(12.5/2.5)*2</f>
        <v>10</v>
      </c>
      <c r="W150" s="41">
        <f>(10/2.5)*2</f>
        <v>8</v>
      </c>
      <c r="X150" s="41">
        <f t="shared" si="19"/>
        <v>0</v>
      </c>
      <c r="Y150" s="41">
        <f>(35/2.5)*2</f>
        <v>28</v>
      </c>
      <c r="Z150" s="41">
        <f>(7.5/2.5)*2</f>
        <v>6</v>
      </c>
      <c r="AA150" s="41">
        <f>(7.5/2.5)*2</f>
        <v>6</v>
      </c>
      <c r="AB150" s="41">
        <f>(15/2.5)*2</f>
        <v>12</v>
      </c>
      <c r="AC150" s="41">
        <f>(12.5/2.5)*2</f>
        <v>10</v>
      </c>
      <c r="AD150" s="41">
        <f>(10/2.5)*2</f>
        <v>8</v>
      </c>
      <c r="AE150" s="41">
        <f>(12.5/2.5)*2</f>
        <v>10</v>
      </c>
      <c r="AF150" s="41">
        <v>10</v>
      </c>
      <c r="AG150" s="56"/>
      <c r="AH150" s="56"/>
      <c r="AI150" s="56" t="b">
        <v>1</v>
      </c>
      <c r="AJ150" s="56" t="b">
        <v>1</v>
      </c>
      <c r="AK150" s="56"/>
      <c r="AM150">
        <v>150</v>
      </c>
    </row>
    <row r="151" spans="1:39" x14ac:dyDescent="0.25">
      <c r="A151" s="40" t="s">
        <v>310</v>
      </c>
      <c r="B151" s="41" t="s">
        <v>178</v>
      </c>
      <c r="C151" s="41">
        <v>378</v>
      </c>
      <c r="D151" s="41">
        <v>-20</v>
      </c>
      <c r="E151" s="41">
        <v>360</v>
      </c>
      <c r="F151" s="41"/>
      <c r="G151" s="41"/>
      <c r="H151" s="41"/>
      <c r="I151" s="41"/>
      <c r="J151" s="41"/>
      <c r="K151" s="41"/>
      <c r="L151" s="41"/>
      <c r="M151" s="41"/>
      <c r="N151" s="41">
        <v>0</v>
      </c>
      <c r="O151" s="41">
        <v>0</v>
      </c>
      <c r="P151" s="41">
        <v>0</v>
      </c>
      <c r="Q151" s="41">
        <v>0</v>
      </c>
      <c r="R151" s="41">
        <f>(15/2.5)*2</f>
        <v>12</v>
      </c>
      <c r="S151" s="41">
        <f>(25/2.5)*2</f>
        <v>20</v>
      </c>
      <c r="T151" s="41">
        <f>(10/2.5)*2</f>
        <v>8</v>
      </c>
      <c r="U151" s="41">
        <f>(12.5/2.5)*2</f>
        <v>10</v>
      </c>
      <c r="V151" s="41">
        <f>(25/2.5)*2</f>
        <v>20</v>
      </c>
      <c r="W151" s="41">
        <f>(0/2.5)*2</f>
        <v>0</v>
      </c>
      <c r="X151" s="41">
        <f t="shared" si="19"/>
        <v>0</v>
      </c>
      <c r="Y151" s="41">
        <f>(15/2.5)*2</f>
        <v>12</v>
      </c>
      <c r="Z151" s="41">
        <f>(25/2.5)*2</f>
        <v>20</v>
      </c>
      <c r="AA151" s="41">
        <f>(10/2.5)*2</f>
        <v>8</v>
      </c>
      <c r="AB151" s="41">
        <f>(12.5/2.5)*2</f>
        <v>10</v>
      </c>
      <c r="AC151" s="41">
        <f>(25/2.5)*2</f>
        <v>20</v>
      </c>
      <c r="AD151" s="41">
        <f>(12.5/2.5)*2</f>
        <v>10</v>
      </c>
      <c r="AE151" s="41">
        <f>(0/2.5)*2</f>
        <v>0</v>
      </c>
      <c r="AF151" s="41">
        <v>10</v>
      </c>
      <c r="AG151" s="56"/>
      <c r="AH151" s="56"/>
      <c r="AI151" s="56" t="b">
        <v>1</v>
      </c>
      <c r="AJ151" s="56" t="b">
        <v>1</v>
      </c>
      <c r="AK151" s="56"/>
      <c r="AM151">
        <v>151</v>
      </c>
    </row>
    <row r="152" spans="1:39" x14ac:dyDescent="0.25">
      <c r="A152" s="40" t="s">
        <v>320</v>
      </c>
      <c r="B152" s="41" t="s">
        <v>178</v>
      </c>
      <c r="C152" s="41">
        <v>322</v>
      </c>
      <c r="D152" s="41"/>
      <c r="E152" s="41"/>
      <c r="F152" s="41"/>
      <c r="G152" s="41"/>
      <c r="H152" s="41"/>
      <c r="I152" s="41"/>
      <c r="J152" s="41"/>
      <c r="K152" s="41">
        <v>210</v>
      </c>
      <c r="L152" s="41"/>
      <c r="M152" s="41"/>
      <c r="N152" s="41">
        <v>0</v>
      </c>
      <c r="O152" s="41">
        <v>1</v>
      </c>
      <c r="P152" s="41">
        <v>0</v>
      </c>
      <c r="Q152" s="41">
        <v>0</v>
      </c>
      <c r="R152" s="41">
        <f>(25/2.5)*2</f>
        <v>20</v>
      </c>
      <c r="S152" s="41">
        <f>(5/2.5)*2</f>
        <v>4</v>
      </c>
      <c r="T152" s="41">
        <f>(5/2.5)*2</f>
        <v>4</v>
      </c>
      <c r="U152" s="41">
        <f>(17.5/2.5)*2</f>
        <v>14</v>
      </c>
      <c r="V152" s="41">
        <f>(10/2.5)*2</f>
        <v>8</v>
      </c>
      <c r="W152" s="41">
        <f>(7.5/2.5)*2</f>
        <v>6</v>
      </c>
      <c r="X152" s="41">
        <f>(17.5/2.5)*2</f>
        <v>14</v>
      </c>
      <c r="Y152" s="41">
        <f>(25/2.5)*2</f>
        <v>20</v>
      </c>
      <c r="Z152" s="41">
        <f>(5/2.5)*2</f>
        <v>4</v>
      </c>
      <c r="AA152" s="41">
        <f>(5/2.5)*2</f>
        <v>4</v>
      </c>
      <c r="AB152" s="41">
        <f>(17.5/2.5)*2</f>
        <v>14</v>
      </c>
      <c r="AC152" s="41">
        <f>(10/2.5)*2</f>
        <v>8</v>
      </c>
      <c r="AD152" s="41">
        <f>(7.5/2.5)*2</f>
        <v>6</v>
      </c>
      <c r="AE152" s="41">
        <f>(30/2.5)*2</f>
        <v>24</v>
      </c>
      <c r="AF152" s="41">
        <v>10</v>
      </c>
      <c r="AG152" s="56" t="s">
        <v>691</v>
      </c>
      <c r="AH152" s="56"/>
      <c r="AI152" s="56" t="b">
        <v>1</v>
      </c>
      <c r="AJ152" s="56" t="b">
        <v>1</v>
      </c>
      <c r="AK152" s="56"/>
      <c r="AM152">
        <v>152</v>
      </c>
    </row>
    <row r="153" spans="1:39" x14ac:dyDescent="0.25">
      <c r="A153" s="40" t="s">
        <v>327</v>
      </c>
      <c r="B153" s="41" t="s">
        <v>178</v>
      </c>
      <c r="C153" s="41">
        <v>364</v>
      </c>
      <c r="D153" s="41"/>
      <c r="E153" s="41"/>
      <c r="F153" s="41"/>
      <c r="G153" s="41">
        <v>330</v>
      </c>
      <c r="H153" s="41"/>
      <c r="I153" s="41"/>
      <c r="J153" s="41"/>
      <c r="K153" s="41"/>
      <c r="L153" s="41"/>
      <c r="M153" s="41"/>
      <c r="N153" s="41">
        <v>0</v>
      </c>
      <c r="O153" s="41">
        <v>0</v>
      </c>
      <c r="P153" s="41">
        <v>1</v>
      </c>
      <c r="Q153" s="41">
        <v>0</v>
      </c>
      <c r="R153" s="41">
        <f>(20/2.5)*2</f>
        <v>16</v>
      </c>
      <c r="S153" s="41">
        <f>(7.5/2.5)*2</f>
        <v>6</v>
      </c>
      <c r="T153" s="41">
        <f>(7.5/2.5)*2</f>
        <v>6</v>
      </c>
      <c r="U153" s="41">
        <f>(27.5/2.5)*2</f>
        <v>22</v>
      </c>
      <c r="V153" s="41">
        <f>(10/2.5)*2</f>
        <v>8</v>
      </c>
      <c r="W153" s="41">
        <f>(15/2.5)*2</f>
        <v>12</v>
      </c>
      <c r="X153" s="41">
        <f t="shared" ref="X153:X167" si="20">(0/2.5)*2</f>
        <v>0</v>
      </c>
      <c r="Y153" s="41">
        <f>(20/2.5)*2</f>
        <v>16</v>
      </c>
      <c r="Z153" s="41">
        <f>(7.5/2.5)*2</f>
        <v>6</v>
      </c>
      <c r="AA153" s="41">
        <f>(7.5/2.5)*2</f>
        <v>6</v>
      </c>
      <c r="AB153" s="41">
        <f>(27.5/2.5)*2</f>
        <v>22</v>
      </c>
      <c r="AC153" s="41">
        <f>(10/2.5)*2</f>
        <v>8</v>
      </c>
      <c r="AD153" s="41">
        <f>(27.5/2.5)*2</f>
        <v>22</v>
      </c>
      <c r="AE153" s="41">
        <f t="shared" ref="AE153:AE158" si="21">(0/2.5)*2</f>
        <v>0</v>
      </c>
      <c r="AF153" s="41">
        <v>10</v>
      </c>
      <c r="AG153" s="56" t="s">
        <v>691</v>
      </c>
      <c r="AH153" s="56"/>
      <c r="AI153" s="56" t="b">
        <v>1</v>
      </c>
      <c r="AJ153" s="56" t="b">
        <v>1</v>
      </c>
      <c r="AK153" s="56"/>
      <c r="AM153">
        <v>153</v>
      </c>
    </row>
    <row r="154" spans="1:39" x14ac:dyDescent="0.25">
      <c r="A154" s="4" t="s">
        <v>332</v>
      </c>
      <c r="B154" s="41" t="s">
        <v>178</v>
      </c>
      <c r="C154" s="4">
        <v>308</v>
      </c>
      <c r="D154" s="4">
        <v>20</v>
      </c>
      <c r="E154" s="4">
        <v>210</v>
      </c>
      <c r="F154" s="4"/>
      <c r="G154" s="4"/>
      <c r="H154" s="4"/>
      <c r="I154" s="4"/>
      <c r="J154" s="4"/>
      <c r="K154" s="4"/>
      <c r="L154" s="4"/>
      <c r="M154" s="4"/>
      <c r="N154" s="4">
        <v>0</v>
      </c>
      <c r="O154" s="4">
        <v>0</v>
      </c>
      <c r="P154" s="4">
        <v>0</v>
      </c>
      <c r="Q154" s="4">
        <v>0</v>
      </c>
      <c r="R154" s="4">
        <f>(22.5/2.5)*2</f>
        <v>18</v>
      </c>
      <c r="S154" s="4">
        <f>(20/2.5)*2</f>
        <v>16</v>
      </c>
      <c r="T154" s="4">
        <f>(7.5/2.5)*2</f>
        <v>6</v>
      </c>
      <c r="U154" s="4">
        <f>(7.5/2.5)*2</f>
        <v>6</v>
      </c>
      <c r="V154" s="4">
        <f>(20/2.5)*2</f>
        <v>16</v>
      </c>
      <c r="W154" s="4">
        <f>(22.5/2.5)*2</f>
        <v>18</v>
      </c>
      <c r="X154" s="4">
        <f t="shared" si="20"/>
        <v>0</v>
      </c>
      <c r="Y154" s="4">
        <f>(22.5/2.5)*2</f>
        <v>18</v>
      </c>
      <c r="Z154" s="4">
        <f>(20/2.5)*2</f>
        <v>16</v>
      </c>
      <c r="AA154" s="4">
        <f>(7.5/2.5)*2</f>
        <v>6</v>
      </c>
      <c r="AB154" s="4">
        <f>(7.5/2.5)*2</f>
        <v>6</v>
      </c>
      <c r="AC154" s="4">
        <f>(20/2.5)*2</f>
        <v>16</v>
      </c>
      <c r="AD154" s="4">
        <f>(22.5/2.5)*2</f>
        <v>18</v>
      </c>
      <c r="AE154" s="4">
        <f t="shared" si="21"/>
        <v>0</v>
      </c>
      <c r="AF154" s="4">
        <v>10</v>
      </c>
      <c r="AG154" s="57" t="s">
        <v>691</v>
      </c>
      <c r="AH154" s="57"/>
      <c r="AI154" s="57"/>
      <c r="AJ154" s="57"/>
      <c r="AK154" s="57"/>
      <c r="AM154">
        <v>154</v>
      </c>
    </row>
    <row r="155" spans="1:39" x14ac:dyDescent="0.25">
      <c r="A155" s="4" t="s">
        <v>333</v>
      </c>
      <c r="B155" s="41" t="s">
        <v>178</v>
      </c>
      <c r="C155" s="4">
        <v>322</v>
      </c>
      <c r="D155" s="4">
        <v>30</v>
      </c>
      <c r="E155" s="4">
        <v>300</v>
      </c>
      <c r="F155" s="4"/>
      <c r="G155" s="4"/>
      <c r="H155" s="4"/>
      <c r="I155" s="4"/>
      <c r="J155" s="4"/>
      <c r="K155" s="4"/>
      <c r="L155" s="4"/>
      <c r="M155" s="4"/>
      <c r="N155" s="4">
        <v>0</v>
      </c>
      <c r="O155" s="4">
        <v>0</v>
      </c>
      <c r="P155" s="4">
        <v>0</v>
      </c>
      <c r="Q155" s="4">
        <v>0</v>
      </c>
      <c r="R155" s="4">
        <f>(22.5/2.5)*2</f>
        <v>18</v>
      </c>
      <c r="S155" s="4">
        <f>(20/2.5)*2</f>
        <v>16</v>
      </c>
      <c r="T155" s="4">
        <f>(7.5/2.5)*2</f>
        <v>6</v>
      </c>
      <c r="U155" s="4">
        <f>(7.5/2.5)*2</f>
        <v>6</v>
      </c>
      <c r="V155" s="4">
        <f>(20/2.5)*2</f>
        <v>16</v>
      </c>
      <c r="W155" s="4">
        <f>(22.5/2.5)*2</f>
        <v>18</v>
      </c>
      <c r="X155" s="4">
        <f t="shared" si="20"/>
        <v>0</v>
      </c>
      <c r="Y155" s="4">
        <f>(22.5/2.5)*2</f>
        <v>18</v>
      </c>
      <c r="Z155" s="4">
        <f>(20/2.5)*2</f>
        <v>16</v>
      </c>
      <c r="AA155" s="4">
        <f>(7.5/2.5)*2</f>
        <v>6</v>
      </c>
      <c r="AB155" s="4">
        <f>(7.5/2.5)*2</f>
        <v>6</v>
      </c>
      <c r="AC155" s="4">
        <f>(20/2.5)*2</f>
        <v>16</v>
      </c>
      <c r="AD155" s="4">
        <f>(22.5/2.5)*2</f>
        <v>18</v>
      </c>
      <c r="AE155" s="4">
        <f t="shared" si="21"/>
        <v>0</v>
      </c>
      <c r="AF155" s="4">
        <v>10</v>
      </c>
      <c r="AG155" s="57" t="s">
        <v>691</v>
      </c>
      <c r="AH155" s="57"/>
      <c r="AI155" s="57" t="b">
        <v>1</v>
      </c>
      <c r="AJ155" s="57"/>
      <c r="AK155" s="57"/>
      <c r="AM155">
        <v>155</v>
      </c>
    </row>
    <row r="156" spans="1:39" x14ac:dyDescent="0.25">
      <c r="A156" s="4" t="s">
        <v>334</v>
      </c>
      <c r="B156" s="41" t="s">
        <v>178</v>
      </c>
      <c r="C156" s="4">
        <v>322</v>
      </c>
      <c r="D156" s="4">
        <v>10</v>
      </c>
      <c r="E156" s="4">
        <v>270</v>
      </c>
      <c r="F156" s="4"/>
      <c r="G156" s="4"/>
      <c r="H156" s="4"/>
      <c r="I156" s="4"/>
      <c r="J156" s="4">
        <v>270</v>
      </c>
      <c r="K156" s="4"/>
      <c r="L156" s="4"/>
      <c r="M156" s="4"/>
      <c r="N156" s="4">
        <v>1</v>
      </c>
      <c r="O156" s="4">
        <v>0</v>
      </c>
      <c r="P156" s="4">
        <v>0</v>
      </c>
      <c r="Q156" s="4">
        <v>0</v>
      </c>
      <c r="R156" s="4">
        <f>(22.5/2.5)*2</f>
        <v>18</v>
      </c>
      <c r="S156" s="4">
        <f>(25/2.5)*2</f>
        <v>20</v>
      </c>
      <c r="T156" s="4">
        <f>(10/2.5)*2</f>
        <v>8</v>
      </c>
      <c r="U156" s="4">
        <f>(12.5/2.5)*2</f>
        <v>10</v>
      </c>
      <c r="V156" s="4">
        <f>(17.5/2.5)*2</f>
        <v>14</v>
      </c>
      <c r="W156" s="4">
        <f>(0/2.5)*2</f>
        <v>0</v>
      </c>
      <c r="X156" s="4">
        <f t="shared" si="20"/>
        <v>0</v>
      </c>
      <c r="Y156" s="4">
        <f>(22.5/2.5)*2</f>
        <v>18</v>
      </c>
      <c r="Z156" s="4">
        <f>(25/2.5)*2</f>
        <v>20</v>
      </c>
      <c r="AA156" s="4">
        <f>(10/2.5)*2</f>
        <v>8</v>
      </c>
      <c r="AB156" s="4">
        <f>(12.5/2.5)*2</f>
        <v>10</v>
      </c>
      <c r="AC156" s="4">
        <f>(17.5/2.5)*2</f>
        <v>14</v>
      </c>
      <c r="AD156" s="4">
        <f>(12.5/2.5)*2</f>
        <v>10</v>
      </c>
      <c r="AE156" s="4">
        <f t="shared" si="21"/>
        <v>0</v>
      </c>
      <c r="AF156" s="4">
        <v>10</v>
      </c>
      <c r="AG156" s="57"/>
      <c r="AH156" s="57"/>
      <c r="AI156" s="57"/>
      <c r="AJ156" s="57"/>
      <c r="AK156" s="57"/>
      <c r="AM156">
        <v>156</v>
      </c>
    </row>
    <row r="157" spans="1:39" x14ac:dyDescent="0.25">
      <c r="A157" s="4" t="s">
        <v>335</v>
      </c>
      <c r="B157" s="41" t="s">
        <v>178</v>
      </c>
      <c r="C157" s="4">
        <v>336</v>
      </c>
      <c r="D157" s="4">
        <v>10</v>
      </c>
      <c r="E157" s="4">
        <v>300</v>
      </c>
      <c r="F157" s="4"/>
      <c r="G157" s="4"/>
      <c r="H157" s="4"/>
      <c r="I157" s="4"/>
      <c r="J157" s="4">
        <v>300</v>
      </c>
      <c r="K157" s="4"/>
      <c r="L157" s="4"/>
      <c r="M157" s="4"/>
      <c r="N157" s="4">
        <v>1</v>
      </c>
      <c r="O157" s="4">
        <v>0</v>
      </c>
      <c r="P157" s="4">
        <v>0</v>
      </c>
      <c r="Q157" s="4">
        <v>0</v>
      </c>
      <c r="R157" s="4">
        <f>(22.5/2.5)*2</f>
        <v>18</v>
      </c>
      <c r="S157" s="4">
        <f>(7.5/2.5)*2</f>
        <v>6</v>
      </c>
      <c r="T157" s="4">
        <f>(7.5/2.5)*2</f>
        <v>6</v>
      </c>
      <c r="U157" s="4">
        <f>(27.5/2.5)*2</f>
        <v>22</v>
      </c>
      <c r="V157" s="4">
        <f>(10/2.5)*2</f>
        <v>8</v>
      </c>
      <c r="W157" s="4">
        <f>(12.5/2.5)*2</f>
        <v>10</v>
      </c>
      <c r="X157" s="4">
        <f t="shared" si="20"/>
        <v>0</v>
      </c>
      <c r="Y157" s="4">
        <f>(22.5/2.5)*2</f>
        <v>18</v>
      </c>
      <c r="Z157" s="4">
        <f>(7.5/2.5)*2</f>
        <v>6</v>
      </c>
      <c r="AA157" s="4">
        <f>(7.5/2.5)*2</f>
        <v>6</v>
      </c>
      <c r="AB157" s="4">
        <f>(27.5/2.5)*2</f>
        <v>22</v>
      </c>
      <c r="AC157" s="4">
        <f>(10/2.5)*2</f>
        <v>8</v>
      </c>
      <c r="AD157" s="4">
        <f>(25/2.5)*2</f>
        <v>20</v>
      </c>
      <c r="AE157" s="4">
        <f t="shared" si="21"/>
        <v>0</v>
      </c>
      <c r="AF157" s="4">
        <v>10</v>
      </c>
      <c r="AG157" s="57"/>
      <c r="AH157" s="57"/>
      <c r="AI157" s="57"/>
      <c r="AJ157" s="57"/>
      <c r="AK157" s="57"/>
      <c r="AM157">
        <v>157</v>
      </c>
    </row>
    <row r="158" spans="1:39" x14ac:dyDescent="0.25">
      <c r="A158" s="4" t="s">
        <v>341</v>
      </c>
      <c r="B158" s="41" t="s">
        <v>178</v>
      </c>
      <c r="C158" s="4">
        <v>378</v>
      </c>
      <c r="D158" s="4">
        <v>-10</v>
      </c>
      <c r="E158" s="4"/>
      <c r="F158" s="4"/>
      <c r="G158" s="4"/>
      <c r="H158" s="4">
        <v>150</v>
      </c>
      <c r="I158" s="4"/>
      <c r="J158" s="4"/>
      <c r="K158" s="4"/>
      <c r="L158" s="4"/>
      <c r="M158" s="4"/>
      <c r="N158" s="4">
        <v>0</v>
      </c>
      <c r="O158" s="4">
        <v>1</v>
      </c>
      <c r="P158" s="4">
        <v>0</v>
      </c>
      <c r="Q158" s="4">
        <v>0</v>
      </c>
      <c r="R158" s="4">
        <f>(25/2.5)*2</f>
        <v>20</v>
      </c>
      <c r="S158" s="4">
        <f>(25/2.5)*2</f>
        <v>20</v>
      </c>
      <c r="T158" s="4">
        <f>(10/2.5)*2</f>
        <v>8</v>
      </c>
      <c r="U158" s="4">
        <f>(12.5/2.5)*2</f>
        <v>10</v>
      </c>
      <c r="V158" s="4">
        <f>(15/2.5)*2</f>
        <v>12</v>
      </c>
      <c r="W158" s="4">
        <f>(0/2.5)*2</f>
        <v>0</v>
      </c>
      <c r="X158" s="4">
        <f t="shared" si="20"/>
        <v>0</v>
      </c>
      <c r="Y158" s="4">
        <f>(25/2.5)*2</f>
        <v>20</v>
      </c>
      <c r="Z158" s="4">
        <f>(25/2.5)*2</f>
        <v>20</v>
      </c>
      <c r="AA158" s="4">
        <f>(10/2.5)*2</f>
        <v>8</v>
      </c>
      <c r="AB158" s="4">
        <f>(12.5/2.5)*2</f>
        <v>10</v>
      </c>
      <c r="AC158" s="4">
        <f>(15/2.5)*2</f>
        <v>12</v>
      </c>
      <c r="AD158" s="4">
        <f>(12.5/2.5)*2</f>
        <v>10</v>
      </c>
      <c r="AE158" s="4">
        <f t="shared" si="21"/>
        <v>0</v>
      </c>
      <c r="AF158" s="4">
        <v>10</v>
      </c>
      <c r="AG158" s="57" t="s">
        <v>691</v>
      </c>
      <c r="AH158" s="57"/>
      <c r="AI158" s="57"/>
      <c r="AJ158" s="57"/>
      <c r="AK158" s="57"/>
      <c r="AM158">
        <v>158</v>
      </c>
    </row>
    <row r="159" spans="1:39" x14ac:dyDescent="0.25">
      <c r="A159" s="4" t="s">
        <v>342</v>
      </c>
      <c r="B159" s="41" t="s">
        <v>178</v>
      </c>
      <c r="C159" s="4">
        <v>406</v>
      </c>
      <c r="D159" s="4">
        <v>-10</v>
      </c>
      <c r="E159" s="4"/>
      <c r="F159" s="4"/>
      <c r="G159" s="4"/>
      <c r="H159" s="4">
        <v>180</v>
      </c>
      <c r="I159" s="4"/>
      <c r="J159" s="4"/>
      <c r="K159" s="4"/>
      <c r="L159" s="4"/>
      <c r="M159" s="4"/>
      <c r="N159" s="4">
        <v>0</v>
      </c>
      <c r="O159" s="4">
        <v>2</v>
      </c>
      <c r="P159" s="4">
        <v>0</v>
      </c>
      <c r="Q159" s="4">
        <v>0</v>
      </c>
      <c r="R159" s="4">
        <f>(17.5/2.5)*2</f>
        <v>14</v>
      </c>
      <c r="S159" s="4">
        <f>(12.5/2.5)*2</f>
        <v>10</v>
      </c>
      <c r="T159" s="4">
        <f>(22.5/2.5)*2</f>
        <v>18</v>
      </c>
      <c r="U159" s="4">
        <f>(17.5/2.5)*2</f>
        <v>14</v>
      </c>
      <c r="V159" s="4">
        <f>(17.5/2.5)*2</f>
        <v>14</v>
      </c>
      <c r="W159" s="4">
        <f>(0/2.5)*2</f>
        <v>0</v>
      </c>
      <c r="X159" s="4">
        <f t="shared" si="20"/>
        <v>0</v>
      </c>
      <c r="Y159" s="4">
        <f>(17.5/2.5)*2</f>
        <v>14</v>
      </c>
      <c r="Z159" s="4">
        <f>(12.5/2.5)*2</f>
        <v>10</v>
      </c>
      <c r="AA159" s="4">
        <f>(22.5/2.5)*2</f>
        <v>18</v>
      </c>
      <c r="AB159" s="4">
        <f>(17.5/2.5)*2</f>
        <v>14</v>
      </c>
      <c r="AC159" s="4">
        <f>(17.5/2.5)*2</f>
        <v>14</v>
      </c>
      <c r="AD159" s="4">
        <f>(10/2.5)*2</f>
        <v>8</v>
      </c>
      <c r="AE159" s="4">
        <f>(2.5/2.5)*2</f>
        <v>2</v>
      </c>
      <c r="AF159" s="4">
        <v>10</v>
      </c>
      <c r="AG159" s="57" t="s">
        <v>691</v>
      </c>
      <c r="AH159" s="57"/>
      <c r="AI159" s="57" t="b">
        <v>1</v>
      </c>
      <c r="AJ159" s="57" t="b">
        <v>1</v>
      </c>
      <c r="AK159" s="57"/>
      <c r="AM159">
        <v>159</v>
      </c>
    </row>
    <row r="160" spans="1:39" x14ac:dyDescent="0.25">
      <c r="A160" s="4" t="s">
        <v>349</v>
      </c>
      <c r="B160" s="41" t="s">
        <v>178</v>
      </c>
      <c r="C160" s="4">
        <v>350</v>
      </c>
      <c r="D160" s="4"/>
      <c r="E160" s="4">
        <v>180</v>
      </c>
      <c r="F160" s="4"/>
      <c r="G160" s="4"/>
      <c r="H160" s="4"/>
      <c r="I160" s="4"/>
      <c r="J160" s="4"/>
      <c r="K160" s="4"/>
      <c r="L160" s="4"/>
      <c r="M160" s="4"/>
      <c r="N160" s="4">
        <v>0</v>
      </c>
      <c r="O160" s="4">
        <v>1</v>
      </c>
      <c r="P160" s="4">
        <v>0</v>
      </c>
      <c r="Q160" s="4">
        <v>1</v>
      </c>
      <c r="R160" s="4">
        <f>(20/2.5)*2</f>
        <v>16</v>
      </c>
      <c r="S160" s="4">
        <f>(25/2.5)*2</f>
        <v>20</v>
      </c>
      <c r="T160" s="4">
        <f>(10/2.5)*2</f>
        <v>8</v>
      </c>
      <c r="U160" s="4">
        <f>(12.5/2.5)*2</f>
        <v>10</v>
      </c>
      <c r="V160" s="4">
        <f>(20/2.5)*2</f>
        <v>16</v>
      </c>
      <c r="W160" s="4">
        <f>(0/2.5)*2</f>
        <v>0</v>
      </c>
      <c r="X160" s="4">
        <f t="shared" si="20"/>
        <v>0</v>
      </c>
      <c r="Y160" s="4">
        <f>(20/2.5)*2</f>
        <v>16</v>
      </c>
      <c r="Z160" s="4">
        <f>(25/2.5)*2</f>
        <v>20</v>
      </c>
      <c r="AA160" s="4">
        <f>(10/2.5)*2</f>
        <v>8</v>
      </c>
      <c r="AB160" s="4">
        <f>(12.5/2.5)*2</f>
        <v>10</v>
      </c>
      <c r="AC160" s="4">
        <f>(20/2.5)*2</f>
        <v>16</v>
      </c>
      <c r="AD160" s="4">
        <f>(12.5/2.5)*2</f>
        <v>10</v>
      </c>
      <c r="AE160" s="4">
        <f>(0/2.5)*2</f>
        <v>0</v>
      </c>
      <c r="AF160" s="4">
        <v>10</v>
      </c>
      <c r="AG160" s="57"/>
      <c r="AH160" s="57"/>
      <c r="AI160" s="57"/>
      <c r="AJ160" s="57"/>
      <c r="AK160" s="57"/>
      <c r="AM160">
        <v>160</v>
      </c>
    </row>
    <row r="161" spans="1:39" x14ac:dyDescent="0.25">
      <c r="A161" s="4" t="s">
        <v>350</v>
      </c>
      <c r="B161" s="41" t="s">
        <v>178</v>
      </c>
      <c r="C161" s="4">
        <v>364</v>
      </c>
      <c r="D161" s="4"/>
      <c r="E161" s="4">
        <v>210</v>
      </c>
      <c r="F161" s="4"/>
      <c r="G161" s="4"/>
      <c r="H161" s="4"/>
      <c r="I161" s="4"/>
      <c r="J161" s="4"/>
      <c r="K161" s="4"/>
      <c r="L161" s="4"/>
      <c r="M161" s="4"/>
      <c r="N161" s="4">
        <v>0</v>
      </c>
      <c r="O161" s="4">
        <v>1</v>
      </c>
      <c r="P161" s="4">
        <v>0</v>
      </c>
      <c r="Q161" s="4">
        <v>1</v>
      </c>
      <c r="R161" s="4">
        <f>(20/2.5)*2</f>
        <v>16</v>
      </c>
      <c r="S161" s="4">
        <f>(25/2.5)*2</f>
        <v>20</v>
      </c>
      <c r="T161" s="4">
        <f>(10/2.5)*2</f>
        <v>8</v>
      </c>
      <c r="U161" s="4">
        <f>(12.5/2.5)*2</f>
        <v>10</v>
      </c>
      <c r="V161" s="4">
        <f>(20/2.5)*2</f>
        <v>16</v>
      </c>
      <c r="W161" s="4">
        <f>(0/2.5)*2</f>
        <v>0</v>
      </c>
      <c r="X161" s="4">
        <f t="shared" si="20"/>
        <v>0</v>
      </c>
      <c r="Y161" s="4">
        <f>(20/2.5)*2</f>
        <v>16</v>
      </c>
      <c r="Z161" s="4">
        <f>(25/2.5)*2</f>
        <v>20</v>
      </c>
      <c r="AA161" s="4">
        <f>(10/2.5)*2</f>
        <v>8</v>
      </c>
      <c r="AB161" s="4">
        <f>(12.5/2.5)*2</f>
        <v>10</v>
      </c>
      <c r="AC161" s="4">
        <f>(20/2.5)*2</f>
        <v>16</v>
      </c>
      <c r="AD161" s="4">
        <f>(12.5/2.5)*2</f>
        <v>10</v>
      </c>
      <c r="AE161" s="4">
        <f>(0/2.5)*2</f>
        <v>0</v>
      </c>
      <c r="AF161" s="4">
        <v>10</v>
      </c>
      <c r="AG161" s="57"/>
      <c r="AH161" s="57"/>
      <c r="AI161" s="57" t="b">
        <v>1</v>
      </c>
      <c r="AJ161" s="57" t="b">
        <v>1</v>
      </c>
      <c r="AK161" s="57"/>
      <c r="AM161">
        <v>161</v>
      </c>
    </row>
    <row r="162" spans="1:39" x14ac:dyDescent="0.25">
      <c r="A162" s="4" t="s">
        <v>366</v>
      </c>
      <c r="B162" s="41" t="s">
        <v>178</v>
      </c>
      <c r="C162" s="4">
        <v>294</v>
      </c>
      <c r="D162" s="4"/>
      <c r="E162" s="4"/>
      <c r="F162" s="4"/>
      <c r="G162" s="4"/>
      <c r="H162" s="4"/>
      <c r="I162" s="4">
        <v>390</v>
      </c>
      <c r="J162" s="4"/>
      <c r="K162" s="4"/>
      <c r="L162" s="4"/>
      <c r="M162" s="4"/>
      <c r="N162" s="4">
        <v>2</v>
      </c>
      <c r="O162" s="4">
        <v>0</v>
      </c>
      <c r="P162" s="4">
        <v>0</v>
      </c>
      <c r="Q162" s="4">
        <v>0</v>
      </c>
      <c r="R162" s="4">
        <f>(40/2.5)*2</f>
        <v>32</v>
      </c>
      <c r="S162" s="4">
        <f>(17.5/2.5)*2</f>
        <v>14</v>
      </c>
      <c r="T162" s="4">
        <f>(5/2.5)*2</f>
        <v>4</v>
      </c>
      <c r="U162" s="4">
        <f>(5/2.5)*2</f>
        <v>4</v>
      </c>
      <c r="V162" s="4">
        <f>(20/2.5)*2</f>
        <v>16</v>
      </c>
      <c r="W162" s="4">
        <f>(0/2.5)*2</f>
        <v>0</v>
      </c>
      <c r="X162" s="4">
        <f t="shared" si="20"/>
        <v>0</v>
      </c>
      <c r="Y162" s="4">
        <f>(40/2.5)*2</f>
        <v>32</v>
      </c>
      <c r="Z162" s="4">
        <f>(17.5/2.5)*2</f>
        <v>14</v>
      </c>
      <c r="AA162" s="4">
        <f>(5/2.5)*2</f>
        <v>4</v>
      </c>
      <c r="AB162" s="4">
        <f>(5/2.5)*2</f>
        <v>4</v>
      </c>
      <c r="AC162" s="4">
        <f>(22.5/2.5)*2</f>
        <v>18</v>
      </c>
      <c r="AD162" s="4">
        <f>(10/2.5)*2</f>
        <v>8</v>
      </c>
      <c r="AE162" s="4">
        <f>(0/2.5)*2</f>
        <v>0</v>
      </c>
      <c r="AF162" s="4">
        <v>10</v>
      </c>
      <c r="AG162" s="57"/>
      <c r="AH162" s="57"/>
      <c r="AI162" s="57"/>
      <c r="AJ162" s="57"/>
      <c r="AK162" s="57"/>
      <c r="AM162">
        <v>162</v>
      </c>
    </row>
    <row r="163" spans="1:39" x14ac:dyDescent="0.25">
      <c r="A163" s="4" t="s">
        <v>374</v>
      </c>
      <c r="B163" s="41" t="s">
        <v>178</v>
      </c>
      <c r="C163" s="4">
        <v>308</v>
      </c>
      <c r="D163" s="4">
        <v>15</v>
      </c>
      <c r="E163" s="4"/>
      <c r="F163" s="4"/>
      <c r="G163" s="4"/>
      <c r="H163" s="4">
        <v>180</v>
      </c>
      <c r="I163" s="4"/>
      <c r="J163" s="4"/>
      <c r="K163" s="4"/>
      <c r="L163" s="4"/>
      <c r="M163" s="4"/>
      <c r="N163" s="4">
        <v>0</v>
      </c>
      <c r="O163" s="4">
        <v>0</v>
      </c>
      <c r="P163" s="4">
        <v>0</v>
      </c>
      <c r="Q163" s="4">
        <v>0</v>
      </c>
      <c r="R163" s="4">
        <f>(22.5/2.5)*2</f>
        <v>18</v>
      </c>
      <c r="S163" s="4">
        <f t="shared" ref="S163:T165" si="22">(7.5/2.5)*2</f>
        <v>6</v>
      </c>
      <c r="T163" s="4">
        <f t="shared" si="22"/>
        <v>6</v>
      </c>
      <c r="U163" s="4">
        <f>(27.5/2.5)*2</f>
        <v>22</v>
      </c>
      <c r="V163" s="4">
        <f>(10/2.5)*2</f>
        <v>8</v>
      </c>
      <c r="W163" s="4">
        <f>(12.5/2.5)*2</f>
        <v>10</v>
      </c>
      <c r="X163" s="4">
        <f t="shared" si="20"/>
        <v>0</v>
      </c>
      <c r="Y163" s="4">
        <f>(22.5/2.5)*2</f>
        <v>18</v>
      </c>
      <c r="Z163" s="4">
        <f t="shared" ref="Z163:AA165" si="23">(7.5/2.5)*2</f>
        <v>6</v>
      </c>
      <c r="AA163" s="4">
        <f t="shared" si="23"/>
        <v>6</v>
      </c>
      <c r="AB163" s="4">
        <f>(27.5/2.5)*2</f>
        <v>22</v>
      </c>
      <c r="AC163" s="4">
        <f>(10/2.5)*2</f>
        <v>8</v>
      </c>
      <c r="AD163" s="4">
        <f>(25/2.5)*2</f>
        <v>20</v>
      </c>
      <c r="AE163" s="4">
        <f>(0/2.5)*2</f>
        <v>0</v>
      </c>
      <c r="AF163" s="4">
        <v>10</v>
      </c>
      <c r="AG163" s="57"/>
      <c r="AH163" s="57"/>
      <c r="AI163" s="57"/>
      <c r="AJ163" s="57"/>
      <c r="AK163" s="57"/>
      <c r="AM163">
        <v>163</v>
      </c>
    </row>
    <row r="164" spans="1:39" x14ac:dyDescent="0.25">
      <c r="A164" s="4" t="s">
        <v>375</v>
      </c>
      <c r="B164" s="41" t="s">
        <v>178</v>
      </c>
      <c r="C164" s="4">
        <v>322</v>
      </c>
      <c r="D164" s="4">
        <v>20</v>
      </c>
      <c r="E164" s="4"/>
      <c r="F164" s="4"/>
      <c r="G164" s="4"/>
      <c r="H164" s="4">
        <v>210</v>
      </c>
      <c r="I164" s="4"/>
      <c r="J164" s="4"/>
      <c r="K164" s="4"/>
      <c r="L164" s="4"/>
      <c r="M164" s="4"/>
      <c r="N164" s="4">
        <v>0</v>
      </c>
      <c r="O164" s="4">
        <v>0</v>
      </c>
      <c r="P164" s="4">
        <v>0</v>
      </c>
      <c r="Q164" s="4">
        <v>0</v>
      </c>
      <c r="R164" s="4">
        <f>(22.5/2.5)*2</f>
        <v>18</v>
      </c>
      <c r="S164" s="4">
        <f t="shared" si="22"/>
        <v>6</v>
      </c>
      <c r="T164" s="4">
        <f t="shared" si="22"/>
        <v>6</v>
      </c>
      <c r="U164" s="4">
        <f>(27.5/2.5)*2</f>
        <v>22</v>
      </c>
      <c r="V164" s="4">
        <f>(10/2.5)*2</f>
        <v>8</v>
      </c>
      <c r="W164" s="4">
        <f>(12.5/2.5)*2</f>
        <v>10</v>
      </c>
      <c r="X164" s="4">
        <f t="shared" si="20"/>
        <v>0</v>
      </c>
      <c r="Y164" s="4">
        <f>(22.5/2.5)*2</f>
        <v>18</v>
      </c>
      <c r="Z164" s="4">
        <f t="shared" si="23"/>
        <v>6</v>
      </c>
      <c r="AA164" s="4">
        <f t="shared" si="23"/>
        <v>6</v>
      </c>
      <c r="AB164" s="4">
        <f>(27.5/2.5)*2</f>
        <v>22</v>
      </c>
      <c r="AC164" s="4">
        <f>(10/2.5)*2</f>
        <v>8</v>
      </c>
      <c r="AD164" s="4">
        <f>(25/2.5)*2</f>
        <v>20</v>
      </c>
      <c r="AE164" s="4">
        <f>(0/2.5)*2</f>
        <v>0</v>
      </c>
      <c r="AF164" s="4">
        <v>10</v>
      </c>
      <c r="AG164" s="57"/>
      <c r="AH164" s="57"/>
      <c r="AI164" s="57"/>
      <c r="AJ164" s="57"/>
      <c r="AK164" s="57"/>
      <c r="AM164">
        <v>164</v>
      </c>
    </row>
    <row r="165" spans="1:39" x14ac:dyDescent="0.25">
      <c r="A165" s="4" t="s">
        <v>380</v>
      </c>
      <c r="B165" s="41" t="s">
        <v>178</v>
      </c>
      <c r="C165" s="4">
        <v>308</v>
      </c>
      <c r="D165" s="4"/>
      <c r="E165" s="4"/>
      <c r="F165" s="4">
        <v>180</v>
      </c>
      <c r="G165" s="4"/>
      <c r="H165" s="4"/>
      <c r="I165" s="4"/>
      <c r="J165" s="4"/>
      <c r="K165" s="4"/>
      <c r="L165" s="4"/>
      <c r="M165" s="4"/>
      <c r="N165" s="4">
        <v>0</v>
      </c>
      <c r="O165" s="4">
        <v>0</v>
      </c>
      <c r="P165" s="4">
        <v>1</v>
      </c>
      <c r="Q165" s="4">
        <v>0</v>
      </c>
      <c r="R165" s="4">
        <f>(32.5/2.5)*2</f>
        <v>26</v>
      </c>
      <c r="S165" s="4">
        <f t="shared" si="22"/>
        <v>6</v>
      </c>
      <c r="T165" s="4">
        <f t="shared" si="22"/>
        <v>6</v>
      </c>
      <c r="U165" s="4">
        <f>(15/2.5)*2</f>
        <v>12</v>
      </c>
      <c r="V165" s="4">
        <f>(12.5/2.5)*2</f>
        <v>10</v>
      </c>
      <c r="W165" s="4">
        <f>(12.5/2.5)*2</f>
        <v>10</v>
      </c>
      <c r="X165" s="4">
        <f t="shared" si="20"/>
        <v>0</v>
      </c>
      <c r="Y165" s="4">
        <f>(32.5/2.5)*2</f>
        <v>26</v>
      </c>
      <c r="Z165" s="4">
        <f t="shared" si="23"/>
        <v>6</v>
      </c>
      <c r="AA165" s="4">
        <f t="shared" si="23"/>
        <v>6</v>
      </c>
      <c r="AB165" s="4">
        <f>(15/2.5)*2</f>
        <v>12</v>
      </c>
      <c r="AC165" s="4">
        <f>(12.5/2.5)*2</f>
        <v>10</v>
      </c>
      <c r="AD165" s="4">
        <f>(12.5/2.5)*2</f>
        <v>10</v>
      </c>
      <c r="AE165" s="4">
        <f>(12.5/2.5)*2</f>
        <v>10</v>
      </c>
      <c r="AF165" s="4">
        <v>10</v>
      </c>
      <c r="AG165" s="57"/>
      <c r="AH165" s="57"/>
      <c r="AI165" s="57"/>
      <c r="AJ165" s="57"/>
      <c r="AK165" s="57"/>
      <c r="AM165">
        <v>165</v>
      </c>
    </row>
    <row r="166" spans="1:39" x14ac:dyDescent="0.25">
      <c r="A166" s="4" t="s">
        <v>403</v>
      </c>
      <c r="B166" s="41" t="s">
        <v>178</v>
      </c>
      <c r="C166" s="4">
        <v>392</v>
      </c>
      <c r="D166" s="4"/>
      <c r="E166" s="4"/>
      <c r="F166" s="4"/>
      <c r="G166" s="4"/>
      <c r="H166" s="4">
        <v>360</v>
      </c>
      <c r="I166" s="4"/>
      <c r="J166" s="4"/>
      <c r="K166" s="4"/>
      <c r="L166" s="4"/>
      <c r="M166" s="4"/>
      <c r="N166" s="4">
        <v>0</v>
      </c>
      <c r="O166" s="4">
        <v>0</v>
      </c>
      <c r="P166" s="4">
        <v>0</v>
      </c>
      <c r="Q166" s="4">
        <v>1</v>
      </c>
      <c r="R166" s="4">
        <f>(15/2.5)*2</f>
        <v>12</v>
      </c>
      <c r="S166" s="4">
        <f>(25/2.5)*2</f>
        <v>20</v>
      </c>
      <c r="T166" s="4">
        <f>(10/2.5)*2</f>
        <v>8</v>
      </c>
      <c r="U166" s="4">
        <f>(12.5/2.5)*2</f>
        <v>10</v>
      </c>
      <c r="V166" s="4">
        <f>(25/2.5)*2</f>
        <v>20</v>
      </c>
      <c r="W166" s="4">
        <f>(0/2.5)*2</f>
        <v>0</v>
      </c>
      <c r="X166" s="4">
        <f t="shared" si="20"/>
        <v>0</v>
      </c>
      <c r="Y166" s="4">
        <f>(15/2.5)*2</f>
        <v>12</v>
      </c>
      <c r="Z166" s="4">
        <f>(25/2.5)*2</f>
        <v>20</v>
      </c>
      <c r="AA166" s="4">
        <f>(10/2.5)*2</f>
        <v>8</v>
      </c>
      <c r="AB166" s="4">
        <f>(12.5/2.5)*2</f>
        <v>10</v>
      </c>
      <c r="AC166" s="4">
        <f>(25/2.5)*2</f>
        <v>20</v>
      </c>
      <c r="AD166" s="4">
        <f>(12.5/2.5)*2</f>
        <v>10</v>
      </c>
      <c r="AE166" s="4">
        <f>(0/2.5)*2</f>
        <v>0</v>
      </c>
      <c r="AF166" s="4">
        <v>10</v>
      </c>
      <c r="AG166" s="57" t="s">
        <v>691</v>
      </c>
      <c r="AH166" s="57"/>
      <c r="AI166" s="57" t="b">
        <v>1</v>
      </c>
      <c r="AJ166" s="57" t="b">
        <v>1</v>
      </c>
      <c r="AK166" s="57"/>
      <c r="AM166">
        <v>166</v>
      </c>
    </row>
    <row r="167" spans="1:39" x14ac:dyDescent="0.25">
      <c r="A167" s="4" t="s">
        <v>404</v>
      </c>
      <c r="B167" s="41" t="s">
        <v>178</v>
      </c>
      <c r="C167" s="4">
        <v>308</v>
      </c>
      <c r="D167" s="4">
        <v>10</v>
      </c>
      <c r="E167" s="4"/>
      <c r="F167" s="4"/>
      <c r="G167" s="4"/>
      <c r="H167" s="4"/>
      <c r="I167" s="4"/>
      <c r="J167" s="4">
        <v>210</v>
      </c>
      <c r="K167" s="4"/>
      <c r="L167" s="4"/>
      <c r="M167" s="4"/>
      <c r="N167" s="4">
        <v>0</v>
      </c>
      <c r="O167" s="4">
        <v>0</v>
      </c>
      <c r="P167" s="4">
        <v>0</v>
      </c>
      <c r="Q167" s="4">
        <v>0</v>
      </c>
      <c r="R167" s="4">
        <f>(22.5/2.5)*2</f>
        <v>18</v>
      </c>
      <c r="S167" s="4">
        <f>(20/2.5)*2</f>
        <v>16</v>
      </c>
      <c r="T167" s="4">
        <f>(7.5/2.5)*2</f>
        <v>6</v>
      </c>
      <c r="U167" s="4">
        <f>(7.5/2.5)*2</f>
        <v>6</v>
      </c>
      <c r="V167" s="4">
        <f>(20/2.5)*2</f>
        <v>16</v>
      </c>
      <c r="W167" s="4">
        <f>(10/2.5)*2</f>
        <v>8</v>
      </c>
      <c r="X167" s="4">
        <f t="shared" si="20"/>
        <v>0</v>
      </c>
      <c r="Y167" s="4">
        <f>(22.5/2.5)*2</f>
        <v>18</v>
      </c>
      <c r="Z167" s="4">
        <f>(20/2.5)*2</f>
        <v>16</v>
      </c>
      <c r="AA167" s="4">
        <f>(7.5/2.5)*2</f>
        <v>6</v>
      </c>
      <c r="AB167" s="4">
        <f>(7.5/2.5)*2</f>
        <v>6</v>
      </c>
      <c r="AC167" s="4">
        <f>(20/2.5)*2</f>
        <v>16</v>
      </c>
      <c r="AD167" s="4">
        <f>(22.5/2.5)*2</f>
        <v>18</v>
      </c>
      <c r="AE167" s="4">
        <f>(0/2.5)*2</f>
        <v>0</v>
      </c>
      <c r="AF167" s="4">
        <v>10</v>
      </c>
      <c r="AG167" s="57" t="s">
        <v>691</v>
      </c>
      <c r="AH167" s="57"/>
      <c r="AI167" s="57"/>
      <c r="AJ167" s="57"/>
      <c r="AK167" s="57"/>
      <c r="AM167">
        <v>167</v>
      </c>
    </row>
    <row r="168" spans="1:39" x14ac:dyDescent="0.25">
      <c r="A168" s="4" t="s">
        <v>405</v>
      </c>
      <c r="B168" s="41" t="s">
        <v>178</v>
      </c>
      <c r="C168" s="4">
        <v>322</v>
      </c>
      <c r="D168" s="4">
        <v>15</v>
      </c>
      <c r="E168" s="4"/>
      <c r="F168" s="4"/>
      <c r="G168" s="4"/>
      <c r="H168" s="4"/>
      <c r="I168" s="4"/>
      <c r="J168" s="4">
        <v>240</v>
      </c>
      <c r="K168" s="4"/>
      <c r="L168" s="4"/>
      <c r="M168" s="4"/>
      <c r="N168" s="4">
        <v>1</v>
      </c>
      <c r="O168" s="4">
        <v>0</v>
      </c>
      <c r="P168" s="4">
        <v>0</v>
      </c>
      <c r="Q168" s="4">
        <v>0</v>
      </c>
      <c r="R168" s="4">
        <f>(30/2.5)*2</f>
        <v>24</v>
      </c>
      <c r="S168" s="4">
        <f>(5/2.5)*2</f>
        <v>4</v>
      </c>
      <c r="T168" s="4">
        <f>(5/2.5)*2</f>
        <v>4</v>
      </c>
      <c r="U168" s="4">
        <f>(17.5/2.5)*2</f>
        <v>14</v>
      </c>
      <c r="V168" s="4">
        <f>(10/2.5)*2</f>
        <v>8</v>
      </c>
      <c r="W168" s="4">
        <f>(7.5/2.5)*2</f>
        <v>6</v>
      </c>
      <c r="X168" s="4">
        <f>(12.5/2.5)*2</f>
        <v>10</v>
      </c>
      <c r="Y168" s="4">
        <f>(30/2.5)*2</f>
        <v>24</v>
      </c>
      <c r="Z168" s="4">
        <f>(5/2.5)*2</f>
        <v>4</v>
      </c>
      <c r="AA168" s="4">
        <f>(5/2.5)*2</f>
        <v>4</v>
      </c>
      <c r="AB168" s="4">
        <f>(17.5/2.5)*2</f>
        <v>14</v>
      </c>
      <c r="AC168" s="4">
        <f>(10/2.5)*2</f>
        <v>8</v>
      </c>
      <c r="AD168" s="4">
        <f>(7.5/2.5)*2</f>
        <v>6</v>
      </c>
      <c r="AE168" s="4">
        <f>(25/2.5)*2</f>
        <v>20</v>
      </c>
      <c r="AF168" s="4">
        <v>10</v>
      </c>
      <c r="AG168" s="57" t="s">
        <v>691</v>
      </c>
      <c r="AH168" s="57"/>
      <c r="AI168" s="57" t="b">
        <v>1</v>
      </c>
      <c r="AJ168" s="57" t="b">
        <v>1</v>
      </c>
      <c r="AK168" s="57"/>
      <c r="AM168">
        <v>168</v>
      </c>
    </row>
    <row r="169" spans="1:39" x14ac:dyDescent="0.25">
      <c r="A169" s="4" t="s">
        <v>406</v>
      </c>
      <c r="B169" s="41" t="s">
        <v>178</v>
      </c>
      <c r="C169" s="4">
        <v>308</v>
      </c>
      <c r="D169" s="4"/>
      <c r="E169" s="4">
        <v>150</v>
      </c>
      <c r="F169" s="4"/>
      <c r="G169" s="4"/>
      <c r="H169" s="4"/>
      <c r="I169" s="4"/>
      <c r="J169" s="4"/>
      <c r="K169" s="4"/>
      <c r="L169" s="4"/>
      <c r="M169" s="4"/>
      <c r="N169" s="4">
        <v>1</v>
      </c>
      <c r="O169" s="4">
        <v>0</v>
      </c>
      <c r="P169" s="4">
        <v>0</v>
      </c>
      <c r="Q169" s="4">
        <v>0</v>
      </c>
      <c r="R169" s="4">
        <f>(27.5/2.5)*2</f>
        <v>22</v>
      </c>
      <c r="S169" s="4">
        <f t="shared" ref="S169:T172" si="24">(7.5/2.5)*2</f>
        <v>6</v>
      </c>
      <c r="T169" s="4">
        <f t="shared" si="24"/>
        <v>6</v>
      </c>
      <c r="U169" s="4">
        <f>(27.5/2.5)*2</f>
        <v>22</v>
      </c>
      <c r="V169" s="4">
        <f>(10/2.5)*2</f>
        <v>8</v>
      </c>
      <c r="W169" s="4">
        <f>(7.5/2.5)*2</f>
        <v>6</v>
      </c>
      <c r="X169" s="4">
        <f t="shared" ref="X169:X205" si="25">(0/2.5)*2</f>
        <v>0</v>
      </c>
      <c r="Y169" s="4">
        <f>(27.5/2.5)*2</f>
        <v>22</v>
      </c>
      <c r="Z169" s="4">
        <f t="shared" ref="Z169:AA172" si="26">(7.5/2.5)*2</f>
        <v>6</v>
      </c>
      <c r="AA169" s="4">
        <f t="shared" si="26"/>
        <v>6</v>
      </c>
      <c r="AB169" s="4">
        <f>(27.5/2.5)*2</f>
        <v>22</v>
      </c>
      <c r="AC169" s="4">
        <f>(10/2.5)*2</f>
        <v>8</v>
      </c>
      <c r="AD169" s="4">
        <f>(20/2.5)*2</f>
        <v>16</v>
      </c>
      <c r="AE169" s="4">
        <f>(0/2.5)*2</f>
        <v>0</v>
      </c>
      <c r="AF169" s="4">
        <v>10</v>
      </c>
      <c r="AG169" s="57"/>
      <c r="AH169" s="57"/>
      <c r="AI169" s="57"/>
      <c r="AJ169" s="57"/>
      <c r="AK169" s="57"/>
      <c r="AM169">
        <v>169</v>
      </c>
    </row>
    <row r="170" spans="1:39" x14ac:dyDescent="0.25">
      <c r="A170" s="4" t="s">
        <v>407</v>
      </c>
      <c r="B170" s="41" t="s">
        <v>178</v>
      </c>
      <c r="C170" s="4">
        <v>336</v>
      </c>
      <c r="D170" s="4"/>
      <c r="E170" s="4">
        <v>180</v>
      </c>
      <c r="F170" s="4"/>
      <c r="G170" s="4"/>
      <c r="H170" s="4"/>
      <c r="I170" s="4"/>
      <c r="J170" s="4"/>
      <c r="K170" s="4"/>
      <c r="L170" s="4"/>
      <c r="M170" s="4"/>
      <c r="N170" s="4">
        <v>1</v>
      </c>
      <c r="O170" s="4">
        <v>0</v>
      </c>
      <c r="P170" s="4">
        <v>0</v>
      </c>
      <c r="Q170" s="4">
        <v>0</v>
      </c>
      <c r="R170" s="4">
        <f>(32.5/2.5)*2</f>
        <v>26</v>
      </c>
      <c r="S170" s="4">
        <f t="shared" si="24"/>
        <v>6</v>
      </c>
      <c r="T170" s="4">
        <f t="shared" si="24"/>
        <v>6</v>
      </c>
      <c r="U170" s="4">
        <f>(15/2.5)*2</f>
        <v>12</v>
      </c>
      <c r="V170" s="4">
        <f>(12.5/2.5)*2</f>
        <v>10</v>
      </c>
      <c r="W170" s="4">
        <f>(12.5/2.5)*2</f>
        <v>10</v>
      </c>
      <c r="X170" s="4">
        <f t="shared" si="25"/>
        <v>0</v>
      </c>
      <c r="Y170" s="4">
        <f>(32.5/2.5)*2</f>
        <v>26</v>
      </c>
      <c r="Z170" s="4">
        <f t="shared" si="26"/>
        <v>6</v>
      </c>
      <c r="AA170" s="4">
        <f t="shared" si="26"/>
        <v>6</v>
      </c>
      <c r="AB170" s="4">
        <f>(15/2.5)*2</f>
        <v>12</v>
      </c>
      <c r="AC170" s="4">
        <f>(12.5/2.5)*2</f>
        <v>10</v>
      </c>
      <c r="AD170" s="4">
        <f>(17.5/2.5)*2</f>
        <v>14</v>
      </c>
      <c r="AE170" s="4">
        <f>(7.5/2.5)*2</f>
        <v>6</v>
      </c>
      <c r="AF170" s="4">
        <v>10</v>
      </c>
      <c r="AG170" s="57"/>
      <c r="AH170" s="57"/>
      <c r="AI170" s="57"/>
      <c r="AJ170" s="57"/>
      <c r="AK170" s="57"/>
      <c r="AM170">
        <v>170</v>
      </c>
    </row>
    <row r="171" spans="1:39" x14ac:dyDescent="0.25">
      <c r="A171" s="4" t="s">
        <v>411</v>
      </c>
      <c r="B171" s="41" t="s">
        <v>178</v>
      </c>
      <c r="C171" s="4">
        <v>350</v>
      </c>
      <c r="D171" s="4">
        <v>-15</v>
      </c>
      <c r="E171" s="4"/>
      <c r="F171" s="4"/>
      <c r="G171" s="4"/>
      <c r="H171" s="4"/>
      <c r="I171" s="4"/>
      <c r="J171" s="4"/>
      <c r="K171" s="4"/>
      <c r="L171" s="4"/>
      <c r="M171" s="4">
        <v>210</v>
      </c>
      <c r="N171" s="4">
        <v>0</v>
      </c>
      <c r="O171" s="4">
        <v>0</v>
      </c>
      <c r="P171" s="4">
        <v>0</v>
      </c>
      <c r="Q171" s="4">
        <v>0</v>
      </c>
      <c r="R171" s="4">
        <f>(17.5/2.5)*2</f>
        <v>14</v>
      </c>
      <c r="S171" s="4">
        <f t="shared" si="24"/>
        <v>6</v>
      </c>
      <c r="T171" s="4">
        <f t="shared" si="24"/>
        <v>6</v>
      </c>
      <c r="U171" s="4">
        <f>(27.5/2.5)*2</f>
        <v>22</v>
      </c>
      <c r="V171" s="4">
        <f>(10/2.5)*2</f>
        <v>8</v>
      </c>
      <c r="W171" s="4">
        <f>(17.5/2.5)*2</f>
        <v>14</v>
      </c>
      <c r="X171" s="4">
        <f t="shared" si="25"/>
        <v>0</v>
      </c>
      <c r="Y171" s="4">
        <f>(17.5/2.5)*2</f>
        <v>14</v>
      </c>
      <c r="Z171" s="4">
        <f t="shared" si="26"/>
        <v>6</v>
      </c>
      <c r="AA171" s="4">
        <f t="shared" si="26"/>
        <v>6</v>
      </c>
      <c r="AB171" s="4">
        <f>(27.5/2.5)*2</f>
        <v>22</v>
      </c>
      <c r="AC171" s="4">
        <f>(10/2.5)*2</f>
        <v>8</v>
      </c>
      <c r="AD171" s="4">
        <f>(30/2.5)*2</f>
        <v>24</v>
      </c>
      <c r="AE171" s="4">
        <f t="shared" ref="AE171:AE176" si="27">(0/2.5)*2</f>
        <v>0</v>
      </c>
      <c r="AF171" s="4">
        <v>10</v>
      </c>
      <c r="AG171" s="57" t="s">
        <v>691</v>
      </c>
      <c r="AH171" s="57"/>
      <c r="AI171" s="57"/>
      <c r="AJ171" s="57"/>
      <c r="AK171" s="57"/>
      <c r="AM171">
        <v>171</v>
      </c>
    </row>
    <row r="172" spans="1:39" x14ac:dyDescent="0.25">
      <c r="A172" s="4" t="s">
        <v>412</v>
      </c>
      <c r="B172" s="41" t="s">
        <v>178</v>
      </c>
      <c r="C172" s="4">
        <v>378</v>
      </c>
      <c r="D172" s="4">
        <v>-15</v>
      </c>
      <c r="E172" s="4"/>
      <c r="F172" s="4"/>
      <c r="G172" s="4"/>
      <c r="H172" s="4"/>
      <c r="I172" s="4"/>
      <c r="J172" s="4"/>
      <c r="K172" s="4"/>
      <c r="L172" s="4"/>
      <c r="M172" s="4">
        <v>240</v>
      </c>
      <c r="N172" s="4">
        <v>1</v>
      </c>
      <c r="O172" s="4">
        <v>0</v>
      </c>
      <c r="P172" s="4">
        <v>0</v>
      </c>
      <c r="Q172" s="4">
        <v>0</v>
      </c>
      <c r="R172" s="4">
        <f>(12.5/2.5)*2</f>
        <v>10</v>
      </c>
      <c r="S172" s="4">
        <f t="shared" si="24"/>
        <v>6</v>
      </c>
      <c r="T172" s="4">
        <f t="shared" si="24"/>
        <v>6</v>
      </c>
      <c r="U172" s="4">
        <f>(27.5/2.5)*2</f>
        <v>22</v>
      </c>
      <c r="V172" s="4">
        <f>(10/2.5)*2</f>
        <v>8</v>
      </c>
      <c r="W172" s="4">
        <f>(22.5/2.5)*2</f>
        <v>18</v>
      </c>
      <c r="X172" s="4">
        <f t="shared" si="25"/>
        <v>0</v>
      </c>
      <c r="Y172" s="4">
        <f>(12.5/2.5)*2</f>
        <v>10</v>
      </c>
      <c r="Z172" s="4">
        <f t="shared" si="26"/>
        <v>6</v>
      </c>
      <c r="AA172" s="4">
        <f t="shared" si="26"/>
        <v>6</v>
      </c>
      <c r="AB172" s="4">
        <f>(27.5/2.5)*2</f>
        <v>22</v>
      </c>
      <c r="AC172" s="4">
        <f>(10/2.5)*2</f>
        <v>8</v>
      </c>
      <c r="AD172" s="4">
        <f>(35/2.5)*2</f>
        <v>28</v>
      </c>
      <c r="AE172" s="4">
        <f t="shared" si="27"/>
        <v>0</v>
      </c>
      <c r="AF172" s="4">
        <v>10</v>
      </c>
      <c r="AG172" s="57" t="s">
        <v>691</v>
      </c>
      <c r="AH172" s="57"/>
      <c r="AI172" s="57" t="b">
        <v>1</v>
      </c>
      <c r="AJ172" s="57" t="b">
        <v>1</v>
      </c>
      <c r="AK172" s="57"/>
      <c r="AM172">
        <v>172</v>
      </c>
    </row>
    <row r="173" spans="1:39" x14ac:dyDescent="0.25">
      <c r="A173" s="4" t="s">
        <v>413</v>
      </c>
      <c r="B173" s="41" t="s">
        <v>178</v>
      </c>
      <c r="C173" s="4">
        <v>336</v>
      </c>
      <c r="D173" s="4">
        <v>10</v>
      </c>
      <c r="E173" s="4"/>
      <c r="F173" s="4"/>
      <c r="G173" s="4">
        <v>210</v>
      </c>
      <c r="H173" s="4"/>
      <c r="I173" s="4"/>
      <c r="J173" s="4"/>
      <c r="K173" s="4"/>
      <c r="L173" s="4"/>
      <c r="M173" s="4"/>
      <c r="N173" s="4">
        <v>0</v>
      </c>
      <c r="O173" s="4">
        <v>0</v>
      </c>
      <c r="P173" s="4">
        <v>0</v>
      </c>
      <c r="Q173" s="4">
        <v>0</v>
      </c>
      <c r="R173" s="4">
        <f>(15/2.5)*2</f>
        <v>12</v>
      </c>
      <c r="S173" s="4">
        <f>(25/2.5)*2</f>
        <v>20</v>
      </c>
      <c r="T173" s="4">
        <f>(10/2.5)*2</f>
        <v>8</v>
      </c>
      <c r="U173" s="4">
        <f>(12.5/2.5)*2</f>
        <v>10</v>
      </c>
      <c r="V173" s="4">
        <f>(25/2.5)*2</f>
        <v>20</v>
      </c>
      <c r="W173" s="4">
        <f>(0/2.5)*2</f>
        <v>0</v>
      </c>
      <c r="X173" s="4">
        <f t="shared" si="25"/>
        <v>0</v>
      </c>
      <c r="Y173" s="4">
        <f>(15/2.5)*2</f>
        <v>12</v>
      </c>
      <c r="Z173" s="4">
        <f>(25/2.5)*2</f>
        <v>20</v>
      </c>
      <c r="AA173" s="4">
        <f>(10/2.5)*2</f>
        <v>8</v>
      </c>
      <c r="AB173" s="4">
        <f>(12.5/2.5)*2</f>
        <v>10</v>
      </c>
      <c r="AC173" s="4">
        <f>(25/2.5)*2</f>
        <v>20</v>
      </c>
      <c r="AD173" s="4">
        <f>(12.5/2.5)*2</f>
        <v>10</v>
      </c>
      <c r="AE173" s="4">
        <f t="shared" si="27"/>
        <v>0</v>
      </c>
      <c r="AF173" s="4">
        <v>10</v>
      </c>
      <c r="AG173" s="57"/>
      <c r="AH173" s="57"/>
      <c r="AI173" s="57"/>
      <c r="AJ173" s="57"/>
      <c r="AK173" s="57"/>
      <c r="AM173">
        <v>173</v>
      </c>
    </row>
    <row r="174" spans="1:39" x14ac:dyDescent="0.25">
      <c r="A174" s="4" t="s">
        <v>414</v>
      </c>
      <c r="B174" s="41" t="s">
        <v>178</v>
      </c>
      <c r="C174" s="4">
        <v>350</v>
      </c>
      <c r="D174" s="4">
        <v>15</v>
      </c>
      <c r="E174" s="4"/>
      <c r="F174" s="4"/>
      <c r="G174" s="4">
        <v>240</v>
      </c>
      <c r="H174" s="4"/>
      <c r="I174" s="4"/>
      <c r="J174" s="4"/>
      <c r="K174" s="4"/>
      <c r="L174" s="4"/>
      <c r="M174" s="4"/>
      <c r="N174" s="4">
        <v>1</v>
      </c>
      <c r="O174" s="4">
        <v>0</v>
      </c>
      <c r="P174" s="4">
        <v>0</v>
      </c>
      <c r="Q174" s="4">
        <v>0</v>
      </c>
      <c r="R174" s="4">
        <f>(15/2.5)*2</f>
        <v>12</v>
      </c>
      <c r="S174" s="4">
        <f>(25/2.5)*2</f>
        <v>20</v>
      </c>
      <c r="T174" s="4">
        <f>(10/2.5)*2</f>
        <v>8</v>
      </c>
      <c r="U174" s="4">
        <f>(12.5/2.5)*2</f>
        <v>10</v>
      </c>
      <c r="V174" s="4">
        <f>(25/2.5)*2</f>
        <v>20</v>
      </c>
      <c r="W174" s="4">
        <f>(0/2.5)*2</f>
        <v>0</v>
      </c>
      <c r="X174" s="4">
        <f t="shared" si="25"/>
        <v>0</v>
      </c>
      <c r="Y174" s="4">
        <f>(15/2.5)*2</f>
        <v>12</v>
      </c>
      <c r="Z174" s="4">
        <f>(25/2.5)*2</f>
        <v>20</v>
      </c>
      <c r="AA174" s="4">
        <f>(10/2.5)*2</f>
        <v>8</v>
      </c>
      <c r="AB174" s="4">
        <f>(12.5/2.5)*2</f>
        <v>10</v>
      </c>
      <c r="AC174" s="4">
        <f>(25/2.5)*2</f>
        <v>20</v>
      </c>
      <c r="AD174" s="4">
        <f>(12.5/2.5)*2</f>
        <v>10</v>
      </c>
      <c r="AE174" s="4">
        <f t="shared" si="27"/>
        <v>0</v>
      </c>
      <c r="AF174" s="4">
        <v>10</v>
      </c>
      <c r="AG174" s="57"/>
      <c r="AH174" s="57"/>
      <c r="AI174" s="57" t="b">
        <v>1</v>
      </c>
      <c r="AJ174" s="57" t="b">
        <v>1</v>
      </c>
      <c r="AK174" s="57"/>
      <c r="AM174">
        <v>174</v>
      </c>
    </row>
    <row r="175" spans="1:39" x14ac:dyDescent="0.25">
      <c r="A175" s="4" t="s">
        <v>415</v>
      </c>
      <c r="B175" s="41" t="s">
        <v>178</v>
      </c>
      <c r="C175" s="4">
        <v>308</v>
      </c>
      <c r="D175" s="4"/>
      <c r="E175" s="4"/>
      <c r="F175" s="4"/>
      <c r="G175" s="4"/>
      <c r="H175" s="4"/>
      <c r="I175" s="4"/>
      <c r="J175" s="4"/>
      <c r="K175" s="4"/>
      <c r="L175" s="4"/>
      <c r="M175" s="4">
        <v>240</v>
      </c>
      <c r="N175" s="4">
        <v>0</v>
      </c>
      <c r="O175" s="4">
        <v>0</v>
      </c>
      <c r="P175" s="4">
        <v>0</v>
      </c>
      <c r="Q175" s="4">
        <v>0</v>
      </c>
      <c r="R175" s="4">
        <f>(20/2.5)*2</f>
        <v>16</v>
      </c>
      <c r="S175" s="4">
        <f>(7.5/2.5)*2</f>
        <v>6</v>
      </c>
      <c r="T175" s="4">
        <f>(7.5/2.5)*2</f>
        <v>6</v>
      </c>
      <c r="U175" s="4">
        <f>(27.5/2.5)*2</f>
        <v>22</v>
      </c>
      <c r="V175" s="4">
        <f>(10/2.5)*2</f>
        <v>8</v>
      </c>
      <c r="W175" s="4">
        <f>(15/2.5)*2</f>
        <v>12</v>
      </c>
      <c r="X175" s="4">
        <f t="shared" si="25"/>
        <v>0</v>
      </c>
      <c r="Y175" s="4">
        <f>(20/2.5)*2</f>
        <v>16</v>
      </c>
      <c r="Z175" s="4">
        <f>(7.5/2.5)*2</f>
        <v>6</v>
      </c>
      <c r="AA175" s="4">
        <f>(7.5/2.5)*2</f>
        <v>6</v>
      </c>
      <c r="AB175" s="4">
        <f>(27.5/2.5)*2</f>
        <v>22</v>
      </c>
      <c r="AC175" s="4">
        <f>(10/2.5)*2</f>
        <v>8</v>
      </c>
      <c r="AD175" s="4">
        <f>(27.5/2.5)*2</f>
        <v>22</v>
      </c>
      <c r="AE175" s="4">
        <f t="shared" si="27"/>
        <v>0</v>
      </c>
      <c r="AF175" s="4">
        <v>10</v>
      </c>
      <c r="AG175" s="57"/>
      <c r="AH175" s="57"/>
      <c r="AI175" s="57"/>
      <c r="AJ175" s="57"/>
      <c r="AK175" s="57"/>
      <c r="AM175">
        <v>175</v>
      </c>
    </row>
    <row r="176" spans="1:39" x14ac:dyDescent="0.25">
      <c r="A176" s="4" t="s">
        <v>416</v>
      </c>
      <c r="B176" s="41" t="s">
        <v>178</v>
      </c>
      <c r="C176" s="4">
        <v>336</v>
      </c>
      <c r="D176" s="4"/>
      <c r="E176" s="4"/>
      <c r="F176" s="4"/>
      <c r="G176" s="4"/>
      <c r="H176" s="4"/>
      <c r="I176" s="4"/>
      <c r="J176" s="4"/>
      <c r="K176" s="4"/>
      <c r="L176" s="4"/>
      <c r="M176" s="4">
        <v>300</v>
      </c>
      <c r="N176" s="4">
        <v>1</v>
      </c>
      <c r="O176" s="4">
        <v>0</v>
      </c>
      <c r="P176" s="4">
        <v>0</v>
      </c>
      <c r="Q176" s="4">
        <v>0</v>
      </c>
      <c r="R176" s="4">
        <f>(20/2.5)*2</f>
        <v>16</v>
      </c>
      <c r="S176" s="4">
        <f>(7.5/2.5)*2</f>
        <v>6</v>
      </c>
      <c r="T176" s="4">
        <f>(7.5/2.5)*2</f>
        <v>6</v>
      </c>
      <c r="U176" s="4">
        <f>(27.5/2.5)*2</f>
        <v>22</v>
      </c>
      <c r="V176" s="4">
        <f>(10/2.5)*2</f>
        <v>8</v>
      </c>
      <c r="W176" s="4">
        <f>(15/2.5)*2</f>
        <v>12</v>
      </c>
      <c r="X176" s="4">
        <f t="shared" si="25"/>
        <v>0</v>
      </c>
      <c r="Y176" s="4">
        <f>(20/2.5)*2</f>
        <v>16</v>
      </c>
      <c r="Z176" s="4">
        <f>(7.5/2.5)*2</f>
        <v>6</v>
      </c>
      <c r="AA176" s="4">
        <f>(7.5/2.5)*2</f>
        <v>6</v>
      </c>
      <c r="AB176" s="4">
        <f>(27.5/2.5)*2</f>
        <v>22</v>
      </c>
      <c r="AC176" s="4">
        <f>(10/2.5)*2</f>
        <v>8</v>
      </c>
      <c r="AD176" s="4">
        <f>(27.5/2.5)*2</f>
        <v>22</v>
      </c>
      <c r="AE176" s="4">
        <f t="shared" si="27"/>
        <v>0</v>
      </c>
      <c r="AF176" s="4">
        <v>10</v>
      </c>
      <c r="AG176" s="57"/>
      <c r="AH176" s="57"/>
      <c r="AI176" s="57" t="b">
        <v>1</v>
      </c>
      <c r="AJ176" s="57" t="b">
        <v>1</v>
      </c>
      <c r="AK176" s="57"/>
      <c r="AM176">
        <v>176</v>
      </c>
    </row>
    <row r="177" spans="1:39" x14ac:dyDescent="0.25">
      <c r="A177" s="4" t="s">
        <v>422</v>
      </c>
      <c r="B177" s="41" t="s">
        <v>178</v>
      </c>
      <c r="C177" s="4">
        <v>350</v>
      </c>
      <c r="D177" s="4">
        <v>15</v>
      </c>
      <c r="E177" s="4"/>
      <c r="F177" s="4"/>
      <c r="G177" s="4"/>
      <c r="H177" s="4"/>
      <c r="I177" s="4"/>
      <c r="J177" s="4">
        <v>180</v>
      </c>
      <c r="K177" s="4"/>
      <c r="L177" s="4"/>
      <c r="M177" s="4"/>
      <c r="N177" s="4">
        <v>0</v>
      </c>
      <c r="O177" s="4">
        <v>0</v>
      </c>
      <c r="P177" s="4">
        <v>1</v>
      </c>
      <c r="Q177" s="4">
        <v>0</v>
      </c>
      <c r="R177" s="4">
        <f>(32.5/2.5)*2</f>
        <v>26</v>
      </c>
      <c r="S177" s="4">
        <f>(7.5/2.5)*2</f>
        <v>6</v>
      </c>
      <c r="T177" s="4">
        <f>(22.5/2.5)*2</f>
        <v>18</v>
      </c>
      <c r="U177" s="4">
        <f>(7.5/2.5)*2</f>
        <v>6</v>
      </c>
      <c r="V177" s="4">
        <f>(7.5/2.5)*2</f>
        <v>6</v>
      </c>
      <c r="W177" s="4">
        <f>(10/2.5)*2</f>
        <v>8</v>
      </c>
      <c r="X177" s="4">
        <f t="shared" si="25"/>
        <v>0</v>
      </c>
      <c r="Y177" s="4">
        <f>(32.5/2.5)*2</f>
        <v>26</v>
      </c>
      <c r="Z177" s="4">
        <f>(7.5/2.5)*2</f>
        <v>6</v>
      </c>
      <c r="AA177" s="4">
        <f>(22.5/2.5)*2</f>
        <v>18</v>
      </c>
      <c r="AB177" s="4">
        <f>(7.5/2.5)*2</f>
        <v>6</v>
      </c>
      <c r="AC177" s="4">
        <f>(7.5/2.5)*2</f>
        <v>6</v>
      </c>
      <c r="AD177" s="4">
        <f>(17.5/2.5)*2</f>
        <v>14</v>
      </c>
      <c r="AE177" s="4">
        <f>(5/2.5)*2</f>
        <v>4</v>
      </c>
      <c r="AF177" s="4">
        <v>10</v>
      </c>
      <c r="AG177" s="57"/>
      <c r="AH177" s="57"/>
      <c r="AI177" s="57"/>
      <c r="AJ177" s="57"/>
      <c r="AK177" s="57"/>
      <c r="AM177">
        <v>177</v>
      </c>
    </row>
    <row r="178" spans="1:39" x14ac:dyDescent="0.25">
      <c r="A178" s="4" t="s">
        <v>424</v>
      </c>
      <c r="B178" s="41" t="s">
        <v>178</v>
      </c>
      <c r="C178" s="4">
        <v>336</v>
      </c>
      <c r="D178" s="4"/>
      <c r="E178" s="4"/>
      <c r="F178" s="4"/>
      <c r="G178" s="4">
        <v>180</v>
      </c>
      <c r="H178" s="4"/>
      <c r="I178" s="4"/>
      <c r="J178" s="4"/>
      <c r="K178" s="4"/>
      <c r="L178" s="4"/>
      <c r="M178" s="4"/>
      <c r="N178" s="4">
        <v>0</v>
      </c>
      <c r="O178" s="4">
        <v>1</v>
      </c>
      <c r="P178" s="4">
        <v>0</v>
      </c>
      <c r="Q178" s="4">
        <v>0</v>
      </c>
      <c r="R178" s="4">
        <f>(22.5/2.5)*2</f>
        <v>18</v>
      </c>
      <c r="S178" s="4">
        <f>(20/2.5)*2</f>
        <v>16</v>
      </c>
      <c r="T178" s="4">
        <f>(7.5/2.5)*2</f>
        <v>6</v>
      </c>
      <c r="U178" s="4">
        <f>(7.5/2.5)*2</f>
        <v>6</v>
      </c>
      <c r="V178" s="4">
        <f>(20/2.5)*2</f>
        <v>16</v>
      </c>
      <c r="W178" s="4">
        <f>(10/2.5)*2</f>
        <v>8</v>
      </c>
      <c r="X178" s="4">
        <f t="shared" si="25"/>
        <v>0</v>
      </c>
      <c r="Y178" s="4">
        <f>(22.5/2.5)*2</f>
        <v>18</v>
      </c>
      <c r="Z178" s="4">
        <f>(20/2.5)*2</f>
        <v>16</v>
      </c>
      <c r="AA178" s="4">
        <f>(7.5/2.5)*2</f>
        <v>6</v>
      </c>
      <c r="AB178" s="4">
        <f>(7.5/2.5)*2</f>
        <v>6</v>
      </c>
      <c r="AC178" s="4">
        <f>(20/2.5)*2</f>
        <v>16</v>
      </c>
      <c r="AD178" s="4">
        <f>(22.5/2.5)*2</f>
        <v>18</v>
      </c>
      <c r="AE178" s="4">
        <f>(0/2.5)*2</f>
        <v>0</v>
      </c>
      <c r="AF178" s="4">
        <v>10</v>
      </c>
      <c r="AG178" s="57"/>
      <c r="AH178" s="57"/>
      <c r="AI178" s="57"/>
      <c r="AJ178" s="57"/>
      <c r="AK178" s="57"/>
      <c r="AM178">
        <v>178</v>
      </c>
    </row>
    <row r="179" spans="1:39" x14ac:dyDescent="0.25">
      <c r="A179" s="4" t="s">
        <v>427</v>
      </c>
      <c r="B179" s="41" t="s">
        <v>178</v>
      </c>
      <c r="C179" s="4">
        <v>378</v>
      </c>
      <c r="D179" s="4"/>
      <c r="E179" s="4"/>
      <c r="F179" s="4"/>
      <c r="G179" s="4"/>
      <c r="H179" s="4"/>
      <c r="I179" s="4"/>
      <c r="J179" s="4"/>
      <c r="K179" s="4">
        <v>180</v>
      </c>
      <c r="L179" s="4"/>
      <c r="M179" s="4"/>
      <c r="N179" s="4">
        <v>0</v>
      </c>
      <c r="O179" s="4">
        <v>0</v>
      </c>
      <c r="P179" s="4">
        <v>0</v>
      </c>
      <c r="Q179" s="4">
        <v>1</v>
      </c>
      <c r="R179" s="4">
        <f>(40/2.5)*2</f>
        <v>32</v>
      </c>
      <c r="S179" s="4">
        <f>(25/2.5)*2</f>
        <v>20</v>
      </c>
      <c r="T179" s="4">
        <f>(7.5/2.5)*2</f>
        <v>6</v>
      </c>
      <c r="U179" s="4">
        <f>(7.5/2.5)*2</f>
        <v>6</v>
      </c>
      <c r="V179" s="4">
        <f>(7.5/2.5)*2</f>
        <v>6</v>
      </c>
      <c r="W179" s="4">
        <f>(0/2.5)*2</f>
        <v>0</v>
      </c>
      <c r="X179" s="4">
        <f t="shared" si="25"/>
        <v>0</v>
      </c>
      <c r="Y179" s="4">
        <f>(40/2.5)*2</f>
        <v>32</v>
      </c>
      <c r="Z179" s="4">
        <f>(25/2.5)*2</f>
        <v>20</v>
      </c>
      <c r="AA179" s="4">
        <f>(7.5/2.5)*2</f>
        <v>6</v>
      </c>
      <c r="AB179" s="4">
        <f>(7.5/2.5)*2</f>
        <v>6</v>
      </c>
      <c r="AC179" s="4">
        <f>(12.5/2.5)*2</f>
        <v>10</v>
      </c>
      <c r="AD179" s="4">
        <f>(7.5/2.5)*2</f>
        <v>6</v>
      </c>
      <c r="AE179" s="4">
        <f>(0/2.5)*2</f>
        <v>0</v>
      </c>
      <c r="AF179" s="4">
        <v>10</v>
      </c>
      <c r="AG179" s="57" t="s">
        <v>691</v>
      </c>
      <c r="AH179" s="57"/>
      <c r="AI179" s="57"/>
      <c r="AJ179" s="57"/>
      <c r="AK179" s="57"/>
      <c r="AM179">
        <v>179</v>
      </c>
    </row>
    <row r="180" spans="1:39" x14ac:dyDescent="0.25">
      <c r="A180" s="4" t="s">
        <v>430</v>
      </c>
      <c r="B180" s="41" t="s">
        <v>178</v>
      </c>
      <c r="C180" s="4">
        <v>350</v>
      </c>
      <c r="D180" s="4">
        <v>10</v>
      </c>
      <c r="E180" s="4"/>
      <c r="F180" s="4"/>
      <c r="G180" s="4"/>
      <c r="H180" s="4"/>
      <c r="I180" s="4"/>
      <c r="J180" s="4">
        <v>270</v>
      </c>
      <c r="K180" s="4"/>
      <c r="L180" s="4"/>
      <c r="M180" s="4"/>
      <c r="N180" s="4">
        <v>2</v>
      </c>
      <c r="O180" s="4">
        <v>0</v>
      </c>
      <c r="P180" s="4">
        <v>0</v>
      </c>
      <c r="Q180" s="4">
        <v>0</v>
      </c>
      <c r="R180" s="4">
        <f>(30/2.5)*2</f>
        <v>24</v>
      </c>
      <c r="S180" s="4">
        <f>(7.5/2.5)*2</f>
        <v>6</v>
      </c>
      <c r="T180" s="4">
        <f>(7.5/2.5)*2</f>
        <v>6</v>
      </c>
      <c r="U180" s="4">
        <f>(15/2.5)*2</f>
        <v>12</v>
      </c>
      <c r="V180" s="4">
        <f>(12.5/2.5)*2</f>
        <v>10</v>
      </c>
      <c r="W180" s="4">
        <f>(15/2.5)*2</f>
        <v>12</v>
      </c>
      <c r="X180" s="4">
        <f t="shared" si="25"/>
        <v>0</v>
      </c>
      <c r="Y180" s="4">
        <f>(30/2.5)*2</f>
        <v>24</v>
      </c>
      <c r="Z180" s="4">
        <f>(7.5/2.5)*2</f>
        <v>6</v>
      </c>
      <c r="AA180" s="4">
        <f>(7.5/2.5)*2</f>
        <v>6</v>
      </c>
      <c r="AB180" s="4">
        <f>(15/2.5)*2</f>
        <v>12</v>
      </c>
      <c r="AC180" s="4">
        <f>(12.5/2.5)*2</f>
        <v>10</v>
      </c>
      <c r="AD180" s="4">
        <f>(20/2.5)*2</f>
        <v>16</v>
      </c>
      <c r="AE180" s="4">
        <f>(7.5/2.5)*2</f>
        <v>6</v>
      </c>
      <c r="AF180" s="4">
        <v>10</v>
      </c>
      <c r="AG180" s="57"/>
      <c r="AH180" s="57"/>
      <c r="AI180" s="57" t="b">
        <v>1</v>
      </c>
      <c r="AJ180" s="57" t="b">
        <v>1</v>
      </c>
      <c r="AK180" s="57"/>
      <c r="AM180">
        <v>180</v>
      </c>
    </row>
    <row r="181" spans="1:39" x14ac:dyDescent="0.25">
      <c r="A181" s="4" t="s">
        <v>432</v>
      </c>
      <c r="B181" s="41" t="s">
        <v>178</v>
      </c>
      <c r="C181" s="4">
        <v>350</v>
      </c>
      <c r="D181" s="4"/>
      <c r="E181" s="4"/>
      <c r="F181" s="4"/>
      <c r="G181" s="4"/>
      <c r="H181" s="4">
        <v>360</v>
      </c>
      <c r="I181" s="4"/>
      <c r="J181" s="4"/>
      <c r="K181" s="4"/>
      <c r="L181" s="4"/>
      <c r="M181" s="4"/>
      <c r="N181" s="4">
        <v>1</v>
      </c>
      <c r="O181" s="4">
        <v>1</v>
      </c>
      <c r="P181" s="4">
        <v>0</v>
      </c>
      <c r="Q181" s="4">
        <v>0</v>
      </c>
      <c r="R181" s="4">
        <f>(17.5/2.5)*2</f>
        <v>14</v>
      </c>
      <c r="S181" s="4">
        <f>(7.5/2.5)*2</f>
        <v>6</v>
      </c>
      <c r="T181" s="4">
        <f>(7.5/2.5)*2</f>
        <v>6</v>
      </c>
      <c r="U181" s="4">
        <f>(27.5/2.5)*2</f>
        <v>22</v>
      </c>
      <c r="V181" s="4">
        <f>(10/2.5)*2</f>
        <v>8</v>
      </c>
      <c r="W181" s="4">
        <f>(17.5/2.5)*2</f>
        <v>14</v>
      </c>
      <c r="X181" s="4">
        <f t="shared" si="25"/>
        <v>0</v>
      </c>
      <c r="Y181" s="4">
        <f>(17.5/2.5)*2</f>
        <v>14</v>
      </c>
      <c r="Z181" s="4">
        <f>(7.5/2.5)*2</f>
        <v>6</v>
      </c>
      <c r="AA181" s="4">
        <f>(7.5/2.5)*2</f>
        <v>6</v>
      </c>
      <c r="AB181" s="4">
        <f>(27.5/2.5)*2</f>
        <v>22</v>
      </c>
      <c r="AC181" s="4">
        <f>(10/2.5)*2</f>
        <v>8</v>
      </c>
      <c r="AD181" s="4">
        <f>(30/2.5)*2</f>
        <v>24</v>
      </c>
      <c r="AE181" s="4">
        <f>(0/2.5)*2</f>
        <v>0</v>
      </c>
      <c r="AF181" s="4">
        <v>10</v>
      </c>
      <c r="AG181" s="57"/>
      <c r="AH181" s="57"/>
      <c r="AI181" s="57" t="b">
        <v>1</v>
      </c>
      <c r="AJ181" s="57" t="b">
        <v>1</v>
      </c>
      <c r="AK181" s="57"/>
      <c r="AM181">
        <v>181</v>
      </c>
    </row>
    <row r="182" spans="1:39" x14ac:dyDescent="0.25">
      <c r="A182" s="4" t="s">
        <v>433</v>
      </c>
      <c r="B182" s="41" t="s">
        <v>178</v>
      </c>
      <c r="C182" s="4">
        <v>322</v>
      </c>
      <c r="D182" s="4">
        <v>20</v>
      </c>
      <c r="E182" s="4"/>
      <c r="F182" s="4"/>
      <c r="G182" s="4"/>
      <c r="H182" s="4"/>
      <c r="I182" s="4">
        <v>240</v>
      </c>
      <c r="J182" s="4"/>
      <c r="K182" s="4"/>
      <c r="L182" s="4"/>
      <c r="M182" s="4"/>
      <c r="N182" s="4">
        <v>0</v>
      </c>
      <c r="O182" s="4">
        <v>0</v>
      </c>
      <c r="P182" s="4">
        <v>0</v>
      </c>
      <c r="Q182" s="4">
        <v>0</v>
      </c>
      <c r="R182" s="4">
        <f>(22.5/2.5)*2</f>
        <v>18</v>
      </c>
      <c r="S182" s="4">
        <f>(20/2.5)*2</f>
        <v>16</v>
      </c>
      <c r="T182" s="4">
        <f>(7.5/2.5)*2</f>
        <v>6</v>
      </c>
      <c r="U182" s="4">
        <f>(7.5/2.5)*2</f>
        <v>6</v>
      </c>
      <c r="V182" s="4">
        <f>(20/2.5)*2</f>
        <v>16</v>
      </c>
      <c r="W182" s="4">
        <f>(22.5/2.5)*2</f>
        <v>18</v>
      </c>
      <c r="X182" s="4">
        <f t="shared" si="25"/>
        <v>0</v>
      </c>
      <c r="Y182" s="4">
        <f>(22.5/2.5)*2</f>
        <v>18</v>
      </c>
      <c r="Z182" s="4">
        <f>(20/2.5)*2</f>
        <v>16</v>
      </c>
      <c r="AA182" s="4">
        <f>(7.5/2.5)*2</f>
        <v>6</v>
      </c>
      <c r="AB182" s="4">
        <f>(7.5/2.5)*2</f>
        <v>6</v>
      </c>
      <c r="AC182" s="4">
        <f>(20/2.5)*2</f>
        <v>16</v>
      </c>
      <c r="AD182" s="4">
        <f>(22.5/2.5)*2</f>
        <v>18</v>
      </c>
      <c r="AE182" s="4">
        <f>(0/2.5)*2</f>
        <v>0</v>
      </c>
      <c r="AF182" s="4">
        <v>10</v>
      </c>
      <c r="AG182" s="57"/>
      <c r="AH182" s="57"/>
      <c r="AI182" s="57"/>
      <c r="AJ182" s="57"/>
      <c r="AK182" s="57"/>
      <c r="AM182">
        <v>182</v>
      </c>
    </row>
    <row r="183" spans="1:39" x14ac:dyDescent="0.25">
      <c r="A183" s="4" t="s">
        <v>438</v>
      </c>
      <c r="B183" s="41" t="s">
        <v>178</v>
      </c>
      <c r="C183" s="4">
        <v>392</v>
      </c>
      <c r="D183" s="4">
        <v>-15</v>
      </c>
      <c r="E183" s="4"/>
      <c r="F183" s="4"/>
      <c r="G183" s="4"/>
      <c r="H183" s="4"/>
      <c r="I183" s="4"/>
      <c r="J183" s="4"/>
      <c r="K183" s="4">
        <v>120</v>
      </c>
      <c r="L183" s="4">
        <v>60</v>
      </c>
      <c r="M183" s="4"/>
      <c r="N183" s="4">
        <v>0</v>
      </c>
      <c r="O183" s="4">
        <v>0</v>
      </c>
      <c r="P183" s="4">
        <v>0</v>
      </c>
      <c r="Q183" s="4">
        <v>2</v>
      </c>
      <c r="R183" s="4">
        <f>(20/2.5)*2</f>
        <v>16</v>
      </c>
      <c r="S183" s="4">
        <f>(25/2.5)*2</f>
        <v>20</v>
      </c>
      <c r="T183" s="4">
        <f>(10/2.5)*2</f>
        <v>8</v>
      </c>
      <c r="U183" s="4">
        <f>(10/2.5)*2</f>
        <v>8</v>
      </c>
      <c r="V183" s="4">
        <f>(35/2.5)*2</f>
        <v>28</v>
      </c>
      <c r="W183" s="4">
        <f>(0/2.5)*2</f>
        <v>0</v>
      </c>
      <c r="X183" s="4">
        <f t="shared" si="25"/>
        <v>0</v>
      </c>
      <c r="Y183" s="4">
        <f>(20/2.5)*2</f>
        <v>16</v>
      </c>
      <c r="Z183" s="4">
        <f>(25/2.5)*2</f>
        <v>20</v>
      </c>
      <c r="AA183" s="4">
        <f>(10/2.5)*2</f>
        <v>8</v>
      </c>
      <c r="AB183" s="4">
        <f>(10/2.5)*2</f>
        <v>8</v>
      </c>
      <c r="AC183" s="4">
        <f>(35/2.5)*2</f>
        <v>28</v>
      </c>
      <c r="AD183" s="4">
        <f>(0/2.5)*2</f>
        <v>0</v>
      </c>
      <c r="AE183" s="4">
        <f>(0/2.5)*2</f>
        <v>0</v>
      </c>
      <c r="AF183" s="4">
        <v>10</v>
      </c>
      <c r="AG183" s="57"/>
      <c r="AH183" s="57"/>
      <c r="AI183" s="57"/>
      <c r="AJ183" s="57"/>
      <c r="AK183" s="57"/>
      <c r="AM183">
        <v>183</v>
      </c>
    </row>
    <row r="184" spans="1:39" x14ac:dyDescent="0.25">
      <c r="A184" s="4" t="s">
        <v>440</v>
      </c>
      <c r="B184" s="41" t="s">
        <v>178</v>
      </c>
      <c r="C184" s="4">
        <v>350</v>
      </c>
      <c r="D184" s="4">
        <v>10</v>
      </c>
      <c r="E184" s="4"/>
      <c r="F184" s="4">
        <v>210</v>
      </c>
      <c r="G184" s="4"/>
      <c r="H184" s="4"/>
      <c r="I184" s="4"/>
      <c r="J184" s="4"/>
      <c r="K184" s="4"/>
      <c r="L184" s="4"/>
      <c r="M184" s="4"/>
      <c r="N184" s="4">
        <v>0</v>
      </c>
      <c r="O184" s="4">
        <v>0</v>
      </c>
      <c r="P184" s="4">
        <v>1</v>
      </c>
      <c r="Q184" s="4">
        <v>0</v>
      </c>
      <c r="R184" s="4">
        <f>(32.5/2.5)*2</f>
        <v>26</v>
      </c>
      <c r="S184" s="4">
        <f>(7.5/2.5)*2</f>
        <v>6</v>
      </c>
      <c r="T184" s="4">
        <f>(7.5/2.5)*2</f>
        <v>6</v>
      </c>
      <c r="U184" s="4">
        <f>(15/2.5)*2</f>
        <v>12</v>
      </c>
      <c r="V184" s="4">
        <f>(12.5/2.5)*2</f>
        <v>10</v>
      </c>
      <c r="W184" s="4">
        <f>(12.5/2.5)*2</f>
        <v>10</v>
      </c>
      <c r="X184" s="4">
        <f t="shared" si="25"/>
        <v>0</v>
      </c>
      <c r="Y184" s="4">
        <f>(32.5/2.5)*2</f>
        <v>26</v>
      </c>
      <c r="Z184" s="4">
        <f>(7.5/2.5)*2</f>
        <v>6</v>
      </c>
      <c r="AA184" s="4">
        <f>(7.5/2.5)*2</f>
        <v>6</v>
      </c>
      <c r="AB184" s="4">
        <f>(15/2.5)*2</f>
        <v>12</v>
      </c>
      <c r="AC184" s="4">
        <f>(12.5/2.5)*2</f>
        <v>10</v>
      </c>
      <c r="AD184" s="4">
        <f>(17.5/2.5)*2</f>
        <v>14</v>
      </c>
      <c r="AE184" s="4">
        <f>(7.5/2.5)*2</f>
        <v>6</v>
      </c>
      <c r="AF184" s="4">
        <v>10</v>
      </c>
      <c r="AG184" s="57" t="s">
        <v>691</v>
      </c>
      <c r="AH184" s="57"/>
      <c r="AI184" s="57"/>
      <c r="AJ184" s="57"/>
      <c r="AK184" s="57"/>
      <c r="AM184">
        <v>184</v>
      </c>
    </row>
    <row r="185" spans="1:39" x14ac:dyDescent="0.25">
      <c r="A185" s="4" t="s">
        <v>1066</v>
      </c>
      <c r="B185" s="41" t="s">
        <v>178</v>
      </c>
      <c r="C185" s="4">
        <v>308</v>
      </c>
      <c r="D185" s="4"/>
      <c r="E185" s="4"/>
      <c r="F185" s="4"/>
      <c r="G185" s="4"/>
      <c r="H185" s="4"/>
      <c r="I185" s="4"/>
      <c r="J185" s="4"/>
      <c r="K185" s="4">
        <v>180</v>
      </c>
      <c r="L185" s="4"/>
      <c r="M185" s="4"/>
      <c r="N185" s="4">
        <v>0</v>
      </c>
      <c r="O185" s="4">
        <v>0</v>
      </c>
      <c r="P185" s="4">
        <v>0</v>
      </c>
      <c r="Q185" s="4">
        <v>0</v>
      </c>
      <c r="R185" s="4">
        <f>(30/2.5)*2</f>
        <v>24</v>
      </c>
      <c r="S185" s="4">
        <f>(7.5/2.5)*2</f>
        <v>6</v>
      </c>
      <c r="T185" s="4">
        <f>(15/2.5)*2</f>
        <v>12</v>
      </c>
      <c r="U185" s="4">
        <f>(20/2.5)*2</f>
        <v>16</v>
      </c>
      <c r="V185" s="4">
        <f>(10/2.5)*2</f>
        <v>8</v>
      </c>
      <c r="W185" s="4">
        <f>(17.5/2.5)*2</f>
        <v>14</v>
      </c>
      <c r="X185" s="4">
        <f t="shared" si="25"/>
        <v>0</v>
      </c>
      <c r="Y185" s="4">
        <f>(30/2.5)*2</f>
        <v>24</v>
      </c>
      <c r="Z185" s="4">
        <f>(7.5/2.5)*2</f>
        <v>6</v>
      </c>
      <c r="AA185" s="4">
        <f>(15/2.5)*2</f>
        <v>12</v>
      </c>
      <c r="AB185" s="4">
        <f>(20/2.5)*2</f>
        <v>16</v>
      </c>
      <c r="AC185" s="4">
        <f>(10/2.5)*2</f>
        <v>8</v>
      </c>
      <c r="AD185" s="4">
        <f>(17.5/2.5)*2</f>
        <v>14</v>
      </c>
      <c r="AE185" s="4">
        <f t="shared" ref="AE185:AE197" si="28">(0/2.5)*2</f>
        <v>0</v>
      </c>
      <c r="AF185" s="4">
        <v>10</v>
      </c>
      <c r="AG185" s="57" t="s">
        <v>691</v>
      </c>
      <c r="AH185" s="57"/>
      <c r="AI185" s="56" t="b">
        <v>1</v>
      </c>
      <c r="AJ185" s="56" t="b">
        <v>1</v>
      </c>
      <c r="AK185" s="57"/>
      <c r="AM185">
        <v>185</v>
      </c>
    </row>
    <row r="186" spans="1:39" x14ac:dyDescent="0.25">
      <c r="A186" s="4" t="s">
        <v>1067</v>
      </c>
      <c r="B186" s="41" t="s">
        <v>178</v>
      </c>
      <c r="C186" s="4">
        <v>350</v>
      </c>
      <c r="D186" s="4"/>
      <c r="E186" s="4"/>
      <c r="F186" s="4"/>
      <c r="G186" s="4">
        <v>270</v>
      </c>
      <c r="H186" s="4"/>
      <c r="I186" s="4"/>
      <c r="J186" s="4"/>
      <c r="K186" s="4"/>
      <c r="L186" s="4"/>
      <c r="M186" s="4"/>
      <c r="N186" s="4">
        <v>0</v>
      </c>
      <c r="O186" s="4">
        <v>0</v>
      </c>
      <c r="P186" s="4">
        <v>0</v>
      </c>
      <c r="Q186" s="4">
        <v>0</v>
      </c>
      <c r="R186" s="4">
        <f>(20/2.5)*2</f>
        <v>16</v>
      </c>
      <c r="S186" s="4">
        <f>(12.5/2.5)*2</f>
        <v>10</v>
      </c>
      <c r="T186" s="4">
        <f>(15/2.5)*2</f>
        <v>12</v>
      </c>
      <c r="U186" s="4">
        <f>(30/2.5)*2</f>
        <v>24</v>
      </c>
      <c r="V186" s="4">
        <f>(12.5/2.5)*2</f>
        <v>10</v>
      </c>
      <c r="W186" s="4">
        <f>(10/2.5)*2</f>
        <v>8</v>
      </c>
      <c r="X186" s="4">
        <f t="shared" si="25"/>
        <v>0</v>
      </c>
      <c r="Y186" s="4">
        <f>(20/2.5)*2</f>
        <v>16</v>
      </c>
      <c r="Z186" s="4">
        <f>(12.5/2.5)*2</f>
        <v>10</v>
      </c>
      <c r="AA186" s="4">
        <f>(15/2.5)*2</f>
        <v>12</v>
      </c>
      <c r="AB186" s="4">
        <f>(30/2.5)*2</f>
        <v>24</v>
      </c>
      <c r="AC186" s="4">
        <f>(12.5/2.5)*2</f>
        <v>10</v>
      </c>
      <c r="AD186" s="4">
        <f>(10/2.5)*2</f>
        <v>8</v>
      </c>
      <c r="AE186" s="4">
        <f t="shared" si="28"/>
        <v>0</v>
      </c>
      <c r="AF186" s="4">
        <v>10</v>
      </c>
      <c r="AG186" s="57" t="s">
        <v>691</v>
      </c>
      <c r="AH186" s="57"/>
      <c r="AI186" s="56" t="b">
        <v>1</v>
      </c>
      <c r="AJ186" s="56" t="b">
        <v>1</v>
      </c>
      <c r="AK186" s="57"/>
      <c r="AM186">
        <v>186</v>
      </c>
    </row>
    <row r="187" spans="1:39" x14ac:dyDescent="0.25">
      <c r="A187" s="4" t="s">
        <v>1068</v>
      </c>
      <c r="B187" s="41" t="s">
        <v>178</v>
      </c>
      <c r="C187" s="4">
        <v>322</v>
      </c>
      <c r="D187" s="4">
        <v>20</v>
      </c>
      <c r="E187" s="4">
        <v>240</v>
      </c>
      <c r="F187" s="4"/>
      <c r="G187" s="4"/>
      <c r="H187" s="4"/>
      <c r="I187" s="4"/>
      <c r="J187" s="4"/>
      <c r="K187" s="4"/>
      <c r="L187" s="4"/>
      <c r="M187" s="4"/>
      <c r="N187" s="4">
        <v>0</v>
      </c>
      <c r="O187" s="4">
        <v>0</v>
      </c>
      <c r="P187" s="4">
        <v>0</v>
      </c>
      <c r="Q187" s="4">
        <v>0</v>
      </c>
      <c r="R187" s="4">
        <f>(12.5/2.5)*2</f>
        <v>10</v>
      </c>
      <c r="S187" s="4">
        <f>(30/2.5)*2</f>
        <v>24</v>
      </c>
      <c r="T187" s="4">
        <f>(20/2.5)*2</f>
        <v>16</v>
      </c>
      <c r="U187" s="4">
        <f>(15/2.5)*2</f>
        <v>12</v>
      </c>
      <c r="V187" s="4">
        <f>(10/2.5)*2</f>
        <v>8</v>
      </c>
      <c r="W187" s="4">
        <f>(12.5/2.5)*2</f>
        <v>10</v>
      </c>
      <c r="X187" s="4">
        <f t="shared" si="25"/>
        <v>0</v>
      </c>
      <c r="Y187" s="4">
        <f>(12.5/2.5)*2</f>
        <v>10</v>
      </c>
      <c r="Z187" s="4">
        <f>(30/2.5)*2</f>
        <v>24</v>
      </c>
      <c r="AA187" s="4">
        <f>(20/2.5)*2</f>
        <v>16</v>
      </c>
      <c r="AB187" s="4">
        <f>(15/2.5)*2</f>
        <v>12</v>
      </c>
      <c r="AC187" s="4">
        <f>(10/2.5)*2</f>
        <v>8</v>
      </c>
      <c r="AD187" s="4">
        <f>(12.5/2.5)*2</f>
        <v>10</v>
      </c>
      <c r="AE187" s="4">
        <f t="shared" si="28"/>
        <v>0</v>
      </c>
      <c r="AF187" s="4">
        <v>10</v>
      </c>
      <c r="AG187" s="57" t="s">
        <v>691</v>
      </c>
      <c r="AH187" s="57"/>
      <c r="AI187" s="56" t="b">
        <v>1</v>
      </c>
      <c r="AJ187" s="56" t="b">
        <v>1</v>
      </c>
      <c r="AK187" s="57"/>
      <c r="AM187">
        <v>187</v>
      </c>
    </row>
    <row r="188" spans="1:39" x14ac:dyDescent="0.25">
      <c r="A188" s="4" t="s">
        <v>1069</v>
      </c>
      <c r="B188" s="41" t="s">
        <v>178</v>
      </c>
      <c r="C188" s="4">
        <v>392</v>
      </c>
      <c r="D188" s="4">
        <v>-10</v>
      </c>
      <c r="E188" s="4"/>
      <c r="F188" s="4"/>
      <c r="G188" s="4"/>
      <c r="H188" s="4">
        <v>240</v>
      </c>
      <c r="I188" s="4"/>
      <c r="J188" s="4"/>
      <c r="K188" s="4"/>
      <c r="L188" s="4"/>
      <c r="M188" s="4"/>
      <c r="N188" s="4">
        <v>0</v>
      </c>
      <c r="O188" s="4">
        <v>0</v>
      </c>
      <c r="P188" s="4">
        <v>0</v>
      </c>
      <c r="Q188" s="4">
        <v>0</v>
      </c>
      <c r="R188" s="4">
        <f>(25/2.5)*2</f>
        <v>20</v>
      </c>
      <c r="S188" s="4">
        <f>(12.5/2.5)*2</f>
        <v>10</v>
      </c>
      <c r="T188" s="4">
        <f>(15/2.5)*2</f>
        <v>12</v>
      </c>
      <c r="U188" s="4">
        <f>(30/2.5)*2</f>
        <v>24</v>
      </c>
      <c r="V188" s="4">
        <f>(12.5/2.5)*2</f>
        <v>10</v>
      </c>
      <c r="W188" s="4">
        <f>(5/2.5)*2</f>
        <v>4</v>
      </c>
      <c r="X188" s="4">
        <f t="shared" si="25"/>
        <v>0</v>
      </c>
      <c r="Y188" s="4">
        <f>(25/2.5)*2</f>
        <v>20</v>
      </c>
      <c r="Z188" s="4">
        <f>(12.5/2.5)*2</f>
        <v>10</v>
      </c>
      <c r="AA188" s="4">
        <f>(15/2.5)*2</f>
        <v>12</v>
      </c>
      <c r="AB188" s="4">
        <f>(30/2.5)*2</f>
        <v>24</v>
      </c>
      <c r="AC188" s="4">
        <f>(12.5/2.5)*2</f>
        <v>10</v>
      </c>
      <c r="AD188" s="4">
        <f>(5/2.5)*2</f>
        <v>4</v>
      </c>
      <c r="AE188" s="4">
        <f t="shared" si="28"/>
        <v>0</v>
      </c>
      <c r="AF188" s="4">
        <v>10</v>
      </c>
      <c r="AG188" s="57" t="s">
        <v>691</v>
      </c>
      <c r="AH188" s="57"/>
      <c r="AI188" s="56" t="b">
        <v>1</v>
      </c>
      <c r="AJ188" s="56" t="b">
        <v>1</v>
      </c>
      <c r="AK188" s="57"/>
      <c r="AM188">
        <v>188</v>
      </c>
    </row>
    <row r="189" spans="1:39" x14ac:dyDescent="0.25">
      <c r="A189" s="4" t="s">
        <v>1070</v>
      </c>
      <c r="B189" s="41" t="s">
        <v>178</v>
      </c>
      <c r="C189" s="4">
        <v>364</v>
      </c>
      <c r="D189" s="4"/>
      <c r="E189" s="4">
        <v>240</v>
      </c>
      <c r="F189" s="4"/>
      <c r="G189" s="4"/>
      <c r="H189" s="4"/>
      <c r="I189" s="4"/>
      <c r="J189" s="4"/>
      <c r="K189" s="4"/>
      <c r="L189" s="4"/>
      <c r="M189" s="4"/>
      <c r="N189" s="4">
        <v>1</v>
      </c>
      <c r="O189" s="4">
        <v>0</v>
      </c>
      <c r="P189" s="4">
        <v>0</v>
      </c>
      <c r="Q189" s="4">
        <v>0</v>
      </c>
      <c r="R189" s="4">
        <f>(50/2.5)*2</f>
        <v>40</v>
      </c>
      <c r="S189" s="4">
        <f>(17.5/2.5)*2</f>
        <v>14</v>
      </c>
      <c r="T189" s="4">
        <f>(5/2.5)*2</f>
        <v>4</v>
      </c>
      <c r="U189" s="4">
        <f>(5/2.5)*2</f>
        <v>4</v>
      </c>
      <c r="V189" s="4">
        <f>(12.5/2.5)*2</f>
        <v>10</v>
      </c>
      <c r="W189" s="4">
        <f>(10/2.5)*2</f>
        <v>8</v>
      </c>
      <c r="X189" s="4">
        <f t="shared" si="25"/>
        <v>0</v>
      </c>
      <c r="Y189" s="4">
        <f>(50/2.5)*2</f>
        <v>40</v>
      </c>
      <c r="Z189" s="4">
        <f>(17.5/2.5)*2</f>
        <v>14</v>
      </c>
      <c r="AA189" s="4">
        <f>(5/2.5)*2</f>
        <v>4</v>
      </c>
      <c r="AB189" s="4">
        <f>(5/2.5)*2</f>
        <v>4</v>
      </c>
      <c r="AC189" s="4">
        <f>(12.5/2.5)*2</f>
        <v>10</v>
      </c>
      <c r="AD189" s="4">
        <f>(10/2.5)*2</f>
        <v>8</v>
      </c>
      <c r="AE189" s="4">
        <f t="shared" si="28"/>
        <v>0</v>
      </c>
      <c r="AF189" s="4">
        <v>10</v>
      </c>
      <c r="AG189" s="57"/>
      <c r="AH189" s="57"/>
      <c r="AI189" s="56" t="b">
        <v>1</v>
      </c>
      <c r="AJ189" s="56" t="b">
        <v>1</v>
      </c>
      <c r="AK189" s="57"/>
      <c r="AM189">
        <v>189</v>
      </c>
    </row>
    <row r="190" spans="1:39" x14ac:dyDescent="0.25">
      <c r="A190" s="4" t="s">
        <v>1071</v>
      </c>
      <c r="B190" s="41" t="s">
        <v>178</v>
      </c>
      <c r="C190" s="4">
        <v>364</v>
      </c>
      <c r="D190" s="4">
        <v>-20</v>
      </c>
      <c r="E190" s="4"/>
      <c r="F190" s="4"/>
      <c r="G190" s="4"/>
      <c r="H190" s="4"/>
      <c r="I190" s="4"/>
      <c r="J190" s="4"/>
      <c r="K190" s="4"/>
      <c r="L190" s="4"/>
      <c r="M190" s="4">
        <v>210</v>
      </c>
      <c r="N190" s="4">
        <v>0</v>
      </c>
      <c r="O190" s="4">
        <v>0</v>
      </c>
      <c r="P190" s="4">
        <v>0</v>
      </c>
      <c r="Q190" s="4">
        <v>0</v>
      </c>
      <c r="R190" s="4">
        <f>(27.5/2.5)*2</f>
        <v>22</v>
      </c>
      <c r="S190" s="4">
        <f>(30/2.5)*2</f>
        <v>24</v>
      </c>
      <c r="T190" s="4">
        <f>(10/2.5)*2</f>
        <v>8</v>
      </c>
      <c r="U190" s="4">
        <f>(12.5/2.5)*2</f>
        <v>10</v>
      </c>
      <c r="V190" s="4">
        <f>(20/2.5)*2</f>
        <v>16</v>
      </c>
      <c r="W190" s="4">
        <f>(0/2.5)*2</f>
        <v>0</v>
      </c>
      <c r="X190" s="4">
        <f t="shared" si="25"/>
        <v>0</v>
      </c>
      <c r="Y190" s="4">
        <f>(27.5/2.5)*2</f>
        <v>22</v>
      </c>
      <c r="Z190" s="4">
        <f>(30/2.5)*2</f>
        <v>24</v>
      </c>
      <c r="AA190" s="4">
        <f>(10/2.5)*2</f>
        <v>8</v>
      </c>
      <c r="AB190" s="4">
        <f>(12.5/2.5)*2</f>
        <v>10</v>
      </c>
      <c r="AC190" s="4">
        <f>(20/2.5)*2</f>
        <v>16</v>
      </c>
      <c r="AD190" s="4">
        <f>(0/2.5)*2</f>
        <v>0</v>
      </c>
      <c r="AE190" s="4">
        <f t="shared" si="28"/>
        <v>0</v>
      </c>
      <c r="AF190" s="4">
        <v>10</v>
      </c>
      <c r="AG190" s="57"/>
      <c r="AH190" s="57"/>
      <c r="AI190" s="56" t="b">
        <v>1</v>
      </c>
      <c r="AJ190" s="56" t="b">
        <v>1</v>
      </c>
      <c r="AK190" s="57"/>
      <c r="AM190">
        <v>190</v>
      </c>
    </row>
    <row r="191" spans="1:39" x14ac:dyDescent="0.25">
      <c r="A191" s="4" t="s">
        <v>1065</v>
      </c>
      <c r="B191" s="41" t="s">
        <v>178</v>
      </c>
      <c r="C191" s="4">
        <v>350</v>
      </c>
      <c r="D191" s="4">
        <v>-20</v>
      </c>
      <c r="E191" s="4">
        <v>300</v>
      </c>
      <c r="F191" s="4"/>
      <c r="G191" s="4"/>
      <c r="H191" s="4"/>
      <c r="I191" s="4"/>
      <c r="J191" s="4"/>
      <c r="K191" s="4"/>
      <c r="L191" s="4"/>
      <c r="M191" s="4"/>
      <c r="N191" s="4">
        <v>0</v>
      </c>
      <c r="O191" s="4">
        <v>0</v>
      </c>
      <c r="P191" s="4">
        <v>0</v>
      </c>
      <c r="Q191" s="4">
        <v>0</v>
      </c>
      <c r="R191" s="4">
        <f>(27.5/2.5)*2</f>
        <v>22</v>
      </c>
      <c r="S191" s="4">
        <f>(30/2.5)*2</f>
        <v>24</v>
      </c>
      <c r="T191" s="4">
        <f>(10/2.5)*2</f>
        <v>8</v>
      </c>
      <c r="U191" s="4">
        <f>(12.5/2.5)*2</f>
        <v>10</v>
      </c>
      <c r="V191" s="4">
        <f>(20/2.5)*2</f>
        <v>16</v>
      </c>
      <c r="W191" s="4">
        <f>(0/2.5)*2</f>
        <v>0</v>
      </c>
      <c r="X191" s="4">
        <f t="shared" si="25"/>
        <v>0</v>
      </c>
      <c r="Y191" s="4">
        <f>(27.5/2.5)*2</f>
        <v>22</v>
      </c>
      <c r="Z191" s="4">
        <f>(30/2.5)*2</f>
        <v>24</v>
      </c>
      <c r="AA191" s="4">
        <f>(10/2.5)*2</f>
        <v>8</v>
      </c>
      <c r="AB191" s="4">
        <f>(12.5/2.5)*2</f>
        <v>10</v>
      </c>
      <c r="AC191" s="4">
        <f>(20/2.5)*2</f>
        <v>16</v>
      </c>
      <c r="AD191" s="4">
        <f>(0/2.5)*2</f>
        <v>0</v>
      </c>
      <c r="AE191" s="4">
        <f t="shared" si="28"/>
        <v>0</v>
      </c>
      <c r="AF191" s="4">
        <v>10</v>
      </c>
      <c r="AG191" s="57"/>
      <c r="AH191" s="57"/>
      <c r="AI191" s="56" t="b">
        <v>1</v>
      </c>
      <c r="AJ191" s="56" t="b">
        <v>1</v>
      </c>
      <c r="AK191" s="57"/>
      <c r="AM191">
        <v>191</v>
      </c>
    </row>
    <row r="192" spans="1:39" x14ac:dyDescent="0.25">
      <c r="A192" s="4" t="s">
        <v>1064</v>
      </c>
      <c r="B192" s="41" t="s">
        <v>178</v>
      </c>
      <c r="C192" s="4">
        <v>322</v>
      </c>
      <c r="D192" s="4">
        <v>10</v>
      </c>
      <c r="E192" s="4"/>
      <c r="F192" s="4"/>
      <c r="G192" s="4">
        <v>240</v>
      </c>
      <c r="H192" s="4"/>
      <c r="I192" s="4"/>
      <c r="J192" s="4"/>
      <c r="K192" s="4"/>
      <c r="L192" s="4"/>
      <c r="M192" s="4"/>
      <c r="N192" s="4">
        <v>0</v>
      </c>
      <c r="O192" s="4">
        <v>0</v>
      </c>
      <c r="P192" s="4">
        <v>0</v>
      </c>
      <c r="Q192" s="4">
        <v>0</v>
      </c>
      <c r="R192" s="4">
        <f>(57.5/2.5)*2</f>
        <v>46</v>
      </c>
      <c r="S192" s="4">
        <f>(5/2.5)*2</f>
        <v>4</v>
      </c>
      <c r="T192" s="4">
        <f>(5/2.5)*2</f>
        <v>4</v>
      </c>
      <c r="U192" s="4">
        <f>(12.5/2.5)*2</f>
        <v>10</v>
      </c>
      <c r="V192" s="4">
        <f>(2.5/2.5)*2</f>
        <v>2</v>
      </c>
      <c r="W192" s="4">
        <f>(17.5/2.5)*2</f>
        <v>14</v>
      </c>
      <c r="X192" s="4">
        <f t="shared" si="25"/>
        <v>0</v>
      </c>
      <c r="Y192" s="4">
        <f>(57.5/2.5)*2</f>
        <v>46</v>
      </c>
      <c r="Z192" s="4">
        <f>(5/2.5)*2</f>
        <v>4</v>
      </c>
      <c r="AA192" s="4">
        <f>(5/2.5)*2</f>
        <v>4</v>
      </c>
      <c r="AB192" s="4">
        <f>(12.5/2.5)*2</f>
        <v>10</v>
      </c>
      <c r="AC192" s="4">
        <f>(2.5/2.5)*2</f>
        <v>2</v>
      </c>
      <c r="AD192" s="4">
        <f>(17.5/2.5)*2</f>
        <v>14</v>
      </c>
      <c r="AE192" s="4">
        <f t="shared" si="28"/>
        <v>0</v>
      </c>
      <c r="AF192" s="4">
        <v>10</v>
      </c>
      <c r="AG192" s="57"/>
      <c r="AH192" s="57"/>
      <c r="AI192" s="56" t="b">
        <v>1</v>
      </c>
      <c r="AJ192" s="56" t="b">
        <v>1</v>
      </c>
      <c r="AK192" s="57"/>
      <c r="AM192">
        <v>192</v>
      </c>
    </row>
    <row r="193" spans="1:39" x14ac:dyDescent="0.25">
      <c r="A193" s="4" t="s">
        <v>1063</v>
      </c>
      <c r="B193" s="41" t="s">
        <v>178</v>
      </c>
      <c r="C193" s="4">
        <v>308</v>
      </c>
      <c r="D193" s="4">
        <v>10</v>
      </c>
      <c r="E193" s="4"/>
      <c r="F193" s="4">
        <v>270</v>
      </c>
      <c r="G193" s="4"/>
      <c r="H193" s="4"/>
      <c r="I193" s="4"/>
      <c r="J193" s="4"/>
      <c r="K193" s="4"/>
      <c r="L193" s="4"/>
      <c r="M193" s="4"/>
      <c r="N193" s="4">
        <v>0</v>
      </c>
      <c r="O193" s="4">
        <v>0</v>
      </c>
      <c r="P193" s="4">
        <v>0</v>
      </c>
      <c r="Q193" s="4">
        <v>0</v>
      </c>
      <c r="R193" s="4">
        <f>(42.5/2.5)*2</f>
        <v>34</v>
      </c>
      <c r="S193" s="4">
        <f>(25/2.5)*2</f>
        <v>20</v>
      </c>
      <c r="T193" s="4">
        <f>(7.5/2.5)*2</f>
        <v>6</v>
      </c>
      <c r="U193" s="4">
        <f>(7.5/2.5)*2</f>
        <v>6</v>
      </c>
      <c r="V193" s="4">
        <f>(10/2.5)*2</f>
        <v>8</v>
      </c>
      <c r="W193" s="4">
        <f>(7.5/2.5)*2</f>
        <v>6</v>
      </c>
      <c r="X193" s="4">
        <f t="shared" si="25"/>
        <v>0</v>
      </c>
      <c r="Y193" s="4">
        <f>(42.5/2.5)*2</f>
        <v>34</v>
      </c>
      <c r="Z193" s="4">
        <f>(25/2.5)*2</f>
        <v>20</v>
      </c>
      <c r="AA193" s="4">
        <f>(7.5/2.5)*2</f>
        <v>6</v>
      </c>
      <c r="AB193" s="4">
        <f>(7.5/2.5)*2</f>
        <v>6</v>
      </c>
      <c r="AC193" s="4">
        <f>(10/2.5)*2</f>
        <v>8</v>
      </c>
      <c r="AD193" s="4">
        <f>(7.5/2.5)*2</f>
        <v>6</v>
      </c>
      <c r="AE193" s="4">
        <f t="shared" si="28"/>
        <v>0</v>
      </c>
      <c r="AF193" s="4">
        <v>10</v>
      </c>
      <c r="AG193" s="57"/>
      <c r="AH193" s="57"/>
      <c r="AI193" s="56" t="b">
        <v>1</v>
      </c>
      <c r="AJ193" s="56" t="b">
        <v>1</v>
      </c>
      <c r="AK193" s="57"/>
      <c r="AM193">
        <v>193</v>
      </c>
    </row>
    <row r="194" spans="1:39" x14ac:dyDescent="0.25">
      <c r="A194" s="4" t="s">
        <v>1062</v>
      </c>
      <c r="B194" s="41" t="s">
        <v>178</v>
      </c>
      <c r="C194" s="4">
        <v>336</v>
      </c>
      <c r="D194" s="4">
        <v>20</v>
      </c>
      <c r="E194" s="4"/>
      <c r="F194" s="4"/>
      <c r="G194" s="4"/>
      <c r="H194" s="4"/>
      <c r="I194" s="4"/>
      <c r="J194" s="4"/>
      <c r="K194" s="4"/>
      <c r="L194" s="4">
        <v>180</v>
      </c>
      <c r="M194" s="4"/>
      <c r="N194" s="4">
        <v>0</v>
      </c>
      <c r="O194" s="4">
        <v>0</v>
      </c>
      <c r="P194" s="4">
        <v>0</v>
      </c>
      <c r="Q194" s="4">
        <v>0</v>
      </c>
      <c r="R194" s="4">
        <f>(22.5/2.5)*2</f>
        <v>18</v>
      </c>
      <c r="S194" s="4">
        <f>(15/2.5)*2</f>
        <v>12</v>
      </c>
      <c r="T194" s="4">
        <f>(15/2.5)*2</f>
        <v>12</v>
      </c>
      <c r="U194" s="4">
        <f>(25/2.5)*2</f>
        <v>20</v>
      </c>
      <c r="V194" s="4">
        <f>(15/2.5)*2</f>
        <v>12</v>
      </c>
      <c r="W194" s="4">
        <f>(7.5/2.5)*2</f>
        <v>6</v>
      </c>
      <c r="X194" s="4">
        <f t="shared" si="25"/>
        <v>0</v>
      </c>
      <c r="Y194" s="4">
        <f>(22.5/2.5)*2</f>
        <v>18</v>
      </c>
      <c r="Z194" s="4">
        <f>(15/2.5)*2</f>
        <v>12</v>
      </c>
      <c r="AA194" s="4">
        <f>(15/2.5)*2</f>
        <v>12</v>
      </c>
      <c r="AB194" s="4">
        <f>(25/2.5)*2</f>
        <v>20</v>
      </c>
      <c r="AC194" s="4">
        <f>(15/2.5)*2</f>
        <v>12</v>
      </c>
      <c r="AD194" s="4">
        <f>(7.5/2.5)*2</f>
        <v>6</v>
      </c>
      <c r="AE194" s="4">
        <f t="shared" si="28"/>
        <v>0</v>
      </c>
      <c r="AF194" s="4">
        <v>10</v>
      </c>
      <c r="AG194" s="57"/>
      <c r="AH194" s="57"/>
      <c r="AI194" s="56" t="b">
        <v>1</v>
      </c>
      <c r="AJ194" s="56" t="b">
        <v>1</v>
      </c>
      <c r="AK194" s="57"/>
      <c r="AM194">
        <v>194</v>
      </c>
    </row>
    <row r="195" spans="1:39" x14ac:dyDescent="0.25">
      <c r="A195" s="4" t="s">
        <v>1061</v>
      </c>
      <c r="B195" s="41" t="s">
        <v>178</v>
      </c>
      <c r="C195" s="4">
        <v>270</v>
      </c>
      <c r="D195" s="4"/>
      <c r="E195" s="4"/>
      <c r="F195" s="4"/>
      <c r="G195" s="4"/>
      <c r="H195" s="4"/>
      <c r="I195" s="4"/>
      <c r="J195" s="4">
        <v>270</v>
      </c>
      <c r="K195" s="4"/>
      <c r="L195" s="4"/>
      <c r="M195" s="4"/>
      <c r="N195" s="4">
        <v>0</v>
      </c>
      <c r="O195" s="4">
        <v>0</v>
      </c>
      <c r="P195" s="4">
        <v>0</v>
      </c>
      <c r="Q195" s="4">
        <v>0</v>
      </c>
      <c r="R195" s="4">
        <f>(15/2.5)*2</f>
        <v>12</v>
      </c>
      <c r="S195" s="4">
        <f>(15/2.5)*2</f>
        <v>12</v>
      </c>
      <c r="T195" s="4">
        <f>(5/2.5)*2</f>
        <v>4</v>
      </c>
      <c r="U195" s="4">
        <f>(37.5/2.5)*2</f>
        <v>30</v>
      </c>
      <c r="V195" s="4">
        <f>(22.5/2.5)*2</f>
        <v>18</v>
      </c>
      <c r="W195" s="4">
        <f>(5/2.5)*2</f>
        <v>4</v>
      </c>
      <c r="X195" s="4">
        <f t="shared" si="25"/>
        <v>0</v>
      </c>
      <c r="Y195" s="4">
        <f>(15/2.5)*2</f>
        <v>12</v>
      </c>
      <c r="Z195" s="4">
        <f>(15/2.5)*2</f>
        <v>12</v>
      </c>
      <c r="AA195" s="4">
        <f>(5/2.5)*2</f>
        <v>4</v>
      </c>
      <c r="AB195" s="4">
        <f>(37.5/2.5)*2</f>
        <v>30</v>
      </c>
      <c r="AC195" s="4">
        <f>(22.5/2.5)*2</f>
        <v>18</v>
      </c>
      <c r="AD195" s="4">
        <f>(5/2.5)*2</f>
        <v>4</v>
      </c>
      <c r="AE195" s="4">
        <f t="shared" si="28"/>
        <v>0</v>
      </c>
      <c r="AF195" s="4">
        <v>10</v>
      </c>
      <c r="AG195" s="57" t="s">
        <v>691</v>
      </c>
      <c r="AH195" s="57"/>
      <c r="AI195" s="56" t="b">
        <v>1</v>
      </c>
      <c r="AJ195" s="56" t="b">
        <v>1</v>
      </c>
      <c r="AK195" s="57"/>
      <c r="AM195">
        <v>195</v>
      </c>
    </row>
    <row r="196" spans="1:39" x14ac:dyDescent="0.25">
      <c r="A196" s="4" t="s">
        <v>1060</v>
      </c>
      <c r="B196" s="41" t="s">
        <v>178</v>
      </c>
      <c r="C196" s="4">
        <v>350</v>
      </c>
      <c r="D196" s="4"/>
      <c r="E196" s="4"/>
      <c r="F196" s="4"/>
      <c r="G196" s="4"/>
      <c r="H196" s="4">
        <v>300</v>
      </c>
      <c r="I196" s="4"/>
      <c r="J196" s="4"/>
      <c r="K196" s="4"/>
      <c r="L196" s="4"/>
      <c r="M196" s="4"/>
      <c r="N196" s="4">
        <v>0</v>
      </c>
      <c r="O196" s="4">
        <v>0</v>
      </c>
      <c r="P196" s="4">
        <v>0</v>
      </c>
      <c r="Q196" s="4">
        <v>0</v>
      </c>
      <c r="R196" s="4">
        <f>(20/2.5)*2</f>
        <v>16</v>
      </c>
      <c r="S196" s="4">
        <f>(12.5/2.5)*2</f>
        <v>10</v>
      </c>
      <c r="T196" s="4">
        <f>(15/2.5)*2</f>
        <v>12</v>
      </c>
      <c r="U196" s="4">
        <f>(30/2.5)*2</f>
        <v>24</v>
      </c>
      <c r="V196" s="4">
        <f>(12.5/2.5)*2</f>
        <v>10</v>
      </c>
      <c r="W196" s="4">
        <f>(10/2.5)*2</f>
        <v>8</v>
      </c>
      <c r="X196" s="4">
        <f t="shared" si="25"/>
        <v>0</v>
      </c>
      <c r="Y196" s="4">
        <f>(20/2.5)*2</f>
        <v>16</v>
      </c>
      <c r="Z196" s="4">
        <f>(12.5/2.5)*2</f>
        <v>10</v>
      </c>
      <c r="AA196" s="4">
        <f>(15/2.5)*2</f>
        <v>12</v>
      </c>
      <c r="AB196" s="4">
        <f>(30/2.5)*2</f>
        <v>24</v>
      </c>
      <c r="AC196" s="4">
        <f>(12.5/2.5)*2</f>
        <v>10</v>
      </c>
      <c r="AD196" s="4">
        <f>(10/2.5)*2</f>
        <v>8</v>
      </c>
      <c r="AE196" s="4">
        <f t="shared" si="28"/>
        <v>0</v>
      </c>
      <c r="AF196" s="4">
        <v>10</v>
      </c>
      <c r="AG196" s="57" t="s">
        <v>691</v>
      </c>
      <c r="AH196" s="57"/>
      <c r="AI196" s="56" t="b">
        <v>1</v>
      </c>
      <c r="AJ196" s="56" t="b">
        <v>1</v>
      </c>
      <c r="AK196" s="57"/>
      <c r="AM196">
        <v>196</v>
      </c>
    </row>
    <row r="197" spans="1:39" x14ac:dyDescent="0.25">
      <c r="A197" s="4" t="s">
        <v>1059</v>
      </c>
      <c r="B197" s="41" t="s">
        <v>178</v>
      </c>
      <c r="C197" s="4">
        <v>364</v>
      </c>
      <c r="D197" s="4"/>
      <c r="E197" s="4"/>
      <c r="F197" s="4">
        <v>300</v>
      </c>
      <c r="G197" s="4"/>
      <c r="H197" s="4"/>
      <c r="I197" s="4"/>
      <c r="J197" s="4"/>
      <c r="K197" s="4"/>
      <c r="L197" s="4"/>
      <c r="M197" s="4"/>
      <c r="N197" s="4">
        <v>0</v>
      </c>
      <c r="O197" s="4">
        <v>0</v>
      </c>
      <c r="P197" s="4">
        <v>0</v>
      </c>
      <c r="Q197" s="4">
        <v>0</v>
      </c>
      <c r="R197" s="4">
        <f>(50/2.5)*2</f>
        <v>40</v>
      </c>
      <c r="S197" s="4">
        <f>(17.5/2.5)*2</f>
        <v>14</v>
      </c>
      <c r="T197" s="4">
        <f>(5/2.5)*2</f>
        <v>4</v>
      </c>
      <c r="U197" s="4">
        <f>(5/2.5)*2</f>
        <v>4</v>
      </c>
      <c r="V197" s="4">
        <f>(12.5/2.5)*2</f>
        <v>10</v>
      </c>
      <c r="W197" s="4">
        <f>(10/2.5)*2</f>
        <v>8</v>
      </c>
      <c r="X197" s="4">
        <f t="shared" si="25"/>
        <v>0</v>
      </c>
      <c r="Y197" s="4">
        <f>(50/2.5)*2</f>
        <v>40</v>
      </c>
      <c r="Z197" s="4">
        <f>(17.5/2.5)*2</f>
        <v>14</v>
      </c>
      <c r="AA197" s="4">
        <f>(5/2.5)*2</f>
        <v>4</v>
      </c>
      <c r="AB197" s="4">
        <f>(5/2.5)*2</f>
        <v>4</v>
      </c>
      <c r="AC197" s="4">
        <f>(12.5/2.5)*2</f>
        <v>10</v>
      </c>
      <c r="AD197" s="4">
        <f>(10/2.5)*2</f>
        <v>8</v>
      </c>
      <c r="AE197" s="4">
        <f t="shared" si="28"/>
        <v>0</v>
      </c>
      <c r="AF197" s="4">
        <v>10</v>
      </c>
      <c r="AG197" s="57" t="s">
        <v>691</v>
      </c>
      <c r="AH197" s="57"/>
      <c r="AI197" s="56" t="b">
        <v>1</v>
      </c>
      <c r="AJ197" s="56" t="b">
        <v>1</v>
      </c>
      <c r="AK197" s="57"/>
      <c r="AM197">
        <v>197</v>
      </c>
    </row>
    <row r="198" spans="1:39" x14ac:dyDescent="0.25">
      <c r="A198" s="40" t="s">
        <v>273</v>
      </c>
      <c r="B198" s="41" t="s">
        <v>178</v>
      </c>
      <c r="C198" s="41">
        <v>364</v>
      </c>
      <c r="D198" s="41"/>
      <c r="E198" s="41"/>
      <c r="F198" s="41"/>
      <c r="G198" s="41"/>
      <c r="H198" s="41"/>
      <c r="I198" s="41"/>
      <c r="J198" s="41">
        <v>360</v>
      </c>
      <c r="K198" s="41"/>
      <c r="L198" s="41"/>
      <c r="M198" s="41"/>
      <c r="N198" s="41">
        <v>2</v>
      </c>
      <c r="O198" s="41">
        <v>0</v>
      </c>
      <c r="P198" s="41">
        <v>0</v>
      </c>
      <c r="Q198" s="41">
        <v>0</v>
      </c>
      <c r="R198" s="41">
        <f>(25/2.5)*2</f>
        <v>20</v>
      </c>
      <c r="S198" s="41">
        <f>(7.5/2.5)*2</f>
        <v>6</v>
      </c>
      <c r="T198" s="41">
        <f>(7.5/2.5)*2</f>
        <v>6</v>
      </c>
      <c r="U198" s="41">
        <f>(15/2.5)*2</f>
        <v>12</v>
      </c>
      <c r="V198" s="41">
        <f>(12.5/2.5)*2</f>
        <v>10</v>
      </c>
      <c r="W198" s="41">
        <f>(20/2.5)*2</f>
        <v>16</v>
      </c>
      <c r="X198" s="41">
        <f t="shared" si="25"/>
        <v>0</v>
      </c>
      <c r="Y198" s="41">
        <f>(25/2.5)*2</f>
        <v>20</v>
      </c>
      <c r="Z198" s="41">
        <f>(7.5/2.5)*2</f>
        <v>6</v>
      </c>
      <c r="AA198" s="41">
        <f>(7.5/2.5)*2</f>
        <v>6</v>
      </c>
      <c r="AB198" s="41">
        <f>(15/2.5)*2</f>
        <v>12</v>
      </c>
      <c r="AC198" s="41">
        <f>(12.5/2.5)*2</f>
        <v>10</v>
      </c>
      <c r="AD198" s="41">
        <f>(25/2.5)*2</f>
        <v>20</v>
      </c>
      <c r="AE198" s="41">
        <f>(7.5/2.5)*2</f>
        <v>6</v>
      </c>
      <c r="AF198" s="41">
        <v>11</v>
      </c>
      <c r="AG198" s="56" t="s">
        <v>691</v>
      </c>
      <c r="AH198" s="56"/>
      <c r="AI198" s="56" t="b">
        <v>1</v>
      </c>
      <c r="AJ198" s="56" t="b">
        <v>1</v>
      </c>
      <c r="AK198" s="56"/>
      <c r="AM198">
        <v>198</v>
      </c>
    </row>
    <row r="199" spans="1:39" x14ac:dyDescent="0.25">
      <c r="A199" s="40" t="s">
        <v>281</v>
      </c>
      <c r="B199" s="41" t="s">
        <v>178</v>
      </c>
      <c r="C199" s="41">
        <v>392</v>
      </c>
      <c r="D199" s="41"/>
      <c r="E199" s="41"/>
      <c r="F199" s="41"/>
      <c r="G199" s="41"/>
      <c r="H199" s="41"/>
      <c r="I199" s="41"/>
      <c r="J199" s="41"/>
      <c r="K199" s="41"/>
      <c r="L199" s="41"/>
      <c r="M199" s="41">
        <v>270</v>
      </c>
      <c r="N199" s="41">
        <v>0</v>
      </c>
      <c r="O199" s="41">
        <v>0</v>
      </c>
      <c r="P199" s="41">
        <v>1</v>
      </c>
      <c r="Q199" s="41">
        <v>0</v>
      </c>
      <c r="R199" s="41">
        <f>(15/2.5)*2</f>
        <v>12</v>
      </c>
      <c r="S199" s="41">
        <f>(25/2.5)*2</f>
        <v>20</v>
      </c>
      <c r="T199" s="41">
        <f>(10/2.5)*2</f>
        <v>8</v>
      </c>
      <c r="U199" s="41">
        <f>(12.5/2.5)*2</f>
        <v>10</v>
      </c>
      <c r="V199" s="41">
        <f>(25/2.5)*2</f>
        <v>20</v>
      </c>
      <c r="W199" s="41">
        <f>(0/2.5)*2</f>
        <v>0</v>
      </c>
      <c r="X199" s="41">
        <f t="shared" si="25"/>
        <v>0</v>
      </c>
      <c r="Y199" s="41">
        <f>(15/2.5)*2</f>
        <v>12</v>
      </c>
      <c r="Z199" s="41">
        <f>(25/2.5)*2</f>
        <v>20</v>
      </c>
      <c r="AA199" s="41">
        <f>(10/2.5)*2</f>
        <v>8</v>
      </c>
      <c r="AB199" s="41">
        <f>(12.5/2.5)*2</f>
        <v>10</v>
      </c>
      <c r="AC199" s="41">
        <f>(25/2.5)*2</f>
        <v>20</v>
      </c>
      <c r="AD199" s="41">
        <f>(12.5/2.5)*2</f>
        <v>10</v>
      </c>
      <c r="AE199" s="41">
        <f>(0/2.5)*2</f>
        <v>0</v>
      </c>
      <c r="AF199" s="41">
        <v>11</v>
      </c>
      <c r="AG199" s="56" t="s">
        <v>691</v>
      </c>
      <c r="AH199" s="56"/>
      <c r="AI199" s="56" t="b">
        <v>1</v>
      </c>
      <c r="AJ199" s="56" t="b">
        <v>1</v>
      </c>
      <c r="AK199" s="56"/>
      <c r="AM199">
        <v>199</v>
      </c>
    </row>
    <row r="200" spans="1:39" x14ac:dyDescent="0.25">
      <c r="A200" s="4" t="s">
        <v>346</v>
      </c>
      <c r="B200" s="41" t="s">
        <v>178</v>
      </c>
      <c r="C200" s="4">
        <v>336</v>
      </c>
      <c r="D200" s="4"/>
      <c r="E200" s="4"/>
      <c r="F200" s="4"/>
      <c r="G200" s="4">
        <v>450</v>
      </c>
      <c r="H200" s="4"/>
      <c r="I200" s="4"/>
      <c r="J200" s="4"/>
      <c r="K200" s="4"/>
      <c r="L200" s="4"/>
      <c r="M200" s="4"/>
      <c r="N200" s="4">
        <v>0</v>
      </c>
      <c r="O200" s="4">
        <v>0</v>
      </c>
      <c r="P200" s="4">
        <v>0</v>
      </c>
      <c r="Q200" s="4">
        <v>0</v>
      </c>
      <c r="R200" s="4">
        <f>(10/2.5)*2</f>
        <v>8</v>
      </c>
      <c r="S200" s="4">
        <f>(20/2.5)*2</f>
        <v>16</v>
      </c>
      <c r="T200" s="4">
        <f>(7.5/2.5)*2</f>
        <v>6</v>
      </c>
      <c r="U200" s="4">
        <f>(7.5/2.5)*2</f>
        <v>6</v>
      </c>
      <c r="V200" s="4">
        <f>(20/2.5)*2</f>
        <v>16</v>
      </c>
      <c r="W200" s="4">
        <f>(22.5/2.5)*2</f>
        <v>18</v>
      </c>
      <c r="X200" s="4">
        <f t="shared" si="25"/>
        <v>0</v>
      </c>
      <c r="Y200" s="4">
        <f>(10/2.5)*2</f>
        <v>8</v>
      </c>
      <c r="Z200" s="4">
        <f>(20/2.5)*2</f>
        <v>16</v>
      </c>
      <c r="AA200" s="4">
        <f>(7.5/2.5)*2</f>
        <v>6</v>
      </c>
      <c r="AB200" s="4">
        <f>(7.5/2.5)*2</f>
        <v>6</v>
      </c>
      <c r="AC200" s="4">
        <f>(20/2.5)*2</f>
        <v>16</v>
      </c>
      <c r="AD200" s="4">
        <f>(35/2.5)*2</f>
        <v>28</v>
      </c>
      <c r="AE200" s="4">
        <f>(0/2.5)*2</f>
        <v>0</v>
      </c>
      <c r="AF200" s="4">
        <v>11</v>
      </c>
      <c r="AG200" s="57"/>
      <c r="AH200" s="57"/>
      <c r="AI200" s="57" t="b">
        <v>1</v>
      </c>
      <c r="AJ200" s="57"/>
      <c r="AK200" s="57"/>
      <c r="AM200">
        <v>200</v>
      </c>
    </row>
    <row r="201" spans="1:39" x14ac:dyDescent="0.25">
      <c r="A201" s="4" t="s">
        <v>353</v>
      </c>
      <c r="B201" s="41" t="s">
        <v>178</v>
      </c>
      <c r="C201" s="4">
        <v>364</v>
      </c>
      <c r="D201" s="4">
        <v>10</v>
      </c>
      <c r="E201" s="4"/>
      <c r="F201" s="4"/>
      <c r="G201" s="4"/>
      <c r="H201" s="4">
        <v>330</v>
      </c>
      <c r="I201" s="4"/>
      <c r="J201" s="4"/>
      <c r="K201" s="4"/>
      <c r="L201" s="4"/>
      <c r="M201" s="4">
        <v>330</v>
      </c>
      <c r="N201" s="4">
        <v>0</v>
      </c>
      <c r="O201" s="4">
        <v>1</v>
      </c>
      <c r="P201" s="4">
        <v>0</v>
      </c>
      <c r="Q201" s="4">
        <v>0</v>
      </c>
      <c r="R201" s="4">
        <f>(35/2.5)*2</f>
        <v>28</v>
      </c>
      <c r="S201" s="4">
        <f>(7.5/2.5)*2</f>
        <v>6</v>
      </c>
      <c r="T201" s="4">
        <f>(7.5/2.5)*2</f>
        <v>6</v>
      </c>
      <c r="U201" s="4">
        <f>(15/2.5)*2</f>
        <v>12</v>
      </c>
      <c r="V201" s="4">
        <f>(12.5/2.5)*2</f>
        <v>10</v>
      </c>
      <c r="W201" s="4">
        <f>(10/2.5)*2</f>
        <v>8</v>
      </c>
      <c r="X201" s="4">
        <f t="shared" si="25"/>
        <v>0</v>
      </c>
      <c r="Y201" s="4">
        <f>(35/2.5)*2</f>
        <v>28</v>
      </c>
      <c r="Z201" s="4">
        <f>(7.5/2.5)*2</f>
        <v>6</v>
      </c>
      <c r="AA201" s="4">
        <f>(7.5/2.5)*2</f>
        <v>6</v>
      </c>
      <c r="AB201" s="4">
        <f>(15/2.5)*2</f>
        <v>12</v>
      </c>
      <c r="AC201" s="4">
        <f>(12.5/2.5)*2</f>
        <v>10</v>
      </c>
      <c r="AD201" s="4">
        <f>(15/2.5)*2</f>
        <v>12</v>
      </c>
      <c r="AE201" s="4">
        <f>(7.5/2.5)*2</f>
        <v>6</v>
      </c>
      <c r="AF201" s="4">
        <v>11</v>
      </c>
      <c r="AG201" s="57"/>
      <c r="AH201" s="57"/>
      <c r="AI201" s="57" t="b">
        <v>1</v>
      </c>
      <c r="AJ201" s="57"/>
      <c r="AK201" s="57"/>
      <c r="AM201">
        <v>201</v>
      </c>
    </row>
    <row r="202" spans="1:39" x14ac:dyDescent="0.25">
      <c r="A202" s="4" t="s">
        <v>358</v>
      </c>
      <c r="B202" s="41" t="s">
        <v>178</v>
      </c>
      <c r="C202" s="4">
        <v>336</v>
      </c>
      <c r="D202" s="4">
        <v>-10</v>
      </c>
      <c r="E202" s="4"/>
      <c r="F202" s="4"/>
      <c r="G202" s="4"/>
      <c r="H202" s="4"/>
      <c r="I202" s="4"/>
      <c r="J202" s="4"/>
      <c r="K202" s="4"/>
      <c r="L202" s="4"/>
      <c r="M202" s="4">
        <v>180</v>
      </c>
      <c r="N202" s="4">
        <v>1</v>
      </c>
      <c r="O202" s="4">
        <v>0</v>
      </c>
      <c r="P202" s="4">
        <v>0</v>
      </c>
      <c r="Q202" s="4">
        <v>0</v>
      </c>
      <c r="R202" s="4">
        <f>(37.5/2.5)*2</f>
        <v>30</v>
      </c>
      <c r="S202" s="4">
        <f>(7.5/2.5)*2</f>
        <v>6</v>
      </c>
      <c r="T202" s="4">
        <f>(7.5/2.5)*2</f>
        <v>6</v>
      </c>
      <c r="U202" s="4">
        <f>(15/2.5)*2</f>
        <v>12</v>
      </c>
      <c r="V202" s="4">
        <f>(12.5/2.5)*2</f>
        <v>10</v>
      </c>
      <c r="W202" s="4">
        <f>(7.5/2.5)*2</f>
        <v>6</v>
      </c>
      <c r="X202" s="4">
        <f t="shared" si="25"/>
        <v>0</v>
      </c>
      <c r="Y202" s="4">
        <f>(37.5/2.5)*2</f>
        <v>30</v>
      </c>
      <c r="Z202" s="4">
        <f>(7.5/2.5)*2</f>
        <v>6</v>
      </c>
      <c r="AA202" s="4">
        <f>(7.5/2.5)*2</f>
        <v>6</v>
      </c>
      <c r="AB202" s="4">
        <f>(15/2.5)*2</f>
        <v>12</v>
      </c>
      <c r="AC202" s="4">
        <f>(12.5/2.5)*2</f>
        <v>10</v>
      </c>
      <c r="AD202" s="4">
        <f>(7.5/2.5)*2</f>
        <v>6</v>
      </c>
      <c r="AE202" s="4">
        <f>(12.5/2.5)*2</f>
        <v>10</v>
      </c>
      <c r="AF202" s="4">
        <v>11</v>
      </c>
      <c r="AG202" s="57"/>
      <c r="AH202" s="57"/>
      <c r="AI202" s="57"/>
      <c r="AJ202" s="57"/>
      <c r="AK202" s="57"/>
      <c r="AM202">
        <v>202</v>
      </c>
    </row>
    <row r="203" spans="1:39" x14ac:dyDescent="0.25">
      <c r="A203" s="4" t="s">
        <v>362</v>
      </c>
      <c r="B203" s="41" t="s">
        <v>178</v>
      </c>
      <c r="C203" s="4">
        <v>392</v>
      </c>
      <c r="D203" s="4">
        <v>-20</v>
      </c>
      <c r="E203" s="4"/>
      <c r="F203" s="4"/>
      <c r="G203" s="4"/>
      <c r="H203" s="4"/>
      <c r="I203" s="4"/>
      <c r="J203" s="4"/>
      <c r="K203" s="4"/>
      <c r="L203" s="4"/>
      <c r="M203" s="4">
        <v>240</v>
      </c>
      <c r="N203" s="4">
        <v>0</v>
      </c>
      <c r="O203" s="4">
        <v>1</v>
      </c>
      <c r="P203" s="4">
        <v>0</v>
      </c>
      <c r="Q203" s="4">
        <v>0</v>
      </c>
      <c r="R203" s="4">
        <f>(35/2.5)*2</f>
        <v>28</v>
      </c>
      <c r="S203" s="4">
        <f>(10/2.5)*2</f>
        <v>8</v>
      </c>
      <c r="T203" s="4">
        <f>(10/2.5)*2</f>
        <v>8</v>
      </c>
      <c r="U203" s="4">
        <f>(17.5/2.5)*2</f>
        <v>14</v>
      </c>
      <c r="V203" s="4">
        <f>(15/2.5)*2</f>
        <v>12</v>
      </c>
      <c r="W203" s="4">
        <f>(0/2.5)*2</f>
        <v>0</v>
      </c>
      <c r="X203" s="4">
        <f t="shared" si="25"/>
        <v>0</v>
      </c>
      <c r="Y203" s="4">
        <f>(35/2.5)*2</f>
        <v>28</v>
      </c>
      <c r="Z203" s="4">
        <f>(10/2.5)*2</f>
        <v>8</v>
      </c>
      <c r="AA203" s="4">
        <f>(10/2.5)*2</f>
        <v>8</v>
      </c>
      <c r="AB203" s="4">
        <f>(17.5/2.5)*2</f>
        <v>14</v>
      </c>
      <c r="AC203" s="4">
        <f>(17.5/2.5)*2</f>
        <v>14</v>
      </c>
      <c r="AD203" s="4">
        <f>(5/2.5)*2</f>
        <v>4</v>
      </c>
      <c r="AE203" s="4">
        <f>(5/2.5)*2</f>
        <v>4</v>
      </c>
      <c r="AF203" s="4">
        <v>11</v>
      </c>
      <c r="AG203" s="57"/>
      <c r="AH203" s="57"/>
      <c r="AI203" s="57" t="b">
        <v>1</v>
      </c>
      <c r="AJ203" s="57" t="b">
        <v>1</v>
      </c>
      <c r="AK203" s="57"/>
      <c r="AM203">
        <v>203</v>
      </c>
    </row>
    <row r="204" spans="1:39" x14ac:dyDescent="0.25">
      <c r="A204" s="4" t="s">
        <v>367</v>
      </c>
      <c r="B204" s="41" t="s">
        <v>178</v>
      </c>
      <c r="C204" s="4">
        <v>336</v>
      </c>
      <c r="D204" s="4"/>
      <c r="E204" s="4"/>
      <c r="F204" s="4"/>
      <c r="G204" s="4"/>
      <c r="H204" s="4"/>
      <c r="I204" s="4">
        <v>510</v>
      </c>
      <c r="J204" s="4"/>
      <c r="K204" s="4"/>
      <c r="L204" s="4"/>
      <c r="M204" s="4"/>
      <c r="N204" s="4">
        <v>2</v>
      </c>
      <c r="O204" s="4">
        <v>0</v>
      </c>
      <c r="P204" s="4">
        <v>0</v>
      </c>
      <c r="Q204" s="4">
        <v>0</v>
      </c>
      <c r="R204" s="4">
        <f>(40/2.5)*2</f>
        <v>32</v>
      </c>
      <c r="S204" s="4">
        <f>(17.5/2.5)*2</f>
        <v>14</v>
      </c>
      <c r="T204" s="4">
        <f>(5/2.5)*2</f>
        <v>4</v>
      </c>
      <c r="U204" s="4">
        <f>(5/2.5)*2</f>
        <v>4</v>
      </c>
      <c r="V204" s="4">
        <f>(20/2.5)*2</f>
        <v>16</v>
      </c>
      <c r="W204" s="4">
        <f>(0/2.5)*2</f>
        <v>0</v>
      </c>
      <c r="X204" s="4">
        <f t="shared" si="25"/>
        <v>0</v>
      </c>
      <c r="Y204" s="4">
        <f>(40/2.5)*2</f>
        <v>32</v>
      </c>
      <c r="Z204" s="4">
        <f>(17.5/2.5)*2</f>
        <v>14</v>
      </c>
      <c r="AA204" s="4">
        <f>(5/2.5)*2</f>
        <v>4</v>
      </c>
      <c r="AB204" s="4">
        <f>(5/2.5)*2</f>
        <v>4</v>
      </c>
      <c r="AC204" s="4">
        <f>(22.5/2.5)*2</f>
        <v>18</v>
      </c>
      <c r="AD204" s="4">
        <f>(10/2.5)*2</f>
        <v>8</v>
      </c>
      <c r="AE204" s="4">
        <f>(0/2.5)*2</f>
        <v>0</v>
      </c>
      <c r="AF204" s="4">
        <v>11</v>
      </c>
      <c r="AG204" s="57"/>
      <c r="AH204" s="57"/>
      <c r="AI204" s="57" t="b">
        <v>1</v>
      </c>
      <c r="AJ204" s="57"/>
      <c r="AK204" s="57"/>
      <c r="AM204">
        <v>204</v>
      </c>
    </row>
    <row r="205" spans="1:39" x14ac:dyDescent="0.25">
      <c r="A205" s="4" t="s">
        <v>376</v>
      </c>
      <c r="B205" s="41" t="s">
        <v>178</v>
      </c>
      <c r="C205" s="4">
        <v>350</v>
      </c>
      <c r="D205" s="4">
        <v>25</v>
      </c>
      <c r="E205" s="4"/>
      <c r="F205" s="4"/>
      <c r="G205" s="4"/>
      <c r="H205" s="4">
        <v>270</v>
      </c>
      <c r="I205" s="4"/>
      <c r="J205" s="4"/>
      <c r="K205" s="4"/>
      <c r="L205" s="4"/>
      <c r="M205" s="4"/>
      <c r="N205" s="4">
        <v>0</v>
      </c>
      <c r="O205" s="4">
        <v>0</v>
      </c>
      <c r="P205" s="4">
        <v>0</v>
      </c>
      <c r="Q205" s="4">
        <v>0</v>
      </c>
      <c r="R205" s="4">
        <f>(22.5/2.5)*2</f>
        <v>18</v>
      </c>
      <c r="S205" s="4">
        <f>(7.5/2.5)*2</f>
        <v>6</v>
      </c>
      <c r="T205" s="4">
        <f>(7.5/2.5)*2</f>
        <v>6</v>
      </c>
      <c r="U205" s="4">
        <f>(27.5/2.5)*2</f>
        <v>22</v>
      </c>
      <c r="V205" s="4">
        <f>(10/2.5)*2</f>
        <v>8</v>
      </c>
      <c r="W205" s="4">
        <f>(12.5/2.5)*2</f>
        <v>10</v>
      </c>
      <c r="X205" s="4">
        <f t="shared" si="25"/>
        <v>0</v>
      </c>
      <c r="Y205" s="4">
        <f>(22.5/2.5)*2</f>
        <v>18</v>
      </c>
      <c r="Z205" s="4">
        <f>(7.5/2.5)*2</f>
        <v>6</v>
      </c>
      <c r="AA205" s="4">
        <f>(7.5/2.5)*2</f>
        <v>6</v>
      </c>
      <c r="AB205" s="4">
        <f>(27.5/2.5)*2</f>
        <v>22</v>
      </c>
      <c r="AC205" s="4">
        <f>(10/2.5)*2</f>
        <v>8</v>
      </c>
      <c r="AD205" s="4">
        <f>(25/2.5)*2</f>
        <v>20</v>
      </c>
      <c r="AE205" s="4">
        <f>(0/2.5)*2</f>
        <v>0</v>
      </c>
      <c r="AF205" s="4">
        <v>11</v>
      </c>
      <c r="AG205" s="57"/>
      <c r="AH205" s="57"/>
      <c r="AI205" s="57" t="b">
        <v>1</v>
      </c>
      <c r="AJ205" s="57"/>
      <c r="AK205" s="57"/>
      <c r="AM205">
        <v>205</v>
      </c>
    </row>
    <row r="206" spans="1:39" x14ac:dyDescent="0.25">
      <c r="A206" s="4" t="s">
        <v>381</v>
      </c>
      <c r="B206" s="41" t="s">
        <v>178</v>
      </c>
      <c r="C206" s="4">
        <v>350</v>
      </c>
      <c r="D206" s="4"/>
      <c r="E206" s="4"/>
      <c r="F206" s="4">
        <v>210</v>
      </c>
      <c r="G206" s="4"/>
      <c r="H206" s="4"/>
      <c r="I206" s="4"/>
      <c r="J206" s="4"/>
      <c r="K206" s="4"/>
      <c r="L206" s="4"/>
      <c r="M206" s="4"/>
      <c r="N206" s="4">
        <v>0</v>
      </c>
      <c r="O206" s="4">
        <v>0</v>
      </c>
      <c r="P206" s="4">
        <v>1</v>
      </c>
      <c r="Q206" s="4">
        <v>0</v>
      </c>
      <c r="R206" s="4">
        <f>(35/2.5)*2</f>
        <v>28</v>
      </c>
      <c r="S206" s="4">
        <f>(5/2.5)*2</f>
        <v>4</v>
      </c>
      <c r="T206" s="4">
        <f>(5/2.5)*2</f>
        <v>4</v>
      </c>
      <c r="U206" s="4">
        <f>(17.5/2.5)*2</f>
        <v>14</v>
      </c>
      <c r="V206" s="4">
        <f>(10/2.5)*2</f>
        <v>8</v>
      </c>
      <c r="W206" s="4">
        <f>(7.5/2.5)*2</f>
        <v>6</v>
      </c>
      <c r="X206" s="4">
        <f>(7.5/2.5)*2</f>
        <v>6</v>
      </c>
      <c r="Y206" s="4">
        <f>(35/2.5)*2</f>
        <v>28</v>
      </c>
      <c r="Z206" s="4">
        <f>(5/2.5)*2</f>
        <v>4</v>
      </c>
      <c r="AA206" s="4">
        <f>(5/2.5)*2</f>
        <v>4</v>
      </c>
      <c r="AB206" s="4">
        <f>(17.5/2.5)*2</f>
        <v>14</v>
      </c>
      <c r="AC206" s="4">
        <f>(10/2.5)*2</f>
        <v>8</v>
      </c>
      <c r="AD206" s="4">
        <f>(7.5/2.5)*2</f>
        <v>6</v>
      </c>
      <c r="AE206" s="4">
        <f>(20/2.5)*2</f>
        <v>16</v>
      </c>
      <c r="AF206" s="4">
        <v>11</v>
      </c>
      <c r="AG206" s="57"/>
      <c r="AH206" s="57"/>
      <c r="AI206" s="57" t="b">
        <v>1</v>
      </c>
      <c r="AJ206" s="57"/>
      <c r="AK206" s="57"/>
      <c r="AM206">
        <v>206</v>
      </c>
    </row>
    <row r="207" spans="1:39" x14ac:dyDescent="0.25">
      <c r="A207" s="4" t="s">
        <v>393</v>
      </c>
      <c r="B207" s="41" t="s">
        <v>178</v>
      </c>
      <c r="C207" s="4">
        <v>364</v>
      </c>
      <c r="D207" s="4"/>
      <c r="E207" s="4"/>
      <c r="F207" s="4"/>
      <c r="G207" s="4"/>
      <c r="H207" s="4"/>
      <c r="I207" s="4"/>
      <c r="J207" s="4"/>
      <c r="K207" s="4"/>
      <c r="L207" s="4">
        <v>180</v>
      </c>
      <c r="M207" s="4"/>
      <c r="N207" s="4">
        <v>0</v>
      </c>
      <c r="O207" s="4">
        <v>0</v>
      </c>
      <c r="P207" s="4">
        <v>0</v>
      </c>
      <c r="Q207" s="4">
        <v>0</v>
      </c>
      <c r="R207" s="4">
        <f>(10/2.5)*2</f>
        <v>8</v>
      </c>
      <c r="S207" s="4">
        <f>(20/2.5)*2</f>
        <v>16</v>
      </c>
      <c r="T207" s="4">
        <f>(7.5/2.5)*2</f>
        <v>6</v>
      </c>
      <c r="U207" s="4">
        <f>(7.5/2.5)*2</f>
        <v>6</v>
      </c>
      <c r="V207" s="4">
        <f>(20/2.5)*2</f>
        <v>16</v>
      </c>
      <c r="W207" s="4">
        <f>(22.5/2.5)*2</f>
        <v>18</v>
      </c>
      <c r="X207" s="4">
        <f>(0/2.5)*2</f>
        <v>0</v>
      </c>
      <c r="Y207" s="4">
        <f>(10/2.5)*2</f>
        <v>8</v>
      </c>
      <c r="Z207" s="4">
        <f>(20/2.5)*2</f>
        <v>16</v>
      </c>
      <c r="AA207" s="4">
        <f>(7.5/2.5)*2</f>
        <v>6</v>
      </c>
      <c r="AB207" s="4">
        <f>(7.5/2.5)*2</f>
        <v>6</v>
      </c>
      <c r="AC207" s="4">
        <f>(20/2.5)*2</f>
        <v>16</v>
      </c>
      <c r="AD207" s="4">
        <f>(35/2.5)*2</f>
        <v>28</v>
      </c>
      <c r="AE207" s="4">
        <f>(0/2.5)*2</f>
        <v>0</v>
      </c>
      <c r="AF207" s="4">
        <v>11</v>
      </c>
      <c r="AG207" s="57"/>
      <c r="AH207" s="57"/>
      <c r="AI207" s="57" t="b">
        <v>1</v>
      </c>
      <c r="AJ207" s="57"/>
      <c r="AK207" s="57"/>
      <c r="AM207">
        <v>207</v>
      </c>
    </row>
    <row r="208" spans="1:39" x14ac:dyDescent="0.25">
      <c r="A208" s="4" t="s">
        <v>400</v>
      </c>
      <c r="B208" s="41" t="s">
        <v>178</v>
      </c>
      <c r="C208" s="4">
        <v>350</v>
      </c>
      <c r="D208" s="4"/>
      <c r="E208" s="4"/>
      <c r="F208" s="4"/>
      <c r="G208" s="4"/>
      <c r="H208" s="4"/>
      <c r="I208" s="4">
        <v>150</v>
      </c>
      <c r="J208" s="4"/>
      <c r="K208" s="4"/>
      <c r="L208" s="4"/>
      <c r="M208" s="4"/>
      <c r="N208" s="4">
        <v>0</v>
      </c>
      <c r="O208" s="4">
        <v>1</v>
      </c>
      <c r="P208" s="4">
        <v>0</v>
      </c>
      <c r="Q208" s="4">
        <v>0</v>
      </c>
      <c r="R208" s="4">
        <f>(32.5/2.5)*2</f>
        <v>26</v>
      </c>
      <c r="S208" s="4">
        <f>(5/2.5)*2</f>
        <v>4</v>
      </c>
      <c r="T208" s="4">
        <f>(5/2.5)*2</f>
        <v>4</v>
      </c>
      <c r="U208" s="4">
        <f>(17.5/2.5)*2</f>
        <v>14</v>
      </c>
      <c r="V208" s="4">
        <f>(10/2.5)*2</f>
        <v>8</v>
      </c>
      <c r="W208" s="4">
        <f>(7.5/2.5)*2</f>
        <v>6</v>
      </c>
      <c r="X208" s="4">
        <f>(10/2.5)*2</f>
        <v>8</v>
      </c>
      <c r="Y208" s="4">
        <f>(32.5/2.5)*2</f>
        <v>26</v>
      </c>
      <c r="Z208" s="4">
        <f>(5/2.5)*2</f>
        <v>4</v>
      </c>
      <c r="AA208" s="4">
        <f>(5/2.5)*2</f>
        <v>4</v>
      </c>
      <c r="AB208" s="4">
        <f>(17.5/2.5)*2</f>
        <v>14</v>
      </c>
      <c r="AC208" s="4">
        <f>(10/2.5)*2</f>
        <v>8</v>
      </c>
      <c r="AD208" s="4">
        <f>(7.5/2.5)*2</f>
        <v>6</v>
      </c>
      <c r="AE208" s="4">
        <f>(22.5/2.5)*2</f>
        <v>18</v>
      </c>
      <c r="AF208" s="4">
        <v>11</v>
      </c>
      <c r="AG208" s="57"/>
      <c r="AH208" s="57"/>
      <c r="AI208" s="57"/>
      <c r="AJ208" s="57"/>
      <c r="AK208" s="57"/>
      <c r="AM208">
        <v>208</v>
      </c>
    </row>
    <row r="209" spans="1:39" x14ac:dyDescent="0.25">
      <c r="A209" s="4" t="s">
        <v>408</v>
      </c>
      <c r="B209" s="41" t="s">
        <v>178</v>
      </c>
      <c r="C209" s="4">
        <v>364</v>
      </c>
      <c r="D209" s="4"/>
      <c r="E209" s="4">
        <v>240</v>
      </c>
      <c r="F209" s="4"/>
      <c r="G209" s="4"/>
      <c r="H209" s="4"/>
      <c r="I209" s="4"/>
      <c r="J209" s="4"/>
      <c r="K209" s="4"/>
      <c r="L209" s="4"/>
      <c r="M209" s="4"/>
      <c r="N209" s="4">
        <v>1</v>
      </c>
      <c r="O209" s="4">
        <v>0</v>
      </c>
      <c r="P209" s="4">
        <v>0</v>
      </c>
      <c r="Q209" s="4">
        <v>0</v>
      </c>
      <c r="R209" s="4">
        <f>(25/2.5)*2</f>
        <v>20</v>
      </c>
      <c r="S209" s="4">
        <f>(7.5/2.5)*2</f>
        <v>6</v>
      </c>
      <c r="T209" s="4">
        <f>(7.5/2.5)*2</f>
        <v>6</v>
      </c>
      <c r="U209" s="4">
        <f>(15/2.5)*2</f>
        <v>12</v>
      </c>
      <c r="V209" s="4">
        <f>(12.5/2.5)*2</f>
        <v>10</v>
      </c>
      <c r="W209" s="4">
        <f>(20/2.5)*2</f>
        <v>16</v>
      </c>
      <c r="X209" s="4">
        <f>(0/2.5)*2</f>
        <v>0</v>
      </c>
      <c r="Y209" s="4">
        <f>(25/2.5)*2</f>
        <v>20</v>
      </c>
      <c r="Z209" s="4">
        <f>(7.5/2.5)*2</f>
        <v>6</v>
      </c>
      <c r="AA209" s="4">
        <f>(7.5/2.5)*2</f>
        <v>6</v>
      </c>
      <c r="AB209" s="4">
        <f>(15/2.5)*2</f>
        <v>12</v>
      </c>
      <c r="AC209" s="4">
        <f>(12.5/2.5)*2</f>
        <v>10</v>
      </c>
      <c r="AD209" s="4">
        <f>(25/2.5)*2</f>
        <v>20</v>
      </c>
      <c r="AE209" s="4">
        <f>(7.5/2.5)*2</f>
        <v>6</v>
      </c>
      <c r="AF209" s="4">
        <v>11</v>
      </c>
      <c r="AG209" s="57"/>
      <c r="AH209" s="57"/>
      <c r="AI209" s="57" t="b">
        <v>1</v>
      </c>
      <c r="AJ209" s="57"/>
      <c r="AK209" s="57"/>
      <c r="AM209">
        <v>209</v>
      </c>
    </row>
    <row r="210" spans="1:39" x14ac:dyDescent="0.25">
      <c r="A210" s="4" t="s">
        <v>409</v>
      </c>
      <c r="B210" s="41" t="s">
        <v>178</v>
      </c>
      <c r="C210" s="4">
        <v>364</v>
      </c>
      <c r="D210" s="4"/>
      <c r="E210" s="4"/>
      <c r="F210" s="4"/>
      <c r="G210" s="4"/>
      <c r="H210" s="4">
        <v>180</v>
      </c>
      <c r="I210" s="4"/>
      <c r="J210" s="4"/>
      <c r="K210" s="4"/>
      <c r="L210" s="4"/>
      <c r="M210" s="4"/>
      <c r="N210" s="4">
        <v>0</v>
      </c>
      <c r="O210" s="4">
        <v>0</v>
      </c>
      <c r="P210" s="4">
        <v>0</v>
      </c>
      <c r="Q210" s="4">
        <v>1</v>
      </c>
      <c r="R210" s="4">
        <f>(32.5/2.5)*2</f>
        <v>26</v>
      </c>
      <c r="S210" s="4">
        <f>(7.5/2.5)*2</f>
        <v>6</v>
      </c>
      <c r="T210" s="4">
        <f>(7.5/2.5)*2</f>
        <v>6</v>
      </c>
      <c r="U210" s="4">
        <f>(15/2.5)*2</f>
        <v>12</v>
      </c>
      <c r="V210" s="4">
        <f>(12.5/2.5)*2</f>
        <v>10</v>
      </c>
      <c r="W210" s="4">
        <f>(12.5/2.5)*2</f>
        <v>10</v>
      </c>
      <c r="X210" s="4">
        <f>(0/2.5)*2</f>
        <v>0</v>
      </c>
      <c r="Y210" s="4">
        <f>(32.5/2.5)*2</f>
        <v>26</v>
      </c>
      <c r="Z210" s="4">
        <f>(7.5/2.5)*2</f>
        <v>6</v>
      </c>
      <c r="AA210" s="4">
        <f>(7.5/2.5)*2</f>
        <v>6</v>
      </c>
      <c r="AB210" s="4">
        <f>(15/2.5)*2</f>
        <v>12</v>
      </c>
      <c r="AC210" s="4">
        <f>(12.5/2.5)*2</f>
        <v>10</v>
      </c>
      <c r="AD210" s="4">
        <f>(12.5/2.5)*2</f>
        <v>10</v>
      </c>
      <c r="AE210" s="4">
        <f>(12.5/2.5)*2</f>
        <v>10</v>
      </c>
      <c r="AF210" s="4">
        <v>11</v>
      </c>
      <c r="AG210" s="57"/>
      <c r="AH210" s="57"/>
      <c r="AI210" s="57"/>
      <c r="AJ210" s="57"/>
      <c r="AK210" s="57"/>
      <c r="AM210">
        <v>210</v>
      </c>
    </row>
    <row r="211" spans="1:39" x14ac:dyDescent="0.25">
      <c r="A211" s="4" t="s">
        <v>418</v>
      </c>
      <c r="B211" s="41" t="s">
        <v>178</v>
      </c>
      <c r="C211" s="4">
        <v>406</v>
      </c>
      <c r="D211" s="4">
        <v>-10</v>
      </c>
      <c r="E211" s="4"/>
      <c r="F211" s="4"/>
      <c r="G211" s="4">
        <v>60</v>
      </c>
      <c r="H211" s="4"/>
      <c r="I211" s="4"/>
      <c r="J211" s="4"/>
      <c r="K211" s="4"/>
      <c r="L211" s="4"/>
      <c r="M211" s="4"/>
      <c r="N211" s="4">
        <v>0</v>
      </c>
      <c r="O211" s="4">
        <v>0</v>
      </c>
      <c r="P211" s="4">
        <v>0</v>
      </c>
      <c r="Q211" s="4">
        <v>1</v>
      </c>
      <c r="R211" s="4">
        <f>(22.5/2.5)*2</f>
        <v>18</v>
      </c>
      <c r="S211" s="4">
        <f>(25/2.5)*2</f>
        <v>20</v>
      </c>
      <c r="T211" s="4">
        <f>(10/2.5)*2</f>
        <v>8</v>
      </c>
      <c r="U211" s="4">
        <f>(12.5/2.5)*2</f>
        <v>10</v>
      </c>
      <c r="V211" s="4">
        <f>(17.5/2.5)*2</f>
        <v>14</v>
      </c>
      <c r="W211" s="4">
        <f>(0/2.5)*2</f>
        <v>0</v>
      </c>
      <c r="X211" s="4">
        <f>(0/2.5)*2</f>
        <v>0</v>
      </c>
      <c r="Y211" s="4">
        <f>(22.5/2.5)*2</f>
        <v>18</v>
      </c>
      <c r="Z211" s="4">
        <f>(25/2.5)*2</f>
        <v>20</v>
      </c>
      <c r="AA211" s="4">
        <f>(10/2.5)*2</f>
        <v>8</v>
      </c>
      <c r="AB211" s="4">
        <f>(12.5/2.5)*2</f>
        <v>10</v>
      </c>
      <c r="AC211" s="4">
        <f>(17.5/2.5)*2</f>
        <v>14</v>
      </c>
      <c r="AD211" s="4">
        <f>(12.5/2.5)*2</f>
        <v>10</v>
      </c>
      <c r="AE211" s="4">
        <f>(0/2.5)*2</f>
        <v>0</v>
      </c>
      <c r="AF211" s="4">
        <v>11</v>
      </c>
      <c r="AG211" s="57"/>
      <c r="AH211" s="57"/>
      <c r="AI211" s="57"/>
      <c r="AJ211" s="57"/>
      <c r="AK211" s="57"/>
      <c r="AM211">
        <v>211</v>
      </c>
    </row>
    <row r="212" spans="1:39" x14ac:dyDescent="0.25">
      <c r="A212" s="4" t="s">
        <v>420</v>
      </c>
      <c r="B212" s="41" t="s">
        <v>178</v>
      </c>
      <c r="C212" s="4">
        <v>350</v>
      </c>
      <c r="D212" s="4"/>
      <c r="E212" s="4"/>
      <c r="F212" s="4"/>
      <c r="G212" s="4"/>
      <c r="H212" s="4"/>
      <c r="I212" s="4">
        <v>330</v>
      </c>
      <c r="J212" s="4"/>
      <c r="K212" s="4"/>
      <c r="L212" s="4"/>
      <c r="M212" s="4"/>
      <c r="N212" s="4">
        <v>0</v>
      </c>
      <c r="O212" s="4">
        <v>1</v>
      </c>
      <c r="P212" s="4">
        <v>0</v>
      </c>
      <c r="Q212" s="4">
        <v>0</v>
      </c>
      <c r="R212" s="4">
        <f>(30/2.5)*2</f>
        <v>24</v>
      </c>
      <c r="S212" s="4">
        <f>(5/2.5)*2</f>
        <v>4</v>
      </c>
      <c r="T212" s="4">
        <f>(5/2.5)*2</f>
        <v>4</v>
      </c>
      <c r="U212" s="4">
        <f>(17.5/2.5)*2</f>
        <v>14</v>
      </c>
      <c r="V212" s="4">
        <f>(10/2.5)*2</f>
        <v>8</v>
      </c>
      <c r="W212" s="4">
        <f>(7.5/2.5)*2</f>
        <v>6</v>
      </c>
      <c r="X212" s="4">
        <f>(12.5/2.5)*2</f>
        <v>10</v>
      </c>
      <c r="Y212" s="4">
        <f>(30/2.5)*2</f>
        <v>24</v>
      </c>
      <c r="Z212" s="4">
        <f>(5/2.5)*2</f>
        <v>4</v>
      </c>
      <c r="AA212" s="4">
        <f>(5/2.5)*2</f>
        <v>4</v>
      </c>
      <c r="AB212" s="4">
        <f>(17.5/2.5)*2</f>
        <v>14</v>
      </c>
      <c r="AC212" s="4">
        <f>(10/2.5)*2</f>
        <v>8</v>
      </c>
      <c r="AD212" s="4">
        <f>(7.5/2.5)*2</f>
        <v>6</v>
      </c>
      <c r="AE212" s="4">
        <f>(25/2.5)*2</f>
        <v>20</v>
      </c>
      <c r="AF212" s="4">
        <v>11</v>
      </c>
      <c r="AG212" s="57"/>
      <c r="AH212" s="57"/>
      <c r="AI212" s="57"/>
      <c r="AJ212" s="57"/>
      <c r="AK212" s="57"/>
      <c r="AM212">
        <v>212</v>
      </c>
    </row>
    <row r="213" spans="1:39" x14ac:dyDescent="0.25">
      <c r="A213" s="4" t="s">
        <v>423</v>
      </c>
      <c r="B213" s="41" t="s">
        <v>178</v>
      </c>
      <c r="C213" s="4">
        <v>378</v>
      </c>
      <c r="D213" s="4">
        <v>20</v>
      </c>
      <c r="E213" s="4"/>
      <c r="F213" s="4"/>
      <c r="G213" s="4"/>
      <c r="H213" s="4"/>
      <c r="I213" s="4"/>
      <c r="J213" s="4">
        <v>210</v>
      </c>
      <c r="K213" s="4"/>
      <c r="L213" s="4"/>
      <c r="M213" s="4"/>
      <c r="N213" s="4">
        <v>0</v>
      </c>
      <c r="O213" s="4">
        <v>0</v>
      </c>
      <c r="P213" s="4">
        <v>1</v>
      </c>
      <c r="Q213" s="4">
        <v>0</v>
      </c>
      <c r="R213" s="4">
        <f>(32.5/2.5)*2</f>
        <v>26</v>
      </c>
      <c r="S213" s="4">
        <f>(7.5/2.5)*2</f>
        <v>6</v>
      </c>
      <c r="T213" s="4">
        <f>(22.5/2.5)*2</f>
        <v>18</v>
      </c>
      <c r="U213" s="4">
        <f>(7.5/2.5)*2</f>
        <v>6</v>
      </c>
      <c r="V213" s="4">
        <f>(7.5/2.5)*2</f>
        <v>6</v>
      </c>
      <c r="W213" s="4">
        <f>(10/2.5)*2</f>
        <v>8</v>
      </c>
      <c r="X213" s="4">
        <f>(0/2.5)*2</f>
        <v>0</v>
      </c>
      <c r="Y213" s="4">
        <f>(32.5/2.5)*2</f>
        <v>26</v>
      </c>
      <c r="Z213" s="4">
        <f>(7.5/2.5)*2</f>
        <v>6</v>
      </c>
      <c r="AA213" s="4">
        <f>(22.5/2.5)*2</f>
        <v>18</v>
      </c>
      <c r="AB213" s="4">
        <f>(7.5/2.5)*2</f>
        <v>6</v>
      </c>
      <c r="AC213" s="4">
        <f>(7.5/2.5)*2</f>
        <v>6</v>
      </c>
      <c r="AD213" s="4">
        <f>(17.5/2.5)*2</f>
        <v>14</v>
      </c>
      <c r="AE213" s="4">
        <f>(5/2.5)*2</f>
        <v>4</v>
      </c>
      <c r="AF213" s="4">
        <v>11</v>
      </c>
      <c r="AG213" s="57"/>
      <c r="AH213" s="57"/>
      <c r="AI213" s="57" t="b">
        <v>1</v>
      </c>
      <c r="AJ213" s="57"/>
      <c r="AK213" s="57"/>
      <c r="AM213">
        <v>213</v>
      </c>
    </row>
    <row r="214" spans="1:39" x14ac:dyDescent="0.25">
      <c r="A214" s="4" t="s">
        <v>425</v>
      </c>
      <c r="B214" s="41" t="s">
        <v>178</v>
      </c>
      <c r="C214" s="4">
        <v>350</v>
      </c>
      <c r="D214" s="4"/>
      <c r="E214" s="4"/>
      <c r="F214" s="4"/>
      <c r="G214" s="4">
        <v>210</v>
      </c>
      <c r="H214" s="4"/>
      <c r="I214" s="4"/>
      <c r="J214" s="4"/>
      <c r="K214" s="4"/>
      <c r="L214" s="4"/>
      <c r="M214" s="4"/>
      <c r="N214" s="4">
        <v>0</v>
      </c>
      <c r="O214" s="4">
        <v>1</v>
      </c>
      <c r="P214" s="4">
        <v>0</v>
      </c>
      <c r="Q214" s="4">
        <v>0</v>
      </c>
      <c r="R214" s="4">
        <f>(30/2.5)*2</f>
        <v>24</v>
      </c>
      <c r="S214" s="4">
        <f>(7.5/2.5)*2</f>
        <v>6</v>
      </c>
      <c r="T214" s="4">
        <f>(22.5/2.5)*2</f>
        <v>18</v>
      </c>
      <c r="U214" s="4">
        <f>(7.5/2.5)*2</f>
        <v>6</v>
      </c>
      <c r="V214" s="4">
        <f>(7.5/2.5)*2</f>
        <v>6</v>
      </c>
      <c r="W214" s="4">
        <f>(12.5/2.5)*2</f>
        <v>10</v>
      </c>
      <c r="X214" s="4">
        <f>(0/2.5)*2</f>
        <v>0</v>
      </c>
      <c r="Y214" s="4">
        <f>(30/2.5)*2</f>
        <v>24</v>
      </c>
      <c r="Z214" s="4">
        <f>(7.5/2.5)*2</f>
        <v>6</v>
      </c>
      <c r="AA214" s="4">
        <f>(22.5/2.5)*2</f>
        <v>18</v>
      </c>
      <c r="AB214" s="4">
        <f>(7.5/2.5)*2</f>
        <v>6</v>
      </c>
      <c r="AC214" s="4">
        <f>(7.5/2.5)*2</f>
        <v>6</v>
      </c>
      <c r="AD214" s="4">
        <f>(20/2.5)*2</f>
        <v>16</v>
      </c>
      <c r="AE214" s="4">
        <f>(5/2.5)*2</f>
        <v>4</v>
      </c>
      <c r="AF214" s="4">
        <v>11</v>
      </c>
      <c r="AG214" s="57"/>
      <c r="AH214" s="57"/>
      <c r="AI214" s="57"/>
      <c r="AJ214" s="57"/>
      <c r="AK214" s="57"/>
      <c r="AM214">
        <v>214</v>
      </c>
    </row>
    <row r="215" spans="1:39" x14ac:dyDescent="0.25">
      <c r="A215" s="4" t="s">
        <v>428</v>
      </c>
      <c r="B215" s="41" t="s">
        <v>178</v>
      </c>
      <c r="C215" s="4">
        <v>406</v>
      </c>
      <c r="D215" s="4"/>
      <c r="E215" s="4"/>
      <c r="F215" s="4"/>
      <c r="G215" s="4"/>
      <c r="H215" s="4"/>
      <c r="I215" s="4"/>
      <c r="J215" s="4"/>
      <c r="K215" s="4">
        <v>210</v>
      </c>
      <c r="L215" s="4"/>
      <c r="M215" s="4"/>
      <c r="N215" s="4">
        <v>0</v>
      </c>
      <c r="O215" s="4">
        <v>0</v>
      </c>
      <c r="P215" s="4">
        <v>0</v>
      </c>
      <c r="Q215" s="4">
        <v>1</v>
      </c>
      <c r="R215" s="4">
        <f>(15/2.5)*2</f>
        <v>12</v>
      </c>
      <c r="S215" s="4">
        <f>(12.5/2.5)*2</f>
        <v>10</v>
      </c>
      <c r="T215" s="4">
        <f>(27.5/2.5)*2</f>
        <v>22</v>
      </c>
      <c r="U215" s="4">
        <f>(22.5/2.5)*2</f>
        <v>18</v>
      </c>
      <c r="V215" s="4">
        <f>(10/2.5)*2</f>
        <v>8</v>
      </c>
      <c r="W215" s="4">
        <f>(0/2.5)*2</f>
        <v>0</v>
      </c>
      <c r="X215" s="4">
        <f>(0/2.5)*2</f>
        <v>0</v>
      </c>
      <c r="Y215" s="4">
        <f>(15/2.5)*2</f>
        <v>12</v>
      </c>
      <c r="Z215" s="4">
        <f>(12.5/2.5)*2</f>
        <v>10</v>
      </c>
      <c r="AA215" s="4">
        <f>(27.5/2.5)*2</f>
        <v>22</v>
      </c>
      <c r="AB215" s="4">
        <f>(22.5/2.5)*2</f>
        <v>18</v>
      </c>
      <c r="AC215" s="4">
        <f>(15/2.5)*2</f>
        <v>12</v>
      </c>
      <c r="AD215" s="4">
        <f>(5/2.5)*2</f>
        <v>4</v>
      </c>
      <c r="AE215" s="4">
        <f>(2.5/2.5)*2</f>
        <v>2</v>
      </c>
      <c r="AF215" s="4">
        <v>11</v>
      </c>
      <c r="AG215" s="57" t="s">
        <v>691</v>
      </c>
      <c r="AH215" s="57"/>
      <c r="AI215" s="57" t="b">
        <v>1</v>
      </c>
      <c r="AJ215" s="57"/>
      <c r="AK215" s="57"/>
      <c r="AM215">
        <v>215</v>
      </c>
    </row>
    <row r="216" spans="1:39" x14ac:dyDescent="0.25">
      <c r="A216" s="4" t="s">
        <v>434</v>
      </c>
      <c r="B216" s="41" t="s">
        <v>178</v>
      </c>
      <c r="C216" s="4">
        <v>336</v>
      </c>
      <c r="D216" s="4">
        <v>20</v>
      </c>
      <c r="E216" s="4"/>
      <c r="F216" s="4"/>
      <c r="G216" s="4"/>
      <c r="H216" s="4"/>
      <c r="I216" s="4">
        <v>300</v>
      </c>
      <c r="J216" s="4"/>
      <c r="K216" s="4"/>
      <c r="L216" s="4"/>
      <c r="M216" s="4"/>
      <c r="N216" s="4">
        <v>0</v>
      </c>
      <c r="O216" s="4">
        <v>0</v>
      </c>
      <c r="P216" s="4">
        <v>0</v>
      </c>
      <c r="Q216" s="4">
        <v>0</v>
      </c>
      <c r="R216" s="4">
        <f>(22.5/2.5)*2</f>
        <v>18</v>
      </c>
      <c r="S216" s="4">
        <f>(20/2.5)*2</f>
        <v>16</v>
      </c>
      <c r="T216" s="4">
        <f>(7.5/2.5)*2</f>
        <v>6</v>
      </c>
      <c r="U216" s="4">
        <f>(7.5/2.5)*2</f>
        <v>6</v>
      </c>
      <c r="V216" s="4">
        <f>(20/2.5)*2</f>
        <v>16</v>
      </c>
      <c r="W216" s="4">
        <f>(22.5/2.5)*2</f>
        <v>18</v>
      </c>
      <c r="X216" s="4">
        <f>(0/2.5)*2</f>
        <v>0</v>
      </c>
      <c r="Y216" s="4">
        <f>(22.5/2.5)*2</f>
        <v>18</v>
      </c>
      <c r="Z216" s="4">
        <f>(20/2.5)*2</f>
        <v>16</v>
      </c>
      <c r="AA216" s="4">
        <f>(7.5/2.5)*2</f>
        <v>6</v>
      </c>
      <c r="AB216" s="4">
        <f>(7.5/2.5)*2</f>
        <v>6</v>
      </c>
      <c r="AC216" s="4">
        <f>(20/2.5)*2</f>
        <v>16</v>
      </c>
      <c r="AD216" s="4">
        <f>(22.5/2.5)*2</f>
        <v>18</v>
      </c>
      <c r="AE216" s="4">
        <f>(0/2.5)*2</f>
        <v>0</v>
      </c>
      <c r="AF216" s="4">
        <v>11</v>
      </c>
      <c r="AG216" s="57"/>
      <c r="AH216" s="57"/>
      <c r="AI216" s="57" t="b">
        <v>1</v>
      </c>
      <c r="AJ216" s="57"/>
      <c r="AK216" s="57"/>
      <c r="AM216">
        <v>216</v>
      </c>
    </row>
    <row r="217" spans="1:39" x14ac:dyDescent="0.25">
      <c r="A217" s="4" t="s">
        <v>435</v>
      </c>
      <c r="B217" s="41" t="s">
        <v>178</v>
      </c>
      <c r="C217" s="4">
        <v>406</v>
      </c>
      <c r="D217" s="4">
        <v>-30</v>
      </c>
      <c r="E217" s="4"/>
      <c r="F217" s="4"/>
      <c r="G217" s="4"/>
      <c r="H217" s="4"/>
      <c r="I217" s="4"/>
      <c r="J217" s="4"/>
      <c r="K217" s="4"/>
      <c r="L217" s="4">
        <v>210</v>
      </c>
      <c r="M217" s="4"/>
      <c r="N217" s="4">
        <v>1</v>
      </c>
      <c r="O217" s="4">
        <v>0</v>
      </c>
      <c r="P217" s="4">
        <v>0</v>
      </c>
      <c r="Q217" s="4">
        <v>0</v>
      </c>
      <c r="R217" s="4">
        <f>(22.5/2.5)*2</f>
        <v>18</v>
      </c>
      <c r="S217" s="4">
        <f>(5/2.5)*2</f>
        <v>4</v>
      </c>
      <c r="T217" s="4">
        <f>(7.5/2.5)*2</f>
        <v>6</v>
      </c>
      <c r="U217" s="4">
        <f>(22.5/2.5)*2</f>
        <v>18</v>
      </c>
      <c r="V217" s="4">
        <f>(22.5/2.5)*2</f>
        <v>18</v>
      </c>
      <c r="W217" s="4">
        <f>(7.5/2.5)*2</f>
        <v>6</v>
      </c>
      <c r="X217" s="4">
        <f>(0/2.5)*2</f>
        <v>0</v>
      </c>
      <c r="Y217" s="4">
        <f>(22.5/2.5)*2</f>
        <v>18</v>
      </c>
      <c r="Z217" s="4">
        <f>(5/2.5)*2</f>
        <v>4</v>
      </c>
      <c r="AA217" s="4">
        <f>(7.5/2.5)*2</f>
        <v>6</v>
      </c>
      <c r="AB217" s="4">
        <f>(22.5/2.5)*2</f>
        <v>18</v>
      </c>
      <c r="AC217" s="4">
        <f>(22.5/2.5)*2</f>
        <v>18</v>
      </c>
      <c r="AD217" s="4">
        <f>(10/2.5)*2</f>
        <v>8</v>
      </c>
      <c r="AE217" s="4">
        <f>(10/2.5)*2</f>
        <v>8</v>
      </c>
      <c r="AF217" s="4">
        <v>11</v>
      </c>
      <c r="AG217" s="57" t="s">
        <v>691</v>
      </c>
      <c r="AH217" s="57"/>
      <c r="AI217" s="57" t="b">
        <v>1</v>
      </c>
      <c r="AJ217" s="57" t="b">
        <v>1</v>
      </c>
      <c r="AK217" s="57"/>
      <c r="AM217">
        <v>217</v>
      </c>
    </row>
    <row r="218" spans="1:39" x14ac:dyDescent="0.25">
      <c r="A218" s="4" t="s">
        <v>437</v>
      </c>
      <c r="B218" s="41" t="s">
        <v>178</v>
      </c>
      <c r="C218" s="4">
        <v>322</v>
      </c>
      <c r="D218" s="4">
        <v>5</v>
      </c>
      <c r="E218" s="4"/>
      <c r="F218" s="4">
        <v>390</v>
      </c>
      <c r="G218" s="4"/>
      <c r="H218" s="4"/>
      <c r="I218" s="4"/>
      <c r="J218" s="4"/>
      <c r="K218" s="4"/>
      <c r="L218" s="4"/>
      <c r="M218" s="4"/>
      <c r="N218" s="4">
        <v>0</v>
      </c>
      <c r="O218" s="4">
        <v>0</v>
      </c>
      <c r="P218" s="4">
        <v>0</v>
      </c>
      <c r="Q218" s="4">
        <v>0</v>
      </c>
      <c r="R218" s="4">
        <f>(42.5/2.5)*2</f>
        <v>34</v>
      </c>
      <c r="S218" s="4">
        <f>(7.5/2.5)*2</f>
        <v>6</v>
      </c>
      <c r="T218" s="4">
        <f>(7.5/2.5)*2</f>
        <v>6</v>
      </c>
      <c r="U218" s="4">
        <f>(15/2.5)*2</f>
        <v>12</v>
      </c>
      <c r="V218" s="4">
        <f>(12.5/2.5)*2</f>
        <v>10</v>
      </c>
      <c r="W218" s="4">
        <f>(7.5/2.5)*2</f>
        <v>6</v>
      </c>
      <c r="X218" s="4">
        <f>(7.5/2.5)*2</f>
        <v>6</v>
      </c>
      <c r="Y218" s="4">
        <f>(42.5/2.5)*2</f>
        <v>34</v>
      </c>
      <c r="Z218" s="4">
        <f>(7.5/2.5)*2</f>
        <v>6</v>
      </c>
      <c r="AA218" s="4">
        <f>(7.5/2.5)*2</f>
        <v>6</v>
      </c>
      <c r="AB218" s="4">
        <f>(15/2.5)*2</f>
        <v>12</v>
      </c>
      <c r="AC218" s="4">
        <f>(12.5/2.5)*2</f>
        <v>10</v>
      </c>
      <c r="AD218" s="4">
        <f>(7.5/2.5)*2</f>
        <v>6</v>
      </c>
      <c r="AE218" s="4">
        <f>(7.5/2.5)*2</f>
        <v>6</v>
      </c>
      <c r="AF218" s="4">
        <v>11</v>
      </c>
      <c r="AG218" s="57" t="s">
        <v>747</v>
      </c>
      <c r="AH218" s="57"/>
      <c r="AI218" s="57" t="b">
        <v>1</v>
      </c>
      <c r="AJ218" s="57"/>
      <c r="AK218" s="57"/>
      <c r="AM218">
        <v>218</v>
      </c>
    </row>
    <row r="219" spans="1:39" x14ac:dyDescent="0.25">
      <c r="A219" s="4" t="s">
        <v>439</v>
      </c>
      <c r="B219" s="41" t="s">
        <v>178</v>
      </c>
      <c r="C219" s="4">
        <v>420</v>
      </c>
      <c r="D219" s="4">
        <v>-15</v>
      </c>
      <c r="E219" s="4"/>
      <c r="F219" s="4"/>
      <c r="G219" s="4"/>
      <c r="H219" s="4"/>
      <c r="I219" s="4"/>
      <c r="J219" s="4"/>
      <c r="K219" s="4">
        <v>150</v>
      </c>
      <c r="L219" s="4">
        <v>90</v>
      </c>
      <c r="M219" s="4"/>
      <c r="N219" s="4">
        <v>0</v>
      </c>
      <c r="O219" s="4">
        <v>0</v>
      </c>
      <c r="P219" s="4">
        <v>0</v>
      </c>
      <c r="Q219" s="4">
        <v>2</v>
      </c>
      <c r="R219" s="4">
        <f>(10/2.5)*2</f>
        <v>8</v>
      </c>
      <c r="S219" s="4">
        <f>(25/2.5)*2</f>
        <v>20</v>
      </c>
      <c r="T219" s="4">
        <f>(10/2.5)*2</f>
        <v>8</v>
      </c>
      <c r="U219" s="4">
        <f>(10/2.5)*2</f>
        <v>8</v>
      </c>
      <c r="V219" s="4">
        <f>(45/2.5)*2</f>
        <v>36</v>
      </c>
      <c r="W219" s="4">
        <f>(0/2.5)*2</f>
        <v>0</v>
      </c>
      <c r="X219" s="4">
        <f>(0/2.5)*2</f>
        <v>0</v>
      </c>
      <c r="Y219" s="4">
        <f>(10/2.5)*2</f>
        <v>8</v>
      </c>
      <c r="Z219" s="4">
        <f>(25/2.5)*2</f>
        <v>20</v>
      </c>
      <c r="AA219" s="4">
        <f>(10/2.5)*2</f>
        <v>8</v>
      </c>
      <c r="AB219" s="4">
        <f>(10/2.5)*2</f>
        <v>8</v>
      </c>
      <c r="AC219" s="4">
        <f>(45/2.5)*2</f>
        <v>36</v>
      </c>
      <c r="AD219" s="4">
        <f>(0/2.5)*2</f>
        <v>0</v>
      </c>
      <c r="AE219" s="4">
        <f>(0/2.5)*2</f>
        <v>0</v>
      </c>
      <c r="AF219" s="4">
        <v>11</v>
      </c>
      <c r="AG219" s="57"/>
      <c r="AH219" s="57"/>
      <c r="AI219" s="57" t="b">
        <v>1</v>
      </c>
      <c r="AJ219" s="57"/>
      <c r="AK219" s="57"/>
      <c r="AM219">
        <v>219</v>
      </c>
    </row>
    <row r="220" spans="1:39" x14ac:dyDescent="0.25">
      <c r="A220" s="4" t="s">
        <v>453</v>
      </c>
      <c r="B220" s="41" t="s">
        <v>178</v>
      </c>
      <c r="C220" s="4">
        <v>378</v>
      </c>
      <c r="D220" s="4">
        <v>15</v>
      </c>
      <c r="E220" s="4"/>
      <c r="F220" s="4"/>
      <c r="G220" s="4"/>
      <c r="H220" s="4">
        <v>360</v>
      </c>
      <c r="I220" s="4"/>
      <c r="J220" s="4"/>
      <c r="K220" s="4"/>
      <c r="L220" s="4"/>
      <c r="M220" s="4"/>
      <c r="N220" s="4">
        <v>0</v>
      </c>
      <c r="O220" s="4">
        <v>0</v>
      </c>
      <c r="P220" s="4">
        <v>0</v>
      </c>
      <c r="Q220" s="4">
        <v>0</v>
      </c>
      <c r="R220" s="4">
        <f>(2.5/2.5)*2</f>
        <v>2</v>
      </c>
      <c r="S220" s="4">
        <f>(7.5/2.5)*2</f>
        <v>6</v>
      </c>
      <c r="T220" s="4">
        <f>(12.5/2.5)*2</f>
        <v>10</v>
      </c>
      <c r="U220" s="4">
        <f>(12.5/2.5)*2</f>
        <v>10</v>
      </c>
      <c r="V220" s="4">
        <f>(15/2.5)*2</f>
        <v>12</v>
      </c>
      <c r="W220" s="4">
        <f>(30/2.5)*2</f>
        <v>24</v>
      </c>
      <c r="X220" s="4">
        <f>(7.5/2.5)*2</f>
        <v>6</v>
      </c>
      <c r="Y220" s="4">
        <f>(2.5/2.5)*2</f>
        <v>2</v>
      </c>
      <c r="Z220" s="4">
        <f>(7.5/2.5)*2</f>
        <v>6</v>
      </c>
      <c r="AA220" s="4">
        <f>(12.5/2.5)*2</f>
        <v>10</v>
      </c>
      <c r="AB220" s="4">
        <f>(12.5/2.5)*2</f>
        <v>10</v>
      </c>
      <c r="AC220" s="4">
        <f>(15/2.5)*2</f>
        <v>12</v>
      </c>
      <c r="AD220" s="4">
        <f>(30/2.5)*2</f>
        <v>24</v>
      </c>
      <c r="AE220" s="4">
        <f>(20/2.5)*2</f>
        <v>16</v>
      </c>
      <c r="AF220" s="4">
        <v>11</v>
      </c>
      <c r="AG220" s="57"/>
      <c r="AH220" s="57"/>
      <c r="AI220" s="57" t="b">
        <v>1</v>
      </c>
      <c r="AJ220" s="57"/>
      <c r="AK220" s="57"/>
      <c r="AM220">
        <v>220</v>
      </c>
    </row>
    <row r="221" spans="1:39" x14ac:dyDescent="0.25">
      <c r="A221" s="4" t="s">
        <v>489</v>
      </c>
      <c r="B221" s="41" t="s">
        <v>178</v>
      </c>
      <c r="C221" s="4">
        <v>476</v>
      </c>
      <c r="D221" s="4">
        <v>-40</v>
      </c>
      <c r="E221" s="4"/>
      <c r="F221" s="4"/>
      <c r="G221" s="4"/>
      <c r="H221" s="4"/>
      <c r="I221" s="4">
        <v>60</v>
      </c>
      <c r="J221" s="4"/>
      <c r="K221" s="4"/>
      <c r="L221" s="4"/>
      <c r="M221" s="4"/>
      <c r="N221" s="4">
        <v>0</v>
      </c>
      <c r="O221" s="4">
        <v>0</v>
      </c>
      <c r="P221" s="4">
        <v>0</v>
      </c>
      <c r="Q221" s="4">
        <v>2</v>
      </c>
      <c r="R221" s="4">
        <f>(35/2.5)*2</f>
        <v>28</v>
      </c>
      <c r="S221" s="4">
        <f>(5/2.5)*2</f>
        <v>4</v>
      </c>
      <c r="T221" s="4">
        <f>(5/2.5)*2</f>
        <v>4</v>
      </c>
      <c r="U221" s="4">
        <f>(17.5/2.5)*2</f>
        <v>14</v>
      </c>
      <c r="V221" s="4">
        <f>(10/2.5)*2</f>
        <v>8</v>
      </c>
      <c r="W221" s="4">
        <f>(7.5/2.5)*2</f>
        <v>6</v>
      </c>
      <c r="X221" s="4">
        <f>(7.5/2.5)*2</f>
        <v>6</v>
      </c>
      <c r="Y221" s="4">
        <f>(35/2.5)*2</f>
        <v>28</v>
      </c>
      <c r="Z221" s="4">
        <f>(5/2.5)*2</f>
        <v>4</v>
      </c>
      <c r="AA221" s="4">
        <f>(5/2.5)*2</f>
        <v>4</v>
      </c>
      <c r="AB221" s="4">
        <f>(17.5/2.5)*2</f>
        <v>14</v>
      </c>
      <c r="AC221" s="4">
        <f>(10/2.5)*2</f>
        <v>8</v>
      </c>
      <c r="AD221" s="4">
        <f>(7.5/2.5)*2</f>
        <v>6</v>
      </c>
      <c r="AE221" s="4">
        <f>(20/2.5)*2</f>
        <v>16</v>
      </c>
      <c r="AF221" s="4">
        <v>11</v>
      </c>
      <c r="AG221" s="57"/>
      <c r="AH221" s="57"/>
      <c r="AI221" s="57"/>
      <c r="AJ221" s="57"/>
      <c r="AK221" s="57"/>
      <c r="AM221">
        <v>221</v>
      </c>
    </row>
    <row r="222" spans="1:39" x14ac:dyDescent="0.25">
      <c r="A222" s="4" t="s">
        <v>1072</v>
      </c>
      <c r="B222" s="41" t="s">
        <v>178</v>
      </c>
      <c r="C222" s="4">
        <v>392</v>
      </c>
      <c r="D222" s="4"/>
      <c r="E222" s="4">
        <v>330</v>
      </c>
      <c r="F222" s="4"/>
      <c r="G222" s="4"/>
      <c r="H222" s="4"/>
      <c r="I222" s="4"/>
      <c r="J222" s="4"/>
      <c r="K222" s="4"/>
      <c r="L222" s="4"/>
      <c r="M222" s="4"/>
      <c r="N222" s="4">
        <v>1</v>
      </c>
      <c r="O222" s="4">
        <v>0</v>
      </c>
      <c r="P222" s="4">
        <v>0</v>
      </c>
      <c r="Q222" s="4">
        <v>0</v>
      </c>
      <c r="R222" s="4">
        <f>(50/2.5)*2</f>
        <v>40</v>
      </c>
      <c r="S222" s="4">
        <f>(17.5/2.5)*2</f>
        <v>14</v>
      </c>
      <c r="T222" s="4">
        <f>(5/2.5)*2</f>
        <v>4</v>
      </c>
      <c r="U222" s="4">
        <f>(5/2.5)*2</f>
        <v>4</v>
      </c>
      <c r="V222" s="4">
        <f>(12.5/2.5)*2</f>
        <v>10</v>
      </c>
      <c r="W222" s="4">
        <f>(10/2.5)*2</f>
        <v>8</v>
      </c>
      <c r="X222" s="4">
        <f t="shared" ref="X222:X240" si="29">(0/2.5)*2</f>
        <v>0</v>
      </c>
      <c r="Y222" s="4">
        <f>(50/2.5)*2</f>
        <v>40</v>
      </c>
      <c r="Z222" s="4">
        <f>(17.5/2.5)*2</f>
        <v>14</v>
      </c>
      <c r="AA222" s="4">
        <f>(5/2.5)*2</f>
        <v>4</v>
      </c>
      <c r="AB222" s="4">
        <f>(5/2.5)*2</f>
        <v>4</v>
      </c>
      <c r="AC222" s="4">
        <f>(12.5/2.5)*2</f>
        <v>10</v>
      </c>
      <c r="AD222" s="4">
        <f>(10/2.5)*2</f>
        <v>8</v>
      </c>
      <c r="AE222" s="4">
        <f t="shared" ref="AE222:AE231" si="30">(0/2.5)*2</f>
        <v>0</v>
      </c>
      <c r="AF222" s="4">
        <v>11</v>
      </c>
      <c r="AG222" s="57"/>
      <c r="AH222" s="57"/>
      <c r="AI222" s="57" t="b">
        <v>1</v>
      </c>
      <c r="AJ222" s="57" t="b">
        <v>1</v>
      </c>
      <c r="AK222" s="57"/>
      <c r="AM222">
        <v>222</v>
      </c>
    </row>
    <row r="223" spans="1:39" x14ac:dyDescent="0.25">
      <c r="A223" s="4" t="s">
        <v>1073</v>
      </c>
      <c r="B223" s="41" t="s">
        <v>178</v>
      </c>
      <c r="C223" s="4">
        <v>364</v>
      </c>
      <c r="D223" s="4">
        <v>20</v>
      </c>
      <c r="E223" s="4"/>
      <c r="F223" s="4"/>
      <c r="G223" s="4"/>
      <c r="H223" s="4"/>
      <c r="I223" s="4"/>
      <c r="J223" s="4"/>
      <c r="K223" s="4"/>
      <c r="L223" s="4">
        <v>210</v>
      </c>
      <c r="M223" s="4"/>
      <c r="N223" s="4">
        <v>0</v>
      </c>
      <c r="O223" s="4">
        <v>0</v>
      </c>
      <c r="P223" s="4">
        <v>0</v>
      </c>
      <c r="Q223" s="4">
        <v>0</v>
      </c>
      <c r="R223" s="4">
        <f>(22.5/2.5)*2</f>
        <v>18</v>
      </c>
      <c r="S223" s="4">
        <f>(15/2.5)*2</f>
        <v>12</v>
      </c>
      <c r="T223" s="4">
        <f>(15/2.5)*2</f>
        <v>12</v>
      </c>
      <c r="U223" s="4">
        <f>(25/2.5)*2</f>
        <v>20</v>
      </c>
      <c r="V223" s="4">
        <f>(15/2.5)*2</f>
        <v>12</v>
      </c>
      <c r="W223" s="4">
        <f>(7.5/2.5)*2</f>
        <v>6</v>
      </c>
      <c r="X223" s="4">
        <f t="shared" si="29"/>
        <v>0</v>
      </c>
      <c r="Y223" s="4">
        <f>(22.5/2.5)*2</f>
        <v>18</v>
      </c>
      <c r="Z223" s="4">
        <f>(15/2.5)*2</f>
        <v>12</v>
      </c>
      <c r="AA223" s="4">
        <f>(15/2.5)*2</f>
        <v>12</v>
      </c>
      <c r="AB223" s="4">
        <f>(25/2.5)*2</f>
        <v>20</v>
      </c>
      <c r="AC223" s="4">
        <f>(15/2.5)*2</f>
        <v>12</v>
      </c>
      <c r="AD223" s="4">
        <f>(7.5/2.5)*2</f>
        <v>6</v>
      </c>
      <c r="AE223" s="4">
        <f t="shared" si="30"/>
        <v>0</v>
      </c>
      <c r="AF223" s="4">
        <v>11</v>
      </c>
      <c r="AG223" s="57"/>
      <c r="AH223" s="57"/>
      <c r="AI223" s="57" t="b">
        <v>1</v>
      </c>
      <c r="AJ223" s="57" t="b">
        <v>1</v>
      </c>
      <c r="AK223" s="57"/>
      <c r="AM223">
        <v>223</v>
      </c>
    </row>
    <row r="224" spans="1:39" x14ac:dyDescent="0.25">
      <c r="A224" s="4" t="s">
        <v>1074</v>
      </c>
      <c r="B224" s="41" t="s">
        <v>178</v>
      </c>
      <c r="C224" s="4">
        <v>392</v>
      </c>
      <c r="D224" s="4">
        <v>10</v>
      </c>
      <c r="E224" s="4"/>
      <c r="F224" s="4">
        <v>390</v>
      </c>
      <c r="G224" s="4"/>
      <c r="H224" s="4"/>
      <c r="I224" s="4"/>
      <c r="J224" s="4"/>
      <c r="K224" s="4"/>
      <c r="L224" s="4"/>
      <c r="M224" s="4"/>
      <c r="N224" s="4">
        <v>0</v>
      </c>
      <c r="O224" s="4">
        <v>0</v>
      </c>
      <c r="P224" s="4">
        <v>0</v>
      </c>
      <c r="Q224" s="4">
        <v>0</v>
      </c>
      <c r="R224" s="4">
        <f>(42.5/2.5)*2</f>
        <v>34</v>
      </c>
      <c r="S224" s="4">
        <f>(25/2.5)*2</f>
        <v>20</v>
      </c>
      <c r="T224" s="4">
        <f>(7.5/2.5)*2</f>
        <v>6</v>
      </c>
      <c r="U224" s="4">
        <f>(7.5/2.5)*2</f>
        <v>6</v>
      </c>
      <c r="V224" s="4">
        <f>(10/2.5)*2</f>
        <v>8</v>
      </c>
      <c r="W224" s="4">
        <f>(7.5/2.5)*2</f>
        <v>6</v>
      </c>
      <c r="X224" s="4">
        <f t="shared" si="29"/>
        <v>0</v>
      </c>
      <c r="Y224" s="4">
        <f>(42.5/2.5)*2</f>
        <v>34</v>
      </c>
      <c r="Z224" s="4">
        <f>(25/2.5)*2</f>
        <v>20</v>
      </c>
      <c r="AA224" s="4">
        <f>(7.5/2.5)*2</f>
        <v>6</v>
      </c>
      <c r="AB224" s="4">
        <f>(7.5/2.5)*2</f>
        <v>6</v>
      </c>
      <c r="AC224" s="4">
        <f>(10/2.5)*2</f>
        <v>8</v>
      </c>
      <c r="AD224" s="4">
        <f>(7.5/2.5)*2</f>
        <v>6</v>
      </c>
      <c r="AE224" s="4">
        <f t="shared" si="30"/>
        <v>0</v>
      </c>
      <c r="AF224" s="4">
        <v>11</v>
      </c>
      <c r="AG224" s="57"/>
      <c r="AH224" s="57"/>
      <c r="AI224" s="57" t="b">
        <v>1</v>
      </c>
      <c r="AJ224" s="57" t="b">
        <v>1</v>
      </c>
      <c r="AK224" s="57"/>
      <c r="AM224">
        <v>224</v>
      </c>
    </row>
    <row r="225" spans="1:39" x14ac:dyDescent="0.25">
      <c r="A225" s="4" t="s">
        <v>1075</v>
      </c>
      <c r="B225" s="41" t="s">
        <v>178</v>
      </c>
      <c r="C225" s="4">
        <v>378</v>
      </c>
      <c r="D225" s="4">
        <v>10</v>
      </c>
      <c r="E225" s="4"/>
      <c r="F225" s="4"/>
      <c r="G225" s="4">
        <v>330</v>
      </c>
      <c r="H225" s="4"/>
      <c r="I225" s="4"/>
      <c r="J225" s="4"/>
      <c r="K225" s="4"/>
      <c r="L225" s="4"/>
      <c r="M225" s="4"/>
      <c r="N225" s="4">
        <v>0</v>
      </c>
      <c r="O225" s="4">
        <v>0</v>
      </c>
      <c r="P225" s="4">
        <v>0</v>
      </c>
      <c r="Q225" s="4">
        <v>0</v>
      </c>
      <c r="R225" s="4">
        <f>(57.5/2.5)*2</f>
        <v>46</v>
      </c>
      <c r="S225" s="4">
        <f>(5/2.5)*2</f>
        <v>4</v>
      </c>
      <c r="T225" s="4">
        <f>(5/2.5)*2</f>
        <v>4</v>
      </c>
      <c r="U225" s="4">
        <f>(12.5/2.5)*2</f>
        <v>10</v>
      </c>
      <c r="V225" s="4">
        <f>(2.5/2.5)*2</f>
        <v>2</v>
      </c>
      <c r="W225" s="4">
        <f>(17.5/2.5)*2</f>
        <v>14</v>
      </c>
      <c r="X225" s="4">
        <f t="shared" si="29"/>
        <v>0</v>
      </c>
      <c r="Y225" s="4">
        <f>(57.5/2.5)*2</f>
        <v>46</v>
      </c>
      <c r="Z225" s="4">
        <f>(5/2.5)*2</f>
        <v>4</v>
      </c>
      <c r="AA225" s="4">
        <f>(5/2.5)*2</f>
        <v>4</v>
      </c>
      <c r="AB225" s="4">
        <f>(12.5/2.5)*2</f>
        <v>10</v>
      </c>
      <c r="AC225" s="4">
        <f>(2.5/2.5)*2</f>
        <v>2</v>
      </c>
      <c r="AD225" s="4">
        <f>(17.5/2.5)*2</f>
        <v>14</v>
      </c>
      <c r="AE225" s="4">
        <f t="shared" si="30"/>
        <v>0</v>
      </c>
      <c r="AF225" s="4">
        <v>11</v>
      </c>
      <c r="AG225" s="57"/>
      <c r="AH225" s="57"/>
      <c r="AI225" s="57" t="b">
        <v>1</v>
      </c>
      <c r="AJ225" s="57" t="b">
        <v>1</v>
      </c>
      <c r="AK225" s="57"/>
      <c r="AM225">
        <v>225</v>
      </c>
    </row>
    <row r="226" spans="1:39" x14ac:dyDescent="0.25">
      <c r="A226" s="4" t="s">
        <v>1076</v>
      </c>
      <c r="B226" s="41" t="s">
        <v>178</v>
      </c>
      <c r="C226" s="4">
        <v>420</v>
      </c>
      <c r="D226" s="4">
        <v>-20</v>
      </c>
      <c r="E226" s="4">
        <v>420</v>
      </c>
      <c r="F226" s="4"/>
      <c r="G226" s="4"/>
      <c r="H226" s="4"/>
      <c r="I226" s="4"/>
      <c r="J226" s="4"/>
      <c r="K226" s="4"/>
      <c r="L226" s="4"/>
      <c r="M226" s="4"/>
      <c r="N226" s="4">
        <v>0</v>
      </c>
      <c r="O226" s="4">
        <v>0</v>
      </c>
      <c r="P226" s="4">
        <v>0</v>
      </c>
      <c r="Q226" s="4">
        <v>0</v>
      </c>
      <c r="R226" s="4">
        <f>(27.5/2.5)*2</f>
        <v>22</v>
      </c>
      <c r="S226" s="4">
        <f>(30/2.5)*2</f>
        <v>24</v>
      </c>
      <c r="T226" s="4">
        <f>(10/2.5)*2</f>
        <v>8</v>
      </c>
      <c r="U226" s="4">
        <f>(12.5/2.5)*2</f>
        <v>10</v>
      </c>
      <c r="V226" s="4">
        <f>(20/2.5)*2</f>
        <v>16</v>
      </c>
      <c r="W226" s="4">
        <f>(0/2.5)*2</f>
        <v>0</v>
      </c>
      <c r="X226" s="4">
        <f t="shared" si="29"/>
        <v>0</v>
      </c>
      <c r="Y226" s="4">
        <f>(27.5/2.5)*2</f>
        <v>22</v>
      </c>
      <c r="Z226" s="4">
        <f>(30/2.5)*2</f>
        <v>24</v>
      </c>
      <c r="AA226" s="4">
        <f>(10/2.5)*2</f>
        <v>8</v>
      </c>
      <c r="AB226" s="4">
        <f>(12.5/2.5)*2</f>
        <v>10</v>
      </c>
      <c r="AC226" s="4">
        <f>(20/2.5)*2</f>
        <v>16</v>
      </c>
      <c r="AD226" s="4">
        <f>(0/2.5)*2</f>
        <v>0</v>
      </c>
      <c r="AE226" s="4">
        <f t="shared" si="30"/>
        <v>0</v>
      </c>
      <c r="AF226" s="4">
        <v>11</v>
      </c>
      <c r="AG226" s="57"/>
      <c r="AH226" s="57"/>
      <c r="AI226" s="57" t="b">
        <v>1</v>
      </c>
      <c r="AJ226" s="57" t="b">
        <v>1</v>
      </c>
      <c r="AK226" s="57"/>
      <c r="AM226">
        <v>226</v>
      </c>
    </row>
    <row r="227" spans="1:39" x14ac:dyDescent="0.25">
      <c r="A227" s="4" t="s">
        <v>1077</v>
      </c>
      <c r="B227" s="41" t="s">
        <v>178</v>
      </c>
      <c r="C227" s="4">
        <v>364</v>
      </c>
      <c r="D227" s="4"/>
      <c r="E227" s="4"/>
      <c r="F227" s="4"/>
      <c r="G227" s="4"/>
      <c r="H227" s="4"/>
      <c r="I227" s="4"/>
      <c r="J227" s="4"/>
      <c r="K227" s="4">
        <v>210</v>
      </c>
      <c r="L227" s="4"/>
      <c r="M227" s="4"/>
      <c r="N227" s="4">
        <v>0</v>
      </c>
      <c r="O227" s="4">
        <v>0</v>
      </c>
      <c r="P227" s="4">
        <v>0</v>
      </c>
      <c r="Q227" s="4">
        <v>0</v>
      </c>
      <c r="R227" s="4">
        <f>(30/2.5)*2</f>
        <v>24</v>
      </c>
      <c r="S227" s="4">
        <f>(7.5/2.5)*2</f>
        <v>6</v>
      </c>
      <c r="T227" s="4">
        <f>(15/2.5)*2</f>
        <v>12</v>
      </c>
      <c r="U227" s="4">
        <f>(20/2.5)*2</f>
        <v>16</v>
      </c>
      <c r="V227" s="4">
        <f>(10/2.5)*2</f>
        <v>8</v>
      </c>
      <c r="W227" s="4">
        <f>(17.5/2.5)*2</f>
        <v>14</v>
      </c>
      <c r="X227" s="4">
        <f t="shared" si="29"/>
        <v>0</v>
      </c>
      <c r="Y227" s="4">
        <f>(30/2.5)*2</f>
        <v>24</v>
      </c>
      <c r="Z227" s="4">
        <f>(7.5/2.5)*2</f>
        <v>6</v>
      </c>
      <c r="AA227" s="4">
        <f>(15/2.5)*2</f>
        <v>12</v>
      </c>
      <c r="AB227" s="4">
        <f>(20/2.5)*2</f>
        <v>16</v>
      </c>
      <c r="AC227" s="4">
        <f>(10/2.5)*2</f>
        <v>8</v>
      </c>
      <c r="AD227" s="4">
        <f>(17.5/2.5)*2</f>
        <v>14</v>
      </c>
      <c r="AE227" s="4">
        <f t="shared" si="30"/>
        <v>0</v>
      </c>
      <c r="AF227" s="4">
        <v>11</v>
      </c>
      <c r="AG227" s="57" t="s">
        <v>691</v>
      </c>
      <c r="AH227" s="57"/>
      <c r="AI227" s="57" t="b">
        <v>1</v>
      </c>
      <c r="AJ227" s="57" t="b">
        <v>1</v>
      </c>
      <c r="AK227" s="57"/>
      <c r="AM227">
        <v>227</v>
      </c>
    </row>
    <row r="228" spans="1:39" x14ac:dyDescent="0.25">
      <c r="A228" s="4" t="s">
        <v>1078</v>
      </c>
      <c r="B228" s="41" t="s">
        <v>178</v>
      </c>
      <c r="C228" s="4">
        <v>392</v>
      </c>
      <c r="D228" s="4"/>
      <c r="E228" s="4"/>
      <c r="F228" s="4"/>
      <c r="G228" s="4">
        <v>390</v>
      </c>
      <c r="H228" s="4"/>
      <c r="I228" s="4"/>
      <c r="J228" s="4"/>
      <c r="K228" s="4"/>
      <c r="L228" s="4"/>
      <c r="M228" s="4"/>
      <c r="N228" s="4">
        <v>0</v>
      </c>
      <c r="O228" s="4">
        <v>0</v>
      </c>
      <c r="P228" s="4">
        <v>0</v>
      </c>
      <c r="Q228" s="4">
        <v>0</v>
      </c>
      <c r="R228" s="4">
        <f>(20/2.5)*2</f>
        <v>16</v>
      </c>
      <c r="S228" s="4">
        <f>(12.5/2.5)*2</f>
        <v>10</v>
      </c>
      <c r="T228" s="4">
        <f>(15/2.5)*2</f>
        <v>12</v>
      </c>
      <c r="U228" s="4">
        <f>(30/2.5)*2</f>
        <v>24</v>
      </c>
      <c r="V228" s="4">
        <f>(12.5/2.5)*2</f>
        <v>10</v>
      </c>
      <c r="W228" s="4">
        <f>(10/2.5)*2</f>
        <v>8</v>
      </c>
      <c r="X228" s="4">
        <f t="shared" si="29"/>
        <v>0</v>
      </c>
      <c r="Y228" s="4">
        <f>(20/2.5)*2</f>
        <v>16</v>
      </c>
      <c r="Z228" s="4">
        <f>(12.5/2.5)*2</f>
        <v>10</v>
      </c>
      <c r="AA228" s="4">
        <f>(15/2.5)*2</f>
        <v>12</v>
      </c>
      <c r="AB228" s="4">
        <f>(30/2.5)*2</f>
        <v>24</v>
      </c>
      <c r="AC228" s="4">
        <f>(12.5/2.5)*2</f>
        <v>10</v>
      </c>
      <c r="AD228" s="4">
        <f>(10/2.5)*2</f>
        <v>8</v>
      </c>
      <c r="AE228" s="4">
        <f t="shared" si="30"/>
        <v>0</v>
      </c>
      <c r="AF228" s="4">
        <v>11</v>
      </c>
      <c r="AG228" s="57" t="s">
        <v>691</v>
      </c>
      <c r="AH228" s="57"/>
      <c r="AI228" s="57" t="b">
        <v>1</v>
      </c>
      <c r="AJ228" s="57" t="b">
        <v>1</v>
      </c>
      <c r="AK228" s="57"/>
      <c r="AM228">
        <v>228</v>
      </c>
    </row>
    <row r="229" spans="1:39" x14ac:dyDescent="0.25">
      <c r="A229" s="4" t="s">
        <v>1079</v>
      </c>
      <c r="B229" s="41" t="s">
        <v>178</v>
      </c>
      <c r="C229" s="4">
        <v>378</v>
      </c>
      <c r="D229" s="4">
        <v>20</v>
      </c>
      <c r="E229" s="4">
        <v>270</v>
      </c>
      <c r="F229" s="4"/>
      <c r="G229" s="4"/>
      <c r="H229" s="4"/>
      <c r="I229" s="4"/>
      <c r="J229" s="4"/>
      <c r="K229" s="4"/>
      <c r="L229" s="4"/>
      <c r="M229" s="4"/>
      <c r="N229" s="4">
        <v>0</v>
      </c>
      <c r="O229" s="4">
        <v>0</v>
      </c>
      <c r="P229" s="4">
        <v>0</v>
      </c>
      <c r="Q229" s="4">
        <v>0</v>
      </c>
      <c r="R229" s="4">
        <f>(12.5/2.5)*2</f>
        <v>10</v>
      </c>
      <c r="S229" s="4">
        <f>(30/2.5)*2</f>
        <v>24</v>
      </c>
      <c r="T229" s="4">
        <f>(20/2.5)*2</f>
        <v>16</v>
      </c>
      <c r="U229" s="4">
        <f>(15/2.5)*2</f>
        <v>12</v>
      </c>
      <c r="V229" s="4">
        <f>(10/2.5)*2</f>
        <v>8</v>
      </c>
      <c r="W229" s="4">
        <f>(12.5/2.5)*2</f>
        <v>10</v>
      </c>
      <c r="X229" s="4">
        <f t="shared" si="29"/>
        <v>0</v>
      </c>
      <c r="Y229" s="4">
        <f>(12.5/2.5)*2</f>
        <v>10</v>
      </c>
      <c r="Z229" s="4">
        <f>(30/2.5)*2</f>
        <v>24</v>
      </c>
      <c r="AA229" s="4">
        <f>(20/2.5)*2</f>
        <v>16</v>
      </c>
      <c r="AB229" s="4">
        <f>(15/2.5)*2</f>
        <v>12</v>
      </c>
      <c r="AC229" s="4">
        <f>(10/2.5)*2</f>
        <v>8</v>
      </c>
      <c r="AD229" s="4">
        <f>(12.5/2.5)*2</f>
        <v>10</v>
      </c>
      <c r="AE229" s="4">
        <f t="shared" si="30"/>
        <v>0</v>
      </c>
      <c r="AF229" s="4">
        <v>11</v>
      </c>
      <c r="AG229" s="57" t="s">
        <v>691</v>
      </c>
      <c r="AH229" s="57"/>
      <c r="AI229" s="57" t="b">
        <v>1</v>
      </c>
      <c r="AJ229" s="57" t="b">
        <v>1</v>
      </c>
      <c r="AK229" s="57"/>
      <c r="AM229">
        <v>229</v>
      </c>
    </row>
    <row r="230" spans="1:39" x14ac:dyDescent="0.25">
      <c r="A230" s="4" t="s">
        <v>1080</v>
      </c>
      <c r="B230" s="41" t="s">
        <v>178</v>
      </c>
      <c r="C230" s="4">
        <v>448</v>
      </c>
      <c r="D230" s="4">
        <v>-10</v>
      </c>
      <c r="E230" s="4"/>
      <c r="F230" s="4"/>
      <c r="G230" s="4"/>
      <c r="H230" s="4">
        <v>330</v>
      </c>
      <c r="I230" s="4"/>
      <c r="J230" s="4"/>
      <c r="K230" s="4"/>
      <c r="L230" s="4"/>
      <c r="M230" s="4"/>
      <c r="N230" s="4">
        <v>0</v>
      </c>
      <c r="O230" s="4">
        <v>0</v>
      </c>
      <c r="P230" s="4">
        <v>0</v>
      </c>
      <c r="Q230" s="4">
        <v>0</v>
      </c>
      <c r="R230" s="4">
        <f>(25/2.5)*2</f>
        <v>20</v>
      </c>
      <c r="S230" s="4">
        <f>(12.5/2.5)*2</f>
        <v>10</v>
      </c>
      <c r="T230" s="4">
        <f>(15/2.5)*2</f>
        <v>12</v>
      </c>
      <c r="U230" s="4">
        <f>(30/2.5)*2</f>
        <v>24</v>
      </c>
      <c r="V230" s="4">
        <f>(12.5/2.5)*2</f>
        <v>10</v>
      </c>
      <c r="W230" s="4">
        <f>(5/2.5)*2</f>
        <v>4</v>
      </c>
      <c r="X230" s="4">
        <f t="shared" si="29"/>
        <v>0</v>
      </c>
      <c r="Y230" s="4">
        <f>(25/2.5)*2</f>
        <v>20</v>
      </c>
      <c r="Z230" s="4">
        <f>(12.5/2.5)*2</f>
        <v>10</v>
      </c>
      <c r="AA230" s="4">
        <f>(15/2.5)*2</f>
        <v>12</v>
      </c>
      <c r="AB230" s="4">
        <f>(30/2.5)*2</f>
        <v>24</v>
      </c>
      <c r="AC230" s="4">
        <f>(12.5/2.5)*2</f>
        <v>10</v>
      </c>
      <c r="AD230" s="4">
        <f>(5/2.5)*2</f>
        <v>4</v>
      </c>
      <c r="AE230" s="4">
        <f t="shared" si="30"/>
        <v>0</v>
      </c>
      <c r="AF230" s="4">
        <v>11</v>
      </c>
      <c r="AG230" s="57" t="s">
        <v>691</v>
      </c>
      <c r="AH230" s="57"/>
      <c r="AI230" s="57" t="b">
        <v>1</v>
      </c>
      <c r="AJ230" s="57" t="b">
        <v>1</v>
      </c>
      <c r="AK230" s="57"/>
      <c r="AM230">
        <v>230</v>
      </c>
    </row>
    <row r="231" spans="1:39" x14ac:dyDescent="0.25">
      <c r="A231" s="4" t="s">
        <v>1081</v>
      </c>
      <c r="B231" s="41" t="s">
        <v>178</v>
      </c>
      <c r="C231" s="4">
        <v>406</v>
      </c>
      <c r="D231" s="4">
        <v>-20</v>
      </c>
      <c r="E231" s="4"/>
      <c r="F231" s="4"/>
      <c r="G231" s="4"/>
      <c r="H231" s="4"/>
      <c r="I231" s="4"/>
      <c r="J231" s="4"/>
      <c r="K231" s="4"/>
      <c r="L231" s="4"/>
      <c r="M231" s="4">
        <v>330</v>
      </c>
      <c r="N231" s="4">
        <v>0</v>
      </c>
      <c r="O231" s="4">
        <v>0</v>
      </c>
      <c r="P231" s="4">
        <v>0</v>
      </c>
      <c r="Q231" s="4">
        <v>0</v>
      </c>
      <c r="R231" s="4">
        <f>(27.5/2.5)*2</f>
        <v>22</v>
      </c>
      <c r="S231" s="4">
        <f>(30/2.5)*2</f>
        <v>24</v>
      </c>
      <c r="T231" s="4">
        <f>(10/2.5)*2</f>
        <v>8</v>
      </c>
      <c r="U231" s="4">
        <f>(12.5/2.5)*2</f>
        <v>10</v>
      </c>
      <c r="V231" s="4">
        <f>(20/2.5)*2</f>
        <v>16</v>
      </c>
      <c r="W231" s="4">
        <f>(0/2.5)*2</f>
        <v>0</v>
      </c>
      <c r="X231" s="4">
        <f t="shared" si="29"/>
        <v>0</v>
      </c>
      <c r="Y231" s="4">
        <f>(27.5/2.5)*2</f>
        <v>22</v>
      </c>
      <c r="Z231" s="4">
        <f>(30/2.5)*2</f>
        <v>24</v>
      </c>
      <c r="AA231" s="4">
        <f>(10/2.5)*2</f>
        <v>8</v>
      </c>
      <c r="AB231" s="4">
        <f>(12.5/2.5)*2</f>
        <v>10</v>
      </c>
      <c r="AC231" s="4">
        <f>(20/2.5)*2</f>
        <v>16</v>
      </c>
      <c r="AD231" s="4">
        <f>(0/2.5)*2</f>
        <v>0</v>
      </c>
      <c r="AE231" s="4">
        <f t="shared" si="30"/>
        <v>0</v>
      </c>
      <c r="AF231" s="4">
        <v>11</v>
      </c>
      <c r="AG231" s="57"/>
      <c r="AH231" s="57"/>
      <c r="AI231" s="57" t="b">
        <v>1</v>
      </c>
      <c r="AJ231" s="57" t="b">
        <v>1</v>
      </c>
      <c r="AK231" s="57"/>
      <c r="AM231">
        <v>231</v>
      </c>
    </row>
    <row r="232" spans="1:39" x14ac:dyDescent="0.25">
      <c r="A232" s="4" t="s">
        <v>488</v>
      </c>
      <c r="B232" s="41" t="s">
        <v>178</v>
      </c>
      <c r="C232" s="4">
        <v>392</v>
      </c>
      <c r="D232" s="4"/>
      <c r="E232" s="4"/>
      <c r="F232" s="4"/>
      <c r="G232" s="4"/>
      <c r="H232" s="4"/>
      <c r="I232" s="4"/>
      <c r="J232" s="4"/>
      <c r="K232" s="4"/>
      <c r="L232" s="4"/>
      <c r="M232" s="4"/>
      <c r="N232" s="4">
        <v>0</v>
      </c>
      <c r="O232" s="4">
        <v>0</v>
      </c>
      <c r="P232" s="4">
        <v>0</v>
      </c>
      <c r="Q232" s="4">
        <v>0</v>
      </c>
      <c r="R232" s="4">
        <f>(25/2.5)*2</f>
        <v>20</v>
      </c>
      <c r="S232" s="4">
        <f t="shared" ref="S232:T234" si="31">(7.5/2.5)*2</f>
        <v>6</v>
      </c>
      <c r="T232" s="4">
        <f t="shared" si="31"/>
        <v>6</v>
      </c>
      <c r="U232" s="4">
        <f>(15/2.5)*2</f>
        <v>12</v>
      </c>
      <c r="V232" s="4">
        <f>(12.5/2.5)*2</f>
        <v>10</v>
      </c>
      <c r="W232" s="4">
        <f>(20/2.5)*2</f>
        <v>16</v>
      </c>
      <c r="X232" s="4">
        <f t="shared" si="29"/>
        <v>0</v>
      </c>
      <c r="Y232" s="4">
        <f>(25/2.5)*2</f>
        <v>20</v>
      </c>
      <c r="Z232" s="4">
        <f t="shared" ref="Z232:AA234" si="32">(7.5/2.5)*2</f>
        <v>6</v>
      </c>
      <c r="AA232" s="4">
        <f t="shared" si="32"/>
        <v>6</v>
      </c>
      <c r="AB232" s="4">
        <f>(15/2.5)*2</f>
        <v>12</v>
      </c>
      <c r="AC232" s="4">
        <f>(12.5/2.5)*2</f>
        <v>10</v>
      </c>
      <c r="AD232" s="4">
        <f>(25/2.5)*2</f>
        <v>20</v>
      </c>
      <c r="AE232" s="4">
        <f>(7.5/2.5)*2</f>
        <v>6</v>
      </c>
      <c r="AF232" s="4">
        <v>11</v>
      </c>
      <c r="AG232" s="57"/>
      <c r="AH232" s="57"/>
      <c r="AI232" s="57" t="b">
        <v>1</v>
      </c>
      <c r="AJ232" s="57"/>
      <c r="AK232" s="57"/>
      <c r="AM232">
        <v>232</v>
      </c>
    </row>
    <row r="233" spans="1:39" x14ac:dyDescent="0.25">
      <c r="A233" s="40" t="s">
        <v>313</v>
      </c>
      <c r="B233" s="41" t="s">
        <v>178</v>
      </c>
      <c r="C233" s="41">
        <v>406</v>
      </c>
      <c r="D233" s="41"/>
      <c r="E233" s="41"/>
      <c r="F233" s="41"/>
      <c r="G233" s="41"/>
      <c r="H233" s="41"/>
      <c r="I233" s="41">
        <v>180</v>
      </c>
      <c r="J233" s="41"/>
      <c r="K233" s="41"/>
      <c r="L233" s="41"/>
      <c r="M233" s="41"/>
      <c r="N233" s="41">
        <v>1</v>
      </c>
      <c r="O233" s="41">
        <v>0</v>
      </c>
      <c r="P233" s="41">
        <v>0</v>
      </c>
      <c r="Q233" s="41">
        <v>0</v>
      </c>
      <c r="R233" s="41">
        <f>(17.5/2.5)*2</f>
        <v>14</v>
      </c>
      <c r="S233" s="41">
        <f t="shared" si="31"/>
        <v>6</v>
      </c>
      <c r="T233" s="41">
        <f t="shared" si="31"/>
        <v>6</v>
      </c>
      <c r="U233" s="41">
        <f>(27.5/2.5)*2</f>
        <v>22</v>
      </c>
      <c r="V233" s="41">
        <f>(10/2.5)*2</f>
        <v>8</v>
      </c>
      <c r="W233" s="41">
        <f>(30/2.5)*2</f>
        <v>24</v>
      </c>
      <c r="X233" s="41">
        <f t="shared" si="29"/>
        <v>0</v>
      </c>
      <c r="Y233" s="41">
        <f>(17.5/2.5)*2</f>
        <v>14</v>
      </c>
      <c r="Z233" s="41">
        <f t="shared" si="32"/>
        <v>6</v>
      </c>
      <c r="AA233" s="41">
        <f t="shared" si="32"/>
        <v>6</v>
      </c>
      <c r="AB233" s="41">
        <f>(27.5/2.5)*2</f>
        <v>22</v>
      </c>
      <c r="AC233" s="41">
        <f>(10/2.5)*2</f>
        <v>8</v>
      </c>
      <c r="AD233" s="41">
        <f>(30/2.5)*2</f>
        <v>24</v>
      </c>
      <c r="AE233" s="41">
        <f>(0/2.5)*2</f>
        <v>0</v>
      </c>
      <c r="AF233" s="41">
        <v>12</v>
      </c>
      <c r="AG233" s="56"/>
      <c r="AH233" s="56"/>
      <c r="AI233" s="56" t="b">
        <v>1</v>
      </c>
      <c r="AJ233" s="56"/>
      <c r="AK233" s="56"/>
      <c r="AM233">
        <v>233</v>
      </c>
    </row>
    <row r="234" spans="1:39" x14ac:dyDescent="0.25">
      <c r="A234" s="4" t="s">
        <v>336</v>
      </c>
      <c r="B234" s="41" t="s">
        <v>178</v>
      </c>
      <c r="C234" s="4">
        <v>378</v>
      </c>
      <c r="D234" s="4">
        <v>15</v>
      </c>
      <c r="E234" s="4">
        <v>360</v>
      </c>
      <c r="F234" s="4"/>
      <c r="G234" s="4"/>
      <c r="H234" s="4"/>
      <c r="I234" s="4"/>
      <c r="J234" s="4">
        <v>360</v>
      </c>
      <c r="K234" s="4"/>
      <c r="L234" s="4"/>
      <c r="M234" s="4"/>
      <c r="N234" s="4">
        <v>0</v>
      </c>
      <c r="O234" s="4">
        <v>1</v>
      </c>
      <c r="P234" s="4">
        <v>0</v>
      </c>
      <c r="Q234" s="4">
        <v>0</v>
      </c>
      <c r="R234" s="4">
        <f>(27.5/2.5)*2</f>
        <v>22</v>
      </c>
      <c r="S234" s="4">
        <f t="shared" si="31"/>
        <v>6</v>
      </c>
      <c r="T234" s="4">
        <f t="shared" si="31"/>
        <v>6</v>
      </c>
      <c r="U234" s="4">
        <f>(15/2.5)*2</f>
        <v>12</v>
      </c>
      <c r="V234" s="4">
        <f>(12.5/2.5)*2</f>
        <v>10</v>
      </c>
      <c r="W234" s="4">
        <f>(17.5/2.5)*2</f>
        <v>14</v>
      </c>
      <c r="X234" s="4">
        <f t="shared" si="29"/>
        <v>0</v>
      </c>
      <c r="Y234" s="4">
        <f>(27.5/2.5)*2</f>
        <v>22</v>
      </c>
      <c r="Z234" s="4">
        <f t="shared" si="32"/>
        <v>6</v>
      </c>
      <c r="AA234" s="4">
        <f t="shared" si="32"/>
        <v>6</v>
      </c>
      <c r="AB234" s="4">
        <f>(15/2.5)*2</f>
        <v>12</v>
      </c>
      <c r="AC234" s="4">
        <f>(12.5/2.5)*2</f>
        <v>10</v>
      </c>
      <c r="AD234" s="4">
        <f>(22.5/2.5)*2</f>
        <v>18</v>
      </c>
      <c r="AE234" s="4">
        <f>(7.5/2.5)*2</f>
        <v>6</v>
      </c>
      <c r="AF234" s="4">
        <v>12</v>
      </c>
      <c r="AG234" s="57"/>
      <c r="AH234" s="57"/>
      <c r="AI234" s="57" t="b">
        <v>1</v>
      </c>
      <c r="AJ234" s="57"/>
      <c r="AK234" s="57"/>
      <c r="AM234">
        <v>234</v>
      </c>
    </row>
    <row r="235" spans="1:39" x14ac:dyDescent="0.25">
      <c r="A235" s="4" t="s">
        <v>355</v>
      </c>
      <c r="B235" s="41" t="s">
        <v>178</v>
      </c>
      <c r="C235" s="4">
        <v>392</v>
      </c>
      <c r="D235" s="4">
        <v>15</v>
      </c>
      <c r="E235" s="4"/>
      <c r="F235" s="4"/>
      <c r="G235" s="4"/>
      <c r="H235" s="4"/>
      <c r="I235" s="4">
        <v>240</v>
      </c>
      <c r="J235" s="4"/>
      <c r="K235" s="4"/>
      <c r="L235" s="4"/>
      <c r="M235" s="4"/>
      <c r="N235" s="4">
        <v>0</v>
      </c>
      <c r="O235" s="4">
        <v>0</v>
      </c>
      <c r="P235" s="4">
        <v>0</v>
      </c>
      <c r="Q235" s="4">
        <v>2</v>
      </c>
      <c r="R235" s="4">
        <f>(20/2.5)*2</f>
        <v>16</v>
      </c>
      <c r="S235" s="4">
        <f>(20/2.5)*2</f>
        <v>16</v>
      </c>
      <c r="T235" s="4">
        <f>(7.5/2.5)*2</f>
        <v>6</v>
      </c>
      <c r="U235" s="4">
        <f>(7.5/2.5)*2</f>
        <v>6</v>
      </c>
      <c r="V235" s="4">
        <f>(20/2.5)*2</f>
        <v>16</v>
      </c>
      <c r="W235" s="4">
        <f>(12.5/2.5)*2</f>
        <v>10</v>
      </c>
      <c r="X235" s="4">
        <f t="shared" si="29"/>
        <v>0</v>
      </c>
      <c r="Y235" s="4">
        <f>(20/2.5)*2</f>
        <v>16</v>
      </c>
      <c r="Z235" s="4">
        <f>(20/2.5)*2</f>
        <v>16</v>
      </c>
      <c r="AA235" s="4">
        <f>(7.5/2.5)*2</f>
        <v>6</v>
      </c>
      <c r="AB235" s="4">
        <f>(7.5/2.5)*2</f>
        <v>6</v>
      </c>
      <c r="AC235" s="4">
        <f>(20/2.5)*2</f>
        <v>16</v>
      </c>
      <c r="AD235" s="4">
        <f>(25/2.5)*2</f>
        <v>20</v>
      </c>
      <c r="AE235" s="4">
        <f>(0/2.5)*2</f>
        <v>0</v>
      </c>
      <c r="AF235" s="4">
        <v>12</v>
      </c>
      <c r="AG235" s="57"/>
      <c r="AH235" s="57"/>
      <c r="AI235" s="57" t="b">
        <v>1</v>
      </c>
      <c r="AJ235" s="57"/>
      <c r="AK235" s="57"/>
      <c r="AM235">
        <v>235</v>
      </c>
    </row>
    <row r="236" spans="1:39" x14ac:dyDescent="0.25">
      <c r="A236" s="4" t="s">
        <v>359</v>
      </c>
      <c r="B236" s="41" t="s">
        <v>178</v>
      </c>
      <c r="C236" s="4">
        <v>364</v>
      </c>
      <c r="D236" s="4">
        <v>-10</v>
      </c>
      <c r="E236" s="4"/>
      <c r="F236" s="4"/>
      <c r="G236" s="4"/>
      <c r="H236" s="4"/>
      <c r="I236" s="4"/>
      <c r="J236" s="4"/>
      <c r="K236" s="4"/>
      <c r="L236" s="4"/>
      <c r="M236" s="4">
        <v>240</v>
      </c>
      <c r="N236" s="4">
        <v>1</v>
      </c>
      <c r="O236" s="4">
        <v>0</v>
      </c>
      <c r="P236" s="4">
        <v>0</v>
      </c>
      <c r="Q236" s="4">
        <v>0</v>
      </c>
      <c r="R236" s="4">
        <f>(32.5/2.5)*2</f>
        <v>26</v>
      </c>
      <c r="S236" s="4">
        <f t="shared" ref="S236:T240" si="33">(7.5/2.5)*2</f>
        <v>6</v>
      </c>
      <c r="T236" s="4">
        <f t="shared" si="33"/>
        <v>6</v>
      </c>
      <c r="U236" s="4">
        <f>(15/2.5)*2</f>
        <v>12</v>
      </c>
      <c r="V236" s="4">
        <f>(12.5/2.5)*2</f>
        <v>10</v>
      </c>
      <c r="W236" s="4">
        <f>(12.5/2.5)*2</f>
        <v>10</v>
      </c>
      <c r="X236" s="4">
        <f t="shared" si="29"/>
        <v>0</v>
      </c>
      <c r="Y236" s="4">
        <f>(32.5/2.5)*2</f>
        <v>26</v>
      </c>
      <c r="Z236" s="4">
        <f t="shared" ref="Z236:AA240" si="34">(7.5/2.5)*2</f>
        <v>6</v>
      </c>
      <c r="AA236" s="4">
        <f t="shared" si="34"/>
        <v>6</v>
      </c>
      <c r="AB236" s="4">
        <f>(15/2.5)*2</f>
        <v>12</v>
      </c>
      <c r="AC236" s="4">
        <f>(12.5/2.5)*2</f>
        <v>10</v>
      </c>
      <c r="AD236" s="4">
        <f>(12.5/2.5)*2</f>
        <v>10</v>
      </c>
      <c r="AE236" s="4">
        <f>(12.5/2.5)*2</f>
        <v>10</v>
      </c>
      <c r="AF236" s="4">
        <v>12</v>
      </c>
      <c r="AG236" s="57"/>
      <c r="AH236" s="57"/>
      <c r="AI236" s="57" t="b">
        <v>1</v>
      </c>
      <c r="AJ236" s="57"/>
      <c r="AK236" s="57"/>
      <c r="AM236">
        <v>236</v>
      </c>
    </row>
    <row r="237" spans="1:39" x14ac:dyDescent="0.25">
      <c r="A237" s="4" t="s">
        <v>383</v>
      </c>
      <c r="B237" s="41" t="s">
        <v>178</v>
      </c>
      <c r="C237" s="4">
        <v>392</v>
      </c>
      <c r="D237" s="4">
        <v>-15</v>
      </c>
      <c r="E237" s="4"/>
      <c r="F237" s="4"/>
      <c r="G237" s="4"/>
      <c r="H237" s="4"/>
      <c r="I237" s="4">
        <v>210</v>
      </c>
      <c r="J237" s="4"/>
      <c r="K237" s="4"/>
      <c r="L237" s="4"/>
      <c r="M237" s="4"/>
      <c r="N237" s="4">
        <v>0</v>
      </c>
      <c r="O237" s="4">
        <v>0</v>
      </c>
      <c r="P237" s="4">
        <v>0</v>
      </c>
      <c r="Q237" s="4">
        <v>0</v>
      </c>
      <c r="R237" s="4">
        <f>(35/2.5)*2</f>
        <v>28</v>
      </c>
      <c r="S237" s="4">
        <f t="shared" si="33"/>
        <v>6</v>
      </c>
      <c r="T237" s="4">
        <f t="shared" si="33"/>
        <v>6</v>
      </c>
      <c r="U237" s="4">
        <f>(15/2.5)*2</f>
        <v>12</v>
      </c>
      <c r="V237" s="4">
        <f>(12.5/2.5)*2</f>
        <v>10</v>
      </c>
      <c r="W237" s="4">
        <f>(10/2.5)*2</f>
        <v>8</v>
      </c>
      <c r="X237" s="4">
        <f t="shared" si="29"/>
        <v>0</v>
      </c>
      <c r="Y237" s="4">
        <f>(35/2.5)*2</f>
        <v>28</v>
      </c>
      <c r="Z237" s="4">
        <f t="shared" si="34"/>
        <v>6</v>
      </c>
      <c r="AA237" s="4">
        <f t="shared" si="34"/>
        <v>6</v>
      </c>
      <c r="AB237" s="4">
        <f>(15/2.5)*2</f>
        <v>12</v>
      </c>
      <c r="AC237" s="4">
        <f>(12.5/2.5)*2</f>
        <v>10</v>
      </c>
      <c r="AD237" s="4">
        <f>(10/2.5)*2</f>
        <v>8</v>
      </c>
      <c r="AE237" s="4">
        <f>(12.5/2.5)*2</f>
        <v>10</v>
      </c>
      <c r="AF237" s="4">
        <v>12</v>
      </c>
      <c r="AG237" s="57"/>
      <c r="AH237" s="57"/>
      <c r="AI237" s="57" t="b">
        <v>1</v>
      </c>
      <c r="AJ237" s="57"/>
      <c r="AK237" s="57"/>
      <c r="AM237">
        <v>237</v>
      </c>
    </row>
    <row r="238" spans="1:39" x14ac:dyDescent="0.25">
      <c r="A238" s="4" t="s">
        <v>386</v>
      </c>
      <c r="B238" s="41" t="s">
        <v>178</v>
      </c>
      <c r="C238" s="4">
        <v>350</v>
      </c>
      <c r="D238" s="4">
        <v>20</v>
      </c>
      <c r="E238" s="4"/>
      <c r="F238" s="4"/>
      <c r="G238" s="4"/>
      <c r="H238" s="4"/>
      <c r="I238" s="4"/>
      <c r="J238" s="4"/>
      <c r="K238" s="4"/>
      <c r="L238" s="4"/>
      <c r="M238" s="4">
        <v>120</v>
      </c>
      <c r="N238" s="4">
        <v>0</v>
      </c>
      <c r="O238" s="4">
        <v>0</v>
      </c>
      <c r="P238" s="4">
        <v>0</v>
      </c>
      <c r="Q238" s="4">
        <v>0</v>
      </c>
      <c r="R238" s="4">
        <f>(27.5/2.5)*2</f>
        <v>22</v>
      </c>
      <c r="S238" s="4">
        <f t="shared" si="33"/>
        <v>6</v>
      </c>
      <c r="T238" s="4">
        <f t="shared" si="33"/>
        <v>6</v>
      </c>
      <c r="U238" s="4">
        <f>(15/2.5)*2</f>
        <v>12</v>
      </c>
      <c r="V238" s="4">
        <f>(12.5/2.5)*2</f>
        <v>10</v>
      </c>
      <c r="W238" s="4">
        <f>(17.5/2.5)*2</f>
        <v>14</v>
      </c>
      <c r="X238" s="4">
        <f t="shared" si="29"/>
        <v>0</v>
      </c>
      <c r="Y238" s="4">
        <f>(27.5/2.5)*2</f>
        <v>22</v>
      </c>
      <c r="Z238" s="4">
        <f t="shared" si="34"/>
        <v>6</v>
      </c>
      <c r="AA238" s="4">
        <f t="shared" si="34"/>
        <v>6</v>
      </c>
      <c r="AB238" s="4">
        <f>(15/2.5)*2</f>
        <v>12</v>
      </c>
      <c r="AC238" s="4">
        <f>(12.5/2.5)*2</f>
        <v>10</v>
      </c>
      <c r="AD238" s="4">
        <f>(22.5/2.5)*2</f>
        <v>18</v>
      </c>
      <c r="AE238" s="4">
        <f>(7.5/2.5)*2</f>
        <v>6</v>
      </c>
      <c r="AF238" s="4">
        <v>12</v>
      </c>
      <c r="AG238" s="57" t="s">
        <v>702</v>
      </c>
      <c r="AH238" s="57"/>
      <c r="AI238" s="57" t="b">
        <v>1</v>
      </c>
      <c r="AJ238" s="57"/>
      <c r="AK238" s="57"/>
      <c r="AM238">
        <v>238</v>
      </c>
    </row>
    <row r="239" spans="1:39" x14ac:dyDescent="0.25">
      <c r="A239" s="4" t="s">
        <v>388</v>
      </c>
      <c r="B239" s="41" t="s">
        <v>178</v>
      </c>
      <c r="C239" s="4">
        <v>378</v>
      </c>
      <c r="D239" s="4"/>
      <c r="E239" s="4"/>
      <c r="F239" s="4"/>
      <c r="G239" s="4"/>
      <c r="H239" s="4"/>
      <c r="I239" s="4"/>
      <c r="J239" s="4"/>
      <c r="K239" s="4"/>
      <c r="L239" s="4"/>
      <c r="M239" s="4">
        <v>90</v>
      </c>
      <c r="N239" s="4">
        <v>0</v>
      </c>
      <c r="O239" s="4">
        <v>0</v>
      </c>
      <c r="P239" s="4">
        <v>0</v>
      </c>
      <c r="Q239" s="4">
        <v>0</v>
      </c>
      <c r="R239" s="4">
        <f>(27.5/2.5)*2</f>
        <v>22</v>
      </c>
      <c r="S239" s="4">
        <f t="shared" si="33"/>
        <v>6</v>
      </c>
      <c r="T239" s="4">
        <f t="shared" si="33"/>
        <v>6</v>
      </c>
      <c r="U239" s="4">
        <f>(15/2.5)*2</f>
        <v>12</v>
      </c>
      <c r="V239" s="4">
        <f>(12.5/2.5)*2</f>
        <v>10</v>
      </c>
      <c r="W239" s="4">
        <f>(17.5/2.5)*2</f>
        <v>14</v>
      </c>
      <c r="X239" s="4">
        <f t="shared" si="29"/>
        <v>0</v>
      </c>
      <c r="Y239" s="4">
        <f>(27.5/2.5)*2</f>
        <v>22</v>
      </c>
      <c r="Z239" s="4">
        <f t="shared" si="34"/>
        <v>6</v>
      </c>
      <c r="AA239" s="4">
        <f t="shared" si="34"/>
        <v>6</v>
      </c>
      <c r="AB239" s="4">
        <f>(15/2.5)*2</f>
        <v>12</v>
      </c>
      <c r="AC239" s="4">
        <f>(12.5/2.5)*2</f>
        <v>10</v>
      </c>
      <c r="AD239" s="4">
        <f>(22.5/2.5)*2</f>
        <v>18</v>
      </c>
      <c r="AE239" s="4">
        <f>(7.5/2.5)*2</f>
        <v>6</v>
      </c>
      <c r="AF239" s="4">
        <v>12</v>
      </c>
      <c r="AG239" s="57" t="s">
        <v>703</v>
      </c>
      <c r="AH239" s="57"/>
      <c r="AI239" s="57" t="b">
        <v>1</v>
      </c>
      <c r="AJ239" s="57"/>
      <c r="AK239" s="57"/>
      <c r="AM239">
        <v>239</v>
      </c>
    </row>
    <row r="240" spans="1:39" x14ac:dyDescent="0.25">
      <c r="A240" s="4" t="s">
        <v>390</v>
      </c>
      <c r="B240" s="41" t="s">
        <v>178</v>
      </c>
      <c r="C240" s="4">
        <v>350</v>
      </c>
      <c r="D240" s="4">
        <v>10</v>
      </c>
      <c r="E240" s="4"/>
      <c r="F240" s="4"/>
      <c r="G240" s="4"/>
      <c r="H240" s="4"/>
      <c r="I240" s="4"/>
      <c r="J240" s="4"/>
      <c r="K240" s="4"/>
      <c r="L240" s="4"/>
      <c r="M240" s="4">
        <v>150</v>
      </c>
      <c r="N240" s="4">
        <v>0</v>
      </c>
      <c r="O240" s="4">
        <v>0</v>
      </c>
      <c r="P240" s="4">
        <v>0</v>
      </c>
      <c r="Q240" s="4">
        <v>0</v>
      </c>
      <c r="R240" s="4">
        <f>(27.5/2.5)*2</f>
        <v>22</v>
      </c>
      <c r="S240" s="4">
        <f t="shared" si="33"/>
        <v>6</v>
      </c>
      <c r="T240" s="4">
        <f t="shared" si="33"/>
        <v>6</v>
      </c>
      <c r="U240" s="4">
        <f>(15/2.5)*2</f>
        <v>12</v>
      </c>
      <c r="V240" s="4">
        <f>(12.5/2.5)*2</f>
        <v>10</v>
      </c>
      <c r="W240" s="4">
        <f>(17.5/2.5)*2</f>
        <v>14</v>
      </c>
      <c r="X240" s="4">
        <f t="shared" si="29"/>
        <v>0</v>
      </c>
      <c r="Y240" s="4">
        <f>(27.5/2.5)*2</f>
        <v>22</v>
      </c>
      <c r="Z240" s="4">
        <f t="shared" si="34"/>
        <v>6</v>
      </c>
      <c r="AA240" s="4">
        <f t="shared" si="34"/>
        <v>6</v>
      </c>
      <c r="AB240" s="4">
        <f>(15/2.5)*2</f>
        <v>12</v>
      </c>
      <c r="AC240" s="4">
        <f>(12.5/2.5)*2</f>
        <v>10</v>
      </c>
      <c r="AD240" s="4">
        <f>(22.5/2.5)*2</f>
        <v>18</v>
      </c>
      <c r="AE240" s="4">
        <f>(7.5/2.5)*2</f>
        <v>6</v>
      </c>
      <c r="AF240" s="4">
        <v>12</v>
      </c>
      <c r="AG240" s="57" t="s">
        <v>704</v>
      </c>
      <c r="AH240" s="57"/>
      <c r="AI240" s="57" t="b">
        <v>1</v>
      </c>
      <c r="AJ240" s="57"/>
      <c r="AK240" s="57"/>
      <c r="AM240">
        <v>240</v>
      </c>
    </row>
    <row r="241" spans="1:39" x14ac:dyDescent="0.25">
      <c r="A241" s="4" t="s">
        <v>395</v>
      </c>
      <c r="B241" s="41" t="s">
        <v>178</v>
      </c>
      <c r="C241" s="4">
        <v>364</v>
      </c>
      <c r="D241" s="4"/>
      <c r="E241" s="4"/>
      <c r="F241" s="4"/>
      <c r="G241" s="4"/>
      <c r="H241" s="4"/>
      <c r="I241" s="4">
        <v>300</v>
      </c>
      <c r="J241" s="4"/>
      <c r="K241" s="4"/>
      <c r="L241" s="4"/>
      <c r="M241" s="4"/>
      <c r="N241" s="4">
        <v>0</v>
      </c>
      <c r="O241" s="4">
        <v>0</v>
      </c>
      <c r="P241" s="4">
        <v>0</v>
      </c>
      <c r="Q241" s="4">
        <v>1</v>
      </c>
      <c r="R241" s="4">
        <f>(35/2.5)*2</f>
        <v>28</v>
      </c>
      <c r="S241" s="4">
        <f>(5/2.5)*2</f>
        <v>4</v>
      </c>
      <c r="T241" s="4">
        <f>(5/2.5)*2</f>
        <v>4</v>
      </c>
      <c r="U241" s="4">
        <f>(17.5/2.5)*2</f>
        <v>14</v>
      </c>
      <c r="V241" s="4">
        <f>(10/2.5)*2</f>
        <v>8</v>
      </c>
      <c r="W241" s="4">
        <f>(7.5/2.5)*2</f>
        <v>6</v>
      </c>
      <c r="X241" s="4">
        <f>(7.5/2.5)*2</f>
        <v>6</v>
      </c>
      <c r="Y241" s="4">
        <f>(35/2.5)*2</f>
        <v>28</v>
      </c>
      <c r="Z241" s="4">
        <f>(5/2.5)*2</f>
        <v>4</v>
      </c>
      <c r="AA241" s="4">
        <f>(5/2.5)*2</f>
        <v>4</v>
      </c>
      <c r="AB241" s="4">
        <f>(17.5/2.5)*2</f>
        <v>14</v>
      </c>
      <c r="AC241" s="4">
        <f>(10/2.5)*2</f>
        <v>8</v>
      </c>
      <c r="AD241" s="4">
        <f>(7.5/2.5)*2</f>
        <v>6</v>
      </c>
      <c r="AE241" s="4">
        <f>(20/2.5)*2</f>
        <v>16</v>
      </c>
      <c r="AF241" s="4">
        <v>12</v>
      </c>
      <c r="AG241" s="57" t="s">
        <v>691</v>
      </c>
      <c r="AH241" s="57"/>
      <c r="AI241" s="57" t="b">
        <v>1</v>
      </c>
      <c r="AJ241" s="57"/>
      <c r="AK241" s="57"/>
      <c r="AM241">
        <v>241</v>
      </c>
    </row>
    <row r="242" spans="1:39" x14ac:dyDescent="0.25">
      <c r="A242" s="4" t="s">
        <v>401</v>
      </c>
      <c r="B242" s="41" t="s">
        <v>178</v>
      </c>
      <c r="C242" s="4">
        <v>378</v>
      </c>
      <c r="D242" s="4"/>
      <c r="E242" s="4"/>
      <c r="F242" s="4"/>
      <c r="G242" s="4"/>
      <c r="H242" s="4"/>
      <c r="I242" s="4">
        <v>210</v>
      </c>
      <c r="J242" s="4"/>
      <c r="K242" s="4"/>
      <c r="L242" s="4"/>
      <c r="M242" s="4"/>
      <c r="N242" s="4">
        <v>0</v>
      </c>
      <c r="O242" s="4">
        <v>1</v>
      </c>
      <c r="P242" s="4">
        <v>0</v>
      </c>
      <c r="Q242" s="4">
        <v>0</v>
      </c>
      <c r="R242" s="4">
        <f>(25/2.5)*2</f>
        <v>20</v>
      </c>
      <c r="S242" s="4">
        <f>(5/2.5)*2</f>
        <v>4</v>
      </c>
      <c r="T242" s="4">
        <f>(5/2.5)*2</f>
        <v>4</v>
      </c>
      <c r="U242" s="4">
        <f>(17.5/2.5)*2</f>
        <v>14</v>
      </c>
      <c r="V242" s="4">
        <f>(10/2.5)*2</f>
        <v>8</v>
      </c>
      <c r="W242" s="4">
        <f>(7.5/2.5)*2</f>
        <v>6</v>
      </c>
      <c r="X242" s="4">
        <f>(17.5/2.5)*2</f>
        <v>14</v>
      </c>
      <c r="Y242" s="4">
        <f>(25/2.5)*2</f>
        <v>20</v>
      </c>
      <c r="Z242" s="4">
        <f>(5/2.5)*2</f>
        <v>4</v>
      </c>
      <c r="AA242" s="4">
        <f>(5/2.5)*2</f>
        <v>4</v>
      </c>
      <c r="AB242" s="4">
        <f>(17.5/2.5)*2</f>
        <v>14</v>
      </c>
      <c r="AC242" s="4">
        <f>(10/2.5)*2</f>
        <v>8</v>
      </c>
      <c r="AD242" s="4">
        <f>(7.5/2.5)*2</f>
        <v>6</v>
      </c>
      <c r="AE242" s="4">
        <f>(30/2.5)*2</f>
        <v>24</v>
      </c>
      <c r="AF242" s="4">
        <v>12</v>
      </c>
      <c r="AG242" s="57"/>
      <c r="AH242" s="57"/>
      <c r="AI242" s="57" t="b">
        <v>1</v>
      </c>
      <c r="AJ242" s="57"/>
      <c r="AK242" s="57"/>
      <c r="AM242">
        <v>242</v>
      </c>
    </row>
    <row r="243" spans="1:39" x14ac:dyDescent="0.25">
      <c r="A243" s="4" t="s">
        <v>410</v>
      </c>
      <c r="B243" s="41" t="s">
        <v>178</v>
      </c>
      <c r="C243" s="4">
        <v>378</v>
      </c>
      <c r="D243" s="4"/>
      <c r="E243" s="4"/>
      <c r="F243" s="4"/>
      <c r="G243" s="4"/>
      <c r="H243" s="4">
        <v>210</v>
      </c>
      <c r="I243" s="4"/>
      <c r="J243" s="4"/>
      <c r="K243" s="4"/>
      <c r="L243" s="4"/>
      <c r="M243" s="4"/>
      <c r="N243" s="4">
        <v>0</v>
      </c>
      <c r="O243" s="4">
        <v>0</v>
      </c>
      <c r="P243" s="4">
        <v>0</v>
      </c>
      <c r="Q243" s="4">
        <v>1</v>
      </c>
      <c r="R243" s="4">
        <f>(30/2.5)*2</f>
        <v>24</v>
      </c>
      <c r="S243" s="4">
        <f>(7.5/2.5)*2</f>
        <v>6</v>
      </c>
      <c r="T243" s="4">
        <f>(7.5/2.5)*2</f>
        <v>6</v>
      </c>
      <c r="U243" s="4">
        <f>(15/2.5)*2</f>
        <v>12</v>
      </c>
      <c r="V243" s="4">
        <f>(12.5/2.5)*2</f>
        <v>10</v>
      </c>
      <c r="W243" s="4">
        <f>(15/2.5)*2</f>
        <v>12</v>
      </c>
      <c r="X243" s="4">
        <f>(0/2.5)*2</f>
        <v>0</v>
      </c>
      <c r="Y243" s="4">
        <f>(30/2.5)*2</f>
        <v>24</v>
      </c>
      <c r="Z243" s="4">
        <f>(7.5/2.5)*2</f>
        <v>6</v>
      </c>
      <c r="AA243" s="4">
        <f>(7.5/2.5)*2</f>
        <v>6</v>
      </c>
      <c r="AB243" s="4">
        <f>(15/2.5)*2</f>
        <v>12</v>
      </c>
      <c r="AC243" s="4">
        <f>(12.5/2.5)*2</f>
        <v>10</v>
      </c>
      <c r="AD243" s="4">
        <f>(15/2.5)*2</f>
        <v>12</v>
      </c>
      <c r="AE243" s="4">
        <f>(12.5/2.5)*2</f>
        <v>10</v>
      </c>
      <c r="AF243" s="4">
        <v>12</v>
      </c>
      <c r="AG243" s="57"/>
      <c r="AH243" s="57"/>
      <c r="AI243" s="57" t="b">
        <v>1</v>
      </c>
      <c r="AJ243" s="57"/>
      <c r="AK243" s="57"/>
      <c r="AM243">
        <v>243</v>
      </c>
    </row>
    <row r="244" spans="1:39" x14ac:dyDescent="0.25">
      <c r="A244" s="4" t="s">
        <v>417</v>
      </c>
      <c r="B244" s="41" t="s">
        <v>178</v>
      </c>
      <c r="C244" s="4">
        <v>392</v>
      </c>
      <c r="D244" s="4"/>
      <c r="E244" s="4"/>
      <c r="F244" s="4"/>
      <c r="G244" s="4"/>
      <c r="H244" s="4"/>
      <c r="I244" s="4">
        <v>330</v>
      </c>
      <c r="J244" s="4"/>
      <c r="K244" s="4"/>
      <c r="L244" s="4"/>
      <c r="M244" s="4"/>
      <c r="N244" s="4">
        <v>2</v>
      </c>
      <c r="O244" s="4">
        <v>0</v>
      </c>
      <c r="P244" s="4">
        <v>0</v>
      </c>
      <c r="Q244" s="4">
        <v>0</v>
      </c>
      <c r="R244" s="4">
        <f>(37.5/2.5)*2</f>
        <v>30</v>
      </c>
      <c r="S244" s="4">
        <f>(7.5/2.5)*2</f>
        <v>6</v>
      </c>
      <c r="T244" s="4">
        <f>(7.5/2.5)*2</f>
        <v>6</v>
      </c>
      <c r="U244" s="4">
        <f>(15/2.5)*2</f>
        <v>12</v>
      </c>
      <c r="V244" s="4">
        <f>(12.5/2.5)*2</f>
        <v>10</v>
      </c>
      <c r="W244" s="4">
        <f>(7.5/2.5)*2</f>
        <v>6</v>
      </c>
      <c r="X244" s="4">
        <f>(0/2.5)*2</f>
        <v>0</v>
      </c>
      <c r="Y244" s="4">
        <f>(37.5/2.5)*2</f>
        <v>30</v>
      </c>
      <c r="Z244" s="4">
        <f>(7.5/2.5)*2</f>
        <v>6</v>
      </c>
      <c r="AA244" s="4">
        <f>(7.5/2.5)*2</f>
        <v>6</v>
      </c>
      <c r="AB244" s="4">
        <f>(15/2.5)*2</f>
        <v>12</v>
      </c>
      <c r="AC244" s="4">
        <f>(12.5/2.5)*2</f>
        <v>10</v>
      </c>
      <c r="AD244" s="4">
        <f>(12.5/2.5)*2</f>
        <v>10</v>
      </c>
      <c r="AE244" s="4">
        <f>(7.5/2.5)*2</f>
        <v>6</v>
      </c>
      <c r="AF244" s="4">
        <v>12</v>
      </c>
      <c r="AG244" s="57" t="s">
        <v>691</v>
      </c>
      <c r="AH244" s="57"/>
      <c r="AI244" s="57" t="b">
        <v>1</v>
      </c>
      <c r="AJ244" s="57"/>
      <c r="AK244" s="57"/>
      <c r="AM244">
        <v>244</v>
      </c>
    </row>
    <row r="245" spans="1:39" x14ac:dyDescent="0.25">
      <c r="A245" s="4" t="s">
        <v>419</v>
      </c>
      <c r="B245" s="41" t="s">
        <v>178</v>
      </c>
      <c r="C245" s="4">
        <v>434</v>
      </c>
      <c r="D245" s="4">
        <v>-10</v>
      </c>
      <c r="E245" s="4"/>
      <c r="F245" s="4"/>
      <c r="G245" s="4">
        <v>90</v>
      </c>
      <c r="H245" s="4"/>
      <c r="I245" s="4"/>
      <c r="J245" s="4"/>
      <c r="K245" s="4"/>
      <c r="L245" s="4"/>
      <c r="M245" s="4"/>
      <c r="N245" s="4">
        <v>0</v>
      </c>
      <c r="O245" s="4">
        <v>0</v>
      </c>
      <c r="P245" s="4">
        <v>0</v>
      </c>
      <c r="Q245" s="4">
        <v>1</v>
      </c>
      <c r="R245" s="4">
        <f>(20/2.5)*2</f>
        <v>16</v>
      </c>
      <c r="S245" s="4">
        <f>(25/2.5)*2</f>
        <v>20</v>
      </c>
      <c r="T245" s="4">
        <f>(10/2.5)*2</f>
        <v>8</v>
      </c>
      <c r="U245" s="4">
        <f>(12.5/2.5)*2</f>
        <v>10</v>
      </c>
      <c r="V245" s="4">
        <f>(20/2.5)*2</f>
        <v>16</v>
      </c>
      <c r="W245" s="4">
        <f>(0/2.5)*2</f>
        <v>0</v>
      </c>
      <c r="X245" s="4">
        <f>(0/2.5)*2</f>
        <v>0</v>
      </c>
      <c r="Y245" s="4">
        <f>(20/2.5)*2</f>
        <v>16</v>
      </c>
      <c r="Z245" s="4">
        <f>(25/2.5)*2</f>
        <v>20</v>
      </c>
      <c r="AA245" s="4">
        <f>(10/2.5)*2</f>
        <v>8</v>
      </c>
      <c r="AB245" s="4">
        <f>(12.5/2.5)*2</f>
        <v>10</v>
      </c>
      <c r="AC245" s="4">
        <f>(20/2.5)*2</f>
        <v>16</v>
      </c>
      <c r="AD245" s="4">
        <f>(12.5/2.5)*2</f>
        <v>10</v>
      </c>
      <c r="AE245" s="4">
        <f>(0/2.5)*2</f>
        <v>0</v>
      </c>
      <c r="AF245" s="4">
        <v>12</v>
      </c>
      <c r="AG245" s="57"/>
      <c r="AH245" s="57"/>
      <c r="AI245" s="57" t="b">
        <v>1</v>
      </c>
      <c r="AJ245" s="57"/>
      <c r="AK245" s="57"/>
      <c r="AM245">
        <v>245</v>
      </c>
    </row>
    <row r="246" spans="1:39" x14ac:dyDescent="0.25">
      <c r="A246" s="4" t="s">
        <v>421</v>
      </c>
      <c r="B246" s="41" t="s">
        <v>178</v>
      </c>
      <c r="C246" s="4">
        <v>392</v>
      </c>
      <c r="D246" s="4"/>
      <c r="E246" s="4"/>
      <c r="F246" s="4"/>
      <c r="G246" s="4"/>
      <c r="H246" s="4"/>
      <c r="I246" s="4">
        <v>480</v>
      </c>
      <c r="J246" s="4"/>
      <c r="K246" s="4"/>
      <c r="L246" s="4"/>
      <c r="M246" s="4"/>
      <c r="N246" s="4">
        <v>0</v>
      </c>
      <c r="O246" s="4">
        <v>2</v>
      </c>
      <c r="P246" s="4">
        <v>0</v>
      </c>
      <c r="Q246" s="4">
        <v>0</v>
      </c>
      <c r="R246" s="4">
        <f>(20/2.5)*2</f>
        <v>16</v>
      </c>
      <c r="S246" s="4">
        <f>(5/2.5)*2</f>
        <v>4</v>
      </c>
      <c r="T246" s="4">
        <f>(5/2.5)*2</f>
        <v>4</v>
      </c>
      <c r="U246" s="4">
        <f>(17.5/2.5)*2</f>
        <v>14</v>
      </c>
      <c r="V246" s="4">
        <f>(10/2.5)*2</f>
        <v>8</v>
      </c>
      <c r="W246" s="4">
        <f>(7.5/2.5)*2</f>
        <v>6</v>
      </c>
      <c r="X246" s="4">
        <f>(22.5/2.5)*2</f>
        <v>18</v>
      </c>
      <c r="Y246" s="4">
        <f>(20/2.5)*2</f>
        <v>16</v>
      </c>
      <c r="Z246" s="4">
        <f>(5/2.5)*2</f>
        <v>4</v>
      </c>
      <c r="AA246" s="4">
        <f>(5/2.5)*2</f>
        <v>4</v>
      </c>
      <c r="AB246" s="4">
        <f>(17.5/2.5)*2</f>
        <v>14</v>
      </c>
      <c r="AC246" s="4">
        <f>(10/2.5)*2</f>
        <v>8</v>
      </c>
      <c r="AD246" s="4">
        <f>(7.5/2.5)*2</f>
        <v>6</v>
      </c>
      <c r="AE246" s="4">
        <f>(35/2.5)*2</f>
        <v>28</v>
      </c>
      <c r="AF246" s="4">
        <v>12</v>
      </c>
      <c r="AG246" s="57"/>
      <c r="AH246" s="57"/>
      <c r="AI246" s="57" t="b">
        <v>1</v>
      </c>
      <c r="AJ246" s="57"/>
      <c r="AK246" s="57"/>
      <c r="AM246">
        <v>246</v>
      </c>
    </row>
    <row r="247" spans="1:39" x14ac:dyDescent="0.25">
      <c r="A247" s="4" t="s">
        <v>426</v>
      </c>
      <c r="B247" s="41" t="s">
        <v>178</v>
      </c>
      <c r="C247" s="4">
        <v>364</v>
      </c>
      <c r="D247" s="4"/>
      <c r="E247" s="4"/>
      <c r="F247" s="4"/>
      <c r="G247" s="4">
        <v>240</v>
      </c>
      <c r="H247" s="4"/>
      <c r="I247" s="4"/>
      <c r="J247" s="4"/>
      <c r="K247" s="4"/>
      <c r="L247" s="4"/>
      <c r="M247" s="4"/>
      <c r="N247" s="4">
        <v>0</v>
      </c>
      <c r="O247" s="4">
        <v>1</v>
      </c>
      <c r="P247" s="4">
        <v>0</v>
      </c>
      <c r="Q247" s="4">
        <v>0</v>
      </c>
      <c r="R247" s="4">
        <f>(27.5/2.5)*2</f>
        <v>22</v>
      </c>
      <c r="S247" s="4">
        <f>(7.5/2.5)*2</f>
        <v>6</v>
      </c>
      <c r="T247" s="4">
        <f>(22.5/2.5)*2</f>
        <v>18</v>
      </c>
      <c r="U247" s="4">
        <f>(7.5/2.5)*2</f>
        <v>6</v>
      </c>
      <c r="V247" s="4">
        <f>(7.5/2.5)*2</f>
        <v>6</v>
      </c>
      <c r="W247" s="4">
        <f>(15/2.5)*2</f>
        <v>12</v>
      </c>
      <c r="X247" s="4">
        <f>(0/2.5)*2</f>
        <v>0</v>
      </c>
      <c r="Y247" s="4">
        <f>(27.5/2.5)*2</f>
        <v>22</v>
      </c>
      <c r="Z247" s="4">
        <f>(7.5/2.5)*2</f>
        <v>6</v>
      </c>
      <c r="AA247" s="4">
        <f>(22.5/2.5)*2</f>
        <v>18</v>
      </c>
      <c r="AB247" s="4">
        <f>(7.5/2.5)*2</f>
        <v>6</v>
      </c>
      <c r="AC247" s="4">
        <f>(7.5/2.5)*2</f>
        <v>6</v>
      </c>
      <c r="AD247" s="4">
        <f>(22.5/2.5)*2</f>
        <v>18</v>
      </c>
      <c r="AE247" s="4">
        <f>(5/2.5)*2</f>
        <v>4</v>
      </c>
      <c r="AF247" s="4">
        <v>12</v>
      </c>
      <c r="AG247" s="57"/>
      <c r="AH247" s="57"/>
      <c r="AI247" s="57" t="b">
        <v>1</v>
      </c>
      <c r="AJ247" s="57"/>
      <c r="AK247" s="57"/>
      <c r="AM247">
        <v>247</v>
      </c>
    </row>
    <row r="248" spans="1:39" x14ac:dyDescent="0.25">
      <c r="A248" s="4" t="s">
        <v>441</v>
      </c>
      <c r="B248" s="41" t="s">
        <v>178</v>
      </c>
      <c r="C248" s="4">
        <v>378</v>
      </c>
      <c r="D248" s="4">
        <v>15</v>
      </c>
      <c r="E248" s="4"/>
      <c r="F248" s="4">
        <v>330</v>
      </c>
      <c r="G248" s="4"/>
      <c r="H248" s="4"/>
      <c r="I248" s="4"/>
      <c r="J248" s="4"/>
      <c r="K248" s="4"/>
      <c r="L248" s="4"/>
      <c r="M248" s="4"/>
      <c r="N248" s="4">
        <v>0</v>
      </c>
      <c r="O248" s="4">
        <v>0</v>
      </c>
      <c r="P248" s="4">
        <v>1</v>
      </c>
      <c r="Q248" s="4">
        <v>0</v>
      </c>
      <c r="R248" s="4">
        <f>(32.5/2.5)*2</f>
        <v>26</v>
      </c>
      <c r="S248" s="4">
        <f>(7.5/2.5)*2</f>
        <v>6</v>
      </c>
      <c r="T248" s="4">
        <f>(7.5/2.5)*2</f>
        <v>6</v>
      </c>
      <c r="U248" s="4">
        <f>(15/2.5)*2</f>
        <v>12</v>
      </c>
      <c r="V248" s="4">
        <f>(12.5/2.5)*2</f>
        <v>10</v>
      </c>
      <c r="W248" s="4">
        <f>(12.5/2.5)*2</f>
        <v>10</v>
      </c>
      <c r="X248" s="4">
        <f>(0/2.5)*2</f>
        <v>0</v>
      </c>
      <c r="Y248" s="4">
        <f>(32.5/2.5)*2</f>
        <v>26</v>
      </c>
      <c r="Z248" s="4">
        <f>(7.5/2.5)*2</f>
        <v>6</v>
      </c>
      <c r="AA248" s="4">
        <f>(7.5/2.5)*2</f>
        <v>6</v>
      </c>
      <c r="AB248" s="4">
        <f>(15/2.5)*2</f>
        <v>12</v>
      </c>
      <c r="AC248" s="4">
        <f>(12.5/2.5)*2</f>
        <v>10</v>
      </c>
      <c r="AD248" s="4">
        <f>(12.5/2.5)*2</f>
        <v>10</v>
      </c>
      <c r="AE248" s="4">
        <f>(12.5/2.5)*2</f>
        <v>10</v>
      </c>
      <c r="AF248" s="4">
        <v>12</v>
      </c>
      <c r="AG248" s="57" t="s">
        <v>691</v>
      </c>
      <c r="AH248" s="57"/>
      <c r="AI248" s="57" t="b">
        <v>1</v>
      </c>
      <c r="AJ248" s="57"/>
      <c r="AK248" s="57"/>
      <c r="AM248">
        <v>248</v>
      </c>
    </row>
    <row r="249" spans="1:39" x14ac:dyDescent="0.25">
      <c r="A249" s="4" t="s">
        <v>442</v>
      </c>
      <c r="B249" s="41" t="s">
        <v>178</v>
      </c>
      <c r="C249" s="4">
        <v>406</v>
      </c>
      <c r="D249" s="4">
        <v>15</v>
      </c>
      <c r="E249" s="4"/>
      <c r="F249" s="4"/>
      <c r="G249" s="4">
        <v>270</v>
      </c>
      <c r="H249" s="4"/>
      <c r="I249" s="4"/>
      <c r="J249" s="4"/>
      <c r="K249" s="4"/>
      <c r="L249" s="4"/>
      <c r="M249" s="4"/>
      <c r="N249" s="4">
        <v>0</v>
      </c>
      <c r="O249" s="4">
        <v>0</v>
      </c>
      <c r="P249" s="4">
        <v>0</v>
      </c>
      <c r="Q249" s="4">
        <v>0</v>
      </c>
      <c r="R249" s="4">
        <f>(27.5/2.5)*2</f>
        <v>22</v>
      </c>
      <c r="S249" s="4">
        <f>(5/2.5)*2</f>
        <v>4</v>
      </c>
      <c r="T249" s="4">
        <f>(5/2.5)*2</f>
        <v>4</v>
      </c>
      <c r="U249" s="4">
        <f>(17.5/2.5)*2</f>
        <v>14</v>
      </c>
      <c r="V249" s="4">
        <f>(10/2.5)*2</f>
        <v>8</v>
      </c>
      <c r="W249" s="4">
        <f>(7.5/2.5)*2</f>
        <v>6</v>
      </c>
      <c r="X249" s="4">
        <f>(15/2.5)*2</f>
        <v>12</v>
      </c>
      <c r="Y249" s="4">
        <f>(27.5/2.5)*2</f>
        <v>22</v>
      </c>
      <c r="Z249" s="4">
        <f>(5/2.5)*2</f>
        <v>4</v>
      </c>
      <c r="AA249" s="4">
        <f>(5/2.5)*2</f>
        <v>4</v>
      </c>
      <c r="AB249" s="4">
        <f>(17.5/2.5)*2</f>
        <v>14</v>
      </c>
      <c r="AC249" s="4">
        <f>(10/2.5)*2</f>
        <v>8</v>
      </c>
      <c r="AD249" s="4">
        <f>(7.5/2.5)*2</f>
        <v>6</v>
      </c>
      <c r="AE249" s="4">
        <f>(27.5/2.5)*2</f>
        <v>22</v>
      </c>
      <c r="AF249" s="4">
        <v>12</v>
      </c>
      <c r="AG249" s="57"/>
      <c r="AH249" s="57"/>
      <c r="AI249" s="57" t="b">
        <v>1</v>
      </c>
      <c r="AJ249" s="57"/>
      <c r="AK249" s="57"/>
      <c r="AM249">
        <v>249</v>
      </c>
    </row>
    <row r="250" spans="1:39" x14ac:dyDescent="0.25">
      <c r="A250" s="4" t="s">
        <v>443</v>
      </c>
      <c r="B250" s="41" t="s">
        <v>178</v>
      </c>
      <c r="C250" s="4">
        <v>420</v>
      </c>
      <c r="D250" s="4"/>
      <c r="E250" s="4"/>
      <c r="F250" s="4"/>
      <c r="G250" s="4"/>
      <c r="H250" s="4"/>
      <c r="I250" s="4"/>
      <c r="J250" s="4"/>
      <c r="K250" s="4"/>
      <c r="L250" s="4"/>
      <c r="M250" s="4">
        <v>120</v>
      </c>
      <c r="N250" s="4">
        <v>0</v>
      </c>
      <c r="O250" s="4">
        <v>0</v>
      </c>
      <c r="P250" s="4">
        <v>1</v>
      </c>
      <c r="Q250" s="4">
        <v>1</v>
      </c>
      <c r="R250" s="4">
        <f>(35/2.5)*2</f>
        <v>28</v>
      </c>
      <c r="S250" s="4">
        <f>(7.5/2.5)*2</f>
        <v>6</v>
      </c>
      <c r="T250" s="4">
        <f>(7.5/2.5)*2</f>
        <v>6</v>
      </c>
      <c r="U250" s="4">
        <f>(15/2.5)*2</f>
        <v>12</v>
      </c>
      <c r="V250" s="4">
        <f>(12.5/2.5)*2</f>
        <v>10</v>
      </c>
      <c r="W250" s="4">
        <f>(15/2.5)*2</f>
        <v>12</v>
      </c>
      <c r="X250" s="4">
        <f>(7.5/2.5)*2</f>
        <v>6</v>
      </c>
      <c r="Y250" s="4">
        <f>(35/2.5)*2</f>
        <v>28</v>
      </c>
      <c r="Z250" s="4">
        <f>(7.5/2.5)*2</f>
        <v>6</v>
      </c>
      <c r="AA250" s="4">
        <f>(7.5/2.5)*2</f>
        <v>6</v>
      </c>
      <c r="AB250" s="4">
        <f>(15/2.5)*2</f>
        <v>12</v>
      </c>
      <c r="AC250" s="4">
        <f>(12.5/2.5)*2</f>
        <v>10</v>
      </c>
      <c r="AD250" s="4">
        <f>(15/2.5)*2</f>
        <v>12</v>
      </c>
      <c r="AE250" s="4">
        <f>(7.5/2.5)*2</f>
        <v>6</v>
      </c>
      <c r="AF250" s="4">
        <v>12</v>
      </c>
      <c r="AG250" s="57"/>
      <c r="AH250" s="57"/>
      <c r="AI250" s="57" t="b">
        <v>1</v>
      </c>
      <c r="AJ250" s="57"/>
      <c r="AK250" s="57"/>
      <c r="AM250">
        <v>250</v>
      </c>
    </row>
    <row r="251" spans="1:39" x14ac:dyDescent="0.25">
      <c r="A251" s="4" t="s">
        <v>444</v>
      </c>
      <c r="B251" s="41" t="s">
        <v>178</v>
      </c>
      <c r="C251" s="4">
        <v>378</v>
      </c>
      <c r="D251" s="4">
        <v>5</v>
      </c>
      <c r="E251" s="4"/>
      <c r="F251" s="4"/>
      <c r="G251" s="4"/>
      <c r="H251" s="4"/>
      <c r="I251" s="4"/>
      <c r="J251" s="4"/>
      <c r="K251" s="4"/>
      <c r="L251" s="4">
        <v>90</v>
      </c>
      <c r="M251" s="4"/>
      <c r="N251" s="4">
        <v>0</v>
      </c>
      <c r="O251" s="4">
        <v>0</v>
      </c>
      <c r="P251" s="4">
        <v>0</v>
      </c>
      <c r="Q251" s="4">
        <v>1</v>
      </c>
      <c r="R251" s="4">
        <f t="shared" ref="R251:R259" si="35">(25/2.5)*2</f>
        <v>20</v>
      </c>
      <c r="S251" s="4">
        <f t="shared" ref="S251:U259" si="36">(12.5/2.5)*2</f>
        <v>10</v>
      </c>
      <c r="T251" s="4">
        <f t="shared" si="36"/>
        <v>10</v>
      </c>
      <c r="U251" s="4">
        <f t="shared" si="36"/>
        <v>10</v>
      </c>
      <c r="V251" s="4">
        <f t="shared" ref="V251:V259" si="37">(15/2.5)*2</f>
        <v>12</v>
      </c>
      <c r="W251" s="4">
        <f>IF(Backdoors!K54&gt;=16,24,((10/2.5)*2)+Backdoors!K54)</f>
        <v>8</v>
      </c>
      <c r="X251" s="4">
        <f>IF(Backdoors!K54&gt;=16,(Backdoors!K54-16),0)</f>
        <v>0</v>
      </c>
      <c r="Y251" s="4">
        <f t="shared" ref="Y251:Y259" si="38">(25/2.5)*2</f>
        <v>20</v>
      </c>
      <c r="Z251" s="4">
        <f t="shared" ref="Z251:AB259" si="39">(12.5/2.5)*2</f>
        <v>10</v>
      </c>
      <c r="AA251" s="4">
        <f t="shared" si="39"/>
        <v>10</v>
      </c>
      <c r="AB251" s="4">
        <f t="shared" si="39"/>
        <v>10</v>
      </c>
      <c r="AC251" s="4">
        <f t="shared" ref="AC251:AC259" si="40">(15/2.5)*2</f>
        <v>12</v>
      </c>
      <c r="AD251" s="4">
        <f>IF(Backdoors!K54&gt;=6,((22.5/2.5)*2)-IF(Backdoors!K54&gt;=10,10,(Backdoors!K54-6)),(22.5/2.5)*2)</f>
        <v>18</v>
      </c>
      <c r="AE251" s="4">
        <f>IF(Backdoors!K54&gt;=6,(Backdoors!K54-6),0)</f>
        <v>0</v>
      </c>
      <c r="AF251" s="4">
        <v>12</v>
      </c>
      <c r="AG251" s="57"/>
      <c r="AH251" s="57"/>
      <c r="AI251" s="57" t="b">
        <v>1</v>
      </c>
      <c r="AJ251" s="57"/>
      <c r="AK251" s="57" t="b">
        <v>1</v>
      </c>
      <c r="AM251">
        <v>251</v>
      </c>
    </row>
    <row r="252" spans="1:39" x14ac:dyDescent="0.25">
      <c r="A252" s="4" t="s">
        <v>445</v>
      </c>
      <c r="B252" s="41" t="s">
        <v>178</v>
      </c>
      <c r="C252" s="4">
        <v>378</v>
      </c>
      <c r="D252" s="4">
        <v>5</v>
      </c>
      <c r="E252" s="4"/>
      <c r="F252" s="4"/>
      <c r="G252" s="4"/>
      <c r="H252" s="4"/>
      <c r="I252" s="4"/>
      <c r="J252" s="4"/>
      <c r="K252" s="4"/>
      <c r="L252" s="4"/>
      <c r="M252" s="4">
        <v>150</v>
      </c>
      <c r="N252" s="4">
        <v>0</v>
      </c>
      <c r="O252" s="4">
        <v>0</v>
      </c>
      <c r="P252" s="4">
        <v>0</v>
      </c>
      <c r="Q252" s="4">
        <v>1</v>
      </c>
      <c r="R252" s="4">
        <f t="shared" si="35"/>
        <v>20</v>
      </c>
      <c r="S252" s="4">
        <f t="shared" si="36"/>
        <v>10</v>
      </c>
      <c r="T252" s="4">
        <f t="shared" si="36"/>
        <v>10</v>
      </c>
      <c r="U252" s="4">
        <f t="shared" si="36"/>
        <v>10</v>
      </c>
      <c r="V252" s="4">
        <f t="shared" si="37"/>
        <v>12</v>
      </c>
      <c r="W252" s="4">
        <f>IF(Backdoors!K54&gt;=16,24,((10/2.5)*2)+Backdoors!K54)</f>
        <v>8</v>
      </c>
      <c r="X252" s="4">
        <f>IF(Backdoors!K54&gt;=16,(Backdoors!K54-16),0)</f>
        <v>0</v>
      </c>
      <c r="Y252" s="4">
        <f t="shared" si="38"/>
        <v>20</v>
      </c>
      <c r="Z252" s="4">
        <f t="shared" si="39"/>
        <v>10</v>
      </c>
      <c r="AA252" s="4">
        <f t="shared" si="39"/>
        <v>10</v>
      </c>
      <c r="AB252" s="4">
        <f t="shared" si="39"/>
        <v>10</v>
      </c>
      <c r="AC252" s="4">
        <f t="shared" si="40"/>
        <v>12</v>
      </c>
      <c r="AD252" s="4">
        <f>IF(Backdoors!K54&gt;=6,((22.5/2.5)*2)-IF(Backdoors!K54&gt;=10,10,(Backdoors!K54-6)),(22.5/2.5)*2)</f>
        <v>18</v>
      </c>
      <c r="AE252" s="4">
        <f>IF(Backdoors!K54&gt;=6,(Backdoors!K54-6),0)</f>
        <v>0</v>
      </c>
      <c r="AF252" s="4">
        <v>12</v>
      </c>
      <c r="AG252" s="57"/>
      <c r="AH252" s="57"/>
      <c r="AI252" s="57" t="b">
        <v>1</v>
      </c>
      <c r="AJ252" s="57"/>
      <c r="AK252" s="57" t="b">
        <v>1</v>
      </c>
      <c r="AM252">
        <v>252</v>
      </c>
    </row>
    <row r="253" spans="1:39" x14ac:dyDescent="0.25">
      <c r="A253" s="4" t="s">
        <v>446</v>
      </c>
      <c r="B253" s="41" t="s">
        <v>178</v>
      </c>
      <c r="C253" s="4">
        <v>378</v>
      </c>
      <c r="D253" s="4">
        <v>5</v>
      </c>
      <c r="E253" s="4">
        <v>120</v>
      </c>
      <c r="F253" s="4"/>
      <c r="G253" s="4"/>
      <c r="H253" s="4"/>
      <c r="I253" s="4"/>
      <c r="J253" s="4"/>
      <c r="K253" s="4"/>
      <c r="L253" s="4"/>
      <c r="M253" s="4"/>
      <c r="N253" s="4">
        <v>0</v>
      </c>
      <c r="O253" s="4">
        <v>0</v>
      </c>
      <c r="P253" s="4">
        <v>0</v>
      </c>
      <c r="Q253" s="4">
        <v>1</v>
      </c>
      <c r="R253" s="4">
        <f t="shared" si="35"/>
        <v>20</v>
      </c>
      <c r="S253" s="4">
        <f t="shared" si="36"/>
        <v>10</v>
      </c>
      <c r="T253" s="4">
        <f t="shared" si="36"/>
        <v>10</v>
      </c>
      <c r="U253" s="4">
        <f t="shared" si="36"/>
        <v>10</v>
      </c>
      <c r="V253" s="4">
        <f t="shared" si="37"/>
        <v>12</v>
      </c>
      <c r="W253" s="4">
        <f>IF(Backdoors!K54&gt;=16,24,((10/2.5)*2)+Backdoors!K54)</f>
        <v>8</v>
      </c>
      <c r="X253" s="4">
        <f>IF(Backdoors!K54&gt;=16,(Backdoors!K54-16),0)</f>
        <v>0</v>
      </c>
      <c r="Y253" s="4">
        <f t="shared" si="38"/>
        <v>20</v>
      </c>
      <c r="Z253" s="4">
        <f t="shared" si="39"/>
        <v>10</v>
      </c>
      <c r="AA253" s="4">
        <f t="shared" si="39"/>
        <v>10</v>
      </c>
      <c r="AB253" s="4">
        <f t="shared" si="39"/>
        <v>10</v>
      </c>
      <c r="AC253" s="4">
        <f t="shared" si="40"/>
        <v>12</v>
      </c>
      <c r="AD253" s="4">
        <f>IF(Backdoors!K54&gt;=6,((22.5/2.5)*2)-IF(Backdoors!K54&gt;=10,10,(Backdoors!K54-6)),(22.5/2.5)*2)</f>
        <v>18</v>
      </c>
      <c r="AE253" s="4">
        <f>IF(Backdoors!K54&gt;=6,(Backdoors!K54-6),0)</f>
        <v>0</v>
      </c>
      <c r="AF253" s="4">
        <v>12</v>
      </c>
      <c r="AG253" s="57"/>
      <c r="AH253" s="57"/>
      <c r="AI253" s="57" t="b">
        <v>1</v>
      </c>
      <c r="AJ253" s="57"/>
      <c r="AK253" s="57" t="b">
        <v>1</v>
      </c>
      <c r="AM253">
        <v>253</v>
      </c>
    </row>
    <row r="254" spans="1:39" x14ac:dyDescent="0.25">
      <c r="A254" s="4" t="s">
        <v>447</v>
      </c>
      <c r="B254" s="41" t="s">
        <v>178</v>
      </c>
      <c r="C254" s="4">
        <v>378</v>
      </c>
      <c r="D254" s="4">
        <v>5</v>
      </c>
      <c r="E254" s="4"/>
      <c r="F254" s="4">
        <v>120</v>
      </c>
      <c r="G254" s="4"/>
      <c r="H254" s="4"/>
      <c r="I254" s="4"/>
      <c r="J254" s="4"/>
      <c r="K254" s="4"/>
      <c r="L254" s="4"/>
      <c r="M254" s="4"/>
      <c r="N254" s="4">
        <v>0</v>
      </c>
      <c r="O254" s="4">
        <v>0</v>
      </c>
      <c r="P254" s="4">
        <v>0</v>
      </c>
      <c r="Q254" s="4">
        <v>1</v>
      </c>
      <c r="R254" s="4">
        <f t="shared" si="35"/>
        <v>20</v>
      </c>
      <c r="S254" s="4">
        <f t="shared" si="36"/>
        <v>10</v>
      </c>
      <c r="T254" s="4">
        <f t="shared" si="36"/>
        <v>10</v>
      </c>
      <c r="U254" s="4">
        <f t="shared" si="36"/>
        <v>10</v>
      </c>
      <c r="V254" s="4">
        <f t="shared" si="37"/>
        <v>12</v>
      </c>
      <c r="W254" s="4">
        <f>IF(Backdoors!K54&gt;=16,24,((10/2.5)*2)+Backdoors!K54)</f>
        <v>8</v>
      </c>
      <c r="X254" s="4">
        <f>IF(Backdoors!K54&gt;=16,(Backdoors!K54-16),0)</f>
        <v>0</v>
      </c>
      <c r="Y254" s="4">
        <f t="shared" si="38"/>
        <v>20</v>
      </c>
      <c r="Z254" s="4">
        <f t="shared" si="39"/>
        <v>10</v>
      </c>
      <c r="AA254" s="4">
        <f t="shared" si="39"/>
        <v>10</v>
      </c>
      <c r="AB254" s="4">
        <f t="shared" si="39"/>
        <v>10</v>
      </c>
      <c r="AC254" s="4">
        <f t="shared" si="40"/>
        <v>12</v>
      </c>
      <c r="AD254" s="4">
        <f>IF(Backdoors!K54&gt;=6,((22.5/2.5)*2)-IF(Backdoors!K54&gt;=10,10,(Backdoors!K54-6)),(22.5/2.5)*2)</f>
        <v>18</v>
      </c>
      <c r="AE254" s="4">
        <f>IF(Backdoors!K54&gt;=6,(Backdoors!K54-6),0)</f>
        <v>0</v>
      </c>
      <c r="AF254" s="4">
        <v>12</v>
      </c>
      <c r="AG254" s="57"/>
      <c r="AH254" s="57"/>
      <c r="AI254" s="57" t="b">
        <v>1</v>
      </c>
      <c r="AJ254" s="57"/>
      <c r="AK254" s="57" t="b">
        <v>1</v>
      </c>
      <c r="AM254">
        <v>254</v>
      </c>
    </row>
    <row r="255" spans="1:39" x14ac:dyDescent="0.25">
      <c r="A255" s="4" t="s">
        <v>448</v>
      </c>
      <c r="B255" s="41" t="s">
        <v>178</v>
      </c>
      <c r="C255" s="4">
        <v>378</v>
      </c>
      <c r="D255" s="4">
        <v>5</v>
      </c>
      <c r="E255" s="4"/>
      <c r="F255" s="4"/>
      <c r="G255" s="4"/>
      <c r="H255" s="4">
        <v>120</v>
      </c>
      <c r="I255" s="4"/>
      <c r="J255" s="4"/>
      <c r="K255" s="4"/>
      <c r="L255" s="4"/>
      <c r="M255" s="4"/>
      <c r="N255" s="4">
        <v>0</v>
      </c>
      <c r="O255" s="4">
        <v>0</v>
      </c>
      <c r="P255" s="4">
        <v>0</v>
      </c>
      <c r="Q255" s="4">
        <v>1</v>
      </c>
      <c r="R255" s="4">
        <f t="shared" si="35"/>
        <v>20</v>
      </c>
      <c r="S255" s="4">
        <f t="shared" si="36"/>
        <v>10</v>
      </c>
      <c r="T255" s="4">
        <f t="shared" si="36"/>
        <v>10</v>
      </c>
      <c r="U255" s="4">
        <f t="shared" si="36"/>
        <v>10</v>
      </c>
      <c r="V255" s="4">
        <f t="shared" si="37"/>
        <v>12</v>
      </c>
      <c r="W255" s="4">
        <f>IF(Backdoors!K54&gt;=16,24,((10/2.5)*2)+Backdoors!K54)</f>
        <v>8</v>
      </c>
      <c r="X255" s="4">
        <f>IF(Backdoors!K54&gt;=16,(Backdoors!K54-16),0)</f>
        <v>0</v>
      </c>
      <c r="Y255" s="4">
        <f t="shared" si="38"/>
        <v>20</v>
      </c>
      <c r="Z255" s="4">
        <f t="shared" si="39"/>
        <v>10</v>
      </c>
      <c r="AA255" s="4">
        <f t="shared" si="39"/>
        <v>10</v>
      </c>
      <c r="AB255" s="4">
        <f t="shared" si="39"/>
        <v>10</v>
      </c>
      <c r="AC255" s="4">
        <f t="shared" si="40"/>
        <v>12</v>
      </c>
      <c r="AD255" s="4">
        <f>IF(Backdoors!K54&gt;=6,((22.5/2.5)*2)-IF(Backdoors!K54&gt;=10,10,(Backdoors!K54-6)),(22.5/2.5)*2)</f>
        <v>18</v>
      </c>
      <c r="AE255" s="4">
        <f>IF(Backdoors!K54&gt;=6,(Backdoors!K54-6),0)</f>
        <v>0</v>
      </c>
      <c r="AF255" s="4">
        <v>12</v>
      </c>
      <c r="AG255" s="57"/>
      <c r="AH255" s="57"/>
      <c r="AI255" s="57" t="b">
        <v>1</v>
      </c>
      <c r="AJ255" s="57"/>
      <c r="AK255" s="57" t="b">
        <v>1</v>
      </c>
      <c r="AM255">
        <v>255</v>
      </c>
    </row>
    <row r="256" spans="1:39" x14ac:dyDescent="0.25">
      <c r="A256" s="4" t="s">
        <v>449</v>
      </c>
      <c r="B256" s="41" t="s">
        <v>178</v>
      </c>
      <c r="C256" s="4">
        <v>378</v>
      </c>
      <c r="D256" s="4">
        <v>5</v>
      </c>
      <c r="E256" s="4"/>
      <c r="F256" s="4"/>
      <c r="G256" s="4">
        <v>120</v>
      </c>
      <c r="H256" s="4"/>
      <c r="I256" s="4"/>
      <c r="J256" s="4"/>
      <c r="K256" s="4"/>
      <c r="L256" s="4"/>
      <c r="M256" s="4"/>
      <c r="N256" s="4">
        <v>0</v>
      </c>
      <c r="O256" s="4">
        <v>0</v>
      </c>
      <c r="P256" s="4">
        <v>0</v>
      </c>
      <c r="Q256" s="4">
        <v>1</v>
      </c>
      <c r="R256" s="4">
        <f t="shared" si="35"/>
        <v>20</v>
      </c>
      <c r="S256" s="4">
        <f t="shared" si="36"/>
        <v>10</v>
      </c>
      <c r="T256" s="4">
        <f t="shared" si="36"/>
        <v>10</v>
      </c>
      <c r="U256" s="4">
        <f t="shared" si="36"/>
        <v>10</v>
      </c>
      <c r="V256" s="4">
        <f t="shared" si="37"/>
        <v>12</v>
      </c>
      <c r="W256" s="4">
        <f>IF(Backdoors!K54&gt;=16,24,((10/2.5)*2)+Backdoors!K54)</f>
        <v>8</v>
      </c>
      <c r="X256" s="4">
        <f>IF(Backdoors!K54&gt;=16,(Backdoors!K54-16),0)</f>
        <v>0</v>
      </c>
      <c r="Y256" s="4">
        <f t="shared" si="38"/>
        <v>20</v>
      </c>
      <c r="Z256" s="4">
        <f t="shared" si="39"/>
        <v>10</v>
      </c>
      <c r="AA256" s="4">
        <f t="shared" si="39"/>
        <v>10</v>
      </c>
      <c r="AB256" s="4">
        <f t="shared" si="39"/>
        <v>10</v>
      </c>
      <c r="AC256" s="4">
        <f t="shared" si="40"/>
        <v>12</v>
      </c>
      <c r="AD256" s="4">
        <f>IF(Backdoors!K54&gt;=6,((22.5/2.5)*2)-IF(Backdoors!K54&gt;=10,10,(Backdoors!K54-6)),(22.5/2.5)*2)</f>
        <v>18</v>
      </c>
      <c r="AE256" s="4">
        <f>IF(Backdoors!K54&gt;=6,(Backdoors!K54-6),0)</f>
        <v>0</v>
      </c>
      <c r="AF256" s="4">
        <v>12</v>
      </c>
      <c r="AG256" s="57"/>
      <c r="AH256" s="57"/>
      <c r="AI256" s="57" t="b">
        <v>1</v>
      </c>
      <c r="AJ256" s="57"/>
      <c r="AK256" s="57" t="b">
        <v>1</v>
      </c>
      <c r="AM256">
        <v>256</v>
      </c>
    </row>
    <row r="257" spans="1:39" x14ac:dyDescent="0.25">
      <c r="A257" s="4" t="s">
        <v>450</v>
      </c>
      <c r="B257" s="41" t="s">
        <v>178</v>
      </c>
      <c r="C257" s="4">
        <v>378</v>
      </c>
      <c r="D257" s="4">
        <v>5</v>
      </c>
      <c r="E257" s="4"/>
      <c r="F257" s="4"/>
      <c r="G257" s="4"/>
      <c r="H257" s="4"/>
      <c r="I257" s="4">
        <v>120</v>
      </c>
      <c r="J257" s="4"/>
      <c r="K257" s="4"/>
      <c r="L257" s="4"/>
      <c r="M257" s="4"/>
      <c r="N257" s="4">
        <v>0</v>
      </c>
      <c r="O257" s="4">
        <v>0</v>
      </c>
      <c r="P257" s="4">
        <v>0</v>
      </c>
      <c r="Q257" s="4">
        <v>1</v>
      </c>
      <c r="R257" s="4">
        <f t="shared" si="35"/>
        <v>20</v>
      </c>
      <c r="S257" s="4">
        <f t="shared" si="36"/>
        <v>10</v>
      </c>
      <c r="T257" s="4">
        <f t="shared" si="36"/>
        <v>10</v>
      </c>
      <c r="U257" s="4">
        <f t="shared" si="36"/>
        <v>10</v>
      </c>
      <c r="V257" s="4">
        <f t="shared" si="37"/>
        <v>12</v>
      </c>
      <c r="W257" s="4">
        <f>IF(Backdoors!K54&gt;=16,24,((10/2.5)*2)+Backdoors!K54)</f>
        <v>8</v>
      </c>
      <c r="X257" s="4">
        <f>IF(Backdoors!K54&gt;=16,(Backdoors!K54-16),0)</f>
        <v>0</v>
      </c>
      <c r="Y257" s="4">
        <f t="shared" si="38"/>
        <v>20</v>
      </c>
      <c r="Z257" s="4">
        <f t="shared" si="39"/>
        <v>10</v>
      </c>
      <c r="AA257" s="4">
        <f t="shared" si="39"/>
        <v>10</v>
      </c>
      <c r="AB257" s="4">
        <f t="shared" si="39"/>
        <v>10</v>
      </c>
      <c r="AC257" s="4">
        <f t="shared" si="40"/>
        <v>12</v>
      </c>
      <c r="AD257" s="4">
        <f>IF(Backdoors!K54&gt;=6,((22.5/2.5)*2)-IF(Backdoors!K54&gt;=10,10,(Backdoors!K54-6)),(22.5/2.5)*2)</f>
        <v>18</v>
      </c>
      <c r="AE257" s="4">
        <f>IF(Backdoors!K54&gt;=6,(Backdoors!K54-6),0)</f>
        <v>0</v>
      </c>
      <c r="AF257" s="4">
        <v>12</v>
      </c>
      <c r="AG257" s="57"/>
      <c r="AH257" s="57"/>
      <c r="AI257" s="57" t="b">
        <v>1</v>
      </c>
      <c r="AJ257" s="57"/>
      <c r="AK257" s="57" t="b">
        <v>1</v>
      </c>
      <c r="AM257">
        <v>257</v>
      </c>
    </row>
    <row r="258" spans="1:39" x14ac:dyDescent="0.25">
      <c r="A258" s="4" t="s">
        <v>451</v>
      </c>
      <c r="B258" s="41" t="s">
        <v>178</v>
      </c>
      <c r="C258" s="4">
        <v>378</v>
      </c>
      <c r="D258" s="4">
        <v>5</v>
      </c>
      <c r="E258" s="4"/>
      <c r="F258" s="4"/>
      <c r="G258" s="4"/>
      <c r="H258" s="4"/>
      <c r="I258" s="4"/>
      <c r="J258" s="4">
        <v>150</v>
      </c>
      <c r="K258" s="4"/>
      <c r="L258" s="4"/>
      <c r="M258" s="4"/>
      <c r="N258" s="4">
        <v>0</v>
      </c>
      <c r="O258" s="4">
        <v>0</v>
      </c>
      <c r="P258" s="4">
        <v>0</v>
      </c>
      <c r="Q258" s="4">
        <v>1</v>
      </c>
      <c r="R258" s="4">
        <f t="shared" si="35"/>
        <v>20</v>
      </c>
      <c r="S258" s="4">
        <f t="shared" si="36"/>
        <v>10</v>
      </c>
      <c r="T258" s="4">
        <f t="shared" si="36"/>
        <v>10</v>
      </c>
      <c r="U258" s="4">
        <f t="shared" si="36"/>
        <v>10</v>
      </c>
      <c r="V258" s="4">
        <f t="shared" si="37"/>
        <v>12</v>
      </c>
      <c r="W258" s="4">
        <f>IF(Backdoors!K54&gt;=16,24,((10/2.5)*2)+Backdoors!K54)</f>
        <v>8</v>
      </c>
      <c r="X258" s="4">
        <f>IF(Backdoors!K54&gt;=16,(Backdoors!K54-16),0)</f>
        <v>0</v>
      </c>
      <c r="Y258" s="4">
        <f t="shared" si="38"/>
        <v>20</v>
      </c>
      <c r="Z258" s="4">
        <f t="shared" si="39"/>
        <v>10</v>
      </c>
      <c r="AA258" s="4">
        <f t="shared" si="39"/>
        <v>10</v>
      </c>
      <c r="AB258" s="4">
        <f t="shared" si="39"/>
        <v>10</v>
      </c>
      <c r="AC258" s="4">
        <f t="shared" si="40"/>
        <v>12</v>
      </c>
      <c r="AD258" s="4">
        <f>IF(Backdoors!K54&gt;=6,((22.5/2.5)*2)-IF(Backdoors!K54&gt;=10,10,(Backdoors!K54-6)),(22.5/2.5)*2)</f>
        <v>18</v>
      </c>
      <c r="AE258" s="4">
        <f>IF(Backdoors!K54&gt;=6,(Backdoors!K54-6),0)</f>
        <v>0</v>
      </c>
      <c r="AF258" s="4">
        <v>12</v>
      </c>
      <c r="AG258" s="57"/>
      <c r="AH258" s="57"/>
      <c r="AI258" s="57" t="b">
        <v>1</v>
      </c>
      <c r="AJ258" s="57"/>
      <c r="AK258" s="57" t="b">
        <v>1</v>
      </c>
      <c r="AM258">
        <v>258</v>
      </c>
    </row>
    <row r="259" spans="1:39" x14ac:dyDescent="0.25">
      <c r="A259" s="4" t="s">
        <v>452</v>
      </c>
      <c r="B259" s="41" t="s">
        <v>178</v>
      </c>
      <c r="C259" s="4">
        <v>378</v>
      </c>
      <c r="D259" s="4">
        <v>5</v>
      </c>
      <c r="E259" s="4"/>
      <c r="F259" s="4"/>
      <c r="G259" s="4"/>
      <c r="H259" s="4"/>
      <c r="I259" s="4"/>
      <c r="J259" s="4"/>
      <c r="K259" s="4">
        <v>90</v>
      </c>
      <c r="L259" s="4"/>
      <c r="M259" s="4"/>
      <c r="N259" s="4">
        <v>0</v>
      </c>
      <c r="O259" s="4">
        <v>0</v>
      </c>
      <c r="P259" s="4">
        <v>0</v>
      </c>
      <c r="Q259" s="4">
        <v>1</v>
      </c>
      <c r="R259" s="4">
        <f t="shared" si="35"/>
        <v>20</v>
      </c>
      <c r="S259" s="4">
        <f t="shared" si="36"/>
        <v>10</v>
      </c>
      <c r="T259" s="4">
        <f t="shared" si="36"/>
        <v>10</v>
      </c>
      <c r="U259" s="4">
        <f t="shared" si="36"/>
        <v>10</v>
      </c>
      <c r="V259" s="4">
        <f t="shared" si="37"/>
        <v>12</v>
      </c>
      <c r="W259" s="4">
        <f>IF(Backdoors!K54&gt;=16,24,((10/2.5)*2)+Backdoors!K54)</f>
        <v>8</v>
      </c>
      <c r="X259" s="4">
        <f>IF(Backdoors!K54&gt;=16,(Backdoors!K54-16),0)</f>
        <v>0</v>
      </c>
      <c r="Y259" s="4">
        <f t="shared" si="38"/>
        <v>20</v>
      </c>
      <c r="Z259" s="4">
        <f t="shared" si="39"/>
        <v>10</v>
      </c>
      <c r="AA259" s="4">
        <f t="shared" si="39"/>
        <v>10</v>
      </c>
      <c r="AB259" s="4">
        <f t="shared" si="39"/>
        <v>10</v>
      </c>
      <c r="AC259" s="4">
        <f t="shared" si="40"/>
        <v>12</v>
      </c>
      <c r="AD259" s="4">
        <f>IF(Backdoors!K54&gt;=6,((22.5/2.5)*2)-IF(Backdoors!K54&gt;=10,10,(Backdoors!K54-6)),(22.5/2.5)*2)</f>
        <v>18</v>
      </c>
      <c r="AE259" s="4">
        <f>IF(Backdoors!K54&gt;=6,(Backdoors!K54-6),0)</f>
        <v>0</v>
      </c>
      <c r="AF259" s="4">
        <v>12</v>
      </c>
      <c r="AG259" s="57"/>
      <c r="AH259" s="57"/>
      <c r="AI259" s="57" t="b">
        <v>1</v>
      </c>
      <c r="AJ259" s="57"/>
      <c r="AK259" s="57" t="b">
        <v>1</v>
      </c>
      <c r="AM259">
        <v>259</v>
      </c>
    </row>
    <row r="260" spans="1:39" x14ac:dyDescent="0.25">
      <c r="A260" s="4" t="s">
        <v>490</v>
      </c>
      <c r="B260" s="41" t="s">
        <v>178</v>
      </c>
      <c r="C260" s="4">
        <v>518</v>
      </c>
      <c r="D260" s="4">
        <v>-30</v>
      </c>
      <c r="E260" s="4"/>
      <c r="F260" s="4"/>
      <c r="G260" s="4"/>
      <c r="H260" s="4"/>
      <c r="I260" s="4">
        <v>120</v>
      </c>
      <c r="J260" s="4"/>
      <c r="K260" s="4"/>
      <c r="L260" s="4"/>
      <c r="M260" s="4"/>
      <c r="N260" s="4">
        <v>0</v>
      </c>
      <c r="O260" s="4">
        <v>0</v>
      </c>
      <c r="P260" s="4">
        <v>0</v>
      </c>
      <c r="Q260" s="4">
        <v>2</v>
      </c>
      <c r="R260" s="4">
        <f>(35/2.5)*2</f>
        <v>28</v>
      </c>
      <c r="S260" s="4">
        <f>(5/2.5)*2</f>
        <v>4</v>
      </c>
      <c r="T260" s="4">
        <f>(5/2.5)*2</f>
        <v>4</v>
      </c>
      <c r="U260" s="4">
        <f>(17.5/2.5)*2</f>
        <v>14</v>
      </c>
      <c r="V260" s="4">
        <f>(10/2.5)*2</f>
        <v>8</v>
      </c>
      <c r="W260" s="4">
        <f>(7.5/2.5)*2</f>
        <v>6</v>
      </c>
      <c r="X260" s="4">
        <f>(7.5/2.5)*2</f>
        <v>6</v>
      </c>
      <c r="Y260" s="4">
        <f>(35/2.5)*2</f>
        <v>28</v>
      </c>
      <c r="Z260" s="4">
        <f>(5/2.5)*2</f>
        <v>4</v>
      </c>
      <c r="AA260" s="4">
        <f>(5/2.5)*2</f>
        <v>4</v>
      </c>
      <c r="AB260" s="4">
        <f>(17.5/2.5)*2</f>
        <v>14</v>
      </c>
      <c r="AC260" s="4">
        <f>(10/2.5)*2</f>
        <v>8</v>
      </c>
      <c r="AD260" s="4">
        <f>(7.5/2.5)*2</f>
        <v>6</v>
      </c>
      <c r="AE260" s="4">
        <f>(20/2.5)*2</f>
        <v>16</v>
      </c>
      <c r="AF260" s="4">
        <v>12</v>
      </c>
      <c r="AG260" s="57"/>
      <c r="AH260" s="57"/>
      <c r="AI260" s="57" t="b">
        <v>1</v>
      </c>
      <c r="AJ260" s="57"/>
      <c r="AK260" s="57"/>
      <c r="AM260">
        <v>260</v>
      </c>
    </row>
    <row r="261" spans="1:39" x14ac:dyDescent="0.25">
      <c r="A261" s="4" t="s">
        <v>1082</v>
      </c>
      <c r="B261" s="41" t="s">
        <v>178</v>
      </c>
      <c r="C261" s="4">
        <v>420</v>
      </c>
      <c r="D261" s="4"/>
      <c r="E261" s="4"/>
      <c r="F261" s="4">
        <v>450</v>
      </c>
      <c r="G261" s="4"/>
      <c r="H261" s="4"/>
      <c r="I261" s="4"/>
      <c r="J261" s="4"/>
      <c r="K261" s="4"/>
      <c r="L261" s="4"/>
      <c r="M261" s="4"/>
      <c r="N261" s="4">
        <v>0</v>
      </c>
      <c r="O261" s="4">
        <v>0</v>
      </c>
      <c r="P261" s="4">
        <v>1</v>
      </c>
      <c r="Q261" s="4">
        <v>0</v>
      </c>
      <c r="R261" s="4">
        <f>(50/2.5)*2</f>
        <v>40</v>
      </c>
      <c r="S261" s="4">
        <f>(17.5/2.5)*2</f>
        <v>14</v>
      </c>
      <c r="T261" s="4">
        <f>(5/2.5)*2</f>
        <v>4</v>
      </c>
      <c r="U261" s="4">
        <f>(5/2.5)*2</f>
        <v>4</v>
      </c>
      <c r="V261" s="4">
        <f>(12.5/2.5)*2</f>
        <v>10</v>
      </c>
      <c r="W261" s="4">
        <f>(10/2.5)*2</f>
        <v>8</v>
      </c>
      <c r="X261" s="4">
        <f t="shared" ref="X261:X271" si="41">(0/2.5)*2</f>
        <v>0</v>
      </c>
      <c r="Y261" s="4">
        <f>(50/2.5)*2</f>
        <v>40</v>
      </c>
      <c r="Z261" s="4">
        <f>(17.5/2.5)*2</f>
        <v>14</v>
      </c>
      <c r="AA261" s="4">
        <f>(5/2.5)*2</f>
        <v>4</v>
      </c>
      <c r="AB261" s="4">
        <f>(5/2.5)*2</f>
        <v>4</v>
      </c>
      <c r="AC261" s="4">
        <f>(12.5/2.5)*2</f>
        <v>10</v>
      </c>
      <c r="AD261" s="4">
        <f>(10/2.5)*2</f>
        <v>8</v>
      </c>
      <c r="AE261" s="4">
        <f t="shared" ref="AE261:AE271" si="42">(0/2.5)*2</f>
        <v>0</v>
      </c>
      <c r="AF261" s="4">
        <v>12</v>
      </c>
      <c r="AG261" s="57" t="s">
        <v>691</v>
      </c>
      <c r="AH261" s="57"/>
      <c r="AI261" s="57" t="b">
        <v>1</v>
      </c>
      <c r="AJ261" s="57" t="b">
        <v>1</v>
      </c>
      <c r="AK261" s="57"/>
      <c r="AM261">
        <v>261</v>
      </c>
    </row>
    <row r="262" spans="1:39" x14ac:dyDescent="0.25">
      <c r="A262" s="4" t="s">
        <v>1083</v>
      </c>
      <c r="B262" s="41" t="s">
        <v>178</v>
      </c>
      <c r="C262" s="4">
        <v>420</v>
      </c>
      <c r="D262" s="4"/>
      <c r="E262" s="4"/>
      <c r="F262" s="4"/>
      <c r="G262" s="4"/>
      <c r="H262" s="4">
        <v>450</v>
      </c>
      <c r="I262" s="4"/>
      <c r="J262" s="4"/>
      <c r="K262" s="4"/>
      <c r="L262" s="4"/>
      <c r="M262" s="4"/>
      <c r="N262" s="4">
        <v>0</v>
      </c>
      <c r="O262" s="4">
        <v>0</v>
      </c>
      <c r="P262" s="4">
        <v>1</v>
      </c>
      <c r="Q262" s="4">
        <v>0</v>
      </c>
      <c r="R262" s="4">
        <f>(15/2.5)*2</f>
        <v>12</v>
      </c>
      <c r="S262" s="4">
        <f>(12.5/2.5)*2</f>
        <v>10</v>
      </c>
      <c r="T262" s="4">
        <f>(15/2.5)*2</f>
        <v>12</v>
      </c>
      <c r="U262" s="4">
        <f>(30/2.5)*2</f>
        <v>24</v>
      </c>
      <c r="V262" s="4">
        <f>(17.5/2.5)*2</f>
        <v>14</v>
      </c>
      <c r="W262" s="4">
        <f>(10/2.5)*2</f>
        <v>8</v>
      </c>
      <c r="X262" s="4">
        <f t="shared" si="41"/>
        <v>0</v>
      </c>
      <c r="Y262" s="4">
        <f>(15/2.5)*2</f>
        <v>12</v>
      </c>
      <c r="Z262" s="4">
        <f>(12.5/2.5)*2</f>
        <v>10</v>
      </c>
      <c r="AA262" s="4">
        <f>(15/2.5)*2</f>
        <v>12</v>
      </c>
      <c r="AB262" s="4">
        <f>(30/2.5)*2</f>
        <v>24</v>
      </c>
      <c r="AC262" s="4">
        <f>(17.5/2.5)*2</f>
        <v>14</v>
      </c>
      <c r="AD262" s="4">
        <f>(10/2.5)*2</f>
        <v>8</v>
      </c>
      <c r="AE262" s="4">
        <f t="shared" si="42"/>
        <v>0</v>
      </c>
      <c r="AF262" s="4">
        <v>12</v>
      </c>
      <c r="AG262" s="57" t="s">
        <v>691</v>
      </c>
      <c r="AH262" s="57"/>
      <c r="AI262" s="57" t="b">
        <v>1</v>
      </c>
      <c r="AJ262" s="57" t="b">
        <v>1</v>
      </c>
      <c r="AK262" s="57"/>
      <c r="AM262">
        <v>262</v>
      </c>
    </row>
    <row r="263" spans="1:39" x14ac:dyDescent="0.25">
      <c r="A263" s="4" t="s">
        <v>1084</v>
      </c>
      <c r="B263" s="41" t="s">
        <v>178</v>
      </c>
      <c r="C263" s="4">
        <v>420</v>
      </c>
      <c r="D263" s="4"/>
      <c r="E263" s="4"/>
      <c r="F263" s="4"/>
      <c r="G263" s="4"/>
      <c r="H263" s="4"/>
      <c r="I263" s="4"/>
      <c r="J263" s="4">
        <v>450</v>
      </c>
      <c r="K263" s="4"/>
      <c r="L263" s="4"/>
      <c r="M263" s="4"/>
      <c r="N263" s="4">
        <v>0</v>
      </c>
      <c r="O263" s="4">
        <v>0</v>
      </c>
      <c r="P263" s="4">
        <v>1</v>
      </c>
      <c r="Q263" s="4">
        <v>0</v>
      </c>
      <c r="R263" s="4">
        <f>(12.5/2.5)*2</f>
        <v>10</v>
      </c>
      <c r="S263" s="4">
        <f>(12.5/2.5)*2</f>
        <v>10</v>
      </c>
      <c r="T263" s="4">
        <f>(15/2.5)*2</f>
        <v>12</v>
      </c>
      <c r="U263" s="4">
        <f>(30/2.5)*2</f>
        <v>24</v>
      </c>
      <c r="V263" s="4">
        <f>(20/2.5)*2</f>
        <v>16</v>
      </c>
      <c r="W263" s="4">
        <f>(10/2.5)*2</f>
        <v>8</v>
      </c>
      <c r="X263" s="4">
        <f t="shared" si="41"/>
        <v>0</v>
      </c>
      <c r="Y263" s="4">
        <f>(12.5/2.5)*2</f>
        <v>10</v>
      </c>
      <c r="Z263" s="4">
        <f>(12.5/2.5)*2</f>
        <v>10</v>
      </c>
      <c r="AA263" s="4">
        <f>(15/2.5)*2</f>
        <v>12</v>
      </c>
      <c r="AB263" s="4">
        <f>(30/2.5)*2</f>
        <v>24</v>
      </c>
      <c r="AC263" s="4">
        <f>(20/2.5)*2</f>
        <v>16</v>
      </c>
      <c r="AD263" s="4">
        <f>(10/2.5)*2</f>
        <v>8</v>
      </c>
      <c r="AE263" s="4">
        <f t="shared" si="42"/>
        <v>0</v>
      </c>
      <c r="AF263" s="4">
        <v>12</v>
      </c>
      <c r="AG263" s="57" t="s">
        <v>691</v>
      </c>
      <c r="AH263" s="57"/>
      <c r="AI263" s="57" t="b">
        <v>1</v>
      </c>
      <c r="AJ263" s="57" t="b">
        <v>1</v>
      </c>
      <c r="AK263" s="57"/>
      <c r="AM263">
        <v>263</v>
      </c>
    </row>
    <row r="264" spans="1:39" x14ac:dyDescent="0.25">
      <c r="A264" s="4" t="s">
        <v>1085</v>
      </c>
      <c r="B264" s="41" t="s">
        <v>178</v>
      </c>
      <c r="C264" s="4">
        <v>406</v>
      </c>
      <c r="D264" s="4"/>
      <c r="E264" s="4">
        <v>360</v>
      </c>
      <c r="F264" s="4"/>
      <c r="G264" s="4"/>
      <c r="H264" s="4"/>
      <c r="I264" s="4"/>
      <c r="J264" s="4"/>
      <c r="K264" s="4"/>
      <c r="L264" s="4"/>
      <c r="M264" s="4"/>
      <c r="N264" s="4">
        <v>0</v>
      </c>
      <c r="O264" s="4">
        <v>0</v>
      </c>
      <c r="P264" s="4">
        <v>1</v>
      </c>
      <c r="Q264" s="4">
        <v>0</v>
      </c>
      <c r="R264" s="4">
        <f>(57.5/2.5)*2</f>
        <v>46</v>
      </c>
      <c r="S264" s="4">
        <f>(5/2.5)*2</f>
        <v>4</v>
      </c>
      <c r="T264" s="4">
        <f>(5/2.5)*2</f>
        <v>4</v>
      </c>
      <c r="U264" s="4">
        <f>(5/2.5)*2</f>
        <v>4</v>
      </c>
      <c r="V264" s="4">
        <f>(7.5/2.5)*2</f>
        <v>6</v>
      </c>
      <c r="W264" s="4">
        <f>(20/2.5)*2</f>
        <v>16</v>
      </c>
      <c r="X264" s="4">
        <f t="shared" si="41"/>
        <v>0</v>
      </c>
      <c r="Y264" s="4">
        <f>(57.5/2.5)*2</f>
        <v>46</v>
      </c>
      <c r="Z264" s="4">
        <f>(5/2.5)*2</f>
        <v>4</v>
      </c>
      <c r="AA264" s="4">
        <f>(5/2.5)*2</f>
        <v>4</v>
      </c>
      <c r="AB264" s="4">
        <f>(5/2.5)*2</f>
        <v>4</v>
      </c>
      <c r="AC264" s="4">
        <f>(7.5/2.5)*2</f>
        <v>6</v>
      </c>
      <c r="AD264" s="4">
        <f>(20/2.5)*2</f>
        <v>16</v>
      </c>
      <c r="AE264" s="4">
        <f t="shared" si="42"/>
        <v>0</v>
      </c>
      <c r="AF264" s="4">
        <v>12</v>
      </c>
      <c r="AG264" s="57" t="s">
        <v>691</v>
      </c>
      <c r="AH264" s="57"/>
      <c r="AI264" s="57" t="b">
        <v>1</v>
      </c>
      <c r="AJ264" s="57" t="b">
        <v>1</v>
      </c>
      <c r="AK264" s="57"/>
      <c r="AM264">
        <v>264</v>
      </c>
    </row>
    <row r="265" spans="1:39" x14ac:dyDescent="0.25">
      <c r="A265" s="4" t="s">
        <v>1086</v>
      </c>
      <c r="B265" s="41" t="s">
        <v>178</v>
      </c>
      <c r="C265" s="4">
        <v>406</v>
      </c>
      <c r="D265" s="4">
        <v>15</v>
      </c>
      <c r="E265" s="4"/>
      <c r="F265" s="4"/>
      <c r="G265" s="4">
        <v>360</v>
      </c>
      <c r="H265" s="4"/>
      <c r="I265" s="4"/>
      <c r="J265" s="4"/>
      <c r="K265" s="4"/>
      <c r="L265" s="4"/>
      <c r="M265" s="4"/>
      <c r="N265" s="4">
        <v>1</v>
      </c>
      <c r="O265" s="4">
        <v>0</v>
      </c>
      <c r="P265" s="4">
        <v>0</v>
      </c>
      <c r="Q265" s="4">
        <v>0</v>
      </c>
      <c r="R265" s="4">
        <f>(57.5/2.5)*2</f>
        <v>46</v>
      </c>
      <c r="S265" s="4">
        <f>(5/2.5)*2</f>
        <v>4</v>
      </c>
      <c r="T265" s="4">
        <f>(5/2.5)*2</f>
        <v>4</v>
      </c>
      <c r="U265" s="4">
        <f>(12.5/2.5)*2</f>
        <v>10</v>
      </c>
      <c r="V265" s="4">
        <f>(2.5/2.5)*2</f>
        <v>2</v>
      </c>
      <c r="W265" s="4">
        <f>(17.5/2.5)*2</f>
        <v>14</v>
      </c>
      <c r="X265" s="4">
        <f t="shared" si="41"/>
        <v>0</v>
      </c>
      <c r="Y265" s="4">
        <f>(57.5/2.5)*2</f>
        <v>46</v>
      </c>
      <c r="Z265" s="4">
        <f>(5/2.5)*2</f>
        <v>4</v>
      </c>
      <c r="AA265" s="4">
        <f>(5/2.5)*2</f>
        <v>4</v>
      </c>
      <c r="AB265" s="4">
        <f>(12.5/2.5)*2</f>
        <v>10</v>
      </c>
      <c r="AC265" s="4">
        <f>(2.5/2.5)*2</f>
        <v>2</v>
      </c>
      <c r="AD265" s="4">
        <f>(17.5/2.5)*2</f>
        <v>14</v>
      </c>
      <c r="AE265" s="4">
        <f t="shared" si="42"/>
        <v>0</v>
      </c>
      <c r="AF265" s="4">
        <v>12</v>
      </c>
      <c r="AG265" s="57" t="s">
        <v>513</v>
      </c>
      <c r="AH265" s="57"/>
      <c r="AI265" s="57" t="b">
        <v>1</v>
      </c>
      <c r="AJ265" s="57" t="b">
        <v>1</v>
      </c>
      <c r="AK265" s="57"/>
      <c r="AM265">
        <v>265</v>
      </c>
    </row>
    <row r="266" spans="1:39" x14ac:dyDescent="0.25">
      <c r="A266" s="4" t="s">
        <v>1087</v>
      </c>
      <c r="B266" s="41" t="s">
        <v>178</v>
      </c>
      <c r="C266" s="4">
        <v>434</v>
      </c>
      <c r="D266" s="4">
        <v>5</v>
      </c>
      <c r="E266" s="4">
        <v>390</v>
      </c>
      <c r="F266" s="4"/>
      <c r="G266" s="4"/>
      <c r="H266" s="4"/>
      <c r="I266" s="4"/>
      <c r="J266" s="4"/>
      <c r="K266" s="4"/>
      <c r="L266" s="4"/>
      <c r="M266" s="4"/>
      <c r="N266" s="4">
        <v>0</v>
      </c>
      <c r="O266" s="4">
        <v>0</v>
      </c>
      <c r="P266" s="4">
        <v>0</v>
      </c>
      <c r="Q266" s="4">
        <v>0</v>
      </c>
      <c r="R266" s="4">
        <f>(22.5/2.5)*2</f>
        <v>18</v>
      </c>
      <c r="S266" s="4">
        <f>(12.5/2.5)*2</f>
        <v>10</v>
      </c>
      <c r="T266" s="4">
        <f>(12.5/2.5)*2</f>
        <v>10</v>
      </c>
      <c r="U266" s="4">
        <f>(20/2.5)*2</f>
        <v>16</v>
      </c>
      <c r="V266" s="4">
        <f>(32.5/2.5)*2</f>
        <v>26</v>
      </c>
      <c r="W266" s="4">
        <f>(0/2.5)*2</f>
        <v>0</v>
      </c>
      <c r="X266" s="4">
        <f t="shared" si="41"/>
        <v>0</v>
      </c>
      <c r="Y266" s="4">
        <f>(22.5/2.5)*2</f>
        <v>18</v>
      </c>
      <c r="Z266" s="4">
        <f>(12.5/2.5)*2</f>
        <v>10</v>
      </c>
      <c r="AA266" s="4">
        <f>(12.5/2.5)*2</f>
        <v>10</v>
      </c>
      <c r="AB266" s="4">
        <f>(20/2.5)*2</f>
        <v>16</v>
      </c>
      <c r="AC266" s="4">
        <f>(32.5/2.5)*2</f>
        <v>26</v>
      </c>
      <c r="AD266" s="4">
        <f>(0/2.5)*2</f>
        <v>0</v>
      </c>
      <c r="AE266" s="4">
        <f t="shared" si="42"/>
        <v>0</v>
      </c>
      <c r="AF266" s="4">
        <v>12</v>
      </c>
      <c r="AG266" s="57" t="s">
        <v>513</v>
      </c>
      <c r="AH266" s="57"/>
      <c r="AI266" s="57" t="b">
        <v>1</v>
      </c>
      <c r="AJ266" s="57" t="b">
        <v>1</v>
      </c>
      <c r="AK266" s="57"/>
      <c r="AM266">
        <v>266</v>
      </c>
    </row>
    <row r="267" spans="1:39" x14ac:dyDescent="0.25">
      <c r="A267" s="4" t="s">
        <v>1088</v>
      </c>
      <c r="B267" s="41" t="s">
        <v>178</v>
      </c>
      <c r="C267" s="4">
        <v>420</v>
      </c>
      <c r="D267" s="4">
        <v>5</v>
      </c>
      <c r="E267" s="4"/>
      <c r="F267" s="4"/>
      <c r="G267" s="4"/>
      <c r="H267" s="4"/>
      <c r="I267" s="4"/>
      <c r="J267" s="4"/>
      <c r="K267" s="4"/>
      <c r="L267" s="4"/>
      <c r="M267" s="4">
        <v>300</v>
      </c>
      <c r="N267" s="4">
        <v>1</v>
      </c>
      <c r="O267" s="4">
        <v>0</v>
      </c>
      <c r="P267" s="4">
        <v>0</v>
      </c>
      <c r="Q267" s="4">
        <v>0</v>
      </c>
      <c r="R267" s="4">
        <f>(25/2.5)*2</f>
        <v>20</v>
      </c>
      <c r="S267" s="4">
        <f>(30/2.5)*2</f>
        <v>24</v>
      </c>
      <c r="T267" s="4">
        <f>(10/2.5)*2</f>
        <v>8</v>
      </c>
      <c r="U267" s="4">
        <f>(12.5/2.5)*2</f>
        <v>10</v>
      </c>
      <c r="V267" s="4">
        <f>(22.5/2.5)*2</f>
        <v>18</v>
      </c>
      <c r="W267" s="4">
        <f>(0/2.5)*2</f>
        <v>0</v>
      </c>
      <c r="X267" s="4">
        <f t="shared" si="41"/>
        <v>0</v>
      </c>
      <c r="Y267" s="4">
        <f>(25/2.5)*2</f>
        <v>20</v>
      </c>
      <c r="Z267" s="4">
        <f>(30/2.5)*2</f>
        <v>24</v>
      </c>
      <c r="AA267" s="4">
        <f>(10/2.5)*2</f>
        <v>8</v>
      </c>
      <c r="AB267" s="4">
        <f>(12.5/2.5)*2</f>
        <v>10</v>
      </c>
      <c r="AC267" s="4">
        <f>(22.5/2.5)*2</f>
        <v>18</v>
      </c>
      <c r="AD267" s="4">
        <f>(0/2.5)*2</f>
        <v>0</v>
      </c>
      <c r="AE267" s="4">
        <f t="shared" si="42"/>
        <v>0</v>
      </c>
      <c r="AF267" s="4">
        <v>12</v>
      </c>
      <c r="AG267" s="57" t="s">
        <v>570</v>
      </c>
      <c r="AH267" s="57"/>
      <c r="AI267" s="57" t="b">
        <v>1</v>
      </c>
      <c r="AJ267" s="57" t="b">
        <v>1</v>
      </c>
      <c r="AK267" s="57"/>
      <c r="AM267">
        <v>267</v>
      </c>
    </row>
    <row r="268" spans="1:39" x14ac:dyDescent="0.25">
      <c r="A268" s="4" t="s">
        <v>1089</v>
      </c>
      <c r="B268" s="41" t="s">
        <v>178</v>
      </c>
      <c r="C268" s="4">
        <v>378</v>
      </c>
      <c r="D268" s="4">
        <v>10</v>
      </c>
      <c r="E268" s="4"/>
      <c r="F268" s="4"/>
      <c r="G268" s="4"/>
      <c r="H268" s="4"/>
      <c r="I268" s="4"/>
      <c r="J268" s="4"/>
      <c r="K268" s="4">
        <v>210</v>
      </c>
      <c r="L268" s="4"/>
      <c r="M268" s="4"/>
      <c r="N268" s="4">
        <v>1</v>
      </c>
      <c r="O268" s="4">
        <v>0</v>
      </c>
      <c r="P268" s="4">
        <v>0</v>
      </c>
      <c r="Q268" s="4">
        <v>0</v>
      </c>
      <c r="R268" s="4">
        <f>(27.5/2.5)*2</f>
        <v>22</v>
      </c>
      <c r="S268" s="4">
        <f>(7.5/2.5)*2</f>
        <v>6</v>
      </c>
      <c r="T268" s="4">
        <f>(15/2.5)*2</f>
        <v>12</v>
      </c>
      <c r="U268" s="4">
        <f>(20/2.5)*2</f>
        <v>16</v>
      </c>
      <c r="V268" s="4">
        <f>(10/2.5)*2</f>
        <v>8</v>
      </c>
      <c r="W268" s="4">
        <f>(20/2.5)*2</f>
        <v>16</v>
      </c>
      <c r="X268" s="4">
        <f t="shared" si="41"/>
        <v>0</v>
      </c>
      <c r="Y268" s="4">
        <f>(27.5/2.5)*2</f>
        <v>22</v>
      </c>
      <c r="Z268" s="4">
        <f>(7.5/2.5)*2</f>
        <v>6</v>
      </c>
      <c r="AA268" s="4">
        <f>(15/2.5)*2</f>
        <v>12</v>
      </c>
      <c r="AB268" s="4">
        <f>(20/2.5)*2</f>
        <v>16</v>
      </c>
      <c r="AC268" s="4">
        <f>(10/2.5)*2</f>
        <v>8</v>
      </c>
      <c r="AD268" s="4">
        <f>(20/2.5)*2</f>
        <v>16</v>
      </c>
      <c r="AE268" s="4">
        <f t="shared" si="42"/>
        <v>0</v>
      </c>
      <c r="AF268" s="4">
        <v>12</v>
      </c>
      <c r="AG268" s="57" t="s">
        <v>570</v>
      </c>
      <c r="AH268" s="57"/>
      <c r="AI268" s="57" t="b">
        <v>1</v>
      </c>
      <c r="AJ268" s="57" t="b">
        <v>1</v>
      </c>
      <c r="AK268" s="57"/>
      <c r="AM268">
        <v>268</v>
      </c>
    </row>
    <row r="269" spans="1:39" x14ac:dyDescent="0.25">
      <c r="A269" s="4" t="s">
        <v>1090</v>
      </c>
      <c r="B269" s="41" t="s">
        <v>178</v>
      </c>
      <c r="C269" s="4">
        <v>406</v>
      </c>
      <c r="D269" s="4">
        <v>10</v>
      </c>
      <c r="E269" s="4"/>
      <c r="F269" s="4">
        <v>390</v>
      </c>
      <c r="G269" s="4"/>
      <c r="H269" s="4"/>
      <c r="I269" s="4"/>
      <c r="J269" s="4"/>
      <c r="K269" s="4"/>
      <c r="L269" s="4"/>
      <c r="M269" s="4"/>
      <c r="N269" s="4">
        <v>1</v>
      </c>
      <c r="O269" s="4">
        <v>0</v>
      </c>
      <c r="P269" s="4">
        <v>0</v>
      </c>
      <c r="Q269" s="4">
        <v>0</v>
      </c>
      <c r="R269" s="4">
        <f>(45/2.5)*2</f>
        <v>36</v>
      </c>
      <c r="S269" s="4">
        <f>(17.5/2.5)*2</f>
        <v>14</v>
      </c>
      <c r="T269" s="4">
        <f>(5/2.5)*2</f>
        <v>4</v>
      </c>
      <c r="U269" s="4">
        <f>(5/2.5)*2</f>
        <v>4</v>
      </c>
      <c r="V269" s="4">
        <f>(17.5/2.5)*2</f>
        <v>14</v>
      </c>
      <c r="W269" s="4">
        <f>(10/2.5)*2</f>
        <v>8</v>
      </c>
      <c r="X269" s="4">
        <f t="shared" si="41"/>
        <v>0</v>
      </c>
      <c r="Y269" s="4">
        <f>(45/2.5)*2</f>
        <v>36</v>
      </c>
      <c r="Z269" s="4">
        <f>(17.5/2.5)*2</f>
        <v>14</v>
      </c>
      <c r="AA269" s="4">
        <f>(5/2.5)*2</f>
        <v>4</v>
      </c>
      <c r="AB269" s="4">
        <f>(5/2.5)*2</f>
        <v>4</v>
      </c>
      <c r="AC269" s="4">
        <f>(17.5/2.5)*2</f>
        <v>14</v>
      </c>
      <c r="AD269" s="4">
        <f>(10/2.5)*2</f>
        <v>8</v>
      </c>
      <c r="AE269" s="4">
        <f t="shared" si="42"/>
        <v>0</v>
      </c>
      <c r="AF269" s="4">
        <v>12</v>
      </c>
      <c r="AG269" s="57" t="s">
        <v>513</v>
      </c>
      <c r="AH269" s="57"/>
      <c r="AI269" s="57" t="b">
        <v>1</v>
      </c>
      <c r="AJ269" s="57" t="b">
        <v>1</v>
      </c>
      <c r="AK269" s="57"/>
      <c r="AM269">
        <v>269</v>
      </c>
    </row>
    <row r="270" spans="1:39" x14ac:dyDescent="0.25">
      <c r="A270" s="4" t="s">
        <v>1091</v>
      </c>
      <c r="B270" s="41" t="s">
        <v>178</v>
      </c>
      <c r="C270" s="4">
        <v>406</v>
      </c>
      <c r="D270" s="4">
        <v>15</v>
      </c>
      <c r="E270" s="4"/>
      <c r="F270" s="4"/>
      <c r="G270" s="4"/>
      <c r="H270" s="4">
        <v>390</v>
      </c>
      <c r="I270" s="4"/>
      <c r="J270" s="4"/>
      <c r="K270" s="4"/>
      <c r="L270" s="4"/>
      <c r="M270" s="4"/>
      <c r="N270" s="4">
        <v>1</v>
      </c>
      <c r="O270" s="4">
        <v>0</v>
      </c>
      <c r="P270" s="4">
        <v>0</v>
      </c>
      <c r="Q270" s="4">
        <v>0</v>
      </c>
      <c r="R270" s="4">
        <f>(12.5/2.5)*2</f>
        <v>10</v>
      </c>
      <c r="S270" s="4">
        <f>(12.5/2.5)*2</f>
        <v>10</v>
      </c>
      <c r="T270" s="4">
        <f>(15/2.5)*2</f>
        <v>12</v>
      </c>
      <c r="U270" s="4">
        <f>(30/2.5)*2</f>
        <v>24</v>
      </c>
      <c r="V270" s="4">
        <f>(20/2.5)*2</f>
        <v>16</v>
      </c>
      <c r="W270" s="4">
        <f>(10/2.5)*2</f>
        <v>8</v>
      </c>
      <c r="X270" s="4">
        <f t="shared" si="41"/>
        <v>0</v>
      </c>
      <c r="Y270" s="4">
        <f>(12.5/2.5)*2</f>
        <v>10</v>
      </c>
      <c r="Z270" s="4">
        <f>(12.5/2.5)*2</f>
        <v>10</v>
      </c>
      <c r="AA270" s="4">
        <f>(15/2.5)*2</f>
        <v>12</v>
      </c>
      <c r="AB270" s="4">
        <f>(30/2.5)*2</f>
        <v>24</v>
      </c>
      <c r="AC270" s="4">
        <f>(20/2.5)*2</f>
        <v>16</v>
      </c>
      <c r="AD270" s="4">
        <f>(10/2.5)*2</f>
        <v>8</v>
      </c>
      <c r="AE270" s="4">
        <f t="shared" si="42"/>
        <v>0</v>
      </c>
      <c r="AF270" s="4">
        <v>12</v>
      </c>
      <c r="AG270" s="57" t="s">
        <v>513</v>
      </c>
      <c r="AH270" s="57"/>
      <c r="AI270" s="57" t="b">
        <v>1</v>
      </c>
      <c r="AJ270" s="57" t="b">
        <v>1</v>
      </c>
      <c r="AK270" s="57"/>
      <c r="AM270">
        <v>270</v>
      </c>
    </row>
    <row r="271" spans="1:39" x14ac:dyDescent="0.25">
      <c r="A271" s="4" t="s">
        <v>1092</v>
      </c>
      <c r="B271" s="41" t="s">
        <v>178</v>
      </c>
      <c r="C271" s="4">
        <v>406</v>
      </c>
      <c r="D271" s="4">
        <v>20</v>
      </c>
      <c r="E271" s="4"/>
      <c r="F271" s="4"/>
      <c r="G271" s="4"/>
      <c r="H271" s="4"/>
      <c r="I271" s="4">
        <v>390</v>
      </c>
      <c r="J271" s="4"/>
      <c r="K271" s="4"/>
      <c r="L271" s="4"/>
      <c r="M271" s="4"/>
      <c r="N271" s="4">
        <v>1</v>
      </c>
      <c r="O271" s="4">
        <v>0</v>
      </c>
      <c r="P271" s="4">
        <v>0</v>
      </c>
      <c r="Q271" s="4">
        <v>0</v>
      </c>
      <c r="R271" s="4">
        <f>(12.5/2.5)*2</f>
        <v>10</v>
      </c>
      <c r="S271" s="4">
        <f>(12.5/2.5)*2</f>
        <v>10</v>
      </c>
      <c r="T271" s="4">
        <f>(15/2.5)*2</f>
        <v>12</v>
      </c>
      <c r="U271" s="4">
        <f>(30/2.5)*2</f>
        <v>24</v>
      </c>
      <c r="V271" s="4">
        <f>(20/2.5)*2</f>
        <v>16</v>
      </c>
      <c r="W271" s="4">
        <f>(10/2.5)*2</f>
        <v>8</v>
      </c>
      <c r="X271" s="4">
        <f t="shared" si="41"/>
        <v>0</v>
      </c>
      <c r="Y271" s="4">
        <f>(12.5/2.5)*2</f>
        <v>10</v>
      </c>
      <c r="Z271" s="4">
        <f>(12.5/2.5)*2</f>
        <v>10</v>
      </c>
      <c r="AA271" s="4">
        <f>(15/2.5)*2</f>
        <v>12</v>
      </c>
      <c r="AB271" s="4">
        <f>(30/2.5)*2</f>
        <v>24</v>
      </c>
      <c r="AC271" s="4">
        <f>(20/2.5)*2</f>
        <v>16</v>
      </c>
      <c r="AD271" s="4">
        <f>(10/2.5)*2</f>
        <v>8</v>
      </c>
      <c r="AE271" s="4">
        <f t="shared" si="42"/>
        <v>0</v>
      </c>
      <c r="AF271" s="4">
        <v>12</v>
      </c>
      <c r="AG271" s="57" t="s">
        <v>513</v>
      </c>
      <c r="AH271" s="57"/>
      <c r="AI271" s="57" t="b">
        <v>1</v>
      </c>
      <c r="AJ271" s="57" t="b">
        <v>1</v>
      </c>
      <c r="AK271" s="57"/>
      <c r="AM271">
        <v>271</v>
      </c>
    </row>
  </sheetData>
  <sortState xmlns:xlrd2="http://schemas.microsoft.com/office/spreadsheetml/2017/richdata2" ref="AM1:AM271">
    <sortCondition ref="AM1:AM271"/>
  </sortState>
  <dataValidations count="1">
    <dataValidation type="list" allowBlank="1" showInputMessage="1" showErrorMessage="1" sqref="B2:B271" xr:uid="{CE511D7F-DD95-4792-A79E-E8CA7131FDC3}">
      <formula1>"Great Sword,Long Sword,Sword &amp; Shield,Dual Blades,Lance,Gunlance,Hammer,Hunting Horn,Switch Axe,Charge Blade,Insect Glaive,Light Bowgun,Heavy Bowgun,Bow"</formula1>
    </dataValidation>
  </dataValidations>
  <pageMargins left="0.7" right="0.7" top="0.75" bottom="0.75" header="0.3" footer="0.3"/>
  <ignoredErrors>
    <ignoredError sqref="S5"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04AE8-9D78-4BA3-A689-0B586C5C61FD}">
  <sheetPr codeName="Sheet5"/>
  <dimension ref="A1:L112"/>
  <sheetViews>
    <sheetView workbookViewId="0">
      <selection activeCell="A7" sqref="A7"/>
    </sheetView>
  </sheetViews>
  <sheetFormatPr defaultColWidth="10" defaultRowHeight="15" x14ac:dyDescent="0.25"/>
  <cols>
    <col min="1" max="1" width="36.85546875" style="66" bestFit="1" customWidth="1"/>
    <col min="2" max="2" width="5.5703125" style="51" bestFit="1" customWidth="1"/>
    <col min="3" max="3" width="12.85546875" style="51" bestFit="1" customWidth="1"/>
    <col min="4" max="4" width="6.140625" style="51" bestFit="1" customWidth="1"/>
    <col min="5" max="5" width="4.42578125" style="51" bestFit="1" customWidth="1"/>
    <col min="6" max="6" width="16" style="51" bestFit="1" customWidth="1"/>
    <col min="7" max="7" width="14.5703125" style="51" bestFit="1" customWidth="1"/>
    <col min="8" max="8" width="10.28515625" style="51" bestFit="1" customWidth="1"/>
    <col min="9" max="9" width="7.85546875" style="51" bestFit="1" customWidth="1"/>
    <col min="10" max="10" width="7" style="51" bestFit="1" customWidth="1"/>
    <col min="11" max="11" width="24.5703125" style="51" bestFit="1" customWidth="1"/>
  </cols>
  <sheetData>
    <row r="1" spans="1:12" x14ac:dyDescent="0.25">
      <c r="A1" s="80" t="s">
        <v>111</v>
      </c>
      <c r="B1" s="80" t="s">
        <v>112</v>
      </c>
      <c r="C1" s="80" t="s">
        <v>113</v>
      </c>
      <c r="D1" s="80" t="s">
        <v>114</v>
      </c>
      <c r="E1" s="80" t="s">
        <v>115</v>
      </c>
      <c r="F1" s="80" t="s">
        <v>116</v>
      </c>
      <c r="G1" s="80" t="s">
        <v>117</v>
      </c>
      <c r="H1" s="80" t="s">
        <v>890</v>
      </c>
      <c r="I1" s="80" t="s">
        <v>768</v>
      </c>
      <c r="J1" s="80" t="s">
        <v>900</v>
      </c>
      <c r="K1" s="80" t="s">
        <v>904</v>
      </c>
    </row>
    <row r="2" spans="1:12" x14ac:dyDescent="0.25">
      <c r="A2" s="1"/>
      <c r="B2" s="2" t="s">
        <v>0</v>
      </c>
      <c r="C2" s="2">
        <v>0</v>
      </c>
      <c r="D2" s="2"/>
      <c r="E2" s="2">
        <v>0</v>
      </c>
      <c r="F2" s="2">
        <v>0</v>
      </c>
      <c r="G2" s="2">
        <v>0</v>
      </c>
      <c r="H2" s="2" t="s">
        <v>862</v>
      </c>
      <c r="I2" s="2" t="s">
        <v>862</v>
      </c>
      <c r="J2" s="2" t="b">
        <v>1</v>
      </c>
      <c r="K2" s="2" t="b">
        <v>0</v>
      </c>
      <c r="L2" s="3"/>
    </row>
    <row r="3" spans="1:12" x14ac:dyDescent="0.25">
      <c r="A3" s="81" t="str">
        <f>IFERROR(INDEX(tbMoves!B:B,MATCH(ROWS(tbMoves!$1:1),tbMoves!M:M,0)),"")</f>
        <v>Double Slash (L)</v>
      </c>
      <c r="B3" s="82" t="str">
        <f>IFERROR(INDEX(tbMoves!C:C,MATCH(ROWS(tbMoves!$1:1),tbMoves!M:M,0)),"")</f>
        <v>Sever</v>
      </c>
      <c r="C3" s="82">
        <f>IFERROR(INDEX(tbMoves!D:D,MATCH(ROWS(tbMoves!$1:1),tbMoves!M:M,0)),"")</f>
        <v>8</v>
      </c>
      <c r="D3" s="82">
        <f>IFERROR(INDEX(tbMoves!E:E,MATCH(ROWS(tbMoves!$1:1),tbMoves!M:M,0)),"")</f>
        <v>0</v>
      </c>
      <c r="E3" s="82">
        <f>IFERROR(INDEX(tbMoves!F:F,MATCH(ROWS(tbMoves!$1:1),tbMoves!M:M,0)),"")</f>
        <v>1</v>
      </c>
      <c r="F3" s="82">
        <f>IFERROR(INDEX(tbMoves!G:G,MATCH(ROWS(tbMoves!$1:1),tbMoves!M:M,0)),"")</f>
        <v>0.6</v>
      </c>
      <c r="G3" s="82">
        <f>IFERROR(INDEX(tbMoves!H:H,MATCH(ROWS(tbMoves!$1:1),tbMoves!M:M,0)),"")</f>
        <v>0.4</v>
      </c>
      <c r="H3" s="82" t="str">
        <f>IFERROR(INDEX(tbMoves!I:I,MATCH(ROWS(tbMoves!$1:1),tbMoves!M:M,0)),"")</f>
        <v>N/A</v>
      </c>
      <c r="I3" s="82" t="str">
        <f>IFERROR(INDEX(tbMoves!J:J,MATCH(ROWS(tbMoves!$1:1),tbMoves!M:M,0)),"")</f>
        <v>N/A</v>
      </c>
      <c r="J3" s="82" t="b">
        <f>IFERROR(INDEX(tbMoves!K:K,MATCH(ROWS(tbMoves!$1:1),tbMoves!M:M,0)),"")</f>
        <v>1</v>
      </c>
      <c r="K3" s="82" t="b">
        <f>IFERROR(INDEX(tbMoves!L:L,MATCH(ROWS(tbMoves!$1:1),tbMoves!M:M,0)),"")</f>
        <v>0</v>
      </c>
      <c r="L3" s="3"/>
    </row>
    <row r="4" spans="1:12" x14ac:dyDescent="0.25">
      <c r="A4" s="81" t="str">
        <f>IFERROR(INDEX(tbMoves!B:B,MATCH(ROWS(tbMoves!$1:2),tbMoves!M:M,0)),"")</f>
        <v>Double Slash (R)</v>
      </c>
      <c r="B4" s="82" t="str">
        <f>IFERROR(INDEX(tbMoves!C:C,MATCH(ROWS(tbMoves!$1:2),tbMoves!M:M,0)),"")</f>
        <v>Sever</v>
      </c>
      <c r="C4" s="82">
        <f>IFERROR(INDEX(tbMoves!D:D,MATCH(ROWS(tbMoves!$1:2),tbMoves!M:M,0)),"")</f>
        <v>10</v>
      </c>
      <c r="D4" s="82">
        <f>IFERROR(INDEX(tbMoves!E:E,MATCH(ROWS(tbMoves!$1:2),tbMoves!M:M,0)),"")</f>
        <v>0</v>
      </c>
      <c r="E4" s="82">
        <f>IFERROR(INDEX(tbMoves!F:F,MATCH(ROWS(tbMoves!$1:2),tbMoves!M:M,0)),"")</f>
        <v>1</v>
      </c>
      <c r="F4" s="82">
        <f>IFERROR(INDEX(tbMoves!G:G,MATCH(ROWS(tbMoves!$1:2),tbMoves!M:M,0)),"")</f>
        <v>0.6</v>
      </c>
      <c r="G4" s="82">
        <f>IFERROR(INDEX(tbMoves!H:H,MATCH(ROWS(tbMoves!$1:2),tbMoves!M:M,0)),"")</f>
        <v>0.4</v>
      </c>
      <c r="H4" s="82" t="str">
        <f>IFERROR(INDEX(tbMoves!I:I,MATCH(ROWS(tbMoves!$1:2),tbMoves!M:M,0)),"")</f>
        <v>N/A</v>
      </c>
      <c r="I4" s="82" t="str">
        <f>IFERROR(INDEX(tbMoves!J:J,MATCH(ROWS(tbMoves!$1:2),tbMoves!M:M,0)),"")</f>
        <v>N/A</v>
      </c>
      <c r="J4" s="82" t="b">
        <f>IFERROR(INDEX(tbMoves!K:K,MATCH(ROWS(tbMoves!$1:2),tbMoves!M:M,0)),"")</f>
        <v>1</v>
      </c>
      <c r="K4" s="82" t="b">
        <f>IFERROR(INDEX(tbMoves!L:L,MATCH(ROWS(tbMoves!$1:2),tbMoves!M:M,0)),"")</f>
        <v>0</v>
      </c>
      <c r="L4" s="3"/>
    </row>
    <row r="5" spans="1:12" x14ac:dyDescent="0.25">
      <c r="A5" s="81" t="str">
        <f>IFERROR(INDEX(tbMoves!B:B,MATCH(ROWS(tbMoves!$1:3),tbMoves!M:M,0)),"")</f>
        <v>Double Slash Return Stroke (R)</v>
      </c>
      <c r="B5" s="82" t="str">
        <f>IFERROR(INDEX(tbMoves!C:C,MATCH(ROWS(tbMoves!$1:3),tbMoves!M:M,0)),"")</f>
        <v>Sever</v>
      </c>
      <c r="C5" s="82">
        <f>IFERROR(INDEX(tbMoves!D:D,MATCH(ROWS(tbMoves!$1:3),tbMoves!M:M,0)),"")</f>
        <v>9</v>
      </c>
      <c r="D5" s="82">
        <f>IFERROR(INDEX(tbMoves!E:E,MATCH(ROWS(tbMoves!$1:3),tbMoves!M:M,0)),"")</f>
        <v>0</v>
      </c>
      <c r="E5" s="82">
        <f>IFERROR(INDEX(tbMoves!F:F,MATCH(ROWS(tbMoves!$1:3),tbMoves!M:M,0)),"")</f>
        <v>1</v>
      </c>
      <c r="F5" s="82">
        <f>IFERROR(INDEX(tbMoves!G:G,MATCH(ROWS(tbMoves!$1:3),tbMoves!M:M,0)),"")</f>
        <v>0.6</v>
      </c>
      <c r="G5" s="82">
        <f>IFERROR(INDEX(tbMoves!H:H,MATCH(ROWS(tbMoves!$1:3),tbMoves!M:M,0)),"")</f>
        <v>0.4</v>
      </c>
      <c r="H5" s="82" t="str">
        <f>IFERROR(INDEX(tbMoves!I:I,MATCH(ROWS(tbMoves!$1:3),tbMoves!M:M,0)),"")</f>
        <v>N/A</v>
      </c>
      <c r="I5" s="82" t="str">
        <f>IFERROR(INDEX(tbMoves!J:J,MATCH(ROWS(tbMoves!$1:3),tbMoves!M:M,0)),"")</f>
        <v>N/A</v>
      </c>
      <c r="J5" s="82" t="b">
        <f>IFERROR(INDEX(tbMoves!K:K,MATCH(ROWS(tbMoves!$1:3),tbMoves!M:M,0)),"")</f>
        <v>1</v>
      </c>
      <c r="K5" s="82" t="b">
        <f>IFERROR(INDEX(tbMoves!L:L,MATCH(ROWS(tbMoves!$1:3),tbMoves!M:M,0)),"")</f>
        <v>0</v>
      </c>
      <c r="L5" s="3"/>
    </row>
    <row r="6" spans="1:12" x14ac:dyDescent="0.25">
      <c r="A6" s="81" t="str">
        <f>IFERROR(INDEX(tbMoves!B:B,MATCH(ROWS(tbMoves!$1:4),tbMoves!M:M,0)),"")</f>
        <v>Double Slash Return Stroke (L)</v>
      </c>
      <c r="B6" s="82" t="str">
        <f>IFERROR(INDEX(tbMoves!C:C,MATCH(ROWS(tbMoves!$1:4),tbMoves!M:M,0)),"")</f>
        <v>Sever</v>
      </c>
      <c r="C6" s="82">
        <f>IFERROR(INDEX(tbMoves!D:D,MATCH(ROWS(tbMoves!$1:4),tbMoves!M:M,0)),"")</f>
        <v>10</v>
      </c>
      <c r="D6" s="82">
        <f>IFERROR(INDEX(tbMoves!E:E,MATCH(ROWS(tbMoves!$1:4),tbMoves!M:M,0)),"")</f>
        <v>0</v>
      </c>
      <c r="E6" s="82">
        <f>IFERROR(INDEX(tbMoves!F:F,MATCH(ROWS(tbMoves!$1:4),tbMoves!M:M,0)),"")</f>
        <v>1</v>
      </c>
      <c r="F6" s="82">
        <f>IFERROR(INDEX(tbMoves!G:G,MATCH(ROWS(tbMoves!$1:4),tbMoves!M:M,0)),"")</f>
        <v>0.6</v>
      </c>
      <c r="G6" s="82">
        <f>IFERROR(INDEX(tbMoves!H:H,MATCH(ROWS(tbMoves!$1:4),tbMoves!M:M,0)),"")</f>
        <v>0.4</v>
      </c>
      <c r="H6" s="82" t="str">
        <f>IFERROR(INDEX(tbMoves!I:I,MATCH(ROWS(tbMoves!$1:4),tbMoves!M:M,0)),"")</f>
        <v>N/A</v>
      </c>
      <c r="I6" s="82" t="str">
        <f>IFERROR(INDEX(tbMoves!J:J,MATCH(ROWS(tbMoves!$1:4),tbMoves!M:M,0)),"")</f>
        <v>N/A</v>
      </c>
      <c r="J6" s="82" t="b">
        <f>IFERROR(INDEX(tbMoves!K:K,MATCH(ROWS(tbMoves!$1:4),tbMoves!M:M,0)),"")</f>
        <v>1</v>
      </c>
      <c r="K6" s="82" t="b">
        <f>IFERROR(INDEX(tbMoves!L:L,MATCH(ROWS(tbMoves!$1:4),tbMoves!M:M,0)),"")</f>
        <v>0</v>
      </c>
      <c r="L6" s="3"/>
    </row>
    <row r="7" spans="1:12" x14ac:dyDescent="0.25">
      <c r="A7" s="81" t="str">
        <f>IFERROR(INDEX(tbMoves!B:B,MATCH(ROWS(tbMoves!$1:5),tbMoves!M:M,0)),"")</f>
        <v>Circle Slash (R1)</v>
      </c>
      <c r="B7" s="82" t="str">
        <f>IFERROR(INDEX(tbMoves!C:C,MATCH(ROWS(tbMoves!$1:5),tbMoves!M:M,0)),"")</f>
        <v>Sever</v>
      </c>
      <c r="C7" s="82">
        <f>IFERROR(INDEX(tbMoves!D:D,MATCH(ROWS(tbMoves!$1:5),tbMoves!M:M,0)),"")</f>
        <v>9</v>
      </c>
      <c r="D7" s="82">
        <f>IFERROR(INDEX(tbMoves!E:E,MATCH(ROWS(tbMoves!$1:5),tbMoves!M:M,0)),"")</f>
        <v>0</v>
      </c>
      <c r="E7" s="82">
        <f>IFERROR(INDEX(tbMoves!F:F,MATCH(ROWS(tbMoves!$1:5),tbMoves!M:M,0)),"")</f>
        <v>1</v>
      </c>
      <c r="F7" s="82">
        <f>IFERROR(INDEX(tbMoves!G:G,MATCH(ROWS(tbMoves!$1:5),tbMoves!M:M,0)),"")</f>
        <v>0.7</v>
      </c>
      <c r="G7" s="82">
        <f>IFERROR(INDEX(tbMoves!H:H,MATCH(ROWS(tbMoves!$1:5),tbMoves!M:M,0)),"")</f>
        <v>0.5</v>
      </c>
      <c r="H7" s="82" t="str">
        <f>IFERROR(INDEX(tbMoves!I:I,MATCH(ROWS(tbMoves!$1:5),tbMoves!M:M,0)),"")</f>
        <v>N/A</v>
      </c>
      <c r="I7" s="82" t="str">
        <f>IFERROR(INDEX(tbMoves!J:J,MATCH(ROWS(tbMoves!$1:5),tbMoves!M:M,0)),"")</f>
        <v>N/A</v>
      </c>
      <c r="J7" s="82" t="b">
        <f>IFERROR(INDEX(tbMoves!K:K,MATCH(ROWS(tbMoves!$1:5),tbMoves!M:M,0)),"")</f>
        <v>1</v>
      </c>
      <c r="K7" s="82" t="b">
        <f>IFERROR(INDEX(tbMoves!L:L,MATCH(ROWS(tbMoves!$1:5),tbMoves!M:M,0)),"")</f>
        <v>0</v>
      </c>
      <c r="L7" s="3"/>
    </row>
    <row r="8" spans="1:12" x14ac:dyDescent="0.25">
      <c r="A8" s="81" t="str">
        <f>IFERROR(INDEX(tbMoves!B:B,MATCH(ROWS(tbMoves!$1:6),tbMoves!M:M,0)),"")</f>
        <v>Circle Slash (L)</v>
      </c>
      <c r="B8" s="82" t="str">
        <f>IFERROR(INDEX(tbMoves!C:C,MATCH(ROWS(tbMoves!$1:6),tbMoves!M:M,0)),"")</f>
        <v>Sever</v>
      </c>
      <c r="C8" s="82">
        <f>IFERROR(INDEX(tbMoves!D:D,MATCH(ROWS(tbMoves!$1:6),tbMoves!M:M,0)),"")</f>
        <v>11</v>
      </c>
      <c r="D8" s="82">
        <f>IFERROR(INDEX(tbMoves!E:E,MATCH(ROWS(tbMoves!$1:6),tbMoves!M:M,0)),"")</f>
        <v>0</v>
      </c>
      <c r="E8" s="82">
        <f>IFERROR(INDEX(tbMoves!F:F,MATCH(ROWS(tbMoves!$1:6),tbMoves!M:M,0)),"")</f>
        <v>1</v>
      </c>
      <c r="F8" s="82">
        <f>IFERROR(INDEX(tbMoves!G:G,MATCH(ROWS(tbMoves!$1:6),tbMoves!M:M,0)),"")</f>
        <v>0.7</v>
      </c>
      <c r="G8" s="82">
        <f>IFERROR(INDEX(tbMoves!H:H,MATCH(ROWS(tbMoves!$1:6),tbMoves!M:M,0)),"")</f>
        <v>0.5</v>
      </c>
      <c r="H8" s="82" t="str">
        <f>IFERROR(INDEX(tbMoves!I:I,MATCH(ROWS(tbMoves!$1:6),tbMoves!M:M,0)),"")</f>
        <v>N/A</v>
      </c>
      <c r="I8" s="82" t="str">
        <f>IFERROR(INDEX(tbMoves!J:J,MATCH(ROWS(tbMoves!$1:6),tbMoves!M:M,0)),"")</f>
        <v>N/A</v>
      </c>
      <c r="J8" s="82" t="b">
        <f>IFERROR(INDEX(tbMoves!K:K,MATCH(ROWS(tbMoves!$1:6),tbMoves!M:M,0)),"")</f>
        <v>1</v>
      </c>
      <c r="K8" s="82" t="b">
        <f>IFERROR(INDEX(tbMoves!L:L,MATCH(ROWS(tbMoves!$1:6),tbMoves!M:M,0)),"")</f>
        <v>0</v>
      </c>
      <c r="L8" s="3"/>
    </row>
    <row r="9" spans="1:12" x14ac:dyDescent="0.25">
      <c r="A9" s="81" t="str">
        <f>IFERROR(INDEX(tbMoves!B:B,MATCH(ROWS(tbMoves!$1:7),tbMoves!M:M,0)),"")</f>
        <v>Circle Slash (R2)</v>
      </c>
      <c r="B9" s="82" t="str">
        <f>IFERROR(INDEX(tbMoves!C:C,MATCH(ROWS(tbMoves!$1:7),tbMoves!M:M,0)),"")</f>
        <v>Sever</v>
      </c>
      <c r="C9" s="82">
        <f>IFERROR(INDEX(tbMoves!D:D,MATCH(ROWS(tbMoves!$1:7),tbMoves!M:M,0)),"")</f>
        <v>11</v>
      </c>
      <c r="D9" s="82">
        <f>IFERROR(INDEX(tbMoves!E:E,MATCH(ROWS(tbMoves!$1:7),tbMoves!M:M,0)),"")</f>
        <v>0</v>
      </c>
      <c r="E9" s="82">
        <f>IFERROR(INDEX(tbMoves!F:F,MATCH(ROWS(tbMoves!$1:7),tbMoves!M:M,0)),"")</f>
        <v>1</v>
      </c>
      <c r="F9" s="82">
        <f>IFERROR(INDEX(tbMoves!G:G,MATCH(ROWS(tbMoves!$1:7),tbMoves!M:M,0)),"")</f>
        <v>0.7</v>
      </c>
      <c r="G9" s="82">
        <f>IFERROR(INDEX(tbMoves!H:H,MATCH(ROWS(tbMoves!$1:7),tbMoves!M:M,0)),"")</f>
        <v>0.5</v>
      </c>
      <c r="H9" s="82" t="str">
        <f>IFERROR(INDEX(tbMoves!I:I,MATCH(ROWS(tbMoves!$1:7),tbMoves!M:M,0)),"")</f>
        <v>N/A</v>
      </c>
      <c r="I9" s="82" t="str">
        <f>IFERROR(INDEX(tbMoves!J:J,MATCH(ROWS(tbMoves!$1:7),tbMoves!M:M,0)),"")</f>
        <v>N/A</v>
      </c>
      <c r="J9" s="82" t="b">
        <f>IFERROR(INDEX(tbMoves!K:K,MATCH(ROWS(tbMoves!$1:7),tbMoves!M:M,0)),"")</f>
        <v>1</v>
      </c>
      <c r="K9" s="82" t="b">
        <f>IFERROR(INDEX(tbMoves!L:L,MATCH(ROWS(tbMoves!$1:7),tbMoves!M:M,0)),"")</f>
        <v>0</v>
      </c>
      <c r="L9" s="3"/>
    </row>
    <row r="10" spans="1:12" x14ac:dyDescent="0.25">
      <c r="A10" s="81" t="str">
        <f>IFERROR(INDEX(tbMoves!B:B,MATCH(ROWS(tbMoves!$1:8),tbMoves!M:M,0)),"")</f>
        <v>Lunging Strike (L1)</v>
      </c>
      <c r="B10" s="82" t="str">
        <f>IFERROR(INDEX(tbMoves!C:C,MATCH(ROWS(tbMoves!$1:8),tbMoves!M:M,0)),"")</f>
        <v>Sever</v>
      </c>
      <c r="C10" s="82">
        <f>IFERROR(INDEX(tbMoves!D:D,MATCH(ROWS(tbMoves!$1:8),tbMoves!M:M,0)),"")</f>
        <v>3</v>
      </c>
      <c r="D10" s="82">
        <f>IFERROR(INDEX(tbMoves!E:E,MATCH(ROWS(tbMoves!$1:8),tbMoves!M:M,0)),"")</f>
        <v>0</v>
      </c>
      <c r="E10" s="82">
        <f>IFERROR(INDEX(tbMoves!F:F,MATCH(ROWS(tbMoves!$1:8),tbMoves!M:M,0)),"")</f>
        <v>1</v>
      </c>
      <c r="F10" s="82">
        <f>IFERROR(INDEX(tbMoves!G:G,MATCH(ROWS(tbMoves!$1:8),tbMoves!M:M,0)),"")</f>
        <v>0.6</v>
      </c>
      <c r="G10" s="82">
        <f>IFERROR(INDEX(tbMoves!H:H,MATCH(ROWS(tbMoves!$1:8),tbMoves!M:M,0)),"")</f>
        <v>0.4</v>
      </c>
      <c r="H10" s="82" t="str">
        <f>IFERROR(INDEX(tbMoves!I:I,MATCH(ROWS(tbMoves!$1:8),tbMoves!M:M,0)),"")</f>
        <v>N/A</v>
      </c>
      <c r="I10" s="82" t="str">
        <f>IFERROR(INDEX(tbMoves!J:J,MATCH(ROWS(tbMoves!$1:8),tbMoves!M:M,0)),"")</f>
        <v>N/A</v>
      </c>
      <c r="J10" s="82" t="b">
        <f>IFERROR(INDEX(tbMoves!K:K,MATCH(ROWS(tbMoves!$1:8),tbMoves!M:M,0)),"")</f>
        <v>1</v>
      </c>
      <c r="K10" s="82" t="b">
        <f>IFERROR(INDEX(tbMoves!L:L,MATCH(ROWS(tbMoves!$1:8),tbMoves!M:M,0)),"")</f>
        <v>0</v>
      </c>
      <c r="L10" s="3"/>
    </row>
    <row r="11" spans="1:12" x14ac:dyDescent="0.25">
      <c r="A11" s="81" t="str">
        <f>IFERROR(INDEX(tbMoves!B:B,MATCH(ROWS(tbMoves!$1:9),tbMoves!M:M,0)),"")</f>
        <v>Lunging Strike (R1)</v>
      </c>
      <c r="B11" s="82" t="str">
        <f>IFERROR(INDEX(tbMoves!C:C,MATCH(ROWS(tbMoves!$1:9),tbMoves!M:M,0)),"")</f>
        <v>Sever</v>
      </c>
      <c r="C11" s="82">
        <f>IFERROR(INDEX(tbMoves!D:D,MATCH(ROWS(tbMoves!$1:9),tbMoves!M:M,0)),"")</f>
        <v>3</v>
      </c>
      <c r="D11" s="82">
        <f>IFERROR(INDEX(tbMoves!E:E,MATCH(ROWS(tbMoves!$1:9),tbMoves!M:M,0)),"")</f>
        <v>0</v>
      </c>
      <c r="E11" s="82">
        <f>IFERROR(INDEX(tbMoves!F:F,MATCH(ROWS(tbMoves!$1:9),tbMoves!M:M,0)),"")</f>
        <v>1</v>
      </c>
      <c r="F11" s="82">
        <f>IFERROR(INDEX(tbMoves!G:G,MATCH(ROWS(tbMoves!$1:9),tbMoves!M:M,0)),"")</f>
        <v>0.6</v>
      </c>
      <c r="G11" s="82">
        <f>IFERROR(INDEX(tbMoves!H:H,MATCH(ROWS(tbMoves!$1:9),tbMoves!M:M,0)),"")</f>
        <v>0.4</v>
      </c>
      <c r="H11" s="82" t="str">
        <f>IFERROR(INDEX(tbMoves!I:I,MATCH(ROWS(tbMoves!$1:9),tbMoves!M:M,0)),"")</f>
        <v>N/A</v>
      </c>
      <c r="I11" s="82" t="str">
        <f>IFERROR(INDEX(tbMoves!J:J,MATCH(ROWS(tbMoves!$1:9),tbMoves!M:M,0)),"")</f>
        <v>N/A</v>
      </c>
      <c r="J11" s="82" t="b">
        <f>IFERROR(INDEX(tbMoves!K:K,MATCH(ROWS(tbMoves!$1:9),tbMoves!M:M,0)),"")</f>
        <v>1</v>
      </c>
      <c r="K11" s="82" t="b">
        <f>IFERROR(INDEX(tbMoves!L:L,MATCH(ROWS(tbMoves!$1:9),tbMoves!M:M,0)),"")</f>
        <v>0</v>
      </c>
      <c r="L11" s="3"/>
    </row>
    <row r="12" spans="1:12" x14ac:dyDescent="0.25">
      <c r="A12" s="81" t="str">
        <f>IFERROR(INDEX(tbMoves!B:B,MATCH(ROWS(tbMoves!$1:10),tbMoves!M:M,0)),"")</f>
        <v>Lunging Strike (L2)</v>
      </c>
      <c r="B12" s="82" t="str">
        <f>IFERROR(INDEX(tbMoves!C:C,MATCH(ROWS(tbMoves!$1:10),tbMoves!M:M,0)),"")</f>
        <v>Sever</v>
      </c>
      <c r="C12" s="82">
        <f>IFERROR(INDEX(tbMoves!D:D,MATCH(ROWS(tbMoves!$1:10),tbMoves!M:M,0)),"")</f>
        <v>5</v>
      </c>
      <c r="D12" s="82">
        <f>IFERROR(INDEX(tbMoves!E:E,MATCH(ROWS(tbMoves!$1:10),tbMoves!M:M,0)),"")</f>
        <v>0</v>
      </c>
      <c r="E12" s="82">
        <f>IFERROR(INDEX(tbMoves!F:F,MATCH(ROWS(tbMoves!$1:10),tbMoves!M:M,0)),"")</f>
        <v>1</v>
      </c>
      <c r="F12" s="82">
        <f>IFERROR(INDEX(tbMoves!G:G,MATCH(ROWS(tbMoves!$1:10),tbMoves!M:M,0)),"")</f>
        <v>0.6</v>
      </c>
      <c r="G12" s="82">
        <f>IFERROR(INDEX(tbMoves!H:H,MATCH(ROWS(tbMoves!$1:10),tbMoves!M:M,0)),"")</f>
        <v>0.4</v>
      </c>
      <c r="H12" s="82" t="str">
        <f>IFERROR(INDEX(tbMoves!I:I,MATCH(ROWS(tbMoves!$1:10),tbMoves!M:M,0)),"")</f>
        <v>N/A</v>
      </c>
      <c r="I12" s="82" t="str">
        <f>IFERROR(INDEX(tbMoves!J:J,MATCH(ROWS(tbMoves!$1:10),tbMoves!M:M,0)),"")</f>
        <v>N/A</v>
      </c>
      <c r="J12" s="82" t="b">
        <f>IFERROR(INDEX(tbMoves!K:K,MATCH(ROWS(tbMoves!$1:10),tbMoves!M:M,0)),"")</f>
        <v>1</v>
      </c>
      <c r="K12" s="82" t="b">
        <f>IFERROR(INDEX(tbMoves!L:L,MATCH(ROWS(tbMoves!$1:10),tbMoves!M:M,0)),"")</f>
        <v>0</v>
      </c>
      <c r="L12" s="3"/>
    </row>
    <row r="13" spans="1:12" x14ac:dyDescent="0.25">
      <c r="A13" s="81" t="str">
        <f>IFERROR(INDEX(tbMoves!B:B,MATCH(ROWS(tbMoves!$1:11),tbMoves!M:M,0)),"")</f>
        <v>Lunging Strike (R2)</v>
      </c>
      <c r="B13" s="82" t="str">
        <f>IFERROR(INDEX(tbMoves!C:C,MATCH(ROWS(tbMoves!$1:11),tbMoves!M:M,0)),"")</f>
        <v>Sever</v>
      </c>
      <c r="C13" s="82">
        <f>IFERROR(INDEX(tbMoves!D:D,MATCH(ROWS(tbMoves!$1:11),tbMoves!M:M,0)),"")</f>
        <v>5</v>
      </c>
      <c r="D13" s="82">
        <f>IFERROR(INDEX(tbMoves!E:E,MATCH(ROWS(tbMoves!$1:11),tbMoves!M:M,0)),"")</f>
        <v>0</v>
      </c>
      <c r="E13" s="82">
        <f>IFERROR(INDEX(tbMoves!F:F,MATCH(ROWS(tbMoves!$1:11),tbMoves!M:M,0)),"")</f>
        <v>1</v>
      </c>
      <c r="F13" s="82">
        <f>IFERROR(INDEX(tbMoves!G:G,MATCH(ROWS(tbMoves!$1:11),tbMoves!M:M,0)),"")</f>
        <v>0.6</v>
      </c>
      <c r="G13" s="82">
        <f>IFERROR(INDEX(tbMoves!H:H,MATCH(ROWS(tbMoves!$1:11),tbMoves!M:M,0)),"")</f>
        <v>0.4</v>
      </c>
      <c r="H13" s="82" t="str">
        <f>IFERROR(INDEX(tbMoves!I:I,MATCH(ROWS(tbMoves!$1:11),tbMoves!M:M,0)),"")</f>
        <v>N/A</v>
      </c>
      <c r="I13" s="82" t="str">
        <f>IFERROR(INDEX(tbMoves!J:J,MATCH(ROWS(tbMoves!$1:11),tbMoves!M:M,0)),"")</f>
        <v>N/A</v>
      </c>
      <c r="J13" s="82" t="b">
        <f>IFERROR(INDEX(tbMoves!K:K,MATCH(ROWS(tbMoves!$1:11),tbMoves!M:M,0)),"")</f>
        <v>1</v>
      </c>
      <c r="K13" s="82" t="b">
        <f>IFERROR(INDEX(tbMoves!L:L,MATCH(ROWS(tbMoves!$1:11),tbMoves!M:M,0)),"")</f>
        <v>0</v>
      </c>
      <c r="L13" s="3"/>
    </row>
    <row r="14" spans="1:12" x14ac:dyDescent="0.25">
      <c r="A14" s="81" t="str">
        <f>IFERROR(INDEX(tbMoves!B:B,MATCH(ROWS(tbMoves!$1:12),tbMoves!M:M,0)),"")</f>
        <v>Rising Slash (After Lunging Strike)</v>
      </c>
      <c r="B14" s="82" t="str">
        <f>IFERROR(INDEX(tbMoves!C:C,MATCH(ROWS(tbMoves!$1:12),tbMoves!M:M,0)),"")</f>
        <v>Sever</v>
      </c>
      <c r="C14" s="82">
        <f>IFERROR(INDEX(tbMoves!D:D,MATCH(ROWS(tbMoves!$1:12),tbMoves!M:M,0)),"")</f>
        <v>7</v>
      </c>
      <c r="D14" s="82">
        <f>IFERROR(INDEX(tbMoves!E:E,MATCH(ROWS(tbMoves!$1:12),tbMoves!M:M,0)),"")</f>
        <v>0</v>
      </c>
      <c r="E14" s="82">
        <f>IFERROR(INDEX(tbMoves!F:F,MATCH(ROWS(tbMoves!$1:12),tbMoves!M:M,0)),"")</f>
        <v>1</v>
      </c>
      <c r="F14" s="82">
        <f>IFERROR(INDEX(tbMoves!G:G,MATCH(ROWS(tbMoves!$1:12),tbMoves!M:M,0)),"")</f>
        <v>0.6</v>
      </c>
      <c r="G14" s="82">
        <f>IFERROR(INDEX(tbMoves!H:H,MATCH(ROWS(tbMoves!$1:12),tbMoves!M:M,0)),"")</f>
        <v>0.4</v>
      </c>
      <c r="H14" s="82" t="str">
        <f>IFERROR(INDEX(tbMoves!I:I,MATCH(ROWS(tbMoves!$1:12),tbMoves!M:M,0)),"")</f>
        <v>N/A</v>
      </c>
      <c r="I14" s="82" t="str">
        <f>IFERROR(INDEX(tbMoves!J:J,MATCH(ROWS(tbMoves!$1:12),tbMoves!M:M,0)),"")</f>
        <v>N/A</v>
      </c>
      <c r="J14" s="82" t="b">
        <f>IFERROR(INDEX(tbMoves!K:K,MATCH(ROWS(tbMoves!$1:12),tbMoves!M:M,0)),"")</f>
        <v>1</v>
      </c>
      <c r="K14" s="82" t="b">
        <f>IFERROR(INDEX(tbMoves!L:L,MATCH(ROWS(tbMoves!$1:12),tbMoves!M:M,0)),"")</f>
        <v>0</v>
      </c>
      <c r="L14" s="3"/>
    </row>
    <row r="15" spans="1:12" x14ac:dyDescent="0.25">
      <c r="A15" s="81" t="str">
        <f>IFERROR(INDEX(tbMoves!B:B,MATCH(ROWS(tbMoves!$1:13),tbMoves!M:M,0)),"")</f>
        <v>Turn Slash (L)</v>
      </c>
      <c r="B15" s="82" t="str">
        <f>IFERROR(INDEX(tbMoves!C:C,MATCH(ROWS(tbMoves!$1:13),tbMoves!M:M,0)),"")</f>
        <v>Sever</v>
      </c>
      <c r="C15" s="82">
        <f>IFERROR(INDEX(tbMoves!D:D,MATCH(ROWS(tbMoves!$1:13),tbMoves!M:M,0)),"")</f>
        <v>5</v>
      </c>
      <c r="D15" s="82">
        <f>IFERROR(INDEX(tbMoves!E:E,MATCH(ROWS(tbMoves!$1:13),tbMoves!M:M,0)),"")</f>
        <v>0</v>
      </c>
      <c r="E15" s="82">
        <f>IFERROR(INDEX(tbMoves!F:F,MATCH(ROWS(tbMoves!$1:13),tbMoves!M:M,0)),"")</f>
        <v>1</v>
      </c>
      <c r="F15" s="82">
        <f>IFERROR(INDEX(tbMoves!G:G,MATCH(ROWS(tbMoves!$1:13),tbMoves!M:M,0)),"")</f>
        <v>0.6</v>
      </c>
      <c r="G15" s="82">
        <f>IFERROR(INDEX(tbMoves!H:H,MATCH(ROWS(tbMoves!$1:13),tbMoves!M:M,0)),"")</f>
        <v>0.5</v>
      </c>
      <c r="H15" s="82" t="str">
        <f>IFERROR(INDEX(tbMoves!I:I,MATCH(ROWS(tbMoves!$1:13),tbMoves!M:M,0)),"")</f>
        <v>N/A</v>
      </c>
      <c r="I15" s="82" t="str">
        <f>IFERROR(INDEX(tbMoves!J:J,MATCH(ROWS(tbMoves!$1:13),tbMoves!M:M,0)),"")</f>
        <v>N/A</v>
      </c>
      <c r="J15" s="82" t="b">
        <f>IFERROR(INDEX(tbMoves!K:K,MATCH(ROWS(tbMoves!$1:13),tbMoves!M:M,0)),"")</f>
        <v>1</v>
      </c>
      <c r="K15" s="82" t="b">
        <f>IFERROR(INDEX(tbMoves!L:L,MATCH(ROWS(tbMoves!$1:13),tbMoves!M:M,0)),"")</f>
        <v>0</v>
      </c>
      <c r="L15" s="3"/>
    </row>
    <row r="16" spans="1:12" x14ac:dyDescent="0.25">
      <c r="A16" s="81" t="str">
        <f>IFERROR(INDEX(tbMoves!B:B,MATCH(ROWS(tbMoves!$1:14),tbMoves!M:M,0)),"")</f>
        <v>Turn Slash (R)</v>
      </c>
      <c r="B16" s="82" t="str">
        <f>IFERROR(INDEX(tbMoves!C:C,MATCH(ROWS(tbMoves!$1:14),tbMoves!M:M,0)),"")</f>
        <v>Sever</v>
      </c>
      <c r="C16" s="82">
        <f>IFERROR(INDEX(tbMoves!D:D,MATCH(ROWS(tbMoves!$1:14),tbMoves!M:M,0)),"")</f>
        <v>5</v>
      </c>
      <c r="D16" s="82">
        <f>IFERROR(INDEX(tbMoves!E:E,MATCH(ROWS(tbMoves!$1:14),tbMoves!M:M,0)),"")</f>
        <v>0</v>
      </c>
      <c r="E16" s="82">
        <f>IFERROR(INDEX(tbMoves!F:F,MATCH(ROWS(tbMoves!$1:14),tbMoves!M:M,0)),"")</f>
        <v>1</v>
      </c>
      <c r="F16" s="82">
        <f>IFERROR(INDEX(tbMoves!G:G,MATCH(ROWS(tbMoves!$1:14),tbMoves!M:M,0)),"")</f>
        <v>0.6</v>
      </c>
      <c r="G16" s="82">
        <f>IFERROR(INDEX(tbMoves!H:H,MATCH(ROWS(tbMoves!$1:14),tbMoves!M:M,0)),"")</f>
        <v>0.5</v>
      </c>
      <c r="H16" s="82" t="str">
        <f>IFERROR(INDEX(tbMoves!I:I,MATCH(ROWS(tbMoves!$1:14),tbMoves!M:M,0)),"")</f>
        <v>N/A</v>
      </c>
      <c r="I16" s="82" t="str">
        <f>IFERROR(INDEX(tbMoves!J:J,MATCH(ROWS(tbMoves!$1:14),tbMoves!M:M,0)),"")</f>
        <v>N/A</v>
      </c>
      <c r="J16" s="82" t="b">
        <f>IFERROR(INDEX(tbMoves!K:K,MATCH(ROWS(tbMoves!$1:14),tbMoves!M:M,0)),"")</f>
        <v>1</v>
      </c>
      <c r="K16" s="82" t="b">
        <f>IFERROR(INDEX(tbMoves!L:L,MATCH(ROWS(tbMoves!$1:14),tbMoves!M:M,0)),"")</f>
        <v>0</v>
      </c>
      <c r="L16" s="3"/>
    </row>
    <row r="17" spans="1:12" x14ac:dyDescent="0.25">
      <c r="A17" s="81" t="str">
        <f>IFERROR(INDEX(tbMoves!B:B,MATCH(ROWS(tbMoves!$1:15),tbMoves!M:M,0)),"")</f>
        <v>Left Roundslash (L1)</v>
      </c>
      <c r="B17" s="82" t="str">
        <f>IFERROR(INDEX(tbMoves!C:C,MATCH(ROWS(tbMoves!$1:15),tbMoves!M:M,0)),"")</f>
        <v>Sever</v>
      </c>
      <c r="C17" s="82">
        <f>IFERROR(INDEX(tbMoves!D:D,MATCH(ROWS(tbMoves!$1:15),tbMoves!M:M,0)),"")</f>
        <v>15</v>
      </c>
      <c r="D17" s="82">
        <f>IFERROR(INDEX(tbMoves!E:E,MATCH(ROWS(tbMoves!$1:15),tbMoves!M:M,0)),"")</f>
        <v>0</v>
      </c>
      <c r="E17" s="82">
        <f>IFERROR(INDEX(tbMoves!F:F,MATCH(ROWS(tbMoves!$1:15),tbMoves!M:M,0)),"")</f>
        <v>1</v>
      </c>
      <c r="F17" s="82">
        <f>IFERROR(INDEX(tbMoves!G:G,MATCH(ROWS(tbMoves!$1:15),tbMoves!M:M,0)),"")</f>
        <v>0.6</v>
      </c>
      <c r="G17" s="82">
        <f>IFERROR(INDEX(tbMoves!H:H,MATCH(ROWS(tbMoves!$1:15),tbMoves!M:M,0)),"")</f>
        <v>0.5</v>
      </c>
      <c r="H17" s="82" t="str">
        <f>IFERROR(INDEX(tbMoves!I:I,MATCH(ROWS(tbMoves!$1:15),tbMoves!M:M,0)),"")</f>
        <v>N/A</v>
      </c>
      <c r="I17" s="82" t="str">
        <f>IFERROR(INDEX(tbMoves!J:J,MATCH(ROWS(tbMoves!$1:15),tbMoves!M:M,0)),"")</f>
        <v>N/A</v>
      </c>
      <c r="J17" s="82" t="b">
        <f>IFERROR(INDEX(tbMoves!K:K,MATCH(ROWS(tbMoves!$1:15),tbMoves!M:M,0)),"")</f>
        <v>1</v>
      </c>
      <c r="K17" s="82" t="b">
        <f>IFERROR(INDEX(tbMoves!L:L,MATCH(ROWS(tbMoves!$1:15),tbMoves!M:M,0)),"")</f>
        <v>0</v>
      </c>
      <c r="L17" s="3"/>
    </row>
    <row r="18" spans="1:12" x14ac:dyDescent="0.25">
      <c r="A18" s="81" t="str">
        <f>IFERROR(INDEX(tbMoves!B:B,MATCH(ROWS(tbMoves!$1:16),tbMoves!M:M,0)),"")</f>
        <v>Left Roundslash (R)</v>
      </c>
      <c r="B18" s="82" t="str">
        <f>IFERROR(INDEX(tbMoves!C:C,MATCH(ROWS(tbMoves!$1:16),tbMoves!M:M,0)),"")</f>
        <v>Sever</v>
      </c>
      <c r="C18" s="82">
        <f>IFERROR(INDEX(tbMoves!D:D,MATCH(ROWS(tbMoves!$1:16),tbMoves!M:M,0)),"")</f>
        <v>7</v>
      </c>
      <c r="D18" s="82">
        <f>IFERROR(INDEX(tbMoves!E:E,MATCH(ROWS(tbMoves!$1:16),tbMoves!M:M,0)),"")</f>
        <v>0</v>
      </c>
      <c r="E18" s="82">
        <f>IFERROR(INDEX(tbMoves!F:F,MATCH(ROWS(tbMoves!$1:16),tbMoves!M:M,0)),"")</f>
        <v>1</v>
      </c>
      <c r="F18" s="82">
        <f>IFERROR(INDEX(tbMoves!G:G,MATCH(ROWS(tbMoves!$1:16),tbMoves!M:M,0)),"")</f>
        <v>0.6</v>
      </c>
      <c r="G18" s="82">
        <f>IFERROR(INDEX(tbMoves!H:H,MATCH(ROWS(tbMoves!$1:16),tbMoves!M:M,0)),"")</f>
        <v>0.5</v>
      </c>
      <c r="H18" s="82" t="str">
        <f>IFERROR(INDEX(tbMoves!I:I,MATCH(ROWS(tbMoves!$1:16),tbMoves!M:M,0)),"")</f>
        <v>N/A</v>
      </c>
      <c r="I18" s="82" t="str">
        <f>IFERROR(INDEX(tbMoves!J:J,MATCH(ROWS(tbMoves!$1:16),tbMoves!M:M,0)),"")</f>
        <v>N/A</v>
      </c>
      <c r="J18" s="82" t="b">
        <f>IFERROR(INDEX(tbMoves!K:K,MATCH(ROWS(tbMoves!$1:16),tbMoves!M:M,0)),"")</f>
        <v>1</v>
      </c>
      <c r="K18" s="82" t="b">
        <f>IFERROR(INDEX(tbMoves!L:L,MATCH(ROWS(tbMoves!$1:16),tbMoves!M:M,0)),"")</f>
        <v>0</v>
      </c>
      <c r="L18" s="3"/>
    </row>
    <row r="19" spans="1:12" x14ac:dyDescent="0.25">
      <c r="A19" s="81" t="str">
        <f>IFERROR(INDEX(tbMoves!B:B,MATCH(ROWS(tbMoves!$1:17),tbMoves!M:M,0)),"")</f>
        <v>Left Roundslash (L2)</v>
      </c>
      <c r="B19" s="82" t="str">
        <f>IFERROR(INDEX(tbMoves!C:C,MATCH(ROWS(tbMoves!$1:17),tbMoves!M:M,0)),"")</f>
        <v>Sever</v>
      </c>
      <c r="C19" s="82">
        <f>IFERROR(INDEX(tbMoves!D:D,MATCH(ROWS(tbMoves!$1:17),tbMoves!M:M,0)),"")</f>
        <v>5</v>
      </c>
      <c r="D19" s="82">
        <f>IFERROR(INDEX(tbMoves!E:E,MATCH(ROWS(tbMoves!$1:17),tbMoves!M:M,0)),"")</f>
        <v>0</v>
      </c>
      <c r="E19" s="82">
        <f>IFERROR(INDEX(tbMoves!F:F,MATCH(ROWS(tbMoves!$1:17),tbMoves!M:M,0)),"")</f>
        <v>1</v>
      </c>
      <c r="F19" s="82">
        <f>IFERROR(INDEX(tbMoves!G:G,MATCH(ROWS(tbMoves!$1:17),tbMoves!M:M,0)),"")</f>
        <v>0.6</v>
      </c>
      <c r="G19" s="82">
        <f>IFERROR(INDEX(tbMoves!H:H,MATCH(ROWS(tbMoves!$1:17),tbMoves!M:M,0)),"")</f>
        <v>0.5</v>
      </c>
      <c r="H19" s="82" t="str">
        <f>IFERROR(INDEX(tbMoves!I:I,MATCH(ROWS(tbMoves!$1:17),tbMoves!M:M,0)),"")</f>
        <v>N/A</v>
      </c>
      <c r="I19" s="82" t="str">
        <f>IFERROR(INDEX(tbMoves!J:J,MATCH(ROWS(tbMoves!$1:17),tbMoves!M:M,0)),"")</f>
        <v>N/A</v>
      </c>
      <c r="J19" s="82" t="b">
        <f>IFERROR(INDEX(tbMoves!K:K,MATCH(ROWS(tbMoves!$1:17),tbMoves!M:M,0)),"")</f>
        <v>1</v>
      </c>
      <c r="K19" s="82" t="b">
        <f>IFERROR(INDEX(tbMoves!L:L,MATCH(ROWS(tbMoves!$1:17),tbMoves!M:M,0)),"")</f>
        <v>0</v>
      </c>
      <c r="L19" s="3"/>
    </row>
    <row r="20" spans="1:12" x14ac:dyDescent="0.25">
      <c r="A20" s="81" t="str">
        <f>IFERROR(INDEX(tbMoves!B:B,MATCH(ROWS(tbMoves!$1:18),tbMoves!M:M,0)),"")</f>
        <v>Right Roundslash (R1)</v>
      </c>
      <c r="B20" s="82" t="str">
        <f>IFERROR(INDEX(tbMoves!C:C,MATCH(ROWS(tbMoves!$1:18),tbMoves!M:M,0)),"")</f>
        <v>Sever</v>
      </c>
      <c r="C20" s="82">
        <f>IFERROR(INDEX(tbMoves!D:D,MATCH(ROWS(tbMoves!$1:18),tbMoves!M:M,0)),"")</f>
        <v>15</v>
      </c>
      <c r="D20" s="82">
        <f>IFERROR(INDEX(tbMoves!E:E,MATCH(ROWS(tbMoves!$1:18),tbMoves!M:M,0)),"")</f>
        <v>0</v>
      </c>
      <c r="E20" s="82">
        <f>IFERROR(INDEX(tbMoves!F:F,MATCH(ROWS(tbMoves!$1:18),tbMoves!M:M,0)),"")</f>
        <v>1</v>
      </c>
      <c r="F20" s="82">
        <f>IFERROR(INDEX(tbMoves!G:G,MATCH(ROWS(tbMoves!$1:18),tbMoves!M:M,0)),"")</f>
        <v>0.6</v>
      </c>
      <c r="G20" s="82">
        <f>IFERROR(INDEX(tbMoves!H:H,MATCH(ROWS(tbMoves!$1:18),tbMoves!M:M,0)),"")</f>
        <v>0.5</v>
      </c>
      <c r="H20" s="82" t="str">
        <f>IFERROR(INDEX(tbMoves!I:I,MATCH(ROWS(tbMoves!$1:18),tbMoves!M:M,0)),"")</f>
        <v>N/A</v>
      </c>
      <c r="I20" s="82" t="str">
        <f>IFERROR(INDEX(tbMoves!J:J,MATCH(ROWS(tbMoves!$1:18),tbMoves!M:M,0)),"")</f>
        <v>N/A</v>
      </c>
      <c r="J20" s="82" t="b">
        <f>IFERROR(INDEX(tbMoves!K:K,MATCH(ROWS(tbMoves!$1:18),tbMoves!M:M,0)),"")</f>
        <v>1</v>
      </c>
      <c r="K20" s="82" t="b">
        <f>IFERROR(INDEX(tbMoves!L:L,MATCH(ROWS(tbMoves!$1:18),tbMoves!M:M,0)),"")</f>
        <v>0</v>
      </c>
      <c r="L20" s="3"/>
    </row>
    <row r="21" spans="1:12" x14ac:dyDescent="0.25">
      <c r="A21" s="81" t="str">
        <f>IFERROR(INDEX(tbMoves!B:B,MATCH(ROWS(tbMoves!$1:19),tbMoves!M:M,0)),"")</f>
        <v>Right Roundslash (L)</v>
      </c>
      <c r="B21" s="82" t="str">
        <f>IFERROR(INDEX(tbMoves!C:C,MATCH(ROWS(tbMoves!$1:19),tbMoves!M:M,0)),"")</f>
        <v>Sever</v>
      </c>
      <c r="C21" s="82">
        <f>IFERROR(INDEX(tbMoves!D:D,MATCH(ROWS(tbMoves!$1:19),tbMoves!M:M,0)),"")</f>
        <v>7</v>
      </c>
      <c r="D21" s="82">
        <f>IFERROR(INDEX(tbMoves!E:E,MATCH(ROWS(tbMoves!$1:19),tbMoves!M:M,0)),"")</f>
        <v>0</v>
      </c>
      <c r="E21" s="82">
        <f>IFERROR(INDEX(tbMoves!F:F,MATCH(ROWS(tbMoves!$1:19),tbMoves!M:M,0)),"")</f>
        <v>1</v>
      </c>
      <c r="F21" s="82">
        <f>IFERROR(INDEX(tbMoves!G:G,MATCH(ROWS(tbMoves!$1:19),tbMoves!M:M,0)),"")</f>
        <v>0.6</v>
      </c>
      <c r="G21" s="82">
        <f>IFERROR(INDEX(tbMoves!H:H,MATCH(ROWS(tbMoves!$1:19),tbMoves!M:M,0)),"")</f>
        <v>0.5</v>
      </c>
      <c r="H21" s="82" t="str">
        <f>IFERROR(INDEX(tbMoves!I:I,MATCH(ROWS(tbMoves!$1:19),tbMoves!M:M,0)),"")</f>
        <v>N/A</v>
      </c>
      <c r="I21" s="82" t="str">
        <f>IFERROR(INDEX(tbMoves!J:J,MATCH(ROWS(tbMoves!$1:19),tbMoves!M:M,0)),"")</f>
        <v>N/A</v>
      </c>
      <c r="J21" s="82" t="b">
        <f>IFERROR(INDEX(tbMoves!K:K,MATCH(ROWS(tbMoves!$1:19),tbMoves!M:M,0)),"")</f>
        <v>1</v>
      </c>
      <c r="K21" s="82" t="b">
        <f>IFERROR(INDEX(tbMoves!L:L,MATCH(ROWS(tbMoves!$1:19),tbMoves!M:M,0)),"")</f>
        <v>0</v>
      </c>
      <c r="L21" s="3"/>
    </row>
    <row r="22" spans="1:12" x14ac:dyDescent="0.25">
      <c r="A22" s="81" t="str">
        <f>IFERROR(INDEX(tbMoves!B:B,MATCH(ROWS(tbMoves!$1:20),tbMoves!M:M,0)),"")</f>
        <v>Right Roundslash (R2)</v>
      </c>
      <c r="B22" s="82" t="str">
        <f>IFERROR(INDEX(tbMoves!C:C,MATCH(ROWS(tbMoves!$1:20),tbMoves!M:M,0)),"")</f>
        <v>Sever</v>
      </c>
      <c r="C22" s="82">
        <f>IFERROR(INDEX(tbMoves!D:D,MATCH(ROWS(tbMoves!$1:20),tbMoves!M:M,0)),"")</f>
        <v>5</v>
      </c>
      <c r="D22" s="82">
        <f>IFERROR(INDEX(tbMoves!E:E,MATCH(ROWS(tbMoves!$1:20),tbMoves!M:M,0)),"")</f>
        <v>0</v>
      </c>
      <c r="E22" s="82">
        <f>IFERROR(INDEX(tbMoves!F:F,MATCH(ROWS(tbMoves!$1:20),tbMoves!M:M,0)),"")</f>
        <v>1</v>
      </c>
      <c r="F22" s="82">
        <f>IFERROR(INDEX(tbMoves!G:G,MATCH(ROWS(tbMoves!$1:20),tbMoves!M:M,0)),"")</f>
        <v>0.6</v>
      </c>
      <c r="G22" s="82">
        <f>IFERROR(INDEX(tbMoves!H:H,MATCH(ROWS(tbMoves!$1:20),tbMoves!M:M,0)),"")</f>
        <v>0.5</v>
      </c>
      <c r="H22" s="82" t="str">
        <f>IFERROR(INDEX(tbMoves!I:I,MATCH(ROWS(tbMoves!$1:20),tbMoves!M:M,0)),"")</f>
        <v>N/A</v>
      </c>
      <c r="I22" s="82" t="str">
        <f>IFERROR(INDEX(tbMoves!J:J,MATCH(ROWS(tbMoves!$1:20),tbMoves!M:M,0)),"")</f>
        <v>N/A</v>
      </c>
      <c r="J22" s="82" t="b">
        <f>IFERROR(INDEX(tbMoves!K:K,MATCH(ROWS(tbMoves!$1:20),tbMoves!M:M,0)),"")</f>
        <v>1</v>
      </c>
      <c r="K22" s="82" t="b">
        <f>IFERROR(INDEX(tbMoves!L:L,MATCH(ROWS(tbMoves!$1:20),tbMoves!M:M,0)),"")</f>
        <v>0</v>
      </c>
      <c r="L22" s="3"/>
    </row>
    <row r="23" spans="1:12" x14ac:dyDescent="0.25">
      <c r="A23" s="81" t="str">
        <f>IFERROR(INDEX(tbMoves!B:B,MATCH(ROWS(tbMoves!$1:21),tbMoves!M:M,0)),"")</f>
        <v>Left Double Roundslash (L1)</v>
      </c>
      <c r="B23" s="82" t="str">
        <f>IFERROR(INDEX(tbMoves!C:C,MATCH(ROWS(tbMoves!$1:21),tbMoves!M:M,0)),"")</f>
        <v>Sever</v>
      </c>
      <c r="C23" s="82">
        <f>IFERROR(INDEX(tbMoves!D:D,MATCH(ROWS(tbMoves!$1:21),tbMoves!M:M,0)),"")</f>
        <v>19</v>
      </c>
      <c r="D23" s="82">
        <f>IFERROR(INDEX(tbMoves!E:E,MATCH(ROWS(tbMoves!$1:21),tbMoves!M:M,0)),"")</f>
        <v>0</v>
      </c>
      <c r="E23" s="82">
        <f>IFERROR(INDEX(tbMoves!F:F,MATCH(ROWS(tbMoves!$1:21),tbMoves!M:M,0)),"")</f>
        <v>1</v>
      </c>
      <c r="F23" s="82">
        <f>IFERROR(INDEX(tbMoves!G:G,MATCH(ROWS(tbMoves!$1:21),tbMoves!M:M,0)),"")</f>
        <v>1</v>
      </c>
      <c r="G23" s="82">
        <f>IFERROR(INDEX(tbMoves!H:H,MATCH(ROWS(tbMoves!$1:21),tbMoves!M:M,0)),"")</f>
        <v>1</v>
      </c>
      <c r="H23" s="82" t="str">
        <f>IFERROR(INDEX(tbMoves!I:I,MATCH(ROWS(tbMoves!$1:21),tbMoves!M:M,0)),"")</f>
        <v>N/A</v>
      </c>
      <c r="I23" s="82" t="str">
        <f>IFERROR(INDEX(tbMoves!J:J,MATCH(ROWS(tbMoves!$1:21),tbMoves!M:M,0)),"")</f>
        <v>N/A</v>
      </c>
      <c r="J23" s="82" t="b">
        <f>IFERROR(INDEX(tbMoves!K:K,MATCH(ROWS(tbMoves!$1:21),tbMoves!M:M,0)),"")</f>
        <v>1</v>
      </c>
      <c r="K23" s="82" t="b">
        <f>IFERROR(INDEX(tbMoves!L:L,MATCH(ROWS(tbMoves!$1:21),tbMoves!M:M,0)),"")</f>
        <v>0</v>
      </c>
      <c r="L23" s="3"/>
    </row>
    <row r="24" spans="1:12" x14ac:dyDescent="0.25">
      <c r="A24" s="81" t="str">
        <f>IFERROR(INDEX(tbMoves!B:B,MATCH(ROWS(tbMoves!$1:22),tbMoves!M:M,0)),"")</f>
        <v>Left Double Roundslash (R)</v>
      </c>
      <c r="B24" s="82" t="str">
        <f>IFERROR(INDEX(tbMoves!C:C,MATCH(ROWS(tbMoves!$1:22),tbMoves!M:M,0)),"")</f>
        <v>Sever</v>
      </c>
      <c r="C24" s="82">
        <f>IFERROR(INDEX(tbMoves!D:D,MATCH(ROWS(tbMoves!$1:22),tbMoves!M:M,0)),"")</f>
        <v>11</v>
      </c>
      <c r="D24" s="82">
        <f>IFERROR(INDEX(tbMoves!E:E,MATCH(ROWS(tbMoves!$1:22),tbMoves!M:M,0)),"")</f>
        <v>0</v>
      </c>
      <c r="E24" s="82">
        <f>IFERROR(INDEX(tbMoves!F:F,MATCH(ROWS(tbMoves!$1:22),tbMoves!M:M,0)),"")</f>
        <v>1</v>
      </c>
      <c r="F24" s="82">
        <f>IFERROR(INDEX(tbMoves!G:G,MATCH(ROWS(tbMoves!$1:22),tbMoves!M:M,0)),"")</f>
        <v>1</v>
      </c>
      <c r="G24" s="82">
        <f>IFERROR(INDEX(tbMoves!H:H,MATCH(ROWS(tbMoves!$1:22),tbMoves!M:M,0)),"")</f>
        <v>1</v>
      </c>
      <c r="H24" s="82" t="str">
        <f>IFERROR(INDEX(tbMoves!I:I,MATCH(ROWS(tbMoves!$1:22),tbMoves!M:M,0)),"")</f>
        <v>N/A</v>
      </c>
      <c r="I24" s="82" t="str">
        <f>IFERROR(INDEX(tbMoves!J:J,MATCH(ROWS(tbMoves!$1:22),tbMoves!M:M,0)),"")</f>
        <v>N/A</v>
      </c>
      <c r="J24" s="82" t="b">
        <f>IFERROR(INDEX(tbMoves!K:K,MATCH(ROWS(tbMoves!$1:22),tbMoves!M:M,0)),"")</f>
        <v>1</v>
      </c>
      <c r="K24" s="82" t="b">
        <f>IFERROR(INDEX(tbMoves!L:L,MATCH(ROWS(tbMoves!$1:22),tbMoves!M:M,0)),"")</f>
        <v>0</v>
      </c>
      <c r="L24" s="3"/>
    </row>
    <row r="25" spans="1:12" x14ac:dyDescent="0.25">
      <c r="A25" s="81" t="str">
        <f>IFERROR(INDEX(tbMoves!B:B,MATCH(ROWS(tbMoves!$1:23),tbMoves!M:M,0)),"")</f>
        <v>Left Double Roundslash (L2)</v>
      </c>
      <c r="B25" s="82" t="str">
        <f>IFERROR(INDEX(tbMoves!C:C,MATCH(ROWS(tbMoves!$1:23),tbMoves!M:M,0)),"")</f>
        <v>Sever</v>
      </c>
      <c r="C25" s="82">
        <f>IFERROR(INDEX(tbMoves!D:D,MATCH(ROWS(tbMoves!$1:23),tbMoves!M:M,0)),"")</f>
        <v>7</v>
      </c>
      <c r="D25" s="82">
        <f>IFERROR(INDEX(tbMoves!E:E,MATCH(ROWS(tbMoves!$1:23),tbMoves!M:M,0)),"")</f>
        <v>0</v>
      </c>
      <c r="E25" s="82">
        <f>IFERROR(INDEX(tbMoves!F:F,MATCH(ROWS(tbMoves!$1:23),tbMoves!M:M,0)),"")</f>
        <v>1</v>
      </c>
      <c r="F25" s="82">
        <f>IFERROR(INDEX(tbMoves!G:G,MATCH(ROWS(tbMoves!$1:23),tbMoves!M:M,0)),"")</f>
        <v>1</v>
      </c>
      <c r="G25" s="82">
        <f>IFERROR(INDEX(tbMoves!H:H,MATCH(ROWS(tbMoves!$1:23),tbMoves!M:M,0)),"")</f>
        <v>1</v>
      </c>
      <c r="H25" s="82" t="str">
        <f>IFERROR(INDEX(tbMoves!I:I,MATCH(ROWS(tbMoves!$1:23),tbMoves!M:M,0)),"")</f>
        <v>N/A</v>
      </c>
      <c r="I25" s="82" t="str">
        <f>IFERROR(INDEX(tbMoves!J:J,MATCH(ROWS(tbMoves!$1:23),tbMoves!M:M,0)),"")</f>
        <v>N/A</v>
      </c>
      <c r="J25" s="82" t="b">
        <f>IFERROR(INDEX(tbMoves!K:K,MATCH(ROWS(tbMoves!$1:23),tbMoves!M:M,0)),"")</f>
        <v>1</v>
      </c>
      <c r="K25" s="82" t="b">
        <f>IFERROR(INDEX(tbMoves!L:L,MATCH(ROWS(tbMoves!$1:23),tbMoves!M:M,0)),"")</f>
        <v>0</v>
      </c>
      <c r="L25" s="3"/>
    </row>
    <row r="26" spans="1:12" x14ac:dyDescent="0.25">
      <c r="A26" s="81" t="str">
        <f>IFERROR(INDEX(tbMoves!B:B,MATCH(ROWS(tbMoves!$1:24),tbMoves!M:M,0)),"")</f>
        <v>Right Double Roundslash (R1)</v>
      </c>
      <c r="B26" s="82" t="str">
        <f>IFERROR(INDEX(tbMoves!C:C,MATCH(ROWS(tbMoves!$1:24),tbMoves!M:M,0)),"")</f>
        <v>Sever</v>
      </c>
      <c r="C26" s="82">
        <f>IFERROR(INDEX(tbMoves!D:D,MATCH(ROWS(tbMoves!$1:24),tbMoves!M:M,0)),"")</f>
        <v>19</v>
      </c>
      <c r="D26" s="82">
        <f>IFERROR(INDEX(tbMoves!E:E,MATCH(ROWS(tbMoves!$1:24),tbMoves!M:M,0)),"")</f>
        <v>0</v>
      </c>
      <c r="E26" s="82">
        <f>IFERROR(INDEX(tbMoves!F:F,MATCH(ROWS(tbMoves!$1:24),tbMoves!M:M,0)),"")</f>
        <v>1</v>
      </c>
      <c r="F26" s="82">
        <f>IFERROR(INDEX(tbMoves!G:G,MATCH(ROWS(tbMoves!$1:24),tbMoves!M:M,0)),"")</f>
        <v>1</v>
      </c>
      <c r="G26" s="82">
        <f>IFERROR(INDEX(tbMoves!H:H,MATCH(ROWS(tbMoves!$1:24),tbMoves!M:M,0)),"")</f>
        <v>1</v>
      </c>
      <c r="H26" s="82" t="str">
        <f>IFERROR(INDEX(tbMoves!I:I,MATCH(ROWS(tbMoves!$1:24),tbMoves!M:M,0)),"")</f>
        <v>N/A</v>
      </c>
      <c r="I26" s="82" t="str">
        <f>IFERROR(INDEX(tbMoves!J:J,MATCH(ROWS(tbMoves!$1:24),tbMoves!M:M,0)),"")</f>
        <v>N/A</v>
      </c>
      <c r="J26" s="82" t="b">
        <f>IFERROR(INDEX(tbMoves!K:K,MATCH(ROWS(tbMoves!$1:24),tbMoves!M:M,0)),"")</f>
        <v>1</v>
      </c>
      <c r="K26" s="82" t="b">
        <f>IFERROR(INDEX(tbMoves!L:L,MATCH(ROWS(tbMoves!$1:24),tbMoves!M:M,0)),"")</f>
        <v>0</v>
      </c>
      <c r="L26" s="3"/>
    </row>
    <row r="27" spans="1:12" x14ac:dyDescent="0.25">
      <c r="A27" s="81" t="str">
        <f>IFERROR(INDEX(tbMoves!B:B,MATCH(ROWS(tbMoves!$1:25),tbMoves!M:M,0)),"")</f>
        <v>Right Double Roundslash (L)</v>
      </c>
      <c r="B27" s="82" t="str">
        <f>IFERROR(INDEX(tbMoves!C:C,MATCH(ROWS(tbMoves!$1:25),tbMoves!M:M,0)),"")</f>
        <v>Sever</v>
      </c>
      <c r="C27" s="82">
        <f>IFERROR(INDEX(tbMoves!D:D,MATCH(ROWS(tbMoves!$1:25),tbMoves!M:M,0)),"")</f>
        <v>11</v>
      </c>
      <c r="D27" s="82">
        <f>IFERROR(INDEX(tbMoves!E:E,MATCH(ROWS(tbMoves!$1:25),tbMoves!M:M,0)),"")</f>
        <v>0</v>
      </c>
      <c r="E27" s="82">
        <f>IFERROR(INDEX(tbMoves!F:F,MATCH(ROWS(tbMoves!$1:25),tbMoves!M:M,0)),"")</f>
        <v>1</v>
      </c>
      <c r="F27" s="82">
        <f>IFERROR(INDEX(tbMoves!G:G,MATCH(ROWS(tbMoves!$1:25),tbMoves!M:M,0)),"")</f>
        <v>1</v>
      </c>
      <c r="G27" s="82">
        <f>IFERROR(INDEX(tbMoves!H:H,MATCH(ROWS(tbMoves!$1:25),tbMoves!M:M,0)),"")</f>
        <v>1</v>
      </c>
      <c r="H27" s="82" t="str">
        <f>IFERROR(INDEX(tbMoves!I:I,MATCH(ROWS(tbMoves!$1:25),tbMoves!M:M,0)),"")</f>
        <v>N/A</v>
      </c>
      <c r="I27" s="82" t="str">
        <f>IFERROR(INDEX(tbMoves!J:J,MATCH(ROWS(tbMoves!$1:25),tbMoves!M:M,0)),"")</f>
        <v>N/A</v>
      </c>
      <c r="J27" s="82" t="b">
        <f>IFERROR(INDEX(tbMoves!K:K,MATCH(ROWS(tbMoves!$1:25),tbMoves!M:M,0)),"")</f>
        <v>1</v>
      </c>
      <c r="K27" s="82" t="b">
        <f>IFERROR(INDEX(tbMoves!L:L,MATCH(ROWS(tbMoves!$1:25),tbMoves!M:M,0)),"")</f>
        <v>0</v>
      </c>
      <c r="L27" s="3"/>
    </row>
    <row r="28" spans="1:12" x14ac:dyDescent="0.25">
      <c r="A28" s="81" t="str">
        <f>IFERROR(INDEX(tbMoves!B:B,MATCH(ROWS(tbMoves!$1:26),tbMoves!M:M,0)),"")</f>
        <v>Right Double Roundslash (R2)</v>
      </c>
      <c r="B28" s="82" t="str">
        <f>IFERROR(INDEX(tbMoves!C:C,MATCH(ROWS(tbMoves!$1:26),tbMoves!M:M,0)),"")</f>
        <v>Sever</v>
      </c>
      <c r="C28" s="82">
        <f>IFERROR(INDEX(tbMoves!D:D,MATCH(ROWS(tbMoves!$1:26),tbMoves!M:M,0)),"")</f>
        <v>7</v>
      </c>
      <c r="D28" s="82">
        <f>IFERROR(INDEX(tbMoves!E:E,MATCH(ROWS(tbMoves!$1:26),tbMoves!M:M,0)),"")</f>
        <v>0</v>
      </c>
      <c r="E28" s="82">
        <f>IFERROR(INDEX(tbMoves!F:F,MATCH(ROWS(tbMoves!$1:26),tbMoves!M:M,0)),"")</f>
        <v>1</v>
      </c>
      <c r="F28" s="82">
        <f>IFERROR(INDEX(tbMoves!G:G,MATCH(ROWS(tbMoves!$1:26),tbMoves!M:M,0)),"")</f>
        <v>1</v>
      </c>
      <c r="G28" s="82">
        <f>IFERROR(INDEX(tbMoves!H:H,MATCH(ROWS(tbMoves!$1:26),tbMoves!M:M,0)),"")</f>
        <v>1</v>
      </c>
      <c r="H28" s="82" t="str">
        <f>IFERROR(INDEX(tbMoves!I:I,MATCH(ROWS(tbMoves!$1:26),tbMoves!M:M,0)),"")</f>
        <v>N/A</v>
      </c>
      <c r="I28" s="82" t="str">
        <f>IFERROR(INDEX(tbMoves!J:J,MATCH(ROWS(tbMoves!$1:26),tbMoves!M:M,0)),"")</f>
        <v>N/A</v>
      </c>
      <c r="J28" s="82" t="b">
        <f>IFERROR(INDEX(tbMoves!K:K,MATCH(ROWS(tbMoves!$1:26),tbMoves!M:M,0)),"")</f>
        <v>1</v>
      </c>
      <c r="K28" s="82" t="b">
        <f>IFERROR(INDEX(tbMoves!L:L,MATCH(ROWS(tbMoves!$1:26),tbMoves!M:M,0)),"")</f>
        <v>0</v>
      </c>
      <c r="L28" s="3"/>
    </row>
    <row r="29" spans="1:12" x14ac:dyDescent="0.25">
      <c r="A29" s="81" t="str">
        <f>IFERROR(INDEX(tbMoves!B:B,MATCH(ROWS(tbMoves!$1:27),tbMoves!M:M,0)),"")</f>
        <v>Demon Flurry (L1)</v>
      </c>
      <c r="B29" s="82" t="str">
        <f>IFERROR(INDEX(tbMoves!C:C,MATCH(ROWS(tbMoves!$1:27),tbMoves!M:M,0)),"")</f>
        <v>Sever</v>
      </c>
      <c r="C29" s="82">
        <f>IFERROR(INDEX(tbMoves!D:D,MATCH(ROWS(tbMoves!$1:27),tbMoves!M:M,0)),"")</f>
        <v>9</v>
      </c>
      <c r="D29" s="82">
        <f>IFERROR(INDEX(tbMoves!E:E,MATCH(ROWS(tbMoves!$1:27),tbMoves!M:M,0)),"")</f>
        <v>0</v>
      </c>
      <c r="E29" s="82">
        <f>IFERROR(INDEX(tbMoves!F:F,MATCH(ROWS(tbMoves!$1:27),tbMoves!M:M,0)),"")</f>
        <v>1</v>
      </c>
      <c r="F29" s="82">
        <f>IFERROR(INDEX(tbMoves!G:G,MATCH(ROWS(tbMoves!$1:27),tbMoves!M:M,0)),"")</f>
        <v>0.8</v>
      </c>
      <c r="G29" s="82">
        <f>IFERROR(INDEX(tbMoves!H:H,MATCH(ROWS(tbMoves!$1:27),tbMoves!M:M,0)),"")</f>
        <v>0.6</v>
      </c>
      <c r="H29" s="82" t="str">
        <f>IFERROR(INDEX(tbMoves!I:I,MATCH(ROWS(tbMoves!$1:27),tbMoves!M:M,0)),"")</f>
        <v>N/A</v>
      </c>
      <c r="I29" s="82" t="str">
        <f>IFERROR(INDEX(tbMoves!J:J,MATCH(ROWS(tbMoves!$1:27),tbMoves!M:M,0)),"")</f>
        <v>N/A</v>
      </c>
      <c r="J29" s="82" t="b">
        <f>IFERROR(INDEX(tbMoves!K:K,MATCH(ROWS(tbMoves!$1:27),tbMoves!M:M,0)),"")</f>
        <v>1</v>
      </c>
      <c r="K29" s="82" t="b">
        <f>IFERROR(INDEX(tbMoves!L:L,MATCH(ROWS(tbMoves!$1:27),tbMoves!M:M,0)),"")</f>
        <v>0</v>
      </c>
      <c r="L29" s="3"/>
    </row>
    <row r="30" spans="1:12" x14ac:dyDescent="0.25">
      <c r="A30" s="81" t="str">
        <f>IFERROR(INDEX(tbMoves!B:B,MATCH(ROWS(tbMoves!$1:28),tbMoves!M:M,0)),"")</f>
        <v>Demon Flurry (R1)</v>
      </c>
      <c r="B30" s="82" t="str">
        <f>IFERROR(INDEX(tbMoves!C:C,MATCH(ROWS(tbMoves!$1:28),tbMoves!M:M,0)),"")</f>
        <v>Sever</v>
      </c>
      <c r="C30" s="82">
        <f>IFERROR(INDEX(tbMoves!D:D,MATCH(ROWS(tbMoves!$1:28),tbMoves!M:M,0)),"")</f>
        <v>9</v>
      </c>
      <c r="D30" s="82">
        <f>IFERROR(INDEX(tbMoves!E:E,MATCH(ROWS(tbMoves!$1:28),tbMoves!M:M,0)),"")</f>
        <v>0</v>
      </c>
      <c r="E30" s="82">
        <f>IFERROR(INDEX(tbMoves!F:F,MATCH(ROWS(tbMoves!$1:28),tbMoves!M:M,0)),"")</f>
        <v>1</v>
      </c>
      <c r="F30" s="82">
        <f>IFERROR(INDEX(tbMoves!G:G,MATCH(ROWS(tbMoves!$1:28),tbMoves!M:M,0)),"")</f>
        <v>0.8</v>
      </c>
      <c r="G30" s="82">
        <f>IFERROR(INDEX(tbMoves!H:H,MATCH(ROWS(tbMoves!$1:28),tbMoves!M:M,0)),"")</f>
        <v>0.6</v>
      </c>
      <c r="H30" s="82" t="str">
        <f>IFERROR(INDEX(tbMoves!I:I,MATCH(ROWS(tbMoves!$1:28),tbMoves!M:M,0)),"")</f>
        <v>N/A</v>
      </c>
      <c r="I30" s="82" t="str">
        <f>IFERROR(INDEX(tbMoves!J:J,MATCH(ROWS(tbMoves!$1:28),tbMoves!M:M,0)),"")</f>
        <v>N/A</v>
      </c>
      <c r="J30" s="82" t="b">
        <f>IFERROR(INDEX(tbMoves!K:K,MATCH(ROWS(tbMoves!$1:28),tbMoves!M:M,0)),"")</f>
        <v>1</v>
      </c>
      <c r="K30" s="82" t="b">
        <f>IFERROR(INDEX(tbMoves!L:L,MATCH(ROWS(tbMoves!$1:28),tbMoves!M:M,0)),"")</f>
        <v>0</v>
      </c>
      <c r="L30" s="3"/>
    </row>
    <row r="31" spans="1:12" x14ac:dyDescent="0.25">
      <c r="A31" s="81" t="str">
        <f>IFERROR(INDEX(tbMoves!B:B,MATCH(ROWS(tbMoves!$1:29),tbMoves!M:M,0)),"")</f>
        <v>Demon Flurry (R2)</v>
      </c>
      <c r="B31" s="82" t="str">
        <f>IFERROR(INDEX(tbMoves!C:C,MATCH(ROWS(tbMoves!$1:29),tbMoves!M:M,0)),"")</f>
        <v>Sever</v>
      </c>
      <c r="C31" s="82">
        <f>IFERROR(INDEX(tbMoves!D:D,MATCH(ROWS(tbMoves!$1:29),tbMoves!M:M,0)),"")</f>
        <v>7</v>
      </c>
      <c r="D31" s="82">
        <f>IFERROR(INDEX(tbMoves!E:E,MATCH(ROWS(tbMoves!$1:29),tbMoves!M:M,0)),"")</f>
        <v>0</v>
      </c>
      <c r="E31" s="82">
        <f>IFERROR(INDEX(tbMoves!F:F,MATCH(ROWS(tbMoves!$1:29),tbMoves!M:M,0)),"")</f>
        <v>1</v>
      </c>
      <c r="F31" s="82">
        <f>IFERROR(INDEX(tbMoves!G:G,MATCH(ROWS(tbMoves!$1:29),tbMoves!M:M,0)),"")</f>
        <v>0.8</v>
      </c>
      <c r="G31" s="82">
        <f>IFERROR(INDEX(tbMoves!H:H,MATCH(ROWS(tbMoves!$1:29),tbMoves!M:M,0)),"")</f>
        <v>0.6</v>
      </c>
      <c r="H31" s="82" t="str">
        <f>IFERROR(INDEX(tbMoves!I:I,MATCH(ROWS(tbMoves!$1:29),tbMoves!M:M,0)),"")</f>
        <v>N/A</v>
      </c>
      <c r="I31" s="82" t="str">
        <f>IFERROR(INDEX(tbMoves!J:J,MATCH(ROWS(tbMoves!$1:29),tbMoves!M:M,0)),"")</f>
        <v>N/A</v>
      </c>
      <c r="J31" s="82" t="b">
        <f>IFERROR(INDEX(tbMoves!K:K,MATCH(ROWS(tbMoves!$1:29),tbMoves!M:M,0)),"")</f>
        <v>1</v>
      </c>
      <c r="K31" s="82" t="b">
        <f>IFERROR(INDEX(tbMoves!L:L,MATCH(ROWS(tbMoves!$1:29),tbMoves!M:M,0)),"")</f>
        <v>0</v>
      </c>
      <c r="L31" s="3"/>
    </row>
    <row r="32" spans="1:12" x14ac:dyDescent="0.25">
      <c r="A32" s="81" t="str">
        <f>IFERROR(INDEX(tbMoves!B:B,MATCH(ROWS(tbMoves!$1:30),tbMoves!M:M,0)),"")</f>
        <v>Demon Flurry (L2)</v>
      </c>
      <c r="B32" s="82" t="str">
        <f>IFERROR(INDEX(tbMoves!C:C,MATCH(ROWS(tbMoves!$1:30),tbMoves!M:M,0)),"")</f>
        <v>Sever</v>
      </c>
      <c r="C32" s="82">
        <f>IFERROR(INDEX(tbMoves!D:D,MATCH(ROWS(tbMoves!$1:30),tbMoves!M:M,0)),"")</f>
        <v>7</v>
      </c>
      <c r="D32" s="82">
        <f>IFERROR(INDEX(tbMoves!E:E,MATCH(ROWS(tbMoves!$1:30),tbMoves!M:M,0)),"")</f>
        <v>0</v>
      </c>
      <c r="E32" s="82">
        <f>IFERROR(INDEX(tbMoves!F:F,MATCH(ROWS(tbMoves!$1:30),tbMoves!M:M,0)),"")</f>
        <v>1</v>
      </c>
      <c r="F32" s="82">
        <f>IFERROR(INDEX(tbMoves!G:G,MATCH(ROWS(tbMoves!$1:30),tbMoves!M:M,0)),"")</f>
        <v>0.8</v>
      </c>
      <c r="G32" s="82">
        <f>IFERROR(INDEX(tbMoves!H:H,MATCH(ROWS(tbMoves!$1:30),tbMoves!M:M,0)),"")</f>
        <v>0.6</v>
      </c>
      <c r="H32" s="82" t="str">
        <f>IFERROR(INDEX(tbMoves!I:I,MATCH(ROWS(tbMoves!$1:30),tbMoves!M:M,0)),"")</f>
        <v>N/A</v>
      </c>
      <c r="I32" s="82" t="str">
        <f>IFERROR(INDEX(tbMoves!J:J,MATCH(ROWS(tbMoves!$1:30),tbMoves!M:M,0)),"")</f>
        <v>N/A</v>
      </c>
      <c r="J32" s="82" t="b">
        <f>IFERROR(INDEX(tbMoves!K:K,MATCH(ROWS(tbMoves!$1:30),tbMoves!M:M,0)),"")</f>
        <v>1</v>
      </c>
      <c r="K32" s="82" t="b">
        <f>IFERROR(INDEX(tbMoves!L:L,MATCH(ROWS(tbMoves!$1:30),tbMoves!M:M,0)),"")</f>
        <v>0</v>
      </c>
      <c r="L32" s="3"/>
    </row>
    <row r="33" spans="1:12" x14ac:dyDescent="0.25">
      <c r="A33" s="81" t="str">
        <f>IFERROR(INDEX(tbMoves!B:B,MATCH(ROWS(tbMoves!$1:31),tbMoves!M:M,0)),"")</f>
        <v>Demon Flurry (R3)</v>
      </c>
      <c r="B33" s="82" t="str">
        <f>IFERROR(INDEX(tbMoves!C:C,MATCH(ROWS(tbMoves!$1:31),tbMoves!M:M,0)),"")</f>
        <v>Sever</v>
      </c>
      <c r="C33" s="82">
        <f>IFERROR(INDEX(tbMoves!D:D,MATCH(ROWS(tbMoves!$1:31),tbMoves!M:M,0)),"")</f>
        <v>3</v>
      </c>
      <c r="D33" s="82">
        <f>IFERROR(INDEX(tbMoves!E:E,MATCH(ROWS(tbMoves!$1:31),tbMoves!M:M,0)),"")</f>
        <v>0</v>
      </c>
      <c r="E33" s="82">
        <f>IFERROR(INDEX(tbMoves!F:F,MATCH(ROWS(tbMoves!$1:31),tbMoves!M:M,0)),"")</f>
        <v>1</v>
      </c>
      <c r="F33" s="82">
        <f>IFERROR(INDEX(tbMoves!G:G,MATCH(ROWS(tbMoves!$1:31),tbMoves!M:M,0)),"")</f>
        <v>1</v>
      </c>
      <c r="G33" s="82">
        <f>IFERROR(INDEX(tbMoves!H:H,MATCH(ROWS(tbMoves!$1:31),tbMoves!M:M,0)),"")</f>
        <v>0.8</v>
      </c>
      <c r="H33" s="82" t="str">
        <f>IFERROR(INDEX(tbMoves!I:I,MATCH(ROWS(tbMoves!$1:31),tbMoves!M:M,0)),"")</f>
        <v>N/A</v>
      </c>
      <c r="I33" s="82" t="str">
        <f>IFERROR(INDEX(tbMoves!J:J,MATCH(ROWS(tbMoves!$1:31),tbMoves!M:M,0)),"")</f>
        <v>N/A</v>
      </c>
      <c r="J33" s="82" t="b">
        <f>IFERROR(INDEX(tbMoves!K:K,MATCH(ROWS(tbMoves!$1:31),tbMoves!M:M,0)),"")</f>
        <v>1</v>
      </c>
      <c r="K33" s="82" t="b">
        <f>IFERROR(INDEX(tbMoves!L:L,MATCH(ROWS(tbMoves!$1:31),tbMoves!M:M,0)),"")</f>
        <v>0</v>
      </c>
      <c r="L33" s="3"/>
    </row>
    <row r="34" spans="1:12" x14ac:dyDescent="0.25">
      <c r="A34" s="81" t="str">
        <f>IFERROR(INDEX(tbMoves!B:B,MATCH(ROWS(tbMoves!$1:32),tbMoves!M:M,0)),"")</f>
        <v>Demon Flurry (L3)</v>
      </c>
      <c r="B34" s="82" t="str">
        <f>IFERROR(INDEX(tbMoves!C:C,MATCH(ROWS(tbMoves!$1:32),tbMoves!M:M,0)),"")</f>
        <v>Sever</v>
      </c>
      <c r="C34" s="82">
        <f>IFERROR(INDEX(tbMoves!D:D,MATCH(ROWS(tbMoves!$1:32),tbMoves!M:M,0)),"")</f>
        <v>17</v>
      </c>
      <c r="D34" s="82">
        <f>IFERROR(INDEX(tbMoves!E:E,MATCH(ROWS(tbMoves!$1:32),tbMoves!M:M,0)),"")</f>
        <v>0</v>
      </c>
      <c r="E34" s="82">
        <f>IFERROR(INDEX(tbMoves!F:F,MATCH(ROWS(tbMoves!$1:32),tbMoves!M:M,0)),"")</f>
        <v>1</v>
      </c>
      <c r="F34" s="82">
        <f>IFERROR(INDEX(tbMoves!G:G,MATCH(ROWS(tbMoves!$1:32),tbMoves!M:M,0)),"")</f>
        <v>1</v>
      </c>
      <c r="G34" s="82">
        <f>IFERROR(INDEX(tbMoves!H:H,MATCH(ROWS(tbMoves!$1:32),tbMoves!M:M,0)),"")</f>
        <v>0.8</v>
      </c>
      <c r="H34" s="82" t="str">
        <f>IFERROR(INDEX(tbMoves!I:I,MATCH(ROWS(tbMoves!$1:32),tbMoves!M:M,0)),"")</f>
        <v>N/A</v>
      </c>
      <c r="I34" s="82" t="str">
        <f>IFERROR(INDEX(tbMoves!J:J,MATCH(ROWS(tbMoves!$1:32),tbMoves!M:M,0)),"")</f>
        <v>N/A</v>
      </c>
      <c r="J34" s="82" t="b">
        <f>IFERROR(INDEX(tbMoves!K:K,MATCH(ROWS(tbMoves!$1:32),tbMoves!M:M,0)),"")</f>
        <v>1</v>
      </c>
      <c r="K34" s="82" t="b">
        <f>IFERROR(INDEX(tbMoves!L:L,MATCH(ROWS(tbMoves!$1:32),tbMoves!M:M,0)),"")</f>
        <v>0</v>
      </c>
      <c r="L34" s="3"/>
    </row>
    <row r="35" spans="1:12" x14ac:dyDescent="0.25">
      <c r="A35" s="81" t="str">
        <f>IFERROR(INDEX(tbMoves!B:B,MATCH(ROWS(tbMoves!$1:33),tbMoves!M:M,0)),"")</f>
        <v>Demon Flurry (R4)</v>
      </c>
      <c r="B35" s="82" t="str">
        <f>IFERROR(INDEX(tbMoves!C:C,MATCH(ROWS(tbMoves!$1:33),tbMoves!M:M,0)),"")</f>
        <v>Sever</v>
      </c>
      <c r="C35" s="82">
        <f>IFERROR(INDEX(tbMoves!D:D,MATCH(ROWS(tbMoves!$1:33),tbMoves!M:M,0)),"")</f>
        <v>17</v>
      </c>
      <c r="D35" s="82">
        <f>IFERROR(INDEX(tbMoves!E:E,MATCH(ROWS(tbMoves!$1:33),tbMoves!M:M,0)),"")</f>
        <v>0</v>
      </c>
      <c r="E35" s="82">
        <f>IFERROR(INDEX(tbMoves!F:F,MATCH(ROWS(tbMoves!$1:33),tbMoves!M:M,0)),"")</f>
        <v>1</v>
      </c>
      <c r="F35" s="82">
        <f>IFERROR(INDEX(tbMoves!G:G,MATCH(ROWS(tbMoves!$1:33),tbMoves!M:M,0)),"")</f>
        <v>1</v>
      </c>
      <c r="G35" s="82">
        <f>IFERROR(INDEX(tbMoves!H:H,MATCH(ROWS(tbMoves!$1:33),tbMoves!M:M,0)),"")</f>
        <v>0.8</v>
      </c>
      <c r="H35" s="82" t="str">
        <f>IFERROR(INDEX(tbMoves!I:I,MATCH(ROWS(tbMoves!$1:33),tbMoves!M:M,0)),"")</f>
        <v>N/A</v>
      </c>
      <c r="I35" s="82" t="str">
        <f>IFERROR(INDEX(tbMoves!J:J,MATCH(ROWS(tbMoves!$1:33),tbMoves!M:M,0)),"")</f>
        <v>N/A</v>
      </c>
      <c r="J35" s="82" t="b">
        <f>IFERROR(INDEX(tbMoves!K:K,MATCH(ROWS(tbMoves!$1:33),tbMoves!M:M,0)),"")</f>
        <v>1</v>
      </c>
      <c r="K35" s="82" t="b">
        <f>IFERROR(INDEX(tbMoves!L:L,MATCH(ROWS(tbMoves!$1:33),tbMoves!M:M,0)),"")</f>
        <v>0</v>
      </c>
      <c r="L35" s="3"/>
    </row>
    <row r="36" spans="1:12" x14ac:dyDescent="0.25">
      <c r="A36" s="81" t="str">
        <f>IFERROR(INDEX(tbMoves!B:B,MATCH(ROWS(tbMoves!$1:34),tbMoves!M:M,0)),"")</f>
        <v>Demon Fangs</v>
      </c>
      <c r="B36" s="82" t="str">
        <f>IFERROR(INDEX(tbMoves!C:C,MATCH(ROWS(tbMoves!$1:34),tbMoves!M:M,0)),"")</f>
        <v>Sever</v>
      </c>
      <c r="C36" s="82">
        <f>IFERROR(INDEX(tbMoves!D:D,MATCH(ROWS(tbMoves!$1:34),tbMoves!M:M,0)),"")</f>
        <v>11</v>
      </c>
      <c r="D36" s="82">
        <f>IFERROR(INDEX(tbMoves!E:E,MATCH(ROWS(tbMoves!$1:34),tbMoves!M:M,0)),"")</f>
        <v>0</v>
      </c>
      <c r="E36" s="82">
        <f>IFERROR(INDEX(tbMoves!F:F,MATCH(ROWS(tbMoves!$1:34),tbMoves!M:M,0)),"")</f>
        <v>1</v>
      </c>
      <c r="F36" s="82">
        <f>IFERROR(INDEX(tbMoves!G:G,MATCH(ROWS(tbMoves!$1:34),tbMoves!M:M,0)),"")</f>
        <v>0.8</v>
      </c>
      <c r="G36" s="82">
        <f>IFERROR(INDEX(tbMoves!H:H,MATCH(ROWS(tbMoves!$1:34),tbMoves!M:M,0)),"")</f>
        <v>0.5</v>
      </c>
      <c r="H36" s="82" t="str">
        <f>IFERROR(INDEX(tbMoves!I:I,MATCH(ROWS(tbMoves!$1:34),tbMoves!M:M,0)),"")</f>
        <v>N/A</v>
      </c>
      <c r="I36" s="82" t="str">
        <f>IFERROR(INDEX(tbMoves!J:J,MATCH(ROWS(tbMoves!$1:34),tbMoves!M:M,0)),"")</f>
        <v>N/A</v>
      </c>
      <c r="J36" s="82" t="b">
        <f>IFERROR(INDEX(tbMoves!K:K,MATCH(ROWS(tbMoves!$1:34),tbMoves!M:M,0)),"")</f>
        <v>1</v>
      </c>
      <c r="K36" s="82" t="b">
        <f>IFERROR(INDEX(tbMoves!L:L,MATCH(ROWS(tbMoves!$1:34),tbMoves!M:M,0)),"")</f>
        <v>0</v>
      </c>
      <c r="L36" s="3"/>
    </row>
    <row r="37" spans="1:12" x14ac:dyDescent="0.25">
      <c r="A37" s="81" t="str">
        <f>IFERROR(INDEX(tbMoves!B:B,MATCH(ROWS(tbMoves!$1:35),tbMoves!M:M,0)),"")</f>
        <v>Twofold Demon Slash (R)</v>
      </c>
      <c r="B37" s="82" t="str">
        <f>IFERROR(INDEX(tbMoves!C:C,MATCH(ROWS(tbMoves!$1:35),tbMoves!M:M,0)),"")</f>
        <v>Sever</v>
      </c>
      <c r="C37" s="82">
        <f>IFERROR(INDEX(tbMoves!D:D,MATCH(ROWS(tbMoves!$1:35),tbMoves!M:M,0)),"")</f>
        <v>14</v>
      </c>
      <c r="D37" s="82">
        <f>IFERROR(INDEX(tbMoves!E:E,MATCH(ROWS(tbMoves!$1:35),tbMoves!M:M,0)),"")</f>
        <v>0</v>
      </c>
      <c r="E37" s="82">
        <f>IFERROR(INDEX(tbMoves!F:F,MATCH(ROWS(tbMoves!$1:35),tbMoves!M:M,0)),"")</f>
        <v>1</v>
      </c>
      <c r="F37" s="82">
        <f>IFERROR(INDEX(tbMoves!G:G,MATCH(ROWS(tbMoves!$1:35),tbMoves!M:M,0)),"")</f>
        <v>0.8</v>
      </c>
      <c r="G37" s="82">
        <f>IFERROR(INDEX(tbMoves!H:H,MATCH(ROWS(tbMoves!$1:35),tbMoves!M:M,0)),"")</f>
        <v>0.5</v>
      </c>
      <c r="H37" s="82" t="str">
        <f>IFERROR(INDEX(tbMoves!I:I,MATCH(ROWS(tbMoves!$1:35),tbMoves!M:M,0)),"")</f>
        <v>N/A</v>
      </c>
      <c r="I37" s="82" t="str">
        <f>IFERROR(INDEX(tbMoves!J:J,MATCH(ROWS(tbMoves!$1:35),tbMoves!M:M,0)),"")</f>
        <v>N/A</v>
      </c>
      <c r="J37" s="82" t="b">
        <f>IFERROR(INDEX(tbMoves!K:K,MATCH(ROWS(tbMoves!$1:35),tbMoves!M:M,0)),"")</f>
        <v>1</v>
      </c>
      <c r="K37" s="82" t="b">
        <f>IFERROR(INDEX(tbMoves!L:L,MATCH(ROWS(tbMoves!$1:35),tbMoves!M:M,0)),"")</f>
        <v>0</v>
      </c>
      <c r="L37" s="3"/>
    </row>
    <row r="38" spans="1:12" x14ac:dyDescent="0.25">
      <c r="A38" s="81" t="str">
        <f>IFERROR(INDEX(tbMoves!B:B,MATCH(ROWS(tbMoves!$1:36),tbMoves!M:M,0)),"")</f>
        <v>Twofold Demon Slash (L)</v>
      </c>
      <c r="B38" s="82" t="str">
        <f>IFERROR(INDEX(tbMoves!C:C,MATCH(ROWS(tbMoves!$1:36),tbMoves!M:M,0)),"")</f>
        <v>Sever</v>
      </c>
      <c r="C38" s="82">
        <f>IFERROR(INDEX(tbMoves!D:D,MATCH(ROWS(tbMoves!$1:36),tbMoves!M:M,0)),"")</f>
        <v>7</v>
      </c>
      <c r="D38" s="82">
        <f>IFERROR(INDEX(tbMoves!E:E,MATCH(ROWS(tbMoves!$1:36),tbMoves!M:M,0)),"")</f>
        <v>0</v>
      </c>
      <c r="E38" s="82">
        <f>IFERROR(INDEX(tbMoves!F:F,MATCH(ROWS(tbMoves!$1:36),tbMoves!M:M,0)),"")</f>
        <v>1</v>
      </c>
      <c r="F38" s="82">
        <f>IFERROR(INDEX(tbMoves!G:G,MATCH(ROWS(tbMoves!$1:36),tbMoves!M:M,0)),"")</f>
        <v>0.8</v>
      </c>
      <c r="G38" s="82">
        <f>IFERROR(INDEX(tbMoves!H:H,MATCH(ROWS(tbMoves!$1:36),tbMoves!M:M,0)),"")</f>
        <v>0.5</v>
      </c>
      <c r="H38" s="82" t="str">
        <f>IFERROR(INDEX(tbMoves!I:I,MATCH(ROWS(tbMoves!$1:36),tbMoves!M:M,0)),"")</f>
        <v>N/A</v>
      </c>
      <c r="I38" s="82" t="str">
        <f>IFERROR(INDEX(tbMoves!J:J,MATCH(ROWS(tbMoves!$1:36),tbMoves!M:M,0)),"")</f>
        <v>N/A</v>
      </c>
      <c r="J38" s="82" t="b">
        <f>IFERROR(INDEX(tbMoves!K:K,MATCH(ROWS(tbMoves!$1:36),tbMoves!M:M,0)),"")</f>
        <v>1</v>
      </c>
      <c r="K38" s="82" t="b">
        <f>IFERROR(INDEX(tbMoves!L:L,MATCH(ROWS(tbMoves!$1:36),tbMoves!M:M,0)),"")</f>
        <v>0</v>
      </c>
      <c r="L38" s="3"/>
    </row>
    <row r="39" spans="1:12" x14ac:dyDescent="0.25">
      <c r="A39" s="81" t="str">
        <f>IFERROR(INDEX(tbMoves!B:B,MATCH(ROWS(tbMoves!$1:37),tbMoves!M:M,0)),"")</f>
        <v>Sixfold Demon Slash (L1)</v>
      </c>
      <c r="B39" s="82" t="str">
        <f>IFERROR(INDEX(tbMoves!C:C,MATCH(ROWS(tbMoves!$1:37),tbMoves!M:M,0)),"")</f>
        <v>Sever</v>
      </c>
      <c r="C39" s="82">
        <f>IFERROR(INDEX(tbMoves!D:D,MATCH(ROWS(tbMoves!$1:37),tbMoves!M:M,0)),"")</f>
        <v>10</v>
      </c>
      <c r="D39" s="82">
        <f>IFERROR(INDEX(tbMoves!E:E,MATCH(ROWS(tbMoves!$1:37),tbMoves!M:M,0)),"")</f>
        <v>0</v>
      </c>
      <c r="E39" s="82">
        <f>IFERROR(INDEX(tbMoves!F:F,MATCH(ROWS(tbMoves!$1:37),tbMoves!M:M,0)),"")</f>
        <v>1</v>
      </c>
      <c r="F39" s="82">
        <f>IFERROR(INDEX(tbMoves!G:G,MATCH(ROWS(tbMoves!$1:37),tbMoves!M:M,0)),"")</f>
        <v>0.8</v>
      </c>
      <c r="G39" s="82">
        <f>IFERROR(INDEX(tbMoves!H:H,MATCH(ROWS(tbMoves!$1:37),tbMoves!M:M,0)),"")</f>
        <v>0.5</v>
      </c>
      <c r="H39" s="82" t="str">
        <f>IFERROR(INDEX(tbMoves!I:I,MATCH(ROWS(tbMoves!$1:37),tbMoves!M:M,0)),"")</f>
        <v>N/A</v>
      </c>
      <c r="I39" s="82" t="str">
        <f>IFERROR(INDEX(tbMoves!J:J,MATCH(ROWS(tbMoves!$1:37),tbMoves!M:M,0)),"")</f>
        <v>N/A</v>
      </c>
      <c r="J39" s="82" t="b">
        <f>IFERROR(INDEX(tbMoves!K:K,MATCH(ROWS(tbMoves!$1:37),tbMoves!M:M,0)),"")</f>
        <v>1</v>
      </c>
      <c r="K39" s="82" t="b">
        <f>IFERROR(INDEX(tbMoves!L:L,MATCH(ROWS(tbMoves!$1:37),tbMoves!M:M,0)),"")</f>
        <v>0</v>
      </c>
      <c r="L39" s="3"/>
    </row>
    <row r="40" spans="1:12" x14ac:dyDescent="0.25">
      <c r="A40" s="81" t="str">
        <f>IFERROR(INDEX(tbMoves!B:B,MATCH(ROWS(tbMoves!$1:38),tbMoves!M:M,0)),"")</f>
        <v>Sixfold Demon Slash (R1)</v>
      </c>
      <c r="B40" s="82" t="str">
        <f>IFERROR(INDEX(tbMoves!C:C,MATCH(ROWS(tbMoves!$1:38),tbMoves!M:M,0)),"")</f>
        <v>Sever</v>
      </c>
      <c r="C40" s="82">
        <f>IFERROR(INDEX(tbMoves!D:D,MATCH(ROWS(tbMoves!$1:38),tbMoves!M:M,0)),"")</f>
        <v>10</v>
      </c>
      <c r="D40" s="82">
        <f>IFERROR(INDEX(tbMoves!E:E,MATCH(ROWS(tbMoves!$1:38),tbMoves!M:M,0)),"")</f>
        <v>0</v>
      </c>
      <c r="E40" s="82">
        <f>IFERROR(INDEX(tbMoves!F:F,MATCH(ROWS(tbMoves!$1:38),tbMoves!M:M,0)),"")</f>
        <v>1</v>
      </c>
      <c r="F40" s="82">
        <f>IFERROR(INDEX(tbMoves!G:G,MATCH(ROWS(tbMoves!$1:38),tbMoves!M:M,0)),"")</f>
        <v>0.8</v>
      </c>
      <c r="G40" s="82">
        <f>IFERROR(INDEX(tbMoves!H:H,MATCH(ROWS(tbMoves!$1:38),tbMoves!M:M,0)),"")</f>
        <v>0.5</v>
      </c>
      <c r="H40" s="82" t="str">
        <f>IFERROR(INDEX(tbMoves!I:I,MATCH(ROWS(tbMoves!$1:38),tbMoves!M:M,0)),"")</f>
        <v>N/A</v>
      </c>
      <c r="I40" s="82" t="str">
        <f>IFERROR(INDEX(tbMoves!J:J,MATCH(ROWS(tbMoves!$1:38),tbMoves!M:M,0)),"")</f>
        <v>N/A</v>
      </c>
      <c r="J40" s="82" t="b">
        <f>IFERROR(INDEX(tbMoves!K:K,MATCH(ROWS(tbMoves!$1:38),tbMoves!M:M,0)),"")</f>
        <v>1</v>
      </c>
      <c r="K40" s="82" t="b">
        <f>IFERROR(INDEX(tbMoves!L:L,MATCH(ROWS(tbMoves!$1:38),tbMoves!M:M,0)),"")</f>
        <v>0</v>
      </c>
      <c r="L40" s="3"/>
    </row>
    <row r="41" spans="1:12" x14ac:dyDescent="0.25">
      <c r="A41" s="81" t="str">
        <f>IFERROR(INDEX(tbMoves!B:B,MATCH(ROWS(tbMoves!$1:39),tbMoves!M:M,0)),"")</f>
        <v>Sixfold Demon Slash (R2)</v>
      </c>
      <c r="B41" s="82" t="str">
        <f>IFERROR(INDEX(tbMoves!C:C,MATCH(ROWS(tbMoves!$1:39),tbMoves!M:M,0)),"")</f>
        <v>Sever</v>
      </c>
      <c r="C41" s="82">
        <f>IFERROR(INDEX(tbMoves!D:D,MATCH(ROWS(tbMoves!$1:39),tbMoves!M:M,0)),"")</f>
        <v>9</v>
      </c>
      <c r="D41" s="82">
        <f>IFERROR(INDEX(tbMoves!E:E,MATCH(ROWS(tbMoves!$1:39),tbMoves!M:M,0)),"")</f>
        <v>0</v>
      </c>
      <c r="E41" s="82">
        <f>IFERROR(INDEX(tbMoves!F:F,MATCH(ROWS(tbMoves!$1:39),tbMoves!M:M,0)),"")</f>
        <v>1</v>
      </c>
      <c r="F41" s="82">
        <f>IFERROR(INDEX(tbMoves!G:G,MATCH(ROWS(tbMoves!$1:39),tbMoves!M:M,0)),"")</f>
        <v>0.8</v>
      </c>
      <c r="G41" s="82">
        <f>IFERROR(INDEX(tbMoves!H:H,MATCH(ROWS(tbMoves!$1:39),tbMoves!M:M,0)),"")</f>
        <v>0.5</v>
      </c>
      <c r="H41" s="82" t="str">
        <f>IFERROR(INDEX(tbMoves!I:I,MATCH(ROWS(tbMoves!$1:39),tbMoves!M:M,0)),"")</f>
        <v>N/A</v>
      </c>
      <c r="I41" s="82" t="str">
        <f>IFERROR(INDEX(tbMoves!J:J,MATCH(ROWS(tbMoves!$1:39),tbMoves!M:M,0)),"")</f>
        <v>N/A</v>
      </c>
      <c r="J41" s="82" t="b">
        <f>IFERROR(INDEX(tbMoves!K:K,MATCH(ROWS(tbMoves!$1:39),tbMoves!M:M,0)),"")</f>
        <v>1</v>
      </c>
      <c r="K41" s="82" t="b">
        <f>IFERROR(INDEX(tbMoves!L:L,MATCH(ROWS(tbMoves!$1:39),tbMoves!M:M,0)),"")</f>
        <v>0</v>
      </c>
      <c r="L41" s="3"/>
    </row>
    <row r="42" spans="1:12" x14ac:dyDescent="0.25">
      <c r="A42" s="81" t="str">
        <f>IFERROR(INDEX(tbMoves!B:B,MATCH(ROWS(tbMoves!$1:40),tbMoves!M:M,0)),"")</f>
        <v>Sixfold Demon Slash (L2)</v>
      </c>
      <c r="B42" s="82" t="str">
        <f>IFERROR(INDEX(tbMoves!C:C,MATCH(ROWS(tbMoves!$1:40),tbMoves!M:M,0)),"")</f>
        <v>Sever</v>
      </c>
      <c r="C42" s="82">
        <f>IFERROR(INDEX(tbMoves!D:D,MATCH(ROWS(tbMoves!$1:40),tbMoves!M:M,0)),"")</f>
        <v>9</v>
      </c>
      <c r="D42" s="82">
        <f>IFERROR(INDEX(tbMoves!E:E,MATCH(ROWS(tbMoves!$1:40),tbMoves!M:M,0)),"")</f>
        <v>0</v>
      </c>
      <c r="E42" s="82">
        <f>IFERROR(INDEX(tbMoves!F:F,MATCH(ROWS(tbMoves!$1:40),tbMoves!M:M,0)),"")</f>
        <v>1</v>
      </c>
      <c r="F42" s="82">
        <f>IFERROR(INDEX(tbMoves!G:G,MATCH(ROWS(tbMoves!$1:40),tbMoves!M:M,0)),"")</f>
        <v>0.8</v>
      </c>
      <c r="G42" s="82">
        <f>IFERROR(INDEX(tbMoves!H:H,MATCH(ROWS(tbMoves!$1:40),tbMoves!M:M,0)),"")</f>
        <v>0.5</v>
      </c>
      <c r="H42" s="82" t="str">
        <f>IFERROR(INDEX(tbMoves!I:I,MATCH(ROWS(tbMoves!$1:40),tbMoves!M:M,0)),"")</f>
        <v>N/A</v>
      </c>
      <c r="I42" s="82" t="str">
        <f>IFERROR(INDEX(tbMoves!J:J,MATCH(ROWS(tbMoves!$1:40),tbMoves!M:M,0)),"")</f>
        <v>N/A</v>
      </c>
      <c r="J42" s="82" t="b">
        <f>IFERROR(INDEX(tbMoves!K:K,MATCH(ROWS(tbMoves!$1:40),tbMoves!M:M,0)),"")</f>
        <v>1</v>
      </c>
      <c r="K42" s="82" t="b">
        <f>IFERROR(INDEX(tbMoves!L:L,MATCH(ROWS(tbMoves!$1:40),tbMoves!M:M,0)),"")</f>
        <v>0</v>
      </c>
      <c r="L42" s="3"/>
    </row>
    <row r="43" spans="1:12" x14ac:dyDescent="0.25">
      <c r="A43" s="81" t="str">
        <f>IFERROR(INDEX(tbMoves!B:B,MATCH(ROWS(tbMoves!$1:41),tbMoves!M:M,0)),"")</f>
        <v>Sixfold Demon Slash (L3)</v>
      </c>
      <c r="B43" s="82" t="str">
        <f>IFERROR(INDEX(tbMoves!C:C,MATCH(ROWS(tbMoves!$1:41),tbMoves!M:M,0)),"")</f>
        <v>Sever</v>
      </c>
      <c r="C43" s="82">
        <f>IFERROR(INDEX(tbMoves!D:D,MATCH(ROWS(tbMoves!$1:41),tbMoves!M:M,0)),"")</f>
        <v>16</v>
      </c>
      <c r="D43" s="82">
        <f>IFERROR(INDEX(tbMoves!E:E,MATCH(ROWS(tbMoves!$1:41),tbMoves!M:M,0)),"")</f>
        <v>0</v>
      </c>
      <c r="E43" s="82">
        <f>IFERROR(INDEX(tbMoves!F:F,MATCH(ROWS(tbMoves!$1:41),tbMoves!M:M,0)),"")</f>
        <v>1</v>
      </c>
      <c r="F43" s="82">
        <f>IFERROR(INDEX(tbMoves!G:G,MATCH(ROWS(tbMoves!$1:41),tbMoves!M:M,0)),"")</f>
        <v>0.8</v>
      </c>
      <c r="G43" s="82">
        <f>IFERROR(INDEX(tbMoves!H:H,MATCH(ROWS(tbMoves!$1:41),tbMoves!M:M,0)),"")</f>
        <v>0.5</v>
      </c>
      <c r="H43" s="82" t="str">
        <f>IFERROR(INDEX(tbMoves!I:I,MATCH(ROWS(tbMoves!$1:41),tbMoves!M:M,0)),"")</f>
        <v>N/A</v>
      </c>
      <c r="I43" s="82" t="str">
        <f>IFERROR(INDEX(tbMoves!J:J,MATCH(ROWS(tbMoves!$1:41),tbMoves!M:M,0)),"")</f>
        <v>N/A</v>
      </c>
      <c r="J43" s="82" t="b">
        <f>IFERROR(INDEX(tbMoves!K:K,MATCH(ROWS(tbMoves!$1:41),tbMoves!M:M,0)),"")</f>
        <v>1</v>
      </c>
      <c r="K43" s="82" t="b">
        <f>IFERROR(INDEX(tbMoves!L:L,MATCH(ROWS(tbMoves!$1:41),tbMoves!M:M,0)),"")</f>
        <v>0</v>
      </c>
      <c r="L43" s="3"/>
    </row>
    <row r="44" spans="1:12" x14ac:dyDescent="0.25">
      <c r="A44" s="81" t="str">
        <f>IFERROR(INDEX(tbMoves!B:B,MATCH(ROWS(tbMoves!$1:42),tbMoves!M:M,0)),"")</f>
        <v>Sixfold Demon Slash (R3)</v>
      </c>
      <c r="B44" s="82" t="str">
        <f>IFERROR(INDEX(tbMoves!C:C,MATCH(ROWS(tbMoves!$1:42),tbMoves!M:M,0)),"")</f>
        <v>Sever</v>
      </c>
      <c r="C44" s="82">
        <f>IFERROR(INDEX(tbMoves!D:D,MATCH(ROWS(tbMoves!$1:42),tbMoves!M:M,0)),"")</f>
        <v>16</v>
      </c>
      <c r="D44" s="82">
        <f>IFERROR(INDEX(tbMoves!E:E,MATCH(ROWS(tbMoves!$1:42),tbMoves!M:M,0)),"")</f>
        <v>0</v>
      </c>
      <c r="E44" s="82">
        <f>IFERROR(INDEX(tbMoves!F:F,MATCH(ROWS(tbMoves!$1:42),tbMoves!M:M,0)),"")</f>
        <v>1</v>
      </c>
      <c r="F44" s="82">
        <f>IFERROR(INDEX(tbMoves!G:G,MATCH(ROWS(tbMoves!$1:42),tbMoves!M:M,0)),"")</f>
        <v>0.8</v>
      </c>
      <c r="G44" s="82">
        <f>IFERROR(INDEX(tbMoves!H:H,MATCH(ROWS(tbMoves!$1:42),tbMoves!M:M,0)),"")</f>
        <v>0.5</v>
      </c>
      <c r="H44" s="82" t="str">
        <f>IFERROR(INDEX(tbMoves!I:I,MATCH(ROWS(tbMoves!$1:42),tbMoves!M:M,0)),"")</f>
        <v>N/A</v>
      </c>
      <c r="I44" s="82" t="str">
        <f>IFERROR(INDEX(tbMoves!J:J,MATCH(ROWS(tbMoves!$1:42),tbMoves!M:M,0)),"")</f>
        <v>N/A</v>
      </c>
      <c r="J44" s="82" t="b">
        <f>IFERROR(INDEX(tbMoves!K:K,MATCH(ROWS(tbMoves!$1:42),tbMoves!M:M,0)),"")</f>
        <v>1</v>
      </c>
      <c r="K44" s="82" t="b">
        <f>IFERROR(INDEX(tbMoves!L:L,MATCH(ROWS(tbMoves!$1:42),tbMoves!M:M,0)),"")</f>
        <v>0</v>
      </c>
      <c r="L44" s="3"/>
    </row>
    <row r="45" spans="1:12" x14ac:dyDescent="0.25">
      <c r="A45" s="81" t="str">
        <f>IFERROR(INDEX(tbMoves!B:B,MATCH(ROWS(tbMoves!$1:43),tbMoves!M:M,0)),"")</f>
        <v>Left Fade Slash</v>
      </c>
      <c r="B45" s="82" t="str">
        <f>IFERROR(INDEX(tbMoves!C:C,MATCH(ROWS(tbMoves!$1:43),tbMoves!M:M,0)),"")</f>
        <v>Sever</v>
      </c>
      <c r="C45" s="82">
        <f>IFERROR(INDEX(tbMoves!D:D,MATCH(ROWS(tbMoves!$1:43),tbMoves!M:M,0)),"")</f>
        <v>7</v>
      </c>
      <c r="D45" s="82">
        <f>IFERROR(INDEX(tbMoves!E:E,MATCH(ROWS(tbMoves!$1:43),tbMoves!M:M,0)),"")</f>
        <v>0</v>
      </c>
      <c r="E45" s="82">
        <f>IFERROR(INDEX(tbMoves!F:F,MATCH(ROWS(tbMoves!$1:43),tbMoves!M:M,0)),"")</f>
        <v>1</v>
      </c>
      <c r="F45" s="82">
        <f>IFERROR(INDEX(tbMoves!G:G,MATCH(ROWS(tbMoves!$1:43),tbMoves!M:M,0)),"")</f>
        <v>0.8</v>
      </c>
      <c r="G45" s="82">
        <f>IFERROR(INDEX(tbMoves!H:H,MATCH(ROWS(tbMoves!$1:43),tbMoves!M:M,0)),"")</f>
        <v>0.6</v>
      </c>
      <c r="H45" s="82" t="str">
        <f>IFERROR(INDEX(tbMoves!I:I,MATCH(ROWS(tbMoves!$1:43),tbMoves!M:M,0)),"")</f>
        <v>N/A</v>
      </c>
      <c r="I45" s="82" t="str">
        <f>IFERROR(INDEX(tbMoves!J:J,MATCH(ROWS(tbMoves!$1:43),tbMoves!M:M,0)),"")</f>
        <v>N/A</v>
      </c>
      <c r="J45" s="82" t="b">
        <f>IFERROR(INDEX(tbMoves!K:K,MATCH(ROWS(tbMoves!$1:43),tbMoves!M:M,0)),"")</f>
        <v>1</v>
      </c>
      <c r="K45" s="82" t="b">
        <f>IFERROR(INDEX(tbMoves!L:L,MATCH(ROWS(tbMoves!$1:43),tbMoves!M:M,0)),"")</f>
        <v>0</v>
      </c>
      <c r="L45" s="3"/>
    </row>
    <row r="46" spans="1:12" x14ac:dyDescent="0.25">
      <c r="A46" s="81" t="str">
        <f>IFERROR(INDEX(tbMoves!B:B,MATCH(ROWS(tbMoves!$1:44),tbMoves!M:M,0)),"")</f>
        <v>Right Fade Slash</v>
      </c>
      <c r="B46" s="82" t="str">
        <f>IFERROR(INDEX(tbMoves!C:C,MATCH(ROWS(tbMoves!$1:44),tbMoves!M:M,0)),"")</f>
        <v>Sever</v>
      </c>
      <c r="C46" s="82">
        <f>IFERROR(INDEX(tbMoves!D:D,MATCH(ROWS(tbMoves!$1:44),tbMoves!M:M,0)),"")</f>
        <v>7</v>
      </c>
      <c r="D46" s="82">
        <f>IFERROR(INDEX(tbMoves!E:E,MATCH(ROWS(tbMoves!$1:44),tbMoves!M:M,0)),"")</f>
        <v>0</v>
      </c>
      <c r="E46" s="82">
        <f>IFERROR(INDEX(tbMoves!F:F,MATCH(ROWS(tbMoves!$1:44),tbMoves!M:M,0)),"")</f>
        <v>1</v>
      </c>
      <c r="F46" s="82">
        <f>IFERROR(INDEX(tbMoves!G:G,MATCH(ROWS(tbMoves!$1:44),tbMoves!M:M,0)),"")</f>
        <v>0.8</v>
      </c>
      <c r="G46" s="82">
        <f>IFERROR(INDEX(tbMoves!H:H,MATCH(ROWS(tbMoves!$1:44),tbMoves!M:M,0)),"")</f>
        <v>0.6</v>
      </c>
      <c r="H46" s="82" t="str">
        <f>IFERROR(INDEX(tbMoves!I:I,MATCH(ROWS(tbMoves!$1:44),tbMoves!M:M,0)),"")</f>
        <v>N/A</v>
      </c>
      <c r="I46" s="82" t="str">
        <f>IFERROR(INDEX(tbMoves!J:J,MATCH(ROWS(tbMoves!$1:44),tbMoves!M:M,0)),"")</f>
        <v>N/A</v>
      </c>
      <c r="J46" s="82" t="b">
        <f>IFERROR(INDEX(tbMoves!K:K,MATCH(ROWS(tbMoves!$1:44),tbMoves!M:M,0)),"")</f>
        <v>1</v>
      </c>
      <c r="K46" s="82" t="b">
        <f>IFERROR(INDEX(tbMoves!L:L,MATCH(ROWS(tbMoves!$1:44),tbMoves!M:M,0)),"")</f>
        <v>0</v>
      </c>
      <c r="L46" s="3"/>
    </row>
    <row r="47" spans="1:12" x14ac:dyDescent="0.25">
      <c r="A47" s="81" t="str">
        <f>IFERROR(INDEX(tbMoves!B:B,MATCH(ROWS(tbMoves!$1:45),tbMoves!M:M,0)),"")</f>
        <v>Rising Slash (After Fade Slash)</v>
      </c>
      <c r="B47" s="82" t="str">
        <f>IFERROR(INDEX(tbMoves!C:C,MATCH(ROWS(tbMoves!$1:45),tbMoves!M:M,0)),"")</f>
        <v>Sever</v>
      </c>
      <c r="C47" s="82">
        <f>IFERROR(INDEX(tbMoves!D:D,MATCH(ROWS(tbMoves!$1:45),tbMoves!M:M,0)),"")</f>
        <v>9</v>
      </c>
      <c r="D47" s="82">
        <f>IFERROR(INDEX(tbMoves!E:E,MATCH(ROWS(tbMoves!$1:45),tbMoves!M:M,0)),"")</f>
        <v>0</v>
      </c>
      <c r="E47" s="82">
        <f>IFERROR(INDEX(tbMoves!F:F,MATCH(ROWS(tbMoves!$1:45),tbMoves!M:M,0)),"")</f>
        <v>1</v>
      </c>
      <c r="F47" s="82">
        <f>IFERROR(INDEX(tbMoves!G:G,MATCH(ROWS(tbMoves!$1:45),tbMoves!M:M,0)),"")</f>
        <v>0.8</v>
      </c>
      <c r="G47" s="82">
        <f>IFERROR(INDEX(tbMoves!H:H,MATCH(ROWS(tbMoves!$1:45),tbMoves!M:M,0)),"")</f>
        <v>0.6</v>
      </c>
      <c r="H47" s="82" t="str">
        <f>IFERROR(INDEX(tbMoves!I:I,MATCH(ROWS(tbMoves!$1:45),tbMoves!M:M,0)),"")</f>
        <v>N/A</v>
      </c>
      <c r="I47" s="82" t="str">
        <f>IFERROR(INDEX(tbMoves!J:J,MATCH(ROWS(tbMoves!$1:45),tbMoves!M:M,0)),"")</f>
        <v>N/A</v>
      </c>
      <c r="J47" s="82" t="b">
        <f>IFERROR(INDEX(tbMoves!K:K,MATCH(ROWS(tbMoves!$1:45),tbMoves!M:M,0)),"")</f>
        <v>1</v>
      </c>
      <c r="K47" s="82" t="b">
        <f>IFERROR(INDEX(tbMoves!L:L,MATCH(ROWS(tbMoves!$1:45),tbMoves!M:M,0)),"")</f>
        <v>0</v>
      </c>
      <c r="L47" s="3"/>
    </row>
    <row r="48" spans="1:12" x14ac:dyDescent="0.25">
      <c r="A48" s="81" t="str">
        <f>IFERROR(INDEX(tbMoves!B:B,MATCH(ROWS(tbMoves!$1:46),tbMoves!M:M,0)),"")</f>
        <v>Demon Flurry Rush (L1)</v>
      </c>
      <c r="B48" s="82" t="str">
        <f>IFERROR(INDEX(tbMoves!C:C,MATCH(ROWS(tbMoves!$1:46),tbMoves!M:M,0)),"")</f>
        <v>Sever</v>
      </c>
      <c r="C48" s="82">
        <f>IFERROR(INDEX(tbMoves!D:D,MATCH(ROWS(tbMoves!$1:46),tbMoves!M:M,0)),"")</f>
        <v>5</v>
      </c>
      <c r="D48" s="82">
        <f>IFERROR(INDEX(tbMoves!E:E,MATCH(ROWS(tbMoves!$1:46),tbMoves!M:M,0)),"")</f>
        <v>0</v>
      </c>
      <c r="E48" s="82">
        <f>IFERROR(INDEX(tbMoves!F:F,MATCH(ROWS(tbMoves!$1:46),tbMoves!M:M,0)),"")</f>
        <v>1</v>
      </c>
      <c r="F48" s="82">
        <f>IFERROR(INDEX(tbMoves!G:G,MATCH(ROWS(tbMoves!$1:46),tbMoves!M:M,0)),"")</f>
        <v>0.6</v>
      </c>
      <c r="G48" s="82">
        <f>IFERROR(INDEX(tbMoves!H:H,MATCH(ROWS(tbMoves!$1:46),tbMoves!M:M,0)),"")</f>
        <v>0.5</v>
      </c>
      <c r="H48" s="82" t="str">
        <f>IFERROR(INDEX(tbMoves!I:I,MATCH(ROWS(tbMoves!$1:46),tbMoves!M:M,0)),"")</f>
        <v>N/A</v>
      </c>
      <c r="I48" s="82" t="str">
        <f>IFERROR(INDEX(tbMoves!J:J,MATCH(ROWS(tbMoves!$1:46),tbMoves!M:M,0)),"")</f>
        <v>N/A</v>
      </c>
      <c r="J48" s="82" t="b">
        <f>IFERROR(INDEX(tbMoves!K:K,MATCH(ROWS(tbMoves!$1:46),tbMoves!M:M,0)),"")</f>
        <v>1</v>
      </c>
      <c r="K48" s="82" t="b">
        <f>IFERROR(INDEX(tbMoves!L:L,MATCH(ROWS(tbMoves!$1:46),tbMoves!M:M,0)),"")</f>
        <v>0</v>
      </c>
      <c r="L48" s="3"/>
    </row>
    <row r="49" spans="1:12" x14ac:dyDescent="0.25">
      <c r="A49" s="81" t="str">
        <f>IFERROR(INDEX(tbMoves!B:B,MATCH(ROWS(tbMoves!$1:47),tbMoves!M:M,0)),"")</f>
        <v>Demon Flurry Rush (L2)</v>
      </c>
      <c r="B49" s="82" t="str">
        <f>IFERROR(INDEX(tbMoves!C:C,MATCH(ROWS(tbMoves!$1:47),tbMoves!M:M,0)),"")</f>
        <v>Sever</v>
      </c>
      <c r="C49" s="82">
        <f>IFERROR(INDEX(tbMoves!D:D,MATCH(ROWS(tbMoves!$1:47),tbMoves!M:M,0)),"")</f>
        <v>4</v>
      </c>
      <c r="D49" s="82">
        <f>IFERROR(INDEX(tbMoves!E:E,MATCH(ROWS(tbMoves!$1:47),tbMoves!M:M,0)),"")</f>
        <v>0</v>
      </c>
      <c r="E49" s="82">
        <f>IFERROR(INDEX(tbMoves!F:F,MATCH(ROWS(tbMoves!$1:47),tbMoves!M:M,0)),"")</f>
        <v>1</v>
      </c>
      <c r="F49" s="82">
        <f>IFERROR(INDEX(tbMoves!G:G,MATCH(ROWS(tbMoves!$1:47),tbMoves!M:M,0)),"")</f>
        <v>0.6</v>
      </c>
      <c r="G49" s="82">
        <f>IFERROR(INDEX(tbMoves!H:H,MATCH(ROWS(tbMoves!$1:47),tbMoves!M:M,0)),"")</f>
        <v>0.5</v>
      </c>
      <c r="H49" s="82" t="str">
        <f>IFERROR(INDEX(tbMoves!I:I,MATCH(ROWS(tbMoves!$1:47),tbMoves!M:M,0)),"")</f>
        <v>N/A</v>
      </c>
      <c r="I49" s="82" t="str">
        <f>IFERROR(INDEX(tbMoves!J:J,MATCH(ROWS(tbMoves!$1:47),tbMoves!M:M,0)),"")</f>
        <v>N/A</v>
      </c>
      <c r="J49" s="82" t="b">
        <f>IFERROR(INDEX(tbMoves!K:K,MATCH(ROWS(tbMoves!$1:47),tbMoves!M:M,0)),"")</f>
        <v>1</v>
      </c>
      <c r="K49" s="82" t="b">
        <f>IFERROR(INDEX(tbMoves!L:L,MATCH(ROWS(tbMoves!$1:47),tbMoves!M:M,0)),"")</f>
        <v>0</v>
      </c>
      <c r="L49" s="3"/>
    </row>
    <row r="50" spans="1:12" x14ac:dyDescent="0.25">
      <c r="A50" s="81" t="str">
        <f>IFERROR(INDEX(tbMoves!B:B,MATCH(ROWS(tbMoves!$1:48),tbMoves!M:M,0)),"")</f>
        <v>Demon Flurry Rush (L3)</v>
      </c>
      <c r="B50" s="82" t="str">
        <f>IFERROR(INDEX(tbMoves!C:C,MATCH(ROWS(tbMoves!$1:48),tbMoves!M:M,0)),"")</f>
        <v>Sever</v>
      </c>
      <c r="C50" s="82">
        <f>IFERROR(INDEX(tbMoves!D:D,MATCH(ROWS(tbMoves!$1:48),tbMoves!M:M,0)),"")</f>
        <v>8</v>
      </c>
      <c r="D50" s="82">
        <f>IFERROR(INDEX(tbMoves!E:E,MATCH(ROWS(tbMoves!$1:48),tbMoves!M:M,0)),"")</f>
        <v>0</v>
      </c>
      <c r="E50" s="82">
        <f>IFERROR(INDEX(tbMoves!F:F,MATCH(ROWS(tbMoves!$1:48),tbMoves!M:M,0)),"")</f>
        <v>1</v>
      </c>
      <c r="F50" s="82">
        <f>IFERROR(INDEX(tbMoves!G:G,MATCH(ROWS(tbMoves!$1:48),tbMoves!M:M,0)),"")</f>
        <v>1</v>
      </c>
      <c r="G50" s="82">
        <f>IFERROR(INDEX(tbMoves!H:H,MATCH(ROWS(tbMoves!$1:48),tbMoves!M:M,0)),"")</f>
        <v>0.8</v>
      </c>
      <c r="H50" s="82" t="str">
        <f>IFERROR(INDEX(tbMoves!I:I,MATCH(ROWS(tbMoves!$1:48),tbMoves!M:M,0)),"")</f>
        <v>N/A</v>
      </c>
      <c r="I50" s="82" t="str">
        <f>IFERROR(INDEX(tbMoves!J:J,MATCH(ROWS(tbMoves!$1:48),tbMoves!M:M,0)),"")</f>
        <v>N/A</v>
      </c>
      <c r="J50" s="82" t="b">
        <f>IFERROR(INDEX(tbMoves!K:K,MATCH(ROWS(tbMoves!$1:48),tbMoves!M:M,0)),"")</f>
        <v>1</v>
      </c>
      <c r="K50" s="82" t="b">
        <f>IFERROR(INDEX(tbMoves!L:L,MATCH(ROWS(tbMoves!$1:48),tbMoves!M:M,0)),"")</f>
        <v>0</v>
      </c>
      <c r="L50" s="3"/>
    </row>
    <row r="51" spans="1:12" x14ac:dyDescent="0.25">
      <c r="A51" s="81" t="str">
        <f>IFERROR(INDEX(tbMoves!B:B,MATCH(ROWS(tbMoves!$1:49),tbMoves!M:M,0)),"")</f>
        <v>Demon Flurry Rush (R1)</v>
      </c>
      <c r="B51" s="82" t="str">
        <f>IFERROR(INDEX(tbMoves!C:C,MATCH(ROWS(tbMoves!$1:49),tbMoves!M:M,0)),"")</f>
        <v>Sever</v>
      </c>
      <c r="C51" s="82">
        <f>IFERROR(INDEX(tbMoves!D:D,MATCH(ROWS(tbMoves!$1:49),tbMoves!M:M,0)),"")</f>
        <v>5</v>
      </c>
      <c r="D51" s="82">
        <f>IFERROR(INDEX(tbMoves!E:E,MATCH(ROWS(tbMoves!$1:49),tbMoves!M:M,0)),"")</f>
        <v>0</v>
      </c>
      <c r="E51" s="82">
        <f>IFERROR(INDEX(tbMoves!F:F,MATCH(ROWS(tbMoves!$1:49),tbMoves!M:M,0)),"")</f>
        <v>1</v>
      </c>
      <c r="F51" s="82">
        <f>IFERROR(INDEX(tbMoves!G:G,MATCH(ROWS(tbMoves!$1:49),tbMoves!M:M,0)),"")</f>
        <v>0.6</v>
      </c>
      <c r="G51" s="82">
        <f>IFERROR(INDEX(tbMoves!H:H,MATCH(ROWS(tbMoves!$1:49),tbMoves!M:M,0)),"")</f>
        <v>0.5</v>
      </c>
      <c r="H51" s="82" t="str">
        <f>IFERROR(INDEX(tbMoves!I:I,MATCH(ROWS(tbMoves!$1:49),tbMoves!M:M,0)),"")</f>
        <v>N/A</v>
      </c>
      <c r="I51" s="82" t="str">
        <f>IFERROR(INDEX(tbMoves!J:J,MATCH(ROWS(tbMoves!$1:49),tbMoves!M:M,0)),"")</f>
        <v>N/A</v>
      </c>
      <c r="J51" s="82" t="b">
        <f>IFERROR(INDEX(tbMoves!K:K,MATCH(ROWS(tbMoves!$1:49),tbMoves!M:M,0)),"")</f>
        <v>1</v>
      </c>
      <c r="K51" s="82" t="b">
        <f>IFERROR(INDEX(tbMoves!L:L,MATCH(ROWS(tbMoves!$1:49),tbMoves!M:M,0)),"")</f>
        <v>0</v>
      </c>
      <c r="L51" s="3"/>
    </row>
    <row r="52" spans="1:12" x14ac:dyDescent="0.25">
      <c r="A52" s="81" t="str">
        <f>IFERROR(INDEX(tbMoves!B:B,MATCH(ROWS(tbMoves!$1:50),tbMoves!M:M,0)),"")</f>
        <v>Demon Flurry Rush (R2)</v>
      </c>
      <c r="B52" s="82" t="str">
        <f>IFERROR(INDEX(tbMoves!C:C,MATCH(ROWS(tbMoves!$1:50),tbMoves!M:M,0)),"")</f>
        <v>Sever</v>
      </c>
      <c r="C52" s="82">
        <f>IFERROR(INDEX(tbMoves!D:D,MATCH(ROWS(tbMoves!$1:50),tbMoves!M:M,0)),"")</f>
        <v>4</v>
      </c>
      <c r="D52" s="82">
        <f>IFERROR(INDEX(tbMoves!E:E,MATCH(ROWS(tbMoves!$1:50),tbMoves!M:M,0)),"")</f>
        <v>0</v>
      </c>
      <c r="E52" s="82">
        <f>IFERROR(INDEX(tbMoves!F:F,MATCH(ROWS(tbMoves!$1:50),tbMoves!M:M,0)),"")</f>
        <v>1</v>
      </c>
      <c r="F52" s="82">
        <f>IFERROR(INDEX(tbMoves!G:G,MATCH(ROWS(tbMoves!$1:50),tbMoves!M:M,0)),"")</f>
        <v>0.6</v>
      </c>
      <c r="G52" s="82">
        <f>IFERROR(INDEX(tbMoves!H:H,MATCH(ROWS(tbMoves!$1:50),tbMoves!M:M,0)),"")</f>
        <v>0.5</v>
      </c>
      <c r="H52" s="82" t="str">
        <f>IFERROR(INDEX(tbMoves!I:I,MATCH(ROWS(tbMoves!$1:50),tbMoves!M:M,0)),"")</f>
        <v>N/A</v>
      </c>
      <c r="I52" s="82" t="str">
        <f>IFERROR(INDEX(tbMoves!J:J,MATCH(ROWS(tbMoves!$1:50),tbMoves!M:M,0)),"")</f>
        <v>N/A</v>
      </c>
      <c r="J52" s="82" t="b">
        <f>IFERROR(INDEX(tbMoves!K:K,MATCH(ROWS(tbMoves!$1:50),tbMoves!M:M,0)),"")</f>
        <v>1</v>
      </c>
      <c r="K52" s="82" t="b">
        <f>IFERROR(INDEX(tbMoves!L:L,MATCH(ROWS(tbMoves!$1:50),tbMoves!M:M,0)),"")</f>
        <v>0</v>
      </c>
      <c r="L52" s="3"/>
    </row>
    <row r="53" spans="1:12" x14ac:dyDescent="0.25">
      <c r="A53" s="81" t="str">
        <f>IFERROR(INDEX(tbMoves!B:B,MATCH(ROWS(tbMoves!$1:51),tbMoves!M:M,0)),"")</f>
        <v>Demon Flurry Rush (R3)</v>
      </c>
      <c r="B53" s="82" t="str">
        <f>IFERROR(INDEX(tbMoves!C:C,MATCH(ROWS(tbMoves!$1:51),tbMoves!M:M,0)),"")</f>
        <v>Sever</v>
      </c>
      <c r="C53" s="82">
        <f>IFERROR(INDEX(tbMoves!D:D,MATCH(ROWS(tbMoves!$1:51),tbMoves!M:M,0)),"")</f>
        <v>8</v>
      </c>
      <c r="D53" s="82">
        <f>IFERROR(INDEX(tbMoves!E:E,MATCH(ROWS(tbMoves!$1:51),tbMoves!M:M,0)),"")</f>
        <v>0</v>
      </c>
      <c r="E53" s="82">
        <f>IFERROR(INDEX(tbMoves!F:F,MATCH(ROWS(tbMoves!$1:51),tbMoves!M:M,0)),"")</f>
        <v>1</v>
      </c>
      <c r="F53" s="82">
        <f>IFERROR(INDEX(tbMoves!G:G,MATCH(ROWS(tbMoves!$1:51),tbMoves!M:M,0)),"")</f>
        <v>1</v>
      </c>
      <c r="G53" s="82">
        <f>IFERROR(INDEX(tbMoves!H:H,MATCH(ROWS(tbMoves!$1:51),tbMoves!M:M,0)),"")</f>
        <v>0.8</v>
      </c>
      <c r="H53" s="82" t="str">
        <f>IFERROR(INDEX(tbMoves!I:I,MATCH(ROWS(tbMoves!$1:51),tbMoves!M:M,0)),"")</f>
        <v>N/A</v>
      </c>
      <c r="I53" s="82" t="str">
        <f>IFERROR(INDEX(tbMoves!J:J,MATCH(ROWS(tbMoves!$1:51),tbMoves!M:M,0)),"")</f>
        <v>N/A</v>
      </c>
      <c r="J53" s="82" t="b">
        <f>IFERROR(INDEX(tbMoves!K:K,MATCH(ROWS(tbMoves!$1:51),tbMoves!M:M,0)),"")</f>
        <v>1</v>
      </c>
      <c r="K53" s="82" t="b">
        <f>IFERROR(INDEX(tbMoves!L:L,MATCH(ROWS(tbMoves!$1:51),tbMoves!M:M,0)),"")</f>
        <v>0</v>
      </c>
      <c r="L53" s="3"/>
    </row>
    <row r="54" spans="1:12" x14ac:dyDescent="0.25">
      <c r="A54" s="81" t="str">
        <f>IFERROR(INDEX(tbMoves!B:B,MATCH(ROWS(tbMoves!$1:52),tbMoves!M:M,0)),"")</f>
        <v>Rising Slash (After Demon Flurry Rush)</v>
      </c>
      <c r="B54" s="82" t="str">
        <f>IFERROR(INDEX(tbMoves!C:C,MATCH(ROWS(tbMoves!$1:52),tbMoves!M:M,0)),"")</f>
        <v>Sever</v>
      </c>
      <c r="C54" s="82">
        <f>IFERROR(INDEX(tbMoves!D:D,MATCH(ROWS(tbMoves!$1:52),tbMoves!M:M,0)),"")</f>
        <v>8</v>
      </c>
      <c r="D54" s="82">
        <f>IFERROR(INDEX(tbMoves!E:E,MATCH(ROWS(tbMoves!$1:52),tbMoves!M:M,0)),"")</f>
        <v>0</v>
      </c>
      <c r="E54" s="82">
        <f>IFERROR(INDEX(tbMoves!F:F,MATCH(ROWS(tbMoves!$1:52),tbMoves!M:M,0)),"")</f>
        <v>1</v>
      </c>
      <c r="F54" s="82">
        <f>IFERROR(INDEX(tbMoves!G:G,MATCH(ROWS(tbMoves!$1:52),tbMoves!M:M,0)),"")</f>
        <v>0.8</v>
      </c>
      <c r="G54" s="82">
        <f>IFERROR(INDEX(tbMoves!H:H,MATCH(ROWS(tbMoves!$1:52),tbMoves!M:M,0)),"")</f>
        <v>0.6</v>
      </c>
      <c r="H54" s="82" t="str">
        <f>IFERROR(INDEX(tbMoves!I:I,MATCH(ROWS(tbMoves!$1:52),tbMoves!M:M,0)),"")</f>
        <v>N/A</v>
      </c>
      <c r="I54" s="82" t="str">
        <f>IFERROR(INDEX(tbMoves!J:J,MATCH(ROWS(tbMoves!$1:52),tbMoves!M:M,0)),"")</f>
        <v>N/A</v>
      </c>
      <c r="J54" s="82" t="b">
        <f>IFERROR(INDEX(tbMoves!K:K,MATCH(ROWS(tbMoves!$1:52),tbMoves!M:M,0)),"")</f>
        <v>1</v>
      </c>
      <c r="K54" s="82" t="b">
        <f>IFERROR(INDEX(tbMoves!L:L,MATCH(ROWS(tbMoves!$1:52),tbMoves!M:M,0)),"")</f>
        <v>0</v>
      </c>
      <c r="L54" s="3"/>
    </row>
    <row r="55" spans="1:12" x14ac:dyDescent="0.25">
      <c r="A55" s="81" t="str">
        <f>IFERROR(INDEX(tbMoves!B:B,MATCH(ROWS(tbMoves!$1:53),tbMoves!M:M,0)),"")</f>
        <v>Blade Dance (L1)</v>
      </c>
      <c r="B55" s="82" t="str">
        <f>IFERROR(INDEX(tbMoves!C:C,MATCH(ROWS(tbMoves!$1:53),tbMoves!M:M,0)),"")</f>
        <v>Sever</v>
      </c>
      <c r="C55" s="82">
        <f>IFERROR(INDEX(tbMoves!D:D,MATCH(ROWS(tbMoves!$1:53),tbMoves!M:M,0)),"")</f>
        <v>17</v>
      </c>
      <c r="D55" s="82">
        <f>IFERROR(INDEX(tbMoves!E:E,MATCH(ROWS(tbMoves!$1:53),tbMoves!M:M,0)),"")</f>
        <v>0</v>
      </c>
      <c r="E55" s="82">
        <f>IFERROR(INDEX(tbMoves!F:F,MATCH(ROWS(tbMoves!$1:53),tbMoves!M:M,0)),"")</f>
        <v>1</v>
      </c>
      <c r="F55" s="82">
        <f>IFERROR(INDEX(tbMoves!G:G,MATCH(ROWS(tbMoves!$1:53),tbMoves!M:M,0)),"")</f>
        <v>1</v>
      </c>
      <c r="G55" s="82">
        <f>IFERROR(INDEX(tbMoves!H:H,MATCH(ROWS(tbMoves!$1:53),tbMoves!M:M,0)),"")</f>
        <v>0.8</v>
      </c>
      <c r="H55" s="82" t="str">
        <f>IFERROR(INDEX(tbMoves!I:I,MATCH(ROWS(tbMoves!$1:53),tbMoves!M:M,0)),"")</f>
        <v>N/A</v>
      </c>
      <c r="I55" s="82" t="str">
        <f>IFERROR(INDEX(tbMoves!J:J,MATCH(ROWS(tbMoves!$1:53),tbMoves!M:M,0)),"")</f>
        <v>N/A</v>
      </c>
      <c r="J55" s="82" t="b">
        <f>IFERROR(INDEX(tbMoves!K:K,MATCH(ROWS(tbMoves!$1:53),tbMoves!M:M,0)),"")</f>
        <v>1</v>
      </c>
      <c r="K55" s="82" t="b">
        <f>IFERROR(INDEX(tbMoves!L:L,MATCH(ROWS(tbMoves!$1:53),tbMoves!M:M,0)),"")</f>
        <v>0</v>
      </c>
      <c r="L55" s="3"/>
    </row>
    <row r="56" spans="1:12" x14ac:dyDescent="0.25">
      <c r="A56" s="81" t="str">
        <f>IFERROR(INDEX(tbMoves!B:B,MATCH(ROWS(tbMoves!$1:54),tbMoves!M:M,0)),"")</f>
        <v>Blade Dance (R1)</v>
      </c>
      <c r="B56" s="82" t="str">
        <f>IFERROR(INDEX(tbMoves!C:C,MATCH(ROWS(tbMoves!$1:54),tbMoves!M:M,0)),"")</f>
        <v>Sever</v>
      </c>
      <c r="C56" s="82">
        <f>IFERROR(INDEX(tbMoves!D:D,MATCH(ROWS(tbMoves!$1:54),tbMoves!M:M,0)),"")</f>
        <v>17</v>
      </c>
      <c r="D56" s="82">
        <f>IFERROR(INDEX(tbMoves!E:E,MATCH(ROWS(tbMoves!$1:54),tbMoves!M:M,0)),"")</f>
        <v>0</v>
      </c>
      <c r="E56" s="82">
        <f>IFERROR(INDEX(tbMoves!F:F,MATCH(ROWS(tbMoves!$1:54),tbMoves!M:M,0)),"")</f>
        <v>1</v>
      </c>
      <c r="F56" s="82">
        <f>IFERROR(INDEX(tbMoves!G:G,MATCH(ROWS(tbMoves!$1:54),tbMoves!M:M,0)),"")</f>
        <v>1</v>
      </c>
      <c r="G56" s="82">
        <f>IFERROR(INDEX(tbMoves!H:H,MATCH(ROWS(tbMoves!$1:54),tbMoves!M:M,0)),"")</f>
        <v>0.8</v>
      </c>
      <c r="H56" s="82" t="str">
        <f>IFERROR(INDEX(tbMoves!I:I,MATCH(ROWS(tbMoves!$1:54),tbMoves!M:M,0)),"")</f>
        <v>N/A</v>
      </c>
      <c r="I56" s="82" t="str">
        <f>IFERROR(INDEX(tbMoves!J:J,MATCH(ROWS(tbMoves!$1:54),tbMoves!M:M,0)),"")</f>
        <v>N/A</v>
      </c>
      <c r="J56" s="82" t="b">
        <f>IFERROR(INDEX(tbMoves!K:K,MATCH(ROWS(tbMoves!$1:54),tbMoves!M:M,0)),"")</f>
        <v>1</v>
      </c>
      <c r="K56" s="82" t="b">
        <f>IFERROR(INDEX(tbMoves!L:L,MATCH(ROWS(tbMoves!$1:54),tbMoves!M:M,0)),"")</f>
        <v>0</v>
      </c>
      <c r="L56" s="3"/>
    </row>
    <row r="57" spans="1:12" x14ac:dyDescent="0.25">
      <c r="A57" s="81" t="str">
        <f>IFERROR(INDEX(tbMoves!B:B,MATCH(ROWS(tbMoves!$1:55),tbMoves!M:M,0)),"")</f>
        <v>Blade Dance (L2)</v>
      </c>
      <c r="B57" s="82" t="str">
        <f>IFERROR(INDEX(tbMoves!C:C,MATCH(ROWS(tbMoves!$1:55),tbMoves!M:M,0)),"")</f>
        <v>Sever</v>
      </c>
      <c r="C57" s="82">
        <f>IFERROR(INDEX(tbMoves!D:D,MATCH(ROWS(tbMoves!$1:55),tbMoves!M:M,0)),"")</f>
        <v>6</v>
      </c>
      <c r="D57" s="82">
        <f>IFERROR(INDEX(tbMoves!E:E,MATCH(ROWS(tbMoves!$1:55),tbMoves!M:M,0)),"")</f>
        <v>0</v>
      </c>
      <c r="E57" s="82">
        <f>IFERROR(INDEX(tbMoves!F:F,MATCH(ROWS(tbMoves!$1:55),tbMoves!M:M,0)),"")</f>
        <v>1</v>
      </c>
      <c r="F57" s="82">
        <f>IFERROR(INDEX(tbMoves!G:G,MATCH(ROWS(tbMoves!$1:55),tbMoves!M:M,0)),"")</f>
        <v>0.8</v>
      </c>
      <c r="G57" s="82">
        <f>IFERROR(INDEX(tbMoves!H:H,MATCH(ROWS(tbMoves!$1:55),tbMoves!M:M,0)),"")</f>
        <v>0.5</v>
      </c>
      <c r="H57" s="82" t="str">
        <f>IFERROR(INDEX(tbMoves!I:I,MATCH(ROWS(tbMoves!$1:55),tbMoves!M:M,0)),"")</f>
        <v>N/A</v>
      </c>
      <c r="I57" s="82" t="str">
        <f>IFERROR(INDEX(tbMoves!J:J,MATCH(ROWS(tbMoves!$1:55),tbMoves!M:M,0)),"")</f>
        <v>N/A</v>
      </c>
      <c r="J57" s="82" t="b">
        <f>IFERROR(INDEX(tbMoves!K:K,MATCH(ROWS(tbMoves!$1:55),tbMoves!M:M,0)),"")</f>
        <v>1</v>
      </c>
      <c r="K57" s="82" t="b">
        <f>IFERROR(INDEX(tbMoves!L:L,MATCH(ROWS(tbMoves!$1:55),tbMoves!M:M,0)),"")</f>
        <v>0</v>
      </c>
      <c r="L57" s="3"/>
    </row>
    <row r="58" spans="1:12" x14ac:dyDescent="0.25">
      <c r="A58" s="81" t="str">
        <f>IFERROR(INDEX(tbMoves!B:B,MATCH(ROWS(tbMoves!$1:56),tbMoves!M:M,0)),"")</f>
        <v>Blade Dance (R2)</v>
      </c>
      <c r="B58" s="82" t="str">
        <f>IFERROR(INDEX(tbMoves!C:C,MATCH(ROWS(tbMoves!$1:56),tbMoves!M:M,0)),"")</f>
        <v>Sever</v>
      </c>
      <c r="C58" s="82">
        <f>IFERROR(INDEX(tbMoves!D:D,MATCH(ROWS(tbMoves!$1:56),tbMoves!M:M,0)),"")</f>
        <v>6</v>
      </c>
      <c r="D58" s="82">
        <f>IFERROR(INDEX(tbMoves!E:E,MATCH(ROWS(tbMoves!$1:56),tbMoves!M:M,0)),"")</f>
        <v>0</v>
      </c>
      <c r="E58" s="82">
        <f>IFERROR(INDEX(tbMoves!F:F,MATCH(ROWS(tbMoves!$1:56),tbMoves!M:M,0)),"")</f>
        <v>1</v>
      </c>
      <c r="F58" s="82">
        <f>IFERROR(INDEX(tbMoves!G:G,MATCH(ROWS(tbMoves!$1:56),tbMoves!M:M,0)),"")</f>
        <v>0.8</v>
      </c>
      <c r="G58" s="82">
        <f>IFERROR(INDEX(tbMoves!H:H,MATCH(ROWS(tbMoves!$1:56),tbMoves!M:M,0)),"")</f>
        <v>0.5</v>
      </c>
      <c r="H58" s="82" t="str">
        <f>IFERROR(INDEX(tbMoves!I:I,MATCH(ROWS(tbMoves!$1:56),tbMoves!M:M,0)),"")</f>
        <v>N/A</v>
      </c>
      <c r="I58" s="82" t="str">
        <f>IFERROR(INDEX(tbMoves!J:J,MATCH(ROWS(tbMoves!$1:56),tbMoves!M:M,0)),"")</f>
        <v>N/A</v>
      </c>
      <c r="J58" s="82" t="b">
        <f>IFERROR(INDEX(tbMoves!K:K,MATCH(ROWS(tbMoves!$1:56),tbMoves!M:M,0)),"")</f>
        <v>1</v>
      </c>
      <c r="K58" s="82" t="b">
        <f>IFERROR(INDEX(tbMoves!L:L,MATCH(ROWS(tbMoves!$1:56),tbMoves!M:M,0)),"")</f>
        <v>0</v>
      </c>
      <c r="L58" s="3"/>
    </row>
    <row r="59" spans="1:12" x14ac:dyDescent="0.25">
      <c r="A59" s="81" t="str">
        <f>IFERROR(INDEX(tbMoves!B:B,MATCH(ROWS(tbMoves!$1:57),tbMoves!M:M,0)),"")</f>
        <v>Blade Dance (L3)</v>
      </c>
      <c r="B59" s="82" t="str">
        <f>IFERROR(INDEX(tbMoves!C:C,MATCH(ROWS(tbMoves!$1:57),tbMoves!M:M,0)),"")</f>
        <v>Sever</v>
      </c>
      <c r="C59" s="82">
        <f>IFERROR(INDEX(tbMoves!D:D,MATCH(ROWS(tbMoves!$1:57),tbMoves!M:M,0)),"")</f>
        <v>10</v>
      </c>
      <c r="D59" s="82">
        <f>IFERROR(INDEX(tbMoves!E:E,MATCH(ROWS(tbMoves!$1:57),tbMoves!M:M,0)),"")</f>
        <v>0</v>
      </c>
      <c r="E59" s="82">
        <f>IFERROR(INDEX(tbMoves!F:F,MATCH(ROWS(tbMoves!$1:57),tbMoves!M:M,0)),"")</f>
        <v>1</v>
      </c>
      <c r="F59" s="82">
        <f>IFERROR(INDEX(tbMoves!G:G,MATCH(ROWS(tbMoves!$1:57),tbMoves!M:M,0)),"")</f>
        <v>0.8</v>
      </c>
      <c r="G59" s="82">
        <f>IFERROR(INDEX(tbMoves!H:H,MATCH(ROWS(tbMoves!$1:57),tbMoves!M:M,0)),"")</f>
        <v>0.5</v>
      </c>
      <c r="H59" s="82" t="str">
        <f>IFERROR(INDEX(tbMoves!I:I,MATCH(ROWS(tbMoves!$1:57),tbMoves!M:M,0)),"")</f>
        <v>N/A</v>
      </c>
      <c r="I59" s="82" t="str">
        <f>IFERROR(INDEX(tbMoves!J:J,MATCH(ROWS(tbMoves!$1:57),tbMoves!M:M,0)),"")</f>
        <v>N/A</v>
      </c>
      <c r="J59" s="82" t="b">
        <f>IFERROR(INDEX(tbMoves!K:K,MATCH(ROWS(tbMoves!$1:57),tbMoves!M:M,0)),"")</f>
        <v>1</v>
      </c>
      <c r="K59" s="82" t="b">
        <f>IFERROR(INDEX(tbMoves!L:L,MATCH(ROWS(tbMoves!$1:57),tbMoves!M:M,0)),"")</f>
        <v>0</v>
      </c>
      <c r="L59" s="3"/>
    </row>
    <row r="60" spans="1:12" x14ac:dyDescent="0.25">
      <c r="A60" s="81" t="str">
        <f>IFERROR(INDEX(tbMoves!B:B,MATCH(ROWS(tbMoves!$1:58),tbMoves!M:M,0)),"")</f>
        <v>Blade Dance (R3)</v>
      </c>
      <c r="B60" s="82" t="str">
        <f>IFERROR(INDEX(tbMoves!C:C,MATCH(ROWS(tbMoves!$1:58),tbMoves!M:M,0)),"")</f>
        <v>Sever</v>
      </c>
      <c r="C60" s="82">
        <f>IFERROR(INDEX(tbMoves!D:D,MATCH(ROWS(tbMoves!$1:58),tbMoves!M:M,0)),"")</f>
        <v>10</v>
      </c>
      <c r="D60" s="82">
        <f>IFERROR(INDEX(tbMoves!E:E,MATCH(ROWS(tbMoves!$1:58),tbMoves!M:M,0)),"")</f>
        <v>0</v>
      </c>
      <c r="E60" s="82">
        <f>IFERROR(INDEX(tbMoves!F:F,MATCH(ROWS(tbMoves!$1:58),tbMoves!M:M,0)),"")</f>
        <v>1</v>
      </c>
      <c r="F60" s="82">
        <f>IFERROR(INDEX(tbMoves!G:G,MATCH(ROWS(tbMoves!$1:58),tbMoves!M:M,0)),"")</f>
        <v>0.8</v>
      </c>
      <c r="G60" s="82">
        <f>IFERROR(INDEX(tbMoves!H:H,MATCH(ROWS(tbMoves!$1:58),tbMoves!M:M,0)),"")</f>
        <v>0.5</v>
      </c>
      <c r="H60" s="82" t="str">
        <f>IFERROR(INDEX(tbMoves!I:I,MATCH(ROWS(tbMoves!$1:58),tbMoves!M:M,0)),"")</f>
        <v>N/A</v>
      </c>
      <c r="I60" s="82" t="str">
        <f>IFERROR(INDEX(tbMoves!J:J,MATCH(ROWS(tbMoves!$1:58),tbMoves!M:M,0)),"")</f>
        <v>N/A</v>
      </c>
      <c r="J60" s="82" t="b">
        <f>IFERROR(INDEX(tbMoves!K:K,MATCH(ROWS(tbMoves!$1:58),tbMoves!M:M,0)),"")</f>
        <v>1</v>
      </c>
      <c r="K60" s="82" t="b">
        <f>IFERROR(INDEX(tbMoves!L:L,MATCH(ROWS(tbMoves!$1:58),tbMoves!M:M,0)),"")</f>
        <v>0</v>
      </c>
      <c r="L60" s="3"/>
    </row>
    <row r="61" spans="1:12" x14ac:dyDescent="0.25">
      <c r="A61" s="81" t="str">
        <f>IFERROR(INDEX(tbMoves!B:B,MATCH(ROWS(tbMoves!$1:59),tbMoves!M:M,0)),"")</f>
        <v>Blade Dance (R4)</v>
      </c>
      <c r="B61" s="82" t="str">
        <f>IFERROR(INDEX(tbMoves!C:C,MATCH(ROWS(tbMoves!$1:59),tbMoves!M:M,0)),"")</f>
        <v>Sever</v>
      </c>
      <c r="C61" s="82">
        <f>IFERROR(INDEX(tbMoves!D:D,MATCH(ROWS(tbMoves!$1:59),tbMoves!M:M,0)),"")</f>
        <v>9</v>
      </c>
      <c r="D61" s="82">
        <f>IFERROR(INDEX(tbMoves!E:E,MATCH(ROWS(tbMoves!$1:59),tbMoves!M:M,0)),"")</f>
        <v>0</v>
      </c>
      <c r="E61" s="82">
        <f>IFERROR(INDEX(tbMoves!F:F,MATCH(ROWS(tbMoves!$1:59),tbMoves!M:M,0)),"")</f>
        <v>1</v>
      </c>
      <c r="F61" s="82">
        <f>IFERROR(INDEX(tbMoves!G:G,MATCH(ROWS(tbMoves!$1:59),tbMoves!M:M,0)),"")</f>
        <v>0.8</v>
      </c>
      <c r="G61" s="82">
        <f>IFERROR(INDEX(tbMoves!H:H,MATCH(ROWS(tbMoves!$1:59),tbMoves!M:M,0)),"")</f>
        <v>0.5</v>
      </c>
      <c r="H61" s="82" t="str">
        <f>IFERROR(INDEX(tbMoves!I:I,MATCH(ROWS(tbMoves!$1:59),tbMoves!M:M,0)),"")</f>
        <v>N/A</v>
      </c>
      <c r="I61" s="82" t="str">
        <f>IFERROR(INDEX(tbMoves!J:J,MATCH(ROWS(tbMoves!$1:59),tbMoves!M:M,0)),"")</f>
        <v>N/A</v>
      </c>
      <c r="J61" s="82" t="b">
        <f>IFERROR(INDEX(tbMoves!K:K,MATCH(ROWS(tbMoves!$1:59),tbMoves!M:M,0)),"")</f>
        <v>1</v>
      </c>
      <c r="K61" s="82" t="b">
        <f>IFERROR(INDEX(tbMoves!L:L,MATCH(ROWS(tbMoves!$1:59),tbMoves!M:M,0)),"")</f>
        <v>0</v>
      </c>
      <c r="L61" s="3"/>
    </row>
    <row r="62" spans="1:12" x14ac:dyDescent="0.25">
      <c r="A62" s="81" t="str">
        <f>IFERROR(INDEX(tbMoves!B:B,MATCH(ROWS(tbMoves!$1:60),tbMoves!M:M,0)),"")</f>
        <v>Blade Dance (L4)</v>
      </c>
      <c r="B62" s="82" t="str">
        <f>IFERROR(INDEX(tbMoves!C:C,MATCH(ROWS(tbMoves!$1:60),tbMoves!M:M,0)),"")</f>
        <v>Sever</v>
      </c>
      <c r="C62" s="82">
        <f>IFERROR(INDEX(tbMoves!D:D,MATCH(ROWS(tbMoves!$1:60),tbMoves!M:M,0)),"")</f>
        <v>9</v>
      </c>
      <c r="D62" s="82">
        <f>IFERROR(INDEX(tbMoves!E:E,MATCH(ROWS(tbMoves!$1:60),tbMoves!M:M,0)),"")</f>
        <v>0</v>
      </c>
      <c r="E62" s="82">
        <f>IFERROR(INDEX(tbMoves!F:F,MATCH(ROWS(tbMoves!$1:60),tbMoves!M:M,0)),"")</f>
        <v>1</v>
      </c>
      <c r="F62" s="82">
        <f>IFERROR(INDEX(tbMoves!G:G,MATCH(ROWS(tbMoves!$1:60),tbMoves!M:M,0)),"")</f>
        <v>0.8</v>
      </c>
      <c r="G62" s="82">
        <f>IFERROR(INDEX(tbMoves!H:H,MATCH(ROWS(tbMoves!$1:60),tbMoves!M:M,0)),"")</f>
        <v>0.5</v>
      </c>
      <c r="H62" s="82" t="str">
        <f>IFERROR(INDEX(tbMoves!I:I,MATCH(ROWS(tbMoves!$1:60),tbMoves!M:M,0)),"")</f>
        <v>N/A</v>
      </c>
      <c r="I62" s="82" t="str">
        <f>IFERROR(INDEX(tbMoves!J:J,MATCH(ROWS(tbMoves!$1:60),tbMoves!M:M,0)),"")</f>
        <v>N/A</v>
      </c>
      <c r="J62" s="82" t="b">
        <f>IFERROR(INDEX(tbMoves!K:K,MATCH(ROWS(tbMoves!$1:60),tbMoves!M:M,0)),"")</f>
        <v>1</v>
      </c>
      <c r="K62" s="82" t="b">
        <f>IFERROR(INDEX(tbMoves!L:L,MATCH(ROWS(tbMoves!$1:60),tbMoves!M:M,0)),"")</f>
        <v>0</v>
      </c>
      <c r="L62" s="3"/>
    </row>
    <row r="63" spans="1:12" x14ac:dyDescent="0.25">
      <c r="A63" s="81" t="str">
        <f>IFERROR(INDEX(tbMoves!B:B,MATCH(ROWS(tbMoves!$1:61),tbMoves!M:M,0)),"")</f>
        <v>Blade Dance (R5)</v>
      </c>
      <c r="B63" s="82" t="str">
        <f>IFERROR(INDEX(tbMoves!C:C,MATCH(ROWS(tbMoves!$1:61),tbMoves!M:M,0)),"")</f>
        <v>Sever</v>
      </c>
      <c r="C63" s="82">
        <f>IFERROR(INDEX(tbMoves!D:D,MATCH(ROWS(tbMoves!$1:61),tbMoves!M:M,0)),"")</f>
        <v>11</v>
      </c>
      <c r="D63" s="82">
        <f>IFERROR(INDEX(tbMoves!E:E,MATCH(ROWS(tbMoves!$1:61),tbMoves!M:M,0)),"")</f>
        <v>0</v>
      </c>
      <c r="E63" s="82">
        <f>IFERROR(INDEX(tbMoves!F:F,MATCH(ROWS(tbMoves!$1:61),tbMoves!M:M,0)),"")</f>
        <v>1</v>
      </c>
      <c r="F63" s="82">
        <f>IFERROR(INDEX(tbMoves!G:G,MATCH(ROWS(tbMoves!$1:61),tbMoves!M:M,0)),"")</f>
        <v>0.8</v>
      </c>
      <c r="G63" s="82">
        <f>IFERROR(INDEX(tbMoves!H:H,MATCH(ROWS(tbMoves!$1:61),tbMoves!M:M,0)),"")</f>
        <v>0.6</v>
      </c>
      <c r="H63" s="82" t="str">
        <f>IFERROR(INDEX(tbMoves!I:I,MATCH(ROWS(tbMoves!$1:61),tbMoves!M:M,0)),"")</f>
        <v>N/A</v>
      </c>
      <c r="I63" s="82" t="str">
        <f>IFERROR(INDEX(tbMoves!J:J,MATCH(ROWS(tbMoves!$1:61),tbMoves!M:M,0)),"")</f>
        <v>N/A</v>
      </c>
      <c r="J63" s="82" t="b">
        <f>IFERROR(INDEX(tbMoves!K:K,MATCH(ROWS(tbMoves!$1:61),tbMoves!M:M,0)),"")</f>
        <v>1</v>
      </c>
      <c r="K63" s="82" t="b">
        <f>IFERROR(INDEX(tbMoves!L:L,MATCH(ROWS(tbMoves!$1:61),tbMoves!M:M,0)),"")</f>
        <v>0</v>
      </c>
      <c r="L63" s="3"/>
    </row>
    <row r="64" spans="1:12" x14ac:dyDescent="0.25">
      <c r="A64" s="81" t="str">
        <f>IFERROR(INDEX(tbMoves!B:B,MATCH(ROWS(tbMoves!$1:62),tbMoves!M:M,0)),"")</f>
        <v>Blade Dance (L5)</v>
      </c>
      <c r="B64" s="82" t="str">
        <f>IFERROR(INDEX(tbMoves!C:C,MATCH(ROWS(tbMoves!$1:62),tbMoves!M:M,0)),"")</f>
        <v>Sever</v>
      </c>
      <c r="C64" s="82">
        <f>IFERROR(INDEX(tbMoves!D:D,MATCH(ROWS(tbMoves!$1:62),tbMoves!M:M,0)),"")</f>
        <v>11</v>
      </c>
      <c r="D64" s="82">
        <f>IFERROR(INDEX(tbMoves!E:E,MATCH(ROWS(tbMoves!$1:62),tbMoves!M:M,0)),"")</f>
        <v>0</v>
      </c>
      <c r="E64" s="82">
        <f>IFERROR(INDEX(tbMoves!F:F,MATCH(ROWS(tbMoves!$1:62),tbMoves!M:M,0)),"")</f>
        <v>1</v>
      </c>
      <c r="F64" s="82">
        <f>IFERROR(INDEX(tbMoves!G:G,MATCH(ROWS(tbMoves!$1:62),tbMoves!M:M,0)),"")</f>
        <v>0.8</v>
      </c>
      <c r="G64" s="82">
        <f>IFERROR(INDEX(tbMoves!H:H,MATCH(ROWS(tbMoves!$1:62),tbMoves!M:M,0)),"")</f>
        <v>0.6</v>
      </c>
      <c r="H64" s="82" t="str">
        <f>IFERROR(INDEX(tbMoves!I:I,MATCH(ROWS(tbMoves!$1:62),tbMoves!M:M,0)),"")</f>
        <v>N/A</v>
      </c>
      <c r="I64" s="82" t="str">
        <f>IFERROR(INDEX(tbMoves!J:J,MATCH(ROWS(tbMoves!$1:62),tbMoves!M:M,0)),"")</f>
        <v>N/A</v>
      </c>
      <c r="J64" s="82" t="b">
        <f>IFERROR(INDEX(tbMoves!K:K,MATCH(ROWS(tbMoves!$1:62),tbMoves!M:M,0)),"")</f>
        <v>1</v>
      </c>
      <c r="K64" s="82" t="b">
        <f>IFERROR(INDEX(tbMoves!L:L,MATCH(ROWS(tbMoves!$1:62),tbMoves!M:M,0)),"")</f>
        <v>0</v>
      </c>
      <c r="L64" s="3"/>
    </row>
    <row r="65" spans="1:12" x14ac:dyDescent="0.25">
      <c r="A65" s="81" t="str">
        <f>IFERROR(INDEX(tbMoves!B:B,MATCH(ROWS(tbMoves!$1:63),tbMoves!M:M,0)),"")</f>
        <v>Blade Dance (L6)</v>
      </c>
      <c r="B65" s="82" t="str">
        <f>IFERROR(INDEX(tbMoves!C:C,MATCH(ROWS(tbMoves!$1:63),tbMoves!M:M,0)),"")</f>
        <v>Sever</v>
      </c>
      <c r="C65" s="82">
        <f>IFERROR(INDEX(tbMoves!D:D,MATCH(ROWS(tbMoves!$1:63),tbMoves!M:M,0)),"")</f>
        <v>9</v>
      </c>
      <c r="D65" s="82">
        <f>IFERROR(INDEX(tbMoves!E:E,MATCH(ROWS(tbMoves!$1:63),tbMoves!M:M,0)),"")</f>
        <v>0</v>
      </c>
      <c r="E65" s="82">
        <f>IFERROR(INDEX(tbMoves!F:F,MATCH(ROWS(tbMoves!$1:63),tbMoves!M:M,0)),"")</f>
        <v>1</v>
      </c>
      <c r="F65" s="82">
        <f>IFERROR(INDEX(tbMoves!G:G,MATCH(ROWS(tbMoves!$1:63),tbMoves!M:M,0)),"")</f>
        <v>0.8</v>
      </c>
      <c r="G65" s="82">
        <f>IFERROR(INDEX(tbMoves!H:H,MATCH(ROWS(tbMoves!$1:63),tbMoves!M:M,0)),"")</f>
        <v>0.6</v>
      </c>
      <c r="H65" s="82" t="str">
        <f>IFERROR(INDEX(tbMoves!I:I,MATCH(ROWS(tbMoves!$1:63),tbMoves!M:M,0)),"")</f>
        <v>N/A</v>
      </c>
      <c r="I65" s="82" t="str">
        <f>IFERROR(INDEX(tbMoves!J:J,MATCH(ROWS(tbMoves!$1:63),tbMoves!M:M,0)),"")</f>
        <v>N/A</v>
      </c>
      <c r="J65" s="82" t="b">
        <f>IFERROR(INDEX(tbMoves!K:K,MATCH(ROWS(tbMoves!$1:63),tbMoves!M:M,0)),"")</f>
        <v>1</v>
      </c>
      <c r="K65" s="82" t="b">
        <f>IFERROR(INDEX(tbMoves!L:L,MATCH(ROWS(tbMoves!$1:63),tbMoves!M:M,0)),"")</f>
        <v>0</v>
      </c>
      <c r="L65" s="3"/>
    </row>
    <row r="66" spans="1:12" x14ac:dyDescent="0.25">
      <c r="A66" s="81" t="str">
        <f>IFERROR(INDEX(tbMoves!B:B,MATCH(ROWS(tbMoves!$1:64),tbMoves!M:M,0)),"")</f>
        <v>Blade Dance (R6)</v>
      </c>
      <c r="B66" s="82" t="str">
        <f>IFERROR(INDEX(tbMoves!C:C,MATCH(ROWS(tbMoves!$1:64),tbMoves!M:M,0)),"")</f>
        <v>Sever</v>
      </c>
      <c r="C66" s="82">
        <f>IFERROR(INDEX(tbMoves!D:D,MATCH(ROWS(tbMoves!$1:64),tbMoves!M:M,0)),"")</f>
        <v>9</v>
      </c>
      <c r="D66" s="82">
        <f>IFERROR(INDEX(tbMoves!E:E,MATCH(ROWS(tbMoves!$1:64),tbMoves!M:M,0)),"")</f>
        <v>0</v>
      </c>
      <c r="E66" s="82">
        <f>IFERROR(INDEX(tbMoves!F:F,MATCH(ROWS(tbMoves!$1:64),tbMoves!M:M,0)),"")</f>
        <v>1</v>
      </c>
      <c r="F66" s="82">
        <f>IFERROR(INDEX(tbMoves!G:G,MATCH(ROWS(tbMoves!$1:64),tbMoves!M:M,0)),"")</f>
        <v>0.8</v>
      </c>
      <c r="G66" s="82">
        <f>IFERROR(INDEX(tbMoves!H:H,MATCH(ROWS(tbMoves!$1:64),tbMoves!M:M,0)),"")</f>
        <v>0.6</v>
      </c>
      <c r="H66" s="82" t="str">
        <f>IFERROR(INDEX(tbMoves!I:I,MATCH(ROWS(tbMoves!$1:64),tbMoves!M:M,0)),"")</f>
        <v>N/A</v>
      </c>
      <c r="I66" s="82" t="str">
        <f>IFERROR(INDEX(tbMoves!J:J,MATCH(ROWS(tbMoves!$1:64),tbMoves!M:M,0)),"")</f>
        <v>N/A</v>
      </c>
      <c r="J66" s="82" t="b">
        <f>IFERROR(INDEX(tbMoves!K:K,MATCH(ROWS(tbMoves!$1:64),tbMoves!M:M,0)),"")</f>
        <v>1</v>
      </c>
      <c r="K66" s="82" t="b">
        <f>IFERROR(INDEX(tbMoves!L:L,MATCH(ROWS(tbMoves!$1:64),tbMoves!M:M,0)),"")</f>
        <v>0</v>
      </c>
      <c r="L66" s="3"/>
    </row>
    <row r="67" spans="1:12" x14ac:dyDescent="0.25">
      <c r="A67" s="81" t="str">
        <f>IFERROR(INDEX(tbMoves!B:B,MATCH(ROWS(tbMoves!$1:65),tbMoves!M:M,0)),"")</f>
        <v>Blade Dance (L7)</v>
      </c>
      <c r="B67" s="82" t="str">
        <f>IFERROR(INDEX(tbMoves!C:C,MATCH(ROWS(tbMoves!$1:65),tbMoves!M:M,0)),"")</f>
        <v>Sever</v>
      </c>
      <c r="C67" s="82">
        <f>IFERROR(INDEX(tbMoves!D:D,MATCH(ROWS(tbMoves!$1:65),tbMoves!M:M,0)),"")</f>
        <v>12</v>
      </c>
      <c r="D67" s="82">
        <f>IFERROR(INDEX(tbMoves!E:E,MATCH(ROWS(tbMoves!$1:65),tbMoves!M:M,0)),"")</f>
        <v>0</v>
      </c>
      <c r="E67" s="82">
        <f>IFERROR(INDEX(tbMoves!F:F,MATCH(ROWS(tbMoves!$1:65),tbMoves!M:M,0)),"")</f>
        <v>1</v>
      </c>
      <c r="F67" s="82">
        <f>IFERROR(INDEX(tbMoves!G:G,MATCH(ROWS(tbMoves!$1:65),tbMoves!M:M,0)),"")</f>
        <v>0.8</v>
      </c>
      <c r="G67" s="82">
        <f>IFERROR(INDEX(tbMoves!H:H,MATCH(ROWS(tbMoves!$1:65),tbMoves!M:M,0)),"")</f>
        <v>0.6</v>
      </c>
      <c r="H67" s="82" t="str">
        <f>IFERROR(INDEX(tbMoves!I:I,MATCH(ROWS(tbMoves!$1:65),tbMoves!M:M,0)),"")</f>
        <v>N/A</v>
      </c>
      <c r="I67" s="82" t="str">
        <f>IFERROR(INDEX(tbMoves!J:J,MATCH(ROWS(tbMoves!$1:65),tbMoves!M:M,0)),"")</f>
        <v>N/A</v>
      </c>
      <c r="J67" s="82" t="b">
        <f>IFERROR(INDEX(tbMoves!K:K,MATCH(ROWS(tbMoves!$1:65),tbMoves!M:M,0)),"")</f>
        <v>1</v>
      </c>
      <c r="K67" s="82" t="b">
        <f>IFERROR(INDEX(tbMoves!L:L,MATCH(ROWS(tbMoves!$1:65),tbMoves!M:M,0)),"")</f>
        <v>0</v>
      </c>
      <c r="L67" s="3"/>
    </row>
    <row r="68" spans="1:12" x14ac:dyDescent="0.25">
      <c r="A68" s="81" t="str">
        <f>IFERROR(INDEX(tbMoves!B:B,MATCH(ROWS(tbMoves!$1:66),tbMoves!M:M,0)),"")</f>
        <v>Blade Dance (R7)</v>
      </c>
      <c r="B68" s="82" t="str">
        <f>IFERROR(INDEX(tbMoves!C:C,MATCH(ROWS(tbMoves!$1:66),tbMoves!M:M,0)),"")</f>
        <v>Sever</v>
      </c>
      <c r="C68" s="82">
        <f>IFERROR(INDEX(tbMoves!D:D,MATCH(ROWS(tbMoves!$1:66),tbMoves!M:M,0)),"")</f>
        <v>12</v>
      </c>
      <c r="D68" s="82">
        <f>IFERROR(INDEX(tbMoves!E:E,MATCH(ROWS(tbMoves!$1:66),tbMoves!M:M,0)),"")</f>
        <v>0</v>
      </c>
      <c r="E68" s="82">
        <f>IFERROR(INDEX(tbMoves!F:F,MATCH(ROWS(tbMoves!$1:66),tbMoves!M:M,0)),"")</f>
        <v>1</v>
      </c>
      <c r="F68" s="82">
        <f>IFERROR(INDEX(tbMoves!G:G,MATCH(ROWS(tbMoves!$1:66),tbMoves!M:M,0)),"")</f>
        <v>0.8</v>
      </c>
      <c r="G68" s="82">
        <f>IFERROR(INDEX(tbMoves!H:H,MATCH(ROWS(tbMoves!$1:66),tbMoves!M:M,0)),"")</f>
        <v>0.6</v>
      </c>
      <c r="H68" s="82" t="str">
        <f>IFERROR(INDEX(tbMoves!I:I,MATCH(ROWS(tbMoves!$1:66),tbMoves!M:M,0)),"")</f>
        <v>N/A</v>
      </c>
      <c r="I68" s="82" t="str">
        <f>IFERROR(INDEX(tbMoves!J:J,MATCH(ROWS(tbMoves!$1:66),tbMoves!M:M,0)),"")</f>
        <v>N/A</v>
      </c>
      <c r="J68" s="82" t="b">
        <f>IFERROR(INDEX(tbMoves!K:K,MATCH(ROWS(tbMoves!$1:66),tbMoves!M:M,0)),"")</f>
        <v>1</v>
      </c>
      <c r="K68" s="82" t="b">
        <f>IFERROR(INDEX(tbMoves!L:L,MATCH(ROWS(tbMoves!$1:66),tbMoves!M:M,0)),"")</f>
        <v>0</v>
      </c>
      <c r="L68" s="3"/>
    </row>
    <row r="69" spans="1:12" x14ac:dyDescent="0.25">
      <c r="A69" s="81" t="str">
        <f>IFERROR(INDEX(tbMoves!B:B,MATCH(ROWS(tbMoves!$1:67),tbMoves!M:M,0)),"")</f>
        <v>Blade Dance (L8)</v>
      </c>
      <c r="B69" s="82" t="str">
        <f>IFERROR(INDEX(tbMoves!C:C,MATCH(ROWS(tbMoves!$1:67),tbMoves!M:M,0)),"")</f>
        <v>Sever</v>
      </c>
      <c r="C69" s="82">
        <f>IFERROR(INDEX(tbMoves!D:D,MATCH(ROWS(tbMoves!$1:67),tbMoves!M:M,0)),"")</f>
        <v>7</v>
      </c>
      <c r="D69" s="82">
        <f>IFERROR(INDEX(tbMoves!E:E,MATCH(ROWS(tbMoves!$1:67),tbMoves!M:M,0)),"")</f>
        <v>0</v>
      </c>
      <c r="E69" s="82">
        <f>IFERROR(INDEX(tbMoves!F:F,MATCH(ROWS(tbMoves!$1:67),tbMoves!M:M,0)),"")</f>
        <v>1</v>
      </c>
      <c r="F69" s="82">
        <f>IFERROR(INDEX(tbMoves!G:G,MATCH(ROWS(tbMoves!$1:67),tbMoves!M:M,0)),"")</f>
        <v>1</v>
      </c>
      <c r="G69" s="82">
        <f>IFERROR(INDEX(tbMoves!H:H,MATCH(ROWS(tbMoves!$1:67),tbMoves!M:M,0)),"")</f>
        <v>0.8</v>
      </c>
      <c r="H69" s="82" t="str">
        <f>IFERROR(INDEX(tbMoves!I:I,MATCH(ROWS(tbMoves!$1:67),tbMoves!M:M,0)),"")</f>
        <v>N/A</v>
      </c>
      <c r="I69" s="82" t="str">
        <f>IFERROR(INDEX(tbMoves!J:J,MATCH(ROWS(tbMoves!$1:67),tbMoves!M:M,0)),"")</f>
        <v>N/A</v>
      </c>
      <c r="J69" s="82" t="b">
        <f>IFERROR(INDEX(tbMoves!K:K,MATCH(ROWS(tbMoves!$1:67),tbMoves!M:M,0)),"")</f>
        <v>1</v>
      </c>
      <c r="K69" s="82" t="b">
        <f>IFERROR(INDEX(tbMoves!L:L,MATCH(ROWS(tbMoves!$1:67),tbMoves!M:M,0)),"")</f>
        <v>0</v>
      </c>
      <c r="L69" s="3"/>
    </row>
    <row r="70" spans="1:12" x14ac:dyDescent="0.25">
      <c r="A70" s="81" t="str">
        <f>IFERROR(INDEX(tbMoves!B:B,MATCH(ROWS(tbMoves!$1:68),tbMoves!M:M,0)),"")</f>
        <v>Blade Dance (R8)</v>
      </c>
      <c r="B70" s="82" t="str">
        <f>IFERROR(INDEX(tbMoves!C:C,MATCH(ROWS(tbMoves!$1:68),tbMoves!M:M,0)),"")</f>
        <v>Sever</v>
      </c>
      <c r="C70" s="82">
        <f>IFERROR(INDEX(tbMoves!D:D,MATCH(ROWS(tbMoves!$1:68),tbMoves!M:M,0)),"")</f>
        <v>20</v>
      </c>
      <c r="D70" s="82">
        <f>IFERROR(INDEX(tbMoves!E:E,MATCH(ROWS(tbMoves!$1:68),tbMoves!M:M,0)),"")</f>
        <v>0</v>
      </c>
      <c r="E70" s="82">
        <f>IFERROR(INDEX(tbMoves!F:F,MATCH(ROWS(tbMoves!$1:68),tbMoves!M:M,0)),"")</f>
        <v>1</v>
      </c>
      <c r="F70" s="82">
        <f>IFERROR(INDEX(tbMoves!G:G,MATCH(ROWS(tbMoves!$1:68),tbMoves!M:M,0)),"")</f>
        <v>1</v>
      </c>
      <c r="G70" s="82">
        <f>IFERROR(INDEX(tbMoves!H:H,MATCH(ROWS(tbMoves!$1:68),tbMoves!M:M,0)),"")</f>
        <v>0.8</v>
      </c>
      <c r="H70" s="82" t="str">
        <f>IFERROR(INDEX(tbMoves!I:I,MATCH(ROWS(tbMoves!$1:68),tbMoves!M:M,0)),"")</f>
        <v>N/A</v>
      </c>
      <c r="I70" s="82" t="str">
        <f>IFERROR(INDEX(tbMoves!J:J,MATCH(ROWS(tbMoves!$1:68),tbMoves!M:M,0)),"")</f>
        <v>N/A</v>
      </c>
      <c r="J70" s="82" t="b">
        <f>IFERROR(INDEX(tbMoves!K:K,MATCH(ROWS(tbMoves!$1:68),tbMoves!M:M,0)),"")</f>
        <v>1</v>
      </c>
      <c r="K70" s="82" t="b">
        <f>IFERROR(INDEX(tbMoves!L:L,MATCH(ROWS(tbMoves!$1:68),tbMoves!M:M,0)),"")</f>
        <v>0</v>
      </c>
      <c r="L70" s="3"/>
    </row>
    <row r="71" spans="1:12" x14ac:dyDescent="0.25">
      <c r="A71" s="81" t="str">
        <f>IFERROR(INDEX(tbMoves!B:B,MATCH(ROWS(tbMoves!$1:69),tbMoves!M:M,0)),"")</f>
        <v>Jumping Double Slash (R)</v>
      </c>
      <c r="B71" s="82" t="str">
        <f>IFERROR(INDEX(tbMoves!C:C,MATCH(ROWS(tbMoves!$1:69),tbMoves!M:M,0)),"")</f>
        <v>Sever</v>
      </c>
      <c r="C71" s="82">
        <f>IFERROR(INDEX(tbMoves!D:D,MATCH(ROWS(tbMoves!$1:69),tbMoves!M:M,0)),"")</f>
        <v>12</v>
      </c>
      <c r="D71" s="82">
        <f>IFERROR(INDEX(tbMoves!E:E,MATCH(ROWS(tbMoves!$1:69),tbMoves!M:M,0)),"")</f>
        <v>20</v>
      </c>
      <c r="E71" s="82">
        <f>IFERROR(INDEX(tbMoves!F:F,MATCH(ROWS(tbMoves!$1:69),tbMoves!M:M,0)),"")</f>
        <v>1</v>
      </c>
      <c r="F71" s="82">
        <f>IFERROR(INDEX(tbMoves!G:G,MATCH(ROWS(tbMoves!$1:69),tbMoves!M:M,0)),"")</f>
        <v>0.6</v>
      </c>
      <c r="G71" s="82">
        <f>IFERROR(INDEX(tbMoves!H:H,MATCH(ROWS(tbMoves!$1:69),tbMoves!M:M,0)),"")</f>
        <v>0.4</v>
      </c>
      <c r="H71" s="82" t="str">
        <f>IFERROR(INDEX(tbMoves!I:I,MATCH(ROWS(tbMoves!$1:69),tbMoves!M:M,0)),"")</f>
        <v>N/A</v>
      </c>
      <c r="I71" s="82" t="str">
        <f>IFERROR(INDEX(tbMoves!J:J,MATCH(ROWS(tbMoves!$1:69),tbMoves!M:M,0)),"")</f>
        <v>N/A</v>
      </c>
      <c r="J71" s="82" t="b">
        <f>IFERROR(INDEX(tbMoves!K:K,MATCH(ROWS(tbMoves!$1:69),tbMoves!M:M,0)),"")</f>
        <v>1</v>
      </c>
      <c r="K71" s="82" t="b">
        <f>IFERROR(INDEX(tbMoves!L:L,MATCH(ROWS(tbMoves!$1:69),tbMoves!M:M,0)),"")</f>
        <v>1</v>
      </c>
      <c r="L71" s="3"/>
    </row>
    <row r="72" spans="1:12" x14ac:dyDescent="0.25">
      <c r="A72" s="81" t="str">
        <f>IFERROR(INDEX(tbMoves!B:B,MATCH(ROWS(tbMoves!$1:70),tbMoves!M:M,0)),"")</f>
        <v>Jumping Double Slash (L)</v>
      </c>
      <c r="B72" s="82" t="str">
        <f>IFERROR(INDEX(tbMoves!C:C,MATCH(ROWS(tbMoves!$1:70),tbMoves!M:M,0)),"")</f>
        <v>Sever</v>
      </c>
      <c r="C72" s="82">
        <f>IFERROR(INDEX(tbMoves!D:D,MATCH(ROWS(tbMoves!$1:70),tbMoves!M:M,0)),"")</f>
        <v>9</v>
      </c>
      <c r="D72" s="82">
        <f>IFERROR(INDEX(tbMoves!E:E,MATCH(ROWS(tbMoves!$1:70),tbMoves!M:M,0)),"")</f>
        <v>35</v>
      </c>
      <c r="E72" s="82">
        <f>IFERROR(INDEX(tbMoves!F:F,MATCH(ROWS(tbMoves!$1:70),tbMoves!M:M,0)),"")</f>
        <v>1</v>
      </c>
      <c r="F72" s="82">
        <f>IFERROR(INDEX(tbMoves!G:G,MATCH(ROWS(tbMoves!$1:70),tbMoves!M:M,0)),"")</f>
        <v>0.6</v>
      </c>
      <c r="G72" s="82">
        <f>IFERROR(INDEX(tbMoves!H:H,MATCH(ROWS(tbMoves!$1:70),tbMoves!M:M,0)),"")</f>
        <v>0.4</v>
      </c>
      <c r="H72" s="82" t="str">
        <f>IFERROR(INDEX(tbMoves!I:I,MATCH(ROWS(tbMoves!$1:70),tbMoves!M:M,0)),"")</f>
        <v>N/A</v>
      </c>
      <c r="I72" s="82" t="str">
        <f>IFERROR(INDEX(tbMoves!J:J,MATCH(ROWS(tbMoves!$1:70),tbMoves!M:M,0)),"")</f>
        <v>N/A</v>
      </c>
      <c r="J72" s="82" t="b">
        <f>IFERROR(INDEX(tbMoves!K:K,MATCH(ROWS(tbMoves!$1:70),tbMoves!M:M,0)),"")</f>
        <v>1</v>
      </c>
      <c r="K72" s="82" t="b">
        <f>IFERROR(INDEX(tbMoves!L:L,MATCH(ROWS(tbMoves!$1:70),tbMoves!M:M,0)),"")</f>
        <v>1</v>
      </c>
      <c r="L72" s="3"/>
    </row>
    <row r="73" spans="1:12" x14ac:dyDescent="0.25">
      <c r="A73" s="81" t="str">
        <f>IFERROR(INDEX(tbMoves!B:B,MATCH(ROWS(tbMoves!$1:71),tbMoves!M:M,0)),"")</f>
        <v>Sliding Slash (L1)</v>
      </c>
      <c r="B73" s="82" t="str">
        <f>IFERROR(INDEX(tbMoves!C:C,MATCH(ROWS(tbMoves!$1:71),tbMoves!M:M,0)),"")</f>
        <v>Sever</v>
      </c>
      <c r="C73" s="82">
        <f>IFERROR(INDEX(tbMoves!D:D,MATCH(ROWS(tbMoves!$1:71),tbMoves!M:M,0)),"")</f>
        <v>10</v>
      </c>
      <c r="D73" s="82">
        <f>IFERROR(INDEX(tbMoves!E:E,MATCH(ROWS(tbMoves!$1:71),tbMoves!M:M,0)),"")</f>
        <v>0</v>
      </c>
      <c r="E73" s="82">
        <f>IFERROR(INDEX(tbMoves!F:F,MATCH(ROWS(tbMoves!$1:71),tbMoves!M:M,0)),"")</f>
        <v>1</v>
      </c>
      <c r="F73" s="82">
        <f>IFERROR(INDEX(tbMoves!G:G,MATCH(ROWS(tbMoves!$1:71),tbMoves!M:M,0)),"")</f>
        <v>0.7</v>
      </c>
      <c r="G73" s="82">
        <f>IFERROR(INDEX(tbMoves!H:H,MATCH(ROWS(tbMoves!$1:71),tbMoves!M:M,0)),"")</f>
        <v>0.6</v>
      </c>
      <c r="H73" s="82" t="str">
        <f>IFERROR(INDEX(tbMoves!I:I,MATCH(ROWS(tbMoves!$1:71),tbMoves!M:M,0)),"")</f>
        <v>N/A</v>
      </c>
      <c r="I73" s="82" t="str">
        <f>IFERROR(INDEX(tbMoves!J:J,MATCH(ROWS(tbMoves!$1:71),tbMoves!M:M,0)),"")</f>
        <v>N/A</v>
      </c>
      <c r="J73" s="82" t="b">
        <f>IFERROR(INDEX(tbMoves!K:K,MATCH(ROWS(tbMoves!$1:71),tbMoves!M:M,0)),"")</f>
        <v>1</v>
      </c>
      <c r="K73" s="82" t="b">
        <f>IFERROR(INDEX(tbMoves!L:L,MATCH(ROWS(tbMoves!$1:71),tbMoves!M:M,0)),"")</f>
        <v>0</v>
      </c>
      <c r="L73" s="3"/>
    </row>
    <row r="74" spans="1:12" x14ac:dyDescent="0.25">
      <c r="A74" s="81" t="str">
        <f>IFERROR(INDEX(tbMoves!B:B,MATCH(ROWS(tbMoves!$1:72),tbMoves!M:M,0)),"")</f>
        <v>Sliding Slash (R1)</v>
      </c>
      <c r="B74" s="82" t="str">
        <f>IFERROR(INDEX(tbMoves!C:C,MATCH(ROWS(tbMoves!$1:72),tbMoves!M:M,0)),"")</f>
        <v>Sever</v>
      </c>
      <c r="C74" s="82">
        <f>IFERROR(INDEX(tbMoves!D:D,MATCH(ROWS(tbMoves!$1:72),tbMoves!M:M,0)),"")</f>
        <v>10</v>
      </c>
      <c r="D74" s="82">
        <f>IFERROR(INDEX(tbMoves!E:E,MATCH(ROWS(tbMoves!$1:72),tbMoves!M:M,0)),"")</f>
        <v>0</v>
      </c>
      <c r="E74" s="82">
        <f>IFERROR(INDEX(tbMoves!F:F,MATCH(ROWS(tbMoves!$1:72),tbMoves!M:M,0)),"")</f>
        <v>1</v>
      </c>
      <c r="F74" s="82">
        <f>IFERROR(INDEX(tbMoves!G:G,MATCH(ROWS(tbMoves!$1:72),tbMoves!M:M,0)),"")</f>
        <v>0.7</v>
      </c>
      <c r="G74" s="82">
        <f>IFERROR(INDEX(tbMoves!H:H,MATCH(ROWS(tbMoves!$1:72),tbMoves!M:M,0)),"")</f>
        <v>0.6</v>
      </c>
      <c r="H74" s="82" t="str">
        <f>IFERROR(INDEX(tbMoves!I:I,MATCH(ROWS(tbMoves!$1:72),tbMoves!M:M,0)),"")</f>
        <v>N/A</v>
      </c>
      <c r="I74" s="82" t="str">
        <f>IFERROR(INDEX(tbMoves!J:J,MATCH(ROWS(tbMoves!$1:72),tbMoves!M:M,0)),"")</f>
        <v>N/A</v>
      </c>
      <c r="J74" s="82" t="b">
        <f>IFERROR(INDEX(tbMoves!K:K,MATCH(ROWS(tbMoves!$1:72),tbMoves!M:M,0)),"")</f>
        <v>1</v>
      </c>
      <c r="K74" s="82" t="b">
        <f>IFERROR(INDEX(tbMoves!L:L,MATCH(ROWS(tbMoves!$1:72),tbMoves!M:M,0)),"")</f>
        <v>0</v>
      </c>
      <c r="L74" s="3"/>
    </row>
    <row r="75" spans="1:12" x14ac:dyDescent="0.25">
      <c r="A75" s="81" t="str">
        <f>IFERROR(INDEX(tbMoves!B:B,MATCH(ROWS(tbMoves!$1:73),tbMoves!M:M,0)),"")</f>
        <v>Sliding Slash (L2)</v>
      </c>
      <c r="B75" s="82" t="str">
        <f>IFERROR(INDEX(tbMoves!C:C,MATCH(ROWS(tbMoves!$1:73),tbMoves!M:M,0)),"")</f>
        <v>Sever</v>
      </c>
      <c r="C75" s="82">
        <f>IFERROR(INDEX(tbMoves!D:D,MATCH(ROWS(tbMoves!$1:73),tbMoves!M:M,0)),"")</f>
        <v>13</v>
      </c>
      <c r="D75" s="82">
        <f>IFERROR(INDEX(tbMoves!E:E,MATCH(ROWS(tbMoves!$1:73),tbMoves!M:M,0)),"")</f>
        <v>0</v>
      </c>
      <c r="E75" s="82">
        <f>IFERROR(INDEX(tbMoves!F:F,MATCH(ROWS(tbMoves!$1:73),tbMoves!M:M,0)),"")</f>
        <v>1</v>
      </c>
      <c r="F75" s="82">
        <f>IFERROR(INDEX(tbMoves!G:G,MATCH(ROWS(tbMoves!$1:73),tbMoves!M:M,0)),"")</f>
        <v>0.7</v>
      </c>
      <c r="G75" s="82">
        <f>IFERROR(INDEX(tbMoves!H:H,MATCH(ROWS(tbMoves!$1:73),tbMoves!M:M,0)),"")</f>
        <v>0.6</v>
      </c>
      <c r="H75" s="82" t="str">
        <f>IFERROR(INDEX(tbMoves!I:I,MATCH(ROWS(tbMoves!$1:73),tbMoves!M:M,0)),"")</f>
        <v>N/A</v>
      </c>
      <c r="I75" s="82" t="str">
        <f>IFERROR(INDEX(tbMoves!J:J,MATCH(ROWS(tbMoves!$1:73),tbMoves!M:M,0)),"")</f>
        <v>N/A</v>
      </c>
      <c r="J75" s="82" t="b">
        <f>IFERROR(INDEX(tbMoves!K:K,MATCH(ROWS(tbMoves!$1:73),tbMoves!M:M,0)),"")</f>
        <v>1</v>
      </c>
      <c r="K75" s="82" t="b">
        <f>IFERROR(INDEX(tbMoves!L:L,MATCH(ROWS(tbMoves!$1:73),tbMoves!M:M,0)),"")</f>
        <v>0</v>
      </c>
      <c r="L75" s="3"/>
    </row>
    <row r="76" spans="1:12" x14ac:dyDescent="0.25">
      <c r="A76" s="81" t="str">
        <f>IFERROR(INDEX(tbMoves!B:B,MATCH(ROWS(tbMoves!$1:74),tbMoves!M:M,0)),"")</f>
        <v>Sliding Slash (R2)</v>
      </c>
      <c r="B76" s="82" t="str">
        <f>IFERROR(INDEX(tbMoves!C:C,MATCH(ROWS(tbMoves!$1:74),tbMoves!M:M,0)),"")</f>
        <v>Sever</v>
      </c>
      <c r="C76" s="82">
        <f>IFERROR(INDEX(tbMoves!D:D,MATCH(ROWS(tbMoves!$1:74),tbMoves!M:M,0)),"")</f>
        <v>13</v>
      </c>
      <c r="D76" s="82">
        <f>IFERROR(INDEX(tbMoves!E:E,MATCH(ROWS(tbMoves!$1:74),tbMoves!M:M,0)),"")</f>
        <v>0</v>
      </c>
      <c r="E76" s="82">
        <f>IFERROR(INDEX(tbMoves!F:F,MATCH(ROWS(tbMoves!$1:74),tbMoves!M:M,0)),"")</f>
        <v>1</v>
      </c>
      <c r="F76" s="82">
        <f>IFERROR(INDEX(tbMoves!G:G,MATCH(ROWS(tbMoves!$1:74),tbMoves!M:M,0)),"")</f>
        <v>0.7</v>
      </c>
      <c r="G76" s="82">
        <f>IFERROR(INDEX(tbMoves!H:H,MATCH(ROWS(tbMoves!$1:74),tbMoves!M:M,0)),"")</f>
        <v>0.6</v>
      </c>
      <c r="H76" s="82" t="str">
        <f>IFERROR(INDEX(tbMoves!I:I,MATCH(ROWS(tbMoves!$1:74),tbMoves!M:M,0)),"")</f>
        <v>N/A</v>
      </c>
      <c r="I76" s="82" t="str">
        <f>IFERROR(INDEX(tbMoves!J:J,MATCH(ROWS(tbMoves!$1:74),tbMoves!M:M,0)),"")</f>
        <v>N/A</v>
      </c>
      <c r="J76" s="82" t="b">
        <f>IFERROR(INDEX(tbMoves!K:K,MATCH(ROWS(tbMoves!$1:74),tbMoves!M:M,0)),"")</f>
        <v>1</v>
      </c>
      <c r="K76" s="82" t="b">
        <f>IFERROR(INDEX(tbMoves!L:L,MATCH(ROWS(tbMoves!$1:74),tbMoves!M:M,0)),"")</f>
        <v>0</v>
      </c>
      <c r="L76" s="3"/>
    </row>
    <row r="77" spans="1:12" x14ac:dyDescent="0.25">
      <c r="A77" s="81" t="str">
        <f>IFERROR(INDEX(tbMoves!B:B,MATCH(ROWS(tbMoves!$1:75),tbMoves!M:M,0)),"")</f>
        <v>Midair Spinning Blade Dance (R1)</v>
      </c>
      <c r="B77" s="82" t="str">
        <f>IFERROR(INDEX(tbMoves!C:C,MATCH(ROWS(tbMoves!$1:75),tbMoves!M:M,0)),"")</f>
        <v>Sever</v>
      </c>
      <c r="C77" s="82">
        <f>IFERROR(INDEX(tbMoves!D:D,MATCH(ROWS(tbMoves!$1:75),tbMoves!M:M,0)),"")</f>
        <v>10</v>
      </c>
      <c r="D77" s="82">
        <f>IFERROR(INDEX(tbMoves!E:E,MATCH(ROWS(tbMoves!$1:75),tbMoves!M:M,0)),"")</f>
        <v>0</v>
      </c>
      <c r="E77" s="82">
        <f>IFERROR(INDEX(tbMoves!F:F,MATCH(ROWS(tbMoves!$1:75),tbMoves!M:M,0)),"")</f>
        <v>1</v>
      </c>
      <c r="F77" s="82">
        <f>IFERROR(INDEX(tbMoves!G:G,MATCH(ROWS(tbMoves!$1:75),tbMoves!M:M,0)),"")</f>
        <v>0.5</v>
      </c>
      <c r="G77" s="82">
        <f>IFERROR(INDEX(tbMoves!H:H,MATCH(ROWS(tbMoves!$1:75),tbMoves!M:M,0)),"")</f>
        <v>0.4</v>
      </c>
      <c r="H77" s="82" t="str">
        <f>IFERROR(INDEX(tbMoves!I:I,MATCH(ROWS(tbMoves!$1:75),tbMoves!M:M,0)),"")</f>
        <v>N/A</v>
      </c>
      <c r="I77" s="82" t="str">
        <f>IFERROR(INDEX(tbMoves!J:J,MATCH(ROWS(tbMoves!$1:75),tbMoves!M:M,0)),"")</f>
        <v>N/A</v>
      </c>
      <c r="J77" s="82" t="b">
        <f>IFERROR(INDEX(tbMoves!K:K,MATCH(ROWS(tbMoves!$1:75),tbMoves!M:M,0)),"")</f>
        <v>1</v>
      </c>
      <c r="K77" s="82" t="b">
        <f>IFERROR(INDEX(tbMoves!L:L,MATCH(ROWS(tbMoves!$1:75),tbMoves!M:M,0)),"")</f>
        <v>0</v>
      </c>
      <c r="L77" s="3"/>
    </row>
    <row r="78" spans="1:12" x14ac:dyDescent="0.25">
      <c r="A78" s="81" t="str">
        <f>IFERROR(INDEX(tbMoves!B:B,MATCH(ROWS(tbMoves!$1:76),tbMoves!M:M,0)),"")</f>
        <v>Midair Spinning Blade Dance (L1)</v>
      </c>
      <c r="B78" s="82" t="str">
        <f>IFERROR(INDEX(tbMoves!C:C,MATCH(ROWS(tbMoves!$1:76),tbMoves!M:M,0)),"")</f>
        <v>Sever</v>
      </c>
      <c r="C78" s="82">
        <f>IFERROR(INDEX(tbMoves!D:D,MATCH(ROWS(tbMoves!$1:76),tbMoves!M:M,0)),"")</f>
        <v>15</v>
      </c>
      <c r="D78" s="82">
        <f>IFERROR(INDEX(tbMoves!E:E,MATCH(ROWS(tbMoves!$1:76),tbMoves!M:M,0)),"")</f>
        <v>0</v>
      </c>
      <c r="E78" s="82">
        <f>IFERROR(INDEX(tbMoves!F:F,MATCH(ROWS(tbMoves!$1:76),tbMoves!M:M,0)),"")</f>
        <v>1</v>
      </c>
      <c r="F78" s="82">
        <f>IFERROR(INDEX(tbMoves!G:G,MATCH(ROWS(tbMoves!$1:76),tbMoves!M:M,0)),"")</f>
        <v>0.5</v>
      </c>
      <c r="G78" s="82">
        <f>IFERROR(INDEX(tbMoves!H:H,MATCH(ROWS(tbMoves!$1:76),tbMoves!M:M,0)),"")</f>
        <v>0.4</v>
      </c>
      <c r="H78" s="82" t="str">
        <f>IFERROR(INDEX(tbMoves!I:I,MATCH(ROWS(tbMoves!$1:76),tbMoves!M:M,0)),"")</f>
        <v>N/A</v>
      </c>
      <c r="I78" s="82" t="str">
        <f>IFERROR(INDEX(tbMoves!J:J,MATCH(ROWS(tbMoves!$1:76),tbMoves!M:M,0)),"")</f>
        <v>N/A</v>
      </c>
      <c r="J78" s="82" t="b">
        <f>IFERROR(INDEX(tbMoves!K:K,MATCH(ROWS(tbMoves!$1:76),tbMoves!M:M,0)),"")</f>
        <v>1</v>
      </c>
      <c r="K78" s="82" t="b">
        <f>IFERROR(INDEX(tbMoves!L:L,MATCH(ROWS(tbMoves!$1:76),tbMoves!M:M,0)),"")</f>
        <v>0</v>
      </c>
      <c r="L78" s="3"/>
    </row>
    <row r="79" spans="1:12" x14ac:dyDescent="0.25">
      <c r="A79" s="81" t="str">
        <f>IFERROR(INDEX(tbMoves!B:B,MATCH(ROWS(tbMoves!$1:77),tbMoves!M:M,0)),"")</f>
        <v>Midair Spinning Blade Dance (R2)</v>
      </c>
      <c r="B79" s="82" t="str">
        <f>IFERROR(INDEX(tbMoves!C:C,MATCH(ROWS(tbMoves!$1:77),tbMoves!M:M,0)),"")</f>
        <v>Sever</v>
      </c>
      <c r="C79" s="82">
        <f>IFERROR(INDEX(tbMoves!D:D,MATCH(ROWS(tbMoves!$1:77),tbMoves!M:M,0)),"")</f>
        <v>15</v>
      </c>
      <c r="D79" s="82">
        <f>IFERROR(INDEX(tbMoves!E:E,MATCH(ROWS(tbMoves!$1:77),tbMoves!M:M,0)),"")</f>
        <v>0</v>
      </c>
      <c r="E79" s="82">
        <f>IFERROR(INDEX(tbMoves!F:F,MATCH(ROWS(tbMoves!$1:77),tbMoves!M:M,0)),"")</f>
        <v>1</v>
      </c>
      <c r="F79" s="82">
        <f>IFERROR(INDEX(tbMoves!G:G,MATCH(ROWS(tbMoves!$1:77),tbMoves!M:M,0)),"")</f>
        <v>0.7</v>
      </c>
      <c r="G79" s="82">
        <f>IFERROR(INDEX(tbMoves!H:H,MATCH(ROWS(tbMoves!$1:77),tbMoves!M:M,0)),"")</f>
        <v>0.6</v>
      </c>
      <c r="H79" s="82" t="str">
        <f>IFERROR(INDEX(tbMoves!I:I,MATCH(ROWS(tbMoves!$1:77),tbMoves!M:M,0)),"")</f>
        <v>N/A</v>
      </c>
      <c r="I79" s="82" t="str">
        <f>IFERROR(INDEX(tbMoves!J:J,MATCH(ROWS(tbMoves!$1:77),tbMoves!M:M,0)),"")</f>
        <v>N/A</v>
      </c>
      <c r="J79" s="82" t="b">
        <f>IFERROR(INDEX(tbMoves!K:K,MATCH(ROWS(tbMoves!$1:77),tbMoves!M:M,0)),"")</f>
        <v>1</v>
      </c>
      <c r="K79" s="82" t="b">
        <f>IFERROR(INDEX(tbMoves!L:L,MATCH(ROWS(tbMoves!$1:77),tbMoves!M:M,0)),"")</f>
        <v>0</v>
      </c>
      <c r="L79" s="3"/>
    </row>
    <row r="80" spans="1:12" x14ac:dyDescent="0.25">
      <c r="A80" s="81" t="str">
        <f>IFERROR(INDEX(tbMoves!B:B,MATCH(ROWS(tbMoves!$1:78),tbMoves!M:M,0)),"")</f>
        <v>Midair Spinning Blade Dance (L2)</v>
      </c>
      <c r="B80" s="82" t="str">
        <f>IFERROR(INDEX(tbMoves!C:C,MATCH(ROWS(tbMoves!$1:78),tbMoves!M:M,0)),"")</f>
        <v>Sever</v>
      </c>
      <c r="C80" s="82">
        <f>IFERROR(INDEX(tbMoves!D:D,MATCH(ROWS(tbMoves!$1:78),tbMoves!M:M,0)),"")</f>
        <v>10</v>
      </c>
      <c r="D80" s="82">
        <f>IFERROR(INDEX(tbMoves!E:E,MATCH(ROWS(tbMoves!$1:78),tbMoves!M:M,0)),"")</f>
        <v>0</v>
      </c>
      <c r="E80" s="82">
        <f>IFERROR(INDEX(tbMoves!F:F,MATCH(ROWS(tbMoves!$1:78),tbMoves!M:M,0)),"")</f>
        <v>1</v>
      </c>
      <c r="F80" s="82">
        <f>IFERROR(INDEX(tbMoves!G:G,MATCH(ROWS(tbMoves!$1:78),tbMoves!M:M,0)),"")</f>
        <v>0.7</v>
      </c>
      <c r="G80" s="82">
        <f>IFERROR(INDEX(tbMoves!H:H,MATCH(ROWS(tbMoves!$1:78),tbMoves!M:M,0)),"")</f>
        <v>0.6</v>
      </c>
      <c r="H80" s="82" t="str">
        <f>IFERROR(INDEX(tbMoves!I:I,MATCH(ROWS(tbMoves!$1:78),tbMoves!M:M,0)),"")</f>
        <v>N/A</v>
      </c>
      <c r="I80" s="82" t="str">
        <f>IFERROR(INDEX(tbMoves!J:J,MATCH(ROWS(tbMoves!$1:78),tbMoves!M:M,0)),"")</f>
        <v>N/A</v>
      </c>
      <c r="J80" s="82" t="b">
        <f>IFERROR(INDEX(tbMoves!K:K,MATCH(ROWS(tbMoves!$1:78),tbMoves!M:M,0)),"")</f>
        <v>1</v>
      </c>
      <c r="K80" s="82" t="b">
        <f>IFERROR(INDEX(tbMoves!L:L,MATCH(ROWS(tbMoves!$1:78),tbMoves!M:M,0)),"")</f>
        <v>0</v>
      </c>
      <c r="L80" s="3"/>
    </row>
    <row r="81" spans="1:12" x14ac:dyDescent="0.25">
      <c r="A81" s="81" t="str">
        <f>IFERROR(INDEX(tbMoves!B:B,MATCH(ROWS(tbMoves!$1:79),tbMoves!M:M,0)),"")</f>
        <v>Midair Spinning Blade Dance Finisher (L1)</v>
      </c>
      <c r="B81" s="82" t="str">
        <f>IFERROR(INDEX(tbMoves!C:C,MATCH(ROWS(tbMoves!$1:79),tbMoves!M:M,0)),"")</f>
        <v>Sever</v>
      </c>
      <c r="C81" s="82">
        <f>IFERROR(INDEX(tbMoves!D:D,MATCH(ROWS(tbMoves!$1:79),tbMoves!M:M,0)),"")</f>
        <v>20</v>
      </c>
      <c r="D81" s="82">
        <f>IFERROR(INDEX(tbMoves!E:E,MATCH(ROWS(tbMoves!$1:79),tbMoves!M:M,0)),"")</f>
        <v>0</v>
      </c>
      <c r="E81" s="82">
        <f>IFERROR(INDEX(tbMoves!F:F,MATCH(ROWS(tbMoves!$1:79),tbMoves!M:M,0)),"")</f>
        <v>1</v>
      </c>
      <c r="F81" s="82">
        <f>IFERROR(INDEX(tbMoves!G:G,MATCH(ROWS(tbMoves!$1:79),tbMoves!M:M,0)),"")</f>
        <v>0.7</v>
      </c>
      <c r="G81" s="82">
        <f>IFERROR(INDEX(tbMoves!H:H,MATCH(ROWS(tbMoves!$1:79),tbMoves!M:M,0)),"")</f>
        <v>0.7</v>
      </c>
      <c r="H81" s="82" t="str">
        <f>IFERROR(INDEX(tbMoves!I:I,MATCH(ROWS(tbMoves!$1:79),tbMoves!M:M,0)),"")</f>
        <v>N/A</v>
      </c>
      <c r="I81" s="82" t="str">
        <f>IFERROR(INDEX(tbMoves!J:J,MATCH(ROWS(tbMoves!$1:79),tbMoves!M:M,0)),"")</f>
        <v>N/A</v>
      </c>
      <c r="J81" s="82" t="b">
        <f>IFERROR(INDEX(tbMoves!K:K,MATCH(ROWS(tbMoves!$1:79),tbMoves!M:M,0)),"")</f>
        <v>1</v>
      </c>
      <c r="K81" s="82" t="b">
        <f>IFERROR(INDEX(tbMoves!L:L,MATCH(ROWS(tbMoves!$1:79),tbMoves!M:M,0)),"")</f>
        <v>0</v>
      </c>
      <c r="L81" s="3"/>
    </row>
    <row r="82" spans="1:12" x14ac:dyDescent="0.25">
      <c r="A82" s="81" t="str">
        <f>IFERROR(INDEX(tbMoves!B:B,MATCH(ROWS(tbMoves!$1:80),tbMoves!M:M,0)),"")</f>
        <v>Midair Spinning Blade Dance Finisher (R1)</v>
      </c>
      <c r="B82" s="82" t="str">
        <f>IFERROR(INDEX(tbMoves!C:C,MATCH(ROWS(tbMoves!$1:80),tbMoves!M:M,0)),"")</f>
        <v>Sever</v>
      </c>
      <c r="C82" s="82">
        <f>IFERROR(INDEX(tbMoves!D:D,MATCH(ROWS(tbMoves!$1:80),tbMoves!M:M,0)),"")</f>
        <v>20</v>
      </c>
      <c r="D82" s="82">
        <f>IFERROR(INDEX(tbMoves!E:E,MATCH(ROWS(tbMoves!$1:80),tbMoves!M:M,0)),"")</f>
        <v>0</v>
      </c>
      <c r="E82" s="82">
        <f>IFERROR(INDEX(tbMoves!F:F,MATCH(ROWS(tbMoves!$1:80),tbMoves!M:M,0)),"")</f>
        <v>1</v>
      </c>
      <c r="F82" s="82">
        <f>IFERROR(INDEX(tbMoves!G:G,MATCH(ROWS(tbMoves!$1:80),tbMoves!M:M,0)),"")</f>
        <v>0.7</v>
      </c>
      <c r="G82" s="82">
        <f>IFERROR(INDEX(tbMoves!H:H,MATCH(ROWS(tbMoves!$1:80),tbMoves!M:M,0)),"")</f>
        <v>0.7</v>
      </c>
      <c r="H82" s="82" t="str">
        <f>IFERROR(INDEX(tbMoves!I:I,MATCH(ROWS(tbMoves!$1:80),tbMoves!M:M,0)),"")</f>
        <v>N/A</v>
      </c>
      <c r="I82" s="82" t="str">
        <f>IFERROR(INDEX(tbMoves!J:J,MATCH(ROWS(tbMoves!$1:80),tbMoves!M:M,0)),"")</f>
        <v>N/A</v>
      </c>
      <c r="J82" s="82" t="b">
        <f>IFERROR(INDEX(tbMoves!K:K,MATCH(ROWS(tbMoves!$1:80),tbMoves!M:M,0)),"")</f>
        <v>1</v>
      </c>
      <c r="K82" s="82" t="b">
        <f>IFERROR(INDEX(tbMoves!L:L,MATCH(ROWS(tbMoves!$1:80),tbMoves!M:M,0)),"")</f>
        <v>0</v>
      </c>
      <c r="L82" s="3"/>
    </row>
    <row r="83" spans="1:12" x14ac:dyDescent="0.25">
      <c r="A83" s="81" t="str">
        <f>IFERROR(INDEX(tbMoves!B:B,MATCH(ROWS(tbMoves!$1:81),tbMoves!M:M,0)),"")</f>
        <v>Heavenly Blade Dance (L1)</v>
      </c>
      <c r="B83" s="82" t="str">
        <f>IFERROR(INDEX(tbMoves!C:C,MATCH(ROWS(tbMoves!$1:81),tbMoves!M:M,0)),"")</f>
        <v>Sever</v>
      </c>
      <c r="C83" s="82">
        <f>IFERROR(INDEX(tbMoves!D:D,MATCH(ROWS(tbMoves!$1:81),tbMoves!M:M,0)),"")</f>
        <v>17</v>
      </c>
      <c r="D83" s="82">
        <f>IFERROR(INDEX(tbMoves!E:E,MATCH(ROWS(tbMoves!$1:81),tbMoves!M:M,0)),"")</f>
        <v>0</v>
      </c>
      <c r="E83" s="82">
        <f>IFERROR(INDEX(tbMoves!F:F,MATCH(ROWS(tbMoves!$1:81),tbMoves!M:M,0)),"")</f>
        <v>1</v>
      </c>
      <c r="F83" s="82">
        <f>IFERROR(INDEX(tbMoves!G:G,MATCH(ROWS(tbMoves!$1:81),tbMoves!M:M,0)),"")</f>
        <v>0.4</v>
      </c>
      <c r="G83" s="82">
        <f>IFERROR(INDEX(tbMoves!H:H,MATCH(ROWS(tbMoves!$1:81),tbMoves!M:M,0)),"")</f>
        <v>0.4</v>
      </c>
      <c r="H83" s="82" t="str">
        <f>IFERROR(INDEX(tbMoves!I:I,MATCH(ROWS(tbMoves!$1:81),tbMoves!M:M,0)),"")</f>
        <v>N/A</v>
      </c>
      <c r="I83" s="82" t="str">
        <f>IFERROR(INDEX(tbMoves!J:J,MATCH(ROWS(tbMoves!$1:81),tbMoves!M:M,0)),"")</f>
        <v>N/A</v>
      </c>
      <c r="J83" s="82" t="b">
        <f>IFERROR(INDEX(tbMoves!K:K,MATCH(ROWS(tbMoves!$1:81),tbMoves!M:M,0)),"")</f>
        <v>1</v>
      </c>
      <c r="K83" s="82" t="b">
        <f>IFERROR(INDEX(tbMoves!L:L,MATCH(ROWS(tbMoves!$1:81),tbMoves!M:M,0)),"")</f>
        <v>0</v>
      </c>
      <c r="L83" s="3"/>
    </row>
    <row r="84" spans="1:12" x14ac:dyDescent="0.25">
      <c r="A84" s="81" t="str">
        <f>IFERROR(INDEX(tbMoves!B:B,MATCH(ROWS(tbMoves!$1:82),tbMoves!M:M,0)),"")</f>
        <v>Heavenly Blade Dance (R1)</v>
      </c>
      <c r="B84" s="82" t="str">
        <f>IFERROR(INDEX(tbMoves!C:C,MATCH(ROWS(tbMoves!$1:82),tbMoves!M:M,0)),"")</f>
        <v>Sever</v>
      </c>
      <c r="C84" s="82">
        <f>IFERROR(INDEX(tbMoves!D:D,MATCH(ROWS(tbMoves!$1:82),tbMoves!M:M,0)),"")</f>
        <v>11</v>
      </c>
      <c r="D84" s="82">
        <f>IFERROR(INDEX(tbMoves!E:E,MATCH(ROWS(tbMoves!$1:82),tbMoves!M:M,0)),"")</f>
        <v>0</v>
      </c>
      <c r="E84" s="82">
        <f>IFERROR(INDEX(tbMoves!F:F,MATCH(ROWS(tbMoves!$1:82),tbMoves!M:M,0)),"")</f>
        <v>1</v>
      </c>
      <c r="F84" s="82">
        <f>IFERROR(INDEX(tbMoves!G:G,MATCH(ROWS(tbMoves!$1:82),tbMoves!M:M,0)),"")</f>
        <v>0.4</v>
      </c>
      <c r="G84" s="82">
        <f>IFERROR(INDEX(tbMoves!H:H,MATCH(ROWS(tbMoves!$1:82),tbMoves!M:M,0)),"")</f>
        <v>0.4</v>
      </c>
      <c r="H84" s="82" t="str">
        <f>IFERROR(INDEX(tbMoves!I:I,MATCH(ROWS(tbMoves!$1:82),tbMoves!M:M,0)),"")</f>
        <v>N/A</v>
      </c>
      <c r="I84" s="82" t="str">
        <f>IFERROR(INDEX(tbMoves!J:J,MATCH(ROWS(tbMoves!$1:82),tbMoves!M:M,0)),"")</f>
        <v>N/A</v>
      </c>
      <c r="J84" s="82" t="b">
        <f>IFERROR(INDEX(tbMoves!K:K,MATCH(ROWS(tbMoves!$1:82),tbMoves!M:M,0)),"")</f>
        <v>1</v>
      </c>
      <c r="K84" s="82" t="b">
        <f>IFERROR(INDEX(tbMoves!L:L,MATCH(ROWS(tbMoves!$1:82),tbMoves!M:M,0)),"")</f>
        <v>0</v>
      </c>
      <c r="L84" s="3"/>
    </row>
    <row r="85" spans="1:12" x14ac:dyDescent="0.25">
      <c r="A85" s="81" t="str">
        <f>IFERROR(INDEX(tbMoves!B:B,MATCH(ROWS(tbMoves!$1:83),tbMoves!M:M,0)),"")</f>
        <v>Heavenly Blade Dance (L2)</v>
      </c>
      <c r="B85" s="82" t="str">
        <f>IFERROR(INDEX(tbMoves!C:C,MATCH(ROWS(tbMoves!$1:83),tbMoves!M:M,0)),"")</f>
        <v>Sever</v>
      </c>
      <c r="C85" s="82">
        <f>IFERROR(INDEX(tbMoves!D:D,MATCH(ROWS(tbMoves!$1:83),tbMoves!M:M,0)),"")</f>
        <v>11</v>
      </c>
      <c r="D85" s="82">
        <f>IFERROR(INDEX(tbMoves!E:E,MATCH(ROWS(tbMoves!$1:83),tbMoves!M:M,0)),"")</f>
        <v>0</v>
      </c>
      <c r="E85" s="82">
        <f>IFERROR(INDEX(tbMoves!F:F,MATCH(ROWS(tbMoves!$1:83),tbMoves!M:M,0)),"")</f>
        <v>1</v>
      </c>
      <c r="F85" s="82">
        <f>IFERROR(INDEX(tbMoves!G:G,MATCH(ROWS(tbMoves!$1:83),tbMoves!M:M,0)),"")</f>
        <v>0.4</v>
      </c>
      <c r="G85" s="82">
        <f>IFERROR(INDEX(tbMoves!H:H,MATCH(ROWS(tbMoves!$1:83),tbMoves!M:M,0)),"")</f>
        <v>0.4</v>
      </c>
      <c r="H85" s="82" t="str">
        <f>IFERROR(INDEX(tbMoves!I:I,MATCH(ROWS(tbMoves!$1:83),tbMoves!M:M,0)),"")</f>
        <v>N/A</v>
      </c>
      <c r="I85" s="82" t="str">
        <f>IFERROR(INDEX(tbMoves!J:J,MATCH(ROWS(tbMoves!$1:83),tbMoves!M:M,0)),"")</f>
        <v>N/A</v>
      </c>
      <c r="J85" s="82" t="b">
        <f>IFERROR(INDEX(tbMoves!K:K,MATCH(ROWS(tbMoves!$1:83),tbMoves!M:M,0)),"")</f>
        <v>1</v>
      </c>
      <c r="K85" s="82" t="b">
        <f>IFERROR(INDEX(tbMoves!L:L,MATCH(ROWS(tbMoves!$1:83),tbMoves!M:M,0)),"")</f>
        <v>0</v>
      </c>
      <c r="L85" s="3"/>
    </row>
    <row r="86" spans="1:12" x14ac:dyDescent="0.25">
      <c r="A86" s="81" t="str">
        <f>IFERROR(INDEX(tbMoves!B:B,MATCH(ROWS(tbMoves!$1:84),tbMoves!M:M,0)),"")</f>
        <v>Heavenly Blade Dance (R2)</v>
      </c>
      <c r="B86" s="82" t="str">
        <f>IFERROR(INDEX(tbMoves!C:C,MATCH(ROWS(tbMoves!$1:84),tbMoves!M:M,0)),"")</f>
        <v>Sever</v>
      </c>
      <c r="C86" s="82">
        <f>IFERROR(INDEX(tbMoves!D:D,MATCH(ROWS(tbMoves!$1:84),tbMoves!M:M,0)),"")</f>
        <v>17</v>
      </c>
      <c r="D86" s="82">
        <f>IFERROR(INDEX(tbMoves!E:E,MATCH(ROWS(tbMoves!$1:84),tbMoves!M:M,0)),"")</f>
        <v>0</v>
      </c>
      <c r="E86" s="82">
        <f>IFERROR(INDEX(tbMoves!F:F,MATCH(ROWS(tbMoves!$1:84),tbMoves!M:M,0)),"")</f>
        <v>1</v>
      </c>
      <c r="F86" s="82">
        <f>IFERROR(INDEX(tbMoves!G:G,MATCH(ROWS(tbMoves!$1:84),tbMoves!M:M,0)),"")</f>
        <v>0.4</v>
      </c>
      <c r="G86" s="82">
        <f>IFERROR(INDEX(tbMoves!H:H,MATCH(ROWS(tbMoves!$1:84),tbMoves!M:M,0)),"")</f>
        <v>0.4</v>
      </c>
      <c r="H86" s="82" t="str">
        <f>IFERROR(INDEX(tbMoves!I:I,MATCH(ROWS(tbMoves!$1:84),tbMoves!M:M,0)),"")</f>
        <v>N/A</v>
      </c>
      <c r="I86" s="82" t="str">
        <f>IFERROR(INDEX(tbMoves!J:J,MATCH(ROWS(tbMoves!$1:84),tbMoves!M:M,0)),"")</f>
        <v>N/A</v>
      </c>
      <c r="J86" s="82" t="b">
        <f>IFERROR(INDEX(tbMoves!K:K,MATCH(ROWS(tbMoves!$1:84),tbMoves!M:M,0)),"")</f>
        <v>1</v>
      </c>
      <c r="K86" s="82" t="b">
        <f>IFERROR(INDEX(tbMoves!L:L,MATCH(ROWS(tbMoves!$1:84),tbMoves!M:M,0)),"")</f>
        <v>0</v>
      </c>
      <c r="L86" s="3"/>
    </row>
    <row r="87" spans="1:12" x14ac:dyDescent="0.25">
      <c r="A87" s="81" t="str">
        <f>IFERROR(INDEX(tbMoves!B:B,MATCH(ROWS(tbMoves!$1:85),tbMoves!M:M,0)),"")</f>
        <v>Heavenly Blade Dance Finisher (R)</v>
      </c>
      <c r="B87" s="82" t="str">
        <f>IFERROR(INDEX(tbMoves!C:C,MATCH(ROWS(tbMoves!$1:85),tbMoves!M:M,0)),"")</f>
        <v>Sever</v>
      </c>
      <c r="C87" s="82">
        <f>IFERROR(INDEX(tbMoves!D:D,MATCH(ROWS(tbMoves!$1:85),tbMoves!M:M,0)),"")</f>
        <v>21</v>
      </c>
      <c r="D87" s="82">
        <f>IFERROR(INDEX(tbMoves!E:E,MATCH(ROWS(tbMoves!$1:85),tbMoves!M:M,0)),"")</f>
        <v>0</v>
      </c>
      <c r="E87" s="82">
        <f>IFERROR(INDEX(tbMoves!F:F,MATCH(ROWS(tbMoves!$1:85),tbMoves!M:M,0)),"")</f>
        <v>1</v>
      </c>
      <c r="F87" s="82">
        <f>IFERROR(INDEX(tbMoves!G:G,MATCH(ROWS(tbMoves!$1:85),tbMoves!M:M,0)),"")</f>
        <v>1</v>
      </c>
      <c r="G87" s="82">
        <f>IFERROR(INDEX(tbMoves!H:H,MATCH(ROWS(tbMoves!$1:85),tbMoves!M:M,0)),"")</f>
        <v>1</v>
      </c>
      <c r="H87" s="82" t="str">
        <f>IFERROR(INDEX(tbMoves!I:I,MATCH(ROWS(tbMoves!$1:85),tbMoves!M:M,0)),"")</f>
        <v>N/A</v>
      </c>
      <c r="I87" s="82" t="str">
        <f>IFERROR(INDEX(tbMoves!J:J,MATCH(ROWS(tbMoves!$1:85),tbMoves!M:M,0)),"")</f>
        <v>N/A</v>
      </c>
      <c r="J87" s="82" t="b">
        <f>IFERROR(INDEX(tbMoves!K:K,MATCH(ROWS(tbMoves!$1:85),tbMoves!M:M,0)),"")</f>
        <v>1</v>
      </c>
      <c r="K87" s="82" t="b">
        <f>IFERROR(INDEX(tbMoves!L:L,MATCH(ROWS(tbMoves!$1:85),tbMoves!M:M,0)),"")</f>
        <v>0</v>
      </c>
      <c r="L87" s="3"/>
    </row>
    <row r="88" spans="1:12" x14ac:dyDescent="0.25">
      <c r="A88" s="81" t="str">
        <f>IFERROR(INDEX(tbMoves!B:B,MATCH(ROWS(tbMoves!$1:86),tbMoves!M:M,0)),"")</f>
        <v>Heavenly Blade Dance Finisher (L)</v>
      </c>
      <c r="B88" s="82" t="str">
        <f>IFERROR(INDEX(tbMoves!C:C,MATCH(ROWS(tbMoves!$1:86),tbMoves!M:M,0)),"")</f>
        <v>Sever</v>
      </c>
      <c r="C88" s="82">
        <f>IFERROR(INDEX(tbMoves!D:D,MATCH(ROWS(tbMoves!$1:86),tbMoves!M:M,0)),"")</f>
        <v>21</v>
      </c>
      <c r="D88" s="82">
        <f>IFERROR(INDEX(tbMoves!E:E,MATCH(ROWS(tbMoves!$1:86),tbMoves!M:M,0)),"")</f>
        <v>0</v>
      </c>
      <c r="E88" s="82">
        <f>IFERROR(INDEX(tbMoves!F:F,MATCH(ROWS(tbMoves!$1:86),tbMoves!M:M,0)),"")</f>
        <v>1</v>
      </c>
      <c r="F88" s="82">
        <f>IFERROR(INDEX(tbMoves!G:G,MATCH(ROWS(tbMoves!$1:86),tbMoves!M:M,0)),"")</f>
        <v>1</v>
      </c>
      <c r="G88" s="82">
        <f>IFERROR(INDEX(tbMoves!H:H,MATCH(ROWS(tbMoves!$1:86),tbMoves!M:M,0)),"")</f>
        <v>1</v>
      </c>
      <c r="H88" s="82" t="str">
        <f>IFERROR(INDEX(tbMoves!I:I,MATCH(ROWS(tbMoves!$1:86),tbMoves!M:M,0)),"")</f>
        <v>N/A</v>
      </c>
      <c r="I88" s="82" t="str">
        <f>IFERROR(INDEX(tbMoves!J:J,MATCH(ROWS(tbMoves!$1:86),tbMoves!M:M,0)),"")</f>
        <v>N/A</v>
      </c>
      <c r="J88" s="82" t="b">
        <f>IFERROR(INDEX(tbMoves!K:K,MATCH(ROWS(tbMoves!$1:86),tbMoves!M:M,0)),"")</f>
        <v>1</v>
      </c>
      <c r="K88" s="82" t="b">
        <f>IFERROR(INDEX(tbMoves!L:L,MATCH(ROWS(tbMoves!$1:86),tbMoves!M:M,0)),"")</f>
        <v>0</v>
      </c>
      <c r="L88" s="3"/>
    </row>
    <row r="89" spans="1:12" x14ac:dyDescent="0.25">
      <c r="A89" s="81" t="str">
        <f>IFERROR(INDEX(tbMoves!B:B,MATCH(ROWS(tbMoves!$1:87),tbMoves!M:M,0)),"")</f>
        <v>Spinning Blade Dance Finisher (L1)</v>
      </c>
      <c r="B89" s="82" t="str">
        <f>IFERROR(INDEX(tbMoves!C:C,MATCH(ROWS(tbMoves!$1:87),tbMoves!M:M,0)),"")</f>
        <v>Sever</v>
      </c>
      <c r="C89" s="82">
        <f>IFERROR(INDEX(tbMoves!D:D,MATCH(ROWS(tbMoves!$1:87),tbMoves!M:M,0)),"")</f>
        <v>20</v>
      </c>
      <c r="D89" s="82">
        <f>IFERROR(INDEX(tbMoves!E:E,MATCH(ROWS(tbMoves!$1:87),tbMoves!M:M,0)),"")</f>
        <v>0</v>
      </c>
      <c r="E89" s="82">
        <f>IFERROR(INDEX(tbMoves!F:F,MATCH(ROWS(tbMoves!$1:87),tbMoves!M:M,0)),"")</f>
        <v>1</v>
      </c>
      <c r="F89" s="82">
        <f>IFERROR(INDEX(tbMoves!G:G,MATCH(ROWS(tbMoves!$1:87),tbMoves!M:M,0)),"")</f>
        <v>0.7</v>
      </c>
      <c r="G89" s="82">
        <f>IFERROR(INDEX(tbMoves!H:H,MATCH(ROWS(tbMoves!$1:87),tbMoves!M:M,0)),"")</f>
        <v>0.7</v>
      </c>
      <c r="H89" s="82" t="str">
        <f>IFERROR(INDEX(tbMoves!I:I,MATCH(ROWS(tbMoves!$1:87),tbMoves!M:M,0)),"")</f>
        <v>N/A</v>
      </c>
      <c r="I89" s="82" t="str">
        <f>IFERROR(INDEX(tbMoves!J:J,MATCH(ROWS(tbMoves!$1:87),tbMoves!M:M,0)),"")</f>
        <v>N/A</v>
      </c>
      <c r="J89" s="82" t="b">
        <f>IFERROR(INDEX(tbMoves!K:K,MATCH(ROWS(tbMoves!$1:87),tbMoves!M:M,0)),"")</f>
        <v>1</v>
      </c>
      <c r="K89" s="82" t="b">
        <f>IFERROR(INDEX(tbMoves!L:L,MATCH(ROWS(tbMoves!$1:87),tbMoves!M:M,0)),"")</f>
        <v>0</v>
      </c>
      <c r="L89" s="3"/>
    </row>
    <row r="90" spans="1:12" x14ac:dyDescent="0.25">
      <c r="A90" s="81" t="str">
        <f>IFERROR(INDEX(tbMoves!B:B,MATCH(ROWS(tbMoves!$1:88),tbMoves!M:M,0)),"")</f>
        <v>Spinning Blade Dance Finisher (R1)</v>
      </c>
      <c r="B90" s="82" t="str">
        <f>IFERROR(INDEX(tbMoves!C:C,MATCH(ROWS(tbMoves!$1:88),tbMoves!M:M,0)),"")</f>
        <v>Sever</v>
      </c>
      <c r="C90" s="82">
        <f>IFERROR(INDEX(tbMoves!D:D,MATCH(ROWS(tbMoves!$1:88),tbMoves!M:M,0)),"")</f>
        <v>20</v>
      </c>
      <c r="D90" s="82">
        <f>IFERROR(INDEX(tbMoves!E:E,MATCH(ROWS(tbMoves!$1:88),tbMoves!M:M,0)),"")</f>
        <v>0</v>
      </c>
      <c r="E90" s="82">
        <f>IFERROR(INDEX(tbMoves!F:F,MATCH(ROWS(tbMoves!$1:88),tbMoves!M:M,0)),"")</f>
        <v>1</v>
      </c>
      <c r="F90" s="82">
        <f>IFERROR(INDEX(tbMoves!G:G,MATCH(ROWS(tbMoves!$1:88),tbMoves!M:M,0)),"")</f>
        <v>0.7</v>
      </c>
      <c r="G90" s="82">
        <f>IFERROR(INDEX(tbMoves!H:H,MATCH(ROWS(tbMoves!$1:88),tbMoves!M:M,0)),"")</f>
        <v>0.7</v>
      </c>
      <c r="H90" s="82" t="str">
        <f>IFERROR(INDEX(tbMoves!I:I,MATCH(ROWS(tbMoves!$1:88),tbMoves!M:M,0)),"")</f>
        <v>N/A</v>
      </c>
      <c r="I90" s="82" t="str">
        <f>IFERROR(INDEX(tbMoves!J:J,MATCH(ROWS(tbMoves!$1:88),tbMoves!M:M,0)),"")</f>
        <v>N/A</v>
      </c>
      <c r="J90" s="82" t="b">
        <f>IFERROR(INDEX(tbMoves!K:K,MATCH(ROWS(tbMoves!$1:88),tbMoves!M:M,0)),"")</f>
        <v>1</v>
      </c>
      <c r="K90" s="82" t="b">
        <f>IFERROR(INDEX(tbMoves!L:L,MATCH(ROWS(tbMoves!$1:88),tbMoves!M:M,0)),"")</f>
        <v>0</v>
      </c>
      <c r="L90" s="3"/>
    </row>
    <row r="91" spans="1:12" x14ac:dyDescent="0.25">
      <c r="A91" s="81" t="str">
        <f>IFERROR(INDEX(tbMoves!B:B,MATCH(ROWS(tbMoves!$1:89),tbMoves!M:M,0)),"")</f>
        <v>Spinning Blade Dance Finisher (L2)</v>
      </c>
      <c r="B91" s="82" t="str">
        <f>IFERROR(INDEX(tbMoves!C:C,MATCH(ROWS(tbMoves!$1:89),tbMoves!M:M,0)),"")</f>
        <v>Sever</v>
      </c>
      <c r="C91" s="82">
        <f>IFERROR(INDEX(tbMoves!D:D,MATCH(ROWS(tbMoves!$1:89),tbMoves!M:M,0)),"")</f>
        <v>12</v>
      </c>
      <c r="D91" s="82">
        <f>IFERROR(INDEX(tbMoves!E:E,MATCH(ROWS(tbMoves!$1:89),tbMoves!M:M,0)),"")</f>
        <v>0</v>
      </c>
      <c r="E91" s="82">
        <f>IFERROR(INDEX(tbMoves!F:F,MATCH(ROWS(tbMoves!$1:89),tbMoves!M:M,0)),"")</f>
        <v>1</v>
      </c>
      <c r="F91" s="82">
        <f>IFERROR(INDEX(tbMoves!G:G,MATCH(ROWS(tbMoves!$1:89),tbMoves!M:M,0)),"")</f>
        <v>0.7</v>
      </c>
      <c r="G91" s="82">
        <f>IFERROR(INDEX(tbMoves!H:H,MATCH(ROWS(tbMoves!$1:89),tbMoves!M:M,0)),"")</f>
        <v>0.7</v>
      </c>
      <c r="H91" s="82" t="str">
        <f>IFERROR(INDEX(tbMoves!I:I,MATCH(ROWS(tbMoves!$1:89),tbMoves!M:M,0)),"")</f>
        <v>N/A</v>
      </c>
      <c r="I91" s="82" t="str">
        <f>IFERROR(INDEX(tbMoves!J:J,MATCH(ROWS(tbMoves!$1:89),tbMoves!M:M,0)),"")</f>
        <v>N/A</v>
      </c>
      <c r="J91" s="82" t="b">
        <f>IFERROR(INDEX(tbMoves!K:K,MATCH(ROWS(tbMoves!$1:89),tbMoves!M:M,0)),"")</f>
        <v>1</v>
      </c>
      <c r="K91" s="82" t="b">
        <f>IFERROR(INDEX(tbMoves!L:L,MATCH(ROWS(tbMoves!$1:89),tbMoves!M:M,0)),"")</f>
        <v>0</v>
      </c>
      <c r="L91" s="3"/>
    </row>
    <row r="92" spans="1:12" x14ac:dyDescent="0.25">
      <c r="A92" s="81" t="str">
        <f>IFERROR(INDEX(tbMoves!B:B,MATCH(ROWS(tbMoves!$1:90),tbMoves!M:M,0)),"")</f>
        <v>Spinning Blade Dance Finisher (R2)</v>
      </c>
      <c r="B92" s="82" t="str">
        <f>IFERROR(INDEX(tbMoves!C:C,MATCH(ROWS(tbMoves!$1:90),tbMoves!M:M,0)),"")</f>
        <v>Sever</v>
      </c>
      <c r="C92" s="82">
        <f>IFERROR(INDEX(tbMoves!D:D,MATCH(ROWS(tbMoves!$1:90),tbMoves!M:M,0)),"")</f>
        <v>12</v>
      </c>
      <c r="D92" s="82">
        <f>IFERROR(INDEX(tbMoves!E:E,MATCH(ROWS(tbMoves!$1:90),tbMoves!M:M,0)),"")</f>
        <v>0</v>
      </c>
      <c r="E92" s="82">
        <f>IFERROR(INDEX(tbMoves!F:F,MATCH(ROWS(tbMoves!$1:90),tbMoves!M:M,0)),"")</f>
        <v>1</v>
      </c>
      <c r="F92" s="82">
        <f>IFERROR(INDEX(tbMoves!G:G,MATCH(ROWS(tbMoves!$1:90),tbMoves!M:M,0)),"")</f>
        <v>0.7</v>
      </c>
      <c r="G92" s="82">
        <f>IFERROR(INDEX(tbMoves!H:H,MATCH(ROWS(tbMoves!$1:90),tbMoves!M:M,0)),"")</f>
        <v>0.7</v>
      </c>
      <c r="H92" s="82" t="str">
        <f>IFERROR(INDEX(tbMoves!I:I,MATCH(ROWS(tbMoves!$1:90),tbMoves!M:M,0)),"")</f>
        <v>N/A</v>
      </c>
      <c r="I92" s="82" t="str">
        <f>IFERROR(INDEX(tbMoves!J:J,MATCH(ROWS(tbMoves!$1:90),tbMoves!M:M,0)),"")</f>
        <v>N/A</v>
      </c>
      <c r="J92" s="82" t="b">
        <f>IFERROR(INDEX(tbMoves!K:K,MATCH(ROWS(tbMoves!$1:90),tbMoves!M:M,0)),"")</f>
        <v>1</v>
      </c>
      <c r="K92" s="82" t="b">
        <f>IFERROR(INDEX(tbMoves!L:L,MATCH(ROWS(tbMoves!$1:90),tbMoves!M:M,0)),"")</f>
        <v>0</v>
      </c>
      <c r="L92" s="3"/>
    </row>
    <row r="93" spans="1:12" x14ac:dyDescent="0.25">
      <c r="A93" s="81" t="str">
        <f>IFERROR(INDEX(tbMoves!B:B,MATCH(ROWS(tbMoves!$1:91),tbMoves!M:M,0)),"")</f>
        <v>[Clutching] Weapon Attack (L1, R1)</v>
      </c>
      <c r="B93" s="82" t="str">
        <f>IFERROR(INDEX(tbMoves!C:C,MATCH(ROWS(tbMoves!$1:91),tbMoves!M:M,0)),"")</f>
        <v>Sever</v>
      </c>
      <c r="C93" s="82">
        <f>IFERROR(INDEX(tbMoves!D:D,MATCH(ROWS(tbMoves!$1:91),tbMoves!M:M,0)),"")</f>
        <v>13</v>
      </c>
      <c r="D93" s="82">
        <f>IFERROR(INDEX(tbMoves!E:E,MATCH(ROWS(tbMoves!$1:91),tbMoves!M:M,0)),"")</f>
        <v>0</v>
      </c>
      <c r="E93" s="82">
        <f>IFERROR(INDEX(tbMoves!F:F,MATCH(ROWS(tbMoves!$1:91),tbMoves!M:M,0)),"")</f>
        <v>0</v>
      </c>
      <c r="F93" s="82">
        <f>IFERROR(INDEX(tbMoves!G:G,MATCH(ROWS(tbMoves!$1:91),tbMoves!M:M,0)),"")</f>
        <v>0.7</v>
      </c>
      <c r="G93" s="82">
        <f>IFERROR(INDEX(tbMoves!H:H,MATCH(ROWS(tbMoves!$1:91),tbMoves!M:M,0)),"")</f>
        <v>0.7</v>
      </c>
      <c r="H93" s="82" t="str">
        <f>IFERROR(INDEX(tbMoves!I:I,MATCH(ROWS(tbMoves!$1:91),tbMoves!M:M,0)),"")</f>
        <v>N/A</v>
      </c>
      <c r="I93" s="82" t="str">
        <f>IFERROR(INDEX(tbMoves!J:J,MATCH(ROWS(tbMoves!$1:91),tbMoves!M:M,0)),"")</f>
        <v>N/A</v>
      </c>
      <c r="J93" s="82" t="b">
        <f>IFERROR(INDEX(tbMoves!K:K,MATCH(ROWS(tbMoves!$1:91),tbMoves!M:M,0)),"")</f>
        <v>1</v>
      </c>
      <c r="K93" s="82" t="b">
        <f>IFERROR(INDEX(tbMoves!L:L,MATCH(ROWS(tbMoves!$1:91),tbMoves!M:M,0)),"")</f>
        <v>0</v>
      </c>
      <c r="L93" s="3"/>
    </row>
    <row r="94" spans="1:12" x14ac:dyDescent="0.25">
      <c r="A94" s="81" t="str">
        <f>IFERROR(INDEX(tbMoves!B:B,MATCH(ROWS(tbMoves!$1:92),tbMoves!M:M,0)),"")</f>
        <v>[Clutching] Weapon Attack (R2)</v>
      </c>
      <c r="B94" s="82" t="str">
        <f>IFERROR(INDEX(tbMoves!C:C,MATCH(ROWS(tbMoves!$1:92),tbMoves!M:M,0)),"")</f>
        <v>Sever</v>
      </c>
      <c r="C94" s="82">
        <f>IFERROR(INDEX(tbMoves!D:D,MATCH(ROWS(tbMoves!$1:92),tbMoves!M:M,0)),"")</f>
        <v>13</v>
      </c>
      <c r="D94" s="82">
        <f>IFERROR(INDEX(tbMoves!E:E,MATCH(ROWS(tbMoves!$1:92),tbMoves!M:M,0)),"")</f>
        <v>0</v>
      </c>
      <c r="E94" s="82">
        <f>IFERROR(INDEX(tbMoves!F:F,MATCH(ROWS(tbMoves!$1:92),tbMoves!M:M,0)),"")</f>
        <v>0</v>
      </c>
      <c r="F94" s="82">
        <f>IFERROR(INDEX(tbMoves!G:G,MATCH(ROWS(tbMoves!$1:92),tbMoves!M:M,0)),"")</f>
        <v>0.7</v>
      </c>
      <c r="G94" s="82">
        <f>IFERROR(INDEX(tbMoves!H:H,MATCH(ROWS(tbMoves!$1:92),tbMoves!M:M,0)),"")</f>
        <v>0.7</v>
      </c>
      <c r="H94" s="82" t="str">
        <f>IFERROR(INDEX(tbMoves!I:I,MATCH(ROWS(tbMoves!$1:92),tbMoves!M:M,0)),"")</f>
        <v>N/A</v>
      </c>
      <c r="I94" s="82" t="str">
        <f>IFERROR(INDEX(tbMoves!J:J,MATCH(ROWS(tbMoves!$1:92),tbMoves!M:M,0)),"")</f>
        <v>N/A</v>
      </c>
      <c r="J94" s="82" t="b">
        <f>IFERROR(INDEX(tbMoves!K:K,MATCH(ROWS(tbMoves!$1:92),tbMoves!M:M,0)),"")</f>
        <v>1</v>
      </c>
      <c r="K94" s="82" t="b">
        <f>IFERROR(INDEX(tbMoves!L:L,MATCH(ROWS(tbMoves!$1:92),tbMoves!M:M,0)),"")</f>
        <v>0</v>
      </c>
      <c r="L94" s="3"/>
    </row>
    <row r="95" spans="1:12" x14ac:dyDescent="0.25">
      <c r="A95" s="81" t="str">
        <f>IFERROR(INDEX(tbMoves!B:B,MATCH(ROWS(tbMoves!$1:93),tbMoves!M:M,0)),"")</f>
        <v>[Clutching] Weapon Attack (L2)</v>
      </c>
      <c r="B95" s="82" t="str">
        <f>IFERROR(INDEX(tbMoves!C:C,MATCH(ROWS(tbMoves!$1:93),tbMoves!M:M,0)),"")</f>
        <v>Sever</v>
      </c>
      <c r="C95" s="82">
        <f>IFERROR(INDEX(tbMoves!D:D,MATCH(ROWS(tbMoves!$1:93),tbMoves!M:M,0)),"")</f>
        <v>9</v>
      </c>
      <c r="D95" s="82">
        <f>IFERROR(INDEX(tbMoves!E:E,MATCH(ROWS(tbMoves!$1:93),tbMoves!M:M,0)),"")</f>
        <v>0</v>
      </c>
      <c r="E95" s="82">
        <f>IFERROR(INDEX(tbMoves!F:F,MATCH(ROWS(tbMoves!$1:93),tbMoves!M:M,0)),"")</f>
        <v>0</v>
      </c>
      <c r="F95" s="82">
        <f>IFERROR(INDEX(tbMoves!G:G,MATCH(ROWS(tbMoves!$1:93),tbMoves!M:M,0)),"")</f>
        <v>0.5</v>
      </c>
      <c r="G95" s="82">
        <f>IFERROR(INDEX(tbMoves!H:H,MATCH(ROWS(tbMoves!$1:93),tbMoves!M:M,0)),"")</f>
        <v>0.5</v>
      </c>
      <c r="H95" s="82" t="str">
        <f>IFERROR(INDEX(tbMoves!I:I,MATCH(ROWS(tbMoves!$1:93),tbMoves!M:M,0)),"")</f>
        <v>N/A</v>
      </c>
      <c r="I95" s="82" t="str">
        <f>IFERROR(INDEX(tbMoves!J:J,MATCH(ROWS(tbMoves!$1:93),tbMoves!M:M,0)),"")</f>
        <v>N/A</v>
      </c>
      <c r="J95" s="82" t="b">
        <f>IFERROR(INDEX(tbMoves!K:K,MATCH(ROWS(tbMoves!$1:93),tbMoves!M:M,0)),"")</f>
        <v>1</v>
      </c>
      <c r="K95" s="82" t="b">
        <f>IFERROR(INDEX(tbMoves!L:L,MATCH(ROWS(tbMoves!$1:93),tbMoves!M:M,0)),"")</f>
        <v>0</v>
      </c>
      <c r="L95" s="3"/>
    </row>
    <row r="96" spans="1:12" x14ac:dyDescent="0.25">
      <c r="A96" s="81" t="str">
        <f>IFERROR(INDEX(tbMoves!B:B,MATCH(ROWS(tbMoves!$1:94),tbMoves!M:M,0)),"")</f>
        <v>[Clutching] Weapon Attack (R3)</v>
      </c>
      <c r="B96" s="82" t="str">
        <f>IFERROR(INDEX(tbMoves!C:C,MATCH(ROWS(tbMoves!$1:94),tbMoves!M:M,0)),"")</f>
        <v>Sever</v>
      </c>
      <c r="C96" s="82">
        <f>IFERROR(INDEX(tbMoves!D:D,MATCH(ROWS(tbMoves!$1:94),tbMoves!M:M,0)),"")</f>
        <v>9</v>
      </c>
      <c r="D96" s="82">
        <f>IFERROR(INDEX(tbMoves!E:E,MATCH(ROWS(tbMoves!$1:94),tbMoves!M:M,0)),"")</f>
        <v>0</v>
      </c>
      <c r="E96" s="82">
        <f>IFERROR(INDEX(tbMoves!F:F,MATCH(ROWS(tbMoves!$1:94),tbMoves!M:M,0)),"")</f>
        <v>0</v>
      </c>
      <c r="F96" s="82">
        <f>IFERROR(INDEX(tbMoves!G:G,MATCH(ROWS(tbMoves!$1:94),tbMoves!M:M,0)),"")</f>
        <v>0.7</v>
      </c>
      <c r="G96" s="82">
        <f>IFERROR(INDEX(tbMoves!H:H,MATCH(ROWS(tbMoves!$1:94),tbMoves!M:M,0)),"")</f>
        <v>0.7</v>
      </c>
      <c r="H96" s="82" t="str">
        <f>IFERROR(INDEX(tbMoves!I:I,MATCH(ROWS(tbMoves!$1:94),tbMoves!M:M,0)),"")</f>
        <v>N/A</v>
      </c>
      <c r="I96" s="82" t="str">
        <f>IFERROR(INDEX(tbMoves!J:J,MATCH(ROWS(tbMoves!$1:94),tbMoves!M:M,0)),"")</f>
        <v>N/A</v>
      </c>
      <c r="J96" s="82" t="b">
        <f>IFERROR(INDEX(tbMoves!K:K,MATCH(ROWS(tbMoves!$1:94),tbMoves!M:M,0)),"")</f>
        <v>1</v>
      </c>
      <c r="K96" s="82" t="b">
        <f>IFERROR(INDEX(tbMoves!L:L,MATCH(ROWS(tbMoves!$1:94),tbMoves!M:M,0)),"")</f>
        <v>0</v>
      </c>
      <c r="L96" s="3"/>
    </row>
    <row r="97" spans="1:12" x14ac:dyDescent="0.25">
      <c r="A97" s="81" t="str">
        <f>IFERROR(INDEX(tbMoves!B:B,MATCH(ROWS(tbMoves!$1:95),tbMoves!M:M,0)),"")</f>
        <v>[Clutching] Weapon Attack (L3 Repeated)</v>
      </c>
      <c r="B97" s="82" t="str">
        <f>IFERROR(INDEX(tbMoves!C:C,MATCH(ROWS(tbMoves!$1:95),tbMoves!M:M,0)),"")</f>
        <v>Sever</v>
      </c>
      <c r="C97" s="82">
        <f>IFERROR(INDEX(tbMoves!D:D,MATCH(ROWS(tbMoves!$1:95),tbMoves!M:M,0)),"")</f>
        <v>9</v>
      </c>
      <c r="D97" s="82">
        <f>IFERROR(INDEX(tbMoves!E:E,MATCH(ROWS(tbMoves!$1:95),tbMoves!M:M,0)),"")</f>
        <v>0</v>
      </c>
      <c r="E97" s="82">
        <f>IFERROR(INDEX(tbMoves!F:F,MATCH(ROWS(tbMoves!$1:95),tbMoves!M:M,0)),"")</f>
        <v>1</v>
      </c>
      <c r="F97" s="82">
        <f>IFERROR(INDEX(tbMoves!G:G,MATCH(ROWS(tbMoves!$1:95),tbMoves!M:M,0)),"")</f>
        <v>0.7</v>
      </c>
      <c r="G97" s="82">
        <f>IFERROR(INDEX(tbMoves!H:H,MATCH(ROWS(tbMoves!$1:95),tbMoves!M:M,0)),"")</f>
        <v>0.7</v>
      </c>
      <c r="H97" s="82" t="str">
        <f>IFERROR(INDEX(tbMoves!I:I,MATCH(ROWS(tbMoves!$1:95),tbMoves!M:M,0)),"")</f>
        <v>N/A</v>
      </c>
      <c r="I97" s="82" t="str">
        <f>IFERROR(INDEX(tbMoves!J:J,MATCH(ROWS(tbMoves!$1:95),tbMoves!M:M,0)),"")</f>
        <v>N/A</v>
      </c>
      <c r="J97" s="82" t="b">
        <f>IFERROR(INDEX(tbMoves!K:K,MATCH(ROWS(tbMoves!$1:95),tbMoves!M:M,0)),"")</f>
        <v>1</v>
      </c>
      <c r="K97" s="82" t="b">
        <f>IFERROR(INDEX(tbMoves!L:L,MATCH(ROWS(tbMoves!$1:95),tbMoves!M:M,0)),"")</f>
        <v>0</v>
      </c>
      <c r="L97" s="3"/>
    </row>
    <row r="98" spans="1:12" x14ac:dyDescent="0.25">
      <c r="A98" s="81" t="str">
        <f>IFERROR(INDEX(tbMoves!B:B,MATCH(ROWS(tbMoves!$1:96),tbMoves!M:M,0)),"")</f>
        <v>[Clutching] Weapon Attack (R4 Repeated)</v>
      </c>
      <c r="B98" s="82" t="str">
        <f>IFERROR(INDEX(tbMoves!C:C,MATCH(ROWS(tbMoves!$1:96),tbMoves!M:M,0)),"")</f>
        <v>Sever</v>
      </c>
      <c r="C98" s="82">
        <f>IFERROR(INDEX(tbMoves!D:D,MATCH(ROWS(tbMoves!$1:96),tbMoves!M:M,0)),"")</f>
        <v>9</v>
      </c>
      <c r="D98" s="82">
        <f>IFERROR(INDEX(tbMoves!E:E,MATCH(ROWS(tbMoves!$1:96),tbMoves!M:M,0)),"")</f>
        <v>0</v>
      </c>
      <c r="E98" s="82">
        <f>IFERROR(INDEX(tbMoves!F:F,MATCH(ROWS(tbMoves!$1:96),tbMoves!M:M,0)),"")</f>
        <v>1</v>
      </c>
      <c r="F98" s="82">
        <f>IFERROR(INDEX(tbMoves!G:G,MATCH(ROWS(tbMoves!$1:96),tbMoves!M:M,0)),"")</f>
        <v>0.7</v>
      </c>
      <c r="G98" s="82">
        <f>IFERROR(INDEX(tbMoves!H:H,MATCH(ROWS(tbMoves!$1:96),tbMoves!M:M,0)),"")</f>
        <v>0.7</v>
      </c>
      <c r="H98" s="82" t="str">
        <f>IFERROR(INDEX(tbMoves!I:I,MATCH(ROWS(tbMoves!$1:96),tbMoves!M:M,0)),"")</f>
        <v>N/A</v>
      </c>
      <c r="I98" s="82" t="str">
        <f>IFERROR(INDEX(tbMoves!J:J,MATCH(ROWS(tbMoves!$1:96),tbMoves!M:M,0)),"")</f>
        <v>N/A</v>
      </c>
      <c r="J98" s="82" t="b">
        <f>IFERROR(INDEX(tbMoves!K:K,MATCH(ROWS(tbMoves!$1:96),tbMoves!M:M,0)),"")</f>
        <v>1</v>
      </c>
      <c r="K98" s="82" t="b">
        <f>IFERROR(INDEX(tbMoves!L:L,MATCH(ROWS(tbMoves!$1:96),tbMoves!M:M,0)),"")</f>
        <v>0</v>
      </c>
      <c r="L98" s="3"/>
    </row>
    <row r="99" spans="1:12" x14ac:dyDescent="0.25">
      <c r="A99" s="81" t="str">
        <f>IFERROR(INDEX(tbMoves!B:B,MATCH(ROWS(tbMoves!$1:97),tbMoves!M:M,0)),"")</f>
        <v>[Clutching] Spinning Rising Slash (L)</v>
      </c>
      <c r="B99" s="82" t="str">
        <f>IFERROR(INDEX(tbMoves!C:C,MATCH(ROWS(tbMoves!$1:97),tbMoves!M:M,0)),"")</f>
        <v>Sever</v>
      </c>
      <c r="C99" s="82">
        <f>IFERROR(INDEX(tbMoves!D:D,MATCH(ROWS(tbMoves!$1:97),tbMoves!M:M,0)),"")</f>
        <v>23</v>
      </c>
      <c r="D99" s="82">
        <f>IFERROR(INDEX(tbMoves!E:E,MATCH(ROWS(tbMoves!$1:97),tbMoves!M:M,0)),"")</f>
        <v>0</v>
      </c>
      <c r="E99" s="82">
        <f>IFERROR(INDEX(tbMoves!F:F,MATCH(ROWS(tbMoves!$1:97),tbMoves!M:M,0)),"")</f>
        <v>1.1000000000000001</v>
      </c>
      <c r="F99" s="82">
        <f>IFERROR(INDEX(tbMoves!G:G,MATCH(ROWS(tbMoves!$1:97),tbMoves!M:M,0)),"")</f>
        <v>1</v>
      </c>
      <c r="G99" s="82">
        <f>IFERROR(INDEX(tbMoves!H:H,MATCH(ROWS(tbMoves!$1:97),tbMoves!M:M,0)),"")</f>
        <v>1</v>
      </c>
      <c r="H99" s="82" t="str">
        <f>IFERROR(INDEX(tbMoves!I:I,MATCH(ROWS(tbMoves!$1:97),tbMoves!M:M,0)),"")</f>
        <v>N/A</v>
      </c>
      <c r="I99" s="82" t="str">
        <f>IFERROR(INDEX(tbMoves!J:J,MATCH(ROWS(tbMoves!$1:97),tbMoves!M:M,0)),"")</f>
        <v>N/A</v>
      </c>
      <c r="J99" s="82" t="b">
        <f>IFERROR(INDEX(tbMoves!K:K,MATCH(ROWS(tbMoves!$1:97),tbMoves!M:M,0)),"")</f>
        <v>1</v>
      </c>
      <c r="K99" s="82" t="b">
        <f>IFERROR(INDEX(tbMoves!L:L,MATCH(ROWS(tbMoves!$1:97),tbMoves!M:M,0)),"")</f>
        <v>0</v>
      </c>
      <c r="L99" s="3"/>
    </row>
    <row r="100" spans="1:12" x14ac:dyDescent="0.25">
      <c r="A100" s="81" t="str">
        <f>IFERROR(INDEX(tbMoves!B:B,MATCH(ROWS(tbMoves!$1:98),tbMoves!M:M,0)),"")</f>
        <v>[Clutching] Spinning Rising Slash (R)</v>
      </c>
      <c r="B100" s="82" t="str">
        <f>IFERROR(INDEX(tbMoves!C:C,MATCH(ROWS(tbMoves!$1:98),tbMoves!M:M,0)),"")</f>
        <v>Sever</v>
      </c>
      <c r="C100" s="82">
        <f>IFERROR(INDEX(tbMoves!D:D,MATCH(ROWS(tbMoves!$1:98),tbMoves!M:M,0)),"")</f>
        <v>23</v>
      </c>
      <c r="D100" s="82">
        <f>IFERROR(INDEX(tbMoves!E:E,MATCH(ROWS(tbMoves!$1:98),tbMoves!M:M,0)),"")</f>
        <v>0</v>
      </c>
      <c r="E100" s="82">
        <f>IFERROR(INDEX(tbMoves!F:F,MATCH(ROWS(tbMoves!$1:98),tbMoves!M:M,0)),"")</f>
        <v>1.1000000000000001</v>
      </c>
      <c r="F100" s="82">
        <f>IFERROR(INDEX(tbMoves!G:G,MATCH(ROWS(tbMoves!$1:98),tbMoves!M:M,0)),"")</f>
        <v>1</v>
      </c>
      <c r="G100" s="82">
        <f>IFERROR(INDEX(tbMoves!H:H,MATCH(ROWS(tbMoves!$1:98),tbMoves!M:M,0)),"")</f>
        <v>1</v>
      </c>
      <c r="H100" s="82" t="str">
        <f>IFERROR(INDEX(tbMoves!I:I,MATCH(ROWS(tbMoves!$1:98),tbMoves!M:M,0)),"")</f>
        <v>N/A</v>
      </c>
      <c r="I100" s="82" t="str">
        <f>IFERROR(INDEX(tbMoves!J:J,MATCH(ROWS(tbMoves!$1:98),tbMoves!M:M,0)),"")</f>
        <v>N/A</v>
      </c>
      <c r="J100" s="82" t="b">
        <f>IFERROR(INDEX(tbMoves!K:K,MATCH(ROWS(tbMoves!$1:98),tbMoves!M:M,0)),"")</f>
        <v>1</v>
      </c>
      <c r="K100" s="82" t="b">
        <f>IFERROR(INDEX(tbMoves!L:L,MATCH(ROWS(tbMoves!$1:98),tbMoves!M:M,0)),"")</f>
        <v>0</v>
      </c>
      <c r="L100" s="3"/>
    </row>
    <row r="101" spans="1:12" x14ac:dyDescent="0.25">
      <c r="A101" s="81" t="str">
        <f>IFERROR(INDEX(tbMoves!B:B,MATCH(ROWS(tbMoves!$1:99),tbMoves!M:M,0)),"")</f>
        <v>[Mounting] Demon Flurry (L1)</v>
      </c>
      <c r="B101" s="82" t="str">
        <f>IFERROR(INDEX(tbMoves!C:C,MATCH(ROWS(tbMoves!$1:99),tbMoves!M:M,0)),"")</f>
        <v>Sever</v>
      </c>
      <c r="C101" s="82">
        <f>IFERROR(INDEX(tbMoves!D:D,MATCH(ROWS(tbMoves!$1:99),tbMoves!M:M,0)),"")</f>
        <v>18</v>
      </c>
      <c r="D101" s="82">
        <f>IFERROR(INDEX(tbMoves!E:E,MATCH(ROWS(tbMoves!$1:99),tbMoves!M:M,0)),"")</f>
        <v>0</v>
      </c>
      <c r="E101" s="82">
        <f>IFERROR(INDEX(tbMoves!F:F,MATCH(ROWS(tbMoves!$1:99),tbMoves!M:M,0)),"")</f>
        <v>0</v>
      </c>
      <c r="F101" s="82">
        <f>IFERROR(INDEX(tbMoves!G:G,MATCH(ROWS(tbMoves!$1:99),tbMoves!M:M,0)),"")</f>
        <v>1</v>
      </c>
      <c r="G101" s="82">
        <f>IFERROR(INDEX(tbMoves!H:H,MATCH(ROWS(tbMoves!$1:99),tbMoves!M:M,0)),"")</f>
        <v>1</v>
      </c>
      <c r="H101" s="82" t="str">
        <f>IFERROR(INDEX(tbMoves!I:I,MATCH(ROWS(tbMoves!$1:99),tbMoves!M:M,0)),"")</f>
        <v>N/A</v>
      </c>
      <c r="I101" s="82" t="str">
        <f>IFERROR(INDEX(tbMoves!J:J,MATCH(ROWS(tbMoves!$1:99),tbMoves!M:M,0)),"")</f>
        <v>N/A</v>
      </c>
      <c r="J101" s="82" t="b">
        <f>IFERROR(INDEX(tbMoves!K:K,MATCH(ROWS(tbMoves!$1:99),tbMoves!M:M,0)),"")</f>
        <v>1</v>
      </c>
      <c r="K101" s="82" t="b">
        <f>IFERROR(INDEX(tbMoves!L:L,MATCH(ROWS(tbMoves!$1:99),tbMoves!M:M,0)),"")</f>
        <v>0</v>
      </c>
      <c r="L101" s="3"/>
    </row>
    <row r="102" spans="1:12" x14ac:dyDescent="0.25">
      <c r="A102" s="81" t="str">
        <f>IFERROR(INDEX(tbMoves!B:B,MATCH(ROWS(tbMoves!$1:100),tbMoves!M:M,0)),"")</f>
        <v>[Mounting] Demon Flurry (R1)</v>
      </c>
      <c r="B102" s="82" t="str">
        <f>IFERROR(INDEX(tbMoves!C:C,MATCH(ROWS(tbMoves!$1:100),tbMoves!M:M,0)),"")</f>
        <v>Sever</v>
      </c>
      <c r="C102" s="82">
        <f>IFERROR(INDEX(tbMoves!D:D,MATCH(ROWS(tbMoves!$1:100),tbMoves!M:M,0)),"")</f>
        <v>18</v>
      </c>
      <c r="D102" s="82">
        <f>IFERROR(INDEX(tbMoves!E:E,MATCH(ROWS(tbMoves!$1:100),tbMoves!M:M,0)),"")</f>
        <v>0</v>
      </c>
      <c r="E102" s="82">
        <f>IFERROR(INDEX(tbMoves!F:F,MATCH(ROWS(tbMoves!$1:100),tbMoves!M:M,0)),"")</f>
        <v>0</v>
      </c>
      <c r="F102" s="82">
        <f>IFERROR(INDEX(tbMoves!G:G,MATCH(ROWS(tbMoves!$1:100),tbMoves!M:M,0)),"")</f>
        <v>1</v>
      </c>
      <c r="G102" s="82">
        <f>IFERROR(INDEX(tbMoves!H:H,MATCH(ROWS(tbMoves!$1:100),tbMoves!M:M,0)),"")</f>
        <v>1</v>
      </c>
      <c r="H102" s="82" t="str">
        <f>IFERROR(INDEX(tbMoves!I:I,MATCH(ROWS(tbMoves!$1:100),tbMoves!M:M,0)),"")</f>
        <v>N/A</v>
      </c>
      <c r="I102" s="82" t="str">
        <f>IFERROR(INDEX(tbMoves!J:J,MATCH(ROWS(tbMoves!$1:100),tbMoves!M:M,0)),"")</f>
        <v>N/A</v>
      </c>
      <c r="J102" s="82" t="b">
        <f>IFERROR(INDEX(tbMoves!K:K,MATCH(ROWS(tbMoves!$1:100),tbMoves!M:M,0)),"")</f>
        <v>1</v>
      </c>
      <c r="K102" s="82" t="b">
        <f>IFERROR(INDEX(tbMoves!L:L,MATCH(ROWS(tbMoves!$1:100),tbMoves!M:M,0)),"")</f>
        <v>0</v>
      </c>
      <c r="L102" s="3"/>
    </row>
    <row r="103" spans="1:12" x14ac:dyDescent="0.25">
      <c r="A103" s="81" t="str">
        <f>IFERROR(INDEX(tbMoves!B:B,MATCH(ROWS(tbMoves!$1:101),tbMoves!M:M,0)),"")</f>
        <v>[Mounting] Demon Flurry (R2)</v>
      </c>
      <c r="B103" s="82" t="str">
        <f>IFERROR(INDEX(tbMoves!C:C,MATCH(ROWS(tbMoves!$1:101),tbMoves!M:M,0)),"")</f>
        <v>Sever</v>
      </c>
      <c r="C103" s="82">
        <f>IFERROR(INDEX(tbMoves!D:D,MATCH(ROWS(tbMoves!$1:101),tbMoves!M:M,0)),"")</f>
        <v>10</v>
      </c>
      <c r="D103" s="82">
        <f>IFERROR(INDEX(tbMoves!E:E,MATCH(ROWS(tbMoves!$1:101),tbMoves!M:M,0)),"")</f>
        <v>0</v>
      </c>
      <c r="E103" s="82">
        <f>IFERROR(INDEX(tbMoves!F:F,MATCH(ROWS(tbMoves!$1:101),tbMoves!M:M,0)),"")</f>
        <v>0</v>
      </c>
      <c r="F103" s="82">
        <f>IFERROR(INDEX(tbMoves!G:G,MATCH(ROWS(tbMoves!$1:101),tbMoves!M:M,0)),"")</f>
        <v>0.5</v>
      </c>
      <c r="G103" s="82">
        <f>IFERROR(INDEX(tbMoves!H:H,MATCH(ROWS(tbMoves!$1:101),tbMoves!M:M,0)),"")</f>
        <v>0.4</v>
      </c>
      <c r="H103" s="82" t="str">
        <f>IFERROR(INDEX(tbMoves!I:I,MATCH(ROWS(tbMoves!$1:101),tbMoves!M:M,0)),"")</f>
        <v>N/A</v>
      </c>
      <c r="I103" s="82" t="str">
        <f>IFERROR(INDEX(tbMoves!J:J,MATCH(ROWS(tbMoves!$1:101),tbMoves!M:M,0)),"")</f>
        <v>N/A</v>
      </c>
      <c r="J103" s="82" t="b">
        <f>IFERROR(INDEX(tbMoves!K:K,MATCH(ROWS(tbMoves!$1:101),tbMoves!M:M,0)),"")</f>
        <v>1</v>
      </c>
      <c r="K103" s="82" t="b">
        <f>IFERROR(INDEX(tbMoves!L:L,MATCH(ROWS(tbMoves!$1:101),tbMoves!M:M,0)),"")</f>
        <v>0</v>
      </c>
      <c r="L103" s="3"/>
    </row>
    <row r="104" spans="1:12" x14ac:dyDescent="0.25">
      <c r="A104" s="81" t="str">
        <f>IFERROR(INDEX(tbMoves!B:B,MATCH(ROWS(tbMoves!$1:102),tbMoves!M:M,0)),"")</f>
        <v>[Mounting] Demon Flurry (L2)</v>
      </c>
      <c r="B104" s="82" t="str">
        <f>IFERROR(INDEX(tbMoves!C:C,MATCH(ROWS(tbMoves!$1:102),tbMoves!M:M,0)),"")</f>
        <v>Sever</v>
      </c>
      <c r="C104" s="82">
        <f>IFERROR(INDEX(tbMoves!D:D,MATCH(ROWS(tbMoves!$1:102),tbMoves!M:M,0)),"")</f>
        <v>10</v>
      </c>
      <c r="D104" s="82">
        <f>IFERROR(INDEX(tbMoves!E:E,MATCH(ROWS(tbMoves!$1:102),tbMoves!M:M,0)),"")</f>
        <v>0</v>
      </c>
      <c r="E104" s="82">
        <f>IFERROR(INDEX(tbMoves!F:F,MATCH(ROWS(tbMoves!$1:102),tbMoves!M:M,0)),"")</f>
        <v>0</v>
      </c>
      <c r="F104" s="82">
        <f>IFERROR(INDEX(tbMoves!G:G,MATCH(ROWS(tbMoves!$1:102),tbMoves!M:M,0)),"")</f>
        <v>0.5</v>
      </c>
      <c r="G104" s="82">
        <f>IFERROR(INDEX(tbMoves!H:H,MATCH(ROWS(tbMoves!$1:102),tbMoves!M:M,0)),"")</f>
        <v>0.4</v>
      </c>
      <c r="H104" s="82" t="str">
        <f>IFERROR(INDEX(tbMoves!I:I,MATCH(ROWS(tbMoves!$1:102),tbMoves!M:M,0)),"")</f>
        <v>N/A</v>
      </c>
      <c r="I104" s="82" t="str">
        <f>IFERROR(INDEX(tbMoves!J:J,MATCH(ROWS(tbMoves!$1:102),tbMoves!M:M,0)),"")</f>
        <v>N/A</v>
      </c>
      <c r="J104" s="82" t="b">
        <f>IFERROR(INDEX(tbMoves!K:K,MATCH(ROWS(tbMoves!$1:102),tbMoves!M:M,0)),"")</f>
        <v>1</v>
      </c>
      <c r="K104" s="82" t="b">
        <f>IFERROR(INDEX(tbMoves!L:L,MATCH(ROWS(tbMoves!$1:102),tbMoves!M:M,0)),"")</f>
        <v>0</v>
      </c>
      <c r="L104" s="3"/>
    </row>
    <row r="105" spans="1:12" x14ac:dyDescent="0.25">
      <c r="A105" s="81" t="str">
        <f>IFERROR(INDEX(tbMoves!B:B,MATCH(ROWS(tbMoves!$1:103),tbMoves!M:M,0)),"")</f>
        <v>[Mounting] Demon Flurry (R3)</v>
      </c>
      <c r="B105" s="82" t="str">
        <f>IFERROR(INDEX(tbMoves!C:C,MATCH(ROWS(tbMoves!$1:103),tbMoves!M:M,0)),"")</f>
        <v>Sever</v>
      </c>
      <c r="C105" s="82">
        <f>IFERROR(INDEX(tbMoves!D:D,MATCH(ROWS(tbMoves!$1:103),tbMoves!M:M,0)),"")</f>
        <v>8</v>
      </c>
      <c r="D105" s="82">
        <f>IFERROR(INDEX(tbMoves!E:E,MATCH(ROWS(tbMoves!$1:103),tbMoves!M:M,0)),"")</f>
        <v>0</v>
      </c>
      <c r="E105" s="82">
        <f>IFERROR(INDEX(tbMoves!F:F,MATCH(ROWS(tbMoves!$1:103),tbMoves!M:M,0)),"")</f>
        <v>0</v>
      </c>
      <c r="F105" s="82">
        <f>IFERROR(INDEX(tbMoves!G:G,MATCH(ROWS(tbMoves!$1:103),tbMoves!M:M,0)),"")</f>
        <v>0.5</v>
      </c>
      <c r="G105" s="82">
        <f>IFERROR(INDEX(tbMoves!H:H,MATCH(ROWS(tbMoves!$1:103),tbMoves!M:M,0)),"")</f>
        <v>0.4</v>
      </c>
      <c r="H105" s="82" t="str">
        <f>IFERROR(INDEX(tbMoves!I:I,MATCH(ROWS(tbMoves!$1:103),tbMoves!M:M,0)),"")</f>
        <v>N/A</v>
      </c>
      <c r="I105" s="82" t="str">
        <f>IFERROR(INDEX(tbMoves!J:J,MATCH(ROWS(tbMoves!$1:103),tbMoves!M:M,0)),"")</f>
        <v>N/A</v>
      </c>
      <c r="J105" s="82" t="b">
        <f>IFERROR(INDEX(tbMoves!K:K,MATCH(ROWS(tbMoves!$1:103),tbMoves!M:M,0)),"")</f>
        <v>1</v>
      </c>
      <c r="K105" s="82" t="b">
        <f>IFERROR(INDEX(tbMoves!L:L,MATCH(ROWS(tbMoves!$1:103),tbMoves!M:M,0)),"")</f>
        <v>0</v>
      </c>
      <c r="L105" s="3"/>
    </row>
    <row r="106" spans="1:12" x14ac:dyDescent="0.25">
      <c r="A106" s="81" t="str">
        <f>IFERROR(INDEX(tbMoves!B:B,MATCH(ROWS(tbMoves!$1:104),tbMoves!M:M,0)),"")</f>
        <v>[Mounting] Demon Flurry (L3)</v>
      </c>
      <c r="B106" s="82" t="str">
        <f>IFERROR(INDEX(tbMoves!C:C,MATCH(ROWS(tbMoves!$1:104),tbMoves!M:M,0)),"")</f>
        <v>Sever</v>
      </c>
      <c r="C106" s="82">
        <f>IFERROR(INDEX(tbMoves!D:D,MATCH(ROWS(tbMoves!$1:104),tbMoves!M:M,0)),"")</f>
        <v>12</v>
      </c>
      <c r="D106" s="82">
        <f>IFERROR(INDEX(tbMoves!E:E,MATCH(ROWS(tbMoves!$1:104),tbMoves!M:M,0)),"")</f>
        <v>0</v>
      </c>
      <c r="E106" s="82">
        <f>IFERROR(INDEX(tbMoves!F:F,MATCH(ROWS(tbMoves!$1:104),tbMoves!M:M,0)),"")</f>
        <v>0</v>
      </c>
      <c r="F106" s="82">
        <f>IFERROR(INDEX(tbMoves!G:G,MATCH(ROWS(tbMoves!$1:104),tbMoves!M:M,0)),"")</f>
        <v>0.5</v>
      </c>
      <c r="G106" s="82">
        <f>IFERROR(INDEX(tbMoves!H:H,MATCH(ROWS(tbMoves!$1:104),tbMoves!M:M,0)),"")</f>
        <v>0.4</v>
      </c>
      <c r="H106" s="82" t="str">
        <f>IFERROR(INDEX(tbMoves!I:I,MATCH(ROWS(tbMoves!$1:104),tbMoves!M:M,0)),"")</f>
        <v>N/A</v>
      </c>
      <c r="I106" s="82" t="str">
        <f>IFERROR(INDEX(tbMoves!J:J,MATCH(ROWS(tbMoves!$1:104),tbMoves!M:M,0)),"")</f>
        <v>N/A</v>
      </c>
      <c r="J106" s="82" t="b">
        <f>IFERROR(INDEX(tbMoves!K:K,MATCH(ROWS(tbMoves!$1:104),tbMoves!M:M,0)),"")</f>
        <v>1</v>
      </c>
      <c r="K106" s="82" t="b">
        <f>IFERROR(INDEX(tbMoves!L:L,MATCH(ROWS(tbMoves!$1:104),tbMoves!M:M,0)),"")</f>
        <v>0</v>
      </c>
      <c r="L106" s="3"/>
    </row>
    <row r="107" spans="1:12" x14ac:dyDescent="0.25">
      <c r="A107" s="81" t="str">
        <f>IFERROR(INDEX(tbMoves!B:B,MATCH(ROWS(tbMoves!$1:105),tbMoves!M:M,0)),"")</f>
        <v>[Mounting] Demon Flurry (R4)</v>
      </c>
      <c r="B107" s="82" t="str">
        <f>IFERROR(INDEX(tbMoves!C:C,MATCH(ROWS(tbMoves!$1:105),tbMoves!M:M,0)),"")</f>
        <v>Sever</v>
      </c>
      <c r="C107" s="82">
        <f>IFERROR(INDEX(tbMoves!D:D,MATCH(ROWS(tbMoves!$1:105),tbMoves!M:M,0)),"")</f>
        <v>12</v>
      </c>
      <c r="D107" s="82">
        <f>IFERROR(INDEX(tbMoves!E:E,MATCH(ROWS(tbMoves!$1:105),tbMoves!M:M,0)),"")</f>
        <v>0</v>
      </c>
      <c r="E107" s="82">
        <f>IFERROR(INDEX(tbMoves!F:F,MATCH(ROWS(tbMoves!$1:105),tbMoves!M:M,0)),"")</f>
        <v>0</v>
      </c>
      <c r="F107" s="82">
        <f>IFERROR(INDEX(tbMoves!G:G,MATCH(ROWS(tbMoves!$1:105),tbMoves!M:M,0)),"")</f>
        <v>0.5</v>
      </c>
      <c r="G107" s="82">
        <f>IFERROR(INDEX(tbMoves!H:H,MATCH(ROWS(tbMoves!$1:105),tbMoves!M:M,0)),"")</f>
        <v>0.4</v>
      </c>
      <c r="H107" s="82" t="str">
        <f>IFERROR(INDEX(tbMoves!I:I,MATCH(ROWS(tbMoves!$1:105),tbMoves!M:M,0)),"")</f>
        <v>N/A</v>
      </c>
      <c r="I107" s="82" t="str">
        <f>IFERROR(INDEX(tbMoves!J:J,MATCH(ROWS(tbMoves!$1:105),tbMoves!M:M,0)),"")</f>
        <v>N/A</v>
      </c>
      <c r="J107" s="82" t="b">
        <f>IFERROR(INDEX(tbMoves!K:K,MATCH(ROWS(tbMoves!$1:105),tbMoves!M:M,0)),"")</f>
        <v>1</v>
      </c>
      <c r="K107" s="82" t="b">
        <f>IFERROR(INDEX(tbMoves!L:L,MATCH(ROWS(tbMoves!$1:105),tbMoves!M:M,0)),"")</f>
        <v>0</v>
      </c>
      <c r="L107" s="3"/>
    </row>
    <row r="108" spans="1:12" x14ac:dyDescent="0.25">
      <c r="A108" s="81" t="str">
        <f>IFERROR(INDEX(tbMoves!B:B,MATCH(ROWS(tbMoves!$1:106),tbMoves!M:M,0)),"")</f>
        <v>[Mounting] Demon Flurry (L Repeated)</v>
      </c>
      <c r="B108" s="82" t="str">
        <f>IFERROR(INDEX(tbMoves!C:C,MATCH(ROWS(tbMoves!$1:106),tbMoves!M:M,0)),"")</f>
        <v>Sever</v>
      </c>
      <c r="C108" s="82">
        <f>IFERROR(INDEX(tbMoves!D:D,MATCH(ROWS(tbMoves!$1:106),tbMoves!M:M,0)),"")</f>
        <v>10</v>
      </c>
      <c r="D108" s="82">
        <f>IFERROR(INDEX(tbMoves!E:E,MATCH(ROWS(tbMoves!$1:106),tbMoves!M:M,0)),"")</f>
        <v>0</v>
      </c>
      <c r="E108" s="82">
        <f>IFERROR(INDEX(tbMoves!F:F,MATCH(ROWS(tbMoves!$1:106),tbMoves!M:M,0)),"")</f>
        <v>0</v>
      </c>
      <c r="F108" s="82">
        <f>IFERROR(INDEX(tbMoves!G:G,MATCH(ROWS(tbMoves!$1:106),tbMoves!M:M,0)),"")</f>
        <v>0.7</v>
      </c>
      <c r="G108" s="82">
        <f>IFERROR(INDEX(tbMoves!H:H,MATCH(ROWS(tbMoves!$1:106),tbMoves!M:M,0)),"")</f>
        <v>0.6</v>
      </c>
      <c r="H108" s="82" t="str">
        <f>IFERROR(INDEX(tbMoves!I:I,MATCH(ROWS(tbMoves!$1:106),tbMoves!M:M,0)),"")</f>
        <v>N/A</v>
      </c>
      <c r="I108" s="82" t="str">
        <f>IFERROR(INDEX(tbMoves!J:J,MATCH(ROWS(tbMoves!$1:106),tbMoves!M:M,0)),"")</f>
        <v>N/A</v>
      </c>
      <c r="J108" s="82" t="b">
        <f>IFERROR(INDEX(tbMoves!K:K,MATCH(ROWS(tbMoves!$1:106),tbMoves!M:M,0)),"")</f>
        <v>1</v>
      </c>
      <c r="K108" s="82" t="b">
        <f>IFERROR(INDEX(tbMoves!L:L,MATCH(ROWS(tbMoves!$1:106),tbMoves!M:M,0)),"")</f>
        <v>0</v>
      </c>
      <c r="L108" s="3"/>
    </row>
    <row r="109" spans="1:12" x14ac:dyDescent="0.25">
      <c r="A109" s="81" t="str">
        <f>IFERROR(INDEX(tbMoves!B:B,MATCH(ROWS(tbMoves!$1:107),tbMoves!M:M,0)),"")</f>
        <v>[Mounting] Demon Flurry (R Repeated)</v>
      </c>
      <c r="B109" s="82" t="str">
        <f>IFERROR(INDEX(tbMoves!C:C,MATCH(ROWS(tbMoves!$1:107),tbMoves!M:M,0)),"")</f>
        <v>Sever</v>
      </c>
      <c r="C109" s="82">
        <f>IFERROR(INDEX(tbMoves!D:D,MATCH(ROWS(tbMoves!$1:107),tbMoves!M:M,0)),"")</f>
        <v>10</v>
      </c>
      <c r="D109" s="82">
        <f>IFERROR(INDEX(tbMoves!E:E,MATCH(ROWS(tbMoves!$1:107),tbMoves!M:M,0)),"")</f>
        <v>0</v>
      </c>
      <c r="E109" s="82">
        <f>IFERROR(INDEX(tbMoves!F:F,MATCH(ROWS(tbMoves!$1:107),tbMoves!M:M,0)),"")</f>
        <v>0</v>
      </c>
      <c r="F109" s="82">
        <f>IFERROR(INDEX(tbMoves!G:G,MATCH(ROWS(tbMoves!$1:107),tbMoves!M:M,0)),"")</f>
        <v>0.7</v>
      </c>
      <c r="G109" s="82">
        <f>IFERROR(INDEX(tbMoves!H:H,MATCH(ROWS(tbMoves!$1:107),tbMoves!M:M,0)),"")</f>
        <v>0.6</v>
      </c>
      <c r="H109" s="82" t="str">
        <f>IFERROR(INDEX(tbMoves!I:I,MATCH(ROWS(tbMoves!$1:107),tbMoves!M:M,0)),"")</f>
        <v>N/A</v>
      </c>
      <c r="I109" s="82" t="str">
        <f>IFERROR(INDEX(tbMoves!J:J,MATCH(ROWS(tbMoves!$1:107),tbMoves!M:M,0)),"")</f>
        <v>N/A</v>
      </c>
      <c r="J109" s="82" t="b">
        <f>IFERROR(INDEX(tbMoves!K:K,MATCH(ROWS(tbMoves!$1:107),tbMoves!M:M,0)),"")</f>
        <v>1</v>
      </c>
      <c r="K109" s="82" t="b">
        <f>IFERROR(INDEX(tbMoves!L:L,MATCH(ROWS(tbMoves!$1:107),tbMoves!M:M,0)),"")</f>
        <v>0</v>
      </c>
      <c r="L109" s="3"/>
    </row>
    <row r="110" spans="1:12" x14ac:dyDescent="0.25">
      <c r="A110" s="81" t="str">
        <f>IFERROR(INDEX(tbMoves!B:B,MATCH(ROWS(tbMoves!$1:108),tbMoves!M:M,0)),"")</f>
        <v>[Mounting] Demon Flurry (L Final)</v>
      </c>
      <c r="B110" s="82" t="str">
        <f>IFERROR(INDEX(tbMoves!C:C,MATCH(ROWS(tbMoves!$1:108),tbMoves!M:M,0)),"")</f>
        <v>Sever</v>
      </c>
      <c r="C110" s="82">
        <f>IFERROR(INDEX(tbMoves!D:D,MATCH(ROWS(tbMoves!$1:108),tbMoves!M:M,0)),"")</f>
        <v>23</v>
      </c>
      <c r="D110" s="82">
        <f>IFERROR(INDEX(tbMoves!E:E,MATCH(ROWS(tbMoves!$1:108),tbMoves!M:M,0)),"")</f>
        <v>0</v>
      </c>
      <c r="E110" s="82">
        <f>IFERROR(INDEX(tbMoves!F:F,MATCH(ROWS(tbMoves!$1:108),tbMoves!M:M,0)),"")</f>
        <v>1</v>
      </c>
      <c r="F110" s="82">
        <f>IFERROR(INDEX(tbMoves!G:G,MATCH(ROWS(tbMoves!$1:108),tbMoves!M:M,0)),"")</f>
        <v>1</v>
      </c>
      <c r="G110" s="82">
        <f>IFERROR(INDEX(tbMoves!H:H,MATCH(ROWS(tbMoves!$1:108),tbMoves!M:M,0)),"")</f>
        <v>1</v>
      </c>
      <c r="H110" s="82" t="str">
        <f>IFERROR(INDEX(tbMoves!I:I,MATCH(ROWS(tbMoves!$1:108),tbMoves!M:M,0)),"")</f>
        <v>N/A</v>
      </c>
      <c r="I110" s="82" t="str">
        <f>IFERROR(INDEX(tbMoves!J:J,MATCH(ROWS(tbMoves!$1:108),tbMoves!M:M,0)),"")</f>
        <v>N/A</v>
      </c>
      <c r="J110" s="82" t="b">
        <f>IFERROR(INDEX(tbMoves!K:K,MATCH(ROWS(tbMoves!$1:108),tbMoves!M:M,0)),"")</f>
        <v>1</v>
      </c>
      <c r="K110" s="82" t="b">
        <f>IFERROR(INDEX(tbMoves!L:L,MATCH(ROWS(tbMoves!$1:108),tbMoves!M:M,0)),"")</f>
        <v>0</v>
      </c>
      <c r="L110" s="3"/>
    </row>
    <row r="111" spans="1:12" x14ac:dyDescent="0.25">
      <c r="A111" s="81" t="str">
        <f>IFERROR(INDEX(tbMoves!B:B,MATCH(ROWS(tbMoves!$1:109),tbMoves!M:M,0)),"")</f>
        <v>[Mounting] Demon Flurry (R Final)</v>
      </c>
      <c r="B111" s="82" t="str">
        <f>IFERROR(INDEX(tbMoves!C:C,MATCH(ROWS(tbMoves!$1:109),tbMoves!M:M,0)),"")</f>
        <v>Sever</v>
      </c>
      <c r="C111" s="82">
        <f>IFERROR(INDEX(tbMoves!D:D,MATCH(ROWS(tbMoves!$1:109),tbMoves!M:M,0)),"")</f>
        <v>23</v>
      </c>
      <c r="D111" s="82">
        <f>IFERROR(INDEX(tbMoves!E:E,MATCH(ROWS(tbMoves!$1:109),tbMoves!M:M,0)),"")</f>
        <v>0</v>
      </c>
      <c r="E111" s="82">
        <f>IFERROR(INDEX(tbMoves!F:F,MATCH(ROWS(tbMoves!$1:109),tbMoves!M:M,0)),"")</f>
        <v>1</v>
      </c>
      <c r="F111" s="82">
        <f>IFERROR(INDEX(tbMoves!G:G,MATCH(ROWS(tbMoves!$1:109),tbMoves!M:M,0)),"")</f>
        <v>1</v>
      </c>
      <c r="G111" s="82">
        <f>IFERROR(INDEX(tbMoves!H:H,MATCH(ROWS(tbMoves!$1:109),tbMoves!M:M,0)),"")</f>
        <v>1</v>
      </c>
      <c r="H111" s="82" t="str">
        <f>IFERROR(INDEX(tbMoves!I:I,MATCH(ROWS(tbMoves!$1:109),tbMoves!M:M,0)),"")</f>
        <v>N/A</v>
      </c>
      <c r="I111" s="82" t="str">
        <f>IFERROR(INDEX(tbMoves!J:J,MATCH(ROWS(tbMoves!$1:109),tbMoves!M:M,0)),"")</f>
        <v>N/A</v>
      </c>
      <c r="J111" s="82" t="b">
        <f>IFERROR(INDEX(tbMoves!K:K,MATCH(ROWS(tbMoves!$1:109),tbMoves!M:M,0)),"")</f>
        <v>1</v>
      </c>
      <c r="K111" s="82" t="b">
        <f>IFERROR(INDEX(tbMoves!L:L,MATCH(ROWS(tbMoves!$1:109),tbMoves!M:M,0)),"")</f>
        <v>0</v>
      </c>
      <c r="L111" s="3"/>
    </row>
    <row r="112" spans="1:12" x14ac:dyDescent="0.25">
      <c r="A112" s="1" t="s">
        <v>1533</v>
      </c>
      <c r="B112" s="2" t="s">
        <v>0</v>
      </c>
      <c r="C112" s="2">
        <v>0</v>
      </c>
      <c r="D112" s="2"/>
      <c r="E112" s="2">
        <v>0</v>
      </c>
      <c r="F112" s="2">
        <v>0</v>
      </c>
      <c r="G112" s="2">
        <v>0</v>
      </c>
      <c r="H112" s="2" t="s">
        <v>862</v>
      </c>
      <c r="I112" s="2" t="s">
        <v>862</v>
      </c>
      <c r="J112" s="2" t="b">
        <v>0</v>
      </c>
      <c r="K112" s="2" t="b">
        <v>0</v>
      </c>
    </row>
  </sheetData>
  <dataValidations count="4">
    <dataValidation type="list" allowBlank="1" showInputMessage="1" showErrorMessage="1" sqref="H2 H112" xr:uid="{20283D4D-1B2A-4130-83D9-AAA57965ABE0}">
      <formula1>"N/A,Normal,Pierce,Special Ammo/Power,Spread,Other"</formula1>
    </dataValidation>
    <dataValidation type="list" allowBlank="1" showInputMessage="1" showErrorMessage="1" sqref="B2 B112" xr:uid="{E969E5E4-E8E3-43DC-AF60-41DD6709B8A0}">
      <formula1>"Sever,Blunt,Projectile"</formula1>
    </dataValidation>
    <dataValidation type="list" allowBlank="1" showInputMessage="1" showErrorMessage="1" sqref="I2 I112" xr:uid="{8F1222DF-9877-4792-B2FB-A101CE05D365}">
      <formula1>"N/A,Fire,Water,Thunder,Ice,Poison"</formula1>
    </dataValidation>
    <dataValidation type="list" allowBlank="1" showInputMessage="1" showErrorMessage="1" sqref="J112 J2 K2 K112" xr:uid="{43E6CA95-E7B9-452A-8D5E-70534CB2242E}">
      <formula1>"TRUE,FALSE"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12258-99D3-451A-BA7D-09866BF4C5C6}">
  <sheetPr codeName="Sheet16"/>
  <dimension ref="A1:M573"/>
  <sheetViews>
    <sheetView topLeftCell="A127" workbookViewId="0">
      <selection activeCell="C144" sqref="C144"/>
    </sheetView>
  </sheetViews>
  <sheetFormatPr defaultColWidth="10.42578125" defaultRowHeight="15" x14ac:dyDescent="0.25"/>
  <cols>
    <col min="1" max="1" width="14.5703125" style="67" bestFit="1" customWidth="1"/>
    <col min="2" max="2" width="58.7109375" style="20" bestFit="1" customWidth="1"/>
    <col min="3" max="3" width="9.5703125" style="71" bestFit="1" customWidth="1"/>
    <col min="4" max="4" width="14" style="20" bestFit="1" customWidth="1"/>
    <col min="5" max="5" width="6.85546875" style="20" bestFit="1" customWidth="1"/>
    <col min="6" max="6" width="4.5703125" style="20" bestFit="1" customWidth="1"/>
    <col min="7" max="7" width="18" style="71" bestFit="1" customWidth="1"/>
    <col min="8" max="8" width="15.85546875" style="71" bestFit="1" customWidth="1"/>
    <col min="9" max="9" width="20.42578125" style="71" bestFit="1" customWidth="1"/>
    <col min="10" max="10" width="8.7109375" style="20" bestFit="1" customWidth="1"/>
    <col min="11" max="11" width="7.140625" style="20" bestFit="1" customWidth="1"/>
    <col min="12" max="12" width="27.5703125" style="20" bestFit="1" customWidth="1"/>
    <col min="13" max="13" width="7" style="20" bestFit="1" customWidth="1"/>
    <col min="14" max="16384" width="10.42578125" style="20"/>
  </cols>
  <sheetData>
    <row r="1" spans="1:13" x14ac:dyDescent="0.25">
      <c r="A1" s="67" t="s">
        <v>186</v>
      </c>
      <c r="B1" s="20" t="s">
        <v>111</v>
      </c>
      <c r="C1" s="67" t="s">
        <v>112</v>
      </c>
      <c r="D1" s="67" t="s">
        <v>113</v>
      </c>
      <c r="E1" s="67" t="s">
        <v>114</v>
      </c>
      <c r="F1" s="67" t="s">
        <v>115</v>
      </c>
      <c r="G1" s="67" t="s">
        <v>116</v>
      </c>
      <c r="H1" s="67" t="s">
        <v>117</v>
      </c>
      <c r="I1" s="67" t="s">
        <v>890</v>
      </c>
      <c r="J1" s="67" t="s">
        <v>768</v>
      </c>
      <c r="K1" s="67" t="s">
        <v>900</v>
      </c>
      <c r="L1" s="67" t="s">
        <v>904</v>
      </c>
      <c r="M1" s="67" t="s">
        <v>515</v>
      </c>
    </row>
    <row r="2" spans="1:13" x14ac:dyDescent="0.25">
      <c r="A2" s="67" t="s">
        <v>214</v>
      </c>
      <c r="B2" s="77" t="s">
        <v>1136</v>
      </c>
      <c r="C2" s="73" t="s">
        <v>0</v>
      </c>
      <c r="D2" s="73">
        <v>48</v>
      </c>
      <c r="E2" s="73"/>
      <c r="F2" s="73">
        <v>1</v>
      </c>
      <c r="G2" s="73">
        <v>1</v>
      </c>
      <c r="H2" s="73">
        <v>1</v>
      </c>
      <c r="I2" s="73" t="s">
        <v>862</v>
      </c>
      <c r="J2" s="73" t="s">
        <v>862</v>
      </c>
      <c r="K2" s="79" t="b">
        <v>1</v>
      </c>
      <c r="L2" s="20" t="b">
        <v>0</v>
      </c>
      <c r="M2" s="20" t="str">
        <f>IF(A2=Backdoors!B2,1,"")</f>
        <v/>
      </c>
    </row>
    <row r="3" spans="1:13" x14ac:dyDescent="0.25">
      <c r="A3" s="67" t="s">
        <v>214</v>
      </c>
      <c r="B3" s="77" t="s">
        <v>1137</v>
      </c>
      <c r="C3" s="73" t="s">
        <v>120</v>
      </c>
      <c r="D3" s="73">
        <v>16</v>
      </c>
      <c r="E3" s="73"/>
      <c r="F3" s="73">
        <v>1</v>
      </c>
      <c r="G3" s="73">
        <v>1</v>
      </c>
      <c r="H3" s="73">
        <v>1</v>
      </c>
      <c r="I3" s="73" t="s">
        <v>862</v>
      </c>
      <c r="J3" s="73" t="s">
        <v>862</v>
      </c>
      <c r="K3" s="79" t="b">
        <v>1</v>
      </c>
      <c r="L3" s="20" t="b">
        <v>0</v>
      </c>
      <c r="M3" s="49" t="str">
        <f>IF(A3=Backdoors!B2,1+MAX(M2:M2),"")</f>
        <v/>
      </c>
    </row>
    <row r="4" spans="1:13" x14ac:dyDescent="0.25">
      <c r="A4" s="67" t="s">
        <v>214</v>
      </c>
      <c r="B4" s="77" t="s">
        <v>1138</v>
      </c>
      <c r="C4" s="73" t="s">
        <v>0</v>
      </c>
      <c r="D4" s="73">
        <v>48</v>
      </c>
      <c r="E4" s="73"/>
      <c r="F4" s="73">
        <v>1</v>
      </c>
      <c r="G4" s="73">
        <v>1</v>
      </c>
      <c r="H4" s="73">
        <v>1</v>
      </c>
      <c r="I4" s="73" t="s">
        <v>862</v>
      </c>
      <c r="J4" s="73" t="s">
        <v>862</v>
      </c>
      <c r="K4" s="79" t="b">
        <v>1</v>
      </c>
      <c r="L4" s="20" t="b">
        <v>0</v>
      </c>
      <c r="M4" s="49" t="str">
        <f>IF(A4=Backdoors!B2,1+MAX(M3:M3),"")</f>
        <v/>
      </c>
    </row>
    <row r="5" spans="1:13" x14ac:dyDescent="0.25">
      <c r="A5" s="67" t="s">
        <v>214</v>
      </c>
      <c r="B5" s="77" t="s">
        <v>1139</v>
      </c>
      <c r="C5" s="73" t="s">
        <v>0</v>
      </c>
      <c r="D5" s="73">
        <v>77</v>
      </c>
      <c r="E5" s="73"/>
      <c r="F5" s="73">
        <v>1</v>
      </c>
      <c r="G5" s="73">
        <v>1.3</v>
      </c>
      <c r="H5" s="73">
        <v>1.3</v>
      </c>
      <c r="I5" s="73" t="s">
        <v>862</v>
      </c>
      <c r="J5" s="73" t="s">
        <v>862</v>
      </c>
      <c r="K5" s="79" t="b">
        <v>1</v>
      </c>
      <c r="L5" s="20" t="b">
        <v>0</v>
      </c>
      <c r="M5" s="49" t="str">
        <f>IF(A5=Backdoors!B2,1+MAX(M4:M4),"")</f>
        <v/>
      </c>
    </row>
    <row r="6" spans="1:13" x14ac:dyDescent="0.25">
      <c r="A6" s="67" t="s">
        <v>214</v>
      </c>
      <c r="B6" s="77" t="s">
        <v>1140</v>
      </c>
      <c r="C6" s="73" t="s">
        <v>0</v>
      </c>
      <c r="D6" s="73">
        <v>110</v>
      </c>
      <c r="E6" s="73"/>
      <c r="F6" s="73">
        <v>1</v>
      </c>
      <c r="G6" s="73">
        <v>1.5</v>
      </c>
      <c r="H6" s="73">
        <v>1.5</v>
      </c>
      <c r="I6" s="73" t="s">
        <v>862</v>
      </c>
      <c r="J6" s="73" t="s">
        <v>862</v>
      </c>
      <c r="K6" s="79" t="b">
        <v>1</v>
      </c>
      <c r="L6" s="20" t="b">
        <v>0</v>
      </c>
      <c r="M6" s="49" t="str">
        <f>IF(A6=Backdoors!B2,1+MAX(M5:M5),"")</f>
        <v/>
      </c>
    </row>
    <row r="7" spans="1:13" x14ac:dyDescent="0.25">
      <c r="A7" s="67" t="s">
        <v>214</v>
      </c>
      <c r="B7" s="77" t="s">
        <v>1141</v>
      </c>
      <c r="C7" s="73" t="s">
        <v>0</v>
      </c>
      <c r="D7" s="73">
        <v>82</v>
      </c>
      <c r="E7" s="73"/>
      <c r="F7" s="73">
        <v>1</v>
      </c>
      <c r="G7" s="73">
        <v>1.4</v>
      </c>
      <c r="H7" s="73">
        <v>1.4</v>
      </c>
      <c r="I7" s="73" t="s">
        <v>862</v>
      </c>
      <c r="J7" s="73" t="s">
        <v>862</v>
      </c>
      <c r="K7" s="79" t="b">
        <v>1</v>
      </c>
      <c r="L7" s="20" t="b">
        <v>0</v>
      </c>
      <c r="M7" s="49" t="str">
        <f>IF(A7=Backdoors!B2,1+MAX(M6:M6),"")</f>
        <v/>
      </c>
    </row>
    <row r="8" spans="1:13" x14ac:dyDescent="0.25">
      <c r="A8" s="67" t="s">
        <v>214</v>
      </c>
      <c r="B8" s="77" t="s">
        <v>1142</v>
      </c>
      <c r="C8" s="73" t="s">
        <v>0</v>
      </c>
      <c r="D8" s="73">
        <v>111</v>
      </c>
      <c r="E8" s="73"/>
      <c r="F8" s="73">
        <v>1</v>
      </c>
      <c r="G8" s="73">
        <v>1.5</v>
      </c>
      <c r="H8" s="73">
        <v>1.5</v>
      </c>
      <c r="I8" s="73" t="s">
        <v>862</v>
      </c>
      <c r="J8" s="73" t="s">
        <v>862</v>
      </c>
      <c r="K8" s="79" t="b">
        <v>1</v>
      </c>
      <c r="L8" s="20" t="b">
        <v>0</v>
      </c>
      <c r="M8" s="49" t="str">
        <f>IF(A8=Backdoors!B2,1+MAX(M7:M7),"")</f>
        <v/>
      </c>
    </row>
    <row r="9" spans="1:13" x14ac:dyDescent="0.25">
      <c r="A9" s="67" t="s">
        <v>214</v>
      </c>
      <c r="B9" s="77" t="s">
        <v>1143</v>
      </c>
      <c r="C9" s="73" t="s">
        <v>0</v>
      </c>
      <c r="D9" s="73">
        <v>131</v>
      </c>
      <c r="E9" s="73"/>
      <c r="F9" s="73">
        <v>1</v>
      </c>
      <c r="G9" s="73">
        <v>1.7</v>
      </c>
      <c r="H9" s="73">
        <v>1.7</v>
      </c>
      <c r="I9" s="73" t="s">
        <v>862</v>
      </c>
      <c r="J9" s="73" t="s">
        <v>862</v>
      </c>
      <c r="K9" s="79" t="b">
        <v>1</v>
      </c>
      <c r="L9" s="20" t="b">
        <v>0</v>
      </c>
      <c r="M9" s="49" t="str">
        <f>IF(A9=Backdoors!B2,1+MAX(M8:M8),"")</f>
        <v/>
      </c>
    </row>
    <row r="10" spans="1:13" x14ac:dyDescent="0.25">
      <c r="A10" s="67" t="s">
        <v>214</v>
      </c>
      <c r="B10" s="77" t="s">
        <v>1144</v>
      </c>
      <c r="C10" s="73" t="s">
        <v>0</v>
      </c>
      <c r="D10" s="73">
        <v>59</v>
      </c>
      <c r="E10" s="73"/>
      <c r="F10" s="73">
        <v>1</v>
      </c>
      <c r="G10" s="73">
        <v>1</v>
      </c>
      <c r="H10" s="73">
        <v>1</v>
      </c>
      <c r="I10" s="73" t="s">
        <v>862</v>
      </c>
      <c r="J10" s="73" t="s">
        <v>862</v>
      </c>
      <c r="K10" s="79" t="b">
        <v>1</v>
      </c>
      <c r="L10" s="20" t="b">
        <v>0</v>
      </c>
      <c r="M10" s="49" t="str">
        <f>IF(A10=Backdoors!B2,1+MAX(M9:M9),"")</f>
        <v/>
      </c>
    </row>
    <row r="11" spans="1:13" x14ac:dyDescent="0.25">
      <c r="A11" s="67" t="s">
        <v>214</v>
      </c>
      <c r="B11" s="77" t="s">
        <v>1145</v>
      </c>
      <c r="C11" s="73" t="s">
        <v>0</v>
      </c>
      <c r="D11" s="73">
        <v>66</v>
      </c>
      <c r="E11" s="73"/>
      <c r="F11" s="73">
        <v>1</v>
      </c>
      <c r="G11" s="73">
        <v>1.3</v>
      </c>
      <c r="H11" s="73">
        <v>1.3</v>
      </c>
      <c r="I11" s="73" t="s">
        <v>862</v>
      </c>
      <c r="J11" s="73" t="s">
        <v>862</v>
      </c>
      <c r="K11" s="79" t="b">
        <v>1</v>
      </c>
      <c r="L11" s="20" t="b">
        <v>0</v>
      </c>
      <c r="M11" s="49" t="str">
        <f>IF(A11=Backdoors!B2,1+MAX(M10:M10),"")</f>
        <v/>
      </c>
    </row>
    <row r="12" spans="1:13" x14ac:dyDescent="0.25">
      <c r="A12" s="67" t="s">
        <v>214</v>
      </c>
      <c r="B12" s="77" t="s">
        <v>1146</v>
      </c>
      <c r="C12" s="73" t="s">
        <v>0</v>
      </c>
      <c r="D12" s="73">
        <v>78</v>
      </c>
      <c r="E12" s="73"/>
      <c r="F12" s="73">
        <v>1</v>
      </c>
      <c r="G12" s="73">
        <v>1.5</v>
      </c>
      <c r="H12" s="73">
        <v>1.5</v>
      </c>
      <c r="I12" s="73" t="s">
        <v>862</v>
      </c>
      <c r="J12" s="73" t="s">
        <v>862</v>
      </c>
      <c r="K12" s="79" t="b">
        <v>1</v>
      </c>
      <c r="L12" s="20" t="b">
        <v>0</v>
      </c>
      <c r="M12" s="49" t="str">
        <f>IF(A12=Backdoors!B2,1+MAX(M11:M11),"")</f>
        <v/>
      </c>
    </row>
    <row r="13" spans="1:13" x14ac:dyDescent="0.25">
      <c r="A13" s="67" t="s">
        <v>214</v>
      </c>
      <c r="B13" s="77" t="s">
        <v>1147</v>
      </c>
      <c r="C13" s="73" t="s">
        <v>0</v>
      </c>
      <c r="D13" s="73">
        <v>15</v>
      </c>
      <c r="E13" s="73"/>
      <c r="F13" s="73">
        <v>0</v>
      </c>
      <c r="G13" s="73">
        <v>1</v>
      </c>
      <c r="H13" s="73">
        <v>1</v>
      </c>
      <c r="I13" s="73" t="s">
        <v>862</v>
      </c>
      <c r="J13" s="73" t="s">
        <v>862</v>
      </c>
      <c r="K13" s="79" t="b">
        <v>1</v>
      </c>
      <c r="L13" s="20" t="b">
        <v>0</v>
      </c>
      <c r="M13" s="49" t="str">
        <f>IF(A13=Backdoors!B2,1+MAX(M12:M12),"")</f>
        <v/>
      </c>
    </row>
    <row r="14" spans="1:13" x14ac:dyDescent="0.25">
      <c r="A14" s="67" t="s">
        <v>214</v>
      </c>
      <c r="B14" s="77" t="s">
        <v>1148</v>
      </c>
      <c r="C14" s="73" t="s">
        <v>0</v>
      </c>
      <c r="D14" s="73">
        <v>20</v>
      </c>
      <c r="E14" s="73"/>
      <c r="F14" s="73">
        <v>0</v>
      </c>
      <c r="G14" s="73">
        <v>1</v>
      </c>
      <c r="H14" s="73">
        <v>1</v>
      </c>
      <c r="I14" s="73" t="s">
        <v>862</v>
      </c>
      <c r="J14" s="73" t="s">
        <v>862</v>
      </c>
      <c r="K14" s="79" t="b">
        <v>1</v>
      </c>
      <c r="L14" s="20" t="b">
        <v>0</v>
      </c>
      <c r="M14" s="49" t="str">
        <f>IF(A14=Backdoors!B2,1+MAX(M13:M13),"")</f>
        <v/>
      </c>
    </row>
    <row r="15" spans="1:13" x14ac:dyDescent="0.25">
      <c r="A15" s="67" t="s">
        <v>214</v>
      </c>
      <c r="B15" s="77" t="s">
        <v>1149</v>
      </c>
      <c r="C15" s="73" t="s">
        <v>0</v>
      </c>
      <c r="D15" s="73">
        <v>22</v>
      </c>
      <c r="E15" s="73"/>
      <c r="F15" s="73">
        <v>0</v>
      </c>
      <c r="G15" s="73">
        <v>1</v>
      </c>
      <c r="H15" s="73">
        <v>1</v>
      </c>
      <c r="I15" s="73" t="s">
        <v>862</v>
      </c>
      <c r="J15" s="73" t="s">
        <v>862</v>
      </c>
      <c r="K15" s="79" t="b">
        <v>1</v>
      </c>
      <c r="L15" s="20" t="b">
        <v>0</v>
      </c>
      <c r="M15" s="49" t="str">
        <f>IF(A15=Backdoors!B2,1+MAX(M14:M14),"")</f>
        <v/>
      </c>
    </row>
    <row r="16" spans="1:13" x14ac:dyDescent="0.25">
      <c r="A16" s="67" t="s">
        <v>214</v>
      </c>
      <c r="B16" s="77" t="s">
        <v>1150</v>
      </c>
      <c r="C16" s="73" t="s">
        <v>0</v>
      </c>
      <c r="D16" s="73">
        <v>120</v>
      </c>
      <c r="E16" s="73"/>
      <c r="F16" s="73">
        <v>1</v>
      </c>
      <c r="G16" s="73">
        <v>1.4</v>
      </c>
      <c r="H16" s="73">
        <v>1.4</v>
      </c>
      <c r="I16" s="73" t="s">
        <v>862</v>
      </c>
      <c r="J16" s="73" t="s">
        <v>862</v>
      </c>
      <c r="K16" s="79" t="b">
        <v>1</v>
      </c>
      <c r="L16" s="20" t="b">
        <v>0</v>
      </c>
      <c r="M16" s="49" t="str">
        <f>IF(A16=Backdoors!B2,1+MAX(M15:M15),"")</f>
        <v/>
      </c>
    </row>
    <row r="17" spans="1:13" x14ac:dyDescent="0.25">
      <c r="A17" s="67" t="s">
        <v>214</v>
      </c>
      <c r="B17" s="77" t="s">
        <v>1151</v>
      </c>
      <c r="C17" s="73" t="s">
        <v>0</v>
      </c>
      <c r="D17" s="73">
        <v>175</v>
      </c>
      <c r="E17" s="73"/>
      <c r="F17" s="73">
        <v>1</v>
      </c>
      <c r="G17" s="73">
        <v>1.5</v>
      </c>
      <c r="H17" s="73">
        <v>1.5</v>
      </c>
      <c r="I17" s="73" t="s">
        <v>862</v>
      </c>
      <c r="J17" s="73" t="s">
        <v>862</v>
      </c>
      <c r="K17" s="79" t="b">
        <v>1</v>
      </c>
      <c r="L17" s="20" t="b">
        <v>0</v>
      </c>
      <c r="M17" s="49" t="str">
        <f>IF(A17=Backdoors!B2,1+MAX(M16:M16),"")</f>
        <v/>
      </c>
    </row>
    <row r="18" spans="1:13" x14ac:dyDescent="0.25">
      <c r="A18" s="67" t="s">
        <v>214</v>
      </c>
      <c r="B18" s="77" t="s">
        <v>1152</v>
      </c>
      <c r="C18" s="73" t="s">
        <v>0</v>
      </c>
      <c r="D18" s="73">
        <v>211</v>
      </c>
      <c r="E18" s="73"/>
      <c r="F18" s="73">
        <v>1.5</v>
      </c>
      <c r="G18" s="73">
        <v>1.7</v>
      </c>
      <c r="H18" s="73">
        <v>1.7</v>
      </c>
      <c r="I18" s="73" t="s">
        <v>862</v>
      </c>
      <c r="J18" s="73" t="s">
        <v>862</v>
      </c>
      <c r="K18" s="79" t="b">
        <v>1</v>
      </c>
      <c r="L18" s="20" t="b">
        <v>0</v>
      </c>
      <c r="M18" s="49" t="str">
        <f>IF(A18=Backdoors!B2,1+MAX(M17:M17),"")</f>
        <v/>
      </c>
    </row>
    <row r="19" spans="1:13" x14ac:dyDescent="0.25">
      <c r="A19" s="67" t="s">
        <v>214</v>
      </c>
      <c r="B19" s="77" t="s">
        <v>1153</v>
      </c>
      <c r="C19" s="73" t="s">
        <v>0</v>
      </c>
      <c r="D19" s="73">
        <v>144</v>
      </c>
      <c r="E19" s="73"/>
      <c r="F19" s="73">
        <v>1.1000000000000001</v>
      </c>
      <c r="G19" s="73">
        <v>1.4</v>
      </c>
      <c r="H19" s="73">
        <v>1.4</v>
      </c>
      <c r="I19" s="73" t="s">
        <v>862</v>
      </c>
      <c r="J19" s="73" t="s">
        <v>862</v>
      </c>
      <c r="K19" s="79" t="b">
        <v>1</v>
      </c>
      <c r="L19" s="20" t="b">
        <v>0</v>
      </c>
      <c r="M19" s="49" t="str">
        <f>IF(A19=Backdoors!B2,1+MAX(M18:M18),"")</f>
        <v/>
      </c>
    </row>
    <row r="20" spans="1:13" x14ac:dyDescent="0.25">
      <c r="A20" s="67" t="s">
        <v>214</v>
      </c>
      <c r="B20" s="77" t="s">
        <v>1154</v>
      </c>
      <c r="C20" s="73" t="s">
        <v>0</v>
      </c>
      <c r="D20" s="73">
        <v>210</v>
      </c>
      <c r="E20" s="73"/>
      <c r="F20" s="73">
        <v>1.2</v>
      </c>
      <c r="G20" s="73">
        <v>1.5</v>
      </c>
      <c r="H20" s="73">
        <v>1.5</v>
      </c>
      <c r="I20" s="73" t="s">
        <v>862</v>
      </c>
      <c r="J20" s="73" t="s">
        <v>862</v>
      </c>
      <c r="K20" s="79" t="b">
        <v>1</v>
      </c>
      <c r="L20" s="20" t="b">
        <v>0</v>
      </c>
      <c r="M20" s="49" t="str">
        <f>IF(A20=Backdoors!B2,1+MAX(M19:M19),"")</f>
        <v/>
      </c>
    </row>
    <row r="21" spans="1:13" x14ac:dyDescent="0.25">
      <c r="A21" s="67" t="s">
        <v>214</v>
      </c>
      <c r="B21" s="77" t="s">
        <v>1155</v>
      </c>
      <c r="C21" s="73" t="s">
        <v>0</v>
      </c>
      <c r="D21" s="73">
        <v>264</v>
      </c>
      <c r="E21" s="73"/>
      <c r="F21" s="73">
        <v>1.3</v>
      </c>
      <c r="G21" s="73">
        <v>1.8</v>
      </c>
      <c r="H21" s="73">
        <v>1.8</v>
      </c>
      <c r="I21" s="73" t="s">
        <v>862</v>
      </c>
      <c r="J21" s="73" t="s">
        <v>862</v>
      </c>
      <c r="K21" s="79" t="b">
        <v>1</v>
      </c>
      <c r="L21" s="20" t="b">
        <v>0</v>
      </c>
      <c r="M21" s="49" t="str">
        <f>IF(A21=Backdoors!B2,1+MAX(M20:M20),"")</f>
        <v/>
      </c>
    </row>
    <row r="22" spans="1:13" x14ac:dyDescent="0.25">
      <c r="A22" s="67" t="s">
        <v>214</v>
      </c>
      <c r="B22" s="77" t="s">
        <v>1156</v>
      </c>
      <c r="C22" s="73" t="s">
        <v>120</v>
      </c>
      <c r="D22" s="73">
        <v>5</v>
      </c>
      <c r="E22" s="73"/>
      <c r="F22" s="73">
        <v>1</v>
      </c>
      <c r="G22" s="73">
        <v>0</v>
      </c>
      <c r="H22" s="73">
        <v>0</v>
      </c>
      <c r="I22" s="73" t="s">
        <v>862</v>
      </c>
      <c r="J22" s="73" t="s">
        <v>862</v>
      </c>
      <c r="K22" s="79" t="b">
        <v>1</v>
      </c>
      <c r="L22" s="20" t="b">
        <v>0</v>
      </c>
      <c r="M22" s="49" t="str">
        <f>IF(A22=Backdoors!B2,1+MAX(M21:M21),"")</f>
        <v/>
      </c>
    </row>
    <row r="23" spans="1:13" x14ac:dyDescent="0.25">
      <c r="A23" s="67" t="s">
        <v>214</v>
      </c>
      <c r="B23" s="77" t="s">
        <v>1157</v>
      </c>
      <c r="C23" s="73" t="s">
        <v>120</v>
      </c>
      <c r="D23" s="73">
        <v>26</v>
      </c>
      <c r="E23" s="73"/>
      <c r="F23" s="73">
        <v>1.2</v>
      </c>
      <c r="G23" s="73">
        <v>0</v>
      </c>
      <c r="H23" s="73">
        <v>0</v>
      </c>
      <c r="I23" s="73" t="s">
        <v>862</v>
      </c>
      <c r="J23" s="73" t="s">
        <v>862</v>
      </c>
      <c r="K23" s="79" t="b">
        <v>1</v>
      </c>
      <c r="L23" s="20" t="b">
        <v>0</v>
      </c>
      <c r="M23" s="49" t="str">
        <f>IF(A23=Backdoors!B2,1+MAX(M22:M22),"")</f>
        <v/>
      </c>
    </row>
    <row r="24" spans="1:13" x14ac:dyDescent="0.25">
      <c r="A24" s="67" t="s">
        <v>214</v>
      </c>
      <c r="B24" s="77" t="s">
        <v>1158</v>
      </c>
      <c r="C24" s="73" t="s">
        <v>120</v>
      </c>
      <c r="D24" s="73">
        <v>35</v>
      </c>
      <c r="E24" s="73"/>
      <c r="F24" s="73">
        <v>1.3</v>
      </c>
      <c r="G24" s="73">
        <v>0</v>
      </c>
      <c r="H24" s="73">
        <v>0</v>
      </c>
      <c r="I24" s="73" t="s">
        <v>862</v>
      </c>
      <c r="J24" s="73" t="s">
        <v>862</v>
      </c>
      <c r="K24" s="79" t="b">
        <v>1</v>
      </c>
      <c r="L24" s="20" t="b">
        <v>0</v>
      </c>
      <c r="M24" s="49" t="str">
        <f>IF(A24=Backdoors!B2,1+MAX(M23:M23),"")</f>
        <v/>
      </c>
    </row>
    <row r="25" spans="1:13" x14ac:dyDescent="0.25">
      <c r="A25" s="67" t="s">
        <v>214</v>
      </c>
      <c r="B25" s="77" t="s">
        <v>1159</v>
      </c>
      <c r="C25" s="73" t="s">
        <v>120</v>
      </c>
      <c r="D25" s="73">
        <v>48</v>
      </c>
      <c r="E25" s="73"/>
      <c r="F25" s="73">
        <v>1.5</v>
      </c>
      <c r="G25" s="73">
        <v>0</v>
      </c>
      <c r="H25" s="73">
        <v>0</v>
      </c>
      <c r="I25" s="73" t="s">
        <v>862</v>
      </c>
      <c r="J25" s="73" t="s">
        <v>862</v>
      </c>
      <c r="K25" s="79" t="b">
        <v>1</v>
      </c>
      <c r="L25" s="20" t="b">
        <v>0</v>
      </c>
      <c r="M25" s="49" t="str">
        <f>IF(A25=Backdoors!B2,1+MAX(M24:M24),"")</f>
        <v/>
      </c>
    </row>
    <row r="26" spans="1:13" x14ac:dyDescent="0.25">
      <c r="A26" s="67" t="s">
        <v>214</v>
      </c>
      <c r="B26" s="77" t="s">
        <v>1160</v>
      </c>
      <c r="C26" s="73" t="s">
        <v>0</v>
      </c>
      <c r="D26" s="73">
        <v>26</v>
      </c>
      <c r="E26" s="73"/>
      <c r="F26" s="73">
        <v>1</v>
      </c>
      <c r="G26" s="73">
        <v>1</v>
      </c>
      <c r="H26" s="73">
        <v>1</v>
      </c>
      <c r="I26" s="73" t="s">
        <v>862</v>
      </c>
      <c r="J26" s="73" t="s">
        <v>862</v>
      </c>
      <c r="K26" s="79" t="b">
        <v>1</v>
      </c>
      <c r="L26" s="20" t="b">
        <v>0</v>
      </c>
      <c r="M26" s="49" t="str">
        <f>IF(A26=Backdoors!B2,1+MAX(M25:M25),"")</f>
        <v/>
      </c>
    </row>
    <row r="27" spans="1:13" x14ac:dyDescent="0.25">
      <c r="A27" s="67" t="s">
        <v>214</v>
      </c>
      <c r="B27" s="77" t="s">
        <v>1161</v>
      </c>
      <c r="C27" s="73" t="s">
        <v>0</v>
      </c>
      <c r="D27" s="73">
        <v>38</v>
      </c>
      <c r="E27" s="73"/>
      <c r="F27" s="73">
        <v>1</v>
      </c>
      <c r="G27" s="73">
        <v>1</v>
      </c>
      <c r="H27" s="73">
        <v>1</v>
      </c>
      <c r="I27" s="73" t="s">
        <v>862</v>
      </c>
      <c r="J27" s="73" t="s">
        <v>862</v>
      </c>
      <c r="K27" s="79" t="b">
        <v>1</v>
      </c>
      <c r="L27" s="20" t="b">
        <v>0</v>
      </c>
      <c r="M27" s="49" t="str">
        <f>IF(A27=Backdoors!B2,1+MAX(M26:M26),"")</f>
        <v/>
      </c>
    </row>
    <row r="28" spans="1:13" x14ac:dyDescent="0.25">
      <c r="A28" s="67" t="s">
        <v>214</v>
      </c>
      <c r="B28" s="77" t="s">
        <v>1162</v>
      </c>
      <c r="C28" s="73" t="s">
        <v>120</v>
      </c>
      <c r="D28" s="73">
        <v>18</v>
      </c>
      <c r="E28" s="73"/>
      <c r="F28" s="73">
        <v>1</v>
      </c>
      <c r="G28" s="73">
        <v>1</v>
      </c>
      <c r="H28" s="73">
        <v>1</v>
      </c>
      <c r="I28" s="73" t="s">
        <v>862</v>
      </c>
      <c r="J28" s="73" t="s">
        <v>862</v>
      </c>
      <c r="K28" s="79" t="b">
        <v>1</v>
      </c>
      <c r="L28" s="20" t="b">
        <v>0</v>
      </c>
      <c r="M28" s="49" t="str">
        <f>IF(A28=Backdoors!B2,1+MAX(M27:M27),"")</f>
        <v/>
      </c>
    </row>
    <row r="29" spans="1:13" x14ac:dyDescent="0.25">
      <c r="A29" s="67" t="s">
        <v>214</v>
      </c>
      <c r="B29" s="77" t="s">
        <v>1163</v>
      </c>
      <c r="C29" s="73" t="s">
        <v>0</v>
      </c>
      <c r="D29" s="73">
        <v>29</v>
      </c>
      <c r="E29" s="73"/>
      <c r="F29" s="73">
        <v>1</v>
      </c>
      <c r="G29" s="73">
        <v>1</v>
      </c>
      <c r="H29" s="73">
        <v>1</v>
      </c>
      <c r="I29" s="73" t="s">
        <v>862</v>
      </c>
      <c r="J29" s="73" t="s">
        <v>862</v>
      </c>
      <c r="K29" s="79" t="b">
        <v>1</v>
      </c>
      <c r="L29" s="20" t="b">
        <v>0</v>
      </c>
      <c r="M29" s="49" t="str">
        <f>IF(A29=Backdoors!B2,1+MAX(M28:M28),"")</f>
        <v/>
      </c>
    </row>
    <row r="30" spans="1:13" x14ac:dyDescent="0.25">
      <c r="A30" s="67" t="s">
        <v>214</v>
      </c>
      <c r="B30" s="77" t="s">
        <v>1164</v>
      </c>
      <c r="C30" s="73" t="s">
        <v>0</v>
      </c>
      <c r="D30" s="73">
        <v>41</v>
      </c>
      <c r="E30" s="73"/>
      <c r="F30" s="73">
        <v>1</v>
      </c>
      <c r="G30" s="73">
        <v>1</v>
      </c>
      <c r="H30" s="73">
        <v>1</v>
      </c>
      <c r="I30" s="73" t="s">
        <v>862</v>
      </c>
      <c r="J30" s="73" t="s">
        <v>862</v>
      </c>
      <c r="K30" s="79" t="b">
        <v>1</v>
      </c>
      <c r="L30" s="20" t="b">
        <v>0</v>
      </c>
      <c r="M30" s="49" t="str">
        <f>IF(A30=Backdoors!B2,1+MAX(M29:M29),"")</f>
        <v/>
      </c>
    </row>
    <row r="31" spans="1:13" x14ac:dyDescent="0.25">
      <c r="A31" s="67" t="s">
        <v>214</v>
      </c>
      <c r="B31" s="77" t="s">
        <v>1165</v>
      </c>
      <c r="C31" s="73" t="s">
        <v>0</v>
      </c>
      <c r="D31" s="73">
        <v>75</v>
      </c>
      <c r="E31" s="73"/>
      <c r="F31" s="73">
        <v>1</v>
      </c>
      <c r="G31" s="73">
        <v>2.2000000000000002</v>
      </c>
      <c r="H31" s="73">
        <v>2.2000000000000002</v>
      </c>
      <c r="I31" s="73" t="s">
        <v>862</v>
      </c>
      <c r="J31" s="73" t="s">
        <v>862</v>
      </c>
      <c r="K31" s="79" t="b">
        <v>1</v>
      </c>
      <c r="L31" s="20" t="b">
        <v>0</v>
      </c>
      <c r="M31" s="49" t="str">
        <f>IF(A31=Backdoors!B2,1+MAX(M30:M30),"")</f>
        <v/>
      </c>
    </row>
    <row r="32" spans="1:13" x14ac:dyDescent="0.25">
      <c r="A32" s="67" t="s">
        <v>214</v>
      </c>
      <c r="B32" s="77" t="s">
        <v>1166</v>
      </c>
      <c r="C32" s="73" t="s">
        <v>0</v>
      </c>
      <c r="D32" s="73">
        <v>96</v>
      </c>
      <c r="E32" s="73"/>
      <c r="F32" s="73">
        <v>1</v>
      </c>
      <c r="G32" s="73">
        <v>3.15</v>
      </c>
      <c r="H32" s="73">
        <v>3.15</v>
      </c>
      <c r="I32" s="73" t="s">
        <v>862</v>
      </c>
      <c r="J32" s="73" t="s">
        <v>862</v>
      </c>
      <c r="K32" s="79" t="b">
        <v>1</v>
      </c>
      <c r="L32" s="20" t="b">
        <v>0</v>
      </c>
      <c r="M32" s="49" t="str">
        <f>IF(A32=Backdoors!B2,1+MAX(M31:M31),"")</f>
        <v/>
      </c>
    </row>
    <row r="33" spans="1:13" x14ac:dyDescent="0.25">
      <c r="A33" s="67" t="s">
        <v>214</v>
      </c>
      <c r="B33" s="77" t="s">
        <v>1167</v>
      </c>
      <c r="C33" s="73" t="s">
        <v>0</v>
      </c>
      <c r="D33" s="73">
        <v>118</v>
      </c>
      <c r="E33" s="73"/>
      <c r="F33" s="73">
        <v>1</v>
      </c>
      <c r="G33" s="73">
        <v>3.5</v>
      </c>
      <c r="H33" s="73">
        <v>3.5</v>
      </c>
      <c r="I33" s="73" t="s">
        <v>862</v>
      </c>
      <c r="J33" s="73" t="s">
        <v>862</v>
      </c>
      <c r="K33" s="79" t="b">
        <v>1</v>
      </c>
      <c r="L33" s="20" t="b">
        <v>0</v>
      </c>
      <c r="M33" s="49" t="str">
        <f>IF(A33=Backdoors!B2,1+MAX(M32:M32),"")</f>
        <v/>
      </c>
    </row>
    <row r="34" spans="1:13" x14ac:dyDescent="0.25">
      <c r="A34" s="67" t="s">
        <v>214</v>
      </c>
      <c r="B34" s="77" t="s">
        <v>1168</v>
      </c>
      <c r="C34" s="73" t="s">
        <v>0</v>
      </c>
      <c r="D34" s="73">
        <v>58</v>
      </c>
      <c r="E34" s="73">
        <v>55</v>
      </c>
      <c r="F34" s="73">
        <v>1</v>
      </c>
      <c r="G34" s="73">
        <v>1</v>
      </c>
      <c r="H34" s="73">
        <v>1</v>
      </c>
      <c r="I34" s="73" t="s">
        <v>862</v>
      </c>
      <c r="J34" s="73" t="s">
        <v>862</v>
      </c>
      <c r="K34" s="79" t="b">
        <v>1</v>
      </c>
      <c r="L34" s="20" t="b">
        <v>1</v>
      </c>
      <c r="M34" s="49" t="str">
        <f>IF(A34=Backdoors!B2,1+MAX(M33:M33),"")</f>
        <v/>
      </c>
    </row>
    <row r="35" spans="1:13" x14ac:dyDescent="0.25">
      <c r="A35" s="67" t="s">
        <v>214</v>
      </c>
      <c r="B35" s="77" t="s">
        <v>1169</v>
      </c>
      <c r="C35" s="73" t="s">
        <v>0</v>
      </c>
      <c r="D35" s="73">
        <v>69</v>
      </c>
      <c r="E35" s="73">
        <v>80</v>
      </c>
      <c r="F35" s="73">
        <v>1</v>
      </c>
      <c r="G35" s="73">
        <v>1.1000000000000001</v>
      </c>
      <c r="H35" s="73">
        <v>1.1000000000000001</v>
      </c>
      <c r="I35" s="73" t="s">
        <v>862</v>
      </c>
      <c r="J35" s="73" t="s">
        <v>862</v>
      </c>
      <c r="K35" s="79" t="b">
        <v>1</v>
      </c>
      <c r="L35" s="20" t="b">
        <v>1</v>
      </c>
      <c r="M35" s="49" t="str">
        <f>IF(A35=Backdoors!B2,1+MAX(M34:M34),"")</f>
        <v/>
      </c>
    </row>
    <row r="36" spans="1:13" x14ac:dyDescent="0.25">
      <c r="A36" s="67" t="s">
        <v>214</v>
      </c>
      <c r="B36" s="77" t="s">
        <v>1170</v>
      </c>
      <c r="C36" s="73" t="s">
        <v>0</v>
      </c>
      <c r="D36" s="73">
        <v>87</v>
      </c>
      <c r="E36" s="73">
        <v>100</v>
      </c>
      <c r="F36" s="73">
        <v>1</v>
      </c>
      <c r="G36" s="73">
        <v>1.2</v>
      </c>
      <c r="H36" s="73">
        <v>1.2</v>
      </c>
      <c r="I36" s="73" t="s">
        <v>862</v>
      </c>
      <c r="J36" s="73" t="s">
        <v>862</v>
      </c>
      <c r="K36" s="79" t="b">
        <v>1</v>
      </c>
      <c r="L36" s="20" t="b">
        <v>1</v>
      </c>
      <c r="M36" s="49" t="str">
        <f>IF(A36=Backdoors!B2,1+MAX(M35:M35),"")</f>
        <v/>
      </c>
    </row>
    <row r="37" spans="1:13" x14ac:dyDescent="0.25">
      <c r="A37" s="67" t="s">
        <v>214</v>
      </c>
      <c r="B37" s="77" t="s">
        <v>1171</v>
      </c>
      <c r="C37" s="73" t="s">
        <v>0</v>
      </c>
      <c r="D37" s="73">
        <v>48</v>
      </c>
      <c r="E37" s="73"/>
      <c r="F37" s="73">
        <v>1</v>
      </c>
      <c r="G37" s="73">
        <v>1</v>
      </c>
      <c r="H37" s="73">
        <v>1</v>
      </c>
      <c r="I37" s="73" t="s">
        <v>862</v>
      </c>
      <c r="J37" s="73" t="s">
        <v>862</v>
      </c>
      <c r="K37" s="79" t="b">
        <v>1</v>
      </c>
      <c r="L37" s="20" t="b">
        <v>0</v>
      </c>
      <c r="M37" s="49" t="str">
        <f>IF(A37=Backdoors!B2,1+MAX(M36:M36),"")</f>
        <v/>
      </c>
    </row>
    <row r="38" spans="1:13" x14ac:dyDescent="0.25">
      <c r="A38" s="67" t="s">
        <v>214</v>
      </c>
      <c r="B38" s="77" t="s">
        <v>1172</v>
      </c>
      <c r="C38" s="73" t="s">
        <v>0</v>
      </c>
      <c r="D38" s="73">
        <v>72</v>
      </c>
      <c r="E38" s="73"/>
      <c r="F38" s="73">
        <v>1</v>
      </c>
      <c r="G38" s="73">
        <v>1.3</v>
      </c>
      <c r="H38" s="73">
        <v>1.3</v>
      </c>
      <c r="I38" s="73" t="s">
        <v>862</v>
      </c>
      <c r="J38" s="73" t="s">
        <v>862</v>
      </c>
      <c r="K38" s="79" t="b">
        <v>1</v>
      </c>
      <c r="L38" s="20" t="b">
        <v>0</v>
      </c>
      <c r="M38" s="49" t="str">
        <f>IF(A38=Backdoors!B2,1+MAX(M37:M37),"")</f>
        <v/>
      </c>
    </row>
    <row r="39" spans="1:13" x14ac:dyDescent="0.25">
      <c r="A39" s="67" t="s">
        <v>214</v>
      </c>
      <c r="B39" s="77" t="s">
        <v>1173</v>
      </c>
      <c r="C39" s="73" t="s">
        <v>0</v>
      </c>
      <c r="D39" s="73">
        <v>98</v>
      </c>
      <c r="E39" s="73"/>
      <c r="F39" s="73">
        <v>1</v>
      </c>
      <c r="G39" s="73">
        <v>1.5</v>
      </c>
      <c r="H39" s="73">
        <v>1.5</v>
      </c>
      <c r="I39" s="73" t="s">
        <v>862</v>
      </c>
      <c r="J39" s="73" t="s">
        <v>862</v>
      </c>
      <c r="K39" s="79" t="b">
        <v>1</v>
      </c>
      <c r="L39" s="20" t="b">
        <v>0</v>
      </c>
      <c r="M39" s="49" t="str">
        <f>IF(A39=Backdoors!B2,1+MAX(M38:M38),"")</f>
        <v/>
      </c>
    </row>
    <row r="40" spans="1:13" x14ac:dyDescent="0.25">
      <c r="A40" s="67" t="s">
        <v>214</v>
      </c>
      <c r="B40" s="77" t="s">
        <v>1174</v>
      </c>
      <c r="C40" s="73" t="s">
        <v>0</v>
      </c>
      <c r="D40" s="73">
        <v>16</v>
      </c>
      <c r="E40" s="73">
        <v>20</v>
      </c>
      <c r="F40" s="73">
        <v>1</v>
      </c>
      <c r="G40" s="73">
        <v>0.2</v>
      </c>
      <c r="H40" s="73">
        <v>0.2</v>
      </c>
      <c r="I40" s="73" t="s">
        <v>862</v>
      </c>
      <c r="J40" s="73" t="s">
        <v>862</v>
      </c>
      <c r="K40" s="79" t="b">
        <v>1</v>
      </c>
      <c r="L40" s="20" t="b">
        <v>1</v>
      </c>
      <c r="M40" s="49" t="str">
        <f>IF(A40=Backdoors!B2,1+MAX(M39:M39),"")</f>
        <v/>
      </c>
    </row>
    <row r="41" spans="1:13" x14ac:dyDescent="0.25">
      <c r="A41" s="67" t="s">
        <v>214</v>
      </c>
      <c r="B41" s="77" t="s">
        <v>1175</v>
      </c>
      <c r="C41" s="73" t="s">
        <v>0</v>
      </c>
      <c r="D41" s="73">
        <v>22</v>
      </c>
      <c r="E41" s="73">
        <v>20</v>
      </c>
      <c r="F41" s="73">
        <v>1</v>
      </c>
      <c r="G41" s="73">
        <v>0.25</v>
      </c>
      <c r="H41" s="73">
        <v>0.25</v>
      </c>
      <c r="I41" s="73" t="s">
        <v>862</v>
      </c>
      <c r="J41" s="73" t="s">
        <v>862</v>
      </c>
      <c r="K41" s="79" t="b">
        <v>1</v>
      </c>
      <c r="L41" s="20" t="b">
        <v>1</v>
      </c>
      <c r="M41" s="49" t="str">
        <f>IF(A41=Backdoors!B2,1+MAX(M40:M40),"")</f>
        <v/>
      </c>
    </row>
    <row r="42" spans="1:13" x14ac:dyDescent="0.25">
      <c r="A42" s="67" t="s">
        <v>214</v>
      </c>
      <c r="B42" s="77" t="s">
        <v>1176</v>
      </c>
      <c r="C42" s="73" t="s">
        <v>0</v>
      </c>
      <c r="D42" s="73">
        <v>27</v>
      </c>
      <c r="E42" s="73">
        <v>20</v>
      </c>
      <c r="F42" s="73">
        <v>1</v>
      </c>
      <c r="G42" s="73">
        <v>0.3</v>
      </c>
      <c r="H42" s="73">
        <v>0.3</v>
      </c>
      <c r="I42" s="73" t="s">
        <v>862</v>
      </c>
      <c r="J42" s="73" t="s">
        <v>862</v>
      </c>
      <c r="K42" s="79" t="b">
        <v>1</v>
      </c>
      <c r="L42" s="20" t="b">
        <v>1</v>
      </c>
      <c r="M42" s="49" t="str">
        <f>IF(A42=Backdoors!B2,1+MAX(M41:M41),"")</f>
        <v/>
      </c>
    </row>
    <row r="43" spans="1:13" x14ac:dyDescent="0.25">
      <c r="A43" s="67" t="s">
        <v>214</v>
      </c>
      <c r="B43" s="77" t="s">
        <v>1177</v>
      </c>
      <c r="C43" s="73" t="s">
        <v>0</v>
      </c>
      <c r="D43" s="73">
        <v>48</v>
      </c>
      <c r="E43" s="73"/>
      <c r="F43" s="73">
        <v>0</v>
      </c>
      <c r="G43" s="73">
        <v>1</v>
      </c>
      <c r="H43" s="73">
        <v>1</v>
      </c>
      <c r="I43" s="73" t="s">
        <v>862</v>
      </c>
      <c r="J43" s="73" t="s">
        <v>862</v>
      </c>
      <c r="K43" s="79" t="b">
        <v>1</v>
      </c>
      <c r="L43" s="20" t="b">
        <v>0</v>
      </c>
      <c r="M43" s="49" t="str">
        <f>IF(A43=Backdoors!B2,1+MAX(M42:M42),"")</f>
        <v/>
      </c>
    </row>
    <row r="44" spans="1:13" x14ac:dyDescent="0.25">
      <c r="A44" s="67" t="s">
        <v>214</v>
      </c>
      <c r="B44" s="77" t="s">
        <v>1178</v>
      </c>
      <c r="C44" s="73" t="s">
        <v>0</v>
      </c>
      <c r="D44" s="73">
        <v>6</v>
      </c>
      <c r="E44" s="73"/>
      <c r="F44" s="73">
        <v>0</v>
      </c>
      <c r="G44" s="73">
        <v>1</v>
      </c>
      <c r="H44" s="73">
        <v>1</v>
      </c>
      <c r="I44" s="73" t="s">
        <v>862</v>
      </c>
      <c r="J44" s="73" t="s">
        <v>862</v>
      </c>
      <c r="K44" s="79" t="b">
        <v>1</v>
      </c>
      <c r="L44" s="20" t="b">
        <v>0</v>
      </c>
      <c r="M44" s="49" t="str">
        <f>IF(A44=Backdoors!B2,1+MAX(M43:M43),"")</f>
        <v/>
      </c>
    </row>
    <row r="45" spans="1:13" x14ac:dyDescent="0.25">
      <c r="A45" s="67" t="s">
        <v>214</v>
      </c>
      <c r="B45" s="77" t="s">
        <v>1179</v>
      </c>
      <c r="C45" s="73" t="s">
        <v>0</v>
      </c>
      <c r="D45" s="73">
        <v>6</v>
      </c>
      <c r="E45" s="73"/>
      <c r="F45" s="73">
        <v>0</v>
      </c>
      <c r="G45" s="73">
        <v>0.5</v>
      </c>
      <c r="H45" s="73">
        <v>0.5</v>
      </c>
      <c r="I45" s="73" t="s">
        <v>862</v>
      </c>
      <c r="J45" s="73" t="s">
        <v>862</v>
      </c>
      <c r="K45" s="79" t="b">
        <v>1</v>
      </c>
      <c r="L45" s="20" t="b">
        <v>0</v>
      </c>
      <c r="M45" s="49" t="str">
        <f>IF(A45=Backdoors!B2,1+MAX(M44:M44),"")</f>
        <v/>
      </c>
    </row>
    <row r="46" spans="1:13" x14ac:dyDescent="0.25">
      <c r="A46" s="67" t="s">
        <v>214</v>
      </c>
      <c r="B46" s="77" t="s">
        <v>1180</v>
      </c>
      <c r="C46" s="73" t="s">
        <v>0</v>
      </c>
      <c r="D46" s="73">
        <v>60</v>
      </c>
      <c r="E46" s="73"/>
      <c r="F46" s="73">
        <v>1</v>
      </c>
      <c r="G46" s="73">
        <v>1</v>
      </c>
      <c r="H46" s="73">
        <v>1</v>
      </c>
      <c r="I46" s="73" t="s">
        <v>862</v>
      </c>
      <c r="J46" s="73" t="s">
        <v>862</v>
      </c>
      <c r="K46" s="79" t="b">
        <v>1</v>
      </c>
      <c r="L46" s="20" t="b">
        <v>0</v>
      </c>
      <c r="M46" s="49" t="str">
        <f>IF(A46=Backdoors!B2,1+MAX(M45:M45),"")</f>
        <v/>
      </c>
    </row>
    <row r="47" spans="1:13" x14ac:dyDescent="0.25">
      <c r="A47" s="67" t="s">
        <v>214</v>
      </c>
      <c r="B47" s="77" t="s">
        <v>1181</v>
      </c>
      <c r="C47" s="73" t="s">
        <v>0</v>
      </c>
      <c r="D47" s="73">
        <v>100</v>
      </c>
      <c r="E47" s="73"/>
      <c r="F47" s="73">
        <v>0</v>
      </c>
      <c r="G47" s="73">
        <v>1</v>
      </c>
      <c r="H47" s="73">
        <v>1</v>
      </c>
      <c r="I47" s="73" t="s">
        <v>862</v>
      </c>
      <c r="J47" s="73" t="s">
        <v>862</v>
      </c>
      <c r="K47" s="79" t="b">
        <v>1</v>
      </c>
      <c r="L47" s="20" t="b">
        <v>0</v>
      </c>
      <c r="M47" s="49" t="str">
        <f>IF(A47=Backdoors!B2,1+MAX(M46:M46),"")</f>
        <v/>
      </c>
    </row>
    <row r="48" spans="1:13" x14ac:dyDescent="0.25">
      <c r="A48" s="67" t="s">
        <v>214</v>
      </c>
      <c r="B48" s="77" t="s">
        <v>1182</v>
      </c>
      <c r="C48" s="73" t="s">
        <v>0</v>
      </c>
      <c r="D48" s="73">
        <v>122</v>
      </c>
      <c r="E48" s="73"/>
      <c r="F48" s="73">
        <v>0</v>
      </c>
      <c r="G48" s="73">
        <v>1.3</v>
      </c>
      <c r="H48" s="73">
        <v>1.3</v>
      </c>
      <c r="I48" s="73" t="s">
        <v>862</v>
      </c>
      <c r="J48" s="73" t="s">
        <v>862</v>
      </c>
      <c r="K48" s="79" t="b">
        <v>1</v>
      </c>
      <c r="L48" s="20" t="b">
        <v>0</v>
      </c>
      <c r="M48" s="49" t="str">
        <f>IF(A48=Backdoors!B2,1+MAX(M47:M47),"")</f>
        <v/>
      </c>
    </row>
    <row r="49" spans="1:13" x14ac:dyDescent="0.25">
      <c r="A49" s="67" t="s">
        <v>214</v>
      </c>
      <c r="B49" s="77" t="s">
        <v>1183</v>
      </c>
      <c r="C49" s="73" t="s">
        <v>0</v>
      </c>
      <c r="D49" s="73">
        <v>139</v>
      </c>
      <c r="E49" s="73"/>
      <c r="F49" s="73">
        <v>0</v>
      </c>
      <c r="G49" s="73">
        <v>1.5</v>
      </c>
      <c r="H49" s="73">
        <v>1.5</v>
      </c>
      <c r="I49" s="73" t="s">
        <v>862</v>
      </c>
      <c r="J49" s="73" t="s">
        <v>862</v>
      </c>
      <c r="K49" s="79" t="b">
        <v>1</v>
      </c>
      <c r="L49" s="20" t="b">
        <v>0</v>
      </c>
      <c r="M49" s="49" t="str">
        <f>IF(A49=Backdoors!B2,1+MAX(M48:M48),"")</f>
        <v/>
      </c>
    </row>
    <row r="50" spans="1:13" x14ac:dyDescent="0.25">
      <c r="A50" s="67" t="s">
        <v>214</v>
      </c>
      <c r="B50" s="77" t="s">
        <v>1184</v>
      </c>
      <c r="C50" s="73" t="s">
        <v>0</v>
      </c>
      <c r="D50" s="73">
        <v>58</v>
      </c>
      <c r="E50" s="73"/>
      <c r="F50" s="73">
        <v>1</v>
      </c>
      <c r="G50" s="73">
        <v>1</v>
      </c>
      <c r="H50" s="73">
        <v>1</v>
      </c>
      <c r="I50" s="73" t="s">
        <v>862</v>
      </c>
      <c r="J50" s="73" t="s">
        <v>862</v>
      </c>
      <c r="K50" s="79" t="b">
        <v>1</v>
      </c>
      <c r="L50" s="20" t="b">
        <v>0</v>
      </c>
      <c r="M50" s="49" t="str">
        <f>IF(A50=Backdoors!B2,1+MAX(M49:M49),"")</f>
        <v/>
      </c>
    </row>
    <row r="51" spans="1:13" x14ac:dyDescent="0.25">
      <c r="A51" s="67" t="s">
        <v>214</v>
      </c>
      <c r="B51" s="77" t="s">
        <v>1185</v>
      </c>
      <c r="C51" s="73" t="s">
        <v>0</v>
      </c>
      <c r="D51" s="73">
        <v>72</v>
      </c>
      <c r="E51" s="73"/>
      <c r="F51" s="73">
        <v>1</v>
      </c>
      <c r="G51" s="73">
        <v>1.3</v>
      </c>
      <c r="H51" s="73">
        <v>1.3</v>
      </c>
      <c r="I51" s="73" t="s">
        <v>862</v>
      </c>
      <c r="J51" s="73" t="s">
        <v>862</v>
      </c>
      <c r="K51" s="79" t="b">
        <v>1</v>
      </c>
      <c r="L51" s="20" t="b">
        <v>0</v>
      </c>
      <c r="M51" s="49" t="str">
        <f>IF(A51=Backdoors!B2,1+MAX(M50:M50),"")</f>
        <v/>
      </c>
    </row>
    <row r="52" spans="1:13" x14ac:dyDescent="0.25">
      <c r="A52" s="67" t="s">
        <v>214</v>
      </c>
      <c r="B52" s="77" t="s">
        <v>1186</v>
      </c>
      <c r="C52" s="73" t="s">
        <v>0</v>
      </c>
      <c r="D52" s="73">
        <v>89</v>
      </c>
      <c r="E52" s="73"/>
      <c r="F52" s="73">
        <v>1</v>
      </c>
      <c r="G52" s="73">
        <v>1.5</v>
      </c>
      <c r="H52" s="73">
        <v>1.5</v>
      </c>
      <c r="I52" s="73" t="s">
        <v>862</v>
      </c>
      <c r="J52" s="73" t="s">
        <v>862</v>
      </c>
      <c r="K52" s="79" t="b">
        <v>1</v>
      </c>
      <c r="L52" s="20" t="b">
        <v>0</v>
      </c>
      <c r="M52" s="49" t="str">
        <f>IF(A52=Backdoors!B2,1+MAX(M51:M51),"")</f>
        <v/>
      </c>
    </row>
    <row r="53" spans="1:13" x14ac:dyDescent="0.25">
      <c r="A53" s="67" t="s">
        <v>215</v>
      </c>
      <c r="B53" s="78" t="s">
        <v>1187</v>
      </c>
      <c r="C53" s="73" t="s">
        <v>0</v>
      </c>
      <c r="D53" s="73">
        <v>24</v>
      </c>
      <c r="E53" s="73"/>
      <c r="F53" s="73">
        <v>1</v>
      </c>
      <c r="G53" s="73">
        <v>1</v>
      </c>
      <c r="H53" s="73">
        <v>1</v>
      </c>
      <c r="I53" s="73" t="s">
        <v>862</v>
      </c>
      <c r="J53" s="73" t="s">
        <v>862</v>
      </c>
      <c r="K53" s="79" t="b">
        <v>1</v>
      </c>
      <c r="L53" s="20" t="b">
        <v>0</v>
      </c>
      <c r="M53" s="49" t="str">
        <f>IF(A53=Backdoors!B2,1+MAX(M52:M52),"")</f>
        <v/>
      </c>
    </row>
    <row r="54" spans="1:13" x14ac:dyDescent="0.25">
      <c r="A54" s="67" t="s">
        <v>215</v>
      </c>
      <c r="B54" s="78" t="s">
        <v>1136</v>
      </c>
      <c r="C54" s="73" t="s">
        <v>0</v>
      </c>
      <c r="D54" s="73">
        <v>21</v>
      </c>
      <c r="E54" s="73"/>
      <c r="F54" s="73">
        <v>1</v>
      </c>
      <c r="G54" s="73">
        <v>1</v>
      </c>
      <c r="H54" s="73">
        <v>1</v>
      </c>
      <c r="I54" s="73" t="s">
        <v>862</v>
      </c>
      <c r="J54" s="73" t="s">
        <v>862</v>
      </c>
      <c r="K54" s="79" t="b">
        <v>1</v>
      </c>
      <c r="L54" s="20" t="b">
        <v>0</v>
      </c>
      <c r="M54" s="49" t="str">
        <f>IF(A54=Backdoors!B2,1+MAX(M53:M53),"")</f>
        <v/>
      </c>
    </row>
    <row r="55" spans="1:13" x14ac:dyDescent="0.25">
      <c r="A55" s="67" t="s">
        <v>215</v>
      </c>
      <c r="B55" s="78" t="s">
        <v>1188</v>
      </c>
      <c r="C55" s="73" t="s">
        <v>0</v>
      </c>
      <c r="D55" s="73">
        <v>12</v>
      </c>
      <c r="E55" s="73"/>
      <c r="F55" s="73">
        <v>1</v>
      </c>
      <c r="G55" s="73">
        <v>1</v>
      </c>
      <c r="H55" s="73">
        <v>1</v>
      </c>
      <c r="I55" s="73" t="s">
        <v>862</v>
      </c>
      <c r="J55" s="73" t="s">
        <v>862</v>
      </c>
      <c r="K55" s="79" t="b">
        <v>1</v>
      </c>
      <c r="L55" s="20" t="b">
        <v>0</v>
      </c>
      <c r="M55" s="49" t="str">
        <f>IF(A55=Backdoors!B2,1+MAX(M54:M54),"")</f>
        <v/>
      </c>
    </row>
    <row r="56" spans="1:13" x14ac:dyDescent="0.25">
      <c r="A56" s="67" t="s">
        <v>215</v>
      </c>
      <c r="B56" s="78" t="s">
        <v>1161</v>
      </c>
      <c r="C56" s="73" t="s">
        <v>0</v>
      </c>
      <c r="D56" s="73">
        <v>18</v>
      </c>
      <c r="E56" s="73"/>
      <c r="F56" s="73">
        <v>1</v>
      </c>
      <c r="G56" s="73">
        <v>1</v>
      </c>
      <c r="H56" s="73">
        <v>1</v>
      </c>
      <c r="I56" s="73" t="s">
        <v>862</v>
      </c>
      <c r="J56" s="73" t="s">
        <v>862</v>
      </c>
      <c r="K56" s="79" t="b">
        <v>1</v>
      </c>
      <c r="L56" s="20" t="b">
        <v>0</v>
      </c>
      <c r="M56" s="49" t="str">
        <f>IF(A56=Backdoors!B2,1+MAX(M55:M55),"")</f>
        <v/>
      </c>
    </row>
    <row r="57" spans="1:13" x14ac:dyDescent="0.25">
      <c r="A57" s="67" t="s">
        <v>215</v>
      </c>
      <c r="B57" s="78" t="s">
        <v>1189</v>
      </c>
      <c r="C57" s="73" t="s">
        <v>0</v>
      </c>
      <c r="D57" s="73">
        <v>22</v>
      </c>
      <c r="E57" s="73"/>
      <c r="F57" s="73">
        <v>1</v>
      </c>
      <c r="G57" s="73">
        <v>1</v>
      </c>
      <c r="H57" s="73">
        <v>1</v>
      </c>
      <c r="I57" s="73" t="s">
        <v>862</v>
      </c>
      <c r="J57" s="73" t="s">
        <v>862</v>
      </c>
      <c r="K57" s="79" t="b">
        <v>1</v>
      </c>
      <c r="L57" s="20" t="b">
        <v>0</v>
      </c>
      <c r="M57" s="49" t="str">
        <f>IF(A57=Backdoors!B2,1+MAX(M56:M56),"")</f>
        <v/>
      </c>
    </row>
    <row r="58" spans="1:13" x14ac:dyDescent="0.25">
      <c r="A58" s="67" t="s">
        <v>215</v>
      </c>
      <c r="B58" s="78" t="s">
        <v>1190</v>
      </c>
      <c r="C58" s="73" t="s">
        <v>0</v>
      </c>
      <c r="D58" s="73">
        <v>22</v>
      </c>
      <c r="E58" s="73"/>
      <c r="F58" s="73">
        <v>1</v>
      </c>
      <c r="G58" s="73">
        <v>1</v>
      </c>
      <c r="H58" s="73">
        <v>1</v>
      </c>
      <c r="I58" s="73" t="s">
        <v>862</v>
      </c>
      <c r="J58" s="73" t="s">
        <v>862</v>
      </c>
      <c r="K58" s="79" t="b">
        <v>1</v>
      </c>
      <c r="L58" s="20" t="b">
        <v>0</v>
      </c>
      <c r="M58" s="49" t="str">
        <f>IF(A58=Backdoors!B2,1+MAX(M57:M57),"")</f>
        <v/>
      </c>
    </row>
    <row r="59" spans="1:13" x14ac:dyDescent="0.25">
      <c r="A59" s="67" t="s">
        <v>215</v>
      </c>
      <c r="B59" s="78" t="s">
        <v>1191</v>
      </c>
      <c r="C59" s="73" t="s">
        <v>0</v>
      </c>
      <c r="D59" s="73">
        <f>IF(Calculator!B63=TRUE,28,18)</f>
        <v>18</v>
      </c>
      <c r="E59" s="73"/>
      <c r="F59" s="73">
        <v>1</v>
      </c>
      <c r="G59" s="73">
        <v>1</v>
      </c>
      <c r="H59" s="73">
        <v>1</v>
      </c>
      <c r="I59" s="73" t="s">
        <v>862</v>
      </c>
      <c r="J59" s="73" t="s">
        <v>862</v>
      </c>
      <c r="K59" s="79" t="b">
        <v>1</v>
      </c>
      <c r="L59" s="20" t="b">
        <v>0</v>
      </c>
      <c r="M59" s="49" t="str">
        <f>IF(A59=Backdoors!B2,1+MAX(M58:M58),"")</f>
        <v/>
      </c>
    </row>
    <row r="60" spans="1:13" x14ac:dyDescent="0.25">
      <c r="A60" s="67" t="s">
        <v>215</v>
      </c>
      <c r="B60" s="78" t="s">
        <v>1192</v>
      </c>
      <c r="C60" s="73" t="s">
        <v>0</v>
      </c>
      <c r="D60" s="73">
        <f>IF(Calculator!B63=TRUE,26,14)</f>
        <v>14</v>
      </c>
      <c r="E60" s="73"/>
      <c r="F60" s="73">
        <v>1</v>
      </c>
      <c r="G60" s="73">
        <v>1</v>
      </c>
      <c r="H60" s="73">
        <v>1</v>
      </c>
      <c r="I60" s="73" t="s">
        <v>862</v>
      </c>
      <c r="J60" s="73" t="s">
        <v>862</v>
      </c>
      <c r="K60" s="79" t="b">
        <v>1</v>
      </c>
      <c r="L60" s="20" t="b">
        <v>0</v>
      </c>
      <c r="M60" s="49" t="str">
        <f>IF(A60=Backdoors!B2,1+MAX(M59:M59),"")</f>
        <v/>
      </c>
    </row>
    <row r="61" spans="1:13" x14ac:dyDescent="0.25">
      <c r="A61" s="67" t="s">
        <v>215</v>
      </c>
      <c r="B61" s="78" t="s">
        <v>1193</v>
      </c>
      <c r="C61" s="73" t="s">
        <v>0</v>
      </c>
      <c r="D61" s="73">
        <v>30</v>
      </c>
      <c r="E61" s="73"/>
      <c r="F61" s="73">
        <v>1</v>
      </c>
      <c r="G61" s="73">
        <v>1</v>
      </c>
      <c r="H61" s="73">
        <v>1</v>
      </c>
      <c r="I61" s="73" t="s">
        <v>862</v>
      </c>
      <c r="J61" s="73" t="s">
        <v>862</v>
      </c>
      <c r="K61" s="79" t="b">
        <v>1</v>
      </c>
      <c r="L61" s="20" t="b">
        <v>0</v>
      </c>
      <c r="M61" s="49" t="str">
        <f>IF(A61=Backdoors!B2,1+MAX(M60:M60),"")</f>
        <v/>
      </c>
    </row>
    <row r="62" spans="1:13" x14ac:dyDescent="0.25">
      <c r="A62" s="67" t="s">
        <v>215</v>
      </c>
      <c r="B62" s="78" t="s">
        <v>1194</v>
      </c>
      <c r="C62" s="73" t="s">
        <v>0</v>
      </c>
      <c r="D62" s="73">
        <v>14</v>
      </c>
      <c r="E62" s="73"/>
      <c r="F62" s="73">
        <v>1</v>
      </c>
      <c r="G62" s="73">
        <v>1</v>
      </c>
      <c r="H62" s="73">
        <v>1</v>
      </c>
      <c r="I62" s="73" t="s">
        <v>862</v>
      </c>
      <c r="J62" s="73" t="s">
        <v>862</v>
      </c>
      <c r="K62" s="79" t="b">
        <v>1</v>
      </c>
      <c r="L62" s="20" t="b">
        <v>0</v>
      </c>
      <c r="M62" s="49" t="str">
        <f>IF(A62=Backdoors!B2,1+MAX(M61:M61),"")</f>
        <v/>
      </c>
    </row>
    <row r="63" spans="1:13" x14ac:dyDescent="0.25">
      <c r="A63" s="67" t="s">
        <v>215</v>
      </c>
      <c r="B63" s="78" t="s">
        <v>1195</v>
      </c>
      <c r="C63" s="73" t="s">
        <v>0</v>
      </c>
      <c r="D63" s="73">
        <v>19</v>
      </c>
      <c r="E63" s="73"/>
      <c r="F63" s="73">
        <v>1</v>
      </c>
      <c r="G63" s="73">
        <v>1</v>
      </c>
      <c r="H63" s="73">
        <v>1</v>
      </c>
      <c r="I63" s="73" t="s">
        <v>862</v>
      </c>
      <c r="J63" s="73" t="s">
        <v>862</v>
      </c>
      <c r="K63" s="79" t="b">
        <v>1</v>
      </c>
      <c r="L63" s="20" t="b">
        <v>0</v>
      </c>
      <c r="M63" s="49" t="str">
        <f>IF(A63=Backdoors!B2,1+MAX(M62:M62),"")</f>
        <v/>
      </c>
    </row>
    <row r="64" spans="1:13" x14ac:dyDescent="0.25">
      <c r="A64" s="67" t="s">
        <v>215</v>
      </c>
      <c r="B64" s="78" t="s">
        <v>1196</v>
      </c>
      <c r="C64" s="73" t="s">
        <v>0</v>
      </c>
      <c r="D64" s="73">
        <v>34</v>
      </c>
      <c r="E64" s="73"/>
      <c r="F64" s="73">
        <v>1</v>
      </c>
      <c r="G64" s="73">
        <v>1</v>
      </c>
      <c r="H64" s="73">
        <v>1</v>
      </c>
      <c r="I64" s="73" t="s">
        <v>862</v>
      </c>
      <c r="J64" s="73" t="s">
        <v>862</v>
      </c>
      <c r="K64" s="79" t="b">
        <v>1</v>
      </c>
      <c r="L64" s="20" t="b">
        <v>0</v>
      </c>
      <c r="M64" s="49" t="str">
        <f>IF(A64=Backdoors!B2,1+MAX(M63:M63),"")</f>
        <v/>
      </c>
    </row>
    <row r="65" spans="1:13" x14ac:dyDescent="0.25">
      <c r="A65" s="67" t="s">
        <v>215</v>
      </c>
      <c r="B65" s="78" t="s">
        <v>1197</v>
      </c>
      <c r="C65" s="73" t="s">
        <v>0</v>
      </c>
      <c r="D65" s="73">
        <v>38</v>
      </c>
      <c r="E65" s="73"/>
      <c r="F65" s="73">
        <v>1</v>
      </c>
      <c r="G65" s="73">
        <v>1</v>
      </c>
      <c r="H65" s="73">
        <v>1</v>
      </c>
      <c r="I65" s="73" t="s">
        <v>862</v>
      </c>
      <c r="J65" s="73" t="s">
        <v>862</v>
      </c>
      <c r="K65" s="79" t="b">
        <v>1</v>
      </c>
      <c r="L65" s="20" t="b">
        <v>0</v>
      </c>
      <c r="M65" s="49" t="str">
        <f>IF(A65=Backdoors!B2,1+MAX(M64:M64),"")</f>
        <v/>
      </c>
    </row>
    <row r="66" spans="1:13" x14ac:dyDescent="0.25">
      <c r="A66" s="67" t="s">
        <v>215</v>
      </c>
      <c r="B66" s="78" t="s">
        <v>1198</v>
      </c>
      <c r="C66" s="73" t="s">
        <v>0</v>
      </c>
      <c r="D66" s="73">
        <f>IF(Calculator!B63=TRUE,26,12)</f>
        <v>12</v>
      </c>
      <c r="E66" s="73"/>
      <c r="F66" s="73">
        <v>1</v>
      </c>
      <c r="G66" s="73">
        <v>1</v>
      </c>
      <c r="H66" s="73">
        <v>1</v>
      </c>
      <c r="I66" s="73" t="s">
        <v>862</v>
      </c>
      <c r="J66" s="73" t="s">
        <v>862</v>
      </c>
      <c r="K66" s="79" t="b">
        <v>1</v>
      </c>
      <c r="L66" s="20" t="b">
        <v>0</v>
      </c>
      <c r="M66" s="49" t="str">
        <f>IF(A66=Backdoors!B2,1+MAX(M65:M65),"")</f>
        <v/>
      </c>
    </row>
    <row r="67" spans="1:13" x14ac:dyDescent="0.25">
      <c r="A67" s="67" t="s">
        <v>215</v>
      </c>
      <c r="B67" s="78" t="s">
        <v>1199</v>
      </c>
      <c r="C67" s="73" t="s">
        <v>0</v>
      </c>
      <c r="D67" s="73">
        <v>26</v>
      </c>
      <c r="E67" s="73"/>
      <c r="F67" s="73">
        <v>1</v>
      </c>
      <c r="G67" s="73">
        <v>1</v>
      </c>
      <c r="H67" s="73">
        <v>1</v>
      </c>
      <c r="I67" s="73" t="s">
        <v>862</v>
      </c>
      <c r="J67" s="73" t="s">
        <v>862</v>
      </c>
      <c r="K67" s="79" t="b">
        <v>1</v>
      </c>
      <c r="L67" s="20" t="b">
        <v>0</v>
      </c>
      <c r="M67" s="49" t="str">
        <f>IF(A67=Backdoors!B2,1+MAX(M66:M66),"")</f>
        <v/>
      </c>
    </row>
    <row r="68" spans="1:13" x14ac:dyDescent="0.25">
      <c r="A68" s="67" t="s">
        <v>215</v>
      </c>
      <c r="B68" s="78" t="s">
        <v>1200</v>
      </c>
      <c r="C68" s="73" t="s">
        <v>0</v>
      </c>
      <c r="D68" s="73">
        <v>10</v>
      </c>
      <c r="E68" s="73"/>
      <c r="F68" s="73">
        <v>0.9</v>
      </c>
      <c r="G68" s="73">
        <v>0.3</v>
      </c>
      <c r="H68" s="73">
        <v>0.3</v>
      </c>
      <c r="I68" s="73" t="s">
        <v>862</v>
      </c>
      <c r="J68" s="73" t="s">
        <v>862</v>
      </c>
      <c r="K68" s="79" t="b">
        <v>1</v>
      </c>
      <c r="L68" s="20" t="b">
        <v>0</v>
      </c>
      <c r="M68" s="49" t="str">
        <f>IF(A68=Backdoors!B2,1+MAX(M67:M67),"")</f>
        <v/>
      </c>
    </row>
    <row r="69" spans="1:13" x14ac:dyDescent="0.25">
      <c r="A69" s="67" t="s">
        <v>215</v>
      </c>
      <c r="B69" s="78" t="s">
        <v>1201</v>
      </c>
      <c r="C69" s="73" t="s">
        <v>0</v>
      </c>
      <c r="D69" s="73">
        <v>15</v>
      </c>
      <c r="E69" s="73"/>
      <c r="F69" s="73">
        <v>0.9</v>
      </c>
      <c r="G69" s="73">
        <v>0.3</v>
      </c>
      <c r="H69" s="73">
        <v>0.3</v>
      </c>
      <c r="I69" s="73" t="s">
        <v>862</v>
      </c>
      <c r="J69" s="73" t="s">
        <v>862</v>
      </c>
      <c r="K69" s="79" t="b">
        <v>1</v>
      </c>
      <c r="L69" s="20" t="b">
        <v>0</v>
      </c>
      <c r="M69" s="49" t="str">
        <f>IF(A69=Backdoors!B2,1+MAX(M68:M68),"")</f>
        <v/>
      </c>
    </row>
    <row r="70" spans="1:13" x14ac:dyDescent="0.25">
      <c r="A70" s="67" t="s">
        <v>215</v>
      </c>
      <c r="B70" s="78" t="s">
        <v>1202</v>
      </c>
      <c r="C70" s="73" t="s">
        <v>0</v>
      </c>
      <c r="D70" s="73">
        <v>25</v>
      </c>
      <c r="E70" s="73"/>
      <c r="F70" s="73">
        <v>0.9</v>
      </c>
      <c r="G70" s="73">
        <v>0.3</v>
      </c>
      <c r="H70" s="73">
        <v>0.3</v>
      </c>
      <c r="I70" s="73" t="s">
        <v>862</v>
      </c>
      <c r="J70" s="73" t="s">
        <v>862</v>
      </c>
      <c r="K70" s="79" t="b">
        <v>1</v>
      </c>
      <c r="L70" s="20" t="b">
        <v>0</v>
      </c>
      <c r="M70" s="49" t="str">
        <f>IF(A70=Backdoors!B2,1+MAX(M69:M69),"")</f>
        <v/>
      </c>
    </row>
    <row r="71" spans="1:13" x14ac:dyDescent="0.25">
      <c r="A71" s="67" t="s">
        <v>215</v>
      </c>
      <c r="B71" s="78" t="s">
        <v>1203</v>
      </c>
      <c r="C71" s="73" t="s">
        <v>0</v>
      </c>
      <c r="D71" s="73">
        <v>18</v>
      </c>
      <c r="E71" s="73"/>
      <c r="F71" s="73">
        <v>1</v>
      </c>
      <c r="G71" s="73">
        <v>1</v>
      </c>
      <c r="H71" s="73">
        <v>1</v>
      </c>
      <c r="I71" s="73" t="s">
        <v>862</v>
      </c>
      <c r="J71" s="73" t="s">
        <v>862</v>
      </c>
      <c r="K71" s="79" t="b">
        <v>1</v>
      </c>
      <c r="L71" s="20" t="b">
        <v>0</v>
      </c>
      <c r="M71" s="49" t="str">
        <f>IF(A71=Backdoors!B2,1+MAX(M70:M70),"")</f>
        <v/>
      </c>
    </row>
    <row r="72" spans="1:13" x14ac:dyDescent="0.25">
      <c r="A72" s="67" t="s">
        <v>215</v>
      </c>
      <c r="B72" s="78" t="s">
        <v>1204</v>
      </c>
      <c r="C72" s="73" t="s">
        <v>0</v>
      </c>
      <c r="D72" s="73">
        <v>13</v>
      </c>
      <c r="E72" s="73"/>
      <c r="F72" s="73">
        <v>1</v>
      </c>
      <c r="G72" s="73">
        <v>1</v>
      </c>
      <c r="H72" s="73">
        <v>1</v>
      </c>
      <c r="I72" s="73" t="s">
        <v>862</v>
      </c>
      <c r="J72" s="73" t="s">
        <v>862</v>
      </c>
      <c r="K72" s="79" t="b">
        <v>1</v>
      </c>
      <c r="L72" s="20" t="b">
        <v>0</v>
      </c>
      <c r="M72" s="49" t="str">
        <f>IF(A72=Backdoors!B2,1+MAX(M71:M71),"")</f>
        <v/>
      </c>
    </row>
    <row r="73" spans="1:13" x14ac:dyDescent="0.25">
      <c r="A73" s="67" t="s">
        <v>215</v>
      </c>
      <c r="B73" s="78" t="s">
        <v>1205</v>
      </c>
      <c r="C73" s="73" t="s">
        <v>0</v>
      </c>
      <c r="D73" s="73">
        <v>17</v>
      </c>
      <c r="E73" s="73"/>
      <c r="F73" s="73">
        <v>0</v>
      </c>
      <c r="G73" s="73">
        <v>1</v>
      </c>
      <c r="H73" s="73">
        <v>1</v>
      </c>
      <c r="I73" s="73" t="s">
        <v>862</v>
      </c>
      <c r="J73" s="73" t="s">
        <v>862</v>
      </c>
      <c r="K73" s="79" t="b">
        <v>1</v>
      </c>
      <c r="L73" s="20" t="b">
        <v>0</v>
      </c>
      <c r="M73" s="49" t="str">
        <f>IF(A73=Backdoors!B2,1+MAX(M72:M72),"")</f>
        <v/>
      </c>
    </row>
    <row r="74" spans="1:13" x14ac:dyDescent="0.25">
      <c r="A74" s="67" t="s">
        <v>215</v>
      </c>
      <c r="B74" s="78" t="s">
        <v>1206</v>
      </c>
      <c r="C74" s="73" t="s">
        <v>0</v>
      </c>
      <c r="D74" s="73">
        <v>19</v>
      </c>
      <c r="E74" s="73"/>
      <c r="F74" s="73">
        <v>0</v>
      </c>
      <c r="G74" s="73">
        <v>1</v>
      </c>
      <c r="H74" s="73">
        <v>1</v>
      </c>
      <c r="I74" s="73" t="s">
        <v>862</v>
      </c>
      <c r="J74" s="73" t="s">
        <v>862</v>
      </c>
      <c r="K74" s="79" t="b">
        <v>1</v>
      </c>
      <c r="L74" s="20" t="b">
        <v>0</v>
      </c>
      <c r="M74" s="49" t="str">
        <f>IF(A74=Backdoors!B2,1+MAX(M73:M73),"")</f>
        <v/>
      </c>
    </row>
    <row r="75" spans="1:13" x14ac:dyDescent="0.25">
      <c r="A75" s="67" t="s">
        <v>215</v>
      </c>
      <c r="B75" s="78" t="s">
        <v>1207</v>
      </c>
      <c r="C75" s="73" t="s">
        <v>0</v>
      </c>
      <c r="D75" s="73">
        <v>55</v>
      </c>
      <c r="E75" s="73"/>
      <c r="F75" s="73">
        <v>1.5</v>
      </c>
      <c r="G75" s="73">
        <v>1</v>
      </c>
      <c r="H75" s="73">
        <v>1</v>
      </c>
      <c r="I75" s="73" t="s">
        <v>862</v>
      </c>
      <c r="J75" s="73" t="s">
        <v>862</v>
      </c>
      <c r="K75" s="79" t="b">
        <v>1</v>
      </c>
      <c r="L75" s="20" t="b">
        <v>0</v>
      </c>
      <c r="M75" s="49" t="str">
        <f>IF(A75=Backdoors!B2,1+MAX(M74:M74),"")</f>
        <v/>
      </c>
    </row>
    <row r="76" spans="1:13" x14ac:dyDescent="0.25">
      <c r="A76" s="67" t="s">
        <v>215</v>
      </c>
      <c r="B76" s="78" t="s">
        <v>1208</v>
      </c>
      <c r="C76" s="73" t="s">
        <v>0</v>
      </c>
      <c r="D76" s="73">
        <v>31</v>
      </c>
      <c r="E76" s="73"/>
      <c r="F76" s="73">
        <v>0</v>
      </c>
      <c r="G76" s="73">
        <v>1</v>
      </c>
      <c r="H76" s="73">
        <v>1</v>
      </c>
      <c r="I76" s="73" t="s">
        <v>862</v>
      </c>
      <c r="J76" s="73" t="s">
        <v>862</v>
      </c>
      <c r="K76" s="79" t="b">
        <v>1</v>
      </c>
      <c r="L76" s="20" t="b">
        <v>0</v>
      </c>
      <c r="M76" s="49" t="str">
        <f>IF(A76=Backdoors!B2,1+MAX(M75:M75),"")</f>
        <v/>
      </c>
    </row>
    <row r="77" spans="1:13" x14ac:dyDescent="0.25">
      <c r="A77" s="67" t="s">
        <v>215</v>
      </c>
      <c r="B77" s="78" t="s">
        <v>1209</v>
      </c>
      <c r="C77" s="73" t="s">
        <v>0</v>
      </c>
      <c r="D77" s="73">
        <v>72</v>
      </c>
      <c r="E77" s="73"/>
      <c r="F77" s="73">
        <v>1.5</v>
      </c>
      <c r="G77" s="73">
        <v>1</v>
      </c>
      <c r="H77" s="73">
        <v>1</v>
      </c>
      <c r="I77" s="73" t="s">
        <v>862</v>
      </c>
      <c r="J77" s="73" t="s">
        <v>862</v>
      </c>
      <c r="K77" s="79" t="b">
        <v>1</v>
      </c>
      <c r="L77" s="20" t="b">
        <v>0</v>
      </c>
      <c r="M77" s="49" t="str">
        <f>IF(A77=Backdoors!B2,1+MAX(M76:M76),"")</f>
        <v/>
      </c>
    </row>
    <row r="78" spans="1:13" x14ac:dyDescent="0.25">
      <c r="A78" s="67" t="s">
        <v>215</v>
      </c>
      <c r="B78" s="78" t="s">
        <v>1210</v>
      </c>
      <c r="C78" s="73" t="s">
        <v>0</v>
      </c>
      <c r="D78" s="73">
        <v>39</v>
      </c>
      <c r="E78" s="73"/>
      <c r="F78" s="73">
        <v>0</v>
      </c>
      <c r="G78" s="73">
        <v>1</v>
      </c>
      <c r="H78" s="73">
        <v>1</v>
      </c>
      <c r="I78" s="73" t="s">
        <v>862</v>
      </c>
      <c r="J78" s="73" t="s">
        <v>862</v>
      </c>
      <c r="K78" s="79" t="b">
        <v>1</v>
      </c>
      <c r="L78" s="20" t="b">
        <v>0</v>
      </c>
      <c r="M78" s="49" t="str">
        <f>IF(A78=Backdoors!B2,1+MAX(M77:M77),"")</f>
        <v/>
      </c>
    </row>
    <row r="79" spans="1:13" x14ac:dyDescent="0.25">
      <c r="A79" s="67" t="s">
        <v>215</v>
      </c>
      <c r="B79" s="78" t="s">
        <v>1211</v>
      </c>
      <c r="C79" s="73" t="s">
        <v>0</v>
      </c>
      <c r="D79" s="73">
        <v>86</v>
      </c>
      <c r="E79" s="73"/>
      <c r="F79" s="73">
        <v>1.5</v>
      </c>
      <c r="G79" s="73">
        <v>1</v>
      </c>
      <c r="H79" s="73">
        <v>1</v>
      </c>
      <c r="I79" s="73" t="s">
        <v>862</v>
      </c>
      <c r="J79" s="73" t="s">
        <v>862</v>
      </c>
      <c r="K79" s="79" t="b">
        <v>1</v>
      </c>
      <c r="L79" s="20" t="b">
        <v>0</v>
      </c>
      <c r="M79" s="49" t="str">
        <f>IF(A79=Backdoors!B2,1+MAX(M78:M78),"")</f>
        <v/>
      </c>
    </row>
    <row r="80" spans="1:13" x14ac:dyDescent="0.25">
      <c r="A80" s="67" t="s">
        <v>215</v>
      </c>
      <c r="B80" s="78" t="s">
        <v>1212</v>
      </c>
      <c r="C80" s="73" t="s">
        <v>0</v>
      </c>
      <c r="D80" s="73">
        <v>26</v>
      </c>
      <c r="E80" s="73">
        <v>30</v>
      </c>
      <c r="F80" s="73">
        <v>1</v>
      </c>
      <c r="G80" s="73">
        <v>1</v>
      </c>
      <c r="H80" s="73">
        <v>1</v>
      </c>
      <c r="I80" s="73" t="s">
        <v>862</v>
      </c>
      <c r="J80" s="73" t="s">
        <v>862</v>
      </c>
      <c r="K80" s="79" t="b">
        <v>1</v>
      </c>
      <c r="L80" s="20" t="b">
        <v>1</v>
      </c>
      <c r="M80" s="49" t="str">
        <f>IF(A80=Backdoors!B2,1+MAX(M79:M79),"")</f>
        <v/>
      </c>
    </row>
    <row r="81" spans="1:13" x14ac:dyDescent="0.25">
      <c r="A81" s="67" t="s">
        <v>215</v>
      </c>
      <c r="B81" s="78" t="s">
        <v>1213</v>
      </c>
      <c r="C81" s="73" t="s">
        <v>0</v>
      </c>
      <c r="D81" s="73">
        <f>IF(Calculator!B63=TRUE,30,16)</f>
        <v>16</v>
      </c>
      <c r="E81" s="73">
        <v>40</v>
      </c>
      <c r="F81" s="73">
        <v>1</v>
      </c>
      <c r="G81" s="73">
        <v>1</v>
      </c>
      <c r="H81" s="73">
        <v>1</v>
      </c>
      <c r="I81" s="73" t="s">
        <v>862</v>
      </c>
      <c r="J81" s="73" t="s">
        <v>862</v>
      </c>
      <c r="K81" s="79" t="b">
        <v>1</v>
      </c>
      <c r="L81" s="20" t="b">
        <v>1</v>
      </c>
      <c r="M81" s="49" t="str">
        <f>IF(A81=Backdoors!B2,1+MAX(M80:M80),"")</f>
        <v/>
      </c>
    </row>
    <row r="82" spans="1:13" x14ac:dyDescent="0.25">
      <c r="A82" s="67" t="s">
        <v>215</v>
      </c>
      <c r="B82" s="78" t="s">
        <v>1214</v>
      </c>
      <c r="C82" s="73" t="s">
        <v>0</v>
      </c>
      <c r="D82" s="73">
        <f>IF(Calculator!B63=TRUE,12,4)</f>
        <v>4</v>
      </c>
      <c r="E82" s="73">
        <v>30</v>
      </c>
      <c r="F82" s="73">
        <v>1</v>
      </c>
      <c r="G82" s="73">
        <v>1</v>
      </c>
      <c r="H82" s="73">
        <v>1</v>
      </c>
      <c r="I82" s="73" t="s">
        <v>862</v>
      </c>
      <c r="J82" s="73" t="s">
        <v>862</v>
      </c>
      <c r="K82" s="79" t="b">
        <v>1</v>
      </c>
      <c r="L82" s="20" t="b">
        <v>1</v>
      </c>
      <c r="M82" s="49" t="str">
        <f>IF(A82=Backdoors!B2,1+MAX(M81:M81),"")</f>
        <v/>
      </c>
    </row>
    <row r="83" spans="1:13" x14ac:dyDescent="0.25">
      <c r="A83" s="67" t="s">
        <v>215</v>
      </c>
      <c r="B83" s="78" t="s">
        <v>1215</v>
      </c>
      <c r="C83" s="73" t="s">
        <v>0</v>
      </c>
      <c r="D83" s="73">
        <f>IF(Calculator!B63=TRUE,36,16)</f>
        <v>16</v>
      </c>
      <c r="E83" s="73">
        <v>30</v>
      </c>
      <c r="F83" s="73">
        <v>1</v>
      </c>
      <c r="G83" s="73">
        <v>1</v>
      </c>
      <c r="H83" s="73">
        <v>1</v>
      </c>
      <c r="I83" s="73" t="s">
        <v>862</v>
      </c>
      <c r="J83" s="73" t="s">
        <v>862</v>
      </c>
      <c r="K83" s="79" t="b">
        <v>1</v>
      </c>
      <c r="L83" s="20" t="b">
        <v>1</v>
      </c>
      <c r="M83" s="49" t="str">
        <f>IF(A83=Backdoors!B2,1+MAX(M82:M82),"")</f>
        <v/>
      </c>
    </row>
    <row r="84" spans="1:13" x14ac:dyDescent="0.25">
      <c r="A84" s="67" t="s">
        <v>215</v>
      </c>
      <c r="B84" s="78" t="s">
        <v>1216</v>
      </c>
      <c r="C84" s="73" t="s">
        <v>0</v>
      </c>
      <c r="D84" s="73">
        <f>IF(Calculator!B63=TRUE,38,18)</f>
        <v>18</v>
      </c>
      <c r="E84" s="73">
        <v>20</v>
      </c>
      <c r="F84" s="73">
        <v>1</v>
      </c>
      <c r="G84" s="73">
        <v>1</v>
      </c>
      <c r="H84" s="73">
        <v>1</v>
      </c>
      <c r="I84" s="73" t="s">
        <v>862</v>
      </c>
      <c r="J84" s="73" t="s">
        <v>862</v>
      </c>
      <c r="K84" s="79" t="b">
        <v>1</v>
      </c>
      <c r="L84" s="20" t="b">
        <v>1</v>
      </c>
      <c r="M84" s="49" t="str">
        <f>IF(A84=Backdoors!B2,1+MAX(M83:M83),"")</f>
        <v/>
      </c>
    </row>
    <row r="85" spans="1:13" x14ac:dyDescent="0.25">
      <c r="A85" s="67" t="s">
        <v>215</v>
      </c>
      <c r="B85" s="78" t="s">
        <v>1217</v>
      </c>
      <c r="C85" s="73" t="s">
        <v>0</v>
      </c>
      <c r="D85" s="73">
        <v>20</v>
      </c>
      <c r="E85" s="73">
        <v>30</v>
      </c>
      <c r="F85" s="73">
        <v>1</v>
      </c>
      <c r="G85" s="73">
        <v>1</v>
      </c>
      <c r="H85" s="73">
        <v>1</v>
      </c>
      <c r="I85" s="73" t="s">
        <v>862</v>
      </c>
      <c r="J85" s="73" t="s">
        <v>862</v>
      </c>
      <c r="K85" s="79" t="b">
        <v>1</v>
      </c>
      <c r="L85" s="20" t="b">
        <v>1</v>
      </c>
      <c r="M85" s="49" t="str">
        <f>IF(A85=Backdoors!B2,1+MAX(M84:M84),"")</f>
        <v/>
      </c>
    </row>
    <row r="86" spans="1:13" x14ac:dyDescent="0.25">
      <c r="A86" s="67" t="s">
        <v>215</v>
      </c>
      <c r="B86" s="78" t="s">
        <v>1218</v>
      </c>
      <c r="C86" s="73" t="s">
        <v>0</v>
      </c>
      <c r="D86" s="73">
        <f>IF(Calculator!B63=TRUE,48,26)</f>
        <v>26</v>
      </c>
      <c r="E86" s="73">
        <v>65</v>
      </c>
      <c r="F86" s="73">
        <v>1</v>
      </c>
      <c r="G86" s="73">
        <v>1</v>
      </c>
      <c r="H86" s="73">
        <v>1</v>
      </c>
      <c r="I86" s="73" t="s">
        <v>862</v>
      </c>
      <c r="J86" s="73" t="s">
        <v>862</v>
      </c>
      <c r="K86" s="79" t="b">
        <v>1</v>
      </c>
      <c r="L86" s="20" t="b">
        <v>1</v>
      </c>
      <c r="M86" s="49" t="str">
        <f>IF(A86=Backdoors!B2,1+MAX(M85:M85),"")</f>
        <v/>
      </c>
    </row>
    <row r="87" spans="1:13" x14ac:dyDescent="0.25">
      <c r="A87" s="67" t="s">
        <v>215</v>
      </c>
      <c r="B87" s="78" t="s">
        <v>1177</v>
      </c>
      <c r="C87" s="73" t="s">
        <v>0</v>
      </c>
      <c r="D87" s="73">
        <v>15</v>
      </c>
      <c r="E87" s="73"/>
      <c r="F87" s="73">
        <v>0</v>
      </c>
      <c r="G87" s="73">
        <v>1</v>
      </c>
      <c r="H87" s="73">
        <v>1</v>
      </c>
      <c r="I87" s="73" t="s">
        <v>862</v>
      </c>
      <c r="J87" s="73" t="s">
        <v>862</v>
      </c>
      <c r="K87" s="79" t="b">
        <v>1</v>
      </c>
      <c r="L87" s="20" t="b">
        <v>0</v>
      </c>
      <c r="M87" s="49" t="str">
        <f>IF(A87=Backdoors!B2,1+MAX(M86:M86),"")</f>
        <v/>
      </c>
    </row>
    <row r="88" spans="1:13" x14ac:dyDescent="0.25">
      <c r="A88" s="67" t="s">
        <v>215</v>
      </c>
      <c r="B88" s="78" t="s">
        <v>1179</v>
      </c>
      <c r="C88" s="73" t="s">
        <v>0</v>
      </c>
      <c r="D88" s="73">
        <v>6</v>
      </c>
      <c r="E88" s="73"/>
      <c r="F88" s="73">
        <v>1</v>
      </c>
      <c r="G88" s="73">
        <v>0.2</v>
      </c>
      <c r="H88" s="73">
        <v>0.2</v>
      </c>
      <c r="I88" s="73" t="s">
        <v>862</v>
      </c>
      <c r="J88" s="73" t="s">
        <v>862</v>
      </c>
      <c r="K88" s="79" t="b">
        <v>1</v>
      </c>
      <c r="L88" s="20" t="b">
        <v>0</v>
      </c>
      <c r="M88" s="49" t="str">
        <f>IF(A88=Backdoors!B2,1+MAX(M87:M87),"")</f>
        <v/>
      </c>
    </row>
    <row r="89" spans="1:13" x14ac:dyDescent="0.25">
      <c r="A89" s="67" t="s">
        <v>215</v>
      </c>
      <c r="B89" s="78" t="s">
        <v>1219</v>
      </c>
      <c r="C89" s="73" t="s">
        <v>0</v>
      </c>
      <c r="D89" s="73">
        <v>16</v>
      </c>
      <c r="E89" s="73"/>
      <c r="F89" s="73">
        <v>0</v>
      </c>
      <c r="G89" s="73">
        <v>1</v>
      </c>
      <c r="H89" s="73">
        <v>1</v>
      </c>
      <c r="I89" s="73" t="s">
        <v>862</v>
      </c>
      <c r="J89" s="73" t="s">
        <v>862</v>
      </c>
      <c r="K89" s="79" t="b">
        <v>1</v>
      </c>
      <c r="L89" s="20" t="b">
        <v>0</v>
      </c>
      <c r="M89" s="49" t="str">
        <f>IF(A89=Backdoors!B2,1+MAX(M88:M88),"")</f>
        <v/>
      </c>
    </row>
    <row r="90" spans="1:13" x14ac:dyDescent="0.25">
      <c r="A90" s="67" t="s">
        <v>215</v>
      </c>
      <c r="B90" s="78" t="s">
        <v>1220</v>
      </c>
      <c r="C90" s="73" t="s">
        <v>0</v>
      </c>
      <c r="D90" s="73">
        <v>12</v>
      </c>
      <c r="E90" s="73"/>
      <c r="F90" s="73">
        <v>0</v>
      </c>
      <c r="G90" s="73">
        <v>1</v>
      </c>
      <c r="H90" s="73">
        <v>1</v>
      </c>
      <c r="I90" s="73" t="s">
        <v>862</v>
      </c>
      <c r="J90" s="73" t="s">
        <v>862</v>
      </c>
      <c r="K90" s="79" t="b">
        <v>1</v>
      </c>
      <c r="L90" s="20" t="b">
        <v>0</v>
      </c>
      <c r="M90" s="49" t="str">
        <f>IF(A90=Backdoors!B2,1+MAX(M89:M89),"")</f>
        <v/>
      </c>
    </row>
    <row r="91" spans="1:13" x14ac:dyDescent="0.25">
      <c r="A91" s="67" t="s">
        <v>215</v>
      </c>
      <c r="B91" s="78" t="s">
        <v>1221</v>
      </c>
      <c r="C91" s="73" t="s">
        <v>0</v>
      </c>
      <c r="D91" s="73">
        <v>14</v>
      </c>
      <c r="E91" s="73"/>
      <c r="F91" s="73">
        <v>0</v>
      </c>
      <c r="G91" s="73">
        <v>1</v>
      </c>
      <c r="H91" s="73">
        <v>1</v>
      </c>
      <c r="I91" s="73" t="s">
        <v>862</v>
      </c>
      <c r="J91" s="73" t="s">
        <v>862</v>
      </c>
      <c r="K91" s="79" t="b">
        <v>1</v>
      </c>
      <c r="L91" s="20" t="b">
        <v>0</v>
      </c>
      <c r="M91" s="49" t="str">
        <f>IF(A91=Backdoors!B2,1+MAX(M90:M90),"")</f>
        <v/>
      </c>
    </row>
    <row r="92" spans="1:13" x14ac:dyDescent="0.25">
      <c r="A92" s="67" t="s">
        <v>215</v>
      </c>
      <c r="B92" s="78" t="s">
        <v>1222</v>
      </c>
      <c r="C92" s="73" t="s">
        <v>0</v>
      </c>
      <c r="D92" s="73">
        <v>26</v>
      </c>
      <c r="E92" s="73"/>
      <c r="F92" s="73">
        <v>1</v>
      </c>
      <c r="G92" s="73">
        <v>1</v>
      </c>
      <c r="H92" s="73">
        <v>1</v>
      </c>
      <c r="I92" s="73" t="s">
        <v>862</v>
      </c>
      <c r="J92" s="73" t="s">
        <v>862</v>
      </c>
      <c r="K92" s="79" t="b">
        <v>1</v>
      </c>
      <c r="L92" s="20" t="b">
        <v>0</v>
      </c>
      <c r="M92" s="49" t="str">
        <f>IF(A92=Backdoors!B2,1+MAX(M91:M91),"")</f>
        <v/>
      </c>
    </row>
    <row r="93" spans="1:13" x14ac:dyDescent="0.25">
      <c r="A93" s="67" t="s">
        <v>215</v>
      </c>
      <c r="B93" s="78" t="s">
        <v>1223</v>
      </c>
      <c r="C93" s="73" t="s">
        <v>0</v>
      </c>
      <c r="D93" s="73">
        <v>15</v>
      </c>
      <c r="E93" s="73"/>
      <c r="F93" s="73">
        <v>1</v>
      </c>
      <c r="G93" s="73">
        <v>1</v>
      </c>
      <c r="H93" s="73">
        <v>1</v>
      </c>
      <c r="I93" s="73" t="s">
        <v>862</v>
      </c>
      <c r="J93" s="73" t="s">
        <v>862</v>
      </c>
      <c r="K93" s="79" t="b">
        <v>1</v>
      </c>
      <c r="L93" s="20" t="b">
        <v>0</v>
      </c>
      <c r="M93" s="49" t="str">
        <f>IF(A93=Backdoors!B2,1+MAX(M92:M92),"")</f>
        <v/>
      </c>
    </row>
    <row r="94" spans="1:13" x14ac:dyDescent="0.25">
      <c r="A94" s="67" t="s">
        <v>215</v>
      </c>
      <c r="B94" s="78" t="s">
        <v>1224</v>
      </c>
      <c r="C94" s="73" t="s">
        <v>0</v>
      </c>
      <c r="D94" s="73">
        <v>34</v>
      </c>
      <c r="E94" s="73"/>
      <c r="F94" s="73">
        <v>1</v>
      </c>
      <c r="G94" s="73">
        <v>1</v>
      </c>
      <c r="H94" s="73">
        <v>1</v>
      </c>
      <c r="I94" s="73" t="s">
        <v>862</v>
      </c>
      <c r="J94" s="73" t="s">
        <v>862</v>
      </c>
      <c r="K94" s="79" t="b">
        <v>1</v>
      </c>
      <c r="L94" s="20" t="b">
        <v>0</v>
      </c>
      <c r="M94" s="49" t="str">
        <f>IF(A94=Backdoors!B2,1+MAX(M93:M93),"")</f>
        <v/>
      </c>
    </row>
    <row r="95" spans="1:13" x14ac:dyDescent="0.25">
      <c r="A95" s="67" t="s">
        <v>216</v>
      </c>
      <c r="B95" s="77" t="s">
        <v>1230</v>
      </c>
      <c r="C95" s="73" t="s">
        <v>0</v>
      </c>
      <c r="D95" s="73">
        <v>14</v>
      </c>
      <c r="E95" s="73"/>
      <c r="F95" s="73">
        <v>1</v>
      </c>
      <c r="G95" s="73">
        <v>1</v>
      </c>
      <c r="H95" s="73">
        <v>1</v>
      </c>
      <c r="I95" s="73" t="s">
        <v>862</v>
      </c>
      <c r="J95" s="73" t="s">
        <v>862</v>
      </c>
      <c r="K95" s="79" t="b">
        <v>1</v>
      </c>
      <c r="L95" s="20" t="b">
        <v>0</v>
      </c>
      <c r="M95" s="49" t="str">
        <f>IF(A95=Backdoors!B2,1+MAX(M94:M94),"")</f>
        <v/>
      </c>
    </row>
    <row r="96" spans="1:13" x14ac:dyDescent="0.25">
      <c r="A96" s="67" t="s">
        <v>216</v>
      </c>
      <c r="B96" s="77" t="s">
        <v>1231</v>
      </c>
      <c r="C96" s="73" t="s">
        <v>0</v>
      </c>
      <c r="D96" s="73">
        <v>13</v>
      </c>
      <c r="E96" s="73"/>
      <c r="F96" s="73">
        <v>1</v>
      </c>
      <c r="G96" s="73">
        <v>1</v>
      </c>
      <c r="H96" s="73">
        <v>1</v>
      </c>
      <c r="I96" s="73" t="s">
        <v>862</v>
      </c>
      <c r="J96" s="73" t="s">
        <v>862</v>
      </c>
      <c r="K96" s="79" t="b">
        <v>1</v>
      </c>
      <c r="L96" s="20" t="b">
        <v>0</v>
      </c>
      <c r="M96" s="49" t="str">
        <f>IF(A96=Backdoors!B2,1+MAX(M95:M95),"")</f>
        <v/>
      </c>
    </row>
    <row r="97" spans="1:13" x14ac:dyDescent="0.25">
      <c r="A97" s="67" t="s">
        <v>216</v>
      </c>
      <c r="B97" s="77" t="s">
        <v>1232</v>
      </c>
      <c r="C97" s="73" t="s">
        <v>0</v>
      </c>
      <c r="D97" s="73">
        <v>20</v>
      </c>
      <c r="E97" s="73"/>
      <c r="F97" s="73">
        <v>1</v>
      </c>
      <c r="G97" s="73">
        <v>1</v>
      </c>
      <c r="H97" s="73">
        <v>1</v>
      </c>
      <c r="I97" s="73" t="s">
        <v>862</v>
      </c>
      <c r="J97" s="73" t="s">
        <v>862</v>
      </c>
      <c r="K97" s="79" t="b">
        <v>1</v>
      </c>
      <c r="L97" s="20" t="b">
        <v>0</v>
      </c>
      <c r="M97" s="49" t="str">
        <f>IF(A97=Backdoors!B2,1+MAX(M96:M96),"")</f>
        <v/>
      </c>
    </row>
    <row r="98" spans="1:13" x14ac:dyDescent="0.25">
      <c r="A98" s="67" t="s">
        <v>216</v>
      </c>
      <c r="B98" s="77" t="s">
        <v>1233</v>
      </c>
      <c r="C98" s="73" t="s">
        <v>120</v>
      </c>
      <c r="D98" s="73">
        <v>10</v>
      </c>
      <c r="E98" s="73"/>
      <c r="F98" s="73">
        <v>1</v>
      </c>
      <c r="G98" s="73">
        <v>0</v>
      </c>
      <c r="H98" s="73">
        <v>0</v>
      </c>
      <c r="I98" s="73" t="s">
        <v>862</v>
      </c>
      <c r="J98" s="73" t="s">
        <v>862</v>
      </c>
      <c r="K98" s="79" t="b">
        <v>1</v>
      </c>
      <c r="L98" s="20" t="b">
        <v>0</v>
      </c>
      <c r="M98" s="49" t="str">
        <f>IF(A98=Backdoors!B2,1+MAX(M97:M97),"")</f>
        <v/>
      </c>
    </row>
    <row r="99" spans="1:13" x14ac:dyDescent="0.25">
      <c r="A99" s="67" t="s">
        <v>216</v>
      </c>
      <c r="B99" s="77" t="s">
        <v>1234</v>
      </c>
      <c r="C99" s="73" t="s">
        <v>0</v>
      </c>
      <c r="D99" s="73">
        <v>16</v>
      </c>
      <c r="E99" s="73"/>
      <c r="F99" s="73">
        <v>1</v>
      </c>
      <c r="G99" s="73">
        <v>1</v>
      </c>
      <c r="H99" s="73">
        <v>1</v>
      </c>
      <c r="I99" s="73" t="s">
        <v>862</v>
      </c>
      <c r="J99" s="73" t="s">
        <v>862</v>
      </c>
      <c r="K99" s="79" t="b">
        <v>1</v>
      </c>
      <c r="L99" s="20" t="b">
        <v>0</v>
      </c>
      <c r="M99" s="49" t="str">
        <f>IF(A99=Backdoors!B2,1+MAX(M98:M98),"")</f>
        <v/>
      </c>
    </row>
    <row r="100" spans="1:13" x14ac:dyDescent="0.25">
      <c r="A100" s="67" t="s">
        <v>216</v>
      </c>
      <c r="B100" s="77" t="s">
        <v>1235</v>
      </c>
      <c r="C100" s="73" t="s">
        <v>0</v>
      </c>
      <c r="D100" s="73">
        <v>17</v>
      </c>
      <c r="E100" s="73"/>
      <c r="F100" s="73">
        <v>1</v>
      </c>
      <c r="G100" s="73">
        <v>1</v>
      </c>
      <c r="H100" s="73">
        <v>1</v>
      </c>
      <c r="I100" s="73" t="s">
        <v>862</v>
      </c>
      <c r="J100" s="73" t="s">
        <v>862</v>
      </c>
      <c r="K100" s="79" t="b">
        <v>1</v>
      </c>
      <c r="L100" s="20" t="b">
        <v>0</v>
      </c>
      <c r="M100" s="49" t="str">
        <f>IF(A100=Backdoors!B2,1+MAX(M99:M99),"")</f>
        <v/>
      </c>
    </row>
    <row r="101" spans="1:13" x14ac:dyDescent="0.25">
      <c r="A101" s="67" t="s">
        <v>216</v>
      </c>
      <c r="B101" s="77" t="s">
        <v>1188</v>
      </c>
      <c r="C101" s="73" t="s">
        <v>0</v>
      </c>
      <c r="D101" s="73">
        <v>22</v>
      </c>
      <c r="E101" s="73"/>
      <c r="F101" s="73">
        <v>1</v>
      </c>
      <c r="G101" s="73">
        <v>1</v>
      </c>
      <c r="H101" s="73">
        <v>1</v>
      </c>
      <c r="I101" s="73" t="s">
        <v>862</v>
      </c>
      <c r="J101" s="73" t="s">
        <v>862</v>
      </c>
      <c r="K101" s="79" t="b">
        <v>1</v>
      </c>
      <c r="L101" s="20" t="b">
        <v>0</v>
      </c>
      <c r="M101" s="49" t="str">
        <f>IF(A101=Backdoors!B2,1+MAX(M100:M100),"")</f>
        <v/>
      </c>
    </row>
    <row r="102" spans="1:13" x14ac:dyDescent="0.25">
      <c r="A102" s="67" t="s">
        <v>216</v>
      </c>
      <c r="B102" s="77" t="s">
        <v>1236</v>
      </c>
      <c r="C102" s="73" t="s">
        <v>0</v>
      </c>
      <c r="D102" s="73">
        <v>14</v>
      </c>
      <c r="E102" s="73"/>
      <c r="F102" s="73">
        <v>1</v>
      </c>
      <c r="G102" s="73">
        <v>1</v>
      </c>
      <c r="H102" s="73">
        <v>1</v>
      </c>
      <c r="I102" s="73" t="s">
        <v>862</v>
      </c>
      <c r="J102" s="73" t="s">
        <v>862</v>
      </c>
      <c r="K102" s="79" t="b">
        <v>1</v>
      </c>
      <c r="L102" s="20" t="b">
        <v>0</v>
      </c>
      <c r="M102" s="49" t="str">
        <f>IF(A102=Backdoors!B2,1+MAX(M101:M101),"")</f>
        <v/>
      </c>
    </row>
    <row r="103" spans="1:13" x14ac:dyDescent="0.25">
      <c r="A103" s="67" t="s">
        <v>216</v>
      </c>
      <c r="B103" s="77" t="s">
        <v>1237</v>
      </c>
      <c r="C103" s="73" t="s">
        <v>120</v>
      </c>
      <c r="D103" s="73">
        <v>6</v>
      </c>
      <c r="E103" s="73"/>
      <c r="F103" s="73">
        <v>1</v>
      </c>
      <c r="G103" s="73">
        <v>0</v>
      </c>
      <c r="H103" s="73">
        <v>0</v>
      </c>
      <c r="I103" s="73" t="s">
        <v>862</v>
      </c>
      <c r="J103" s="73" t="s">
        <v>862</v>
      </c>
      <c r="K103" s="79" t="b">
        <v>1</v>
      </c>
      <c r="L103" s="20" t="b">
        <v>0</v>
      </c>
      <c r="M103" s="49" t="str">
        <f>IF(A103=Backdoors!B2,1+MAX(M102:M102),"")</f>
        <v/>
      </c>
    </row>
    <row r="104" spans="1:13" x14ac:dyDescent="0.25">
      <c r="A104" s="67" t="s">
        <v>216</v>
      </c>
      <c r="B104" s="77" t="s">
        <v>1161</v>
      </c>
      <c r="C104" s="73" t="s">
        <v>0</v>
      </c>
      <c r="D104" s="73">
        <v>14</v>
      </c>
      <c r="E104" s="73"/>
      <c r="F104" s="73">
        <v>1</v>
      </c>
      <c r="G104" s="73">
        <v>1</v>
      </c>
      <c r="H104" s="73">
        <v>1</v>
      </c>
      <c r="I104" s="73" t="s">
        <v>862</v>
      </c>
      <c r="J104" s="73" t="s">
        <v>862</v>
      </c>
      <c r="K104" s="79" t="b">
        <v>1</v>
      </c>
      <c r="L104" s="20" t="b">
        <v>0</v>
      </c>
      <c r="M104" s="49" t="str">
        <f>IF(A104=Backdoors!B2,1+MAX(M103:M103),"")</f>
        <v/>
      </c>
    </row>
    <row r="105" spans="1:13" x14ac:dyDescent="0.25">
      <c r="A105" s="67" t="s">
        <v>216</v>
      </c>
      <c r="B105" s="77" t="s">
        <v>1238</v>
      </c>
      <c r="C105" s="73" t="s">
        <v>0</v>
      </c>
      <c r="D105" s="73">
        <v>30</v>
      </c>
      <c r="E105" s="73"/>
      <c r="F105" s="73">
        <v>1</v>
      </c>
      <c r="G105" s="73">
        <v>1</v>
      </c>
      <c r="H105" s="73">
        <v>1</v>
      </c>
      <c r="I105" s="73" t="s">
        <v>862</v>
      </c>
      <c r="J105" s="73" t="s">
        <v>862</v>
      </c>
      <c r="K105" s="79" t="b">
        <v>1</v>
      </c>
      <c r="L105" s="20" t="b">
        <v>0</v>
      </c>
      <c r="M105" s="49" t="str">
        <f>IF(A105=Backdoors!B2,1+MAX(M104:M104),"")</f>
        <v/>
      </c>
    </row>
    <row r="106" spans="1:13" x14ac:dyDescent="0.25">
      <c r="A106" s="67" t="s">
        <v>216</v>
      </c>
      <c r="B106" s="77" t="s">
        <v>1239</v>
      </c>
      <c r="C106" s="73" t="s">
        <v>0</v>
      </c>
      <c r="D106" s="73">
        <v>22</v>
      </c>
      <c r="E106" s="73"/>
      <c r="F106" s="73">
        <v>1</v>
      </c>
      <c r="G106" s="73">
        <v>1</v>
      </c>
      <c r="H106" s="73">
        <v>1</v>
      </c>
      <c r="I106" s="73" t="s">
        <v>862</v>
      </c>
      <c r="J106" s="73" t="s">
        <v>862</v>
      </c>
      <c r="K106" s="79" t="b">
        <v>1</v>
      </c>
      <c r="L106" s="20" t="b">
        <v>0</v>
      </c>
      <c r="M106" s="49" t="str">
        <f>IF(A106=Backdoors!B2,1+MAX(M105:M105),"")</f>
        <v/>
      </c>
    </row>
    <row r="107" spans="1:13" x14ac:dyDescent="0.25">
      <c r="A107" s="67" t="s">
        <v>216</v>
      </c>
      <c r="B107" s="77" t="s">
        <v>1240</v>
      </c>
      <c r="C107" s="73" t="s">
        <v>0</v>
      </c>
      <c r="D107" s="73">
        <v>21</v>
      </c>
      <c r="E107" s="73"/>
      <c r="F107" s="73">
        <v>1</v>
      </c>
      <c r="G107" s="73">
        <v>1</v>
      </c>
      <c r="H107" s="73">
        <v>1</v>
      </c>
      <c r="I107" s="73" t="s">
        <v>862</v>
      </c>
      <c r="J107" s="73" t="s">
        <v>862</v>
      </c>
      <c r="K107" s="79" t="b">
        <v>1</v>
      </c>
      <c r="L107" s="20" t="b">
        <v>0</v>
      </c>
      <c r="M107" s="49" t="str">
        <f>IF(A107=Backdoors!B2,1+MAX(M106:M106),"")</f>
        <v/>
      </c>
    </row>
    <row r="108" spans="1:13" x14ac:dyDescent="0.25">
      <c r="A108" s="67" t="s">
        <v>216</v>
      </c>
      <c r="B108" s="77" t="s">
        <v>1241</v>
      </c>
      <c r="C108" s="73" t="s">
        <v>120</v>
      </c>
      <c r="D108" s="73">
        <v>29</v>
      </c>
      <c r="E108" s="73"/>
      <c r="F108" s="73">
        <v>1</v>
      </c>
      <c r="G108" s="73">
        <v>0</v>
      </c>
      <c r="H108" s="73">
        <v>0</v>
      </c>
      <c r="I108" s="73" t="s">
        <v>862</v>
      </c>
      <c r="J108" s="73" t="s">
        <v>862</v>
      </c>
      <c r="K108" s="79" t="b">
        <v>1</v>
      </c>
      <c r="L108" s="20" t="b">
        <v>0</v>
      </c>
      <c r="M108" s="49" t="str">
        <f>IF(A108=Backdoors!B2,1+MAX(M107:M107),"")</f>
        <v/>
      </c>
    </row>
    <row r="109" spans="1:13" x14ac:dyDescent="0.25">
      <c r="A109" s="67" t="s">
        <v>216</v>
      </c>
      <c r="B109" s="77" t="s">
        <v>1242</v>
      </c>
      <c r="C109" s="73" t="s">
        <v>0</v>
      </c>
      <c r="D109" s="73">
        <v>40</v>
      </c>
      <c r="E109" s="73"/>
      <c r="F109" s="73">
        <v>1</v>
      </c>
      <c r="G109" s="73">
        <v>1</v>
      </c>
      <c r="H109" s="73">
        <v>1</v>
      </c>
      <c r="I109" s="73" t="s">
        <v>862</v>
      </c>
      <c r="J109" s="73" t="s">
        <v>862</v>
      </c>
      <c r="K109" s="79" t="b">
        <v>1</v>
      </c>
      <c r="L109" s="20" t="b">
        <v>0</v>
      </c>
      <c r="M109" s="49" t="str">
        <f>IF(A109=Backdoors!B2,1+MAX(M108:M108),"")</f>
        <v/>
      </c>
    </row>
    <row r="110" spans="1:13" x14ac:dyDescent="0.25">
      <c r="A110" s="67" t="s">
        <v>216</v>
      </c>
      <c r="B110" s="77" t="s">
        <v>1243</v>
      </c>
      <c r="C110" s="73" t="s">
        <v>0</v>
      </c>
      <c r="D110" s="73">
        <v>35</v>
      </c>
      <c r="E110" s="73"/>
      <c r="F110" s="73">
        <v>1</v>
      </c>
      <c r="G110" s="73">
        <v>1</v>
      </c>
      <c r="H110" s="73">
        <v>1</v>
      </c>
      <c r="I110" s="73" t="s">
        <v>862</v>
      </c>
      <c r="J110" s="73" t="s">
        <v>862</v>
      </c>
      <c r="K110" s="79" t="b">
        <v>1</v>
      </c>
      <c r="L110" s="20" t="b">
        <v>0</v>
      </c>
      <c r="M110" s="49" t="str">
        <f>IF(A110=Backdoors!B2,1+MAX(M109:M109),"")</f>
        <v/>
      </c>
    </row>
    <row r="111" spans="1:13" x14ac:dyDescent="0.25">
      <c r="A111" s="67" t="s">
        <v>216</v>
      </c>
      <c r="B111" s="77" t="s">
        <v>1244</v>
      </c>
      <c r="C111" s="73" t="s">
        <v>120</v>
      </c>
      <c r="D111" s="73">
        <v>43</v>
      </c>
      <c r="E111" s="73"/>
      <c r="F111" s="73">
        <v>1</v>
      </c>
      <c r="G111" s="73">
        <v>0</v>
      </c>
      <c r="H111" s="73">
        <v>0</v>
      </c>
      <c r="I111" s="73" t="s">
        <v>862</v>
      </c>
      <c r="J111" s="73" t="s">
        <v>862</v>
      </c>
      <c r="K111" s="79" t="b">
        <v>1</v>
      </c>
      <c r="L111" s="20" t="b">
        <v>0</v>
      </c>
      <c r="M111" s="49" t="str">
        <f>IF(A111=Backdoors!B2,1+MAX(M110:M110),"")</f>
        <v/>
      </c>
    </row>
    <row r="112" spans="1:13" x14ac:dyDescent="0.25">
      <c r="A112" s="67" t="s">
        <v>216</v>
      </c>
      <c r="B112" s="77" t="s">
        <v>1245</v>
      </c>
      <c r="C112" s="73" t="s">
        <v>120</v>
      </c>
      <c r="D112" s="73">
        <v>39</v>
      </c>
      <c r="E112" s="73"/>
      <c r="F112" s="73">
        <v>1</v>
      </c>
      <c r="G112" s="73">
        <v>0</v>
      </c>
      <c r="H112" s="73">
        <v>0</v>
      </c>
      <c r="I112" s="73" t="s">
        <v>862</v>
      </c>
      <c r="J112" s="73" t="s">
        <v>862</v>
      </c>
      <c r="K112" s="79" t="b">
        <v>1</v>
      </c>
      <c r="L112" s="20" t="b">
        <v>0</v>
      </c>
      <c r="M112" s="49" t="str">
        <f>IF(A112=Backdoors!B2,1+MAX(M111:M111),"")</f>
        <v/>
      </c>
    </row>
    <row r="113" spans="1:13" x14ac:dyDescent="0.25">
      <c r="A113" s="67" t="s">
        <v>216</v>
      </c>
      <c r="B113" s="77" t="s">
        <v>1246</v>
      </c>
      <c r="C113" s="73" t="s">
        <v>0</v>
      </c>
      <c r="D113" s="73">
        <v>30</v>
      </c>
      <c r="E113" s="73"/>
      <c r="F113" s="73">
        <v>1</v>
      </c>
      <c r="G113" s="73">
        <v>1.1000000000000001</v>
      </c>
      <c r="H113" s="73">
        <v>1.1000000000000001</v>
      </c>
      <c r="I113" s="73" t="s">
        <v>862</v>
      </c>
      <c r="J113" s="73" t="s">
        <v>862</v>
      </c>
      <c r="K113" s="79" t="b">
        <v>1</v>
      </c>
      <c r="L113" s="20" t="b">
        <v>0</v>
      </c>
      <c r="M113" s="49" t="str">
        <f>IF(A113=Backdoors!B2,1+MAX(M112:M112),"")</f>
        <v/>
      </c>
    </row>
    <row r="114" spans="1:13" x14ac:dyDescent="0.25">
      <c r="A114" s="67" t="s">
        <v>216</v>
      </c>
      <c r="B114" s="77" t="s">
        <v>1247</v>
      </c>
      <c r="C114" s="73" t="s">
        <v>120</v>
      </c>
      <c r="D114" s="73">
        <v>25</v>
      </c>
      <c r="E114" s="73"/>
      <c r="F114" s="73">
        <v>0.3</v>
      </c>
      <c r="G114" s="73">
        <v>0</v>
      </c>
      <c r="H114" s="73">
        <v>0</v>
      </c>
      <c r="I114" s="73" t="s">
        <v>862</v>
      </c>
      <c r="J114" s="73" t="s">
        <v>862</v>
      </c>
      <c r="K114" s="79" t="b">
        <v>1</v>
      </c>
      <c r="L114" s="20" t="b">
        <v>0</v>
      </c>
      <c r="M114" s="49" t="str">
        <f>IF(A114=Backdoors!B2,1+MAX(M113:M113),"")</f>
        <v/>
      </c>
    </row>
    <row r="115" spans="1:13" x14ac:dyDescent="0.25">
      <c r="A115" s="67" t="s">
        <v>216</v>
      </c>
      <c r="B115" s="77" t="s">
        <v>1248</v>
      </c>
      <c r="C115" s="73" t="s">
        <v>0</v>
      </c>
      <c r="D115" s="73">
        <v>23</v>
      </c>
      <c r="E115" s="73"/>
      <c r="F115" s="73">
        <v>0.3</v>
      </c>
      <c r="G115" s="73">
        <v>1</v>
      </c>
      <c r="H115" s="73">
        <v>1.2</v>
      </c>
      <c r="I115" s="73" t="s">
        <v>862</v>
      </c>
      <c r="J115" s="73" t="s">
        <v>862</v>
      </c>
      <c r="K115" s="79" t="b">
        <v>1</v>
      </c>
      <c r="L115" s="20" t="b">
        <v>0</v>
      </c>
      <c r="M115" s="49" t="str">
        <f>IF(A115=Backdoors!B2,1+MAX(M114:M114),"")</f>
        <v/>
      </c>
    </row>
    <row r="116" spans="1:13" x14ac:dyDescent="0.25">
      <c r="A116" s="67" t="s">
        <v>216</v>
      </c>
      <c r="B116" s="77" t="s">
        <v>1249</v>
      </c>
      <c r="C116" s="73" t="s">
        <v>0</v>
      </c>
      <c r="D116" s="73">
        <v>30</v>
      </c>
      <c r="E116" s="73"/>
      <c r="F116" s="73">
        <v>0.3</v>
      </c>
      <c r="G116" s="73">
        <v>1</v>
      </c>
      <c r="H116" s="73">
        <v>1.2</v>
      </c>
      <c r="I116" s="73" t="s">
        <v>862</v>
      </c>
      <c r="J116" s="73" t="s">
        <v>862</v>
      </c>
      <c r="K116" s="79" t="b">
        <v>1</v>
      </c>
      <c r="L116" s="20" t="b">
        <v>0</v>
      </c>
      <c r="M116" s="49" t="str">
        <f>IF(A116=Backdoors!B2,1+MAX(M115:M115),"")</f>
        <v/>
      </c>
    </row>
    <row r="117" spans="1:13" x14ac:dyDescent="0.25">
      <c r="A117" s="67" t="s">
        <v>216</v>
      </c>
      <c r="B117" s="77" t="s">
        <v>1250</v>
      </c>
      <c r="C117" s="73" t="s">
        <v>120</v>
      </c>
      <c r="D117" s="73">
        <v>35</v>
      </c>
      <c r="E117" s="73"/>
      <c r="F117" s="73">
        <v>0.3</v>
      </c>
      <c r="G117" s="73">
        <v>0</v>
      </c>
      <c r="H117" s="73">
        <v>0</v>
      </c>
      <c r="I117" s="73" t="s">
        <v>862</v>
      </c>
      <c r="J117" s="73" t="s">
        <v>862</v>
      </c>
      <c r="K117" s="79" t="b">
        <v>1</v>
      </c>
      <c r="L117" s="20" t="b">
        <v>0</v>
      </c>
      <c r="M117" s="49" t="str">
        <f>IF(A117=Backdoors!B2,1+MAX(M116:M116),"")</f>
        <v/>
      </c>
    </row>
    <row r="118" spans="1:13" x14ac:dyDescent="0.25">
      <c r="A118" s="67" t="s">
        <v>216</v>
      </c>
      <c r="B118" s="77" t="s">
        <v>1251</v>
      </c>
      <c r="C118" s="73" t="s">
        <v>0</v>
      </c>
      <c r="D118" s="73">
        <v>45</v>
      </c>
      <c r="E118" s="73"/>
      <c r="F118" s="73">
        <v>0.3</v>
      </c>
      <c r="G118" s="73">
        <v>1</v>
      </c>
      <c r="H118" s="73">
        <v>1.5</v>
      </c>
      <c r="I118" s="73" t="s">
        <v>862</v>
      </c>
      <c r="J118" s="73" t="s">
        <v>862</v>
      </c>
      <c r="K118" s="79" t="b">
        <v>1</v>
      </c>
      <c r="L118" s="20" t="b">
        <v>0</v>
      </c>
      <c r="M118" s="49" t="str">
        <f>IF(A118=Backdoors!B2,1+MAX(M117:M117),"")</f>
        <v/>
      </c>
    </row>
    <row r="119" spans="1:13" x14ac:dyDescent="0.25">
      <c r="A119" s="67" t="s">
        <v>216</v>
      </c>
      <c r="B119" s="77" t="s">
        <v>1252</v>
      </c>
      <c r="C119" s="73" t="s">
        <v>0</v>
      </c>
      <c r="D119" s="73">
        <v>45</v>
      </c>
      <c r="E119" s="73"/>
      <c r="F119" s="73">
        <v>1</v>
      </c>
      <c r="G119" s="73">
        <v>1</v>
      </c>
      <c r="H119" s="73">
        <v>1.8</v>
      </c>
      <c r="I119" s="73" t="s">
        <v>862</v>
      </c>
      <c r="J119" s="73" t="s">
        <v>862</v>
      </c>
      <c r="K119" s="79" t="b">
        <v>1</v>
      </c>
      <c r="L119" s="20" t="b">
        <v>0</v>
      </c>
      <c r="M119" s="49" t="str">
        <f>IF(A119=Backdoors!B2,1+MAX(M118:M118),"")</f>
        <v/>
      </c>
    </row>
    <row r="120" spans="1:13" x14ac:dyDescent="0.25">
      <c r="A120" s="67" t="s">
        <v>216</v>
      </c>
      <c r="B120" s="77" t="s">
        <v>1253</v>
      </c>
      <c r="C120" s="73" t="s">
        <v>0</v>
      </c>
      <c r="D120" s="73">
        <v>8</v>
      </c>
      <c r="E120" s="73"/>
      <c r="F120" s="73">
        <v>1</v>
      </c>
      <c r="G120" s="73">
        <v>1</v>
      </c>
      <c r="H120" s="73">
        <v>1</v>
      </c>
      <c r="I120" s="73" t="s">
        <v>862</v>
      </c>
      <c r="J120" s="73" t="s">
        <v>862</v>
      </c>
      <c r="K120" s="79" t="b">
        <v>1</v>
      </c>
      <c r="L120" s="20" t="b">
        <v>0</v>
      </c>
      <c r="M120" s="49" t="str">
        <f>IF(A120=Backdoors!B2,1+MAX(M119:M119),"")</f>
        <v/>
      </c>
    </row>
    <row r="121" spans="1:13" x14ac:dyDescent="0.25">
      <c r="A121" s="67" t="s">
        <v>216</v>
      </c>
      <c r="B121" s="77" t="s">
        <v>1254</v>
      </c>
      <c r="C121" s="73" t="s">
        <v>120</v>
      </c>
      <c r="D121" s="73">
        <v>45</v>
      </c>
      <c r="E121" s="73"/>
      <c r="F121" s="73">
        <v>0.3</v>
      </c>
      <c r="G121" s="73">
        <v>0</v>
      </c>
      <c r="H121" s="73">
        <v>0</v>
      </c>
      <c r="I121" s="73" t="s">
        <v>862</v>
      </c>
      <c r="J121" s="73" t="s">
        <v>862</v>
      </c>
      <c r="K121" s="79" t="b">
        <v>1</v>
      </c>
      <c r="L121" s="20" t="b">
        <v>0</v>
      </c>
      <c r="M121" s="49" t="str">
        <f>IF(A121=Backdoors!B2,1+MAX(M120:M120),"")</f>
        <v/>
      </c>
    </row>
    <row r="122" spans="1:13" x14ac:dyDescent="0.25">
      <c r="A122" s="67" t="s">
        <v>216</v>
      </c>
      <c r="B122" s="77" t="s">
        <v>1255</v>
      </c>
      <c r="C122" s="73" t="s">
        <v>0</v>
      </c>
      <c r="D122" s="73">
        <v>45</v>
      </c>
      <c r="E122" s="73"/>
      <c r="F122" s="73">
        <v>0.3</v>
      </c>
      <c r="G122" s="73">
        <v>1.2</v>
      </c>
      <c r="H122" s="73">
        <v>1</v>
      </c>
      <c r="I122" s="73" t="s">
        <v>862</v>
      </c>
      <c r="J122" s="73" t="s">
        <v>862</v>
      </c>
      <c r="K122" s="79" t="b">
        <v>1</v>
      </c>
      <c r="L122" s="20" t="b">
        <v>0</v>
      </c>
      <c r="M122" s="49" t="str">
        <f>IF(A122=Backdoors!B2,1+MAX(M121:M121),"")</f>
        <v/>
      </c>
    </row>
    <row r="123" spans="1:13" x14ac:dyDescent="0.25">
      <c r="A123" s="67" t="s">
        <v>216</v>
      </c>
      <c r="B123" s="77" t="s">
        <v>1256</v>
      </c>
      <c r="C123" s="73" t="s">
        <v>0</v>
      </c>
      <c r="D123" s="73">
        <v>60</v>
      </c>
      <c r="E123" s="73"/>
      <c r="F123" s="73">
        <v>0.3</v>
      </c>
      <c r="G123" s="73">
        <v>1.2</v>
      </c>
      <c r="H123" s="73">
        <v>1</v>
      </c>
      <c r="I123" s="73" t="s">
        <v>862</v>
      </c>
      <c r="J123" s="73" t="s">
        <v>862</v>
      </c>
      <c r="K123" s="79" t="b">
        <v>1</v>
      </c>
      <c r="L123" s="20" t="b">
        <v>0</v>
      </c>
      <c r="M123" s="49" t="str">
        <f>IF(A123=Backdoors!B2,1+MAX(M122:M122),"")</f>
        <v/>
      </c>
    </row>
    <row r="124" spans="1:13" x14ac:dyDescent="0.25">
      <c r="A124" s="67" t="s">
        <v>216</v>
      </c>
      <c r="B124" s="77" t="s">
        <v>1257</v>
      </c>
      <c r="C124" s="73" t="s">
        <v>120</v>
      </c>
      <c r="D124" s="73">
        <v>55</v>
      </c>
      <c r="E124" s="73"/>
      <c r="F124" s="73">
        <v>0.3</v>
      </c>
      <c r="G124" s="73">
        <v>0</v>
      </c>
      <c r="H124" s="73">
        <v>0</v>
      </c>
      <c r="I124" s="73" t="s">
        <v>862</v>
      </c>
      <c r="J124" s="73" t="s">
        <v>862</v>
      </c>
      <c r="K124" s="79" t="b">
        <v>1</v>
      </c>
      <c r="L124" s="20" t="b">
        <v>0</v>
      </c>
      <c r="M124" s="49" t="str">
        <f>IF(A124=Backdoors!B2,1+MAX(M123:M123),"")</f>
        <v/>
      </c>
    </row>
    <row r="125" spans="1:13" x14ac:dyDescent="0.25">
      <c r="A125" s="67" t="s">
        <v>216</v>
      </c>
      <c r="B125" s="77" t="s">
        <v>1258</v>
      </c>
      <c r="C125" s="73" t="s">
        <v>0</v>
      </c>
      <c r="D125" s="73">
        <v>65</v>
      </c>
      <c r="E125" s="73"/>
      <c r="F125" s="73">
        <v>0.3</v>
      </c>
      <c r="G125" s="73">
        <v>1.35</v>
      </c>
      <c r="H125" s="73">
        <v>1</v>
      </c>
      <c r="I125" s="73" t="s">
        <v>862</v>
      </c>
      <c r="J125" s="73" t="s">
        <v>862</v>
      </c>
      <c r="K125" s="79" t="b">
        <v>1</v>
      </c>
      <c r="L125" s="20" t="b">
        <v>0</v>
      </c>
      <c r="M125" s="49" t="str">
        <f>IF(A125=Backdoors!B2,1+MAX(M124:M124),"")</f>
        <v/>
      </c>
    </row>
    <row r="126" spans="1:13" x14ac:dyDescent="0.25">
      <c r="A126" s="67" t="s">
        <v>216</v>
      </c>
      <c r="B126" s="77" t="s">
        <v>1259</v>
      </c>
      <c r="C126" s="73" t="s">
        <v>0</v>
      </c>
      <c r="D126" s="73">
        <v>70</v>
      </c>
      <c r="E126" s="73"/>
      <c r="F126" s="73">
        <v>2.5</v>
      </c>
      <c r="G126" s="73">
        <v>1.8</v>
      </c>
      <c r="H126" s="73">
        <v>1</v>
      </c>
      <c r="I126" s="73" t="s">
        <v>862</v>
      </c>
      <c r="J126" s="73" t="s">
        <v>862</v>
      </c>
      <c r="K126" s="79" t="b">
        <v>1</v>
      </c>
      <c r="L126" s="20" t="b">
        <v>0</v>
      </c>
      <c r="M126" s="49" t="str">
        <f>IF(A126=Backdoors!B2,1+MAX(M125:M125),"")</f>
        <v/>
      </c>
    </row>
    <row r="127" spans="1:13" x14ac:dyDescent="0.25">
      <c r="A127" s="67" t="s">
        <v>216</v>
      </c>
      <c r="B127" s="77" t="s">
        <v>1260</v>
      </c>
      <c r="C127" s="73" t="s">
        <v>0</v>
      </c>
      <c r="D127" s="73">
        <v>13</v>
      </c>
      <c r="E127" s="73"/>
      <c r="F127" s="73">
        <v>1</v>
      </c>
      <c r="G127" s="73">
        <v>1</v>
      </c>
      <c r="H127" s="73">
        <v>1</v>
      </c>
      <c r="I127" s="73" t="s">
        <v>862</v>
      </c>
      <c r="J127" s="73" t="s">
        <v>862</v>
      </c>
      <c r="K127" s="79" t="b">
        <v>1</v>
      </c>
      <c r="L127" s="20" t="b">
        <v>0</v>
      </c>
      <c r="M127" s="49" t="str">
        <f>IF(A127=Backdoors!B2,1+MAX(M126:M126),"")</f>
        <v/>
      </c>
    </row>
    <row r="128" spans="1:13" x14ac:dyDescent="0.25">
      <c r="A128" s="67" t="s">
        <v>216</v>
      </c>
      <c r="B128" s="77" t="s">
        <v>1261</v>
      </c>
      <c r="C128" s="73" t="s">
        <v>120</v>
      </c>
      <c r="D128" s="73">
        <v>8</v>
      </c>
      <c r="E128" s="73"/>
      <c r="F128" s="73">
        <v>1</v>
      </c>
      <c r="G128" s="73">
        <v>0</v>
      </c>
      <c r="H128" s="73">
        <v>0</v>
      </c>
      <c r="I128" s="73" t="s">
        <v>862</v>
      </c>
      <c r="J128" s="73" t="s">
        <v>862</v>
      </c>
      <c r="K128" s="79" t="b">
        <v>1</v>
      </c>
      <c r="L128" s="20" t="b">
        <v>0</v>
      </c>
      <c r="M128" s="49" t="str">
        <f>IF(A128=Backdoors!B2,1+MAX(M127:M127),"")</f>
        <v/>
      </c>
    </row>
    <row r="129" spans="1:13" x14ac:dyDescent="0.25">
      <c r="A129" s="67" t="s">
        <v>216</v>
      </c>
      <c r="B129" s="77" t="s">
        <v>1262</v>
      </c>
      <c r="C129" s="73" t="s">
        <v>120</v>
      </c>
      <c r="D129" s="73">
        <v>16</v>
      </c>
      <c r="E129" s="73"/>
      <c r="F129" s="73">
        <v>1</v>
      </c>
      <c r="G129" s="73">
        <v>0</v>
      </c>
      <c r="H129" s="73">
        <v>0</v>
      </c>
      <c r="I129" s="73" t="s">
        <v>862</v>
      </c>
      <c r="J129" s="73" t="s">
        <v>862</v>
      </c>
      <c r="K129" s="79" t="b">
        <v>1</v>
      </c>
      <c r="L129" s="20" t="b">
        <v>0</v>
      </c>
      <c r="M129" s="49" t="str">
        <f>IF(A129=Backdoors!B2,1+MAX(M128:M128),"")</f>
        <v/>
      </c>
    </row>
    <row r="130" spans="1:13" x14ac:dyDescent="0.25">
      <c r="A130" s="67" t="s">
        <v>216</v>
      </c>
      <c r="B130" s="77" t="s">
        <v>1263</v>
      </c>
      <c r="C130" s="73" t="s">
        <v>120</v>
      </c>
      <c r="D130" s="73">
        <v>31</v>
      </c>
      <c r="E130" s="73"/>
      <c r="F130" s="73">
        <v>1</v>
      </c>
      <c r="G130" s="73">
        <v>0</v>
      </c>
      <c r="H130" s="73">
        <v>0</v>
      </c>
      <c r="I130" s="73" t="s">
        <v>862</v>
      </c>
      <c r="J130" s="73" t="s">
        <v>862</v>
      </c>
      <c r="K130" s="79" t="b">
        <v>1</v>
      </c>
      <c r="L130" s="20" t="b">
        <v>0</v>
      </c>
      <c r="M130" s="49" t="str">
        <f>IF(A130=Backdoors!B2,1+MAX(M129:M129),"")</f>
        <v/>
      </c>
    </row>
    <row r="131" spans="1:13" x14ac:dyDescent="0.25">
      <c r="A131" s="67" t="s">
        <v>216</v>
      </c>
      <c r="B131" s="77" t="s">
        <v>1264</v>
      </c>
      <c r="C131" s="73" t="s">
        <v>0</v>
      </c>
      <c r="D131" s="73">
        <v>18</v>
      </c>
      <c r="E131" s="73"/>
      <c r="F131" s="73">
        <v>1</v>
      </c>
      <c r="G131" s="73">
        <v>1</v>
      </c>
      <c r="H131" s="73">
        <v>1</v>
      </c>
      <c r="I131" s="73" t="s">
        <v>862</v>
      </c>
      <c r="J131" s="73" t="s">
        <v>862</v>
      </c>
      <c r="K131" s="79" t="b">
        <v>1</v>
      </c>
      <c r="L131" s="20" t="b">
        <v>0</v>
      </c>
      <c r="M131" s="49" t="str">
        <f>IF(A131=Backdoors!B2,1+MAX(M130:M130),"")</f>
        <v/>
      </c>
    </row>
    <row r="132" spans="1:13" x14ac:dyDescent="0.25">
      <c r="A132" s="67" t="s">
        <v>216</v>
      </c>
      <c r="B132" s="77" t="s">
        <v>1212</v>
      </c>
      <c r="C132" s="73" t="s">
        <v>0</v>
      </c>
      <c r="D132" s="73">
        <v>20</v>
      </c>
      <c r="E132" s="73">
        <v>55</v>
      </c>
      <c r="F132" s="73">
        <v>1</v>
      </c>
      <c r="G132" s="73">
        <v>1</v>
      </c>
      <c r="H132" s="73">
        <v>1</v>
      </c>
      <c r="I132" s="73" t="s">
        <v>862</v>
      </c>
      <c r="J132" s="73" t="s">
        <v>862</v>
      </c>
      <c r="K132" s="79" t="b">
        <v>1</v>
      </c>
      <c r="L132" s="20" t="b">
        <v>1</v>
      </c>
      <c r="M132" s="49" t="str">
        <f>IF(A132=Backdoors!B2,1+MAX(M131:M131),"")</f>
        <v/>
      </c>
    </row>
    <row r="133" spans="1:13" x14ac:dyDescent="0.25">
      <c r="A133" s="67" t="s">
        <v>216</v>
      </c>
      <c r="B133" s="77" t="s">
        <v>1265</v>
      </c>
      <c r="C133" s="73" t="s">
        <v>0</v>
      </c>
      <c r="D133" s="73">
        <v>14</v>
      </c>
      <c r="E133" s="73">
        <v>25</v>
      </c>
      <c r="F133" s="73">
        <v>1</v>
      </c>
      <c r="G133" s="73">
        <v>0.3</v>
      </c>
      <c r="H133" s="73">
        <v>0.3</v>
      </c>
      <c r="I133" s="73" t="s">
        <v>862</v>
      </c>
      <c r="J133" s="73" t="s">
        <v>862</v>
      </c>
      <c r="K133" s="79" t="b">
        <v>1</v>
      </c>
      <c r="L133" s="20" t="b">
        <v>1</v>
      </c>
      <c r="M133" s="49" t="str">
        <f>IF(A133=Backdoors!B2,1+MAX(M132:M132),"")</f>
        <v/>
      </c>
    </row>
    <row r="134" spans="1:13" x14ac:dyDescent="0.25">
      <c r="A134" s="67" t="s">
        <v>216</v>
      </c>
      <c r="B134" s="77" t="s">
        <v>1217</v>
      </c>
      <c r="C134" s="73" t="s">
        <v>0</v>
      </c>
      <c r="D134" s="73">
        <v>20</v>
      </c>
      <c r="E134" s="73">
        <v>45</v>
      </c>
      <c r="F134" s="73">
        <v>1</v>
      </c>
      <c r="G134" s="73">
        <v>1</v>
      </c>
      <c r="H134" s="73">
        <v>1</v>
      </c>
      <c r="I134" s="73" t="s">
        <v>862</v>
      </c>
      <c r="J134" s="73" t="s">
        <v>862</v>
      </c>
      <c r="K134" s="79" t="b">
        <v>1</v>
      </c>
      <c r="L134" s="20" t="b">
        <v>1</v>
      </c>
      <c r="M134" s="49" t="str">
        <f>IF(A134=Backdoors!B2,1+MAX(M133:M133),"")</f>
        <v/>
      </c>
    </row>
    <row r="135" spans="1:13" x14ac:dyDescent="0.25">
      <c r="A135" s="67" t="s">
        <v>216</v>
      </c>
      <c r="B135" s="77" t="s">
        <v>1266</v>
      </c>
      <c r="C135" s="73" t="s">
        <v>0</v>
      </c>
      <c r="D135" s="73">
        <v>18</v>
      </c>
      <c r="E135" s="73">
        <v>45</v>
      </c>
      <c r="F135" s="73">
        <v>1</v>
      </c>
      <c r="G135" s="73">
        <v>1</v>
      </c>
      <c r="H135" s="73">
        <v>1</v>
      </c>
      <c r="I135" s="73" t="s">
        <v>862</v>
      </c>
      <c r="J135" s="73" t="s">
        <v>862</v>
      </c>
      <c r="K135" s="79" t="b">
        <v>1</v>
      </c>
      <c r="L135" s="20" t="b">
        <v>1</v>
      </c>
      <c r="M135" s="49" t="str">
        <f>IF(A135=Backdoors!B2,1+MAX(M134:M134),"")</f>
        <v/>
      </c>
    </row>
    <row r="136" spans="1:13" x14ac:dyDescent="0.25">
      <c r="A136" s="67" t="s">
        <v>216</v>
      </c>
      <c r="B136" s="77" t="s">
        <v>1267</v>
      </c>
      <c r="C136" s="73" t="s">
        <v>0</v>
      </c>
      <c r="D136" s="73">
        <v>10</v>
      </c>
      <c r="E136" s="73"/>
      <c r="F136" s="73">
        <v>1</v>
      </c>
      <c r="G136" s="73">
        <v>1</v>
      </c>
      <c r="H136" s="73">
        <v>1</v>
      </c>
      <c r="I136" s="73" t="s">
        <v>862</v>
      </c>
      <c r="J136" s="73" t="s">
        <v>862</v>
      </c>
      <c r="K136" s="79" t="b">
        <v>1</v>
      </c>
      <c r="L136" s="20" t="b">
        <v>0</v>
      </c>
      <c r="M136" s="49" t="str">
        <f>IF(A136=Backdoors!B2,1+MAX(M135:M135),"")</f>
        <v/>
      </c>
    </row>
    <row r="137" spans="1:13" x14ac:dyDescent="0.25">
      <c r="A137" s="67" t="s">
        <v>216</v>
      </c>
      <c r="B137" s="77" t="s">
        <v>1268</v>
      </c>
      <c r="C137" s="73" t="s">
        <v>0</v>
      </c>
      <c r="D137" s="73">
        <v>35</v>
      </c>
      <c r="E137" s="73"/>
      <c r="F137" s="73">
        <v>1</v>
      </c>
      <c r="G137" s="73">
        <v>1</v>
      </c>
      <c r="H137" s="73">
        <v>1</v>
      </c>
      <c r="I137" s="73" t="s">
        <v>862</v>
      </c>
      <c r="J137" s="73" t="s">
        <v>862</v>
      </c>
      <c r="K137" s="79" t="b">
        <v>1</v>
      </c>
      <c r="L137" s="20" t="b">
        <v>0</v>
      </c>
      <c r="M137" s="49" t="str">
        <f>IF(A137=Backdoors!B2,1+MAX(M136:M136),"")</f>
        <v/>
      </c>
    </row>
    <row r="138" spans="1:13" x14ac:dyDescent="0.25">
      <c r="A138" s="67" t="s">
        <v>216</v>
      </c>
      <c r="B138" s="77" t="s">
        <v>1177</v>
      </c>
      <c r="C138" s="73" t="s">
        <v>0</v>
      </c>
      <c r="D138" s="73">
        <v>10</v>
      </c>
      <c r="E138" s="73"/>
      <c r="F138" s="73">
        <v>0</v>
      </c>
      <c r="G138" s="73">
        <v>1</v>
      </c>
      <c r="H138" s="73">
        <v>1</v>
      </c>
      <c r="I138" s="73" t="s">
        <v>862</v>
      </c>
      <c r="J138" s="73" t="s">
        <v>862</v>
      </c>
      <c r="K138" s="79" t="b">
        <v>1</v>
      </c>
      <c r="L138" s="20" t="b">
        <v>0</v>
      </c>
      <c r="M138" s="49" t="str">
        <f>IF(A138=Backdoors!B2,1+MAX(M137:M137),"")</f>
        <v/>
      </c>
    </row>
    <row r="139" spans="1:13" x14ac:dyDescent="0.25">
      <c r="A139" s="67" t="s">
        <v>216</v>
      </c>
      <c r="B139" s="77" t="s">
        <v>1178</v>
      </c>
      <c r="C139" s="73" t="s">
        <v>0</v>
      </c>
      <c r="D139" s="73">
        <v>10</v>
      </c>
      <c r="E139" s="73"/>
      <c r="F139" s="73">
        <v>0</v>
      </c>
      <c r="G139" s="73">
        <v>1</v>
      </c>
      <c r="H139" s="73">
        <v>1</v>
      </c>
      <c r="I139" s="73" t="s">
        <v>862</v>
      </c>
      <c r="J139" s="73" t="s">
        <v>862</v>
      </c>
      <c r="K139" s="79" t="b">
        <v>1</v>
      </c>
      <c r="L139" s="20" t="b">
        <v>0</v>
      </c>
      <c r="M139" s="49" t="str">
        <f>IF(A139=Backdoors!B2,1+MAX(M138:M138),"")</f>
        <v/>
      </c>
    </row>
    <row r="140" spans="1:13" x14ac:dyDescent="0.25">
      <c r="A140" s="67" t="s">
        <v>216</v>
      </c>
      <c r="B140" s="77" t="s">
        <v>1269</v>
      </c>
      <c r="C140" s="73" t="s">
        <v>0</v>
      </c>
      <c r="D140" s="73">
        <v>18</v>
      </c>
      <c r="E140" s="73"/>
      <c r="F140" s="73">
        <v>0</v>
      </c>
      <c r="G140" s="73">
        <v>1</v>
      </c>
      <c r="H140" s="73">
        <v>1</v>
      </c>
      <c r="I140" s="73" t="s">
        <v>862</v>
      </c>
      <c r="J140" s="73" t="s">
        <v>862</v>
      </c>
      <c r="K140" s="79" t="b">
        <v>1</v>
      </c>
      <c r="L140" s="20" t="b">
        <v>0</v>
      </c>
      <c r="M140" s="49" t="str">
        <f>IF(A140=Backdoors!B2,1+MAX(M139:M139),"")</f>
        <v/>
      </c>
    </row>
    <row r="141" spans="1:13" x14ac:dyDescent="0.25">
      <c r="A141" s="67" t="s">
        <v>216</v>
      </c>
      <c r="B141" s="77" t="s">
        <v>1270</v>
      </c>
      <c r="C141" s="73" t="s">
        <v>0</v>
      </c>
      <c r="D141" s="73">
        <v>28</v>
      </c>
      <c r="E141" s="73"/>
      <c r="F141" s="73">
        <v>1</v>
      </c>
      <c r="G141" s="73">
        <v>1</v>
      </c>
      <c r="H141" s="73">
        <v>1</v>
      </c>
      <c r="I141" s="73" t="s">
        <v>862</v>
      </c>
      <c r="J141" s="73" t="s">
        <v>862</v>
      </c>
      <c r="K141" s="79" t="b">
        <v>1</v>
      </c>
      <c r="L141" s="20" t="b">
        <v>0</v>
      </c>
      <c r="M141" s="49" t="str">
        <f>IF(A141=Backdoors!B2,1+MAX(M140:M140),"")</f>
        <v/>
      </c>
    </row>
    <row r="142" spans="1:13" x14ac:dyDescent="0.25">
      <c r="A142" s="67" t="s">
        <v>216</v>
      </c>
      <c r="B142" s="77" t="s">
        <v>1271</v>
      </c>
      <c r="C142" s="73" t="s">
        <v>120</v>
      </c>
      <c r="D142" s="73">
        <v>26</v>
      </c>
      <c r="E142" s="73"/>
      <c r="F142" s="73">
        <v>0</v>
      </c>
      <c r="G142" s="73">
        <v>0</v>
      </c>
      <c r="H142" s="73">
        <v>0</v>
      </c>
      <c r="I142" s="73" t="s">
        <v>862</v>
      </c>
      <c r="J142" s="73" t="s">
        <v>862</v>
      </c>
      <c r="K142" s="79" t="b">
        <v>1</v>
      </c>
      <c r="L142" s="20" t="b">
        <v>0</v>
      </c>
      <c r="M142" s="49" t="str">
        <f>IF(A142=Backdoors!B2,1+MAX(M141:M141),"")</f>
        <v/>
      </c>
    </row>
    <row r="143" spans="1:13" x14ac:dyDescent="0.25">
      <c r="A143" s="67" t="s">
        <v>216</v>
      </c>
      <c r="B143" s="77" t="s">
        <v>1272</v>
      </c>
      <c r="C143" s="73" t="s">
        <v>0</v>
      </c>
      <c r="D143" s="73">
        <v>45</v>
      </c>
      <c r="E143" s="73"/>
      <c r="F143" s="73">
        <v>1</v>
      </c>
      <c r="G143" s="73">
        <v>1</v>
      </c>
      <c r="H143" s="73">
        <v>1</v>
      </c>
      <c r="I143" s="73" t="s">
        <v>862</v>
      </c>
      <c r="J143" s="73" t="s">
        <v>862</v>
      </c>
      <c r="K143" s="79" t="b">
        <v>1</v>
      </c>
      <c r="L143" s="20" t="b">
        <v>0</v>
      </c>
      <c r="M143" s="49" t="str">
        <f>IF(A143=Backdoors!B2,1+MAX(M142:M142),"")</f>
        <v/>
      </c>
    </row>
    <row r="144" spans="1:13" x14ac:dyDescent="0.25">
      <c r="A144" s="67" t="s">
        <v>178</v>
      </c>
      <c r="B144" s="77" t="s">
        <v>110</v>
      </c>
      <c r="C144" s="73" t="s">
        <v>0</v>
      </c>
      <c r="D144" s="73">
        <v>8</v>
      </c>
      <c r="E144" s="73"/>
      <c r="F144" s="73">
        <v>1</v>
      </c>
      <c r="G144" s="73">
        <v>0.6</v>
      </c>
      <c r="H144" s="73">
        <v>0.4</v>
      </c>
      <c r="I144" s="73" t="s">
        <v>862</v>
      </c>
      <c r="J144" s="73" t="s">
        <v>862</v>
      </c>
      <c r="K144" s="78" t="b">
        <v>1</v>
      </c>
      <c r="L144" s="73" t="b">
        <v>0</v>
      </c>
      <c r="M144" s="49">
        <f>IF(A144=Backdoors!B2,1+MAX(M143:M143),"")</f>
        <v>1</v>
      </c>
    </row>
    <row r="145" spans="1:13" x14ac:dyDescent="0.25">
      <c r="A145" s="67" t="s">
        <v>178</v>
      </c>
      <c r="B145" s="77" t="s">
        <v>1</v>
      </c>
      <c r="C145" s="73" t="s">
        <v>0</v>
      </c>
      <c r="D145" s="73">
        <v>10</v>
      </c>
      <c r="E145" s="73"/>
      <c r="F145" s="73">
        <v>1</v>
      </c>
      <c r="G145" s="73">
        <v>0.6</v>
      </c>
      <c r="H145" s="73">
        <v>0.4</v>
      </c>
      <c r="I145" s="73" t="s">
        <v>862</v>
      </c>
      <c r="J145" s="73" t="s">
        <v>862</v>
      </c>
      <c r="K145" s="78" t="b">
        <v>1</v>
      </c>
      <c r="L145" s="73" t="b">
        <v>0</v>
      </c>
      <c r="M145" s="49">
        <f>IF(A145=Backdoors!B2,1+MAX(M144:M144),"")</f>
        <v>2</v>
      </c>
    </row>
    <row r="146" spans="1:13" x14ac:dyDescent="0.25">
      <c r="A146" s="67" t="s">
        <v>178</v>
      </c>
      <c r="B146" s="77" t="s">
        <v>2</v>
      </c>
      <c r="C146" s="73" t="s">
        <v>0</v>
      </c>
      <c r="D146" s="73">
        <v>9</v>
      </c>
      <c r="E146" s="73"/>
      <c r="F146" s="73">
        <v>1</v>
      </c>
      <c r="G146" s="73">
        <v>0.6</v>
      </c>
      <c r="H146" s="73">
        <v>0.4</v>
      </c>
      <c r="I146" s="73" t="s">
        <v>862</v>
      </c>
      <c r="J146" s="73" t="s">
        <v>862</v>
      </c>
      <c r="K146" s="78" t="b">
        <v>1</v>
      </c>
      <c r="L146" s="73" t="b">
        <v>0</v>
      </c>
      <c r="M146" s="49">
        <f>IF(A146=Backdoors!B2,1+MAX(M145:M145),"")</f>
        <v>3</v>
      </c>
    </row>
    <row r="147" spans="1:13" x14ac:dyDescent="0.25">
      <c r="A147" s="67" t="s">
        <v>178</v>
      </c>
      <c r="B147" s="77" t="s">
        <v>3</v>
      </c>
      <c r="C147" s="73" t="s">
        <v>0</v>
      </c>
      <c r="D147" s="73">
        <v>10</v>
      </c>
      <c r="E147" s="73"/>
      <c r="F147" s="73">
        <v>1</v>
      </c>
      <c r="G147" s="73">
        <v>0.6</v>
      </c>
      <c r="H147" s="73">
        <v>0.4</v>
      </c>
      <c r="I147" s="73" t="s">
        <v>862</v>
      </c>
      <c r="J147" s="73" t="s">
        <v>862</v>
      </c>
      <c r="K147" s="78" t="b">
        <v>1</v>
      </c>
      <c r="L147" s="73" t="b">
        <v>0</v>
      </c>
      <c r="M147" s="49">
        <f>IF(A147=Backdoors!B2,1+MAX(M146:M146),"")</f>
        <v>4</v>
      </c>
    </row>
    <row r="148" spans="1:13" x14ac:dyDescent="0.25">
      <c r="A148" s="67" t="s">
        <v>178</v>
      </c>
      <c r="B148" s="77" t="s">
        <v>4</v>
      </c>
      <c r="C148" s="73" t="s">
        <v>0</v>
      </c>
      <c r="D148" s="73">
        <v>9</v>
      </c>
      <c r="E148" s="73"/>
      <c r="F148" s="73">
        <v>1</v>
      </c>
      <c r="G148" s="73">
        <v>0.7</v>
      </c>
      <c r="H148" s="73">
        <v>0.5</v>
      </c>
      <c r="I148" s="73" t="s">
        <v>862</v>
      </c>
      <c r="J148" s="73" t="s">
        <v>862</v>
      </c>
      <c r="K148" s="78" t="b">
        <v>1</v>
      </c>
      <c r="L148" s="73" t="b">
        <v>0</v>
      </c>
      <c r="M148" s="49">
        <f>IF(A148=Backdoors!B2,1+MAX(M147:M147),"")</f>
        <v>5</v>
      </c>
    </row>
    <row r="149" spans="1:13" x14ac:dyDescent="0.25">
      <c r="A149" s="67" t="s">
        <v>178</v>
      </c>
      <c r="B149" s="77" t="s">
        <v>5</v>
      </c>
      <c r="C149" s="73" t="s">
        <v>0</v>
      </c>
      <c r="D149" s="73">
        <v>11</v>
      </c>
      <c r="E149" s="73"/>
      <c r="F149" s="73">
        <v>1</v>
      </c>
      <c r="G149" s="73">
        <v>0.7</v>
      </c>
      <c r="H149" s="73">
        <v>0.5</v>
      </c>
      <c r="I149" s="73" t="s">
        <v>862</v>
      </c>
      <c r="J149" s="73" t="s">
        <v>862</v>
      </c>
      <c r="K149" s="78" t="b">
        <v>1</v>
      </c>
      <c r="L149" s="73" t="b">
        <v>0</v>
      </c>
      <c r="M149" s="49">
        <f>IF(A149=Backdoors!B2,1+MAX(M148:M148),"")</f>
        <v>6</v>
      </c>
    </row>
    <row r="150" spans="1:13" x14ac:dyDescent="0.25">
      <c r="A150" s="67" t="s">
        <v>178</v>
      </c>
      <c r="B150" s="77" t="s">
        <v>6</v>
      </c>
      <c r="C150" s="73" t="s">
        <v>0</v>
      </c>
      <c r="D150" s="73">
        <v>11</v>
      </c>
      <c r="E150" s="73"/>
      <c r="F150" s="73">
        <v>1</v>
      </c>
      <c r="G150" s="73">
        <v>0.7</v>
      </c>
      <c r="H150" s="73">
        <v>0.5</v>
      </c>
      <c r="I150" s="73" t="s">
        <v>862</v>
      </c>
      <c r="J150" s="73" t="s">
        <v>862</v>
      </c>
      <c r="K150" s="78" t="b">
        <v>1</v>
      </c>
      <c r="L150" s="73" t="b">
        <v>0</v>
      </c>
      <c r="M150" s="49">
        <f>IF(A150=Backdoors!B2,1+MAX(M149:M149),"")</f>
        <v>7</v>
      </c>
    </row>
    <row r="151" spans="1:13" x14ac:dyDescent="0.25">
      <c r="A151" s="67" t="s">
        <v>178</v>
      </c>
      <c r="B151" s="77" t="s">
        <v>7</v>
      </c>
      <c r="C151" s="73" t="s">
        <v>0</v>
      </c>
      <c r="D151" s="73">
        <v>3</v>
      </c>
      <c r="E151" s="73"/>
      <c r="F151" s="73">
        <v>1</v>
      </c>
      <c r="G151" s="73">
        <v>0.6</v>
      </c>
      <c r="H151" s="73">
        <v>0.4</v>
      </c>
      <c r="I151" s="73" t="s">
        <v>862</v>
      </c>
      <c r="J151" s="73" t="s">
        <v>862</v>
      </c>
      <c r="K151" s="78" t="b">
        <v>1</v>
      </c>
      <c r="L151" s="73" t="b">
        <v>0</v>
      </c>
      <c r="M151" s="49">
        <f>IF(A151=Backdoors!B2,1+MAX(M150:M150),"")</f>
        <v>8</v>
      </c>
    </row>
    <row r="152" spans="1:13" x14ac:dyDescent="0.25">
      <c r="A152" s="67" t="s">
        <v>178</v>
      </c>
      <c r="B152" s="77" t="s">
        <v>8</v>
      </c>
      <c r="C152" s="73" t="s">
        <v>0</v>
      </c>
      <c r="D152" s="73">
        <v>3</v>
      </c>
      <c r="E152" s="73"/>
      <c r="F152" s="73">
        <v>1</v>
      </c>
      <c r="G152" s="73">
        <v>0.6</v>
      </c>
      <c r="H152" s="73">
        <v>0.4</v>
      </c>
      <c r="I152" s="73" t="s">
        <v>862</v>
      </c>
      <c r="J152" s="73" t="s">
        <v>862</v>
      </c>
      <c r="K152" s="78" t="b">
        <v>1</v>
      </c>
      <c r="L152" s="73" t="b">
        <v>0</v>
      </c>
      <c r="M152" s="49">
        <f>IF(A152=Backdoors!B2,1+MAX(M151:M151),"")</f>
        <v>9</v>
      </c>
    </row>
    <row r="153" spans="1:13" x14ac:dyDescent="0.25">
      <c r="A153" s="67" t="s">
        <v>178</v>
      </c>
      <c r="B153" s="77" t="s">
        <v>9</v>
      </c>
      <c r="C153" s="73" t="s">
        <v>0</v>
      </c>
      <c r="D153" s="73">
        <v>5</v>
      </c>
      <c r="E153" s="73"/>
      <c r="F153" s="73">
        <v>1</v>
      </c>
      <c r="G153" s="73">
        <v>0.6</v>
      </c>
      <c r="H153" s="73">
        <v>0.4</v>
      </c>
      <c r="I153" s="73" t="s">
        <v>862</v>
      </c>
      <c r="J153" s="73" t="s">
        <v>862</v>
      </c>
      <c r="K153" s="78" t="b">
        <v>1</v>
      </c>
      <c r="L153" s="73" t="b">
        <v>0</v>
      </c>
      <c r="M153" s="49">
        <f>IF(A153=Backdoors!B2,1+MAX(M152:M152),"")</f>
        <v>10</v>
      </c>
    </row>
    <row r="154" spans="1:13" x14ac:dyDescent="0.25">
      <c r="A154" s="67" t="s">
        <v>178</v>
      </c>
      <c r="B154" s="77" t="s">
        <v>10</v>
      </c>
      <c r="C154" s="73" t="s">
        <v>0</v>
      </c>
      <c r="D154" s="73">
        <v>5</v>
      </c>
      <c r="E154" s="73"/>
      <c r="F154" s="73">
        <v>1</v>
      </c>
      <c r="G154" s="73">
        <v>0.6</v>
      </c>
      <c r="H154" s="73">
        <v>0.4</v>
      </c>
      <c r="I154" s="73" t="s">
        <v>862</v>
      </c>
      <c r="J154" s="73" t="s">
        <v>862</v>
      </c>
      <c r="K154" s="78" t="b">
        <v>1</v>
      </c>
      <c r="L154" s="73" t="b">
        <v>0</v>
      </c>
      <c r="M154" s="49">
        <f>IF(A154=Backdoors!B2,1+MAX(M153:M153),"")</f>
        <v>11</v>
      </c>
    </row>
    <row r="155" spans="1:13" x14ac:dyDescent="0.25">
      <c r="A155" s="67" t="s">
        <v>178</v>
      </c>
      <c r="B155" s="77" t="s">
        <v>11</v>
      </c>
      <c r="C155" s="73" t="s">
        <v>0</v>
      </c>
      <c r="D155" s="73">
        <v>7</v>
      </c>
      <c r="E155" s="73"/>
      <c r="F155" s="73">
        <v>1</v>
      </c>
      <c r="G155" s="73">
        <v>0.6</v>
      </c>
      <c r="H155" s="73">
        <v>0.4</v>
      </c>
      <c r="I155" s="73" t="s">
        <v>862</v>
      </c>
      <c r="J155" s="73" t="s">
        <v>862</v>
      </c>
      <c r="K155" s="78" t="b">
        <v>1</v>
      </c>
      <c r="L155" s="73" t="b">
        <v>0</v>
      </c>
      <c r="M155" s="49">
        <f>IF(A155=Backdoors!B2,1+MAX(M154:M154),"")</f>
        <v>12</v>
      </c>
    </row>
    <row r="156" spans="1:13" x14ac:dyDescent="0.25">
      <c r="A156" s="67" t="s">
        <v>178</v>
      </c>
      <c r="B156" s="77" t="s">
        <v>12</v>
      </c>
      <c r="C156" s="73" t="s">
        <v>0</v>
      </c>
      <c r="D156" s="73">
        <v>5</v>
      </c>
      <c r="E156" s="73"/>
      <c r="F156" s="73">
        <v>1</v>
      </c>
      <c r="G156" s="73">
        <v>0.6</v>
      </c>
      <c r="H156" s="73">
        <v>0.5</v>
      </c>
      <c r="I156" s="73" t="s">
        <v>862</v>
      </c>
      <c r="J156" s="73" t="s">
        <v>862</v>
      </c>
      <c r="K156" s="78" t="b">
        <v>1</v>
      </c>
      <c r="L156" s="73" t="b">
        <v>0</v>
      </c>
      <c r="M156" s="49">
        <f>IF(A156=Backdoors!B2,1+MAX(M155:M155),"")</f>
        <v>13</v>
      </c>
    </row>
    <row r="157" spans="1:13" x14ac:dyDescent="0.25">
      <c r="A157" s="67" t="s">
        <v>178</v>
      </c>
      <c r="B157" s="77" t="s">
        <v>13</v>
      </c>
      <c r="C157" s="73" t="s">
        <v>0</v>
      </c>
      <c r="D157" s="73">
        <v>5</v>
      </c>
      <c r="E157" s="73"/>
      <c r="F157" s="73">
        <v>1</v>
      </c>
      <c r="G157" s="73">
        <v>0.6</v>
      </c>
      <c r="H157" s="73">
        <v>0.5</v>
      </c>
      <c r="I157" s="73" t="s">
        <v>862</v>
      </c>
      <c r="J157" s="73" t="s">
        <v>862</v>
      </c>
      <c r="K157" s="78" t="b">
        <v>1</v>
      </c>
      <c r="L157" s="73" t="b">
        <v>0</v>
      </c>
      <c r="M157" s="49">
        <f>IF(A157=Backdoors!B2,1+MAX(M156:M156),"")</f>
        <v>14</v>
      </c>
    </row>
    <row r="158" spans="1:13" x14ac:dyDescent="0.25">
      <c r="A158" s="67" t="s">
        <v>178</v>
      </c>
      <c r="B158" s="77" t="s">
        <v>14</v>
      </c>
      <c r="C158" s="73" t="s">
        <v>0</v>
      </c>
      <c r="D158" s="73">
        <v>15</v>
      </c>
      <c r="E158" s="73"/>
      <c r="F158" s="73">
        <v>1</v>
      </c>
      <c r="G158" s="73">
        <v>0.6</v>
      </c>
      <c r="H158" s="73">
        <v>0.5</v>
      </c>
      <c r="I158" s="73" t="s">
        <v>862</v>
      </c>
      <c r="J158" s="73" t="s">
        <v>862</v>
      </c>
      <c r="K158" s="78" t="b">
        <v>1</v>
      </c>
      <c r="L158" s="73" t="b">
        <v>0</v>
      </c>
      <c r="M158" s="49">
        <f>IF(A158=Backdoors!B2,1+MAX(M157:M157),"")</f>
        <v>15</v>
      </c>
    </row>
    <row r="159" spans="1:13" x14ac:dyDescent="0.25">
      <c r="A159" s="67" t="s">
        <v>178</v>
      </c>
      <c r="B159" s="77" t="s">
        <v>16</v>
      </c>
      <c r="C159" s="73" t="s">
        <v>0</v>
      </c>
      <c r="D159" s="73">
        <v>7</v>
      </c>
      <c r="E159" s="73"/>
      <c r="F159" s="73">
        <v>1</v>
      </c>
      <c r="G159" s="73">
        <v>0.6</v>
      </c>
      <c r="H159" s="73">
        <v>0.5</v>
      </c>
      <c r="I159" s="73" t="s">
        <v>862</v>
      </c>
      <c r="J159" s="73" t="s">
        <v>862</v>
      </c>
      <c r="K159" s="78" t="b">
        <v>1</v>
      </c>
      <c r="L159" s="73" t="b">
        <v>0</v>
      </c>
      <c r="M159" s="49">
        <f>IF(A159=Backdoors!B2,1+MAX(M158:M158),"")</f>
        <v>16</v>
      </c>
    </row>
    <row r="160" spans="1:13" x14ac:dyDescent="0.25">
      <c r="A160" s="67" t="s">
        <v>178</v>
      </c>
      <c r="B160" s="77" t="s">
        <v>17</v>
      </c>
      <c r="C160" s="73" t="s">
        <v>0</v>
      </c>
      <c r="D160" s="73">
        <v>5</v>
      </c>
      <c r="E160" s="73"/>
      <c r="F160" s="73">
        <v>1</v>
      </c>
      <c r="G160" s="73">
        <v>0.6</v>
      </c>
      <c r="H160" s="73">
        <v>0.5</v>
      </c>
      <c r="I160" s="73" t="s">
        <v>862</v>
      </c>
      <c r="J160" s="73" t="s">
        <v>862</v>
      </c>
      <c r="K160" s="78" t="b">
        <v>1</v>
      </c>
      <c r="L160" s="73" t="b">
        <v>0</v>
      </c>
      <c r="M160" s="49">
        <f>IF(A160=Backdoors!B2,1+MAX(M159:M159),"")</f>
        <v>17</v>
      </c>
    </row>
    <row r="161" spans="1:13" x14ac:dyDescent="0.25">
      <c r="A161" s="67" t="s">
        <v>178</v>
      </c>
      <c r="B161" s="77" t="s">
        <v>18</v>
      </c>
      <c r="C161" s="73" t="s">
        <v>0</v>
      </c>
      <c r="D161" s="73">
        <v>15</v>
      </c>
      <c r="E161" s="73"/>
      <c r="F161" s="73">
        <v>1</v>
      </c>
      <c r="G161" s="73">
        <v>0.6</v>
      </c>
      <c r="H161" s="73">
        <v>0.5</v>
      </c>
      <c r="I161" s="73" t="s">
        <v>862</v>
      </c>
      <c r="J161" s="73" t="s">
        <v>862</v>
      </c>
      <c r="K161" s="78" t="b">
        <v>1</v>
      </c>
      <c r="L161" s="73" t="b">
        <v>0</v>
      </c>
      <c r="M161" s="49">
        <f>IF(A161=Backdoors!B2,1+MAX(M160:M160),"")</f>
        <v>18</v>
      </c>
    </row>
    <row r="162" spans="1:13" x14ac:dyDescent="0.25">
      <c r="A162" s="67" t="s">
        <v>178</v>
      </c>
      <c r="B162" s="77" t="s">
        <v>19</v>
      </c>
      <c r="C162" s="73" t="s">
        <v>0</v>
      </c>
      <c r="D162" s="73">
        <v>7</v>
      </c>
      <c r="E162" s="73"/>
      <c r="F162" s="73">
        <v>1</v>
      </c>
      <c r="G162" s="73">
        <v>0.6</v>
      </c>
      <c r="H162" s="73">
        <v>0.5</v>
      </c>
      <c r="I162" s="73" t="s">
        <v>862</v>
      </c>
      <c r="J162" s="73" t="s">
        <v>862</v>
      </c>
      <c r="K162" s="78" t="b">
        <v>1</v>
      </c>
      <c r="L162" s="73" t="b">
        <v>0</v>
      </c>
      <c r="M162" s="49">
        <f>IF(A162=Backdoors!B2,1+MAX(M161:M161),"")</f>
        <v>19</v>
      </c>
    </row>
    <row r="163" spans="1:13" x14ac:dyDescent="0.25">
      <c r="A163" s="67" t="s">
        <v>178</v>
      </c>
      <c r="B163" s="77" t="s">
        <v>20</v>
      </c>
      <c r="C163" s="73" t="s">
        <v>0</v>
      </c>
      <c r="D163" s="73">
        <v>5</v>
      </c>
      <c r="E163" s="73"/>
      <c r="F163" s="73">
        <v>1</v>
      </c>
      <c r="G163" s="73">
        <v>0.6</v>
      </c>
      <c r="H163" s="73">
        <v>0.5</v>
      </c>
      <c r="I163" s="73" t="s">
        <v>862</v>
      </c>
      <c r="J163" s="73" t="s">
        <v>862</v>
      </c>
      <c r="K163" s="78" t="b">
        <v>1</v>
      </c>
      <c r="L163" s="73" t="b">
        <v>0</v>
      </c>
      <c r="M163" s="49">
        <f>IF(A163=Backdoors!B2,1+MAX(M162:M162),"")</f>
        <v>20</v>
      </c>
    </row>
    <row r="164" spans="1:13" x14ac:dyDescent="0.25">
      <c r="A164" s="67" t="s">
        <v>178</v>
      </c>
      <c r="B164" s="77" t="s">
        <v>21</v>
      </c>
      <c r="C164" s="73" t="s">
        <v>0</v>
      </c>
      <c r="D164" s="73">
        <v>19</v>
      </c>
      <c r="E164" s="73"/>
      <c r="F164" s="73">
        <v>1</v>
      </c>
      <c r="G164" s="73">
        <v>1</v>
      </c>
      <c r="H164" s="73">
        <v>1</v>
      </c>
      <c r="I164" s="73" t="s">
        <v>862</v>
      </c>
      <c r="J164" s="73" t="s">
        <v>862</v>
      </c>
      <c r="K164" s="78" t="b">
        <v>1</v>
      </c>
      <c r="L164" s="73" t="b">
        <v>0</v>
      </c>
      <c r="M164" s="49">
        <f>IF(A164=Backdoors!B2,1+MAX(M163:M163),"")</f>
        <v>21</v>
      </c>
    </row>
    <row r="165" spans="1:13" x14ac:dyDescent="0.25">
      <c r="A165" s="67" t="s">
        <v>178</v>
      </c>
      <c r="B165" s="77" t="s">
        <v>22</v>
      </c>
      <c r="C165" s="73" t="s">
        <v>0</v>
      </c>
      <c r="D165" s="73">
        <v>11</v>
      </c>
      <c r="E165" s="73"/>
      <c r="F165" s="73">
        <v>1</v>
      </c>
      <c r="G165" s="73">
        <v>1</v>
      </c>
      <c r="H165" s="73">
        <v>1</v>
      </c>
      <c r="I165" s="73" t="s">
        <v>862</v>
      </c>
      <c r="J165" s="73" t="s">
        <v>862</v>
      </c>
      <c r="K165" s="78" t="b">
        <v>1</v>
      </c>
      <c r="L165" s="73" t="b">
        <v>0</v>
      </c>
      <c r="M165" s="49">
        <f>IF(A165=Backdoors!B2,1+MAX(M164:M164),"")</f>
        <v>22</v>
      </c>
    </row>
    <row r="166" spans="1:13" x14ac:dyDescent="0.25">
      <c r="A166" s="67" t="s">
        <v>178</v>
      </c>
      <c r="B166" s="77" t="s">
        <v>23</v>
      </c>
      <c r="C166" s="73" t="s">
        <v>0</v>
      </c>
      <c r="D166" s="73">
        <v>7</v>
      </c>
      <c r="E166" s="73"/>
      <c r="F166" s="73">
        <v>1</v>
      </c>
      <c r="G166" s="73">
        <v>1</v>
      </c>
      <c r="H166" s="73">
        <v>1</v>
      </c>
      <c r="I166" s="73" t="s">
        <v>862</v>
      </c>
      <c r="J166" s="73" t="s">
        <v>862</v>
      </c>
      <c r="K166" s="78" t="b">
        <v>1</v>
      </c>
      <c r="L166" s="73" t="b">
        <v>0</v>
      </c>
      <c r="M166" s="49">
        <f>IF(A166=Backdoors!B2,1+MAX(M165:M165),"")</f>
        <v>23</v>
      </c>
    </row>
    <row r="167" spans="1:13" x14ac:dyDescent="0.25">
      <c r="A167" s="67" t="s">
        <v>178</v>
      </c>
      <c r="B167" s="77" t="s">
        <v>24</v>
      </c>
      <c r="C167" s="73" t="s">
        <v>0</v>
      </c>
      <c r="D167" s="73">
        <v>19</v>
      </c>
      <c r="E167" s="73"/>
      <c r="F167" s="73">
        <v>1</v>
      </c>
      <c r="G167" s="73">
        <v>1</v>
      </c>
      <c r="H167" s="73">
        <v>1</v>
      </c>
      <c r="I167" s="73" t="s">
        <v>862</v>
      </c>
      <c r="J167" s="73" t="s">
        <v>862</v>
      </c>
      <c r="K167" s="78" t="b">
        <v>1</v>
      </c>
      <c r="L167" s="73" t="b">
        <v>0</v>
      </c>
      <c r="M167" s="49">
        <f>IF(A167=Backdoors!B2,1+MAX(M166:M166),"")</f>
        <v>24</v>
      </c>
    </row>
    <row r="168" spans="1:13" x14ac:dyDescent="0.25">
      <c r="A168" s="67" t="s">
        <v>178</v>
      </c>
      <c r="B168" s="77" t="s">
        <v>25</v>
      </c>
      <c r="C168" s="73" t="s">
        <v>0</v>
      </c>
      <c r="D168" s="73">
        <v>11</v>
      </c>
      <c r="E168" s="73"/>
      <c r="F168" s="73">
        <v>1</v>
      </c>
      <c r="G168" s="73">
        <v>1</v>
      </c>
      <c r="H168" s="73">
        <v>1</v>
      </c>
      <c r="I168" s="73" t="s">
        <v>862</v>
      </c>
      <c r="J168" s="73" t="s">
        <v>862</v>
      </c>
      <c r="K168" s="78" t="b">
        <v>1</v>
      </c>
      <c r="L168" s="73" t="b">
        <v>0</v>
      </c>
      <c r="M168" s="49">
        <f>IF(A168=Backdoors!B2,1+MAX(M167:M167),"")</f>
        <v>25</v>
      </c>
    </row>
    <row r="169" spans="1:13" x14ac:dyDescent="0.25">
      <c r="A169" s="67" t="s">
        <v>178</v>
      </c>
      <c r="B169" s="77" t="s">
        <v>26</v>
      </c>
      <c r="C169" s="73" t="s">
        <v>0</v>
      </c>
      <c r="D169" s="73">
        <v>7</v>
      </c>
      <c r="E169" s="73"/>
      <c r="F169" s="73">
        <v>1</v>
      </c>
      <c r="G169" s="73">
        <v>1</v>
      </c>
      <c r="H169" s="73">
        <v>1</v>
      </c>
      <c r="I169" s="73" t="s">
        <v>862</v>
      </c>
      <c r="J169" s="73" t="s">
        <v>862</v>
      </c>
      <c r="K169" s="78" t="b">
        <v>1</v>
      </c>
      <c r="L169" s="73" t="b">
        <v>0</v>
      </c>
      <c r="M169" s="49">
        <f>IF(A169=Backdoors!B2,1+MAX(M168:M168),"")</f>
        <v>26</v>
      </c>
    </row>
    <row r="170" spans="1:13" x14ac:dyDescent="0.25">
      <c r="A170" s="67" t="s">
        <v>178</v>
      </c>
      <c r="B170" s="77" t="s">
        <v>27</v>
      </c>
      <c r="C170" s="73" t="s">
        <v>0</v>
      </c>
      <c r="D170" s="73">
        <v>9</v>
      </c>
      <c r="E170" s="73"/>
      <c r="F170" s="73">
        <v>1</v>
      </c>
      <c r="G170" s="73">
        <v>0.8</v>
      </c>
      <c r="H170" s="73">
        <v>0.6</v>
      </c>
      <c r="I170" s="73" t="s">
        <v>862</v>
      </c>
      <c r="J170" s="73" t="s">
        <v>862</v>
      </c>
      <c r="K170" s="78" t="b">
        <v>1</v>
      </c>
      <c r="L170" s="73" t="b">
        <v>0</v>
      </c>
      <c r="M170" s="49">
        <f>IF(A170=Backdoors!B2,1+MAX(M169:M169),"")</f>
        <v>27</v>
      </c>
    </row>
    <row r="171" spans="1:13" x14ac:dyDescent="0.25">
      <c r="A171" s="67" t="s">
        <v>178</v>
      </c>
      <c r="B171" s="77" t="s">
        <v>28</v>
      </c>
      <c r="C171" s="73" t="s">
        <v>0</v>
      </c>
      <c r="D171" s="73">
        <v>9</v>
      </c>
      <c r="E171" s="73"/>
      <c r="F171" s="73">
        <v>1</v>
      </c>
      <c r="G171" s="73">
        <v>0.8</v>
      </c>
      <c r="H171" s="73">
        <v>0.6</v>
      </c>
      <c r="I171" s="73" t="s">
        <v>862</v>
      </c>
      <c r="J171" s="73" t="s">
        <v>862</v>
      </c>
      <c r="K171" s="78" t="b">
        <v>1</v>
      </c>
      <c r="L171" s="73" t="b">
        <v>0</v>
      </c>
      <c r="M171" s="49">
        <f>IF(A171=Backdoors!B2,1+MAX(M170:M170),"")</f>
        <v>28</v>
      </c>
    </row>
    <row r="172" spans="1:13" x14ac:dyDescent="0.25">
      <c r="A172" s="67" t="s">
        <v>178</v>
      </c>
      <c r="B172" s="77" t="s">
        <v>29</v>
      </c>
      <c r="C172" s="73" t="s">
        <v>0</v>
      </c>
      <c r="D172" s="73">
        <v>7</v>
      </c>
      <c r="E172" s="73"/>
      <c r="F172" s="73">
        <v>1</v>
      </c>
      <c r="G172" s="73">
        <v>0.8</v>
      </c>
      <c r="H172" s="73">
        <v>0.6</v>
      </c>
      <c r="I172" s="73" t="s">
        <v>862</v>
      </c>
      <c r="J172" s="73" t="s">
        <v>862</v>
      </c>
      <c r="K172" s="78" t="b">
        <v>1</v>
      </c>
      <c r="L172" s="73" t="b">
        <v>0</v>
      </c>
      <c r="M172" s="49">
        <f>IF(A172=Backdoors!B2,1+MAX(M171:M171),"")</f>
        <v>29</v>
      </c>
    </row>
    <row r="173" spans="1:13" x14ac:dyDescent="0.25">
      <c r="A173" s="67" t="s">
        <v>178</v>
      </c>
      <c r="B173" s="77" t="s">
        <v>30</v>
      </c>
      <c r="C173" s="73" t="s">
        <v>0</v>
      </c>
      <c r="D173" s="73">
        <v>7</v>
      </c>
      <c r="E173" s="73"/>
      <c r="F173" s="73">
        <v>1</v>
      </c>
      <c r="G173" s="73">
        <v>0.8</v>
      </c>
      <c r="H173" s="73">
        <v>0.6</v>
      </c>
      <c r="I173" s="73" t="s">
        <v>862</v>
      </c>
      <c r="J173" s="73" t="s">
        <v>862</v>
      </c>
      <c r="K173" s="78" t="b">
        <v>1</v>
      </c>
      <c r="L173" s="73" t="b">
        <v>0</v>
      </c>
      <c r="M173" s="49">
        <f>IF(A173=Backdoors!B2,1+MAX(M172:M172),"")</f>
        <v>30</v>
      </c>
    </row>
    <row r="174" spans="1:13" x14ac:dyDescent="0.25">
      <c r="A174" s="67" t="s">
        <v>178</v>
      </c>
      <c r="B174" s="77" t="s">
        <v>31</v>
      </c>
      <c r="C174" s="73" t="s">
        <v>0</v>
      </c>
      <c r="D174" s="73">
        <v>3</v>
      </c>
      <c r="E174" s="73"/>
      <c r="F174" s="73">
        <v>1</v>
      </c>
      <c r="G174" s="73">
        <v>1</v>
      </c>
      <c r="H174" s="73">
        <v>0.8</v>
      </c>
      <c r="I174" s="73" t="s">
        <v>862</v>
      </c>
      <c r="J174" s="73" t="s">
        <v>862</v>
      </c>
      <c r="K174" s="78" t="b">
        <v>1</v>
      </c>
      <c r="L174" s="73" t="b">
        <v>0</v>
      </c>
      <c r="M174" s="49">
        <f>IF(A174=Backdoors!B2,1+MAX(M173:M173),"")</f>
        <v>31</v>
      </c>
    </row>
    <row r="175" spans="1:13" x14ac:dyDescent="0.25">
      <c r="A175" s="67" t="s">
        <v>178</v>
      </c>
      <c r="B175" s="77" t="s">
        <v>32</v>
      </c>
      <c r="C175" s="73" t="s">
        <v>0</v>
      </c>
      <c r="D175" s="73">
        <v>17</v>
      </c>
      <c r="E175" s="73"/>
      <c r="F175" s="73">
        <v>1</v>
      </c>
      <c r="G175" s="73">
        <v>1</v>
      </c>
      <c r="H175" s="73">
        <v>0.8</v>
      </c>
      <c r="I175" s="73" t="s">
        <v>862</v>
      </c>
      <c r="J175" s="73" t="s">
        <v>862</v>
      </c>
      <c r="K175" s="78" t="b">
        <v>1</v>
      </c>
      <c r="L175" s="73" t="b">
        <v>0</v>
      </c>
      <c r="M175" s="49">
        <f>IF(A175=Backdoors!B2,1+MAX(M174:M174),"")</f>
        <v>32</v>
      </c>
    </row>
    <row r="176" spans="1:13" x14ac:dyDescent="0.25">
      <c r="A176" s="67" t="s">
        <v>178</v>
      </c>
      <c r="B176" s="77" t="s">
        <v>33</v>
      </c>
      <c r="C176" s="73" t="s">
        <v>0</v>
      </c>
      <c r="D176" s="73">
        <v>17</v>
      </c>
      <c r="E176" s="73"/>
      <c r="F176" s="73">
        <v>1</v>
      </c>
      <c r="G176" s="73">
        <v>1</v>
      </c>
      <c r="H176" s="73">
        <v>0.8</v>
      </c>
      <c r="I176" s="73" t="s">
        <v>862</v>
      </c>
      <c r="J176" s="73" t="s">
        <v>862</v>
      </c>
      <c r="K176" s="78" t="b">
        <v>1</v>
      </c>
      <c r="L176" s="73" t="b">
        <v>0</v>
      </c>
      <c r="M176" s="49">
        <f>IF(A176=Backdoors!B2,1+MAX(M175:M175),"")</f>
        <v>33</v>
      </c>
    </row>
    <row r="177" spans="1:13" x14ac:dyDescent="0.25">
      <c r="A177" s="67" t="s">
        <v>178</v>
      </c>
      <c r="B177" s="77" t="s">
        <v>34</v>
      </c>
      <c r="C177" s="73" t="s">
        <v>0</v>
      </c>
      <c r="D177" s="73">
        <v>11</v>
      </c>
      <c r="E177" s="73"/>
      <c r="F177" s="73">
        <v>1</v>
      </c>
      <c r="G177" s="73">
        <v>0.8</v>
      </c>
      <c r="H177" s="73">
        <v>0.5</v>
      </c>
      <c r="I177" s="73" t="s">
        <v>862</v>
      </c>
      <c r="J177" s="73" t="s">
        <v>862</v>
      </c>
      <c r="K177" s="78" t="b">
        <v>1</v>
      </c>
      <c r="L177" s="73" t="b">
        <v>0</v>
      </c>
      <c r="M177" s="49">
        <f>IF(A177=Backdoors!B2,1+MAX(M176:M176),"")</f>
        <v>34</v>
      </c>
    </row>
    <row r="178" spans="1:13" x14ac:dyDescent="0.25">
      <c r="A178" s="67" t="s">
        <v>178</v>
      </c>
      <c r="B178" s="77" t="s">
        <v>35</v>
      </c>
      <c r="C178" s="73" t="s">
        <v>0</v>
      </c>
      <c r="D178" s="73">
        <v>14</v>
      </c>
      <c r="E178" s="73"/>
      <c r="F178" s="73">
        <v>1</v>
      </c>
      <c r="G178" s="73">
        <v>0.8</v>
      </c>
      <c r="H178" s="73">
        <v>0.5</v>
      </c>
      <c r="I178" s="73" t="s">
        <v>862</v>
      </c>
      <c r="J178" s="73" t="s">
        <v>862</v>
      </c>
      <c r="K178" s="78" t="b">
        <v>1</v>
      </c>
      <c r="L178" s="73" t="b">
        <v>0</v>
      </c>
      <c r="M178" s="49">
        <f>IF(A178=Backdoors!B2,1+MAX(M177:M177),"")</f>
        <v>35</v>
      </c>
    </row>
    <row r="179" spans="1:13" x14ac:dyDescent="0.25">
      <c r="A179" s="67" t="s">
        <v>178</v>
      </c>
      <c r="B179" s="77" t="s">
        <v>36</v>
      </c>
      <c r="C179" s="73" t="s">
        <v>0</v>
      </c>
      <c r="D179" s="73">
        <v>7</v>
      </c>
      <c r="E179" s="73"/>
      <c r="F179" s="73">
        <v>1</v>
      </c>
      <c r="G179" s="73">
        <v>0.8</v>
      </c>
      <c r="H179" s="73">
        <v>0.5</v>
      </c>
      <c r="I179" s="73" t="s">
        <v>862</v>
      </c>
      <c r="J179" s="73" t="s">
        <v>862</v>
      </c>
      <c r="K179" s="78" t="b">
        <v>1</v>
      </c>
      <c r="L179" s="73" t="b">
        <v>0</v>
      </c>
      <c r="M179" s="49">
        <f>IF(A179=Backdoors!B2,1+MAX(M178:M178),"")</f>
        <v>36</v>
      </c>
    </row>
    <row r="180" spans="1:13" x14ac:dyDescent="0.25">
      <c r="A180" s="67" t="s">
        <v>178</v>
      </c>
      <c r="B180" s="77" t="s">
        <v>37</v>
      </c>
      <c r="C180" s="73" t="s">
        <v>0</v>
      </c>
      <c r="D180" s="73">
        <v>10</v>
      </c>
      <c r="E180" s="73"/>
      <c r="F180" s="73">
        <v>1</v>
      </c>
      <c r="G180" s="73">
        <v>0.8</v>
      </c>
      <c r="H180" s="73">
        <v>0.5</v>
      </c>
      <c r="I180" s="73" t="s">
        <v>862</v>
      </c>
      <c r="J180" s="73" t="s">
        <v>862</v>
      </c>
      <c r="K180" s="78" t="b">
        <v>1</v>
      </c>
      <c r="L180" s="73" t="b">
        <v>0</v>
      </c>
      <c r="M180" s="49">
        <f>IF(A180=Backdoors!B2,1+MAX(M179:M179),"")</f>
        <v>37</v>
      </c>
    </row>
    <row r="181" spans="1:13" x14ac:dyDescent="0.25">
      <c r="A181" s="67" t="s">
        <v>178</v>
      </c>
      <c r="B181" s="77" t="s">
        <v>38</v>
      </c>
      <c r="C181" s="73" t="s">
        <v>0</v>
      </c>
      <c r="D181" s="73">
        <v>10</v>
      </c>
      <c r="E181" s="73"/>
      <c r="F181" s="73">
        <v>1</v>
      </c>
      <c r="G181" s="73">
        <v>0.8</v>
      </c>
      <c r="H181" s="73">
        <v>0.5</v>
      </c>
      <c r="I181" s="73" t="s">
        <v>862</v>
      </c>
      <c r="J181" s="73" t="s">
        <v>862</v>
      </c>
      <c r="K181" s="78" t="b">
        <v>1</v>
      </c>
      <c r="L181" s="73" t="b">
        <v>0</v>
      </c>
      <c r="M181" s="49">
        <f>IF(A181=Backdoors!B2,1+MAX(M180:M180),"")</f>
        <v>38</v>
      </c>
    </row>
    <row r="182" spans="1:13" x14ac:dyDescent="0.25">
      <c r="A182" s="67" t="s">
        <v>178</v>
      </c>
      <c r="B182" s="77" t="s">
        <v>39</v>
      </c>
      <c r="C182" s="73" t="s">
        <v>0</v>
      </c>
      <c r="D182" s="73">
        <v>9</v>
      </c>
      <c r="E182" s="73"/>
      <c r="F182" s="73">
        <v>1</v>
      </c>
      <c r="G182" s="73">
        <v>0.8</v>
      </c>
      <c r="H182" s="73">
        <v>0.5</v>
      </c>
      <c r="I182" s="73" t="s">
        <v>862</v>
      </c>
      <c r="J182" s="73" t="s">
        <v>862</v>
      </c>
      <c r="K182" s="78" t="b">
        <v>1</v>
      </c>
      <c r="L182" s="73" t="b">
        <v>0</v>
      </c>
      <c r="M182" s="49">
        <f>IF(A182=Backdoors!B2,1+MAX(M181:M181),"")</f>
        <v>39</v>
      </c>
    </row>
    <row r="183" spans="1:13" x14ac:dyDescent="0.25">
      <c r="A183" s="67" t="s">
        <v>178</v>
      </c>
      <c r="B183" s="77" t="s">
        <v>40</v>
      </c>
      <c r="C183" s="73" t="s">
        <v>0</v>
      </c>
      <c r="D183" s="73">
        <v>9</v>
      </c>
      <c r="E183" s="73"/>
      <c r="F183" s="73">
        <v>1</v>
      </c>
      <c r="G183" s="73">
        <v>0.8</v>
      </c>
      <c r="H183" s="73">
        <v>0.5</v>
      </c>
      <c r="I183" s="73" t="s">
        <v>862</v>
      </c>
      <c r="J183" s="73" t="s">
        <v>862</v>
      </c>
      <c r="K183" s="78" t="b">
        <v>1</v>
      </c>
      <c r="L183" s="73" t="b">
        <v>0</v>
      </c>
      <c r="M183" s="49">
        <f>IF(A183=Backdoors!B2,1+MAX(M182:M182),"")</f>
        <v>40</v>
      </c>
    </row>
    <row r="184" spans="1:13" x14ac:dyDescent="0.25">
      <c r="A184" s="67" t="s">
        <v>178</v>
      </c>
      <c r="B184" s="77" t="s">
        <v>41</v>
      </c>
      <c r="C184" s="73" t="s">
        <v>0</v>
      </c>
      <c r="D184" s="73">
        <v>16</v>
      </c>
      <c r="E184" s="73"/>
      <c r="F184" s="73">
        <v>1</v>
      </c>
      <c r="G184" s="73">
        <v>0.8</v>
      </c>
      <c r="H184" s="73">
        <v>0.5</v>
      </c>
      <c r="I184" s="73" t="s">
        <v>862</v>
      </c>
      <c r="J184" s="73" t="s">
        <v>862</v>
      </c>
      <c r="K184" s="78" t="b">
        <v>1</v>
      </c>
      <c r="L184" s="73" t="b">
        <v>0</v>
      </c>
      <c r="M184" s="49">
        <f>IF(A184=Backdoors!B2,1+MAX(M183:M183),"")</f>
        <v>41</v>
      </c>
    </row>
    <row r="185" spans="1:13" x14ac:dyDescent="0.25">
      <c r="A185" s="67" t="s">
        <v>178</v>
      </c>
      <c r="B185" s="77" t="s">
        <v>42</v>
      </c>
      <c r="C185" s="73" t="s">
        <v>0</v>
      </c>
      <c r="D185" s="73">
        <v>16</v>
      </c>
      <c r="E185" s="73"/>
      <c r="F185" s="73">
        <v>1</v>
      </c>
      <c r="G185" s="73">
        <v>0.8</v>
      </c>
      <c r="H185" s="73">
        <v>0.5</v>
      </c>
      <c r="I185" s="73" t="s">
        <v>862</v>
      </c>
      <c r="J185" s="73" t="s">
        <v>862</v>
      </c>
      <c r="K185" s="78" t="b">
        <v>1</v>
      </c>
      <c r="L185" s="73" t="b">
        <v>0</v>
      </c>
      <c r="M185" s="49">
        <f>IF(A185=Backdoors!B2,1+MAX(M184:M184),"")</f>
        <v>42</v>
      </c>
    </row>
    <row r="186" spans="1:13" x14ac:dyDescent="0.25">
      <c r="A186" s="67" t="s">
        <v>178</v>
      </c>
      <c r="B186" s="77" t="s">
        <v>43</v>
      </c>
      <c r="C186" s="73" t="s">
        <v>0</v>
      </c>
      <c r="D186" s="73">
        <v>7</v>
      </c>
      <c r="E186" s="73"/>
      <c r="F186" s="73">
        <v>1</v>
      </c>
      <c r="G186" s="73">
        <v>0.8</v>
      </c>
      <c r="H186" s="73">
        <v>0.6</v>
      </c>
      <c r="I186" s="73" t="s">
        <v>862</v>
      </c>
      <c r="J186" s="73" t="s">
        <v>862</v>
      </c>
      <c r="K186" s="78" t="b">
        <v>1</v>
      </c>
      <c r="L186" s="73" t="b">
        <v>0</v>
      </c>
      <c r="M186" s="49">
        <f>IF(A186=Backdoors!B2,1+MAX(M185:M185),"")</f>
        <v>43</v>
      </c>
    </row>
    <row r="187" spans="1:13" x14ac:dyDescent="0.25">
      <c r="A187" s="67" t="s">
        <v>178</v>
      </c>
      <c r="B187" s="77" t="s">
        <v>44</v>
      </c>
      <c r="C187" s="73" t="s">
        <v>0</v>
      </c>
      <c r="D187" s="73">
        <v>7</v>
      </c>
      <c r="E187" s="73"/>
      <c r="F187" s="73">
        <v>1</v>
      </c>
      <c r="G187" s="73">
        <v>0.8</v>
      </c>
      <c r="H187" s="73">
        <v>0.6</v>
      </c>
      <c r="I187" s="73" t="s">
        <v>862</v>
      </c>
      <c r="J187" s="73" t="s">
        <v>862</v>
      </c>
      <c r="K187" s="78" t="b">
        <v>1</v>
      </c>
      <c r="L187" s="73" t="b">
        <v>0</v>
      </c>
      <c r="M187" s="49">
        <f>IF(A187=Backdoors!B2,1+MAX(M186:M186),"")</f>
        <v>44</v>
      </c>
    </row>
    <row r="188" spans="1:13" x14ac:dyDescent="0.25">
      <c r="A188" s="67" t="s">
        <v>178</v>
      </c>
      <c r="B188" s="77" t="s">
        <v>45</v>
      </c>
      <c r="C188" s="73" t="s">
        <v>0</v>
      </c>
      <c r="D188" s="73">
        <v>9</v>
      </c>
      <c r="E188" s="73"/>
      <c r="F188" s="73">
        <v>1</v>
      </c>
      <c r="G188" s="73">
        <v>0.8</v>
      </c>
      <c r="H188" s="73">
        <v>0.6</v>
      </c>
      <c r="I188" s="73" t="s">
        <v>862</v>
      </c>
      <c r="J188" s="73" t="s">
        <v>862</v>
      </c>
      <c r="K188" s="78" t="b">
        <v>1</v>
      </c>
      <c r="L188" s="73" t="b">
        <v>0</v>
      </c>
      <c r="M188" s="49">
        <f>IF(A188=Backdoors!B2,1+MAX(M187:M187),"")</f>
        <v>45</v>
      </c>
    </row>
    <row r="189" spans="1:13" x14ac:dyDescent="0.25">
      <c r="A189" s="67" t="s">
        <v>178</v>
      </c>
      <c r="B189" s="77" t="s">
        <v>46</v>
      </c>
      <c r="C189" s="73" t="s">
        <v>0</v>
      </c>
      <c r="D189" s="73">
        <v>5</v>
      </c>
      <c r="E189" s="73"/>
      <c r="F189" s="73">
        <v>1</v>
      </c>
      <c r="G189" s="73">
        <v>0.6</v>
      </c>
      <c r="H189" s="73">
        <v>0.5</v>
      </c>
      <c r="I189" s="73" t="s">
        <v>862</v>
      </c>
      <c r="J189" s="73" t="s">
        <v>862</v>
      </c>
      <c r="K189" s="78" t="b">
        <v>1</v>
      </c>
      <c r="L189" s="73" t="b">
        <v>0</v>
      </c>
      <c r="M189" s="49">
        <f>IF(A189=Backdoors!B2,1+MAX(M188:M188),"")</f>
        <v>46</v>
      </c>
    </row>
    <row r="190" spans="1:13" x14ac:dyDescent="0.25">
      <c r="A190" s="67" t="s">
        <v>178</v>
      </c>
      <c r="B190" s="77" t="s">
        <v>47</v>
      </c>
      <c r="C190" s="73" t="s">
        <v>0</v>
      </c>
      <c r="D190" s="73">
        <v>4</v>
      </c>
      <c r="E190" s="73"/>
      <c r="F190" s="73">
        <v>1</v>
      </c>
      <c r="G190" s="73">
        <v>0.6</v>
      </c>
      <c r="H190" s="73">
        <v>0.5</v>
      </c>
      <c r="I190" s="73" t="s">
        <v>862</v>
      </c>
      <c r="J190" s="73" t="s">
        <v>862</v>
      </c>
      <c r="K190" s="78" t="b">
        <v>1</v>
      </c>
      <c r="L190" s="73" t="b">
        <v>0</v>
      </c>
      <c r="M190" s="49">
        <f>IF(A190=Backdoors!B2,1+MAX(M189:M189),"")</f>
        <v>47</v>
      </c>
    </row>
    <row r="191" spans="1:13" x14ac:dyDescent="0.25">
      <c r="A191" s="67" t="s">
        <v>178</v>
      </c>
      <c r="B191" s="77" t="s">
        <v>48</v>
      </c>
      <c r="C191" s="73" t="s">
        <v>0</v>
      </c>
      <c r="D191" s="73">
        <v>8</v>
      </c>
      <c r="E191" s="73"/>
      <c r="F191" s="73">
        <v>1</v>
      </c>
      <c r="G191" s="73">
        <v>1</v>
      </c>
      <c r="H191" s="73">
        <v>0.8</v>
      </c>
      <c r="I191" s="73" t="s">
        <v>862</v>
      </c>
      <c r="J191" s="73" t="s">
        <v>862</v>
      </c>
      <c r="K191" s="78" t="b">
        <v>1</v>
      </c>
      <c r="L191" s="73" t="b">
        <v>0</v>
      </c>
      <c r="M191" s="49">
        <f>IF(A191=Backdoors!B2,1+MAX(M190:M190),"")</f>
        <v>48</v>
      </c>
    </row>
    <row r="192" spans="1:13" x14ac:dyDescent="0.25">
      <c r="A192" s="67" t="s">
        <v>178</v>
      </c>
      <c r="B192" s="77" t="s">
        <v>49</v>
      </c>
      <c r="C192" s="73" t="s">
        <v>0</v>
      </c>
      <c r="D192" s="73">
        <v>5</v>
      </c>
      <c r="E192" s="73"/>
      <c r="F192" s="73">
        <v>1</v>
      </c>
      <c r="G192" s="73">
        <v>0.6</v>
      </c>
      <c r="H192" s="73">
        <v>0.5</v>
      </c>
      <c r="I192" s="73" t="s">
        <v>862</v>
      </c>
      <c r="J192" s="73" t="s">
        <v>862</v>
      </c>
      <c r="K192" s="78" t="b">
        <v>1</v>
      </c>
      <c r="L192" s="73" t="b">
        <v>0</v>
      </c>
      <c r="M192" s="49">
        <f>IF(A192=Backdoors!B2,1+MAX(M191:M191),"")</f>
        <v>49</v>
      </c>
    </row>
    <row r="193" spans="1:13" x14ac:dyDescent="0.25">
      <c r="A193" s="67" t="s">
        <v>178</v>
      </c>
      <c r="B193" s="77" t="s">
        <v>50</v>
      </c>
      <c r="C193" s="73" t="s">
        <v>0</v>
      </c>
      <c r="D193" s="73">
        <v>4</v>
      </c>
      <c r="E193" s="73"/>
      <c r="F193" s="73">
        <v>1</v>
      </c>
      <c r="G193" s="73">
        <v>0.6</v>
      </c>
      <c r="H193" s="73">
        <v>0.5</v>
      </c>
      <c r="I193" s="73" t="s">
        <v>862</v>
      </c>
      <c r="J193" s="73" t="s">
        <v>862</v>
      </c>
      <c r="K193" s="78" t="b">
        <v>1</v>
      </c>
      <c r="L193" s="73" t="b">
        <v>0</v>
      </c>
      <c r="M193" s="49">
        <f>IF(A193=Backdoors!B2,1+MAX(M192:M192),"")</f>
        <v>50</v>
      </c>
    </row>
    <row r="194" spans="1:13" x14ac:dyDescent="0.25">
      <c r="A194" s="67" t="s">
        <v>178</v>
      </c>
      <c r="B194" s="77" t="s">
        <v>51</v>
      </c>
      <c r="C194" s="73" t="s">
        <v>0</v>
      </c>
      <c r="D194" s="73">
        <v>8</v>
      </c>
      <c r="E194" s="73"/>
      <c r="F194" s="73">
        <v>1</v>
      </c>
      <c r="G194" s="73">
        <v>1</v>
      </c>
      <c r="H194" s="73">
        <v>0.8</v>
      </c>
      <c r="I194" s="73" t="s">
        <v>862</v>
      </c>
      <c r="J194" s="73" t="s">
        <v>862</v>
      </c>
      <c r="K194" s="78" t="b">
        <v>1</v>
      </c>
      <c r="L194" s="73" t="b">
        <v>0</v>
      </c>
      <c r="M194" s="49">
        <f>IF(A194=Backdoors!B2,1+MAX(M193:M193),"")</f>
        <v>51</v>
      </c>
    </row>
    <row r="195" spans="1:13" x14ac:dyDescent="0.25">
      <c r="A195" s="67" t="s">
        <v>178</v>
      </c>
      <c r="B195" s="77" t="s">
        <v>52</v>
      </c>
      <c r="C195" s="73" t="s">
        <v>0</v>
      </c>
      <c r="D195" s="73">
        <v>8</v>
      </c>
      <c r="E195" s="73"/>
      <c r="F195" s="73">
        <v>1</v>
      </c>
      <c r="G195" s="73">
        <v>0.8</v>
      </c>
      <c r="H195" s="73">
        <v>0.6</v>
      </c>
      <c r="I195" s="73" t="s">
        <v>862</v>
      </c>
      <c r="J195" s="73" t="s">
        <v>862</v>
      </c>
      <c r="K195" s="78" t="b">
        <v>1</v>
      </c>
      <c r="L195" s="73" t="b">
        <v>0</v>
      </c>
      <c r="M195" s="49">
        <f>IF(A195=Backdoors!B2,1+MAX(M194:M194),"")</f>
        <v>52</v>
      </c>
    </row>
    <row r="196" spans="1:13" x14ac:dyDescent="0.25">
      <c r="A196" s="67" t="s">
        <v>178</v>
      </c>
      <c r="B196" s="77" t="s">
        <v>53</v>
      </c>
      <c r="C196" s="73" t="s">
        <v>0</v>
      </c>
      <c r="D196" s="73">
        <v>17</v>
      </c>
      <c r="E196" s="73"/>
      <c r="F196" s="73">
        <v>1</v>
      </c>
      <c r="G196" s="73">
        <v>1</v>
      </c>
      <c r="H196" s="73">
        <v>0.8</v>
      </c>
      <c r="I196" s="73" t="s">
        <v>862</v>
      </c>
      <c r="J196" s="73" t="s">
        <v>862</v>
      </c>
      <c r="K196" s="78" t="b">
        <v>1</v>
      </c>
      <c r="L196" s="73" t="b">
        <v>0</v>
      </c>
      <c r="M196" s="49">
        <f>IF(A196=Backdoors!B2,1+MAX(M195:M195),"")</f>
        <v>53</v>
      </c>
    </row>
    <row r="197" spans="1:13" x14ac:dyDescent="0.25">
      <c r="A197" s="67" t="s">
        <v>178</v>
      </c>
      <c r="B197" s="77" t="s">
        <v>54</v>
      </c>
      <c r="C197" s="73" t="s">
        <v>0</v>
      </c>
      <c r="D197" s="73">
        <v>17</v>
      </c>
      <c r="E197" s="73"/>
      <c r="F197" s="73">
        <v>1</v>
      </c>
      <c r="G197" s="73">
        <v>1</v>
      </c>
      <c r="H197" s="73">
        <v>0.8</v>
      </c>
      <c r="I197" s="73" t="s">
        <v>862</v>
      </c>
      <c r="J197" s="73" t="s">
        <v>862</v>
      </c>
      <c r="K197" s="78" t="b">
        <v>1</v>
      </c>
      <c r="L197" s="73" t="b">
        <v>0</v>
      </c>
      <c r="M197" s="49">
        <f>IF(A197=Backdoors!B2,1+MAX(M196:M196),"")</f>
        <v>54</v>
      </c>
    </row>
    <row r="198" spans="1:13" x14ac:dyDescent="0.25">
      <c r="A198" s="67" t="s">
        <v>178</v>
      </c>
      <c r="B198" s="77" t="s">
        <v>55</v>
      </c>
      <c r="C198" s="73" t="s">
        <v>0</v>
      </c>
      <c r="D198" s="73">
        <v>6</v>
      </c>
      <c r="E198" s="73"/>
      <c r="F198" s="73">
        <v>1</v>
      </c>
      <c r="G198" s="73">
        <v>0.8</v>
      </c>
      <c r="H198" s="73">
        <v>0.5</v>
      </c>
      <c r="I198" s="73" t="s">
        <v>862</v>
      </c>
      <c r="J198" s="73" t="s">
        <v>862</v>
      </c>
      <c r="K198" s="78" t="b">
        <v>1</v>
      </c>
      <c r="L198" s="73" t="b">
        <v>0</v>
      </c>
      <c r="M198" s="49">
        <f>IF(A198=Backdoors!B2,1+MAX(M197:M197),"")</f>
        <v>55</v>
      </c>
    </row>
    <row r="199" spans="1:13" x14ac:dyDescent="0.25">
      <c r="A199" s="67" t="s">
        <v>178</v>
      </c>
      <c r="B199" s="77" t="s">
        <v>56</v>
      </c>
      <c r="C199" s="73" t="s">
        <v>0</v>
      </c>
      <c r="D199" s="73">
        <v>6</v>
      </c>
      <c r="E199" s="73"/>
      <c r="F199" s="73">
        <v>1</v>
      </c>
      <c r="G199" s="73">
        <v>0.8</v>
      </c>
      <c r="H199" s="73">
        <v>0.5</v>
      </c>
      <c r="I199" s="73" t="s">
        <v>862</v>
      </c>
      <c r="J199" s="73" t="s">
        <v>862</v>
      </c>
      <c r="K199" s="78" t="b">
        <v>1</v>
      </c>
      <c r="L199" s="73" t="b">
        <v>0</v>
      </c>
      <c r="M199" s="49">
        <f>IF(A199=Backdoors!B2,1+MAX(M198:M198),"")</f>
        <v>56</v>
      </c>
    </row>
    <row r="200" spans="1:13" x14ac:dyDescent="0.25">
      <c r="A200" s="67" t="s">
        <v>178</v>
      </c>
      <c r="B200" s="77" t="s">
        <v>57</v>
      </c>
      <c r="C200" s="73" t="s">
        <v>0</v>
      </c>
      <c r="D200" s="73">
        <v>10</v>
      </c>
      <c r="E200" s="73"/>
      <c r="F200" s="73">
        <v>1</v>
      </c>
      <c r="G200" s="73">
        <v>0.8</v>
      </c>
      <c r="H200" s="73">
        <v>0.5</v>
      </c>
      <c r="I200" s="73" t="s">
        <v>862</v>
      </c>
      <c r="J200" s="73" t="s">
        <v>862</v>
      </c>
      <c r="K200" s="78" t="b">
        <v>1</v>
      </c>
      <c r="L200" s="73" t="b">
        <v>0</v>
      </c>
      <c r="M200" s="49">
        <f>IF(A200=Backdoors!B2,1+MAX(M199:M199),"")</f>
        <v>57</v>
      </c>
    </row>
    <row r="201" spans="1:13" x14ac:dyDescent="0.25">
      <c r="A201" s="67" t="s">
        <v>178</v>
      </c>
      <c r="B201" s="77" t="s">
        <v>58</v>
      </c>
      <c r="C201" s="73" t="s">
        <v>0</v>
      </c>
      <c r="D201" s="73">
        <v>10</v>
      </c>
      <c r="E201" s="73"/>
      <c r="F201" s="73">
        <v>1</v>
      </c>
      <c r="G201" s="73">
        <v>0.8</v>
      </c>
      <c r="H201" s="73">
        <v>0.5</v>
      </c>
      <c r="I201" s="73" t="s">
        <v>862</v>
      </c>
      <c r="J201" s="73" t="s">
        <v>862</v>
      </c>
      <c r="K201" s="78" t="b">
        <v>1</v>
      </c>
      <c r="L201" s="73" t="b">
        <v>0</v>
      </c>
      <c r="M201" s="49">
        <f>IF(A201=Backdoors!B2,1+MAX(M200:M200),"")</f>
        <v>58</v>
      </c>
    </row>
    <row r="202" spans="1:13" x14ac:dyDescent="0.25">
      <c r="A202" s="67" t="s">
        <v>178</v>
      </c>
      <c r="B202" s="77" t="s">
        <v>59</v>
      </c>
      <c r="C202" s="73" t="s">
        <v>0</v>
      </c>
      <c r="D202" s="73">
        <v>9</v>
      </c>
      <c r="E202" s="73"/>
      <c r="F202" s="73">
        <v>1</v>
      </c>
      <c r="G202" s="73">
        <v>0.8</v>
      </c>
      <c r="H202" s="73">
        <v>0.5</v>
      </c>
      <c r="I202" s="73" t="s">
        <v>862</v>
      </c>
      <c r="J202" s="73" t="s">
        <v>862</v>
      </c>
      <c r="K202" s="78" t="b">
        <v>1</v>
      </c>
      <c r="L202" s="73" t="b">
        <v>0</v>
      </c>
      <c r="M202" s="49">
        <f>IF(A202=Backdoors!B2,1+MAX(M201:M201),"")</f>
        <v>59</v>
      </c>
    </row>
    <row r="203" spans="1:13" x14ac:dyDescent="0.25">
      <c r="A203" s="67" t="s">
        <v>178</v>
      </c>
      <c r="B203" s="77" t="s">
        <v>60</v>
      </c>
      <c r="C203" s="73" t="s">
        <v>0</v>
      </c>
      <c r="D203" s="73">
        <v>9</v>
      </c>
      <c r="E203" s="73"/>
      <c r="F203" s="73">
        <v>1</v>
      </c>
      <c r="G203" s="73">
        <v>0.8</v>
      </c>
      <c r="H203" s="73">
        <v>0.5</v>
      </c>
      <c r="I203" s="73" t="s">
        <v>862</v>
      </c>
      <c r="J203" s="73" t="s">
        <v>862</v>
      </c>
      <c r="K203" s="78" t="b">
        <v>1</v>
      </c>
      <c r="L203" s="73" t="b">
        <v>0</v>
      </c>
      <c r="M203" s="49">
        <f>IF(A203=Backdoors!B2,1+MAX(M202:M202),"")</f>
        <v>60</v>
      </c>
    </row>
    <row r="204" spans="1:13" x14ac:dyDescent="0.25">
      <c r="A204" s="67" t="s">
        <v>178</v>
      </c>
      <c r="B204" s="77" t="s">
        <v>61</v>
      </c>
      <c r="C204" s="73" t="s">
        <v>0</v>
      </c>
      <c r="D204" s="73">
        <v>11</v>
      </c>
      <c r="E204" s="73"/>
      <c r="F204" s="73">
        <v>1</v>
      </c>
      <c r="G204" s="73">
        <v>0.8</v>
      </c>
      <c r="H204" s="73">
        <v>0.6</v>
      </c>
      <c r="I204" s="73" t="s">
        <v>862</v>
      </c>
      <c r="J204" s="73" t="s">
        <v>862</v>
      </c>
      <c r="K204" s="78" t="b">
        <v>1</v>
      </c>
      <c r="L204" s="73" t="b">
        <v>0</v>
      </c>
      <c r="M204" s="49">
        <f>IF(A204=Backdoors!B2,1+MAX(M203:M203),"")</f>
        <v>61</v>
      </c>
    </row>
    <row r="205" spans="1:13" x14ac:dyDescent="0.25">
      <c r="A205" s="67" t="s">
        <v>178</v>
      </c>
      <c r="B205" s="77" t="s">
        <v>62</v>
      </c>
      <c r="C205" s="73" t="s">
        <v>0</v>
      </c>
      <c r="D205" s="73">
        <v>11</v>
      </c>
      <c r="E205" s="73"/>
      <c r="F205" s="73">
        <v>1</v>
      </c>
      <c r="G205" s="73">
        <v>0.8</v>
      </c>
      <c r="H205" s="73">
        <v>0.6</v>
      </c>
      <c r="I205" s="73" t="s">
        <v>862</v>
      </c>
      <c r="J205" s="73" t="s">
        <v>862</v>
      </c>
      <c r="K205" s="78" t="b">
        <v>1</v>
      </c>
      <c r="L205" s="73" t="b">
        <v>0</v>
      </c>
      <c r="M205" s="49">
        <f>IF(A205=Backdoors!B2,1+MAX(M204:M204),"")</f>
        <v>62</v>
      </c>
    </row>
    <row r="206" spans="1:13" x14ac:dyDescent="0.25">
      <c r="A206" s="67" t="s">
        <v>178</v>
      </c>
      <c r="B206" s="77" t="s">
        <v>63</v>
      </c>
      <c r="C206" s="73" t="s">
        <v>0</v>
      </c>
      <c r="D206" s="73">
        <v>9</v>
      </c>
      <c r="E206" s="73"/>
      <c r="F206" s="73">
        <v>1</v>
      </c>
      <c r="G206" s="73">
        <v>0.8</v>
      </c>
      <c r="H206" s="73">
        <v>0.6</v>
      </c>
      <c r="I206" s="73" t="s">
        <v>862</v>
      </c>
      <c r="J206" s="73" t="s">
        <v>862</v>
      </c>
      <c r="K206" s="78" t="b">
        <v>1</v>
      </c>
      <c r="L206" s="73" t="b">
        <v>0</v>
      </c>
      <c r="M206" s="49">
        <f>IF(A206=Backdoors!B2,1+MAX(M205:M205),"")</f>
        <v>63</v>
      </c>
    </row>
    <row r="207" spans="1:13" x14ac:dyDescent="0.25">
      <c r="A207" s="67" t="s">
        <v>178</v>
      </c>
      <c r="B207" s="77" t="s">
        <v>64</v>
      </c>
      <c r="C207" s="73" t="s">
        <v>0</v>
      </c>
      <c r="D207" s="73">
        <v>9</v>
      </c>
      <c r="E207" s="73"/>
      <c r="F207" s="73">
        <v>1</v>
      </c>
      <c r="G207" s="73">
        <v>0.8</v>
      </c>
      <c r="H207" s="73">
        <v>0.6</v>
      </c>
      <c r="I207" s="73" t="s">
        <v>862</v>
      </c>
      <c r="J207" s="73" t="s">
        <v>862</v>
      </c>
      <c r="K207" s="78" t="b">
        <v>1</v>
      </c>
      <c r="L207" s="73" t="b">
        <v>0</v>
      </c>
      <c r="M207" s="49">
        <f>IF(A207=Backdoors!B2,1+MAX(M206:M206),"")</f>
        <v>64</v>
      </c>
    </row>
    <row r="208" spans="1:13" x14ac:dyDescent="0.25">
      <c r="A208" s="67" t="s">
        <v>178</v>
      </c>
      <c r="B208" s="77" t="s">
        <v>65</v>
      </c>
      <c r="C208" s="73" t="s">
        <v>0</v>
      </c>
      <c r="D208" s="73">
        <v>12</v>
      </c>
      <c r="E208" s="73"/>
      <c r="F208" s="73">
        <v>1</v>
      </c>
      <c r="G208" s="73">
        <v>0.8</v>
      </c>
      <c r="H208" s="73">
        <v>0.6</v>
      </c>
      <c r="I208" s="73" t="s">
        <v>862</v>
      </c>
      <c r="J208" s="73" t="s">
        <v>862</v>
      </c>
      <c r="K208" s="78" t="b">
        <v>1</v>
      </c>
      <c r="L208" s="73" t="b">
        <v>0</v>
      </c>
      <c r="M208" s="49">
        <f>IF(A208=Backdoors!B2,1+MAX(M207:M207),"")</f>
        <v>65</v>
      </c>
    </row>
    <row r="209" spans="1:13" x14ac:dyDescent="0.25">
      <c r="A209" s="67" t="s">
        <v>178</v>
      </c>
      <c r="B209" s="77" t="s">
        <v>66</v>
      </c>
      <c r="C209" s="73" t="s">
        <v>0</v>
      </c>
      <c r="D209" s="73">
        <v>12</v>
      </c>
      <c r="E209" s="73"/>
      <c r="F209" s="73">
        <v>1</v>
      </c>
      <c r="G209" s="73">
        <v>0.8</v>
      </c>
      <c r="H209" s="73">
        <v>0.6</v>
      </c>
      <c r="I209" s="73" t="s">
        <v>862</v>
      </c>
      <c r="J209" s="73" t="s">
        <v>862</v>
      </c>
      <c r="K209" s="78" t="b">
        <v>1</v>
      </c>
      <c r="L209" s="73" t="b">
        <v>0</v>
      </c>
      <c r="M209" s="49">
        <f>IF(A209=Backdoors!B2,1+MAX(M208:M208),"")</f>
        <v>66</v>
      </c>
    </row>
    <row r="210" spans="1:13" x14ac:dyDescent="0.25">
      <c r="A210" s="67" t="s">
        <v>178</v>
      </c>
      <c r="B210" s="77" t="s">
        <v>67</v>
      </c>
      <c r="C210" s="73" t="s">
        <v>0</v>
      </c>
      <c r="D210" s="73">
        <v>7</v>
      </c>
      <c r="E210" s="73"/>
      <c r="F210" s="73">
        <v>1</v>
      </c>
      <c r="G210" s="73">
        <v>1</v>
      </c>
      <c r="H210" s="73">
        <v>0.8</v>
      </c>
      <c r="I210" s="73" t="s">
        <v>862</v>
      </c>
      <c r="J210" s="73" t="s">
        <v>862</v>
      </c>
      <c r="K210" s="78" t="b">
        <v>1</v>
      </c>
      <c r="L210" s="73" t="b">
        <v>0</v>
      </c>
      <c r="M210" s="49">
        <f>IF(A210=Backdoors!B2,1+MAX(M209:M209),"")</f>
        <v>67</v>
      </c>
    </row>
    <row r="211" spans="1:13" x14ac:dyDescent="0.25">
      <c r="A211" s="67" t="s">
        <v>178</v>
      </c>
      <c r="B211" s="77" t="s">
        <v>68</v>
      </c>
      <c r="C211" s="73" t="s">
        <v>0</v>
      </c>
      <c r="D211" s="73">
        <v>20</v>
      </c>
      <c r="E211" s="73"/>
      <c r="F211" s="73">
        <v>1</v>
      </c>
      <c r="G211" s="73">
        <v>1</v>
      </c>
      <c r="H211" s="73">
        <v>0.8</v>
      </c>
      <c r="I211" s="73" t="s">
        <v>862</v>
      </c>
      <c r="J211" s="73" t="s">
        <v>862</v>
      </c>
      <c r="K211" s="78" t="b">
        <v>1</v>
      </c>
      <c r="L211" s="73" t="b">
        <v>0</v>
      </c>
      <c r="M211" s="49">
        <f>IF(A211=Backdoors!B2,1+MAX(M210:M210),"")</f>
        <v>68</v>
      </c>
    </row>
    <row r="212" spans="1:13" x14ac:dyDescent="0.25">
      <c r="A212" s="67" t="s">
        <v>178</v>
      </c>
      <c r="B212" s="77" t="s">
        <v>69</v>
      </c>
      <c r="C212" s="73" t="s">
        <v>0</v>
      </c>
      <c r="D212" s="73">
        <v>12</v>
      </c>
      <c r="E212" s="73">
        <v>20</v>
      </c>
      <c r="F212" s="73">
        <v>1</v>
      </c>
      <c r="G212" s="73">
        <v>0.6</v>
      </c>
      <c r="H212" s="73">
        <v>0.4</v>
      </c>
      <c r="I212" s="73" t="s">
        <v>862</v>
      </c>
      <c r="J212" s="73" t="s">
        <v>862</v>
      </c>
      <c r="K212" s="78" t="b">
        <v>1</v>
      </c>
      <c r="L212" s="73" t="b">
        <v>1</v>
      </c>
      <c r="M212" s="49">
        <f>IF(A212=Backdoors!B2,1+MAX(M211:M211),"")</f>
        <v>69</v>
      </c>
    </row>
    <row r="213" spans="1:13" x14ac:dyDescent="0.25">
      <c r="A213" s="67" t="s">
        <v>178</v>
      </c>
      <c r="B213" s="77" t="s">
        <v>70</v>
      </c>
      <c r="C213" s="73" t="s">
        <v>0</v>
      </c>
      <c r="D213" s="73">
        <v>9</v>
      </c>
      <c r="E213" s="73">
        <v>35</v>
      </c>
      <c r="F213" s="73">
        <v>1</v>
      </c>
      <c r="G213" s="73">
        <v>0.6</v>
      </c>
      <c r="H213" s="73">
        <v>0.4</v>
      </c>
      <c r="I213" s="73" t="s">
        <v>862</v>
      </c>
      <c r="J213" s="73" t="s">
        <v>862</v>
      </c>
      <c r="K213" s="78" t="b">
        <v>1</v>
      </c>
      <c r="L213" s="73" t="b">
        <v>1</v>
      </c>
      <c r="M213" s="49">
        <f>IF(A213=Backdoors!B2,1+MAX(M212:M212),"")</f>
        <v>70</v>
      </c>
    </row>
    <row r="214" spans="1:13" x14ac:dyDescent="0.25">
      <c r="A214" s="67" t="s">
        <v>178</v>
      </c>
      <c r="B214" s="77" t="s">
        <v>71</v>
      </c>
      <c r="C214" s="73" t="s">
        <v>0</v>
      </c>
      <c r="D214" s="73">
        <v>10</v>
      </c>
      <c r="E214" s="73"/>
      <c r="F214" s="73">
        <v>1</v>
      </c>
      <c r="G214" s="73">
        <v>0.7</v>
      </c>
      <c r="H214" s="73">
        <v>0.6</v>
      </c>
      <c r="I214" s="73" t="s">
        <v>862</v>
      </c>
      <c r="J214" s="73" t="s">
        <v>862</v>
      </c>
      <c r="K214" s="78" t="b">
        <v>1</v>
      </c>
      <c r="L214" s="73" t="b">
        <v>0</v>
      </c>
      <c r="M214" s="49">
        <f>IF(A214=Backdoors!B2,1+MAX(M213:M213),"")</f>
        <v>71</v>
      </c>
    </row>
    <row r="215" spans="1:13" x14ac:dyDescent="0.25">
      <c r="A215" s="67" t="s">
        <v>178</v>
      </c>
      <c r="B215" s="77" t="s">
        <v>72</v>
      </c>
      <c r="C215" s="73" t="s">
        <v>0</v>
      </c>
      <c r="D215" s="73">
        <v>10</v>
      </c>
      <c r="E215" s="73"/>
      <c r="F215" s="73">
        <v>1</v>
      </c>
      <c r="G215" s="73">
        <v>0.7</v>
      </c>
      <c r="H215" s="73">
        <v>0.6</v>
      </c>
      <c r="I215" s="73" t="s">
        <v>862</v>
      </c>
      <c r="J215" s="73" t="s">
        <v>862</v>
      </c>
      <c r="K215" s="78" t="b">
        <v>1</v>
      </c>
      <c r="L215" s="73" t="b">
        <v>0</v>
      </c>
      <c r="M215" s="49">
        <f>IF(A215=Backdoors!B2,1+MAX(M214:M214),"")</f>
        <v>72</v>
      </c>
    </row>
    <row r="216" spans="1:13" x14ac:dyDescent="0.25">
      <c r="A216" s="67" t="s">
        <v>178</v>
      </c>
      <c r="B216" s="77" t="s">
        <v>73</v>
      </c>
      <c r="C216" s="73" t="s">
        <v>0</v>
      </c>
      <c r="D216" s="73">
        <v>13</v>
      </c>
      <c r="E216" s="73"/>
      <c r="F216" s="73">
        <v>1</v>
      </c>
      <c r="G216" s="73">
        <v>0.7</v>
      </c>
      <c r="H216" s="73">
        <v>0.6</v>
      </c>
      <c r="I216" s="73" t="s">
        <v>862</v>
      </c>
      <c r="J216" s="73" t="s">
        <v>862</v>
      </c>
      <c r="K216" s="78" t="b">
        <v>1</v>
      </c>
      <c r="L216" s="73" t="b">
        <v>0</v>
      </c>
      <c r="M216" s="49">
        <f>IF(A216=Backdoors!B2,1+MAX(M215:M215),"")</f>
        <v>73</v>
      </c>
    </row>
    <row r="217" spans="1:13" x14ac:dyDescent="0.25">
      <c r="A217" s="67" t="s">
        <v>178</v>
      </c>
      <c r="B217" s="77" t="s">
        <v>74</v>
      </c>
      <c r="C217" s="73" t="s">
        <v>0</v>
      </c>
      <c r="D217" s="73">
        <v>13</v>
      </c>
      <c r="E217" s="73"/>
      <c r="F217" s="73">
        <v>1</v>
      </c>
      <c r="G217" s="73">
        <v>0.7</v>
      </c>
      <c r="H217" s="73">
        <v>0.6</v>
      </c>
      <c r="I217" s="73" t="s">
        <v>862</v>
      </c>
      <c r="J217" s="73" t="s">
        <v>862</v>
      </c>
      <c r="K217" s="78" t="b">
        <v>1</v>
      </c>
      <c r="L217" s="73" t="b">
        <v>0</v>
      </c>
      <c r="M217" s="49">
        <f>IF(A217=Backdoors!B2,1+MAX(M216:M216),"")</f>
        <v>74</v>
      </c>
    </row>
    <row r="218" spans="1:13" x14ac:dyDescent="0.25">
      <c r="A218" s="67" t="s">
        <v>178</v>
      </c>
      <c r="B218" s="77" t="s">
        <v>75</v>
      </c>
      <c r="C218" s="73" t="s">
        <v>0</v>
      </c>
      <c r="D218" s="73">
        <v>10</v>
      </c>
      <c r="E218" s="73"/>
      <c r="F218" s="73">
        <v>1</v>
      </c>
      <c r="G218" s="73">
        <v>0.5</v>
      </c>
      <c r="H218" s="73">
        <v>0.4</v>
      </c>
      <c r="I218" s="73" t="s">
        <v>862</v>
      </c>
      <c r="J218" s="73" t="s">
        <v>862</v>
      </c>
      <c r="K218" s="78" t="b">
        <v>1</v>
      </c>
      <c r="L218" s="73" t="b">
        <v>0</v>
      </c>
      <c r="M218" s="49">
        <f>IF(A218=Backdoors!B2,1+MAX(M217:M217),"")</f>
        <v>75</v>
      </c>
    </row>
    <row r="219" spans="1:13" x14ac:dyDescent="0.25">
      <c r="A219" s="67" t="s">
        <v>178</v>
      </c>
      <c r="B219" s="77" t="s">
        <v>76</v>
      </c>
      <c r="C219" s="73" t="s">
        <v>0</v>
      </c>
      <c r="D219" s="73">
        <v>15</v>
      </c>
      <c r="E219" s="73"/>
      <c r="F219" s="73">
        <v>1</v>
      </c>
      <c r="G219" s="73">
        <v>0.5</v>
      </c>
      <c r="H219" s="73">
        <v>0.4</v>
      </c>
      <c r="I219" s="73" t="s">
        <v>862</v>
      </c>
      <c r="J219" s="73" t="s">
        <v>862</v>
      </c>
      <c r="K219" s="78" t="b">
        <v>1</v>
      </c>
      <c r="L219" s="73" t="b">
        <v>0</v>
      </c>
      <c r="M219" s="49">
        <f>IF(A219=Backdoors!B2,1+MAX(M218:M218),"")</f>
        <v>76</v>
      </c>
    </row>
    <row r="220" spans="1:13" x14ac:dyDescent="0.25">
      <c r="A220" s="67" t="s">
        <v>178</v>
      </c>
      <c r="B220" s="77" t="s">
        <v>77</v>
      </c>
      <c r="C220" s="73" t="s">
        <v>0</v>
      </c>
      <c r="D220" s="73">
        <v>15</v>
      </c>
      <c r="E220" s="73"/>
      <c r="F220" s="73">
        <v>1</v>
      </c>
      <c r="G220" s="73">
        <v>0.7</v>
      </c>
      <c r="H220" s="73">
        <v>0.6</v>
      </c>
      <c r="I220" s="73" t="s">
        <v>862</v>
      </c>
      <c r="J220" s="73" t="s">
        <v>862</v>
      </c>
      <c r="K220" s="78" t="b">
        <v>1</v>
      </c>
      <c r="L220" s="73" t="b">
        <v>0</v>
      </c>
      <c r="M220" s="49">
        <f>IF(A220=Backdoors!B2,1+MAX(M219:M219),"")</f>
        <v>77</v>
      </c>
    </row>
    <row r="221" spans="1:13" x14ac:dyDescent="0.25">
      <c r="A221" s="67" t="s">
        <v>178</v>
      </c>
      <c r="B221" s="77" t="s">
        <v>78</v>
      </c>
      <c r="C221" s="73" t="s">
        <v>0</v>
      </c>
      <c r="D221" s="73">
        <v>10</v>
      </c>
      <c r="E221" s="73"/>
      <c r="F221" s="73">
        <v>1</v>
      </c>
      <c r="G221" s="73">
        <v>0.7</v>
      </c>
      <c r="H221" s="73">
        <v>0.6</v>
      </c>
      <c r="I221" s="73" t="s">
        <v>862</v>
      </c>
      <c r="J221" s="73" t="s">
        <v>862</v>
      </c>
      <c r="K221" s="78" t="b">
        <v>1</v>
      </c>
      <c r="L221" s="73" t="b">
        <v>0</v>
      </c>
      <c r="M221" s="49">
        <f>IF(A221=Backdoors!B2,1+MAX(M220:M220),"")</f>
        <v>78</v>
      </c>
    </row>
    <row r="222" spans="1:13" x14ac:dyDescent="0.25">
      <c r="A222" s="67" t="s">
        <v>178</v>
      </c>
      <c r="B222" s="77" t="s">
        <v>79</v>
      </c>
      <c r="C222" s="73" t="s">
        <v>0</v>
      </c>
      <c r="D222" s="73">
        <v>20</v>
      </c>
      <c r="E222" s="73"/>
      <c r="F222" s="73">
        <v>1</v>
      </c>
      <c r="G222" s="73">
        <v>0.7</v>
      </c>
      <c r="H222" s="73">
        <v>0.7</v>
      </c>
      <c r="I222" s="73" t="s">
        <v>862</v>
      </c>
      <c r="J222" s="73" t="s">
        <v>862</v>
      </c>
      <c r="K222" s="78" t="b">
        <v>1</v>
      </c>
      <c r="L222" s="73" t="b">
        <v>0</v>
      </c>
      <c r="M222" s="49">
        <f>IF(A222=Backdoors!B2,1+MAX(M221:M221),"")</f>
        <v>79</v>
      </c>
    </row>
    <row r="223" spans="1:13" x14ac:dyDescent="0.25">
      <c r="A223" s="67" t="s">
        <v>178</v>
      </c>
      <c r="B223" s="77" t="s">
        <v>80</v>
      </c>
      <c r="C223" s="73" t="s">
        <v>0</v>
      </c>
      <c r="D223" s="73">
        <v>20</v>
      </c>
      <c r="E223" s="73"/>
      <c r="F223" s="73">
        <v>1</v>
      </c>
      <c r="G223" s="73">
        <v>0.7</v>
      </c>
      <c r="H223" s="73">
        <v>0.7</v>
      </c>
      <c r="I223" s="73" t="s">
        <v>862</v>
      </c>
      <c r="J223" s="73" t="s">
        <v>862</v>
      </c>
      <c r="K223" s="78" t="b">
        <v>1</v>
      </c>
      <c r="L223" s="73" t="b">
        <v>0</v>
      </c>
      <c r="M223" s="49">
        <f>IF(A223=Backdoors!B2,1+MAX(M222:M222),"")</f>
        <v>80</v>
      </c>
    </row>
    <row r="224" spans="1:13" x14ac:dyDescent="0.25">
      <c r="A224" s="67" t="s">
        <v>178</v>
      </c>
      <c r="B224" s="77" t="s">
        <v>81</v>
      </c>
      <c r="C224" s="73" t="s">
        <v>0</v>
      </c>
      <c r="D224" s="73">
        <v>17</v>
      </c>
      <c r="E224" s="73"/>
      <c r="F224" s="73">
        <v>1</v>
      </c>
      <c r="G224" s="73">
        <v>0.4</v>
      </c>
      <c r="H224" s="73">
        <v>0.4</v>
      </c>
      <c r="I224" s="73" t="s">
        <v>862</v>
      </c>
      <c r="J224" s="73" t="s">
        <v>862</v>
      </c>
      <c r="K224" s="78" t="b">
        <v>1</v>
      </c>
      <c r="L224" s="73" t="b">
        <v>0</v>
      </c>
      <c r="M224" s="49">
        <f>IF(A224=Backdoors!B2,1+MAX(M223:M223),"")</f>
        <v>81</v>
      </c>
    </row>
    <row r="225" spans="1:13" x14ac:dyDescent="0.25">
      <c r="A225" s="67" t="s">
        <v>178</v>
      </c>
      <c r="B225" s="77" t="s">
        <v>82</v>
      </c>
      <c r="C225" s="73" t="s">
        <v>0</v>
      </c>
      <c r="D225" s="73">
        <v>11</v>
      </c>
      <c r="E225" s="73"/>
      <c r="F225" s="73">
        <v>1</v>
      </c>
      <c r="G225" s="73">
        <v>0.4</v>
      </c>
      <c r="H225" s="73">
        <v>0.4</v>
      </c>
      <c r="I225" s="73" t="s">
        <v>862</v>
      </c>
      <c r="J225" s="73" t="s">
        <v>862</v>
      </c>
      <c r="K225" s="78" t="b">
        <v>1</v>
      </c>
      <c r="L225" s="73" t="b">
        <v>0</v>
      </c>
      <c r="M225" s="49">
        <f>IF(A225=Backdoors!B2,1+MAX(M224:M224),"")</f>
        <v>82</v>
      </c>
    </row>
    <row r="226" spans="1:13" x14ac:dyDescent="0.25">
      <c r="A226" s="67" t="s">
        <v>178</v>
      </c>
      <c r="B226" s="77" t="s">
        <v>83</v>
      </c>
      <c r="C226" s="73" t="s">
        <v>0</v>
      </c>
      <c r="D226" s="73">
        <v>11</v>
      </c>
      <c r="E226" s="73"/>
      <c r="F226" s="73">
        <v>1</v>
      </c>
      <c r="G226" s="73">
        <v>0.4</v>
      </c>
      <c r="H226" s="73">
        <v>0.4</v>
      </c>
      <c r="I226" s="73" t="s">
        <v>862</v>
      </c>
      <c r="J226" s="73" t="s">
        <v>862</v>
      </c>
      <c r="K226" s="78" t="b">
        <v>1</v>
      </c>
      <c r="L226" s="73" t="b">
        <v>0</v>
      </c>
      <c r="M226" s="49">
        <f>IF(A226=Backdoors!B2,1+MAX(M225:M225),"")</f>
        <v>83</v>
      </c>
    </row>
    <row r="227" spans="1:13" x14ac:dyDescent="0.25">
      <c r="A227" s="67" t="s">
        <v>178</v>
      </c>
      <c r="B227" s="77" t="s">
        <v>84</v>
      </c>
      <c r="C227" s="73" t="s">
        <v>0</v>
      </c>
      <c r="D227" s="73">
        <v>17</v>
      </c>
      <c r="E227" s="73"/>
      <c r="F227" s="73">
        <v>1</v>
      </c>
      <c r="G227" s="73">
        <v>0.4</v>
      </c>
      <c r="H227" s="73">
        <v>0.4</v>
      </c>
      <c r="I227" s="73" t="s">
        <v>862</v>
      </c>
      <c r="J227" s="73" t="s">
        <v>862</v>
      </c>
      <c r="K227" s="78" t="b">
        <v>1</v>
      </c>
      <c r="L227" s="73" t="b">
        <v>0</v>
      </c>
      <c r="M227" s="49">
        <f>IF(A227=Backdoors!B2,1+MAX(M226:M226),"")</f>
        <v>84</v>
      </c>
    </row>
    <row r="228" spans="1:13" x14ac:dyDescent="0.25">
      <c r="A228" s="67" t="s">
        <v>178</v>
      </c>
      <c r="B228" s="77" t="s">
        <v>85</v>
      </c>
      <c r="C228" s="73" t="s">
        <v>0</v>
      </c>
      <c r="D228" s="73">
        <v>21</v>
      </c>
      <c r="E228" s="73"/>
      <c r="F228" s="73">
        <v>1</v>
      </c>
      <c r="G228" s="73">
        <v>1</v>
      </c>
      <c r="H228" s="73">
        <v>1</v>
      </c>
      <c r="I228" s="73" t="s">
        <v>862</v>
      </c>
      <c r="J228" s="73" t="s">
        <v>862</v>
      </c>
      <c r="K228" s="78" t="b">
        <v>1</v>
      </c>
      <c r="L228" s="73" t="b">
        <v>0</v>
      </c>
      <c r="M228" s="49">
        <f>IF(A228=Backdoors!B2,1+MAX(M227:M227),"")</f>
        <v>85</v>
      </c>
    </row>
    <row r="229" spans="1:13" x14ac:dyDescent="0.25">
      <c r="A229" s="67" t="s">
        <v>178</v>
      </c>
      <c r="B229" s="77" t="s">
        <v>86</v>
      </c>
      <c r="C229" s="73" t="s">
        <v>0</v>
      </c>
      <c r="D229" s="73">
        <v>21</v>
      </c>
      <c r="E229" s="73"/>
      <c r="F229" s="73">
        <v>1</v>
      </c>
      <c r="G229" s="73">
        <v>1</v>
      </c>
      <c r="H229" s="73">
        <v>1</v>
      </c>
      <c r="I229" s="73" t="s">
        <v>862</v>
      </c>
      <c r="J229" s="73" t="s">
        <v>862</v>
      </c>
      <c r="K229" s="78" t="b">
        <v>1</v>
      </c>
      <c r="L229" s="73" t="b">
        <v>0</v>
      </c>
      <c r="M229" s="49">
        <f>IF(A229=Backdoors!B2,1+MAX(M228:M228),"")</f>
        <v>86</v>
      </c>
    </row>
    <row r="230" spans="1:13" x14ac:dyDescent="0.25">
      <c r="A230" s="67" t="s">
        <v>178</v>
      </c>
      <c r="B230" s="77" t="s">
        <v>87</v>
      </c>
      <c r="C230" s="73" t="s">
        <v>0</v>
      </c>
      <c r="D230" s="73">
        <v>20</v>
      </c>
      <c r="E230" s="73"/>
      <c r="F230" s="73">
        <v>1</v>
      </c>
      <c r="G230" s="73">
        <v>0.7</v>
      </c>
      <c r="H230" s="73">
        <v>0.7</v>
      </c>
      <c r="I230" s="73" t="s">
        <v>862</v>
      </c>
      <c r="J230" s="73" t="s">
        <v>862</v>
      </c>
      <c r="K230" s="78" t="b">
        <v>1</v>
      </c>
      <c r="L230" s="73" t="b">
        <v>0</v>
      </c>
      <c r="M230" s="49">
        <f>IF(A230=Backdoors!B2,1+MAX(M229:M229),"")</f>
        <v>87</v>
      </c>
    </row>
    <row r="231" spans="1:13" x14ac:dyDescent="0.25">
      <c r="A231" s="67" t="s">
        <v>178</v>
      </c>
      <c r="B231" s="77" t="s">
        <v>88</v>
      </c>
      <c r="C231" s="73" t="s">
        <v>0</v>
      </c>
      <c r="D231" s="73">
        <v>20</v>
      </c>
      <c r="E231" s="73"/>
      <c r="F231" s="73">
        <v>1</v>
      </c>
      <c r="G231" s="73">
        <v>0.7</v>
      </c>
      <c r="H231" s="73">
        <v>0.7</v>
      </c>
      <c r="I231" s="73" t="s">
        <v>862</v>
      </c>
      <c r="J231" s="73" t="s">
        <v>862</v>
      </c>
      <c r="K231" s="78" t="b">
        <v>1</v>
      </c>
      <c r="L231" s="73" t="b">
        <v>0</v>
      </c>
      <c r="M231" s="49">
        <f>IF(A231=Backdoors!B2,1+MAX(M230:M230),"")</f>
        <v>88</v>
      </c>
    </row>
    <row r="232" spans="1:13" x14ac:dyDescent="0.25">
      <c r="A232" s="67" t="s">
        <v>178</v>
      </c>
      <c r="B232" s="77" t="s">
        <v>89</v>
      </c>
      <c r="C232" s="73" t="s">
        <v>0</v>
      </c>
      <c r="D232" s="73">
        <v>12</v>
      </c>
      <c r="E232" s="73"/>
      <c r="F232" s="73">
        <v>1</v>
      </c>
      <c r="G232" s="73">
        <v>0.7</v>
      </c>
      <c r="H232" s="73">
        <v>0.7</v>
      </c>
      <c r="I232" s="73" t="s">
        <v>862</v>
      </c>
      <c r="J232" s="73" t="s">
        <v>862</v>
      </c>
      <c r="K232" s="78" t="b">
        <v>1</v>
      </c>
      <c r="L232" s="73" t="b">
        <v>0</v>
      </c>
      <c r="M232" s="49">
        <f>IF(A232=Backdoors!B2,1+MAX(M231:M231),"")</f>
        <v>89</v>
      </c>
    </row>
    <row r="233" spans="1:13" x14ac:dyDescent="0.25">
      <c r="A233" s="67" t="s">
        <v>178</v>
      </c>
      <c r="B233" s="77" t="s">
        <v>90</v>
      </c>
      <c r="C233" s="73" t="s">
        <v>0</v>
      </c>
      <c r="D233" s="73">
        <v>12</v>
      </c>
      <c r="E233" s="73"/>
      <c r="F233" s="73">
        <v>1</v>
      </c>
      <c r="G233" s="73">
        <v>0.7</v>
      </c>
      <c r="H233" s="73">
        <v>0.7</v>
      </c>
      <c r="I233" s="73" t="s">
        <v>862</v>
      </c>
      <c r="J233" s="73" t="s">
        <v>862</v>
      </c>
      <c r="K233" s="78" t="b">
        <v>1</v>
      </c>
      <c r="L233" s="73" t="b">
        <v>0</v>
      </c>
      <c r="M233" s="49">
        <f>IF(A233=Backdoors!B2,1+MAX(M232:M232),"")</f>
        <v>90</v>
      </c>
    </row>
    <row r="234" spans="1:13" x14ac:dyDescent="0.25">
      <c r="A234" s="67" t="s">
        <v>178</v>
      </c>
      <c r="B234" s="77" t="s">
        <v>91</v>
      </c>
      <c r="C234" s="73" t="s">
        <v>0</v>
      </c>
      <c r="D234" s="73">
        <v>13</v>
      </c>
      <c r="E234" s="73"/>
      <c r="F234" s="73">
        <v>0</v>
      </c>
      <c r="G234" s="73">
        <v>0.7</v>
      </c>
      <c r="H234" s="73">
        <v>0.7</v>
      </c>
      <c r="I234" s="73" t="s">
        <v>862</v>
      </c>
      <c r="J234" s="73" t="s">
        <v>862</v>
      </c>
      <c r="K234" s="78" t="b">
        <v>1</v>
      </c>
      <c r="L234" s="73" t="b">
        <v>0</v>
      </c>
      <c r="M234" s="49">
        <f>IF(A234=Backdoors!B2,1+MAX(M233:M233),"")</f>
        <v>91</v>
      </c>
    </row>
    <row r="235" spans="1:13" x14ac:dyDescent="0.25">
      <c r="A235" s="67" t="s">
        <v>178</v>
      </c>
      <c r="B235" s="77" t="s">
        <v>92</v>
      </c>
      <c r="C235" s="73" t="s">
        <v>0</v>
      </c>
      <c r="D235" s="73">
        <v>13</v>
      </c>
      <c r="E235" s="73"/>
      <c r="F235" s="73">
        <v>0</v>
      </c>
      <c r="G235" s="73">
        <v>0.7</v>
      </c>
      <c r="H235" s="73">
        <v>0.7</v>
      </c>
      <c r="I235" s="73" t="s">
        <v>862</v>
      </c>
      <c r="J235" s="73" t="s">
        <v>862</v>
      </c>
      <c r="K235" s="78" t="b">
        <v>1</v>
      </c>
      <c r="L235" s="73" t="b">
        <v>0</v>
      </c>
      <c r="M235" s="49">
        <f>IF(A235=Backdoors!B2,1+MAX(M234:M234),"")</f>
        <v>92</v>
      </c>
    </row>
    <row r="236" spans="1:13" x14ac:dyDescent="0.25">
      <c r="A236" s="67" t="s">
        <v>178</v>
      </c>
      <c r="B236" s="77" t="s">
        <v>93</v>
      </c>
      <c r="C236" s="73" t="s">
        <v>0</v>
      </c>
      <c r="D236" s="73">
        <v>9</v>
      </c>
      <c r="E236" s="73"/>
      <c r="F236" s="73">
        <v>0</v>
      </c>
      <c r="G236" s="73">
        <v>0.5</v>
      </c>
      <c r="H236" s="73">
        <v>0.5</v>
      </c>
      <c r="I236" s="73" t="s">
        <v>862</v>
      </c>
      <c r="J236" s="73" t="s">
        <v>862</v>
      </c>
      <c r="K236" s="78" t="b">
        <v>1</v>
      </c>
      <c r="L236" s="73" t="b">
        <v>0</v>
      </c>
      <c r="M236" s="49">
        <f>IF(A236=Backdoors!B2,1+MAX(M235:M235),"")</f>
        <v>93</v>
      </c>
    </row>
    <row r="237" spans="1:13" x14ac:dyDescent="0.25">
      <c r="A237" s="67" t="s">
        <v>178</v>
      </c>
      <c r="B237" s="77" t="s">
        <v>94</v>
      </c>
      <c r="C237" s="73" t="s">
        <v>0</v>
      </c>
      <c r="D237" s="73">
        <v>9</v>
      </c>
      <c r="E237" s="73"/>
      <c r="F237" s="73">
        <v>0</v>
      </c>
      <c r="G237" s="73">
        <v>0.7</v>
      </c>
      <c r="H237" s="73">
        <v>0.7</v>
      </c>
      <c r="I237" s="73" t="s">
        <v>862</v>
      </c>
      <c r="J237" s="73" t="s">
        <v>862</v>
      </c>
      <c r="K237" s="78" t="b">
        <v>1</v>
      </c>
      <c r="L237" s="73" t="b">
        <v>0</v>
      </c>
      <c r="M237" s="49">
        <f>IF(A237=Backdoors!B2,1+MAX(M236:M236),"")</f>
        <v>94</v>
      </c>
    </row>
    <row r="238" spans="1:13" x14ac:dyDescent="0.25">
      <c r="A238" s="67" t="s">
        <v>178</v>
      </c>
      <c r="B238" s="77" t="s">
        <v>95</v>
      </c>
      <c r="C238" s="73" t="s">
        <v>0</v>
      </c>
      <c r="D238" s="73">
        <v>9</v>
      </c>
      <c r="E238" s="73"/>
      <c r="F238" s="73">
        <v>1</v>
      </c>
      <c r="G238" s="73">
        <v>0.7</v>
      </c>
      <c r="H238" s="73">
        <v>0.7</v>
      </c>
      <c r="I238" s="73" t="s">
        <v>862</v>
      </c>
      <c r="J238" s="73" t="s">
        <v>862</v>
      </c>
      <c r="K238" s="78" t="b">
        <v>1</v>
      </c>
      <c r="L238" s="73" t="b">
        <v>0</v>
      </c>
      <c r="M238" s="49">
        <f>IF(A238=Backdoors!B2,1+MAX(M237:M237),"")</f>
        <v>95</v>
      </c>
    </row>
    <row r="239" spans="1:13" x14ac:dyDescent="0.25">
      <c r="A239" s="67" t="s">
        <v>178</v>
      </c>
      <c r="B239" s="77" t="s">
        <v>96</v>
      </c>
      <c r="C239" s="73" t="s">
        <v>0</v>
      </c>
      <c r="D239" s="73">
        <v>9</v>
      </c>
      <c r="E239" s="73"/>
      <c r="F239" s="73">
        <v>1</v>
      </c>
      <c r="G239" s="73">
        <v>0.7</v>
      </c>
      <c r="H239" s="73">
        <v>0.7</v>
      </c>
      <c r="I239" s="73" t="s">
        <v>862</v>
      </c>
      <c r="J239" s="73" t="s">
        <v>862</v>
      </c>
      <c r="K239" s="78" t="b">
        <v>1</v>
      </c>
      <c r="L239" s="73" t="b">
        <v>0</v>
      </c>
      <c r="M239" s="49">
        <f>IF(A239=Backdoors!B2,1+MAX(M238:M238),"")</f>
        <v>96</v>
      </c>
    </row>
    <row r="240" spans="1:13" x14ac:dyDescent="0.25">
      <c r="A240" s="67" t="s">
        <v>178</v>
      </c>
      <c r="B240" s="77" t="s">
        <v>97</v>
      </c>
      <c r="C240" s="73" t="s">
        <v>0</v>
      </c>
      <c r="D240" s="73">
        <v>23</v>
      </c>
      <c r="E240" s="73"/>
      <c r="F240" s="73">
        <v>1.1000000000000001</v>
      </c>
      <c r="G240" s="73">
        <v>1</v>
      </c>
      <c r="H240" s="73">
        <v>1</v>
      </c>
      <c r="I240" s="73" t="s">
        <v>862</v>
      </c>
      <c r="J240" s="73" t="s">
        <v>862</v>
      </c>
      <c r="K240" s="78" t="b">
        <v>1</v>
      </c>
      <c r="L240" s="73" t="b">
        <v>0</v>
      </c>
      <c r="M240" s="49">
        <f>IF(A240=Backdoors!B2,1+MAX(M239:M239),"")</f>
        <v>97</v>
      </c>
    </row>
    <row r="241" spans="1:13" x14ac:dyDescent="0.25">
      <c r="A241" s="67" t="s">
        <v>178</v>
      </c>
      <c r="B241" s="77" t="s">
        <v>98</v>
      </c>
      <c r="C241" s="73" t="s">
        <v>0</v>
      </c>
      <c r="D241" s="73">
        <v>23</v>
      </c>
      <c r="E241" s="73"/>
      <c r="F241" s="73">
        <v>1.1000000000000001</v>
      </c>
      <c r="G241" s="73">
        <v>1</v>
      </c>
      <c r="H241" s="73">
        <v>1</v>
      </c>
      <c r="I241" s="73" t="s">
        <v>862</v>
      </c>
      <c r="J241" s="73" t="s">
        <v>862</v>
      </c>
      <c r="K241" s="78" t="b">
        <v>1</v>
      </c>
      <c r="L241" s="73" t="b">
        <v>0</v>
      </c>
      <c r="M241" s="49">
        <f>IF(A241=Backdoors!B2,1+MAX(M240:M240),"")</f>
        <v>98</v>
      </c>
    </row>
    <row r="242" spans="1:13" x14ac:dyDescent="0.25">
      <c r="A242" s="67" t="s">
        <v>178</v>
      </c>
      <c r="B242" s="77" t="s">
        <v>99</v>
      </c>
      <c r="C242" s="73" t="s">
        <v>0</v>
      </c>
      <c r="D242" s="73">
        <v>18</v>
      </c>
      <c r="E242" s="73"/>
      <c r="F242" s="73">
        <v>0</v>
      </c>
      <c r="G242" s="73">
        <v>1</v>
      </c>
      <c r="H242" s="73">
        <v>1</v>
      </c>
      <c r="I242" s="73" t="s">
        <v>862</v>
      </c>
      <c r="J242" s="73" t="s">
        <v>862</v>
      </c>
      <c r="K242" s="78" t="b">
        <v>1</v>
      </c>
      <c r="L242" s="73" t="b">
        <v>0</v>
      </c>
      <c r="M242" s="49">
        <f>IF(A242=Backdoors!B2,1+MAX(M241:M241),"")</f>
        <v>99</v>
      </c>
    </row>
    <row r="243" spans="1:13" x14ac:dyDescent="0.25">
      <c r="A243" s="67" t="s">
        <v>178</v>
      </c>
      <c r="B243" s="77" t="s">
        <v>100</v>
      </c>
      <c r="C243" s="73" t="s">
        <v>0</v>
      </c>
      <c r="D243" s="73">
        <v>18</v>
      </c>
      <c r="E243" s="73"/>
      <c r="F243" s="73">
        <v>0</v>
      </c>
      <c r="G243" s="73">
        <v>1</v>
      </c>
      <c r="H243" s="73">
        <v>1</v>
      </c>
      <c r="I243" s="73" t="s">
        <v>862</v>
      </c>
      <c r="J243" s="73" t="s">
        <v>862</v>
      </c>
      <c r="K243" s="78" t="b">
        <v>1</v>
      </c>
      <c r="L243" s="73" t="b">
        <v>0</v>
      </c>
      <c r="M243" s="49">
        <f>IF(A243=Backdoors!B2,1+MAX(M242:M242),"")</f>
        <v>100</v>
      </c>
    </row>
    <row r="244" spans="1:13" x14ac:dyDescent="0.25">
      <c r="A244" s="67" t="s">
        <v>178</v>
      </c>
      <c r="B244" s="77" t="s">
        <v>101</v>
      </c>
      <c r="C244" s="73" t="s">
        <v>0</v>
      </c>
      <c r="D244" s="73">
        <v>10</v>
      </c>
      <c r="E244" s="73"/>
      <c r="F244" s="73">
        <v>0</v>
      </c>
      <c r="G244" s="73">
        <v>0.5</v>
      </c>
      <c r="H244" s="73">
        <v>0.4</v>
      </c>
      <c r="I244" s="73" t="s">
        <v>862</v>
      </c>
      <c r="J244" s="73" t="s">
        <v>862</v>
      </c>
      <c r="K244" s="78" t="b">
        <v>1</v>
      </c>
      <c r="L244" s="73" t="b">
        <v>0</v>
      </c>
      <c r="M244" s="49">
        <f>IF(A244=Backdoors!B2,1+MAX(M243:M243),"")</f>
        <v>101</v>
      </c>
    </row>
    <row r="245" spans="1:13" x14ac:dyDescent="0.25">
      <c r="A245" s="67" t="s">
        <v>178</v>
      </c>
      <c r="B245" s="77" t="s">
        <v>102</v>
      </c>
      <c r="C245" s="73" t="s">
        <v>0</v>
      </c>
      <c r="D245" s="73">
        <v>10</v>
      </c>
      <c r="E245" s="73"/>
      <c r="F245" s="73">
        <v>0</v>
      </c>
      <c r="G245" s="73">
        <v>0.5</v>
      </c>
      <c r="H245" s="73">
        <v>0.4</v>
      </c>
      <c r="I245" s="73" t="s">
        <v>862</v>
      </c>
      <c r="J245" s="73" t="s">
        <v>862</v>
      </c>
      <c r="K245" s="78" t="b">
        <v>1</v>
      </c>
      <c r="L245" s="73" t="b">
        <v>0</v>
      </c>
      <c r="M245" s="49">
        <f>IF(A245=Backdoors!B2,1+MAX(M244:M244),"")</f>
        <v>102</v>
      </c>
    </row>
    <row r="246" spans="1:13" x14ac:dyDescent="0.25">
      <c r="A246" s="67" t="s">
        <v>178</v>
      </c>
      <c r="B246" s="77" t="s">
        <v>103</v>
      </c>
      <c r="C246" s="73" t="s">
        <v>0</v>
      </c>
      <c r="D246" s="73">
        <v>8</v>
      </c>
      <c r="E246" s="73"/>
      <c r="F246" s="73">
        <v>0</v>
      </c>
      <c r="G246" s="73">
        <v>0.5</v>
      </c>
      <c r="H246" s="73">
        <v>0.4</v>
      </c>
      <c r="I246" s="73" t="s">
        <v>862</v>
      </c>
      <c r="J246" s="73" t="s">
        <v>862</v>
      </c>
      <c r="K246" s="78" t="b">
        <v>1</v>
      </c>
      <c r="L246" s="73" t="b">
        <v>0</v>
      </c>
      <c r="M246" s="49">
        <f>IF(A246=Backdoors!B2,1+MAX(M245:M245),"")</f>
        <v>103</v>
      </c>
    </row>
    <row r="247" spans="1:13" x14ac:dyDescent="0.25">
      <c r="A247" s="67" t="s">
        <v>178</v>
      </c>
      <c r="B247" s="77" t="s">
        <v>104</v>
      </c>
      <c r="C247" s="73" t="s">
        <v>0</v>
      </c>
      <c r="D247" s="73">
        <v>12</v>
      </c>
      <c r="E247" s="73"/>
      <c r="F247" s="73">
        <v>0</v>
      </c>
      <c r="G247" s="73">
        <v>0.5</v>
      </c>
      <c r="H247" s="73">
        <v>0.4</v>
      </c>
      <c r="I247" s="73" t="s">
        <v>862</v>
      </c>
      <c r="J247" s="73" t="s">
        <v>862</v>
      </c>
      <c r="K247" s="78" t="b">
        <v>1</v>
      </c>
      <c r="L247" s="73" t="b">
        <v>0</v>
      </c>
      <c r="M247" s="49">
        <f>IF(A247=Backdoors!B2,1+MAX(M246:M246),"")</f>
        <v>104</v>
      </c>
    </row>
    <row r="248" spans="1:13" x14ac:dyDescent="0.25">
      <c r="A248" s="67" t="s">
        <v>178</v>
      </c>
      <c r="B248" s="77" t="s">
        <v>105</v>
      </c>
      <c r="C248" s="73" t="s">
        <v>0</v>
      </c>
      <c r="D248" s="73">
        <v>12</v>
      </c>
      <c r="E248" s="73"/>
      <c r="F248" s="73">
        <v>0</v>
      </c>
      <c r="G248" s="73">
        <v>0.5</v>
      </c>
      <c r="H248" s="73">
        <v>0.4</v>
      </c>
      <c r="I248" s="73" t="s">
        <v>862</v>
      </c>
      <c r="J248" s="73" t="s">
        <v>862</v>
      </c>
      <c r="K248" s="78" t="b">
        <v>1</v>
      </c>
      <c r="L248" s="73" t="b">
        <v>0</v>
      </c>
      <c r="M248" s="49">
        <f>IF(A248=Backdoors!B2,1+MAX(M247:M247),"")</f>
        <v>105</v>
      </c>
    </row>
    <row r="249" spans="1:13" x14ac:dyDescent="0.25">
      <c r="A249" s="67" t="s">
        <v>178</v>
      </c>
      <c r="B249" s="77" t="s">
        <v>106</v>
      </c>
      <c r="C249" s="73" t="s">
        <v>0</v>
      </c>
      <c r="D249" s="73">
        <v>10</v>
      </c>
      <c r="E249" s="73"/>
      <c r="F249" s="73">
        <v>0</v>
      </c>
      <c r="G249" s="73">
        <v>0.7</v>
      </c>
      <c r="H249" s="73">
        <v>0.6</v>
      </c>
      <c r="I249" s="73" t="s">
        <v>862</v>
      </c>
      <c r="J249" s="73" t="s">
        <v>862</v>
      </c>
      <c r="K249" s="78" t="b">
        <v>1</v>
      </c>
      <c r="L249" s="73" t="b">
        <v>0</v>
      </c>
      <c r="M249" s="49">
        <f>IF(A249=Backdoors!B2,1+MAX(M248:M248),"")</f>
        <v>106</v>
      </c>
    </row>
    <row r="250" spans="1:13" x14ac:dyDescent="0.25">
      <c r="A250" s="67" t="s">
        <v>178</v>
      </c>
      <c r="B250" s="77" t="s">
        <v>107</v>
      </c>
      <c r="C250" s="73" t="s">
        <v>0</v>
      </c>
      <c r="D250" s="73">
        <v>10</v>
      </c>
      <c r="E250" s="73"/>
      <c r="F250" s="73">
        <v>0</v>
      </c>
      <c r="G250" s="73">
        <v>0.7</v>
      </c>
      <c r="H250" s="73">
        <v>0.6</v>
      </c>
      <c r="I250" s="73" t="s">
        <v>862</v>
      </c>
      <c r="J250" s="73" t="s">
        <v>862</v>
      </c>
      <c r="K250" s="78" t="b">
        <v>1</v>
      </c>
      <c r="L250" s="73" t="b">
        <v>0</v>
      </c>
      <c r="M250" s="49">
        <f>IF(A250=Backdoors!B2,1+MAX(M249:M249),"")</f>
        <v>107</v>
      </c>
    </row>
    <row r="251" spans="1:13" x14ac:dyDescent="0.25">
      <c r="A251" s="67" t="s">
        <v>178</v>
      </c>
      <c r="B251" s="77" t="s">
        <v>108</v>
      </c>
      <c r="C251" s="73" t="s">
        <v>0</v>
      </c>
      <c r="D251" s="73">
        <v>23</v>
      </c>
      <c r="E251" s="73"/>
      <c r="F251" s="73">
        <v>1</v>
      </c>
      <c r="G251" s="73">
        <v>1</v>
      </c>
      <c r="H251" s="73">
        <v>1</v>
      </c>
      <c r="I251" s="73" t="s">
        <v>862</v>
      </c>
      <c r="J251" s="73" t="s">
        <v>862</v>
      </c>
      <c r="K251" s="78" t="b">
        <v>1</v>
      </c>
      <c r="L251" s="73" t="b">
        <v>0</v>
      </c>
      <c r="M251" s="49">
        <f>IF(A251=Backdoors!B2,1+MAX(M250:M250),"")</f>
        <v>108</v>
      </c>
    </row>
    <row r="252" spans="1:13" x14ac:dyDescent="0.25">
      <c r="A252" s="67" t="s">
        <v>178</v>
      </c>
      <c r="B252" s="77" t="s">
        <v>109</v>
      </c>
      <c r="C252" s="73" t="s">
        <v>0</v>
      </c>
      <c r="D252" s="73">
        <v>23</v>
      </c>
      <c r="E252" s="73"/>
      <c r="F252" s="73">
        <v>1</v>
      </c>
      <c r="G252" s="73">
        <v>1</v>
      </c>
      <c r="H252" s="73">
        <v>1</v>
      </c>
      <c r="I252" s="73" t="s">
        <v>862</v>
      </c>
      <c r="J252" s="73" t="s">
        <v>862</v>
      </c>
      <c r="K252" s="78" t="b">
        <v>1</v>
      </c>
      <c r="L252" s="73" t="b">
        <v>0</v>
      </c>
      <c r="M252" s="49">
        <f>IF(A252=Backdoors!B2,1+MAX(M251:M251),"")</f>
        <v>109</v>
      </c>
    </row>
    <row r="253" spans="1:13" x14ac:dyDescent="0.25">
      <c r="A253" s="67" t="s">
        <v>217</v>
      </c>
      <c r="B253" s="77" t="s">
        <v>1273</v>
      </c>
      <c r="C253" s="73" t="s">
        <v>0</v>
      </c>
      <c r="D253" s="73">
        <v>20</v>
      </c>
      <c r="E253" s="73"/>
      <c r="F253" s="73">
        <v>1</v>
      </c>
      <c r="G253" s="73">
        <v>0.7</v>
      </c>
      <c r="H253" s="73">
        <v>0.7</v>
      </c>
      <c r="I253" s="73" t="s">
        <v>862</v>
      </c>
      <c r="J253" s="73" t="s">
        <v>862</v>
      </c>
      <c r="K253" s="78" t="b">
        <v>1</v>
      </c>
      <c r="L253" s="73" t="b">
        <v>0</v>
      </c>
      <c r="M253" s="49" t="str">
        <f>IF(A253=Backdoors!B2,1+MAX(M252:M252),"")</f>
        <v/>
      </c>
    </row>
    <row r="254" spans="1:13" x14ac:dyDescent="0.25">
      <c r="A254" s="74" t="s">
        <v>217</v>
      </c>
      <c r="B254" s="77" t="s">
        <v>1274</v>
      </c>
      <c r="C254" s="73" t="s">
        <v>0</v>
      </c>
      <c r="D254" s="73">
        <v>20</v>
      </c>
      <c r="E254" s="73"/>
      <c r="F254" s="73">
        <v>1</v>
      </c>
      <c r="G254" s="73">
        <v>0.7</v>
      </c>
      <c r="H254" s="73">
        <v>0.7</v>
      </c>
      <c r="I254" s="73" t="s">
        <v>862</v>
      </c>
      <c r="J254" s="73" t="s">
        <v>862</v>
      </c>
      <c r="K254" s="78" t="b">
        <v>1</v>
      </c>
      <c r="L254" s="73" t="b">
        <v>0</v>
      </c>
      <c r="M254" s="49" t="str">
        <f>IF(A254=Backdoors!B2,1+MAX(M253:M253),"")</f>
        <v/>
      </c>
    </row>
    <row r="255" spans="1:13" x14ac:dyDescent="0.25">
      <c r="A255" s="74" t="s">
        <v>217</v>
      </c>
      <c r="B255" s="77" t="s">
        <v>1275</v>
      </c>
      <c r="C255" s="73" t="s">
        <v>0</v>
      </c>
      <c r="D255" s="73">
        <v>27</v>
      </c>
      <c r="E255" s="73"/>
      <c r="F255" s="73">
        <v>1</v>
      </c>
      <c r="G255" s="73">
        <v>0.7</v>
      </c>
      <c r="H255" s="73">
        <v>0.7</v>
      </c>
      <c r="I255" s="73" t="s">
        <v>862</v>
      </c>
      <c r="J255" s="73" t="s">
        <v>862</v>
      </c>
      <c r="K255" s="78" t="b">
        <v>1</v>
      </c>
      <c r="L255" s="73" t="b">
        <v>0</v>
      </c>
      <c r="M255" s="49" t="str">
        <f>IF(A255=Backdoors!B2,1+MAX(M254:M254),"")</f>
        <v/>
      </c>
    </row>
    <row r="256" spans="1:13" x14ac:dyDescent="0.25">
      <c r="A256" s="74" t="s">
        <v>217</v>
      </c>
      <c r="B256" s="77" t="s">
        <v>1276</v>
      </c>
      <c r="C256" s="73" t="s">
        <v>0</v>
      </c>
      <c r="D256" s="73">
        <v>22</v>
      </c>
      <c r="E256" s="73"/>
      <c r="F256" s="73">
        <v>1</v>
      </c>
      <c r="G256" s="73">
        <v>0.7</v>
      </c>
      <c r="H256" s="73">
        <v>0.7</v>
      </c>
      <c r="I256" s="73" t="s">
        <v>862</v>
      </c>
      <c r="J256" s="73" t="s">
        <v>862</v>
      </c>
      <c r="K256" s="78" t="b">
        <v>1</v>
      </c>
      <c r="L256" s="73" t="b">
        <v>0</v>
      </c>
      <c r="M256" s="49" t="str">
        <f>IF(A256=Backdoors!B2,1+MAX(M255:M255),"")</f>
        <v/>
      </c>
    </row>
    <row r="257" spans="1:13" x14ac:dyDescent="0.25">
      <c r="A257" s="74" t="s">
        <v>217</v>
      </c>
      <c r="B257" s="77" t="s">
        <v>1277</v>
      </c>
      <c r="C257" s="73" t="s">
        <v>0</v>
      </c>
      <c r="D257" s="73">
        <v>22</v>
      </c>
      <c r="E257" s="73"/>
      <c r="F257" s="73">
        <v>1</v>
      </c>
      <c r="G257" s="73">
        <v>0.7</v>
      </c>
      <c r="H257" s="73">
        <v>0.7</v>
      </c>
      <c r="I257" s="73" t="s">
        <v>862</v>
      </c>
      <c r="J257" s="73" t="s">
        <v>862</v>
      </c>
      <c r="K257" s="78" t="b">
        <v>1</v>
      </c>
      <c r="L257" s="73" t="b">
        <v>0</v>
      </c>
      <c r="M257" s="49" t="str">
        <f>IF(A257=Backdoors!B2,1+MAX(M256:M256),"")</f>
        <v/>
      </c>
    </row>
    <row r="258" spans="1:13" x14ac:dyDescent="0.25">
      <c r="A258" s="74" t="s">
        <v>217</v>
      </c>
      <c r="B258" s="77" t="s">
        <v>1278</v>
      </c>
      <c r="C258" s="73" t="s">
        <v>0</v>
      </c>
      <c r="D258" s="73">
        <v>27</v>
      </c>
      <c r="E258" s="73"/>
      <c r="F258" s="73">
        <v>1</v>
      </c>
      <c r="G258" s="73">
        <v>0.7</v>
      </c>
      <c r="H258" s="73">
        <v>0.7</v>
      </c>
      <c r="I258" s="73" t="s">
        <v>862</v>
      </c>
      <c r="J258" s="73" t="s">
        <v>862</v>
      </c>
      <c r="K258" s="78" t="b">
        <v>1</v>
      </c>
      <c r="L258" s="73" t="b">
        <v>0</v>
      </c>
      <c r="M258" s="49" t="str">
        <f>IF(A258=Backdoors!B2,1+MAX(M257:M257),"")</f>
        <v/>
      </c>
    </row>
    <row r="259" spans="1:13" x14ac:dyDescent="0.25">
      <c r="A259" s="74" t="s">
        <v>217</v>
      </c>
      <c r="B259" s="77" t="s">
        <v>1279</v>
      </c>
      <c r="C259" s="73" t="s">
        <v>0</v>
      </c>
      <c r="D259" s="73">
        <v>20</v>
      </c>
      <c r="E259" s="73"/>
      <c r="F259" s="73">
        <v>1</v>
      </c>
      <c r="G259" s="73">
        <v>0.7</v>
      </c>
      <c r="H259" s="73">
        <v>0.7</v>
      </c>
      <c r="I259" s="73" t="s">
        <v>862</v>
      </c>
      <c r="J259" s="73" t="s">
        <v>862</v>
      </c>
      <c r="K259" s="78" t="b">
        <v>1</v>
      </c>
      <c r="L259" s="73" t="b">
        <v>0</v>
      </c>
      <c r="M259" s="49" t="str">
        <f>IF(A259=Backdoors!B2,1+MAX(M258:M258),"")</f>
        <v/>
      </c>
    </row>
    <row r="260" spans="1:13" x14ac:dyDescent="0.25">
      <c r="A260" s="74" t="s">
        <v>217</v>
      </c>
      <c r="B260" s="77" t="s">
        <v>1280</v>
      </c>
      <c r="C260" s="73" t="s">
        <v>0</v>
      </c>
      <c r="D260" s="73">
        <v>20</v>
      </c>
      <c r="E260" s="73"/>
      <c r="F260" s="73">
        <v>1</v>
      </c>
      <c r="G260" s="73">
        <v>0.7</v>
      </c>
      <c r="H260" s="73">
        <v>0.7</v>
      </c>
      <c r="I260" s="73" t="s">
        <v>862</v>
      </c>
      <c r="J260" s="73" t="s">
        <v>862</v>
      </c>
      <c r="K260" s="78" t="b">
        <v>1</v>
      </c>
      <c r="L260" s="73" t="b">
        <v>0</v>
      </c>
      <c r="M260" s="49" t="str">
        <f>IF(A260=Backdoors!B2,1+MAX(M259:M259),"")</f>
        <v/>
      </c>
    </row>
    <row r="261" spans="1:13" x14ac:dyDescent="0.25">
      <c r="A261" s="74" t="s">
        <v>217</v>
      </c>
      <c r="B261" s="77" t="s">
        <v>1281</v>
      </c>
      <c r="C261" s="73" t="s">
        <v>0</v>
      </c>
      <c r="D261" s="73">
        <v>40</v>
      </c>
      <c r="E261" s="73"/>
      <c r="F261" s="73">
        <v>1</v>
      </c>
      <c r="G261" s="73">
        <v>0.7</v>
      </c>
      <c r="H261" s="73">
        <v>0.7</v>
      </c>
      <c r="I261" s="73" t="s">
        <v>862</v>
      </c>
      <c r="J261" s="73" t="s">
        <v>862</v>
      </c>
      <c r="K261" s="78" t="b">
        <v>1</v>
      </c>
      <c r="L261" s="73" t="b">
        <v>0</v>
      </c>
      <c r="M261" s="49" t="str">
        <f>IF(A261=Backdoors!B2,1+MAX(M260:M260),"")</f>
        <v/>
      </c>
    </row>
    <row r="262" spans="1:13" x14ac:dyDescent="0.25">
      <c r="A262" s="67" t="s">
        <v>217</v>
      </c>
      <c r="B262" s="77" t="s">
        <v>1282</v>
      </c>
      <c r="C262" s="73" t="s">
        <v>0</v>
      </c>
      <c r="D262" s="73">
        <v>8</v>
      </c>
      <c r="E262" s="73"/>
      <c r="F262" s="73">
        <v>1</v>
      </c>
      <c r="G262" s="73">
        <v>0.3</v>
      </c>
      <c r="H262" s="73">
        <v>0.3</v>
      </c>
      <c r="I262" s="73" t="s">
        <v>862</v>
      </c>
      <c r="J262" s="73" t="s">
        <v>862</v>
      </c>
      <c r="K262" s="78" t="b">
        <v>1</v>
      </c>
      <c r="L262" s="73" t="b">
        <v>0</v>
      </c>
      <c r="M262" s="49" t="str">
        <f>IF(A262=Backdoors!B2,1+MAX(M261:M261),"")</f>
        <v/>
      </c>
    </row>
    <row r="263" spans="1:13" x14ac:dyDescent="0.25">
      <c r="A263" s="74" t="s">
        <v>217</v>
      </c>
      <c r="B263" s="77" t="s">
        <v>1261</v>
      </c>
      <c r="C263" s="73" t="s">
        <v>120</v>
      </c>
      <c r="D263" s="73">
        <v>14</v>
      </c>
      <c r="E263" s="73"/>
      <c r="F263" s="73">
        <v>1</v>
      </c>
      <c r="G263" s="73">
        <v>0</v>
      </c>
      <c r="H263" s="73">
        <v>0</v>
      </c>
      <c r="I263" s="73" t="s">
        <v>862</v>
      </c>
      <c r="J263" s="73" t="s">
        <v>862</v>
      </c>
      <c r="K263" s="78" t="b">
        <v>1</v>
      </c>
      <c r="L263" s="73" t="b">
        <v>0</v>
      </c>
      <c r="M263" s="49" t="str">
        <f>IF(A263=Backdoors!B2,1+MAX(M262:M262),"")</f>
        <v/>
      </c>
    </row>
    <row r="264" spans="1:13" x14ac:dyDescent="0.25">
      <c r="A264" s="74" t="s">
        <v>217</v>
      </c>
      <c r="B264" s="77" t="s">
        <v>1283</v>
      </c>
      <c r="C264" s="73" t="s">
        <v>0</v>
      </c>
      <c r="D264" s="73">
        <v>11</v>
      </c>
      <c r="E264" s="73"/>
      <c r="F264" s="73">
        <v>1</v>
      </c>
      <c r="G264" s="73">
        <v>0.2</v>
      </c>
      <c r="H264" s="73">
        <v>0.2</v>
      </c>
      <c r="I264" s="73" t="s">
        <v>862</v>
      </c>
      <c r="J264" s="73" t="s">
        <v>862</v>
      </c>
      <c r="K264" s="78" t="b">
        <v>1</v>
      </c>
      <c r="L264" s="73" t="b">
        <v>0</v>
      </c>
      <c r="M264" s="49" t="str">
        <f>IF(A264=Backdoors!B2,1+MAX(M263:M263),"")</f>
        <v/>
      </c>
    </row>
    <row r="265" spans="1:13" x14ac:dyDescent="0.25">
      <c r="A265" s="74" t="s">
        <v>217</v>
      </c>
      <c r="B265" s="77" t="s">
        <v>1284</v>
      </c>
      <c r="C265" s="73" t="s">
        <v>0</v>
      </c>
      <c r="D265" s="73">
        <v>50</v>
      </c>
      <c r="E265" s="73"/>
      <c r="F265" s="73">
        <v>1</v>
      </c>
      <c r="G265" s="73">
        <v>0.8</v>
      </c>
      <c r="H265" s="73">
        <v>0.8</v>
      </c>
      <c r="I265" s="73" t="s">
        <v>862</v>
      </c>
      <c r="J265" s="73" t="s">
        <v>862</v>
      </c>
      <c r="K265" s="78" t="b">
        <v>1</v>
      </c>
      <c r="L265" s="73" t="b">
        <v>0</v>
      </c>
      <c r="M265" s="49" t="str">
        <f>IF(A265=Backdoors!B2,1+MAX(M264:M264),"")</f>
        <v/>
      </c>
    </row>
    <row r="266" spans="1:13" x14ac:dyDescent="0.25">
      <c r="A266" s="74" t="s">
        <v>217</v>
      </c>
      <c r="B266" s="77" t="s">
        <v>1285</v>
      </c>
      <c r="C266" s="73" t="s">
        <v>0</v>
      </c>
      <c r="D266" s="73">
        <v>25</v>
      </c>
      <c r="E266" s="73"/>
      <c r="F266" s="73">
        <v>1</v>
      </c>
      <c r="G266" s="73">
        <v>0.7</v>
      </c>
      <c r="H266" s="73">
        <v>0.7</v>
      </c>
      <c r="I266" s="73" t="s">
        <v>862</v>
      </c>
      <c r="J266" s="73" t="s">
        <v>862</v>
      </c>
      <c r="K266" s="78" t="b">
        <v>1</v>
      </c>
      <c r="L266" s="73" t="b">
        <v>0</v>
      </c>
      <c r="M266" s="49" t="str">
        <f>IF(A266=Backdoors!B2,1+MAX(M265:M265),"")</f>
        <v/>
      </c>
    </row>
    <row r="267" spans="1:13" x14ac:dyDescent="0.25">
      <c r="A267" s="74" t="s">
        <v>217</v>
      </c>
      <c r="B267" s="77" t="s">
        <v>1286</v>
      </c>
      <c r="C267" s="73" t="s">
        <v>0</v>
      </c>
      <c r="D267" s="73">
        <v>50</v>
      </c>
      <c r="E267" s="73"/>
      <c r="F267" s="73">
        <v>1</v>
      </c>
      <c r="G267" s="73">
        <v>0.8</v>
      </c>
      <c r="H267" s="73">
        <v>0.8</v>
      </c>
      <c r="I267" s="73" t="s">
        <v>862</v>
      </c>
      <c r="J267" s="73" t="s">
        <v>862</v>
      </c>
      <c r="K267" s="78" t="b">
        <v>1</v>
      </c>
      <c r="L267" s="73" t="b">
        <v>0</v>
      </c>
      <c r="M267" s="49" t="str">
        <f>IF(A267=Backdoors!B2,1+MAX(M266:M266),"")</f>
        <v/>
      </c>
    </row>
    <row r="268" spans="1:13" x14ac:dyDescent="0.25">
      <c r="A268" s="74" t="s">
        <v>217</v>
      </c>
      <c r="B268" s="77" t="s">
        <v>1287</v>
      </c>
      <c r="C268" s="73" t="s">
        <v>0</v>
      </c>
      <c r="D268" s="73">
        <v>50</v>
      </c>
      <c r="E268" s="73"/>
      <c r="F268" s="73">
        <v>1</v>
      </c>
      <c r="G268" s="73">
        <v>0.8</v>
      </c>
      <c r="H268" s="73">
        <v>0.8</v>
      </c>
      <c r="I268" s="73" t="s">
        <v>862</v>
      </c>
      <c r="J268" s="73" t="s">
        <v>862</v>
      </c>
      <c r="K268" s="78" t="b">
        <v>1</v>
      </c>
      <c r="L268" s="73" t="b">
        <v>0</v>
      </c>
      <c r="M268" s="49" t="str">
        <f>IF(A268=Backdoors!B2,1+MAX(M267:M267),"")</f>
        <v/>
      </c>
    </row>
    <row r="269" spans="1:13" x14ac:dyDescent="0.25">
      <c r="A269" s="74" t="s">
        <v>217</v>
      </c>
      <c r="B269" s="77" t="s">
        <v>1288</v>
      </c>
      <c r="C269" s="73" t="s">
        <v>0</v>
      </c>
      <c r="D269" s="73">
        <v>30</v>
      </c>
      <c r="E269" s="73">
        <v>55</v>
      </c>
      <c r="F269" s="73">
        <v>1</v>
      </c>
      <c r="G269" s="73">
        <v>0.7</v>
      </c>
      <c r="H269" s="73">
        <v>0.7</v>
      </c>
      <c r="I269" s="73" t="s">
        <v>862</v>
      </c>
      <c r="J269" s="73" t="s">
        <v>862</v>
      </c>
      <c r="K269" s="78" t="b">
        <v>1</v>
      </c>
      <c r="L269" s="73" t="b">
        <v>1</v>
      </c>
      <c r="M269" s="49" t="str">
        <f>IF(A269=Backdoors!B2,1+MAX(M268:M268),"")</f>
        <v/>
      </c>
    </row>
    <row r="270" spans="1:13" x14ac:dyDescent="0.25">
      <c r="A270" s="74" t="s">
        <v>217</v>
      </c>
      <c r="B270" s="77" t="s">
        <v>1289</v>
      </c>
      <c r="C270" s="73" t="s">
        <v>0</v>
      </c>
      <c r="D270" s="73">
        <v>25</v>
      </c>
      <c r="E270" s="73"/>
      <c r="F270" s="73">
        <v>1</v>
      </c>
      <c r="G270" s="73">
        <v>0.7</v>
      </c>
      <c r="H270" s="73">
        <v>0.7</v>
      </c>
      <c r="I270" s="73" t="s">
        <v>862</v>
      </c>
      <c r="J270" s="73" t="s">
        <v>862</v>
      </c>
      <c r="K270" s="78" t="b">
        <v>1</v>
      </c>
      <c r="L270" s="73" t="b">
        <v>0</v>
      </c>
      <c r="M270" s="49" t="str">
        <f>IF(A270=Backdoors!B2,1+MAX(M269:M269),"")</f>
        <v/>
      </c>
    </row>
    <row r="271" spans="1:13" x14ac:dyDescent="0.25">
      <c r="A271" s="74" t="s">
        <v>217</v>
      </c>
      <c r="B271" s="77" t="s">
        <v>1290</v>
      </c>
      <c r="C271" s="73" t="s">
        <v>120</v>
      </c>
      <c r="D271" s="73">
        <v>16</v>
      </c>
      <c r="E271" s="73"/>
      <c r="F271" s="73">
        <v>0</v>
      </c>
      <c r="G271" s="73">
        <v>0</v>
      </c>
      <c r="H271" s="73">
        <v>0</v>
      </c>
      <c r="I271" s="73" t="s">
        <v>862</v>
      </c>
      <c r="J271" s="73" t="s">
        <v>862</v>
      </c>
      <c r="K271" s="78" t="b">
        <v>1</v>
      </c>
      <c r="L271" s="73" t="b">
        <v>0</v>
      </c>
      <c r="M271" s="49" t="str">
        <f>IF(A271=Backdoors!B2,1+MAX(M270:M270),"")</f>
        <v/>
      </c>
    </row>
    <row r="272" spans="1:13" x14ac:dyDescent="0.25">
      <c r="A272" s="74" t="s">
        <v>217</v>
      </c>
      <c r="B272" s="77" t="s">
        <v>1177</v>
      </c>
      <c r="C272" s="73" t="s">
        <v>0</v>
      </c>
      <c r="D272" s="73">
        <v>33</v>
      </c>
      <c r="E272" s="73"/>
      <c r="F272" s="73">
        <v>0</v>
      </c>
      <c r="G272" s="73">
        <v>1</v>
      </c>
      <c r="H272" s="73">
        <v>0.7</v>
      </c>
      <c r="I272" s="73" t="s">
        <v>862</v>
      </c>
      <c r="J272" s="73" t="s">
        <v>862</v>
      </c>
      <c r="K272" s="78" t="b">
        <v>1</v>
      </c>
      <c r="L272" s="73" t="b">
        <v>0</v>
      </c>
      <c r="M272" s="49" t="str">
        <f>IF(A272=Backdoors!B2,1+MAX(M271:M271),"")</f>
        <v/>
      </c>
    </row>
    <row r="273" spans="1:13" x14ac:dyDescent="0.25">
      <c r="A273" s="74" t="s">
        <v>217</v>
      </c>
      <c r="B273" s="77" t="s">
        <v>1178</v>
      </c>
      <c r="C273" s="73" t="s">
        <v>0</v>
      </c>
      <c r="D273" s="73">
        <v>45</v>
      </c>
      <c r="E273" s="73"/>
      <c r="F273" s="73">
        <v>1</v>
      </c>
      <c r="G273" s="73">
        <v>1</v>
      </c>
      <c r="H273" s="73">
        <v>0.8</v>
      </c>
      <c r="I273" s="73" t="s">
        <v>862</v>
      </c>
      <c r="J273" s="73" t="s">
        <v>862</v>
      </c>
      <c r="K273" s="78" t="b">
        <v>1</v>
      </c>
      <c r="L273" s="73" t="b">
        <v>0</v>
      </c>
      <c r="M273" s="49" t="str">
        <f>IF(A273=Backdoors!B2,1+MAX(M272:M272),"")</f>
        <v/>
      </c>
    </row>
    <row r="274" spans="1:13" x14ac:dyDescent="0.25">
      <c r="A274" s="74" t="s">
        <v>217</v>
      </c>
      <c r="B274" s="77" t="s">
        <v>1291</v>
      </c>
      <c r="C274" s="73" t="s">
        <v>0</v>
      </c>
      <c r="D274" s="73">
        <v>40</v>
      </c>
      <c r="E274" s="73"/>
      <c r="F274" s="73">
        <v>0</v>
      </c>
      <c r="G274" s="73">
        <v>1</v>
      </c>
      <c r="H274" s="73">
        <v>0.7</v>
      </c>
      <c r="I274" s="73" t="s">
        <v>862</v>
      </c>
      <c r="J274" s="73" t="s">
        <v>862</v>
      </c>
      <c r="K274" s="78" t="b">
        <v>1</v>
      </c>
      <c r="L274" s="73" t="b">
        <v>0</v>
      </c>
      <c r="M274" s="49" t="str">
        <f>IF(A274=Backdoors!B2,1+MAX(M273:M273),"")</f>
        <v/>
      </c>
    </row>
    <row r="275" spans="1:13" x14ac:dyDescent="0.25">
      <c r="A275" s="74" t="s">
        <v>217</v>
      </c>
      <c r="B275" s="77" t="s">
        <v>1292</v>
      </c>
      <c r="C275" s="73" t="s">
        <v>0</v>
      </c>
      <c r="D275" s="73">
        <v>10</v>
      </c>
      <c r="E275" s="73"/>
      <c r="F275" s="73">
        <v>0</v>
      </c>
      <c r="G275" s="73">
        <v>1</v>
      </c>
      <c r="H275" s="73">
        <v>0.7</v>
      </c>
      <c r="I275" s="73" t="s">
        <v>862</v>
      </c>
      <c r="J275" s="73" t="s">
        <v>862</v>
      </c>
      <c r="K275" s="78" t="b">
        <v>1</v>
      </c>
      <c r="L275" s="73" t="b">
        <v>0</v>
      </c>
      <c r="M275" s="49" t="str">
        <f>IF(A275=Backdoors!B2,1+MAX(M274:M274),"")</f>
        <v/>
      </c>
    </row>
    <row r="276" spans="1:13" x14ac:dyDescent="0.25">
      <c r="A276" s="74" t="s">
        <v>217</v>
      </c>
      <c r="B276" s="77" t="s">
        <v>1293</v>
      </c>
      <c r="C276" s="73" t="s">
        <v>0</v>
      </c>
      <c r="D276" s="73">
        <v>20</v>
      </c>
      <c r="E276" s="73"/>
      <c r="F276" s="73">
        <v>1</v>
      </c>
      <c r="G276" s="73">
        <v>1</v>
      </c>
      <c r="H276" s="73">
        <v>0.7</v>
      </c>
      <c r="I276" s="73" t="s">
        <v>862</v>
      </c>
      <c r="J276" s="73" t="s">
        <v>862</v>
      </c>
      <c r="K276" s="78" t="b">
        <v>1</v>
      </c>
      <c r="L276" s="73" t="b">
        <v>0</v>
      </c>
      <c r="M276" s="49" t="str">
        <f>IF(A276=Backdoors!B2,1+MAX(M275:M275),"")</f>
        <v/>
      </c>
    </row>
    <row r="277" spans="1:13" x14ac:dyDescent="0.25">
      <c r="A277" s="67" t="s">
        <v>218</v>
      </c>
      <c r="B277" s="78" t="s">
        <v>1294</v>
      </c>
      <c r="C277" s="73" t="s">
        <v>0</v>
      </c>
      <c r="D277" s="73">
        <v>30</v>
      </c>
      <c r="E277" s="73"/>
      <c r="F277" s="73">
        <v>1</v>
      </c>
      <c r="G277" s="73">
        <v>1</v>
      </c>
      <c r="H277" s="73">
        <v>1</v>
      </c>
      <c r="I277" s="73" t="s">
        <v>862</v>
      </c>
      <c r="J277" s="73" t="s">
        <v>862</v>
      </c>
      <c r="K277" s="78" t="b">
        <v>1</v>
      </c>
      <c r="L277" s="73" t="b">
        <v>0</v>
      </c>
      <c r="M277" s="49" t="str">
        <f>IF(A277=Backdoors!B2,1+MAX(M276:M276),"")</f>
        <v/>
      </c>
    </row>
    <row r="278" spans="1:13" x14ac:dyDescent="0.25">
      <c r="A278" s="74" t="s">
        <v>218</v>
      </c>
      <c r="B278" s="78" t="s">
        <v>1295</v>
      </c>
      <c r="C278" s="73" t="s">
        <v>0</v>
      </c>
      <c r="D278" s="73">
        <v>24</v>
      </c>
      <c r="E278" s="73"/>
      <c r="F278" s="73">
        <v>1</v>
      </c>
      <c r="G278" s="73">
        <v>1</v>
      </c>
      <c r="H278" s="73">
        <v>1</v>
      </c>
      <c r="I278" s="73" t="s">
        <v>862</v>
      </c>
      <c r="J278" s="73" t="s">
        <v>862</v>
      </c>
      <c r="K278" s="78" t="b">
        <v>1</v>
      </c>
      <c r="L278" s="73" t="b">
        <v>0</v>
      </c>
      <c r="M278" s="49" t="str">
        <f>IF(A278=Backdoors!B2,1+MAX(M277:M277),"")</f>
        <v/>
      </c>
    </row>
    <row r="279" spans="1:13" x14ac:dyDescent="0.25">
      <c r="A279" s="74" t="s">
        <v>218</v>
      </c>
      <c r="B279" s="78" t="s">
        <v>1280</v>
      </c>
      <c r="C279" s="73" t="s">
        <v>0</v>
      </c>
      <c r="D279" s="73">
        <v>18</v>
      </c>
      <c r="E279" s="73"/>
      <c r="F279" s="73">
        <v>1</v>
      </c>
      <c r="G279" s="73">
        <v>1</v>
      </c>
      <c r="H279" s="73">
        <v>1</v>
      </c>
      <c r="I279" s="73" t="s">
        <v>862</v>
      </c>
      <c r="J279" s="73" t="s">
        <v>862</v>
      </c>
      <c r="K279" s="78" t="b">
        <v>1</v>
      </c>
      <c r="L279" s="73" t="b">
        <v>0</v>
      </c>
      <c r="M279" s="49" t="str">
        <f>IF(A279=Backdoors!B2,1+MAX(M278:M278),"")</f>
        <v/>
      </c>
    </row>
    <row r="280" spans="1:13" x14ac:dyDescent="0.25">
      <c r="A280" s="74" t="s">
        <v>218</v>
      </c>
      <c r="B280" s="78" t="s">
        <v>1161</v>
      </c>
      <c r="C280" s="73" t="s">
        <v>0</v>
      </c>
      <c r="D280" s="73">
        <v>30</v>
      </c>
      <c r="E280" s="73"/>
      <c r="F280" s="73">
        <v>1</v>
      </c>
      <c r="G280" s="73">
        <v>1</v>
      </c>
      <c r="H280" s="73">
        <v>1</v>
      </c>
      <c r="I280" s="73" t="s">
        <v>862</v>
      </c>
      <c r="J280" s="73" t="s">
        <v>862</v>
      </c>
      <c r="K280" s="78" t="b">
        <v>1</v>
      </c>
      <c r="L280" s="73" t="b">
        <v>0</v>
      </c>
      <c r="M280" s="49" t="str">
        <f>IF(A280=Backdoors!B2,1+MAX(M279:M279),"")</f>
        <v/>
      </c>
    </row>
    <row r="281" spans="1:13" x14ac:dyDescent="0.25">
      <c r="A281" s="74" t="s">
        <v>218</v>
      </c>
      <c r="B281" s="78" t="s">
        <v>1296</v>
      </c>
      <c r="C281" s="73" t="s">
        <v>0</v>
      </c>
      <c r="D281" s="73">
        <v>48</v>
      </c>
      <c r="E281" s="73"/>
      <c r="F281" s="73">
        <v>1</v>
      </c>
      <c r="G281" s="73">
        <v>1</v>
      </c>
      <c r="H281" s="73">
        <v>1</v>
      </c>
      <c r="I281" s="73" t="s">
        <v>862</v>
      </c>
      <c r="J281" s="73" t="s">
        <v>862</v>
      </c>
      <c r="K281" s="78" t="b">
        <v>1</v>
      </c>
      <c r="L281" s="73" t="b">
        <v>0</v>
      </c>
      <c r="M281" s="49" t="str">
        <f>IF(A281=Backdoors!B2,1+MAX(M280:M280),"")</f>
        <v/>
      </c>
    </row>
    <row r="282" spans="1:13" x14ac:dyDescent="0.25">
      <c r="A282" s="74" t="s">
        <v>218</v>
      </c>
      <c r="B282" s="78" t="s">
        <v>1297</v>
      </c>
      <c r="C282" s="73" t="s">
        <v>0</v>
      </c>
      <c r="D282" s="73">
        <v>68</v>
      </c>
      <c r="E282" s="73"/>
      <c r="F282" s="73">
        <v>1</v>
      </c>
      <c r="G282" s="73">
        <v>1</v>
      </c>
      <c r="H282" s="73">
        <v>1</v>
      </c>
      <c r="I282" s="73" t="s">
        <v>862</v>
      </c>
      <c r="J282" s="73" t="s">
        <v>862</v>
      </c>
      <c r="K282" s="78" t="b">
        <v>1</v>
      </c>
      <c r="L282" s="73" t="b">
        <v>0</v>
      </c>
      <c r="M282" s="49" t="str">
        <f>IF(A282=Backdoors!B2,1+MAX(M281:M281),"")</f>
        <v/>
      </c>
    </row>
    <row r="283" spans="1:13" x14ac:dyDescent="0.25">
      <c r="A283" s="74" t="s">
        <v>218</v>
      </c>
      <c r="B283" s="78" t="s">
        <v>1298</v>
      </c>
      <c r="C283" s="73" t="s">
        <v>0</v>
      </c>
      <c r="D283" s="73">
        <v>25</v>
      </c>
      <c r="E283" s="73">
        <v>55</v>
      </c>
      <c r="F283" s="73">
        <v>1</v>
      </c>
      <c r="G283" s="73">
        <v>1</v>
      </c>
      <c r="H283" s="73">
        <v>1</v>
      </c>
      <c r="I283" s="73" t="s">
        <v>862</v>
      </c>
      <c r="J283" s="73" t="s">
        <v>862</v>
      </c>
      <c r="K283" s="78" t="b">
        <v>1</v>
      </c>
      <c r="L283" s="73" t="b">
        <v>1</v>
      </c>
      <c r="M283" s="49" t="str">
        <f>IF(A283=Backdoors!B2,1+MAX(M282:M282),"")</f>
        <v/>
      </c>
    </row>
    <row r="284" spans="1:13" x14ac:dyDescent="0.25">
      <c r="A284" s="74" t="s">
        <v>218</v>
      </c>
      <c r="B284" s="78" t="s">
        <v>1299</v>
      </c>
      <c r="C284" s="73" t="s">
        <v>0</v>
      </c>
      <c r="D284" s="73">
        <v>44</v>
      </c>
      <c r="E284" s="73">
        <v>20</v>
      </c>
      <c r="F284" s="73">
        <v>1</v>
      </c>
      <c r="G284" s="73">
        <v>1</v>
      </c>
      <c r="H284" s="73">
        <v>1</v>
      </c>
      <c r="I284" s="73" t="s">
        <v>862</v>
      </c>
      <c r="J284" s="73" t="s">
        <v>862</v>
      </c>
      <c r="K284" s="78" t="b">
        <v>1</v>
      </c>
      <c r="L284" s="73" t="b">
        <v>1</v>
      </c>
      <c r="M284" s="49" t="str">
        <f>IF(A284=Backdoors!B2,1+MAX(M283:M283),"")</f>
        <v/>
      </c>
    </row>
    <row r="285" spans="1:13" x14ac:dyDescent="0.25">
      <c r="A285" s="74" t="s">
        <v>218</v>
      </c>
      <c r="B285" s="78" t="s">
        <v>1300</v>
      </c>
      <c r="C285" s="73" t="s">
        <v>0</v>
      </c>
      <c r="D285" s="73">
        <v>32</v>
      </c>
      <c r="E285" s="73">
        <v>15</v>
      </c>
      <c r="F285" s="73">
        <v>1</v>
      </c>
      <c r="G285" s="73">
        <v>1</v>
      </c>
      <c r="H285" s="73">
        <v>1</v>
      </c>
      <c r="I285" s="73" t="s">
        <v>862</v>
      </c>
      <c r="J285" s="73" t="s">
        <v>862</v>
      </c>
      <c r="K285" s="78" t="b">
        <v>1</v>
      </c>
      <c r="L285" s="73" t="b">
        <v>1</v>
      </c>
      <c r="M285" s="49" t="str">
        <f>IF(A285=Backdoors!B2,1+MAX(M284:M284),"")</f>
        <v/>
      </c>
    </row>
    <row r="286" spans="1:13" x14ac:dyDescent="0.25">
      <c r="A286" s="74" t="s">
        <v>218</v>
      </c>
      <c r="B286" s="78" t="s">
        <v>1217</v>
      </c>
      <c r="C286" s="73" t="s">
        <v>0</v>
      </c>
      <c r="D286" s="73">
        <v>35</v>
      </c>
      <c r="E286" s="73"/>
      <c r="F286" s="73">
        <v>1</v>
      </c>
      <c r="G286" s="73">
        <v>1</v>
      </c>
      <c r="H286" s="73">
        <v>1</v>
      </c>
      <c r="I286" s="73" t="s">
        <v>862</v>
      </c>
      <c r="J286" s="73" t="s">
        <v>862</v>
      </c>
      <c r="K286" s="78" t="b">
        <v>1</v>
      </c>
      <c r="L286" s="73" t="b">
        <v>0</v>
      </c>
      <c r="M286" s="49" t="str">
        <f>IF(A286=Backdoors!B2,1+MAX(M285:M285),"")</f>
        <v/>
      </c>
    </row>
    <row r="287" spans="1:13" x14ac:dyDescent="0.25">
      <c r="A287" s="67" t="s">
        <v>218</v>
      </c>
      <c r="B287" s="78" t="s">
        <v>1301</v>
      </c>
      <c r="C287" s="73" t="s">
        <v>0</v>
      </c>
      <c r="D287" s="73">
        <v>68</v>
      </c>
      <c r="E287" s="73"/>
      <c r="F287" s="73">
        <v>1</v>
      </c>
      <c r="G287" s="73">
        <v>1</v>
      </c>
      <c r="H287" s="73">
        <v>1</v>
      </c>
      <c r="I287" s="73" t="s">
        <v>862</v>
      </c>
      <c r="J287" s="73" t="s">
        <v>862</v>
      </c>
      <c r="K287" s="78" t="b">
        <v>1</v>
      </c>
      <c r="L287" s="73" t="b">
        <v>0</v>
      </c>
      <c r="M287" s="49" t="str">
        <f>IF(A287=Backdoors!B2,1+MAX(M286:M286),"")</f>
        <v/>
      </c>
    </row>
    <row r="288" spans="1:13" x14ac:dyDescent="0.25">
      <c r="A288" s="74" t="s">
        <v>218</v>
      </c>
      <c r="B288" s="78" t="s">
        <v>1177</v>
      </c>
      <c r="C288" s="73" t="s">
        <v>0</v>
      </c>
      <c r="D288" s="73">
        <v>45</v>
      </c>
      <c r="E288" s="73"/>
      <c r="F288" s="73">
        <v>0</v>
      </c>
      <c r="G288" s="73">
        <v>1</v>
      </c>
      <c r="H288" s="73">
        <v>1</v>
      </c>
      <c r="I288" s="73" t="s">
        <v>862</v>
      </c>
      <c r="J288" s="73" t="s">
        <v>862</v>
      </c>
      <c r="K288" s="78" t="b">
        <v>1</v>
      </c>
      <c r="L288" s="73" t="b">
        <v>0</v>
      </c>
      <c r="M288" s="49" t="str">
        <f>IF(A288=Backdoors!B2,1+MAX(M287:M287),"")</f>
        <v/>
      </c>
    </row>
    <row r="289" spans="1:13" x14ac:dyDescent="0.25">
      <c r="A289" s="74" t="s">
        <v>218</v>
      </c>
      <c r="B289" s="78" t="s">
        <v>1302</v>
      </c>
      <c r="C289" s="73" t="s">
        <v>0</v>
      </c>
      <c r="D289" s="73">
        <v>25</v>
      </c>
      <c r="E289" s="73"/>
      <c r="F289" s="73">
        <v>0</v>
      </c>
      <c r="G289" s="73">
        <v>1</v>
      </c>
      <c r="H289" s="73">
        <v>1</v>
      </c>
      <c r="I289" s="73" t="s">
        <v>862</v>
      </c>
      <c r="J289" s="73" t="s">
        <v>862</v>
      </c>
      <c r="K289" s="78" t="b">
        <v>1</v>
      </c>
      <c r="L289" s="73" t="b">
        <v>0</v>
      </c>
      <c r="M289" s="49" t="str">
        <f>IF(A289=Backdoors!B2,1+MAX(M288:M288),"")</f>
        <v/>
      </c>
    </row>
    <row r="290" spans="1:13" x14ac:dyDescent="0.25">
      <c r="A290" s="67" t="s">
        <v>219</v>
      </c>
      <c r="B290" s="77" t="s">
        <v>1347</v>
      </c>
      <c r="C290" s="73" t="s">
        <v>120</v>
      </c>
      <c r="D290" s="73">
        <v>20</v>
      </c>
      <c r="E290" s="73"/>
      <c r="F290" s="73">
        <v>1</v>
      </c>
      <c r="G290" s="73">
        <v>1</v>
      </c>
      <c r="H290" s="73">
        <v>1</v>
      </c>
      <c r="I290" s="73" t="s">
        <v>862</v>
      </c>
      <c r="J290" s="73" t="s">
        <v>862</v>
      </c>
      <c r="K290" s="78" t="b">
        <v>1</v>
      </c>
      <c r="L290" s="73" t="b">
        <v>0</v>
      </c>
      <c r="M290" s="49" t="str">
        <f>IF(A290=Backdoors!B2,1+MAX(M289:M289),"")</f>
        <v/>
      </c>
    </row>
    <row r="291" spans="1:13" x14ac:dyDescent="0.25">
      <c r="A291" s="76" t="s">
        <v>219</v>
      </c>
      <c r="B291" s="77" t="s">
        <v>1348</v>
      </c>
      <c r="C291" s="73" t="s">
        <v>120</v>
      </c>
      <c r="D291" s="73">
        <v>16</v>
      </c>
      <c r="E291" s="73"/>
      <c r="F291" s="73">
        <v>1</v>
      </c>
      <c r="G291" s="73">
        <v>1</v>
      </c>
      <c r="H291" s="73">
        <v>1</v>
      </c>
      <c r="I291" s="73" t="s">
        <v>862</v>
      </c>
      <c r="J291" s="73" t="s">
        <v>862</v>
      </c>
      <c r="K291" s="78" t="b">
        <v>1</v>
      </c>
      <c r="L291" s="73" t="b">
        <v>0</v>
      </c>
      <c r="M291" s="49" t="str">
        <f>IF(A291=Backdoors!B2,1+MAX(M290:M290),"")</f>
        <v/>
      </c>
    </row>
    <row r="292" spans="1:13" x14ac:dyDescent="0.25">
      <c r="A292" s="76" t="s">
        <v>219</v>
      </c>
      <c r="B292" s="77" t="s">
        <v>1349</v>
      </c>
      <c r="C292" s="73" t="s">
        <v>120</v>
      </c>
      <c r="D292" s="73">
        <v>37</v>
      </c>
      <c r="E292" s="73"/>
      <c r="F292" s="73">
        <v>1</v>
      </c>
      <c r="G292" s="73">
        <v>1</v>
      </c>
      <c r="H292" s="73">
        <v>1</v>
      </c>
      <c r="I292" s="73" t="s">
        <v>862</v>
      </c>
      <c r="J292" s="73" t="s">
        <v>862</v>
      </c>
      <c r="K292" s="78" t="b">
        <v>1</v>
      </c>
      <c r="L292" s="73" t="b">
        <v>0</v>
      </c>
      <c r="M292" s="49" t="str">
        <f>IF(A292=Backdoors!B2,1+MAX(M291:M291),"")</f>
        <v/>
      </c>
    </row>
    <row r="293" spans="1:13" x14ac:dyDescent="0.25">
      <c r="A293" s="76" t="s">
        <v>219</v>
      </c>
      <c r="B293" s="77" t="s">
        <v>1350</v>
      </c>
      <c r="C293" s="73" t="s">
        <v>120</v>
      </c>
      <c r="D293" s="73">
        <v>23</v>
      </c>
      <c r="E293" s="73"/>
      <c r="F293" s="73">
        <v>1</v>
      </c>
      <c r="G293" s="73">
        <v>1</v>
      </c>
      <c r="H293" s="73">
        <v>1</v>
      </c>
      <c r="I293" s="73" t="s">
        <v>862</v>
      </c>
      <c r="J293" s="73" t="s">
        <v>862</v>
      </c>
      <c r="K293" s="78" t="b">
        <v>1</v>
      </c>
      <c r="L293" s="73" t="b">
        <v>0</v>
      </c>
      <c r="M293" s="49" t="str">
        <f>IF(A293=Backdoors!B2,1+MAX(M292:M292),"")</f>
        <v/>
      </c>
    </row>
    <row r="294" spans="1:13" x14ac:dyDescent="0.25">
      <c r="A294" s="76" t="s">
        <v>219</v>
      </c>
      <c r="B294" s="77" t="s">
        <v>1351</v>
      </c>
      <c r="C294" s="73" t="s">
        <v>120</v>
      </c>
      <c r="D294" s="73">
        <v>86</v>
      </c>
      <c r="E294" s="73"/>
      <c r="F294" s="73">
        <v>1</v>
      </c>
      <c r="G294" s="73">
        <v>1</v>
      </c>
      <c r="H294" s="73">
        <v>1</v>
      </c>
      <c r="I294" s="73" t="s">
        <v>862</v>
      </c>
      <c r="J294" s="73" t="s">
        <v>862</v>
      </c>
      <c r="K294" s="78" t="b">
        <v>1</v>
      </c>
      <c r="L294" s="73" t="b">
        <v>0</v>
      </c>
      <c r="M294" s="49" t="str">
        <f>IF(A294=Backdoors!B2,1+MAX(M293:M293),"")</f>
        <v/>
      </c>
    </row>
    <row r="295" spans="1:13" x14ac:dyDescent="0.25">
      <c r="A295" s="76" t="s">
        <v>219</v>
      </c>
      <c r="B295" s="77" t="s">
        <v>1352</v>
      </c>
      <c r="C295" s="73" t="s">
        <v>120</v>
      </c>
      <c r="D295" s="73">
        <v>18</v>
      </c>
      <c r="E295" s="73"/>
      <c r="F295" s="73">
        <v>1</v>
      </c>
      <c r="G295" s="73">
        <v>1</v>
      </c>
      <c r="H295" s="73">
        <v>1</v>
      </c>
      <c r="I295" s="73" t="s">
        <v>862</v>
      </c>
      <c r="J295" s="73" t="s">
        <v>862</v>
      </c>
      <c r="K295" s="78" t="b">
        <v>1</v>
      </c>
      <c r="L295" s="73" t="b">
        <v>0</v>
      </c>
      <c r="M295" s="49" t="str">
        <f>IF(A295=Backdoors!B2,1+MAX(M294:M294),"")</f>
        <v/>
      </c>
    </row>
    <row r="296" spans="1:13" x14ac:dyDescent="0.25">
      <c r="A296" s="76" t="s">
        <v>219</v>
      </c>
      <c r="B296" s="77" t="s">
        <v>1353</v>
      </c>
      <c r="C296" s="73" t="s">
        <v>120</v>
      </c>
      <c r="D296" s="73">
        <v>25</v>
      </c>
      <c r="E296" s="73"/>
      <c r="F296" s="73">
        <v>1</v>
      </c>
      <c r="G296" s="73">
        <v>1</v>
      </c>
      <c r="H296" s="73">
        <v>1</v>
      </c>
      <c r="I296" s="73" t="s">
        <v>862</v>
      </c>
      <c r="J296" s="73" t="s">
        <v>862</v>
      </c>
      <c r="K296" s="78" t="b">
        <v>1</v>
      </c>
      <c r="L296" s="73" t="b">
        <v>0</v>
      </c>
      <c r="M296" s="49" t="str">
        <f>IF(A296=Backdoors!B2,1+MAX(M295:M295),"")</f>
        <v/>
      </c>
    </row>
    <row r="297" spans="1:13" x14ac:dyDescent="0.25">
      <c r="A297" s="76" t="s">
        <v>219</v>
      </c>
      <c r="B297" s="77" t="s">
        <v>1354</v>
      </c>
      <c r="C297" s="73" t="s">
        <v>120</v>
      </c>
      <c r="D297" s="73">
        <v>38</v>
      </c>
      <c r="E297" s="73"/>
      <c r="F297" s="73">
        <v>1</v>
      </c>
      <c r="G297" s="73">
        <v>1</v>
      </c>
      <c r="H297" s="73">
        <v>1</v>
      </c>
      <c r="I297" s="73" t="s">
        <v>862</v>
      </c>
      <c r="J297" s="73" t="s">
        <v>862</v>
      </c>
      <c r="K297" s="78" t="b">
        <v>1</v>
      </c>
      <c r="L297" s="73" t="b">
        <v>0</v>
      </c>
      <c r="M297" s="49" t="str">
        <f>IF(A297=Backdoors!B2,1+MAX(M296:M296),"")</f>
        <v/>
      </c>
    </row>
    <row r="298" spans="1:13" x14ac:dyDescent="0.25">
      <c r="A298" s="76" t="s">
        <v>219</v>
      </c>
      <c r="B298" s="77" t="s">
        <v>1355</v>
      </c>
      <c r="C298" s="73" t="s">
        <v>120</v>
      </c>
      <c r="D298" s="73">
        <v>15</v>
      </c>
      <c r="E298" s="73"/>
      <c r="F298" s="73">
        <v>1</v>
      </c>
      <c r="G298" s="73">
        <v>1</v>
      </c>
      <c r="H298" s="73">
        <v>1</v>
      </c>
      <c r="I298" s="73" t="s">
        <v>862</v>
      </c>
      <c r="J298" s="73" t="s">
        <v>862</v>
      </c>
      <c r="K298" s="78" t="b">
        <v>1</v>
      </c>
      <c r="L298" s="73" t="b">
        <v>0</v>
      </c>
      <c r="M298" s="49" t="str">
        <f>IF(A298=Backdoors!B2,1+MAX(M297:M297),"")</f>
        <v/>
      </c>
    </row>
    <row r="299" spans="1:13" x14ac:dyDescent="0.25">
      <c r="A299" s="76" t="s">
        <v>219</v>
      </c>
      <c r="B299" s="77" t="s">
        <v>1356</v>
      </c>
      <c r="C299" s="73" t="s">
        <v>120</v>
      </c>
      <c r="D299" s="73">
        <v>15</v>
      </c>
      <c r="E299" s="73"/>
      <c r="F299" s="73">
        <v>1</v>
      </c>
      <c r="G299" s="73">
        <v>1</v>
      </c>
      <c r="H299" s="73">
        <v>1</v>
      </c>
      <c r="I299" s="73" t="s">
        <v>862</v>
      </c>
      <c r="J299" s="73" t="s">
        <v>862</v>
      </c>
      <c r="K299" s="78" t="b">
        <v>1</v>
      </c>
      <c r="L299" s="73" t="b">
        <v>0</v>
      </c>
      <c r="M299" s="49" t="str">
        <f>IF(A299=Backdoors!B2,1+MAX(M298:M298),"")</f>
        <v/>
      </c>
    </row>
    <row r="300" spans="1:13" x14ac:dyDescent="0.25">
      <c r="A300" s="67" t="s">
        <v>219</v>
      </c>
      <c r="B300" s="77" t="s">
        <v>1357</v>
      </c>
      <c r="C300" s="73" t="s">
        <v>120</v>
      </c>
      <c r="D300" s="73">
        <v>76</v>
      </c>
      <c r="E300" s="73"/>
      <c r="F300" s="73">
        <v>1</v>
      </c>
      <c r="G300" s="73">
        <v>1</v>
      </c>
      <c r="H300" s="73">
        <v>1</v>
      </c>
      <c r="I300" s="73" t="s">
        <v>862</v>
      </c>
      <c r="J300" s="73" t="s">
        <v>862</v>
      </c>
      <c r="K300" s="78" t="b">
        <v>1</v>
      </c>
      <c r="L300" s="73" t="b">
        <v>0</v>
      </c>
      <c r="M300" s="49" t="str">
        <f>IF(A300=Backdoors!B2,1+MAX(M299:M299),"")</f>
        <v/>
      </c>
    </row>
    <row r="301" spans="1:13" x14ac:dyDescent="0.25">
      <c r="A301" s="76" t="s">
        <v>219</v>
      </c>
      <c r="B301" s="77" t="s">
        <v>1358</v>
      </c>
      <c r="C301" s="73" t="s">
        <v>120</v>
      </c>
      <c r="D301" s="73">
        <v>45</v>
      </c>
      <c r="E301" s="73"/>
      <c r="F301" s="73">
        <v>1</v>
      </c>
      <c r="G301" s="73">
        <v>1</v>
      </c>
      <c r="H301" s="73">
        <v>1</v>
      </c>
      <c r="I301" s="73" t="s">
        <v>862</v>
      </c>
      <c r="J301" s="73" t="s">
        <v>862</v>
      </c>
      <c r="K301" s="78" t="b">
        <v>1</v>
      </c>
      <c r="L301" s="73" t="b">
        <v>0</v>
      </c>
      <c r="M301" s="49" t="str">
        <f>IF(A301=Backdoors!B2,1+MAX(M300:M300),"")</f>
        <v/>
      </c>
    </row>
    <row r="302" spans="1:13" x14ac:dyDescent="0.25">
      <c r="A302" s="76" t="s">
        <v>219</v>
      </c>
      <c r="B302" s="77" t="s">
        <v>1359</v>
      </c>
      <c r="C302" s="73" t="s">
        <v>120</v>
      </c>
      <c r="D302" s="73">
        <v>15</v>
      </c>
      <c r="E302" s="73"/>
      <c r="F302" s="73">
        <v>1</v>
      </c>
      <c r="G302" s="73">
        <v>1</v>
      </c>
      <c r="H302" s="73">
        <v>1</v>
      </c>
      <c r="I302" s="73" t="s">
        <v>862</v>
      </c>
      <c r="J302" s="73" t="s">
        <v>862</v>
      </c>
      <c r="K302" s="78" t="b">
        <v>1</v>
      </c>
      <c r="L302" s="73" t="b">
        <v>0</v>
      </c>
      <c r="M302" s="49" t="str">
        <f>IF(A302=Backdoors!B2,1+MAX(M301:M301),"")</f>
        <v/>
      </c>
    </row>
    <row r="303" spans="1:13" x14ac:dyDescent="0.25">
      <c r="A303" s="76" t="s">
        <v>219</v>
      </c>
      <c r="B303" s="77" t="s">
        <v>1360</v>
      </c>
      <c r="C303" s="73" t="s">
        <v>120</v>
      </c>
      <c r="D303" s="73">
        <v>85</v>
      </c>
      <c r="E303" s="73"/>
      <c r="F303" s="73">
        <v>1</v>
      </c>
      <c r="G303" s="73">
        <v>1</v>
      </c>
      <c r="H303" s="73">
        <v>1</v>
      </c>
      <c r="I303" s="73" t="s">
        <v>862</v>
      </c>
      <c r="J303" s="73" t="s">
        <v>862</v>
      </c>
      <c r="K303" s="78" t="b">
        <v>1</v>
      </c>
      <c r="L303" s="73" t="b">
        <v>0</v>
      </c>
      <c r="M303" s="49" t="str">
        <f>IF(A303=Backdoors!B2,1+MAX(M302:M302),"")</f>
        <v/>
      </c>
    </row>
    <row r="304" spans="1:13" x14ac:dyDescent="0.25">
      <c r="A304" s="76" t="s">
        <v>219</v>
      </c>
      <c r="B304" s="77" t="s">
        <v>1361</v>
      </c>
      <c r="C304" s="73" t="s">
        <v>120</v>
      </c>
      <c r="D304" s="73">
        <v>26</v>
      </c>
      <c r="E304" s="73"/>
      <c r="F304" s="73">
        <v>1</v>
      </c>
      <c r="G304" s="73">
        <v>1</v>
      </c>
      <c r="H304" s="73">
        <v>1</v>
      </c>
      <c r="I304" s="73" t="s">
        <v>862</v>
      </c>
      <c r="J304" s="73" t="s">
        <v>862</v>
      </c>
      <c r="K304" s="78" t="b">
        <v>1</v>
      </c>
      <c r="L304" s="73" t="b">
        <v>0</v>
      </c>
      <c r="M304" s="49" t="str">
        <f>IF(A304=Backdoors!B2,1+MAX(M303:M303),"")</f>
        <v/>
      </c>
    </row>
    <row r="305" spans="1:13" x14ac:dyDescent="0.25">
      <c r="A305" s="76" t="s">
        <v>219</v>
      </c>
      <c r="B305" s="77" t="s">
        <v>1362</v>
      </c>
      <c r="C305" s="73" t="s">
        <v>120</v>
      </c>
      <c r="D305" s="73">
        <v>18</v>
      </c>
      <c r="E305" s="73"/>
      <c r="F305" s="73">
        <v>1</v>
      </c>
      <c r="G305" s="73">
        <v>1</v>
      </c>
      <c r="H305" s="73">
        <v>1</v>
      </c>
      <c r="I305" s="73" t="s">
        <v>862</v>
      </c>
      <c r="J305" s="73" t="s">
        <v>862</v>
      </c>
      <c r="K305" s="78" t="b">
        <v>1</v>
      </c>
      <c r="L305" s="73" t="b">
        <v>0</v>
      </c>
      <c r="M305" s="49" t="str">
        <f>IF(A305=Backdoors!B2,1+MAX(M304:M304),"")</f>
        <v/>
      </c>
    </row>
    <row r="306" spans="1:13" x14ac:dyDescent="0.25">
      <c r="A306" s="76" t="s">
        <v>219</v>
      </c>
      <c r="B306" s="78" t="s">
        <v>1363</v>
      </c>
      <c r="C306" s="73" t="s">
        <v>120</v>
      </c>
      <c r="D306" s="73">
        <v>55</v>
      </c>
      <c r="E306" s="73"/>
      <c r="F306" s="73">
        <v>1</v>
      </c>
      <c r="G306" s="73">
        <v>1</v>
      </c>
      <c r="H306" s="73">
        <v>1</v>
      </c>
      <c r="I306" s="73" t="s">
        <v>862</v>
      </c>
      <c r="J306" s="73" t="s">
        <v>862</v>
      </c>
      <c r="K306" s="78" t="b">
        <v>1</v>
      </c>
      <c r="L306" s="73" t="b">
        <v>0</v>
      </c>
      <c r="M306" s="49" t="str">
        <f>IF(A306=Backdoors!B2,1+MAX(M305:M305),"")</f>
        <v/>
      </c>
    </row>
    <row r="307" spans="1:13" x14ac:dyDescent="0.25">
      <c r="A307" s="76" t="s">
        <v>219</v>
      </c>
      <c r="B307" s="77" t="s">
        <v>1364</v>
      </c>
      <c r="C307" s="73" t="s">
        <v>120</v>
      </c>
      <c r="D307" s="73">
        <v>32</v>
      </c>
      <c r="E307" s="73"/>
      <c r="F307" s="73">
        <v>1</v>
      </c>
      <c r="G307" s="73">
        <v>1</v>
      </c>
      <c r="H307" s="73">
        <v>1</v>
      </c>
      <c r="I307" s="73" t="s">
        <v>862</v>
      </c>
      <c r="J307" s="73" t="s">
        <v>862</v>
      </c>
      <c r="K307" s="78" t="b">
        <v>1</v>
      </c>
      <c r="L307" s="73" t="b">
        <v>0</v>
      </c>
      <c r="M307" s="49" t="str">
        <f>IF(A307=Backdoors!B2,1+MAX(M306:M306),"")</f>
        <v/>
      </c>
    </row>
    <row r="308" spans="1:13" x14ac:dyDescent="0.25">
      <c r="A308" s="76" t="s">
        <v>219</v>
      </c>
      <c r="B308" s="77" t="s">
        <v>1365</v>
      </c>
      <c r="C308" s="73" t="s">
        <v>120</v>
      </c>
      <c r="D308" s="73">
        <v>28</v>
      </c>
      <c r="E308" s="73"/>
      <c r="F308" s="73">
        <v>1</v>
      </c>
      <c r="G308" s="73">
        <v>1</v>
      </c>
      <c r="H308" s="73">
        <v>1</v>
      </c>
      <c r="I308" s="73" t="s">
        <v>862</v>
      </c>
      <c r="J308" s="73" t="s">
        <v>862</v>
      </c>
      <c r="K308" s="78" t="b">
        <v>1</v>
      </c>
      <c r="L308" s="73" t="b">
        <v>0</v>
      </c>
      <c r="M308" s="49" t="str">
        <f>IF(A308=Backdoors!B2,1+MAX(M307:M307),"")</f>
        <v/>
      </c>
    </row>
    <row r="309" spans="1:13" x14ac:dyDescent="0.25">
      <c r="A309" s="76" t="s">
        <v>219</v>
      </c>
      <c r="B309" s="77" t="s">
        <v>1366</v>
      </c>
      <c r="C309" s="73" t="s">
        <v>120</v>
      </c>
      <c r="D309" s="73">
        <v>32</v>
      </c>
      <c r="E309" s="73"/>
      <c r="F309" s="73">
        <v>1</v>
      </c>
      <c r="G309" s="73">
        <v>1</v>
      </c>
      <c r="H309" s="73">
        <v>1</v>
      </c>
      <c r="I309" s="73" t="s">
        <v>862</v>
      </c>
      <c r="J309" s="73" t="s">
        <v>862</v>
      </c>
      <c r="K309" s="78" t="b">
        <v>1</v>
      </c>
      <c r="L309" s="73" t="b">
        <v>0</v>
      </c>
      <c r="M309" s="49" t="str">
        <f>IF(A309=Backdoors!B2,1+MAX(M308:M308),"")</f>
        <v/>
      </c>
    </row>
    <row r="310" spans="1:13" x14ac:dyDescent="0.25">
      <c r="A310" s="67" t="s">
        <v>219</v>
      </c>
      <c r="B310" s="77" t="s">
        <v>1367</v>
      </c>
      <c r="C310" s="73" t="s">
        <v>120</v>
      </c>
      <c r="D310" s="73">
        <v>45</v>
      </c>
      <c r="E310" s="73"/>
      <c r="F310" s="73">
        <v>1</v>
      </c>
      <c r="G310" s="73">
        <v>1</v>
      </c>
      <c r="H310" s="73">
        <v>1</v>
      </c>
      <c r="I310" s="73" t="s">
        <v>862</v>
      </c>
      <c r="J310" s="73" t="s">
        <v>862</v>
      </c>
      <c r="K310" s="78" t="b">
        <v>1</v>
      </c>
      <c r="L310" s="73" t="b">
        <v>0</v>
      </c>
      <c r="M310" s="49" t="str">
        <f>IF(A310=Backdoors!B2,1+MAX(M309:M309),"")</f>
        <v/>
      </c>
    </row>
    <row r="311" spans="1:13" x14ac:dyDescent="0.25">
      <c r="A311" s="76" t="s">
        <v>219</v>
      </c>
      <c r="B311" s="77" t="s">
        <v>1368</v>
      </c>
      <c r="C311" s="73" t="s">
        <v>120</v>
      </c>
      <c r="D311" s="73">
        <v>65</v>
      </c>
      <c r="E311" s="73"/>
      <c r="F311" s="73">
        <v>1</v>
      </c>
      <c r="G311" s="73">
        <v>1</v>
      </c>
      <c r="H311" s="73">
        <v>1</v>
      </c>
      <c r="I311" s="73" t="s">
        <v>862</v>
      </c>
      <c r="J311" s="73" t="s">
        <v>862</v>
      </c>
      <c r="K311" s="78" t="b">
        <v>1</v>
      </c>
      <c r="L311" s="73" t="b">
        <v>0</v>
      </c>
      <c r="M311" s="49" t="str">
        <f>IF(A311=Backdoors!B2,1+MAX(M310:M310),"")</f>
        <v/>
      </c>
    </row>
    <row r="312" spans="1:13" x14ac:dyDescent="0.25">
      <c r="A312" s="76" t="s">
        <v>219</v>
      </c>
      <c r="B312" s="77" t="s">
        <v>1369</v>
      </c>
      <c r="C312" s="73" t="s">
        <v>120</v>
      </c>
      <c r="D312" s="73">
        <v>100</v>
      </c>
      <c r="E312" s="73"/>
      <c r="F312" s="73">
        <v>1</v>
      </c>
      <c r="G312" s="73">
        <v>1</v>
      </c>
      <c r="H312" s="73">
        <v>1</v>
      </c>
      <c r="I312" s="73" t="s">
        <v>862</v>
      </c>
      <c r="J312" s="73" t="s">
        <v>862</v>
      </c>
      <c r="K312" s="78" t="b">
        <v>1</v>
      </c>
      <c r="L312" s="73" t="b">
        <v>0</v>
      </c>
      <c r="M312" s="49" t="str">
        <f>IF(A312=Backdoors!B2,1+MAX(M311:M311),"")</f>
        <v/>
      </c>
    </row>
    <row r="313" spans="1:13" x14ac:dyDescent="0.25">
      <c r="A313" s="76" t="s">
        <v>219</v>
      </c>
      <c r="B313" s="77" t="s">
        <v>1370</v>
      </c>
      <c r="C313" s="73" t="s">
        <v>120</v>
      </c>
      <c r="D313" s="73">
        <v>37</v>
      </c>
      <c r="E313" s="73">
        <v>55</v>
      </c>
      <c r="F313" s="73">
        <v>1</v>
      </c>
      <c r="G313" s="73">
        <v>1</v>
      </c>
      <c r="H313" s="73">
        <v>1</v>
      </c>
      <c r="I313" s="73" t="s">
        <v>862</v>
      </c>
      <c r="J313" s="73" t="s">
        <v>862</v>
      </c>
      <c r="K313" s="78" t="b">
        <v>1</v>
      </c>
      <c r="L313" s="73" t="b">
        <v>1</v>
      </c>
      <c r="M313" s="49" t="str">
        <f>IF(A313=Backdoors!B2,1+MAX(M312:M312),"")</f>
        <v/>
      </c>
    </row>
    <row r="314" spans="1:13" x14ac:dyDescent="0.25">
      <c r="A314" s="76" t="s">
        <v>219</v>
      </c>
      <c r="B314" s="77" t="s">
        <v>1371</v>
      </c>
      <c r="C314" s="73" t="s">
        <v>120</v>
      </c>
      <c r="D314" s="73">
        <v>65</v>
      </c>
      <c r="E314" s="73">
        <v>35</v>
      </c>
      <c r="F314" s="73">
        <v>1</v>
      </c>
      <c r="G314" s="73">
        <v>1</v>
      </c>
      <c r="H314" s="73">
        <v>1</v>
      </c>
      <c r="I314" s="73" t="s">
        <v>862</v>
      </c>
      <c r="J314" s="73" t="s">
        <v>862</v>
      </c>
      <c r="K314" s="78" t="b">
        <v>1</v>
      </c>
      <c r="L314" s="73" t="b">
        <v>1</v>
      </c>
      <c r="M314" s="49" t="str">
        <f>IF(A314=Backdoors!B2,1+MAX(M313:M313),"")</f>
        <v/>
      </c>
    </row>
    <row r="315" spans="1:13" x14ac:dyDescent="0.25">
      <c r="A315" s="76" t="s">
        <v>219</v>
      </c>
      <c r="B315" s="77" t="s">
        <v>1372</v>
      </c>
      <c r="C315" s="73" t="s">
        <v>120</v>
      </c>
      <c r="D315" s="73">
        <v>70</v>
      </c>
      <c r="E315" s="73">
        <v>45</v>
      </c>
      <c r="F315" s="73">
        <v>1</v>
      </c>
      <c r="G315" s="73">
        <v>1</v>
      </c>
      <c r="H315" s="73">
        <v>1</v>
      </c>
      <c r="I315" s="73" t="s">
        <v>862</v>
      </c>
      <c r="J315" s="73" t="s">
        <v>862</v>
      </c>
      <c r="K315" s="78" t="b">
        <v>1</v>
      </c>
      <c r="L315" s="73" t="b">
        <v>1</v>
      </c>
      <c r="M315" s="49" t="str">
        <f>IF(A315=Backdoors!B2,1+MAX(M314:M314),"")</f>
        <v/>
      </c>
    </row>
    <row r="316" spans="1:13" x14ac:dyDescent="0.25">
      <c r="A316" s="76" t="s">
        <v>219</v>
      </c>
      <c r="B316" s="77" t="s">
        <v>1373</v>
      </c>
      <c r="C316" s="73" t="s">
        <v>120</v>
      </c>
      <c r="D316" s="73">
        <v>80</v>
      </c>
      <c r="E316" s="73">
        <v>55</v>
      </c>
      <c r="F316" s="73">
        <v>1</v>
      </c>
      <c r="G316" s="73">
        <v>1</v>
      </c>
      <c r="H316" s="73">
        <v>1</v>
      </c>
      <c r="I316" s="73" t="s">
        <v>862</v>
      </c>
      <c r="J316" s="73" t="s">
        <v>862</v>
      </c>
      <c r="K316" s="78" t="b">
        <v>1</v>
      </c>
      <c r="L316" s="73" t="b">
        <v>1</v>
      </c>
      <c r="M316" s="49" t="str">
        <f>IF(A316=Backdoors!B2,1+MAX(M315:M315),"")</f>
        <v/>
      </c>
    </row>
    <row r="317" spans="1:13" x14ac:dyDescent="0.25">
      <c r="A317" s="76" t="s">
        <v>219</v>
      </c>
      <c r="B317" s="77" t="s">
        <v>1374</v>
      </c>
      <c r="C317" s="73" t="s">
        <v>120</v>
      </c>
      <c r="D317" s="73">
        <v>25</v>
      </c>
      <c r="E317" s="73">
        <v>10</v>
      </c>
      <c r="F317" s="73">
        <v>1</v>
      </c>
      <c r="G317" s="73">
        <v>1</v>
      </c>
      <c r="H317" s="73">
        <v>1</v>
      </c>
      <c r="I317" s="73" t="s">
        <v>862</v>
      </c>
      <c r="J317" s="73" t="s">
        <v>862</v>
      </c>
      <c r="K317" s="78" t="b">
        <v>1</v>
      </c>
      <c r="L317" s="73" t="b">
        <v>1</v>
      </c>
      <c r="M317" s="49" t="str">
        <f>IF(A317=Backdoors!B2,1+MAX(M316:M316),"")</f>
        <v/>
      </c>
    </row>
    <row r="318" spans="1:13" x14ac:dyDescent="0.25">
      <c r="A318" s="76" t="s">
        <v>219</v>
      </c>
      <c r="B318" s="77" t="s">
        <v>1375</v>
      </c>
      <c r="C318" s="73" t="s">
        <v>120</v>
      </c>
      <c r="D318" s="73">
        <v>100</v>
      </c>
      <c r="E318" s="73"/>
      <c r="F318" s="73">
        <v>1</v>
      </c>
      <c r="G318" s="73">
        <v>1</v>
      </c>
      <c r="H318" s="73">
        <v>1</v>
      </c>
      <c r="I318" s="73" t="s">
        <v>862</v>
      </c>
      <c r="J318" s="73" t="s">
        <v>862</v>
      </c>
      <c r="K318" s="78" t="b">
        <v>1</v>
      </c>
      <c r="L318" s="73" t="b">
        <v>0</v>
      </c>
      <c r="M318" s="49" t="str">
        <f>IF(A318=Backdoors!B2,1+MAX(M317:M317),"")</f>
        <v/>
      </c>
    </row>
    <row r="319" spans="1:13" x14ac:dyDescent="0.25">
      <c r="A319" s="67" t="s">
        <v>219</v>
      </c>
      <c r="B319" s="77" t="s">
        <v>1376</v>
      </c>
      <c r="C319" s="73" t="s">
        <v>120</v>
      </c>
      <c r="D319" s="73">
        <v>8</v>
      </c>
      <c r="E319" s="73"/>
      <c r="F319" s="73">
        <v>1</v>
      </c>
      <c r="G319" s="73">
        <v>0.8</v>
      </c>
      <c r="H319" s="73">
        <v>0.8</v>
      </c>
      <c r="I319" s="73" t="s">
        <v>862</v>
      </c>
      <c r="J319" s="73" t="s">
        <v>862</v>
      </c>
      <c r="K319" s="78" t="b">
        <v>1</v>
      </c>
      <c r="L319" s="73" t="b">
        <v>0</v>
      </c>
      <c r="M319" s="49" t="str">
        <f>IF(A319=Backdoors!B2,1+MAX(M318:M318),"")</f>
        <v/>
      </c>
    </row>
    <row r="320" spans="1:13" x14ac:dyDescent="0.25">
      <c r="A320" s="76" t="s">
        <v>219</v>
      </c>
      <c r="B320" s="77" t="s">
        <v>1377</v>
      </c>
      <c r="C320" s="73" t="s">
        <v>120</v>
      </c>
      <c r="D320" s="73">
        <v>40</v>
      </c>
      <c r="E320" s="73"/>
      <c r="F320" s="73">
        <v>1</v>
      </c>
      <c r="G320" s="73">
        <v>1</v>
      </c>
      <c r="H320" s="73">
        <v>1</v>
      </c>
      <c r="I320" s="73" t="s">
        <v>862</v>
      </c>
      <c r="J320" s="73" t="s">
        <v>862</v>
      </c>
      <c r="K320" s="78" t="b">
        <v>1</v>
      </c>
      <c r="L320" s="73" t="b">
        <v>0</v>
      </c>
      <c r="M320" s="49" t="str">
        <f>IF(A320=Backdoors!B2,1+MAX(M319:M319),"")</f>
        <v/>
      </c>
    </row>
    <row r="321" spans="1:13" x14ac:dyDescent="0.25">
      <c r="A321" s="76" t="s">
        <v>219</v>
      </c>
      <c r="B321" s="77" t="s">
        <v>1177</v>
      </c>
      <c r="C321" s="73" t="s">
        <v>120</v>
      </c>
      <c r="D321" s="73">
        <v>20</v>
      </c>
      <c r="E321" s="73"/>
      <c r="F321" s="73">
        <v>0</v>
      </c>
      <c r="G321" s="73">
        <v>1</v>
      </c>
      <c r="H321" s="73">
        <v>1</v>
      </c>
      <c r="I321" s="73" t="s">
        <v>862</v>
      </c>
      <c r="J321" s="73" t="s">
        <v>862</v>
      </c>
      <c r="K321" s="78" t="b">
        <v>1</v>
      </c>
      <c r="L321" s="73" t="b">
        <v>0</v>
      </c>
      <c r="M321" s="49" t="str">
        <f>IF(A321=Backdoors!B2,1+MAX(M320:M320),"")</f>
        <v/>
      </c>
    </row>
    <row r="322" spans="1:13" x14ac:dyDescent="0.25">
      <c r="A322" s="76" t="s">
        <v>219</v>
      </c>
      <c r="B322" s="77" t="s">
        <v>1178</v>
      </c>
      <c r="C322" s="73" t="s">
        <v>120</v>
      </c>
      <c r="D322" s="73">
        <v>55</v>
      </c>
      <c r="E322" s="73"/>
      <c r="F322" s="73">
        <v>1</v>
      </c>
      <c r="G322" s="73">
        <v>1</v>
      </c>
      <c r="H322" s="73">
        <v>1</v>
      </c>
      <c r="I322" s="73" t="s">
        <v>862</v>
      </c>
      <c r="J322" s="73" t="s">
        <v>862</v>
      </c>
      <c r="K322" s="78" t="b">
        <v>1</v>
      </c>
      <c r="L322" s="73" t="b">
        <v>0</v>
      </c>
      <c r="M322" s="49" t="str">
        <f>IF(A322=Backdoors!B2,1+MAX(M321:M321),"")</f>
        <v/>
      </c>
    </row>
    <row r="323" spans="1:13" x14ac:dyDescent="0.25">
      <c r="A323" s="76" t="s">
        <v>219</v>
      </c>
      <c r="B323" s="77" t="s">
        <v>1378</v>
      </c>
      <c r="C323" s="73" t="s">
        <v>120</v>
      </c>
      <c r="D323" s="73">
        <v>68</v>
      </c>
      <c r="E323" s="73"/>
      <c r="F323" s="73">
        <v>1</v>
      </c>
      <c r="G323" s="73">
        <v>1</v>
      </c>
      <c r="H323" s="73">
        <v>1</v>
      </c>
      <c r="I323" s="73" t="s">
        <v>862</v>
      </c>
      <c r="J323" s="73" t="s">
        <v>862</v>
      </c>
      <c r="K323" s="78" t="b">
        <v>1</v>
      </c>
      <c r="L323" s="73" t="b">
        <v>0</v>
      </c>
      <c r="M323" s="49" t="str">
        <f>IF(A323=Backdoors!B2,1+MAX(M322:M322),"")</f>
        <v/>
      </c>
    </row>
    <row r="324" spans="1:13" x14ac:dyDescent="0.25">
      <c r="A324" s="76" t="s">
        <v>219</v>
      </c>
      <c r="B324" s="77" t="s">
        <v>1379</v>
      </c>
      <c r="C324" s="73" t="s">
        <v>120</v>
      </c>
      <c r="D324" s="73">
        <v>85</v>
      </c>
      <c r="E324" s="73"/>
      <c r="F324" s="73">
        <v>1</v>
      </c>
      <c r="G324" s="73">
        <v>1</v>
      </c>
      <c r="H324" s="73">
        <v>1</v>
      </c>
      <c r="I324" s="73" t="s">
        <v>862</v>
      </c>
      <c r="J324" s="73" t="s">
        <v>862</v>
      </c>
      <c r="K324" s="78" t="b">
        <v>1</v>
      </c>
      <c r="L324" s="73" t="b">
        <v>0</v>
      </c>
      <c r="M324" s="49" t="str">
        <f>IF(A324=Backdoors!B2,1+MAX(M323:M323),"")</f>
        <v/>
      </c>
    </row>
    <row r="325" spans="1:13" x14ac:dyDescent="0.25">
      <c r="A325" s="76" t="s">
        <v>219</v>
      </c>
      <c r="B325" s="77" t="s">
        <v>1380</v>
      </c>
      <c r="C325" s="73" t="s">
        <v>120</v>
      </c>
      <c r="D325" s="73">
        <v>111</v>
      </c>
      <c r="E325" s="73"/>
      <c r="F325" s="73">
        <v>1</v>
      </c>
      <c r="G325" s="73">
        <v>1</v>
      </c>
      <c r="H325" s="73">
        <v>1</v>
      </c>
      <c r="I325" s="73" t="s">
        <v>862</v>
      </c>
      <c r="J325" s="73" t="s">
        <v>862</v>
      </c>
      <c r="K325" s="78" t="b">
        <v>1</v>
      </c>
      <c r="L325" s="73" t="b">
        <v>0</v>
      </c>
      <c r="M325" s="49" t="str">
        <f>IF(A325=Backdoors!B2,1+MAX(M324:M324),"")</f>
        <v/>
      </c>
    </row>
    <row r="326" spans="1:13" x14ac:dyDescent="0.25">
      <c r="A326" s="76" t="s">
        <v>219</v>
      </c>
      <c r="B326" s="77" t="s">
        <v>1381</v>
      </c>
      <c r="C326" s="73" t="s">
        <v>120</v>
      </c>
      <c r="D326" s="73">
        <v>32</v>
      </c>
      <c r="E326" s="73"/>
      <c r="F326" s="73">
        <v>0</v>
      </c>
      <c r="G326" s="73">
        <v>1</v>
      </c>
      <c r="H326" s="73">
        <v>1</v>
      </c>
      <c r="I326" s="73" t="s">
        <v>862</v>
      </c>
      <c r="J326" s="73" t="s">
        <v>862</v>
      </c>
      <c r="K326" s="78" t="b">
        <v>1</v>
      </c>
      <c r="L326" s="73" t="b">
        <v>0</v>
      </c>
      <c r="M326" s="49" t="str">
        <f>IF(A326=Backdoors!B2,1+MAX(M325:M325),"")</f>
        <v/>
      </c>
    </row>
    <row r="327" spans="1:13" x14ac:dyDescent="0.25">
      <c r="A327" s="76" t="s">
        <v>219</v>
      </c>
      <c r="B327" s="77" t="s">
        <v>1382</v>
      </c>
      <c r="C327" s="73" t="s">
        <v>120</v>
      </c>
      <c r="D327" s="73">
        <v>42</v>
      </c>
      <c r="E327" s="73"/>
      <c r="F327" s="73">
        <v>0</v>
      </c>
      <c r="G327" s="73">
        <v>1</v>
      </c>
      <c r="H327" s="73">
        <v>1</v>
      </c>
      <c r="I327" s="73" t="s">
        <v>862</v>
      </c>
      <c r="J327" s="73" t="s">
        <v>862</v>
      </c>
      <c r="K327" s="78" t="b">
        <v>1</v>
      </c>
      <c r="L327" s="73" t="b">
        <v>0</v>
      </c>
      <c r="M327" s="49" t="str">
        <f>IF(A327=Backdoors!B2,1+MAX(M326:M326),"")</f>
        <v/>
      </c>
    </row>
    <row r="328" spans="1:13" x14ac:dyDescent="0.25">
      <c r="A328" s="76" t="s">
        <v>219</v>
      </c>
      <c r="B328" s="77" t="s">
        <v>1383</v>
      </c>
      <c r="C328" s="73" t="s">
        <v>120</v>
      </c>
      <c r="D328" s="73">
        <v>55</v>
      </c>
      <c r="E328" s="73"/>
      <c r="F328" s="73">
        <v>0</v>
      </c>
      <c r="G328" s="73">
        <v>1</v>
      </c>
      <c r="H328" s="73">
        <v>1</v>
      </c>
      <c r="I328" s="73" t="s">
        <v>862</v>
      </c>
      <c r="J328" s="73" t="s">
        <v>862</v>
      </c>
      <c r="K328" s="78" t="b">
        <v>1</v>
      </c>
      <c r="L328" s="73" t="b">
        <v>0</v>
      </c>
      <c r="M328" s="49" t="str">
        <f>IF(A328=Backdoors!B2,1+MAX(M327:M327),"")</f>
        <v/>
      </c>
    </row>
    <row r="329" spans="1:13" x14ac:dyDescent="0.25">
      <c r="A329" s="67" t="s">
        <v>219</v>
      </c>
      <c r="B329" s="77" t="s">
        <v>1384</v>
      </c>
      <c r="C329" s="73" t="s">
        <v>120</v>
      </c>
      <c r="D329" s="73">
        <v>60</v>
      </c>
      <c r="E329" s="73"/>
      <c r="F329" s="73">
        <v>1</v>
      </c>
      <c r="G329" s="73">
        <v>1</v>
      </c>
      <c r="H329" s="73">
        <v>1</v>
      </c>
      <c r="I329" s="73" t="s">
        <v>862</v>
      </c>
      <c r="J329" s="73" t="s">
        <v>862</v>
      </c>
      <c r="K329" s="78" t="b">
        <v>1</v>
      </c>
      <c r="L329" s="73" t="b">
        <v>0</v>
      </c>
      <c r="M329" s="49" t="str">
        <f>IF(A329=Backdoors!B2,1+MAX(M328:M328),"")</f>
        <v/>
      </c>
    </row>
    <row r="330" spans="1:13" x14ac:dyDescent="0.25">
      <c r="A330" s="76" t="s">
        <v>219</v>
      </c>
      <c r="B330" s="77" t="s">
        <v>1385</v>
      </c>
      <c r="C330" s="73" t="s">
        <v>120</v>
      </c>
      <c r="D330" s="73">
        <v>77</v>
      </c>
      <c r="E330" s="73"/>
      <c r="F330" s="73">
        <v>1</v>
      </c>
      <c r="G330" s="73">
        <v>1</v>
      </c>
      <c r="H330" s="73">
        <v>1</v>
      </c>
      <c r="I330" s="73" t="s">
        <v>862</v>
      </c>
      <c r="J330" s="73" t="s">
        <v>862</v>
      </c>
      <c r="K330" s="78" t="b">
        <v>1</v>
      </c>
      <c r="L330" s="73" t="b">
        <v>0</v>
      </c>
      <c r="M330" s="49" t="str">
        <f>IF(A330=Backdoors!B2,1+MAX(M329:M329),"")</f>
        <v/>
      </c>
    </row>
    <row r="331" spans="1:13" x14ac:dyDescent="0.25">
      <c r="A331" s="76" t="s">
        <v>219</v>
      </c>
      <c r="B331" s="77" t="s">
        <v>1386</v>
      </c>
      <c r="C331" s="73" t="s">
        <v>120</v>
      </c>
      <c r="D331" s="73">
        <v>90</v>
      </c>
      <c r="E331" s="73"/>
      <c r="F331" s="73">
        <v>1</v>
      </c>
      <c r="G331" s="73">
        <v>1</v>
      </c>
      <c r="H331" s="73">
        <v>1</v>
      </c>
      <c r="I331" s="73" t="s">
        <v>862</v>
      </c>
      <c r="J331" s="73" t="s">
        <v>862</v>
      </c>
      <c r="K331" s="78" t="b">
        <v>1</v>
      </c>
      <c r="L331" s="73" t="b">
        <v>0</v>
      </c>
      <c r="M331" s="49" t="str">
        <f>IF(A331=Backdoors!B2,1+MAX(M330:M330),"")</f>
        <v/>
      </c>
    </row>
    <row r="332" spans="1:13" x14ac:dyDescent="0.25">
      <c r="A332" s="67" t="s">
        <v>220</v>
      </c>
      <c r="B332" s="77" t="s">
        <v>1387</v>
      </c>
      <c r="C332" s="73" t="s">
        <v>120</v>
      </c>
      <c r="D332" s="73">
        <v>22</v>
      </c>
      <c r="E332" s="73"/>
      <c r="F332" s="73">
        <v>1</v>
      </c>
      <c r="G332" s="73">
        <v>1</v>
      </c>
      <c r="H332" s="73">
        <v>1</v>
      </c>
      <c r="I332" s="73" t="s">
        <v>862</v>
      </c>
      <c r="J332" s="73" t="s">
        <v>862</v>
      </c>
      <c r="K332" s="78" t="b">
        <v>1</v>
      </c>
      <c r="L332" s="73" t="b">
        <v>0</v>
      </c>
      <c r="M332" s="49" t="str">
        <f>IF(A332=Backdoors!B2,1+MAX(M331:M331),"")</f>
        <v/>
      </c>
    </row>
    <row r="333" spans="1:13" x14ac:dyDescent="0.25">
      <c r="A333" s="76" t="s">
        <v>220</v>
      </c>
      <c r="B333" s="77" t="s">
        <v>1388</v>
      </c>
      <c r="C333" s="73" t="s">
        <v>120</v>
      </c>
      <c r="D333" s="73">
        <v>28</v>
      </c>
      <c r="E333" s="73"/>
      <c r="F333" s="73">
        <v>1</v>
      </c>
      <c r="G333" s="73">
        <v>1</v>
      </c>
      <c r="H333" s="73">
        <v>1</v>
      </c>
      <c r="I333" s="73" t="s">
        <v>862</v>
      </c>
      <c r="J333" s="73" t="s">
        <v>862</v>
      </c>
      <c r="K333" s="78" t="b">
        <v>1</v>
      </c>
      <c r="L333" s="73" t="b">
        <v>0</v>
      </c>
      <c r="M333" s="49" t="str">
        <f>IF(A333=Backdoors!B2,1+MAX(M332:M332),"")</f>
        <v/>
      </c>
    </row>
    <row r="334" spans="1:13" x14ac:dyDescent="0.25">
      <c r="A334" s="76" t="s">
        <v>220</v>
      </c>
      <c r="B334" s="77" t="s">
        <v>1389</v>
      </c>
      <c r="C334" s="73" t="s">
        <v>120</v>
      </c>
      <c r="D334" s="73">
        <v>27</v>
      </c>
      <c r="E334" s="73"/>
      <c r="F334" s="73">
        <v>1</v>
      </c>
      <c r="G334" s="73">
        <v>1</v>
      </c>
      <c r="H334" s="73">
        <v>1</v>
      </c>
      <c r="I334" s="73" t="s">
        <v>862</v>
      </c>
      <c r="J334" s="73" t="s">
        <v>862</v>
      </c>
      <c r="K334" s="78" t="b">
        <v>1</v>
      </c>
      <c r="L334" s="73" t="b">
        <v>0</v>
      </c>
      <c r="M334" s="49" t="str">
        <f>IF(A334=Backdoors!B2,1+MAX(M333:M333),"")</f>
        <v/>
      </c>
    </row>
    <row r="335" spans="1:13" x14ac:dyDescent="0.25">
      <c r="A335" s="76" t="s">
        <v>220</v>
      </c>
      <c r="B335" s="77" t="s">
        <v>1390</v>
      </c>
      <c r="C335" s="73" t="s">
        <v>120</v>
      </c>
      <c r="D335" s="73">
        <v>15</v>
      </c>
      <c r="E335" s="73"/>
      <c r="F335" s="73">
        <v>1</v>
      </c>
      <c r="G335" s="73">
        <v>1</v>
      </c>
      <c r="H335" s="73">
        <v>1</v>
      </c>
      <c r="I335" s="73" t="s">
        <v>862</v>
      </c>
      <c r="J335" s="73" t="s">
        <v>862</v>
      </c>
      <c r="K335" s="78" t="b">
        <v>1</v>
      </c>
      <c r="L335" s="73" t="b">
        <v>0</v>
      </c>
      <c r="M335" s="49" t="str">
        <f>IF(A335=Backdoors!B2,1+MAX(M334:M334),"")</f>
        <v/>
      </c>
    </row>
    <row r="336" spans="1:13" x14ac:dyDescent="0.25">
      <c r="A336" s="76" t="s">
        <v>220</v>
      </c>
      <c r="B336" s="77" t="s">
        <v>1391</v>
      </c>
      <c r="C336" s="73" t="s">
        <v>120</v>
      </c>
      <c r="D336" s="73">
        <v>22</v>
      </c>
      <c r="E336" s="73"/>
      <c r="F336" s="73">
        <v>1</v>
      </c>
      <c r="G336" s="73">
        <v>1</v>
      </c>
      <c r="H336" s="73">
        <v>1</v>
      </c>
      <c r="I336" s="73" t="s">
        <v>862</v>
      </c>
      <c r="J336" s="73" t="s">
        <v>862</v>
      </c>
      <c r="K336" s="78" t="b">
        <v>1</v>
      </c>
      <c r="L336" s="73" t="b">
        <v>0</v>
      </c>
      <c r="M336" s="49" t="str">
        <f>IF(A336=Backdoors!B2,1+MAX(M335:M335),"")</f>
        <v/>
      </c>
    </row>
    <row r="337" spans="1:13" x14ac:dyDescent="0.25">
      <c r="A337" s="76" t="s">
        <v>220</v>
      </c>
      <c r="B337" s="77" t="s">
        <v>1392</v>
      </c>
      <c r="C337" s="73" t="s">
        <v>120</v>
      </c>
      <c r="D337" s="73">
        <v>37</v>
      </c>
      <c r="E337" s="73"/>
      <c r="F337" s="73">
        <v>1</v>
      </c>
      <c r="G337" s="73">
        <v>1</v>
      </c>
      <c r="H337" s="73">
        <v>1</v>
      </c>
      <c r="I337" s="73" t="s">
        <v>862</v>
      </c>
      <c r="J337" s="73" t="s">
        <v>862</v>
      </c>
      <c r="K337" s="78" t="b">
        <v>1</v>
      </c>
      <c r="L337" s="73" t="b">
        <v>0</v>
      </c>
      <c r="M337" s="49" t="str">
        <f>IF(A337=Backdoors!B2,1+MAX(M336:M336),"")</f>
        <v/>
      </c>
    </row>
    <row r="338" spans="1:13" x14ac:dyDescent="0.25">
      <c r="A338" s="76" t="s">
        <v>220</v>
      </c>
      <c r="B338" s="77" t="s">
        <v>1393</v>
      </c>
      <c r="C338" s="73" t="s">
        <v>120</v>
      </c>
      <c r="D338" s="73">
        <v>14</v>
      </c>
      <c r="E338" s="73"/>
      <c r="F338" s="73">
        <v>1</v>
      </c>
      <c r="G338" s="73">
        <v>1</v>
      </c>
      <c r="H338" s="73">
        <v>1</v>
      </c>
      <c r="I338" s="73" t="s">
        <v>862</v>
      </c>
      <c r="J338" s="73" t="s">
        <v>862</v>
      </c>
      <c r="K338" s="78" t="b">
        <v>1</v>
      </c>
      <c r="L338" s="73" t="b">
        <v>0</v>
      </c>
      <c r="M338" s="49" t="str">
        <f>IF(A338=Backdoors!B2,1+MAX(M337:M337),"")</f>
        <v/>
      </c>
    </row>
    <row r="339" spans="1:13" x14ac:dyDescent="0.25">
      <c r="A339" s="76" t="s">
        <v>220</v>
      </c>
      <c r="B339" s="77" t="s">
        <v>1394</v>
      </c>
      <c r="C339" s="73" t="s">
        <v>120</v>
      </c>
      <c r="D339" s="73">
        <v>39</v>
      </c>
      <c r="E339" s="73"/>
      <c r="F339" s="73">
        <v>1</v>
      </c>
      <c r="G339" s="73">
        <v>1</v>
      </c>
      <c r="H339" s="73">
        <v>1</v>
      </c>
      <c r="I339" s="73" t="s">
        <v>862</v>
      </c>
      <c r="J339" s="73" t="s">
        <v>862</v>
      </c>
      <c r="K339" s="78" t="b">
        <v>1</v>
      </c>
      <c r="L339" s="73" t="b">
        <v>0</v>
      </c>
      <c r="M339" s="49" t="str">
        <f>IF(A339=Backdoors!B2,1+MAX(M338:M338),"")</f>
        <v/>
      </c>
    </row>
    <row r="340" spans="1:13" x14ac:dyDescent="0.25">
      <c r="A340" s="76" t="s">
        <v>220</v>
      </c>
      <c r="B340" s="77" t="s">
        <v>1395</v>
      </c>
      <c r="C340" s="73" t="s">
        <v>0</v>
      </c>
      <c r="D340" s="73">
        <v>10</v>
      </c>
      <c r="E340" s="73"/>
      <c r="F340" s="73">
        <v>1</v>
      </c>
      <c r="G340" s="73">
        <v>1</v>
      </c>
      <c r="H340" s="73">
        <v>1</v>
      </c>
      <c r="I340" s="73" t="s">
        <v>862</v>
      </c>
      <c r="J340" s="73" t="s">
        <v>862</v>
      </c>
      <c r="K340" s="78" t="b">
        <v>1</v>
      </c>
      <c r="L340" s="73" t="b">
        <v>0</v>
      </c>
      <c r="M340" s="49" t="str">
        <f>IF(A340=Backdoors!B2,1+MAX(M339:M339),"")</f>
        <v/>
      </c>
    </row>
    <row r="341" spans="1:13" x14ac:dyDescent="0.25">
      <c r="A341" s="76" t="s">
        <v>220</v>
      </c>
      <c r="B341" s="77" t="s">
        <v>1396</v>
      </c>
      <c r="C341" s="73" t="s">
        <v>120</v>
      </c>
      <c r="D341" s="73">
        <v>17</v>
      </c>
      <c r="E341" s="73"/>
      <c r="F341" s="73">
        <v>1</v>
      </c>
      <c r="G341" s="73">
        <v>0.8</v>
      </c>
      <c r="H341" s="73">
        <v>0.8</v>
      </c>
      <c r="I341" s="73" t="s">
        <v>862</v>
      </c>
      <c r="J341" s="73" t="s">
        <v>862</v>
      </c>
      <c r="K341" s="78" t="b">
        <v>1</v>
      </c>
      <c r="L341" s="73" t="b">
        <v>0</v>
      </c>
      <c r="M341" s="49" t="str">
        <f>IF(A341=Backdoors!B2,1+MAX(M340:M340),"")</f>
        <v/>
      </c>
    </row>
    <row r="342" spans="1:13" x14ac:dyDescent="0.25">
      <c r="A342" s="67" t="s">
        <v>220</v>
      </c>
      <c r="B342" s="77" t="s">
        <v>1397</v>
      </c>
      <c r="C342" s="73" t="s">
        <v>120</v>
      </c>
      <c r="D342" s="73">
        <v>29</v>
      </c>
      <c r="E342" s="73"/>
      <c r="F342" s="73">
        <v>1</v>
      </c>
      <c r="G342" s="73">
        <v>1</v>
      </c>
      <c r="H342" s="73">
        <v>1</v>
      </c>
      <c r="I342" s="73" t="s">
        <v>862</v>
      </c>
      <c r="J342" s="73" t="s">
        <v>862</v>
      </c>
      <c r="K342" s="78" t="b">
        <v>1</v>
      </c>
      <c r="L342" s="73" t="b">
        <v>0</v>
      </c>
      <c r="M342" s="49" t="str">
        <f>IF(A342=Backdoors!B2,1+MAX(M341:M341),"")</f>
        <v/>
      </c>
    </row>
    <row r="343" spans="1:13" x14ac:dyDescent="0.25">
      <c r="A343" s="76" t="s">
        <v>220</v>
      </c>
      <c r="B343" s="77" t="s">
        <v>1398</v>
      </c>
      <c r="C343" s="73" t="s">
        <v>120</v>
      </c>
      <c r="D343" s="73">
        <v>35</v>
      </c>
      <c r="E343" s="73"/>
      <c r="F343" s="73">
        <v>1</v>
      </c>
      <c r="G343" s="73">
        <v>1</v>
      </c>
      <c r="H343" s="73">
        <v>1</v>
      </c>
      <c r="I343" s="73" t="s">
        <v>862</v>
      </c>
      <c r="J343" s="73" t="s">
        <v>862</v>
      </c>
      <c r="K343" s="78" t="b">
        <v>1</v>
      </c>
      <c r="L343" s="73" t="b">
        <v>0</v>
      </c>
      <c r="M343" s="49" t="str">
        <f>IF(A343=Backdoors!B2,1+MAX(M342:M342),"")</f>
        <v/>
      </c>
    </row>
    <row r="344" spans="1:13" x14ac:dyDescent="0.25">
      <c r="A344" s="76" t="s">
        <v>220</v>
      </c>
      <c r="B344" s="77" t="s">
        <v>1370</v>
      </c>
      <c r="C344" s="73" t="s">
        <v>120</v>
      </c>
      <c r="D344" s="73">
        <v>35</v>
      </c>
      <c r="E344" s="73">
        <v>55</v>
      </c>
      <c r="F344" s="73">
        <v>1</v>
      </c>
      <c r="G344" s="73">
        <v>1</v>
      </c>
      <c r="H344" s="73">
        <v>1</v>
      </c>
      <c r="I344" s="73" t="s">
        <v>862</v>
      </c>
      <c r="J344" s="73" t="s">
        <v>862</v>
      </c>
      <c r="K344" s="78" t="b">
        <v>1</v>
      </c>
      <c r="L344" s="73" t="b">
        <v>1</v>
      </c>
      <c r="M344" s="49" t="str">
        <f>IF(A344=Backdoors!B2,1+MAX(M343:M343),"")</f>
        <v/>
      </c>
    </row>
    <row r="345" spans="1:13" x14ac:dyDescent="0.25">
      <c r="A345" s="67" t="s">
        <v>220</v>
      </c>
      <c r="B345" s="77" t="s">
        <v>1399</v>
      </c>
      <c r="C345" s="73" t="s">
        <v>120</v>
      </c>
      <c r="D345" s="73">
        <v>55</v>
      </c>
      <c r="E345" s="73">
        <v>55</v>
      </c>
      <c r="F345" s="73">
        <v>1</v>
      </c>
      <c r="G345" s="73">
        <v>1</v>
      </c>
      <c r="H345" s="73">
        <v>1</v>
      </c>
      <c r="I345" s="73" t="s">
        <v>862</v>
      </c>
      <c r="J345" s="73" t="s">
        <v>862</v>
      </c>
      <c r="K345" s="78" t="b">
        <v>1</v>
      </c>
      <c r="L345" s="73" t="b">
        <v>1</v>
      </c>
      <c r="M345" s="49" t="str">
        <f>IF(A345=Backdoors!B2,1+MAX(M344:M344),"")</f>
        <v/>
      </c>
    </row>
    <row r="346" spans="1:13" x14ac:dyDescent="0.25">
      <c r="A346" s="76" t="s">
        <v>220</v>
      </c>
      <c r="B346" s="77" t="s">
        <v>1400</v>
      </c>
      <c r="C346" s="73" t="s">
        <v>120</v>
      </c>
      <c r="D346" s="73">
        <v>35</v>
      </c>
      <c r="E346" s="73"/>
      <c r="F346" s="73">
        <v>1</v>
      </c>
      <c r="G346" s="73">
        <v>1</v>
      </c>
      <c r="H346" s="73">
        <v>1</v>
      </c>
      <c r="I346" s="73" t="s">
        <v>862</v>
      </c>
      <c r="J346" s="73" t="s">
        <v>862</v>
      </c>
      <c r="K346" s="78" t="b">
        <v>1</v>
      </c>
      <c r="L346" s="73" t="b">
        <v>0</v>
      </c>
      <c r="M346" s="49" t="str">
        <f>IF(A346=Backdoors!B2,1+MAX(M345:M345),"")</f>
        <v/>
      </c>
    </row>
    <row r="347" spans="1:13" x14ac:dyDescent="0.25">
      <c r="A347" s="76" t="s">
        <v>220</v>
      </c>
      <c r="B347" s="77" t="s">
        <v>1177</v>
      </c>
      <c r="C347" s="73" t="s">
        <v>120</v>
      </c>
      <c r="D347" s="73">
        <v>29</v>
      </c>
      <c r="E347" s="73"/>
      <c r="F347" s="73">
        <v>0</v>
      </c>
      <c r="G347" s="73">
        <v>1</v>
      </c>
      <c r="H347" s="73">
        <v>1</v>
      </c>
      <c r="I347" s="73" t="s">
        <v>862</v>
      </c>
      <c r="J347" s="73" t="s">
        <v>862</v>
      </c>
      <c r="K347" s="78" t="b">
        <v>1</v>
      </c>
      <c r="L347" s="73" t="b">
        <v>0</v>
      </c>
      <c r="M347" s="49" t="str">
        <f>IF(A347=Backdoors!B2,1+MAX(M346:M346),"")</f>
        <v/>
      </c>
    </row>
    <row r="348" spans="1:13" x14ac:dyDescent="0.25">
      <c r="A348" s="76" t="s">
        <v>220</v>
      </c>
      <c r="B348" s="77" t="s">
        <v>1178</v>
      </c>
      <c r="C348" s="73" t="s">
        <v>120</v>
      </c>
      <c r="D348" s="73">
        <v>45</v>
      </c>
      <c r="E348" s="73"/>
      <c r="F348" s="73">
        <v>1</v>
      </c>
      <c r="G348" s="73">
        <v>1</v>
      </c>
      <c r="H348" s="73">
        <v>1</v>
      </c>
      <c r="I348" s="73" t="s">
        <v>862</v>
      </c>
      <c r="J348" s="73" t="s">
        <v>862</v>
      </c>
      <c r="K348" s="78" t="b">
        <v>1</v>
      </c>
      <c r="L348" s="73" t="b">
        <v>0</v>
      </c>
      <c r="M348" s="49" t="str">
        <f>IF(A348=Backdoors!B2,1+MAX(M347:M347),"")</f>
        <v/>
      </c>
    </row>
    <row r="349" spans="1:13" x14ac:dyDescent="0.25">
      <c r="A349" s="76" t="s">
        <v>220</v>
      </c>
      <c r="B349" s="77" t="s">
        <v>1401</v>
      </c>
      <c r="C349" s="73" t="s">
        <v>120</v>
      </c>
      <c r="D349" s="73">
        <v>18</v>
      </c>
      <c r="E349" s="73"/>
      <c r="F349" s="73">
        <v>0</v>
      </c>
      <c r="G349" s="73">
        <v>1</v>
      </c>
      <c r="H349" s="73">
        <v>1</v>
      </c>
      <c r="I349" s="73" t="s">
        <v>862</v>
      </c>
      <c r="J349" s="73" t="s">
        <v>862</v>
      </c>
      <c r="K349" s="78" t="b">
        <v>1</v>
      </c>
      <c r="L349" s="73" t="b">
        <v>0</v>
      </c>
      <c r="M349" s="49" t="str">
        <f>IF(A349=Backdoors!B2,1+MAX(M348:M348),"")</f>
        <v/>
      </c>
    </row>
    <row r="350" spans="1:13" x14ac:dyDescent="0.25">
      <c r="A350" s="76" t="s">
        <v>220</v>
      </c>
      <c r="B350" s="77" t="s">
        <v>1402</v>
      </c>
      <c r="C350" s="73" t="s">
        <v>120</v>
      </c>
      <c r="D350" s="73">
        <v>55</v>
      </c>
      <c r="E350" s="73"/>
      <c r="F350" s="73">
        <v>1</v>
      </c>
      <c r="G350" s="73">
        <v>1</v>
      </c>
      <c r="H350" s="73">
        <v>1</v>
      </c>
      <c r="I350" s="73" t="s">
        <v>862</v>
      </c>
      <c r="J350" s="73" t="s">
        <v>862</v>
      </c>
      <c r="K350" s="78" t="b">
        <v>1</v>
      </c>
      <c r="L350" s="73" t="b">
        <v>0</v>
      </c>
      <c r="M350" s="49" t="str">
        <f>IF(A350=Backdoors!B2,1+MAX(M349:M349),"")</f>
        <v/>
      </c>
    </row>
    <row r="351" spans="1:13" x14ac:dyDescent="0.25">
      <c r="A351" s="67" t="s">
        <v>221</v>
      </c>
      <c r="B351" s="78" t="s">
        <v>1303</v>
      </c>
      <c r="C351" s="75" t="s">
        <v>0</v>
      </c>
      <c r="D351" s="73">
        <v>23</v>
      </c>
      <c r="E351" s="73"/>
      <c r="F351" s="73">
        <v>1</v>
      </c>
      <c r="G351" s="73">
        <v>1</v>
      </c>
      <c r="H351" s="73">
        <v>1</v>
      </c>
      <c r="I351" s="73" t="s">
        <v>862</v>
      </c>
      <c r="J351" s="73" t="s">
        <v>862</v>
      </c>
      <c r="K351" s="78" t="b">
        <v>1</v>
      </c>
      <c r="L351" s="73" t="b">
        <v>0</v>
      </c>
      <c r="M351" s="49" t="str">
        <f>IF(A351=Backdoors!B2,1+MAX(M350:M350),"")</f>
        <v/>
      </c>
    </row>
    <row r="352" spans="1:13" x14ac:dyDescent="0.25">
      <c r="A352" s="76" t="s">
        <v>221</v>
      </c>
      <c r="B352" s="78" t="s">
        <v>1304</v>
      </c>
      <c r="C352" s="75" t="s">
        <v>0</v>
      </c>
      <c r="D352" s="73">
        <v>19</v>
      </c>
      <c r="E352" s="73"/>
      <c r="F352" s="73">
        <v>1</v>
      </c>
      <c r="G352" s="73">
        <v>1</v>
      </c>
      <c r="H352" s="73">
        <v>1</v>
      </c>
      <c r="I352" s="73" t="s">
        <v>862</v>
      </c>
      <c r="J352" s="73" t="s">
        <v>862</v>
      </c>
      <c r="K352" s="78" t="b">
        <v>1</v>
      </c>
      <c r="L352" s="73" t="b">
        <v>0</v>
      </c>
      <c r="M352" s="49" t="str">
        <f>IF(A352=Backdoors!B2,1+MAX(M351:M351),"")</f>
        <v/>
      </c>
    </row>
    <row r="353" spans="1:13" x14ac:dyDescent="0.25">
      <c r="A353" s="76" t="s">
        <v>221</v>
      </c>
      <c r="B353" s="78" t="s">
        <v>1305</v>
      </c>
      <c r="C353" s="75" t="s">
        <v>0</v>
      </c>
      <c r="D353" s="73">
        <v>31</v>
      </c>
      <c r="E353" s="73"/>
      <c r="F353" s="73">
        <v>1</v>
      </c>
      <c r="G353" s="73">
        <v>1</v>
      </c>
      <c r="H353" s="73">
        <v>1</v>
      </c>
      <c r="I353" s="73" t="s">
        <v>862</v>
      </c>
      <c r="J353" s="73" t="s">
        <v>862</v>
      </c>
      <c r="K353" s="78" t="b">
        <v>1</v>
      </c>
      <c r="L353" s="73" t="b">
        <v>0</v>
      </c>
      <c r="M353" s="49" t="str">
        <f>IF(A353=Backdoors!B2,1+MAX(M352:M352),"")</f>
        <v/>
      </c>
    </row>
    <row r="354" spans="1:13" x14ac:dyDescent="0.25">
      <c r="A354" s="76" t="s">
        <v>221</v>
      </c>
      <c r="B354" s="78" t="s">
        <v>1306</v>
      </c>
      <c r="C354" s="75" t="s">
        <v>0</v>
      </c>
      <c r="D354" s="73">
        <v>45</v>
      </c>
      <c r="E354" s="73"/>
      <c r="F354" s="73">
        <v>1</v>
      </c>
      <c r="G354" s="73">
        <v>1</v>
      </c>
      <c r="H354" s="73">
        <v>1</v>
      </c>
      <c r="I354" s="73" t="s">
        <v>862</v>
      </c>
      <c r="J354" s="73" t="s">
        <v>862</v>
      </c>
      <c r="K354" s="78" t="b">
        <v>1</v>
      </c>
      <c r="L354" s="73" t="b">
        <v>0</v>
      </c>
      <c r="M354" s="49" t="str">
        <f>IF(A354=Backdoors!B2,1+MAX(M353:M353),"")</f>
        <v/>
      </c>
    </row>
    <row r="355" spans="1:13" x14ac:dyDescent="0.25">
      <c r="A355" s="76" t="s">
        <v>221</v>
      </c>
      <c r="B355" s="78" t="s">
        <v>1307</v>
      </c>
      <c r="C355" s="75" t="s">
        <v>0</v>
      </c>
      <c r="D355" s="73">
        <v>21</v>
      </c>
      <c r="E355" s="73"/>
      <c r="F355" s="73">
        <v>1</v>
      </c>
      <c r="G355" s="73">
        <v>0.8</v>
      </c>
      <c r="H355" s="73">
        <v>0.8</v>
      </c>
      <c r="I355" s="73" t="s">
        <v>862</v>
      </c>
      <c r="J355" s="73" t="s">
        <v>862</v>
      </c>
      <c r="K355" s="78" t="b">
        <v>1</v>
      </c>
      <c r="L355" s="73" t="b">
        <v>0</v>
      </c>
      <c r="M355" s="49" t="str">
        <f>IF(A355=Backdoors!B2,1+MAX(M354:M354),"")</f>
        <v/>
      </c>
    </row>
    <row r="356" spans="1:13" x14ac:dyDescent="0.25">
      <c r="A356" s="76" t="s">
        <v>221</v>
      </c>
      <c r="B356" s="78" t="s">
        <v>1308</v>
      </c>
      <c r="C356" s="75" t="s">
        <v>0</v>
      </c>
      <c r="D356" s="73">
        <v>23</v>
      </c>
      <c r="E356" s="73"/>
      <c r="F356" s="73">
        <v>1</v>
      </c>
      <c r="G356" s="73">
        <v>0.8</v>
      </c>
      <c r="H356" s="73">
        <v>0.8</v>
      </c>
      <c r="I356" s="73" t="s">
        <v>862</v>
      </c>
      <c r="J356" s="73" t="s">
        <v>862</v>
      </c>
      <c r="K356" s="78" t="b">
        <v>1</v>
      </c>
      <c r="L356" s="73" t="b">
        <v>0</v>
      </c>
      <c r="M356" s="49" t="str">
        <f>IF(A356=Backdoors!B2,1+MAX(M355:M355),"")</f>
        <v/>
      </c>
    </row>
    <row r="357" spans="1:13" x14ac:dyDescent="0.25">
      <c r="A357" s="76" t="s">
        <v>221</v>
      </c>
      <c r="B357" s="78" t="s">
        <v>1309</v>
      </c>
      <c r="C357" s="75" t="s">
        <v>0</v>
      </c>
      <c r="D357" s="73">
        <v>15</v>
      </c>
      <c r="E357" s="73"/>
      <c r="F357" s="73">
        <v>0</v>
      </c>
      <c r="G357" s="73">
        <v>1</v>
      </c>
      <c r="H357" s="73">
        <v>1</v>
      </c>
      <c r="I357" s="73" t="s">
        <v>862</v>
      </c>
      <c r="J357" s="73" t="s">
        <v>862</v>
      </c>
      <c r="K357" s="78" t="b">
        <v>1</v>
      </c>
      <c r="L357" s="73" t="b">
        <v>0</v>
      </c>
      <c r="M357" s="49" t="str">
        <f>IF(A357=Backdoors!B2,1+MAX(M356:M356),"")</f>
        <v/>
      </c>
    </row>
    <row r="358" spans="1:13" x14ac:dyDescent="0.25">
      <c r="A358" s="76" t="s">
        <v>221</v>
      </c>
      <c r="B358" s="78" t="s">
        <v>1310</v>
      </c>
      <c r="C358" s="75" t="s">
        <v>0</v>
      </c>
      <c r="D358" s="73">
        <v>72</v>
      </c>
      <c r="E358" s="73"/>
      <c r="F358" s="73">
        <v>1.5</v>
      </c>
      <c r="G358" s="73">
        <v>1</v>
      </c>
      <c r="H358" s="73">
        <v>1</v>
      </c>
      <c r="I358" s="73" t="s">
        <v>862</v>
      </c>
      <c r="J358" s="73" t="s">
        <v>862</v>
      </c>
      <c r="K358" s="78" t="b">
        <v>1</v>
      </c>
      <c r="L358" s="73" t="b">
        <v>0</v>
      </c>
      <c r="M358" s="49" t="str">
        <f>IF(A358=Backdoors!B2,1+MAX(M357:M357),"")</f>
        <v/>
      </c>
    </row>
    <row r="359" spans="1:13" x14ac:dyDescent="0.25">
      <c r="A359" s="76" t="s">
        <v>221</v>
      </c>
      <c r="B359" s="78" t="s">
        <v>1311</v>
      </c>
      <c r="C359" s="75" t="s">
        <v>0</v>
      </c>
      <c r="D359" s="73">
        <v>34</v>
      </c>
      <c r="E359" s="73"/>
      <c r="F359" s="73">
        <v>1</v>
      </c>
      <c r="G359" s="73">
        <v>1</v>
      </c>
      <c r="H359" s="73">
        <v>1</v>
      </c>
      <c r="I359" s="73" t="s">
        <v>862</v>
      </c>
      <c r="J359" s="73" t="s">
        <v>862</v>
      </c>
      <c r="K359" s="78" t="b">
        <v>1</v>
      </c>
      <c r="L359" s="73" t="b">
        <v>0</v>
      </c>
      <c r="M359" s="49" t="str">
        <f>IF(A359=Backdoors!B2,1+MAX(M358:M358),"")</f>
        <v/>
      </c>
    </row>
    <row r="360" spans="1:13" x14ac:dyDescent="0.25">
      <c r="A360" s="76" t="s">
        <v>221</v>
      </c>
      <c r="B360" s="78" t="s">
        <v>1312</v>
      </c>
      <c r="C360" s="75" t="s">
        <v>0</v>
      </c>
      <c r="D360" s="73">
        <v>20</v>
      </c>
      <c r="E360" s="73"/>
      <c r="F360" s="73">
        <v>1</v>
      </c>
      <c r="G360" s="73">
        <v>1</v>
      </c>
      <c r="H360" s="73">
        <v>1</v>
      </c>
      <c r="I360" s="73" t="s">
        <v>862</v>
      </c>
      <c r="J360" s="73" t="s">
        <v>862</v>
      </c>
      <c r="K360" s="78" t="b">
        <v>1</v>
      </c>
      <c r="L360" s="73" t="b">
        <v>0</v>
      </c>
      <c r="M360" s="49" t="str">
        <f>IF(A360=Backdoors!B2,1+MAX(M359:M359),"")</f>
        <v/>
      </c>
    </row>
    <row r="361" spans="1:13" x14ac:dyDescent="0.25">
      <c r="A361" s="67" t="s">
        <v>221</v>
      </c>
      <c r="B361" s="78" t="s">
        <v>1313</v>
      </c>
      <c r="C361" s="75" t="s">
        <v>0</v>
      </c>
      <c r="D361" s="73">
        <v>70</v>
      </c>
      <c r="E361" s="73"/>
      <c r="F361" s="73">
        <v>1</v>
      </c>
      <c r="G361" s="73">
        <v>1</v>
      </c>
      <c r="H361" s="73">
        <v>1</v>
      </c>
      <c r="I361" s="73" t="s">
        <v>862</v>
      </c>
      <c r="J361" s="73" t="s">
        <v>862</v>
      </c>
      <c r="K361" s="78" t="b">
        <v>1</v>
      </c>
      <c r="L361" s="73" t="b">
        <v>0</v>
      </c>
      <c r="M361" s="49" t="str">
        <f>IF(A361=Backdoors!B2,1+MAX(M360:M360),"")</f>
        <v/>
      </c>
    </row>
    <row r="362" spans="1:13" x14ac:dyDescent="0.25">
      <c r="A362" s="76" t="s">
        <v>221</v>
      </c>
      <c r="B362" s="78" t="s">
        <v>1314</v>
      </c>
      <c r="C362" s="75" t="s">
        <v>0</v>
      </c>
      <c r="D362" s="73">
        <v>35</v>
      </c>
      <c r="E362" s="73"/>
      <c r="F362" s="73">
        <v>1</v>
      </c>
      <c r="G362" s="73">
        <v>1</v>
      </c>
      <c r="H362" s="73">
        <v>1</v>
      </c>
      <c r="I362" s="73" t="s">
        <v>862</v>
      </c>
      <c r="J362" s="73" t="s">
        <v>862</v>
      </c>
      <c r="K362" s="78" t="b">
        <v>1</v>
      </c>
      <c r="L362" s="73" t="b">
        <v>0</v>
      </c>
      <c r="M362" s="49" t="str">
        <f>IF(A362=Backdoors!B2,1+MAX(M361:M361),"")</f>
        <v/>
      </c>
    </row>
    <row r="363" spans="1:13" x14ac:dyDescent="0.25">
      <c r="A363" s="76" t="s">
        <v>221</v>
      </c>
      <c r="B363" s="78" t="s">
        <v>1315</v>
      </c>
      <c r="C363" s="75" t="s">
        <v>0</v>
      </c>
      <c r="D363" s="73">
        <v>29</v>
      </c>
      <c r="E363" s="73"/>
      <c r="F363" s="73">
        <v>1</v>
      </c>
      <c r="G363" s="73">
        <v>1</v>
      </c>
      <c r="H363" s="73">
        <v>1</v>
      </c>
      <c r="I363" s="73" t="s">
        <v>862</v>
      </c>
      <c r="J363" s="73" t="s">
        <v>862</v>
      </c>
      <c r="K363" s="78" t="b">
        <v>1</v>
      </c>
      <c r="L363" s="73" t="b">
        <v>0</v>
      </c>
      <c r="M363" s="49" t="str">
        <f>IF(A363=Backdoors!B2,1+MAX(M362:M362),"")</f>
        <v/>
      </c>
    </row>
    <row r="364" spans="1:13" x14ac:dyDescent="0.25">
      <c r="A364" s="76" t="s">
        <v>221</v>
      </c>
      <c r="B364" s="78" t="s">
        <v>1316</v>
      </c>
      <c r="C364" s="75" t="s">
        <v>0</v>
      </c>
      <c r="D364" s="73">
        <v>21</v>
      </c>
      <c r="E364" s="73"/>
      <c r="F364" s="73">
        <v>1</v>
      </c>
      <c r="G364" s="73">
        <v>1</v>
      </c>
      <c r="H364" s="73">
        <v>1</v>
      </c>
      <c r="I364" s="73" t="s">
        <v>862</v>
      </c>
      <c r="J364" s="73" t="s">
        <v>862</v>
      </c>
      <c r="K364" s="78" t="b">
        <v>1</v>
      </c>
      <c r="L364" s="73" t="b">
        <v>0</v>
      </c>
      <c r="M364" s="49" t="str">
        <f>IF(A364=Backdoors!B2,1+MAX(M363:M363),"")</f>
        <v/>
      </c>
    </row>
    <row r="365" spans="1:13" x14ac:dyDescent="0.25">
      <c r="A365" s="76" t="s">
        <v>221</v>
      </c>
      <c r="B365" s="78" t="s">
        <v>1317</v>
      </c>
      <c r="C365" s="75" t="s">
        <v>0</v>
      </c>
      <c r="D365" s="73">
        <v>18</v>
      </c>
      <c r="E365" s="73"/>
      <c r="F365" s="73">
        <v>1</v>
      </c>
      <c r="G365" s="73">
        <v>1</v>
      </c>
      <c r="H365" s="73">
        <v>1</v>
      </c>
      <c r="I365" s="73" t="s">
        <v>862</v>
      </c>
      <c r="J365" s="73" t="s">
        <v>862</v>
      </c>
      <c r="K365" s="78" t="b">
        <v>1</v>
      </c>
      <c r="L365" s="73" t="b">
        <v>0</v>
      </c>
      <c r="M365" s="49" t="str">
        <f>IF(A365=Backdoors!B2,1+MAX(M364:M364),"")</f>
        <v/>
      </c>
    </row>
    <row r="366" spans="1:13" x14ac:dyDescent="0.25">
      <c r="A366" s="76" t="s">
        <v>221</v>
      </c>
      <c r="B366" s="78" t="s">
        <v>1318</v>
      </c>
      <c r="C366" s="75" t="s">
        <v>0</v>
      </c>
      <c r="D366" s="73">
        <v>15</v>
      </c>
      <c r="E366" s="73"/>
      <c r="F366" s="73">
        <v>1</v>
      </c>
      <c r="G366" s="73">
        <v>1</v>
      </c>
      <c r="H366" s="73">
        <v>1</v>
      </c>
      <c r="I366" s="73" t="s">
        <v>862</v>
      </c>
      <c r="J366" s="73" t="s">
        <v>862</v>
      </c>
      <c r="K366" s="78" t="b">
        <v>1</v>
      </c>
      <c r="L366" s="73" t="b">
        <v>0</v>
      </c>
      <c r="M366" s="49" t="str">
        <f>IF(A366=Backdoors!B2,1+MAX(M365:M365),"")</f>
        <v/>
      </c>
    </row>
    <row r="367" spans="1:13" x14ac:dyDescent="0.25">
      <c r="A367" s="76" t="s">
        <v>221</v>
      </c>
      <c r="B367" s="78" t="s">
        <v>1319</v>
      </c>
      <c r="C367" s="75" t="s">
        <v>0</v>
      </c>
      <c r="D367" s="73">
        <v>22</v>
      </c>
      <c r="E367" s="73"/>
      <c r="F367" s="73">
        <v>1</v>
      </c>
      <c r="G367" s="73">
        <v>1</v>
      </c>
      <c r="H367" s="73">
        <v>1</v>
      </c>
      <c r="I367" s="73" t="s">
        <v>862</v>
      </c>
      <c r="J367" s="73" t="s">
        <v>862</v>
      </c>
      <c r="K367" s="78" t="b">
        <v>1</v>
      </c>
      <c r="L367" s="73" t="b">
        <v>0</v>
      </c>
      <c r="M367" s="49" t="str">
        <f>IF(A367=Backdoors!B2,1+MAX(M366:M366),"")</f>
        <v/>
      </c>
    </row>
    <row r="368" spans="1:13" x14ac:dyDescent="0.25">
      <c r="A368" s="76" t="s">
        <v>221</v>
      </c>
      <c r="B368" s="78" t="s">
        <v>1320</v>
      </c>
      <c r="C368" s="75" t="s">
        <v>0</v>
      </c>
      <c r="D368" s="73">
        <v>26</v>
      </c>
      <c r="E368" s="73"/>
      <c r="F368" s="73">
        <v>1</v>
      </c>
      <c r="G368" s="73">
        <v>1</v>
      </c>
      <c r="H368" s="73">
        <v>1</v>
      </c>
      <c r="I368" s="73" t="s">
        <v>862</v>
      </c>
      <c r="J368" s="73" t="s">
        <v>862</v>
      </c>
      <c r="K368" s="78" t="b">
        <v>1</v>
      </c>
      <c r="L368" s="73" t="b">
        <v>0</v>
      </c>
      <c r="M368" s="49" t="str">
        <f>IF(A368=Backdoors!B2,1+MAX(M367:M367),"")</f>
        <v/>
      </c>
    </row>
    <row r="369" spans="1:13" x14ac:dyDescent="0.25">
      <c r="A369" s="76" t="s">
        <v>221</v>
      </c>
      <c r="B369" s="78" t="s">
        <v>1321</v>
      </c>
      <c r="C369" s="75" t="s">
        <v>0</v>
      </c>
      <c r="D369" s="73">
        <v>24</v>
      </c>
      <c r="E369" s="73"/>
      <c r="F369" s="73">
        <v>1</v>
      </c>
      <c r="G369" s="73">
        <v>1</v>
      </c>
      <c r="H369" s="73">
        <v>1</v>
      </c>
      <c r="I369" s="73" t="s">
        <v>862</v>
      </c>
      <c r="J369" s="73" t="s">
        <v>862</v>
      </c>
      <c r="K369" s="78" t="b">
        <v>1</v>
      </c>
      <c r="L369" s="73" t="b">
        <v>0</v>
      </c>
      <c r="M369" s="49" t="str">
        <f>IF(A369=Backdoors!B2,1+MAX(M368:M368),"")</f>
        <v/>
      </c>
    </row>
    <row r="370" spans="1:13" x14ac:dyDescent="0.25">
      <c r="A370" s="76" t="s">
        <v>221</v>
      </c>
      <c r="B370" s="78" t="s">
        <v>1322</v>
      </c>
      <c r="C370" s="75" t="s">
        <v>0</v>
      </c>
      <c r="D370" s="73">
        <v>35</v>
      </c>
      <c r="E370" s="73"/>
      <c r="F370" s="73">
        <v>1</v>
      </c>
      <c r="G370" s="73">
        <v>1</v>
      </c>
      <c r="H370" s="73">
        <v>1</v>
      </c>
      <c r="I370" s="73" t="s">
        <v>862</v>
      </c>
      <c r="J370" s="73" t="s">
        <v>862</v>
      </c>
      <c r="K370" s="78" t="b">
        <v>1</v>
      </c>
      <c r="L370" s="73" t="b">
        <v>0</v>
      </c>
      <c r="M370" s="49" t="str">
        <f>IF(A370=Backdoors!B2,1+MAX(M369:M369),"")</f>
        <v/>
      </c>
    </row>
    <row r="371" spans="1:13" x14ac:dyDescent="0.25">
      <c r="A371" s="67" t="s">
        <v>221</v>
      </c>
      <c r="B371" s="78" t="s">
        <v>1323</v>
      </c>
      <c r="C371" s="75" t="s">
        <v>0</v>
      </c>
      <c r="D371" s="73">
        <v>45</v>
      </c>
      <c r="E371" s="73"/>
      <c r="F371" s="73">
        <v>1</v>
      </c>
      <c r="G371" s="73">
        <v>1</v>
      </c>
      <c r="H371" s="73">
        <v>1</v>
      </c>
      <c r="I371" s="73" t="s">
        <v>862</v>
      </c>
      <c r="J371" s="73" t="s">
        <v>862</v>
      </c>
      <c r="K371" s="78" t="b">
        <v>1</v>
      </c>
      <c r="L371" s="73" t="b">
        <v>0</v>
      </c>
      <c r="M371" s="49" t="str">
        <f>IF(A371=Backdoors!B2,1+MAX(M370:M370),"")</f>
        <v/>
      </c>
    </row>
    <row r="372" spans="1:13" x14ac:dyDescent="0.25">
      <c r="A372" s="76" t="s">
        <v>221</v>
      </c>
      <c r="B372" s="78" t="s">
        <v>1324</v>
      </c>
      <c r="C372" s="75" t="s">
        <v>0</v>
      </c>
      <c r="D372" s="73">
        <v>9</v>
      </c>
      <c r="E372" s="73"/>
      <c r="F372" s="73">
        <v>1</v>
      </c>
      <c r="G372" s="73">
        <v>1</v>
      </c>
      <c r="H372" s="73">
        <v>1</v>
      </c>
      <c r="I372" s="73" t="s">
        <v>862</v>
      </c>
      <c r="J372" s="73" t="s">
        <v>862</v>
      </c>
      <c r="K372" s="78" t="b">
        <v>1</v>
      </c>
      <c r="L372" s="73" t="b">
        <v>0</v>
      </c>
      <c r="M372" s="49" t="str">
        <f>IF(A372=Backdoors!B2,1+MAX(M371:M371),"")</f>
        <v/>
      </c>
    </row>
    <row r="373" spans="1:13" x14ac:dyDescent="0.25">
      <c r="A373" s="76" t="s">
        <v>221</v>
      </c>
      <c r="B373" s="78" t="s">
        <v>1325</v>
      </c>
      <c r="C373" s="75" t="s">
        <v>0</v>
      </c>
      <c r="D373" s="73">
        <v>30</v>
      </c>
      <c r="E373" s="73"/>
      <c r="F373" s="73">
        <v>1</v>
      </c>
      <c r="G373" s="73">
        <v>1</v>
      </c>
      <c r="H373" s="73">
        <v>1</v>
      </c>
      <c r="I373" s="73" t="s">
        <v>862</v>
      </c>
      <c r="J373" s="73" t="s">
        <v>862</v>
      </c>
      <c r="K373" s="78" t="b">
        <v>1</v>
      </c>
      <c r="L373" s="73" t="b">
        <v>0</v>
      </c>
      <c r="M373" s="49" t="str">
        <f>IF(A373=Backdoors!B2,1+MAX(M372:M372),"")</f>
        <v/>
      </c>
    </row>
    <row r="374" spans="1:13" x14ac:dyDescent="0.25">
      <c r="A374" s="76" t="s">
        <v>221</v>
      </c>
      <c r="B374" s="78" t="s">
        <v>1326</v>
      </c>
      <c r="C374" s="75" t="s">
        <v>0</v>
      </c>
      <c r="D374" s="73">
        <v>22</v>
      </c>
      <c r="E374" s="73"/>
      <c r="F374" s="73">
        <v>1</v>
      </c>
      <c r="G374" s="73">
        <v>1</v>
      </c>
      <c r="H374" s="73">
        <v>1</v>
      </c>
      <c r="I374" s="73" t="s">
        <v>862</v>
      </c>
      <c r="J374" s="73" t="s">
        <v>862</v>
      </c>
      <c r="K374" s="78" t="b">
        <v>1</v>
      </c>
      <c r="L374" s="73" t="b">
        <v>0</v>
      </c>
      <c r="M374" s="49" t="str">
        <f>IF(A374=Backdoors!B2,1+MAX(M373:M373),"")</f>
        <v/>
      </c>
    </row>
    <row r="375" spans="1:13" x14ac:dyDescent="0.25">
      <c r="A375" s="76" t="s">
        <v>221</v>
      </c>
      <c r="B375" s="78" t="s">
        <v>1327</v>
      </c>
      <c r="C375" s="75" t="s">
        <v>0</v>
      </c>
      <c r="D375" s="73">
        <v>19</v>
      </c>
      <c r="E375" s="73"/>
      <c r="F375" s="73">
        <v>1</v>
      </c>
      <c r="G375" s="73">
        <v>1</v>
      </c>
      <c r="H375" s="73">
        <v>1</v>
      </c>
      <c r="I375" s="73" t="s">
        <v>862</v>
      </c>
      <c r="J375" s="73" t="s">
        <v>862</v>
      </c>
      <c r="K375" s="78" t="b">
        <v>1</v>
      </c>
      <c r="L375" s="73" t="b">
        <v>0</v>
      </c>
      <c r="M375" s="49" t="str">
        <f>IF(A375=Backdoors!B2,1+MAX(M374:M374),"")</f>
        <v/>
      </c>
    </row>
    <row r="376" spans="1:13" x14ac:dyDescent="0.25">
      <c r="A376" s="76" t="s">
        <v>221</v>
      </c>
      <c r="B376" s="78" t="s">
        <v>1328</v>
      </c>
      <c r="C376" s="75" t="s">
        <v>0</v>
      </c>
      <c r="D376" s="73">
        <v>23</v>
      </c>
      <c r="E376" s="73"/>
      <c r="F376" s="73">
        <v>1</v>
      </c>
      <c r="G376" s="73">
        <v>1</v>
      </c>
      <c r="H376" s="73">
        <v>1</v>
      </c>
      <c r="I376" s="73" t="s">
        <v>862</v>
      </c>
      <c r="J376" s="73" t="s">
        <v>862</v>
      </c>
      <c r="K376" s="78" t="b">
        <v>1</v>
      </c>
      <c r="L376" s="73" t="b">
        <v>0</v>
      </c>
      <c r="M376" s="49" t="str">
        <f>IF(A376=Backdoors!B2,1+MAX(M375:M375),"")</f>
        <v/>
      </c>
    </row>
    <row r="377" spans="1:13" x14ac:dyDescent="0.25">
      <c r="A377" s="76" t="s">
        <v>221</v>
      </c>
      <c r="B377" s="78" t="s">
        <v>1329</v>
      </c>
      <c r="C377" s="75" t="s">
        <v>0</v>
      </c>
      <c r="D377" s="73">
        <v>26</v>
      </c>
      <c r="E377" s="73"/>
      <c r="F377" s="73">
        <v>1</v>
      </c>
      <c r="G377" s="73">
        <v>1</v>
      </c>
      <c r="H377" s="73">
        <v>1</v>
      </c>
      <c r="I377" s="73" t="s">
        <v>862</v>
      </c>
      <c r="J377" s="73" t="s">
        <v>862</v>
      </c>
      <c r="K377" s="78" t="b">
        <v>1</v>
      </c>
      <c r="L377" s="73" t="b">
        <v>0</v>
      </c>
      <c r="M377" s="49" t="str">
        <f>IF(A377=Backdoors!B2,1+MAX(M376:M376),"")</f>
        <v/>
      </c>
    </row>
    <row r="378" spans="1:13" x14ac:dyDescent="0.25">
      <c r="A378" s="76" t="s">
        <v>221</v>
      </c>
      <c r="B378" s="78" t="s">
        <v>1330</v>
      </c>
      <c r="C378" s="75" t="s">
        <v>0</v>
      </c>
      <c r="D378" s="73">
        <v>20</v>
      </c>
      <c r="E378" s="73"/>
      <c r="F378" s="73">
        <v>1</v>
      </c>
      <c r="G378" s="73">
        <v>1</v>
      </c>
      <c r="H378" s="73">
        <v>1</v>
      </c>
      <c r="I378" s="73" t="s">
        <v>862</v>
      </c>
      <c r="J378" s="73" t="s">
        <v>862</v>
      </c>
      <c r="K378" s="78" t="b">
        <v>1</v>
      </c>
      <c r="L378" s="73" t="b">
        <v>0</v>
      </c>
      <c r="M378" s="49" t="str">
        <f>IF(A378=Backdoors!B2,1+MAX(M377:M377),"")</f>
        <v/>
      </c>
    </row>
    <row r="379" spans="1:13" x14ac:dyDescent="0.25">
      <c r="A379" s="76" t="s">
        <v>221</v>
      </c>
      <c r="B379" s="78" t="s">
        <v>1331</v>
      </c>
      <c r="C379" s="75" t="s">
        <v>0</v>
      </c>
      <c r="D379" s="73">
        <v>25</v>
      </c>
      <c r="E379" s="73"/>
      <c r="F379" s="73">
        <v>1</v>
      </c>
      <c r="G379" s="73">
        <v>1</v>
      </c>
      <c r="H379" s="73">
        <v>1</v>
      </c>
      <c r="I379" s="73" t="s">
        <v>862</v>
      </c>
      <c r="J379" s="73" t="s">
        <v>862</v>
      </c>
      <c r="K379" s="78" t="b">
        <v>1</v>
      </c>
      <c r="L379" s="73" t="b">
        <v>0</v>
      </c>
      <c r="M379" s="49" t="str">
        <f>IF(A379=Backdoors!B2,1+MAX(M378:M378),"")</f>
        <v/>
      </c>
    </row>
    <row r="380" spans="1:13" x14ac:dyDescent="0.25">
      <c r="A380" s="76" t="s">
        <v>221</v>
      </c>
      <c r="B380" s="78" t="s">
        <v>1332</v>
      </c>
      <c r="C380" s="75" t="s">
        <v>0</v>
      </c>
      <c r="D380" s="73">
        <v>38</v>
      </c>
      <c r="E380" s="73"/>
      <c r="F380" s="73">
        <v>1</v>
      </c>
      <c r="G380" s="73">
        <v>1</v>
      </c>
      <c r="H380" s="73">
        <v>1</v>
      </c>
      <c r="I380" s="73" t="s">
        <v>862</v>
      </c>
      <c r="J380" s="73" t="s">
        <v>862</v>
      </c>
      <c r="K380" s="78" t="b">
        <v>1</v>
      </c>
      <c r="L380" s="73" t="b">
        <v>0</v>
      </c>
      <c r="M380" s="49" t="str">
        <f>IF(A380=Backdoors!B2,1+MAX(M379:M379),"")</f>
        <v/>
      </c>
    </row>
    <row r="381" spans="1:13" x14ac:dyDescent="0.25">
      <c r="A381" s="67" t="s">
        <v>221</v>
      </c>
      <c r="B381" s="78" t="s">
        <v>1333</v>
      </c>
      <c r="C381" s="75" t="s">
        <v>0</v>
      </c>
      <c r="D381" s="73">
        <v>43</v>
      </c>
      <c r="E381" s="73">
        <v>60</v>
      </c>
      <c r="F381" s="73">
        <v>1</v>
      </c>
      <c r="G381" s="73">
        <v>1</v>
      </c>
      <c r="H381" s="73">
        <v>1</v>
      </c>
      <c r="I381" s="73" t="s">
        <v>862</v>
      </c>
      <c r="J381" s="73" t="s">
        <v>862</v>
      </c>
      <c r="K381" s="78" t="b">
        <v>1</v>
      </c>
      <c r="L381" s="73" t="b">
        <v>1</v>
      </c>
      <c r="M381" s="49" t="str">
        <f>IF(A381=Backdoors!B2,1+MAX(M380:M380),"")</f>
        <v/>
      </c>
    </row>
    <row r="382" spans="1:13" x14ac:dyDescent="0.25">
      <c r="A382" s="76" t="s">
        <v>221</v>
      </c>
      <c r="B382" s="78" t="s">
        <v>1334</v>
      </c>
      <c r="C382" s="75" t="s">
        <v>0</v>
      </c>
      <c r="D382" s="73">
        <v>35</v>
      </c>
      <c r="E382" s="73">
        <v>50</v>
      </c>
      <c r="F382" s="73">
        <v>1</v>
      </c>
      <c r="G382" s="73">
        <v>1</v>
      </c>
      <c r="H382" s="73">
        <v>1</v>
      </c>
      <c r="I382" s="73" t="s">
        <v>862</v>
      </c>
      <c r="J382" s="73" t="s">
        <v>862</v>
      </c>
      <c r="K382" s="78" t="b">
        <v>1</v>
      </c>
      <c r="L382" s="73" t="b">
        <v>1</v>
      </c>
      <c r="M382" s="49" t="str">
        <f>IF(A382=Backdoors!B2,1+MAX(M381:M381),"")</f>
        <v/>
      </c>
    </row>
    <row r="383" spans="1:13" x14ac:dyDescent="0.25">
      <c r="A383" s="76" t="s">
        <v>221</v>
      </c>
      <c r="B383" s="78" t="s">
        <v>1335</v>
      </c>
      <c r="C383" s="75" t="s">
        <v>0</v>
      </c>
      <c r="D383" s="73">
        <v>74</v>
      </c>
      <c r="E383" s="73">
        <v>60</v>
      </c>
      <c r="F383" s="73">
        <v>1</v>
      </c>
      <c r="G383" s="73">
        <v>1</v>
      </c>
      <c r="H383" s="73">
        <v>1</v>
      </c>
      <c r="I383" s="73" t="s">
        <v>862</v>
      </c>
      <c r="J383" s="73" t="s">
        <v>862</v>
      </c>
      <c r="K383" s="78" t="b">
        <v>1</v>
      </c>
      <c r="L383" s="73" t="b">
        <v>1</v>
      </c>
      <c r="M383" s="49" t="str">
        <f>IF(A383=Backdoors!B2,1+MAX(M382:M382),"")</f>
        <v/>
      </c>
    </row>
    <row r="384" spans="1:13" x14ac:dyDescent="0.25">
      <c r="A384" s="76" t="s">
        <v>221</v>
      </c>
      <c r="B384" s="78" t="s">
        <v>1336</v>
      </c>
      <c r="C384" s="75" t="s">
        <v>0</v>
      </c>
      <c r="D384" s="73">
        <v>35</v>
      </c>
      <c r="E384" s="73">
        <v>60</v>
      </c>
      <c r="F384" s="73">
        <v>1</v>
      </c>
      <c r="G384" s="73">
        <v>1</v>
      </c>
      <c r="H384" s="73">
        <v>1</v>
      </c>
      <c r="I384" s="73" t="s">
        <v>862</v>
      </c>
      <c r="J384" s="73" t="s">
        <v>862</v>
      </c>
      <c r="K384" s="78" t="b">
        <v>1</v>
      </c>
      <c r="L384" s="73" t="b">
        <v>1</v>
      </c>
      <c r="M384" s="49" t="str">
        <f>IF(A384=Backdoors!B2,1+MAX(M383:M383),"")</f>
        <v/>
      </c>
    </row>
    <row r="385" spans="1:13" x14ac:dyDescent="0.25">
      <c r="A385" s="76" t="s">
        <v>221</v>
      </c>
      <c r="B385" s="78" t="s">
        <v>1337</v>
      </c>
      <c r="C385" s="75" t="s">
        <v>0</v>
      </c>
      <c r="D385" s="73">
        <v>10</v>
      </c>
      <c r="E385" s="73"/>
      <c r="F385" s="73">
        <v>0.1</v>
      </c>
      <c r="G385" s="73">
        <v>0.2</v>
      </c>
      <c r="H385" s="73">
        <v>0.2</v>
      </c>
      <c r="I385" s="73" t="s">
        <v>862</v>
      </c>
      <c r="J385" s="73" t="s">
        <v>862</v>
      </c>
      <c r="K385" s="78" t="b">
        <v>1</v>
      </c>
      <c r="L385" s="73" t="b">
        <v>0</v>
      </c>
      <c r="M385" s="49" t="str">
        <f>IF(A385=Backdoors!B2,1+MAX(M384:M384),"")</f>
        <v/>
      </c>
    </row>
    <row r="386" spans="1:13" x14ac:dyDescent="0.25">
      <c r="A386" s="67" t="s">
        <v>221</v>
      </c>
      <c r="B386" s="78" t="s">
        <v>1338</v>
      </c>
      <c r="C386" s="75" t="s">
        <v>0</v>
      </c>
      <c r="D386" s="73">
        <v>8</v>
      </c>
      <c r="E386" s="73"/>
      <c r="F386" s="73">
        <v>0.1</v>
      </c>
      <c r="G386" s="73">
        <v>0.5</v>
      </c>
      <c r="H386" s="73">
        <v>0.5</v>
      </c>
      <c r="I386" s="73" t="s">
        <v>862</v>
      </c>
      <c r="J386" s="73" t="s">
        <v>862</v>
      </c>
      <c r="K386" s="78" t="b">
        <v>1</v>
      </c>
      <c r="L386" s="73" t="b">
        <v>0</v>
      </c>
      <c r="M386" s="49" t="str">
        <f>IF(A386=Backdoors!B2,1+MAX(M385:M385),"")</f>
        <v/>
      </c>
    </row>
    <row r="387" spans="1:13" x14ac:dyDescent="0.25">
      <c r="A387" s="67" t="s">
        <v>221</v>
      </c>
      <c r="B387" s="78" t="s">
        <v>1339</v>
      </c>
      <c r="C387" s="75" t="s">
        <v>0</v>
      </c>
      <c r="D387" s="73">
        <v>18</v>
      </c>
      <c r="E387" s="73"/>
      <c r="F387" s="73">
        <v>0</v>
      </c>
      <c r="G387" s="73">
        <v>1</v>
      </c>
      <c r="H387" s="73">
        <v>1</v>
      </c>
      <c r="I387" s="73" t="s">
        <v>862</v>
      </c>
      <c r="J387" s="73" t="s">
        <v>862</v>
      </c>
      <c r="K387" s="78" t="b">
        <v>1</v>
      </c>
      <c r="L387" s="73" t="b">
        <v>0</v>
      </c>
      <c r="M387" s="49" t="str">
        <f>IF(A387=Backdoors!B2,1+MAX(M386:M386),"")</f>
        <v/>
      </c>
    </row>
    <row r="388" spans="1:13" x14ac:dyDescent="0.25">
      <c r="A388" s="76" t="s">
        <v>221</v>
      </c>
      <c r="B388" s="78" t="s">
        <v>1340</v>
      </c>
      <c r="C388" s="75" t="s">
        <v>0</v>
      </c>
      <c r="D388" s="73">
        <v>13</v>
      </c>
      <c r="E388" s="73"/>
      <c r="F388" s="73">
        <v>0.1</v>
      </c>
      <c r="G388" s="73">
        <v>0.5</v>
      </c>
      <c r="H388" s="73">
        <v>0.5</v>
      </c>
      <c r="I388" s="73" t="s">
        <v>862</v>
      </c>
      <c r="J388" s="73" t="s">
        <v>862</v>
      </c>
      <c r="K388" s="78" t="b">
        <v>1</v>
      </c>
      <c r="L388" s="73" t="b">
        <v>0</v>
      </c>
      <c r="M388" s="49" t="str">
        <f>IF(A388=Backdoors!B2,1+MAX(M387:M387),"")</f>
        <v/>
      </c>
    </row>
    <row r="389" spans="1:13" x14ac:dyDescent="0.25">
      <c r="A389" s="76" t="s">
        <v>221</v>
      </c>
      <c r="B389" s="78" t="s">
        <v>1341</v>
      </c>
      <c r="C389" s="75" t="s">
        <v>0</v>
      </c>
      <c r="D389" s="73">
        <v>85</v>
      </c>
      <c r="E389" s="73"/>
      <c r="F389" s="73">
        <v>1.2</v>
      </c>
      <c r="G389" s="73">
        <v>1</v>
      </c>
      <c r="H389" s="73">
        <v>1</v>
      </c>
      <c r="I389" s="73" t="s">
        <v>862</v>
      </c>
      <c r="J389" s="73" t="s">
        <v>862</v>
      </c>
      <c r="K389" s="78" t="b">
        <v>1</v>
      </c>
      <c r="L389" s="73" t="b">
        <v>0</v>
      </c>
      <c r="M389" s="49" t="str">
        <f>IF(A389=Backdoors!B2,1+MAX(M388:M388),"")</f>
        <v/>
      </c>
    </row>
    <row r="390" spans="1:13" x14ac:dyDescent="0.25">
      <c r="A390" s="76" t="s">
        <v>221</v>
      </c>
      <c r="B390" s="78" t="s">
        <v>1177</v>
      </c>
      <c r="C390" s="75" t="s">
        <v>0</v>
      </c>
      <c r="D390" s="73">
        <v>25</v>
      </c>
      <c r="E390" s="73"/>
      <c r="F390" s="73">
        <v>0</v>
      </c>
      <c r="G390" s="73">
        <v>1</v>
      </c>
      <c r="H390" s="73">
        <v>1</v>
      </c>
      <c r="I390" s="73" t="s">
        <v>862</v>
      </c>
      <c r="J390" s="73" t="s">
        <v>862</v>
      </c>
      <c r="K390" s="78" t="b">
        <v>1</v>
      </c>
      <c r="L390" s="73" t="b">
        <v>0</v>
      </c>
      <c r="M390" s="49" t="str">
        <f>IF(A390=Backdoors!B2,1+MAX(M389:M389),"")</f>
        <v/>
      </c>
    </row>
    <row r="391" spans="1:13" x14ac:dyDescent="0.25">
      <c r="A391" s="76" t="s">
        <v>221</v>
      </c>
      <c r="B391" s="78" t="s">
        <v>1178</v>
      </c>
      <c r="C391" s="75" t="s">
        <v>0</v>
      </c>
      <c r="D391" s="73">
        <v>45</v>
      </c>
      <c r="E391" s="73"/>
      <c r="F391" s="73">
        <v>1</v>
      </c>
      <c r="G391" s="73">
        <v>1</v>
      </c>
      <c r="H391" s="73">
        <v>1</v>
      </c>
      <c r="I391" s="73" t="s">
        <v>862</v>
      </c>
      <c r="J391" s="73" t="s">
        <v>862</v>
      </c>
      <c r="K391" s="78" t="b">
        <v>1</v>
      </c>
      <c r="L391" s="73" t="b">
        <v>0</v>
      </c>
      <c r="M391" s="49" t="str">
        <f>IF(A391=Backdoors!B2,1+MAX(M390:M390),"")</f>
        <v/>
      </c>
    </row>
    <row r="392" spans="1:13" x14ac:dyDescent="0.25">
      <c r="A392" s="76" t="s">
        <v>221</v>
      </c>
      <c r="B392" s="78" t="s">
        <v>1342</v>
      </c>
      <c r="C392" s="75" t="s">
        <v>0</v>
      </c>
      <c r="D392" s="73">
        <v>7</v>
      </c>
      <c r="E392" s="73"/>
      <c r="F392" s="73">
        <v>0</v>
      </c>
      <c r="G392" s="73">
        <v>1</v>
      </c>
      <c r="H392" s="73">
        <v>1</v>
      </c>
      <c r="I392" s="73" t="s">
        <v>862</v>
      </c>
      <c r="J392" s="73" t="s">
        <v>862</v>
      </c>
      <c r="K392" s="78" t="b">
        <v>1</v>
      </c>
      <c r="L392" s="73" t="b">
        <v>0</v>
      </c>
      <c r="M392" s="49" t="str">
        <f>IF(A392=Backdoors!B2,1+MAX(M391:M391),"")</f>
        <v/>
      </c>
    </row>
    <row r="393" spans="1:13" x14ac:dyDescent="0.25">
      <c r="A393" s="76" t="s">
        <v>221</v>
      </c>
      <c r="B393" s="78" t="s">
        <v>1343</v>
      </c>
      <c r="C393" s="75" t="s">
        <v>0</v>
      </c>
      <c r="D393" s="73">
        <v>55</v>
      </c>
      <c r="E393" s="73"/>
      <c r="F393" s="73">
        <v>1</v>
      </c>
      <c r="G393" s="73">
        <v>1</v>
      </c>
      <c r="H393" s="73">
        <v>1</v>
      </c>
      <c r="I393" s="73" t="s">
        <v>862</v>
      </c>
      <c r="J393" s="73" t="s">
        <v>862</v>
      </c>
      <c r="K393" s="78" t="b">
        <v>1</v>
      </c>
      <c r="L393" s="73" t="b">
        <v>0</v>
      </c>
      <c r="M393" s="49" t="str">
        <f>IF(A393=Backdoors!B2,1+MAX(M392:M392),"")</f>
        <v/>
      </c>
    </row>
    <row r="394" spans="1:13" x14ac:dyDescent="0.25">
      <c r="A394" s="76" t="s">
        <v>221</v>
      </c>
      <c r="B394" s="78" t="s">
        <v>1344</v>
      </c>
      <c r="C394" s="75" t="s">
        <v>0</v>
      </c>
      <c r="D394" s="73">
        <v>20</v>
      </c>
      <c r="E394" s="73"/>
      <c r="F394" s="73">
        <v>0</v>
      </c>
      <c r="G394" s="73">
        <v>1</v>
      </c>
      <c r="H394" s="73">
        <v>1</v>
      </c>
      <c r="I394" s="73" t="s">
        <v>862</v>
      </c>
      <c r="J394" s="73" t="s">
        <v>862</v>
      </c>
      <c r="K394" s="78" t="b">
        <v>1</v>
      </c>
      <c r="L394" s="73" t="b">
        <v>0</v>
      </c>
      <c r="M394" s="49" t="str">
        <f>IF(A394=Backdoors!B2,1+MAX(M393:M393),"")</f>
        <v/>
      </c>
    </row>
    <row r="395" spans="1:13" x14ac:dyDescent="0.25">
      <c r="A395" s="76" t="s">
        <v>221</v>
      </c>
      <c r="B395" s="78" t="s">
        <v>1345</v>
      </c>
      <c r="C395" s="75" t="s">
        <v>0</v>
      </c>
      <c r="D395" s="73">
        <v>5</v>
      </c>
      <c r="E395" s="73"/>
      <c r="F395" s="73">
        <v>0</v>
      </c>
      <c r="G395" s="73">
        <v>0.5</v>
      </c>
      <c r="H395" s="73">
        <v>0.5</v>
      </c>
      <c r="I395" s="73" t="s">
        <v>862</v>
      </c>
      <c r="J395" s="73" t="s">
        <v>862</v>
      </c>
      <c r="K395" s="78" t="b">
        <v>1</v>
      </c>
      <c r="L395" s="73" t="b">
        <v>0</v>
      </c>
      <c r="M395" s="49" t="str">
        <f>IF(A395=Backdoors!B2,1+MAX(M394:M394),"")</f>
        <v/>
      </c>
    </row>
    <row r="396" spans="1:13" x14ac:dyDescent="0.25">
      <c r="A396" s="76" t="s">
        <v>221</v>
      </c>
      <c r="B396" s="78" t="s">
        <v>1346</v>
      </c>
      <c r="C396" s="75" t="s">
        <v>0</v>
      </c>
      <c r="D396" s="73">
        <v>100</v>
      </c>
      <c r="E396" s="73"/>
      <c r="F396" s="73">
        <v>1</v>
      </c>
      <c r="G396" s="73">
        <v>1</v>
      </c>
      <c r="H396" s="73">
        <v>1</v>
      </c>
      <c r="I396" s="73" t="s">
        <v>862</v>
      </c>
      <c r="J396" s="73" t="s">
        <v>862</v>
      </c>
      <c r="K396" s="78" t="b">
        <v>1</v>
      </c>
      <c r="L396" s="73" t="b">
        <v>0</v>
      </c>
      <c r="M396" s="49" t="str">
        <f>IF(A396=Backdoors!B2,1+MAX(M395:M395),"")</f>
        <v/>
      </c>
    </row>
    <row r="397" spans="1:13" x14ac:dyDescent="0.25">
      <c r="A397" s="67" t="s">
        <v>222</v>
      </c>
      <c r="B397" s="77" t="s">
        <v>1403</v>
      </c>
      <c r="C397" s="73" t="s">
        <v>0</v>
      </c>
      <c r="D397" s="73">
        <v>20</v>
      </c>
      <c r="E397" s="73"/>
      <c r="F397" s="73">
        <v>1</v>
      </c>
      <c r="G397" s="73">
        <v>1</v>
      </c>
      <c r="H397" s="73">
        <v>1</v>
      </c>
      <c r="I397" s="73" t="s">
        <v>862</v>
      </c>
      <c r="J397" s="73" t="s">
        <v>862</v>
      </c>
      <c r="K397" s="78" t="b">
        <v>1</v>
      </c>
      <c r="L397" s="73" t="b">
        <v>0</v>
      </c>
      <c r="M397" s="49" t="str">
        <f>IF(A397=Backdoors!B2,1+MAX(M396:M396),"")</f>
        <v/>
      </c>
    </row>
    <row r="398" spans="1:13" x14ac:dyDescent="0.25">
      <c r="A398" s="76" t="s">
        <v>222</v>
      </c>
      <c r="B398" s="77" t="s">
        <v>1404</v>
      </c>
      <c r="C398" s="73" t="s">
        <v>0</v>
      </c>
      <c r="D398" s="73">
        <v>12</v>
      </c>
      <c r="E398" s="73"/>
      <c r="F398" s="73">
        <v>1</v>
      </c>
      <c r="G398" s="73">
        <v>1</v>
      </c>
      <c r="H398" s="73">
        <v>1</v>
      </c>
      <c r="I398" s="73" t="s">
        <v>862</v>
      </c>
      <c r="J398" s="73" t="s">
        <v>862</v>
      </c>
      <c r="K398" s="78" t="b">
        <v>1</v>
      </c>
      <c r="L398" s="73" t="b">
        <v>0</v>
      </c>
      <c r="M398" s="49" t="str">
        <f>IF(A398=Backdoors!B2,1+MAX(M397:M397),"")</f>
        <v/>
      </c>
    </row>
    <row r="399" spans="1:13" x14ac:dyDescent="0.25">
      <c r="A399" s="76" t="s">
        <v>222</v>
      </c>
      <c r="B399" s="77" t="s">
        <v>1405</v>
      </c>
      <c r="C399" s="73" t="s">
        <v>0</v>
      </c>
      <c r="D399" s="73">
        <v>15</v>
      </c>
      <c r="E399" s="73"/>
      <c r="F399" s="73">
        <v>1</v>
      </c>
      <c r="G399" s="73">
        <v>1</v>
      </c>
      <c r="H399" s="73">
        <v>1</v>
      </c>
      <c r="I399" s="73" t="s">
        <v>862</v>
      </c>
      <c r="J399" s="73" t="s">
        <v>862</v>
      </c>
      <c r="K399" s="78" t="b">
        <v>1</v>
      </c>
      <c r="L399" s="73" t="b">
        <v>0</v>
      </c>
      <c r="M399" s="49" t="str">
        <f>IF(A399=Backdoors!B2,1+MAX(M398:M398),"")</f>
        <v/>
      </c>
    </row>
    <row r="400" spans="1:13" x14ac:dyDescent="0.25">
      <c r="A400" s="76" t="s">
        <v>222</v>
      </c>
      <c r="B400" s="77" t="s">
        <v>1406</v>
      </c>
      <c r="C400" s="73" t="s">
        <v>0</v>
      </c>
      <c r="D400" s="73">
        <v>30</v>
      </c>
      <c r="E400" s="73"/>
      <c r="F400" s="73">
        <v>1</v>
      </c>
      <c r="G400" s="73">
        <v>1</v>
      </c>
      <c r="H400" s="73">
        <v>1</v>
      </c>
      <c r="I400" s="73" t="s">
        <v>862</v>
      </c>
      <c r="J400" s="73" t="s">
        <v>862</v>
      </c>
      <c r="K400" s="78" t="b">
        <v>1</v>
      </c>
      <c r="L400" s="73" t="b">
        <v>0</v>
      </c>
      <c r="M400" s="49" t="str">
        <f>IF(A400=Backdoors!B2,1+MAX(M399:M399),"")</f>
        <v/>
      </c>
    </row>
    <row r="401" spans="1:13" x14ac:dyDescent="0.25">
      <c r="A401" s="76" t="s">
        <v>222</v>
      </c>
      <c r="B401" s="77" t="s">
        <v>1407</v>
      </c>
      <c r="C401" s="73" t="s">
        <v>0</v>
      </c>
      <c r="D401" s="73">
        <v>13</v>
      </c>
      <c r="E401" s="73"/>
      <c r="F401" s="73">
        <v>1</v>
      </c>
      <c r="G401" s="73">
        <v>1</v>
      </c>
      <c r="H401" s="73">
        <v>1</v>
      </c>
      <c r="I401" s="73" t="s">
        <v>862</v>
      </c>
      <c r="J401" s="73" t="s">
        <v>862</v>
      </c>
      <c r="K401" s="78" t="b">
        <v>1</v>
      </c>
      <c r="L401" s="73" t="b">
        <v>0</v>
      </c>
      <c r="M401" s="49" t="str">
        <f>IF(A401=Backdoors!B2,1+MAX(M400:M400),"")</f>
        <v/>
      </c>
    </row>
    <row r="402" spans="1:13" x14ac:dyDescent="0.25">
      <c r="A402" s="76" t="s">
        <v>222</v>
      </c>
      <c r="B402" s="77" t="s">
        <v>1408</v>
      </c>
      <c r="C402" s="73" t="s">
        <v>0</v>
      </c>
      <c r="D402" s="73">
        <v>27</v>
      </c>
      <c r="E402" s="73"/>
      <c r="F402" s="73">
        <v>1</v>
      </c>
      <c r="G402" s="73">
        <v>1</v>
      </c>
      <c r="H402" s="73">
        <v>1</v>
      </c>
      <c r="I402" s="73" t="s">
        <v>862</v>
      </c>
      <c r="J402" s="73" t="s">
        <v>862</v>
      </c>
      <c r="K402" s="78" t="b">
        <v>1</v>
      </c>
      <c r="L402" s="73" t="b">
        <v>0</v>
      </c>
      <c r="M402" s="49" t="str">
        <f>IF(A402=Backdoors!B2,1+MAX(M401:M401),"")</f>
        <v/>
      </c>
    </row>
    <row r="403" spans="1:13" x14ac:dyDescent="0.25">
      <c r="A403" s="76" t="s">
        <v>222</v>
      </c>
      <c r="B403" s="77" t="s">
        <v>1409</v>
      </c>
      <c r="C403" s="73" t="s">
        <v>0</v>
      </c>
      <c r="D403" s="73">
        <v>18</v>
      </c>
      <c r="E403" s="73"/>
      <c r="F403" s="73">
        <v>1</v>
      </c>
      <c r="G403" s="73">
        <v>1</v>
      </c>
      <c r="H403" s="73">
        <v>1</v>
      </c>
      <c r="I403" s="73" t="s">
        <v>862</v>
      </c>
      <c r="J403" s="73" t="s">
        <v>862</v>
      </c>
      <c r="K403" s="78" t="b">
        <v>1</v>
      </c>
      <c r="L403" s="73" t="b">
        <v>0</v>
      </c>
      <c r="M403" s="49" t="str">
        <f>IF(A403=Backdoors!B2,1+MAX(M402:M402),"")</f>
        <v/>
      </c>
    </row>
    <row r="404" spans="1:13" x14ac:dyDescent="0.25">
      <c r="A404" s="76" t="s">
        <v>222</v>
      </c>
      <c r="B404" s="77" t="s">
        <v>1410</v>
      </c>
      <c r="C404" s="73" t="s">
        <v>0</v>
      </c>
      <c r="D404" s="73">
        <v>60</v>
      </c>
      <c r="E404" s="73"/>
      <c r="F404" s="73">
        <v>1</v>
      </c>
      <c r="G404" s="73">
        <v>1</v>
      </c>
      <c r="H404" s="73">
        <v>1</v>
      </c>
      <c r="I404" s="73" t="s">
        <v>862</v>
      </c>
      <c r="J404" s="73" t="s">
        <v>862</v>
      </c>
      <c r="K404" s="78" t="b">
        <v>1</v>
      </c>
      <c r="L404" s="73" t="b">
        <v>0</v>
      </c>
      <c r="M404" s="49" t="str">
        <f>IF(A404=Backdoors!B2,1+MAX(M403:M403),"")</f>
        <v/>
      </c>
    </row>
    <row r="405" spans="1:13" x14ac:dyDescent="0.25">
      <c r="A405" s="76" t="s">
        <v>222</v>
      </c>
      <c r="B405" s="77" t="s">
        <v>1411</v>
      </c>
      <c r="C405" s="73" t="s">
        <v>0</v>
      </c>
      <c r="D405" s="73">
        <v>12</v>
      </c>
      <c r="E405" s="73"/>
      <c r="F405" s="73">
        <v>1</v>
      </c>
      <c r="G405" s="73">
        <v>1</v>
      </c>
      <c r="H405" s="73">
        <v>1</v>
      </c>
      <c r="I405" s="73" t="s">
        <v>862</v>
      </c>
      <c r="J405" s="73" t="s">
        <v>862</v>
      </c>
      <c r="K405" s="78" t="b">
        <v>1</v>
      </c>
      <c r="L405" s="73" t="b">
        <v>0</v>
      </c>
      <c r="M405" s="49" t="str">
        <f>IF(A405=Backdoors!B2,1+MAX(M404:M404),"")</f>
        <v/>
      </c>
    </row>
    <row r="406" spans="1:13" x14ac:dyDescent="0.25">
      <c r="A406" s="76" t="s">
        <v>222</v>
      </c>
      <c r="B406" s="77" t="s">
        <v>1412</v>
      </c>
      <c r="C406" s="73" t="s">
        <v>0</v>
      </c>
      <c r="D406" s="73">
        <v>8</v>
      </c>
      <c r="E406" s="73"/>
      <c r="F406" s="73">
        <v>1</v>
      </c>
      <c r="G406" s="73">
        <v>1</v>
      </c>
      <c r="H406" s="73">
        <v>1</v>
      </c>
      <c r="I406" s="73" t="s">
        <v>862</v>
      </c>
      <c r="J406" s="73" t="s">
        <v>862</v>
      </c>
      <c r="K406" s="78" t="b">
        <v>1</v>
      </c>
      <c r="L406" s="73" t="b">
        <v>0</v>
      </c>
      <c r="M406" s="49" t="str">
        <f>IF(A406=Backdoors!B2,1+MAX(M405:M405),"")</f>
        <v/>
      </c>
    </row>
    <row r="407" spans="1:13" x14ac:dyDescent="0.25">
      <c r="A407" s="67" t="s">
        <v>222</v>
      </c>
      <c r="B407" s="77" t="s">
        <v>1413</v>
      </c>
      <c r="C407" s="73" t="s">
        <v>0</v>
      </c>
      <c r="D407" s="73">
        <v>30</v>
      </c>
      <c r="E407" s="73"/>
      <c r="F407" s="73">
        <v>1</v>
      </c>
      <c r="G407" s="73">
        <v>1</v>
      </c>
      <c r="H407" s="73">
        <v>1</v>
      </c>
      <c r="I407" s="73" t="s">
        <v>862</v>
      </c>
      <c r="J407" s="73" t="s">
        <v>862</v>
      </c>
      <c r="K407" s="78" t="b">
        <v>1</v>
      </c>
      <c r="L407" s="73" t="b">
        <v>0</v>
      </c>
      <c r="M407" s="49" t="str">
        <f>IF(A407=Backdoors!B2,1+MAX(M406:M406),"")</f>
        <v/>
      </c>
    </row>
    <row r="408" spans="1:13" x14ac:dyDescent="0.25">
      <c r="A408" s="76" t="s">
        <v>222</v>
      </c>
      <c r="B408" s="77" t="s">
        <v>1414</v>
      </c>
      <c r="C408" s="73" t="s">
        <v>0</v>
      </c>
      <c r="D408" s="73">
        <v>50</v>
      </c>
      <c r="E408" s="73"/>
      <c r="F408" s="73">
        <v>1</v>
      </c>
      <c r="G408" s="73">
        <v>1</v>
      </c>
      <c r="H408" s="73">
        <v>1</v>
      </c>
      <c r="I408" s="73" t="s">
        <v>862</v>
      </c>
      <c r="J408" s="73" t="s">
        <v>862</v>
      </c>
      <c r="K408" s="78" t="b">
        <v>1</v>
      </c>
      <c r="L408" s="73" t="b">
        <v>0</v>
      </c>
      <c r="M408" s="49" t="str">
        <f>IF(A408=Backdoors!B2,1+MAX(M407:M407),"")</f>
        <v/>
      </c>
    </row>
    <row r="409" spans="1:13" x14ac:dyDescent="0.25">
      <c r="A409" s="76" t="s">
        <v>222</v>
      </c>
      <c r="B409" s="77" t="s">
        <v>1415</v>
      </c>
      <c r="C409" s="73" t="s">
        <v>0</v>
      </c>
      <c r="D409" s="73">
        <v>52</v>
      </c>
      <c r="E409" s="73"/>
      <c r="F409" s="73">
        <v>1</v>
      </c>
      <c r="G409" s="73">
        <v>1</v>
      </c>
      <c r="H409" s="73">
        <v>1</v>
      </c>
      <c r="I409" s="73" t="s">
        <v>862</v>
      </c>
      <c r="J409" s="73" t="s">
        <v>862</v>
      </c>
      <c r="K409" s="78" t="b">
        <v>1</v>
      </c>
      <c r="L409" s="73" t="b">
        <v>0</v>
      </c>
      <c r="M409" s="49" t="str">
        <f>IF(A409=Backdoors!B2,1+MAX(M408:M408),"")</f>
        <v/>
      </c>
    </row>
    <row r="410" spans="1:13" x14ac:dyDescent="0.25">
      <c r="A410" s="76" t="s">
        <v>222</v>
      </c>
      <c r="B410" s="77" t="s">
        <v>1305</v>
      </c>
      <c r="C410" s="73" t="s">
        <v>0</v>
      </c>
      <c r="D410" s="73">
        <v>38</v>
      </c>
      <c r="E410" s="73"/>
      <c r="F410" s="73">
        <v>1</v>
      </c>
      <c r="G410" s="73">
        <v>1</v>
      </c>
      <c r="H410" s="73">
        <v>1</v>
      </c>
      <c r="I410" s="73" t="s">
        <v>862</v>
      </c>
      <c r="J410" s="73" t="s">
        <v>862</v>
      </c>
      <c r="K410" s="78" t="b">
        <v>1</v>
      </c>
      <c r="L410" s="73" t="b">
        <v>0</v>
      </c>
      <c r="M410" s="49" t="str">
        <f>IF(A410=Backdoors!B2,1+MAX(M409:M409),"")</f>
        <v/>
      </c>
    </row>
    <row r="411" spans="1:13" x14ac:dyDescent="0.25">
      <c r="A411" s="76" t="s">
        <v>222</v>
      </c>
      <c r="B411" s="77" t="s">
        <v>1306</v>
      </c>
      <c r="C411" s="73" t="s">
        <v>0</v>
      </c>
      <c r="D411" s="73">
        <v>48</v>
      </c>
      <c r="E411" s="73"/>
      <c r="F411" s="73">
        <v>1</v>
      </c>
      <c r="G411" s="73">
        <v>1</v>
      </c>
      <c r="H411" s="73">
        <v>1</v>
      </c>
      <c r="I411" s="73" t="s">
        <v>862</v>
      </c>
      <c r="J411" s="73" t="s">
        <v>862</v>
      </c>
      <c r="K411" s="78" t="b">
        <v>1</v>
      </c>
      <c r="L411" s="73" t="b">
        <v>0</v>
      </c>
      <c r="M411" s="49" t="str">
        <f>IF(A411=Backdoors!B2,1+MAX(M410:M410),"")</f>
        <v/>
      </c>
    </row>
    <row r="412" spans="1:13" x14ac:dyDescent="0.25">
      <c r="A412" s="76" t="s">
        <v>222</v>
      </c>
      <c r="B412" s="77" t="s">
        <v>1416</v>
      </c>
      <c r="C412" s="73" t="s">
        <v>0</v>
      </c>
      <c r="D412" s="73">
        <v>25</v>
      </c>
      <c r="E412" s="73"/>
      <c r="F412" s="73">
        <v>1</v>
      </c>
      <c r="G412" s="73">
        <v>1</v>
      </c>
      <c r="H412" s="73">
        <v>1</v>
      </c>
      <c r="I412" s="73" t="s">
        <v>862</v>
      </c>
      <c r="J412" s="73" t="s">
        <v>862</v>
      </c>
      <c r="K412" s="78" t="b">
        <v>1</v>
      </c>
      <c r="L412" s="73" t="b">
        <v>0</v>
      </c>
      <c r="M412" s="49" t="str">
        <f>IF(A412=Backdoors!B2,1+MAX(M411:M411),"")</f>
        <v/>
      </c>
    </row>
    <row r="413" spans="1:13" x14ac:dyDescent="0.25">
      <c r="A413" s="76" t="s">
        <v>222</v>
      </c>
      <c r="B413" s="77" t="s">
        <v>1417</v>
      </c>
      <c r="C413" s="73" t="s">
        <v>0</v>
      </c>
      <c r="D413" s="73">
        <v>20</v>
      </c>
      <c r="E413" s="73"/>
      <c r="F413" s="73">
        <v>1</v>
      </c>
      <c r="G413" s="73">
        <v>1</v>
      </c>
      <c r="H413" s="73">
        <v>1</v>
      </c>
      <c r="I413" s="73" t="s">
        <v>862</v>
      </c>
      <c r="J413" s="73" t="s">
        <v>862</v>
      </c>
      <c r="K413" s="78" t="b">
        <v>1</v>
      </c>
      <c r="L413" s="73" t="b">
        <v>0</v>
      </c>
      <c r="M413" s="49" t="str">
        <f>IF(A413=Backdoors!B2,1+MAX(M412:M412),"")</f>
        <v/>
      </c>
    </row>
    <row r="414" spans="1:13" x14ac:dyDescent="0.25">
      <c r="A414" s="76" t="s">
        <v>222</v>
      </c>
      <c r="B414" s="77" t="s">
        <v>1418</v>
      </c>
      <c r="C414" s="73" t="s">
        <v>0</v>
      </c>
      <c r="D414" s="73">
        <v>66</v>
      </c>
      <c r="E414" s="73"/>
      <c r="F414" s="73">
        <v>1</v>
      </c>
      <c r="G414" s="73">
        <v>1</v>
      </c>
      <c r="H414" s="73">
        <v>1</v>
      </c>
      <c r="I414" s="73" t="s">
        <v>862</v>
      </c>
      <c r="J414" s="73" t="s">
        <v>862</v>
      </c>
      <c r="K414" s="78" t="b">
        <v>1</v>
      </c>
      <c r="L414" s="73" t="b">
        <v>0</v>
      </c>
      <c r="M414" s="49" t="str">
        <f>IF(A414=Backdoors!B2,1+MAX(M413:M413),"")</f>
        <v/>
      </c>
    </row>
    <row r="415" spans="1:13" x14ac:dyDescent="0.25">
      <c r="A415" s="76" t="s">
        <v>222</v>
      </c>
      <c r="B415" s="77" t="s">
        <v>1419</v>
      </c>
      <c r="C415" s="73" t="s">
        <v>0</v>
      </c>
      <c r="D415" s="73">
        <v>82</v>
      </c>
      <c r="E415" s="73"/>
      <c r="F415" s="73">
        <v>1</v>
      </c>
      <c r="G415" s="73">
        <v>1</v>
      </c>
      <c r="H415" s="73">
        <v>1</v>
      </c>
      <c r="I415" s="73" t="s">
        <v>862</v>
      </c>
      <c r="J415" s="73" t="s">
        <v>862</v>
      </c>
      <c r="K415" s="78" t="b">
        <v>1</v>
      </c>
      <c r="L415" s="73" t="b">
        <v>0</v>
      </c>
      <c r="M415" s="49" t="str">
        <f>IF(A415=Backdoors!B2,1+MAX(M414:M414),"")</f>
        <v/>
      </c>
    </row>
    <row r="416" spans="1:13" x14ac:dyDescent="0.25">
      <c r="A416" s="76" t="s">
        <v>222</v>
      </c>
      <c r="B416" s="77" t="s">
        <v>1420</v>
      </c>
      <c r="C416" s="73" t="s">
        <v>0</v>
      </c>
      <c r="D416" s="73">
        <v>15</v>
      </c>
      <c r="E416" s="73"/>
      <c r="F416" s="73">
        <v>1</v>
      </c>
      <c r="G416" s="73">
        <v>1</v>
      </c>
      <c r="H416" s="73">
        <v>1</v>
      </c>
      <c r="I416" s="73" t="s">
        <v>862</v>
      </c>
      <c r="J416" s="73" t="s">
        <v>862</v>
      </c>
      <c r="K416" s="78" t="b">
        <v>1</v>
      </c>
      <c r="L416" s="73" t="b">
        <v>0</v>
      </c>
      <c r="M416" s="49" t="str">
        <f>IF(A416=Backdoors!B2,1+MAX(M415:M415),"")</f>
        <v/>
      </c>
    </row>
    <row r="417" spans="1:13" x14ac:dyDescent="0.25">
      <c r="A417" s="67" t="s">
        <v>222</v>
      </c>
      <c r="B417" s="77" t="s">
        <v>1421</v>
      </c>
      <c r="C417" s="73" t="s">
        <v>0</v>
      </c>
      <c r="D417" s="73">
        <v>82</v>
      </c>
      <c r="E417" s="73"/>
      <c r="F417" s="73">
        <v>1</v>
      </c>
      <c r="G417" s="73">
        <v>1</v>
      </c>
      <c r="H417" s="73">
        <v>1</v>
      </c>
      <c r="I417" s="73" t="s">
        <v>862</v>
      </c>
      <c r="J417" s="73" t="s">
        <v>862</v>
      </c>
      <c r="K417" s="78" t="b">
        <v>1</v>
      </c>
      <c r="L417" s="73" t="b">
        <v>0</v>
      </c>
      <c r="M417" s="49" t="str">
        <f>IF(A417=Backdoors!B2,1+MAX(M416:M416),"")</f>
        <v/>
      </c>
    </row>
    <row r="418" spans="1:13" x14ac:dyDescent="0.25">
      <c r="A418" s="76" t="s">
        <v>222</v>
      </c>
      <c r="B418" s="77" t="s">
        <v>1422</v>
      </c>
      <c r="C418" s="73" t="s">
        <v>0</v>
      </c>
      <c r="D418" s="73">
        <v>66</v>
      </c>
      <c r="E418" s="73"/>
      <c r="F418" s="73">
        <v>1</v>
      </c>
      <c r="G418" s="73">
        <v>1</v>
      </c>
      <c r="H418" s="73">
        <v>1</v>
      </c>
      <c r="I418" s="73" t="s">
        <v>862</v>
      </c>
      <c r="J418" s="73" t="s">
        <v>862</v>
      </c>
      <c r="K418" s="78" t="b">
        <v>1</v>
      </c>
      <c r="L418" s="73" t="b">
        <v>0</v>
      </c>
      <c r="M418" s="49" t="str">
        <f>IF(A418=Backdoors!B2,1+MAX(M417:M417),"")</f>
        <v/>
      </c>
    </row>
    <row r="419" spans="1:13" x14ac:dyDescent="0.25">
      <c r="A419" s="76" t="s">
        <v>222</v>
      </c>
      <c r="B419" s="77" t="s">
        <v>1423</v>
      </c>
      <c r="C419" s="73" t="s">
        <v>0</v>
      </c>
      <c r="D419" s="73">
        <v>15</v>
      </c>
      <c r="E419" s="73"/>
      <c r="F419" s="73">
        <v>1</v>
      </c>
      <c r="G419" s="73">
        <v>1</v>
      </c>
      <c r="H419" s="73">
        <v>1</v>
      </c>
      <c r="I419" s="73" t="s">
        <v>862</v>
      </c>
      <c r="J419" s="73" t="s">
        <v>862</v>
      </c>
      <c r="K419" s="78" t="b">
        <v>1</v>
      </c>
      <c r="L419" s="73" t="b">
        <v>0</v>
      </c>
      <c r="M419" s="49" t="str">
        <f>IF(A419=Backdoors!B2,1+MAX(M418:M418),"")</f>
        <v/>
      </c>
    </row>
    <row r="420" spans="1:13" x14ac:dyDescent="0.25">
      <c r="A420" s="76" t="s">
        <v>222</v>
      </c>
      <c r="B420" s="77" t="s">
        <v>1424</v>
      </c>
      <c r="C420" s="73" t="s">
        <v>0</v>
      </c>
      <c r="D420" s="73">
        <v>82</v>
      </c>
      <c r="E420" s="73"/>
      <c r="F420" s="73">
        <v>1</v>
      </c>
      <c r="G420" s="73">
        <v>1</v>
      </c>
      <c r="H420" s="73">
        <v>1</v>
      </c>
      <c r="I420" s="73" t="s">
        <v>862</v>
      </c>
      <c r="J420" s="73" t="s">
        <v>862</v>
      </c>
      <c r="K420" s="78" t="b">
        <v>1</v>
      </c>
      <c r="L420" s="73" t="b">
        <v>0</v>
      </c>
      <c r="M420" s="49" t="str">
        <f>IF(A420=Backdoors!B2,1+MAX(M419:M419),"")</f>
        <v/>
      </c>
    </row>
    <row r="421" spans="1:13" x14ac:dyDescent="0.25">
      <c r="A421" s="76" t="s">
        <v>222</v>
      </c>
      <c r="B421" s="77" t="s">
        <v>1425</v>
      </c>
      <c r="C421" s="73" t="s">
        <v>0</v>
      </c>
      <c r="D421" s="73">
        <v>30</v>
      </c>
      <c r="E421" s="73"/>
      <c r="F421" s="73">
        <v>1</v>
      </c>
      <c r="G421" s="73">
        <v>1</v>
      </c>
      <c r="H421" s="73">
        <v>1</v>
      </c>
      <c r="I421" s="73" t="s">
        <v>862</v>
      </c>
      <c r="J421" s="73" t="s">
        <v>862</v>
      </c>
      <c r="K421" s="78" t="b">
        <v>1</v>
      </c>
      <c r="L421" s="73" t="b">
        <v>0</v>
      </c>
      <c r="M421" s="49" t="str">
        <f>IF(A421=Backdoors!B2,1+MAX(M420:M420),"")</f>
        <v/>
      </c>
    </row>
    <row r="422" spans="1:13" x14ac:dyDescent="0.25">
      <c r="A422" s="76" t="s">
        <v>222</v>
      </c>
      <c r="B422" s="77" t="s">
        <v>1426</v>
      </c>
      <c r="C422" s="73" t="s">
        <v>0</v>
      </c>
      <c r="D422" s="73">
        <v>5</v>
      </c>
      <c r="E422" s="73"/>
      <c r="F422" s="73">
        <v>0.5</v>
      </c>
      <c r="G422" s="73">
        <v>0.2</v>
      </c>
      <c r="H422" s="73">
        <v>0.3</v>
      </c>
      <c r="I422" s="73" t="s">
        <v>862</v>
      </c>
      <c r="J422" s="73" t="s">
        <v>862</v>
      </c>
      <c r="K422" s="78" t="b">
        <v>1</v>
      </c>
      <c r="L422" s="73" t="b">
        <v>0</v>
      </c>
      <c r="M422" s="49" t="str">
        <f>IF(A422=Backdoors!B2,1+MAX(M421:M421),"")</f>
        <v/>
      </c>
    </row>
    <row r="423" spans="1:13" x14ac:dyDescent="0.25">
      <c r="A423" s="76" t="s">
        <v>222</v>
      </c>
      <c r="B423" s="77" t="s">
        <v>1427</v>
      </c>
      <c r="C423" s="73" t="s">
        <v>0</v>
      </c>
      <c r="D423" s="73">
        <v>5</v>
      </c>
      <c r="E423" s="73"/>
      <c r="F423" s="73">
        <v>0.5</v>
      </c>
      <c r="G423" s="73">
        <v>0.2</v>
      </c>
      <c r="H423" s="73">
        <v>0.3</v>
      </c>
      <c r="I423" s="73" t="s">
        <v>862</v>
      </c>
      <c r="J423" s="73" t="s">
        <v>862</v>
      </c>
      <c r="K423" s="78" t="b">
        <v>1</v>
      </c>
      <c r="L423" s="73" t="b">
        <v>0</v>
      </c>
      <c r="M423" s="49" t="str">
        <f>IF(A423=Backdoors!B2,1+MAX(M422:M422),"")</f>
        <v/>
      </c>
    </row>
    <row r="424" spans="1:13" x14ac:dyDescent="0.25">
      <c r="A424" s="67" t="s">
        <v>222</v>
      </c>
      <c r="B424" s="77" t="s">
        <v>1334</v>
      </c>
      <c r="C424" s="73" t="s">
        <v>0</v>
      </c>
      <c r="D424" s="73">
        <v>22</v>
      </c>
      <c r="E424" s="73">
        <v>55</v>
      </c>
      <c r="F424" s="73">
        <v>1</v>
      </c>
      <c r="G424" s="73">
        <v>1</v>
      </c>
      <c r="H424" s="73">
        <v>1</v>
      </c>
      <c r="I424" s="73" t="s">
        <v>862</v>
      </c>
      <c r="J424" s="73" t="s">
        <v>862</v>
      </c>
      <c r="K424" s="78" t="b">
        <v>1</v>
      </c>
      <c r="L424" s="73" t="b">
        <v>1</v>
      </c>
      <c r="M424" s="49" t="str">
        <f>IF(A424=Backdoors!B2,1+MAX(M423:M423),"")</f>
        <v/>
      </c>
    </row>
    <row r="425" spans="1:13" x14ac:dyDescent="0.25">
      <c r="A425" s="76" t="s">
        <v>222</v>
      </c>
      <c r="B425" s="77" t="s">
        <v>1428</v>
      </c>
      <c r="C425" s="73" t="s">
        <v>0</v>
      </c>
      <c r="D425" s="73">
        <v>55</v>
      </c>
      <c r="E425" s="73">
        <v>55</v>
      </c>
      <c r="F425" s="73">
        <v>1</v>
      </c>
      <c r="G425" s="73">
        <v>1</v>
      </c>
      <c r="H425" s="73">
        <v>1</v>
      </c>
      <c r="I425" s="73" t="s">
        <v>862</v>
      </c>
      <c r="J425" s="73" t="s">
        <v>862</v>
      </c>
      <c r="K425" s="78" t="b">
        <v>1</v>
      </c>
      <c r="L425" s="73" t="b">
        <v>1</v>
      </c>
      <c r="M425" s="49" t="str">
        <f>IF(A425=Backdoors!B2,1+MAX(M424:M424),"")</f>
        <v/>
      </c>
    </row>
    <row r="426" spans="1:13" x14ac:dyDescent="0.25">
      <c r="A426" s="76" t="s">
        <v>222</v>
      </c>
      <c r="B426" s="77" t="s">
        <v>1336</v>
      </c>
      <c r="C426" s="73" t="s">
        <v>0</v>
      </c>
      <c r="D426" s="73">
        <v>21</v>
      </c>
      <c r="E426" s="73"/>
      <c r="F426" s="73">
        <v>1</v>
      </c>
      <c r="G426" s="73">
        <v>1</v>
      </c>
      <c r="H426" s="73">
        <v>1</v>
      </c>
      <c r="I426" s="73" t="s">
        <v>862</v>
      </c>
      <c r="J426" s="73" t="s">
        <v>862</v>
      </c>
      <c r="K426" s="78" t="b">
        <v>1</v>
      </c>
      <c r="L426" s="73" t="b">
        <v>0</v>
      </c>
      <c r="M426" s="49" t="str">
        <f>IF(A426=Backdoors!B2,1+MAX(M425:M425),"")</f>
        <v/>
      </c>
    </row>
    <row r="427" spans="1:13" x14ac:dyDescent="0.25">
      <c r="A427" s="76" t="s">
        <v>222</v>
      </c>
      <c r="B427" s="77" t="s">
        <v>1429</v>
      </c>
      <c r="C427" s="73" t="s">
        <v>0</v>
      </c>
      <c r="D427" s="73">
        <v>18</v>
      </c>
      <c r="E427" s="73"/>
      <c r="F427" s="73">
        <v>1</v>
      </c>
      <c r="G427" s="73">
        <v>1</v>
      </c>
      <c r="H427" s="73">
        <v>1</v>
      </c>
      <c r="I427" s="73" t="s">
        <v>862</v>
      </c>
      <c r="J427" s="73" t="s">
        <v>862</v>
      </c>
      <c r="K427" s="78" t="b">
        <v>1</v>
      </c>
      <c r="L427" s="73" t="b">
        <v>0</v>
      </c>
      <c r="M427" s="49" t="str">
        <f>IF(A427=Backdoors!B2,1+MAX(M426:M426),"")</f>
        <v/>
      </c>
    </row>
    <row r="428" spans="1:13" x14ac:dyDescent="0.25">
      <c r="A428" s="76" t="s">
        <v>222</v>
      </c>
      <c r="B428" s="77" t="s">
        <v>1430</v>
      </c>
      <c r="C428" s="73" t="s">
        <v>0</v>
      </c>
      <c r="D428" s="73">
        <v>16</v>
      </c>
      <c r="E428" s="73"/>
      <c r="F428" s="73">
        <v>1</v>
      </c>
      <c r="G428" s="73">
        <v>1</v>
      </c>
      <c r="H428" s="73">
        <v>1</v>
      </c>
      <c r="I428" s="73" t="s">
        <v>862</v>
      </c>
      <c r="J428" s="73" t="s">
        <v>862</v>
      </c>
      <c r="K428" s="78" t="b">
        <v>1</v>
      </c>
      <c r="L428" s="73" t="b">
        <v>0</v>
      </c>
      <c r="M428" s="49" t="str">
        <f>IF(A428=Backdoors!B2,1+MAX(M427:M427),"")</f>
        <v/>
      </c>
    </row>
    <row r="429" spans="1:13" x14ac:dyDescent="0.25">
      <c r="A429" s="76" t="s">
        <v>222</v>
      </c>
      <c r="B429" s="77" t="s">
        <v>1177</v>
      </c>
      <c r="C429" s="73" t="s">
        <v>0</v>
      </c>
      <c r="D429" s="73">
        <v>10</v>
      </c>
      <c r="E429" s="73"/>
      <c r="F429" s="73">
        <v>0</v>
      </c>
      <c r="G429" s="73">
        <v>1</v>
      </c>
      <c r="H429" s="73">
        <v>1</v>
      </c>
      <c r="I429" s="73" t="s">
        <v>862</v>
      </c>
      <c r="J429" s="73" t="s">
        <v>862</v>
      </c>
      <c r="K429" s="78" t="b">
        <v>1</v>
      </c>
      <c r="L429" s="73" t="b">
        <v>0</v>
      </c>
      <c r="M429" s="49" t="str">
        <f>IF(A429=Backdoors!B2,1+MAX(M428:M428),"")</f>
        <v/>
      </c>
    </row>
    <row r="430" spans="1:13" x14ac:dyDescent="0.25">
      <c r="A430" s="76" t="s">
        <v>222</v>
      </c>
      <c r="B430" s="77" t="s">
        <v>1178</v>
      </c>
      <c r="C430" s="73" t="s">
        <v>0</v>
      </c>
      <c r="D430" s="73">
        <v>48</v>
      </c>
      <c r="E430" s="73"/>
      <c r="F430" s="73">
        <v>0</v>
      </c>
      <c r="G430" s="73">
        <v>1</v>
      </c>
      <c r="H430" s="73">
        <v>1</v>
      </c>
      <c r="I430" s="73" t="s">
        <v>862</v>
      </c>
      <c r="J430" s="73" t="s">
        <v>862</v>
      </c>
      <c r="K430" s="78" t="b">
        <v>1</v>
      </c>
      <c r="L430" s="73" t="b">
        <v>0</v>
      </c>
      <c r="M430" s="49" t="str">
        <f>IF(A430=Backdoors!B2,1+MAX(M429:M429),"")</f>
        <v/>
      </c>
    </row>
    <row r="431" spans="1:13" x14ac:dyDescent="0.25">
      <c r="A431" s="76" t="s">
        <v>222</v>
      </c>
      <c r="B431" s="77" t="s">
        <v>1179</v>
      </c>
      <c r="C431" s="73" t="s">
        <v>0</v>
      </c>
      <c r="D431" s="73">
        <v>6</v>
      </c>
      <c r="E431" s="73"/>
      <c r="F431" s="73">
        <v>1</v>
      </c>
      <c r="G431" s="73">
        <v>0.3</v>
      </c>
      <c r="H431" s="73">
        <v>0.3</v>
      </c>
      <c r="I431" s="73" t="s">
        <v>862</v>
      </c>
      <c r="J431" s="73" t="s">
        <v>862</v>
      </c>
      <c r="K431" s="78" t="b">
        <v>1</v>
      </c>
      <c r="L431" s="73" t="b">
        <v>0</v>
      </c>
      <c r="M431" s="49" t="str">
        <f>IF(A431=Backdoors!B2,1+MAX(M430:M430),"")</f>
        <v/>
      </c>
    </row>
    <row r="432" spans="1:13" x14ac:dyDescent="0.25">
      <c r="A432" s="76" t="s">
        <v>222</v>
      </c>
      <c r="B432" s="77" t="s">
        <v>1431</v>
      </c>
      <c r="C432" s="73" t="s">
        <v>0</v>
      </c>
      <c r="D432" s="73">
        <v>55</v>
      </c>
      <c r="E432" s="73"/>
      <c r="F432" s="73">
        <v>0</v>
      </c>
      <c r="G432" s="73">
        <v>1</v>
      </c>
      <c r="H432" s="73">
        <v>1</v>
      </c>
      <c r="I432" s="73" t="s">
        <v>862</v>
      </c>
      <c r="J432" s="73" t="s">
        <v>862</v>
      </c>
      <c r="K432" s="78" t="b">
        <v>1</v>
      </c>
      <c r="L432" s="73" t="b">
        <v>0</v>
      </c>
      <c r="M432" s="49" t="str">
        <f>IF(A432=Backdoors!B2,1+MAX(M431:M431),"")</f>
        <v/>
      </c>
    </row>
    <row r="433" spans="1:13" x14ac:dyDescent="0.25">
      <c r="A433" s="76" t="s">
        <v>222</v>
      </c>
      <c r="B433" s="77" t="s">
        <v>1432</v>
      </c>
      <c r="C433" s="73" t="s">
        <v>0</v>
      </c>
      <c r="D433" s="73">
        <v>150</v>
      </c>
      <c r="E433" s="73"/>
      <c r="F433" s="73">
        <v>1</v>
      </c>
      <c r="G433" s="73">
        <v>1</v>
      </c>
      <c r="H433" s="73">
        <v>1</v>
      </c>
      <c r="I433" s="73" t="s">
        <v>862</v>
      </c>
      <c r="J433" s="73" t="s">
        <v>862</v>
      </c>
      <c r="K433" s="78" t="b">
        <v>1</v>
      </c>
      <c r="L433" s="73" t="b">
        <v>0</v>
      </c>
      <c r="M433" s="49" t="str">
        <f>IF(A433=Backdoors!B2,1+MAX(M432:M432),"")</f>
        <v/>
      </c>
    </row>
    <row r="434" spans="1:13" x14ac:dyDescent="0.25">
      <c r="A434" s="72" t="s">
        <v>223</v>
      </c>
      <c r="B434" s="77" t="s">
        <v>1188</v>
      </c>
      <c r="C434" s="73" t="s">
        <v>0</v>
      </c>
      <c r="D434" s="73">
        <v>10</v>
      </c>
      <c r="E434" s="73"/>
      <c r="F434" s="73">
        <v>1</v>
      </c>
      <c r="G434" s="73">
        <v>0.8</v>
      </c>
      <c r="H434" s="73">
        <v>0.8</v>
      </c>
      <c r="I434" s="73" t="s">
        <v>862</v>
      </c>
      <c r="J434" s="73" t="s">
        <v>862</v>
      </c>
      <c r="K434" s="78" t="b">
        <v>1</v>
      </c>
      <c r="L434" s="73" t="b">
        <v>0</v>
      </c>
      <c r="M434" s="49" t="str">
        <f>IF(A434=Backdoors!B2,1+MAX(M433:M433),"")</f>
        <v/>
      </c>
    </row>
    <row r="435" spans="1:13" x14ac:dyDescent="0.25">
      <c r="A435" s="76" t="s">
        <v>223</v>
      </c>
      <c r="B435" s="77" t="s">
        <v>1246</v>
      </c>
      <c r="C435" s="73" t="s">
        <v>0</v>
      </c>
      <c r="D435" s="73">
        <v>26</v>
      </c>
      <c r="E435" s="73"/>
      <c r="F435" s="73">
        <v>1</v>
      </c>
      <c r="G435" s="73">
        <v>0.8</v>
      </c>
      <c r="H435" s="73">
        <v>0.8</v>
      </c>
      <c r="I435" s="73" t="s">
        <v>862</v>
      </c>
      <c r="J435" s="73" t="s">
        <v>862</v>
      </c>
      <c r="K435" s="78" t="b">
        <v>1</v>
      </c>
      <c r="L435" s="73" t="b">
        <v>0</v>
      </c>
      <c r="M435" s="49" t="str">
        <f>IF(A435=Backdoors!B2,1+MAX(M434:M434),"")</f>
        <v/>
      </c>
    </row>
    <row r="436" spans="1:13" x14ac:dyDescent="0.25">
      <c r="A436" s="76" t="s">
        <v>223</v>
      </c>
      <c r="B436" s="77" t="s">
        <v>1433</v>
      </c>
      <c r="C436" s="73" t="s">
        <v>0</v>
      </c>
      <c r="D436" s="73">
        <v>16</v>
      </c>
      <c r="E436" s="73"/>
      <c r="F436" s="73">
        <v>1</v>
      </c>
      <c r="G436" s="73">
        <v>0.7</v>
      </c>
      <c r="H436" s="73">
        <v>0.7</v>
      </c>
      <c r="I436" s="73" t="s">
        <v>862</v>
      </c>
      <c r="J436" s="73" t="s">
        <v>862</v>
      </c>
      <c r="K436" s="78" t="b">
        <v>1</v>
      </c>
      <c r="L436" s="73" t="b">
        <v>0</v>
      </c>
      <c r="M436" s="49" t="str">
        <f>IF(A436=Backdoors!B2,1+MAX(M435:M435),"")</f>
        <v/>
      </c>
    </row>
    <row r="437" spans="1:13" x14ac:dyDescent="0.25">
      <c r="A437" s="76" t="s">
        <v>223</v>
      </c>
      <c r="B437" s="77" t="s">
        <v>1434</v>
      </c>
      <c r="C437" s="73" t="s">
        <v>0</v>
      </c>
      <c r="D437" s="73">
        <v>14</v>
      </c>
      <c r="E437" s="73"/>
      <c r="F437" s="73">
        <v>1</v>
      </c>
      <c r="G437" s="73">
        <v>0.8</v>
      </c>
      <c r="H437" s="73">
        <v>0.8</v>
      </c>
      <c r="I437" s="73" t="s">
        <v>862</v>
      </c>
      <c r="J437" s="73" t="s">
        <v>862</v>
      </c>
      <c r="K437" s="78" t="b">
        <v>1</v>
      </c>
      <c r="L437" s="73" t="b">
        <v>0</v>
      </c>
      <c r="M437" s="49" t="str">
        <f>IF(A437=Backdoors!B2,1+MAX(M436:M436),"")</f>
        <v/>
      </c>
    </row>
    <row r="438" spans="1:13" x14ac:dyDescent="0.25">
      <c r="A438" s="76" t="s">
        <v>223</v>
      </c>
      <c r="B438" s="77" t="s">
        <v>1435</v>
      </c>
      <c r="C438" s="73" t="s">
        <v>0</v>
      </c>
      <c r="D438" s="73">
        <v>18</v>
      </c>
      <c r="E438" s="73"/>
      <c r="F438" s="73">
        <v>1</v>
      </c>
      <c r="G438" s="73">
        <v>0.8</v>
      </c>
      <c r="H438" s="73">
        <v>0.8</v>
      </c>
      <c r="I438" s="73" t="s">
        <v>862</v>
      </c>
      <c r="J438" s="73" t="s">
        <v>862</v>
      </c>
      <c r="K438" s="78" t="b">
        <v>1</v>
      </c>
      <c r="L438" s="73" t="b">
        <v>0</v>
      </c>
      <c r="M438" s="49" t="str">
        <f>IF(A438=Backdoors!B2,1+MAX(M437:M437),"")</f>
        <v/>
      </c>
    </row>
    <row r="439" spans="1:13" x14ac:dyDescent="0.25">
      <c r="A439" s="76" t="s">
        <v>223</v>
      </c>
      <c r="B439" s="77" t="s">
        <v>1436</v>
      </c>
      <c r="C439" s="73" t="s">
        <v>0</v>
      </c>
      <c r="D439" s="73">
        <v>18</v>
      </c>
      <c r="E439" s="73"/>
      <c r="F439" s="73">
        <v>1</v>
      </c>
      <c r="G439" s="73">
        <v>0.7</v>
      </c>
      <c r="H439" s="73">
        <v>0.7</v>
      </c>
      <c r="I439" s="73" t="s">
        <v>862</v>
      </c>
      <c r="J439" s="73" t="s">
        <v>862</v>
      </c>
      <c r="K439" s="78" t="b">
        <v>1</v>
      </c>
      <c r="L439" s="73" t="b">
        <v>0</v>
      </c>
      <c r="M439" s="49" t="str">
        <f>IF(A439=Backdoors!B2,1+MAX(M438:M438),"")</f>
        <v/>
      </c>
    </row>
    <row r="440" spans="1:13" x14ac:dyDescent="0.25">
      <c r="A440" s="76" t="s">
        <v>223</v>
      </c>
      <c r="B440" s="77" t="s">
        <v>1437</v>
      </c>
      <c r="C440" s="73" t="s">
        <v>0</v>
      </c>
      <c r="D440" s="73">
        <v>24</v>
      </c>
      <c r="E440" s="73"/>
      <c r="F440" s="73">
        <v>1</v>
      </c>
      <c r="G440" s="73">
        <v>0.8</v>
      </c>
      <c r="H440" s="73">
        <v>0.8</v>
      </c>
      <c r="I440" s="73" t="s">
        <v>862</v>
      </c>
      <c r="J440" s="73" t="s">
        <v>862</v>
      </c>
      <c r="K440" s="78" t="b">
        <v>1</v>
      </c>
      <c r="L440" s="73" t="b">
        <v>0</v>
      </c>
      <c r="M440" s="49" t="str">
        <f>IF(A440=Backdoors!B2,1+MAX(M439:M439),"")</f>
        <v/>
      </c>
    </row>
    <row r="441" spans="1:13" x14ac:dyDescent="0.25">
      <c r="A441" s="76" t="s">
        <v>223</v>
      </c>
      <c r="B441" s="77" t="s">
        <v>1438</v>
      </c>
      <c r="C441" s="73" t="s">
        <v>0</v>
      </c>
      <c r="D441" s="73">
        <v>22</v>
      </c>
      <c r="E441" s="73"/>
      <c r="F441" s="73">
        <v>1</v>
      </c>
      <c r="G441" s="73">
        <v>0.8</v>
      </c>
      <c r="H441" s="73">
        <v>0.8</v>
      </c>
      <c r="I441" s="73" t="s">
        <v>862</v>
      </c>
      <c r="J441" s="73" t="s">
        <v>862</v>
      </c>
      <c r="K441" s="78" t="b">
        <v>1</v>
      </c>
      <c r="L441" s="73" t="b">
        <v>0</v>
      </c>
      <c r="M441" s="49" t="str">
        <f>IF(A441=Backdoors!B2,1+MAX(M440:M440),"")</f>
        <v/>
      </c>
    </row>
    <row r="442" spans="1:13" x14ac:dyDescent="0.25">
      <c r="A442" s="76" t="s">
        <v>223</v>
      </c>
      <c r="B442" s="77" t="s">
        <v>1136</v>
      </c>
      <c r="C442" s="73" t="s">
        <v>0</v>
      </c>
      <c r="D442" s="73">
        <v>30</v>
      </c>
      <c r="E442" s="73"/>
      <c r="F442" s="73">
        <v>1</v>
      </c>
      <c r="G442" s="73">
        <v>0.8</v>
      </c>
      <c r="H442" s="73">
        <v>0.8</v>
      </c>
      <c r="I442" s="73" t="s">
        <v>862</v>
      </c>
      <c r="J442" s="73" t="s">
        <v>862</v>
      </c>
      <c r="K442" s="78" t="b">
        <v>1</v>
      </c>
      <c r="L442" s="73" t="b">
        <v>0</v>
      </c>
      <c r="M442" s="49" t="str">
        <f>IF(A442=Backdoors!B2,1+MAX(M441:M441),"")</f>
        <v/>
      </c>
    </row>
    <row r="443" spans="1:13" x14ac:dyDescent="0.25">
      <c r="A443" s="76" t="s">
        <v>223</v>
      </c>
      <c r="B443" s="77" t="s">
        <v>1439</v>
      </c>
      <c r="C443" s="73" t="s">
        <v>0</v>
      </c>
      <c r="D443" s="73">
        <v>16</v>
      </c>
      <c r="E443" s="73"/>
      <c r="F443" s="73">
        <v>1</v>
      </c>
      <c r="G443" s="73">
        <v>0.8</v>
      </c>
      <c r="H443" s="73">
        <v>0.8</v>
      </c>
      <c r="I443" s="73" t="s">
        <v>862</v>
      </c>
      <c r="J443" s="73" t="s">
        <v>862</v>
      </c>
      <c r="K443" s="78" t="b">
        <v>1</v>
      </c>
      <c r="L443" s="73" t="b">
        <v>0</v>
      </c>
      <c r="M443" s="49" t="str">
        <f>IF(A443=Backdoors!B2,1+MAX(M442:M442),"")</f>
        <v/>
      </c>
    </row>
    <row r="444" spans="1:13" x14ac:dyDescent="0.25">
      <c r="A444" s="72" t="s">
        <v>223</v>
      </c>
      <c r="B444" s="77" t="s">
        <v>1440</v>
      </c>
      <c r="C444" s="73" t="s">
        <v>0</v>
      </c>
      <c r="D444" s="73">
        <v>14</v>
      </c>
      <c r="E444" s="73"/>
      <c r="F444" s="73">
        <v>1</v>
      </c>
      <c r="G444" s="73">
        <v>0.8</v>
      </c>
      <c r="H444" s="73">
        <v>0.8</v>
      </c>
      <c r="I444" s="73" t="s">
        <v>862</v>
      </c>
      <c r="J444" s="73" t="s">
        <v>862</v>
      </c>
      <c r="K444" s="78" t="b">
        <v>1</v>
      </c>
      <c r="L444" s="73" t="b">
        <v>0</v>
      </c>
      <c r="M444" s="49" t="str">
        <f>IF(A444=Backdoors!B2,1+MAX(M443:M443),"")</f>
        <v/>
      </c>
    </row>
    <row r="445" spans="1:13" x14ac:dyDescent="0.25">
      <c r="A445" s="76" t="s">
        <v>223</v>
      </c>
      <c r="B445" s="77" t="s">
        <v>1441</v>
      </c>
      <c r="C445" s="73" t="s">
        <v>0</v>
      </c>
      <c r="D445" s="73">
        <v>15</v>
      </c>
      <c r="E445" s="73"/>
      <c r="F445" s="73">
        <v>1</v>
      </c>
      <c r="G445" s="73">
        <v>0.8</v>
      </c>
      <c r="H445" s="73">
        <v>0.8</v>
      </c>
      <c r="I445" s="73" t="s">
        <v>862</v>
      </c>
      <c r="J445" s="73" t="s">
        <v>862</v>
      </c>
      <c r="K445" s="78" t="b">
        <v>1</v>
      </c>
      <c r="L445" s="73" t="b">
        <v>0</v>
      </c>
      <c r="M445" s="49" t="str">
        <f>IF(A445=Backdoors!B2,1+MAX(M444:M444),"")</f>
        <v/>
      </c>
    </row>
    <row r="446" spans="1:13" x14ac:dyDescent="0.25">
      <c r="A446" s="76" t="s">
        <v>223</v>
      </c>
      <c r="B446" s="77" t="s">
        <v>1442</v>
      </c>
      <c r="C446" s="73" t="s">
        <v>0</v>
      </c>
      <c r="D446" s="73">
        <v>15</v>
      </c>
      <c r="E446" s="73"/>
      <c r="F446" s="73">
        <v>1</v>
      </c>
      <c r="G446" s="73">
        <v>0.8</v>
      </c>
      <c r="H446" s="73">
        <v>0.8</v>
      </c>
      <c r="I446" s="73" t="s">
        <v>862</v>
      </c>
      <c r="J446" s="73" t="s">
        <v>862</v>
      </c>
      <c r="K446" s="78" t="b">
        <v>1</v>
      </c>
      <c r="L446" s="73" t="b">
        <v>0</v>
      </c>
      <c r="M446" s="49" t="str">
        <f>IF(A446=Backdoors!B2,1+MAX(M445:M445),"")</f>
        <v/>
      </c>
    </row>
    <row r="447" spans="1:13" x14ac:dyDescent="0.25">
      <c r="A447" s="76" t="s">
        <v>223</v>
      </c>
      <c r="B447" s="77" t="s">
        <v>1443</v>
      </c>
      <c r="C447" s="73" t="s">
        <v>0</v>
      </c>
      <c r="D447" s="73">
        <v>19</v>
      </c>
      <c r="E447" s="73"/>
      <c r="F447" s="73">
        <v>1</v>
      </c>
      <c r="G447" s="73">
        <v>0.8</v>
      </c>
      <c r="H447" s="73">
        <v>0.8</v>
      </c>
      <c r="I447" s="73" t="s">
        <v>862</v>
      </c>
      <c r="J447" s="73" t="s">
        <v>862</v>
      </c>
      <c r="K447" s="78" t="b">
        <v>1</v>
      </c>
      <c r="L447" s="73" t="b">
        <v>0</v>
      </c>
      <c r="M447" s="49" t="str">
        <f>IF(A447=Backdoors!B2,1+MAX(M446:M446),"")</f>
        <v/>
      </c>
    </row>
    <row r="448" spans="1:13" x14ac:dyDescent="0.25">
      <c r="A448" s="76" t="s">
        <v>223</v>
      </c>
      <c r="B448" s="77" t="s">
        <v>1444</v>
      </c>
      <c r="C448" s="73" t="s">
        <v>0</v>
      </c>
      <c r="D448" s="73">
        <v>16</v>
      </c>
      <c r="E448" s="73"/>
      <c r="F448" s="73">
        <v>1</v>
      </c>
      <c r="G448" s="73">
        <v>0.6</v>
      </c>
      <c r="H448" s="73">
        <v>0.6</v>
      </c>
      <c r="I448" s="73" t="s">
        <v>862</v>
      </c>
      <c r="J448" s="73" t="s">
        <v>862</v>
      </c>
      <c r="K448" s="78" t="b">
        <v>1</v>
      </c>
      <c r="L448" s="73" t="b">
        <v>0</v>
      </c>
      <c r="M448" s="49" t="str">
        <f>IF(A448=Backdoors!B2,1+MAX(M447:M447),"")</f>
        <v/>
      </c>
    </row>
    <row r="449" spans="1:13" x14ac:dyDescent="0.25">
      <c r="A449" s="76" t="s">
        <v>223</v>
      </c>
      <c r="B449" s="77" t="s">
        <v>1445</v>
      </c>
      <c r="C449" s="73" t="s">
        <v>0</v>
      </c>
      <c r="D449" s="73">
        <v>14</v>
      </c>
      <c r="E449" s="73"/>
      <c r="F449" s="73">
        <v>1</v>
      </c>
      <c r="G449" s="73">
        <v>0.8</v>
      </c>
      <c r="H449" s="73">
        <v>0.8</v>
      </c>
      <c r="I449" s="73" t="s">
        <v>862</v>
      </c>
      <c r="J449" s="73" t="s">
        <v>862</v>
      </c>
      <c r="K449" s="78" t="b">
        <v>1</v>
      </c>
      <c r="L449" s="73" t="b">
        <v>0</v>
      </c>
      <c r="M449" s="49" t="str">
        <f>IF(A449=Backdoors!B2,1+MAX(M448:M448),"")</f>
        <v/>
      </c>
    </row>
    <row r="450" spans="1:13" x14ac:dyDescent="0.25">
      <c r="A450" s="76" t="s">
        <v>223</v>
      </c>
      <c r="B450" s="77" t="s">
        <v>1446</v>
      </c>
      <c r="C450" s="73" t="s">
        <v>0</v>
      </c>
      <c r="D450" s="73">
        <v>28</v>
      </c>
      <c r="E450" s="73"/>
      <c r="F450" s="73">
        <v>1</v>
      </c>
      <c r="G450" s="73">
        <v>0.8</v>
      </c>
      <c r="H450" s="73">
        <v>0.8</v>
      </c>
      <c r="I450" s="73" t="s">
        <v>862</v>
      </c>
      <c r="J450" s="73" t="s">
        <v>862</v>
      </c>
      <c r="K450" s="78" t="b">
        <v>1</v>
      </c>
      <c r="L450" s="73" t="b">
        <v>0</v>
      </c>
      <c r="M450" s="49" t="str">
        <f>IF(A450=Backdoors!B2,1+MAX(M449:M449),"")</f>
        <v/>
      </c>
    </row>
    <row r="451" spans="1:13" x14ac:dyDescent="0.25">
      <c r="A451" s="76" t="s">
        <v>223</v>
      </c>
      <c r="B451" s="77" t="s">
        <v>1447</v>
      </c>
      <c r="C451" s="73" t="s">
        <v>0</v>
      </c>
      <c r="D451" s="73">
        <v>12</v>
      </c>
      <c r="E451" s="73"/>
      <c r="F451" s="73">
        <v>1</v>
      </c>
      <c r="G451" s="73">
        <v>0.8</v>
      </c>
      <c r="H451" s="73">
        <v>0.8</v>
      </c>
      <c r="I451" s="73" t="s">
        <v>862</v>
      </c>
      <c r="J451" s="73" t="s">
        <v>862</v>
      </c>
      <c r="K451" s="78" t="b">
        <v>1</v>
      </c>
      <c r="L451" s="73" t="b">
        <v>0</v>
      </c>
      <c r="M451" s="49" t="str">
        <f>IF(A451=Backdoors!B2,1+MAX(M450:M450),"")</f>
        <v/>
      </c>
    </row>
    <row r="452" spans="1:13" x14ac:dyDescent="0.25">
      <c r="A452" s="76" t="s">
        <v>223</v>
      </c>
      <c r="B452" s="77" t="s">
        <v>1448</v>
      </c>
      <c r="C452" s="73" t="s">
        <v>0</v>
      </c>
      <c r="D452" s="73">
        <v>11</v>
      </c>
      <c r="E452" s="73"/>
      <c r="F452" s="73">
        <v>1</v>
      </c>
      <c r="G452" s="73">
        <v>0.8</v>
      </c>
      <c r="H452" s="73">
        <v>0.8</v>
      </c>
      <c r="I452" s="73" t="s">
        <v>862</v>
      </c>
      <c r="J452" s="73" t="s">
        <v>862</v>
      </c>
      <c r="K452" s="78" t="b">
        <v>1</v>
      </c>
      <c r="L452" s="73" t="b">
        <v>0</v>
      </c>
      <c r="M452" s="49" t="str">
        <f>IF(A452=Backdoors!B2,1+MAX(M451:M451),"")</f>
        <v/>
      </c>
    </row>
    <row r="453" spans="1:13" x14ac:dyDescent="0.25">
      <c r="A453" s="76" t="s">
        <v>223</v>
      </c>
      <c r="B453" s="77" t="s">
        <v>1449</v>
      </c>
      <c r="C453" s="73" t="s">
        <v>0</v>
      </c>
      <c r="D453" s="73">
        <v>18</v>
      </c>
      <c r="E453" s="73"/>
      <c r="F453" s="73">
        <v>1</v>
      </c>
      <c r="G453" s="73">
        <v>0.8</v>
      </c>
      <c r="H453" s="73">
        <v>0.8</v>
      </c>
      <c r="I453" s="73" t="s">
        <v>862</v>
      </c>
      <c r="J453" s="73" t="s">
        <v>862</v>
      </c>
      <c r="K453" s="78" t="b">
        <v>1</v>
      </c>
      <c r="L453" s="73" t="b">
        <v>0</v>
      </c>
      <c r="M453" s="49" t="str">
        <f>IF(A453=Backdoors!B2,1+MAX(M452:M452),"")</f>
        <v/>
      </c>
    </row>
    <row r="454" spans="1:13" x14ac:dyDescent="0.25">
      <c r="A454" s="72" t="s">
        <v>223</v>
      </c>
      <c r="B454" s="77" t="s">
        <v>1450</v>
      </c>
      <c r="C454" s="73" t="s">
        <v>0</v>
      </c>
      <c r="D454" s="73">
        <v>24</v>
      </c>
      <c r="E454" s="73"/>
      <c r="F454" s="73">
        <v>1</v>
      </c>
      <c r="G454" s="73">
        <v>0.8</v>
      </c>
      <c r="H454" s="73">
        <v>0.8</v>
      </c>
      <c r="I454" s="73" t="s">
        <v>862</v>
      </c>
      <c r="J454" s="73" t="s">
        <v>862</v>
      </c>
      <c r="K454" s="78" t="b">
        <v>1</v>
      </c>
      <c r="L454" s="73" t="b">
        <v>0</v>
      </c>
      <c r="M454" s="49" t="str">
        <f>IF(A454=Backdoors!B2,1+MAX(M453:M453),"")</f>
        <v/>
      </c>
    </row>
    <row r="455" spans="1:13" x14ac:dyDescent="0.25">
      <c r="A455" s="76" t="s">
        <v>223</v>
      </c>
      <c r="B455" s="77" t="s">
        <v>1451</v>
      </c>
      <c r="C455" s="73" t="s">
        <v>0</v>
      </c>
      <c r="D455" s="73">
        <v>42</v>
      </c>
      <c r="E455" s="73"/>
      <c r="F455" s="73">
        <v>1</v>
      </c>
      <c r="G455" s="73">
        <v>0.8</v>
      </c>
      <c r="H455" s="73">
        <v>0.8</v>
      </c>
      <c r="I455" s="73" t="s">
        <v>862</v>
      </c>
      <c r="J455" s="73" t="s">
        <v>862</v>
      </c>
      <c r="K455" s="78" t="b">
        <v>1</v>
      </c>
      <c r="L455" s="73" t="b">
        <v>0</v>
      </c>
      <c r="M455" s="49" t="str">
        <f>IF(A455=Backdoors!B2,1+MAX(M454:M454),"")</f>
        <v/>
      </c>
    </row>
    <row r="456" spans="1:13" x14ac:dyDescent="0.25">
      <c r="A456" s="76" t="s">
        <v>223</v>
      </c>
      <c r="B456" s="77" t="s">
        <v>1452</v>
      </c>
      <c r="C456" s="73" t="s">
        <v>0</v>
      </c>
      <c r="D456" s="73">
        <v>10</v>
      </c>
      <c r="E456" s="73"/>
      <c r="F456" s="73">
        <v>1</v>
      </c>
      <c r="G456" s="73">
        <v>0.7</v>
      </c>
      <c r="H456" s="73">
        <v>0.7</v>
      </c>
      <c r="I456" s="73" t="s">
        <v>862</v>
      </c>
      <c r="J456" s="73" t="s">
        <v>862</v>
      </c>
      <c r="K456" s="78" t="b">
        <v>1</v>
      </c>
      <c r="L456" s="73" t="b">
        <v>0</v>
      </c>
      <c r="M456" s="49" t="str">
        <f>IF(A456=Backdoors!B2,1+MAX(M455:M455),"")</f>
        <v/>
      </c>
    </row>
    <row r="457" spans="1:13" x14ac:dyDescent="0.25">
      <c r="A457" s="76" t="s">
        <v>223</v>
      </c>
      <c r="B457" s="77" t="s">
        <v>1453</v>
      </c>
      <c r="C457" s="73" t="s">
        <v>0</v>
      </c>
      <c r="D457" s="73">
        <v>17</v>
      </c>
      <c r="E457" s="73"/>
      <c r="F457" s="73">
        <v>1</v>
      </c>
      <c r="G457" s="73">
        <v>0.8</v>
      </c>
      <c r="H457" s="73">
        <v>0.8</v>
      </c>
      <c r="I457" s="73" t="s">
        <v>862</v>
      </c>
      <c r="J457" s="73" t="s">
        <v>862</v>
      </c>
      <c r="K457" s="78" t="b">
        <v>1</v>
      </c>
      <c r="L457" s="73" t="b">
        <v>0</v>
      </c>
      <c r="M457" s="49" t="str">
        <f>IF(A457=Backdoors!B2,1+MAX(M456:M456),"")</f>
        <v/>
      </c>
    </row>
    <row r="458" spans="1:13" x14ac:dyDescent="0.25">
      <c r="A458" s="76" t="s">
        <v>223</v>
      </c>
      <c r="B458" s="77" t="s">
        <v>1212</v>
      </c>
      <c r="C458" s="73" t="s">
        <v>0</v>
      </c>
      <c r="D458" s="73">
        <v>15</v>
      </c>
      <c r="E458" s="73">
        <v>30</v>
      </c>
      <c r="F458" s="73">
        <v>1</v>
      </c>
      <c r="G458" s="73">
        <v>1</v>
      </c>
      <c r="H458" s="73">
        <v>1</v>
      </c>
      <c r="I458" s="73" t="s">
        <v>862</v>
      </c>
      <c r="J458" s="73" t="s">
        <v>862</v>
      </c>
      <c r="K458" s="78" t="b">
        <v>1</v>
      </c>
      <c r="L458" s="73" t="b">
        <v>1</v>
      </c>
      <c r="M458" s="49" t="str">
        <f>IF(A458=Backdoors!B2,1+MAX(M457:M457),"")</f>
        <v/>
      </c>
    </row>
    <row r="459" spans="1:13" x14ac:dyDescent="0.25">
      <c r="A459" s="76" t="s">
        <v>223</v>
      </c>
      <c r="B459" s="77" t="s">
        <v>1266</v>
      </c>
      <c r="C459" s="73" t="s">
        <v>0</v>
      </c>
      <c r="D459" s="73">
        <v>28</v>
      </c>
      <c r="E459" s="73">
        <v>5</v>
      </c>
      <c r="F459" s="73">
        <v>1</v>
      </c>
      <c r="G459" s="73">
        <v>1</v>
      </c>
      <c r="H459" s="73">
        <v>1</v>
      </c>
      <c r="I459" s="73" t="s">
        <v>862</v>
      </c>
      <c r="J459" s="73" t="s">
        <v>862</v>
      </c>
      <c r="K459" s="78" t="b">
        <v>1</v>
      </c>
      <c r="L459" s="73" t="b">
        <v>1</v>
      </c>
      <c r="M459" s="49" t="str">
        <f>IF(A459=Backdoors!B2,1+MAX(M458:M458),"")</f>
        <v/>
      </c>
    </row>
    <row r="460" spans="1:13" x14ac:dyDescent="0.25">
      <c r="A460" s="76" t="s">
        <v>223</v>
      </c>
      <c r="B460" s="77" t="s">
        <v>1454</v>
      </c>
      <c r="C460" s="73" t="s">
        <v>0</v>
      </c>
      <c r="D460" s="73">
        <v>8</v>
      </c>
      <c r="E460" s="73">
        <v>20</v>
      </c>
      <c r="F460" s="73">
        <v>1</v>
      </c>
      <c r="G460" s="73">
        <v>0.6</v>
      </c>
      <c r="H460" s="73">
        <v>0.6</v>
      </c>
      <c r="I460" s="73" t="s">
        <v>862</v>
      </c>
      <c r="J460" s="73" t="s">
        <v>862</v>
      </c>
      <c r="K460" s="78" t="b">
        <v>1</v>
      </c>
      <c r="L460" s="73" t="b">
        <v>1</v>
      </c>
      <c r="M460" s="49" t="str">
        <f>IF(A460=Backdoors!B2,1+MAX(M459:M459),"")</f>
        <v/>
      </c>
    </row>
    <row r="461" spans="1:13" x14ac:dyDescent="0.25">
      <c r="A461" s="76" t="s">
        <v>223</v>
      </c>
      <c r="B461" s="77" t="s">
        <v>1455</v>
      </c>
      <c r="C461" s="73" t="s">
        <v>0</v>
      </c>
      <c r="D461" s="73">
        <v>6</v>
      </c>
      <c r="E461" s="73"/>
      <c r="F461" s="73">
        <v>1</v>
      </c>
      <c r="G461" s="73">
        <v>0.5</v>
      </c>
      <c r="H461" s="73">
        <v>0.5</v>
      </c>
      <c r="I461" s="73" t="s">
        <v>862</v>
      </c>
      <c r="J461" s="73" t="s">
        <v>862</v>
      </c>
      <c r="K461" s="78" t="b">
        <v>1</v>
      </c>
      <c r="L461" s="73" t="b">
        <v>0</v>
      </c>
      <c r="M461" s="49" t="str">
        <f>IF(A461=Backdoors!B2,1+MAX(M460:M460),"")</f>
        <v/>
      </c>
    </row>
    <row r="462" spans="1:13" x14ac:dyDescent="0.25">
      <c r="A462" s="76" t="s">
        <v>223</v>
      </c>
      <c r="B462" s="77" t="s">
        <v>1456</v>
      </c>
      <c r="C462" s="73" t="s">
        <v>0</v>
      </c>
      <c r="D462" s="73">
        <v>4</v>
      </c>
      <c r="E462" s="73"/>
      <c r="F462" s="73">
        <v>1</v>
      </c>
      <c r="G462" s="73">
        <v>0.5</v>
      </c>
      <c r="H462" s="73">
        <v>0.5</v>
      </c>
      <c r="I462" s="73" t="s">
        <v>862</v>
      </c>
      <c r="J462" s="73" t="s">
        <v>862</v>
      </c>
      <c r="K462" s="78" t="b">
        <v>1</v>
      </c>
      <c r="L462" s="73" t="b">
        <v>0</v>
      </c>
      <c r="M462" s="49" t="str">
        <f>IF(A462=Backdoors!B2,1+MAX(M461:M461),"")</f>
        <v/>
      </c>
    </row>
    <row r="463" spans="1:13" x14ac:dyDescent="0.25">
      <c r="A463" s="76" t="s">
        <v>223</v>
      </c>
      <c r="B463" s="77" t="s">
        <v>1457</v>
      </c>
      <c r="C463" s="73" t="s">
        <v>0</v>
      </c>
      <c r="D463" s="73">
        <v>7</v>
      </c>
      <c r="E463" s="73"/>
      <c r="F463" s="73">
        <v>1</v>
      </c>
      <c r="G463" s="73">
        <v>0.5</v>
      </c>
      <c r="H463" s="73">
        <v>0.5</v>
      </c>
      <c r="I463" s="73" t="s">
        <v>862</v>
      </c>
      <c r="J463" s="73" t="s">
        <v>862</v>
      </c>
      <c r="K463" s="78" t="b">
        <v>1</v>
      </c>
      <c r="L463" s="73" t="b">
        <v>0</v>
      </c>
      <c r="M463" s="49" t="str">
        <f>IF(A463=Backdoors!B2,1+MAX(M462:M462),"")</f>
        <v/>
      </c>
    </row>
    <row r="464" spans="1:13" x14ac:dyDescent="0.25">
      <c r="A464" s="72" t="s">
        <v>223</v>
      </c>
      <c r="B464" s="77" t="s">
        <v>1458</v>
      </c>
      <c r="C464" s="73" t="s">
        <v>0</v>
      </c>
      <c r="D464" s="73">
        <v>4</v>
      </c>
      <c r="E464" s="73"/>
      <c r="F464" s="73">
        <v>1</v>
      </c>
      <c r="G464" s="73">
        <v>0.5</v>
      </c>
      <c r="H464" s="73">
        <v>0.5</v>
      </c>
      <c r="I464" s="73" t="s">
        <v>862</v>
      </c>
      <c r="J464" s="73" t="s">
        <v>862</v>
      </c>
      <c r="K464" s="78" t="b">
        <v>1</v>
      </c>
      <c r="L464" s="73" t="b">
        <v>0</v>
      </c>
      <c r="M464" s="49" t="str">
        <f>IF(A464=Backdoors!B2,1+MAX(M463:M463),"")</f>
        <v/>
      </c>
    </row>
    <row r="465" spans="1:13" x14ac:dyDescent="0.25">
      <c r="A465" s="76" t="s">
        <v>223</v>
      </c>
      <c r="B465" s="77" t="s">
        <v>1459</v>
      </c>
      <c r="C465" s="73" t="s">
        <v>0</v>
      </c>
      <c r="D465" s="73">
        <v>3</v>
      </c>
      <c r="E465" s="73"/>
      <c r="F465" s="73">
        <v>1</v>
      </c>
      <c r="G465" s="73">
        <v>0.5</v>
      </c>
      <c r="H465" s="73">
        <v>0.5</v>
      </c>
      <c r="I465" s="73" t="s">
        <v>862</v>
      </c>
      <c r="J465" s="73" t="s">
        <v>862</v>
      </c>
      <c r="K465" s="78" t="b">
        <v>1</v>
      </c>
      <c r="L465" s="73" t="b">
        <v>0</v>
      </c>
      <c r="M465" s="49" t="str">
        <f>IF(A465=Backdoors!B2,1+MAX(M464:M464),"")</f>
        <v/>
      </c>
    </row>
    <row r="466" spans="1:13" x14ac:dyDescent="0.25">
      <c r="A466" s="76" t="s">
        <v>223</v>
      </c>
      <c r="B466" s="77" t="s">
        <v>1460</v>
      </c>
      <c r="C466" s="73" t="s">
        <v>0</v>
      </c>
      <c r="D466" s="73">
        <v>32</v>
      </c>
      <c r="E466" s="73">
        <v>10</v>
      </c>
      <c r="F466" s="73">
        <v>1</v>
      </c>
      <c r="G466" s="73">
        <v>1</v>
      </c>
      <c r="H466" s="73">
        <v>1</v>
      </c>
      <c r="I466" s="73" t="s">
        <v>862</v>
      </c>
      <c r="J466" s="73" t="s">
        <v>862</v>
      </c>
      <c r="K466" s="78" t="b">
        <v>1</v>
      </c>
      <c r="L466" s="73" t="b">
        <v>1</v>
      </c>
      <c r="M466" s="49" t="str">
        <f>IF(A466=Backdoors!B2,1+MAX(M465:M465),"")</f>
        <v/>
      </c>
    </row>
    <row r="467" spans="1:13" x14ac:dyDescent="0.25">
      <c r="A467" s="76" t="s">
        <v>223</v>
      </c>
      <c r="B467" s="77" t="s">
        <v>1461</v>
      </c>
      <c r="C467" s="73" t="s">
        <v>0</v>
      </c>
      <c r="D467" s="73">
        <v>28</v>
      </c>
      <c r="E467" s="73"/>
      <c r="F467" s="73">
        <v>1</v>
      </c>
      <c r="G467" s="73">
        <v>1</v>
      </c>
      <c r="H467" s="73">
        <v>1</v>
      </c>
      <c r="I467" s="73" t="s">
        <v>862</v>
      </c>
      <c r="J467" s="73" t="s">
        <v>862</v>
      </c>
      <c r="K467" s="78" t="b">
        <v>1</v>
      </c>
      <c r="L467" s="73" t="b">
        <v>0</v>
      </c>
      <c r="M467" s="49" t="str">
        <f>IF(A467=Backdoors!B2,1+MAX(M466:M466),"")</f>
        <v/>
      </c>
    </row>
    <row r="468" spans="1:13" x14ac:dyDescent="0.25">
      <c r="A468" s="76" t="s">
        <v>223</v>
      </c>
      <c r="B468" s="77" t="s">
        <v>1462</v>
      </c>
      <c r="C468" s="73" t="s">
        <v>0</v>
      </c>
      <c r="D468" s="73">
        <v>42</v>
      </c>
      <c r="E468" s="73"/>
      <c r="F468" s="73">
        <v>1.1000000000000001</v>
      </c>
      <c r="G468" s="73">
        <v>1</v>
      </c>
      <c r="H468" s="73">
        <v>1</v>
      </c>
      <c r="I468" s="73" t="s">
        <v>862</v>
      </c>
      <c r="J468" s="73" t="s">
        <v>862</v>
      </c>
      <c r="K468" s="78" t="b">
        <v>1</v>
      </c>
      <c r="L468" s="73" t="b">
        <v>0</v>
      </c>
      <c r="M468" s="49" t="str">
        <f>IF(A468=Backdoors!B2,1+MAX(M467:M467),"")</f>
        <v/>
      </c>
    </row>
    <row r="469" spans="1:13" x14ac:dyDescent="0.25">
      <c r="A469" s="76" t="s">
        <v>223</v>
      </c>
      <c r="B469" s="77" t="s">
        <v>1463</v>
      </c>
      <c r="C469" s="73" t="s">
        <v>120</v>
      </c>
      <c r="D469" s="73">
        <v>7</v>
      </c>
      <c r="E469" s="73"/>
      <c r="F469" s="73">
        <v>1</v>
      </c>
      <c r="G469" s="73">
        <v>0</v>
      </c>
      <c r="H469" s="73">
        <v>0</v>
      </c>
      <c r="I469" s="73" t="s">
        <v>862</v>
      </c>
      <c r="J469" s="73" t="s">
        <v>862</v>
      </c>
      <c r="K469" s="78" t="b">
        <v>1</v>
      </c>
      <c r="L469" s="73" t="b">
        <v>0</v>
      </c>
      <c r="M469" s="49" t="str">
        <f>IF(A469=Backdoors!B2,1+MAX(M468:M468),"")</f>
        <v/>
      </c>
    </row>
    <row r="470" spans="1:13" x14ac:dyDescent="0.25">
      <c r="A470" s="76" t="s">
        <v>223</v>
      </c>
      <c r="B470" s="77" t="s">
        <v>1464</v>
      </c>
      <c r="C470" s="73" t="s">
        <v>0</v>
      </c>
      <c r="D470" s="73">
        <v>36</v>
      </c>
      <c r="E470" s="73"/>
      <c r="F470" s="73">
        <v>1.1000000000000001</v>
      </c>
      <c r="G470" s="73">
        <v>1</v>
      </c>
      <c r="H470" s="73">
        <v>1</v>
      </c>
      <c r="I470" s="73" t="s">
        <v>862</v>
      </c>
      <c r="J470" s="73" t="s">
        <v>862</v>
      </c>
      <c r="K470" s="78" t="b">
        <v>1</v>
      </c>
      <c r="L470" s="73" t="b">
        <v>0</v>
      </c>
      <c r="M470" s="49" t="str">
        <f>IF(A470=Backdoors!B2,1+MAX(M469:M469),"")</f>
        <v/>
      </c>
    </row>
    <row r="471" spans="1:13" x14ac:dyDescent="0.25">
      <c r="A471" s="76" t="s">
        <v>223</v>
      </c>
      <c r="B471" s="77" t="s">
        <v>1177</v>
      </c>
      <c r="C471" s="73" t="s">
        <v>0</v>
      </c>
      <c r="D471" s="73">
        <v>14</v>
      </c>
      <c r="E471" s="73"/>
      <c r="F471" s="73">
        <v>0</v>
      </c>
      <c r="G471" s="73">
        <v>0.7</v>
      </c>
      <c r="H471" s="73">
        <v>0.7</v>
      </c>
      <c r="I471" s="73" t="s">
        <v>862</v>
      </c>
      <c r="J471" s="73" t="s">
        <v>862</v>
      </c>
      <c r="K471" s="78" t="b">
        <v>1</v>
      </c>
      <c r="L471" s="73" t="b">
        <v>0</v>
      </c>
      <c r="M471" s="49" t="str">
        <f>IF(A471=Backdoors!B2,1+MAX(M470:M470),"")</f>
        <v/>
      </c>
    </row>
    <row r="472" spans="1:13" x14ac:dyDescent="0.25">
      <c r="A472" s="76" t="s">
        <v>223</v>
      </c>
      <c r="B472" s="77" t="s">
        <v>1178</v>
      </c>
      <c r="C472" s="73" t="s">
        <v>0</v>
      </c>
      <c r="D472" s="73">
        <v>15</v>
      </c>
      <c r="E472" s="73"/>
      <c r="F472" s="73">
        <v>0</v>
      </c>
      <c r="G472" s="73">
        <v>0.7</v>
      </c>
      <c r="H472" s="73">
        <v>0.7</v>
      </c>
      <c r="I472" s="73" t="s">
        <v>862</v>
      </c>
      <c r="J472" s="73" t="s">
        <v>862</v>
      </c>
      <c r="K472" s="78" t="b">
        <v>1</v>
      </c>
      <c r="L472" s="73" t="b">
        <v>0</v>
      </c>
      <c r="M472" s="49" t="str">
        <f>IF(A472=Backdoors!B2,1+MAX(M471:M471),"")</f>
        <v/>
      </c>
    </row>
    <row r="473" spans="1:13" x14ac:dyDescent="0.25">
      <c r="A473" s="76" t="s">
        <v>223</v>
      </c>
      <c r="B473" s="77" t="s">
        <v>1269</v>
      </c>
      <c r="C473" s="73" t="s">
        <v>0</v>
      </c>
      <c r="D473" s="73">
        <v>15</v>
      </c>
      <c r="E473" s="73"/>
      <c r="F473" s="73">
        <v>0</v>
      </c>
      <c r="G473" s="73">
        <v>0.7</v>
      </c>
      <c r="H473" s="73">
        <v>0.7</v>
      </c>
      <c r="I473" s="73" t="s">
        <v>862</v>
      </c>
      <c r="J473" s="73" t="s">
        <v>862</v>
      </c>
      <c r="K473" s="78" t="b">
        <v>1</v>
      </c>
      <c r="L473" s="73" t="b">
        <v>0</v>
      </c>
      <c r="M473" s="49" t="str">
        <f>IF(A473=Backdoors!B2,1+MAX(M472:M472),"")</f>
        <v/>
      </c>
    </row>
    <row r="474" spans="1:13" x14ac:dyDescent="0.25">
      <c r="A474" s="76" t="s">
        <v>223</v>
      </c>
      <c r="B474" s="77" t="s">
        <v>1270</v>
      </c>
      <c r="C474" s="73" t="s">
        <v>0</v>
      </c>
      <c r="D474" s="73">
        <v>18</v>
      </c>
      <c r="E474" s="73"/>
      <c r="F474" s="73">
        <v>0</v>
      </c>
      <c r="G474" s="73">
        <v>0.7</v>
      </c>
      <c r="H474" s="73">
        <v>0.7</v>
      </c>
      <c r="I474" s="73" t="s">
        <v>862</v>
      </c>
      <c r="J474" s="73" t="s">
        <v>862</v>
      </c>
      <c r="K474" s="78" t="b">
        <v>1</v>
      </c>
      <c r="L474" s="73" t="b">
        <v>0</v>
      </c>
      <c r="M474" s="49" t="str">
        <f>IF(A474=Backdoors!B2,1+MAX(M473:M473),"")</f>
        <v/>
      </c>
    </row>
    <row r="475" spans="1:13" x14ac:dyDescent="0.25">
      <c r="A475" s="72" t="s">
        <v>223</v>
      </c>
      <c r="B475" s="77" t="s">
        <v>1465</v>
      </c>
      <c r="C475" s="73" t="s">
        <v>0</v>
      </c>
      <c r="D475" s="73">
        <v>32</v>
      </c>
      <c r="E475" s="73"/>
      <c r="F475" s="73">
        <v>1</v>
      </c>
      <c r="G475" s="73">
        <v>1</v>
      </c>
      <c r="H475" s="73">
        <v>1</v>
      </c>
      <c r="I475" s="73" t="s">
        <v>862</v>
      </c>
      <c r="J475" s="73" t="s">
        <v>862</v>
      </c>
      <c r="K475" s="78" t="b">
        <v>1</v>
      </c>
      <c r="L475" s="73" t="b">
        <v>0</v>
      </c>
      <c r="M475" s="49" t="str">
        <f>IF(A475=Backdoors!B2,1+MAX(M474:M474),"")</f>
        <v/>
      </c>
    </row>
    <row r="476" spans="1:13" x14ac:dyDescent="0.25">
      <c r="A476" s="76" t="s">
        <v>223</v>
      </c>
      <c r="B476" s="77" t="s">
        <v>1466</v>
      </c>
      <c r="C476" s="73" t="s">
        <v>0</v>
      </c>
      <c r="D476" s="73">
        <v>8</v>
      </c>
      <c r="E476" s="73"/>
      <c r="F476" s="73">
        <v>1</v>
      </c>
      <c r="G476" s="73">
        <v>0.7</v>
      </c>
      <c r="H476" s="73">
        <v>0.7</v>
      </c>
      <c r="I476" s="73" t="s">
        <v>862</v>
      </c>
      <c r="J476" s="73" t="s">
        <v>862</v>
      </c>
      <c r="K476" s="78" t="b">
        <v>1</v>
      </c>
      <c r="L476" s="73" t="b">
        <v>0</v>
      </c>
      <c r="M476" s="49" t="str">
        <f>IF(A476=Backdoors!B2,1+MAX(M475:M475),"")</f>
        <v/>
      </c>
    </row>
    <row r="477" spans="1:13" x14ac:dyDescent="0.25">
      <c r="A477" s="76" t="s">
        <v>223</v>
      </c>
      <c r="B477" s="77" t="s">
        <v>1467</v>
      </c>
      <c r="C477" s="73" t="s">
        <v>0</v>
      </c>
      <c r="D477" s="73">
        <v>4</v>
      </c>
      <c r="E477" s="73"/>
      <c r="F477" s="73">
        <v>1</v>
      </c>
      <c r="G477" s="73">
        <v>0.7</v>
      </c>
      <c r="H477" s="73">
        <v>0.7</v>
      </c>
      <c r="I477" s="73" t="s">
        <v>862</v>
      </c>
      <c r="J477" s="73" t="s">
        <v>862</v>
      </c>
      <c r="K477" s="78" t="b">
        <v>1</v>
      </c>
      <c r="L477" s="73" t="b">
        <v>0</v>
      </c>
      <c r="M477" s="49" t="str">
        <f>IF(A477=Backdoors!B2,1+MAX(M476:M476),"")</f>
        <v/>
      </c>
    </row>
    <row r="478" spans="1:13" x14ac:dyDescent="0.25">
      <c r="A478" s="76" t="s">
        <v>223</v>
      </c>
      <c r="B478" s="77" t="s">
        <v>1468</v>
      </c>
      <c r="C478" s="73" t="s">
        <v>0</v>
      </c>
      <c r="D478" s="73">
        <v>8</v>
      </c>
      <c r="E478" s="73"/>
      <c r="F478" s="73">
        <v>1</v>
      </c>
      <c r="G478" s="73">
        <v>0.7</v>
      </c>
      <c r="H478" s="73">
        <v>0.7</v>
      </c>
      <c r="I478" s="73" t="s">
        <v>862</v>
      </c>
      <c r="J478" s="73" t="s">
        <v>862</v>
      </c>
      <c r="K478" s="78" t="b">
        <v>1</v>
      </c>
      <c r="L478" s="73" t="b">
        <v>0</v>
      </c>
      <c r="M478" s="49" t="str">
        <f>IF(A478=Backdoors!B2,1+MAX(M477:M477),"")</f>
        <v/>
      </c>
    </row>
    <row r="479" spans="1:13" x14ac:dyDescent="0.25">
      <c r="A479" s="76" t="s">
        <v>223</v>
      </c>
      <c r="B479" s="77" t="s">
        <v>1469</v>
      </c>
      <c r="C479" s="73" t="s">
        <v>0</v>
      </c>
      <c r="D479" s="73">
        <v>13</v>
      </c>
      <c r="E479" s="73"/>
      <c r="F479" s="73">
        <v>0</v>
      </c>
      <c r="G479" s="73">
        <v>1</v>
      </c>
      <c r="H479" s="73">
        <v>1</v>
      </c>
      <c r="I479" s="73" t="s">
        <v>862</v>
      </c>
      <c r="J479" s="73" t="s">
        <v>862</v>
      </c>
      <c r="K479" s="78" t="b">
        <v>1</v>
      </c>
      <c r="L479" s="73" t="b">
        <v>0</v>
      </c>
      <c r="M479" s="49" t="str">
        <f>IF(A479=Backdoors!B2,1+MAX(M478:M478),"")</f>
        <v/>
      </c>
    </row>
    <row r="480" spans="1:13" x14ac:dyDescent="0.25">
      <c r="A480" s="76" t="s">
        <v>223</v>
      </c>
      <c r="B480" s="77" t="s">
        <v>1470</v>
      </c>
      <c r="C480" s="73" t="s">
        <v>0</v>
      </c>
      <c r="D480" s="73">
        <v>5</v>
      </c>
      <c r="E480" s="73"/>
      <c r="F480" s="73">
        <v>0</v>
      </c>
      <c r="G480" s="73">
        <v>1</v>
      </c>
      <c r="H480" s="73">
        <v>1</v>
      </c>
      <c r="I480" s="73" t="s">
        <v>862</v>
      </c>
      <c r="J480" s="73" t="s">
        <v>862</v>
      </c>
      <c r="K480" s="78" t="b">
        <v>1</v>
      </c>
      <c r="L480" s="73" t="b">
        <v>0</v>
      </c>
      <c r="M480" s="49" t="str">
        <f>IF(A480=Backdoors!B2,1+MAX(M479:M479),"")</f>
        <v/>
      </c>
    </row>
    <row r="481" spans="1:13" x14ac:dyDescent="0.25">
      <c r="A481" s="76" t="s">
        <v>223</v>
      </c>
      <c r="B481" s="77" t="s">
        <v>1471</v>
      </c>
      <c r="C481" s="73" t="s">
        <v>0</v>
      </c>
      <c r="D481" s="73">
        <v>32</v>
      </c>
      <c r="E481" s="73"/>
      <c r="F481" s="73">
        <v>1</v>
      </c>
      <c r="G481" s="73">
        <v>1</v>
      </c>
      <c r="H481" s="73">
        <v>1</v>
      </c>
      <c r="I481" s="73" t="s">
        <v>862</v>
      </c>
      <c r="J481" s="73" t="s">
        <v>862</v>
      </c>
      <c r="K481" s="78" t="b">
        <v>1</v>
      </c>
      <c r="L481" s="73" t="b">
        <v>0</v>
      </c>
      <c r="M481" s="49" t="str">
        <f>IF(A481=Backdoors!B2,1+MAX(M480:M480),"")</f>
        <v/>
      </c>
    </row>
    <row r="482" spans="1:13" x14ac:dyDescent="0.25">
      <c r="A482" s="67" t="s">
        <v>224</v>
      </c>
      <c r="B482" s="78" t="s">
        <v>1472</v>
      </c>
      <c r="C482" s="73" t="s">
        <v>121</v>
      </c>
      <c r="D482" s="73">
        <v>10</v>
      </c>
      <c r="E482" s="73"/>
      <c r="F482" s="73">
        <v>1</v>
      </c>
      <c r="G482" s="73">
        <v>0</v>
      </c>
      <c r="H482" s="73">
        <v>0</v>
      </c>
      <c r="I482" s="71" t="s">
        <v>1508</v>
      </c>
      <c r="J482" s="73" t="s">
        <v>862</v>
      </c>
      <c r="K482" s="78" t="b">
        <v>1</v>
      </c>
      <c r="L482" s="73" t="b">
        <v>0</v>
      </c>
      <c r="M482" s="49" t="str">
        <f>IF(A482=Backdoors!B2,1+MAX(M481:M481),"")</f>
        <v/>
      </c>
    </row>
    <row r="483" spans="1:13" x14ac:dyDescent="0.25">
      <c r="A483" s="76" t="s">
        <v>224</v>
      </c>
      <c r="B483" s="78" t="s">
        <v>1473</v>
      </c>
      <c r="C483" s="73" t="s">
        <v>121</v>
      </c>
      <c r="D483" s="73">
        <v>20</v>
      </c>
      <c r="E483" s="73"/>
      <c r="F483" s="73">
        <v>1</v>
      </c>
      <c r="G483" s="73">
        <v>0</v>
      </c>
      <c r="H483" s="73">
        <v>0</v>
      </c>
      <c r="I483" s="71" t="s">
        <v>1508</v>
      </c>
      <c r="J483" s="73" t="s">
        <v>862</v>
      </c>
      <c r="K483" s="78" t="b">
        <v>1</v>
      </c>
      <c r="L483" s="73" t="b">
        <v>0</v>
      </c>
      <c r="M483" s="49" t="str">
        <f>IF(A483=Backdoors!B2,1+MAX(M482:M482),"")</f>
        <v/>
      </c>
    </row>
    <row r="484" spans="1:13" x14ac:dyDescent="0.25">
      <c r="A484" s="76" t="s">
        <v>224</v>
      </c>
      <c r="B484" s="78" t="s">
        <v>1474</v>
      </c>
      <c r="C484" s="73" t="s">
        <v>121</v>
      </c>
      <c r="D484" s="73">
        <v>34</v>
      </c>
      <c r="E484" s="73"/>
      <c r="F484" s="73">
        <v>1</v>
      </c>
      <c r="G484" s="73">
        <v>0</v>
      </c>
      <c r="H484" s="73">
        <v>0</v>
      </c>
      <c r="I484" s="71" t="s">
        <v>1508</v>
      </c>
      <c r="J484" s="73" t="s">
        <v>862</v>
      </c>
      <c r="K484" s="78" t="b">
        <v>1</v>
      </c>
      <c r="L484" s="73" t="b">
        <v>0</v>
      </c>
      <c r="M484" s="49" t="str">
        <f>IF(A484=Backdoors!B2,1+MAX(M483:M483),"")</f>
        <v/>
      </c>
    </row>
    <row r="485" spans="1:13" x14ac:dyDescent="0.25">
      <c r="A485" s="76" t="s">
        <v>224</v>
      </c>
      <c r="B485" s="78" t="s">
        <v>1475</v>
      </c>
      <c r="C485" s="73" t="s">
        <v>121</v>
      </c>
      <c r="D485" s="73">
        <v>7</v>
      </c>
      <c r="E485" s="73"/>
      <c r="F485" s="73">
        <v>1</v>
      </c>
      <c r="G485" s="73">
        <v>0</v>
      </c>
      <c r="H485" s="73">
        <v>0</v>
      </c>
      <c r="I485" s="71" t="s">
        <v>1509</v>
      </c>
      <c r="J485" s="73" t="s">
        <v>862</v>
      </c>
      <c r="K485" s="78" t="b">
        <v>1</v>
      </c>
      <c r="L485" s="73" t="b">
        <v>0</v>
      </c>
      <c r="M485" s="49" t="str">
        <f>IF(A485=Backdoors!B2,1+MAX(M484:M484),"")</f>
        <v/>
      </c>
    </row>
    <row r="486" spans="1:13" x14ac:dyDescent="0.25">
      <c r="A486" s="76" t="s">
        <v>224</v>
      </c>
      <c r="B486" s="78" t="s">
        <v>1476</v>
      </c>
      <c r="C486" s="73" t="s">
        <v>121</v>
      </c>
      <c r="D486" s="73">
        <v>7</v>
      </c>
      <c r="E486" s="73"/>
      <c r="F486" s="73">
        <v>1</v>
      </c>
      <c r="G486" s="73">
        <v>0</v>
      </c>
      <c r="H486" s="73">
        <v>0</v>
      </c>
      <c r="I486" s="71" t="s">
        <v>1509</v>
      </c>
      <c r="J486" s="73" t="s">
        <v>862</v>
      </c>
      <c r="K486" s="78" t="b">
        <v>1</v>
      </c>
      <c r="L486" s="73" t="b">
        <v>0</v>
      </c>
      <c r="M486" s="49" t="str">
        <f>IF(A486=Backdoors!B2,1+MAX(M485:M485),"")</f>
        <v/>
      </c>
    </row>
    <row r="487" spans="1:13" x14ac:dyDescent="0.25">
      <c r="A487" s="76" t="s">
        <v>224</v>
      </c>
      <c r="B487" s="78" t="s">
        <v>1477</v>
      </c>
      <c r="C487" s="73" t="s">
        <v>121</v>
      </c>
      <c r="D487" s="73">
        <v>9</v>
      </c>
      <c r="E487" s="73"/>
      <c r="F487" s="73">
        <v>1</v>
      </c>
      <c r="G487" s="73">
        <v>0</v>
      </c>
      <c r="H487" s="73">
        <v>0</v>
      </c>
      <c r="I487" s="71" t="s">
        <v>1509</v>
      </c>
      <c r="J487" s="73" t="s">
        <v>862</v>
      </c>
      <c r="K487" s="78" t="b">
        <v>1</v>
      </c>
      <c r="L487" s="73" t="b">
        <v>0</v>
      </c>
      <c r="M487" s="49" t="str">
        <f>IF(A487=Backdoors!B2,1+MAX(M486:M486),"")</f>
        <v/>
      </c>
    </row>
    <row r="488" spans="1:13" x14ac:dyDescent="0.25">
      <c r="A488" s="76" t="s">
        <v>224</v>
      </c>
      <c r="B488" s="78" t="s">
        <v>1478</v>
      </c>
      <c r="C488" s="73" t="s">
        <v>121</v>
      </c>
      <c r="D488" s="73">
        <v>6</v>
      </c>
      <c r="E488" s="73"/>
      <c r="F488" s="73">
        <v>1</v>
      </c>
      <c r="G488" s="73">
        <v>0</v>
      </c>
      <c r="H488" s="73">
        <v>0</v>
      </c>
      <c r="I488" s="71" t="s">
        <v>1510</v>
      </c>
      <c r="J488" s="73" t="s">
        <v>862</v>
      </c>
      <c r="K488" s="78" t="b">
        <v>1</v>
      </c>
      <c r="L488" s="73" t="b">
        <v>0</v>
      </c>
      <c r="M488" s="49" t="str">
        <f>IF(A488=Backdoors!B2,1+MAX(M487:M487),"")</f>
        <v/>
      </c>
    </row>
    <row r="489" spans="1:13" x14ac:dyDescent="0.25">
      <c r="A489" s="76" t="s">
        <v>224</v>
      </c>
      <c r="B489" s="78" t="s">
        <v>1479</v>
      </c>
      <c r="C489" s="73" t="s">
        <v>121</v>
      </c>
      <c r="D489" s="73">
        <v>7</v>
      </c>
      <c r="E489" s="73"/>
      <c r="F489" s="73">
        <v>1</v>
      </c>
      <c r="G489" s="73">
        <v>0</v>
      </c>
      <c r="H489" s="73">
        <v>0</v>
      </c>
      <c r="I489" s="71" t="s">
        <v>1510</v>
      </c>
      <c r="J489" s="73" t="s">
        <v>862</v>
      </c>
      <c r="K489" s="78" t="b">
        <v>1</v>
      </c>
      <c r="L489" s="73" t="b">
        <v>0</v>
      </c>
      <c r="M489" s="49" t="str">
        <f>IF(A489=Backdoors!B2,1+MAX(M488:M488),"")</f>
        <v/>
      </c>
    </row>
    <row r="490" spans="1:13" x14ac:dyDescent="0.25">
      <c r="A490" s="76" t="s">
        <v>224</v>
      </c>
      <c r="B490" s="78" t="s">
        <v>1480</v>
      </c>
      <c r="C490" s="73" t="s">
        <v>121</v>
      </c>
      <c r="D490" s="73">
        <v>8</v>
      </c>
      <c r="E490" s="73"/>
      <c r="F490" s="73">
        <v>1</v>
      </c>
      <c r="G490" s="73">
        <v>0</v>
      </c>
      <c r="H490" s="73">
        <v>0</v>
      </c>
      <c r="I490" s="71" t="s">
        <v>1510</v>
      </c>
      <c r="J490" s="73" t="s">
        <v>862</v>
      </c>
      <c r="K490" s="78" t="b">
        <v>1</v>
      </c>
      <c r="L490" s="73" t="b">
        <v>0</v>
      </c>
      <c r="M490" s="49" t="str">
        <f>IF(A490=Backdoors!B2,1+MAX(M489:M489),"")</f>
        <v/>
      </c>
    </row>
    <row r="491" spans="1:13" x14ac:dyDescent="0.25">
      <c r="A491" s="67" t="s">
        <v>224</v>
      </c>
      <c r="B491" s="78" t="s">
        <v>1481</v>
      </c>
      <c r="C491" s="73" t="s">
        <v>121</v>
      </c>
      <c r="D491" s="73">
        <v>1</v>
      </c>
      <c r="E491" s="73"/>
      <c r="F491" s="73">
        <v>1</v>
      </c>
      <c r="G491" s="73">
        <v>0</v>
      </c>
      <c r="H491" s="73">
        <v>0</v>
      </c>
      <c r="I491" s="71" t="s">
        <v>1516</v>
      </c>
      <c r="J491" s="73" t="s">
        <v>862</v>
      </c>
      <c r="K491" s="78" t="b">
        <v>1</v>
      </c>
      <c r="L491" s="73" t="b">
        <v>0</v>
      </c>
      <c r="M491" s="49" t="str">
        <f>IF(A491=Backdoors!B2,1+MAX(M490:M490),"")</f>
        <v/>
      </c>
    </row>
    <row r="492" spans="1:13" x14ac:dyDescent="0.25">
      <c r="A492" s="76" t="s">
        <v>224</v>
      </c>
      <c r="B492" s="78" t="s">
        <v>1482</v>
      </c>
      <c r="C492" s="73" t="s">
        <v>121</v>
      </c>
      <c r="D492" s="73">
        <v>1</v>
      </c>
      <c r="E492" s="73"/>
      <c r="F492" s="73">
        <v>1</v>
      </c>
      <c r="G492" s="73">
        <v>0</v>
      </c>
      <c r="H492" s="73">
        <v>0</v>
      </c>
      <c r="I492" s="71" t="s">
        <v>1516</v>
      </c>
      <c r="J492" s="73" t="s">
        <v>862</v>
      </c>
      <c r="K492" s="78" t="b">
        <v>0</v>
      </c>
      <c r="L492" s="73" t="b">
        <v>0</v>
      </c>
      <c r="M492" s="49" t="str">
        <f>IF(A492=Backdoors!B2,1+MAX(M491:M491),"")</f>
        <v/>
      </c>
    </row>
    <row r="493" spans="1:13" x14ac:dyDescent="0.25">
      <c r="A493" s="76" t="s">
        <v>224</v>
      </c>
      <c r="B493" s="78" t="s">
        <v>1483</v>
      </c>
      <c r="C493" s="73" t="s">
        <v>121</v>
      </c>
      <c r="D493" s="73">
        <v>1</v>
      </c>
      <c r="E493" s="73"/>
      <c r="F493" s="73">
        <v>1</v>
      </c>
      <c r="G493" s="73">
        <v>0</v>
      </c>
      <c r="H493" s="73">
        <v>40</v>
      </c>
      <c r="I493" s="71" t="s">
        <v>1516</v>
      </c>
      <c r="J493" s="73" t="s">
        <v>127</v>
      </c>
      <c r="K493" s="78" t="b">
        <v>1</v>
      </c>
      <c r="L493" s="73" t="b">
        <v>0</v>
      </c>
      <c r="M493" s="49" t="str">
        <f>IF(A493=Backdoors!B2,1+MAX(M492:M492),"")</f>
        <v/>
      </c>
    </row>
    <row r="494" spans="1:13" x14ac:dyDescent="0.25">
      <c r="A494" s="76" t="s">
        <v>224</v>
      </c>
      <c r="B494" s="78" t="s">
        <v>1484</v>
      </c>
      <c r="C494" s="73" t="s">
        <v>121</v>
      </c>
      <c r="D494" s="73">
        <v>1</v>
      </c>
      <c r="E494" s="73"/>
      <c r="F494" s="73">
        <v>1</v>
      </c>
      <c r="G494" s="73">
        <v>0</v>
      </c>
      <c r="H494" s="73">
        <v>80</v>
      </c>
      <c r="I494" s="71" t="s">
        <v>1516</v>
      </c>
      <c r="J494" s="73" t="s">
        <v>127</v>
      </c>
      <c r="K494" s="78" t="b">
        <v>1</v>
      </c>
      <c r="L494" s="73" t="b">
        <v>0</v>
      </c>
      <c r="M494" s="49" t="str">
        <f>IF(A494=Backdoors!B2,1+MAX(M493:M493),"")</f>
        <v/>
      </c>
    </row>
    <row r="495" spans="1:13" x14ac:dyDescent="0.25">
      <c r="A495" s="76" t="s">
        <v>224</v>
      </c>
      <c r="B495" s="78" t="s">
        <v>1485</v>
      </c>
      <c r="C495" s="73" t="s">
        <v>121</v>
      </c>
      <c r="D495" s="73">
        <v>1</v>
      </c>
      <c r="E495" s="73"/>
      <c r="F495" s="73">
        <v>1</v>
      </c>
      <c r="G495" s="71">
        <v>0</v>
      </c>
      <c r="H495" s="73">
        <v>40</v>
      </c>
      <c r="I495" s="71" t="s">
        <v>1516</v>
      </c>
      <c r="J495" s="73" t="s">
        <v>163</v>
      </c>
      <c r="K495" s="78" t="b">
        <v>1</v>
      </c>
      <c r="L495" s="73" t="b">
        <v>0</v>
      </c>
      <c r="M495" s="49" t="str">
        <f>IF(A495=Backdoors!B2,1+MAX(M494:M494),"")</f>
        <v/>
      </c>
    </row>
    <row r="496" spans="1:13" x14ac:dyDescent="0.25">
      <c r="A496" s="76" t="s">
        <v>224</v>
      </c>
      <c r="B496" s="78" t="s">
        <v>1486</v>
      </c>
      <c r="C496" s="73" t="s">
        <v>121</v>
      </c>
      <c r="D496" s="73">
        <v>1</v>
      </c>
      <c r="E496" s="73"/>
      <c r="F496" s="73">
        <v>1</v>
      </c>
      <c r="G496" s="71">
        <v>0</v>
      </c>
      <c r="H496" s="73">
        <v>80</v>
      </c>
      <c r="I496" s="71" t="s">
        <v>1516</v>
      </c>
      <c r="J496" s="73" t="s">
        <v>163</v>
      </c>
      <c r="K496" s="78" t="b">
        <v>1</v>
      </c>
      <c r="L496" s="73" t="b">
        <v>0</v>
      </c>
      <c r="M496" s="49" t="str">
        <f>IF(A496=Backdoors!B2,1+MAX(M495:M495),"")</f>
        <v/>
      </c>
    </row>
    <row r="497" spans="1:13" x14ac:dyDescent="0.25">
      <c r="A497" s="76" t="s">
        <v>224</v>
      </c>
      <c r="B497" s="78" t="s">
        <v>1487</v>
      </c>
      <c r="C497" s="73" t="s">
        <v>121</v>
      </c>
      <c r="D497" s="73">
        <v>1</v>
      </c>
      <c r="E497" s="73"/>
      <c r="F497" s="73">
        <v>1</v>
      </c>
      <c r="G497" s="71">
        <v>0</v>
      </c>
      <c r="H497" s="73">
        <v>40</v>
      </c>
      <c r="I497" s="71" t="s">
        <v>1516</v>
      </c>
      <c r="J497" s="73" t="s">
        <v>164</v>
      </c>
      <c r="K497" s="78" t="b">
        <v>1</v>
      </c>
      <c r="L497" s="73" t="b">
        <v>0</v>
      </c>
      <c r="M497" s="49" t="str">
        <f>IF(A497=Backdoors!B2,1+MAX(M496:M496),"")</f>
        <v/>
      </c>
    </row>
    <row r="498" spans="1:13" x14ac:dyDescent="0.25">
      <c r="A498" s="76" t="s">
        <v>224</v>
      </c>
      <c r="B498" s="78" t="s">
        <v>1488</v>
      </c>
      <c r="C498" s="73" t="s">
        <v>121</v>
      </c>
      <c r="D498" s="73">
        <v>1</v>
      </c>
      <c r="E498" s="73"/>
      <c r="F498" s="73">
        <v>1</v>
      </c>
      <c r="G498" s="71">
        <v>0</v>
      </c>
      <c r="H498" s="73">
        <v>80</v>
      </c>
      <c r="I498" s="71" t="s">
        <v>1516</v>
      </c>
      <c r="J498" s="73" t="s">
        <v>164</v>
      </c>
      <c r="K498" s="78" t="b">
        <v>1</v>
      </c>
      <c r="L498" s="73" t="b">
        <v>0</v>
      </c>
      <c r="M498" s="49" t="str">
        <f>IF(A498=Backdoors!B2,1+MAX(M497:M497),"")</f>
        <v/>
      </c>
    </row>
    <row r="499" spans="1:13" x14ac:dyDescent="0.25">
      <c r="A499" s="76" t="s">
        <v>224</v>
      </c>
      <c r="B499" s="78" t="s">
        <v>1489</v>
      </c>
      <c r="C499" s="73" t="s">
        <v>121</v>
      </c>
      <c r="D499" s="73">
        <v>1</v>
      </c>
      <c r="E499" s="73"/>
      <c r="F499" s="73">
        <v>1</v>
      </c>
      <c r="G499" s="73">
        <v>0</v>
      </c>
      <c r="H499" s="73">
        <v>0</v>
      </c>
      <c r="I499" s="71" t="s">
        <v>1516</v>
      </c>
      <c r="J499" s="73" t="s">
        <v>862</v>
      </c>
      <c r="K499" s="78" t="b">
        <v>1</v>
      </c>
      <c r="L499" s="73" t="b">
        <v>0</v>
      </c>
      <c r="M499" s="49" t="str">
        <f>IF(A499=Backdoors!B2,1+MAX(M498:M498),"")</f>
        <v/>
      </c>
    </row>
    <row r="500" spans="1:13" x14ac:dyDescent="0.25">
      <c r="A500" s="76" t="s">
        <v>224</v>
      </c>
      <c r="B500" s="78" t="s">
        <v>1490</v>
      </c>
      <c r="C500" s="73" t="s">
        <v>121</v>
      </c>
      <c r="D500" s="73">
        <v>1</v>
      </c>
      <c r="E500" s="73"/>
      <c r="F500" s="73">
        <v>1</v>
      </c>
      <c r="G500" s="73">
        <v>0</v>
      </c>
      <c r="H500" s="73">
        <v>0</v>
      </c>
      <c r="I500" s="71" t="s">
        <v>1516</v>
      </c>
      <c r="J500" s="73" t="s">
        <v>862</v>
      </c>
      <c r="K500" s="78" t="b">
        <v>1</v>
      </c>
      <c r="L500" s="73" t="b">
        <v>0</v>
      </c>
      <c r="M500" s="49" t="str">
        <f>IF(A500=Backdoors!B2,1+MAX(M499:M499),"")</f>
        <v/>
      </c>
    </row>
    <row r="501" spans="1:13" x14ac:dyDescent="0.25">
      <c r="A501" s="67" t="s">
        <v>224</v>
      </c>
      <c r="B501" s="78" t="s">
        <v>1491</v>
      </c>
      <c r="C501" s="73" t="s">
        <v>121</v>
      </c>
      <c r="D501" s="73">
        <v>8</v>
      </c>
      <c r="E501" s="73"/>
      <c r="F501" s="73">
        <v>1</v>
      </c>
      <c r="G501" s="73">
        <v>22</v>
      </c>
      <c r="H501" s="73">
        <v>0</v>
      </c>
      <c r="I501" s="71" t="s">
        <v>1516</v>
      </c>
      <c r="J501" s="73" t="s">
        <v>122</v>
      </c>
      <c r="K501" s="78" t="b">
        <v>1</v>
      </c>
      <c r="L501" s="73" t="b">
        <v>0</v>
      </c>
      <c r="M501" s="49" t="str">
        <f>IF(A501=Backdoors!B2,1+MAX(M500:M500),"")</f>
        <v/>
      </c>
    </row>
    <row r="502" spans="1:13" x14ac:dyDescent="0.25">
      <c r="A502" s="76" t="s">
        <v>224</v>
      </c>
      <c r="B502" s="78" t="s">
        <v>1492</v>
      </c>
      <c r="C502" s="73" t="s">
        <v>121</v>
      </c>
      <c r="D502" s="73">
        <v>8</v>
      </c>
      <c r="E502" s="73"/>
      <c r="F502" s="73">
        <v>1</v>
      </c>
      <c r="G502" s="73">
        <v>22</v>
      </c>
      <c r="H502" s="73">
        <v>0</v>
      </c>
      <c r="I502" s="71" t="s">
        <v>1516</v>
      </c>
      <c r="J502" s="73" t="s">
        <v>123</v>
      </c>
      <c r="K502" s="78" t="b">
        <v>1</v>
      </c>
      <c r="L502" s="73" t="b">
        <v>0</v>
      </c>
      <c r="M502" s="49" t="str">
        <f>IF(A502=Backdoors!B2,1+MAX(M501:M501),"")</f>
        <v/>
      </c>
    </row>
    <row r="503" spans="1:13" x14ac:dyDescent="0.25">
      <c r="A503" s="76" t="s">
        <v>224</v>
      </c>
      <c r="B503" s="78" t="s">
        <v>1493</v>
      </c>
      <c r="C503" s="73" t="s">
        <v>121</v>
      </c>
      <c r="D503" s="73">
        <v>8</v>
      </c>
      <c r="E503" s="73"/>
      <c r="F503" s="73">
        <v>1</v>
      </c>
      <c r="G503" s="73">
        <v>22</v>
      </c>
      <c r="H503" s="73">
        <v>0</v>
      </c>
      <c r="I503" s="71" t="s">
        <v>1516</v>
      </c>
      <c r="J503" s="73" t="s">
        <v>125</v>
      </c>
      <c r="K503" s="78" t="b">
        <v>1</v>
      </c>
      <c r="L503" s="73" t="b">
        <v>0</v>
      </c>
      <c r="M503" s="49" t="str">
        <f>IF(A503=Backdoors!B2,1+MAX(M502:M502),"")</f>
        <v/>
      </c>
    </row>
    <row r="504" spans="1:13" x14ac:dyDescent="0.25">
      <c r="A504" s="76" t="s">
        <v>224</v>
      </c>
      <c r="B504" s="78" t="s">
        <v>1494</v>
      </c>
      <c r="C504" s="73" t="s">
        <v>121</v>
      </c>
      <c r="D504" s="73">
        <v>8</v>
      </c>
      <c r="E504" s="73"/>
      <c r="F504" s="73">
        <v>1</v>
      </c>
      <c r="G504" s="73">
        <v>22</v>
      </c>
      <c r="H504" s="73">
        <v>0</v>
      </c>
      <c r="I504" s="71" t="s">
        <v>1516</v>
      </c>
      <c r="J504" s="73" t="s">
        <v>124</v>
      </c>
      <c r="K504" s="78" t="b">
        <v>1</v>
      </c>
      <c r="L504" s="73" t="b">
        <v>0</v>
      </c>
      <c r="M504" s="49" t="str">
        <f>IF(A504=Backdoors!B2,1+MAX(M503:M503),"")</f>
        <v/>
      </c>
    </row>
    <row r="505" spans="1:13" x14ac:dyDescent="0.25">
      <c r="A505" s="76" t="s">
        <v>224</v>
      </c>
      <c r="B505" s="78" t="s">
        <v>1495</v>
      </c>
      <c r="C505" s="73" t="s">
        <v>121</v>
      </c>
      <c r="D505" s="73">
        <v>2</v>
      </c>
      <c r="E505" s="73"/>
      <c r="F505" s="73">
        <v>1</v>
      </c>
      <c r="G505" s="73">
        <v>18</v>
      </c>
      <c r="H505" s="73">
        <v>0</v>
      </c>
      <c r="I505" s="71" t="s">
        <v>1516</v>
      </c>
      <c r="J505" s="73" t="s">
        <v>126</v>
      </c>
      <c r="K505" s="78" t="b">
        <v>1</v>
      </c>
      <c r="L505" s="73" t="b">
        <v>0</v>
      </c>
      <c r="M505" s="49" t="str">
        <f>IF(A505=Backdoors!B2,1+MAX(M504:M504),"")</f>
        <v/>
      </c>
    </row>
    <row r="506" spans="1:13" x14ac:dyDescent="0.25">
      <c r="A506" s="76" t="s">
        <v>224</v>
      </c>
      <c r="B506" s="78" t="s">
        <v>1496</v>
      </c>
      <c r="C506" s="73" t="s">
        <v>121</v>
      </c>
      <c r="D506" s="73">
        <v>1</v>
      </c>
      <c r="E506" s="73"/>
      <c r="F506" s="73">
        <v>1</v>
      </c>
      <c r="G506" s="73">
        <v>0</v>
      </c>
      <c r="H506" s="73">
        <v>0</v>
      </c>
      <c r="I506" s="71" t="s">
        <v>1516</v>
      </c>
      <c r="J506" s="73" t="s">
        <v>862</v>
      </c>
      <c r="K506" s="78" t="b">
        <v>1</v>
      </c>
      <c r="L506" s="73" t="b">
        <v>0</v>
      </c>
      <c r="M506" s="49" t="str">
        <f>IF(A506=Backdoors!B2,1+MAX(M505:M505),"")</f>
        <v/>
      </c>
    </row>
    <row r="507" spans="1:13" x14ac:dyDescent="0.25">
      <c r="A507" s="76" t="s">
        <v>224</v>
      </c>
      <c r="B507" s="78" t="s">
        <v>1497</v>
      </c>
      <c r="C507" s="73" t="s">
        <v>0</v>
      </c>
      <c r="D507" s="73">
        <v>6</v>
      </c>
      <c r="E507" s="73"/>
      <c r="F507" s="73">
        <v>1</v>
      </c>
      <c r="G507" s="73">
        <v>0</v>
      </c>
      <c r="H507" s="73">
        <v>0</v>
      </c>
      <c r="I507" s="71" t="s">
        <v>1516</v>
      </c>
      <c r="J507" s="73" t="s">
        <v>862</v>
      </c>
      <c r="K507" s="78" t="b">
        <v>1</v>
      </c>
      <c r="L507" s="73" t="b">
        <v>0</v>
      </c>
      <c r="M507" s="49" t="str">
        <f>IF(A507=Backdoors!B2,1+MAX(M506:M506),"")</f>
        <v/>
      </c>
    </row>
    <row r="508" spans="1:13" x14ac:dyDescent="0.25">
      <c r="A508" s="76" t="s">
        <v>224</v>
      </c>
      <c r="B508" s="78" t="s">
        <v>1179</v>
      </c>
      <c r="C508" s="73" t="s">
        <v>121</v>
      </c>
      <c r="D508" s="73">
        <v>15</v>
      </c>
      <c r="E508" s="73"/>
      <c r="F508" s="73">
        <v>0</v>
      </c>
      <c r="G508" s="73">
        <v>0</v>
      </c>
      <c r="H508" s="73">
        <v>0</v>
      </c>
      <c r="I508" s="71" t="s">
        <v>1516</v>
      </c>
      <c r="J508" s="73" t="s">
        <v>862</v>
      </c>
      <c r="K508" s="78" t="b">
        <v>1</v>
      </c>
      <c r="L508" s="73" t="b">
        <v>0</v>
      </c>
      <c r="M508" s="49" t="str">
        <f>IF(A508=Backdoors!B2,1+MAX(M507:M507),"")</f>
        <v/>
      </c>
    </row>
    <row r="509" spans="1:13" x14ac:dyDescent="0.25">
      <c r="A509" s="76" t="s">
        <v>224</v>
      </c>
      <c r="B509" s="78" t="s">
        <v>1180</v>
      </c>
      <c r="C509" s="73" t="s">
        <v>121</v>
      </c>
      <c r="D509" s="73">
        <v>96</v>
      </c>
      <c r="E509" s="73"/>
      <c r="F509" s="73">
        <v>1</v>
      </c>
      <c r="G509" s="73">
        <v>0</v>
      </c>
      <c r="H509" s="73">
        <v>0</v>
      </c>
      <c r="I509" s="71" t="s">
        <v>1516</v>
      </c>
      <c r="J509" s="73" t="s">
        <v>862</v>
      </c>
      <c r="K509" s="78" t="b">
        <v>1</v>
      </c>
      <c r="L509" s="73" t="b">
        <v>0</v>
      </c>
      <c r="M509" s="49" t="str">
        <f>IF(A509=Backdoors!B2,1+MAX(M508:M508),"")</f>
        <v/>
      </c>
    </row>
    <row r="510" spans="1:13" x14ac:dyDescent="0.25">
      <c r="A510" s="67" t="s">
        <v>224</v>
      </c>
      <c r="B510" s="78" t="s">
        <v>1507</v>
      </c>
      <c r="C510" s="73" t="s">
        <v>121</v>
      </c>
      <c r="D510" s="73">
        <v>158</v>
      </c>
      <c r="E510" s="73"/>
      <c r="F510" s="73">
        <v>1</v>
      </c>
      <c r="G510" s="73">
        <v>0</v>
      </c>
      <c r="H510" s="73">
        <v>0</v>
      </c>
      <c r="I510" s="71" t="s">
        <v>1516</v>
      </c>
      <c r="J510" s="73" t="s">
        <v>862</v>
      </c>
      <c r="K510" s="78" t="b">
        <v>1</v>
      </c>
      <c r="L510" s="73" t="b">
        <v>0</v>
      </c>
      <c r="M510" s="49" t="str">
        <f>IF(A510=Backdoors!B2,1+MAX(M509:M509),"")</f>
        <v/>
      </c>
    </row>
    <row r="511" spans="1:13" x14ac:dyDescent="0.25">
      <c r="A511" s="76" t="s">
        <v>224</v>
      </c>
      <c r="B511" s="78" t="s">
        <v>1177</v>
      </c>
      <c r="C511" s="73" t="s">
        <v>121</v>
      </c>
      <c r="D511" s="73">
        <v>1</v>
      </c>
      <c r="E511" s="73"/>
      <c r="F511" s="73">
        <v>1</v>
      </c>
      <c r="G511" s="73">
        <v>0</v>
      </c>
      <c r="H511" s="73">
        <v>0</v>
      </c>
      <c r="I511" s="73" t="s">
        <v>1516</v>
      </c>
      <c r="J511" s="73" t="s">
        <v>862</v>
      </c>
      <c r="K511" s="78" t="b">
        <v>1</v>
      </c>
      <c r="L511" s="73" t="b">
        <v>0</v>
      </c>
      <c r="M511" s="49" t="str">
        <f>IF(A511=Backdoors!B2,1+MAX(M510:M510),"")</f>
        <v/>
      </c>
    </row>
    <row r="512" spans="1:13" x14ac:dyDescent="0.25">
      <c r="A512" s="67" t="s">
        <v>224</v>
      </c>
      <c r="B512" s="77" t="s">
        <v>1511</v>
      </c>
      <c r="C512" s="73" t="s">
        <v>120</v>
      </c>
      <c r="D512" s="73">
        <v>25</v>
      </c>
      <c r="E512" s="73"/>
      <c r="F512" s="73">
        <v>1</v>
      </c>
      <c r="G512" s="73">
        <v>0</v>
      </c>
      <c r="H512" s="73">
        <v>0</v>
      </c>
      <c r="I512" s="71" t="s">
        <v>862</v>
      </c>
      <c r="J512" s="73" t="s">
        <v>862</v>
      </c>
      <c r="K512" s="78" t="b">
        <v>1</v>
      </c>
      <c r="L512" s="73" t="b">
        <v>0</v>
      </c>
      <c r="M512" s="49" t="str">
        <f>IF(A512=Backdoors!B2,1+MAX(M511:M511),"")</f>
        <v/>
      </c>
    </row>
    <row r="513" spans="1:13" x14ac:dyDescent="0.25">
      <c r="A513" s="74" t="s">
        <v>224</v>
      </c>
      <c r="B513" s="77" t="s">
        <v>1512</v>
      </c>
      <c r="C513" s="73" t="s">
        <v>120</v>
      </c>
      <c r="D513" s="73">
        <v>25</v>
      </c>
      <c r="E513" s="73">
        <v>55</v>
      </c>
      <c r="F513" s="73">
        <v>1</v>
      </c>
      <c r="G513" s="73">
        <v>0</v>
      </c>
      <c r="H513" s="73">
        <v>0</v>
      </c>
      <c r="I513" s="71" t="s">
        <v>862</v>
      </c>
      <c r="J513" s="73" t="s">
        <v>862</v>
      </c>
      <c r="K513" s="78" t="b">
        <v>1</v>
      </c>
      <c r="L513" s="73" t="b">
        <v>1</v>
      </c>
      <c r="M513" s="49" t="str">
        <f>IF(A513=Backdoors!B2,1+MAX(M512:M512),"")</f>
        <v/>
      </c>
    </row>
    <row r="514" spans="1:13" x14ac:dyDescent="0.25">
      <c r="A514" s="74" t="s">
        <v>224</v>
      </c>
      <c r="B514" s="77" t="s">
        <v>1513</v>
      </c>
      <c r="C514" s="73" t="s">
        <v>1514</v>
      </c>
      <c r="D514" s="73">
        <v>20</v>
      </c>
      <c r="E514" s="73"/>
      <c r="F514" s="73">
        <v>0</v>
      </c>
      <c r="G514" s="73">
        <v>1</v>
      </c>
      <c r="H514" s="73">
        <v>1</v>
      </c>
      <c r="I514" s="71" t="s">
        <v>862</v>
      </c>
      <c r="J514" s="73" t="s">
        <v>862</v>
      </c>
      <c r="K514" s="78" t="b">
        <v>1</v>
      </c>
      <c r="L514" s="73" t="b">
        <v>0</v>
      </c>
      <c r="M514" s="49" t="str">
        <f>IF(A514=Backdoors!B2,1+MAX(M513:M513),"")</f>
        <v/>
      </c>
    </row>
    <row r="515" spans="1:13" x14ac:dyDescent="0.25">
      <c r="A515" s="74" t="s">
        <v>224</v>
      </c>
      <c r="B515" s="77" t="s">
        <v>1515</v>
      </c>
      <c r="C515" s="73" t="s">
        <v>1514</v>
      </c>
      <c r="D515" s="73">
        <v>35</v>
      </c>
      <c r="E515" s="73"/>
      <c r="F515" s="73">
        <v>1</v>
      </c>
      <c r="G515" s="73">
        <v>1</v>
      </c>
      <c r="H515" s="73">
        <v>1</v>
      </c>
      <c r="I515" s="71" t="s">
        <v>862</v>
      </c>
      <c r="J515" s="73" t="s">
        <v>862</v>
      </c>
      <c r="K515" s="78" t="b">
        <v>1</v>
      </c>
      <c r="L515" s="73" t="b">
        <v>0</v>
      </c>
      <c r="M515" s="49" t="str">
        <f>IF(A515=Backdoors!B2,1+MAX(M514:M514),"")</f>
        <v/>
      </c>
    </row>
    <row r="516" spans="1:13" x14ac:dyDescent="0.25">
      <c r="A516" s="67" t="s">
        <v>225</v>
      </c>
      <c r="B516" s="78" t="s">
        <v>1472</v>
      </c>
      <c r="C516" s="73" t="s">
        <v>121</v>
      </c>
      <c r="D516" s="73">
        <v>10</v>
      </c>
      <c r="E516" s="73"/>
      <c r="F516" s="73">
        <v>1</v>
      </c>
      <c r="G516" s="73">
        <v>0</v>
      </c>
      <c r="H516" s="73">
        <v>0</v>
      </c>
      <c r="I516" s="71" t="s">
        <v>1508</v>
      </c>
      <c r="J516" s="73" t="s">
        <v>862</v>
      </c>
      <c r="K516" s="78" t="b">
        <v>1</v>
      </c>
      <c r="L516" s="73" t="b">
        <v>0</v>
      </c>
      <c r="M516" s="49" t="str">
        <f>IF(A516=Backdoors!B2,1+MAX(M515:M515),"")</f>
        <v/>
      </c>
    </row>
    <row r="517" spans="1:13" x14ac:dyDescent="0.25">
      <c r="A517" s="76" t="s">
        <v>225</v>
      </c>
      <c r="B517" s="78" t="s">
        <v>1473</v>
      </c>
      <c r="C517" s="73" t="s">
        <v>121</v>
      </c>
      <c r="D517" s="73">
        <v>20</v>
      </c>
      <c r="E517" s="73"/>
      <c r="F517" s="73">
        <v>1</v>
      </c>
      <c r="G517" s="73">
        <v>0</v>
      </c>
      <c r="H517" s="73">
        <v>0</v>
      </c>
      <c r="I517" s="71" t="s">
        <v>1508</v>
      </c>
      <c r="J517" s="73" t="s">
        <v>862</v>
      </c>
      <c r="K517" s="78" t="b">
        <v>1</v>
      </c>
      <c r="L517" s="73" t="b">
        <v>1</v>
      </c>
      <c r="M517" s="49" t="str">
        <f>IF(A517=Backdoors!B2,1+MAX(M516:M516),"")</f>
        <v/>
      </c>
    </row>
    <row r="518" spans="1:13" x14ac:dyDescent="0.25">
      <c r="A518" s="76" t="s">
        <v>225</v>
      </c>
      <c r="B518" s="78" t="s">
        <v>1474</v>
      </c>
      <c r="C518" s="73" t="s">
        <v>121</v>
      </c>
      <c r="D518" s="73">
        <v>34</v>
      </c>
      <c r="E518" s="73"/>
      <c r="F518" s="73">
        <v>1</v>
      </c>
      <c r="G518" s="73">
        <v>0</v>
      </c>
      <c r="H518" s="73">
        <v>0</v>
      </c>
      <c r="I518" s="71" t="s">
        <v>1508</v>
      </c>
      <c r="J518" s="73" t="s">
        <v>862</v>
      </c>
      <c r="K518" s="78" t="b">
        <v>1</v>
      </c>
      <c r="L518" s="73" t="b">
        <v>0</v>
      </c>
      <c r="M518" s="49" t="str">
        <f>IF(A518=Backdoors!B2,1+MAX(M517:M517),"")</f>
        <v/>
      </c>
    </row>
    <row r="519" spans="1:13" x14ac:dyDescent="0.25">
      <c r="A519" s="76" t="s">
        <v>225</v>
      </c>
      <c r="B519" s="78" t="s">
        <v>1475</v>
      </c>
      <c r="C519" s="73" t="s">
        <v>121</v>
      </c>
      <c r="D519" s="73">
        <v>7</v>
      </c>
      <c r="E519" s="73"/>
      <c r="F519" s="73">
        <v>1</v>
      </c>
      <c r="G519" s="73">
        <v>0</v>
      </c>
      <c r="H519" s="73">
        <v>0</v>
      </c>
      <c r="I519" s="71" t="s">
        <v>1509</v>
      </c>
      <c r="J519" s="73" t="s">
        <v>862</v>
      </c>
      <c r="K519" s="78" t="b">
        <v>1</v>
      </c>
      <c r="L519" s="73" t="b">
        <v>0</v>
      </c>
      <c r="M519" s="49" t="str">
        <f>IF(A519=Backdoors!B2,1+MAX(M518:M518),"")</f>
        <v/>
      </c>
    </row>
    <row r="520" spans="1:13" x14ac:dyDescent="0.25">
      <c r="A520" s="76" t="s">
        <v>225</v>
      </c>
      <c r="B520" s="78" t="s">
        <v>1476</v>
      </c>
      <c r="C520" s="73" t="s">
        <v>121</v>
      </c>
      <c r="D520" s="73">
        <v>7</v>
      </c>
      <c r="E520" s="73"/>
      <c r="F520" s="73">
        <v>1</v>
      </c>
      <c r="G520" s="73">
        <v>0</v>
      </c>
      <c r="H520" s="73">
        <v>0</v>
      </c>
      <c r="I520" s="71" t="s">
        <v>1509</v>
      </c>
      <c r="J520" s="73" t="s">
        <v>862</v>
      </c>
      <c r="K520" s="78" t="b">
        <v>1</v>
      </c>
      <c r="L520" s="73" t="b">
        <v>0</v>
      </c>
      <c r="M520" s="49" t="str">
        <f>IF(A520=Backdoors!B2,1+MAX(M519:M519),"")</f>
        <v/>
      </c>
    </row>
    <row r="521" spans="1:13" x14ac:dyDescent="0.25">
      <c r="A521" s="76" t="s">
        <v>225</v>
      </c>
      <c r="B521" s="78" t="s">
        <v>1477</v>
      </c>
      <c r="C521" s="73" t="s">
        <v>121</v>
      </c>
      <c r="D521" s="73">
        <v>9</v>
      </c>
      <c r="E521" s="73"/>
      <c r="F521" s="73">
        <v>1</v>
      </c>
      <c r="G521" s="73">
        <v>0</v>
      </c>
      <c r="H521" s="73">
        <v>0</v>
      </c>
      <c r="I521" s="71" t="s">
        <v>1509</v>
      </c>
      <c r="J521" s="73" t="s">
        <v>862</v>
      </c>
      <c r="K521" s="78" t="b">
        <v>1</v>
      </c>
      <c r="L521" s="73" t="b">
        <v>1</v>
      </c>
      <c r="M521" s="49" t="str">
        <f>IF(A521=Backdoors!B2,1+MAX(M520:M520),"")</f>
        <v/>
      </c>
    </row>
    <row r="522" spans="1:13" x14ac:dyDescent="0.25">
      <c r="A522" s="76" t="s">
        <v>225</v>
      </c>
      <c r="B522" s="78" t="s">
        <v>1478</v>
      </c>
      <c r="C522" s="73" t="s">
        <v>121</v>
      </c>
      <c r="D522" s="73">
        <v>6</v>
      </c>
      <c r="E522" s="73"/>
      <c r="F522" s="73">
        <v>1</v>
      </c>
      <c r="G522" s="73">
        <v>0</v>
      </c>
      <c r="H522" s="73">
        <v>0</v>
      </c>
      <c r="I522" s="71" t="s">
        <v>1510</v>
      </c>
      <c r="J522" s="73" t="s">
        <v>862</v>
      </c>
      <c r="K522" s="78" t="b">
        <v>1</v>
      </c>
      <c r="L522" s="73" t="b">
        <v>0</v>
      </c>
      <c r="M522" s="49" t="str">
        <f>IF(A522=Backdoors!B2,1+MAX(M521:M521),"")</f>
        <v/>
      </c>
    </row>
    <row r="523" spans="1:13" x14ac:dyDescent="0.25">
      <c r="A523" s="76" t="s">
        <v>225</v>
      </c>
      <c r="B523" s="78" t="s">
        <v>1479</v>
      </c>
      <c r="C523" s="73" t="s">
        <v>121</v>
      </c>
      <c r="D523" s="73">
        <v>7</v>
      </c>
      <c r="E523" s="73"/>
      <c r="F523" s="73">
        <v>1</v>
      </c>
      <c r="G523" s="73">
        <v>0</v>
      </c>
      <c r="H523" s="73">
        <v>0</v>
      </c>
      <c r="I523" s="71" t="s">
        <v>1510</v>
      </c>
      <c r="J523" s="73" t="s">
        <v>862</v>
      </c>
      <c r="K523" s="78" t="b">
        <v>1</v>
      </c>
      <c r="L523" s="73" t="b">
        <v>0</v>
      </c>
      <c r="M523" s="49" t="str">
        <f>IF(A523=Backdoors!B2,1+MAX(M522:M522),"")</f>
        <v/>
      </c>
    </row>
    <row r="524" spans="1:13" x14ac:dyDescent="0.25">
      <c r="A524" s="76" t="s">
        <v>225</v>
      </c>
      <c r="B524" s="78" t="s">
        <v>1480</v>
      </c>
      <c r="C524" s="73" t="s">
        <v>121</v>
      </c>
      <c r="D524" s="73">
        <v>8</v>
      </c>
      <c r="E524" s="73"/>
      <c r="F524" s="73">
        <v>1</v>
      </c>
      <c r="G524" s="73">
        <v>0</v>
      </c>
      <c r="H524" s="73">
        <v>0</v>
      </c>
      <c r="I524" s="71" t="s">
        <v>1510</v>
      </c>
      <c r="J524" s="73" t="s">
        <v>862</v>
      </c>
      <c r="K524" s="78" t="b">
        <v>1</v>
      </c>
      <c r="L524" s="73" t="b">
        <v>1</v>
      </c>
      <c r="M524" s="49" t="str">
        <f>IF(A524=Backdoors!B2,1+MAX(M523:M523),"")</f>
        <v/>
      </c>
    </row>
    <row r="525" spans="1:13" x14ac:dyDescent="0.25">
      <c r="A525" s="76" t="s">
        <v>225</v>
      </c>
      <c r="B525" s="78" t="s">
        <v>1481</v>
      </c>
      <c r="C525" s="73" t="s">
        <v>121</v>
      </c>
      <c r="D525" s="73">
        <v>1</v>
      </c>
      <c r="E525" s="73"/>
      <c r="F525" s="73">
        <v>1</v>
      </c>
      <c r="G525" s="73">
        <v>0</v>
      </c>
      <c r="H525" s="73">
        <v>0</v>
      </c>
      <c r="I525" s="71" t="s">
        <v>1516</v>
      </c>
      <c r="J525" s="73" t="s">
        <v>862</v>
      </c>
      <c r="K525" s="78" t="b">
        <v>1</v>
      </c>
      <c r="L525" s="73" t="b">
        <v>0</v>
      </c>
      <c r="M525" s="49" t="str">
        <f>IF(A525=Backdoors!B2,1+MAX(M524:M524),"")</f>
        <v/>
      </c>
    </row>
    <row r="526" spans="1:13" x14ac:dyDescent="0.25">
      <c r="A526" s="76" t="s">
        <v>225</v>
      </c>
      <c r="B526" s="78" t="s">
        <v>1482</v>
      </c>
      <c r="C526" s="73" t="s">
        <v>121</v>
      </c>
      <c r="D526" s="73">
        <v>1</v>
      </c>
      <c r="E526" s="73"/>
      <c r="F526" s="73">
        <v>1</v>
      </c>
      <c r="G526" s="73">
        <v>0</v>
      </c>
      <c r="H526" s="73">
        <v>0</v>
      </c>
      <c r="I526" s="71" t="s">
        <v>1516</v>
      </c>
      <c r="J526" s="73" t="s">
        <v>862</v>
      </c>
      <c r="K526" s="78" t="b">
        <v>0</v>
      </c>
      <c r="L526" s="73" t="b">
        <v>0</v>
      </c>
      <c r="M526" s="49" t="str">
        <f>IF(A526=Backdoors!B2,1+MAX(M525:M525),"")</f>
        <v/>
      </c>
    </row>
    <row r="527" spans="1:13" x14ac:dyDescent="0.25">
      <c r="A527" s="76" t="s">
        <v>225</v>
      </c>
      <c r="B527" s="78" t="s">
        <v>1483</v>
      </c>
      <c r="C527" s="73" t="s">
        <v>121</v>
      </c>
      <c r="D527" s="73">
        <v>1</v>
      </c>
      <c r="E527" s="73"/>
      <c r="F527" s="73">
        <v>1</v>
      </c>
      <c r="G527" s="71">
        <v>0</v>
      </c>
      <c r="H527" s="73">
        <v>40</v>
      </c>
      <c r="I527" s="71" t="s">
        <v>1516</v>
      </c>
      <c r="J527" s="73" t="s">
        <v>127</v>
      </c>
      <c r="K527" s="78" t="b">
        <v>1</v>
      </c>
      <c r="L527" s="73" t="b">
        <v>0</v>
      </c>
      <c r="M527" s="49" t="str">
        <f>IF(A527=Backdoors!B2,1+MAX(M526:M526),"")</f>
        <v/>
      </c>
    </row>
    <row r="528" spans="1:13" x14ac:dyDescent="0.25">
      <c r="A528" s="67" t="s">
        <v>225</v>
      </c>
      <c r="B528" s="78" t="s">
        <v>1484</v>
      </c>
      <c r="C528" s="73" t="s">
        <v>121</v>
      </c>
      <c r="D528" s="73">
        <v>1</v>
      </c>
      <c r="E528" s="73"/>
      <c r="F528" s="73">
        <v>1</v>
      </c>
      <c r="G528" s="71">
        <v>0</v>
      </c>
      <c r="H528" s="73">
        <v>80</v>
      </c>
      <c r="I528" s="71" t="s">
        <v>1516</v>
      </c>
      <c r="J528" s="73" t="s">
        <v>127</v>
      </c>
      <c r="K528" s="78" t="b">
        <v>1</v>
      </c>
      <c r="L528" s="73" t="b">
        <v>0</v>
      </c>
      <c r="M528" s="49" t="str">
        <f>IF(A528=Backdoors!B2,1+MAX(M527:M527),"")</f>
        <v/>
      </c>
    </row>
    <row r="529" spans="1:13" x14ac:dyDescent="0.25">
      <c r="A529" s="76" t="s">
        <v>225</v>
      </c>
      <c r="B529" s="78" t="s">
        <v>1485</v>
      </c>
      <c r="C529" s="73" t="s">
        <v>121</v>
      </c>
      <c r="D529" s="73">
        <v>1</v>
      </c>
      <c r="E529" s="73"/>
      <c r="F529" s="73">
        <v>1</v>
      </c>
      <c r="G529" s="71">
        <v>0</v>
      </c>
      <c r="H529" s="73">
        <v>40</v>
      </c>
      <c r="I529" s="71" t="s">
        <v>1516</v>
      </c>
      <c r="J529" s="73" t="s">
        <v>163</v>
      </c>
      <c r="K529" s="78" t="b">
        <v>1</v>
      </c>
      <c r="L529" s="73" t="b">
        <v>0</v>
      </c>
      <c r="M529" s="49" t="str">
        <f>IF(A529=Backdoors!B2,1+MAX(M528:M528),"")</f>
        <v/>
      </c>
    </row>
    <row r="530" spans="1:13" x14ac:dyDescent="0.25">
      <c r="A530" s="76" t="s">
        <v>225</v>
      </c>
      <c r="B530" s="78" t="s">
        <v>1486</v>
      </c>
      <c r="C530" s="73" t="s">
        <v>121</v>
      </c>
      <c r="D530" s="73">
        <v>1</v>
      </c>
      <c r="E530" s="73"/>
      <c r="F530" s="73">
        <v>1</v>
      </c>
      <c r="G530" s="71">
        <v>0</v>
      </c>
      <c r="H530" s="73">
        <v>80</v>
      </c>
      <c r="I530" s="71" t="s">
        <v>1516</v>
      </c>
      <c r="J530" s="73" t="s">
        <v>163</v>
      </c>
      <c r="K530" s="78" t="b">
        <v>1</v>
      </c>
      <c r="L530" s="73" t="b">
        <v>0</v>
      </c>
      <c r="M530" s="49" t="str">
        <f>IF(A530=Backdoors!B2,1+MAX(M529:M529),"")</f>
        <v/>
      </c>
    </row>
    <row r="531" spans="1:13" x14ac:dyDescent="0.25">
      <c r="A531" s="76" t="s">
        <v>225</v>
      </c>
      <c r="B531" s="78" t="s">
        <v>1487</v>
      </c>
      <c r="C531" s="73" t="s">
        <v>121</v>
      </c>
      <c r="D531" s="73">
        <v>1</v>
      </c>
      <c r="E531" s="73"/>
      <c r="F531" s="73">
        <v>1</v>
      </c>
      <c r="G531" s="71">
        <v>0</v>
      </c>
      <c r="H531" s="73">
        <v>40</v>
      </c>
      <c r="I531" s="71" t="s">
        <v>1516</v>
      </c>
      <c r="J531" s="73" t="s">
        <v>164</v>
      </c>
      <c r="K531" s="78" t="b">
        <v>1</v>
      </c>
      <c r="L531" s="73" t="b">
        <v>0</v>
      </c>
      <c r="M531" s="49" t="str">
        <f>IF(A531=Backdoors!B2,1+MAX(M530:M530),"")</f>
        <v/>
      </c>
    </row>
    <row r="532" spans="1:13" x14ac:dyDescent="0.25">
      <c r="A532" s="76" t="s">
        <v>225</v>
      </c>
      <c r="B532" s="78" t="s">
        <v>1488</v>
      </c>
      <c r="C532" s="73" t="s">
        <v>121</v>
      </c>
      <c r="D532" s="73">
        <v>1</v>
      </c>
      <c r="E532" s="73"/>
      <c r="F532" s="73">
        <v>1</v>
      </c>
      <c r="G532" s="71">
        <v>0</v>
      </c>
      <c r="H532" s="73">
        <v>80</v>
      </c>
      <c r="I532" s="71" t="s">
        <v>1516</v>
      </c>
      <c r="J532" s="73" t="s">
        <v>164</v>
      </c>
      <c r="K532" s="78" t="b">
        <v>1</v>
      </c>
      <c r="L532" s="73" t="b">
        <v>0</v>
      </c>
      <c r="M532" s="49" t="str">
        <f>IF(A532=Backdoors!B2,1+MAX(M531:M531),"")</f>
        <v/>
      </c>
    </row>
    <row r="533" spans="1:13" x14ac:dyDescent="0.25">
      <c r="A533" s="76" t="s">
        <v>225</v>
      </c>
      <c r="B533" s="78" t="s">
        <v>1489</v>
      </c>
      <c r="C533" s="73" t="s">
        <v>121</v>
      </c>
      <c r="D533" s="73">
        <v>1</v>
      </c>
      <c r="E533" s="73"/>
      <c r="F533" s="73">
        <v>1</v>
      </c>
      <c r="G533" s="73">
        <v>0</v>
      </c>
      <c r="H533" s="73">
        <v>0</v>
      </c>
      <c r="I533" s="71" t="s">
        <v>1516</v>
      </c>
      <c r="J533" s="73" t="s">
        <v>862</v>
      </c>
      <c r="K533" s="78" t="b">
        <v>1</v>
      </c>
      <c r="L533" s="73" t="b">
        <v>0</v>
      </c>
      <c r="M533" s="49" t="str">
        <f>IF(A533=Backdoors!B2,1+MAX(M532:M532),"")</f>
        <v/>
      </c>
    </row>
    <row r="534" spans="1:13" x14ac:dyDescent="0.25">
      <c r="A534" s="76" t="s">
        <v>225</v>
      </c>
      <c r="B534" s="78" t="s">
        <v>1490</v>
      </c>
      <c r="C534" s="73" t="s">
        <v>121</v>
      </c>
      <c r="D534" s="73">
        <v>1</v>
      </c>
      <c r="E534" s="73"/>
      <c r="F534" s="73">
        <v>1</v>
      </c>
      <c r="G534" s="73">
        <v>0</v>
      </c>
      <c r="H534" s="73">
        <v>0</v>
      </c>
      <c r="I534" s="71" t="s">
        <v>1516</v>
      </c>
      <c r="J534" s="73" t="s">
        <v>862</v>
      </c>
      <c r="K534" s="78" t="b">
        <v>1</v>
      </c>
      <c r="L534" s="73" t="b">
        <v>0</v>
      </c>
      <c r="M534" s="49" t="str">
        <f>IF(A534=Backdoors!B2,1+MAX(M533:M533),"")</f>
        <v/>
      </c>
    </row>
    <row r="535" spans="1:13" x14ac:dyDescent="0.25">
      <c r="A535" s="76" t="s">
        <v>225</v>
      </c>
      <c r="B535" s="78" t="s">
        <v>1491</v>
      </c>
      <c r="C535" s="73" t="s">
        <v>121</v>
      </c>
      <c r="D535" s="73">
        <v>8</v>
      </c>
      <c r="E535" s="73"/>
      <c r="F535" s="73">
        <v>1</v>
      </c>
      <c r="G535" s="73">
        <v>22</v>
      </c>
      <c r="H535" s="73">
        <v>0</v>
      </c>
      <c r="I535" s="71" t="s">
        <v>1516</v>
      </c>
      <c r="J535" s="73" t="s">
        <v>122</v>
      </c>
      <c r="K535" s="78" t="b">
        <v>1</v>
      </c>
      <c r="L535" s="73" t="b">
        <v>0</v>
      </c>
      <c r="M535" s="49" t="str">
        <f>IF(A535=Backdoors!B2,1+MAX(M534:M534),"")</f>
        <v/>
      </c>
    </row>
    <row r="536" spans="1:13" x14ac:dyDescent="0.25">
      <c r="A536" s="76" t="s">
        <v>225</v>
      </c>
      <c r="B536" s="78" t="s">
        <v>1492</v>
      </c>
      <c r="C536" s="73" t="s">
        <v>121</v>
      </c>
      <c r="D536" s="73">
        <v>8</v>
      </c>
      <c r="E536" s="73"/>
      <c r="F536" s="73">
        <v>1</v>
      </c>
      <c r="G536" s="73">
        <v>22</v>
      </c>
      <c r="H536" s="73">
        <v>0</v>
      </c>
      <c r="I536" s="71" t="s">
        <v>1516</v>
      </c>
      <c r="J536" s="73" t="s">
        <v>123</v>
      </c>
      <c r="K536" s="78" t="b">
        <v>1</v>
      </c>
      <c r="L536" s="73" t="b">
        <v>0</v>
      </c>
      <c r="M536" s="49" t="str">
        <f>IF(A536=Backdoors!B2,1+MAX(M535:M535),"")</f>
        <v/>
      </c>
    </row>
    <row r="537" spans="1:13" x14ac:dyDescent="0.25">
      <c r="A537" s="76" t="s">
        <v>225</v>
      </c>
      <c r="B537" s="78" t="s">
        <v>1493</v>
      </c>
      <c r="C537" s="73" t="s">
        <v>121</v>
      </c>
      <c r="D537" s="73">
        <v>8</v>
      </c>
      <c r="E537" s="73"/>
      <c r="F537" s="73">
        <v>1</v>
      </c>
      <c r="G537" s="73">
        <v>22</v>
      </c>
      <c r="H537" s="73">
        <v>0</v>
      </c>
      <c r="I537" s="71" t="s">
        <v>1516</v>
      </c>
      <c r="J537" s="73" t="s">
        <v>125</v>
      </c>
      <c r="K537" s="78" t="b">
        <v>1</v>
      </c>
      <c r="L537" s="73" t="b">
        <v>0</v>
      </c>
      <c r="M537" s="49" t="str">
        <f>IF(A537=Backdoors!B2,1+MAX(M536:M536),"")</f>
        <v/>
      </c>
    </row>
    <row r="538" spans="1:13" x14ac:dyDescent="0.25">
      <c r="A538" s="67" t="s">
        <v>225</v>
      </c>
      <c r="B538" s="78" t="s">
        <v>1494</v>
      </c>
      <c r="C538" s="73" t="s">
        <v>121</v>
      </c>
      <c r="D538" s="73">
        <v>8</v>
      </c>
      <c r="E538" s="73"/>
      <c r="F538" s="73">
        <v>1</v>
      </c>
      <c r="G538" s="73">
        <v>22</v>
      </c>
      <c r="H538" s="73">
        <v>0</v>
      </c>
      <c r="I538" s="71" t="s">
        <v>1516</v>
      </c>
      <c r="J538" s="73" t="s">
        <v>124</v>
      </c>
      <c r="K538" s="78" t="b">
        <v>1</v>
      </c>
      <c r="L538" s="73" t="b">
        <v>0</v>
      </c>
      <c r="M538" s="49" t="str">
        <f>IF(A538=Backdoors!B2,1+MAX(M537:M537),"")</f>
        <v/>
      </c>
    </row>
    <row r="539" spans="1:13" x14ac:dyDescent="0.25">
      <c r="A539" s="76" t="s">
        <v>225</v>
      </c>
      <c r="B539" s="78" t="s">
        <v>1495</v>
      </c>
      <c r="C539" s="73" t="s">
        <v>121</v>
      </c>
      <c r="D539" s="73">
        <v>2</v>
      </c>
      <c r="E539" s="73"/>
      <c r="F539" s="73">
        <v>1</v>
      </c>
      <c r="G539" s="73">
        <v>18</v>
      </c>
      <c r="H539" s="73">
        <v>0</v>
      </c>
      <c r="I539" s="71" t="s">
        <v>1516</v>
      </c>
      <c r="J539" s="73" t="s">
        <v>126</v>
      </c>
      <c r="K539" s="78" t="b">
        <v>1</v>
      </c>
      <c r="L539" s="73" t="b">
        <v>0</v>
      </c>
      <c r="M539" s="49" t="str">
        <f>IF(A539=Backdoors!B2,1+MAX(M538:M538),"")</f>
        <v/>
      </c>
    </row>
    <row r="540" spans="1:13" x14ac:dyDescent="0.25">
      <c r="A540" s="76" t="s">
        <v>225</v>
      </c>
      <c r="B540" s="78" t="s">
        <v>1496</v>
      </c>
      <c r="C540" s="73" t="s">
        <v>121</v>
      </c>
      <c r="D540" s="73">
        <v>1</v>
      </c>
      <c r="E540" s="73"/>
      <c r="F540" s="73">
        <v>1</v>
      </c>
      <c r="G540" s="73">
        <v>0</v>
      </c>
      <c r="H540" s="73">
        <v>0</v>
      </c>
      <c r="I540" s="71" t="s">
        <v>1516</v>
      </c>
      <c r="J540" s="73" t="s">
        <v>862</v>
      </c>
      <c r="K540" s="78" t="b">
        <v>1</v>
      </c>
      <c r="L540" s="73" t="b">
        <v>0</v>
      </c>
      <c r="M540" s="49" t="str">
        <f>IF(A540=Backdoors!B2,1+MAX(M539:M539),"")</f>
        <v/>
      </c>
    </row>
    <row r="541" spans="1:13" x14ac:dyDescent="0.25">
      <c r="A541" s="76" t="s">
        <v>225</v>
      </c>
      <c r="B541" s="78" t="s">
        <v>1497</v>
      </c>
      <c r="C541" s="73" t="s">
        <v>0</v>
      </c>
      <c r="D541" s="73">
        <v>6</v>
      </c>
      <c r="E541" s="73"/>
      <c r="F541" s="73">
        <v>1</v>
      </c>
      <c r="G541" s="73">
        <v>0</v>
      </c>
      <c r="H541" s="73">
        <v>0</v>
      </c>
      <c r="I541" s="71" t="s">
        <v>1516</v>
      </c>
      <c r="J541" s="73" t="s">
        <v>862</v>
      </c>
      <c r="K541" s="78" t="b">
        <v>1</v>
      </c>
      <c r="L541" s="73" t="b">
        <v>0</v>
      </c>
      <c r="M541" s="49" t="str">
        <f>IF(A541=Backdoors!B2,1+MAX(M540:M540),"")</f>
        <v/>
      </c>
    </row>
    <row r="542" spans="1:13" x14ac:dyDescent="0.25">
      <c r="A542" s="76" t="s">
        <v>225</v>
      </c>
      <c r="B542" s="78" t="s">
        <v>1498</v>
      </c>
      <c r="C542" s="73" t="s">
        <v>121</v>
      </c>
      <c r="D542" s="73">
        <v>9</v>
      </c>
      <c r="E542" s="73"/>
      <c r="F542" s="73">
        <v>1.5</v>
      </c>
      <c r="G542" s="73">
        <v>0</v>
      </c>
      <c r="H542" s="73">
        <v>0</v>
      </c>
      <c r="I542" s="71" t="s">
        <v>1517</v>
      </c>
      <c r="J542" s="73" t="s">
        <v>862</v>
      </c>
      <c r="K542" s="78" t="b">
        <v>1</v>
      </c>
      <c r="L542" s="73" t="b">
        <v>0</v>
      </c>
      <c r="M542" s="49" t="str">
        <f>IF(A542=Backdoors!B2,1+MAX(M541:M541),"")</f>
        <v/>
      </c>
    </row>
    <row r="543" spans="1:13" x14ac:dyDescent="0.25">
      <c r="A543" s="67" t="s">
        <v>225</v>
      </c>
      <c r="B543" s="78" t="s">
        <v>1499</v>
      </c>
      <c r="C543" s="73" t="s">
        <v>121</v>
      </c>
      <c r="D543" s="73">
        <v>20</v>
      </c>
      <c r="E543" s="73"/>
      <c r="F543" s="73">
        <v>0</v>
      </c>
      <c r="G543" s="73">
        <v>0</v>
      </c>
      <c r="H543" s="73">
        <v>0</v>
      </c>
      <c r="I543" s="71" t="s">
        <v>1517</v>
      </c>
      <c r="J543" s="73" t="s">
        <v>862</v>
      </c>
      <c r="K543" s="78" t="b">
        <v>1</v>
      </c>
      <c r="L543" s="73" t="b">
        <v>0</v>
      </c>
      <c r="M543" s="49" t="str">
        <f>IF(A543=Backdoors!B2,1+MAX(M542:M542),"")</f>
        <v/>
      </c>
    </row>
    <row r="544" spans="1:13" x14ac:dyDescent="0.25">
      <c r="A544" s="76" t="s">
        <v>225</v>
      </c>
      <c r="B544" s="78" t="s">
        <v>1500</v>
      </c>
      <c r="C544" s="73" t="s">
        <v>120</v>
      </c>
      <c r="D544" s="73">
        <v>38</v>
      </c>
      <c r="E544" s="73"/>
      <c r="F544" s="73">
        <v>1.1000000000000001</v>
      </c>
      <c r="G544" s="73">
        <v>5</v>
      </c>
      <c r="H544" s="73">
        <v>0</v>
      </c>
      <c r="I544" s="71" t="s">
        <v>1517</v>
      </c>
      <c r="J544" s="73" t="s">
        <v>122</v>
      </c>
      <c r="K544" s="78" t="b">
        <v>0</v>
      </c>
      <c r="L544" s="73" t="b">
        <v>0</v>
      </c>
      <c r="M544" s="49" t="str">
        <f>IF(A544=Backdoors!B2,1+MAX(M543:M543),"")</f>
        <v/>
      </c>
    </row>
    <row r="545" spans="1:13" x14ac:dyDescent="0.25">
      <c r="A545" s="76" t="s">
        <v>225</v>
      </c>
      <c r="B545" s="78" t="s">
        <v>1501</v>
      </c>
      <c r="C545" s="73" t="s">
        <v>120</v>
      </c>
      <c r="D545" s="73">
        <v>49</v>
      </c>
      <c r="E545" s="73"/>
      <c r="F545" s="73">
        <v>1.2</v>
      </c>
      <c r="G545" s="73">
        <v>10</v>
      </c>
      <c r="H545" s="73">
        <v>0</v>
      </c>
      <c r="I545" s="71" t="s">
        <v>1517</v>
      </c>
      <c r="J545" s="73" t="s">
        <v>122</v>
      </c>
      <c r="K545" s="78" t="b">
        <v>0</v>
      </c>
      <c r="L545" s="73" t="b">
        <v>0</v>
      </c>
      <c r="M545" s="49" t="str">
        <f>IF(A545=Backdoors!B2,1+MAX(M544:M544),"")</f>
        <v/>
      </c>
    </row>
    <row r="546" spans="1:13" x14ac:dyDescent="0.25">
      <c r="A546" s="76" t="s">
        <v>225</v>
      </c>
      <c r="B546" s="78" t="s">
        <v>1502</v>
      </c>
      <c r="C546" s="73" t="s">
        <v>120</v>
      </c>
      <c r="D546" s="73">
        <v>81</v>
      </c>
      <c r="E546" s="73"/>
      <c r="F546" s="73">
        <v>1.3</v>
      </c>
      <c r="G546" s="73">
        <v>15</v>
      </c>
      <c r="H546" s="73">
        <v>0</v>
      </c>
      <c r="I546" s="71" t="s">
        <v>1517</v>
      </c>
      <c r="J546" s="73" t="s">
        <v>122</v>
      </c>
      <c r="K546" s="78" t="b">
        <v>0</v>
      </c>
      <c r="L546" s="73" t="b">
        <v>0</v>
      </c>
      <c r="M546" s="49" t="str">
        <f>IF(A546=Backdoors!B2,1+MAX(M545:M545),"")</f>
        <v/>
      </c>
    </row>
    <row r="547" spans="1:13" x14ac:dyDescent="0.25">
      <c r="A547" s="76" t="s">
        <v>225</v>
      </c>
      <c r="B547" s="78" t="s">
        <v>1503</v>
      </c>
      <c r="C547" s="73" t="s">
        <v>121</v>
      </c>
      <c r="D547" s="73">
        <v>81</v>
      </c>
      <c r="E547" s="73"/>
      <c r="F547" s="73">
        <v>1</v>
      </c>
      <c r="G547" s="73">
        <v>0</v>
      </c>
      <c r="H547" s="73">
        <v>0</v>
      </c>
      <c r="I547" s="71" t="s">
        <v>1517</v>
      </c>
      <c r="J547" s="71" t="s">
        <v>862</v>
      </c>
      <c r="K547" s="78" t="b">
        <v>0</v>
      </c>
      <c r="L547" s="73" t="b">
        <v>0</v>
      </c>
      <c r="M547" s="49" t="str">
        <f>IF(A547=Backdoors!B2,1+MAX(M546:M546),"")</f>
        <v/>
      </c>
    </row>
    <row r="548" spans="1:13" x14ac:dyDescent="0.25">
      <c r="A548" s="76" t="s">
        <v>225</v>
      </c>
      <c r="B548" s="78" t="s">
        <v>1504</v>
      </c>
      <c r="C548" s="73" t="s">
        <v>121</v>
      </c>
      <c r="D548" s="73">
        <v>98</v>
      </c>
      <c r="E548" s="73"/>
      <c r="F548" s="73">
        <v>1</v>
      </c>
      <c r="G548" s="73">
        <v>0</v>
      </c>
      <c r="H548" s="73">
        <v>0</v>
      </c>
      <c r="I548" s="71" t="s">
        <v>1517</v>
      </c>
      <c r="J548" s="71" t="s">
        <v>862</v>
      </c>
      <c r="K548" s="78" t="b">
        <v>0</v>
      </c>
      <c r="L548" s="73" t="b">
        <v>0</v>
      </c>
      <c r="M548" s="49" t="str">
        <f>IF(A548=Backdoors!B2,1+MAX(M547:M547),"")</f>
        <v/>
      </c>
    </row>
    <row r="549" spans="1:13" x14ac:dyDescent="0.25">
      <c r="A549" s="76" t="s">
        <v>225</v>
      </c>
      <c r="B549" s="78" t="s">
        <v>1505</v>
      </c>
      <c r="C549" s="73" t="s">
        <v>121</v>
      </c>
      <c r="D549" s="73">
        <v>147</v>
      </c>
      <c r="E549" s="73"/>
      <c r="F549" s="73">
        <v>1.3</v>
      </c>
      <c r="G549" s="73">
        <v>0</v>
      </c>
      <c r="H549" s="73">
        <v>0</v>
      </c>
      <c r="I549" s="71" t="s">
        <v>1517</v>
      </c>
      <c r="J549" s="71" t="s">
        <v>862</v>
      </c>
      <c r="K549" s="78" t="b">
        <v>0</v>
      </c>
      <c r="L549" s="73" t="b">
        <v>0</v>
      </c>
      <c r="M549" s="49" t="str">
        <f>IF(A549=Backdoors!B2,1+MAX(M548:M548),"")</f>
        <v/>
      </c>
    </row>
    <row r="550" spans="1:13" x14ac:dyDescent="0.25">
      <c r="A550" s="76" t="s">
        <v>225</v>
      </c>
      <c r="B550" s="78" t="s">
        <v>1506</v>
      </c>
      <c r="C550" s="73" t="s">
        <v>121</v>
      </c>
      <c r="D550" s="73">
        <v>243</v>
      </c>
      <c r="E550" s="73"/>
      <c r="F550" s="73">
        <v>1.3</v>
      </c>
      <c r="G550" s="73">
        <v>0</v>
      </c>
      <c r="H550" s="73">
        <v>0</v>
      </c>
      <c r="I550" s="71" t="s">
        <v>1517</v>
      </c>
      <c r="J550" s="71" t="s">
        <v>862</v>
      </c>
      <c r="K550" s="78" t="b">
        <v>0</v>
      </c>
      <c r="L550" s="73" t="b">
        <v>0</v>
      </c>
      <c r="M550" s="49" t="str">
        <f>IF(A550=Backdoors!B2,1+MAX(M549:M549),"")</f>
        <v/>
      </c>
    </row>
    <row r="551" spans="1:13" x14ac:dyDescent="0.25">
      <c r="A551" s="76" t="s">
        <v>225</v>
      </c>
      <c r="B551" s="78" t="s">
        <v>1179</v>
      </c>
      <c r="C551" s="73" t="s">
        <v>121</v>
      </c>
      <c r="D551" s="73">
        <v>15</v>
      </c>
      <c r="E551" s="73"/>
      <c r="F551" s="73">
        <v>0</v>
      </c>
      <c r="G551" s="73">
        <v>0</v>
      </c>
      <c r="H551" s="73">
        <v>0</v>
      </c>
      <c r="I551" s="71" t="s">
        <v>1517</v>
      </c>
      <c r="J551" s="71" t="s">
        <v>862</v>
      </c>
      <c r="K551" s="78" t="b">
        <v>1</v>
      </c>
      <c r="L551" s="73" t="b">
        <v>0</v>
      </c>
      <c r="M551" s="49" t="str">
        <f>IF(A551=Backdoors!B2,1+MAX(M550:M550),"")</f>
        <v/>
      </c>
    </row>
    <row r="552" spans="1:13" x14ac:dyDescent="0.25">
      <c r="A552" s="76" t="s">
        <v>225</v>
      </c>
      <c r="B552" s="78" t="s">
        <v>1180</v>
      </c>
      <c r="C552" s="73" t="s">
        <v>121</v>
      </c>
      <c r="D552" s="73">
        <v>96</v>
      </c>
      <c r="E552" s="73"/>
      <c r="F552" s="73">
        <v>1</v>
      </c>
      <c r="G552" s="73">
        <v>0</v>
      </c>
      <c r="H552" s="73">
        <v>0</v>
      </c>
      <c r="I552" s="71" t="s">
        <v>1517</v>
      </c>
      <c r="J552" s="71" t="s">
        <v>862</v>
      </c>
      <c r="K552" s="78" t="b">
        <v>1</v>
      </c>
      <c r="L552" s="73" t="b">
        <v>0</v>
      </c>
      <c r="M552" s="49" t="str">
        <f>IF(A552=Backdoors!B2,1+MAX(M551:M551),"")</f>
        <v/>
      </c>
    </row>
    <row r="553" spans="1:13" x14ac:dyDescent="0.25">
      <c r="A553" s="67" t="s">
        <v>225</v>
      </c>
      <c r="B553" s="78" t="s">
        <v>1507</v>
      </c>
      <c r="C553" s="73" t="s">
        <v>121</v>
      </c>
      <c r="D553" s="73">
        <v>158</v>
      </c>
      <c r="E553" s="73"/>
      <c r="F553" s="73">
        <v>1</v>
      </c>
      <c r="G553" s="73">
        <v>0</v>
      </c>
      <c r="H553" s="73">
        <v>0</v>
      </c>
      <c r="I553" s="71" t="s">
        <v>1517</v>
      </c>
      <c r="J553" s="71" t="s">
        <v>862</v>
      </c>
      <c r="K553" s="78" t="b">
        <v>1</v>
      </c>
      <c r="L553" s="73" t="b">
        <v>0</v>
      </c>
      <c r="M553" s="49" t="str">
        <f>IF(A553=Backdoors!B2,1+MAX(M552:M552),"")</f>
        <v/>
      </c>
    </row>
    <row r="554" spans="1:13" x14ac:dyDescent="0.25">
      <c r="A554" s="67" t="s">
        <v>225</v>
      </c>
      <c r="B554" s="77" t="s">
        <v>1511</v>
      </c>
      <c r="C554" s="73" t="s">
        <v>120</v>
      </c>
      <c r="D554" s="73">
        <v>30</v>
      </c>
      <c r="E554" s="73"/>
      <c r="F554" s="73">
        <v>1</v>
      </c>
      <c r="G554" s="73">
        <v>0</v>
      </c>
      <c r="H554" s="71">
        <v>0</v>
      </c>
      <c r="I554" s="71" t="s">
        <v>862</v>
      </c>
      <c r="J554" s="71" t="s">
        <v>862</v>
      </c>
      <c r="K554" s="78" t="b">
        <v>1</v>
      </c>
      <c r="L554" s="73" t="b">
        <v>0</v>
      </c>
      <c r="M554" s="49" t="str">
        <f>IF(A554=Backdoors!B2,1+MAX(M553:M553),"")</f>
        <v/>
      </c>
    </row>
    <row r="555" spans="1:13" x14ac:dyDescent="0.25">
      <c r="A555" s="67" t="s">
        <v>225</v>
      </c>
      <c r="B555" s="77" t="s">
        <v>1512</v>
      </c>
      <c r="C555" s="73" t="s">
        <v>120</v>
      </c>
      <c r="D555" s="73">
        <v>30</v>
      </c>
      <c r="E555" s="73">
        <v>55</v>
      </c>
      <c r="F555" s="73">
        <v>1</v>
      </c>
      <c r="G555" s="73">
        <v>0</v>
      </c>
      <c r="H555" s="71">
        <v>0</v>
      </c>
      <c r="I555" s="71" t="s">
        <v>862</v>
      </c>
      <c r="J555" s="71" t="s">
        <v>862</v>
      </c>
      <c r="K555" s="78" t="b">
        <v>1</v>
      </c>
      <c r="L555" s="73" t="b">
        <v>1</v>
      </c>
      <c r="M555" s="49" t="str">
        <f>IF(A555=Backdoors!B2,1+MAX(M554:M554),"")</f>
        <v/>
      </c>
    </row>
    <row r="556" spans="1:13" x14ac:dyDescent="0.25">
      <c r="A556" s="67" t="s">
        <v>225</v>
      </c>
      <c r="B556" s="77" t="s">
        <v>1518</v>
      </c>
      <c r="C556" s="73" t="s">
        <v>121</v>
      </c>
      <c r="D556" s="73">
        <v>35</v>
      </c>
      <c r="E556" s="73"/>
      <c r="F556" s="73">
        <v>1</v>
      </c>
      <c r="G556" s="73">
        <v>1</v>
      </c>
      <c r="H556" s="71">
        <v>1</v>
      </c>
      <c r="I556" s="71" t="s">
        <v>862</v>
      </c>
      <c r="J556" s="71" t="s">
        <v>862</v>
      </c>
      <c r="K556" s="78" t="b">
        <v>1</v>
      </c>
      <c r="L556" s="73" t="b">
        <v>0</v>
      </c>
      <c r="M556" s="49" t="str">
        <f>IF(A556=Backdoors!B2,1+MAX(M555:M555),"")</f>
        <v/>
      </c>
    </row>
    <row r="557" spans="1:13" x14ac:dyDescent="0.25">
      <c r="A557" s="67" t="s">
        <v>226</v>
      </c>
      <c r="B557" s="78" t="s">
        <v>1519</v>
      </c>
      <c r="C557" s="73" t="s">
        <v>121</v>
      </c>
      <c r="D557" s="73">
        <v>7</v>
      </c>
      <c r="E557" s="73"/>
      <c r="F557" s="73">
        <v>0.5</v>
      </c>
      <c r="G557" s="73">
        <v>0.2</v>
      </c>
      <c r="H557" s="73">
        <v>0.5</v>
      </c>
      <c r="I557" s="71" t="s">
        <v>1508</v>
      </c>
      <c r="J557" s="71" t="s">
        <v>862</v>
      </c>
      <c r="K557" s="20" t="b">
        <v>1</v>
      </c>
      <c r="L557" s="73" t="b">
        <v>0</v>
      </c>
      <c r="M557" s="49" t="str">
        <f>IF(A557=Backdoors!B2,1+MAX(M556:M556),"")</f>
        <v/>
      </c>
    </row>
    <row r="558" spans="1:13" x14ac:dyDescent="0.25">
      <c r="A558" s="76" t="s">
        <v>226</v>
      </c>
      <c r="B558" s="78" t="s">
        <v>1520</v>
      </c>
      <c r="C558" s="73" t="s">
        <v>121</v>
      </c>
      <c r="D558" s="73">
        <v>9</v>
      </c>
      <c r="E558" s="73"/>
      <c r="F558" s="73">
        <v>0.7</v>
      </c>
      <c r="G558" s="73">
        <v>0.35</v>
      </c>
      <c r="H558" s="73">
        <v>0.7</v>
      </c>
      <c r="I558" s="71" t="s">
        <v>1508</v>
      </c>
      <c r="J558" s="71" t="s">
        <v>862</v>
      </c>
      <c r="K558" s="78" t="b">
        <v>1</v>
      </c>
      <c r="L558" s="73" t="b">
        <v>0</v>
      </c>
      <c r="M558" s="49" t="str">
        <f>IF(A558=Backdoors!B2,1+MAX(M557:M557),"")</f>
        <v/>
      </c>
    </row>
    <row r="559" spans="1:13" x14ac:dyDescent="0.25">
      <c r="A559" s="76" t="s">
        <v>226</v>
      </c>
      <c r="B559" s="78" t="s">
        <v>1521</v>
      </c>
      <c r="C559" s="73" t="s">
        <v>121</v>
      </c>
      <c r="D559" s="73">
        <v>10</v>
      </c>
      <c r="E559" s="73"/>
      <c r="F559" s="73">
        <v>1</v>
      </c>
      <c r="G559" s="73">
        <v>0.7</v>
      </c>
      <c r="H559" s="73">
        <v>1</v>
      </c>
      <c r="I559" s="71" t="s">
        <v>1508</v>
      </c>
      <c r="J559" s="71" t="s">
        <v>862</v>
      </c>
      <c r="K559" s="78" t="b">
        <v>1</v>
      </c>
      <c r="L559" s="73" t="b">
        <v>0</v>
      </c>
      <c r="M559" s="49" t="str">
        <f>IF(A559=Backdoors!B2,1+MAX(M558:M558),"")</f>
        <v/>
      </c>
    </row>
    <row r="560" spans="1:13" x14ac:dyDescent="0.25">
      <c r="A560" s="76" t="s">
        <v>226</v>
      </c>
      <c r="B560" s="78" t="s">
        <v>1522</v>
      </c>
      <c r="C560" s="73" t="s">
        <v>121</v>
      </c>
      <c r="D560" s="73">
        <v>11</v>
      </c>
      <c r="E560" s="73"/>
      <c r="F560" s="73">
        <v>1</v>
      </c>
      <c r="G560" s="73">
        <v>0.8</v>
      </c>
      <c r="H560" s="73">
        <v>1.1000000000000001</v>
      </c>
      <c r="I560" s="71" t="s">
        <v>1508</v>
      </c>
      <c r="J560" s="71" t="s">
        <v>862</v>
      </c>
      <c r="K560" s="78" t="b">
        <v>1</v>
      </c>
      <c r="L560" s="73" t="b">
        <v>0</v>
      </c>
      <c r="M560" s="49" t="str">
        <f>IF(A560=Backdoors!B2,1+MAX(M559:M559),"")</f>
        <v/>
      </c>
    </row>
    <row r="561" spans="1:13" x14ac:dyDescent="0.25">
      <c r="A561" s="76" t="s">
        <v>226</v>
      </c>
      <c r="B561" s="78" t="s">
        <v>1523</v>
      </c>
      <c r="C561" s="73" t="s">
        <v>121</v>
      </c>
      <c r="D561" s="73">
        <v>6</v>
      </c>
      <c r="E561" s="73"/>
      <c r="F561" s="73">
        <v>1</v>
      </c>
      <c r="G561" s="73">
        <v>0.3</v>
      </c>
      <c r="H561" s="73">
        <v>0.5</v>
      </c>
      <c r="I561" s="71" t="s">
        <v>1516</v>
      </c>
      <c r="J561" s="71" t="s">
        <v>862</v>
      </c>
      <c r="K561" s="78" t="b">
        <v>1</v>
      </c>
      <c r="L561" s="73" t="b">
        <v>0</v>
      </c>
      <c r="M561" s="49" t="str">
        <f>IF(A561=Backdoors!B2,1+MAX(M560:M560),"")</f>
        <v/>
      </c>
    </row>
    <row r="562" spans="1:13" x14ac:dyDescent="0.25">
      <c r="A562" s="76" t="s">
        <v>226</v>
      </c>
      <c r="B562" s="78" t="s">
        <v>1524</v>
      </c>
      <c r="C562" s="73" t="s">
        <v>121</v>
      </c>
      <c r="D562" s="73">
        <v>9</v>
      </c>
      <c r="E562" s="73"/>
      <c r="F562" s="73">
        <v>0.7</v>
      </c>
      <c r="G562" s="73">
        <v>0.5</v>
      </c>
      <c r="H562" s="73">
        <v>0.7</v>
      </c>
      <c r="I562" s="71" t="s">
        <v>1510</v>
      </c>
      <c r="J562" s="71" t="s">
        <v>862</v>
      </c>
      <c r="K562" s="78" t="b">
        <v>1</v>
      </c>
      <c r="L562" s="73" t="b">
        <v>0</v>
      </c>
      <c r="M562" s="49" t="str">
        <f>IF(A562=Backdoors!B2,1+MAX(M561:M561),"")</f>
        <v/>
      </c>
    </row>
    <row r="563" spans="1:13" x14ac:dyDescent="0.25">
      <c r="A563" s="76" t="s">
        <v>226</v>
      </c>
      <c r="B563" s="78" t="s">
        <v>1525</v>
      </c>
      <c r="C563" s="73" t="s">
        <v>121</v>
      </c>
      <c r="D563" s="73">
        <v>11</v>
      </c>
      <c r="E563" s="73"/>
      <c r="F563" s="73">
        <v>1</v>
      </c>
      <c r="G563" s="73">
        <v>0.7</v>
      </c>
      <c r="H563" s="73">
        <v>1</v>
      </c>
      <c r="I563" s="71" t="s">
        <v>1510</v>
      </c>
      <c r="J563" s="71" t="s">
        <v>862</v>
      </c>
      <c r="K563" s="78" t="b">
        <v>1</v>
      </c>
      <c r="L563" s="73" t="b">
        <v>0</v>
      </c>
      <c r="M563" s="49" t="str">
        <f>IF(A563=Backdoors!B2,1+MAX(M562:M562),"")</f>
        <v/>
      </c>
    </row>
    <row r="564" spans="1:13" x14ac:dyDescent="0.25">
      <c r="A564" s="76" t="s">
        <v>226</v>
      </c>
      <c r="B564" s="78" t="s">
        <v>1526</v>
      </c>
      <c r="C564" s="73" t="s">
        <v>121</v>
      </c>
      <c r="D564" s="73">
        <v>11</v>
      </c>
      <c r="E564" s="73"/>
      <c r="F564" s="73">
        <v>1</v>
      </c>
      <c r="G564" s="73">
        <v>1</v>
      </c>
      <c r="H564" s="73">
        <v>1.1000000000000001</v>
      </c>
      <c r="I564" s="71" t="s">
        <v>1510</v>
      </c>
      <c r="J564" s="71" t="s">
        <v>862</v>
      </c>
      <c r="K564" s="20" t="b">
        <v>1</v>
      </c>
      <c r="L564" s="73" t="b">
        <v>0</v>
      </c>
      <c r="M564" s="49" t="str">
        <f>IF(A564=Backdoors!B2,1+MAX(M563:M563),"")</f>
        <v/>
      </c>
    </row>
    <row r="565" spans="1:13" x14ac:dyDescent="0.25">
      <c r="A565" s="76" t="s">
        <v>226</v>
      </c>
      <c r="B565" s="78" t="s">
        <v>1527</v>
      </c>
      <c r="C565" s="73" t="s">
        <v>0</v>
      </c>
      <c r="D565" s="73">
        <v>35</v>
      </c>
      <c r="E565" s="73">
        <v>35</v>
      </c>
      <c r="F565" s="73">
        <v>1</v>
      </c>
      <c r="G565" s="73">
        <v>1</v>
      </c>
      <c r="H565" s="73">
        <v>1</v>
      </c>
      <c r="I565" s="71" t="s">
        <v>862</v>
      </c>
      <c r="J565" s="71" t="s">
        <v>862</v>
      </c>
      <c r="K565" s="78" t="b">
        <v>1</v>
      </c>
      <c r="L565" s="73" t="b">
        <v>1</v>
      </c>
      <c r="M565" s="49" t="str">
        <f>IF(A565=Backdoors!B2,1+MAX(M564:M564),"")</f>
        <v/>
      </c>
    </row>
    <row r="566" spans="1:13" x14ac:dyDescent="0.25">
      <c r="A566" s="76" t="s">
        <v>226</v>
      </c>
      <c r="B566" s="78" t="s">
        <v>1528</v>
      </c>
      <c r="C566" s="73" t="s">
        <v>0</v>
      </c>
      <c r="D566" s="73">
        <v>10</v>
      </c>
      <c r="E566" s="73">
        <v>35</v>
      </c>
      <c r="F566" s="73">
        <v>1</v>
      </c>
      <c r="G566" s="73">
        <v>1</v>
      </c>
      <c r="H566" s="73">
        <v>1</v>
      </c>
      <c r="I566" s="71" t="s">
        <v>862</v>
      </c>
      <c r="J566" s="71" t="s">
        <v>862</v>
      </c>
      <c r="K566" s="78" t="b">
        <v>1</v>
      </c>
      <c r="L566" s="73" t="b">
        <v>1</v>
      </c>
      <c r="M566" s="49" t="str">
        <f>IF(A566=Backdoors!B2,1+MAX(M565:M565),"")</f>
        <v/>
      </c>
    </row>
    <row r="567" spans="1:13" x14ac:dyDescent="0.25">
      <c r="A567" s="76" t="s">
        <v>226</v>
      </c>
      <c r="B567" s="78" t="s">
        <v>1177</v>
      </c>
      <c r="C567" s="73" t="s">
        <v>0</v>
      </c>
      <c r="D567" s="73">
        <v>20</v>
      </c>
      <c r="E567" s="73"/>
      <c r="F567" s="73">
        <v>0</v>
      </c>
      <c r="G567" s="73">
        <v>1</v>
      </c>
      <c r="H567" s="73">
        <v>1</v>
      </c>
      <c r="I567" s="71" t="s">
        <v>862</v>
      </c>
      <c r="J567" s="71" t="s">
        <v>862</v>
      </c>
      <c r="K567" s="78" t="b">
        <v>1</v>
      </c>
      <c r="L567" s="73" t="b">
        <v>0</v>
      </c>
      <c r="M567" s="49" t="str">
        <f>IF(A567=Backdoors!B2,1+MAX(M566:M566),"")</f>
        <v/>
      </c>
    </row>
    <row r="568" spans="1:13" x14ac:dyDescent="0.25">
      <c r="A568" s="76" t="s">
        <v>226</v>
      </c>
      <c r="B568" s="78" t="s">
        <v>1178</v>
      </c>
      <c r="C568" s="73" t="s">
        <v>0</v>
      </c>
      <c r="D568" s="73">
        <v>20</v>
      </c>
      <c r="E568" s="73"/>
      <c r="F568" s="73">
        <v>0</v>
      </c>
      <c r="G568" s="73">
        <v>1</v>
      </c>
      <c r="H568" s="73">
        <v>1</v>
      </c>
      <c r="I568" s="71" t="s">
        <v>862</v>
      </c>
      <c r="J568" s="71" t="s">
        <v>862</v>
      </c>
      <c r="K568" s="78" t="b">
        <v>1</v>
      </c>
      <c r="L568" s="73" t="b">
        <v>0</v>
      </c>
      <c r="M568" s="49" t="str">
        <f>IF(A568=Backdoors!B2,1+MAX(M567:M567),"")</f>
        <v/>
      </c>
    </row>
    <row r="569" spans="1:13" x14ac:dyDescent="0.25">
      <c r="A569" s="76" t="s">
        <v>226</v>
      </c>
      <c r="B569" s="78" t="s">
        <v>1269</v>
      </c>
      <c r="C569" s="73" t="s">
        <v>0</v>
      </c>
      <c r="D569" s="73">
        <v>35</v>
      </c>
      <c r="E569" s="73"/>
      <c r="F569" s="73">
        <v>1</v>
      </c>
      <c r="G569" s="73">
        <v>1</v>
      </c>
      <c r="H569" s="73">
        <v>1</v>
      </c>
      <c r="I569" s="71" t="s">
        <v>862</v>
      </c>
      <c r="J569" s="71" t="s">
        <v>862</v>
      </c>
      <c r="K569" s="78" t="b">
        <v>1</v>
      </c>
      <c r="L569" s="73" t="b">
        <v>0</v>
      </c>
      <c r="M569" s="49" t="str">
        <f>IF(A569=Backdoors!B2,1+MAX(M568:M568),"")</f>
        <v/>
      </c>
    </row>
    <row r="570" spans="1:13" x14ac:dyDescent="0.25">
      <c r="A570" s="76" t="s">
        <v>226</v>
      </c>
      <c r="B570" s="78" t="s">
        <v>1529</v>
      </c>
      <c r="C570" s="73" t="s">
        <v>121</v>
      </c>
      <c r="D570" s="73">
        <v>5</v>
      </c>
      <c r="E570" s="73"/>
      <c r="F570" s="73">
        <v>1</v>
      </c>
      <c r="G570" s="73">
        <v>1</v>
      </c>
      <c r="H570" s="73">
        <v>1</v>
      </c>
      <c r="I570" s="71" t="s">
        <v>862</v>
      </c>
      <c r="J570" s="71" t="s">
        <v>862</v>
      </c>
      <c r="K570" s="78" t="b">
        <v>1</v>
      </c>
      <c r="L570" s="73" t="b">
        <v>0</v>
      </c>
      <c r="M570" s="49" t="str">
        <f>IF(A570=Backdoors!B2,1+MAX(M569:M569),"")</f>
        <v/>
      </c>
    </row>
    <row r="571" spans="1:13" x14ac:dyDescent="0.25">
      <c r="A571" s="76" t="s">
        <v>226</v>
      </c>
      <c r="B571" s="78" t="s">
        <v>1530</v>
      </c>
      <c r="C571" s="73" t="s">
        <v>121</v>
      </c>
      <c r="D571" s="73">
        <v>15</v>
      </c>
      <c r="E571" s="73"/>
      <c r="F571" s="73">
        <v>1</v>
      </c>
      <c r="G571" s="73">
        <v>1</v>
      </c>
      <c r="H571" s="73">
        <v>1</v>
      </c>
      <c r="I571" s="71" t="s">
        <v>862</v>
      </c>
      <c r="J571" s="71" t="s">
        <v>862</v>
      </c>
      <c r="K571" s="78" t="b">
        <v>1</v>
      </c>
      <c r="L571" s="73" t="b">
        <v>0</v>
      </c>
      <c r="M571" s="49" t="str">
        <f>IF(A571=Backdoors!B2,1+MAX(M570:M570),"")</f>
        <v/>
      </c>
    </row>
    <row r="572" spans="1:13" x14ac:dyDescent="0.25">
      <c r="A572" s="76" t="s">
        <v>226</v>
      </c>
      <c r="B572" s="78" t="s">
        <v>1531</v>
      </c>
      <c r="C572" s="73" t="s">
        <v>121</v>
      </c>
      <c r="D572" s="73">
        <v>30</v>
      </c>
      <c r="E572" s="73"/>
      <c r="F572" s="73">
        <v>1</v>
      </c>
      <c r="G572" s="73">
        <v>1</v>
      </c>
      <c r="H572" s="73">
        <v>1</v>
      </c>
      <c r="I572" s="71" t="s">
        <v>862</v>
      </c>
      <c r="J572" s="71" t="s">
        <v>862</v>
      </c>
      <c r="K572" s="78" t="b">
        <v>1</v>
      </c>
      <c r="L572" s="73" t="b">
        <v>0</v>
      </c>
      <c r="M572" s="49" t="str">
        <f>IF(A572=Backdoors!B2,1+MAX(M571:M571),"")</f>
        <v/>
      </c>
    </row>
    <row r="573" spans="1:13" x14ac:dyDescent="0.25">
      <c r="A573" s="76" t="s">
        <v>226</v>
      </c>
      <c r="B573" s="78" t="s">
        <v>1532</v>
      </c>
      <c r="C573" s="73" t="s">
        <v>121</v>
      </c>
      <c r="D573" s="73">
        <v>45</v>
      </c>
      <c r="E573" s="73"/>
      <c r="F573" s="73">
        <v>1</v>
      </c>
      <c r="G573" s="73">
        <v>1</v>
      </c>
      <c r="H573" s="73">
        <v>1</v>
      </c>
      <c r="I573" s="71" t="s">
        <v>862</v>
      </c>
      <c r="J573" s="71" t="s">
        <v>862</v>
      </c>
      <c r="K573" s="20" t="b">
        <v>1</v>
      </c>
      <c r="L573" s="73" t="b">
        <v>0</v>
      </c>
      <c r="M573" s="49" t="str">
        <f>IF(A573=Backdoors!B2,1+MAX(M572:M572),"")</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2E80-82AA-403B-BC0E-F96562BD9A28}">
  <sheetPr codeName="Sheet4"/>
  <dimension ref="A1:DJ10"/>
  <sheetViews>
    <sheetView topLeftCell="AQ1" workbookViewId="0">
      <selection activeCell="BG10" sqref="BG10"/>
    </sheetView>
  </sheetViews>
  <sheetFormatPr defaultRowHeight="15" x14ac:dyDescent="0.25"/>
  <cols>
    <col min="2" max="2" width="10" bestFit="1" customWidth="1"/>
    <col min="9" max="9" width="9.85546875" bestFit="1" customWidth="1"/>
    <col min="12" max="12" width="9.85546875" bestFit="1" customWidth="1"/>
    <col min="16" max="16" width="11" bestFit="1" customWidth="1"/>
    <col min="26" max="26" width="9.140625" customWidth="1"/>
    <col min="45" max="45" width="11.7109375" customWidth="1"/>
    <col min="51" max="51" width="8.85546875" customWidth="1"/>
    <col min="52" max="52" width="11" bestFit="1" customWidth="1"/>
    <col min="55" max="55" width="12" bestFit="1" customWidth="1"/>
    <col min="61" max="61" width="11" bestFit="1" customWidth="1"/>
    <col min="70" max="70" width="9.85546875" bestFit="1" customWidth="1"/>
    <col min="78" max="78" width="13.140625" customWidth="1"/>
    <col min="79" max="79" width="12.85546875" customWidth="1"/>
    <col min="82" max="82" width="9.85546875" bestFit="1" customWidth="1"/>
    <col min="91" max="91" width="9.85546875" bestFit="1" customWidth="1"/>
    <col min="97" max="97" width="11" bestFit="1" customWidth="1"/>
    <col min="103" max="103" width="9.85546875" bestFit="1" customWidth="1"/>
    <col min="106" max="106" width="9.85546875" bestFit="1" customWidth="1"/>
  </cols>
  <sheetData>
    <row r="1" spans="1:114" x14ac:dyDescent="0.25">
      <c r="A1" s="104" t="s">
        <v>507</v>
      </c>
      <c r="B1" s="104"/>
      <c r="D1" s="104" t="s">
        <v>591</v>
      </c>
      <c r="E1" s="104"/>
      <c r="F1" s="104"/>
      <c r="H1" s="104" t="s">
        <v>871</v>
      </c>
      <c r="I1" s="104"/>
      <c r="K1" s="104" t="s">
        <v>875</v>
      </c>
      <c r="L1" s="104"/>
      <c r="N1" s="104" t="s">
        <v>181</v>
      </c>
      <c r="O1" s="104"/>
      <c r="P1" s="104"/>
      <c r="R1" s="104" t="s">
        <v>622</v>
      </c>
      <c r="S1" s="104"/>
      <c r="U1" s="108" t="s">
        <v>765</v>
      </c>
      <c r="V1" s="109"/>
      <c r="W1" s="109"/>
      <c r="X1" s="109"/>
      <c r="Z1" s="104" t="s">
        <v>229</v>
      </c>
      <c r="AA1" s="104"/>
      <c r="AC1" s="104" t="s">
        <v>513</v>
      </c>
      <c r="AD1" s="104"/>
      <c r="AF1" s="104" t="s">
        <v>256</v>
      </c>
      <c r="AG1" s="104"/>
      <c r="AI1" s="104" t="s">
        <v>570</v>
      </c>
      <c r="AJ1" s="104"/>
      <c r="AL1" s="105" t="s">
        <v>1057</v>
      </c>
      <c r="AM1" s="106"/>
      <c r="AN1" s="106"/>
      <c r="AO1" s="106"/>
      <c r="AP1" s="107"/>
      <c r="AR1" s="104" t="s">
        <v>763</v>
      </c>
      <c r="AS1" s="104"/>
      <c r="AU1" s="104" t="s">
        <v>888</v>
      </c>
      <c r="AV1" s="104"/>
      <c r="AX1" s="104" t="s">
        <v>494</v>
      </c>
      <c r="AY1" s="104"/>
      <c r="AZ1" s="104"/>
      <c r="BB1" s="104" t="s">
        <v>1094</v>
      </c>
      <c r="BC1" s="104"/>
      <c r="BE1" s="104" t="s">
        <v>1563</v>
      </c>
      <c r="BF1" s="104"/>
      <c r="BH1" s="104" t="s">
        <v>687</v>
      </c>
      <c r="BI1" s="104"/>
      <c r="BK1" s="104" t="s">
        <v>798</v>
      </c>
      <c r="BL1" s="104"/>
      <c r="BN1" s="104" t="s">
        <v>195</v>
      </c>
      <c r="BO1" s="104"/>
      <c r="BQ1" s="104" t="s">
        <v>880</v>
      </c>
      <c r="BR1" s="104"/>
      <c r="BT1" s="104" t="s">
        <v>593</v>
      </c>
      <c r="BU1" s="104"/>
      <c r="BW1" s="104" t="s">
        <v>718</v>
      </c>
      <c r="BX1" s="104"/>
      <c r="BZ1" s="104" t="s">
        <v>589</v>
      </c>
      <c r="CA1" s="104"/>
      <c r="CC1" s="104" t="s">
        <v>874</v>
      </c>
      <c r="CD1" s="104"/>
      <c r="CF1" s="104" t="s">
        <v>882</v>
      </c>
      <c r="CG1" s="104"/>
      <c r="CI1" s="104" t="s">
        <v>719</v>
      </c>
      <c r="CJ1" s="104"/>
      <c r="CL1" s="104" t="s">
        <v>876</v>
      </c>
      <c r="CM1" s="104"/>
      <c r="CO1" s="104" t="s">
        <v>764</v>
      </c>
      <c r="CP1" s="104"/>
      <c r="CR1" s="104" t="s">
        <v>720</v>
      </c>
      <c r="CS1" s="104"/>
      <c r="CU1" s="104" t="s">
        <v>717</v>
      </c>
      <c r="CV1" s="104"/>
      <c r="CX1" s="104" t="s">
        <v>873</v>
      </c>
      <c r="CY1" s="104"/>
      <c r="DA1" s="104" t="s">
        <v>877</v>
      </c>
      <c r="DB1" s="104"/>
      <c r="DD1" s="104" t="s">
        <v>578</v>
      </c>
      <c r="DE1" s="104"/>
      <c r="DF1" s="104"/>
      <c r="DH1" s="104" t="s">
        <v>510</v>
      </c>
      <c r="DI1" s="104"/>
      <c r="DJ1" s="104"/>
    </row>
    <row r="2" spans="1:114" x14ac:dyDescent="0.25">
      <c r="A2" s="4" t="s">
        <v>182</v>
      </c>
      <c r="B2" s="4" t="s">
        <v>162</v>
      </c>
      <c r="D2" s="4" t="s">
        <v>182</v>
      </c>
      <c r="E2" s="4" t="s">
        <v>496</v>
      </c>
      <c r="F2" s="4" t="s">
        <v>162</v>
      </c>
      <c r="H2" s="4" t="s">
        <v>182</v>
      </c>
      <c r="I2" s="4" t="s">
        <v>767</v>
      </c>
      <c r="K2" s="4" t="s">
        <v>182</v>
      </c>
      <c r="L2" s="4" t="s">
        <v>767</v>
      </c>
      <c r="N2" s="4" t="s">
        <v>182</v>
      </c>
      <c r="O2" s="4" t="s">
        <v>183</v>
      </c>
      <c r="P2" s="4" t="s">
        <v>162</v>
      </c>
      <c r="R2" s="4" t="s">
        <v>182</v>
      </c>
      <c r="S2" s="4" t="s">
        <v>766</v>
      </c>
      <c r="U2" s="4" t="s">
        <v>182</v>
      </c>
      <c r="V2" s="4" t="s">
        <v>161</v>
      </c>
      <c r="W2" s="34" t="s">
        <v>768</v>
      </c>
      <c r="X2" s="34" t="s">
        <v>245</v>
      </c>
      <c r="Z2" s="4" t="s">
        <v>182</v>
      </c>
      <c r="AA2" s="4" t="s">
        <v>767</v>
      </c>
      <c r="AC2" s="4" t="s">
        <v>182</v>
      </c>
      <c r="AD2" s="4" t="s">
        <v>767</v>
      </c>
      <c r="AF2" s="4" t="s">
        <v>182</v>
      </c>
      <c r="AG2" s="4" t="s">
        <v>162</v>
      </c>
      <c r="AI2" s="4" t="s">
        <v>182</v>
      </c>
      <c r="AJ2" s="4" t="s">
        <v>767</v>
      </c>
      <c r="AL2" s="4" t="s">
        <v>182</v>
      </c>
      <c r="AM2" s="4" t="s">
        <v>768</v>
      </c>
      <c r="AN2" s="4" t="s">
        <v>245</v>
      </c>
      <c r="AO2" s="4" t="s">
        <v>162</v>
      </c>
      <c r="AP2" s="4" t="s">
        <v>1541</v>
      </c>
      <c r="AR2" s="4" t="s">
        <v>182</v>
      </c>
      <c r="AS2" s="4" t="s">
        <v>496</v>
      </c>
      <c r="AU2" s="4" t="s">
        <v>182</v>
      </c>
      <c r="AV2" s="4" t="s">
        <v>767</v>
      </c>
      <c r="AX2" s="4" t="s">
        <v>182</v>
      </c>
      <c r="AY2" s="4" t="s">
        <v>496</v>
      </c>
      <c r="AZ2" s="4" t="s">
        <v>495</v>
      </c>
      <c r="BB2" s="4" t="s">
        <v>182</v>
      </c>
      <c r="BC2" s="4" t="s">
        <v>495</v>
      </c>
      <c r="BE2" s="4" t="s">
        <v>182</v>
      </c>
      <c r="BF2" s="4" t="s">
        <v>496</v>
      </c>
      <c r="BH2" s="4" t="s">
        <v>182</v>
      </c>
      <c r="BI2" s="4" t="s">
        <v>495</v>
      </c>
      <c r="BK2" s="4" t="s">
        <v>182</v>
      </c>
      <c r="BL2" s="4" t="s">
        <v>207</v>
      </c>
      <c r="BN2" s="4" t="s">
        <v>182</v>
      </c>
      <c r="BO2" s="4" t="s">
        <v>207</v>
      </c>
      <c r="BQ2" s="4" t="s">
        <v>182</v>
      </c>
      <c r="BR2" s="4" t="s">
        <v>767</v>
      </c>
      <c r="BT2" s="4" t="s">
        <v>182</v>
      </c>
      <c r="BU2" s="4" t="s">
        <v>162</v>
      </c>
      <c r="BW2" s="4" t="s">
        <v>182</v>
      </c>
      <c r="BX2" s="4" t="s">
        <v>162</v>
      </c>
      <c r="BZ2" s="4" t="s">
        <v>182</v>
      </c>
      <c r="CA2" s="4" t="s">
        <v>767</v>
      </c>
      <c r="CC2" s="4" t="s">
        <v>182</v>
      </c>
      <c r="CD2" s="4" t="s">
        <v>767</v>
      </c>
      <c r="CF2" s="4" t="s">
        <v>182</v>
      </c>
      <c r="CG2" s="4" t="s">
        <v>162</v>
      </c>
      <c r="CI2" s="4" t="s">
        <v>182</v>
      </c>
      <c r="CJ2" s="4" t="s">
        <v>162</v>
      </c>
      <c r="CL2" s="4" t="s">
        <v>182</v>
      </c>
      <c r="CM2" s="4" t="s">
        <v>767</v>
      </c>
      <c r="CO2" s="4" t="s">
        <v>182</v>
      </c>
      <c r="CP2" s="4" t="s">
        <v>766</v>
      </c>
      <c r="CR2" s="4" t="s">
        <v>182</v>
      </c>
      <c r="CS2" s="4" t="s">
        <v>495</v>
      </c>
      <c r="CU2" s="4" t="s">
        <v>182</v>
      </c>
      <c r="CV2" s="4" t="s">
        <v>162</v>
      </c>
      <c r="CX2" s="4" t="s">
        <v>182</v>
      </c>
      <c r="CY2" s="4" t="s">
        <v>767</v>
      </c>
      <c r="DA2" s="4" t="s">
        <v>182</v>
      </c>
      <c r="DB2" s="4" t="s">
        <v>767</v>
      </c>
      <c r="DD2" s="4" t="s">
        <v>182</v>
      </c>
      <c r="DE2" s="4" t="s">
        <v>496</v>
      </c>
      <c r="DF2" s="4" t="s">
        <v>495</v>
      </c>
      <c r="DH2" s="4" t="s">
        <v>182</v>
      </c>
      <c r="DI2" s="4" t="s">
        <v>162</v>
      </c>
      <c r="DJ2" s="4" t="s">
        <v>511</v>
      </c>
    </row>
    <row r="3" spans="1:114" x14ac:dyDescent="0.25">
      <c r="A3" s="24" t="b">
        <v>0</v>
      </c>
      <c r="B3" s="24">
        <v>0</v>
      </c>
      <c r="D3" s="24">
        <v>0</v>
      </c>
      <c r="E3" s="24">
        <v>0</v>
      </c>
      <c r="F3" s="24">
        <v>0</v>
      </c>
      <c r="H3" s="24" t="b">
        <v>0</v>
      </c>
      <c r="I3" s="24">
        <v>0</v>
      </c>
      <c r="K3" s="24">
        <v>0</v>
      </c>
      <c r="L3" s="24">
        <v>0</v>
      </c>
      <c r="N3" s="24">
        <v>0</v>
      </c>
      <c r="O3" s="24">
        <v>0</v>
      </c>
      <c r="P3" s="24">
        <v>0</v>
      </c>
      <c r="R3" s="24" t="b">
        <v>0</v>
      </c>
      <c r="S3" s="24" t="b">
        <v>0</v>
      </c>
      <c r="U3" s="24">
        <v>0</v>
      </c>
      <c r="V3" s="24">
        <v>0</v>
      </c>
      <c r="W3" s="24">
        <v>0</v>
      </c>
      <c r="X3" s="24">
        <v>0</v>
      </c>
      <c r="Z3" s="24">
        <v>0</v>
      </c>
      <c r="AA3" s="24">
        <v>0</v>
      </c>
      <c r="AC3" s="24">
        <v>0</v>
      </c>
      <c r="AD3" s="24">
        <v>0</v>
      </c>
      <c r="AF3" s="24">
        <v>0</v>
      </c>
      <c r="AG3" s="24">
        <v>0</v>
      </c>
      <c r="AI3" s="24">
        <v>0</v>
      </c>
      <c r="AJ3" s="24">
        <v>0</v>
      </c>
      <c r="AL3" s="24">
        <v>0</v>
      </c>
      <c r="AM3" s="24">
        <v>0</v>
      </c>
      <c r="AN3" s="24">
        <v>0</v>
      </c>
      <c r="AO3" s="24">
        <v>0</v>
      </c>
      <c r="AP3" s="24">
        <f>IF(OR(B2="Light Bowgun",B2="Heavy Bowgun"),1.57,1.6)</f>
        <v>1.6</v>
      </c>
      <c r="AR3" s="24">
        <v>0</v>
      </c>
      <c r="AS3" s="24">
        <v>0</v>
      </c>
      <c r="AU3" s="24" t="b">
        <v>0</v>
      </c>
      <c r="AV3" s="24">
        <v>0</v>
      </c>
      <c r="AX3" s="24">
        <v>0</v>
      </c>
      <c r="AY3" s="24">
        <v>0</v>
      </c>
      <c r="AZ3" s="24">
        <v>0</v>
      </c>
      <c r="BB3" s="24" t="b">
        <v>0</v>
      </c>
      <c r="BC3" s="24">
        <v>0</v>
      </c>
      <c r="BE3" s="24" t="s">
        <v>1564</v>
      </c>
      <c r="BF3" s="24">
        <v>0</v>
      </c>
      <c r="BH3" s="24">
        <v>0</v>
      </c>
      <c r="BI3" s="24">
        <v>0</v>
      </c>
      <c r="BK3" s="24">
        <v>0</v>
      </c>
      <c r="BL3" s="24">
        <v>0</v>
      </c>
      <c r="BN3" s="24">
        <v>0</v>
      </c>
      <c r="BO3" s="24">
        <v>0</v>
      </c>
      <c r="BQ3" s="24">
        <v>0</v>
      </c>
      <c r="BR3" s="24">
        <v>0</v>
      </c>
      <c r="BT3" s="24">
        <v>0</v>
      </c>
      <c r="BU3" s="24">
        <v>0</v>
      </c>
      <c r="BW3" s="24">
        <v>0</v>
      </c>
      <c r="BX3" s="24">
        <v>0</v>
      </c>
      <c r="BZ3" s="24" t="b">
        <v>0</v>
      </c>
      <c r="CA3" s="24">
        <v>0</v>
      </c>
      <c r="CC3" s="24">
        <v>0</v>
      </c>
      <c r="CD3" s="24">
        <v>0</v>
      </c>
      <c r="CF3" s="24">
        <v>0</v>
      </c>
      <c r="CG3" s="24">
        <v>0</v>
      </c>
      <c r="CI3" s="24">
        <v>0</v>
      </c>
      <c r="CJ3" s="24">
        <v>0</v>
      </c>
      <c r="CL3" s="24">
        <v>0</v>
      </c>
      <c r="CM3" s="24">
        <v>0</v>
      </c>
      <c r="CO3" s="24" t="b">
        <v>0</v>
      </c>
      <c r="CP3" s="24" t="b">
        <v>0</v>
      </c>
      <c r="CR3" s="24">
        <v>0</v>
      </c>
      <c r="CS3" s="24">
        <v>0</v>
      </c>
      <c r="CU3" s="24">
        <v>0</v>
      </c>
      <c r="CV3" s="24">
        <v>0</v>
      </c>
      <c r="CX3" s="24">
        <v>0</v>
      </c>
      <c r="CY3" s="24">
        <v>0</v>
      </c>
      <c r="DA3" s="24">
        <v>0</v>
      </c>
      <c r="DB3" s="24">
        <v>0</v>
      </c>
      <c r="DD3" s="24">
        <v>0</v>
      </c>
      <c r="DE3" s="24">
        <v>0</v>
      </c>
      <c r="DF3" s="24">
        <v>0</v>
      </c>
      <c r="DH3" s="24">
        <v>0</v>
      </c>
      <c r="DI3" s="24">
        <v>0</v>
      </c>
      <c r="DJ3" s="24">
        <v>0</v>
      </c>
    </row>
    <row r="4" spans="1:114" x14ac:dyDescent="0.25">
      <c r="A4" s="24" t="b">
        <v>1</v>
      </c>
      <c r="B4" s="24">
        <v>30</v>
      </c>
      <c r="D4" s="24">
        <v>1</v>
      </c>
      <c r="E4" s="24">
        <v>4</v>
      </c>
      <c r="F4" s="24">
        <v>5</v>
      </c>
      <c r="H4" s="24" t="b">
        <v>1</v>
      </c>
      <c r="I4" s="24">
        <v>30</v>
      </c>
      <c r="K4" s="24">
        <v>1</v>
      </c>
      <c r="L4" s="24">
        <v>10</v>
      </c>
      <c r="N4" s="24">
        <v>1</v>
      </c>
      <c r="O4" s="24">
        <v>3</v>
      </c>
      <c r="P4" s="24">
        <v>0</v>
      </c>
      <c r="R4" s="24" t="b">
        <v>1</v>
      </c>
      <c r="S4" s="24" t="b">
        <v>1</v>
      </c>
      <c r="U4" s="24">
        <v>1</v>
      </c>
      <c r="V4" s="24">
        <v>12</v>
      </c>
      <c r="W4" s="24">
        <v>30</v>
      </c>
      <c r="X4" s="24">
        <v>5</v>
      </c>
      <c r="Z4" s="24">
        <v>1</v>
      </c>
      <c r="AA4" s="24">
        <v>5</v>
      </c>
      <c r="AC4" s="24">
        <v>1</v>
      </c>
      <c r="AD4" s="24">
        <f>IF(OR(Backdoors!B2="Greatsword",Backdoors!B2="Hammer",Backdoors!B2="Hunting Horn",Backdoors!B2="Heavy Bowgun"),0.5,IF(OR(Backdoors!B2="Longsword",Backdoors!B2="Sword &amp; Shield",Backdoors!B2="Dual Blades",Backdoors!B2="Lance",Backdoors!B2="Gunlance",,Backdoors!B2="Switch Axe",Backdoors!B2="Charge Blade",Backdoors!B2="Insect Glaive",Backdoors!B2="Bow"),0.35,0.25))</f>
        <v>0.35</v>
      </c>
      <c r="AF4" s="24">
        <v>1</v>
      </c>
      <c r="AG4" s="24">
        <v>5</v>
      </c>
      <c r="AI4" s="24">
        <v>1</v>
      </c>
      <c r="AJ4" s="24">
        <f>IF(OR(Backdoors!E2="Greatsword",Backdoors!E2="Hammer",Backdoors!E2="Hunting Horn",Backdoors!E2="Heavy Bowgun"),0.4,0.2)</f>
        <v>0.2</v>
      </c>
      <c r="AL4" s="24">
        <v>1</v>
      </c>
      <c r="AM4" s="24">
        <v>80</v>
      </c>
      <c r="AN4" s="24">
        <v>80</v>
      </c>
      <c r="AO4" s="24">
        <v>20</v>
      </c>
      <c r="AP4" s="24">
        <f>IF(OR(B2="Light Bowgun",B2="Heavy Bowgun"),1.8,2.2)</f>
        <v>2.2000000000000002</v>
      </c>
      <c r="AR4" s="24">
        <v>1</v>
      </c>
      <c r="AS4" s="24">
        <v>60</v>
      </c>
      <c r="AU4" s="24" t="b">
        <v>1</v>
      </c>
      <c r="AV4" s="24">
        <f>IF(Backdoors!B2="Insect Glaive",100,50)</f>
        <v>50</v>
      </c>
      <c r="AX4" s="24">
        <v>1</v>
      </c>
      <c r="AY4" s="24">
        <v>30</v>
      </c>
      <c r="AZ4" s="24">
        <v>0</v>
      </c>
      <c r="BB4" s="24" t="b">
        <v>1</v>
      </c>
      <c r="BC4" s="24">
        <f>IF(OR(Backdoors!B2="Light Bowgun",Backdoors!B2="Heavy Bowgun"),2,5)</f>
        <v>5</v>
      </c>
      <c r="BE4" s="24" t="s">
        <v>1567</v>
      </c>
      <c r="BF4" s="24">
        <v>10</v>
      </c>
      <c r="BH4" s="24">
        <v>1</v>
      </c>
      <c r="BI4" s="24">
        <f>(1/3)*100</f>
        <v>33.333333333333329</v>
      </c>
      <c r="BK4" s="24">
        <v>1</v>
      </c>
      <c r="BL4" s="24">
        <f>IF(Backdoors!B2="Heavy Bowgun",10,5)</f>
        <v>5</v>
      </c>
      <c r="BN4" s="24">
        <v>1</v>
      </c>
      <c r="BO4" s="24">
        <v>2</v>
      </c>
      <c r="BQ4" s="24">
        <v>1</v>
      </c>
      <c r="BR4" s="24">
        <v>0</v>
      </c>
      <c r="BT4" s="24">
        <v>1</v>
      </c>
      <c r="BU4" s="24">
        <v>10</v>
      </c>
      <c r="BW4" s="24">
        <v>1</v>
      </c>
      <c r="BX4" s="24">
        <v>10</v>
      </c>
      <c r="BZ4" s="24" t="b">
        <v>1</v>
      </c>
      <c r="CA4" s="24">
        <v>5</v>
      </c>
      <c r="CC4" s="24">
        <v>1</v>
      </c>
      <c r="CD4" s="24">
        <v>10</v>
      </c>
      <c r="CF4" s="24">
        <v>1</v>
      </c>
      <c r="CG4" s="24">
        <v>5</v>
      </c>
      <c r="CI4" s="24">
        <v>1</v>
      </c>
      <c r="CJ4" s="24">
        <v>5</v>
      </c>
      <c r="CL4" s="24">
        <v>1</v>
      </c>
      <c r="CM4" s="24">
        <v>10</v>
      </c>
      <c r="CO4" s="24" t="b">
        <v>1</v>
      </c>
      <c r="CP4" s="24" t="b">
        <v>1</v>
      </c>
      <c r="CR4" s="24">
        <v>1</v>
      </c>
      <c r="CS4" s="24">
        <v>50</v>
      </c>
      <c r="CU4" s="24">
        <v>1</v>
      </c>
      <c r="CV4" s="24">
        <v>5</v>
      </c>
      <c r="CX4" s="24">
        <v>1</v>
      </c>
      <c r="CY4" s="24">
        <v>10</v>
      </c>
      <c r="DA4" s="24">
        <v>1</v>
      </c>
      <c r="DB4" s="24">
        <v>10</v>
      </c>
      <c r="DD4" s="24">
        <v>1</v>
      </c>
      <c r="DE4" s="24">
        <v>10</v>
      </c>
      <c r="DF4" s="24">
        <v>5</v>
      </c>
      <c r="DH4" s="24">
        <v>1</v>
      </c>
      <c r="DI4" s="24">
        <v>10</v>
      </c>
      <c r="DJ4" s="24">
        <v>5</v>
      </c>
    </row>
    <row r="5" spans="1:114" x14ac:dyDescent="0.25">
      <c r="D5" s="24">
        <v>2</v>
      </c>
      <c r="E5" s="24">
        <v>8</v>
      </c>
      <c r="F5" s="24">
        <v>5</v>
      </c>
      <c r="K5" s="24">
        <v>2</v>
      </c>
      <c r="L5" s="24">
        <v>20</v>
      </c>
      <c r="N5" s="24">
        <v>2</v>
      </c>
      <c r="O5" s="24">
        <v>6</v>
      </c>
      <c r="P5" s="24">
        <v>0</v>
      </c>
      <c r="U5" s="24">
        <v>2</v>
      </c>
      <c r="V5" s="24">
        <v>15</v>
      </c>
      <c r="W5" s="24">
        <v>60</v>
      </c>
      <c r="X5" s="24">
        <v>10</v>
      </c>
      <c r="Z5" s="24">
        <v>2</v>
      </c>
      <c r="AA5" s="24">
        <v>10</v>
      </c>
      <c r="AC5" s="24">
        <v>2</v>
      </c>
      <c r="AD5" s="24">
        <f>IF(OR(Backdoors!B2="Greatsword",Backdoors!B2="Hammer",Backdoors!B2="Hunting Horn",Backdoors!B2="Heavy Bowgun"),0.7,IF(OR(Backdoors!B2="Longsword",Backdoors!B2="Sword &amp; Shield",Backdoors!B2="Dual Blades",Backdoors!B2="Lance",Backdoors!B2="Gunlance",,Backdoors!B2="Switch Axe",Backdoors!B2="Charge Blade",Backdoors!B2="Insect Glaive",Backdoors!B2="Bow"),0.55,0.4))</f>
        <v>0.55000000000000004</v>
      </c>
      <c r="AF5" s="24">
        <v>2</v>
      </c>
      <c r="AG5" s="24">
        <v>10</v>
      </c>
      <c r="AI5" s="24">
        <v>2</v>
      </c>
      <c r="AJ5" s="24">
        <f>IF(OR(Backdoors!E2="Greatsword",Backdoors!E2="Hammer",Backdoors!E2="Hunting Horn",Backdoors!E2="Heavy Bowgun"),0.6,0.4)</f>
        <v>0.4</v>
      </c>
      <c r="AL5" s="24">
        <v>2</v>
      </c>
      <c r="AM5" s="24">
        <v>150</v>
      </c>
      <c r="AN5" s="24">
        <v>120</v>
      </c>
      <c r="AO5" s="24">
        <v>40</v>
      </c>
      <c r="AP5" s="24">
        <f>IF(OR(B2="Light Bowgun",B2="Heavy Bowgun"),2.2,2.55)</f>
        <v>2.5499999999999998</v>
      </c>
      <c r="AR5" s="24">
        <v>2</v>
      </c>
      <c r="AS5" s="24">
        <v>150</v>
      </c>
      <c r="AX5" s="24">
        <v>2</v>
      </c>
      <c r="AY5" s="24">
        <v>60</v>
      </c>
      <c r="AZ5" s="24">
        <v>0</v>
      </c>
      <c r="BE5" s="24" t="s">
        <v>1568</v>
      </c>
      <c r="BF5" s="24">
        <v>20</v>
      </c>
      <c r="BH5" s="24">
        <v>2</v>
      </c>
      <c r="BI5" s="24">
        <f>(2/3)*100</f>
        <v>66.666666666666657</v>
      </c>
      <c r="BK5" s="24">
        <v>2</v>
      </c>
      <c r="BL5" s="24">
        <f>IF(OR(Backdoors!B2="Great Sword",Backdoors!B2="Hammer"),15,20)</f>
        <v>20</v>
      </c>
      <c r="BN5" s="24">
        <v>2</v>
      </c>
      <c r="BO5" s="24">
        <v>4</v>
      </c>
      <c r="BQ5" s="24">
        <v>2</v>
      </c>
      <c r="BR5" s="24">
        <v>5</v>
      </c>
      <c r="BT5" s="24">
        <v>2</v>
      </c>
      <c r="BU5" s="24">
        <v>20</v>
      </c>
      <c r="BW5" s="24">
        <v>2</v>
      </c>
      <c r="BX5" s="24">
        <v>20</v>
      </c>
      <c r="CC5" s="24">
        <v>2</v>
      </c>
      <c r="CD5" s="24">
        <v>20</v>
      </c>
      <c r="CF5" s="24">
        <v>2</v>
      </c>
      <c r="CG5" s="24">
        <v>10</v>
      </c>
      <c r="CI5" s="24">
        <v>2</v>
      </c>
      <c r="CJ5" s="24">
        <v>10</v>
      </c>
      <c r="CL5" s="24">
        <v>2</v>
      </c>
      <c r="CM5" s="24">
        <v>20</v>
      </c>
      <c r="CR5" s="24">
        <v>2</v>
      </c>
      <c r="CS5" s="24">
        <v>30</v>
      </c>
      <c r="CU5" s="24">
        <v>2</v>
      </c>
      <c r="CV5" s="24">
        <v>10</v>
      </c>
      <c r="CX5" s="24">
        <v>2</v>
      </c>
      <c r="CY5" s="24">
        <v>20</v>
      </c>
      <c r="DA5" s="24">
        <v>2</v>
      </c>
      <c r="DB5" s="24">
        <v>15</v>
      </c>
      <c r="DD5" s="24">
        <v>2</v>
      </c>
      <c r="DE5" s="24">
        <v>10</v>
      </c>
      <c r="DF5" s="24">
        <v>10</v>
      </c>
      <c r="DH5" s="24">
        <v>2</v>
      </c>
      <c r="DI5" s="24">
        <v>15</v>
      </c>
      <c r="DJ5" s="24">
        <v>15</v>
      </c>
    </row>
    <row r="6" spans="1:114" x14ac:dyDescent="0.25">
      <c r="D6" s="24">
        <v>3</v>
      </c>
      <c r="E6" s="24">
        <v>12</v>
      </c>
      <c r="F6" s="24">
        <v>7</v>
      </c>
      <c r="K6" s="24">
        <v>3</v>
      </c>
      <c r="L6" s="24">
        <v>30</v>
      </c>
      <c r="N6" s="24">
        <v>3</v>
      </c>
      <c r="O6" s="24">
        <v>9</v>
      </c>
      <c r="P6" s="24">
        <v>0</v>
      </c>
      <c r="U6" s="24">
        <v>3</v>
      </c>
      <c r="V6" s="24">
        <v>18</v>
      </c>
      <c r="W6" s="24">
        <v>90</v>
      </c>
      <c r="X6" s="24">
        <v>15</v>
      </c>
      <c r="Z6" s="24">
        <v>3</v>
      </c>
      <c r="AA6" s="24">
        <v>15</v>
      </c>
      <c r="AF6" s="24">
        <v>3</v>
      </c>
      <c r="AG6" s="24">
        <v>15</v>
      </c>
      <c r="AX6" s="24">
        <v>3</v>
      </c>
      <c r="AY6" s="24">
        <v>100</v>
      </c>
      <c r="AZ6" s="24">
        <v>0</v>
      </c>
      <c r="BH6" s="24">
        <v>3</v>
      </c>
      <c r="BI6" s="24">
        <v>100</v>
      </c>
      <c r="BK6" s="24">
        <v>3</v>
      </c>
      <c r="BL6" s="24">
        <f>IF(OR(Backdoors!B2="Great Sword",Backdoors!B2="Hammer",Backdoors!B2="Heavy Bowgun"),30,25)</f>
        <v>25</v>
      </c>
      <c r="BN6" s="24">
        <v>3</v>
      </c>
      <c r="BO6" s="24">
        <v>6</v>
      </c>
      <c r="BQ6" s="24">
        <v>3</v>
      </c>
      <c r="BR6" s="24">
        <v>5</v>
      </c>
      <c r="BT6" s="24">
        <v>3</v>
      </c>
      <c r="BU6" s="24">
        <v>30</v>
      </c>
      <c r="BW6" s="24">
        <v>3</v>
      </c>
      <c r="BX6" s="24">
        <v>30</v>
      </c>
      <c r="CF6" s="24">
        <v>3</v>
      </c>
      <c r="CG6" s="24">
        <v>15</v>
      </c>
      <c r="CI6" s="24">
        <v>3</v>
      </c>
      <c r="CJ6" s="24">
        <v>20</v>
      </c>
      <c r="CU6" s="24">
        <v>3</v>
      </c>
      <c r="CV6" s="24">
        <v>15</v>
      </c>
      <c r="DD6" s="24">
        <v>3</v>
      </c>
      <c r="DE6" s="24">
        <v>10</v>
      </c>
      <c r="DF6" s="24">
        <v>20</v>
      </c>
      <c r="DH6" s="24">
        <v>3</v>
      </c>
      <c r="DI6" s="24">
        <v>30</v>
      </c>
      <c r="DJ6" s="24">
        <v>20</v>
      </c>
    </row>
    <row r="7" spans="1:114" x14ac:dyDescent="0.25">
      <c r="D7" s="24">
        <v>4</v>
      </c>
      <c r="E7" s="24">
        <v>16</v>
      </c>
      <c r="F7" s="24">
        <v>7</v>
      </c>
      <c r="K7" s="24">
        <v>4</v>
      </c>
      <c r="L7" s="24">
        <v>40</v>
      </c>
      <c r="N7" s="24">
        <v>4</v>
      </c>
      <c r="O7" s="24">
        <v>12</v>
      </c>
      <c r="P7" s="24">
        <v>5</v>
      </c>
      <c r="AF7" s="24">
        <v>4</v>
      </c>
      <c r="AG7" s="24">
        <v>20</v>
      </c>
      <c r="AX7" s="24">
        <v>4</v>
      </c>
      <c r="AY7" s="24">
        <v>100</v>
      </c>
      <c r="AZ7" s="24">
        <v>5</v>
      </c>
      <c r="BN7" s="24">
        <v>4</v>
      </c>
      <c r="BO7" s="24">
        <v>8</v>
      </c>
      <c r="BQ7" s="24">
        <v>4</v>
      </c>
      <c r="BR7" s="24">
        <v>10</v>
      </c>
      <c r="BT7" s="24">
        <v>4</v>
      </c>
      <c r="BU7" s="24">
        <v>40</v>
      </c>
      <c r="BW7" s="24">
        <v>4</v>
      </c>
      <c r="BX7" s="24">
        <v>40</v>
      </c>
      <c r="CU7" s="24">
        <v>4</v>
      </c>
      <c r="CV7" s="24">
        <v>20</v>
      </c>
      <c r="DD7" s="24">
        <v>4</v>
      </c>
      <c r="DE7" s="24">
        <v>10</v>
      </c>
      <c r="DF7" s="24">
        <v>30</v>
      </c>
    </row>
    <row r="8" spans="1:114" x14ac:dyDescent="0.25">
      <c r="D8" s="24">
        <v>5</v>
      </c>
      <c r="E8" s="24">
        <v>20</v>
      </c>
      <c r="F8" s="24">
        <v>10</v>
      </c>
      <c r="K8" s="24">
        <v>5</v>
      </c>
      <c r="L8" s="24">
        <v>50</v>
      </c>
      <c r="N8" s="24">
        <v>5</v>
      </c>
      <c r="O8" s="24">
        <v>15</v>
      </c>
      <c r="P8" s="24">
        <v>5</v>
      </c>
      <c r="AF8" s="24">
        <v>5</v>
      </c>
      <c r="AG8" s="24">
        <v>25</v>
      </c>
      <c r="AX8" s="24">
        <v>5</v>
      </c>
      <c r="AY8" s="24">
        <v>100</v>
      </c>
      <c r="AZ8" s="24">
        <v>10</v>
      </c>
      <c r="BN8" s="24">
        <v>5</v>
      </c>
      <c r="BO8" s="24">
        <v>10</v>
      </c>
      <c r="BQ8" s="24">
        <v>5</v>
      </c>
      <c r="BR8" s="24">
        <v>15</v>
      </c>
      <c r="BT8" s="24">
        <v>5</v>
      </c>
      <c r="BU8" s="24">
        <v>50</v>
      </c>
      <c r="BW8" s="24">
        <v>5</v>
      </c>
      <c r="BX8" s="24">
        <v>40</v>
      </c>
      <c r="CU8" s="24">
        <v>5</v>
      </c>
      <c r="CV8" s="24">
        <v>25</v>
      </c>
    </row>
    <row r="9" spans="1:114" x14ac:dyDescent="0.25">
      <c r="D9" s="24">
        <v>6</v>
      </c>
      <c r="E9" s="24">
        <v>24</v>
      </c>
      <c r="F9" s="24">
        <v>15</v>
      </c>
      <c r="N9" s="24">
        <v>6</v>
      </c>
      <c r="O9" s="24">
        <v>18</v>
      </c>
      <c r="P9" s="24">
        <v>5</v>
      </c>
      <c r="AF9" s="24">
        <v>6</v>
      </c>
      <c r="AG9" s="24">
        <v>30</v>
      </c>
      <c r="AX9" s="24">
        <v>6</v>
      </c>
      <c r="AY9" s="24">
        <v>100</v>
      </c>
      <c r="AZ9" s="24">
        <v>20</v>
      </c>
      <c r="BQ9" s="24">
        <v>6</v>
      </c>
      <c r="BR9" s="24">
        <v>25</v>
      </c>
      <c r="BT9" s="24">
        <v>6</v>
      </c>
      <c r="BU9" s="24">
        <v>50</v>
      </c>
    </row>
    <row r="10" spans="1:114" x14ac:dyDescent="0.25">
      <c r="D10" s="24">
        <v>7</v>
      </c>
      <c r="E10" s="24">
        <v>28</v>
      </c>
      <c r="F10" s="24">
        <v>20</v>
      </c>
      <c r="N10" s="24">
        <v>7</v>
      </c>
      <c r="O10" s="24">
        <v>21</v>
      </c>
      <c r="P10" s="24">
        <v>5</v>
      </c>
      <c r="AF10" s="24">
        <v>7</v>
      </c>
      <c r="AG10" s="24">
        <v>40</v>
      </c>
      <c r="BQ10" s="24">
        <v>7</v>
      </c>
      <c r="BR10" s="24">
        <v>40</v>
      </c>
      <c r="BT10" s="24">
        <v>7</v>
      </c>
      <c r="BU10" s="24">
        <v>60</v>
      </c>
    </row>
  </sheetData>
  <mergeCells count="35">
    <mergeCell ref="A1:B1"/>
    <mergeCell ref="AC1:AD1"/>
    <mergeCell ref="AI1:AJ1"/>
    <mergeCell ref="D1:F1"/>
    <mergeCell ref="R1:S1"/>
    <mergeCell ref="N1:P1"/>
    <mergeCell ref="U1:X1"/>
    <mergeCell ref="H1:I1"/>
    <mergeCell ref="K1:L1"/>
    <mergeCell ref="Z1:AA1"/>
    <mergeCell ref="AF1:AG1"/>
    <mergeCell ref="AL1:AP1"/>
    <mergeCell ref="AR1:AS1"/>
    <mergeCell ref="BK1:BL1"/>
    <mergeCell ref="AU1:AV1"/>
    <mergeCell ref="BT1:BU1"/>
    <mergeCell ref="BW1:BX1"/>
    <mergeCell ref="BQ1:BR1"/>
    <mergeCell ref="BN1:BO1"/>
    <mergeCell ref="AX1:AZ1"/>
    <mergeCell ref="BH1:BI1"/>
    <mergeCell ref="BB1:BC1"/>
    <mergeCell ref="BE1:BF1"/>
    <mergeCell ref="CU1:CV1"/>
    <mergeCell ref="CI1:CJ1"/>
    <mergeCell ref="DH1:DJ1"/>
    <mergeCell ref="DD1:DF1"/>
    <mergeCell ref="BZ1:CA1"/>
    <mergeCell ref="CO1:CP1"/>
    <mergeCell ref="CR1:CS1"/>
    <mergeCell ref="CC1:CD1"/>
    <mergeCell ref="CL1:CM1"/>
    <mergeCell ref="CX1:CY1"/>
    <mergeCell ref="DA1:DB1"/>
    <mergeCell ref="CF1:C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373F7-61BF-48EA-BF43-E81EA1E17B2C}">
  <sheetPr codeName="Sheet7"/>
  <dimension ref="A1:I33"/>
  <sheetViews>
    <sheetView workbookViewId="0">
      <selection activeCell="E3" sqref="E3"/>
    </sheetView>
  </sheetViews>
  <sheetFormatPr defaultRowHeight="15" x14ac:dyDescent="0.25"/>
  <cols>
    <col min="1" max="1" width="4.5703125" bestFit="1" customWidth="1"/>
    <col min="2" max="2" width="14.28515625" customWidth="1"/>
    <col min="3" max="3" width="16" bestFit="1" customWidth="1"/>
    <col min="4" max="4" width="12.7109375" bestFit="1" customWidth="1"/>
    <col min="5" max="5" width="8" bestFit="1" customWidth="1"/>
    <col min="6" max="6" width="4.85546875" customWidth="1"/>
    <col min="7" max="7" width="11.7109375" bestFit="1" customWidth="1"/>
    <col min="9" max="9" width="18.140625" bestFit="1" customWidth="1"/>
  </cols>
  <sheetData>
    <row r="1" spans="1:9" x14ac:dyDescent="0.25">
      <c r="A1" s="110" t="s">
        <v>127</v>
      </c>
      <c r="B1" s="111"/>
      <c r="C1" s="111"/>
      <c r="D1" s="111"/>
      <c r="E1" s="111"/>
      <c r="F1" s="111"/>
      <c r="G1" s="112"/>
      <c r="H1" s="13"/>
    </row>
    <row r="2" spans="1:9" x14ac:dyDescent="0.25">
      <c r="A2" s="14" t="s">
        <v>112</v>
      </c>
      <c r="B2" s="14" t="s">
        <v>143</v>
      </c>
      <c r="C2" s="15" t="s">
        <v>144</v>
      </c>
      <c r="D2" s="14" t="s">
        <v>145</v>
      </c>
      <c r="E2" s="14" t="s">
        <v>146</v>
      </c>
      <c r="F2" s="4" t="s">
        <v>147</v>
      </c>
      <c r="G2" s="14" t="s">
        <v>148</v>
      </c>
      <c r="H2" s="16"/>
      <c r="I2" s="14" t="s">
        <v>118</v>
      </c>
    </row>
    <row r="3" spans="1:9" x14ac:dyDescent="0.25">
      <c r="A3" s="17" t="s">
        <v>140</v>
      </c>
      <c r="B3" s="17">
        <v>150</v>
      </c>
      <c r="C3" s="17">
        <f>IF(OR(Calculator!B3="Low Rank",Calculator!B3="High Rank"),625,500)</f>
        <v>625</v>
      </c>
      <c r="D3" s="17">
        <f>IF(OR(Calculator!B3="Low Rank",Calculator!B3="High Rank"),2250,1800)</f>
        <v>2250</v>
      </c>
      <c r="E3" s="18">
        <f>36+IF(VLOOKUP(Calculator!E46,tbSkills!CO3:CP4,2,FALSE)=TRUE,4,0)</f>
        <v>36</v>
      </c>
      <c r="F3" s="18">
        <f t="shared" ref="F3:F18" si="0">G3/E3</f>
        <v>20</v>
      </c>
      <c r="G3" s="17">
        <f>IF(OR(Calculator!B3="Low Rank",Calculator!B3="High Rank"),720+IF(VLOOKUP(Calculator!E46,tbSkills!CO3:CP4,2,FALSE)=TRUE,80,0),1600+IF(VLOOKUP(Calculator!E46,tbSkills!CO3:CP4,2,FALSE)=TRUE,180,0))</f>
        <v>720</v>
      </c>
      <c r="I3" s="17" t="s">
        <v>721</v>
      </c>
    </row>
    <row r="4" spans="1:9" x14ac:dyDescent="0.25">
      <c r="A4" s="17" t="s">
        <v>138</v>
      </c>
      <c r="B4" s="17">
        <v>250</v>
      </c>
      <c r="C4" s="17">
        <v>400</v>
      </c>
      <c r="D4" s="17">
        <v>1600</v>
      </c>
      <c r="E4" s="18">
        <v>60</v>
      </c>
      <c r="F4" s="18">
        <f t="shared" si="0"/>
        <v>40</v>
      </c>
      <c r="G4" s="17">
        <v>2400</v>
      </c>
      <c r="I4" s="17" t="s">
        <v>803</v>
      </c>
    </row>
    <row r="5" spans="1:9" x14ac:dyDescent="0.25">
      <c r="A5" s="17" t="s">
        <v>137</v>
      </c>
      <c r="B5" s="17">
        <v>300</v>
      </c>
      <c r="C5" s="17">
        <v>187</v>
      </c>
      <c r="D5" s="17">
        <v>1750</v>
      </c>
      <c r="E5" s="18">
        <v>60</v>
      </c>
      <c r="F5" s="18">
        <f t="shared" ref="F5:F17" si="1">G5/E5</f>
        <v>33.333333333333336</v>
      </c>
      <c r="G5" s="17">
        <v>2000</v>
      </c>
      <c r="I5" s="17" t="s">
        <v>923</v>
      </c>
    </row>
    <row r="6" spans="1:9" x14ac:dyDescent="0.25">
      <c r="A6" s="17" t="s">
        <v>139</v>
      </c>
      <c r="B6" s="17">
        <v>80</v>
      </c>
      <c r="C6" s="17">
        <f>IF(OR(Calculator!B3="Low Rank",Calculator!B3="High Rank"),70,110)</f>
        <v>70</v>
      </c>
      <c r="D6" s="17">
        <f>IF(OR(Calculator!B3="Low Rank",Calculator!B3="High Rank"),290,450)</f>
        <v>290</v>
      </c>
      <c r="E6" s="18">
        <f>16+IF(VLOOKUP(Calculator!E46,tbSkills!CO3:CP4,2,FALSE)=TRUE,4,0)</f>
        <v>16</v>
      </c>
      <c r="F6" s="18">
        <f t="shared" si="1"/>
        <v>10</v>
      </c>
      <c r="G6" s="17">
        <f>IF(OR(Calculator!B3="Low Rank",Calculator!B3="High Rank"),160+IF(VLOOKUP(Calculator!E46,tbSkills!CO3:CP4,2,FALSE)=TRUE,40,0),320+IF(VLOOKUP(Calculator!E46,tbSkills!CO3:CP4,2,FALSE)=TRUE,80,0))</f>
        <v>160</v>
      </c>
      <c r="I6" s="17" t="s">
        <v>527</v>
      </c>
    </row>
    <row r="7" spans="1:9" x14ac:dyDescent="0.25">
      <c r="A7" s="17" t="s">
        <v>141</v>
      </c>
      <c r="B7" s="17">
        <v>100</v>
      </c>
      <c r="C7" s="17">
        <f>IF(OR(Calculator!B3="Low Rank",Calculator!B3="High Rank"),90,140)</f>
        <v>90</v>
      </c>
      <c r="D7" s="17">
        <f>IF(OR(Calculator!B3="Low Rank",Calculator!B3="High Rank"),370,570)</f>
        <v>370</v>
      </c>
      <c r="E7" s="18">
        <f>26+IF(VLOOKUP(Calculator!E46,tbSkills!CO3:CP4,2,FALSE)=TRUE,4,0)</f>
        <v>26</v>
      </c>
      <c r="F7" s="18">
        <f t="shared" si="1"/>
        <v>10</v>
      </c>
      <c r="G7" s="17">
        <f>IF(OR(Calculator!B3="Low Rank",Calculator!B3="High Rank"),260+IF(VLOOKUP(Calculator!E46,tbSkills!CO3:CP4,2,FALSE)=TRUE,40,0),520+IF(VLOOKUP(Calculator!E46,tbSkills!CO3:CP4,2,FALSE)=TRUE,80,0))</f>
        <v>260</v>
      </c>
      <c r="I7" s="17" t="s">
        <v>741</v>
      </c>
    </row>
    <row r="8" spans="1:9" x14ac:dyDescent="0.25">
      <c r="A8" s="17" t="s">
        <v>618</v>
      </c>
      <c r="B8" s="17">
        <v>180</v>
      </c>
      <c r="C8" s="17">
        <f>IF(OR(Calculator!B3="Low Rank",Calculator!B3="High Rank"),130,200)</f>
        <v>130</v>
      </c>
      <c r="D8" s="17">
        <f>IF(OR(Calculator!B3="Low Rank",Calculator!B3="High Rank"),570,880)</f>
        <v>570</v>
      </c>
      <c r="E8" s="18">
        <f>36+IF(VLOOKUP(Calculator!E46,tbSkills!CO3:CP4,2,FALSE)=TRUE,4,0)</f>
        <v>36</v>
      </c>
      <c r="F8" s="18">
        <f t="shared" si="1"/>
        <v>10</v>
      </c>
      <c r="G8" s="17">
        <f>IF(OR(Calculator!B3="Low Rank",Calculator!B3="High Rank"),360+IF(VLOOKUP(Calculator!E46,tbSkills!CO3:CP4,2,FALSE)=TRUE,40,0),720+IF(VLOOKUP(Calculator!E46,tbSkills!CO3:CP4,2,FALSE)=TRUE,80,0))</f>
        <v>360</v>
      </c>
      <c r="I8" s="17" t="s">
        <v>742</v>
      </c>
    </row>
    <row r="9" spans="1:9" x14ac:dyDescent="0.25">
      <c r="A9" s="17" t="s">
        <v>672</v>
      </c>
      <c r="B9" s="17">
        <v>80</v>
      </c>
      <c r="C9" s="17">
        <v>80</v>
      </c>
      <c r="D9" s="17">
        <v>440</v>
      </c>
      <c r="E9" s="18">
        <f>46+IF(VLOOKUP(Calculator!E46,tbSkills!CO3:CP4,2,FALSE)=TRUE,4,0)</f>
        <v>46</v>
      </c>
      <c r="F9" s="18">
        <f t="shared" si="1"/>
        <v>7.8260869565217392</v>
      </c>
      <c r="G9" s="17">
        <f>360+IF(VLOOKUP(Calculator!E46,tbSkills!CO3:CP4,2,FALSE)=TRUE,30,0)</f>
        <v>360</v>
      </c>
      <c r="I9" s="17" t="s">
        <v>782</v>
      </c>
    </row>
    <row r="10" spans="1:9" x14ac:dyDescent="0.25">
      <c r="A10" s="17" t="s">
        <v>732</v>
      </c>
      <c r="B10" s="17">
        <v>100</v>
      </c>
      <c r="C10" s="17">
        <v>155</v>
      </c>
      <c r="D10" s="17">
        <v>865</v>
      </c>
      <c r="E10" s="18">
        <f>20+IF(VLOOKUP(Calculator!E46,tbSkills!CO3:CP4,2,FALSE)=TRUE,4,0)</f>
        <v>20</v>
      </c>
      <c r="F10" s="18">
        <f t="shared" si="1"/>
        <v>16</v>
      </c>
      <c r="G10" s="17">
        <f>320+IF(VLOOKUP(Calculator!E46,tbSkills!CO3:CP4,2,FALSE)=TRUE,64,0)</f>
        <v>320</v>
      </c>
      <c r="I10" s="17" t="s">
        <v>802</v>
      </c>
    </row>
    <row r="11" spans="1:9" x14ac:dyDescent="0.25">
      <c r="A11" s="17" t="s">
        <v>735</v>
      </c>
      <c r="B11" s="17">
        <v>150</v>
      </c>
      <c r="C11" s="17">
        <v>200</v>
      </c>
      <c r="D11" s="17">
        <v>2150</v>
      </c>
      <c r="E11" s="18">
        <f>30+IF(VLOOKUP(Calculator!E46,tbSkills!CO3:CP4,2,FALSE)=TRUE,4,0)</f>
        <v>30</v>
      </c>
      <c r="F11" s="18">
        <f t="shared" si="1"/>
        <v>10</v>
      </c>
      <c r="G11" s="17">
        <f>300+IF(VLOOKUP(Calculator!E46,tbSkills!CO3:CP4,2,FALSE)=TRUE,40,0)</f>
        <v>300</v>
      </c>
      <c r="I11" s="17" t="s">
        <v>723</v>
      </c>
    </row>
    <row r="12" spans="1:9" x14ac:dyDescent="0.25">
      <c r="A12" s="17" t="s">
        <v>736</v>
      </c>
      <c r="B12" s="17">
        <v>150</v>
      </c>
      <c r="C12" s="17">
        <f>IF(OR(Calculator!B3="Low Rank",Calculator!B3="High Rank"),100,155)</f>
        <v>100</v>
      </c>
      <c r="D12" s="17">
        <f>IF(OR(Calculator!B3="Low Rank",Calculator!B3="High Rank"),550,865)</f>
        <v>550</v>
      </c>
      <c r="E12" s="18">
        <f>20+IF(VLOOKUP(Calculator!E46,tbSkills!CO3:CP4,2,FALSE)=TRUE,4,0)</f>
        <v>20</v>
      </c>
      <c r="F12" s="18">
        <f t="shared" si="1"/>
        <v>8</v>
      </c>
      <c r="G12" s="17">
        <f>IF(OR(Calculator!B3="Low Rank",Calculator!B3="High Rank"),160+IF(VLOOKUP(Calculator!E46,tbSkills!CO3:CP4,2,FALSE)=TRUE,32,0),320+IF(VLOOKUP(Calculator!E46,tbSkills!CO3:CP4,2,FALSE)=TRUE,64,0))</f>
        <v>160</v>
      </c>
      <c r="I12" s="17" t="s">
        <v>745</v>
      </c>
    </row>
    <row r="13" spans="1:9" x14ac:dyDescent="0.25">
      <c r="A13" s="17" t="s">
        <v>783</v>
      </c>
      <c r="B13" s="17">
        <v>150</v>
      </c>
      <c r="C13" s="17">
        <v>250</v>
      </c>
      <c r="D13" s="17">
        <v>1375</v>
      </c>
      <c r="E13" s="18">
        <f>20+IF(VLOOKUP(Calculator!E46,tbSkills!CO3:CP4,2,FALSE)=TRUE,4,0)</f>
        <v>20</v>
      </c>
      <c r="F13" s="18">
        <f t="shared" si="1"/>
        <v>8</v>
      </c>
      <c r="G13" s="17">
        <f>160+IF(VLOOKUP(Calculator!E46,tbSkills!CO3:CP4,2,FALSE)=TRUE,32,0)</f>
        <v>160</v>
      </c>
      <c r="I13" s="17" t="s">
        <v>722</v>
      </c>
    </row>
    <row r="14" spans="1:9" x14ac:dyDescent="0.25">
      <c r="A14" s="17" t="s">
        <v>834</v>
      </c>
      <c r="B14" s="17">
        <v>300</v>
      </c>
      <c r="C14" s="17">
        <v>50</v>
      </c>
      <c r="D14" s="17">
        <v>600</v>
      </c>
      <c r="E14" s="18">
        <f>120+IF(VLOOKUP(Calculator!E46,tbSkills!CO3:CP4,2,FALSE)=TRUE,4,0)</f>
        <v>120</v>
      </c>
      <c r="F14" s="18">
        <f t="shared" si="1"/>
        <v>6.666666666666667</v>
      </c>
      <c r="G14" s="17">
        <f>800+IF(VLOOKUP(Calculator!E46,tbSkills!CO3:CP4,2,FALSE)=TRUE,((800/120)*2)*2,0)</f>
        <v>800</v>
      </c>
      <c r="I14" s="17" t="s">
        <v>671</v>
      </c>
    </row>
    <row r="15" spans="1:9" x14ac:dyDescent="0.25">
      <c r="A15" s="17" t="s">
        <v>835</v>
      </c>
      <c r="B15" s="17">
        <v>250</v>
      </c>
      <c r="C15" s="17">
        <f>IF(OR(Calculator!B3="Low Rank",Calculator!B3="High Rank"),150,235)</f>
        <v>150</v>
      </c>
      <c r="D15" s="17">
        <f>IF(OR(Calculator!B3="Low Rank",Calculator!B3="High Rank"),700,1050)</f>
        <v>700</v>
      </c>
      <c r="E15" s="18">
        <f>16+IF(VLOOKUP(Calculator!E46,tbSkills!CO3:CP4,2,FALSE)=TRUE,4,0)</f>
        <v>16</v>
      </c>
      <c r="F15" s="18">
        <f t="shared" si="1"/>
        <v>5</v>
      </c>
      <c r="G15" s="17">
        <f>IF(OR(Calculator!B3="Low Rank",Calculator!B3="High Rank"),80+IF(VLOOKUP(Calculator!E46,tbSkills!CO3:CP4,2,FALSE)=TRUE,20,0),160+IF(VLOOKUP(Calculator!E46,tbSkills!CO3:CP4,2,FALSE)=TRUE,40,0))</f>
        <v>80</v>
      </c>
      <c r="I15" s="17" t="s">
        <v>746</v>
      </c>
    </row>
    <row r="16" spans="1:9" x14ac:dyDescent="0.25">
      <c r="A16" s="17" t="s">
        <v>962</v>
      </c>
      <c r="B16" s="17">
        <v>300</v>
      </c>
      <c r="C16" s="17">
        <v>600</v>
      </c>
      <c r="D16" s="17">
        <v>1800</v>
      </c>
      <c r="E16" s="18">
        <v>16</v>
      </c>
      <c r="F16" s="18">
        <f t="shared" si="1"/>
        <v>10</v>
      </c>
      <c r="G16" s="17">
        <v>160</v>
      </c>
      <c r="I16" s="17" t="s">
        <v>930</v>
      </c>
    </row>
    <row r="17" spans="1:9" x14ac:dyDescent="0.25">
      <c r="A17" s="17" t="s">
        <v>15</v>
      </c>
      <c r="B17" s="17">
        <v>300</v>
      </c>
      <c r="C17" s="17">
        <v>500</v>
      </c>
      <c r="D17" s="17">
        <v>5000</v>
      </c>
      <c r="E17" s="18">
        <v>30</v>
      </c>
      <c r="F17" s="18">
        <f t="shared" si="1"/>
        <v>20</v>
      </c>
      <c r="G17" s="17">
        <v>600</v>
      </c>
      <c r="I17" s="17" t="s">
        <v>963</v>
      </c>
    </row>
    <row r="18" spans="1:9" x14ac:dyDescent="0.25">
      <c r="A18" s="17" t="s">
        <v>998</v>
      </c>
      <c r="B18" s="17">
        <v>999999</v>
      </c>
      <c r="C18" s="17">
        <v>999999</v>
      </c>
      <c r="D18" s="17">
        <v>999999</v>
      </c>
      <c r="E18" s="18">
        <v>1</v>
      </c>
      <c r="F18" s="18">
        <f t="shared" si="0"/>
        <v>1</v>
      </c>
      <c r="G18" s="17">
        <v>1</v>
      </c>
      <c r="I18" s="17" t="s">
        <v>743</v>
      </c>
    </row>
    <row r="20" spans="1:9" x14ac:dyDescent="0.25">
      <c r="A20" s="110" t="s">
        <v>128</v>
      </c>
      <c r="B20" s="111"/>
      <c r="C20" s="111"/>
      <c r="D20" s="111"/>
      <c r="E20" s="112"/>
      <c r="F20" s="19"/>
      <c r="G20" s="19"/>
    </row>
    <row r="21" spans="1:9" x14ac:dyDescent="0.25">
      <c r="A21" s="14" t="s">
        <v>112</v>
      </c>
      <c r="B21" s="14" t="s">
        <v>143</v>
      </c>
      <c r="C21" s="15" t="s">
        <v>144</v>
      </c>
      <c r="D21" s="14" t="s">
        <v>145</v>
      </c>
      <c r="E21" s="14" t="s">
        <v>149</v>
      </c>
      <c r="F21" s="20"/>
      <c r="G21" s="21"/>
      <c r="I21" s="14" t="s">
        <v>118</v>
      </c>
    </row>
    <row r="22" spans="1:9" x14ac:dyDescent="0.25">
      <c r="A22" s="17" t="s">
        <v>140</v>
      </c>
      <c r="B22" s="17">
        <v>40</v>
      </c>
      <c r="C22" s="17">
        <f>IF(OR(Calculator!B3="Low Rank",Calculator!B3="High Rank"),20,30)</f>
        <v>20</v>
      </c>
      <c r="D22" s="17">
        <f>IF(OR(Calculator!B3="Low Rank",Calculator!B3="High Rank"),440,690)</f>
        <v>440</v>
      </c>
      <c r="E22" s="18">
        <f>IF(Calculator!B3="Low Rank",100,IF(Calculator!B3="High Rank",120,300))</f>
        <v>100</v>
      </c>
      <c r="F22" s="20"/>
      <c r="G22" s="22"/>
      <c r="I22" s="17" t="s">
        <v>741</v>
      </c>
    </row>
    <row r="23" spans="1:9" x14ac:dyDescent="0.25">
      <c r="A23" s="17" t="s">
        <v>138</v>
      </c>
      <c r="B23" s="17">
        <v>70</v>
      </c>
      <c r="C23" s="17">
        <f>IF(OR(Calculator!B3="Low Rank",Calculator!B3="High Rank"),30,45)</f>
        <v>30</v>
      </c>
      <c r="D23" s="17">
        <f>IF(OR(Calculator!B3="Low Rank",Calculator!B3="High Rank"),670,1040)</f>
        <v>670</v>
      </c>
      <c r="E23" s="18">
        <f>IF(Calculator!B3="Low Rank",100,IF(Calculator!B3="High Rank",120,300))</f>
        <v>100</v>
      </c>
      <c r="F23" s="20"/>
      <c r="G23" s="22"/>
      <c r="I23" s="17" t="s">
        <v>745</v>
      </c>
    </row>
    <row r="24" spans="1:9" x14ac:dyDescent="0.25">
      <c r="A24" s="17" t="s">
        <v>137</v>
      </c>
      <c r="B24" s="17">
        <v>70</v>
      </c>
      <c r="C24" s="17">
        <v>100</v>
      </c>
      <c r="D24" s="17">
        <v>3000</v>
      </c>
      <c r="E24" s="18">
        <v>120</v>
      </c>
      <c r="F24" s="20"/>
      <c r="G24" s="22"/>
      <c r="I24" s="17" t="s">
        <v>723</v>
      </c>
    </row>
    <row r="25" spans="1:9" x14ac:dyDescent="0.25">
      <c r="A25" s="17" t="s">
        <v>139</v>
      </c>
      <c r="B25" s="17">
        <v>120</v>
      </c>
      <c r="C25" s="17">
        <f>IF(OR(Calculator!B3="Low Rank",Calculator!B3="High Rank"),60,95)</f>
        <v>60</v>
      </c>
      <c r="D25" s="17">
        <f>IF(OR(Calculator!B3="Low Rank",Calculator!B3="High Rank"),720,1130)</f>
        <v>720</v>
      </c>
      <c r="E25" s="18">
        <f>IF(Calculator!B3="Low Rank",100,IF(Calculator!B3="High Rank",120,300))</f>
        <v>100</v>
      </c>
      <c r="F25" s="20"/>
      <c r="G25" s="22"/>
      <c r="I25" s="17" t="s">
        <v>744</v>
      </c>
    </row>
    <row r="26" spans="1:9" x14ac:dyDescent="0.25">
      <c r="A26" s="17" t="s">
        <v>141</v>
      </c>
      <c r="B26" s="17">
        <v>120</v>
      </c>
      <c r="C26" s="17">
        <f>IF(OR(Calculator!B3="Low Rank",Calculator!B3="High Rank"),90,140)</f>
        <v>90</v>
      </c>
      <c r="D26" s="17">
        <f>IF(OR(Calculator!B3="Low Rank",Calculator!B3="High Rank"),1920,3000)</f>
        <v>1920</v>
      </c>
      <c r="E26" s="18">
        <f>IF(Calculator!B3="Low Rank",100,IF(Calculator!B3="High Rank",120,300))</f>
        <v>100</v>
      </c>
      <c r="F26" s="20"/>
      <c r="G26" s="22"/>
      <c r="I26" s="17" t="s">
        <v>746</v>
      </c>
    </row>
    <row r="27" spans="1:9" x14ac:dyDescent="0.25">
      <c r="A27" s="17" t="s">
        <v>618</v>
      </c>
      <c r="B27" s="17">
        <v>120</v>
      </c>
      <c r="C27" s="17">
        <v>225</v>
      </c>
      <c r="D27" s="17">
        <v>4800</v>
      </c>
      <c r="E27" s="18">
        <v>120</v>
      </c>
      <c r="F27" s="20"/>
      <c r="G27" s="22"/>
      <c r="I27" s="17" t="s">
        <v>722</v>
      </c>
    </row>
    <row r="28" spans="1:9" x14ac:dyDescent="0.25">
      <c r="A28" s="17" t="s">
        <v>672</v>
      </c>
      <c r="B28" s="17">
        <v>120</v>
      </c>
      <c r="C28" s="17">
        <f>IF(OR(Calculator!B3="Low Rank",Calculator!B3="High Rank"),300,200)</f>
        <v>300</v>
      </c>
      <c r="D28" s="17">
        <f>IF(OR(Calculator!B3="Low Rank",Calculator!B3="High Rank"),4800,3840)</f>
        <v>4800</v>
      </c>
      <c r="E28" s="18">
        <f>IF(OR(Calculator!B3="Low Rank",Calculator!B3="High Rank"),240,600)</f>
        <v>240</v>
      </c>
      <c r="F28" s="20"/>
      <c r="G28" s="22"/>
      <c r="I28" s="17" t="s">
        <v>721</v>
      </c>
    </row>
    <row r="29" spans="1:9" x14ac:dyDescent="0.25">
      <c r="A29" s="17" t="s">
        <v>732</v>
      </c>
      <c r="B29" s="17">
        <v>120</v>
      </c>
      <c r="C29" s="17">
        <v>140</v>
      </c>
      <c r="D29" s="17">
        <v>3040</v>
      </c>
      <c r="E29" s="18">
        <v>69</v>
      </c>
      <c r="F29" s="20"/>
      <c r="G29" s="22"/>
      <c r="I29" s="17" t="s">
        <v>799</v>
      </c>
    </row>
    <row r="30" spans="1:9" x14ac:dyDescent="0.25">
      <c r="A30" s="17" t="s">
        <v>735</v>
      </c>
      <c r="B30" s="17">
        <v>150</v>
      </c>
      <c r="C30" s="17">
        <v>400</v>
      </c>
      <c r="D30" s="17">
        <v>4300</v>
      </c>
      <c r="E30" s="18">
        <v>300</v>
      </c>
      <c r="F30" s="20"/>
      <c r="G30" s="22"/>
      <c r="I30" s="17" t="s">
        <v>930</v>
      </c>
    </row>
    <row r="31" spans="1:9" x14ac:dyDescent="0.25">
      <c r="A31" s="17" t="s">
        <v>736</v>
      </c>
      <c r="B31" s="17">
        <v>250</v>
      </c>
      <c r="C31" s="17">
        <v>75</v>
      </c>
      <c r="D31" s="17">
        <v>1000</v>
      </c>
      <c r="E31" s="18">
        <v>600</v>
      </c>
      <c r="F31" s="20"/>
      <c r="G31" s="22"/>
      <c r="I31" s="17" t="s">
        <v>923</v>
      </c>
    </row>
    <row r="32" spans="1:9" x14ac:dyDescent="0.25">
      <c r="A32" s="17" t="s">
        <v>783</v>
      </c>
      <c r="B32" s="17">
        <v>150</v>
      </c>
      <c r="C32" s="17">
        <v>333</v>
      </c>
      <c r="D32" s="17">
        <v>5000</v>
      </c>
      <c r="E32" s="18">
        <v>300</v>
      </c>
      <c r="F32" s="20"/>
      <c r="G32" s="22"/>
      <c r="I32" s="17" t="s">
        <v>963</v>
      </c>
    </row>
    <row r="33" spans="1:9" x14ac:dyDescent="0.25">
      <c r="A33" s="17" t="s">
        <v>834</v>
      </c>
      <c r="B33" s="17">
        <v>999999</v>
      </c>
      <c r="C33" s="17">
        <v>999999</v>
      </c>
      <c r="D33" s="17">
        <v>999999</v>
      </c>
      <c r="E33" s="18">
        <v>1</v>
      </c>
      <c r="F33" s="20"/>
      <c r="G33" s="22"/>
      <c r="I33" s="17" t="s">
        <v>743</v>
      </c>
    </row>
  </sheetData>
  <mergeCells count="2">
    <mergeCell ref="A1:G1"/>
    <mergeCell ref="A20:E2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0905C-2299-4592-A4D1-8B465347AAD5}">
  <sheetPr codeName="Sheet6"/>
  <dimension ref="A1:P737"/>
  <sheetViews>
    <sheetView topLeftCell="A408" zoomScale="85" zoomScaleNormal="85" workbookViewId="0">
      <selection activeCell="A414" sqref="A414:XFD414"/>
    </sheetView>
  </sheetViews>
  <sheetFormatPr defaultRowHeight="15" x14ac:dyDescent="0.25"/>
  <cols>
    <col min="1" max="1" width="42.140625" bestFit="1" customWidth="1"/>
    <col min="2" max="2" width="28" bestFit="1" customWidth="1"/>
    <col min="15" max="15" width="11.85546875" bestFit="1" customWidth="1"/>
    <col min="16" max="16" width="8.85546875" bestFit="1" customWidth="1"/>
  </cols>
  <sheetData>
    <row r="1" spans="1:13" x14ac:dyDescent="0.25">
      <c r="A1" s="52" t="s">
        <v>119</v>
      </c>
      <c r="B1" s="52" t="s">
        <v>115</v>
      </c>
      <c r="C1" s="52" t="s">
        <v>0</v>
      </c>
      <c r="D1" s="52" t="s">
        <v>120</v>
      </c>
      <c r="E1" s="52" t="s">
        <v>121</v>
      </c>
      <c r="F1" s="52" t="s">
        <v>122</v>
      </c>
      <c r="G1" s="52" t="s">
        <v>123</v>
      </c>
      <c r="H1" s="52" t="s">
        <v>124</v>
      </c>
      <c r="I1" s="52" t="s">
        <v>125</v>
      </c>
      <c r="J1" s="52" t="s">
        <v>126</v>
      </c>
      <c r="K1" s="48" t="s">
        <v>515</v>
      </c>
      <c r="L1" s="48" t="s">
        <v>542</v>
      </c>
      <c r="M1" s="48" t="s">
        <v>576</v>
      </c>
    </row>
    <row r="2" spans="1:13" x14ac:dyDescent="0.25">
      <c r="A2" s="6" t="s">
        <v>620</v>
      </c>
      <c r="B2" s="6" t="s">
        <v>539</v>
      </c>
      <c r="C2" s="7">
        <v>60</v>
      </c>
      <c r="D2" s="7">
        <v>60</v>
      </c>
      <c r="E2" s="7">
        <v>60</v>
      </c>
      <c r="F2" s="8">
        <v>20</v>
      </c>
      <c r="G2" s="9">
        <v>20</v>
      </c>
      <c r="H2" s="10">
        <v>20</v>
      </c>
      <c r="I2" s="11">
        <v>20</v>
      </c>
      <c r="J2" s="12">
        <v>20</v>
      </c>
      <c r="K2" s="6" t="str">
        <f>IF(A2=Calculator!B4,1,"")</f>
        <v/>
      </c>
      <c r="L2" s="6" t="s">
        <v>542</v>
      </c>
      <c r="M2" s="6" t="b">
        <v>1</v>
      </c>
    </row>
    <row r="3" spans="1:13" x14ac:dyDescent="0.25">
      <c r="A3" s="6" t="s">
        <v>184</v>
      </c>
      <c r="B3" s="6" t="s">
        <v>184</v>
      </c>
      <c r="C3" s="7">
        <v>80</v>
      </c>
      <c r="D3" s="7">
        <v>80</v>
      </c>
      <c r="E3" s="7">
        <v>80</v>
      </c>
      <c r="F3" s="8">
        <v>30</v>
      </c>
      <c r="G3" s="9">
        <v>30</v>
      </c>
      <c r="H3" s="10">
        <v>30</v>
      </c>
      <c r="I3" s="11">
        <v>30</v>
      </c>
      <c r="J3" s="12">
        <v>30</v>
      </c>
      <c r="K3" s="6" t="str">
        <f>IF(A3=Calculator!B4,1+MAX(K2:K2),"")</f>
        <v/>
      </c>
      <c r="L3" s="6" t="s">
        <v>542</v>
      </c>
      <c r="M3" s="6"/>
    </row>
    <row r="4" spans="1:13" x14ac:dyDescent="0.25">
      <c r="A4" s="6" t="s">
        <v>514</v>
      </c>
      <c r="B4" s="6" t="s">
        <v>502</v>
      </c>
      <c r="C4" s="7">
        <f>IF(OR(Calculator!B3="Low Rank",Calculator!B3="High Rank"),IF(Calculator!B8=FALSE,80,85),IF(Calculator!B8=FALSE,65,73))</f>
        <v>80</v>
      </c>
      <c r="D4" s="7">
        <f>IF(OR(Calculator!B3="Low Rank",Calculator!B3="High Rank"),IF(Calculator!B8=FALSE,85,88),IF(Calculator!B8=FALSE,70,77))</f>
        <v>85</v>
      </c>
      <c r="E4" s="7">
        <f>IF(OR(Calculator!B3="Low Rank",Calculator!B3="High Rank"),IF(Calculator!B8=FALSE,75,81),IF(Calculator!B8=FALSE,60,70))</f>
        <v>75</v>
      </c>
      <c r="F4" s="7">
        <v>30</v>
      </c>
      <c r="G4" s="7">
        <v>0</v>
      </c>
      <c r="H4" s="7">
        <v>20</v>
      </c>
      <c r="I4" s="7">
        <v>15</v>
      </c>
      <c r="J4" s="7">
        <v>10</v>
      </c>
      <c r="K4" s="6">
        <f>IF(A4=Calculator!B4,1+MAX(K3:K3),"")</f>
        <v>1</v>
      </c>
      <c r="L4" s="6" t="s">
        <v>542</v>
      </c>
      <c r="M4" s="6" t="b">
        <v>1</v>
      </c>
    </row>
    <row r="5" spans="1:13" x14ac:dyDescent="0.25">
      <c r="A5" s="6" t="s">
        <v>514</v>
      </c>
      <c r="B5" s="6" t="s">
        <v>528</v>
      </c>
      <c r="C5" s="7">
        <f>IF(OR(Calculator!B3="Low Rank",Calculator!B3="High Rank"),IF(Calculator!B8=FALSE,65,73),IF(Calculator!B8=FALSE,50,62))</f>
        <v>65</v>
      </c>
      <c r="D5" s="7">
        <f>IF(OR(Calculator!B3="Low Rank",Calculator!B3="High Rank"),IF(Calculator!B8=FALSE,70,77),IF(Calculator!B8=FALSE,55,66))</f>
        <v>70</v>
      </c>
      <c r="E5" s="7">
        <f>IF(OR(Calculator!B3="Low Rank",Calculator!B3="High Rank"),IF(Calculator!B8=FALSE,60,70),IF(Calculator!B8=FALSE,45,58))</f>
        <v>60</v>
      </c>
      <c r="F5" s="7">
        <v>20</v>
      </c>
      <c r="G5" s="7">
        <v>0</v>
      </c>
      <c r="H5" s="7">
        <v>10</v>
      </c>
      <c r="I5" s="7">
        <v>5</v>
      </c>
      <c r="J5" s="7">
        <v>5</v>
      </c>
      <c r="K5" s="6">
        <f>IF(A5=Calculator!B4,1+MAX(K4:K4),"")</f>
        <v>2</v>
      </c>
      <c r="L5" s="6"/>
      <c r="M5" s="6" t="b">
        <v>1</v>
      </c>
    </row>
    <row r="6" spans="1:13" x14ac:dyDescent="0.25">
      <c r="A6" s="6" t="s">
        <v>514</v>
      </c>
      <c r="B6" s="6" t="s">
        <v>529</v>
      </c>
      <c r="C6" s="7">
        <f>IF(Calculator!B8=FALSE,50,62)</f>
        <v>50</v>
      </c>
      <c r="D6" s="7">
        <f>IF(Calculator!B8=FALSE,45,58)</f>
        <v>45</v>
      </c>
      <c r="E6" s="7">
        <f>IF(Calculator!B8=FALSE,40,55)</f>
        <v>40</v>
      </c>
      <c r="F6" s="7">
        <v>20</v>
      </c>
      <c r="G6" s="7">
        <v>0</v>
      </c>
      <c r="H6" s="7">
        <v>10</v>
      </c>
      <c r="I6" s="7">
        <v>5</v>
      </c>
      <c r="J6" s="7">
        <v>0</v>
      </c>
      <c r="K6" s="6">
        <f>IF(A6=Calculator!B4,1+MAX(K5:K5),"")</f>
        <v>3</v>
      </c>
      <c r="L6" s="6"/>
      <c r="M6" s="6" t="b">
        <v>1</v>
      </c>
    </row>
    <row r="7" spans="1:13" x14ac:dyDescent="0.25">
      <c r="A7" s="6" t="s">
        <v>514</v>
      </c>
      <c r="B7" s="6" t="s">
        <v>530</v>
      </c>
      <c r="C7" s="7">
        <f>IF(Calculator!B8=FALSE,45,58)</f>
        <v>45</v>
      </c>
      <c r="D7" s="7">
        <f>IF(Calculator!B8=FALSE,40,55)</f>
        <v>40</v>
      </c>
      <c r="E7" s="7">
        <f>IF(Calculator!B8=FALSE,35,51)</f>
        <v>35</v>
      </c>
      <c r="F7" s="7">
        <v>15</v>
      </c>
      <c r="G7" s="7">
        <v>0</v>
      </c>
      <c r="H7" s="7">
        <v>5</v>
      </c>
      <c r="I7" s="7">
        <v>5</v>
      </c>
      <c r="J7" s="7">
        <v>0</v>
      </c>
      <c r="K7" s="6">
        <f>IF(A7=Calculator!B4,1+MAX(K6:K6),"")</f>
        <v>4</v>
      </c>
      <c r="L7" s="6"/>
      <c r="M7" s="6" t="b">
        <v>1</v>
      </c>
    </row>
    <row r="8" spans="1:13" x14ac:dyDescent="0.25">
      <c r="A8" s="6" t="s">
        <v>514</v>
      </c>
      <c r="B8" s="6" t="s">
        <v>531</v>
      </c>
      <c r="C8" s="7">
        <f>IF(OR(Calculator!B3="Low Rank",Calculator!B3="High Rank"),IF(Calculator!B8=FALSE,65,73),IF(Calculator!B8=FALSE,50,62))</f>
        <v>65</v>
      </c>
      <c r="D8" s="7">
        <f>IF(OR(Calculator!B3="Low Rank",Calculator!B3="High Rank"),IF(Calculator!B8=FALSE,60,70),IF(Calculator!B8=FALSE,45,58))</f>
        <v>60</v>
      </c>
      <c r="E8" s="7">
        <f>IF(OR(Calculator!B3="Low Rank",Calculator!B3="High Rank"),IF(Calculator!B8=FALSE,55,66),IF(Calculator!B8=FALSE,45,58))</f>
        <v>55</v>
      </c>
      <c r="F8" s="7">
        <v>25</v>
      </c>
      <c r="G8" s="7">
        <v>0</v>
      </c>
      <c r="H8" s="7">
        <v>15</v>
      </c>
      <c r="I8" s="7">
        <v>10</v>
      </c>
      <c r="J8" s="7">
        <v>5</v>
      </c>
      <c r="K8" s="6">
        <f>IF(A8=Calculator!B4,1+MAX(K7:K7),"")</f>
        <v>5</v>
      </c>
      <c r="L8" s="6"/>
      <c r="M8" s="6" t="b">
        <v>1</v>
      </c>
    </row>
    <row r="9" spans="1:13" x14ac:dyDescent="0.25">
      <c r="A9" s="6" t="s">
        <v>514</v>
      </c>
      <c r="B9" s="6" t="s">
        <v>532</v>
      </c>
      <c r="C9" s="7">
        <v>45</v>
      </c>
      <c r="D9" s="7">
        <v>40</v>
      </c>
      <c r="E9" s="7">
        <v>35</v>
      </c>
      <c r="F9" s="7">
        <v>15</v>
      </c>
      <c r="G9" s="7">
        <v>0</v>
      </c>
      <c r="H9" s="7">
        <v>5</v>
      </c>
      <c r="I9" s="7">
        <v>0</v>
      </c>
      <c r="J9" s="7">
        <v>0</v>
      </c>
      <c r="K9" s="6">
        <f>IF(A9=Calculator!B4,1+MAX(K8:K8),"")</f>
        <v>6</v>
      </c>
      <c r="L9" s="6"/>
      <c r="M9" s="6"/>
    </row>
    <row r="10" spans="1:13" x14ac:dyDescent="0.25">
      <c r="A10" s="6" t="s">
        <v>514</v>
      </c>
      <c r="B10" s="6" t="s">
        <v>533</v>
      </c>
      <c r="C10" s="7">
        <v>45</v>
      </c>
      <c r="D10" s="7">
        <v>45</v>
      </c>
      <c r="E10" s="7">
        <v>40</v>
      </c>
      <c r="F10" s="7">
        <v>15</v>
      </c>
      <c r="G10" s="7">
        <v>0</v>
      </c>
      <c r="H10" s="7">
        <v>5</v>
      </c>
      <c r="I10" s="7">
        <v>0</v>
      </c>
      <c r="J10" s="7">
        <v>0</v>
      </c>
      <c r="K10" s="6">
        <f>IF(A10=Calculator!B4,1+MAX(K9:K9),"")</f>
        <v>7</v>
      </c>
      <c r="L10" s="6"/>
      <c r="M10" s="6"/>
    </row>
    <row r="11" spans="1:13" x14ac:dyDescent="0.25">
      <c r="A11" s="6" t="s">
        <v>514</v>
      </c>
      <c r="B11" s="6" t="s">
        <v>534</v>
      </c>
      <c r="C11" s="7">
        <f>IF(OR(Calculator!B3="Low Rank",Calculator!B3="High Rank"),IF(Calculator!B8=FALSE,90,92),IF(Calculator!B8=FALSE,70,77))</f>
        <v>90</v>
      </c>
      <c r="D11" s="7">
        <f>IF(OR(Calculator!B3="Low Rank",Calculator!B3="High Rank"),IF(Calculator!B8=FALSE,95,96),IF(Calculator!B8=FALSE,75,81))</f>
        <v>95</v>
      </c>
      <c r="E11" s="7">
        <f>IF(OR(Calculator!B3="Low Rank",Calculator!B3="High Rank"),IF(Calculator!B8=FALSE,85,88),IF(Calculator!B8=FALSE,65,73))</f>
        <v>85</v>
      </c>
      <c r="F11" s="7">
        <v>30</v>
      </c>
      <c r="G11" s="7">
        <v>0</v>
      </c>
      <c r="H11" s="7">
        <v>20</v>
      </c>
      <c r="I11" s="7">
        <v>15</v>
      </c>
      <c r="J11" s="7">
        <v>10</v>
      </c>
      <c r="K11" s="6">
        <f>IF(A11=Calculator!B4,1+MAX(K10:K10),"")</f>
        <v>8</v>
      </c>
      <c r="L11" s="6"/>
      <c r="M11" s="6" t="b">
        <v>1</v>
      </c>
    </row>
    <row r="12" spans="1:13" x14ac:dyDescent="0.25">
      <c r="A12" s="6" t="s">
        <v>516</v>
      </c>
      <c r="B12" s="6" t="s">
        <v>502</v>
      </c>
      <c r="C12" s="7">
        <f>IF(OR(Calculator!B3="Low Rank",Calculator!B3="High Rank"),IF(Calculator!B8=FALSE,85,88),IF(Calculator!B8=FALSE,68,76))</f>
        <v>85</v>
      </c>
      <c r="D12" s="7">
        <f>IF(OR(Calculator!B3="Low Rank",Calculator!B3="High Rank"),IF(Calculator!B8=FALSE,85,88),IF(Calculator!B8=FALSE,68,76))</f>
        <v>85</v>
      </c>
      <c r="E12" s="7">
        <f>IF(OR(Calculator!B3="Low Rank",Calculator!B3="High Rank"),IF(Calculator!B8=FALSE,75,81),IF(Calculator!B8=FALSE,60,70))</f>
        <v>75</v>
      </c>
      <c r="F12" s="7">
        <v>15</v>
      </c>
      <c r="G12" s="7">
        <v>20</v>
      </c>
      <c r="H12" s="7">
        <v>15</v>
      </c>
      <c r="I12" s="7">
        <v>15</v>
      </c>
      <c r="J12" s="7">
        <v>15</v>
      </c>
      <c r="K12" s="6" t="str">
        <f>IF(A12=Calculator!B4,1+MAX(K11:K11),"")</f>
        <v/>
      </c>
      <c r="L12" s="6" t="s">
        <v>542</v>
      </c>
      <c r="M12" s="6" t="b">
        <v>1</v>
      </c>
    </row>
    <row r="13" spans="1:13" x14ac:dyDescent="0.25">
      <c r="A13" s="6" t="s">
        <v>516</v>
      </c>
      <c r="B13" s="6" t="s">
        <v>535</v>
      </c>
      <c r="C13" s="7">
        <f>IF(OR(Calculator!B3="Low Rank",Calculator!B3="High Rank"),IF(Calculator!B8=FALSE,65,73),IF(Calculator!B8=FALSE,52,64))</f>
        <v>65</v>
      </c>
      <c r="D13" s="7">
        <f>IF(OR(Calculator!B3="Low Rank",Calculator!B3="High Rank"),IF(Calculator!B8=FALSE,70,77),IF(Calculator!B8=FALSE,56,67))</f>
        <v>70</v>
      </c>
      <c r="E13" s="7">
        <f>IF(OR(Calculator!B3="Low Rank",Calculator!B3="High Rank"),IF(Calculator!B8=FALSE,55,66),IF(Calculator!B8=FALSE,45,58))</f>
        <v>55</v>
      </c>
      <c r="F13" s="7">
        <v>15</v>
      </c>
      <c r="G13" s="7">
        <v>20</v>
      </c>
      <c r="H13" s="7">
        <v>15</v>
      </c>
      <c r="I13" s="7">
        <v>15</v>
      </c>
      <c r="J13" s="7">
        <v>15</v>
      </c>
      <c r="K13" s="6" t="str">
        <f>IF(A13=Calculator!B4,1+MAX(K12:K12),"")</f>
        <v/>
      </c>
      <c r="L13" s="6"/>
      <c r="M13" s="6" t="b">
        <v>1</v>
      </c>
    </row>
    <row r="14" spans="1:13" x14ac:dyDescent="0.25">
      <c r="A14" s="6" t="s">
        <v>516</v>
      </c>
      <c r="B14" s="6" t="s">
        <v>529</v>
      </c>
      <c r="C14" s="7">
        <f>IF(Calculator!B8=FALSE,45,58)</f>
        <v>45</v>
      </c>
      <c r="D14" s="7">
        <f>IF(Calculator!B8=FALSE,45,58)</f>
        <v>45</v>
      </c>
      <c r="E14" s="7">
        <f>IF(Calculator!B8=FALSE,40,55)</f>
        <v>40</v>
      </c>
      <c r="F14" s="7">
        <v>15</v>
      </c>
      <c r="G14" s="7">
        <v>20</v>
      </c>
      <c r="H14" s="7">
        <v>15</v>
      </c>
      <c r="I14" s="7">
        <v>15</v>
      </c>
      <c r="J14" s="7">
        <v>15</v>
      </c>
      <c r="K14" s="6" t="str">
        <f>IF(A14=Calculator!B4,1+MAX(K13:K13),"")</f>
        <v/>
      </c>
      <c r="L14" s="6"/>
      <c r="M14" s="6" t="b">
        <v>1</v>
      </c>
    </row>
    <row r="15" spans="1:13" x14ac:dyDescent="0.25">
      <c r="A15" s="6" t="s">
        <v>516</v>
      </c>
      <c r="B15" s="6" t="s">
        <v>533</v>
      </c>
      <c r="C15" s="7">
        <v>55</v>
      </c>
      <c r="D15" s="7">
        <v>50</v>
      </c>
      <c r="E15" s="7">
        <v>35</v>
      </c>
      <c r="F15" s="7">
        <v>15</v>
      </c>
      <c r="G15" s="7">
        <v>20</v>
      </c>
      <c r="H15" s="7">
        <v>15</v>
      </c>
      <c r="I15" s="7">
        <v>15</v>
      </c>
      <c r="J15" s="7">
        <v>15</v>
      </c>
      <c r="K15" s="6" t="str">
        <f>IF(A15=Calculator!B4,1+MAX(K14:K14),"")</f>
        <v/>
      </c>
      <c r="L15" s="6"/>
      <c r="M15" s="6"/>
    </row>
    <row r="16" spans="1:13" x14ac:dyDescent="0.25">
      <c r="A16" s="6" t="s">
        <v>516</v>
      </c>
      <c r="B16" s="6" t="s">
        <v>536</v>
      </c>
      <c r="C16" s="7">
        <v>5</v>
      </c>
      <c r="D16" s="7">
        <v>5</v>
      </c>
      <c r="E16" s="7">
        <v>5</v>
      </c>
      <c r="F16" s="7">
        <v>5</v>
      </c>
      <c r="G16" s="7">
        <v>20</v>
      </c>
      <c r="H16" s="7">
        <v>5</v>
      </c>
      <c r="I16" s="7">
        <v>5</v>
      </c>
      <c r="J16" s="7">
        <v>5</v>
      </c>
      <c r="K16" s="6" t="str">
        <f>IF(A16=Calculator!B4,1+MAX(K15:K15),"")</f>
        <v/>
      </c>
      <c r="L16" s="6"/>
      <c r="M16" s="6"/>
    </row>
    <row r="17" spans="1:13" x14ac:dyDescent="0.25">
      <c r="A17" s="6" t="s">
        <v>517</v>
      </c>
      <c r="B17" s="6" t="s">
        <v>502</v>
      </c>
      <c r="C17" s="7">
        <f>IF(OR(Calculator!B3="Low Rank",Calculator!B3="High Rank"),IF(Calculator!B8=FALSE,75,81),IF(Calculator!B8=FALSE,60,70))</f>
        <v>75</v>
      </c>
      <c r="D17" s="7">
        <f>IF(OR(Calculator!B3="Low Rank",Calculator!B3="High Rank"),IF(Calculator!B8=FALSE,80,85),IF(Calculator!B8=FALSE,64,73))</f>
        <v>80</v>
      </c>
      <c r="E17" s="7">
        <f>IF(OR(Calculator!B3="Low Rank",Calculator!B3="High Rank"),IF(Calculator!B8=FALSE,70,77),IF(Calculator!B8=FALSE,56,67))</f>
        <v>70</v>
      </c>
      <c r="F17" s="7">
        <v>15</v>
      </c>
      <c r="G17" s="7">
        <v>0</v>
      </c>
      <c r="H17" s="7">
        <v>30</v>
      </c>
      <c r="I17" s="7">
        <v>20</v>
      </c>
      <c r="J17" s="7">
        <v>10</v>
      </c>
      <c r="K17" s="6" t="str">
        <f>IF(A17=Calculator!B4,1+MAX(K16:K16),"")</f>
        <v/>
      </c>
      <c r="L17" s="6" t="s">
        <v>542</v>
      </c>
      <c r="M17" s="6" t="b">
        <v>1</v>
      </c>
    </row>
    <row r="18" spans="1:13" x14ac:dyDescent="0.25">
      <c r="A18" s="6" t="s">
        <v>517</v>
      </c>
      <c r="B18" s="6" t="s">
        <v>547</v>
      </c>
      <c r="C18" s="7">
        <f>IF(OR(Calculator!B3="Low Rank",Calculator!B3="High Rank"),80,76)</f>
        <v>80</v>
      </c>
      <c r="D18" s="7">
        <f>IF(OR(Calculator!B3="Low Rank",Calculator!B3="High Rank"),80,72)</f>
        <v>80</v>
      </c>
      <c r="E18" s="7">
        <f>IF(OR(Calculator!B3="Low Rank",Calculator!B3="High Rank"),75,68)</f>
        <v>75</v>
      </c>
      <c r="F18" s="7">
        <v>15</v>
      </c>
      <c r="G18" s="7">
        <v>0</v>
      </c>
      <c r="H18" s="7">
        <v>30</v>
      </c>
      <c r="I18" s="7">
        <v>20</v>
      </c>
      <c r="J18" s="7">
        <v>10</v>
      </c>
      <c r="K18" s="6" t="str">
        <f>IF(A18=Calculator!B4,1+MAX(K17:K17),"")</f>
        <v/>
      </c>
      <c r="L18" s="6"/>
      <c r="M18" s="6"/>
    </row>
    <row r="19" spans="1:13" x14ac:dyDescent="0.25">
      <c r="A19" s="6" t="s">
        <v>517</v>
      </c>
      <c r="B19" s="6" t="s">
        <v>528</v>
      </c>
      <c r="C19" s="7">
        <f>IF(Calculator!B8=FALSE,40,55)</f>
        <v>40</v>
      </c>
      <c r="D19" s="7">
        <f>IF(Calculator!B8=FALSE,35,51)</f>
        <v>35</v>
      </c>
      <c r="E19" s="7">
        <f>IF(Calculator!B8=FALSE,30,47)</f>
        <v>30</v>
      </c>
      <c r="F19" s="7">
        <v>5</v>
      </c>
      <c r="G19" s="7">
        <v>0</v>
      </c>
      <c r="H19" s="7">
        <v>20</v>
      </c>
      <c r="I19" s="7">
        <v>10</v>
      </c>
      <c r="J19" s="7">
        <v>5</v>
      </c>
      <c r="K19" s="6" t="str">
        <f>IF(A19=Calculator!B4,1+MAX(K18:K18),"")</f>
        <v/>
      </c>
      <c r="L19" s="6"/>
      <c r="M19" s="6" t="b">
        <v>1</v>
      </c>
    </row>
    <row r="20" spans="1:13" x14ac:dyDescent="0.25">
      <c r="A20" s="6" t="s">
        <v>517</v>
      </c>
      <c r="B20" s="6" t="s">
        <v>529</v>
      </c>
      <c r="C20" s="7">
        <v>35</v>
      </c>
      <c r="D20" s="7">
        <v>35</v>
      </c>
      <c r="E20" s="7">
        <v>30</v>
      </c>
      <c r="F20" s="7">
        <v>0</v>
      </c>
      <c r="G20" s="7">
        <v>0</v>
      </c>
      <c r="H20" s="7">
        <v>15</v>
      </c>
      <c r="I20" s="7">
        <v>5</v>
      </c>
      <c r="J20" s="7">
        <v>5</v>
      </c>
      <c r="K20" s="6" t="str">
        <f>IF(A20=Calculator!B4,1+MAX(K19:K19),"")</f>
        <v/>
      </c>
      <c r="L20" s="6"/>
      <c r="M20" s="6"/>
    </row>
    <row r="21" spans="1:13" x14ac:dyDescent="0.25">
      <c r="A21" s="6" t="s">
        <v>517</v>
      </c>
      <c r="B21" s="6" t="s">
        <v>548</v>
      </c>
      <c r="C21" s="7">
        <f>IF(Calculator!B8=FALSE,50,62)</f>
        <v>50</v>
      </c>
      <c r="D21" s="7">
        <f>IF(Calculator!B8=FALSE,45,58)</f>
        <v>45</v>
      </c>
      <c r="E21" s="7">
        <f>IF(Calculator!B8=FALSE,40,55)</f>
        <v>40</v>
      </c>
      <c r="F21" s="7">
        <v>10</v>
      </c>
      <c r="G21" s="7">
        <v>0</v>
      </c>
      <c r="H21" s="7">
        <v>25</v>
      </c>
      <c r="I21" s="7">
        <v>15</v>
      </c>
      <c r="J21" s="7">
        <v>5</v>
      </c>
      <c r="K21" s="6" t="str">
        <f>IF(A21=Calculator!B4,1+MAX(K20:K20),"")</f>
        <v/>
      </c>
      <c r="L21" s="6"/>
      <c r="M21" s="6" t="b">
        <v>1</v>
      </c>
    </row>
    <row r="22" spans="1:13" x14ac:dyDescent="0.25">
      <c r="A22" s="6" t="s">
        <v>517</v>
      </c>
      <c r="B22" s="6" t="s">
        <v>505</v>
      </c>
      <c r="C22" s="7">
        <f>IF(OR(Calculator!B3="Low Rank",Calculator!B3="High Rank"),IF(Calculator!B8=FALSE,45,58),IF(Calculator!B8=FALSE,23,42))</f>
        <v>45</v>
      </c>
      <c r="D22" s="7">
        <f>IF(OR(Calculator!B3="Low Rank",Calculator!B3="High Rank"),IF(Calculator!B8=FALSE,45,58),IF(Calculator!B8=FALSE,23,42))</f>
        <v>45</v>
      </c>
      <c r="E22" s="7">
        <f>IF(OR(Calculator!B3="Low Rank",Calculator!B3="High Rank"),IF(Calculator!B8=FALSE,40,55),IF(Calculator!B8=FALSE,20,40))</f>
        <v>40</v>
      </c>
      <c r="F22" s="7">
        <v>0</v>
      </c>
      <c r="G22" s="7">
        <v>0</v>
      </c>
      <c r="H22" s="7">
        <v>15</v>
      </c>
      <c r="I22" s="7">
        <v>5</v>
      </c>
      <c r="J22" s="7">
        <v>0</v>
      </c>
      <c r="K22" s="6" t="str">
        <f>IF(A22=Calculator!B4,1+MAX(K21:K21),"")</f>
        <v/>
      </c>
      <c r="L22" s="6"/>
      <c r="M22" s="6" t="b">
        <v>1</v>
      </c>
    </row>
    <row r="23" spans="1:13" x14ac:dyDescent="0.25">
      <c r="A23" s="6" t="s">
        <v>517</v>
      </c>
      <c r="B23" s="6" t="s">
        <v>533</v>
      </c>
      <c r="C23" s="7">
        <f>IF(Calculator!B8=FALSE,55,66)</f>
        <v>55</v>
      </c>
      <c r="D23" s="7">
        <f>IF(Calculator!B8=FALSE,50,62)</f>
        <v>50</v>
      </c>
      <c r="E23" s="7">
        <f>IF(Calculator!B8=FALSE,45,58)</f>
        <v>45</v>
      </c>
      <c r="F23" s="7">
        <v>10</v>
      </c>
      <c r="G23" s="7">
        <v>0</v>
      </c>
      <c r="H23" s="7">
        <v>25</v>
      </c>
      <c r="I23" s="7">
        <v>15</v>
      </c>
      <c r="J23" s="7">
        <v>5</v>
      </c>
      <c r="K23" s="6" t="str">
        <f>IF(A23=Calculator!B4,1+MAX(K22:K22),"")</f>
        <v/>
      </c>
      <c r="L23" s="6"/>
      <c r="M23" s="6" t="b">
        <v>1</v>
      </c>
    </row>
    <row r="24" spans="1:13" x14ac:dyDescent="0.25">
      <c r="A24" s="6" t="s">
        <v>518</v>
      </c>
      <c r="B24" s="6" t="s">
        <v>502</v>
      </c>
      <c r="C24" s="7">
        <f>IF(OR(Calculator!B3="Low Rank",Calculator!B3="High Rank"),IF(Calculator!B8=FALSE,22,41),IF(Calculator!B8=FALSE,20,40))</f>
        <v>22</v>
      </c>
      <c r="D24" s="7">
        <f>IF(OR(Calculator!B3="Low Rank",Calculator!B3="High Rank"),IF(Calculator!B8=FALSE,25,43),IF(Calculator!B8=FALSE,22,41))</f>
        <v>25</v>
      </c>
      <c r="E24" s="7">
        <f>IF(Calculator!B8=FALSE,10,32)</f>
        <v>10</v>
      </c>
      <c r="F24" s="7">
        <v>20</v>
      </c>
      <c r="G24" s="7">
        <v>0</v>
      </c>
      <c r="H24" s="7">
        <v>0</v>
      </c>
      <c r="I24" s="7">
        <v>15</v>
      </c>
      <c r="J24" s="7">
        <v>10</v>
      </c>
      <c r="K24" s="6" t="str">
        <f>IF(A24=Calculator!B4,1+MAX(K23:K23),"")</f>
        <v/>
      </c>
      <c r="L24" s="6"/>
      <c r="M24" s="6" t="b">
        <v>1</v>
      </c>
    </row>
    <row r="25" spans="1:13" x14ac:dyDescent="0.25">
      <c r="A25" s="6" t="s">
        <v>518</v>
      </c>
      <c r="B25" s="6" t="s">
        <v>550</v>
      </c>
      <c r="C25" s="7">
        <f>IF(OR(Calculator!B3="Low Rank",Calculator!B3="High Rank"),IF(Calculator!B8=FALSE,20,40),IF(Calculator!B8=FALSE,19,39))</f>
        <v>20</v>
      </c>
      <c r="D25" s="7">
        <f>IF(OR(Calculator!B3="Low Rank",Calculator!B3="High Rank"),IF(Calculator!B8=FALSE,24,43),IF(Calculator!B8=FALSE,23,42))</f>
        <v>24</v>
      </c>
      <c r="E25" s="7">
        <f>IF(OR(Calculator!B3="Low Rank",Calculator!B3="High Rank"),IF(Calculator!B8=FALSE,9,31),IF(Calculator!B8=FALSE,8,31))</f>
        <v>9</v>
      </c>
      <c r="F25" s="7">
        <v>0</v>
      </c>
      <c r="G25" s="7">
        <v>80</v>
      </c>
      <c r="H25" s="7">
        <v>0</v>
      </c>
      <c r="I25" s="7">
        <v>15</v>
      </c>
      <c r="J25" s="7">
        <v>10</v>
      </c>
      <c r="K25" s="6" t="str">
        <f>IF(A25=Calculator!B4,1+MAX(K24:K24),"")</f>
        <v/>
      </c>
      <c r="L25" s="6"/>
      <c r="M25" s="6" t="b">
        <v>1</v>
      </c>
    </row>
    <row r="26" spans="1:13" x14ac:dyDescent="0.25">
      <c r="A26" s="6" t="s">
        <v>518</v>
      </c>
      <c r="B26" s="6" t="s">
        <v>529</v>
      </c>
      <c r="C26" s="7">
        <v>46</v>
      </c>
      <c r="D26" s="7">
        <v>46</v>
      </c>
      <c r="E26" s="7">
        <v>50</v>
      </c>
      <c r="F26" s="7">
        <v>20</v>
      </c>
      <c r="G26" s="7">
        <v>0</v>
      </c>
      <c r="H26" s="7">
        <v>0</v>
      </c>
      <c r="I26" s="7">
        <v>10</v>
      </c>
      <c r="J26" s="7">
        <v>5</v>
      </c>
      <c r="K26" s="6" t="str">
        <f>IF(A26=Calculator!B4,1+MAX(K25:K25),"")</f>
        <v/>
      </c>
      <c r="L26" s="6"/>
      <c r="M26" s="6"/>
    </row>
    <row r="27" spans="1:13" x14ac:dyDescent="0.25">
      <c r="A27" s="6" t="s">
        <v>518</v>
      </c>
      <c r="B27" s="6" t="s">
        <v>551</v>
      </c>
      <c r="C27" s="7">
        <f>IF(OR(Calculator!B3="Low Rank",Calculator!B3="High Rank"),24,20)</f>
        <v>24</v>
      </c>
      <c r="D27" s="7">
        <f>IF(OR(Calculator!B3="Low Rank",Calculator!B3="High Rank"),24,20)</f>
        <v>24</v>
      </c>
      <c r="E27" s="7">
        <f>IF(OR(Calculator!B3="Low Rank",Calculator!B3="High Rank"),20,18)</f>
        <v>20</v>
      </c>
      <c r="F27" s="7">
        <v>0</v>
      </c>
      <c r="G27" s="7">
        <v>80</v>
      </c>
      <c r="H27" s="7">
        <v>0</v>
      </c>
      <c r="I27" s="7">
        <v>15</v>
      </c>
      <c r="J27" s="7">
        <v>10</v>
      </c>
      <c r="K27" s="6" t="str">
        <f>IF(A27=Calculator!B4,1+MAX(K26:K26),"")</f>
        <v/>
      </c>
      <c r="L27" s="6"/>
      <c r="M27" s="6"/>
    </row>
    <row r="28" spans="1:13" x14ac:dyDescent="0.25">
      <c r="A28" s="6" t="s">
        <v>518</v>
      </c>
      <c r="B28" s="6" t="s">
        <v>504</v>
      </c>
      <c r="C28" s="7">
        <f>IF(OR(Calculator!B3="Low Rank",Calculator!B3="High Rank"),IF(Calculator!B8=FALSE,80,85),IF(Calculator!B8=FALSE,65,73))</f>
        <v>80</v>
      </c>
      <c r="D28" s="7">
        <f>IF(OR(Calculator!B3="Low Rank",Calculator!B3="High Rank"),IF(Calculator!B8=FALSE,85,88),IF(Calculator!B8=FALSE,70,77))</f>
        <v>85</v>
      </c>
      <c r="E28" s="7">
        <f>IF(OR(Calculator!B3="Low Rank",Calculator!B3="High Rank"),IF(Calculator!B8=FALSE,75,81),IF(Calculator!B8=FALSE,60,70))</f>
        <v>75</v>
      </c>
      <c r="F28" s="7">
        <v>30</v>
      </c>
      <c r="G28" s="7">
        <v>0</v>
      </c>
      <c r="H28" s="7">
        <v>0</v>
      </c>
      <c r="I28" s="7">
        <v>10</v>
      </c>
      <c r="J28" s="7">
        <v>5</v>
      </c>
      <c r="K28" s="6" t="str">
        <f>IF(A28=Calculator!B4,1+MAX(K27:K27),"")</f>
        <v/>
      </c>
      <c r="L28" s="6" t="s">
        <v>542</v>
      </c>
      <c r="M28" s="6" t="b">
        <v>1</v>
      </c>
    </row>
    <row r="29" spans="1:13" x14ac:dyDescent="0.25">
      <c r="A29" s="6" t="s">
        <v>518</v>
      </c>
      <c r="B29" s="6" t="s">
        <v>552</v>
      </c>
      <c r="C29" s="7">
        <f>IF(OR(Calculator!B3="Low Rank",Calculator!B3="High Rank"),IF(Calculator!B8=FALSE,35,51),IF(Calculator!B8=FALSE,33,49))</f>
        <v>35</v>
      </c>
      <c r="D29" s="7">
        <f>IF(OR(Calculator!B3="Low Rank",Calculator!B3="High Rank"),IF(Calculator!B8=FALSE,38,53),IF(Calculator!B8=FALSE,36,52))</f>
        <v>38</v>
      </c>
      <c r="E29" s="7">
        <f>IF(OR(Calculator!B3="Low Rank",Calculator!B3="High Rank"),IF(Calculator!B8=FALSE,30,47),IF(Calculator!B8=FALSE,28,46))</f>
        <v>30</v>
      </c>
      <c r="F29" s="7">
        <v>0</v>
      </c>
      <c r="G29" s="7">
        <v>80</v>
      </c>
      <c r="H29" s="7">
        <v>0</v>
      </c>
      <c r="I29" s="7">
        <v>15</v>
      </c>
      <c r="J29" s="7">
        <v>10</v>
      </c>
      <c r="K29" s="6" t="str">
        <f>IF(A29=Calculator!B4,1+MAX(K28:K28),"")</f>
        <v/>
      </c>
      <c r="L29" s="6"/>
      <c r="M29" s="6" t="b">
        <v>1</v>
      </c>
    </row>
    <row r="30" spans="1:13" x14ac:dyDescent="0.25">
      <c r="A30" s="6" t="s">
        <v>518</v>
      </c>
      <c r="B30" s="6" t="s">
        <v>505</v>
      </c>
      <c r="C30" s="7">
        <f>IF(OR(Calculator!B3="Low Rank",Calculator!B3="High Rank"),IF(Calculator!B8=FALSE,40,55),IF(Calculator!B8=FALSE,36,52))</f>
        <v>40</v>
      </c>
      <c r="D30" s="7">
        <f>IF(Calculator!B8=FALSE,35,51)</f>
        <v>35</v>
      </c>
      <c r="E30" s="7">
        <f>IF(Calculator!B8=FALSE,25,43)</f>
        <v>25</v>
      </c>
      <c r="F30" s="7">
        <v>20</v>
      </c>
      <c r="G30" s="7">
        <v>0</v>
      </c>
      <c r="H30" s="7">
        <v>0</v>
      </c>
      <c r="I30" s="7">
        <v>10</v>
      </c>
      <c r="J30" s="7">
        <v>5</v>
      </c>
      <c r="K30" s="6" t="str">
        <f>IF(A30=Calculator!B4,1+MAX(K29:K29),"")</f>
        <v/>
      </c>
      <c r="L30" s="6"/>
      <c r="M30" s="6" t="b">
        <v>1</v>
      </c>
    </row>
    <row r="31" spans="1:13" x14ac:dyDescent="0.25">
      <c r="A31" s="6" t="s">
        <v>518</v>
      </c>
      <c r="B31" s="6" t="s">
        <v>553</v>
      </c>
      <c r="C31" s="7">
        <f>IF(OR(Calculator!B3="Low Rank",Calculator!B3="High Rank"),IF(Calculator!B8=FALSE,24,43),IF(Calculator!B8=FALSE,23,42))</f>
        <v>24</v>
      </c>
      <c r="D31" s="7">
        <f>IF(OR(Calculator!B3="Low Rank",Calculator!B3="High Rank"),IF(Calculator!B8=FALSE,24,43),IF(Calculator!B8=FALSE,23,42))</f>
        <v>24</v>
      </c>
      <c r="E31" s="7">
        <f>IF(OR(Calculator!B3="Low Rank",Calculator!B3="High Rank"),IF(Calculator!B8=FALSE,20,40),IF(Calculator!B8=FALSE,19,39))</f>
        <v>20</v>
      </c>
      <c r="F31" s="7">
        <v>0</v>
      </c>
      <c r="G31" s="7">
        <v>80</v>
      </c>
      <c r="H31" s="7">
        <v>0</v>
      </c>
      <c r="I31" s="7">
        <v>15</v>
      </c>
      <c r="J31" s="7">
        <v>10</v>
      </c>
      <c r="K31" s="6" t="str">
        <f>IF(A31=Calculator!B4,1+MAX(K30:K30),"")</f>
        <v/>
      </c>
      <c r="L31" s="6"/>
      <c r="M31" s="6" t="b">
        <v>1</v>
      </c>
    </row>
    <row r="32" spans="1:13" x14ac:dyDescent="0.25">
      <c r="A32" s="6" t="s">
        <v>518</v>
      </c>
      <c r="B32" s="6" t="s">
        <v>533</v>
      </c>
      <c r="C32" s="7">
        <f>IF(Calculator!B8=FALSE,55,66)</f>
        <v>55</v>
      </c>
      <c r="D32" s="7">
        <f>IF(Calculator!B8=FALSE,50,62)</f>
        <v>50</v>
      </c>
      <c r="E32" s="7">
        <f>IF(Calculator!B8=FALSE,40,55)</f>
        <v>40</v>
      </c>
      <c r="F32" s="7">
        <v>25</v>
      </c>
      <c r="G32" s="7">
        <v>0</v>
      </c>
      <c r="H32" s="7">
        <v>0</v>
      </c>
      <c r="I32" s="7">
        <v>15</v>
      </c>
      <c r="J32" s="7">
        <v>10</v>
      </c>
      <c r="K32" s="6" t="str">
        <f>IF(A32=Calculator!B4,1+MAX(K31:K31),"")</f>
        <v/>
      </c>
      <c r="L32" s="6"/>
      <c r="M32" s="6" t="b">
        <v>1</v>
      </c>
    </row>
    <row r="33" spans="1:13" x14ac:dyDescent="0.25">
      <c r="A33" s="6" t="s">
        <v>518</v>
      </c>
      <c r="B33" s="6" t="s">
        <v>554</v>
      </c>
      <c r="C33" s="7">
        <f>IF(OR(Calculator!B3="Low Rank",Calculator!B3="High Rank"),IF(Calculator!B8=FALSE,25,43),IF(Calculator!B8=FALSE,23,42))</f>
        <v>25</v>
      </c>
      <c r="D33" s="7">
        <f>IF(OR(Calculator!B3="Low Rank",Calculator!B3="High Rank"),IF(Calculator!B8=FALSE,25,43),IF(Calculator!B8=FALSE,23,42))</f>
        <v>25</v>
      </c>
      <c r="E33" s="7">
        <f>IF(OR(Calculator!B3="Low Rank",Calculator!B3="High Rank"),IF(Calculator!B8=FALSE,22,41),IF(Calculator!B8=FALSE,19,39))</f>
        <v>22</v>
      </c>
      <c r="F33" s="7">
        <v>0</v>
      </c>
      <c r="G33" s="7">
        <v>80</v>
      </c>
      <c r="H33" s="7">
        <v>0</v>
      </c>
      <c r="I33" s="7">
        <v>15</v>
      </c>
      <c r="J33" s="7">
        <v>10</v>
      </c>
      <c r="K33" s="6" t="str">
        <f>IF(A33=Calculator!B4,1+MAX(K32:K32),"")</f>
        <v/>
      </c>
      <c r="L33" s="6"/>
      <c r="M33" s="6" t="b">
        <v>1</v>
      </c>
    </row>
    <row r="34" spans="1:13" x14ac:dyDescent="0.25">
      <c r="A34" s="6" t="s">
        <v>519</v>
      </c>
      <c r="B34" s="6" t="s">
        <v>502</v>
      </c>
      <c r="C34" s="7">
        <f>IF(OR(Calculator!B3="Low Rank",Calculator!B3="High Rank"),IF(Calculator!B8=FALSE,63,72),IF(Calculator!B8=FALSE,58,68))</f>
        <v>63</v>
      </c>
      <c r="D34" s="7">
        <f>IF(OR(Calculator!B3="Low Rank",Calculator!B3="High Rank"),IF(Calculator!B8=FALSE,63,72),IF(Calculator!B8=FALSE,58,68))</f>
        <v>63</v>
      </c>
      <c r="E34" s="7">
        <f>IF(OR(Calculator!B3="Low Rank",Calculator!B3="High Rank"),IF(Calculator!B8=FALSE,63,72),IF(Calculator!B8=FALSE,58,68))</f>
        <v>63</v>
      </c>
      <c r="F34" s="7">
        <v>5</v>
      </c>
      <c r="G34" s="7">
        <v>0</v>
      </c>
      <c r="H34" s="7">
        <v>10</v>
      </c>
      <c r="I34" s="7">
        <v>5</v>
      </c>
      <c r="J34" s="7">
        <v>5</v>
      </c>
      <c r="K34" s="6" t="str">
        <f>IF(A34=Calculator!B4,1+MAX(K33:K33),"")</f>
        <v/>
      </c>
      <c r="L34" s="6" t="s">
        <v>542</v>
      </c>
      <c r="M34" s="6" t="b">
        <v>1</v>
      </c>
    </row>
    <row r="35" spans="1:13" x14ac:dyDescent="0.25">
      <c r="A35" s="6" t="s">
        <v>519</v>
      </c>
      <c r="B35" s="6" t="s">
        <v>550</v>
      </c>
      <c r="C35" s="7">
        <f>IF(OR(Calculator!B3="Low Rank",Calculator!B3="High Rank"),IF(Calculator!B8=FALSE,50,62),IF(Calculator!B8=FALSE,23,42))</f>
        <v>50</v>
      </c>
      <c r="D35" s="7">
        <f>IF(OR(Calculator!B3="Low Rank",Calculator!B3="High Rank"),IF(Calculator!B8=FALSE,50,62),IF(Calculator!B8=FALSE,23,42))</f>
        <v>50</v>
      </c>
      <c r="E35" s="7">
        <f>IF(OR(Calculator!B3="Low Rank",Calculator!B3="High Rank"),IF(Calculator!B8=FALSE,40,55),IF(Calculator!B8=FALSE,23,42))</f>
        <v>40</v>
      </c>
      <c r="F35" s="7">
        <v>0</v>
      </c>
      <c r="G35" s="7">
        <v>25</v>
      </c>
      <c r="H35" s="7">
        <v>0</v>
      </c>
      <c r="I35" s="7">
        <v>5</v>
      </c>
      <c r="J35" s="7">
        <v>5</v>
      </c>
      <c r="K35" s="6" t="str">
        <f>IF(A35=Calculator!B4,1+MAX(K34:K34),"")</f>
        <v/>
      </c>
      <c r="L35" s="6"/>
      <c r="M35" s="6" t="b">
        <v>1</v>
      </c>
    </row>
    <row r="36" spans="1:13" x14ac:dyDescent="0.25">
      <c r="A36" s="6" t="s">
        <v>519</v>
      </c>
      <c r="B36" s="6" t="s">
        <v>528</v>
      </c>
      <c r="C36" s="7">
        <f>IF(Calculator!B8=FALSE,43,57)</f>
        <v>43</v>
      </c>
      <c r="D36" s="7">
        <f>IF(Calculator!B8=FALSE,43,57)</f>
        <v>43</v>
      </c>
      <c r="E36" s="7">
        <f>IF(Calculator!B8=FALSE,43,57)</f>
        <v>43</v>
      </c>
      <c r="F36" s="7">
        <v>5</v>
      </c>
      <c r="G36" s="7">
        <v>0</v>
      </c>
      <c r="H36" s="7">
        <v>10</v>
      </c>
      <c r="I36" s="7">
        <v>5</v>
      </c>
      <c r="J36" s="7">
        <v>5</v>
      </c>
      <c r="K36" s="6" t="str">
        <f>IF(A36=Calculator!B4,1+MAX(K35:K35),"")</f>
        <v/>
      </c>
      <c r="L36" s="6"/>
      <c r="M36" s="6" t="b">
        <v>1</v>
      </c>
    </row>
    <row r="37" spans="1:13" x14ac:dyDescent="0.25">
      <c r="A37" s="6" t="s">
        <v>519</v>
      </c>
      <c r="B37" s="6" t="s">
        <v>529</v>
      </c>
      <c r="C37" s="7">
        <f>IF(Calculator!B8=FALSE,35,51)</f>
        <v>35</v>
      </c>
      <c r="D37" s="7">
        <f>IF(Calculator!B8=FALSE,35,51)</f>
        <v>35</v>
      </c>
      <c r="E37" s="7">
        <f>IF(Calculator!B8=FALSE,35,51)</f>
        <v>35</v>
      </c>
      <c r="F37" s="7">
        <v>10</v>
      </c>
      <c r="G37" s="7">
        <v>0</v>
      </c>
      <c r="H37" s="7">
        <v>25</v>
      </c>
      <c r="I37" s="7">
        <v>5</v>
      </c>
      <c r="J37" s="7">
        <v>5</v>
      </c>
      <c r="K37" s="6" t="str">
        <f>IF(A37=Calculator!B4,1+MAX(K36:K36),"")</f>
        <v/>
      </c>
      <c r="L37" s="6"/>
      <c r="M37" s="6" t="b">
        <v>1</v>
      </c>
    </row>
    <row r="38" spans="1:13" x14ac:dyDescent="0.25">
      <c r="A38" s="6" t="s">
        <v>519</v>
      </c>
      <c r="B38" s="6" t="s">
        <v>551</v>
      </c>
      <c r="C38" s="7">
        <f>IF(OR(Calculator!B3="Low Rank",Calculator!B3="High Rank"),IF(Calculator!B8=FALSE,30,47),IF(Calculator!B8=FALSE,21,40))</f>
        <v>30</v>
      </c>
      <c r="D38" s="7">
        <f>IF(OR(Calculator!B3="Low Rank",Calculator!B3="High Rank"),IF(Calculator!B8=FALSE,30,47),IF(Calculator!B8=FALSE,21,40))</f>
        <v>30</v>
      </c>
      <c r="E38" s="7">
        <f>IF(OR(Calculator!B3="Low Rank",Calculator!B3="High Rank"),IF(Calculator!B8=FALSE,25,43),IF(Calculator!B8=FALSE,21,40))</f>
        <v>25</v>
      </c>
      <c r="F38" s="7">
        <v>0</v>
      </c>
      <c r="G38" s="7">
        <v>25</v>
      </c>
      <c r="H38" s="7">
        <v>0</v>
      </c>
      <c r="I38" s="7">
        <v>5</v>
      </c>
      <c r="J38" s="7">
        <v>5</v>
      </c>
      <c r="K38" s="6" t="str">
        <f>IF(A38=Calculator!B4,1+MAX(K37:K37),"")</f>
        <v/>
      </c>
      <c r="L38" s="6"/>
      <c r="M38" s="6" t="b">
        <v>1</v>
      </c>
    </row>
    <row r="39" spans="1:13" x14ac:dyDescent="0.25">
      <c r="A39" s="6" t="s">
        <v>519</v>
      </c>
      <c r="B39" s="6" t="s">
        <v>530</v>
      </c>
      <c r="C39" s="7">
        <f>IF(OR(Calculator!B3="Low Rank",Calculator!B3="High Rank"),IF(Calculator!B8=FALSE,25,43),IF(Calculator!B8=FALSE,24,43))</f>
        <v>25</v>
      </c>
      <c r="D39" s="7">
        <f>IF(OR(Calculator!B3="Low Rank",Calculator!B3="High Rank"),IF(Calculator!B8=FALSE,25,43),IF(Calculator!B8=FALSE,24,43))</f>
        <v>25</v>
      </c>
      <c r="E39" s="7">
        <f>IF(OR(Calculator!B3="Low Rank",Calculator!B3="High Rank"),IF(Calculator!B8=FALSE,25,43),IF(Calculator!B8=FALSE,24,43))</f>
        <v>25</v>
      </c>
      <c r="F39" s="7">
        <v>5</v>
      </c>
      <c r="G39" s="7">
        <v>0</v>
      </c>
      <c r="H39" s="7">
        <v>15</v>
      </c>
      <c r="I39" s="7">
        <v>5</v>
      </c>
      <c r="J39" s="7">
        <v>5</v>
      </c>
      <c r="K39" s="6" t="str">
        <f>IF(A39=Calculator!B4,1+MAX(K38:K38),"")</f>
        <v/>
      </c>
      <c r="L39" s="6"/>
      <c r="M39" s="6" t="b">
        <v>1</v>
      </c>
    </row>
    <row r="40" spans="1:13" x14ac:dyDescent="0.25">
      <c r="A40" s="6" t="s">
        <v>519</v>
      </c>
      <c r="B40" s="6" t="s">
        <v>555</v>
      </c>
      <c r="C40" s="7">
        <f>IF(Calculator!B8=FALSE,25,43)</f>
        <v>25</v>
      </c>
      <c r="D40" s="7">
        <f>IF(Calculator!B8=FALSE,25,43)</f>
        <v>25</v>
      </c>
      <c r="E40" s="7">
        <f>IF(Calculator!B8=FALSE,25,43)</f>
        <v>25</v>
      </c>
      <c r="F40" s="7">
        <v>10</v>
      </c>
      <c r="G40" s="7">
        <v>0</v>
      </c>
      <c r="H40" s="7">
        <v>20</v>
      </c>
      <c r="I40" s="7">
        <v>5</v>
      </c>
      <c r="J40" s="7">
        <v>5</v>
      </c>
      <c r="K40" s="6" t="str">
        <f>IF(A40=Calculator!B4,1+MAX(K39:K39),"")</f>
        <v/>
      </c>
      <c r="L40" s="6"/>
      <c r="M40" s="6" t="b">
        <v>1</v>
      </c>
    </row>
    <row r="41" spans="1:13" x14ac:dyDescent="0.25">
      <c r="A41" s="6" t="s">
        <v>519</v>
      </c>
      <c r="B41" s="6" t="s">
        <v>505</v>
      </c>
      <c r="C41" s="7">
        <v>30</v>
      </c>
      <c r="D41" s="7">
        <v>30</v>
      </c>
      <c r="E41" s="7">
        <v>25</v>
      </c>
      <c r="F41" s="7">
        <v>15</v>
      </c>
      <c r="G41" s="7">
        <v>0</v>
      </c>
      <c r="H41" s="7">
        <v>30</v>
      </c>
      <c r="I41" s="7">
        <v>5</v>
      </c>
      <c r="J41" s="7">
        <v>5</v>
      </c>
      <c r="K41" s="6" t="str">
        <f>IF(A41=Calculator!B4,1+MAX(K40:K40),"")</f>
        <v/>
      </c>
      <c r="L41" s="6"/>
      <c r="M41" s="6"/>
    </row>
    <row r="42" spans="1:13" x14ac:dyDescent="0.25">
      <c r="A42" s="6" t="s">
        <v>519</v>
      </c>
      <c r="B42" s="6" t="s">
        <v>553</v>
      </c>
      <c r="C42" s="7">
        <f>IF(OR(Calculator!B3="Low Rank",Calculator!B3="High Rank"),35,21)</f>
        <v>35</v>
      </c>
      <c r="D42" s="7">
        <f>IF(OR(Calculator!B3="Low Rank",Calculator!B3="High Rank"),35,21)</f>
        <v>35</v>
      </c>
      <c r="E42" s="7">
        <f>IF(OR(Calculator!B3="Low Rank",Calculator!B3="High Rank"),30,21)</f>
        <v>30</v>
      </c>
      <c r="F42" s="7">
        <v>0</v>
      </c>
      <c r="G42" s="7">
        <v>25</v>
      </c>
      <c r="H42" s="7">
        <v>0</v>
      </c>
      <c r="I42" s="7">
        <v>5</v>
      </c>
      <c r="J42" s="7">
        <v>5</v>
      </c>
      <c r="K42" s="6" t="str">
        <f>IF(A42=Calculator!B4,1+MAX(K41:K41),"")</f>
        <v/>
      </c>
      <c r="L42" s="6"/>
      <c r="M42" s="6"/>
    </row>
    <row r="43" spans="1:13" x14ac:dyDescent="0.25">
      <c r="A43" s="6" t="s">
        <v>519</v>
      </c>
      <c r="B43" s="6" t="s">
        <v>533</v>
      </c>
      <c r="C43" s="7">
        <f>IF(Calculator!B8=FALSE,55,66)</f>
        <v>55</v>
      </c>
      <c r="D43" s="7">
        <f>IF(Calculator!B8=FALSE,50,62)</f>
        <v>50</v>
      </c>
      <c r="E43" s="7">
        <f>IF(Calculator!B8=FALSE,45,58)</f>
        <v>45</v>
      </c>
      <c r="F43" s="7">
        <v>5</v>
      </c>
      <c r="G43" s="7">
        <v>0</v>
      </c>
      <c r="H43" s="7">
        <v>10</v>
      </c>
      <c r="I43" s="7">
        <v>5</v>
      </c>
      <c r="J43" s="7">
        <v>5</v>
      </c>
      <c r="K43" s="6" t="str">
        <f>IF(A43=Calculator!B4,1+MAX(K42:K42),"")</f>
        <v/>
      </c>
      <c r="L43" s="6"/>
      <c r="M43" s="6" t="b">
        <v>1</v>
      </c>
    </row>
    <row r="44" spans="1:13" x14ac:dyDescent="0.25">
      <c r="A44" s="6" t="s">
        <v>519</v>
      </c>
      <c r="B44" s="6" t="s">
        <v>554</v>
      </c>
      <c r="C44" s="7">
        <f>IF(OR(Calculator!B3="Low Rank",Calculator!B3="High Rank"),IF(Calculator!B8=FALSE,50,62),IF(Calculator!B8=FALSE,23,42))</f>
        <v>50</v>
      </c>
      <c r="D44" s="7">
        <f>IF(OR(Calculator!B3="Low Rank",Calculator!B3="High Rank"),IF(Calculator!B8=FALSE,50,62),IF(Calculator!B8=FALSE,23,42))</f>
        <v>50</v>
      </c>
      <c r="E44" s="7">
        <f>IF(OR(Calculator!B3="Low Rank",Calculator!B3="High Rank"),IF(Calculator!B8=FALSE,40,55),IF(Calculator!B8=FALSE,23,42))</f>
        <v>40</v>
      </c>
      <c r="F44" s="7">
        <v>0</v>
      </c>
      <c r="G44" s="7">
        <v>25</v>
      </c>
      <c r="H44" s="7">
        <v>0</v>
      </c>
      <c r="I44" s="7">
        <v>5</v>
      </c>
      <c r="J44" s="7">
        <v>5</v>
      </c>
      <c r="K44" s="6" t="str">
        <f>IF(A44=Calculator!B4,1+MAX(K43:K43),"")</f>
        <v/>
      </c>
      <c r="L44" s="6"/>
      <c r="M44" s="6" t="b">
        <v>1</v>
      </c>
    </row>
    <row r="45" spans="1:13" x14ac:dyDescent="0.25">
      <c r="A45" s="6" t="s">
        <v>520</v>
      </c>
      <c r="B45" s="6" t="s">
        <v>502</v>
      </c>
      <c r="C45" s="7">
        <f>IF(OR(Calculator!B3="Low Rank",Calculator!B3="High Rank"),IF(Calculator!B8=FALSE,60,70),IF(Calculator!B8=FALSE,48,61))</f>
        <v>60</v>
      </c>
      <c r="D45" s="7">
        <f>IF(OR(Calculator!B3="Low Rank",Calculator!B3="High Rank"),IF(Calculator!B8=FALSE,60,70),IF(Calculator!B8=FALSE,48,61))</f>
        <v>60</v>
      </c>
      <c r="E45" s="7">
        <f>IF(OR(Calculator!B3="Low Rank",Calculator!B3="High Rank"),IF(Calculator!B8=FALSE,50,62),IF(Calculator!B8=FALSE,45,58))</f>
        <v>50</v>
      </c>
      <c r="F45" s="7">
        <v>10</v>
      </c>
      <c r="G45" s="7">
        <v>20</v>
      </c>
      <c r="H45" s="7">
        <v>0</v>
      </c>
      <c r="I45" s="7">
        <v>10</v>
      </c>
      <c r="J45" s="7">
        <v>5</v>
      </c>
      <c r="K45" s="6" t="str">
        <f>IF(A45=Calculator!B4,1+MAX(K44:K44),"")</f>
        <v/>
      </c>
      <c r="L45" s="6"/>
      <c r="M45" s="6" t="b">
        <v>1</v>
      </c>
    </row>
    <row r="46" spans="1:13" x14ac:dyDescent="0.25">
      <c r="A46" s="6" t="s">
        <v>520</v>
      </c>
      <c r="B46" s="6" t="s">
        <v>528</v>
      </c>
      <c r="C46" s="7">
        <f>IF(OR(Calculator!B3="Low Rank",Calculator!B3="High Rank"),IF(Calculator!B8=FALSE,60,70),IF(Calculator!B8=FALSE,48,61))</f>
        <v>60</v>
      </c>
      <c r="D46" s="7">
        <f>IF(OR(Calculator!B3="Low Rank",Calculator!B3="High Rank"),IF(Calculator!B8=FALSE,60,70),IF(Calculator!B8=FALSE,48,61))</f>
        <v>60</v>
      </c>
      <c r="E46" s="7">
        <f>IF(OR(Calculator!B3="Low Rank",Calculator!B3="High Rank"),IF(Calculator!B8=FALSE,50,62),IF(Calculator!B8=FALSE,45,58))</f>
        <v>50</v>
      </c>
      <c r="F46" s="7">
        <v>10</v>
      </c>
      <c r="G46" s="7">
        <v>20</v>
      </c>
      <c r="H46" s="7">
        <v>0</v>
      </c>
      <c r="I46" s="7">
        <v>10</v>
      </c>
      <c r="J46" s="7">
        <v>5</v>
      </c>
      <c r="K46" s="6" t="str">
        <f>IF(A46=Calculator!B4,1+MAX(K45:K45),"")</f>
        <v/>
      </c>
      <c r="L46" s="6"/>
      <c r="M46" s="6" t="b">
        <v>1</v>
      </c>
    </row>
    <row r="47" spans="1:13" x14ac:dyDescent="0.25">
      <c r="A47" s="6" t="s">
        <v>520</v>
      </c>
      <c r="B47" s="6" t="s">
        <v>529</v>
      </c>
      <c r="C47" s="7">
        <f>IF(Calculator!B8=FALSE,45,58)</f>
        <v>45</v>
      </c>
      <c r="D47" s="7">
        <f>IF(Calculator!B8=FALSE,45,58)</f>
        <v>45</v>
      </c>
      <c r="E47" s="7">
        <f>IF(Calculator!B8=FALSE,35,51)</f>
        <v>35</v>
      </c>
      <c r="F47" s="7">
        <v>5</v>
      </c>
      <c r="G47" s="7">
        <v>15</v>
      </c>
      <c r="H47" s="7">
        <v>0</v>
      </c>
      <c r="I47" s="7">
        <v>5</v>
      </c>
      <c r="J47" s="7">
        <v>0</v>
      </c>
      <c r="K47" s="6" t="str">
        <f>IF(A47=Calculator!B4,1+MAX(K46:K46),"")</f>
        <v/>
      </c>
      <c r="L47" s="6"/>
      <c r="M47" s="6" t="b">
        <v>1</v>
      </c>
    </row>
    <row r="48" spans="1:13" x14ac:dyDescent="0.25">
      <c r="A48" s="6" t="s">
        <v>520</v>
      </c>
      <c r="B48" s="6" t="s">
        <v>530</v>
      </c>
      <c r="C48" s="7">
        <f>IF(Calculator!B8=FALSE,45,58)</f>
        <v>45</v>
      </c>
      <c r="D48" s="7">
        <f>IF(Calculator!B8=FALSE,45,58)</f>
        <v>45</v>
      </c>
      <c r="E48" s="7">
        <f>IF(OR(Calculator!B3="Low Rank",Calculator!B3="High Rank"),IF(Calculator!B8=FALSE,60,70),IF(Calculator!B8=FALSE,48,61))</f>
        <v>60</v>
      </c>
      <c r="F48" s="7">
        <v>5</v>
      </c>
      <c r="G48" s="7">
        <v>15</v>
      </c>
      <c r="H48" s="7">
        <v>0</v>
      </c>
      <c r="I48" s="7">
        <v>5</v>
      </c>
      <c r="J48" s="7">
        <v>0</v>
      </c>
      <c r="K48" s="6" t="str">
        <f>IF(A48=Calculator!B4,1+MAX(K47:K47),"")</f>
        <v/>
      </c>
      <c r="L48" s="6"/>
      <c r="M48" s="6" t="b">
        <v>1</v>
      </c>
    </row>
    <row r="49" spans="1:13" x14ac:dyDescent="0.25">
      <c r="A49" s="6" t="s">
        <v>520</v>
      </c>
      <c r="B49" s="6" t="s">
        <v>531</v>
      </c>
      <c r="C49" s="7">
        <f>IF(Calculator!B8=FALSE,35,51)</f>
        <v>35</v>
      </c>
      <c r="D49" s="7">
        <f>IF(Calculator!B8=FALSE,35,51)</f>
        <v>35</v>
      </c>
      <c r="E49" s="7">
        <f>IF(Calculator!B8=FALSE,15,36)</f>
        <v>15</v>
      </c>
      <c r="F49" s="7">
        <v>5</v>
      </c>
      <c r="G49" s="7">
        <v>15</v>
      </c>
      <c r="H49" s="7">
        <v>0</v>
      </c>
      <c r="I49" s="7">
        <v>5</v>
      </c>
      <c r="J49" s="7">
        <v>0</v>
      </c>
      <c r="K49" s="6" t="str">
        <f>IF(A49=Calculator!B4,1+MAX(K48:K48),"")</f>
        <v/>
      </c>
      <c r="L49" s="6"/>
      <c r="M49" s="6" t="b">
        <v>1</v>
      </c>
    </row>
    <row r="50" spans="1:13" x14ac:dyDescent="0.25">
      <c r="A50" s="6" t="s">
        <v>520</v>
      </c>
      <c r="B50" s="6" t="s">
        <v>532</v>
      </c>
      <c r="C50" s="7">
        <v>30</v>
      </c>
      <c r="D50" s="7">
        <v>30</v>
      </c>
      <c r="E50" s="7">
        <v>10</v>
      </c>
      <c r="F50" s="7">
        <v>5</v>
      </c>
      <c r="G50" s="7">
        <v>15</v>
      </c>
      <c r="H50" s="7">
        <v>0</v>
      </c>
      <c r="I50" s="7">
        <v>5</v>
      </c>
      <c r="J50" s="7">
        <v>0</v>
      </c>
      <c r="K50" s="6" t="str">
        <f>IF(A50=Calculator!B4,1+MAX(K49:K49),"")</f>
        <v/>
      </c>
      <c r="L50" s="6"/>
      <c r="M50" s="6"/>
    </row>
    <row r="51" spans="1:13" x14ac:dyDescent="0.25">
      <c r="A51" s="6" t="s">
        <v>520</v>
      </c>
      <c r="B51" s="6" t="s">
        <v>533</v>
      </c>
      <c r="C51" s="7">
        <f>IF(OR(Calculator!B3="Low Rank",Calculator!B3="High Rank"),IF(Calculator!B8=FALSE,80,85),IF(Calculator!B8=FALSE,65,73))</f>
        <v>80</v>
      </c>
      <c r="D51" s="7">
        <f>IF(OR(Calculator!B3="Low Rank",Calculator!B3="High Rank"),IF(Calculator!B8=FALSE,80,85),IF(Calculator!B8=FALSE,65,73))</f>
        <v>80</v>
      </c>
      <c r="E51" s="7">
        <f>IF(OR(Calculator!B3="Low Rank",Calculator!B3="High Rank"),IF(Calculator!B8=FALSE,70,77),IF(Calculator!B8=FALSE,55,66))</f>
        <v>70</v>
      </c>
      <c r="F51" s="7">
        <v>20</v>
      </c>
      <c r="G51" s="7">
        <v>30</v>
      </c>
      <c r="H51" s="7">
        <v>0</v>
      </c>
      <c r="I51" s="7">
        <v>20</v>
      </c>
      <c r="J51" s="7">
        <v>15</v>
      </c>
      <c r="K51" s="6" t="str">
        <f>IF(A51=Calculator!B4,1+MAX(K50:K50),"")</f>
        <v/>
      </c>
      <c r="L51" s="6" t="s">
        <v>542</v>
      </c>
      <c r="M51" s="6" t="b">
        <v>1</v>
      </c>
    </row>
    <row r="52" spans="1:13" x14ac:dyDescent="0.25">
      <c r="A52" s="6" t="s">
        <v>521</v>
      </c>
      <c r="B52" s="6" t="s">
        <v>556</v>
      </c>
      <c r="C52" s="7">
        <f>IF(OR(Calculator!B3="Low Rank",Calculator!B3="High Rank"),IF(Calculator!B8=FALSE,80,85),IF(Calculator!B8=FALSE,65,73))</f>
        <v>80</v>
      </c>
      <c r="D52" s="7">
        <f>IF(OR(Calculator!B3="Low Rank",Calculator!B3="High Rank"),IF(Calculator!B8=FALSE,75,81),IF(Calculator!B8=FALSE,63,72))</f>
        <v>75</v>
      </c>
      <c r="E52" s="7">
        <f>IF(OR(Calculator!B3="Low Rank",Calculator!B3="High Rank"),IF(Calculator!B8=FALSE,90,92),IF(Calculator!B8=FALSE,55,66))</f>
        <v>90</v>
      </c>
      <c r="F52" s="7">
        <v>0</v>
      </c>
      <c r="G52" s="7">
        <v>30</v>
      </c>
      <c r="H52" s="7">
        <v>15</v>
      </c>
      <c r="I52" s="7">
        <v>20</v>
      </c>
      <c r="J52" s="7">
        <v>10</v>
      </c>
      <c r="K52" s="6" t="str">
        <f>IF(A52=Calculator!B4,1+MAX(K51:K51),"")</f>
        <v/>
      </c>
      <c r="L52" s="6"/>
      <c r="M52" s="6" t="b">
        <v>1</v>
      </c>
    </row>
    <row r="53" spans="1:13" x14ac:dyDescent="0.25">
      <c r="A53" s="6" t="s">
        <v>521</v>
      </c>
      <c r="B53" s="6" t="s">
        <v>502</v>
      </c>
      <c r="C53" s="7">
        <f>IF(OR(Calculator!B3="Low Rank",Calculator!B3="High Rank"),IF(Calculator!B8=FALSE,70,77),IF(Calculator!B8=FALSE,60,70))</f>
        <v>70</v>
      </c>
      <c r="D53" s="7">
        <f>IF(OR(Calculator!B3="Low Rank",Calculator!B3="High Rank"),IF(Calculator!B8=FALSE,70,77),IF(Calculator!B8=FALSE,60,70))</f>
        <v>70</v>
      </c>
      <c r="E53" s="7">
        <f>IF(OR(Calculator!B3="Low Rank",Calculator!B3="High Rank"),IF(Calculator!B8=FALSE,65,73),IF(Calculator!B8=FALSE,45,58))</f>
        <v>65</v>
      </c>
      <c r="F53" s="7">
        <v>0</v>
      </c>
      <c r="G53" s="7">
        <v>25</v>
      </c>
      <c r="H53" s="7">
        <v>10</v>
      </c>
      <c r="I53" s="7">
        <v>15</v>
      </c>
      <c r="J53" s="7">
        <v>5</v>
      </c>
      <c r="K53" s="6" t="str">
        <f>IF(A53=Calculator!B4,1+MAX(K52:K52),"")</f>
        <v/>
      </c>
      <c r="L53" s="6" t="s">
        <v>542</v>
      </c>
      <c r="M53" s="6" t="b">
        <v>1</v>
      </c>
    </row>
    <row r="54" spans="1:13" x14ac:dyDescent="0.25">
      <c r="A54" s="6" t="s">
        <v>521</v>
      </c>
      <c r="B54" s="6" t="s">
        <v>528</v>
      </c>
      <c r="C54" s="7">
        <f>IF(Calculator!B8=FALSE,30,47)</f>
        <v>30</v>
      </c>
      <c r="D54" s="7">
        <f>IF(Calculator!B8=FALSE,30,47)</f>
        <v>30</v>
      </c>
      <c r="E54" s="7">
        <f>IF(Calculator!B8=FALSE,10,32)</f>
        <v>10</v>
      </c>
      <c r="F54" s="7">
        <v>0</v>
      </c>
      <c r="G54" s="7">
        <v>20</v>
      </c>
      <c r="H54" s="7">
        <v>5</v>
      </c>
      <c r="I54" s="7">
        <v>15</v>
      </c>
      <c r="J54" s="7">
        <v>5</v>
      </c>
      <c r="K54" s="6" t="str">
        <f>IF(A54=Calculator!B4,1+MAX(K53:K53),"")</f>
        <v/>
      </c>
      <c r="L54" s="6"/>
      <c r="M54" s="6" t="b">
        <v>1</v>
      </c>
    </row>
    <row r="55" spans="1:13" x14ac:dyDescent="0.25">
      <c r="A55" s="6" t="s">
        <v>521</v>
      </c>
      <c r="B55" s="6" t="s">
        <v>548</v>
      </c>
      <c r="C55" s="7">
        <f>IF(OR(Calculator!B3="Low Rank",Calculator!B3="High Rank"),IF(Calculator!B8=FALSE,80,85),IF(Calculator!B8=FALSE,63,72))</f>
        <v>80</v>
      </c>
      <c r="D55" s="7">
        <f>IF(Calculator!B8=FALSE,45,58)</f>
        <v>45</v>
      </c>
      <c r="E55" s="7">
        <f>IF(OR(Calculator!B3="Low Rank",Calculator!B3="High Rank"),IF(Calculator!B8=FALSE,90,92),IF(Calculator!B8=FALSE,55,66))</f>
        <v>90</v>
      </c>
      <c r="F55" s="7">
        <v>0</v>
      </c>
      <c r="G55" s="7">
        <v>30</v>
      </c>
      <c r="H55" s="7">
        <v>15</v>
      </c>
      <c r="I55" s="7">
        <v>20</v>
      </c>
      <c r="J55" s="7">
        <v>10</v>
      </c>
      <c r="K55" s="6" t="str">
        <f>IF(A55=Calculator!B4,1+MAX(K54:K54),"")</f>
        <v/>
      </c>
      <c r="L55" s="6"/>
      <c r="M55" s="6" t="b">
        <v>1</v>
      </c>
    </row>
    <row r="56" spans="1:13" x14ac:dyDescent="0.25">
      <c r="A56" s="6" t="s">
        <v>521</v>
      </c>
      <c r="B56" s="6" t="s">
        <v>529</v>
      </c>
      <c r="C56" s="7">
        <f>IF(Calculator!B8=FALSE,30,47)</f>
        <v>30</v>
      </c>
      <c r="D56" s="7">
        <f>IF(Calculator!B8=FALSE,30,47)</f>
        <v>30</v>
      </c>
      <c r="E56" s="7">
        <f>IF(Calculator!B8=FALSE,45,58)</f>
        <v>45</v>
      </c>
      <c r="F56" s="7">
        <v>0</v>
      </c>
      <c r="G56" s="7">
        <v>15</v>
      </c>
      <c r="H56" s="7">
        <v>5</v>
      </c>
      <c r="I56" s="7">
        <v>10</v>
      </c>
      <c r="J56" s="7">
        <v>0</v>
      </c>
      <c r="K56" s="6" t="str">
        <f>IF(A56=Calculator!B4,1+MAX(K55:K55),"")</f>
        <v/>
      </c>
      <c r="L56" s="6"/>
      <c r="M56" s="6" t="b">
        <v>1</v>
      </c>
    </row>
    <row r="57" spans="1:13" x14ac:dyDescent="0.25">
      <c r="A57" s="6" t="s">
        <v>521</v>
      </c>
      <c r="B57" s="6" t="s">
        <v>505</v>
      </c>
      <c r="C57" s="7">
        <f>IF(OR(Calculator!B3="Low Rank",Calculator!B3="High Rank"),IF(Calculator!B8=FALSE,30,47),IF(Calculator!B8=FALSE,21,40))</f>
        <v>30</v>
      </c>
      <c r="D57" s="7">
        <f>IF(OR(Calculator!B3="Low Rank",Calculator!B3="High Rank"),IF(Calculator!B8=FALSE,30,47),IF(Calculator!B8=FALSE,21,40))</f>
        <v>30</v>
      </c>
      <c r="E57" s="7">
        <f>IF(OR(Calculator!B3="Low Rank",Calculator!B3="High Rank"),IF(Calculator!B8=FALSE,10,32),IF(Calculator!B8=FALSE,15,36))</f>
        <v>10</v>
      </c>
      <c r="F57" s="7">
        <v>0</v>
      </c>
      <c r="G57" s="7">
        <v>15</v>
      </c>
      <c r="H57" s="7">
        <v>5</v>
      </c>
      <c r="I57" s="7">
        <v>10</v>
      </c>
      <c r="J57" s="7">
        <v>0</v>
      </c>
      <c r="K57" s="6" t="str">
        <f>IF(A57=Calculator!B4,1+MAX(K56:K56),"")</f>
        <v/>
      </c>
      <c r="L57" s="6"/>
      <c r="M57" s="6" t="b">
        <v>1</v>
      </c>
    </row>
    <row r="58" spans="1:13" x14ac:dyDescent="0.25">
      <c r="A58" s="6" t="s">
        <v>521</v>
      </c>
      <c r="B58" s="6" t="s">
        <v>557</v>
      </c>
      <c r="C58" s="7">
        <f>IF(Calculator!B8=FALSE,45,58)</f>
        <v>45</v>
      </c>
      <c r="D58" s="7">
        <f>IF(Calculator!B8=FALSE,45,58)</f>
        <v>45</v>
      </c>
      <c r="E58" s="7">
        <f>IF(Calculator!B8=FALSE,50,62)</f>
        <v>50</v>
      </c>
      <c r="F58" s="7">
        <v>0</v>
      </c>
      <c r="G58" s="7">
        <v>15</v>
      </c>
      <c r="H58" s="7">
        <v>5</v>
      </c>
      <c r="I58" s="7">
        <v>10</v>
      </c>
      <c r="J58" s="7">
        <v>0</v>
      </c>
      <c r="K58" s="6" t="str">
        <f>IF(A58=Calculator!B4,1+MAX(K57:K57),"")</f>
        <v/>
      </c>
      <c r="L58" s="6"/>
      <c r="M58" s="6" t="b">
        <v>1</v>
      </c>
    </row>
    <row r="59" spans="1:13" x14ac:dyDescent="0.25">
      <c r="A59" s="6" t="s">
        <v>521</v>
      </c>
      <c r="B59" s="6" t="s">
        <v>533</v>
      </c>
      <c r="C59" s="7">
        <f>IF(Calculator!B8=FALSE,60,70)</f>
        <v>60</v>
      </c>
      <c r="D59" s="7">
        <f>IF(Calculator!B8=FALSE,60,70)</f>
        <v>60</v>
      </c>
      <c r="E59" s="7">
        <f>IF(Calculator!B8=FALSE,75,81)</f>
        <v>75</v>
      </c>
      <c r="F59" s="7">
        <v>0</v>
      </c>
      <c r="G59" s="7">
        <v>20</v>
      </c>
      <c r="H59" s="7">
        <v>10</v>
      </c>
      <c r="I59" s="7">
        <v>15</v>
      </c>
      <c r="J59" s="7">
        <v>5</v>
      </c>
      <c r="K59" s="6" t="str">
        <f>IF(A59=Calculator!B4,1+MAX(K58:K58),"")</f>
        <v/>
      </c>
      <c r="L59" s="6"/>
      <c r="M59" s="6" t="b">
        <v>1</v>
      </c>
    </row>
    <row r="60" spans="1:13" x14ac:dyDescent="0.25">
      <c r="A60" s="6" t="s">
        <v>521</v>
      </c>
      <c r="B60" s="6" t="s">
        <v>558</v>
      </c>
      <c r="C60" s="7">
        <f>IF(Calculator!B8=FALSE,60,70)</f>
        <v>60</v>
      </c>
      <c r="D60" s="7">
        <f>IF(Calculator!B8=FALSE,60,70)</f>
        <v>60</v>
      </c>
      <c r="E60" s="7">
        <f>IF(Calculator!B8=FALSE,75,81)</f>
        <v>75</v>
      </c>
      <c r="F60" s="7">
        <v>0</v>
      </c>
      <c r="G60" s="7">
        <v>20</v>
      </c>
      <c r="H60" s="7">
        <v>10</v>
      </c>
      <c r="I60" s="7">
        <v>15</v>
      </c>
      <c r="J60" s="7">
        <v>5</v>
      </c>
      <c r="K60" s="6" t="str">
        <f>IF(A60=Calculator!B4,1+MAX(K59:K59),"")</f>
        <v/>
      </c>
      <c r="L60" s="6"/>
      <c r="M60" s="6" t="b">
        <v>1</v>
      </c>
    </row>
    <row r="61" spans="1:13" x14ac:dyDescent="0.25">
      <c r="A61" s="6" t="s">
        <v>522</v>
      </c>
      <c r="B61" s="6" t="s">
        <v>502</v>
      </c>
      <c r="C61" s="7">
        <f>IF(OR(Calculator!B3="Low Rank",Calculator!B3="High Rank"),IF(Calculator!B8=FALSE,70,77),IF(Calculator!B8=FALSE,60,70))</f>
        <v>70</v>
      </c>
      <c r="D61" s="7">
        <f>IF(OR(Calculator!B3="Low Rank",Calculator!B3="High Rank"),IF(Calculator!B8=FALSE,75,81),IF(Calculator!B8=FALSE,65,73))</f>
        <v>75</v>
      </c>
      <c r="E61" s="7">
        <f>IF(OR(Calculator!B3="Low Rank",Calculator!B3="High Rank"),IF(Calculator!B8=FALSE,65,73),IF(Calculator!B8=FALSE,45,58))</f>
        <v>65</v>
      </c>
      <c r="F61" s="7">
        <v>0</v>
      </c>
      <c r="G61" s="7">
        <v>15</v>
      </c>
      <c r="H61" s="7">
        <v>20</v>
      </c>
      <c r="I61" s="7">
        <v>15</v>
      </c>
      <c r="J61" s="7">
        <v>30</v>
      </c>
      <c r="K61" s="6" t="str">
        <f>IF(A61=Calculator!B4,1+MAX(K60:K60),"")</f>
        <v/>
      </c>
      <c r="L61" s="6" t="s">
        <v>542</v>
      </c>
      <c r="M61" s="6" t="b">
        <v>1</v>
      </c>
    </row>
    <row r="62" spans="1:13" x14ac:dyDescent="0.25">
      <c r="A62" s="6" t="s">
        <v>522</v>
      </c>
      <c r="B62" s="6" t="s">
        <v>528</v>
      </c>
      <c r="C62" s="7">
        <f>IF(OR(Calculator!B3="Low Rank",Calculator!B3="High Rank"),IF(Calculator!B8=FALSE,40,55),IF(Calculator!B8=FALSE,37,52))</f>
        <v>40</v>
      </c>
      <c r="D62" s="7">
        <f>IF(Calculator!B8=FALSE,45,58)</f>
        <v>45</v>
      </c>
      <c r="E62" s="7">
        <f>IF(OR(Calculator!B3="Low Rank",Calculator!B3="High Rank"),IF(Calculator!B8=FALSE,35,51),IF(Calculator!B8=FALSE,30,47))</f>
        <v>35</v>
      </c>
      <c r="F62" s="7">
        <v>0</v>
      </c>
      <c r="G62" s="7">
        <v>0</v>
      </c>
      <c r="H62" s="7">
        <v>5</v>
      </c>
      <c r="I62" s="7">
        <v>0</v>
      </c>
      <c r="J62" s="7">
        <v>15</v>
      </c>
      <c r="K62" s="6" t="str">
        <f>IF(A62=Calculator!B4,1+MAX(K61:K61),"")</f>
        <v/>
      </c>
      <c r="L62" s="6"/>
      <c r="M62" s="6" t="b">
        <v>1</v>
      </c>
    </row>
    <row r="63" spans="1:13" x14ac:dyDescent="0.25">
      <c r="A63" s="6" t="s">
        <v>522</v>
      </c>
      <c r="B63" s="6" t="s">
        <v>529</v>
      </c>
      <c r="C63" s="7">
        <v>35</v>
      </c>
      <c r="D63" s="7">
        <v>30</v>
      </c>
      <c r="E63" s="7">
        <v>25</v>
      </c>
      <c r="F63" s="7">
        <v>0</v>
      </c>
      <c r="G63" s="7">
        <v>5</v>
      </c>
      <c r="H63" s="7">
        <v>10</v>
      </c>
      <c r="I63" s="7">
        <v>5</v>
      </c>
      <c r="J63" s="7">
        <v>20</v>
      </c>
      <c r="K63" s="6" t="str">
        <f>IF(A63=Calculator!B4,1+MAX(K62:K62),"")</f>
        <v/>
      </c>
      <c r="L63" s="6"/>
      <c r="M63" s="6"/>
    </row>
    <row r="64" spans="1:13" x14ac:dyDescent="0.25">
      <c r="A64" s="6" t="s">
        <v>522</v>
      </c>
      <c r="B64" s="6" t="s">
        <v>530</v>
      </c>
      <c r="C64" s="7">
        <v>35</v>
      </c>
      <c r="D64" s="7">
        <v>30</v>
      </c>
      <c r="E64" s="7">
        <v>25</v>
      </c>
      <c r="F64" s="7">
        <v>0</v>
      </c>
      <c r="G64" s="7">
        <v>5</v>
      </c>
      <c r="H64" s="7">
        <v>10</v>
      </c>
      <c r="I64" s="7">
        <v>5</v>
      </c>
      <c r="J64" s="7">
        <v>20</v>
      </c>
      <c r="K64" s="6" t="str">
        <f>IF(A64=Calculator!B4,1+MAX(K63:K63),"")</f>
        <v/>
      </c>
      <c r="L64" s="6"/>
      <c r="M64" s="6"/>
    </row>
    <row r="65" spans="1:13" x14ac:dyDescent="0.25">
      <c r="A65" s="6" t="s">
        <v>522</v>
      </c>
      <c r="B65" s="6" t="s">
        <v>548</v>
      </c>
      <c r="C65" s="7">
        <f>IF(OR(Calculator!B3="Low Rank",Calculator!B3="High Rank"),IF(Calculator!B8=FALSE,55,66),IF(Calculator!B8=FALSE,21,40))</f>
        <v>55</v>
      </c>
      <c r="D65" s="7">
        <f>IF(OR(Calculator!B3="Low Rank",Calculator!B3="High Rank"),IF(Calculator!B8=FALSE,50,62),IF(Calculator!B8=FALSE,21,40))</f>
        <v>50</v>
      </c>
      <c r="E65" s="7">
        <f>IF(Calculator!B8=FALSE,45,58)</f>
        <v>45</v>
      </c>
      <c r="F65" s="7">
        <v>0</v>
      </c>
      <c r="G65" s="7">
        <v>10</v>
      </c>
      <c r="H65" s="7">
        <v>15</v>
      </c>
      <c r="I65" s="7">
        <v>10</v>
      </c>
      <c r="J65" s="7">
        <v>25</v>
      </c>
      <c r="K65" s="6" t="str">
        <f>IF(A65=Calculator!B4,1+MAX(K64:K64),"")</f>
        <v/>
      </c>
      <c r="L65" s="6"/>
      <c r="M65" s="6" t="b">
        <v>1</v>
      </c>
    </row>
    <row r="66" spans="1:13" x14ac:dyDescent="0.25">
      <c r="A66" s="6" t="s">
        <v>522</v>
      </c>
      <c r="B66" s="6" t="s">
        <v>505</v>
      </c>
      <c r="C66" s="7">
        <f>IF(OR(Calculator!B3="Low Rank",Calculator!B3="High Rank"),IF(Calculator!B8=FALSE,40,55),IF(Calculator!B8=FALSE,37,52))</f>
        <v>40</v>
      </c>
      <c r="D66" s="7">
        <f>IF(OR(Calculator!B3="Low Rank",Calculator!B3="High Rank"),IF(Calculator!B8=FALSE,40,55),IF(Calculator!B8=FALSE,37,52))</f>
        <v>40</v>
      </c>
      <c r="E66" s="7">
        <f>IF(OR(Calculator!B3="Low Rank",Calculator!B3="High Rank"),IF(Calculator!B8=FALSE,35,51),IF(Calculator!B8=FALSE,25,43))</f>
        <v>35</v>
      </c>
      <c r="F66" s="7">
        <v>0</v>
      </c>
      <c r="G66" s="7">
        <v>0</v>
      </c>
      <c r="H66" s="7">
        <v>5</v>
      </c>
      <c r="I66" s="7">
        <v>0</v>
      </c>
      <c r="J66" s="7">
        <v>15</v>
      </c>
      <c r="K66" s="6" t="str">
        <f>IF(A66=Calculator!B4,1+MAX(K65:K65),"")</f>
        <v/>
      </c>
      <c r="L66" s="6"/>
      <c r="M66" s="6" t="b">
        <v>1</v>
      </c>
    </row>
    <row r="67" spans="1:13" x14ac:dyDescent="0.25">
      <c r="A67" s="6" t="s">
        <v>522</v>
      </c>
      <c r="B67" s="6" t="s">
        <v>533</v>
      </c>
      <c r="C67" s="7">
        <f>IF(Calculator!B8=FALSE,45,58)</f>
        <v>45</v>
      </c>
      <c r="D67" s="7">
        <f>IF(OR(Calculator!B3="Low Rank",Calculator!B3="High Rank"),IF(Calculator!B8=FALSE,40,55),IF(Calculator!B8=FALSE,37,52))</f>
        <v>40</v>
      </c>
      <c r="E67" s="7">
        <f>IF(OR(Calculator!B3="Low Rank",Calculator!B3="High Rank"),IF(Calculator!B8=FALSE,35,51),IF(Calculator!B8=FALSE,25,43))</f>
        <v>35</v>
      </c>
      <c r="F67" s="7">
        <v>0</v>
      </c>
      <c r="G67" s="7">
        <v>5</v>
      </c>
      <c r="H67" s="7">
        <v>10</v>
      </c>
      <c r="I67" s="7">
        <v>5</v>
      </c>
      <c r="J67" s="7">
        <v>20</v>
      </c>
      <c r="K67" s="6" t="str">
        <f>IF(A67=Calculator!B4,1+MAX(K66:K66),"")</f>
        <v/>
      </c>
      <c r="L67" s="6"/>
      <c r="M67" s="6" t="b">
        <v>1</v>
      </c>
    </row>
    <row r="68" spans="1:13" x14ac:dyDescent="0.25">
      <c r="A68" s="6" t="s">
        <v>523</v>
      </c>
      <c r="B68" s="6" t="s">
        <v>559</v>
      </c>
      <c r="C68" s="7">
        <f>IF(OR(Calculator!B3="Low Rank",Calculator!B3="High Rank"),IF(Calculator!B8=FALSE,75,81),IF(Calculator!B8=FALSE,68,76))</f>
        <v>75</v>
      </c>
      <c r="D68" s="7">
        <f>IF(OR(Calculator!B3="Low Rank",Calculator!B3="High Rank"),IF(Calculator!B8=FALSE,65,73),IF(Calculator!B8=FALSE,59,69))</f>
        <v>65</v>
      </c>
      <c r="E68" s="7">
        <f>IF(OR(Calculator!B3="Low Rank",Calculator!B3="High Rank"),IF(Calculator!B8=FALSE,70,77),IF(Calculator!B8=FALSE,63,72))</f>
        <v>70</v>
      </c>
      <c r="F68" s="7">
        <v>15</v>
      </c>
      <c r="G68" s="7">
        <v>15</v>
      </c>
      <c r="H68" s="7">
        <v>20</v>
      </c>
      <c r="I68" s="7">
        <v>20</v>
      </c>
      <c r="J68" s="7">
        <v>15</v>
      </c>
      <c r="K68" s="6" t="str">
        <f>IF(A68=Calculator!B4,1+MAX(K67:K67),"")</f>
        <v/>
      </c>
      <c r="L68" s="6"/>
      <c r="M68" s="6" t="b">
        <v>1</v>
      </c>
    </row>
    <row r="69" spans="1:13" x14ac:dyDescent="0.25">
      <c r="A69" s="6" t="s">
        <v>523</v>
      </c>
      <c r="B69" s="6" t="s">
        <v>502</v>
      </c>
      <c r="C69" s="7">
        <f>IF(OR(Calculator!B3="Low Rank",Calculator!B3="High Rank"),IF(Calculator!B8=FALSE,65,73),IF(Calculator!B8=FALSE,59,69))</f>
        <v>65</v>
      </c>
      <c r="D69" s="7">
        <f>IF(OR(Calculator!B3="Low Rank",Calculator!B3="High Rank"),IF(Calculator!B8=FALSE,55,66),IF(Calculator!B8=FALSE,50,62))</f>
        <v>55</v>
      </c>
      <c r="E69" s="7">
        <f>IF(OR(Calculator!B3="Low Rank",Calculator!B3="High Rank"),IF(Calculator!B8=FALSE,55,66),IF(Calculator!B8=FALSE,50,62))</f>
        <v>55</v>
      </c>
      <c r="F69" s="7">
        <v>15</v>
      </c>
      <c r="G69" s="7">
        <v>15</v>
      </c>
      <c r="H69" s="7">
        <v>20</v>
      </c>
      <c r="I69" s="7">
        <v>20</v>
      </c>
      <c r="J69" s="7">
        <v>15</v>
      </c>
      <c r="K69" s="6" t="str">
        <f>IF(A69=Calculator!B4,1+MAX(K68:K68),"")</f>
        <v/>
      </c>
      <c r="L69" s="6" t="s">
        <v>542</v>
      </c>
      <c r="M69" s="6" t="b">
        <v>1</v>
      </c>
    </row>
    <row r="70" spans="1:13" x14ac:dyDescent="0.25">
      <c r="A70" s="6" t="s">
        <v>523</v>
      </c>
      <c r="B70" s="6" t="s">
        <v>535</v>
      </c>
      <c r="C70" s="7">
        <f>IF(Calculator!B8=FALSE,45,58)</f>
        <v>45</v>
      </c>
      <c r="D70" s="7">
        <f>IF(Calculator!B8=FALSE,60,70)</f>
        <v>60</v>
      </c>
      <c r="E70" s="7">
        <f>IF(Calculator!B8=FALSE,35,51)</f>
        <v>35</v>
      </c>
      <c r="F70" s="7">
        <v>15</v>
      </c>
      <c r="G70" s="7">
        <v>15</v>
      </c>
      <c r="H70" s="7">
        <v>20</v>
      </c>
      <c r="I70" s="7">
        <v>20</v>
      </c>
      <c r="J70" s="7">
        <v>15</v>
      </c>
      <c r="K70" s="6" t="str">
        <f>IF(A70=Calculator!B4,1+MAX(K69:K69),"")</f>
        <v/>
      </c>
      <c r="L70" s="6"/>
      <c r="M70" s="6" t="b">
        <v>1</v>
      </c>
    </row>
    <row r="71" spans="1:13" x14ac:dyDescent="0.25">
      <c r="A71" s="6" t="s">
        <v>523</v>
      </c>
      <c r="B71" s="6" t="s">
        <v>529</v>
      </c>
      <c r="C71" s="7">
        <f>IF(Calculator!B8=FALSE,45,58)</f>
        <v>45</v>
      </c>
      <c r="D71" s="7">
        <f>IF(Calculator!B8=FALSE,60,70)</f>
        <v>60</v>
      </c>
      <c r="E71" s="7">
        <f>IF(Calculator!B8=FALSE,35,51)</f>
        <v>35</v>
      </c>
      <c r="F71" s="7">
        <v>15</v>
      </c>
      <c r="G71" s="7">
        <v>15</v>
      </c>
      <c r="H71" s="7">
        <v>20</v>
      </c>
      <c r="I71" s="7">
        <v>20</v>
      </c>
      <c r="J71" s="7">
        <v>15</v>
      </c>
      <c r="K71" s="6" t="str">
        <f>IF(A71=Calculator!B4,1+MAX(K70:K70),"")</f>
        <v/>
      </c>
      <c r="L71" s="6"/>
      <c r="M71" s="6" t="b">
        <v>1</v>
      </c>
    </row>
    <row r="72" spans="1:13" x14ac:dyDescent="0.25">
      <c r="A72" s="6" t="s">
        <v>523</v>
      </c>
      <c r="B72" s="6" t="s">
        <v>533</v>
      </c>
      <c r="C72" s="7">
        <v>40</v>
      </c>
      <c r="D72" s="7">
        <v>40</v>
      </c>
      <c r="E72" s="7">
        <v>35</v>
      </c>
      <c r="F72" s="7">
        <v>15</v>
      </c>
      <c r="G72" s="7">
        <v>15</v>
      </c>
      <c r="H72" s="7">
        <v>20</v>
      </c>
      <c r="I72" s="7">
        <v>20</v>
      </c>
      <c r="J72" s="7">
        <v>15</v>
      </c>
      <c r="K72" s="6" t="str">
        <f>IF(A72=Calculator!B4,1+MAX(K71:K71),"")</f>
        <v/>
      </c>
      <c r="L72" s="6"/>
      <c r="M72" s="6"/>
    </row>
    <row r="73" spans="1:13" x14ac:dyDescent="0.25">
      <c r="A73" s="6" t="s">
        <v>524</v>
      </c>
      <c r="B73" s="6" t="s">
        <v>502</v>
      </c>
      <c r="C73" s="7">
        <f>IF(Calculator!B8=FALSE,55,66)</f>
        <v>55</v>
      </c>
      <c r="D73" s="7">
        <f>IF(Calculator!B8=FALSE,55,66)</f>
        <v>55</v>
      </c>
      <c r="E73" s="7">
        <f>IF(Calculator!B8=FALSE,45,58)</f>
        <v>45</v>
      </c>
      <c r="F73" s="7">
        <v>25</v>
      </c>
      <c r="G73" s="7">
        <v>0</v>
      </c>
      <c r="H73" s="7">
        <v>15</v>
      </c>
      <c r="I73" s="7">
        <v>10</v>
      </c>
      <c r="J73" s="7">
        <v>10</v>
      </c>
      <c r="K73" s="6" t="str">
        <f>IF(A73=Calculator!B4,1+MAX(K72:K72),"")</f>
        <v/>
      </c>
      <c r="L73" s="6" t="s">
        <v>542</v>
      </c>
      <c r="M73" s="6" t="b">
        <v>1</v>
      </c>
    </row>
    <row r="74" spans="1:13" x14ac:dyDescent="0.25">
      <c r="A74" s="6" t="s">
        <v>524</v>
      </c>
      <c r="B74" s="6" t="s">
        <v>528</v>
      </c>
      <c r="C74" s="7">
        <f>IF(Calculator!B8=FALSE,40,55)</f>
        <v>40</v>
      </c>
      <c r="D74" s="7">
        <f>IF(Calculator!B8=FALSE,40,55)</f>
        <v>40</v>
      </c>
      <c r="E74" s="7">
        <f>IF(Calculator!B8=FALSE,30,47)</f>
        <v>30</v>
      </c>
      <c r="F74" s="7">
        <v>20</v>
      </c>
      <c r="G74" s="7">
        <v>0</v>
      </c>
      <c r="H74" s="7">
        <v>15</v>
      </c>
      <c r="I74" s="7">
        <v>10</v>
      </c>
      <c r="J74" s="7">
        <v>10</v>
      </c>
      <c r="K74" s="6" t="str">
        <f>IF(A74=Calculator!B4,1+MAX(K73:K73),"")</f>
        <v/>
      </c>
      <c r="L74" s="6"/>
      <c r="M74" s="6" t="b">
        <v>1</v>
      </c>
    </row>
    <row r="75" spans="1:13" x14ac:dyDescent="0.25">
      <c r="A75" s="6" t="s">
        <v>524</v>
      </c>
      <c r="B75" s="6" t="s">
        <v>560</v>
      </c>
      <c r="C75" s="7">
        <f>IF(OR(Calculator!B3="Low Rank",Calculator!B3="High Rank"),IF(Calculator!B8=FALSE,75,81),IF(Calculator!B8=FALSE,65,73))</f>
        <v>75</v>
      </c>
      <c r="D75" s="7">
        <f>IF(OR(Calculator!B3="Low Rank",Calculator!B3="High Rank"),IF(Calculator!B8=FALSE,75,81),IF(Calculator!B8=FALSE,65,73))</f>
        <v>75</v>
      </c>
      <c r="E75" s="7">
        <f>IF(OR(Calculator!B3="Low Rank",Calculator!B3="High Rank"),IF(Calculator!B8=FALSE,60,70),IF(Calculator!B8=FALSE,52,64))</f>
        <v>60</v>
      </c>
      <c r="F75" s="7">
        <v>25</v>
      </c>
      <c r="G75" s="7">
        <v>0</v>
      </c>
      <c r="H75" s="7">
        <v>15</v>
      </c>
      <c r="I75" s="7">
        <v>10</v>
      </c>
      <c r="J75" s="7">
        <v>10</v>
      </c>
      <c r="K75" s="6" t="str">
        <f>IF(A75=Calculator!B4,1+MAX(K74:K74),"")</f>
        <v/>
      </c>
      <c r="L75" s="6"/>
      <c r="M75" s="6" t="b">
        <v>1</v>
      </c>
    </row>
    <row r="76" spans="1:13" x14ac:dyDescent="0.25">
      <c r="A76" s="6" t="s">
        <v>524</v>
      </c>
      <c r="B76" s="6" t="s">
        <v>529</v>
      </c>
      <c r="C76" s="7">
        <v>46</v>
      </c>
      <c r="D76" s="7">
        <v>46</v>
      </c>
      <c r="E76" s="7">
        <v>42</v>
      </c>
      <c r="F76" s="7">
        <v>15</v>
      </c>
      <c r="G76" s="7">
        <v>0</v>
      </c>
      <c r="H76" s="7">
        <v>10</v>
      </c>
      <c r="I76" s="7">
        <v>5</v>
      </c>
      <c r="J76" s="7">
        <v>5</v>
      </c>
      <c r="K76" s="6" t="str">
        <f>IF(A76=Calculator!B4,1+MAX(K75:K75),"")</f>
        <v/>
      </c>
      <c r="L76" s="6"/>
      <c r="M76" s="6"/>
    </row>
    <row r="77" spans="1:13" x14ac:dyDescent="0.25">
      <c r="A77" s="6" t="s">
        <v>524</v>
      </c>
      <c r="B77" s="6" t="s">
        <v>505</v>
      </c>
      <c r="C77" s="7">
        <v>40</v>
      </c>
      <c r="D77" s="7">
        <v>35</v>
      </c>
      <c r="E77" s="7">
        <v>25</v>
      </c>
      <c r="F77" s="7">
        <v>15</v>
      </c>
      <c r="G77" s="7">
        <v>0</v>
      </c>
      <c r="H77" s="7">
        <v>10</v>
      </c>
      <c r="I77" s="7">
        <v>5</v>
      </c>
      <c r="J77" s="7">
        <v>5</v>
      </c>
      <c r="K77" s="6" t="str">
        <f>IF(A77=Calculator!B4,1+MAX(K76:K76),"")</f>
        <v/>
      </c>
      <c r="L77" s="6"/>
      <c r="M77" s="6"/>
    </row>
    <row r="78" spans="1:13" x14ac:dyDescent="0.25">
      <c r="A78" s="6" t="s">
        <v>524</v>
      </c>
      <c r="B78" s="6" t="s">
        <v>548</v>
      </c>
      <c r="C78" s="7">
        <f>IF(Calculator!B8=FALSE,35,51)</f>
        <v>35</v>
      </c>
      <c r="D78" s="7">
        <f>IF(Calculator!B8=FALSE,35,51)</f>
        <v>35</v>
      </c>
      <c r="E78" s="7">
        <f>IF(Calculator!B8=FALSE,45,58)</f>
        <v>45</v>
      </c>
      <c r="F78" s="7">
        <v>15</v>
      </c>
      <c r="G78" s="7">
        <v>0</v>
      </c>
      <c r="H78" s="7">
        <v>10</v>
      </c>
      <c r="I78" s="7">
        <v>5</v>
      </c>
      <c r="J78" s="7">
        <v>5</v>
      </c>
      <c r="K78" s="6" t="str">
        <f>IF(A78=Calculator!B4,1+MAX(K77:K77),"")</f>
        <v/>
      </c>
      <c r="L78" s="6"/>
      <c r="M78" s="6" t="b">
        <v>1</v>
      </c>
    </row>
    <row r="79" spans="1:13" x14ac:dyDescent="0.25">
      <c r="A79" s="6" t="s">
        <v>524</v>
      </c>
      <c r="B79" s="6" t="s">
        <v>533</v>
      </c>
      <c r="C79" s="7">
        <f>IF(OR(Calculator!B3="Low Rank",Calculator!B3="High Rank"),IF(Calculator!B8=FALSE,25,43),IF(Calculator!B8=FALSE,20,40))</f>
        <v>25</v>
      </c>
      <c r="D79" s="7">
        <f>IF(OR(Calculator!B3="Low Rank",Calculator!B3="High Rank"),IF(Calculator!B8=FALSE,25,43),IF(Calculator!B8=FALSE,20,40))</f>
        <v>25</v>
      </c>
      <c r="E79" s="7">
        <f>IF(Calculator!B8=FALSE,15,36)</f>
        <v>15</v>
      </c>
      <c r="F79" s="7">
        <v>20</v>
      </c>
      <c r="G79" s="7">
        <v>0</v>
      </c>
      <c r="H79" s="7">
        <v>15</v>
      </c>
      <c r="I79" s="7">
        <v>10</v>
      </c>
      <c r="J79" s="7">
        <v>10</v>
      </c>
      <c r="K79" s="6" t="str">
        <f>IF(A79=Calculator!B4,1+MAX(K78:K78),"")</f>
        <v/>
      </c>
      <c r="L79" s="6"/>
      <c r="M79" s="6" t="b">
        <v>1</v>
      </c>
    </row>
    <row r="80" spans="1:13" x14ac:dyDescent="0.25">
      <c r="A80" s="6" t="s">
        <v>525</v>
      </c>
      <c r="B80" s="6" t="s">
        <v>502</v>
      </c>
      <c r="C80" s="7">
        <f>IF(OR(Calculator!B3="Low Rank",Calculator!B3="High Rank"),IF(Calculator!B8=FALSE,80,85),IF(Calculator!B8=FALSE,65,73))</f>
        <v>80</v>
      </c>
      <c r="D80" s="7">
        <f>IF(OR(Calculator!B3="Low Rank",Calculator!B3="High Rank"),IF(Calculator!B8=FALSE,85,88),IF(Calculator!B8=FALSE,70,77))</f>
        <v>85</v>
      </c>
      <c r="E80" s="7">
        <f>IF(OR(Calculator!B3="Low Rank",Calculator!B3="High Rank"),IF(Calculator!B8=FALSE,75,81),IF(Calculator!B8=FALSE,60,70))</f>
        <v>75</v>
      </c>
      <c r="F80" s="7">
        <v>15</v>
      </c>
      <c r="G80" s="7">
        <v>30</v>
      </c>
      <c r="H80" s="7">
        <v>0</v>
      </c>
      <c r="I80" s="7">
        <v>20</v>
      </c>
      <c r="J80" s="7">
        <v>10</v>
      </c>
      <c r="K80" s="6" t="str">
        <f>IF(A80=Calculator!B4,1+MAX(K79:K79),"")</f>
        <v/>
      </c>
      <c r="L80" s="6" t="s">
        <v>542</v>
      </c>
      <c r="M80" s="6" t="b">
        <v>1</v>
      </c>
    </row>
    <row r="81" spans="1:13" x14ac:dyDescent="0.25">
      <c r="A81" s="6" t="s">
        <v>525</v>
      </c>
      <c r="B81" s="6" t="s">
        <v>528</v>
      </c>
      <c r="C81" s="7">
        <f>IF(Calculator!B8=FALSE,40,55)</f>
        <v>40</v>
      </c>
      <c r="D81" s="7">
        <f>IF(Calculator!B8=FALSE,45,58)</f>
        <v>45</v>
      </c>
      <c r="E81" s="7">
        <f>IF(Calculator!B8=FALSE,35,51)</f>
        <v>35</v>
      </c>
      <c r="F81" s="7">
        <v>5</v>
      </c>
      <c r="G81" s="7">
        <v>20</v>
      </c>
      <c r="H81" s="7">
        <v>0</v>
      </c>
      <c r="I81" s="7">
        <v>10</v>
      </c>
      <c r="J81" s="7">
        <v>5</v>
      </c>
      <c r="K81" s="6" t="str">
        <f>IF(A81=Calculator!B4,1+MAX(K80:K80),"")</f>
        <v/>
      </c>
      <c r="L81" s="6"/>
      <c r="M81" s="6" t="b">
        <v>1</v>
      </c>
    </row>
    <row r="82" spans="1:13" x14ac:dyDescent="0.25">
      <c r="A82" s="6" t="s">
        <v>525</v>
      </c>
      <c r="B82" s="6" t="s">
        <v>529</v>
      </c>
      <c r="C82" s="7">
        <v>35</v>
      </c>
      <c r="D82" s="7">
        <v>35</v>
      </c>
      <c r="E82" s="7">
        <v>30</v>
      </c>
      <c r="F82" s="7">
        <v>0</v>
      </c>
      <c r="G82" s="7">
        <v>15</v>
      </c>
      <c r="H82" s="7">
        <v>0</v>
      </c>
      <c r="I82" s="7">
        <v>5</v>
      </c>
      <c r="J82" s="7">
        <v>0</v>
      </c>
      <c r="K82" s="6" t="str">
        <f>IF(A82=Calculator!B4,1+MAX(K81:K81),"")</f>
        <v/>
      </c>
      <c r="L82" s="6"/>
      <c r="M82" s="6"/>
    </row>
    <row r="83" spans="1:13" x14ac:dyDescent="0.25">
      <c r="A83" s="6" t="s">
        <v>525</v>
      </c>
      <c r="B83" s="6" t="s">
        <v>530</v>
      </c>
      <c r="C83" s="7">
        <v>35</v>
      </c>
      <c r="D83" s="7">
        <v>35</v>
      </c>
      <c r="E83" s="7">
        <v>30</v>
      </c>
      <c r="F83" s="7">
        <v>0</v>
      </c>
      <c r="G83" s="7">
        <v>15</v>
      </c>
      <c r="H83" s="7">
        <v>0</v>
      </c>
      <c r="I83" s="7">
        <v>5</v>
      </c>
      <c r="J83" s="7">
        <v>0</v>
      </c>
      <c r="K83" s="6" t="str">
        <f>IF(A83=Calculator!B4,1+MAX(K82:K82),"")</f>
        <v/>
      </c>
      <c r="L83" s="6"/>
      <c r="M83" s="6"/>
    </row>
    <row r="84" spans="1:13" x14ac:dyDescent="0.25">
      <c r="A84" s="6" t="s">
        <v>525</v>
      </c>
      <c r="B84" s="6" t="s">
        <v>531</v>
      </c>
      <c r="C84" s="7">
        <f>IF(Calculator!B8=FALSE,55,66)</f>
        <v>55</v>
      </c>
      <c r="D84" s="7">
        <f>IF(Calculator!B8=FALSE,50,62)</f>
        <v>50</v>
      </c>
      <c r="E84" s="7">
        <f>IF(Calculator!B8=FALSE,45,58)</f>
        <v>45</v>
      </c>
      <c r="F84" s="7">
        <v>10</v>
      </c>
      <c r="G84" s="7">
        <v>25</v>
      </c>
      <c r="H84" s="7">
        <v>0</v>
      </c>
      <c r="I84" s="7">
        <v>15</v>
      </c>
      <c r="J84" s="7">
        <v>5</v>
      </c>
      <c r="K84" s="6" t="str">
        <f>IF(A84=Calculator!B4,1+MAX(K83:K83),"")</f>
        <v/>
      </c>
      <c r="L84" s="6"/>
      <c r="M84" s="6" t="b">
        <v>1</v>
      </c>
    </row>
    <row r="85" spans="1:13" x14ac:dyDescent="0.25">
      <c r="A85" s="6" t="s">
        <v>525</v>
      </c>
      <c r="B85" s="6" t="s">
        <v>532</v>
      </c>
      <c r="C85" s="7">
        <f>IF(OR(Calculator!B3="Low Rank",Calculator!B3="High Rank"),40,35)</f>
        <v>40</v>
      </c>
      <c r="D85" s="7">
        <f>IF(OR(Calculator!B3="Low Rank",Calculator!B3="High Rank"),40,35)</f>
        <v>40</v>
      </c>
      <c r="E85" s="7">
        <f>IF(OR(Calculator!B3="Low Rank",Calculator!B3="High Rank"),35,30)</f>
        <v>35</v>
      </c>
      <c r="F85" s="7">
        <v>0</v>
      </c>
      <c r="G85" s="7">
        <v>15</v>
      </c>
      <c r="H85" s="7">
        <v>0</v>
      </c>
      <c r="I85" s="7">
        <v>5</v>
      </c>
      <c r="J85" s="7">
        <v>0</v>
      </c>
      <c r="K85" s="6" t="str">
        <f>IF(A85=Calculator!B4,1+MAX(K84:K84),"")</f>
        <v/>
      </c>
      <c r="L85" s="6"/>
      <c r="M85" s="6"/>
    </row>
    <row r="86" spans="1:13" x14ac:dyDescent="0.25">
      <c r="A86" s="6" t="s">
        <v>525</v>
      </c>
      <c r="B86" s="6" t="s">
        <v>533</v>
      </c>
      <c r="C86" s="7">
        <f>IF(Calculator!B8=FALSE,50,62)</f>
        <v>50</v>
      </c>
      <c r="D86" s="7">
        <f>IF(Calculator!B8=FALSE,45,58)</f>
        <v>45</v>
      </c>
      <c r="E86" s="7">
        <f>IF(Calculator!B8=FALSE,40,55)</f>
        <v>40</v>
      </c>
      <c r="F86" s="7">
        <v>5</v>
      </c>
      <c r="G86" s="7">
        <v>20</v>
      </c>
      <c r="H86" s="7">
        <v>0</v>
      </c>
      <c r="I86" s="7">
        <v>10</v>
      </c>
      <c r="J86" s="7">
        <v>5</v>
      </c>
      <c r="K86" s="6" t="str">
        <f>IF(A86=Calculator!B4,1+MAX(K85:K85),"")</f>
        <v/>
      </c>
      <c r="L86" s="6"/>
      <c r="M86" s="6" t="b">
        <v>1</v>
      </c>
    </row>
    <row r="87" spans="1:13" x14ac:dyDescent="0.25">
      <c r="A87" s="6" t="s">
        <v>526</v>
      </c>
      <c r="B87" s="6" t="s">
        <v>502</v>
      </c>
      <c r="C87" s="7">
        <f>IF(OR(Calculator!B3="Low Rank",Calculator!B3="High Rank"),IF(Calculator!B8=FALSE,80,85),IF(Calculator!B8=FALSE,60,70))</f>
        <v>80</v>
      </c>
      <c r="D87" s="7">
        <f>IF(OR(Calculator!B3="Low Rank",Calculator!B3="High Rank"),IF(Calculator!B8=FALSE,90,92),IF(Calculator!B8=FALSE,65,73))</f>
        <v>90</v>
      </c>
      <c r="E87" s="7">
        <f>IF(OR(Calculator!B3="Low Rank",Calculator!B3="High Rank"),IF(Calculator!B8=FALSE,50,62),IF(Calculator!B8=FALSE,45,58))</f>
        <v>50</v>
      </c>
      <c r="F87" s="7">
        <v>20</v>
      </c>
      <c r="G87" s="7">
        <v>20</v>
      </c>
      <c r="H87" s="7">
        <v>20</v>
      </c>
      <c r="I87" s="7">
        <v>20</v>
      </c>
      <c r="J87" s="7">
        <v>30</v>
      </c>
      <c r="K87" s="6" t="str">
        <f>IF(A87=Calculator!B4,1+MAX(K86:K86),"")</f>
        <v/>
      </c>
      <c r="L87" s="6" t="s">
        <v>542</v>
      </c>
      <c r="M87" s="6" t="b">
        <v>1</v>
      </c>
    </row>
    <row r="88" spans="1:13" x14ac:dyDescent="0.25">
      <c r="A88" s="6" t="s">
        <v>526</v>
      </c>
      <c r="B88" s="6" t="s">
        <v>561</v>
      </c>
      <c r="C88" s="7">
        <f>IF(OR(Calculator!B3="Low Rank",Calculator!B3="High Rank"),IF(Calculator!B8=FALSE,24,43),IF(Calculator!B8=FALSE,21,40))</f>
        <v>24</v>
      </c>
      <c r="D88" s="7">
        <f>IF(OR(Calculator!B3="Low Rank",Calculator!B3="High Rank"),IF(Calculator!B8=FALSE,25,43),IF(Calculator!B8=FALSE,23,42))</f>
        <v>25</v>
      </c>
      <c r="E88" s="7">
        <f>IF(Calculator!B8=FALSE,15,36)</f>
        <v>15</v>
      </c>
      <c r="F88" s="7">
        <v>0</v>
      </c>
      <c r="G88" s="7">
        <v>0</v>
      </c>
      <c r="H88" s="7">
        <v>0</v>
      </c>
      <c r="I88" s="7">
        <v>0</v>
      </c>
      <c r="J88" s="7">
        <v>0</v>
      </c>
      <c r="K88" s="6" t="str">
        <f>IF(A88=Calculator!B4,1+MAX(K87:K87),"")</f>
        <v/>
      </c>
      <c r="L88" s="6"/>
      <c r="M88" s="6" t="b">
        <v>1</v>
      </c>
    </row>
    <row r="89" spans="1:13" x14ac:dyDescent="0.25">
      <c r="A89" s="6" t="s">
        <v>526</v>
      </c>
      <c r="B89" s="6" t="s">
        <v>528</v>
      </c>
      <c r="C89" s="7">
        <v>30</v>
      </c>
      <c r="D89" s="7">
        <v>30</v>
      </c>
      <c r="E89" s="7">
        <v>25</v>
      </c>
      <c r="F89" s="7">
        <v>10</v>
      </c>
      <c r="G89" s="7">
        <v>10</v>
      </c>
      <c r="H89" s="7">
        <v>10</v>
      </c>
      <c r="I89" s="7">
        <v>15</v>
      </c>
      <c r="J89" s="7">
        <v>20</v>
      </c>
      <c r="K89" s="6" t="str">
        <f>IF(A89=Calculator!B4,1+MAX(K88:K88),"")</f>
        <v/>
      </c>
      <c r="L89" s="6"/>
      <c r="M89" s="6" t="b">
        <v>1</v>
      </c>
    </row>
    <row r="90" spans="1:13" x14ac:dyDescent="0.25">
      <c r="A90" s="6" t="s">
        <v>526</v>
      </c>
      <c r="B90" s="6" t="s">
        <v>529</v>
      </c>
      <c r="C90" s="7">
        <f>IF(Calculator!B8=FALSE,45,58)</f>
        <v>45</v>
      </c>
      <c r="D90" s="7">
        <f>IF(Calculator!B8=FALSE,50,62)</f>
        <v>50</v>
      </c>
      <c r="E90" s="7">
        <f>IF(Calculator!B8=FALSE,30,47)</f>
        <v>30</v>
      </c>
      <c r="F90" s="7">
        <v>10</v>
      </c>
      <c r="G90" s="7">
        <v>10</v>
      </c>
      <c r="H90" s="7">
        <v>10</v>
      </c>
      <c r="I90" s="7">
        <v>15</v>
      </c>
      <c r="J90" s="7">
        <v>20</v>
      </c>
      <c r="K90" s="6" t="str">
        <f>IF(A90=Calculator!B4,1+MAX(K89:K89),"")</f>
        <v/>
      </c>
      <c r="L90" s="6"/>
      <c r="M90" s="6"/>
    </row>
    <row r="91" spans="1:13" x14ac:dyDescent="0.25">
      <c r="A91" s="6" t="s">
        <v>526</v>
      </c>
      <c r="B91" s="6" t="s">
        <v>621</v>
      </c>
      <c r="C91" s="7">
        <f>IF(Calculator!B8=FALSE,20,40)</f>
        <v>20</v>
      </c>
      <c r="D91" s="7">
        <f>IF(Calculator!B8=FALSE,25,43)</f>
        <v>25</v>
      </c>
      <c r="E91" s="7">
        <f>IF(Calculator!B8=FALSE,15,36)</f>
        <v>15</v>
      </c>
      <c r="F91" s="7">
        <v>0</v>
      </c>
      <c r="G91" s="7">
        <v>0</v>
      </c>
      <c r="H91" s="7">
        <v>0</v>
      </c>
      <c r="I91" s="7">
        <v>0</v>
      </c>
      <c r="J91" s="7">
        <v>0</v>
      </c>
      <c r="K91" s="6" t="str">
        <f>IF(A91=Calculator!B4,1+MAX(K90:K90),"")</f>
        <v/>
      </c>
      <c r="L91" s="6"/>
      <c r="M91" s="6" t="b">
        <v>1</v>
      </c>
    </row>
    <row r="92" spans="1:13" x14ac:dyDescent="0.25">
      <c r="A92" s="6" t="s">
        <v>526</v>
      </c>
      <c r="B92" s="6" t="s">
        <v>505</v>
      </c>
      <c r="C92" s="7">
        <f>IF(Calculator!B8=FALSE,55,66)</f>
        <v>55</v>
      </c>
      <c r="D92" s="7">
        <f>IF(Calculator!B8=FALSE,45,58)</f>
        <v>45</v>
      </c>
      <c r="E92" s="7">
        <f>IF(Calculator!B8=FALSE,40,55)</f>
        <v>40</v>
      </c>
      <c r="F92" s="7">
        <v>10</v>
      </c>
      <c r="G92" s="7">
        <v>10</v>
      </c>
      <c r="H92" s="7">
        <v>10</v>
      </c>
      <c r="I92" s="7">
        <v>10</v>
      </c>
      <c r="J92" s="7">
        <v>15</v>
      </c>
      <c r="K92" s="6" t="str">
        <f>IF(A92=Calculator!B4,1+MAX(K91:K91),"")</f>
        <v/>
      </c>
      <c r="L92" s="6"/>
      <c r="M92" s="6" t="b">
        <v>1</v>
      </c>
    </row>
    <row r="93" spans="1:13" x14ac:dyDescent="0.25">
      <c r="A93" s="6" t="s">
        <v>526</v>
      </c>
      <c r="B93" s="6" t="s">
        <v>562</v>
      </c>
      <c r="C93" s="7">
        <f>IF(Calculator!B8=FALSE,20,40)</f>
        <v>20</v>
      </c>
      <c r="D93" s="7">
        <f>IF(Calculator!B8=FALSE,25,43)</f>
        <v>25</v>
      </c>
      <c r="E93" s="7">
        <f>IF(Calculator!B8=FALSE,15,36)</f>
        <v>15</v>
      </c>
      <c r="F93" s="7">
        <v>0</v>
      </c>
      <c r="G93" s="7">
        <v>0</v>
      </c>
      <c r="H93" s="7">
        <v>0</v>
      </c>
      <c r="I93" s="7">
        <v>0</v>
      </c>
      <c r="J93" s="7">
        <v>0</v>
      </c>
      <c r="K93" s="6" t="str">
        <f>IF(A93=Calculator!B4,1+MAX(K92:K92),"")</f>
        <v/>
      </c>
      <c r="L93" s="6"/>
      <c r="M93" s="6" t="b">
        <v>1</v>
      </c>
    </row>
    <row r="94" spans="1:13" x14ac:dyDescent="0.25">
      <c r="A94" s="6" t="s">
        <v>526</v>
      </c>
      <c r="B94" s="6" t="s">
        <v>533</v>
      </c>
      <c r="C94" s="7">
        <f>IF(Calculator!B8=FALSE,45,58)</f>
        <v>45</v>
      </c>
      <c r="D94" s="7">
        <f>IF(Calculator!B8=FALSE,30,47)</f>
        <v>30</v>
      </c>
      <c r="E94" s="7">
        <f>IF(Calculator!B8=FALSE,30,47)</f>
        <v>30</v>
      </c>
      <c r="F94" s="7">
        <v>15</v>
      </c>
      <c r="G94" s="7">
        <v>15</v>
      </c>
      <c r="H94" s="7">
        <v>15</v>
      </c>
      <c r="I94" s="7">
        <v>15</v>
      </c>
      <c r="J94" s="7">
        <v>15</v>
      </c>
      <c r="K94" s="6" t="str">
        <f>IF(A94=Calculator!B4,1+MAX(K93:K93),"")</f>
        <v/>
      </c>
      <c r="L94" s="6"/>
      <c r="M94" s="6" t="b">
        <v>1</v>
      </c>
    </row>
    <row r="95" spans="1:13" x14ac:dyDescent="0.25">
      <c r="A95" s="6" t="s">
        <v>527</v>
      </c>
      <c r="B95" s="6" t="s">
        <v>502</v>
      </c>
      <c r="C95" s="7">
        <f>IF(OR(Calculator!B3="Low Rank",Calculator!B3="High Rank"),IF(Calculator!B8=FALSE,65,73),IF(Calculator!B8=FALSE,59,69))</f>
        <v>65</v>
      </c>
      <c r="D95" s="7">
        <f>IF(OR(Calculator!B3="Low Rank",Calculator!B3="High Rank"),IF(Calculator!B8=FALSE,70,77),IF(Calculator!B8=FALSE,63,72))</f>
        <v>70</v>
      </c>
      <c r="E95" s="7">
        <f>IF(OR(Calculator!B3="Low Rank",Calculator!B3="High Rank"),IF(Calculator!B8=FALSE,60,70),IF(Calculator!B8=FALSE,54,65))</f>
        <v>60</v>
      </c>
      <c r="F95" s="7">
        <v>20</v>
      </c>
      <c r="G95" s="7">
        <v>15</v>
      </c>
      <c r="H95" s="7">
        <v>25</v>
      </c>
      <c r="I95" s="7">
        <v>0</v>
      </c>
      <c r="J95" s="7">
        <v>10</v>
      </c>
      <c r="K95" s="6" t="str">
        <f>IF(A95=Calculator!B4,1+MAX(K94:K94),"")</f>
        <v/>
      </c>
      <c r="L95" s="6" t="s">
        <v>542</v>
      </c>
      <c r="M95" s="6" t="b">
        <v>1</v>
      </c>
    </row>
    <row r="96" spans="1:13" x14ac:dyDescent="0.25">
      <c r="A96" s="6" t="s">
        <v>527</v>
      </c>
      <c r="B96" s="6" t="s">
        <v>528</v>
      </c>
      <c r="C96" s="7">
        <f>IF(Calculator!B8=FALSE,35,51)</f>
        <v>35</v>
      </c>
      <c r="D96" s="7">
        <f>IF(Calculator!B8=FALSE,40,55)</f>
        <v>40</v>
      </c>
      <c r="E96" s="7">
        <f>IF(Calculator!B8=FALSE,30,47)</f>
        <v>30</v>
      </c>
      <c r="F96" s="7">
        <v>10</v>
      </c>
      <c r="G96" s="7">
        <v>5</v>
      </c>
      <c r="H96" s="7">
        <v>15</v>
      </c>
      <c r="I96" s="7">
        <v>0</v>
      </c>
      <c r="J96" s="7">
        <v>5</v>
      </c>
      <c r="K96" s="6" t="str">
        <f>IF(A96=Calculator!B4,1+MAX(K95:K95),"")</f>
        <v/>
      </c>
      <c r="L96" s="6"/>
      <c r="M96" s="6" t="b">
        <v>1</v>
      </c>
    </row>
    <row r="97" spans="1:13" x14ac:dyDescent="0.25">
      <c r="A97" s="6" t="s">
        <v>527</v>
      </c>
      <c r="B97" s="6" t="s">
        <v>529</v>
      </c>
      <c r="C97" s="7">
        <f>IF(OR(Calculator!B3="Low Rank",Calculator!B3="High Rank"),25,24)</f>
        <v>25</v>
      </c>
      <c r="D97" s="7">
        <f>IF(OR(Calculator!B3="Low Rank",Calculator!B3="High Rank"),25,24)</f>
        <v>25</v>
      </c>
      <c r="E97" s="7">
        <f>IF(OR(Calculator!B3="Low Rank",Calculator!B3="High Rank"),20,18)</f>
        <v>20</v>
      </c>
      <c r="F97" s="7">
        <v>10</v>
      </c>
      <c r="G97" s="7">
        <v>5</v>
      </c>
      <c r="H97" s="7">
        <v>15</v>
      </c>
      <c r="I97" s="7">
        <v>0</v>
      </c>
      <c r="J97" s="7">
        <v>5</v>
      </c>
      <c r="K97" s="6" t="str">
        <f>IF(A97=Calculator!B4,1+MAX(K96:K96),"")</f>
        <v/>
      </c>
      <c r="L97" s="6"/>
      <c r="M97" s="6"/>
    </row>
    <row r="98" spans="1:13" x14ac:dyDescent="0.25">
      <c r="A98" s="6" t="s">
        <v>527</v>
      </c>
      <c r="B98" s="6" t="s">
        <v>530</v>
      </c>
      <c r="C98" s="7">
        <f>IF(OR(Calculator!B3="Low Rank",Calculator!B3="High Rank"),25,24)</f>
        <v>25</v>
      </c>
      <c r="D98" s="7">
        <f>IF(OR(Calculator!B3="Low Rank",Calculator!B3="High Rank"),25,24)</f>
        <v>25</v>
      </c>
      <c r="E98" s="7">
        <f>IF(OR(Calculator!B3="Low Rank",Calculator!B3="High Rank"),20,18)</f>
        <v>20</v>
      </c>
      <c r="F98" s="7">
        <v>10</v>
      </c>
      <c r="G98" s="7">
        <v>5</v>
      </c>
      <c r="H98" s="7">
        <v>15</v>
      </c>
      <c r="I98" s="7">
        <v>0</v>
      </c>
      <c r="J98" s="7">
        <v>5</v>
      </c>
      <c r="K98" s="6" t="str">
        <f>IF(A98=Calculator!B4,1+MAX(K97:K97),"")</f>
        <v/>
      </c>
      <c r="L98" s="6"/>
      <c r="M98" s="6"/>
    </row>
    <row r="99" spans="1:13" x14ac:dyDescent="0.25">
      <c r="A99" s="6" t="s">
        <v>527</v>
      </c>
      <c r="B99" s="6" t="s">
        <v>548</v>
      </c>
      <c r="C99" s="7">
        <f>IF(Calculator!B8=FALSE,50,62)</f>
        <v>50</v>
      </c>
      <c r="D99" s="7">
        <f>IF(Calculator!B8=FALSE,45,58)</f>
        <v>45</v>
      </c>
      <c r="E99" s="7">
        <f>IF(Calculator!B8=FALSE,40,55)</f>
        <v>40</v>
      </c>
      <c r="F99" s="7">
        <v>15</v>
      </c>
      <c r="G99" s="7">
        <v>10</v>
      </c>
      <c r="H99" s="7">
        <v>20</v>
      </c>
      <c r="I99" s="7">
        <v>0</v>
      </c>
      <c r="J99" s="7">
        <v>5</v>
      </c>
      <c r="K99" s="6" t="str">
        <f>IF(A99=Calculator!B4,1+MAX(K98:K98),"")</f>
        <v/>
      </c>
      <c r="L99" s="6"/>
      <c r="M99" s="6" t="b">
        <v>1</v>
      </c>
    </row>
    <row r="100" spans="1:13" x14ac:dyDescent="0.25">
      <c r="A100" s="6" t="s">
        <v>527</v>
      </c>
      <c r="B100" s="6" t="s">
        <v>505</v>
      </c>
      <c r="C100" s="7">
        <f>IF(Calculator!B8=FALSE,35,51)</f>
        <v>35</v>
      </c>
      <c r="D100" s="7">
        <f>IF(Calculator!B8=FALSE,35,51)</f>
        <v>35</v>
      </c>
      <c r="E100" s="7">
        <f>IF(Calculator!B8=FALSE,30,47)</f>
        <v>30</v>
      </c>
      <c r="F100" s="7">
        <v>5</v>
      </c>
      <c r="G100" s="7">
        <v>0</v>
      </c>
      <c r="H100" s="7">
        <v>10</v>
      </c>
      <c r="I100" s="7">
        <v>0</v>
      </c>
      <c r="J100" s="7">
        <v>0</v>
      </c>
      <c r="K100" s="6" t="str">
        <f>IF(A100=Calculator!B4,1+MAX(K99:K99),"")</f>
        <v/>
      </c>
      <c r="L100" s="6"/>
      <c r="M100" s="6" t="b">
        <v>1</v>
      </c>
    </row>
    <row r="101" spans="1:13" x14ac:dyDescent="0.25">
      <c r="A101" s="6" t="s">
        <v>527</v>
      </c>
      <c r="B101" s="6" t="s">
        <v>533</v>
      </c>
      <c r="C101" s="7">
        <f>IF(Calculator!B8=FALSE,45,58)</f>
        <v>45</v>
      </c>
      <c r="D101" s="7">
        <f>IF(Calculator!B8=FALSE,40,55)</f>
        <v>40</v>
      </c>
      <c r="E101" s="7">
        <f>IF(Calculator!B8=FALSE,35,51)</f>
        <v>35</v>
      </c>
      <c r="F101" s="7">
        <v>10</v>
      </c>
      <c r="G101" s="7">
        <v>5</v>
      </c>
      <c r="H101" s="7">
        <v>15</v>
      </c>
      <c r="I101" s="7">
        <v>0</v>
      </c>
      <c r="J101" s="7">
        <v>5</v>
      </c>
      <c r="K101" s="6" t="str">
        <f>IF(A101=Calculator!B4,1+MAX(K100:K100),"")</f>
        <v/>
      </c>
      <c r="L101" s="6"/>
      <c r="M101" s="6" t="b">
        <v>1</v>
      </c>
    </row>
    <row r="102" spans="1:13" x14ac:dyDescent="0.25">
      <c r="A102" s="6" t="s">
        <v>563</v>
      </c>
      <c r="B102" s="6" t="s">
        <v>502</v>
      </c>
      <c r="C102" s="7">
        <f>IF(OR(Calculator!B3="Low Rank",Calculator!B3="High Rank"),IF(Calculator!B8=FALSE,70,77),IF(Calculator!B8=FALSE,60,70))</f>
        <v>70</v>
      </c>
      <c r="D102" s="7">
        <f>IF(OR(Calculator!B3="Low Rank",Calculator!B3="High Rank"),IF(Calculator!B8=FALSE,75,81),IF(Calculator!B8=FALSE,65,73))</f>
        <v>75</v>
      </c>
      <c r="E102" s="7">
        <f>IF(OR(Calculator!B3="Low Rank",Calculator!B3="High Rank"),IF(Calculator!B8=FALSE,65,73),IF(Calculator!B8=FALSE,55,66))</f>
        <v>65</v>
      </c>
      <c r="F102" s="7">
        <v>10</v>
      </c>
      <c r="G102" s="7">
        <v>15</v>
      </c>
      <c r="H102" s="7">
        <v>20</v>
      </c>
      <c r="I102" s="7">
        <v>30</v>
      </c>
      <c r="J102" s="7">
        <v>0</v>
      </c>
      <c r="K102" s="6" t="str">
        <f>IF(A102=Calculator!B4,1+MAX(K101:K101),"")</f>
        <v/>
      </c>
      <c r="L102" s="6" t="s">
        <v>542</v>
      </c>
      <c r="M102" s="6" t="b">
        <v>1</v>
      </c>
    </row>
    <row r="103" spans="1:13" x14ac:dyDescent="0.25">
      <c r="A103" s="6" t="s">
        <v>563</v>
      </c>
      <c r="B103" s="6" t="s">
        <v>528</v>
      </c>
      <c r="C103" s="7">
        <f>IF(OR(Calculator!B3="Low Rank",Calculator!B3="High Rank"),IF(Calculator!B8=FALSE,40,55),IF(Calculator!B8=FALSE,36,52))</f>
        <v>40</v>
      </c>
      <c r="D103" s="7">
        <f>IF(Calculator!B8=FALSE,45,58)</f>
        <v>45</v>
      </c>
      <c r="E103" s="7">
        <f>IF(OR(Calculator!B3="Low Rank",Calculator!B3="High Rank"),IF(Calculator!B8=FALSE,35,51),IF(Calculator!B8=FALSE,32,49))</f>
        <v>35</v>
      </c>
      <c r="F103" s="7">
        <v>0</v>
      </c>
      <c r="G103" s="7">
        <v>5</v>
      </c>
      <c r="H103" s="7">
        <v>10</v>
      </c>
      <c r="I103" s="7">
        <v>20</v>
      </c>
      <c r="J103" s="7">
        <v>0</v>
      </c>
      <c r="K103" s="6" t="str">
        <f>IF(A103=Calculator!B4,1+MAX(K102:K102),"")</f>
        <v/>
      </c>
      <c r="L103" s="6"/>
      <c r="M103" s="6" t="b">
        <v>1</v>
      </c>
    </row>
    <row r="104" spans="1:13" x14ac:dyDescent="0.25">
      <c r="A104" s="6" t="s">
        <v>563</v>
      </c>
      <c r="B104" s="6" t="s">
        <v>529</v>
      </c>
      <c r="C104" s="7">
        <v>30</v>
      </c>
      <c r="D104" s="7">
        <v>30</v>
      </c>
      <c r="E104" s="7">
        <v>25</v>
      </c>
      <c r="F104" s="7">
        <v>0</v>
      </c>
      <c r="G104" s="7">
        <v>0</v>
      </c>
      <c r="H104" s="7">
        <v>5</v>
      </c>
      <c r="I104" s="7">
        <v>15</v>
      </c>
      <c r="J104" s="7">
        <v>0</v>
      </c>
      <c r="K104" s="6" t="str">
        <f>IF(A104=Calculator!B4,1+MAX(K103:K103),"")</f>
        <v/>
      </c>
      <c r="L104" s="6"/>
      <c r="M104" s="6"/>
    </row>
    <row r="105" spans="1:13" x14ac:dyDescent="0.25">
      <c r="A105" s="6" t="s">
        <v>563</v>
      </c>
      <c r="B105" s="6" t="s">
        <v>530</v>
      </c>
      <c r="C105" s="7">
        <v>30</v>
      </c>
      <c r="D105" s="7">
        <v>30</v>
      </c>
      <c r="E105" s="7">
        <v>25</v>
      </c>
      <c r="F105" s="7">
        <v>0</v>
      </c>
      <c r="G105" s="7">
        <v>0</v>
      </c>
      <c r="H105" s="7">
        <v>5</v>
      </c>
      <c r="I105" s="7">
        <v>15</v>
      </c>
      <c r="J105" s="7">
        <v>0</v>
      </c>
      <c r="K105" s="6" t="str">
        <f>IF(A105=Calculator!B4,1+MAX(K104:K104),"")</f>
        <v/>
      </c>
      <c r="L105" s="6"/>
      <c r="M105" s="6"/>
    </row>
    <row r="106" spans="1:13" x14ac:dyDescent="0.25">
      <c r="A106" s="6" t="s">
        <v>563</v>
      </c>
      <c r="B106" s="6" t="s">
        <v>531</v>
      </c>
      <c r="C106" s="7">
        <f>IF(Calculator!B8=FALSE,55,66)</f>
        <v>55</v>
      </c>
      <c r="D106" s="7">
        <f>IF(Calculator!B8=FALSE,50,62)</f>
        <v>50</v>
      </c>
      <c r="E106" s="7">
        <f>IF(Calculator!B8=FALSE,45,58)</f>
        <v>45</v>
      </c>
      <c r="F106" s="7">
        <v>5</v>
      </c>
      <c r="G106" s="7">
        <v>10</v>
      </c>
      <c r="H106" s="7">
        <v>15</v>
      </c>
      <c r="I106" s="7">
        <v>25</v>
      </c>
      <c r="J106" s="7">
        <v>0</v>
      </c>
      <c r="K106" s="6" t="str">
        <f>IF(A106=Calculator!B4,1+MAX(K105:K105),"")</f>
        <v/>
      </c>
      <c r="L106" s="6"/>
      <c r="M106" s="6" t="b">
        <v>1</v>
      </c>
    </row>
    <row r="107" spans="1:13" x14ac:dyDescent="0.25">
      <c r="A107" s="6" t="s">
        <v>563</v>
      </c>
      <c r="B107" s="6" t="s">
        <v>532</v>
      </c>
      <c r="C107" s="7">
        <f>IF(Calculator!B8=FALSE,45,58)</f>
        <v>45</v>
      </c>
      <c r="D107" s="7">
        <f>IF(OR(Calculator!B3="Low Rank",Calculator!B3="High Rank"),IF(Calculator!B8=FALSE,40,55),IF(Calculator!B8=FALSE,36,52))</f>
        <v>40</v>
      </c>
      <c r="E107" s="7">
        <f>IF(OR(Calculator!B3="Low Rank",Calculator!B3="High Rank"),IF(Calculator!B8=FALSE,35,51),IF(Calculator!B8=FALSE,32,49))</f>
        <v>35</v>
      </c>
      <c r="F107" s="7">
        <v>5</v>
      </c>
      <c r="G107" s="7">
        <v>10</v>
      </c>
      <c r="H107" s="7">
        <v>15</v>
      </c>
      <c r="I107" s="7">
        <v>25</v>
      </c>
      <c r="J107" s="7">
        <v>0</v>
      </c>
      <c r="K107" s="6" t="str">
        <f>IF(A107=Calculator!B4,1+MAX(K106:K106),"")</f>
        <v/>
      </c>
      <c r="L107" s="6"/>
      <c r="M107" s="6" t="b">
        <v>1</v>
      </c>
    </row>
    <row r="108" spans="1:13" x14ac:dyDescent="0.25">
      <c r="A108" s="6" t="s">
        <v>563</v>
      </c>
      <c r="B108" s="6" t="s">
        <v>533</v>
      </c>
      <c r="C108" s="7">
        <f>IF(Calculator!B8=FALSE,45,58)</f>
        <v>45</v>
      </c>
      <c r="D108" s="7">
        <f>IF(OR(Calculator!B3="Low Rank",Calculator!B3="High Rank"),IF(Calculator!B8=FALSE,40,55),IF(Calculator!B8=FALSE,36,52))</f>
        <v>40</v>
      </c>
      <c r="E108" s="7">
        <f>IF(OR(Calculator!B3="Low Rank",Calculator!B3="High Rank"),IF(Calculator!B8=FALSE,35,51),IF(Calculator!B8=FALSE,32,49))</f>
        <v>35</v>
      </c>
      <c r="F108" s="7">
        <v>5</v>
      </c>
      <c r="G108" s="7">
        <v>5</v>
      </c>
      <c r="H108" s="7">
        <v>10</v>
      </c>
      <c r="I108" s="7">
        <v>20</v>
      </c>
      <c r="J108" s="7">
        <v>0</v>
      </c>
      <c r="K108" s="6" t="str">
        <f>IF(A108=Calculator!B4,1+MAX(K107:K107),"")</f>
        <v/>
      </c>
      <c r="L108" s="6"/>
      <c r="M108" s="6" t="b">
        <v>1</v>
      </c>
    </row>
    <row r="109" spans="1:13" x14ac:dyDescent="0.25">
      <c r="A109" s="6" t="s">
        <v>564</v>
      </c>
      <c r="B109" s="6" t="s">
        <v>502</v>
      </c>
      <c r="C109" s="7">
        <f>IF(OR(Calculator!B3="Low Rank",Calculator!B3="High Rank"),IF(Calculator!B8=FALSE,65,73),IF(Calculator!B8=FALSE,60,70))</f>
        <v>65</v>
      </c>
      <c r="D109" s="7">
        <f>IF(OR(Calculator!B3="Low Rank",Calculator!B3="High Rank"),IF(Calculator!B8=FALSE,70,77),IF(Calculator!B8=FALSE,65,73))</f>
        <v>70</v>
      </c>
      <c r="E109" s="7">
        <f>IF(OR(Calculator!B3="Low Rank",Calculator!B3="High Rank"),IF(Calculator!B8=FALSE,60,70),IF(Calculator!B8=FALSE,50,62))</f>
        <v>60</v>
      </c>
      <c r="F109" s="7">
        <v>0</v>
      </c>
      <c r="G109" s="7">
        <v>15</v>
      </c>
      <c r="H109" s="7">
        <v>20</v>
      </c>
      <c r="I109" s="7">
        <v>15</v>
      </c>
      <c r="J109" s="7">
        <v>30</v>
      </c>
      <c r="K109" s="6" t="str">
        <f>IF(A109=Calculator!B4,1+MAX(K108:K108),"")</f>
        <v/>
      </c>
      <c r="L109" s="6" t="s">
        <v>542</v>
      </c>
      <c r="M109" s="6" t="b">
        <v>1</v>
      </c>
    </row>
    <row r="110" spans="1:13" x14ac:dyDescent="0.25">
      <c r="A110" s="6" t="s">
        <v>564</v>
      </c>
      <c r="B110" s="6" t="s">
        <v>528</v>
      </c>
      <c r="C110" s="7">
        <f>IF(Calculator!B8=FALSE,35,51)</f>
        <v>35</v>
      </c>
      <c r="D110" s="7">
        <f>IF(Calculator!B8=FALSE,35,52)</f>
        <v>35</v>
      </c>
      <c r="E110" s="7">
        <f>IF(Calculator!B8=FALSE,30,47)</f>
        <v>30</v>
      </c>
      <c r="F110" s="7">
        <v>0</v>
      </c>
      <c r="G110" s="7">
        <v>5</v>
      </c>
      <c r="H110" s="7">
        <v>10</v>
      </c>
      <c r="I110" s="7">
        <v>5</v>
      </c>
      <c r="J110" s="7">
        <v>20</v>
      </c>
      <c r="K110" s="6" t="str">
        <f>IF(A110=Calculator!B4,1+MAX(K109:K109),"")</f>
        <v/>
      </c>
      <c r="L110" s="6"/>
      <c r="M110" s="6" t="b">
        <v>1</v>
      </c>
    </row>
    <row r="111" spans="1:13" x14ac:dyDescent="0.25">
      <c r="A111" s="6" t="s">
        <v>564</v>
      </c>
      <c r="B111" s="6" t="s">
        <v>529</v>
      </c>
      <c r="C111" s="6">
        <v>25</v>
      </c>
      <c r="D111" s="6">
        <v>25</v>
      </c>
      <c r="E111" s="6">
        <v>20</v>
      </c>
      <c r="F111" s="6">
        <v>0</v>
      </c>
      <c r="G111" s="6">
        <v>5</v>
      </c>
      <c r="H111" s="6">
        <v>10</v>
      </c>
      <c r="I111" s="6">
        <v>5</v>
      </c>
      <c r="J111" s="6">
        <v>20</v>
      </c>
      <c r="K111" s="6" t="str">
        <f>IF(A111=Calculator!B4,1+MAX(K110:K110),"")</f>
        <v/>
      </c>
      <c r="L111" s="6"/>
      <c r="M111" s="6"/>
    </row>
    <row r="112" spans="1:13" x14ac:dyDescent="0.25">
      <c r="A112" s="6" t="s">
        <v>564</v>
      </c>
      <c r="B112" s="6" t="s">
        <v>530</v>
      </c>
      <c r="C112" s="6">
        <v>25</v>
      </c>
      <c r="D112" s="6">
        <v>25</v>
      </c>
      <c r="E112" s="6">
        <v>20</v>
      </c>
      <c r="F112" s="6">
        <v>0</v>
      </c>
      <c r="G112" s="6">
        <v>5</v>
      </c>
      <c r="H112" s="6">
        <v>10</v>
      </c>
      <c r="I112" s="6">
        <v>5</v>
      </c>
      <c r="J112" s="6">
        <v>20</v>
      </c>
      <c r="K112" s="6" t="str">
        <f>IF(A112=Calculator!B4,1+MAX(K111:K111),"")</f>
        <v/>
      </c>
      <c r="L112" s="6"/>
      <c r="M112" s="6"/>
    </row>
    <row r="113" spans="1:13" x14ac:dyDescent="0.25">
      <c r="A113" s="6" t="s">
        <v>564</v>
      </c>
      <c r="B113" s="6" t="s">
        <v>548</v>
      </c>
      <c r="C113" s="6">
        <f>IF(OR(Calculator!B3="Low Rank",Calculator!B3="High Rank"),IF(Calculator!B8=FALSE,50,62),IF(Calculator!B8=FALSE,20,40))</f>
        <v>50</v>
      </c>
      <c r="D113" s="6">
        <f>IF(OR(Calculator!B3="Low Rank",Calculator!B3="High Rank"),IF(Calculator!B8=FALSE,45,58),IF(Calculator!B8=FALSE,21,40))</f>
        <v>45</v>
      </c>
      <c r="E113" s="6">
        <f>IF(OR(Calculator!B3="Low Rank",Calculator!B3="High Rank"),IF(Calculator!B8=FALSE,40,55),IF(Calculator!B8=FALSE,19,39))</f>
        <v>40</v>
      </c>
      <c r="F113" s="6">
        <v>0</v>
      </c>
      <c r="G113" s="6">
        <v>10</v>
      </c>
      <c r="H113" s="6">
        <v>15</v>
      </c>
      <c r="I113" s="6">
        <v>10</v>
      </c>
      <c r="J113" s="6">
        <v>25</v>
      </c>
      <c r="K113" s="6" t="str">
        <f>IF(A113=Calculator!B4,1+MAX(K112:K112),"")</f>
        <v/>
      </c>
      <c r="L113" s="6"/>
      <c r="M113" s="6" t="b">
        <v>1</v>
      </c>
    </row>
    <row r="114" spans="1:13" x14ac:dyDescent="0.25">
      <c r="A114" s="6" t="s">
        <v>564</v>
      </c>
      <c r="B114" s="6" t="s">
        <v>505</v>
      </c>
      <c r="C114" s="6">
        <f>IF(Calculator!B8=FALSE,35,51)</f>
        <v>35</v>
      </c>
      <c r="D114" s="6">
        <f>IF(Calculator!B8=FALSE,35,51)</f>
        <v>35</v>
      </c>
      <c r="E114" s="6">
        <f>IF(Calculator!B8=FALSE,30,47)</f>
        <v>30</v>
      </c>
      <c r="F114" s="6">
        <v>0</v>
      </c>
      <c r="G114" s="6">
        <v>0</v>
      </c>
      <c r="H114" s="6">
        <v>5</v>
      </c>
      <c r="I114" s="6">
        <v>0</v>
      </c>
      <c r="J114" s="6">
        <v>15</v>
      </c>
      <c r="K114" s="6" t="str">
        <f>IF(A114=Calculator!B4,1+MAX(K113:K113),"")</f>
        <v/>
      </c>
      <c r="L114" s="6"/>
      <c r="M114" s="6" t="b">
        <v>1</v>
      </c>
    </row>
    <row r="115" spans="1:13" x14ac:dyDescent="0.25">
      <c r="A115" s="6" t="s">
        <v>564</v>
      </c>
      <c r="B115" s="6" t="s">
        <v>533</v>
      </c>
      <c r="C115" s="6">
        <f>IF(Calculator!B8=FALSE,45,58)</f>
        <v>45</v>
      </c>
      <c r="D115" s="6">
        <f>IF(Calculator!B8=FALSE,40,55)</f>
        <v>40</v>
      </c>
      <c r="E115" s="6">
        <f>IF(Calculator!B8=FALSE,35,51)</f>
        <v>35</v>
      </c>
      <c r="F115" s="6">
        <v>0</v>
      </c>
      <c r="G115" s="6">
        <v>5</v>
      </c>
      <c r="H115" s="6">
        <v>10</v>
      </c>
      <c r="I115" s="6">
        <v>5</v>
      </c>
      <c r="J115" s="6">
        <v>20</v>
      </c>
      <c r="K115" s="6" t="str">
        <f>IF(A115=Calculator!B4,1+MAX(K114:K114),"")</f>
        <v/>
      </c>
      <c r="L115" s="6"/>
      <c r="M115" s="6" t="b">
        <v>1</v>
      </c>
    </row>
    <row r="116" spans="1:13" x14ac:dyDescent="0.25">
      <c r="A116" s="6" t="s">
        <v>565</v>
      </c>
      <c r="B116" s="6" t="s">
        <v>566</v>
      </c>
      <c r="C116" s="6">
        <f>IF(OR(Calculator!B3="Low Rank",Calculator!B3="High Rank"),IF(Calculator!B8=FALSE,21,40),IF(Calculator!B8=FALSE,19,39))</f>
        <v>21</v>
      </c>
      <c r="D116" s="6">
        <f>IF(OR(Calculator!B3="Low Rank",Calculator!B3="High Rank"),IF(Calculator!B8=FALSE,42,56),IF(Calculator!B8=FALSE,38,53))</f>
        <v>42</v>
      </c>
      <c r="E116" s="6">
        <f>IF(OR(Calculator!B3="Low Rank",Calculator!B3="High Rank"),IF(Calculator!B8=FALSE,20,40),IF(Calculator!B8=FALSE,18,38))</f>
        <v>20</v>
      </c>
      <c r="F116" s="6">
        <v>0</v>
      </c>
      <c r="G116" s="6">
        <v>20</v>
      </c>
      <c r="H116" s="6">
        <v>10</v>
      </c>
      <c r="I116" s="6">
        <v>25</v>
      </c>
      <c r="J116" s="6">
        <v>20</v>
      </c>
      <c r="K116" s="6" t="str">
        <f>IF(A116=Calculator!B4,1+MAX(K115:K115),"")</f>
        <v/>
      </c>
      <c r="L116" s="6"/>
      <c r="M116" s="6" t="b">
        <v>1</v>
      </c>
    </row>
    <row r="117" spans="1:13" x14ac:dyDescent="0.25">
      <c r="A117" s="6" t="s">
        <v>565</v>
      </c>
      <c r="B117" s="6" t="s">
        <v>502</v>
      </c>
      <c r="C117" s="6">
        <f>IF(Calculator!B8=FALSE,45,58)</f>
        <v>45</v>
      </c>
      <c r="D117" s="6">
        <f>IF(OR(Calculator!B3="Low Rank",Calculator!B3="High Rank"),IF(Calculator!B8=FALSE,63,72),IF(Calculator!B8=FALSE,57,67))</f>
        <v>63</v>
      </c>
      <c r="E117" s="6">
        <f>IF(OR(Calculator!B3="Low Rank",Calculator!B3="High Rank"),IF(Calculator!B8=FALSE,40,55),IF(Calculator!B8=FALSE,35,51))</f>
        <v>40</v>
      </c>
      <c r="F117" s="6">
        <v>0</v>
      </c>
      <c r="G117" s="6">
        <v>25</v>
      </c>
      <c r="H117" s="6">
        <v>10</v>
      </c>
      <c r="I117" s="6">
        <v>30</v>
      </c>
      <c r="J117" s="6">
        <v>25</v>
      </c>
      <c r="K117" s="6" t="str">
        <f>IF(A117=Calculator!B4,1+MAX(K116:K116),"")</f>
        <v/>
      </c>
      <c r="L117" s="6"/>
      <c r="M117" s="6" t="b">
        <v>1</v>
      </c>
    </row>
    <row r="118" spans="1:13" x14ac:dyDescent="0.25">
      <c r="A118" s="6" t="s">
        <v>565</v>
      </c>
      <c r="B118" s="6" t="s">
        <v>528</v>
      </c>
      <c r="C118" s="6">
        <f>IF(Calculator!B8=FALSE,40,55)</f>
        <v>40</v>
      </c>
      <c r="D118" s="6">
        <f>IF(Calculator!B8=FALSE,40,55)</f>
        <v>40</v>
      </c>
      <c r="E118" s="6">
        <f>IF(Calculator!B8=FALSE,25,43)</f>
        <v>25</v>
      </c>
      <c r="F118" s="6">
        <v>0</v>
      </c>
      <c r="G118" s="6">
        <v>15</v>
      </c>
      <c r="H118" s="6">
        <v>5</v>
      </c>
      <c r="I118" s="6">
        <v>20</v>
      </c>
      <c r="J118" s="6">
        <v>15</v>
      </c>
      <c r="K118" s="6" t="str">
        <f>IF(A118=Calculator!B4,1+MAX(K117:K117),"")</f>
        <v/>
      </c>
      <c r="L118" s="6"/>
      <c r="M118" s="6" t="b">
        <v>1</v>
      </c>
    </row>
    <row r="119" spans="1:13" x14ac:dyDescent="0.25">
      <c r="A119" s="6" t="s">
        <v>565</v>
      </c>
      <c r="B119" s="6" t="s">
        <v>567</v>
      </c>
      <c r="C119" s="6">
        <f>IF(OR(Calculator!B3="Low Rank",Calculator!B3="High Rank"),IF(Calculator!B8=FALSE,73,79),IF(Calculator!B8=FALSE,65,73))</f>
        <v>73</v>
      </c>
      <c r="D119" s="6">
        <f>IF(OR(Calculator!B3="Low Rank",Calculator!B3="High Rank"),IF(Calculator!B8=FALSE,78,83),IF(Calculator!B8=FALSE,70,77))</f>
        <v>78</v>
      </c>
      <c r="E119" s="6">
        <f>IF(OR(Calculator!B3="Low Rank",Calculator!B3="High Rank"),IF(Calculator!B8=FALSE,40,55),IF(Calculator!B8=FALSE,35,51))</f>
        <v>40</v>
      </c>
      <c r="F119" s="6">
        <v>0</v>
      </c>
      <c r="G119" s="6">
        <v>30</v>
      </c>
      <c r="H119" s="6">
        <v>10</v>
      </c>
      <c r="I119" s="6">
        <v>35</v>
      </c>
      <c r="J119" s="6">
        <v>30</v>
      </c>
      <c r="K119" s="6" t="str">
        <f>IF(A119=Calculator!B4,1+MAX(K118:K118),"")</f>
        <v/>
      </c>
      <c r="L119" s="6" t="s">
        <v>542</v>
      </c>
      <c r="M119" s="6" t="b">
        <v>1</v>
      </c>
    </row>
    <row r="120" spans="1:13" x14ac:dyDescent="0.25">
      <c r="A120" s="6" t="s">
        <v>565</v>
      </c>
      <c r="B120" s="6" t="s">
        <v>530</v>
      </c>
      <c r="C120" s="6">
        <f>IF(Calculator!B8=FALSE,24,43)</f>
        <v>24</v>
      </c>
      <c r="D120" s="6">
        <f>IF(Calculator!B8=FALSE,42,56)</f>
        <v>42</v>
      </c>
      <c r="E120" s="6">
        <f>IF(Calculator!B8=FALSE,35,51)</f>
        <v>35</v>
      </c>
      <c r="F120" s="6">
        <v>0</v>
      </c>
      <c r="G120" s="6">
        <v>20</v>
      </c>
      <c r="H120" s="6">
        <v>10</v>
      </c>
      <c r="I120" s="6">
        <v>25</v>
      </c>
      <c r="J120" s="6">
        <v>20</v>
      </c>
      <c r="K120" s="6" t="str">
        <f>IF(A120=Calculator!B4,1+MAX(K119:K119),"")</f>
        <v/>
      </c>
      <c r="L120" s="6"/>
      <c r="M120" s="6" t="b">
        <v>1</v>
      </c>
    </row>
    <row r="121" spans="1:13" x14ac:dyDescent="0.25">
      <c r="A121" s="6" t="s">
        <v>565</v>
      </c>
      <c r="B121" s="6" t="s">
        <v>548</v>
      </c>
      <c r="C121" s="6">
        <v>40</v>
      </c>
      <c r="D121" s="6">
        <v>30</v>
      </c>
      <c r="E121" s="6">
        <v>60</v>
      </c>
      <c r="F121" s="6">
        <v>0</v>
      </c>
      <c r="G121" s="6">
        <v>25</v>
      </c>
      <c r="H121" s="6">
        <v>10</v>
      </c>
      <c r="I121" s="6">
        <v>30</v>
      </c>
      <c r="J121" s="6">
        <v>25</v>
      </c>
      <c r="K121" s="6" t="str">
        <f>IF(A121=Calculator!B4,1+MAX(K120:K120),"")</f>
        <v/>
      </c>
      <c r="L121" s="6"/>
      <c r="M121" s="6"/>
    </row>
    <row r="122" spans="1:13" x14ac:dyDescent="0.25">
      <c r="A122" s="6" t="s">
        <v>565</v>
      </c>
      <c r="B122" s="6" t="s">
        <v>505</v>
      </c>
      <c r="C122" s="6">
        <f>IF(Calculator!B8=FALSE,35,51)</f>
        <v>35</v>
      </c>
      <c r="D122" s="6">
        <f>IF(Calculator!B8=FALSE,35,51)</f>
        <v>35</v>
      </c>
      <c r="E122" s="6">
        <f>IF(Calculator!B8=FALSE,35,51)</f>
        <v>35</v>
      </c>
      <c r="F122" s="6">
        <v>0</v>
      </c>
      <c r="G122" s="6">
        <v>10</v>
      </c>
      <c r="H122" s="6">
        <v>5</v>
      </c>
      <c r="I122" s="6">
        <v>15</v>
      </c>
      <c r="J122" s="6">
        <v>10</v>
      </c>
      <c r="K122" s="6" t="str">
        <f>IF(A122=Calculator!B4,1+MAX(K121:K121),"")</f>
        <v/>
      </c>
      <c r="L122" s="6"/>
      <c r="M122" s="6" t="b">
        <v>1</v>
      </c>
    </row>
    <row r="123" spans="1:13" x14ac:dyDescent="0.25">
      <c r="A123" s="6" t="s">
        <v>565</v>
      </c>
      <c r="B123" s="6" t="s">
        <v>533</v>
      </c>
      <c r="C123" s="6">
        <f>IF(Calculator!B8=FALSE,50,62)</f>
        <v>50</v>
      </c>
      <c r="D123" s="6">
        <f>IF(Calculator!B8=FALSE,24,43)</f>
        <v>24</v>
      </c>
      <c r="E123" s="6">
        <f>IF(Calculator!B8=FALSE,45,58)</f>
        <v>45</v>
      </c>
      <c r="F123" s="6">
        <v>0</v>
      </c>
      <c r="G123" s="6">
        <v>20</v>
      </c>
      <c r="H123" s="6">
        <v>10</v>
      </c>
      <c r="I123" s="6">
        <v>15</v>
      </c>
      <c r="J123" s="6">
        <v>20</v>
      </c>
      <c r="K123" s="6" t="str">
        <f>IF(A123=Calculator!B4,1+MAX(K122:K122),"")</f>
        <v/>
      </c>
      <c r="L123" s="6"/>
      <c r="M123" s="6" t="b">
        <v>1</v>
      </c>
    </row>
    <row r="124" spans="1:13" x14ac:dyDescent="0.25">
      <c r="A124" s="6" t="s">
        <v>565</v>
      </c>
      <c r="B124" s="6" t="s">
        <v>568</v>
      </c>
      <c r="C124" s="6">
        <f>IF(OR(Calculator!B3="Low Rank",Calculator!B3="High Rank"),IF(Calculator!B8=FALSE,23,42),IF(Calculator!B8=FALSE,20,40))</f>
        <v>23</v>
      </c>
      <c r="D124" s="6">
        <f>IF(OR(Calculator!B3="Low Rank",Calculator!B3="High Rank"),IF(Calculator!B8=FALSE,33,49),IF(Calculator!B8=FALSE,26,44))</f>
        <v>33</v>
      </c>
      <c r="E124" s="6">
        <f>IF(Calculator!B8=FALSE,10,32)</f>
        <v>10</v>
      </c>
      <c r="F124" s="6">
        <v>0</v>
      </c>
      <c r="G124" s="6">
        <v>20</v>
      </c>
      <c r="H124" s="6">
        <v>10</v>
      </c>
      <c r="I124" s="6">
        <v>25</v>
      </c>
      <c r="J124" s="6">
        <v>20</v>
      </c>
      <c r="K124" s="6" t="str">
        <f>IF(A124=Calculator!B4,1+MAX(K123:K123),"")</f>
        <v/>
      </c>
      <c r="L124" s="6"/>
      <c r="M124" s="6" t="b">
        <v>1</v>
      </c>
    </row>
    <row r="125" spans="1:13" x14ac:dyDescent="0.25">
      <c r="A125" s="6" t="s">
        <v>603</v>
      </c>
      <c r="B125" s="6" t="s">
        <v>502</v>
      </c>
      <c r="C125" s="6">
        <f>IF(Calculator!B8=FALSE,55,71)</f>
        <v>55</v>
      </c>
      <c r="D125" s="6">
        <f>IF(Calculator!B8=FALSE,55,71)</f>
        <v>55</v>
      </c>
      <c r="E125" s="6">
        <f>IF(Calculator!B8=FALSE,45,63)</f>
        <v>45</v>
      </c>
      <c r="F125" s="6">
        <v>25</v>
      </c>
      <c r="G125" s="6">
        <v>20</v>
      </c>
      <c r="H125" s="6">
        <v>0</v>
      </c>
      <c r="I125" s="6">
        <v>20</v>
      </c>
      <c r="J125" s="6">
        <v>5</v>
      </c>
      <c r="K125" s="6" t="str">
        <f>IF(A125=Calculator!B4,1+MAX(K124:K124),"")</f>
        <v/>
      </c>
      <c r="L125" s="6" t="s">
        <v>542</v>
      </c>
      <c r="M125" s="6" t="b">
        <v>1</v>
      </c>
    </row>
    <row r="126" spans="1:13" x14ac:dyDescent="0.25">
      <c r="A126" s="6" t="s">
        <v>603</v>
      </c>
      <c r="B126" s="6" t="s">
        <v>529</v>
      </c>
      <c r="C126" s="6">
        <f>IF(Calculator!B8=FALSE,31,53)</f>
        <v>31</v>
      </c>
      <c r="D126" s="6">
        <f>IF(Calculator!B8=FALSE,31,53)</f>
        <v>31</v>
      </c>
      <c r="E126" s="6">
        <f>IF(Calculator!B8=FALSE,22,46)</f>
        <v>22</v>
      </c>
      <c r="F126" s="6">
        <v>20</v>
      </c>
      <c r="G126" s="6">
        <v>15</v>
      </c>
      <c r="H126" s="6">
        <v>0</v>
      </c>
      <c r="I126" s="6">
        <v>15</v>
      </c>
      <c r="J126" s="6">
        <v>5</v>
      </c>
      <c r="K126" s="6" t="str">
        <f>IF(A126=Calculator!B4,1+MAX(K125:K125),"")</f>
        <v/>
      </c>
      <c r="L126" s="6"/>
      <c r="M126" s="6" t="b">
        <v>1</v>
      </c>
    </row>
    <row r="127" spans="1:13" x14ac:dyDescent="0.25">
      <c r="A127" s="6" t="s">
        <v>603</v>
      </c>
      <c r="B127" s="6" t="s">
        <v>623</v>
      </c>
      <c r="C127" s="6">
        <f>IF(OR(Calculator!B3="Low Rank",Calculator!B3="High Rank"),IF(Calculator!B8=FALSE,20,45),IF(Calculator!B8=FALSE,18,43))</f>
        <v>20</v>
      </c>
      <c r="D127" s="6">
        <f>IF(OR(Calculator!B3="Low Rank",Calculator!B3="High Rank"),IF(Calculator!B8=FALSE,20,45),IF(Calculator!B8=FALSE,18,43))</f>
        <v>20</v>
      </c>
      <c r="E127" s="6">
        <f>IF(Calculator!B8=FALSE,10,37)</f>
        <v>10</v>
      </c>
      <c r="F127" s="6">
        <v>15</v>
      </c>
      <c r="G127" s="6">
        <v>10</v>
      </c>
      <c r="H127" s="6">
        <v>0</v>
      </c>
      <c r="I127" s="6">
        <v>10</v>
      </c>
      <c r="J127" s="6">
        <v>5</v>
      </c>
      <c r="K127" s="6" t="str">
        <f>IF(A127=Calculator!B4,1+MAX(K126:K126),"")</f>
        <v/>
      </c>
      <c r="L127" s="6"/>
      <c r="M127" s="6" t="b">
        <v>1</v>
      </c>
    </row>
    <row r="128" spans="1:13" x14ac:dyDescent="0.25">
      <c r="A128" s="6" t="s">
        <v>603</v>
      </c>
      <c r="B128" s="6" t="s">
        <v>624</v>
      </c>
      <c r="C128" s="6">
        <f>IF(Calculator!B8=FALSE,29,51)</f>
        <v>29</v>
      </c>
      <c r="D128" s="6">
        <f>IF(Calculator!B8=FALSE,29,51)</f>
        <v>29</v>
      </c>
      <c r="E128" s="6">
        <f>IF(Calculator!B8=FALSE,20,45)</f>
        <v>20</v>
      </c>
      <c r="F128" s="6">
        <v>20</v>
      </c>
      <c r="G128" s="6">
        <v>15</v>
      </c>
      <c r="H128" s="6">
        <v>0</v>
      </c>
      <c r="I128" s="6">
        <v>15</v>
      </c>
      <c r="J128" s="6">
        <v>5</v>
      </c>
      <c r="K128" s="6" t="str">
        <f>IF(A128=Calculator!B4,1+MAX(K127:K127),"")</f>
        <v/>
      </c>
      <c r="L128" s="6"/>
      <c r="M128" s="6" t="b">
        <v>1</v>
      </c>
    </row>
    <row r="129" spans="1:13" x14ac:dyDescent="0.25">
      <c r="A129" s="6" t="s">
        <v>603</v>
      </c>
      <c r="B129" s="6" t="s">
        <v>625</v>
      </c>
      <c r="C129" s="6">
        <f>IF(OR(Calculator!B3="Low Rank",Calculator!B3="High Rank"),IF(Calculator!B8=FALSE,20,45),IF(Calculator!B8=FALSE,18,43))</f>
        <v>20</v>
      </c>
      <c r="D129" s="6">
        <f>IF(OR(Calculator!B3="Low Rank",Calculator!B3="High Rank"),IF(Calculator!B8=FALSE,20,45),IF(Calculator!B8=FALSE,18,43))</f>
        <v>20</v>
      </c>
      <c r="E129" s="6">
        <f>IF(Calculator!B8=FALSE,10,37)</f>
        <v>10</v>
      </c>
      <c r="F129" s="6">
        <v>15</v>
      </c>
      <c r="G129" s="6">
        <v>10</v>
      </c>
      <c r="H129" s="6">
        <v>0</v>
      </c>
      <c r="I129" s="6">
        <v>10</v>
      </c>
      <c r="J129" s="6">
        <v>5</v>
      </c>
      <c r="K129" s="6" t="str">
        <f>IF(A129=Calculator!B4,1+MAX(K128:K128),"")</f>
        <v/>
      </c>
      <c r="L129" s="6"/>
      <c r="M129" s="6" t="b">
        <v>1</v>
      </c>
    </row>
    <row r="130" spans="1:13" x14ac:dyDescent="0.25">
      <c r="A130" s="6" t="s">
        <v>604</v>
      </c>
      <c r="B130" s="6" t="s">
        <v>502</v>
      </c>
      <c r="C130" s="6">
        <v>40</v>
      </c>
      <c r="D130" s="6">
        <v>40</v>
      </c>
      <c r="E130" s="6">
        <v>40</v>
      </c>
      <c r="F130" s="6">
        <v>0</v>
      </c>
      <c r="G130" s="6">
        <v>20</v>
      </c>
      <c r="H130" s="6">
        <v>10</v>
      </c>
      <c r="I130" s="6">
        <v>15</v>
      </c>
      <c r="J130" s="6">
        <v>20</v>
      </c>
      <c r="K130" s="6" t="str">
        <f>IF(A130=Calculator!B4,1+MAX(K129:K129),"")</f>
        <v/>
      </c>
      <c r="L130" s="6"/>
      <c r="M130" s="6"/>
    </row>
    <row r="131" spans="1:13" x14ac:dyDescent="0.25">
      <c r="A131" s="6" t="s">
        <v>604</v>
      </c>
      <c r="B131" s="6" t="s">
        <v>529</v>
      </c>
      <c r="C131" s="6">
        <v>30</v>
      </c>
      <c r="D131" s="6">
        <v>30</v>
      </c>
      <c r="E131" s="6">
        <v>25</v>
      </c>
      <c r="F131" s="6">
        <v>0</v>
      </c>
      <c r="G131" s="6">
        <v>10</v>
      </c>
      <c r="H131" s="6">
        <v>5</v>
      </c>
      <c r="I131" s="6">
        <v>5</v>
      </c>
      <c r="J131" s="6">
        <v>10</v>
      </c>
      <c r="K131" s="6" t="str">
        <f>IF(A131=Calculator!B4,1+MAX(K130:K130),"")</f>
        <v/>
      </c>
      <c r="L131" s="6"/>
      <c r="M131" s="6"/>
    </row>
    <row r="132" spans="1:13" x14ac:dyDescent="0.25">
      <c r="A132" s="6" t="s">
        <v>604</v>
      </c>
      <c r="B132" s="6" t="s">
        <v>503</v>
      </c>
      <c r="C132" s="6">
        <v>50</v>
      </c>
      <c r="D132" s="6">
        <v>50</v>
      </c>
      <c r="E132" s="6">
        <v>30</v>
      </c>
      <c r="F132" s="6">
        <v>0</v>
      </c>
      <c r="G132" s="6">
        <v>25</v>
      </c>
      <c r="H132" s="6">
        <v>10</v>
      </c>
      <c r="I132" s="6">
        <v>20</v>
      </c>
      <c r="J132" s="6">
        <v>25</v>
      </c>
      <c r="K132" s="6" t="str">
        <f>IF(A132=Calculator!B4,1+MAX(K131:K131),"")</f>
        <v/>
      </c>
      <c r="L132" s="6"/>
      <c r="M132" s="6"/>
    </row>
    <row r="133" spans="1:13" x14ac:dyDescent="0.25">
      <c r="A133" s="6" t="s">
        <v>604</v>
      </c>
      <c r="B133" s="6" t="s">
        <v>628</v>
      </c>
      <c r="C133" s="6">
        <v>80</v>
      </c>
      <c r="D133" s="6">
        <v>80</v>
      </c>
      <c r="E133" s="6">
        <v>80</v>
      </c>
      <c r="F133" s="6">
        <v>0</v>
      </c>
      <c r="G133" s="6">
        <v>30</v>
      </c>
      <c r="H133" s="6">
        <v>15</v>
      </c>
      <c r="I133" s="6">
        <v>25</v>
      </c>
      <c r="J133" s="6">
        <v>30</v>
      </c>
      <c r="K133" s="6" t="str">
        <f>IF(A133=Calculator!B4,1+MAX(K132:K132),"")</f>
        <v/>
      </c>
      <c r="L133" s="6"/>
      <c r="M133" s="6"/>
    </row>
    <row r="134" spans="1:13" x14ac:dyDescent="0.25">
      <c r="A134" s="6" t="s">
        <v>604</v>
      </c>
      <c r="B134" s="6" t="s">
        <v>531</v>
      </c>
      <c r="C134" s="6">
        <v>30</v>
      </c>
      <c r="D134" s="6">
        <v>30</v>
      </c>
      <c r="E134" s="6">
        <v>25</v>
      </c>
      <c r="F134" s="6">
        <v>0</v>
      </c>
      <c r="G134" s="6">
        <v>10</v>
      </c>
      <c r="H134" s="6">
        <v>5</v>
      </c>
      <c r="I134" s="6">
        <v>5</v>
      </c>
      <c r="J134" s="6">
        <v>10</v>
      </c>
      <c r="K134" s="6" t="str">
        <f>IF(A134=Calculator!B4,1+MAX(K133:K133),"")</f>
        <v/>
      </c>
      <c r="L134" s="6"/>
      <c r="M134" s="6"/>
    </row>
    <row r="135" spans="1:13" x14ac:dyDescent="0.25">
      <c r="A135" s="6" t="s">
        <v>604</v>
      </c>
      <c r="B135" s="6" t="s">
        <v>532</v>
      </c>
      <c r="C135" s="6">
        <v>25</v>
      </c>
      <c r="D135" s="6">
        <v>25</v>
      </c>
      <c r="E135" s="6">
        <v>20</v>
      </c>
      <c r="F135" s="6">
        <v>0</v>
      </c>
      <c r="G135" s="6">
        <v>10</v>
      </c>
      <c r="H135" s="6">
        <v>5</v>
      </c>
      <c r="I135" s="6">
        <v>5</v>
      </c>
      <c r="J135" s="6">
        <v>10</v>
      </c>
      <c r="K135" s="6" t="str">
        <f>IF(A135=Calculator!B4,1+MAX(K134:K134),"")</f>
        <v/>
      </c>
      <c r="L135" s="6"/>
      <c r="M135" s="6"/>
    </row>
    <row r="136" spans="1:13" x14ac:dyDescent="0.25">
      <c r="A136" s="6" t="s">
        <v>604</v>
      </c>
      <c r="B136" s="6" t="s">
        <v>533</v>
      </c>
      <c r="C136" s="6">
        <v>25</v>
      </c>
      <c r="D136" s="6">
        <v>25</v>
      </c>
      <c r="E136" s="6">
        <v>20</v>
      </c>
      <c r="F136" s="6">
        <v>0</v>
      </c>
      <c r="G136" s="6">
        <v>10</v>
      </c>
      <c r="H136" s="6">
        <v>5</v>
      </c>
      <c r="I136" s="6">
        <v>5</v>
      </c>
      <c r="J136" s="6">
        <v>10</v>
      </c>
      <c r="K136" s="6" t="str">
        <f>IF(A136=Calculator!B4,1+MAX(K135:K135),"")</f>
        <v/>
      </c>
      <c r="L136" s="6"/>
      <c r="M136" s="6"/>
    </row>
    <row r="137" spans="1:13" x14ac:dyDescent="0.25">
      <c r="A137" s="6" t="s">
        <v>604</v>
      </c>
      <c r="B137" s="6" t="s">
        <v>626</v>
      </c>
      <c r="C137" s="6">
        <v>1</v>
      </c>
      <c r="D137" s="6">
        <v>1</v>
      </c>
      <c r="E137" s="6">
        <v>1</v>
      </c>
      <c r="F137" s="6">
        <v>0</v>
      </c>
      <c r="G137" s="6">
        <v>0</v>
      </c>
      <c r="H137" s="6">
        <v>0</v>
      </c>
      <c r="I137" s="6">
        <v>0</v>
      </c>
      <c r="J137" s="6">
        <v>0</v>
      </c>
      <c r="K137" s="6" t="str">
        <f>IF(A137=Calculator!B4,1+MAX(K136:K136),"")</f>
        <v/>
      </c>
      <c r="L137" s="6"/>
      <c r="M137" s="6"/>
    </row>
    <row r="138" spans="1:13" x14ac:dyDescent="0.25">
      <c r="A138" s="6" t="s">
        <v>604</v>
      </c>
      <c r="B138" s="6" t="s">
        <v>629</v>
      </c>
      <c r="C138" s="6">
        <v>95</v>
      </c>
      <c r="D138" s="6">
        <v>95</v>
      </c>
      <c r="E138" s="6">
        <v>90</v>
      </c>
      <c r="F138" s="6">
        <v>0</v>
      </c>
      <c r="G138" s="6">
        <v>20</v>
      </c>
      <c r="H138" s="6">
        <v>0</v>
      </c>
      <c r="I138" s="6">
        <v>15</v>
      </c>
      <c r="J138" s="6">
        <v>20</v>
      </c>
      <c r="K138" s="6" t="str">
        <f>IF(A138=Calculator!B4,1+MAX(K137:K137),"")</f>
        <v/>
      </c>
      <c r="L138" s="6" t="s">
        <v>542</v>
      </c>
      <c r="M138" s="6"/>
    </row>
    <row r="139" spans="1:13" x14ac:dyDescent="0.25">
      <c r="A139" s="6" t="s">
        <v>604</v>
      </c>
      <c r="B139" s="6" t="s">
        <v>627</v>
      </c>
      <c r="C139" s="6">
        <v>60</v>
      </c>
      <c r="D139" s="6">
        <v>60</v>
      </c>
      <c r="E139" s="6">
        <v>50</v>
      </c>
      <c r="F139" s="6">
        <v>0</v>
      </c>
      <c r="G139" s="6">
        <v>20</v>
      </c>
      <c r="H139" s="6">
        <v>10</v>
      </c>
      <c r="I139" s="6">
        <v>15</v>
      </c>
      <c r="J139" s="6">
        <v>20</v>
      </c>
      <c r="K139" s="6" t="str">
        <f>IF(A139=Calculator!B4,1+MAX(K138:K138),"")</f>
        <v/>
      </c>
      <c r="L139" s="6"/>
      <c r="M139" s="6"/>
    </row>
    <row r="140" spans="1:13" x14ac:dyDescent="0.25">
      <c r="A140" s="6" t="s">
        <v>605</v>
      </c>
      <c r="B140" s="6" t="s">
        <v>502</v>
      </c>
      <c r="C140" s="6">
        <f>IF(Calculator!B8=FALSE,35,51)</f>
        <v>35</v>
      </c>
      <c r="D140" s="6">
        <f>IF(Calculator!B8=FALSE,35,51)</f>
        <v>35</v>
      </c>
      <c r="E140" s="6">
        <f>IF(Calculator!B8=FALSE,25,43)</f>
        <v>25</v>
      </c>
      <c r="F140" s="6">
        <v>0</v>
      </c>
      <c r="G140" s="6">
        <v>20</v>
      </c>
      <c r="H140" s="6">
        <v>30</v>
      </c>
      <c r="I140" s="6">
        <v>20</v>
      </c>
      <c r="J140" s="6">
        <v>10</v>
      </c>
      <c r="K140" s="6" t="str">
        <f>IF(A140=Calculator!B4,1+MAX(K139:K139),"")</f>
        <v/>
      </c>
      <c r="L140" s="6"/>
      <c r="M140" s="6" t="b">
        <v>1</v>
      </c>
    </row>
    <row r="141" spans="1:13" x14ac:dyDescent="0.25">
      <c r="A141" s="6" t="s">
        <v>605</v>
      </c>
      <c r="B141" s="6" t="s">
        <v>630</v>
      </c>
      <c r="C141" s="6">
        <f>IF(OR(Calculator!B3="Low Rank",Calculator!B3="High Rank"),IF(Calculator!B8=FALSE,75,81),IF(Calculator!B8=FALSE,60,70))</f>
        <v>75</v>
      </c>
      <c r="D141" s="6">
        <f>IF(OR(Calculator!B3="Low Rank",Calculator!B3="High Rank"),IF(Calculator!B8=FALSE,75,81),IF(Calculator!B8=FALSE,60,70))</f>
        <v>75</v>
      </c>
      <c r="E141" s="6">
        <f>IF(OR(Calculator!B3="Low Rank",Calculator!B3="High Rank"),IF(Calculator!B8=FALSE,65,73),IF(Calculator!B8=FALSE,52,64))</f>
        <v>65</v>
      </c>
      <c r="F141" s="6">
        <v>0</v>
      </c>
      <c r="G141" s="6">
        <v>20</v>
      </c>
      <c r="H141" s="6">
        <v>30</v>
      </c>
      <c r="I141" s="6">
        <v>20</v>
      </c>
      <c r="J141" s="6">
        <v>10</v>
      </c>
      <c r="K141" s="6" t="str">
        <f>IF(A141=Calculator!B4,1+MAX(K140:K140),"")</f>
        <v/>
      </c>
      <c r="L141" s="6" t="s">
        <v>542</v>
      </c>
      <c r="M141" s="6" t="b">
        <v>1</v>
      </c>
    </row>
    <row r="142" spans="1:13" x14ac:dyDescent="0.25">
      <c r="A142" s="6" t="s">
        <v>605</v>
      </c>
      <c r="B142" s="6" t="s">
        <v>632</v>
      </c>
      <c r="C142" s="6">
        <f>IF(OR(Calculator!B3="Low Rank",Calculator!B3="High Rank"),IF(Calculator!B8=FALSE,100,100),IF(Calculator!B8=FALSE,80,85))</f>
        <v>100</v>
      </c>
      <c r="D142" s="6">
        <f>IF(OR(Calculator!B3="Low Rank",Calculator!B3="High Rank"),IF(Calculator!B8=FALSE,100,100),IF(Calculator!B8=FALSE,80,85))</f>
        <v>100</v>
      </c>
      <c r="E142" s="6">
        <f>IF(OR(Calculator!B3="Low Rank",Calculator!B3="High Rank"),IF(Calculator!B8=FALSE,90,92),IF(Calculator!B8=FALSE,72,79))</f>
        <v>90</v>
      </c>
      <c r="F142" s="6">
        <v>0</v>
      </c>
      <c r="G142" s="6">
        <v>20</v>
      </c>
      <c r="H142" s="6">
        <v>30</v>
      </c>
      <c r="I142" s="6">
        <v>20</v>
      </c>
      <c r="J142" s="6">
        <v>10</v>
      </c>
      <c r="K142" s="6" t="str">
        <f>IF(A142=Calculator!B4,1+MAX(K141:K141),"")</f>
        <v/>
      </c>
      <c r="L142" s="6"/>
      <c r="M142" s="6" t="b">
        <v>1</v>
      </c>
    </row>
    <row r="143" spans="1:13" x14ac:dyDescent="0.25">
      <c r="A143" s="6" t="s">
        <v>605</v>
      </c>
      <c r="B143" s="6" t="s">
        <v>528</v>
      </c>
      <c r="C143" s="6">
        <f>IF(Calculator!B8=FALSE,30,47)</f>
        <v>30</v>
      </c>
      <c r="D143" s="6">
        <f>IF(Calculator!B8=FALSE,30,47)</f>
        <v>30</v>
      </c>
      <c r="E143" s="6">
        <f>IF(Calculator!B8=FALSE,20,40)</f>
        <v>20</v>
      </c>
      <c r="F143" s="6">
        <v>0</v>
      </c>
      <c r="G143" s="6">
        <v>10</v>
      </c>
      <c r="H143" s="6">
        <v>25</v>
      </c>
      <c r="I143" s="6">
        <v>10</v>
      </c>
      <c r="J143" s="6">
        <v>5</v>
      </c>
      <c r="K143" s="6" t="str">
        <f>IF(A143=Calculator!B4,1+MAX(K142:K142),"")</f>
        <v/>
      </c>
      <c r="L143" s="6"/>
      <c r="M143" s="6" t="b">
        <v>1</v>
      </c>
    </row>
    <row r="144" spans="1:13" x14ac:dyDescent="0.25">
      <c r="A144" s="6" t="s">
        <v>605</v>
      </c>
      <c r="B144" s="6" t="s">
        <v>631</v>
      </c>
      <c r="C144" s="6">
        <f>IF(OR(Calculator!B3="Low Rank",Calculator!B3="High Rank"),IF(Calculator!B8=FALSE,65,73),IF(Calculator!B8=FALSE,52,64))</f>
        <v>65</v>
      </c>
      <c r="D144" s="6">
        <f>IF(OR(Calculator!B3="Low Rank",Calculator!B3="High Rank"),IF(Calculator!B8=FALSE,65,73),IF(Calculator!B8=FALSE,52,64))</f>
        <v>65</v>
      </c>
      <c r="E144" s="6">
        <f>IF(OR(Calculator!B3="Low Rank",Calculator!B3="High Rank"),IF(Calculator!B8=FALSE,55,66),IF(Calculator!B8=FALSE,45,58))</f>
        <v>55</v>
      </c>
      <c r="F144" s="6">
        <v>0</v>
      </c>
      <c r="G144" s="6">
        <v>10</v>
      </c>
      <c r="H144" s="6">
        <v>25</v>
      </c>
      <c r="I144" s="6">
        <v>10</v>
      </c>
      <c r="J144" s="6">
        <v>5</v>
      </c>
      <c r="K144" s="6" t="str">
        <f>IF(A144=Calculator!B4,1+MAX(K143:K143),"")</f>
        <v/>
      </c>
      <c r="L144" s="6"/>
      <c r="M144" s="6" t="b">
        <v>1</v>
      </c>
    </row>
    <row r="145" spans="1:13" x14ac:dyDescent="0.25">
      <c r="A145" s="6" t="s">
        <v>605</v>
      </c>
      <c r="B145" s="6" t="s">
        <v>633</v>
      </c>
      <c r="C145" s="6">
        <f>IF(OR(Calculator!B3="Low Rank",Calculator!B3="High Rank"),IF(Calculator!B8=FALSE,90,92),IF(Calculator!B8=FALSE,72,79))</f>
        <v>90</v>
      </c>
      <c r="D145" s="6">
        <f>IF(OR(Calculator!B3="Low Rank",Calculator!B3="High Rank"),IF(Calculator!B8=FALSE,90,92),IF(Calculator!B8=FALSE,72,79))</f>
        <v>90</v>
      </c>
      <c r="E145" s="6">
        <f>IF(OR(Calculator!B3="Low Rank",Calculator!B3="High Rank"),IF(Calculator!B8=FALSE,80,85),IF(Calculator!B8=FALSE,64,73))</f>
        <v>80</v>
      </c>
      <c r="F145" s="6">
        <v>0</v>
      </c>
      <c r="G145" s="6">
        <v>10</v>
      </c>
      <c r="H145" s="6">
        <v>25</v>
      </c>
      <c r="I145" s="6">
        <v>10</v>
      </c>
      <c r="J145" s="6">
        <v>5</v>
      </c>
      <c r="K145" s="6" t="str">
        <f>IF(A145=Calculator!B4,1+MAX(K144:K144),"")</f>
        <v/>
      </c>
      <c r="L145" s="6"/>
      <c r="M145" s="6" t="b">
        <v>1</v>
      </c>
    </row>
    <row r="146" spans="1:13" x14ac:dyDescent="0.25">
      <c r="A146" s="6" t="s">
        <v>605</v>
      </c>
      <c r="B146" s="6" t="s">
        <v>529</v>
      </c>
      <c r="C146" s="6">
        <v>45</v>
      </c>
      <c r="D146" s="6">
        <v>45</v>
      </c>
      <c r="E146" s="6">
        <v>40</v>
      </c>
      <c r="F146" s="6">
        <v>0</v>
      </c>
      <c r="G146" s="6">
        <v>5</v>
      </c>
      <c r="H146" s="6">
        <v>10</v>
      </c>
      <c r="I146" s="6">
        <v>5</v>
      </c>
      <c r="J146" s="6">
        <v>5</v>
      </c>
      <c r="K146" s="6" t="str">
        <f>IF(A146=Calculator!B4,1+MAX(K145:K145),"")</f>
        <v/>
      </c>
      <c r="L146" s="6"/>
      <c r="M146" s="6"/>
    </row>
    <row r="147" spans="1:13" x14ac:dyDescent="0.25">
      <c r="A147" s="6" t="s">
        <v>605</v>
      </c>
      <c r="B147" s="6" t="s">
        <v>530</v>
      </c>
      <c r="C147" s="6">
        <v>45</v>
      </c>
      <c r="D147" s="6">
        <v>45</v>
      </c>
      <c r="E147" s="6">
        <v>40</v>
      </c>
      <c r="F147" s="6">
        <v>0</v>
      </c>
      <c r="G147" s="6">
        <v>5</v>
      </c>
      <c r="H147" s="6">
        <v>10</v>
      </c>
      <c r="I147" s="6">
        <v>5</v>
      </c>
      <c r="J147" s="6">
        <v>5</v>
      </c>
      <c r="K147" s="6" t="str">
        <f>IF(A147=Calculator!B4,1+MAX(K146:K146),"")</f>
        <v/>
      </c>
      <c r="L147" s="6"/>
      <c r="M147" s="6"/>
    </row>
    <row r="148" spans="1:13" x14ac:dyDescent="0.25">
      <c r="A148" s="6" t="s">
        <v>605</v>
      </c>
      <c r="B148" s="6" t="s">
        <v>531</v>
      </c>
      <c r="C148" s="6">
        <f>IF(Calculator!B8=FALSE,45,58)</f>
        <v>45</v>
      </c>
      <c r="D148" s="6">
        <f>IF(Calculator!B8=FALSE,45,58)</f>
        <v>45</v>
      </c>
      <c r="E148" s="6">
        <f>IF(Calculator!B8=FALSE,40,55)</f>
        <v>40</v>
      </c>
      <c r="F148" s="6">
        <v>0</v>
      </c>
      <c r="G148" s="6">
        <v>5</v>
      </c>
      <c r="H148" s="6">
        <v>10</v>
      </c>
      <c r="I148" s="6">
        <v>5</v>
      </c>
      <c r="J148" s="6">
        <v>5</v>
      </c>
      <c r="K148" s="6" t="str">
        <f>IF(A148=Calculator!B4,1+MAX(K147:K147),"")</f>
        <v/>
      </c>
      <c r="L148" s="6"/>
      <c r="M148" s="6" t="b">
        <v>1</v>
      </c>
    </row>
    <row r="149" spans="1:13" x14ac:dyDescent="0.25">
      <c r="A149" s="6" t="s">
        <v>605</v>
      </c>
      <c r="B149" s="6" t="s">
        <v>532</v>
      </c>
      <c r="C149" s="6">
        <v>45</v>
      </c>
      <c r="D149" s="6">
        <v>45</v>
      </c>
      <c r="E149" s="6">
        <v>40</v>
      </c>
      <c r="F149" s="6">
        <v>0</v>
      </c>
      <c r="G149" s="6">
        <v>5</v>
      </c>
      <c r="H149" s="6">
        <v>10</v>
      </c>
      <c r="I149" s="6">
        <v>5</v>
      </c>
      <c r="J149" s="6">
        <v>5</v>
      </c>
      <c r="K149" s="6" t="str">
        <f>IF(A149=Calculator!B4,1+MAX(K148:K148),"")</f>
        <v/>
      </c>
      <c r="L149" s="6"/>
      <c r="M149" s="6"/>
    </row>
    <row r="150" spans="1:13" x14ac:dyDescent="0.25">
      <c r="A150" s="6" t="s">
        <v>605</v>
      </c>
      <c r="B150" s="6" t="s">
        <v>533</v>
      </c>
      <c r="C150" s="6">
        <f>IF(OR(Calculator!B3="Low Rank",Calculator!B3="High Rank"),IF(Calculator!B8=FALSE,60,70),IF(Calculator!B8=FALSE,48,61))</f>
        <v>60</v>
      </c>
      <c r="D150" s="6">
        <f>IF(OR(Calculator!B3="Low Rank",Calculator!B3="High Rank"),IF(Calculator!B8=FALSE,60,70),IF(Calculator!B8=FALSE,48,61))</f>
        <v>60</v>
      </c>
      <c r="E150" s="6">
        <f>IF(OR(Calculator!B3="Low Rank",Calculator!B3="High Rank"),IF(Calculator!B8=FALSE,50,62),IF(Calculator!B8=FALSE,45,58))</f>
        <v>50</v>
      </c>
      <c r="F150" s="6">
        <v>0</v>
      </c>
      <c r="G150" s="6">
        <v>10</v>
      </c>
      <c r="H150" s="6">
        <v>15</v>
      </c>
      <c r="I150" s="6">
        <v>10</v>
      </c>
      <c r="J150" s="6">
        <v>5</v>
      </c>
      <c r="K150" s="6" t="str">
        <f>IF(A150=Calculator!B4,1+MAX(K149:K149),"")</f>
        <v/>
      </c>
      <c r="L150" s="6"/>
      <c r="M150" s="6" t="b">
        <v>1</v>
      </c>
    </row>
    <row r="151" spans="1:13" x14ac:dyDescent="0.25">
      <c r="A151" s="6" t="s">
        <v>606</v>
      </c>
      <c r="B151" s="6" t="s">
        <v>502</v>
      </c>
      <c r="C151" s="6">
        <f>IF(Calculator!B8=FALSE,60,70)</f>
        <v>60</v>
      </c>
      <c r="D151" s="6">
        <f>IF(Calculator!B8=FALSE,65,73)</f>
        <v>65</v>
      </c>
      <c r="E151" s="6">
        <f>IF(Calculator!B8=FALSE,55,66)</f>
        <v>55</v>
      </c>
      <c r="F151" s="6">
        <v>0</v>
      </c>
      <c r="G151" s="6">
        <v>15</v>
      </c>
      <c r="H151" s="6">
        <v>20</v>
      </c>
      <c r="I151" s="6">
        <v>15</v>
      </c>
      <c r="J151" s="6">
        <v>30</v>
      </c>
      <c r="K151" s="6" t="str">
        <f>IF(A151=Calculator!B4,1+MAX(K150:K150),"")</f>
        <v/>
      </c>
      <c r="L151" s="6" t="s">
        <v>542</v>
      </c>
      <c r="M151" s="6" t="b">
        <v>1</v>
      </c>
    </row>
    <row r="152" spans="1:13" x14ac:dyDescent="0.25">
      <c r="A152" s="6" t="s">
        <v>606</v>
      </c>
      <c r="B152" s="6" t="s">
        <v>528</v>
      </c>
      <c r="C152" s="6">
        <f>IF(Calculator!B8=FALSE,30,47)</f>
        <v>30</v>
      </c>
      <c r="D152" s="6">
        <f>IF(Calculator!B8=FALSE,35,51)</f>
        <v>35</v>
      </c>
      <c r="E152" s="6">
        <f>IF(Calculator!B8=FALSE,25,43)</f>
        <v>25</v>
      </c>
      <c r="F152" s="6">
        <v>0</v>
      </c>
      <c r="G152" s="6">
        <v>0</v>
      </c>
      <c r="H152" s="6">
        <v>5</v>
      </c>
      <c r="I152" s="6">
        <v>0</v>
      </c>
      <c r="J152" s="6">
        <v>15</v>
      </c>
      <c r="K152" s="6" t="str">
        <f>IF(A152=Calculator!B4,1+MAX(K151:K151),"")</f>
        <v/>
      </c>
      <c r="L152" s="6"/>
      <c r="M152" s="6" t="b">
        <v>1</v>
      </c>
    </row>
    <row r="153" spans="1:13" x14ac:dyDescent="0.25">
      <c r="A153" s="6" t="s">
        <v>606</v>
      </c>
      <c r="B153" s="6" t="s">
        <v>529</v>
      </c>
      <c r="C153" s="6">
        <f>IF(OR(Calculator!B3="Low Rank",Calculator!B3="High Rank"),22,20)</f>
        <v>22</v>
      </c>
      <c r="D153" s="6">
        <f>IF(OR(Calculator!B3="Low Rank",Calculator!B3="High Rank"),22,20)</f>
        <v>22</v>
      </c>
      <c r="E153" s="6">
        <v>20</v>
      </c>
      <c r="F153" s="6">
        <v>0</v>
      </c>
      <c r="G153" s="6">
        <v>5</v>
      </c>
      <c r="H153" s="6">
        <v>10</v>
      </c>
      <c r="I153" s="6">
        <v>5</v>
      </c>
      <c r="J153" s="6">
        <v>20</v>
      </c>
      <c r="K153" s="6" t="str">
        <f>IF(A153=Calculator!B4,1+MAX(K152:K152),"")</f>
        <v/>
      </c>
      <c r="L153" s="6"/>
      <c r="M153" s="6"/>
    </row>
    <row r="154" spans="1:13" x14ac:dyDescent="0.25">
      <c r="A154" s="6" t="s">
        <v>606</v>
      </c>
      <c r="B154" s="6" t="s">
        <v>530</v>
      </c>
      <c r="C154" s="6">
        <f>IF(OR(Calculator!B3="Low Rank",Calculator!B3="High Rank"),22,20)</f>
        <v>22</v>
      </c>
      <c r="D154" s="6">
        <f>IF(OR(Calculator!B3="Low Rank",Calculator!B3="High Rank"),22,20)</f>
        <v>22</v>
      </c>
      <c r="E154" s="6">
        <v>20</v>
      </c>
      <c r="F154" s="6">
        <v>0</v>
      </c>
      <c r="G154" s="6">
        <v>5</v>
      </c>
      <c r="H154" s="6">
        <v>10</v>
      </c>
      <c r="I154" s="6">
        <v>5</v>
      </c>
      <c r="J154" s="6">
        <v>20</v>
      </c>
      <c r="K154" s="6" t="str">
        <f>IF(A154=Calculator!B4,1+MAX(K153:K153),"")</f>
        <v/>
      </c>
      <c r="L154" s="6"/>
      <c r="M154" s="6"/>
    </row>
    <row r="155" spans="1:13" x14ac:dyDescent="0.25">
      <c r="A155" s="6" t="s">
        <v>606</v>
      </c>
      <c r="B155" s="6" t="s">
        <v>548</v>
      </c>
      <c r="C155" s="6">
        <f>IF(Calculator!B8=FALSE,50,62)</f>
        <v>50</v>
      </c>
      <c r="D155" s="6">
        <f>IF(Calculator!B8=FALSE,40,58)</f>
        <v>40</v>
      </c>
      <c r="E155" s="6">
        <f>IF(Calculator!B8=FALSE,40,55)</f>
        <v>40</v>
      </c>
      <c r="F155" s="6">
        <v>0</v>
      </c>
      <c r="G155" s="6">
        <v>10</v>
      </c>
      <c r="H155" s="6">
        <v>15</v>
      </c>
      <c r="I155" s="6">
        <v>10</v>
      </c>
      <c r="J155" s="6">
        <v>25</v>
      </c>
      <c r="K155" s="6" t="str">
        <f>IF(A155=Calculator!B4,1+MAX(K154:K154),"")</f>
        <v/>
      </c>
      <c r="L155" s="6"/>
      <c r="M155" s="6" t="b">
        <v>1</v>
      </c>
    </row>
    <row r="156" spans="1:13" x14ac:dyDescent="0.25">
      <c r="A156" s="6" t="s">
        <v>606</v>
      </c>
      <c r="B156" s="6" t="s">
        <v>505</v>
      </c>
      <c r="C156" s="6">
        <f>IF(OR(Calculator!B3="Low Rank",Calculator!B3="High Rank"),IF(Calculator!B8=FALSE,40,55),IF(Calculator!B8=FALSE,37,52))</f>
        <v>40</v>
      </c>
      <c r="D156" s="6">
        <f>IF(OR(Calculator!B3="Low Rank",Calculator!B3="High Rank"),IF(Calculator!B8=FALSE,40,55),IF(Calculator!B8=FALSE,37,52))</f>
        <v>40</v>
      </c>
      <c r="E156" s="6">
        <f>IF(Calculator!B8=FALSE,35,51)</f>
        <v>35</v>
      </c>
      <c r="F156" s="6">
        <v>0</v>
      </c>
      <c r="G156" s="6">
        <v>0</v>
      </c>
      <c r="H156" s="6">
        <v>5</v>
      </c>
      <c r="I156" s="6">
        <v>0</v>
      </c>
      <c r="J156" s="6">
        <v>15</v>
      </c>
      <c r="K156" s="6" t="str">
        <f>IF(A156=Calculator!B4,1+MAX(K155:K155),"")</f>
        <v/>
      </c>
      <c r="L156" s="6"/>
      <c r="M156" s="6" t="b">
        <v>1</v>
      </c>
    </row>
    <row r="157" spans="1:13" x14ac:dyDescent="0.25">
      <c r="A157" s="6" t="s">
        <v>606</v>
      </c>
      <c r="B157" s="6" t="s">
        <v>533</v>
      </c>
      <c r="C157" s="6">
        <f>IF(OR(Calculator!B3="Low Rank",Calculator!B3="High Rank"),IF(Calculator!B8=FALSE,20,40),IF(Calculator!B8=FALSE,18,38))</f>
        <v>20</v>
      </c>
      <c r="D157" s="6">
        <f>IF(OR(Calculator!B3="Low Rank",Calculator!B3="High Rank"),IF(Calculator!B8=FALSE,25,43),IF(Calculator!B8=FALSE,18,38))</f>
        <v>25</v>
      </c>
      <c r="E157" s="6">
        <f>IF(Calculator!B8=FALSE,20,40)</f>
        <v>20</v>
      </c>
      <c r="F157" s="6">
        <v>0</v>
      </c>
      <c r="G157" s="6">
        <v>5</v>
      </c>
      <c r="H157" s="6">
        <v>10</v>
      </c>
      <c r="I157" s="6">
        <v>5</v>
      </c>
      <c r="J157" s="6">
        <v>20</v>
      </c>
      <c r="K157" s="6" t="str">
        <f>IF(A157=Calculator!B4,1+MAX(K156:K156),"")</f>
        <v/>
      </c>
      <c r="L157" s="6"/>
      <c r="M157" s="6" t="b">
        <v>1</v>
      </c>
    </row>
    <row r="158" spans="1:13" x14ac:dyDescent="0.25">
      <c r="A158" s="6" t="s">
        <v>606</v>
      </c>
      <c r="B158" s="6" t="s">
        <v>568</v>
      </c>
      <c r="C158" s="6">
        <f>IF(Calculator!B8=FALSE,50,62)</f>
        <v>50</v>
      </c>
      <c r="D158" s="6">
        <f>IF(Calculator!B8=FALSE,45,58)</f>
        <v>45</v>
      </c>
      <c r="E158" s="6">
        <f>IF(Calculator!B8=FALSE,40,55)</f>
        <v>40</v>
      </c>
      <c r="F158" s="6">
        <v>0</v>
      </c>
      <c r="G158" s="6">
        <v>5</v>
      </c>
      <c r="H158" s="6">
        <v>10</v>
      </c>
      <c r="I158" s="6">
        <v>5</v>
      </c>
      <c r="J158" s="6">
        <v>20</v>
      </c>
      <c r="K158" s="6" t="str">
        <f>IF(A158=Calculator!B4,1+MAX(K157:K157),"")</f>
        <v/>
      </c>
      <c r="L158" s="6"/>
      <c r="M158" s="6" t="b">
        <v>1</v>
      </c>
    </row>
    <row r="159" spans="1:13" x14ac:dyDescent="0.25">
      <c r="A159" s="6" t="s">
        <v>607</v>
      </c>
      <c r="B159" s="6" t="s">
        <v>502</v>
      </c>
      <c r="C159" s="6">
        <f>IF(Calculator!B8=FALSE,80,85)</f>
        <v>80</v>
      </c>
      <c r="D159" s="6">
        <f>IF(Calculator!B8=FALSE,85,88)</f>
        <v>85</v>
      </c>
      <c r="E159" s="6">
        <f>IF(Calculator!B8=FALSE,60,70)</f>
        <v>60</v>
      </c>
      <c r="F159" s="6">
        <v>0</v>
      </c>
      <c r="G159" s="6">
        <v>15</v>
      </c>
      <c r="H159" s="6">
        <v>25</v>
      </c>
      <c r="I159" s="6">
        <v>20</v>
      </c>
      <c r="J159" s="6">
        <v>20</v>
      </c>
      <c r="K159" s="6" t="str">
        <f>IF(A159=Calculator!B4,1+MAX(K158:K158),"")</f>
        <v/>
      </c>
      <c r="L159" s="6" t="s">
        <v>542</v>
      </c>
      <c r="M159" s="6" t="b">
        <v>1</v>
      </c>
    </row>
    <row r="160" spans="1:13" x14ac:dyDescent="0.25">
      <c r="A160" s="6" t="s">
        <v>607</v>
      </c>
      <c r="B160" s="6" t="s">
        <v>529</v>
      </c>
      <c r="C160" s="6">
        <v>45</v>
      </c>
      <c r="D160" s="6">
        <v>45</v>
      </c>
      <c r="E160" s="6">
        <v>35</v>
      </c>
      <c r="F160" s="6">
        <v>0</v>
      </c>
      <c r="G160" s="6">
        <v>5</v>
      </c>
      <c r="H160" s="6">
        <v>15</v>
      </c>
      <c r="I160" s="6">
        <v>10</v>
      </c>
      <c r="J160" s="6">
        <v>10</v>
      </c>
      <c r="K160" s="6" t="str">
        <f>IF(A160=Calculator!B4,1+MAX(K159:K159),"")</f>
        <v/>
      </c>
      <c r="L160" s="6"/>
      <c r="M160" s="6"/>
    </row>
    <row r="161" spans="1:13" x14ac:dyDescent="0.25">
      <c r="A161" s="6" t="s">
        <v>607</v>
      </c>
      <c r="B161" s="6" t="s">
        <v>530</v>
      </c>
      <c r="C161" s="6">
        <v>30</v>
      </c>
      <c r="D161" s="6">
        <v>30</v>
      </c>
      <c r="E161" s="6">
        <v>25</v>
      </c>
      <c r="F161" s="6">
        <v>0</v>
      </c>
      <c r="G161" s="6">
        <v>5</v>
      </c>
      <c r="H161" s="6">
        <v>15</v>
      </c>
      <c r="I161" s="6">
        <v>10</v>
      </c>
      <c r="J161" s="6">
        <v>10</v>
      </c>
      <c r="K161" s="6" t="str">
        <f>IF(A161=Calculator!B4,1+MAX(K160:K160),"")</f>
        <v/>
      </c>
      <c r="L161" s="6"/>
      <c r="M161" s="6"/>
    </row>
    <row r="162" spans="1:13" x14ac:dyDescent="0.25">
      <c r="A162" s="6" t="s">
        <v>607</v>
      </c>
      <c r="B162" s="6" t="s">
        <v>505</v>
      </c>
      <c r="C162" s="6">
        <f>IF(Calculator!B8=FALSE,36,52)</f>
        <v>36</v>
      </c>
      <c r="D162" s="6">
        <f>IF(Calculator!B8=FALSE,34,50)</f>
        <v>34</v>
      </c>
      <c r="E162" s="6">
        <f>IF(Calculator!B8=FALSE,30,47)</f>
        <v>30</v>
      </c>
      <c r="F162" s="6">
        <v>0</v>
      </c>
      <c r="G162" s="6">
        <v>5</v>
      </c>
      <c r="H162" s="6">
        <v>15</v>
      </c>
      <c r="I162" s="6">
        <v>10</v>
      </c>
      <c r="J162" s="6">
        <v>10</v>
      </c>
      <c r="K162" s="6" t="str">
        <f>IF(A162=Calculator!B4,1+MAX(K161:K161),"")</f>
        <v/>
      </c>
      <c r="L162" s="6"/>
      <c r="M162" s="6" t="b">
        <v>1</v>
      </c>
    </row>
    <row r="163" spans="1:13" x14ac:dyDescent="0.25">
      <c r="A163" s="6" t="s">
        <v>607</v>
      </c>
      <c r="B163" s="6" t="s">
        <v>548</v>
      </c>
      <c r="C163" s="6">
        <f>IF(Calculator!B8=FALSE,25,43)</f>
        <v>25</v>
      </c>
      <c r="D163" s="6">
        <f>IF(Calculator!B8=FALSE,25,43)</f>
        <v>25</v>
      </c>
      <c r="E163" s="6">
        <f>IF(Calculator!B8=FALSE,65,73)</f>
        <v>65</v>
      </c>
      <c r="F163" s="6">
        <v>0</v>
      </c>
      <c r="G163" s="6">
        <v>5</v>
      </c>
      <c r="H163" s="6">
        <v>15</v>
      </c>
      <c r="I163" s="6">
        <v>10</v>
      </c>
      <c r="J163" s="6">
        <v>10</v>
      </c>
      <c r="K163" s="6" t="str">
        <f>IF(A163=Calculator!B4,1+MAX(K162:K162),"")</f>
        <v/>
      </c>
      <c r="L163" s="6"/>
      <c r="M163" s="6" t="b">
        <v>1</v>
      </c>
    </row>
    <row r="164" spans="1:13" x14ac:dyDescent="0.25">
      <c r="A164" s="6" t="s">
        <v>607</v>
      </c>
      <c r="B164" s="6" t="s">
        <v>533</v>
      </c>
      <c r="C164" s="6">
        <f>IF(Calculator!B8=FALSE,75,81)</f>
        <v>75</v>
      </c>
      <c r="D164" s="6">
        <f>IF(Calculator!B8=FALSE,70,77)</f>
        <v>70</v>
      </c>
      <c r="E164" s="6">
        <f>IF(Calculator!B8=FALSE,55,66)</f>
        <v>55</v>
      </c>
      <c r="F164" s="6">
        <v>0</v>
      </c>
      <c r="G164" s="6">
        <v>10</v>
      </c>
      <c r="H164" s="6">
        <v>20</v>
      </c>
      <c r="I164" s="6">
        <v>15</v>
      </c>
      <c r="J164" s="6">
        <v>15</v>
      </c>
      <c r="K164" s="6" t="str">
        <f>IF(A164=Calculator!B4,1+MAX(K163:K163),"")</f>
        <v/>
      </c>
      <c r="L164" s="6"/>
      <c r="M164" s="6" t="b">
        <v>1</v>
      </c>
    </row>
    <row r="165" spans="1:13" x14ac:dyDescent="0.25">
      <c r="A165" s="6" t="s">
        <v>608</v>
      </c>
      <c r="B165" s="6" t="s">
        <v>502</v>
      </c>
      <c r="C165" s="6">
        <f>IF(Calculator!B8=FALSE,60,70)</f>
        <v>60</v>
      </c>
      <c r="D165" s="6">
        <f>IF(Calculator!B8=FALSE,70,77)</f>
        <v>70</v>
      </c>
      <c r="E165" s="6">
        <f>IF(Calculator!B8=FALSE,60,70)</f>
        <v>60</v>
      </c>
      <c r="F165" s="6">
        <v>10</v>
      </c>
      <c r="G165" s="6">
        <v>10</v>
      </c>
      <c r="H165" s="6">
        <v>15</v>
      </c>
      <c r="I165" s="6">
        <v>5</v>
      </c>
      <c r="J165" s="6">
        <v>15</v>
      </c>
      <c r="K165" s="6" t="str">
        <f>IF(A165=Calculator!B4,1+MAX(K164:K164),"")</f>
        <v/>
      </c>
      <c r="L165" s="6"/>
      <c r="M165" s="6" t="b">
        <v>1</v>
      </c>
    </row>
    <row r="166" spans="1:13" x14ac:dyDescent="0.25">
      <c r="A166" s="6" t="s">
        <v>608</v>
      </c>
      <c r="B166" s="6" t="s">
        <v>636</v>
      </c>
      <c r="C166" s="6">
        <f>IF(Calculator!B8=FALSE,45,58)</f>
        <v>45</v>
      </c>
      <c r="D166" s="6">
        <f>IF(Calculator!B8=FALSE,50,62)</f>
        <v>50</v>
      </c>
      <c r="E166" s="6">
        <f>IF(Calculator!B8=FALSE,45,58)</f>
        <v>45</v>
      </c>
      <c r="F166" s="6">
        <v>15</v>
      </c>
      <c r="G166" s="6">
        <v>15</v>
      </c>
      <c r="H166" s="6">
        <v>20</v>
      </c>
      <c r="I166" s="6">
        <v>10</v>
      </c>
      <c r="J166" s="6">
        <v>20</v>
      </c>
      <c r="K166" s="6" t="str">
        <f>IF(A166=Calculator!B4,1+MAX(K165:K165),"")</f>
        <v/>
      </c>
      <c r="L166" s="6"/>
      <c r="M166" s="6" t="b">
        <v>1</v>
      </c>
    </row>
    <row r="167" spans="1:13" x14ac:dyDescent="0.25">
      <c r="A167" s="6" t="s">
        <v>608</v>
      </c>
      <c r="B167" s="6" t="s">
        <v>529</v>
      </c>
      <c r="C167" s="6">
        <v>25</v>
      </c>
      <c r="D167" s="6">
        <v>25</v>
      </c>
      <c r="E167" s="6">
        <v>25</v>
      </c>
      <c r="F167" s="6">
        <v>5</v>
      </c>
      <c r="G167" s="6">
        <v>5</v>
      </c>
      <c r="H167" s="6">
        <v>20</v>
      </c>
      <c r="I167" s="6">
        <v>5</v>
      </c>
      <c r="J167" s="6">
        <v>20</v>
      </c>
      <c r="K167" s="6" t="str">
        <f>IF(A167=Calculator!B4,1+MAX(K166:K166),"")</f>
        <v/>
      </c>
      <c r="L167" s="6"/>
      <c r="M167" s="6"/>
    </row>
    <row r="168" spans="1:13" x14ac:dyDescent="0.25">
      <c r="A168" s="6" t="s">
        <v>608</v>
      </c>
      <c r="B168" s="6" t="s">
        <v>637</v>
      </c>
      <c r="C168" s="6">
        <v>22</v>
      </c>
      <c r="D168" s="6">
        <v>22</v>
      </c>
      <c r="E168" s="6">
        <v>20</v>
      </c>
      <c r="F168" s="6">
        <v>10</v>
      </c>
      <c r="G168" s="6">
        <v>10</v>
      </c>
      <c r="H168" s="6">
        <v>25</v>
      </c>
      <c r="I168" s="6">
        <v>10</v>
      </c>
      <c r="J168" s="6">
        <v>25</v>
      </c>
      <c r="K168" s="6" t="str">
        <f>IF(A168=Calculator!B4,1+MAX(K167:K167),"")</f>
        <v/>
      </c>
      <c r="L168" s="6"/>
      <c r="M168" s="6"/>
    </row>
    <row r="169" spans="1:13" x14ac:dyDescent="0.25">
      <c r="A169" s="6" t="s">
        <v>608</v>
      </c>
      <c r="B169" s="6" t="s">
        <v>503</v>
      </c>
      <c r="C169" s="6">
        <f>IF(Calculator!B8=FALSE,37,52)</f>
        <v>37</v>
      </c>
      <c r="D169" s="6">
        <f>IF(Calculator!B8=FALSE,37,52)</f>
        <v>37</v>
      </c>
      <c r="E169" s="6">
        <f>IF(Calculator!B8=FALSE,35,51)</f>
        <v>35</v>
      </c>
      <c r="F169" s="6">
        <v>15</v>
      </c>
      <c r="G169" s="6">
        <v>15</v>
      </c>
      <c r="H169" s="6">
        <v>20</v>
      </c>
      <c r="I169" s="6">
        <v>10</v>
      </c>
      <c r="J169" s="6">
        <v>20</v>
      </c>
      <c r="K169" s="6" t="str">
        <f>IF(A169=Calculator!B4,1+MAX(K168:K168),"")</f>
        <v/>
      </c>
      <c r="L169" s="6"/>
      <c r="M169" s="6" t="b">
        <v>1</v>
      </c>
    </row>
    <row r="170" spans="1:13" x14ac:dyDescent="0.25">
      <c r="A170" s="6" t="s">
        <v>608</v>
      </c>
      <c r="B170" s="6" t="s">
        <v>638</v>
      </c>
      <c r="C170" s="6">
        <f>IF(Calculator!B8=FALSE,75,81)</f>
        <v>75</v>
      </c>
      <c r="D170" s="6">
        <f>IF(Calculator!B8=FALSE,75,81)</f>
        <v>75</v>
      </c>
      <c r="E170" s="6">
        <f>IF(Calculator!B8=FALSE,70,77)</f>
        <v>70</v>
      </c>
      <c r="F170" s="6">
        <v>20</v>
      </c>
      <c r="G170" s="6">
        <v>20</v>
      </c>
      <c r="H170" s="6">
        <v>25</v>
      </c>
      <c r="I170" s="6">
        <v>15</v>
      </c>
      <c r="J170" s="6">
        <v>25</v>
      </c>
      <c r="K170" s="6" t="str">
        <f>IF(A170=Calculator!B4,1+MAX(K169:K169),"")</f>
        <v/>
      </c>
      <c r="L170" s="6" t="s">
        <v>542</v>
      </c>
      <c r="M170" s="6" t="b">
        <v>1</v>
      </c>
    </row>
    <row r="171" spans="1:13" x14ac:dyDescent="0.25">
      <c r="A171" s="6" t="s">
        <v>608</v>
      </c>
      <c r="B171" s="6" t="s">
        <v>624</v>
      </c>
      <c r="C171" s="6">
        <f>IF(Calculator!B8=FALSE,30,47)</f>
        <v>30</v>
      </c>
      <c r="D171" s="6">
        <f>IF(Calculator!B8=FALSE,30,47)</f>
        <v>30</v>
      </c>
      <c r="E171" s="6">
        <f>IF(Calculator!B8=FALSE,30,47)</f>
        <v>30</v>
      </c>
      <c r="F171" s="6">
        <v>5</v>
      </c>
      <c r="G171" s="6">
        <v>5</v>
      </c>
      <c r="H171" s="6">
        <v>20</v>
      </c>
      <c r="I171" s="6">
        <v>5</v>
      </c>
      <c r="J171" s="6">
        <v>20</v>
      </c>
      <c r="K171" s="6" t="str">
        <f>IF(A171=Calculator!B4,1+MAX(K170:K170),"")</f>
        <v/>
      </c>
      <c r="L171" s="6"/>
      <c r="M171" s="6" t="b">
        <v>1</v>
      </c>
    </row>
    <row r="172" spans="1:13" x14ac:dyDescent="0.25">
      <c r="A172" s="6" t="s">
        <v>608</v>
      </c>
      <c r="B172" s="6" t="s">
        <v>639</v>
      </c>
      <c r="C172" s="6">
        <f>IF(Calculator!B8=FALSE,25,43)</f>
        <v>25</v>
      </c>
      <c r="D172" s="6">
        <f>IF(Calculator!B8=FALSE,25,43)</f>
        <v>25</v>
      </c>
      <c r="E172" s="6">
        <f>IF(Calculator!B8=FALSE,25,43)</f>
        <v>25</v>
      </c>
      <c r="F172" s="6">
        <v>10</v>
      </c>
      <c r="G172" s="6">
        <v>10</v>
      </c>
      <c r="H172" s="6">
        <v>25</v>
      </c>
      <c r="I172" s="6">
        <v>10</v>
      </c>
      <c r="J172" s="6">
        <v>25</v>
      </c>
      <c r="K172" s="6" t="str">
        <f>IF(A172=Calculator!B4,1+MAX(K171:K171),"")</f>
        <v/>
      </c>
      <c r="L172" s="6"/>
      <c r="M172" s="6" t="b">
        <v>1</v>
      </c>
    </row>
    <row r="173" spans="1:13" x14ac:dyDescent="0.25">
      <c r="A173" s="6" t="s">
        <v>608</v>
      </c>
      <c r="B173" s="6" t="s">
        <v>504</v>
      </c>
      <c r="C173" s="6">
        <f>IF(Calculator!B8=FALSE,30,47)</f>
        <v>30</v>
      </c>
      <c r="D173" s="6">
        <f>IF(Calculator!B8=FALSE,30,47)</f>
        <v>30</v>
      </c>
      <c r="E173" s="6">
        <f>IF(Calculator!B8=FALSE,30,47)</f>
        <v>30</v>
      </c>
      <c r="F173" s="6">
        <v>10</v>
      </c>
      <c r="G173" s="6">
        <v>10</v>
      </c>
      <c r="H173" s="6">
        <v>15</v>
      </c>
      <c r="I173" s="6">
        <v>5</v>
      </c>
      <c r="J173" s="6">
        <v>15</v>
      </c>
      <c r="K173" s="6" t="str">
        <f>IF(A173=Calculator!B4,1+MAX(K172:K172),"")</f>
        <v/>
      </c>
      <c r="L173" s="6"/>
      <c r="M173" s="6" t="b">
        <v>1</v>
      </c>
    </row>
    <row r="174" spans="1:13" x14ac:dyDescent="0.25">
      <c r="A174" s="6" t="s">
        <v>608</v>
      </c>
      <c r="B174" s="6" t="s">
        <v>640</v>
      </c>
      <c r="C174" s="6">
        <f>IF(Calculator!B8=FALSE,25,43)</f>
        <v>25</v>
      </c>
      <c r="D174" s="6">
        <f>IF(Calculator!B8=FALSE,25,43)</f>
        <v>25</v>
      </c>
      <c r="E174" s="6">
        <f>IF(Calculator!B8=FALSE,25,43)</f>
        <v>25</v>
      </c>
      <c r="F174" s="6">
        <v>15</v>
      </c>
      <c r="G174" s="6">
        <v>15</v>
      </c>
      <c r="H174" s="6">
        <v>20</v>
      </c>
      <c r="I174" s="6">
        <v>10</v>
      </c>
      <c r="J174" s="6">
        <v>20</v>
      </c>
      <c r="K174" s="6" t="str">
        <f>IF(A174=Calculator!B4,1+MAX(K173:K173),"")</f>
        <v/>
      </c>
      <c r="L174" s="6"/>
      <c r="M174" s="6" t="b">
        <v>1</v>
      </c>
    </row>
    <row r="175" spans="1:13" x14ac:dyDescent="0.25">
      <c r="A175" s="6" t="s">
        <v>608</v>
      </c>
      <c r="B175" s="6" t="s">
        <v>505</v>
      </c>
      <c r="C175" s="6">
        <v>45</v>
      </c>
      <c r="D175" s="6">
        <v>38</v>
      </c>
      <c r="E175" s="6">
        <v>35</v>
      </c>
      <c r="F175" s="6">
        <v>5</v>
      </c>
      <c r="G175" s="6">
        <v>5</v>
      </c>
      <c r="H175" s="6">
        <v>10</v>
      </c>
      <c r="I175" s="6">
        <v>5</v>
      </c>
      <c r="J175" s="6">
        <v>10</v>
      </c>
      <c r="K175" s="6" t="str">
        <f>IF(A175=Calculator!B4,1+MAX(K174:K174),"")</f>
        <v/>
      </c>
      <c r="L175" s="6"/>
      <c r="M175" s="6"/>
    </row>
    <row r="176" spans="1:13" x14ac:dyDescent="0.25">
      <c r="A176" s="6" t="s">
        <v>608</v>
      </c>
      <c r="B176" s="6" t="s">
        <v>641</v>
      </c>
      <c r="C176" s="6">
        <v>25</v>
      </c>
      <c r="D176" s="6">
        <v>25</v>
      </c>
      <c r="E176" s="6">
        <v>25</v>
      </c>
      <c r="F176" s="6">
        <v>10</v>
      </c>
      <c r="G176" s="6">
        <v>10</v>
      </c>
      <c r="H176" s="6">
        <v>15</v>
      </c>
      <c r="I176" s="6">
        <v>10</v>
      </c>
      <c r="J176" s="6">
        <v>15</v>
      </c>
      <c r="K176" s="6" t="str">
        <f>IF(A176=Calculator!B4,1+MAX(K175:K175),"")</f>
        <v/>
      </c>
      <c r="L176" s="6"/>
      <c r="M176" s="6"/>
    </row>
    <row r="177" spans="1:13" x14ac:dyDescent="0.25">
      <c r="A177" s="6" t="s">
        <v>608</v>
      </c>
      <c r="B177" s="6" t="s">
        <v>533</v>
      </c>
      <c r="C177" s="6">
        <f>IF(Calculator!B8=FALSE,40,55)</f>
        <v>40</v>
      </c>
      <c r="D177" s="6">
        <f>IF(Calculator!B8=FALSE,35,51)</f>
        <v>35</v>
      </c>
      <c r="E177" s="6">
        <f>IF(Calculator!B8=FALSE,25,43)</f>
        <v>25</v>
      </c>
      <c r="F177" s="6">
        <v>5</v>
      </c>
      <c r="G177" s="6">
        <v>5</v>
      </c>
      <c r="H177" s="6">
        <v>20</v>
      </c>
      <c r="I177" s="6">
        <v>5</v>
      </c>
      <c r="J177" s="6">
        <v>20</v>
      </c>
      <c r="K177" s="6" t="str">
        <f>IF(A177=Calculator!B4,1+MAX(K176:K176),"")</f>
        <v/>
      </c>
      <c r="L177" s="6"/>
      <c r="M177" s="6" t="b">
        <v>1</v>
      </c>
    </row>
    <row r="178" spans="1:13" x14ac:dyDescent="0.25">
      <c r="A178" s="6" t="s">
        <v>608</v>
      </c>
      <c r="B178" s="6" t="s">
        <v>642</v>
      </c>
      <c r="C178" s="6">
        <f>IF(Calculator!B8=FALSE,25,43)</f>
        <v>25</v>
      </c>
      <c r="D178" s="6">
        <f>IF(Calculator!B8=FALSE,25,43)</f>
        <v>25</v>
      </c>
      <c r="E178" s="6">
        <f>IF(Calculator!B8=FALSE,20,40)</f>
        <v>20</v>
      </c>
      <c r="F178" s="6">
        <v>10</v>
      </c>
      <c r="G178" s="6">
        <v>10</v>
      </c>
      <c r="H178" s="6">
        <v>25</v>
      </c>
      <c r="I178" s="6">
        <v>10</v>
      </c>
      <c r="J178" s="6">
        <v>25</v>
      </c>
      <c r="K178" s="6" t="str">
        <f>IF(A178=Calculator!B4,1+MAX(K177:K177),"")</f>
        <v/>
      </c>
      <c r="L178" s="6"/>
      <c r="M178" s="6" t="b">
        <v>1</v>
      </c>
    </row>
    <row r="179" spans="1:13" x14ac:dyDescent="0.25">
      <c r="A179" s="6" t="s">
        <v>609</v>
      </c>
      <c r="B179" s="6" t="s">
        <v>643</v>
      </c>
      <c r="C179" s="6">
        <f>IF(Calculator!B8=FALSE,15,41)</f>
        <v>15</v>
      </c>
      <c r="D179" s="6">
        <f>IF(OR(Calculator!B3="Low Rank",Calculator!B3="High Rank"),IF(Calculator!B8=FALSE,20,45),IF(Calculator!B8=FALSE,17,42))</f>
        <v>20</v>
      </c>
      <c r="E179" s="6">
        <f>IF(Calculator!B8=FALSE,15,41)</f>
        <v>15</v>
      </c>
      <c r="F179" s="6">
        <v>50</v>
      </c>
      <c r="G179" s="6">
        <v>15</v>
      </c>
      <c r="H179" s="6">
        <v>0</v>
      </c>
      <c r="I179" s="6">
        <v>0</v>
      </c>
      <c r="J179" s="6">
        <v>5</v>
      </c>
      <c r="K179" s="6" t="str">
        <f>IF(A179=Calculator!B4,1+MAX(K178:K178),"")</f>
        <v/>
      </c>
      <c r="L179" s="6"/>
      <c r="M179" s="6" t="b">
        <v>1</v>
      </c>
    </row>
    <row r="180" spans="1:13" x14ac:dyDescent="0.25">
      <c r="A180" s="6" t="s">
        <v>609</v>
      </c>
      <c r="B180" s="6" t="s">
        <v>648</v>
      </c>
      <c r="C180" s="6">
        <f>IF(Calculator!B8=FALSE,35,56)</f>
        <v>35</v>
      </c>
      <c r="D180" s="6">
        <f>IF(Calculator!B8=FALSE,40,60)</f>
        <v>40</v>
      </c>
      <c r="E180" s="6">
        <f>IF(Calculator!B8=FALSE,35,56)</f>
        <v>35</v>
      </c>
      <c r="F180" s="6">
        <v>5</v>
      </c>
      <c r="G180" s="6">
        <v>35</v>
      </c>
      <c r="H180" s="6">
        <v>15</v>
      </c>
      <c r="I180" s="6">
        <v>15</v>
      </c>
      <c r="J180" s="6">
        <v>5</v>
      </c>
      <c r="K180" s="6" t="str">
        <f>IF(A180=Calculator!B4,1+MAX(K179:K179),"")</f>
        <v/>
      </c>
      <c r="L180" s="6"/>
      <c r="M180" s="6" t="b">
        <v>1</v>
      </c>
    </row>
    <row r="181" spans="1:13" x14ac:dyDescent="0.25">
      <c r="A181" s="6" t="s">
        <v>609</v>
      </c>
      <c r="B181" s="6" t="s">
        <v>650</v>
      </c>
      <c r="C181" s="6">
        <f>IF(Calculator!B8=FALSE,55,71)</f>
        <v>55</v>
      </c>
      <c r="D181" s="6">
        <f>IF(Calculator!B8=FALSE,60,75)</f>
        <v>60</v>
      </c>
      <c r="E181" s="6">
        <f>IF(Calculator!B8=FALSE,55,71)</f>
        <v>55</v>
      </c>
      <c r="F181" s="6">
        <v>0</v>
      </c>
      <c r="G181" s="6">
        <v>45</v>
      </c>
      <c r="H181" s="6">
        <v>10</v>
      </c>
      <c r="I181" s="6">
        <v>10</v>
      </c>
      <c r="J181" s="6">
        <v>5</v>
      </c>
      <c r="K181" s="6" t="str">
        <f>IF(A181=Calculator!B4,1+MAX(K180:K180),"")</f>
        <v/>
      </c>
      <c r="L181" s="6" t="s">
        <v>542</v>
      </c>
      <c r="M181" s="6" t="b">
        <v>1</v>
      </c>
    </row>
    <row r="182" spans="1:13" x14ac:dyDescent="0.25">
      <c r="A182" s="6" t="s">
        <v>609</v>
      </c>
      <c r="B182" s="6" t="s">
        <v>528</v>
      </c>
      <c r="C182" s="6">
        <f>IF(Calculator!B8=FALSE,15,41)</f>
        <v>15</v>
      </c>
      <c r="D182" s="6">
        <f>IF(Calculator!B8=FALSE,15,41)</f>
        <v>15</v>
      </c>
      <c r="E182" s="6">
        <f>IF(Calculator!B8=FALSE,15,41)</f>
        <v>15</v>
      </c>
      <c r="F182" s="6">
        <v>10</v>
      </c>
      <c r="G182" s="6">
        <v>10</v>
      </c>
      <c r="H182" s="6">
        <v>0</v>
      </c>
      <c r="I182" s="6">
        <v>0</v>
      </c>
      <c r="J182" s="6">
        <v>5</v>
      </c>
      <c r="K182" s="6" t="str">
        <f>IF(A182=Calculator!B4,1+MAX(K181:K181),"")</f>
        <v/>
      </c>
      <c r="L182" s="6"/>
      <c r="M182" s="6" t="b">
        <v>1</v>
      </c>
    </row>
    <row r="183" spans="1:13" x14ac:dyDescent="0.25">
      <c r="A183" s="6" t="s">
        <v>609</v>
      </c>
      <c r="B183" s="6" t="s">
        <v>529</v>
      </c>
      <c r="C183">
        <f>IF(Calculator!B8=FALSE,35,56)</f>
        <v>35</v>
      </c>
      <c r="D183" s="6">
        <f>IF(Calculator!B8=FALSE,35,56)</f>
        <v>35</v>
      </c>
      <c r="E183">
        <f>IF(Calculator!B8=FALSE,35,56)</f>
        <v>35</v>
      </c>
      <c r="F183" s="6">
        <v>10</v>
      </c>
      <c r="G183" s="6">
        <v>10</v>
      </c>
      <c r="H183" s="6">
        <v>0</v>
      </c>
      <c r="I183" s="6">
        <v>0</v>
      </c>
      <c r="J183" s="6">
        <v>5</v>
      </c>
      <c r="K183" s="6" t="str">
        <f>IF(A183=Calculator!B4,1+MAX(K182:K182),"")</f>
        <v/>
      </c>
      <c r="L183" s="6"/>
      <c r="M183" s="6" t="b">
        <v>1</v>
      </c>
    </row>
    <row r="184" spans="1:13" x14ac:dyDescent="0.25">
      <c r="A184" s="6" t="s">
        <v>609</v>
      </c>
      <c r="B184" s="6" t="s">
        <v>644</v>
      </c>
      <c r="C184" s="6">
        <f>IF(OR(Calculator!B3="Low Rank",Calculator!B3="High Rank"),IF(Calculator!B8=FALSE,20,45),IF(Calculator!B8=FALSE,17,42))</f>
        <v>20</v>
      </c>
      <c r="D184" s="6">
        <f>IF(OR(Calculator!B4="Low Rank",Calculator!B4="High Rank"),IF(Calculator!B9=FALSE,20,45),IF(Calculator!B9=FALSE,17,42))</f>
        <v>42</v>
      </c>
      <c r="E184" s="6">
        <f>IF(OR(Calculator!B3="Low Rank",Calculator!B3="High Rank"),IF(Calculator!B8=FALSE,20,45),IF(Calculator!B8=FALSE,17,42))</f>
        <v>20</v>
      </c>
      <c r="F184" s="6">
        <v>10</v>
      </c>
      <c r="G184" s="6">
        <v>15</v>
      </c>
      <c r="H184" s="6">
        <v>0</v>
      </c>
      <c r="I184" s="6">
        <v>0</v>
      </c>
      <c r="J184" s="6">
        <v>5</v>
      </c>
      <c r="K184" s="6" t="str">
        <f>IF(A184=Calculator!B4,1+MAX(K183:K183),"")</f>
        <v/>
      </c>
      <c r="L184" s="6"/>
      <c r="M184" s="6" t="b">
        <v>1</v>
      </c>
    </row>
    <row r="185" spans="1:13" x14ac:dyDescent="0.25">
      <c r="A185" s="6" t="s">
        <v>609</v>
      </c>
      <c r="B185" s="6" t="s">
        <v>649</v>
      </c>
      <c r="C185" s="6">
        <f>IF(Calculator!B8=FALSE,35,56)</f>
        <v>35</v>
      </c>
      <c r="D185" s="6">
        <f>IF(Calculator!B8=FALSE,35,56)</f>
        <v>35</v>
      </c>
      <c r="E185" s="6">
        <f>IF(Calculator!B8=FALSE,35,56)</f>
        <v>35</v>
      </c>
      <c r="F185" s="6">
        <v>5</v>
      </c>
      <c r="G185" s="6">
        <v>30</v>
      </c>
      <c r="H185" s="6">
        <v>20</v>
      </c>
      <c r="I185" s="6">
        <v>20</v>
      </c>
      <c r="J185" s="6">
        <v>5</v>
      </c>
      <c r="K185" s="6" t="str">
        <f>IF(A185=Calculator!B4,1+MAX(K184:K184),"")</f>
        <v/>
      </c>
      <c r="L185" s="6"/>
      <c r="M185" s="6" t="b">
        <v>1</v>
      </c>
    </row>
    <row r="186" spans="1:13" x14ac:dyDescent="0.25">
      <c r="A186" s="6" t="s">
        <v>609</v>
      </c>
      <c r="B186" s="6" t="s">
        <v>651</v>
      </c>
      <c r="C186" s="6">
        <f>IF(Calculator!B8=FALSE,50,67)</f>
        <v>50</v>
      </c>
      <c r="D186" s="6">
        <f>IF(Calculator!B8=FALSE,45,63)</f>
        <v>45</v>
      </c>
      <c r="E186" s="6">
        <f>IF(Calculator!B8=FALSE,50,67)</f>
        <v>50</v>
      </c>
      <c r="F186" s="6">
        <v>0</v>
      </c>
      <c r="G186" s="6">
        <v>35</v>
      </c>
      <c r="H186" s="6">
        <v>15</v>
      </c>
      <c r="I186" s="6">
        <v>15</v>
      </c>
      <c r="J186" s="6">
        <v>5</v>
      </c>
      <c r="K186" s="6" t="str">
        <f>IF(A186=Calculator!B4,1+MAX(K185:K185),"")</f>
        <v/>
      </c>
      <c r="L186" s="6"/>
      <c r="M186" s="6" t="b">
        <v>1</v>
      </c>
    </row>
    <row r="187" spans="1:13" x14ac:dyDescent="0.25">
      <c r="A187" s="6" t="s">
        <v>609</v>
      </c>
      <c r="B187" s="6" t="s">
        <v>645</v>
      </c>
      <c r="C187" s="6">
        <f>IF(Calculator!B8=FALSE,30,52)</f>
        <v>30</v>
      </c>
      <c r="D187" s="6">
        <f>IF(Calculator!B8=FALSE,30,52)</f>
        <v>30</v>
      </c>
      <c r="E187" s="6">
        <f>IF(Calculator!B8=FALSE,30,52)</f>
        <v>30</v>
      </c>
      <c r="F187" s="6">
        <v>10</v>
      </c>
      <c r="G187" s="6">
        <v>10</v>
      </c>
      <c r="H187" s="6">
        <v>0</v>
      </c>
      <c r="I187" s="6">
        <v>0</v>
      </c>
      <c r="J187" s="6">
        <v>5</v>
      </c>
      <c r="K187" s="6" t="str">
        <f>IF(A187=Calculator!B4,1+MAX(K186:K186),"")</f>
        <v/>
      </c>
      <c r="L187" s="6"/>
      <c r="M187" s="6" t="b">
        <v>1</v>
      </c>
    </row>
    <row r="188" spans="1:13" x14ac:dyDescent="0.25">
      <c r="A188" s="6" t="s">
        <v>609</v>
      </c>
      <c r="B188" s="6" t="s">
        <v>646</v>
      </c>
      <c r="C188" s="6">
        <v>15</v>
      </c>
      <c r="D188" s="6">
        <v>15</v>
      </c>
      <c r="E188" s="6">
        <v>15</v>
      </c>
      <c r="F188" s="6">
        <v>10</v>
      </c>
      <c r="G188" s="6">
        <v>5</v>
      </c>
      <c r="H188" s="6">
        <v>0</v>
      </c>
      <c r="I188" s="6">
        <v>0</v>
      </c>
      <c r="J188" s="6">
        <v>5</v>
      </c>
      <c r="K188" s="6" t="str">
        <f>IF(A188=Calculator!B4,1+MAX(K187:K187),"")</f>
        <v/>
      </c>
      <c r="L188" s="6"/>
      <c r="M188" s="6"/>
    </row>
    <row r="189" spans="1:13" x14ac:dyDescent="0.25">
      <c r="A189" s="6" t="s">
        <v>609</v>
      </c>
      <c r="B189" s="6" t="s">
        <v>557</v>
      </c>
      <c r="C189" s="6">
        <v>30</v>
      </c>
      <c r="D189" s="6">
        <v>30</v>
      </c>
      <c r="E189" s="6">
        <v>30</v>
      </c>
      <c r="F189" s="6">
        <v>5</v>
      </c>
      <c r="G189" s="6">
        <v>25</v>
      </c>
      <c r="H189" s="6">
        <v>5</v>
      </c>
      <c r="I189" s="6">
        <v>5</v>
      </c>
      <c r="J189" s="6">
        <v>5</v>
      </c>
      <c r="K189" s="6" t="str">
        <f>IF(A189=Calculator!B4,1+MAX(K188:K188),"")</f>
        <v/>
      </c>
      <c r="L189" s="6"/>
      <c r="M189" s="6"/>
    </row>
    <row r="190" spans="1:13" x14ac:dyDescent="0.25">
      <c r="A190" s="6" t="s">
        <v>609</v>
      </c>
      <c r="B190" s="6" t="s">
        <v>652</v>
      </c>
      <c r="C190" s="6">
        <v>40</v>
      </c>
      <c r="D190" s="6">
        <v>40</v>
      </c>
      <c r="E190" s="6">
        <v>40</v>
      </c>
      <c r="F190" s="6">
        <v>0</v>
      </c>
      <c r="G190" s="6">
        <v>30</v>
      </c>
      <c r="H190" s="6">
        <v>5</v>
      </c>
      <c r="I190" s="6">
        <v>5</v>
      </c>
      <c r="J190" s="6">
        <v>5</v>
      </c>
      <c r="K190" s="6" t="str">
        <f>IF(A190=Calculator!B4,1+MAX(K189:K189),"")</f>
        <v/>
      </c>
      <c r="L190" s="6"/>
      <c r="M190" s="6"/>
    </row>
    <row r="191" spans="1:13" x14ac:dyDescent="0.25">
      <c r="A191" s="6" t="s">
        <v>609</v>
      </c>
      <c r="B191" s="6" t="s">
        <v>647</v>
      </c>
      <c r="C191" s="6">
        <f>IF(OR(Calculator!B3="Low Rank",Calculator!B3="High Rank"),IF(Calculator!B8=FALSE,20,45),IF(Calculator!B8=FALSE,17,42))</f>
        <v>20</v>
      </c>
      <c r="D191" s="6">
        <f>IF(Calculator!B8=FALSE,15,41)</f>
        <v>15</v>
      </c>
      <c r="E191" s="6">
        <f>IF(OR(Calculator!B3="Low Rank",Calculator!B3="High Rank"),IF(Calculator!B8=FALSE,20,45),IF(Calculator!B8=FALSE,17,42))</f>
        <v>20</v>
      </c>
      <c r="F191" s="6">
        <v>10</v>
      </c>
      <c r="G191" s="6">
        <v>10</v>
      </c>
      <c r="H191" s="6">
        <v>0</v>
      </c>
      <c r="I191" s="6">
        <v>0</v>
      </c>
      <c r="J191" s="6">
        <v>5</v>
      </c>
      <c r="K191" s="6" t="str">
        <f>IF(A191=Calculator!B4,1+MAX(K190:K190),"")</f>
        <v/>
      </c>
      <c r="L191" s="6"/>
      <c r="M191" s="6" t="b">
        <v>1</v>
      </c>
    </row>
    <row r="192" spans="1:13" x14ac:dyDescent="0.25">
      <c r="A192" s="6" t="s">
        <v>609</v>
      </c>
      <c r="B192" s="6" t="s">
        <v>558</v>
      </c>
      <c r="C192" s="6">
        <f>IF(Calculator!B8=FALSE,35,56)</f>
        <v>35</v>
      </c>
      <c r="D192" s="6">
        <f>IF(Calculator!B8=FALSE,30,52)</f>
        <v>30</v>
      </c>
      <c r="E192" s="6">
        <f>IF(Calculator!B8=FALSE,35,56)</f>
        <v>35</v>
      </c>
      <c r="F192" s="6">
        <v>5</v>
      </c>
      <c r="G192" s="6">
        <v>30</v>
      </c>
      <c r="H192" s="6">
        <v>15</v>
      </c>
      <c r="I192" s="6">
        <v>15</v>
      </c>
      <c r="J192" s="6">
        <v>5</v>
      </c>
      <c r="K192" s="6" t="str">
        <f>IF(A192=Calculator!B4,1+MAX(K191:K191),"")</f>
        <v/>
      </c>
      <c r="L192" s="6"/>
      <c r="M192" s="6" t="b">
        <v>1</v>
      </c>
    </row>
    <row r="193" spans="1:13" x14ac:dyDescent="0.25">
      <c r="A193" s="6" t="s">
        <v>609</v>
      </c>
      <c r="B193" s="6" t="s">
        <v>653</v>
      </c>
      <c r="C193" s="6">
        <f>IF(Calculator!B8=FALSE,45,63)</f>
        <v>45</v>
      </c>
      <c r="D193" s="6">
        <f>IF(Calculator!B8=FALSE,40,60)</f>
        <v>40</v>
      </c>
      <c r="E193" s="6">
        <f>IF(Calculator!B8=FALSE,45,63)</f>
        <v>45</v>
      </c>
      <c r="F193" s="6">
        <v>0</v>
      </c>
      <c r="G193" s="6">
        <v>35</v>
      </c>
      <c r="H193" s="6">
        <v>10</v>
      </c>
      <c r="I193" s="6">
        <v>10</v>
      </c>
      <c r="J193" s="6">
        <v>5</v>
      </c>
      <c r="K193" s="6" t="str">
        <f>IF(A193=Calculator!B4,1+MAX(K192:K192),"")</f>
        <v/>
      </c>
      <c r="L193" s="6"/>
      <c r="M193" s="6" t="b">
        <v>1</v>
      </c>
    </row>
    <row r="194" spans="1:13" x14ac:dyDescent="0.25">
      <c r="A194" s="6" t="s">
        <v>610</v>
      </c>
      <c r="B194" s="6" t="s">
        <v>502</v>
      </c>
      <c r="C194" s="6">
        <f>IF(OR(Calculator!B3="Low Rank",Calculator!B3="High Rank"),IF(Calculator!B8=FALSE,70,82),IF(Calculator!B8=FALSE,60,75))</f>
        <v>70</v>
      </c>
      <c r="D194" s="6">
        <f>IF(OR(Calculator!B3="Low Rank",Calculator!B3="High Rank"),IF(Calculator!B8=FALSE,80,90),IF(Calculator!B8=FALSE,65,78))</f>
        <v>80</v>
      </c>
      <c r="E194" s="6">
        <f>IF(OR(Calculator!B3="Low Rank",Calculator!B3="High Rank"),IF(Calculator!B8=FALSE,50,67),IF(Calculator!B8=FALSE,45,63))</f>
        <v>50</v>
      </c>
      <c r="F194" s="6">
        <v>0</v>
      </c>
      <c r="G194" s="6">
        <v>20</v>
      </c>
      <c r="H194" s="6">
        <v>15</v>
      </c>
      <c r="I194" s="6">
        <v>15</v>
      </c>
      <c r="J194" s="6">
        <v>20</v>
      </c>
      <c r="K194" s="6" t="str">
        <f>IF(A194=Calculator!B4,1+MAX(K193:K193),"")</f>
        <v/>
      </c>
      <c r="M194" s="6" t="b">
        <v>1</v>
      </c>
    </row>
    <row r="195" spans="1:13" x14ac:dyDescent="0.25">
      <c r="A195" s="6" t="s">
        <v>610</v>
      </c>
      <c r="B195" s="6" t="s">
        <v>654</v>
      </c>
      <c r="C195" s="6">
        <f>IF(OR(Calculator!B3="Low Rank",Calculator!B3="High Rank"),IF(Calculator!B8=FALSE,19,44),IF(Calculator!B8=FALSE,18,43))</f>
        <v>19</v>
      </c>
      <c r="D195" s="6">
        <f>IF(OR(Calculator!B3="Low Rank",Calculator!B3="High Rank"),IF(Calculator!B8=FALSE,20,45),IF(Calculator!B8=FALSE,19,44))</f>
        <v>20</v>
      </c>
      <c r="E195" s="6">
        <f>IF(Calculator!B8=FALSE,10,37)</f>
        <v>10</v>
      </c>
      <c r="F195" s="6">
        <v>0</v>
      </c>
      <c r="G195" s="6">
        <v>40</v>
      </c>
      <c r="H195" s="6">
        <v>5</v>
      </c>
      <c r="I195" s="6">
        <v>20</v>
      </c>
      <c r="J195" s="6">
        <v>30</v>
      </c>
      <c r="K195" s="6" t="str">
        <f>IF(A195=Calculator!B4,1+MAX(K194:K194),"")</f>
        <v/>
      </c>
      <c r="L195" s="6"/>
      <c r="M195" s="6" t="b">
        <v>1</v>
      </c>
    </row>
    <row r="196" spans="1:13" x14ac:dyDescent="0.25">
      <c r="A196" s="6" t="s">
        <v>610</v>
      </c>
      <c r="B196" s="6" t="s">
        <v>655</v>
      </c>
      <c r="C196" s="6">
        <f>IF(Calculator!B8=FALSE,55,71)</f>
        <v>55</v>
      </c>
      <c r="D196" s="6">
        <f>IF(Calculator!B8=FALSE,60,75)</f>
        <v>60</v>
      </c>
      <c r="E196" s="6">
        <f>IF(Calculator!B8=FALSE,40,60)</f>
        <v>40</v>
      </c>
      <c r="F196" s="6">
        <v>0</v>
      </c>
      <c r="G196" s="6">
        <v>20</v>
      </c>
      <c r="H196" s="6">
        <v>5</v>
      </c>
      <c r="I196" s="6">
        <v>15</v>
      </c>
      <c r="J196" s="6">
        <v>20</v>
      </c>
      <c r="K196" s="6" t="str">
        <f>IF(A196=Calculator!B4,1+MAX(K195:K195),"")</f>
        <v/>
      </c>
      <c r="L196" s="6"/>
      <c r="M196" s="6" t="b">
        <v>1</v>
      </c>
    </row>
    <row r="197" spans="1:13" x14ac:dyDescent="0.25">
      <c r="A197" s="6" t="s">
        <v>610</v>
      </c>
      <c r="B197" s="6" t="s">
        <v>656</v>
      </c>
      <c r="C197" s="6">
        <f>IF(OR(Calculator!B3="Low Rank",Calculator!B3="High Rank"),22,20)</f>
        <v>22</v>
      </c>
      <c r="D197" s="6">
        <v>24</v>
      </c>
      <c r="E197" s="6">
        <v>10</v>
      </c>
      <c r="F197" s="6">
        <v>0</v>
      </c>
      <c r="G197" s="6">
        <v>15</v>
      </c>
      <c r="H197" s="6">
        <v>0</v>
      </c>
      <c r="I197" s="6">
        <v>10</v>
      </c>
      <c r="J197" s="6">
        <v>15</v>
      </c>
      <c r="K197" s="6" t="str">
        <f>IF(A197=Calculator!B4,1+MAX(K196:K196),"")</f>
        <v/>
      </c>
      <c r="L197" s="6"/>
      <c r="M197" s="6"/>
    </row>
    <row r="198" spans="1:13" x14ac:dyDescent="0.25">
      <c r="A198" s="6" t="s">
        <v>610</v>
      </c>
      <c r="B198" s="6" t="s">
        <v>657</v>
      </c>
      <c r="C198" s="6">
        <v>25</v>
      </c>
      <c r="D198" s="6">
        <v>30</v>
      </c>
      <c r="E198" s="6">
        <f>IF(OR(Calculator!B3="Low Rank",Calculator!B3="High Rank"),25,15)</f>
        <v>25</v>
      </c>
      <c r="F198" s="6">
        <v>0</v>
      </c>
      <c r="G198" s="6">
        <v>20</v>
      </c>
      <c r="H198" s="6">
        <v>0</v>
      </c>
      <c r="I198" s="6">
        <v>10</v>
      </c>
      <c r="J198" s="6">
        <v>15</v>
      </c>
      <c r="K198" s="6" t="str">
        <f>IF(A198=Calculator!B4,1+MAX(K197:K197),"")</f>
        <v/>
      </c>
      <c r="L198" s="6"/>
      <c r="M198" s="6"/>
    </row>
    <row r="199" spans="1:13" x14ac:dyDescent="0.25">
      <c r="A199" s="6" t="s">
        <v>610</v>
      </c>
      <c r="B199" s="6" t="s">
        <v>529</v>
      </c>
      <c r="C199" s="6">
        <f>IF(Calculator!B8=FALSE,50,67)</f>
        <v>50</v>
      </c>
      <c r="D199" s="6">
        <f>IF(Calculator!B8=FALSE,45,63)</f>
        <v>45</v>
      </c>
      <c r="E199" s="6">
        <f>IF(Calculator!B8=FALSE,45,63)</f>
        <v>45</v>
      </c>
      <c r="F199" s="6">
        <v>0</v>
      </c>
      <c r="G199" s="6">
        <v>30</v>
      </c>
      <c r="H199" s="6">
        <v>5</v>
      </c>
      <c r="I199" s="6">
        <v>15</v>
      </c>
      <c r="J199" s="6">
        <v>30</v>
      </c>
      <c r="K199" s="6" t="str">
        <f>IF(A199=Calculator!B4,1+MAX(K198:K198),"")</f>
        <v/>
      </c>
      <c r="L199" s="6" t="s">
        <v>542</v>
      </c>
      <c r="M199" s="6" t="b">
        <v>1</v>
      </c>
    </row>
    <row r="200" spans="1:13" x14ac:dyDescent="0.25">
      <c r="A200" s="6" t="s">
        <v>610</v>
      </c>
      <c r="B200" s="6" t="s">
        <v>530</v>
      </c>
      <c r="C200" s="6">
        <f>IF(OR(Calculator!B3="Low Rank",Calculator!B3="High Rank"),IF(Calculator!B8=FALSE,22,46),IF(Calculator!B8=FALSE,20,45))</f>
        <v>22</v>
      </c>
      <c r="D200" s="6">
        <f>IF(Calculator!B8=FALSE,24,48)</f>
        <v>24</v>
      </c>
      <c r="E200" s="6">
        <f>IF(OR(Calculator!B3="Low Rank",Calculator!B3="High Rank"),IF(Calculator!B8=FALSE,10,37),IF(Calculator!B8=FALSE,15,41))</f>
        <v>10</v>
      </c>
      <c r="F200" s="6">
        <v>0</v>
      </c>
      <c r="G200" s="6">
        <v>15</v>
      </c>
      <c r="H200" s="6">
        <v>0</v>
      </c>
      <c r="I200" s="6">
        <v>10</v>
      </c>
      <c r="J200" s="6">
        <v>15</v>
      </c>
      <c r="K200" s="6" t="str">
        <f>IF(A200=Calculator!B4,1+MAX(K199:K199),"")</f>
        <v/>
      </c>
      <c r="L200" s="6"/>
      <c r="M200" s="6" t="b">
        <v>1</v>
      </c>
    </row>
    <row r="201" spans="1:13" x14ac:dyDescent="0.25">
      <c r="A201" s="6" t="s">
        <v>610</v>
      </c>
      <c r="B201" s="6" t="s">
        <v>535</v>
      </c>
      <c r="C201" s="6">
        <f>IF(Calculator!B8=FALSE,25,48)</f>
        <v>25</v>
      </c>
      <c r="D201" s="6">
        <f>IF(Calculator!B8=FALSE,30,52)</f>
        <v>30</v>
      </c>
      <c r="E201" s="6">
        <f>IF(Calculator!B8=FALSE,20,45)</f>
        <v>20</v>
      </c>
      <c r="F201" s="6">
        <v>0</v>
      </c>
      <c r="G201" s="6">
        <v>15</v>
      </c>
      <c r="H201" s="6">
        <v>0</v>
      </c>
      <c r="I201" s="6">
        <v>10</v>
      </c>
      <c r="J201" s="6">
        <v>15</v>
      </c>
      <c r="K201" s="6" t="str">
        <f>IF(A201=Calculator!B4,1+MAX(K200:K200),"")</f>
        <v/>
      </c>
      <c r="L201" s="6"/>
      <c r="M201" s="6" t="b">
        <v>1</v>
      </c>
    </row>
    <row r="202" spans="1:13" x14ac:dyDescent="0.25">
      <c r="A202" s="6" t="s">
        <v>610</v>
      </c>
      <c r="B202" s="6" t="s">
        <v>532</v>
      </c>
      <c r="C202" s="6">
        <f>IF(OR(Calculator!B3="Low Rank",Calculator!B3="High Rank"),IF(Calculator!B8=FALSE,45,63),IF(Calculator!B8=FALSE,43,62))</f>
        <v>45</v>
      </c>
      <c r="D202" s="6">
        <f>IF(OR(Calculator!B3="Low Rank",Calculator!B3="High Rank"),IF(Calculator!B8=FALSE,40,60),IF(Calculator!B8=FALSE,37,57))</f>
        <v>40</v>
      </c>
      <c r="E202" s="6">
        <f>IF(Calculator!B8=FALSE,20,45)</f>
        <v>20</v>
      </c>
      <c r="F202" s="6">
        <v>0</v>
      </c>
      <c r="G202" s="6">
        <v>15</v>
      </c>
      <c r="H202" s="6">
        <v>0</v>
      </c>
      <c r="I202" s="6">
        <v>10</v>
      </c>
      <c r="J202" s="6">
        <v>15</v>
      </c>
      <c r="K202" s="6" t="str">
        <f>IF(A202=Calculator!B4,1+MAX(K201:K201),"")</f>
        <v/>
      </c>
      <c r="L202" s="6"/>
      <c r="M202" s="6" t="b">
        <v>1</v>
      </c>
    </row>
    <row r="203" spans="1:13" x14ac:dyDescent="0.25">
      <c r="A203" s="6" t="s">
        <v>610</v>
      </c>
      <c r="B203" s="6" t="s">
        <v>658</v>
      </c>
      <c r="C203" s="6">
        <f>IF(Calculator!B8=FALSE,25,48)</f>
        <v>25</v>
      </c>
      <c r="D203" s="6">
        <f>IF(Calculator!B8=FALSE,25,48)</f>
        <v>25</v>
      </c>
      <c r="E203" s="6">
        <f>IF(Calculator!B8=FALSE,15,41)</f>
        <v>15</v>
      </c>
      <c r="F203" s="6">
        <v>0</v>
      </c>
      <c r="G203" s="6">
        <v>15</v>
      </c>
      <c r="H203" s="6">
        <v>0</v>
      </c>
      <c r="I203" s="6">
        <v>10</v>
      </c>
      <c r="J203" s="6">
        <v>15</v>
      </c>
      <c r="K203" s="6" t="str">
        <f>IF(A203=Calculator!B4,1+MAX(K202:K202),"")</f>
        <v/>
      </c>
      <c r="L203" s="6"/>
      <c r="M203" s="6" t="b">
        <v>1</v>
      </c>
    </row>
    <row r="204" spans="1:13" x14ac:dyDescent="0.25">
      <c r="A204" s="6" t="s">
        <v>610</v>
      </c>
      <c r="B204" s="6" t="s">
        <v>659</v>
      </c>
      <c r="C204" s="6">
        <f>IF(Calculator!B8=FALSE,35,56)</f>
        <v>35</v>
      </c>
      <c r="D204" s="6">
        <f>IF(Calculator!B8=FALSE,30,42)</f>
        <v>30</v>
      </c>
      <c r="E204" s="6">
        <f>IF(Calculator!B8=FALSE,25,48)</f>
        <v>25</v>
      </c>
      <c r="F204" s="6">
        <v>0</v>
      </c>
      <c r="G204" s="6">
        <v>25</v>
      </c>
      <c r="H204" s="6">
        <v>5</v>
      </c>
      <c r="I204" s="6">
        <v>10</v>
      </c>
      <c r="J204" s="6">
        <v>20</v>
      </c>
      <c r="K204" s="6" t="str">
        <f>IF(A204=Calculator!B4,1+MAX(K203:K203),"")</f>
        <v/>
      </c>
      <c r="L204" s="6"/>
      <c r="M204" s="6" t="b">
        <v>1</v>
      </c>
    </row>
    <row r="205" spans="1:13" x14ac:dyDescent="0.25">
      <c r="A205" s="6" t="s">
        <v>610</v>
      </c>
      <c r="B205" s="6" t="s">
        <v>568</v>
      </c>
      <c r="C205" s="6">
        <f>IF(Calculator!B8=FALSE,25,48)</f>
        <v>25</v>
      </c>
      <c r="D205" s="6">
        <f>IF(Calculator!B8=FALSE,25,48)</f>
        <v>25</v>
      </c>
      <c r="E205" s="6">
        <f>IF(Calculator!B8=FALSE,15,41)</f>
        <v>15</v>
      </c>
      <c r="F205" s="6">
        <v>0</v>
      </c>
      <c r="G205" s="6">
        <v>35</v>
      </c>
      <c r="H205" s="6">
        <v>0</v>
      </c>
      <c r="I205" s="6">
        <v>15</v>
      </c>
      <c r="J205" s="6">
        <v>25</v>
      </c>
      <c r="K205" s="6" t="str">
        <f>IF(A205=Calculator!B4,1+MAX(K204:K204),"")</f>
        <v/>
      </c>
      <c r="L205" s="6"/>
      <c r="M205" s="6" t="b">
        <v>1</v>
      </c>
    </row>
    <row r="206" spans="1:13" x14ac:dyDescent="0.25">
      <c r="A206" s="6" t="s">
        <v>611</v>
      </c>
      <c r="B206" s="6" t="s">
        <v>502</v>
      </c>
      <c r="C206" s="6">
        <f>IF(Calculator!B8=FALSE,60,70)</f>
        <v>60</v>
      </c>
      <c r="D206" s="6">
        <f>IF(Calculator!B8=FALSE,65,73)</f>
        <v>65</v>
      </c>
      <c r="E206" s="6">
        <f>IF(Calculator!B8=FALSE,55,66)</f>
        <v>55</v>
      </c>
      <c r="F206" s="6">
        <v>0</v>
      </c>
      <c r="G206" s="6">
        <v>15</v>
      </c>
      <c r="H206" s="6">
        <v>15</v>
      </c>
      <c r="I206" s="6">
        <v>20</v>
      </c>
      <c r="J206" s="6">
        <v>30</v>
      </c>
      <c r="K206" s="6" t="str">
        <f>IF(A206=Calculator!B4,1+MAX(K205:K205),"")</f>
        <v/>
      </c>
      <c r="L206" s="6" t="s">
        <v>542</v>
      </c>
      <c r="M206" s="6" t="b">
        <v>1</v>
      </c>
    </row>
    <row r="207" spans="1:13" x14ac:dyDescent="0.25">
      <c r="A207" s="6" t="s">
        <v>611</v>
      </c>
      <c r="B207" s="6" t="s">
        <v>528</v>
      </c>
      <c r="C207" s="6">
        <f>IF(Calculator!B8=FALSE,30,47)</f>
        <v>30</v>
      </c>
      <c r="D207" s="6">
        <f>IF(Calculator!B8=FALSE,35,51)</f>
        <v>35</v>
      </c>
      <c r="E207" s="6">
        <f>IF(Calculator!B8=FALSE,25,43)</f>
        <v>25</v>
      </c>
      <c r="F207" s="6">
        <v>0</v>
      </c>
      <c r="G207" s="6">
        <v>5</v>
      </c>
      <c r="H207" s="6">
        <v>5</v>
      </c>
      <c r="I207" s="6">
        <v>10</v>
      </c>
      <c r="J207" s="6">
        <v>20</v>
      </c>
      <c r="K207" s="6" t="str">
        <f>IF(A207=Calculator!B4,1+MAX(K206:K206),"")</f>
        <v/>
      </c>
      <c r="L207" s="6"/>
      <c r="M207" s="6" t="b">
        <v>1</v>
      </c>
    </row>
    <row r="208" spans="1:13" x14ac:dyDescent="0.25">
      <c r="A208" s="6" t="s">
        <v>611</v>
      </c>
      <c r="B208" s="6" t="s">
        <v>529</v>
      </c>
      <c r="C208" s="6">
        <f>IF(OR(Calculator!B3="Low Rank",Calculator!B3="High Rank"),22,20)</f>
        <v>22</v>
      </c>
      <c r="D208" s="6">
        <f>IF(OR(Calculator!B3="Low Rank",Calculator!B3="High Rank"),22,20)</f>
        <v>22</v>
      </c>
      <c r="E208" s="6">
        <v>20</v>
      </c>
      <c r="F208" s="6">
        <v>0</v>
      </c>
      <c r="G208" s="6">
        <v>5</v>
      </c>
      <c r="H208" s="6">
        <v>5</v>
      </c>
      <c r="I208" s="6">
        <v>10</v>
      </c>
      <c r="J208" s="6">
        <v>20</v>
      </c>
      <c r="K208" s="6" t="str">
        <f>IF(A208=Calculator!B4,1+MAX(K207:K207),"")</f>
        <v/>
      </c>
      <c r="L208" s="6"/>
      <c r="M208" s="6"/>
    </row>
    <row r="209" spans="1:13" x14ac:dyDescent="0.25">
      <c r="A209" s="6" t="s">
        <v>611</v>
      </c>
      <c r="B209" s="6" t="s">
        <v>530</v>
      </c>
      <c r="C209" s="6">
        <f>IF(OR(Calculator!B3="Low Rank",Calculator!B3="High Rank"),22,20)</f>
        <v>22</v>
      </c>
      <c r="D209" s="6">
        <f>IF(OR(Calculator!B3="Low Rank",Calculator!B3="High Rank"),22,20)</f>
        <v>22</v>
      </c>
      <c r="E209" s="6">
        <v>20</v>
      </c>
      <c r="F209" s="6">
        <v>0</v>
      </c>
      <c r="G209" s="6">
        <v>5</v>
      </c>
      <c r="H209" s="6">
        <v>5</v>
      </c>
      <c r="I209" s="6">
        <v>10</v>
      </c>
      <c r="J209" s="6">
        <v>20</v>
      </c>
      <c r="K209" s="6" t="str">
        <f>IF(A209=Calculator!B4,1+MAX(K208:K208),"")</f>
        <v/>
      </c>
      <c r="L209" s="6"/>
      <c r="M209" s="6"/>
    </row>
    <row r="210" spans="1:13" x14ac:dyDescent="0.25">
      <c r="A210" s="6" t="s">
        <v>611</v>
      </c>
      <c r="B210" s="6" t="s">
        <v>548</v>
      </c>
      <c r="C210" s="6">
        <f>IF(Calculator!B8=FALSE,50,62)</f>
        <v>50</v>
      </c>
      <c r="D210" s="6">
        <f>IF(Calculator!B8=FALSE,45,58)</f>
        <v>45</v>
      </c>
      <c r="E210" s="6">
        <f>IF(Calculator!B8=FALSE,40,55)</f>
        <v>40</v>
      </c>
      <c r="F210" s="6">
        <v>0</v>
      </c>
      <c r="G210" s="6">
        <v>10</v>
      </c>
      <c r="H210" s="6">
        <v>10</v>
      </c>
      <c r="I210" s="6">
        <v>15</v>
      </c>
      <c r="J210" s="6">
        <v>25</v>
      </c>
      <c r="K210" s="6" t="str">
        <f>IF(A210=Calculator!B4,1+MAX(K209:K209),"")</f>
        <v/>
      </c>
      <c r="L210" s="6"/>
      <c r="M210" s="6" t="b">
        <v>1</v>
      </c>
    </row>
    <row r="211" spans="1:13" x14ac:dyDescent="0.25">
      <c r="A211" s="6" t="s">
        <v>611</v>
      </c>
      <c r="B211" s="6" t="s">
        <v>505</v>
      </c>
      <c r="C211" s="6">
        <f>IF(Calculator!B8=FALSE,35,51)</f>
        <v>35</v>
      </c>
      <c r="D211" s="6">
        <f>IF(Calculator!B8=FALSE,35,51)</f>
        <v>35</v>
      </c>
      <c r="E211" s="6">
        <f>IF(Calculator!B8=FALSE,30,47)</f>
        <v>30</v>
      </c>
      <c r="F211" s="6">
        <v>0</v>
      </c>
      <c r="G211" s="6">
        <v>0</v>
      </c>
      <c r="H211" s="6">
        <v>0</v>
      </c>
      <c r="I211" s="6">
        <v>5</v>
      </c>
      <c r="J211" s="6">
        <v>15</v>
      </c>
      <c r="K211" s="6" t="str">
        <f>IF(A211=Calculator!B4,1+MAX(K210:K210),"")</f>
        <v/>
      </c>
      <c r="L211" s="6"/>
      <c r="M211" s="6" t="b">
        <v>1</v>
      </c>
    </row>
    <row r="212" spans="1:13" x14ac:dyDescent="0.25">
      <c r="A212" s="6" t="s">
        <v>611</v>
      </c>
      <c r="B212" s="6" t="s">
        <v>533</v>
      </c>
      <c r="C212" s="6">
        <f>IF(OR(Calculator!B3="Low Rank",Calculator!B3="High Rank"),IF(Calculator!B8=FALSE,25,43),IF(Calculator!B8=FALSE,18,38))</f>
        <v>25</v>
      </c>
      <c r="D212" s="6">
        <f>IF(OR(Calculator!B3="Low Rank",Calculator!B3="High Rank"),IF(Calculator!B8=FALSE,25,43),IF(Calculator!B8=FALSE,18,38))</f>
        <v>25</v>
      </c>
      <c r="E212" s="6">
        <f>IF(Calculator!B8=FALSE,20,40)</f>
        <v>20</v>
      </c>
      <c r="F212" s="6">
        <v>0</v>
      </c>
      <c r="G212" s="6">
        <v>5</v>
      </c>
      <c r="H212" s="6">
        <v>5</v>
      </c>
      <c r="I212" s="6">
        <v>10</v>
      </c>
      <c r="J212" s="6">
        <v>20</v>
      </c>
      <c r="K212" s="6" t="str">
        <f>IF(A212=Calculator!B4,1+MAX(K211:K211),"")</f>
        <v/>
      </c>
      <c r="L212" s="6"/>
      <c r="M212" s="6" t="b">
        <v>1</v>
      </c>
    </row>
    <row r="213" spans="1:13" x14ac:dyDescent="0.25">
      <c r="A213" s="6" t="s">
        <v>611</v>
      </c>
      <c r="B213" s="6" t="s">
        <v>568</v>
      </c>
      <c r="C213" s="6">
        <f>IF(Calculator!B8=FALSE,55,66)</f>
        <v>55</v>
      </c>
      <c r="D213" s="6">
        <f>IF(Calculator!B8=FALSE,50,62)</f>
        <v>50</v>
      </c>
      <c r="E213" s="6">
        <f>IF(Calculator!B8=FALSE,45,58)</f>
        <v>45</v>
      </c>
      <c r="F213" s="6">
        <v>0</v>
      </c>
      <c r="G213" s="6">
        <v>10</v>
      </c>
      <c r="H213" s="6">
        <v>10</v>
      </c>
      <c r="I213" s="6">
        <v>15</v>
      </c>
      <c r="J213" s="6">
        <v>25</v>
      </c>
      <c r="K213" s="6" t="str">
        <f>IF(A213=Calculator!B4,1+MAX(K212:K212),"")</f>
        <v/>
      </c>
      <c r="L213" s="6"/>
      <c r="M213" s="6" t="b">
        <v>1</v>
      </c>
    </row>
    <row r="214" spans="1:13" x14ac:dyDescent="0.25">
      <c r="A214" s="6" t="s">
        <v>612</v>
      </c>
      <c r="B214" s="6" t="s">
        <v>566</v>
      </c>
      <c r="C214" s="6">
        <f>IF(OR(Calculator!B3="Low Rank",Calculator!B3="High Rank"),IF(Calculator!B8=FALSE,19,39),IF(Calculator!B8=FALSE,18,38))</f>
        <v>19</v>
      </c>
      <c r="D214" s="6">
        <f>IF(OR(Calculator!B3="Low Rank",Calculator!B3="High Rank"),IF(Calculator!B8=FALSE,37,52),IF(Calculator!B8=FALSE,29,46))</f>
        <v>37</v>
      </c>
      <c r="E214" s="6">
        <f>IF(Calculator!B8=FALSE,15,36)</f>
        <v>15</v>
      </c>
      <c r="F214" s="6">
        <v>0</v>
      </c>
      <c r="G214" s="6">
        <v>20</v>
      </c>
      <c r="H214" s="6">
        <v>10</v>
      </c>
      <c r="I214" s="6">
        <v>25</v>
      </c>
      <c r="J214" s="6">
        <v>0</v>
      </c>
      <c r="K214" s="6" t="str">
        <f>IF(A214=Calculator!B4,1+MAX(K213:K213),"")</f>
        <v/>
      </c>
      <c r="L214" s="6"/>
      <c r="M214" s="6" t="b">
        <v>1</v>
      </c>
    </row>
    <row r="215" spans="1:13" x14ac:dyDescent="0.25">
      <c r="A215" s="6" t="s">
        <v>612</v>
      </c>
      <c r="B215" s="6" t="s">
        <v>502</v>
      </c>
      <c r="C215" s="6">
        <f>IF(Calculator!B8=FALSE,43,57)</f>
        <v>43</v>
      </c>
      <c r="D215" s="6">
        <f>IF(Calculator!B8=FALSE,55,66)</f>
        <v>55</v>
      </c>
      <c r="E215" s="6">
        <f>IF(Calculator!B8=FALSE,30,47)</f>
        <v>30</v>
      </c>
      <c r="F215" s="6">
        <v>0</v>
      </c>
      <c r="G215" s="6">
        <v>25</v>
      </c>
      <c r="H215" s="6">
        <v>10</v>
      </c>
      <c r="I215" s="6">
        <v>30</v>
      </c>
      <c r="J215" s="6">
        <v>0</v>
      </c>
      <c r="K215" s="6" t="str">
        <f>IF(A215=Calculator!B4,1+MAX(K214:K214),"")</f>
        <v/>
      </c>
      <c r="L215" s="6"/>
      <c r="M215" s="6" t="b">
        <v>1</v>
      </c>
    </row>
    <row r="216" spans="1:13" x14ac:dyDescent="0.25">
      <c r="A216" s="6" t="s">
        <v>612</v>
      </c>
      <c r="B216" s="6" t="s">
        <v>528</v>
      </c>
      <c r="C216" s="6">
        <f>IF(Calculator!B8=FALSE,40,55)</f>
        <v>40</v>
      </c>
      <c r="D216" s="6">
        <f>IF(Calculator!B8=FALSE,40,55)</f>
        <v>40</v>
      </c>
      <c r="E216" s="6">
        <f>IF(Calculator!B8=FALSE,25,43)</f>
        <v>25</v>
      </c>
      <c r="F216" s="6">
        <v>0</v>
      </c>
      <c r="G216" s="6">
        <v>15</v>
      </c>
      <c r="H216" s="6">
        <v>5</v>
      </c>
      <c r="I216" s="6">
        <v>20</v>
      </c>
      <c r="J216" s="6">
        <v>0</v>
      </c>
      <c r="K216" s="6" t="str">
        <f>IF(A216=Calculator!B4,1+MAX(K215:K215),"")</f>
        <v/>
      </c>
      <c r="L216" s="6"/>
      <c r="M216" s="6" t="b">
        <v>1</v>
      </c>
    </row>
    <row r="217" spans="1:13" x14ac:dyDescent="0.25">
      <c r="A217" s="6" t="s">
        <v>612</v>
      </c>
      <c r="B217" s="6" t="s">
        <v>567</v>
      </c>
      <c r="C217" s="6">
        <f>IF(OR(Calculator!B3="Low Rank",Calculator!B3="High Rank"),IF(Calculator!B8=FALSE,63,72),IF(Calculator!B8=FALSE,58,68))</f>
        <v>63</v>
      </c>
      <c r="D217" s="6">
        <f>IF(OR(Calculator!B3="Low Rank",Calculator!B3="High Rank"),IF(Calculator!B8=FALSE,68,76),IF(Calculator!B8=FALSE,63,72))</f>
        <v>68</v>
      </c>
      <c r="E217" s="6">
        <f>IF(OR(Calculator!B3="Low Rank",Calculator!B3="High Rank"),IF(Calculator!B8=FALSE,35,51),IF(Calculator!B8=FALSE,32,49))</f>
        <v>35</v>
      </c>
      <c r="F217" s="6">
        <v>0</v>
      </c>
      <c r="G217" s="6">
        <v>30</v>
      </c>
      <c r="H217" s="6">
        <v>10</v>
      </c>
      <c r="I217" s="6">
        <v>35</v>
      </c>
      <c r="J217" s="6">
        <v>0</v>
      </c>
      <c r="K217" s="6" t="str">
        <f>IF(A217=Calculator!B4,1+MAX(K216:K216),"")</f>
        <v/>
      </c>
      <c r="L217" s="6" t="s">
        <v>542</v>
      </c>
      <c r="M217" s="6" t="b">
        <v>1</v>
      </c>
    </row>
    <row r="218" spans="1:13" x14ac:dyDescent="0.25">
      <c r="A218" s="6" t="s">
        <v>612</v>
      </c>
      <c r="B218" s="6" t="s">
        <v>530</v>
      </c>
      <c r="C218" s="6">
        <f>IF(Calculator!B8=FALSE,24,43)</f>
        <v>24</v>
      </c>
      <c r="D218" s="6">
        <f>IF(Calculator!B8=FALSE,42,56)</f>
        <v>42</v>
      </c>
      <c r="E218" s="6">
        <f>IF(Calculator!B8=FALSE,30,47)</f>
        <v>30</v>
      </c>
      <c r="F218" s="6">
        <v>0</v>
      </c>
      <c r="G218" s="6">
        <v>20</v>
      </c>
      <c r="H218" s="6">
        <v>10</v>
      </c>
      <c r="I218" s="6">
        <v>25</v>
      </c>
      <c r="J218" s="6">
        <v>0</v>
      </c>
      <c r="K218" s="6" t="str">
        <f>IF(A218=Calculator!B4,1+MAX(K217:K217),"")</f>
        <v/>
      </c>
      <c r="L218" s="6"/>
      <c r="M218" s="6" t="b">
        <v>1</v>
      </c>
    </row>
    <row r="219" spans="1:13" x14ac:dyDescent="0.25">
      <c r="A219" s="6" t="s">
        <v>612</v>
      </c>
      <c r="B219" s="6" t="s">
        <v>548</v>
      </c>
      <c r="C219" s="6">
        <v>40</v>
      </c>
      <c r="D219" s="6">
        <v>30</v>
      </c>
      <c r="E219" s="6">
        <v>60</v>
      </c>
      <c r="F219" s="6">
        <v>0</v>
      </c>
      <c r="G219" s="6">
        <v>25</v>
      </c>
      <c r="H219" s="6">
        <v>10</v>
      </c>
      <c r="I219" s="6">
        <v>30</v>
      </c>
      <c r="J219" s="6">
        <v>0</v>
      </c>
      <c r="K219" s="6" t="str">
        <f>IF(A219=Calculator!B4,1+MAX(K218:K218),"")</f>
        <v/>
      </c>
      <c r="L219" s="6"/>
      <c r="M219" s="6"/>
    </row>
    <row r="220" spans="1:13" x14ac:dyDescent="0.25">
      <c r="A220" s="6" t="s">
        <v>612</v>
      </c>
      <c r="B220" s="6" t="s">
        <v>505</v>
      </c>
      <c r="C220" s="6">
        <f>IF(Calculator!B8=FALSE,35,51)</f>
        <v>35</v>
      </c>
      <c r="D220" s="6">
        <f>IF(Calculator!B8=FALSE,35,51)</f>
        <v>35</v>
      </c>
      <c r="E220" s="6">
        <f>IF(Calculator!B8=FALSE,35,51)</f>
        <v>35</v>
      </c>
      <c r="F220" s="6">
        <v>0</v>
      </c>
      <c r="G220" s="6">
        <v>10</v>
      </c>
      <c r="H220" s="6">
        <v>5</v>
      </c>
      <c r="I220" s="6">
        <v>15</v>
      </c>
      <c r="J220" s="6">
        <v>0</v>
      </c>
      <c r="K220" s="6" t="str">
        <f>IF(A220=Calculator!B4,1+MAX(K219:K219),"")</f>
        <v/>
      </c>
      <c r="L220" s="6"/>
      <c r="M220" s="6" t="b">
        <v>1</v>
      </c>
    </row>
    <row r="221" spans="1:13" x14ac:dyDescent="0.25">
      <c r="A221" s="6" t="s">
        <v>612</v>
      </c>
      <c r="B221" s="6" t="s">
        <v>533</v>
      </c>
      <c r="C221" s="6">
        <f>IF(Calculator!B8=FALSE,45,58)</f>
        <v>45</v>
      </c>
      <c r="D221" s="6">
        <f>IF(Calculator!B8=FALSE,24,43)</f>
        <v>24</v>
      </c>
      <c r="E221" s="6">
        <f>IF(Calculator!B8=FALSE,45,58)</f>
        <v>45</v>
      </c>
      <c r="F221" s="6">
        <v>0</v>
      </c>
      <c r="G221" s="6">
        <v>20</v>
      </c>
      <c r="H221" s="6">
        <v>10</v>
      </c>
      <c r="I221" s="6">
        <v>15</v>
      </c>
      <c r="J221" s="6">
        <v>0</v>
      </c>
      <c r="K221" s="6" t="str">
        <f>IF(A221=Calculator!B4,1+MAX(K220:K220),"")</f>
        <v/>
      </c>
      <c r="L221" s="6"/>
      <c r="M221" s="6" t="b">
        <v>1</v>
      </c>
    </row>
    <row r="222" spans="1:13" x14ac:dyDescent="0.25">
      <c r="A222" s="6" t="s">
        <v>612</v>
      </c>
      <c r="B222" s="6" t="s">
        <v>568</v>
      </c>
      <c r="C222" s="6">
        <f>IF(OR(Calculator!B3="Low Rank",Calculator!B3="High Rank"),IF(Calculator!B8=FALSE,20,40),IF(Calculator!B8=FALSE,19,39))</f>
        <v>20</v>
      </c>
      <c r="D222" s="6">
        <f>IF(OR(Calculator!B3="Low Rank",Calculator!B3="High Rank"),IF(Calculator!B8=FALSE,24,43),IF(Calculator!B8=FALSE,20,40))</f>
        <v>24</v>
      </c>
      <c r="E222" s="6">
        <f>IF(Calculator!B8=FALSE,10,32)</f>
        <v>10</v>
      </c>
      <c r="F222" s="6">
        <v>0</v>
      </c>
      <c r="G222" s="6">
        <v>20</v>
      </c>
      <c r="H222" s="6">
        <v>10</v>
      </c>
      <c r="I222" s="6">
        <v>25</v>
      </c>
      <c r="J222" s="6">
        <v>0</v>
      </c>
      <c r="K222" s="6" t="str">
        <f>IF(A222=Calculator!B4,1+MAX(K221:K221),"")</f>
        <v/>
      </c>
      <c r="L222" s="6"/>
      <c r="M222" s="6" t="b">
        <v>1</v>
      </c>
    </row>
    <row r="223" spans="1:13" x14ac:dyDescent="0.25">
      <c r="A223" s="6" t="s">
        <v>613</v>
      </c>
      <c r="B223" s="6" t="s">
        <v>660</v>
      </c>
      <c r="C223" s="6">
        <f>IF(Calculator!B8=FALSE,20,40)</f>
        <v>20</v>
      </c>
      <c r="D223" s="6">
        <f>IF(Calculator!B8=FALSE,25,43)</f>
        <v>25</v>
      </c>
      <c r="E223" s="6">
        <f>IF(Calculator!B8=FALSE,35,51)</f>
        <v>35</v>
      </c>
      <c r="F223" s="6">
        <v>5</v>
      </c>
      <c r="G223" s="6">
        <v>15</v>
      </c>
      <c r="H223" s="6">
        <v>20</v>
      </c>
      <c r="I223" s="6">
        <v>0</v>
      </c>
      <c r="J223" s="6">
        <v>10</v>
      </c>
      <c r="K223" s="6" t="str">
        <f>IF(A223=Calculator!B4,1+MAX(K222:K222),"")</f>
        <v/>
      </c>
      <c r="L223" s="6"/>
      <c r="M223" s="6" t="b">
        <v>1</v>
      </c>
    </row>
    <row r="224" spans="1:13" x14ac:dyDescent="0.25">
      <c r="A224" s="6" t="s">
        <v>613</v>
      </c>
      <c r="B224" s="6" t="s">
        <v>661</v>
      </c>
      <c r="C224" s="6">
        <f>IF(Calculator!B8=FALSE,35,51)</f>
        <v>35</v>
      </c>
      <c r="D224" s="6">
        <f>IF(Calculator!B8=FALSE,40,55)</f>
        <v>40</v>
      </c>
      <c r="E224" s="6">
        <f>IF(Calculator!B8=FALSE,45,58)</f>
        <v>45</v>
      </c>
      <c r="F224" s="6">
        <v>5</v>
      </c>
      <c r="G224" s="6">
        <v>15</v>
      </c>
      <c r="H224" s="6">
        <v>20</v>
      </c>
      <c r="I224" s="6">
        <v>0</v>
      </c>
      <c r="J224" s="6">
        <v>5</v>
      </c>
      <c r="K224" s="6" t="str">
        <f>IF(A224=Calculator!B4,1+MAX(K223:K223),"")</f>
        <v/>
      </c>
      <c r="L224" s="6"/>
      <c r="M224" s="6" t="b">
        <v>1</v>
      </c>
    </row>
    <row r="225" spans="1:15" x14ac:dyDescent="0.25">
      <c r="A225" s="6" t="s">
        <v>613</v>
      </c>
      <c r="B225" s="6" t="s">
        <v>502</v>
      </c>
      <c r="C225" s="6">
        <f>IF(Calculator!B8=FALSE,45,58)</f>
        <v>45</v>
      </c>
      <c r="D225" s="6">
        <f>IF(Calculator!B8=FALSE,60,70)</f>
        <v>60</v>
      </c>
      <c r="E225" s="6">
        <f>IF(Calculator!B8=FALSE,40,55)</f>
        <v>40</v>
      </c>
      <c r="F225" s="6">
        <v>5</v>
      </c>
      <c r="G225" s="6">
        <v>10</v>
      </c>
      <c r="H225" s="6">
        <v>15</v>
      </c>
      <c r="I225" s="6">
        <v>15</v>
      </c>
      <c r="J225" s="6">
        <v>5</v>
      </c>
      <c r="K225" s="6" t="str">
        <f>IF(A225=Calculator!B4,1+MAX(K224:K224),"")</f>
        <v/>
      </c>
      <c r="L225" s="6" t="s">
        <v>542</v>
      </c>
      <c r="M225" s="6" t="b">
        <v>1</v>
      </c>
    </row>
    <row r="226" spans="1:15" x14ac:dyDescent="0.25">
      <c r="A226" s="6" t="s">
        <v>613</v>
      </c>
      <c r="B226" s="6" t="s">
        <v>662</v>
      </c>
      <c r="C226" s="6">
        <f>IF(Calculator!B8=FALSE,75,81)</f>
        <v>75</v>
      </c>
      <c r="D226" s="6">
        <f>IF(Calculator!B8=FALSE,90,92)</f>
        <v>90</v>
      </c>
      <c r="E226" s="6">
        <f>IF(Calculator!B8=FALSE,70,77)</f>
        <v>70</v>
      </c>
      <c r="F226" s="6">
        <v>5</v>
      </c>
      <c r="G226" s="6">
        <v>10</v>
      </c>
      <c r="H226" s="6">
        <v>15</v>
      </c>
      <c r="I226" s="6">
        <v>15</v>
      </c>
      <c r="J226" s="6">
        <v>5</v>
      </c>
      <c r="K226" s="6" t="str">
        <f>IF(A226=Calculator!B4,1+MAX(K225:K225),"")</f>
        <v/>
      </c>
      <c r="L226" s="6"/>
      <c r="M226" s="6" t="b">
        <v>1</v>
      </c>
    </row>
    <row r="227" spans="1:15" x14ac:dyDescent="0.25">
      <c r="A227" s="6" t="s">
        <v>613</v>
      </c>
      <c r="B227" s="6" t="s">
        <v>663</v>
      </c>
      <c r="C227" s="6">
        <f>IF(Calculator!B8=FALSE,20,40)</f>
        <v>20</v>
      </c>
      <c r="D227" s="6">
        <f>IF(Calculator!B8=FALSE,25,43)</f>
        <v>25</v>
      </c>
      <c r="E227" s="6">
        <f>IF(Calculator!B8=FALSE,15,36)</f>
        <v>15</v>
      </c>
      <c r="F227" s="6">
        <v>5</v>
      </c>
      <c r="G227" s="6">
        <v>10</v>
      </c>
      <c r="H227" s="6">
        <v>20</v>
      </c>
      <c r="I227" s="6">
        <v>15</v>
      </c>
      <c r="J227" s="6">
        <v>10</v>
      </c>
      <c r="K227" s="6" t="str">
        <f>IF(A227=Calculator!B4,1+MAX(K226:K226),"")</f>
        <v/>
      </c>
      <c r="L227" s="6"/>
      <c r="M227" s="6" t="b">
        <v>1</v>
      </c>
    </row>
    <row r="228" spans="1:15" x14ac:dyDescent="0.25">
      <c r="A228" s="6" t="s">
        <v>613</v>
      </c>
      <c r="B228" s="6" t="s">
        <v>529</v>
      </c>
      <c r="C228" s="6">
        <v>35</v>
      </c>
      <c r="D228" s="6">
        <v>30</v>
      </c>
      <c r="E228" s="6">
        <v>35</v>
      </c>
      <c r="F228" s="6">
        <v>0</v>
      </c>
      <c r="G228" s="6">
        <v>0</v>
      </c>
      <c r="H228" s="6">
        <v>10</v>
      </c>
      <c r="I228" s="6">
        <v>5</v>
      </c>
      <c r="J228" s="6">
        <v>5</v>
      </c>
      <c r="K228" s="6" t="str">
        <f>IF(A228=Calculator!B4,1+MAX(K227:K227),"")</f>
        <v/>
      </c>
      <c r="L228" s="6"/>
      <c r="M228" s="6"/>
    </row>
    <row r="229" spans="1:15" x14ac:dyDescent="0.25">
      <c r="A229" s="6" t="s">
        <v>613</v>
      </c>
      <c r="B229" s="6" t="s">
        <v>530</v>
      </c>
      <c r="C229" s="6">
        <v>30</v>
      </c>
      <c r="D229" s="6">
        <v>35</v>
      </c>
      <c r="E229" s="6">
        <v>30</v>
      </c>
      <c r="F229" s="6">
        <v>0</v>
      </c>
      <c r="G229" s="6">
        <v>0</v>
      </c>
      <c r="H229" s="6">
        <v>10</v>
      </c>
      <c r="I229" s="6">
        <v>5</v>
      </c>
      <c r="J229" s="6">
        <v>5</v>
      </c>
      <c r="K229" s="6" t="str">
        <f>IF(A229=Calculator!B4,1+MAX(K228:K228),"")</f>
        <v/>
      </c>
      <c r="L229" s="6"/>
      <c r="M229" s="6"/>
    </row>
    <row r="230" spans="1:15" x14ac:dyDescent="0.25">
      <c r="A230" s="6" t="s">
        <v>613</v>
      </c>
      <c r="B230" s="6" t="s">
        <v>535</v>
      </c>
      <c r="C230" s="6">
        <f>IF(Calculator!B8=FALSE,50,62)</f>
        <v>50</v>
      </c>
      <c r="D230" s="6">
        <f>IF(Calculator!B8=FALSE,45,58)</f>
        <v>45</v>
      </c>
      <c r="E230" s="6">
        <f>IF(Calculator!B8=FALSE,40,55)</f>
        <v>40</v>
      </c>
      <c r="F230" s="6">
        <v>5</v>
      </c>
      <c r="G230" s="6">
        <v>5</v>
      </c>
      <c r="H230" s="6">
        <v>15</v>
      </c>
      <c r="I230" s="6">
        <v>0</v>
      </c>
      <c r="J230" s="6">
        <v>5</v>
      </c>
      <c r="K230" s="6" t="str">
        <f>IF(A230=Calculator!B4,1+MAX(K229:K229),"")</f>
        <v/>
      </c>
      <c r="L230" s="6"/>
      <c r="M230" s="6" t="b">
        <v>1</v>
      </c>
    </row>
    <row r="231" spans="1:15" x14ac:dyDescent="0.25">
      <c r="A231" s="6" t="s">
        <v>613</v>
      </c>
      <c r="B231" s="6" t="s">
        <v>664</v>
      </c>
      <c r="C231" s="6">
        <f>IF(Calculator!B8=FALSE,70,77)</f>
        <v>70</v>
      </c>
      <c r="D231" s="6">
        <f>IF(Calculator!B8=FALSE,60,70)</f>
        <v>60</v>
      </c>
      <c r="E231" s="6">
        <f>IF(Calculator!B8=FALSE,55,66)</f>
        <v>55</v>
      </c>
      <c r="F231" s="6">
        <v>5</v>
      </c>
      <c r="G231" s="6">
        <v>5</v>
      </c>
      <c r="H231" s="6">
        <v>15</v>
      </c>
      <c r="I231" s="6">
        <v>0</v>
      </c>
      <c r="J231" s="6">
        <v>5</v>
      </c>
      <c r="K231" s="6" t="str">
        <f>IF(A231=Calculator!B4,1+MAX(K230:K230),"")</f>
        <v/>
      </c>
      <c r="L231" s="6"/>
      <c r="M231" s="6" t="b">
        <v>1</v>
      </c>
    </row>
    <row r="232" spans="1:15" x14ac:dyDescent="0.25">
      <c r="A232" s="6" t="s">
        <v>613</v>
      </c>
      <c r="B232" s="6" t="s">
        <v>665</v>
      </c>
      <c r="C232" s="6">
        <f>IF(Calculator!B8=FALSE,10,32)</f>
        <v>10</v>
      </c>
      <c r="D232" s="6">
        <f>IF(Calculator!B8=FALSE,15,36)</f>
        <v>15</v>
      </c>
      <c r="E232" s="6">
        <f>IF(Calculator!B8=FALSE,10,32)</f>
        <v>10</v>
      </c>
      <c r="F232" s="6">
        <v>5</v>
      </c>
      <c r="G232" s="6">
        <v>5</v>
      </c>
      <c r="H232" s="6">
        <v>20</v>
      </c>
      <c r="I232" s="6">
        <v>0</v>
      </c>
      <c r="J232" s="6">
        <v>10</v>
      </c>
      <c r="K232" s="6" t="str">
        <f>IF(A232=Calculator!B4,1+MAX(K231:K231),"")</f>
        <v/>
      </c>
      <c r="L232" s="6"/>
      <c r="M232" s="6" t="b">
        <v>1</v>
      </c>
    </row>
    <row r="233" spans="1:15" x14ac:dyDescent="0.25">
      <c r="A233" s="6" t="s">
        <v>613</v>
      </c>
      <c r="B233" s="6" t="s">
        <v>532</v>
      </c>
      <c r="C233" s="6">
        <v>35</v>
      </c>
      <c r="D233" s="6">
        <v>30</v>
      </c>
      <c r="E233" s="6">
        <v>35</v>
      </c>
      <c r="F233" s="6">
        <v>0</v>
      </c>
      <c r="G233" s="6">
        <v>0</v>
      </c>
      <c r="H233" s="6">
        <v>10</v>
      </c>
      <c r="I233" s="6">
        <v>5</v>
      </c>
      <c r="J233" s="6">
        <v>5</v>
      </c>
      <c r="K233" s="6" t="str">
        <f>IF(A233=Calculator!B4,1+MAX(K232:K232),"")</f>
        <v/>
      </c>
      <c r="L233" s="6"/>
      <c r="M233" s="6"/>
    </row>
    <row r="234" spans="1:15" x14ac:dyDescent="0.25">
      <c r="A234" s="6" t="s">
        <v>613</v>
      </c>
      <c r="B234" s="6" t="s">
        <v>548</v>
      </c>
      <c r="C234" s="6">
        <f>IF(Calculator!B8=FALSE,40,55)</f>
        <v>40</v>
      </c>
      <c r="D234" s="6">
        <f>IF(Calculator!B8=FALSE,30,47)</f>
        <v>30</v>
      </c>
      <c r="E234" s="6">
        <f>IF(Calculator!B8=FALSE,30,47)</f>
        <v>30</v>
      </c>
      <c r="F234" s="6">
        <v>10</v>
      </c>
      <c r="G234" s="6">
        <v>5</v>
      </c>
      <c r="H234" s="6">
        <v>10</v>
      </c>
      <c r="I234" s="6">
        <v>5</v>
      </c>
      <c r="J234" s="6">
        <v>10</v>
      </c>
      <c r="K234" s="6" t="str">
        <f>IF(A234=Calculator!B4,1+MAX(K233:K233),"")</f>
        <v/>
      </c>
      <c r="L234" s="6"/>
      <c r="M234" s="6" t="b">
        <v>1</v>
      </c>
    </row>
    <row r="235" spans="1:15" x14ac:dyDescent="0.25">
      <c r="A235" s="6" t="s">
        <v>613</v>
      </c>
      <c r="B235" s="6" t="s">
        <v>668</v>
      </c>
      <c r="C235" s="6">
        <f>IF(Calculator!B8=FALSE,55,66)</f>
        <v>55</v>
      </c>
      <c r="D235" s="6">
        <f>IF(Calculator!B8=FALSE,45,58)</f>
        <v>45</v>
      </c>
      <c r="E235" s="6">
        <f>IF(Calculator!B8=FALSE,45,58)</f>
        <v>45</v>
      </c>
      <c r="F235" s="6">
        <v>10</v>
      </c>
      <c r="G235" s="6">
        <v>5</v>
      </c>
      <c r="H235" s="6">
        <v>10</v>
      </c>
      <c r="I235" s="6">
        <v>5</v>
      </c>
      <c r="J235" s="6">
        <v>15</v>
      </c>
      <c r="K235" s="6" t="str">
        <f>IF(A235=Calculator!B4,1+MAX(K234:K234),"")</f>
        <v/>
      </c>
      <c r="L235" s="6"/>
      <c r="M235" s="6" t="b">
        <v>1</v>
      </c>
      <c r="O235" t="s">
        <v>676</v>
      </c>
    </row>
    <row r="236" spans="1:15" x14ac:dyDescent="0.25">
      <c r="A236" s="6" t="s">
        <v>613</v>
      </c>
      <c r="B236" s="6" t="s">
        <v>669</v>
      </c>
      <c r="C236" s="6">
        <f>IF(Calculator!B8=FALSE,28,46)</f>
        <v>28</v>
      </c>
      <c r="D236" s="6">
        <f>IF(Calculator!B8=FALSE,25,43)</f>
        <v>25</v>
      </c>
      <c r="E236" s="6">
        <f>IF(Calculator!B8=FALSE,25,43)</f>
        <v>25</v>
      </c>
      <c r="F236" s="6">
        <v>10</v>
      </c>
      <c r="G236" s="6">
        <v>5</v>
      </c>
      <c r="H236" s="6">
        <v>15</v>
      </c>
      <c r="I236" s="6">
        <v>5</v>
      </c>
      <c r="J236" s="6">
        <v>20</v>
      </c>
      <c r="K236" s="6" t="str">
        <f>IF(A236=Calculator!B4,1+MAX(K235:K235),"")</f>
        <v/>
      </c>
      <c r="L236" s="6"/>
      <c r="M236" s="6" t="b">
        <v>1</v>
      </c>
      <c r="O236" t="s">
        <v>676</v>
      </c>
    </row>
    <row r="237" spans="1:15" x14ac:dyDescent="0.25">
      <c r="A237" s="6" t="s">
        <v>613</v>
      </c>
      <c r="B237" s="6" t="s">
        <v>533</v>
      </c>
      <c r="C237" s="6">
        <f>IF(Calculator!B8=FALSE,60,70)</f>
        <v>60</v>
      </c>
      <c r="D237" s="6">
        <f>IF(Calculator!B8=FALSE,45,58)</f>
        <v>45</v>
      </c>
      <c r="E237" s="6">
        <f>IF(Calculator!B8=FALSE,25,43)</f>
        <v>25</v>
      </c>
      <c r="F237" s="6">
        <v>10</v>
      </c>
      <c r="G237" s="6">
        <v>5</v>
      </c>
      <c r="H237" s="6">
        <v>10</v>
      </c>
      <c r="I237" s="6">
        <v>5</v>
      </c>
      <c r="J237" s="6">
        <v>5</v>
      </c>
      <c r="K237" s="6" t="str">
        <f>IF(A237=Calculator!B4,1+MAX(K236:K236),"")</f>
        <v/>
      </c>
      <c r="L237" s="6"/>
      <c r="M237" s="6" t="b">
        <v>1</v>
      </c>
    </row>
    <row r="238" spans="1:15" x14ac:dyDescent="0.25">
      <c r="A238" s="6" t="s">
        <v>613</v>
      </c>
      <c r="B238" s="6" t="s">
        <v>568</v>
      </c>
      <c r="C238" s="6">
        <f>IF(Calculator!B8=FALSE,45,58)</f>
        <v>45</v>
      </c>
      <c r="D238" s="6">
        <f>IF(Calculator!B8=FALSE,35,51)</f>
        <v>35</v>
      </c>
      <c r="E238" s="6">
        <f>IF(Calculator!B8=FALSE,25,43)</f>
        <v>25</v>
      </c>
      <c r="F238" s="6">
        <v>15</v>
      </c>
      <c r="G238" s="6">
        <v>5</v>
      </c>
      <c r="H238" s="6">
        <v>15</v>
      </c>
      <c r="I238" s="6">
        <v>5</v>
      </c>
      <c r="J238" s="6">
        <v>10</v>
      </c>
      <c r="K238" s="6" t="str">
        <f>IF(A238=Calculator!B4,1+MAX(K237:K237),"")</f>
        <v/>
      </c>
      <c r="L238" s="6"/>
      <c r="M238" s="6" t="b">
        <v>1</v>
      </c>
      <c r="O238" t="s">
        <v>676</v>
      </c>
    </row>
    <row r="239" spans="1:15" x14ac:dyDescent="0.25">
      <c r="A239" s="6" t="s">
        <v>613</v>
      </c>
      <c r="B239" s="6" t="s">
        <v>666</v>
      </c>
      <c r="C239" s="6">
        <f>IF(Calculator!B8=FALSE,65,73)</f>
        <v>65</v>
      </c>
      <c r="D239" s="6">
        <f>IF(Calculator!B8=FALSE,55,66)</f>
        <v>55</v>
      </c>
      <c r="E239" s="6">
        <f>IF(Calculator!B8=FALSE,40,55)</f>
        <v>40</v>
      </c>
      <c r="F239" s="6">
        <v>15</v>
      </c>
      <c r="G239" s="6">
        <v>5</v>
      </c>
      <c r="H239" s="6">
        <v>15</v>
      </c>
      <c r="I239" s="6">
        <v>5</v>
      </c>
      <c r="J239" s="6">
        <v>10</v>
      </c>
      <c r="K239" s="6" t="str">
        <f>IF(A239=Calculator!B4,1+MAX(K238:K238),"")</f>
        <v/>
      </c>
      <c r="L239" s="6"/>
      <c r="M239" s="6" t="b">
        <v>1</v>
      </c>
      <c r="O239" t="s">
        <v>676</v>
      </c>
    </row>
    <row r="240" spans="1:15" x14ac:dyDescent="0.25">
      <c r="A240" s="6" t="s">
        <v>613</v>
      </c>
      <c r="B240" s="6" t="s">
        <v>667</v>
      </c>
      <c r="C240" s="6">
        <f>IF(Calculator!B8=FALSE,25,43)</f>
        <v>25</v>
      </c>
      <c r="D240" s="6">
        <f>IF(Calculator!B8=FALSE,20,40)</f>
        <v>20</v>
      </c>
      <c r="E240" s="6">
        <f>IF(Calculator!B8=FALSE,10,32)</f>
        <v>10</v>
      </c>
      <c r="F240" s="6">
        <v>15</v>
      </c>
      <c r="G240" s="6">
        <v>5</v>
      </c>
      <c r="H240" s="6">
        <v>20</v>
      </c>
      <c r="I240" s="6">
        <v>5</v>
      </c>
      <c r="J240" s="6">
        <v>15</v>
      </c>
      <c r="K240" s="6" t="str">
        <f>IF(A240=Calculator!B4,1+MAX(K239:K239),"")</f>
        <v/>
      </c>
      <c r="L240" s="6"/>
      <c r="M240" s="6" t="b">
        <v>1</v>
      </c>
      <c r="O240" t="s">
        <v>676</v>
      </c>
    </row>
    <row r="241" spans="1:13" x14ac:dyDescent="0.25">
      <c r="A241" s="6" t="s">
        <v>614</v>
      </c>
      <c r="B241" s="6" t="s">
        <v>502</v>
      </c>
      <c r="C241" s="6">
        <f>IF(Calculator!B8=FALSE,55,66)</f>
        <v>55</v>
      </c>
      <c r="D241" s="6">
        <f>IF(Calculator!B8=FALSE,60,70)</f>
        <v>60</v>
      </c>
      <c r="E241" s="6">
        <f>IF(Calculator!B8=FALSE,50,62)</f>
        <v>50</v>
      </c>
      <c r="F241" s="6">
        <v>0</v>
      </c>
      <c r="G241" s="6">
        <v>30</v>
      </c>
      <c r="H241" s="6">
        <v>10</v>
      </c>
      <c r="I241" s="6">
        <v>25</v>
      </c>
      <c r="J241" s="6">
        <v>10</v>
      </c>
      <c r="K241" s="6" t="str">
        <f>IF(A241=Calculator!B4,1+MAX(K240:K240),"")</f>
        <v/>
      </c>
      <c r="L241" s="6" t="s">
        <v>542</v>
      </c>
      <c r="M241" s="6" t="b">
        <v>1</v>
      </c>
    </row>
    <row r="242" spans="1:13" x14ac:dyDescent="0.25">
      <c r="A242" s="6" t="s">
        <v>614</v>
      </c>
      <c r="B242" s="6" t="s">
        <v>528</v>
      </c>
      <c r="C242" s="6">
        <v>33</v>
      </c>
      <c r="D242" s="6">
        <v>38</v>
      </c>
      <c r="E242" s="6">
        <v>33</v>
      </c>
      <c r="F242" s="6">
        <v>0</v>
      </c>
      <c r="G242" s="6">
        <v>20</v>
      </c>
      <c r="H242" s="6">
        <v>5</v>
      </c>
      <c r="I242" s="6">
        <v>15</v>
      </c>
      <c r="J242" s="6">
        <v>5</v>
      </c>
      <c r="K242" s="6" t="str">
        <f>IF(A242=Calculator!B4,1+MAX(K241:K241),"")</f>
        <v/>
      </c>
      <c r="L242" s="6"/>
      <c r="M242" s="6"/>
    </row>
    <row r="243" spans="1:13" x14ac:dyDescent="0.25">
      <c r="A243" s="6" t="s">
        <v>614</v>
      </c>
      <c r="B243" s="6" t="s">
        <v>529</v>
      </c>
      <c r="C243" s="6">
        <f>IF(OR(Calculator!B3="Low Rank",Calculator!B3="High Rank"),IF(Calculator!B8=FALSE,20,40),IF(Calculator!B8=FALSE,18,38))</f>
        <v>20</v>
      </c>
      <c r="D243" s="6">
        <f>IF(OR(Calculator!B3="Low Rank",Calculator!B3="High Rank"),IF(Calculator!B8=FALSE,20,40),IF(Calculator!B8=FALSE,18,38))</f>
        <v>20</v>
      </c>
      <c r="E243" s="6">
        <f>IF(OR(Calculator!B3="Low Rank",Calculator!B3="High Rank"),IF(Calculator!B8=FALSE,20,40),IF(Calculator!B8=FALSE,18,38))</f>
        <v>20</v>
      </c>
      <c r="F243" s="6">
        <v>0</v>
      </c>
      <c r="G243" s="6">
        <v>15</v>
      </c>
      <c r="H243" s="6">
        <v>0</v>
      </c>
      <c r="I243" s="6">
        <v>10</v>
      </c>
      <c r="J243" s="6">
        <v>0</v>
      </c>
      <c r="K243" s="6" t="str">
        <f>IF(A243=Calculator!B4,1+MAX(K242:K242),"")</f>
        <v/>
      </c>
      <c r="L243" s="6"/>
      <c r="M243" s="6" t="b">
        <v>1</v>
      </c>
    </row>
    <row r="244" spans="1:13" x14ac:dyDescent="0.25">
      <c r="A244" s="6" t="s">
        <v>614</v>
      </c>
      <c r="B244" s="6" t="s">
        <v>530</v>
      </c>
      <c r="C244" s="6">
        <f>IF(OR(Calculator!B3="Low Rank",Calculator!B3="High Rank"),IF(Calculator!B8=FALSE,20,40),IF(Calculator!B8=FALSE,18,38))</f>
        <v>20</v>
      </c>
      <c r="D244" s="6">
        <f>IF(OR(Calculator!B3="Low Rank",Calculator!B3="High Rank"),IF(Calculator!B8=FALSE,20,40),IF(Calculator!B8=FALSE,18,38))</f>
        <v>20</v>
      </c>
      <c r="E244" s="6">
        <f>IF(OR(Calculator!B3="Low Rank",Calculator!B3="High Rank"),IF(Calculator!B8=FALSE,20,40),IF(Calculator!B8=FALSE,18,38))</f>
        <v>20</v>
      </c>
      <c r="F244" s="6">
        <v>0</v>
      </c>
      <c r="G244" s="6">
        <v>15</v>
      </c>
      <c r="H244" s="6">
        <v>0</v>
      </c>
      <c r="I244" s="6">
        <v>10</v>
      </c>
      <c r="J244" s="6">
        <v>0</v>
      </c>
      <c r="K244" s="6" t="str">
        <f>IF(A244=Calculator!B4,1+MAX(K243:K243),"")</f>
        <v/>
      </c>
      <c r="L244" s="6"/>
      <c r="M244" s="6" t="b">
        <v>1</v>
      </c>
    </row>
    <row r="245" spans="1:13" x14ac:dyDescent="0.25">
      <c r="A245" s="6" t="s">
        <v>614</v>
      </c>
      <c r="B245" s="6" t="s">
        <v>531</v>
      </c>
      <c r="C245" s="6">
        <v>38</v>
      </c>
      <c r="D245" s="6">
        <v>38</v>
      </c>
      <c r="E245" s="6">
        <v>33</v>
      </c>
      <c r="F245" s="6">
        <v>0</v>
      </c>
      <c r="G245" s="6">
        <v>20</v>
      </c>
      <c r="H245" s="6">
        <v>5</v>
      </c>
      <c r="I245" s="6">
        <v>15</v>
      </c>
      <c r="J245" s="6">
        <v>5</v>
      </c>
      <c r="K245" s="6" t="str">
        <f>IF(A245=Calculator!B4,1+MAX(K244:K244),"")</f>
        <v/>
      </c>
      <c r="L245" s="6"/>
      <c r="M245" s="6"/>
    </row>
    <row r="246" spans="1:13" x14ac:dyDescent="0.25">
      <c r="A246" s="6" t="s">
        <v>614</v>
      </c>
      <c r="B246" s="6" t="s">
        <v>532</v>
      </c>
      <c r="C246" s="6">
        <v>30</v>
      </c>
      <c r="D246" s="6">
        <v>25</v>
      </c>
      <c r="E246" s="6">
        <v>20</v>
      </c>
      <c r="F246" s="6">
        <v>0</v>
      </c>
      <c r="G246" s="6">
        <v>15</v>
      </c>
      <c r="H246" s="6">
        <v>5</v>
      </c>
      <c r="I246" s="6">
        <v>10</v>
      </c>
      <c r="J246" s="6">
        <v>5</v>
      </c>
      <c r="K246" s="6" t="str">
        <f>IF(A246=Calculator!B4,1+MAX(K245:K245),"")</f>
        <v/>
      </c>
      <c r="L246" s="6"/>
      <c r="M246" s="6"/>
    </row>
    <row r="247" spans="1:13" x14ac:dyDescent="0.25">
      <c r="A247" s="6" t="s">
        <v>614</v>
      </c>
      <c r="B247" s="6" t="s">
        <v>548</v>
      </c>
      <c r="C247" s="6">
        <f>IF(Calculator!B8=FALSE,40,55)</f>
        <v>40</v>
      </c>
      <c r="D247" s="6">
        <f>IF(Calculator!B8=FALSE,35,51)</f>
        <v>35</v>
      </c>
      <c r="E247" s="6">
        <f>IF(Calculator!B8=FALSE,30,47)</f>
        <v>30</v>
      </c>
      <c r="F247" s="6">
        <v>0</v>
      </c>
      <c r="G247" s="6">
        <v>25</v>
      </c>
      <c r="H247" s="6">
        <v>10</v>
      </c>
      <c r="I247" s="6">
        <v>20</v>
      </c>
      <c r="J247" s="6">
        <v>10</v>
      </c>
      <c r="K247" s="6" t="str">
        <f>IF(A247=Calculator!B4,1+MAX(K246:K246),"")</f>
        <v/>
      </c>
      <c r="L247" s="6"/>
      <c r="M247" s="6" t="b">
        <v>1</v>
      </c>
    </row>
    <row r="248" spans="1:13" x14ac:dyDescent="0.25">
      <c r="A248" s="6" t="s">
        <v>614</v>
      </c>
      <c r="B248" s="6" t="s">
        <v>533</v>
      </c>
      <c r="C248" s="6">
        <f>IF(Calculator!B8=FALSE,38,53)</f>
        <v>38</v>
      </c>
      <c r="D248" s="6">
        <f>IF(Calculator!B8=FALSE,33,49)</f>
        <v>33</v>
      </c>
      <c r="E248" s="6">
        <f>IF(Calculator!B8=FALSE,28,46)</f>
        <v>28</v>
      </c>
      <c r="F248" s="6">
        <v>0</v>
      </c>
      <c r="G248" s="6">
        <v>20</v>
      </c>
      <c r="H248" s="6">
        <v>5</v>
      </c>
      <c r="I248" s="6">
        <v>15</v>
      </c>
      <c r="J248" s="6">
        <v>5</v>
      </c>
      <c r="K248" s="6" t="str">
        <f>IF(A248=Calculator!B4,1+MAX(K247:K247),"")</f>
        <v/>
      </c>
      <c r="L248" s="6"/>
      <c r="M248" s="6" t="b">
        <v>1</v>
      </c>
    </row>
    <row r="249" spans="1:13" x14ac:dyDescent="0.25">
      <c r="A249" s="6" t="s">
        <v>670</v>
      </c>
      <c r="B249" s="6" t="s">
        <v>502</v>
      </c>
      <c r="C249" s="6">
        <f>IF(OR(Calculator!B3="Low Rank",Calculator!B3="High Rank"),IF(Calculator!B8=FALSE,40,55),IF(Calculator!B8=FALSE,37,52))</f>
        <v>40</v>
      </c>
      <c r="D249" s="6">
        <f>IF(Calculator!B8=FALSE,60,70)</f>
        <v>60</v>
      </c>
      <c r="E249" s="6">
        <f>IF(Calculator!B8=FALSE,45,58)</f>
        <v>45</v>
      </c>
      <c r="F249" s="6">
        <v>0</v>
      </c>
      <c r="G249" s="6">
        <v>7</v>
      </c>
      <c r="H249" s="6">
        <v>7</v>
      </c>
      <c r="I249" s="6">
        <v>30</v>
      </c>
      <c r="J249" s="6">
        <v>25</v>
      </c>
      <c r="K249" s="6" t="str">
        <f>IF(A249=Calculator!B4,1+MAX(K248:K248),"")</f>
        <v/>
      </c>
      <c r="L249" s="6"/>
      <c r="M249" s="6" t="b">
        <v>1</v>
      </c>
    </row>
    <row r="250" spans="1:13" x14ac:dyDescent="0.25">
      <c r="A250" s="6" t="s">
        <v>670</v>
      </c>
      <c r="B250" s="6" t="s">
        <v>528</v>
      </c>
      <c r="C250" s="6">
        <v>33</v>
      </c>
      <c r="D250" s="6">
        <f>IF(OR(Calculator!B3="Low Rank",Calculator!B3="High Rank"),38,37)</f>
        <v>38</v>
      </c>
      <c r="E250" s="6">
        <v>33</v>
      </c>
      <c r="F250" s="6">
        <v>0</v>
      </c>
      <c r="G250" s="6">
        <v>3</v>
      </c>
      <c r="H250" s="6">
        <v>3</v>
      </c>
      <c r="I250" s="6">
        <v>20</v>
      </c>
      <c r="J250" s="6">
        <v>15</v>
      </c>
      <c r="K250" s="6" t="str">
        <f>IF(A250=Calculator!B4,1+MAX(K249:K249),"")</f>
        <v/>
      </c>
      <c r="L250" s="6"/>
      <c r="M250" s="6"/>
    </row>
    <row r="251" spans="1:13" x14ac:dyDescent="0.25">
      <c r="A251" s="6" t="s">
        <v>670</v>
      </c>
      <c r="B251" s="6" t="s">
        <v>529</v>
      </c>
      <c r="C251" s="6">
        <f>IF(OR(Calculator!B3="Low Rank",Calculator!B3="High Rank"),20,17)</f>
        <v>20</v>
      </c>
      <c r="D251" s="6">
        <f>IF(OR(Calculator!B3="Low Rank",Calculator!B3="High Rank"),20,17)</f>
        <v>20</v>
      </c>
      <c r="E251" s="6">
        <v>20</v>
      </c>
      <c r="F251" s="6">
        <v>0</v>
      </c>
      <c r="G251" s="6">
        <v>0</v>
      </c>
      <c r="H251" s="6">
        <v>0</v>
      </c>
      <c r="I251" s="6">
        <v>15</v>
      </c>
      <c r="J251" s="6">
        <v>10</v>
      </c>
      <c r="K251" s="6" t="str">
        <f>IF(A251=Calculator!B4,1+MAX(K250:K250),"")</f>
        <v/>
      </c>
      <c r="L251" s="6"/>
      <c r="M251" s="6"/>
    </row>
    <row r="252" spans="1:13" x14ac:dyDescent="0.25">
      <c r="A252" s="6" t="s">
        <v>670</v>
      </c>
      <c r="B252" s="6" t="s">
        <v>530</v>
      </c>
      <c r="C252" s="6">
        <f>IF(OR(Calculator!B3="Low Rank",Calculator!B3="High Rank"),20,17)</f>
        <v>20</v>
      </c>
      <c r="D252" s="6">
        <f>IF(OR(Calculator!B3="Low Rank",Calculator!B3="High Rank"),25,17)</f>
        <v>25</v>
      </c>
      <c r="E252" s="6">
        <v>20</v>
      </c>
      <c r="F252" s="6">
        <v>0</v>
      </c>
      <c r="G252" s="6">
        <v>0</v>
      </c>
      <c r="H252" s="6">
        <v>0</v>
      </c>
      <c r="I252" s="6">
        <v>15</v>
      </c>
      <c r="J252" s="6">
        <v>10</v>
      </c>
      <c r="K252" s="6" t="str">
        <f>IF(A252=Calculator!B4,1+MAX(K251:K251),"")</f>
        <v/>
      </c>
      <c r="L252" s="6"/>
      <c r="M252" s="6"/>
    </row>
    <row r="253" spans="1:13" x14ac:dyDescent="0.25">
      <c r="A253" s="6" t="s">
        <v>670</v>
      </c>
      <c r="B253" s="6" t="s">
        <v>531</v>
      </c>
      <c r="C253" s="6">
        <f>IF(Calculator!B8=FALSE,25,43)</f>
        <v>25</v>
      </c>
      <c r="D253" s="6">
        <f>IF(Calculator!B8=FALSE,30,47)</f>
        <v>30</v>
      </c>
      <c r="E253" s="6">
        <f>IF(Calculator!B8=FALSE,20,40)</f>
        <v>20</v>
      </c>
      <c r="F253" s="6">
        <v>0</v>
      </c>
      <c r="G253" s="6">
        <v>3</v>
      </c>
      <c r="H253" s="6">
        <v>3</v>
      </c>
      <c r="I253" s="6">
        <v>15</v>
      </c>
      <c r="J253" s="6">
        <v>10</v>
      </c>
      <c r="K253" s="6" t="str">
        <f>IF(A253=Calculator!B4,1+MAX(K252:K252),"")</f>
        <v/>
      </c>
      <c r="L253" s="6"/>
      <c r="M253" s="6" t="b">
        <v>1</v>
      </c>
    </row>
    <row r="254" spans="1:13" x14ac:dyDescent="0.25">
      <c r="A254" s="6" t="s">
        <v>670</v>
      </c>
      <c r="B254" s="6" t="s">
        <v>532</v>
      </c>
      <c r="C254" s="6">
        <v>30</v>
      </c>
      <c r="D254" s="6">
        <v>25</v>
      </c>
      <c r="E254" s="6">
        <v>20</v>
      </c>
      <c r="F254" s="6">
        <v>0</v>
      </c>
      <c r="G254" s="6">
        <v>3</v>
      </c>
      <c r="H254" s="6">
        <v>3</v>
      </c>
      <c r="I254" s="6">
        <v>15</v>
      </c>
      <c r="J254" s="6">
        <v>10</v>
      </c>
      <c r="K254" s="6" t="str">
        <f>IF(A254=Calculator!B4,1+MAX(K253:K253),"")</f>
        <v/>
      </c>
      <c r="L254" s="6"/>
      <c r="M254" s="6"/>
    </row>
    <row r="255" spans="1:13" x14ac:dyDescent="0.25">
      <c r="A255" s="6" t="s">
        <v>670</v>
      </c>
      <c r="B255" s="6" t="s">
        <v>548</v>
      </c>
      <c r="C255" s="6">
        <f>IF(Calculator!B8=FALSE,55,66)</f>
        <v>55</v>
      </c>
      <c r="D255" s="6">
        <f>IF(Calculator!B8=FALSE,35,51)</f>
        <v>35</v>
      </c>
      <c r="E255" s="6">
        <f>IF(Calculator!B8=FALSE,40,55)</f>
        <v>40</v>
      </c>
      <c r="F255" s="6">
        <v>0</v>
      </c>
      <c r="G255" s="6">
        <v>7</v>
      </c>
      <c r="H255" s="6">
        <v>7</v>
      </c>
      <c r="I255" s="6">
        <v>25</v>
      </c>
      <c r="J255" s="6">
        <v>20</v>
      </c>
      <c r="K255" s="6" t="str">
        <f>IF(A255=Calculator!B4,1+MAX(K254:K254),"")</f>
        <v/>
      </c>
      <c r="L255" s="6" t="s">
        <v>542</v>
      </c>
      <c r="M255" s="6" t="b">
        <v>1</v>
      </c>
    </row>
    <row r="256" spans="1:13" x14ac:dyDescent="0.25">
      <c r="A256" s="6" t="s">
        <v>670</v>
      </c>
      <c r="B256" s="6" t="s">
        <v>533</v>
      </c>
      <c r="C256" s="6">
        <f>IF(Calculator!B8=FALSE,45,58)</f>
        <v>45</v>
      </c>
      <c r="D256" s="6">
        <f>IF(OR(Calculator!B3="Low Rank",Calculator!B3="High Rank"),IF(Calculator!B8=FALSE,38,53),IF(Calculator!B8=FALSE,37,52))</f>
        <v>38</v>
      </c>
      <c r="E256" s="6">
        <f>IF(OR(Calculator!B3="Low Rank",Calculator!B3="High Rank"),IF(Calculator!B8=FALSE,55,66),IF(Calculator!B8=FALSE,50,62))</f>
        <v>55</v>
      </c>
      <c r="F256" s="6">
        <v>0</v>
      </c>
      <c r="G256" s="6">
        <v>3</v>
      </c>
      <c r="H256" s="6">
        <v>3</v>
      </c>
      <c r="I256" s="6">
        <v>20</v>
      </c>
      <c r="J256" s="6">
        <v>15</v>
      </c>
      <c r="K256" s="6" t="str">
        <f>IF(A256=Calculator!B4,1+MAX(K255:K255),"")</f>
        <v/>
      </c>
      <c r="L256" s="6"/>
      <c r="M256" s="6" t="b">
        <v>1</v>
      </c>
    </row>
    <row r="257" spans="1:15" x14ac:dyDescent="0.25">
      <c r="A257" s="6" t="s">
        <v>615</v>
      </c>
      <c r="B257" s="6" t="s">
        <v>502</v>
      </c>
      <c r="C257" s="6">
        <f>IF(Calculator!B8=FALSE,55,66)</f>
        <v>55</v>
      </c>
      <c r="D257" s="6">
        <f>IF(Calculator!B8=FALSE,50,62)</f>
        <v>50</v>
      </c>
      <c r="E257" s="6">
        <f>IF(Calculator!B8=FALSE,45,58)</f>
        <v>45</v>
      </c>
      <c r="F257" s="6">
        <v>10</v>
      </c>
      <c r="G257" s="6">
        <v>5</v>
      </c>
      <c r="H257" s="6">
        <v>20</v>
      </c>
      <c r="I257" s="6">
        <v>0</v>
      </c>
      <c r="J257" s="6">
        <v>10</v>
      </c>
      <c r="K257" s="6" t="str">
        <f>IF(A257=Calculator!B4,1+MAX(K256:K256),"")</f>
        <v/>
      </c>
      <c r="L257" s="6" t="s">
        <v>542</v>
      </c>
      <c r="M257" s="6" t="b">
        <v>1</v>
      </c>
    </row>
    <row r="258" spans="1:15" x14ac:dyDescent="0.25">
      <c r="A258" s="6" t="s">
        <v>615</v>
      </c>
      <c r="B258" s="6" t="s">
        <v>528</v>
      </c>
      <c r="C258" s="6">
        <f>IF(OR(Calculator!B3="Low Rank",Calculator!B3="High Rank"),40,36)</f>
        <v>40</v>
      </c>
      <c r="D258" s="6">
        <v>35</v>
      </c>
      <c r="E258" s="6">
        <v>25</v>
      </c>
      <c r="F258" s="6">
        <v>10</v>
      </c>
      <c r="G258" s="6">
        <v>5</v>
      </c>
      <c r="H258" s="6">
        <v>15</v>
      </c>
      <c r="I258" s="6">
        <v>0</v>
      </c>
      <c r="J258" s="6">
        <v>5</v>
      </c>
      <c r="K258" s="6" t="str">
        <f>IF(A258=Calculator!B4,1+MAX(K257:K257),"")</f>
        <v/>
      </c>
      <c r="L258" s="6"/>
      <c r="M258" s="6"/>
    </row>
    <row r="259" spans="1:15" x14ac:dyDescent="0.25">
      <c r="A259" s="6" t="s">
        <v>615</v>
      </c>
      <c r="B259" s="6" t="s">
        <v>529</v>
      </c>
      <c r="C259" s="6">
        <v>35</v>
      </c>
      <c r="D259" s="6">
        <v>50</v>
      </c>
      <c r="E259" s="6">
        <v>25</v>
      </c>
      <c r="F259" s="6">
        <v>10</v>
      </c>
      <c r="G259" s="6">
        <v>5</v>
      </c>
      <c r="H259" s="6">
        <v>15</v>
      </c>
      <c r="I259" s="6">
        <v>0</v>
      </c>
      <c r="J259" s="6">
        <v>10</v>
      </c>
      <c r="K259" s="6" t="str">
        <f>IF(A259=Calculator!B4,1+MAX(K258:K258),"")</f>
        <v/>
      </c>
      <c r="L259" s="6"/>
      <c r="M259" s="6"/>
    </row>
    <row r="260" spans="1:15" x14ac:dyDescent="0.25">
      <c r="A260" s="6" t="s">
        <v>615</v>
      </c>
      <c r="B260" s="6" t="s">
        <v>530</v>
      </c>
      <c r="C260" s="6">
        <f>IF(OR(Calculator!B3="Low Rank",Calculator!B3="High Rank"),20,18)</f>
        <v>20</v>
      </c>
      <c r="D260" s="6">
        <f>IF(OR(Calculator!B3="Low Rank",Calculator!B3="High Rank"),25,24)</f>
        <v>25</v>
      </c>
      <c r="E260" s="6">
        <f>IF(OR(Calculator!B3="Low Rank",Calculator!B3="High Rank"),30,24)</f>
        <v>30</v>
      </c>
      <c r="F260" s="6">
        <v>10</v>
      </c>
      <c r="G260" s="6">
        <v>5</v>
      </c>
      <c r="H260" s="6">
        <v>15</v>
      </c>
      <c r="I260" s="6">
        <v>0</v>
      </c>
      <c r="J260" s="6">
        <v>10</v>
      </c>
      <c r="K260" s="6" t="str">
        <f>IF(A260=Calculator!B4,1+MAX(K259:K259),"")</f>
        <v/>
      </c>
      <c r="L260" s="6"/>
      <c r="M260" s="6"/>
    </row>
    <row r="261" spans="1:15" x14ac:dyDescent="0.25">
      <c r="A261" s="6" t="s">
        <v>615</v>
      </c>
      <c r="B261" s="6" t="s">
        <v>531</v>
      </c>
      <c r="C261" s="6">
        <v>45</v>
      </c>
      <c r="D261" s="6">
        <v>50</v>
      </c>
      <c r="E261" s="6">
        <v>30</v>
      </c>
      <c r="F261" s="6">
        <v>10</v>
      </c>
      <c r="G261" s="6">
        <v>5</v>
      </c>
      <c r="H261" s="6">
        <v>20</v>
      </c>
      <c r="I261" s="6">
        <v>0</v>
      </c>
      <c r="J261" s="6">
        <v>10</v>
      </c>
      <c r="K261" s="6" t="str">
        <f>IF(A261=Calculator!B4,1+MAX(K260:K260),"")</f>
        <v/>
      </c>
      <c r="L261" s="6"/>
      <c r="M261" s="6"/>
    </row>
    <row r="262" spans="1:15" x14ac:dyDescent="0.25">
      <c r="A262" s="6" t="s">
        <v>615</v>
      </c>
      <c r="B262" s="6" t="s">
        <v>532</v>
      </c>
      <c r="C262" s="6">
        <v>30</v>
      </c>
      <c r="D262" s="6">
        <v>30</v>
      </c>
      <c r="E262" s="6">
        <v>25</v>
      </c>
      <c r="F262" s="6">
        <v>10</v>
      </c>
      <c r="G262" s="6">
        <v>5</v>
      </c>
      <c r="H262" s="6">
        <v>15</v>
      </c>
      <c r="I262" s="6">
        <v>0</v>
      </c>
      <c r="J262" s="6">
        <v>5</v>
      </c>
      <c r="K262" s="6" t="str">
        <f>IF(A262=Calculator!B4,1+MAX(K261:K261),"")</f>
        <v/>
      </c>
      <c r="L262" s="6"/>
      <c r="M262" s="6"/>
    </row>
    <row r="263" spans="1:15" x14ac:dyDescent="0.25">
      <c r="A263" s="6" t="s">
        <v>615</v>
      </c>
      <c r="B263" s="6" t="s">
        <v>548</v>
      </c>
      <c r="C263" s="6">
        <f>IF(OR(Calculator!B3="Low Rank",Calculator!B3="High Rank"),IF(Calculator!B8=FALSE,20,40),IF(Calculator!B8=FALSE,18,38))</f>
        <v>20</v>
      </c>
      <c r="D263" s="6">
        <f>IF(Calculator!B8=FALSE,15,36)</f>
        <v>15</v>
      </c>
      <c r="E263" s="6">
        <f>IF(OR(Calculator!B3="Low Rank",Calculator!B3="High Rank"),IF(Calculator!B8=FALSE,20,40),IF(Calculator!B8=FALSE,18,38))</f>
        <v>20</v>
      </c>
      <c r="F263" s="6">
        <v>10</v>
      </c>
      <c r="G263" s="6">
        <v>5</v>
      </c>
      <c r="H263" s="6">
        <v>20</v>
      </c>
      <c r="I263" s="6">
        <v>0</v>
      </c>
      <c r="J263" s="6">
        <v>15</v>
      </c>
      <c r="K263" s="6" t="str">
        <f>IF(A263=Calculator!B4,1+MAX(K262:K262),"")</f>
        <v/>
      </c>
      <c r="L263" s="6"/>
      <c r="M263" s="6" t="b">
        <v>1</v>
      </c>
    </row>
    <row r="264" spans="1:15" x14ac:dyDescent="0.25">
      <c r="A264" s="6" t="s">
        <v>615</v>
      </c>
      <c r="B264" s="6" t="s">
        <v>533</v>
      </c>
      <c r="C264" s="6">
        <f>IF(Calculator!B8=FALSE,35,51)</f>
        <v>35</v>
      </c>
      <c r="D264" s="6">
        <f>IF(Calculator!B8=FALSE,30,47)</f>
        <v>30</v>
      </c>
      <c r="E264" s="6">
        <f>IF(Calculator!B8=FALSE,55,66)</f>
        <v>55</v>
      </c>
      <c r="F264" s="6">
        <v>10</v>
      </c>
      <c r="G264" s="6">
        <v>5</v>
      </c>
      <c r="H264" s="6">
        <v>20</v>
      </c>
      <c r="I264" s="6">
        <v>0</v>
      </c>
      <c r="J264" s="6">
        <v>15</v>
      </c>
      <c r="K264" s="6" t="str">
        <f>IF(A264=Calculator!B4,1+MAX(K263:K263),"")</f>
        <v/>
      </c>
      <c r="L264" s="6"/>
      <c r="M264" s="6" t="b">
        <v>1</v>
      </c>
    </row>
    <row r="265" spans="1:15" x14ac:dyDescent="0.25">
      <c r="A265" s="6" t="s">
        <v>616</v>
      </c>
      <c r="B265" s="6" t="s">
        <v>502</v>
      </c>
      <c r="C265" s="6">
        <f>IF(Calculator!B8=FALSE,50,62)</f>
        <v>50</v>
      </c>
      <c r="D265" s="6">
        <f>IF(Calculator!B8=FALSE,40,55)</f>
        <v>40</v>
      </c>
      <c r="E265" s="6">
        <f>IF(Calculator!B8=FALSE,50,62)</f>
        <v>50</v>
      </c>
      <c r="F265" s="6">
        <v>25</v>
      </c>
      <c r="G265" s="6">
        <v>5</v>
      </c>
      <c r="H265" s="6">
        <v>10</v>
      </c>
      <c r="I265" s="6">
        <v>15</v>
      </c>
      <c r="J265" s="6">
        <v>0</v>
      </c>
      <c r="K265" s="6" t="str">
        <f>IF(A265=Calculator!B4,1+MAX(K264:K264),"")</f>
        <v/>
      </c>
      <c r="L265" s="6" t="s">
        <v>542</v>
      </c>
      <c r="M265" s="6" t="b">
        <v>1</v>
      </c>
    </row>
    <row r="266" spans="1:15" x14ac:dyDescent="0.25">
      <c r="A266" s="6" t="s">
        <v>616</v>
      </c>
      <c r="B266" s="6" t="s">
        <v>648</v>
      </c>
      <c r="C266" s="6">
        <f>IF(Calculator!B8=FALSE,70,77)</f>
        <v>70</v>
      </c>
      <c r="D266" s="6">
        <f>IF(Calculator!B8=FALSE,80,85)</f>
        <v>80</v>
      </c>
      <c r="E266" s="6">
        <f>IF(Calculator!B8=FALSE,60,70)</f>
        <v>60</v>
      </c>
      <c r="F266" s="6">
        <v>25</v>
      </c>
      <c r="G266" s="6">
        <v>5</v>
      </c>
      <c r="H266" s="6">
        <v>10</v>
      </c>
      <c r="I266" s="6">
        <v>15</v>
      </c>
      <c r="J266" s="6">
        <v>25</v>
      </c>
      <c r="K266" s="6" t="str">
        <f>IF(A266=Calculator!B4,1+MAX(K265:K265),"")</f>
        <v/>
      </c>
      <c r="L266" s="6"/>
      <c r="M266" s="6" t="b">
        <v>1</v>
      </c>
    </row>
    <row r="267" spans="1:15" x14ac:dyDescent="0.25">
      <c r="A267" s="6" t="s">
        <v>616</v>
      </c>
      <c r="B267" s="6" t="s">
        <v>528</v>
      </c>
      <c r="C267" s="6">
        <f>IF(Calculator!B8=FALSE,60,70)</f>
        <v>60</v>
      </c>
      <c r="D267" s="6">
        <v>40</v>
      </c>
      <c r="E267" s="6">
        <v>30</v>
      </c>
      <c r="F267" s="6">
        <v>15</v>
      </c>
      <c r="G267" s="6">
        <v>5</v>
      </c>
      <c r="H267" s="6">
        <v>10</v>
      </c>
      <c r="I267" s="6">
        <v>10</v>
      </c>
      <c r="J267" s="6">
        <v>15</v>
      </c>
      <c r="K267" s="6" t="str">
        <f>IF(A267=Calculator!B4,1+MAX(K266:K266),"")</f>
        <v/>
      </c>
      <c r="L267" s="6"/>
      <c r="M267" s="6"/>
      <c r="O267" t="s">
        <v>676</v>
      </c>
    </row>
    <row r="268" spans="1:15" x14ac:dyDescent="0.25">
      <c r="A268" s="6" t="s">
        <v>616</v>
      </c>
      <c r="B268" s="6" t="s">
        <v>503</v>
      </c>
      <c r="C268" s="6">
        <f>IF(Calculator!B8=FALSE,50,62)</f>
        <v>50</v>
      </c>
      <c r="D268" s="6">
        <f>IF(Calculator!B8=FALSE,45,58)</f>
        <v>45</v>
      </c>
      <c r="E268" s="6">
        <f>IF(Calculator!B8=FALSE,45,58)</f>
        <v>45</v>
      </c>
      <c r="F268" s="6">
        <v>15</v>
      </c>
      <c r="G268" s="6">
        <v>5</v>
      </c>
      <c r="H268" s="6">
        <v>10</v>
      </c>
      <c r="I268" s="6">
        <v>15</v>
      </c>
      <c r="J268" s="6">
        <v>15</v>
      </c>
      <c r="K268" s="6" t="str">
        <f>IF(A268=Calculator!B4,1+MAX(K267:K267),"")</f>
        <v/>
      </c>
      <c r="L268" s="6"/>
      <c r="M268" s="6" t="b">
        <v>1</v>
      </c>
    </row>
    <row r="269" spans="1:15" x14ac:dyDescent="0.25">
      <c r="A269" s="6" t="s">
        <v>616</v>
      </c>
      <c r="B269" s="6" t="s">
        <v>567</v>
      </c>
      <c r="C269" s="6">
        <f>IF(Calculator!B8=FALSE,50,62)</f>
        <v>50</v>
      </c>
      <c r="D269" s="6">
        <f>IF(Calculator!B8=FALSE,40,55)</f>
        <v>40</v>
      </c>
      <c r="E269" s="6">
        <f>IF(Calculator!B8=FALSE,45,58)</f>
        <v>45</v>
      </c>
      <c r="F269" s="6">
        <v>20</v>
      </c>
      <c r="G269" s="6">
        <v>5</v>
      </c>
      <c r="H269" s="6">
        <v>10</v>
      </c>
      <c r="I269" s="6">
        <v>15</v>
      </c>
      <c r="J269" s="6">
        <v>0</v>
      </c>
      <c r="K269" s="6" t="str">
        <f>IF(A269=Calculator!B4,1+MAX(K268:K268),"")</f>
        <v/>
      </c>
      <c r="L269" s="6"/>
      <c r="M269" s="6" t="b">
        <v>1</v>
      </c>
    </row>
    <row r="270" spans="1:15" x14ac:dyDescent="0.25">
      <c r="A270" s="6" t="s">
        <v>616</v>
      </c>
      <c r="B270" s="6" t="s">
        <v>674</v>
      </c>
      <c r="C270" s="6">
        <f>IF(Calculator!B8=FALSE,60,70)</f>
        <v>60</v>
      </c>
      <c r="D270" s="6">
        <f>IF(Calculator!B8=FALSE,70,77)</f>
        <v>70</v>
      </c>
      <c r="E270" s="6">
        <f>IF(Calculator!B8=FALSE,40,55)</f>
        <v>40</v>
      </c>
      <c r="F270" s="6">
        <v>25</v>
      </c>
      <c r="G270" s="6">
        <v>5</v>
      </c>
      <c r="H270" s="6">
        <v>10</v>
      </c>
      <c r="I270" s="6">
        <v>15</v>
      </c>
      <c r="J270" s="6">
        <v>25</v>
      </c>
      <c r="K270" s="6" t="str">
        <f>IF(A270=Calculator!B4,1+MAX(K269:K269),"")</f>
        <v/>
      </c>
      <c r="L270" s="6"/>
      <c r="M270" s="6" t="b">
        <v>1</v>
      </c>
    </row>
    <row r="271" spans="1:15" x14ac:dyDescent="0.25">
      <c r="A271" s="6" t="s">
        <v>616</v>
      </c>
      <c r="B271" s="6" t="s">
        <v>530</v>
      </c>
      <c r="C271" s="6">
        <f>IF(Calculator!B8=FALSE,45,58)</f>
        <v>45</v>
      </c>
      <c r="D271" s="6">
        <f>IF(Calculator!B8=FALSE,35,51)</f>
        <v>35</v>
      </c>
      <c r="E271" s="6">
        <f>IF(Calculator!B8=FALSE,35,51)</f>
        <v>35</v>
      </c>
      <c r="F271" s="6">
        <v>20</v>
      </c>
      <c r="G271" s="6">
        <v>5</v>
      </c>
      <c r="H271" s="6">
        <v>10</v>
      </c>
      <c r="I271" s="6">
        <v>15</v>
      </c>
      <c r="J271" s="6">
        <v>0</v>
      </c>
      <c r="K271" s="6" t="str">
        <f>IF(A271=Calculator!B4,1+MAX(K270:K270),"")</f>
        <v/>
      </c>
      <c r="L271" s="6"/>
      <c r="M271" s="6" t="b">
        <v>1</v>
      </c>
    </row>
    <row r="272" spans="1:15" x14ac:dyDescent="0.25">
      <c r="A272" s="6" t="s">
        <v>616</v>
      </c>
      <c r="B272" s="6" t="s">
        <v>649</v>
      </c>
      <c r="C272" s="6">
        <f>IF(Calculator!B8=FALSE,55,66)</f>
        <v>55</v>
      </c>
      <c r="D272" s="6">
        <f>IF(Calculator!B8=FALSE,65,73)</f>
        <v>65</v>
      </c>
      <c r="E272" s="6">
        <f>IF(Calculator!B8=FALSE,40,55)</f>
        <v>40</v>
      </c>
      <c r="F272" s="6">
        <v>25</v>
      </c>
      <c r="G272" s="6">
        <v>5</v>
      </c>
      <c r="H272" s="6">
        <v>10</v>
      </c>
      <c r="I272" s="6">
        <v>15</v>
      </c>
      <c r="J272" s="6">
        <v>25</v>
      </c>
      <c r="K272" s="6" t="str">
        <f>IF(A272=Calculator!B4,1+MAX(K271:K271),"")</f>
        <v/>
      </c>
      <c r="L272" s="6"/>
      <c r="M272" s="6" t="b">
        <v>1</v>
      </c>
    </row>
    <row r="273" spans="1:13" x14ac:dyDescent="0.25">
      <c r="A273" s="6" t="s">
        <v>616</v>
      </c>
      <c r="B273" s="6" t="s">
        <v>531</v>
      </c>
      <c r="C273" s="6">
        <f>IF(Calculator!B8=FALSE,45,58)</f>
        <v>45</v>
      </c>
      <c r="D273" s="6">
        <f>IF(Calculator!B8=FALSE,40,55)</f>
        <v>40</v>
      </c>
      <c r="E273" s="6">
        <f>IF(Calculator!B8=FALSE,35,51)</f>
        <v>35</v>
      </c>
      <c r="F273" s="6">
        <v>20</v>
      </c>
      <c r="G273" s="6">
        <v>0</v>
      </c>
      <c r="H273" s="6">
        <v>5</v>
      </c>
      <c r="I273" s="6">
        <v>10</v>
      </c>
      <c r="J273" s="6">
        <v>5</v>
      </c>
      <c r="K273" s="6" t="str">
        <f>IF(A273=Calculator!B4,1+MAX(K272:K272),"")</f>
        <v/>
      </c>
      <c r="L273" s="6"/>
      <c r="M273" s="6" t="b">
        <v>1</v>
      </c>
    </row>
    <row r="274" spans="1:13" x14ac:dyDescent="0.25">
      <c r="A274" s="6" t="s">
        <v>616</v>
      </c>
      <c r="B274" s="6" t="s">
        <v>675</v>
      </c>
      <c r="C274" s="6">
        <f>IF(Calculator!B8=FALSE,55,66)</f>
        <v>55</v>
      </c>
      <c r="D274" s="6">
        <f>IF(Calculator!B8=FALSE,50,62)</f>
        <v>50</v>
      </c>
      <c r="E274" s="6">
        <f>IF(Calculator!B8=FALSE,45,58)</f>
        <v>45</v>
      </c>
      <c r="F274" s="6">
        <v>20</v>
      </c>
      <c r="G274" s="6">
        <v>5</v>
      </c>
      <c r="H274" s="6">
        <v>5</v>
      </c>
      <c r="I274" s="6">
        <v>10</v>
      </c>
      <c r="J274" s="6">
        <v>20</v>
      </c>
      <c r="K274" s="6" t="str">
        <f>IF(A274=Calculator!B4,1+MAX(K273:K273),"")</f>
        <v/>
      </c>
      <c r="L274" s="6"/>
      <c r="M274" s="6" t="b">
        <v>1</v>
      </c>
    </row>
    <row r="275" spans="1:13" x14ac:dyDescent="0.25">
      <c r="A275" s="6" t="s">
        <v>616</v>
      </c>
      <c r="B275" s="6" t="s">
        <v>532</v>
      </c>
      <c r="C275" s="6">
        <v>25</v>
      </c>
      <c r="D275" s="6">
        <v>25</v>
      </c>
      <c r="E275" s="6">
        <v>20</v>
      </c>
      <c r="F275" s="6">
        <v>5</v>
      </c>
      <c r="G275" s="6">
        <v>0</v>
      </c>
      <c r="H275" s="6">
        <v>0</v>
      </c>
      <c r="I275" s="6">
        <v>0</v>
      </c>
      <c r="J275" s="6">
        <v>5</v>
      </c>
      <c r="K275" s="6" t="str">
        <f>IF(A275=Calculator!B4,1+MAX(K274:K274),"")</f>
        <v/>
      </c>
      <c r="L275" s="6"/>
      <c r="M275" s="6"/>
    </row>
    <row r="276" spans="1:13" x14ac:dyDescent="0.25">
      <c r="A276" s="6" t="s">
        <v>616</v>
      </c>
      <c r="B276" s="6" t="s">
        <v>548</v>
      </c>
      <c r="C276" s="6">
        <v>24</v>
      </c>
      <c r="D276" s="6">
        <v>23</v>
      </c>
      <c r="E276" s="6">
        <v>30</v>
      </c>
      <c r="F276" s="6">
        <v>15</v>
      </c>
      <c r="G276" s="6">
        <v>5</v>
      </c>
      <c r="H276" s="6">
        <v>10</v>
      </c>
      <c r="I276" s="6">
        <v>10</v>
      </c>
      <c r="J276" s="6">
        <v>15</v>
      </c>
      <c r="K276" s="6" t="str">
        <f>IF(A276=Calculator!B4,1+MAX(K275:K275),"")</f>
        <v/>
      </c>
      <c r="L276" s="6"/>
      <c r="M276" s="6"/>
    </row>
    <row r="277" spans="1:13" x14ac:dyDescent="0.25">
      <c r="A277" s="6" t="s">
        <v>616</v>
      </c>
      <c r="B277" s="6" t="s">
        <v>533</v>
      </c>
      <c r="C277" s="6">
        <f>IF(Calculator!B8=FALSE,35,51)</f>
        <v>35</v>
      </c>
      <c r="D277" s="6">
        <f>IF(Calculator!B8=FALSE,30,47)</f>
        <v>30</v>
      </c>
      <c r="E277" s="6">
        <f>IF(Calculator!B8=FALSE,30,47)</f>
        <v>30</v>
      </c>
      <c r="F277" s="6">
        <v>20</v>
      </c>
      <c r="G277" s="6">
        <v>5</v>
      </c>
      <c r="H277" s="6">
        <v>10</v>
      </c>
      <c r="I277" s="6">
        <v>15</v>
      </c>
      <c r="J277" s="6">
        <v>0</v>
      </c>
      <c r="K277" s="6" t="str">
        <f>IF(A277=Calculator!B4,1+MAX(K276:K276),"")</f>
        <v/>
      </c>
      <c r="L277" s="6"/>
      <c r="M277" s="6" t="b">
        <v>1</v>
      </c>
    </row>
    <row r="278" spans="1:13" x14ac:dyDescent="0.25">
      <c r="A278" s="6" t="s">
        <v>616</v>
      </c>
      <c r="B278" s="6" t="s">
        <v>568</v>
      </c>
      <c r="C278" s="6">
        <f>IF(Calculator!B8=FALSE,60,70)</f>
        <v>60</v>
      </c>
      <c r="D278" s="6">
        <f>IF(Calculator!B8=FALSE,30,47)</f>
        <v>30</v>
      </c>
      <c r="E278" s="6">
        <f>IF(Calculator!B8=FALSE,50,62)</f>
        <v>50</v>
      </c>
      <c r="F278" s="6">
        <v>20</v>
      </c>
      <c r="G278" s="6">
        <v>5</v>
      </c>
      <c r="H278" s="6">
        <v>10</v>
      </c>
      <c r="I278" s="6">
        <v>15</v>
      </c>
      <c r="J278" s="6">
        <v>0</v>
      </c>
      <c r="K278" s="6" t="str">
        <f>IF(A278=Calculator!B4,1+MAX(K277:K277),"")</f>
        <v/>
      </c>
      <c r="L278" s="6"/>
      <c r="M278" s="6" t="b">
        <v>1</v>
      </c>
    </row>
    <row r="279" spans="1:13" x14ac:dyDescent="0.25">
      <c r="A279" s="6" t="s">
        <v>721</v>
      </c>
      <c r="B279" s="6" t="s">
        <v>502</v>
      </c>
      <c r="C279" s="6">
        <f>IF(OR(Calculator!B3="Low Rank",Calculator!B3="High Rank"),IF(Calculator!B8=FALSE,25,43),IF(Calculator!B8=FALSE,20,40))</f>
        <v>25</v>
      </c>
      <c r="D279" s="6">
        <f>IF(OR(Calculator!B3="Low Rank",Calculator!B3="High Rank"),IF(Calculator!B8=FALSE,30,47),IF(Calculator!B8=FALSE,25,43))</f>
        <v>30</v>
      </c>
      <c r="E279" s="6">
        <f>IF(Calculator!B8=FALSE,10,32)</f>
        <v>10</v>
      </c>
      <c r="F279" s="6">
        <f>IF(OR(Calculator!B3="Low Rank",Calculator!B3="High Rank"),5,0)</f>
        <v>5</v>
      </c>
      <c r="G279" s="6">
        <f>IF(OR(Calculator!B3="Low Rank",Calculator!B3="High Rank"),10,5)</f>
        <v>10</v>
      </c>
      <c r="H279" s="6">
        <f>IF(OR(Calculator!B3="Low Rank",Calculator!B3="High Rank"),25,10)</f>
        <v>25</v>
      </c>
      <c r="I279" s="6">
        <v>0</v>
      </c>
      <c r="J279" s="6">
        <f>IF(OR(Calculator!B3="Low Rank",Calculator!B3="High Rank"),5,0)</f>
        <v>5</v>
      </c>
      <c r="K279" s="6" t="str">
        <f>IF(A279=Calculator!B4,1+MAX(K278:K278),"")</f>
        <v/>
      </c>
      <c r="L279" s="6"/>
      <c r="M279" s="6" t="b">
        <v>1</v>
      </c>
    </row>
    <row r="280" spans="1:13" x14ac:dyDescent="0.25">
      <c r="A280" s="6" t="s">
        <v>721</v>
      </c>
      <c r="B280" s="6" t="s">
        <v>725</v>
      </c>
      <c r="C280" s="6">
        <f>IF(OR(Calculator!B3="Low Rank",Calculator!B3="High Rank"),IF(Calculator!B8=FALSE,60,70),IF(Calculator!B8=FALSE,80,85))</f>
        <v>60</v>
      </c>
      <c r="D280" s="6">
        <f>IF(OR(Calculator!B3="Low Rank",Calculator!B3="High Rank"),IF(Calculator!B8=FALSE,75,81),IF(Calculator!B8=FALSE,85,88))</f>
        <v>75</v>
      </c>
      <c r="E280" s="6">
        <f>IF(Calculator!B9=FALSE,30,47)</f>
        <v>47</v>
      </c>
      <c r="F280" s="6">
        <f>IF(OR(Calculator!B3="Low Rank",Calculator!B3="High Rank"),25,10)</f>
        <v>25</v>
      </c>
      <c r="G280" s="6">
        <f>IF(OR(Calculator!B3="Low Rank",Calculator!B3="High Rank"),30,15)</f>
        <v>30</v>
      </c>
      <c r="H280" s="6">
        <f>IF(OR(Calculator!B3="Low Rank",Calculator!B3="High Rank"),50,20)</f>
        <v>50</v>
      </c>
      <c r="I280" s="6">
        <v>0</v>
      </c>
      <c r="J280" s="6">
        <f>IF(OR(Calculator!B3="Low Rank",Calculator!B3="High Rank"),25,10)</f>
        <v>25</v>
      </c>
      <c r="K280" s="6" t="str">
        <f>IF(A280=Calculator!B4,1+MAX(K279:K279),"")</f>
        <v/>
      </c>
      <c r="L280" s="6"/>
      <c r="M280" s="6" t="b">
        <v>1</v>
      </c>
    </row>
    <row r="281" spans="1:13" x14ac:dyDescent="0.25">
      <c r="A281" s="6" t="s">
        <v>721</v>
      </c>
      <c r="B281" s="6" t="s">
        <v>724</v>
      </c>
      <c r="C281" s="6">
        <f>IF(OR(Calculator!B3="Low Rank",Calculator!B3="High Rank"),IF(Calculator!B8=FALSE,80,85),IF(Calculator!B8=FALSE,90,92))</f>
        <v>80</v>
      </c>
      <c r="D281" s="6">
        <f>IF(OR(Calculator!B3="Low Rank",Calculator!B3="High Rank"),IF(Calculator!B8=FALSE,85,88),IF(Calculator!B8=FALSE,95,96))</f>
        <v>85</v>
      </c>
      <c r="E281" s="6">
        <f>IF(OR(Calculator!B3="Low Rank",Calculator!B3="High Rank"),IF(Calculator!B8=FALSE,25,43),IF(Calculator!B8=FALSE,20,40))</f>
        <v>25</v>
      </c>
      <c r="F281" s="6">
        <v>0</v>
      </c>
      <c r="G281" s="6">
        <f>IF(OR(Calculator!B3="Low Rank",Calculator!B3="High Rank"),30,10)</f>
        <v>30</v>
      </c>
      <c r="H281" s="6">
        <v>0</v>
      </c>
      <c r="I281" s="6">
        <f>IF(OR(Calculator!B3="Low Rank",Calculator!B3="High Rank"),50,20)</f>
        <v>50</v>
      </c>
      <c r="J281" s="6">
        <f>IF(OR(Calculator!B3="Low Rank",Calculator!B3="High Rank"),35,15)</f>
        <v>35</v>
      </c>
      <c r="K281" s="6" t="str">
        <f>IF(A281=Calculator!B4,1+MAX(K280:K280),"")</f>
        <v/>
      </c>
      <c r="L281" s="6" t="s">
        <v>542</v>
      </c>
      <c r="M281" s="6" t="b">
        <v>1</v>
      </c>
    </row>
    <row r="282" spans="1:13" x14ac:dyDescent="0.25">
      <c r="A282" s="6" t="s">
        <v>721</v>
      </c>
      <c r="B282" s="6" t="s">
        <v>503</v>
      </c>
      <c r="C282" s="6">
        <f>IF(OR(Calculator!B3="Low Rank",Calculator!B3="High Rank"),IF(Calculator!B8=FALSE,50,62),IF(Calculator!B8=FALSE,65,73))</f>
        <v>50</v>
      </c>
      <c r="D282" s="6">
        <f>IF(OR(Calculator!B3="Low Rank",Calculator!B3="High Rank"),IF(Calculator!B8=FALSE,45,58),IF(Calculator!B8=FALSE,65,73))</f>
        <v>45</v>
      </c>
      <c r="E282" s="6">
        <f>IF(Calculator!B9=FALSE,45,58)</f>
        <v>58</v>
      </c>
      <c r="F282" s="6">
        <v>0</v>
      </c>
      <c r="G282" s="6">
        <f>IF(OR(Calculator!B3="Low Rank",Calculator!B3="High Rank"),20,5)</f>
        <v>20</v>
      </c>
      <c r="H282" s="6">
        <v>0</v>
      </c>
      <c r="I282" s="6">
        <f>IF(OR(Calculator!B3="Low Rank",Calculator!B3="High Rank"),40,10)</f>
        <v>40</v>
      </c>
      <c r="J282" s="6">
        <f>IF(OR(Calculator!B3="Low Rank",Calculator!B3="High Rank"),25,5)</f>
        <v>25</v>
      </c>
      <c r="K282" s="6" t="str">
        <f>IF(A282=Calculator!B4,1+MAX(K281:K281),"")</f>
        <v/>
      </c>
      <c r="L282" s="6"/>
      <c r="M282" s="6" t="b">
        <v>1</v>
      </c>
    </row>
    <row r="283" spans="1:13" x14ac:dyDescent="0.25">
      <c r="A283" s="6" t="s">
        <v>721</v>
      </c>
      <c r="B283" s="6" t="s">
        <v>529</v>
      </c>
      <c r="C283" s="6">
        <f>IF(OR(Calculator!B3="Low Rank",Calculator!B3="High Rank"),25,20)</f>
        <v>25</v>
      </c>
      <c r="D283" s="6">
        <f>IF(OR(Calculator!B3="Low Rank",Calculator!B3="High Rank"),30,25)</f>
        <v>30</v>
      </c>
      <c r="E283" s="6">
        <v>10</v>
      </c>
      <c r="F283" s="6">
        <f>IF(OR(Calculator!B3="Low Rank",Calculator!B3="High Rank"),5,0)</f>
        <v>5</v>
      </c>
      <c r="G283" s="6">
        <f>IF(OR(Calculator!B3="Low Rank",Calculator!B3="High Rank"),10,5)</f>
        <v>10</v>
      </c>
      <c r="H283" s="6">
        <f>IF(OR(Calculator!B3="Low Rank",Calculator!B3="High Rank"),25,10)</f>
        <v>25</v>
      </c>
      <c r="I283" s="6">
        <v>0</v>
      </c>
      <c r="J283" s="6">
        <f>IF(OR(Calculator!B3="Low Rank",Calculator!B3="High Rank"),5,0)</f>
        <v>5</v>
      </c>
      <c r="K283" s="6" t="str">
        <f>IF(A283=Calculator!B4,1+MAX(K282:K282),"")</f>
        <v/>
      </c>
      <c r="L283" s="6"/>
      <c r="M283" s="6"/>
    </row>
    <row r="284" spans="1:13" x14ac:dyDescent="0.25">
      <c r="A284" s="6" t="s">
        <v>721</v>
      </c>
      <c r="B284" s="6" t="s">
        <v>728</v>
      </c>
      <c r="C284" s="6">
        <f>IF(OR(Calculator!B3="Low Rank",Calculator!B3="High Rank"),60,80)</f>
        <v>60</v>
      </c>
      <c r="D284" s="6">
        <f>IF(OR(Calculator!B3="Low Rank",Calculator!B3="High Rank"),75,85)</f>
        <v>75</v>
      </c>
      <c r="E284" s="6">
        <v>30</v>
      </c>
      <c r="F284" s="6">
        <f>IF(OR(Calculator!B3="Low Rank",Calculator!B3="High Rank"),25,10)</f>
        <v>25</v>
      </c>
      <c r="G284" s="6">
        <f>IF(OR(Calculator!B3="Low Rank",Calculator!B3="High Rank"),30,15)</f>
        <v>30</v>
      </c>
      <c r="H284" s="6">
        <f>IF(OR(Calculator!B3="Low Rank",Calculator!B3="High Rank"),50,20)</f>
        <v>50</v>
      </c>
      <c r="I284" s="6">
        <v>0</v>
      </c>
      <c r="J284" s="6">
        <f>IF(OR(Calculator!B3="Low Rank",Calculator!B3="High Rank"),25,10)</f>
        <v>25</v>
      </c>
      <c r="K284" s="6" t="str">
        <f>IF(A284=Calculator!B4,1+MAX(K283:K283),"")</f>
        <v/>
      </c>
      <c r="L284" s="6"/>
      <c r="M284" s="6"/>
    </row>
    <row r="285" spans="1:13" x14ac:dyDescent="0.25">
      <c r="A285" s="6" t="s">
        <v>721</v>
      </c>
      <c r="B285" s="6" t="s">
        <v>729</v>
      </c>
      <c r="C285" s="6">
        <v>35</v>
      </c>
      <c r="D285" s="6">
        <v>35</v>
      </c>
      <c r="E285" s="6">
        <v>20</v>
      </c>
      <c r="F285" s="6">
        <v>0</v>
      </c>
      <c r="G285" s="6">
        <f>IF(OR(Calculator!B3="Low Rank",Calculator!B3="High Rank"),10,5)</f>
        <v>10</v>
      </c>
      <c r="H285" s="6">
        <v>0</v>
      </c>
      <c r="I285" s="6">
        <f>IF(OR(Calculator!B3="Low Rank",Calculator!B3="High Rank"),30,10)</f>
        <v>30</v>
      </c>
      <c r="J285" s="6">
        <f>IF(OR(Calculator!B3="Low Rank",Calculator!B3="High Rank"),15,5)</f>
        <v>15</v>
      </c>
      <c r="K285" s="6" t="str">
        <f>IF(A285=Calculator!B4,1+MAX(K284:K284),"")</f>
        <v/>
      </c>
      <c r="L285" s="6"/>
      <c r="M285" s="6"/>
    </row>
    <row r="286" spans="1:13" x14ac:dyDescent="0.25">
      <c r="A286" s="6" t="s">
        <v>721</v>
      </c>
      <c r="B286" s="6" t="s">
        <v>531</v>
      </c>
      <c r="C286" s="6">
        <f>IF(OR(Calculator!B3="Low Rank",Calculator!B3="High Rank"),IF(Calculator!B8=FALSE,25,43),IF(Calculator!B8=FALSE,20,40))</f>
        <v>25</v>
      </c>
      <c r="D286" s="6">
        <f>IF(OR(Calculator!B3="Low Rank",Calculator!B3="High Rank"),IF(Calculator!B8=FALSE,30,47),IF(Calculator!B8=FALSE,25,43))</f>
        <v>30</v>
      </c>
      <c r="E286" s="6">
        <f>IF(Calculator!B8=FALSE,10,32)</f>
        <v>10</v>
      </c>
      <c r="F286" s="6">
        <f>IF(OR(Calculator!B3="Low Rank",Calculator!B3="High Rank"),5,0)</f>
        <v>5</v>
      </c>
      <c r="G286" s="6">
        <f>IF(OR(Calculator!B3="Low Rank",Calculator!B3="High Rank"),10,5)</f>
        <v>10</v>
      </c>
      <c r="H286" s="6">
        <f>IF(OR(Calculator!B3="Low Rank",Calculator!B3="High Rank"),25,10)</f>
        <v>25</v>
      </c>
      <c r="I286" s="6">
        <v>0</v>
      </c>
      <c r="J286" s="6">
        <f>IF(OR(Calculator!B3="Low Rank",Calculator!B3="High Rank"),5,0)</f>
        <v>5</v>
      </c>
      <c r="K286" s="6" t="str">
        <f>IF(A286=Calculator!B4,1+MAX(K285:K285),"")</f>
        <v/>
      </c>
      <c r="L286" s="6"/>
      <c r="M286" s="6" t="b">
        <v>1</v>
      </c>
    </row>
    <row r="287" spans="1:13" x14ac:dyDescent="0.25">
      <c r="A287" s="6" t="s">
        <v>721</v>
      </c>
      <c r="B287" s="6" t="s">
        <v>727</v>
      </c>
      <c r="C287" s="6">
        <f>IF(OR(Calculator!B3="Low Rank",Calculator!B3="High Rank"),IF(Calculator!B8=FALSE,60,70),IF(Calculator!B8=FALSE,80,85))</f>
        <v>60</v>
      </c>
      <c r="D287" s="6">
        <f>IF(OR(Calculator!B3="Low Rank",Calculator!B3="High Rank"),IF(Calculator!B8=FALSE,75,81),IF(Calculator!B8=FALSE,85,88))</f>
        <v>75</v>
      </c>
      <c r="E287" s="6">
        <f>IF(Calculator!B9=FALSE,30,47)</f>
        <v>47</v>
      </c>
      <c r="F287" s="6">
        <f>IF(OR(Calculator!B3="Low Rank",Calculator!B3="High Rank"),25,10)</f>
        <v>25</v>
      </c>
      <c r="G287" s="6">
        <f>IF(OR(Calculator!B3="Low Rank",Calculator!B3="High Rank"),30,15)</f>
        <v>30</v>
      </c>
      <c r="H287" s="6">
        <f>IF(OR(Calculator!B3="Low Rank",Calculator!B3="High Rank"),50,20)</f>
        <v>50</v>
      </c>
      <c r="I287" s="6">
        <v>0</v>
      </c>
      <c r="J287" s="6">
        <f>IF(OR(Calculator!B3="Low Rank",Calculator!B3="High Rank"),25,10)</f>
        <v>25</v>
      </c>
      <c r="K287" s="6" t="str">
        <f>IF(A287=Calculator!B4,1+MAX(K286:K286),"")</f>
        <v/>
      </c>
      <c r="L287" s="6"/>
      <c r="M287" s="6" t="b">
        <v>1</v>
      </c>
    </row>
    <row r="288" spans="1:13" x14ac:dyDescent="0.25">
      <c r="A288" s="6" t="s">
        <v>721</v>
      </c>
      <c r="B288" s="6" t="s">
        <v>726</v>
      </c>
      <c r="C288" s="6">
        <f>IF(OR(Calculator!B3="Low Rank",Calculator!B3="High Rank"),IF(Calculator!B8=FALSE,50,62),IF(Calculator!B8=FALSE,70,77))</f>
        <v>50</v>
      </c>
      <c r="D288" s="6">
        <f>IF(OR(Calculator!B3="Low Rank",Calculator!B3="High Rank"),IF(Calculator!B8=FALSE,40,55),IF(Calculator!B8=FALSE,65,73))</f>
        <v>40</v>
      </c>
      <c r="E288" s="6">
        <f>IF(OR(Calculator!B3="Low Rank",Calculator!B3="High Rank"),IF(Calculator!B8=FALSE,30,47),IF(Calculator!B8=FALSE,25,43))</f>
        <v>30</v>
      </c>
      <c r="F288" s="6">
        <v>0</v>
      </c>
      <c r="G288" s="6">
        <f>IF(OR(Calculator!B3="Low Rank",Calculator!B3="High Rank"),50,10)</f>
        <v>50</v>
      </c>
      <c r="H288" s="6">
        <v>0</v>
      </c>
      <c r="I288" s="6">
        <f>IF(OR(Calculator!B3="Low Rank",Calculator!B3="High Rank"),40,20)</f>
        <v>40</v>
      </c>
      <c r="J288" s="6">
        <f>IF(OR(Calculator!B3="Low Rank",Calculator!B3="High Rank"),25,15)</f>
        <v>25</v>
      </c>
      <c r="K288" s="6" t="str">
        <f>IF(A288=Calculator!B4,1+MAX(K287:K287),"")</f>
        <v/>
      </c>
      <c r="L288" s="6"/>
      <c r="M288" s="6" t="b">
        <v>1</v>
      </c>
    </row>
    <row r="289" spans="1:13" x14ac:dyDescent="0.25">
      <c r="A289" s="6" t="s">
        <v>721</v>
      </c>
      <c r="B289" s="6" t="s">
        <v>532</v>
      </c>
      <c r="C289" s="6">
        <f>IF(OR(Calculator!B3="Low Rank",Calculator!B3="High Rank"),40,50)</f>
        <v>40</v>
      </c>
      <c r="D289" s="6">
        <f>IF(OR(Calculator!B3="Low Rank",Calculator!B3="High Rank"),35,50)</f>
        <v>35</v>
      </c>
      <c r="E289" s="6">
        <v>15</v>
      </c>
      <c r="F289" s="6">
        <v>0</v>
      </c>
      <c r="G289" s="6">
        <f>IF(OR(Calculator!B3="Low Rank",Calculator!B3="High Rank"),10,5)</f>
        <v>10</v>
      </c>
      <c r="H289" s="6">
        <v>0</v>
      </c>
      <c r="I289" s="6">
        <f>IF(OR(Calculator!B3="Low Rank",Calculator!B3="High Rank"),30,15)</f>
        <v>30</v>
      </c>
      <c r="J289" s="6">
        <f>IF(OR(Calculator!B3="Low Rank",Calculator!B3="High Rank"),15,10)</f>
        <v>15</v>
      </c>
      <c r="K289" s="6" t="str">
        <f>IF(A289=Calculator!B4,1+MAX(K288:K288),"")</f>
        <v/>
      </c>
      <c r="L289" s="6"/>
      <c r="M289" s="6"/>
    </row>
    <row r="290" spans="1:13" x14ac:dyDescent="0.25">
      <c r="A290" s="6" t="s">
        <v>721</v>
      </c>
      <c r="B290" s="6" t="s">
        <v>533</v>
      </c>
      <c r="C290" s="6">
        <f>IF(OR(Calculator!B3="Low Rank",Calculator!B3="High Rank"),25,20)</f>
        <v>25</v>
      </c>
      <c r="D290" s="6">
        <f>IF(OR(Calculator!B3="Low Rank",Calculator!B3="High Rank"),30,25)</f>
        <v>30</v>
      </c>
      <c r="E290" s="6">
        <v>10</v>
      </c>
      <c r="F290" s="6">
        <f>IF(OR(Calculator!B3="Low Rank",Calculator!B3="High Rank"),5,0)</f>
        <v>5</v>
      </c>
      <c r="G290" s="6">
        <f>IF(OR(Calculator!B3="Low Rank",Calculator!B3="High Rank"),10,5)</f>
        <v>10</v>
      </c>
      <c r="H290" s="6">
        <f>IF(OR(Calculator!B3="Low Rank",Calculator!B3="High Rank"),25,10)</f>
        <v>25</v>
      </c>
      <c r="I290" s="6">
        <v>0</v>
      </c>
      <c r="J290" s="6">
        <f>IF(OR(Calculator!B3="Low Rank",Calculator!B3="High Rank"),5,0)</f>
        <v>5</v>
      </c>
      <c r="K290" s="6" t="str">
        <f>IF(A290=Calculator!B4,1+MAX(K289:K289),"")</f>
        <v/>
      </c>
      <c r="L290" s="6"/>
      <c r="M290" s="6"/>
    </row>
    <row r="291" spans="1:13" x14ac:dyDescent="0.25">
      <c r="A291" s="6" t="s">
        <v>721</v>
      </c>
      <c r="B291" s="6" t="s">
        <v>731</v>
      </c>
      <c r="C291" s="6">
        <f>IF(OR(Calculator!B3="Low Rank",Calculator!B3="High Rank"),60,80)</f>
        <v>60</v>
      </c>
      <c r="D291" s="6">
        <f>IF(OR(Calculator!B3="Low Rank",Calculator!B3="High Rank"),75,85)</f>
        <v>75</v>
      </c>
      <c r="E291" s="6">
        <v>30</v>
      </c>
      <c r="F291" s="6">
        <f>IF(OR(Calculator!B3="Low Rank",Calculator!B3="High Rank"),25,10)</f>
        <v>25</v>
      </c>
      <c r="G291" s="6">
        <f>IF(OR(Calculator!B3="Low Rank",Calculator!B3="High Rank"),30,15)</f>
        <v>30</v>
      </c>
      <c r="H291" s="6">
        <f>IF(OR(Calculator!B3="Low Rank",Calculator!B3="High Rank"),50,20)</f>
        <v>50</v>
      </c>
      <c r="I291" s="6">
        <v>0</v>
      </c>
      <c r="J291" s="6">
        <f>IF(OR(Calculator!B3="Low Rank",Calculator!B3="High Rank"),25,10)</f>
        <v>25</v>
      </c>
      <c r="K291" s="6" t="str">
        <f>IF(A291=Calculator!B4,1+MAX(K290:K290),"")</f>
        <v/>
      </c>
      <c r="L291" s="6"/>
      <c r="M291" s="6"/>
    </row>
    <row r="292" spans="1:13" x14ac:dyDescent="0.25">
      <c r="A292" s="6" t="s">
        <v>721</v>
      </c>
      <c r="B292" s="6" t="s">
        <v>730</v>
      </c>
      <c r="C292" s="6">
        <f>IF(OR(Calculator!B3="Low Rank",Calculator!B3="High Rank"),40,50)</f>
        <v>40</v>
      </c>
      <c r="D292" s="6">
        <f>IF(OR(Calculator!B3="Low Rank",Calculator!B3="High Rank"),45,40)</f>
        <v>45</v>
      </c>
      <c r="E292" s="6">
        <v>20</v>
      </c>
      <c r="F292" s="6">
        <v>0</v>
      </c>
      <c r="G292" s="6">
        <f>IF(OR(Calculator!B3="Low Rank",Calculator!B3="High Rank"),10,5)</f>
        <v>10</v>
      </c>
      <c r="H292" s="6">
        <v>0</v>
      </c>
      <c r="I292" s="6">
        <f>IF(OR(Calculator!B3="Low Rank",Calculator!B3="High Rank"),30,15)</f>
        <v>30</v>
      </c>
      <c r="J292" s="6">
        <f>IF(OR(Calculator!B3="Low Rank",Calculator!B3="High Rank"),15,10)</f>
        <v>15</v>
      </c>
      <c r="K292" s="6" t="str">
        <f>IF(A292=Calculator!B4,1+MAX(K291:K291),"")</f>
        <v/>
      </c>
      <c r="L292" s="6"/>
      <c r="M292" s="6"/>
    </row>
    <row r="293" spans="1:13" x14ac:dyDescent="0.25">
      <c r="A293" s="6" t="s">
        <v>671</v>
      </c>
      <c r="B293" s="6" t="s">
        <v>502</v>
      </c>
      <c r="C293" s="6">
        <f>IF(Calculator!B8=FALSE,70,77)</f>
        <v>70</v>
      </c>
      <c r="D293" s="6">
        <f>IF(Calculator!B8=FALSE,70,77)</f>
        <v>70</v>
      </c>
      <c r="E293" s="6">
        <f>IF(Calculator!B8=FALSE,55,66)</f>
        <v>55</v>
      </c>
      <c r="F293" s="6">
        <v>20</v>
      </c>
      <c r="G293" s="6">
        <v>10</v>
      </c>
      <c r="H293" s="6">
        <v>10</v>
      </c>
      <c r="I293" s="6">
        <v>10</v>
      </c>
      <c r="J293" s="6">
        <v>20</v>
      </c>
      <c r="K293" s="6" t="str">
        <f>IF(A293=Calculator!B4,1+MAX(K292:K292),"")</f>
        <v/>
      </c>
      <c r="L293" s="6"/>
      <c r="M293" s="6" t="b">
        <v>1</v>
      </c>
    </row>
    <row r="294" spans="1:13" x14ac:dyDescent="0.25">
      <c r="A294" s="6" t="s">
        <v>671</v>
      </c>
      <c r="B294" s="6" t="s">
        <v>648</v>
      </c>
      <c r="C294" s="6">
        <f>IF(Calculator!B8=FALSE,80,85)</f>
        <v>80</v>
      </c>
      <c r="D294" s="6">
        <f>IF(Calculator!B8=FALSE,80,85)</f>
        <v>80</v>
      </c>
      <c r="E294" s="6">
        <f>IF(Calculator!B8=FALSE,60,70)</f>
        <v>60</v>
      </c>
      <c r="F294" s="6">
        <v>20</v>
      </c>
      <c r="G294" s="6">
        <v>10</v>
      </c>
      <c r="H294" s="6">
        <v>10</v>
      </c>
      <c r="I294" s="6">
        <v>10</v>
      </c>
      <c r="J294" s="6">
        <v>20</v>
      </c>
      <c r="K294" s="6" t="str">
        <f>IF(A294=Calculator!B4,1+MAX(K293:K293),"")</f>
        <v/>
      </c>
      <c r="L294" s="6"/>
      <c r="M294" s="6" t="b">
        <v>1</v>
      </c>
    </row>
    <row r="295" spans="1:13" x14ac:dyDescent="0.25">
      <c r="A295" s="6" t="s">
        <v>671</v>
      </c>
      <c r="B295" s="6" t="s">
        <v>678</v>
      </c>
      <c r="C295" s="6">
        <f>IF(Calculator!B8=FALSE,80,85)</f>
        <v>80</v>
      </c>
      <c r="D295" s="6">
        <f>IF(Calculator!B8=FALSE,100,100)</f>
        <v>100</v>
      </c>
      <c r="E295" s="6">
        <f>IF(Calculator!B8=FALSE,60,70)</f>
        <v>60</v>
      </c>
      <c r="F295" s="6">
        <v>15</v>
      </c>
      <c r="G295" s="6">
        <v>30</v>
      </c>
      <c r="H295" s="6">
        <v>30</v>
      </c>
      <c r="I295" s="6">
        <v>30</v>
      </c>
      <c r="J295" s="6">
        <v>15</v>
      </c>
      <c r="K295" s="6" t="str">
        <f>IF(A295=Calculator!B4,1+MAX(K294:K294),"")</f>
        <v/>
      </c>
      <c r="L295" s="6"/>
      <c r="M295" s="6" t="b">
        <v>1</v>
      </c>
    </row>
    <row r="296" spans="1:13" x14ac:dyDescent="0.25">
      <c r="A296" s="6" t="s">
        <v>671</v>
      </c>
      <c r="B296" s="6" t="s">
        <v>528</v>
      </c>
      <c r="C296" s="6">
        <v>30</v>
      </c>
      <c r="D296" s="6">
        <v>30</v>
      </c>
      <c r="E296" s="6">
        <v>25</v>
      </c>
      <c r="F296" s="6">
        <v>15</v>
      </c>
      <c r="G296" s="6">
        <v>10</v>
      </c>
      <c r="H296" s="6">
        <v>10</v>
      </c>
      <c r="I296" s="6">
        <v>10</v>
      </c>
      <c r="J296" s="6">
        <v>15</v>
      </c>
      <c r="K296" s="6" t="str">
        <f>IF(A296=Calculator!B4,1+MAX(K295:K295),"")</f>
        <v/>
      </c>
      <c r="L296" s="6"/>
      <c r="M296" s="6"/>
    </row>
    <row r="297" spans="1:13" x14ac:dyDescent="0.25">
      <c r="A297" s="6" t="s">
        <v>671</v>
      </c>
      <c r="B297" s="6" t="s">
        <v>679</v>
      </c>
      <c r="C297" s="6">
        <v>50</v>
      </c>
      <c r="D297" s="6">
        <v>50</v>
      </c>
      <c r="E297" s="6">
        <v>30</v>
      </c>
      <c r="F297" s="6">
        <v>15</v>
      </c>
      <c r="G297" s="6">
        <v>30</v>
      </c>
      <c r="H297" s="6">
        <v>30</v>
      </c>
      <c r="I297" s="6">
        <v>30</v>
      </c>
      <c r="J297" s="6">
        <v>15</v>
      </c>
      <c r="K297" s="6" t="str">
        <f>IF(A297=Calculator!B4,1+MAX(K296:K296),"")</f>
        <v/>
      </c>
      <c r="L297" s="6"/>
      <c r="M297" s="6"/>
    </row>
    <row r="298" spans="1:13" x14ac:dyDescent="0.25">
      <c r="A298" s="6" t="s">
        <v>671</v>
      </c>
      <c r="B298" s="6" t="s">
        <v>529</v>
      </c>
      <c r="C298" s="6">
        <v>25</v>
      </c>
      <c r="D298" s="6">
        <v>25</v>
      </c>
      <c r="E298" s="6">
        <v>25</v>
      </c>
      <c r="F298" s="6">
        <v>15</v>
      </c>
      <c r="G298" s="6">
        <v>10</v>
      </c>
      <c r="H298" s="6">
        <v>10</v>
      </c>
      <c r="I298" s="6">
        <v>10</v>
      </c>
      <c r="J298" s="6">
        <v>15</v>
      </c>
      <c r="K298" s="6" t="str">
        <f>IF(A298=Calculator!B4,1+MAX(K297:K297),"")</f>
        <v/>
      </c>
      <c r="L298" s="6"/>
      <c r="M298" s="6"/>
    </row>
    <row r="299" spans="1:13" x14ac:dyDescent="0.25">
      <c r="A299" s="6" t="s">
        <v>671</v>
      </c>
      <c r="B299" s="6" t="s">
        <v>680</v>
      </c>
      <c r="C299" s="6">
        <v>60</v>
      </c>
      <c r="D299" s="6">
        <v>60</v>
      </c>
      <c r="E299" s="6">
        <v>40</v>
      </c>
      <c r="F299" s="6">
        <v>15</v>
      </c>
      <c r="G299" s="6">
        <v>30</v>
      </c>
      <c r="H299" s="6">
        <v>30</v>
      </c>
      <c r="I299" s="6">
        <v>30</v>
      </c>
      <c r="J299" s="6">
        <v>15</v>
      </c>
      <c r="K299" s="6" t="str">
        <f>IF(A299=Calculator!B4,1+MAX(K298:K298),"")</f>
        <v/>
      </c>
      <c r="L299" s="6"/>
      <c r="M299" s="6"/>
    </row>
    <row r="300" spans="1:13" x14ac:dyDescent="0.25">
      <c r="A300" s="6" t="s">
        <v>671</v>
      </c>
      <c r="B300" s="6" t="s">
        <v>503</v>
      </c>
      <c r="C300" s="6">
        <v>60</v>
      </c>
      <c r="D300" s="6">
        <v>60</v>
      </c>
      <c r="E300" s="6">
        <v>30</v>
      </c>
      <c r="F300" s="6">
        <v>20</v>
      </c>
      <c r="G300" s="6">
        <v>10</v>
      </c>
      <c r="H300" s="6">
        <v>10</v>
      </c>
      <c r="I300" s="6">
        <v>10</v>
      </c>
      <c r="J300" s="6">
        <v>20</v>
      </c>
      <c r="K300" s="6" t="str">
        <f>IF(A300=Calculator!B4,1+MAX(K299:K299),"")</f>
        <v/>
      </c>
      <c r="L300" s="6"/>
      <c r="M300" s="6"/>
    </row>
    <row r="301" spans="1:13" x14ac:dyDescent="0.25">
      <c r="A301" s="6" t="s">
        <v>671</v>
      </c>
      <c r="B301" s="6" t="s">
        <v>681</v>
      </c>
      <c r="C301" s="6">
        <v>100</v>
      </c>
      <c r="D301" s="6">
        <v>80</v>
      </c>
      <c r="E301" s="6">
        <v>70</v>
      </c>
      <c r="F301" s="6">
        <v>15</v>
      </c>
      <c r="G301" s="6">
        <v>30</v>
      </c>
      <c r="H301" s="6">
        <v>30</v>
      </c>
      <c r="I301" s="6">
        <v>30</v>
      </c>
      <c r="J301" s="6">
        <v>15</v>
      </c>
      <c r="K301" s="6" t="str">
        <f>IF(A301=Calculator!B4,1+MAX(K300:K300),"")</f>
        <v/>
      </c>
      <c r="L301" s="6"/>
      <c r="M301" s="6"/>
    </row>
    <row r="302" spans="1:13" x14ac:dyDescent="0.25">
      <c r="A302" s="6" t="s">
        <v>671</v>
      </c>
      <c r="B302" s="6" t="s">
        <v>531</v>
      </c>
      <c r="C302" s="6">
        <f>IF(Calculator!B8=FALSE,50,62)</f>
        <v>50</v>
      </c>
      <c r="D302" s="6">
        <f>IF(Calculator!B8=FALSE,50,62)</f>
        <v>50</v>
      </c>
      <c r="E302" s="6">
        <f>IF(Calculator!B8=FALSE,45,58)</f>
        <v>45</v>
      </c>
      <c r="F302" s="6">
        <v>20</v>
      </c>
      <c r="G302" s="6">
        <v>10</v>
      </c>
      <c r="H302" s="6">
        <v>10</v>
      </c>
      <c r="I302" s="6">
        <v>10</v>
      </c>
      <c r="J302" s="6">
        <v>20</v>
      </c>
      <c r="K302" s="6" t="str">
        <f>IF(A302=Calculator!B4,1+MAX(K301:K301),"")</f>
        <v/>
      </c>
      <c r="L302" s="6" t="s">
        <v>542</v>
      </c>
      <c r="M302" s="6" t="b">
        <v>1</v>
      </c>
    </row>
    <row r="303" spans="1:13" x14ac:dyDescent="0.25">
      <c r="A303" s="6" t="s">
        <v>671</v>
      </c>
      <c r="B303" s="6" t="s">
        <v>675</v>
      </c>
      <c r="C303" s="6">
        <f>IF(Calculator!B8=FALSE,60,70)</f>
        <v>60</v>
      </c>
      <c r="D303" s="6">
        <f>IF(Calculator!B8=FALSE,60,70)</f>
        <v>60</v>
      </c>
      <c r="E303" s="6">
        <f>IF(Calculator!B8=FALSE,50,62)</f>
        <v>50</v>
      </c>
      <c r="F303" s="6">
        <v>20</v>
      </c>
      <c r="G303" s="6">
        <v>10</v>
      </c>
      <c r="H303" s="6">
        <v>10</v>
      </c>
      <c r="I303" s="6">
        <v>10</v>
      </c>
      <c r="J303" s="6">
        <v>20</v>
      </c>
      <c r="K303" s="6" t="str">
        <f>IF(A303=Calculator!B4,1+MAX(K302:K302),"")</f>
        <v/>
      </c>
      <c r="L303" s="6"/>
      <c r="M303" s="6" t="b">
        <v>1</v>
      </c>
    </row>
    <row r="304" spans="1:13" x14ac:dyDescent="0.25">
      <c r="A304" s="6" t="s">
        <v>671</v>
      </c>
      <c r="B304" s="6" t="s">
        <v>682</v>
      </c>
      <c r="C304" s="6">
        <f>IF(Calculator!B8=FALSE,70,77)</f>
        <v>70</v>
      </c>
      <c r="D304" s="6">
        <f>IF(Calculator!B8=FALSE,90,92)</f>
        <v>90</v>
      </c>
      <c r="E304" s="6">
        <f>IF(Calculator!B8=FALSE,60,70)</f>
        <v>60</v>
      </c>
      <c r="F304" s="6">
        <v>15</v>
      </c>
      <c r="G304" s="6">
        <v>30</v>
      </c>
      <c r="H304" s="6">
        <v>30</v>
      </c>
      <c r="I304" s="6">
        <v>30</v>
      </c>
      <c r="J304" s="6">
        <v>15</v>
      </c>
      <c r="K304" s="6" t="str">
        <f>IF(A304=Calculator!B4,1+MAX(K303:K303),"")</f>
        <v/>
      </c>
      <c r="L304" s="6"/>
      <c r="M304" s="6" t="b">
        <v>1</v>
      </c>
    </row>
    <row r="305" spans="1:13" x14ac:dyDescent="0.25">
      <c r="A305" s="6" t="s">
        <v>671</v>
      </c>
      <c r="B305" s="6" t="s">
        <v>532</v>
      </c>
      <c r="C305" s="6">
        <v>22</v>
      </c>
      <c r="D305" s="6">
        <v>22</v>
      </c>
      <c r="E305" s="6">
        <v>15</v>
      </c>
      <c r="F305" s="6">
        <v>10</v>
      </c>
      <c r="G305" s="6">
        <v>5</v>
      </c>
      <c r="H305" s="6">
        <v>5</v>
      </c>
      <c r="I305" s="6">
        <v>5</v>
      </c>
      <c r="J305" s="6">
        <v>10</v>
      </c>
      <c r="K305" s="6" t="str">
        <f>IF(A305=Calculator!B4,1+MAX(K304:K304),"")</f>
        <v/>
      </c>
      <c r="L305" s="6"/>
      <c r="M305" s="6"/>
    </row>
    <row r="306" spans="1:13" x14ac:dyDescent="0.25">
      <c r="A306" s="6" t="s">
        <v>671</v>
      </c>
      <c r="B306" s="6" t="s">
        <v>683</v>
      </c>
      <c r="C306" s="6">
        <v>50</v>
      </c>
      <c r="D306" s="6">
        <v>50</v>
      </c>
      <c r="E306" s="6">
        <v>40</v>
      </c>
      <c r="F306" s="6">
        <v>10</v>
      </c>
      <c r="G306" s="6">
        <v>20</v>
      </c>
      <c r="H306" s="6">
        <v>20</v>
      </c>
      <c r="I306" s="6">
        <v>20</v>
      </c>
      <c r="J306" s="6">
        <v>10</v>
      </c>
      <c r="K306" s="6" t="str">
        <f>IF(A306=Calculator!B4,1+MAX(K305:K305),"")</f>
        <v/>
      </c>
      <c r="L306" s="6"/>
      <c r="M306" s="6"/>
    </row>
    <row r="307" spans="1:13" x14ac:dyDescent="0.25">
      <c r="A307" s="6" t="s">
        <v>671</v>
      </c>
      <c r="B307" s="6" t="s">
        <v>548</v>
      </c>
      <c r="C307" s="6">
        <f>IF(Calculator!B8=FALSE,50,62)</f>
        <v>50</v>
      </c>
      <c r="D307" s="6">
        <f>IF(Calculator!B8=FALSE,50,62)</f>
        <v>50</v>
      </c>
      <c r="E307" s="6">
        <f>IF(Calculator!B8=FALSE,30,47)</f>
        <v>30</v>
      </c>
      <c r="F307" s="6">
        <v>15</v>
      </c>
      <c r="G307" s="6">
        <v>10</v>
      </c>
      <c r="H307" s="6">
        <v>10</v>
      </c>
      <c r="I307" s="6">
        <v>10</v>
      </c>
      <c r="J307" s="6">
        <v>15</v>
      </c>
      <c r="K307" s="6" t="str">
        <f>IF(A307=Calculator!B4,1+MAX(K306:K306),"")</f>
        <v/>
      </c>
      <c r="L307" s="6"/>
      <c r="M307" s="6" t="b">
        <v>1</v>
      </c>
    </row>
    <row r="308" spans="1:13" x14ac:dyDescent="0.25">
      <c r="A308" s="6" t="s">
        <v>671</v>
      </c>
      <c r="B308" s="6" t="s">
        <v>677</v>
      </c>
      <c r="C308" s="6">
        <f>IF(Calculator!B8=FALSE,60,70)</f>
        <v>60</v>
      </c>
      <c r="D308" s="6">
        <f>IF(Calculator!B8=FALSE,60,70)</f>
        <v>60</v>
      </c>
      <c r="E308" s="6">
        <f>IF(Calculator!B8=FALSE,40,55)</f>
        <v>40</v>
      </c>
      <c r="F308" s="6">
        <v>15</v>
      </c>
      <c r="G308" s="6">
        <v>10</v>
      </c>
      <c r="H308" s="6">
        <v>10</v>
      </c>
      <c r="I308" s="6">
        <v>10</v>
      </c>
      <c r="J308" s="6">
        <v>15</v>
      </c>
      <c r="K308" s="6" t="str">
        <f>IF(A308=Calculator!B4,1+MAX(K307:K307),"")</f>
        <v/>
      </c>
      <c r="L308" s="6"/>
      <c r="M308" s="6" t="b">
        <v>1</v>
      </c>
    </row>
    <row r="309" spans="1:13" x14ac:dyDescent="0.25">
      <c r="A309" s="6" t="s">
        <v>671</v>
      </c>
      <c r="B309" s="6" t="s">
        <v>684</v>
      </c>
      <c r="C309" s="6">
        <f>IF(Calculator!B8=FALSE,100,100)</f>
        <v>100</v>
      </c>
      <c r="D309" s="6">
        <f>IF(Calculator!B8=FALSE,80,85)</f>
        <v>80</v>
      </c>
      <c r="E309" s="6">
        <f>IF(Calculator!B8=FALSE,50,62)</f>
        <v>50</v>
      </c>
      <c r="F309" s="6">
        <v>15</v>
      </c>
      <c r="G309" s="6">
        <v>30</v>
      </c>
      <c r="H309" s="6">
        <v>30</v>
      </c>
      <c r="I309" s="6">
        <v>30</v>
      </c>
      <c r="J309" s="6">
        <v>15</v>
      </c>
      <c r="K309" s="6" t="str">
        <f>IF(A309=Calculator!B4,1+MAX(K308:K308),"")</f>
        <v/>
      </c>
      <c r="L309" s="6"/>
      <c r="M309" s="6" t="b">
        <v>1</v>
      </c>
    </row>
    <row r="310" spans="1:13" x14ac:dyDescent="0.25">
      <c r="A310" s="6" t="s">
        <v>671</v>
      </c>
      <c r="B310" s="6" t="s">
        <v>533</v>
      </c>
      <c r="C310" s="6">
        <f>IF(Calculator!B8=FALSE,25,43)</f>
        <v>25</v>
      </c>
      <c r="D310" s="6">
        <f>IF(Calculator!B8=FALSE,25,43)</f>
        <v>25</v>
      </c>
      <c r="E310" s="6">
        <f>IF(Calculator!B8=FALSE,15,36)</f>
        <v>15</v>
      </c>
      <c r="F310" s="6">
        <v>10</v>
      </c>
      <c r="G310" s="6">
        <v>5</v>
      </c>
      <c r="H310" s="6">
        <v>5</v>
      </c>
      <c r="I310" s="6">
        <v>5</v>
      </c>
      <c r="J310" s="6">
        <v>10</v>
      </c>
      <c r="K310" s="6" t="str">
        <f>IF(A310=Calculator!B4,1+MAX(K309:K309),"")</f>
        <v/>
      </c>
      <c r="L310" s="6"/>
      <c r="M310" s="6" t="b">
        <v>1</v>
      </c>
    </row>
    <row r="311" spans="1:13" x14ac:dyDescent="0.25">
      <c r="A311" s="6" t="s">
        <v>671</v>
      </c>
      <c r="B311" s="6" t="s">
        <v>685</v>
      </c>
      <c r="C311" s="6">
        <f>IF(Calculator!B8=FALSE,50,62)</f>
        <v>50</v>
      </c>
      <c r="D311" s="6">
        <f>IF(Calculator!B8=FALSE,50,62)</f>
        <v>50</v>
      </c>
      <c r="E311" s="6">
        <f>IF(Calculator!B8=FALSE,30,47)</f>
        <v>30</v>
      </c>
      <c r="F311" s="6">
        <v>10</v>
      </c>
      <c r="G311" s="6">
        <v>20</v>
      </c>
      <c r="H311" s="6">
        <v>20</v>
      </c>
      <c r="I311" s="6">
        <v>20</v>
      </c>
      <c r="J311" s="6">
        <v>10</v>
      </c>
      <c r="K311" s="6" t="str">
        <f>IF(A311=Calculator!B4,1+MAX(K310:K310),"")</f>
        <v/>
      </c>
      <c r="L311" s="6"/>
      <c r="M311" s="6" t="b">
        <v>1</v>
      </c>
    </row>
    <row r="312" spans="1:13" x14ac:dyDescent="0.25">
      <c r="A312" s="6" t="s">
        <v>671</v>
      </c>
      <c r="B312" s="6" t="s">
        <v>568</v>
      </c>
      <c r="C312" s="6">
        <f>IF(Calculator!B8=FALSE,70,77)</f>
        <v>70</v>
      </c>
      <c r="D312" s="6">
        <f>IF(Calculator!B8=FALSE,70,77)</f>
        <v>70</v>
      </c>
      <c r="E312" s="6">
        <f>IF(Calculator!B8=FALSE,45,58)</f>
        <v>45</v>
      </c>
      <c r="F312" s="6">
        <v>20</v>
      </c>
      <c r="G312" s="6">
        <v>10</v>
      </c>
      <c r="H312" s="6">
        <v>10</v>
      </c>
      <c r="I312" s="6">
        <v>10</v>
      </c>
      <c r="J312" s="6">
        <v>20</v>
      </c>
      <c r="K312" s="6" t="str">
        <f>IF(A312=Calculator!B4,1+MAX(K311:K311),"")</f>
        <v/>
      </c>
      <c r="L312" s="6"/>
      <c r="M312" s="6" t="b">
        <v>1</v>
      </c>
    </row>
    <row r="313" spans="1:13" x14ac:dyDescent="0.25">
      <c r="A313" s="6" t="s">
        <v>671</v>
      </c>
      <c r="B313" s="6" t="s">
        <v>686</v>
      </c>
      <c r="C313" s="6">
        <v>90</v>
      </c>
      <c r="D313" s="6">
        <v>90</v>
      </c>
      <c r="E313" s="6">
        <f>IF(Calculator!B8=FALSE,60,70)</f>
        <v>60</v>
      </c>
      <c r="F313" s="6">
        <v>15</v>
      </c>
      <c r="G313" s="6">
        <v>30</v>
      </c>
      <c r="H313" s="6">
        <v>30</v>
      </c>
      <c r="I313" s="6">
        <v>30</v>
      </c>
      <c r="J313" s="6">
        <v>15</v>
      </c>
      <c r="K313" s="6" t="str">
        <f>IF(A313=Calculator!B4,1+MAX(K312:K312),"")</f>
        <v/>
      </c>
      <c r="L313" s="6"/>
      <c r="M313" s="6" t="b">
        <v>1</v>
      </c>
    </row>
    <row r="314" spans="1:13" x14ac:dyDescent="0.25">
      <c r="A314" s="6" t="s">
        <v>748</v>
      </c>
      <c r="B314" s="6" t="s">
        <v>502</v>
      </c>
      <c r="C314" s="6">
        <f>IF(Calculator!B8=FALSE,46,59)</f>
        <v>46</v>
      </c>
      <c r="D314" s="6">
        <f>IF(Calculator!B8=FALSE,50,62)</f>
        <v>50</v>
      </c>
      <c r="E314" s="6">
        <f>IF(Calculator!B8=FALSE,45,58)</f>
        <v>45</v>
      </c>
      <c r="F314" s="6">
        <v>25</v>
      </c>
      <c r="G314" s="6">
        <v>10</v>
      </c>
      <c r="H314" s="6">
        <v>15</v>
      </c>
      <c r="I314" s="6">
        <v>0</v>
      </c>
      <c r="J314" s="6">
        <v>0</v>
      </c>
      <c r="K314" s="6" t="str">
        <f>IF(A314=Calculator!B4,1+MAX(K313:K313),"")</f>
        <v/>
      </c>
      <c r="L314" s="6"/>
      <c r="M314" s="6" t="b">
        <v>1</v>
      </c>
    </row>
    <row r="315" spans="1:13" x14ac:dyDescent="0.25">
      <c r="A315" s="6" t="s">
        <v>748</v>
      </c>
      <c r="B315" s="6" t="s">
        <v>754</v>
      </c>
      <c r="C315" s="6">
        <f>IF(Calculator!B8=FALSE,30,47)</f>
        <v>30</v>
      </c>
      <c r="D315" s="6">
        <f>IF(Calculator!B8=FALSE,34,50)</f>
        <v>34</v>
      </c>
      <c r="E315" s="6">
        <f>IF(Calculator!B8=FALSE,25,43)</f>
        <v>25</v>
      </c>
      <c r="F315" s="6">
        <v>25</v>
      </c>
      <c r="G315" s="6">
        <v>0</v>
      </c>
      <c r="H315" s="6">
        <v>5</v>
      </c>
      <c r="I315" s="6">
        <v>0</v>
      </c>
      <c r="J315" s="6">
        <v>0</v>
      </c>
      <c r="K315" s="6" t="str">
        <f>IF(A315=Calculator!B4,1+MAX(K314:K314),"")</f>
        <v/>
      </c>
      <c r="L315" s="6"/>
      <c r="M315" s="6" t="b">
        <v>1</v>
      </c>
    </row>
    <row r="316" spans="1:13" x14ac:dyDescent="0.25">
      <c r="A316" s="6" t="s">
        <v>748</v>
      </c>
      <c r="B316" s="6" t="s">
        <v>529</v>
      </c>
      <c r="C316" s="6">
        <f>IF(Calculator!B8=FALSE,35,51)</f>
        <v>35</v>
      </c>
      <c r="D316" s="6">
        <f>IF(Calculator!B8=FALSE,35,51)</f>
        <v>35</v>
      </c>
      <c r="E316" s="6">
        <f>IF(Calculator!B8=FALSE,35,51)</f>
        <v>35</v>
      </c>
      <c r="F316" s="6">
        <v>20</v>
      </c>
      <c r="G316" s="6">
        <v>5</v>
      </c>
      <c r="H316" s="6">
        <v>10</v>
      </c>
      <c r="I316" s="6">
        <v>0</v>
      </c>
      <c r="J316" s="6">
        <v>0</v>
      </c>
      <c r="K316" s="6" t="str">
        <f>IF(A316=Calculator!B4,1+MAX(K315:K315),"")</f>
        <v/>
      </c>
      <c r="L316" s="6"/>
      <c r="M316" s="6" t="b">
        <v>1</v>
      </c>
    </row>
    <row r="317" spans="1:13" x14ac:dyDescent="0.25">
      <c r="A317" s="6" t="s">
        <v>748</v>
      </c>
      <c r="B317" s="6" t="s">
        <v>755</v>
      </c>
      <c r="C317" s="6">
        <f>IF(Calculator!B8=FALSE,30,47)</f>
        <v>30</v>
      </c>
      <c r="D317" s="6">
        <f>IF(Calculator!B8=FALSE,30,47)</f>
        <v>30</v>
      </c>
      <c r="E317" s="6">
        <f>IF(Calculator!B8=FALSE,25,43)</f>
        <v>25</v>
      </c>
      <c r="F317" s="6">
        <v>20</v>
      </c>
      <c r="G317" s="6">
        <v>0</v>
      </c>
      <c r="H317" s="6">
        <v>5</v>
      </c>
      <c r="I317" s="6">
        <v>0</v>
      </c>
      <c r="J317" s="6">
        <v>0</v>
      </c>
      <c r="K317" s="6" t="str">
        <f>IF(A317=Calculator!B4,1+MAX(K316:K316),"")</f>
        <v/>
      </c>
      <c r="L317" s="6"/>
      <c r="M317" s="6" t="b">
        <v>1</v>
      </c>
    </row>
    <row r="318" spans="1:13" x14ac:dyDescent="0.25">
      <c r="A318" s="6" t="s">
        <v>748</v>
      </c>
      <c r="B318" s="6" t="s">
        <v>505</v>
      </c>
      <c r="C318" s="6">
        <f>IF(Calculator!B8=FALSE,70,77)</f>
        <v>70</v>
      </c>
      <c r="D318" s="6">
        <f>IF(Calculator!B8=FALSE,65,73)</f>
        <v>65</v>
      </c>
      <c r="E318" s="6">
        <f>IF(Calculator!B8=FALSE,50,62)</f>
        <v>50</v>
      </c>
      <c r="F318" s="6">
        <v>30</v>
      </c>
      <c r="G318" s="6">
        <v>10</v>
      </c>
      <c r="H318" s="6">
        <v>15</v>
      </c>
      <c r="I318" s="6">
        <v>0</v>
      </c>
      <c r="J318" s="6">
        <v>0</v>
      </c>
      <c r="K318" s="6" t="str">
        <f>IF(A318=Calculator!B4,1+MAX(K317:K317),"")</f>
        <v/>
      </c>
      <c r="L318" s="6" t="s">
        <v>542</v>
      </c>
      <c r="M318" s="6" t="b">
        <v>1</v>
      </c>
    </row>
    <row r="319" spans="1:13" x14ac:dyDescent="0.25">
      <c r="A319" s="6" t="s">
        <v>748</v>
      </c>
      <c r="B319" s="6" t="s">
        <v>533</v>
      </c>
      <c r="C319" s="6">
        <f>IF(Calculator!B8=FALSE,40,55)</f>
        <v>40</v>
      </c>
      <c r="D319" s="6">
        <f>IF(Calculator!B8=FALSE,35,51)</f>
        <v>35</v>
      </c>
      <c r="E319" s="6">
        <f>IF(Calculator!B8=FALSE,35,51)</f>
        <v>35</v>
      </c>
      <c r="F319" s="6">
        <v>20</v>
      </c>
      <c r="G319" s="6">
        <v>5</v>
      </c>
      <c r="H319" s="6">
        <v>10</v>
      </c>
      <c r="I319" s="6">
        <v>0</v>
      </c>
      <c r="J319" s="6">
        <v>0</v>
      </c>
      <c r="K319" s="6" t="str">
        <f>IF(A319=Calculator!B4,1+MAX(K318:K318),"")</f>
        <v/>
      </c>
      <c r="L319" s="6"/>
      <c r="M319" s="6" t="b">
        <v>1</v>
      </c>
    </row>
    <row r="320" spans="1:13" x14ac:dyDescent="0.25">
      <c r="A320" s="6" t="s">
        <v>748</v>
      </c>
      <c r="B320" s="6" t="s">
        <v>756</v>
      </c>
      <c r="C320" s="6">
        <f>IF(Calculator!B8=FALSE,34,50)</f>
        <v>34</v>
      </c>
      <c r="D320" s="6">
        <f>IF(Calculator!B8=FALSE,30,47)</f>
        <v>30</v>
      </c>
      <c r="E320" s="6">
        <f>IF(Calculator!B8=FALSE,25,43)</f>
        <v>25</v>
      </c>
      <c r="F320" s="6">
        <v>20</v>
      </c>
      <c r="G320" s="6">
        <v>0</v>
      </c>
      <c r="H320" s="6">
        <v>5</v>
      </c>
      <c r="I320" s="6">
        <v>0</v>
      </c>
      <c r="J320" s="6">
        <v>0</v>
      </c>
      <c r="K320" s="6" t="str">
        <f>IF(A320=Calculator!B4,1+MAX(K319:K319),"")</f>
        <v/>
      </c>
      <c r="L320" s="6"/>
      <c r="M320" s="6" t="b">
        <v>1</v>
      </c>
    </row>
    <row r="321" spans="1:13" x14ac:dyDescent="0.25">
      <c r="A321" s="6" t="s">
        <v>749</v>
      </c>
      <c r="B321" s="6" t="s">
        <v>566</v>
      </c>
      <c r="C321" s="6">
        <f>IF(Calculator!B8=FALSE,30,47)</f>
        <v>30</v>
      </c>
      <c r="D321" s="6">
        <f>IF(Calculator!B8=FALSE,45,58)</f>
        <v>45</v>
      </c>
      <c r="E321" s="6">
        <f>IF(Calculator!B8=FALSE,35,51)</f>
        <v>35</v>
      </c>
      <c r="F321" s="6">
        <v>10</v>
      </c>
      <c r="G321" s="6">
        <v>0</v>
      </c>
      <c r="H321" s="6">
        <v>5</v>
      </c>
      <c r="I321" s="6">
        <v>0</v>
      </c>
      <c r="J321" s="6">
        <v>15</v>
      </c>
      <c r="K321" s="6" t="str">
        <f>IF(A321=Calculator!B4,1+MAX(K320:K320),"")</f>
        <v/>
      </c>
      <c r="L321" s="6"/>
      <c r="M321" s="6" t="b">
        <v>1</v>
      </c>
    </row>
    <row r="322" spans="1:13" x14ac:dyDescent="0.25">
      <c r="A322" s="6" t="s">
        <v>749</v>
      </c>
      <c r="B322" s="6" t="s">
        <v>758</v>
      </c>
      <c r="C322" s="6">
        <f>IF(Calculator!B8=FALSE,65,73)</f>
        <v>65</v>
      </c>
      <c r="D322" s="6">
        <f>IF(Calculator!B8=FALSE,65,73)</f>
        <v>65</v>
      </c>
      <c r="E322" s="6">
        <f>IF(Calculator!B8=FALSE,55,66)</f>
        <v>55</v>
      </c>
      <c r="F322" s="6">
        <v>20</v>
      </c>
      <c r="G322" s="6">
        <v>0</v>
      </c>
      <c r="H322" s="6">
        <v>10</v>
      </c>
      <c r="I322" s="6">
        <v>0</v>
      </c>
      <c r="J322" s="6">
        <v>25</v>
      </c>
      <c r="K322" s="6" t="str">
        <f>IF(A322=Calculator!B4,1+MAX(K321:K321),"")</f>
        <v/>
      </c>
      <c r="L322" s="6"/>
      <c r="M322" s="6" t="b">
        <v>1</v>
      </c>
    </row>
    <row r="323" spans="1:13" x14ac:dyDescent="0.25">
      <c r="A323" s="6" t="s">
        <v>749</v>
      </c>
      <c r="B323" s="6" t="s">
        <v>502</v>
      </c>
      <c r="C323" s="6">
        <f>IF(Calculator!B8=FALSE,65,73)</f>
        <v>65</v>
      </c>
      <c r="D323" s="6">
        <f>IF(Calculator!B8=FALSE,65,73)</f>
        <v>65</v>
      </c>
      <c r="E323" s="6">
        <f>IF(Calculator!B8=FALSE,55,66)</f>
        <v>55</v>
      </c>
      <c r="F323" s="6">
        <v>20</v>
      </c>
      <c r="G323" s="6">
        <v>0</v>
      </c>
      <c r="H323" s="6">
        <v>10</v>
      </c>
      <c r="I323" s="6">
        <v>0</v>
      </c>
      <c r="J323" s="6">
        <v>25</v>
      </c>
      <c r="K323" s="6" t="str">
        <f>IF(A323=Calculator!B4,1+MAX(K322:K322),"")</f>
        <v/>
      </c>
      <c r="L323" s="6" t="s">
        <v>542</v>
      </c>
      <c r="M323" s="6" t="b">
        <v>1</v>
      </c>
    </row>
    <row r="324" spans="1:13" x14ac:dyDescent="0.25">
      <c r="A324" s="6" t="s">
        <v>749</v>
      </c>
      <c r="B324" s="6" t="s">
        <v>528</v>
      </c>
      <c r="C324" s="6">
        <v>45</v>
      </c>
      <c r="D324" s="6">
        <v>45</v>
      </c>
      <c r="E324" s="6">
        <v>35</v>
      </c>
      <c r="F324" s="6">
        <v>5</v>
      </c>
      <c r="G324" s="6">
        <v>0</v>
      </c>
      <c r="H324" s="6">
        <v>0</v>
      </c>
      <c r="I324" s="6">
        <v>0</v>
      </c>
      <c r="J324" s="6">
        <v>10</v>
      </c>
      <c r="K324" s="6" t="str">
        <f>IF(A324=Calculator!B4,1+MAX(K323:K323),"")</f>
        <v/>
      </c>
      <c r="L324" s="6"/>
      <c r="M324" s="6"/>
    </row>
    <row r="325" spans="1:13" x14ac:dyDescent="0.25">
      <c r="A325" s="6" t="s">
        <v>749</v>
      </c>
      <c r="B325" s="6" t="s">
        <v>757</v>
      </c>
      <c r="C325" s="6">
        <v>30</v>
      </c>
      <c r="D325" s="6">
        <v>30</v>
      </c>
      <c r="E325" s="6">
        <v>25</v>
      </c>
      <c r="F325" s="6">
        <v>0</v>
      </c>
      <c r="G325" s="6">
        <v>0</v>
      </c>
      <c r="H325" s="6">
        <v>0</v>
      </c>
      <c r="I325" s="6">
        <v>0</v>
      </c>
      <c r="J325" s="6">
        <v>5</v>
      </c>
      <c r="K325" s="6" t="str">
        <f>IF(A325=Calculator!B4,1+MAX(K324:K324),"")</f>
        <v/>
      </c>
      <c r="L325" s="6"/>
      <c r="M325" s="6"/>
    </row>
    <row r="326" spans="1:13" x14ac:dyDescent="0.25">
      <c r="A326" s="6" t="s">
        <v>749</v>
      </c>
      <c r="B326" s="6" t="s">
        <v>531</v>
      </c>
      <c r="C326" s="6">
        <v>30</v>
      </c>
      <c r="D326" s="6">
        <v>30</v>
      </c>
      <c r="E326" s="6">
        <v>25</v>
      </c>
      <c r="F326" s="6">
        <v>0</v>
      </c>
      <c r="G326" s="6">
        <v>0</v>
      </c>
      <c r="H326" s="6">
        <v>0</v>
      </c>
      <c r="I326" s="6">
        <v>0</v>
      </c>
      <c r="J326" s="6">
        <v>5</v>
      </c>
      <c r="K326" s="6" t="str">
        <f>IF(A326=Calculator!B4,1+MAX(K325:K325),"")</f>
        <v/>
      </c>
      <c r="L326" s="6"/>
      <c r="M326" s="6"/>
    </row>
    <row r="327" spans="1:13" x14ac:dyDescent="0.25">
      <c r="A327" s="6" t="s">
        <v>749</v>
      </c>
      <c r="B327" s="6" t="s">
        <v>532</v>
      </c>
      <c r="C327" s="6">
        <f>IF(Calculator!B8=FALSE,45,58)</f>
        <v>45</v>
      </c>
      <c r="D327" s="6">
        <f>IF(Calculator!B8=FALSE,45,58)</f>
        <v>45</v>
      </c>
      <c r="E327" s="6">
        <f>IF(Calculator!B8=FALSE,45,58)</f>
        <v>45</v>
      </c>
      <c r="F327" s="6">
        <v>0</v>
      </c>
      <c r="G327" s="6">
        <v>0</v>
      </c>
      <c r="H327" s="6">
        <v>0</v>
      </c>
      <c r="I327" s="6">
        <v>0</v>
      </c>
      <c r="J327" s="6">
        <v>5</v>
      </c>
      <c r="K327" s="6" t="str">
        <f>IF(A327=Calculator!B4,1+MAX(K326:K326),"")</f>
        <v/>
      </c>
      <c r="L327" s="6"/>
      <c r="M327" s="6" t="b">
        <v>1</v>
      </c>
    </row>
    <row r="328" spans="1:13" x14ac:dyDescent="0.25">
      <c r="A328" s="6" t="s">
        <v>749</v>
      </c>
      <c r="B328" s="6" t="s">
        <v>759</v>
      </c>
      <c r="C328" s="6">
        <f>IF(Calculator!B8=FALSE,55,66)</f>
        <v>55</v>
      </c>
      <c r="D328" s="6">
        <f>IF(Calculator!B8=FALSE,55,66)</f>
        <v>55</v>
      </c>
      <c r="E328" s="6">
        <f>IF(Calculator!B8=FALSE,50,62)</f>
        <v>50</v>
      </c>
      <c r="F328" s="6">
        <v>5</v>
      </c>
      <c r="G328" s="6">
        <v>0</v>
      </c>
      <c r="H328" s="6">
        <v>0</v>
      </c>
      <c r="I328" s="6">
        <v>0</v>
      </c>
      <c r="J328" s="6">
        <v>10</v>
      </c>
      <c r="K328" s="6" t="str">
        <f>IF(A328=Calculator!B4,1+MAX(K327:K327),"")</f>
        <v/>
      </c>
      <c r="L328" s="6"/>
      <c r="M328" s="6" t="b">
        <v>1</v>
      </c>
    </row>
    <row r="329" spans="1:13" x14ac:dyDescent="0.25">
      <c r="A329" s="6" t="s">
        <v>749</v>
      </c>
      <c r="B329" s="6" t="s">
        <v>533</v>
      </c>
      <c r="C329" s="6">
        <f>IF(Calculator!B8=FALSE,35,51)</f>
        <v>35</v>
      </c>
      <c r="D329" s="6">
        <f>IF(Calculator!B8=FALSE,35,51)</f>
        <v>35</v>
      </c>
      <c r="E329" s="6">
        <f>IF(Calculator!B8=FALSE,25,43)</f>
        <v>25</v>
      </c>
      <c r="F329" s="6">
        <v>0</v>
      </c>
      <c r="G329" s="6">
        <v>0</v>
      </c>
      <c r="H329" s="6">
        <v>0</v>
      </c>
      <c r="I329" s="6">
        <v>0</v>
      </c>
      <c r="J329" s="6">
        <v>5</v>
      </c>
      <c r="K329" s="6" t="str">
        <f>IF(A329=Calculator!B4,1+MAX(K328:K328),"")</f>
        <v/>
      </c>
      <c r="L329" s="6"/>
      <c r="M329" s="6" t="b">
        <v>1</v>
      </c>
    </row>
    <row r="330" spans="1:13" x14ac:dyDescent="0.25">
      <c r="A330" s="6" t="s">
        <v>751</v>
      </c>
      <c r="B330" s="6" t="s">
        <v>502</v>
      </c>
      <c r="C330" s="6">
        <f>IF(Calculator!B8=FALSE,65,73)</f>
        <v>65</v>
      </c>
      <c r="D330" s="6">
        <f>IF(Calculator!B8=FALSE,65,73)</f>
        <v>65</v>
      </c>
      <c r="E330" s="6">
        <f>IF(Calculator!B8=FALSE,50,62)</f>
        <v>50</v>
      </c>
      <c r="F330" s="6">
        <v>10</v>
      </c>
      <c r="G330" s="6">
        <v>0</v>
      </c>
      <c r="H330" s="6">
        <v>25</v>
      </c>
      <c r="I330" s="6">
        <v>20</v>
      </c>
      <c r="J330" s="6">
        <v>10</v>
      </c>
      <c r="K330" s="6" t="str">
        <f>IF(A330=Calculator!B4,1+MAX(K329:K329),"")</f>
        <v/>
      </c>
      <c r="L330" s="6" t="s">
        <v>542</v>
      </c>
      <c r="M330" s="6" t="b">
        <v>1</v>
      </c>
    </row>
    <row r="331" spans="1:13" x14ac:dyDescent="0.25">
      <c r="A331" s="6" t="s">
        <v>751</v>
      </c>
      <c r="B331" s="6" t="s">
        <v>528</v>
      </c>
      <c r="C331" s="6">
        <f>IF(Calculator!B8=FALSE,60,70)</f>
        <v>60</v>
      </c>
      <c r="D331" s="6">
        <f>IF(Calculator!B8=FALSE,60,70)</f>
        <v>60</v>
      </c>
      <c r="E331" s="6">
        <f>IF(Calculator!B8=FALSE,45,58)</f>
        <v>45</v>
      </c>
      <c r="F331" s="6">
        <v>10</v>
      </c>
      <c r="G331" s="6">
        <v>0</v>
      </c>
      <c r="H331" s="6">
        <v>25</v>
      </c>
      <c r="I331" s="6">
        <v>20</v>
      </c>
      <c r="J331" s="6">
        <v>10</v>
      </c>
      <c r="K331" s="6" t="str">
        <f>IF(A331=Calculator!B4,1+MAX(K330:K330),"")</f>
        <v/>
      </c>
      <c r="L331" s="6"/>
      <c r="M331" s="6" t="b">
        <v>1</v>
      </c>
    </row>
    <row r="332" spans="1:13" x14ac:dyDescent="0.25">
      <c r="A332" s="6" t="s">
        <v>751</v>
      </c>
      <c r="B332" s="6" t="s">
        <v>567</v>
      </c>
      <c r="C332" s="6">
        <f>IF(Calculator!B8=FALSE,35,51)</f>
        <v>35</v>
      </c>
      <c r="D332" s="6">
        <f>IF(Calculator!B8=FALSE,35,51)</f>
        <v>35</v>
      </c>
      <c r="E332" s="6">
        <f>IF(Calculator!B8=FALSE,25,43)</f>
        <v>25</v>
      </c>
      <c r="F332" s="6">
        <v>0</v>
      </c>
      <c r="G332" s="6">
        <v>0</v>
      </c>
      <c r="H332" s="6">
        <v>10</v>
      </c>
      <c r="I332" s="6">
        <v>5</v>
      </c>
      <c r="J332" s="6">
        <v>0</v>
      </c>
      <c r="K332" s="6" t="str">
        <f>IF(A332=Calculator!B4,1+MAX(K331:K331),"")</f>
        <v/>
      </c>
      <c r="L332" s="6"/>
      <c r="M332" s="6" t="b">
        <v>1</v>
      </c>
    </row>
    <row r="333" spans="1:13" x14ac:dyDescent="0.25">
      <c r="A333" s="6" t="s">
        <v>751</v>
      </c>
      <c r="B333" s="6" t="s">
        <v>530</v>
      </c>
      <c r="C333" s="6">
        <f>IF(Calculator!B8=FALSE,35,51)</f>
        <v>35</v>
      </c>
      <c r="D333" s="6">
        <f>IF(Calculator!B8=FALSE,35,51)</f>
        <v>35</v>
      </c>
      <c r="E333" s="6">
        <f>IF(Calculator!B8=FALSE,35,51)</f>
        <v>35</v>
      </c>
      <c r="F333" s="6">
        <v>0</v>
      </c>
      <c r="G333" s="6">
        <v>0</v>
      </c>
      <c r="H333" s="6">
        <v>10</v>
      </c>
      <c r="I333" s="6">
        <v>5</v>
      </c>
      <c r="J333" s="6">
        <v>0</v>
      </c>
      <c r="K333" s="6" t="str">
        <f>IF(A333=Calculator!B4,1+MAX(K332:K332),"")</f>
        <v/>
      </c>
      <c r="L333" s="6"/>
      <c r="M333" s="6" t="b">
        <v>1</v>
      </c>
    </row>
    <row r="334" spans="1:13" x14ac:dyDescent="0.25">
      <c r="A334" s="6" t="s">
        <v>751</v>
      </c>
      <c r="B334" s="6" t="s">
        <v>531</v>
      </c>
      <c r="C334" s="6">
        <f>IF(Calculator!B8=FALSE,55,66)</f>
        <v>55</v>
      </c>
      <c r="D334" s="6">
        <f>IF(Calculator!B8=FALSE,55,66)</f>
        <v>55</v>
      </c>
      <c r="E334" s="6">
        <f>IF(Calculator!B8=FALSE,45,58)</f>
        <v>45</v>
      </c>
      <c r="F334" s="6">
        <v>5</v>
      </c>
      <c r="G334" s="6">
        <v>0</v>
      </c>
      <c r="H334" s="6">
        <v>20</v>
      </c>
      <c r="I334" s="6">
        <v>15</v>
      </c>
      <c r="J334" s="6">
        <v>5</v>
      </c>
      <c r="K334" s="6" t="str">
        <f>IF(A334=Calculator!B4,1+MAX(K333:K333),"")</f>
        <v/>
      </c>
      <c r="L334" s="6"/>
      <c r="M334" s="6" t="b">
        <v>1</v>
      </c>
    </row>
    <row r="335" spans="1:13" x14ac:dyDescent="0.25">
      <c r="A335" s="6" t="s">
        <v>751</v>
      </c>
      <c r="B335" s="6" t="s">
        <v>532</v>
      </c>
      <c r="C335" s="6">
        <v>30</v>
      </c>
      <c r="D335" s="6">
        <v>30</v>
      </c>
      <c r="E335" s="6">
        <v>15</v>
      </c>
      <c r="F335" s="6">
        <v>0</v>
      </c>
      <c r="G335" s="6">
        <v>0</v>
      </c>
      <c r="H335" s="6">
        <v>10</v>
      </c>
      <c r="I335" s="6">
        <v>5</v>
      </c>
      <c r="J335" s="6">
        <v>0</v>
      </c>
      <c r="K335" s="6" t="str">
        <f>IF(A335=Calculator!B4,1+MAX(K334:K334),"")</f>
        <v/>
      </c>
      <c r="L335" s="6"/>
      <c r="M335" s="6"/>
    </row>
    <row r="336" spans="1:13" x14ac:dyDescent="0.25">
      <c r="A336" s="6" t="s">
        <v>751</v>
      </c>
      <c r="B336" s="6" t="s">
        <v>533</v>
      </c>
      <c r="C336" s="6">
        <f>IF(Calculator!B8=FALSE,45,58)</f>
        <v>45</v>
      </c>
      <c r="D336" s="6">
        <f>IF(Calculator!B8=FALSE,45,58)</f>
        <v>45</v>
      </c>
      <c r="E336" s="6">
        <f>IF(Calculator!B8=FALSE,35,51)</f>
        <v>35</v>
      </c>
      <c r="F336" s="6">
        <v>5</v>
      </c>
      <c r="G336" s="6">
        <v>0</v>
      </c>
      <c r="H336" s="6">
        <v>15</v>
      </c>
      <c r="I336" s="6">
        <v>10</v>
      </c>
      <c r="J336" s="6">
        <v>5</v>
      </c>
      <c r="K336" s="6" t="str">
        <f>IF(A336=Calculator!B4,1+MAX(K335:K335),"")</f>
        <v/>
      </c>
      <c r="L336" s="6"/>
      <c r="M336" s="6" t="b">
        <v>1</v>
      </c>
    </row>
    <row r="337" spans="1:13" x14ac:dyDescent="0.25">
      <c r="A337" s="6" t="s">
        <v>752</v>
      </c>
      <c r="B337" s="6" t="s">
        <v>502</v>
      </c>
      <c r="C337" s="6">
        <f>IF(Calculator!B8=FALSE,55,66)</f>
        <v>55</v>
      </c>
      <c r="D337" s="6">
        <f>IF(Calculator!B8=FALSE,60,70)</f>
        <v>60</v>
      </c>
      <c r="E337" s="6">
        <f>IF(Calculator!B8=FALSE,45,58)</f>
        <v>45</v>
      </c>
      <c r="F337" s="6">
        <v>15</v>
      </c>
      <c r="G337" s="6">
        <v>25</v>
      </c>
      <c r="H337" s="6">
        <v>10</v>
      </c>
      <c r="I337" s="6">
        <v>10</v>
      </c>
      <c r="J337" s="6">
        <v>0</v>
      </c>
      <c r="K337" s="6" t="str">
        <f>IF(A337=Calculator!B4,1+MAX(K336:K336),"")</f>
        <v/>
      </c>
      <c r="L337" s="6"/>
      <c r="M337" s="6" t="b">
        <v>1</v>
      </c>
    </row>
    <row r="338" spans="1:13" x14ac:dyDescent="0.25">
      <c r="A338" s="6" t="s">
        <v>752</v>
      </c>
      <c r="B338" s="6" t="s">
        <v>528</v>
      </c>
      <c r="C338" s="6">
        <f>IF(Calculator!B8=FALSE,35,51)</f>
        <v>35</v>
      </c>
      <c r="D338" s="6">
        <f>IF(Calculator!B8=FALSE,40,55)</f>
        <v>40</v>
      </c>
      <c r="E338" s="6">
        <f>IF(Calculator!B8=FALSE,30,47)</f>
        <v>30</v>
      </c>
      <c r="F338" s="6">
        <v>10</v>
      </c>
      <c r="G338" s="6">
        <v>15</v>
      </c>
      <c r="H338" s="6">
        <v>5</v>
      </c>
      <c r="I338" s="6">
        <v>5</v>
      </c>
      <c r="J338" s="6">
        <v>0</v>
      </c>
      <c r="K338" s="6" t="str">
        <f>IF(A338=Calculator!B4,1+MAX(K337:K337),"")</f>
        <v/>
      </c>
      <c r="L338" s="6"/>
      <c r="M338" s="6" t="b">
        <v>1</v>
      </c>
    </row>
    <row r="339" spans="1:13" x14ac:dyDescent="0.25">
      <c r="A339" s="6" t="s">
        <v>752</v>
      </c>
      <c r="B339" s="6" t="s">
        <v>560</v>
      </c>
      <c r="C339" s="6">
        <f>IF(Calculator!B8=FALSE,70,77)</f>
        <v>70</v>
      </c>
      <c r="D339" s="6">
        <f>IF(Calculator!B8=FALSE,75,81)</f>
        <v>75</v>
      </c>
      <c r="E339" s="6">
        <f>IF(Calculator!B8=FALSE,50,62)</f>
        <v>50</v>
      </c>
      <c r="F339" s="6">
        <v>15</v>
      </c>
      <c r="G339" s="6">
        <v>30</v>
      </c>
      <c r="H339" s="6">
        <v>10</v>
      </c>
      <c r="I339" s="6">
        <v>10</v>
      </c>
      <c r="J339" s="6">
        <v>0</v>
      </c>
      <c r="K339" s="6" t="str">
        <f>IF(A339=Calculator!B4,1+MAX(K338:K338),"")</f>
        <v/>
      </c>
      <c r="L339" s="6" t="s">
        <v>542</v>
      </c>
      <c r="M339" s="6" t="b">
        <v>1</v>
      </c>
    </row>
    <row r="340" spans="1:13" x14ac:dyDescent="0.25">
      <c r="A340" s="6" t="s">
        <v>752</v>
      </c>
      <c r="B340" s="6" t="s">
        <v>529</v>
      </c>
      <c r="C340" s="6">
        <v>46</v>
      </c>
      <c r="D340" s="6">
        <v>46</v>
      </c>
      <c r="E340" s="6">
        <v>35</v>
      </c>
      <c r="F340" s="6">
        <v>10</v>
      </c>
      <c r="G340" s="6">
        <v>15</v>
      </c>
      <c r="H340" s="6">
        <v>5</v>
      </c>
      <c r="I340" s="6">
        <v>5</v>
      </c>
      <c r="J340" s="6">
        <v>0</v>
      </c>
      <c r="K340" s="6" t="str">
        <f>IF(A340=Calculator!B4,1+MAX(K339:K339),"")</f>
        <v/>
      </c>
      <c r="L340" s="6"/>
      <c r="M340" s="6"/>
    </row>
    <row r="341" spans="1:13" x14ac:dyDescent="0.25">
      <c r="A341" s="6" t="s">
        <v>752</v>
      </c>
      <c r="B341" s="6" t="s">
        <v>505</v>
      </c>
      <c r="C341" s="6">
        <v>30</v>
      </c>
      <c r="D341" s="6">
        <v>30</v>
      </c>
      <c r="E341" s="6">
        <v>25</v>
      </c>
      <c r="F341" s="6">
        <v>10</v>
      </c>
      <c r="G341" s="6">
        <v>15</v>
      </c>
      <c r="H341" s="6">
        <v>5</v>
      </c>
      <c r="I341" s="6">
        <v>5</v>
      </c>
      <c r="J341" s="6">
        <v>0</v>
      </c>
      <c r="K341" s="6" t="str">
        <f>IF(A341=Calculator!B4,1+MAX(K340:K340),"")</f>
        <v/>
      </c>
      <c r="L341" s="6"/>
      <c r="M341" s="6"/>
    </row>
    <row r="342" spans="1:13" x14ac:dyDescent="0.25">
      <c r="A342" s="6" t="s">
        <v>752</v>
      </c>
      <c r="B342" s="6" t="s">
        <v>548</v>
      </c>
      <c r="C342" s="6">
        <f>IF(Calculator!B8=FALSE,30,47)</f>
        <v>30</v>
      </c>
      <c r="D342" s="6">
        <f>IF(Calculator!B8=FALSE,30,47)</f>
        <v>30</v>
      </c>
      <c r="E342" s="6">
        <f>IF(Calculator!B8=FALSE,40,55)</f>
        <v>40</v>
      </c>
      <c r="F342" s="6">
        <v>10</v>
      </c>
      <c r="G342" s="6">
        <v>15</v>
      </c>
      <c r="H342" s="6">
        <v>5</v>
      </c>
      <c r="I342" s="6">
        <v>5</v>
      </c>
      <c r="J342" s="6">
        <v>0</v>
      </c>
      <c r="K342" s="6" t="str">
        <f>IF(A342=Calculator!B4,1+MAX(K341:K341),"")</f>
        <v/>
      </c>
      <c r="L342" s="6"/>
      <c r="M342" s="6" t="b">
        <v>1</v>
      </c>
    </row>
    <row r="343" spans="1:13" x14ac:dyDescent="0.25">
      <c r="A343" s="6" t="s">
        <v>752</v>
      </c>
      <c r="B343" s="6" t="s">
        <v>533</v>
      </c>
      <c r="C343" s="6">
        <f>IF(Calculator!B8=FALSE,25,43)</f>
        <v>25</v>
      </c>
      <c r="D343" s="6">
        <f>IF(Calculator!B8=FALSE,25,43)</f>
        <v>25</v>
      </c>
      <c r="E343" s="6">
        <f>IF(Calculator!B8=FALSE,15,36)</f>
        <v>15</v>
      </c>
      <c r="F343" s="6">
        <v>10</v>
      </c>
      <c r="G343" s="6">
        <v>15</v>
      </c>
      <c r="H343" s="6">
        <v>5</v>
      </c>
      <c r="I343" s="6">
        <v>5</v>
      </c>
      <c r="J343" s="6">
        <v>0</v>
      </c>
      <c r="K343" s="6" t="str">
        <f>IF(A343=Calculator!B4,1+MAX(K342:K342),"")</f>
        <v/>
      </c>
      <c r="L343" s="6"/>
      <c r="M343" s="6" t="b">
        <v>1</v>
      </c>
    </row>
    <row r="344" spans="1:13" x14ac:dyDescent="0.25">
      <c r="A344" s="6" t="s">
        <v>753</v>
      </c>
      <c r="B344" s="6" t="s">
        <v>502</v>
      </c>
      <c r="C344" s="6">
        <f>IF(Calculator!B8=FALSE,60,70)</f>
        <v>60</v>
      </c>
      <c r="D344" s="6">
        <f>IF(Calculator!B8=FALSE,65,73)</f>
        <v>65</v>
      </c>
      <c r="E344" s="6">
        <f>IF(Calculator!B8=FALSE,45,58)</f>
        <v>45</v>
      </c>
      <c r="F344" s="6">
        <v>10</v>
      </c>
      <c r="G344" s="6">
        <v>0</v>
      </c>
      <c r="H344" s="6">
        <v>15</v>
      </c>
      <c r="I344" s="6">
        <v>30</v>
      </c>
      <c r="J344" s="6">
        <v>10</v>
      </c>
      <c r="K344" s="6" t="str">
        <f>IF(A344=Calculator!B4,1+MAX(K343:K343),"")</f>
        <v/>
      </c>
      <c r="L344" s="6" t="s">
        <v>542</v>
      </c>
      <c r="M344" s="6" t="b">
        <v>1</v>
      </c>
    </row>
    <row r="345" spans="1:13" x14ac:dyDescent="0.25">
      <c r="A345" s="6" t="s">
        <v>753</v>
      </c>
      <c r="B345" s="6" t="s">
        <v>529</v>
      </c>
      <c r="C345" s="6">
        <v>30</v>
      </c>
      <c r="D345" s="6">
        <v>30</v>
      </c>
      <c r="E345" s="6">
        <v>25</v>
      </c>
      <c r="F345" s="6">
        <v>5</v>
      </c>
      <c r="G345" s="6">
        <v>0</v>
      </c>
      <c r="H345" s="6">
        <v>5</v>
      </c>
      <c r="I345" s="6">
        <v>15</v>
      </c>
      <c r="J345" s="6">
        <v>5</v>
      </c>
      <c r="K345" s="6" t="str">
        <f>IF(A345=Calculator!B4,1+MAX(K344:K344),"")</f>
        <v/>
      </c>
      <c r="L345" s="6"/>
      <c r="M345" s="6"/>
    </row>
    <row r="346" spans="1:13" x14ac:dyDescent="0.25">
      <c r="A346" s="6" t="s">
        <v>753</v>
      </c>
      <c r="B346" s="6" t="s">
        <v>505</v>
      </c>
      <c r="C346" s="6">
        <f>IF(Calculator!B8=FALSE,30,47)</f>
        <v>30</v>
      </c>
      <c r="D346" s="6">
        <f>IF(Calculator!B8=FALSE,30,47)</f>
        <v>30</v>
      </c>
      <c r="E346" s="6">
        <f>IF(Calculator!B8=FALSE,25,43)</f>
        <v>25</v>
      </c>
      <c r="F346" s="6">
        <v>5</v>
      </c>
      <c r="G346" s="6">
        <v>0</v>
      </c>
      <c r="H346" s="6">
        <v>10</v>
      </c>
      <c r="I346" s="6">
        <v>20</v>
      </c>
      <c r="J346" s="6">
        <v>5</v>
      </c>
      <c r="K346" s="6" t="str">
        <f>IF(A346=Calculator!B4,1+MAX(K345:K345),"")</f>
        <v/>
      </c>
      <c r="L346" s="6"/>
      <c r="M346" s="6" t="b">
        <v>1</v>
      </c>
    </row>
    <row r="347" spans="1:13" x14ac:dyDescent="0.25">
      <c r="A347" s="6" t="s">
        <v>753</v>
      </c>
      <c r="B347" s="6" t="s">
        <v>548</v>
      </c>
      <c r="C347" s="6">
        <f>IF(Calculator!B8=FALSE,34,50)</f>
        <v>34</v>
      </c>
      <c r="D347" s="6">
        <f>IF(Calculator!B8=FALSE,34,50)</f>
        <v>34</v>
      </c>
      <c r="E347" s="6">
        <f>IF(Calculator!B8=FALSE,40,55)</f>
        <v>40</v>
      </c>
      <c r="F347" s="6">
        <v>5</v>
      </c>
      <c r="G347" s="6">
        <v>0</v>
      </c>
      <c r="H347" s="6">
        <v>10</v>
      </c>
      <c r="I347" s="6">
        <v>25</v>
      </c>
      <c r="J347" s="6">
        <v>5</v>
      </c>
      <c r="K347" s="6" t="str">
        <f>IF(A347=Calculator!B4,1+MAX(K346:K346),"")</f>
        <v/>
      </c>
      <c r="L347" s="6"/>
      <c r="M347" s="6" t="b">
        <v>1</v>
      </c>
    </row>
    <row r="348" spans="1:13" x14ac:dyDescent="0.25">
      <c r="A348" s="6" t="s">
        <v>753</v>
      </c>
      <c r="B348" s="6" t="s">
        <v>533</v>
      </c>
      <c r="C348" s="6">
        <f>IF(Calculator!B8=FALSE,40,55)</f>
        <v>40</v>
      </c>
      <c r="D348" s="6">
        <f>IF(Calculator!B8=FALSE,35,51)</f>
        <v>35</v>
      </c>
      <c r="E348" s="6">
        <f>IF(Calculator!B8=FALSE,30,47)</f>
        <v>30</v>
      </c>
      <c r="F348" s="6">
        <v>5</v>
      </c>
      <c r="G348" s="6">
        <v>0</v>
      </c>
      <c r="H348" s="6">
        <v>10</v>
      </c>
      <c r="I348" s="6">
        <v>25</v>
      </c>
      <c r="J348" s="6">
        <v>5</v>
      </c>
      <c r="K348" s="6" t="str">
        <f>IF(A348=Calculator!B4,1+MAX(K347:K347),"")</f>
        <v/>
      </c>
      <c r="L348" s="6"/>
      <c r="M348" s="6" t="b">
        <v>1</v>
      </c>
    </row>
    <row r="349" spans="1:13" x14ac:dyDescent="0.25">
      <c r="A349" s="6" t="s">
        <v>750</v>
      </c>
      <c r="B349" s="6" t="s">
        <v>502</v>
      </c>
      <c r="C349" s="6">
        <f>IF(Calculator!B8=FALSE,65,73)</f>
        <v>65</v>
      </c>
      <c r="D349" s="6">
        <f>IF(Calculator!B8=FALSE,70,77)</f>
        <v>70</v>
      </c>
      <c r="E349" s="6">
        <f>IF(Calculator!B8=FALSE,55,66)</f>
        <v>55</v>
      </c>
      <c r="F349" s="6">
        <v>20</v>
      </c>
      <c r="G349" s="6">
        <v>10</v>
      </c>
      <c r="H349" s="6">
        <v>15</v>
      </c>
      <c r="I349" s="6">
        <v>0</v>
      </c>
      <c r="J349" s="6">
        <v>15</v>
      </c>
      <c r="K349" s="6" t="str">
        <f>IF(A349=Calculator!B4,1+MAX(K348:K348),"")</f>
        <v/>
      </c>
      <c r="L349" s="6" t="s">
        <v>542</v>
      </c>
      <c r="M349" s="6" t="b">
        <v>1</v>
      </c>
    </row>
    <row r="350" spans="1:13" x14ac:dyDescent="0.25">
      <c r="A350" s="6" t="s">
        <v>750</v>
      </c>
      <c r="B350" s="6" t="s">
        <v>530</v>
      </c>
      <c r="C350" s="6">
        <v>30</v>
      </c>
      <c r="D350" s="6">
        <v>30</v>
      </c>
      <c r="E350" s="6">
        <v>25</v>
      </c>
      <c r="F350" s="6">
        <v>5</v>
      </c>
      <c r="G350" s="6">
        <v>5</v>
      </c>
      <c r="H350" s="6">
        <v>5</v>
      </c>
      <c r="I350" s="6">
        <v>0</v>
      </c>
      <c r="J350" s="6">
        <v>5</v>
      </c>
      <c r="K350" s="6" t="str">
        <f>IF(A350=Calculator!B4,1+MAX(K349:K349),"")</f>
        <v/>
      </c>
      <c r="L350" s="6"/>
      <c r="M350" s="6"/>
    </row>
    <row r="351" spans="1:13" x14ac:dyDescent="0.25">
      <c r="A351" s="6" t="s">
        <v>750</v>
      </c>
      <c r="B351" s="6" t="s">
        <v>567</v>
      </c>
      <c r="C351" s="6">
        <v>38</v>
      </c>
      <c r="D351" s="6">
        <v>38</v>
      </c>
      <c r="E351" s="6">
        <v>25</v>
      </c>
      <c r="F351" s="6">
        <v>10</v>
      </c>
      <c r="G351" s="6">
        <v>0</v>
      </c>
      <c r="H351" s="6">
        <v>5</v>
      </c>
      <c r="I351" s="6">
        <v>0</v>
      </c>
      <c r="J351" s="6">
        <v>5</v>
      </c>
      <c r="K351" s="6" t="str">
        <f>IF(A351=Calculator!B4,1+MAX(K350:K350),"")</f>
        <v/>
      </c>
      <c r="L351" s="6"/>
      <c r="M351" s="6"/>
    </row>
    <row r="352" spans="1:13" x14ac:dyDescent="0.25">
      <c r="A352" s="6" t="s">
        <v>750</v>
      </c>
      <c r="B352" s="6" t="s">
        <v>760</v>
      </c>
      <c r="C352" s="6">
        <f>IF(Calculator!B8=FALSE,21,40)</f>
        <v>21</v>
      </c>
      <c r="D352" s="6">
        <f>IF(Calculator!B8=FALSE,45,58)</f>
        <v>45</v>
      </c>
      <c r="E352" s="6">
        <f>IF(Calculator!B8=FALSE,25,43)</f>
        <v>25</v>
      </c>
      <c r="F352" s="6">
        <v>35</v>
      </c>
      <c r="G352" s="6">
        <v>5</v>
      </c>
      <c r="H352" s="6">
        <v>25</v>
      </c>
      <c r="I352" s="6">
        <v>0</v>
      </c>
      <c r="J352" s="6">
        <v>10</v>
      </c>
      <c r="K352" s="6" t="str">
        <f>IF(A352=Calculator!B4,1+MAX(K351:K351),"")</f>
        <v/>
      </c>
      <c r="L352" s="6"/>
      <c r="M352" s="6" t="b">
        <v>1</v>
      </c>
    </row>
    <row r="353" spans="1:13" x14ac:dyDescent="0.25">
      <c r="A353" s="6" t="s">
        <v>750</v>
      </c>
      <c r="B353" s="6" t="s">
        <v>761</v>
      </c>
      <c r="C353" s="6">
        <f>IF(Calculator!B8=FALSE,25,43)</f>
        <v>25</v>
      </c>
      <c r="D353" s="6">
        <f>IF(Calculator!B8=FALSE,45,58)</f>
        <v>45</v>
      </c>
      <c r="E353" s="6">
        <f>IF(Calculator!B8=FALSE,30,47)</f>
        <v>30</v>
      </c>
      <c r="F353" s="6">
        <v>20</v>
      </c>
      <c r="G353" s="6">
        <v>5</v>
      </c>
      <c r="H353" s="6">
        <v>15</v>
      </c>
      <c r="I353" s="6">
        <v>0</v>
      </c>
      <c r="J353" s="6">
        <v>10</v>
      </c>
      <c r="K353" s="6" t="str">
        <f>IF(A353=Calculator!B4,1+MAX(K352:K352),"")</f>
        <v/>
      </c>
      <c r="L353" s="6"/>
      <c r="M353" s="6" t="b">
        <v>1</v>
      </c>
    </row>
    <row r="354" spans="1:13" x14ac:dyDescent="0.25">
      <c r="A354" s="6" t="s">
        <v>750</v>
      </c>
      <c r="B354" s="6" t="s">
        <v>548</v>
      </c>
      <c r="C354" s="6">
        <f>IF(Calculator!B8=FALSE,30,47)</f>
        <v>30</v>
      </c>
      <c r="D354" s="6">
        <f>IF(Calculator!B8=FALSE,45,58)</f>
        <v>45</v>
      </c>
      <c r="E354" s="6">
        <f>IF(Calculator!B8=FALSE,20,40)</f>
        <v>20</v>
      </c>
      <c r="F354" s="6">
        <v>10</v>
      </c>
      <c r="G354" s="6">
        <v>0</v>
      </c>
      <c r="H354" s="6">
        <v>5</v>
      </c>
      <c r="I354" s="6">
        <v>0</v>
      </c>
      <c r="J354" s="6">
        <v>5</v>
      </c>
      <c r="K354" s="6" t="str">
        <f>IF(A354=Calculator!B4,1+MAX(K353:K353),"")</f>
        <v/>
      </c>
      <c r="L354" s="6"/>
      <c r="M354" s="6" t="b">
        <v>1</v>
      </c>
    </row>
    <row r="355" spans="1:13" x14ac:dyDescent="0.25">
      <c r="A355" s="6" t="s">
        <v>750</v>
      </c>
      <c r="B355" s="6" t="s">
        <v>531</v>
      </c>
      <c r="C355" s="6">
        <f>IF(Calculator!B8=FALSE,40,55)</f>
        <v>40</v>
      </c>
      <c r="D355" s="6">
        <f>IF(Calculator!B8=FALSE,45,58)</f>
        <v>45</v>
      </c>
      <c r="E355" s="6">
        <f>IF(Calculator!B8=FALSE,35,51)</f>
        <v>35</v>
      </c>
      <c r="F355" s="6">
        <v>15</v>
      </c>
      <c r="G355" s="6">
        <v>0</v>
      </c>
      <c r="H355" s="6">
        <v>10</v>
      </c>
      <c r="I355" s="6">
        <v>0</v>
      </c>
      <c r="J355" s="6">
        <v>5</v>
      </c>
      <c r="K355" s="6" t="str">
        <f>IF(A355=Calculator!B4,1+MAX(K354:K354),"")</f>
        <v/>
      </c>
      <c r="L355" s="6"/>
      <c r="M355" s="6" t="b">
        <v>1</v>
      </c>
    </row>
    <row r="356" spans="1:13" x14ac:dyDescent="0.25">
      <c r="A356" s="6" t="s">
        <v>750</v>
      </c>
      <c r="B356" s="6" t="s">
        <v>532</v>
      </c>
      <c r="C356" s="6">
        <v>25</v>
      </c>
      <c r="D356" s="6">
        <v>24</v>
      </c>
      <c r="E356" s="6">
        <v>25</v>
      </c>
      <c r="F356" s="6">
        <v>5</v>
      </c>
      <c r="G356" s="6">
        <v>5</v>
      </c>
      <c r="H356" s="6">
        <v>5</v>
      </c>
      <c r="I356" s="6">
        <v>0</v>
      </c>
      <c r="J356" s="6">
        <v>5</v>
      </c>
      <c r="K356" s="6" t="str">
        <f>IF(A356=Calculator!B4,1+MAX(K355:K355),"")</f>
        <v/>
      </c>
      <c r="L356" s="6"/>
      <c r="M356" s="6"/>
    </row>
    <row r="357" spans="1:13" x14ac:dyDescent="0.25">
      <c r="A357" s="6" t="s">
        <v>750</v>
      </c>
      <c r="B357" s="6" t="s">
        <v>533</v>
      </c>
      <c r="C357" s="6">
        <f>IF(Calculator!B8=FALSE,45,58)</f>
        <v>45</v>
      </c>
      <c r="D357" s="6">
        <f>IF(Calculator!B8=FALSE,23,42)</f>
        <v>23</v>
      </c>
      <c r="E357" s="6">
        <f>IF(Calculator!B8=FALSE,45,58)</f>
        <v>45</v>
      </c>
      <c r="F357" s="6">
        <v>10</v>
      </c>
      <c r="G357" s="6">
        <v>0</v>
      </c>
      <c r="H357" s="6">
        <v>5</v>
      </c>
      <c r="I357" s="6">
        <v>0</v>
      </c>
      <c r="J357" s="6">
        <v>5</v>
      </c>
      <c r="K357" s="6" t="str">
        <f>IF(A357=Calculator!B4,1+MAX(K356:K356),"")</f>
        <v/>
      </c>
      <c r="L357" s="6"/>
      <c r="M357" s="6" t="b">
        <v>1</v>
      </c>
    </row>
    <row r="358" spans="1:13" x14ac:dyDescent="0.25">
      <c r="A358" s="6" t="s">
        <v>750</v>
      </c>
      <c r="B358" s="6" t="s">
        <v>568</v>
      </c>
      <c r="C358" s="6">
        <f>IF(Calculator!B8=FALSE,60,70)</f>
        <v>60</v>
      </c>
      <c r="D358" s="6">
        <f>IF(Calculator!B8=FALSE,40,55)</f>
        <v>40</v>
      </c>
      <c r="E358" s="6">
        <f>IF(Calculator!B8=FALSE,40,55)</f>
        <v>40</v>
      </c>
      <c r="F358" s="6">
        <v>15</v>
      </c>
      <c r="G358" s="6">
        <v>0</v>
      </c>
      <c r="H358" s="6">
        <v>10</v>
      </c>
      <c r="I358" s="6">
        <v>0</v>
      </c>
      <c r="J358" s="6">
        <v>5</v>
      </c>
      <c r="K358" s="6" t="str">
        <f>IF(A358=Calculator!B4,1+MAX(K357:K357),"")</f>
        <v/>
      </c>
      <c r="L358" s="6"/>
      <c r="M358" s="6" t="b">
        <v>1</v>
      </c>
    </row>
    <row r="359" spans="1:13" x14ac:dyDescent="0.25">
      <c r="A359" s="6" t="s">
        <v>769</v>
      </c>
      <c r="B359" s="6" t="s">
        <v>502</v>
      </c>
      <c r="C359" s="6">
        <f>IF(Calculator!B8=FALSE,65,73)</f>
        <v>65</v>
      </c>
      <c r="D359" s="6">
        <f>IF(Calculator!B8=FALSE,70,77)</f>
        <v>70</v>
      </c>
      <c r="E359" s="6">
        <f>IF(Calculator!B8=FALSE,40,55)</f>
        <v>40</v>
      </c>
      <c r="F359" s="6">
        <v>20</v>
      </c>
      <c r="G359" s="6">
        <v>0</v>
      </c>
      <c r="H359" s="6">
        <v>30</v>
      </c>
      <c r="I359" s="6">
        <v>10</v>
      </c>
      <c r="J359" s="6">
        <v>10</v>
      </c>
      <c r="K359" s="6" t="str">
        <f>IF(A359=Calculator!B4,1+MAX(K358:K358),"")</f>
        <v/>
      </c>
      <c r="L359" s="6" t="s">
        <v>542</v>
      </c>
      <c r="M359" s="6" t="b">
        <v>1</v>
      </c>
    </row>
    <row r="360" spans="1:13" x14ac:dyDescent="0.25">
      <c r="A360" s="6" t="s">
        <v>769</v>
      </c>
      <c r="B360" s="6" t="s">
        <v>567</v>
      </c>
      <c r="C360" s="6">
        <v>40</v>
      </c>
      <c r="D360" s="6">
        <v>40</v>
      </c>
      <c r="E360" s="6">
        <v>30</v>
      </c>
      <c r="F360" s="6">
        <v>10</v>
      </c>
      <c r="G360" s="6">
        <v>0</v>
      </c>
      <c r="H360" s="6">
        <v>20</v>
      </c>
      <c r="I360" s="6">
        <v>5</v>
      </c>
      <c r="J360" s="6">
        <v>5</v>
      </c>
      <c r="K360" s="6" t="str">
        <f>IF(A360=Calculator!B4,1+MAX(K359:K359),"")</f>
        <v/>
      </c>
      <c r="L360" s="6"/>
      <c r="M360" s="6"/>
    </row>
    <row r="361" spans="1:13" x14ac:dyDescent="0.25">
      <c r="A361" s="6" t="s">
        <v>769</v>
      </c>
      <c r="B361" s="6" t="s">
        <v>530</v>
      </c>
      <c r="C361" s="6">
        <v>30</v>
      </c>
      <c r="D361" s="6">
        <v>30</v>
      </c>
      <c r="E361" s="6">
        <v>35</v>
      </c>
      <c r="F361" s="6">
        <v>10</v>
      </c>
      <c r="G361" s="6">
        <v>0</v>
      </c>
      <c r="H361" s="6">
        <v>15</v>
      </c>
      <c r="I361" s="6">
        <v>5</v>
      </c>
      <c r="J361" s="6">
        <v>5</v>
      </c>
      <c r="K361" s="6" t="str">
        <f>IF(A361=Calculator!B4,1+MAX(K360:K360),"")</f>
        <v/>
      </c>
      <c r="L361" s="6"/>
      <c r="M361" s="6"/>
    </row>
    <row r="362" spans="1:13" x14ac:dyDescent="0.25">
      <c r="A362" s="6" t="s">
        <v>769</v>
      </c>
      <c r="B362" s="6" t="s">
        <v>531</v>
      </c>
      <c r="C362" s="6">
        <f>IF(Calculator!B8=FALSE,21,40)</f>
        <v>21</v>
      </c>
      <c r="D362" s="6">
        <f>IF(Calculator!B8=FALSE,21,40)</f>
        <v>21</v>
      </c>
      <c r="E362" s="6">
        <f>IF(Calculator!B8=FALSE,15,36)</f>
        <v>15</v>
      </c>
      <c r="F362" s="6">
        <v>10</v>
      </c>
      <c r="G362" s="6">
        <v>0</v>
      </c>
      <c r="H362" s="6">
        <v>15</v>
      </c>
      <c r="I362" s="6">
        <v>5</v>
      </c>
      <c r="J362" s="6">
        <v>5</v>
      </c>
      <c r="K362" s="6" t="str">
        <f>IF(A362=Calculator!B4,1+MAX(K361:K361),"")</f>
        <v/>
      </c>
      <c r="L362" s="6"/>
      <c r="M362" s="6" t="b">
        <v>1</v>
      </c>
    </row>
    <row r="363" spans="1:13" x14ac:dyDescent="0.25">
      <c r="A363" s="6" t="s">
        <v>769</v>
      </c>
      <c r="B363" s="6" t="s">
        <v>774</v>
      </c>
      <c r="C363" s="6">
        <f>IF(Calculator!B8=FALSE,43,57)</f>
        <v>43</v>
      </c>
      <c r="D363" s="6">
        <f>IF(Calculator!B8=FALSE,23,42)</f>
        <v>23</v>
      </c>
      <c r="E363" s="6">
        <f>IF(Calculator!B8=FALSE,35,51)</f>
        <v>35</v>
      </c>
      <c r="F363" s="6">
        <v>10</v>
      </c>
      <c r="G363" s="6">
        <v>0</v>
      </c>
      <c r="H363" s="6">
        <v>20</v>
      </c>
      <c r="I363" s="6">
        <v>5</v>
      </c>
      <c r="J363" s="6">
        <v>5</v>
      </c>
      <c r="K363" s="6" t="str">
        <f>IF(A363=Calculator!B4,1+MAX(K362:K362),"")</f>
        <v/>
      </c>
      <c r="L363" s="6"/>
      <c r="M363" s="6" t="b">
        <v>1</v>
      </c>
    </row>
    <row r="364" spans="1:13" x14ac:dyDescent="0.25">
      <c r="A364" s="6" t="s">
        <v>769</v>
      </c>
      <c r="B364" s="6" t="s">
        <v>532</v>
      </c>
      <c r="C364" s="6">
        <v>30</v>
      </c>
      <c r="D364" s="6">
        <v>30</v>
      </c>
      <c r="E364" s="6">
        <v>25</v>
      </c>
      <c r="F364" s="6">
        <v>10</v>
      </c>
      <c r="G364" s="6">
        <v>0</v>
      </c>
      <c r="H364" s="6">
        <v>15</v>
      </c>
      <c r="I364" s="6">
        <v>5</v>
      </c>
      <c r="J364" s="6">
        <v>5</v>
      </c>
      <c r="K364" s="6" t="str">
        <f>IF(A364=Calculator!B4,1+MAX(K363:K363),"")</f>
        <v/>
      </c>
      <c r="L364" s="6"/>
      <c r="M364" s="6"/>
    </row>
    <row r="365" spans="1:13" x14ac:dyDescent="0.25">
      <c r="A365" s="6" t="s">
        <v>769</v>
      </c>
      <c r="B365" s="6" t="s">
        <v>533</v>
      </c>
      <c r="C365" s="6">
        <f>IF(Calculator!B8=FALSE,46,59)</f>
        <v>46</v>
      </c>
      <c r="D365" s="6">
        <f>IF(Calculator!B8=FALSE,40,55)</f>
        <v>40</v>
      </c>
      <c r="E365" s="6">
        <f>IF(Calculator!B8=FALSE,45,58)</f>
        <v>45</v>
      </c>
      <c r="F365" s="6">
        <v>10</v>
      </c>
      <c r="G365" s="6">
        <v>0</v>
      </c>
      <c r="H365" s="6">
        <v>25</v>
      </c>
      <c r="I365" s="6">
        <v>5</v>
      </c>
      <c r="J365" s="6">
        <v>5</v>
      </c>
      <c r="K365" s="6" t="str">
        <f>IF(A365=Calculator!B4,1+MAX(K364:K364),"")</f>
        <v/>
      </c>
      <c r="L365" s="6"/>
      <c r="M365" s="6" t="b">
        <v>1</v>
      </c>
    </row>
    <row r="366" spans="1:13" x14ac:dyDescent="0.25">
      <c r="A366" s="6" t="s">
        <v>769</v>
      </c>
      <c r="B366" s="6" t="s">
        <v>568</v>
      </c>
      <c r="C366" s="6">
        <f>IF(Calculator!B8=FALSE,40,55)</f>
        <v>40</v>
      </c>
      <c r="D366" s="6">
        <f>IF(Calculator!B8=FALSE,35,51)</f>
        <v>35</v>
      </c>
      <c r="E366" s="6">
        <f>IF(Calculator!B8=FALSE,40,55)</f>
        <v>40</v>
      </c>
      <c r="F366" s="6">
        <v>10</v>
      </c>
      <c r="G366" s="6">
        <v>0</v>
      </c>
      <c r="H366" s="6">
        <v>20</v>
      </c>
      <c r="I366" s="6">
        <v>5</v>
      </c>
      <c r="J366" s="6">
        <v>5</v>
      </c>
      <c r="K366" s="6" t="str">
        <f>IF(A366=Calculator!B4,1+MAX(K365:K365),"")</f>
        <v/>
      </c>
      <c r="L366" s="6"/>
      <c r="M366" s="6" t="b">
        <v>1</v>
      </c>
    </row>
    <row r="367" spans="1:13" x14ac:dyDescent="0.25">
      <c r="A367" s="6" t="s">
        <v>770</v>
      </c>
      <c r="B367" s="6" t="s">
        <v>502</v>
      </c>
      <c r="C367" s="6">
        <f>IF(Calculator!B8=FALSE,50,62)</f>
        <v>50</v>
      </c>
      <c r="D367" s="6">
        <f>IF(Calculator!B8=FALSE,55,66)</f>
        <v>55</v>
      </c>
      <c r="E367" s="6">
        <f>IF(Calculator!B8=FALSE,30,47)</f>
        <v>30</v>
      </c>
      <c r="F367" s="6">
        <v>0</v>
      </c>
      <c r="G367" s="6">
        <v>25</v>
      </c>
      <c r="H367" s="6">
        <v>10</v>
      </c>
      <c r="I367" s="6">
        <v>15</v>
      </c>
      <c r="J367" s="6">
        <v>15</v>
      </c>
      <c r="K367" s="6" t="str">
        <f>IF(A367=Calculator!B4,1+MAX(K366:K366),"")</f>
        <v/>
      </c>
      <c r="L367" s="6"/>
      <c r="M367" s="6" t="b">
        <v>1</v>
      </c>
    </row>
    <row r="368" spans="1:13" x14ac:dyDescent="0.25">
      <c r="A368" s="6" t="s">
        <v>770</v>
      </c>
      <c r="B368" s="6" t="s">
        <v>528</v>
      </c>
      <c r="C368" s="6">
        <f>IF(Calculator!B8=FALSE,37,52)</f>
        <v>37</v>
      </c>
      <c r="D368" s="6">
        <f>IF(Calculator!B8=FALSE,37,52)</f>
        <v>37</v>
      </c>
      <c r="E368" s="6">
        <f>IF(Calculator!B8=FALSE,25,43)</f>
        <v>25</v>
      </c>
      <c r="F368" s="6">
        <v>0</v>
      </c>
      <c r="G368" s="6">
        <v>20</v>
      </c>
      <c r="H368" s="6">
        <v>10</v>
      </c>
      <c r="I368" s="6">
        <v>13</v>
      </c>
      <c r="J368" s="6">
        <v>10</v>
      </c>
      <c r="K368" s="6" t="str">
        <f>IF(A368=Calculator!B4,1+MAX(K367:K367),"")</f>
        <v/>
      </c>
      <c r="L368" s="6"/>
      <c r="M368" s="6" t="b">
        <v>1</v>
      </c>
    </row>
    <row r="369" spans="1:13" x14ac:dyDescent="0.25">
      <c r="A369" s="6" t="s">
        <v>770</v>
      </c>
      <c r="B369" s="6" t="s">
        <v>775</v>
      </c>
      <c r="C369" s="6">
        <f>IF(Calculator!B8=FALSE,65,73)</f>
        <v>65</v>
      </c>
      <c r="D369" s="6">
        <f>IF(Calculator!B8=FALSE,65,73)</f>
        <v>65</v>
      </c>
      <c r="E369" s="6">
        <f>IF(Calculator!B8=FALSE,45,58)</f>
        <v>45</v>
      </c>
      <c r="F369" s="6">
        <v>0</v>
      </c>
      <c r="G369" s="6">
        <v>30</v>
      </c>
      <c r="H369" s="6">
        <v>10</v>
      </c>
      <c r="I369" s="6">
        <v>15</v>
      </c>
      <c r="J369" s="6">
        <v>10</v>
      </c>
      <c r="K369" s="6" t="str">
        <f>IF(A369=Calculator!B4,1+MAX(K368:K368),"")</f>
        <v/>
      </c>
      <c r="L369" s="6" t="s">
        <v>542</v>
      </c>
      <c r="M369" s="6" t="b">
        <v>1</v>
      </c>
    </row>
    <row r="370" spans="1:13" x14ac:dyDescent="0.25">
      <c r="A370" s="6" t="s">
        <v>770</v>
      </c>
      <c r="B370" s="6" t="s">
        <v>529</v>
      </c>
      <c r="C370" s="6">
        <f>IF(Calculator!B8=FALSE,20,40)</f>
        <v>20</v>
      </c>
      <c r="D370" s="6">
        <f>IF(Calculator!B8=FALSE,20,40)</f>
        <v>20</v>
      </c>
      <c r="E370" s="6">
        <f>IF(Calculator!B8=FALSE,30,47)</f>
        <v>30</v>
      </c>
      <c r="F370" s="6">
        <v>0</v>
      </c>
      <c r="G370" s="6">
        <v>15</v>
      </c>
      <c r="H370" s="6">
        <v>5</v>
      </c>
      <c r="I370" s="6">
        <v>10</v>
      </c>
      <c r="J370" s="6">
        <v>10</v>
      </c>
      <c r="K370" s="6" t="str">
        <f>IF(A370=Calculator!B4,1+MAX(K369:K369),"")</f>
        <v/>
      </c>
      <c r="L370" s="6"/>
      <c r="M370" s="6" t="b">
        <v>1</v>
      </c>
    </row>
    <row r="371" spans="1:13" x14ac:dyDescent="0.25">
      <c r="A371" s="6" t="s">
        <v>770</v>
      </c>
      <c r="B371" s="6" t="s">
        <v>530</v>
      </c>
      <c r="C371" s="6">
        <f>IF(Calculator!B8=FALSE,45,58)</f>
        <v>45</v>
      </c>
      <c r="D371" s="6">
        <f>IF(Calculator!B8=FALSE,45,58)</f>
        <v>45</v>
      </c>
      <c r="E371" s="6">
        <f>IF(Calculator!B8=FALSE,35,51)</f>
        <v>35</v>
      </c>
      <c r="F371" s="6">
        <v>0</v>
      </c>
      <c r="G371" s="6">
        <v>20</v>
      </c>
      <c r="H371" s="6">
        <v>5</v>
      </c>
      <c r="I371" s="6">
        <v>10</v>
      </c>
      <c r="J371" s="6">
        <v>10</v>
      </c>
      <c r="K371" s="6" t="str">
        <f>IF(A371=Calculator!B4,1+MAX(K370:K370),"")</f>
        <v/>
      </c>
      <c r="L371" s="6"/>
      <c r="M371" s="6" t="b">
        <v>1</v>
      </c>
    </row>
    <row r="372" spans="1:13" x14ac:dyDescent="0.25">
      <c r="A372" s="6" t="s">
        <v>770</v>
      </c>
      <c r="B372" s="6" t="s">
        <v>531</v>
      </c>
      <c r="C372" s="6">
        <v>20</v>
      </c>
      <c r="D372" s="6">
        <v>20</v>
      </c>
      <c r="E372" s="6">
        <v>18</v>
      </c>
      <c r="F372" s="6">
        <v>0</v>
      </c>
      <c r="G372" s="6">
        <v>15</v>
      </c>
      <c r="H372" s="6">
        <v>5</v>
      </c>
      <c r="I372" s="6">
        <v>5</v>
      </c>
      <c r="J372" s="6">
        <v>5</v>
      </c>
      <c r="K372" s="6" t="str">
        <f>IF(A372=Calculator!B4,1+MAX(K371:K371),"")</f>
        <v/>
      </c>
      <c r="L372" s="6"/>
      <c r="M372" s="6"/>
    </row>
    <row r="373" spans="1:13" x14ac:dyDescent="0.25">
      <c r="A373" s="6" t="s">
        <v>770</v>
      </c>
      <c r="B373" s="6" t="s">
        <v>532</v>
      </c>
      <c r="C373" s="6">
        <f>IF(Calculator!B8=FALSE,37,52)</f>
        <v>37</v>
      </c>
      <c r="D373" s="6">
        <f>IF(Calculator!B8=FALSE,35,51)</f>
        <v>35</v>
      </c>
      <c r="E373" s="6">
        <f>IF(Calculator!B8=FALSE,25,43)</f>
        <v>25</v>
      </c>
      <c r="F373" s="6">
        <v>0</v>
      </c>
      <c r="G373" s="6">
        <v>15</v>
      </c>
      <c r="H373" s="6">
        <v>5</v>
      </c>
      <c r="I373" s="6">
        <v>5</v>
      </c>
      <c r="J373" s="6">
        <v>5</v>
      </c>
      <c r="K373" s="6" t="str">
        <f>IF(A373=Calculator!B4,1+MAX(K372:K372),"")</f>
        <v/>
      </c>
      <c r="L373" s="6"/>
      <c r="M373" s="6" t="b">
        <v>1</v>
      </c>
    </row>
    <row r="374" spans="1:13" x14ac:dyDescent="0.25">
      <c r="A374" s="6" t="s">
        <v>770</v>
      </c>
      <c r="B374" s="6" t="s">
        <v>777</v>
      </c>
      <c r="C374" s="6">
        <f>IF(Calculator!B8=FALSE,37,52)</f>
        <v>37</v>
      </c>
      <c r="D374" s="6">
        <f>IF(Calculator!B8=FALSE,35,51)</f>
        <v>35</v>
      </c>
      <c r="E374" s="6">
        <f>IF(Calculator!B8=FALSE,25,43)</f>
        <v>25</v>
      </c>
      <c r="F374" s="6">
        <v>0</v>
      </c>
      <c r="G374" s="6">
        <v>20</v>
      </c>
      <c r="H374" s="6">
        <v>10</v>
      </c>
      <c r="I374" s="6">
        <v>15</v>
      </c>
      <c r="J374" s="6">
        <v>15</v>
      </c>
      <c r="K374" s="6" t="str">
        <f>IF(A374=Calculator!B4,1+MAX(K373:K373),"")</f>
        <v/>
      </c>
      <c r="L374" s="6"/>
      <c r="M374" s="6" t="b">
        <v>1</v>
      </c>
    </row>
    <row r="375" spans="1:13" x14ac:dyDescent="0.25">
      <c r="A375" s="6" t="s">
        <v>770</v>
      </c>
      <c r="B375" s="6" t="s">
        <v>533</v>
      </c>
      <c r="C375" s="6">
        <f>IF(Calculator!B8=FALSE,37,52)</f>
        <v>37</v>
      </c>
      <c r="D375" s="6">
        <f>IF(Calculator!B8=FALSE,35,51)</f>
        <v>35</v>
      </c>
      <c r="E375" s="6">
        <f>IF(Calculator!B8=FALSE,25,43)</f>
        <v>25</v>
      </c>
      <c r="F375" s="6">
        <v>0</v>
      </c>
      <c r="G375" s="6">
        <v>20</v>
      </c>
      <c r="H375" s="6">
        <v>5</v>
      </c>
      <c r="I375" s="6">
        <v>10</v>
      </c>
      <c r="J375" s="6">
        <v>10</v>
      </c>
      <c r="K375" s="6" t="str">
        <f>IF(A375=Calculator!B4,1+MAX(K374:K374),"")</f>
        <v/>
      </c>
      <c r="L375" s="6"/>
      <c r="M375" s="6" t="b">
        <v>1</v>
      </c>
    </row>
    <row r="376" spans="1:13" x14ac:dyDescent="0.25">
      <c r="A376" s="6" t="s">
        <v>770</v>
      </c>
      <c r="B376" s="6" t="s">
        <v>653</v>
      </c>
      <c r="C376" s="6">
        <f>IF(Calculator!B8=FALSE,65,73)</f>
        <v>65</v>
      </c>
      <c r="D376" s="6">
        <f>IF(Calculator!B8=FALSE,60,70)</f>
        <v>60</v>
      </c>
      <c r="E376" s="6">
        <f>IF(Calculator!B8=FALSE,45,58)</f>
        <v>45</v>
      </c>
      <c r="F376" s="6">
        <v>0</v>
      </c>
      <c r="G376" s="6">
        <v>25</v>
      </c>
      <c r="H376" s="6">
        <v>10</v>
      </c>
      <c r="I376" s="6">
        <v>15</v>
      </c>
      <c r="J376" s="6">
        <v>15</v>
      </c>
      <c r="K376" s="6" t="str">
        <f>IF(A376=Calculator!B4,1+MAX(K375:K375),"")</f>
        <v/>
      </c>
      <c r="L376" s="6"/>
      <c r="M376" s="6" t="b">
        <v>1</v>
      </c>
    </row>
    <row r="377" spans="1:13" x14ac:dyDescent="0.25">
      <c r="A377" s="6" t="s">
        <v>770</v>
      </c>
      <c r="B377" s="6" t="s">
        <v>776</v>
      </c>
      <c r="C377" s="6">
        <f>IF(Calculator!B8=FALSE,20,40)</f>
        <v>20</v>
      </c>
      <c r="D377" s="6">
        <f>IF(Calculator!B8=FALSE,20,40)</f>
        <v>20</v>
      </c>
      <c r="E377" s="6">
        <f>IF(Calculator!B8=FALSE,15,36)</f>
        <v>15</v>
      </c>
      <c r="F377" s="6">
        <v>0</v>
      </c>
      <c r="G377" s="6">
        <v>15</v>
      </c>
      <c r="H377" s="6">
        <v>5</v>
      </c>
      <c r="I377" s="6">
        <v>5</v>
      </c>
      <c r="J377" s="6">
        <v>5</v>
      </c>
      <c r="K377" s="6" t="str">
        <f>IF(A377=Calculator!B4,1+MAX(K376:K376),"")</f>
        <v/>
      </c>
      <c r="L377" s="6"/>
      <c r="M377" s="6" t="b">
        <v>1</v>
      </c>
    </row>
    <row r="378" spans="1:13" x14ac:dyDescent="0.25">
      <c r="A378" s="6" t="s">
        <v>771</v>
      </c>
      <c r="B378" s="6" t="s">
        <v>502</v>
      </c>
      <c r="C378" s="6">
        <f>IF(Calculator!B8=FALSE,65,73)</f>
        <v>65</v>
      </c>
      <c r="D378" s="6">
        <f>IF(Calculator!B8=FALSE,70,77)</f>
        <v>70</v>
      </c>
      <c r="E378" s="6">
        <f>IF(Calculator!B8=FALSE,55,66)</f>
        <v>55</v>
      </c>
      <c r="F378" s="6">
        <v>0</v>
      </c>
      <c r="G378" s="6">
        <v>10</v>
      </c>
      <c r="H378" s="6">
        <v>25</v>
      </c>
      <c r="I378" s="6">
        <v>5</v>
      </c>
      <c r="J378" s="6">
        <v>15</v>
      </c>
      <c r="K378" s="6" t="str">
        <f>IF(A378=Calculator!B4,1+MAX(K377:K377),"")</f>
        <v/>
      </c>
      <c r="L378" s="6" t="s">
        <v>542</v>
      </c>
      <c r="M378" s="6" t="b">
        <v>1</v>
      </c>
    </row>
    <row r="379" spans="1:13" x14ac:dyDescent="0.25">
      <c r="A379" s="6" t="s">
        <v>771</v>
      </c>
      <c r="B379" s="6" t="s">
        <v>567</v>
      </c>
      <c r="C379" s="6">
        <v>30</v>
      </c>
      <c r="D379" s="6">
        <v>30</v>
      </c>
      <c r="E379" s="6">
        <v>20</v>
      </c>
      <c r="F379" s="6">
        <v>10</v>
      </c>
      <c r="G379" s="6">
        <v>10</v>
      </c>
      <c r="H379" s="6">
        <v>15</v>
      </c>
      <c r="I379" s="6">
        <v>5</v>
      </c>
      <c r="J379" s="6">
        <v>15</v>
      </c>
      <c r="K379" s="6" t="str">
        <f>IF(A379=Calculator!B4,1+MAX(K378:K378),"")</f>
        <v/>
      </c>
      <c r="L379" s="6"/>
      <c r="M379" s="6"/>
    </row>
    <row r="380" spans="1:13" x14ac:dyDescent="0.25">
      <c r="A380" s="6" t="s">
        <v>771</v>
      </c>
      <c r="B380" s="6" t="s">
        <v>530</v>
      </c>
      <c r="C380" s="6">
        <v>25</v>
      </c>
      <c r="D380" s="6">
        <v>25</v>
      </c>
      <c r="E380" s="6">
        <v>20</v>
      </c>
      <c r="F380" s="6">
        <v>0</v>
      </c>
      <c r="G380" s="6">
        <v>5</v>
      </c>
      <c r="H380" s="6">
        <v>15</v>
      </c>
      <c r="I380" s="6">
        <v>5</v>
      </c>
      <c r="J380" s="6">
        <v>15</v>
      </c>
      <c r="K380" s="6" t="str">
        <f>IF(A380=Calculator!B4,1+MAX(K379:K379),"")</f>
        <v/>
      </c>
      <c r="L380" s="6"/>
      <c r="M380" s="6"/>
    </row>
    <row r="381" spans="1:13" x14ac:dyDescent="0.25">
      <c r="A381" s="6" t="s">
        <v>771</v>
      </c>
      <c r="B381" s="6" t="s">
        <v>531</v>
      </c>
      <c r="C381" s="6">
        <f>IF(Calculator!B8=FALSE,50,62)</f>
        <v>50</v>
      </c>
      <c r="D381" s="6">
        <f>IF(Calculator!B8=FALSE,45,58)</f>
        <v>45</v>
      </c>
      <c r="E381" s="6">
        <f>IF(Calculator!B8=FALSE,35,51)</f>
        <v>35</v>
      </c>
      <c r="F381" s="6">
        <v>0</v>
      </c>
      <c r="G381" s="6">
        <v>15</v>
      </c>
      <c r="H381" s="6">
        <v>20</v>
      </c>
      <c r="I381" s="6">
        <v>10</v>
      </c>
      <c r="J381" s="6">
        <v>5</v>
      </c>
      <c r="K381" s="6" t="str">
        <f>IF(A381=Calculator!B4,1+MAX(K380:K380),"")</f>
        <v/>
      </c>
      <c r="L381" s="6"/>
      <c r="M381" s="6" t="b">
        <v>1</v>
      </c>
    </row>
    <row r="382" spans="1:13" x14ac:dyDescent="0.25">
      <c r="A382" s="6" t="s">
        <v>771</v>
      </c>
      <c r="B382" s="6" t="s">
        <v>532</v>
      </c>
      <c r="C382" s="6">
        <v>30</v>
      </c>
      <c r="D382" s="6">
        <v>30</v>
      </c>
      <c r="E382" s="6">
        <v>25</v>
      </c>
      <c r="F382" s="6">
        <v>0</v>
      </c>
      <c r="G382" s="6">
        <v>5</v>
      </c>
      <c r="H382" s="6">
        <v>15</v>
      </c>
      <c r="I382" s="6">
        <v>0</v>
      </c>
      <c r="J382" s="6">
        <v>10</v>
      </c>
      <c r="K382" s="6" t="str">
        <f>IF(A382=Calculator!B4,1+MAX(K381:K381),"")</f>
        <v/>
      </c>
      <c r="L382" s="6"/>
      <c r="M382" s="6"/>
    </row>
    <row r="383" spans="1:13" x14ac:dyDescent="0.25">
      <c r="A383" s="6" t="s">
        <v>771</v>
      </c>
      <c r="B383" s="6" t="s">
        <v>533</v>
      </c>
      <c r="C383" s="6">
        <f>IF(Calculator!B8=FALSE,40,55)</f>
        <v>40</v>
      </c>
      <c r="D383" s="6">
        <f>IF(Calculator!B8=FALSE,35,51)</f>
        <v>35</v>
      </c>
      <c r="E383" s="6">
        <f>IF(Calculator!B8=FALSE,30,47)</f>
        <v>30</v>
      </c>
      <c r="F383" s="6">
        <v>0</v>
      </c>
      <c r="G383" s="6">
        <v>5</v>
      </c>
      <c r="H383" s="6">
        <v>10</v>
      </c>
      <c r="I383" s="6">
        <v>0</v>
      </c>
      <c r="J383" s="6">
        <v>5</v>
      </c>
      <c r="K383" s="6" t="str">
        <f>IF(A383=Calculator!B4,1+MAX(K382:K382),"")</f>
        <v/>
      </c>
      <c r="L383" s="6"/>
      <c r="M383" s="6" t="b">
        <v>1</v>
      </c>
    </row>
    <row r="384" spans="1:13" x14ac:dyDescent="0.25">
      <c r="A384" s="6" t="s">
        <v>771</v>
      </c>
      <c r="B384" s="6" t="s">
        <v>568</v>
      </c>
      <c r="C384" s="6">
        <f>IF(Calculator!B8=FALSE,45,58)</f>
        <v>45</v>
      </c>
      <c r="D384" s="6">
        <f>IF(Calculator!B8=FALSE,35,51)</f>
        <v>35</v>
      </c>
      <c r="E384" s="6">
        <f>IF(Calculator!B8=FALSE,30,47)</f>
        <v>30</v>
      </c>
      <c r="F384" s="6">
        <v>0</v>
      </c>
      <c r="G384" s="6">
        <v>5</v>
      </c>
      <c r="H384" s="6">
        <v>10</v>
      </c>
      <c r="I384" s="6">
        <v>0</v>
      </c>
      <c r="J384" s="6">
        <v>15</v>
      </c>
      <c r="K384" s="6" t="str">
        <f>IF(A384=Calculator!B4,1+MAX(K383:K383),"")</f>
        <v/>
      </c>
      <c r="L384" s="6"/>
      <c r="M384" s="6" t="b">
        <v>1</v>
      </c>
    </row>
    <row r="385" spans="1:13" x14ac:dyDescent="0.25">
      <c r="A385" s="6" t="s">
        <v>772</v>
      </c>
      <c r="B385" s="6" t="s">
        <v>502</v>
      </c>
      <c r="C385" s="6">
        <f>IF(Calculator!B8=FALSE,55,66)</f>
        <v>55</v>
      </c>
      <c r="D385" s="6">
        <f>IF(Calculator!B8=FALSE,60,70)</f>
        <v>60</v>
      </c>
      <c r="E385" s="6">
        <f>IF(Calculator!B8=FALSE,45,58)</f>
        <v>45</v>
      </c>
      <c r="F385" s="6">
        <v>0</v>
      </c>
      <c r="G385" s="6">
        <v>15</v>
      </c>
      <c r="H385" s="6">
        <v>10</v>
      </c>
      <c r="I385" s="6">
        <v>20</v>
      </c>
      <c r="J385" s="6">
        <v>5</v>
      </c>
      <c r="K385" s="6" t="str">
        <f>IF(A385=Calculator!B4,1+MAX(K384:K384),"")</f>
        <v/>
      </c>
      <c r="L385" s="6" t="s">
        <v>542</v>
      </c>
      <c r="M385" s="6" t="b">
        <v>1</v>
      </c>
    </row>
    <row r="386" spans="1:13" x14ac:dyDescent="0.25">
      <c r="A386" s="6" t="s">
        <v>772</v>
      </c>
      <c r="B386" s="6" t="s">
        <v>528</v>
      </c>
      <c r="C386" s="6">
        <v>30</v>
      </c>
      <c r="D386" s="6">
        <v>30</v>
      </c>
      <c r="E386" s="6">
        <v>25</v>
      </c>
      <c r="F386" s="6">
        <v>0</v>
      </c>
      <c r="G386" s="6">
        <v>15</v>
      </c>
      <c r="H386" s="6">
        <v>5</v>
      </c>
      <c r="I386" s="6">
        <v>20</v>
      </c>
      <c r="J386" s="6">
        <v>5</v>
      </c>
      <c r="K386" s="6" t="str">
        <f>IF(A386=Calculator!B4,1+MAX(K385:K385),"")</f>
        <v/>
      </c>
      <c r="L386" s="6"/>
      <c r="M386" s="6"/>
    </row>
    <row r="387" spans="1:13" x14ac:dyDescent="0.25">
      <c r="A387" s="6" t="s">
        <v>772</v>
      </c>
      <c r="B387" s="6" t="s">
        <v>529</v>
      </c>
      <c r="C387" s="6">
        <v>30</v>
      </c>
      <c r="D387" s="6">
        <v>30</v>
      </c>
      <c r="E387" s="6">
        <v>25</v>
      </c>
      <c r="F387" s="6">
        <v>0</v>
      </c>
      <c r="G387" s="6">
        <v>10</v>
      </c>
      <c r="H387" s="6">
        <v>5</v>
      </c>
      <c r="I387" s="6">
        <v>15</v>
      </c>
      <c r="J387" s="6">
        <v>0</v>
      </c>
      <c r="K387" s="6" t="str">
        <f>IF(A387=Calculator!B4,1+MAX(K386:K386),"")</f>
        <v/>
      </c>
      <c r="L387" s="6"/>
      <c r="M387" s="6"/>
    </row>
    <row r="388" spans="1:13" x14ac:dyDescent="0.25">
      <c r="A388" s="6" t="s">
        <v>772</v>
      </c>
      <c r="B388" s="6" t="s">
        <v>504</v>
      </c>
      <c r="C388" s="6">
        <f>IF(Calculator!B8=FALSE,40,55)</f>
        <v>40</v>
      </c>
      <c r="D388" s="6">
        <f>IF(Calculator!B8=FALSE,40,55)</f>
        <v>40</v>
      </c>
      <c r="E388" s="6">
        <f>IF(Calculator!B8=FALSE,35,51)</f>
        <v>35</v>
      </c>
      <c r="F388" s="6">
        <v>0</v>
      </c>
      <c r="G388" s="6">
        <v>15</v>
      </c>
      <c r="H388" s="6">
        <v>5</v>
      </c>
      <c r="I388" s="6">
        <v>30</v>
      </c>
      <c r="J388" s="6">
        <v>0</v>
      </c>
      <c r="K388" s="6" t="str">
        <f>IF(A388=Calculator!B4,1+MAX(K387:K387),"")</f>
        <v/>
      </c>
      <c r="L388" s="6"/>
      <c r="M388" s="6" t="b">
        <v>1</v>
      </c>
    </row>
    <row r="389" spans="1:13" x14ac:dyDescent="0.25">
      <c r="A389" s="6" t="s">
        <v>772</v>
      </c>
      <c r="B389" s="6" t="s">
        <v>505</v>
      </c>
      <c r="C389" s="6">
        <v>30</v>
      </c>
      <c r="D389" s="6">
        <v>30</v>
      </c>
      <c r="E389" s="6">
        <v>20</v>
      </c>
      <c r="F389" s="6">
        <v>0</v>
      </c>
      <c r="G389" s="6">
        <v>10</v>
      </c>
      <c r="H389" s="6">
        <v>5</v>
      </c>
      <c r="I389" s="6">
        <v>15</v>
      </c>
      <c r="J389" s="6">
        <v>0</v>
      </c>
      <c r="K389" s="6" t="str">
        <f>IF(A389=Calculator!B4,1+MAX(K388:K388),"")</f>
        <v/>
      </c>
      <c r="L389" s="6"/>
      <c r="M389" s="6"/>
    </row>
    <row r="390" spans="1:13" x14ac:dyDescent="0.25">
      <c r="A390" s="6" t="s">
        <v>772</v>
      </c>
      <c r="B390" s="6" t="s">
        <v>533</v>
      </c>
      <c r="C390" s="6">
        <f>IF(Calculator!B8=FALSE,50,62)</f>
        <v>50</v>
      </c>
      <c r="D390" s="6">
        <f>IF(Calculator!B8=FALSE,45,58)</f>
        <v>45</v>
      </c>
      <c r="E390" s="6">
        <f>IF(Calculator!B8=FALSE,50,62)</f>
        <v>50</v>
      </c>
      <c r="F390" s="6">
        <v>0</v>
      </c>
      <c r="G390" s="6">
        <v>15</v>
      </c>
      <c r="H390" s="6">
        <v>10</v>
      </c>
      <c r="I390" s="6">
        <v>15</v>
      </c>
      <c r="J390" s="6">
        <v>5</v>
      </c>
      <c r="K390" s="6" t="str">
        <f>IF(A390=Calculator!B4,1+MAX(K389:K389),"")</f>
        <v/>
      </c>
      <c r="L390" s="6"/>
      <c r="M390" s="6" t="b">
        <v>1</v>
      </c>
    </row>
    <row r="391" spans="1:13" x14ac:dyDescent="0.25">
      <c r="A391" s="6" t="s">
        <v>772</v>
      </c>
      <c r="B391" s="6" t="s">
        <v>568</v>
      </c>
      <c r="C391" s="6">
        <f>IF(Calculator!B8=FALSE,20,40)</f>
        <v>20</v>
      </c>
      <c r="D391" s="6">
        <f>IF(Calculator!B8=FALSE,20,40)</f>
        <v>20</v>
      </c>
      <c r="E391" s="6">
        <f>IF(Calculator!B8=FALSE,15,36)</f>
        <v>15</v>
      </c>
      <c r="F391" s="6">
        <v>0</v>
      </c>
      <c r="G391" s="6">
        <v>5</v>
      </c>
      <c r="H391" s="6">
        <v>5</v>
      </c>
      <c r="I391" s="6">
        <v>10</v>
      </c>
      <c r="J391" s="6">
        <v>10</v>
      </c>
      <c r="K391" s="6" t="str">
        <f>IF(A391=Calculator!B4,1+MAX(K390:K390),"")</f>
        <v/>
      </c>
      <c r="L391" s="6"/>
      <c r="M391" s="6" t="b">
        <v>1</v>
      </c>
    </row>
    <row r="392" spans="1:13" x14ac:dyDescent="0.25">
      <c r="A392" s="6" t="s">
        <v>782</v>
      </c>
      <c r="B392" s="6" t="s">
        <v>502</v>
      </c>
      <c r="C392" s="6">
        <f>IF(Calculator!B8=FALSE,65,73)</f>
        <v>65</v>
      </c>
      <c r="D392" s="6">
        <f>IF(Calculator!B8=FALSE,70,77)</f>
        <v>70</v>
      </c>
      <c r="E392" s="6">
        <f>IF(Calculator!B8=FALSE,45,58)</f>
        <v>45</v>
      </c>
      <c r="F392" s="6">
        <v>15</v>
      </c>
      <c r="G392" s="6">
        <v>10</v>
      </c>
      <c r="H392" s="6">
        <v>15</v>
      </c>
      <c r="I392" s="6">
        <v>0</v>
      </c>
      <c r="J392" s="6">
        <v>10</v>
      </c>
      <c r="K392" s="6" t="str">
        <f>IF(A392=Calculator!B4,1+MAX(K391:K391),"")</f>
        <v/>
      </c>
      <c r="L392" s="6" t="s">
        <v>542</v>
      </c>
      <c r="M392" s="6" t="b">
        <v>1</v>
      </c>
    </row>
    <row r="393" spans="1:13" x14ac:dyDescent="0.25">
      <c r="A393" s="6" t="s">
        <v>782</v>
      </c>
      <c r="B393" s="6" t="s">
        <v>528</v>
      </c>
      <c r="C393" s="6">
        <f>IF(Calculator!B8=FALSE,35,51)</f>
        <v>35</v>
      </c>
      <c r="D393" s="6">
        <f>IF(Calculator!B8=FALSE,40,55)</f>
        <v>40</v>
      </c>
      <c r="E393" s="6">
        <f>IF(Calculator!B8=FALSE,30,47)</f>
        <v>30</v>
      </c>
      <c r="F393" s="6">
        <v>15</v>
      </c>
      <c r="G393" s="6">
        <v>5</v>
      </c>
      <c r="H393" s="6">
        <v>10</v>
      </c>
      <c r="I393" s="6">
        <v>0</v>
      </c>
      <c r="J393" s="6">
        <v>5</v>
      </c>
      <c r="K393" s="6" t="str">
        <f>IF(A393=Calculator!B4,1+MAX(K392:K392),"")</f>
        <v/>
      </c>
      <c r="L393" s="6"/>
      <c r="M393" s="6" t="b">
        <v>1</v>
      </c>
    </row>
    <row r="394" spans="1:13" x14ac:dyDescent="0.25">
      <c r="A394" s="6" t="s">
        <v>782</v>
      </c>
      <c r="B394" s="6" t="s">
        <v>529</v>
      </c>
      <c r="C394" s="6">
        <v>25</v>
      </c>
      <c r="D394" s="6">
        <v>25</v>
      </c>
      <c r="E394" s="6">
        <v>50</v>
      </c>
      <c r="F394" s="6">
        <v>25</v>
      </c>
      <c r="G394" s="6">
        <v>5</v>
      </c>
      <c r="H394" s="6">
        <v>10</v>
      </c>
      <c r="I394" s="6">
        <v>0</v>
      </c>
      <c r="J394" s="6">
        <v>5</v>
      </c>
      <c r="K394" s="6" t="str">
        <f>IF(A394=Calculator!B4,1+MAX(K393:K393),"")</f>
        <v/>
      </c>
      <c r="L394" s="6"/>
      <c r="M394" s="6"/>
    </row>
    <row r="395" spans="1:13" x14ac:dyDescent="0.25">
      <c r="A395" s="6" t="s">
        <v>782</v>
      </c>
      <c r="B395" s="6" t="s">
        <v>530</v>
      </c>
      <c r="C395" s="6">
        <v>25</v>
      </c>
      <c r="D395" s="6">
        <v>25</v>
      </c>
      <c r="E395" s="6">
        <v>45</v>
      </c>
      <c r="F395" s="6">
        <v>15</v>
      </c>
      <c r="G395" s="6">
        <v>5</v>
      </c>
      <c r="H395" s="6">
        <v>10</v>
      </c>
      <c r="I395" s="6">
        <v>0</v>
      </c>
      <c r="J395" s="6">
        <v>5</v>
      </c>
      <c r="K395" s="6" t="str">
        <f>IF(A395=Calculator!B4,1+MAX(K394:K394),"")</f>
        <v/>
      </c>
      <c r="L395" s="6"/>
      <c r="M395" s="6"/>
    </row>
    <row r="396" spans="1:13" x14ac:dyDescent="0.25">
      <c r="A396" s="6" t="s">
        <v>782</v>
      </c>
      <c r="B396" s="6" t="s">
        <v>784</v>
      </c>
      <c r="C396" s="6">
        <f>IF(Calculator!B8=FALSE,35,51)</f>
        <v>35</v>
      </c>
      <c r="D396" s="6">
        <f>IF(Calculator!B8=FALSE,35,51)</f>
        <v>35</v>
      </c>
      <c r="E396" s="6">
        <f>IF(Calculator!B8=FALSE,20,40)</f>
        <v>20</v>
      </c>
      <c r="F396" s="6">
        <v>20</v>
      </c>
      <c r="G396" s="6">
        <v>0</v>
      </c>
      <c r="H396" s="6">
        <v>5</v>
      </c>
      <c r="I396" s="6">
        <v>0</v>
      </c>
      <c r="J396" s="6">
        <v>0</v>
      </c>
      <c r="K396" s="6" t="str">
        <f>IF(A396=Calculator!B4,1+MAX(K395:K395),"")</f>
        <v/>
      </c>
      <c r="L396" s="6"/>
      <c r="M396" s="6" t="b">
        <v>1</v>
      </c>
    </row>
    <row r="397" spans="1:13" x14ac:dyDescent="0.25">
      <c r="A397" s="6" t="s">
        <v>782</v>
      </c>
      <c r="B397" s="6" t="s">
        <v>548</v>
      </c>
      <c r="C397" s="6">
        <f>IF(Calculator!B8=FALSE,50,62)</f>
        <v>50</v>
      </c>
      <c r="D397" s="6">
        <f>IF(Calculator!B8=FALSE,45,58)</f>
        <v>45</v>
      </c>
      <c r="E397" s="6">
        <f>IF(Calculator!B8=FALSE,40,55)</f>
        <v>40</v>
      </c>
      <c r="F397" s="6">
        <v>15</v>
      </c>
      <c r="G397" s="6">
        <v>10</v>
      </c>
      <c r="H397" s="6">
        <v>15</v>
      </c>
      <c r="I397" s="6">
        <v>0</v>
      </c>
      <c r="J397" s="6">
        <v>5</v>
      </c>
      <c r="K397" s="6" t="str">
        <f>IF(A397=Calculator!B4,1+MAX(K396:K396),"")</f>
        <v/>
      </c>
      <c r="L397" s="6"/>
      <c r="M397" s="6" t="b">
        <v>1</v>
      </c>
    </row>
    <row r="398" spans="1:13" x14ac:dyDescent="0.25">
      <c r="A398" s="6" t="s">
        <v>782</v>
      </c>
      <c r="B398" s="6" t="s">
        <v>533</v>
      </c>
      <c r="C398" s="6">
        <f>IF(Calculator!B8=FALSE,45,58)</f>
        <v>45</v>
      </c>
      <c r="D398" s="6">
        <f>IF(Calculator!B8=FALSE,40,55)</f>
        <v>40</v>
      </c>
      <c r="E398" s="6">
        <f>IF(Calculator!B8=FALSE,35,51)</f>
        <v>35</v>
      </c>
      <c r="F398" s="6">
        <v>20</v>
      </c>
      <c r="G398" s="6">
        <v>5</v>
      </c>
      <c r="H398" s="6">
        <v>10</v>
      </c>
      <c r="I398" s="6">
        <v>0</v>
      </c>
      <c r="J398" s="6">
        <v>5</v>
      </c>
      <c r="K398" s="6" t="str">
        <f>IF(A398=Calculator!B4,1+MAX(K397:K397),"")</f>
        <v/>
      </c>
      <c r="L398" s="6"/>
      <c r="M398" s="6" t="b">
        <v>1</v>
      </c>
    </row>
    <row r="399" spans="1:13" x14ac:dyDescent="0.25">
      <c r="A399" s="6" t="s">
        <v>785</v>
      </c>
      <c r="B399" s="6" t="s">
        <v>556</v>
      </c>
      <c r="C399" s="6">
        <f>IF(Calculator!B8=FALSE,65,73)</f>
        <v>65</v>
      </c>
      <c r="D399" s="6">
        <f>IF(Calculator!B8=FALSE,60,70)</f>
        <v>60</v>
      </c>
      <c r="E399" s="6">
        <f>IF(Calculator!B8=FALSE,55,66)</f>
        <v>55</v>
      </c>
      <c r="F399" s="6">
        <v>15</v>
      </c>
      <c r="G399" s="6">
        <v>20</v>
      </c>
      <c r="H399" s="6">
        <v>0</v>
      </c>
      <c r="I399" s="6">
        <v>30</v>
      </c>
      <c r="J399" s="6">
        <v>10</v>
      </c>
      <c r="K399" s="6" t="str">
        <f>IF(A399=Calculator!B4,1+MAX(K398:K398),"")</f>
        <v/>
      </c>
      <c r="L399" s="6"/>
      <c r="M399" s="6" t="b">
        <v>1</v>
      </c>
    </row>
    <row r="400" spans="1:13" x14ac:dyDescent="0.25">
      <c r="A400" s="6" t="s">
        <v>785</v>
      </c>
      <c r="B400" s="6" t="s">
        <v>789</v>
      </c>
      <c r="C400" s="6">
        <f>IF(Calculator!B8=FALSE,65,73)</f>
        <v>65</v>
      </c>
      <c r="D400" s="6">
        <f>IF(Calculator!B8=FALSE,60,70)</f>
        <v>60</v>
      </c>
      <c r="E400" s="6">
        <f>IF(Calculator!B8=FALSE,55,66)</f>
        <v>55</v>
      </c>
      <c r="F400" s="6">
        <v>15</v>
      </c>
      <c r="G400" s="6">
        <v>35</v>
      </c>
      <c r="H400" s="6">
        <v>0</v>
      </c>
      <c r="I400" s="6">
        <v>20</v>
      </c>
      <c r="J400" s="6">
        <v>10</v>
      </c>
      <c r="K400" s="6" t="str">
        <f>IF(A400=Calculator!B4,1+MAX(K399:K399),"")</f>
        <v/>
      </c>
      <c r="L400" s="6" t="s">
        <v>542</v>
      </c>
      <c r="M400" s="6" t="b">
        <v>1</v>
      </c>
    </row>
    <row r="401" spans="1:13" x14ac:dyDescent="0.25">
      <c r="A401" s="6" t="s">
        <v>785</v>
      </c>
      <c r="B401" s="6" t="s">
        <v>502</v>
      </c>
      <c r="C401" s="6">
        <f>IF(Calculator!B8=FALSE,60,70)</f>
        <v>60</v>
      </c>
      <c r="D401" s="6">
        <f>IF(Calculator!B8=FALSE,60,70)</f>
        <v>60</v>
      </c>
      <c r="E401" s="6">
        <f>IF(Calculator!B8=FALSE,45,58)</f>
        <v>45</v>
      </c>
      <c r="F401" s="6">
        <v>10</v>
      </c>
      <c r="G401" s="6">
        <v>15</v>
      </c>
      <c r="H401" s="6">
        <v>0</v>
      </c>
      <c r="I401" s="6">
        <v>25</v>
      </c>
      <c r="J401" s="6">
        <v>5</v>
      </c>
      <c r="K401" s="6" t="str">
        <f>IF(A401=Calculator!B4,1+MAX(K400:K400),"")</f>
        <v/>
      </c>
      <c r="L401" s="6"/>
      <c r="M401" s="6" t="b">
        <v>1</v>
      </c>
    </row>
    <row r="402" spans="1:13" x14ac:dyDescent="0.25">
      <c r="A402" s="6" t="s">
        <v>785</v>
      </c>
      <c r="B402" s="6" t="s">
        <v>790</v>
      </c>
      <c r="C402" s="6">
        <f>IF(Calculator!B8=FALSE,55,66)</f>
        <v>55</v>
      </c>
      <c r="D402" s="6">
        <f>IF(Calculator!B8=FALSE,55,66)</f>
        <v>55</v>
      </c>
      <c r="E402" s="6">
        <f>IF(Calculator!B8=FALSE,45,58)</f>
        <v>45</v>
      </c>
      <c r="F402" s="6">
        <v>10</v>
      </c>
      <c r="G402" s="6">
        <v>25</v>
      </c>
      <c r="H402" s="6">
        <v>0</v>
      </c>
      <c r="I402" s="6">
        <v>15</v>
      </c>
      <c r="J402" s="6">
        <v>5</v>
      </c>
      <c r="K402" s="6" t="str">
        <f>IF(A402=Calculator!B4,1+MAX(K401:K401),"")</f>
        <v/>
      </c>
      <c r="L402" s="6"/>
      <c r="M402" s="6" t="b">
        <v>1</v>
      </c>
    </row>
    <row r="403" spans="1:13" x14ac:dyDescent="0.25">
      <c r="A403" s="6" t="s">
        <v>785</v>
      </c>
      <c r="B403" s="6" t="s">
        <v>528</v>
      </c>
      <c r="C403" s="6">
        <f>IF(Calculator!B8=FALSE,30,47)</f>
        <v>30</v>
      </c>
      <c r="D403" s="6">
        <f>IF(Calculator!B8=FALSE,30,47)</f>
        <v>30</v>
      </c>
      <c r="E403" s="6">
        <f>IF(Calculator!B8=FALSE,10,32)</f>
        <v>10</v>
      </c>
      <c r="F403" s="6">
        <v>5</v>
      </c>
      <c r="G403" s="6">
        <v>15</v>
      </c>
      <c r="H403" s="6">
        <v>0</v>
      </c>
      <c r="I403" s="6">
        <v>20</v>
      </c>
      <c r="J403" s="6">
        <v>5</v>
      </c>
      <c r="K403" s="6" t="str">
        <f>IF(A403=Calculator!B4,1+MAX(K402:K402),"")</f>
        <v/>
      </c>
      <c r="L403" s="6"/>
      <c r="M403" s="6" t="b">
        <v>1</v>
      </c>
    </row>
    <row r="404" spans="1:13" x14ac:dyDescent="0.25">
      <c r="A404" s="6" t="s">
        <v>785</v>
      </c>
      <c r="B404" s="6" t="s">
        <v>791</v>
      </c>
      <c r="C404" s="6">
        <f>IF(Calculator!B8=FALSE,23,42)</f>
        <v>23</v>
      </c>
      <c r="D404" s="6">
        <f>IF(Calculator!B8=FALSE,23,42)</f>
        <v>23</v>
      </c>
      <c r="E404" s="6">
        <f>IF(Calculator!B8=FALSE,10,32)</f>
        <v>10</v>
      </c>
      <c r="F404" s="6">
        <v>5</v>
      </c>
      <c r="G404" s="6">
        <v>20</v>
      </c>
      <c r="H404" s="6">
        <v>0</v>
      </c>
      <c r="I404" s="6">
        <v>15</v>
      </c>
      <c r="J404" s="6">
        <v>5</v>
      </c>
      <c r="K404" s="6" t="str">
        <f>IF(A404=Calculator!B4,1+MAX(K403:K403),"")</f>
        <v/>
      </c>
      <c r="L404" s="6"/>
      <c r="M404" s="6" t="b">
        <v>1</v>
      </c>
    </row>
    <row r="405" spans="1:13" x14ac:dyDescent="0.25">
      <c r="A405" s="6" t="s">
        <v>785</v>
      </c>
      <c r="B405" s="6" t="s">
        <v>757</v>
      </c>
      <c r="C405" s="6">
        <f>IF(Calculator!B8=FALSE,30,47)</f>
        <v>30</v>
      </c>
      <c r="D405" s="6">
        <f>IF(Calculator!B8=FALSE,30,47)</f>
        <v>30</v>
      </c>
      <c r="E405" s="6">
        <f>IF(Calculator!B8=FALSE,10,32)</f>
        <v>10</v>
      </c>
      <c r="F405" s="6">
        <v>5</v>
      </c>
      <c r="G405" s="6">
        <v>10</v>
      </c>
      <c r="H405" s="6">
        <v>0</v>
      </c>
      <c r="I405" s="6">
        <v>15</v>
      </c>
      <c r="J405" s="6">
        <v>0</v>
      </c>
      <c r="K405" s="6" t="str">
        <f>IF(A405=Calculator!B4,1+MAX(K404:K404),"")</f>
        <v/>
      </c>
      <c r="L405" s="6"/>
      <c r="M405" s="6" t="b">
        <v>1</v>
      </c>
    </row>
    <row r="406" spans="1:13" x14ac:dyDescent="0.25">
      <c r="A406" s="6" t="s">
        <v>785</v>
      </c>
      <c r="B406" s="6" t="s">
        <v>793</v>
      </c>
      <c r="C406" s="6">
        <f>IF(Calculator!B8=FALSE,23,42)</f>
        <v>23</v>
      </c>
      <c r="D406" s="6">
        <f>IF(Calculator!B8=FALSE,23,42)</f>
        <v>23</v>
      </c>
      <c r="E406" s="6">
        <f>IF(Calculator!B8=FALSE,40,55)</f>
        <v>40</v>
      </c>
      <c r="F406" s="6">
        <v>5</v>
      </c>
      <c r="G406" s="6">
        <v>15</v>
      </c>
      <c r="H406" s="6">
        <v>0</v>
      </c>
      <c r="I406" s="6">
        <v>10</v>
      </c>
      <c r="J406" s="6">
        <v>0</v>
      </c>
      <c r="K406" s="6" t="str">
        <f>IF(A406=Calculator!B4,1+MAX(K405:K405),"")</f>
        <v/>
      </c>
      <c r="L406" s="6"/>
      <c r="M406" s="6" t="b">
        <v>1</v>
      </c>
    </row>
    <row r="407" spans="1:13" x14ac:dyDescent="0.25">
      <c r="A407" s="6" t="s">
        <v>785</v>
      </c>
      <c r="B407" s="6" t="s">
        <v>784</v>
      </c>
      <c r="C407" s="6">
        <f>IF(Calculator!B8=FALSE,30,47)</f>
        <v>30</v>
      </c>
      <c r="D407" s="6">
        <f>IF(Calculator!B8=FALSE,30,47)</f>
        <v>30</v>
      </c>
      <c r="E407" s="6">
        <f>IF(Calculator!B8=FALSE,10,32)</f>
        <v>10</v>
      </c>
      <c r="F407" s="6">
        <v>5</v>
      </c>
      <c r="G407" s="6">
        <v>10</v>
      </c>
      <c r="H407" s="6">
        <v>0</v>
      </c>
      <c r="I407" s="6">
        <v>15</v>
      </c>
      <c r="J407" s="6">
        <v>0</v>
      </c>
      <c r="K407" s="6" t="str">
        <f>IF(A407=Calculator!B4,1+MAX(K406:K406),"")</f>
        <v/>
      </c>
      <c r="L407" s="6"/>
      <c r="M407" s="6" t="b">
        <v>1</v>
      </c>
    </row>
    <row r="408" spans="1:13" x14ac:dyDescent="0.25">
      <c r="A408" s="6" t="s">
        <v>785</v>
      </c>
      <c r="B408" s="6" t="s">
        <v>794</v>
      </c>
      <c r="C408" s="6">
        <f>IF(Calculator!B8=FALSE,35,51)</f>
        <v>35</v>
      </c>
      <c r="D408" s="6">
        <f>IF(Calculator!B8=FALSE,35,51)</f>
        <v>35</v>
      </c>
      <c r="E408" s="6">
        <f>IF(Calculator!B8=FALSE,15,36)</f>
        <v>15</v>
      </c>
      <c r="F408" s="6">
        <v>5</v>
      </c>
      <c r="G408" s="6">
        <v>15</v>
      </c>
      <c r="H408" s="6">
        <v>0</v>
      </c>
      <c r="I408" s="6">
        <v>10</v>
      </c>
      <c r="J408" s="6">
        <v>0</v>
      </c>
      <c r="K408" s="6" t="str">
        <f>IF(A408=Calculator!B4,1+MAX(K407:K407),"")</f>
        <v/>
      </c>
      <c r="L408" s="6"/>
      <c r="M408" s="6" t="b">
        <v>1</v>
      </c>
    </row>
    <row r="409" spans="1:13" x14ac:dyDescent="0.25">
      <c r="A409" s="6" t="s">
        <v>785</v>
      </c>
      <c r="B409" s="6" t="s">
        <v>788</v>
      </c>
      <c r="C409" s="6">
        <f>IF(Calculator!B8=FALSE,45,58)</f>
        <v>45</v>
      </c>
      <c r="D409" s="6">
        <f>IF(Calculator!B8=FALSE,45,58)</f>
        <v>45</v>
      </c>
      <c r="E409" s="6">
        <f>IF(Calculator!B8=FALSE,50,62)</f>
        <v>50</v>
      </c>
      <c r="F409" s="6">
        <v>5</v>
      </c>
      <c r="G409" s="6">
        <v>15</v>
      </c>
      <c r="H409" s="6">
        <v>0</v>
      </c>
      <c r="I409" s="6">
        <v>15</v>
      </c>
      <c r="J409" s="6">
        <v>0</v>
      </c>
      <c r="K409" s="6" t="str">
        <f>IF(A409=Calculator!B4,1+MAX(K408:K408),"")</f>
        <v/>
      </c>
      <c r="L409" s="6"/>
      <c r="M409" s="6" t="b">
        <v>1</v>
      </c>
    </row>
    <row r="410" spans="1:13" x14ac:dyDescent="0.25">
      <c r="A410" s="6" t="s">
        <v>785</v>
      </c>
      <c r="B410" s="6" t="s">
        <v>548</v>
      </c>
      <c r="C410" s="6">
        <f>IF(Calculator!B8=FALSE,65,73)</f>
        <v>65</v>
      </c>
      <c r="D410" s="6">
        <f>IF(Calculator!B8=FALSE,45,58)</f>
        <v>45</v>
      </c>
      <c r="E410" s="6">
        <f>IF(Calculator!B8=FALSE,55,66)</f>
        <v>55</v>
      </c>
      <c r="F410" s="6">
        <v>15</v>
      </c>
      <c r="G410" s="6">
        <v>20</v>
      </c>
      <c r="H410" s="6">
        <v>0</v>
      </c>
      <c r="I410" s="6">
        <v>30</v>
      </c>
      <c r="J410" s="6">
        <v>10</v>
      </c>
      <c r="K410" s="6" t="str">
        <f>IF(A410=Calculator!B4,1+MAX(K409:K409),"")</f>
        <v/>
      </c>
      <c r="L410" s="6"/>
      <c r="M410" s="6" t="b">
        <v>1</v>
      </c>
    </row>
    <row r="411" spans="1:13" x14ac:dyDescent="0.25">
      <c r="A411" s="6" t="s">
        <v>785</v>
      </c>
      <c r="B411" s="6" t="s">
        <v>792</v>
      </c>
      <c r="C411" s="6">
        <f>IF(Calculator!B8=FALSE,55,66)</f>
        <v>55</v>
      </c>
      <c r="D411" s="6">
        <f>IF(Calculator!B8=FALSE,40,55)</f>
        <v>40</v>
      </c>
      <c r="E411" s="6">
        <f>IF(Calculator!B8=FALSE,50,62)</f>
        <v>50</v>
      </c>
      <c r="F411" s="6">
        <v>15</v>
      </c>
      <c r="G411" s="6">
        <v>35</v>
      </c>
      <c r="H411" s="6">
        <v>0</v>
      </c>
      <c r="I411" s="6">
        <v>20</v>
      </c>
      <c r="J411" s="6">
        <v>10</v>
      </c>
      <c r="K411" s="6" t="str">
        <f>IF(A411=Calculator!B4,1+MAX(K410:K410),"")</f>
        <v/>
      </c>
      <c r="L411" s="6"/>
      <c r="M411" s="6" t="b">
        <v>1</v>
      </c>
    </row>
    <row r="412" spans="1:13" x14ac:dyDescent="0.25">
      <c r="A412" s="6" t="s">
        <v>785</v>
      </c>
      <c r="B412" s="6" t="s">
        <v>533</v>
      </c>
      <c r="C412" s="6">
        <f>IF(Calculator!B8=FALSE,60,70)</f>
        <v>60</v>
      </c>
      <c r="D412" s="6">
        <f>IF(Calculator!B8=FALSE,60,70)</f>
        <v>60</v>
      </c>
      <c r="E412" s="6">
        <f>IF(Calculator!B8=FALSE,75,81)</f>
        <v>75</v>
      </c>
      <c r="F412" s="6">
        <v>10</v>
      </c>
      <c r="G412" s="6">
        <v>15</v>
      </c>
      <c r="H412" s="6">
        <v>0</v>
      </c>
      <c r="I412" s="6">
        <v>20</v>
      </c>
      <c r="J412" s="6">
        <v>5</v>
      </c>
      <c r="K412" s="6" t="str">
        <f>IF(A412=Calculator!B4,1+MAX(K411:K411),"")</f>
        <v/>
      </c>
      <c r="L412" s="6"/>
      <c r="M412" s="6" t="b">
        <v>1</v>
      </c>
    </row>
    <row r="413" spans="1:13" x14ac:dyDescent="0.25">
      <c r="A413" s="6" t="s">
        <v>785</v>
      </c>
      <c r="B413" s="6" t="s">
        <v>795</v>
      </c>
      <c r="C413" s="6">
        <f>IF(Calculator!B8=FALSE,55,66)</f>
        <v>55</v>
      </c>
      <c r="D413" s="6">
        <f>IF(Calculator!B8=FALSE,55,66)</f>
        <v>55</v>
      </c>
      <c r="E413" s="6">
        <f>IF(Calculator!B8=FALSE,70,77)</f>
        <v>70</v>
      </c>
      <c r="F413" s="6">
        <v>10</v>
      </c>
      <c r="G413" s="6">
        <v>20</v>
      </c>
      <c r="H413" s="6">
        <v>0</v>
      </c>
      <c r="I413" s="6">
        <v>15</v>
      </c>
      <c r="J413" s="6">
        <v>5</v>
      </c>
      <c r="K413" s="6" t="str">
        <f>IF(A413=Calculator!B4,1+MAX(K412:K412),"")</f>
        <v/>
      </c>
      <c r="L413" s="6"/>
      <c r="M413" s="6" t="b">
        <v>1</v>
      </c>
    </row>
    <row r="414" spans="1:13" x14ac:dyDescent="0.25">
      <c r="A414" s="6" t="s">
        <v>785</v>
      </c>
      <c r="B414" s="6" t="s">
        <v>781</v>
      </c>
      <c r="C414" s="6">
        <f>IF(Calculator!B8=FALSE,60,70)</f>
        <v>60</v>
      </c>
      <c r="D414" s="6">
        <f>IF(Calculator!B8=FALSE,60,70)</f>
        <v>60</v>
      </c>
      <c r="E414" s="6">
        <f>IF(Calculator!B8=FALSE,75,81)</f>
        <v>75</v>
      </c>
      <c r="F414" s="6">
        <v>10</v>
      </c>
      <c r="G414" s="6">
        <v>15</v>
      </c>
      <c r="H414" s="6">
        <v>0</v>
      </c>
      <c r="I414" s="6">
        <v>15</v>
      </c>
      <c r="J414" s="6">
        <v>5</v>
      </c>
      <c r="K414" s="6" t="str">
        <f>IF(A414=Calculator!B4,1+MAX(K413:K413),"")</f>
        <v/>
      </c>
      <c r="L414" s="6"/>
      <c r="M414" s="6" t="b">
        <v>1</v>
      </c>
    </row>
    <row r="415" spans="1:13" x14ac:dyDescent="0.25">
      <c r="A415" s="6" t="s">
        <v>786</v>
      </c>
      <c r="B415" s="6" t="s">
        <v>502</v>
      </c>
      <c r="C415" s="6">
        <f>IF(Calculator!B8=FALSE,43,57)</f>
        <v>43</v>
      </c>
      <c r="D415" s="6">
        <f>IF(Calculator!B8=FALSE,55,66)</f>
        <v>55</v>
      </c>
      <c r="E415" s="6">
        <f>IF(Calculator!B8=FALSE,45,58)</f>
        <v>45</v>
      </c>
      <c r="F415" s="6">
        <v>20</v>
      </c>
      <c r="G415" s="6">
        <v>10</v>
      </c>
      <c r="H415" s="6">
        <v>15</v>
      </c>
      <c r="I415" s="6">
        <v>5</v>
      </c>
      <c r="J415" s="6">
        <v>15</v>
      </c>
      <c r="K415" s="6" t="str">
        <f>IF(A415=Calculator!B4,1+MAX(K414:K414),"")</f>
        <v/>
      </c>
      <c r="L415" s="6"/>
      <c r="M415" s="6" t="b">
        <v>1</v>
      </c>
    </row>
    <row r="416" spans="1:13" x14ac:dyDescent="0.25">
      <c r="A416" s="6" t="s">
        <v>786</v>
      </c>
      <c r="B416" s="6" t="s">
        <v>528</v>
      </c>
      <c r="C416" s="6">
        <f>IF(Calculator!B8=FALSE,37,52)</f>
        <v>37</v>
      </c>
      <c r="D416" s="6">
        <f>IF(Calculator!B8=FALSE,37,52)</f>
        <v>37</v>
      </c>
      <c r="E416" s="6">
        <f>IF(Calculator!B8=FALSE,25,43)</f>
        <v>25</v>
      </c>
      <c r="F416" s="6">
        <v>15</v>
      </c>
      <c r="G416" s="6">
        <v>10</v>
      </c>
      <c r="H416" s="6">
        <v>10</v>
      </c>
      <c r="I416" s="6">
        <v>10</v>
      </c>
      <c r="J416" s="6">
        <v>10</v>
      </c>
      <c r="K416" s="6" t="str">
        <f>IF(A416=Calculator!B4,1+MAX(K415:K415),"")</f>
        <v/>
      </c>
      <c r="L416" s="6"/>
      <c r="M416" s="6" t="b">
        <v>1</v>
      </c>
    </row>
    <row r="417" spans="1:13" x14ac:dyDescent="0.25">
      <c r="A417" s="6" t="s">
        <v>786</v>
      </c>
      <c r="B417" s="6" t="s">
        <v>775</v>
      </c>
      <c r="C417" s="6">
        <f>IF(Calculator!B8=FALSE,65,73)</f>
        <v>65</v>
      </c>
      <c r="D417" s="6">
        <f>IF(Calculator!B8=FALSE,45,58)</f>
        <v>45</v>
      </c>
      <c r="E417" s="6">
        <f>IF(Calculator!B8=FALSE,45,58)</f>
        <v>45</v>
      </c>
      <c r="F417" s="6">
        <v>25</v>
      </c>
      <c r="G417" s="6">
        <v>10</v>
      </c>
      <c r="H417" s="6">
        <v>15</v>
      </c>
      <c r="I417" s="6">
        <v>10</v>
      </c>
      <c r="J417" s="6">
        <v>10</v>
      </c>
      <c r="K417" s="6" t="str">
        <f>IF(A417=Calculator!B4,1+MAX(K416:K416),"")</f>
        <v/>
      </c>
      <c r="L417" s="6" t="s">
        <v>542</v>
      </c>
      <c r="M417" s="6" t="b">
        <v>1</v>
      </c>
    </row>
    <row r="418" spans="1:13" x14ac:dyDescent="0.25">
      <c r="A418" s="6" t="s">
        <v>786</v>
      </c>
      <c r="B418" s="6" t="s">
        <v>529</v>
      </c>
      <c r="C418" s="6">
        <f>IF(Calculator!B8=FALSE,23,42)</f>
        <v>23</v>
      </c>
      <c r="D418" s="6">
        <f>IF(Calculator!B8=FALSE,23,42)</f>
        <v>23</v>
      </c>
      <c r="E418" s="6">
        <f>IF(Calculator!B8=FALSE,18,38)</f>
        <v>18</v>
      </c>
      <c r="F418" s="6">
        <v>15</v>
      </c>
      <c r="G418" s="6">
        <v>5</v>
      </c>
      <c r="H418" s="6">
        <v>10</v>
      </c>
      <c r="I418" s="6">
        <v>10</v>
      </c>
      <c r="J418" s="6">
        <v>10</v>
      </c>
      <c r="K418" s="6" t="str">
        <f>IF(A418=Calculator!B4,1+MAX(K417:K417),"")</f>
        <v/>
      </c>
      <c r="L418" s="6"/>
      <c r="M418" s="6" t="b">
        <v>1</v>
      </c>
    </row>
    <row r="419" spans="1:13" x14ac:dyDescent="0.25">
      <c r="A419" s="6" t="s">
        <v>786</v>
      </c>
      <c r="B419" s="6" t="s">
        <v>530</v>
      </c>
      <c r="C419" s="6">
        <f>IF(Calculator!B8=FALSE,45,58)</f>
        <v>45</v>
      </c>
      <c r="D419" s="6">
        <f>IF(Calculator!B8=FALSE,45,58)</f>
        <v>45</v>
      </c>
      <c r="E419" s="6">
        <f>IF(Calculator!B8=FALSE,35,51)</f>
        <v>35</v>
      </c>
      <c r="F419" s="6">
        <v>20</v>
      </c>
      <c r="G419" s="6">
        <v>5</v>
      </c>
      <c r="H419" s="6">
        <v>10</v>
      </c>
      <c r="I419" s="6">
        <v>10</v>
      </c>
      <c r="J419" s="6">
        <v>10</v>
      </c>
      <c r="K419" s="6" t="str">
        <f>IF(A419=Calculator!B4,1+MAX(K418:K418),"")</f>
        <v/>
      </c>
      <c r="L419" s="6"/>
      <c r="M419" s="6" t="b">
        <v>1</v>
      </c>
    </row>
    <row r="420" spans="1:13" x14ac:dyDescent="0.25">
      <c r="A420" s="6" t="s">
        <v>786</v>
      </c>
      <c r="B420" s="6" t="s">
        <v>531</v>
      </c>
      <c r="C420" s="6">
        <v>23</v>
      </c>
      <c r="D420" s="6">
        <v>23</v>
      </c>
      <c r="E420" s="6">
        <v>18</v>
      </c>
      <c r="F420" s="6">
        <v>15</v>
      </c>
      <c r="G420" s="6">
        <v>5</v>
      </c>
      <c r="H420" s="6">
        <v>5</v>
      </c>
      <c r="I420" s="6">
        <v>5</v>
      </c>
      <c r="J420" s="6">
        <v>5</v>
      </c>
      <c r="K420" s="6" t="str">
        <f>IF(A420=Calculator!B4,1+MAX(K419:K419),"")</f>
        <v/>
      </c>
      <c r="L420" s="6"/>
      <c r="M420" s="6"/>
    </row>
    <row r="421" spans="1:13" x14ac:dyDescent="0.25">
      <c r="A421" s="6" t="s">
        <v>786</v>
      </c>
      <c r="B421" s="6" t="s">
        <v>532</v>
      </c>
      <c r="C421" s="6">
        <f>IF(Calculator!B8=FALSE,30,47)</f>
        <v>30</v>
      </c>
      <c r="D421" s="6">
        <f>IF(Calculator!B8=FALSE,30,47)</f>
        <v>30</v>
      </c>
      <c r="E421" s="6">
        <f>IF(Calculator!B8=FALSE,25,43)</f>
        <v>25</v>
      </c>
      <c r="F421" s="6">
        <v>15</v>
      </c>
      <c r="G421" s="6">
        <v>5</v>
      </c>
      <c r="H421" s="6">
        <v>10</v>
      </c>
      <c r="I421" s="6">
        <v>5</v>
      </c>
      <c r="J421" s="6">
        <v>5</v>
      </c>
      <c r="K421" s="6" t="str">
        <f>IF(A421=Calculator!B4,1+MAX(K420:K420),"")</f>
        <v/>
      </c>
      <c r="L421" s="6"/>
      <c r="M421" s="6" t="b">
        <v>1</v>
      </c>
    </row>
    <row r="422" spans="1:13" x14ac:dyDescent="0.25">
      <c r="A422" s="6" t="s">
        <v>786</v>
      </c>
      <c r="B422" s="6" t="s">
        <v>777</v>
      </c>
      <c r="C422" s="6">
        <f>IF(Calculator!B8=FALSE,37,52)</f>
        <v>37</v>
      </c>
      <c r="D422" s="6">
        <f>IF(Calculator!B8=FALSE,32,49)</f>
        <v>32</v>
      </c>
      <c r="E422" s="6">
        <f>IF(Calculator!B8=FALSE,25,43)</f>
        <v>25</v>
      </c>
      <c r="F422" s="6">
        <v>20</v>
      </c>
      <c r="G422" s="6">
        <v>10</v>
      </c>
      <c r="H422" s="6">
        <v>15</v>
      </c>
      <c r="I422" s="6">
        <v>10</v>
      </c>
      <c r="J422" s="6">
        <v>10</v>
      </c>
      <c r="K422" s="6" t="str">
        <f>IF(A422=Calculator!B4,1+MAX(K421:K421),"")</f>
        <v/>
      </c>
      <c r="L422" s="6"/>
      <c r="M422" s="6" t="b">
        <v>1</v>
      </c>
    </row>
    <row r="423" spans="1:13" x14ac:dyDescent="0.25">
      <c r="A423" s="6" t="s">
        <v>786</v>
      </c>
      <c r="B423" s="6" t="s">
        <v>533</v>
      </c>
      <c r="C423" s="6">
        <f>IF(Calculator!B8=FALSE,37,52)</f>
        <v>37</v>
      </c>
      <c r="D423" s="6">
        <f>IF(Calculator!B8=FALSE,32,49)</f>
        <v>32</v>
      </c>
      <c r="E423" s="6">
        <f>IF(Calculator!B8=FALSE,25,43)</f>
        <v>25</v>
      </c>
      <c r="F423" s="6">
        <v>25</v>
      </c>
      <c r="G423" s="6">
        <v>10</v>
      </c>
      <c r="H423" s="6">
        <v>15</v>
      </c>
      <c r="I423" s="6">
        <v>10</v>
      </c>
      <c r="J423" s="6">
        <v>10</v>
      </c>
      <c r="K423" s="6" t="str">
        <f>IF(A423=Calculator!B4,1+MAX(K422:K422),"")</f>
        <v/>
      </c>
      <c r="L423" s="6"/>
      <c r="M423" s="6" t="b">
        <v>1</v>
      </c>
    </row>
    <row r="424" spans="1:13" x14ac:dyDescent="0.25">
      <c r="A424" s="6" t="s">
        <v>786</v>
      </c>
      <c r="B424" s="6" t="s">
        <v>796</v>
      </c>
      <c r="C424" s="6">
        <f>IF(Calculator!B8=FALSE,18,38)</f>
        <v>18</v>
      </c>
      <c r="D424" s="6">
        <f>IF(Calculator!B8=FALSE,24,43)</f>
        <v>24</v>
      </c>
      <c r="E424" s="6">
        <f>IF(Calculator!B8=FALSE,15,36)</f>
        <v>15</v>
      </c>
      <c r="F424" s="6">
        <v>35</v>
      </c>
      <c r="G424" s="6">
        <v>5</v>
      </c>
      <c r="H424" s="6">
        <v>20</v>
      </c>
      <c r="I424" s="6">
        <v>5</v>
      </c>
      <c r="J424" s="6">
        <v>5</v>
      </c>
      <c r="K424" s="6" t="str">
        <f>IF(A424=Calculator!B4,1+MAX(K423:K423),"")</f>
        <v/>
      </c>
      <c r="L424" s="6"/>
      <c r="M424" s="6" t="b">
        <v>1</v>
      </c>
    </row>
    <row r="425" spans="1:13" x14ac:dyDescent="0.25">
      <c r="A425" s="6" t="s">
        <v>786</v>
      </c>
      <c r="B425" s="6" t="s">
        <v>797</v>
      </c>
      <c r="C425" s="6">
        <f>IF(Calculator!B8=FALSE,65,73)</f>
        <v>65</v>
      </c>
      <c r="D425" s="6">
        <f>IF(Calculator!B8=FALSE,60,70)</f>
        <v>60</v>
      </c>
      <c r="E425" s="6">
        <f>IF(Calculator!B8=FALSE,50,62)</f>
        <v>50</v>
      </c>
      <c r="F425" s="6">
        <v>20</v>
      </c>
      <c r="G425" s="6">
        <v>10</v>
      </c>
      <c r="H425" s="6">
        <v>10</v>
      </c>
      <c r="I425" s="6">
        <v>10</v>
      </c>
      <c r="J425" s="6">
        <v>15</v>
      </c>
      <c r="K425" s="6" t="str">
        <f>IF(A425=Calculator!B4,1+MAX(K424:K424),"")</f>
        <v/>
      </c>
      <c r="L425" s="6"/>
      <c r="M425" s="6" t="b">
        <v>1</v>
      </c>
    </row>
    <row r="426" spans="1:13" x14ac:dyDescent="0.25">
      <c r="A426" s="6" t="s">
        <v>787</v>
      </c>
      <c r="B426" s="6" t="s">
        <v>502</v>
      </c>
      <c r="C426" s="6">
        <f>IF(Calculator!B8=FALSE,43,57)</f>
        <v>43</v>
      </c>
      <c r="D426" s="6">
        <f>IF(Calculator!B8=FALSE,45,58)</f>
        <v>45</v>
      </c>
      <c r="E426" s="6">
        <f>IF(Calculator!B8=FALSE,45,58)</f>
        <v>45</v>
      </c>
      <c r="F426" s="6">
        <v>25</v>
      </c>
      <c r="G426" s="6">
        <v>35</v>
      </c>
      <c r="H426" s="6">
        <v>25</v>
      </c>
      <c r="I426" s="6">
        <v>25</v>
      </c>
      <c r="J426" s="6">
        <v>5</v>
      </c>
      <c r="K426" s="6" t="str">
        <f>IF(A426=Calculator!B4,1+MAX(K425:K425),"")</f>
        <v/>
      </c>
      <c r="L426" s="6"/>
      <c r="M426" s="6" t="b">
        <v>1</v>
      </c>
    </row>
    <row r="427" spans="1:13" x14ac:dyDescent="0.25">
      <c r="A427" s="6" t="s">
        <v>787</v>
      </c>
      <c r="B427" s="6" t="s">
        <v>778</v>
      </c>
      <c r="C427" s="6">
        <f>IF(Calculator!B8=FALSE,65,73)</f>
        <v>65</v>
      </c>
      <c r="D427" s="6">
        <f>IF(Calculator!B8=FALSE,75,81)</f>
        <v>75</v>
      </c>
      <c r="E427" s="6">
        <f>IF(Calculator!B8=FALSE,55,66)</f>
        <v>55</v>
      </c>
      <c r="F427" s="6">
        <v>20</v>
      </c>
      <c r="G427" s="6">
        <v>25</v>
      </c>
      <c r="H427" s="6">
        <v>20</v>
      </c>
      <c r="I427" s="6">
        <v>20</v>
      </c>
      <c r="J427" s="6">
        <v>5</v>
      </c>
      <c r="K427" s="6" t="str">
        <f>IF(A427=Calculator!B4,1+MAX(K426:K426),"")</f>
        <v/>
      </c>
      <c r="L427" s="6" t="s">
        <v>542</v>
      </c>
      <c r="M427" s="6" t="b">
        <v>1</v>
      </c>
    </row>
    <row r="428" spans="1:13" x14ac:dyDescent="0.25">
      <c r="A428" s="6" t="s">
        <v>787</v>
      </c>
      <c r="B428" s="6" t="s">
        <v>528</v>
      </c>
      <c r="C428" s="6">
        <f>IF(Calculator!B8=FALSE,25,43)</f>
        <v>25</v>
      </c>
      <c r="D428" s="6">
        <f>IF(Calculator!B8=FALSE,30,47)</f>
        <v>30</v>
      </c>
      <c r="E428" s="6">
        <f>IF(Calculator!B8=FALSE,25,43)</f>
        <v>25</v>
      </c>
      <c r="F428" s="6">
        <v>15</v>
      </c>
      <c r="G428" s="6">
        <v>20</v>
      </c>
      <c r="H428" s="6">
        <v>15</v>
      </c>
      <c r="I428" s="6">
        <v>15</v>
      </c>
      <c r="J428" s="6">
        <v>5</v>
      </c>
      <c r="K428" s="6" t="str">
        <f>IF(A428=Calculator!B4,1+MAX(K427:K427),"")</f>
        <v/>
      </c>
      <c r="L428" s="6"/>
      <c r="M428" s="6" t="b">
        <v>1</v>
      </c>
    </row>
    <row r="429" spans="1:13" x14ac:dyDescent="0.25">
      <c r="A429" s="6" t="s">
        <v>787</v>
      </c>
      <c r="B429" s="6" t="s">
        <v>529</v>
      </c>
      <c r="C429" s="6">
        <v>25</v>
      </c>
      <c r="D429" s="6">
        <v>25</v>
      </c>
      <c r="E429" s="6">
        <v>20</v>
      </c>
      <c r="F429" s="6">
        <v>10</v>
      </c>
      <c r="G429" s="6">
        <v>15</v>
      </c>
      <c r="H429" s="6">
        <v>10</v>
      </c>
      <c r="I429" s="6">
        <v>10</v>
      </c>
      <c r="J429" s="6">
        <v>5</v>
      </c>
      <c r="K429" s="6" t="str">
        <f>IF(A429=Calculator!B4,1+MAX(K428:K428),"")</f>
        <v/>
      </c>
      <c r="L429" s="6"/>
      <c r="M429" s="6"/>
    </row>
    <row r="430" spans="1:13" x14ac:dyDescent="0.25">
      <c r="A430" s="6" t="s">
        <v>787</v>
      </c>
      <c r="B430" s="6" t="s">
        <v>530</v>
      </c>
      <c r="C430" s="6">
        <v>25</v>
      </c>
      <c r="D430" s="6">
        <v>25</v>
      </c>
      <c r="E430" s="6">
        <v>20</v>
      </c>
      <c r="F430" s="6">
        <v>10</v>
      </c>
      <c r="G430" s="6">
        <v>15</v>
      </c>
      <c r="H430" s="6">
        <v>10</v>
      </c>
      <c r="I430" s="6">
        <v>10</v>
      </c>
      <c r="J430" s="6">
        <v>5</v>
      </c>
      <c r="K430" s="6" t="str">
        <f>IF(A430=Calculator!B4,1+MAX(K429:K429),"")</f>
        <v/>
      </c>
      <c r="L430" s="6"/>
      <c r="M430" s="6"/>
    </row>
    <row r="431" spans="1:13" x14ac:dyDescent="0.25">
      <c r="A431" s="6" t="s">
        <v>787</v>
      </c>
      <c r="B431" s="6" t="s">
        <v>531</v>
      </c>
      <c r="C431" s="6">
        <f>IF(Calculator!B8=FALSE,34,50)</f>
        <v>34</v>
      </c>
      <c r="D431" s="6">
        <f>IF(Calculator!B8=FALSE,38,53)</f>
        <v>38</v>
      </c>
      <c r="E431" s="6">
        <f>IF(Calculator!B8=FALSE,30,47)</f>
        <v>30</v>
      </c>
      <c r="F431" s="6">
        <v>20</v>
      </c>
      <c r="G431" s="6">
        <v>30</v>
      </c>
      <c r="H431" s="6">
        <v>20</v>
      </c>
      <c r="I431" s="6">
        <v>20</v>
      </c>
      <c r="J431" s="6">
        <v>5</v>
      </c>
      <c r="K431" s="6" t="str">
        <f>IF(A431=Calculator!B4,1+MAX(K430:K430),"")</f>
        <v/>
      </c>
      <c r="L431" s="6"/>
      <c r="M431" s="6" t="b">
        <v>1</v>
      </c>
    </row>
    <row r="432" spans="1:13" x14ac:dyDescent="0.25">
      <c r="A432" s="6" t="s">
        <v>787</v>
      </c>
      <c r="B432" s="6" t="s">
        <v>774</v>
      </c>
      <c r="C432" s="6">
        <f>IF(Calculator!B8=FALSE,45,58)</f>
        <v>45</v>
      </c>
      <c r="D432" s="6">
        <f>IF(Calculator!B8=FALSE,45,58)</f>
        <v>45</v>
      </c>
      <c r="E432" s="6">
        <f>IF(Calculator!B8=FALSE,40,55)</f>
        <v>40</v>
      </c>
      <c r="F432" s="6">
        <v>10</v>
      </c>
      <c r="G432" s="6">
        <v>20</v>
      </c>
      <c r="H432" s="6">
        <v>10</v>
      </c>
      <c r="I432" s="6">
        <v>10</v>
      </c>
      <c r="J432" s="6">
        <v>5</v>
      </c>
      <c r="K432" s="6" t="str">
        <f>IF(A432=Calculator!B4,1+MAX(K431:K431),"")</f>
        <v/>
      </c>
      <c r="L432" s="6"/>
      <c r="M432" s="6" t="b">
        <v>1</v>
      </c>
    </row>
    <row r="433" spans="1:13" x14ac:dyDescent="0.25">
      <c r="A433" s="6" t="s">
        <v>787</v>
      </c>
      <c r="B433" s="6" t="s">
        <v>532</v>
      </c>
      <c r="C433" s="6">
        <f>IF(Calculator!B8=FALSE,30,47)</f>
        <v>30</v>
      </c>
      <c r="D433" s="6">
        <f>IF(Calculator!B8=FALSE,30,47)</f>
        <v>30</v>
      </c>
      <c r="E433" s="6">
        <f>IF(Calculator!B8=FALSE,25,43)</f>
        <v>25</v>
      </c>
      <c r="F433" s="6">
        <v>20</v>
      </c>
      <c r="G433" s="6">
        <v>30</v>
      </c>
      <c r="H433" s="6">
        <v>20</v>
      </c>
      <c r="I433" s="6">
        <v>20</v>
      </c>
      <c r="J433" s="6">
        <v>5</v>
      </c>
      <c r="K433" s="6" t="str">
        <f>IF(A433=Calculator!B4,1+MAX(K432:K432),"")</f>
        <v/>
      </c>
      <c r="L433" s="6"/>
      <c r="M433" s="6" t="b">
        <v>1</v>
      </c>
    </row>
    <row r="434" spans="1:13" x14ac:dyDescent="0.25">
      <c r="A434" s="6" t="s">
        <v>787</v>
      </c>
      <c r="B434" s="6" t="s">
        <v>759</v>
      </c>
      <c r="C434" s="6">
        <f>IF(Calculator!B8=FALSE,50,62)</f>
        <v>50</v>
      </c>
      <c r="D434" s="6">
        <f>IF(Calculator!B8=FALSE,50,62)</f>
        <v>50</v>
      </c>
      <c r="E434" s="6">
        <f>IF(Calculator!B8=FALSE,40,55)</f>
        <v>40</v>
      </c>
      <c r="F434" s="6">
        <v>10</v>
      </c>
      <c r="G434" s="6">
        <v>20</v>
      </c>
      <c r="H434" s="6">
        <v>10</v>
      </c>
      <c r="I434" s="6">
        <v>10</v>
      </c>
      <c r="J434" s="6">
        <v>5</v>
      </c>
      <c r="K434" s="6" t="str">
        <f>IF(A434=Calculator!B4,1+MAX(K433:K433),"")</f>
        <v/>
      </c>
      <c r="L434" s="6"/>
      <c r="M434" s="6" t="b">
        <v>1</v>
      </c>
    </row>
    <row r="435" spans="1:13" x14ac:dyDescent="0.25">
      <c r="A435" s="6" t="s">
        <v>787</v>
      </c>
      <c r="B435" s="6" t="s">
        <v>533</v>
      </c>
      <c r="C435" s="6">
        <f>IF(Calculator!B8=FALSE,25,43)</f>
        <v>25</v>
      </c>
      <c r="D435" s="6">
        <f>IF(Calculator!B8=FALSE,22,41)</f>
        <v>22</v>
      </c>
      <c r="E435" s="6">
        <f>IF(Calculator!B8=FALSE,25,43)</f>
        <v>25</v>
      </c>
      <c r="F435" s="6">
        <v>20</v>
      </c>
      <c r="G435" s="6">
        <v>30</v>
      </c>
      <c r="H435" s="6">
        <v>20</v>
      </c>
      <c r="I435" s="6">
        <v>20</v>
      </c>
      <c r="J435" s="6">
        <v>5</v>
      </c>
      <c r="K435" s="6" t="str">
        <f>IF(A435=Calculator!B4,1+MAX(K434:K434),"")</f>
        <v/>
      </c>
      <c r="L435" s="6"/>
      <c r="M435" s="6" t="b">
        <v>1</v>
      </c>
    </row>
    <row r="436" spans="1:13" x14ac:dyDescent="0.25">
      <c r="A436" s="6" t="s">
        <v>787</v>
      </c>
      <c r="B436" s="6" t="s">
        <v>781</v>
      </c>
      <c r="C436" s="6">
        <f>IF(Calculator!B8=FALSE,50,62)</f>
        <v>50</v>
      </c>
      <c r="D436" s="6">
        <f>IF(Calculator!B8=FALSE,45,58)</f>
        <v>45</v>
      </c>
      <c r="E436" s="6">
        <f>IF(Calculator!B8=FALSE,45,58)</f>
        <v>45</v>
      </c>
      <c r="F436" s="6">
        <v>10</v>
      </c>
      <c r="G436" s="6">
        <v>15</v>
      </c>
      <c r="H436" s="6">
        <v>10</v>
      </c>
      <c r="I436" s="6">
        <v>10</v>
      </c>
      <c r="J436" s="6">
        <v>5</v>
      </c>
      <c r="K436" s="6" t="str">
        <f>IF(A436=Calculator!B4,1+MAX(K435:K435),"")</f>
        <v/>
      </c>
      <c r="L436" s="6"/>
      <c r="M436" s="6" t="b">
        <v>1</v>
      </c>
    </row>
    <row r="437" spans="1:13" x14ac:dyDescent="0.25">
      <c r="A437" s="6" t="s">
        <v>787</v>
      </c>
      <c r="B437" s="6" t="s">
        <v>568</v>
      </c>
      <c r="C437" s="6">
        <f>IF(Calculator!B8=FALSE,45,58)</f>
        <v>45</v>
      </c>
      <c r="D437" s="6">
        <f>IF(Calculator!B8=FALSE,30,47)</f>
        <v>30</v>
      </c>
      <c r="E437" s="39">
        <f>IF(Calculator!B8=FALSE,40,55)</f>
        <v>40</v>
      </c>
      <c r="F437" s="6">
        <v>15</v>
      </c>
      <c r="G437" s="6">
        <v>20</v>
      </c>
      <c r="H437" s="6">
        <v>15</v>
      </c>
      <c r="I437" s="6">
        <v>15</v>
      </c>
      <c r="J437" s="6">
        <v>5</v>
      </c>
      <c r="K437" s="6" t="str">
        <f>IF(A437=Calculator!B4,1+MAX(K436:K436),"")</f>
        <v/>
      </c>
      <c r="L437" s="6"/>
      <c r="M437" s="6" t="b">
        <v>1</v>
      </c>
    </row>
    <row r="438" spans="1:13" x14ac:dyDescent="0.25">
      <c r="A438" s="6" t="s">
        <v>773</v>
      </c>
      <c r="B438" s="6" t="s">
        <v>502</v>
      </c>
      <c r="C438" s="6">
        <f>IF(Calculator!B8=FALSE,55,66)</f>
        <v>55</v>
      </c>
      <c r="D438" s="6">
        <f>IF(Calculator!B8=FALSE,55,66)</f>
        <v>55</v>
      </c>
      <c r="E438" s="6">
        <f>IF(Calculator!B8=FALSE,45,58)</f>
        <v>45</v>
      </c>
      <c r="F438" s="6">
        <v>20</v>
      </c>
      <c r="G438" s="6">
        <v>0</v>
      </c>
      <c r="H438" s="6">
        <v>15</v>
      </c>
      <c r="I438" s="6">
        <v>0</v>
      </c>
      <c r="J438" s="6">
        <v>20</v>
      </c>
      <c r="K438" s="6" t="str">
        <f>IF(A438=Calculator!B4,1+MAX(K437:K437),"")</f>
        <v/>
      </c>
      <c r="L438" s="6" t="s">
        <v>542</v>
      </c>
      <c r="M438" s="6" t="b">
        <v>1</v>
      </c>
    </row>
    <row r="439" spans="1:13" x14ac:dyDescent="0.25">
      <c r="A439" s="6" t="s">
        <v>773</v>
      </c>
      <c r="B439" s="6" t="s">
        <v>778</v>
      </c>
      <c r="C439" s="6">
        <f>IF(Calculator!B8=FALSE,65,73)</f>
        <v>65</v>
      </c>
      <c r="D439" s="6">
        <f>IF(Calculator!B8=FALSE,65,73)</f>
        <v>65</v>
      </c>
      <c r="E439" s="6">
        <f>IF(Calculator!B8=FALSE,55,66)</f>
        <v>55</v>
      </c>
      <c r="F439" s="6">
        <v>20</v>
      </c>
      <c r="G439" s="6">
        <v>0</v>
      </c>
      <c r="H439" s="6">
        <v>15</v>
      </c>
      <c r="I439" s="6">
        <v>0</v>
      </c>
      <c r="J439" s="6">
        <v>20</v>
      </c>
      <c r="K439" s="6" t="str">
        <f>IF(A439=Calculator!B4,1+MAX(K438:K438),"")</f>
        <v/>
      </c>
      <c r="M439" s="6" t="b">
        <v>1</v>
      </c>
    </row>
    <row r="440" spans="1:13" x14ac:dyDescent="0.25">
      <c r="A440" s="6" t="s">
        <v>773</v>
      </c>
      <c r="B440" s="6" t="s">
        <v>528</v>
      </c>
      <c r="C440" s="6">
        <f>IF(Calculator!B8=FALSE,35,51)</f>
        <v>35</v>
      </c>
      <c r="D440" s="6">
        <f>IF(Calculator!B8=FALSE,45,58)</f>
        <v>45</v>
      </c>
      <c r="E440" s="6">
        <f>IF(Calculator!B8=FALSE,30,47)</f>
        <v>30</v>
      </c>
      <c r="F440" s="6">
        <v>25</v>
      </c>
      <c r="G440" s="6">
        <v>5</v>
      </c>
      <c r="H440" s="6">
        <v>10</v>
      </c>
      <c r="I440" s="6">
        <v>0</v>
      </c>
      <c r="J440" s="6">
        <v>15</v>
      </c>
      <c r="K440" s="6" t="str">
        <f>IF(A440=Calculator!B4,1+MAX(K439:K439),"")</f>
        <v/>
      </c>
      <c r="L440" s="6"/>
      <c r="M440" s="6" t="b">
        <v>1</v>
      </c>
    </row>
    <row r="441" spans="1:13" x14ac:dyDescent="0.25">
      <c r="A441" s="6" t="s">
        <v>773</v>
      </c>
      <c r="B441" s="6" t="s">
        <v>779</v>
      </c>
      <c r="C441" s="6">
        <f>IF(Calculator!B8=FALSE,45,58)</f>
        <v>45</v>
      </c>
      <c r="D441" s="6">
        <f>IF(Calculator!B8=FALSE,55,66)</f>
        <v>55</v>
      </c>
      <c r="E441" s="6">
        <f>IF(Calculator!B8=FALSE,40,55)</f>
        <v>40</v>
      </c>
      <c r="F441" s="6">
        <v>25</v>
      </c>
      <c r="G441" s="6">
        <v>5</v>
      </c>
      <c r="H441" s="6">
        <v>10</v>
      </c>
      <c r="I441" s="6">
        <v>0</v>
      </c>
      <c r="J441" s="6">
        <v>15</v>
      </c>
      <c r="K441" s="6" t="str">
        <f>IF(A441=Calculator!B4,1+MAX(K440:K440),"")</f>
        <v/>
      </c>
      <c r="L441" s="6"/>
      <c r="M441" s="6" t="b">
        <v>1</v>
      </c>
    </row>
    <row r="442" spans="1:13" x14ac:dyDescent="0.25">
      <c r="A442" s="6" t="s">
        <v>773</v>
      </c>
      <c r="B442" s="6" t="s">
        <v>757</v>
      </c>
      <c r="C442" s="6">
        <f>IF(Calculator!B8=FALSE,30,47)</f>
        <v>30</v>
      </c>
      <c r="D442" s="6">
        <f>IF(Calculator!B8=FALSE,30,47)</f>
        <v>30</v>
      </c>
      <c r="E442" s="6">
        <f>IF(Calculator!B8=FALSE,25,43)</f>
        <v>25</v>
      </c>
      <c r="F442" s="6">
        <v>30</v>
      </c>
      <c r="G442" s="6">
        <v>10</v>
      </c>
      <c r="H442" s="6">
        <v>5</v>
      </c>
      <c r="I442" s="6">
        <v>0</v>
      </c>
      <c r="J442" s="6">
        <v>10</v>
      </c>
      <c r="K442" s="6" t="str">
        <f>IF(A442=Calculator!B4,1+MAX(K441:K441),"")</f>
        <v/>
      </c>
      <c r="L442" s="6"/>
      <c r="M442" s="6" t="b">
        <v>1</v>
      </c>
    </row>
    <row r="443" spans="1:13" x14ac:dyDescent="0.25">
      <c r="A443" s="6" t="s">
        <v>773</v>
      </c>
      <c r="B443" s="6" t="s">
        <v>531</v>
      </c>
      <c r="C443" s="6">
        <v>45</v>
      </c>
      <c r="D443" s="6">
        <v>40</v>
      </c>
      <c r="E443" s="6">
        <v>30</v>
      </c>
      <c r="F443" s="6">
        <v>30</v>
      </c>
      <c r="G443" s="6">
        <v>10</v>
      </c>
      <c r="H443" s="6">
        <v>5</v>
      </c>
      <c r="I443" s="6">
        <v>0</v>
      </c>
      <c r="J443" s="6">
        <v>10</v>
      </c>
      <c r="K443" s="6" t="str">
        <f>IF(A443=Calculator!B4,1+MAX(K442:K442),"")</f>
        <v/>
      </c>
      <c r="L443" s="6"/>
      <c r="M443" s="6"/>
    </row>
    <row r="444" spans="1:13" x14ac:dyDescent="0.25">
      <c r="A444" s="6" t="s">
        <v>773</v>
      </c>
      <c r="B444" s="6" t="s">
        <v>532</v>
      </c>
      <c r="C444" s="6">
        <v>35</v>
      </c>
      <c r="D444" s="6">
        <v>30</v>
      </c>
      <c r="E444" s="6">
        <v>20</v>
      </c>
      <c r="F444" s="6">
        <v>30</v>
      </c>
      <c r="G444" s="6">
        <v>10</v>
      </c>
      <c r="H444" s="6">
        <v>5</v>
      </c>
      <c r="I444" s="6">
        <v>0</v>
      </c>
      <c r="J444" s="6">
        <v>10</v>
      </c>
      <c r="K444" s="6" t="str">
        <f>IF(A444=Calculator!B4,1+MAX(K443:K443),"")</f>
        <v/>
      </c>
      <c r="L444" s="6"/>
      <c r="M444" s="6"/>
    </row>
    <row r="445" spans="1:13" x14ac:dyDescent="0.25">
      <c r="A445" s="6" t="s">
        <v>773</v>
      </c>
      <c r="B445" s="6" t="s">
        <v>548</v>
      </c>
      <c r="C445" s="6">
        <f>IF(Calculator!B8=FALSE,40,55)</f>
        <v>40</v>
      </c>
      <c r="D445" s="6">
        <f>IF(Calculator!B8=FALSE,40,55)</f>
        <v>40</v>
      </c>
      <c r="E445" s="6">
        <f>IF(Calculator!B8=FALSE,20,40)</f>
        <v>20</v>
      </c>
      <c r="F445" s="6">
        <v>25</v>
      </c>
      <c r="G445" s="6">
        <v>5</v>
      </c>
      <c r="H445" s="6">
        <v>10</v>
      </c>
      <c r="I445" s="6">
        <v>0</v>
      </c>
      <c r="J445" s="6">
        <v>15</v>
      </c>
      <c r="K445" s="6" t="str">
        <f>IF(A445=Calculator!B4,1+MAX(K444:K444),"")</f>
        <v/>
      </c>
      <c r="L445" s="6"/>
      <c r="M445" s="6" t="b">
        <v>1</v>
      </c>
    </row>
    <row r="446" spans="1:13" x14ac:dyDescent="0.25">
      <c r="A446" s="6" t="s">
        <v>773</v>
      </c>
      <c r="B446" s="6" t="s">
        <v>780</v>
      </c>
      <c r="C446" s="6">
        <f>IF(Calculator!B8=FALSE,50,62)</f>
        <v>50</v>
      </c>
      <c r="D446" s="6">
        <f>IF(Calculator!B8=FALSE,50,62)</f>
        <v>50</v>
      </c>
      <c r="E446" s="6">
        <f>IF(Calculator!B8=FALSE,30,47)</f>
        <v>30</v>
      </c>
      <c r="F446" s="6">
        <v>25</v>
      </c>
      <c r="G446" s="6">
        <v>5</v>
      </c>
      <c r="H446" s="6">
        <v>10</v>
      </c>
      <c r="I446" s="6">
        <v>0</v>
      </c>
      <c r="J446" s="6">
        <v>15</v>
      </c>
      <c r="K446" s="6" t="str">
        <f>IF(A446=Calculator!B4,1+MAX(K445:K445),"")</f>
        <v/>
      </c>
      <c r="L446" s="6"/>
      <c r="M446" s="6" t="b">
        <v>1</v>
      </c>
    </row>
    <row r="447" spans="1:13" x14ac:dyDescent="0.25">
      <c r="A447" s="6" t="s">
        <v>773</v>
      </c>
      <c r="B447" s="6" t="s">
        <v>533</v>
      </c>
      <c r="C447" s="6">
        <f>IF(Calculator!B8=FALSE,40,55)</f>
        <v>40</v>
      </c>
      <c r="D447" s="6">
        <f>IF(Calculator!B8=FALSE,35,51)</f>
        <v>35</v>
      </c>
      <c r="E447" s="6">
        <f>IF(Calculator!B8=FALSE,35,51)</f>
        <v>35</v>
      </c>
      <c r="F447" s="6">
        <v>25</v>
      </c>
      <c r="G447" s="6">
        <v>5</v>
      </c>
      <c r="H447" s="6">
        <v>10</v>
      </c>
      <c r="I447" s="6">
        <v>0</v>
      </c>
      <c r="J447" s="6">
        <v>15</v>
      </c>
      <c r="K447" s="6" t="str">
        <f>IF(A447=Calculator!B4,1+MAX(K446:K446),"")</f>
        <v/>
      </c>
      <c r="L447" s="6"/>
      <c r="M447" s="6" t="b">
        <v>1</v>
      </c>
    </row>
    <row r="448" spans="1:13" x14ac:dyDescent="0.25">
      <c r="A448" s="6" t="s">
        <v>773</v>
      </c>
      <c r="B448" s="6" t="s">
        <v>781</v>
      </c>
      <c r="C448" s="6">
        <f>IF(Calculator!B8=FALSE,50,62)</f>
        <v>50</v>
      </c>
      <c r="D448" s="6">
        <f>IF(Calculator!B8=FALSE,45,58)</f>
        <v>45</v>
      </c>
      <c r="E448" s="6">
        <f>IF(Calculator!B8=FALSE,45,58)</f>
        <v>45</v>
      </c>
      <c r="F448" s="6">
        <v>25</v>
      </c>
      <c r="G448" s="6">
        <v>5</v>
      </c>
      <c r="H448" s="6">
        <v>10</v>
      </c>
      <c r="I448" s="6">
        <v>0</v>
      </c>
      <c r="J448" s="6">
        <v>15</v>
      </c>
      <c r="K448" s="6" t="str">
        <f>IF(A448=Calculator!B4,1+MAX(K447:K447),"")</f>
        <v/>
      </c>
      <c r="L448" s="6"/>
      <c r="M448" s="6" t="b">
        <v>1</v>
      </c>
    </row>
    <row r="449" spans="1:13" x14ac:dyDescent="0.25">
      <c r="A449" s="6" t="s">
        <v>799</v>
      </c>
      <c r="B449" s="6" t="s">
        <v>502</v>
      </c>
      <c r="C449" s="6">
        <f>IF(Calculator!B8=FALSE,45,58)</f>
        <v>45</v>
      </c>
      <c r="D449" s="6">
        <f>IF(Calculator!B8=FALSE,45,58)</f>
        <v>45</v>
      </c>
      <c r="E449" s="6">
        <f>IF(Calculator!B8=FALSE,35,51)</f>
        <v>35</v>
      </c>
      <c r="F449" s="6">
        <v>0</v>
      </c>
      <c r="G449" s="6">
        <v>5</v>
      </c>
      <c r="H449" s="6">
        <v>20</v>
      </c>
      <c r="I449" s="6">
        <v>25</v>
      </c>
      <c r="J449" s="6">
        <v>5</v>
      </c>
      <c r="K449" s="6" t="str">
        <f>IF(A449=Calculator!B4,1+MAX(K448:K448),"")</f>
        <v/>
      </c>
      <c r="L449" s="6" t="s">
        <v>542</v>
      </c>
      <c r="M449" s="6" t="b">
        <v>1</v>
      </c>
    </row>
    <row r="450" spans="1:13" x14ac:dyDescent="0.25">
      <c r="A450" s="6" t="s">
        <v>799</v>
      </c>
      <c r="B450" s="6" t="s">
        <v>529</v>
      </c>
      <c r="C450" s="6">
        <v>45</v>
      </c>
      <c r="D450" s="6">
        <v>45</v>
      </c>
      <c r="E450" s="6">
        <v>35</v>
      </c>
      <c r="F450" s="6">
        <v>0</v>
      </c>
      <c r="G450" s="6">
        <v>5</v>
      </c>
      <c r="H450" s="6">
        <v>15</v>
      </c>
      <c r="I450" s="6">
        <v>20</v>
      </c>
      <c r="J450" s="6">
        <v>5</v>
      </c>
      <c r="K450" s="6" t="str">
        <f>IF(A450=Calculator!B4,1+MAX(K449:K449),"")</f>
        <v/>
      </c>
      <c r="L450" s="6"/>
      <c r="M450" s="6"/>
    </row>
    <row r="451" spans="1:13" x14ac:dyDescent="0.25">
      <c r="A451" s="6" t="s">
        <v>799</v>
      </c>
      <c r="B451" s="6" t="s">
        <v>530</v>
      </c>
      <c r="C451" s="6">
        <v>30</v>
      </c>
      <c r="D451" s="6">
        <v>30</v>
      </c>
      <c r="E451" s="6">
        <v>15</v>
      </c>
      <c r="F451" s="6">
        <v>0</v>
      </c>
      <c r="G451" s="6">
        <v>5</v>
      </c>
      <c r="H451" s="6">
        <v>10</v>
      </c>
      <c r="I451" s="6">
        <v>15</v>
      </c>
      <c r="J451" s="6">
        <v>5</v>
      </c>
      <c r="K451" s="6" t="str">
        <f>IF(A451=Calculator!B4,1+MAX(K450:K450),"")</f>
        <v/>
      </c>
      <c r="L451" s="6"/>
      <c r="M451" s="6"/>
    </row>
    <row r="452" spans="1:13" x14ac:dyDescent="0.25">
      <c r="A452" s="6" t="s">
        <v>799</v>
      </c>
      <c r="B452" s="6" t="s">
        <v>505</v>
      </c>
      <c r="C452" s="6">
        <f>IF(Calculator!B8=FALSE,35,51)</f>
        <v>35</v>
      </c>
      <c r="D452" s="6">
        <f>IF(Calculator!B8=FALSE,35,51)</f>
        <v>35</v>
      </c>
      <c r="E452" s="6">
        <f>IF(Calculator!B8=FALSE,25,43)</f>
        <v>25</v>
      </c>
      <c r="F452" s="6">
        <v>0</v>
      </c>
      <c r="G452" s="6">
        <v>5</v>
      </c>
      <c r="H452" s="6">
        <v>10</v>
      </c>
      <c r="I452" s="6">
        <v>15</v>
      </c>
      <c r="J452" s="6">
        <v>5</v>
      </c>
      <c r="K452" s="6" t="str">
        <f>IF(A452=Calculator!B4,1+MAX(K451:K451),"")</f>
        <v/>
      </c>
      <c r="L452" s="6"/>
      <c r="M452" s="6" t="b">
        <v>1</v>
      </c>
    </row>
    <row r="453" spans="1:13" x14ac:dyDescent="0.25">
      <c r="A453" s="6" t="s">
        <v>799</v>
      </c>
      <c r="B453" s="6" t="s">
        <v>548</v>
      </c>
      <c r="C453" s="6">
        <f>IF(Calculator!B8=FALSE,35,51)</f>
        <v>35</v>
      </c>
      <c r="D453" s="6">
        <f>IF(Calculator!B8=FALSE,35,51)</f>
        <v>35</v>
      </c>
      <c r="E453" s="6">
        <f>IF(Calculator!B8=FALSE,45,58)</f>
        <v>45</v>
      </c>
      <c r="F453" s="6">
        <v>0</v>
      </c>
      <c r="G453" s="6">
        <v>5</v>
      </c>
      <c r="H453" s="6">
        <v>10</v>
      </c>
      <c r="I453" s="6">
        <v>15</v>
      </c>
      <c r="J453" s="6">
        <v>5</v>
      </c>
      <c r="K453" s="6" t="str">
        <f>IF(A453=Calculator!B4,1+MAX(K452:K452),"")</f>
        <v/>
      </c>
      <c r="L453" s="6"/>
      <c r="M453" s="6" t="b">
        <v>1</v>
      </c>
    </row>
    <row r="454" spans="1:13" x14ac:dyDescent="0.25">
      <c r="A454" s="6" t="s">
        <v>799</v>
      </c>
      <c r="B454" s="6" t="s">
        <v>533</v>
      </c>
      <c r="C454" s="6">
        <f>IF(Calculator!B8=FALSE,65,73)</f>
        <v>65</v>
      </c>
      <c r="D454" s="6">
        <f>IF(Calculator!B8=FALSE,65,73)</f>
        <v>65</v>
      </c>
      <c r="E454" s="6">
        <f>IF(Calculator!B8=FALSE,55,66)</f>
        <v>55</v>
      </c>
      <c r="F454" s="6">
        <v>0</v>
      </c>
      <c r="G454" s="6">
        <v>5</v>
      </c>
      <c r="H454" s="6">
        <v>20</v>
      </c>
      <c r="I454" s="6">
        <v>25</v>
      </c>
      <c r="J454" s="6">
        <v>5</v>
      </c>
      <c r="K454" s="6" t="str">
        <f>IF(A454=Calculator!B4,1+MAX(K453:K453),"")</f>
        <v/>
      </c>
      <c r="L454" s="6"/>
      <c r="M454" s="6" t="b">
        <v>1</v>
      </c>
    </row>
    <row r="455" spans="1:13" x14ac:dyDescent="0.25">
      <c r="A455" s="6" t="s">
        <v>800</v>
      </c>
      <c r="B455" s="6" t="s">
        <v>502</v>
      </c>
      <c r="C455" s="6">
        <f>IF(Calculator!B8=FALSE,65,73)</f>
        <v>65</v>
      </c>
      <c r="D455" s="6">
        <f>IF(Calculator!B8=FALSE,75,81)</f>
        <v>75</v>
      </c>
      <c r="E455" s="6">
        <f>IF(Calculator!B8=FALSE,50,62)</f>
        <v>50</v>
      </c>
      <c r="F455" s="6">
        <v>15</v>
      </c>
      <c r="G455" s="6">
        <v>5</v>
      </c>
      <c r="H455" s="6">
        <v>10</v>
      </c>
      <c r="I455" s="6">
        <v>15</v>
      </c>
      <c r="J455" s="6">
        <v>0</v>
      </c>
      <c r="K455" s="6" t="str">
        <f>IF(A455=Calculator!B4,1+MAX(K454:K454),"")</f>
        <v/>
      </c>
      <c r="L455" s="6" t="s">
        <v>542</v>
      </c>
      <c r="M455" s="6" t="b">
        <v>1</v>
      </c>
    </row>
    <row r="456" spans="1:13" x14ac:dyDescent="0.25">
      <c r="A456" s="6" t="s">
        <v>800</v>
      </c>
      <c r="B456" s="6" t="s">
        <v>778</v>
      </c>
      <c r="C456" s="6">
        <f>IF(Calculator!B8=FALSE,75,81)</f>
        <v>75</v>
      </c>
      <c r="D456" s="6">
        <f>IF(Calculator!B8=FALSE,85,88)</f>
        <v>85</v>
      </c>
      <c r="E456" s="6">
        <f>IF(Calculator!B8=FALSE,60,70)</f>
        <v>60</v>
      </c>
      <c r="F456" s="6">
        <v>20</v>
      </c>
      <c r="G456" s="6">
        <v>5</v>
      </c>
      <c r="H456" s="6">
        <v>10</v>
      </c>
      <c r="I456" s="6">
        <v>15</v>
      </c>
      <c r="J456" s="6">
        <v>25</v>
      </c>
      <c r="K456" s="6" t="str">
        <f>IF(A456=Calculator!B4,1+MAX(K455:K455),"")</f>
        <v/>
      </c>
      <c r="L456" s="6"/>
      <c r="M456" s="6" t="b">
        <v>1</v>
      </c>
    </row>
    <row r="457" spans="1:13" x14ac:dyDescent="0.25">
      <c r="A457" s="6" t="s">
        <v>800</v>
      </c>
      <c r="B457" s="6" t="s">
        <v>528</v>
      </c>
      <c r="C457" s="6">
        <v>30</v>
      </c>
      <c r="D457" s="6">
        <v>30</v>
      </c>
      <c r="E457" s="6">
        <v>25</v>
      </c>
      <c r="F457" s="6">
        <v>10</v>
      </c>
      <c r="G457" s="6">
        <v>5</v>
      </c>
      <c r="H457" s="6">
        <v>5</v>
      </c>
      <c r="I457" s="6">
        <v>10</v>
      </c>
      <c r="J457" s="6">
        <v>15</v>
      </c>
      <c r="K457" s="6" t="str">
        <f>IF(A457=Calculator!B4,1+MAX(K456:K456),"")</f>
        <v/>
      </c>
      <c r="L457" s="6"/>
      <c r="M457" s="6"/>
    </row>
    <row r="458" spans="1:13" x14ac:dyDescent="0.25">
      <c r="A458" s="6" t="s">
        <v>800</v>
      </c>
      <c r="B458" s="6" t="s">
        <v>807</v>
      </c>
      <c r="C458" s="6">
        <f>IF(Calculator!B8=FALSE,60,70)</f>
        <v>60</v>
      </c>
      <c r="D458" s="6">
        <f>IF(Calculator!B8=FALSE,65,73)</f>
        <v>65</v>
      </c>
      <c r="E458" s="6">
        <f>IF(Calculator!B8=FALSE,45,58)</f>
        <v>45</v>
      </c>
      <c r="F458" s="6">
        <v>15</v>
      </c>
      <c r="G458" s="6">
        <v>10</v>
      </c>
      <c r="H458" s="6">
        <v>10</v>
      </c>
      <c r="I458" s="6">
        <v>10</v>
      </c>
      <c r="J458" s="6">
        <v>20</v>
      </c>
      <c r="K458" s="6" t="str">
        <f>IF(A458=Calculator!B4,1+MAX(K457:K457),"")</f>
        <v/>
      </c>
      <c r="L458" s="6"/>
      <c r="M458" s="6" t="b">
        <v>1</v>
      </c>
    </row>
    <row r="459" spans="1:13" x14ac:dyDescent="0.25">
      <c r="A459" s="6" t="s">
        <v>800</v>
      </c>
      <c r="B459" s="6" t="s">
        <v>503</v>
      </c>
      <c r="C459" s="6">
        <f>IF(Calculator!B8=FALSE,30,47)</f>
        <v>30</v>
      </c>
      <c r="D459" s="6">
        <f>IF(Calculator!B8=FALSE,30,47)</f>
        <v>30</v>
      </c>
      <c r="E459" s="6">
        <f>IF(Calculator!B8=FALSE,25,43)</f>
        <v>25</v>
      </c>
      <c r="F459" s="6">
        <v>10</v>
      </c>
      <c r="G459" s="6">
        <v>5</v>
      </c>
      <c r="H459" s="6">
        <v>5</v>
      </c>
      <c r="I459" s="6">
        <v>10</v>
      </c>
      <c r="J459" s="6">
        <v>15</v>
      </c>
      <c r="K459" s="6" t="str">
        <f>IF(A459=Calculator!B4,1+MAX(K458:K458),"")</f>
        <v/>
      </c>
      <c r="L459" s="6"/>
      <c r="M459" s="6" t="b">
        <v>1</v>
      </c>
    </row>
    <row r="460" spans="1:13" x14ac:dyDescent="0.25">
      <c r="A460" s="6" t="s">
        <v>800</v>
      </c>
      <c r="B460" s="6" t="s">
        <v>567</v>
      </c>
      <c r="C460" s="6">
        <f>IF(Calculator!B8=FALSE,35,51)</f>
        <v>35</v>
      </c>
      <c r="D460" s="6">
        <f>IF(Calculator!B8=FALSE,40,55)</f>
        <v>40</v>
      </c>
      <c r="E460" s="6">
        <f>IF(Calculator!B8=FALSE,25,43)</f>
        <v>25</v>
      </c>
      <c r="F460" s="6">
        <v>15</v>
      </c>
      <c r="G460" s="6">
        <v>5</v>
      </c>
      <c r="H460" s="6">
        <v>5</v>
      </c>
      <c r="I460" s="6">
        <v>10</v>
      </c>
      <c r="J460" s="6">
        <v>0</v>
      </c>
      <c r="K460" s="6" t="str">
        <f>IF(A460=Calculator!B4,1+MAX(K459:K459),"")</f>
        <v/>
      </c>
      <c r="L460" s="6"/>
      <c r="M460" s="6" t="b">
        <v>1</v>
      </c>
    </row>
    <row r="461" spans="1:13" x14ac:dyDescent="0.25">
      <c r="A461" s="6" t="s">
        <v>800</v>
      </c>
      <c r="B461" s="6" t="s">
        <v>805</v>
      </c>
      <c r="C461" s="6">
        <f>IF(Calculator!B8=FALSE,45,58)</f>
        <v>45</v>
      </c>
      <c r="D461" s="6">
        <f>IF(Calculator!B8=FALSE,50,62)</f>
        <v>50</v>
      </c>
      <c r="E461" s="6">
        <f>IF(Calculator!B8=FALSE,35,51)</f>
        <v>35</v>
      </c>
      <c r="F461" s="6">
        <v>20</v>
      </c>
      <c r="G461" s="6">
        <v>5</v>
      </c>
      <c r="H461" s="6">
        <v>10</v>
      </c>
      <c r="I461" s="6">
        <v>15</v>
      </c>
      <c r="J461" s="6">
        <v>25</v>
      </c>
      <c r="K461" s="6" t="str">
        <f>IF(A461=Calculator!B4,1+MAX(K460:K460),"")</f>
        <v/>
      </c>
      <c r="L461" s="6"/>
      <c r="M461" s="6" t="b">
        <v>1</v>
      </c>
    </row>
    <row r="462" spans="1:13" x14ac:dyDescent="0.25">
      <c r="A462" s="6" t="s">
        <v>800</v>
      </c>
      <c r="B462" s="6" t="s">
        <v>530</v>
      </c>
      <c r="C462" s="6">
        <v>25</v>
      </c>
      <c r="D462" s="6">
        <v>24</v>
      </c>
      <c r="E462" s="6">
        <v>20</v>
      </c>
      <c r="F462" s="6">
        <v>15</v>
      </c>
      <c r="G462" s="6">
        <v>5</v>
      </c>
      <c r="H462" s="6">
        <v>5</v>
      </c>
      <c r="I462" s="6">
        <v>10</v>
      </c>
      <c r="J462" s="6">
        <v>0</v>
      </c>
      <c r="K462" s="6" t="str">
        <f>IF(A462=Calculator!B4,1+MAX(K461:K461),"")</f>
        <v/>
      </c>
      <c r="L462" s="6"/>
      <c r="M462" s="6"/>
    </row>
    <row r="463" spans="1:13" x14ac:dyDescent="0.25">
      <c r="A463" s="6" t="s">
        <v>800</v>
      </c>
      <c r="B463" s="6" t="s">
        <v>806</v>
      </c>
      <c r="C463" s="6">
        <v>45</v>
      </c>
      <c r="D463" s="6">
        <v>45</v>
      </c>
      <c r="E463" s="6">
        <v>30</v>
      </c>
      <c r="F463" s="6">
        <v>20</v>
      </c>
      <c r="G463" s="6">
        <v>5</v>
      </c>
      <c r="H463" s="6">
        <v>10</v>
      </c>
      <c r="I463" s="6">
        <v>15</v>
      </c>
      <c r="J463" s="6">
        <v>25</v>
      </c>
      <c r="K463" s="6" t="str">
        <f>IF(A463=Calculator!B4,1+MAX(K462:K462),"")</f>
        <v/>
      </c>
      <c r="L463" s="6"/>
      <c r="M463" s="6"/>
    </row>
    <row r="464" spans="1:13" x14ac:dyDescent="0.25">
      <c r="A464" s="6" t="s">
        <v>800</v>
      </c>
      <c r="B464" s="6" t="s">
        <v>531</v>
      </c>
      <c r="C464" s="6">
        <f>IF(Calculator!B8=FALSE,45,58)</f>
        <v>45</v>
      </c>
      <c r="D464" s="6">
        <f>IF(Calculator!B8=FALSE,40,55)</f>
        <v>40</v>
      </c>
      <c r="E464" s="6">
        <f>IF(Calculator!B8=FALSE,20,40)</f>
        <v>20</v>
      </c>
      <c r="F464" s="6">
        <v>10</v>
      </c>
      <c r="G464" s="6">
        <v>0</v>
      </c>
      <c r="H464" s="6">
        <v>0</v>
      </c>
      <c r="I464" s="6">
        <v>5</v>
      </c>
      <c r="J464" s="6">
        <v>5</v>
      </c>
      <c r="K464" s="6" t="str">
        <f>IF(A464=Calculator!B4,1+MAX(K463:K463),"")</f>
        <v/>
      </c>
      <c r="L464" s="6"/>
      <c r="M464" s="6" t="b">
        <v>1</v>
      </c>
    </row>
    <row r="465" spans="1:13" x14ac:dyDescent="0.25">
      <c r="A465" s="6" t="s">
        <v>800</v>
      </c>
      <c r="B465" s="6" t="s">
        <v>774</v>
      </c>
      <c r="C465" s="6">
        <f>IF(Calculator!B8=FALSE,50,62)</f>
        <v>50</v>
      </c>
      <c r="D465" s="6">
        <f>IF(Calculator!B8=FALSE,45,58)</f>
        <v>45</v>
      </c>
      <c r="E465" s="6">
        <f>IF(Calculator!B8=FALSE,30,47)</f>
        <v>30</v>
      </c>
      <c r="F465" s="6">
        <v>15</v>
      </c>
      <c r="G465" s="6">
        <v>5</v>
      </c>
      <c r="H465" s="6">
        <v>5</v>
      </c>
      <c r="I465" s="6">
        <v>10</v>
      </c>
      <c r="J465" s="6">
        <v>20</v>
      </c>
      <c r="K465" s="6" t="str">
        <f>IF(A465=Calculator!B4,1+MAX(K464:K464),"")</f>
        <v/>
      </c>
      <c r="L465" s="6"/>
      <c r="M465" s="6" t="b">
        <v>1</v>
      </c>
    </row>
    <row r="466" spans="1:13" x14ac:dyDescent="0.25">
      <c r="A466" s="6" t="s">
        <v>800</v>
      </c>
      <c r="B466" s="6" t="s">
        <v>532</v>
      </c>
      <c r="C466" s="6">
        <v>23</v>
      </c>
      <c r="D466" s="6">
        <v>23</v>
      </c>
      <c r="E466" s="6">
        <v>20</v>
      </c>
      <c r="F466" s="6">
        <v>5</v>
      </c>
      <c r="G466" s="6">
        <v>0</v>
      </c>
      <c r="H466" s="6">
        <v>0</v>
      </c>
      <c r="I466" s="6">
        <v>0</v>
      </c>
      <c r="J466" s="6">
        <v>5</v>
      </c>
      <c r="K466" s="6" t="str">
        <f>IF(A466=Calculator!B4,1+MAX(K465:K465),"")</f>
        <v/>
      </c>
      <c r="L466" s="6"/>
      <c r="M466" s="6"/>
    </row>
    <row r="467" spans="1:13" x14ac:dyDescent="0.25">
      <c r="A467" s="6" t="s">
        <v>800</v>
      </c>
      <c r="B467" s="6" t="s">
        <v>548</v>
      </c>
      <c r="C467" s="6">
        <v>23</v>
      </c>
      <c r="D467" s="6">
        <v>23</v>
      </c>
      <c r="E467" s="6">
        <v>25</v>
      </c>
      <c r="F467" s="6">
        <v>15</v>
      </c>
      <c r="G467" s="6">
        <v>5</v>
      </c>
      <c r="H467" s="6">
        <v>10</v>
      </c>
      <c r="I467" s="6">
        <v>10</v>
      </c>
      <c r="J467" s="6">
        <v>15</v>
      </c>
      <c r="K467" s="6" t="str">
        <f>IF(A467=Calculator!B4,1+MAX(K466:K466),"")</f>
        <v/>
      </c>
      <c r="L467" s="6"/>
      <c r="M467" s="6"/>
    </row>
    <row r="468" spans="1:13" x14ac:dyDescent="0.25">
      <c r="A468" s="6" t="s">
        <v>800</v>
      </c>
      <c r="B468" s="6" t="s">
        <v>808</v>
      </c>
      <c r="C468" s="6">
        <f>IF(Calculator!B8=FALSE,60,70)</f>
        <v>60</v>
      </c>
      <c r="D468" s="6">
        <f>IF(Calculator!B8=FALSE,55,66)</f>
        <v>55</v>
      </c>
      <c r="E468" s="6">
        <f>IF(Calculator!B8=FALSE,45,58)</f>
        <v>45</v>
      </c>
      <c r="F468" s="6">
        <v>15</v>
      </c>
      <c r="G468" s="6">
        <v>10</v>
      </c>
      <c r="H468" s="6">
        <v>10</v>
      </c>
      <c r="I468" s="6">
        <v>10</v>
      </c>
      <c r="J468" s="6">
        <v>20</v>
      </c>
      <c r="K468" s="6" t="str">
        <f>IF(A468=Calculator!B4,1+MAX(K467:K467),"")</f>
        <v/>
      </c>
      <c r="L468" s="6"/>
      <c r="M468" s="6" t="b">
        <v>1</v>
      </c>
    </row>
    <row r="469" spans="1:13" x14ac:dyDescent="0.25">
      <c r="A469" s="6" t="s">
        <v>800</v>
      </c>
      <c r="B469" s="6" t="s">
        <v>533</v>
      </c>
      <c r="C469" s="6">
        <f>IF(Calculator!B8=FALSE,30,47)</f>
        <v>30</v>
      </c>
      <c r="D469" s="6">
        <f>IF(Calculator!B8=FALSE,24,43)</f>
        <v>24</v>
      </c>
      <c r="E469" s="6">
        <f>IF(Calculator!B8=FALSE,30,47)</f>
        <v>30</v>
      </c>
      <c r="F469" s="6">
        <v>15</v>
      </c>
      <c r="G469" s="6">
        <v>5</v>
      </c>
      <c r="H469" s="6">
        <v>10</v>
      </c>
      <c r="I469" s="6">
        <v>10</v>
      </c>
      <c r="J469" s="6">
        <v>15</v>
      </c>
      <c r="K469" s="6" t="str">
        <f>IF(A469=Calculator!B4,1+MAX(K468:K468),"")</f>
        <v/>
      </c>
      <c r="L469" s="6"/>
      <c r="M469" s="6" t="b">
        <v>1</v>
      </c>
    </row>
    <row r="470" spans="1:13" x14ac:dyDescent="0.25">
      <c r="A470" s="6" t="s">
        <v>800</v>
      </c>
      <c r="B470" s="6" t="s">
        <v>568</v>
      </c>
      <c r="C470" s="6">
        <f>IF(Calculator!B8=FALSE,50,62)</f>
        <v>50</v>
      </c>
      <c r="D470" s="6">
        <f>IF(Calculator!B8=FALSE,25,43)</f>
        <v>25</v>
      </c>
      <c r="E470" s="6">
        <f>IF(Calculator!B8=FALSE,40,55)</f>
        <v>40</v>
      </c>
      <c r="F470" s="6">
        <v>15</v>
      </c>
      <c r="G470" s="6">
        <v>5</v>
      </c>
      <c r="H470" s="6">
        <v>10</v>
      </c>
      <c r="I470" s="6">
        <v>10</v>
      </c>
      <c r="J470" s="6">
        <v>15</v>
      </c>
      <c r="K470" s="6" t="str">
        <f>IF(A470=Calculator!B4,1+MAX(K469:K469),"")</f>
        <v/>
      </c>
      <c r="L470" s="6"/>
      <c r="M470" s="6" t="b">
        <v>1</v>
      </c>
    </row>
    <row r="471" spans="1:13" x14ac:dyDescent="0.25">
      <c r="A471" s="6" t="s">
        <v>801</v>
      </c>
      <c r="B471" s="6" t="s">
        <v>818</v>
      </c>
      <c r="C471" s="6">
        <f>IF(Calculator!B8=FALSE,60,75)</f>
        <v>60</v>
      </c>
      <c r="D471" s="6">
        <f>IF(Calculator!B8=FALSE,65,78)</f>
        <v>65</v>
      </c>
      <c r="E471" s="6">
        <f>IF(Calculator!B8=FALSE,50,67)</f>
        <v>50</v>
      </c>
      <c r="F471" s="6">
        <v>5</v>
      </c>
      <c r="G471" s="6">
        <v>0</v>
      </c>
      <c r="H471" s="6">
        <v>0</v>
      </c>
      <c r="I471" s="6">
        <v>5</v>
      </c>
      <c r="J471" s="6">
        <v>10</v>
      </c>
      <c r="K471" s="6" t="str">
        <f>IF(A471=Calculator!B4,1+MAX(K470:K470),"")</f>
        <v/>
      </c>
      <c r="L471" s="6"/>
      <c r="M471" s="6" t="b">
        <v>1</v>
      </c>
    </row>
    <row r="472" spans="1:13" x14ac:dyDescent="0.25">
      <c r="A472" s="6" t="s">
        <v>801</v>
      </c>
      <c r="B472" s="6" t="s">
        <v>826</v>
      </c>
      <c r="C472" s="6">
        <f>IF(Calculator!B8=FALSE,40,60)</f>
        <v>40</v>
      </c>
      <c r="D472" s="6">
        <f>IF(Calculator!B8=FALSE,40,60)</f>
        <v>40</v>
      </c>
      <c r="E472" s="6">
        <f>IF(Calculator!B8=FALSE,25,48)</f>
        <v>25</v>
      </c>
      <c r="F472" s="6">
        <v>40</v>
      </c>
      <c r="G472" s="6">
        <v>0</v>
      </c>
      <c r="H472" s="6">
        <v>0</v>
      </c>
      <c r="I472" s="6">
        <v>15</v>
      </c>
      <c r="J472" s="6">
        <v>30</v>
      </c>
      <c r="K472" s="6" t="str">
        <f>IF(A472=Calculator!B4,1+MAX(K471:K471),"")</f>
        <v/>
      </c>
      <c r="L472" s="6" t="s">
        <v>542</v>
      </c>
      <c r="M472" s="6" t="b">
        <v>1</v>
      </c>
    </row>
    <row r="473" spans="1:13" x14ac:dyDescent="0.25">
      <c r="A473" s="6" t="s">
        <v>801</v>
      </c>
      <c r="B473" s="6" t="s">
        <v>819</v>
      </c>
      <c r="C473" s="6">
        <f>IF(Calculator!B8=FALSE,45,63)</f>
        <v>45</v>
      </c>
      <c r="D473" s="6">
        <f>IF(Calculator!B8=FALSE,40,60)</f>
        <v>40</v>
      </c>
      <c r="E473" s="6">
        <f>IF(Calculator!B8=FALSE,45,63)</f>
        <v>45</v>
      </c>
      <c r="F473" s="6">
        <v>10</v>
      </c>
      <c r="G473" s="6">
        <v>0</v>
      </c>
      <c r="H473" s="6">
        <v>0</v>
      </c>
      <c r="I473" s="6">
        <v>5</v>
      </c>
      <c r="J473" s="6">
        <v>5</v>
      </c>
      <c r="K473" s="6" t="str">
        <f>IF(A473=Calculator!B4,1+MAX(K472:K472),"")</f>
        <v/>
      </c>
      <c r="L473" s="6"/>
      <c r="M473" s="6" t="b">
        <v>1</v>
      </c>
    </row>
    <row r="474" spans="1:13" x14ac:dyDescent="0.25">
      <c r="A474" s="6" t="s">
        <v>801</v>
      </c>
      <c r="B474" s="6" t="s">
        <v>827</v>
      </c>
      <c r="C474" s="6">
        <f>IF(Calculator!B8=FALSE,25,48)</f>
        <v>25</v>
      </c>
      <c r="D474" s="6">
        <f>IF(Calculator!B8=FALSE,25,48)</f>
        <v>25</v>
      </c>
      <c r="E474" s="6">
        <f>IF(Calculator!B8=FALSE,40,60)</f>
        <v>40</v>
      </c>
      <c r="F474" s="6">
        <v>25</v>
      </c>
      <c r="G474" s="6">
        <v>0</v>
      </c>
      <c r="H474" s="6">
        <v>0</v>
      </c>
      <c r="I474" s="6">
        <v>10</v>
      </c>
      <c r="J474" s="6">
        <v>15</v>
      </c>
      <c r="K474" s="6" t="str">
        <f>IF(A474=Calculator!B4,1+MAX(K473:K473),"")</f>
        <v/>
      </c>
      <c r="L474" s="6"/>
      <c r="M474" s="6" t="b">
        <v>1</v>
      </c>
    </row>
    <row r="475" spans="1:13" x14ac:dyDescent="0.25">
      <c r="A475" s="6" t="s">
        <v>801</v>
      </c>
      <c r="B475" s="6" t="s">
        <v>820</v>
      </c>
      <c r="C475" s="6">
        <v>40</v>
      </c>
      <c r="D475" s="6">
        <v>60</v>
      </c>
      <c r="E475" s="6">
        <v>50</v>
      </c>
      <c r="F475" s="6">
        <v>10</v>
      </c>
      <c r="G475" s="6">
        <v>0</v>
      </c>
      <c r="H475" s="6">
        <v>0</v>
      </c>
      <c r="I475" s="6">
        <v>5</v>
      </c>
      <c r="J475" s="6">
        <v>10</v>
      </c>
      <c r="K475" s="6" t="str">
        <f>IF(A475=Calculator!B4,1+MAX(K474:K474),"")</f>
        <v/>
      </c>
      <c r="L475" s="6"/>
      <c r="M475" s="6"/>
    </row>
    <row r="476" spans="1:13" x14ac:dyDescent="0.25">
      <c r="A476" s="6" t="s">
        <v>801</v>
      </c>
      <c r="B476" s="6" t="s">
        <v>828</v>
      </c>
      <c r="C476" s="6">
        <v>30</v>
      </c>
      <c r="D476" s="6">
        <v>45</v>
      </c>
      <c r="E476" s="6">
        <v>45</v>
      </c>
      <c r="F476" s="6">
        <v>20</v>
      </c>
      <c r="G476" s="6">
        <v>0</v>
      </c>
      <c r="H476" s="6">
        <v>0</v>
      </c>
      <c r="I476" s="6">
        <v>15</v>
      </c>
      <c r="J476" s="6">
        <v>15</v>
      </c>
      <c r="K476" s="6" t="str">
        <f>IF(A476=Calculator!B4,1+MAX(K475:K475),"")</f>
        <v/>
      </c>
      <c r="L476" s="6"/>
      <c r="M476" s="6"/>
    </row>
    <row r="477" spans="1:13" x14ac:dyDescent="0.25">
      <c r="A477" s="6" t="s">
        <v>801</v>
      </c>
      <c r="B477" s="6" t="s">
        <v>821</v>
      </c>
      <c r="C477" s="6">
        <v>30</v>
      </c>
      <c r="D477" s="6">
        <v>30</v>
      </c>
      <c r="E477" s="6">
        <v>45</v>
      </c>
      <c r="F477" s="6">
        <v>10</v>
      </c>
      <c r="G477" s="6">
        <v>0</v>
      </c>
      <c r="H477" s="6">
        <v>0</v>
      </c>
      <c r="I477" s="6">
        <v>5</v>
      </c>
      <c r="J477" s="6">
        <v>10</v>
      </c>
      <c r="K477" s="6" t="str">
        <f>IF(A477=Calculator!B4,1+MAX(K476:K476),"")</f>
        <v/>
      </c>
      <c r="L477" s="6"/>
      <c r="M477" s="6"/>
    </row>
    <row r="478" spans="1:13" x14ac:dyDescent="0.25">
      <c r="A478" s="6" t="s">
        <v>801</v>
      </c>
      <c r="B478" s="6" t="s">
        <v>829</v>
      </c>
      <c r="C478" s="6">
        <v>25</v>
      </c>
      <c r="D478" s="6">
        <v>25</v>
      </c>
      <c r="E478" s="6">
        <v>30</v>
      </c>
      <c r="F478" s="6">
        <v>30</v>
      </c>
      <c r="G478" s="6">
        <v>0</v>
      </c>
      <c r="H478" s="6">
        <v>0</v>
      </c>
      <c r="I478" s="6">
        <v>10</v>
      </c>
      <c r="J478" s="6">
        <v>20</v>
      </c>
      <c r="K478" s="6" t="str">
        <f>IF(A478=Calculator!B4,1+MAX(K477:K477),"")</f>
        <v/>
      </c>
      <c r="L478" s="6"/>
      <c r="M478" s="6"/>
    </row>
    <row r="479" spans="1:13" x14ac:dyDescent="0.25">
      <c r="A479" s="6" t="s">
        <v>801</v>
      </c>
      <c r="B479" s="6" t="s">
        <v>822</v>
      </c>
      <c r="C479" s="6">
        <f>IF(Calculator!B8=FALSE,65,78)</f>
        <v>65</v>
      </c>
      <c r="D479" s="6">
        <f>IF(Calculator!B8=FALSE,55,71)</f>
        <v>55</v>
      </c>
      <c r="E479" s="6">
        <f>IF(Calculator!B8=FALSE,30,52)</f>
        <v>30</v>
      </c>
      <c r="F479" s="6">
        <v>5</v>
      </c>
      <c r="G479" s="6">
        <v>0</v>
      </c>
      <c r="H479" s="6">
        <v>0</v>
      </c>
      <c r="I479" s="6">
        <v>5</v>
      </c>
      <c r="J479" s="6">
        <v>10</v>
      </c>
      <c r="K479" s="6" t="str">
        <f>IF(A479=Calculator!B4,1+MAX(K478:K478),"")</f>
        <v/>
      </c>
      <c r="L479" s="6"/>
      <c r="M479" s="6" t="b">
        <v>1</v>
      </c>
    </row>
    <row r="480" spans="1:13" x14ac:dyDescent="0.25">
      <c r="A480" s="6" t="s">
        <v>801</v>
      </c>
      <c r="B480" s="6" t="s">
        <v>830</v>
      </c>
      <c r="C480" s="6">
        <f>IF(Calculator!B8=FALSE,45,63)</f>
        <v>45</v>
      </c>
      <c r="D480" s="6">
        <f>IF(Calculator!B8=FALSE,35,56)</f>
        <v>35</v>
      </c>
      <c r="E480" s="6">
        <f>IF(Calculator!B8=FALSE,20,45)</f>
        <v>20</v>
      </c>
      <c r="F480" s="6">
        <v>10</v>
      </c>
      <c r="G480" s="6">
        <v>0</v>
      </c>
      <c r="H480" s="6">
        <v>0</v>
      </c>
      <c r="I480" s="6">
        <v>15</v>
      </c>
      <c r="J480" s="6">
        <v>10</v>
      </c>
      <c r="K480" s="6" t="str">
        <f>IF(A480=Calculator!B4,1+MAX(K479:K479),"")</f>
        <v/>
      </c>
      <c r="L480" s="6"/>
      <c r="M480" s="6" t="b">
        <v>1</v>
      </c>
    </row>
    <row r="481" spans="1:13" x14ac:dyDescent="0.25">
      <c r="A481" s="6" t="s">
        <v>801</v>
      </c>
      <c r="B481" s="6" t="s">
        <v>823</v>
      </c>
      <c r="C481" s="6">
        <v>25</v>
      </c>
      <c r="D481" s="6">
        <v>25</v>
      </c>
      <c r="E481" s="6">
        <v>25</v>
      </c>
      <c r="F481" s="6">
        <v>5</v>
      </c>
      <c r="G481" s="6">
        <v>0</v>
      </c>
      <c r="H481" s="6">
        <v>0</v>
      </c>
      <c r="I481" s="6">
        <v>5</v>
      </c>
      <c r="J481" s="6">
        <v>5</v>
      </c>
      <c r="K481" s="6" t="str">
        <f>IF(A481=Calculator!B4,1+MAX(K480:K480),"")</f>
        <v/>
      </c>
      <c r="L481" s="6"/>
      <c r="M481" s="6"/>
    </row>
    <row r="482" spans="1:13" x14ac:dyDescent="0.25">
      <c r="A482" s="6" t="s">
        <v>801</v>
      </c>
      <c r="B482" s="6" t="s">
        <v>831</v>
      </c>
      <c r="C482" s="6">
        <v>20</v>
      </c>
      <c r="D482" s="6">
        <v>20</v>
      </c>
      <c r="E482" s="6">
        <v>20</v>
      </c>
      <c r="F482" s="6">
        <v>10</v>
      </c>
      <c r="G482" s="6">
        <v>0</v>
      </c>
      <c r="H482" s="6">
        <v>0</v>
      </c>
      <c r="I482" s="6">
        <v>5</v>
      </c>
      <c r="J482" s="6">
        <v>5</v>
      </c>
      <c r="K482" s="6" t="str">
        <f>IF(A482=Calculator!B4,1+MAX(K481:K481),"")</f>
        <v/>
      </c>
      <c r="L482" s="6"/>
      <c r="M482" s="6"/>
    </row>
    <row r="483" spans="1:13" x14ac:dyDescent="0.25">
      <c r="A483" s="6" t="s">
        <v>801</v>
      </c>
      <c r="B483" s="6" t="s">
        <v>824</v>
      </c>
      <c r="C483" s="6">
        <f>IF(Calculator!B8=FALSE,35,56)</f>
        <v>35</v>
      </c>
      <c r="D483" s="6">
        <f>IF(Calculator!B8=FALSE,35,56)</f>
        <v>35</v>
      </c>
      <c r="E483" s="6">
        <f>IF(Calculator!B8=FALSE,30,52)</f>
        <v>30</v>
      </c>
      <c r="F483" s="6">
        <v>10</v>
      </c>
      <c r="G483" s="6">
        <v>0</v>
      </c>
      <c r="H483" s="6">
        <v>0</v>
      </c>
      <c r="I483" s="6">
        <v>5</v>
      </c>
      <c r="J483" s="6">
        <v>15</v>
      </c>
      <c r="K483" s="6" t="str">
        <f>IF(A483=Calculator!B4,1+MAX(K482:K482),"")</f>
        <v/>
      </c>
      <c r="L483" s="6"/>
      <c r="M483" s="6" t="b">
        <v>1</v>
      </c>
    </row>
    <row r="484" spans="1:13" x14ac:dyDescent="0.25">
      <c r="A484" s="6" t="s">
        <v>801</v>
      </c>
      <c r="B484" s="6" t="s">
        <v>832</v>
      </c>
      <c r="C484" s="6">
        <f>IF(Calculator!B8=FALSE,25,48)</f>
        <v>25</v>
      </c>
      <c r="D484" s="6">
        <f>IF(Calculator!B8=FALSE,25,48)</f>
        <v>25</v>
      </c>
      <c r="E484" s="6">
        <f>IF(Calculator!B8=FALSE,20,45)</f>
        <v>20</v>
      </c>
      <c r="F484" s="6">
        <v>30</v>
      </c>
      <c r="G484" s="6">
        <v>5</v>
      </c>
      <c r="H484" s="6">
        <v>0</v>
      </c>
      <c r="I484" s="6">
        <v>20</v>
      </c>
      <c r="J484" s="6">
        <v>20</v>
      </c>
      <c r="K484" s="6" t="str">
        <f>IF(A484=Calculator!B4,1+MAX(K483:K483),"")</f>
        <v/>
      </c>
      <c r="L484" s="6"/>
      <c r="M484" s="6" t="b">
        <v>1</v>
      </c>
    </row>
    <row r="485" spans="1:13" x14ac:dyDescent="0.25">
      <c r="A485" s="6" t="s">
        <v>801</v>
      </c>
      <c r="B485" s="6" t="s">
        <v>825</v>
      </c>
      <c r="C485" s="6">
        <f>IF(Calculator!B8=FALSE,40,60)</f>
        <v>40</v>
      </c>
      <c r="D485" s="6">
        <f>IF(Calculator!B8=FALSE,35,56)</f>
        <v>35</v>
      </c>
      <c r="E485" s="6">
        <f>IF(Calculator!B8=FALSE,30,52)</f>
        <v>30</v>
      </c>
      <c r="F485" s="6">
        <v>10</v>
      </c>
      <c r="G485" s="6">
        <v>0</v>
      </c>
      <c r="H485" s="6">
        <v>0</v>
      </c>
      <c r="I485" s="6">
        <v>5</v>
      </c>
      <c r="J485" s="6">
        <v>15</v>
      </c>
      <c r="K485" s="6" t="str">
        <f>IF(A485=Calculator!B4,1+MAX(K484:K484),"")</f>
        <v/>
      </c>
      <c r="L485" s="6"/>
      <c r="M485" s="6" t="b">
        <v>1</v>
      </c>
    </row>
    <row r="486" spans="1:13" x14ac:dyDescent="0.25">
      <c r="A486" s="6" t="s">
        <v>801</v>
      </c>
      <c r="B486" s="6" t="s">
        <v>833</v>
      </c>
      <c r="C486" s="6">
        <f>IF(Calculator!B8=FALSE,25,48)</f>
        <v>25</v>
      </c>
      <c r="D486" s="6">
        <f>IF(Calculator!B8=FALSE,25,48)</f>
        <v>25</v>
      </c>
      <c r="E486" s="6">
        <f>IF(Calculator!B8=FALSE,25,48)</f>
        <v>25</v>
      </c>
      <c r="F486" s="6">
        <v>25</v>
      </c>
      <c r="G486" s="6">
        <v>0</v>
      </c>
      <c r="H486" s="6">
        <v>0</v>
      </c>
      <c r="I486" s="6">
        <v>10</v>
      </c>
      <c r="J486" s="6">
        <v>15</v>
      </c>
      <c r="K486" s="6" t="str">
        <f>IF(A486=Calculator!B4,1+MAX(K485:K485),"")</f>
        <v/>
      </c>
      <c r="L486" s="6"/>
      <c r="M486" s="6" t="b">
        <v>1</v>
      </c>
    </row>
    <row r="487" spans="1:13" x14ac:dyDescent="0.25">
      <c r="A487" s="6" t="s">
        <v>802</v>
      </c>
      <c r="B487" s="6" t="s">
        <v>502</v>
      </c>
      <c r="C487" s="6">
        <f>IF(Calculator!B8=FALSE,40,60)</f>
        <v>40</v>
      </c>
      <c r="D487" s="6">
        <f>IF(Calculator!B8=FALSE,45,63)</f>
        <v>45</v>
      </c>
      <c r="E487" s="6">
        <f>IF(Calculator!B8=FALSE,25,48)</f>
        <v>25</v>
      </c>
      <c r="F487" s="6">
        <v>20</v>
      </c>
      <c r="G487" s="6">
        <v>25</v>
      </c>
      <c r="H487" s="6">
        <v>25</v>
      </c>
      <c r="I487" s="6">
        <v>10</v>
      </c>
      <c r="J487" s="6">
        <v>30</v>
      </c>
      <c r="K487" s="6" t="str">
        <f>IF(A487=Calculator!B4,1+MAX(K486:K486),"")</f>
        <v/>
      </c>
      <c r="L487" s="6"/>
      <c r="M487" s="6" t="b">
        <v>1</v>
      </c>
    </row>
    <row r="488" spans="1:13" x14ac:dyDescent="0.25">
      <c r="A488" s="6" t="s">
        <v>802</v>
      </c>
      <c r="B488" s="6" t="s">
        <v>778</v>
      </c>
      <c r="C488" s="6">
        <f>IF(Calculator!B8=FALSE,55,71)</f>
        <v>55</v>
      </c>
      <c r="D488" s="6">
        <f>IF(Calculator!B8=FALSE,60,75)</f>
        <v>60</v>
      </c>
      <c r="E488" s="6">
        <f>IF(Calculator!B8=FALSE,40,60)</f>
        <v>40</v>
      </c>
      <c r="F488" s="6">
        <v>20</v>
      </c>
      <c r="G488" s="6">
        <v>25</v>
      </c>
      <c r="H488" s="6">
        <v>25</v>
      </c>
      <c r="I488" s="6">
        <v>15</v>
      </c>
      <c r="J488" s="6">
        <v>30</v>
      </c>
      <c r="K488" s="6" t="str">
        <f>IF(A488=Calculator!B4,1+MAX(K487:K487),"")</f>
        <v/>
      </c>
      <c r="L488" s="6"/>
      <c r="M488" s="6" t="b">
        <v>1</v>
      </c>
    </row>
    <row r="489" spans="1:13" x14ac:dyDescent="0.25">
      <c r="A489" s="6" t="s">
        <v>802</v>
      </c>
      <c r="B489" s="6" t="s">
        <v>528</v>
      </c>
      <c r="C489" s="6">
        <f>IF(Calculator!B8=FALSE,22,46)</f>
        <v>22</v>
      </c>
      <c r="D489" s="6">
        <f>IF(Calculator!B8=FALSE,22,46)</f>
        <v>22</v>
      </c>
      <c r="E489" s="6">
        <f>IF(Calculator!B8=FALSE,15,41)</f>
        <v>15</v>
      </c>
      <c r="F489" s="6">
        <v>10</v>
      </c>
      <c r="G489" s="6">
        <v>10</v>
      </c>
      <c r="H489" s="6">
        <v>15</v>
      </c>
      <c r="I489" s="6">
        <v>10</v>
      </c>
      <c r="J489" s="6">
        <v>15</v>
      </c>
      <c r="K489" s="6" t="str">
        <f>IF(A489=Calculator!B4,1+MAX(K488:K488),"")</f>
        <v/>
      </c>
      <c r="L489" s="6"/>
      <c r="M489" s="6" t="b">
        <v>1</v>
      </c>
    </row>
    <row r="490" spans="1:13" x14ac:dyDescent="0.25">
      <c r="A490" s="6" t="s">
        <v>802</v>
      </c>
      <c r="B490" s="6" t="s">
        <v>503</v>
      </c>
      <c r="C490" s="6">
        <f>IF(Calculator!B8=FALSE,45,63)</f>
        <v>45</v>
      </c>
      <c r="D490" s="6">
        <f>IF(Calculator!B8=FALSE,40,60)</f>
        <v>40</v>
      </c>
      <c r="E490" s="6">
        <f>IF(Calculator!B8=FALSE,25,48)</f>
        <v>25</v>
      </c>
      <c r="F490" s="6">
        <v>25</v>
      </c>
      <c r="G490" s="6">
        <v>20</v>
      </c>
      <c r="H490" s="6">
        <v>30</v>
      </c>
      <c r="I490" s="6">
        <v>10</v>
      </c>
      <c r="J490" s="6">
        <v>25</v>
      </c>
      <c r="K490" s="6" t="str">
        <f>IF(A490=Calculator!B4,1+MAX(K489:K489),"")</f>
        <v/>
      </c>
      <c r="L490" s="6" t="s">
        <v>542</v>
      </c>
      <c r="M490" s="6" t="b">
        <v>1</v>
      </c>
    </row>
    <row r="491" spans="1:13" x14ac:dyDescent="0.25">
      <c r="A491" s="6" t="s">
        <v>802</v>
      </c>
      <c r="B491" s="6" t="s">
        <v>809</v>
      </c>
      <c r="C491" s="6">
        <f>IF(Calculator!B8=FALSE,60,75)</f>
        <v>60</v>
      </c>
      <c r="D491" s="6">
        <f>IF(Calculator!B8=FALSE,55,71)</f>
        <v>55</v>
      </c>
      <c r="E491" s="6">
        <f>IF(Calculator!B8=FALSE,45,63)</f>
        <v>45</v>
      </c>
      <c r="F491" s="6">
        <v>25</v>
      </c>
      <c r="G491" s="6">
        <v>20</v>
      </c>
      <c r="H491" s="6">
        <v>30</v>
      </c>
      <c r="I491" s="6">
        <v>15</v>
      </c>
      <c r="J491" s="6">
        <v>25</v>
      </c>
      <c r="K491" s="6" t="str">
        <f>IF(A491=Calculator!B4,1+MAX(K490:K490),"")</f>
        <v/>
      </c>
      <c r="L491" s="6"/>
      <c r="M491" s="6" t="b">
        <v>1</v>
      </c>
    </row>
    <row r="492" spans="1:13" x14ac:dyDescent="0.25">
      <c r="A492" s="6" t="s">
        <v>802</v>
      </c>
      <c r="B492" s="6" t="s">
        <v>530</v>
      </c>
      <c r="C492" s="6">
        <f>IF(Calculator!B8=FALSE,20,45)</f>
        <v>20</v>
      </c>
      <c r="D492" s="6">
        <f>IF(Calculator!B8=FALSE,25,48)</f>
        <v>25</v>
      </c>
      <c r="E492" s="6">
        <f>IF(Calculator!B8=FALSE,15,41)</f>
        <v>15</v>
      </c>
      <c r="F492" s="6">
        <v>5</v>
      </c>
      <c r="G492" s="6">
        <v>15</v>
      </c>
      <c r="H492" s="6">
        <v>10</v>
      </c>
      <c r="I492" s="6">
        <v>10</v>
      </c>
      <c r="J492" s="6">
        <v>20</v>
      </c>
      <c r="K492" s="6" t="str">
        <f>IF(A492=Calculator!B4,1+MAX(K491:K491),"")</f>
        <v/>
      </c>
      <c r="L492" s="6"/>
      <c r="M492" s="6" t="b">
        <v>1</v>
      </c>
    </row>
    <row r="493" spans="1:13" x14ac:dyDescent="0.25">
      <c r="A493" s="6" t="s">
        <v>802</v>
      </c>
      <c r="B493" s="6" t="s">
        <v>531</v>
      </c>
      <c r="C493" s="6">
        <f>IF(Calculator!B8=FALSE,20,45)</f>
        <v>20</v>
      </c>
      <c r="D493" s="6">
        <f>IF(Calculator!B8=FALSE,25,48)</f>
        <v>25</v>
      </c>
      <c r="E493" s="6">
        <f>IF(Calculator!B8=FALSE,45,63)</f>
        <v>45</v>
      </c>
      <c r="F493" s="6">
        <v>5</v>
      </c>
      <c r="G493" s="6">
        <v>15</v>
      </c>
      <c r="H493" s="6">
        <v>10</v>
      </c>
      <c r="I493" s="6">
        <v>10</v>
      </c>
      <c r="J493" s="6">
        <v>20</v>
      </c>
      <c r="K493" s="6" t="str">
        <f>IF(A493=Calculator!B4,1+MAX(K492:K492),"")</f>
        <v/>
      </c>
      <c r="L493" s="6"/>
      <c r="M493" s="6" t="b">
        <v>1</v>
      </c>
    </row>
    <row r="494" spans="1:13" x14ac:dyDescent="0.25">
      <c r="A494" s="6" t="s">
        <v>802</v>
      </c>
      <c r="B494" s="6" t="s">
        <v>532</v>
      </c>
      <c r="C494" s="6">
        <f>IF(Calculator!B8=FALSE,33,54)</f>
        <v>33</v>
      </c>
      <c r="D494" s="6">
        <f>IF(Calculator!B8=FALSE,36,57)</f>
        <v>36</v>
      </c>
      <c r="E494" s="6">
        <f>IF(Calculator!B8=FALSE,20,45)</f>
        <v>20</v>
      </c>
      <c r="F494" s="6">
        <v>15</v>
      </c>
      <c r="G494" s="6">
        <v>5</v>
      </c>
      <c r="H494" s="6">
        <v>20</v>
      </c>
      <c r="I494" s="6">
        <v>10</v>
      </c>
      <c r="J494" s="6">
        <v>10</v>
      </c>
      <c r="K494" s="6" t="str">
        <f>IF(A494=Calculator!B4,1+MAX(K493:K493),"")</f>
        <v/>
      </c>
      <c r="L494" s="6"/>
      <c r="M494" s="6" t="b">
        <v>1</v>
      </c>
    </row>
    <row r="495" spans="1:13" x14ac:dyDescent="0.25">
      <c r="A495" s="6" t="s">
        <v>802</v>
      </c>
      <c r="B495" s="6" t="s">
        <v>533</v>
      </c>
      <c r="C495" s="6">
        <f>IF(Calculator!B8=FALSE,36,57)</f>
        <v>36</v>
      </c>
      <c r="D495" s="6">
        <f>IF(Calculator!B8=FALSE,33,54)</f>
        <v>33</v>
      </c>
      <c r="E495" s="6">
        <f>IF(Calculator!B8=FALSE,20,45)</f>
        <v>20</v>
      </c>
      <c r="F495" s="6">
        <v>15</v>
      </c>
      <c r="G495" s="6">
        <v>5</v>
      </c>
      <c r="H495" s="6">
        <v>20</v>
      </c>
      <c r="I495" s="6">
        <v>10</v>
      </c>
      <c r="J495" s="6">
        <v>10</v>
      </c>
      <c r="K495" s="6" t="str">
        <f>IF(A495=Calculator!B4,1+MAX(K494:K494),"")</f>
        <v/>
      </c>
      <c r="L495" s="6"/>
      <c r="M495" s="6" t="b">
        <v>1</v>
      </c>
    </row>
    <row r="496" spans="1:13" x14ac:dyDescent="0.25">
      <c r="A496" s="6" t="s">
        <v>802</v>
      </c>
      <c r="B496" s="6" t="s">
        <v>781</v>
      </c>
      <c r="C496" s="6">
        <f>IF(Calculator!B8=FALSE,40,60)</f>
        <v>40</v>
      </c>
      <c r="D496" s="6">
        <f>IF(Calculator!B8=FALSE,40,60)</f>
        <v>40</v>
      </c>
      <c r="E496" s="6">
        <f>IF(Calculator!B8=FALSE,25,48)</f>
        <v>25</v>
      </c>
      <c r="F496" s="6">
        <v>15</v>
      </c>
      <c r="G496" s="6">
        <v>5</v>
      </c>
      <c r="H496" s="6">
        <v>20</v>
      </c>
      <c r="I496" s="6">
        <v>15</v>
      </c>
      <c r="J496" s="6">
        <v>10</v>
      </c>
      <c r="K496" s="6" t="str">
        <f>IF(A496=Calculator!B4,1+MAX(K495:K495),"")</f>
        <v/>
      </c>
      <c r="L496" s="6"/>
      <c r="M496" s="6" t="b">
        <v>1</v>
      </c>
    </row>
    <row r="497" spans="1:13" x14ac:dyDescent="0.25">
      <c r="A497" s="6" t="s">
        <v>804</v>
      </c>
      <c r="B497" s="6" t="s">
        <v>566</v>
      </c>
      <c r="C497" s="6">
        <f>IF(Calculator!B8=FALSE,20,40)</f>
        <v>20</v>
      </c>
      <c r="D497" s="6">
        <f>IF(Calculator!B8=FALSE,25,43)</f>
        <v>25</v>
      </c>
      <c r="E497" s="6">
        <f>IF(Calculator!B8=FALSE,35,51)</f>
        <v>35</v>
      </c>
      <c r="F497" s="6">
        <v>5</v>
      </c>
      <c r="G497" s="6">
        <v>15</v>
      </c>
      <c r="H497" s="6">
        <v>15</v>
      </c>
      <c r="I497" s="6">
        <v>0</v>
      </c>
      <c r="J497" s="6">
        <v>20</v>
      </c>
      <c r="K497" s="6" t="str">
        <f>IF(A497=Calculator!B4,1+MAX(K496:K496),"")</f>
        <v/>
      </c>
      <c r="L497" s="6"/>
      <c r="M497" s="6" t="b">
        <v>1</v>
      </c>
    </row>
    <row r="498" spans="1:13" x14ac:dyDescent="0.25">
      <c r="A498" s="6" t="s">
        <v>804</v>
      </c>
      <c r="B498" s="6" t="s">
        <v>758</v>
      </c>
      <c r="C498" s="6">
        <f>IF(Calculator!B8=FALSE,35,51)</f>
        <v>35</v>
      </c>
      <c r="D498" s="6">
        <f>IF(Calculator!B8=FALSE,40,55)</f>
        <v>40</v>
      </c>
      <c r="E498" s="6">
        <f>IF(Calculator!B8=FALSE,45,58)</f>
        <v>45</v>
      </c>
      <c r="F498" s="6">
        <v>5</v>
      </c>
      <c r="G498" s="6">
        <v>15</v>
      </c>
      <c r="H498" s="6">
        <v>15</v>
      </c>
      <c r="I498" s="6">
        <v>0</v>
      </c>
      <c r="J498" s="6">
        <v>20</v>
      </c>
      <c r="K498" s="6" t="str">
        <f>IF(A498=Calculator!B4,1+MAX(K497:K497),"")</f>
        <v/>
      </c>
      <c r="L498" s="6"/>
      <c r="M498" s="6" t="b">
        <v>1</v>
      </c>
    </row>
    <row r="499" spans="1:13" x14ac:dyDescent="0.25">
      <c r="A499" s="6" t="s">
        <v>804</v>
      </c>
      <c r="B499" s="6" t="s">
        <v>502</v>
      </c>
      <c r="C499" s="6">
        <f>IF(Calculator!B8=FALSE,45,58)</f>
        <v>45</v>
      </c>
      <c r="D499" s="6">
        <f>IF(Calculator!B8=FALSE,60,70)</f>
        <v>60</v>
      </c>
      <c r="E499" s="6">
        <f>IF(Calculator!B8=FALSE,45,58)</f>
        <v>45</v>
      </c>
      <c r="F499" s="6">
        <v>5</v>
      </c>
      <c r="G499" s="6">
        <v>10</v>
      </c>
      <c r="H499" s="6">
        <v>10</v>
      </c>
      <c r="I499" s="6">
        <v>15</v>
      </c>
      <c r="J499" s="6">
        <v>15</v>
      </c>
      <c r="K499" s="6" t="str">
        <f>IF(A499=Calculator!B4,1+MAX(K498:K498),"")</f>
        <v/>
      </c>
      <c r="L499" s="6" t="s">
        <v>542</v>
      </c>
      <c r="M499" s="6" t="b">
        <v>1</v>
      </c>
    </row>
    <row r="500" spans="1:13" x14ac:dyDescent="0.25">
      <c r="A500" s="6" t="s">
        <v>804</v>
      </c>
      <c r="B500" s="6" t="s">
        <v>662</v>
      </c>
      <c r="C500" s="6">
        <f>IF(Calculator!B8=FALSE,75,81)</f>
        <v>75</v>
      </c>
      <c r="D500" s="6">
        <f>IF(Calculator!B8=FALSE,90,92)</f>
        <v>90</v>
      </c>
      <c r="E500" s="6">
        <f>IF(Calculator!B8=FALSE,60,70)</f>
        <v>60</v>
      </c>
      <c r="F500" s="6">
        <v>5</v>
      </c>
      <c r="G500" s="6">
        <v>10</v>
      </c>
      <c r="H500" s="6">
        <v>15</v>
      </c>
      <c r="I500" s="6">
        <v>15</v>
      </c>
      <c r="J500" s="6">
        <v>15</v>
      </c>
      <c r="K500" s="6" t="str">
        <f>IF(A500=Calculator!B4,1+MAX(K499:K499),"")</f>
        <v/>
      </c>
      <c r="L500" s="6"/>
      <c r="M500" s="6" t="b">
        <v>1</v>
      </c>
    </row>
    <row r="501" spans="1:13" x14ac:dyDescent="0.25">
      <c r="A501" s="6" t="s">
        <v>804</v>
      </c>
      <c r="B501" s="6" t="s">
        <v>663</v>
      </c>
      <c r="C501" s="6">
        <f>IF(Calculator!B8=FALSE,20,40)</f>
        <v>20</v>
      </c>
      <c r="D501" s="6">
        <f>IF(Calculator!B8=FALSE,25,43)</f>
        <v>25</v>
      </c>
      <c r="E501" s="6">
        <f>IF(Calculator!B8=FALSE,15,36)</f>
        <v>15</v>
      </c>
      <c r="F501" s="6">
        <v>5</v>
      </c>
      <c r="G501" s="6">
        <v>10</v>
      </c>
      <c r="H501" s="6">
        <v>20</v>
      </c>
      <c r="I501" s="6">
        <v>15</v>
      </c>
      <c r="J501" s="6">
        <v>20</v>
      </c>
      <c r="K501" s="6" t="str">
        <f>IF(A501=Calculator!B4,1+MAX(K500:K500),"")</f>
        <v/>
      </c>
      <c r="L501" s="6"/>
      <c r="M501" s="6" t="b">
        <v>1</v>
      </c>
    </row>
    <row r="502" spans="1:13" x14ac:dyDescent="0.25">
      <c r="A502" s="6" t="s">
        <v>804</v>
      </c>
      <c r="B502" s="6" t="s">
        <v>567</v>
      </c>
      <c r="C502" s="6">
        <v>35</v>
      </c>
      <c r="D502" s="6">
        <v>30</v>
      </c>
      <c r="E502" s="6">
        <v>35</v>
      </c>
      <c r="F502" s="6">
        <v>0</v>
      </c>
      <c r="G502" s="6">
        <v>0</v>
      </c>
      <c r="H502" s="6">
        <v>10</v>
      </c>
      <c r="I502" s="6">
        <v>5</v>
      </c>
      <c r="J502" s="6">
        <v>10</v>
      </c>
      <c r="K502" s="6" t="str">
        <f>IF(A502=Calculator!B4,1+MAX(K501:K501),"")</f>
        <v/>
      </c>
      <c r="L502" s="6"/>
      <c r="M502" s="6"/>
    </row>
    <row r="503" spans="1:13" x14ac:dyDescent="0.25">
      <c r="A503" s="6" t="s">
        <v>804</v>
      </c>
      <c r="B503" s="6" t="s">
        <v>530</v>
      </c>
      <c r="C503" s="6">
        <v>30</v>
      </c>
      <c r="D503" s="6">
        <v>35</v>
      </c>
      <c r="E503" s="6">
        <v>30</v>
      </c>
      <c r="F503" s="6">
        <v>0</v>
      </c>
      <c r="G503" s="6">
        <v>0</v>
      </c>
      <c r="H503" s="6">
        <v>10</v>
      </c>
      <c r="I503" s="6">
        <v>5</v>
      </c>
      <c r="J503" s="6">
        <v>10</v>
      </c>
      <c r="K503" s="6" t="str">
        <f>IF(A503=Calculator!B4,1+MAX(K502:K502),"")</f>
        <v/>
      </c>
      <c r="L503" s="6"/>
      <c r="M503" s="6"/>
    </row>
    <row r="504" spans="1:13" x14ac:dyDescent="0.25">
      <c r="A504" s="6" t="s">
        <v>804</v>
      </c>
      <c r="B504" s="6" t="s">
        <v>535</v>
      </c>
      <c r="C504" s="6">
        <f>IF(Calculator!B8=FALSE,50,62)</f>
        <v>50</v>
      </c>
      <c r="D504" s="6">
        <f>IF(Calculator!B8=FALSE,45,58)</f>
        <v>45</v>
      </c>
      <c r="E504" s="6">
        <f>IF(Calculator!B8=FALSE,40,55)</f>
        <v>40</v>
      </c>
      <c r="F504" s="6">
        <v>5</v>
      </c>
      <c r="G504" s="6">
        <v>5</v>
      </c>
      <c r="H504" s="6">
        <v>15</v>
      </c>
      <c r="I504" s="6">
        <v>0</v>
      </c>
      <c r="J504" s="6">
        <v>15</v>
      </c>
      <c r="K504" s="6" t="str">
        <f>IF(A504=Calculator!B4,1+MAX(K503:K503),"")</f>
        <v/>
      </c>
      <c r="L504" s="6"/>
      <c r="M504" s="6" t="b">
        <v>1</v>
      </c>
    </row>
    <row r="505" spans="1:13" x14ac:dyDescent="0.25">
      <c r="A505" s="6" t="s">
        <v>804</v>
      </c>
      <c r="B505" s="6" t="s">
        <v>664</v>
      </c>
      <c r="C505" s="6">
        <f>IF(Calculator!B8=FALSE,70,77)</f>
        <v>70</v>
      </c>
      <c r="D505" s="6">
        <f>IF(Calculator!B8=FALSE,60,70)</f>
        <v>60</v>
      </c>
      <c r="E505" s="6">
        <f>IF(Calculator!B8=FALSE,55,66)</f>
        <v>55</v>
      </c>
      <c r="F505" s="6">
        <v>5</v>
      </c>
      <c r="G505" s="6">
        <v>5</v>
      </c>
      <c r="H505" s="6">
        <v>15</v>
      </c>
      <c r="I505" s="6">
        <v>0</v>
      </c>
      <c r="J505" s="6">
        <v>15</v>
      </c>
      <c r="K505" s="6" t="str">
        <f>IF(A505=Calculator!B4,1+MAX(K504:K504),"")</f>
        <v/>
      </c>
      <c r="L505" s="6"/>
      <c r="M505" s="6" t="b">
        <v>1</v>
      </c>
    </row>
    <row r="506" spans="1:13" x14ac:dyDescent="0.25">
      <c r="A506" s="6" t="s">
        <v>804</v>
      </c>
      <c r="B506" s="6" t="s">
        <v>665</v>
      </c>
      <c r="C506" s="6">
        <f>IF(Calculator!B8=FALSE,20,40)</f>
        <v>20</v>
      </c>
      <c r="D506" s="6">
        <f>IF(Calculator!B8=FALSE,25,43)</f>
        <v>25</v>
      </c>
      <c r="E506" s="6">
        <f>IF(Calculator!B8=FALSE,15,36)</f>
        <v>15</v>
      </c>
      <c r="F506" s="6">
        <v>15</v>
      </c>
      <c r="G506" s="6">
        <v>5</v>
      </c>
      <c r="H506" s="6">
        <v>15</v>
      </c>
      <c r="I506" s="6">
        <v>5</v>
      </c>
      <c r="J506" s="6">
        <v>20</v>
      </c>
      <c r="K506" s="6" t="str">
        <f>IF(A506=Calculator!B4,1+MAX(K505:K505),"")</f>
        <v/>
      </c>
      <c r="L506" s="6"/>
      <c r="M506" s="6" t="b">
        <v>1</v>
      </c>
    </row>
    <row r="507" spans="1:13" x14ac:dyDescent="0.25">
      <c r="A507" s="6" t="s">
        <v>804</v>
      </c>
      <c r="B507" s="6" t="s">
        <v>532</v>
      </c>
      <c r="C507" s="6">
        <v>35</v>
      </c>
      <c r="D507" s="6">
        <v>30</v>
      </c>
      <c r="E507" s="6">
        <v>35</v>
      </c>
      <c r="F507" s="6">
        <v>0</v>
      </c>
      <c r="G507" s="6">
        <v>0</v>
      </c>
      <c r="H507" s="6">
        <v>10</v>
      </c>
      <c r="I507" s="6">
        <v>5</v>
      </c>
      <c r="J507" s="6">
        <v>10</v>
      </c>
      <c r="K507" s="6" t="str">
        <f>IF(A507=Calculator!B4,1+MAX(K506:K506),"")</f>
        <v/>
      </c>
      <c r="L507" s="6"/>
      <c r="M507" s="6"/>
    </row>
    <row r="508" spans="1:13" x14ac:dyDescent="0.25">
      <c r="A508" s="6" t="s">
        <v>804</v>
      </c>
      <c r="B508" s="6" t="s">
        <v>548</v>
      </c>
      <c r="C508" s="6">
        <f>IF(Calculator!B8=FALSE,40,55)</f>
        <v>40</v>
      </c>
      <c r="D508" s="6">
        <f>IF(Calculator!B8=FALSE,30,47)</f>
        <v>30</v>
      </c>
      <c r="E508" s="6">
        <f>IF(Calculator!B8=FALSE,30,47)</f>
        <v>30</v>
      </c>
      <c r="F508" s="6">
        <v>10</v>
      </c>
      <c r="G508" s="6">
        <v>5</v>
      </c>
      <c r="H508" s="6">
        <v>10</v>
      </c>
      <c r="I508" s="6">
        <v>5</v>
      </c>
      <c r="J508" s="6">
        <v>10</v>
      </c>
      <c r="K508" s="6" t="str">
        <f>IF(A508=Calculator!B4,1+MAX(K507:K507),"")</f>
        <v/>
      </c>
      <c r="L508" s="6"/>
      <c r="M508" s="6" t="b">
        <v>1</v>
      </c>
    </row>
    <row r="509" spans="1:13" x14ac:dyDescent="0.25">
      <c r="A509" s="6" t="s">
        <v>804</v>
      </c>
      <c r="B509" s="6" t="s">
        <v>668</v>
      </c>
      <c r="C509" s="6">
        <f>IF(Calculator!B8=FALSE,55,66)</f>
        <v>55</v>
      </c>
      <c r="D509" s="6">
        <f>IF(Calculator!B8=FALSE,45,58)</f>
        <v>45</v>
      </c>
      <c r="E509" s="6">
        <f>IF(Calculator!B8=FALSE,45,58)</f>
        <v>45</v>
      </c>
      <c r="F509" s="6">
        <v>10</v>
      </c>
      <c r="G509" s="6">
        <v>5</v>
      </c>
      <c r="H509" s="6">
        <v>10</v>
      </c>
      <c r="I509" s="6">
        <v>5</v>
      </c>
      <c r="J509" s="6">
        <v>15</v>
      </c>
      <c r="K509" s="6" t="str">
        <f>IF(A509=Calculator!B4,1+MAX(K508:K508),"")</f>
        <v/>
      </c>
      <c r="L509" s="6"/>
      <c r="M509" s="6" t="b">
        <v>1</v>
      </c>
    </row>
    <row r="510" spans="1:13" x14ac:dyDescent="0.25">
      <c r="A510" s="6" t="s">
        <v>804</v>
      </c>
      <c r="B510" s="6" t="s">
        <v>669</v>
      </c>
      <c r="C510" s="6">
        <f>IF(Calculator!B8=FALSE,28,46)</f>
        <v>28</v>
      </c>
      <c r="D510" s="6">
        <f>IF(Calculator!B8=FALSE,25,43)</f>
        <v>25</v>
      </c>
      <c r="E510" s="6">
        <f>IF(Calculator!B8=FALSE,25,43)</f>
        <v>25</v>
      </c>
      <c r="F510" s="6">
        <v>10</v>
      </c>
      <c r="G510" s="6">
        <v>5</v>
      </c>
      <c r="H510" s="6">
        <v>15</v>
      </c>
      <c r="I510" s="6">
        <v>5</v>
      </c>
      <c r="J510" s="6">
        <v>20</v>
      </c>
      <c r="K510" s="6" t="str">
        <f>IF(A510=Calculator!B4,1+MAX(K509:K509),"")</f>
        <v/>
      </c>
      <c r="L510" s="6"/>
      <c r="M510" s="6" t="b">
        <v>1</v>
      </c>
    </row>
    <row r="511" spans="1:13" x14ac:dyDescent="0.25">
      <c r="A511" s="6" t="s">
        <v>804</v>
      </c>
      <c r="B511" s="6" t="s">
        <v>533</v>
      </c>
      <c r="C511" s="6">
        <f>IF(Calculator!B8=FALSE,45,58)</f>
        <v>45</v>
      </c>
      <c r="D511" s="6">
        <f>IF(Calculator!B8=FALSE,35,51)</f>
        <v>35</v>
      </c>
      <c r="E511" s="6">
        <f>IF(Calculator!B8=FALSE,25,43)</f>
        <v>25</v>
      </c>
      <c r="F511" s="6">
        <v>10</v>
      </c>
      <c r="G511" s="6">
        <v>5</v>
      </c>
      <c r="H511" s="6">
        <v>10</v>
      </c>
      <c r="I511" s="6">
        <v>5</v>
      </c>
      <c r="J511" s="6">
        <v>10</v>
      </c>
      <c r="K511" s="6" t="str">
        <f>IF(A511=Calculator!B4,1+MAX(K510:K510),"")</f>
        <v/>
      </c>
      <c r="L511" s="6"/>
      <c r="M511" s="6" t="b">
        <v>1</v>
      </c>
    </row>
    <row r="512" spans="1:13" x14ac:dyDescent="0.25">
      <c r="A512" s="6" t="s">
        <v>804</v>
      </c>
      <c r="B512" s="6" t="s">
        <v>568</v>
      </c>
      <c r="C512" s="6">
        <f>IF(Calculator!B8=FALSE,45,58)</f>
        <v>45</v>
      </c>
      <c r="D512" s="6">
        <f>IF(Calculator!B8=FALSE,35,51)</f>
        <v>35</v>
      </c>
      <c r="E512" s="6">
        <f>IF(Calculator!B8=FALSE,25,43)</f>
        <v>25</v>
      </c>
      <c r="F512" s="6">
        <v>15</v>
      </c>
      <c r="G512" s="6">
        <v>5</v>
      </c>
      <c r="H512" s="6">
        <v>15</v>
      </c>
      <c r="I512" s="6">
        <v>5</v>
      </c>
      <c r="J512" s="6">
        <v>15</v>
      </c>
      <c r="K512" s="6" t="str">
        <f>IF(A512=Calculator!B4,1+MAX(K511:K511),"")</f>
        <v/>
      </c>
      <c r="L512" s="6"/>
      <c r="M512" s="6" t="b">
        <v>1</v>
      </c>
    </row>
    <row r="513" spans="1:15" x14ac:dyDescent="0.25">
      <c r="A513" s="6" t="s">
        <v>804</v>
      </c>
      <c r="B513" s="6" t="s">
        <v>666</v>
      </c>
      <c r="C513" s="6">
        <f>IF(Calculator!B8=FALSE,65,73)</f>
        <v>65</v>
      </c>
      <c r="D513" s="6">
        <f>IF(Calculator!B8=FALSE,55,66)</f>
        <v>55</v>
      </c>
      <c r="E513" s="6">
        <f>IF(Calculator!B8=FALSE,45,58)</f>
        <v>45</v>
      </c>
      <c r="F513" s="6">
        <v>15</v>
      </c>
      <c r="G513" s="6">
        <v>5</v>
      </c>
      <c r="H513" s="6">
        <v>15</v>
      </c>
      <c r="I513" s="6">
        <v>5</v>
      </c>
      <c r="J513" s="6">
        <v>15</v>
      </c>
      <c r="K513" s="6" t="str">
        <f>IF(A513=Calculator!B4,1+MAX(K512:K512),"")</f>
        <v/>
      </c>
      <c r="L513" s="6"/>
      <c r="M513" s="6" t="b">
        <v>1</v>
      </c>
    </row>
    <row r="514" spans="1:15" x14ac:dyDescent="0.25">
      <c r="A514" s="6" t="s">
        <v>804</v>
      </c>
      <c r="B514" s="6" t="s">
        <v>667</v>
      </c>
      <c r="C514" s="6">
        <f>IF(Calculator!B8=FALSE,10,32)</f>
        <v>10</v>
      </c>
      <c r="D514" s="6">
        <f>IF(Calculator!B8=FALSE,15,36)</f>
        <v>15</v>
      </c>
      <c r="E514" s="6">
        <f>IF(Calculator!B8=FALSE,15,36)</f>
        <v>15</v>
      </c>
      <c r="F514" s="6">
        <v>5</v>
      </c>
      <c r="G514" s="6">
        <v>5</v>
      </c>
      <c r="H514" s="6">
        <v>15</v>
      </c>
      <c r="I514" s="6">
        <v>0</v>
      </c>
      <c r="J514" s="6">
        <v>20</v>
      </c>
      <c r="K514" s="6" t="str">
        <f>IF(A514=Calculator!B4,1+MAX(K513:K513),"")</f>
        <v/>
      </c>
      <c r="L514" s="6"/>
      <c r="M514" s="6" t="b">
        <v>1</v>
      </c>
    </row>
    <row r="515" spans="1:15" x14ac:dyDescent="0.25">
      <c r="A515" s="6" t="s">
        <v>803</v>
      </c>
      <c r="B515" s="6" t="s">
        <v>810</v>
      </c>
      <c r="C515" s="6">
        <f>IF(Calculator!B8=FALSE,50,62)</f>
        <v>50</v>
      </c>
      <c r="D515" s="6">
        <f>IF(Calculator!B8=FALSE,55,66)</f>
        <v>55</v>
      </c>
      <c r="E515" s="6">
        <f>IF(Calculator!B8=FALSE,45,58)</f>
        <v>45</v>
      </c>
      <c r="F515" s="6">
        <v>5</v>
      </c>
      <c r="G515" s="6">
        <v>15</v>
      </c>
      <c r="H515" s="6">
        <v>0</v>
      </c>
      <c r="I515" s="6">
        <v>20</v>
      </c>
      <c r="J515" s="6">
        <v>5</v>
      </c>
      <c r="K515" s="6" t="str">
        <f>IF(A515=Calculator!B4,1+MAX(K514:K514),"")</f>
        <v/>
      </c>
      <c r="L515" s="6"/>
      <c r="M515" s="6" t="b">
        <v>1</v>
      </c>
    </row>
    <row r="516" spans="1:15" x14ac:dyDescent="0.25">
      <c r="A516" s="6" t="s">
        <v>803</v>
      </c>
      <c r="B516" s="6" t="s">
        <v>811</v>
      </c>
      <c r="C516" s="6">
        <f>IF(Calculator!B8=FALSE,55,66)</f>
        <v>55</v>
      </c>
      <c r="D516" s="6">
        <f>IF(Calculator!B8=FALSE,60,70)</f>
        <v>60</v>
      </c>
      <c r="E516" s="6">
        <f>IF(Calculator!B8=FALSE,35,51)</f>
        <v>35</v>
      </c>
      <c r="F516" s="6">
        <v>5</v>
      </c>
      <c r="G516" s="6">
        <v>15</v>
      </c>
      <c r="H516" s="6">
        <v>0</v>
      </c>
      <c r="I516" s="6">
        <v>20</v>
      </c>
      <c r="J516" s="6">
        <v>5</v>
      </c>
      <c r="K516" s="6" t="str">
        <f>IF(A516=Calculator!B4,1+MAX(K515:K515),"")</f>
        <v/>
      </c>
      <c r="L516" s="6"/>
      <c r="M516" s="6" t="b">
        <v>1</v>
      </c>
    </row>
    <row r="517" spans="1:15" x14ac:dyDescent="0.25">
      <c r="A517" s="6" t="s">
        <v>803</v>
      </c>
      <c r="B517" s="6" t="s">
        <v>812</v>
      </c>
      <c r="C517" s="6">
        <f>IF(Calculator!B8=FALSE,50,62)</f>
        <v>50</v>
      </c>
      <c r="D517" s="6">
        <f>IF(Calculator!B8=FALSE,50,62)</f>
        <v>50</v>
      </c>
      <c r="E517" s="6">
        <f>IF(Calculator!B8=FALSE,30,47)</f>
        <v>30</v>
      </c>
      <c r="F517" s="6">
        <v>5</v>
      </c>
      <c r="G517" s="6">
        <v>15</v>
      </c>
      <c r="H517" s="6">
        <v>0</v>
      </c>
      <c r="I517" s="6">
        <v>20</v>
      </c>
      <c r="J517" s="6">
        <v>5</v>
      </c>
      <c r="K517" s="6" t="str">
        <f>IF(A517=Calculator!B4,1+MAX(K516:K516),"")</f>
        <v/>
      </c>
      <c r="L517" s="6"/>
      <c r="M517" s="6" t="b">
        <v>1</v>
      </c>
    </row>
    <row r="518" spans="1:15" x14ac:dyDescent="0.25">
      <c r="A518" s="6" t="s">
        <v>803</v>
      </c>
      <c r="B518" s="6" t="s">
        <v>813</v>
      </c>
      <c r="C518" s="6">
        <f>IF(Calculator!B8=FALSE,19,39)</f>
        <v>19</v>
      </c>
      <c r="D518" s="6">
        <f>IF(Calculator!B8=FALSE,20,40)</f>
        <v>20</v>
      </c>
      <c r="E518" s="6">
        <f>IF(Calculator!B8=FALSE,20,40)</f>
        <v>20</v>
      </c>
      <c r="F518" s="6">
        <v>5</v>
      </c>
      <c r="G518" s="6">
        <v>10</v>
      </c>
      <c r="H518" s="6">
        <v>0</v>
      </c>
      <c r="I518" s="6">
        <v>15</v>
      </c>
      <c r="J518" s="6">
        <v>5</v>
      </c>
      <c r="K518" s="6" t="str">
        <f>IF(A518=Calculator!B4,1+MAX(K517:K517),"")</f>
        <v/>
      </c>
      <c r="L518" s="6"/>
      <c r="M518" s="6" t="b">
        <v>1</v>
      </c>
    </row>
    <row r="519" spans="1:15" x14ac:dyDescent="0.25">
      <c r="A519" s="6" t="s">
        <v>803</v>
      </c>
      <c r="B519" s="6" t="s">
        <v>814</v>
      </c>
      <c r="C519" s="6">
        <f>IF(Calculator!B8=FALSE,10,32)</f>
        <v>10</v>
      </c>
      <c r="D519" s="6">
        <f>IF(Calculator!B8=FALSE,10,32)</f>
        <v>10</v>
      </c>
      <c r="E519" s="6">
        <f>IF(Calculator!B8=FALSE,10,32)</f>
        <v>10</v>
      </c>
      <c r="F519" s="6">
        <v>5</v>
      </c>
      <c r="G519" s="6">
        <v>5</v>
      </c>
      <c r="H519" s="6">
        <v>0</v>
      </c>
      <c r="I519" s="6">
        <v>10</v>
      </c>
      <c r="J519" s="6">
        <v>5</v>
      </c>
      <c r="K519" s="6" t="str">
        <f>IF(A519=Calculator!B4,1+MAX(K518:K518),"")</f>
        <v/>
      </c>
      <c r="L519" s="6"/>
      <c r="M519" s="6" t="b">
        <v>1</v>
      </c>
    </row>
    <row r="520" spans="1:15" x14ac:dyDescent="0.25">
      <c r="A520" s="6" t="s">
        <v>803</v>
      </c>
      <c r="B520" s="6" t="s">
        <v>815</v>
      </c>
      <c r="C520" s="6">
        <f>IF(Calculator!B8=FALSE,10,32)</f>
        <v>10</v>
      </c>
      <c r="D520" s="6">
        <f>IF(Calculator!B8=FALSE,10,32)</f>
        <v>10</v>
      </c>
      <c r="E520" s="6">
        <f>IF(Calculator!B8=FALSE,10,32)</f>
        <v>10</v>
      </c>
      <c r="F520" s="6">
        <v>5</v>
      </c>
      <c r="G520" s="6">
        <v>5</v>
      </c>
      <c r="H520" s="6">
        <v>0</v>
      </c>
      <c r="I520" s="6">
        <v>10</v>
      </c>
      <c r="J520" s="6">
        <v>5</v>
      </c>
      <c r="K520" s="6" t="str">
        <f>IF(A520=Calculator!B4,1+MAX(K519:K519),"")</f>
        <v/>
      </c>
      <c r="L520" s="6"/>
      <c r="M520" s="6" t="b">
        <v>1</v>
      </c>
      <c r="O520" t="s">
        <v>676</v>
      </c>
    </row>
    <row r="521" spans="1:15" x14ac:dyDescent="0.25">
      <c r="A521" s="6" t="s">
        <v>803</v>
      </c>
      <c r="B521" s="6" t="s">
        <v>816</v>
      </c>
      <c r="C521" s="6">
        <f>IF(Calculator!B8=FALSE,19,39)</f>
        <v>19</v>
      </c>
      <c r="D521" s="6">
        <f>IF(Calculator!B8=FALSE,20,40)</f>
        <v>20</v>
      </c>
      <c r="E521" s="6">
        <f>IF(Calculator!B8=FALSE,20,40)</f>
        <v>20</v>
      </c>
      <c r="F521" s="6">
        <v>5</v>
      </c>
      <c r="G521" s="6">
        <v>10</v>
      </c>
      <c r="H521" s="6">
        <v>0</v>
      </c>
      <c r="I521" s="6">
        <v>15</v>
      </c>
      <c r="J521" s="6">
        <v>5</v>
      </c>
      <c r="K521" s="6" t="str">
        <f>IF(A521=Calculator!B4,1+MAX(K520:K520),"")</f>
        <v/>
      </c>
      <c r="L521" s="6"/>
      <c r="M521" s="6" t="b">
        <v>1</v>
      </c>
    </row>
    <row r="522" spans="1:15" x14ac:dyDescent="0.25">
      <c r="A522" s="6" t="s">
        <v>803</v>
      </c>
      <c r="B522" s="6" t="s">
        <v>817</v>
      </c>
      <c r="C522" s="6">
        <f>IF(Calculator!B8=FALSE,10,32)</f>
        <v>10</v>
      </c>
      <c r="D522" s="6">
        <f>IF(Calculator!B8=FALSE,10,32)</f>
        <v>10</v>
      </c>
      <c r="E522" s="6">
        <f>IF(Calculator!B8=FALSE,10,32)</f>
        <v>10</v>
      </c>
      <c r="F522" s="6">
        <v>5</v>
      </c>
      <c r="G522" s="6">
        <v>5</v>
      </c>
      <c r="H522" s="6">
        <v>0</v>
      </c>
      <c r="I522" s="6">
        <v>10</v>
      </c>
      <c r="J522" s="6">
        <v>5</v>
      </c>
      <c r="K522" s="6" t="str">
        <f>IF(A522=Calculator!B4,1+MAX(K521:K521),"")</f>
        <v/>
      </c>
      <c r="L522" s="6"/>
      <c r="M522" s="6" t="b">
        <v>1</v>
      </c>
    </row>
    <row r="523" spans="1:15" x14ac:dyDescent="0.25">
      <c r="A523" s="6" t="s">
        <v>803</v>
      </c>
      <c r="B523" s="6" t="s">
        <v>836</v>
      </c>
      <c r="C523" s="6">
        <f>IF(Calculator!B8=FALSE,10,32)</f>
        <v>10</v>
      </c>
      <c r="D523" s="6">
        <f>IF(Calculator!B8=FALSE,10,32)</f>
        <v>10</v>
      </c>
      <c r="E523" s="6">
        <f>IF(Calculator!B8=FALSE,10,32)</f>
        <v>10</v>
      </c>
      <c r="F523" s="6">
        <v>5</v>
      </c>
      <c r="G523" s="6">
        <v>5</v>
      </c>
      <c r="H523" s="6">
        <v>0</v>
      </c>
      <c r="I523" s="6">
        <v>10</v>
      </c>
      <c r="J523" s="6">
        <v>5</v>
      </c>
      <c r="K523" s="6" t="str">
        <f>IF(A523=Calculator!B4,1+MAX(K522:K522),"")</f>
        <v/>
      </c>
      <c r="L523" s="6"/>
      <c r="M523" s="6" t="b">
        <v>1</v>
      </c>
    </row>
    <row r="524" spans="1:15" x14ac:dyDescent="0.25">
      <c r="A524" s="6" t="s">
        <v>803</v>
      </c>
      <c r="B524" s="6" t="s">
        <v>502</v>
      </c>
      <c r="C524" s="6">
        <f>IF(Calculator!B8=FALSE,70,77)</f>
        <v>70</v>
      </c>
      <c r="D524" s="6">
        <f>IF(Calculator!B8=FALSE,75,81)</f>
        <v>75</v>
      </c>
      <c r="E524" s="6">
        <f>IF(Calculator!B8=FALSE,35,51)</f>
        <v>35</v>
      </c>
      <c r="F524" s="6">
        <v>10</v>
      </c>
      <c r="G524" s="6">
        <v>20</v>
      </c>
      <c r="H524" s="6">
        <v>0</v>
      </c>
      <c r="I524" s="6">
        <v>25</v>
      </c>
      <c r="J524" s="6">
        <v>5</v>
      </c>
      <c r="K524" s="6" t="str">
        <f>IF(A524=Calculator!B4,1+MAX(K523:K523),"")</f>
        <v/>
      </c>
      <c r="L524" s="6"/>
      <c r="M524" s="6" t="b">
        <v>1</v>
      </c>
    </row>
    <row r="525" spans="1:15" x14ac:dyDescent="0.25">
      <c r="A525" s="6" t="s">
        <v>803</v>
      </c>
      <c r="B525" s="6" t="s">
        <v>757</v>
      </c>
      <c r="C525" s="6">
        <v>48</v>
      </c>
      <c r="D525" s="6">
        <v>44</v>
      </c>
      <c r="E525" s="6">
        <v>20</v>
      </c>
      <c r="F525" s="6">
        <v>5</v>
      </c>
      <c r="G525" s="6">
        <v>15</v>
      </c>
      <c r="H525" s="6">
        <v>0</v>
      </c>
      <c r="I525" s="6">
        <v>20</v>
      </c>
      <c r="J525" s="6">
        <v>5</v>
      </c>
      <c r="K525" s="6" t="str">
        <f>IF(A525=Calculator!B4,1+MAX(K524:K524),"")</f>
        <v/>
      </c>
      <c r="L525" s="6"/>
      <c r="M525" s="6"/>
    </row>
    <row r="526" spans="1:15" x14ac:dyDescent="0.25">
      <c r="A526" s="6" t="s">
        <v>803</v>
      </c>
      <c r="B526" s="6" t="s">
        <v>531</v>
      </c>
      <c r="C526" s="6">
        <f>IF(Calculator!B8=FALSE,44,58)</f>
        <v>44</v>
      </c>
      <c r="D526" s="6">
        <f>IF(Calculator!B8=FALSE,48,61)</f>
        <v>48</v>
      </c>
      <c r="E526" s="6">
        <f>IF(Calculator!B8=FALSE,25,43)</f>
        <v>25</v>
      </c>
      <c r="F526" s="6">
        <v>5</v>
      </c>
      <c r="G526" s="6">
        <v>15</v>
      </c>
      <c r="H526" s="6">
        <v>0</v>
      </c>
      <c r="I526" s="6">
        <v>20</v>
      </c>
      <c r="J526" s="6">
        <v>5</v>
      </c>
      <c r="K526" s="6" t="str">
        <f>IF(A526=Calculator!B4,1+MAX(K525:K525),"")</f>
        <v/>
      </c>
      <c r="L526" s="6" t="s">
        <v>542</v>
      </c>
      <c r="M526" s="6" t="b">
        <v>1</v>
      </c>
    </row>
    <row r="527" spans="1:15" x14ac:dyDescent="0.25">
      <c r="A527" s="6" t="s">
        <v>803</v>
      </c>
      <c r="B527" s="6" t="s">
        <v>532</v>
      </c>
      <c r="C527" s="6">
        <f>IF(Calculator!B8=FALSE,25,43)</f>
        <v>25</v>
      </c>
      <c r="D527" s="6">
        <f>IF(Calculator!B8=FALSE,25,43)</f>
        <v>25</v>
      </c>
      <c r="E527" s="6">
        <f>IF(Calculator!B8=FALSE,10,32)</f>
        <v>10</v>
      </c>
      <c r="F527" s="6">
        <v>5</v>
      </c>
      <c r="G527" s="6">
        <v>5</v>
      </c>
      <c r="H527" s="6">
        <v>0</v>
      </c>
      <c r="I527" s="6">
        <v>15</v>
      </c>
      <c r="J527" s="6">
        <v>5</v>
      </c>
      <c r="K527" s="6" t="str">
        <f>IF(A527=Calculator!B4,1+MAX(K526:K526),"")</f>
        <v/>
      </c>
      <c r="L527" s="6"/>
      <c r="M527" s="6" t="b">
        <v>1</v>
      </c>
    </row>
    <row r="528" spans="1:15" x14ac:dyDescent="0.25">
      <c r="A528" s="6" t="s">
        <v>803</v>
      </c>
      <c r="B528" s="6" t="s">
        <v>548</v>
      </c>
      <c r="C528" s="6">
        <v>48</v>
      </c>
      <c r="D528" s="6">
        <v>48</v>
      </c>
      <c r="E528" s="6">
        <v>45</v>
      </c>
      <c r="F528" s="6">
        <v>5</v>
      </c>
      <c r="G528" s="6">
        <v>15</v>
      </c>
      <c r="H528" s="6">
        <v>0</v>
      </c>
      <c r="I528" s="6">
        <v>20</v>
      </c>
      <c r="J528" s="6">
        <v>5</v>
      </c>
      <c r="K528" s="6" t="str">
        <f>IF(A528=Calculator!B4,1+MAX(K527:K527),"")</f>
        <v/>
      </c>
      <c r="L528" s="6"/>
      <c r="M528" s="6"/>
    </row>
    <row r="529" spans="1:15" x14ac:dyDescent="0.25">
      <c r="A529" s="6" t="s">
        <v>803</v>
      </c>
      <c r="B529" s="6" t="s">
        <v>533</v>
      </c>
      <c r="C529" s="6">
        <f>IF(Calculator!B8=FALSE,25,43)</f>
        <v>25</v>
      </c>
      <c r="D529" s="6">
        <f>IF(Calculator!B8=FALSE,25,43)</f>
        <v>25</v>
      </c>
      <c r="E529" s="6">
        <f>IF(Calculator!B8=FALSE,10,32)</f>
        <v>10</v>
      </c>
      <c r="F529" s="6">
        <v>5</v>
      </c>
      <c r="G529" s="6">
        <v>5</v>
      </c>
      <c r="H529" s="6">
        <v>0</v>
      </c>
      <c r="I529" s="6">
        <v>15</v>
      </c>
      <c r="J529" s="6">
        <v>5</v>
      </c>
      <c r="K529" s="6" t="str">
        <f>IF(A529=Calculator!B4,1+MAX(K528:K528),"")</f>
        <v/>
      </c>
      <c r="L529" s="6"/>
      <c r="M529" s="6" t="b">
        <v>1</v>
      </c>
    </row>
    <row r="530" spans="1:15" x14ac:dyDescent="0.25">
      <c r="A530" s="6" t="s">
        <v>915</v>
      </c>
      <c r="B530" s="6" t="s">
        <v>502</v>
      </c>
      <c r="C530" s="6">
        <f>IF(Calculator!B8=FALSE,45,58)</f>
        <v>45</v>
      </c>
      <c r="D530" s="6">
        <f>IF(Calculator!B8=FALSE,45,58)</f>
        <v>45</v>
      </c>
      <c r="E530" s="6">
        <f>IF(Calculator!B8=FALSE,50,62)</f>
        <v>50</v>
      </c>
      <c r="F530" s="6">
        <v>5</v>
      </c>
      <c r="G530" s="6">
        <v>10</v>
      </c>
      <c r="H530" s="6">
        <v>0</v>
      </c>
      <c r="I530" s="6">
        <v>15</v>
      </c>
      <c r="J530" s="6">
        <v>5</v>
      </c>
      <c r="K530" s="6" t="str">
        <f>IF(A530=Calculator!B4,1+MAX(K529:K529),"")</f>
        <v/>
      </c>
      <c r="L530" s="6" t="s">
        <v>542</v>
      </c>
      <c r="M530" s="6" t="b">
        <v>1</v>
      </c>
    </row>
    <row r="531" spans="1:15" x14ac:dyDescent="0.25">
      <c r="A531" s="6" t="s">
        <v>915</v>
      </c>
      <c r="B531" s="6" t="s">
        <v>790</v>
      </c>
      <c r="C531" s="6">
        <f>IF(Calculator!B8=FALSE,65,73)</f>
        <v>65</v>
      </c>
      <c r="D531" s="6">
        <f>IF(Calculator!B8=FALSE,65,73)</f>
        <v>65</v>
      </c>
      <c r="E531" s="6">
        <f>IF(Calculator!B8=FALSE,55,66)</f>
        <v>55</v>
      </c>
      <c r="F531" s="6">
        <v>10</v>
      </c>
      <c r="G531" s="6">
        <v>20</v>
      </c>
      <c r="H531" s="6">
        <v>0</v>
      </c>
      <c r="I531" s="6">
        <v>25</v>
      </c>
      <c r="J531" s="6">
        <v>10</v>
      </c>
      <c r="K531" s="6" t="str">
        <f>IF(A531=Calculator!B4,1+MAX(K530:K530),"")</f>
        <v/>
      </c>
      <c r="L531" s="6"/>
      <c r="M531" s="6" t="b">
        <v>1</v>
      </c>
    </row>
    <row r="532" spans="1:15" x14ac:dyDescent="0.25">
      <c r="A532" s="6" t="s">
        <v>915</v>
      </c>
      <c r="B532" s="6" t="s">
        <v>528</v>
      </c>
      <c r="C532" s="6">
        <f>IF(Calculator!B8=FALSE,40,55)</f>
        <v>40</v>
      </c>
      <c r="D532" s="6">
        <f>IF(Calculator!B8=FALSE,40,55)</f>
        <v>40</v>
      </c>
      <c r="E532" s="6">
        <f>IF(Calculator!B8=FALSE,45,58)</f>
        <v>45</v>
      </c>
      <c r="F532" s="6">
        <v>5</v>
      </c>
      <c r="G532" s="6">
        <v>10</v>
      </c>
      <c r="H532" s="6">
        <v>0</v>
      </c>
      <c r="I532" s="6">
        <v>15</v>
      </c>
      <c r="J532" s="6">
        <v>5</v>
      </c>
      <c r="K532" s="6" t="str">
        <f>IF(A532=Calculator!B4,1+MAX(K531:K531),"")</f>
        <v/>
      </c>
      <c r="L532" s="6"/>
      <c r="M532" s="6" t="b">
        <v>1</v>
      </c>
    </row>
    <row r="533" spans="1:15" x14ac:dyDescent="0.25">
      <c r="A533" s="6" t="s">
        <v>915</v>
      </c>
      <c r="B533" s="6" t="s">
        <v>791</v>
      </c>
      <c r="C533" s="6">
        <f>IF(Calculator!B8=FALSE,60,70)</f>
        <v>60</v>
      </c>
      <c r="D533" s="6">
        <f>IF(Calculator!B8=FALSE,30,47)</f>
        <v>30</v>
      </c>
      <c r="E533" s="6">
        <f>IF(Calculator!B8=FALSE,60,70)</f>
        <v>60</v>
      </c>
      <c r="F533" s="6">
        <v>5</v>
      </c>
      <c r="G533" s="6">
        <v>15</v>
      </c>
      <c r="H533" s="6">
        <v>0</v>
      </c>
      <c r="I533" s="6">
        <v>20</v>
      </c>
      <c r="J533" s="6">
        <v>5</v>
      </c>
      <c r="K533" s="6" t="str">
        <f>IF(A533=Calculator!B4,1+MAX(K532:K532),"")</f>
        <v/>
      </c>
      <c r="L533" s="6"/>
      <c r="M533" s="6" t="b">
        <v>1</v>
      </c>
      <c r="O533" t="s">
        <v>676</v>
      </c>
    </row>
    <row r="534" spans="1:15" x14ac:dyDescent="0.25">
      <c r="A534" s="6" t="s">
        <v>915</v>
      </c>
      <c r="B534" s="6" t="s">
        <v>757</v>
      </c>
      <c r="C534" s="6">
        <v>30</v>
      </c>
      <c r="D534" s="6">
        <v>30</v>
      </c>
      <c r="E534" s="6">
        <v>20</v>
      </c>
      <c r="F534" s="6">
        <v>0</v>
      </c>
      <c r="G534" s="6">
        <v>5</v>
      </c>
      <c r="H534" s="6">
        <v>0</v>
      </c>
      <c r="I534" s="6">
        <v>5</v>
      </c>
      <c r="J534" s="6">
        <v>0</v>
      </c>
      <c r="K534" s="6" t="str">
        <f>IF(A534=Calculator!B4,1+MAX(K533:K533),"")</f>
        <v/>
      </c>
      <c r="L534" s="6"/>
      <c r="M534" s="6"/>
    </row>
    <row r="535" spans="1:15" x14ac:dyDescent="0.25">
      <c r="A535" s="6" t="s">
        <v>915</v>
      </c>
      <c r="B535" s="6" t="s">
        <v>793</v>
      </c>
      <c r="C535" s="6">
        <v>25</v>
      </c>
      <c r="D535" s="6">
        <v>25</v>
      </c>
      <c r="E535" s="6">
        <v>15</v>
      </c>
      <c r="F535" s="6">
        <v>0</v>
      </c>
      <c r="G535" s="6">
        <v>5</v>
      </c>
      <c r="H535" s="6">
        <v>0</v>
      </c>
      <c r="I535" s="6">
        <v>10</v>
      </c>
      <c r="J535" s="6">
        <v>0</v>
      </c>
      <c r="K535" s="6" t="str">
        <f>IF(A535=Calculator!B4,1+MAX(K534:K534),"")</f>
        <v/>
      </c>
      <c r="L535" s="6"/>
      <c r="M535" s="6"/>
    </row>
    <row r="536" spans="1:15" x14ac:dyDescent="0.25">
      <c r="A536" s="6" t="s">
        <v>915</v>
      </c>
      <c r="B536" s="6" t="s">
        <v>530</v>
      </c>
      <c r="C536" s="6">
        <f>IF(Calculator!B8=FALSE,30,47)</f>
        <v>30</v>
      </c>
      <c r="D536" s="6">
        <f>IF(Calculator!B8=FALSE,30,47)</f>
        <v>30</v>
      </c>
      <c r="E536" s="6">
        <f>IF(Calculator!B8=FALSE,20,40)</f>
        <v>20</v>
      </c>
      <c r="F536" s="6">
        <v>0</v>
      </c>
      <c r="G536" s="6">
        <v>5</v>
      </c>
      <c r="H536" s="6">
        <v>0</v>
      </c>
      <c r="I536" s="6">
        <v>10</v>
      </c>
      <c r="J536" s="6">
        <v>0</v>
      </c>
      <c r="K536" s="6" t="str">
        <f>IF(A536=Calculator!B4,1+MAX(K535:K535),"")</f>
        <v/>
      </c>
      <c r="L536" s="6"/>
      <c r="M536" s="6" t="b">
        <v>1</v>
      </c>
    </row>
    <row r="537" spans="1:15" x14ac:dyDescent="0.25">
      <c r="A537" s="6" t="s">
        <v>915</v>
      </c>
      <c r="B537" s="6" t="s">
        <v>927</v>
      </c>
      <c r="C537" s="6">
        <f>IF(Calculator!B8=FALSE,40,55)</f>
        <v>40</v>
      </c>
      <c r="D537" s="6">
        <f>IF(Calculator!B8=FALSE,40,55)</f>
        <v>40</v>
      </c>
      <c r="E537" s="6">
        <f>IF(Calculator!B8=FALSE,45,58)</f>
        <v>45</v>
      </c>
      <c r="F537" s="6">
        <v>5</v>
      </c>
      <c r="G537" s="6">
        <v>10</v>
      </c>
      <c r="H537" s="6">
        <v>0</v>
      </c>
      <c r="I537" s="6">
        <v>15</v>
      </c>
      <c r="J537" s="6">
        <v>5</v>
      </c>
      <c r="K537" s="6" t="str">
        <f>IF(A537=Calculator!B4,1+MAX(K536:K536),"")</f>
        <v/>
      </c>
      <c r="L537" s="6"/>
      <c r="M537" s="6" t="b">
        <v>1</v>
      </c>
    </row>
    <row r="538" spans="1:15" x14ac:dyDescent="0.25">
      <c r="A538" s="6" t="s">
        <v>915</v>
      </c>
      <c r="B538" s="6" t="s">
        <v>531</v>
      </c>
      <c r="C538" s="6">
        <f>IF(Calculator!B8=FALSE,40,55)</f>
        <v>40</v>
      </c>
      <c r="D538" s="6">
        <f>IF(Calculator!B8=FALSE,40,55)</f>
        <v>40</v>
      </c>
      <c r="E538" s="6">
        <f>IF(Calculator!B8=FALSE,35,51)</f>
        <v>35</v>
      </c>
      <c r="F538" s="6">
        <v>5</v>
      </c>
      <c r="G538" s="6">
        <v>10</v>
      </c>
      <c r="H538" s="6">
        <v>0</v>
      </c>
      <c r="I538" s="6">
        <v>15</v>
      </c>
      <c r="J538" s="6">
        <v>5</v>
      </c>
      <c r="K538" s="6" t="str">
        <f>IF(A538=Calculator!B4,1+MAX(K537:K537),"")</f>
        <v/>
      </c>
      <c r="L538" s="6"/>
      <c r="M538" s="6" t="b">
        <v>1</v>
      </c>
    </row>
    <row r="539" spans="1:15" x14ac:dyDescent="0.25">
      <c r="A539" s="6" t="s">
        <v>915</v>
      </c>
      <c r="B539" s="6" t="s">
        <v>928</v>
      </c>
      <c r="C539" s="6">
        <f>IF(Calculator!B8=FALSE,45,58)</f>
        <v>45</v>
      </c>
      <c r="D539" s="6">
        <f>IF(Calculator!B8=FALSE,45,58)</f>
        <v>45</v>
      </c>
      <c r="E539" s="6">
        <f>IF(Calculator!B8=FALSE,45,58)</f>
        <v>45</v>
      </c>
      <c r="F539" s="6">
        <v>5</v>
      </c>
      <c r="G539" s="6">
        <v>15</v>
      </c>
      <c r="H539" s="6">
        <v>0</v>
      </c>
      <c r="I539" s="6">
        <v>20</v>
      </c>
      <c r="J539" s="6">
        <v>5</v>
      </c>
      <c r="K539" s="6" t="str">
        <f>IF(A539=Calculator!B4,1+MAX(K538:K538),"")</f>
        <v/>
      </c>
      <c r="L539" s="6"/>
      <c r="M539" s="6" t="b">
        <v>1</v>
      </c>
    </row>
    <row r="540" spans="1:15" x14ac:dyDescent="0.25">
      <c r="A540" s="6" t="s">
        <v>915</v>
      </c>
      <c r="B540" s="6" t="s">
        <v>532</v>
      </c>
      <c r="C540" s="6">
        <v>30</v>
      </c>
      <c r="D540" s="6">
        <v>30</v>
      </c>
      <c r="E540" s="6">
        <v>20</v>
      </c>
      <c r="F540" s="6">
        <v>0</v>
      </c>
      <c r="G540" s="6">
        <v>5</v>
      </c>
      <c r="H540" s="6">
        <v>0</v>
      </c>
      <c r="I540" s="6">
        <v>5</v>
      </c>
      <c r="J540" s="6">
        <v>0</v>
      </c>
      <c r="K540" s="6" t="str">
        <f>IF(A540=Calculator!B4,1+MAX(K539:K539),"")</f>
        <v/>
      </c>
      <c r="L540" s="6"/>
      <c r="M540" s="6"/>
    </row>
    <row r="541" spans="1:15" x14ac:dyDescent="0.25">
      <c r="A541" s="6" t="s">
        <v>915</v>
      </c>
      <c r="B541" s="6" t="s">
        <v>929</v>
      </c>
      <c r="C541" s="6">
        <v>25</v>
      </c>
      <c r="D541" s="6">
        <v>25</v>
      </c>
      <c r="E541" s="6">
        <v>15</v>
      </c>
      <c r="F541" s="6">
        <v>0</v>
      </c>
      <c r="G541" s="6">
        <v>5</v>
      </c>
      <c r="H541" s="6">
        <v>0</v>
      </c>
      <c r="I541" s="6">
        <v>10</v>
      </c>
      <c r="J541" s="6">
        <v>0</v>
      </c>
      <c r="K541" s="6" t="str">
        <f>IF(A541=Calculator!B4,1+MAX(K540:K540),"")</f>
        <v/>
      </c>
      <c r="L541" s="6"/>
      <c r="M541" s="6"/>
    </row>
    <row r="542" spans="1:15" x14ac:dyDescent="0.25">
      <c r="A542" s="6" t="s">
        <v>915</v>
      </c>
      <c r="B542" s="6" t="s">
        <v>533</v>
      </c>
      <c r="C542" s="6">
        <f>IF(Calculator!B8=FALSE,30,47)</f>
        <v>30</v>
      </c>
      <c r="D542" s="6">
        <f>IF(Calculator!B8=FALSE,30,47)</f>
        <v>30</v>
      </c>
      <c r="E542" s="6">
        <f>IF(Calculator!B8=FALSE,20,40)</f>
        <v>20</v>
      </c>
      <c r="F542" s="6">
        <v>0</v>
      </c>
      <c r="G542" s="6">
        <v>5</v>
      </c>
      <c r="H542" s="6">
        <v>0</v>
      </c>
      <c r="I542" s="6">
        <v>10</v>
      </c>
      <c r="J542" s="6">
        <v>0</v>
      </c>
      <c r="K542" s="6" t="str">
        <f>IF(A542=Calculator!B4,1+MAX(K541:K541),"")</f>
        <v/>
      </c>
      <c r="L542" s="6"/>
      <c r="M542" s="6" t="b">
        <v>1</v>
      </c>
    </row>
    <row r="543" spans="1:15" x14ac:dyDescent="0.25">
      <c r="A543" s="6" t="s">
        <v>915</v>
      </c>
      <c r="B543" s="6" t="s">
        <v>795</v>
      </c>
      <c r="C543" s="6">
        <f>IF(Calculator!B8=FALSE,45,58)</f>
        <v>45</v>
      </c>
      <c r="D543" s="6">
        <f>IF(Calculator!B8=FALSE,45,58)</f>
        <v>45</v>
      </c>
      <c r="E543" s="6">
        <f>IF(Calculator!B8=FALSE,45,58)</f>
        <v>45</v>
      </c>
      <c r="F543" s="6">
        <v>5</v>
      </c>
      <c r="G543" s="6">
        <v>10</v>
      </c>
      <c r="H543" s="6">
        <v>0</v>
      </c>
      <c r="I543" s="6">
        <v>15</v>
      </c>
      <c r="J543" s="6">
        <v>5</v>
      </c>
      <c r="K543" s="6" t="str">
        <f>IF(A543=Calculator!B4,1+MAX(K542:K542),"")</f>
        <v/>
      </c>
      <c r="L543" s="6"/>
      <c r="M543" s="6" t="b">
        <v>1</v>
      </c>
    </row>
    <row r="544" spans="1:15" x14ac:dyDescent="0.25">
      <c r="A544" s="6" t="s">
        <v>916</v>
      </c>
      <c r="B544" s="6" t="s">
        <v>502</v>
      </c>
      <c r="C544" s="6">
        <f>IF(Calculator!B8=FALSE,60,70)</f>
        <v>60</v>
      </c>
      <c r="D544" s="6">
        <f>IF(Calculator!B8=FALSE,65,73)</f>
        <v>65</v>
      </c>
      <c r="E544" s="6">
        <f>IF(Calculator!B8=FALSE,45,58)</f>
        <v>45</v>
      </c>
      <c r="F544" s="6">
        <v>0</v>
      </c>
      <c r="G544" s="6">
        <v>30</v>
      </c>
      <c r="H544" s="6">
        <v>0</v>
      </c>
      <c r="I544" s="6">
        <v>10</v>
      </c>
      <c r="J544" s="6">
        <v>15</v>
      </c>
      <c r="K544" s="6" t="str">
        <f>IF(A544=Calculator!B4,1+MAX(K543:K543),"")</f>
        <v/>
      </c>
      <c r="L544" s="6" t="s">
        <v>542</v>
      </c>
      <c r="M544" s="6" t="b">
        <v>1</v>
      </c>
    </row>
    <row r="545" spans="1:13" x14ac:dyDescent="0.25">
      <c r="A545" s="6" t="s">
        <v>916</v>
      </c>
      <c r="B545" s="6" t="s">
        <v>528</v>
      </c>
      <c r="C545" s="6">
        <f>IF(Calculator!B8=FALSE,34,50)</f>
        <v>34</v>
      </c>
      <c r="D545" s="6">
        <f>IF(Calculator!B8=FALSE,40,55)</f>
        <v>40</v>
      </c>
      <c r="E545" s="6">
        <f>IF(Calculator!B8=FALSE,30,47)</f>
        <v>30</v>
      </c>
      <c r="F545" s="6">
        <v>0</v>
      </c>
      <c r="G545" s="6">
        <v>15</v>
      </c>
      <c r="H545" s="6">
        <v>0</v>
      </c>
      <c r="I545" s="6">
        <v>5</v>
      </c>
      <c r="J545" s="6">
        <v>10</v>
      </c>
      <c r="K545" s="6" t="str">
        <f>IF(A545=Calculator!B4,1+MAX(K544:K544),"")</f>
        <v/>
      </c>
      <c r="L545" s="6"/>
      <c r="M545" s="6" t="b">
        <v>1</v>
      </c>
    </row>
    <row r="546" spans="1:13" x14ac:dyDescent="0.25">
      <c r="A546" s="6" t="s">
        <v>916</v>
      </c>
      <c r="B546" s="6" t="s">
        <v>567</v>
      </c>
      <c r="C546" s="6">
        <v>34</v>
      </c>
      <c r="D546" s="6">
        <v>34</v>
      </c>
      <c r="E546" s="6">
        <v>30</v>
      </c>
      <c r="F546" s="6">
        <v>0</v>
      </c>
      <c r="G546" s="6">
        <v>25</v>
      </c>
      <c r="H546" s="6">
        <v>0</v>
      </c>
      <c r="I546" s="6">
        <v>5</v>
      </c>
      <c r="J546" s="6">
        <v>10</v>
      </c>
      <c r="K546" s="6" t="str">
        <f>IF(A546=Calculator!B4,1+MAX(K545:K545),"")</f>
        <v/>
      </c>
      <c r="L546" s="6"/>
      <c r="M546" s="6"/>
    </row>
    <row r="547" spans="1:13" x14ac:dyDescent="0.25">
      <c r="A547" s="6" t="s">
        <v>916</v>
      </c>
      <c r="B547" s="6" t="s">
        <v>530</v>
      </c>
      <c r="C547" s="6">
        <v>18</v>
      </c>
      <c r="D547" s="6">
        <v>18</v>
      </c>
      <c r="E547" s="6">
        <v>15</v>
      </c>
      <c r="F547" s="6">
        <v>0</v>
      </c>
      <c r="G547" s="6">
        <v>10</v>
      </c>
      <c r="H547" s="6">
        <v>0</v>
      </c>
      <c r="I547" s="6">
        <v>5</v>
      </c>
      <c r="J547" s="6">
        <v>10</v>
      </c>
      <c r="K547" s="6" t="str">
        <f>IF(A547=Calculator!B4,1+MAX(K546:K546),"")</f>
        <v/>
      </c>
      <c r="L547" s="6"/>
      <c r="M547" s="6"/>
    </row>
    <row r="548" spans="1:13" x14ac:dyDescent="0.25">
      <c r="A548" s="6" t="s">
        <v>916</v>
      </c>
      <c r="B548" s="6" t="s">
        <v>505</v>
      </c>
      <c r="C548" s="6">
        <f>IF(Calculator!B8=FALSE,30,47)</f>
        <v>30</v>
      </c>
      <c r="D548" s="6">
        <f>IF(Calculator!B8=FALSE,30,47)</f>
        <v>30</v>
      </c>
      <c r="E548" s="6">
        <f>IF(Calculator!B8=FALSE,25,43)</f>
        <v>25</v>
      </c>
      <c r="F548" s="6">
        <v>0</v>
      </c>
      <c r="G548" s="6">
        <v>15</v>
      </c>
      <c r="H548" s="6">
        <v>0</v>
      </c>
      <c r="I548" s="6">
        <v>5</v>
      </c>
      <c r="J548" s="6">
        <v>10</v>
      </c>
      <c r="K548" s="6" t="str">
        <f>IF(A548=Calculator!B4,1+MAX(K547:K547),"")</f>
        <v/>
      </c>
      <c r="L548" s="6"/>
      <c r="M548" s="6" t="b">
        <v>1</v>
      </c>
    </row>
    <row r="549" spans="1:13" x14ac:dyDescent="0.25">
      <c r="A549" s="6" t="s">
        <v>916</v>
      </c>
      <c r="B549" s="6" t="s">
        <v>548</v>
      </c>
      <c r="C549" s="6">
        <f>IF(Calculator!B8=FALSE,18,38)</f>
        <v>18</v>
      </c>
      <c r="D549" s="6">
        <f>IF(Calculator!B8=FALSE,18,38)</f>
        <v>18</v>
      </c>
      <c r="E549" s="6">
        <f>IF(Calculator!B8=FALSE,40,55)</f>
        <v>40</v>
      </c>
      <c r="F549" s="6">
        <v>0</v>
      </c>
      <c r="G549" s="6">
        <v>20</v>
      </c>
      <c r="H549" s="6">
        <v>0</v>
      </c>
      <c r="I549" s="6">
        <v>5</v>
      </c>
      <c r="J549" s="6">
        <v>10</v>
      </c>
      <c r="K549" s="6" t="str">
        <f>IF(A549=Calculator!B4,1+MAX(K548:K548),"")</f>
        <v/>
      </c>
      <c r="L549" s="6"/>
      <c r="M549" s="6" t="b">
        <v>1</v>
      </c>
    </row>
    <row r="550" spans="1:13" x14ac:dyDescent="0.25">
      <c r="A550" s="6" t="s">
        <v>916</v>
      </c>
      <c r="B550" s="6" t="s">
        <v>780</v>
      </c>
      <c r="C550" s="6">
        <f>IF(Calculator!B8=FALSE,24,43)</f>
        <v>24</v>
      </c>
      <c r="D550" s="6">
        <f>IF(Calculator!B8=FALSE,24,43)</f>
        <v>24</v>
      </c>
      <c r="E550" s="6">
        <f>IF(Calculator!B8=FALSE,40,55)</f>
        <v>40</v>
      </c>
      <c r="F550" s="6">
        <v>0</v>
      </c>
      <c r="G550" s="6">
        <v>20</v>
      </c>
      <c r="H550" s="6">
        <v>0</v>
      </c>
      <c r="I550" s="6">
        <v>5</v>
      </c>
      <c r="J550" s="6">
        <v>10</v>
      </c>
      <c r="K550" s="6" t="str">
        <f>IF(A550=Calculator!B4,1+MAX(K549:K549),"")</f>
        <v/>
      </c>
      <c r="L550" s="6"/>
      <c r="M550" s="6" t="b">
        <v>1</v>
      </c>
    </row>
    <row r="551" spans="1:13" x14ac:dyDescent="0.25">
      <c r="A551" s="6" t="s">
        <v>916</v>
      </c>
      <c r="B551" s="6" t="s">
        <v>533</v>
      </c>
      <c r="C551" s="6">
        <f>IF(Calculator!B8=FALSE,40,55)</f>
        <v>40</v>
      </c>
      <c r="D551" s="6">
        <f>IF(Calculator!B8=FALSE,35,51)</f>
        <v>35</v>
      </c>
      <c r="E551" s="6">
        <f>IF(Calculator!B8=FALSE,30,47)</f>
        <v>30</v>
      </c>
      <c r="F551" s="6">
        <v>0</v>
      </c>
      <c r="G551" s="6">
        <v>20</v>
      </c>
      <c r="H551" s="6">
        <v>0</v>
      </c>
      <c r="I551" s="6">
        <v>5</v>
      </c>
      <c r="J551" s="6">
        <v>10</v>
      </c>
      <c r="K551" s="6" t="str">
        <f>IF(A551=Calculator!B4,1+MAX(K550:K550),"")</f>
        <v/>
      </c>
      <c r="L551" s="6"/>
      <c r="M551" s="6" t="b">
        <v>1</v>
      </c>
    </row>
    <row r="552" spans="1:13" x14ac:dyDescent="0.25">
      <c r="A552" s="6" t="s">
        <v>916</v>
      </c>
      <c r="B552" s="6" t="s">
        <v>568</v>
      </c>
      <c r="C552" s="6">
        <f>IF(Calculator!B8=FALSE,46,59)</f>
        <v>46</v>
      </c>
      <c r="D552" s="6">
        <f>IF(Calculator!B8=FALSE,40,55)</f>
        <v>40</v>
      </c>
      <c r="E552" s="6">
        <f>IF(Calculator!B8=FALSE,35,51)</f>
        <v>35</v>
      </c>
      <c r="F552" s="6">
        <v>0</v>
      </c>
      <c r="G552" s="6">
        <v>25</v>
      </c>
      <c r="H552" s="6">
        <v>0</v>
      </c>
      <c r="I552" s="6">
        <v>5</v>
      </c>
      <c r="J552" s="6">
        <v>10</v>
      </c>
      <c r="K552" s="6" t="str">
        <f>IF(A552=Calculator!B4,1+MAX(K551:K551),"")</f>
        <v/>
      </c>
      <c r="L552" s="6"/>
      <c r="M552" s="6" t="b">
        <v>1</v>
      </c>
    </row>
    <row r="553" spans="1:13" x14ac:dyDescent="0.25">
      <c r="A553" s="6" t="s">
        <v>917</v>
      </c>
      <c r="B553" s="6" t="s">
        <v>502</v>
      </c>
      <c r="C553" s="6">
        <f>IF(Calculator!B8=FALSE,60,70)</f>
        <v>60</v>
      </c>
      <c r="D553" s="6">
        <f>IF(Calculator!B8=FALSE,65,73)</f>
        <v>65</v>
      </c>
      <c r="E553" s="6">
        <f>IF(Calculator!B8=FALSE,45,58)</f>
        <v>45</v>
      </c>
      <c r="F553" s="6">
        <v>0</v>
      </c>
      <c r="G553" s="6">
        <v>30</v>
      </c>
      <c r="H553" s="6">
        <v>0</v>
      </c>
      <c r="I553" s="6">
        <v>10</v>
      </c>
      <c r="J553" s="6">
        <v>15</v>
      </c>
      <c r="K553" s="6" t="str">
        <f>IF(A553=Calculator!B4,1+MAX(K552:K552),"")</f>
        <v/>
      </c>
      <c r="L553" s="6" t="s">
        <v>542</v>
      </c>
      <c r="M553" s="6" t="b">
        <v>1</v>
      </c>
    </row>
    <row r="554" spans="1:13" x14ac:dyDescent="0.25">
      <c r="A554" s="6" t="s">
        <v>917</v>
      </c>
      <c r="B554" s="6" t="s">
        <v>528</v>
      </c>
      <c r="C554" s="6">
        <f>IF(Calculator!B8=FALSE,34,50)</f>
        <v>34</v>
      </c>
      <c r="D554" s="6">
        <f>IF(Calculator!B8=FALSE,40,55)</f>
        <v>40</v>
      </c>
      <c r="E554" s="6">
        <f>IF(Calculator!B8=FALSE,30,47)</f>
        <v>30</v>
      </c>
      <c r="F554" s="6">
        <v>0</v>
      </c>
      <c r="G554" s="6">
        <v>15</v>
      </c>
      <c r="H554" s="6">
        <v>0</v>
      </c>
      <c r="I554" s="6">
        <v>5</v>
      </c>
      <c r="J554" s="6">
        <v>10</v>
      </c>
      <c r="K554" s="6" t="str">
        <f>IF(A554=Calculator!B4,1+MAX(K553:K553),"")</f>
        <v/>
      </c>
      <c r="L554" s="6"/>
      <c r="M554" s="6" t="b">
        <v>1</v>
      </c>
    </row>
    <row r="555" spans="1:13" x14ac:dyDescent="0.25">
      <c r="A555" s="6" t="s">
        <v>917</v>
      </c>
      <c r="B555" s="6" t="s">
        <v>567</v>
      </c>
      <c r="C555" s="6">
        <v>34</v>
      </c>
      <c r="D555" s="6">
        <v>34</v>
      </c>
      <c r="E555" s="6">
        <v>30</v>
      </c>
      <c r="F555" s="6">
        <v>0</v>
      </c>
      <c r="G555" s="6">
        <v>25</v>
      </c>
      <c r="H555" s="6">
        <v>0</v>
      </c>
      <c r="I555" s="6">
        <v>5</v>
      </c>
      <c r="J555" s="6">
        <v>10</v>
      </c>
      <c r="K555" s="6" t="str">
        <f>IF(A555=Calculator!B4,1+MAX(K554:K554),"")</f>
        <v/>
      </c>
      <c r="L555" s="6"/>
      <c r="M555" s="6"/>
    </row>
    <row r="556" spans="1:13" x14ac:dyDescent="0.25">
      <c r="A556" s="6" t="s">
        <v>917</v>
      </c>
      <c r="B556" s="6" t="s">
        <v>530</v>
      </c>
      <c r="C556" s="6">
        <v>18</v>
      </c>
      <c r="D556" s="6">
        <v>18</v>
      </c>
      <c r="E556" s="6">
        <v>15</v>
      </c>
      <c r="F556" s="6">
        <v>0</v>
      </c>
      <c r="G556" s="6">
        <v>10</v>
      </c>
      <c r="H556" s="6">
        <v>0</v>
      </c>
      <c r="I556" s="6">
        <v>5</v>
      </c>
      <c r="J556" s="6">
        <v>10</v>
      </c>
      <c r="K556" s="6" t="str">
        <f>IF(A556=Calculator!B4,1+MAX(K555:K555),"")</f>
        <v/>
      </c>
      <c r="L556" s="6"/>
      <c r="M556" s="6"/>
    </row>
    <row r="557" spans="1:13" x14ac:dyDescent="0.25">
      <c r="A557" s="6" t="s">
        <v>917</v>
      </c>
      <c r="B557" s="6" t="s">
        <v>505</v>
      </c>
      <c r="C557" s="6">
        <f>IF(Calculator!B8=FALSE,30,47)</f>
        <v>30</v>
      </c>
      <c r="D557" s="6">
        <f>IF(Calculator!B8=FALSE,30,47)</f>
        <v>30</v>
      </c>
      <c r="E557" s="6">
        <f>IF(Calculator!B8=FALSE,25,43)</f>
        <v>25</v>
      </c>
      <c r="F557" s="6">
        <v>0</v>
      </c>
      <c r="G557" s="6">
        <v>15</v>
      </c>
      <c r="H557" s="6">
        <v>0</v>
      </c>
      <c r="I557" s="6">
        <v>5</v>
      </c>
      <c r="J557" s="6">
        <v>10</v>
      </c>
      <c r="K557" s="6" t="str">
        <f>IF(A557=Calculator!B4,1+MAX(K556:K556),"")</f>
        <v/>
      </c>
      <c r="L557" s="6"/>
      <c r="M557" s="6" t="b">
        <v>1</v>
      </c>
    </row>
    <row r="558" spans="1:13" x14ac:dyDescent="0.25">
      <c r="A558" s="6" t="s">
        <v>917</v>
      </c>
      <c r="B558" s="6" t="s">
        <v>548</v>
      </c>
      <c r="C558" s="6">
        <f>IF(Calculator!B8=FALSE,18,38)</f>
        <v>18</v>
      </c>
      <c r="D558" s="6">
        <f>IF(Calculator!B8=FALSE,18,38)</f>
        <v>18</v>
      </c>
      <c r="E558" s="6">
        <f>IF(Calculator!B8=FALSE,40,55)</f>
        <v>40</v>
      </c>
      <c r="F558" s="6">
        <v>0</v>
      </c>
      <c r="G558" s="6">
        <v>20</v>
      </c>
      <c r="H558" s="6">
        <v>0</v>
      </c>
      <c r="I558" s="6">
        <v>5</v>
      </c>
      <c r="J558" s="6">
        <v>10</v>
      </c>
      <c r="K558" s="6" t="str">
        <f>IF(A558=Calculator!B4,1+MAX(K557:K557),"")</f>
        <v/>
      </c>
      <c r="L558" s="6"/>
      <c r="M558" s="6" t="b">
        <v>1</v>
      </c>
    </row>
    <row r="559" spans="1:13" x14ac:dyDescent="0.25">
      <c r="A559" s="6" t="s">
        <v>917</v>
      </c>
      <c r="B559" s="6" t="s">
        <v>780</v>
      </c>
      <c r="C559" s="6">
        <f>IF(Calculator!B8=FALSE,24,43)</f>
        <v>24</v>
      </c>
      <c r="D559" s="6">
        <f>IF(Calculator!B8=FALSE,24,43)</f>
        <v>24</v>
      </c>
      <c r="E559" s="6">
        <f>IF(Calculator!B8=FALSE,40,55)</f>
        <v>40</v>
      </c>
      <c r="F559" s="6">
        <v>0</v>
      </c>
      <c r="G559" s="6">
        <v>20</v>
      </c>
      <c r="H559" s="6">
        <v>0</v>
      </c>
      <c r="I559" s="6">
        <v>5</v>
      </c>
      <c r="J559" s="6">
        <v>10</v>
      </c>
      <c r="K559" s="6" t="str">
        <f>IF(A559=Calculator!B4,1+MAX(K558:K558),"")</f>
        <v/>
      </c>
      <c r="L559" s="6"/>
      <c r="M559" s="6" t="b">
        <v>1</v>
      </c>
    </row>
    <row r="560" spans="1:13" x14ac:dyDescent="0.25">
      <c r="A560" s="6" t="s">
        <v>917</v>
      </c>
      <c r="B560" s="6" t="s">
        <v>533</v>
      </c>
      <c r="C560" s="6">
        <f>IF(Calculator!B8=FALSE,40,55)</f>
        <v>40</v>
      </c>
      <c r="D560" s="6">
        <f>IF(Calculator!B8=FALSE,35,51)</f>
        <v>35</v>
      </c>
      <c r="E560" s="6">
        <f>IF(Calculator!B8=FALSE,30,47)</f>
        <v>30</v>
      </c>
      <c r="F560" s="6">
        <v>0</v>
      </c>
      <c r="G560" s="6">
        <v>20</v>
      </c>
      <c r="H560" s="6">
        <v>0</v>
      </c>
      <c r="I560" s="6">
        <v>5</v>
      </c>
      <c r="J560" s="6">
        <v>10</v>
      </c>
      <c r="K560" s="6" t="str">
        <f>IF(A560=Calculator!B4,1+MAX(K559:K559),"")</f>
        <v/>
      </c>
      <c r="L560" s="6"/>
      <c r="M560" s="6" t="b">
        <v>1</v>
      </c>
    </row>
    <row r="561" spans="1:13" x14ac:dyDescent="0.25">
      <c r="A561" s="6" t="s">
        <v>917</v>
      </c>
      <c r="B561" s="6" t="s">
        <v>568</v>
      </c>
      <c r="C561" s="6">
        <f>IF(Calculator!B8=FALSE,46,59)</f>
        <v>46</v>
      </c>
      <c r="D561" s="6">
        <f>IF(Calculator!B8=FALSE,40,55)</f>
        <v>40</v>
      </c>
      <c r="E561" s="6">
        <f>IF(Calculator!B8=FALSE,35,51)</f>
        <v>35</v>
      </c>
      <c r="F561" s="6">
        <v>0</v>
      </c>
      <c r="G561" s="6">
        <v>25</v>
      </c>
      <c r="H561" s="6">
        <v>0</v>
      </c>
      <c r="I561" s="6">
        <v>5</v>
      </c>
      <c r="J561" s="6">
        <v>10</v>
      </c>
      <c r="K561" s="6" t="str">
        <f>IF(A561=Calculator!B4,1+MAX(K560:K560),"")</f>
        <v/>
      </c>
      <c r="L561" s="6"/>
      <c r="M561" s="6" t="b">
        <v>1</v>
      </c>
    </row>
    <row r="562" spans="1:13" x14ac:dyDescent="0.25">
      <c r="A562" s="6" t="s">
        <v>918</v>
      </c>
      <c r="B562" s="6" t="s">
        <v>502</v>
      </c>
      <c r="C562" s="6">
        <f>IF(Calculator!B8=FALSE,55,66)</f>
        <v>55</v>
      </c>
      <c r="D562" s="6">
        <f>IF(Calculator!B8=FALSE,60,70)</f>
        <v>60</v>
      </c>
      <c r="E562" s="6">
        <f>IF(Calculator!B8=FALSE,45,58)</f>
        <v>45</v>
      </c>
      <c r="F562" s="6">
        <v>0</v>
      </c>
      <c r="G562" s="6">
        <v>25</v>
      </c>
      <c r="H562" s="6">
        <v>15</v>
      </c>
      <c r="I562" s="6">
        <v>10</v>
      </c>
      <c r="J562" s="6">
        <v>15</v>
      </c>
      <c r="K562" s="6" t="str">
        <f>IF(A562=Calculator!B4,1+MAX(K561:K561),"")</f>
        <v/>
      </c>
      <c r="L562" s="6" t="s">
        <v>542</v>
      </c>
      <c r="M562" s="6" t="b">
        <v>1</v>
      </c>
    </row>
    <row r="563" spans="1:13" x14ac:dyDescent="0.25">
      <c r="A563" s="6" t="s">
        <v>918</v>
      </c>
      <c r="B563" s="6" t="s">
        <v>567</v>
      </c>
      <c r="C563" s="6">
        <v>25</v>
      </c>
      <c r="D563" s="6">
        <v>25</v>
      </c>
      <c r="E563" s="6">
        <v>15</v>
      </c>
      <c r="F563" s="6">
        <v>5</v>
      </c>
      <c r="G563" s="6">
        <v>15</v>
      </c>
      <c r="H563" s="6">
        <v>15</v>
      </c>
      <c r="I563" s="6">
        <v>12</v>
      </c>
      <c r="J563" s="6">
        <v>15</v>
      </c>
      <c r="K563" s="6" t="str">
        <f>IF(A563=Calculator!B4,1+MAX(K562:K562),"")</f>
        <v/>
      </c>
      <c r="L563" s="6"/>
      <c r="M563" s="6"/>
    </row>
    <row r="564" spans="1:13" x14ac:dyDescent="0.25">
      <c r="A564" s="6" t="s">
        <v>918</v>
      </c>
      <c r="B564" s="6" t="s">
        <v>530</v>
      </c>
      <c r="C564" s="6">
        <v>25</v>
      </c>
      <c r="D564" s="6">
        <v>25</v>
      </c>
      <c r="E564" s="6">
        <v>15</v>
      </c>
      <c r="F564" s="6">
        <v>0</v>
      </c>
      <c r="G564" s="6">
        <v>15</v>
      </c>
      <c r="H564" s="6">
        <v>15</v>
      </c>
      <c r="I564" s="6">
        <v>10</v>
      </c>
      <c r="J564" s="6">
        <v>15</v>
      </c>
      <c r="K564" s="6" t="str">
        <f>IF(A564=Calculator!B4,1+MAX(K563:K563),"")</f>
        <v/>
      </c>
      <c r="L564" s="6"/>
      <c r="M564" s="6"/>
    </row>
    <row r="565" spans="1:13" x14ac:dyDescent="0.25">
      <c r="A565" s="6" t="s">
        <v>918</v>
      </c>
      <c r="B565" s="6" t="s">
        <v>531</v>
      </c>
      <c r="C565" s="6">
        <f>IF(Calculator!B8=FALSE,45,58)</f>
        <v>45</v>
      </c>
      <c r="D565" s="6">
        <f>IF(Calculator!B8=FALSE,40,55)</f>
        <v>40</v>
      </c>
      <c r="E565" s="6">
        <f>IF(Calculator!B8=FALSE,30,47)</f>
        <v>30</v>
      </c>
      <c r="F565" s="6">
        <v>0</v>
      </c>
      <c r="G565" s="6">
        <v>20</v>
      </c>
      <c r="H565" s="6">
        <v>18</v>
      </c>
      <c r="I565" s="6">
        <v>12</v>
      </c>
      <c r="J565" s="6">
        <v>5</v>
      </c>
      <c r="K565" s="6" t="str">
        <f>IF(A565=Calculator!B4,1+MAX(K564:K564),"")</f>
        <v/>
      </c>
      <c r="L565" s="6"/>
      <c r="M565" s="6" t="b">
        <v>1</v>
      </c>
    </row>
    <row r="566" spans="1:13" x14ac:dyDescent="0.25">
      <c r="A566" s="6" t="s">
        <v>918</v>
      </c>
      <c r="B566" s="6" t="s">
        <v>532</v>
      </c>
      <c r="C566" s="6">
        <v>30</v>
      </c>
      <c r="D566" s="6">
        <v>30</v>
      </c>
      <c r="E566" s="6">
        <v>20</v>
      </c>
      <c r="F566" s="6">
        <v>0</v>
      </c>
      <c r="G566" s="6">
        <v>15</v>
      </c>
      <c r="H566" s="6">
        <v>10</v>
      </c>
      <c r="I566" s="6">
        <v>12</v>
      </c>
      <c r="J566" s="6">
        <v>10</v>
      </c>
      <c r="K566" s="6" t="str">
        <f>IF(A566=Calculator!B4,1+MAX(K565:K565),"")</f>
        <v/>
      </c>
      <c r="L566" s="6"/>
      <c r="M566" s="6"/>
    </row>
    <row r="567" spans="1:13" x14ac:dyDescent="0.25">
      <c r="A567" s="6" t="s">
        <v>918</v>
      </c>
      <c r="B567" s="6" t="s">
        <v>533</v>
      </c>
      <c r="C567" s="6">
        <f>IF(Calculator!B8=FALSE,35,51)</f>
        <v>35</v>
      </c>
      <c r="D567" s="6">
        <f>IF(Calculator!B8=FALSE,30,47)</f>
        <v>30</v>
      </c>
      <c r="E567" s="6">
        <f>IF(Calculator!B8=FALSE,25,43)</f>
        <v>25</v>
      </c>
      <c r="F567" s="6">
        <v>0</v>
      </c>
      <c r="G567" s="6">
        <v>10</v>
      </c>
      <c r="H567" s="6">
        <v>5</v>
      </c>
      <c r="I567" s="6">
        <v>0</v>
      </c>
      <c r="J567" s="6">
        <v>5</v>
      </c>
      <c r="K567" s="6" t="str">
        <f>IF(A567=Calculator!B4,1+MAX(K566:K566),"")</f>
        <v/>
      </c>
      <c r="L567" s="6"/>
      <c r="M567" s="6" t="b">
        <v>1</v>
      </c>
    </row>
    <row r="568" spans="1:13" x14ac:dyDescent="0.25">
      <c r="A568" s="6" t="s">
        <v>918</v>
      </c>
      <c r="B568" s="6" t="s">
        <v>568</v>
      </c>
      <c r="C568" s="6">
        <f>IF(Calculator!B8=FALSE,35,51)</f>
        <v>35</v>
      </c>
      <c r="D568" s="6">
        <f>IF(Calculator!B8=FALSE,30,47)</f>
        <v>30</v>
      </c>
      <c r="E568" s="6">
        <f>IF(Calculator!B8=FALSE,25,43)</f>
        <v>25</v>
      </c>
      <c r="F568" s="6">
        <v>0</v>
      </c>
      <c r="G568" s="6">
        <v>10</v>
      </c>
      <c r="H568" s="6">
        <v>10</v>
      </c>
      <c r="I568" s="6">
        <v>0</v>
      </c>
      <c r="J568" s="6">
        <v>10</v>
      </c>
      <c r="K568" s="6" t="str">
        <f>IF(A568=Calculator!B4,1+MAX(K567:K567),"")</f>
        <v/>
      </c>
      <c r="L568" s="6"/>
      <c r="M568" s="6" t="b">
        <v>1</v>
      </c>
    </row>
    <row r="569" spans="1:13" x14ac:dyDescent="0.25">
      <c r="A569" s="6" t="s">
        <v>919</v>
      </c>
      <c r="B569" s="6" t="s">
        <v>502</v>
      </c>
      <c r="C569" s="6">
        <f>IF(Calculator!B8=FALSE,20,45)</f>
        <v>20</v>
      </c>
      <c r="D569" s="6">
        <f>IF(Calculator!B8=FALSE,20,45)</f>
        <v>20</v>
      </c>
      <c r="E569" s="6">
        <f>IF(Calculator!B8=FALSE,20,45)</f>
        <v>20</v>
      </c>
      <c r="F569" s="6">
        <v>0</v>
      </c>
      <c r="G569" s="6">
        <v>5</v>
      </c>
      <c r="H569" s="6">
        <v>10</v>
      </c>
      <c r="I569" s="6">
        <v>5</v>
      </c>
      <c r="J569" s="6">
        <v>0</v>
      </c>
      <c r="K569" s="6" t="str">
        <f>IF(A569=Calculator!B4,1+MAX(K568:K568),"")</f>
        <v/>
      </c>
      <c r="L569" s="6"/>
      <c r="M569" s="6" t="b">
        <v>1</v>
      </c>
    </row>
    <row r="570" spans="1:13" x14ac:dyDescent="0.25">
      <c r="A570" s="6" t="s">
        <v>919</v>
      </c>
      <c r="B570" s="6" t="s">
        <v>778</v>
      </c>
      <c r="C570" s="6">
        <f>IF(Calculator!B8=FALSE,55,71)</f>
        <v>55</v>
      </c>
      <c r="D570" s="6">
        <f>IF(Calculator!B8=FALSE,60,75)</f>
        <v>60</v>
      </c>
      <c r="E570" s="6">
        <f>IF(Calculator!B8=FALSE,50,67)</f>
        <v>50</v>
      </c>
      <c r="F570" s="6">
        <v>0</v>
      </c>
      <c r="G570" s="6">
        <v>20</v>
      </c>
      <c r="H570" s="6">
        <v>30</v>
      </c>
      <c r="I570" s="6">
        <v>10</v>
      </c>
      <c r="J570" s="6">
        <v>0</v>
      </c>
      <c r="K570" s="6" t="str">
        <f>IF(A570=Calculator!B4,1+MAX(K569:K569),"")</f>
        <v/>
      </c>
      <c r="L570" s="6" t="s">
        <v>542</v>
      </c>
      <c r="M570" s="6" t="b">
        <v>1</v>
      </c>
    </row>
    <row r="571" spans="1:13" x14ac:dyDescent="0.25">
      <c r="A571" s="6" t="s">
        <v>919</v>
      </c>
      <c r="B571" s="6" t="s">
        <v>528</v>
      </c>
      <c r="C571" s="6">
        <f>IF(Calculator!B8=FALSE,20,45)</f>
        <v>20</v>
      </c>
      <c r="D571" s="6">
        <f>IF(Calculator!B8=FALSE,20,45)</f>
        <v>20</v>
      </c>
      <c r="E571" s="6">
        <f>IF(Calculator!B8=FALSE,20,45)</f>
        <v>20</v>
      </c>
      <c r="F571" s="6">
        <v>0</v>
      </c>
      <c r="G571" s="6">
        <v>5</v>
      </c>
      <c r="H571" s="6">
        <v>10</v>
      </c>
      <c r="I571" s="6">
        <v>5</v>
      </c>
      <c r="J571" s="6">
        <v>0</v>
      </c>
      <c r="K571" s="6" t="str">
        <f>IF(A571=Calculator!B4,1+MAX(K570:K570),"")</f>
        <v/>
      </c>
      <c r="L571" s="6"/>
      <c r="M571" s="6" t="b">
        <v>1</v>
      </c>
    </row>
    <row r="572" spans="1:13" x14ac:dyDescent="0.25">
      <c r="A572" s="6" t="s">
        <v>919</v>
      </c>
      <c r="B572" s="6" t="s">
        <v>779</v>
      </c>
      <c r="C572" s="6">
        <f>IF(Calculator!B8=FALSE,30,52)</f>
        <v>30</v>
      </c>
      <c r="D572" s="6">
        <f>IF(Calculator!B8=FALSE,35,56)</f>
        <v>35</v>
      </c>
      <c r="E572" s="6">
        <f>IF(Calculator!B8=FALSE,30,52)</f>
        <v>30</v>
      </c>
      <c r="F572" s="6">
        <v>0</v>
      </c>
      <c r="G572" s="6">
        <v>20</v>
      </c>
      <c r="H572" s="6">
        <v>30</v>
      </c>
      <c r="I572" s="6">
        <v>10</v>
      </c>
      <c r="J572" s="6">
        <v>0</v>
      </c>
      <c r="K572" s="6" t="str">
        <f>IF(A572=Calculator!B4,1+MAX(K571:K571),"")</f>
        <v/>
      </c>
      <c r="L572" s="6"/>
      <c r="M572" s="6" t="b">
        <v>1</v>
      </c>
    </row>
    <row r="573" spans="1:13" x14ac:dyDescent="0.25">
      <c r="A573" s="6" t="s">
        <v>919</v>
      </c>
      <c r="B573" s="6" t="s">
        <v>567</v>
      </c>
      <c r="C573" s="6">
        <v>25</v>
      </c>
      <c r="D573" s="6">
        <v>30</v>
      </c>
      <c r="E573" s="6">
        <v>30</v>
      </c>
      <c r="F573" s="6">
        <v>5</v>
      </c>
      <c r="G573" s="6">
        <v>10</v>
      </c>
      <c r="H573" s="6">
        <v>15</v>
      </c>
      <c r="I573" s="6">
        <v>10</v>
      </c>
      <c r="J573" s="6">
        <v>0</v>
      </c>
      <c r="K573" s="6" t="str">
        <f>IF(A573=Calculator!B4,1+MAX(K572:K572),"")</f>
        <v/>
      </c>
      <c r="L573" s="6"/>
      <c r="M573" s="6"/>
    </row>
    <row r="574" spans="1:13" x14ac:dyDescent="0.25">
      <c r="A574" s="6" t="s">
        <v>919</v>
      </c>
      <c r="B574" s="6" t="s">
        <v>530</v>
      </c>
      <c r="C574" s="6">
        <v>20</v>
      </c>
      <c r="D574" s="6">
        <v>20</v>
      </c>
      <c r="E574" s="6">
        <v>15</v>
      </c>
      <c r="F574" s="6">
        <v>0</v>
      </c>
      <c r="G574" s="6">
        <v>5</v>
      </c>
      <c r="H574" s="6">
        <v>10</v>
      </c>
      <c r="I574" s="6">
        <v>5</v>
      </c>
      <c r="J574" s="6">
        <v>0</v>
      </c>
      <c r="K574" s="6" t="str">
        <f>IF(A574=Calculator!B4,1+MAX(K573:K573),"")</f>
        <v/>
      </c>
      <c r="L574" s="6"/>
      <c r="M574" s="6"/>
    </row>
    <row r="575" spans="1:13" x14ac:dyDescent="0.25">
      <c r="A575" s="6" t="s">
        <v>919</v>
      </c>
      <c r="B575" s="6" t="s">
        <v>505</v>
      </c>
      <c r="C575" s="6">
        <f>IF(Calculator!B8=FALSE,38,58)</f>
        <v>38</v>
      </c>
      <c r="D575" s="6">
        <f>IF(Calculator!B8=FALSE,35,56)</f>
        <v>35</v>
      </c>
      <c r="E575" s="6">
        <f>IF(Calculator!B8=FALSE,28,51)</f>
        <v>28</v>
      </c>
      <c r="F575" s="6">
        <v>0</v>
      </c>
      <c r="G575" s="6">
        <v>10</v>
      </c>
      <c r="H575" s="6">
        <v>10</v>
      </c>
      <c r="I575" s="6">
        <v>5</v>
      </c>
      <c r="J575" s="6">
        <v>0</v>
      </c>
      <c r="K575" s="6" t="str">
        <f>IF(A575=Calculator!B4,1+MAX(K574:K574),"")</f>
        <v/>
      </c>
      <c r="L575" s="6"/>
      <c r="M575" s="6" t="b">
        <v>1</v>
      </c>
    </row>
    <row r="576" spans="1:13" x14ac:dyDescent="0.25">
      <c r="A576" s="6" t="s">
        <v>919</v>
      </c>
      <c r="B576" s="6" t="s">
        <v>548</v>
      </c>
      <c r="C576" s="6">
        <f>IF(Calculator!B8=FALSE,44,63)</f>
        <v>44</v>
      </c>
      <c r="D576" s="6">
        <f>IF(Calculator!B8=FALSE,44,63)</f>
        <v>44</v>
      </c>
      <c r="E576" s="6">
        <f>IF(Calculator!B8=FALSE,45,63)</f>
        <v>45</v>
      </c>
      <c r="F576" s="6">
        <v>0</v>
      </c>
      <c r="G576" s="6">
        <v>15</v>
      </c>
      <c r="H576" s="6">
        <v>20</v>
      </c>
      <c r="I576" s="6">
        <v>10</v>
      </c>
      <c r="J576" s="6">
        <v>0</v>
      </c>
      <c r="K576" s="6" t="str">
        <f>IF(A576=Calculator!B4,1+MAX(K575:K575),"")</f>
        <v/>
      </c>
      <c r="L576" s="6"/>
      <c r="M576" s="6" t="b">
        <v>1</v>
      </c>
    </row>
    <row r="577" spans="1:15" x14ac:dyDescent="0.25">
      <c r="A577" s="6" t="s">
        <v>919</v>
      </c>
      <c r="B577" s="6" t="s">
        <v>533</v>
      </c>
      <c r="C577" s="6">
        <f>IF(Calculator!B8=FALSE,20,45)</f>
        <v>20</v>
      </c>
      <c r="D577" s="6">
        <f>IF(Calculator!B8=FALSE,20,45)</f>
        <v>20</v>
      </c>
      <c r="E577" s="6">
        <f>IF(Calculator!B8=FALSE,15,41)</f>
        <v>15</v>
      </c>
      <c r="F577" s="6">
        <v>0</v>
      </c>
      <c r="G577" s="6">
        <v>5</v>
      </c>
      <c r="H577" s="6">
        <v>10</v>
      </c>
      <c r="I577" s="6">
        <v>5</v>
      </c>
      <c r="J577" s="6">
        <v>0</v>
      </c>
      <c r="K577" s="6" t="str">
        <f>IF(A577=Calculator!B4,1+MAX(K576:K576),"")</f>
        <v/>
      </c>
      <c r="L577" s="6"/>
      <c r="M577" s="6" t="b">
        <v>1</v>
      </c>
    </row>
    <row r="578" spans="1:15" x14ac:dyDescent="0.25">
      <c r="A578" s="6" t="s">
        <v>919</v>
      </c>
      <c r="B578" s="6" t="s">
        <v>568</v>
      </c>
      <c r="C578" s="6">
        <f>IF(Calculator!B8=FALSE,45,63)</f>
        <v>45</v>
      </c>
      <c r="D578" s="6">
        <f>IF(Calculator!B8=FALSE,45,63)</f>
        <v>45</v>
      </c>
      <c r="E578" s="6">
        <f>IF(Calculator!B8=FALSE,35,56)</f>
        <v>35</v>
      </c>
      <c r="F578" s="6">
        <v>0</v>
      </c>
      <c r="G578" s="6">
        <v>10</v>
      </c>
      <c r="H578" s="6">
        <v>10</v>
      </c>
      <c r="I578" s="6">
        <v>5</v>
      </c>
      <c r="J578" s="6">
        <v>0</v>
      </c>
      <c r="K578" s="6" t="str">
        <f>IF(A578=Calculator!B4,1+MAX(K577:K577),"")</f>
        <v/>
      </c>
      <c r="L578" s="6"/>
      <c r="M578" s="6" t="b">
        <v>1</v>
      </c>
    </row>
    <row r="579" spans="1:15" x14ac:dyDescent="0.25">
      <c r="A579" s="6" t="s">
        <v>920</v>
      </c>
      <c r="B579" s="6" t="s">
        <v>502</v>
      </c>
      <c r="C579" s="6">
        <f>IF(Calculator!B8=FALSE,20,45)</f>
        <v>20</v>
      </c>
      <c r="D579" s="6">
        <f>IF(Calculator!B8=FALSE,20,45)</f>
        <v>20</v>
      </c>
      <c r="E579" s="6">
        <f>IF(Calculator!B8=FALSE,15,41)</f>
        <v>15</v>
      </c>
      <c r="F579" s="6">
        <v>0</v>
      </c>
      <c r="G579" s="6">
        <v>10</v>
      </c>
      <c r="H579" s="6">
        <v>5</v>
      </c>
      <c r="I579" s="6">
        <v>5</v>
      </c>
      <c r="J579" s="6">
        <v>0</v>
      </c>
      <c r="K579" s="6" t="str">
        <f>IF(A579=Calculator!B4,1+MAX(K578:K578),"")</f>
        <v/>
      </c>
      <c r="L579" s="6"/>
      <c r="M579" s="6" t="b">
        <v>1</v>
      </c>
    </row>
    <row r="580" spans="1:15" x14ac:dyDescent="0.25">
      <c r="A580" s="6" t="s">
        <v>920</v>
      </c>
      <c r="B580" s="6" t="s">
        <v>778</v>
      </c>
      <c r="C580" s="6">
        <f>IF(Calculator!B8=FALSE,55,71)</f>
        <v>55</v>
      </c>
      <c r="D580" s="6">
        <f>IF(Calculator!B8=FALSE,60,75)</f>
        <v>60</v>
      </c>
      <c r="E580" s="6">
        <f>IF(Calculator!B8=FALSE,50,67)</f>
        <v>50</v>
      </c>
      <c r="F580" s="6">
        <v>0</v>
      </c>
      <c r="G580" s="6">
        <v>30</v>
      </c>
      <c r="H580" s="6">
        <v>20</v>
      </c>
      <c r="I580" s="6">
        <v>10</v>
      </c>
      <c r="J580" s="6">
        <v>0</v>
      </c>
      <c r="K580" s="6" t="str">
        <f>IF(A580=Calculator!B4,1+MAX(K579:K579),"")</f>
        <v/>
      </c>
      <c r="L580" s="6"/>
      <c r="M580" s="6" t="b">
        <v>1</v>
      </c>
    </row>
    <row r="581" spans="1:15" x14ac:dyDescent="0.25">
      <c r="A581" s="6" t="s">
        <v>920</v>
      </c>
      <c r="B581" s="6" t="s">
        <v>528</v>
      </c>
      <c r="C581" s="6">
        <f>IF(Calculator!B8=FALSE,20,45)</f>
        <v>20</v>
      </c>
      <c r="D581" s="6">
        <f>IF(Calculator!B8=FALSE,20,45)</f>
        <v>20</v>
      </c>
      <c r="E581" s="6">
        <f>IF(Calculator!B8=FALSE,15,41)</f>
        <v>15</v>
      </c>
      <c r="F581" s="6">
        <v>0</v>
      </c>
      <c r="G581" s="6">
        <v>10</v>
      </c>
      <c r="H581" s="6">
        <v>5</v>
      </c>
      <c r="I581" s="6">
        <v>5</v>
      </c>
      <c r="J581" s="6">
        <v>0</v>
      </c>
      <c r="K581" s="6" t="str">
        <f>IF(A581=Calculator!B4,1+MAX(K580:K580),"")</f>
        <v/>
      </c>
      <c r="L581" s="6"/>
      <c r="M581" s="6" t="b">
        <v>1</v>
      </c>
    </row>
    <row r="582" spans="1:15" x14ac:dyDescent="0.25">
      <c r="A582" s="6" t="s">
        <v>920</v>
      </c>
      <c r="B582" s="6" t="s">
        <v>779</v>
      </c>
      <c r="C582" s="6">
        <f>IF(Calculator!B8=FALSE,30,52)</f>
        <v>30</v>
      </c>
      <c r="D582" s="6">
        <f>IF(Calculator!B8=FALSE,35,56)</f>
        <v>35</v>
      </c>
      <c r="E582" s="6">
        <f>IF(Calculator!B8=FALSE,25,48)</f>
        <v>25</v>
      </c>
      <c r="F582" s="6">
        <v>0</v>
      </c>
      <c r="G582" s="6">
        <v>25</v>
      </c>
      <c r="H582" s="6">
        <v>20</v>
      </c>
      <c r="I582" s="6">
        <v>10</v>
      </c>
      <c r="J582" s="6">
        <v>0</v>
      </c>
      <c r="K582" s="6" t="str">
        <f>IF(A582=Calculator!B4,1+MAX(K581:K581),"")</f>
        <v/>
      </c>
      <c r="L582" s="6"/>
      <c r="M582" s="6" t="b">
        <v>1</v>
      </c>
    </row>
    <row r="583" spans="1:15" x14ac:dyDescent="0.25">
      <c r="A583" s="6" t="s">
        <v>920</v>
      </c>
      <c r="B583" s="6" t="s">
        <v>567</v>
      </c>
      <c r="C583" s="6">
        <v>22</v>
      </c>
      <c r="D583" s="6">
        <v>22</v>
      </c>
      <c r="E583" s="6">
        <v>20</v>
      </c>
      <c r="F583" s="6">
        <v>0</v>
      </c>
      <c r="G583" s="6">
        <v>15</v>
      </c>
      <c r="H583" s="6">
        <v>10</v>
      </c>
      <c r="I583" s="6">
        <v>10</v>
      </c>
      <c r="J583" s="6">
        <v>0</v>
      </c>
      <c r="K583" s="6" t="str">
        <f>IF(A583=Calculator!B4,1+MAX(K582:K582),"")</f>
        <v/>
      </c>
      <c r="L583" s="6"/>
      <c r="M583" s="6"/>
    </row>
    <row r="584" spans="1:15" x14ac:dyDescent="0.25">
      <c r="A584" s="6" t="s">
        <v>920</v>
      </c>
      <c r="B584" s="6" t="s">
        <v>530</v>
      </c>
      <c r="C584" s="6">
        <v>22</v>
      </c>
      <c r="D584" s="6">
        <v>22</v>
      </c>
      <c r="E584" s="6">
        <v>20</v>
      </c>
      <c r="F584" s="6">
        <v>0</v>
      </c>
      <c r="G584" s="6">
        <v>20</v>
      </c>
      <c r="H584" s="6">
        <v>15</v>
      </c>
      <c r="I584" s="6">
        <v>5</v>
      </c>
      <c r="J584" s="6">
        <v>0</v>
      </c>
      <c r="K584" s="6" t="str">
        <f>IF(A584=Calculator!B4,1+MAX(K583:K583),"")</f>
        <v/>
      </c>
      <c r="L584" s="6"/>
      <c r="M584" s="6"/>
    </row>
    <row r="585" spans="1:15" x14ac:dyDescent="0.25">
      <c r="A585" s="6" t="s">
        <v>920</v>
      </c>
      <c r="B585" s="6" t="s">
        <v>505</v>
      </c>
      <c r="C585" s="6">
        <f>IF(Calculator!B8=FALSE,38,58)</f>
        <v>38</v>
      </c>
      <c r="D585" s="6">
        <f>IF(Calculator!B8=FALSE,38,58)</f>
        <v>38</v>
      </c>
      <c r="E585" s="6">
        <f>IF(Calculator!B8=FALSE,32,54)</f>
        <v>32</v>
      </c>
      <c r="F585" s="6">
        <v>0</v>
      </c>
      <c r="G585" s="6">
        <v>10</v>
      </c>
      <c r="H585" s="6">
        <v>10</v>
      </c>
      <c r="I585" s="6">
        <v>5</v>
      </c>
      <c r="J585" s="6">
        <v>0</v>
      </c>
      <c r="K585" s="6" t="str">
        <f>IF(A585=Calculator!B4,1+MAX(K584:K584),"")</f>
        <v/>
      </c>
      <c r="L585" s="6"/>
      <c r="M585" s="6" t="b">
        <v>1</v>
      </c>
    </row>
    <row r="586" spans="1:15" x14ac:dyDescent="0.25">
      <c r="A586" s="6" t="s">
        <v>920</v>
      </c>
      <c r="B586" s="6" t="s">
        <v>548</v>
      </c>
      <c r="C586" s="6">
        <f>IF(Calculator!B8=FALSE,50,67)</f>
        <v>50</v>
      </c>
      <c r="D586" s="6">
        <f>IF(Calculator!B8=FALSE,45,63)</f>
        <v>45</v>
      </c>
      <c r="E586" s="6">
        <f>IF(Calculator!B8=FALSE,40,60)</f>
        <v>40</v>
      </c>
      <c r="F586" s="6">
        <v>0</v>
      </c>
      <c r="G586" s="6">
        <v>25</v>
      </c>
      <c r="H586" s="6">
        <v>15</v>
      </c>
      <c r="I586" s="6">
        <v>10</v>
      </c>
      <c r="J586" s="6">
        <v>0</v>
      </c>
      <c r="K586" s="6" t="str">
        <f>IF(A586=Calculator!B4,1+MAX(K585:K585),"")</f>
        <v/>
      </c>
      <c r="L586" s="6" t="s">
        <v>542</v>
      </c>
      <c r="M586" s="6" t="b">
        <v>1</v>
      </c>
    </row>
    <row r="587" spans="1:15" x14ac:dyDescent="0.25">
      <c r="A587" s="6" t="s">
        <v>920</v>
      </c>
      <c r="B587" s="6" t="s">
        <v>533</v>
      </c>
      <c r="C587" s="6">
        <f>IF(Calculator!B8=FALSE,18,43)</f>
        <v>18</v>
      </c>
      <c r="D587" s="6">
        <f>IF(Calculator!B8=FALSE,18,43)</f>
        <v>18</v>
      </c>
      <c r="E587" s="6">
        <f>IF(Calculator!B8=FALSE,16,42)</f>
        <v>16</v>
      </c>
      <c r="F587" s="6">
        <v>0</v>
      </c>
      <c r="G587" s="6">
        <v>10</v>
      </c>
      <c r="H587" s="6">
        <v>5</v>
      </c>
      <c r="I587" s="6">
        <v>5</v>
      </c>
      <c r="J587" s="6">
        <v>0</v>
      </c>
      <c r="K587" s="6" t="str">
        <f>IF(A587=Calculator!B4,1+MAX(K586:K586),"")</f>
        <v/>
      </c>
      <c r="L587" s="6"/>
      <c r="M587" s="6" t="b">
        <v>1</v>
      </c>
      <c r="O587" t="s">
        <v>676</v>
      </c>
    </row>
    <row r="588" spans="1:15" x14ac:dyDescent="0.25">
      <c r="A588" s="6" t="s">
        <v>920</v>
      </c>
      <c r="B588" s="6" t="s">
        <v>568</v>
      </c>
      <c r="C588" s="6">
        <f>IF(Calculator!B8=FALSE,55,71)</f>
        <v>55</v>
      </c>
      <c r="D588" s="6">
        <f>IF(Calculator!B8=FALSE,50,67)</f>
        <v>50</v>
      </c>
      <c r="E588" s="6">
        <f>IF(Calculator!B8=FALSE,45,63)</f>
        <v>45</v>
      </c>
      <c r="F588" s="6">
        <v>0</v>
      </c>
      <c r="G588" s="6">
        <v>10</v>
      </c>
      <c r="H588" s="6">
        <v>10</v>
      </c>
      <c r="I588" s="6">
        <v>5</v>
      </c>
      <c r="J588" s="6">
        <v>0</v>
      </c>
      <c r="K588" s="6" t="str">
        <f>IF(A588=Calculator!B4,1+MAX(K587:K587),"")</f>
        <v/>
      </c>
      <c r="L588" s="6"/>
      <c r="M588" s="6" t="b">
        <v>1</v>
      </c>
    </row>
    <row r="589" spans="1:15" x14ac:dyDescent="0.25">
      <c r="A589" s="6" t="s">
        <v>921</v>
      </c>
      <c r="B589" s="6" t="s">
        <v>502</v>
      </c>
      <c r="C589" s="6">
        <v>60</v>
      </c>
      <c r="D589" s="6">
        <v>62</v>
      </c>
      <c r="E589" s="6">
        <v>45</v>
      </c>
      <c r="F589" s="6">
        <v>0</v>
      </c>
      <c r="G589" s="6">
        <v>5</v>
      </c>
      <c r="H589" s="6">
        <v>0</v>
      </c>
      <c r="I589" s="6">
        <v>30</v>
      </c>
      <c r="J589" s="6">
        <v>0</v>
      </c>
      <c r="K589" s="6" t="str">
        <f>IF(A589=Calculator!B4,1+MAX(K588:K588),"")</f>
        <v/>
      </c>
      <c r="L589" s="6" t="s">
        <v>542</v>
      </c>
      <c r="M589" s="6"/>
    </row>
    <row r="590" spans="1:15" x14ac:dyDescent="0.25">
      <c r="A590" s="6" t="s">
        <v>921</v>
      </c>
      <c r="B590" s="6" t="s">
        <v>529</v>
      </c>
      <c r="C590" s="6">
        <v>30</v>
      </c>
      <c r="D590" s="6">
        <v>35</v>
      </c>
      <c r="E590" s="6">
        <v>20</v>
      </c>
      <c r="F590" s="6">
        <v>0</v>
      </c>
      <c r="G590" s="6">
        <v>5</v>
      </c>
      <c r="H590" s="6">
        <v>0</v>
      </c>
      <c r="I590" s="6">
        <v>15</v>
      </c>
      <c r="J590" s="6">
        <v>0</v>
      </c>
      <c r="K590" s="6" t="str">
        <f>IF(A590=Calculator!B4,1+MAX(K589:K589),"")</f>
        <v/>
      </c>
      <c r="L590" s="6"/>
      <c r="M590" s="6"/>
    </row>
    <row r="591" spans="1:15" x14ac:dyDescent="0.25">
      <c r="A591" s="6" t="s">
        <v>921</v>
      </c>
      <c r="B591" s="6" t="s">
        <v>531</v>
      </c>
      <c r="C591" s="6">
        <f>IF(Calculator!B8=FALSE,43,57)</f>
        <v>43</v>
      </c>
      <c r="D591" s="6">
        <f>IF(Calculator!B8=FALSE,43,57)</f>
        <v>43</v>
      </c>
      <c r="E591" s="6">
        <f>IF(Calculator!B8=FALSE,35,51)</f>
        <v>35</v>
      </c>
      <c r="F591" s="6">
        <v>0</v>
      </c>
      <c r="G591" s="6">
        <v>5</v>
      </c>
      <c r="H591" s="6">
        <v>0</v>
      </c>
      <c r="I591" s="6">
        <v>15</v>
      </c>
      <c r="J591" s="6">
        <v>0</v>
      </c>
      <c r="K591" s="6" t="str">
        <f>IF(A591=Calculator!B4,1+MAX(K590:K590),"")</f>
        <v/>
      </c>
      <c r="L591" s="6"/>
      <c r="M591" s="6" t="b">
        <v>1</v>
      </c>
    </row>
    <row r="592" spans="1:15" x14ac:dyDescent="0.25">
      <c r="A592" s="6" t="s">
        <v>921</v>
      </c>
      <c r="B592" s="6" t="s">
        <v>931</v>
      </c>
      <c r="C592" s="6">
        <f>IF(Calculator!B8=FALSE,10,32)</f>
        <v>10</v>
      </c>
      <c r="D592" s="6">
        <f>IF(Calculator!B8=FALSE,10,32)</f>
        <v>10</v>
      </c>
      <c r="E592" s="6">
        <f>IF(Calculator!B8=FALSE,5,28)</f>
        <v>5</v>
      </c>
      <c r="F592" s="6">
        <v>0</v>
      </c>
      <c r="G592" s="6">
        <v>5</v>
      </c>
      <c r="H592" s="6">
        <v>0</v>
      </c>
      <c r="I592" s="6">
        <v>15</v>
      </c>
      <c r="J592" s="6">
        <v>0</v>
      </c>
      <c r="K592" s="6" t="str">
        <f>IF(A592=Calculator!B4,1+MAX(K591:K591),"")</f>
        <v/>
      </c>
      <c r="L592" s="6"/>
      <c r="M592" s="6" t="b">
        <v>1</v>
      </c>
    </row>
    <row r="593" spans="1:13" x14ac:dyDescent="0.25">
      <c r="A593" s="6" t="s">
        <v>921</v>
      </c>
      <c r="B593" s="6" t="s">
        <v>532</v>
      </c>
      <c r="C593" s="6">
        <f>IF(Calculator!B8=FALSE,25,43)</f>
        <v>25</v>
      </c>
      <c r="D593" s="6">
        <f>IF(Calculator!B8=FALSE,25,43)</f>
        <v>25</v>
      </c>
      <c r="E593" s="6">
        <f>IF(Calculator!B8=FALSE,15,46)</f>
        <v>15</v>
      </c>
      <c r="F593" s="6">
        <v>0</v>
      </c>
      <c r="G593" s="6">
        <v>5</v>
      </c>
      <c r="H593" s="6">
        <v>0</v>
      </c>
      <c r="I593" s="6">
        <v>15</v>
      </c>
      <c r="J593" s="6">
        <v>0</v>
      </c>
      <c r="K593" s="6" t="str">
        <f>IF(A593=Calculator!B4,1+MAX(K592:K592),"")</f>
        <v/>
      </c>
      <c r="L593" s="6"/>
      <c r="M593" s="6" t="b">
        <v>1</v>
      </c>
    </row>
    <row r="594" spans="1:13" x14ac:dyDescent="0.25">
      <c r="A594" s="6" t="s">
        <v>921</v>
      </c>
      <c r="B594" s="6" t="s">
        <v>533</v>
      </c>
      <c r="C594" s="6">
        <f>IF(Calculator!B8=FALSE,35,51)</f>
        <v>35</v>
      </c>
      <c r="D594" s="6">
        <f>IF(Calculator!B8=FALSE,32,49)</f>
        <v>32</v>
      </c>
      <c r="E594" s="6">
        <f>IF(Calculator!B8=FALSE,25,43)</f>
        <v>25</v>
      </c>
      <c r="F594" s="6">
        <v>0</v>
      </c>
      <c r="G594" s="6">
        <v>5</v>
      </c>
      <c r="H594" s="6">
        <v>0</v>
      </c>
      <c r="I594" s="6">
        <v>15</v>
      </c>
      <c r="J594" s="6">
        <v>0</v>
      </c>
      <c r="K594" s="6" t="str">
        <f>IF(A594=Calculator!B4,1+MAX(K593:K593),"")</f>
        <v/>
      </c>
      <c r="L594" s="6"/>
      <c r="M594" s="6" t="b">
        <v>1</v>
      </c>
    </row>
    <row r="595" spans="1:13" x14ac:dyDescent="0.25">
      <c r="A595" s="6" t="s">
        <v>921</v>
      </c>
      <c r="B595" s="6" t="s">
        <v>932</v>
      </c>
      <c r="C595" s="6">
        <f>IF(Calculator!B8=FALSE,47,60)</f>
        <v>47</v>
      </c>
      <c r="D595" s="6">
        <f>IF(Calculator!B8=FALSE,45,58)</f>
        <v>45</v>
      </c>
      <c r="E595" s="6">
        <f>IF(Calculator!B8=FALSE,35,51)</f>
        <v>35</v>
      </c>
      <c r="F595" s="6">
        <v>0</v>
      </c>
      <c r="G595" s="6">
        <v>5</v>
      </c>
      <c r="H595" s="6">
        <v>0</v>
      </c>
      <c r="I595" s="6">
        <v>15</v>
      </c>
      <c r="J595" s="6">
        <v>0</v>
      </c>
      <c r="K595" s="6" t="str">
        <f>IF(A595=Calculator!B4,1+MAX(K594:K594),"")</f>
        <v/>
      </c>
      <c r="L595" s="6"/>
      <c r="M595" s="6" t="b">
        <v>1</v>
      </c>
    </row>
    <row r="596" spans="1:13" x14ac:dyDescent="0.25">
      <c r="A596" s="6" t="s">
        <v>922</v>
      </c>
      <c r="B596" s="6" t="s">
        <v>502</v>
      </c>
      <c r="C596" s="6">
        <f>IF(Calculator!B8=FALSE,55,66)</f>
        <v>55</v>
      </c>
      <c r="D596" s="6">
        <f>IF(Calculator!B8=FALSE,55,66)</f>
        <v>55</v>
      </c>
      <c r="E596" s="6">
        <f>IF(Calculator!B8=FALSE,50,62)</f>
        <v>50</v>
      </c>
      <c r="F596" s="6">
        <v>10</v>
      </c>
      <c r="G596" s="6">
        <v>13</v>
      </c>
      <c r="H596" s="6">
        <v>15</v>
      </c>
      <c r="I596" s="6">
        <v>10</v>
      </c>
      <c r="J596" s="6">
        <v>0</v>
      </c>
      <c r="K596" s="6" t="str">
        <f>IF(A596=Calculator!B4,1+MAX(K595:K595),"")</f>
        <v/>
      </c>
      <c r="L596" s="6"/>
      <c r="M596" s="6" t="b">
        <v>1</v>
      </c>
    </row>
    <row r="597" spans="1:13" x14ac:dyDescent="0.25">
      <c r="A597" s="6" t="s">
        <v>922</v>
      </c>
      <c r="B597" s="6" t="s">
        <v>790</v>
      </c>
      <c r="C597" s="6">
        <f>IF(Calculator!B8=FALSE,38,58)</f>
        <v>38</v>
      </c>
      <c r="D597" s="6">
        <f>IF(Calculator!B8=FALSE,38,58)</f>
        <v>38</v>
      </c>
      <c r="E597" s="6">
        <f>IF(Calculator!B8=FALSE,38,58)</f>
        <v>38</v>
      </c>
      <c r="F597" s="6">
        <v>20</v>
      </c>
      <c r="G597" s="6">
        <v>25</v>
      </c>
      <c r="H597" s="6">
        <v>30</v>
      </c>
      <c r="I597" s="6">
        <v>20</v>
      </c>
      <c r="J597" s="6">
        <v>0</v>
      </c>
      <c r="K597" s="6" t="str">
        <f>IF(A597=Calculator!B4,1+MAX(K596:K596),"")</f>
        <v/>
      </c>
      <c r="L597" s="6" t="s">
        <v>542</v>
      </c>
      <c r="M597" s="6" t="b">
        <v>1</v>
      </c>
    </row>
    <row r="598" spans="1:13" x14ac:dyDescent="0.25">
      <c r="A598" s="6" t="s">
        <v>922</v>
      </c>
      <c r="B598" s="6" t="s">
        <v>528</v>
      </c>
      <c r="C598" s="6">
        <f>IF(Calculator!B8=FALSE,50,62)</f>
        <v>50</v>
      </c>
      <c r="D598" s="6">
        <f>IF(Calculator!B8=FALSE,50,62)</f>
        <v>50</v>
      </c>
      <c r="E598" s="6">
        <f>IF(Calculator!B8=FALSE,48,58)</f>
        <v>48</v>
      </c>
      <c r="F598" s="6">
        <v>8</v>
      </c>
      <c r="G598" s="6">
        <v>10</v>
      </c>
      <c r="H598" s="6">
        <v>13</v>
      </c>
      <c r="I598" s="6">
        <v>8</v>
      </c>
      <c r="J598" s="6">
        <v>0</v>
      </c>
      <c r="K598" s="6" t="str">
        <f>IF(A598=Calculator!B4,1+MAX(K597:K597),"")</f>
        <v/>
      </c>
      <c r="L598" s="6"/>
      <c r="M598" s="6" t="b">
        <v>1</v>
      </c>
    </row>
    <row r="599" spans="1:13" x14ac:dyDescent="0.25">
      <c r="A599" s="6" t="s">
        <v>922</v>
      </c>
      <c r="B599" s="6" t="s">
        <v>791</v>
      </c>
      <c r="C599" s="6">
        <f>IF(Calculator!B8=FALSE,38,53)</f>
        <v>38</v>
      </c>
      <c r="D599" s="6">
        <f>IF(Calculator!B8=FALSE,38,53)</f>
        <v>38</v>
      </c>
      <c r="E599" s="6">
        <f>IF(Calculator!B8=FALSE,33,49)</f>
        <v>33</v>
      </c>
      <c r="F599" s="6">
        <v>15</v>
      </c>
      <c r="G599" s="6">
        <v>20</v>
      </c>
      <c r="H599" s="6">
        <v>25</v>
      </c>
      <c r="I599" s="6">
        <v>15</v>
      </c>
      <c r="J599" s="6">
        <v>0</v>
      </c>
      <c r="K599" s="6" t="str">
        <f>IF(A599=Calculator!B4,1+MAX(K598:K598),"")</f>
        <v/>
      </c>
      <c r="L599" s="6"/>
      <c r="M599" s="6" t="b">
        <v>1</v>
      </c>
    </row>
    <row r="600" spans="1:13" x14ac:dyDescent="0.25">
      <c r="A600" s="6" t="s">
        <v>922</v>
      </c>
      <c r="B600" s="6" t="s">
        <v>757</v>
      </c>
      <c r="C600" s="6">
        <v>30</v>
      </c>
      <c r="D600" s="6">
        <v>30</v>
      </c>
      <c r="E600" s="6">
        <v>20</v>
      </c>
      <c r="F600" s="6">
        <v>5</v>
      </c>
      <c r="G600" s="6">
        <v>8</v>
      </c>
      <c r="H600" s="6">
        <v>10</v>
      </c>
      <c r="I600" s="6">
        <v>5</v>
      </c>
      <c r="J600" s="6">
        <v>0</v>
      </c>
      <c r="K600" s="6" t="str">
        <f>IF(A600=Calculator!B4,1+MAX(K599:K599),"")</f>
        <v/>
      </c>
      <c r="L600" s="6"/>
      <c r="M600" s="6"/>
    </row>
    <row r="601" spans="1:13" x14ac:dyDescent="0.25">
      <c r="A601" s="6" t="s">
        <v>922</v>
      </c>
      <c r="B601" s="6" t="s">
        <v>793</v>
      </c>
      <c r="C601" s="6">
        <v>25</v>
      </c>
      <c r="D601" s="6">
        <v>25</v>
      </c>
      <c r="E601" s="6">
        <v>15</v>
      </c>
      <c r="F601" s="6">
        <v>10</v>
      </c>
      <c r="G601" s="6">
        <v>15</v>
      </c>
      <c r="H601" s="6">
        <v>20</v>
      </c>
      <c r="I601" s="6">
        <v>10</v>
      </c>
      <c r="J601" s="6">
        <v>0</v>
      </c>
      <c r="K601" s="6" t="str">
        <f>IF(A601=Calculator!B4,1+MAX(K600:K600),"")</f>
        <v/>
      </c>
      <c r="L601" s="6"/>
      <c r="M601" s="6"/>
    </row>
    <row r="602" spans="1:13" x14ac:dyDescent="0.25">
      <c r="A602" s="6" t="s">
        <v>922</v>
      </c>
      <c r="B602" s="6" t="s">
        <v>530</v>
      </c>
      <c r="C602" s="6">
        <f>IF(Calculator!B8=FALSE,30,47)</f>
        <v>30</v>
      </c>
      <c r="D602" s="6">
        <f>IF(Calculator!B8=FALSE,30,47)</f>
        <v>30</v>
      </c>
      <c r="E602" s="6">
        <f>IF(Calculator!B8=FALSE,20,40)</f>
        <v>20</v>
      </c>
      <c r="F602" s="6">
        <v>3</v>
      </c>
      <c r="G602" s="6">
        <v>8</v>
      </c>
      <c r="H602" s="6">
        <v>10</v>
      </c>
      <c r="I602" s="6">
        <v>3</v>
      </c>
      <c r="J602" s="6">
        <v>0</v>
      </c>
      <c r="K602" s="6" t="str">
        <f>IF(A602=Calculator!B4,1+MAX(K601:K601),"")</f>
        <v/>
      </c>
      <c r="L602" s="6"/>
      <c r="M602" s="6" t="b">
        <v>1</v>
      </c>
    </row>
    <row r="603" spans="1:13" x14ac:dyDescent="0.25">
      <c r="A603" s="6" t="s">
        <v>922</v>
      </c>
      <c r="B603" s="6" t="s">
        <v>927</v>
      </c>
      <c r="C603" s="6">
        <f>IF(Calculator!B8=FALSE,50,62)</f>
        <v>50</v>
      </c>
      <c r="D603" s="6">
        <f>IF(Calculator!B8=FALSE,50,62)</f>
        <v>50</v>
      </c>
      <c r="E603" s="6">
        <f>IF(Calculator!B8=FALSE,50,62)</f>
        <v>50</v>
      </c>
      <c r="F603" s="6">
        <v>0</v>
      </c>
      <c r="G603" s="6">
        <v>0</v>
      </c>
      <c r="H603" s="6">
        <v>0</v>
      </c>
      <c r="I603" s="6">
        <v>0</v>
      </c>
      <c r="J603" s="6">
        <v>0</v>
      </c>
      <c r="K603" s="6" t="str">
        <f>IF(A603=Calculator!B4,1+MAX(K602:K602),"")</f>
        <v/>
      </c>
      <c r="L603" s="6"/>
      <c r="M603" s="6" t="b">
        <v>1</v>
      </c>
    </row>
    <row r="604" spans="1:13" x14ac:dyDescent="0.25">
      <c r="A604" s="6" t="s">
        <v>922</v>
      </c>
      <c r="B604" s="6" t="s">
        <v>531</v>
      </c>
      <c r="C604" s="6">
        <f>IF(Calculator!B8=FALSE,50,62)</f>
        <v>50</v>
      </c>
      <c r="D604" s="6">
        <f>IF(Calculator!B8=FALSE,50,62)</f>
        <v>50</v>
      </c>
      <c r="E604" s="6">
        <f>IF(Calculator!B8=FALSE,45,58)</f>
        <v>45</v>
      </c>
      <c r="F604" s="6">
        <v>10</v>
      </c>
      <c r="G604" s="6">
        <v>13</v>
      </c>
      <c r="H604" s="6">
        <v>15</v>
      </c>
      <c r="I604" s="6">
        <v>10</v>
      </c>
      <c r="J604" s="6">
        <v>0</v>
      </c>
      <c r="K604" s="6" t="str">
        <f>IF(A604=Calculator!B4,1+MAX(K603:K603),"")</f>
        <v/>
      </c>
      <c r="L604" s="6"/>
      <c r="M604" s="6" t="b">
        <v>1</v>
      </c>
    </row>
    <row r="605" spans="1:13" x14ac:dyDescent="0.25">
      <c r="A605" s="6" t="s">
        <v>922</v>
      </c>
      <c r="B605" s="6" t="s">
        <v>928</v>
      </c>
      <c r="C605" s="6">
        <f>IF(Calculator!B8=FALSE,38,53)</f>
        <v>38</v>
      </c>
      <c r="D605" s="6">
        <f>IF(Calculator!B8=FALSE,38,53)</f>
        <v>38</v>
      </c>
      <c r="E605" s="6">
        <f>IF(Calculator!B8=FALSE,33,49)</f>
        <v>33</v>
      </c>
      <c r="F605" s="6">
        <v>20</v>
      </c>
      <c r="G605" s="6">
        <v>25</v>
      </c>
      <c r="H605" s="6">
        <v>30</v>
      </c>
      <c r="I605" s="6">
        <v>20</v>
      </c>
      <c r="J605" s="6">
        <v>0</v>
      </c>
      <c r="K605" s="6" t="str">
        <f>IF(A605=Calculator!B4,1+MAX(K604:K604),"")</f>
        <v/>
      </c>
      <c r="L605" s="6"/>
      <c r="M605" s="6" t="b">
        <v>1</v>
      </c>
    </row>
    <row r="606" spans="1:13" x14ac:dyDescent="0.25">
      <c r="A606" s="6" t="s">
        <v>922</v>
      </c>
      <c r="B606" s="6" t="s">
        <v>532</v>
      </c>
      <c r="C606" s="6">
        <v>30</v>
      </c>
      <c r="D606" s="6">
        <v>30</v>
      </c>
      <c r="E606" s="6">
        <v>20</v>
      </c>
      <c r="F606" s="6">
        <v>5</v>
      </c>
      <c r="G606" s="6">
        <v>8</v>
      </c>
      <c r="H606" s="6">
        <v>10</v>
      </c>
      <c r="I606" s="6">
        <v>5</v>
      </c>
      <c r="J606" s="6">
        <v>0</v>
      </c>
      <c r="K606" s="6" t="str">
        <f>IF(A606=Calculator!B4,1+MAX(K605:K605),"")</f>
        <v/>
      </c>
      <c r="L606" s="6"/>
      <c r="M606" s="6"/>
    </row>
    <row r="607" spans="1:13" x14ac:dyDescent="0.25">
      <c r="A607" s="6" t="s">
        <v>922</v>
      </c>
      <c r="B607" s="6" t="s">
        <v>929</v>
      </c>
      <c r="C607" s="6">
        <v>25</v>
      </c>
      <c r="D607" s="6">
        <v>25</v>
      </c>
      <c r="E607" s="6">
        <v>15</v>
      </c>
      <c r="F607" s="6">
        <v>10</v>
      </c>
      <c r="G607" s="6">
        <v>15</v>
      </c>
      <c r="H607" s="6">
        <v>20</v>
      </c>
      <c r="I607" s="6">
        <v>10</v>
      </c>
      <c r="J607" s="6">
        <v>0</v>
      </c>
      <c r="K607" s="6" t="str">
        <f>IF(A607=Calculator!B4,1+MAX(K606:K606),"")</f>
        <v/>
      </c>
      <c r="L607" s="6"/>
      <c r="M607" s="6"/>
    </row>
    <row r="608" spans="1:13" x14ac:dyDescent="0.25">
      <c r="A608" s="6" t="s">
        <v>922</v>
      </c>
      <c r="B608" s="6" t="s">
        <v>533</v>
      </c>
      <c r="C608" s="6">
        <f>IF(Calculator!B8=FALSE,40,55)</f>
        <v>40</v>
      </c>
      <c r="D608" s="6">
        <f>IF(Calculator!B8=FALSE,40,55)</f>
        <v>40</v>
      </c>
      <c r="E608" s="6">
        <f>IF(Calculator!B8=FALSE,35,51)</f>
        <v>35</v>
      </c>
      <c r="F608" s="6">
        <v>8</v>
      </c>
      <c r="G608" s="6">
        <v>10</v>
      </c>
      <c r="H608" s="6">
        <v>13</v>
      </c>
      <c r="I608" s="6">
        <v>8</v>
      </c>
      <c r="J608" s="6">
        <v>0</v>
      </c>
      <c r="K608" s="6" t="str">
        <f>IF(A608=Calculator!B4,1+MAX(K607:K607),"")</f>
        <v/>
      </c>
      <c r="L608" s="6"/>
      <c r="M608" s="6" t="b">
        <v>1</v>
      </c>
    </row>
    <row r="609" spans="1:15" x14ac:dyDescent="0.25">
      <c r="A609" s="6" t="s">
        <v>922</v>
      </c>
      <c r="B609" s="6" t="s">
        <v>795</v>
      </c>
      <c r="C609" s="6">
        <f>IF(Calculator!B8=FALSE,35,51)</f>
        <v>35</v>
      </c>
      <c r="D609" s="6">
        <f>IF(Calculator!B8=FALSE,35,51)</f>
        <v>35</v>
      </c>
      <c r="E609" s="6">
        <f>IF(Calculator!B8=FALSE,25,43)</f>
        <v>25</v>
      </c>
      <c r="F609" s="6">
        <v>15</v>
      </c>
      <c r="G609" s="6">
        <v>20</v>
      </c>
      <c r="H609" s="6">
        <v>25</v>
      </c>
      <c r="I609" s="6">
        <v>15</v>
      </c>
      <c r="J609" s="6">
        <v>0</v>
      </c>
      <c r="K609" s="6" t="str">
        <f>IF(A609=Calculator!B4,1+MAX(K608:K608),"")</f>
        <v/>
      </c>
      <c r="L609" s="6"/>
      <c r="M609" s="6" t="b">
        <v>1</v>
      </c>
    </row>
    <row r="610" spans="1:15" x14ac:dyDescent="0.25">
      <c r="A610" s="6" t="s">
        <v>923</v>
      </c>
      <c r="B610" s="6" t="s">
        <v>502</v>
      </c>
      <c r="C610" s="6">
        <f>IF(Calculator!B8=FALSE,24,38)</f>
        <v>24</v>
      </c>
      <c r="D610" s="6">
        <f>IF(Calculator!B8=FALSE,34,45)</f>
        <v>34</v>
      </c>
      <c r="E610" s="6">
        <f>IF(Calculator!B8=FALSE,24,38)</f>
        <v>24</v>
      </c>
      <c r="F610" s="6">
        <v>25</v>
      </c>
      <c r="G610" s="6">
        <v>25</v>
      </c>
      <c r="H610" s="6">
        <v>25</v>
      </c>
      <c r="I610" s="6">
        <v>25</v>
      </c>
      <c r="J610" s="6">
        <v>25</v>
      </c>
      <c r="K610" s="6" t="str">
        <f>IF(A610=Calculator!B4,1+MAX(K609:K609),"")</f>
        <v/>
      </c>
      <c r="L610" s="6"/>
      <c r="M610" s="6" t="b">
        <v>1</v>
      </c>
    </row>
    <row r="611" spans="1:15" x14ac:dyDescent="0.25">
      <c r="A611" s="6" t="s">
        <v>923</v>
      </c>
      <c r="B611" s="6" t="s">
        <v>778</v>
      </c>
      <c r="C611" s="6">
        <f>IF(Calculator!B8=FALSE,45,53)</f>
        <v>45</v>
      </c>
      <c r="D611" s="6">
        <f>IF(Calculator!B8=FALSE,51,58)</f>
        <v>51</v>
      </c>
      <c r="E611" s="6">
        <f>IF(Calculator!B8=FALSE,35,46)</f>
        <v>35</v>
      </c>
      <c r="F611" s="6">
        <v>25</v>
      </c>
      <c r="G611" s="6">
        <v>25</v>
      </c>
      <c r="H611" s="6">
        <v>25</v>
      </c>
      <c r="I611" s="6">
        <v>25</v>
      </c>
      <c r="J611" s="6">
        <v>25</v>
      </c>
      <c r="K611" s="6" t="str">
        <f>IF(A611=Calculator!B4,1+MAX(K610:K610),"")</f>
        <v/>
      </c>
      <c r="L611" s="6"/>
      <c r="M611" s="6" t="b">
        <v>1</v>
      </c>
    </row>
    <row r="612" spans="1:15" x14ac:dyDescent="0.25">
      <c r="A612" s="6" t="s">
        <v>923</v>
      </c>
      <c r="B612" s="6" t="s">
        <v>933</v>
      </c>
      <c r="C612" s="6">
        <f>IF(Calculator!B8=FALSE,63,67)</f>
        <v>63</v>
      </c>
      <c r="D612" s="6">
        <f>IF(Calculator!B8=FALSE,58,63)</f>
        <v>58</v>
      </c>
      <c r="E612" s="6">
        <f>IF(Calculator!B8=FALSE,38,48)</f>
        <v>38</v>
      </c>
      <c r="F612" s="6">
        <v>30</v>
      </c>
      <c r="G612" s="6">
        <v>30</v>
      </c>
      <c r="H612" s="6">
        <v>30</v>
      </c>
      <c r="I612" s="6">
        <v>30</v>
      </c>
      <c r="J612" s="6">
        <v>30</v>
      </c>
      <c r="K612" s="6" t="str">
        <f>IF(A612=Calculator!B4,1+MAX(K611:K611),"")</f>
        <v/>
      </c>
      <c r="L612" s="6"/>
      <c r="M612" s="6" t="b">
        <v>1</v>
      </c>
    </row>
    <row r="613" spans="1:15" x14ac:dyDescent="0.25">
      <c r="A613" s="6" t="s">
        <v>923</v>
      </c>
      <c r="B613" s="6" t="s">
        <v>934</v>
      </c>
      <c r="C613" s="6">
        <f>IF(Calculator!B8=FALSE,68,71)</f>
        <v>68</v>
      </c>
      <c r="D613" s="6">
        <f>IF(Calculator!B8=FALSE,64,68)</f>
        <v>64</v>
      </c>
      <c r="E613" s="6">
        <f>IF(Calculator!B8=FALSE,48,56)</f>
        <v>48</v>
      </c>
      <c r="F613" s="6">
        <v>30</v>
      </c>
      <c r="G613" s="6">
        <v>30</v>
      </c>
      <c r="H613" s="6">
        <v>30</v>
      </c>
      <c r="I613" s="6">
        <v>30</v>
      </c>
      <c r="J613" s="6">
        <v>30</v>
      </c>
      <c r="K613" s="6" t="str">
        <f>IF(A613=Calculator!B4,1+MAX(K612:K612),"")</f>
        <v/>
      </c>
      <c r="L613" s="6"/>
      <c r="M613" s="6" t="b">
        <v>1</v>
      </c>
    </row>
    <row r="614" spans="1:15" x14ac:dyDescent="0.25">
      <c r="A614" s="6" t="s">
        <v>923</v>
      </c>
      <c r="B614" s="6" t="s">
        <v>935</v>
      </c>
      <c r="C614" s="6">
        <f>IF(Calculator!B8=FALSE,24,37)</f>
        <v>24</v>
      </c>
      <c r="D614" s="6">
        <f>IF(Calculator!B8=FALSE,34,45)</f>
        <v>34</v>
      </c>
      <c r="E614" s="6">
        <f>IF(Calculator!B8=FALSE,3,22)</f>
        <v>3</v>
      </c>
      <c r="F614" s="6">
        <v>15</v>
      </c>
      <c r="G614" s="6">
        <v>15</v>
      </c>
      <c r="H614" s="6">
        <v>15</v>
      </c>
      <c r="I614" s="6">
        <v>15</v>
      </c>
      <c r="J614" s="6">
        <v>15</v>
      </c>
      <c r="K614" s="6" t="str">
        <f>IF(A614=Calculator!B4,1+MAX(K613:K613),"")</f>
        <v/>
      </c>
      <c r="L614" s="6"/>
      <c r="M614" s="6" t="b">
        <v>1</v>
      </c>
      <c r="O614" t="s">
        <v>676</v>
      </c>
    </row>
    <row r="615" spans="1:15" x14ac:dyDescent="0.25">
      <c r="A615" s="6" t="s">
        <v>923</v>
      </c>
      <c r="B615" s="6" t="s">
        <v>936</v>
      </c>
      <c r="C615" s="6">
        <f>IF(Calculator!B8=FALSE,45,53)</f>
        <v>45</v>
      </c>
      <c r="D615" s="6">
        <f>IF(Calculator!B8=FALSE,51,58)</f>
        <v>51</v>
      </c>
      <c r="E615" s="6">
        <f>IF(Calculator!B8=FALSE,3,22)</f>
        <v>3</v>
      </c>
      <c r="F615" s="6">
        <v>15</v>
      </c>
      <c r="G615" s="6">
        <v>15</v>
      </c>
      <c r="H615" s="6">
        <v>15</v>
      </c>
      <c r="I615" s="6">
        <v>15</v>
      </c>
      <c r="J615" s="6">
        <v>15</v>
      </c>
      <c r="K615" s="6" t="str">
        <f>IF(A615=Calculator!B4,1+MAX(K614:K614),"")</f>
        <v/>
      </c>
      <c r="L615" s="6"/>
      <c r="M615" s="6" t="b">
        <v>1</v>
      </c>
    </row>
    <row r="616" spans="1:15" x14ac:dyDescent="0.25">
      <c r="A616" s="6" t="s">
        <v>923</v>
      </c>
      <c r="B616" s="6" t="s">
        <v>937</v>
      </c>
      <c r="C616" s="6">
        <f>IF(Calculator!B8=FALSE,63,67)</f>
        <v>63</v>
      </c>
      <c r="D616" s="6">
        <f>IF(Calculator!B8=FALSE,58,63)</f>
        <v>58</v>
      </c>
      <c r="E616" s="6">
        <f>IF(Calculator!B8=FALSE,10,27)</f>
        <v>10</v>
      </c>
      <c r="F616" s="6">
        <v>20</v>
      </c>
      <c r="G616" s="6">
        <v>20</v>
      </c>
      <c r="H616" s="6">
        <v>20</v>
      </c>
      <c r="I616" s="6">
        <v>20</v>
      </c>
      <c r="J616" s="6">
        <v>20</v>
      </c>
      <c r="K616" s="6" t="str">
        <f>IF(A616=Calculator!B4,1+MAX(K615:K615),"")</f>
        <v/>
      </c>
      <c r="L616" s="6"/>
      <c r="M616" s="6" t="b">
        <v>1</v>
      </c>
    </row>
    <row r="617" spans="1:15" x14ac:dyDescent="0.25">
      <c r="A617" s="6" t="s">
        <v>923</v>
      </c>
      <c r="B617" s="6" t="s">
        <v>938</v>
      </c>
      <c r="C617" s="6">
        <f>IF(Calculator!B8=FALSE,68,71)</f>
        <v>68</v>
      </c>
      <c r="D617" s="6">
        <f>IF(Calculator!B8=FALSE,64,68)</f>
        <v>64</v>
      </c>
      <c r="E617" s="6">
        <f>IF(Calculator!B8=FALSE,10,27)</f>
        <v>10</v>
      </c>
      <c r="F617" s="6">
        <v>20</v>
      </c>
      <c r="G617" s="6">
        <v>20</v>
      </c>
      <c r="H617" s="6">
        <v>20</v>
      </c>
      <c r="I617" s="6">
        <v>20</v>
      </c>
      <c r="J617" s="6">
        <v>20</v>
      </c>
      <c r="K617" s="6" t="str">
        <f>IF(A617=Calculator!B4,1+MAX(K616:K616),"")</f>
        <v/>
      </c>
      <c r="L617" s="6"/>
      <c r="M617" s="6" t="b">
        <v>1</v>
      </c>
    </row>
    <row r="618" spans="1:15" x14ac:dyDescent="0.25">
      <c r="A618" s="6" t="s">
        <v>923</v>
      </c>
      <c r="B618" s="6" t="s">
        <v>528</v>
      </c>
      <c r="C618" s="6">
        <v>25</v>
      </c>
      <c r="D618" s="6">
        <v>25</v>
      </c>
      <c r="E618" s="6">
        <v>3</v>
      </c>
      <c r="F618" s="6">
        <v>1</v>
      </c>
      <c r="G618" s="6">
        <v>1</v>
      </c>
      <c r="H618" s="6">
        <v>1</v>
      </c>
      <c r="I618" s="6">
        <v>1</v>
      </c>
      <c r="J618" s="6">
        <v>1</v>
      </c>
      <c r="K618" s="6" t="str">
        <f>IF(A618=Calculator!B4,1+MAX(K617:K617),"")</f>
        <v/>
      </c>
      <c r="L618" s="6"/>
      <c r="M618" s="6"/>
    </row>
    <row r="619" spans="1:15" x14ac:dyDescent="0.25">
      <c r="A619" s="6" t="s">
        <v>923</v>
      </c>
      <c r="B619" s="6" t="s">
        <v>939</v>
      </c>
      <c r="C619" s="6">
        <v>33</v>
      </c>
      <c r="D619" s="6">
        <v>33</v>
      </c>
      <c r="E619" s="6">
        <v>7</v>
      </c>
      <c r="F619" s="6">
        <v>3</v>
      </c>
      <c r="G619" s="6">
        <v>3</v>
      </c>
      <c r="H619" s="6">
        <v>3</v>
      </c>
      <c r="I619" s="6">
        <v>3</v>
      </c>
      <c r="J619" s="6">
        <v>3</v>
      </c>
      <c r="K619" s="6" t="str">
        <f>IF(A619=Calculator!B4,1+MAX(K618:K618),"")</f>
        <v/>
      </c>
      <c r="L619" s="6"/>
      <c r="M619" s="6"/>
    </row>
    <row r="620" spans="1:15" x14ac:dyDescent="0.25">
      <c r="A620" s="6" t="s">
        <v>923</v>
      </c>
      <c r="B620" s="6" t="s">
        <v>529</v>
      </c>
      <c r="C620" s="6">
        <v>18</v>
      </c>
      <c r="D620" s="6">
        <v>18</v>
      </c>
      <c r="E620" s="6">
        <v>3</v>
      </c>
      <c r="F620" s="6">
        <v>1</v>
      </c>
      <c r="G620" s="6">
        <v>1</v>
      </c>
      <c r="H620" s="6">
        <v>1</v>
      </c>
      <c r="I620" s="6">
        <v>1</v>
      </c>
      <c r="J620" s="6">
        <v>1</v>
      </c>
      <c r="K620" s="6" t="str">
        <f>IF(A620=Calculator!B4,1+MAX(K619:K619),"")</f>
        <v/>
      </c>
      <c r="L620" s="6"/>
      <c r="M620" s="6"/>
    </row>
    <row r="621" spans="1:15" x14ac:dyDescent="0.25">
      <c r="A621" s="6" t="s">
        <v>923</v>
      </c>
      <c r="B621" s="6" t="s">
        <v>940</v>
      </c>
      <c r="C621" s="6">
        <v>30</v>
      </c>
      <c r="D621" s="6">
        <v>30</v>
      </c>
      <c r="E621" s="6">
        <v>7</v>
      </c>
      <c r="F621" s="6">
        <v>3</v>
      </c>
      <c r="G621" s="6">
        <v>3</v>
      </c>
      <c r="H621" s="6">
        <v>3</v>
      </c>
      <c r="I621" s="6">
        <v>3</v>
      </c>
      <c r="J621" s="6">
        <v>3</v>
      </c>
      <c r="K621" s="6" t="str">
        <f>IF(A621=Calculator!B4,1+MAX(K620:K620),"")</f>
        <v/>
      </c>
      <c r="L621" s="6"/>
      <c r="M621" s="6"/>
    </row>
    <row r="622" spans="1:15" x14ac:dyDescent="0.25">
      <c r="A622" s="6" t="s">
        <v>923</v>
      </c>
      <c r="B622" s="6" t="s">
        <v>503</v>
      </c>
      <c r="C622" s="6">
        <v>20</v>
      </c>
      <c r="D622" s="6">
        <v>20</v>
      </c>
      <c r="E622" s="6">
        <v>3</v>
      </c>
      <c r="F622" s="6">
        <v>1</v>
      </c>
      <c r="G622" s="6">
        <v>1</v>
      </c>
      <c r="H622" s="6">
        <v>1</v>
      </c>
      <c r="I622" s="6">
        <v>1</v>
      </c>
      <c r="J622" s="6">
        <v>1</v>
      </c>
      <c r="K622" s="6" t="str">
        <f>IF(A622=Calculator!B4,1+MAX(K621:K621),"")</f>
        <v/>
      </c>
      <c r="L622" s="6"/>
      <c r="M622" s="6"/>
    </row>
    <row r="623" spans="1:15" x14ac:dyDescent="0.25">
      <c r="A623" s="6" t="s">
        <v>923</v>
      </c>
      <c r="B623" s="6" t="s">
        <v>809</v>
      </c>
      <c r="C623" s="6">
        <v>38</v>
      </c>
      <c r="D623" s="6">
        <v>38</v>
      </c>
      <c r="E623" s="6">
        <v>15</v>
      </c>
      <c r="F623" s="6">
        <v>10</v>
      </c>
      <c r="G623" s="6">
        <v>10</v>
      </c>
      <c r="H623" s="6">
        <v>10</v>
      </c>
      <c r="I623" s="6">
        <v>10</v>
      </c>
      <c r="J623" s="6">
        <v>10</v>
      </c>
      <c r="K623" s="6" t="str">
        <f>IF(A623=Calculator!B4,1+MAX(K622:K622),"")</f>
        <v/>
      </c>
      <c r="L623" s="6"/>
      <c r="M623" s="6"/>
      <c r="O623" t="s">
        <v>676</v>
      </c>
    </row>
    <row r="624" spans="1:15" x14ac:dyDescent="0.25">
      <c r="A624" s="6" t="s">
        <v>923</v>
      </c>
      <c r="B624" s="6" t="s">
        <v>941</v>
      </c>
      <c r="C624" s="6">
        <v>75</v>
      </c>
      <c r="D624" s="6">
        <v>75</v>
      </c>
      <c r="E624" s="6">
        <v>45</v>
      </c>
      <c r="F624" s="6">
        <v>30</v>
      </c>
      <c r="G624" s="6">
        <v>30</v>
      </c>
      <c r="H624" s="6">
        <v>30</v>
      </c>
      <c r="I624" s="6">
        <v>30</v>
      </c>
      <c r="J624" s="6">
        <v>30</v>
      </c>
      <c r="K624" s="6" t="str">
        <f>IF(A624=Calculator!B4,1+MAX(K623:K623),"")</f>
        <v/>
      </c>
      <c r="L624" s="6"/>
      <c r="M624" s="6"/>
    </row>
    <row r="625" spans="1:15" x14ac:dyDescent="0.25">
      <c r="A625" s="6" t="s">
        <v>923</v>
      </c>
      <c r="B625" s="6" t="s">
        <v>530</v>
      </c>
      <c r="C625" s="6">
        <v>45</v>
      </c>
      <c r="D625" s="6">
        <v>45</v>
      </c>
      <c r="E625" s="6">
        <v>3</v>
      </c>
      <c r="F625" s="6">
        <v>15</v>
      </c>
      <c r="G625" s="6">
        <v>15</v>
      </c>
      <c r="H625" s="6">
        <v>15</v>
      </c>
      <c r="I625" s="6">
        <v>15</v>
      </c>
      <c r="J625" s="6">
        <v>15</v>
      </c>
      <c r="K625" s="6" t="str">
        <f>IF(A625=Calculator!B4,1+MAX(K624:K624),"")</f>
        <v/>
      </c>
      <c r="L625" s="6"/>
      <c r="M625" s="6"/>
    </row>
    <row r="626" spans="1:15" x14ac:dyDescent="0.25">
      <c r="A626" s="6" t="s">
        <v>923</v>
      </c>
      <c r="B626" s="6" t="s">
        <v>942</v>
      </c>
      <c r="C626" s="6">
        <v>50</v>
      </c>
      <c r="D626" s="6">
        <v>50</v>
      </c>
      <c r="E626" s="6">
        <v>7</v>
      </c>
      <c r="F626" s="6">
        <v>20</v>
      </c>
      <c r="G626" s="6">
        <v>20</v>
      </c>
      <c r="H626" s="6">
        <v>20</v>
      </c>
      <c r="I626" s="6">
        <v>20</v>
      </c>
      <c r="J626" s="6">
        <v>20</v>
      </c>
      <c r="K626" s="6" t="str">
        <f>IF(A626=Calculator!B4,1+MAX(K625:K625),"")</f>
        <v/>
      </c>
      <c r="L626" s="6"/>
      <c r="M626" s="6"/>
    </row>
    <row r="627" spans="1:15" x14ac:dyDescent="0.25">
      <c r="A627" s="6" t="s">
        <v>923</v>
      </c>
      <c r="B627" s="6" t="s">
        <v>531</v>
      </c>
      <c r="C627" s="6">
        <f>IF(Calculator!B8=FALSE,34,43)</f>
        <v>34</v>
      </c>
      <c r="D627" s="6">
        <f>IF(Calculator!B8=FALSE,23,37)</f>
        <v>23</v>
      </c>
      <c r="E627" s="6">
        <f>IF(Calculator!B8=FALSE,18,33)</f>
        <v>18</v>
      </c>
      <c r="F627" s="6">
        <v>20</v>
      </c>
      <c r="G627" s="6">
        <v>20</v>
      </c>
      <c r="H627" s="6">
        <v>20</v>
      </c>
      <c r="I627" s="6">
        <v>20</v>
      </c>
      <c r="J627" s="6">
        <v>20</v>
      </c>
      <c r="K627" s="6" t="str">
        <f>IF(A627=Calculator!B4,1+MAX(K626:K626),"")</f>
        <v/>
      </c>
      <c r="L627" s="6"/>
      <c r="M627" s="6" t="b">
        <v>1</v>
      </c>
    </row>
    <row r="628" spans="1:15" x14ac:dyDescent="0.25">
      <c r="A628" s="6" t="s">
        <v>923</v>
      </c>
      <c r="B628" s="6" t="s">
        <v>774</v>
      </c>
      <c r="C628" s="6">
        <f>IF(Calculator!B8=FALSE,38,48)</f>
        <v>38</v>
      </c>
      <c r="D628" s="6">
        <f>IF(Calculator!B8=FALSE,35,46)</f>
        <v>35</v>
      </c>
      <c r="E628" s="6">
        <f>IF(Calculator!B8=FALSE,25,38)</f>
        <v>25</v>
      </c>
      <c r="F628" s="6">
        <v>20</v>
      </c>
      <c r="G628" s="6">
        <v>20</v>
      </c>
      <c r="H628" s="6">
        <v>20</v>
      </c>
      <c r="I628" s="6">
        <v>20</v>
      </c>
      <c r="J628" s="6">
        <v>20</v>
      </c>
      <c r="K628" s="6" t="str">
        <f>IF(A628=Calculator!B4,1+MAX(K627:K627),"")</f>
        <v/>
      </c>
      <c r="L628" s="6"/>
      <c r="M628" s="6" t="b">
        <v>1</v>
      </c>
      <c r="O628" t="s">
        <v>676</v>
      </c>
    </row>
    <row r="629" spans="1:15" x14ac:dyDescent="0.25">
      <c r="A629" s="6" t="s">
        <v>923</v>
      </c>
      <c r="B629" s="6" t="s">
        <v>943</v>
      </c>
      <c r="C629" s="6">
        <f>IF(Calculator!B8=FALSE,45,53)</f>
        <v>45</v>
      </c>
      <c r="D629" s="6">
        <f>IF(Calculator!B8=FALSE,65,68)</f>
        <v>65</v>
      </c>
      <c r="E629" s="6">
        <f>IF(Calculator!B8=FALSE,27,40)</f>
        <v>27</v>
      </c>
      <c r="F629" s="6">
        <v>25</v>
      </c>
      <c r="G629" s="6">
        <v>25</v>
      </c>
      <c r="H629" s="6">
        <v>25</v>
      </c>
      <c r="I629" s="6">
        <v>25</v>
      </c>
      <c r="J629" s="6">
        <v>25</v>
      </c>
      <c r="K629" s="6" t="str">
        <f>IF(A629=Calculator!B4,1+MAX(K628:K628),"")</f>
        <v/>
      </c>
      <c r="L629" s="6"/>
      <c r="M629" s="6" t="b">
        <v>1</v>
      </c>
    </row>
    <row r="630" spans="1:15" x14ac:dyDescent="0.25">
      <c r="A630" s="6" t="s">
        <v>923</v>
      </c>
      <c r="B630" s="6" t="s">
        <v>944</v>
      </c>
      <c r="C630" s="6">
        <f>IF(Calculator!B8=FALSE,34,43)</f>
        <v>34</v>
      </c>
      <c r="D630" s="6">
        <f>IF(Calculator!B8=FALSE,23,37)</f>
        <v>23</v>
      </c>
      <c r="E630" s="6">
        <f>IF(Calculator!B8=FALSE,18,33)</f>
        <v>18</v>
      </c>
      <c r="F630" s="6">
        <v>10</v>
      </c>
      <c r="G630" s="6">
        <v>10</v>
      </c>
      <c r="H630" s="6">
        <v>10</v>
      </c>
      <c r="I630" s="6">
        <v>10</v>
      </c>
      <c r="J630" s="6">
        <v>10</v>
      </c>
      <c r="K630" s="6" t="str">
        <f>IF(A630=Calculator!B4,1+MAX(K629:K629),"")</f>
        <v/>
      </c>
      <c r="L630" s="6"/>
      <c r="M630" s="6" t="b">
        <v>1</v>
      </c>
    </row>
    <row r="631" spans="1:15" x14ac:dyDescent="0.25">
      <c r="A631" s="6" t="s">
        <v>923</v>
      </c>
      <c r="B631" s="6" t="s">
        <v>946</v>
      </c>
      <c r="C631" s="6">
        <f>IF(Calculator!B8=FALSE,38,48)</f>
        <v>38</v>
      </c>
      <c r="D631" s="6">
        <f>IF(Calculator!B8=FALSE,35,46)</f>
        <v>35</v>
      </c>
      <c r="E631" s="6">
        <f>IF(Calculator!B8=FALSE,25,38)</f>
        <v>25</v>
      </c>
      <c r="F631" s="6">
        <v>10</v>
      </c>
      <c r="G631" s="6">
        <v>10</v>
      </c>
      <c r="H631" s="6">
        <v>10</v>
      </c>
      <c r="I631" s="6">
        <v>10</v>
      </c>
      <c r="J631" s="6">
        <v>10</v>
      </c>
      <c r="K631" s="6" t="str">
        <f>IF(A631=Calculator!B4,1+MAX(K630:K630),"")</f>
        <v/>
      </c>
      <c r="L631" s="6"/>
      <c r="M631" s="6" t="b">
        <v>1</v>
      </c>
      <c r="O631" t="s">
        <v>676</v>
      </c>
    </row>
    <row r="632" spans="1:15" x14ac:dyDescent="0.25">
      <c r="A632" s="6" t="s">
        <v>923</v>
      </c>
      <c r="B632" s="6" t="s">
        <v>945</v>
      </c>
      <c r="C632" s="6">
        <f>IF(Calculator!B8=FALSE,45,53)</f>
        <v>45</v>
      </c>
      <c r="D632" s="6">
        <f>IF(Calculator!B8=FALSE,65,68)</f>
        <v>65</v>
      </c>
      <c r="E632" s="6">
        <f>IF(Calculator!B8=FALSE,27,40)</f>
        <v>27</v>
      </c>
      <c r="F632" s="6">
        <v>20</v>
      </c>
      <c r="G632" s="6">
        <v>20</v>
      </c>
      <c r="H632" s="6">
        <v>20</v>
      </c>
      <c r="I632" s="6">
        <v>20</v>
      </c>
      <c r="J632" s="6">
        <v>20</v>
      </c>
      <c r="K632" s="6" t="str">
        <f>IF(A632=Calculator!B4,1+MAX(K631:K631),"")</f>
        <v/>
      </c>
      <c r="L632" s="6" t="s">
        <v>542</v>
      </c>
      <c r="M632" s="6" t="b">
        <v>1</v>
      </c>
    </row>
    <row r="633" spans="1:15" x14ac:dyDescent="0.25">
      <c r="A633" s="6" t="s">
        <v>923</v>
      </c>
      <c r="B633" s="6" t="s">
        <v>532</v>
      </c>
      <c r="C633" s="6">
        <f>IF(Calculator!B8=FALSE,18,33)</f>
        <v>18</v>
      </c>
      <c r="D633" s="6">
        <f>IF(Calculator!B8=FALSE,34,45)</f>
        <v>34</v>
      </c>
      <c r="E633" s="6">
        <f>IF(Calculator!B8=FALSE,18,33)</f>
        <v>18</v>
      </c>
      <c r="F633" s="6">
        <v>20</v>
      </c>
      <c r="G633" s="6">
        <v>20</v>
      </c>
      <c r="H633" s="6">
        <v>20</v>
      </c>
      <c r="I633" s="6">
        <v>20</v>
      </c>
      <c r="J633" s="6">
        <v>20</v>
      </c>
      <c r="K633" s="6" t="str">
        <f>IF(A633=Calculator!B4,1+MAX(K632:K632),"")</f>
        <v/>
      </c>
      <c r="L633" s="6"/>
      <c r="M633" s="6" t="b">
        <v>1</v>
      </c>
    </row>
    <row r="634" spans="1:15" x14ac:dyDescent="0.25">
      <c r="A634" s="6" t="s">
        <v>923</v>
      </c>
      <c r="B634" s="6" t="s">
        <v>759</v>
      </c>
      <c r="C634" s="6">
        <f>IF(Calculator!B8=FALSE,33,44)</f>
        <v>33</v>
      </c>
      <c r="D634" s="6">
        <f>IF(Calculator!B8=FALSE,40,50)</f>
        <v>40</v>
      </c>
      <c r="E634" s="6">
        <f>IF(Calculator!B8=FALSE,25,38)</f>
        <v>25</v>
      </c>
      <c r="F634" s="6">
        <v>20</v>
      </c>
      <c r="G634" s="6">
        <v>20</v>
      </c>
      <c r="H634" s="6">
        <v>20</v>
      </c>
      <c r="I634" s="6">
        <v>20</v>
      </c>
      <c r="J634" s="6">
        <v>20</v>
      </c>
      <c r="K634" s="6" t="str">
        <f>IF(A634=Calculator!B4,1+MAX(K633:K633),"")</f>
        <v/>
      </c>
      <c r="L634" s="6"/>
      <c r="M634" s="6" t="b">
        <v>1</v>
      </c>
      <c r="O634" t="s">
        <v>676</v>
      </c>
    </row>
    <row r="635" spans="1:15" x14ac:dyDescent="0.25">
      <c r="A635" s="6" t="s">
        <v>923</v>
      </c>
      <c r="B635" s="6" t="s">
        <v>947</v>
      </c>
      <c r="C635" s="6">
        <f>IF(Calculator!B8=FALSE,60,65)</f>
        <v>60</v>
      </c>
      <c r="D635" s="6">
        <f>IF(Calculator!B8=FALSE,46,54)</f>
        <v>46</v>
      </c>
      <c r="E635" s="6">
        <f>IF(Calculator!B8=FALSE,30,42)</f>
        <v>30</v>
      </c>
      <c r="F635" s="6">
        <v>25</v>
      </c>
      <c r="G635" s="6">
        <v>25</v>
      </c>
      <c r="H635" s="6">
        <v>25</v>
      </c>
      <c r="I635" s="6">
        <v>25</v>
      </c>
      <c r="J635" s="6">
        <v>25</v>
      </c>
      <c r="K635" s="6" t="str">
        <f>IF(A635=Calculator!B4,1+MAX(K634:K634),"")</f>
        <v/>
      </c>
      <c r="L635" s="6"/>
      <c r="M635" s="6" t="b">
        <v>1</v>
      </c>
    </row>
    <row r="636" spans="1:15" x14ac:dyDescent="0.25">
      <c r="A636" s="6" t="s">
        <v>923</v>
      </c>
      <c r="B636" s="6" t="s">
        <v>948</v>
      </c>
      <c r="C636" s="6">
        <f>IF(Calculator!B8=FALSE,18,33)</f>
        <v>18</v>
      </c>
      <c r="D636" s="6">
        <f>IF(Calculator!B8=FALSE,34,45)</f>
        <v>34</v>
      </c>
      <c r="E636" s="6">
        <f>IF(Calculator!B8=FALSE,18,33)</f>
        <v>18</v>
      </c>
      <c r="F636" s="6">
        <v>15</v>
      </c>
      <c r="G636" s="6">
        <v>15</v>
      </c>
      <c r="H636" s="6">
        <v>15</v>
      </c>
      <c r="I636" s="6">
        <v>15</v>
      </c>
      <c r="J636" s="6">
        <v>15</v>
      </c>
      <c r="K636" s="6" t="str">
        <f>IF(A636=Calculator!B4,1+MAX(K635:K635),"")</f>
        <v/>
      </c>
      <c r="L636" s="6"/>
      <c r="M636" s="6" t="b">
        <v>1</v>
      </c>
    </row>
    <row r="637" spans="1:15" x14ac:dyDescent="0.25">
      <c r="A637" s="6" t="s">
        <v>923</v>
      </c>
      <c r="B637" s="6" t="s">
        <v>949</v>
      </c>
      <c r="C637" s="6">
        <f>IF(Calculator!B8=FALSE,33,44)</f>
        <v>33</v>
      </c>
      <c r="D637" s="6">
        <f>IF(Calculator!B8=FALSE,40,50)</f>
        <v>40</v>
      </c>
      <c r="E637" s="6">
        <f>IF(Calculator!B8=FALSE,25,38)</f>
        <v>25</v>
      </c>
      <c r="F637" s="6">
        <v>15</v>
      </c>
      <c r="G637" s="6">
        <v>15</v>
      </c>
      <c r="H637" s="6">
        <v>15</v>
      </c>
      <c r="I637" s="6">
        <v>15</v>
      </c>
      <c r="J637" s="6">
        <v>15</v>
      </c>
      <c r="K637" s="6" t="str">
        <f>IF(A637=Calculator!B4,1+MAX(K636:K636),"")</f>
        <v/>
      </c>
      <c r="L637" s="6"/>
      <c r="M637" s="6" t="b">
        <v>1</v>
      </c>
      <c r="O637" t="s">
        <v>676</v>
      </c>
    </row>
    <row r="638" spans="1:15" x14ac:dyDescent="0.25">
      <c r="A638" s="6" t="s">
        <v>923</v>
      </c>
      <c r="B638" s="6" t="s">
        <v>950</v>
      </c>
      <c r="C638" s="6">
        <f>IF(Calculator!B8=FALSE,60,65)</f>
        <v>60</v>
      </c>
      <c r="D638" s="6">
        <f>IF(Calculator!B8=FALSE,46,54)</f>
        <v>46</v>
      </c>
      <c r="E638" s="6">
        <f>IF(Calculator!B8=FALSE,30,42)</f>
        <v>30</v>
      </c>
      <c r="F638" s="6">
        <v>20</v>
      </c>
      <c r="G638" s="6">
        <v>20</v>
      </c>
      <c r="H638" s="6">
        <v>20</v>
      </c>
      <c r="I638" s="6">
        <v>20</v>
      </c>
      <c r="J638" s="6">
        <v>20</v>
      </c>
      <c r="K638" s="6" t="str">
        <f>IF(A638=Calculator!B4,1+MAX(K637:K637),"")</f>
        <v/>
      </c>
      <c r="L638" s="6"/>
      <c r="M638" s="6" t="b">
        <v>1</v>
      </c>
    </row>
    <row r="639" spans="1:15" x14ac:dyDescent="0.25">
      <c r="A639" s="6" t="s">
        <v>923</v>
      </c>
      <c r="B639" s="6" t="s">
        <v>548</v>
      </c>
      <c r="C639" s="6">
        <v>20</v>
      </c>
      <c r="D639" s="6">
        <v>30</v>
      </c>
      <c r="E639" s="6">
        <v>45</v>
      </c>
      <c r="F639" s="6">
        <v>15</v>
      </c>
      <c r="G639" s="6">
        <v>15</v>
      </c>
      <c r="H639" s="6">
        <v>15</v>
      </c>
      <c r="I639" s="6">
        <v>15</v>
      </c>
      <c r="J639" s="6">
        <v>15</v>
      </c>
      <c r="K639" s="6" t="str">
        <f>IF(A639=Calculator!B4,1+MAX(K638:K638),"")</f>
        <v/>
      </c>
      <c r="L639" s="6"/>
      <c r="M639" s="6"/>
    </row>
    <row r="640" spans="1:15" x14ac:dyDescent="0.25">
      <c r="A640" s="6" t="s">
        <v>923</v>
      </c>
      <c r="B640" s="6" t="s">
        <v>780</v>
      </c>
      <c r="C640" s="6">
        <v>25</v>
      </c>
      <c r="D640" s="6">
        <v>35</v>
      </c>
      <c r="E640" s="6">
        <v>45</v>
      </c>
      <c r="F640" s="6">
        <v>15</v>
      </c>
      <c r="G640" s="6">
        <v>15</v>
      </c>
      <c r="H640" s="6">
        <v>15</v>
      </c>
      <c r="I640" s="6">
        <v>15</v>
      </c>
      <c r="J640" s="6">
        <v>15</v>
      </c>
      <c r="K640" s="6" t="str">
        <f>IF(A640=Calculator!B4,1+MAX(K639:K639),"")</f>
        <v/>
      </c>
      <c r="L640" s="6"/>
      <c r="M640" s="6"/>
      <c r="O640" t="s">
        <v>676</v>
      </c>
    </row>
    <row r="641" spans="1:16" x14ac:dyDescent="0.25">
      <c r="A641" s="6" t="s">
        <v>923</v>
      </c>
      <c r="B641" s="6" t="s">
        <v>951</v>
      </c>
      <c r="C641" s="6">
        <v>50</v>
      </c>
      <c r="D641" s="6">
        <v>65</v>
      </c>
      <c r="E641" s="6">
        <v>46</v>
      </c>
      <c r="F641" s="6">
        <v>20</v>
      </c>
      <c r="G641" s="6">
        <v>20</v>
      </c>
      <c r="H641" s="6">
        <v>20</v>
      </c>
      <c r="I641" s="6">
        <v>20</v>
      </c>
      <c r="J641" s="6">
        <v>20</v>
      </c>
      <c r="K641" s="6" t="str">
        <f>IF(A641=Calculator!B4,1+MAX(K640:K640),"")</f>
        <v/>
      </c>
      <c r="L641" s="6"/>
      <c r="M641" s="6"/>
    </row>
    <row r="642" spans="1:16" x14ac:dyDescent="0.25">
      <c r="A642" s="6" t="s">
        <v>923</v>
      </c>
      <c r="B642" s="6" t="s">
        <v>952</v>
      </c>
      <c r="C642" s="6">
        <v>20</v>
      </c>
      <c r="D642" s="6">
        <v>20</v>
      </c>
      <c r="E642" s="6">
        <v>10</v>
      </c>
      <c r="F642" s="6">
        <v>5</v>
      </c>
      <c r="G642" s="6">
        <v>5</v>
      </c>
      <c r="H642" s="6">
        <v>5</v>
      </c>
      <c r="I642" s="6">
        <v>5</v>
      </c>
      <c r="J642" s="6">
        <v>5</v>
      </c>
      <c r="K642" s="6" t="str">
        <f>IF(A642=Calculator!B4,1+MAX(K641:K641),"")</f>
        <v/>
      </c>
      <c r="L642" s="6"/>
      <c r="M642" s="6"/>
    </row>
    <row r="643" spans="1:16" x14ac:dyDescent="0.25">
      <c r="A643" s="6" t="s">
        <v>923</v>
      </c>
      <c r="B643" s="6" t="s">
        <v>953</v>
      </c>
      <c r="C643" s="6">
        <v>25</v>
      </c>
      <c r="D643" s="6">
        <v>25</v>
      </c>
      <c r="E643" s="6">
        <v>12</v>
      </c>
      <c r="F643" s="6">
        <v>5</v>
      </c>
      <c r="G643" s="6">
        <v>5</v>
      </c>
      <c r="H643" s="6">
        <v>5</v>
      </c>
      <c r="I643" s="6">
        <v>5</v>
      </c>
      <c r="J643" s="6">
        <v>5</v>
      </c>
      <c r="K643" s="6" t="str">
        <f>IF(A643=Calculator!B4,1+MAX(K642:K642),"")</f>
        <v/>
      </c>
      <c r="L643" s="6"/>
      <c r="M643" s="6"/>
      <c r="O643" t="s">
        <v>676</v>
      </c>
    </row>
    <row r="644" spans="1:16" x14ac:dyDescent="0.25">
      <c r="A644" s="6" t="s">
        <v>923</v>
      </c>
      <c r="B644" s="6" t="s">
        <v>954</v>
      </c>
      <c r="C644" s="6">
        <v>50</v>
      </c>
      <c r="D644" s="6">
        <v>65</v>
      </c>
      <c r="E644" s="6">
        <v>15</v>
      </c>
      <c r="F644" s="6">
        <v>10</v>
      </c>
      <c r="G644" s="6">
        <v>10</v>
      </c>
      <c r="H644" s="6">
        <v>10</v>
      </c>
      <c r="I644" s="6">
        <v>10</v>
      </c>
      <c r="J644" s="6">
        <v>10</v>
      </c>
      <c r="K644" s="6" t="str">
        <f>IF(A644=Calculator!B4,1+MAX(K643:K643),"")</f>
        <v/>
      </c>
      <c r="L644" s="6"/>
      <c r="M644" s="6"/>
    </row>
    <row r="645" spans="1:16" x14ac:dyDescent="0.25">
      <c r="A645" s="6" t="s">
        <v>923</v>
      </c>
      <c r="B645" s="6" t="s">
        <v>955</v>
      </c>
      <c r="C645" s="6">
        <v>20</v>
      </c>
      <c r="D645" s="6">
        <v>20</v>
      </c>
      <c r="E645" s="6">
        <v>10</v>
      </c>
      <c r="F645" s="6">
        <v>15</v>
      </c>
      <c r="G645" s="6">
        <v>15</v>
      </c>
      <c r="H645" s="6">
        <v>15</v>
      </c>
      <c r="I645" s="6">
        <v>15</v>
      </c>
      <c r="J645" s="6">
        <v>15</v>
      </c>
      <c r="K645" s="6" t="str">
        <f>IF(A645=Calculator!B4,1+MAX(K644:K644),"")</f>
        <v/>
      </c>
      <c r="L645" s="6"/>
      <c r="M645" s="6"/>
    </row>
    <row r="646" spans="1:16" x14ac:dyDescent="0.25">
      <c r="A646" s="6" t="s">
        <v>923</v>
      </c>
      <c r="B646" s="6" t="s">
        <v>956</v>
      </c>
      <c r="C646" s="6">
        <v>25</v>
      </c>
      <c r="D646" s="6">
        <v>25</v>
      </c>
      <c r="E646" s="6">
        <v>12</v>
      </c>
      <c r="F646" s="6">
        <v>15</v>
      </c>
      <c r="G646" s="6">
        <v>15</v>
      </c>
      <c r="H646" s="6">
        <v>15</v>
      </c>
      <c r="I646" s="6">
        <v>15</v>
      </c>
      <c r="J646" s="6">
        <v>15</v>
      </c>
      <c r="K646" s="6" t="str">
        <f>IF(A646=Calculator!B4,1+MAX(K645:K645),"")</f>
        <v/>
      </c>
      <c r="L646" s="6"/>
      <c r="M646" s="6"/>
      <c r="O646" t="s">
        <v>676</v>
      </c>
    </row>
    <row r="647" spans="1:16" x14ac:dyDescent="0.25">
      <c r="A647" s="6" t="s">
        <v>923</v>
      </c>
      <c r="B647" s="6" t="s">
        <v>957</v>
      </c>
      <c r="C647" s="6">
        <v>50</v>
      </c>
      <c r="D647" s="6">
        <v>65</v>
      </c>
      <c r="E647" s="6">
        <v>15</v>
      </c>
      <c r="F647" s="6">
        <v>20</v>
      </c>
      <c r="G647" s="6">
        <v>20</v>
      </c>
      <c r="H647" s="6">
        <v>20</v>
      </c>
      <c r="I647" s="6">
        <v>20</v>
      </c>
      <c r="J647" s="6">
        <v>20</v>
      </c>
      <c r="K647" s="6" t="str">
        <f>IF(A647=Calculator!B4,1+MAX(K646:K646),"")</f>
        <v/>
      </c>
      <c r="L647" s="6"/>
      <c r="M647" s="6"/>
    </row>
    <row r="648" spans="1:16" x14ac:dyDescent="0.25">
      <c r="A648" s="6" t="s">
        <v>923</v>
      </c>
      <c r="B648" s="6" t="s">
        <v>533</v>
      </c>
      <c r="C648" s="6">
        <f>IF(Calculator!B8=FALSE,18,33)</f>
        <v>18</v>
      </c>
      <c r="D648" s="6">
        <f>IF(Calculator!B8=FALSE,34,45)</f>
        <v>34</v>
      </c>
      <c r="E648" s="6">
        <f>IF(Calculator!B8=FALSE,3,22)</f>
        <v>3</v>
      </c>
      <c r="F648" s="6">
        <v>1</v>
      </c>
      <c r="G648" s="6">
        <v>1</v>
      </c>
      <c r="H648" s="6">
        <v>1</v>
      </c>
      <c r="I648" s="6">
        <v>1</v>
      </c>
      <c r="J648" s="6">
        <v>1</v>
      </c>
      <c r="K648" s="6" t="str">
        <f>IF(A648=Calculator!B4,1+MAX(K647:K647),"")</f>
        <v/>
      </c>
      <c r="L648" s="6"/>
      <c r="M648" s="6" t="b">
        <v>1</v>
      </c>
    </row>
    <row r="649" spans="1:16" x14ac:dyDescent="0.25">
      <c r="A649" s="6" t="s">
        <v>923</v>
      </c>
      <c r="B649" s="6" t="s">
        <v>781</v>
      </c>
      <c r="C649" s="6">
        <f>IF(Calculator!B8=FALSE,20,34)</f>
        <v>20</v>
      </c>
      <c r="D649" s="6">
        <f>IF(Calculator!B8=FALSE,40,50)</f>
        <v>40</v>
      </c>
      <c r="E649" s="6">
        <f>IF(Calculator!B8=FALSE,7,25)</f>
        <v>7</v>
      </c>
      <c r="F649" s="6">
        <v>1</v>
      </c>
      <c r="G649" s="6">
        <v>1</v>
      </c>
      <c r="H649" s="6">
        <v>1</v>
      </c>
      <c r="I649" s="6">
        <v>1</v>
      </c>
      <c r="J649" s="6">
        <v>1</v>
      </c>
      <c r="K649" s="6" t="str">
        <f>IF(A649=Calculator!B4,1+MAX(K648:K648),"")</f>
        <v/>
      </c>
      <c r="L649" s="6"/>
      <c r="M649" s="6" t="b">
        <v>1</v>
      </c>
      <c r="O649" t="s">
        <v>676</v>
      </c>
      <c r="P649" t="s">
        <v>961</v>
      </c>
    </row>
    <row r="650" spans="1:16" x14ac:dyDescent="0.25">
      <c r="A650" s="6" t="s">
        <v>923</v>
      </c>
      <c r="B650" s="6" t="s">
        <v>958</v>
      </c>
      <c r="C650" s="6">
        <f>IF(Calculator!B8=FALSE,24,38)</f>
        <v>24</v>
      </c>
      <c r="D650" s="6">
        <f>IF(Calculator!B8=FALSE,55,61)</f>
        <v>55</v>
      </c>
      <c r="E650" s="6">
        <f>IF(Calculator!B8=FALSE,10,27)</f>
        <v>10</v>
      </c>
      <c r="F650" s="6">
        <v>3</v>
      </c>
      <c r="G650" s="6">
        <v>3</v>
      </c>
      <c r="H650" s="6">
        <v>3</v>
      </c>
      <c r="I650" s="6">
        <v>3</v>
      </c>
      <c r="J650" s="6">
        <v>3</v>
      </c>
      <c r="K650" s="6" t="str">
        <f>IF(A650=Calculator!B4,1+MAX(K649:K649),"")</f>
        <v/>
      </c>
      <c r="L650" s="6"/>
      <c r="M650" s="6" t="b">
        <v>1</v>
      </c>
    </row>
    <row r="651" spans="1:16" x14ac:dyDescent="0.25">
      <c r="A651" s="6" t="s">
        <v>923</v>
      </c>
      <c r="B651" s="6" t="s">
        <v>568</v>
      </c>
      <c r="C651" s="6">
        <f>IF(Calculator!B8=FALSE,21,35)</f>
        <v>21</v>
      </c>
      <c r="D651" s="6">
        <f>IF(Calculator!B8=FALSE,34,45)</f>
        <v>34</v>
      </c>
      <c r="E651" s="6">
        <f>IF(Calculator!B8=FALSE,15,31)</f>
        <v>15</v>
      </c>
      <c r="F651" s="6">
        <v>20</v>
      </c>
      <c r="G651" s="6">
        <v>20</v>
      </c>
      <c r="H651" s="6">
        <v>20</v>
      </c>
      <c r="I651" s="6">
        <v>20</v>
      </c>
      <c r="J651" s="6">
        <v>20</v>
      </c>
      <c r="K651" s="6" t="str">
        <f>IF(A651=Calculator!B4,1+MAX(K650:K650),"")</f>
        <v/>
      </c>
      <c r="L651" s="6"/>
      <c r="M651" s="6" t="b">
        <v>1</v>
      </c>
    </row>
    <row r="652" spans="1:16" x14ac:dyDescent="0.25">
      <c r="A652" s="6" t="s">
        <v>923</v>
      </c>
      <c r="B652" s="6" t="s">
        <v>959</v>
      </c>
      <c r="C652" s="6">
        <f>IF(Calculator!B8=FALSE,46,54)</f>
        <v>46</v>
      </c>
      <c r="D652" s="6">
        <f>IF(Calculator!B8=FALSE,40,50)</f>
        <v>40</v>
      </c>
      <c r="E652" s="6">
        <f>IF(Calculator!B8=FALSE,20,34)</f>
        <v>20</v>
      </c>
      <c r="F652" s="6">
        <v>20</v>
      </c>
      <c r="G652" s="6">
        <v>20</v>
      </c>
      <c r="H652" s="6">
        <v>20</v>
      </c>
      <c r="I652" s="6">
        <v>20</v>
      </c>
      <c r="J652" s="6">
        <v>20</v>
      </c>
      <c r="K652" s="6" t="str">
        <f>IF(A652=Calculator!B4,1+MAX(K651:K651),"")</f>
        <v/>
      </c>
      <c r="L652" s="6"/>
      <c r="M652" s="6" t="b">
        <v>1</v>
      </c>
      <c r="O652" t="s">
        <v>676</v>
      </c>
      <c r="P652" t="s">
        <v>961</v>
      </c>
    </row>
    <row r="653" spans="1:16" x14ac:dyDescent="0.25">
      <c r="A653" s="6" t="s">
        <v>923</v>
      </c>
      <c r="B653" s="6" t="s">
        <v>960</v>
      </c>
      <c r="C653" s="6">
        <f>IF(Calculator!B8=FALSE,65,68)</f>
        <v>65</v>
      </c>
      <c r="D653" s="6">
        <f>IF(Calculator!B8=FALSE,55,61)</f>
        <v>55</v>
      </c>
      <c r="E653" s="6">
        <f>IF(Calculator!B8=FALSE,10,27)</f>
        <v>10</v>
      </c>
      <c r="F653" s="6">
        <v>25</v>
      </c>
      <c r="G653" s="6">
        <v>25</v>
      </c>
      <c r="H653" s="6">
        <v>25</v>
      </c>
      <c r="I653" s="6">
        <v>25</v>
      </c>
      <c r="J653" s="6">
        <v>25</v>
      </c>
      <c r="K653" s="6" t="str">
        <f>IF(A653=Calculator!B4,1+MAX(K652:K652),"")</f>
        <v/>
      </c>
      <c r="L653" s="6"/>
      <c r="M653" s="6" t="b">
        <v>1</v>
      </c>
    </row>
    <row r="654" spans="1:16" x14ac:dyDescent="0.25">
      <c r="A654" s="6" t="s">
        <v>924</v>
      </c>
      <c r="B654" s="6" t="s">
        <v>502</v>
      </c>
      <c r="C654" s="6">
        <v>55</v>
      </c>
      <c r="D654" s="6">
        <v>57</v>
      </c>
      <c r="E654" s="6">
        <v>45</v>
      </c>
      <c r="F654" s="6">
        <v>0</v>
      </c>
      <c r="G654" s="6">
        <v>5</v>
      </c>
      <c r="H654" s="6">
        <v>0</v>
      </c>
      <c r="I654" s="6">
        <v>20</v>
      </c>
      <c r="J654" s="6">
        <v>0</v>
      </c>
      <c r="K654" s="6" t="str">
        <f>IF(A654=Calculator!B4,1+MAX(K653:K653),"")</f>
        <v/>
      </c>
      <c r="L654" s="6" t="s">
        <v>542</v>
      </c>
      <c r="M654" s="6"/>
    </row>
    <row r="655" spans="1:16" x14ac:dyDescent="0.25">
      <c r="A655" s="6" t="s">
        <v>924</v>
      </c>
      <c r="B655" s="6" t="s">
        <v>966</v>
      </c>
      <c r="C655" s="6">
        <v>60</v>
      </c>
      <c r="D655" s="6">
        <v>62</v>
      </c>
      <c r="E655" s="6">
        <v>50</v>
      </c>
      <c r="F655" s="6">
        <v>0</v>
      </c>
      <c r="G655" s="6">
        <v>5</v>
      </c>
      <c r="H655" s="6">
        <v>0</v>
      </c>
      <c r="I655" s="6">
        <v>20</v>
      </c>
      <c r="J655" s="6">
        <v>0</v>
      </c>
      <c r="K655" s="6" t="str">
        <f>IF(A655=Calculator!B4,1+MAX(K654:K654),"")</f>
        <v/>
      </c>
      <c r="L655" s="6"/>
      <c r="M655" s="6"/>
    </row>
    <row r="656" spans="1:16" x14ac:dyDescent="0.25">
      <c r="A656" s="6" t="s">
        <v>924</v>
      </c>
      <c r="B656" s="6" t="s">
        <v>529</v>
      </c>
      <c r="C656" s="6">
        <v>30</v>
      </c>
      <c r="D656" s="6">
        <v>35</v>
      </c>
      <c r="E656" s="6">
        <v>20</v>
      </c>
      <c r="F656" s="6">
        <v>0</v>
      </c>
      <c r="G656" s="6">
        <v>5</v>
      </c>
      <c r="H656" s="6">
        <v>0</v>
      </c>
      <c r="I656" s="6">
        <v>10</v>
      </c>
      <c r="J656" s="6">
        <v>0</v>
      </c>
      <c r="K656" s="6" t="str">
        <f>IF(A656=Calculator!B4,1+MAX(K655:K655),"")</f>
        <v/>
      </c>
      <c r="L656" s="6"/>
      <c r="M656" s="6"/>
    </row>
    <row r="657" spans="1:16" x14ac:dyDescent="0.25">
      <c r="A657" s="6" t="s">
        <v>924</v>
      </c>
      <c r="B657" s="6" t="s">
        <v>531</v>
      </c>
      <c r="C657" s="6">
        <f>IF(Calculator!B8=FALSE,38,53)</f>
        <v>38</v>
      </c>
      <c r="D657" s="6">
        <f>IF(Calculator!B8=FALSE,38,53)</f>
        <v>38</v>
      </c>
      <c r="E657" s="6">
        <f>IF(Calculator!B8=FALSE,30,47)</f>
        <v>30</v>
      </c>
      <c r="F657" s="6">
        <v>0</v>
      </c>
      <c r="G657" s="6">
        <v>5</v>
      </c>
      <c r="H657" s="6">
        <v>0</v>
      </c>
      <c r="I657" s="6">
        <v>10</v>
      </c>
      <c r="J657" s="6">
        <v>0</v>
      </c>
      <c r="K657" s="6" t="str">
        <f>IF(A657=Calculator!B4,1+MAX(K656:K656),"")</f>
        <v/>
      </c>
      <c r="L657" s="6"/>
      <c r="M657" s="6" t="b">
        <v>1</v>
      </c>
    </row>
    <row r="658" spans="1:16" x14ac:dyDescent="0.25">
      <c r="A658" s="6" t="s">
        <v>924</v>
      </c>
      <c r="B658" s="6" t="s">
        <v>964</v>
      </c>
      <c r="C658" s="6">
        <f>IF(Calculator!B8=FALSE,5,28)</f>
        <v>5</v>
      </c>
      <c r="D658" s="6">
        <f>IF(Calculator!B8=FALSE,5,28)</f>
        <v>5</v>
      </c>
      <c r="E658" s="6">
        <f>IF(Calculator!B8=FALSE,5,28)</f>
        <v>5</v>
      </c>
      <c r="F658" s="6">
        <v>0</v>
      </c>
      <c r="G658" s="6">
        <v>5</v>
      </c>
      <c r="H658" s="6">
        <v>0</v>
      </c>
      <c r="I658" s="6">
        <v>10</v>
      </c>
      <c r="J658" s="6">
        <v>0</v>
      </c>
      <c r="K658" s="6" t="str">
        <f>IF(A658=Calculator!B4,1+MAX(K657:K657),"")</f>
        <v/>
      </c>
      <c r="L658" s="6"/>
      <c r="M658" s="6" t="b">
        <v>1</v>
      </c>
    </row>
    <row r="659" spans="1:16" x14ac:dyDescent="0.25">
      <c r="A659" s="6" t="s">
        <v>924</v>
      </c>
      <c r="B659" s="6" t="s">
        <v>532</v>
      </c>
      <c r="C659" s="6">
        <f>IF(Calculator!B8=FALSE,21,40)</f>
        <v>21</v>
      </c>
      <c r="D659" s="6">
        <f>IF(Calculator!B8=FALSE,21,40)</f>
        <v>21</v>
      </c>
      <c r="E659" s="6">
        <f>IF(Calculator!B8=FALSE,15,36)</f>
        <v>15</v>
      </c>
      <c r="F659" s="6">
        <v>0</v>
      </c>
      <c r="G659" s="6">
        <v>5</v>
      </c>
      <c r="H659" s="6">
        <v>0</v>
      </c>
      <c r="I659" s="6">
        <v>10</v>
      </c>
      <c r="J659" s="6">
        <v>0</v>
      </c>
      <c r="K659" s="6" t="str">
        <f>IF(A659=Calculator!B4,1+MAX(K658:K658),"")</f>
        <v/>
      </c>
      <c r="L659" s="6"/>
      <c r="M659" s="6" t="b">
        <v>1</v>
      </c>
    </row>
    <row r="660" spans="1:16" x14ac:dyDescent="0.25">
      <c r="A660" s="6" t="s">
        <v>924</v>
      </c>
      <c r="B660" s="6" t="s">
        <v>533</v>
      </c>
      <c r="C660" s="6">
        <f>IF(Calculator!B8=FALSE,35,51)</f>
        <v>35</v>
      </c>
      <c r="D660" s="6">
        <f>IF(Calculator!B8=FALSE,32,49)</f>
        <v>32</v>
      </c>
      <c r="E660" s="6">
        <f>IF(Calculator!B8=FALSE,25,43)</f>
        <v>25</v>
      </c>
      <c r="F660" s="6">
        <v>0</v>
      </c>
      <c r="G660" s="6">
        <v>5</v>
      </c>
      <c r="H660" s="6">
        <v>0</v>
      </c>
      <c r="I660" s="6">
        <v>10</v>
      </c>
      <c r="J660" s="6">
        <v>0</v>
      </c>
      <c r="K660" s="6" t="str">
        <f>IF(A660=Calculator!B4,1+MAX(K659:K659),"")</f>
        <v/>
      </c>
      <c r="L660" s="6"/>
      <c r="M660" s="6" t="b">
        <v>1</v>
      </c>
      <c r="O660" t="s">
        <v>676</v>
      </c>
      <c r="P660" t="s">
        <v>961</v>
      </c>
    </row>
    <row r="661" spans="1:16" x14ac:dyDescent="0.25">
      <c r="A661" s="6" t="s">
        <v>924</v>
      </c>
      <c r="B661" s="6" t="s">
        <v>965</v>
      </c>
      <c r="C661" s="6">
        <f>IF(Calculator!B8=FALSE,47,60)</f>
        <v>47</v>
      </c>
      <c r="D661" s="6">
        <f>IF(Calculator!B8=FALSE,45,58)</f>
        <v>45</v>
      </c>
      <c r="E661" s="6">
        <f>IF(Calculator!B8=FALSE,51,63)</f>
        <v>51</v>
      </c>
      <c r="F661" s="6">
        <v>0</v>
      </c>
      <c r="G661" s="6">
        <v>5</v>
      </c>
      <c r="H661" s="6">
        <v>0</v>
      </c>
      <c r="I661" s="6">
        <v>10</v>
      </c>
      <c r="J661" s="6">
        <v>0</v>
      </c>
      <c r="K661" s="6" t="str">
        <f>IF(A661=Calculator!B4,1+MAX(K660:K660),"")</f>
        <v/>
      </c>
      <c r="L661" s="6"/>
      <c r="M661" s="6" t="b">
        <v>1</v>
      </c>
      <c r="O661" t="s">
        <v>676</v>
      </c>
      <c r="P661" t="s">
        <v>961</v>
      </c>
    </row>
    <row r="662" spans="1:16" x14ac:dyDescent="0.25">
      <c r="A662" s="6" t="s">
        <v>925</v>
      </c>
      <c r="B662" s="6" t="s">
        <v>660</v>
      </c>
      <c r="C662" s="6">
        <f>IF(Calculator!B8=FALSE,60,70)</f>
        <v>60</v>
      </c>
      <c r="D662" s="6">
        <f>IF(Calculator!B8=FALSE,65,73)</f>
        <v>65</v>
      </c>
      <c r="E662" s="6">
        <f>IF(Calculator!B8=FALSE,45,58)</f>
        <v>45</v>
      </c>
      <c r="F662" s="6">
        <v>0</v>
      </c>
      <c r="G662" s="6">
        <v>10</v>
      </c>
      <c r="H662" s="6">
        <v>10</v>
      </c>
      <c r="I662" s="6">
        <v>25</v>
      </c>
      <c r="J662" s="6">
        <v>5</v>
      </c>
      <c r="K662" s="6" t="str">
        <f>IF(A662=Calculator!B4,1+MAX(K661:K661),"")</f>
        <v/>
      </c>
      <c r="L662" s="6" t="s">
        <v>542</v>
      </c>
      <c r="M662" s="6" t="b">
        <v>1</v>
      </c>
    </row>
    <row r="663" spans="1:16" x14ac:dyDescent="0.25">
      <c r="A663" s="6" t="s">
        <v>925</v>
      </c>
      <c r="B663" s="6" t="s">
        <v>967</v>
      </c>
      <c r="C663" s="6">
        <f>IF(Calculator!B8=FALSE,75,81)</f>
        <v>75</v>
      </c>
      <c r="D663" s="6">
        <f>IF(Calculator!B8=FALSE,75,81)</f>
        <v>75</v>
      </c>
      <c r="E663" s="6">
        <f>IF(Calculator!B8=FALSE,10,32)</f>
        <v>10</v>
      </c>
      <c r="F663" s="6">
        <v>0</v>
      </c>
      <c r="G663" s="6">
        <v>20</v>
      </c>
      <c r="H663" s="6">
        <v>0</v>
      </c>
      <c r="I663" s="6">
        <v>5</v>
      </c>
      <c r="J663" s="6">
        <v>0</v>
      </c>
      <c r="K663" s="6" t="str">
        <f>IF(A663=Calculator!B4,1+MAX(K662:K662),"")</f>
        <v/>
      </c>
      <c r="L663" s="6"/>
      <c r="M663" s="6" t="b">
        <v>1</v>
      </c>
    </row>
    <row r="664" spans="1:16" x14ac:dyDescent="0.25">
      <c r="A664" s="6" t="s">
        <v>925</v>
      </c>
      <c r="B664" s="6" t="s">
        <v>502</v>
      </c>
      <c r="C664" s="6">
        <f>IF(Calculator!B8=FALSE,60,70)</f>
        <v>60</v>
      </c>
      <c r="D664" s="6">
        <f>IF(Calculator!B8=FALSE,65,73)</f>
        <v>65</v>
      </c>
      <c r="E664" s="6">
        <f>IF(Calculator!B8=FALSE,50,62)</f>
        <v>50</v>
      </c>
      <c r="F664" s="6">
        <v>0</v>
      </c>
      <c r="G664" s="6">
        <v>5</v>
      </c>
      <c r="H664" s="6">
        <v>10</v>
      </c>
      <c r="I664" s="6">
        <v>15</v>
      </c>
      <c r="J664" s="6">
        <v>5</v>
      </c>
      <c r="K664" s="6" t="str">
        <f>IF(A664=Calculator!B4,1+MAX(K663:K663),"")</f>
        <v/>
      </c>
      <c r="L664" s="6"/>
      <c r="M664" s="6" t="b">
        <v>1</v>
      </c>
    </row>
    <row r="665" spans="1:16" x14ac:dyDescent="0.25">
      <c r="A665" s="6" t="s">
        <v>925</v>
      </c>
      <c r="B665" s="6" t="s">
        <v>528</v>
      </c>
      <c r="C665" s="6">
        <f>IF(Calculator!B8=FALSE,32,49)</f>
        <v>32</v>
      </c>
      <c r="D665" s="6">
        <f>IF(Calculator!B8=FALSE,32,49)</f>
        <v>32</v>
      </c>
      <c r="E665" s="6">
        <f>IF(Calculator!B8=FALSE,30,47)</f>
        <v>30</v>
      </c>
      <c r="F665" s="6">
        <v>0</v>
      </c>
      <c r="G665" s="6">
        <v>5</v>
      </c>
      <c r="H665" s="6">
        <v>5</v>
      </c>
      <c r="I665" s="6">
        <v>10</v>
      </c>
      <c r="J665" s="6">
        <v>5</v>
      </c>
      <c r="K665" s="6" t="str">
        <f>IF(A665=Calculator!B4,1+MAX(K664:K664),"")</f>
        <v/>
      </c>
      <c r="L665" s="6"/>
      <c r="M665" s="6" t="b">
        <v>1</v>
      </c>
    </row>
    <row r="666" spans="1:16" x14ac:dyDescent="0.25">
      <c r="A666" s="6" t="s">
        <v>925</v>
      </c>
      <c r="B666" s="6" t="s">
        <v>529</v>
      </c>
      <c r="C666" s="6">
        <v>32</v>
      </c>
      <c r="D666" s="6">
        <v>32</v>
      </c>
      <c r="E666" s="6">
        <v>30</v>
      </c>
      <c r="F666" s="6">
        <v>0</v>
      </c>
      <c r="G666" s="6">
        <v>10</v>
      </c>
      <c r="H666" s="6">
        <v>5</v>
      </c>
      <c r="I666" s="6">
        <v>15</v>
      </c>
      <c r="J666" s="6">
        <v>0</v>
      </c>
      <c r="K666" s="6" t="str">
        <f>IF(A666=Calculator!B4,1+MAX(K665:K665),"")</f>
        <v/>
      </c>
      <c r="L666" s="6"/>
      <c r="M666" s="6"/>
    </row>
    <row r="667" spans="1:16" x14ac:dyDescent="0.25">
      <c r="A667" s="6" t="s">
        <v>925</v>
      </c>
      <c r="B667" s="6" t="s">
        <v>504</v>
      </c>
      <c r="C667" s="6">
        <f>IF(Calculator!B8=FALSE,55,66)</f>
        <v>55</v>
      </c>
      <c r="D667" s="6">
        <f>IF(Calculator!B8=FALSE,50,62)</f>
        <v>50</v>
      </c>
      <c r="E667" s="6">
        <f>IF(Calculator!B8=FALSE,45,58)</f>
        <v>45</v>
      </c>
      <c r="F667" s="6">
        <v>0</v>
      </c>
      <c r="G667" s="6">
        <v>10</v>
      </c>
      <c r="H667" s="6">
        <v>5</v>
      </c>
      <c r="I667" s="6">
        <v>25</v>
      </c>
      <c r="J667" s="6">
        <v>0</v>
      </c>
      <c r="K667" s="6" t="str">
        <f>IF(A667=Calculator!B4,1+MAX(K666:K666),"")</f>
        <v/>
      </c>
      <c r="L667" s="6"/>
      <c r="M667" s="6" t="b">
        <v>1</v>
      </c>
    </row>
    <row r="668" spans="1:16" x14ac:dyDescent="0.25">
      <c r="A668" s="6" t="s">
        <v>925</v>
      </c>
      <c r="B668" s="6" t="s">
        <v>969</v>
      </c>
      <c r="C668" s="6">
        <f>IF(Calculator!B8=FALSE,75,81)</f>
        <v>75</v>
      </c>
      <c r="D668" s="6">
        <f>IF(Calculator!B8=FALSE,75,81)</f>
        <v>75</v>
      </c>
      <c r="E668" s="6">
        <f>IF(Calculator!B8=FALSE,10,32)</f>
        <v>10</v>
      </c>
      <c r="F668" s="6">
        <v>0</v>
      </c>
      <c r="G668" s="6">
        <v>20</v>
      </c>
      <c r="H668" s="6">
        <v>0</v>
      </c>
      <c r="I668" s="6">
        <v>5</v>
      </c>
      <c r="J668" s="6">
        <v>0</v>
      </c>
      <c r="K668" s="6" t="str">
        <f>IF(A668=Calculator!B4,1+MAX(K667:K667),"")</f>
        <v/>
      </c>
      <c r="L668" s="6"/>
      <c r="M668" s="6" t="b">
        <v>1</v>
      </c>
    </row>
    <row r="669" spans="1:16" x14ac:dyDescent="0.25">
      <c r="A669" s="6" t="s">
        <v>925</v>
      </c>
      <c r="B669" s="6" t="s">
        <v>505</v>
      </c>
      <c r="C669" s="6">
        <f>IF(Calculator!B8=FALSE,32,49)</f>
        <v>32</v>
      </c>
      <c r="D669" s="6">
        <f>IF(Calculator!B8=FALSE,32,49)</f>
        <v>32</v>
      </c>
      <c r="E669" s="6">
        <f>IF(Calculator!B8=FALSE,30,47)</f>
        <v>30</v>
      </c>
      <c r="F669" s="6">
        <v>0</v>
      </c>
      <c r="G669" s="6">
        <v>5</v>
      </c>
      <c r="H669" s="6">
        <v>5</v>
      </c>
      <c r="I669" s="6">
        <v>10</v>
      </c>
      <c r="J669" s="6">
        <v>0</v>
      </c>
      <c r="K669" s="6" t="str">
        <f>IF(A669=Calculator!B4,1+MAX(K668:K668),"")</f>
        <v/>
      </c>
      <c r="L669" s="6"/>
      <c r="M669" s="6" t="b">
        <v>1</v>
      </c>
    </row>
    <row r="670" spans="1:16" x14ac:dyDescent="0.25">
      <c r="A670" s="6" t="s">
        <v>925</v>
      </c>
      <c r="B670" s="6" t="s">
        <v>533</v>
      </c>
      <c r="C670" s="6">
        <f>IF(Calculator!B8=FALSE,50,62)</f>
        <v>50</v>
      </c>
      <c r="D670" s="6">
        <f>IF(Calculator!B8=FALSE,45,58)</f>
        <v>45</v>
      </c>
      <c r="E670" s="6">
        <f>IF(Calculator!B8=FALSE,55,66)</f>
        <v>55</v>
      </c>
      <c r="F670" s="6">
        <v>0</v>
      </c>
      <c r="G670" s="6">
        <v>10</v>
      </c>
      <c r="H670" s="6">
        <v>10</v>
      </c>
      <c r="I670" s="6">
        <v>15</v>
      </c>
      <c r="J670" s="6">
        <v>5</v>
      </c>
      <c r="K670" s="6" t="str">
        <f>IF(A670=Calculator!B4,1+MAX(K669:K669),"")</f>
        <v/>
      </c>
      <c r="L670" s="6"/>
      <c r="M670" s="6" t="b">
        <v>1</v>
      </c>
    </row>
    <row r="671" spans="1:16" x14ac:dyDescent="0.25">
      <c r="A671" s="6" t="s">
        <v>925</v>
      </c>
      <c r="B671" s="6" t="s">
        <v>568</v>
      </c>
      <c r="C671" s="6">
        <f>IF(Calculator!B8=FALSE,18,38)</f>
        <v>18</v>
      </c>
      <c r="D671" s="6">
        <f>IF(Calculator!B8=FALSE,30,47)</f>
        <v>30</v>
      </c>
      <c r="E671" s="6">
        <f>IF(Calculator!B8=FALSE,10,32)</f>
        <v>10</v>
      </c>
      <c r="F671" s="6">
        <v>0</v>
      </c>
      <c r="G671" s="6">
        <v>10</v>
      </c>
      <c r="H671" s="6">
        <v>5</v>
      </c>
      <c r="I671" s="6">
        <v>25</v>
      </c>
      <c r="J671" s="6">
        <v>10</v>
      </c>
      <c r="K671" s="6" t="str">
        <f>IF(A671=Calculator!B4,1+MAX(K670:K670),"")</f>
        <v/>
      </c>
      <c r="L671" s="6"/>
      <c r="M671" s="6" t="b">
        <v>1</v>
      </c>
    </row>
    <row r="672" spans="1:16" x14ac:dyDescent="0.25">
      <c r="A672" s="6" t="s">
        <v>925</v>
      </c>
      <c r="B672" s="6" t="s">
        <v>968</v>
      </c>
      <c r="C672" s="6">
        <f>IF(Calculator!B8=FALSE,75,81)</f>
        <v>75</v>
      </c>
      <c r="D672" s="6">
        <f>IF(Calculator!B8=FALSE,75,81)</f>
        <v>75</v>
      </c>
      <c r="E672" s="6">
        <f>IF(Calculator!B8=FALSE,10,32)</f>
        <v>10</v>
      </c>
      <c r="F672" s="6">
        <v>0</v>
      </c>
      <c r="G672" s="6">
        <v>20</v>
      </c>
      <c r="H672" s="6">
        <v>0</v>
      </c>
      <c r="I672" s="6">
        <v>5</v>
      </c>
      <c r="J672" s="6">
        <v>0</v>
      </c>
      <c r="K672" s="6" t="str">
        <f>IF(A672=Calculator!B4,1+MAX(K671:K671),"")</f>
        <v/>
      </c>
      <c r="L672" s="6"/>
      <c r="M672" s="6" t="b">
        <v>1</v>
      </c>
    </row>
    <row r="673" spans="1:13" x14ac:dyDescent="0.25">
      <c r="A673" s="6" t="s">
        <v>926</v>
      </c>
      <c r="B673" s="6" t="s">
        <v>502</v>
      </c>
      <c r="C673" s="6">
        <f>IF(Calculator!B8=FALSE,65,73)</f>
        <v>65</v>
      </c>
      <c r="D673" s="6">
        <f>IF(Calculator!B8=FALSE,70,77)</f>
        <v>70</v>
      </c>
      <c r="E673" s="6">
        <f>IF(Calculator!B8=FALSE,55,66)</f>
        <v>55</v>
      </c>
      <c r="F673" s="6">
        <v>20</v>
      </c>
      <c r="G673" s="6">
        <v>10</v>
      </c>
      <c r="H673" s="6">
        <v>15</v>
      </c>
      <c r="I673" s="6">
        <v>0</v>
      </c>
      <c r="J673" s="6">
        <v>15</v>
      </c>
      <c r="K673" s="6" t="str">
        <f>IF(A673=Calculator!B4,1+MAX(K672:K672),"")</f>
        <v/>
      </c>
      <c r="L673" s="6" t="s">
        <v>542</v>
      </c>
      <c r="M673" s="6" t="b">
        <v>1</v>
      </c>
    </row>
    <row r="674" spans="1:13" x14ac:dyDescent="0.25">
      <c r="A674" s="6" t="s">
        <v>926</v>
      </c>
      <c r="B674" s="6" t="s">
        <v>567</v>
      </c>
      <c r="C674" s="6">
        <v>38</v>
      </c>
      <c r="D674" s="6">
        <v>38</v>
      </c>
      <c r="E674" s="6">
        <v>25</v>
      </c>
      <c r="F674" s="6">
        <v>10</v>
      </c>
      <c r="G674" s="6">
        <v>0</v>
      </c>
      <c r="H674" s="6">
        <v>5</v>
      </c>
      <c r="I674" s="6">
        <v>0</v>
      </c>
      <c r="J674" s="6">
        <v>5</v>
      </c>
      <c r="K674" s="6" t="str">
        <f>IF(A674=Calculator!B4,1+MAX(K673:K673),"")</f>
        <v/>
      </c>
      <c r="L674" s="6"/>
      <c r="M674" s="6"/>
    </row>
    <row r="675" spans="1:13" x14ac:dyDescent="0.25">
      <c r="A675" s="6" t="s">
        <v>926</v>
      </c>
      <c r="B675" s="6" t="s">
        <v>530</v>
      </c>
      <c r="C675" s="6">
        <v>30</v>
      </c>
      <c r="D675" s="6">
        <v>30</v>
      </c>
      <c r="E675" s="6">
        <v>25</v>
      </c>
      <c r="F675" s="6">
        <v>5</v>
      </c>
      <c r="G675" s="6">
        <v>5</v>
      </c>
      <c r="H675" s="6">
        <v>5</v>
      </c>
      <c r="I675" s="6">
        <v>0</v>
      </c>
      <c r="J675" s="6">
        <v>5</v>
      </c>
      <c r="K675" s="6" t="str">
        <f>IF(A675=Calculator!B4,1+MAX(K674:K674),"")</f>
        <v/>
      </c>
      <c r="L675" s="6"/>
      <c r="M675" s="6"/>
    </row>
    <row r="676" spans="1:13" x14ac:dyDescent="0.25">
      <c r="A676" s="6" t="s">
        <v>926</v>
      </c>
      <c r="B676" s="6" t="s">
        <v>531</v>
      </c>
      <c r="C676" s="6">
        <f>IF(Calculator!B8=FALSE,40,55)</f>
        <v>40</v>
      </c>
      <c r="D676" s="6">
        <f>IF(Calculator!B8=FALSE,45,58)</f>
        <v>45</v>
      </c>
      <c r="E676" s="6">
        <f>IF(Calculator!B8=FALSE,35,51)</f>
        <v>35</v>
      </c>
      <c r="F676" s="6">
        <v>15</v>
      </c>
      <c r="G676" s="6">
        <v>0</v>
      </c>
      <c r="H676" s="6">
        <v>10</v>
      </c>
      <c r="I676" s="6">
        <v>0</v>
      </c>
      <c r="J676" s="6">
        <v>5</v>
      </c>
      <c r="K676" s="6" t="str">
        <f>IF(A676=Calculator!B4,1+MAX(K675:K675),"")</f>
        <v/>
      </c>
      <c r="L676" s="6"/>
      <c r="M676" s="6" t="b">
        <v>1</v>
      </c>
    </row>
    <row r="677" spans="1:13" x14ac:dyDescent="0.25">
      <c r="A677" s="6" t="s">
        <v>926</v>
      </c>
      <c r="B677" s="6" t="s">
        <v>760</v>
      </c>
      <c r="C677" s="6">
        <f>IF(Calculator!B8=FALSE,21,40)</f>
        <v>21</v>
      </c>
      <c r="D677" s="6">
        <f>IF(Calculator!B8=FALSE,45,58)</f>
        <v>45</v>
      </c>
      <c r="E677" s="6">
        <f>IF(Calculator!B8=FALSE,25,43)</f>
        <v>25</v>
      </c>
      <c r="F677" s="6">
        <v>35</v>
      </c>
      <c r="G677" s="6">
        <v>5</v>
      </c>
      <c r="H677" s="6">
        <v>25</v>
      </c>
      <c r="I677" s="6">
        <v>0</v>
      </c>
      <c r="J677" s="6">
        <v>10</v>
      </c>
      <c r="K677" s="6" t="str">
        <f>IF(A677=Calculator!B4,1+MAX(K676:K676),"")</f>
        <v/>
      </c>
      <c r="L677" s="6"/>
      <c r="M677" s="6" t="b">
        <v>1</v>
      </c>
    </row>
    <row r="678" spans="1:13" x14ac:dyDescent="0.25">
      <c r="A678" s="6" t="s">
        <v>926</v>
      </c>
      <c r="B678" s="6" t="s">
        <v>761</v>
      </c>
      <c r="C678" s="6">
        <f>IF(Calculator!B8=FALSE,25,43)</f>
        <v>25</v>
      </c>
      <c r="D678" s="6">
        <f>IF(Calculator!B8=FALSE,45,58)</f>
        <v>45</v>
      </c>
      <c r="E678" s="6">
        <f>IF(Calculator!B8=FALSE,30,47)</f>
        <v>30</v>
      </c>
      <c r="F678" s="6">
        <v>20</v>
      </c>
      <c r="G678" s="6">
        <v>5</v>
      </c>
      <c r="H678" s="6">
        <v>15</v>
      </c>
      <c r="I678" s="6">
        <v>0</v>
      </c>
      <c r="J678" s="6">
        <v>10</v>
      </c>
      <c r="K678" s="6" t="str">
        <f>IF(A678=Calculator!B4,1+MAX(K677:K677),"")</f>
        <v/>
      </c>
      <c r="L678" s="6"/>
      <c r="M678" s="6" t="b">
        <v>1</v>
      </c>
    </row>
    <row r="679" spans="1:13" x14ac:dyDescent="0.25">
      <c r="A679" s="6" t="s">
        <v>926</v>
      </c>
      <c r="B679" s="6" t="s">
        <v>532</v>
      </c>
      <c r="C679" s="6">
        <v>25</v>
      </c>
      <c r="D679" s="6">
        <v>24</v>
      </c>
      <c r="E679" s="6">
        <v>25</v>
      </c>
      <c r="F679" s="6">
        <v>5</v>
      </c>
      <c r="G679" s="6">
        <v>5</v>
      </c>
      <c r="H679" s="6">
        <v>5</v>
      </c>
      <c r="I679" s="6">
        <v>0</v>
      </c>
      <c r="J679" s="6">
        <v>5</v>
      </c>
      <c r="K679" s="6" t="str">
        <f>IF(A679=Calculator!B4,1+MAX(K678:K678),"")</f>
        <v/>
      </c>
      <c r="L679" s="6"/>
      <c r="M679" s="6"/>
    </row>
    <row r="680" spans="1:13" x14ac:dyDescent="0.25">
      <c r="A680" s="6" t="s">
        <v>926</v>
      </c>
      <c r="B680" s="6" t="s">
        <v>548</v>
      </c>
      <c r="C680" s="6">
        <f>IF(Calculator!B8=FALSE,30,47)</f>
        <v>30</v>
      </c>
      <c r="D680" s="6">
        <f>IF(Calculator!B8=FALSE,45,58)</f>
        <v>45</v>
      </c>
      <c r="E680" s="6">
        <f>IF(Calculator!B8=FALSE,20,40)</f>
        <v>20</v>
      </c>
      <c r="F680" s="6">
        <v>10</v>
      </c>
      <c r="G680" s="6">
        <v>0</v>
      </c>
      <c r="H680" s="6">
        <v>5</v>
      </c>
      <c r="I680" s="6">
        <v>0</v>
      </c>
      <c r="J680" s="6">
        <v>5</v>
      </c>
      <c r="K680" s="6" t="str">
        <f>IF(A680=Calculator!B4,1+MAX(K679:K679),"")</f>
        <v/>
      </c>
      <c r="L680" s="6"/>
      <c r="M680" s="6" t="b">
        <v>1</v>
      </c>
    </row>
    <row r="681" spans="1:13" x14ac:dyDescent="0.25">
      <c r="A681" s="6" t="s">
        <v>926</v>
      </c>
      <c r="B681" s="6" t="s">
        <v>533</v>
      </c>
      <c r="C681" s="6">
        <f>IF(Calculator!B8=FALSE,45,58)</f>
        <v>45</v>
      </c>
      <c r="D681" s="6">
        <f>IF(Calculator!B8=FALSE,23,42)</f>
        <v>23</v>
      </c>
      <c r="E681" s="6">
        <f>IF(Calculator!B8=FALSE,45,58)</f>
        <v>45</v>
      </c>
      <c r="F681" s="6">
        <v>10</v>
      </c>
      <c r="G681" s="6">
        <v>0</v>
      </c>
      <c r="H681" s="6">
        <v>5</v>
      </c>
      <c r="I681" s="6">
        <v>0</v>
      </c>
      <c r="J681" s="6">
        <v>5</v>
      </c>
      <c r="K681" s="6" t="str">
        <f>IF(A681=Calculator!B4,1+MAX(K680:K680),"")</f>
        <v/>
      </c>
      <c r="L681" s="6"/>
      <c r="M681" s="6" t="b">
        <v>1</v>
      </c>
    </row>
    <row r="682" spans="1:13" x14ac:dyDescent="0.25">
      <c r="A682" s="6" t="s">
        <v>926</v>
      </c>
      <c r="B682" s="6" t="s">
        <v>568</v>
      </c>
      <c r="C682" s="6">
        <f>IF(Calculator!B8=FALSE,60,70)</f>
        <v>60</v>
      </c>
      <c r="D682" s="6">
        <f>IF(Calculator!B8=FALSE,40,55)</f>
        <v>40</v>
      </c>
      <c r="E682" s="6">
        <f>IF(Calculator!B8=FALSE,40,55)</f>
        <v>40</v>
      </c>
      <c r="F682" s="6">
        <v>15</v>
      </c>
      <c r="G682" s="6">
        <v>0</v>
      </c>
      <c r="H682" s="6">
        <v>10</v>
      </c>
      <c r="I682" s="6">
        <v>0</v>
      </c>
      <c r="J682" s="6">
        <v>5</v>
      </c>
      <c r="K682" s="6" t="str">
        <f>IF(A682=Calculator!B4,1+MAX(K681:K681),"")</f>
        <v/>
      </c>
      <c r="L682" s="6"/>
      <c r="M682" s="6" t="b">
        <v>1</v>
      </c>
    </row>
    <row r="683" spans="1:13" x14ac:dyDescent="0.25">
      <c r="A683" s="6" t="s">
        <v>930</v>
      </c>
      <c r="B683" s="6" t="s">
        <v>970</v>
      </c>
      <c r="C683" s="6">
        <f>IF(Calculator!B8=FALSE,85,88)</f>
        <v>85</v>
      </c>
      <c r="D683" s="6">
        <f>IF(Calculator!B8=FALSE,85,88)</f>
        <v>85</v>
      </c>
      <c r="E683" s="6">
        <f>IF(Calculator!B8=FALSE,30,47)</f>
        <v>30</v>
      </c>
      <c r="F683" s="6">
        <v>0</v>
      </c>
      <c r="G683" s="6">
        <v>10</v>
      </c>
      <c r="H683" s="6">
        <v>3</v>
      </c>
      <c r="I683" s="6">
        <v>14</v>
      </c>
      <c r="J683" s="6">
        <v>1</v>
      </c>
      <c r="K683" s="6" t="str">
        <f>IF(A683=Calculator!B4,1+MAX(K682:K682),"")</f>
        <v/>
      </c>
      <c r="L683" s="6"/>
      <c r="M683" s="6" t="b">
        <v>1</v>
      </c>
    </row>
    <row r="684" spans="1:13" x14ac:dyDescent="0.25">
      <c r="A684" s="6" t="s">
        <v>930</v>
      </c>
      <c r="B684" s="6" t="s">
        <v>975</v>
      </c>
      <c r="C684" s="6">
        <f>IF(Calculator!B8=FALSE,85,88)</f>
        <v>85</v>
      </c>
      <c r="D684" s="6">
        <f>IF(Calculator!B8=FALSE,85,88)</f>
        <v>85</v>
      </c>
      <c r="E684" s="6">
        <f>IF(Calculator!B8=FALSE,30,47)</f>
        <v>30</v>
      </c>
      <c r="F684" s="6">
        <v>14</v>
      </c>
      <c r="G684" s="6">
        <v>3</v>
      </c>
      <c r="H684" s="6">
        <v>10</v>
      </c>
      <c r="I684" s="6">
        <v>0</v>
      </c>
      <c r="J684" s="6">
        <v>1</v>
      </c>
      <c r="K684" s="6" t="str">
        <f>IF(A684=Calculator!B4,1+MAX(K683:K683),"")</f>
        <v/>
      </c>
      <c r="L684" s="6"/>
      <c r="M684" s="6" t="b">
        <v>1</v>
      </c>
    </row>
    <row r="685" spans="1:13" x14ac:dyDescent="0.25">
      <c r="A685" s="6" t="s">
        <v>930</v>
      </c>
      <c r="B685" s="6" t="s">
        <v>980</v>
      </c>
      <c r="C685" s="6">
        <f>IF(Calculator!B8=FALSE,85,88)</f>
        <v>85</v>
      </c>
      <c r="D685" s="6">
        <f>IF(Calculator!B8=FALSE,85,88)</f>
        <v>85</v>
      </c>
      <c r="E685" s="6">
        <f>IF(Calculator!B8=FALSE,30,47)</f>
        <v>30</v>
      </c>
      <c r="F685" s="6">
        <v>6</v>
      </c>
      <c r="G685" s="6">
        <v>5</v>
      </c>
      <c r="H685" s="6">
        <v>5</v>
      </c>
      <c r="I685" s="6">
        <v>6</v>
      </c>
      <c r="J685" s="6">
        <v>9</v>
      </c>
      <c r="K685" s="6" t="str">
        <f>IF(A685=Calculator!B4,1+MAX(K684:K684),"")</f>
        <v/>
      </c>
      <c r="L685" s="6"/>
      <c r="M685" s="6" t="b">
        <v>1</v>
      </c>
    </row>
    <row r="686" spans="1:13" x14ac:dyDescent="0.25">
      <c r="A686" s="6" t="s">
        <v>930</v>
      </c>
      <c r="B686" s="6" t="s">
        <v>985</v>
      </c>
      <c r="C686" s="6">
        <f>IF(Calculator!B8=FALSE,85,88)</f>
        <v>85</v>
      </c>
      <c r="D686" s="6">
        <f>IF(Calculator!B8=FALSE,85,88)</f>
        <v>85</v>
      </c>
      <c r="E686" s="6">
        <f>IF(Calculator!B8=FALSE,30,47)</f>
        <v>30</v>
      </c>
      <c r="F686" s="6">
        <v>13</v>
      </c>
      <c r="G686" s="6">
        <v>10</v>
      </c>
      <c r="H686" s="6">
        <v>10</v>
      </c>
      <c r="I686" s="6">
        <v>13</v>
      </c>
      <c r="J686" s="6">
        <v>13</v>
      </c>
      <c r="K686" s="6" t="str">
        <f>IF(A686=Calculator!B4,1+MAX(K685:K685),"")</f>
        <v/>
      </c>
      <c r="M686" s="6" t="b">
        <v>1</v>
      </c>
    </row>
    <row r="687" spans="1:13" x14ac:dyDescent="0.25">
      <c r="A687" s="6" t="s">
        <v>930</v>
      </c>
      <c r="B687" s="6" t="s">
        <v>971</v>
      </c>
      <c r="C687" s="6">
        <f>IF(Calculator!B8=FALSE,85,88)</f>
        <v>85</v>
      </c>
      <c r="D687" s="6">
        <f>IF(Calculator!B8=FALSE,85,88)</f>
        <v>85</v>
      </c>
      <c r="E687" s="6">
        <f>IF(Calculator!B8=FALSE,30,47)</f>
        <v>30</v>
      </c>
      <c r="F687" s="6">
        <v>0</v>
      </c>
      <c r="G687" s="6">
        <v>10</v>
      </c>
      <c r="H687" s="6">
        <v>3</v>
      </c>
      <c r="I687" s="6">
        <v>14</v>
      </c>
      <c r="J687" s="6">
        <v>1</v>
      </c>
      <c r="K687" s="6" t="str">
        <f>IF(A687=Calculator!B4,1+MAX(K686:K686),"")</f>
        <v/>
      </c>
      <c r="L687" s="6"/>
      <c r="M687" s="6" t="b">
        <v>1</v>
      </c>
    </row>
    <row r="688" spans="1:13" x14ac:dyDescent="0.25">
      <c r="A688" s="6" t="s">
        <v>930</v>
      </c>
      <c r="B688" s="6" t="s">
        <v>976</v>
      </c>
      <c r="C688" s="6">
        <f>IF(Calculator!B8=FALSE,85,88)</f>
        <v>85</v>
      </c>
      <c r="D688" s="6">
        <f>IF(Calculator!B8=FALSE,85,88)</f>
        <v>85</v>
      </c>
      <c r="E688" s="6">
        <f>IF(Calculator!B8=FALSE,30,47)</f>
        <v>30</v>
      </c>
      <c r="F688" s="6">
        <v>14</v>
      </c>
      <c r="G688" s="6">
        <v>3</v>
      </c>
      <c r="H688" s="6">
        <v>10</v>
      </c>
      <c r="I688" s="6">
        <v>0</v>
      </c>
      <c r="J688" s="6">
        <v>1</v>
      </c>
      <c r="K688" s="6" t="str">
        <f>IF(A688=Calculator!B4,1+MAX(K687:K687),"")</f>
        <v/>
      </c>
      <c r="L688" s="6"/>
      <c r="M688" s="6" t="b">
        <v>1</v>
      </c>
    </row>
    <row r="689" spans="1:13" x14ac:dyDescent="0.25">
      <c r="A689" s="6" t="s">
        <v>930</v>
      </c>
      <c r="B689" s="6" t="s">
        <v>981</v>
      </c>
      <c r="C689" s="6">
        <f>IF(Calculator!B8=FALSE,85,88)</f>
        <v>85</v>
      </c>
      <c r="D689" s="6">
        <f>IF(Calculator!B8=FALSE,85,88)</f>
        <v>85</v>
      </c>
      <c r="E689" s="6">
        <f>IF(Calculator!B8=FALSE,30,47)</f>
        <v>30</v>
      </c>
      <c r="F689" s="6">
        <v>6</v>
      </c>
      <c r="G689" s="6">
        <v>5</v>
      </c>
      <c r="H689" s="6">
        <v>5</v>
      </c>
      <c r="I689" s="6">
        <v>6</v>
      </c>
      <c r="J689" s="6">
        <v>9</v>
      </c>
      <c r="K689" s="6" t="str">
        <f>IF(A689=Calculator!B4,1+MAX(K688:K688),"")</f>
        <v/>
      </c>
      <c r="L689" s="6"/>
      <c r="M689" s="6" t="b">
        <v>1</v>
      </c>
    </row>
    <row r="690" spans="1:13" x14ac:dyDescent="0.25">
      <c r="A690" s="6" t="s">
        <v>930</v>
      </c>
      <c r="B690" s="6" t="s">
        <v>986</v>
      </c>
      <c r="C690" s="6">
        <f>IF(Calculator!B8=FALSE,85,88)</f>
        <v>85</v>
      </c>
      <c r="D690" s="6">
        <f>IF(Calculator!B8=FALSE,85,88)</f>
        <v>85</v>
      </c>
      <c r="E690" s="6">
        <f>IF(Calculator!B8=FALSE,30,47)</f>
        <v>30</v>
      </c>
      <c r="F690" s="6">
        <v>13</v>
      </c>
      <c r="G690" s="6">
        <v>10</v>
      </c>
      <c r="H690" s="6">
        <v>10</v>
      </c>
      <c r="I690" s="6">
        <v>13</v>
      </c>
      <c r="J690" s="6">
        <v>13</v>
      </c>
      <c r="K690" s="6" t="str">
        <f>IF(A690=Calculator!B4,1+MAX(K689:K689),"")</f>
        <v/>
      </c>
      <c r="L690" s="6"/>
      <c r="M690" s="6" t="b">
        <v>1</v>
      </c>
    </row>
    <row r="691" spans="1:13" x14ac:dyDescent="0.25">
      <c r="A691" s="6" t="s">
        <v>930</v>
      </c>
      <c r="B691" s="6" t="s">
        <v>972</v>
      </c>
      <c r="C691" s="6">
        <f>IF(Calculator!B8=FALSE,20,40)</f>
        <v>20</v>
      </c>
      <c r="D691" s="6">
        <f>IF(Calculator!B8=FALSE,25,43)</f>
        <v>25</v>
      </c>
      <c r="E691" s="6">
        <f>IF(Calculator!B8=FALSE,45,58)</f>
        <v>45</v>
      </c>
      <c r="F691" s="6">
        <v>0</v>
      </c>
      <c r="G691" s="6">
        <v>5</v>
      </c>
      <c r="H691" s="6">
        <v>1</v>
      </c>
      <c r="I691" s="6">
        <v>7</v>
      </c>
      <c r="J691" s="6">
        <v>0</v>
      </c>
      <c r="K691" s="6" t="str">
        <f>IF(A691=Calculator!B4,1+MAX(K690:K690),"")</f>
        <v/>
      </c>
      <c r="L691" s="6"/>
      <c r="M691" s="6" t="b">
        <v>1</v>
      </c>
    </row>
    <row r="692" spans="1:13" x14ac:dyDescent="0.25">
      <c r="A692" s="6" t="s">
        <v>930</v>
      </c>
      <c r="B692" s="6" t="s">
        <v>977</v>
      </c>
      <c r="C692" s="6">
        <f>IF(Calculator!B8=FALSE,20,40)</f>
        <v>20</v>
      </c>
      <c r="D692" s="6">
        <f>IF(Calculator!B8=FALSE,25,43)</f>
        <v>25</v>
      </c>
      <c r="E692" s="6">
        <f>IF(Calculator!B8=FALSE,45,58)</f>
        <v>45</v>
      </c>
      <c r="F692" s="6">
        <v>7</v>
      </c>
      <c r="G692" s="6">
        <v>1</v>
      </c>
      <c r="H692" s="6">
        <v>5</v>
      </c>
      <c r="I692" s="6">
        <v>0</v>
      </c>
      <c r="J692" s="6">
        <v>0</v>
      </c>
      <c r="K692" s="6" t="str">
        <f>IF(A692=Calculator!B4,1+MAX(K691:K691),"")</f>
        <v/>
      </c>
      <c r="L692" s="6"/>
      <c r="M692" s="6" t="b">
        <v>1</v>
      </c>
    </row>
    <row r="693" spans="1:13" x14ac:dyDescent="0.25">
      <c r="A693" s="6" t="s">
        <v>930</v>
      </c>
      <c r="B693" s="6" t="s">
        <v>982</v>
      </c>
      <c r="C693" s="6">
        <f>IF(Calculator!B8=FALSE,20,40)</f>
        <v>20</v>
      </c>
      <c r="D693" s="6">
        <f>IF(Calculator!B8=FALSE,25,43)</f>
        <v>25</v>
      </c>
      <c r="E693" s="6">
        <f>IF(Calculator!B8=FALSE,45,58)</f>
        <v>45</v>
      </c>
      <c r="F693" s="6">
        <v>3</v>
      </c>
      <c r="G693" s="6">
        <v>2</v>
      </c>
      <c r="H693" s="6">
        <v>2</v>
      </c>
      <c r="I693" s="6">
        <v>3</v>
      </c>
      <c r="J693" s="6">
        <v>4</v>
      </c>
      <c r="K693" s="6" t="str">
        <f>IF(A693=Calculator!B4,1+MAX(K692:K692),"")</f>
        <v/>
      </c>
      <c r="L693" s="6"/>
      <c r="M693" s="6" t="b">
        <v>1</v>
      </c>
    </row>
    <row r="694" spans="1:13" x14ac:dyDescent="0.25">
      <c r="A694" s="6" t="s">
        <v>930</v>
      </c>
      <c r="B694" s="6" t="s">
        <v>987</v>
      </c>
      <c r="C694" s="6">
        <f>IF(Calculator!B8=FALSE,20,40)</f>
        <v>20</v>
      </c>
      <c r="D694" s="6">
        <f>IF(Calculator!B8=FALSE,25,43)</f>
        <v>25</v>
      </c>
      <c r="E694" s="6">
        <f>IF(Calculator!B8=FALSE,45,58)</f>
        <v>45</v>
      </c>
      <c r="F694" s="6">
        <v>7</v>
      </c>
      <c r="G694" s="6">
        <v>5</v>
      </c>
      <c r="H694" s="6">
        <v>5</v>
      </c>
      <c r="I694" s="6">
        <v>7</v>
      </c>
      <c r="J694" s="6">
        <v>7</v>
      </c>
      <c r="K694" s="6" t="str">
        <f>IF(A694=Calculator!B4,1+MAX(K693:K693),"")</f>
        <v/>
      </c>
      <c r="L694" s="6"/>
      <c r="M694" s="6" t="b">
        <v>1</v>
      </c>
    </row>
    <row r="695" spans="1:13" x14ac:dyDescent="0.25">
      <c r="A695" s="6" t="s">
        <v>930</v>
      </c>
      <c r="B695" s="6" t="s">
        <v>990</v>
      </c>
      <c r="C695" s="6">
        <f>IF(Calculator!B8=FALSE,60,70)</f>
        <v>60</v>
      </c>
      <c r="D695" s="6">
        <f>IF(Calculator!B8=FALSE,60,70)</f>
        <v>60</v>
      </c>
      <c r="E695" s="6">
        <f>IF(Calculator!B8=FALSE,20,40)</f>
        <v>20</v>
      </c>
      <c r="F695" s="6">
        <v>0</v>
      </c>
      <c r="G695" s="6">
        <v>16</v>
      </c>
      <c r="H695" s="6">
        <v>5</v>
      </c>
      <c r="I695" s="6">
        <v>22</v>
      </c>
      <c r="J695" s="6">
        <v>2</v>
      </c>
      <c r="K695" s="6" t="str">
        <f>IF(A695=Calculator!B4,1+MAX(K694:K694),"")</f>
        <v/>
      </c>
      <c r="M695" s="6" t="b">
        <v>1</v>
      </c>
    </row>
    <row r="696" spans="1:13" x14ac:dyDescent="0.25">
      <c r="A696" s="6" t="s">
        <v>930</v>
      </c>
      <c r="B696" s="6" t="s">
        <v>991</v>
      </c>
      <c r="C696" s="6">
        <f>IF(Calculator!B8=FALSE,60,70)</f>
        <v>60</v>
      </c>
      <c r="D696" s="6">
        <f>IF(Calculator!B8=FALSE,60,70)</f>
        <v>60</v>
      </c>
      <c r="E696" s="6">
        <f>IF(Calculator!B8=FALSE,20,40)</f>
        <v>20</v>
      </c>
      <c r="F696" s="6">
        <v>22</v>
      </c>
      <c r="G696" s="6">
        <v>5</v>
      </c>
      <c r="H696" s="6">
        <v>16</v>
      </c>
      <c r="I696" s="6">
        <v>0</v>
      </c>
      <c r="J696" s="6">
        <v>2</v>
      </c>
      <c r="K696" s="6" t="str">
        <f>IF(A696=Calculator!B4,1+MAX(K695:K695),"")</f>
        <v/>
      </c>
      <c r="L696" s="6"/>
      <c r="M696" s="6" t="b">
        <v>1</v>
      </c>
    </row>
    <row r="697" spans="1:13" x14ac:dyDescent="0.25">
      <c r="A697" s="6" t="s">
        <v>930</v>
      </c>
      <c r="B697" s="6" t="s">
        <v>992</v>
      </c>
      <c r="C697" s="6">
        <f>IF(Calculator!B8=FALSE,60,70)</f>
        <v>60</v>
      </c>
      <c r="D697" s="6">
        <f>IF(Calculator!B8=FALSE,60,70)</f>
        <v>60</v>
      </c>
      <c r="E697" s="6">
        <f>IF(Calculator!B8=FALSE,20,40)</f>
        <v>20</v>
      </c>
      <c r="F697" s="6">
        <v>10</v>
      </c>
      <c r="G697" s="6">
        <v>8</v>
      </c>
      <c r="H697" s="6">
        <v>8</v>
      </c>
      <c r="I697" s="6">
        <v>10</v>
      </c>
      <c r="J697" s="6">
        <v>14</v>
      </c>
      <c r="K697" s="6" t="str">
        <f>IF(A697=Calculator!B4,1+MAX(K696:K696),"")</f>
        <v/>
      </c>
      <c r="L697" s="6"/>
      <c r="M697" s="6" t="b">
        <v>1</v>
      </c>
    </row>
    <row r="698" spans="1:13" x14ac:dyDescent="0.25">
      <c r="A698" s="6" t="s">
        <v>930</v>
      </c>
      <c r="B698" s="6" t="s">
        <v>993</v>
      </c>
      <c r="C698" s="6">
        <f>IF(Calculator!B8=FALSE,60,70)</f>
        <v>60</v>
      </c>
      <c r="D698" s="6">
        <f>IF(Calculator!B8=FALSE,60,70)</f>
        <v>60</v>
      </c>
      <c r="E698" s="6">
        <f>IF(Calculator!B8=FALSE,20,40)</f>
        <v>20</v>
      </c>
      <c r="F698" s="6">
        <v>20</v>
      </c>
      <c r="G698" s="6">
        <v>16</v>
      </c>
      <c r="H698" s="6">
        <v>16</v>
      </c>
      <c r="I698" s="6">
        <v>20</v>
      </c>
      <c r="J698" s="6">
        <v>20</v>
      </c>
      <c r="K698" s="6" t="str">
        <f>IF(A698=Calculator!B4,1+MAX(K697:K697),"")</f>
        <v/>
      </c>
      <c r="L698" s="6" t="s">
        <v>542</v>
      </c>
      <c r="M698" s="6" t="b">
        <v>1</v>
      </c>
    </row>
    <row r="699" spans="1:13" x14ac:dyDescent="0.25">
      <c r="A699" s="6" t="s">
        <v>930</v>
      </c>
      <c r="B699" s="6" t="s">
        <v>994</v>
      </c>
      <c r="C699" s="6">
        <f>IF(Calculator!B8=FALSE,40,55)</f>
        <v>40</v>
      </c>
      <c r="D699" s="6">
        <f>IF(Calculator!B8=FALSE,40,55)</f>
        <v>40</v>
      </c>
      <c r="E699" s="6">
        <f>IF(Calculator!B8=FALSE,25,43)</f>
        <v>25</v>
      </c>
      <c r="F699" s="6">
        <v>0</v>
      </c>
      <c r="G699" s="6">
        <v>13</v>
      </c>
      <c r="H699" s="6">
        <v>4</v>
      </c>
      <c r="I699" s="6">
        <v>18</v>
      </c>
      <c r="J699" s="6">
        <v>1</v>
      </c>
      <c r="K699" s="6" t="str">
        <f>IF(A699=Calculator!B4,1+MAX(K698:K698),"")</f>
        <v/>
      </c>
      <c r="L699" s="6"/>
      <c r="M699" s="6" t="b">
        <v>1</v>
      </c>
    </row>
    <row r="700" spans="1:13" x14ac:dyDescent="0.25">
      <c r="A700" s="6" t="s">
        <v>930</v>
      </c>
      <c r="B700" s="6" t="s">
        <v>995</v>
      </c>
      <c r="C700" s="6">
        <f>IF(Calculator!B8=FALSE,40,55)</f>
        <v>40</v>
      </c>
      <c r="D700" s="6">
        <f>IF(Calculator!B8=FALSE,40,55)</f>
        <v>40</v>
      </c>
      <c r="E700" s="6">
        <f>IF(Calculator!B8=FALSE,25,43)</f>
        <v>25</v>
      </c>
      <c r="F700" s="6">
        <v>18</v>
      </c>
      <c r="G700" s="6">
        <v>4</v>
      </c>
      <c r="H700" s="6">
        <v>13</v>
      </c>
      <c r="I700" s="6">
        <v>0</v>
      </c>
      <c r="J700" s="6">
        <v>1</v>
      </c>
      <c r="K700" s="6" t="str">
        <f>IF(A700=Calculator!B4,1+MAX(K699:K699),"")</f>
        <v/>
      </c>
      <c r="L700" s="6"/>
      <c r="M700" s="6" t="b">
        <v>1</v>
      </c>
    </row>
    <row r="701" spans="1:13" x14ac:dyDescent="0.25">
      <c r="A701" s="6" t="s">
        <v>930</v>
      </c>
      <c r="B701" s="6" t="s">
        <v>996</v>
      </c>
      <c r="C701" s="6">
        <f>IF(Calculator!B8=FALSE,40,55)</f>
        <v>40</v>
      </c>
      <c r="D701" s="6">
        <f>IF(Calculator!B8=FALSE,40,55)</f>
        <v>40</v>
      </c>
      <c r="E701" s="6">
        <f>IF(Calculator!B8=FALSE,25,43)</f>
        <v>25</v>
      </c>
      <c r="F701" s="6">
        <v>8</v>
      </c>
      <c r="G701" s="6">
        <v>6</v>
      </c>
      <c r="H701" s="6">
        <v>6</v>
      </c>
      <c r="I701" s="6">
        <v>8</v>
      </c>
      <c r="J701" s="6">
        <v>11</v>
      </c>
      <c r="K701" s="6" t="str">
        <f>IF(A701=Calculator!B4,1+MAX(K700:K700),"")</f>
        <v/>
      </c>
      <c r="L701" s="6"/>
      <c r="M701" s="6" t="b">
        <v>1</v>
      </c>
    </row>
    <row r="702" spans="1:13" x14ac:dyDescent="0.25">
      <c r="A702" s="6" t="s">
        <v>930</v>
      </c>
      <c r="B702" s="6" t="s">
        <v>997</v>
      </c>
      <c r="C702" s="6">
        <f>IF(Calculator!B8=FALSE,40,55)</f>
        <v>40</v>
      </c>
      <c r="D702" s="6">
        <f>IF(Calculator!B8=FALSE,40,55)</f>
        <v>40</v>
      </c>
      <c r="E702" s="6">
        <f>IF(Calculator!B8=FALSE,25,43)</f>
        <v>25</v>
      </c>
      <c r="F702" s="6">
        <v>17</v>
      </c>
      <c r="G702" s="6">
        <v>13</v>
      </c>
      <c r="H702" s="6">
        <v>13</v>
      </c>
      <c r="I702" s="6">
        <v>17</v>
      </c>
      <c r="J702" s="6">
        <v>17</v>
      </c>
      <c r="K702" s="6" t="str">
        <f>IF(A702=Calculator!B4,1+MAX(K701:K701),"")</f>
        <v/>
      </c>
      <c r="L702" s="6"/>
      <c r="M702" s="6" t="b">
        <v>1</v>
      </c>
    </row>
    <row r="703" spans="1:13" x14ac:dyDescent="0.25">
      <c r="A703" s="6" t="s">
        <v>930</v>
      </c>
      <c r="B703" s="6" t="s">
        <v>973</v>
      </c>
      <c r="C703" s="6">
        <f>IF(Calculator!B8=FALSE,35,51)</f>
        <v>35</v>
      </c>
      <c r="D703" s="6">
        <f>IF(Calculator!B8=FALSE,35,51)</f>
        <v>35</v>
      </c>
      <c r="E703" s="6">
        <f>IF(Calculator!B8=FALSE,25,43)</f>
        <v>25</v>
      </c>
      <c r="F703" s="6">
        <v>0</v>
      </c>
      <c r="G703" s="6">
        <v>13</v>
      </c>
      <c r="H703" s="6">
        <v>4</v>
      </c>
      <c r="I703" s="6">
        <v>18</v>
      </c>
      <c r="J703" s="6">
        <v>1</v>
      </c>
      <c r="K703" s="6" t="str">
        <f>IF(A703=Calculator!B4,1+MAX(K702:K702),"")</f>
        <v/>
      </c>
      <c r="L703" s="6"/>
      <c r="M703" s="6" t="b">
        <v>1</v>
      </c>
    </row>
    <row r="704" spans="1:13" x14ac:dyDescent="0.25">
      <c r="A704" s="6" t="s">
        <v>930</v>
      </c>
      <c r="B704" s="6" t="s">
        <v>978</v>
      </c>
      <c r="C704" s="6">
        <f>IF(Calculator!B8=FALSE,35,51)</f>
        <v>35</v>
      </c>
      <c r="D704" s="6">
        <f>IF(Calculator!B8=FALSE,35,51)</f>
        <v>35</v>
      </c>
      <c r="E704" s="6">
        <f>IF(Calculator!B8=FALSE,25,43)</f>
        <v>25</v>
      </c>
      <c r="F704" s="6">
        <v>18</v>
      </c>
      <c r="G704" s="6">
        <v>4</v>
      </c>
      <c r="H704" s="6">
        <v>13</v>
      </c>
      <c r="I704" s="6">
        <v>0</v>
      </c>
      <c r="J704" s="6">
        <v>1</v>
      </c>
      <c r="K704" s="6" t="str">
        <f>IF(A704=Calculator!B4,1+MAX(K703:K703),"")</f>
        <v/>
      </c>
      <c r="L704" s="6"/>
      <c r="M704" s="6" t="b">
        <v>1</v>
      </c>
    </row>
    <row r="705" spans="1:13" x14ac:dyDescent="0.25">
      <c r="A705" s="6" t="s">
        <v>930</v>
      </c>
      <c r="B705" s="6" t="s">
        <v>983</v>
      </c>
      <c r="C705" s="6">
        <f>IF(Calculator!B8=FALSE,35,51)</f>
        <v>35</v>
      </c>
      <c r="D705" s="6">
        <f>IF(Calculator!B8=FALSE,35,51)</f>
        <v>35</v>
      </c>
      <c r="E705" s="6">
        <f>IF(Calculator!B8=FALSE,25,43)</f>
        <v>25</v>
      </c>
      <c r="F705" s="6">
        <v>8</v>
      </c>
      <c r="G705" s="6">
        <v>6</v>
      </c>
      <c r="H705" s="6">
        <v>6</v>
      </c>
      <c r="I705" s="6">
        <v>8</v>
      </c>
      <c r="J705" s="6">
        <v>11</v>
      </c>
      <c r="K705" s="6" t="str">
        <f>IF(A705=Calculator!B4,1+MAX(K704:K704),"")</f>
        <v/>
      </c>
      <c r="L705" s="6"/>
      <c r="M705" s="6" t="b">
        <v>1</v>
      </c>
    </row>
    <row r="706" spans="1:13" x14ac:dyDescent="0.25">
      <c r="A706" s="6" t="s">
        <v>930</v>
      </c>
      <c r="B706" s="6" t="s">
        <v>988</v>
      </c>
      <c r="C706" s="6">
        <f>IF(Calculator!B8=FALSE,35,51)</f>
        <v>35</v>
      </c>
      <c r="D706" s="6">
        <f>IF(Calculator!B8=FALSE,35,51)</f>
        <v>35</v>
      </c>
      <c r="E706" s="6">
        <f>IF(Calculator!B8=FALSE,25,43)</f>
        <v>25</v>
      </c>
      <c r="F706" s="6">
        <v>17</v>
      </c>
      <c r="G706" s="6">
        <v>13</v>
      </c>
      <c r="H706" s="6">
        <v>13</v>
      </c>
      <c r="I706" s="6">
        <v>17</v>
      </c>
      <c r="J706" s="6">
        <v>17</v>
      </c>
      <c r="K706" s="6" t="str">
        <f>IF(A706=Calculator!B4,1+MAX(K705:K705),"")</f>
        <v/>
      </c>
      <c r="L706" s="6"/>
      <c r="M706" s="6" t="b">
        <v>1</v>
      </c>
    </row>
    <row r="707" spans="1:13" x14ac:dyDescent="0.25">
      <c r="A707" s="6" t="s">
        <v>930</v>
      </c>
      <c r="B707" s="6" t="s">
        <v>974</v>
      </c>
      <c r="C707" s="6">
        <f>IF(Calculator!B8=FALSE,40,55)</f>
        <v>40</v>
      </c>
      <c r="D707" s="6">
        <f>IF(Calculator!B8=FALSE,35,51)</f>
        <v>35</v>
      </c>
      <c r="E707" s="6">
        <f>IF(Calculator!B8=FALSE,40,55)</f>
        <v>40</v>
      </c>
      <c r="F707" s="6">
        <v>0</v>
      </c>
      <c r="G707" s="6">
        <v>8</v>
      </c>
      <c r="H707" s="6">
        <v>2</v>
      </c>
      <c r="I707" s="6">
        <v>11</v>
      </c>
      <c r="J707" s="6">
        <v>1</v>
      </c>
      <c r="K707" s="6" t="str">
        <f>IF(A707=Calculator!B4,1+MAX(K706:K706),"")</f>
        <v/>
      </c>
      <c r="L707" s="6"/>
      <c r="M707" s="6" t="b">
        <v>1</v>
      </c>
    </row>
    <row r="708" spans="1:13" x14ac:dyDescent="0.25">
      <c r="A708" s="6" t="s">
        <v>930</v>
      </c>
      <c r="B708" s="6" t="s">
        <v>979</v>
      </c>
      <c r="C708" s="6">
        <f>IF(Calculator!B8=FALSE,40,55)</f>
        <v>40</v>
      </c>
      <c r="D708" s="6">
        <f>IF(Calculator!B8=FALSE,35,51)</f>
        <v>35</v>
      </c>
      <c r="E708" s="6">
        <f>IF(Calculator!B8=FALSE,40,55)</f>
        <v>40</v>
      </c>
      <c r="F708" s="6">
        <v>11</v>
      </c>
      <c r="G708" s="6">
        <v>2</v>
      </c>
      <c r="H708" s="6">
        <v>8</v>
      </c>
      <c r="I708" s="6">
        <v>0</v>
      </c>
      <c r="J708" s="6">
        <v>1</v>
      </c>
      <c r="K708" s="6" t="str">
        <f>IF(A708=Calculator!B4,1+MAX(K707:K707),"")</f>
        <v/>
      </c>
      <c r="L708" s="6"/>
      <c r="M708" s="6" t="b">
        <v>1</v>
      </c>
    </row>
    <row r="709" spans="1:13" x14ac:dyDescent="0.25">
      <c r="A709" s="6" t="s">
        <v>930</v>
      </c>
      <c r="B709" s="6" t="s">
        <v>984</v>
      </c>
      <c r="C709" s="6">
        <f>IF(Calculator!B8=FALSE,40,55)</f>
        <v>40</v>
      </c>
      <c r="D709" s="6">
        <f>IF(Calculator!B8=FALSE,35,51)</f>
        <v>35</v>
      </c>
      <c r="E709" s="6">
        <f>IF(Calculator!B8=FALSE,40,55)</f>
        <v>40</v>
      </c>
      <c r="F709" s="6">
        <v>5</v>
      </c>
      <c r="G709" s="6">
        <v>4</v>
      </c>
      <c r="H709" s="6">
        <v>4</v>
      </c>
      <c r="I709" s="6">
        <v>5</v>
      </c>
      <c r="J709" s="6">
        <v>7</v>
      </c>
      <c r="K709" s="6" t="str">
        <f>IF(A709=Calculator!B4,1+MAX(K708:K708),"")</f>
        <v/>
      </c>
      <c r="L709" s="6"/>
      <c r="M709" s="6" t="b">
        <v>1</v>
      </c>
    </row>
    <row r="710" spans="1:13" x14ac:dyDescent="0.25">
      <c r="A710" s="6" t="s">
        <v>930</v>
      </c>
      <c r="B710" s="6" t="s">
        <v>989</v>
      </c>
      <c r="C710" s="6">
        <f>IF(Calculator!B8=FALSE,40,55)</f>
        <v>40</v>
      </c>
      <c r="D710" s="6">
        <f>IF(Calculator!B8=FALSE,35,51)</f>
        <v>35</v>
      </c>
      <c r="E710" s="6">
        <f>IF(Calculator!B8=FALSE,40,55)</f>
        <v>40</v>
      </c>
      <c r="F710" s="6">
        <v>10</v>
      </c>
      <c r="G710" s="6">
        <v>8</v>
      </c>
      <c r="H710" s="6">
        <v>8</v>
      </c>
      <c r="I710" s="6">
        <v>10</v>
      </c>
      <c r="J710" s="6">
        <v>10</v>
      </c>
      <c r="K710" s="6" t="str">
        <f>IF(A710=Calculator!B4,1+MAX(K709:K709),"")</f>
        <v/>
      </c>
      <c r="L710" s="6"/>
      <c r="M710" s="6" t="b">
        <v>1</v>
      </c>
    </row>
    <row r="711" spans="1:13" x14ac:dyDescent="0.25">
      <c r="A711" s="6" t="s">
        <v>963</v>
      </c>
      <c r="B711" s="6" t="s">
        <v>502</v>
      </c>
      <c r="C711" s="6">
        <f>IF(Calculator!B8=FALSE,75,76)</f>
        <v>75</v>
      </c>
      <c r="D711" s="6">
        <f>IF(Calculator!B8=FALSE,75,76)</f>
        <v>75</v>
      </c>
      <c r="E711" s="6">
        <f>IF(Calculator!B8=FALSE,33,44)</f>
        <v>33</v>
      </c>
      <c r="F711" s="6">
        <v>17</v>
      </c>
      <c r="G711" s="6">
        <v>5</v>
      </c>
      <c r="H711" s="6">
        <v>5</v>
      </c>
      <c r="I711" s="6">
        <v>12</v>
      </c>
      <c r="J711" s="6">
        <v>25</v>
      </c>
      <c r="K711" s="6" t="str">
        <f>IF(A711=Calculator!B4,1+MAX(K710:K710),"")</f>
        <v/>
      </c>
      <c r="L711" s="6" t="s">
        <v>542</v>
      </c>
      <c r="M711" s="6" t="b">
        <v>1</v>
      </c>
    </row>
    <row r="712" spans="1:13" x14ac:dyDescent="0.25">
      <c r="A712" s="6" t="s">
        <v>963</v>
      </c>
      <c r="B712" s="6" t="s">
        <v>528</v>
      </c>
      <c r="C712" s="6">
        <v>40</v>
      </c>
      <c r="D712" s="6">
        <v>40</v>
      </c>
      <c r="E712" s="6">
        <v>7</v>
      </c>
      <c r="F712" s="6">
        <v>10</v>
      </c>
      <c r="G712" s="6">
        <v>5</v>
      </c>
      <c r="H712" s="6">
        <v>5</v>
      </c>
      <c r="I712" s="6">
        <v>5</v>
      </c>
      <c r="J712" s="6">
        <v>13</v>
      </c>
      <c r="K712" s="6" t="str">
        <f>IF(A712=Calculator!B4,1+MAX(K711:K711),"")</f>
        <v/>
      </c>
      <c r="L712" s="6"/>
      <c r="M712" s="6"/>
    </row>
    <row r="713" spans="1:13" x14ac:dyDescent="0.25">
      <c r="A713" s="6" t="s">
        <v>963</v>
      </c>
      <c r="B713" s="6" t="s">
        <v>503</v>
      </c>
      <c r="C713" s="6">
        <f>IF(Calculator!B8=FALSE,45,53)</f>
        <v>45</v>
      </c>
      <c r="D713" s="6">
        <f>IF(Calculator!B8=FALSE,45,53)</f>
        <v>45</v>
      </c>
      <c r="E713" s="6">
        <f>IF(Calculator!B8=FALSE,45,53)</f>
        <v>45</v>
      </c>
      <c r="F713" s="6">
        <v>13</v>
      </c>
      <c r="G713" s="6">
        <v>5</v>
      </c>
      <c r="H713" s="6">
        <v>5</v>
      </c>
      <c r="I713" s="6">
        <v>10</v>
      </c>
      <c r="J713" s="6">
        <v>15</v>
      </c>
      <c r="K713" s="6" t="str">
        <f>IF(A713=Calculator!B4,1+MAX(K712:K712),"")</f>
        <v/>
      </c>
      <c r="L713" s="6"/>
      <c r="M713" s="6" t="b">
        <v>1</v>
      </c>
    </row>
    <row r="714" spans="1:13" x14ac:dyDescent="0.25">
      <c r="A714" s="6" t="s">
        <v>963</v>
      </c>
      <c r="B714" s="6" t="s">
        <v>941</v>
      </c>
      <c r="C714" s="6">
        <f>IF(Calculator!B8=FALSE,70,72)</f>
        <v>70</v>
      </c>
      <c r="D714" s="6">
        <f>IF(Calculator!B8=FALSE,70,72)</f>
        <v>70</v>
      </c>
      <c r="E714" s="6">
        <f>IF(Calculator!B8=FALSE,48,56)</f>
        <v>48</v>
      </c>
      <c r="F714" s="6">
        <v>5</v>
      </c>
      <c r="G714" s="6">
        <v>5</v>
      </c>
      <c r="H714" s="6">
        <v>5</v>
      </c>
      <c r="I714" s="6">
        <v>10</v>
      </c>
      <c r="J714" s="6">
        <v>15</v>
      </c>
      <c r="K714" s="6" t="str">
        <f>IF(A714=Calculator!B4,1+MAX(K713:K713),"")</f>
        <v/>
      </c>
      <c r="L714" s="6"/>
      <c r="M714" s="6" t="b">
        <v>1</v>
      </c>
    </row>
    <row r="715" spans="1:13" x14ac:dyDescent="0.25">
      <c r="A715" s="6" t="s">
        <v>963</v>
      </c>
      <c r="B715" s="6" t="s">
        <v>530</v>
      </c>
      <c r="C715" s="6">
        <v>25</v>
      </c>
      <c r="D715" s="6">
        <v>25</v>
      </c>
      <c r="E715" s="6">
        <v>5</v>
      </c>
      <c r="F715" s="6">
        <v>7</v>
      </c>
      <c r="G715" s="6">
        <v>5</v>
      </c>
      <c r="H715" s="6">
        <v>5</v>
      </c>
      <c r="I715" s="6">
        <v>5</v>
      </c>
      <c r="J715" s="6">
        <v>10</v>
      </c>
      <c r="K715" s="6" t="str">
        <f>IF(A715=Calculator!B4,1+MAX(K714:K714),"")</f>
        <v/>
      </c>
      <c r="L715" s="6"/>
      <c r="M715" s="6"/>
    </row>
    <row r="716" spans="1:13" x14ac:dyDescent="0.25">
      <c r="A716" s="6" t="s">
        <v>963</v>
      </c>
      <c r="B716" s="6" t="s">
        <v>531</v>
      </c>
      <c r="C716" s="6">
        <f>IF(Calculator!B8=FALSE,45,53)</f>
        <v>45</v>
      </c>
      <c r="D716" s="6">
        <f>IF(Calculator!B8=FALSE,45,53)</f>
        <v>45</v>
      </c>
      <c r="E716" s="6">
        <f>IF(Calculator!B8=FALSE,45,53)</f>
        <v>45</v>
      </c>
      <c r="F716" s="6">
        <v>15</v>
      </c>
      <c r="G716" s="6">
        <v>5</v>
      </c>
      <c r="H716" s="6">
        <v>5</v>
      </c>
      <c r="I716" s="6">
        <v>12</v>
      </c>
      <c r="J716" s="6">
        <v>17</v>
      </c>
      <c r="K716" s="6" t="str">
        <f>IF(A716=Calculator!B4,1+MAX(K715:K715),"")</f>
        <v/>
      </c>
      <c r="L716" s="6"/>
      <c r="M716" s="6" t="b">
        <v>1</v>
      </c>
    </row>
    <row r="717" spans="1:13" x14ac:dyDescent="0.25">
      <c r="A717" s="6" t="s">
        <v>963</v>
      </c>
      <c r="B717" s="6" t="s">
        <v>532</v>
      </c>
      <c r="C717" s="6">
        <f>IF(Calculator!B8=FALSE,25,38)</f>
        <v>25</v>
      </c>
      <c r="D717" s="6">
        <f>IF(Calculator!B8=FALSE,25,38)</f>
        <v>25</v>
      </c>
      <c r="E717" s="6">
        <f>IF(Calculator!B8=FALSE,5,23)</f>
        <v>5</v>
      </c>
      <c r="F717" s="6">
        <v>10</v>
      </c>
      <c r="G717" s="6">
        <v>5</v>
      </c>
      <c r="H717" s="6">
        <v>5</v>
      </c>
      <c r="I717" s="6">
        <v>5</v>
      </c>
      <c r="J717" s="6">
        <v>13</v>
      </c>
      <c r="K717" s="6" t="str">
        <f>IF(A717=Calculator!B4,1+MAX(K716:K716),"")</f>
        <v/>
      </c>
      <c r="L717" s="6"/>
      <c r="M717" s="6" t="b">
        <v>1</v>
      </c>
    </row>
    <row r="718" spans="1:13" x14ac:dyDescent="0.25">
      <c r="A718" s="6" t="s">
        <v>963</v>
      </c>
      <c r="B718" s="6" t="s">
        <v>548</v>
      </c>
      <c r="C718" s="6">
        <v>25</v>
      </c>
      <c r="D718" s="6">
        <v>30</v>
      </c>
      <c r="E718" s="6">
        <v>35</v>
      </c>
      <c r="F718" s="6">
        <v>10</v>
      </c>
      <c r="G718" s="6">
        <v>5</v>
      </c>
      <c r="H718" s="6">
        <v>5</v>
      </c>
      <c r="I718" s="6">
        <v>5</v>
      </c>
      <c r="J718" s="6">
        <v>13</v>
      </c>
      <c r="K718" s="6" t="str">
        <f>IF(A718=Calculator!B4,1+MAX(K717:K717),"")</f>
        <v/>
      </c>
      <c r="L718" s="6"/>
      <c r="M718" s="6"/>
    </row>
    <row r="719" spans="1:13" x14ac:dyDescent="0.25">
      <c r="A719" s="6" t="s">
        <v>963</v>
      </c>
      <c r="B719" s="6" t="s">
        <v>533</v>
      </c>
      <c r="C719" s="6">
        <v>25</v>
      </c>
      <c r="D719" s="6">
        <v>20</v>
      </c>
      <c r="E719" s="6">
        <v>5</v>
      </c>
      <c r="F719" s="6">
        <v>10</v>
      </c>
      <c r="G719" s="6">
        <v>5</v>
      </c>
      <c r="H719" s="6">
        <v>5</v>
      </c>
      <c r="I719" s="6">
        <v>5</v>
      </c>
      <c r="J719" s="6">
        <v>13</v>
      </c>
      <c r="K719" s="6" t="str">
        <f>IF(A719=Calculator!B4,1+MAX(K718:K718),"")</f>
        <v/>
      </c>
      <c r="L719" s="6"/>
      <c r="M719" s="6"/>
    </row>
    <row r="720" spans="1:13" x14ac:dyDescent="0.25">
      <c r="A720" s="6" t="s">
        <v>723</v>
      </c>
      <c r="B720" s="6" t="s">
        <v>566</v>
      </c>
      <c r="C720" s="6">
        <v>20</v>
      </c>
      <c r="D720" s="6">
        <v>30</v>
      </c>
      <c r="E720" s="6">
        <v>5</v>
      </c>
      <c r="F720" s="6">
        <v>15</v>
      </c>
      <c r="G720" s="6">
        <v>50</v>
      </c>
      <c r="H720" s="6">
        <v>35</v>
      </c>
      <c r="I720" s="6">
        <v>40</v>
      </c>
      <c r="J720" s="6">
        <v>85</v>
      </c>
      <c r="K720" s="6" t="str">
        <f>IF(A720=Calculator!B4,1+MAX(K719:K719),"")</f>
        <v/>
      </c>
      <c r="L720" s="6"/>
      <c r="M720" s="6"/>
    </row>
    <row r="721" spans="1:15" x14ac:dyDescent="0.25">
      <c r="A721" s="6" t="s">
        <v>723</v>
      </c>
      <c r="B721" s="6" t="s">
        <v>733</v>
      </c>
      <c r="C721" s="6">
        <v>10</v>
      </c>
      <c r="D721" s="6">
        <v>15</v>
      </c>
      <c r="E721" s="6">
        <v>5</v>
      </c>
      <c r="F721" s="6">
        <v>5</v>
      </c>
      <c r="G721" s="6">
        <v>10</v>
      </c>
      <c r="H721" s="6">
        <v>5</v>
      </c>
      <c r="I721" s="6">
        <v>5</v>
      </c>
      <c r="J721" s="6">
        <v>25</v>
      </c>
      <c r="K721" s="6" t="str">
        <f>IF(A721=Calculator!B4,1+MAX(K720:K720),"")</f>
        <v/>
      </c>
      <c r="L721" s="6"/>
      <c r="M721" s="6"/>
    </row>
    <row r="722" spans="1:15" x14ac:dyDescent="0.25">
      <c r="A722" s="6" t="s">
        <v>723</v>
      </c>
      <c r="B722" s="6" t="s">
        <v>502</v>
      </c>
      <c r="C722" s="6">
        <f>IF(Calculator!B8=FALSE,60,70)</f>
        <v>60</v>
      </c>
      <c r="D722" s="6">
        <f>IF(Calculator!B8=FALSE,55,66)</f>
        <v>55</v>
      </c>
      <c r="E722" s="6">
        <f>IF(Calculator!B8=FALSE,50,62)</f>
        <v>50</v>
      </c>
      <c r="F722" s="6">
        <v>0</v>
      </c>
      <c r="G722" s="6">
        <v>25</v>
      </c>
      <c r="H722" s="6">
        <v>10</v>
      </c>
      <c r="I722" s="6">
        <v>10</v>
      </c>
      <c r="J722" s="6">
        <v>5</v>
      </c>
      <c r="K722" s="6" t="str">
        <f>IF(A722=Calculator!B4,1+MAX(K721:K721),"")</f>
        <v/>
      </c>
      <c r="L722" s="6"/>
      <c r="M722" s="6" t="b">
        <v>1</v>
      </c>
    </row>
    <row r="723" spans="1:15" x14ac:dyDescent="0.25">
      <c r="A723" s="6" t="s">
        <v>723</v>
      </c>
      <c r="B723" s="6" t="s">
        <v>529</v>
      </c>
      <c r="C723" s="6">
        <v>15</v>
      </c>
      <c r="D723" s="6">
        <v>22</v>
      </c>
      <c r="E723" s="6">
        <v>8</v>
      </c>
      <c r="F723" s="6">
        <v>0</v>
      </c>
      <c r="G723" s="6">
        <v>5</v>
      </c>
      <c r="H723" s="6">
        <v>5</v>
      </c>
      <c r="I723" s="6">
        <v>5</v>
      </c>
      <c r="J723" s="6">
        <v>0</v>
      </c>
      <c r="K723" s="6" t="str">
        <f>IF(A723=Calculator!B4,1+MAX(K722:K722),"")</f>
        <v/>
      </c>
      <c r="L723" s="6"/>
      <c r="M723" s="6"/>
      <c r="O723" t="s">
        <v>676</v>
      </c>
    </row>
    <row r="724" spans="1:15" x14ac:dyDescent="0.25">
      <c r="A724" s="6" t="s">
        <v>723</v>
      </c>
      <c r="B724" s="6" t="s">
        <v>530</v>
      </c>
      <c r="C724" s="6">
        <v>22</v>
      </c>
      <c r="D724" s="6">
        <v>15</v>
      </c>
      <c r="E724" s="6">
        <v>5</v>
      </c>
      <c r="F724" s="6">
        <v>0</v>
      </c>
      <c r="G724" s="6">
        <v>0</v>
      </c>
      <c r="H724" s="6">
        <v>0</v>
      </c>
      <c r="I724" s="6">
        <v>0</v>
      </c>
      <c r="J724" s="6">
        <v>0</v>
      </c>
      <c r="K724" s="6" t="str">
        <f>IF(A724=Calculator!B4,1+MAX(K723:K723),"")</f>
        <v/>
      </c>
      <c r="L724" s="6"/>
      <c r="M724" s="6"/>
      <c r="O724" t="s">
        <v>676</v>
      </c>
    </row>
    <row r="725" spans="1:15" x14ac:dyDescent="0.25">
      <c r="A725" s="6" t="s">
        <v>723</v>
      </c>
      <c r="B725" s="6" t="s">
        <v>734</v>
      </c>
      <c r="C725" s="6">
        <f>IF(Calculator!B8=FALSE,20,40)</f>
        <v>20</v>
      </c>
      <c r="D725" s="6">
        <f>IF(Calculator!B8=FALSE,10,32)</f>
        <v>10</v>
      </c>
      <c r="E725" s="6">
        <f>IF(Calculator!B8=FALSE,15,36)</f>
        <v>15</v>
      </c>
      <c r="F725" s="6">
        <v>5</v>
      </c>
      <c r="G725" s="6">
        <v>10</v>
      </c>
      <c r="H725" s="6">
        <v>5</v>
      </c>
      <c r="I725" s="6">
        <v>5</v>
      </c>
      <c r="J725" s="6">
        <v>15</v>
      </c>
      <c r="K725" s="6" t="str">
        <f>IF(A725=Calculator!B4,1+MAX(K724:K724),"")</f>
        <v/>
      </c>
      <c r="L725" s="6"/>
      <c r="M725" s="6" t="b">
        <v>1</v>
      </c>
      <c r="O725" t="s">
        <v>676</v>
      </c>
    </row>
    <row r="726" spans="1:15" x14ac:dyDescent="0.25">
      <c r="A726" s="6" t="s">
        <v>723</v>
      </c>
      <c r="B726" s="6" t="s">
        <v>535</v>
      </c>
      <c r="C726" s="6">
        <f>IF(Calculator!B8=FALSE,50,62)</f>
        <v>50</v>
      </c>
      <c r="D726" s="6">
        <f>IF(Calculator!B8=FALSE,40,55)</f>
        <v>40</v>
      </c>
      <c r="E726" s="6">
        <f>IF(Calculator!B8=FALSE,45,58)</f>
        <v>45</v>
      </c>
      <c r="F726" s="6">
        <v>5</v>
      </c>
      <c r="G726" s="6">
        <v>10</v>
      </c>
      <c r="H726" s="6">
        <v>5</v>
      </c>
      <c r="I726" s="6">
        <v>5</v>
      </c>
      <c r="J726" s="6">
        <v>15</v>
      </c>
      <c r="K726" s="6" t="str">
        <f>IF(A726=Calculator!B4,1+MAX(K725:K725),"")</f>
        <v/>
      </c>
      <c r="L726" s="6" t="s">
        <v>542</v>
      </c>
      <c r="M726" s="6" t="b">
        <v>1</v>
      </c>
      <c r="O726" t="s">
        <v>676</v>
      </c>
    </row>
    <row r="727" spans="1:15" x14ac:dyDescent="0.25">
      <c r="A727" s="6" t="s">
        <v>723</v>
      </c>
      <c r="B727" s="6" t="s">
        <v>532</v>
      </c>
      <c r="C727" s="6">
        <v>30</v>
      </c>
      <c r="D727" s="6">
        <v>55</v>
      </c>
      <c r="E727" s="6">
        <v>10</v>
      </c>
      <c r="F727" s="6">
        <v>0</v>
      </c>
      <c r="G727" s="6">
        <v>10</v>
      </c>
      <c r="H727" s="6">
        <v>10</v>
      </c>
      <c r="I727" s="6">
        <v>25</v>
      </c>
      <c r="J727" s="6">
        <v>5</v>
      </c>
      <c r="K727" s="6" t="str">
        <f>IF(A727=Calculator!B4,1+MAX(K726:K726),"")</f>
        <v/>
      </c>
      <c r="L727" s="6"/>
      <c r="M727" s="6"/>
    </row>
    <row r="728" spans="1:15" x14ac:dyDescent="0.25">
      <c r="A728" s="6" t="s">
        <v>723</v>
      </c>
      <c r="B728" s="6" t="s">
        <v>533</v>
      </c>
      <c r="C728" s="6">
        <f>IF(Calculator!B8=FALSE,45,58)</f>
        <v>45</v>
      </c>
      <c r="D728" s="6">
        <f>IF(Calculator!B8=FALSE,25,43)</f>
        <v>25</v>
      </c>
      <c r="E728" s="6">
        <f>IF(Calculator!B8=FALSE,15,36)</f>
        <v>15</v>
      </c>
      <c r="F728" s="6">
        <v>25</v>
      </c>
      <c r="G728" s="6">
        <v>5</v>
      </c>
      <c r="H728" s="6">
        <v>15</v>
      </c>
      <c r="I728" s="6">
        <v>5</v>
      </c>
      <c r="J728" s="6">
        <v>5</v>
      </c>
      <c r="K728" s="6" t="str">
        <f>IF(A728=Calculator!B4,1+MAX(K727:K727),"")</f>
        <v/>
      </c>
      <c r="L728" s="6"/>
      <c r="M728" s="6" t="b">
        <v>1</v>
      </c>
    </row>
    <row r="729" spans="1:15" x14ac:dyDescent="0.25">
      <c r="A729" s="6" t="s">
        <v>723</v>
      </c>
      <c r="B729" s="6" t="s">
        <v>568</v>
      </c>
      <c r="C729" s="6">
        <f>IF(Calculator!B8=FALSE,50,62)</f>
        <v>50</v>
      </c>
      <c r="D729" s="6">
        <f>IF(Calculator!B8=FALSE,25,43)</f>
        <v>25</v>
      </c>
      <c r="E729" s="6">
        <f>IF(Calculator!B8=FALSE,35,51)</f>
        <v>35</v>
      </c>
      <c r="F729" s="6">
        <v>25</v>
      </c>
      <c r="G729" s="6">
        <v>20</v>
      </c>
      <c r="H729" s="6">
        <v>20</v>
      </c>
      <c r="I729" s="6">
        <v>20</v>
      </c>
      <c r="J729" s="6">
        <v>10</v>
      </c>
      <c r="K729" s="6" t="str">
        <f>IF(A729=Calculator!B4,1+MAX(K728:K728),"")</f>
        <v/>
      </c>
      <c r="L729" s="6"/>
      <c r="M729" s="6" t="b">
        <v>1</v>
      </c>
    </row>
    <row r="730" spans="1:15" x14ac:dyDescent="0.25">
      <c r="A730" s="6" t="s">
        <v>617</v>
      </c>
      <c r="B730" s="6" t="s">
        <v>502</v>
      </c>
      <c r="C730" s="6">
        <f>IF(Calculator!B8=FALSE,65,73)</f>
        <v>65</v>
      </c>
      <c r="D730" s="6">
        <f>IF(Calculator!B8=FALSE,65,73)</f>
        <v>65</v>
      </c>
      <c r="E730" s="6">
        <f>IF(Calculator!B8=FALSE,60,70)</f>
        <v>60</v>
      </c>
      <c r="F730" s="6">
        <v>25</v>
      </c>
      <c r="G730" s="6">
        <v>0</v>
      </c>
      <c r="H730" s="6">
        <v>15</v>
      </c>
      <c r="I730" s="6">
        <v>10</v>
      </c>
      <c r="J730" s="6">
        <v>15</v>
      </c>
      <c r="K730" s="6" t="str">
        <f>IF(A730=Calculator!B4,1+MAX(K729:K729),"")</f>
        <v/>
      </c>
      <c r="L730" s="6" t="s">
        <v>542</v>
      </c>
      <c r="M730" s="6" t="b">
        <v>1</v>
      </c>
      <c r="O730" t="s">
        <v>676</v>
      </c>
    </row>
    <row r="731" spans="1:15" x14ac:dyDescent="0.25">
      <c r="A731" s="6" t="s">
        <v>617</v>
      </c>
      <c r="B731" s="6" t="s">
        <v>529</v>
      </c>
      <c r="C731" s="6">
        <f>IF(Calculator!B8=FALSE,45,58)</f>
        <v>45</v>
      </c>
      <c r="D731" s="6">
        <f>IF(Calculator!B8=FALSE,45,58)</f>
        <v>45</v>
      </c>
      <c r="E731" s="6">
        <f>IF(Calculator!B8=FALSE,45,58)</f>
        <v>45</v>
      </c>
      <c r="F731" s="6">
        <v>20</v>
      </c>
      <c r="G731" s="6">
        <v>0</v>
      </c>
      <c r="H731" s="6">
        <v>10</v>
      </c>
      <c r="I731" s="6">
        <v>5</v>
      </c>
      <c r="J731" s="6">
        <v>10</v>
      </c>
      <c r="K731" s="6" t="str">
        <f>IF(A731=Calculator!B4,1+MAX(K730:K730),"")</f>
        <v/>
      </c>
      <c r="L731" s="6"/>
      <c r="M731" s="6" t="b">
        <v>1</v>
      </c>
    </row>
    <row r="732" spans="1:15" x14ac:dyDescent="0.25">
      <c r="A732" s="6" t="s">
        <v>617</v>
      </c>
      <c r="B732" s="6" t="s">
        <v>504</v>
      </c>
      <c r="C732" s="6">
        <f>IF(Calculator!B8=FALSE,45,58)</f>
        <v>45</v>
      </c>
      <c r="D732" s="6">
        <f>IF(Calculator!B8=FALSE,45,58)</f>
        <v>45</v>
      </c>
      <c r="E732" s="6">
        <f>IF(Calculator!B8=FALSE,50,62)</f>
        <v>50</v>
      </c>
      <c r="F732" s="6">
        <v>20</v>
      </c>
      <c r="G732" s="6">
        <v>0</v>
      </c>
      <c r="H732" s="6">
        <v>10</v>
      </c>
      <c r="I732" s="6">
        <v>5</v>
      </c>
      <c r="J732" s="6">
        <v>10</v>
      </c>
      <c r="K732" s="6" t="str">
        <f>IF(A732=Calculator!B4,1+MAX(K731:K731),"")</f>
        <v/>
      </c>
      <c r="L732" s="6"/>
      <c r="M732" s="6" t="b">
        <v>1</v>
      </c>
    </row>
    <row r="733" spans="1:15" x14ac:dyDescent="0.25">
      <c r="A733" s="6" t="s">
        <v>617</v>
      </c>
      <c r="B733" s="6" t="s">
        <v>505</v>
      </c>
      <c r="C733" s="6">
        <f>IF(Calculator!B8=FALSE,45,58)</f>
        <v>45</v>
      </c>
      <c r="D733" s="6">
        <f>IF(Calculator!B8=FALSE,45,58)</f>
        <v>45</v>
      </c>
      <c r="E733" s="6">
        <f>IF(Calculator!B8=FALSE,50,62)</f>
        <v>50</v>
      </c>
      <c r="F733" s="6">
        <v>20</v>
      </c>
      <c r="G733" s="6">
        <v>0</v>
      </c>
      <c r="H733" s="6">
        <v>10</v>
      </c>
      <c r="I733" s="6">
        <v>5</v>
      </c>
      <c r="J733" s="6">
        <v>10</v>
      </c>
      <c r="K733" s="6" t="str">
        <f>IF(A733=Calculator!B4,1+MAX(K732:K732),"")</f>
        <v/>
      </c>
      <c r="L733" s="6"/>
      <c r="M733" s="6" t="b">
        <v>1</v>
      </c>
    </row>
    <row r="734" spans="1:15" x14ac:dyDescent="0.25">
      <c r="A734" s="6" t="s">
        <v>722</v>
      </c>
      <c r="B734" s="6" t="s">
        <v>502</v>
      </c>
      <c r="C734" s="6">
        <f>IF(Calculator!B8=FALSE,65,73)</f>
        <v>65</v>
      </c>
      <c r="D734" s="6">
        <f>IF(Calculator!B8=FALSE,65,73)</f>
        <v>65</v>
      </c>
      <c r="E734" s="6">
        <f>IF(Calculator!B8=FALSE,50,62)</f>
        <v>50</v>
      </c>
      <c r="F734" s="6">
        <v>25</v>
      </c>
      <c r="G734" s="6">
        <v>0</v>
      </c>
      <c r="H734" s="6">
        <v>15</v>
      </c>
      <c r="I734" s="6">
        <v>10</v>
      </c>
      <c r="J734" s="6">
        <v>15</v>
      </c>
      <c r="K734" s="6" t="str">
        <f>IF(A734=Calculator!B4,1+MAX(K733:K733),"")</f>
        <v/>
      </c>
      <c r="L734" s="6" t="s">
        <v>542</v>
      </c>
      <c r="M734" s="6" t="b">
        <v>1</v>
      </c>
      <c r="O734" t="s">
        <v>676</v>
      </c>
    </row>
    <row r="735" spans="1:15" x14ac:dyDescent="0.25">
      <c r="A735" s="6" t="s">
        <v>722</v>
      </c>
      <c r="B735" s="6" t="s">
        <v>529</v>
      </c>
      <c r="C735" s="6">
        <f>IF(Calculator!B8=FALSE,45,58)</f>
        <v>45</v>
      </c>
      <c r="D735" s="6">
        <f>IF(Calculator!B8=FALSE,45,58)</f>
        <v>45</v>
      </c>
      <c r="E735" s="6">
        <f>IF(Calculator!B8=FALSE,25,43)</f>
        <v>25</v>
      </c>
      <c r="F735" s="6">
        <v>20</v>
      </c>
      <c r="G735" s="6">
        <v>0</v>
      </c>
      <c r="H735" s="6">
        <v>10</v>
      </c>
      <c r="I735" s="6">
        <v>5</v>
      </c>
      <c r="J735" s="6">
        <v>10</v>
      </c>
      <c r="K735" s="6" t="str">
        <f>IF(A735=Calculator!B4,1+MAX(K734:K734),"")</f>
        <v/>
      </c>
      <c r="L735" s="6"/>
      <c r="M735" s="6" t="b">
        <v>1</v>
      </c>
    </row>
    <row r="736" spans="1:15" x14ac:dyDescent="0.25">
      <c r="A736" s="6" t="s">
        <v>722</v>
      </c>
      <c r="B736" s="6" t="s">
        <v>504</v>
      </c>
      <c r="C736" s="6">
        <f>IF(Calculator!B8=FALSE,45,58)</f>
        <v>45</v>
      </c>
      <c r="D736" s="6">
        <f>IF(Calculator!B8=FALSE,45,58)</f>
        <v>45</v>
      </c>
      <c r="E736" s="6">
        <f>IF(Calculator!B8=FALSE,30,47)</f>
        <v>30</v>
      </c>
      <c r="F736" s="6">
        <v>20</v>
      </c>
      <c r="G736" s="6">
        <v>0</v>
      </c>
      <c r="H736" s="6">
        <v>10</v>
      </c>
      <c r="I736" s="6">
        <v>5</v>
      </c>
      <c r="J736" s="6">
        <v>10</v>
      </c>
      <c r="K736" s="6" t="str">
        <f>IF(A736=Calculator!B4,1+MAX(K735:K735),"")</f>
        <v/>
      </c>
      <c r="L736" s="6"/>
      <c r="M736" s="6" t="b">
        <v>1</v>
      </c>
    </row>
    <row r="737" spans="1:13" x14ac:dyDescent="0.25">
      <c r="A737" s="6" t="s">
        <v>722</v>
      </c>
      <c r="B737" s="6" t="s">
        <v>505</v>
      </c>
      <c r="C737" s="6">
        <f>IF(Calculator!B8=FALSE,45,58)</f>
        <v>45</v>
      </c>
      <c r="D737" s="6">
        <f>IF(Calculator!B8=FALSE,45,58)</f>
        <v>45</v>
      </c>
      <c r="E737" s="6">
        <f>IF(Calculator!B8=FALSE,30,47)</f>
        <v>30</v>
      </c>
      <c r="F737" s="6">
        <v>20</v>
      </c>
      <c r="G737" s="6">
        <v>0</v>
      </c>
      <c r="H737" s="6">
        <v>10</v>
      </c>
      <c r="I737" s="6">
        <v>5</v>
      </c>
      <c r="J737" s="6">
        <v>10</v>
      </c>
      <c r="K737" s="6" t="str">
        <f>IF(A737=Calculator!B4,1+MAX(K736:K736),"")</f>
        <v/>
      </c>
      <c r="L737" s="6"/>
      <c r="M737" s="6" t="b">
        <v>1</v>
      </c>
    </row>
  </sheetData>
  <conditionalFormatting sqref="C2:E737">
    <cfRule type="cellIs" dxfId="5" priority="1" operator="greaterThanOrEqual">
      <formula>45</formula>
    </cfRule>
  </conditionalFormatting>
  <conditionalFormatting sqref="F2:F737">
    <cfRule type="cellIs" dxfId="4" priority="6" operator="greaterThan">
      <formula>19</formula>
    </cfRule>
  </conditionalFormatting>
  <conditionalFormatting sqref="G2:G737">
    <cfRule type="cellIs" dxfId="3" priority="5" operator="greaterThan">
      <formula>19</formula>
    </cfRule>
  </conditionalFormatting>
  <conditionalFormatting sqref="H2:H737">
    <cfRule type="cellIs" dxfId="2" priority="4" operator="greaterThan">
      <formula>19</formula>
    </cfRule>
  </conditionalFormatting>
  <conditionalFormatting sqref="I2:I737">
    <cfRule type="cellIs" dxfId="1" priority="3" operator="greaterThan">
      <formula>19</formula>
    </cfRule>
  </conditionalFormatting>
  <conditionalFormatting sqref="J2:J737">
    <cfRule type="cellIs" dxfId="0" priority="2" operator="greaterThan">
      <formula>19</formula>
    </cfRule>
  </conditionalFormatting>
  <dataValidations disablePrompts="1" count="1">
    <dataValidation type="whole" allowBlank="1" showInputMessage="1" showErrorMessage="1" sqref="C2:J110" xr:uid="{D2F45659-E33E-4466-8FB4-1FBFB2ABC310}">
      <formula1>0</formula1>
      <formula2>100</formula2>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ACFE4-2779-47F2-8233-25FB01DB6427}">
  <sheetPr codeName="Sheet2"/>
  <dimension ref="A1:AD74"/>
  <sheetViews>
    <sheetView topLeftCell="A37" workbookViewId="0">
      <selection activeCell="O19" sqref="O19"/>
    </sheetView>
  </sheetViews>
  <sheetFormatPr defaultRowHeight="15" x14ac:dyDescent="0.25"/>
  <cols>
    <col min="1" max="1" width="42.140625" bestFit="1" customWidth="1"/>
    <col min="2" max="2" width="11.42578125" bestFit="1" customWidth="1"/>
    <col min="3" max="3" width="16.28515625" bestFit="1" customWidth="1"/>
    <col min="11" max="11" width="12.85546875" bestFit="1" customWidth="1"/>
    <col min="12" max="12" width="15.7109375" bestFit="1" customWidth="1"/>
  </cols>
  <sheetData>
    <row r="1" spans="1:30" x14ac:dyDescent="0.25">
      <c r="A1" s="4" t="s">
        <v>119</v>
      </c>
      <c r="B1" s="4" t="s">
        <v>142</v>
      </c>
      <c r="C1" s="4" t="s">
        <v>136</v>
      </c>
      <c r="D1" s="4" t="s">
        <v>129</v>
      </c>
      <c r="E1" s="4" t="s">
        <v>127</v>
      </c>
      <c r="F1" s="4" t="s">
        <v>128</v>
      </c>
      <c r="G1" s="4" t="s">
        <v>131</v>
      </c>
      <c r="H1" s="4" t="s">
        <v>130</v>
      </c>
      <c r="I1" s="4" t="s">
        <v>132</v>
      </c>
      <c r="J1" s="4" t="s">
        <v>133</v>
      </c>
      <c r="K1" s="4" t="s">
        <v>134</v>
      </c>
      <c r="L1" s="4" t="s">
        <v>135</v>
      </c>
      <c r="M1" s="5"/>
      <c r="N1" s="5"/>
      <c r="X1" s="5"/>
      <c r="Z1" s="5"/>
      <c r="AD1" s="5"/>
    </row>
    <row r="2" spans="1:30" x14ac:dyDescent="0.25">
      <c r="A2" s="6" t="s">
        <v>620</v>
      </c>
      <c r="B2" s="6">
        <f>ROUND(SUM(B4:B74)/COUNT(B4:B74),0)</f>
        <v>4795</v>
      </c>
      <c r="C2" s="7">
        <v>1</v>
      </c>
      <c r="D2" s="7">
        <f>IF(Calculator!B3="Low Rank",ROUND(SUM(D4:D21)/COUNT(D4:D21),0),IF(Calculator!B3="High Rank",ROUND((SUM(D4:D36)+SUM(D72:D74))/(COUNT(D4:D36)+COUNT(D72:D74)),0),ROUND((SUM(D4:D20)+SUM(D22:D23)+SUM(D26:D29)+SUM(D31:D33)+SUM(D35)+SUM(D37:D71))/(COUNT(D4:D20)+COUNT(D22:D23)+COUNT(D26:D29)+COUNT(D31:D33)+COUNT(D35)+COUNT(D37:D71)),0)))</f>
        <v>3818</v>
      </c>
      <c r="E2" s="7" t="s">
        <v>736</v>
      </c>
      <c r="F2" s="7" t="s">
        <v>138</v>
      </c>
      <c r="G2" s="7">
        <f>IF(Calculator!B3="Low Rank",ROUND(SUM(G4:G21)/COUNT(G4:G21),1),IF(Calculator!B3="High Rank",ROUND((SUM(G4:G36)+SUM(G72:G74))/(COUNT(G4:G36)+COUNT(G72:G74)),1),ROUND((SUM(G4:G20)+SUM(G22:G23)+SUM(G26:G29)+SUM(G31:G33)+SUM(G35)+SUM(G37:G71))/(COUNT(G4:G20)+COUNT(G22:G23)+COUNT(G26:G29)+COUNT(G31:G33)+COUNT(G35)+COUNT(G37:G71)),1)))</f>
        <v>1</v>
      </c>
      <c r="H2" s="7">
        <v>0</v>
      </c>
      <c r="I2" s="7">
        <f>IF(Calculator!B3="Low Rank",ROUND(SUM(I4:I21)/COUNT(I4:I21),0),IF(Calculator!B3="High Rank",ROUND((SUM(I4:I36)+SUM(I72:I74))/(COUNT(I4:I36)+COUNT(I72:I74)),0),ROUND((SUM(I4:I20)+SUM(I22:I23)+SUM(I26:I29)+SUM(I31:I33)+SUM(I35)+SUM(I37:I71))/(COUNT(I4:I20)+COUNT(I22:I23)+COUNT(I26:I29)+COUNT(I31:I33)+COUNT(I35)+COUNT(I37:I71)),0)))</f>
        <v>59</v>
      </c>
      <c r="J2" s="7">
        <f>IF(Calculator!B3="Low Rank",ROUND(SUM(J4:J21)/COUNT(J4:J21),0),IF(Calculator!B3="High Rank",ROUND((SUM(J4:J36)+SUM(J72:J74))/(COUNT(J4:J36)+COUNT(J72:J74)),0),ROUND((SUM(J4:J20)+SUM(J22:J23)+SUM(J26:J29)+SUM(J31:J33)+SUM(J35)+SUM(J37:J71))/(COUNT(J4:J20)+COUNT(J22:J23)+COUNT(J26:J29)+COUNT(J31:J33)+COUNT(J35)+COUNT(J37:J71)),0)))</f>
        <v>93</v>
      </c>
      <c r="K2" s="7">
        <v>1</v>
      </c>
      <c r="L2" s="7">
        <v>0</v>
      </c>
      <c r="M2" s="5"/>
      <c r="N2" s="5"/>
      <c r="X2" s="5"/>
      <c r="Z2" s="5"/>
      <c r="AD2" s="5"/>
    </row>
    <row r="3" spans="1:30" x14ac:dyDescent="0.25">
      <c r="A3" s="6" t="s">
        <v>184</v>
      </c>
      <c r="B3" s="6">
        <f>ROUND(SUM(B4:B74)/COUNT(B4:B74),0)</f>
        <v>4795</v>
      </c>
      <c r="C3" s="7">
        <v>1</v>
      </c>
      <c r="D3" s="7">
        <f>IF(Calculator!B3="Low Rank",ROUND(SUM(D4:D21)/COUNT(D4:D21),0),IF(Calculator!B3="High Rank",ROUND((SUM(D4:D36)+SUM(D72:D74))/(COUNT(D4:D36)+COUNT(D72:D74)),0),ROUND((SUM(D4:D36)+SUM(D72:D74))/(COUNT(D4:D36)+COUNT(D72:D74)),0)))</f>
        <v>3818</v>
      </c>
      <c r="E3" s="7" t="s">
        <v>736</v>
      </c>
      <c r="F3" s="7" t="s">
        <v>138</v>
      </c>
      <c r="G3" s="7">
        <v>1</v>
      </c>
      <c r="H3" s="7">
        <v>0</v>
      </c>
      <c r="I3" s="7">
        <v>1</v>
      </c>
      <c r="J3" s="7">
        <v>0</v>
      </c>
      <c r="K3" s="7">
        <v>1</v>
      </c>
      <c r="L3" s="7">
        <v>0</v>
      </c>
      <c r="M3" s="5"/>
      <c r="AD3" s="5"/>
    </row>
    <row r="4" spans="1:30" x14ac:dyDescent="0.25">
      <c r="A4" s="6" t="s">
        <v>514</v>
      </c>
      <c r="B4" s="6">
        <v>2200</v>
      </c>
      <c r="C4" s="7">
        <f>IF(Calculator!B3="Low Rank",0.64,IF(Calculator!B3="High Rank",1.75,6))</f>
        <v>0.64</v>
      </c>
      <c r="D4" s="7">
        <f t="shared" ref="D4:D74" si="0">ROUNDDOWN(B4*C4,0)</f>
        <v>1408</v>
      </c>
      <c r="E4" s="7" t="s">
        <v>141</v>
      </c>
      <c r="F4" s="7" t="s">
        <v>140</v>
      </c>
      <c r="G4" s="7">
        <f>IF(Calculator!B3="Low Rank",0.9,IF(Calculator!B3="High Rank",1.1,1.4))</f>
        <v>0.9</v>
      </c>
      <c r="H4" s="7">
        <v>30</v>
      </c>
      <c r="I4" s="7">
        <v>40</v>
      </c>
      <c r="J4" s="7">
        <v>60</v>
      </c>
      <c r="K4" s="7">
        <v>1.1000000000000001</v>
      </c>
      <c r="L4" s="7">
        <v>440</v>
      </c>
      <c r="M4" s="5"/>
      <c r="AD4" s="5"/>
    </row>
    <row r="5" spans="1:30" x14ac:dyDescent="0.25">
      <c r="A5" s="6" t="s">
        <v>516</v>
      </c>
      <c r="B5" s="6">
        <v>2650</v>
      </c>
      <c r="C5" s="7">
        <f>IF(Calculator!B3="Low Rank",0.64,IF(Calculator!B3="High Rank",1.75,6))</f>
        <v>0.64</v>
      </c>
      <c r="D5" s="7">
        <f t="shared" si="0"/>
        <v>1696</v>
      </c>
      <c r="E5" s="7" t="s">
        <v>736</v>
      </c>
      <c r="F5" s="7" t="s">
        <v>138</v>
      </c>
      <c r="G5" s="7">
        <f>IF(Calculator!B3="Low Rank",0.9,IF(Calculator!B3="High Rank",1.1,1.4))</f>
        <v>0.9</v>
      </c>
      <c r="H5" s="7">
        <f>IF(OR(Calculator!B3="Low Rank",Calculator!B3="High Rank"),35,30)</f>
        <v>35</v>
      </c>
      <c r="I5" s="7">
        <v>60</v>
      </c>
      <c r="J5" s="7">
        <v>100</v>
      </c>
      <c r="K5" s="7">
        <v>1</v>
      </c>
      <c r="L5" s="7">
        <v>500</v>
      </c>
      <c r="M5" s="5"/>
      <c r="AD5" s="5"/>
    </row>
    <row r="6" spans="1:30" x14ac:dyDescent="0.25">
      <c r="A6" s="6" t="s">
        <v>517</v>
      </c>
      <c r="B6" s="6">
        <v>2800</v>
      </c>
      <c r="C6" s="7">
        <f>IF(Calculator!B3="Low Rank",0.88,IF(Calculator!B3="High Rank",1.75,6))</f>
        <v>0.88</v>
      </c>
      <c r="D6" s="7">
        <f t="shared" si="0"/>
        <v>2464</v>
      </c>
      <c r="E6" s="7" t="s">
        <v>835</v>
      </c>
      <c r="F6" s="7" t="s">
        <v>138</v>
      </c>
      <c r="G6" s="7">
        <f>IF(Calculator!B3="Low Rank",1,IF(Calculator!B3="High Rank",1.1,1.4))</f>
        <v>1</v>
      </c>
      <c r="H6" s="7">
        <f>IF(OR(Calculator!B3="Low Rank",Calculator!B3="High Rank"),30,25)</f>
        <v>30</v>
      </c>
      <c r="I6" s="7">
        <f>IF(Calculator!B3="Low Rank",70,IF(Calculator!B3="High Rank",60,50))</f>
        <v>70</v>
      </c>
      <c r="J6" s="7">
        <v>80</v>
      </c>
      <c r="K6" s="7">
        <v>1.1000000000000001</v>
      </c>
      <c r="L6" s="7">
        <v>560</v>
      </c>
      <c r="M6" s="5"/>
      <c r="AD6" s="5"/>
    </row>
    <row r="7" spans="1:30" x14ac:dyDescent="0.25">
      <c r="A7" s="6" t="s">
        <v>518</v>
      </c>
      <c r="B7" s="6">
        <v>2450</v>
      </c>
      <c r="C7" s="7">
        <f>IF(Calculator!B3="Low Rank",0.88,IF(Calculator!B3="High Rank",1.75,6))</f>
        <v>0.88</v>
      </c>
      <c r="D7" s="7">
        <f t="shared" si="0"/>
        <v>2156</v>
      </c>
      <c r="E7" s="7" t="s">
        <v>141</v>
      </c>
      <c r="F7" s="7" t="s">
        <v>140</v>
      </c>
      <c r="G7" s="7">
        <f>IF(Calculator!B3="Low Rank",1,IF(Calculator!B3="High Rank",1.1,1.4))</f>
        <v>1</v>
      </c>
      <c r="H7" s="7">
        <f>IF(OR(Calculator!B3="Low Rank",Calculator!B3="High Rank"),30,25)</f>
        <v>30</v>
      </c>
      <c r="I7" s="7">
        <v>60</v>
      </c>
      <c r="J7" s="7">
        <v>130</v>
      </c>
      <c r="K7" s="7">
        <v>1</v>
      </c>
      <c r="L7" s="7">
        <v>370</v>
      </c>
      <c r="M7" s="5"/>
      <c r="AD7" s="5"/>
    </row>
    <row r="8" spans="1:30" x14ac:dyDescent="0.25">
      <c r="A8" s="6" t="s">
        <v>519</v>
      </c>
      <c r="B8" s="6">
        <v>2800</v>
      </c>
      <c r="C8" s="7">
        <f>IF(Calculator!B3="Low Rank",0.88,IF(Calculator!B3="High Rank",1.9,5.8))</f>
        <v>0.88</v>
      </c>
      <c r="D8" s="7">
        <f t="shared" si="0"/>
        <v>2464</v>
      </c>
      <c r="E8" s="7" t="s">
        <v>736</v>
      </c>
      <c r="F8" s="7" t="s">
        <v>141</v>
      </c>
      <c r="G8" s="7">
        <f>IF(Calculator!B3="Low Rank",1,IF(Calculator!B3="High Rank",1.1,1.25))</f>
        <v>1</v>
      </c>
      <c r="H8" s="7">
        <f>IF(OR(Calculator!B3="Low Rank",Calculator!B3="High Rank"),30,25)</f>
        <v>30</v>
      </c>
      <c r="I8" s="7">
        <v>60</v>
      </c>
      <c r="J8" s="7">
        <v>60</v>
      </c>
      <c r="K8" s="7">
        <v>0.9</v>
      </c>
      <c r="L8" s="7">
        <v>450</v>
      </c>
      <c r="M8" s="5"/>
      <c r="AD8" s="5"/>
    </row>
    <row r="9" spans="1:30" x14ac:dyDescent="0.25">
      <c r="A9" s="6" t="s">
        <v>520</v>
      </c>
      <c r="B9" s="6">
        <v>2900</v>
      </c>
      <c r="C9" s="7">
        <f>IF(Calculator!B3="Low Rank",0.88,IF(Calculator!B3="High Rank",1.9,6))</f>
        <v>0.88</v>
      </c>
      <c r="D9" s="7">
        <f t="shared" si="0"/>
        <v>2552</v>
      </c>
      <c r="E9" s="7" t="s">
        <v>141</v>
      </c>
      <c r="F9" s="7" t="s">
        <v>138</v>
      </c>
      <c r="G9" s="7">
        <f>IF(Calculator!B3="Low Rank",1,IF(Calculator!B3="High Rank",1.1,1.4))</f>
        <v>1</v>
      </c>
      <c r="H9" s="7">
        <f>IF(OR(Calculator!B3="Low Rank",Calculator!B3="High Rank"),30,25)</f>
        <v>30</v>
      </c>
      <c r="I9" s="7">
        <v>60</v>
      </c>
      <c r="J9" s="7">
        <v>80</v>
      </c>
      <c r="K9" s="7">
        <v>1.1000000000000001</v>
      </c>
      <c r="L9" s="7">
        <v>550</v>
      </c>
      <c r="M9" s="5"/>
      <c r="AD9" s="5"/>
    </row>
    <row r="10" spans="1:30" x14ac:dyDescent="0.25">
      <c r="A10" s="6" t="s">
        <v>521</v>
      </c>
      <c r="B10" s="6">
        <v>2990</v>
      </c>
      <c r="C10" s="7">
        <f>IF(Calculator!B3="Low Rank",1.18,IF(Calculator!B3="High Rank",1.9,6.2))</f>
        <v>1.18</v>
      </c>
      <c r="D10" s="7">
        <f t="shared" si="0"/>
        <v>3528</v>
      </c>
      <c r="E10" s="7" t="s">
        <v>736</v>
      </c>
      <c r="F10" s="7" t="s">
        <v>141</v>
      </c>
      <c r="G10" s="7">
        <f>IF(Calculator!B3="Low Rank",1,IF(Calculator!B3="High Rank",1.1,1.4))</f>
        <v>1</v>
      </c>
      <c r="H10" s="7">
        <f>IF(OR(Calculator!B3="Low Rank",Calculator!B3="High Rank"),30,25)</f>
        <v>30</v>
      </c>
      <c r="I10" s="7">
        <v>50</v>
      </c>
      <c r="J10" s="7">
        <f>IF(OR(Calculator!B3="Low Rank",Calculator!B3="High Rank"),130,150)</f>
        <v>130</v>
      </c>
      <c r="K10" s="7">
        <v>1</v>
      </c>
      <c r="L10" s="7">
        <v>370</v>
      </c>
      <c r="M10" s="5"/>
      <c r="AD10" s="5"/>
    </row>
    <row r="11" spans="1:30" x14ac:dyDescent="0.25">
      <c r="A11" s="6" t="s">
        <v>522</v>
      </c>
      <c r="B11" s="6">
        <v>3000</v>
      </c>
      <c r="C11" s="7">
        <f>IF(Calculator!B3="Low Rank",1.18,IF(Calculator!B3="High Rank",1.9,6.2))</f>
        <v>1.18</v>
      </c>
      <c r="D11" s="7">
        <f t="shared" si="0"/>
        <v>3540</v>
      </c>
      <c r="E11" s="7" t="s">
        <v>835</v>
      </c>
      <c r="F11" s="7" t="s">
        <v>139</v>
      </c>
      <c r="G11" s="7">
        <f>IF(Calculator!B3="Low Rank",1,IF(Calculator!B3="High Rank",1.1,1.4))</f>
        <v>1</v>
      </c>
      <c r="H11" s="7">
        <f>IF(OR(Calculator!B3="Low Rank",Calculator!B3="High Rank"),30,25)</f>
        <v>30</v>
      </c>
      <c r="I11" s="7">
        <f>IF(Calculator!B3="Low Rank",70,IF(Calculator!B3="High Rank",60,50))</f>
        <v>70</v>
      </c>
      <c r="J11" s="7">
        <v>80</v>
      </c>
      <c r="K11" s="7">
        <v>1.1000000000000001</v>
      </c>
      <c r="L11" s="7">
        <v>600</v>
      </c>
      <c r="M11" s="5"/>
      <c r="AD11" s="5"/>
    </row>
    <row r="12" spans="1:30" x14ac:dyDescent="0.25">
      <c r="A12" s="6" t="s">
        <v>523</v>
      </c>
      <c r="B12" s="6">
        <v>2650</v>
      </c>
      <c r="C12" s="7">
        <f>IF(Calculator!B3="Low Rank",1.18,IF(Calculator!B3="High Rank",1.75,6))</f>
        <v>1.18</v>
      </c>
      <c r="D12" s="7">
        <f t="shared" si="0"/>
        <v>3127</v>
      </c>
      <c r="E12" s="7" t="s">
        <v>736</v>
      </c>
      <c r="F12" s="7" t="s">
        <v>138</v>
      </c>
      <c r="G12" s="7">
        <f>IF(Calculator!B3="Low Rank",1,IF(Calculator!B3="High Rank",1.1,1.4))</f>
        <v>1</v>
      </c>
      <c r="H12" s="7">
        <f>IF(OR(Calculator!B3="Low Rank",Calculator!B3="High Rank"),35,30)</f>
        <v>35</v>
      </c>
      <c r="I12" s="7">
        <v>60</v>
      </c>
      <c r="J12" s="7">
        <v>100</v>
      </c>
      <c r="K12" s="7">
        <v>1</v>
      </c>
      <c r="L12" s="7">
        <v>500</v>
      </c>
      <c r="M12" s="5"/>
      <c r="AD12" s="5"/>
    </row>
    <row r="13" spans="1:30" x14ac:dyDescent="0.25">
      <c r="A13" s="6" t="s">
        <v>524</v>
      </c>
      <c r="B13" s="6">
        <v>2950</v>
      </c>
      <c r="C13" s="7">
        <f>IF(Calculator!B3="Low Rank",1.18,IF(Calculator!B3="High Rank",1.9,6.2))</f>
        <v>1.18</v>
      </c>
      <c r="D13" s="7">
        <f t="shared" si="0"/>
        <v>3481</v>
      </c>
      <c r="E13" s="7" t="s">
        <v>736</v>
      </c>
      <c r="F13" s="7" t="s">
        <v>140</v>
      </c>
      <c r="G13" s="7">
        <f>IF(Calculator!B3="Low Rank",1,IF(Calculator!B3="High Rank",1.1,1.4))</f>
        <v>1</v>
      </c>
      <c r="H13" s="7">
        <f>IF(OR(Calculator!B3="Low Rank",Calculator!B3="High Rank"),30,25)</f>
        <v>30</v>
      </c>
      <c r="I13" s="7">
        <v>30</v>
      </c>
      <c r="J13" s="7">
        <v>150</v>
      </c>
      <c r="K13" s="7">
        <v>1</v>
      </c>
      <c r="L13" s="7">
        <v>450</v>
      </c>
      <c r="M13" s="5"/>
      <c r="AD13" s="5"/>
    </row>
    <row r="14" spans="1:30" x14ac:dyDescent="0.25">
      <c r="A14" s="6" t="s">
        <v>525</v>
      </c>
      <c r="B14" s="6">
        <v>2400</v>
      </c>
      <c r="C14" s="7">
        <f>IF(Calculator!B3="Low Rank",1.18,IF(Calculator!B3="High Rank",1.75,6))</f>
        <v>1.18</v>
      </c>
      <c r="D14" s="7">
        <f t="shared" si="0"/>
        <v>2832</v>
      </c>
      <c r="E14" s="7" t="s">
        <v>736</v>
      </c>
      <c r="F14" s="7" t="s">
        <v>138</v>
      </c>
      <c r="G14" s="7">
        <f>IF(Calculator!B3="Low Rank",1,IF(Calculator!B3="High Rank",1.1,1.4))</f>
        <v>1</v>
      </c>
      <c r="H14" s="7">
        <v>30</v>
      </c>
      <c r="I14" s="7">
        <f>IF(Calculator!B3="Low Rank",80,IF(Calculator!B3="High Rank",70,60))</f>
        <v>80</v>
      </c>
      <c r="J14" s="7">
        <v>60</v>
      </c>
      <c r="K14" s="7">
        <v>1.1000000000000001</v>
      </c>
      <c r="L14" s="7">
        <v>480</v>
      </c>
      <c r="M14" s="5"/>
      <c r="AD14" s="5"/>
    </row>
    <row r="15" spans="1:30" x14ac:dyDescent="0.25">
      <c r="A15" s="6" t="s">
        <v>526</v>
      </c>
      <c r="B15" s="6">
        <v>3000</v>
      </c>
      <c r="C15" s="7">
        <f>IF(Calculator!B3="Low Rank",1.18,IF(Calculator!B3="High Rank",1.9,6.2))</f>
        <v>1.18</v>
      </c>
      <c r="D15" s="7">
        <f t="shared" si="0"/>
        <v>3540</v>
      </c>
      <c r="E15" s="7" t="s">
        <v>618</v>
      </c>
      <c r="F15" s="7" t="s">
        <v>140</v>
      </c>
      <c r="G15" s="7">
        <f>IF(Calculator!B3="Low Rank",1,IF(Calculator!B3="High Rank",1.1,1.4))</f>
        <v>1</v>
      </c>
      <c r="H15" s="7">
        <f>IF(OR(Calculator!B3="Low Rank",Calculator!B3="High Rank"),30,25)</f>
        <v>30</v>
      </c>
      <c r="I15" s="7">
        <v>60</v>
      </c>
      <c r="J15" s="7">
        <v>100</v>
      </c>
      <c r="K15" s="7">
        <v>1</v>
      </c>
      <c r="L15" s="7">
        <v>370</v>
      </c>
      <c r="M15" s="5"/>
      <c r="AD15" s="5"/>
    </row>
    <row r="16" spans="1:30" x14ac:dyDescent="0.25">
      <c r="A16" s="6" t="s">
        <v>527</v>
      </c>
      <c r="B16" s="6">
        <v>3000</v>
      </c>
      <c r="C16" s="7">
        <f>IF(Calculator!B3="Low Rank",1.51,IF(Calculator!B3="High Rank",2.02,6.2))</f>
        <v>1.51</v>
      </c>
      <c r="D16" s="7">
        <f t="shared" si="0"/>
        <v>4530</v>
      </c>
      <c r="E16" s="7" t="s">
        <v>139</v>
      </c>
      <c r="F16" s="7" t="s">
        <v>138</v>
      </c>
      <c r="G16" s="7">
        <f>IF(Calculator!B3="Low Rank",1,IF(Calculator!B3="High Rank",1.2,1.4))</f>
        <v>1</v>
      </c>
      <c r="H16" s="7">
        <f>IF(OR(Calculator!B3="Low Rank",Calculator!B3="High Rank"),30,20)</f>
        <v>30</v>
      </c>
      <c r="I16" s="7">
        <f>IF(Calculator!B3="Low Rank",60,50)</f>
        <v>60</v>
      </c>
      <c r="J16" s="7">
        <v>100</v>
      </c>
      <c r="K16" s="7">
        <v>1.1000000000000001</v>
      </c>
      <c r="L16" s="7">
        <v>600</v>
      </c>
      <c r="M16" s="5"/>
      <c r="AD16" s="5"/>
    </row>
    <row r="17" spans="1:30" x14ac:dyDescent="0.25">
      <c r="A17" s="6" t="s">
        <v>563</v>
      </c>
      <c r="B17" s="6">
        <v>3000</v>
      </c>
      <c r="C17" s="7">
        <f>IF(Calculator!B3="Low Rank",1.51,IF(Calculator!B3="High Rank",2.02,6.2))</f>
        <v>1.51</v>
      </c>
      <c r="D17" s="7">
        <f t="shared" si="0"/>
        <v>4530</v>
      </c>
      <c r="E17" s="7" t="s">
        <v>835</v>
      </c>
      <c r="F17" s="7" t="s">
        <v>138</v>
      </c>
      <c r="G17" s="7">
        <f>IF(Calculator!B3="Low Rank",1,IF(Calculator!B3="High Rank",1.2,1.4))</f>
        <v>1</v>
      </c>
      <c r="H17" s="7">
        <f>IF(OR(Calculator!B3="Low Rank",Calculator!B3="High Rank"),30,20)</f>
        <v>30</v>
      </c>
      <c r="I17" s="7">
        <f>IF(Calculator!B3="Low Rank",60,IF(Calculator!B3="High Rank",50,40))</f>
        <v>60</v>
      </c>
      <c r="J17" s="7">
        <v>100</v>
      </c>
      <c r="K17" s="7">
        <v>1.1000000000000001</v>
      </c>
      <c r="L17" s="7">
        <v>600</v>
      </c>
      <c r="M17" s="5"/>
      <c r="AD17" s="5"/>
    </row>
    <row r="18" spans="1:30" x14ac:dyDescent="0.25">
      <c r="A18" s="6" t="s">
        <v>564</v>
      </c>
      <c r="B18" s="6">
        <v>3250</v>
      </c>
      <c r="C18" s="7">
        <f>IF(Calculator!B3="Low Rank",1.51,IF(Calculator!B3="High Rank",2.02,6.2))</f>
        <v>1.51</v>
      </c>
      <c r="D18" s="7">
        <f t="shared" si="0"/>
        <v>4907</v>
      </c>
      <c r="E18" s="7" t="s">
        <v>835</v>
      </c>
      <c r="F18" s="7" t="s">
        <v>139</v>
      </c>
      <c r="G18" s="7">
        <f>IF(Calculator!B3="Low Rank",1,IF(Calculator!B3="High Rank",1.2,1.4))</f>
        <v>1</v>
      </c>
      <c r="H18" s="7">
        <f>IF(OR(Calculator!B3="Low Rank",Calculator!B3="High Rank"),30,20)</f>
        <v>30</v>
      </c>
      <c r="I18" s="7">
        <f>IF(Calculator!B3="Low Rank",60,IF(Calculator!B3="High Rank",50,40))</f>
        <v>60</v>
      </c>
      <c r="J18" s="7">
        <v>100</v>
      </c>
      <c r="K18" s="7">
        <v>1.1000000000000001</v>
      </c>
      <c r="L18" s="7">
        <v>650</v>
      </c>
      <c r="M18" s="5"/>
      <c r="AD18" s="5"/>
    </row>
    <row r="19" spans="1:30" x14ac:dyDescent="0.25">
      <c r="A19" s="6" t="s">
        <v>565</v>
      </c>
      <c r="B19" s="6">
        <v>3250</v>
      </c>
      <c r="C19" s="7">
        <f>IF(Calculator!B3="Low Rank",1.51,IF(Calculator!B3="High Rank",2.02,6.2))</f>
        <v>1.51</v>
      </c>
      <c r="D19" s="7">
        <f t="shared" si="0"/>
        <v>4907</v>
      </c>
      <c r="E19" s="7" t="s">
        <v>736</v>
      </c>
      <c r="F19" s="7" t="s">
        <v>138</v>
      </c>
      <c r="G19" s="7">
        <f>IF(Calculator!B3="Low Rank",1,IF(Calculator!B3="High Rank",1.2,1.4))</f>
        <v>1</v>
      </c>
      <c r="H19" s="7">
        <f>IF(OR(Calculator!B3="Low Rank",Calculator!B3="High Rank"),30,20)</f>
        <v>30</v>
      </c>
      <c r="I19" s="7">
        <f>IF(Calculator!B3="Low Rank",60,45)</f>
        <v>60</v>
      </c>
      <c r="J19" s="7">
        <v>90</v>
      </c>
      <c r="K19" s="7">
        <v>1.1000000000000001</v>
      </c>
      <c r="L19" s="7">
        <v>500</v>
      </c>
      <c r="M19" s="5"/>
    </row>
    <row r="20" spans="1:30" x14ac:dyDescent="0.25">
      <c r="A20" s="6" t="s">
        <v>603</v>
      </c>
      <c r="B20" s="6">
        <v>3350</v>
      </c>
      <c r="C20" s="7">
        <f>IF(Calculator!B3="Low Rank",1.51,IF(Calculator!B3="High Rank",2.02,6.4))</f>
        <v>1.51</v>
      </c>
      <c r="D20" s="7">
        <f t="shared" si="0"/>
        <v>5058</v>
      </c>
      <c r="E20" s="7" t="s">
        <v>835</v>
      </c>
      <c r="F20" s="7" t="s">
        <v>138</v>
      </c>
      <c r="G20" s="7">
        <f>IF(Calculator!B3="Low Rank",1,IF(Calculator!B3="High Rank",1.3,1.4))</f>
        <v>1</v>
      </c>
      <c r="H20" s="7">
        <v>0</v>
      </c>
      <c r="I20" s="7">
        <v>0</v>
      </c>
      <c r="J20" s="7">
        <v>150</v>
      </c>
      <c r="K20" s="7">
        <v>1.1000000000000001</v>
      </c>
      <c r="L20" s="7">
        <v>200</v>
      </c>
      <c r="M20" s="5"/>
    </row>
    <row r="21" spans="1:30" x14ac:dyDescent="0.25">
      <c r="A21" s="6" t="s">
        <v>604</v>
      </c>
      <c r="B21" s="6">
        <v>12000</v>
      </c>
      <c r="C21" s="7">
        <f>IF(Calculator!B3="Low Rank",1,2.02)</f>
        <v>1</v>
      </c>
      <c r="D21" s="7">
        <f t="shared" si="0"/>
        <v>12000</v>
      </c>
      <c r="E21" s="7" t="s">
        <v>998</v>
      </c>
      <c r="F21" s="7" t="s">
        <v>834</v>
      </c>
      <c r="G21" s="7">
        <v>1</v>
      </c>
      <c r="H21" s="7">
        <v>0</v>
      </c>
      <c r="I21" s="7">
        <v>120</v>
      </c>
      <c r="J21" s="7">
        <v>0</v>
      </c>
      <c r="K21" s="7">
        <v>1</v>
      </c>
      <c r="L21" s="7">
        <v>0</v>
      </c>
      <c r="M21" s="5"/>
    </row>
    <row r="22" spans="1:30" x14ac:dyDescent="0.25">
      <c r="A22" s="6" t="s">
        <v>605</v>
      </c>
      <c r="B22" s="6">
        <v>3000</v>
      </c>
      <c r="C22" s="7">
        <f>IF(OR(Calculator!B3="Low Rank",Calculator!B3="High Rank"),1.9,6)</f>
        <v>1.9</v>
      </c>
      <c r="D22" s="7">
        <f t="shared" si="0"/>
        <v>5700</v>
      </c>
      <c r="E22" s="7" t="s">
        <v>141</v>
      </c>
      <c r="F22" s="7" t="s">
        <v>141</v>
      </c>
      <c r="G22" s="7">
        <f>IF(OR(Calculator!B3="Low Rank",Calculator!B3="High Rank"),1.1,1.4)</f>
        <v>1.1000000000000001</v>
      </c>
      <c r="H22" s="7">
        <v>30</v>
      </c>
      <c r="I22" s="7">
        <v>60</v>
      </c>
      <c r="J22" s="7">
        <v>90</v>
      </c>
      <c r="K22" s="7">
        <v>1.1000000000000001</v>
      </c>
      <c r="L22" s="7">
        <v>550</v>
      </c>
      <c r="M22" s="5"/>
    </row>
    <row r="23" spans="1:30" x14ac:dyDescent="0.25">
      <c r="A23" s="6" t="s">
        <v>606</v>
      </c>
      <c r="B23" s="6">
        <v>3000</v>
      </c>
      <c r="C23" s="7">
        <f>IF(OR(Calculator!B3="Low Rank",Calculator!B3="High Rank"),2.02,6.2)</f>
        <v>2.02</v>
      </c>
      <c r="D23" s="7">
        <f t="shared" si="0"/>
        <v>6060</v>
      </c>
      <c r="E23" s="7" t="s">
        <v>835</v>
      </c>
      <c r="F23" s="7" t="s">
        <v>139</v>
      </c>
      <c r="G23" s="7">
        <f>IF(OR(Calculator!B3="Low Rank",Calculator!B3="High Rank"),1.2,1.4)</f>
        <v>1.2</v>
      </c>
      <c r="H23" s="7">
        <f>IF(OR(Calculator!B3="Low Rank",Calculator!B3="High Rank"),30,25)</f>
        <v>30</v>
      </c>
      <c r="I23" s="7">
        <f>IF(Calculator!B3="Low Rank",60,IF(Calculator!B3="High Rank",50,40))</f>
        <v>60</v>
      </c>
      <c r="J23" s="7">
        <v>100</v>
      </c>
      <c r="K23" s="7">
        <v>1.1000000000000001</v>
      </c>
      <c r="L23" s="7">
        <v>600</v>
      </c>
      <c r="M23" s="5"/>
    </row>
    <row r="24" spans="1:30" x14ac:dyDescent="0.25">
      <c r="A24" s="6" t="s">
        <v>607</v>
      </c>
      <c r="B24" s="6">
        <v>4550</v>
      </c>
      <c r="C24" s="7">
        <v>2.02</v>
      </c>
      <c r="D24" s="7">
        <f t="shared" si="0"/>
        <v>9191</v>
      </c>
      <c r="E24" s="7" t="s">
        <v>736</v>
      </c>
      <c r="F24" s="7" t="s">
        <v>141</v>
      </c>
      <c r="G24" s="7">
        <v>1.2</v>
      </c>
      <c r="H24" s="7">
        <v>30</v>
      </c>
      <c r="I24" s="7">
        <v>40</v>
      </c>
      <c r="J24" s="7">
        <v>120</v>
      </c>
      <c r="K24" s="7">
        <v>1.1000000000000001</v>
      </c>
      <c r="L24" s="7">
        <v>400</v>
      </c>
      <c r="M24" s="5"/>
    </row>
    <row r="25" spans="1:30" x14ac:dyDescent="0.25">
      <c r="A25" s="6" t="s">
        <v>608</v>
      </c>
      <c r="B25" s="6">
        <v>4400</v>
      </c>
      <c r="C25" s="7">
        <v>2.02</v>
      </c>
      <c r="D25" s="7">
        <f t="shared" si="0"/>
        <v>8888</v>
      </c>
      <c r="E25" s="7" t="s">
        <v>736</v>
      </c>
      <c r="F25" s="7" t="s">
        <v>138</v>
      </c>
      <c r="G25" s="7">
        <v>1.2</v>
      </c>
      <c r="H25" s="7">
        <v>20</v>
      </c>
      <c r="I25" s="7">
        <v>40</v>
      </c>
      <c r="J25" s="7">
        <v>135</v>
      </c>
      <c r="K25" s="7">
        <v>1</v>
      </c>
      <c r="L25" s="7">
        <v>500</v>
      </c>
      <c r="M25" s="5"/>
    </row>
    <row r="26" spans="1:30" x14ac:dyDescent="0.25">
      <c r="A26" s="6" t="s">
        <v>609</v>
      </c>
      <c r="B26" s="6">
        <v>4000</v>
      </c>
      <c r="C26" s="7">
        <f>IF(OR(Calculator!B3="Low Rank",Calculator!B3="High Rank"),2.02,6.2)</f>
        <v>2.02</v>
      </c>
      <c r="D26" s="7">
        <f t="shared" si="0"/>
        <v>8080</v>
      </c>
      <c r="E26" s="7" t="s">
        <v>141</v>
      </c>
      <c r="F26" s="7" t="s">
        <v>141</v>
      </c>
      <c r="G26" s="7">
        <f>IF(OR(Calculator!B3="Low Rank",Calculator!B3="High Rank"),1.2,1.4)</f>
        <v>1.2</v>
      </c>
      <c r="H26" s="7">
        <f>IF(OR(Calculator!B3="Low Rank",Calculator!B3="High Rank"),30,20)</f>
        <v>30</v>
      </c>
      <c r="I26" s="7">
        <v>60</v>
      </c>
      <c r="J26" s="7">
        <v>120</v>
      </c>
      <c r="K26" s="7">
        <v>0.9</v>
      </c>
      <c r="L26" s="7">
        <v>450</v>
      </c>
      <c r="M26" s="5"/>
    </row>
    <row r="27" spans="1:30" x14ac:dyDescent="0.25">
      <c r="A27" s="6" t="s">
        <v>610</v>
      </c>
      <c r="B27" s="6">
        <v>4300</v>
      </c>
      <c r="C27" s="7">
        <f>IF(OR(Calculator!B3="Low Rank",Calculator!B3="High Rank"),2.02,6.2)</f>
        <v>2.02</v>
      </c>
      <c r="D27" s="7">
        <f t="shared" si="0"/>
        <v>8686</v>
      </c>
      <c r="E27" s="7" t="s">
        <v>618</v>
      </c>
      <c r="F27" s="7" t="s">
        <v>140</v>
      </c>
      <c r="G27" s="7">
        <f>IF(OR(Calculator!B3="Low Rank",Calculator!B3="High Rank"),1.2,1.4)</f>
        <v>1.2</v>
      </c>
      <c r="H27" s="7">
        <f>IF(OR(Calculator!B3="Low Rank",Calculator!B3="High Rank"),30,20)</f>
        <v>30</v>
      </c>
      <c r="I27" s="7">
        <v>60</v>
      </c>
      <c r="J27" s="7">
        <v>120</v>
      </c>
      <c r="K27" s="7">
        <f>IF(OR(Calculator!B3="Low Rank",Calculator!B3="High Rank"),1,1.2)</f>
        <v>1</v>
      </c>
      <c r="L27" s="7">
        <v>450</v>
      </c>
      <c r="M27" s="5"/>
    </row>
    <row r="28" spans="1:30" x14ac:dyDescent="0.25">
      <c r="A28" s="6" t="s">
        <v>611</v>
      </c>
      <c r="B28" s="6">
        <v>3250</v>
      </c>
      <c r="C28" s="7">
        <f>IF(OR(Calculator!B3="Low Rank",Calculator!B3="High Rank"),2.02,6.2)</f>
        <v>2.02</v>
      </c>
      <c r="D28" s="7">
        <f t="shared" si="0"/>
        <v>6565</v>
      </c>
      <c r="E28" s="7" t="s">
        <v>835</v>
      </c>
      <c r="F28" s="7" t="s">
        <v>139</v>
      </c>
      <c r="G28" s="7">
        <f>IF(OR(Calculator!B3="Low Rank",Calculator!B3="High Rank"),1.2,1.4)</f>
        <v>1.2</v>
      </c>
      <c r="H28" s="7">
        <f>IF(OR(Calculator!B3="Low Rank",Calculator!B3="High Rank"),30,15)</f>
        <v>30</v>
      </c>
      <c r="I28" s="7">
        <f>IF(Calculator!B3="Low Rank",60,IF(Calculator!B3="High Rank",50,40))</f>
        <v>60</v>
      </c>
      <c r="J28" s="7">
        <v>100</v>
      </c>
      <c r="K28" s="7">
        <v>1.1000000000000001</v>
      </c>
      <c r="L28" s="7">
        <v>650</v>
      </c>
      <c r="M28" s="5"/>
    </row>
    <row r="29" spans="1:30" x14ac:dyDescent="0.25">
      <c r="A29" s="6" t="s">
        <v>612</v>
      </c>
      <c r="B29" s="6">
        <v>3450</v>
      </c>
      <c r="C29" s="7">
        <f>IF(OR(Calculator!B3="Low Rank",Calculator!B3="High Rank"),2.02,6.2)</f>
        <v>2.02</v>
      </c>
      <c r="D29" s="7">
        <f t="shared" si="0"/>
        <v>6969</v>
      </c>
      <c r="E29" s="7" t="s">
        <v>736</v>
      </c>
      <c r="F29" s="7" t="s">
        <v>138</v>
      </c>
      <c r="G29" s="7">
        <f>IF(OR(Calculator!B3="Low Rank",Calculator!B3="High Rank"),1.2,1.4)</f>
        <v>1.2</v>
      </c>
      <c r="H29" s="7">
        <f>IF(OR(Calculator!B3="Low Rank",Calculator!B3="High Rank"),30,15)</f>
        <v>30</v>
      </c>
      <c r="I29" s="7">
        <f>IF(Calculator!B3="Low Rank",90,60)</f>
        <v>90</v>
      </c>
      <c r="J29" s="7">
        <f>IF(OR(Calculator!B3="Low Rank",Calculator!B3="High Rank"),75,90)</f>
        <v>75</v>
      </c>
      <c r="K29" s="7">
        <v>1.1000000000000001</v>
      </c>
      <c r="L29" s="7">
        <v>300</v>
      </c>
      <c r="M29" s="5"/>
    </row>
    <row r="30" spans="1:30" x14ac:dyDescent="0.25">
      <c r="A30" s="6" t="s">
        <v>613</v>
      </c>
      <c r="B30" s="6">
        <v>3520</v>
      </c>
      <c r="C30" s="7">
        <f>IF(Calculator!B3="Low Rank",1.18,2.02)</f>
        <v>1.18</v>
      </c>
      <c r="D30" s="7">
        <f t="shared" si="0"/>
        <v>4153</v>
      </c>
      <c r="E30" s="7" t="s">
        <v>736</v>
      </c>
      <c r="F30" s="7" t="s">
        <v>138</v>
      </c>
      <c r="G30" s="7">
        <f>IF(Calculator!B3="Low Rank",1,1.3)</f>
        <v>1</v>
      </c>
      <c r="H30" s="7">
        <v>0</v>
      </c>
      <c r="I30" s="7">
        <v>30</v>
      </c>
      <c r="J30" s="7">
        <v>100</v>
      </c>
      <c r="K30" s="7">
        <v>1</v>
      </c>
      <c r="L30" s="7">
        <v>400</v>
      </c>
      <c r="M30" s="5"/>
    </row>
    <row r="31" spans="1:30" x14ac:dyDescent="0.25">
      <c r="A31" s="6" t="s">
        <v>614</v>
      </c>
      <c r="B31" s="6">
        <v>4300</v>
      </c>
      <c r="C31" s="7">
        <f>IF(OR(Calculator!B3="Low Rank",Calculator!B3="High Rank"),2.02,6.4)</f>
        <v>2.02</v>
      </c>
      <c r="D31" s="7">
        <f t="shared" si="0"/>
        <v>8686</v>
      </c>
      <c r="E31" s="7" t="s">
        <v>736</v>
      </c>
      <c r="F31" s="7" t="s">
        <v>141</v>
      </c>
      <c r="G31" s="7">
        <f>IF(OR(Calculator!B3="Low Rank",Calculator!B3="High Rank"),1.3,1.4)</f>
        <v>1.3</v>
      </c>
      <c r="H31" s="7">
        <v>0</v>
      </c>
      <c r="I31" s="7">
        <v>0</v>
      </c>
      <c r="J31" s="7">
        <v>120</v>
      </c>
      <c r="K31" s="7">
        <v>1.2</v>
      </c>
      <c r="L31" s="7">
        <v>860</v>
      </c>
      <c r="M31" s="5"/>
    </row>
    <row r="32" spans="1:30" x14ac:dyDescent="0.25">
      <c r="A32" s="6" t="s">
        <v>670</v>
      </c>
      <c r="B32" s="6">
        <v>4300</v>
      </c>
      <c r="C32" s="7">
        <f>IF(OR(Calculator!B3="Low Rank",Calculator!B3="High Rank"),2.9,6.4)</f>
        <v>2.9</v>
      </c>
      <c r="D32" s="7">
        <f t="shared" si="0"/>
        <v>12470</v>
      </c>
      <c r="E32" s="7" t="s">
        <v>835</v>
      </c>
      <c r="F32" s="7" t="s">
        <v>138</v>
      </c>
      <c r="G32" s="7">
        <f>IF(OR(Calculator!B3="Low Rank",Calculator!B3="High Rank"),1.3,1.4)</f>
        <v>1.3</v>
      </c>
      <c r="H32" s="7">
        <v>0</v>
      </c>
      <c r="I32" s="7">
        <v>0</v>
      </c>
      <c r="J32" s="7">
        <v>120</v>
      </c>
      <c r="K32" s="7">
        <v>1.2</v>
      </c>
      <c r="L32" s="7">
        <v>860</v>
      </c>
      <c r="M32" s="5"/>
    </row>
    <row r="33" spans="1:13" x14ac:dyDescent="0.25">
      <c r="A33" s="6" t="s">
        <v>615</v>
      </c>
      <c r="B33" s="6">
        <v>3980</v>
      </c>
      <c r="C33" s="7">
        <f>IF(OR(Calculator!B3="Low Rank",Calculator!B3="High Rank"),2.02,6.4)</f>
        <v>2.02</v>
      </c>
      <c r="D33" s="7">
        <f t="shared" si="0"/>
        <v>8039</v>
      </c>
      <c r="E33" s="7" t="s">
        <v>141</v>
      </c>
      <c r="F33" s="7" t="s">
        <v>140</v>
      </c>
      <c r="G33" s="7">
        <f>IF(OR(Calculator!B3="Low Rank",Calculator!B3="High Rank"),1.3,1.4)</f>
        <v>1.3</v>
      </c>
      <c r="H33" s="7">
        <v>0</v>
      </c>
      <c r="I33" s="7">
        <v>50</v>
      </c>
      <c r="J33" s="7">
        <v>80</v>
      </c>
      <c r="K33" s="7">
        <v>1.1000000000000001</v>
      </c>
      <c r="L33" s="7">
        <v>550</v>
      </c>
      <c r="M33" s="5"/>
    </row>
    <row r="34" spans="1:13" x14ac:dyDescent="0.25">
      <c r="A34" s="6" t="s">
        <v>616</v>
      </c>
      <c r="B34" s="6">
        <v>4700</v>
      </c>
      <c r="C34" s="7">
        <v>2.02</v>
      </c>
      <c r="D34" s="7">
        <f t="shared" si="0"/>
        <v>9494</v>
      </c>
      <c r="E34" s="7" t="s">
        <v>835</v>
      </c>
      <c r="F34" s="7" t="s">
        <v>141</v>
      </c>
      <c r="G34" s="7">
        <v>1.3</v>
      </c>
      <c r="H34" s="7">
        <v>0</v>
      </c>
      <c r="I34" s="7">
        <v>120</v>
      </c>
      <c r="J34" s="7">
        <v>60</v>
      </c>
      <c r="K34" s="7">
        <v>1.05</v>
      </c>
      <c r="L34" s="7">
        <v>600</v>
      </c>
      <c r="M34" s="5"/>
    </row>
    <row r="35" spans="1:13" x14ac:dyDescent="0.25">
      <c r="A35" s="6" t="s">
        <v>721</v>
      </c>
      <c r="B35" s="6">
        <v>30000</v>
      </c>
      <c r="C35" s="7">
        <v>1</v>
      </c>
      <c r="D35" s="7">
        <f t="shared" si="0"/>
        <v>30000</v>
      </c>
      <c r="E35" s="7" t="s">
        <v>140</v>
      </c>
      <c r="F35" s="7" t="s">
        <v>672</v>
      </c>
      <c r="G35" s="7">
        <f>IF(OR(Calculator!B3="Low Rank",Calculator!B3="High Rank"),1.3,2)</f>
        <v>1.3</v>
      </c>
      <c r="H35" s="7">
        <v>0</v>
      </c>
      <c r="I35" s="7">
        <v>0</v>
      </c>
      <c r="J35" s="7">
        <v>150</v>
      </c>
      <c r="K35" s="7">
        <v>1.2</v>
      </c>
      <c r="L35" s="7">
        <v>1500</v>
      </c>
      <c r="M35" s="5"/>
    </row>
    <row r="36" spans="1:13" x14ac:dyDescent="0.25">
      <c r="A36" s="6" t="s">
        <v>671</v>
      </c>
      <c r="B36" s="6">
        <v>7500</v>
      </c>
      <c r="C36" s="7">
        <v>2.2000000000000002</v>
      </c>
      <c r="D36" s="7">
        <f t="shared" si="0"/>
        <v>16500</v>
      </c>
      <c r="E36" s="7" t="s">
        <v>834</v>
      </c>
      <c r="F36" s="7" t="s">
        <v>141</v>
      </c>
      <c r="G36" s="7">
        <v>1.3</v>
      </c>
      <c r="H36" s="7">
        <v>0</v>
      </c>
      <c r="I36" s="7">
        <v>0</v>
      </c>
      <c r="J36" s="7">
        <v>100</v>
      </c>
      <c r="K36" s="7">
        <v>0.95</v>
      </c>
      <c r="L36" s="7">
        <v>500</v>
      </c>
      <c r="M36" s="5"/>
    </row>
    <row r="37" spans="1:13" x14ac:dyDescent="0.25">
      <c r="A37" s="6" t="s">
        <v>748</v>
      </c>
      <c r="B37" s="6">
        <v>2120</v>
      </c>
      <c r="C37" s="7">
        <v>5.8</v>
      </c>
      <c r="D37" s="7">
        <f t="shared" si="0"/>
        <v>12296</v>
      </c>
      <c r="E37" s="7" t="s">
        <v>736</v>
      </c>
      <c r="F37" s="7" t="s">
        <v>140</v>
      </c>
      <c r="G37" s="7">
        <v>1.25</v>
      </c>
      <c r="H37" s="7">
        <v>25</v>
      </c>
      <c r="I37" s="7">
        <v>60</v>
      </c>
      <c r="J37" s="7">
        <v>120</v>
      </c>
      <c r="K37" s="7">
        <v>1.05</v>
      </c>
      <c r="L37" s="7">
        <v>350</v>
      </c>
      <c r="M37" s="5"/>
    </row>
    <row r="38" spans="1:13" x14ac:dyDescent="0.25">
      <c r="A38" s="6" t="s">
        <v>749</v>
      </c>
      <c r="B38" s="6">
        <v>2800</v>
      </c>
      <c r="C38" s="7">
        <v>6</v>
      </c>
      <c r="D38" s="7">
        <f t="shared" si="0"/>
        <v>16800</v>
      </c>
      <c r="E38" s="7" t="s">
        <v>736</v>
      </c>
      <c r="F38" s="7" t="s">
        <v>140</v>
      </c>
      <c r="G38" s="7">
        <v>1.4</v>
      </c>
      <c r="H38" s="7">
        <v>25</v>
      </c>
      <c r="I38" s="7">
        <v>50</v>
      </c>
      <c r="J38" s="7">
        <v>90</v>
      </c>
      <c r="K38" s="7">
        <v>1.1000000000000001</v>
      </c>
      <c r="L38" s="7">
        <v>600</v>
      </c>
      <c r="M38" s="5"/>
    </row>
    <row r="39" spans="1:13" x14ac:dyDescent="0.25">
      <c r="A39" s="6" t="s">
        <v>751</v>
      </c>
      <c r="B39" s="6">
        <v>2900</v>
      </c>
      <c r="C39" s="7">
        <v>6.2</v>
      </c>
      <c r="D39" s="7">
        <f t="shared" si="0"/>
        <v>17980</v>
      </c>
      <c r="E39" s="7" t="s">
        <v>835</v>
      </c>
      <c r="F39" s="7" t="s">
        <v>138</v>
      </c>
      <c r="G39" s="7">
        <v>1.4</v>
      </c>
      <c r="H39" s="7">
        <v>25</v>
      </c>
      <c r="I39" s="7">
        <v>80</v>
      </c>
      <c r="J39" s="7">
        <v>100</v>
      </c>
      <c r="K39" s="7">
        <v>1.1000000000000001</v>
      </c>
      <c r="L39" s="7">
        <v>600</v>
      </c>
      <c r="M39" s="5"/>
    </row>
    <row r="40" spans="1:13" x14ac:dyDescent="0.25">
      <c r="A40" s="6" t="s">
        <v>752</v>
      </c>
      <c r="B40" s="6">
        <v>2950</v>
      </c>
      <c r="C40" s="7">
        <v>6.2</v>
      </c>
      <c r="D40" s="7">
        <f t="shared" si="0"/>
        <v>18290</v>
      </c>
      <c r="E40" s="7" t="s">
        <v>736</v>
      </c>
      <c r="F40" s="7" t="s">
        <v>138</v>
      </c>
      <c r="G40" s="7">
        <v>1.4</v>
      </c>
      <c r="H40" s="7">
        <v>25</v>
      </c>
      <c r="I40" s="7">
        <v>30</v>
      </c>
      <c r="J40" s="7">
        <v>150</v>
      </c>
      <c r="K40" s="7">
        <v>1</v>
      </c>
      <c r="L40" s="7">
        <v>450</v>
      </c>
      <c r="M40" s="5"/>
    </row>
    <row r="41" spans="1:13" x14ac:dyDescent="0.25">
      <c r="A41" s="6" t="s">
        <v>753</v>
      </c>
      <c r="B41" s="6">
        <v>3000</v>
      </c>
      <c r="C41" s="7">
        <v>6.2</v>
      </c>
      <c r="D41" s="7">
        <f t="shared" si="0"/>
        <v>18600</v>
      </c>
      <c r="E41" s="7" t="s">
        <v>141</v>
      </c>
      <c r="F41" s="7" t="s">
        <v>138</v>
      </c>
      <c r="G41" s="7">
        <v>1.4</v>
      </c>
      <c r="H41" s="7">
        <v>25</v>
      </c>
      <c r="I41" s="7">
        <v>50</v>
      </c>
      <c r="J41" s="7">
        <v>80</v>
      </c>
      <c r="K41" s="7">
        <v>1.1000000000000001</v>
      </c>
      <c r="L41" s="7">
        <v>560</v>
      </c>
      <c r="M41" s="5"/>
    </row>
    <row r="42" spans="1:13" x14ac:dyDescent="0.25">
      <c r="A42" s="6" t="s">
        <v>750</v>
      </c>
      <c r="B42" s="6">
        <v>3000</v>
      </c>
      <c r="C42" s="7">
        <v>6.2</v>
      </c>
      <c r="D42" s="7">
        <f t="shared" ref="D42:D71" si="1">ROUNDDOWN(B42*C42,0)</f>
        <v>18600</v>
      </c>
      <c r="E42" s="7" t="s">
        <v>736</v>
      </c>
      <c r="F42" s="7" t="s">
        <v>138</v>
      </c>
      <c r="G42" s="7">
        <v>1.4</v>
      </c>
      <c r="H42" s="7">
        <v>20</v>
      </c>
      <c r="I42" s="7">
        <v>60</v>
      </c>
      <c r="J42" s="7">
        <v>90</v>
      </c>
      <c r="K42" s="7">
        <v>1.05</v>
      </c>
      <c r="L42" s="7">
        <v>300</v>
      </c>
      <c r="M42" s="5"/>
    </row>
    <row r="43" spans="1:13" x14ac:dyDescent="0.25">
      <c r="A43" s="6" t="s">
        <v>769</v>
      </c>
      <c r="B43" s="6">
        <v>3150</v>
      </c>
      <c r="C43" s="7">
        <v>6.2</v>
      </c>
      <c r="D43" s="7">
        <f t="shared" si="1"/>
        <v>19530</v>
      </c>
      <c r="E43" s="7" t="s">
        <v>736</v>
      </c>
      <c r="F43" s="7" t="s">
        <v>138</v>
      </c>
      <c r="G43" s="7">
        <v>1.4</v>
      </c>
      <c r="H43" s="7">
        <v>20</v>
      </c>
      <c r="I43" s="7">
        <v>60</v>
      </c>
      <c r="J43" s="7">
        <v>75</v>
      </c>
      <c r="K43" s="7">
        <v>1.1000000000000001</v>
      </c>
      <c r="L43" s="7">
        <v>550</v>
      </c>
      <c r="M43" s="5"/>
    </row>
    <row r="44" spans="1:13" x14ac:dyDescent="0.25">
      <c r="A44" s="6" t="s">
        <v>770</v>
      </c>
      <c r="B44" s="6">
        <v>3000</v>
      </c>
      <c r="C44" s="7">
        <v>6.2</v>
      </c>
      <c r="D44" s="7">
        <f t="shared" si="1"/>
        <v>18600</v>
      </c>
      <c r="E44" s="7" t="s">
        <v>736</v>
      </c>
      <c r="F44" s="7" t="s">
        <v>138</v>
      </c>
      <c r="G44" s="7">
        <v>1.4</v>
      </c>
      <c r="H44" s="7">
        <v>20</v>
      </c>
      <c r="I44" s="7">
        <v>40</v>
      </c>
      <c r="J44" s="7">
        <v>120</v>
      </c>
      <c r="K44" s="7">
        <v>1</v>
      </c>
      <c r="L44" s="7">
        <v>400</v>
      </c>
      <c r="M44" s="5"/>
    </row>
    <row r="45" spans="1:13" x14ac:dyDescent="0.25">
      <c r="A45" s="6" t="s">
        <v>771</v>
      </c>
      <c r="B45" s="6">
        <v>3000</v>
      </c>
      <c r="C45" s="7">
        <v>6.2</v>
      </c>
      <c r="D45" s="7">
        <f t="shared" si="1"/>
        <v>18600</v>
      </c>
      <c r="E45" s="7" t="s">
        <v>736</v>
      </c>
      <c r="F45" s="7" t="s">
        <v>138</v>
      </c>
      <c r="G45" s="7">
        <v>1.4</v>
      </c>
      <c r="H45" s="7">
        <v>20</v>
      </c>
      <c r="I45" s="7">
        <v>120</v>
      </c>
      <c r="J45" s="7">
        <v>110</v>
      </c>
      <c r="K45" s="7">
        <v>1.1000000000000001</v>
      </c>
      <c r="L45" s="7">
        <v>450</v>
      </c>
      <c r="M45" s="5"/>
    </row>
    <row r="46" spans="1:13" x14ac:dyDescent="0.25">
      <c r="A46" s="6" t="s">
        <v>772</v>
      </c>
      <c r="B46" s="6">
        <v>2990</v>
      </c>
      <c r="C46" s="7">
        <v>6.2</v>
      </c>
      <c r="D46" s="7">
        <f t="shared" si="1"/>
        <v>18538</v>
      </c>
      <c r="E46" s="7" t="s">
        <v>736</v>
      </c>
      <c r="F46" s="7" t="s">
        <v>141</v>
      </c>
      <c r="G46" s="7">
        <v>1.4</v>
      </c>
      <c r="H46" s="7">
        <v>20</v>
      </c>
      <c r="I46" s="7">
        <v>50</v>
      </c>
      <c r="J46" s="7">
        <v>130</v>
      </c>
      <c r="K46" s="7">
        <v>0.95</v>
      </c>
      <c r="L46" s="7">
        <v>370</v>
      </c>
      <c r="M46" s="5"/>
    </row>
    <row r="47" spans="1:13" x14ac:dyDescent="0.25">
      <c r="A47" s="6" t="s">
        <v>782</v>
      </c>
      <c r="B47" s="6">
        <v>3000</v>
      </c>
      <c r="C47" s="7">
        <v>6.2</v>
      </c>
      <c r="D47" s="7">
        <f t="shared" si="1"/>
        <v>18600</v>
      </c>
      <c r="E47" s="7" t="s">
        <v>672</v>
      </c>
      <c r="F47" s="7" t="s">
        <v>138</v>
      </c>
      <c r="G47" s="7">
        <v>1.4</v>
      </c>
      <c r="H47" s="7">
        <v>15</v>
      </c>
      <c r="I47" s="7">
        <v>50</v>
      </c>
      <c r="J47" s="7">
        <v>100</v>
      </c>
      <c r="K47" s="7">
        <v>1.1000000000000001</v>
      </c>
      <c r="L47" s="7">
        <v>600</v>
      </c>
      <c r="M47" s="5"/>
    </row>
    <row r="48" spans="1:13" x14ac:dyDescent="0.25">
      <c r="A48" s="6" t="s">
        <v>785</v>
      </c>
      <c r="B48" s="6">
        <v>2990</v>
      </c>
      <c r="C48" s="7">
        <v>6.2</v>
      </c>
      <c r="D48" s="7">
        <f t="shared" si="1"/>
        <v>18538</v>
      </c>
      <c r="E48" s="7" t="s">
        <v>736</v>
      </c>
      <c r="F48" s="7" t="s">
        <v>141</v>
      </c>
      <c r="G48" s="7">
        <v>1.4</v>
      </c>
      <c r="H48" s="7">
        <v>15</v>
      </c>
      <c r="I48" s="7">
        <v>50</v>
      </c>
      <c r="J48" s="7">
        <v>130</v>
      </c>
      <c r="K48" s="7">
        <v>1</v>
      </c>
      <c r="L48" s="7">
        <v>370</v>
      </c>
      <c r="M48" s="5"/>
    </row>
    <row r="49" spans="1:13" x14ac:dyDescent="0.25">
      <c r="A49" s="6" t="s">
        <v>786</v>
      </c>
      <c r="B49" s="6">
        <v>2990</v>
      </c>
      <c r="C49" s="7">
        <v>6.2</v>
      </c>
      <c r="D49" s="7">
        <f t="shared" si="1"/>
        <v>18538</v>
      </c>
      <c r="E49" s="7" t="s">
        <v>736</v>
      </c>
      <c r="F49" s="7" t="s">
        <v>138</v>
      </c>
      <c r="G49" s="7">
        <v>1.4</v>
      </c>
      <c r="H49" s="7">
        <v>20</v>
      </c>
      <c r="I49" s="7">
        <v>50</v>
      </c>
      <c r="J49" s="7">
        <v>130</v>
      </c>
      <c r="K49" s="7">
        <v>1</v>
      </c>
      <c r="L49" s="7">
        <v>370</v>
      </c>
      <c r="M49" s="5"/>
    </row>
    <row r="50" spans="1:13" x14ac:dyDescent="0.25">
      <c r="A50" s="6" t="s">
        <v>787</v>
      </c>
      <c r="B50" s="6">
        <v>3000</v>
      </c>
      <c r="C50" s="7">
        <v>6.2</v>
      </c>
      <c r="D50" s="7">
        <f t="shared" si="1"/>
        <v>18600</v>
      </c>
      <c r="E50" s="7" t="s">
        <v>141</v>
      </c>
      <c r="F50" s="7" t="s">
        <v>138</v>
      </c>
      <c r="G50" s="7">
        <v>1.4</v>
      </c>
      <c r="H50" s="7">
        <v>15</v>
      </c>
      <c r="I50" s="7">
        <v>75</v>
      </c>
      <c r="J50" s="7">
        <v>200</v>
      </c>
      <c r="K50" s="7">
        <v>1</v>
      </c>
      <c r="L50" s="7">
        <v>300</v>
      </c>
      <c r="M50" s="5"/>
    </row>
    <row r="51" spans="1:13" x14ac:dyDescent="0.25">
      <c r="A51" s="6" t="s">
        <v>773</v>
      </c>
      <c r="B51" s="6">
        <v>3600</v>
      </c>
      <c r="C51" s="7">
        <v>6.4</v>
      </c>
      <c r="D51" s="7">
        <f t="shared" si="1"/>
        <v>23040</v>
      </c>
      <c r="E51" s="7" t="s">
        <v>736</v>
      </c>
      <c r="F51" s="7" t="s">
        <v>140</v>
      </c>
      <c r="G51" s="7">
        <v>1.4</v>
      </c>
      <c r="H51" s="7">
        <v>0</v>
      </c>
      <c r="I51" s="7">
        <v>120</v>
      </c>
      <c r="J51" s="7">
        <v>150</v>
      </c>
      <c r="K51" s="7">
        <v>1.2</v>
      </c>
      <c r="L51" s="7">
        <v>800</v>
      </c>
      <c r="M51" s="5"/>
    </row>
    <row r="52" spans="1:13" x14ac:dyDescent="0.25">
      <c r="A52" s="6" t="s">
        <v>799</v>
      </c>
      <c r="B52" s="6">
        <v>4000</v>
      </c>
      <c r="C52" s="7">
        <v>6.4</v>
      </c>
      <c r="D52" s="7">
        <f t="shared" si="1"/>
        <v>25600</v>
      </c>
      <c r="E52" s="7" t="s">
        <v>736</v>
      </c>
      <c r="F52" s="7" t="s">
        <v>732</v>
      </c>
      <c r="G52" s="7">
        <v>1.4</v>
      </c>
      <c r="H52" s="7">
        <v>10</v>
      </c>
      <c r="I52" s="7">
        <v>50</v>
      </c>
      <c r="J52" s="7">
        <v>120</v>
      </c>
      <c r="K52" s="7">
        <v>1.1000000000000001</v>
      </c>
      <c r="L52" s="7">
        <v>800</v>
      </c>
      <c r="M52" s="5"/>
    </row>
    <row r="53" spans="1:13" x14ac:dyDescent="0.25">
      <c r="A53" s="6" t="s">
        <v>800</v>
      </c>
      <c r="B53" s="6">
        <v>4300</v>
      </c>
      <c r="C53" s="7">
        <v>6.4</v>
      </c>
      <c r="D53" s="7">
        <f t="shared" si="1"/>
        <v>27520</v>
      </c>
      <c r="E53" s="7" t="s">
        <v>835</v>
      </c>
      <c r="F53" s="7" t="s">
        <v>138</v>
      </c>
      <c r="G53" s="7">
        <v>1.4</v>
      </c>
      <c r="H53" s="7">
        <v>0</v>
      </c>
      <c r="I53" s="7">
        <v>120</v>
      </c>
      <c r="J53" s="7">
        <v>120</v>
      </c>
      <c r="K53" s="7">
        <v>1.05</v>
      </c>
      <c r="L53" s="7">
        <v>430</v>
      </c>
      <c r="M53" s="5"/>
    </row>
    <row r="54" spans="1:13" x14ac:dyDescent="0.25">
      <c r="A54" s="6" t="s">
        <v>801</v>
      </c>
      <c r="B54" s="6">
        <v>4000</v>
      </c>
      <c r="C54" s="7">
        <v>6.4</v>
      </c>
      <c r="D54" s="7">
        <f t="shared" si="1"/>
        <v>25600</v>
      </c>
      <c r="E54" s="7" t="s">
        <v>141</v>
      </c>
      <c r="F54" s="7" t="s">
        <v>140</v>
      </c>
      <c r="G54" s="7">
        <v>1.4</v>
      </c>
      <c r="H54" s="7">
        <v>0</v>
      </c>
      <c r="I54" s="7">
        <v>0</v>
      </c>
      <c r="J54" s="7">
        <v>120</v>
      </c>
      <c r="K54" s="7">
        <v>1.1000000000000001</v>
      </c>
      <c r="L54" s="7">
        <v>600</v>
      </c>
      <c r="M54" s="5"/>
    </row>
    <row r="55" spans="1:13" x14ac:dyDescent="0.25">
      <c r="A55" s="6" t="s">
        <v>802</v>
      </c>
      <c r="B55" s="6">
        <v>3600</v>
      </c>
      <c r="C55" s="7">
        <v>6.4</v>
      </c>
      <c r="D55" s="7">
        <f t="shared" si="1"/>
        <v>23040</v>
      </c>
      <c r="E55" s="7" t="s">
        <v>732</v>
      </c>
      <c r="F55" s="7" t="s">
        <v>138</v>
      </c>
      <c r="G55" s="7">
        <v>1.4</v>
      </c>
      <c r="H55" s="7">
        <v>10</v>
      </c>
      <c r="I55" s="7">
        <v>1</v>
      </c>
      <c r="J55" s="7">
        <v>120</v>
      </c>
      <c r="K55" s="7">
        <v>1.2</v>
      </c>
      <c r="L55" s="7">
        <v>390</v>
      </c>
      <c r="M55" s="5"/>
    </row>
    <row r="56" spans="1:13" x14ac:dyDescent="0.25">
      <c r="A56" s="6" t="s">
        <v>804</v>
      </c>
      <c r="B56" s="6">
        <v>3700</v>
      </c>
      <c r="C56" s="7">
        <v>6.4</v>
      </c>
      <c r="D56" s="7">
        <f t="shared" si="1"/>
        <v>23680</v>
      </c>
      <c r="E56" s="7" t="s">
        <v>736</v>
      </c>
      <c r="F56" s="7" t="s">
        <v>140</v>
      </c>
      <c r="G56" s="7">
        <v>1.5</v>
      </c>
      <c r="H56" s="7">
        <v>0</v>
      </c>
      <c r="I56" s="7">
        <v>20</v>
      </c>
      <c r="J56" s="7">
        <v>90</v>
      </c>
      <c r="K56" s="7">
        <v>1</v>
      </c>
      <c r="L56" s="7">
        <v>400</v>
      </c>
      <c r="M56" s="5"/>
    </row>
    <row r="57" spans="1:13" x14ac:dyDescent="0.25">
      <c r="A57" s="6" t="s">
        <v>803</v>
      </c>
      <c r="B57" s="6">
        <v>5300</v>
      </c>
      <c r="C57" s="7">
        <v>7</v>
      </c>
      <c r="D57" s="7">
        <f t="shared" si="1"/>
        <v>37100</v>
      </c>
      <c r="E57" s="7" t="s">
        <v>138</v>
      </c>
      <c r="F57" s="7" t="s">
        <v>138</v>
      </c>
      <c r="G57" s="7">
        <v>1.5</v>
      </c>
      <c r="H57" s="7">
        <v>0</v>
      </c>
      <c r="I57" s="7">
        <v>0</v>
      </c>
      <c r="J57" s="7">
        <v>120</v>
      </c>
      <c r="K57" s="7">
        <v>1.05</v>
      </c>
      <c r="L57" s="7">
        <v>1200</v>
      </c>
      <c r="M57" s="5"/>
    </row>
    <row r="58" spans="1:13" x14ac:dyDescent="0.25">
      <c r="A58" s="6" t="s">
        <v>915</v>
      </c>
      <c r="B58" s="6">
        <v>3350</v>
      </c>
      <c r="C58" s="7">
        <v>6.2</v>
      </c>
      <c r="D58" s="7">
        <f t="shared" si="1"/>
        <v>20770</v>
      </c>
      <c r="E58" s="7" t="s">
        <v>736</v>
      </c>
      <c r="F58" s="7" t="s">
        <v>138</v>
      </c>
      <c r="G58" s="7">
        <v>1.4</v>
      </c>
      <c r="H58" s="7">
        <v>20</v>
      </c>
      <c r="I58" s="7">
        <v>50</v>
      </c>
      <c r="J58" s="7">
        <v>120</v>
      </c>
      <c r="K58" s="7">
        <v>1.1000000000000001</v>
      </c>
      <c r="L58" s="7">
        <v>200</v>
      </c>
      <c r="M58" s="5"/>
    </row>
    <row r="59" spans="1:13" x14ac:dyDescent="0.25">
      <c r="A59" s="6" t="s">
        <v>916</v>
      </c>
      <c r="B59" s="6">
        <v>3150</v>
      </c>
      <c r="C59" s="7">
        <v>6.2</v>
      </c>
      <c r="D59" s="7">
        <f t="shared" si="1"/>
        <v>19530</v>
      </c>
      <c r="E59" s="7" t="s">
        <v>835</v>
      </c>
      <c r="F59" s="7" t="s">
        <v>140</v>
      </c>
      <c r="G59" s="7">
        <v>1.4</v>
      </c>
      <c r="H59" s="7">
        <v>20</v>
      </c>
      <c r="I59" s="7">
        <v>45</v>
      </c>
      <c r="J59" s="7">
        <v>75</v>
      </c>
      <c r="K59" s="7">
        <v>1.2</v>
      </c>
      <c r="L59" s="7">
        <v>450</v>
      </c>
      <c r="M59" s="5"/>
    </row>
    <row r="60" spans="1:13" x14ac:dyDescent="0.25">
      <c r="A60" s="6" t="s">
        <v>917</v>
      </c>
      <c r="B60" s="6">
        <v>3300</v>
      </c>
      <c r="C60" s="7">
        <v>6.4</v>
      </c>
      <c r="D60" s="7">
        <f t="shared" si="1"/>
        <v>21120</v>
      </c>
      <c r="E60" s="7" t="s">
        <v>835</v>
      </c>
      <c r="F60" s="7" t="s">
        <v>140</v>
      </c>
      <c r="G60" s="7">
        <v>1.5</v>
      </c>
      <c r="H60" s="7">
        <v>15</v>
      </c>
      <c r="I60" s="7">
        <v>45</v>
      </c>
      <c r="J60" s="7">
        <v>75</v>
      </c>
      <c r="K60" s="7">
        <v>1.2</v>
      </c>
      <c r="L60" s="7">
        <v>450</v>
      </c>
      <c r="M60" s="5"/>
    </row>
    <row r="61" spans="1:13" x14ac:dyDescent="0.25">
      <c r="A61" s="6" t="s">
        <v>918</v>
      </c>
      <c r="B61" s="6">
        <v>3000</v>
      </c>
      <c r="C61" s="7">
        <v>6.4</v>
      </c>
      <c r="D61" s="7">
        <f t="shared" si="1"/>
        <v>19200</v>
      </c>
      <c r="E61" s="7" t="s">
        <v>736</v>
      </c>
      <c r="F61" s="7" t="s">
        <v>138</v>
      </c>
      <c r="G61" s="7">
        <v>1.5</v>
      </c>
      <c r="H61" s="7">
        <v>15</v>
      </c>
      <c r="I61" s="7">
        <v>60</v>
      </c>
      <c r="J61" s="7">
        <v>120</v>
      </c>
      <c r="K61" s="7">
        <v>1.1000000000000001</v>
      </c>
      <c r="L61" s="7">
        <v>450</v>
      </c>
      <c r="M61" s="5"/>
    </row>
    <row r="62" spans="1:13" x14ac:dyDescent="0.25">
      <c r="A62" s="6" t="s">
        <v>919</v>
      </c>
      <c r="B62" s="6">
        <v>3000</v>
      </c>
      <c r="C62" s="7">
        <v>6.4</v>
      </c>
      <c r="D62" s="7">
        <f t="shared" si="1"/>
        <v>19200</v>
      </c>
      <c r="E62" s="7" t="s">
        <v>835</v>
      </c>
      <c r="F62" s="7" t="s">
        <v>139</v>
      </c>
      <c r="G62" s="7">
        <v>1.5</v>
      </c>
      <c r="H62" s="7">
        <v>10</v>
      </c>
      <c r="I62" s="7">
        <v>40</v>
      </c>
      <c r="J62" s="7">
        <v>150</v>
      </c>
      <c r="K62" s="7">
        <v>1.1000000000000001</v>
      </c>
      <c r="L62" s="7">
        <v>330</v>
      </c>
      <c r="M62" s="5"/>
    </row>
    <row r="63" spans="1:13" x14ac:dyDescent="0.25">
      <c r="A63" s="6" t="s">
        <v>920</v>
      </c>
      <c r="B63" s="6">
        <v>3000</v>
      </c>
      <c r="C63" s="7">
        <v>6.4</v>
      </c>
      <c r="D63" s="7">
        <f t="shared" si="1"/>
        <v>19200</v>
      </c>
      <c r="E63" s="7" t="s">
        <v>835</v>
      </c>
      <c r="F63" s="7" t="s">
        <v>139</v>
      </c>
      <c r="G63" s="7">
        <v>1.5</v>
      </c>
      <c r="H63" s="7">
        <v>10</v>
      </c>
      <c r="I63" s="7">
        <v>40</v>
      </c>
      <c r="J63" s="7">
        <v>120</v>
      </c>
      <c r="K63" s="7">
        <v>1.1000000000000001</v>
      </c>
      <c r="L63" s="7">
        <v>330</v>
      </c>
      <c r="M63" s="5"/>
    </row>
    <row r="64" spans="1:13" x14ac:dyDescent="0.25">
      <c r="A64" s="6" t="s">
        <v>921</v>
      </c>
      <c r="B64" s="6">
        <v>2700</v>
      </c>
      <c r="C64" s="7">
        <v>6.4</v>
      </c>
      <c r="D64" s="7">
        <f t="shared" si="1"/>
        <v>17280</v>
      </c>
      <c r="E64" s="7" t="s">
        <v>835</v>
      </c>
      <c r="F64" s="7" t="s">
        <v>138</v>
      </c>
      <c r="G64" s="7">
        <v>1.4</v>
      </c>
      <c r="H64" s="7">
        <v>15</v>
      </c>
      <c r="I64" s="7">
        <v>40</v>
      </c>
      <c r="J64" s="7">
        <v>80</v>
      </c>
      <c r="K64" s="7">
        <v>1.2</v>
      </c>
      <c r="L64" s="7">
        <v>350</v>
      </c>
      <c r="M64" s="5"/>
    </row>
    <row r="65" spans="1:13" x14ac:dyDescent="0.25">
      <c r="A65" s="6" t="s">
        <v>922</v>
      </c>
      <c r="B65" s="6">
        <v>3000</v>
      </c>
      <c r="C65" s="7">
        <v>6.2</v>
      </c>
      <c r="D65" s="7">
        <f t="shared" si="1"/>
        <v>18600</v>
      </c>
      <c r="E65" s="7" t="s">
        <v>736</v>
      </c>
      <c r="F65" s="7" t="s">
        <v>140</v>
      </c>
      <c r="G65" s="7">
        <v>1.4</v>
      </c>
      <c r="H65" s="7">
        <v>20</v>
      </c>
      <c r="I65" s="7">
        <v>50</v>
      </c>
      <c r="J65" s="7">
        <v>135</v>
      </c>
      <c r="K65" s="7">
        <v>1.1499999999999999</v>
      </c>
      <c r="L65" s="7">
        <v>200</v>
      </c>
      <c r="M65" s="5"/>
    </row>
    <row r="66" spans="1:13" x14ac:dyDescent="0.25">
      <c r="A66" s="6" t="s">
        <v>923</v>
      </c>
      <c r="B66" s="6">
        <v>20000</v>
      </c>
      <c r="C66" s="7">
        <v>1</v>
      </c>
      <c r="D66" s="7">
        <f t="shared" si="1"/>
        <v>20000</v>
      </c>
      <c r="E66" s="7" t="s">
        <v>736</v>
      </c>
      <c r="F66" s="7" t="s">
        <v>736</v>
      </c>
      <c r="G66" s="7">
        <v>1</v>
      </c>
      <c r="H66" s="7">
        <v>0</v>
      </c>
      <c r="I66" s="7">
        <v>0</v>
      </c>
      <c r="J66" s="7">
        <v>180</v>
      </c>
      <c r="K66" s="7">
        <v>1.2</v>
      </c>
      <c r="L66" s="7">
        <v>1500</v>
      </c>
      <c r="M66" s="5"/>
    </row>
    <row r="67" spans="1:13" x14ac:dyDescent="0.25">
      <c r="A67" s="6" t="s">
        <v>924</v>
      </c>
      <c r="B67" s="6">
        <v>2850</v>
      </c>
      <c r="C67" s="7">
        <v>7.4</v>
      </c>
      <c r="D67" s="7">
        <f t="shared" si="1"/>
        <v>21090</v>
      </c>
      <c r="E67" s="7" t="s">
        <v>835</v>
      </c>
      <c r="F67" s="7" t="s">
        <v>138</v>
      </c>
      <c r="G67" s="7">
        <v>1.6</v>
      </c>
      <c r="H67" s="7">
        <v>10</v>
      </c>
      <c r="I67" s="7">
        <v>30</v>
      </c>
      <c r="J67" s="7">
        <v>110</v>
      </c>
      <c r="K67" s="7">
        <v>1.2</v>
      </c>
      <c r="L67" s="7">
        <v>350</v>
      </c>
      <c r="M67" s="5"/>
    </row>
    <row r="68" spans="1:13" x14ac:dyDescent="0.25">
      <c r="A68" s="6" t="s">
        <v>925</v>
      </c>
      <c r="B68" s="6">
        <v>3800</v>
      </c>
      <c r="C68" s="7">
        <v>7.4</v>
      </c>
      <c r="D68" s="7">
        <f t="shared" si="1"/>
        <v>28120</v>
      </c>
      <c r="E68" s="7" t="s">
        <v>736</v>
      </c>
      <c r="F68" s="7" t="s">
        <v>141</v>
      </c>
      <c r="G68" s="7">
        <v>1.6</v>
      </c>
      <c r="H68" s="7">
        <v>0</v>
      </c>
      <c r="I68" s="7">
        <v>0</v>
      </c>
      <c r="J68" s="7">
        <v>150</v>
      </c>
      <c r="K68" s="7">
        <v>1.1000000000000001</v>
      </c>
      <c r="L68" s="7">
        <v>500</v>
      </c>
      <c r="M68" s="5"/>
    </row>
    <row r="69" spans="1:13" x14ac:dyDescent="0.25">
      <c r="A69" s="6" t="s">
        <v>926</v>
      </c>
      <c r="B69" s="6">
        <v>3000</v>
      </c>
      <c r="C69" s="7">
        <v>7</v>
      </c>
      <c r="D69" s="7">
        <f t="shared" si="1"/>
        <v>21000</v>
      </c>
      <c r="E69" s="7" t="s">
        <v>736</v>
      </c>
      <c r="F69" s="7" t="s">
        <v>138</v>
      </c>
      <c r="G69" s="7">
        <v>1.5</v>
      </c>
      <c r="H69" s="7">
        <v>20</v>
      </c>
      <c r="I69" s="7">
        <v>60</v>
      </c>
      <c r="J69" s="7">
        <v>120</v>
      </c>
      <c r="K69" s="7">
        <v>1.05</v>
      </c>
      <c r="L69" s="7">
        <v>600</v>
      </c>
      <c r="M69" s="5"/>
    </row>
    <row r="70" spans="1:13" x14ac:dyDescent="0.25">
      <c r="A70" s="6" t="s">
        <v>930</v>
      </c>
      <c r="B70" s="6">
        <v>5000</v>
      </c>
      <c r="C70" s="7">
        <v>10.5</v>
      </c>
      <c r="D70" s="7">
        <f t="shared" si="1"/>
        <v>52500</v>
      </c>
      <c r="E70" s="7" t="s">
        <v>962</v>
      </c>
      <c r="F70" s="7" t="s">
        <v>735</v>
      </c>
      <c r="G70" s="7">
        <v>2</v>
      </c>
      <c r="H70" s="7">
        <v>0</v>
      </c>
      <c r="I70" s="7">
        <v>120</v>
      </c>
      <c r="J70" s="7">
        <v>150</v>
      </c>
      <c r="K70" s="7">
        <v>1.2</v>
      </c>
      <c r="L70" s="7">
        <v>500</v>
      </c>
      <c r="M70" s="5"/>
    </row>
    <row r="71" spans="1:13" x14ac:dyDescent="0.25">
      <c r="A71" s="6" t="s">
        <v>963</v>
      </c>
      <c r="B71" s="6">
        <v>5500</v>
      </c>
      <c r="C71" s="7">
        <v>12</v>
      </c>
      <c r="D71" s="7">
        <f t="shared" si="1"/>
        <v>66000</v>
      </c>
      <c r="E71" s="7" t="s">
        <v>15</v>
      </c>
      <c r="F71" s="7" t="s">
        <v>783</v>
      </c>
      <c r="G71" s="7">
        <v>3</v>
      </c>
      <c r="H71" s="7">
        <v>0</v>
      </c>
      <c r="I71" s="7">
        <v>0</v>
      </c>
      <c r="J71" s="7">
        <v>180</v>
      </c>
      <c r="K71" s="7">
        <v>1.1000000000000001</v>
      </c>
      <c r="L71" s="7">
        <v>500</v>
      </c>
      <c r="M71" s="5"/>
    </row>
    <row r="72" spans="1:13" x14ac:dyDescent="0.25">
      <c r="A72" s="6" t="s">
        <v>723</v>
      </c>
      <c r="B72" s="6">
        <v>35000</v>
      </c>
      <c r="C72" s="7">
        <v>1</v>
      </c>
      <c r="D72" s="7">
        <f t="shared" si="0"/>
        <v>35000</v>
      </c>
      <c r="E72" s="7" t="s">
        <v>735</v>
      </c>
      <c r="F72" s="7" t="s">
        <v>137</v>
      </c>
      <c r="G72" s="7">
        <v>1</v>
      </c>
      <c r="H72" s="7">
        <v>0</v>
      </c>
      <c r="I72" s="7">
        <v>40</v>
      </c>
      <c r="J72" s="7">
        <v>120</v>
      </c>
      <c r="K72" s="7">
        <v>1</v>
      </c>
      <c r="L72" s="7">
        <v>2000</v>
      </c>
      <c r="M72" s="5"/>
    </row>
    <row r="73" spans="1:13" x14ac:dyDescent="0.25">
      <c r="A73" s="6" t="s">
        <v>617</v>
      </c>
      <c r="B73" s="6">
        <v>9000</v>
      </c>
      <c r="C73" s="7">
        <v>1.3</v>
      </c>
      <c r="D73" s="7">
        <f t="shared" si="0"/>
        <v>11700</v>
      </c>
      <c r="E73" s="7" t="s">
        <v>141</v>
      </c>
      <c r="F73" s="7" t="s">
        <v>138</v>
      </c>
      <c r="G73" s="7">
        <v>1.3</v>
      </c>
      <c r="H73" s="7">
        <v>0</v>
      </c>
      <c r="I73" s="7">
        <v>1</v>
      </c>
      <c r="J73" s="7">
        <v>0</v>
      </c>
      <c r="K73" s="7">
        <v>1</v>
      </c>
      <c r="L73" s="7">
        <v>0</v>
      </c>
      <c r="M73" s="5"/>
    </row>
    <row r="74" spans="1:13" x14ac:dyDescent="0.25">
      <c r="A74" s="6" t="s">
        <v>722</v>
      </c>
      <c r="B74" s="6">
        <v>13500</v>
      </c>
      <c r="C74" s="7">
        <v>5</v>
      </c>
      <c r="D74" s="7">
        <f t="shared" si="0"/>
        <v>67500</v>
      </c>
      <c r="E74" s="7" t="s">
        <v>783</v>
      </c>
      <c r="F74" s="7" t="s">
        <v>618</v>
      </c>
      <c r="G74" s="7">
        <v>1.3</v>
      </c>
      <c r="H74" s="7">
        <v>0</v>
      </c>
      <c r="I74" s="7">
        <v>1</v>
      </c>
      <c r="J74" s="7">
        <v>0</v>
      </c>
      <c r="K74" s="7">
        <v>1</v>
      </c>
      <c r="L74" s="7">
        <v>0</v>
      </c>
      <c r="M74" s="5"/>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A181D60E-8E40-4F0E-8FC1-CD9F68B13A4E}">
          <x14:formula1>
            <xm:f>tbStatus!$A$3:$A$18</xm:f>
          </x14:formula1>
          <xm:sqref>E2:E74</xm:sqref>
        </x14:dataValidation>
        <x14:dataValidation type="list" allowBlank="1" showInputMessage="1" showErrorMessage="1" xr:uid="{65AB44D4-4C27-438F-803F-5EED8C565258}">
          <x14:formula1>
            <xm:f>tbStatus!$A$22:$A$33</xm:f>
          </x14:formula1>
          <xm:sqref>F2:F74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904A7-C6C0-4827-B56E-7A3667B457C6}">
  <sheetPr codeName="Sheet8"/>
  <dimension ref="A1:C8"/>
  <sheetViews>
    <sheetView workbookViewId="0">
      <selection activeCell="C13" sqref="C13"/>
    </sheetView>
  </sheetViews>
  <sheetFormatPr defaultRowHeight="15" x14ac:dyDescent="0.25"/>
  <cols>
    <col min="1" max="1" width="20.42578125" bestFit="1" customWidth="1"/>
    <col min="2" max="2" width="23.85546875" bestFit="1" customWidth="1"/>
    <col min="3" max="3" width="27.7109375" bestFit="1" customWidth="1"/>
  </cols>
  <sheetData>
    <row r="1" spans="1:3" x14ac:dyDescent="0.25">
      <c r="A1" s="4" t="s">
        <v>150</v>
      </c>
      <c r="B1" s="4" t="s">
        <v>151</v>
      </c>
      <c r="C1" s="4" t="s">
        <v>152</v>
      </c>
    </row>
    <row r="2" spans="1:3" x14ac:dyDescent="0.25">
      <c r="A2" s="23" t="s">
        <v>153</v>
      </c>
      <c r="B2" s="24">
        <v>0.5</v>
      </c>
      <c r="C2" s="18">
        <v>0.25</v>
      </c>
    </row>
    <row r="3" spans="1:3" x14ac:dyDescent="0.25">
      <c r="A3" s="25" t="s">
        <v>154</v>
      </c>
      <c r="B3" s="18">
        <v>0.75</v>
      </c>
      <c r="C3" s="18">
        <v>0.5</v>
      </c>
    </row>
    <row r="4" spans="1:3" x14ac:dyDescent="0.25">
      <c r="A4" s="26" t="s">
        <v>155</v>
      </c>
      <c r="B4" s="18">
        <v>1</v>
      </c>
      <c r="C4" s="18">
        <v>0.75</v>
      </c>
    </row>
    <row r="5" spans="1:3" x14ac:dyDescent="0.25">
      <c r="A5" s="27" t="s">
        <v>156</v>
      </c>
      <c r="B5" s="18">
        <v>1.05</v>
      </c>
      <c r="C5" s="18">
        <v>1</v>
      </c>
    </row>
    <row r="6" spans="1:3" x14ac:dyDescent="0.25">
      <c r="A6" s="28" t="s">
        <v>157</v>
      </c>
      <c r="B6" s="18">
        <v>1.2</v>
      </c>
      <c r="C6" s="18">
        <v>1.0625</v>
      </c>
    </row>
    <row r="7" spans="1:3" x14ac:dyDescent="0.25">
      <c r="A7" s="29" t="s">
        <v>158</v>
      </c>
      <c r="B7" s="18">
        <v>1.32</v>
      </c>
      <c r="C7" s="18">
        <v>1.1499999999999999</v>
      </c>
    </row>
    <row r="8" spans="1:3" x14ac:dyDescent="0.25">
      <c r="A8" s="30" t="s">
        <v>159</v>
      </c>
      <c r="B8" s="18">
        <v>1.39</v>
      </c>
      <c r="C8" s="18">
        <v>1.25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733AA-47FF-4EE3-A74D-6909097D4437}">
  <sheetPr codeName="Sheet9"/>
  <dimension ref="A1:B15"/>
  <sheetViews>
    <sheetView workbookViewId="0">
      <selection activeCell="E7" sqref="E7"/>
    </sheetView>
  </sheetViews>
  <sheetFormatPr defaultRowHeight="15" x14ac:dyDescent="0.25"/>
  <cols>
    <col min="1" max="1" width="14.5703125" bestFit="1" customWidth="1"/>
    <col min="2" max="2" width="4" bestFit="1" customWidth="1"/>
  </cols>
  <sheetData>
    <row r="1" spans="1:2" x14ac:dyDescent="0.25">
      <c r="A1" s="104" t="s">
        <v>213</v>
      </c>
      <c r="B1" s="104"/>
    </row>
    <row r="2" spans="1:2" x14ac:dyDescent="0.25">
      <c r="A2" s="36" t="s">
        <v>214</v>
      </c>
      <c r="B2" s="37">
        <v>4.8</v>
      </c>
    </row>
    <row r="3" spans="1:2" x14ac:dyDescent="0.25">
      <c r="A3" s="18" t="s">
        <v>215</v>
      </c>
      <c r="B3" s="18">
        <v>3.3</v>
      </c>
    </row>
    <row r="4" spans="1:2" x14ac:dyDescent="0.25">
      <c r="A4" s="18" t="s">
        <v>216</v>
      </c>
      <c r="B4" s="24">
        <v>1.4</v>
      </c>
    </row>
    <row r="5" spans="1:2" x14ac:dyDescent="0.25">
      <c r="A5" s="18" t="s">
        <v>178</v>
      </c>
      <c r="B5" s="24">
        <v>1.4</v>
      </c>
    </row>
    <row r="6" spans="1:2" x14ac:dyDescent="0.25">
      <c r="A6" s="18" t="s">
        <v>217</v>
      </c>
      <c r="B6" s="24">
        <v>2.2999999999999998</v>
      </c>
    </row>
    <row r="7" spans="1:2" x14ac:dyDescent="0.25">
      <c r="A7" s="18" t="s">
        <v>218</v>
      </c>
      <c r="B7" s="18">
        <v>2.2999999999999998</v>
      </c>
    </row>
    <row r="8" spans="1:2" x14ac:dyDescent="0.25">
      <c r="A8" s="18" t="s">
        <v>219</v>
      </c>
      <c r="B8" s="24">
        <v>5.2</v>
      </c>
    </row>
    <row r="9" spans="1:2" x14ac:dyDescent="0.25">
      <c r="A9" s="18" t="s">
        <v>220</v>
      </c>
      <c r="B9" s="24">
        <v>4.2</v>
      </c>
    </row>
    <row r="10" spans="1:2" x14ac:dyDescent="0.25">
      <c r="A10" s="18" t="s">
        <v>221</v>
      </c>
      <c r="B10" s="24">
        <v>3.5</v>
      </c>
    </row>
    <row r="11" spans="1:2" x14ac:dyDescent="0.25">
      <c r="A11" s="18" t="s">
        <v>222</v>
      </c>
      <c r="B11" s="24">
        <v>3.6</v>
      </c>
    </row>
    <row r="12" spans="1:2" x14ac:dyDescent="0.25">
      <c r="A12" s="18" t="s">
        <v>223</v>
      </c>
      <c r="B12" s="24">
        <v>3.1</v>
      </c>
    </row>
    <row r="13" spans="1:2" x14ac:dyDescent="0.25">
      <c r="A13" s="18" t="s">
        <v>224</v>
      </c>
      <c r="B13" s="18">
        <v>1.3</v>
      </c>
    </row>
    <row r="14" spans="1:2" x14ac:dyDescent="0.25">
      <c r="A14" s="18" t="s">
        <v>225</v>
      </c>
      <c r="B14" s="24">
        <v>1.5</v>
      </c>
    </row>
    <row r="15" spans="1:2" x14ac:dyDescent="0.25">
      <c r="A15" s="18" t="s">
        <v>226</v>
      </c>
      <c r="B15" s="24">
        <v>1.2</v>
      </c>
    </row>
  </sheetData>
  <mergeCells count="1">
    <mergeCell ref="A1:B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B1CC3-8D8C-4D6D-8B4C-36FD8CE99787}">
  <sheetPr codeName="Sheet14"/>
  <dimension ref="A1:C9"/>
  <sheetViews>
    <sheetView workbookViewId="0">
      <selection activeCell="C9" sqref="C9"/>
    </sheetView>
  </sheetViews>
  <sheetFormatPr defaultRowHeight="15" x14ac:dyDescent="0.25"/>
  <cols>
    <col min="1" max="1" width="14.5703125" bestFit="1" customWidth="1"/>
    <col min="2" max="2" width="15.7109375" bestFit="1" customWidth="1"/>
    <col min="3" max="3" width="23.5703125" bestFit="1" customWidth="1"/>
    <col min="5" max="5" width="14.5703125" bestFit="1" customWidth="1"/>
    <col min="6" max="6" width="15.7109375" bestFit="1" customWidth="1"/>
    <col min="7" max="7" width="23.5703125" bestFit="1" customWidth="1"/>
  </cols>
  <sheetData>
    <row r="1" spans="1:3" x14ac:dyDescent="0.25">
      <c r="A1" s="113" t="s">
        <v>914</v>
      </c>
      <c r="B1" s="113"/>
      <c r="C1" s="113"/>
    </row>
    <row r="2" spans="1:3" x14ac:dyDescent="0.25">
      <c r="A2" t="s">
        <v>697</v>
      </c>
      <c r="B2" t="s">
        <v>698</v>
      </c>
      <c r="C2" t="s">
        <v>842</v>
      </c>
    </row>
    <row r="3" spans="1:3" x14ac:dyDescent="0.25">
      <c r="A3">
        <v>1</v>
      </c>
      <c r="B3">
        <v>1</v>
      </c>
      <c r="C3">
        <f>IF(OR(Backdoors!B2="Light Bowgun",Backdoors!B2="Heavy Bowgun"),0,10)</f>
        <v>10</v>
      </c>
    </row>
    <row r="4" spans="1:3" x14ac:dyDescent="0.25">
      <c r="A4">
        <v>1</v>
      </c>
      <c r="B4">
        <v>1</v>
      </c>
      <c r="C4">
        <f>IF(OR(Backdoors!B2="Light Bowgun",Backdoors!B2="Heavy Bowgun"),0,10)</f>
        <v>10</v>
      </c>
    </row>
    <row r="5" spans="1:3" x14ac:dyDescent="0.25">
      <c r="A5">
        <v>1</v>
      </c>
      <c r="B5">
        <v>1</v>
      </c>
      <c r="C5">
        <f>IF(OR(Backdoors!B2="Light Bowgun",Backdoors!B2="Heavy Bowgun"),0,10)</f>
        <v>10</v>
      </c>
    </row>
    <row r="6" spans="1:3" x14ac:dyDescent="0.25">
      <c r="A6">
        <v>1</v>
      </c>
      <c r="B6">
        <v>1</v>
      </c>
      <c r="C6">
        <f>IF(OR(Backdoors!B2="Light Bowgun",Backdoors!B2="Heavy Bowgun"),0,10)</f>
        <v>10</v>
      </c>
    </row>
    <row r="7" spans="1:3" x14ac:dyDescent="0.25">
      <c r="A7">
        <v>1</v>
      </c>
      <c r="B7">
        <v>1</v>
      </c>
      <c r="C7">
        <f>IF(OR(Backdoors!B2="Light Bowgun",Backdoors!B2="Heavy Bowgun"),0,10)</f>
        <v>10</v>
      </c>
    </row>
    <row r="8" spans="1:3" x14ac:dyDescent="0.25">
      <c r="A8">
        <v>1</v>
      </c>
      <c r="B8">
        <f>IF(OR(Backdoors!B2="Long Sword",Backdoors!B2="Gunlance",Backdoors!B2="Switch Axe",Backdoors!B2="Bow",Backdoors!B2="Light Bowgun"),1,0)</f>
        <v>0</v>
      </c>
      <c r="C8">
        <f>IF(OR(Backdoors!B2="Long Sword",Backdoors!B2="Gunlance",Backdoors!B2="Switch Axe",Backdoors!B2="Bow",Backdoors!B2="Light Bowgun"),10,0)</f>
        <v>0</v>
      </c>
    </row>
    <row r="9" spans="1:3" x14ac:dyDescent="0.25">
      <c r="A9">
        <v>2</v>
      </c>
      <c r="B9">
        <v>3</v>
      </c>
      <c r="C9">
        <f>IF(Backdoors!B2="Heavy Bowgun",3,IF(Backdoors!B2="Light Bowgun",2,IF(OR(Backdoors!B2="Lance",Backdoors!B2="Bow"),10,0)))</f>
        <v>0</v>
      </c>
    </row>
  </sheetData>
  <mergeCells count="1">
    <mergeCell ref="A1:C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23B2A-7ED9-4B6F-B702-4066B1DEC70E}">
  <sheetPr codeName="Sheet15"/>
  <dimension ref="A1:S35"/>
  <sheetViews>
    <sheetView workbookViewId="0">
      <selection activeCell="J14" sqref="J14"/>
    </sheetView>
  </sheetViews>
  <sheetFormatPr defaultRowHeight="15" x14ac:dyDescent="0.25"/>
  <cols>
    <col min="1" max="1" width="16.85546875" bestFit="1" customWidth="1"/>
    <col min="4" max="4" width="18.140625" bestFit="1" customWidth="1"/>
    <col min="7" max="7" width="13.7109375" bestFit="1" customWidth="1"/>
    <col min="10" max="10" width="20.42578125" bestFit="1" customWidth="1"/>
    <col min="13" max="13" width="17.42578125" bestFit="1" customWidth="1"/>
    <col min="16" max="16" width="14.7109375" bestFit="1" customWidth="1"/>
    <col min="19" max="19" width="20.42578125" bestFit="1" customWidth="1"/>
  </cols>
  <sheetData>
    <row r="1" spans="1:19" x14ac:dyDescent="0.25">
      <c r="A1" s="113" t="s">
        <v>697</v>
      </c>
      <c r="B1" s="113"/>
      <c r="D1" s="113" t="s">
        <v>698</v>
      </c>
      <c r="E1" s="113"/>
      <c r="G1" s="113" t="s">
        <v>1024</v>
      </c>
      <c r="H1" s="113"/>
      <c r="J1" s="113" t="s">
        <v>1025</v>
      </c>
      <c r="K1" s="113"/>
      <c r="M1" s="113" t="s">
        <v>1027</v>
      </c>
      <c r="N1" s="113"/>
      <c r="P1" s="113" t="s">
        <v>1026</v>
      </c>
      <c r="Q1" s="113"/>
      <c r="S1" t="s">
        <v>1052</v>
      </c>
    </row>
    <row r="2" spans="1:19" x14ac:dyDescent="0.25">
      <c r="A2" t="s">
        <v>1012</v>
      </c>
      <c r="B2">
        <v>2</v>
      </c>
      <c r="D2" t="s">
        <v>1023</v>
      </c>
      <c r="E2">
        <v>2</v>
      </c>
      <c r="G2" t="s">
        <v>1030</v>
      </c>
      <c r="H2">
        <f>IF(OR(Backdoors!B2="Light Bowgun",Backdoors!B2="Heavy Bowgun"),0,IF(OR(Backdoors!B2="Great Sword",Backdoors!B2="Dual Blades",Backdoors!B2="Gunlance",Backdoors!B2="Hammer",Backdoors!B2="Hunting Horn",Backdoors!B2="Charge Blade"),20,10))</f>
        <v>20</v>
      </c>
      <c r="J2" t="s">
        <v>1034</v>
      </c>
      <c r="K2">
        <f>IF(OR(Backdoors!B2="Light Bowgun",Backdoors!B2="Heavy Bowgun"),0,2)</f>
        <v>2</v>
      </c>
      <c r="M2" t="s">
        <v>1040</v>
      </c>
      <c r="N2">
        <f>IF(OR(Backdoors!B2="Long Sword",Backdoors!B2="Sword &amp; Shield",Backdoors!B2="Dual Blades",Backdoors!B2="Insect Glaive",Backdoors!B2="Light Bowgun",Backdoors!B2="Heavy Bowgun",Backdoors!B2="Bow"),0,IF(OR(Backdoors!B2="Lance",Backdoors!B2="Gunlance",Backdoors!B2="Hunting Horn"),20,10))</f>
        <v>0</v>
      </c>
      <c r="P2" t="s">
        <v>1046</v>
      </c>
      <c r="Q2">
        <v>1</v>
      </c>
      <c r="S2" t="s">
        <v>1012</v>
      </c>
    </row>
    <row r="3" spans="1:19" x14ac:dyDescent="0.25">
      <c r="A3" t="s">
        <v>1013</v>
      </c>
      <c r="B3">
        <v>4</v>
      </c>
      <c r="D3" t="s">
        <v>1022</v>
      </c>
      <c r="E3">
        <v>4</v>
      </c>
      <c r="G3" t="s">
        <v>1031</v>
      </c>
      <c r="H3">
        <f>IF(OR(Backdoors!B2="Light Bowgun",Backdoors!B2="Heavy Bowgun"),0,IF(OR(Backdoors!B2="Sword &amp; Shield",Backdoors!B2="Insect Glaive",Backdoors!B2="Bow"),20,IF(OR(Backdoors!B2="Great Sword",Backdoors!B2="Gunlance",Backdoors!B2="Hammer",Backdoors!B2="Hunting Horn"),40,30)))</f>
        <v>30</v>
      </c>
      <c r="J3" t="s">
        <v>1035</v>
      </c>
      <c r="K3">
        <f>IF(OR(Backdoors!B2="Light Bowgun",Backdoors!B2="Heavy Bowgun"),0,4)</f>
        <v>4</v>
      </c>
      <c r="M3" t="s">
        <v>1041</v>
      </c>
      <c r="N3">
        <f>IF(OR(Backdoors!B2="Long Sword",Backdoors!B2="Sword &amp; Shield",Backdoors!B2="Dual Blades",Backdoors!B2="Insect Glaive",Backdoors!B2="Light Bowgun",Backdoors!B2="Heavy Bowgun",Backdoors!B2="Bow"),0,IF(OR(Backdoors!B2="Lance",Backdoors!B2="Gunlance",Backdoors!B2="Hunting Horn"),30,20))</f>
        <v>0</v>
      </c>
      <c r="P3" t="s">
        <v>1047</v>
      </c>
      <c r="Q3">
        <v>2</v>
      </c>
      <c r="S3" t="s">
        <v>1013</v>
      </c>
    </row>
    <row r="4" spans="1:19" x14ac:dyDescent="0.25">
      <c r="A4" t="s">
        <v>1016</v>
      </c>
      <c r="B4">
        <v>6</v>
      </c>
      <c r="D4" t="s">
        <v>1021</v>
      </c>
      <c r="E4">
        <v>6</v>
      </c>
      <c r="G4" t="s">
        <v>1032</v>
      </c>
      <c r="H4">
        <f>IF(OR(Backdoors!B2="Light Bowgun",Backdoors!B2="Heavy Bowgun"),0,IF(OR(Backdoors!B2="Sword &amp; Shield",Backdoors!B2="Insect Glaive",Backdoors!B2="Bow"),30,IF(OR(Backdoors!B2="Great Sword",Backdoors!B2="Gunlance",Backdoors!B2="Hammer",Backdoors!B2="Hunting Horn"),60,IF(OR(Backdoors!B2="Dual Blades",Backdoors!B2="Charge Blade"),40,50))))</f>
        <v>40</v>
      </c>
      <c r="J4" t="s">
        <v>1036</v>
      </c>
      <c r="K4">
        <f>IF(OR(Backdoors!B2="Light Bowgun",Backdoors!B2="Heavy Bowgun"),0,6)</f>
        <v>6</v>
      </c>
      <c r="M4" t="s">
        <v>1042</v>
      </c>
      <c r="N4">
        <f>IF(OR(Backdoors!B2="Long Sword",Backdoors!B2="Sword &amp; Shield",Backdoors!B2="Dual Blades",Backdoors!B2="Insect Glaive",Backdoors!B2="Light Bowgun",Backdoors!B2="Heavy Bowgun",Backdoors!B2="Bow"),0,IF(OR(Backdoors!B2="Lance",Backdoors!B2="Gunlance",Backdoors!B2="Hunting Horn"),40,30))</f>
        <v>0</v>
      </c>
      <c r="P4" t="s">
        <v>1048</v>
      </c>
      <c r="Q4">
        <v>3</v>
      </c>
      <c r="S4" t="s">
        <v>1016</v>
      </c>
    </row>
    <row r="5" spans="1:19" x14ac:dyDescent="0.25">
      <c r="A5" t="s">
        <v>1015</v>
      </c>
      <c r="B5">
        <v>8</v>
      </c>
      <c r="D5" t="s">
        <v>1020</v>
      </c>
      <c r="E5">
        <v>8</v>
      </c>
      <c r="G5" t="s">
        <v>1033</v>
      </c>
      <c r="H5">
        <f>IF(OR(Backdoors!B2="Light Bowgun",Backdoors!B2="Heavy Bowgun"),0,IF(OR(Backdoors!B2="Sword &amp; Shield",Backdoors!B2="Dual Blades",Backdoors!B2="Charge Blade",Backdoors!B2="Insect Glaive",Backdoors!B2="Bow"),50,IF(OR(Backdoors!B2="Great Sword",Backdoors!B2="Hammer"),90,IF(OR(Backdoors!B2="Gunlance",Backdoors!B2="Hunting Horn"),80,70))))</f>
        <v>50</v>
      </c>
      <c r="J5" t="s">
        <v>1037</v>
      </c>
      <c r="K5">
        <f>IF(OR(Backdoors!B2="Light Bowgun",Backdoors!B2="Heavy Bowgun"),0,8)</f>
        <v>8</v>
      </c>
      <c r="M5" t="s">
        <v>1043</v>
      </c>
      <c r="N5">
        <f>IF(OR(Backdoors!B2="Light Bowgun",Backdoors!B2="Heavy Bowgun"),0,IF(Backdoors!B2="Dual Blades",10,IF(OR(Backdoors!B2="Lance",Backdoors!B2="Gunlance",Backdoors!B2="Hunting Horn"),50,IF(OR(Backdoors!B2="Great Sword",Backdoors!B2="Hammer",Backdoors!B2="Switch Axe",Backdoors!B2="Charge Blade"),40,20))))</f>
        <v>10</v>
      </c>
      <c r="P5" t="s">
        <v>1049</v>
      </c>
      <c r="Q5">
        <v>4</v>
      </c>
      <c r="S5" t="s">
        <v>1015</v>
      </c>
    </row>
    <row r="6" spans="1:19" x14ac:dyDescent="0.25">
      <c r="A6" t="s">
        <v>1017</v>
      </c>
      <c r="B6">
        <v>9</v>
      </c>
      <c r="D6" t="s">
        <v>1019</v>
      </c>
      <c r="E6">
        <v>10</v>
      </c>
      <c r="G6" t="s">
        <v>1029</v>
      </c>
      <c r="H6">
        <f>IF(OR(Backdoors!B2="Light Bowgun",Backdoors!B2="Heavy Bowgun"),0,IF(OR(Backdoors!B2="Great Sword",Backdoors!B2="Hammer"),120,IF(OR(Backdoors!B2="Dual Blades",Backdoors!B2="Charge Blade"),60,IF(OR(Backdoors!B2="Sword &amp; Shield",Backdoors!B2="Insect Glaive",Backdoors!B2="Bow"),70,IF(OR(Backdoors!B2="Gunlance",Backdoors!B2="Hunting Horn"),100,90)))))</f>
        <v>60</v>
      </c>
      <c r="J6" t="s">
        <v>1038</v>
      </c>
      <c r="K6">
        <f>IF(OR(Backdoors!B2="Light Bowgun",Backdoors!B2="Heavy Bowgun"),0,10)</f>
        <v>10</v>
      </c>
      <c r="M6" t="s">
        <v>1044</v>
      </c>
      <c r="N6">
        <f>IF(OR(Backdoors!B2="Light Bowgun",Backdoors!B2="Heavy Bowgun"),0,IF(Backdoors!B2="Dual Blades",20,IF(OR(Backdoors!B2="Lance",Backdoors!B2="Gunlance",Backdoors!B2="Hunting Horn"),60,IF(OR(Backdoors!B2="Great Sword",Backdoors!B2="Hammer",Backdoors!B2="Switch Axe",Backdoors!B2="Charge Blade"),50,30))))</f>
        <v>20</v>
      </c>
      <c r="S6" t="s">
        <v>1017</v>
      </c>
    </row>
    <row r="7" spans="1:19" x14ac:dyDescent="0.25">
      <c r="A7" t="s">
        <v>1014</v>
      </c>
      <c r="B7">
        <v>14</v>
      </c>
      <c r="D7" t="s">
        <v>1018</v>
      </c>
      <c r="E7">
        <v>15</v>
      </c>
      <c r="G7" t="s">
        <v>1028</v>
      </c>
      <c r="H7">
        <f>IF(OR(Backdoors!B2="Light Bowgun",Backdoors!B2="Heavy Bowgun"),0,IF(OR(Backdoors!B2="Dual Blades",Backdoors!B2="Charge Blade"),90,IF(OR(Backdoors!B2="Sword &amp; Shield",Backdoors!B2="Insect Glaive",Backdoors!B2="Bow"),100,IF(OR(Backdoors!B2="Great Sword",Backdoors!B2="Gunlance",Backdoors!B2="Hammer",Backdoors!B2="Hunting Horn"),150,120))))</f>
        <v>90</v>
      </c>
      <c r="J7" t="s">
        <v>1039</v>
      </c>
      <c r="K7">
        <f>IF(OR(Backdoors!B2="Light Bowgun",Backdoors!B2="Heavy Bowgun"),0,14)</f>
        <v>14</v>
      </c>
      <c r="M7" t="s">
        <v>1045</v>
      </c>
      <c r="N7">
        <f>IF(OR(Backdoors!B2="Light Bowgun",Backdoors!B2="Heavy Bowgun"),0,IF(Backdoors!B2="Dual Blades",40,IF(OR(Backdoors!B2="Lance",Backdoors!B2="Gunlance",Backdoors!B2="Hunting Horn"),90,IF(OR(Backdoors!B2="Great Sword",Backdoors!B2="Hammer",Backdoors!B2="Switch Axe",Backdoors!B2="Charge Blade"),70,50))))</f>
        <v>40</v>
      </c>
      <c r="S7" t="s">
        <v>1014</v>
      </c>
    </row>
    <row r="8" spans="1:19" x14ac:dyDescent="0.25">
      <c r="S8" t="s">
        <v>1023</v>
      </c>
    </row>
    <row r="9" spans="1:19" x14ac:dyDescent="0.25">
      <c r="S9" t="s">
        <v>1022</v>
      </c>
    </row>
    <row r="10" spans="1:19" x14ac:dyDescent="0.25">
      <c r="S10" t="s">
        <v>1021</v>
      </c>
    </row>
    <row r="11" spans="1:19" x14ac:dyDescent="0.25">
      <c r="S11" t="s">
        <v>1020</v>
      </c>
    </row>
    <row r="12" spans="1:19" x14ac:dyDescent="0.25">
      <c r="S12" t="s">
        <v>1019</v>
      </c>
    </row>
    <row r="13" spans="1:19" x14ac:dyDescent="0.25">
      <c r="S13" t="s">
        <v>1018</v>
      </c>
    </row>
    <row r="14" spans="1:19" x14ac:dyDescent="0.25">
      <c r="S14" t="s">
        <v>1030</v>
      </c>
    </row>
    <row r="15" spans="1:19" x14ac:dyDescent="0.25">
      <c r="S15" t="s">
        <v>1031</v>
      </c>
    </row>
    <row r="16" spans="1:19" x14ac:dyDescent="0.25">
      <c r="S16" t="s">
        <v>1032</v>
      </c>
    </row>
    <row r="17" spans="19:19" x14ac:dyDescent="0.25">
      <c r="S17" t="s">
        <v>1033</v>
      </c>
    </row>
    <row r="18" spans="19:19" x14ac:dyDescent="0.25">
      <c r="S18" t="s">
        <v>1029</v>
      </c>
    </row>
    <row r="19" spans="19:19" x14ac:dyDescent="0.25">
      <c r="S19" t="s">
        <v>1028</v>
      </c>
    </row>
    <row r="20" spans="19:19" x14ac:dyDescent="0.25">
      <c r="S20" t="s">
        <v>1034</v>
      </c>
    </row>
    <row r="21" spans="19:19" x14ac:dyDescent="0.25">
      <c r="S21" t="s">
        <v>1035</v>
      </c>
    </row>
    <row r="22" spans="19:19" x14ac:dyDescent="0.25">
      <c r="S22" t="s">
        <v>1036</v>
      </c>
    </row>
    <row r="23" spans="19:19" x14ac:dyDescent="0.25">
      <c r="S23" t="s">
        <v>1037</v>
      </c>
    </row>
    <row r="24" spans="19:19" x14ac:dyDescent="0.25">
      <c r="S24" t="s">
        <v>1038</v>
      </c>
    </row>
    <row r="25" spans="19:19" x14ac:dyDescent="0.25">
      <c r="S25" t="s">
        <v>1039</v>
      </c>
    </row>
    <row r="26" spans="19:19" x14ac:dyDescent="0.25">
      <c r="S26" t="s">
        <v>1040</v>
      </c>
    </row>
    <row r="27" spans="19:19" x14ac:dyDescent="0.25">
      <c r="S27" t="s">
        <v>1041</v>
      </c>
    </row>
    <row r="28" spans="19:19" x14ac:dyDescent="0.25">
      <c r="S28" t="s">
        <v>1042</v>
      </c>
    </row>
    <row r="29" spans="19:19" x14ac:dyDescent="0.25">
      <c r="S29" t="s">
        <v>1043</v>
      </c>
    </row>
    <row r="30" spans="19:19" x14ac:dyDescent="0.25">
      <c r="S30" t="s">
        <v>1044</v>
      </c>
    </row>
    <row r="31" spans="19:19" x14ac:dyDescent="0.25">
      <c r="S31" t="s">
        <v>1045</v>
      </c>
    </row>
    <row r="32" spans="19:19" x14ac:dyDescent="0.25">
      <c r="S32" t="s">
        <v>1046</v>
      </c>
    </row>
    <row r="33" spans="19:19" x14ac:dyDescent="0.25">
      <c r="S33" t="s">
        <v>1047</v>
      </c>
    </row>
    <row r="34" spans="19:19" x14ac:dyDescent="0.25">
      <c r="S34" t="s">
        <v>1048</v>
      </c>
    </row>
    <row r="35" spans="19:19" x14ac:dyDescent="0.25">
      <c r="S35" t="s">
        <v>1049</v>
      </c>
    </row>
  </sheetData>
  <mergeCells count="6">
    <mergeCell ref="P1:Q1"/>
    <mergeCell ref="A1:B1"/>
    <mergeCell ref="D1:E1"/>
    <mergeCell ref="G1:H1"/>
    <mergeCell ref="J1:K1"/>
    <mergeCell ref="M1:N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C94DB-8C59-429C-B76E-A632EE0538D9}">
  <sheetPr codeName="Sheet10"/>
  <dimension ref="A1:BU572"/>
  <sheetViews>
    <sheetView topLeftCell="AZ1" workbookViewId="0">
      <selection activeCell="BS75" sqref="BS75"/>
    </sheetView>
  </sheetViews>
  <sheetFormatPr defaultRowHeight="15" x14ac:dyDescent="0.25"/>
  <cols>
    <col min="1" max="1" width="25.85546875" bestFit="1" customWidth="1"/>
    <col min="2" max="2" width="23.5703125" bestFit="1" customWidth="1"/>
    <col min="4" max="4" width="33" bestFit="1" customWidth="1"/>
    <col min="7" max="7" width="23.7109375" bestFit="1" customWidth="1"/>
    <col min="8" max="8" width="19.85546875" customWidth="1"/>
    <col min="10" max="10" width="29.42578125" bestFit="1" customWidth="1"/>
    <col min="13" max="13" width="28" bestFit="1" customWidth="1"/>
    <col min="16" max="16" width="17.42578125" bestFit="1" customWidth="1"/>
    <col min="19" max="19" width="21.85546875" bestFit="1" customWidth="1"/>
    <col min="22" max="22" width="12.42578125" bestFit="1" customWidth="1"/>
    <col min="25" max="25" width="21.85546875" bestFit="1" customWidth="1"/>
    <col min="28" max="28" width="22" bestFit="1" customWidth="1"/>
    <col min="31" max="31" width="12.42578125" bestFit="1" customWidth="1"/>
    <col min="34" max="34" width="21.85546875" bestFit="1" customWidth="1"/>
    <col min="37" max="37" width="20.85546875" bestFit="1" customWidth="1"/>
    <col min="40" max="40" width="28.7109375" bestFit="1" customWidth="1"/>
    <col min="41" max="41" width="11" bestFit="1" customWidth="1"/>
    <col min="43" max="43" width="41.140625" bestFit="1" customWidth="1"/>
    <col min="49" max="49" width="16.7109375" bestFit="1" customWidth="1"/>
    <col min="50" max="50" width="17.7109375" bestFit="1" customWidth="1"/>
    <col min="59" max="59" width="16.7109375" bestFit="1" customWidth="1"/>
    <col min="64" max="64" width="8.42578125" bestFit="1" customWidth="1"/>
    <col min="68" max="68" width="19" customWidth="1"/>
    <col min="69" max="69" width="24.5703125" bestFit="1" customWidth="1"/>
    <col min="70" max="70" width="10.28515625" bestFit="1" customWidth="1"/>
    <col min="71" max="71" width="35.85546875" bestFit="1" customWidth="1"/>
    <col min="73" max="73" width="12" bestFit="1" customWidth="1"/>
  </cols>
  <sheetData>
    <row r="1" spans="1:73" x14ac:dyDescent="0.25">
      <c r="A1" s="113" t="s">
        <v>211</v>
      </c>
      <c r="B1" s="113"/>
      <c r="D1" s="113" t="s">
        <v>206</v>
      </c>
      <c r="E1" s="113"/>
      <c r="G1" s="113" t="s">
        <v>706</v>
      </c>
      <c r="H1" s="113"/>
      <c r="J1" s="113" t="s">
        <v>844</v>
      </c>
      <c r="K1" s="113"/>
      <c r="M1" s="113" t="s">
        <v>600</v>
      </c>
      <c r="N1" s="113"/>
      <c r="P1" s="113" t="s">
        <v>183</v>
      </c>
      <c r="Q1" s="113"/>
      <c r="S1" s="113" t="s">
        <v>261</v>
      </c>
      <c r="T1" s="113"/>
      <c r="V1" s="113" t="s">
        <v>577</v>
      </c>
      <c r="W1" s="113"/>
      <c r="Y1" s="113" t="s">
        <v>590</v>
      </c>
      <c r="Z1" s="113"/>
      <c r="AB1" s="113" t="s">
        <v>546</v>
      </c>
      <c r="AC1" s="113"/>
      <c r="AE1" s="113" t="s">
        <v>581</v>
      </c>
      <c r="AF1" s="113"/>
      <c r="AH1" s="113" t="s">
        <v>162</v>
      </c>
      <c r="AI1" s="113"/>
      <c r="AK1" s="113" t="s">
        <v>233</v>
      </c>
      <c r="AL1" s="113"/>
      <c r="AN1" s="113" t="s">
        <v>245</v>
      </c>
      <c r="AO1" s="113"/>
      <c r="AQ1" s="113" t="s">
        <v>575</v>
      </c>
      <c r="AR1" s="113"/>
      <c r="AT1" s="113" t="s">
        <v>250</v>
      </c>
      <c r="AU1" s="113"/>
      <c r="AW1" s="113" t="s">
        <v>537</v>
      </c>
      <c r="AX1" s="113"/>
      <c r="AY1" s="113"/>
      <c r="AZ1" s="113"/>
      <c r="BA1" s="113"/>
      <c r="BB1" s="113"/>
      <c r="BC1" s="113"/>
      <c r="BD1" s="113"/>
      <c r="BE1" s="113"/>
      <c r="BF1" s="113"/>
      <c r="BG1" s="113"/>
      <c r="BH1" s="113"/>
      <c r="BI1" s="51"/>
      <c r="BK1" t="s">
        <v>149</v>
      </c>
      <c r="BR1" t="s">
        <v>837</v>
      </c>
      <c r="BS1" t="str">
        <f>IF(VLOOKUP(Calculator!B4,SavedBuildNumbers!A1:AT73,46,FALSE)&lt;&gt;"N/A",CONCATENATE("Saved Build: ",VLOOKUP(Calculator!B4,SavedBuildNumbers!A1:AT73,46,FALSE)),"")</f>
        <v/>
      </c>
      <c r="BU1" t="s">
        <v>903</v>
      </c>
    </row>
    <row r="2" spans="1:73" x14ac:dyDescent="0.25">
      <c r="A2" t="s">
        <v>186</v>
      </c>
      <c r="B2" s="5" t="str">
        <f>VLOOKUP(Calculator!B2,tbWeapons!A2:B271,2,FALSE)</f>
        <v>Dual Blades</v>
      </c>
      <c r="D2" t="s">
        <v>191</v>
      </c>
      <c r="E2">
        <f>IF(B2="Dual Blades",1/3,1)</f>
        <v>0.33333333333333331</v>
      </c>
      <c r="G2" t="s">
        <v>715</v>
      </c>
      <c r="H2">
        <f>IF(OR(Calculator!B34="Slot Upgrade",AND(Calculator!B30="Slot Increase",K2&gt;=1)),1,0)+IF(OR(Calculator!B35="Slot Upgrade",AND(Calculator!B31="Slot Increase",K2&gt;=2)),1,0)+IF(OR(Calculator!B36="Slot Upgrade",AND(Calculator!B32="Slot Increase"),K2&gt;=3),1,0)+IF(OR(Calculator!B37="Slot Upgrade",AND(Calculator!B31="Slot Increase",K2&gt;=2)),1,0)+IF(OR(Calculator!B38="Slot Upgrade",AND(Calculator!B31="Slot Increase",K2&gt;=2)),1,0)+IF(Calculator!B39="Slot Upgrade",1,0)+IF(Calculator!B40="Slot Upgrade",1,0)</f>
        <v>0</v>
      </c>
      <c r="J2" t="s">
        <v>700</v>
      </c>
      <c r="K2">
        <f>VLOOKUP(Calculator!B2,tbWeapons!A2:AH271,34,FALSE)</f>
        <v>0</v>
      </c>
      <c r="M2" t="s">
        <v>597</v>
      </c>
      <c r="N2">
        <f>VLOOKUP(Calculator!B4,tbMonsters!A2:J74,10,FALSE)</f>
        <v>60</v>
      </c>
      <c r="P2" t="s">
        <v>591</v>
      </c>
      <c r="Q2">
        <f>ROUND(VLOOKUP(Calculator!E3,tbSkills!D3:E10,2,FALSE)*N5,0)</f>
        <v>0</v>
      </c>
      <c r="S2" t="s">
        <v>765</v>
      </c>
      <c r="T2">
        <f>VLOOKUP(Calculator!E7,tbSkills!U3:W6,3,FALSE)</f>
        <v>0</v>
      </c>
      <c r="V2" t="s">
        <v>1057</v>
      </c>
      <c r="W2">
        <f>VLOOKUP(Calculator!E41,tbSkills!AL3:AN5,3,FALSE)</f>
        <v>0</v>
      </c>
      <c r="Y2" t="s">
        <v>871</v>
      </c>
      <c r="Z2">
        <f>1+(VLOOKUP(Calculator!E4,tbSkills!H3:I4,2,FALSE)/100)</f>
        <v>1</v>
      </c>
      <c r="AB2" t="s">
        <v>1536</v>
      </c>
      <c r="AC2">
        <f>IF(AND(Calculator!B26=TRUE,OR(B9="Dragon",B11="Dragon")),1.2,1)</f>
        <v>1</v>
      </c>
      <c r="AE2" t="s">
        <v>765</v>
      </c>
      <c r="AF2">
        <f>1+(VLOOKUP(Calculator!E7,tbSkills!U3:X6,4,FALSE)/100)</f>
        <v>1</v>
      </c>
      <c r="AH2" t="s">
        <v>591</v>
      </c>
      <c r="AI2">
        <f>IF((SUM(AI3:AI9)+VLOOKUP(Calculator!E3,tbSkills!D3:F10,3,FALSE)+AI11+AI14)&gt;=100,IF((VLOOKUP(Calculator!E3,tbSkills!D3:F10,3,FALSE)-(SUM(AI3:AI9)+VLOOKUP(Calculator!E3,tbSkills!D3:F10,3,FALSE)+AI11+AI14)+100)&lt;0,0,VLOOKUP(Calculator!E3,tbSkills!D3:F10,3,FALSE)-(SUM(AI3:AI9)+VLOOKUP(Calculator!E3,tbSkills!D3:F10,3,FALSE)+AI11+AI14)+100),VLOOKUP(Calculator!E3,tbSkills!D3:F10,3,FALSE))*N5</f>
        <v>0</v>
      </c>
      <c r="AK2" t="s">
        <v>229</v>
      </c>
      <c r="AL2">
        <f>0.25+(VLOOKUP(Calculator!E8,tbSkills!Z3:AA6,2,FALSE)/100)</f>
        <v>0.25</v>
      </c>
      <c r="AN2" t="s">
        <v>246</v>
      </c>
      <c r="AO2">
        <f>IF(OR(B9="Poison",B11="Poison"),ROUND(VLOOKUP(Calculator!B2,tbWeapons!A2:J271,10,FALSE),0),IF(OR(B9="Blast",B11="Blast"),ROUNDDOWN(VLOOKUP(Calculator!B2,tbWeapons!A2:M271,13,FALSE),0),IF(OR(B9="Paralysis",B11="Paralysis"),ROUND(VLOOKUP(Calculator!B2,tbWeapons!A2:K271,11,FALSE),0),IF(OR(B9="Sleep",B11="Sleep"),ROUND(VLOOKUP(Calculator!B2,tbWeapons!A2:L271,12,FALSE),0),0))))</f>
        <v>0</v>
      </c>
      <c r="AQ2" t="s">
        <v>574</v>
      </c>
      <c r="AR2">
        <f>IFERROR(INDEX(tbHitzones!K:K,MATCH(ROWS(tbHitzones!$1:1),tbHitzones!K:K,0)),"")</f>
        <v>1</v>
      </c>
      <c r="AT2">
        <v>1</v>
      </c>
      <c r="AU2">
        <f>AO12</f>
        <v>36</v>
      </c>
      <c r="AW2" t="s">
        <v>538</v>
      </c>
      <c r="AX2" t="str">
        <f>IFERROR(INDEX(tbHitzones!A:A,MATCH(ROWS(tbHitzones!$1:1),tbHitzones!K:K,0)),"")</f>
        <v>Great Jagras</v>
      </c>
      <c r="AY2" t="s">
        <v>0</v>
      </c>
      <c r="AZ2" t="s">
        <v>120</v>
      </c>
      <c r="BA2" t="s">
        <v>121</v>
      </c>
      <c r="BB2" t="s">
        <v>122</v>
      </c>
      <c r="BC2" t="s">
        <v>123</v>
      </c>
      <c r="BD2" t="s">
        <v>124</v>
      </c>
      <c r="BE2" t="s">
        <v>125</v>
      </c>
      <c r="BF2" t="s">
        <v>126</v>
      </c>
      <c r="BG2" t="s">
        <v>543</v>
      </c>
      <c r="BH2" t="s">
        <v>544</v>
      </c>
      <c r="BI2" t="s">
        <v>576</v>
      </c>
      <c r="BK2" t="s">
        <v>542</v>
      </c>
      <c r="BL2" cm="1">
        <f t="array" aca="1" ref="BL2" ca="1">INDIRECT("BL"&amp;MATCH("Primer",BH3:BH46,0)+2)</f>
        <v>185</v>
      </c>
      <c r="BM2" cm="1">
        <f t="array" aca="1" ref="BM2" ca="1">INDIRECT("BM"&amp;MATCH("Primer",BH3:BH46,0)+2)</f>
        <v>0</v>
      </c>
      <c r="BN2" cm="1">
        <f t="array" aca="1" ref="BN2" ca="1">INDIRECT("BN"&amp;MATCH("Primer",BH3:BH46,0)+2)</f>
        <v>185</v>
      </c>
      <c r="BO2" cm="1">
        <f t="array" aca="1" ref="BO2" ca="1">INDIRECT("BO"&amp;MATCH("Primer",BH3:BH46,0)+2)</f>
        <v>0</v>
      </c>
      <c r="BP2">
        <f t="shared" ref="BP2:BP46" ca="1" si="0">BN2+BO2</f>
        <v>185</v>
      </c>
      <c r="BR2">
        <f>VLOOKUP(Calculator!B4,SavedBuildNumbers!A1:AV73,24,FALSE)</f>
        <v>0</v>
      </c>
      <c r="BS2" t="str">
        <f>IF(VLOOKUP(Calculator!B4,SavedBuildNumbers!A1:AU73,47,FALSE)&lt;&gt;"N/A",CONCATENATE("Weapon Type: ",VLOOKUP(Calculator!B4,SavedBuildNumbers!A1:AU73,47,FALSE)),"")</f>
        <v/>
      </c>
      <c r="BU2" s="49">
        <f>IFERROR(ROUNDDOWN((IF((ROUND((VLOOKUP(tbMoveset!A2,tbMoveset!A2:F112,6,FALSE)+(IF(VLOOKUP(tbMoveset!A2,tbMoveset!A2:F112,6,FALSE)&gt;0,K41,0)))*(1+(IF(VLOOKUP(tbMoveset!A2,tbMoveset!A2:I112,9,FALSE)="Fire",VLOOKUP(Calculator!$E24,tbSkills!$AX3:$AZ9,3,FALSE),IF(VLOOKUP(tbMoveset!A2,tbMoveset!A2:I112,9,FALSE)="Water",VLOOKUP(Calculator!$E25,tbSkills!$AX3:$AZ9,3,FALSE),IF(VLOOKUP(BackdoorsMoveset!A2,tbMoveset!A2:I112,9,FALSE)="Thunder",VLOOKUP(Calculator!$E26,tbSkills!$AX3:$AZ9,3,FALSE),IF(VLOOKUP(tbMoveset!A2,tbMoveset!A2:I112,9,FALSE)="Ice",VLOOKUP(Calculator!$E27,tbSkills!$AX3:$AZ9,3,FALSE),IF(VLOOKUP(tbMoveset!A2,tbMoveset!A2:I112,9,FALSE)="Dragon",VLOOKUP(Calculator!$E28,tbSkills!$AX3:$AZ9,3,FALSE),0)))))/100))*AC7,0)+IF(VLOOKUP(tbMoveset!A2,tbMoveset!A2:F112,6,FALSE)&gt;0,IF(VLOOKUP(tbMoveset!A2,tbMoveset!A2:I112,9,FALSE)="Fire",VLOOKUP(Calculator!$E24,tbSkills!$AX3:$AY9,2,FALSE),IF(VLOOKUP(tbMoveset!A2,tbMoveset!A2:I112,9,FALSE)="Water",VLOOKUP(Calculator!$E25,tbSkills!$AX3:$AY9,2,FALSE),IF(VLOOKUP(tbMoveset!A2,tbMoveset!A2:I112,9,FALSE)="Thunder",VLOOKUP(Calculator!$E26,tbSkills!$AX3:$AY9,2,FALSE),IF(VLOOKUP(tbMoveset!A2,tbMoveset!A2:I112,9,FALSE)="Ice",VLOOKUP(Calculator!$E27,tbSkills!$AX3:$AY9,2,FALSE),IF(VLOOKUP(tbMoveset!A2,tbMoveset!A2:I112,9,FALSE)="Dragon",VLOOKUP(Calculator!$E28,tbSkills!$AX3:$AY9,2,FALSE),0))))),0)/10)&gt;=B34,B34,(ROUND((VLOOKUP(tbMoveset!A2,tbMoveset!A2:F112,6,FALSE)+(IF(VLOOKUP(tbMoveset!A2,tbMoveset!A2:F112,6,FALSE)&gt;0,K41,0)))*(1+(IF(VLOOKUP(tbMoveset!A2,tbMoveset!A2:I112,9,FALSE)="Fire",VLOOKUP(Calculator!$E24,tbSkills!$AX3:$AZ9,3,FALSE),IF(VLOOKUP(tbMoveset!A2,tbMoveset!A2:I112,9,FALSE)="Water",VLOOKUP(Calculator!$E25,tbSkills!$AX3:$AZ9,3,FALSE),IF(VLOOKUP(BackdoorsMoveset!A2,tbMoveset!A2:I112,9,FALSE)="Thunder",VLOOKUP(Calculator!$E26,tbSkills!$AX3:$AZ9,3,FALSE),IF(VLOOKUP(tbMoveset!A2,tbMoveset!A2:I112,9,FALSE)="Ice",VLOOKUP(Calculator!$E27,tbSkills!$AX3:$AZ9,3,FALSE),IF(VLOOKUP(tbMoveset!A2,tbMoveset!A2:I112,9,FALSE)="Dragon",VLOOKUP(Calculator!$E28,tbSkills!$AX3:$AZ9,3,FALSE),0)))))/100))*AC7,0)+IF(VLOOKUP(tbMoveset!A2,tbMoveset!A2:F112,6,FALSE)&gt;0,IF(VLOOKUP(tbMoveset!A2,tbMoveset!A2:I112,9,FALSE)="Fire",VLOOKUP(Calculator!$E24,tbSkills!$AX3:$AY9,2,FALSE),IF(VLOOKUP(tbMoveset!A2,tbMoveset!A2:I112,9,FALSE)="Water",VLOOKUP(Calculator!$E25,tbSkills!$AX3:$AY9,2,FALSE),IF(VLOOKUP(tbMoveset!A2,tbMoveset!A2:I112,9,FALSE)="Thunder",VLOOKUP(Calculator!$E26,tbSkills!$AX3:$AY9,2,FALSE),IF(VLOOKUP(tbMoveset!A2,tbMoveset!A2:I112,9,FALSE)="Ice",VLOOKUP(Calculator!$E27,tbSkills!$AX3:$AY9,2,FALSE),IF(VLOOKUP(tbMoveset!A2,tbMoveset!A2:I112,9,FALSE)="Dragon",VLOOKUP(Calculator!$E28,tbSkills!$AX3:$AY9,2,FALSE),0))))),0)/10))*N6)*AC6,0)*(B30/100),0)</f>
        <v>0</v>
      </c>
    </row>
    <row r="3" spans="1:73" x14ac:dyDescent="0.25">
      <c r="A3" t="s">
        <v>230</v>
      </c>
      <c r="B3">
        <f>VLOOKUP(Calculator!B2,tbWeapons!A2:C271,3,FALSE)</f>
        <v>112</v>
      </c>
      <c r="D3" t="s">
        <v>192</v>
      </c>
      <c r="E3">
        <f>ROUND(($E5*5)/$E2,0)</f>
        <v>180</v>
      </c>
      <c r="G3" t="s">
        <v>845</v>
      </c>
      <c r="H3">
        <f>IF(K8=TRUE,IF(B21=12,2,IF(B21&gt;=10,4,0)),0)</f>
        <v>0</v>
      </c>
      <c r="J3" t="s">
        <v>697</v>
      </c>
      <c r="K3">
        <f>IF(AND(Calculator!B30="Attack Increase",K2&gt;=1),5,0)+IF(AND(Calculator!B31="Attack Increase",K2&gt;=2),5,0)+IF(AND(Calculator!B32="Attack Increase",K2&gt;=3),5,0)</f>
        <v>0</v>
      </c>
      <c r="M3" t="s">
        <v>132</v>
      </c>
      <c r="N3">
        <f>VLOOKUP(Calculator!B4,tbMonsters!A2:I74,9,FALSE)</f>
        <v>40</v>
      </c>
      <c r="P3" t="s">
        <v>181</v>
      </c>
      <c r="Q3">
        <f>VLOOKUP(Calculator!E6,tbSkills!N3:O10,2,FALSE)</f>
        <v>0</v>
      </c>
      <c r="S3" t="s">
        <v>1057</v>
      </c>
      <c r="T3">
        <f>VLOOKUP(Calculator!E41,tbSkills!AL3:AM5,2,FALSE)</f>
        <v>0</v>
      </c>
      <c r="V3" t="s">
        <v>578</v>
      </c>
      <c r="W3">
        <f>IF(OR($B9="Poison",$B11="Poison"),VLOOKUP(Calculator!E29,tbSkills!DD3:DE7,2,FALSE),IF(OR($B9="Blast",$B11="Blast"),VLOOKUP(Calculator!E30,tbSkills!DD3:DE7,2,FALSE),0))</f>
        <v>0</v>
      </c>
      <c r="Y3" t="s">
        <v>875</v>
      </c>
      <c r="Z3">
        <f>1+IF(OR(B2="Gunlance",B2="Charge Blade",B2="Light Bowgun",B2="Heavy Bowgun"),(VLOOKUP(Calculator!E5,tbSkills!K3:L8,2,FALSE)/100),0)</f>
        <v>1</v>
      </c>
      <c r="AB3" t="s">
        <v>494</v>
      </c>
      <c r="AC3">
        <f>1+(IF(OR($B9="Fire",$B11="Fire"),VLOOKUP(Calculator!$E24,tbSkills!$AX3:$AZ9,3,FALSE),IF(OR($B9="Water",$B11="Water"),VLOOKUP(Calculator!$E25,tbSkills!$AX3:$AZ9,3,FALSE),IF(OR($B9="Thunder",$B11="Thunder"),VLOOKUP(Calculator!$E26,tbSkills!$AX3:$AZ9,3,FALSE),IF(OR($B9="Ice",$B11="Ice"),VLOOKUP(Calculator!$E27,tbSkills!$AX3:$AZ9,3,FALSE),IF(OR($B9="Dragon",$B11="Dragon"),VLOOKUP(Calculator!$E28,tbSkills!$AX3:$AZ9,3,FALSE),0)))))/100)</f>
        <v>1</v>
      </c>
      <c r="AE3" t="s">
        <v>578</v>
      </c>
      <c r="AF3">
        <f>1+IF(OR($B9="Poison",$B11="Poison"),VLOOKUP(Calculator!E29,tbSkills!DD3:DF7,3,FALSE)/100,IF(OR($B9="Blast",$B11="Blast"),VLOOKUP(Calculator!E30,tbSkills!DD3:DF7,3,FALSE)/100,0))</f>
        <v>1</v>
      </c>
      <c r="AH3" t="s">
        <v>181</v>
      </c>
      <c r="AI3">
        <f>VLOOKUP(Calculator!E6,tbSkills!N3:P10,3,FALSE)</f>
        <v>0</v>
      </c>
      <c r="AK3" t="s">
        <v>689</v>
      </c>
      <c r="AL3">
        <f>IF(VLOOKUP(Calculator!B2,tbWeapons!A2:AG271,33,FALSE)="Critical Element",tbSkills!AD4,0)</f>
        <v>0</v>
      </c>
      <c r="AN3" t="s">
        <v>582</v>
      </c>
      <c r="AO3">
        <f>ROUND(((((AO2+K26+K56)/10)*AF2)*AF3)*AC7,0)</f>
        <v>0</v>
      </c>
      <c r="AQ3" t="s">
        <v>234</v>
      </c>
      <c r="AR3">
        <f>IFERROR(N8/BN3,0)</f>
        <v>7.6108108108108112</v>
      </c>
      <c r="AT3">
        <v>2</v>
      </c>
      <c r="AU3">
        <f>$AU2+IF(AO12+((AO10*1)*AO11)&gt;AO13,AO13,AO12+((AO10*1)*AO11))</f>
        <v>90</v>
      </c>
      <c r="AW3" s="49">
        <f>IFERROR(INDEX(tbHitzones!K:K,MATCH(ROWS(tbHitzones!$1:1),tbHitzones!K:K,0)),"")</f>
        <v>1</v>
      </c>
      <c r="AX3" s="49" t="str">
        <f>IFERROR(INDEX(tbHitzones!B:B,MATCH(ROWS(tbHitzones!$1:1),tbHitzones!K:K,0)),"")</f>
        <v>Head</v>
      </c>
      <c r="AY3" s="49">
        <f>IFERROR(INDEX(tbHitzones!C:C,MATCH(ROWS(tbHitzones!$1:1),tbHitzones!K:K,0)),"")</f>
        <v>80</v>
      </c>
      <c r="AZ3" s="49">
        <f>IFERROR(INDEX(tbHitzones!D:D,MATCH(ROWS(tbHitzones!$1:1),tbHitzones!K:K,0)),"")</f>
        <v>85</v>
      </c>
      <c r="BA3" s="49">
        <f>IFERROR(INDEX(tbHitzones!E:E,MATCH(ROWS(tbHitzones!$1:1),tbHitzones!K:K,0)),"")</f>
        <v>75</v>
      </c>
      <c r="BB3" s="49">
        <f>IFERROR(INDEX(tbHitzones!F:F,MATCH(ROWS(tbHitzones!$1:1),tbHitzones!K:K,0)),"")</f>
        <v>30</v>
      </c>
      <c r="BC3" s="49">
        <f>IFERROR(INDEX(tbHitzones!G:G,MATCH(ROWS(tbHitzones!$1:1),tbHitzones!K:K,0)),"")</f>
        <v>0</v>
      </c>
      <c r="BD3" s="49">
        <f>IFERROR(INDEX(tbHitzones!H:H,MATCH(ROWS(tbHitzones!$1:1),tbHitzones!K:K,0)),"")</f>
        <v>20</v>
      </c>
      <c r="BE3" s="49">
        <f>IFERROR(INDEX(tbHitzones!I:I,MATCH(ROWS(tbHitzones!$1:1),tbHitzones!K:K,0)),"")</f>
        <v>15</v>
      </c>
      <c r="BF3" s="49">
        <f>IFERROR(INDEX(tbHitzones!J:J,MATCH(ROWS(tbHitzones!$1:1),tbHitzones!K:K,0)),"")</f>
        <v>10</v>
      </c>
      <c r="BG3" s="49">
        <f>IFERROR(IF(OR(B9="Fire",B11="Fire"),BB3,IF(OR(B9="Water",B11="Water"),BC3,IF(OR(B9="Thunder",B11="Thunder"),BD3,IF(OR(B9="Ice",B11="Ice"),BE3,IF(OR(B9="Dragon",B11="Dragon"),BF3,0))))),"")</f>
        <v>0</v>
      </c>
      <c r="BH3" s="49" t="str">
        <f>IFERROR(INDEX(tbHitzones!L:L,MATCH(ROWS(tbHitzones!$1:1),tbHitzones!K:K,0)),"")</f>
        <v>Primer</v>
      </c>
      <c r="BI3" s="49" t="b">
        <f>IFERROR(INDEX(tbHitzones!M:M,MATCH(ROWS(tbHitzones!$1:1),tbHitzones!K:K,0)),"")</f>
        <v>1</v>
      </c>
      <c r="BK3" s="49">
        <f>IFERROR(INDEX(tbHitzones!K:K,MATCH(ROWS(tbHitzones!$1:1),tbHitzones!K:K,0)),"")</f>
        <v>1</v>
      </c>
      <c r="BL3">
        <f>IFERROR(VLOOKUP(Backdoors!A37,BackdoorsMoveset!A2:E112,5,FALSE)+VLOOKUP(Backdoors!A38,BackdoorsMoveset!A2:E112,5,FALSE)+VLOOKUP(Backdoors!A39,BackdoorsMoveset!A2:E112,5,FALSE)+VLOOKUP(Backdoors!A40,BackdoorsMoveset!A2:E112,5,FALSE)+VLOOKUP(Backdoors!A41,BackdoorsMoveset!A2:E112,5,FALSE)+VLOOKUP(Backdoors!A42,BackdoorsMoveset!A2:E112,5,FALSE)+VLOOKUP(Backdoors!A43,BackdoorsMoveset!A2:E112,5,FALSE)+VLOOKUP(Backdoors!A44,BackdoorsMoveset!A2:E112,5,FALSE)+VLOOKUP(Backdoors!A45,BackdoorsMoveset!A2:E112,5,FALSE)+VLOOKUP(Backdoors!A46,BackdoorsMoveset!A2:E112,5,FALSE)+VLOOKUP(Backdoors!A47,BackdoorsMoveset!A2:E112,5,FALSE)+VLOOKUP(Backdoors!A48,BackdoorsMoveset!A2:E112,5,FALSE)+VLOOKUP(Backdoors!A49,BackdoorsMoveset!A2:E112,5,FALSE)+VLOOKUP(Backdoors!A50,BackdoorsMoveset!A2:E112,5,FALSE)+VLOOKUP(Backdoors!A51,BackdoorsMoveset!A2:E112,5,FALSE)+VLOOKUP(Backdoors!A52,BackdoorsMoveset!A2:E112,5,FALSE)+VLOOKUP(Backdoors!A53,BackdoorsMoveset!A2:E112,5,FALSE)+VLOOKUP(Backdoors!A54,BackdoorsMoveset!A2:E112,5,FALSE)+VLOOKUP(Backdoors!A55,BackdoorsMoveset!A2:E112,5,FALSE)+VLOOKUP(Backdoors!A56,BackdoorsMoveset!A2:E112,5,FALSE)+VLOOKUP(Backdoors!A57,BackdoorsMoveset!A2:E112,5,FALSE)+VLOOKUP(Backdoors!A58,BackdoorsMoveset!A2:E112,5,FALSE)+VLOOKUP(Backdoors!A59,BackdoorsMoveset!A2:E112,5,FALSE)+VLOOKUP(Backdoors!A60,BackdoorsMoveset!A2:E112,5,FALSE)+VLOOKUP(Backdoors!A61,BackdoorsMoveset!A2:E112,5,FALSE),0)</f>
        <v>185</v>
      </c>
      <c r="BM3">
        <f>IFERROR(VLOOKUP(Backdoors!A37,BackdoorsMoveset!A2:F112,6,FALSE)+VLOOKUP(Backdoors!A38,BackdoorsMoveset!A2:F112,6,FALSE)+VLOOKUP(Backdoors!A39,BackdoorsMoveset!A2:F112,6,FALSE)+VLOOKUP(Backdoors!A40,BackdoorsMoveset!A2:F112,6,FALSE)+VLOOKUP(Backdoors!A41,BackdoorsMoveset!A2:F112,6,FALSE)+VLOOKUP(Backdoors!A42,BackdoorsMoveset!A2:F112,6,FALSE)+VLOOKUP(Backdoors!A43,BackdoorsMoveset!A2:F112,6,FALSE)+VLOOKUP(Backdoors!A44,BackdoorsMoveset!A2:F112,6,FALSE)+VLOOKUP(Backdoors!A45,BackdoorsMoveset!A2:F112,6,FALSE)+VLOOKUP(Backdoors!A46,BackdoorsMoveset!A2:F112,6,FALSE)+VLOOKUP(Backdoors!A47,BackdoorsMoveset!A2:F112,6,FALSE)+VLOOKUP(Backdoors!A48,BackdoorsMoveset!A2:F112,6,FALSE)+VLOOKUP(Backdoors!A49,BackdoorsMoveset!A2:F112,6,FALSE)+VLOOKUP(Backdoors!A50,BackdoorsMoveset!A2:F112,6,FALSE)+VLOOKUP(Backdoors!A51,BackdoorsMoveset!A2:F112,6,FALSE)+VLOOKUP(Backdoors!A52,BackdoorsMoveset!A2:F112,6,FALSE)+VLOOKUP(Backdoors!A53,BackdoorsMoveset!A2:F112,6,FALSE)+VLOOKUP(Backdoors!A54,BackdoorsMoveset!A2:F112,6,FALSE)+VLOOKUP(Backdoors!A55,BackdoorsMoveset!A2:F112,6,FALSE)+VLOOKUP(Backdoors!A56,BackdoorsMoveset!A2:F112,6,FALSE)+VLOOKUP(Backdoors!A57,BackdoorsMoveset!A2:F112,6,FALSE)+VLOOKUP(Backdoors!A58,BackdoorsMoveset!A2:F112,6,FALSE)+VLOOKUP(Backdoors!A59,BackdoorsMoveset!A2:F112,6,FALSE)+VLOOKUP(Backdoors!A60,BackdoorsMoveset!A2:F112,6,FALSE)+VLOOKUP(Backdoors!A61,BackdoorsMoveset!A2:F112,6,FALSE),0)</f>
        <v>0</v>
      </c>
      <c r="BN3">
        <f>IFERROR(VLOOKUP(Backdoors!A37,BackdoorsMoveset!A2:H112,8,FALSE)+VLOOKUP(Backdoors!A38,BackdoorsMoveset!A2:H112,8,FALSE)+VLOOKUP(Backdoors!A39,BackdoorsMoveset!A2:H112,8,FALSE)+VLOOKUP(Backdoors!A40,BackdoorsMoveset!A2:H112,8,FALSE)+VLOOKUP(Backdoors!A41,BackdoorsMoveset!A2:H112,8,FALSE)+VLOOKUP(Backdoors!A42,BackdoorsMoveset!A2:H112,8,FALSE)+VLOOKUP(Backdoors!A43,BackdoorsMoveset!A2:H112,8,FALSE)+VLOOKUP(Backdoors!A44,BackdoorsMoveset!A2:H112,8,FALSE)+VLOOKUP(Backdoors!A45,BackdoorsMoveset!A2:H112,8,FALSE)+VLOOKUP(Backdoors!A46,BackdoorsMoveset!A2:H112,8,FALSE)+VLOOKUP(Backdoors!A47,BackdoorsMoveset!A2:H112,8,FALSE)+VLOOKUP(Backdoors!A48,BackdoorsMoveset!A2:H112,8,FALSE)+VLOOKUP(Backdoors!A49,BackdoorsMoveset!A2:H112,8,FALSE)+VLOOKUP(Backdoors!A50,BackdoorsMoveset!A2:H112,8,FALSE)+VLOOKUP(Backdoors!A51,BackdoorsMoveset!A2:H112,8,FALSE)+VLOOKUP(Backdoors!A52,BackdoorsMoveset!A2:H112,8,FALSE)+VLOOKUP(Backdoors!A53,BackdoorsMoveset!A2:H112,8,FALSE)+VLOOKUP(Backdoors!A54,BackdoorsMoveset!A2:H112,8,FALSE)+VLOOKUP(Backdoors!A55,BackdoorsMoveset!A2:H112,8,FALSE)+VLOOKUP(Backdoors!A56,BackdoorsMoveset!A2:H112,8,FALSE)+VLOOKUP(Backdoors!A57,BackdoorsMoveset!A2:H112,8,FALSE)+VLOOKUP(Backdoors!A58,BackdoorsMoveset!A2:H112,8,FALSE)+VLOOKUP(Backdoors!A59,BackdoorsMoveset!A2:H112,8,FALSE)+VLOOKUP(Backdoors!A60,BackdoorsMoveset!A2:H112,8,FALSE)+VLOOKUP(Backdoors!A61,BackdoorsMoveset!A2:H112,8,FALSE),0)</f>
        <v>185</v>
      </c>
      <c r="BO3" s="49">
        <f>IF(BN3=0,0,IF(OR(B9="Poison",$B11="Poison",B2="Light Bowgun",B2="Heavy Bowgun"),ROUND(Backdoors!A36*VLOOKUP(AO7,tbStatus!$A3:$F18,6,FALSE)*IF((AO16*AO18)&gt;1,1,(AO16*AO18)),0),IF(OR(B9="Blast",B11="Blast"),AR13,0)))</f>
        <v>0</v>
      </c>
      <c r="BP3">
        <f t="shared" si="0"/>
        <v>185</v>
      </c>
      <c r="BQ3" s="49" t="str">
        <f>CONCATENATE(AX3,IF(AND(BI3=TRUE,Calculator!B8=TRUE),CONCATENATE(" (Tenderized)"),""),IF(BP3=0,"",CONCATENATE(", ",BP3)))</f>
        <v>Head, 185</v>
      </c>
      <c r="BR3">
        <f>VLOOKUP(Calculator!B4,SavedBuildNumbers!A1:B73,2,FALSE)</f>
        <v>1</v>
      </c>
      <c r="BS3" t="str">
        <f>IF(VLOOKUP(Calculator!B4,SavedBuildNumbers!A1:AV73,48,FALSE)&lt;&gt;"N/A",CONCATENATE("Primer Hit Zone: ",VLOOKUP(Calculator!B4,SavedBuildNumbers!A1:AV73,48,FALSE)),"")</f>
        <v/>
      </c>
      <c r="BU3" s="49">
        <f>IFERROR(ROUNDDOWN((IF((ROUND((VLOOKUP(tbMoveset!A3,tbMoveset!A2:F112,6,FALSE)+(IF(VLOOKUP(tbMoveset!A3,tbMoveset!A2:F112,6,FALSE)&gt;0,K41,0)))*(1+(IF(VLOOKUP(tbMoveset!A3,tbMoveset!A2:I112,9,FALSE)="Fire",VLOOKUP(Calculator!$E24,tbSkills!$AX3:$AZ9,3,FALSE),IF(VLOOKUP(tbMoveset!A3,tbMoveset!A2:I112,9,FALSE)="Water",VLOOKUP(Calculator!$E25,tbSkills!$AX3:$AZ9,3,FALSE),IF(VLOOKUP(BackdoorsMoveset!A3,tbMoveset!A2:I112,9,FALSE)="Thunder",VLOOKUP(Calculator!$E26,tbSkills!$AX3:$AZ9,3,FALSE),IF(VLOOKUP(tbMoveset!A3,tbMoveset!A2:I112,9,FALSE)="Ice",VLOOKUP(Calculator!$E27,tbSkills!$AX3:$AZ9,3,FALSE),IF(VLOOKUP(tbMoveset!A3,tbMoveset!A2:I112,9,FALSE)="Dragon",VLOOKUP(Calculator!$E28,tbSkills!$AX3:$AZ9,3,FALSE),0)))))/100))*AC7,0)+IF(VLOOKUP(tbMoveset!A3,tbMoveset!A2:F112,6,FALSE)&gt;0,IF(VLOOKUP(tbMoveset!A3,tbMoveset!A2:I112,9,FALSE)="Fire",VLOOKUP(Calculator!$E24,tbSkills!$AX3:$AY9,2,FALSE),IF(VLOOKUP(tbMoveset!A3,tbMoveset!A2:I112,9,FALSE)="Water",VLOOKUP(Calculator!$E25,tbSkills!$AX3:$AY9,2,FALSE),IF(VLOOKUP(tbMoveset!A3,tbMoveset!A2:I112,9,FALSE)="Thunder",VLOOKUP(Calculator!$E26,tbSkills!$AX3:$AY9,2,FALSE),IF(VLOOKUP(tbMoveset!A3,tbMoveset!A2:I112,9,FALSE)="Ice",VLOOKUP(Calculator!$E27,tbSkills!$AX3:$AY9,2,FALSE),IF(VLOOKUP(tbMoveset!A3,tbMoveset!A2:I112,9,FALSE)="Dragon",VLOOKUP(Calculator!$E28,tbSkills!$AX3:$AY9,2,FALSE),0))))),0)/10)&gt;=B34,B34,(ROUND((VLOOKUP(tbMoveset!A3,tbMoveset!A2:F112,6,FALSE)+(IF(VLOOKUP(tbMoveset!A3,tbMoveset!A2:F112,6,FALSE)&gt;0,K41,0)))*(1+(IF(VLOOKUP(tbMoveset!A3,tbMoveset!A2:I112,9,FALSE)="Fire",VLOOKUP(Calculator!$E24,tbSkills!$AX3:$AZ9,3,FALSE),IF(VLOOKUP(tbMoveset!A3,tbMoveset!A2:I112,9,FALSE)="Water",VLOOKUP(Calculator!$E25,tbSkills!$AX3:$AZ9,3,FALSE),IF(VLOOKUP(BackdoorsMoveset!A3,tbMoveset!A2:I112,9,FALSE)="Thunder",VLOOKUP(Calculator!$E26,tbSkills!$AX3:$AZ9,3,FALSE),IF(VLOOKUP(tbMoveset!A3,tbMoveset!A2:I112,9,FALSE)="Ice",VLOOKUP(Calculator!$E27,tbSkills!$AX3:$AZ9,3,FALSE),IF(VLOOKUP(tbMoveset!A3,tbMoveset!A2:I112,9,FALSE)="Dragon",VLOOKUP(Calculator!$E28,tbSkills!$AX3:$AZ9,3,FALSE),0)))))/100))*AC7,0)+IF(VLOOKUP(tbMoveset!A3,tbMoveset!A2:F112,6,FALSE)&gt;0,IF(VLOOKUP(tbMoveset!A3,tbMoveset!A2:I112,9,FALSE)="Fire",VLOOKUP(Calculator!$E24,tbSkills!$AX3:$AY9,2,FALSE),IF(VLOOKUP(tbMoveset!A3,tbMoveset!A2:I112,9,FALSE)="Water",VLOOKUP(Calculator!$E25,tbSkills!$AX3:$AY9,2,FALSE),IF(VLOOKUP(tbMoveset!A3,tbMoveset!A2:I112,9,FALSE)="Thunder",VLOOKUP(Calculator!$E26,tbSkills!$AX3:$AY9,2,FALSE),IF(VLOOKUP(tbMoveset!A3,tbMoveset!A2:I112,9,FALSE)="Ice",VLOOKUP(Calculator!$E27,tbSkills!$AX3:$AY9,2,FALSE),IF(VLOOKUP(tbMoveset!A3,tbMoveset!A2:I112,9,FALSE)="Dragon",VLOOKUP(Calculator!$E28,tbSkills!$AX3:$AY9,2,FALSE),0))))),0)/10))*N6)*AC6,0)*(B30/100),0)</f>
        <v>0</v>
      </c>
    </row>
    <row r="4" spans="1:73" x14ac:dyDescent="0.25">
      <c r="A4" t="s">
        <v>583</v>
      </c>
      <c r="B4">
        <f>ROUND(((((((((B3/VLOOKUP(B2,tbBloat!A2:B15,2,FALSE))+K24+K48)*Z4)*Z6)*Z8)*Z10)*Z11)*Z13)*Z15,0)</f>
        <v>80</v>
      </c>
      <c r="D4" t="s">
        <v>193</v>
      </c>
      <c r="E4" s="5" t="str">
        <f>IF(VLOOKUP(Calculator!$B2,tbWeapons!A2:X271,24,FALSE)&gt;0,"Purple",IF(VLOOKUP(Calculator!$B2,tbWeapons!A2:W271,23,FALSE)&gt;0,"White",IF(VLOOKUP(Calculator!$B2,tbWeapons!A2:V271,22,FALSE)&gt;0,"Blue",IF(VLOOKUP(Calculator!$B2,tbWeapons!A2:U271,21,FALSE)&gt;0,"Green",IF(VLOOKUP(Calculator!$B2,tbWeapons!A2:T271,20,FALSE)&gt;0,"Yellow",IF(VLOOKUP(Calculator!$B2,tbWeapons!A2:S271,19,FALSE)&gt;0,"Orange","Red"))))))</f>
        <v>Yellow</v>
      </c>
      <c r="G4" t="s">
        <v>850</v>
      </c>
      <c r="H4" t="b">
        <f>IF(K2&gt;0,H2,IF(B21&gt;=10,IF(H2&gt;=H3,H3,H2)))</f>
        <v>0</v>
      </c>
      <c r="J4" t="s">
        <v>698</v>
      </c>
      <c r="K4">
        <f>IF(AND(Calculator!B30="Affinity Increase",K2&gt;=1),5,0)+IF(AND(Calculator!B31="Affinity Increase",K2&gt;=2),5,0)+IF(AND(Calculator!B32="Affinity Increase",K2&gt;=3),5,0)</f>
        <v>0</v>
      </c>
      <c r="M4" t="s">
        <v>601</v>
      </c>
      <c r="N4">
        <f>VLOOKUP(Calculator!B4,tbMonsters!A2:L74,12,FALSE)</f>
        <v>440</v>
      </c>
      <c r="P4" t="s">
        <v>622</v>
      </c>
      <c r="Q4">
        <f>IF(VLOOKUP(Calculator!E38,tbSkills!R3:S4,2,FALSE)=TRUE,IF(Backdoors!E20="Green",15,IF(Backdoors!E20="Yellow",25,IF(Backdoors!E20="Orange",30,0))),0)</f>
        <v>0</v>
      </c>
      <c r="S4" t="s">
        <v>763</v>
      </c>
      <c r="T4">
        <f>VLOOKUP(Calculator!E42,tbSkills!AR3:AS5,2,FALSE)</f>
        <v>0</v>
      </c>
      <c r="V4" t="s">
        <v>232</v>
      </c>
      <c r="W4">
        <f>(W2+W3)/10</f>
        <v>0</v>
      </c>
      <c r="Y4" t="s">
        <v>1548</v>
      </c>
      <c r="Z4">
        <f>IF(Calculator!B58="Attack Up (XL)",1.2,IF(Calculator!B58="Attack Up (L)",1.15,IF(Calculator!B58="Attack Up (S)",1.1,1)))</f>
        <v>1</v>
      </c>
      <c r="AB4" t="s">
        <v>1550</v>
      </c>
      <c r="AC4">
        <f>IF(Calculator!B59="EEU+Element Attack Boost (L)",1.2,IF(Calculator!B59="EEU+Element Attack Boost (S)",1.16,IF(Calculator!B59="Element Attack Boost (L)",1.1,IF(Calculator!B59="Element Attack Boost (S)",1.08,IF(Calculator!B59="Element Effectiveness Up",1.05,1)))))</f>
        <v>1</v>
      </c>
      <c r="AH4" t="s">
        <v>884</v>
      </c>
      <c r="AI4">
        <f>IF(Calculator!B24=TRUE,50,0)</f>
        <v>0</v>
      </c>
      <c r="AK4" t="s">
        <v>690</v>
      </c>
      <c r="AL4">
        <f>IF(VLOOKUP(Calculator!B2,tbWeapons!A2:AG271,33,FALSE)="Critical Status",tbSkills!AJ4,0)</f>
        <v>0</v>
      </c>
      <c r="AN4" t="s">
        <v>577</v>
      </c>
      <c r="AO4">
        <f>AO3+IF(AO3&gt;0,W4,0)</f>
        <v>0</v>
      </c>
      <c r="AQ4" t="s">
        <v>572</v>
      </c>
      <c r="AR4">
        <f>AO6*AO18</f>
        <v>0</v>
      </c>
      <c r="AT4">
        <v>3</v>
      </c>
      <c r="AU4">
        <f>$AU3+IF(AO12+((AO10*2)*AO11)&gt;AO13,AO13,AO12+((AO10*2)*AO11))</f>
        <v>162</v>
      </c>
      <c r="AW4" s="49">
        <f>IFERROR(INDEX(tbHitzones!K:K,MATCH(ROWS(tbHitzones!$1:2),tbHitzones!K:K,0)),"")</f>
        <v>2</v>
      </c>
      <c r="AX4" s="49" t="str">
        <f>IFERROR(INDEX(tbHitzones!B:B,MATCH(ROWS(tbHitzones!$1:2),tbHitzones!K:K,0)),"")</f>
        <v>Neck</v>
      </c>
      <c r="AY4" s="49">
        <f>IFERROR(INDEX(tbHitzones!C:C,MATCH(ROWS(tbHitzones!$1:2),tbHitzones!K:K,0)),"")</f>
        <v>65</v>
      </c>
      <c r="AZ4" s="49">
        <f>IFERROR(INDEX(tbHitzones!D:D,MATCH(ROWS(tbHitzones!$1:2),tbHitzones!K:K,0)),"")</f>
        <v>70</v>
      </c>
      <c r="BA4" s="49">
        <f>IFERROR(INDEX(tbHitzones!E:E,MATCH(ROWS(tbHitzones!$1:2),tbHitzones!K:K,0)),"")</f>
        <v>60</v>
      </c>
      <c r="BB4" s="49">
        <f>IFERROR(INDEX(tbHitzones!F:F,MATCH(ROWS(tbHitzones!$1:2),tbHitzones!K:K,0)),"")</f>
        <v>20</v>
      </c>
      <c r="BC4" s="49">
        <f>IFERROR(INDEX(tbHitzones!G:G,MATCH(ROWS(tbHitzones!$1:2),tbHitzones!K:K,0)),"")</f>
        <v>0</v>
      </c>
      <c r="BD4" s="49">
        <f>IFERROR(INDEX(tbHitzones!H:H,MATCH(ROWS(tbHitzones!$1:2),tbHitzones!K:K,0)),"")</f>
        <v>10</v>
      </c>
      <c r="BE4" s="49">
        <f>IFERROR(INDEX(tbHitzones!I:I,MATCH(ROWS(tbHitzones!$1:2),tbHitzones!K:K,0)),"")</f>
        <v>5</v>
      </c>
      <c r="BF4" s="49">
        <f>IFERROR(INDEX(tbHitzones!J:J,MATCH(ROWS(tbHitzones!$1:2),tbHitzones!K:K,0)),"")</f>
        <v>5</v>
      </c>
      <c r="BG4" s="49">
        <f>IFERROR(IF(OR(B9="Fire",B11="Fire"),BB4,IF(OR(B9="Water",B11="Water"),BC4,IF(OR(B9="Thunder",B11="Thunder"),BD4,IF(OR(B9="Ice",B11="Ice"),BE4,IF(OR(B9="Dragon",B11="Dragon"),BF4,0))))),"")</f>
        <v>0</v>
      </c>
      <c r="BH4" s="49">
        <f>IFERROR(INDEX(tbHitzones!L:L,MATCH(ROWS(tbHitzones!$1:2),tbHitzones!K:K,0)),"")</f>
        <v>0</v>
      </c>
      <c r="BI4" s="49" t="b">
        <f>IFERROR(INDEX(tbHitzones!M:M,MATCH(ROWS(tbHitzones!$1:2),tbHitzones!K:K,0)),"")</f>
        <v>1</v>
      </c>
      <c r="BK4" s="49">
        <f>IFERROR(INDEX(tbHitzones!K:K,MATCH(ROWS(tbHitzones!$1:2),tbHitzones!K:K,0)),"")</f>
        <v>2</v>
      </c>
      <c r="BL4">
        <f>IFERROR(VLOOKUP(Backdoors!A37,BackdoorsMoveset!A2:L112,12,FALSE)+VLOOKUP(Backdoors!A38,BackdoorsMoveset!A2:L112,12,FALSE)+VLOOKUP(Backdoors!A39,BackdoorsMoveset!A2:L112,12,FALSE)+VLOOKUP(Backdoors!A40,BackdoorsMoveset!A2:L112,12,FALSE)+VLOOKUP(Backdoors!A41,BackdoorsMoveset!A2:L112,12,FALSE)+VLOOKUP(Backdoors!A42,BackdoorsMoveset!A2:L112,12,FALSE)+VLOOKUP(Backdoors!A43,BackdoorsMoveset!A2:L112,12,FALSE)+VLOOKUP(Backdoors!A44,BackdoorsMoveset!A2:L112,12,FALSE)+VLOOKUP(Backdoors!A45,BackdoorsMoveset!A2:L112,12,FALSE)+VLOOKUP(Backdoors!A46,BackdoorsMoveset!A2:L112,12,FALSE)+VLOOKUP(Backdoors!A47,BackdoorsMoveset!A2:L112,12,FALSE)+VLOOKUP(Backdoors!A48,BackdoorsMoveset!A2:L112,12,FALSE)+VLOOKUP(Backdoors!A49,BackdoorsMoveset!A2:L112,12,FALSE)+VLOOKUP(Backdoors!A50,BackdoorsMoveset!A2:L112,12,FALSE)+VLOOKUP(Backdoors!A51,BackdoorsMoveset!A2:L112,12,FALSE)+VLOOKUP(Backdoors!A52,BackdoorsMoveset!A2:L112,12,FALSE)+VLOOKUP(Backdoors!A53,BackdoorsMoveset!A2:L112,12,FALSE)+VLOOKUP(Backdoors!A54,BackdoorsMoveset!A2:L112,12,FALSE)+VLOOKUP(Backdoors!A55,BackdoorsMoveset!A2:L112,12,FALSE)+VLOOKUP(Backdoors!A56,BackdoorsMoveset!A2:L112,12,FALSE)+VLOOKUP(Backdoors!A57,BackdoorsMoveset!A2:L112,12,FALSE)+VLOOKUP(Backdoors!A58,BackdoorsMoveset!A2:L112,12,FALSE)+VLOOKUP(Backdoors!A59,BackdoorsMoveset!A2:L112,12,FALSE)+VLOOKUP(Backdoors!A60,BackdoorsMoveset!A2:L112,12,FALSE)+VLOOKUP(Backdoors!A61,BackdoorsMoveset!A2:L112,12,FALSE),0)</f>
        <v>151</v>
      </c>
      <c r="BM4">
        <f>IFERROR(VLOOKUP(Backdoors!A37,BackdoorsMoveset!A2:M112,13,FALSE)+VLOOKUP(Backdoors!A38,BackdoorsMoveset!A2:M112,13,FALSE)+VLOOKUP(Backdoors!A39,BackdoorsMoveset!A2:M112,13,FALSE)+VLOOKUP(Backdoors!A40,BackdoorsMoveset!A2:M112,13,FALSE)+VLOOKUP(Backdoors!A41,BackdoorsMoveset!A2:M112,13,FALSE)+VLOOKUP(Backdoors!A42,BackdoorsMoveset!A2:M112,13,FALSE)+VLOOKUP(Backdoors!A43,BackdoorsMoveset!A2:M112,13,FALSE)+VLOOKUP(Backdoors!A44,BackdoorsMoveset!A2:M112,13,FALSE)+VLOOKUP(Backdoors!A45,BackdoorsMoveset!A2:M112,13,FALSE)+VLOOKUP(Backdoors!A46,BackdoorsMoveset!A2:M112,13,FALSE)+VLOOKUP(Backdoors!A47,BackdoorsMoveset!A2:M112,13,FALSE)+VLOOKUP(Backdoors!A48,BackdoorsMoveset!A2:M112,13,FALSE)+VLOOKUP(Backdoors!A49,BackdoorsMoveset!A2:M112,13,FALSE)+VLOOKUP(Backdoors!A50,BackdoorsMoveset!A2:M112,13,FALSE)+VLOOKUP(Backdoors!A51,BackdoorsMoveset!A2:M112,13,FALSE)+VLOOKUP(Backdoors!A52,BackdoorsMoveset!A2:M112,13,FALSE)+VLOOKUP(Backdoors!A53,BackdoorsMoveset!A2:M112,13,FALSE)+VLOOKUP(Backdoors!A54,BackdoorsMoveset!A2:M112,13,FALSE)+VLOOKUP(Backdoors!A55,BackdoorsMoveset!A2:M112,13,FALSE)+VLOOKUP(Backdoors!A56,BackdoorsMoveset!A2:M112,13,FALSE)+VLOOKUP(Backdoors!A57,BackdoorsMoveset!A2:M112,13,FALSE)+VLOOKUP(Backdoors!A58,BackdoorsMoveset!A2:M112,13,FALSE)+VLOOKUP(Backdoors!A59,BackdoorsMoveset!A2:M112,13,FALSE)+VLOOKUP(Backdoors!A60,BackdoorsMoveset!A2:M112,13,FALSE)+VLOOKUP(Backdoors!A61,BackdoorsMoveset!A2:M112,13,FALSE),0)</f>
        <v>0</v>
      </c>
      <c r="BN4">
        <f>IFERROR(VLOOKUP(Backdoors!A37,BackdoorsMoveset!A2:O112,15,FALSE)+VLOOKUP(Backdoors!A38,BackdoorsMoveset!A2:O112,15,FALSE)+VLOOKUP(Backdoors!A39,BackdoorsMoveset!A2:O112,15,FALSE)+VLOOKUP(Backdoors!A40,BackdoorsMoveset!A2:O112,15,FALSE)+VLOOKUP(Backdoors!A41,BackdoorsMoveset!A2:O112,15,FALSE)+VLOOKUP(Backdoors!A42,BackdoorsMoveset!A2:O112,15,FALSE)+VLOOKUP(Backdoors!A43,BackdoorsMoveset!A2:O112,15,FALSE)+VLOOKUP(Backdoors!A44,BackdoorsMoveset!A2:O112,15,FALSE)+VLOOKUP(Backdoors!A45,BackdoorsMoveset!A2:O112,15,FALSE)+VLOOKUP(Backdoors!A46,BackdoorsMoveset!A2:O112,15,FALSE)+VLOOKUP(Backdoors!A47,BackdoorsMoveset!A2:O112,15,FALSE)+VLOOKUP(Backdoors!A48,BackdoorsMoveset!A2:O112,15,FALSE)+VLOOKUP(Backdoors!A49,BackdoorsMoveset!A2:O112,15,FALSE)+VLOOKUP(Backdoors!A50,BackdoorsMoveset!A2:O112,15,FALSE)+VLOOKUP(Backdoors!A51,BackdoorsMoveset!A2:O112,15,FALSE)+VLOOKUP(Backdoors!A52,BackdoorsMoveset!A2:O112,15,FALSE)+VLOOKUP(Backdoors!A53,BackdoorsMoveset!A2:O112,15,FALSE)+VLOOKUP(Backdoors!A54,BackdoorsMoveset!A2:O112,15,FALSE)+VLOOKUP(Backdoors!A55,BackdoorsMoveset!A2:O112,15,FALSE)+VLOOKUP(Backdoors!A56,BackdoorsMoveset!A2:O112,15,FALSE)+VLOOKUP(Backdoors!A57,BackdoorsMoveset!A2:O112,15,FALSE)+VLOOKUP(Backdoors!A58,BackdoorsMoveset!A2:O112,15,FALSE)+VLOOKUP(Backdoors!A59,BackdoorsMoveset!A2:O112,15,FALSE)+VLOOKUP(Backdoors!A60,BackdoorsMoveset!A2:O112,15,FALSE)+VLOOKUP(Backdoors!A61,BackdoorsMoveset!A2:O112,15,FALSE),0)</f>
        <v>151</v>
      </c>
      <c r="BO4" s="49">
        <f>IF(BN4=0,0,IF(OR(B9="Poison",$B11="Poison",B2="Light Bowgun",B2="Heavy Bowgun"),ROUND(Backdoors!A36*VLOOKUP(AO7,tbStatus!$A3:$F18,6,FALSE)*IF((AO16*AO19)&gt;1,1,(AO16*AO19)),0),IF(OR(B9="Blast",B11="Blast"),AR26,0)))</f>
        <v>0</v>
      </c>
      <c r="BP4">
        <f t="shared" si="0"/>
        <v>151</v>
      </c>
      <c r="BQ4" s="49" t="str">
        <f>CONCATENATE(AX4,IF(AND(BI4=TRUE,Calculator!B8=TRUE),CONCATENATE(" (Tenderized)"),""),IF(BP4=0,"",CONCATENATE(", ",BP4)))</f>
        <v>Neck, 151</v>
      </c>
      <c r="BR4">
        <f>VLOOKUP(Calculator!B4,SavedBuildNumbers!A1:C73,3,FALSE)</f>
        <v>0</v>
      </c>
      <c r="BS4" t="str">
        <f>IF(VLOOKUP(Calculator!B4,SavedBuildNumbers!A1:AW73,49,FALSE)&lt;&gt;"N/A",CONCATENATE("Combo: ",VLOOKUP(Calculator!B4,SavedBuildNumbers!A1:AW73,49,FALSE)),"")</f>
        <v/>
      </c>
      <c r="BU4" s="49">
        <f>IFERROR(ROUNDDOWN((IF((ROUND((VLOOKUP(tbMoveset!A4,tbMoveset!A2:F112,6,FALSE)+(IF(VLOOKUP(tbMoveset!A4,tbMoveset!A2:F112,6,FALSE)&gt;0,K41,0)))*(1+(IF(VLOOKUP(tbMoveset!A4,tbMoveset!A2:I112,9,FALSE)="Fire",VLOOKUP(Calculator!$E24,tbSkills!$AX3:$AZ9,3,FALSE),IF(VLOOKUP(tbMoveset!A4,tbMoveset!A2:I112,9,FALSE)="Water",VLOOKUP(Calculator!$E25,tbSkills!$AX3:$AZ9,3,FALSE),IF(VLOOKUP(BackdoorsMoveset!A4,tbMoveset!A2:I112,9,FALSE)="Thunder",VLOOKUP(Calculator!$E26,tbSkills!$AX3:$AZ9,3,FALSE),IF(VLOOKUP(tbMoveset!A4,tbMoveset!A2:I112,9,FALSE)="Ice",VLOOKUP(Calculator!$E27,tbSkills!$AX3:$AZ9,3,FALSE),IF(VLOOKUP(tbMoveset!A4,tbMoveset!A2:I112,9,FALSE)="Dragon",VLOOKUP(Calculator!$E28,tbSkills!$AX3:$AZ9,3,FALSE),0)))))/100))*AC7,0)+IF(VLOOKUP(tbMoveset!A4,tbMoveset!A2:F112,6,FALSE)&gt;0,IF(VLOOKUP(tbMoveset!A4,tbMoveset!A2:I112,9,FALSE)="Fire",VLOOKUP(Calculator!$E24,tbSkills!$AX3:$AY9,2,FALSE),IF(VLOOKUP(tbMoveset!A4,tbMoveset!A2:I112,9,FALSE)="Water",VLOOKUP(Calculator!$E25,tbSkills!$AX3:$AY9,2,FALSE),IF(VLOOKUP(tbMoveset!A4,tbMoveset!A2:I112,9,FALSE)="Thunder",VLOOKUP(Calculator!$E26,tbSkills!$AX3:$AY9,2,FALSE),IF(VLOOKUP(tbMoveset!A4,tbMoveset!A2:I112,9,FALSE)="Ice",VLOOKUP(Calculator!$E27,tbSkills!$AX3:$AY9,2,FALSE),IF(VLOOKUP(tbMoveset!A4,tbMoveset!A2:I112,9,FALSE)="Dragon",VLOOKUP(Calculator!$E28,tbSkills!$AX3:$AY9,2,FALSE),0))))),0)/10)&gt;=B34,B34,(ROUND((VLOOKUP(tbMoveset!A4,tbMoveset!A2:F112,6,FALSE)+(IF(VLOOKUP(tbMoveset!A4,tbMoveset!A2:F112,6,FALSE)&gt;0,K41,0)))*(1+(IF(VLOOKUP(tbMoveset!A4,tbMoveset!A2:I112,9,FALSE)="Fire",VLOOKUP(Calculator!$E24,tbSkills!$AX3:$AZ9,3,FALSE),IF(VLOOKUP(tbMoveset!A4,tbMoveset!A2:I112,9,FALSE)="Water",VLOOKUP(Calculator!$E25,tbSkills!$AX3:$AZ9,3,FALSE),IF(VLOOKUP(BackdoorsMoveset!A4,tbMoveset!A2:I112,9,FALSE)="Thunder",VLOOKUP(Calculator!$E26,tbSkills!$AX3:$AZ9,3,FALSE),IF(VLOOKUP(tbMoveset!A4,tbMoveset!A2:I112,9,FALSE)="Ice",VLOOKUP(Calculator!$E27,tbSkills!$AX3:$AZ9,3,FALSE),IF(VLOOKUP(tbMoveset!A4,tbMoveset!A2:I112,9,FALSE)="Dragon",VLOOKUP(Calculator!$E28,tbSkills!$AX3:$AZ9,3,FALSE),0)))))/100))*AC7,0)+IF(VLOOKUP(tbMoveset!A4,tbMoveset!A2:F112,6,FALSE)&gt;0,IF(VLOOKUP(tbMoveset!A4,tbMoveset!A2:I112,9,FALSE)="Fire",VLOOKUP(Calculator!$E24,tbSkills!$AX3:$AY9,2,FALSE),IF(VLOOKUP(tbMoveset!A4,tbMoveset!A2:I112,9,FALSE)="Water",VLOOKUP(Calculator!$E25,tbSkills!$AX3:$AY9,2,FALSE),IF(VLOOKUP(tbMoveset!A4,tbMoveset!A2:I112,9,FALSE)="Thunder",VLOOKUP(Calculator!$E26,tbSkills!$AX3:$AY9,2,FALSE),IF(VLOOKUP(tbMoveset!A4,tbMoveset!A2:I112,9,FALSE)="Ice",VLOOKUP(Calculator!$E27,tbSkills!$AX3:$AY9,2,FALSE),IF(VLOOKUP(tbMoveset!A4,tbMoveset!A2:I112,9,FALSE)="Dragon",VLOOKUP(Calculator!$E28,tbSkills!$AX3:$AY9,2,FALSE),0))))),0)/10))*N6)*AC6,0)*(B30/100),0)</f>
        <v>0</v>
      </c>
    </row>
    <row r="5" spans="1:73" x14ac:dyDescent="0.25">
      <c r="A5" t="s">
        <v>183</v>
      </c>
      <c r="B5">
        <f>B4+Q15</f>
        <v>80</v>
      </c>
      <c r="D5" t="s">
        <v>194</v>
      </c>
      <c r="E5">
        <f>IF(VLOOKUP(Calculator!$B2,tbWeapons!A2:X271,24,FALSE)&gt;0,VLOOKUP(Calculator!$B2,tbWeapons!A2:X271,24,FALSE),IF(VLOOKUP(Calculator!$B2,tbWeapons!A2:W271,23,FALSE)&gt;0,VLOOKUP(Calculator!$B2,tbWeapons!A2:W271,23,FALSE),IF(VLOOKUP(Calculator!$B2,tbWeapons!A2:V271,22,FALSE)&gt;0,VLOOKUP(Calculator!$B2,tbWeapons!A2:V271,22,FALSE),IF(VLOOKUP(Calculator!$B2,tbWeapons!A2:U271,21,FALSE)&gt;0,VLOOKUP(Calculator!$B2,tbWeapons!A2:U271,21,FALSE),IF(VLOOKUP(Calculator!$B2,tbWeapons!A2:T271,20,FALSE)&gt;0,VLOOKUP(Calculator!$B2,tbWeapons!A2:T271,20,FALSE),IF(VLOOKUP(Calculator!$B2,tbWeapons!A2:S271,19,FALSE)&gt;0,VLOOKUP(Calculator!$B2,tbWeapons!A2:S271,19,FALSE),VLOOKUP(Calculator!$B2,tbWeapons!A2:R271,18,FALSE)))))))</f>
        <v>12</v>
      </c>
      <c r="G5" t="s">
        <v>707</v>
      </c>
      <c r="H5">
        <f>VLOOKUP(Calculator!B2,tbWeapons!A2:N271,14,FALSE)+IF(H4=1,1,0)+IF(K58=1,1,0)</f>
        <v>0</v>
      </c>
      <c r="J5" t="s">
        <v>701</v>
      </c>
      <c r="K5">
        <f>IF(K4&gt;=5,K4+5,0)</f>
        <v>0</v>
      </c>
      <c r="M5" t="s">
        <v>232</v>
      </c>
      <c r="N5">
        <f>IF(Calculator!B5="Both States",N2/(N2+N3),IF(Calculator!B5="Enraged",1,0))</f>
        <v>0.6</v>
      </c>
      <c r="P5" t="s">
        <v>765</v>
      </c>
      <c r="Q5">
        <f>VLOOKUP(Calculator!E7,tbSkills!U3:V6,2,FALSE)</f>
        <v>0</v>
      </c>
      <c r="S5" t="s">
        <v>494</v>
      </c>
      <c r="T5">
        <f>IF(OR($B9="Fire",$B11="Fire"),VLOOKUP(Calculator!$E24,tbSkills!$AX3:$AY9,2,FALSE),IF(OR($B9="Water",$B11="Water"),VLOOKUP(Calculator!$E25,tbSkills!$AX3:$AY9,2,FALSE),IF(OR($B9="Thunder",$B11="Thunder"),VLOOKUP(Calculator!$E26,tbSkills!$AX3:$AY9,2,FALSE),IF(OR($B9="Ice",$B11="Ice"),VLOOKUP(Calculator!$E27,tbSkills!$AX3:$AY9,2,FALSE),IF(OR($B9="Dragon",$B11="Dragon"),VLOOKUP(Calculator!$E28,tbSkills!$AX3:$AY9,2,FALSE),0)))))</f>
        <v>0</v>
      </c>
      <c r="Y5" t="s">
        <v>1556</v>
      </c>
      <c r="Z5">
        <f>IF(B2="Insect Glaive",IF(Calculator!B61="Triple Extract",1.15,IF(Calculator!B61="Red+White Extract",1.1,1)),1)</f>
        <v>1</v>
      </c>
      <c r="AB5" t="s">
        <v>872</v>
      </c>
      <c r="AC5">
        <f>1+(VLOOKUP(Calculator!E43,tbSkills!AU3:AV4,2,FALSE)/100)</f>
        <v>1</v>
      </c>
      <c r="AH5" t="s">
        <v>698</v>
      </c>
      <c r="AI5">
        <f>K25+K50</f>
        <v>0</v>
      </c>
      <c r="AN5" t="s">
        <v>255</v>
      </c>
      <c r="AO5">
        <f>IF(OR(B2="Light Bowgun",B2="Heavy Bowgun"),1,IF(Calculator!B25=TRUE,1,1/3))</f>
        <v>0.33333333333333331</v>
      </c>
      <c r="AQ5" t="s">
        <v>190</v>
      </c>
      <c r="AR5">
        <f>AR3*AR4</f>
        <v>0</v>
      </c>
      <c r="AT5">
        <v>4</v>
      </c>
      <c r="AU5">
        <f>$AU4+IF(AO12+((AO10*3)*AO11)&gt;AO13,AO13,AO12+((AO10*3)*AO11))</f>
        <v>252</v>
      </c>
      <c r="AW5" s="49">
        <f>IFERROR(INDEX(tbHitzones!K:K,MATCH(ROWS(tbHitzones!$1:3),tbHitzones!K:K,0)),"")</f>
        <v>3</v>
      </c>
      <c r="AX5" s="49" t="str">
        <f>IFERROR(INDEX(tbHitzones!B:B,MATCH(ROWS(tbHitzones!$1:3),tbHitzones!K:K,0)),"")</f>
        <v>Body</v>
      </c>
      <c r="AY5" s="49">
        <f>IFERROR(INDEX(tbHitzones!C:C,MATCH(ROWS(tbHitzones!$1:3),tbHitzones!K:K,0)),"")</f>
        <v>50</v>
      </c>
      <c r="AZ5" s="49">
        <f>IFERROR(INDEX(tbHitzones!D:D,MATCH(ROWS(tbHitzones!$1:3),tbHitzones!K:K,0)),"")</f>
        <v>45</v>
      </c>
      <c r="BA5" s="49">
        <f>IFERROR(INDEX(tbHitzones!E:E,MATCH(ROWS(tbHitzones!$1:3),tbHitzones!K:K,0)),"")</f>
        <v>40</v>
      </c>
      <c r="BB5" s="49">
        <f>IFERROR(INDEX(tbHitzones!F:F,MATCH(ROWS(tbHitzones!$1:3),tbHitzones!K:K,0)),"")</f>
        <v>20</v>
      </c>
      <c r="BC5" s="49">
        <f>IFERROR(INDEX(tbHitzones!G:G,MATCH(ROWS(tbHitzones!$1:3),tbHitzones!K:K,0)),"")</f>
        <v>0</v>
      </c>
      <c r="BD5" s="49">
        <f>IFERROR(INDEX(tbHitzones!H:H,MATCH(ROWS(tbHitzones!$1:3),tbHitzones!K:K,0)),"")</f>
        <v>10</v>
      </c>
      <c r="BE5" s="49">
        <f>IFERROR(INDEX(tbHitzones!I:I,MATCH(ROWS(tbHitzones!$1:3),tbHitzones!K:K,0)),"")</f>
        <v>5</v>
      </c>
      <c r="BF5" s="49">
        <f>IFERROR(INDEX(tbHitzones!J:J,MATCH(ROWS(tbHitzones!$1:3),tbHitzones!K:K,0)),"")</f>
        <v>0</v>
      </c>
      <c r="BG5" s="49">
        <f>IFERROR(IF(OR(B9="Fire",B11="Fire"),BB5,IF(OR(B9="Water",B11="Water"),BC5,IF(OR(B9="Thunder",B11="Thunder"),BD5,IF(OR(B9="Ice",B11="Ice"),BE5,IF(OR(B9="Dragon",B11="Dragon"),BF5,0))))),"")</f>
        <v>0</v>
      </c>
      <c r="BH5" s="49">
        <f>IFERROR(INDEX(tbHitzones!L:L,MATCH(ROWS(tbHitzones!$1:3),tbHitzones!K:K,0)),"")</f>
        <v>0</v>
      </c>
      <c r="BI5" s="49" t="b">
        <f>IFERROR(INDEX(tbHitzones!M:M,MATCH(ROWS(tbHitzones!$1:3),tbHitzones!K:K,0)),"")</f>
        <v>1</v>
      </c>
      <c r="BK5" s="49">
        <f>IFERROR(INDEX(tbHitzones!K:K,MATCH(ROWS(tbHitzones!$1:3),tbHitzones!K:K,0)),"")</f>
        <v>3</v>
      </c>
      <c r="BL5">
        <f>IFERROR(VLOOKUP(Backdoors!A37,BackdoorsMoveset!A2:S112,19,FALSE)+VLOOKUP(Backdoors!A38,BackdoorsMoveset!A2:S112,19,FALSE)+VLOOKUP(Backdoors!A39,BackdoorsMoveset!A2:S112,19,FALSE)+VLOOKUP(Backdoors!A40,BackdoorsMoveset!A2:S112,19,FALSE)+VLOOKUP(Backdoors!A41,BackdoorsMoveset!A2:S112,19,FALSE)+VLOOKUP(Backdoors!A42,BackdoorsMoveset!A2:S112,19,FALSE)+VLOOKUP(Backdoors!A43,BackdoorsMoveset!A2:S112,19,FALSE)+VLOOKUP(Backdoors!A44,BackdoorsMoveset!A2:S112,19,FALSE)+VLOOKUP(Backdoors!A45,BackdoorsMoveset!A2:S112,19,FALSE)+VLOOKUP(Backdoors!A46,BackdoorsMoveset!A2:S112,19,FALSE)+VLOOKUP(Backdoors!A47,BackdoorsMoveset!A2:S112,19,FALSE)+VLOOKUP(Backdoors!A48,BackdoorsMoveset!A2:S112,19,FALSE)+VLOOKUP(Backdoors!A49,BackdoorsMoveset!A2:S112,19,FALSE)+VLOOKUP(Backdoors!A50,BackdoorsMoveset!A2:S112,19,FALSE)+VLOOKUP(Backdoors!A51,BackdoorsMoveset!A2:S112,19,FALSE)+VLOOKUP(Backdoors!A52,BackdoorsMoveset!A2:S112,19,FALSE)+VLOOKUP(Backdoors!A53,BackdoorsMoveset!A2:S112,19,FALSE)+VLOOKUP(Backdoors!A54,BackdoorsMoveset!A2:S112,19,FALSE)+VLOOKUP(Backdoors!A55,BackdoorsMoveset!A2:S112,19,FALSE)+VLOOKUP(Backdoors!A56,BackdoorsMoveset!A2:S112,19,FALSE)+VLOOKUP(Backdoors!A57,BackdoorsMoveset!A2:S112,19,FALSE)+VLOOKUP(Backdoors!A58,BackdoorsMoveset!A2:S112,19,FALSE)+VLOOKUP(Backdoors!A59,BackdoorsMoveset!A2:S112,19,FALSE)+VLOOKUP(Backdoors!A60,BackdoorsMoveset!A2:S112,19,FALSE)+VLOOKUP(Backdoors!A61,BackdoorsMoveset!A2:S112,19,FALSE),0)</f>
        <v>119</v>
      </c>
      <c r="BM5">
        <f>IFERROR(VLOOKUP(Backdoors!A37,BackdoorsMoveset!A2:T112,20,FALSE)+VLOOKUP(Backdoors!A38,BackdoorsMoveset!A2:T112,20,FALSE)+VLOOKUP(Backdoors!A39,BackdoorsMoveset!A2:T112,20,FALSE)+VLOOKUP(Backdoors!A40,BackdoorsMoveset!A2:T112,20,FALSE)+VLOOKUP(Backdoors!A41,BackdoorsMoveset!A2:T112,20,FALSE)+VLOOKUP(Backdoors!A42,BackdoorsMoveset!A2:T112,20,FALSE)+VLOOKUP(Backdoors!A43,BackdoorsMoveset!A2:T112,20,FALSE)+VLOOKUP(Backdoors!A44,BackdoorsMoveset!A2:T112,20,FALSE)+VLOOKUP(Backdoors!A45,BackdoorsMoveset!A2:T112,20,FALSE)+VLOOKUP(Backdoors!A46,BackdoorsMoveset!A2:T112,20,FALSE)+VLOOKUP(Backdoors!A47,BackdoorsMoveset!A2:T112,20,FALSE)+VLOOKUP(Backdoors!A48,BackdoorsMoveset!A2:T112,20,FALSE)+VLOOKUP(Backdoors!A49,BackdoorsMoveset!A2:T112,20,FALSE)+VLOOKUP(Backdoors!A50,BackdoorsMoveset!A2:T112,20,FALSE)+VLOOKUP(Backdoors!A51,BackdoorsMoveset!A2:T112,20,FALSE)+VLOOKUP(Backdoors!A52,BackdoorsMoveset!A2:T112,20,FALSE)+VLOOKUP(Backdoors!A53,BackdoorsMoveset!A2:T112,20,FALSE)+VLOOKUP(Backdoors!A54,BackdoorsMoveset!A2:T112,20,FALSE)+VLOOKUP(Backdoors!A55,BackdoorsMoveset!A2:T112,20,FALSE)+VLOOKUP(Backdoors!A56,BackdoorsMoveset!A2:T112,20,FALSE)+VLOOKUP(Backdoors!A57,BackdoorsMoveset!A2:T112,20,FALSE)+VLOOKUP(Backdoors!A58,BackdoorsMoveset!A2:T112,20,FALSE)+VLOOKUP(Backdoors!A59,BackdoorsMoveset!A2:T112,20,FALSE)+VLOOKUP(Backdoors!A60,BackdoorsMoveset!A2:T112,20,FALSE)+VLOOKUP(Backdoors!A61,BackdoorsMoveset!A2:T112,20,FALSE),0)</f>
        <v>0</v>
      </c>
      <c r="BN5">
        <f>IFERROR(VLOOKUP(Backdoors!A37,BackdoorsMoveset!A2:V112,22,FALSE)+VLOOKUP(Backdoors!A38,BackdoorsMoveset!A2:V112,22,FALSE)+VLOOKUP(Backdoors!A39,BackdoorsMoveset!A2:V112,22,FALSE)+VLOOKUP(Backdoors!A40,BackdoorsMoveset!A2:V112,22,FALSE)+VLOOKUP(Backdoors!A41,BackdoorsMoveset!A2:V112,22,FALSE)+VLOOKUP(Backdoors!A42,BackdoorsMoveset!A2:V112,22,FALSE)+VLOOKUP(Backdoors!A43,BackdoorsMoveset!A2:V112,22,FALSE)+VLOOKUP(Backdoors!A44,BackdoorsMoveset!A2:V112,22,FALSE)+VLOOKUP(Backdoors!A45,BackdoorsMoveset!A2:V112,22,FALSE)+VLOOKUP(Backdoors!A46,BackdoorsMoveset!A2:V112,22,FALSE)+VLOOKUP(Backdoors!A47,BackdoorsMoveset!A2:V112,22,FALSE)+VLOOKUP(Backdoors!A48,BackdoorsMoveset!A2:V112,22,FALSE)+VLOOKUP(Backdoors!A49,BackdoorsMoveset!A2:V112,22,FALSE)+VLOOKUP(Backdoors!A50,BackdoorsMoveset!A2:V112,22,FALSE)+VLOOKUP(Backdoors!A51,BackdoorsMoveset!A2:V112,22,FALSE)+VLOOKUP(Backdoors!A52,BackdoorsMoveset!A2:V112,22,FALSE)+VLOOKUP(Backdoors!A53,BackdoorsMoveset!A2:V112,22,FALSE)+VLOOKUP(Backdoors!A54,BackdoorsMoveset!A2:V112,22,FALSE)+VLOOKUP(Backdoors!A55,BackdoorsMoveset!A2:V112,22,FALSE)+VLOOKUP(Backdoors!A56,BackdoorsMoveset!A2:V112,22,FALSE)+VLOOKUP(Backdoors!A57,BackdoorsMoveset!A2:V112,22,FALSE)+VLOOKUP(Backdoors!A58,BackdoorsMoveset!A2:V112,22,FALSE)+VLOOKUP(Backdoors!A59,BackdoorsMoveset!A2:V112,22,FALSE)+VLOOKUP(Backdoors!A60,BackdoorsMoveset!A2:V112,22,FALSE)+VLOOKUP(Backdoors!A61,BackdoorsMoveset!A2:V112,22,FALSE),0)</f>
        <v>119</v>
      </c>
      <c r="BO5" s="49">
        <f>IF(BN5=0,0,IF(OR(B9="Poison",$B11="Poison",B2="Light Bowgun",B2="Heavy Bowgun"),ROUND(Backdoors!A36*VLOOKUP(AO7,tbStatus!$A3:$F18,6,FALSE)*IF((AO16*AO20)&gt;1,1,(AO16*AO20)),0),IF(OR(B9="Blast",B11="Blast"),AR39,0)))</f>
        <v>0</v>
      </c>
      <c r="BP5">
        <f t="shared" si="0"/>
        <v>119</v>
      </c>
      <c r="BQ5" s="49" t="str">
        <f>CONCATENATE(AX5,IF(AND(BI5=TRUE,Calculator!B8=TRUE),CONCATENATE(" (Tenderized)"),""),IF(BP5=0,"",CONCATENATE(", ",BP5)))</f>
        <v>Body, 119</v>
      </c>
      <c r="BR5">
        <f>VLOOKUP(Calculator!B4,SavedBuildNumbers!A1:D73,4,FALSE)</f>
        <v>0</v>
      </c>
      <c r="BS5" t="str">
        <f>IF(VLOOKUP(Calculator!B4,SavedBuildNumbers!A1:AX73,50,FALSE)&lt;&gt;0,CONCATENATE("Primer Damage: ",VLOOKUP(Calculator!B4,SavedBuildNumbers!A1:AX73,50,FALSE)),"")</f>
        <v/>
      </c>
      <c r="BU5" s="49">
        <f>IFERROR(ROUNDDOWN((IF((ROUND((VLOOKUP(tbMoveset!A5,tbMoveset!A2:F112,6,FALSE)+(IF(VLOOKUP(tbMoveset!A5,tbMoveset!A2:F112,6,FALSE)&gt;0,K41,0)))*(1+(IF(VLOOKUP(tbMoveset!A5,tbMoveset!A2:I112,9,FALSE)="Fire",VLOOKUP(Calculator!$E24,tbSkills!$AX3:$AZ9,3,FALSE),IF(VLOOKUP(tbMoveset!A5,tbMoveset!A2:I112,9,FALSE)="Water",VLOOKUP(Calculator!$E25,tbSkills!$AX3:$AZ9,3,FALSE),IF(VLOOKUP(BackdoorsMoveset!A5,tbMoveset!A2:I112,9,FALSE)="Thunder",VLOOKUP(Calculator!$E26,tbSkills!$AX3:$AZ9,3,FALSE),IF(VLOOKUP(tbMoveset!A5,tbMoveset!A2:I112,9,FALSE)="Ice",VLOOKUP(Calculator!$E27,tbSkills!$AX3:$AZ9,3,FALSE),IF(VLOOKUP(tbMoveset!A5,tbMoveset!A2:I112,9,FALSE)="Dragon",VLOOKUP(Calculator!$E28,tbSkills!$AX3:$AZ9,3,FALSE),0)))))/100))*AC7,0)+IF(VLOOKUP(tbMoveset!A5,tbMoveset!A2:F112,6,FALSE)&gt;0,IF(VLOOKUP(tbMoveset!A5,tbMoveset!A2:I112,9,FALSE)="Fire",VLOOKUP(Calculator!$E24,tbSkills!$AX3:$AY9,2,FALSE),IF(VLOOKUP(tbMoveset!A5,tbMoveset!A2:I112,9,FALSE)="Water",VLOOKUP(Calculator!$E25,tbSkills!$AX3:$AY9,2,FALSE),IF(VLOOKUP(tbMoveset!A5,tbMoveset!A2:I112,9,FALSE)="Thunder",VLOOKUP(Calculator!$E26,tbSkills!$AX3:$AY9,2,FALSE),IF(VLOOKUP(tbMoveset!A5,tbMoveset!A2:I112,9,FALSE)="Ice",VLOOKUP(Calculator!$E27,tbSkills!$AX3:$AY9,2,FALSE),IF(VLOOKUP(tbMoveset!A5,tbMoveset!A2:I112,9,FALSE)="Dragon",VLOOKUP(Calculator!$E28,tbSkills!$AX3:$AY9,2,FALSE),0))))),0)/10)&gt;=B34,B34,(ROUND((VLOOKUP(tbMoveset!A5,tbMoveset!A2:F112,6,FALSE)+(IF(VLOOKUP(tbMoveset!A5,tbMoveset!A2:F112,6,FALSE)&gt;0,K41,0)))*(1+(IF(VLOOKUP(tbMoveset!A5,tbMoveset!A2:I112,9,FALSE)="Fire",VLOOKUP(Calculator!$E24,tbSkills!$AX3:$AZ9,3,FALSE),IF(VLOOKUP(tbMoveset!A5,tbMoveset!A2:I112,9,FALSE)="Water",VLOOKUP(Calculator!$E25,tbSkills!$AX3:$AZ9,3,FALSE),IF(VLOOKUP(BackdoorsMoveset!A5,tbMoveset!A2:I112,9,FALSE)="Thunder",VLOOKUP(Calculator!$E26,tbSkills!$AX3:$AZ9,3,FALSE),IF(VLOOKUP(tbMoveset!A5,tbMoveset!A2:I112,9,FALSE)="Ice",VLOOKUP(Calculator!$E27,tbSkills!$AX3:$AZ9,3,FALSE),IF(VLOOKUP(tbMoveset!A5,tbMoveset!A2:I112,9,FALSE)="Dragon",VLOOKUP(Calculator!$E28,tbSkills!$AX3:$AZ9,3,FALSE),0)))))/100))*AC7,0)+IF(VLOOKUP(tbMoveset!A5,tbMoveset!A2:F112,6,FALSE)&gt;0,IF(VLOOKUP(tbMoveset!A5,tbMoveset!A2:I112,9,FALSE)="Fire",VLOOKUP(Calculator!$E24,tbSkills!$AX3:$AY9,2,FALSE),IF(VLOOKUP(tbMoveset!A5,tbMoveset!A2:I112,9,FALSE)="Water",VLOOKUP(Calculator!$E25,tbSkills!$AX3:$AY9,2,FALSE),IF(VLOOKUP(tbMoveset!A5,tbMoveset!A2:I112,9,FALSE)="Thunder",VLOOKUP(Calculator!$E26,tbSkills!$AX3:$AY9,2,FALSE),IF(VLOOKUP(tbMoveset!A5,tbMoveset!A2:I112,9,FALSE)="Ice",VLOOKUP(Calculator!$E27,tbSkills!$AX3:$AY9,2,FALSE),IF(VLOOKUP(tbMoveset!A5,tbMoveset!A2:I112,9,FALSE)="Dragon",VLOOKUP(Calculator!$E28,tbSkills!$AX3:$AY9,2,FALSE),0))))),0)/10))*N6)*AC6,0)*(B30/100),0)</f>
        <v>0</v>
      </c>
    </row>
    <row r="6" spans="1:73" x14ac:dyDescent="0.25">
      <c r="A6" t="s">
        <v>1540</v>
      </c>
      <c r="B6">
        <f>IF(B5&gt;=B33,B33,B5)</f>
        <v>80</v>
      </c>
      <c r="D6" t="s">
        <v>196</v>
      </c>
      <c r="E6" s="5" t="str">
        <f>IF(VLOOKUP(Calculator!$B2,tbWeapons!A2:AE271,31,FALSE)&gt;0,"Purple",IF(VLOOKUP(Calculator!$B2,tbWeapons!A2:AD271,30,FALSE)&gt;0,"White",IF(VLOOKUP(Calculator!$B2,tbWeapons!A2:AC271,29,FALSE)&gt;0,"Blue",IF(VLOOKUP(Calculator!$B2,tbWeapons!A2:AB271,28,FALSE)&gt;0,"Green",IF(VLOOKUP(Calculator!$B2,tbWeapons!A2:AA271,27,FALSE)&gt;0,"Yellow",IF(VLOOKUP(Calculator!$B2,tbWeapons!A2:Z271,26,FALSE)&gt;0,"Orange","Red"))))))</f>
        <v>Green</v>
      </c>
      <c r="G6" t="s">
        <v>710</v>
      </c>
      <c r="H6">
        <f>VLOOKUP(Calculator!B2,tbWeapons!A2:O271,15,FALSE)+IF(H4=2,1,0)+IF(K58=2,1,0)</f>
        <v>0</v>
      </c>
      <c r="M6" t="s">
        <v>602</v>
      </c>
      <c r="N6">
        <f>IF(Calculator!B5="Both States",1+((VLOOKUP(Calculator!B4,tbMonsters!A2:K74,11,FALSE)-1)*N5),IF(Calculator!B5="Enraged",VLOOKUP(Calculator!B4,tbMonsters!A2:K74,11,FALSE),1))</f>
        <v>1.06</v>
      </c>
      <c r="P6" t="s">
        <v>266</v>
      </c>
      <c r="Q6">
        <f>IF(Calculator!B10="Small",5,IF(Calculator!B10="Medium",10,IF(Calculator!B10="Large",15,0)))</f>
        <v>0</v>
      </c>
      <c r="S6" t="s">
        <v>1094</v>
      </c>
      <c r="T6">
        <f>IF(Calculator!E44=TRUE,ROUND(Calculator!B28*(VLOOKUP(Calculator!E44,tbSkills!BB3:BC4,2,FALSE)/100),0)*10,0)</f>
        <v>0</v>
      </c>
      <c r="Y6" t="s">
        <v>1535</v>
      </c>
      <c r="Z6">
        <f>IF(Calculator!B27=TRUE,1.3,1)</f>
        <v>1</v>
      </c>
      <c r="AB6" t="s">
        <v>798</v>
      </c>
      <c r="AC6">
        <f>1+(VLOOKUP(Calculator!E45,tbSkills!BK3:BL6,2,FALSE)/100)</f>
        <v>1</v>
      </c>
      <c r="AH6" t="s">
        <v>507</v>
      </c>
      <c r="AI6">
        <f>VLOOKUP(Calculator!E2,tbSkills!A3:B4,2,FALSE)</f>
        <v>0</v>
      </c>
      <c r="AN6" t="s">
        <v>571</v>
      </c>
      <c r="AO6">
        <f>((AO4*AO5)*B13)*IF(Calculator!B25=TRUE,0.7,1)</f>
        <v>0</v>
      </c>
      <c r="AQ6" t="s">
        <v>235</v>
      </c>
      <c r="AR6">
        <f>IF($AR5&gt;=$AU51,50,IF($AR5&gt;=$AU50,49,IF($AR5&gt;=$AU49,48,IF($AR5&gt;=$AU48,47,IF($AR5&gt;=$AU47,46,IF($AR5&gt;=$AU46,45,IF($AR5&gt;=$AU45,44,IF($AR5&gt;=$AU44,43,IF($AR5&gt;=$AU43,42,IF($AR5&gt;=$AU42,41,IF($AR5&gt;=$AU41,40,IF($AR5&gt;=$AU40,39,IF($AR5&gt;=$AU39,38,IF($AR5&gt;=$AU38,37,IF($AR5&gt;=$AU37,36,IF($AR5&gt;=$AU36,35,IF($AR5&gt;=$AU35,34,IF($AR5&gt;=$AU34,33,IF($AR5&gt;=$AU33,32,IF($AR5&gt;=$AU32,31,IF($AR5&gt;=$AU31,30,IF($AR5&gt;=$AU30,29,IF($AR5&gt;=$AU29,28,IF($AR5&gt;=$AU28,27,IF($AR5&gt;=$AU27,26,IF($AR5&gt;=$AU26,25,IF($AR5&gt;=$AU25,24,IF($AR5&gt;=$AU24,23,IF($AR5&gt;=$AU23,22,IF($AR5&gt;=$AU22,21,IF($AR5&gt;=$AU21,20,IF($AR5&gt;=$AU20,19,IF($AR5&gt;=$AU19,18,IF($AR5&gt;=$AU18,17,IF($AR5&gt;=$AU17,16,IF($AR5&gt;=$AU16,15,IF($AR5&gt;=$AU15,14,IF($AR5&gt;=$AU14,13,IF($AR5&gt;=$AU13,12,IF($AR5&gt;=$AU12,11,IF($AR5&gt;=$AU11,10,IF($AR5&gt;=$AU10,9,IF($AR5&gt;=$AU9,8,IF($AR5&gt;=$AU8,7,IF($AR5&gt;=$AU7,6,IF($AR5&gt;=$AU6,5,IF($AR5&gt;=$AU5,4,IF($AR5&gt;=$AU4,3,IF($AR5&gt;=$AU3,2,IF($AR5&gt;=$AU2,1,0))))))))))))))))))))))))))))))))))))))))))))))))))</f>
        <v>0</v>
      </c>
      <c r="AT6">
        <v>5</v>
      </c>
      <c r="AU6">
        <f>$AU5+IF(AO12+((AO10*4)*AO11)&gt;AO13,AO13,AO12+((AO10*4)*AO11))</f>
        <v>360</v>
      </c>
      <c r="AW6" s="49">
        <f>IFERROR(INDEX(tbHitzones!K:K,MATCH(ROWS(tbHitzones!$1:4),tbHitzones!K:K,0)),"")</f>
        <v>4</v>
      </c>
      <c r="AX6" s="49" t="str">
        <f>IFERROR(INDEX(tbHitzones!B:B,MATCH(ROWS(tbHitzones!$1:4),tbHitzones!K:K,0)),"")</f>
        <v>Back</v>
      </c>
      <c r="AY6" s="49">
        <f>IFERROR(INDEX(tbHitzones!C:C,MATCH(ROWS(tbHitzones!$1:4),tbHitzones!K:K,0)),"")</f>
        <v>45</v>
      </c>
      <c r="AZ6" s="49">
        <f>IFERROR(INDEX(tbHitzones!D:D,MATCH(ROWS(tbHitzones!$1:4),tbHitzones!K:K,0)),"")</f>
        <v>40</v>
      </c>
      <c r="BA6" s="49">
        <f>IFERROR(INDEX(tbHitzones!E:E,MATCH(ROWS(tbHitzones!$1:4),tbHitzones!K:K,0)),"")</f>
        <v>35</v>
      </c>
      <c r="BB6" s="49">
        <f>IFERROR(INDEX(tbHitzones!F:F,MATCH(ROWS(tbHitzones!$1:4),tbHitzones!K:K,0)),"")</f>
        <v>15</v>
      </c>
      <c r="BC6" s="49">
        <f>IFERROR(INDEX(tbHitzones!G:G,MATCH(ROWS(tbHitzones!$1:4),tbHitzones!K:K,0)),"")</f>
        <v>0</v>
      </c>
      <c r="BD6" s="49">
        <f>IFERROR(INDEX(tbHitzones!H:H,MATCH(ROWS(tbHitzones!$1:4),tbHitzones!K:K,0)),"")</f>
        <v>5</v>
      </c>
      <c r="BE6" s="49">
        <f>IFERROR(INDEX(tbHitzones!I:I,MATCH(ROWS(tbHitzones!$1:4),tbHitzones!K:K,0)),"")</f>
        <v>5</v>
      </c>
      <c r="BF6" s="49">
        <f>IFERROR(INDEX(tbHitzones!J:J,MATCH(ROWS(tbHitzones!$1:4),tbHitzones!K:K,0)),"")</f>
        <v>0</v>
      </c>
      <c r="BG6" s="49">
        <f>IFERROR(IF(OR(B9="Fire",B11="Fire"),BB6,IF(OR(B9="Water",B11="Water"),BC6,IF(OR(B9="Thunder",B11="Thunder"),BD6,IF(OR(B9="Ice",B11="Ice"),BE6,IF(OR(B9="Dragon",B11="Dragon"),BF6,0))))),"")</f>
        <v>0</v>
      </c>
      <c r="BH6" s="49">
        <f>IFERROR(INDEX(tbHitzones!L:L,MATCH(ROWS(tbHitzones!$1:4),tbHitzones!K:K,0)),"")</f>
        <v>0</v>
      </c>
      <c r="BI6" s="49" t="b">
        <f>IFERROR(INDEX(tbHitzones!M:M,MATCH(ROWS(tbHitzones!$1:4),tbHitzones!K:K,0)),"")</f>
        <v>1</v>
      </c>
      <c r="BK6" s="49">
        <f>IFERROR(INDEX(tbHitzones!K:K,MATCH(ROWS(tbHitzones!$1:4),tbHitzones!K:K,0)),"")</f>
        <v>4</v>
      </c>
      <c r="BL6">
        <f>IFERROR(VLOOKUP(Backdoors!A37,BackdoorsMoveset!A2:Z112,26,FALSE)+VLOOKUP(Backdoors!A38,BackdoorsMoveset!A2:Z112,26,FALSE)+VLOOKUP(Backdoors!A39,BackdoorsMoveset!A2:Z112,26,FALSE)+VLOOKUP(Backdoors!A40,BackdoorsMoveset!A2:Z112,26,FALSE)+VLOOKUP(Backdoors!A41,BackdoorsMoveset!A2:Z112,26,FALSE)+VLOOKUP(Backdoors!A42,BackdoorsMoveset!A2:Z112,26,FALSE)+VLOOKUP(Backdoors!A43,BackdoorsMoveset!A2:Z112,26,FALSE)+VLOOKUP(Backdoors!A44,BackdoorsMoveset!A2:Z112,26,FALSE)+VLOOKUP(Backdoors!A45,BackdoorsMoveset!A2:Z112,26,FALSE)+VLOOKUP(Backdoors!A46,BackdoorsMoveset!A2:Z112,26,FALSE)+VLOOKUP(Backdoors!A47,BackdoorsMoveset!A2:Z112,26,FALSE)+VLOOKUP(Backdoors!A48,BackdoorsMoveset!A2:Z112,26,FALSE)+VLOOKUP(Backdoors!A49,BackdoorsMoveset!A2:Z112,26,FALSE)+VLOOKUP(Backdoors!A50,BackdoorsMoveset!A2:Z112,26,FALSE)+VLOOKUP(Backdoors!A51,BackdoorsMoveset!A2:Z112,26,FALSE)+VLOOKUP(Backdoors!A52,BackdoorsMoveset!A2:Z112,26,FALSE)+VLOOKUP(Backdoors!A53,BackdoorsMoveset!A2:Z112,26,FALSE)+VLOOKUP(Backdoors!A54,BackdoorsMoveset!A2:Z112,26,FALSE)+VLOOKUP(Backdoors!A55,BackdoorsMoveset!A2:Z112,26,FALSE)+VLOOKUP(Backdoors!A56,BackdoorsMoveset!A2:Z112,26,FALSE)+VLOOKUP(Backdoors!A57,BackdoorsMoveset!A2:Z112,26,FALSE)+VLOOKUP(Backdoors!A58,BackdoorsMoveset!A2:Z112,26,FALSE)+VLOOKUP(Backdoors!A59,BackdoorsMoveset!A2:Z112,26,FALSE)+VLOOKUP(Backdoors!A60,BackdoorsMoveset!A2:Z112,26,FALSE)+VLOOKUP(Backdoors!A61,BackdoorsMoveset!A2:Z112,26,FALSE),0)</f>
        <v>103</v>
      </c>
      <c r="BM6">
        <f>IFERROR(VLOOKUP(Backdoors!A37,BackdoorsMoveset!A2:AA112,27,FALSE)+VLOOKUP(Backdoors!A38,BackdoorsMoveset!A2:AA112,27,FALSE)+VLOOKUP(Backdoors!A39,BackdoorsMoveset!A2:AA112,27,FALSE)+VLOOKUP(Backdoors!A40,BackdoorsMoveset!A2:AA112,27,FALSE)+VLOOKUP(Backdoors!A41,BackdoorsMoveset!A2:AA112,27,FALSE)+VLOOKUP(Backdoors!A42,BackdoorsMoveset!A2:AA112,27,FALSE)+VLOOKUP(Backdoors!A43,BackdoorsMoveset!A2:AA112,27,FALSE)+VLOOKUP(Backdoors!A44,BackdoorsMoveset!A2:AA112,27,FALSE)+VLOOKUP(Backdoors!A45,BackdoorsMoveset!A2:AA112,27,FALSE)+VLOOKUP(Backdoors!A46,BackdoorsMoveset!A2:AA112,27,FALSE)+VLOOKUP(Backdoors!A47,BackdoorsMoveset!A2:AA112,27,FALSE)+VLOOKUP(Backdoors!A48,BackdoorsMoveset!A2:AA112,27,FALSE)+VLOOKUP(Backdoors!A49,BackdoorsMoveset!A2:AA112,27,FALSE)+VLOOKUP(Backdoors!A50,BackdoorsMoveset!A2:AA112,27,FALSE)+VLOOKUP(Backdoors!A51,BackdoorsMoveset!A2:AA112,27,FALSE)+VLOOKUP(Backdoors!A52,BackdoorsMoveset!A2:AA112,27,FALSE)+VLOOKUP(Backdoors!A53,BackdoorsMoveset!A2:AA112,27,FALSE)+VLOOKUP(Backdoors!A54,BackdoorsMoveset!A2:AA112,27,FALSE)+VLOOKUP(Backdoors!A55,BackdoorsMoveset!A2:AA112,27,FALSE)+VLOOKUP(Backdoors!A56,BackdoorsMoveset!A2:AA112,27,FALSE)+VLOOKUP(Backdoors!A57,BackdoorsMoveset!A2:AA112,27,FALSE)+VLOOKUP(Backdoors!A58,BackdoorsMoveset!A2:AA112,27,FALSE)+VLOOKUP(Backdoors!A59,BackdoorsMoveset!A2:AA112,27,FALSE)+VLOOKUP(Backdoors!A60,BackdoorsMoveset!A2:AA112,27,FALSE)+VLOOKUP(Backdoors!A61,BackdoorsMoveset!A2:AA112,27,FALSE),0)</f>
        <v>0</v>
      </c>
      <c r="BN6">
        <f>IFERROR(VLOOKUP(Backdoors!A37,BackdoorsMoveset!A2:AC112,29,FALSE)+VLOOKUP(Backdoors!A38,BackdoorsMoveset!A2:AC112,29,FALSE)+VLOOKUP(Backdoors!A39,BackdoorsMoveset!A2:AC112,29,FALSE)+VLOOKUP(Backdoors!A40,BackdoorsMoveset!A2:AC112,29,FALSE)+VLOOKUP(Backdoors!A41,BackdoorsMoveset!A2:AC112,29,FALSE)+VLOOKUP(Backdoors!A42,BackdoorsMoveset!A2:AC112,29,FALSE)+VLOOKUP(Backdoors!A43,BackdoorsMoveset!A2:AC112,29,FALSE)+VLOOKUP(Backdoors!A44,BackdoorsMoveset!A2:AC112,29,FALSE)+VLOOKUP(Backdoors!A45,BackdoorsMoveset!A2:AC112,29,FALSE)+VLOOKUP(Backdoors!A46,BackdoorsMoveset!A2:AC112,29,FALSE)+VLOOKUP(Backdoors!A47,BackdoorsMoveset!A2:AC112,29,FALSE)+VLOOKUP(Backdoors!A48,BackdoorsMoveset!A2:AC112,29,FALSE)+VLOOKUP(Backdoors!A49,BackdoorsMoveset!A2:AC112,29,FALSE)+VLOOKUP(Backdoors!A50,BackdoorsMoveset!A2:AC112,29,FALSE)+VLOOKUP(Backdoors!A51,BackdoorsMoveset!A2:AC112,29,FALSE)+VLOOKUP(Backdoors!A52,BackdoorsMoveset!A2:AC112,29,FALSE)+VLOOKUP(Backdoors!A53,BackdoorsMoveset!A2:AC112,29,FALSE)+VLOOKUP(Backdoors!A54,BackdoorsMoveset!A2:AC112,29,FALSE)+VLOOKUP(Backdoors!A55,BackdoorsMoveset!A2:AC112,29,FALSE)+VLOOKUP(Backdoors!A56,BackdoorsMoveset!A2:AC112,29,FALSE)+VLOOKUP(Backdoors!A57,BackdoorsMoveset!A2:AC112,29,FALSE)+VLOOKUP(Backdoors!A58,BackdoorsMoveset!A2:AC112,29,FALSE)+VLOOKUP(Backdoors!A59,BackdoorsMoveset!A2:AC112,29,FALSE)+VLOOKUP(Backdoors!A60,BackdoorsMoveset!A2:AC112,29,FALSE)+VLOOKUP(Backdoors!A61,BackdoorsMoveset!A2:AC112,29,FALSE),0)</f>
        <v>103</v>
      </c>
      <c r="BO6" s="49">
        <f>IF(BN6=0,0,IF(OR(B9="Poison",$B11="Poison",B2="Light Bowgun",B2="Heavy Bowgun"),ROUND(Backdoors!A36*VLOOKUP(AO7,tbStatus!$A3:$F18,6,FALSE)*IF((AO16*AO21)&gt;1,1,(AO16*AO21)),0),IF(OR(B9="Blast",B11="Blast"),AR52,0)))</f>
        <v>0</v>
      </c>
      <c r="BP6">
        <f t="shared" si="0"/>
        <v>103</v>
      </c>
      <c r="BQ6" s="49" t="str">
        <f>CONCATENATE(AX6,IF(AND(BI6=TRUE,Calculator!B8=TRUE),CONCATENATE(" (Tenderized)"),""),IF(BP6=0,"",CONCATENATE(", ",BP6)))</f>
        <v>Back, 103</v>
      </c>
      <c r="BR6">
        <f>VLOOKUP(Calculator!B4,SavedBuildNumbers!A1:E73,5,FALSE)</f>
        <v>0</v>
      </c>
      <c r="BS6" t="str">
        <f>CONCATENATE("Current Build: ",Calculator!$B$2)</f>
        <v>Current Build: Matched Slicers I</v>
      </c>
      <c r="BU6" s="49">
        <f>IFERROR(ROUNDDOWN((IF((ROUND((VLOOKUP(tbMoveset!A6,tbMoveset!A2:F112,6,FALSE)+(IF(VLOOKUP(tbMoveset!A6,tbMoveset!A2:F112,6,FALSE)&gt;0,K41,0)))*(1+(IF(VLOOKUP(tbMoveset!A6,tbMoveset!A2:I112,9,FALSE)="Fire",VLOOKUP(Calculator!$E24,tbSkills!$AX3:$AZ9,3,FALSE),IF(VLOOKUP(tbMoveset!A6,tbMoveset!A2:I112,9,FALSE)="Water",VLOOKUP(Calculator!$E25,tbSkills!$AX3:$AZ9,3,FALSE),IF(VLOOKUP(BackdoorsMoveset!A6,tbMoveset!A2:I112,9,FALSE)="Thunder",VLOOKUP(Calculator!$E26,tbSkills!$AX3:$AZ9,3,FALSE),IF(VLOOKUP(tbMoveset!A6,tbMoveset!A2:I112,9,FALSE)="Ice",VLOOKUP(Calculator!$E27,tbSkills!$AX3:$AZ9,3,FALSE),IF(VLOOKUP(tbMoveset!A6,tbMoveset!A2:I112,9,FALSE)="Dragon",VLOOKUP(Calculator!$E28,tbSkills!$AX3:$AZ9,3,FALSE),0)))))/100))*AC7,0)+IF(VLOOKUP(tbMoveset!A6,tbMoveset!A2:F112,6,FALSE)&gt;0,IF(VLOOKUP(tbMoveset!A6,tbMoveset!A2:I112,9,FALSE)="Fire",VLOOKUP(Calculator!$E24,tbSkills!$AX3:$AY9,2,FALSE),IF(VLOOKUP(tbMoveset!A6,tbMoveset!A2:I112,9,FALSE)="Water",VLOOKUP(Calculator!$E25,tbSkills!$AX3:$AY9,2,FALSE),IF(VLOOKUP(tbMoveset!A6,tbMoveset!A2:I112,9,FALSE)="Thunder",VLOOKUP(Calculator!$E26,tbSkills!$AX3:$AY9,2,FALSE),IF(VLOOKUP(tbMoveset!A6,tbMoveset!A2:I112,9,FALSE)="Ice",VLOOKUP(Calculator!$E27,tbSkills!$AX3:$AY9,2,FALSE),IF(VLOOKUP(tbMoveset!A6,tbMoveset!A2:I112,9,FALSE)="Dragon",VLOOKUP(Calculator!$E28,tbSkills!$AX3:$AY9,2,FALSE),0))))),0)/10)&gt;=B34,B34,(ROUND((VLOOKUP(tbMoveset!A6,tbMoveset!A2:F112,6,FALSE)+(IF(VLOOKUP(tbMoveset!A6,tbMoveset!A2:F112,6,FALSE)&gt;0,K41,0)))*(1+(IF(VLOOKUP(tbMoveset!A6,tbMoveset!A2:I112,9,FALSE)="Fire",VLOOKUP(Calculator!$E24,tbSkills!$AX3:$AZ9,3,FALSE),IF(VLOOKUP(tbMoveset!A6,tbMoveset!A2:I112,9,FALSE)="Water",VLOOKUP(Calculator!$E25,tbSkills!$AX3:$AZ9,3,FALSE),IF(VLOOKUP(BackdoorsMoveset!A6,tbMoveset!A2:I112,9,FALSE)="Thunder",VLOOKUP(Calculator!$E26,tbSkills!$AX3:$AZ9,3,FALSE),IF(VLOOKUP(tbMoveset!A6,tbMoveset!A2:I112,9,FALSE)="Ice",VLOOKUP(Calculator!$E27,tbSkills!$AX3:$AZ9,3,FALSE),IF(VLOOKUP(tbMoveset!A6,tbMoveset!A2:I112,9,FALSE)="Dragon",VLOOKUP(Calculator!$E28,tbSkills!$AX3:$AZ9,3,FALSE),0)))))/100))*AC7,0)+IF(VLOOKUP(tbMoveset!A6,tbMoveset!A2:F112,6,FALSE)&gt;0,IF(VLOOKUP(tbMoveset!A6,tbMoveset!A2:I112,9,FALSE)="Fire",VLOOKUP(Calculator!$E24,tbSkills!$AX3:$AY9,2,FALSE),IF(VLOOKUP(tbMoveset!A6,tbMoveset!A2:I112,9,FALSE)="Water",VLOOKUP(Calculator!$E25,tbSkills!$AX3:$AY9,2,FALSE),IF(VLOOKUP(tbMoveset!A6,tbMoveset!A2:I112,9,FALSE)="Thunder",VLOOKUP(Calculator!$E26,tbSkills!$AX3:$AY9,2,FALSE),IF(VLOOKUP(tbMoveset!A6,tbMoveset!A2:I112,9,FALSE)="Ice",VLOOKUP(Calculator!$E27,tbSkills!$AX3:$AY9,2,FALSE),IF(VLOOKUP(tbMoveset!A6,tbMoveset!A2:I112,9,FALSE)="Dragon",VLOOKUP(Calculator!$E28,tbSkills!$AX3:$AY9,2,FALSE),0))))),0)/10))*N6)*AC6,0)*(B30/100),0)</f>
        <v>0</v>
      </c>
    </row>
    <row r="7" spans="1:73" x14ac:dyDescent="0.25">
      <c r="A7" t="s">
        <v>231</v>
      </c>
      <c r="B7">
        <f>ROUND(B6*VLOOKUP(VLOOKUP(Calculator!B2,tbWeapons!A2:B271,2,FALSE),tbBloat!A2:B15,2,FALSE),0)</f>
        <v>112</v>
      </c>
      <c r="D7" t="s">
        <v>197</v>
      </c>
      <c r="E7">
        <f>IF(VLOOKUP(Calculator!$B2,tbWeapons!A2:AE271,31,FALSE)&gt;0,VLOOKUP(Calculator!$B2,tbWeapons!A2:AE271,31,FALSE),IF(VLOOKUP(Calculator!$B2,tbWeapons!A2:AD271,30,FALSE)&gt;0,VLOOKUP(Calculator!$B2,tbWeapons!A2:AD271,30,FALSE),IF(VLOOKUP(Calculator!$B2,tbWeapons!A2:AC271,29,FALSE)&gt;0,VLOOKUP(Calculator!$B2,tbWeapons!A2:AC271,29,FALSE),IF(VLOOKUP(Calculator!$B2,tbWeapons!A2:AB271,28,FALSE)&gt;0,VLOOKUP(Calculator!$B2,tbWeapons!A2:AB271,28,FALSE),IF(VLOOKUP(Calculator!$B2,tbWeapons!A2:AA271,27,FALSE)&gt;0,VLOOKUP(Calculator!$B2,tbWeapons!A2:AA271,27,FALSE),IF(VLOOKUP(Calculator!$B2,tbWeapons!A2:Z271,26,FALSE)&gt;0,VLOOKUP(Calculator!$B2,tbWeapons!A2:Z271,26,FALSE),VLOOKUP(Calculator!$B2,tbWeapons!A2:Y271,25,FALSE)))))))</f>
        <v>6</v>
      </c>
      <c r="G7" t="s">
        <v>709</v>
      </c>
      <c r="H7">
        <f>VLOOKUP(Calculator!B2,tbWeapons!A2:P271,16,FALSE)+IF(H4=3,1,0)+IF(K58=3,1,0)</f>
        <v>0</v>
      </c>
      <c r="J7" s="113" t="s">
        <v>843</v>
      </c>
      <c r="K7" s="113"/>
      <c r="M7" t="s">
        <v>129</v>
      </c>
      <c r="N7">
        <f>VLOOKUP(Calculator!B4,tbMonsters!A2:D74,4,FALSE)</f>
        <v>1408</v>
      </c>
      <c r="P7" t="s">
        <v>1542</v>
      </c>
      <c r="Q7">
        <f>IF(Calculator!B21=TRUE,7,IF(Calculator!B20=TRUE,5,0))</f>
        <v>0</v>
      </c>
      <c r="S7" t="s">
        <v>232</v>
      </c>
      <c r="T7">
        <f>(T2+T3+T4+T5+T6)/10</f>
        <v>0</v>
      </c>
      <c r="Y7" s="63" t="s">
        <v>879</v>
      </c>
      <c r="Z7" s="63">
        <f>1+IF(B2="Gunlance",IF(Calculator!B11=TRUE,10,0)/100,IF(OR(B2="Charge Blade",B2="Light Bowgun",B2="Heavy Bowgun"),IF(Calculator!B11=TRUE,15,0)/100,0))</f>
        <v>1</v>
      </c>
      <c r="AB7" t="s">
        <v>687</v>
      </c>
      <c r="AC7">
        <f>IF(VLOOKUP(Calculator!B2,tbWeapons!A2:AG271,33,FALSE)="Free Element",IF(OR(Calculator!E11=3,Calculator!E42=2),tbSkills!BI6,IF(Calculator!E42=1,tbSkills!BI5,VLOOKUP(Calculator!E11,tbSkills!BH3:BI6,2,FALSE)))/100,1)</f>
        <v>1</v>
      </c>
      <c r="AH7" t="s">
        <v>594</v>
      </c>
      <c r="AI7">
        <f>VLOOKUP(Calculator!B2,tbWeapons!A2:D271,4,FALSE)</f>
        <v>0</v>
      </c>
      <c r="AN7" t="s">
        <v>248</v>
      </c>
      <c r="AO7" s="5" t="str">
        <f>VLOOKUP(Calculator!B4,tbMonsters!A2:E74,5,FALSE)</f>
        <v>E</v>
      </c>
      <c r="AQ7" t="s">
        <v>236</v>
      </c>
      <c r="AR7">
        <f>AR6*VLOOKUP(AO8,tbStatus!A22:E33,5,FALSE)</f>
        <v>0</v>
      </c>
      <c r="AT7">
        <v>6</v>
      </c>
      <c r="AU7">
        <f>$AU6+IF(AO12+((AO10*5)*AO11)&gt;AO13,AO13,AO12+((AO10*5)*AO11))</f>
        <v>486</v>
      </c>
      <c r="AW7" s="49">
        <f>IFERROR(INDEX(tbHitzones!K:K,MATCH(ROWS(tbHitzones!$1:5),tbHitzones!K:K,0)),"")</f>
        <v>5</v>
      </c>
      <c r="AX7" s="49" t="str">
        <f>IFERROR(INDEX(tbHitzones!B:B,MATCH(ROWS(tbHitzones!$1:5),tbHitzones!K:K,0)),"")</f>
        <v>Forelegs</v>
      </c>
      <c r="AY7" s="49">
        <f>IFERROR(INDEX(tbHitzones!C:C,MATCH(ROWS(tbHitzones!$1:5),tbHitzones!K:K,0)),"")</f>
        <v>65</v>
      </c>
      <c r="AZ7" s="49">
        <f>IFERROR(INDEX(tbHitzones!D:D,MATCH(ROWS(tbHitzones!$1:5),tbHitzones!K:K,0)),"")</f>
        <v>60</v>
      </c>
      <c r="BA7" s="49">
        <f>IFERROR(INDEX(tbHitzones!E:E,MATCH(ROWS(tbHitzones!$1:5),tbHitzones!K:K,0)),"")</f>
        <v>55</v>
      </c>
      <c r="BB7" s="49">
        <f>IFERROR(INDEX(tbHitzones!F:F,MATCH(ROWS(tbHitzones!$1:5),tbHitzones!K:K,0)),"")</f>
        <v>25</v>
      </c>
      <c r="BC7" s="49">
        <f>IFERROR(INDEX(tbHitzones!G:G,MATCH(ROWS(tbHitzones!$1:5),tbHitzones!K:K,0)),"")</f>
        <v>0</v>
      </c>
      <c r="BD7" s="49">
        <f>IFERROR(INDEX(tbHitzones!H:H,MATCH(ROWS(tbHitzones!$1:5),tbHitzones!K:K,0)),"")</f>
        <v>15</v>
      </c>
      <c r="BE7" s="49">
        <f>IFERROR(INDEX(tbHitzones!I:I,MATCH(ROWS(tbHitzones!$1:5),tbHitzones!K:K,0)),"")</f>
        <v>10</v>
      </c>
      <c r="BF7" s="49">
        <f>IFERROR(INDEX(tbHitzones!J:J,MATCH(ROWS(tbHitzones!$1:5),tbHitzones!K:K,0)),"")</f>
        <v>5</v>
      </c>
      <c r="BG7" s="49">
        <f>IFERROR(IF(OR(B9="Fire",B11="Fire"),BB7,IF(OR(B9="Water",B11="Water"),BC7,IF(OR(B9="Thunder",B11="Thunder"),BD7,IF(OR(B9="Ice",B11="Ice"),BE7,IF(OR(B9="Dragon",B11="Dragon"),BF7,0))))),"")</f>
        <v>0</v>
      </c>
      <c r="BH7" s="49">
        <f>IFERROR(INDEX(tbHitzones!L:L,MATCH(ROWS(tbHitzones!$1:5),tbHitzones!K:K,0)),"")</f>
        <v>0</v>
      </c>
      <c r="BI7" s="49" t="b">
        <f>IFERROR(INDEX(tbHitzones!M:M,MATCH(ROWS(tbHitzones!$1:5),tbHitzones!K:K,0)),"")</f>
        <v>1</v>
      </c>
      <c r="BK7" s="49">
        <f>IFERROR(INDEX(tbHitzones!K:K,MATCH(ROWS(tbHitzones!$1:5),tbHitzones!K:K,0)),"")</f>
        <v>5</v>
      </c>
      <c r="BL7">
        <f>IFERROR(VLOOKUP(Backdoors!A37,BackdoorsMoveset!A2:AG112,33,FALSE)+VLOOKUP(Backdoors!A38,BackdoorsMoveset!A2:AG112,33,FALSE)+VLOOKUP(Backdoors!A39,BackdoorsMoveset!A2:AG112,33,FALSE)+VLOOKUP(Backdoors!A40,BackdoorsMoveset!A2:AG112,33,FALSE)+VLOOKUP(Backdoors!A41,BackdoorsMoveset!A2:AG112,33,FALSE)+VLOOKUP(Backdoors!A42,BackdoorsMoveset!A2:AG112,33,FALSE)+VLOOKUP(Backdoors!A43,BackdoorsMoveset!A2:AG112,33,FALSE)+VLOOKUP(Backdoors!A44,BackdoorsMoveset!A2:AG112,33,FALSE)+VLOOKUP(Backdoors!A45,BackdoorsMoveset!A2:AG112,33,FALSE)+VLOOKUP(Backdoors!A46,BackdoorsMoveset!A2:AG112,33,FALSE)+VLOOKUP(Backdoors!A47,BackdoorsMoveset!A2:AG112,33,FALSE)+VLOOKUP(Backdoors!A48,BackdoorsMoveset!A2:AG112,33,FALSE)+VLOOKUP(Backdoors!A49,BackdoorsMoveset!A2:AG112,33,FALSE)+VLOOKUP(Backdoors!A50,BackdoorsMoveset!A2:AG112,33,FALSE)+VLOOKUP(Backdoors!A51,BackdoorsMoveset!A2:AG112,33,FALSE)+VLOOKUP(Backdoors!A52,BackdoorsMoveset!A2:AG112,33,FALSE)+VLOOKUP(Backdoors!A53,BackdoorsMoveset!A2:AG112,33,FALSE)+VLOOKUP(Backdoors!A54,BackdoorsMoveset!A2:AG112,33,FALSE)+VLOOKUP(Backdoors!A55,BackdoorsMoveset!A2:AG112,33,FALSE)+VLOOKUP(Backdoors!A56,BackdoorsMoveset!A2:AG112,33,FALSE)+VLOOKUP(Backdoors!A57,BackdoorsMoveset!A2:AG112,33,FALSE)+VLOOKUP(Backdoors!A58,BackdoorsMoveset!A2:AG112,33,FALSE)+VLOOKUP(Backdoors!A59,BackdoorsMoveset!A2:AG112,33,FALSE)+VLOOKUP(Backdoors!A60,BackdoorsMoveset!A2:AG112,33,FALSE)+VLOOKUP(Backdoors!A61,BackdoorsMoveset!A2:AG112,33,FALSE),0)</f>
        <v>151</v>
      </c>
      <c r="BM7">
        <f>IFERROR(VLOOKUP(Backdoors!A37,BackdoorsMoveset!A2:AH112,34,FALSE)+VLOOKUP(Backdoors!A38,BackdoorsMoveset!A2:AH112,34,FALSE)+VLOOKUP(Backdoors!A39,BackdoorsMoveset!A2:AH112,34,FALSE)+VLOOKUP(Backdoors!A40,BackdoorsMoveset!A2:AH112,34,FALSE)+VLOOKUP(Backdoors!A41,BackdoorsMoveset!A2:AH112,34,FALSE)+VLOOKUP(Backdoors!A42,BackdoorsMoveset!A2:AH112,34,FALSE)+VLOOKUP(Backdoors!A43,BackdoorsMoveset!A2:AH112,34,FALSE)+VLOOKUP(Backdoors!A44,BackdoorsMoveset!A2:AH112,34,FALSE)+VLOOKUP(Backdoors!A45,BackdoorsMoveset!A2:AH112,34,FALSE)+VLOOKUP(Backdoors!A46,BackdoorsMoveset!A2:AH112,34,FALSE)+VLOOKUP(Backdoors!A47,BackdoorsMoveset!A2:AH112,34,FALSE)+VLOOKUP(Backdoors!A48,BackdoorsMoveset!A2:AH112,34,FALSE)+VLOOKUP(Backdoors!A49,BackdoorsMoveset!A2:AH112,34,FALSE)+VLOOKUP(Backdoors!A50,BackdoorsMoveset!A2:AH112,34,FALSE)+VLOOKUP(Backdoors!A51,BackdoorsMoveset!A2:AH112,34,FALSE)+VLOOKUP(Backdoors!A52,BackdoorsMoveset!A2:AH112,34,FALSE)+VLOOKUP(Backdoors!A53,BackdoorsMoveset!A2:AH112,34,FALSE)+VLOOKUP(Backdoors!A54,BackdoorsMoveset!A2:AH112,34,FALSE)+VLOOKUP(Backdoors!A55,BackdoorsMoveset!A2:AH112,34,FALSE)+VLOOKUP(Backdoors!A56,BackdoorsMoveset!A2:AH112,34,FALSE)+VLOOKUP(Backdoors!A57,BackdoorsMoveset!A2:AH112,34,FALSE)+VLOOKUP(Backdoors!A58,BackdoorsMoveset!A2:AH112,34,FALSE)+VLOOKUP(Backdoors!A59,BackdoorsMoveset!A2:AH112,34,FALSE)+VLOOKUP(Backdoors!A60,BackdoorsMoveset!A2:AH112,34,FALSE)+VLOOKUP(Backdoors!A61,BackdoorsMoveset!A2:AH112,34,FALSE),0)</f>
        <v>0</v>
      </c>
      <c r="BN7">
        <f>IFERROR(VLOOKUP(Backdoors!A37,BackdoorsMoveset!A2:AJ112,36,FALSE)+VLOOKUP(Backdoors!A38,BackdoorsMoveset!A2:AJ112,36,FALSE)+VLOOKUP(Backdoors!A39,BackdoorsMoveset!A2:AJ112,36,FALSE)+VLOOKUP(Backdoors!A40,BackdoorsMoveset!A2:AJ112,36,FALSE)+VLOOKUP(Backdoors!A41,BackdoorsMoveset!A2:AJ112,36,FALSE)+VLOOKUP(Backdoors!A42,BackdoorsMoveset!A2:AJ112,36,FALSE)+VLOOKUP(Backdoors!A43,BackdoorsMoveset!A2:AJ112,36,FALSE)+VLOOKUP(Backdoors!A44,BackdoorsMoveset!A2:AJ112,36,FALSE)+VLOOKUP(Backdoors!A45,BackdoorsMoveset!A2:AJ112,36,FALSE)+VLOOKUP(Backdoors!A46,BackdoorsMoveset!A2:AJ112,36,FALSE)+VLOOKUP(Backdoors!A47,BackdoorsMoveset!A2:AJ112,36,FALSE)+VLOOKUP(Backdoors!A48,BackdoorsMoveset!A2:AJ112,36,FALSE)+VLOOKUP(Backdoors!A49,BackdoorsMoveset!A2:AJ112,36,FALSE)+VLOOKUP(Backdoors!A50,BackdoorsMoveset!A2:AJ112,36,FALSE)+VLOOKUP(Backdoors!A51,BackdoorsMoveset!A2:AJ112,36,FALSE)+VLOOKUP(Backdoors!A52,BackdoorsMoveset!A2:AJ112,36,FALSE)+VLOOKUP(Backdoors!A53,BackdoorsMoveset!A2:AJ112,36,FALSE)+VLOOKUP(Backdoors!A54,BackdoorsMoveset!A2:AJ112,36,FALSE)+VLOOKUP(Backdoors!A55,BackdoorsMoveset!A2:AJ112,36,FALSE)+VLOOKUP(Backdoors!A56,BackdoorsMoveset!A2:AJ112,36,FALSE)+VLOOKUP(Backdoors!A57,BackdoorsMoveset!A2:AJ112,36,FALSE)+VLOOKUP(Backdoors!A58,BackdoorsMoveset!A2:AJ112,36,FALSE)+VLOOKUP(Backdoors!A59,BackdoorsMoveset!A2:AJ112,36,FALSE)+VLOOKUP(Backdoors!A60,BackdoorsMoveset!A2:AJ112,36,FALSE)+VLOOKUP(Backdoors!A61,BackdoorsMoveset!A2:AJ112,36,FALSE),0)</f>
        <v>151</v>
      </c>
      <c r="BO7" s="49">
        <f>IF(BN7=0,0,IF(OR(B9="Poison",$B11="Poison",B2="Light Bowgun",B2="Heavy Bowgun"),ROUND(Backdoors!A36*VLOOKUP(AO7,tbStatus!$A3:$F18,6,FALSE)*IF((AO16*AO22)&gt;1,1,(AO16*AO22)),0),IF(OR(B9="Blast",B11="Blast"),AR65,0)))</f>
        <v>0</v>
      </c>
      <c r="BP7">
        <f t="shared" si="0"/>
        <v>151</v>
      </c>
      <c r="BQ7" s="49" t="str">
        <f>CONCATENATE(AX7,IF(AND(BI7=TRUE,Calculator!B8=TRUE),CONCATENATE(" (Tenderized)"),""),IF(BP7=0,"",CONCATENATE(", ",BP7)))</f>
        <v>Forelegs, 151</v>
      </c>
      <c r="BR7">
        <f>VLOOKUP(Calculator!B4,SavedBuildNumbers!A1:F73,6,FALSE)</f>
        <v>0</v>
      </c>
      <c r="BS7" t="str">
        <f>CONCATENATE("Weapon Type: ",B2)</f>
        <v>Weapon Type: Dual Blades</v>
      </c>
      <c r="BU7" s="49">
        <f>IFERROR(ROUNDDOWN((IF((ROUND((VLOOKUP(tbMoveset!A7,tbMoveset!A2:F112,6,FALSE)+(IF(VLOOKUP(tbMoveset!A7,tbMoveset!A2:F112,6,FALSE)&gt;0,K41,0)))*(1+(IF(VLOOKUP(tbMoveset!A7,tbMoveset!A2:I112,9,FALSE)="Fire",VLOOKUP(Calculator!$E24,tbSkills!$AX3:$AZ9,3,FALSE),IF(VLOOKUP(tbMoveset!A7,tbMoveset!A2:I112,9,FALSE)="Water",VLOOKUP(Calculator!$E25,tbSkills!$AX3:$AZ9,3,FALSE),IF(VLOOKUP(BackdoorsMoveset!A7,tbMoveset!A2:I112,9,FALSE)="Thunder",VLOOKUP(Calculator!$E26,tbSkills!$AX3:$AZ9,3,FALSE),IF(VLOOKUP(tbMoveset!A7,tbMoveset!A2:I112,9,FALSE)="Ice",VLOOKUP(Calculator!$E27,tbSkills!$AX3:$AZ9,3,FALSE),IF(VLOOKUP(tbMoveset!A7,tbMoveset!A2:I112,9,FALSE)="Dragon",VLOOKUP(Calculator!$E28,tbSkills!$AX3:$AZ9,3,FALSE),0)))))/100))*AC7,0)+IF(VLOOKUP(tbMoveset!A7,tbMoveset!A2:F112,6,FALSE)&gt;0,IF(VLOOKUP(tbMoveset!A7,tbMoveset!A2:I112,9,FALSE)="Fire",VLOOKUP(Calculator!$E24,tbSkills!$AX3:$AY9,2,FALSE),IF(VLOOKUP(tbMoveset!A7,tbMoveset!A2:I112,9,FALSE)="Water",VLOOKUP(Calculator!$E25,tbSkills!$AX3:$AY9,2,FALSE),IF(VLOOKUP(tbMoveset!A7,tbMoveset!A2:I112,9,FALSE)="Thunder",VLOOKUP(Calculator!$E26,tbSkills!$AX3:$AY9,2,FALSE),IF(VLOOKUP(tbMoveset!A7,tbMoveset!A2:I112,9,FALSE)="Ice",VLOOKUP(Calculator!$E27,tbSkills!$AX3:$AY9,2,FALSE),IF(VLOOKUP(tbMoveset!A7,tbMoveset!A2:I112,9,FALSE)="Dragon",VLOOKUP(Calculator!$E28,tbSkills!$AX3:$AY9,2,FALSE),0))))),0)/10)&gt;=B34,B34,(ROUND((VLOOKUP(tbMoveset!A7,tbMoveset!A2:F112,6,FALSE)+(IF(VLOOKUP(tbMoveset!A7,tbMoveset!A2:F112,6,FALSE)&gt;0,K41,0)))*(1+(IF(VLOOKUP(tbMoveset!A7,tbMoveset!A2:I112,9,FALSE)="Fire",VLOOKUP(Calculator!$E24,tbSkills!$AX3:$AZ9,3,FALSE),IF(VLOOKUP(tbMoveset!A7,tbMoveset!A2:I112,9,FALSE)="Water",VLOOKUP(Calculator!$E25,tbSkills!$AX3:$AZ9,3,FALSE),IF(VLOOKUP(BackdoorsMoveset!A7,tbMoveset!A2:I112,9,FALSE)="Thunder",VLOOKUP(Calculator!$E26,tbSkills!$AX3:$AZ9,3,FALSE),IF(VLOOKUP(tbMoveset!A7,tbMoveset!A2:I112,9,FALSE)="Ice",VLOOKUP(Calculator!$E27,tbSkills!$AX3:$AZ9,3,FALSE),IF(VLOOKUP(tbMoveset!A7,tbMoveset!A2:I112,9,FALSE)="Dragon",VLOOKUP(Calculator!$E28,tbSkills!$AX3:$AZ9,3,FALSE),0)))))/100))*AC7,0)+IF(VLOOKUP(tbMoveset!A7,tbMoveset!A2:F112,6,FALSE)&gt;0,IF(VLOOKUP(tbMoveset!A7,tbMoveset!A2:I112,9,FALSE)="Fire",VLOOKUP(Calculator!$E24,tbSkills!$AX3:$AY9,2,FALSE),IF(VLOOKUP(tbMoveset!A7,tbMoveset!A2:I112,9,FALSE)="Water",VLOOKUP(Calculator!$E25,tbSkills!$AX3:$AY9,2,FALSE),IF(VLOOKUP(tbMoveset!A7,tbMoveset!A2:I112,9,FALSE)="Thunder",VLOOKUP(Calculator!$E26,tbSkills!$AX3:$AY9,2,FALSE),IF(VLOOKUP(tbMoveset!A7,tbMoveset!A2:I112,9,FALSE)="Ice",VLOOKUP(Calculator!$E27,tbSkills!$AX3:$AY9,2,FALSE),IF(VLOOKUP(tbMoveset!A7,tbMoveset!A2:I112,9,FALSE)="Dragon",VLOOKUP(Calculator!$E28,tbSkills!$AX3:$AY9,2,FALSE),0))))),0)/10))*N6)*AC6,0)*(B30/100),0)</f>
        <v>0</v>
      </c>
    </row>
    <row r="8" spans="1:73" x14ac:dyDescent="0.25">
      <c r="A8" t="s">
        <v>212</v>
      </c>
      <c r="B8">
        <f>ROUNDDOWN(((((((B6*VLOOKUP(E20,tbSharpness!A2:B8,2,FALSE))*N6)*Z5)*Z12)*Z17)*Z18)*Z20,0)</f>
        <v>84</v>
      </c>
      <c r="D8" t="s">
        <v>863</v>
      </c>
      <c r="E8" s="5" t="str">
        <f>IF(E17&gt;0,"N/A",IF(AND(E4="Blue",E6="Purple"),"White",IF(AND(E4="Green",E6="White"),"Blue",IF(AND(E4="Yellow",E6="Blue"),"Green",IF(AND(E4="Orange",E6="Green"),"Yellow",IF(AND(E4="Red",E6="Yellow"),"Orange","N/A"))))))</f>
        <v>N/A</v>
      </c>
      <c r="G8" t="s">
        <v>708</v>
      </c>
      <c r="H8">
        <f>VLOOKUP(Calculator!B2,tbWeapons!A2:Q271,17,FALSE)+IF(H4=4,1,0)+IF(K58=4,1,0)</f>
        <v>0</v>
      </c>
      <c r="J8" t="s">
        <v>849</v>
      </c>
      <c r="K8">
        <f>VLOOKUP(Calculator!B2,tbWeapons!A2:AI271,35,FALSE)</f>
        <v>0</v>
      </c>
      <c r="M8" t="s">
        <v>598</v>
      </c>
      <c r="N8">
        <f>N7-IF(Calculator!B9="Capture Monster",N7*(VLOOKUP(Calculator!B4,tbMonsters!A2:H74,8,FALSE)/100),0)</f>
        <v>1408</v>
      </c>
      <c r="P8" t="s">
        <v>1546</v>
      </c>
      <c r="Q8">
        <f>IF(Calculator!B23=TRUE,10,0)</f>
        <v>0</v>
      </c>
      <c r="Y8" t="s">
        <v>905</v>
      </c>
      <c r="Z8">
        <f>1+(IF(Calculator!E12=7,VLOOKUP(Calculator!E12,tbSkills!BQ3:BR10,2,FALSE),IF(Calculator!B13=TRUE,35,VLOOKUP(Calculator!E12,tbSkills!BQ3:BR10,2,FALSE)))/100)</f>
        <v>1</v>
      </c>
      <c r="AH8" t="s">
        <v>256</v>
      </c>
      <c r="AI8">
        <f>VLOOKUP(Calculator!E9,tbSkills!AF3:AG10,2,FALSE)</f>
        <v>0</v>
      </c>
      <c r="AN8" t="s">
        <v>249</v>
      </c>
      <c r="AO8" s="5" t="str">
        <f>VLOOKUP(Calculator!B4,tbMonsters!A2:F74,6,FALSE)</f>
        <v>A</v>
      </c>
      <c r="AQ8" t="s">
        <v>237</v>
      </c>
      <c r="AR8">
        <f>N8-AR7</f>
        <v>1408</v>
      </c>
      <c r="AT8">
        <v>7</v>
      </c>
      <c r="AU8">
        <f>$AU7+IF(AO12+((AO10*6)*AO11)&gt;AO13,AO13,AO12+((AO10*6)*AO11))</f>
        <v>630</v>
      </c>
      <c r="AW8" s="49">
        <f>IFERROR(INDEX(tbHitzones!K:K,MATCH(ROWS(tbHitzones!$1:6),tbHitzones!K:K,0)),"")</f>
        <v>6</v>
      </c>
      <c r="AX8" s="49" t="str">
        <f>IFERROR(INDEX(tbHitzones!B:B,MATCH(ROWS(tbHitzones!$1:6),tbHitzones!K:K,0)),"")</f>
        <v>Hindlegs</v>
      </c>
      <c r="AY8" s="49">
        <f>IFERROR(INDEX(tbHitzones!C:C,MATCH(ROWS(tbHitzones!$1:6),tbHitzones!K:K,0)),"")</f>
        <v>45</v>
      </c>
      <c r="AZ8" s="49">
        <f>IFERROR(INDEX(tbHitzones!D:D,MATCH(ROWS(tbHitzones!$1:6),tbHitzones!K:K,0)),"")</f>
        <v>40</v>
      </c>
      <c r="BA8" s="49">
        <f>IFERROR(INDEX(tbHitzones!E:E,MATCH(ROWS(tbHitzones!$1:6),tbHitzones!K:K,0)),"")</f>
        <v>35</v>
      </c>
      <c r="BB8" s="49">
        <f>IFERROR(INDEX(tbHitzones!F:F,MATCH(ROWS(tbHitzones!$1:6),tbHitzones!K:K,0)),"")</f>
        <v>15</v>
      </c>
      <c r="BC8" s="49">
        <f>IFERROR(INDEX(tbHitzones!G:G,MATCH(ROWS(tbHitzones!$1:6),tbHitzones!K:K,0)),"")</f>
        <v>0</v>
      </c>
      <c r="BD8" s="49">
        <f>IFERROR(INDEX(tbHitzones!H:H,MATCH(ROWS(tbHitzones!$1:6),tbHitzones!K:K,0)),"")</f>
        <v>5</v>
      </c>
      <c r="BE8" s="49">
        <f>IFERROR(INDEX(tbHitzones!I:I,MATCH(ROWS(tbHitzones!$1:6),tbHitzones!K:K,0)),"")</f>
        <v>0</v>
      </c>
      <c r="BF8" s="49">
        <f>IFERROR(INDEX(tbHitzones!J:J,MATCH(ROWS(tbHitzones!$1:6),tbHitzones!K:K,0)),"")</f>
        <v>0</v>
      </c>
      <c r="BG8" s="49">
        <f>IFERROR(IF(OR(B9="Fire",B11="Fire"),BB8,IF(OR(B9="Water",B11="Water"),BC8,IF(OR(B9="Thunder",B11="Thunder"),BD8,IF(OR(B9="Ice",B11="Ice"),BE8,IF(OR(B9="Dragon",B11="Dragon"),BF8,0))))),"")</f>
        <v>0</v>
      </c>
      <c r="BH8" s="49">
        <f>IFERROR(INDEX(tbHitzones!L:L,MATCH(ROWS(tbHitzones!$1:6),tbHitzones!K:K,0)),"")</f>
        <v>0</v>
      </c>
      <c r="BI8" s="49">
        <f>IFERROR(INDEX(tbHitzones!M:M,MATCH(ROWS(tbHitzones!$1:6),tbHitzones!K:K,0)),"")</f>
        <v>0</v>
      </c>
      <c r="BK8" s="49">
        <f>IFERROR(INDEX(tbHitzones!K:K,MATCH(ROWS(tbHitzones!$1:6),tbHitzones!K:K,0)),"")</f>
        <v>6</v>
      </c>
      <c r="BL8">
        <f>IFERROR(VLOOKUP(Backdoors!A37,BackdoorsMoveset!A2:AN112,40,FALSE)+VLOOKUP(Backdoors!A38,BackdoorsMoveset!A2:AN112,40,FALSE)+VLOOKUP(Backdoors!A39,BackdoorsMoveset!A2:AN112,40,FALSE)+VLOOKUP(Backdoors!A40,BackdoorsMoveset!A2:AN112,40,FALSE)+VLOOKUP(Backdoors!A41,BackdoorsMoveset!A2:AN112,40,FALSE)+VLOOKUP(Backdoors!A42,BackdoorsMoveset!A2:AN112,40,FALSE)+VLOOKUP(Backdoors!A43,BackdoorsMoveset!A2:AN112,40,FALSE)+VLOOKUP(Backdoors!A44,BackdoorsMoveset!A2:AN112,40,FALSE)+VLOOKUP(Backdoors!A45,BackdoorsMoveset!A2:AN112,40,FALSE)+VLOOKUP(Backdoors!A46,BackdoorsMoveset!A2:AN112,40,FALSE)+VLOOKUP(Backdoors!A47,BackdoorsMoveset!A2:AN112,40,FALSE)+VLOOKUP(Backdoors!A48,BackdoorsMoveset!A2:AN112,40,FALSE)+VLOOKUP(Backdoors!A49,BackdoorsMoveset!A2:AN112,40,FALSE)+VLOOKUP(Backdoors!A50,BackdoorsMoveset!A2:AN112,40,FALSE)+VLOOKUP(Backdoors!A51,BackdoorsMoveset!A2:AN112,40,FALSE)+VLOOKUP(Backdoors!A52,BackdoorsMoveset!A2:AN112,40,FALSE)+VLOOKUP(Backdoors!A53,BackdoorsMoveset!A2:AN112,40,FALSE)+VLOOKUP(Backdoors!A54,BackdoorsMoveset!A2:AN112,40,FALSE)+VLOOKUP(Backdoors!A55,BackdoorsMoveset!A2:AN112,40,FALSE)+VLOOKUP(Backdoors!A56,BackdoorsMoveset!A2:AN112,40,FALSE)+VLOOKUP(Backdoors!A57,BackdoorsMoveset!A2:AN112,40,FALSE)+VLOOKUP(Backdoors!A58,BackdoorsMoveset!A2:AN112,40,FALSE)+VLOOKUP(Backdoors!A59,BackdoorsMoveset!A2:AN112,40,FALSE)+VLOOKUP(Backdoors!A60,BackdoorsMoveset!A2:AN112,40,FALSE)+VLOOKUP(Backdoors!A61,BackdoorsMoveset!A2:AN112,40,FALSE),0)</f>
        <v>103</v>
      </c>
      <c r="BM8">
        <f>IFERROR(VLOOKUP(Backdoors!A37,BackdoorsMoveset!A2:AO112,41,FALSE)+VLOOKUP(Backdoors!A38,BackdoorsMoveset!A2:AO112,41,FALSE)+VLOOKUP(Backdoors!A39,BackdoorsMoveset!A2:AO112,41,FALSE)+VLOOKUP(Backdoors!A40,BackdoorsMoveset!A2:AO112,41,FALSE)+VLOOKUP(Backdoors!A41,BackdoorsMoveset!A2:AO112,41,FALSE)+VLOOKUP(Backdoors!A42,BackdoorsMoveset!A2:AO112,41,FALSE)+VLOOKUP(Backdoors!A43,BackdoorsMoveset!A2:AO112,41,FALSE)+VLOOKUP(Backdoors!A44,BackdoorsMoveset!A2:AO112,41,FALSE)+VLOOKUP(Backdoors!A45,BackdoorsMoveset!A2:AO112,41,FALSE)+VLOOKUP(Backdoors!A46,BackdoorsMoveset!A2:AO112,41,FALSE)+VLOOKUP(Backdoors!A47,BackdoorsMoveset!A2:AO112,41,FALSE)+VLOOKUP(Backdoors!A48,BackdoorsMoveset!A2:AO112,41,FALSE)+VLOOKUP(Backdoors!A49,BackdoorsMoveset!A2:AO112,41,FALSE)+VLOOKUP(Backdoors!A50,BackdoorsMoveset!A2:AO112,41,FALSE)+VLOOKUP(Backdoors!A51,BackdoorsMoveset!A2:AO112,41,FALSE)+VLOOKUP(Backdoors!A52,BackdoorsMoveset!A2:AO112,41,FALSE)+VLOOKUP(Backdoors!A53,BackdoorsMoveset!A2:AO112,41,FALSE)+VLOOKUP(Backdoors!A54,BackdoorsMoveset!A2:AO112,41,FALSE)+VLOOKUP(Backdoors!A55,BackdoorsMoveset!A2:AO112,41,FALSE)+VLOOKUP(Backdoors!A56,BackdoorsMoveset!A2:AO112,41,FALSE)+VLOOKUP(Backdoors!A57,BackdoorsMoveset!A2:AO112,41,FALSE)+VLOOKUP(Backdoors!A58,BackdoorsMoveset!A2:AO112,41,FALSE)+VLOOKUP(Backdoors!A59,BackdoorsMoveset!A2:AO112,41,FALSE)+VLOOKUP(Backdoors!A60,BackdoorsMoveset!A2:AO112,41,FALSE)+VLOOKUP(Backdoors!A61,BackdoorsMoveset!A2:AO112,41,FALSE),0)</f>
        <v>0</v>
      </c>
      <c r="BN8">
        <f>IFERROR(VLOOKUP(Backdoors!A37,BackdoorsMoveset!A2:AQ112,43,FALSE)+VLOOKUP(Backdoors!A38,BackdoorsMoveset!A2:AQ112,43,FALSE)+VLOOKUP(Backdoors!A39,BackdoorsMoveset!A2:AQ112,43,FALSE)+VLOOKUP(Backdoors!A40,BackdoorsMoveset!A2:AQ112,43,FALSE)+VLOOKUP(Backdoors!A41,BackdoorsMoveset!A2:AQ112,43,FALSE)+VLOOKUP(Backdoors!A42,BackdoorsMoveset!A2:AQ112,43,FALSE)+VLOOKUP(Backdoors!A43,BackdoorsMoveset!A2:AQ112,43,FALSE)+VLOOKUP(Backdoors!A44,BackdoorsMoveset!A2:AQ112,43,FALSE)+VLOOKUP(Backdoors!A45,BackdoorsMoveset!A2:AQ112,43,FALSE)+VLOOKUP(Backdoors!A46,BackdoorsMoveset!A2:AQ112,43,FALSE)+VLOOKUP(Backdoors!A47,BackdoorsMoveset!A2:AQ112,43,FALSE)+VLOOKUP(Backdoors!A48,BackdoorsMoveset!A2:AQ112,43,FALSE)+VLOOKUP(Backdoors!A49,BackdoorsMoveset!A2:AQ112,43,FALSE)+VLOOKUP(Backdoors!A50,BackdoorsMoveset!A2:AQ112,43,FALSE)+VLOOKUP(Backdoors!A51,BackdoorsMoveset!A2:AQ112,43,FALSE)+VLOOKUP(Backdoors!A52,BackdoorsMoveset!A2:AQ112,43,FALSE)+VLOOKUP(Backdoors!A53,BackdoorsMoveset!A2:AQ112,43,FALSE)+VLOOKUP(Backdoors!A54,BackdoorsMoveset!A2:AQ112,43,FALSE)+VLOOKUP(Backdoors!A55,BackdoorsMoveset!A2:AQ112,43,FALSE)+VLOOKUP(Backdoors!A56,BackdoorsMoveset!A2:AQ112,43,FALSE)+VLOOKUP(Backdoors!A57,BackdoorsMoveset!A2:AQ112,43,FALSE)+VLOOKUP(Backdoors!A58,BackdoorsMoveset!A2:AQ112,43,FALSE)+VLOOKUP(Backdoors!A59,BackdoorsMoveset!A2:AQ112,43,FALSE)+VLOOKUP(Backdoors!A60,BackdoorsMoveset!A2:AQ112,43,FALSE)+VLOOKUP(Backdoors!A61,BackdoorsMoveset!A2:AQ112,43,FALSE),0)</f>
        <v>103</v>
      </c>
      <c r="BO8" s="49">
        <f>IF(BN8=0,0,IF(OR(B9="Poison",$B11="Poison",B2="Light Bowgun",B2="Heavy Bowgun"),ROUND(Backdoors!A36*VLOOKUP(AO7,tbStatus!$A3:$F18,6,FALSE)*IF((AO16*AO23)&gt;1,1,(AO16*AO23)),0),IF(OR(B9="Blast",B11="Blast"),AR78,0)))</f>
        <v>0</v>
      </c>
      <c r="BP8">
        <f t="shared" si="0"/>
        <v>103</v>
      </c>
      <c r="BQ8" s="49" t="str">
        <f>CONCATENATE(AX8,IF(AND(BI8=TRUE,Calculator!B8=TRUE),CONCATENATE(" (Tenderized)"),""),IF(BP8=0,"",CONCATENATE(", ",BP8)))</f>
        <v>Hindlegs, 103</v>
      </c>
      <c r="BR8">
        <f>VLOOKUP(Calculator!B4,SavedBuildNumbers!A1:G73,7,FALSE)</f>
        <v>0</v>
      </c>
      <c r="BS8" t="str" cm="1">
        <f t="array" aca="1" ref="BS8" ca="1">CONCATENATE("Primer Hit Zone: ",INDIRECT("AX"&amp;MATCH("Primer",BH3:BH46,0)+2))</f>
        <v>Primer Hit Zone: Head</v>
      </c>
      <c r="BU8" s="49">
        <f>IFERROR(ROUNDDOWN((IF((ROUND((VLOOKUP(tbMoveset!A8,tbMoveset!A2:F112,6,FALSE)+(IF(VLOOKUP(tbMoveset!A8,tbMoveset!A2:F112,6,FALSE)&gt;0,K41,0)))*(1+(IF(VLOOKUP(tbMoveset!A8,tbMoveset!A2:I112,9,FALSE)="Fire",VLOOKUP(Calculator!$E24,tbSkills!$AX3:$AZ9,3,FALSE),IF(VLOOKUP(tbMoveset!A8,tbMoveset!A2:I112,9,FALSE)="Water",VLOOKUP(Calculator!$E25,tbSkills!$AX3:$AZ9,3,FALSE),IF(VLOOKUP(BackdoorsMoveset!A8,tbMoveset!A2:I112,9,FALSE)="Thunder",VLOOKUP(Calculator!$E26,tbSkills!$AX3:$AZ9,3,FALSE),IF(VLOOKUP(tbMoveset!A8,tbMoveset!A2:I112,9,FALSE)="Ice",VLOOKUP(Calculator!$E27,tbSkills!$AX3:$AZ9,3,FALSE),IF(VLOOKUP(tbMoveset!A8,tbMoveset!A2:I112,9,FALSE)="Dragon",VLOOKUP(Calculator!$E28,tbSkills!$AX3:$AZ9,3,FALSE),0)))))/100))*AC7,0)+IF(VLOOKUP(tbMoveset!A8,tbMoveset!A2:F112,6,FALSE)&gt;0,IF(VLOOKUP(tbMoveset!A8,tbMoveset!A2:I112,9,FALSE)="Fire",VLOOKUP(Calculator!$E24,tbSkills!$AX3:$AY9,2,FALSE),IF(VLOOKUP(tbMoveset!A8,tbMoveset!A2:I112,9,FALSE)="Water",VLOOKUP(Calculator!$E25,tbSkills!$AX3:$AY9,2,FALSE),IF(VLOOKUP(tbMoveset!A8,tbMoveset!A2:I112,9,FALSE)="Thunder",VLOOKUP(Calculator!$E26,tbSkills!$AX3:$AY9,2,FALSE),IF(VLOOKUP(tbMoveset!A8,tbMoveset!A2:I112,9,FALSE)="Ice",VLOOKUP(Calculator!$E27,tbSkills!$AX3:$AY9,2,FALSE),IF(VLOOKUP(tbMoveset!A8,tbMoveset!A2:I112,9,FALSE)="Dragon",VLOOKUP(Calculator!$E28,tbSkills!$AX3:$AY9,2,FALSE),0))))),0)/10)&gt;=B34,B34,(ROUND((VLOOKUP(tbMoveset!A8,tbMoveset!A2:F112,6,FALSE)+(IF(VLOOKUP(tbMoveset!A8,tbMoveset!A2:F112,6,FALSE)&gt;0,K41,0)))*(1+(IF(VLOOKUP(tbMoveset!A8,tbMoveset!A2:I112,9,FALSE)="Fire",VLOOKUP(Calculator!$E24,tbSkills!$AX3:$AZ9,3,FALSE),IF(VLOOKUP(tbMoveset!A8,tbMoveset!A2:I112,9,FALSE)="Water",VLOOKUP(Calculator!$E25,tbSkills!$AX3:$AZ9,3,FALSE),IF(VLOOKUP(BackdoorsMoveset!A8,tbMoveset!A2:I112,9,FALSE)="Thunder",VLOOKUP(Calculator!$E26,tbSkills!$AX3:$AZ9,3,FALSE),IF(VLOOKUP(tbMoveset!A8,tbMoveset!A2:I112,9,FALSE)="Ice",VLOOKUP(Calculator!$E27,tbSkills!$AX3:$AZ9,3,FALSE),IF(VLOOKUP(tbMoveset!A8,tbMoveset!A2:I112,9,FALSE)="Dragon",VLOOKUP(Calculator!$E28,tbSkills!$AX3:$AZ9,3,FALSE),0)))))/100))*AC7,0)+IF(VLOOKUP(tbMoveset!A8,tbMoveset!A2:F112,6,FALSE)&gt;0,IF(VLOOKUP(tbMoveset!A8,tbMoveset!A2:I112,9,FALSE)="Fire",VLOOKUP(Calculator!$E24,tbSkills!$AX3:$AY9,2,FALSE),IF(VLOOKUP(tbMoveset!A8,tbMoveset!A2:I112,9,FALSE)="Water",VLOOKUP(Calculator!$E25,tbSkills!$AX3:$AY9,2,FALSE),IF(VLOOKUP(tbMoveset!A8,tbMoveset!A2:I112,9,FALSE)="Thunder",VLOOKUP(Calculator!$E26,tbSkills!$AX3:$AY9,2,FALSE),IF(VLOOKUP(tbMoveset!A8,tbMoveset!A2:I112,9,FALSE)="Ice",VLOOKUP(Calculator!$E27,tbSkills!$AX3:$AY9,2,FALSE),IF(VLOOKUP(tbMoveset!A8,tbMoveset!A2:I112,9,FALSE)="Dragon",VLOOKUP(Calculator!$E28,tbSkills!$AX3:$AY9,2,FALSE),0))))),0)/10))*N6)*AC6,0)*(B30/100),0)</f>
        <v>0</v>
      </c>
    </row>
    <row r="9" spans="1:73" x14ac:dyDescent="0.25">
      <c r="A9" t="s">
        <v>203</v>
      </c>
      <c r="B9" s="5" t="str">
        <f>IF(VLOOKUP(Calculator!B2,tbWeapons!A2:E271,5,FALSE)&gt;0,"Fire",IF(VLOOKUP(Calculator!B2,tbWeapons!A2:F271,6,FALSE)&gt;0,"Water",IF(VLOOKUP(Calculator!B2,tbWeapons!A2:G271,7,FALSE)&gt;0,"Thunder",IF(VLOOKUP(Calculator!B2,tbWeapons!A2:H271,8,FALSE)&gt;0,"Ice",IF(VLOOKUP(Calculator!B2,tbWeapons!A2:I271,9,FALSE)&gt;0,"Dragon",IF(VLOOKUP(Calculator!B2,tbWeapons!A2:J271,10,FALSE)&gt;0,"Poison",IF(VLOOKUP(Calculator!B2,tbWeapons!A2:K271,11,FALSE)&gt;0,"Paralysis",IF(VLOOKUP(Calculator!B2,tbWeapons!A2:L271,12,FALSE)&gt;0,"Sleep",IF(VLOOKUP(Calculator!B2,tbWeapons!A2:M271,13,FALSE)&gt;0,"Blast","Raw")))))))))</f>
        <v>Raw</v>
      </c>
      <c r="D9" t="s">
        <v>868</v>
      </c>
      <c r="E9" s="5" t="str">
        <f>IF(AND(E4="Blue",E6="Purple"),"White",IF(AND(E4="Green",E6="White"),"Blue",IF(AND(E4="Yellow",E6="Blue"),"Green",IF(AND(E4="Orange",E6="Green"),"Yellow",IF(AND(E4="Red",E6="Yellow"),"Orange","N/A")))))</f>
        <v>N/A</v>
      </c>
      <c r="G9" t="s">
        <v>711</v>
      </c>
      <c r="H9" s="5" t="str">
        <f>IF(H8=0,"",IF(SUM(H5:H7)&gt;0,CONCATENATE(H8,"x Lv4, "),CONCATENATE(H8,"x Lv4")))</f>
        <v/>
      </c>
      <c r="J9" t="s">
        <v>697</v>
      </c>
      <c r="K9">
        <f>IF(AND(Calculator!B34="Attack Increase",B21&gt;=10),5,0)+IF(AND(Calculator!B35="Attack Increase",B21&gt;=10),5,0)+IF(AND(Calculator!B36="Attack Increase",B21&gt;=10),5,0)+IF(AND(Calculator!B37="Attack Increase",B21&gt;=10),5,0)+IF(AND(Calculator!B38="Attack Increase",B21&gt;=10),5,0)+IF(AND(Calculator!B39="Attack Increase",OR(B21=10,B21=11)),5,0)+IF(AND(Calculator!B40="Attack Increase",B21=10),5,0)</f>
        <v>0</v>
      </c>
      <c r="M9" t="s">
        <v>1562</v>
      </c>
      <c r="N9">
        <f>IF(Calculator!B4="Velkhana",IF(Calculator!B6="Level 2",1,IF(Calculator!B6="Level 1",1.1,1.2)),1)</f>
        <v>1</v>
      </c>
      <c r="P9" t="s">
        <v>878</v>
      </c>
      <c r="Q9">
        <f>IF(Calculator!B12=TRUE,9,0)</f>
        <v>0</v>
      </c>
      <c r="Y9" t="s">
        <v>886</v>
      </c>
      <c r="Z9">
        <f>1+IF(OR(B2="Light Bowgun",B2="Heavy Bowgun",B2="Bow"),IF(Calculator!B14=TRUE,10,0)/100,0)</f>
        <v>1</v>
      </c>
      <c r="AH9" t="s">
        <v>1057</v>
      </c>
      <c r="AI9">
        <f>VLOOKUP(Calculator!E41,tbSkills!AL3:AO5,4,FALSE)</f>
        <v>0</v>
      </c>
      <c r="AN9" t="s">
        <v>251</v>
      </c>
      <c r="AO9">
        <f>IF(OR(B9="Poison",$B11="Poison",B2="Light Bowgun",B2="Heavy Bowgun"),IF(AO7&gt;0,((VLOOKUP(AO7,tbStatus!$A3:$E18,5,FALSE))/Backdoors!A36),0),0)</f>
        <v>0</v>
      </c>
      <c r="AQ9" t="s">
        <v>238</v>
      </c>
      <c r="AR9">
        <f>IFERROR(AR8/BN3,0)</f>
        <v>7.6108108108108112</v>
      </c>
      <c r="AT9">
        <v>8</v>
      </c>
      <c r="AU9">
        <f>$AU8+IF(AO12+((AO10*7)*AO11)&gt;AO13,AO13,AO12+((AO10*7)*AO11))</f>
        <v>792</v>
      </c>
      <c r="AW9" s="49">
        <f>IFERROR(INDEX(tbHitzones!K:K,MATCH(ROWS(tbHitzones!$1:7),tbHitzones!K:K,0)),"")</f>
        <v>7</v>
      </c>
      <c r="AX9" s="49" t="str">
        <f>IFERROR(INDEX(tbHitzones!B:B,MATCH(ROWS(tbHitzones!$1:7),tbHitzones!K:K,0)),"")</f>
        <v>Tail</v>
      </c>
      <c r="AY9" s="49">
        <f>IFERROR(INDEX(tbHitzones!C:C,MATCH(ROWS(tbHitzones!$1:7),tbHitzones!K:K,0)),"")</f>
        <v>45</v>
      </c>
      <c r="AZ9" s="49">
        <f>IFERROR(INDEX(tbHitzones!D:D,MATCH(ROWS(tbHitzones!$1:7),tbHitzones!K:K,0)),"")</f>
        <v>45</v>
      </c>
      <c r="BA9" s="49">
        <f>IFERROR(INDEX(tbHitzones!E:E,MATCH(ROWS(tbHitzones!$1:7),tbHitzones!K:K,0)),"")</f>
        <v>40</v>
      </c>
      <c r="BB9" s="49">
        <f>IFERROR(INDEX(tbHitzones!F:F,MATCH(ROWS(tbHitzones!$1:7),tbHitzones!K:K,0)),"")</f>
        <v>15</v>
      </c>
      <c r="BC9" s="49">
        <f>IFERROR(INDEX(tbHitzones!G:G,MATCH(ROWS(tbHitzones!$1:7),tbHitzones!K:K,0)),"")</f>
        <v>0</v>
      </c>
      <c r="BD9" s="49">
        <f>IFERROR(INDEX(tbHitzones!H:H,MATCH(ROWS(tbHitzones!$1:7),tbHitzones!K:K,0)),"")</f>
        <v>5</v>
      </c>
      <c r="BE9" s="49">
        <f>IFERROR(INDEX(tbHitzones!I:I,MATCH(ROWS(tbHitzones!$1:7),tbHitzones!K:K,0)),"")</f>
        <v>0</v>
      </c>
      <c r="BF9" s="49">
        <f>IFERROR(INDEX(tbHitzones!J:J,MATCH(ROWS(tbHitzones!$1:7),tbHitzones!K:K,0)),"")</f>
        <v>0</v>
      </c>
      <c r="BG9" s="49">
        <f>IFERROR(IF(OR(B9="Fire",B11="Fire"),BB9,IF(OR(B9="Water",B11="Water"),BC9,IF(OR(B9="Thunder",B11="Thunder"),BD9,IF(OR(B9="Ice",B11="Ice"),BE9,IF(OR(B9="Dragon",B11="Dragon"),BF9,0))))),"")</f>
        <v>0</v>
      </c>
      <c r="BH9" s="49">
        <f>IFERROR(INDEX(tbHitzones!L:L,MATCH(ROWS(tbHitzones!$1:7),tbHitzones!K:K,0)),"")</f>
        <v>0</v>
      </c>
      <c r="BI9" s="49">
        <f>IFERROR(INDEX(tbHitzones!M:M,MATCH(ROWS(tbHitzones!$1:7),tbHitzones!K:K,0)),"")</f>
        <v>0</v>
      </c>
      <c r="BK9" s="49">
        <f>IFERROR(INDEX(tbHitzones!K:K,MATCH(ROWS(tbHitzones!$1:7),tbHitzones!K:K,0)),"")</f>
        <v>7</v>
      </c>
      <c r="BL9">
        <f>IFERROR(VLOOKUP(Backdoors!A37,BackdoorsMoveset!A2:AU112,47,FALSE)+VLOOKUP(Backdoors!A38,BackdoorsMoveset!A2:AU112,47,FALSE)+VLOOKUP(Backdoors!A39,BackdoorsMoveset!A2:AU112,47,FALSE)+VLOOKUP(Backdoors!A40,BackdoorsMoveset!A2:AU112,47,FALSE)+VLOOKUP(Backdoors!A41,BackdoorsMoveset!A2:AU112,47,FALSE)+VLOOKUP(Backdoors!A42,BackdoorsMoveset!A2:AU112,47,FALSE)+VLOOKUP(Backdoors!A43,BackdoorsMoveset!A2:AU112,47,FALSE)+VLOOKUP(Backdoors!A44,BackdoorsMoveset!A2:AU112,47,FALSE)+VLOOKUP(Backdoors!A45,BackdoorsMoveset!A2:AU112,47,FALSE)+VLOOKUP(Backdoors!A46,BackdoorsMoveset!A2:AU112,47,FALSE)+VLOOKUP(Backdoors!A47,BackdoorsMoveset!A2:AU112,47,FALSE)+VLOOKUP(Backdoors!A48,BackdoorsMoveset!A2:AU112,47,FALSE)+VLOOKUP(Backdoors!A49,BackdoorsMoveset!A2:AU112,47,FALSE)+VLOOKUP(Backdoors!A50,BackdoorsMoveset!A2:AU112,47,FALSE)+VLOOKUP(Backdoors!A51,BackdoorsMoveset!A2:AU112,47,FALSE)+VLOOKUP(Backdoors!A52,BackdoorsMoveset!A2:AU112,47,FALSE)+VLOOKUP(Backdoors!A53,BackdoorsMoveset!A2:AU112,47,FALSE)+VLOOKUP(Backdoors!A54,BackdoorsMoveset!A2:AU112,47,FALSE)+VLOOKUP(Backdoors!A55,BackdoorsMoveset!A2:AU112,47,FALSE)+VLOOKUP(Backdoors!A56,BackdoorsMoveset!A2:AU112,47,FALSE)+VLOOKUP(Backdoors!A57,BackdoorsMoveset!A2:AU112,47,FALSE)+VLOOKUP(Backdoors!A58,BackdoorsMoveset!A2:AU112,47,FALSE)+VLOOKUP(Backdoors!A59,BackdoorsMoveset!A2:AU112,47,FALSE)+VLOOKUP(Backdoors!A60,BackdoorsMoveset!A2:AU112,47,FALSE)+VLOOKUP(Backdoors!A61,BackdoorsMoveset!A2:AU112,47,FALSE),0)</f>
        <v>103</v>
      </c>
      <c r="BM9">
        <f>IFERROR(VLOOKUP(Backdoors!A37,BackdoorsMoveset!A2:AV112,48,FALSE)+VLOOKUP(Backdoors!A38,BackdoorsMoveset!A2:AV112,48,FALSE)+VLOOKUP(Backdoors!A39,BackdoorsMoveset!A2:AV112,48,FALSE)+VLOOKUP(Backdoors!A40,BackdoorsMoveset!A2:AV112,48,FALSE)+VLOOKUP(Backdoors!A41,BackdoorsMoveset!A2:AV112,48,FALSE)+VLOOKUP(Backdoors!A42,BackdoorsMoveset!A2:AV112,48,FALSE)+VLOOKUP(Backdoors!A43,BackdoorsMoveset!A2:AV112,48,FALSE)+VLOOKUP(Backdoors!A44,BackdoorsMoveset!A2:AV112,48,FALSE)+VLOOKUP(Backdoors!A45,BackdoorsMoveset!A2:AV112,48,FALSE)+VLOOKUP(Backdoors!A46,BackdoorsMoveset!A2:AV112,48,FALSE)+VLOOKUP(Backdoors!A47,BackdoorsMoveset!A2:AV112,48,FALSE)+VLOOKUP(Backdoors!A48,BackdoorsMoveset!A2:AV112,48,FALSE)+VLOOKUP(Backdoors!A49,BackdoorsMoveset!A2:AV112,48,FALSE)+VLOOKUP(Backdoors!A50,BackdoorsMoveset!A2:AV112,48,FALSE)+VLOOKUP(Backdoors!A51,BackdoorsMoveset!A2:AV112,48,FALSE)+VLOOKUP(Backdoors!A52,BackdoorsMoveset!A2:AV112,48,FALSE)+VLOOKUP(Backdoors!A53,BackdoorsMoveset!A2:AV112,48,FALSE)+VLOOKUP(Backdoors!A54,BackdoorsMoveset!A2:AV112,48,FALSE)+VLOOKUP(Backdoors!A55,BackdoorsMoveset!A2:AV112,48,FALSE)+VLOOKUP(Backdoors!A56,BackdoorsMoveset!A2:AV112,48,FALSE)+VLOOKUP(Backdoors!A57,BackdoorsMoveset!A2:AV112,48,FALSE)+VLOOKUP(Backdoors!A58,BackdoorsMoveset!A2:AV112,48,FALSE)+VLOOKUP(Backdoors!A59,BackdoorsMoveset!A2:AV112,48,FALSE)+VLOOKUP(Backdoors!A60,BackdoorsMoveset!A2:AV112,48,FALSE)+VLOOKUP(Backdoors!A61,BackdoorsMoveset!A2:AV112,48,FALSE),0)</f>
        <v>0</v>
      </c>
      <c r="BN9">
        <f>IFERROR(VLOOKUP(Backdoors!A37,BackdoorsMoveset!A2:AX112,50,FALSE)+VLOOKUP(Backdoors!A38,BackdoorsMoveset!A2:AX112,50,FALSE)+VLOOKUP(Backdoors!A39,BackdoorsMoveset!A2:AX112,50,FALSE)+VLOOKUP(Backdoors!A40,BackdoorsMoveset!A2:AX112,50,FALSE)+VLOOKUP(Backdoors!A41,BackdoorsMoveset!A2:AX112,50,FALSE)+VLOOKUP(Backdoors!A42,BackdoorsMoveset!A2:AX112,50,FALSE)+VLOOKUP(Backdoors!A43,BackdoorsMoveset!A2:AX112,50,FALSE)+VLOOKUP(Backdoors!A44,BackdoorsMoveset!A2:AX112,50,FALSE)+VLOOKUP(Backdoors!A45,BackdoorsMoveset!A2:AX112,50,FALSE)+VLOOKUP(Backdoors!A46,BackdoorsMoveset!A2:AX112,50,FALSE)+VLOOKUP(Backdoors!A47,BackdoorsMoveset!A2:AX112,50,FALSE)+VLOOKUP(Backdoors!A48,BackdoorsMoveset!A2:AX112,50,FALSE)+VLOOKUP(Backdoors!A49,BackdoorsMoveset!A2:AX112,50,FALSE)+VLOOKUP(Backdoors!A50,BackdoorsMoveset!A2:AX112,50,FALSE)+VLOOKUP(Backdoors!A51,BackdoorsMoveset!A2:AX112,50,FALSE)+VLOOKUP(Backdoors!A52,BackdoorsMoveset!A2:AX112,50,FALSE)+VLOOKUP(Backdoors!A53,BackdoorsMoveset!A2:AX112,50,FALSE)+VLOOKUP(Backdoors!A54,BackdoorsMoveset!A2:AX112,50,FALSE)+VLOOKUP(Backdoors!A55,BackdoorsMoveset!A2:AX112,50,FALSE)+VLOOKUP(Backdoors!A56,BackdoorsMoveset!A2:AX112,50,FALSE)+VLOOKUP(Backdoors!A57,BackdoorsMoveset!A2:AX112,50,FALSE)+VLOOKUP(Backdoors!A58,BackdoorsMoveset!A2:AX112,50,FALSE)+VLOOKUP(Backdoors!A59,BackdoorsMoveset!A2:AX112,50,FALSE)+VLOOKUP(Backdoors!A60,BackdoorsMoveset!A2:AX112,50,FALSE)+VLOOKUP(Backdoors!A61,BackdoorsMoveset!A2:AX112,50,FALSE),0)</f>
        <v>103</v>
      </c>
      <c r="BO9" s="49">
        <f>IF(BN9=0,0,IF(OR(B9="Poison",$B11="Poison",B2="Light Bowgun",B2="Heavy Bowgun"),ROUND(Backdoors!A36*VLOOKUP(AO7,tbStatus!$A3:$F18,6,FALSE)*IF((AO16*AO24)&gt;1,1,(AO16*AO24)),0),IF(OR(B9="Blast",B11="Blast"),AR91,0)))</f>
        <v>0</v>
      </c>
      <c r="BP9">
        <f t="shared" si="0"/>
        <v>103</v>
      </c>
      <c r="BQ9" s="49" t="str">
        <f>CONCATENATE(AX9,IF(AND(BI9=TRUE,Calculator!B8=TRUE),CONCATENATE(" (Tenderized)"),""),IF(BP9=0,"",CONCATENATE(", ",BP9)))</f>
        <v>Tail, 103</v>
      </c>
      <c r="BR9">
        <f>VLOOKUP(Calculator!B4,SavedBuildNumbers!A1:H73,8,FALSE)</f>
        <v>0</v>
      </c>
      <c r="BS9" t="str">
        <f>CONCATENATE("Combo: ",Calculator!B7)</f>
        <v>Combo: Sixfold -&gt; Blade Dance</v>
      </c>
      <c r="BU9" s="49">
        <f>IFERROR(ROUNDDOWN((IF((ROUND((VLOOKUP(tbMoveset!A9,tbMoveset!A2:F112,6,FALSE)+(IF(VLOOKUP(tbMoveset!A9,tbMoveset!A2:F112,6,FALSE)&gt;0,K41,0)))*(1+(IF(VLOOKUP(tbMoveset!A9,tbMoveset!A2:I112,9,FALSE)="Fire",VLOOKUP(Calculator!$E24,tbSkills!$AX3:$AZ9,3,FALSE),IF(VLOOKUP(tbMoveset!A9,tbMoveset!A2:I112,9,FALSE)="Water",VLOOKUP(Calculator!$E25,tbSkills!$AX3:$AZ9,3,FALSE),IF(VLOOKUP(BackdoorsMoveset!A9,tbMoveset!A2:I112,9,FALSE)="Thunder",VLOOKUP(Calculator!$E26,tbSkills!$AX3:$AZ9,3,FALSE),IF(VLOOKUP(tbMoveset!A9,tbMoveset!A2:I112,9,FALSE)="Ice",VLOOKUP(Calculator!$E27,tbSkills!$AX3:$AZ9,3,FALSE),IF(VLOOKUP(tbMoveset!A9,tbMoveset!A2:I112,9,FALSE)="Dragon",VLOOKUP(Calculator!$E28,tbSkills!$AX3:$AZ9,3,FALSE),0)))))/100))*AC7,0)+IF(VLOOKUP(tbMoveset!A9,tbMoveset!A2:F112,6,FALSE)&gt;0,IF(VLOOKUP(tbMoveset!A9,tbMoveset!A2:I112,9,FALSE)="Fire",VLOOKUP(Calculator!$E24,tbSkills!$AX3:$AY9,2,FALSE),IF(VLOOKUP(tbMoveset!A9,tbMoveset!A2:I112,9,FALSE)="Water",VLOOKUP(Calculator!$E25,tbSkills!$AX3:$AY9,2,FALSE),IF(VLOOKUP(tbMoveset!A9,tbMoveset!A2:I112,9,FALSE)="Thunder",VLOOKUP(Calculator!$E26,tbSkills!$AX3:$AY9,2,FALSE),IF(VLOOKUP(tbMoveset!A9,tbMoveset!A2:I112,9,FALSE)="Ice",VLOOKUP(Calculator!$E27,tbSkills!$AX3:$AY9,2,FALSE),IF(VLOOKUP(tbMoveset!A9,tbMoveset!A2:I112,9,FALSE)="Dragon",VLOOKUP(Calculator!$E28,tbSkills!$AX3:$AY9,2,FALSE),0))))),0)/10)&gt;=B34,B34,(ROUND((VLOOKUP(tbMoveset!A9,tbMoveset!A2:F112,6,FALSE)+(IF(VLOOKUP(tbMoveset!A9,tbMoveset!A2:F112,6,FALSE)&gt;0,K41,0)))*(1+(IF(VLOOKUP(tbMoveset!A9,tbMoveset!A2:I112,9,FALSE)="Fire",VLOOKUP(Calculator!$E24,tbSkills!$AX3:$AZ9,3,FALSE),IF(VLOOKUP(tbMoveset!A9,tbMoveset!A2:I112,9,FALSE)="Water",VLOOKUP(Calculator!$E25,tbSkills!$AX3:$AZ9,3,FALSE),IF(VLOOKUP(BackdoorsMoveset!A9,tbMoveset!A2:I112,9,FALSE)="Thunder",VLOOKUP(Calculator!$E26,tbSkills!$AX3:$AZ9,3,FALSE),IF(VLOOKUP(tbMoveset!A9,tbMoveset!A2:I112,9,FALSE)="Ice",VLOOKUP(Calculator!$E27,tbSkills!$AX3:$AZ9,3,FALSE),IF(VLOOKUP(tbMoveset!A9,tbMoveset!A2:I112,9,FALSE)="Dragon",VLOOKUP(Calculator!$E28,tbSkills!$AX3:$AZ9,3,FALSE),0)))))/100))*AC7,0)+IF(VLOOKUP(tbMoveset!A9,tbMoveset!A2:F112,6,FALSE)&gt;0,IF(VLOOKUP(tbMoveset!A9,tbMoveset!A2:I112,9,FALSE)="Fire",VLOOKUP(Calculator!$E24,tbSkills!$AX3:$AY9,2,FALSE),IF(VLOOKUP(tbMoveset!A9,tbMoveset!A2:I112,9,FALSE)="Water",VLOOKUP(Calculator!$E25,tbSkills!$AX3:$AY9,2,FALSE),IF(VLOOKUP(tbMoveset!A9,tbMoveset!A2:I112,9,FALSE)="Thunder",VLOOKUP(Calculator!$E26,tbSkills!$AX3:$AY9,2,FALSE),IF(VLOOKUP(tbMoveset!A9,tbMoveset!A2:I112,9,FALSE)="Ice",VLOOKUP(Calculator!$E27,tbSkills!$AX3:$AY9,2,FALSE),IF(VLOOKUP(tbMoveset!A9,tbMoveset!A2:I112,9,FALSE)="Dragon",VLOOKUP(Calculator!$E28,tbSkills!$AX3:$AY9,2,FALSE),0))))),0)/10))*N6)*AC6,0)*(B30/100),0)</f>
        <v>0</v>
      </c>
    </row>
    <row r="10" spans="1:73" x14ac:dyDescent="0.25">
      <c r="A10" t="s">
        <v>203</v>
      </c>
      <c r="B10" s="5" t="str">
        <f>IF(OR(B9="Fire",B9="Water",B9="Thunder",B9="Ice",B9="Dragon",),"Element",IF(OR(B9="Poison",B9="Paralysis",B9="Sleep",B9="Blast"),"Status","Raw"))</f>
        <v>Raw</v>
      </c>
      <c r="D10" t="s">
        <v>867</v>
      </c>
      <c r="E10" s="5">
        <f>IF(E8="White",VLOOKUP(Calculator!$B2,tbWeapons!A2:AD271,30,FALSE),IF(E8="Blue",VLOOKUP(Calculator!$B2,tbWeapons!A2:AD270,29,FALSE),IF(E8="Green",VLOOKUP(Calculator!$B2,tbWeapons!A2:AD269,28,FALSE),IF(E8="Yellow",VLOOKUP(Calculator!$B2,tbWeapons!A2:AD268,27,FALSE),IF(E8="Orange",VLOOKUP(Calculator!$B2,tbWeapons!A2:AD267,26,FALSE),0)))))</f>
        <v>0</v>
      </c>
      <c r="G10" t="s">
        <v>712</v>
      </c>
      <c r="H10" s="5" t="str">
        <f>IF(H7=0,"",IF(SUM(H5:H6)&gt;0,CONCATENATE(H7,"x Lv3, "),CONCATENATE(H7,"x Lv3")))</f>
        <v/>
      </c>
      <c r="J10" t="s">
        <v>846</v>
      </c>
      <c r="K10">
        <f>IF(K8=TRUE,IF(AND(K9&gt;=10,B21=12),10,IF(AND(K9&gt;=15,B21=11),15,IF(AND(K9&gt;=20,B21=10),20,K9))),0)</f>
        <v>0</v>
      </c>
      <c r="M10" t="s">
        <v>1561</v>
      </c>
      <c r="N10">
        <f>IF(Calculator!B4="Velkhana",IF(Calculator!B6="Level 2",0.6,IF(Calculator!B6="Level 1",0.8,1)),1)</f>
        <v>1</v>
      </c>
      <c r="P10" t="s">
        <v>1544</v>
      </c>
      <c r="Q10">
        <f>IF(Calculator!B22=TRUE,25,IF(Calculator!B19=TRUE,10,0))</f>
        <v>0</v>
      </c>
      <c r="Y10" t="s">
        <v>881</v>
      </c>
      <c r="Z10">
        <f>1+(IF(OR(B2="Light Bowgun",B2="Heavy Bowgun"),IF(Calculator!B16=TRUE,5,0),0)/100)</f>
        <v>1</v>
      </c>
      <c r="AH10" t="s">
        <v>593</v>
      </c>
      <c r="AI10">
        <f>IF((SUM(AI3:AI9)+VLOOKUP(Calculator!E13,tbSkills!BT3:BU10,2,FALSE)+AI11+AI14)&gt;=100,IF((VLOOKUP(Calculator!E13,tbSkills!BT3:BU10,2,FALSE)-(SUM(AI3:AI9)+VLOOKUP(Calculator!E13,tbSkills!BT3:BU10,2,FALSE)+AI11+AI14)+100)&lt;0,0,VLOOKUP(Calculator!E13,tbSkills!BT3:BU10,2,FALSE)-(SUM(AI3:AI9)+VLOOKUP(Calculator!E13,tbSkills!BT3:BU10,2,FALSE)+AI11+AI14)+100),VLOOKUP(Calculator!E13,tbSkills!BT3:BU10,2,FALSE))*(120/(120+(300*2)))</f>
        <v>0</v>
      </c>
      <c r="AN10" t="s">
        <v>253</v>
      </c>
      <c r="AO10">
        <f>VLOOKUP(AO8,tbStatus!A22:C33,3,FALSE)</f>
        <v>20</v>
      </c>
      <c r="AQ10" t="s">
        <v>239</v>
      </c>
      <c r="AR10">
        <f>AR9*AR4</f>
        <v>0</v>
      </c>
      <c r="AT10">
        <v>9</v>
      </c>
      <c r="AU10">
        <f>$AU9+IF(AO12+((AO10*8)*AO11)&gt;AO13,AO13,AO12+((AO10*8)*AO11))</f>
        <v>972</v>
      </c>
      <c r="AW10" s="49">
        <f>IFERROR(INDEX(tbHitzones!K:K,MATCH(ROWS(tbHitzones!$1:8),tbHitzones!K:K,0)),"")</f>
        <v>8</v>
      </c>
      <c r="AX10" s="49" t="str">
        <f>IFERROR(INDEX(tbHitzones!B:B,MATCH(ROWS(tbHitzones!$1:8),tbHitzones!K:K,0)),"")</f>
        <v>Stomach (Inflated)</v>
      </c>
      <c r="AY10" s="49">
        <f>IFERROR(INDEX(tbHitzones!C:C,MATCH(ROWS(tbHitzones!$1:8),tbHitzones!K:K,0)),"")</f>
        <v>90</v>
      </c>
      <c r="AZ10" s="49">
        <f>IFERROR(INDEX(tbHitzones!D:D,MATCH(ROWS(tbHitzones!$1:8),tbHitzones!K:K,0)),"")</f>
        <v>95</v>
      </c>
      <c r="BA10" s="49">
        <f>IFERROR(INDEX(tbHitzones!E:E,MATCH(ROWS(tbHitzones!$1:8),tbHitzones!K:K,0)),"")</f>
        <v>85</v>
      </c>
      <c r="BB10" s="49">
        <f>IFERROR(INDEX(tbHitzones!F:F,MATCH(ROWS(tbHitzones!$1:8),tbHitzones!K:K,0)),"")</f>
        <v>30</v>
      </c>
      <c r="BC10" s="49">
        <f>IFERROR(INDEX(tbHitzones!G:G,MATCH(ROWS(tbHitzones!$1:8),tbHitzones!K:K,0)),"")</f>
        <v>0</v>
      </c>
      <c r="BD10" s="49">
        <f>IFERROR(INDEX(tbHitzones!H:H,MATCH(ROWS(tbHitzones!$1:8),tbHitzones!K:K,0)),"")</f>
        <v>20</v>
      </c>
      <c r="BE10" s="49">
        <f>IFERROR(INDEX(tbHitzones!I:I,MATCH(ROWS(tbHitzones!$1:8),tbHitzones!K:K,0)),"")</f>
        <v>15</v>
      </c>
      <c r="BF10" s="49">
        <f>IFERROR(INDEX(tbHitzones!J:J,MATCH(ROWS(tbHitzones!$1:8),tbHitzones!K:K,0)),"")</f>
        <v>10</v>
      </c>
      <c r="BG10" s="49">
        <f>IFERROR(IF(OR(B9="Fire",B11="Fire"),BB10,IF(OR(B9="Water",B11="Water"),BC10,IF(OR(B9="Thunder",B11="Thunder"),BD10,IF(OR(B9="Ice",B11="Ice"),BE10,IF(OR(B9="Dragon",B11="Dragon"),BF10,0))))),"")</f>
        <v>0</v>
      </c>
      <c r="BH10" s="49">
        <f>IFERROR(INDEX(tbHitzones!L:L,MATCH(ROWS(tbHitzones!$1:8),tbHitzones!K:K,0)),"")</f>
        <v>0</v>
      </c>
      <c r="BI10" s="49" t="b">
        <f>IFERROR(INDEX(tbHitzones!M:M,MATCH(ROWS(tbHitzones!$1:8),tbHitzones!K:K,0)),"")</f>
        <v>1</v>
      </c>
      <c r="BK10" s="49">
        <f>IFERROR(INDEX(tbHitzones!K:K,MATCH(ROWS(tbHitzones!$1:8),tbHitzones!K:K,0)),"")</f>
        <v>8</v>
      </c>
      <c r="BL10">
        <f>IFERROR(VLOOKUP(Backdoors!A37,BackdoorsMoveset!A2:BB112,54,FALSE)+VLOOKUP(Backdoors!A38,BackdoorsMoveset!A2:BB112,54,FALSE)+VLOOKUP(Backdoors!A39,BackdoorsMoveset!A2:BB112,54,FALSE)+VLOOKUP(Backdoors!A40,BackdoorsMoveset!A2:BB112,54,FALSE)+VLOOKUP(Backdoors!A41,BackdoorsMoveset!A2:BB112,54,FALSE)+VLOOKUP(Backdoors!A42,BackdoorsMoveset!A2:BB112,54,FALSE)+VLOOKUP(Backdoors!A43,BackdoorsMoveset!A2:BB112,54,FALSE)+VLOOKUP(Backdoors!A44,BackdoorsMoveset!A2:BB112,54,FALSE)+VLOOKUP(Backdoors!A45,BackdoorsMoveset!A2:BB112,54,FALSE)+VLOOKUP(Backdoors!A46,BackdoorsMoveset!A2:BB112,54,FALSE)+VLOOKUP(Backdoors!A47,BackdoorsMoveset!A2:BB112,54,FALSE)+VLOOKUP(Backdoors!A48,BackdoorsMoveset!A2:BB112,54,FALSE)+VLOOKUP(Backdoors!A49,BackdoorsMoveset!A2:BB112,54,FALSE)+VLOOKUP(Backdoors!A50,BackdoorsMoveset!A2:BB112,54,FALSE)+VLOOKUP(Backdoors!A51,BackdoorsMoveset!A2:BB112,54,FALSE)+VLOOKUP(Backdoors!A52,BackdoorsMoveset!A2:BB112,54,FALSE)+VLOOKUP(Backdoors!A53,BackdoorsMoveset!A2:BB112,54,FALSE)+VLOOKUP(Backdoors!A54,BackdoorsMoveset!A2:BB112,54,FALSE)+VLOOKUP(Backdoors!A55,BackdoorsMoveset!A2:BB112,54,FALSE)+VLOOKUP(Backdoors!A56,BackdoorsMoveset!A2:BB112,54,FALSE)+VLOOKUP(Backdoors!A57,BackdoorsMoveset!A2:BB112,54,FALSE)+VLOOKUP(Backdoors!A58,BackdoorsMoveset!A2:BB112,54,FALSE)+VLOOKUP(Backdoors!A59,BackdoorsMoveset!A2:BB112,54,FALSE)+VLOOKUP(Backdoors!A60,BackdoorsMoveset!A2:BB112,54,FALSE)+VLOOKUP(Backdoors!A61,BackdoorsMoveset!A2:BB112,54,FALSE),0)</f>
        <v>212</v>
      </c>
      <c r="BM10">
        <f>IFERROR(VLOOKUP(Backdoors!A37,BackdoorsMoveset!A2:BC112,55,FALSE)+VLOOKUP(Backdoors!A38,BackdoorsMoveset!A2:BC112,55,FALSE)+VLOOKUP(Backdoors!A39,BackdoorsMoveset!A2:BC112,55,FALSE)+VLOOKUP(Backdoors!A40,BackdoorsMoveset!A2:BC112,55,FALSE)+VLOOKUP(Backdoors!A41,BackdoorsMoveset!A2:BC112,55,FALSE)+VLOOKUP(Backdoors!A42,BackdoorsMoveset!A2:BC112,55,FALSE)+VLOOKUP(Backdoors!A43,BackdoorsMoveset!A2:BC112,55,FALSE)+VLOOKUP(Backdoors!A44,BackdoorsMoveset!A2:BC112,55,FALSE)+VLOOKUP(Backdoors!A45,BackdoorsMoveset!A2:BC112,55,FALSE)+VLOOKUP(Backdoors!A46,BackdoorsMoveset!A2:BC112,55,FALSE)+VLOOKUP(Backdoors!A47,BackdoorsMoveset!A2:BC112,55,FALSE)+VLOOKUP(Backdoors!A48,BackdoorsMoveset!A2:BC112,55,FALSE)+VLOOKUP(Backdoors!A49,BackdoorsMoveset!A2:BC112,55,FALSE)+VLOOKUP(Backdoors!A50,BackdoorsMoveset!A2:BC112,55,FALSE)+VLOOKUP(Backdoors!A51,BackdoorsMoveset!A2:BC112,55,FALSE)+VLOOKUP(Backdoors!A52,BackdoorsMoveset!A2:BC112,55,FALSE)+VLOOKUP(Backdoors!A53,BackdoorsMoveset!A2:BC112,55,FALSE)+VLOOKUP(Backdoors!A54,BackdoorsMoveset!A2:BC112,55,FALSE)+VLOOKUP(Backdoors!A55,BackdoorsMoveset!A2:BC112,55,FALSE)+VLOOKUP(Backdoors!A56,BackdoorsMoveset!A2:BC112,55,FALSE)+VLOOKUP(Backdoors!A57,BackdoorsMoveset!A2:BC112,55,FALSE)+VLOOKUP(Backdoors!A58,BackdoorsMoveset!A2:BC112,55,FALSE)+VLOOKUP(Backdoors!A59,BackdoorsMoveset!A2:BC112,55,FALSE)+VLOOKUP(Backdoors!A60,BackdoorsMoveset!A2:BC112,55,FALSE)+VLOOKUP(Backdoors!A61,BackdoorsMoveset!A2:BC112,55,FALSE),0)</f>
        <v>0</v>
      </c>
      <c r="BN10">
        <f>IFERROR(VLOOKUP(Backdoors!A37,BackdoorsMoveset!A2:BE112,57,FALSE)+VLOOKUP(Backdoors!A38,BackdoorsMoveset!A2:BE112,57,FALSE)+VLOOKUP(Backdoors!A39,BackdoorsMoveset!A2:BE112,57,FALSE)+VLOOKUP(Backdoors!A40,BackdoorsMoveset!A2:BE112,57,FALSE)+VLOOKUP(Backdoors!A41,BackdoorsMoveset!A2:BE112,57,FALSE)+VLOOKUP(Backdoors!A42,BackdoorsMoveset!A2:BE112,57,FALSE)+VLOOKUP(Backdoors!A43,BackdoorsMoveset!A2:BE112,57,FALSE)+VLOOKUP(Backdoors!A44,BackdoorsMoveset!A2:BE112,57,FALSE)+VLOOKUP(Backdoors!A45,BackdoorsMoveset!A2:BE112,57,FALSE)+VLOOKUP(Backdoors!A46,BackdoorsMoveset!A2:BE112,57,FALSE)+VLOOKUP(Backdoors!A47,BackdoorsMoveset!A2:BE112,57,FALSE)+VLOOKUP(Backdoors!A48,BackdoorsMoveset!A2:BE112,57,FALSE)+VLOOKUP(Backdoors!A49,BackdoorsMoveset!A2:BE112,57,FALSE)+VLOOKUP(Backdoors!A50,BackdoorsMoveset!A2:BE112,57,FALSE)+VLOOKUP(Backdoors!A51,BackdoorsMoveset!A2:BE112,57,FALSE)+VLOOKUP(Backdoors!A52,BackdoorsMoveset!A2:BE112,57,FALSE)+VLOOKUP(Backdoors!A53,BackdoorsMoveset!A2:BE112,57,FALSE)+VLOOKUP(Backdoors!A54,BackdoorsMoveset!A2:BE112,57,FALSE)+VLOOKUP(Backdoors!A55,BackdoorsMoveset!A2:BE112,57,FALSE)+VLOOKUP(Backdoors!A56,BackdoorsMoveset!A2:BE112,57,FALSE)+VLOOKUP(Backdoors!A57,BackdoorsMoveset!A2:BE112,57,FALSE)+VLOOKUP(Backdoors!A58,BackdoorsMoveset!A2:BE112,57,FALSE)+VLOOKUP(Backdoors!A59,BackdoorsMoveset!A2:BE112,57,FALSE)+VLOOKUP(Backdoors!A60,BackdoorsMoveset!A2:BE112,57,FALSE)+VLOOKUP(Backdoors!A61,BackdoorsMoveset!A2:BE112,57,FALSE),0)</f>
        <v>212</v>
      </c>
      <c r="BO10" s="49">
        <f>IF(BN10=0,0,IF(OR(B9="Poison",$B11="Poison",B2="Light Bowgun",B2="Heavy Bowgun"),ROUND(Backdoors!A36*VLOOKUP(AO7,tbStatus!$A3:$F18,6,FALSE)*IF((AO16*AO25)&gt;1,1,(AO16*AO25)),0),IF(OR(B9="Blast",B11="Blast"),AR104,0)))</f>
        <v>0</v>
      </c>
      <c r="BP10">
        <f t="shared" si="0"/>
        <v>212</v>
      </c>
      <c r="BQ10" s="49" t="str">
        <f>CONCATENATE(AX10,IF(AND(BI10=TRUE,Calculator!B8=TRUE),CONCATENATE(" (Tenderized)"),""),IF(BP10=0,"",CONCATENATE(", ",BP10)))</f>
        <v>Stomach (Inflated), 212</v>
      </c>
      <c r="BR10">
        <f>VLOOKUP(Calculator!B4,SavedBuildNumbers!A1:I73,9,FALSE)</f>
        <v>0</v>
      </c>
      <c r="BS10" t="str">
        <f ca="1">CONCATENATE("Primer Damage: ",BP2)</f>
        <v>Primer Damage: 185</v>
      </c>
      <c r="BU10" s="49">
        <f>IFERROR(ROUNDDOWN((IF((ROUND((VLOOKUP(tbMoveset!A10,tbMoveset!A2:F112,6,FALSE)+(IF(VLOOKUP(tbMoveset!A10,tbMoveset!A2:F112,6,FALSE)&gt;0,K41,0)))*(1+(IF(VLOOKUP(tbMoveset!A10,tbMoveset!A2:I112,9,FALSE)="Fire",VLOOKUP(Calculator!$E24,tbSkills!$AX3:$AZ9,3,FALSE),IF(VLOOKUP(tbMoveset!A10,tbMoveset!A2:I112,9,FALSE)="Water",VLOOKUP(Calculator!$E25,tbSkills!$AX3:$AZ9,3,FALSE),IF(VLOOKUP(BackdoorsMoveset!A10,tbMoveset!A2:I112,9,FALSE)="Thunder",VLOOKUP(Calculator!$E26,tbSkills!$AX3:$AZ9,3,FALSE),IF(VLOOKUP(tbMoveset!A10,tbMoveset!A2:I112,9,FALSE)="Ice",VLOOKUP(Calculator!$E27,tbSkills!$AX3:$AZ9,3,FALSE),IF(VLOOKUP(tbMoveset!A10,tbMoveset!A2:I112,9,FALSE)="Dragon",VLOOKUP(Calculator!$E28,tbSkills!$AX3:$AZ9,3,FALSE),0)))))/100))*AC7,0)+IF(VLOOKUP(tbMoveset!A10,tbMoveset!A2:F112,6,FALSE)&gt;0,IF(VLOOKUP(tbMoveset!A10,tbMoveset!A2:I112,9,FALSE)="Fire",VLOOKUP(Calculator!$E24,tbSkills!$AX3:$AY9,2,FALSE),IF(VLOOKUP(tbMoveset!A10,tbMoveset!A2:I112,9,FALSE)="Water",VLOOKUP(Calculator!$E25,tbSkills!$AX3:$AY9,2,FALSE),IF(VLOOKUP(tbMoveset!A10,tbMoveset!A2:I112,9,FALSE)="Thunder",VLOOKUP(Calculator!$E26,tbSkills!$AX3:$AY9,2,FALSE),IF(VLOOKUP(tbMoveset!A10,tbMoveset!A2:I112,9,FALSE)="Ice",VLOOKUP(Calculator!$E27,tbSkills!$AX3:$AY9,2,FALSE),IF(VLOOKUP(tbMoveset!A10,tbMoveset!A2:I112,9,FALSE)="Dragon",VLOOKUP(Calculator!$E28,tbSkills!$AX3:$AY9,2,FALSE),0))))),0)/10)&gt;=B34,B34,(ROUND((VLOOKUP(tbMoveset!A10,tbMoveset!A2:F112,6,FALSE)+(IF(VLOOKUP(tbMoveset!A10,tbMoveset!A2:F112,6,FALSE)&gt;0,K41,0)))*(1+(IF(VLOOKUP(tbMoveset!A10,tbMoveset!A2:I112,9,FALSE)="Fire",VLOOKUP(Calculator!$E24,tbSkills!$AX3:$AZ9,3,FALSE),IF(VLOOKUP(tbMoveset!A10,tbMoveset!A2:I112,9,FALSE)="Water",VLOOKUP(Calculator!$E25,tbSkills!$AX3:$AZ9,3,FALSE),IF(VLOOKUP(BackdoorsMoveset!A10,tbMoveset!A2:I112,9,FALSE)="Thunder",VLOOKUP(Calculator!$E26,tbSkills!$AX3:$AZ9,3,FALSE),IF(VLOOKUP(tbMoveset!A10,tbMoveset!A2:I112,9,FALSE)="Ice",VLOOKUP(Calculator!$E27,tbSkills!$AX3:$AZ9,3,FALSE),IF(VLOOKUP(tbMoveset!A10,tbMoveset!A2:I112,9,FALSE)="Dragon",VLOOKUP(Calculator!$E28,tbSkills!$AX3:$AZ9,3,FALSE),0)))))/100))*AC7,0)+IF(VLOOKUP(tbMoveset!A10,tbMoveset!A2:F112,6,FALSE)&gt;0,IF(VLOOKUP(tbMoveset!A10,tbMoveset!A2:I112,9,FALSE)="Fire",VLOOKUP(Calculator!$E24,tbSkills!$AX3:$AY9,2,FALSE),IF(VLOOKUP(tbMoveset!A10,tbMoveset!A2:I112,9,FALSE)="Water",VLOOKUP(Calculator!$E25,tbSkills!$AX3:$AY9,2,FALSE),IF(VLOOKUP(tbMoveset!A10,tbMoveset!A2:I112,9,FALSE)="Thunder",VLOOKUP(Calculator!$E26,tbSkills!$AX3:$AY9,2,FALSE),IF(VLOOKUP(tbMoveset!A10,tbMoveset!A2:I112,9,FALSE)="Ice",VLOOKUP(Calculator!$E27,tbSkills!$AX3:$AY9,2,FALSE),IF(VLOOKUP(tbMoveset!A10,tbMoveset!A2:I112,9,FALSE)="Dragon",VLOOKUP(Calculator!$E28,tbSkills!$AX3:$AY9,2,FALSE),0))))),0)/10))*N6)*AC6,0)*(B30/100),0)</f>
        <v>0</v>
      </c>
    </row>
    <row r="11" spans="1:73" x14ac:dyDescent="0.25">
      <c r="A11" t="s">
        <v>549</v>
      </c>
      <c r="B11" s="5" t="str">
        <f>IF(AND(VLOOKUP(Calculator!B2,tbWeapons!A2:E271,5,FALSE)&gt;0,$B9&lt;&gt;"Fire"),"Fire",IF(AND(VLOOKUP(Calculator!B2,tbWeapons!A2:F271,6,FALSE)&gt;0,$B9&lt;&gt;"Water"),"Water",IF(AND(VLOOKUP(Calculator!B2,tbWeapons!A2:G271,7,FALSE)&gt;0,$B9&lt;&gt;"Thunder"),"Thunder",IF(AND(VLOOKUP(Calculator!B2,tbWeapons!A2:H271,8,FALSE)&gt;0,$B9&lt;&gt;"Ice"),"Ice",IF(AND(VLOOKUP(Calculator!B2,tbWeapons!A2:I271,9,FALSE)&gt;0,$B9&lt;&gt;"Dragon"),"Dragon",IF(AND(VLOOKUP(Calculator!B2,tbWeapons!A2:J271,10,FALSE)&gt;0,$B9&lt;&gt;"Poison"),"Poison",IF(AND(VLOOKUP(Calculator!B2,tbWeapons!A2:K271,11,FALSE)&gt;0,$B9&lt;&gt;"Paralysis"),"Paralysis",IF(AND(VLOOKUP(Calculator!B2,tbWeapons!A2:L271,12,FALSE)&gt;0,$B9&lt;&gt;"Sleep"),"Sleep",IF(AND(VLOOKUP(Calculator!B2,tbWeapons!A2:M271,13,FALSE)&gt;0,$B9&lt;&gt;"Blast"),"Blast","Raw")))))))))</f>
        <v>Raw</v>
      </c>
      <c r="D11" t="s">
        <v>869</v>
      </c>
      <c r="E11">
        <f>IF(E9="White",VLOOKUP(Calculator!$B2,tbWeapons!A2:AD271,30,FALSE),IF(E9="Blue",VLOOKUP(Calculator!$B2,tbWeapons!A2:AD270,29,FALSE),IF(E9="Green",VLOOKUP(Calculator!$B2,tbWeapons!A2:AD269,28,FALSE),IF(E9="Yellow",VLOOKUP(Calculator!$B2,tbWeapons!A2:AD268,27,FALSE),IF(E9="Orange",VLOOKUP(Calculator!$B2,tbWeapons!A2:AD267,26,FALSE),0)))))</f>
        <v>0</v>
      </c>
      <c r="G11" t="s">
        <v>713</v>
      </c>
      <c r="H11" s="5" t="str">
        <f>IF(H6=0,"",IF(H5&gt;0,CONCATENATE(H6,"x Lv2, "),CONCATENATE(H6,"x Lv2")))</f>
        <v/>
      </c>
      <c r="J11" t="s">
        <v>698</v>
      </c>
      <c r="K11">
        <f>IF(AND(Calculator!B34="Affinity Increase",B21&gt;=10),5,0)+IF(AND(Calculator!B35="Affinity Increase",B21&gt;=10),5,0)+IF(AND(Calculator!B36="Affinity Increase",B21&gt;=10),5,0)+IF(AND(Calculator!B37="Affinity Increase",B21&gt;=10),5,0)+IF(AND(Calculator!B38="Affinity Increase",B21&gt;=10),5,0)+IF(AND(Calculator!B39="Affinity Increase",OR(B21=10,B21=11)),5,0)+IF(AND(Calculator!B40="Affinity Increase",B21=10),5,0)</f>
        <v>0</v>
      </c>
      <c r="M11" t="s">
        <v>1560</v>
      </c>
      <c r="N11">
        <f>IF(Calculator!B4="Velkhana",IF(Calculator!B6="Level 2",0.4,IF(Calculator!B6="Level 1",0.8,1.2)),1)</f>
        <v>1</v>
      </c>
      <c r="P11" t="s">
        <v>719</v>
      </c>
      <c r="Q11">
        <f>VLOOKUP(Calculator!E18,tbSkills!CI3:CJ6,2,FALSE)</f>
        <v>0</v>
      </c>
      <c r="Y11" t="s">
        <v>1563</v>
      </c>
      <c r="Z11">
        <f>1+(VLOOKUP(Calculator!E10,tbSkills!BE3:BF5,2,FALSE)/100)</f>
        <v>1</v>
      </c>
      <c r="AH11" t="s">
        <v>718</v>
      </c>
      <c r="AI11">
        <f>VLOOKUP(Calculator!E14,tbSkills!BW3:BX8,2,FALSE)</f>
        <v>0</v>
      </c>
      <c r="AN11" t="s">
        <v>131</v>
      </c>
      <c r="AO11">
        <f>VLOOKUP(Calculator!B4,tbMonsters!A2:G74,7,FALSE)</f>
        <v>0.9</v>
      </c>
      <c r="AQ11" t="s">
        <v>240</v>
      </c>
      <c r="AR11">
        <f>IF($AR10&gt;=$AU51,50,IF($AR10&gt;=$AU50,49,IF($AR10&gt;=$AU49,48,IF($AR10&gt;=$AU48,47,IF($AR10&gt;=$AU47,46,IF($AR10&gt;=$AU46,45,IF($AR10&gt;=$AU45,44,IF($AR10&gt;=$AU44,43,IF($AR10&gt;=$AU43,42,IF($AR10&gt;=$AU42,41,IF($AR10&gt;=$AU41,40,IF($AR10&gt;=$AU40,39,IF($AR10&gt;=$AU39,38,IF($AR10&gt;=$AU38,37,IF($AR10&gt;=$AU37,36,IF($AR10&gt;=$AU36,35,IF($AR10&gt;=$AU35,34,IF($AR10&gt;=$AU34,33,IF($AR10&gt;=$AU33,32,IF($AR10&gt;=$AU32,31,IF($AR10&gt;=$AU31,30,IF($AR10&gt;=$AU30,29,IF($AR10&gt;=$AU29,28,IF($AR10&gt;=$AU28,27,IF($AR10&gt;=$AU27,26,IF($AR10&gt;=$AU26,25,IF($AR10&gt;=$AU25,24,IF($AR10&gt;=$AU24,23,IF($AR10&gt;=$AU23,22,IF($AR10&gt;=$AU22,21,IF($AR10&gt;=$AU21,20,IF($AR10&gt;=$AU20,19,IF($AR10&gt;=$AU19,18,IF($AR10&gt;=$AU18,17,IF($AR10&gt;=$AU17,16,IF($AR10&gt;=$AU16,15,IF($AR10&gt;=$AU15,14,IF($AR10&gt;=$AU14,13,IF($AR10&gt;=$AU13,12,IF($AR10&gt;=$AU12,11,IF($AR10&gt;=$AU11,10,IF($AR10&gt;=$AU10,9,IF($AR10&gt;=$AU9,8,IF($AR10&gt;=$AU8,7,IF($AR10&gt;=$AU7,6,IF($AR10&gt;=$AU6,5,IF($AR10&gt;=$AU5,4,IF($AR10&gt;=$AU4,3,IF($AR10&gt;=$AU3,2,IF($AR10&gt;=$AU2,1,0))))))))))))))))))))))))))))))))))))))))))))))))))</f>
        <v>0</v>
      </c>
      <c r="AT11">
        <v>10</v>
      </c>
      <c r="AU11">
        <f>$AU10+IF(AO12+((AO10*9)*AO11)&gt;AO13,AO13,AO12+((AO10*9)*AO11))</f>
        <v>1170</v>
      </c>
      <c r="AW11" s="49" t="str">
        <f>IFERROR(INDEX(tbHitzones!K:K,MATCH(ROWS(tbHitzones!$1:9),tbHitzones!K:K,0)),"")</f>
        <v/>
      </c>
      <c r="AX11" s="49" t="str">
        <f>IFERROR(INDEX(tbHitzones!B:B,MATCH(ROWS(tbHitzones!$1:9),tbHitzones!K:K,0)),"")</f>
        <v/>
      </c>
      <c r="AY11" s="49" t="str">
        <f>IFERROR(INDEX(tbHitzones!C:C,MATCH(ROWS(tbHitzones!$1:9),tbHitzones!K:K,0)),"")</f>
        <v/>
      </c>
      <c r="AZ11" s="49" t="str">
        <f>IFERROR(INDEX(tbHitzones!D:D,MATCH(ROWS(tbHitzones!$1:9),tbHitzones!K:K,0)),"")</f>
        <v/>
      </c>
      <c r="BA11" s="49" t="str">
        <f>IFERROR(INDEX(tbHitzones!E:E,MATCH(ROWS(tbHitzones!$1:9),tbHitzones!K:K,0)),"")</f>
        <v/>
      </c>
      <c r="BB11" s="49" t="str">
        <f>IFERROR(INDEX(tbHitzones!F:F,MATCH(ROWS(tbHitzones!$1:9),tbHitzones!K:K,0)),"")</f>
        <v/>
      </c>
      <c r="BC11" s="49" t="str">
        <f>IFERROR(INDEX(tbHitzones!G:G,MATCH(ROWS(tbHitzones!$1:9),tbHitzones!K:K,0)),"")</f>
        <v/>
      </c>
      <c r="BD11" s="49" t="str">
        <f>IFERROR(INDEX(tbHitzones!H:H,MATCH(ROWS(tbHitzones!$1:9),tbHitzones!K:K,0)),"")</f>
        <v/>
      </c>
      <c r="BE11" s="49" t="str">
        <f>IFERROR(INDEX(tbHitzones!I:I,MATCH(ROWS(tbHitzones!$1:9),tbHitzones!K:K,0)),"")</f>
        <v/>
      </c>
      <c r="BF11" s="49" t="str">
        <f>IFERROR(INDEX(tbHitzones!J:J,MATCH(ROWS(tbHitzones!$1:9),tbHitzones!K:K,0)),"")</f>
        <v/>
      </c>
      <c r="BG11" s="49">
        <f>IFERROR(IF(OR(B9="Fire",B11="Fire"),BB11,IF(OR(B9="Water",B11="Water"),BC11,IF(OR(B9="Thunder",B11="Thunder"),BD11,IF(OR(B9="Ice",B11="Ice"),BE11,IF(OR(B9="Dragon",B11="Dragon"),BF11,0))))),"")</f>
        <v>0</v>
      </c>
      <c r="BH11" s="49" t="str">
        <f>IFERROR(INDEX(tbHitzones!L:L,MATCH(ROWS(tbHitzones!$1:9),tbHitzones!K:K,0)),"")</f>
        <v/>
      </c>
      <c r="BI11" s="49" t="str">
        <f>IFERROR(INDEX(tbHitzones!M:M,MATCH(ROWS(tbHitzones!$1:9),tbHitzones!K:K,0)),"")</f>
        <v/>
      </c>
      <c r="BK11" s="49" t="str">
        <f>IFERROR(INDEX(tbHitzones!K:K,MATCH(ROWS(tbHitzones!$1:9),tbHitzones!K:K,0)),"")</f>
        <v/>
      </c>
      <c r="BL11">
        <f>IFERROR(VLOOKUP(Backdoors!A37,BackdoorsMoveset!A2:BI112,61,FALSE)+VLOOKUP(Backdoors!A38,BackdoorsMoveset!A2:BI112,61,FALSE)+VLOOKUP(Backdoors!A39,BackdoorsMoveset!A2:BI112,61,FALSE)+VLOOKUP(Backdoors!A40,BackdoorsMoveset!A2:BI112,61,FALSE)+VLOOKUP(Backdoors!A41,BackdoorsMoveset!A2:BI112,61,FALSE)+VLOOKUP(Backdoors!A42,BackdoorsMoveset!A2:BI112,61,FALSE)+VLOOKUP(Backdoors!A43,BackdoorsMoveset!A2:BI112,61,FALSE)+VLOOKUP(Backdoors!A44,BackdoorsMoveset!A2:BI112,61,FALSE)+VLOOKUP(Backdoors!A45,BackdoorsMoveset!A2:BI112,61,FALSE)+VLOOKUP(Backdoors!A46,BackdoorsMoveset!A2:BI112,61,FALSE)+VLOOKUP(Backdoors!A47,BackdoorsMoveset!A2:BI112,61,FALSE)+VLOOKUP(Backdoors!A48,BackdoorsMoveset!A2:BI112,61,FALSE)+VLOOKUP(Backdoors!A49,BackdoorsMoveset!A2:BI112,61,FALSE)+VLOOKUP(Backdoors!A50,BackdoorsMoveset!A2:BI112,61,FALSE)+VLOOKUP(Backdoors!A51,BackdoorsMoveset!A2:BI112,61,FALSE)+VLOOKUP(Backdoors!A52,BackdoorsMoveset!A2:BI112,61,FALSE)+VLOOKUP(Backdoors!A53,BackdoorsMoveset!A2:BI112,61,FALSE)+VLOOKUP(Backdoors!A54,BackdoorsMoveset!A2:BI112,61,FALSE)+VLOOKUP(Backdoors!A55,BackdoorsMoveset!A2:BI112,61,FALSE)+VLOOKUP(Backdoors!A56,BackdoorsMoveset!A2:BI112,61,FALSE)+VLOOKUP(Backdoors!A57,BackdoorsMoveset!A2:BI112,61,FALSE)+VLOOKUP(Backdoors!A58,BackdoorsMoveset!A2:BI112,61,FALSE)+VLOOKUP(Backdoors!A59,BackdoorsMoveset!A2:BI112,61,FALSE)+VLOOKUP(Backdoors!A60,BackdoorsMoveset!A2:BI112,61,FALSE)+VLOOKUP(Backdoors!A61,BackdoorsMoveset!A2:BI112,61,FALSE),0)</f>
        <v>0</v>
      </c>
      <c r="BM11">
        <f>IFERROR(VLOOKUP(Backdoors!A37,BackdoorsMoveset!A2:BJ112,62,FALSE)+VLOOKUP(Backdoors!A38,BackdoorsMoveset!A2:BJ112,62,FALSE)+VLOOKUP(Backdoors!A39,BackdoorsMoveset!A2:BJ112,62,FALSE)+VLOOKUP(Backdoors!A40,BackdoorsMoveset!A2:BJ112,62,FALSE)+VLOOKUP(Backdoors!A41,BackdoorsMoveset!A2:BJ112,62,FALSE)+VLOOKUP(Backdoors!A42,BackdoorsMoveset!A2:BJ112,62,FALSE)+VLOOKUP(Backdoors!A43,BackdoorsMoveset!A2:BJ112,62,FALSE)+VLOOKUP(Backdoors!A44,BackdoorsMoveset!A2:BJ112,62,FALSE)+VLOOKUP(Backdoors!A45,BackdoorsMoveset!A2:BJ112,62,FALSE)+VLOOKUP(Backdoors!A46,BackdoorsMoveset!A2:BJ112,62,FALSE)+VLOOKUP(Backdoors!A47,BackdoorsMoveset!A2:BJ112,62,FALSE)+VLOOKUP(Backdoors!A48,BackdoorsMoveset!A2:BJ112,62,FALSE)+VLOOKUP(Backdoors!A49,BackdoorsMoveset!A2:BJ112,62,FALSE)+VLOOKUP(Backdoors!A50,BackdoorsMoveset!A2:BJ112,62,FALSE)+VLOOKUP(Backdoors!A51,BackdoorsMoveset!A2:BJ112,62,FALSE)+VLOOKUP(Backdoors!A52,BackdoorsMoveset!A2:BJ112,62,FALSE)+VLOOKUP(Backdoors!A53,BackdoorsMoveset!A2:BJ112,62,FALSE)+VLOOKUP(Backdoors!A54,BackdoorsMoveset!A2:BJ112,62,FALSE)+VLOOKUP(Backdoors!A55,BackdoorsMoveset!A2:BJ112,62,FALSE)+VLOOKUP(Backdoors!A56,BackdoorsMoveset!A2:BJ112,62,FALSE)+VLOOKUP(Backdoors!A57,BackdoorsMoveset!A2:BJ112,62,FALSE)+VLOOKUP(Backdoors!A58,BackdoorsMoveset!A2:BJ112,62,FALSE)+VLOOKUP(Backdoors!A59,BackdoorsMoveset!A2:BJ112,62,FALSE)+VLOOKUP(Backdoors!A60,BackdoorsMoveset!A2:BJ112,62,FALSE)+VLOOKUP(Backdoors!A61,BackdoorsMoveset!A2:BJ112,62,FALSE),0)</f>
        <v>0</v>
      </c>
      <c r="BN11">
        <f>IFERROR(VLOOKUP(Backdoors!A37,BackdoorsMoveset!A2:BL112,64,FALSE)+VLOOKUP(Backdoors!A38,BackdoorsMoveset!A2:BL112,64,FALSE)+VLOOKUP(Backdoors!A39,BackdoorsMoveset!A2:BL112,64,FALSE)+VLOOKUP(Backdoors!A40,BackdoorsMoveset!A2:BL112,64,FALSE)+VLOOKUP(Backdoors!A41,BackdoorsMoveset!A2:BL112,64,FALSE)+VLOOKUP(Backdoors!A42,BackdoorsMoveset!A2:BL112,64,FALSE)+VLOOKUP(Backdoors!A43,BackdoorsMoveset!A2:BL112,64,FALSE)+VLOOKUP(Backdoors!A44,BackdoorsMoveset!A2:BL112,64,FALSE)+VLOOKUP(Backdoors!A45,BackdoorsMoveset!A2:BL112,64,FALSE)+VLOOKUP(Backdoors!A46,BackdoorsMoveset!A2:BL112,64,FALSE)+VLOOKUP(Backdoors!A47,BackdoorsMoveset!A2:BL112,64,FALSE)+VLOOKUP(Backdoors!A48,BackdoorsMoveset!A2:BL112,64,FALSE)+VLOOKUP(Backdoors!A49,BackdoorsMoveset!A2:BL112,64,FALSE)+VLOOKUP(Backdoors!A50,BackdoorsMoveset!A2:BL112,64,FALSE)+VLOOKUP(Backdoors!A51,BackdoorsMoveset!A2:BL112,64,FALSE)+VLOOKUP(Backdoors!A52,BackdoorsMoveset!A2:BL112,64,FALSE)+VLOOKUP(Backdoors!A53,BackdoorsMoveset!A2:BL112,64,FALSE)+VLOOKUP(Backdoors!A54,BackdoorsMoveset!A2:BL112,64,FALSE)+VLOOKUP(Backdoors!A55,BackdoorsMoveset!A2:BL112,64,FALSE)+VLOOKUP(Backdoors!A56,BackdoorsMoveset!A2:BL112,64,FALSE)+VLOOKUP(Backdoors!A57,BackdoorsMoveset!A2:BL112,64,FALSE)+VLOOKUP(Backdoors!A58,BackdoorsMoveset!A2:BL112,64,FALSE)+VLOOKUP(Backdoors!A59,BackdoorsMoveset!A2:BL112,64,FALSE)+VLOOKUP(Backdoors!A60,BackdoorsMoveset!A2:BL112,64,FALSE)+VLOOKUP(Backdoors!A61,BackdoorsMoveset!A2:BL112,64,FALSE),0)</f>
        <v>0</v>
      </c>
      <c r="BO11" s="49">
        <f>IF(BN11=0,0,IF(OR(B9="Poison",$B11="Poison",B2="Light Bowgun",B2="Heavy Bowgun"),ROUND(Backdoors!A36*VLOOKUP(AO7,tbStatus!$A3:$F18,6,FALSE)*IF((AO16*AO26)&gt;1,1,(AO16*AO26)),0),IF(OR(B9="Blast",B11="Blast"),AR117,0)))</f>
        <v>0</v>
      </c>
      <c r="BP11">
        <f t="shared" si="0"/>
        <v>0</v>
      </c>
      <c r="BQ11" s="49" t="str">
        <f>CONCATENATE(AX11,IF(AND(BI11=TRUE,Calculator!B8=TRUE),CONCATENATE(" (Tenderized)"),""),IF(BP11=0,"",CONCATENATE(", ",BP11)))</f>
        <v/>
      </c>
      <c r="BR11">
        <f>VLOOKUP(Calculator!B4,SavedBuildNumbers!A1:J73,10,FALSE)</f>
        <v>0</v>
      </c>
      <c r="BS11" t="b">
        <f>VLOOKUP(Calculator!B4,SavedBuildNumbers!A1:AY73,51,FALSE)</f>
        <v>0</v>
      </c>
      <c r="BU11" s="49">
        <f>IFERROR(ROUNDDOWN((IF((ROUND((VLOOKUP(tbMoveset!A11,tbMoveset!A2:F112,6,FALSE)+(IF(VLOOKUP(tbMoveset!A11,tbMoveset!A2:F112,6,FALSE)&gt;0,K41,0)))*(1+(IF(VLOOKUP(tbMoveset!A11,tbMoveset!A2:I112,9,FALSE)="Fire",VLOOKUP(Calculator!$E24,tbSkills!$AX3:$AZ9,3,FALSE),IF(VLOOKUP(tbMoveset!A11,tbMoveset!A2:I112,9,FALSE)="Water",VLOOKUP(Calculator!$E25,tbSkills!$AX3:$AZ9,3,FALSE),IF(VLOOKUP(BackdoorsMoveset!A11,tbMoveset!A2:I112,9,FALSE)="Thunder",VLOOKUP(Calculator!$E26,tbSkills!$AX3:$AZ9,3,FALSE),IF(VLOOKUP(tbMoveset!A11,tbMoveset!A2:I112,9,FALSE)="Ice",VLOOKUP(Calculator!$E27,tbSkills!$AX3:$AZ9,3,FALSE),IF(VLOOKUP(tbMoveset!A11,tbMoveset!A2:I112,9,FALSE)="Dragon",VLOOKUP(Calculator!$E28,tbSkills!$AX3:$AZ9,3,FALSE),0)))))/100))*AC7,0)+IF(VLOOKUP(tbMoveset!A11,tbMoveset!A2:F112,6,FALSE)&gt;0,IF(VLOOKUP(tbMoveset!A11,tbMoveset!A2:I112,9,FALSE)="Fire",VLOOKUP(Calculator!$E24,tbSkills!$AX3:$AY9,2,FALSE),IF(VLOOKUP(tbMoveset!A11,tbMoveset!A2:I112,9,FALSE)="Water",VLOOKUP(Calculator!$E25,tbSkills!$AX3:$AY9,2,FALSE),IF(VLOOKUP(tbMoveset!A11,tbMoveset!A2:I112,9,FALSE)="Thunder",VLOOKUP(Calculator!$E26,tbSkills!$AX3:$AY9,2,FALSE),IF(VLOOKUP(tbMoveset!A11,tbMoveset!A2:I112,9,FALSE)="Ice",VLOOKUP(Calculator!$E27,tbSkills!$AX3:$AY9,2,FALSE),IF(VLOOKUP(tbMoveset!A11,tbMoveset!A2:I112,9,FALSE)="Dragon",VLOOKUP(Calculator!$E28,tbSkills!$AX3:$AY9,2,FALSE),0))))),0)/10)&gt;=B34,B34,(ROUND((VLOOKUP(tbMoveset!A11,tbMoveset!A2:F112,6,FALSE)+(IF(VLOOKUP(tbMoveset!A11,tbMoveset!A2:F112,6,FALSE)&gt;0,K41,0)))*(1+(IF(VLOOKUP(tbMoveset!A11,tbMoveset!A2:I112,9,FALSE)="Fire",VLOOKUP(Calculator!$E24,tbSkills!$AX3:$AZ9,3,FALSE),IF(VLOOKUP(tbMoveset!A11,tbMoveset!A2:I112,9,FALSE)="Water",VLOOKUP(Calculator!$E25,tbSkills!$AX3:$AZ9,3,FALSE),IF(VLOOKUP(BackdoorsMoveset!A11,tbMoveset!A2:I112,9,FALSE)="Thunder",VLOOKUP(Calculator!$E26,tbSkills!$AX3:$AZ9,3,FALSE),IF(VLOOKUP(tbMoveset!A11,tbMoveset!A2:I112,9,FALSE)="Ice",VLOOKUP(Calculator!$E27,tbSkills!$AX3:$AZ9,3,FALSE),IF(VLOOKUP(tbMoveset!A11,tbMoveset!A2:I112,9,FALSE)="Dragon",VLOOKUP(Calculator!$E28,tbSkills!$AX3:$AZ9,3,FALSE),0)))))/100))*AC7,0)+IF(VLOOKUP(tbMoveset!A11,tbMoveset!A2:F112,6,FALSE)&gt;0,IF(VLOOKUP(tbMoveset!A11,tbMoveset!A2:I112,9,FALSE)="Fire",VLOOKUP(Calculator!$E24,tbSkills!$AX3:$AY9,2,FALSE),IF(VLOOKUP(tbMoveset!A11,tbMoveset!A2:I112,9,FALSE)="Water",VLOOKUP(Calculator!$E25,tbSkills!$AX3:$AY9,2,FALSE),IF(VLOOKUP(tbMoveset!A11,tbMoveset!A2:I112,9,FALSE)="Thunder",VLOOKUP(Calculator!$E26,tbSkills!$AX3:$AY9,2,FALSE),IF(VLOOKUP(tbMoveset!A11,tbMoveset!A2:I112,9,FALSE)="Ice",VLOOKUP(Calculator!$E27,tbSkills!$AX3:$AY9,2,FALSE),IF(VLOOKUP(tbMoveset!A11,tbMoveset!A2:I112,9,FALSE)="Dragon",VLOOKUP(Calculator!$E28,tbSkills!$AX3:$AY9,2,FALSE),0))))),0)/10))*N6)*AC6,0)*(B30/100),0)</f>
        <v>0</v>
      </c>
    </row>
    <row r="12" spans="1:73" x14ac:dyDescent="0.25">
      <c r="A12" t="s">
        <v>549</v>
      </c>
      <c r="B12" s="5" t="str">
        <f>IF(OR(B11="Fire",B11="Water",B11="Thunder",B11="Ice",B11="Dragon",),"Element",IF(OR(B11="Poison",B11="Paralysis",B11="Sleep",B11="Blast"),"Status","Raw"))</f>
        <v>Raw</v>
      </c>
      <c r="D12" t="s">
        <v>865</v>
      </c>
      <c r="E12">
        <f>(10-E7)-E10</f>
        <v>4</v>
      </c>
      <c r="G12" t="s">
        <v>714</v>
      </c>
      <c r="H12" s="5" t="str">
        <f>IF(H5=0,"",CONCATENATE(H5,"x Lv1"))</f>
        <v/>
      </c>
      <c r="J12" t="s">
        <v>701</v>
      </c>
      <c r="K12">
        <f>IF(K8=TRUE,IF(AND(K11+IF(K11&gt;=5,5,0)&gt;=20,B21=12),15,IF(AND(K11+IF(K11&gt;=5,5,0)&gt;=25,B21=11),20,IF(AND(K11+IF(K11&gt;=5,5,0)&gt;=25,B21=10),20,K11)))+IF(K11&gt;=5,5,0),0)</f>
        <v>0</v>
      </c>
      <c r="P12" t="s">
        <v>545</v>
      </c>
      <c r="Q12">
        <f>IF(Calculator!B17=TRUE,6,0)</f>
        <v>0</v>
      </c>
      <c r="Y12" t="s">
        <v>798</v>
      </c>
      <c r="Z12">
        <f>1+(VLOOKUP(Calculator!E45,tbSkills!BK3:BL6,2,FALSE)/100)</f>
        <v>1</v>
      </c>
      <c r="AH12" t="s">
        <v>232</v>
      </c>
      <c r="AI12">
        <f>ROUND(AI2+AI3+AI4+AI5+AI6+AI7+AI8+AI9+AI10+AI11,2)</f>
        <v>0</v>
      </c>
      <c r="AN12" t="s">
        <v>252</v>
      </c>
      <c r="AO12">
        <f>ROUND(VLOOKUP(AO8,tbStatus!A22:B33,2,FALSE)*AO11,0)</f>
        <v>36</v>
      </c>
      <c r="AQ12" t="s">
        <v>241</v>
      </c>
      <c r="AR12">
        <f>AR11*VLOOKUP(AO8,tbStatus!A22:E33,5,FALSE)</f>
        <v>0</v>
      </c>
      <c r="AT12">
        <v>11</v>
      </c>
      <c r="AU12">
        <f>$AU11+IF(AO12+((AO10*10)*AO11)&gt;AO13,AO13,AO12+((AO10*10)*AO11))</f>
        <v>1386</v>
      </c>
      <c r="AW12" s="49" t="str">
        <f>IFERROR(INDEX(tbHitzones!K:K,MATCH(ROWS(tbHitzones!$1:10),tbHitzones!K:K,0)),"")</f>
        <v/>
      </c>
      <c r="AX12" s="49" t="str">
        <f>IFERROR(INDEX(tbHitzones!B:B,MATCH(ROWS(tbHitzones!$1:10),tbHitzones!K:K,0)),"")</f>
        <v/>
      </c>
      <c r="AY12" s="49" t="str">
        <f>IFERROR(INDEX(tbHitzones!C:C,MATCH(ROWS(tbHitzones!$1:10),tbHitzones!K:K,0)),"")</f>
        <v/>
      </c>
      <c r="AZ12" s="49" t="str">
        <f>IFERROR(INDEX(tbHitzones!D:D,MATCH(ROWS(tbHitzones!$1:10),tbHitzones!K:K,0)),"")</f>
        <v/>
      </c>
      <c r="BA12" s="49" t="str">
        <f>IFERROR(INDEX(tbHitzones!E:E,MATCH(ROWS(tbHitzones!$1:10),tbHitzones!K:K,0)),"")</f>
        <v/>
      </c>
      <c r="BB12" s="49" t="str">
        <f>IFERROR(INDEX(tbHitzones!F:F,MATCH(ROWS(tbHitzones!$1:10),tbHitzones!K:K,0)),"")</f>
        <v/>
      </c>
      <c r="BC12" s="49" t="str">
        <f>IFERROR(INDEX(tbHitzones!G:G,MATCH(ROWS(tbHitzones!$1:10),tbHitzones!K:K,0)),"")</f>
        <v/>
      </c>
      <c r="BD12" s="49" t="str">
        <f>IFERROR(INDEX(tbHitzones!H:H,MATCH(ROWS(tbHitzones!$1:10),tbHitzones!K:K,0)),"")</f>
        <v/>
      </c>
      <c r="BE12" s="49" t="str">
        <f>IFERROR(INDEX(tbHitzones!I:I,MATCH(ROWS(tbHitzones!$1:10),tbHitzones!K:K,0)),"")</f>
        <v/>
      </c>
      <c r="BF12" s="49" t="str">
        <f>IFERROR(INDEX(tbHitzones!J:J,MATCH(ROWS(tbHitzones!$1:10),tbHitzones!K:K,0)),"")</f>
        <v/>
      </c>
      <c r="BG12" s="49">
        <f>IFERROR(IF(OR(B9="Fire",B11="Fire"),BB12,IF(OR(B9="Water",B11="Water"),BC12,IF(OR(B9="Thunder",B11="Thunder"),BD12,IF(OR(B9="Ice",B11="Ice"),BE12,IF(OR(B9="Dragon",B11="Dragon"),BF12,0))))),"")</f>
        <v>0</v>
      </c>
      <c r="BH12" s="49" t="str">
        <f>IFERROR(INDEX(tbHitzones!L:L,MATCH(ROWS(tbHitzones!$1:10),tbHitzones!K:K,0)),"")</f>
        <v/>
      </c>
      <c r="BI12" s="49" t="str">
        <f>IFERROR(INDEX(tbHitzones!M:M,MATCH(ROWS(tbHitzones!$1:10),tbHitzones!K:K,0)),"")</f>
        <v/>
      </c>
      <c r="BK12" s="49" t="str">
        <f>IFERROR(INDEX(tbHitzones!K:K,MATCH(ROWS(tbHitzones!$1:10),tbHitzones!K:K,0)),"")</f>
        <v/>
      </c>
      <c r="BL12">
        <f>IFERROR(VLOOKUP(Backdoors!A37,BackdoorsMoveset!A2:BP112,68,FALSE)+VLOOKUP(Backdoors!A38,BackdoorsMoveset!A2:BP112,68,FALSE)+VLOOKUP(Backdoors!A39,BackdoorsMoveset!A2:BP112,68,FALSE)+VLOOKUP(Backdoors!A40,BackdoorsMoveset!A2:BP112,68,FALSE)+VLOOKUP(Backdoors!A41,BackdoorsMoveset!A2:BP112,68,FALSE)+VLOOKUP(Backdoors!A42,BackdoorsMoveset!A2:BP112,68,FALSE)+VLOOKUP(Backdoors!A43,BackdoorsMoveset!A2:BP112,68,FALSE)+VLOOKUP(Backdoors!A44,BackdoorsMoveset!A2:BP112,68,FALSE)+VLOOKUP(Backdoors!A45,BackdoorsMoveset!A2:BP112,68,FALSE)+VLOOKUP(Backdoors!A46,BackdoorsMoveset!A2:BP112,68,FALSE)+VLOOKUP(Backdoors!A47,BackdoorsMoveset!A2:BP112,68,FALSE)+VLOOKUP(Backdoors!A48,BackdoorsMoveset!A2:BP112,68,FALSE)+VLOOKUP(Backdoors!A49,BackdoorsMoveset!A2:BP112,68,FALSE)+VLOOKUP(Backdoors!A50,BackdoorsMoveset!A2:BP112,68,FALSE)+VLOOKUP(Backdoors!A51,BackdoorsMoveset!A2:BP112,68,FALSE)+VLOOKUP(Backdoors!A52,BackdoorsMoveset!A2:BP112,68,FALSE)+VLOOKUP(Backdoors!A53,BackdoorsMoveset!A2:BP112,68,FALSE)+VLOOKUP(Backdoors!A54,BackdoorsMoveset!A2:BP112,68,FALSE)+VLOOKUP(Backdoors!A55,BackdoorsMoveset!A2:BP112,68,FALSE)+VLOOKUP(Backdoors!A56,BackdoorsMoveset!A2:BP112,68,FALSE)+VLOOKUP(Backdoors!A57,BackdoorsMoveset!A2:BP112,68,FALSE)+VLOOKUP(Backdoors!A58,BackdoorsMoveset!A2:BP112,68,FALSE)+VLOOKUP(Backdoors!A59,BackdoorsMoveset!A2:BP112,68,FALSE)+VLOOKUP(Backdoors!A60,BackdoorsMoveset!A2:BP112,68,FALSE)+VLOOKUP(Backdoors!A61,BackdoorsMoveset!A2:BP112,68,FALSE),0)</f>
        <v>0</v>
      </c>
      <c r="BM12">
        <f>IFERROR(VLOOKUP(Backdoors!A37,BackdoorsMoveset!A2:BQ112,69,FALSE)+VLOOKUP(Backdoors!A38,BackdoorsMoveset!A2:BQ112,69,FALSE)+VLOOKUP(Backdoors!A39,BackdoorsMoveset!A2:BQ112,69,FALSE)+VLOOKUP(Backdoors!A40,BackdoorsMoveset!A2:BQ112,69,FALSE)+VLOOKUP(Backdoors!A41,BackdoorsMoveset!A2:BQ112,69,FALSE)+VLOOKUP(Backdoors!A42,BackdoorsMoveset!A2:BQ112,69,FALSE)+VLOOKUP(Backdoors!A43,BackdoorsMoveset!A2:BQ112,69,FALSE)+VLOOKUP(Backdoors!A44,BackdoorsMoveset!A2:BQ112,69,FALSE)+VLOOKUP(Backdoors!A45,BackdoorsMoveset!A2:BQ112,69,FALSE)+VLOOKUP(Backdoors!A46,BackdoorsMoveset!A2:BQ112,69,FALSE)+VLOOKUP(Backdoors!A47,BackdoorsMoveset!A2:BQ112,69,FALSE)+VLOOKUP(Backdoors!A48,BackdoorsMoveset!A2:BQ112,69,FALSE)+VLOOKUP(Backdoors!A49,BackdoorsMoveset!A2:BQ112,69,FALSE)+VLOOKUP(Backdoors!A50,BackdoorsMoveset!A2:BQ112,69,FALSE)+VLOOKUP(Backdoors!A51,BackdoorsMoveset!A2:BQ112,69,FALSE)+VLOOKUP(Backdoors!A52,BackdoorsMoveset!A2:BQ112,69,FALSE)+VLOOKUP(Backdoors!A53,BackdoorsMoveset!A2:BQ112,69,FALSE)+VLOOKUP(Backdoors!A54,BackdoorsMoveset!A2:BQ112,69,FALSE)+VLOOKUP(Backdoors!A55,BackdoorsMoveset!A2:BQ112,69,FALSE)+VLOOKUP(Backdoors!A56,BackdoorsMoveset!A2:BQ112,69,FALSE)+VLOOKUP(Backdoors!A57,BackdoorsMoveset!A2:BQ112,69,FALSE)+VLOOKUP(Backdoors!A58,BackdoorsMoveset!A2:BQ112,69,FALSE)+VLOOKUP(Backdoors!A59,BackdoorsMoveset!A2:BQ112,69,FALSE)+VLOOKUP(Backdoors!A60,BackdoorsMoveset!A2:BQ112,69,FALSE)+VLOOKUP(Backdoors!A61,BackdoorsMoveset!A2:BQ112,69,FALSE),0)</f>
        <v>0</v>
      </c>
      <c r="BN12">
        <f>IFERROR(VLOOKUP(Backdoors!A37,BackdoorsMoveset!A2:BS112,71,FALSE)+VLOOKUP(Backdoors!A38,BackdoorsMoveset!A2:BS112,71,FALSE)+VLOOKUP(Backdoors!A39,BackdoorsMoveset!A2:BS112,71,FALSE)+VLOOKUP(Backdoors!A40,BackdoorsMoveset!A2:BS112,71,FALSE)+VLOOKUP(Backdoors!A41,BackdoorsMoveset!A2:BS112,71,FALSE)+VLOOKUP(Backdoors!A42,BackdoorsMoveset!A2:BS112,71,FALSE)+VLOOKUP(Backdoors!A43,BackdoorsMoveset!A2:BS112,71,FALSE)+VLOOKUP(Backdoors!A44,BackdoorsMoveset!A2:BS112,71,FALSE)+VLOOKUP(Backdoors!A45,BackdoorsMoveset!A2:BS112,71,FALSE)+VLOOKUP(Backdoors!A46,BackdoorsMoveset!A2:BS112,71,FALSE)+VLOOKUP(Backdoors!A47,BackdoorsMoveset!A2:BS112,71,FALSE)+VLOOKUP(Backdoors!A48,BackdoorsMoveset!A2:BS112,71,FALSE)+VLOOKUP(Backdoors!A49,BackdoorsMoveset!A2:BS112,71,FALSE)+VLOOKUP(Backdoors!A50,BackdoorsMoveset!A2:BS112,71,FALSE)+VLOOKUP(Backdoors!A51,BackdoorsMoveset!A2:BS112,71,FALSE)+VLOOKUP(Backdoors!A52,BackdoorsMoveset!A2:BS112,71,FALSE)+VLOOKUP(Backdoors!A53,BackdoorsMoveset!A2:BS112,71,FALSE)+VLOOKUP(Backdoors!A54,BackdoorsMoveset!A2:BS112,71,FALSE)+VLOOKUP(Backdoors!A55,BackdoorsMoveset!A2:BS112,71,FALSE)+VLOOKUP(Backdoors!A56,BackdoorsMoveset!A2:BS112,71,FALSE)+VLOOKUP(Backdoors!A57,BackdoorsMoveset!A2:BS112,71,FALSE)+VLOOKUP(Backdoors!A58,BackdoorsMoveset!A2:BS112,71,FALSE)+VLOOKUP(Backdoors!A59,BackdoorsMoveset!A2:BS112,71,FALSE)+VLOOKUP(Backdoors!A60,BackdoorsMoveset!A2:BS112,71,FALSE)+VLOOKUP(Backdoors!A61,BackdoorsMoveset!A2:BS112,71,FALSE),0)</f>
        <v>0</v>
      </c>
      <c r="BO12" s="49">
        <f>IF(BN12=0,0,IF(OR(B9="Poison",$B11="Poison",B2="Light Bowgun",B2="Heavy Bowgun"),ROUND(Backdoors!A36*VLOOKUP(AO7,tbStatus!$A3:$F18,6,FALSE)*IF((AO16*AO27)&gt;1,1,(AO16*AO27)),0),IF(OR(B9="Blast",B11="Blast"),AR130,0)))</f>
        <v>0</v>
      </c>
      <c r="BP12">
        <f t="shared" si="0"/>
        <v>0</v>
      </c>
      <c r="BQ12" s="49" t="str">
        <f>CONCATENATE(AX12,IF(AND(BI12=TRUE,Calculator!B8=TRUE),CONCATENATE(" (Tenderized)"),""),IF(BP12=0,"",CONCATENATE(", ",BP12)))</f>
        <v/>
      </c>
      <c r="BR12">
        <f>VLOOKUP(Calculator!B4,SavedBuildNumbers!A1:K73,11,FALSE)</f>
        <v>0</v>
      </c>
      <c r="BS12">
        <f>VLOOKUP(Calculator!B4,SavedBuildNumbers!A1:AZ73,52,FALSE)</f>
        <v>0</v>
      </c>
      <c r="BU12" s="49">
        <f>IFERROR(ROUNDDOWN((IF((ROUND((VLOOKUP(tbMoveset!A12,tbMoveset!A2:F112,6,FALSE)+(IF(VLOOKUP(tbMoveset!A12,tbMoveset!A2:F112,6,FALSE)&gt;0,K41,0)))*(1+(IF(VLOOKUP(tbMoveset!A12,tbMoveset!A2:I112,9,FALSE)="Fire",VLOOKUP(Calculator!$E24,tbSkills!$AX3:$AZ9,3,FALSE),IF(VLOOKUP(tbMoveset!A12,tbMoveset!A2:I112,9,FALSE)="Water",VLOOKUP(Calculator!$E25,tbSkills!$AX3:$AZ9,3,FALSE),IF(VLOOKUP(BackdoorsMoveset!A12,tbMoveset!A2:I112,9,FALSE)="Thunder",VLOOKUP(Calculator!$E26,tbSkills!$AX3:$AZ9,3,FALSE),IF(VLOOKUP(tbMoveset!A12,tbMoveset!A2:I112,9,FALSE)="Ice",VLOOKUP(Calculator!$E27,tbSkills!$AX3:$AZ9,3,FALSE),IF(VLOOKUP(tbMoveset!A12,tbMoveset!A2:I112,9,FALSE)="Dragon",VLOOKUP(Calculator!$E28,tbSkills!$AX3:$AZ9,3,FALSE),0)))))/100))*AC7,0)+IF(VLOOKUP(tbMoveset!A12,tbMoveset!A2:F112,6,FALSE)&gt;0,IF(VLOOKUP(tbMoveset!A12,tbMoveset!A2:I112,9,FALSE)="Fire",VLOOKUP(Calculator!$E24,tbSkills!$AX3:$AY9,2,FALSE),IF(VLOOKUP(tbMoveset!A12,tbMoveset!A2:I112,9,FALSE)="Water",VLOOKUP(Calculator!$E25,tbSkills!$AX3:$AY9,2,FALSE),IF(VLOOKUP(tbMoveset!A12,tbMoveset!A2:I112,9,FALSE)="Thunder",VLOOKUP(Calculator!$E26,tbSkills!$AX3:$AY9,2,FALSE),IF(VLOOKUP(tbMoveset!A12,tbMoveset!A2:I112,9,FALSE)="Ice",VLOOKUP(Calculator!$E27,tbSkills!$AX3:$AY9,2,FALSE),IF(VLOOKUP(tbMoveset!A12,tbMoveset!A2:I112,9,FALSE)="Dragon",VLOOKUP(Calculator!$E28,tbSkills!$AX3:$AY9,2,FALSE),0))))),0)/10)&gt;=B34,B34,(ROUND((VLOOKUP(tbMoveset!A12,tbMoveset!A2:F112,6,FALSE)+(IF(VLOOKUP(tbMoveset!A12,tbMoveset!A2:F112,6,FALSE)&gt;0,K41,0)))*(1+(IF(VLOOKUP(tbMoveset!A12,tbMoveset!A2:I112,9,FALSE)="Fire",VLOOKUP(Calculator!$E24,tbSkills!$AX3:$AZ9,3,FALSE),IF(VLOOKUP(tbMoveset!A12,tbMoveset!A2:I112,9,FALSE)="Water",VLOOKUP(Calculator!$E25,tbSkills!$AX3:$AZ9,3,FALSE),IF(VLOOKUP(BackdoorsMoveset!A12,tbMoveset!A2:I112,9,FALSE)="Thunder",VLOOKUP(Calculator!$E26,tbSkills!$AX3:$AZ9,3,FALSE),IF(VLOOKUP(tbMoveset!A12,tbMoveset!A2:I112,9,FALSE)="Ice",VLOOKUP(Calculator!$E27,tbSkills!$AX3:$AZ9,3,FALSE),IF(VLOOKUP(tbMoveset!A12,tbMoveset!A2:I112,9,FALSE)="Dragon",VLOOKUP(Calculator!$E28,tbSkills!$AX3:$AZ9,3,FALSE),0)))))/100))*AC7,0)+IF(VLOOKUP(tbMoveset!A12,tbMoveset!A2:F112,6,FALSE)&gt;0,IF(VLOOKUP(tbMoveset!A12,tbMoveset!A2:I112,9,FALSE)="Fire",VLOOKUP(Calculator!$E24,tbSkills!$AX3:$AY9,2,FALSE),IF(VLOOKUP(tbMoveset!A12,tbMoveset!A2:I112,9,FALSE)="Water",VLOOKUP(Calculator!$E25,tbSkills!$AX3:$AY9,2,FALSE),IF(VLOOKUP(tbMoveset!A12,tbMoveset!A2:I112,9,FALSE)="Thunder",VLOOKUP(Calculator!$E26,tbSkills!$AX3:$AY9,2,FALSE),IF(VLOOKUP(tbMoveset!A12,tbMoveset!A2:I112,9,FALSE)="Ice",VLOOKUP(Calculator!$E27,tbSkills!$AX3:$AY9,2,FALSE),IF(VLOOKUP(tbMoveset!A12,tbMoveset!A2:I112,9,FALSE)="Dragon",VLOOKUP(Calculator!$E28,tbSkills!$AX3:$AY9,2,FALSE),0))))),0)/10))*N6)*AC6,0)*(B30/100),0)</f>
        <v>0</v>
      </c>
    </row>
    <row r="13" spans="1:73" x14ac:dyDescent="0.25">
      <c r="A13" t="s">
        <v>247</v>
      </c>
      <c r="B13">
        <f>IF(B12&lt;&gt;"Raw",0.5,1)</f>
        <v>1</v>
      </c>
      <c r="D13" t="s">
        <v>866</v>
      </c>
      <c r="E13">
        <f>((10-E7)-E10)+E5</f>
        <v>16</v>
      </c>
      <c r="G13" t="s">
        <v>705</v>
      </c>
      <c r="H13" s="5" t="str">
        <f>IF(AND(H9="",H10="",H11="",H12=""),"None.",CONCATENATE(H9,H10,H11,H12))</f>
        <v>None.</v>
      </c>
      <c r="J13" t="s">
        <v>842</v>
      </c>
      <c r="K13">
        <f>IF(AND(Calculator!B34="Element/Status Effect Up",B21&gt;=10),30,0)+IF(AND(Calculator!B35="Element/Status Effect Up",B21&gt;=10),30,0)+IF(AND(Calculator!B36="Element/Status Effect Up",B21&gt;=10),30,0)+IF(AND(Calculator!B37="Element/Status Effect Up",B21&gt;=10),30,0)+IF(AND(Calculator!B38="Element/Status Effect Up",B21&gt;=10),30,0)+IF(AND(Calculator!B39="Element/Status Effect Up",OR(B21=10,B21=11)),30,0)+IF(AND(Calculator!B40="Element/Status Effect Up",B21=10),30,0)</f>
        <v>0</v>
      </c>
      <c r="P13" t="s">
        <v>585</v>
      </c>
      <c r="Q13">
        <f>IF(Calculator!B18=TRUE,9,0)</f>
        <v>0</v>
      </c>
      <c r="Y13" t="s">
        <v>589</v>
      </c>
      <c r="Z13">
        <f>1+IF(AND(B18=0,B20=0),(VLOOKUP(Calculator!E15,tbSkills!BZ3:CA4,2,FALSE)/100),0)</f>
        <v>1</v>
      </c>
      <c r="AN13" t="s">
        <v>254</v>
      </c>
      <c r="AO13">
        <f>VLOOKUP(AO8,tbStatus!A22:D33,4,FALSE)*AO11</f>
        <v>396</v>
      </c>
      <c r="AQ13" t="s">
        <v>242</v>
      </c>
      <c r="AR13">
        <f>ROUND((AR12/N8)*BN3,0)</f>
        <v>0</v>
      </c>
      <c r="AT13">
        <v>12</v>
      </c>
      <c r="AU13">
        <f>$AU12+IF(AO12+((AO10*11)*AO11)&gt;AO13,AO13,AO12+((AO10*11)*AO11))</f>
        <v>1620</v>
      </c>
      <c r="AW13" s="49" t="str">
        <f>IFERROR(INDEX(tbHitzones!K:K,MATCH(ROWS(tbHitzones!$1:11),tbHitzones!K:K,0)),"")</f>
        <v/>
      </c>
      <c r="AX13" s="49" t="str">
        <f>IFERROR(INDEX(tbHitzones!B:B,MATCH(ROWS(tbHitzones!$1:11),tbHitzones!K:K,0)),"")</f>
        <v/>
      </c>
      <c r="AY13" s="49" t="str">
        <f>IFERROR(INDEX(tbHitzones!C:C,MATCH(ROWS(tbHitzones!$1:11),tbHitzones!K:K,0)),"")</f>
        <v/>
      </c>
      <c r="AZ13" s="49" t="str">
        <f>IFERROR(INDEX(tbHitzones!D:D,MATCH(ROWS(tbHitzones!$1:11),tbHitzones!K:K,0)),"")</f>
        <v/>
      </c>
      <c r="BA13" s="49" t="str">
        <f>IFERROR(INDEX(tbHitzones!E:E,MATCH(ROWS(tbHitzones!$1:11),tbHitzones!K:K,0)),"")</f>
        <v/>
      </c>
      <c r="BB13" s="49" t="str">
        <f>IFERROR(INDEX(tbHitzones!F:F,MATCH(ROWS(tbHitzones!$1:11),tbHitzones!K:K,0)),"")</f>
        <v/>
      </c>
      <c r="BC13" s="49" t="str">
        <f>IFERROR(INDEX(tbHitzones!G:G,MATCH(ROWS(tbHitzones!$1:11),tbHitzones!K:K,0)),"")</f>
        <v/>
      </c>
      <c r="BD13" s="49" t="str">
        <f>IFERROR(INDEX(tbHitzones!H:H,MATCH(ROWS(tbHitzones!$1:11),tbHitzones!K:K,0)),"")</f>
        <v/>
      </c>
      <c r="BE13" s="49" t="str">
        <f>IFERROR(INDEX(tbHitzones!I:I,MATCH(ROWS(tbHitzones!$1:11),tbHitzones!K:K,0)),"")</f>
        <v/>
      </c>
      <c r="BF13" s="49" t="str">
        <f>IFERROR(INDEX(tbHitzones!J:J,MATCH(ROWS(tbHitzones!$1:11),tbHitzones!K:K,0)),"")</f>
        <v/>
      </c>
      <c r="BG13" s="49">
        <f>IFERROR(IF(OR(B9="Fire",B11="Fire"),BB13,IF(OR(B9="Water",B11="Water"),BC13,IF(OR(B9="Thunder",B11="Thunder"),BD13,IF(OR(B9="Ice",B11="Ice"),BE13,IF(OR(B9="Dragon",B11="Dragon"),BF13,0))))),"")</f>
        <v>0</v>
      </c>
      <c r="BH13" s="49" t="str">
        <f>IFERROR(INDEX(tbHitzones!L:L,MATCH(ROWS(tbHitzones!$1:11),tbHitzones!K:K,0)),"")</f>
        <v/>
      </c>
      <c r="BI13" s="49" t="str">
        <f>IFERROR(INDEX(tbHitzones!M:M,MATCH(ROWS(tbHitzones!$1:11),tbHitzones!K:K,0)),"")</f>
        <v/>
      </c>
      <c r="BK13" s="49" t="str">
        <f>IFERROR(INDEX(tbHitzones!K:K,MATCH(ROWS(tbHitzones!$1:11),tbHitzones!K:K,0)),"")</f>
        <v/>
      </c>
      <c r="BL13">
        <f>IFERROR(VLOOKUP(Backdoors!A37,BackdoorsMoveset!A2:BW112,75,FALSE)+VLOOKUP(Backdoors!A38,BackdoorsMoveset!A2:BW112,75,FALSE)+VLOOKUP(Backdoors!A39,BackdoorsMoveset!A2:BW112,75,FALSE)+VLOOKUP(Backdoors!A40,BackdoorsMoveset!A2:BW112,75,FALSE)+VLOOKUP(Backdoors!A41,BackdoorsMoveset!A2:BW112,75,FALSE)+VLOOKUP(Backdoors!A42,BackdoorsMoveset!A2:BW112,75,FALSE)+VLOOKUP(Backdoors!A43,BackdoorsMoveset!A2:BW112,75,FALSE)+VLOOKUP(Backdoors!A44,BackdoorsMoveset!A2:BW112,75,FALSE)+VLOOKUP(Backdoors!A45,BackdoorsMoveset!A2:BW112,75,FALSE)+VLOOKUP(Backdoors!A46,BackdoorsMoveset!A2:BW112,75,FALSE)+VLOOKUP(Backdoors!A47,BackdoorsMoveset!A2:BW112,75,FALSE)+VLOOKUP(Backdoors!A48,BackdoorsMoveset!A2:BW112,75,FALSE)+VLOOKUP(Backdoors!A49,BackdoorsMoveset!A2:BW112,75,FALSE)+VLOOKUP(Backdoors!A50,BackdoorsMoveset!A2:BW112,75,FALSE)+VLOOKUP(Backdoors!A51,BackdoorsMoveset!A2:BW112,75,FALSE)+VLOOKUP(Backdoors!A52,BackdoorsMoveset!A2:BW112,75,FALSE)+VLOOKUP(Backdoors!A53,BackdoorsMoveset!A2:BW112,75,FALSE)+VLOOKUP(Backdoors!A54,BackdoorsMoveset!A2:BW112,75,FALSE)+VLOOKUP(Backdoors!A55,BackdoorsMoveset!A2:BW112,75,FALSE)+VLOOKUP(Backdoors!A56,BackdoorsMoveset!A2:BW112,75,FALSE)+VLOOKUP(Backdoors!A57,BackdoorsMoveset!A2:BW112,75,FALSE)+VLOOKUP(Backdoors!A58,BackdoorsMoveset!A2:BW112,75,FALSE)+VLOOKUP(Backdoors!A59,BackdoorsMoveset!A2:BW112,75,FALSE)+VLOOKUP(Backdoors!A60,BackdoorsMoveset!A2:BW112,75,FALSE)+VLOOKUP(Backdoors!A61,BackdoorsMoveset!A2:BW112,75,FALSE),0)</f>
        <v>0</v>
      </c>
      <c r="BM13">
        <f>IFERROR(VLOOKUP(Backdoors!A37,BackdoorsMoveset!A2:BX112,76,FALSE)+VLOOKUP(Backdoors!A38,BackdoorsMoveset!A2:BX112,76,FALSE)+VLOOKUP(Backdoors!A39,BackdoorsMoveset!A2:BX112,76,FALSE)+VLOOKUP(Backdoors!A40,BackdoorsMoveset!A2:BX112,76,FALSE)+VLOOKUP(Backdoors!A41,BackdoorsMoveset!A2:BX112,76,FALSE)+VLOOKUP(Backdoors!A42,BackdoorsMoveset!A2:BX112,76,FALSE)+VLOOKUP(Backdoors!A43,BackdoorsMoveset!A2:BX112,76,FALSE)+VLOOKUP(Backdoors!A44,BackdoorsMoveset!A2:BX112,76,FALSE)+VLOOKUP(Backdoors!A45,BackdoorsMoveset!A2:BX112,76,FALSE)+VLOOKUP(Backdoors!A46,BackdoorsMoveset!A2:BX112,76,FALSE)+VLOOKUP(Backdoors!A47,BackdoorsMoveset!A2:BX112,76,FALSE)+VLOOKUP(Backdoors!A48,BackdoorsMoveset!A2:BX112,76,FALSE)+VLOOKUP(Backdoors!A49,BackdoorsMoveset!A2:BX112,76,FALSE)+VLOOKUP(Backdoors!A50,BackdoorsMoveset!A2:BX112,76,FALSE)+VLOOKUP(Backdoors!A51,BackdoorsMoveset!A2:BX112,76,FALSE)+VLOOKUP(Backdoors!A52,BackdoorsMoveset!A2:BX112,76,FALSE)+VLOOKUP(Backdoors!A53,BackdoorsMoveset!A2:BX112,76,FALSE)+VLOOKUP(Backdoors!A54,BackdoorsMoveset!A2:BX112,76,FALSE)+VLOOKUP(Backdoors!A55,BackdoorsMoveset!A2:BX112,76,FALSE)+VLOOKUP(Backdoors!A56,BackdoorsMoveset!A2:BX112,76,FALSE)+VLOOKUP(Backdoors!A57,BackdoorsMoveset!A2:BX112,76,FALSE)+VLOOKUP(Backdoors!A58,BackdoorsMoveset!A2:BX112,76,FALSE)+VLOOKUP(Backdoors!A59,BackdoorsMoveset!A2:BX112,76,FALSE)+VLOOKUP(Backdoors!A60,BackdoorsMoveset!A2:BX112,76,FALSE)+VLOOKUP(Backdoors!A61,BackdoorsMoveset!A2:BX112,76,FALSE),0)</f>
        <v>0</v>
      </c>
      <c r="BN13">
        <f>IFERROR(VLOOKUP(Backdoors!A37,BackdoorsMoveset!A2:BZ112,78,FALSE)+VLOOKUP(Backdoors!A38,BackdoorsMoveset!A2:BZ112,78,FALSE)+VLOOKUP(Backdoors!A39,BackdoorsMoveset!A2:BZ112,78,FALSE)+VLOOKUP(Backdoors!A40,BackdoorsMoveset!A2:BZ112,78,FALSE)+VLOOKUP(Backdoors!A41,BackdoorsMoveset!A2:BZ112,78,FALSE)+VLOOKUP(Backdoors!A42,BackdoorsMoveset!A2:BZ112,78,FALSE)+VLOOKUP(Backdoors!A43,BackdoorsMoveset!A2:BZ112,78,FALSE)+VLOOKUP(Backdoors!A44,BackdoorsMoveset!A2:BZ112,78,FALSE)+VLOOKUP(Backdoors!A45,BackdoorsMoveset!A2:BZ112,78,FALSE)+VLOOKUP(Backdoors!A46,BackdoorsMoveset!A2:BZ112,78,FALSE)+VLOOKUP(Backdoors!A47,BackdoorsMoveset!A2:BZ112,78,FALSE)+VLOOKUP(Backdoors!A48,BackdoorsMoveset!A2:BZ112,78,FALSE)+VLOOKUP(Backdoors!A49,BackdoorsMoveset!A2:BZ112,78,FALSE)+VLOOKUP(Backdoors!A50,BackdoorsMoveset!A2:BZ112,78,FALSE)+VLOOKUP(Backdoors!A51,BackdoorsMoveset!A2:BZ112,78,FALSE)+VLOOKUP(Backdoors!A52,BackdoorsMoveset!A2:BZ112,78,FALSE)+VLOOKUP(Backdoors!A53,BackdoorsMoveset!A2:BZ112,78,FALSE)+VLOOKUP(Backdoors!A54,BackdoorsMoveset!A2:BZ112,78,FALSE)+VLOOKUP(Backdoors!A55,BackdoorsMoveset!A2:BZ112,78,FALSE)+VLOOKUP(Backdoors!A56,BackdoorsMoveset!A2:BZ112,78,FALSE)+VLOOKUP(Backdoors!A57,BackdoorsMoveset!A2:BZ112,78,FALSE)+VLOOKUP(Backdoors!A58,BackdoorsMoveset!A2:BZ112,78,FALSE)+VLOOKUP(Backdoors!A59,BackdoorsMoveset!A2:BZ112,78,FALSE)+VLOOKUP(Backdoors!A60,BackdoorsMoveset!A2:BZ112,78,FALSE)+VLOOKUP(Backdoors!A61,BackdoorsMoveset!A2:BZ112,78,FALSE),0)</f>
        <v>0</v>
      </c>
      <c r="BO13" s="49">
        <f>IF(BN13=0,0,IF(OR(B9="Poison",$B11="Poison",B2="Light Bowgun",B2="Heavy Bowgun"),ROUND(Backdoors!A36*VLOOKUP(AO7,tbStatus!$A3:$F18,6,FALSE)*IF((AO16*AO28)&gt;1,1,(AO16*AO28)),0),IF(OR(B9="Blast",B11="Blast"),AR143,0)))</f>
        <v>0</v>
      </c>
      <c r="BP13">
        <f t="shared" si="0"/>
        <v>0</v>
      </c>
      <c r="BQ13" s="49" t="str">
        <f>CONCATENATE(AX13,IF(AND(BI13=TRUE,Calculator!B8=TRUE),CONCATENATE(" (Tenderized)"),""),IF(BP13=0,"",CONCATENATE(", ",BP13)))</f>
        <v/>
      </c>
      <c r="BR13">
        <f>VLOOKUP(Calculator!B4,SavedBuildNumbers!A1:L73,12,FALSE)</f>
        <v>0</v>
      </c>
      <c r="BS13" t="b">
        <f>VLOOKUP(Calculator!B4,SavedBuildNumbers!A1:BA73,53,FALSE)</f>
        <v>0</v>
      </c>
      <c r="BU13" s="49">
        <f>IFERROR(ROUNDDOWN((IF((ROUND((VLOOKUP(tbMoveset!A13,tbMoveset!A2:F112,6,FALSE)+(IF(VLOOKUP(tbMoveset!A13,tbMoveset!A2:F112,6,FALSE)&gt;0,K41,0)))*(1+(IF(VLOOKUP(tbMoveset!A13,tbMoveset!A2:I112,9,FALSE)="Fire",VLOOKUP(Calculator!$E24,tbSkills!$AX3:$AZ9,3,FALSE),IF(VLOOKUP(tbMoveset!A13,tbMoveset!A2:I112,9,FALSE)="Water",VLOOKUP(Calculator!$E25,tbSkills!$AX3:$AZ9,3,FALSE),IF(VLOOKUP(BackdoorsMoveset!A13,tbMoveset!A2:I112,9,FALSE)="Thunder",VLOOKUP(Calculator!$E26,tbSkills!$AX3:$AZ9,3,FALSE),IF(VLOOKUP(tbMoveset!A13,tbMoveset!A2:I112,9,FALSE)="Ice",VLOOKUP(Calculator!$E27,tbSkills!$AX3:$AZ9,3,FALSE),IF(VLOOKUP(tbMoveset!A13,tbMoveset!A2:I112,9,FALSE)="Dragon",VLOOKUP(Calculator!$E28,tbSkills!$AX3:$AZ9,3,FALSE),0)))))/100))*AC7,0)+IF(VLOOKUP(tbMoveset!A13,tbMoveset!A2:F112,6,FALSE)&gt;0,IF(VLOOKUP(tbMoveset!A13,tbMoveset!A2:I112,9,FALSE)="Fire",VLOOKUP(Calculator!$E24,tbSkills!$AX3:$AY9,2,FALSE),IF(VLOOKUP(tbMoveset!A13,tbMoveset!A2:I112,9,FALSE)="Water",VLOOKUP(Calculator!$E25,tbSkills!$AX3:$AY9,2,FALSE),IF(VLOOKUP(tbMoveset!A13,tbMoveset!A2:I112,9,FALSE)="Thunder",VLOOKUP(Calculator!$E26,tbSkills!$AX3:$AY9,2,FALSE),IF(VLOOKUP(tbMoveset!A13,tbMoveset!A2:I112,9,FALSE)="Ice",VLOOKUP(Calculator!$E27,tbSkills!$AX3:$AY9,2,FALSE),IF(VLOOKUP(tbMoveset!A13,tbMoveset!A2:I112,9,FALSE)="Dragon",VLOOKUP(Calculator!$E28,tbSkills!$AX3:$AY9,2,FALSE),0))))),0)/10)&gt;=B34,B34,(ROUND((VLOOKUP(tbMoveset!A13,tbMoveset!A2:F112,6,FALSE)+(IF(VLOOKUP(tbMoveset!A13,tbMoveset!A2:F112,6,FALSE)&gt;0,K41,0)))*(1+(IF(VLOOKUP(tbMoveset!A13,tbMoveset!A2:I112,9,FALSE)="Fire",VLOOKUP(Calculator!$E24,tbSkills!$AX3:$AZ9,3,FALSE),IF(VLOOKUP(tbMoveset!A13,tbMoveset!A2:I112,9,FALSE)="Water",VLOOKUP(Calculator!$E25,tbSkills!$AX3:$AZ9,3,FALSE),IF(VLOOKUP(BackdoorsMoveset!A13,tbMoveset!A2:I112,9,FALSE)="Thunder",VLOOKUP(Calculator!$E26,tbSkills!$AX3:$AZ9,3,FALSE),IF(VLOOKUP(tbMoveset!A13,tbMoveset!A2:I112,9,FALSE)="Ice",VLOOKUP(Calculator!$E27,tbSkills!$AX3:$AZ9,3,FALSE),IF(VLOOKUP(tbMoveset!A13,tbMoveset!A2:I112,9,FALSE)="Dragon",VLOOKUP(Calculator!$E28,tbSkills!$AX3:$AZ9,3,FALSE),0)))))/100))*AC7,0)+IF(VLOOKUP(tbMoveset!A13,tbMoveset!A2:F112,6,FALSE)&gt;0,IF(VLOOKUP(tbMoveset!A13,tbMoveset!A2:I112,9,FALSE)="Fire",VLOOKUP(Calculator!$E24,tbSkills!$AX3:$AY9,2,FALSE),IF(VLOOKUP(tbMoveset!A13,tbMoveset!A2:I112,9,FALSE)="Water",VLOOKUP(Calculator!$E25,tbSkills!$AX3:$AY9,2,FALSE),IF(VLOOKUP(tbMoveset!A13,tbMoveset!A2:I112,9,FALSE)="Thunder",VLOOKUP(Calculator!$E26,tbSkills!$AX3:$AY9,2,FALSE),IF(VLOOKUP(tbMoveset!A13,tbMoveset!A2:I112,9,FALSE)="Ice",VLOOKUP(Calculator!$E27,tbSkills!$AX3:$AY9,2,FALSE),IF(VLOOKUP(tbMoveset!A13,tbMoveset!A2:I112,9,FALSE)="Dragon",VLOOKUP(Calculator!$E28,tbSkills!$AX3:$AY9,2,FALSE),0))))),0)/10))*N6)*AC6,0)*(B30/100),0)</f>
        <v>0</v>
      </c>
    </row>
    <row r="14" spans="1:73" x14ac:dyDescent="0.25">
      <c r="A14" t="s">
        <v>264</v>
      </c>
      <c r="B14">
        <f>ROUND(IF(VLOOKUP(Calculator!B2,tbWeapons!A2:E271,5,FALSE)&gt;0,VLOOKUP(Calculator!B2,tbWeapons!A2:E271,5,FALSE),IF(VLOOKUP(Calculator!B2,tbWeapons!A2:F271,6,FALSE)&gt;0,VLOOKUP(Calculator!B2,tbWeapons!A2:F271,6,FALSE),IF(VLOOKUP(Calculator!B2,tbWeapons!A2:G271,7,FALSE)&gt;0,VLOOKUP(Calculator!B2,tbWeapons!A2:G271,7,FALSE),IF(VLOOKUP(Calculator!B2,tbWeapons!A2:H271,8,FALSE)&gt;0,VLOOKUP(Calculator!B2,tbWeapons!A2:H271,8,FALSE),IF(VLOOKUP(Calculator!B2,tbWeapons!A2:I271,9,FALSE)&gt;0,VLOOKUP(Calculator!B2,tbWeapons!A2:I271,9,FALSE),0))))),0)</f>
        <v>0</v>
      </c>
      <c r="D14" t="s">
        <v>195</v>
      </c>
      <c r="E14">
        <f>VLOOKUP(Calculator!E33,tbSkills!BN3:BO8,2,FALSE)</f>
        <v>0</v>
      </c>
      <c r="J14" t="s">
        <v>848</v>
      </c>
      <c r="K14">
        <f>IF(K8=TRUE,IF(AND(K13&gt;=90,B21=12),90,IF(AND(K13&gt;=120,B21=11),120,IF(AND(K13&gt;=120,B21=10),120,K13)))+IF(AND(B21=10,K13&gt;30),10,0),0)</f>
        <v>0</v>
      </c>
      <c r="P14" t="s">
        <v>717</v>
      </c>
      <c r="Q14">
        <f>VLOOKUP(Calculator!E20,tbSkills!CU3:CV8,2,FALSE)</f>
        <v>0</v>
      </c>
      <c r="Y14" t="s">
        <v>874</v>
      </c>
      <c r="Z14">
        <f>1+IF(OR(B2="Light Bowgun",B2="Heavy Bowgun",B2="Bow"),(VLOOKUP(Calculator!E16,tbSkills!CC3:CD5,2,FALSE)/100),0)</f>
        <v>1</v>
      </c>
      <c r="AH14" t="s">
        <v>510</v>
      </c>
      <c r="AI14">
        <f>VLOOKUP(Calculator!E23,tbSkills!DH3:DI6,2,FALSE)+IF(Calculator!B8=TRUE,VLOOKUP(Calculator!E23,tbSkills!DH3:DJ6,3,FALSE),0)</f>
        <v>0</v>
      </c>
      <c r="AN14" t="s">
        <v>909</v>
      </c>
      <c r="AO14">
        <f>IF(OR(B2="Light Bowgun",B2="Heavy Bowgun"),IF(AND(VLOOKUP(Backdoors!A37,tbMoveset!A2:H112,8,FALSE)="Other",VLOOKUP(Backdoors!A37,tbMoveset!A3:I112,9,FALSE)="Poison"),VLOOKUP(Backdoors!A37,tbMoveset!A3:G112,7,FALSE),0)+IF(AND(VLOOKUP(Backdoors!A38,tbMoveset!A2:H112,8,FALSE)="Other",VLOOKUP(Backdoors!A38,tbMoveset!A3:I112,9,FALSE)="Poison"),VLOOKUP(Backdoors!A38,tbMoveset!A3:G112,7,FALSE),0)+IF(AND(VLOOKUP(Backdoors!A39,tbMoveset!A2:H112,8,FALSE)="Other",VLOOKUP(Backdoors!A39,tbMoveset!A3:I112,9,FALSE)="Poison"),VLOOKUP(Backdoors!A39,tbMoveset!A3:G112,7,FALSE),0)+IF(AND(VLOOKUP(Backdoors!A40,tbMoveset!A2:H112,8,FALSE)="Other",VLOOKUP(Backdoors!A40,tbMoveset!A3:I112,9,FALSE)="Poison"),VLOOKUP(Backdoors!A40,tbMoveset!A3:G112,7,FALSE),0)+IF(AND(VLOOKUP(Backdoors!A41,tbMoveset!A2:H112,8,FALSE)="Other",VLOOKUP(Backdoors!A41,tbMoveset!A3:I112,9,FALSE)="Poison"),VLOOKUP(Backdoors!A41,tbMoveset!A3:G112,7,FALSE),0)+IF(AND(VLOOKUP(Backdoors!A42,tbMoveset!A2:H112,8,FALSE)="Other",VLOOKUP(Backdoors!A42,tbMoveset!A3:I112,9,FALSE)="Poison"),VLOOKUP(Backdoors!A42,tbMoveset!A3:G112,7,FALSE),0)+IF(AND(VLOOKUP(Backdoors!A43,tbMoveset!A2:H112,8,FALSE)="Other",VLOOKUP(Backdoors!A43,tbMoveset!A3:I112,9,FALSE)="Poison"),VLOOKUP(Backdoors!A43,tbMoveset!A3:G112,7,FALSE),0)+IF(AND(VLOOKUP(Backdoors!A44,tbMoveset!A2:H112,8,FALSE)="Other",VLOOKUP(Backdoors!A44,tbMoveset!A3:I112,9,FALSE)="Poison"),VLOOKUP(Backdoors!A44,tbMoveset!A3:G112,7,FALSE),0)+IF(AND(VLOOKUP(Backdoors!A45,tbMoveset!A2:H112,8,FALSE)="Other",VLOOKUP(Backdoors!A45,tbMoveset!A3:I112,9,FALSE)="Poison"),VLOOKUP(Backdoors!A45,tbMoveset!A3:G112,7,FALSE),0)+IF(AND(VLOOKUP(Backdoors!A46,tbMoveset!A2:H112,8,FALSE)="Other",VLOOKUP(Backdoors!A46,tbMoveset!A3:I112,9,FALSE)="Poison"),VLOOKUP(Backdoors!A46,tbMoveset!A3:G112,7,FALSE),0)+IF(AND(VLOOKUP(Backdoors!A47,tbMoveset!A2:H112,8,FALSE)="Other",VLOOKUP(Backdoors!A47,tbMoveset!A3:I112,9,FALSE)="Poison"),VLOOKUP(Backdoors!A47,tbMoveset!A3:G112,7,FALSE),0)+IF(AND(VLOOKUP(Backdoors!A48,tbMoveset!A2:H112,8,FALSE)="Other",VLOOKUP(Backdoors!A48,tbMoveset!A3:I112,9,FALSE)="Poison"),VLOOKUP(Backdoors!A48,tbMoveset!A3:G112,7,FALSE),0)+IF(AND(VLOOKUP(Backdoors!A49,tbMoveset!A2:H112,8,FALSE)="Other",VLOOKUP(Backdoors!A49,tbMoveset!A3:I112,9,FALSE)="Poison"),VLOOKUP(Backdoors!A49,tbMoveset!A3:G112,7,FALSE),0)+IF(AND(VLOOKUP(Backdoors!A50,tbMoveset!A2:H112,8,FALSE)="Other",VLOOKUP(Backdoors!A50,tbMoveset!A3:I112,9,FALSE)="Poison"),VLOOKUP(Backdoors!A50,tbMoveset!A3:G112,7,FALSE),0)+IF(AND(VLOOKUP(Backdoors!A51,tbMoveset!A2:H112,8,FALSE)="Other",VLOOKUP(Backdoors!A51,tbMoveset!A3:I112,9,FALSE)="Poison"),VLOOKUP(Backdoors!A51,tbMoveset!A3:G112,7,FALSE),0)+IF(AND(VLOOKUP(Backdoors!A52,tbMoveset!A2:H112,8,FALSE)="Other",VLOOKUP(Backdoors!A52,tbMoveset!A3:I112,9,FALSE)="Poison"),VLOOKUP(Backdoors!A52,tbMoveset!A3:G112,7,FALSE),0)+IF(AND(VLOOKUP(Backdoors!A53,tbMoveset!A2:H112,8,FALSE)="Other",VLOOKUP(Backdoors!A53,tbMoveset!A3:I112,9,FALSE)="Poison"),VLOOKUP(Backdoors!A53,tbMoveset!A3:G112,7,FALSE),0)+IF(AND(VLOOKUP(Backdoors!A54,tbMoveset!A2:H112,8,FALSE)="Other",VLOOKUP(Backdoors!A54,tbMoveset!A3:I112,9,FALSE)="Poison"),VLOOKUP(Backdoors!A54,tbMoveset!A3:G112,7,FALSE),0)+IF(AND(VLOOKUP(Backdoors!A55,tbMoveset!A2:H112,8,FALSE)="Other",VLOOKUP(Backdoors!A55,tbMoveset!A3:I112,9,FALSE)="Poison"),VLOOKUP(Backdoors!A55,tbMoveset!A3:G112,7,FALSE),0)+IF(AND(VLOOKUP(Backdoors!A56,tbMoveset!A2:H112,8,FALSE)="Other",VLOOKUP(Backdoors!A56,tbMoveset!A3:I112,9,FALSE)="Poison"),VLOOKUP(Backdoors!A56,tbMoveset!A3:G112,7,FALSE),0)+IF(AND(VLOOKUP(Backdoors!A57,tbMoveset!A2:H112,8,FALSE)="Other",VLOOKUP(Backdoors!A57,tbMoveset!A3:I112,9,FALSE)="Poison"),VLOOKUP(Backdoors!A57,tbMoveset!A3:G112,7,FALSE),0)+IF(AND(VLOOKUP(Backdoors!A58,tbMoveset!A2:H112,8,FALSE)="Other",VLOOKUP(Backdoors!A58,tbMoveset!A3:I112,9,FALSE)="Poison"),VLOOKUP(Backdoors!A58,tbMoveset!A3:G112,7,FALSE),0)+IF(AND(VLOOKUP(Backdoors!A59,tbMoveset!A2:H112,8,FALSE)="Other",VLOOKUP(Backdoors!A59,tbMoveset!A3:I112,9,FALSE)="Poison"),VLOOKUP(Backdoors!A59,tbMoveset!A3:G112,7,FALSE),0)+IF(AND(VLOOKUP(Backdoors!A60,tbMoveset!A2:H112,8,FALSE)="Other",VLOOKUP(Backdoors!A60,tbMoveset!A3:I112,9,FALSE)="Poison"),VLOOKUP(Backdoors!A60,tbMoveset!A3:G112,7,FALSE),0)+IF(AND(VLOOKUP(Backdoors!A61,tbMoveset!A2:H112,8,FALSE)="Other",VLOOKUP(Backdoors!A61,tbMoveset!A3:I112,9,FALSE)="Poison"),VLOOKUP(Backdoors!A61,tbMoveset!A3:G112,7,FALSE),0),0)</f>
        <v>0</v>
      </c>
      <c r="AT14">
        <v>13</v>
      </c>
      <c r="AU14">
        <f>$AU13+IF(AO12+((AO10*12)*AO11)&gt;AO13,AO13,AO12+((AO10*12)*AO11))</f>
        <v>1872</v>
      </c>
      <c r="AW14" s="49" t="str">
        <f>IFERROR(INDEX(tbHitzones!K:K,MATCH(ROWS(tbHitzones!$1:12),tbHitzones!K:K,0)),"")</f>
        <v/>
      </c>
      <c r="AX14" s="49" t="str">
        <f>IFERROR(INDEX(tbHitzones!B:B,MATCH(ROWS(tbHitzones!$1:12),tbHitzones!K:K,0)),"")</f>
        <v/>
      </c>
      <c r="AY14" s="49" t="str">
        <f>IFERROR(INDEX(tbHitzones!C:C,MATCH(ROWS(tbHitzones!$1:12),tbHitzones!K:K,0)),"")</f>
        <v/>
      </c>
      <c r="AZ14" s="49" t="str">
        <f>IFERROR(INDEX(tbHitzones!D:D,MATCH(ROWS(tbHitzones!$1:12),tbHitzones!K:K,0)),"")</f>
        <v/>
      </c>
      <c r="BA14" s="49" t="str">
        <f>IFERROR(INDEX(tbHitzones!E:E,MATCH(ROWS(tbHitzones!$1:12),tbHitzones!K:K,0)),"")</f>
        <v/>
      </c>
      <c r="BB14" s="49" t="str">
        <f>IFERROR(INDEX(tbHitzones!F:F,MATCH(ROWS(tbHitzones!$1:12),tbHitzones!K:K,0)),"")</f>
        <v/>
      </c>
      <c r="BC14" s="49" t="str">
        <f>IFERROR(INDEX(tbHitzones!G:G,MATCH(ROWS(tbHitzones!$1:12),tbHitzones!K:K,0)),"")</f>
        <v/>
      </c>
      <c r="BD14" s="49" t="str">
        <f>IFERROR(INDEX(tbHitzones!H:H,MATCH(ROWS(tbHitzones!$1:12),tbHitzones!K:K,0)),"")</f>
        <v/>
      </c>
      <c r="BE14" s="49" t="str">
        <f>IFERROR(INDEX(tbHitzones!I:I,MATCH(ROWS(tbHitzones!$1:12),tbHitzones!K:K,0)),"")</f>
        <v/>
      </c>
      <c r="BF14" s="49" t="str">
        <f>IFERROR(INDEX(tbHitzones!J:J,MATCH(ROWS(tbHitzones!$1:12),tbHitzones!K:K,0)),"")</f>
        <v/>
      </c>
      <c r="BG14" s="49">
        <f>IFERROR(IF(OR(B9="Fire",B11="Fire"),BB14,IF(OR(B9="Water",B11="Water"),BC14,IF(OR(B9="Thunder",B11="Thunder"),BD14,IF(OR(B9="Ice",B11="Ice"),BE14,IF(OR(B9="Dragon",B11="Dragon"),BF14,0))))),"")</f>
        <v>0</v>
      </c>
      <c r="BH14" s="49" t="str">
        <f>IFERROR(INDEX(tbHitzones!L:L,MATCH(ROWS(tbHitzones!$1:12),tbHitzones!K:K,0)),"")</f>
        <v/>
      </c>
      <c r="BI14" s="49" t="str">
        <f>IFERROR(INDEX(tbHitzones!M:M,MATCH(ROWS(tbHitzones!$1:12),tbHitzones!K:K,0)),"")</f>
        <v/>
      </c>
      <c r="BK14" s="49" t="str">
        <f>IFERROR(INDEX(tbHitzones!K:K,MATCH(ROWS(tbHitzones!$1:12),tbHitzones!K:K,0)),"")</f>
        <v/>
      </c>
      <c r="BL14">
        <f>IFERROR(VLOOKUP(Backdoors!A37,BackdoorsMoveset!A2:CD112,82,FALSE)+VLOOKUP(Backdoors!A38,BackdoorsMoveset!A2:CD112,82,FALSE)+VLOOKUP(Backdoors!A39,BackdoorsMoveset!A2:CD112,82,FALSE)+VLOOKUP(Backdoors!A40,BackdoorsMoveset!A2:CD112,82,FALSE)+VLOOKUP(Backdoors!A41,BackdoorsMoveset!A2:CD112,82,FALSE)+VLOOKUP(Backdoors!A42,BackdoorsMoveset!A2:CD112,82,FALSE)+VLOOKUP(Backdoors!A43,BackdoorsMoveset!A2:CD112,82,FALSE)+VLOOKUP(Backdoors!A44,BackdoorsMoveset!A2:CD112,82,FALSE)+VLOOKUP(Backdoors!A45,BackdoorsMoveset!A2:CD112,82,FALSE)+VLOOKUP(Backdoors!A46,BackdoorsMoveset!A2:CD112,82,FALSE)+VLOOKUP(Backdoors!A47,BackdoorsMoveset!A2:CD112,82,FALSE)+VLOOKUP(Backdoors!A48,BackdoorsMoveset!A2:CD112,82,FALSE)+VLOOKUP(Backdoors!A49,BackdoorsMoveset!A2:CD112,82,FALSE)+VLOOKUP(Backdoors!A50,BackdoorsMoveset!A2:CD112,82,FALSE)+VLOOKUP(Backdoors!A51,BackdoorsMoveset!A2:CD112,82,FALSE)+VLOOKUP(Backdoors!A52,BackdoorsMoveset!A2:CD112,82,FALSE)+VLOOKUP(Backdoors!A53,BackdoorsMoveset!A2:CD112,82,FALSE)+VLOOKUP(Backdoors!A54,BackdoorsMoveset!A2:CD112,82,FALSE)+VLOOKUP(Backdoors!A55,BackdoorsMoveset!A2:CD112,82,FALSE)+VLOOKUP(Backdoors!A56,BackdoorsMoveset!A2:CD112,82,FALSE)+VLOOKUP(Backdoors!A57,BackdoorsMoveset!A2:CD112,82,FALSE)+VLOOKUP(Backdoors!A58,BackdoorsMoveset!A2:CD112,82,FALSE)+VLOOKUP(Backdoors!A59,BackdoorsMoveset!A2:CD112,82,FALSE)+VLOOKUP(Backdoors!A60,BackdoorsMoveset!A2:CD112,82,FALSE)+VLOOKUP(Backdoors!A61,BackdoorsMoveset!A2:CD112,82,FALSE),0)</f>
        <v>0</v>
      </c>
      <c r="BM14">
        <f>IFERROR(VLOOKUP(Backdoors!A37,BackdoorsMoveset!A2:CE112,83,FALSE)+VLOOKUP(Backdoors!A38,BackdoorsMoveset!A2:CE112,83,FALSE)+VLOOKUP(Backdoors!A39,BackdoorsMoveset!A2:CE112,83,FALSE)+VLOOKUP(Backdoors!A40,BackdoorsMoveset!A2:CE112,83,FALSE)+VLOOKUP(Backdoors!A41,BackdoorsMoveset!A2:CE112,83,FALSE)+VLOOKUP(Backdoors!A42,BackdoorsMoveset!A2:CE112,83,FALSE)+VLOOKUP(Backdoors!A43,BackdoorsMoveset!A2:CE112,83,FALSE)+VLOOKUP(Backdoors!A44,BackdoorsMoveset!A2:CE112,83,FALSE)+VLOOKUP(Backdoors!A45,BackdoorsMoveset!A2:CE112,83,FALSE)+VLOOKUP(Backdoors!A46,BackdoorsMoveset!A2:CE112,83,FALSE)+VLOOKUP(Backdoors!A47,BackdoorsMoveset!A2:CE112,83,FALSE)+VLOOKUP(Backdoors!A48,BackdoorsMoveset!A2:CE112,83,FALSE)+VLOOKUP(Backdoors!A49,BackdoorsMoveset!A2:CE112,83,FALSE)+VLOOKUP(Backdoors!A50,BackdoorsMoveset!A2:CE112,83,FALSE)+VLOOKUP(Backdoors!A51,BackdoorsMoveset!A2:CE112,83,FALSE)+VLOOKUP(Backdoors!A52,BackdoorsMoveset!A2:CE112,83,FALSE)+VLOOKUP(Backdoors!A53,BackdoorsMoveset!A2:CE112,83,FALSE)+VLOOKUP(Backdoors!A54,BackdoorsMoveset!A2:CE112,83,FALSE)+VLOOKUP(Backdoors!A55,BackdoorsMoveset!A2:CE112,83,FALSE)+VLOOKUP(Backdoors!A56,BackdoorsMoveset!A2:CE112,83,FALSE)+VLOOKUP(Backdoors!A57,BackdoorsMoveset!A2:CE112,83,FALSE)+VLOOKUP(Backdoors!A58,BackdoorsMoveset!A2:CE112,83,FALSE)+VLOOKUP(Backdoors!A59,BackdoorsMoveset!A2:CE112,83,FALSE)+VLOOKUP(Backdoors!A60,BackdoorsMoveset!A2:CE112,83,FALSE)+VLOOKUP(Backdoors!A61,BackdoorsMoveset!A2:CE112,83,FALSE),0)</f>
        <v>0</v>
      </c>
      <c r="BN14">
        <f>IFERROR(VLOOKUP(Backdoors!A37,BackdoorsMoveset!A2:CG112,85,FALSE)+VLOOKUP(Backdoors!A38,BackdoorsMoveset!A2:CG112,85,FALSE)+VLOOKUP(Backdoors!A39,BackdoorsMoveset!A2:CG112,85,FALSE)+VLOOKUP(Backdoors!A40,BackdoorsMoveset!A2:CG112,85,FALSE)+VLOOKUP(Backdoors!A41,BackdoorsMoveset!A2:CG112,85,FALSE)+VLOOKUP(Backdoors!A42,BackdoorsMoveset!A2:CG112,85,FALSE)+VLOOKUP(Backdoors!A43,BackdoorsMoveset!A2:CG112,85,FALSE)+VLOOKUP(Backdoors!A44,BackdoorsMoveset!A2:CG112,85,FALSE)+VLOOKUP(Backdoors!A45,BackdoorsMoveset!A2:CG112,85,FALSE)+VLOOKUP(Backdoors!A46,BackdoorsMoveset!A2:CG112,85,FALSE)+VLOOKUP(Backdoors!A47,BackdoorsMoveset!A2:CG112,85,FALSE)+VLOOKUP(Backdoors!A48,BackdoorsMoveset!A2:CG112,85,FALSE)+VLOOKUP(Backdoors!A49,BackdoorsMoveset!A2:CG112,85,FALSE)+VLOOKUP(Backdoors!A50,BackdoorsMoveset!A2:CG112,85,FALSE)+VLOOKUP(Backdoors!A51,BackdoorsMoveset!A2:CG112,85,FALSE)+VLOOKUP(Backdoors!A52,BackdoorsMoveset!A2:CG112,85,FALSE)+VLOOKUP(Backdoors!A53,BackdoorsMoveset!A2:CG112,85,FALSE)+VLOOKUP(Backdoors!A54,BackdoorsMoveset!A2:CG112,85,FALSE)+VLOOKUP(Backdoors!A55,BackdoorsMoveset!A2:CG112,85,FALSE)+VLOOKUP(Backdoors!A56,BackdoorsMoveset!A2:CG112,85,FALSE)+VLOOKUP(Backdoors!A57,BackdoorsMoveset!A2:CG112,85,FALSE)+VLOOKUP(Backdoors!A58,BackdoorsMoveset!A2:CG112,85,FALSE)+VLOOKUP(Backdoors!A59,BackdoorsMoveset!A2:CG112,85,FALSE)+VLOOKUP(Backdoors!A60,BackdoorsMoveset!A2:CG112,85,FALSE)+VLOOKUP(Backdoors!A61,BackdoorsMoveset!A2:CG112,85,FALSE),0)</f>
        <v>0</v>
      </c>
      <c r="BO14" s="49">
        <f>IF(BN14=0,0,IF(OR(B9="Poison",$B11="Poison",B2="Light Bowgun",B2="Heavy Bowgun"),ROUND(Backdoors!A36*VLOOKUP(AO7,tbStatus!$A3:$F18,6,FALSE)*IF((AO16*AO29)&gt;1,1,(AO16*AO29)),0),IF(OR(B9="Blast",B11="Blast"),AR156,0)))</f>
        <v>0</v>
      </c>
      <c r="BP14">
        <f t="shared" si="0"/>
        <v>0</v>
      </c>
      <c r="BQ14" s="49" t="str">
        <f>CONCATENATE(AX14,IF(AND(BI14=TRUE,Calculator!B8=TRUE),CONCATENATE(" (Tenderized)"),""),IF(BP14=0,"",CONCATENATE(", ",BP14)))</f>
        <v/>
      </c>
      <c r="BR14">
        <f>VLOOKUP(Calculator!B4,SavedBuildNumbers!A1:M73,13,FALSE)</f>
        <v>0</v>
      </c>
      <c r="BS14">
        <f>VLOOKUP(Calculator!B4,SavedBuildNumbers!A1:BB73,54,FALSE)</f>
        <v>0</v>
      </c>
      <c r="BU14" s="49">
        <f>IFERROR(ROUNDDOWN((IF((ROUND((VLOOKUP(tbMoveset!A14,tbMoveset!A2:F112,6,FALSE)+(IF(VLOOKUP(tbMoveset!A14,tbMoveset!A2:F112,6,FALSE)&gt;0,K41,0)))*(1+(IF(VLOOKUP(tbMoveset!A14,tbMoveset!A2:I112,9,FALSE)="Fire",VLOOKUP(Calculator!$E24,tbSkills!$AX3:$AZ9,3,FALSE),IF(VLOOKUP(tbMoveset!A14,tbMoveset!A2:I112,9,FALSE)="Water",VLOOKUP(Calculator!$E25,tbSkills!$AX3:$AZ9,3,FALSE),IF(VLOOKUP(BackdoorsMoveset!A14,tbMoveset!A2:I112,9,FALSE)="Thunder",VLOOKUP(Calculator!$E26,tbSkills!$AX3:$AZ9,3,FALSE),IF(VLOOKUP(tbMoveset!A14,tbMoveset!A2:I112,9,FALSE)="Ice",VLOOKUP(Calculator!$E27,tbSkills!$AX3:$AZ9,3,FALSE),IF(VLOOKUP(tbMoveset!A14,tbMoveset!A2:I112,9,FALSE)="Dragon",VLOOKUP(Calculator!$E28,tbSkills!$AX3:$AZ9,3,FALSE),0)))))/100))*AC7,0)+IF(VLOOKUP(tbMoveset!A14,tbMoveset!A2:F112,6,FALSE)&gt;0,IF(VLOOKUP(tbMoveset!A14,tbMoveset!A2:I112,9,FALSE)="Fire",VLOOKUP(Calculator!$E24,tbSkills!$AX3:$AY9,2,FALSE),IF(VLOOKUP(tbMoveset!A14,tbMoveset!A2:I112,9,FALSE)="Water",VLOOKUP(Calculator!$E25,tbSkills!$AX3:$AY9,2,FALSE),IF(VLOOKUP(tbMoveset!A14,tbMoveset!A2:I112,9,FALSE)="Thunder",VLOOKUP(Calculator!$E26,tbSkills!$AX3:$AY9,2,FALSE),IF(VLOOKUP(tbMoveset!A14,tbMoveset!A2:I112,9,FALSE)="Ice",VLOOKUP(Calculator!$E27,tbSkills!$AX3:$AY9,2,FALSE),IF(VLOOKUP(tbMoveset!A14,tbMoveset!A2:I112,9,FALSE)="Dragon",VLOOKUP(Calculator!$E28,tbSkills!$AX3:$AY9,2,FALSE),0))))),0)/10)&gt;=B34,B34,(ROUND((VLOOKUP(tbMoveset!A14,tbMoveset!A2:F112,6,FALSE)+(IF(VLOOKUP(tbMoveset!A14,tbMoveset!A2:F112,6,FALSE)&gt;0,K41,0)))*(1+(IF(VLOOKUP(tbMoveset!A14,tbMoveset!A2:I112,9,FALSE)="Fire",VLOOKUP(Calculator!$E24,tbSkills!$AX3:$AZ9,3,FALSE),IF(VLOOKUP(tbMoveset!A14,tbMoveset!A2:I112,9,FALSE)="Water",VLOOKUP(Calculator!$E25,tbSkills!$AX3:$AZ9,3,FALSE),IF(VLOOKUP(BackdoorsMoveset!A14,tbMoveset!A2:I112,9,FALSE)="Thunder",VLOOKUP(Calculator!$E26,tbSkills!$AX3:$AZ9,3,FALSE),IF(VLOOKUP(tbMoveset!A14,tbMoveset!A2:I112,9,FALSE)="Ice",VLOOKUP(Calculator!$E27,tbSkills!$AX3:$AZ9,3,FALSE),IF(VLOOKUP(tbMoveset!A14,tbMoveset!A2:I112,9,FALSE)="Dragon",VLOOKUP(Calculator!$E28,tbSkills!$AX3:$AZ9,3,FALSE),0)))))/100))*AC7,0)+IF(VLOOKUP(tbMoveset!A14,tbMoveset!A2:F112,6,FALSE)&gt;0,IF(VLOOKUP(tbMoveset!A14,tbMoveset!A2:I112,9,FALSE)="Fire",VLOOKUP(Calculator!$E24,tbSkills!$AX3:$AY9,2,FALSE),IF(VLOOKUP(tbMoveset!A14,tbMoveset!A2:I112,9,FALSE)="Water",VLOOKUP(Calculator!$E25,tbSkills!$AX3:$AY9,2,FALSE),IF(VLOOKUP(tbMoveset!A14,tbMoveset!A2:I112,9,FALSE)="Thunder",VLOOKUP(Calculator!$E26,tbSkills!$AX3:$AY9,2,FALSE),IF(VLOOKUP(tbMoveset!A14,tbMoveset!A2:I112,9,FALSE)="Ice",VLOOKUP(Calculator!$E27,tbSkills!$AX3:$AY9,2,FALSE),IF(VLOOKUP(tbMoveset!A14,tbMoveset!A2:I112,9,FALSE)="Dragon",VLOOKUP(Calculator!$E28,tbSkills!$AX3:$AY9,2,FALSE),0))))),0)/10))*N6)*AC6,0)*(B30/100),0)</f>
        <v>0</v>
      </c>
    </row>
    <row r="15" spans="1:73" x14ac:dyDescent="0.25">
      <c r="A15" t="s">
        <v>693</v>
      </c>
      <c r="B15">
        <f>ROUND((((((B14+IF(B14&gt;0,K26+K52,0))/10)*AC2)*AC3)*AC4)*AC7,0)</f>
        <v>0</v>
      </c>
      <c r="D15" t="s">
        <v>198</v>
      </c>
      <c r="E15">
        <f>(10-E7)</f>
        <v>4</v>
      </c>
      <c r="P15" t="s">
        <v>232</v>
      </c>
      <c r="Q15">
        <f>Q2+Q3+Q4+Q5+Q6+Q7+Q8+Q9+Q10+Q11+Q12+Q13+Q14</f>
        <v>0</v>
      </c>
      <c r="Y15" t="s">
        <v>882</v>
      </c>
      <c r="Z15">
        <f>1+(IF(OR(B2="Great Sword",B2="Sword &amp; Shield",B2="Lance",B2="Gunlance",B2="Charge Blade",B2="Heavy Bowgun"),VLOOKUP(Calculator!E17,tbSkills!CF3:CG6,2,FALSE),0)/100)</f>
        <v>1</v>
      </c>
      <c r="AN15" t="s">
        <v>910</v>
      </c>
      <c r="AO15">
        <f>(((ROUND(((AO14+(IF(AO14&gt;0,K44,0)))*(1+(VLOOKUP(Calculator!E7,tbSkills!U3:X6,4,FALSE)/100)))*(1+(VLOOKUP(Calculator!E29,tbSkills!DD3:DF7,3,FALSE)/100)),0)+W4)*N6)*(B30/100))</f>
        <v>0</v>
      </c>
      <c r="AQ15" t="s">
        <v>574</v>
      </c>
      <c r="AR15">
        <f>IFERROR(INDEX(tbHitzones!K:K,MATCH(ROWS(tbHitzones!$1:2),tbHitzones!K:K,0)),"")</f>
        <v>2</v>
      </c>
      <c r="AT15">
        <v>14</v>
      </c>
      <c r="AU15">
        <f>$AU14+IF(AO12+((AO10*13)*AO11)&gt;AO13,AO13,AO12+((AO10*13)*AO11))</f>
        <v>2142</v>
      </c>
      <c r="AW15" s="49" t="str">
        <f>IFERROR(INDEX(tbHitzones!K:K,MATCH(ROWS(tbHitzones!$1:13),tbHitzones!K:K,0)),"")</f>
        <v/>
      </c>
      <c r="AX15" s="49" t="str">
        <f>IFERROR(INDEX(tbHitzones!B:B,MATCH(ROWS(tbHitzones!$1:13),tbHitzones!K:K,0)),"")</f>
        <v/>
      </c>
      <c r="AY15" s="49" t="str">
        <f>IFERROR(INDEX(tbHitzones!C:C,MATCH(ROWS(tbHitzones!$1:13),tbHitzones!K:K,0)),"")</f>
        <v/>
      </c>
      <c r="AZ15" s="49" t="str">
        <f>IFERROR(INDEX(tbHitzones!D:D,MATCH(ROWS(tbHitzones!$1:13),tbHitzones!K:K,0)),"")</f>
        <v/>
      </c>
      <c r="BA15" s="49" t="str">
        <f>IFERROR(INDEX(tbHitzones!E:E,MATCH(ROWS(tbHitzones!$1:13),tbHitzones!K:K,0)),"")</f>
        <v/>
      </c>
      <c r="BB15" s="49" t="str">
        <f>IFERROR(INDEX(tbHitzones!F:F,MATCH(ROWS(tbHitzones!$1:13),tbHitzones!K:K,0)),"")</f>
        <v/>
      </c>
      <c r="BC15" s="49" t="str">
        <f>IFERROR(INDEX(tbHitzones!G:G,MATCH(ROWS(tbHitzones!$1:13),tbHitzones!K:K,0)),"")</f>
        <v/>
      </c>
      <c r="BD15" s="49" t="str">
        <f>IFERROR(INDEX(tbHitzones!H:H,MATCH(ROWS(tbHitzones!$1:13),tbHitzones!K:K,0)),"")</f>
        <v/>
      </c>
      <c r="BE15" s="49" t="str">
        <f>IFERROR(INDEX(tbHitzones!I:I,MATCH(ROWS(tbHitzones!$1:13),tbHitzones!K:K,0)),"")</f>
        <v/>
      </c>
      <c r="BF15" s="49" t="str">
        <f>IFERROR(INDEX(tbHitzones!J:J,MATCH(ROWS(tbHitzones!$1:13),tbHitzones!K:K,0)),"")</f>
        <v/>
      </c>
      <c r="BG15" s="49">
        <f>IFERROR(IF(OR(B9="Fire",B11="Fire"),BB15,IF(OR(B9="Water",B11="Water"),BC15,IF(OR(B9="Thunder",B11="Thunder"),BD15,IF(OR(B9="Ice",B11="Ice"),BE15,IF(OR(B9="Dragon",B11="Dragon"),BF15,0))))),"")</f>
        <v>0</v>
      </c>
      <c r="BH15" s="49" t="str">
        <f>IFERROR(INDEX(tbHitzones!L:L,MATCH(ROWS(tbHitzones!$1:13),tbHitzones!K:K,0)),"")</f>
        <v/>
      </c>
      <c r="BI15" s="49" t="str">
        <f>IFERROR(INDEX(tbHitzones!M:M,MATCH(ROWS(tbHitzones!$1:13),tbHitzones!K:K,0)),"")</f>
        <v/>
      </c>
      <c r="BK15" s="49" t="str">
        <f>IFERROR(INDEX(tbHitzones!K:K,MATCH(ROWS(tbHitzones!$1:13),tbHitzones!K:K,0)),"")</f>
        <v/>
      </c>
      <c r="BL15">
        <f>IFERROR(VLOOKUP(Backdoors!A37,BackdoorsMoveset!A2:CK112,89,FALSE)+VLOOKUP(Backdoors!A38,BackdoorsMoveset!A2:CK112,89,FALSE)+VLOOKUP(Backdoors!A39,BackdoorsMoveset!A2:CK112,89,FALSE)+VLOOKUP(Backdoors!A40,BackdoorsMoveset!A2:CK112,89,FALSE)+VLOOKUP(Backdoors!A41,BackdoorsMoveset!A2:CK112,89,FALSE)+VLOOKUP(Backdoors!A42,BackdoorsMoveset!A2:CK112,89,FALSE)+VLOOKUP(Backdoors!A43,BackdoorsMoveset!A2:CK112,89,FALSE)+VLOOKUP(Backdoors!A44,BackdoorsMoveset!A2:CK112,89,FALSE)+VLOOKUP(Backdoors!A45,BackdoorsMoveset!A2:CK112,89,FALSE)+VLOOKUP(Backdoors!A46,BackdoorsMoveset!A2:CK112,89,FALSE)+VLOOKUP(Backdoors!A47,BackdoorsMoveset!A2:CK112,89,FALSE)+VLOOKUP(Backdoors!A48,BackdoorsMoveset!A2:CK112,89,FALSE)+VLOOKUP(Backdoors!A49,BackdoorsMoveset!A2:CK112,89,FALSE)+VLOOKUP(Backdoors!A50,BackdoorsMoveset!A2:CK112,89,FALSE)+VLOOKUP(Backdoors!A51,BackdoorsMoveset!A2:CK112,89,FALSE)+VLOOKUP(Backdoors!A52,BackdoorsMoveset!A2:CK112,89,FALSE)+VLOOKUP(Backdoors!A53,BackdoorsMoveset!A2:CK112,89,FALSE)+VLOOKUP(Backdoors!A54,BackdoorsMoveset!A2:CK112,89,FALSE)+VLOOKUP(Backdoors!A55,BackdoorsMoveset!A2:CK112,89,FALSE)+VLOOKUP(Backdoors!A56,BackdoorsMoveset!A2:CK112,89,FALSE)+VLOOKUP(Backdoors!A57,BackdoorsMoveset!A2:CK112,89,FALSE)+VLOOKUP(Backdoors!A58,BackdoorsMoveset!A2:CK112,89,FALSE)+VLOOKUP(Backdoors!A59,BackdoorsMoveset!A2:CK112,89,FALSE)+VLOOKUP(Backdoors!A60,BackdoorsMoveset!A2:CK112,89,FALSE)+VLOOKUP(Backdoors!A61,BackdoorsMoveset!A2:CK112,89,FALSE),0)</f>
        <v>0</v>
      </c>
      <c r="BM15">
        <f>IFERROR(VLOOKUP(Backdoors!A37,BackdoorsMoveset!A2:CL112,90,FALSE)+VLOOKUP(Backdoors!A38,BackdoorsMoveset!A2:CL112,90,FALSE)+VLOOKUP(Backdoors!A39,BackdoorsMoveset!A2:CL112,90,FALSE)+VLOOKUP(Backdoors!A40,BackdoorsMoveset!A2:CL112,90,FALSE)+VLOOKUP(Backdoors!A41,BackdoorsMoveset!A2:CL112,90,FALSE)+VLOOKUP(Backdoors!A42,BackdoorsMoveset!A2:CL112,90,FALSE)+VLOOKUP(Backdoors!A43,BackdoorsMoveset!A2:CL112,90,FALSE)+VLOOKUP(Backdoors!A44,BackdoorsMoveset!A2:CL112,90,FALSE)+VLOOKUP(Backdoors!A45,BackdoorsMoveset!A2:CL112,90,FALSE)+VLOOKUP(Backdoors!A46,BackdoorsMoveset!A2:CL112,90,FALSE)+VLOOKUP(Backdoors!A47,BackdoorsMoveset!A2:CL112,90,FALSE)+VLOOKUP(Backdoors!A48,BackdoorsMoveset!A2:CL112,90,FALSE)+VLOOKUP(Backdoors!A49,BackdoorsMoveset!A2:CL112,90,FALSE)+VLOOKUP(Backdoors!A50,BackdoorsMoveset!A2:CL112,90,FALSE)+VLOOKUP(Backdoors!A51,BackdoorsMoveset!A2:CL112,90,FALSE)+VLOOKUP(Backdoors!A52,BackdoorsMoveset!A2:CL112,90,FALSE)+VLOOKUP(Backdoors!A53,BackdoorsMoveset!A2:CL112,90,FALSE)+VLOOKUP(Backdoors!A54,BackdoorsMoveset!A2:CL112,90,FALSE)+VLOOKUP(Backdoors!A55,BackdoorsMoveset!A2:CL112,90,FALSE)+VLOOKUP(Backdoors!A56,BackdoorsMoveset!A2:CL112,90,FALSE)+VLOOKUP(Backdoors!A57,BackdoorsMoveset!A2:CL112,90,FALSE)+VLOOKUP(Backdoors!A58,BackdoorsMoveset!A2:CL112,90,FALSE)+VLOOKUP(Backdoors!A59,BackdoorsMoveset!A2:CL112,90,FALSE)+VLOOKUP(Backdoors!A60,BackdoorsMoveset!A2:CL112,90,FALSE)+VLOOKUP(Backdoors!A61,BackdoorsMoveset!A2:CL112,90,FALSE),0)</f>
        <v>0</v>
      </c>
      <c r="BN15">
        <f>IFERROR(VLOOKUP(Backdoors!A37,BackdoorsMoveset!A2:CN112,92,FALSE)+VLOOKUP(Backdoors!A38,BackdoorsMoveset!A2:CN112,92,FALSE)+VLOOKUP(Backdoors!A39,BackdoorsMoveset!A2:CN112,92,FALSE)+VLOOKUP(Backdoors!A40,BackdoorsMoveset!A2:CN112,92,FALSE)+VLOOKUP(Backdoors!A41,BackdoorsMoveset!A2:CN112,92,FALSE)+VLOOKUP(Backdoors!A42,BackdoorsMoveset!A2:CN112,92,FALSE)+VLOOKUP(Backdoors!A43,BackdoorsMoveset!A2:CN112,92,FALSE)+VLOOKUP(Backdoors!A44,BackdoorsMoveset!A2:CN112,92,FALSE)+VLOOKUP(Backdoors!A45,BackdoorsMoveset!A2:CN112,92,FALSE)+VLOOKUP(Backdoors!A46,BackdoorsMoveset!A2:CN112,92,FALSE)+VLOOKUP(Backdoors!A47,BackdoorsMoveset!A2:CN112,92,FALSE)+VLOOKUP(Backdoors!A48,BackdoorsMoveset!A2:CN112,92,FALSE)+VLOOKUP(Backdoors!A49,BackdoorsMoveset!A2:CN112,92,FALSE)+VLOOKUP(Backdoors!A50,BackdoorsMoveset!A2:CN112,92,FALSE)+VLOOKUP(Backdoors!A51,BackdoorsMoveset!A2:CN112,92,FALSE)+VLOOKUP(Backdoors!A52,BackdoorsMoveset!A2:CN112,92,FALSE)+VLOOKUP(Backdoors!A53,BackdoorsMoveset!A2:CN112,92,FALSE)+VLOOKUP(Backdoors!A54,BackdoorsMoveset!A2:CN112,92,FALSE)+VLOOKUP(Backdoors!A55,BackdoorsMoveset!A2:CN112,92,FALSE)+VLOOKUP(Backdoors!A56,BackdoorsMoveset!A2:CN112,92,FALSE)+VLOOKUP(Backdoors!A57,BackdoorsMoveset!A2:CN112,92,FALSE)+VLOOKUP(Backdoors!A58,BackdoorsMoveset!A2:CN112,92,FALSE)+VLOOKUP(Backdoors!A59,BackdoorsMoveset!A2:CN112,92,FALSE)+VLOOKUP(Backdoors!A60,BackdoorsMoveset!A2:CN112,92,FALSE)+VLOOKUP(Backdoors!A61,BackdoorsMoveset!A2:CN112,92,FALSE),0)</f>
        <v>0</v>
      </c>
      <c r="BO15" s="49">
        <f>IF(BN15=0,0,IF(OR(B9="Poison",$B11="Poison",B2="Light Bowgun",B2="Heavy Bowgun"),ROUND(Backdoors!A36*VLOOKUP(AO7,tbStatus!$A3:$F18,6,FALSE)*IF((AO16*AO30)&gt;1,1,(AO16*AO30)),0),IF(OR(B9="Blast",B11="Blast"),AR169,0)))</f>
        <v>0</v>
      </c>
      <c r="BP15">
        <f t="shared" si="0"/>
        <v>0</v>
      </c>
      <c r="BQ15" s="49" t="str">
        <f>CONCATENATE(AX15,IF(AND(BI15=TRUE,Calculator!B8=TRUE),CONCATENATE(" (Tenderized)"),""),IF(BP15=0,"",CONCATENATE(", ",BP15)))</f>
        <v/>
      </c>
      <c r="BR15">
        <f>VLOOKUP(Calculator!B4,SavedBuildNumbers!A1:N73,14,FALSE)</f>
        <v>0</v>
      </c>
      <c r="BS15">
        <f>VLOOKUP(Calculator!B4,SavedBuildNumbers!A1:BC73,55,FALSE)</f>
        <v>0</v>
      </c>
      <c r="BU15" s="49">
        <f>IFERROR(ROUNDDOWN((IF((ROUND((VLOOKUP(tbMoveset!A15,tbMoveset!A2:F112,6,FALSE)+(IF(VLOOKUP(tbMoveset!A15,tbMoveset!A2:F112,6,FALSE)&gt;0,K41,0)))*(1+(IF(VLOOKUP(tbMoveset!A15,tbMoveset!A2:I112,9,FALSE)="Fire",VLOOKUP(Calculator!$E24,tbSkills!$AX3:$AZ9,3,FALSE),IF(VLOOKUP(tbMoveset!A15,tbMoveset!A2:I112,9,FALSE)="Water",VLOOKUP(Calculator!$E25,tbSkills!$AX3:$AZ9,3,FALSE),IF(VLOOKUP(BackdoorsMoveset!A15,tbMoveset!A2:I112,9,FALSE)="Thunder",VLOOKUP(Calculator!$E26,tbSkills!$AX3:$AZ9,3,FALSE),IF(VLOOKUP(tbMoveset!A15,tbMoveset!A2:I112,9,FALSE)="Ice",VLOOKUP(Calculator!$E27,tbSkills!$AX3:$AZ9,3,FALSE),IF(VLOOKUP(tbMoveset!A15,tbMoveset!A2:I112,9,FALSE)="Dragon",VLOOKUP(Calculator!$E28,tbSkills!$AX3:$AZ9,3,FALSE),0)))))/100))*AC7,0)+IF(VLOOKUP(tbMoveset!A15,tbMoveset!A2:F112,6,FALSE)&gt;0,IF(VLOOKUP(tbMoveset!A15,tbMoveset!A2:I112,9,FALSE)="Fire",VLOOKUP(Calculator!$E24,tbSkills!$AX3:$AY9,2,FALSE),IF(VLOOKUP(tbMoveset!A15,tbMoveset!A2:I112,9,FALSE)="Water",VLOOKUP(Calculator!$E25,tbSkills!$AX3:$AY9,2,FALSE),IF(VLOOKUP(tbMoveset!A15,tbMoveset!A2:I112,9,FALSE)="Thunder",VLOOKUP(Calculator!$E26,tbSkills!$AX3:$AY9,2,FALSE),IF(VLOOKUP(tbMoveset!A15,tbMoveset!A2:I112,9,FALSE)="Ice",VLOOKUP(Calculator!$E27,tbSkills!$AX3:$AY9,2,FALSE),IF(VLOOKUP(tbMoveset!A15,tbMoveset!A2:I112,9,FALSE)="Dragon",VLOOKUP(Calculator!$E28,tbSkills!$AX3:$AY9,2,FALSE),0))))),0)/10)&gt;=B34,B34,(ROUND((VLOOKUP(tbMoveset!A15,tbMoveset!A2:F112,6,FALSE)+(IF(VLOOKUP(tbMoveset!A15,tbMoveset!A2:F112,6,FALSE)&gt;0,K41,0)))*(1+(IF(VLOOKUP(tbMoveset!A15,tbMoveset!A2:I112,9,FALSE)="Fire",VLOOKUP(Calculator!$E24,tbSkills!$AX3:$AZ9,3,FALSE),IF(VLOOKUP(tbMoveset!A15,tbMoveset!A2:I112,9,FALSE)="Water",VLOOKUP(Calculator!$E25,tbSkills!$AX3:$AZ9,3,FALSE),IF(VLOOKUP(BackdoorsMoveset!A15,tbMoveset!A2:I112,9,FALSE)="Thunder",VLOOKUP(Calculator!$E26,tbSkills!$AX3:$AZ9,3,FALSE),IF(VLOOKUP(tbMoveset!A15,tbMoveset!A2:I112,9,FALSE)="Ice",VLOOKUP(Calculator!$E27,tbSkills!$AX3:$AZ9,3,FALSE),IF(VLOOKUP(tbMoveset!A15,tbMoveset!A2:I112,9,FALSE)="Dragon",VLOOKUP(Calculator!$E28,tbSkills!$AX3:$AZ9,3,FALSE),0)))))/100))*AC7,0)+IF(VLOOKUP(tbMoveset!A15,tbMoveset!A2:F112,6,FALSE)&gt;0,IF(VLOOKUP(tbMoveset!A15,tbMoveset!A2:I112,9,FALSE)="Fire",VLOOKUP(Calculator!$E24,tbSkills!$AX3:$AY9,2,FALSE),IF(VLOOKUP(tbMoveset!A15,tbMoveset!A2:I112,9,FALSE)="Water",VLOOKUP(Calculator!$E25,tbSkills!$AX3:$AY9,2,FALSE),IF(VLOOKUP(tbMoveset!A15,tbMoveset!A2:I112,9,FALSE)="Thunder",VLOOKUP(Calculator!$E26,tbSkills!$AX3:$AY9,2,FALSE),IF(VLOOKUP(tbMoveset!A15,tbMoveset!A2:I112,9,FALSE)="Ice",VLOOKUP(Calculator!$E27,tbSkills!$AX3:$AY9,2,FALSE),IF(VLOOKUP(tbMoveset!A15,tbMoveset!A2:I112,9,FALSE)="Dragon",VLOOKUP(Calculator!$E28,tbSkills!$AX3:$AY9,2,FALSE),0))))),0)/10))*N6)*AC6,0)*(B30/100),0)</f>
        <v>0</v>
      </c>
    </row>
    <row r="16" spans="1:73" x14ac:dyDescent="0.25">
      <c r="A16" t="s">
        <v>261</v>
      </c>
      <c r="B16">
        <f>B15+IF(B15&gt;0,T7,0)</f>
        <v>0</v>
      </c>
      <c r="D16" t="s">
        <v>199</v>
      </c>
      <c r="E16">
        <f>(10-E7)+E5</f>
        <v>16</v>
      </c>
      <c r="J16" s="113" t="s">
        <v>851</v>
      </c>
      <c r="K16" s="113"/>
      <c r="Y16" t="s">
        <v>889</v>
      </c>
      <c r="Z16">
        <f>1+IF(OR(B2="Light Bowgun",B2="Heavy Bowgun",B2="Bow"),(VLOOKUP(Calculator!E19,tbSkills!CL3:CM5,2,FALSE)/100),0)</f>
        <v>1</v>
      </c>
      <c r="AN16" t="s">
        <v>573</v>
      </c>
      <c r="AO16">
        <f>IF(OR(B9="Poison",$B11="Poison",B2="Light Bowgun",B2="Heavy Bowgun"),IF(AO7&gt;0,(IF(OR(B2="Light Bowgun",B2="Heavy Bowgun"),AO15,AO6)*AO9)/(VLOOKUP(AO7,tbStatus!$A3:$B18,2,FALSE)+((VLOOKUP(AO7,tbStatus!$A3:$C18,3,FALSE)*AO11)*3)),0),0)</f>
        <v>0</v>
      </c>
      <c r="AQ16" t="s">
        <v>234</v>
      </c>
      <c r="AR16">
        <f>IFERROR(N8/BN4,0)</f>
        <v>9.3245033112582778</v>
      </c>
      <c r="AT16">
        <v>15</v>
      </c>
      <c r="AU16">
        <f>$AU15+IF(AO12+((AO10*14)*AO11)&gt;AO13,AO13,AO12+((AO10*14)*AO11))</f>
        <v>2430</v>
      </c>
      <c r="AW16" s="49" t="str">
        <f>IFERROR(INDEX(tbHitzones!K:K,MATCH(ROWS(tbHitzones!$1:14),tbHitzones!K:K,0)),"")</f>
        <v/>
      </c>
      <c r="AX16" s="49" t="str">
        <f>IFERROR(INDEX(tbHitzones!B:B,MATCH(ROWS(tbHitzones!$1:14),tbHitzones!K:K,0)),"")</f>
        <v/>
      </c>
      <c r="AY16" s="49" t="str">
        <f>IFERROR(INDEX(tbHitzones!C:C,MATCH(ROWS(tbHitzones!$1:14),tbHitzones!K:K,0)),"")</f>
        <v/>
      </c>
      <c r="AZ16" s="49" t="str">
        <f>IFERROR(INDEX(tbHitzones!D:D,MATCH(ROWS(tbHitzones!$1:14),tbHitzones!K:K,0)),"")</f>
        <v/>
      </c>
      <c r="BA16" s="49" t="str">
        <f>IFERROR(INDEX(tbHitzones!E:E,MATCH(ROWS(tbHitzones!$1:14),tbHitzones!K:K,0)),"")</f>
        <v/>
      </c>
      <c r="BB16" s="49" t="str">
        <f>IFERROR(INDEX(tbHitzones!F:F,MATCH(ROWS(tbHitzones!$1:14),tbHitzones!K:K,0)),"")</f>
        <v/>
      </c>
      <c r="BC16" s="49" t="str">
        <f>IFERROR(INDEX(tbHitzones!G:G,MATCH(ROWS(tbHitzones!$1:14),tbHitzones!K:K,0)),"")</f>
        <v/>
      </c>
      <c r="BD16" s="49" t="str">
        <f>IFERROR(INDEX(tbHitzones!H:H,MATCH(ROWS(tbHitzones!$1:14),tbHitzones!K:K,0)),"")</f>
        <v/>
      </c>
      <c r="BE16" s="49" t="str">
        <f>IFERROR(INDEX(tbHitzones!I:I,MATCH(ROWS(tbHitzones!$1:14),tbHitzones!K:K,0)),"")</f>
        <v/>
      </c>
      <c r="BF16" s="49" t="str">
        <f>IFERROR(INDEX(tbHitzones!J:J,MATCH(ROWS(tbHitzones!$1:14),tbHitzones!K:K,0)),"")</f>
        <v/>
      </c>
      <c r="BG16" s="49">
        <f>IFERROR(IF(OR(B9="Fire",B11="Fire"),BB16,IF(OR(B9="Water",B11="Water"),BC16,IF(OR(B9="Thunder",B11="Thunder"),BD16,IF(OR(B9="Ice",B11="Ice"),BE16,IF(OR(B9="Dragon",B11="Dragon"),BF16,0))))),"")</f>
        <v>0</v>
      </c>
      <c r="BH16" s="49" t="str">
        <f>IFERROR(INDEX(tbHitzones!L:L,MATCH(ROWS(tbHitzones!$1:14),tbHitzones!K:K,0)),"")</f>
        <v/>
      </c>
      <c r="BI16" s="49" t="str">
        <f>IFERROR(INDEX(tbHitzones!M:M,MATCH(ROWS(tbHitzones!$1:14),tbHitzones!K:K,0)),"")</f>
        <v/>
      </c>
      <c r="BK16" s="49" t="str">
        <f>IFERROR(INDEX(tbHitzones!K:K,MATCH(ROWS(tbHitzones!$1:14),tbHitzones!K:K,0)),"")</f>
        <v/>
      </c>
      <c r="BL16">
        <f>IFERROR(VLOOKUP(Backdoors!A37,BackdoorsMoveset!A2:CR112,96,FALSE)+VLOOKUP(Backdoors!A38,BackdoorsMoveset!A2:CR112,96,FALSE)+VLOOKUP(Backdoors!A39,BackdoorsMoveset!A2:CR112,96,FALSE)+VLOOKUP(Backdoors!A40,BackdoorsMoveset!A2:CR112,96,FALSE)+VLOOKUP(Backdoors!A41,BackdoorsMoveset!A2:CR112,96,FALSE)+VLOOKUP(Backdoors!A42,BackdoorsMoveset!A2:CR112,96,FALSE)+VLOOKUP(Backdoors!A43,BackdoorsMoveset!A2:CR112,96,FALSE)+VLOOKUP(Backdoors!A44,BackdoorsMoveset!A2:CR112,96,FALSE)+VLOOKUP(Backdoors!A45,BackdoorsMoveset!A2:CR112,96,FALSE)+VLOOKUP(Backdoors!A46,BackdoorsMoveset!A2:CR112,96,FALSE)+VLOOKUP(Backdoors!A47,BackdoorsMoveset!A2:CR112,96,FALSE)+VLOOKUP(Backdoors!A48,BackdoorsMoveset!A2:CR112,96,FALSE)+VLOOKUP(Backdoors!A49,BackdoorsMoveset!A2:CR112,96,FALSE)+VLOOKUP(Backdoors!A50,BackdoorsMoveset!A2:CR112,96,FALSE)+VLOOKUP(Backdoors!A51,BackdoorsMoveset!A2:CR112,96,FALSE)+VLOOKUP(Backdoors!A52,BackdoorsMoveset!A2:CR112,96,FALSE)+VLOOKUP(Backdoors!A53,BackdoorsMoveset!A2:CR112,96,FALSE)+VLOOKUP(Backdoors!A54,BackdoorsMoveset!A2:CR112,96,FALSE)+VLOOKUP(Backdoors!A55,BackdoorsMoveset!A2:CR112,96,FALSE)+VLOOKUP(Backdoors!A56,BackdoorsMoveset!A2:CR112,96,FALSE)+VLOOKUP(Backdoors!A57,BackdoorsMoveset!A2:CR112,96,FALSE)+VLOOKUP(Backdoors!A58,BackdoorsMoveset!A2:CR112,96,FALSE)+VLOOKUP(Backdoors!A59,BackdoorsMoveset!A2:CR112,96,FALSE)+VLOOKUP(Backdoors!A60,BackdoorsMoveset!A2:CR112,96,FALSE)+VLOOKUP(Backdoors!A61,BackdoorsMoveset!A2:CR112,96,FALSE),0)</f>
        <v>0</v>
      </c>
      <c r="BM16">
        <f>IFERROR(VLOOKUP(Backdoors!A37,BackdoorsMoveset!A2:CS112,97,FALSE)+VLOOKUP(Backdoors!A38,BackdoorsMoveset!A2:CS112,97,FALSE)+VLOOKUP(Backdoors!A39,BackdoorsMoveset!A2:CS112,97,FALSE)+VLOOKUP(Backdoors!A40,BackdoorsMoveset!A2:CS112,97,FALSE)+VLOOKUP(Backdoors!A41,BackdoorsMoveset!A2:CS112,97,FALSE)+VLOOKUP(Backdoors!A42,BackdoorsMoveset!A2:CS112,97,FALSE)+VLOOKUP(Backdoors!A43,BackdoorsMoveset!A2:CS112,97,FALSE)+VLOOKUP(Backdoors!A44,BackdoorsMoveset!A2:CS112,97,FALSE)+VLOOKUP(Backdoors!A45,BackdoorsMoveset!A2:CS112,97,FALSE)+VLOOKUP(Backdoors!A46,BackdoorsMoveset!A2:CS112,97,FALSE)+VLOOKUP(Backdoors!A47,BackdoorsMoveset!A2:CS112,97,FALSE)+VLOOKUP(Backdoors!A48,BackdoorsMoveset!A2:CS112,97,FALSE)+VLOOKUP(Backdoors!A49,BackdoorsMoveset!A2:CS112,97,FALSE)+VLOOKUP(Backdoors!A50,BackdoorsMoveset!A2:CS112,97,FALSE)+VLOOKUP(Backdoors!A51,BackdoorsMoveset!A2:CS112,97,FALSE)+VLOOKUP(Backdoors!A52,BackdoorsMoveset!A2:CS112,97,FALSE)+VLOOKUP(Backdoors!A53,BackdoorsMoveset!A2:CS112,97,FALSE)+VLOOKUP(Backdoors!A54,BackdoorsMoveset!A2:CS112,97,FALSE)+VLOOKUP(Backdoors!A55,BackdoorsMoveset!A2:CS112,97,FALSE)+VLOOKUP(Backdoors!A56,BackdoorsMoveset!A2:CS112,97,FALSE)+VLOOKUP(Backdoors!A57,BackdoorsMoveset!A2:CS112,97,FALSE)+VLOOKUP(Backdoors!A58,BackdoorsMoveset!A2:CS112,97,FALSE)+VLOOKUP(Backdoors!A59,BackdoorsMoveset!A2:CS112,97,FALSE)+VLOOKUP(Backdoors!A60,BackdoorsMoveset!A2:CS112,97,FALSE)+VLOOKUP(Backdoors!A61,BackdoorsMoveset!A2:CS112,97,FALSE),0)</f>
        <v>0</v>
      </c>
      <c r="BN16">
        <f>IFERROR(VLOOKUP(Backdoors!A37,BackdoorsMoveset!A2:CU112,99,FALSE)+VLOOKUP(Backdoors!A38,BackdoorsMoveset!A2:CU112,99,FALSE)+VLOOKUP(Backdoors!A39,BackdoorsMoveset!A2:CU112,99,FALSE)+VLOOKUP(Backdoors!A40,BackdoorsMoveset!A2:CU112,99,FALSE)+VLOOKUP(Backdoors!A41,BackdoorsMoveset!A2:CU112,99,FALSE)+VLOOKUP(Backdoors!A42,BackdoorsMoveset!A2:CU112,99,FALSE)+VLOOKUP(Backdoors!A43,BackdoorsMoveset!A2:CU112,99,FALSE)+VLOOKUP(Backdoors!A44,BackdoorsMoveset!A2:CU112,99,FALSE)+VLOOKUP(Backdoors!A45,BackdoorsMoveset!A2:CU112,99,FALSE)+VLOOKUP(Backdoors!A46,BackdoorsMoveset!A2:CU112,99,FALSE)+VLOOKUP(Backdoors!A47,BackdoorsMoveset!A2:CU112,99,FALSE)+VLOOKUP(Backdoors!A48,BackdoorsMoveset!A2:CU112,99,FALSE)+VLOOKUP(Backdoors!A49,BackdoorsMoveset!A2:CU112,99,FALSE)+VLOOKUP(Backdoors!A50,BackdoorsMoveset!A2:CU112,99,FALSE)+VLOOKUP(Backdoors!A51,BackdoorsMoveset!A2:CU112,99,FALSE)+VLOOKUP(Backdoors!A52,BackdoorsMoveset!A2:CU112,99,FALSE)+VLOOKUP(Backdoors!A53,BackdoorsMoveset!A2:CU112,99,FALSE)+VLOOKUP(Backdoors!A54,BackdoorsMoveset!A2:CU112,99,FALSE)+VLOOKUP(Backdoors!A55,BackdoorsMoveset!A2:CU112,99,FALSE)+VLOOKUP(Backdoors!A56,BackdoorsMoveset!A2:CU112,99,FALSE)+VLOOKUP(Backdoors!A57,BackdoorsMoveset!A2:CU112,99,FALSE)+VLOOKUP(Backdoors!A58,BackdoorsMoveset!A2:CU112,99,FALSE)+VLOOKUP(Backdoors!A59,BackdoorsMoveset!A2:CU112,99,FALSE)+VLOOKUP(Backdoors!A60,BackdoorsMoveset!A2:CU112,99,FALSE)+VLOOKUP(Backdoors!A61,BackdoorsMoveset!A2:CU112,99,FALSE),0)</f>
        <v>0</v>
      </c>
      <c r="BO16" s="49">
        <f>IF(BN16=0,0,IF(OR(B9="Poison",$B11="Poison",B2="Light Bowgun",B2="Heavy Bowgun"),ROUND(Backdoors!A36*VLOOKUP(AO7,tbStatus!$A3:$F18,6,FALSE)*IF((AO16*AO31)&gt;1,1,(AO16*AO31)),0),IF(OR(B9="Blast",B11="Blast"),AR182,0)))</f>
        <v>0</v>
      </c>
      <c r="BP16">
        <f t="shared" si="0"/>
        <v>0</v>
      </c>
      <c r="BQ16" s="49" t="str">
        <f>CONCATENATE(AX16,IF(AND(BI16=TRUE,Calculator!B8=TRUE),CONCATENATE(" (Tenderized)"),""),IF(BP16=0,"",CONCATENATE(", ",BP16)))</f>
        <v/>
      </c>
      <c r="BR16">
        <f>VLOOKUP(Calculator!B4,SavedBuildNumbers!A1:O73,15,FALSE)</f>
        <v>0</v>
      </c>
      <c r="BS16">
        <f>VLOOKUP(Calculator!B4,SavedBuildNumbers!A1:BD73,56,FALSE)</f>
        <v>0</v>
      </c>
      <c r="BU16" s="49">
        <f>IFERROR(ROUNDDOWN((IF((ROUND((VLOOKUP(tbMoveset!A16,tbMoveset!A2:F112,6,FALSE)+(IF(VLOOKUP(tbMoveset!A16,tbMoveset!A2:F112,6,FALSE)&gt;0,K41,0)))*(1+(IF(VLOOKUP(tbMoveset!A16,tbMoveset!A2:I112,9,FALSE)="Fire",VLOOKUP(Calculator!$E24,tbSkills!$AX3:$AZ9,3,FALSE),IF(VLOOKUP(tbMoveset!A16,tbMoveset!A2:I112,9,FALSE)="Water",VLOOKUP(Calculator!$E25,tbSkills!$AX3:$AZ9,3,FALSE),IF(VLOOKUP(BackdoorsMoveset!A16,tbMoveset!A2:I112,9,FALSE)="Thunder",VLOOKUP(Calculator!$E26,tbSkills!$AX3:$AZ9,3,FALSE),IF(VLOOKUP(tbMoveset!A16,tbMoveset!A2:I112,9,FALSE)="Ice",VLOOKUP(Calculator!$E27,tbSkills!$AX3:$AZ9,3,FALSE),IF(VLOOKUP(tbMoveset!A16,tbMoveset!A2:I112,9,FALSE)="Dragon",VLOOKUP(Calculator!$E28,tbSkills!$AX3:$AZ9,3,FALSE),0)))))/100))*AC7,0)+IF(VLOOKUP(tbMoveset!A16,tbMoveset!A2:F112,6,FALSE)&gt;0,IF(VLOOKUP(tbMoveset!A16,tbMoveset!A2:I112,9,FALSE)="Fire",VLOOKUP(Calculator!$E24,tbSkills!$AX3:$AY9,2,FALSE),IF(VLOOKUP(tbMoveset!A16,tbMoveset!A2:I112,9,FALSE)="Water",VLOOKUP(Calculator!$E25,tbSkills!$AX3:$AY9,2,FALSE),IF(VLOOKUP(tbMoveset!A16,tbMoveset!A2:I112,9,FALSE)="Thunder",VLOOKUP(Calculator!$E26,tbSkills!$AX3:$AY9,2,FALSE),IF(VLOOKUP(tbMoveset!A16,tbMoveset!A2:I112,9,FALSE)="Ice",VLOOKUP(Calculator!$E27,tbSkills!$AX3:$AY9,2,FALSE),IF(VLOOKUP(tbMoveset!A16,tbMoveset!A2:I112,9,FALSE)="Dragon",VLOOKUP(Calculator!$E28,tbSkills!$AX3:$AY9,2,FALSE),0))))),0)/10)&gt;=B34,B34,(ROUND((VLOOKUP(tbMoveset!A16,tbMoveset!A2:F112,6,FALSE)+(IF(VLOOKUP(tbMoveset!A16,tbMoveset!A2:F112,6,FALSE)&gt;0,K41,0)))*(1+(IF(VLOOKUP(tbMoveset!A16,tbMoveset!A2:I112,9,FALSE)="Fire",VLOOKUP(Calculator!$E24,tbSkills!$AX3:$AZ9,3,FALSE),IF(VLOOKUP(tbMoveset!A16,tbMoveset!A2:I112,9,FALSE)="Water",VLOOKUP(Calculator!$E25,tbSkills!$AX3:$AZ9,3,FALSE),IF(VLOOKUP(BackdoorsMoveset!A16,tbMoveset!A2:I112,9,FALSE)="Thunder",VLOOKUP(Calculator!$E26,tbSkills!$AX3:$AZ9,3,FALSE),IF(VLOOKUP(tbMoveset!A16,tbMoveset!A2:I112,9,FALSE)="Ice",VLOOKUP(Calculator!$E27,tbSkills!$AX3:$AZ9,3,FALSE),IF(VLOOKUP(tbMoveset!A16,tbMoveset!A2:I112,9,FALSE)="Dragon",VLOOKUP(Calculator!$E28,tbSkills!$AX3:$AZ9,3,FALSE),0)))))/100))*AC7,0)+IF(VLOOKUP(tbMoveset!A16,tbMoveset!A2:F112,6,FALSE)&gt;0,IF(VLOOKUP(tbMoveset!A16,tbMoveset!A2:I112,9,FALSE)="Fire",VLOOKUP(Calculator!$E24,tbSkills!$AX3:$AY9,2,FALSE),IF(VLOOKUP(tbMoveset!A16,tbMoveset!A2:I112,9,FALSE)="Water",VLOOKUP(Calculator!$E25,tbSkills!$AX3:$AY9,2,FALSE),IF(VLOOKUP(tbMoveset!A16,tbMoveset!A2:I112,9,FALSE)="Thunder",VLOOKUP(Calculator!$E26,tbSkills!$AX3:$AY9,2,FALSE),IF(VLOOKUP(tbMoveset!A16,tbMoveset!A2:I112,9,FALSE)="Ice",VLOOKUP(Calculator!$E27,tbSkills!$AX3:$AY9,2,FALSE),IF(VLOOKUP(tbMoveset!A16,tbMoveset!A2:I112,9,FALSE)="Dragon",VLOOKUP(Calculator!$E28,tbSkills!$AX3:$AY9,2,FALSE),0))))),0)/10))*N6)*AC6,0)*(B30/100),0)</f>
        <v>0</v>
      </c>
    </row>
    <row r="17" spans="1:73" x14ac:dyDescent="0.25">
      <c r="A17" t="s">
        <v>1540</v>
      </c>
      <c r="B17">
        <f>IF(B16&gt;=B34,B34,B16)</f>
        <v>0</v>
      </c>
      <c r="D17" t="s">
        <v>200</v>
      </c>
      <c r="E17">
        <f>(E16-E5-E14)*-1</f>
        <v>-4</v>
      </c>
      <c r="J17" t="s">
        <v>766</v>
      </c>
      <c r="K17">
        <f>VLOOKUP(Calculator!B2,tbWeapons!A2:AJ271,36,FALSE)</f>
        <v>0</v>
      </c>
      <c r="Y17" t="s">
        <v>1552</v>
      </c>
      <c r="Z17">
        <f>IF(AND(Calculator!$B$57=TRUE,B2="Hammer"),1.07,1)</f>
        <v>1</v>
      </c>
      <c r="AN17" t="s">
        <v>911</v>
      </c>
      <c r="AO17">
        <f>IF(AI12&gt;=0,1+(IF(Calculator!E40&gt;0,VLOOKUP(Calculator!E40,tbSkills!AI3:AJ5,2,FALSE),AL4)*(IF((AI12+IF(BackdoorsMoveset!B3&gt;=0.45,VLOOKUP(Calculator!E23,tbSkills!DH3:DI6,2,FALSE)+IF(AND(Calculator!B8=TRUE,BI3=TRUE),VLOOKUP(Calculator!E23,tbSkills!DH3:DJ6,3,FALSE),0),0))&gt;=100,100,(AI12+IF(BackdoorsMoveset!B3&gt;=0.45,VLOOKUP(Calculator!E23,tbSkills!DH3:DI6,2,FALSE)+IF(AND(Calculator!B8=TRUE,BI3=TRUE),VLOOKUP(Calculator!E23,tbSkills!DH3:DJ6,3,FALSE),0),0)))/100)),1)</f>
        <v>1</v>
      </c>
      <c r="AQ17" t="s">
        <v>572</v>
      </c>
      <c r="AR17">
        <f>AO6*AO19</f>
        <v>0</v>
      </c>
      <c r="AT17">
        <v>16</v>
      </c>
      <c r="AU17">
        <f>$AU16+IF(AO12+((AO10*15)*AO11)&gt;AO13,AO13,AO12+((AO10*15)*AO11))</f>
        <v>2736</v>
      </c>
      <c r="AW17" s="49" t="str">
        <f>IFERROR(INDEX(tbHitzones!K:K,MATCH(ROWS(tbHitzones!$1:15),tbHitzones!K:K,0)),"")</f>
        <v/>
      </c>
      <c r="AX17" s="49" t="str">
        <f>IFERROR(INDEX(tbHitzones!B:B,MATCH(ROWS(tbHitzones!$1:15),tbHitzones!K:K,0)),"")</f>
        <v/>
      </c>
      <c r="AY17" s="49" t="str">
        <f>IFERROR(INDEX(tbHitzones!C:C,MATCH(ROWS(tbHitzones!$1:15),tbHitzones!K:K,0)),"")</f>
        <v/>
      </c>
      <c r="AZ17" s="49" t="str">
        <f>IFERROR(INDEX(tbHitzones!D:D,MATCH(ROWS(tbHitzones!$1:15),tbHitzones!K:K,0)),"")</f>
        <v/>
      </c>
      <c r="BA17" s="49" t="str">
        <f>IFERROR(INDEX(tbHitzones!E:E,MATCH(ROWS(tbHitzones!$1:15),tbHitzones!K:K,0)),"")</f>
        <v/>
      </c>
      <c r="BB17" s="49" t="str">
        <f>IFERROR(INDEX(tbHitzones!F:F,MATCH(ROWS(tbHitzones!$1:15),tbHitzones!K:K,0)),"")</f>
        <v/>
      </c>
      <c r="BC17" s="49" t="str">
        <f>IFERROR(INDEX(tbHitzones!G:G,MATCH(ROWS(tbHitzones!$1:15),tbHitzones!K:K,0)),"")</f>
        <v/>
      </c>
      <c r="BD17" s="49" t="str">
        <f>IFERROR(INDEX(tbHitzones!H:H,MATCH(ROWS(tbHitzones!$1:15),tbHitzones!K:K,0)),"")</f>
        <v/>
      </c>
      <c r="BE17" s="49" t="str">
        <f>IFERROR(INDEX(tbHitzones!I:I,MATCH(ROWS(tbHitzones!$1:15),tbHitzones!K:K,0)),"")</f>
        <v/>
      </c>
      <c r="BF17" s="49" t="str">
        <f>IFERROR(INDEX(tbHitzones!J:J,MATCH(ROWS(tbHitzones!$1:15),tbHitzones!K:K,0)),"")</f>
        <v/>
      </c>
      <c r="BG17" s="49">
        <f>IFERROR(IF(OR(B9="Fire",B11="Fire"),BB17,IF(OR(B9="Water",B11="Water"),BC17,IF(OR(B9="Thunder",B11="Thunder"),BD17,IF(OR(B9="Ice",B11="Ice"),BE17,IF(OR(B9="Dragon",B11="Dragon"),BF17,0))))),"")</f>
        <v>0</v>
      </c>
      <c r="BH17" s="49" t="str">
        <f>IFERROR(INDEX(tbHitzones!L:L,MATCH(ROWS(tbHitzones!$1:15),tbHitzones!K:K,0)),"")</f>
        <v/>
      </c>
      <c r="BI17" s="49" t="str">
        <f>IFERROR(INDEX(tbHitzones!M:M,MATCH(ROWS(tbHitzones!$1:15),tbHitzones!K:K,0)),"")</f>
        <v/>
      </c>
      <c r="BK17" s="49" t="str">
        <f>IFERROR(INDEX(tbHitzones!K:K,MATCH(ROWS(tbHitzones!$1:15),tbHitzones!K:K,0)),"")</f>
        <v/>
      </c>
      <c r="BL17">
        <f>IFERROR(VLOOKUP(Backdoors!A37,BackdoorsMoveset!A2:CY112,103,FALSE)+VLOOKUP(Backdoors!A38,BackdoorsMoveset!A2:CY112,103,FALSE)+VLOOKUP(Backdoors!A39,BackdoorsMoveset!A2:CY112,103,FALSE)+VLOOKUP(Backdoors!A40,BackdoorsMoveset!A2:CY112,103,FALSE)+VLOOKUP(Backdoors!A41,BackdoorsMoveset!A2:CY112,103,FALSE)+VLOOKUP(Backdoors!A42,BackdoorsMoveset!A2:CY112,103,FALSE)+VLOOKUP(Backdoors!A43,BackdoorsMoveset!A2:CY112,103,FALSE)+VLOOKUP(Backdoors!A44,BackdoorsMoveset!A2:CY112,103,FALSE)+VLOOKUP(Backdoors!A45,BackdoorsMoveset!A2:CY112,103,FALSE)+VLOOKUP(Backdoors!A46,BackdoorsMoveset!A2:CY112,103,FALSE)+VLOOKUP(Backdoors!A47,BackdoorsMoveset!A2:CY112,103,FALSE)+VLOOKUP(Backdoors!A48,BackdoorsMoveset!A2:CY112,103,FALSE)+VLOOKUP(Backdoors!A49,BackdoorsMoveset!A2:CY112,103,FALSE)+VLOOKUP(Backdoors!A50,BackdoorsMoveset!A2:CY112,103,FALSE)+VLOOKUP(Backdoors!A51,BackdoorsMoveset!A2:CY112,103,FALSE)+VLOOKUP(Backdoors!A52,BackdoorsMoveset!A2:CY112,103,FALSE)+VLOOKUP(Backdoors!A53,BackdoorsMoveset!A2:CY112,103,FALSE)+VLOOKUP(Backdoors!A54,BackdoorsMoveset!A2:CY112,103,FALSE)+VLOOKUP(Backdoors!A55,BackdoorsMoveset!A2:CY112,103,FALSE)+VLOOKUP(Backdoors!A56,BackdoorsMoveset!A2:CY112,103,FALSE)+VLOOKUP(Backdoors!A57,BackdoorsMoveset!A2:CY112,103,FALSE)+VLOOKUP(Backdoors!A58,BackdoorsMoveset!A2:CY112,103,FALSE)+VLOOKUP(Backdoors!A59,BackdoorsMoveset!A2:CY112,103,FALSE)+VLOOKUP(Backdoors!A60,BackdoorsMoveset!A2:CY112,103,FALSE)+VLOOKUP(Backdoors!A61,BackdoorsMoveset!A2:CY112,103,FALSE),0)</f>
        <v>0</v>
      </c>
      <c r="BM17">
        <f>IFERROR(VLOOKUP(Backdoors!A37,BackdoorsMoveset!A2:CZ112,104,FALSE)+VLOOKUP(Backdoors!A38,BackdoorsMoveset!A2:CZ112,104,FALSE)+VLOOKUP(Backdoors!A39,BackdoorsMoveset!A2:CZ112,104,FALSE)+VLOOKUP(Backdoors!A40,BackdoorsMoveset!A2:CZ112,104,FALSE)+VLOOKUP(Backdoors!A41,BackdoorsMoveset!A2:CZ112,104,FALSE)+VLOOKUP(Backdoors!A42,BackdoorsMoveset!A2:CZ112,104,FALSE)+VLOOKUP(Backdoors!A43,BackdoorsMoveset!A2:CZ112,104,FALSE)+VLOOKUP(Backdoors!A44,BackdoorsMoveset!A2:CZ112,104,FALSE)+VLOOKUP(Backdoors!A45,BackdoorsMoveset!A2:CZ112,104,FALSE)+VLOOKUP(Backdoors!A46,BackdoorsMoveset!A2:CZ112,104,FALSE)+VLOOKUP(Backdoors!A47,BackdoorsMoveset!A2:CZ112,104,FALSE)+VLOOKUP(Backdoors!A48,BackdoorsMoveset!A2:CZ112,104,FALSE)+VLOOKUP(Backdoors!A49,BackdoorsMoveset!A2:CZ112,104,FALSE)+VLOOKUP(Backdoors!A50,BackdoorsMoveset!A2:CZ112,104,FALSE)+VLOOKUP(Backdoors!A51,BackdoorsMoveset!A2:CZ112,104,FALSE)+VLOOKUP(Backdoors!A52,BackdoorsMoveset!A2:CZ112,104,FALSE)+VLOOKUP(Backdoors!A53,BackdoorsMoveset!A2:CZ112,104,FALSE)+VLOOKUP(Backdoors!A54,BackdoorsMoveset!A2:CZ112,104,FALSE)+VLOOKUP(Backdoors!A55,BackdoorsMoveset!A2:CZ112,104,FALSE)+VLOOKUP(Backdoors!A56,BackdoorsMoveset!A2:CZ112,104,FALSE)+VLOOKUP(Backdoors!A57,BackdoorsMoveset!A2:CZ112,104,FALSE)+VLOOKUP(Backdoors!A58,BackdoorsMoveset!A2:CZ112,104,FALSE)+VLOOKUP(Backdoors!A59,BackdoorsMoveset!A2:CZ112,104,FALSE)+VLOOKUP(Backdoors!A60,BackdoorsMoveset!A2:CZ112,104,FALSE)+VLOOKUP(Backdoors!A61,BackdoorsMoveset!A2:CZ112,104,FALSE),0)</f>
        <v>0</v>
      </c>
      <c r="BN17">
        <f>IFERROR(VLOOKUP(Backdoors!A37,BackdoorsMoveset!A2:DB112,106,FALSE)+VLOOKUP(Backdoors!A38,BackdoorsMoveset!A2:DB112,106,FALSE)+VLOOKUP(Backdoors!A39,BackdoorsMoveset!A2:DB112,106,FALSE)+VLOOKUP(Backdoors!A40,BackdoorsMoveset!A2:DB112,106,FALSE)+VLOOKUP(Backdoors!A41,BackdoorsMoveset!A2:DB112,106,FALSE)+VLOOKUP(Backdoors!A42,BackdoorsMoveset!A2:DB112,106,FALSE)+VLOOKUP(Backdoors!A43,BackdoorsMoveset!A2:DB112,106,FALSE)+VLOOKUP(Backdoors!A44,BackdoorsMoveset!A2:DB112,106,FALSE)+VLOOKUP(Backdoors!A45,BackdoorsMoveset!A2:DB112,106,FALSE)+VLOOKUP(Backdoors!A46,BackdoorsMoveset!A2:DB112,106,FALSE)+VLOOKUP(Backdoors!A47,BackdoorsMoveset!A2:DB112,106,FALSE)+VLOOKUP(Backdoors!A48,BackdoorsMoveset!A2:DB112,106,FALSE)+VLOOKUP(Backdoors!A49,BackdoorsMoveset!A2:DB112,106,FALSE)+VLOOKUP(Backdoors!A50,BackdoorsMoveset!A2:DB112,106,FALSE)+VLOOKUP(Backdoors!A51,BackdoorsMoveset!A2:DB112,106,FALSE)+VLOOKUP(Backdoors!A52,BackdoorsMoveset!A2:DB112,106,FALSE)+VLOOKUP(Backdoors!A53,BackdoorsMoveset!A2:DB112,106,FALSE)+VLOOKUP(Backdoors!A54,BackdoorsMoveset!A2:DB112,106,FALSE)+VLOOKUP(Backdoors!A55,BackdoorsMoveset!A2:DB112,106,FALSE)+VLOOKUP(Backdoors!A56,BackdoorsMoveset!A2:DB112,106,FALSE)+VLOOKUP(Backdoors!A57,BackdoorsMoveset!A2:DB112,106,FALSE)+VLOOKUP(Backdoors!A58,BackdoorsMoveset!A2:DB112,106,FALSE)+VLOOKUP(Backdoors!A59,BackdoorsMoveset!A2:DB112,106,FALSE)+VLOOKUP(Backdoors!A60,BackdoorsMoveset!A2:DB112,106,FALSE)+VLOOKUP(Backdoors!A61,BackdoorsMoveset!A2:DB112,106,FALSE),0)</f>
        <v>0</v>
      </c>
      <c r="BO17" s="49">
        <f>IF(BN17=0,0,IF(OR(B9="Poison",$B11="Poison",B2="Light Bowgun",B2="Heavy Bowgun"),ROUND(Backdoors!A36*VLOOKUP(AO7,tbStatus!$A3:$F18,6,FALSE)*IF((AO16*AO32)&gt;1,1,(AO16*AO32)),0),IF(OR(B9="Blast",B11="Blast"),AR195,0)))</f>
        <v>0</v>
      </c>
      <c r="BP17">
        <f t="shared" si="0"/>
        <v>0</v>
      </c>
      <c r="BQ17" s="49" t="str">
        <f>CONCATENATE(AX17,IF(AND(BI17=TRUE,Calculator!B8=TRUE),CONCATENATE(" (Tenderized)"),""),IF(BP17=0,"",CONCATENATE(", ",BP17)))</f>
        <v/>
      </c>
      <c r="BR17">
        <f>VLOOKUP(Calculator!B4,SavedBuildNumbers!A1:P73,16,FALSE)</f>
        <v>0</v>
      </c>
      <c r="BS17">
        <f>VLOOKUP(Calculator!B4,SavedBuildNumbers!A1:BE73,57,FALSE)</f>
        <v>0</v>
      </c>
      <c r="BU17" s="49">
        <f>IFERROR(ROUNDDOWN((IF((ROUND((VLOOKUP(tbMoveset!A17,tbMoveset!A2:F112,6,FALSE)+(IF(VLOOKUP(tbMoveset!A17,tbMoveset!A2:F112,6,FALSE)&gt;0,K41,0)))*(1+(IF(VLOOKUP(tbMoveset!A17,tbMoveset!A2:I112,9,FALSE)="Fire",VLOOKUP(Calculator!$E24,tbSkills!$AX3:$AZ9,3,FALSE),IF(VLOOKUP(tbMoveset!A17,tbMoveset!A2:I112,9,FALSE)="Water",VLOOKUP(Calculator!$E25,tbSkills!$AX3:$AZ9,3,FALSE),IF(VLOOKUP(BackdoorsMoveset!A17,tbMoveset!A2:I112,9,FALSE)="Thunder",VLOOKUP(Calculator!$E26,tbSkills!$AX3:$AZ9,3,FALSE),IF(VLOOKUP(tbMoveset!A17,tbMoveset!A2:I112,9,FALSE)="Ice",VLOOKUP(Calculator!$E27,tbSkills!$AX3:$AZ9,3,FALSE),IF(VLOOKUP(tbMoveset!A17,tbMoveset!A2:I112,9,FALSE)="Dragon",VLOOKUP(Calculator!$E28,tbSkills!$AX3:$AZ9,3,FALSE),0)))))/100))*AC7,0)+IF(VLOOKUP(tbMoveset!A17,tbMoveset!A2:F112,6,FALSE)&gt;0,IF(VLOOKUP(tbMoveset!A17,tbMoveset!A2:I112,9,FALSE)="Fire",VLOOKUP(Calculator!$E24,tbSkills!$AX3:$AY9,2,FALSE),IF(VLOOKUP(tbMoveset!A17,tbMoveset!A2:I112,9,FALSE)="Water",VLOOKUP(Calculator!$E25,tbSkills!$AX3:$AY9,2,FALSE),IF(VLOOKUP(tbMoveset!A17,tbMoveset!A2:I112,9,FALSE)="Thunder",VLOOKUP(Calculator!$E26,tbSkills!$AX3:$AY9,2,FALSE),IF(VLOOKUP(tbMoveset!A17,tbMoveset!A2:I112,9,FALSE)="Ice",VLOOKUP(Calculator!$E27,tbSkills!$AX3:$AY9,2,FALSE),IF(VLOOKUP(tbMoveset!A17,tbMoveset!A2:I112,9,FALSE)="Dragon",VLOOKUP(Calculator!$E28,tbSkills!$AX3:$AY9,2,FALSE),0))))),0)/10)&gt;=B34,B34,(ROUND((VLOOKUP(tbMoveset!A17,tbMoveset!A2:F112,6,FALSE)+(IF(VLOOKUP(tbMoveset!A17,tbMoveset!A2:F112,6,FALSE)&gt;0,K41,0)))*(1+(IF(VLOOKUP(tbMoveset!A17,tbMoveset!A2:I112,9,FALSE)="Fire",VLOOKUP(Calculator!$E24,tbSkills!$AX3:$AZ9,3,FALSE),IF(VLOOKUP(tbMoveset!A17,tbMoveset!A2:I112,9,FALSE)="Water",VLOOKUP(Calculator!$E25,tbSkills!$AX3:$AZ9,3,FALSE),IF(VLOOKUP(BackdoorsMoveset!A17,tbMoveset!A2:I112,9,FALSE)="Thunder",VLOOKUP(Calculator!$E26,tbSkills!$AX3:$AZ9,3,FALSE),IF(VLOOKUP(tbMoveset!A17,tbMoveset!A2:I112,9,FALSE)="Ice",VLOOKUP(Calculator!$E27,tbSkills!$AX3:$AZ9,3,FALSE),IF(VLOOKUP(tbMoveset!A17,tbMoveset!A2:I112,9,FALSE)="Dragon",VLOOKUP(Calculator!$E28,tbSkills!$AX3:$AZ9,3,FALSE),0)))))/100))*AC7,0)+IF(VLOOKUP(tbMoveset!A17,tbMoveset!A2:F112,6,FALSE)&gt;0,IF(VLOOKUP(tbMoveset!A17,tbMoveset!A2:I112,9,FALSE)="Fire",VLOOKUP(Calculator!$E24,tbSkills!$AX3:$AY9,2,FALSE),IF(VLOOKUP(tbMoveset!A17,tbMoveset!A2:I112,9,FALSE)="Water",VLOOKUP(Calculator!$E25,tbSkills!$AX3:$AY9,2,FALSE),IF(VLOOKUP(tbMoveset!A17,tbMoveset!A2:I112,9,FALSE)="Thunder",VLOOKUP(Calculator!$E26,tbSkills!$AX3:$AY9,2,FALSE),IF(VLOOKUP(tbMoveset!A17,tbMoveset!A2:I112,9,FALSE)="Ice",VLOOKUP(Calculator!$E27,tbSkills!$AX3:$AY9,2,FALSE),IF(VLOOKUP(tbMoveset!A17,tbMoveset!A2:I112,9,FALSE)="Dragon",VLOOKUP(Calculator!$E28,tbSkills!$AX3:$AY9,2,FALSE),0))))),0)/10))*N6)*AC6,0)*(B30/100),0)</f>
        <v>0</v>
      </c>
    </row>
    <row r="18" spans="1:73" x14ac:dyDescent="0.25">
      <c r="A18" t="s">
        <v>262</v>
      </c>
      <c r="B18">
        <f>B17*10</f>
        <v>0</v>
      </c>
      <c r="D18" t="s">
        <v>864</v>
      </c>
      <c r="E18">
        <f>(E13-E5-E14)*-1</f>
        <v>-4</v>
      </c>
      <c r="J18" t="s">
        <v>697</v>
      </c>
      <c r="K18">
        <f>IF(K17=TRUE,IF(Calculator!B43="Attack Increase",tbCustom!A3,0)+IF(Calculator!B44="Attack Increase",tbCustom!A4,0)+IF(Calculator!B45="Attack Increase",tbCustom!A5,0)+IF(Calculator!B46="Attack Increase",tbCustom!A6,0)+IF(Calculator!B47="Attack Increase",tbCustom!A7,0)+IF(Calculator!B48="Multi-Increase (weapon-specfic)",tbCustom!A8,0)+IF(Calculator!B49="Attack Increase",tbCustom!A9,0),0)</f>
        <v>0</v>
      </c>
      <c r="Y18" t="s">
        <v>1554</v>
      </c>
      <c r="Z18">
        <f>IF(AND(Calculator!B60=TRUE,B2="Hunting Horn"),1.15,1)</f>
        <v>1</v>
      </c>
      <c r="AN18" s="49">
        <f>IFERROR(INDEX(tbHitzones!K:K,MATCH(ROWS(tbHitzones!$1:1),tbHitzones!K:K,0)),"")</f>
        <v>1</v>
      </c>
      <c r="AO18">
        <f>IF(OR(B2="Light Bowgun",B2="Heavy Bowgun"),IF(AI12&gt;=0,1+(IF(Calculator!E40&gt;0,VLOOKUP(Calculator!E40,tbSkills!AI3:AJ5,2,FALSE),AL4)*(IF((AI12+IF(BA3&gt;=0.45,VLOOKUP(Calculator!E23,tbSkills!DH3:DI6,2,FALSE)+IF(AND(Calculator!B8=TRUE,BI3=TRUE),VLOOKUP(Calculator!E23,tbSkills!DH3:DJ6,3,FALSE),0),0))&gt;=100,100,(AI12+IF(BA3&gt;=0.45,VLOOKUP(Calculator!E23,tbSkills!DH3:DI6,2,FALSE)+IF(AND(Calculator!B8=TRUE,BI3=TRUE),VLOOKUP(Calculator!E23,tbSkills!DH3:DJ6,3,FALSE),0),0)))/100)),1),VLOOKUP(Backdoors!A37,BackdoorsMoveset!A2:G112,7,FALSE)+VLOOKUP(Backdoors!A38,BackdoorsMoveset!A2:G112,7,FALSE)+VLOOKUP(Backdoors!A39,BackdoorsMoveset!A2:G112,7,FALSE)+VLOOKUP(Backdoors!A40,BackdoorsMoveset!A2:G112,7,FALSE)+VLOOKUP(Backdoors!A41,BackdoorsMoveset!A2:G112,7,FALSE)+VLOOKUP(Backdoors!A42,BackdoorsMoveset!A2:G112,7,FALSE)+VLOOKUP(Backdoors!A43,BackdoorsMoveset!A2:G112,7,FALSE)+VLOOKUP(Backdoors!A44,BackdoorsMoveset!A2:G112,7,FALSE)+VLOOKUP(Backdoors!A45,BackdoorsMoveset!A2:G112,7,FALSE)+VLOOKUP(Backdoors!A46,BackdoorsMoveset!A2:G112,7,FALSE)+VLOOKUP(Backdoors!A47,BackdoorsMoveset!A2:G112,7,FALSE)+VLOOKUP(Backdoors!A48,BackdoorsMoveset!A2:G112,7,FALSE)+VLOOKUP(Backdoors!A49,BackdoorsMoveset!A2:G112,7,FALSE)+VLOOKUP(Backdoors!A50,BackdoorsMoveset!A2:G112,7,FALSE)+VLOOKUP(Backdoors!A51,BackdoorsMoveset!A2:G112,7,FALSE)+VLOOKUP(Backdoors!A52,BackdoorsMoveset!A2:G112,7,FALSE)+VLOOKUP(Backdoors!A53,BackdoorsMoveset!A2:G112,7,FALSE)+VLOOKUP(Backdoors!A54,BackdoorsMoveset!A2:G112,7,FALSE)+VLOOKUP(Backdoors!A55,BackdoorsMoveset!A2:G112,7,FALSE)+VLOOKUP(Backdoors!A56,BackdoorsMoveset!A2:G112,7,FALSE)+VLOOKUP(Backdoors!A57,BackdoorsMoveset!A2:G112,7,FALSE)+VLOOKUP(Backdoors!A58,BackdoorsMoveset!A2:G112,7,FALSE)+VLOOKUP(Backdoors!A59,BackdoorsMoveset!A2:G112,7,FALSE)+VLOOKUP(Backdoors!A60,BackdoorsMoveset!A2:G112,7,FALSE)+VLOOKUP(Backdoors!A61,BackdoorsMoveset!A2:G112,7,FALSE))</f>
        <v>14.299999999999999</v>
      </c>
      <c r="AQ18" t="s">
        <v>190</v>
      </c>
      <c r="AR18">
        <f>AR16*AR17</f>
        <v>0</v>
      </c>
      <c r="AT18">
        <v>17</v>
      </c>
      <c r="AU18">
        <f>$AU17+IF(AO12+((AO10*16)*AO11)&gt;AO13,AO13,AO12+((AO10*16)*AO11))</f>
        <v>3060</v>
      </c>
      <c r="AW18" s="49" t="str">
        <f>IFERROR(INDEX(tbHitzones!K:K,MATCH(ROWS(tbHitzones!$1:16),tbHitzones!K:K,0)),"")</f>
        <v/>
      </c>
      <c r="AX18" s="49" t="str">
        <f>IFERROR(INDEX(tbHitzones!B:B,MATCH(ROWS(tbHitzones!$1:16),tbHitzones!K:K,0)),"")</f>
        <v/>
      </c>
      <c r="AY18" s="49" t="str">
        <f>IFERROR(INDEX(tbHitzones!C:C,MATCH(ROWS(tbHitzones!$1:16),tbHitzones!K:K,0)),"")</f>
        <v/>
      </c>
      <c r="AZ18" s="49" t="str">
        <f>IFERROR(INDEX(tbHitzones!D:D,MATCH(ROWS(tbHitzones!$1:16),tbHitzones!K:K,0)),"")</f>
        <v/>
      </c>
      <c r="BA18" s="49" t="str">
        <f>IFERROR(INDEX(tbHitzones!E:E,MATCH(ROWS(tbHitzones!$1:16),tbHitzones!K:K,0)),"")</f>
        <v/>
      </c>
      <c r="BB18" s="49" t="str">
        <f>IFERROR(INDEX(tbHitzones!F:F,MATCH(ROWS(tbHitzones!$1:16),tbHitzones!K:K,0)),"")</f>
        <v/>
      </c>
      <c r="BC18" s="49" t="str">
        <f>IFERROR(INDEX(tbHitzones!G:G,MATCH(ROWS(tbHitzones!$1:16),tbHitzones!K:K,0)),"")</f>
        <v/>
      </c>
      <c r="BD18" s="49" t="str">
        <f>IFERROR(INDEX(tbHitzones!H:H,MATCH(ROWS(tbHitzones!$1:16),tbHitzones!K:K,0)),"")</f>
        <v/>
      </c>
      <c r="BE18" s="49" t="str">
        <f>IFERROR(INDEX(tbHitzones!I:I,MATCH(ROWS(tbHitzones!$1:16),tbHitzones!K:K,0)),"")</f>
        <v/>
      </c>
      <c r="BF18" s="49" t="str">
        <f>IFERROR(INDEX(tbHitzones!J:J,MATCH(ROWS(tbHitzones!$1:16),tbHitzones!K:K,0)),"")</f>
        <v/>
      </c>
      <c r="BG18" s="49">
        <f>IFERROR(IF(OR(B9="Fire",B11="Fire"),BB18,IF(OR(B9="Water",B11="Water"),BC18,IF(OR(B9="Thunder",B11="Thunder"),BD18,IF(OR(B9="Ice",B11="Ice"),BE18,IF(OR(B9="Dragon",B11="Dragon"),BF18,0))))),"")</f>
        <v>0</v>
      </c>
      <c r="BH18" s="49" t="str">
        <f>IFERROR(INDEX(tbHitzones!L:L,MATCH(ROWS(tbHitzones!$1:16),tbHitzones!K:K,0)),"")</f>
        <v/>
      </c>
      <c r="BI18" s="49" t="str">
        <f>IFERROR(INDEX(tbHitzones!M:M,MATCH(ROWS(tbHitzones!$1:16),tbHitzones!K:K,0)),"")</f>
        <v/>
      </c>
      <c r="BK18" s="49" t="str">
        <f>IFERROR(INDEX(tbHitzones!K:K,MATCH(ROWS(tbHitzones!$1:16),tbHitzones!K:K,0)),"")</f>
        <v/>
      </c>
      <c r="BL18">
        <f>IFERROR(VLOOKUP(Backdoors!A37,BackdoorsMoveset!A2:DF112,110,FALSE)+VLOOKUP(Backdoors!A38,BackdoorsMoveset!A2:DF112,110,FALSE)+VLOOKUP(Backdoors!A39,BackdoorsMoveset!A2:DF112,110,FALSE)+VLOOKUP(Backdoors!A40,BackdoorsMoveset!A2:DF112,110,FALSE)+VLOOKUP(Backdoors!A41,BackdoorsMoveset!A2:DF112,110,FALSE)+VLOOKUP(Backdoors!A42,BackdoorsMoveset!A2:DF112,110,FALSE)+VLOOKUP(Backdoors!A43,BackdoorsMoveset!A2:DF112,110,FALSE)+VLOOKUP(Backdoors!A44,BackdoorsMoveset!A2:DF112,110,FALSE)+VLOOKUP(Backdoors!A45,BackdoorsMoveset!A2:DF112,110,FALSE)+VLOOKUP(Backdoors!A46,BackdoorsMoveset!A2:DF112,110,FALSE)+VLOOKUP(Backdoors!A47,BackdoorsMoveset!A2:DF112,110,FALSE)+VLOOKUP(Backdoors!A48,BackdoorsMoveset!A2:DF112,110,FALSE)+VLOOKUP(Backdoors!A49,BackdoorsMoveset!A2:DF112,110,FALSE)+VLOOKUP(Backdoors!A50,BackdoorsMoveset!A2:DF112,110,FALSE)+VLOOKUP(Backdoors!A51,BackdoorsMoveset!A2:DF112,110,FALSE)+VLOOKUP(Backdoors!A52,BackdoorsMoveset!A2:DF112,110,FALSE)+VLOOKUP(Backdoors!A53,BackdoorsMoveset!A2:DF112,110,FALSE)+VLOOKUP(Backdoors!A54,BackdoorsMoveset!A2:DF112,110,FALSE)+VLOOKUP(Backdoors!A55,BackdoorsMoveset!A2:DF112,110,FALSE)+VLOOKUP(Backdoors!A56,BackdoorsMoveset!A2:DF112,110,FALSE)+VLOOKUP(Backdoors!A57,BackdoorsMoveset!A2:DF112,110,FALSE)+VLOOKUP(Backdoors!A58,BackdoorsMoveset!A2:DF112,110,FALSE)+VLOOKUP(Backdoors!A59,BackdoorsMoveset!A2:DF112,110,FALSE)+VLOOKUP(Backdoors!A60,BackdoorsMoveset!A2:DF112,110,FALSE)+VLOOKUP(Backdoors!A61,BackdoorsMoveset!A2:DF112,110,FALSE),0)</f>
        <v>0</v>
      </c>
      <c r="BM18">
        <f>IFERROR(VLOOKUP(Backdoors!A37,BackdoorsMoveset!A2:DG112,111,FALSE)+VLOOKUP(Backdoors!A38,BackdoorsMoveset!A2:DG112,111,FALSE)+VLOOKUP(Backdoors!A39,BackdoorsMoveset!A2:DG112,111,FALSE)+VLOOKUP(Backdoors!A40,BackdoorsMoveset!A2:DG112,111,FALSE)+VLOOKUP(Backdoors!A41,BackdoorsMoveset!A2:DG112,111,FALSE)+VLOOKUP(Backdoors!A42,BackdoorsMoveset!A2:DG112,111,FALSE)+VLOOKUP(Backdoors!A43,BackdoorsMoveset!A2:DG112,111,FALSE)+VLOOKUP(Backdoors!A44,BackdoorsMoveset!A2:DG112,111,FALSE)+VLOOKUP(Backdoors!A45,BackdoorsMoveset!A2:DG112,111,FALSE)+VLOOKUP(Backdoors!A46,BackdoorsMoveset!A2:DG112,111,FALSE)+VLOOKUP(Backdoors!A47,BackdoorsMoveset!A2:DG112,111,FALSE)+VLOOKUP(Backdoors!A48,BackdoorsMoveset!A2:DG112,111,FALSE)+VLOOKUP(Backdoors!A49,BackdoorsMoveset!A2:DG112,111,FALSE)+VLOOKUP(Backdoors!A50,BackdoorsMoveset!A2:DG112,111,FALSE)+VLOOKUP(Backdoors!A51,BackdoorsMoveset!A2:DG112,111,FALSE)+VLOOKUP(Backdoors!A52,BackdoorsMoveset!A2:DG112,111,FALSE)+VLOOKUP(Backdoors!A53,BackdoorsMoveset!A2:DG112,111,FALSE)+VLOOKUP(Backdoors!A54,BackdoorsMoveset!A2:DG112,111,FALSE)+VLOOKUP(Backdoors!A55,BackdoorsMoveset!A2:DG112,111,FALSE)+VLOOKUP(Backdoors!A56,BackdoorsMoveset!A2:DG112,111,FALSE)+VLOOKUP(Backdoors!A57,BackdoorsMoveset!A2:DG112,111,FALSE)+VLOOKUP(Backdoors!A58,BackdoorsMoveset!A2:DG112,111,FALSE)+VLOOKUP(Backdoors!A59,BackdoorsMoveset!A2:DG112,111,FALSE)+VLOOKUP(Backdoors!A60,BackdoorsMoveset!A2:DG112,111,FALSE)+VLOOKUP(Backdoors!A61,BackdoorsMoveset!A2:DG112,111,FALSE),0)</f>
        <v>0</v>
      </c>
      <c r="BN18">
        <f>IFERROR(VLOOKUP(Backdoors!A37,BackdoorsMoveset!A2:DI112,113,FALSE)+VLOOKUP(Backdoors!A38,BackdoorsMoveset!A2:DI112,113,FALSE)+VLOOKUP(Backdoors!A39,BackdoorsMoveset!A2:DI112,113,FALSE)+VLOOKUP(Backdoors!A40,BackdoorsMoveset!A2:DI112,113,FALSE)+VLOOKUP(Backdoors!A41,BackdoorsMoveset!A2:DI112,113,FALSE)+VLOOKUP(Backdoors!A42,BackdoorsMoveset!A2:DI112,113,FALSE)+VLOOKUP(Backdoors!A43,BackdoorsMoveset!A2:DI112,113,FALSE)+VLOOKUP(Backdoors!A44,BackdoorsMoveset!A2:DI112,113,FALSE)+VLOOKUP(Backdoors!A45,BackdoorsMoveset!A2:DI112,113,FALSE)+VLOOKUP(Backdoors!A46,BackdoorsMoveset!A2:DI112,113,FALSE)+VLOOKUP(Backdoors!A47,BackdoorsMoveset!A2:DI112,113,FALSE)+VLOOKUP(Backdoors!A48,BackdoorsMoveset!A2:DI112,113,FALSE)+VLOOKUP(Backdoors!A49,BackdoorsMoveset!A2:DI112,113,FALSE)+VLOOKUP(Backdoors!A50,BackdoorsMoveset!A2:DI112,113,FALSE)+VLOOKUP(Backdoors!A51,BackdoorsMoveset!A2:DI112,113,FALSE)+VLOOKUP(Backdoors!A52,BackdoorsMoveset!A2:DI112,113,FALSE)+VLOOKUP(Backdoors!A53,BackdoorsMoveset!A2:DI112,113,FALSE)+VLOOKUP(Backdoors!A54,BackdoorsMoveset!A2:DI112,113,FALSE)+VLOOKUP(Backdoors!A55,BackdoorsMoveset!A2:DI112,113,FALSE)+VLOOKUP(Backdoors!A56,BackdoorsMoveset!A2:DI112,113,FALSE)+VLOOKUP(Backdoors!A57,BackdoorsMoveset!A2:DI112,113,FALSE)+VLOOKUP(Backdoors!A58,BackdoorsMoveset!A2:DI112,113,FALSE)+VLOOKUP(Backdoors!A59,BackdoorsMoveset!A2:DI112,113,FALSE)+VLOOKUP(Backdoors!A60,BackdoorsMoveset!A2:DI112,113,FALSE)+VLOOKUP(Backdoors!A61,BackdoorsMoveset!A2:DI112,113,FALSE),0)</f>
        <v>0</v>
      </c>
      <c r="BO18" s="49">
        <f>IF(BN18=0,0,IF(OR(B9="Poison",$B11="Poison",B2="Light Bowgun",B2="Heavy Bowgun"),ROUND(Backdoors!A36*VLOOKUP(AO7,tbStatus!$A3:$F18,6,FALSE)*IF((AO16*AO33)&gt;1,1,(AO16*AO33)),0),IF(OR(B9="Blast",B11="Blast"),AR208,0)))</f>
        <v>0</v>
      </c>
      <c r="BP18">
        <f t="shared" si="0"/>
        <v>0</v>
      </c>
      <c r="BQ18" s="49" t="str">
        <f>CONCATENATE(AX18,IF(AND(BI18=TRUE,Calculator!B8=TRUE),CONCATENATE(" (Tenderized)"),""),IF(BP18=0,"",CONCATENATE(", ",BP18)))</f>
        <v/>
      </c>
      <c r="BR18">
        <f>VLOOKUP(Calculator!B4,SavedBuildNumbers!A1:Q73,17,FALSE)</f>
        <v>0</v>
      </c>
      <c r="BS18">
        <f>VLOOKUP(Calculator!B4,SavedBuildNumbers!A1:BF73,58,FALSE)</f>
        <v>0</v>
      </c>
      <c r="BU18" s="49">
        <f>IFERROR(ROUNDDOWN((IF((ROUND((VLOOKUP(tbMoveset!A18,tbMoveset!A2:F112,6,FALSE)+(IF(VLOOKUP(tbMoveset!A18,tbMoveset!A2:F112,6,FALSE)&gt;0,K41,0)))*(1+(IF(VLOOKUP(tbMoveset!A18,tbMoveset!A2:I112,9,FALSE)="Fire",VLOOKUP(Calculator!$E24,tbSkills!$AX3:$AZ9,3,FALSE),IF(VLOOKUP(tbMoveset!A18,tbMoveset!A2:I112,9,FALSE)="Water",VLOOKUP(Calculator!$E25,tbSkills!$AX3:$AZ9,3,FALSE),IF(VLOOKUP(BackdoorsMoveset!A18,tbMoveset!A2:I112,9,FALSE)="Thunder",VLOOKUP(Calculator!$E26,tbSkills!$AX3:$AZ9,3,FALSE),IF(VLOOKUP(tbMoveset!A18,tbMoveset!A2:I112,9,FALSE)="Ice",VLOOKUP(Calculator!$E27,tbSkills!$AX3:$AZ9,3,FALSE),IF(VLOOKUP(tbMoveset!A18,tbMoveset!A2:I112,9,FALSE)="Dragon",VLOOKUP(Calculator!$E28,tbSkills!$AX3:$AZ9,3,FALSE),0)))))/100))*AC7,0)+IF(VLOOKUP(tbMoveset!A18,tbMoveset!A2:F112,6,FALSE)&gt;0,IF(VLOOKUP(tbMoveset!A18,tbMoveset!A2:I112,9,FALSE)="Fire",VLOOKUP(Calculator!$E24,tbSkills!$AX3:$AY9,2,FALSE),IF(VLOOKUP(tbMoveset!A18,tbMoveset!A2:I112,9,FALSE)="Water",VLOOKUP(Calculator!$E25,tbSkills!$AX3:$AY9,2,FALSE),IF(VLOOKUP(tbMoveset!A18,tbMoveset!A2:I112,9,FALSE)="Thunder",VLOOKUP(Calculator!$E26,tbSkills!$AX3:$AY9,2,FALSE),IF(VLOOKUP(tbMoveset!A18,tbMoveset!A2:I112,9,FALSE)="Ice",VLOOKUP(Calculator!$E27,tbSkills!$AX3:$AY9,2,FALSE),IF(VLOOKUP(tbMoveset!A18,tbMoveset!A2:I112,9,FALSE)="Dragon",VLOOKUP(Calculator!$E28,tbSkills!$AX3:$AY9,2,FALSE),0))))),0)/10)&gt;=B34,B34,(ROUND((VLOOKUP(tbMoveset!A18,tbMoveset!A2:F112,6,FALSE)+(IF(VLOOKUP(tbMoveset!A18,tbMoveset!A2:F112,6,FALSE)&gt;0,K41,0)))*(1+(IF(VLOOKUP(tbMoveset!A18,tbMoveset!A2:I112,9,FALSE)="Fire",VLOOKUP(Calculator!$E24,tbSkills!$AX3:$AZ9,3,FALSE),IF(VLOOKUP(tbMoveset!A18,tbMoveset!A2:I112,9,FALSE)="Water",VLOOKUP(Calculator!$E25,tbSkills!$AX3:$AZ9,3,FALSE),IF(VLOOKUP(BackdoorsMoveset!A18,tbMoveset!A2:I112,9,FALSE)="Thunder",VLOOKUP(Calculator!$E26,tbSkills!$AX3:$AZ9,3,FALSE),IF(VLOOKUP(tbMoveset!A18,tbMoveset!A2:I112,9,FALSE)="Ice",VLOOKUP(Calculator!$E27,tbSkills!$AX3:$AZ9,3,FALSE),IF(VLOOKUP(tbMoveset!A18,tbMoveset!A2:I112,9,FALSE)="Dragon",VLOOKUP(Calculator!$E28,tbSkills!$AX3:$AZ9,3,FALSE),0)))))/100))*AC7,0)+IF(VLOOKUP(tbMoveset!A18,tbMoveset!A2:F112,6,FALSE)&gt;0,IF(VLOOKUP(tbMoveset!A18,tbMoveset!A2:I112,9,FALSE)="Fire",VLOOKUP(Calculator!$E24,tbSkills!$AX3:$AY9,2,FALSE),IF(VLOOKUP(tbMoveset!A18,tbMoveset!A2:I112,9,FALSE)="Water",VLOOKUP(Calculator!$E25,tbSkills!$AX3:$AY9,2,FALSE),IF(VLOOKUP(tbMoveset!A18,tbMoveset!A2:I112,9,FALSE)="Thunder",VLOOKUP(Calculator!$E26,tbSkills!$AX3:$AY9,2,FALSE),IF(VLOOKUP(tbMoveset!A18,tbMoveset!A2:I112,9,FALSE)="Ice",VLOOKUP(Calculator!$E27,tbSkills!$AX3:$AY9,2,FALSE),IF(VLOOKUP(tbMoveset!A18,tbMoveset!A2:I112,9,FALSE)="Dragon",VLOOKUP(Calculator!$E28,tbSkills!$AX3:$AY9,2,FALSE),0))))),0)/10))*N6)*AC6,0)*(B30/100),0)</f>
        <v>0</v>
      </c>
    </row>
    <row r="19" spans="1:73" x14ac:dyDescent="0.25">
      <c r="A19" t="s">
        <v>263</v>
      </c>
      <c r="B19">
        <f>ROUNDDOWN(((((B17*VLOOKUP(E20,tbSharpness!A2:C8,3,FALSE))*N6)*AC6)*B13)*N11,0)</f>
        <v>0</v>
      </c>
      <c r="D19" t="s">
        <v>201</v>
      </c>
      <c r="E19">
        <f>IF(AND(E4=E8,E4=E6),E5+E14,IF(AND(E8&lt;&gt;"N/A",E14&gt;E12),E18,IF(E14&gt;E15,E17,E5+E14)))</f>
        <v>12</v>
      </c>
      <c r="J19" t="s">
        <v>698</v>
      </c>
      <c r="K19">
        <f>IF(K17=TRUE,IF(Calculator!B43="Affinity Increase",tbCustom!B3,0)+IF(Calculator!B44="Affinity Increase",tbCustom!B4,0)+IF(Calculator!B45="Affinity Increase",tbCustom!B5,0)+IF(Calculator!B46="Affinity Increase",tbCustom!B6,0)+IF(Calculator!B47="Affinity Increase",tbCustom!B7,0)+IF(Calculator!B48="Multi-Increase (weapon-specfic)",tbCustom!B8,0)+IF(Calculator!B49="Affinity Increase",tbCustom!B9,0),0)</f>
        <v>0</v>
      </c>
      <c r="Y19" t="s">
        <v>873</v>
      </c>
      <c r="Z19">
        <f>1+IF(OR(B2="Light Bowgun",B2="Heavy Bowgun",B2="Bow"),(VLOOKUP(Calculator!E21,tbSkills!CX3:CY5,2,FALSE)/100),0)</f>
        <v>1</v>
      </c>
      <c r="AN19" s="49">
        <f>IFERROR(INDEX(tbHitzones!K:K,MATCH(ROWS(tbHitzones!$1:2),tbHitzones!K:K,0)),"")</f>
        <v>2</v>
      </c>
      <c r="AO19">
        <f>IF(OR(B2="Light Bowgun",B2="Heavy Bowgun"),IF(AI12&gt;=0,1+(IF(Calculator!E40&gt;0,VLOOKUP(Calculator!E40,tbSkills!AI3:AJ5,2,FALSE),AL4)*(IF((AI12+IF(BA4&gt;=0.45,VLOOKUP(Calculator!E23,tbSkills!DH3:DI6,2,FALSE)+IF(AND(Calculator!B8=TRUE,BI4=TRUE),VLOOKUP(Calculator!E23,tbSkills!DH3:DJ6,3,FALSE),0),0))&gt;=100,100,(AI12+IF(BA4&gt;=0.45,VLOOKUP(Calculator!E23,tbSkills!DH3:DI6,2,FALSE)+IF(AND(Calculator!B8=TRUE,BI4=TRUE),VLOOKUP(Calculator!E23,tbSkills!DH3:DJ6,3,FALSE),0),0)))/100)),1),VLOOKUP(Backdoors!A37,BackdoorsMoveset!A2:N112,14,FALSE)+VLOOKUP(Backdoors!A38,BackdoorsMoveset!A2:N112,14,FALSE)+VLOOKUP(Backdoors!A39,BackdoorsMoveset!A2:N112,14,FALSE)+VLOOKUP(Backdoors!A40,BackdoorsMoveset!A2:N112,14,FALSE)+VLOOKUP(Backdoors!A41,BackdoorsMoveset!A2:N112,14,FALSE)+VLOOKUP(Backdoors!A42,BackdoorsMoveset!A2:N112,14,FALSE)+VLOOKUP(Backdoors!A43,BackdoorsMoveset!A2:N112,14,FALSE)+VLOOKUP(Backdoors!A44,BackdoorsMoveset!A2:N112,14,FALSE)+VLOOKUP(Backdoors!A45,BackdoorsMoveset!A2:N112,14,FALSE)+VLOOKUP(Backdoors!A46,BackdoorsMoveset!A2:N112,14,FALSE)+VLOOKUP(Backdoors!A47,BackdoorsMoveset!A2:N112,14,FALSE)+VLOOKUP(Backdoors!A48,BackdoorsMoveset!A2:N112,14,FALSE)+VLOOKUP(Backdoors!A49,BackdoorsMoveset!A2:N112,14,FALSE)+VLOOKUP(Backdoors!A50,BackdoorsMoveset!A2:N112,14,FALSE)+VLOOKUP(Backdoors!A51,BackdoorsMoveset!A2:N112,14,FALSE)+VLOOKUP(Backdoors!A52,BackdoorsMoveset!A2:N112,14,FALSE)+VLOOKUP(Backdoors!A53,BackdoorsMoveset!A2:N112,14,FALSE)+VLOOKUP(Backdoors!A54,BackdoorsMoveset!A2:N112,14,FALSE)+VLOOKUP(Backdoors!A55,BackdoorsMoveset!A2:N112,14,FALSE)+VLOOKUP(Backdoors!A56,BackdoorsMoveset!A2:N112,14,FALSE)+VLOOKUP(Backdoors!A57,BackdoorsMoveset!A2:N112,14,FALSE)+VLOOKUP(Backdoors!A58,BackdoorsMoveset!A2:N112,14,FALSE)+VLOOKUP(Backdoors!A59,BackdoorsMoveset!A2:N112,14,FALSE)+VLOOKUP(Backdoors!A60,BackdoorsMoveset!A2:N112,14,FALSE)+VLOOKUP(Backdoors!A61,BackdoorsMoveset!A2:N112,14,FALSE))</f>
        <v>14.299999999999999</v>
      </c>
      <c r="AQ19" t="s">
        <v>235</v>
      </c>
      <c r="AR19">
        <f>IF($AR18&gt;=$AU51,50,IF($AR18&gt;=$AU50,49,IF($AR18&gt;=$AU49,48,IF($AR18&gt;=$AU48,47,IF($AR18&gt;=$AU47,46,IF($AR18&gt;=$AU46,45,IF($AR18&gt;=$AU45,44,IF($AR18&gt;=$AU44,43,IF($AR18&gt;=$AU43,42,IF($AR18&gt;=$AU42,41,IF($AR18&gt;=$AU41,40,IF($AR18&gt;=$AU40,39,IF($AR18&gt;=$AU39,38,IF($AR18&gt;=$AU38,37,IF($AR18&gt;=$AU37,36,IF($AR18&gt;=$AU36,35,IF($AR18&gt;=$AU35,34,IF($AR18&gt;=$AU34,33,IF($AR18&gt;=$AU33,32,IF($AR18&gt;=$AU32,31,IF($AR18&gt;=$AU31,30,IF($AR18&gt;=$AU30,29,IF($AR18&gt;=$AU29,28,IF($AR18&gt;=$AU28,27,IF($AR18&gt;=$AU27,26,IF($AR18&gt;=$AU26,25,IF($AR18&gt;=$AU25,24,IF($AR18&gt;=$AU24,23,IF($AR18&gt;=$AU23,22,IF($AR18&gt;=$AU22,21,IF($AR18&gt;=$AU21,20,IF($AR18&gt;=$AU20,19,IF($AR18&gt;=$AU19,18,IF($AR18&gt;=$AU18,17,IF($AR18&gt;=$AU17,16,IF($AR18&gt;=$AU16,15,IF($AR18&gt;=$AU15,14,IF($AR18&gt;=$AU14,13,IF($AR18&gt;=$AU13,12,IF($AR18&gt;=$AU12,11,IF($AR18&gt;=$AU11,10,IF($AR18&gt;=$AU10,9,IF($AR18&gt;=$AU9,8,IF($AR18&gt;=$AU8,7,IF($AR18&gt;=$AU7,6,IF($AR18&gt;=$AU6,5,IF($AR18&gt;=$AU5,4,IF($AR18&gt;=$AU4,3,IF($AR18&gt;=$AU3,2,IF($AR18&gt;=$AU2,1,0))))))))))))))))))))))))))))))))))))))))))))))))))</f>
        <v>0</v>
      </c>
      <c r="AT19">
        <v>18</v>
      </c>
      <c r="AU19">
        <f>$AU18+IF(AO12+((AO10*17)*AO11)&gt;AO13,AO13,AO12+((AO10*17)*AO11))</f>
        <v>3402</v>
      </c>
      <c r="AW19" s="49" t="str">
        <f>IFERROR(INDEX(tbHitzones!K:K,MATCH(ROWS(tbHitzones!$1:17),tbHitzones!K:K,0)),"")</f>
        <v/>
      </c>
      <c r="AX19" s="49" t="str">
        <f>IFERROR(INDEX(tbHitzones!B:B,MATCH(ROWS(tbHitzones!$1:17),tbHitzones!K:K,0)),"")</f>
        <v/>
      </c>
      <c r="AY19" s="49" t="str">
        <f>IFERROR(INDEX(tbHitzones!C:C,MATCH(ROWS(tbHitzones!$1:17),tbHitzones!K:K,0)),"")</f>
        <v/>
      </c>
      <c r="AZ19" s="49" t="str">
        <f>IFERROR(INDEX(tbHitzones!D:D,MATCH(ROWS(tbHitzones!$1:17),tbHitzones!K:K,0)),"")</f>
        <v/>
      </c>
      <c r="BA19" s="49" t="str">
        <f>IFERROR(INDEX(tbHitzones!E:E,MATCH(ROWS(tbHitzones!$1:17),tbHitzones!K:K,0)),"")</f>
        <v/>
      </c>
      <c r="BB19" s="49" t="str">
        <f>IFERROR(INDEX(tbHitzones!F:F,MATCH(ROWS(tbHitzones!$1:17),tbHitzones!K:K,0)),"")</f>
        <v/>
      </c>
      <c r="BC19" s="49" t="str">
        <f>IFERROR(INDEX(tbHitzones!G:G,MATCH(ROWS(tbHitzones!$1:17),tbHitzones!K:K,0)),"")</f>
        <v/>
      </c>
      <c r="BD19" s="49" t="str">
        <f>IFERROR(INDEX(tbHitzones!H:H,MATCH(ROWS(tbHitzones!$1:17),tbHitzones!K:K,0)),"")</f>
        <v/>
      </c>
      <c r="BE19" s="49" t="str">
        <f>IFERROR(INDEX(tbHitzones!I:I,MATCH(ROWS(tbHitzones!$1:17),tbHitzones!K:K,0)),"")</f>
        <v/>
      </c>
      <c r="BF19" s="49" t="str">
        <f>IFERROR(INDEX(tbHitzones!J:J,MATCH(ROWS(tbHitzones!$1:17),tbHitzones!K:K,0)),"")</f>
        <v/>
      </c>
      <c r="BG19" s="49">
        <f>IFERROR(IF(OR(B9="Fire",B11="Fire"),BB19,IF(OR(B9="Water",B11="Water"),BC19,IF(OR(B9="Thunder",B11="Thunder"),BD19,IF(OR(B9="Ice",B11="Ice"),BE19,IF(OR(B9="Dragon",B11="Dragon"),BF19,0))))),"")</f>
        <v>0</v>
      </c>
      <c r="BH19" s="49" t="str">
        <f>IFERROR(INDEX(tbHitzones!L:L,MATCH(ROWS(tbHitzones!$1:17),tbHitzones!K:K,0)),"")</f>
        <v/>
      </c>
      <c r="BI19" s="49" t="str">
        <f>IFERROR(INDEX(tbHitzones!M:M,MATCH(ROWS(tbHitzones!$1:17),tbHitzones!K:K,0)),"")</f>
        <v/>
      </c>
      <c r="BK19" s="49" t="str">
        <f>IFERROR(INDEX(tbHitzones!K:K,MATCH(ROWS(tbHitzones!$1:17),tbHitzones!K:K,0)),"")</f>
        <v/>
      </c>
      <c r="BL19">
        <f>IFERROR(VLOOKUP(Backdoors!A37,BackdoorsMoveset!A2:DM112,117,FALSE)+VLOOKUP(Backdoors!A38,BackdoorsMoveset!A2:DM112,117,FALSE)+VLOOKUP(Backdoors!A39,BackdoorsMoveset!A2:DM112,117,FALSE)+VLOOKUP(Backdoors!A40,BackdoorsMoveset!A2:DM112,117,FALSE)+VLOOKUP(Backdoors!A41,BackdoorsMoveset!A2:DM112,117,FALSE)+VLOOKUP(Backdoors!A42,BackdoorsMoveset!A2:DM112,117,FALSE)+VLOOKUP(Backdoors!A43,BackdoorsMoveset!A2:DM112,117,FALSE)+VLOOKUP(Backdoors!A44,BackdoorsMoveset!A2:DM112,117,FALSE)+VLOOKUP(Backdoors!A45,BackdoorsMoveset!A2:DM112,117,FALSE)+VLOOKUP(Backdoors!A46,BackdoorsMoveset!A2:DM112,117,FALSE)+VLOOKUP(Backdoors!A47,BackdoorsMoveset!A2:DM112,117,FALSE)+VLOOKUP(Backdoors!A48,BackdoorsMoveset!A2:DM112,117,FALSE)+VLOOKUP(Backdoors!A49,BackdoorsMoveset!A2:DM112,117,FALSE)+VLOOKUP(Backdoors!A50,BackdoorsMoveset!A2:DM112,117,FALSE)+VLOOKUP(Backdoors!A51,BackdoorsMoveset!A2:DM112,117,FALSE)+VLOOKUP(Backdoors!A52,BackdoorsMoveset!A2:DM112,117,FALSE)+VLOOKUP(Backdoors!A53,BackdoorsMoveset!A2:DM112,117,FALSE)+VLOOKUP(Backdoors!A54,BackdoorsMoveset!A2:DM112,117,FALSE)+VLOOKUP(Backdoors!A55,BackdoorsMoveset!A2:DM112,117,FALSE)+VLOOKUP(Backdoors!A56,BackdoorsMoveset!A2:DM112,117,FALSE)+VLOOKUP(Backdoors!A57,BackdoorsMoveset!A2:DM112,117,FALSE)+VLOOKUP(Backdoors!A58,BackdoorsMoveset!A2:DM112,117,FALSE)+VLOOKUP(Backdoors!A59,BackdoorsMoveset!A2:DM112,117,FALSE)+VLOOKUP(Backdoors!A60,BackdoorsMoveset!A2:DM112,117,FALSE)+VLOOKUP(Backdoors!A61,BackdoorsMoveset!A2:DM112,117,FALSE),0)</f>
        <v>0</v>
      </c>
      <c r="BM19">
        <f>IFERROR(VLOOKUP(Backdoors!A37,BackdoorsMoveset!A2:DN112,118,FALSE)+VLOOKUP(Backdoors!A38,BackdoorsMoveset!A2:DN112,118,FALSE)+VLOOKUP(Backdoors!A39,BackdoorsMoveset!A2:DN112,118,FALSE)+VLOOKUP(Backdoors!A40,BackdoorsMoveset!A2:DN112,118,FALSE)+VLOOKUP(Backdoors!A41,BackdoorsMoveset!A2:DN112,118,FALSE)+VLOOKUP(Backdoors!A42,BackdoorsMoveset!A2:DN112,118,FALSE)+VLOOKUP(Backdoors!A43,BackdoorsMoveset!A2:DN112,118,FALSE)+VLOOKUP(Backdoors!A44,BackdoorsMoveset!A2:DN112,118,FALSE)+VLOOKUP(Backdoors!A45,BackdoorsMoveset!A2:DN112,118,FALSE)+VLOOKUP(Backdoors!A46,BackdoorsMoveset!A2:DN112,118,FALSE)+VLOOKUP(Backdoors!A47,BackdoorsMoveset!A2:DN112,118,FALSE)+VLOOKUP(Backdoors!A48,BackdoorsMoveset!A2:DN112,118,FALSE)+VLOOKUP(Backdoors!A49,BackdoorsMoveset!A2:DN112,118,FALSE)+VLOOKUP(Backdoors!A50,BackdoorsMoveset!A2:DN112,118,FALSE)+VLOOKUP(Backdoors!A51,BackdoorsMoveset!A2:DN112,118,FALSE)+VLOOKUP(Backdoors!A52,BackdoorsMoveset!A2:DN112,118,FALSE)+VLOOKUP(Backdoors!A53,BackdoorsMoveset!A2:DN112,118,FALSE)+VLOOKUP(Backdoors!A54,BackdoorsMoveset!A2:DN112,118,FALSE)+VLOOKUP(Backdoors!A55,BackdoorsMoveset!A2:DN112,118,FALSE)+VLOOKUP(Backdoors!A56,BackdoorsMoveset!A2:DN112,118,FALSE)+VLOOKUP(Backdoors!A57,BackdoorsMoveset!A2:DN112,118,FALSE)+VLOOKUP(Backdoors!A58,BackdoorsMoveset!A2:DN112,118,FALSE)+VLOOKUP(Backdoors!A59,BackdoorsMoveset!A2:DN112,118,FALSE)+VLOOKUP(Backdoors!A60,BackdoorsMoveset!A2:DN112,118,FALSE)+VLOOKUP(Backdoors!A61,BackdoorsMoveset!A2:DN112,118,FALSE),0)</f>
        <v>0</v>
      </c>
      <c r="BN19">
        <f>IFERROR(VLOOKUP(Backdoors!A37,BackdoorsMoveset!A2:DP112,120,FALSE)+VLOOKUP(Backdoors!A38,BackdoorsMoveset!A2:DP112,120,FALSE)+VLOOKUP(Backdoors!A39,BackdoorsMoveset!A2:DP112,120,FALSE)+VLOOKUP(Backdoors!A40,BackdoorsMoveset!A2:DP112,120,FALSE)+VLOOKUP(Backdoors!A41,BackdoorsMoveset!A2:DP112,120,FALSE)+VLOOKUP(Backdoors!A42,BackdoorsMoveset!A2:DP112,120,FALSE)+VLOOKUP(Backdoors!A43,BackdoorsMoveset!A2:DP112,120,FALSE)+VLOOKUP(Backdoors!A44,BackdoorsMoveset!A2:DP112,120,FALSE)+VLOOKUP(Backdoors!A45,BackdoorsMoveset!A2:DP112,120,FALSE)+VLOOKUP(Backdoors!A46,BackdoorsMoveset!A2:DP112,120,FALSE)+VLOOKUP(Backdoors!A47,BackdoorsMoveset!A2:DP112,120,FALSE)+VLOOKUP(Backdoors!A48,BackdoorsMoveset!A2:DP112,120,FALSE)+VLOOKUP(Backdoors!A49,BackdoorsMoveset!A2:DP112,120,FALSE)+VLOOKUP(Backdoors!A50,BackdoorsMoveset!A2:DP112,120,FALSE)+VLOOKUP(Backdoors!A51,BackdoorsMoveset!A2:DP112,120,FALSE)+VLOOKUP(Backdoors!A52,BackdoorsMoveset!A2:DP112,120,FALSE)+VLOOKUP(Backdoors!A53,BackdoorsMoveset!A2:DP112,120,FALSE)+VLOOKUP(Backdoors!A54,BackdoorsMoveset!A2:DP112,120,FALSE)+VLOOKUP(Backdoors!A55,BackdoorsMoveset!A2:DP112,120,FALSE)+VLOOKUP(Backdoors!A56,BackdoorsMoveset!A2:DP112,120,FALSE)+VLOOKUP(Backdoors!A57,BackdoorsMoveset!A2:DP112,120,FALSE)+VLOOKUP(Backdoors!A58,BackdoorsMoveset!A2:DP112,120,FALSE)+VLOOKUP(Backdoors!A59,BackdoorsMoveset!A2:DP112,120,FALSE)+VLOOKUP(Backdoors!A60,BackdoorsMoveset!A2:DP112,120,FALSE)+VLOOKUP(Backdoors!A61,BackdoorsMoveset!A2:DP112,120,FALSE),0)</f>
        <v>0</v>
      </c>
      <c r="BO19" s="49">
        <f>IF(BN19=0,0,IF(OR(B9="Poison",$B11="Poison",B2="Light Bowgun",B2="Heavy Bowgun"),ROUND(Backdoors!A36*VLOOKUP(AO7,tbStatus!$A3:$F18,6,FALSE)*IF((AO16*AO34)&gt;1,1,(AO16*AO34)),0),IF(OR(B9="Blast",B11="Blast"),AR221,0)))</f>
        <v>0</v>
      </c>
      <c r="BP19">
        <f t="shared" si="0"/>
        <v>0</v>
      </c>
      <c r="BQ19" s="49" t="str">
        <f>CONCATENATE(AX19,IF(AND(BI19=TRUE,Calculator!B8=TRUE),CONCATENATE(" (Tenderized)"),""),IF(BP19=0,"",CONCATENATE(", ",BP19)))</f>
        <v/>
      </c>
      <c r="BR19">
        <f>VLOOKUP(Calculator!B4,SavedBuildNumbers!A1:R73,18,FALSE)</f>
        <v>0</v>
      </c>
      <c r="BS19" t="str">
        <f>VLOOKUP(Calculator!B4,SavedBuildNumbers!A1:BG73,59,FALSE)</f>
        <v>No carts.</v>
      </c>
      <c r="BU19" s="49">
        <f>IFERROR(ROUNDDOWN((IF((ROUND((VLOOKUP(tbMoveset!A19,tbMoveset!A2:F112,6,FALSE)+(IF(VLOOKUP(tbMoveset!A19,tbMoveset!A2:F112,6,FALSE)&gt;0,K41,0)))*(1+(IF(VLOOKUP(tbMoveset!A19,tbMoveset!A2:I112,9,FALSE)="Fire",VLOOKUP(Calculator!$E24,tbSkills!$AX3:$AZ9,3,FALSE),IF(VLOOKUP(tbMoveset!A19,tbMoveset!A2:I112,9,FALSE)="Water",VLOOKUP(Calculator!$E25,tbSkills!$AX3:$AZ9,3,FALSE),IF(VLOOKUP(BackdoorsMoveset!A19,tbMoveset!A2:I112,9,FALSE)="Thunder",VLOOKUP(Calculator!$E26,tbSkills!$AX3:$AZ9,3,FALSE),IF(VLOOKUP(tbMoveset!A19,tbMoveset!A2:I112,9,FALSE)="Ice",VLOOKUP(Calculator!$E27,tbSkills!$AX3:$AZ9,3,FALSE),IF(VLOOKUP(tbMoveset!A19,tbMoveset!A2:I112,9,FALSE)="Dragon",VLOOKUP(Calculator!$E28,tbSkills!$AX3:$AZ9,3,FALSE),0)))))/100))*AC7,0)+IF(VLOOKUP(tbMoveset!A19,tbMoveset!A2:F112,6,FALSE)&gt;0,IF(VLOOKUP(tbMoveset!A19,tbMoveset!A2:I112,9,FALSE)="Fire",VLOOKUP(Calculator!$E24,tbSkills!$AX3:$AY9,2,FALSE),IF(VLOOKUP(tbMoveset!A19,tbMoveset!A2:I112,9,FALSE)="Water",VLOOKUP(Calculator!$E25,tbSkills!$AX3:$AY9,2,FALSE),IF(VLOOKUP(tbMoveset!A19,tbMoveset!A2:I112,9,FALSE)="Thunder",VLOOKUP(Calculator!$E26,tbSkills!$AX3:$AY9,2,FALSE),IF(VLOOKUP(tbMoveset!A19,tbMoveset!A2:I112,9,FALSE)="Ice",VLOOKUP(Calculator!$E27,tbSkills!$AX3:$AY9,2,FALSE),IF(VLOOKUP(tbMoveset!A19,tbMoveset!A2:I112,9,FALSE)="Dragon",VLOOKUP(Calculator!$E28,tbSkills!$AX3:$AY9,2,FALSE),0))))),0)/10)&gt;=B34,B34,(ROUND((VLOOKUP(tbMoveset!A19,tbMoveset!A2:F112,6,FALSE)+(IF(VLOOKUP(tbMoveset!A19,tbMoveset!A2:F112,6,FALSE)&gt;0,K41,0)))*(1+(IF(VLOOKUP(tbMoveset!A19,tbMoveset!A2:I112,9,FALSE)="Fire",VLOOKUP(Calculator!$E24,tbSkills!$AX3:$AZ9,3,FALSE),IF(VLOOKUP(tbMoveset!A19,tbMoveset!A2:I112,9,FALSE)="Water",VLOOKUP(Calculator!$E25,tbSkills!$AX3:$AZ9,3,FALSE),IF(VLOOKUP(BackdoorsMoveset!A19,tbMoveset!A2:I112,9,FALSE)="Thunder",VLOOKUP(Calculator!$E26,tbSkills!$AX3:$AZ9,3,FALSE),IF(VLOOKUP(tbMoveset!A19,tbMoveset!A2:I112,9,FALSE)="Ice",VLOOKUP(Calculator!$E27,tbSkills!$AX3:$AZ9,3,FALSE),IF(VLOOKUP(tbMoveset!A19,tbMoveset!A2:I112,9,FALSE)="Dragon",VLOOKUP(Calculator!$E28,tbSkills!$AX3:$AZ9,3,FALSE),0)))))/100))*AC7,0)+IF(VLOOKUP(tbMoveset!A19,tbMoveset!A2:F112,6,FALSE)&gt;0,IF(VLOOKUP(tbMoveset!A19,tbMoveset!A2:I112,9,FALSE)="Fire",VLOOKUP(Calculator!$E24,tbSkills!$AX3:$AY9,2,FALSE),IF(VLOOKUP(tbMoveset!A19,tbMoveset!A2:I112,9,FALSE)="Water",VLOOKUP(Calculator!$E25,tbSkills!$AX3:$AY9,2,FALSE),IF(VLOOKUP(tbMoveset!A19,tbMoveset!A2:I112,9,FALSE)="Thunder",VLOOKUP(Calculator!$E26,tbSkills!$AX3:$AY9,2,FALSE),IF(VLOOKUP(tbMoveset!A19,tbMoveset!A2:I112,9,FALSE)="Ice",VLOOKUP(Calculator!$E27,tbSkills!$AX3:$AY9,2,FALSE),IF(VLOOKUP(tbMoveset!A19,tbMoveset!A2:I112,9,FALSE)="Dragon",VLOOKUP(Calculator!$E28,tbSkills!$AX3:$AY9,2,FALSE),0))))),0)/10))*N6)*AC6,0)*(B30/100),0)</f>
        <v>0</v>
      </c>
    </row>
    <row r="20" spans="1:73" x14ac:dyDescent="0.25">
      <c r="A20" t="s">
        <v>586</v>
      </c>
      <c r="B20">
        <f>AO4*10</f>
        <v>0</v>
      </c>
      <c r="D20" t="s">
        <v>203</v>
      </c>
      <c r="E20" s="5" t="str">
        <f>IF(AND(E17&gt;0,E8="N/A"),E6,IF(AND(E18&gt;0,E8&lt;&gt;"N/A"),E8,E4))</f>
        <v>Yellow</v>
      </c>
      <c r="J20" t="s">
        <v>842</v>
      </c>
      <c r="K20">
        <f>IF(K17=TRUE,IF(Calculator!B43="Element/Status Effect Up",tbCustom!C3,0)+IF(Calculator!B44="Element/Status Effect Up",tbCustom!C4,0)+IF(Calculator!B45="Element/Status Effect Up",tbCustom!C5,0)+IF(Calculator!B46="Element/Status Effect Up",tbCustom!C6,0)+IF(Calculator!B47="Element/Status Effect Up",tbCustom!C7,0)+IF(Calculator!B48="Multi-Increase (weapon-specfic)",tbCustom!C8,0)+IF(Calculator!B49="Element/Status Effect Up",tbCustom!C9,0),0)</f>
        <v>0</v>
      </c>
      <c r="Y20" t="s">
        <v>1229</v>
      </c>
      <c r="Z20">
        <f>IF(B2="Long Sword",IF(Calculator!B62="Red",1.2,IF(Calculator!B62="Yellow",1.1,IF(Calculator!B62="White",1.05,1))),1)</f>
        <v>1</v>
      </c>
      <c r="AN20" s="49">
        <f>IFERROR(INDEX(tbHitzones!K:K,MATCH(ROWS(tbHitzones!$1:3),tbHitzones!K:K,0)),"")</f>
        <v>3</v>
      </c>
      <c r="AO20">
        <f>IF(OR(B2="Light Bowgun",B2="Heavy Bowgun"),IF(AI12&gt;=0,1+(IF(Calculator!E40&gt;0,VLOOKUP(Calculator!E40,tbSkills!AI3:AJ5,2,FALSE),AL4)*(IF((AI12+IF(BA5&gt;=0.45,VLOOKUP(Calculator!E23,tbSkills!DH3:DI6,2,FALSE)+IF(AND(Calculator!B8=TRUE,BI5=TRUE),VLOOKUP(Calculator!E23,tbSkills!DH3:DJ6,3,FALSE),0),0))&gt;=100,100,(AI12+IF(BA5&gt;=0.45,VLOOKUP(Calculator!E23,tbSkills!DH3:DI6,2,FALSE)+IF(AND(Calculator!B8=TRUE,BI5=TRUE),VLOOKUP(Calculator!E23,tbSkills!DH3:DJ6,3,FALSE),0),0)))/100)),1),VLOOKUP(Backdoors!A37,BackdoorsMoveset!A2:U112,21,FALSE)+VLOOKUP(Backdoors!A38,BackdoorsMoveset!A2:U112,21,FALSE)+VLOOKUP(Backdoors!A39,BackdoorsMoveset!A2:U112,21,FALSE)+VLOOKUP(Backdoors!A40,BackdoorsMoveset!A2:U112,21,FALSE)+VLOOKUP(Backdoors!A41,BackdoorsMoveset!A2:U112,21,FALSE)+VLOOKUP(Backdoors!A42,BackdoorsMoveset!A2:U112,21,FALSE)+VLOOKUP(Backdoors!A43,BackdoorsMoveset!A2:U112,21,FALSE)+VLOOKUP(Backdoors!A44,BackdoorsMoveset!A2:U112,21,FALSE)+VLOOKUP(Backdoors!A45,BackdoorsMoveset!A2:U112,21,FALSE)+VLOOKUP(Backdoors!A46,BackdoorsMoveset!A2:U112,21,FALSE)+VLOOKUP(Backdoors!A47,BackdoorsMoveset!A2:U112,21,FALSE)+VLOOKUP(Backdoors!A48,BackdoorsMoveset!A2:U112,21,FALSE)+VLOOKUP(Backdoors!A49,BackdoorsMoveset!A2:U112,21,FALSE)+VLOOKUP(Backdoors!A50,BackdoorsMoveset!A2:U112,21,FALSE)+VLOOKUP(Backdoors!A51,BackdoorsMoveset!A2:U112,21,FALSE)+VLOOKUP(Backdoors!A52,BackdoorsMoveset!A2:U112,21,FALSE)+VLOOKUP(Backdoors!A53,BackdoorsMoveset!A2:U112,21,FALSE)+VLOOKUP(Backdoors!A54,BackdoorsMoveset!A2:U112,21,FALSE)+VLOOKUP(Backdoors!A55,BackdoorsMoveset!A2:U112,21,FALSE)+VLOOKUP(Backdoors!A56,BackdoorsMoveset!A2:U112,21,FALSE)+VLOOKUP(Backdoors!A57,BackdoorsMoveset!A2:U112,21,FALSE)+VLOOKUP(Backdoors!A58,BackdoorsMoveset!A2:U112,21,FALSE)+VLOOKUP(Backdoors!A59,BackdoorsMoveset!A2:U112,21,FALSE)+VLOOKUP(Backdoors!A60,BackdoorsMoveset!A2:U112,21,FALSE)+VLOOKUP(Backdoors!A61,BackdoorsMoveset!A2:U112,21,FALSE))</f>
        <v>14.299999999999999</v>
      </c>
      <c r="AQ20" t="s">
        <v>236</v>
      </c>
      <c r="AR20">
        <f>AR19*VLOOKUP(AO8,tbStatus!A22:E33,5,FALSE)</f>
        <v>0</v>
      </c>
      <c r="AT20">
        <v>19</v>
      </c>
      <c r="AU20">
        <f>$AU19+IF(AO12+((AO10*18)*AO11)&gt;AO13,AO13,AO12+((AO10*18)*AO11))</f>
        <v>3762</v>
      </c>
      <c r="AW20" s="49" t="str">
        <f>IFERROR(INDEX(tbHitzones!K:K,MATCH(ROWS(tbHitzones!$1:18),tbHitzones!K:K,0)),"")</f>
        <v/>
      </c>
      <c r="AX20" s="49" t="str">
        <f>IFERROR(INDEX(tbHitzones!B:B,MATCH(ROWS(tbHitzones!$1:18),tbHitzones!K:K,0)),"")</f>
        <v/>
      </c>
      <c r="AY20" s="49" t="str">
        <f>IFERROR(INDEX(tbHitzones!C:C,MATCH(ROWS(tbHitzones!$1:18),tbHitzones!K:K,0)),"")</f>
        <v/>
      </c>
      <c r="AZ20" s="49" t="str">
        <f>IFERROR(INDEX(tbHitzones!D:D,MATCH(ROWS(tbHitzones!$1:18),tbHitzones!K:K,0)),"")</f>
        <v/>
      </c>
      <c r="BA20" s="49" t="str">
        <f>IFERROR(INDEX(tbHitzones!E:E,MATCH(ROWS(tbHitzones!$1:18),tbHitzones!K:K,0)),"")</f>
        <v/>
      </c>
      <c r="BB20" s="49" t="str">
        <f>IFERROR(INDEX(tbHitzones!F:F,MATCH(ROWS(tbHitzones!$1:18),tbHitzones!K:K,0)),"")</f>
        <v/>
      </c>
      <c r="BC20" s="49" t="str">
        <f>IFERROR(INDEX(tbHitzones!G:G,MATCH(ROWS(tbHitzones!$1:18),tbHitzones!K:K,0)),"")</f>
        <v/>
      </c>
      <c r="BD20" s="49" t="str">
        <f>IFERROR(INDEX(tbHitzones!H:H,MATCH(ROWS(tbHitzones!$1:18),tbHitzones!K:K,0)),"")</f>
        <v/>
      </c>
      <c r="BE20" s="49" t="str">
        <f>IFERROR(INDEX(tbHitzones!I:I,MATCH(ROWS(tbHitzones!$1:18),tbHitzones!K:K,0)),"")</f>
        <v/>
      </c>
      <c r="BF20" s="49" t="str">
        <f>IFERROR(INDEX(tbHitzones!J:J,MATCH(ROWS(tbHitzones!$1:18),tbHitzones!K:K,0)),"")</f>
        <v/>
      </c>
      <c r="BG20" s="49">
        <f>IFERROR(IF(OR(B9="Fire",B11="Fire"),BB20,IF(OR(B9="Water",B11="Water"),BC20,IF(OR(B9="Thunder",B11="Thunder"),BD20,IF(OR(B9="Ice",B11="Ice"),BE20,IF(OR(B9="Dragon",B11="Dragon"),BF20,0))))),"")</f>
        <v>0</v>
      </c>
      <c r="BH20" s="49" t="str">
        <f>IFERROR(INDEX(tbHitzones!L:L,MATCH(ROWS(tbHitzones!$1:18),tbHitzones!K:K,0)),"")</f>
        <v/>
      </c>
      <c r="BI20" s="49" t="str">
        <f>IFERROR(INDEX(tbHitzones!M:M,MATCH(ROWS(tbHitzones!$1:18),tbHitzones!K:K,0)),"")</f>
        <v/>
      </c>
      <c r="BK20" s="49" t="str">
        <f>IFERROR(INDEX(tbHitzones!K:K,MATCH(ROWS(tbHitzones!$1:18),tbHitzones!K:K,0)),"")</f>
        <v/>
      </c>
      <c r="BL20">
        <f>IFERROR(VLOOKUP(Backdoors!A37,BackdoorsMoveset!A2:DT112,124,FALSE)+VLOOKUP(Backdoors!A38,BackdoorsMoveset!A2:DT112,124,FALSE)+VLOOKUP(Backdoors!A39,BackdoorsMoveset!A2:DT112,124,FALSE)+VLOOKUP(Backdoors!A40,BackdoorsMoveset!A2:DT112,124,FALSE)+VLOOKUP(Backdoors!A41,BackdoorsMoveset!A2:DT112,124,FALSE)+VLOOKUP(Backdoors!A42,BackdoorsMoveset!A2:DT112,124,FALSE)+VLOOKUP(Backdoors!A43,BackdoorsMoveset!A2:DT112,124,FALSE)+VLOOKUP(Backdoors!A44,BackdoorsMoveset!A2:DT112,124,FALSE)+VLOOKUP(Backdoors!A45,BackdoorsMoveset!A2:DT112,124,FALSE)+VLOOKUP(Backdoors!A46,BackdoorsMoveset!A2:DT112,124,FALSE)+VLOOKUP(Backdoors!A47,BackdoorsMoveset!A2:DT112,124,FALSE)+VLOOKUP(Backdoors!A48,BackdoorsMoveset!A2:DT112,124,FALSE)+VLOOKUP(Backdoors!A49,BackdoorsMoveset!A2:DT112,124,FALSE)+VLOOKUP(Backdoors!A50,BackdoorsMoveset!A2:DT112,124,FALSE)+VLOOKUP(Backdoors!A51,BackdoorsMoveset!A2:DT112,124,FALSE)+VLOOKUP(Backdoors!A52,BackdoorsMoveset!A2:DT112,124,FALSE)+VLOOKUP(Backdoors!A53,BackdoorsMoveset!A2:DT112,124,FALSE)+VLOOKUP(Backdoors!A54,BackdoorsMoveset!A2:DT112,124,FALSE)+VLOOKUP(Backdoors!A55,BackdoorsMoveset!A2:DT112,124,FALSE)+VLOOKUP(Backdoors!A56,BackdoorsMoveset!A2:DT112,124,FALSE)+VLOOKUP(Backdoors!A57,BackdoorsMoveset!A2:DT112,124,FALSE)+VLOOKUP(Backdoors!A58,BackdoorsMoveset!A2:DT112,124,FALSE)+VLOOKUP(Backdoors!A59,BackdoorsMoveset!A2:DT112,124,FALSE)+VLOOKUP(Backdoors!A60,BackdoorsMoveset!A2:DT112,124,FALSE)+VLOOKUP(Backdoors!A61,BackdoorsMoveset!A2:DT112,124,FALSE),0)</f>
        <v>0</v>
      </c>
      <c r="BM20">
        <f>IFERROR(VLOOKUP(Backdoors!A37,BackdoorsMoveset!A2:DU112,125,FALSE)+VLOOKUP(Backdoors!A38,BackdoorsMoveset!A2:DU112,125,FALSE)+VLOOKUP(Backdoors!A39,BackdoorsMoveset!A2:DU112,125,FALSE)+VLOOKUP(Backdoors!A40,BackdoorsMoveset!A2:DU112,125,FALSE)+VLOOKUP(Backdoors!A41,BackdoorsMoveset!A2:DU112,125,FALSE)+VLOOKUP(Backdoors!A42,BackdoorsMoveset!A2:DU112,125,FALSE)+VLOOKUP(Backdoors!A43,BackdoorsMoveset!A2:DU112,125,FALSE)+VLOOKUP(Backdoors!A44,BackdoorsMoveset!A2:DU112,125,FALSE)+VLOOKUP(Backdoors!A45,BackdoorsMoveset!A2:DU112,125,FALSE)+VLOOKUP(Backdoors!A46,BackdoorsMoveset!A2:DU112,125,FALSE)+VLOOKUP(Backdoors!A47,BackdoorsMoveset!A2:DU112,125,FALSE)+VLOOKUP(Backdoors!A48,BackdoorsMoveset!A2:DU112,125,FALSE)+VLOOKUP(Backdoors!A49,BackdoorsMoveset!A2:DU112,125,FALSE)+VLOOKUP(Backdoors!A50,BackdoorsMoveset!A2:DU112,125,FALSE)+VLOOKUP(Backdoors!A51,BackdoorsMoveset!A2:DU112,125,FALSE)+VLOOKUP(Backdoors!A52,BackdoorsMoveset!A2:DU112,125,FALSE)+VLOOKUP(Backdoors!A53,BackdoorsMoveset!A2:DU112,125,FALSE)+VLOOKUP(Backdoors!A54,BackdoorsMoveset!A2:DU112,125,FALSE)+VLOOKUP(Backdoors!A55,BackdoorsMoveset!A2:DU112,125,FALSE)+VLOOKUP(Backdoors!A56,BackdoorsMoveset!A2:DU112,125,FALSE)+VLOOKUP(Backdoors!A57,BackdoorsMoveset!A2:DU112,125,FALSE)+VLOOKUP(Backdoors!A58,BackdoorsMoveset!A2:DU112,125,FALSE)+VLOOKUP(Backdoors!A59,BackdoorsMoveset!A2:DU112,125,FALSE)+VLOOKUP(Backdoors!A60,BackdoorsMoveset!A2:DU112,125,FALSE)+VLOOKUP(Backdoors!A61,BackdoorsMoveset!A2:DU112,125,FALSE),0)</f>
        <v>0</v>
      </c>
      <c r="BN20">
        <f>IFERROR(VLOOKUP(Backdoors!A37,BackdoorsMoveset!A2:DW112,127,FALSE)+VLOOKUP(Backdoors!A38,BackdoorsMoveset!A2:DW112,127,FALSE)+VLOOKUP(Backdoors!A39,BackdoorsMoveset!A2:DW112,127,FALSE)+VLOOKUP(Backdoors!A40,BackdoorsMoveset!A2:DW112,127,FALSE)+VLOOKUP(Backdoors!A41,BackdoorsMoveset!A2:DW112,127,FALSE)+VLOOKUP(Backdoors!A42,BackdoorsMoveset!A2:DW112,127,FALSE)+VLOOKUP(Backdoors!A43,BackdoorsMoveset!A2:DW112,127,FALSE)+VLOOKUP(Backdoors!A44,BackdoorsMoveset!A2:DW112,127,FALSE)+VLOOKUP(Backdoors!A45,BackdoorsMoveset!A2:DW112,127,FALSE)+VLOOKUP(Backdoors!A46,BackdoorsMoveset!A2:DW112,127,FALSE)+VLOOKUP(Backdoors!A47,BackdoorsMoveset!A2:DW112,127,FALSE)+VLOOKUP(Backdoors!A48,BackdoorsMoveset!A2:DW112,127,FALSE)+VLOOKUP(Backdoors!A49,BackdoorsMoveset!A2:DW112,127,FALSE)+VLOOKUP(Backdoors!A50,BackdoorsMoveset!A2:DW112,127,FALSE)+VLOOKUP(Backdoors!A51,BackdoorsMoveset!A2:DW112,127,FALSE)+VLOOKUP(Backdoors!A52,BackdoorsMoveset!A2:DW112,127,FALSE)+VLOOKUP(Backdoors!A53,BackdoorsMoveset!A2:DW112,127,FALSE)+VLOOKUP(Backdoors!A54,BackdoorsMoveset!A2:DW112,127,FALSE)+VLOOKUP(Backdoors!A55,BackdoorsMoveset!A2:DW112,127,FALSE)+VLOOKUP(Backdoors!A56,BackdoorsMoveset!A2:DW112,127,FALSE)+VLOOKUP(Backdoors!A57,BackdoorsMoveset!A2:DW112,127,FALSE)+VLOOKUP(Backdoors!A58,BackdoorsMoveset!A2:DW112,127,FALSE)+VLOOKUP(Backdoors!A59,BackdoorsMoveset!A2:DW112,127,FALSE)+VLOOKUP(Backdoors!A60,BackdoorsMoveset!A2:DW112,127,FALSE)+VLOOKUP(Backdoors!A61,BackdoorsMoveset!A2:DW112,127,FALSE),0)</f>
        <v>0</v>
      </c>
      <c r="BO20" s="49">
        <f>IF(BN20=0,0,IF(OR(B9="Poison",$B11="Poison",B2="Light Bowgun",B2="Heavy Bowgun"),ROUND(Backdoors!A36*VLOOKUP(AO7,tbStatus!$A3:$F18,6,FALSE)*IF((AO16*AO35)&gt;1,1,(AO16*AO35)),0),IF(OR(B9="Blast",B11="Blast"),AR234,0)))</f>
        <v>0</v>
      </c>
      <c r="BP20">
        <f t="shared" si="0"/>
        <v>0</v>
      </c>
      <c r="BQ20" s="49" t="str">
        <f>CONCATENATE(AX20,IF(AND(BI20=TRUE,Calculator!B8=TRUE),CONCATENATE(" (Tenderized)"),""),IF(BP20=0,"",CONCATENATE(", ",BP20)))</f>
        <v/>
      </c>
      <c r="BR20">
        <f>VLOOKUP(Calculator!B4,SavedBuildNumbers!A1:S73,19,FALSE)</f>
        <v>0</v>
      </c>
      <c r="BS20">
        <f>VLOOKUP(Calculator!B4,SavedBuildNumbers!A1:BH73,60,FALSE)</f>
        <v>0</v>
      </c>
      <c r="BU20" s="49">
        <f>IFERROR(ROUNDDOWN((IF((ROUND((VLOOKUP(tbMoveset!A20,tbMoveset!A2:F112,6,FALSE)+(IF(VLOOKUP(tbMoveset!A20,tbMoveset!A2:F112,6,FALSE)&gt;0,K41,0)))*(1+(IF(VLOOKUP(tbMoveset!A20,tbMoveset!A2:I112,9,FALSE)="Fire",VLOOKUP(Calculator!$E24,tbSkills!$AX3:$AZ9,3,FALSE),IF(VLOOKUP(tbMoveset!A20,tbMoveset!A2:I112,9,FALSE)="Water",VLOOKUP(Calculator!$E25,tbSkills!$AX3:$AZ9,3,FALSE),IF(VLOOKUP(BackdoorsMoveset!A20,tbMoveset!A2:I112,9,FALSE)="Thunder",VLOOKUP(Calculator!$E26,tbSkills!$AX3:$AZ9,3,FALSE),IF(VLOOKUP(tbMoveset!A20,tbMoveset!A2:I112,9,FALSE)="Ice",VLOOKUP(Calculator!$E27,tbSkills!$AX3:$AZ9,3,FALSE),IF(VLOOKUP(tbMoveset!A20,tbMoveset!A2:I112,9,FALSE)="Dragon",VLOOKUP(Calculator!$E28,tbSkills!$AX3:$AZ9,3,FALSE),0)))))/100))*AC7,0)+IF(VLOOKUP(tbMoveset!A20,tbMoveset!A2:F112,6,FALSE)&gt;0,IF(VLOOKUP(tbMoveset!A20,tbMoveset!A2:I112,9,FALSE)="Fire",VLOOKUP(Calculator!$E24,tbSkills!$AX3:$AY9,2,FALSE),IF(VLOOKUP(tbMoveset!A20,tbMoveset!A2:I112,9,FALSE)="Water",VLOOKUP(Calculator!$E25,tbSkills!$AX3:$AY9,2,FALSE),IF(VLOOKUP(tbMoveset!A20,tbMoveset!A2:I112,9,FALSE)="Thunder",VLOOKUP(Calculator!$E26,tbSkills!$AX3:$AY9,2,FALSE),IF(VLOOKUP(tbMoveset!A20,tbMoveset!A2:I112,9,FALSE)="Ice",VLOOKUP(Calculator!$E27,tbSkills!$AX3:$AY9,2,FALSE),IF(VLOOKUP(tbMoveset!A20,tbMoveset!A2:I112,9,FALSE)="Dragon",VLOOKUP(Calculator!$E28,tbSkills!$AX3:$AY9,2,FALSE),0))))),0)/10)&gt;=B34,B34,(ROUND((VLOOKUP(tbMoveset!A20,tbMoveset!A2:F112,6,FALSE)+(IF(VLOOKUP(tbMoveset!A20,tbMoveset!A2:F112,6,FALSE)&gt;0,K41,0)))*(1+(IF(VLOOKUP(tbMoveset!A20,tbMoveset!A2:I112,9,FALSE)="Fire",VLOOKUP(Calculator!$E24,tbSkills!$AX3:$AZ9,3,FALSE),IF(VLOOKUP(tbMoveset!A20,tbMoveset!A2:I112,9,FALSE)="Water",VLOOKUP(Calculator!$E25,tbSkills!$AX3:$AZ9,3,FALSE),IF(VLOOKUP(BackdoorsMoveset!A20,tbMoveset!A2:I112,9,FALSE)="Thunder",VLOOKUP(Calculator!$E26,tbSkills!$AX3:$AZ9,3,FALSE),IF(VLOOKUP(tbMoveset!A20,tbMoveset!A2:I112,9,FALSE)="Ice",VLOOKUP(Calculator!$E27,tbSkills!$AX3:$AZ9,3,FALSE),IF(VLOOKUP(tbMoveset!A20,tbMoveset!A2:I112,9,FALSE)="Dragon",VLOOKUP(Calculator!$E28,tbSkills!$AX3:$AZ9,3,FALSE),0)))))/100))*AC7,0)+IF(VLOOKUP(tbMoveset!A20,tbMoveset!A2:F112,6,FALSE)&gt;0,IF(VLOOKUP(tbMoveset!A20,tbMoveset!A2:I112,9,FALSE)="Fire",VLOOKUP(Calculator!$E24,tbSkills!$AX3:$AY9,2,FALSE),IF(VLOOKUP(tbMoveset!A20,tbMoveset!A2:I112,9,FALSE)="Water",VLOOKUP(Calculator!$E25,tbSkills!$AX3:$AY9,2,FALSE),IF(VLOOKUP(tbMoveset!A20,tbMoveset!A2:I112,9,FALSE)="Thunder",VLOOKUP(Calculator!$E26,tbSkills!$AX3:$AY9,2,FALSE),IF(VLOOKUP(tbMoveset!A20,tbMoveset!A2:I112,9,FALSE)="Ice",VLOOKUP(Calculator!$E27,tbSkills!$AX3:$AY9,2,FALSE),IF(VLOOKUP(tbMoveset!A20,tbMoveset!A2:I112,9,FALSE)="Dragon",VLOOKUP(Calculator!$E28,tbSkills!$AX3:$AY9,2,FALSE),0))))),0)/10))*N6)*AC6,0)*(B30/100),0)</f>
        <v>0</v>
      </c>
    </row>
    <row r="21" spans="1:73" x14ac:dyDescent="0.25">
      <c r="A21" t="s">
        <v>176</v>
      </c>
      <c r="B21">
        <f>VLOOKUP(Calculator!B2,tbWeapons!A2:AF271,32,FALSE)</f>
        <v>1</v>
      </c>
      <c r="D21" t="s">
        <v>204</v>
      </c>
      <c r="E21" s="5" t="str">
        <f>IF(E20="Purple","White",IF(E20="White","Blue",IF(E20="Blue","Green",IF(E20="Green","Yellow",IF(E20="Yellow","Orange","Red")))))</f>
        <v>Orange</v>
      </c>
      <c r="J21" t="s">
        <v>855</v>
      </c>
      <c r="K21">
        <f>IF(K17=TRUE,IF(Calculator!B49="Sharpness Increase",2,0),0)</f>
        <v>0</v>
      </c>
      <c r="Y21" t="s">
        <v>877</v>
      </c>
      <c r="Z21">
        <f>1+IF(OR(B2="Light Bowgun",B2="Heavy Bowgun",B2="Bow"),(VLOOKUP(Calculator!E22,tbSkills!DA3:DB5,2,FALSE)/100),0)</f>
        <v>1</v>
      </c>
      <c r="AN21" s="49">
        <f>IFERROR(INDEX(tbHitzones!K:K,MATCH(ROWS(tbHitzones!$1:4),tbHitzones!K:K,0)),"")</f>
        <v>4</v>
      </c>
      <c r="AO21">
        <f>IF(OR(B2="Light Bowgun",B2="Heavy Bowgun"),IF(AI12&gt;=0,1+(IF(Calculator!E40&gt;0,VLOOKUP(Calculator!E40,tbSkills!AI3:AJ5,2,FALSE),AL4)*(IF((AI12+IF(BA6&gt;=0.45,VLOOKUP(Calculator!E23,tbSkills!DH3:DI6,2,FALSE)+IF(AND(Calculator!B8=TRUE,BI6=TRUE),VLOOKUP(Calculator!E23,tbSkills!DH3:DJ6,3,FALSE),0),0))&gt;=100,100,(AI12+IF(BA6&gt;=0.45,VLOOKUP(Calculator!E23,tbSkills!DH3:DI6,2,FALSE)+IF(AND(Calculator!B8=TRUE,BI6=TRUE),VLOOKUP(Calculator!E23,tbSkills!DH3:DJ6,3,FALSE),0),0)))/100)),1),VLOOKUP(Backdoors!A37,BackdoorsMoveset!A2:AB112,28,FALSE)+VLOOKUP(Backdoors!A38,BackdoorsMoveset!A2:AB112,28,FALSE)+VLOOKUP(Backdoors!A39,BackdoorsMoveset!A2:AB112,28,FALSE)+VLOOKUP(Backdoors!A40,BackdoorsMoveset!A2:AB112,28,FALSE)+VLOOKUP(Backdoors!A41,BackdoorsMoveset!A2:AB112,28,FALSE)+VLOOKUP(Backdoors!A42,BackdoorsMoveset!A2:AB112,28,FALSE)+VLOOKUP(Backdoors!A43,BackdoorsMoveset!A2:AB112,28,FALSE)+VLOOKUP(Backdoors!A44,BackdoorsMoveset!A2:AB112,28,FALSE)+VLOOKUP(Backdoors!A45,BackdoorsMoveset!A2:AB112,28,FALSE)+VLOOKUP(Backdoors!A46,BackdoorsMoveset!A2:AB112,28,FALSE)+VLOOKUP(Backdoors!A47,BackdoorsMoveset!A2:AB112,28,FALSE)+VLOOKUP(Backdoors!A48,BackdoorsMoveset!A2:AB112,28,FALSE)+VLOOKUP(Backdoors!A49,BackdoorsMoveset!A2:AB112,28,FALSE)+VLOOKUP(Backdoors!A50,BackdoorsMoveset!A2:AB112,28,FALSE)+VLOOKUP(Backdoors!A51,BackdoorsMoveset!A2:AB112,28,FALSE)+VLOOKUP(Backdoors!A52,BackdoorsMoveset!A2:AB112,28,FALSE)+VLOOKUP(Backdoors!A53,BackdoorsMoveset!A2:AB112,28,FALSE)+VLOOKUP(Backdoors!A54,BackdoorsMoveset!A2:AB112,28,FALSE)+VLOOKUP(Backdoors!A55,BackdoorsMoveset!A2:AB112,28,FALSE)+VLOOKUP(Backdoors!A56,BackdoorsMoveset!A2:AB112,28,FALSE)+VLOOKUP(Backdoors!A57,BackdoorsMoveset!A2:AB112,28,FALSE)+VLOOKUP(Backdoors!A58,BackdoorsMoveset!A2:AB112,28,FALSE)+VLOOKUP(Backdoors!A59,BackdoorsMoveset!A2:AB112,28,FALSE)+VLOOKUP(Backdoors!A60,BackdoorsMoveset!A2:AB112,28,FALSE)+VLOOKUP(Backdoors!A61,BackdoorsMoveset!A2:AB112,28,FALSE))</f>
        <v>14.299999999999999</v>
      </c>
      <c r="AQ21" t="s">
        <v>237</v>
      </c>
      <c r="AR21">
        <f>N8-AR20</f>
        <v>1408</v>
      </c>
      <c r="AT21">
        <v>20</v>
      </c>
      <c r="AU21">
        <f>$AU20+IF(AO12+((AO10*19)*AO11)&gt;AO13,AO13,AO12+((AO10*19)*AO11))</f>
        <v>4140</v>
      </c>
      <c r="AW21" s="49" t="str">
        <f>IFERROR(INDEX(tbHitzones!K:K,MATCH(ROWS(tbHitzones!$1:19),tbHitzones!K:K,0)),"")</f>
        <v/>
      </c>
      <c r="AX21" s="49" t="str">
        <f>IFERROR(INDEX(tbHitzones!B:B,MATCH(ROWS(tbHitzones!$1:19),tbHitzones!K:K,0)),"")</f>
        <v/>
      </c>
      <c r="AY21" s="49" t="str">
        <f>IFERROR(INDEX(tbHitzones!C:C,MATCH(ROWS(tbHitzones!$1:19),tbHitzones!K:K,0)),"")</f>
        <v/>
      </c>
      <c r="AZ21" s="49" t="str">
        <f>IFERROR(INDEX(tbHitzones!D:D,MATCH(ROWS(tbHitzones!$1:19),tbHitzones!K:K,0)),"")</f>
        <v/>
      </c>
      <c r="BA21" s="49" t="str">
        <f>IFERROR(INDEX(tbHitzones!E:E,MATCH(ROWS(tbHitzones!$1:19),tbHitzones!K:K,0)),"")</f>
        <v/>
      </c>
      <c r="BB21" s="49" t="str">
        <f>IFERROR(INDEX(tbHitzones!F:F,MATCH(ROWS(tbHitzones!$1:19),tbHitzones!K:K,0)),"")</f>
        <v/>
      </c>
      <c r="BC21" s="49" t="str">
        <f>IFERROR(INDEX(tbHitzones!G:G,MATCH(ROWS(tbHitzones!$1:19),tbHitzones!K:K,0)),"")</f>
        <v/>
      </c>
      <c r="BD21" s="49" t="str">
        <f>IFERROR(INDEX(tbHitzones!H:H,MATCH(ROWS(tbHitzones!$1:19),tbHitzones!K:K,0)),"")</f>
        <v/>
      </c>
      <c r="BE21" s="49" t="str">
        <f>IFERROR(INDEX(tbHitzones!I:I,MATCH(ROWS(tbHitzones!$1:19),tbHitzones!K:K,0)),"")</f>
        <v/>
      </c>
      <c r="BF21" s="49" t="str">
        <f>IFERROR(INDEX(tbHitzones!J:J,MATCH(ROWS(tbHitzones!$1:19),tbHitzones!K:K,0)),"")</f>
        <v/>
      </c>
      <c r="BG21" s="49">
        <f>IFERROR(IF(OR(B9="Fire",B11="Fire"),BB21,IF(OR(B9="Water",B11="Water"),BC21,IF(OR(B9="Thunder",B11="Thunder"),BD21,IF(OR(B9="Ice",B11="Ice"),BE21,IF(OR(B9="Dragon",B11="Dragon"),BF21,0))))),"")</f>
        <v>0</v>
      </c>
      <c r="BH21" s="49" t="str">
        <f>IFERROR(INDEX(tbHitzones!L:L,MATCH(ROWS(tbHitzones!$1:19),tbHitzones!K:K,0)),"")</f>
        <v/>
      </c>
      <c r="BI21" s="49" t="str">
        <f>IFERROR(INDEX(tbHitzones!M:M,MATCH(ROWS(tbHitzones!$1:19),tbHitzones!K:K,0)),"")</f>
        <v/>
      </c>
      <c r="BK21" s="49" t="str">
        <f>IFERROR(INDEX(tbHitzones!K:K,MATCH(ROWS(tbHitzones!$1:19),tbHitzones!K:K,0)),"")</f>
        <v/>
      </c>
      <c r="BL21">
        <f>IFERROR(VLOOKUP(Backdoors!A37,BackdoorsMoveset!A2:EA112,131,FALSE)+VLOOKUP(Backdoors!A38,BackdoorsMoveset!A2:EA112,131,FALSE)+VLOOKUP(Backdoors!A39,BackdoorsMoveset!A2:EA112,131,FALSE)+VLOOKUP(Backdoors!A40,BackdoorsMoveset!A2:EA112,131,FALSE)+VLOOKUP(Backdoors!A41,BackdoorsMoveset!A2:EA112,131,FALSE)+VLOOKUP(Backdoors!A42,BackdoorsMoveset!A2:EA112,131,FALSE)+VLOOKUP(Backdoors!A43,BackdoorsMoveset!A2:EA112,131,FALSE)+VLOOKUP(Backdoors!A44,BackdoorsMoveset!A2:EA112,131,FALSE)+VLOOKUP(Backdoors!A45,BackdoorsMoveset!A2:EA112,131,FALSE)+VLOOKUP(Backdoors!A46,BackdoorsMoveset!A2:EA112,131,FALSE)+VLOOKUP(Backdoors!A47,BackdoorsMoveset!A2:EA112,131,FALSE)+VLOOKUP(Backdoors!A48,BackdoorsMoveset!A2:EA112,131,FALSE)+VLOOKUP(Backdoors!A49,BackdoorsMoveset!A2:EA112,131,FALSE)+VLOOKUP(Backdoors!A50,BackdoorsMoveset!A2:EA112,131,FALSE)+VLOOKUP(Backdoors!A51,BackdoorsMoveset!A2:EA112,131,FALSE)+VLOOKUP(Backdoors!A52,BackdoorsMoveset!A2:EA112,131,FALSE)+VLOOKUP(Backdoors!A53,BackdoorsMoveset!A2:EA112,131,FALSE)+VLOOKUP(Backdoors!A54,BackdoorsMoveset!A2:EA112,131,FALSE)+VLOOKUP(Backdoors!A55,BackdoorsMoveset!A2:EA112,131,FALSE)+VLOOKUP(Backdoors!A56,BackdoorsMoveset!A2:EA112,131,FALSE)+VLOOKUP(Backdoors!A57,BackdoorsMoveset!A2:EA112,131,FALSE)+VLOOKUP(Backdoors!A58,BackdoorsMoveset!A2:EA112,131,FALSE)+VLOOKUP(Backdoors!A59,BackdoorsMoveset!A2:EA112,131,FALSE)+VLOOKUP(Backdoors!A60,BackdoorsMoveset!A2:EA112,131,FALSE)+VLOOKUP(Backdoors!A61,BackdoorsMoveset!A2:EA112,131,FALSE),0)</f>
        <v>0</v>
      </c>
      <c r="BM21">
        <f>IFERROR(VLOOKUP(Backdoors!A37,BackdoorsMoveset!A2:EB112,132,FALSE)+VLOOKUP(Backdoors!A38,BackdoorsMoveset!A2:EB112,132,FALSE)+VLOOKUP(Backdoors!A39,BackdoorsMoveset!A2:EB112,132,FALSE)+VLOOKUP(Backdoors!A40,BackdoorsMoveset!A2:EB112,132,FALSE)+VLOOKUP(Backdoors!A41,BackdoorsMoveset!A2:EB112,132,FALSE)+VLOOKUP(Backdoors!A42,BackdoorsMoveset!A2:EB112,132,FALSE)+VLOOKUP(Backdoors!A43,BackdoorsMoveset!A2:EB112,132,FALSE)+VLOOKUP(Backdoors!A44,BackdoorsMoveset!A2:EB112,132,FALSE)+VLOOKUP(Backdoors!A45,BackdoorsMoveset!A2:EB112,132,FALSE)+VLOOKUP(Backdoors!A46,BackdoorsMoveset!A2:EB112,132,FALSE)+VLOOKUP(Backdoors!A47,BackdoorsMoveset!A2:EB112,132,FALSE)+VLOOKUP(Backdoors!A48,BackdoorsMoveset!A2:EB112,132,FALSE)+VLOOKUP(Backdoors!A49,BackdoorsMoveset!A2:EB112,132,FALSE)+VLOOKUP(Backdoors!A50,BackdoorsMoveset!A2:EB112,132,FALSE)+VLOOKUP(Backdoors!A51,BackdoorsMoveset!A2:EB112,132,FALSE)+VLOOKUP(Backdoors!A52,BackdoorsMoveset!A2:EB112,132,FALSE)+VLOOKUP(Backdoors!A53,BackdoorsMoveset!A2:EB112,132,FALSE)+VLOOKUP(Backdoors!A54,BackdoorsMoveset!A2:EB112,132,FALSE)+VLOOKUP(Backdoors!A55,BackdoorsMoveset!A2:EB112,132,FALSE)+VLOOKUP(Backdoors!A56,BackdoorsMoveset!A2:EB112,132,FALSE)+VLOOKUP(Backdoors!A57,BackdoorsMoveset!A2:EB112,132,FALSE)+VLOOKUP(Backdoors!A58,BackdoorsMoveset!A2:EB112,132,FALSE)+VLOOKUP(Backdoors!A59,BackdoorsMoveset!A2:EB112,132,FALSE)+VLOOKUP(Backdoors!A60,BackdoorsMoveset!A2:EB112,132,FALSE)+VLOOKUP(Backdoors!A61,BackdoorsMoveset!A2:EB112,132,FALSE),0)</f>
        <v>0</v>
      </c>
      <c r="BN21">
        <f>IFERROR(VLOOKUP(Backdoors!A37,BackdoorsMoveset!A2:ED112,134,FALSE)+VLOOKUP(Backdoors!A38,BackdoorsMoveset!A2:ED112,134,FALSE)+VLOOKUP(Backdoors!A39,BackdoorsMoveset!A2:ED112,134,FALSE)+VLOOKUP(Backdoors!A40,BackdoorsMoveset!A2:ED112,134,FALSE)+VLOOKUP(Backdoors!A41,BackdoorsMoveset!A2:ED112,134,FALSE)+VLOOKUP(Backdoors!A42,BackdoorsMoveset!A2:ED112,134,FALSE)+VLOOKUP(Backdoors!A43,BackdoorsMoveset!A2:ED112,134,FALSE)+VLOOKUP(Backdoors!A44,BackdoorsMoveset!A2:ED112,134,FALSE)+VLOOKUP(Backdoors!A45,BackdoorsMoveset!A2:ED112,134,FALSE)+VLOOKUP(Backdoors!A46,BackdoorsMoveset!A2:ED112,134,FALSE)+VLOOKUP(Backdoors!A47,BackdoorsMoveset!A2:ED112,134,FALSE)+VLOOKUP(Backdoors!A48,BackdoorsMoveset!A2:ED112,134,FALSE)+VLOOKUP(Backdoors!A49,BackdoorsMoveset!A2:ED112,134,FALSE)+VLOOKUP(Backdoors!A50,BackdoorsMoveset!A2:ED112,134,FALSE)+VLOOKUP(Backdoors!A51,BackdoorsMoveset!A2:ED112,134,FALSE)+VLOOKUP(Backdoors!A52,BackdoorsMoveset!A2:ED112,134,FALSE)+VLOOKUP(Backdoors!A53,BackdoorsMoveset!A2:ED112,134,FALSE)+VLOOKUP(Backdoors!A54,BackdoorsMoveset!A2:ED112,134,FALSE)+VLOOKUP(Backdoors!A55,BackdoorsMoveset!A2:ED112,134,FALSE)+VLOOKUP(Backdoors!A56,BackdoorsMoveset!A2:ED112,134,FALSE)+VLOOKUP(Backdoors!A57,BackdoorsMoveset!A2:ED112,134,FALSE)+VLOOKUP(Backdoors!A58,BackdoorsMoveset!A2:ED112,134,FALSE)+VLOOKUP(Backdoors!A59,BackdoorsMoveset!A2:ED112,134,FALSE)+VLOOKUP(Backdoors!A60,BackdoorsMoveset!A2:ED112,134,FALSE)+VLOOKUP(Backdoors!A61,BackdoorsMoveset!A2:ED112,134,FALSE),0)</f>
        <v>0</v>
      </c>
      <c r="BO21" s="49">
        <f>IF(BN21=0,0,IF(OR(B9="Poison",$B11="Poison",B2="Light Bowgun",B2="Heavy Bowgun"),ROUND(Backdoors!A36*VLOOKUP(AO7,tbStatus!$A3:$F18,6,FALSE)*IF((AO16*AO36)&gt;1,1,(AO16*AO36)),0),IF(OR(B9="Blast",B11="Blast"),AR247,0)))</f>
        <v>0</v>
      </c>
      <c r="BP21">
        <f t="shared" si="0"/>
        <v>0</v>
      </c>
      <c r="BQ21" s="49" t="str">
        <f>CONCATENATE(AX21,IF(AND(BI21=TRUE,Calculator!B8=TRUE),CONCATENATE(" (Tenderized)"),""),IF(BP21=0,"",CONCATENATE(", ",BP21)))</f>
        <v/>
      </c>
      <c r="BR21">
        <f>VLOOKUP(Calculator!B4,SavedBuildNumbers!A1:T73,20,FALSE)</f>
        <v>0</v>
      </c>
      <c r="BS21">
        <f>VLOOKUP(Calculator!B4,SavedBuildNumbers!A1:BI73,61,FALSE)</f>
        <v>0</v>
      </c>
      <c r="BU21" s="49">
        <f>IFERROR(ROUNDDOWN((IF((ROUND((VLOOKUP(tbMoveset!A21,tbMoveset!A2:F112,6,FALSE)+(IF(VLOOKUP(tbMoveset!A21,tbMoveset!A2:F112,6,FALSE)&gt;0,K41,0)))*(1+(IF(VLOOKUP(tbMoveset!A21,tbMoveset!A2:I112,9,FALSE)="Fire",VLOOKUP(Calculator!$E24,tbSkills!$AX3:$AZ9,3,FALSE),IF(VLOOKUP(tbMoveset!A21,tbMoveset!A2:I112,9,FALSE)="Water",VLOOKUP(Calculator!$E25,tbSkills!$AX3:$AZ9,3,FALSE),IF(VLOOKUP(BackdoorsMoveset!A21,tbMoveset!A2:I112,9,FALSE)="Thunder",VLOOKUP(Calculator!$E26,tbSkills!$AX3:$AZ9,3,FALSE),IF(VLOOKUP(tbMoveset!A21,tbMoveset!A2:I112,9,FALSE)="Ice",VLOOKUP(Calculator!$E27,tbSkills!$AX3:$AZ9,3,FALSE),IF(VLOOKUP(tbMoveset!A21,tbMoveset!A2:I112,9,FALSE)="Dragon",VLOOKUP(Calculator!$E28,tbSkills!$AX3:$AZ9,3,FALSE),0)))))/100))*AC7,0)+IF(VLOOKUP(tbMoveset!A21,tbMoveset!A2:F112,6,FALSE)&gt;0,IF(VLOOKUP(tbMoveset!A21,tbMoveset!A2:I112,9,FALSE)="Fire",VLOOKUP(Calculator!$E24,tbSkills!$AX3:$AY9,2,FALSE),IF(VLOOKUP(tbMoveset!A21,tbMoveset!A2:I112,9,FALSE)="Water",VLOOKUP(Calculator!$E25,tbSkills!$AX3:$AY9,2,FALSE),IF(VLOOKUP(tbMoveset!A21,tbMoveset!A2:I112,9,FALSE)="Thunder",VLOOKUP(Calculator!$E26,tbSkills!$AX3:$AY9,2,FALSE),IF(VLOOKUP(tbMoveset!A21,tbMoveset!A2:I112,9,FALSE)="Ice",VLOOKUP(Calculator!$E27,tbSkills!$AX3:$AY9,2,FALSE),IF(VLOOKUP(tbMoveset!A21,tbMoveset!A2:I112,9,FALSE)="Dragon",VLOOKUP(Calculator!$E28,tbSkills!$AX3:$AY9,2,FALSE),0))))),0)/10)&gt;=B34,B34,(ROUND((VLOOKUP(tbMoveset!A21,tbMoveset!A2:F112,6,FALSE)+(IF(VLOOKUP(tbMoveset!A21,tbMoveset!A2:F112,6,FALSE)&gt;0,K41,0)))*(1+(IF(VLOOKUP(tbMoveset!A21,tbMoveset!A2:I112,9,FALSE)="Fire",VLOOKUP(Calculator!$E24,tbSkills!$AX3:$AZ9,3,FALSE),IF(VLOOKUP(tbMoveset!A21,tbMoveset!A2:I112,9,FALSE)="Water",VLOOKUP(Calculator!$E25,tbSkills!$AX3:$AZ9,3,FALSE),IF(VLOOKUP(BackdoorsMoveset!A21,tbMoveset!A2:I112,9,FALSE)="Thunder",VLOOKUP(Calculator!$E26,tbSkills!$AX3:$AZ9,3,FALSE),IF(VLOOKUP(tbMoveset!A21,tbMoveset!A2:I112,9,FALSE)="Ice",VLOOKUP(Calculator!$E27,tbSkills!$AX3:$AZ9,3,FALSE),IF(VLOOKUP(tbMoveset!A21,tbMoveset!A2:I112,9,FALSE)="Dragon",VLOOKUP(Calculator!$E28,tbSkills!$AX3:$AZ9,3,FALSE),0)))))/100))*AC7,0)+IF(VLOOKUP(tbMoveset!A21,tbMoveset!A2:F112,6,FALSE)&gt;0,IF(VLOOKUP(tbMoveset!A21,tbMoveset!A2:I112,9,FALSE)="Fire",VLOOKUP(Calculator!$E24,tbSkills!$AX3:$AY9,2,FALSE),IF(VLOOKUP(tbMoveset!A21,tbMoveset!A2:I112,9,FALSE)="Water",VLOOKUP(Calculator!$E25,tbSkills!$AX3:$AY9,2,FALSE),IF(VLOOKUP(tbMoveset!A21,tbMoveset!A2:I112,9,FALSE)="Thunder",VLOOKUP(Calculator!$E26,tbSkills!$AX3:$AY9,2,FALSE),IF(VLOOKUP(tbMoveset!A21,tbMoveset!A2:I112,9,FALSE)="Ice",VLOOKUP(Calculator!$E27,tbSkills!$AX3:$AY9,2,FALSE),IF(VLOOKUP(tbMoveset!A21,tbMoveset!A2:I112,9,FALSE)="Dragon",VLOOKUP(Calculator!$E28,tbSkills!$AX3:$AY9,2,FALSE),0))))),0)/10))*N6)*AC6,0)*(B30/100),0)</f>
        <v>0</v>
      </c>
    </row>
    <row r="22" spans="1:73" x14ac:dyDescent="0.25">
      <c r="A22" t="s">
        <v>892</v>
      </c>
      <c r="B22">
        <f>ROUND((B4*Z14)*Z9,0)+Q15</f>
        <v>80</v>
      </c>
      <c r="D22" t="s">
        <v>202</v>
      </c>
      <c r="E22">
        <f>IF(E4=E6,IF(E21="White",VLOOKUP(Calculator!$B2,tbWeapons!A2:W271,23,FALSE),IF(E21="Blue",VLOOKUP(Calculator!$B2,tbWeapons!A2:V271,22,FALSE),IF(E21="Green",VLOOKUP(Calculator!$B2,tbWeapons!A2:U271,21,FALSE),IF(E21="Yellow",VLOOKUP(Calculator!$B2,tbWeapons!A2:T271,20,FALSE),IF(E21="Orange",VLOOKUP(Calculator!$B2,tbWeapons!A2:S271,19,FALSE),VLOOKUP(Calculator!$B2,tbWeapons!A2:R271,18,FALSE)))))),IF((E5+E14)&gt;E16,E16,E5+E14))</f>
        <v>12</v>
      </c>
      <c r="AN22" s="49">
        <f>IFERROR(INDEX(tbHitzones!K:K,MATCH(ROWS(tbHitzones!$1:5),tbHitzones!K:K,0)),"")</f>
        <v>5</v>
      </c>
      <c r="AO22">
        <f>IF(OR(B2="Light Bowgun",B2="Heavy Bowgun"),IF(AI12&gt;=0,1+(IF(Calculator!E40&gt;0,VLOOKUP(Calculator!E40,tbSkills!AI3:AJ5,2,FALSE),AL4)*(IF((AI12+IF(BA7&gt;=0.45,VLOOKUP(Calculator!E23,tbSkills!DH3:DI6,2,FALSE)+IF(AND(Calculator!B8=TRUE,BI7=TRUE),VLOOKUP(Calculator!E23,tbSkills!DH3:DJ6,3,FALSE),0),0))&gt;=100,100,(AI12+IF(BA7&gt;=0.45,VLOOKUP(Calculator!E23,tbSkills!DH3:DI6,2,FALSE)+IF(AND(Calculator!B8=TRUE,BI7=TRUE),VLOOKUP(Calculator!E23,tbSkills!DH3:DJ6,3,FALSE),0),0)))/100)),1),VLOOKUP(Backdoors!A37,BackdoorsMoveset!A2:AI112,35,FALSE)+VLOOKUP(Backdoors!A38,BackdoorsMoveset!A2:AI112,35,FALSE)+VLOOKUP(Backdoors!A39,BackdoorsMoveset!A2:AI112,35,FALSE)+VLOOKUP(Backdoors!A40,BackdoorsMoveset!A2:AI112,35,FALSE)+VLOOKUP(Backdoors!A41,BackdoorsMoveset!A2:AI112,35,FALSE)+VLOOKUP(Backdoors!A42,BackdoorsMoveset!A2:AI112,35,FALSE)+VLOOKUP(Backdoors!A43,BackdoorsMoveset!A2:AI112,35,FALSE)+VLOOKUP(Backdoors!A44,BackdoorsMoveset!A2:AI112,35,FALSE)+VLOOKUP(Backdoors!A45,BackdoorsMoveset!A2:AI112,35,FALSE)+VLOOKUP(Backdoors!A46,BackdoorsMoveset!A2:AI112,35,FALSE)+VLOOKUP(Backdoors!A47,BackdoorsMoveset!A2:AI112,35,FALSE)+VLOOKUP(Backdoors!A48,BackdoorsMoveset!A2:AI112,35,FALSE)+VLOOKUP(Backdoors!A49,BackdoorsMoveset!A2:AI112,35,FALSE)+VLOOKUP(Backdoors!A50,BackdoorsMoveset!A2:AI112,35,FALSE)+VLOOKUP(Backdoors!A51,BackdoorsMoveset!A2:AI112,35,FALSE)+VLOOKUP(Backdoors!A52,BackdoorsMoveset!A2:AI112,35,FALSE)+VLOOKUP(Backdoors!A53,BackdoorsMoveset!A2:AI112,35,FALSE)+VLOOKUP(Backdoors!A54,BackdoorsMoveset!A2:AI112,35,FALSE)+VLOOKUP(Backdoors!A55,BackdoorsMoveset!A2:AI112,35,FALSE)+VLOOKUP(Backdoors!A56,BackdoorsMoveset!A2:AI112,35,FALSE)+VLOOKUP(Backdoors!A57,BackdoorsMoveset!A2:AI112,35,FALSE)+VLOOKUP(Backdoors!A58,BackdoorsMoveset!A2:AI112,35,FALSE)+VLOOKUP(Backdoors!A59,BackdoorsMoveset!A2:AI112,35,FALSE)+VLOOKUP(Backdoors!A60,BackdoorsMoveset!A2:AI112,35,FALSE)+VLOOKUP(Backdoors!A61,BackdoorsMoveset!A2:AI112,35,FALSE))</f>
        <v>14.299999999999999</v>
      </c>
      <c r="AQ22" t="s">
        <v>238</v>
      </c>
      <c r="AR22">
        <f>IFERROR(AR21/BN4,0)</f>
        <v>9.3245033112582778</v>
      </c>
      <c r="AT22">
        <v>21</v>
      </c>
      <c r="AU22">
        <f>$AU21+IF(AO12+((AO10*20)*AO11)&gt;AO13,AO13,AO12+((AO10*20)*AO11))</f>
        <v>4536</v>
      </c>
      <c r="AW22" s="49" t="str">
        <f>IFERROR(INDEX(tbHitzones!K:K,MATCH(ROWS(tbHitzones!$1:20),tbHitzones!K:K,0)),"")</f>
        <v/>
      </c>
      <c r="AX22" s="49" t="str">
        <f>IFERROR(INDEX(tbHitzones!B:B,MATCH(ROWS(tbHitzones!$1:20),tbHitzones!K:K,0)),"")</f>
        <v/>
      </c>
      <c r="AY22" s="49" t="str">
        <f>IFERROR(INDEX(tbHitzones!C:C,MATCH(ROWS(tbHitzones!$1:20),tbHitzones!K:K,0)),"")</f>
        <v/>
      </c>
      <c r="AZ22" s="49" t="str">
        <f>IFERROR(INDEX(tbHitzones!D:D,MATCH(ROWS(tbHitzones!$1:20),tbHitzones!K:K,0)),"")</f>
        <v/>
      </c>
      <c r="BA22" s="49" t="str">
        <f>IFERROR(INDEX(tbHitzones!E:E,MATCH(ROWS(tbHitzones!$1:20),tbHitzones!K:K,0)),"")</f>
        <v/>
      </c>
      <c r="BB22" s="49" t="str">
        <f>IFERROR(INDEX(tbHitzones!F:F,MATCH(ROWS(tbHitzones!$1:20),tbHitzones!K:K,0)),"")</f>
        <v/>
      </c>
      <c r="BC22" s="49" t="str">
        <f>IFERROR(INDEX(tbHitzones!G:G,MATCH(ROWS(tbHitzones!$1:20),tbHitzones!K:K,0)),"")</f>
        <v/>
      </c>
      <c r="BD22" s="49" t="str">
        <f>IFERROR(INDEX(tbHitzones!H:H,MATCH(ROWS(tbHitzones!$1:20),tbHitzones!K:K,0)),"")</f>
        <v/>
      </c>
      <c r="BE22" s="49" t="str">
        <f>IFERROR(INDEX(tbHitzones!I:I,MATCH(ROWS(tbHitzones!$1:20),tbHitzones!K:K,0)),"")</f>
        <v/>
      </c>
      <c r="BF22" s="49" t="str">
        <f>IFERROR(INDEX(tbHitzones!J:J,MATCH(ROWS(tbHitzones!$1:20),tbHitzones!K:K,0)),"")</f>
        <v/>
      </c>
      <c r="BG22" s="49">
        <f>IFERROR(IF(OR(B9="Fire",B11="Fire"),BB22,IF(OR(B9="Water",B11="Water"),BC22,IF(OR(B9="Thunder",B11="Thunder"),BD22,IF(OR(B9="Ice",B11="Ice"),BE22,IF(OR(B9="Dragon",B11="Dragon"),BF22,0))))),"")</f>
        <v>0</v>
      </c>
      <c r="BH22" s="49" t="str">
        <f>IFERROR(INDEX(tbHitzones!L:L,MATCH(ROWS(tbHitzones!$1:20),tbHitzones!K:K,0)),"")</f>
        <v/>
      </c>
      <c r="BI22" s="49" t="str">
        <f>IFERROR(INDEX(tbHitzones!M:M,MATCH(ROWS(tbHitzones!$1:20),tbHitzones!K:K,0)),"")</f>
        <v/>
      </c>
      <c r="BK22" s="49" t="str">
        <f>IFERROR(INDEX(tbHitzones!K:K,MATCH(ROWS(tbHitzones!$1:20),tbHitzones!K:K,0)),"")</f>
        <v/>
      </c>
      <c r="BL22">
        <f>IFERROR(VLOOKUP(Backdoors!A37,BackdoorsMoveset!A2:EH112,138,FALSE)+VLOOKUP(Backdoors!A38,BackdoorsMoveset!A2:EH112,138,FALSE)+VLOOKUP(Backdoors!A39,BackdoorsMoveset!A2:EH112,138,FALSE)+VLOOKUP(Backdoors!A40,BackdoorsMoveset!A2:EH112,138,FALSE)+VLOOKUP(Backdoors!A41,BackdoorsMoveset!A2:EH112,138,FALSE)+VLOOKUP(Backdoors!A42,BackdoorsMoveset!A2:EH112,138,FALSE)+VLOOKUP(Backdoors!A43,BackdoorsMoveset!A2:EH112,138,FALSE)+VLOOKUP(Backdoors!A44,BackdoorsMoveset!A2:EH112,138,FALSE)+VLOOKUP(Backdoors!A45,BackdoorsMoveset!A2:EH112,138,FALSE)+VLOOKUP(Backdoors!A46,BackdoorsMoveset!A2:EH112,138,FALSE)+VLOOKUP(Backdoors!A47,BackdoorsMoveset!A2:EH112,138,FALSE)+VLOOKUP(Backdoors!A48,BackdoorsMoveset!A2:EH112,138,FALSE)+VLOOKUP(Backdoors!A49,BackdoorsMoveset!A2:EH112,138,FALSE)+VLOOKUP(Backdoors!A50,BackdoorsMoveset!A2:EH112,138,FALSE)+VLOOKUP(Backdoors!A51,BackdoorsMoveset!A2:EH112,138,FALSE)+VLOOKUP(Backdoors!A52,BackdoorsMoveset!A2:EH112,138,FALSE)+VLOOKUP(Backdoors!A53,BackdoorsMoveset!A2:EH112,138,FALSE)+VLOOKUP(Backdoors!A54,BackdoorsMoveset!A2:EH112,138,FALSE)+VLOOKUP(Backdoors!A55,BackdoorsMoveset!A2:EH112,138,FALSE)+VLOOKUP(Backdoors!A56,BackdoorsMoveset!A2:EH112,138,FALSE)+VLOOKUP(Backdoors!A57,BackdoorsMoveset!A2:EH112,138,FALSE)+VLOOKUP(Backdoors!A58,BackdoorsMoveset!A2:EH112,138,FALSE)+VLOOKUP(Backdoors!A59,BackdoorsMoveset!A2:EH112,138,FALSE)+VLOOKUP(Backdoors!A60,BackdoorsMoveset!A2:EH112,138,FALSE)+VLOOKUP(Backdoors!A61,BackdoorsMoveset!A2:EH112,138,FALSE),0)</f>
        <v>0</v>
      </c>
      <c r="BM22">
        <f>IFERROR(VLOOKUP(Backdoors!A37,BackdoorsMoveset!A2:EI112,139,FALSE)+VLOOKUP(Backdoors!A38,BackdoorsMoveset!A2:EI112,139,FALSE)+VLOOKUP(Backdoors!A39,BackdoorsMoveset!A2:EI112,139,FALSE)+VLOOKUP(Backdoors!A40,BackdoorsMoveset!A2:EI112,139,FALSE)+VLOOKUP(Backdoors!A41,BackdoorsMoveset!A2:EI112,139,FALSE)+VLOOKUP(Backdoors!A42,BackdoorsMoveset!A2:EI112,139,FALSE)+VLOOKUP(Backdoors!A43,BackdoorsMoveset!A2:EI112,139,FALSE)+VLOOKUP(Backdoors!A44,BackdoorsMoveset!A2:EI112,139,FALSE)+VLOOKUP(Backdoors!A45,BackdoorsMoveset!A2:EI112,139,FALSE)+VLOOKUP(Backdoors!A46,BackdoorsMoveset!A2:EI112,139,FALSE)+VLOOKUP(Backdoors!A47,BackdoorsMoveset!A2:EI112,139,FALSE)+VLOOKUP(Backdoors!A48,BackdoorsMoveset!A2:EI112,139,FALSE)+VLOOKUP(Backdoors!A49,BackdoorsMoveset!A2:EI112,139,FALSE)+VLOOKUP(Backdoors!A50,BackdoorsMoveset!A2:EI112,139,FALSE)+VLOOKUP(Backdoors!A51,BackdoorsMoveset!A2:EI112,139,FALSE)+VLOOKUP(Backdoors!A52,BackdoorsMoveset!A2:EI112,139,FALSE)+VLOOKUP(Backdoors!A53,BackdoorsMoveset!A2:EI112,139,FALSE)+VLOOKUP(Backdoors!A54,BackdoorsMoveset!A2:EI112,139,FALSE)+VLOOKUP(Backdoors!A55,BackdoorsMoveset!A2:EI112,139,FALSE)+VLOOKUP(Backdoors!A56,BackdoorsMoveset!A2:EI112,139,FALSE)+VLOOKUP(Backdoors!A57,BackdoorsMoveset!A2:EI112,139,FALSE)+VLOOKUP(Backdoors!A58,BackdoorsMoveset!A2:EI112,139,FALSE)+VLOOKUP(Backdoors!A59,BackdoorsMoveset!A2:EI112,139,FALSE)+VLOOKUP(Backdoors!A60,BackdoorsMoveset!A2:EI112,139,FALSE)+VLOOKUP(Backdoors!A61,BackdoorsMoveset!A2:EI112,139,FALSE),0)</f>
        <v>0</v>
      </c>
      <c r="BN22">
        <f>IFERROR(VLOOKUP(Backdoors!A37,BackdoorsMoveset!A2:EK112,141,FALSE)+VLOOKUP(Backdoors!A38,BackdoorsMoveset!A2:EK112,141,FALSE)+VLOOKUP(Backdoors!A39,BackdoorsMoveset!A2:EK112,141,FALSE)+VLOOKUP(Backdoors!A40,BackdoorsMoveset!A2:EK112,141,FALSE)+VLOOKUP(Backdoors!A41,BackdoorsMoveset!A2:EK112,141,FALSE)+VLOOKUP(Backdoors!A42,BackdoorsMoveset!A2:EK112,141,FALSE)+VLOOKUP(Backdoors!A43,BackdoorsMoveset!A2:EK112,141,FALSE)+VLOOKUP(Backdoors!A44,BackdoorsMoveset!A2:EK112,141,FALSE)+VLOOKUP(Backdoors!A45,BackdoorsMoveset!A2:EK112,141,FALSE)+VLOOKUP(Backdoors!A46,BackdoorsMoveset!A2:EK112,141,FALSE)+VLOOKUP(Backdoors!A47,BackdoorsMoveset!A2:EK112,141,FALSE)+VLOOKUP(Backdoors!A48,BackdoorsMoveset!A2:EK112,141,FALSE)+VLOOKUP(Backdoors!A49,BackdoorsMoveset!A2:EK112,141,FALSE)+VLOOKUP(Backdoors!A50,BackdoorsMoveset!A2:EK112,141,FALSE)+VLOOKUP(Backdoors!A51,BackdoorsMoveset!A2:EK112,141,FALSE)+VLOOKUP(Backdoors!A52,BackdoorsMoveset!A2:EK112,141,FALSE)+VLOOKUP(Backdoors!A53,BackdoorsMoveset!A2:EK112,141,FALSE)+VLOOKUP(Backdoors!A54,BackdoorsMoveset!A2:EK112,141,FALSE)+VLOOKUP(Backdoors!A55,BackdoorsMoveset!A2:EK112,141,FALSE)+VLOOKUP(Backdoors!A56,BackdoorsMoveset!A2:EK112,141,FALSE)+VLOOKUP(Backdoors!A57,BackdoorsMoveset!A2:EK112,141,FALSE)+VLOOKUP(Backdoors!A58,BackdoorsMoveset!A2:EK112,141,FALSE)+VLOOKUP(Backdoors!A59,BackdoorsMoveset!A2:EK112,141,FALSE)+VLOOKUP(Backdoors!A60,BackdoorsMoveset!A2:EK112,141,FALSE)+VLOOKUP(Backdoors!A61,BackdoorsMoveset!A2:EK112,141,FALSE),0)</f>
        <v>0</v>
      </c>
      <c r="BO22" s="49">
        <f>IF(BN22=0,0,IF(OR(B9="Poison",$B11="Poison",B2="Light Bowgun",B2="Heavy Bowgun"),ROUND(Backdoors!A36*VLOOKUP(AO7,tbStatus!$A3:$F18,6,FALSE)*IF((AO16*AO37)&gt;1,1,(AO16*AO37)),0),IF(OR(B9="Blast",B11="Blast"),AR260,0)))</f>
        <v>0</v>
      </c>
      <c r="BP22">
        <f t="shared" si="0"/>
        <v>0</v>
      </c>
      <c r="BQ22" s="49" t="str">
        <f>CONCATENATE(AX22,IF(AND(BI22=TRUE,Calculator!B8=TRUE),CONCATENATE(" (Tenderized)"),""),IF(BP22=0,"",CONCATENATE(", ",BP22)))</f>
        <v/>
      </c>
      <c r="BR22">
        <f>VLOOKUP(Calculator!B4,SavedBuildNumbers!A1:U73,21,FALSE)</f>
        <v>0</v>
      </c>
      <c r="BS22">
        <f>VLOOKUP(Calculator!B4,SavedBuildNumbers!A1:BJ73,62,FALSE)</f>
        <v>0</v>
      </c>
      <c r="BU22" s="49">
        <f>IFERROR(ROUNDDOWN((IF((ROUND((VLOOKUP(tbMoveset!A22,tbMoveset!A2:F112,6,FALSE)+(IF(VLOOKUP(tbMoveset!A22,tbMoveset!A2:F112,6,FALSE)&gt;0,K41,0)))*(1+(IF(VLOOKUP(tbMoveset!A22,tbMoveset!A2:I112,9,FALSE)="Fire",VLOOKUP(Calculator!$E24,tbSkills!$AX3:$AZ9,3,FALSE),IF(VLOOKUP(tbMoveset!A22,tbMoveset!A2:I112,9,FALSE)="Water",VLOOKUP(Calculator!$E25,tbSkills!$AX3:$AZ9,3,FALSE),IF(VLOOKUP(BackdoorsMoveset!A22,tbMoveset!A2:I112,9,FALSE)="Thunder",VLOOKUP(Calculator!$E26,tbSkills!$AX3:$AZ9,3,FALSE),IF(VLOOKUP(tbMoveset!A22,tbMoveset!A2:I112,9,FALSE)="Ice",VLOOKUP(Calculator!$E27,tbSkills!$AX3:$AZ9,3,FALSE),IF(VLOOKUP(tbMoveset!A22,tbMoveset!A2:I112,9,FALSE)="Dragon",VLOOKUP(Calculator!$E28,tbSkills!$AX3:$AZ9,3,FALSE),0)))))/100))*AC7,0)+IF(VLOOKUP(tbMoveset!A22,tbMoveset!A2:F112,6,FALSE)&gt;0,IF(VLOOKUP(tbMoveset!A22,tbMoveset!A2:I112,9,FALSE)="Fire",VLOOKUP(Calculator!$E24,tbSkills!$AX3:$AY9,2,FALSE),IF(VLOOKUP(tbMoveset!A22,tbMoveset!A2:I112,9,FALSE)="Water",VLOOKUP(Calculator!$E25,tbSkills!$AX3:$AY9,2,FALSE),IF(VLOOKUP(tbMoveset!A22,tbMoveset!A2:I112,9,FALSE)="Thunder",VLOOKUP(Calculator!$E26,tbSkills!$AX3:$AY9,2,FALSE),IF(VLOOKUP(tbMoveset!A22,tbMoveset!A2:I112,9,FALSE)="Ice",VLOOKUP(Calculator!$E27,tbSkills!$AX3:$AY9,2,FALSE),IF(VLOOKUP(tbMoveset!A22,tbMoveset!A2:I112,9,FALSE)="Dragon",VLOOKUP(Calculator!$E28,tbSkills!$AX3:$AY9,2,FALSE),0))))),0)/10)&gt;=B34,B34,(ROUND((VLOOKUP(tbMoveset!A22,tbMoveset!A2:F112,6,FALSE)+(IF(VLOOKUP(tbMoveset!A22,tbMoveset!A2:F112,6,FALSE)&gt;0,K41,0)))*(1+(IF(VLOOKUP(tbMoveset!A22,tbMoveset!A2:I112,9,FALSE)="Fire",VLOOKUP(Calculator!$E24,tbSkills!$AX3:$AZ9,3,FALSE),IF(VLOOKUP(tbMoveset!A22,tbMoveset!A2:I112,9,FALSE)="Water",VLOOKUP(Calculator!$E25,tbSkills!$AX3:$AZ9,3,FALSE),IF(VLOOKUP(BackdoorsMoveset!A22,tbMoveset!A2:I112,9,FALSE)="Thunder",VLOOKUP(Calculator!$E26,tbSkills!$AX3:$AZ9,3,FALSE),IF(VLOOKUP(tbMoveset!A22,tbMoveset!A2:I112,9,FALSE)="Ice",VLOOKUP(Calculator!$E27,tbSkills!$AX3:$AZ9,3,FALSE),IF(VLOOKUP(tbMoveset!A22,tbMoveset!A2:I112,9,FALSE)="Dragon",VLOOKUP(Calculator!$E28,tbSkills!$AX3:$AZ9,3,FALSE),0)))))/100))*AC7,0)+IF(VLOOKUP(tbMoveset!A22,tbMoveset!A2:F112,6,FALSE)&gt;0,IF(VLOOKUP(tbMoveset!A22,tbMoveset!A2:I112,9,FALSE)="Fire",VLOOKUP(Calculator!$E24,tbSkills!$AX3:$AY9,2,FALSE),IF(VLOOKUP(tbMoveset!A22,tbMoveset!A2:I112,9,FALSE)="Water",VLOOKUP(Calculator!$E25,tbSkills!$AX3:$AY9,2,FALSE),IF(VLOOKUP(tbMoveset!A22,tbMoveset!A2:I112,9,FALSE)="Thunder",VLOOKUP(Calculator!$E26,tbSkills!$AX3:$AY9,2,FALSE),IF(VLOOKUP(tbMoveset!A22,tbMoveset!A2:I112,9,FALSE)="Ice",VLOOKUP(Calculator!$E27,tbSkills!$AX3:$AY9,2,FALSE),IF(VLOOKUP(tbMoveset!A22,tbMoveset!A2:I112,9,FALSE)="Dragon",VLOOKUP(Calculator!$E28,tbSkills!$AX3:$AY9,2,FALSE),0))))),0)/10))*N6)*AC6,0)*(B30/100),0)</f>
        <v>0</v>
      </c>
    </row>
    <row r="23" spans="1:73" x14ac:dyDescent="0.25">
      <c r="A23" t="s">
        <v>895</v>
      </c>
      <c r="B23">
        <f>ROUNDDOWN((B22*N6)*Z12,0)</f>
        <v>84</v>
      </c>
      <c r="D23" t="s">
        <v>205</v>
      </c>
      <c r="E23" t="b">
        <f>IF(AND(E4=E6,E5=E7),TRUE,FALSE)</f>
        <v>0</v>
      </c>
      <c r="J23" s="113" t="s">
        <v>847</v>
      </c>
      <c r="K23" s="113"/>
      <c r="AN23" s="49">
        <f>IFERROR(INDEX(tbHitzones!K:K,MATCH(ROWS(tbHitzones!$1:6),tbHitzones!K:K,0)),"")</f>
        <v>6</v>
      </c>
      <c r="AO23">
        <f>IF(OR(B2="Light Bowgun",B2="Heavy Bowgun"),IF(AI12&gt;=0,1+(IF(Calculator!E40&gt;0,VLOOKUP(Calculator!E40,tbSkills!AI3:AJ5,2,FALSE),AL4)*(IF((AI12+IF(BA8&gt;=0.45,VLOOKUP(Calculator!E23,tbSkills!DH3:DI6,2,FALSE)+IF(AND(Calculator!B8=TRUE,BI8=TRUE),VLOOKUP(Calculator!E23,tbSkills!DH3:DJ6,3,FALSE),0),0))&gt;=100,100,(AI12+IF(BA8&gt;=0.45,VLOOKUP(Calculator!E23,tbSkills!DH3:DI6,2,FALSE)+IF(AND(Calculator!B8=TRUE,BI8=TRUE),VLOOKUP(Calculator!E23,tbSkills!DH3:DJ6,3,FALSE),0),0)))/100)),1),VLOOKUP(Backdoors!A37,BackdoorsMoveset!A2:AP112,42,FALSE)+VLOOKUP(Backdoors!A38,BackdoorsMoveset!A2:AP112,42,FALSE)+VLOOKUP(Backdoors!A39,BackdoorsMoveset!A2:AP112,42,FALSE)+VLOOKUP(Backdoors!A40,BackdoorsMoveset!A2:AP112,42,FALSE)+VLOOKUP(Backdoors!A41,BackdoorsMoveset!A2:AP112,42,FALSE)+VLOOKUP(Backdoors!A42,BackdoorsMoveset!A2:AP112,42,FALSE)+VLOOKUP(Backdoors!A43,BackdoorsMoveset!A2:AP112,42,FALSE)+VLOOKUP(Backdoors!A44,BackdoorsMoveset!A2:AP112,42,FALSE)+VLOOKUP(Backdoors!A45,BackdoorsMoveset!A2:AP112,42,FALSE)+VLOOKUP(Backdoors!A46,BackdoorsMoveset!A2:AP112,42,FALSE)+VLOOKUP(Backdoors!A47,BackdoorsMoveset!A2:AP112,42,FALSE)+VLOOKUP(Backdoors!A48,BackdoorsMoveset!A2:AP112,42,FALSE)+VLOOKUP(Backdoors!A49,BackdoorsMoveset!A2:AP112,42,FALSE)+VLOOKUP(Backdoors!A50,BackdoorsMoveset!A2:AP112,42,FALSE)+VLOOKUP(Backdoors!A51,BackdoorsMoveset!A2:AP112,42,FALSE)+VLOOKUP(Backdoors!A52,BackdoorsMoveset!A2:AP112,42,FALSE)+VLOOKUP(Backdoors!A53,BackdoorsMoveset!A2:AP112,42,FALSE)+VLOOKUP(Backdoors!A54,BackdoorsMoveset!A2:AP112,42,FALSE)+VLOOKUP(Backdoors!A55,BackdoorsMoveset!A2:AP112,42,FALSE)+VLOOKUP(Backdoors!A56,BackdoorsMoveset!A2:AP112,42,FALSE)+VLOOKUP(Backdoors!A57,BackdoorsMoveset!A2:AP112,42,FALSE)+VLOOKUP(Backdoors!A58,BackdoorsMoveset!A2:AP112,42,FALSE)+VLOOKUP(Backdoors!A59,BackdoorsMoveset!A2:AP112,42,FALSE)+VLOOKUP(Backdoors!A60,BackdoorsMoveset!A2:AP112,42,FALSE)+VLOOKUP(Backdoors!A61,BackdoorsMoveset!A2:AP112,42,FALSE))</f>
        <v>14.299999999999999</v>
      </c>
      <c r="AQ23" t="s">
        <v>239</v>
      </c>
      <c r="AR23">
        <f>AR22*AR17</f>
        <v>0</v>
      </c>
      <c r="AT23">
        <v>22</v>
      </c>
      <c r="AU23">
        <f>$AU22+IF(AO12+((AO10*21)*AO11)&gt;AO13,AO13,AO12+((AO10*21)*AO11))</f>
        <v>4932</v>
      </c>
      <c r="AW23" s="49" t="str">
        <f>IFERROR(INDEX(tbHitzones!K:K,MATCH(ROWS(tbHitzones!$1:21),tbHitzones!K:K,0)),"")</f>
        <v/>
      </c>
      <c r="AX23" s="49" t="str">
        <f>IFERROR(INDEX(tbHitzones!B:B,MATCH(ROWS(tbHitzones!$1:21),tbHitzones!K:K,0)),"")</f>
        <v/>
      </c>
      <c r="AY23" s="49" t="str">
        <f>IFERROR(INDEX(tbHitzones!C:C,MATCH(ROWS(tbHitzones!$1:21),tbHitzones!K:K,0)),"")</f>
        <v/>
      </c>
      <c r="AZ23" s="49" t="str">
        <f>IFERROR(INDEX(tbHitzones!D:D,MATCH(ROWS(tbHitzones!$1:21),tbHitzones!K:K,0)),"")</f>
        <v/>
      </c>
      <c r="BA23" s="49" t="str">
        <f>IFERROR(INDEX(tbHitzones!E:E,MATCH(ROWS(tbHitzones!$1:21),tbHitzones!K:K,0)),"")</f>
        <v/>
      </c>
      <c r="BB23" s="49" t="str">
        <f>IFERROR(INDEX(tbHitzones!F:F,MATCH(ROWS(tbHitzones!$1:21),tbHitzones!K:K,0)),"")</f>
        <v/>
      </c>
      <c r="BC23" s="49" t="str">
        <f>IFERROR(INDEX(tbHitzones!G:G,MATCH(ROWS(tbHitzones!$1:21),tbHitzones!K:K,0)),"")</f>
        <v/>
      </c>
      <c r="BD23" s="49" t="str">
        <f>IFERROR(INDEX(tbHitzones!H:H,MATCH(ROWS(tbHitzones!$1:21),tbHitzones!K:K,0)),"")</f>
        <v/>
      </c>
      <c r="BE23" s="49" t="str">
        <f>IFERROR(INDEX(tbHitzones!I:I,MATCH(ROWS(tbHitzones!$1:21),tbHitzones!K:K,0)),"")</f>
        <v/>
      </c>
      <c r="BF23" s="49" t="str">
        <f>IFERROR(INDEX(tbHitzones!J:J,MATCH(ROWS(tbHitzones!$1:21),tbHitzones!K:K,0)),"")</f>
        <v/>
      </c>
      <c r="BG23" s="49">
        <f>IFERROR(IF(OR(B9="Fire",B11="Fire"),BB23,IF(OR(B9="Water",B11="Water"),BC23,IF(OR(B9="Thunder",B11="Thunder"),BD23,IF(OR(B9="Ice",B11="Ice"),BE23,IF(OR(B9="Dragon",B11="Dragon"),BF23,0))))),"")</f>
        <v>0</v>
      </c>
      <c r="BH23" s="49" t="str">
        <f>IFERROR(INDEX(tbHitzones!L:L,MATCH(ROWS(tbHitzones!$1:21),tbHitzones!K:K,0)),"")</f>
        <v/>
      </c>
      <c r="BI23" s="49" t="str">
        <f>IFERROR(INDEX(tbHitzones!M:M,MATCH(ROWS(tbHitzones!$1:21),tbHitzones!K:K,0)),"")</f>
        <v/>
      </c>
      <c r="BK23" s="49" t="str">
        <f>IFERROR(INDEX(tbHitzones!K:K,MATCH(ROWS(tbHitzones!$1:21),tbHitzones!K:K,0)),"")</f>
        <v/>
      </c>
      <c r="BL23">
        <f>IFERROR(VLOOKUP(Backdoors!A37,BackdoorsMoveset!A2:EO112,145,FALSE)+VLOOKUP(Backdoors!A38,BackdoorsMoveset!A2:EO112,145,FALSE)+VLOOKUP(Backdoors!A39,BackdoorsMoveset!A2:EO112,145,FALSE)+VLOOKUP(Backdoors!A40,BackdoorsMoveset!A2:EO112,145,FALSE)+VLOOKUP(Backdoors!A41,BackdoorsMoveset!A2:EO112,145,FALSE)+VLOOKUP(Backdoors!A42,BackdoorsMoveset!A2:EO112,145,FALSE)+VLOOKUP(Backdoors!A43,BackdoorsMoveset!A2:EO112,145,FALSE)+VLOOKUP(Backdoors!A44,BackdoorsMoveset!A2:EO112,145,FALSE)+VLOOKUP(Backdoors!A45,BackdoorsMoveset!A2:EO112,145,FALSE)+VLOOKUP(Backdoors!A46,BackdoorsMoveset!A2:EO112,145,FALSE)+VLOOKUP(Backdoors!A47,BackdoorsMoveset!A2:EO112,145,FALSE)+VLOOKUP(Backdoors!A48,BackdoorsMoveset!A2:EO112,145,FALSE)+VLOOKUP(Backdoors!A49,BackdoorsMoveset!A2:EO112,145,FALSE)+VLOOKUP(Backdoors!A50,BackdoorsMoveset!A2:EO112,145,FALSE)+VLOOKUP(Backdoors!A51,BackdoorsMoveset!A2:EO112,145,FALSE)+VLOOKUP(Backdoors!A52,BackdoorsMoveset!A2:EO112,145,FALSE)+VLOOKUP(Backdoors!A53,BackdoorsMoveset!A2:EO112,145,FALSE)+VLOOKUP(Backdoors!A54,BackdoorsMoveset!A2:EO112,145,FALSE)+VLOOKUP(Backdoors!A55,BackdoorsMoveset!A2:EO112,145,FALSE)+VLOOKUP(Backdoors!A56,BackdoorsMoveset!A2:EO112,145,FALSE)+VLOOKUP(Backdoors!A57,BackdoorsMoveset!A2:EO112,145,FALSE)+VLOOKUP(Backdoors!A58,BackdoorsMoveset!A2:EO112,145,FALSE)+VLOOKUP(Backdoors!A59,BackdoorsMoveset!A2:EO112,145,FALSE)+VLOOKUP(Backdoors!A60,BackdoorsMoveset!A2:EO112,145,FALSE)+VLOOKUP(Backdoors!A61,BackdoorsMoveset!A2:EO112,145,FALSE),0)</f>
        <v>0</v>
      </c>
      <c r="BM23">
        <f>IFERROR(VLOOKUP(Backdoors!A37,BackdoorsMoveset!A2:EP112,146,FALSE)+VLOOKUP(Backdoors!A38,BackdoorsMoveset!A2:EP112,146,FALSE)+VLOOKUP(Backdoors!A39,BackdoorsMoveset!A2:EP112,146,FALSE)+VLOOKUP(Backdoors!A40,BackdoorsMoveset!A2:EP112,146,FALSE)+VLOOKUP(Backdoors!A41,BackdoorsMoveset!A2:EP112,146,FALSE)+VLOOKUP(Backdoors!A42,BackdoorsMoveset!A2:EP112,146,FALSE)+VLOOKUP(Backdoors!A43,BackdoorsMoveset!A2:EP112,146,FALSE)+VLOOKUP(Backdoors!A44,BackdoorsMoveset!A2:EP112,146,FALSE)+VLOOKUP(Backdoors!A45,BackdoorsMoveset!A2:EP112,146,FALSE)+VLOOKUP(Backdoors!A46,BackdoorsMoveset!A2:EP112,146,FALSE)+VLOOKUP(Backdoors!A47,BackdoorsMoveset!A2:EP112,146,FALSE)+VLOOKUP(Backdoors!A48,BackdoorsMoveset!A2:EP112,146,FALSE)+VLOOKUP(Backdoors!A49,BackdoorsMoveset!A2:EP112,146,FALSE)+VLOOKUP(Backdoors!A50,BackdoorsMoveset!A2:EP112,146,FALSE)+VLOOKUP(Backdoors!A51,BackdoorsMoveset!A2:EP112,146,FALSE)+VLOOKUP(Backdoors!A52,BackdoorsMoveset!A2:EP112,146,FALSE)+VLOOKUP(Backdoors!A53,BackdoorsMoveset!A2:EP112,146,FALSE)+VLOOKUP(Backdoors!A54,BackdoorsMoveset!A2:EP112,146,FALSE)+VLOOKUP(Backdoors!A55,BackdoorsMoveset!A2:EP112,146,FALSE)+VLOOKUP(Backdoors!A56,BackdoorsMoveset!A2:EP112,146,FALSE)+VLOOKUP(Backdoors!A57,BackdoorsMoveset!A2:EP112,146,FALSE)+VLOOKUP(Backdoors!A58,BackdoorsMoveset!A2:EP112,146,FALSE)+VLOOKUP(Backdoors!A59,BackdoorsMoveset!A2:EP112,146,FALSE)+VLOOKUP(Backdoors!A60,BackdoorsMoveset!A2:EP112,146,FALSE)+VLOOKUP(Backdoors!A61,BackdoorsMoveset!A2:EP112,146,FALSE),0)</f>
        <v>0</v>
      </c>
      <c r="BN23">
        <f>IFERROR(VLOOKUP(Backdoors!A37,BackdoorsMoveset!A2:ER112,148,FALSE)+VLOOKUP(Backdoors!A38,BackdoorsMoveset!A2:ER112,148,FALSE)+VLOOKUP(Backdoors!A39,BackdoorsMoveset!A2:ER112,148,FALSE)+VLOOKUP(Backdoors!A40,BackdoorsMoveset!A2:ER112,148,FALSE)+VLOOKUP(Backdoors!A41,BackdoorsMoveset!A2:ER112,148,FALSE)+VLOOKUP(Backdoors!A42,BackdoorsMoveset!A2:ER112,148,FALSE)+VLOOKUP(Backdoors!A43,BackdoorsMoveset!A2:ER112,148,FALSE)+VLOOKUP(Backdoors!A44,BackdoorsMoveset!A2:ER112,148,FALSE)+VLOOKUP(Backdoors!A45,BackdoorsMoveset!A2:ER112,148,FALSE)+VLOOKUP(Backdoors!A46,BackdoorsMoveset!A2:ER112,148,FALSE)+VLOOKUP(Backdoors!A47,BackdoorsMoveset!A2:ER112,148,FALSE)+VLOOKUP(Backdoors!A48,BackdoorsMoveset!A2:ER112,148,FALSE)+VLOOKUP(Backdoors!A49,BackdoorsMoveset!A2:ER112,148,FALSE)+VLOOKUP(Backdoors!A50,BackdoorsMoveset!A2:ER112,148,FALSE)+VLOOKUP(Backdoors!A51,BackdoorsMoveset!A2:ER112,148,FALSE)+VLOOKUP(Backdoors!A52,BackdoorsMoveset!A2:ER112,148,FALSE)+VLOOKUP(Backdoors!A53,BackdoorsMoveset!A2:ER112,148,FALSE)+VLOOKUP(Backdoors!A54,BackdoorsMoveset!A2:ER112,148,FALSE)+VLOOKUP(Backdoors!A55,BackdoorsMoveset!A2:ER112,148,FALSE)+VLOOKUP(Backdoors!A56,BackdoorsMoveset!A2:ER112,148,FALSE)+VLOOKUP(Backdoors!A57,BackdoorsMoveset!A2:ER112,148,FALSE)+VLOOKUP(Backdoors!A58,BackdoorsMoveset!A2:ER112,148,FALSE)+VLOOKUP(Backdoors!A59,BackdoorsMoveset!A2:ER112,148,FALSE)+VLOOKUP(Backdoors!A60,BackdoorsMoveset!A2:ER112,148,FALSE)+VLOOKUP(Backdoors!A61,BackdoorsMoveset!A2:ER112,148,FALSE),0)</f>
        <v>0</v>
      </c>
      <c r="BO23" s="49">
        <f>IF(BN23=0,0,IF(OR(B9="Poison",$B11="Poison",B2="Light Bowgun",B2="Heavy Bowgun"),ROUND(Backdoors!A36*VLOOKUP(AO7,tbStatus!$A3:$F18,6,FALSE)*IF((AO16*AO38)&gt;1,1,(AO16*AO38)),0),IF(OR(B9="Blast",B11="Blast"),AR273,0)))</f>
        <v>0</v>
      </c>
      <c r="BP23">
        <f t="shared" si="0"/>
        <v>0</v>
      </c>
      <c r="BQ23" s="49" t="str">
        <f>CONCATENATE(AX23,IF(AND(BI23=TRUE,Calculator!B8=TRUE),CONCATENATE(" (Tenderized)"),""),IF(BP23=0,"",CONCATENATE(", ",BP23)))</f>
        <v/>
      </c>
      <c r="BR23">
        <f>VLOOKUP(Calculator!B4,SavedBuildNumbers!A1:V73,22,FALSE)</f>
        <v>0</v>
      </c>
      <c r="BS23">
        <f>VLOOKUP(Calculator!B4,SavedBuildNumbers!A1:BK73,63,FALSE)</f>
        <v>0</v>
      </c>
      <c r="BU23" s="49">
        <f>IFERROR(ROUNDDOWN((IF((ROUND((VLOOKUP(tbMoveset!A23,tbMoveset!A2:F112,6,FALSE)+(IF(VLOOKUP(tbMoveset!A23,tbMoveset!A2:F112,6,FALSE)&gt;0,K41,0)))*(1+(IF(VLOOKUP(tbMoveset!A23,tbMoveset!A2:I112,9,FALSE)="Fire",VLOOKUP(Calculator!$E24,tbSkills!$AX3:$AZ9,3,FALSE),IF(VLOOKUP(tbMoveset!A23,tbMoveset!A2:I112,9,FALSE)="Water",VLOOKUP(Calculator!$E25,tbSkills!$AX3:$AZ9,3,FALSE),IF(VLOOKUP(BackdoorsMoveset!A23,tbMoveset!A2:I112,9,FALSE)="Thunder",VLOOKUP(Calculator!$E26,tbSkills!$AX3:$AZ9,3,FALSE),IF(VLOOKUP(tbMoveset!A23,tbMoveset!A2:I112,9,FALSE)="Ice",VLOOKUP(Calculator!$E27,tbSkills!$AX3:$AZ9,3,FALSE),IF(VLOOKUP(tbMoveset!A23,tbMoveset!A2:I112,9,FALSE)="Dragon",VLOOKUP(Calculator!$E28,tbSkills!$AX3:$AZ9,3,FALSE),0)))))/100))*AC7,0)+IF(VLOOKUP(tbMoveset!A23,tbMoveset!A2:F112,6,FALSE)&gt;0,IF(VLOOKUP(tbMoveset!A23,tbMoveset!A2:I112,9,FALSE)="Fire",VLOOKUP(Calculator!$E24,tbSkills!$AX3:$AY9,2,FALSE),IF(VLOOKUP(tbMoveset!A23,tbMoveset!A2:I112,9,FALSE)="Water",VLOOKUP(Calculator!$E25,tbSkills!$AX3:$AY9,2,FALSE),IF(VLOOKUP(tbMoveset!A23,tbMoveset!A2:I112,9,FALSE)="Thunder",VLOOKUP(Calculator!$E26,tbSkills!$AX3:$AY9,2,FALSE),IF(VLOOKUP(tbMoveset!A23,tbMoveset!A2:I112,9,FALSE)="Ice",VLOOKUP(Calculator!$E27,tbSkills!$AX3:$AY9,2,FALSE),IF(VLOOKUP(tbMoveset!A23,tbMoveset!A2:I112,9,FALSE)="Dragon",VLOOKUP(Calculator!$E28,tbSkills!$AX3:$AY9,2,FALSE),0))))),0)/10)&gt;=B34,B34,(ROUND((VLOOKUP(tbMoveset!A23,tbMoveset!A2:F112,6,FALSE)+(IF(VLOOKUP(tbMoveset!A23,tbMoveset!A2:F112,6,FALSE)&gt;0,K41,0)))*(1+(IF(VLOOKUP(tbMoveset!A23,tbMoveset!A2:I112,9,FALSE)="Fire",VLOOKUP(Calculator!$E24,tbSkills!$AX3:$AZ9,3,FALSE),IF(VLOOKUP(tbMoveset!A23,tbMoveset!A2:I112,9,FALSE)="Water",VLOOKUP(Calculator!$E25,tbSkills!$AX3:$AZ9,3,FALSE),IF(VLOOKUP(BackdoorsMoveset!A23,tbMoveset!A2:I112,9,FALSE)="Thunder",VLOOKUP(Calculator!$E26,tbSkills!$AX3:$AZ9,3,FALSE),IF(VLOOKUP(tbMoveset!A23,tbMoveset!A2:I112,9,FALSE)="Ice",VLOOKUP(Calculator!$E27,tbSkills!$AX3:$AZ9,3,FALSE),IF(VLOOKUP(tbMoveset!A23,tbMoveset!A2:I112,9,FALSE)="Dragon",VLOOKUP(Calculator!$E28,tbSkills!$AX3:$AZ9,3,FALSE),0)))))/100))*AC7,0)+IF(VLOOKUP(tbMoveset!A23,tbMoveset!A2:F112,6,FALSE)&gt;0,IF(VLOOKUP(tbMoveset!A23,tbMoveset!A2:I112,9,FALSE)="Fire",VLOOKUP(Calculator!$E24,tbSkills!$AX3:$AY9,2,FALSE),IF(VLOOKUP(tbMoveset!A23,tbMoveset!A2:I112,9,FALSE)="Water",VLOOKUP(Calculator!$E25,tbSkills!$AX3:$AY9,2,FALSE),IF(VLOOKUP(tbMoveset!A23,tbMoveset!A2:I112,9,FALSE)="Thunder",VLOOKUP(Calculator!$E26,tbSkills!$AX3:$AY9,2,FALSE),IF(VLOOKUP(tbMoveset!A23,tbMoveset!A2:I112,9,FALSE)="Ice",VLOOKUP(Calculator!$E27,tbSkills!$AX3:$AY9,2,FALSE),IF(VLOOKUP(tbMoveset!A23,tbMoveset!A2:I112,9,FALSE)="Dragon",VLOOKUP(Calculator!$E28,tbSkills!$AX3:$AY9,2,FALSE),0))))),0)/10))*N6)*AC6,0)*(B30/100),0)</f>
        <v>0</v>
      </c>
    </row>
    <row r="24" spans="1:73" x14ac:dyDescent="0.25">
      <c r="A24" t="s">
        <v>893</v>
      </c>
      <c r="B24">
        <f>ROUND(B4*Z16,0)+Q15</f>
        <v>80</v>
      </c>
      <c r="D24" t="s">
        <v>195</v>
      </c>
      <c r="E24">
        <f>IF(E23=FALSE,ROUND(((E19+K21)*5)/E2,0),E3)</f>
        <v>180</v>
      </c>
      <c r="J24" t="s">
        <v>697</v>
      </c>
      <c r="K24">
        <f>IF(K2&gt;0,K3,IF(B21&gt;=10,K10+K18,0))</f>
        <v>0</v>
      </c>
      <c r="AN24" s="49">
        <f>IFERROR(INDEX(tbHitzones!K:K,MATCH(ROWS(tbHitzones!$1:7),tbHitzones!K:K,0)),"")</f>
        <v>7</v>
      </c>
      <c r="AO24">
        <f>IF(OR(B2="Light Bowgun",B2="Heavy Bowgun"),IF(AI12&gt;=0,1+(IF(Calculator!E40&gt;0,VLOOKUP(Calculator!E40,tbSkills!AI3:AJ5,2,FALSE),AL4)*(IF((AI12+IF(BA9&gt;=0.45,VLOOKUP(Calculator!E23,tbSkills!DH3:DI6,2,FALSE)+IF(AND(Calculator!B8=TRUE,BI9=TRUE),VLOOKUP(Calculator!E23,tbSkills!DH3:DJ6,3,FALSE),0),0))&gt;=100,100,(AI12+IF(BA9&gt;=0.45,VLOOKUP(Calculator!E23,tbSkills!DH3:DI6,2,FALSE)+IF(AND(Calculator!B8=TRUE,BI9=TRUE),VLOOKUP(Calculator!E23,tbSkills!DH3:DJ6,3,FALSE),0),0)))/100)),1),VLOOKUP(Backdoors!A37,BackdoorsMoveset!A2:AW112,49,FALSE)+VLOOKUP(Backdoors!A38,BackdoorsMoveset!A2:AW112,49,FALSE)+VLOOKUP(Backdoors!A39,BackdoorsMoveset!A2:AW112,49,FALSE)+VLOOKUP(Backdoors!A40,BackdoorsMoveset!A2:AW112,49,FALSE)+VLOOKUP(Backdoors!A41,BackdoorsMoveset!A2:AW112,49,FALSE)+VLOOKUP(Backdoors!A42,BackdoorsMoveset!A2:AW112,49,FALSE)+VLOOKUP(Backdoors!A43,BackdoorsMoveset!A2:AW112,49,FALSE)+VLOOKUP(Backdoors!A44,BackdoorsMoveset!A2:AW112,49,FALSE)+VLOOKUP(Backdoors!A45,BackdoorsMoveset!A2:AW112,49,FALSE)+VLOOKUP(Backdoors!A46,BackdoorsMoveset!A2:AW112,49,FALSE)+VLOOKUP(Backdoors!A47,BackdoorsMoveset!A2:AW112,49,FALSE)+VLOOKUP(Backdoors!A48,BackdoorsMoveset!A2:AW112,49,FALSE)+VLOOKUP(Backdoors!A49,BackdoorsMoveset!A2:AW112,49,FALSE)+VLOOKUP(Backdoors!A50,BackdoorsMoveset!A2:AW112,49,FALSE)+VLOOKUP(Backdoors!A51,BackdoorsMoveset!A2:AW112,49,FALSE)+VLOOKUP(Backdoors!A52,BackdoorsMoveset!A2:AW112,49,FALSE)+VLOOKUP(Backdoors!A53,BackdoorsMoveset!A2:AW112,49,FALSE)+VLOOKUP(Backdoors!A54,BackdoorsMoveset!A2:AW112,49,FALSE)+VLOOKUP(Backdoors!A55,BackdoorsMoveset!A2:AW112,49,FALSE)+VLOOKUP(Backdoors!A56,BackdoorsMoveset!A2:AW112,49,FALSE)+VLOOKUP(Backdoors!A57,BackdoorsMoveset!A2:AW112,49,FALSE)+VLOOKUP(Backdoors!A58,BackdoorsMoveset!A2:AW112,49,FALSE)+VLOOKUP(Backdoors!A59,BackdoorsMoveset!A2:AW112,49,FALSE)+VLOOKUP(Backdoors!A60,BackdoorsMoveset!A2:AW112,49,FALSE)+VLOOKUP(Backdoors!A61,BackdoorsMoveset!A2:AW112,49,FALSE))</f>
        <v>14.299999999999999</v>
      </c>
      <c r="AQ24" t="s">
        <v>240</v>
      </c>
      <c r="AR24">
        <f>IF($AR23&gt;=$AU51,50,IF($AR23&gt;=$AU50,49,IF($AR23&gt;=$AU49,48,IF($AR23&gt;=$AU48,47,IF($AR23&gt;=$AU47,46,IF($AR23&gt;=$AU46,45,IF($AR23&gt;=$AU45,44,IF($AR23&gt;=$AU44,43,IF($AR23&gt;=$AU43,42,IF($AR23&gt;=$AU42,41,IF($AR23&gt;=$AU41,40,IF($AR23&gt;=$AU40,39,IF($AR23&gt;=$AU39,38,IF($AR23&gt;=$AU38,37,IF($AR23&gt;=$AU37,36,IF($AR23&gt;=$AU36,35,IF($AR23&gt;=$AU35,34,IF($AR23&gt;=$AU34,33,IF($AR23&gt;=$AU33,32,IF($AR23&gt;=$AU32,31,IF($AR23&gt;=$AU31,30,IF($AR23&gt;=$AU30,29,IF($AR23&gt;=$AU29,28,IF($AR23&gt;=$AU28,27,IF($AR23&gt;=$AU27,26,IF($AR23&gt;=$AU26,25,IF($AR23&gt;=$AU25,24,IF($AR23&gt;=$AU24,23,IF($AR23&gt;=$AU23,22,IF($AR23&gt;=$AU22,21,IF($AR23&gt;=$AU21,20,IF($AR23&gt;=$AU20,19,IF($AR23&gt;=$AU19,18,IF($AR23&gt;=$AU18,17,IF($AR23&gt;=$AU17,16,IF($AR23&gt;=$AU16,15,IF($AR23&gt;=$AU15,14,IF($AR23&gt;=$AU14,13,IF($AR23&gt;=$AU13,12,IF($AR23&gt;=$AU12,11,IF($AR23&gt;=$AU11,10,IF($AR23&gt;=$AU10,9,IF($AR23&gt;=$AU9,8,IF($AR23&gt;=$AU8,7,IF($AR23&gt;=$AU7,6,IF($AR23&gt;=$AU6,5,IF($AR23&gt;=$AU5,4,IF($AR23&gt;=$AU4,3,IF($AR23&gt;=$AU3,2,IF($AR23&gt;=$AU2,1,0))))))))))))))))))))))))))))))))))))))))))))))))))</f>
        <v>0</v>
      </c>
      <c r="AT24">
        <v>23</v>
      </c>
      <c r="AU24">
        <f>$AU23+IF(AO12+((AO10*22)*AO11)&gt;AO13,AO13,AO12+((AO10*22)*AO11))</f>
        <v>5328</v>
      </c>
      <c r="AW24" s="49" t="str">
        <f>IFERROR(INDEX(tbHitzones!K:K,MATCH(ROWS(tbHitzones!$1:22),tbHitzones!K:K,0)),"")</f>
        <v/>
      </c>
      <c r="AX24" s="49" t="str">
        <f>IFERROR(INDEX(tbHitzones!B:B,MATCH(ROWS(tbHitzones!$1:22),tbHitzones!K:K,0)),"")</f>
        <v/>
      </c>
      <c r="AY24" s="49" t="str">
        <f>IFERROR(INDEX(tbHitzones!C:C,MATCH(ROWS(tbHitzones!$1:22),tbHitzones!K:K,0)),"")</f>
        <v/>
      </c>
      <c r="AZ24" s="49" t="str">
        <f>IFERROR(INDEX(tbHitzones!D:D,MATCH(ROWS(tbHitzones!$1:22),tbHitzones!K:K,0)),"")</f>
        <v/>
      </c>
      <c r="BA24" s="49" t="str">
        <f>IFERROR(INDEX(tbHitzones!E:E,MATCH(ROWS(tbHitzones!$1:22),tbHitzones!K:K,0)),"")</f>
        <v/>
      </c>
      <c r="BB24" s="49" t="str">
        <f>IFERROR(INDEX(tbHitzones!F:F,MATCH(ROWS(tbHitzones!$1:22),tbHitzones!K:K,0)),"")</f>
        <v/>
      </c>
      <c r="BC24" s="49" t="str">
        <f>IFERROR(INDEX(tbHitzones!G:G,MATCH(ROWS(tbHitzones!$1:22),tbHitzones!K:K,0)),"")</f>
        <v/>
      </c>
      <c r="BD24" s="49" t="str">
        <f>IFERROR(INDEX(tbHitzones!H:H,MATCH(ROWS(tbHitzones!$1:22),tbHitzones!K:K,0)),"")</f>
        <v/>
      </c>
      <c r="BE24" s="49" t="str">
        <f>IFERROR(INDEX(tbHitzones!I:I,MATCH(ROWS(tbHitzones!$1:22),tbHitzones!K:K,0)),"")</f>
        <v/>
      </c>
      <c r="BF24" s="49" t="str">
        <f>IFERROR(INDEX(tbHitzones!J:J,MATCH(ROWS(tbHitzones!$1:22),tbHitzones!K:K,0)),"")</f>
        <v/>
      </c>
      <c r="BG24" s="49">
        <f>IFERROR(IF(OR(B9="Fire",B11="Fire"),BB24,IF(OR(B9="Water",B11="Water"),BC24,IF(OR(B9="Thunder",B11="Thunder"),BD24,IF(OR(B9="Ice",B11="Ice"),BE24,IF(OR(B9="Dragon",B11="Dragon"),BF24,0))))),"")</f>
        <v>0</v>
      </c>
      <c r="BH24" s="49" t="str">
        <f>IFERROR(INDEX(tbHitzones!L:L,MATCH(ROWS(tbHitzones!$1:22),tbHitzones!K:K,0)),"")</f>
        <v/>
      </c>
      <c r="BI24" s="49" t="str">
        <f>IFERROR(INDEX(tbHitzones!M:M,MATCH(ROWS(tbHitzones!$1:22),tbHitzones!K:K,0)),"")</f>
        <v/>
      </c>
      <c r="BK24" s="49" t="str">
        <f>IFERROR(INDEX(tbHitzones!K:K,MATCH(ROWS(tbHitzones!$1:22),tbHitzones!K:K,0)),"")</f>
        <v/>
      </c>
      <c r="BL24">
        <f>IFERROR(VLOOKUP(Backdoors!A37,BackdoorsMoveset!A2:EV112,152,FALSE)+VLOOKUP(Backdoors!A38,BackdoorsMoveset!A2:EV112,152,FALSE)+VLOOKUP(Backdoors!A39,BackdoorsMoveset!A2:EV112,152,FALSE)+VLOOKUP(Backdoors!A40,BackdoorsMoveset!A2:EV112,152,FALSE)+VLOOKUP(Backdoors!A41,BackdoorsMoveset!A2:EV112,152,FALSE)+VLOOKUP(Backdoors!A42,BackdoorsMoveset!A2:EV112,152,FALSE)+VLOOKUP(Backdoors!A43,BackdoorsMoveset!A2:EV112,152,FALSE)+VLOOKUP(Backdoors!A44,BackdoorsMoveset!A2:EV112,152,FALSE)+VLOOKUP(Backdoors!A45,BackdoorsMoveset!A2:EV112,152,FALSE)+VLOOKUP(Backdoors!A46,BackdoorsMoveset!A2:EV112,152,FALSE)+VLOOKUP(Backdoors!A47,BackdoorsMoveset!A2:EV112,152,FALSE)+VLOOKUP(Backdoors!A48,BackdoorsMoveset!A2:EV112,152,FALSE)+VLOOKUP(Backdoors!A49,BackdoorsMoveset!A2:EV112,152,FALSE)+VLOOKUP(Backdoors!A50,BackdoorsMoveset!A2:EV112,152,FALSE)+VLOOKUP(Backdoors!A51,BackdoorsMoveset!A2:EV112,152,FALSE)+VLOOKUP(Backdoors!A52,BackdoorsMoveset!A2:EV112,152,FALSE)+VLOOKUP(Backdoors!A53,BackdoorsMoveset!A2:EV112,152,FALSE)+VLOOKUP(Backdoors!A54,BackdoorsMoveset!A2:EV112,152,FALSE)+VLOOKUP(Backdoors!A55,BackdoorsMoveset!A2:EV112,152,FALSE)+VLOOKUP(Backdoors!A56,BackdoorsMoveset!A2:EV112,152,FALSE)+VLOOKUP(Backdoors!A57,BackdoorsMoveset!A2:EV112,152,FALSE)+VLOOKUP(Backdoors!A58,BackdoorsMoveset!A2:EV112,152,FALSE)+VLOOKUP(Backdoors!A59,BackdoorsMoveset!A2:EV112,152,FALSE)+VLOOKUP(Backdoors!A60,BackdoorsMoveset!A2:EV112,152,FALSE)+VLOOKUP(Backdoors!A61,BackdoorsMoveset!A2:EV112,152,FALSE),0)</f>
        <v>0</v>
      </c>
      <c r="BM24">
        <f>IFERROR(VLOOKUP(Backdoors!A37,BackdoorsMoveset!A2:EW112,153,FALSE)+VLOOKUP(Backdoors!A38,BackdoorsMoveset!A2:EW112,153,FALSE)+VLOOKUP(Backdoors!A39,BackdoorsMoveset!A2:EW112,153,FALSE)+VLOOKUP(Backdoors!A40,BackdoorsMoveset!A2:EW112,153,FALSE)+VLOOKUP(Backdoors!A41,BackdoorsMoveset!A2:EW112,153,FALSE)+VLOOKUP(Backdoors!A42,BackdoorsMoveset!A2:EW112,153,FALSE)+VLOOKUP(Backdoors!A43,BackdoorsMoveset!A2:EW112,153,FALSE)+VLOOKUP(Backdoors!A44,BackdoorsMoveset!A2:EW112,153,FALSE)+VLOOKUP(Backdoors!A45,BackdoorsMoveset!A2:EW112,153,FALSE)+VLOOKUP(Backdoors!A46,BackdoorsMoveset!A2:EW112,153,FALSE)+VLOOKUP(Backdoors!A47,BackdoorsMoveset!A2:EW112,153,FALSE)+VLOOKUP(Backdoors!A48,BackdoorsMoveset!A2:EW112,153,FALSE)+VLOOKUP(Backdoors!A49,BackdoorsMoveset!A2:EW112,153,FALSE)+VLOOKUP(Backdoors!A50,BackdoorsMoveset!A2:EW112,153,FALSE)+VLOOKUP(Backdoors!A51,BackdoorsMoveset!A2:EW112,153,FALSE)+VLOOKUP(Backdoors!A52,BackdoorsMoveset!A2:EW112,153,FALSE)+VLOOKUP(Backdoors!A53,BackdoorsMoveset!A2:EW112,153,FALSE)+VLOOKUP(Backdoors!A54,BackdoorsMoveset!A2:EW112,153,FALSE)+VLOOKUP(Backdoors!A55,BackdoorsMoveset!A2:EW112,153,FALSE)+VLOOKUP(Backdoors!A56,BackdoorsMoveset!A2:EW112,153,FALSE)+VLOOKUP(Backdoors!A57,BackdoorsMoveset!A2:EW112,153,FALSE)+VLOOKUP(Backdoors!A58,BackdoorsMoveset!A2:EW112,153,FALSE)+VLOOKUP(Backdoors!A59,BackdoorsMoveset!A2:EW112,153,FALSE)+VLOOKUP(Backdoors!A60,BackdoorsMoveset!A2:EW112,153,FALSE)+VLOOKUP(Backdoors!A61,BackdoorsMoveset!A2:EW112,153,FALSE),0)</f>
        <v>0</v>
      </c>
      <c r="BN24">
        <f>IFERROR(VLOOKUP(Backdoors!A37,BackdoorsMoveset!A2:EY112,155,FALSE)+VLOOKUP(Backdoors!A38,BackdoorsMoveset!A2:EY112,155,FALSE)+VLOOKUP(Backdoors!A39,BackdoorsMoveset!A2:EY112,155,FALSE)+VLOOKUP(Backdoors!A40,BackdoorsMoveset!A2:EY112,155,FALSE)+VLOOKUP(Backdoors!A41,BackdoorsMoveset!A2:EY112,155,FALSE)+VLOOKUP(Backdoors!A42,BackdoorsMoveset!A2:EY112,155,FALSE)+VLOOKUP(Backdoors!A43,BackdoorsMoveset!A2:EY112,155,FALSE)+VLOOKUP(Backdoors!A44,BackdoorsMoveset!A2:EY112,155,FALSE)+VLOOKUP(Backdoors!A45,BackdoorsMoveset!A2:EY112,155,FALSE)+VLOOKUP(Backdoors!A46,BackdoorsMoveset!A2:EY112,155,FALSE)+VLOOKUP(Backdoors!A47,BackdoorsMoveset!A2:EY112,155,FALSE)+VLOOKUP(Backdoors!A48,BackdoorsMoveset!A2:EY112,155,FALSE)+VLOOKUP(Backdoors!A49,BackdoorsMoveset!A2:EY112,155,FALSE)+VLOOKUP(Backdoors!A50,BackdoorsMoveset!A2:EY112,155,FALSE)+VLOOKUP(Backdoors!A51,BackdoorsMoveset!A2:EY112,155,FALSE)+VLOOKUP(Backdoors!A52,BackdoorsMoveset!A2:EY112,155,FALSE)+VLOOKUP(Backdoors!A53,BackdoorsMoveset!A2:EY112,155,FALSE)+VLOOKUP(Backdoors!A54,BackdoorsMoveset!A2:EY112,155,FALSE)+VLOOKUP(Backdoors!A55,BackdoorsMoveset!A2:EY112,155,FALSE)+VLOOKUP(Backdoors!A56,BackdoorsMoveset!A2:EY112,155,FALSE)+VLOOKUP(Backdoors!A57,BackdoorsMoveset!A2:EY112,155,FALSE)+VLOOKUP(Backdoors!A58,BackdoorsMoveset!A2:EY112,155,FALSE)+VLOOKUP(Backdoors!A59,BackdoorsMoveset!A2:EY112,155,FALSE)+VLOOKUP(Backdoors!A60,BackdoorsMoveset!A2:EY112,155,FALSE)+VLOOKUP(Backdoors!A61,BackdoorsMoveset!A2:EY112,155,FALSE),0)</f>
        <v>0</v>
      </c>
      <c r="BO24" s="49">
        <f>IF(BN24=0,0,IF(OR(B9="Poison",$B11="Poison",B2="Light Bowgun",B2="Heavy Bowgun"),ROUND(Backdoors!A36*VLOOKUP(AO7,tbStatus!$A3:$F18,6,FALSE)*IF((AO16*AO39)&gt;1,1,(AO16*AO39)),0),IF(OR(B9="Blast",B11="Blast"),AR286,0)))</f>
        <v>0</v>
      </c>
      <c r="BP24">
        <f t="shared" si="0"/>
        <v>0</v>
      </c>
      <c r="BQ24" s="49" t="str">
        <f>CONCATENATE(AX24,IF(AND(BI24=TRUE,Calculator!B8=TRUE),CONCATENATE(" (Tenderized)"),""),IF(BP24=0,"",CONCATENATE(", ",BP24)))</f>
        <v/>
      </c>
      <c r="BR24" s="49">
        <f>VLOOKUP(Calculator!B4,SavedBuildNumbers!A1:W73,23,FALSE)</f>
        <v>0</v>
      </c>
      <c r="BS24" t="b">
        <f>VLOOKUP(Calculator!B4,SavedBuildNumbers!A1:BL73,64,FALSE)</f>
        <v>0</v>
      </c>
      <c r="BU24" s="49">
        <f>IFERROR(ROUNDDOWN((IF((ROUND((VLOOKUP(tbMoveset!A24,tbMoveset!A2:F112,6,FALSE)+(IF(VLOOKUP(tbMoveset!A24,tbMoveset!A2:F112,6,FALSE)&gt;0,K41,0)))*(1+(IF(VLOOKUP(tbMoveset!A24,tbMoveset!A2:I112,9,FALSE)="Fire",VLOOKUP(Calculator!$E24,tbSkills!$AX3:$AZ9,3,FALSE),IF(VLOOKUP(tbMoveset!A24,tbMoveset!A2:I112,9,FALSE)="Water",VLOOKUP(Calculator!$E25,tbSkills!$AX3:$AZ9,3,FALSE),IF(VLOOKUP(BackdoorsMoveset!A24,tbMoveset!A2:I112,9,FALSE)="Thunder",VLOOKUP(Calculator!$E26,tbSkills!$AX3:$AZ9,3,FALSE),IF(VLOOKUP(tbMoveset!A24,tbMoveset!A2:I112,9,FALSE)="Ice",VLOOKUP(Calculator!$E27,tbSkills!$AX3:$AZ9,3,FALSE),IF(VLOOKUP(tbMoveset!A24,tbMoveset!A2:I112,9,FALSE)="Dragon",VLOOKUP(Calculator!$E28,tbSkills!$AX3:$AZ9,3,FALSE),0)))))/100))*AC7,0)+IF(VLOOKUP(tbMoveset!A24,tbMoveset!A2:F112,6,FALSE)&gt;0,IF(VLOOKUP(tbMoveset!A24,tbMoveset!A2:I112,9,FALSE)="Fire",VLOOKUP(Calculator!$E24,tbSkills!$AX3:$AY9,2,FALSE),IF(VLOOKUP(tbMoveset!A24,tbMoveset!A2:I112,9,FALSE)="Water",VLOOKUP(Calculator!$E25,tbSkills!$AX3:$AY9,2,FALSE),IF(VLOOKUP(tbMoveset!A24,tbMoveset!A2:I112,9,FALSE)="Thunder",VLOOKUP(Calculator!$E26,tbSkills!$AX3:$AY9,2,FALSE),IF(VLOOKUP(tbMoveset!A24,tbMoveset!A2:I112,9,FALSE)="Ice",VLOOKUP(Calculator!$E27,tbSkills!$AX3:$AY9,2,FALSE),IF(VLOOKUP(tbMoveset!A24,tbMoveset!A2:I112,9,FALSE)="Dragon",VLOOKUP(Calculator!$E28,tbSkills!$AX3:$AY9,2,FALSE),0))))),0)/10)&gt;=B34,B34,(ROUND((VLOOKUP(tbMoveset!A24,tbMoveset!A2:F112,6,FALSE)+(IF(VLOOKUP(tbMoveset!A24,tbMoveset!A2:F112,6,FALSE)&gt;0,K41,0)))*(1+(IF(VLOOKUP(tbMoveset!A24,tbMoveset!A2:I112,9,FALSE)="Fire",VLOOKUP(Calculator!$E24,tbSkills!$AX3:$AZ9,3,FALSE),IF(VLOOKUP(tbMoveset!A24,tbMoveset!A2:I112,9,FALSE)="Water",VLOOKUP(Calculator!$E25,tbSkills!$AX3:$AZ9,3,FALSE),IF(VLOOKUP(BackdoorsMoveset!A24,tbMoveset!A2:I112,9,FALSE)="Thunder",VLOOKUP(Calculator!$E26,tbSkills!$AX3:$AZ9,3,FALSE),IF(VLOOKUP(tbMoveset!A24,tbMoveset!A2:I112,9,FALSE)="Ice",VLOOKUP(Calculator!$E27,tbSkills!$AX3:$AZ9,3,FALSE),IF(VLOOKUP(tbMoveset!A24,tbMoveset!A2:I112,9,FALSE)="Dragon",VLOOKUP(Calculator!$E28,tbSkills!$AX3:$AZ9,3,FALSE),0)))))/100))*AC7,0)+IF(VLOOKUP(tbMoveset!A24,tbMoveset!A2:F112,6,FALSE)&gt;0,IF(VLOOKUP(tbMoveset!A24,tbMoveset!A2:I112,9,FALSE)="Fire",VLOOKUP(Calculator!$E24,tbSkills!$AX3:$AY9,2,FALSE),IF(VLOOKUP(tbMoveset!A24,tbMoveset!A2:I112,9,FALSE)="Water",VLOOKUP(Calculator!$E25,tbSkills!$AX3:$AY9,2,FALSE),IF(VLOOKUP(tbMoveset!A24,tbMoveset!A2:I112,9,FALSE)="Thunder",VLOOKUP(Calculator!$E26,tbSkills!$AX3:$AY9,2,FALSE),IF(VLOOKUP(tbMoveset!A24,tbMoveset!A2:I112,9,FALSE)="Ice",VLOOKUP(Calculator!$E27,tbSkills!$AX3:$AY9,2,FALSE),IF(VLOOKUP(tbMoveset!A24,tbMoveset!A2:I112,9,FALSE)="Dragon",VLOOKUP(Calculator!$E28,tbSkills!$AX3:$AY9,2,FALSE),0))))),0)/10))*N6)*AC6,0)*(B30/100),0)</f>
        <v>0</v>
      </c>
    </row>
    <row r="25" spans="1:73" x14ac:dyDescent="0.25">
      <c r="A25" t="s">
        <v>896</v>
      </c>
      <c r="B25">
        <f>ROUNDDOWN((B24*N6)*Z12,0)</f>
        <v>84</v>
      </c>
      <c r="D25" t="s">
        <v>720</v>
      </c>
      <c r="E25">
        <f>IF(Calculator!E36=0,E24,E24/(VLOOKUP(Calculator!E36,tbSkills!CR3:CS5,2,FALSE)/100))</f>
        <v>180</v>
      </c>
      <c r="J25" t="s">
        <v>698</v>
      </c>
      <c r="K25">
        <f>IF(K2&gt;0,K5,IF(B21&gt;=10,K12+K19,0))</f>
        <v>0</v>
      </c>
      <c r="AN25" s="49">
        <f>IFERROR(INDEX(tbHitzones!K:K,MATCH(ROWS(tbHitzones!$1:8),tbHitzones!K:K,0)),"")</f>
        <v>8</v>
      </c>
      <c r="AO25">
        <f>IF(OR(B2="Light Bowgun",B2="Heavy Bowgun"),IF(AI12&gt;=0,1+(IF(Calculator!E40&gt;0,VLOOKUP(Calculator!E40,tbSkills!AI3:AJ5,2,FALSE),AL4)*(IF((AI12+IF(BA10&gt;=0.45,VLOOKUP(Calculator!E23,tbSkills!DH3:DI6,2,FALSE)+IF(AND(Calculator!B8=TRUE,BI10=TRUE),VLOOKUP(Calculator!E23,tbSkills!DH3:DJ6,3,FALSE),0),0))&gt;=100,100,(AI12+IF(BA10&gt;=0.45,VLOOKUP(Calculator!E23,tbSkills!DH3:DI6,2,FALSE)+IF(AND(Calculator!B8=TRUE,BI10=TRUE),VLOOKUP(Calculator!E23,tbSkills!DH3:DJ6,3,FALSE),0),0)))/100)),1),VLOOKUP(Backdoors!A37,BackdoorsMoveset!A2:BD112,56,FALSE)+VLOOKUP(Backdoors!A38,BackdoorsMoveset!A2:BD112,56,FALSE)+VLOOKUP(Backdoors!A39,BackdoorsMoveset!A2:BD112,56,FALSE)+VLOOKUP(Backdoors!A40,BackdoorsMoveset!A2:BD112,56,FALSE)+VLOOKUP(Backdoors!A41,BackdoorsMoveset!A2:BD112,56,FALSE)+VLOOKUP(Backdoors!A42,BackdoorsMoveset!A2:BD112,56,FALSE)+VLOOKUP(Backdoors!A43,BackdoorsMoveset!A2:BD112,56,FALSE)+VLOOKUP(Backdoors!A44,BackdoorsMoveset!A2:BD112,56,FALSE)+VLOOKUP(Backdoors!A45,BackdoorsMoveset!A2:BD112,56,FALSE)+VLOOKUP(Backdoors!A46,BackdoorsMoveset!A2:BD112,56,FALSE)+VLOOKUP(Backdoors!A47,BackdoorsMoveset!A2:BD112,56,FALSE)+VLOOKUP(Backdoors!A48,BackdoorsMoveset!A2:BD112,56,FALSE)+VLOOKUP(Backdoors!A49,BackdoorsMoveset!A2:BD112,56,FALSE)+VLOOKUP(Backdoors!A50,BackdoorsMoveset!A2:BD112,56,FALSE)+VLOOKUP(Backdoors!A51,BackdoorsMoveset!A2:BD112,56,FALSE)+VLOOKUP(Backdoors!A52,BackdoorsMoveset!A2:BD112,56,FALSE)+VLOOKUP(Backdoors!A53,BackdoorsMoveset!A2:BD112,56,FALSE)+VLOOKUP(Backdoors!A54,BackdoorsMoveset!A2:BD112,56,FALSE)+VLOOKUP(Backdoors!A55,BackdoorsMoveset!A2:BD112,56,FALSE)+VLOOKUP(Backdoors!A56,BackdoorsMoveset!A2:BD112,56,FALSE)+VLOOKUP(Backdoors!A57,BackdoorsMoveset!A2:BD112,56,FALSE)+VLOOKUP(Backdoors!A58,BackdoorsMoveset!A2:BD112,56,FALSE)+VLOOKUP(Backdoors!A59,BackdoorsMoveset!A2:BD112,56,FALSE)+VLOOKUP(Backdoors!A60,BackdoorsMoveset!A2:BD112,56,FALSE)+VLOOKUP(Backdoors!A61,BackdoorsMoveset!A2:BD112,56,FALSE))</f>
        <v>14.299999999999999</v>
      </c>
      <c r="AQ25" t="s">
        <v>241</v>
      </c>
      <c r="AR25">
        <f>AR24*VLOOKUP(AO8,tbStatus!A22:E33,5,FALSE)</f>
        <v>0</v>
      </c>
      <c r="AT25">
        <v>24</v>
      </c>
      <c r="AU25">
        <f>$AU24+IF(AO12+((AO10*23)*AO11)&gt;AO13,AO13,AO12+((AO10*23)*AO11))</f>
        <v>5724</v>
      </c>
      <c r="AW25" s="49" t="str">
        <f>IFERROR(INDEX(tbHitzones!K:K,MATCH(ROWS(tbHitzones!$1:23),tbHitzones!K:K,0)),"")</f>
        <v/>
      </c>
      <c r="AX25" s="49" t="str">
        <f>IFERROR(INDEX(tbHitzones!B:B,MATCH(ROWS(tbHitzones!$1:23),tbHitzones!K:K,0)),"")</f>
        <v/>
      </c>
      <c r="AY25" s="49" t="str">
        <f>IFERROR(INDEX(tbHitzones!C:C,MATCH(ROWS(tbHitzones!$1:23),tbHitzones!K:K,0)),"")</f>
        <v/>
      </c>
      <c r="AZ25" s="49" t="str">
        <f>IFERROR(INDEX(tbHitzones!D:D,MATCH(ROWS(tbHitzones!$1:23),tbHitzones!K:K,0)),"")</f>
        <v/>
      </c>
      <c r="BA25" s="49" t="str">
        <f>IFERROR(INDEX(tbHitzones!E:E,MATCH(ROWS(tbHitzones!$1:23),tbHitzones!K:K,0)),"")</f>
        <v/>
      </c>
      <c r="BB25" s="49" t="str">
        <f>IFERROR(INDEX(tbHitzones!F:F,MATCH(ROWS(tbHitzones!$1:23),tbHitzones!K:K,0)),"")</f>
        <v/>
      </c>
      <c r="BC25" s="49" t="str">
        <f>IFERROR(INDEX(tbHitzones!G:G,MATCH(ROWS(tbHitzones!$1:23),tbHitzones!K:K,0)),"")</f>
        <v/>
      </c>
      <c r="BD25" s="49" t="str">
        <f>IFERROR(INDEX(tbHitzones!H:H,MATCH(ROWS(tbHitzones!$1:23),tbHitzones!K:K,0)),"")</f>
        <v/>
      </c>
      <c r="BE25" s="49" t="str">
        <f>IFERROR(INDEX(tbHitzones!I:I,MATCH(ROWS(tbHitzones!$1:23),tbHitzones!K:K,0)),"")</f>
        <v/>
      </c>
      <c r="BF25" s="49" t="str">
        <f>IFERROR(INDEX(tbHitzones!J:J,MATCH(ROWS(tbHitzones!$1:23),tbHitzones!K:K,0)),"")</f>
        <v/>
      </c>
      <c r="BG25" s="49">
        <f>IFERROR(IF(OR(B9="Fire",B11="Fire"),BB25,IF(OR(B9="Water",B11="Water"),BC25,IF(OR(B9="Thunder",B11="Thunder"),BD25,IF(OR(B9="Ice",B11="Ice"),BE25,IF(OR(B9="Dragon",B11="Dragon"),BF25,0))))),"")</f>
        <v>0</v>
      </c>
      <c r="BH25" s="49" t="str">
        <f>IFERROR(INDEX(tbHitzones!L:L,MATCH(ROWS(tbHitzones!$1:23),tbHitzones!K:K,0)),"")</f>
        <v/>
      </c>
      <c r="BI25" s="49" t="str">
        <f>IFERROR(INDEX(tbHitzones!M:M,MATCH(ROWS(tbHitzones!$1:23),tbHitzones!K:K,0)),"")</f>
        <v/>
      </c>
      <c r="BK25" s="49" t="str">
        <f>IFERROR(INDEX(tbHitzones!K:K,MATCH(ROWS(tbHitzones!$1:23),tbHitzones!K:K,0)),"")</f>
        <v/>
      </c>
      <c r="BL25">
        <f>IFERROR(VLOOKUP(Backdoors!A37,BackdoorsMoveset!A2:FC112,159,FALSE)+VLOOKUP(Backdoors!A38,BackdoorsMoveset!A2:FC112,159,FALSE)+VLOOKUP(Backdoors!A39,BackdoorsMoveset!A2:FC112,159,FALSE)+VLOOKUP(Backdoors!A40,BackdoorsMoveset!A2:FC112,159,FALSE)+VLOOKUP(Backdoors!A41,BackdoorsMoveset!A2:FC112,159,FALSE)+VLOOKUP(Backdoors!A42,BackdoorsMoveset!A2:FC112,159,FALSE)+VLOOKUP(Backdoors!A43,BackdoorsMoveset!A2:FC112,159,FALSE)+VLOOKUP(Backdoors!A44,BackdoorsMoveset!A2:FC112,159,FALSE)+VLOOKUP(Backdoors!A45,BackdoorsMoveset!A2:FC112,159,FALSE)+VLOOKUP(Backdoors!A46,BackdoorsMoveset!A2:FC112,159,FALSE)+VLOOKUP(Backdoors!A47,BackdoorsMoveset!A2:FC112,159,FALSE)+VLOOKUP(Backdoors!A48,BackdoorsMoveset!A2:FC112,159,FALSE)+VLOOKUP(Backdoors!A49,BackdoorsMoveset!A2:FC112,159,FALSE)+VLOOKUP(Backdoors!A50,BackdoorsMoveset!A2:FC112,159,FALSE)+VLOOKUP(Backdoors!A51,BackdoorsMoveset!A2:FC112,159,FALSE)+VLOOKUP(Backdoors!A52,BackdoorsMoveset!A2:FC112,159,FALSE)+VLOOKUP(Backdoors!A53,BackdoorsMoveset!A2:FC112,159,FALSE)+VLOOKUP(Backdoors!A54,BackdoorsMoveset!A2:FC112,159,FALSE)+VLOOKUP(Backdoors!A55,BackdoorsMoveset!A2:FC112,159,FALSE)+VLOOKUP(Backdoors!A56,BackdoorsMoveset!A2:FC112,159,FALSE)+VLOOKUP(Backdoors!A57,BackdoorsMoveset!A2:FC112,159,FALSE)+VLOOKUP(Backdoors!A58,BackdoorsMoveset!A2:FC112,159,FALSE)+VLOOKUP(Backdoors!A59,BackdoorsMoveset!A2:FC112,159,FALSE)+VLOOKUP(Backdoors!A60,BackdoorsMoveset!A2:FC112,159,FALSE)+VLOOKUP(Backdoors!A61,BackdoorsMoveset!A2:FC112,159,FALSE),0)</f>
        <v>0</v>
      </c>
      <c r="BM25">
        <f>IFERROR(VLOOKUP(Backdoors!A37,BackdoorsMoveset!A2:FD112,160,FALSE)+VLOOKUP(Backdoors!A38,BackdoorsMoveset!A2:FD112,160,FALSE)+VLOOKUP(Backdoors!A39,BackdoorsMoveset!A2:FD112,160,FALSE)+VLOOKUP(Backdoors!A40,BackdoorsMoveset!A2:FD112,160,FALSE)+VLOOKUP(Backdoors!A41,BackdoorsMoveset!A2:FD112,160,FALSE)+VLOOKUP(Backdoors!A42,BackdoorsMoveset!A2:FD112,160,FALSE)+VLOOKUP(Backdoors!A43,BackdoorsMoveset!A2:FD112,160,FALSE)+VLOOKUP(Backdoors!A44,BackdoorsMoveset!A2:FD112,160,FALSE)+VLOOKUP(Backdoors!A45,BackdoorsMoveset!A2:FD112,160,FALSE)+VLOOKUP(Backdoors!A46,BackdoorsMoveset!A2:FD112,160,FALSE)+VLOOKUP(Backdoors!A47,BackdoorsMoveset!A2:FD112,160,FALSE)+VLOOKUP(Backdoors!A48,BackdoorsMoveset!A2:FD112,160,FALSE)+VLOOKUP(Backdoors!A49,BackdoorsMoveset!A2:FD112,160,FALSE)+VLOOKUP(Backdoors!A50,BackdoorsMoveset!A2:FD112,160,FALSE)+VLOOKUP(Backdoors!A51,BackdoorsMoveset!A2:FD112,160,FALSE)+VLOOKUP(Backdoors!A52,BackdoorsMoveset!A2:FD112,160,FALSE)+VLOOKUP(Backdoors!A53,BackdoorsMoveset!A2:FD112,160,FALSE)+VLOOKUP(Backdoors!A54,BackdoorsMoveset!A2:FD112,160,FALSE)+VLOOKUP(Backdoors!A55,BackdoorsMoveset!A2:FD112,160,FALSE)+VLOOKUP(Backdoors!A56,BackdoorsMoveset!A2:FD112,160,FALSE)+VLOOKUP(Backdoors!A57,BackdoorsMoveset!A2:FD112,160,FALSE)+VLOOKUP(Backdoors!A58,BackdoorsMoveset!A2:FD112,160,FALSE)+VLOOKUP(Backdoors!A59,BackdoorsMoveset!A2:FD112,160,FALSE)+VLOOKUP(Backdoors!A60,BackdoorsMoveset!A2:FD112,160,FALSE)+VLOOKUP(Backdoors!A61,BackdoorsMoveset!A2:FD112,160,FALSE),0)</f>
        <v>0</v>
      </c>
      <c r="BN25">
        <f>IFERROR(VLOOKUP(Backdoors!A37,BackdoorsMoveset!A2:FF112,162,FALSE)+VLOOKUP(Backdoors!A38,BackdoorsMoveset!A2:FF112,162,FALSE)+VLOOKUP(Backdoors!A39,BackdoorsMoveset!A2:FF112,162,FALSE)+VLOOKUP(Backdoors!A40,BackdoorsMoveset!A2:FF112,162,FALSE)+VLOOKUP(Backdoors!A41,BackdoorsMoveset!A2:FF112,162,FALSE)+VLOOKUP(Backdoors!A42,BackdoorsMoveset!A2:FF112,162,FALSE)+VLOOKUP(Backdoors!A43,BackdoorsMoveset!A2:FF112,162,FALSE)+VLOOKUP(Backdoors!A44,BackdoorsMoveset!A2:FF112,162,FALSE)+VLOOKUP(Backdoors!A45,BackdoorsMoveset!A2:FF112,162,FALSE)+VLOOKUP(Backdoors!A46,BackdoorsMoveset!A2:FF112,162,FALSE)+VLOOKUP(Backdoors!A47,BackdoorsMoveset!A2:FF112,162,FALSE)+VLOOKUP(Backdoors!A48,BackdoorsMoveset!A2:FF112,162,FALSE)+VLOOKUP(Backdoors!A49,BackdoorsMoveset!A2:FF112,162,FALSE)+VLOOKUP(Backdoors!A50,BackdoorsMoveset!A2:FF112,162,FALSE)+VLOOKUP(Backdoors!A51,BackdoorsMoveset!A2:FF112,162,FALSE)+VLOOKUP(Backdoors!A52,BackdoorsMoveset!A2:FF112,162,FALSE)+VLOOKUP(Backdoors!A53,BackdoorsMoveset!A2:FF112,162,FALSE)+VLOOKUP(Backdoors!A54,BackdoorsMoveset!A2:FF112,162,FALSE)+VLOOKUP(Backdoors!A55,BackdoorsMoveset!A2:FF112,162,FALSE)+VLOOKUP(Backdoors!A56,BackdoorsMoveset!A2:FF112,162,FALSE)+VLOOKUP(Backdoors!A57,BackdoorsMoveset!A2:FF112,162,FALSE)+VLOOKUP(Backdoors!A58,BackdoorsMoveset!A2:FF112,162,FALSE)+VLOOKUP(Backdoors!A59,BackdoorsMoveset!A2:FF112,162,FALSE)+VLOOKUP(Backdoors!A60,BackdoorsMoveset!A2:FF112,162,FALSE)+VLOOKUP(Backdoors!A61,BackdoorsMoveset!A2:FF112,162,FALSE),0)</f>
        <v>0</v>
      </c>
      <c r="BO25" s="49">
        <f>IF(BN25=0,0,IF(OR(B9="Poison",$B11="Poison",B2="Light Bowgun",B2="Heavy Bowgun"),ROUND(Backdoors!A36*VLOOKUP(AO7,tbStatus!$A3:$F18,6,FALSE)*IF((AO16*AO40)&gt;1,1,(AO16*AO40)),0),IF(OR(B9="Blast",B11="Blast"),AR299,0)))</f>
        <v>0</v>
      </c>
      <c r="BP25">
        <f t="shared" si="0"/>
        <v>0</v>
      </c>
      <c r="BQ25" s="49" t="str">
        <f>CONCATENATE(AX25,IF(AND(BI25=TRUE,Calculator!B8=TRUE),CONCATENATE(" (Tenderized)"),""),IF(BP25=0,"",CONCATENATE(", ",BP25)))</f>
        <v/>
      </c>
      <c r="BR25" s="49">
        <f>VLOOKUP(Calculator!B4,SavedBuildNumbers!A1:X73,24,FALSE)</f>
        <v>0</v>
      </c>
      <c r="BS25">
        <f>VLOOKUP(Calculator!B4,SavedBuildNumbers!A1:BM73,65,FALSE)</f>
        <v>0</v>
      </c>
      <c r="BU25" s="49">
        <f>IFERROR(ROUNDDOWN((IF((ROUND((VLOOKUP(tbMoveset!A25,tbMoveset!A2:F112,6,FALSE)+(IF(VLOOKUP(tbMoveset!A25,tbMoveset!A2:F112,6,FALSE)&gt;0,K41,0)))*(1+(IF(VLOOKUP(tbMoveset!A25,tbMoveset!A2:I112,9,FALSE)="Fire",VLOOKUP(Calculator!$E24,tbSkills!$AX3:$AZ9,3,FALSE),IF(VLOOKUP(tbMoveset!A25,tbMoveset!A2:I112,9,FALSE)="Water",VLOOKUP(Calculator!$E25,tbSkills!$AX3:$AZ9,3,FALSE),IF(VLOOKUP(BackdoorsMoveset!A25,tbMoveset!A2:I112,9,FALSE)="Thunder",VLOOKUP(Calculator!$E26,tbSkills!$AX3:$AZ9,3,FALSE),IF(VLOOKUP(tbMoveset!A25,tbMoveset!A2:I112,9,FALSE)="Ice",VLOOKUP(Calculator!$E27,tbSkills!$AX3:$AZ9,3,FALSE),IF(VLOOKUP(tbMoveset!A25,tbMoveset!A2:I112,9,FALSE)="Dragon",VLOOKUP(Calculator!$E28,tbSkills!$AX3:$AZ9,3,FALSE),0)))))/100))*AC7,0)+IF(VLOOKUP(tbMoveset!A25,tbMoveset!A2:F112,6,FALSE)&gt;0,IF(VLOOKUP(tbMoveset!A25,tbMoveset!A2:I112,9,FALSE)="Fire",VLOOKUP(Calculator!$E24,tbSkills!$AX3:$AY9,2,FALSE),IF(VLOOKUP(tbMoveset!A25,tbMoveset!A2:I112,9,FALSE)="Water",VLOOKUP(Calculator!$E25,tbSkills!$AX3:$AY9,2,FALSE),IF(VLOOKUP(tbMoveset!A25,tbMoveset!A2:I112,9,FALSE)="Thunder",VLOOKUP(Calculator!$E26,tbSkills!$AX3:$AY9,2,FALSE),IF(VLOOKUP(tbMoveset!A25,tbMoveset!A2:I112,9,FALSE)="Ice",VLOOKUP(Calculator!$E27,tbSkills!$AX3:$AY9,2,FALSE),IF(VLOOKUP(tbMoveset!A25,tbMoveset!A2:I112,9,FALSE)="Dragon",VLOOKUP(Calculator!$E28,tbSkills!$AX3:$AY9,2,FALSE),0))))),0)/10)&gt;=B34,B34,(ROUND((VLOOKUP(tbMoveset!A25,tbMoveset!A2:F112,6,FALSE)+(IF(VLOOKUP(tbMoveset!A25,tbMoveset!A2:F112,6,FALSE)&gt;0,K41,0)))*(1+(IF(VLOOKUP(tbMoveset!A25,tbMoveset!A2:I112,9,FALSE)="Fire",VLOOKUP(Calculator!$E24,tbSkills!$AX3:$AZ9,3,FALSE),IF(VLOOKUP(tbMoveset!A25,tbMoveset!A2:I112,9,FALSE)="Water",VLOOKUP(Calculator!$E25,tbSkills!$AX3:$AZ9,3,FALSE),IF(VLOOKUP(BackdoorsMoveset!A25,tbMoveset!A2:I112,9,FALSE)="Thunder",VLOOKUP(Calculator!$E26,tbSkills!$AX3:$AZ9,3,FALSE),IF(VLOOKUP(tbMoveset!A25,tbMoveset!A2:I112,9,FALSE)="Ice",VLOOKUP(Calculator!$E27,tbSkills!$AX3:$AZ9,3,FALSE),IF(VLOOKUP(tbMoveset!A25,tbMoveset!A2:I112,9,FALSE)="Dragon",VLOOKUP(Calculator!$E28,tbSkills!$AX3:$AZ9,3,FALSE),0)))))/100))*AC7,0)+IF(VLOOKUP(tbMoveset!A25,tbMoveset!A2:F112,6,FALSE)&gt;0,IF(VLOOKUP(tbMoveset!A25,tbMoveset!A2:I112,9,FALSE)="Fire",VLOOKUP(Calculator!$E24,tbSkills!$AX3:$AY9,2,FALSE),IF(VLOOKUP(tbMoveset!A25,tbMoveset!A2:I112,9,FALSE)="Water",VLOOKUP(Calculator!$E25,tbSkills!$AX3:$AY9,2,FALSE),IF(VLOOKUP(tbMoveset!A25,tbMoveset!A2:I112,9,FALSE)="Thunder",VLOOKUP(Calculator!$E26,tbSkills!$AX3:$AY9,2,FALSE),IF(VLOOKUP(tbMoveset!A25,tbMoveset!A2:I112,9,FALSE)="Ice",VLOOKUP(Calculator!$E27,tbSkills!$AX3:$AY9,2,FALSE),IF(VLOOKUP(tbMoveset!A25,tbMoveset!A2:I112,9,FALSE)="Dragon",VLOOKUP(Calculator!$E28,tbSkills!$AX3:$AY9,2,FALSE),0))))),0)/10))*N6)*AC6,0)*(B30/100),0)</f>
        <v>0</v>
      </c>
    </row>
    <row r="26" spans="1:73" x14ac:dyDescent="0.25">
      <c r="A26" t="s">
        <v>891</v>
      </c>
      <c r="B26">
        <f>ROUND(B4*Z19,0)+Q15</f>
        <v>80</v>
      </c>
      <c r="D26" t="s">
        <v>737</v>
      </c>
      <c r="E26">
        <f>IF(OR(B2="Light Bowgun",B2="Heavy Bowgun",B2="Bow"),"",IF(Calculator!E35=FALSE,E25,IF((IF(AI12&gt;=100,100,AI12)/100)=1,"Infinite",ROUND(E25/(1-(IF(AI12&gt;=100,100,AI12)/100)),0))))</f>
        <v>180</v>
      </c>
      <c r="J26" t="s">
        <v>842</v>
      </c>
      <c r="K26">
        <f>K14+K20</f>
        <v>0</v>
      </c>
      <c r="AN26" s="49" t="str">
        <f>IFERROR(INDEX(tbHitzones!K:K,MATCH(ROWS(tbHitzones!$1:9),tbHitzones!K:K,0)),"")</f>
        <v/>
      </c>
      <c r="AO26">
        <f>IF(OR(B2="Light Bowgun",B2="Heavy Bowgun"),IF(AI12&gt;=0,1+(IF(Calculator!E40&gt;0,VLOOKUP(Calculator!E40,tbSkills!AI3:AJ5,2,FALSE),AL4)*(IF((AI12+IF(BA11&gt;=0.45,VLOOKUP(Calculator!E23,tbSkills!DH3:DI6,2,FALSE)+IF(AND(Calculator!B8=TRUE,BI11=TRUE),VLOOKUP(Calculator!E23,tbSkills!DH3:DJ6,3,FALSE),0),0))&gt;=100,100,(AI12+IF(BA11&gt;=0.45,VLOOKUP(Calculator!E23,tbSkills!DH3:DI6,2,FALSE)+IF(AND(Calculator!B8=TRUE,BI11=TRUE),VLOOKUP(Calculator!E23,tbSkills!DH3:DJ6,3,FALSE),0),0)))/100)),1),VLOOKUP(Backdoors!A37,BackdoorsMoveset!A2:BK112,63,FALSE)+VLOOKUP(Backdoors!A38,BackdoorsMoveset!A2:BK112,63,FALSE)+VLOOKUP(Backdoors!A39,BackdoorsMoveset!A2:BK112,63,FALSE)+VLOOKUP(Backdoors!A40,BackdoorsMoveset!A2:BK112,63,FALSE)+VLOOKUP(Backdoors!A41,BackdoorsMoveset!A2:BK112,63,FALSE)+VLOOKUP(Backdoors!A42,BackdoorsMoveset!A2:BK112,63,FALSE)+VLOOKUP(Backdoors!A43,BackdoorsMoveset!A2:BK112,63,FALSE)+VLOOKUP(Backdoors!A44,BackdoorsMoveset!A2:BK112,63,FALSE)+VLOOKUP(Backdoors!A45,BackdoorsMoveset!A2:BK112,63,FALSE)+VLOOKUP(Backdoors!A46,BackdoorsMoveset!A2:BK112,63,FALSE)+VLOOKUP(Backdoors!A47,BackdoorsMoveset!A2:BK112,63,FALSE)+VLOOKUP(Backdoors!A48,BackdoorsMoveset!A2:BK112,63,FALSE)+VLOOKUP(Backdoors!A49,BackdoorsMoveset!A2:BK112,63,FALSE)+VLOOKUP(Backdoors!A50,BackdoorsMoveset!A2:BK112,63,FALSE)+VLOOKUP(Backdoors!A51,BackdoorsMoveset!A2:BK112,63,FALSE)+VLOOKUP(Backdoors!A52,BackdoorsMoveset!A2:BK112,63,FALSE)+VLOOKUP(Backdoors!A53,BackdoorsMoveset!A2:BK112,63,FALSE)+VLOOKUP(Backdoors!A54,BackdoorsMoveset!A2:BK112,63,FALSE)+VLOOKUP(Backdoors!A55,BackdoorsMoveset!A2:BK112,63,FALSE)+VLOOKUP(Backdoors!A56,BackdoorsMoveset!A2:BK112,63,FALSE)+VLOOKUP(Backdoors!A57,BackdoorsMoveset!A2:BK112,63,FALSE)+VLOOKUP(Backdoors!A58,BackdoorsMoveset!A2:BK112,63,FALSE)+VLOOKUP(Backdoors!A59,BackdoorsMoveset!A2:BK112,63,FALSE)+VLOOKUP(Backdoors!A60,BackdoorsMoveset!A2:BK112,63,FALSE)+VLOOKUP(Backdoors!A61,BackdoorsMoveset!A2:BK112,63,FALSE))</f>
        <v>14.299999999999999</v>
      </c>
      <c r="AQ26" t="s">
        <v>242</v>
      </c>
      <c r="AR26">
        <f>ROUND((AR25/N8)*BN4,0)</f>
        <v>0</v>
      </c>
      <c r="AT26">
        <v>25</v>
      </c>
      <c r="AU26">
        <f>$AU25+IF(AO12+((AO10*24)*AO11)&gt;AO13,AO13,AO12+((AO10*24)*AO11))</f>
        <v>6120</v>
      </c>
      <c r="AW26" s="49" t="str">
        <f>IFERROR(INDEX(tbHitzones!K:K,MATCH(ROWS(tbHitzones!$1:24),tbHitzones!K:K,0)),"")</f>
        <v/>
      </c>
      <c r="AX26" s="49" t="str">
        <f>IFERROR(INDEX(tbHitzones!B:B,MATCH(ROWS(tbHitzones!$1:24),tbHitzones!K:K,0)),"")</f>
        <v/>
      </c>
      <c r="AY26" s="49" t="str">
        <f>IFERROR(INDEX(tbHitzones!C:C,MATCH(ROWS(tbHitzones!$1:24),tbHitzones!K:K,0)),"")</f>
        <v/>
      </c>
      <c r="AZ26" s="49" t="str">
        <f>IFERROR(INDEX(tbHitzones!D:D,MATCH(ROWS(tbHitzones!$1:24),tbHitzones!K:K,0)),"")</f>
        <v/>
      </c>
      <c r="BA26" s="49" t="str">
        <f>IFERROR(INDEX(tbHitzones!E:E,MATCH(ROWS(tbHitzones!$1:24),tbHitzones!K:K,0)),"")</f>
        <v/>
      </c>
      <c r="BB26" s="49" t="str">
        <f>IFERROR(INDEX(tbHitzones!F:F,MATCH(ROWS(tbHitzones!$1:24),tbHitzones!K:K,0)),"")</f>
        <v/>
      </c>
      <c r="BC26" s="49" t="str">
        <f>IFERROR(INDEX(tbHitzones!G:G,MATCH(ROWS(tbHitzones!$1:24),tbHitzones!K:K,0)),"")</f>
        <v/>
      </c>
      <c r="BD26" s="49" t="str">
        <f>IFERROR(INDEX(tbHitzones!H:H,MATCH(ROWS(tbHitzones!$1:24),tbHitzones!K:K,0)),"")</f>
        <v/>
      </c>
      <c r="BE26" s="49" t="str">
        <f>IFERROR(INDEX(tbHitzones!I:I,MATCH(ROWS(tbHitzones!$1:24),tbHitzones!K:K,0)),"")</f>
        <v/>
      </c>
      <c r="BF26" s="49" t="str">
        <f>IFERROR(INDEX(tbHitzones!J:J,MATCH(ROWS(tbHitzones!$1:24),tbHitzones!K:K,0)),"")</f>
        <v/>
      </c>
      <c r="BG26" s="49">
        <f>IFERROR(IF(OR(B9="Fire",B11="Fire"),BB26,IF(OR(B9="Water",B11="Water"),BC26,IF(OR(B9="Thunder",B11="Thunder"),BD26,IF(OR(B9="Ice",B11="Ice"),BE26,IF(OR(B9="Dragon",B11="Dragon"),BF26,0))))),"")</f>
        <v>0</v>
      </c>
      <c r="BH26" s="49" t="str">
        <f>IFERROR(INDEX(tbHitzones!L:L,MATCH(ROWS(tbHitzones!$1:24),tbHitzones!K:K,0)),"")</f>
        <v/>
      </c>
      <c r="BI26" s="49" t="str">
        <f>IFERROR(INDEX(tbHitzones!M:M,MATCH(ROWS(tbHitzones!$1:24),tbHitzones!K:K,0)),"")</f>
        <v/>
      </c>
      <c r="BK26" s="49" t="str">
        <f>IFERROR(INDEX(tbHitzones!K:K,MATCH(ROWS(tbHitzones!$1:24),tbHitzones!K:K,0)),"")</f>
        <v/>
      </c>
      <c r="BL26">
        <f>IFERROR(VLOOKUP(Backdoors!A37,BackdoorsMoveset!A2:FJ112,166,FALSE)+VLOOKUP(Backdoors!A38,BackdoorsMoveset!A2:FJ112,166,FALSE)+VLOOKUP(Backdoors!A39,BackdoorsMoveset!A2:FJ112,166,FALSE)+VLOOKUP(Backdoors!A40,BackdoorsMoveset!A2:FJ112,166,FALSE)+VLOOKUP(Backdoors!A41,BackdoorsMoveset!A2:FJ112,166,FALSE)+VLOOKUP(Backdoors!A42,BackdoorsMoveset!A2:FJ112,166,FALSE)+VLOOKUP(Backdoors!A43,BackdoorsMoveset!A2:FJ112,166,FALSE)+VLOOKUP(Backdoors!A44,BackdoorsMoveset!A2:FJ112,166,FALSE)+VLOOKUP(Backdoors!A45,BackdoorsMoveset!A2:FJ112,166,FALSE)+VLOOKUP(Backdoors!A46,BackdoorsMoveset!A2:FJ112,166,FALSE)+VLOOKUP(Backdoors!A47,BackdoorsMoveset!A2:FJ112,166,FALSE)+VLOOKUP(Backdoors!A48,BackdoorsMoveset!A2:FJ112,166,FALSE)+VLOOKUP(Backdoors!A49,BackdoorsMoveset!A2:FJ112,166,FALSE)+VLOOKUP(Backdoors!A50,BackdoorsMoveset!A2:FJ112,166,FALSE)+VLOOKUP(Backdoors!A51,BackdoorsMoveset!A2:FJ112,166,FALSE)+VLOOKUP(Backdoors!A52,BackdoorsMoveset!A2:FJ112,166,FALSE)+VLOOKUP(Backdoors!A53,BackdoorsMoveset!A2:FJ112,166,FALSE)+VLOOKUP(Backdoors!A54,BackdoorsMoveset!A2:FJ112,166,FALSE)+VLOOKUP(Backdoors!A55,BackdoorsMoveset!A2:FJ112,166,FALSE)+VLOOKUP(Backdoors!A56,BackdoorsMoveset!A2:FJ112,166,FALSE)+VLOOKUP(Backdoors!A57,BackdoorsMoveset!A2:FJ112,166,FALSE)+VLOOKUP(Backdoors!A58,BackdoorsMoveset!A2:FJ112,166,FALSE)+VLOOKUP(Backdoors!A59,BackdoorsMoveset!A2:FJ112,166,FALSE)+VLOOKUP(Backdoors!A60,BackdoorsMoveset!A2:FJ112,166,FALSE)+VLOOKUP(Backdoors!A61,BackdoorsMoveset!A2:FJ112,166,FALSE),0)</f>
        <v>0</v>
      </c>
      <c r="BM26">
        <f>IFERROR(VLOOKUP(Backdoors!A37,BackdoorsMoveset!A2:FK112,167,FALSE)+VLOOKUP(Backdoors!A38,BackdoorsMoveset!A2:FK112,167,FALSE)+VLOOKUP(Backdoors!A39,BackdoorsMoveset!A2:FK112,167,FALSE)+VLOOKUP(Backdoors!A40,BackdoorsMoveset!A2:FK112,167,FALSE)+VLOOKUP(Backdoors!A41,BackdoorsMoveset!A2:FK112,167,FALSE)+VLOOKUP(Backdoors!A42,BackdoorsMoveset!A2:FK112,167,FALSE)+VLOOKUP(Backdoors!A43,BackdoorsMoveset!A2:FK112,167,FALSE)+VLOOKUP(Backdoors!A44,BackdoorsMoveset!A2:FK112,167,FALSE)+VLOOKUP(Backdoors!A45,BackdoorsMoveset!A2:FK112,167,FALSE)+VLOOKUP(Backdoors!A46,BackdoorsMoveset!A2:FK112,167,FALSE)+VLOOKUP(Backdoors!A47,BackdoorsMoveset!A2:FK112,167,FALSE)+VLOOKUP(Backdoors!A48,BackdoorsMoveset!A2:FK112,167,FALSE)+VLOOKUP(Backdoors!A49,BackdoorsMoveset!A2:FK112,167,FALSE)+VLOOKUP(Backdoors!A50,BackdoorsMoveset!A2:FK112,167,FALSE)+VLOOKUP(Backdoors!A51,BackdoorsMoveset!A2:FK112,167,FALSE)+VLOOKUP(Backdoors!A52,BackdoorsMoveset!A2:FK112,167,FALSE)+VLOOKUP(Backdoors!A53,BackdoorsMoveset!A2:FK112,167,FALSE)+VLOOKUP(Backdoors!A54,BackdoorsMoveset!A2:FK112,167,FALSE)+VLOOKUP(Backdoors!A55,BackdoorsMoveset!A2:FK112,167,FALSE)+VLOOKUP(Backdoors!A56,BackdoorsMoveset!A2:FK112,167,FALSE)+VLOOKUP(Backdoors!A57,BackdoorsMoveset!A2:FK112,167,FALSE)+VLOOKUP(Backdoors!A58,BackdoorsMoveset!A2:FK112,167,FALSE)+VLOOKUP(Backdoors!A59,BackdoorsMoveset!A2:FK112,167,FALSE)+VLOOKUP(Backdoors!A60,BackdoorsMoveset!A2:FK112,167,FALSE)+VLOOKUP(Backdoors!A61,BackdoorsMoveset!A2:FK112,167,FALSE),0)</f>
        <v>0</v>
      </c>
      <c r="BN26">
        <f>IFERROR(VLOOKUP(Backdoors!A37,BackdoorsMoveset!A2:FM112,169,FALSE)+VLOOKUP(Backdoors!A38,BackdoorsMoveset!A2:FM112,169,FALSE)+VLOOKUP(Backdoors!A39,BackdoorsMoveset!A2:FM112,169,FALSE)+VLOOKUP(Backdoors!A40,BackdoorsMoveset!A2:FM112,169,FALSE)+VLOOKUP(Backdoors!A41,BackdoorsMoveset!A2:FM112,169,FALSE)+VLOOKUP(Backdoors!A42,BackdoorsMoveset!A2:FM112,169,FALSE)+VLOOKUP(Backdoors!A43,BackdoorsMoveset!A2:FM112,169,FALSE)+VLOOKUP(Backdoors!A44,BackdoorsMoveset!A2:FM112,169,FALSE)+VLOOKUP(Backdoors!A45,BackdoorsMoveset!A2:FM112,169,FALSE)+VLOOKUP(Backdoors!A46,BackdoorsMoveset!A2:FM112,169,FALSE)+VLOOKUP(Backdoors!A47,BackdoorsMoveset!A2:FM112,169,FALSE)+VLOOKUP(Backdoors!A48,BackdoorsMoveset!A2:FM112,169,FALSE)+VLOOKUP(Backdoors!A49,BackdoorsMoveset!A2:FM112,169,FALSE)+VLOOKUP(Backdoors!A50,BackdoorsMoveset!A2:FM112,169,FALSE)+VLOOKUP(Backdoors!A51,BackdoorsMoveset!A2:FM112,169,FALSE)+VLOOKUP(Backdoors!A52,BackdoorsMoveset!A2:FM112,169,FALSE)+VLOOKUP(Backdoors!A53,BackdoorsMoveset!A2:FM112,169,FALSE)+VLOOKUP(Backdoors!A54,BackdoorsMoveset!A2:FM112,169,FALSE)+VLOOKUP(Backdoors!A55,BackdoorsMoveset!A2:FM112,169,FALSE)+VLOOKUP(Backdoors!A56,BackdoorsMoveset!A2:FM112,169,FALSE)+VLOOKUP(Backdoors!A57,BackdoorsMoveset!A2:FM112,169,FALSE)+VLOOKUP(Backdoors!A58,BackdoorsMoveset!A2:FM112,169,FALSE)+VLOOKUP(Backdoors!A59,BackdoorsMoveset!A2:FM112,169,FALSE)+VLOOKUP(Backdoors!A60,BackdoorsMoveset!A2:FM112,169,FALSE)+VLOOKUP(Backdoors!A61,BackdoorsMoveset!A2:FM112,169,FALSE),0)</f>
        <v>0</v>
      </c>
      <c r="BO26" s="49">
        <f>IF(BN26=0,0,IF(OR(B9="Poison",$B11="Poison",B2="Light Bowgun",B2="Heavy Bowgun"),ROUND(Backdoors!A36*VLOOKUP(AO7,tbStatus!$A3:$F18,6,FALSE)*IF((AO16*AO41)&gt;1,1,(AO16*AO41)),0),IF(OR(B9="Blast",B11="Blast"),AR312,0)))</f>
        <v>0</v>
      </c>
      <c r="BP26">
        <f t="shared" si="0"/>
        <v>0</v>
      </c>
      <c r="BQ26" s="49" t="str">
        <f>CONCATENATE(AX26,IF(AND(BI26=TRUE,Calculator!B8=TRUE),CONCATENATE(" (Tenderized)"),""),IF(BP26=0,"",CONCATENATE(", ",BP26)))</f>
        <v/>
      </c>
      <c r="BR26" s="49">
        <f>VLOOKUP(Calculator!B4,SavedBuildNumbers!A1:Y73,25,FALSE)</f>
        <v>0</v>
      </c>
      <c r="BS26">
        <f>VLOOKUP(Calculator!B4,SavedBuildNumbers!A1:BN73,66,FALSE)</f>
        <v>0</v>
      </c>
      <c r="BU26" s="49">
        <f>IFERROR(ROUNDDOWN((IF((ROUND((VLOOKUP(tbMoveset!A26,tbMoveset!A2:F112,6,FALSE)+(IF(VLOOKUP(tbMoveset!A26,tbMoveset!A2:F112,6,FALSE)&gt;0,K41,0)))*(1+(IF(VLOOKUP(tbMoveset!A26,tbMoveset!A2:I112,9,FALSE)="Fire",VLOOKUP(Calculator!$E24,tbSkills!$AX3:$AZ9,3,FALSE),IF(VLOOKUP(tbMoveset!A26,tbMoveset!A2:I112,9,FALSE)="Water",VLOOKUP(Calculator!$E25,tbSkills!$AX3:$AZ9,3,FALSE),IF(VLOOKUP(BackdoorsMoveset!A26,tbMoveset!A2:I112,9,FALSE)="Thunder",VLOOKUP(Calculator!$E26,tbSkills!$AX3:$AZ9,3,FALSE),IF(VLOOKUP(tbMoveset!A26,tbMoveset!A2:I112,9,FALSE)="Ice",VLOOKUP(Calculator!$E27,tbSkills!$AX3:$AZ9,3,FALSE),IF(VLOOKUP(tbMoveset!A26,tbMoveset!A2:I112,9,FALSE)="Dragon",VLOOKUP(Calculator!$E28,tbSkills!$AX3:$AZ9,3,FALSE),0)))))/100))*AC7,0)+IF(VLOOKUP(tbMoveset!A26,tbMoveset!A2:F112,6,FALSE)&gt;0,IF(VLOOKUP(tbMoveset!A26,tbMoveset!A2:I112,9,FALSE)="Fire",VLOOKUP(Calculator!$E24,tbSkills!$AX3:$AY9,2,FALSE),IF(VLOOKUP(tbMoveset!A26,tbMoveset!A2:I112,9,FALSE)="Water",VLOOKUP(Calculator!$E25,tbSkills!$AX3:$AY9,2,FALSE),IF(VLOOKUP(tbMoveset!A26,tbMoveset!A2:I112,9,FALSE)="Thunder",VLOOKUP(Calculator!$E26,tbSkills!$AX3:$AY9,2,FALSE),IF(VLOOKUP(tbMoveset!A26,tbMoveset!A2:I112,9,FALSE)="Ice",VLOOKUP(Calculator!$E27,tbSkills!$AX3:$AY9,2,FALSE),IF(VLOOKUP(tbMoveset!A26,tbMoveset!A2:I112,9,FALSE)="Dragon",VLOOKUP(Calculator!$E28,tbSkills!$AX3:$AY9,2,FALSE),0))))),0)/10)&gt;=B34,B34,(ROUND((VLOOKUP(tbMoveset!A26,tbMoveset!A2:F112,6,FALSE)+(IF(VLOOKUP(tbMoveset!A26,tbMoveset!A2:F112,6,FALSE)&gt;0,K41,0)))*(1+(IF(VLOOKUP(tbMoveset!A26,tbMoveset!A2:I112,9,FALSE)="Fire",VLOOKUP(Calculator!$E24,tbSkills!$AX3:$AZ9,3,FALSE),IF(VLOOKUP(tbMoveset!A26,tbMoveset!A2:I112,9,FALSE)="Water",VLOOKUP(Calculator!$E25,tbSkills!$AX3:$AZ9,3,FALSE),IF(VLOOKUP(BackdoorsMoveset!A26,tbMoveset!A2:I112,9,FALSE)="Thunder",VLOOKUP(Calculator!$E26,tbSkills!$AX3:$AZ9,3,FALSE),IF(VLOOKUP(tbMoveset!A26,tbMoveset!A2:I112,9,FALSE)="Ice",VLOOKUP(Calculator!$E27,tbSkills!$AX3:$AZ9,3,FALSE),IF(VLOOKUP(tbMoveset!A26,tbMoveset!A2:I112,9,FALSE)="Dragon",VLOOKUP(Calculator!$E28,tbSkills!$AX3:$AZ9,3,FALSE),0)))))/100))*AC7,0)+IF(VLOOKUP(tbMoveset!A26,tbMoveset!A2:F112,6,FALSE)&gt;0,IF(VLOOKUP(tbMoveset!A26,tbMoveset!A2:I112,9,FALSE)="Fire",VLOOKUP(Calculator!$E24,tbSkills!$AX3:$AY9,2,FALSE),IF(VLOOKUP(tbMoveset!A26,tbMoveset!A2:I112,9,FALSE)="Water",VLOOKUP(Calculator!$E25,tbSkills!$AX3:$AY9,2,FALSE),IF(VLOOKUP(tbMoveset!A26,tbMoveset!A2:I112,9,FALSE)="Thunder",VLOOKUP(Calculator!$E26,tbSkills!$AX3:$AY9,2,FALSE),IF(VLOOKUP(tbMoveset!A26,tbMoveset!A2:I112,9,FALSE)="Ice",VLOOKUP(Calculator!$E27,tbSkills!$AX3:$AY9,2,FALSE),IF(VLOOKUP(tbMoveset!A26,tbMoveset!A2:I112,9,FALSE)="Dragon",VLOOKUP(Calculator!$E28,tbSkills!$AX3:$AY9,2,FALSE),0))))),0)/10))*N6)*AC6,0)*(B30/100),0)</f>
        <v>0</v>
      </c>
    </row>
    <row r="27" spans="1:73" x14ac:dyDescent="0.25">
      <c r="A27" t="s">
        <v>897</v>
      </c>
      <c r="B27">
        <f>ROUNDDOWN((B26*N6)*Z12,0)</f>
        <v>84</v>
      </c>
      <c r="D27" t="s">
        <v>738</v>
      </c>
      <c r="E27">
        <f>IF(OR(B2="Light Bowgun",B2="Heavy Bowgun",B2="Bow"),"",IF(E26="Infinite","",IF(Calculator!E35=FALSE,E25,IF((IF((AI12+AI14)&gt;=100,100,(AI12+AI14))/100)=1,"Infinite",ROUND(E25/(1-(IF((AI12+AI14)&gt;=100,100,(AI12+AI14))/100)),0)))))</f>
        <v>180</v>
      </c>
      <c r="AN27" s="49" t="str">
        <f>IFERROR(INDEX(tbHitzones!K:K,MATCH(ROWS(tbHitzones!$1:10),tbHitzones!K:K,0)),"")</f>
        <v/>
      </c>
      <c r="AO27">
        <f>IF(OR(B2="Light Bowgun",B2="Heavy Bowgun"),IF(AI12&gt;=0,1+(IF(Calculator!E40&gt;0,VLOOKUP(Calculator!E40,tbSkills!AI3:AJ5,2,FALSE),AL4)*(IF((AI12+IF(BA12&gt;=0.45,VLOOKUP(Calculator!E23,tbSkills!DH3:DI6,2,FALSE)+IF(AND(Calculator!B8=TRUE,BI12=TRUE),VLOOKUP(Calculator!E23,tbSkills!DH3:DJ6,3,FALSE),0),0))&gt;=100,100,(AI12+IF(BA12&gt;=0.45,VLOOKUP(Calculator!E23,tbSkills!DH3:DI6,2,FALSE)+IF(AND(Calculator!B8=TRUE,BI12=TRUE),VLOOKUP(Calculator!E23,tbSkills!DH3:DJ6,3,FALSE),0),0)))/100)),1),VLOOKUP(Backdoors!A37,BackdoorsMoveset!A2:BR112,70,FALSE)+VLOOKUP(Backdoors!A38,BackdoorsMoveset!A2:BR112,70,FALSE)+VLOOKUP(Backdoors!A39,BackdoorsMoveset!A2:BR112,70,FALSE)+VLOOKUP(Backdoors!A40,BackdoorsMoveset!A2:BR112,70,FALSE)+VLOOKUP(Backdoors!A41,BackdoorsMoveset!A2:BR112,70,FALSE)+VLOOKUP(Backdoors!A42,BackdoorsMoveset!A2:BR112,70,FALSE)+VLOOKUP(Backdoors!A43,BackdoorsMoveset!A2:BR112,70,FALSE)+VLOOKUP(Backdoors!A44,BackdoorsMoveset!A2:BR112,70,FALSE)+VLOOKUP(Backdoors!A45,BackdoorsMoveset!A2:BR112,70,FALSE)+VLOOKUP(Backdoors!A46,BackdoorsMoveset!A2:BR112,70,FALSE)+VLOOKUP(Backdoors!A47,BackdoorsMoveset!A2:BR112,70,FALSE)+VLOOKUP(Backdoors!A48,BackdoorsMoveset!A2:BR112,70,FALSE)+VLOOKUP(Backdoors!A49,BackdoorsMoveset!A2:BR112,70,FALSE)+VLOOKUP(Backdoors!A50,BackdoorsMoveset!A2:BR112,70,FALSE)+VLOOKUP(Backdoors!A51,BackdoorsMoveset!A2:BR112,70,FALSE)+VLOOKUP(Backdoors!A52,BackdoorsMoveset!A2:BR112,70,FALSE)+VLOOKUP(Backdoors!A53,BackdoorsMoveset!A2:BR112,70,FALSE)+VLOOKUP(Backdoors!A54,BackdoorsMoveset!A2:BR112,70,FALSE)+VLOOKUP(Backdoors!A55,BackdoorsMoveset!A2:BR112,70,FALSE)+VLOOKUP(Backdoors!A56,BackdoorsMoveset!A2:BR112,70,FALSE)+VLOOKUP(Backdoors!A57,BackdoorsMoveset!A2:BR112,70,FALSE)+VLOOKUP(Backdoors!A58,BackdoorsMoveset!A2:BR112,70,FALSE)+VLOOKUP(Backdoors!A59,BackdoorsMoveset!A2:BR112,70,FALSE)+VLOOKUP(Backdoors!A60,BackdoorsMoveset!A2:BR112,70,FALSE)+VLOOKUP(Backdoors!A61,BackdoorsMoveset!A2:BR112,70,FALSE))</f>
        <v>14.299999999999999</v>
      </c>
      <c r="AT27">
        <v>26</v>
      </c>
      <c r="AU27">
        <f>$AU26+IF(AO12+((AO10*25)*AO11)&gt;AO13,AO13,AO12+((AO10*25)*AO11))</f>
        <v>6516</v>
      </c>
      <c r="AW27" s="49" t="str">
        <f>IFERROR(INDEX(tbHitzones!K:K,MATCH(ROWS(tbHitzones!$1:25),tbHitzones!K:K,0)),"")</f>
        <v/>
      </c>
      <c r="AX27" s="49" t="str">
        <f>IFERROR(INDEX(tbHitzones!B:B,MATCH(ROWS(tbHitzones!$1:25),tbHitzones!K:K,0)),"")</f>
        <v/>
      </c>
      <c r="AY27" s="49" t="str">
        <f>IFERROR(INDEX(tbHitzones!C:C,MATCH(ROWS(tbHitzones!$1:25),tbHitzones!K:K,0)),"")</f>
        <v/>
      </c>
      <c r="AZ27" s="49" t="str">
        <f>IFERROR(INDEX(tbHitzones!D:D,MATCH(ROWS(tbHitzones!$1:25),tbHitzones!K:K,0)),"")</f>
        <v/>
      </c>
      <c r="BA27" s="49" t="str">
        <f>IFERROR(INDEX(tbHitzones!E:E,MATCH(ROWS(tbHitzones!$1:25),tbHitzones!K:K,0)),"")</f>
        <v/>
      </c>
      <c r="BB27" s="49" t="str">
        <f>IFERROR(INDEX(tbHitzones!F:F,MATCH(ROWS(tbHitzones!$1:25),tbHitzones!K:K,0)),"")</f>
        <v/>
      </c>
      <c r="BC27" s="49" t="str">
        <f>IFERROR(INDEX(tbHitzones!G:G,MATCH(ROWS(tbHitzones!$1:25),tbHitzones!K:K,0)),"")</f>
        <v/>
      </c>
      <c r="BD27" s="49" t="str">
        <f>IFERROR(INDEX(tbHitzones!H:H,MATCH(ROWS(tbHitzones!$1:25),tbHitzones!K:K,0)),"")</f>
        <v/>
      </c>
      <c r="BE27" s="49" t="str">
        <f>IFERROR(INDEX(tbHitzones!I:I,MATCH(ROWS(tbHitzones!$1:25),tbHitzones!K:K,0)),"")</f>
        <v/>
      </c>
      <c r="BF27" s="49" t="str">
        <f>IFERROR(INDEX(tbHitzones!J:J,MATCH(ROWS(tbHitzones!$1:25),tbHitzones!K:K,0)),"")</f>
        <v/>
      </c>
      <c r="BG27" s="49">
        <f>IFERROR(IF(OR(B9="Fire",B11="Fire"),BB27,IF(OR(B9="Water",B11="Water"),BC27,IF(OR(B9="Thunder",B11="Thunder"),BD27,IF(OR(B9="Ice",B11="Ice"),BE27,IF(OR(B9="Dragon",B11="Dragon"),BF27,0))))),"")</f>
        <v>0</v>
      </c>
      <c r="BH27" s="49" t="str">
        <f>IFERROR(INDEX(tbHitzones!L:L,MATCH(ROWS(tbHitzones!$1:25),tbHitzones!K:K,0)),"")</f>
        <v/>
      </c>
      <c r="BI27" s="49" t="str">
        <f>IFERROR(INDEX(tbHitzones!M:M,MATCH(ROWS(tbHitzones!$1:25),tbHitzones!K:K,0)),"")</f>
        <v/>
      </c>
      <c r="BK27" s="49" t="str">
        <f>IFERROR(INDEX(tbHitzones!K:K,MATCH(ROWS(tbHitzones!$1:25),tbHitzones!K:K,0)),"")</f>
        <v/>
      </c>
      <c r="BL27">
        <f>IFERROR(VLOOKUP(Backdoors!A37,BackdoorsMoveset!A2:FQ112,173,FALSE)+VLOOKUP(Backdoors!A38,BackdoorsMoveset!A2:FQ112,173,FALSE)+VLOOKUP(Backdoors!A39,BackdoorsMoveset!A2:FQ112,173,FALSE)+VLOOKUP(Backdoors!A40,BackdoorsMoveset!A2:FQ112,173,FALSE)+VLOOKUP(Backdoors!A41,BackdoorsMoveset!A2:FQ112,173,FALSE)+VLOOKUP(Backdoors!A42,BackdoorsMoveset!A2:FQ112,173,FALSE)+VLOOKUP(Backdoors!A43,BackdoorsMoveset!A2:FQ112,173,FALSE)+VLOOKUP(Backdoors!A44,BackdoorsMoveset!A2:FQ112,173,FALSE)+VLOOKUP(Backdoors!A45,BackdoorsMoveset!A2:FQ112,173,FALSE)+VLOOKUP(Backdoors!A46,BackdoorsMoveset!A2:FQ112,173,FALSE)+VLOOKUP(Backdoors!A47,BackdoorsMoveset!A2:FQ112,173,FALSE)+VLOOKUP(Backdoors!A48,BackdoorsMoveset!A2:FQ112,173,FALSE)+VLOOKUP(Backdoors!A49,BackdoorsMoveset!A2:FQ112,173,FALSE)+VLOOKUP(Backdoors!A50,BackdoorsMoveset!A2:FQ112,173,FALSE)+VLOOKUP(Backdoors!A51,BackdoorsMoveset!A2:FQ112,173,FALSE)+VLOOKUP(Backdoors!A52,BackdoorsMoveset!A2:FQ112,173,FALSE)+VLOOKUP(Backdoors!A53,BackdoorsMoveset!A2:FQ112,173,FALSE)+VLOOKUP(Backdoors!A54,BackdoorsMoveset!A2:FQ112,173,FALSE)+VLOOKUP(Backdoors!A55,BackdoorsMoveset!A2:FQ112,173,FALSE)+VLOOKUP(Backdoors!A56,BackdoorsMoveset!A2:FQ112,173,FALSE)+VLOOKUP(Backdoors!A57,BackdoorsMoveset!A2:FQ112,173,FALSE)+VLOOKUP(Backdoors!A58,BackdoorsMoveset!A2:FQ112,173,FALSE)+VLOOKUP(Backdoors!A59,BackdoorsMoveset!A2:FQ112,173,FALSE)+VLOOKUP(Backdoors!A60,BackdoorsMoveset!A2:FQ112,173,FALSE)+VLOOKUP(Backdoors!A61,BackdoorsMoveset!A2:FQ112,173,FALSE),0)</f>
        <v>0</v>
      </c>
      <c r="BM27">
        <f>IFERROR(VLOOKUP(Backdoors!A37,BackdoorsMoveset!A2:FR112,174,FALSE)+VLOOKUP(Backdoors!A38,BackdoorsMoveset!A2:FR112,174,FALSE)+VLOOKUP(Backdoors!A39,BackdoorsMoveset!A2:FR112,174,FALSE)+VLOOKUP(Backdoors!A40,BackdoorsMoveset!A2:FR112,174,FALSE)+VLOOKUP(Backdoors!A41,BackdoorsMoveset!A2:FR112,174,FALSE)+VLOOKUP(Backdoors!A42,BackdoorsMoveset!A2:FR112,174,FALSE)+VLOOKUP(Backdoors!A43,BackdoorsMoveset!A2:FR112,174,FALSE)+VLOOKUP(Backdoors!A44,BackdoorsMoveset!A2:FR112,174,FALSE)+VLOOKUP(Backdoors!A45,BackdoorsMoveset!A2:FR112,174,FALSE)+VLOOKUP(Backdoors!A46,BackdoorsMoveset!A2:FR112,174,FALSE)+VLOOKUP(Backdoors!A47,BackdoorsMoveset!A2:FR112,174,FALSE)+VLOOKUP(Backdoors!A48,BackdoorsMoveset!A2:FR112,174,FALSE)+VLOOKUP(Backdoors!A49,BackdoorsMoveset!A2:FR112,174,FALSE)+VLOOKUP(Backdoors!A50,BackdoorsMoveset!A2:FR112,174,FALSE)+VLOOKUP(Backdoors!A51,BackdoorsMoveset!A2:FR112,174,FALSE)+VLOOKUP(Backdoors!A52,BackdoorsMoveset!A2:FR112,174,FALSE)+VLOOKUP(Backdoors!A53,BackdoorsMoveset!A2:FR112,174,FALSE)+VLOOKUP(Backdoors!A54,BackdoorsMoveset!A2:FR112,174,FALSE)+VLOOKUP(Backdoors!A55,BackdoorsMoveset!A2:FR112,174,FALSE)+VLOOKUP(Backdoors!A56,BackdoorsMoveset!A2:FR112,174,FALSE)+VLOOKUP(Backdoors!A57,BackdoorsMoveset!A2:FR112,174,FALSE)+VLOOKUP(Backdoors!A58,BackdoorsMoveset!A2:FR112,174,FALSE)+VLOOKUP(Backdoors!A59,BackdoorsMoveset!A2:FR112,174,FALSE)+VLOOKUP(Backdoors!A60,BackdoorsMoveset!A2:FR112,174,FALSE)+VLOOKUP(Backdoors!A61,BackdoorsMoveset!A2:FR112,174,FALSE),0)</f>
        <v>0</v>
      </c>
      <c r="BN27">
        <f>IFERROR(VLOOKUP(Backdoors!A37,BackdoorsMoveset!A2:FT112,176,FALSE)+VLOOKUP(Backdoors!A38,BackdoorsMoveset!A2:FT112,176,FALSE)+VLOOKUP(Backdoors!A39,BackdoorsMoveset!A2:FT112,176,FALSE)+VLOOKUP(Backdoors!A40,BackdoorsMoveset!A2:FT112,176,FALSE)+VLOOKUP(Backdoors!A41,BackdoorsMoveset!A2:FT112,176,FALSE)+VLOOKUP(Backdoors!A42,BackdoorsMoveset!A2:FT112,176,FALSE)+VLOOKUP(Backdoors!A43,BackdoorsMoveset!A2:FT112,176,FALSE)+VLOOKUP(Backdoors!A44,BackdoorsMoveset!A2:FT112,176,FALSE)+VLOOKUP(Backdoors!A45,BackdoorsMoveset!A2:FT112,176,FALSE)+VLOOKUP(Backdoors!A46,BackdoorsMoveset!A2:FT112,176,FALSE)+VLOOKUP(Backdoors!A47,BackdoorsMoveset!A2:FT112,176,FALSE)+VLOOKUP(Backdoors!A48,BackdoorsMoveset!A2:FT112,176,FALSE)+VLOOKUP(Backdoors!A49,BackdoorsMoveset!A2:FT112,176,FALSE)+VLOOKUP(Backdoors!A50,BackdoorsMoveset!A2:FT112,176,FALSE)+VLOOKUP(Backdoors!A51,BackdoorsMoveset!A2:FT112,176,FALSE)+VLOOKUP(Backdoors!A52,BackdoorsMoveset!A2:FT112,176,FALSE)+VLOOKUP(Backdoors!A53,BackdoorsMoveset!A2:FT112,176,FALSE)+VLOOKUP(Backdoors!A54,BackdoorsMoveset!A2:FT112,176,FALSE)+VLOOKUP(Backdoors!A55,BackdoorsMoveset!A2:FT112,176,FALSE)+VLOOKUP(Backdoors!A56,BackdoorsMoveset!A2:FT112,176,FALSE)+VLOOKUP(Backdoors!A57,BackdoorsMoveset!A2:FT112,176,FALSE)+VLOOKUP(Backdoors!A58,BackdoorsMoveset!A2:FT112,176,FALSE)+VLOOKUP(Backdoors!A59,BackdoorsMoveset!A2:FT112,176,FALSE)+VLOOKUP(Backdoors!A60,BackdoorsMoveset!A2:FT112,176,FALSE)+VLOOKUP(Backdoors!A61,BackdoorsMoveset!A2:FT112,176,FALSE),0)</f>
        <v>0</v>
      </c>
      <c r="BO27" s="49">
        <f>IF(BN27=0,0,IF(OR(B9="Poison",$B11="Poison",B2="Light Bowgun",B2="Heavy Bowgun"),ROUND(Backdoors!A36*VLOOKUP(AO7,tbStatus!$A3:$F18,6,FALSE)*IF((AO16*AO42)&gt;1,1,(AO16*AO42)),0),IF(OR(B9="Blast",B11="Blast"),AR325,0)))</f>
        <v>0</v>
      </c>
      <c r="BP27">
        <f t="shared" si="0"/>
        <v>0</v>
      </c>
      <c r="BQ27" s="49" t="str">
        <f>CONCATENATE(AX27,IF(AND(BI27=TRUE,Calculator!B8=TRUE),CONCATENATE(" (Tenderized)"),""),IF(BP27=0,"",CONCATENATE(", ",BP27)))</f>
        <v/>
      </c>
      <c r="BR27" s="49">
        <f>VLOOKUP(Calculator!B4,SavedBuildNumbers!A1:Z73,26,FALSE)</f>
        <v>0</v>
      </c>
      <c r="BS27">
        <f>VLOOKUP(Calculator!B4,SavedBuildNumbers!A1:BO73,67,FALSE)</f>
        <v>0</v>
      </c>
      <c r="BU27" s="49">
        <f>IFERROR(ROUNDDOWN((IF((ROUND((VLOOKUP(tbMoveset!A27,tbMoveset!A2:F112,6,FALSE)+(IF(VLOOKUP(tbMoveset!A27,tbMoveset!A2:F112,6,FALSE)&gt;0,K41,0)))*(1+(IF(VLOOKUP(tbMoveset!A27,tbMoveset!A2:I112,9,FALSE)="Fire",VLOOKUP(Calculator!$E24,tbSkills!$AX3:$AZ9,3,FALSE),IF(VLOOKUP(tbMoveset!A27,tbMoveset!A2:I112,9,FALSE)="Water",VLOOKUP(Calculator!$E25,tbSkills!$AX3:$AZ9,3,FALSE),IF(VLOOKUP(BackdoorsMoveset!A27,tbMoveset!A2:I112,9,FALSE)="Thunder",VLOOKUP(Calculator!$E26,tbSkills!$AX3:$AZ9,3,FALSE),IF(VLOOKUP(tbMoveset!A27,tbMoveset!A2:I112,9,FALSE)="Ice",VLOOKUP(Calculator!$E27,tbSkills!$AX3:$AZ9,3,FALSE),IF(VLOOKUP(tbMoveset!A27,tbMoveset!A2:I112,9,FALSE)="Dragon",VLOOKUP(Calculator!$E28,tbSkills!$AX3:$AZ9,3,FALSE),0)))))/100))*AC7,0)+IF(VLOOKUP(tbMoveset!A27,tbMoveset!A2:F112,6,FALSE)&gt;0,IF(VLOOKUP(tbMoveset!A27,tbMoveset!A2:I112,9,FALSE)="Fire",VLOOKUP(Calculator!$E24,tbSkills!$AX3:$AY9,2,FALSE),IF(VLOOKUP(tbMoveset!A27,tbMoveset!A2:I112,9,FALSE)="Water",VLOOKUP(Calculator!$E25,tbSkills!$AX3:$AY9,2,FALSE),IF(VLOOKUP(tbMoveset!A27,tbMoveset!A2:I112,9,FALSE)="Thunder",VLOOKUP(Calculator!$E26,tbSkills!$AX3:$AY9,2,FALSE),IF(VLOOKUP(tbMoveset!A27,tbMoveset!A2:I112,9,FALSE)="Ice",VLOOKUP(Calculator!$E27,tbSkills!$AX3:$AY9,2,FALSE),IF(VLOOKUP(tbMoveset!A27,tbMoveset!A2:I112,9,FALSE)="Dragon",VLOOKUP(Calculator!$E28,tbSkills!$AX3:$AY9,2,FALSE),0))))),0)/10)&gt;=B34,B34,(ROUND((VLOOKUP(tbMoveset!A27,tbMoveset!A2:F112,6,FALSE)+(IF(VLOOKUP(tbMoveset!A27,tbMoveset!A2:F112,6,FALSE)&gt;0,K41,0)))*(1+(IF(VLOOKUP(tbMoveset!A27,tbMoveset!A2:I112,9,FALSE)="Fire",VLOOKUP(Calculator!$E24,tbSkills!$AX3:$AZ9,3,FALSE),IF(VLOOKUP(tbMoveset!A27,tbMoveset!A2:I112,9,FALSE)="Water",VLOOKUP(Calculator!$E25,tbSkills!$AX3:$AZ9,3,FALSE),IF(VLOOKUP(BackdoorsMoveset!A27,tbMoveset!A2:I112,9,FALSE)="Thunder",VLOOKUP(Calculator!$E26,tbSkills!$AX3:$AZ9,3,FALSE),IF(VLOOKUP(tbMoveset!A27,tbMoveset!A2:I112,9,FALSE)="Ice",VLOOKUP(Calculator!$E27,tbSkills!$AX3:$AZ9,3,FALSE),IF(VLOOKUP(tbMoveset!A27,tbMoveset!A2:I112,9,FALSE)="Dragon",VLOOKUP(Calculator!$E28,tbSkills!$AX3:$AZ9,3,FALSE),0)))))/100))*AC7,0)+IF(VLOOKUP(tbMoveset!A27,tbMoveset!A2:F112,6,FALSE)&gt;0,IF(VLOOKUP(tbMoveset!A27,tbMoveset!A2:I112,9,FALSE)="Fire",VLOOKUP(Calculator!$E24,tbSkills!$AX3:$AY9,2,FALSE),IF(VLOOKUP(tbMoveset!A27,tbMoveset!A2:I112,9,FALSE)="Water",VLOOKUP(Calculator!$E25,tbSkills!$AX3:$AY9,2,FALSE),IF(VLOOKUP(tbMoveset!A27,tbMoveset!A2:I112,9,FALSE)="Thunder",VLOOKUP(Calculator!$E26,tbSkills!$AX3:$AY9,2,FALSE),IF(VLOOKUP(tbMoveset!A27,tbMoveset!A2:I112,9,FALSE)="Ice",VLOOKUP(Calculator!$E27,tbSkills!$AX3:$AY9,2,FALSE),IF(VLOOKUP(tbMoveset!A27,tbMoveset!A2:I112,9,FALSE)="Dragon",VLOOKUP(Calculator!$E28,tbSkills!$AX3:$AY9,2,FALSE),0))))),0)/10))*N6)*AC6,0)*(B30/100),0)</f>
        <v>0</v>
      </c>
    </row>
    <row r="28" spans="1:73" x14ac:dyDescent="0.25">
      <c r="A28" t="s">
        <v>894</v>
      </c>
      <c r="B28">
        <f>ROUND(B4*Z21,0)+Q15</f>
        <v>80</v>
      </c>
      <c r="J28" s="113" t="s">
        <v>857</v>
      </c>
      <c r="K28" s="113"/>
      <c r="AN28" s="49" t="str">
        <f>IFERROR(INDEX(tbHitzones!K:K,MATCH(ROWS(tbHitzones!$1:11),tbHitzones!K:K,0)),"")</f>
        <v/>
      </c>
      <c r="AO28">
        <f>IF(OR(B2="Light Bowgun",B2="Heavy Bowgun"),IF(AI12&gt;=0,1+(IF(Calculator!E40&gt;0,VLOOKUP(Calculator!E40,tbSkills!AI3:AJ5,2,FALSE),AL4)*(IF((AI12+IF(BA13&gt;=0.45,VLOOKUP(Calculator!E23,tbSkills!DH3:DI6,2,FALSE)+IF(AND(Calculator!B8=TRUE,BI13=TRUE),VLOOKUP(Calculator!E23,tbSkills!DH3:DJ6,3,FALSE),0),0))&gt;=100,100,(AI12+IF(BA13&gt;=0.45,VLOOKUP(Calculator!E23,tbSkills!DH3:DI6,2,FALSE)+IF(AND(Calculator!B8=TRUE,BI13=TRUE),VLOOKUP(Calculator!E23,tbSkills!DH3:DJ6,3,FALSE),0),0)))/100)),1),VLOOKUP(Backdoors!A37,BackdoorsMoveset!A2:BY112,77,FALSE)+VLOOKUP(Backdoors!A38,BackdoorsMoveset!A2:BY112,77,FALSE)+VLOOKUP(Backdoors!A39,BackdoorsMoveset!A2:BY112,77,FALSE)+VLOOKUP(Backdoors!A40,BackdoorsMoveset!A2:BY112,77,FALSE)+VLOOKUP(Backdoors!A41,BackdoorsMoveset!A2:BY112,77,FALSE)+VLOOKUP(Backdoors!A42,BackdoorsMoveset!A2:BY112,77,FALSE)+VLOOKUP(Backdoors!A43,BackdoorsMoveset!A2:BY112,77,FALSE)+VLOOKUP(Backdoors!A44,BackdoorsMoveset!A2:BY112,77,FALSE)+VLOOKUP(Backdoors!A45,BackdoorsMoveset!A2:BY112,77,FALSE)+VLOOKUP(Backdoors!A46,BackdoorsMoveset!A2:BY112,77,FALSE)+VLOOKUP(Backdoors!A47,BackdoorsMoveset!A2:BY112,77,FALSE)+VLOOKUP(Backdoors!A48,BackdoorsMoveset!A2:BY112,77,FALSE)+VLOOKUP(Backdoors!A49,BackdoorsMoveset!A2:BY112,77,FALSE)+VLOOKUP(Backdoors!A50,BackdoorsMoveset!A2:BY112,77,FALSE)+VLOOKUP(Backdoors!A51,BackdoorsMoveset!A2:BY112,77,FALSE)+VLOOKUP(Backdoors!A52,BackdoorsMoveset!A2:BY112,77,FALSE)+VLOOKUP(Backdoors!A53,BackdoorsMoveset!A2:BY112,77,FALSE)+VLOOKUP(Backdoors!A54,BackdoorsMoveset!A2:BY112,77,FALSE)+VLOOKUP(Backdoors!A55,BackdoorsMoveset!A2:BY112,77,FALSE)+VLOOKUP(Backdoors!A56,BackdoorsMoveset!A2:BY112,77,FALSE)+VLOOKUP(Backdoors!A57,BackdoorsMoveset!A2:BY112,77,FALSE)+VLOOKUP(Backdoors!A58,BackdoorsMoveset!A2:BY112,77,FALSE)+VLOOKUP(Backdoors!A59,BackdoorsMoveset!A2:BY112,77,FALSE)+VLOOKUP(Backdoors!A60,BackdoorsMoveset!A2:BY112,77,FALSE)+VLOOKUP(Backdoors!A61,BackdoorsMoveset!A2:BY112,77,FALSE))</f>
        <v>14.299999999999999</v>
      </c>
      <c r="AQ28" t="s">
        <v>574</v>
      </c>
      <c r="AR28">
        <f>IFERROR(INDEX(tbHitzones!K:K,MATCH(ROWS(tbHitzones!$1:3),tbHitzones!K:K,0)),"")</f>
        <v>3</v>
      </c>
      <c r="AT28">
        <v>27</v>
      </c>
      <c r="AU28">
        <f>$AU27+IF(AO12+((AO10*26)*AO11)&gt;AO13,AO13,AO12+((AO10*26)*AO11))</f>
        <v>6912</v>
      </c>
      <c r="AW28" s="49" t="str">
        <f>IFERROR(INDEX(tbHitzones!K:K,MATCH(ROWS(tbHitzones!$1:26),tbHitzones!K:K,0)),"")</f>
        <v/>
      </c>
      <c r="AX28" s="49" t="str">
        <f>IFERROR(INDEX(tbHitzones!B:B,MATCH(ROWS(tbHitzones!$1:26),tbHitzones!K:K,0)),"")</f>
        <v/>
      </c>
      <c r="AY28" s="49" t="str">
        <f>IFERROR(INDEX(tbHitzones!C:C,MATCH(ROWS(tbHitzones!$1:26),tbHitzones!K:K,0)),"")</f>
        <v/>
      </c>
      <c r="AZ28" s="49" t="str">
        <f>IFERROR(INDEX(tbHitzones!D:D,MATCH(ROWS(tbHitzones!$1:26),tbHitzones!K:K,0)),"")</f>
        <v/>
      </c>
      <c r="BA28" s="49" t="str">
        <f>IFERROR(INDEX(tbHitzones!E:E,MATCH(ROWS(tbHitzones!$1:26),tbHitzones!K:K,0)),"")</f>
        <v/>
      </c>
      <c r="BB28" s="49" t="str">
        <f>IFERROR(INDEX(tbHitzones!F:F,MATCH(ROWS(tbHitzones!$1:26),tbHitzones!K:K,0)),"")</f>
        <v/>
      </c>
      <c r="BC28" s="49" t="str">
        <f>IFERROR(INDEX(tbHitzones!G:G,MATCH(ROWS(tbHitzones!$1:26),tbHitzones!K:K,0)),"")</f>
        <v/>
      </c>
      <c r="BD28" s="49" t="str">
        <f>IFERROR(INDEX(tbHitzones!H:H,MATCH(ROWS(tbHitzones!$1:26),tbHitzones!K:K,0)),"")</f>
        <v/>
      </c>
      <c r="BE28" s="49" t="str">
        <f>IFERROR(INDEX(tbHitzones!I:I,MATCH(ROWS(tbHitzones!$1:26),tbHitzones!K:K,0)),"")</f>
        <v/>
      </c>
      <c r="BF28" s="49" t="str">
        <f>IFERROR(INDEX(tbHitzones!J:J,MATCH(ROWS(tbHitzones!$1:26),tbHitzones!K:K,0)),"")</f>
        <v/>
      </c>
      <c r="BG28" s="49">
        <f>IFERROR(IF(OR(B9="Fire",B11="Fire"),BB28,IF(OR(B9="Water",B11="Water"),BC28,IF(OR(B9="Thunder",B11="Thunder"),BD28,IF(OR(B9="Ice",B11="Ice"),BE28,IF(OR(B9="Dragon",B11="Dragon"),BF28,0))))),"")</f>
        <v>0</v>
      </c>
      <c r="BH28" s="49" t="str">
        <f>IFERROR(INDEX(tbHitzones!L:L,MATCH(ROWS(tbHitzones!$1:26),tbHitzones!K:K,0)),"")</f>
        <v/>
      </c>
      <c r="BI28" s="49" t="str">
        <f>IFERROR(INDEX(tbHitzones!M:M,MATCH(ROWS(tbHitzones!$1:26),tbHitzones!K:K,0)),"")</f>
        <v/>
      </c>
      <c r="BK28" s="49" t="str">
        <f>IFERROR(INDEX(tbHitzones!K:K,MATCH(ROWS(tbHitzones!$1:26),tbHitzones!K:K,0)),"")</f>
        <v/>
      </c>
      <c r="BL28">
        <f>IFERROR(VLOOKUP(Backdoors!A37,BackdoorsMoveset!A2:FX112,180,FALSE)+VLOOKUP(Backdoors!A38,BackdoorsMoveset!A2:FX112,180,FALSE)+VLOOKUP(Backdoors!A39,BackdoorsMoveset!A2:FX112,180,FALSE)+VLOOKUP(Backdoors!A40,BackdoorsMoveset!A2:FX112,180,FALSE)+VLOOKUP(Backdoors!A41,BackdoorsMoveset!A2:FX112,180,FALSE)+VLOOKUP(Backdoors!A42,BackdoorsMoveset!A2:FX112,180,FALSE)+VLOOKUP(Backdoors!A43,BackdoorsMoveset!A2:FX112,180,FALSE)+VLOOKUP(Backdoors!A44,BackdoorsMoveset!A2:FX112,180,FALSE)+VLOOKUP(Backdoors!A45,BackdoorsMoveset!A2:FX112,180,FALSE)+VLOOKUP(Backdoors!A46,BackdoorsMoveset!A2:FX112,180,FALSE)+VLOOKUP(Backdoors!A47,BackdoorsMoveset!A2:FX112,180,FALSE)+VLOOKUP(Backdoors!A48,BackdoorsMoveset!A2:FX112,180,FALSE)+VLOOKUP(Backdoors!A49,BackdoorsMoveset!A2:FX112,180,FALSE)+VLOOKUP(Backdoors!A50,BackdoorsMoveset!A2:FX112,180,FALSE)+VLOOKUP(Backdoors!A51,BackdoorsMoveset!A2:FX112,180,FALSE)+VLOOKUP(Backdoors!A52,BackdoorsMoveset!A2:FX112,180,FALSE)+VLOOKUP(Backdoors!A53,BackdoorsMoveset!A2:FX112,180,FALSE)+VLOOKUP(Backdoors!A54,BackdoorsMoveset!A2:FX112,180,FALSE)+VLOOKUP(Backdoors!A55,BackdoorsMoveset!A2:FX112,180,FALSE)+VLOOKUP(Backdoors!A56,BackdoorsMoveset!A2:FX112,180,FALSE)+VLOOKUP(Backdoors!A57,BackdoorsMoveset!A2:FX112,180,FALSE)+VLOOKUP(Backdoors!A58,BackdoorsMoveset!A2:FX112,180,FALSE)+VLOOKUP(Backdoors!A59,BackdoorsMoveset!A2:FX112,180,FALSE)+VLOOKUP(Backdoors!A60,BackdoorsMoveset!A2:FX112,180,FALSE)+VLOOKUP(Backdoors!A61,BackdoorsMoveset!A2:FX112,180,FALSE),0)</f>
        <v>0</v>
      </c>
      <c r="BM28">
        <f>IFERROR(VLOOKUP(Backdoors!A37,BackdoorsMoveset!A2:FY112,181,FALSE)+VLOOKUP(Backdoors!A38,BackdoorsMoveset!A2:FY112,181,FALSE)+VLOOKUP(Backdoors!A39,BackdoorsMoveset!A2:FY112,181,FALSE)+VLOOKUP(Backdoors!A40,BackdoorsMoveset!A2:FY112,181,FALSE)+VLOOKUP(Backdoors!A41,BackdoorsMoveset!A2:FY112,181,FALSE)+VLOOKUP(Backdoors!A42,BackdoorsMoveset!A2:FY112,181,FALSE)+VLOOKUP(Backdoors!A43,BackdoorsMoveset!A2:FY112,181,FALSE)+VLOOKUP(Backdoors!A44,BackdoorsMoveset!A2:FY112,181,FALSE)+VLOOKUP(Backdoors!A45,BackdoorsMoveset!A2:FY112,181,FALSE)+VLOOKUP(Backdoors!A46,BackdoorsMoveset!A2:FY112,181,FALSE)+VLOOKUP(Backdoors!A47,BackdoorsMoveset!A2:FY112,181,FALSE)+VLOOKUP(Backdoors!A48,BackdoorsMoveset!A2:FY112,181,FALSE)+VLOOKUP(Backdoors!A49,BackdoorsMoveset!A2:FY112,181,FALSE)+VLOOKUP(Backdoors!A50,BackdoorsMoveset!A2:FY112,181,FALSE)+VLOOKUP(Backdoors!A51,BackdoorsMoveset!A2:FY112,181,FALSE)+VLOOKUP(Backdoors!A52,BackdoorsMoveset!A2:FY112,181,FALSE)+VLOOKUP(Backdoors!A53,BackdoorsMoveset!A2:FY112,181,FALSE)+VLOOKUP(Backdoors!A54,BackdoorsMoveset!A2:FY112,181,FALSE)+VLOOKUP(Backdoors!A55,BackdoorsMoveset!A2:FY112,181,FALSE)+VLOOKUP(Backdoors!A56,BackdoorsMoveset!A2:FY112,181,FALSE)+VLOOKUP(Backdoors!A57,BackdoorsMoveset!A2:FY112,181,FALSE)+VLOOKUP(Backdoors!A58,BackdoorsMoveset!A2:FY112,181,FALSE)+VLOOKUP(Backdoors!A59,BackdoorsMoveset!A2:FY112,181,FALSE)+VLOOKUP(Backdoors!A60,BackdoorsMoveset!A2:FY112,181,FALSE)+VLOOKUP(Backdoors!A61,BackdoorsMoveset!A2:FY112,181,FALSE),0)</f>
        <v>0</v>
      </c>
      <c r="BN28">
        <f>IFERROR(VLOOKUP(Backdoors!A37,BackdoorsMoveset!A2:GA112,183,FALSE)+VLOOKUP(Backdoors!A38,BackdoorsMoveset!A2:GA112,183,FALSE)+VLOOKUP(Backdoors!A39,BackdoorsMoveset!A2:GA112,183,FALSE)+VLOOKUP(Backdoors!A40,BackdoorsMoveset!A2:GA112,183,FALSE)+VLOOKUP(Backdoors!A41,BackdoorsMoveset!A2:GA112,183,FALSE)+VLOOKUP(Backdoors!A42,BackdoorsMoveset!A2:GA112,183,FALSE)+VLOOKUP(Backdoors!A43,BackdoorsMoveset!A2:GA112,183,FALSE)+VLOOKUP(Backdoors!A44,BackdoorsMoveset!A2:GA112,183,FALSE)+VLOOKUP(Backdoors!A45,BackdoorsMoveset!A2:GA112,183,FALSE)+VLOOKUP(Backdoors!A46,BackdoorsMoveset!A2:GA112,183,FALSE)+VLOOKUP(Backdoors!A47,BackdoorsMoveset!A2:GA112,183,FALSE)+VLOOKUP(Backdoors!A48,BackdoorsMoveset!A2:GA112,183,FALSE)+VLOOKUP(Backdoors!A49,BackdoorsMoveset!A2:GA112,183,FALSE)+VLOOKUP(Backdoors!A50,BackdoorsMoveset!A2:GA112,183,FALSE)+VLOOKUP(Backdoors!A51,BackdoorsMoveset!A2:GA112,183,FALSE)+VLOOKUP(Backdoors!A52,BackdoorsMoveset!A2:GA112,183,FALSE)+VLOOKUP(Backdoors!A53,BackdoorsMoveset!A2:GA112,183,FALSE)+VLOOKUP(Backdoors!A54,BackdoorsMoveset!A2:GA112,183,FALSE)+VLOOKUP(Backdoors!A55,BackdoorsMoveset!A2:GA112,183,FALSE)+VLOOKUP(Backdoors!A56,BackdoorsMoveset!A2:GA112,183,FALSE)+VLOOKUP(Backdoors!A57,BackdoorsMoveset!A2:GA112,183,FALSE)+VLOOKUP(Backdoors!A58,BackdoorsMoveset!A2:GA112,183,FALSE)+VLOOKUP(Backdoors!A59,BackdoorsMoveset!A2:GA112,183,FALSE)+VLOOKUP(Backdoors!A60,BackdoorsMoveset!A2:GA112,183,FALSE)+VLOOKUP(Backdoors!A61,BackdoorsMoveset!A2:GA112,183,FALSE),0)</f>
        <v>0</v>
      </c>
      <c r="BO28" s="49">
        <f>IF(BN28=0,0,IF(OR(B9="Poison",$B11="Poison",B2="Light Bowgun",B2="Heavy Bowgun"),ROUND(Backdoors!A36*VLOOKUP(AO7,tbStatus!$A3:$F18,6,FALSE)*IF((AO16*AO43)&gt;1,1,(AO16*AO43)),0),IF(OR(B9="Blast",B11="Blast"),AR338,0)))</f>
        <v>0</v>
      </c>
      <c r="BP28">
        <f t="shared" si="0"/>
        <v>0</v>
      </c>
      <c r="BQ28" s="49" t="str">
        <f>CONCATENATE(AX28,IF(AND(BI28=TRUE,Calculator!B8=TRUE),CONCATENATE(" (Tenderized)"),""),IF(BP28=0,"",CONCATENATE(", ",BP28)))</f>
        <v/>
      </c>
      <c r="BR28" s="49">
        <f>VLOOKUP(Calculator!B4,SavedBuildNumbers!A1:AA73,27,FALSE)</f>
        <v>0</v>
      </c>
      <c r="BS28">
        <f>VLOOKUP(Calculator!B4,SavedBuildNumbers!A1:BP73,68,FALSE)</f>
        <v>0</v>
      </c>
      <c r="BU28" s="49">
        <f>IFERROR(ROUNDDOWN((IF((ROUND((VLOOKUP(tbMoveset!A28,tbMoveset!A2:F112,6,FALSE)+(IF(VLOOKUP(tbMoveset!A28,tbMoveset!A2:F112,6,FALSE)&gt;0,K41,0)))*(1+(IF(VLOOKUP(tbMoveset!A28,tbMoveset!A2:I112,9,FALSE)="Fire",VLOOKUP(Calculator!$E24,tbSkills!$AX3:$AZ9,3,FALSE),IF(VLOOKUP(tbMoveset!A28,tbMoveset!A2:I112,9,FALSE)="Water",VLOOKUP(Calculator!$E25,tbSkills!$AX3:$AZ9,3,FALSE),IF(VLOOKUP(BackdoorsMoveset!A28,tbMoveset!A2:I112,9,FALSE)="Thunder",VLOOKUP(Calculator!$E26,tbSkills!$AX3:$AZ9,3,FALSE),IF(VLOOKUP(tbMoveset!A28,tbMoveset!A2:I112,9,FALSE)="Ice",VLOOKUP(Calculator!$E27,tbSkills!$AX3:$AZ9,3,FALSE),IF(VLOOKUP(tbMoveset!A28,tbMoveset!A2:I112,9,FALSE)="Dragon",VLOOKUP(Calculator!$E28,tbSkills!$AX3:$AZ9,3,FALSE),0)))))/100))*AC7,0)+IF(VLOOKUP(tbMoveset!A28,tbMoveset!A2:F112,6,FALSE)&gt;0,IF(VLOOKUP(tbMoveset!A28,tbMoveset!A2:I112,9,FALSE)="Fire",VLOOKUP(Calculator!$E24,tbSkills!$AX3:$AY9,2,FALSE),IF(VLOOKUP(tbMoveset!A28,tbMoveset!A2:I112,9,FALSE)="Water",VLOOKUP(Calculator!$E25,tbSkills!$AX3:$AY9,2,FALSE),IF(VLOOKUP(tbMoveset!A28,tbMoveset!A2:I112,9,FALSE)="Thunder",VLOOKUP(Calculator!$E26,tbSkills!$AX3:$AY9,2,FALSE),IF(VLOOKUP(tbMoveset!A28,tbMoveset!A2:I112,9,FALSE)="Ice",VLOOKUP(Calculator!$E27,tbSkills!$AX3:$AY9,2,FALSE),IF(VLOOKUP(tbMoveset!A28,tbMoveset!A2:I112,9,FALSE)="Dragon",VLOOKUP(Calculator!$E28,tbSkills!$AX3:$AY9,2,FALSE),0))))),0)/10)&gt;=B34,B34,(ROUND((VLOOKUP(tbMoveset!A28,tbMoveset!A2:F112,6,FALSE)+(IF(VLOOKUP(tbMoveset!A28,tbMoveset!A2:F112,6,FALSE)&gt;0,K41,0)))*(1+(IF(VLOOKUP(tbMoveset!A28,tbMoveset!A2:I112,9,FALSE)="Fire",VLOOKUP(Calculator!$E24,tbSkills!$AX3:$AZ9,3,FALSE),IF(VLOOKUP(tbMoveset!A28,tbMoveset!A2:I112,9,FALSE)="Water",VLOOKUP(Calculator!$E25,tbSkills!$AX3:$AZ9,3,FALSE),IF(VLOOKUP(BackdoorsMoveset!A28,tbMoveset!A2:I112,9,FALSE)="Thunder",VLOOKUP(Calculator!$E26,tbSkills!$AX3:$AZ9,3,FALSE),IF(VLOOKUP(tbMoveset!A28,tbMoveset!A2:I112,9,FALSE)="Ice",VLOOKUP(Calculator!$E27,tbSkills!$AX3:$AZ9,3,FALSE),IF(VLOOKUP(tbMoveset!A28,tbMoveset!A2:I112,9,FALSE)="Dragon",VLOOKUP(Calculator!$E28,tbSkills!$AX3:$AZ9,3,FALSE),0)))))/100))*AC7,0)+IF(VLOOKUP(tbMoveset!A28,tbMoveset!A2:F112,6,FALSE)&gt;0,IF(VLOOKUP(tbMoveset!A28,tbMoveset!A2:I112,9,FALSE)="Fire",VLOOKUP(Calculator!$E24,tbSkills!$AX3:$AY9,2,FALSE),IF(VLOOKUP(tbMoveset!A28,tbMoveset!A2:I112,9,FALSE)="Water",VLOOKUP(Calculator!$E25,tbSkills!$AX3:$AY9,2,FALSE),IF(VLOOKUP(tbMoveset!A28,tbMoveset!A2:I112,9,FALSE)="Thunder",VLOOKUP(Calculator!$E26,tbSkills!$AX3:$AY9,2,FALSE),IF(VLOOKUP(tbMoveset!A28,tbMoveset!A2:I112,9,FALSE)="Ice",VLOOKUP(Calculator!$E27,tbSkills!$AX3:$AY9,2,FALSE),IF(VLOOKUP(tbMoveset!A28,tbMoveset!A2:I112,9,FALSE)="Dragon",VLOOKUP(Calculator!$E28,tbSkills!$AX3:$AY9,2,FALSE),0))))),0)/10))*N6)*AC6,0)*(B30/100),0)</f>
        <v>0</v>
      </c>
    </row>
    <row r="29" spans="1:73" x14ac:dyDescent="0.25">
      <c r="A29" t="s">
        <v>898</v>
      </c>
      <c r="B29">
        <f>ROUNDDOWN((B28*N6)*Z12,0)</f>
        <v>84</v>
      </c>
      <c r="J29" t="s">
        <v>913</v>
      </c>
      <c r="K29">
        <f>IF(AND(Calculator!B34="Defense Increase",B21&gt;=10),1,0)+IF(AND(Calculator!B35="Defense Increase",B21&gt;=10),1,0)+IF(AND(Calculator!B36="Defense Increase",B21&gt;=10),1,0)+IF(AND(Calculator!B37="Defense Increase",B21&gt;=10),1,0)+IF(AND(Calculator!B38="Defense Increase",B21&gt;=10),1,0)+IF(AND(Calculator!B39="Defense Increase",OR(B21=10,B21=11)),1,0)+IF(AND(Calculator!B40="Defense Increase",B21=10),1,0)</f>
        <v>0</v>
      </c>
      <c r="AN29" s="49" t="str">
        <f>IFERROR(INDEX(tbHitzones!K:K,MATCH(ROWS(tbHitzones!$1:12),tbHitzones!K:K,0)),"")</f>
        <v/>
      </c>
      <c r="AO29">
        <f>IF(OR(B2="Light Bowgun",B2="Heavy Bowgun"),IF(AI12&gt;=0,1+(IF(Calculator!E40&gt;0,VLOOKUP(Calculator!E40,tbSkills!AI3:AJ5,2,FALSE),AL4)*(IF((AI12+IF(BA14&gt;=0.45,VLOOKUP(Calculator!E23,tbSkills!DH3:DI6,2,FALSE)+IF(AND(Calculator!B8=TRUE,BI14=TRUE),VLOOKUP(Calculator!E23,tbSkills!DH3:DJ6,3,FALSE),0),0))&gt;=100,100,(AI12+IF(BA14&gt;=0.45,VLOOKUP(Calculator!E23,tbSkills!DH3:DI6,2,FALSE)+IF(AND(Calculator!B8=TRUE,BI14=TRUE),VLOOKUP(Calculator!E23,tbSkills!DH3:DJ6,3,FALSE),0),0)))/100)),1),VLOOKUP(Backdoors!A37,BackdoorsMoveset!A2:CF112,84,FALSE)+VLOOKUP(Backdoors!A38,BackdoorsMoveset!A2:CF112,84,FALSE)+VLOOKUP(Backdoors!A39,BackdoorsMoveset!A2:CF112,84,FALSE)+VLOOKUP(Backdoors!A40,BackdoorsMoveset!A2:CF112,84,FALSE)+VLOOKUP(Backdoors!A41,BackdoorsMoveset!A2:CF112,84,FALSE)+VLOOKUP(Backdoors!A42,BackdoorsMoveset!A2:CF112,84,FALSE)+VLOOKUP(Backdoors!A43,BackdoorsMoveset!A2:CF112,84,FALSE)+VLOOKUP(Backdoors!A44,BackdoorsMoveset!A2:CF112,84,FALSE)+VLOOKUP(Backdoors!A45,BackdoorsMoveset!A2:CF112,84,FALSE)+VLOOKUP(Backdoors!A46,BackdoorsMoveset!A2:CF112,84,FALSE)+VLOOKUP(Backdoors!A47,BackdoorsMoveset!A2:CF112,84,FALSE)+VLOOKUP(Backdoors!A48,BackdoorsMoveset!A2:CF112,84,FALSE)+VLOOKUP(Backdoors!A49,BackdoorsMoveset!A2:CF112,84,FALSE)+VLOOKUP(Backdoors!A50,BackdoorsMoveset!A2:CF112,84,FALSE)+VLOOKUP(Backdoors!A51,BackdoorsMoveset!A2:CF112,84,FALSE)+VLOOKUP(Backdoors!A52,BackdoorsMoveset!A2:CF112,84,FALSE)+VLOOKUP(Backdoors!A53,BackdoorsMoveset!A2:CF112,84,FALSE)+VLOOKUP(Backdoors!A54,BackdoorsMoveset!A2:CF112,84,FALSE)+VLOOKUP(Backdoors!A55,BackdoorsMoveset!A2:CF112,84,FALSE)+VLOOKUP(Backdoors!A56,BackdoorsMoveset!A2:CF112,84,FALSE)+VLOOKUP(Backdoors!A57,BackdoorsMoveset!A2:CF112,84,FALSE)+VLOOKUP(Backdoors!A58,BackdoorsMoveset!A2:CF112,84,FALSE)+VLOOKUP(Backdoors!A59,BackdoorsMoveset!A2:CF112,84,FALSE)+VLOOKUP(Backdoors!A60,BackdoorsMoveset!A2:CF112,84,FALSE)+VLOOKUP(Backdoors!A61,BackdoorsMoveset!A2:CF112,84,FALSE))</f>
        <v>14.299999999999999</v>
      </c>
      <c r="AQ29" t="s">
        <v>234</v>
      </c>
      <c r="AR29">
        <f>IFERROR(N8/BN5,0)</f>
        <v>11.831932773109244</v>
      </c>
      <c r="AT29">
        <v>28</v>
      </c>
      <c r="AU29">
        <f>$AU28+IF(AO12+((AO10*27)*AO11)&gt;AO13,AO13,AO12+((AO10*27)*AO11))</f>
        <v>7308</v>
      </c>
      <c r="AW29" s="49" t="str">
        <f>IFERROR(INDEX(tbHitzones!K:K,MATCH(ROWS(tbHitzones!$1:27),tbHitzones!K:K,0)),"")</f>
        <v/>
      </c>
      <c r="AX29" s="49" t="str">
        <f>IFERROR(INDEX(tbHitzones!B:B,MATCH(ROWS(tbHitzones!$1:27),tbHitzones!K:K,0)),"")</f>
        <v/>
      </c>
      <c r="AY29" s="49" t="str">
        <f>IFERROR(INDEX(tbHitzones!C:C,MATCH(ROWS(tbHitzones!$1:27),tbHitzones!K:K,0)),"")</f>
        <v/>
      </c>
      <c r="AZ29" s="49" t="str">
        <f>IFERROR(INDEX(tbHitzones!D:D,MATCH(ROWS(tbHitzones!$1:27),tbHitzones!K:K,0)),"")</f>
        <v/>
      </c>
      <c r="BA29" s="49" t="str">
        <f>IFERROR(INDEX(tbHitzones!E:E,MATCH(ROWS(tbHitzones!$1:27),tbHitzones!K:K,0)),"")</f>
        <v/>
      </c>
      <c r="BB29" s="49" t="str">
        <f>IFERROR(INDEX(tbHitzones!F:F,MATCH(ROWS(tbHitzones!$1:27),tbHitzones!K:K,0)),"")</f>
        <v/>
      </c>
      <c r="BC29" s="49" t="str">
        <f>IFERROR(INDEX(tbHitzones!G:G,MATCH(ROWS(tbHitzones!$1:27),tbHitzones!K:K,0)),"")</f>
        <v/>
      </c>
      <c r="BD29" s="49" t="str">
        <f>IFERROR(INDEX(tbHitzones!H:H,MATCH(ROWS(tbHitzones!$1:27),tbHitzones!K:K,0)),"")</f>
        <v/>
      </c>
      <c r="BE29" s="49" t="str">
        <f>IFERROR(INDEX(tbHitzones!I:I,MATCH(ROWS(tbHitzones!$1:27),tbHitzones!K:K,0)),"")</f>
        <v/>
      </c>
      <c r="BF29" s="49" t="str">
        <f>IFERROR(INDEX(tbHitzones!J:J,MATCH(ROWS(tbHitzones!$1:27),tbHitzones!K:K,0)),"")</f>
        <v/>
      </c>
      <c r="BG29" s="49">
        <f>IFERROR(IF(OR(B9="Fire",B11="Fire"),BB29,IF(OR(B9="Water",B11="Water"),BC29,IF(OR(B9="Thunder",B11="Thunder"),BD29,IF(OR(B9="Ice",B11="Ice"),BE29,IF(OR(B9="Dragon",B11="Dragon"),BF29,0))))),"")</f>
        <v>0</v>
      </c>
      <c r="BH29" s="49" t="str">
        <f>IFERROR(INDEX(tbHitzones!L:L,MATCH(ROWS(tbHitzones!$1:27),tbHitzones!K:K,0)),"")</f>
        <v/>
      </c>
      <c r="BI29" s="49" t="str">
        <f>IFERROR(INDEX(tbHitzones!M:M,MATCH(ROWS(tbHitzones!$1:27),tbHitzones!K:K,0)),"")</f>
        <v/>
      </c>
      <c r="BK29" s="49" t="str">
        <f>IFERROR(INDEX(tbHitzones!K:K,MATCH(ROWS(tbHitzones!$1:27),tbHitzones!K:K,0)),"")</f>
        <v/>
      </c>
      <c r="BL29">
        <f>IFERROR(VLOOKUP(Backdoors!A37,BackdoorsMoveset!A2:GE112,187,FALSE)+VLOOKUP(Backdoors!A38,BackdoorsMoveset!A2:GE112,187,FALSE)+VLOOKUP(Backdoors!A39,BackdoorsMoveset!A2:GE112,187,FALSE)+VLOOKUP(Backdoors!A40,BackdoorsMoveset!A2:GE112,187,FALSE)+VLOOKUP(Backdoors!A41,BackdoorsMoveset!A2:GE112,187,FALSE)+VLOOKUP(Backdoors!A42,BackdoorsMoveset!A2:GE112,187,FALSE)+VLOOKUP(Backdoors!A43,BackdoorsMoveset!A2:GE112,187,FALSE)+VLOOKUP(Backdoors!A44,BackdoorsMoveset!A2:GE112,187,FALSE)+VLOOKUP(Backdoors!A45,BackdoorsMoveset!A2:GE112,187,FALSE)+VLOOKUP(Backdoors!A46,BackdoorsMoveset!A2:GE112,187,FALSE)+VLOOKUP(Backdoors!A47,BackdoorsMoveset!A2:GE112,187,FALSE)+VLOOKUP(Backdoors!A48,BackdoorsMoveset!A2:GE112,187,FALSE)+VLOOKUP(Backdoors!A49,BackdoorsMoveset!A2:GE112,187,FALSE)+VLOOKUP(Backdoors!A50,BackdoorsMoveset!A2:GE112,187,FALSE)+VLOOKUP(Backdoors!A51,BackdoorsMoveset!A2:GE112,187,FALSE)+VLOOKUP(Backdoors!A52,BackdoorsMoveset!A2:GE112,187,FALSE)+VLOOKUP(Backdoors!A53,BackdoorsMoveset!A2:GE112,187,FALSE)+VLOOKUP(Backdoors!A54,BackdoorsMoveset!A2:GE112,187,FALSE)+VLOOKUP(Backdoors!A55,BackdoorsMoveset!A2:GE112,187,FALSE)+VLOOKUP(Backdoors!A56,BackdoorsMoveset!A2:GE112,187,FALSE)+VLOOKUP(Backdoors!A57,BackdoorsMoveset!A2:GE112,187,FALSE)+VLOOKUP(Backdoors!A58,BackdoorsMoveset!A2:GE112,187,FALSE)+VLOOKUP(Backdoors!A59,BackdoorsMoveset!A2:GE112,187,FALSE)+VLOOKUP(Backdoors!A60,BackdoorsMoveset!A2:GE112,187,FALSE)+VLOOKUP(Backdoors!A61,BackdoorsMoveset!A2:GE112,187,FALSE),0)</f>
        <v>0</v>
      </c>
      <c r="BM29">
        <f>IFERROR(VLOOKUP(Backdoors!A37,BackdoorsMoveset!A2:GF112,188,FALSE)+VLOOKUP(Backdoors!A38,BackdoorsMoveset!A2:GF112,188,FALSE)+VLOOKUP(Backdoors!A39,BackdoorsMoveset!A2:GF112,188,FALSE)+VLOOKUP(Backdoors!A40,BackdoorsMoveset!A2:GF112,188,FALSE)+VLOOKUP(Backdoors!A41,BackdoorsMoveset!A2:GF112,188,FALSE)+VLOOKUP(Backdoors!A42,BackdoorsMoveset!A2:GF112,188,FALSE)+VLOOKUP(Backdoors!A43,BackdoorsMoveset!A2:GF112,188,FALSE)+VLOOKUP(Backdoors!A44,BackdoorsMoveset!A2:GF112,188,FALSE)+VLOOKUP(Backdoors!A45,BackdoorsMoveset!A2:GF112,188,FALSE)+VLOOKUP(Backdoors!A46,BackdoorsMoveset!A2:GF112,188,FALSE)+VLOOKUP(Backdoors!A47,BackdoorsMoveset!A2:GF112,188,FALSE)+VLOOKUP(Backdoors!A48,BackdoorsMoveset!A2:GF112,188,FALSE)+VLOOKUP(Backdoors!A49,BackdoorsMoveset!A2:GF112,188,FALSE)+VLOOKUP(Backdoors!A50,BackdoorsMoveset!A2:GF112,188,FALSE)+VLOOKUP(Backdoors!A51,BackdoorsMoveset!A2:GF112,188,FALSE)+VLOOKUP(Backdoors!A52,BackdoorsMoveset!A2:GF112,188,FALSE)+VLOOKUP(Backdoors!A53,BackdoorsMoveset!A2:GF112,188,FALSE)+VLOOKUP(Backdoors!A54,BackdoorsMoveset!A2:GF112,188,FALSE)+VLOOKUP(Backdoors!A55,BackdoorsMoveset!A2:GF112,188,FALSE)+VLOOKUP(Backdoors!A56,BackdoorsMoveset!A2:GF112,188,FALSE)+VLOOKUP(Backdoors!A57,BackdoorsMoveset!A2:GF112,188,FALSE)+VLOOKUP(Backdoors!A58,BackdoorsMoveset!A2:GF112,188,FALSE)+VLOOKUP(Backdoors!A59,BackdoorsMoveset!A2:GF112,188,FALSE)+VLOOKUP(Backdoors!A60,BackdoorsMoveset!A2:GF112,188,FALSE)+VLOOKUP(Backdoors!A61,BackdoorsMoveset!A2:GF112,188,FALSE),0)</f>
        <v>0</v>
      </c>
      <c r="BN29">
        <f>IFERROR(VLOOKUP(Backdoors!A37,BackdoorsMoveset!A2:GH112,190,FALSE)+VLOOKUP(Backdoors!A38,BackdoorsMoveset!A2:GH112,190,FALSE)+VLOOKUP(Backdoors!A39,BackdoorsMoveset!A2:GH112,190,FALSE)+VLOOKUP(Backdoors!A40,BackdoorsMoveset!A2:GH112,190,FALSE)+VLOOKUP(Backdoors!A41,BackdoorsMoveset!A2:GH112,190,FALSE)+VLOOKUP(Backdoors!A42,BackdoorsMoveset!A2:GH112,190,FALSE)+VLOOKUP(Backdoors!A43,BackdoorsMoveset!A2:GH112,190,FALSE)+VLOOKUP(Backdoors!A44,BackdoorsMoveset!A2:GH112,190,FALSE)+VLOOKUP(Backdoors!A45,BackdoorsMoveset!A2:GH112,190,FALSE)+VLOOKUP(Backdoors!A46,BackdoorsMoveset!A2:GH112,190,FALSE)+VLOOKUP(Backdoors!A47,BackdoorsMoveset!A2:GH112,190,FALSE)+VLOOKUP(Backdoors!A48,BackdoorsMoveset!A2:GH112,190,FALSE)+VLOOKUP(Backdoors!A49,BackdoorsMoveset!A2:GH112,190,FALSE)+VLOOKUP(Backdoors!A50,BackdoorsMoveset!A2:GH112,190,FALSE)+VLOOKUP(Backdoors!A51,BackdoorsMoveset!A2:GH112,190,FALSE)+VLOOKUP(Backdoors!A52,BackdoorsMoveset!A2:GH112,190,FALSE)+VLOOKUP(Backdoors!A53,BackdoorsMoveset!A2:GH112,190,FALSE)+VLOOKUP(Backdoors!A54,BackdoorsMoveset!A2:GH112,190,FALSE)+VLOOKUP(Backdoors!A55,BackdoorsMoveset!A2:GH112,190,FALSE)+VLOOKUP(Backdoors!A56,BackdoorsMoveset!A2:GH112,190,FALSE)+VLOOKUP(Backdoors!A57,BackdoorsMoveset!A2:GH112,190,FALSE)+VLOOKUP(Backdoors!A58,BackdoorsMoveset!A2:GH112,190,FALSE)+VLOOKUP(Backdoors!A59,BackdoorsMoveset!A2:GH112,190,FALSE)+VLOOKUP(Backdoors!A60,BackdoorsMoveset!A2:GH112,190,FALSE)+VLOOKUP(Backdoors!A61,BackdoorsMoveset!A2:GH112,190,FALSE),0)</f>
        <v>0</v>
      </c>
      <c r="BO29" s="49">
        <f>IF(BN29=0,0,IF(OR(B9="Poison",$B11="Poison",B2="Light Bowgun",B2="Heavy Bowgun"),ROUND(Backdoors!A36*VLOOKUP(AO7,tbStatus!$A3:$F18,6,FALSE)*IF((AO16*AO44)&gt;1,1,(AO16*AO44)),0),IF(OR(B9="Blast",B11="Blast"),AR351,0)))</f>
        <v>0</v>
      </c>
      <c r="BP29">
        <f t="shared" si="0"/>
        <v>0</v>
      </c>
      <c r="BQ29" s="49" t="str">
        <f>CONCATENATE(AX29,IF(AND(BI29=TRUE,Calculator!B8=TRUE),CONCATENATE(" (Tenderized)"),""),IF(BP29=0,"",CONCATENATE(", ",BP29)))</f>
        <v/>
      </c>
      <c r="BR29" s="49">
        <f>VLOOKUP(Calculator!B4,SavedBuildNumbers!A1:AB73,28,FALSE)</f>
        <v>0</v>
      </c>
      <c r="BS29">
        <f>VLOOKUP(Calculator!B4,SavedBuildNumbers!A1:BQ73,69,FALSE)</f>
        <v>0</v>
      </c>
      <c r="BU29" s="49">
        <f>IFERROR(ROUNDDOWN((IF((ROUND((VLOOKUP(tbMoveset!A29,tbMoveset!A2:F112,6,FALSE)+(IF(VLOOKUP(tbMoveset!A29,tbMoveset!A2:F112,6,FALSE)&gt;0,K41,0)))*(1+(IF(VLOOKUP(tbMoveset!A29,tbMoveset!A2:I112,9,FALSE)="Fire",VLOOKUP(Calculator!$E24,tbSkills!$AX3:$AZ9,3,FALSE),IF(VLOOKUP(tbMoveset!A29,tbMoveset!A2:I112,9,FALSE)="Water",VLOOKUP(Calculator!$E25,tbSkills!$AX3:$AZ9,3,FALSE),IF(VLOOKUP(BackdoorsMoveset!A29,tbMoveset!A2:I112,9,FALSE)="Thunder",VLOOKUP(Calculator!$E26,tbSkills!$AX3:$AZ9,3,FALSE),IF(VLOOKUP(tbMoveset!A29,tbMoveset!A2:I112,9,FALSE)="Ice",VLOOKUP(Calculator!$E27,tbSkills!$AX3:$AZ9,3,FALSE),IF(VLOOKUP(tbMoveset!A29,tbMoveset!A2:I112,9,FALSE)="Dragon",VLOOKUP(Calculator!$E28,tbSkills!$AX3:$AZ9,3,FALSE),0)))))/100))*AC7,0)+IF(VLOOKUP(tbMoveset!A29,tbMoveset!A2:F112,6,FALSE)&gt;0,IF(VLOOKUP(tbMoveset!A29,tbMoveset!A2:I112,9,FALSE)="Fire",VLOOKUP(Calculator!$E24,tbSkills!$AX3:$AY9,2,FALSE),IF(VLOOKUP(tbMoveset!A29,tbMoveset!A2:I112,9,FALSE)="Water",VLOOKUP(Calculator!$E25,tbSkills!$AX3:$AY9,2,FALSE),IF(VLOOKUP(tbMoveset!A29,tbMoveset!A2:I112,9,FALSE)="Thunder",VLOOKUP(Calculator!$E26,tbSkills!$AX3:$AY9,2,FALSE),IF(VLOOKUP(tbMoveset!A29,tbMoveset!A2:I112,9,FALSE)="Ice",VLOOKUP(Calculator!$E27,tbSkills!$AX3:$AY9,2,FALSE),IF(VLOOKUP(tbMoveset!A29,tbMoveset!A2:I112,9,FALSE)="Dragon",VLOOKUP(Calculator!$E28,tbSkills!$AX3:$AY9,2,FALSE),0))))),0)/10)&gt;=B34,B34,(ROUND((VLOOKUP(tbMoveset!A29,tbMoveset!A2:F112,6,FALSE)+(IF(VLOOKUP(tbMoveset!A29,tbMoveset!A2:F112,6,FALSE)&gt;0,K41,0)))*(1+(IF(VLOOKUP(tbMoveset!A29,tbMoveset!A2:I112,9,FALSE)="Fire",VLOOKUP(Calculator!$E24,tbSkills!$AX3:$AZ9,3,FALSE),IF(VLOOKUP(tbMoveset!A29,tbMoveset!A2:I112,9,FALSE)="Water",VLOOKUP(Calculator!$E25,tbSkills!$AX3:$AZ9,3,FALSE),IF(VLOOKUP(BackdoorsMoveset!A29,tbMoveset!A2:I112,9,FALSE)="Thunder",VLOOKUP(Calculator!$E26,tbSkills!$AX3:$AZ9,3,FALSE),IF(VLOOKUP(tbMoveset!A29,tbMoveset!A2:I112,9,FALSE)="Ice",VLOOKUP(Calculator!$E27,tbSkills!$AX3:$AZ9,3,FALSE),IF(VLOOKUP(tbMoveset!A29,tbMoveset!A2:I112,9,FALSE)="Dragon",VLOOKUP(Calculator!$E28,tbSkills!$AX3:$AZ9,3,FALSE),0)))))/100))*AC7,0)+IF(VLOOKUP(tbMoveset!A29,tbMoveset!A2:F112,6,FALSE)&gt;0,IF(VLOOKUP(tbMoveset!A29,tbMoveset!A2:I112,9,FALSE)="Fire",VLOOKUP(Calculator!$E24,tbSkills!$AX3:$AY9,2,FALSE),IF(VLOOKUP(tbMoveset!A29,tbMoveset!A2:I112,9,FALSE)="Water",VLOOKUP(Calculator!$E25,tbSkills!$AX3:$AY9,2,FALSE),IF(VLOOKUP(tbMoveset!A29,tbMoveset!A2:I112,9,FALSE)="Thunder",VLOOKUP(Calculator!$E26,tbSkills!$AX3:$AY9,2,FALSE),IF(VLOOKUP(tbMoveset!A29,tbMoveset!A2:I112,9,FALSE)="Ice",VLOOKUP(Calculator!$E27,tbSkills!$AX3:$AY9,2,FALSE),IF(VLOOKUP(tbMoveset!A29,tbMoveset!A2:I112,9,FALSE)="Dragon",VLOOKUP(Calculator!$E28,tbSkills!$AX3:$AY9,2,FALSE),0))))),0)/10))*N6)*AC6,0)*(B30/100),0)</f>
        <v>0</v>
      </c>
    </row>
    <row r="30" spans="1:73" x14ac:dyDescent="0.25">
      <c r="A30" t="s">
        <v>901</v>
      </c>
      <c r="B30">
        <f>B4+Q15</f>
        <v>80</v>
      </c>
      <c r="J30" t="s">
        <v>912</v>
      </c>
      <c r="K30">
        <f>IF(AND(Calculator!B34="Health Regen",B21&gt;=10),3,0)+IF(AND(Calculator!B35="Health Regen",B21&gt;=10),3,0)+IF(AND(Calculator!B36="Health Regen",B21&gt;=10),3,0)+IF(AND(Calculator!B37="Health Regen",B21&gt;=10),3,0)+IF(AND(Calculator!B38="Health Regen",B21&gt;=10),3,0)+IF(AND(Calculator!B39="Health Regen",OR(B21=10,B21=11)),3,0)+IF(AND(Calculator!B40="Health Regen",B21=10),3,0)</f>
        <v>0</v>
      </c>
      <c r="AN30" s="49" t="str">
        <f>IFERROR(INDEX(tbHitzones!K:K,MATCH(ROWS(tbHitzones!$1:13),tbHitzones!K:K,0)),"")</f>
        <v/>
      </c>
      <c r="AO30">
        <f>IF(OR(B2="Light Bowgun",B2="Heavy Bowgun"),IF(AI12&gt;=0,1+(IF(Calculator!E40&gt;0,VLOOKUP(Calculator!E40,tbSkills!AI3:AJ5,2,FALSE),AL4)*(IF((AI12+IF(BA15&gt;=0.45,VLOOKUP(Calculator!E23,tbSkills!DH3:DI6,2,FALSE)+IF(AND(Calculator!B8=TRUE,BI15=TRUE),VLOOKUP(Calculator!E23,tbSkills!DH3:DJ6,3,FALSE),0),0))&gt;=100,100,(AI12+IF(BA15&gt;=0.45,VLOOKUP(Calculator!E23,tbSkills!DH3:DI6,2,FALSE)+IF(AND(Calculator!B8=TRUE,BI15=TRUE),VLOOKUP(Calculator!E23,tbSkills!DH3:DJ6,3,FALSE),0),0)))/100)),1),VLOOKUP(Backdoors!A37,BackdoorsMoveset!A2:CM112,91,FALSE)+VLOOKUP(Backdoors!A38,BackdoorsMoveset!A2:CM112,91,FALSE)+VLOOKUP(Backdoors!A39,BackdoorsMoveset!A2:CM112,91,FALSE)+VLOOKUP(Backdoors!A40,BackdoorsMoveset!A2:CM112,91,FALSE)+VLOOKUP(Backdoors!A41,BackdoorsMoveset!A2:CM112,91,FALSE)+VLOOKUP(Backdoors!A42,BackdoorsMoveset!A2:CM112,91,FALSE)+VLOOKUP(Backdoors!A43,BackdoorsMoveset!A2:CM112,91,FALSE)+VLOOKUP(Backdoors!A44,BackdoorsMoveset!A2:CM112,91,FALSE)+VLOOKUP(Backdoors!A45,BackdoorsMoveset!A2:CM112,91,FALSE)+VLOOKUP(Backdoors!A46,BackdoorsMoveset!A2:CM112,91,FALSE)+VLOOKUP(Backdoors!A47,BackdoorsMoveset!A2:CM112,91,FALSE)+VLOOKUP(Backdoors!A48,BackdoorsMoveset!A2:CM112,91,FALSE)+VLOOKUP(Backdoors!A49,BackdoorsMoveset!A2:CM112,91,FALSE)+VLOOKUP(Backdoors!A50,BackdoorsMoveset!A2:CM112,91,FALSE)+VLOOKUP(Backdoors!A51,BackdoorsMoveset!A2:CM112,91,FALSE)+VLOOKUP(Backdoors!A52,BackdoorsMoveset!A2:CM112,91,FALSE)+VLOOKUP(Backdoors!A53,BackdoorsMoveset!A2:CM112,91,FALSE)+VLOOKUP(Backdoors!A54,BackdoorsMoveset!A2:CM112,91,FALSE)+VLOOKUP(Backdoors!A55,BackdoorsMoveset!A2:CM112,91,FALSE)+VLOOKUP(Backdoors!A56,BackdoorsMoveset!A2:CM112,91,FALSE)+VLOOKUP(Backdoors!A57,BackdoorsMoveset!A2:CM112,91,FALSE)+VLOOKUP(Backdoors!A58,BackdoorsMoveset!A2:CM112,91,FALSE)+VLOOKUP(Backdoors!A59,BackdoorsMoveset!A2:CM112,91,FALSE)+VLOOKUP(Backdoors!A60,BackdoorsMoveset!A2:CM112,91,FALSE)+VLOOKUP(Backdoors!A61,BackdoorsMoveset!A2:CM112,91,FALSE))</f>
        <v>14.299999999999999</v>
      </c>
      <c r="AQ30" t="s">
        <v>572</v>
      </c>
      <c r="AR30">
        <f>AO6*AO20</f>
        <v>0</v>
      </c>
      <c r="AT30">
        <v>29</v>
      </c>
      <c r="AU30">
        <f>$AU29+IF(AO12+((AO10*28)*AO11)&gt;AO13,AO13,AO12+((AO10*28)*AO11))</f>
        <v>7704</v>
      </c>
      <c r="AW30" s="49" t="str">
        <f>IFERROR(INDEX(tbHitzones!K:K,MATCH(ROWS(tbHitzones!$1:28),tbHitzones!K:K,0)),"")</f>
        <v/>
      </c>
      <c r="AX30" s="49" t="str">
        <f>IFERROR(INDEX(tbHitzones!B:B,MATCH(ROWS(tbHitzones!$1:28),tbHitzones!K:K,0)),"")</f>
        <v/>
      </c>
      <c r="AY30" s="49" t="str">
        <f>IFERROR(INDEX(tbHitzones!C:C,MATCH(ROWS(tbHitzones!$1:28),tbHitzones!K:K,0)),"")</f>
        <v/>
      </c>
      <c r="AZ30" s="49" t="str">
        <f>IFERROR(INDEX(tbHitzones!D:D,MATCH(ROWS(tbHitzones!$1:28),tbHitzones!K:K,0)),"")</f>
        <v/>
      </c>
      <c r="BA30" s="49" t="str">
        <f>IFERROR(INDEX(tbHitzones!E:E,MATCH(ROWS(tbHitzones!$1:28),tbHitzones!K:K,0)),"")</f>
        <v/>
      </c>
      <c r="BB30" s="49" t="str">
        <f>IFERROR(INDEX(tbHitzones!F:F,MATCH(ROWS(tbHitzones!$1:28),tbHitzones!K:K,0)),"")</f>
        <v/>
      </c>
      <c r="BC30" s="49" t="str">
        <f>IFERROR(INDEX(tbHitzones!G:G,MATCH(ROWS(tbHitzones!$1:28),tbHitzones!K:K,0)),"")</f>
        <v/>
      </c>
      <c r="BD30" s="49" t="str">
        <f>IFERROR(INDEX(tbHitzones!H:H,MATCH(ROWS(tbHitzones!$1:28),tbHitzones!K:K,0)),"")</f>
        <v/>
      </c>
      <c r="BE30" s="49" t="str">
        <f>IFERROR(INDEX(tbHitzones!I:I,MATCH(ROWS(tbHitzones!$1:28),tbHitzones!K:K,0)),"")</f>
        <v/>
      </c>
      <c r="BF30" s="49" t="str">
        <f>IFERROR(INDEX(tbHitzones!J:J,MATCH(ROWS(tbHitzones!$1:28),tbHitzones!K:K,0)),"")</f>
        <v/>
      </c>
      <c r="BG30" s="49">
        <f>IFERROR(IF(OR(B9="Fire",B11="Fire"),BB30,IF(OR(B9="Water",B11="Water"),BC30,IF(OR(B9="Thunder",B11="Thunder"),BD30,IF(OR(B9="Ice",B11="Ice"),BE30,IF(OR(B9="Dragon",B11="Dragon"),BF30,0))))),"")</f>
        <v>0</v>
      </c>
      <c r="BH30" s="49" t="str">
        <f>IFERROR(INDEX(tbHitzones!L:L,MATCH(ROWS(tbHitzones!$1:28),tbHitzones!K:K,0)),"")</f>
        <v/>
      </c>
      <c r="BI30" s="49" t="str">
        <f>IFERROR(INDEX(tbHitzones!M:M,MATCH(ROWS(tbHitzones!$1:28),tbHitzones!K:K,0)),"")</f>
        <v/>
      </c>
      <c r="BK30" s="49" t="str">
        <f>IFERROR(INDEX(tbHitzones!K:K,MATCH(ROWS(tbHitzones!$1:28),tbHitzones!K:K,0)),"")</f>
        <v/>
      </c>
      <c r="BL30">
        <f>IFERROR(VLOOKUP(Backdoors!A37,BackdoorsMoveset!A2:GL112,194,FALSE)+VLOOKUP(Backdoors!A38,BackdoorsMoveset!A2:GL112,194,FALSE)+VLOOKUP(Backdoors!A39,BackdoorsMoveset!A2:GL112,194,FALSE)+VLOOKUP(Backdoors!A40,BackdoorsMoveset!A2:GL112,194,FALSE)+VLOOKUP(Backdoors!A41,BackdoorsMoveset!A2:GL112,194,FALSE)+VLOOKUP(Backdoors!A42,BackdoorsMoveset!A2:GL112,194,FALSE)+VLOOKUP(Backdoors!A43,BackdoorsMoveset!A2:GL112,194,FALSE)+VLOOKUP(Backdoors!A44,BackdoorsMoveset!A2:GL112,194,FALSE)+VLOOKUP(Backdoors!A45,BackdoorsMoveset!A2:GL112,194,FALSE)+VLOOKUP(Backdoors!A46,BackdoorsMoveset!A2:GL112,194,FALSE)+VLOOKUP(Backdoors!A47,BackdoorsMoveset!A2:GL112,194,FALSE)+VLOOKUP(Backdoors!A48,BackdoorsMoveset!A2:GL112,194,FALSE)+VLOOKUP(Backdoors!A49,BackdoorsMoveset!A2:GL112,194,FALSE)+VLOOKUP(Backdoors!A50,BackdoorsMoveset!A2:GL112,194,FALSE)+VLOOKUP(Backdoors!A51,BackdoorsMoveset!A2:GL112,194,FALSE)+VLOOKUP(Backdoors!A52,BackdoorsMoveset!A2:GL112,194,FALSE)+VLOOKUP(Backdoors!A53,BackdoorsMoveset!A2:GL112,194,FALSE)+VLOOKUP(Backdoors!A54,BackdoorsMoveset!A2:GL112,194,FALSE)+VLOOKUP(Backdoors!A55,BackdoorsMoveset!A2:GL112,194,FALSE)+VLOOKUP(Backdoors!A56,BackdoorsMoveset!A2:GL112,194,FALSE)+VLOOKUP(Backdoors!A57,BackdoorsMoveset!A2:GL112,194,FALSE)+VLOOKUP(Backdoors!A58,BackdoorsMoveset!A2:GL112,194,FALSE)+VLOOKUP(Backdoors!A59,BackdoorsMoveset!A2:GL112,194,FALSE)+VLOOKUP(Backdoors!A60,BackdoorsMoveset!A2:GL112,194,FALSE)+VLOOKUP(Backdoors!A61,BackdoorsMoveset!A2:GL112,194,FALSE),0)</f>
        <v>0</v>
      </c>
      <c r="BM30">
        <f>IFERROR(VLOOKUP(Backdoors!A37,BackdoorsMoveset!A2:GM112,195,FALSE)+VLOOKUP(Backdoors!A38,BackdoorsMoveset!A2:GM112,195,FALSE)+VLOOKUP(Backdoors!A39,BackdoorsMoveset!A2:GM112,195,FALSE)+VLOOKUP(Backdoors!A40,BackdoorsMoveset!A2:GM112,195,FALSE)+VLOOKUP(Backdoors!A41,BackdoorsMoveset!A2:GM112,195,FALSE)+VLOOKUP(Backdoors!A42,BackdoorsMoveset!A2:GM112,195,FALSE)+VLOOKUP(Backdoors!A43,BackdoorsMoveset!A2:GM112,195,FALSE)+VLOOKUP(Backdoors!A44,BackdoorsMoveset!A2:GM112,195,FALSE)+VLOOKUP(Backdoors!A45,BackdoorsMoveset!A2:GM112,195,FALSE)+VLOOKUP(Backdoors!A46,BackdoorsMoveset!A2:GM112,195,FALSE)+VLOOKUP(Backdoors!A47,BackdoorsMoveset!A2:GM112,195,FALSE)+VLOOKUP(Backdoors!A48,BackdoorsMoveset!A2:GM112,195,FALSE)+VLOOKUP(Backdoors!A49,BackdoorsMoveset!A2:GM112,195,FALSE)+VLOOKUP(Backdoors!A50,BackdoorsMoveset!A2:GM112,195,FALSE)+VLOOKUP(Backdoors!A51,BackdoorsMoveset!A2:GM112,195,FALSE)+VLOOKUP(Backdoors!A52,BackdoorsMoveset!A2:GM112,195,FALSE)+VLOOKUP(Backdoors!A53,BackdoorsMoveset!A2:GM112,195,FALSE)+VLOOKUP(Backdoors!A54,BackdoorsMoveset!A2:GM112,195,FALSE)+VLOOKUP(Backdoors!A55,BackdoorsMoveset!A2:GM112,195,FALSE)+VLOOKUP(Backdoors!A56,BackdoorsMoveset!A2:GM112,195,FALSE)+VLOOKUP(Backdoors!A57,BackdoorsMoveset!A2:GM112,195,FALSE)+VLOOKUP(Backdoors!A58,BackdoorsMoveset!A2:GM112,195,FALSE)+VLOOKUP(Backdoors!A59,BackdoorsMoveset!A2:GM112,195,FALSE)+VLOOKUP(Backdoors!A60,BackdoorsMoveset!A2:GM112,195,FALSE)+VLOOKUP(Backdoors!A61,BackdoorsMoveset!A2:GM112,195,FALSE),0)</f>
        <v>0</v>
      </c>
      <c r="BN30">
        <f>IFERROR(VLOOKUP(Backdoors!A37,BackdoorsMoveset!A2:GO112,197,FALSE)+VLOOKUP(Backdoors!A38,BackdoorsMoveset!A2:GO112,197,FALSE)+VLOOKUP(Backdoors!A39,BackdoorsMoveset!A2:GO112,197,FALSE)+VLOOKUP(Backdoors!A40,BackdoorsMoveset!A2:GO112,197,FALSE)+VLOOKUP(Backdoors!A41,BackdoorsMoveset!A2:GO112,197,FALSE)+VLOOKUP(Backdoors!A42,BackdoorsMoveset!A2:GO112,197,FALSE)+VLOOKUP(Backdoors!A43,BackdoorsMoveset!A2:GO112,197,FALSE)+VLOOKUP(Backdoors!A44,BackdoorsMoveset!A2:GO112,197,FALSE)+VLOOKUP(Backdoors!A45,BackdoorsMoveset!A2:GO112,197,FALSE)+VLOOKUP(Backdoors!A46,BackdoorsMoveset!A2:GO112,197,FALSE)+VLOOKUP(Backdoors!A47,BackdoorsMoveset!A2:GO112,197,FALSE)+VLOOKUP(Backdoors!A48,BackdoorsMoveset!A2:GO112,197,FALSE)+VLOOKUP(Backdoors!A49,BackdoorsMoveset!A2:GO112,197,FALSE)+VLOOKUP(Backdoors!A50,BackdoorsMoveset!A2:GO112,197,FALSE)+VLOOKUP(Backdoors!A51,BackdoorsMoveset!A2:GO112,197,FALSE)+VLOOKUP(Backdoors!A52,BackdoorsMoveset!A2:GO112,197,FALSE)+VLOOKUP(Backdoors!A53,BackdoorsMoveset!A2:GO112,197,FALSE)+VLOOKUP(Backdoors!A54,BackdoorsMoveset!A2:GO112,197,FALSE)+VLOOKUP(Backdoors!A55,BackdoorsMoveset!A2:GO112,197,FALSE)+VLOOKUP(Backdoors!A56,BackdoorsMoveset!A2:GO112,197,FALSE)+VLOOKUP(Backdoors!A57,BackdoorsMoveset!A2:GO112,197,FALSE)+VLOOKUP(Backdoors!A58,BackdoorsMoveset!A2:GO112,197,FALSE)+VLOOKUP(Backdoors!A59,BackdoorsMoveset!A2:GO112,197,FALSE)+VLOOKUP(Backdoors!A60,BackdoorsMoveset!A2:GO112,197,FALSE)+VLOOKUP(Backdoors!A61,BackdoorsMoveset!A2:GO112,197,FALSE),0)</f>
        <v>0</v>
      </c>
      <c r="BO30" s="49">
        <f>IF(BN30=0,0,IF(OR(B9="Poison",$B11="Poison",B2="Light Bowgun",B2="Heavy Bowgun"),ROUND(Backdoors!A36*VLOOKUP(AO7,tbStatus!$A3:$F18,6,FALSE)*IF((AO16*AO45)&gt;1,1,(AO16*AO45)),0),IF(OR(B9="Blast",B11="Blast"),AR364,0)))</f>
        <v>0</v>
      </c>
      <c r="BP30">
        <f t="shared" si="0"/>
        <v>0</v>
      </c>
      <c r="BQ30" s="49" t="str">
        <f>CONCATENATE(AX30,IF(AND(BI30=TRUE,Calculator!B8=TRUE),CONCATENATE(" (Tenderized)"),""),IF(BP30=0,"",CONCATENATE(", ",BP30)))</f>
        <v/>
      </c>
      <c r="BR30" s="49">
        <f>VLOOKUP(Calculator!B4,SavedBuildNumbers!A1:AC73,29,FALSE)</f>
        <v>0</v>
      </c>
      <c r="BS30">
        <f>VLOOKUP(Calculator!B4,SavedBuildNumbers!A1:BR73,70,FALSE)</f>
        <v>0</v>
      </c>
      <c r="BU30" s="49">
        <f>IFERROR(ROUNDDOWN((IF((ROUND((VLOOKUP(tbMoveset!A30,tbMoveset!A2:F112,6,FALSE)+(IF(VLOOKUP(tbMoveset!A30,tbMoveset!A2:F112,6,FALSE)&gt;0,K41,0)))*(1+(IF(VLOOKUP(tbMoveset!A30,tbMoveset!A2:I112,9,FALSE)="Fire",VLOOKUP(Calculator!$E24,tbSkills!$AX3:$AZ9,3,FALSE),IF(VLOOKUP(tbMoveset!A30,tbMoveset!A2:I112,9,FALSE)="Water",VLOOKUP(Calculator!$E25,tbSkills!$AX3:$AZ9,3,FALSE),IF(VLOOKUP(BackdoorsMoveset!A30,tbMoveset!A2:I112,9,FALSE)="Thunder",VLOOKUP(Calculator!$E26,tbSkills!$AX3:$AZ9,3,FALSE),IF(VLOOKUP(tbMoveset!A30,tbMoveset!A2:I112,9,FALSE)="Ice",VLOOKUP(Calculator!$E27,tbSkills!$AX3:$AZ9,3,FALSE),IF(VLOOKUP(tbMoveset!A30,tbMoveset!A2:I112,9,FALSE)="Dragon",VLOOKUP(Calculator!$E28,tbSkills!$AX3:$AZ9,3,FALSE),0)))))/100))*AC7,0)+IF(VLOOKUP(tbMoveset!A30,tbMoveset!A2:F112,6,FALSE)&gt;0,IF(VLOOKUP(tbMoveset!A30,tbMoveset!A2:I112,9,FALSE)="Fire",VLOOKUP(Calculator!$E24,tbSkills!$AX3:$AY9,2,FALSE),IF(VLOOKUP(tbMoveset!A30,tbMoveset!A2:I112,9,FALSE)="Water",VLOOKUP(Calculator!$E25,tbSkills!$AX3:$AY9,2,FALSE),IF(VLOOKUP(tbMoveset!A30,tbMoveset!A2:I112,9,FALSE)="Thunder",VLOOKUP(Calculator!$E26,tbSkills!$AX3:$AY9,2,FALSE),IF(VLOOKUP(tbMoveset!A30,tbMoveset!A2:I112,9,FALSE)="Ice",VLOOKUP(Calculator!$E27,tbSkills!$AX3:$AY9,2,FALSE),IF(VLOOKUP(tbMoveset!A30,tbMoveset!A2:I112,9,FALSE)="Dragon",VLOOKUP(Calculator!$E28,tbSkills!$AX3:$AY9,2,FALSE),0))))),0)/10)&gt;=B34,B34,(ROUND((VLOOKUP(tbMoveset!A30,tbMoveset!A2:F112,6,FALSE)+(IF(VLOOKUP(tbMoveset!A30,tbMoveset!A2:F112,6,FALSE)&gt;0,K41,0)))*(1+(IF(VLOOKUP(tbMoveset!A30,tbMoveset!A2:I112,9,FALSE)="Fire",VLOOKUP(Calculator!$E24,tbSkills!$AX3:$AZ9,3,FALSE),IF(VLOOKUP(tbMoveset!A30,tbMoveset!A2:I112,9,FALSE)="Water",VLOOKUP(Calculator!$E25,tbSkills!$AX3:$AZ9,3,FALSE),IF(VLOOKUP(BackdoorsMoveset!A30,tbMoveset!A2:I112,9,FALSE)="Thunder",VLOOKUP(Calculator!$E26,tbSkills!$AX3:$AZ9,3,FALSE),IF(VLOOKUP(tbMoveset!A30,tbMoveset!A2:I112,9,FALSE)="Ice",VLOOKUP(Calculator!$E27,tbSkills!$AX3:$AZ9,3,FALSE),IF(VLOOKUP(tbMoveset!A30,tbMoveset!A2:I112,9,FALSE)="Dragon",VLOOKUP(Calculator!$E28,tbSkills!$AX3:$AZ9,3,FALSE),0)))))/100))*AC7,0)+IF(VLOOKUP(tbMoveset!A30,tbMoveset!A2:F112,6,FALSE)&gt;0,IF(VLOOKUP(tbMoveset!A30,tbMoveset!A2:I112,9,FALSE)="Fire",VLOOKUP(Calculator!$E24,tbSkills!$AX3:$AY9,2,FALSE),IF(VLOOKUP(tbMoveset!A30,tbMoveset!A2:I112,9,FALSE)="Water",VLOOKUP(Calculator!$E25,tbSkills!$AX3:$AY9,2,FALSE),IF(VLOOKUP(tbMoveset!A30,tbMoveset!A2:I112,9,FALSE)="Thunder",VLOOKUP(Calculator!$E26,tbSkills!$AX3:$AY9,2,FALSE),IF(VLOOKUP(tbMoveset!A30,tbMoveset!A2:I112,9,FALSE)="Ice",VLOOKUP(Calculator!$E27,tbSkills!$AX3:$AY9,2,FALSE),IF(VLOOKUP(tbMoveset!A30,tbMoveset!A2:I112,9,FALSE)="Dragon",VLOOKUP(Calculator!$E28,tbSkills!$AX3:$AY9,2,FALSE),0))))),0)/10))*N6)*AC6,0)*(B30/100),0)</f>
        <v>0</v>
      </c>
    </row>
    <row r="31" spans="1:73" x14ac:dyDescent="0.25">
      <c r="A31" t="s">
        <v>902</v>
      </c>
      <c r="B31">
        <f>ROUNDDOWN((B30*N6)*Z12,0)</f>
        <v>84</v>
      </c>
      <c r="J31" t="s">
        <v>860</v>
      </c>
      <c r="K31">
        <f>IF(K10=5,3,IF(K10=10,5,IF(K10=15,7,IF(K10=20,9,0))))+IF(K12=10,2,IF(K12=15,4,IF(K12=20,6,IF(K12=25,8,0))))+IF(K14=30,1,IF(OR(K14=60,K14=70),3,IF(OR(K14=90,K14=100),5,IF(OR(K14=120,K14=130),7,0))))+IF(B21=11,K29,IF(K29=4,5,K29))+IF(K30&gt;=12,9,IF(K30=9,7,IF(K30=6,5,IF(K30=3,3,0))))</f>
        <v>0</v>
      </c>
      <c r="AN31" s="49" t="str">
        <f>IFERROR(INDEX(tbHitzones!K:K,MATCH(ROWS(tbHitzones!$1:14),tbHitzones!K:K,0)),"")</f>
        <v/>
      </c>
      <c r="AO31">
        <f>IF(OR(B2="Light Bowgun",B2="Heavy Bowgun"),IF(AI12&gt;=0,1+(IF(Calculator!E40&gt;0,VLOOKUP(Calculator!E40,tbSkills!AI3:AJ5,2,FALSE),AL4)*(IF((AI12+IF(BA16&gt;=0.45,VLOOKUP(Calculator!E23,tbSkills!DH3:DI6,2,FALSE)+IF(AND(Calculator!B8=TRUE,BI16=TRUE),VLOOKUP(Calculator!E23,tbSkills!DH3:DJ6,3,FALSE),0),0))&gt;=100,100,(AI12+IF(BA16&gt;=0.45,VLOOKUP(Calculator!E23,tbSkills!DH3:DI6,2,FALSE)+IF(AND(Calculator!B8=TRUE,BI16=TRUE),VLOOKUP(Calculator!E23,tbSkills!DH3:DJ6,3,FALSE),0),0)))/100)),1),VLOOKUP(Backdoors!A37,BackdoorsMoveset!A2:CT112,98,FALSE)+VLOOKUP(Backdoors!A38,BackdoorsMoveset!A2:CT112,98,FALSE)+VLOOKUP(Backdoors!A39,BackdoorsMoveset!A2:CT112,98,FALSE)+VLOOKUP(Backdoors!A40,BackdoorsMoveset!A2:CT112,98,FALSE)+VLOOKUP(Backdoors!A41,BackdoorsMoveset!A2:CT112,98,FALSE)+VLOOKUP(Backdoors!A42,BackdoorsMoveset!A2:CT112,98,FALSE)+VLOOKUP(Backdoors!A43,BackdoorsMoveset!A2:CT112,98,FALSE)+VLOOKUP(Backdoors!A44,BackdoorsMoveset!A2:CT112,98,FALSE)+VLOOKUP(Backdoors!A45,BackdoorsMoveset!A2:CT112,98,FALSE)+VLOOKUP(Backdoors!A46,BackdoorsMoveset!A2:CT112,98,FALSE)+VLOOKUP(Backdoors!A47,BackdoorsMoveset!A2:CT112,98,FALSE)+VLOOKUP(Backdoors!A48,BackdoorsMoveset!A2:CT112,98,FALSE)+VLOOKUP(Backdoors!A49,BackdoorsMoveset!A2:CT112,98,FALSE)+VLOOKUP(Backdoors!A50,BackdoorsMoveset!A2:CT112,98,FALSE)+VLOOKUP(Backdoors!A51,BackdoorsMoveset!A2:CT112,98,FALSE)+VLOOKUP(Backdoors!A52,BackdoorsMoveset!A2:CT112,98,FALSE)+VLOOKUP(Backdoors!A53,BackdoorsMoveset!A2:CT112,98,FALSE)+VLOOKUP(Backdoors!A54,BackdoorsMoveset!A2:CT112,98,FALSE)+VLOOKUP(Backdoors!A55,BackdoorsMoveset!A2:CT112,98,FALSE)+VLOOKUP(Backdoors!A56,BackdoorsMoveset!A2:CT112,98,FALSE)+VLOOKUP(Backdoors!A57,BackdoorsMoveset!A2:CT112,98,FALSE)+VLOOKUP(Backdoors!A58,BackdoorsMoveset!A2:CT112,98,FALSE)+VLOOKUP(Backdoors!A59,BackdoorsMoveset!A2:CT112,98,FALSE)+VLOOKUP(Backdoors!A60,BackdoorsMoveset!A2:CT112,98,FALSE)+VLOOKUP(Backdoors!A61,BackdoorsMoveset!A2:CT112,98,FALSE))</f>
        <v>14.299999999999999</v>
      </c>
      <c r="AQ31" t="s">
        <v>190</v>
      </c>
      <c r="AR31">
        <f>AR29*AR30</f>
        <v>0</v>
      </c>
      <c r="AT31">
        <v>30</v>
      </c>
      <c r="AU31">
        <f>$AU30+IF(AO12+((AO10*29)*AO11)&gt;AO13,AO13,AO12+((AO10*29)*AO11))</f>
        <v>8100</v>
      </c>
      <c r="AW31" s="49" t="str">
        <f>IFERROR(INDEX(tbHitzones!K:K,MATCH(ROWS(tbHitzones!$1:29),tbHitzones!K:K,0)),"")</f>
        <v/>
      </c>
      <c r="AX31" s="49" t="str">
        <f>IFERROR(INDEX(tbHitzones!B:B,MATCH(ROWS(tbHitzones!$1:29),tbHitzones!K:K,0)),"")</f>
        <v/>
      </c>
      <c r="AY31" s="49" t="str">
        <f>IFERROR(INDEX(tbHitzones!C:C,MATCH(ROWS(tbHitzones!$1:29),tbHitzones!K:K,0)),"")</f>
        <v/>
      </c>
      <c r="AZ31" s="49" t="str">
        <f>IFERROR(INDEX(tbHitzones!D:D,MATCH(ROWS(tbHitzones!$1:29),tbHitzones!K:K,0)),"")</f>
        <v/>
      </c>
      <c r="BA31" s="49" t="str">
        <f>IFERROR(INDEX(tbHitzones!E:E,MATCH(ROWS(tbHitzones!$1:29),tbHitzones!K:K,0)),"")</f>
        <v/>
      </c>
      <c r="BB31" s="49" t="str">
        <f>IFERROR(INDEX(tbHitzones!F:F,MATCH(ROWS(tbHitzones!$1:29),tbHitzones!K:K,0)),"")</f>
        <v/>
      </c>
      <c r="BC31" s="49" t="str">
        <f>IFERROR(INDEX(tbHitzones!G:G,MATCH(ROWS(tbHitzones!$1:29),tbHitzones!K:K,0)),"")</f>
        <v/>
      </c>
      <c r="BD31" s="49" t="str">
        <f>IFERROR(INDEX(tbHitzones!H:H,MATCH(ROWS(tbHitzones!$1:29),tbHitzones!K:K,0)),"")</f>
        <v/>
      </c>
      <c r="BE31" s="49" t="str">
        <f>IFERROR(INDEX(tbHitzones!I:I,MATCH(ROWS(tbHitzones!$1:29),tbHitzones!K:K,0)),"")</f>
        <v/>
      </c>
      <c r="BF31" s="49" t="str">
        <f>IFERROR(INDEX(tbHitzones!J:J,MATCH(ROWS(tbHitzones!$1:29),tbHitzones!K:K,0)),"")</f>
        <v/>
      </c>
      <c r="BG31" s="49">
        <f>IFERROR(IF(OR(B9="Fire",B11="Fire"),BB31,IF(OR(B9="Water",B11="Water"),BC31,IF(OR(B9="Thunder",B11="Thunder"),BD31,IF(OR(B9="Ice",B11="Ice"),BE31,IF(OR(B9="Dragon",B11="Dragon"),BF31,0))))),"")</f>
        <v>0</v>
      </c>
      <c r="BH31" s="49" t="str">
        <f>IFERROR(INDEX(tbHitzones!L:L,MATCH(ROWS(tbHitzones!$1:29),tbHitzones!K:K,0)),"")</f>
        <v/>
      </c>
      <c r="BI31" s="49" t="str">
        <f>IFERROR(INDEX(tbHitzones!M:M,MATCH(ROWS(tbHitzones!$1:29),tbHitzones!K:K,0)),"")</f>
        <v/>
      </c>
      <c r="BK31" s="49" t="str">
        <f>IFERROR(INDEX(tbHitzones!K:K,MATCH(ROWS(tbHitzones!$1:29),tbHitzones!K:K,0)),"")</f>
        <v/>
      </c>
      <c r="BL31">
        <f>IFERROR(VLOOKUP(Backdoors!A37,BackdoorsMoveset!A2:GS112,201,FALSE)+VLOOKUP(Backdoors!A38,BackdoorsMoveset!A2:GS112,201,FALSE)+VLOOKUP(Backdoors!A39,BackdoorsMoveset!A2:GS112,201,FALSE)+VLOOKUP(Backdoors!A40,BackdoorsMoveset!A2:GS112,201,FALSE)+VLOOKUP(Backdoors!A41,BackdoorsMoveset!A2:GS112,201,FALSE)+VLOOKUP(Backdoors!A42,BackdoorsMoveset!A2:GS112,201,FALSE)+VLOOKUP(Backdoors!A43,BackdoorsMoveset!A2:GS112,201,FALSE)+VLOOKUP(Backdoors!A44,BackdoorsMoveset!A2:GS112,201,FALSE)+VLOOKUP(Backdoors!A45,BackdoorsMoveset!A2:GS112,201,FALSE)+VLOOKUP(Backdoors!A46,BackdoorsMoveset!A2:GS112,201,FALSE)+VLOOKUP(Backdoors!A47,BackdoorsMoveset!A2:GS112,201,FALSE)+VLOOKUP(Backdoors!A48,BackdoorsMoveset!A2:GS112,201,FALSE)+VLOOKUP(Backdoors!A49,BackdoorsMoveset!A2:GS112,201,FALSE)+VLOOKUP(Backdoors!A50,BackdoorsMoveset!A2:GS112,201,FALSE)+VLOOKUP(Backdoors!A51,BackdoorsMoveset!A2:GS112,201,FALSE)+VLOOKUP(Backdoors!A52,BackdoorsMoveset!A2:GS112,201,FALSE)+VLOOKUP(Backdoors!A53,BackdoorsMoveset!A2:GS112,201,FALSE)+VLOOKUP(Backdoors!A54,BackdoorsMoveset!A2:GS112,201,FALSE)+VLOOKUP(Backdoors!A55,BackdoorsMoveset!A2:GS112,201,FALSE)+VLOOKUP(Backdoors!A56,BackdoorsMoveset!A2:GS112,201,FALSE)+VLOOKUP(Backdoors!A57,BackdoorsMoveset!A2:GS112,201,FALSE)+VLOOKUP(Backdoors!A58,BackdoorsMoveset!A2:GS112,201,FALSE)+VLOOKUP(Backdoors!A59,BackdoorsMoveset!A2:GS112,201,FALSE)+VLOOKUP(Backdoors!A60,BackdoorsMoveset!A2:GS112,201,FALSE)+VLOOKUP(Backdoors!A61,BackdoorsMoveset!A2:GS112,201,FALSE),0)</f>
        <v>0</v>
      </c>
      <c r="BM31">
        <f>IFERROR(VLOOKUP(Backdoors!A37,BackdoorsMoveset!A2:GT112,202,FALSE)+VLOOKUP(Backdoors!A38,BackdoorsMoveset!A2:GT112,202,FALSE)+VLOOKUP(Backdoors!A39,BackdoorsMoveset!A2:GT112,202,FALSE)+VLOOKUP(Backdoors!A40,BackdoorsMoveset!A2:GT112,202,FALSE)+VLOOKUP(Backdoors!A41,BackdoorsMoveset!A2:GT112,202,FALSE)+VLOOKUP(Backdoors!A42,BackdoorsMoveset!A2:GT112,202,FALSE)+VLOOKUP(Backdoors!A43,BackdoorsMoveset!A2:GT112,202,FALSE)+VLOOKUP(Backdoors!A44,BackdoorsMoveset!A2:GT112,202,FALSE)+VLOOKUP(Backdoors!A45,BackdoorsMoveset!A2:GT112,202,FALSE)+VLOOKUP(Backdoors!A46,BackdoorsMoveset!A2:GT112,202,FALSE)+VLOOKUP(Backdoors!A47,BackdoorsMoveset!A2:GT112,202,FALSE)+VLOOKUP(Backdoors!A48,BackdoorsMoveset!A2:GT112,202,FALSE)+VLOOKUP(Backdoors!A49,BackdoorsMoveset!A2:GT112,202,FALSE)+VLOOKUP(Backdoors!A50,BackdoorsMoveset!A2:GT112,202,FALSE)+VLOOKUP(Backdoors!A51,BackdoorsMoveset!A2:GT112,202,FALSE)+VLOOKUP(Backdoors!A52,BackdoorsMoveset!A2:GT112,202,FALSE)+VLOOKUP(Backdoors!A53,BackdoorsMoveset!A2:GT112,202,FALSE)+VLOOKUP(Backdoors!A54,BackdoorsMoveset!A2:GT112,202,FALSE)+VLOOKUP(Backdoors!A55,BackdoorsMoveset!A2:GT112,202,FALSE)+VLOOKUP(Backdoors!A56,BackdoorsMoveset!A2:GT112,202,FALSE)+VLOOKUP(Backdoors!A57,BackdoorsMoveset!A2:GT112,202,FALSE)+VLOOKUP(Backdoors!A58,BackdoorsMoveset!A2:GT112,202,FALSE)+VLOOKUP(Backdoors!A59,BackdoorsMoveset!A2:GT112,202,FALSE)+VLOOKUP(Backdoors!A60,BackdoorsMoveset!A2:GT112,202,FALSE)+VLOOKUP(Backdoors!A61,BackdoorsMoveset!A2:GT112,202,FALSE),0)</f>
        <v>0</v>
      </c>
      <c r="BN31">
        <f>IFERROR(VLOOKUP(Backdoors!A37,BackdoorsMoveset!A2:GV112,204,FALSE)+VLOOKUP(Backdoors!A38,BackdoorsMoveset!A2:GV112,204,FALSE)+VLOOKUP(Backdoors!A39,BackdoorsMoveset!A2:GV112,204,FALSE)+VLOOKUP(Backdoors!A40,BackdoorsMoveset!A2:GV112,204,FALSE)+VLOOKUP(Backdoors!A41,BackdoorsMoveset!A2:GV112,204,FALSE)+VLOOKUP(Backdoors!A42,BackdoorsMoveset!A2:GV112,204,FALSE)+VLOOKUP(Backdoors!A43,BackdoorsMoveset!A2:GV112,204,FALSE)+VLOOKUP(Backdoors!A44,BackdoorsMoveset!A2:GV112,204,FALSE)+VLOOKUP(Backdoors!A45,BackdoorsMoveset!A2:GV112,204,FALSE)+VLOOKUP(Backdoors!A46,BackdoorsMoveset!A2:GV112,204,FALSE)+VLOOKUP(Backdoors!A47,BackdoorsMoveset!A2:GV112,204,FALSE)+VLOOKUP(Backdoors!A48,BackdoorsMoveset!A2:GV112,204,FALSE)+VLOOKUP(Backdoors!A49,BackdoorsMoveset!A2:GV112,204,FALSE)+VLOOKUP(Backdoors!A50,BackdoorsMoveset!A2:GV112,204,FALSE)+VLOOKUP(Backdoors!A51,BackdoorsMoveset!A2:GV112,204,FALSE)+VLOOKUP(Backdoors!A52,BackdoorsMoveset!A2:GV112,204,FALSE)+VLOOKUP(Backdoors!A53,BackdoorsMoveset!A2:GV112,204,FALSE)+VLOOKUP(Backdoors!A54,BackdoorsMoveset!A2:GV112,204,FALSE)+VLOOKUP(Backdoors!A55,BackdoorsMoveset!A2:GV112,204,FALSE)+VLOOKUP(Backdoors!A56,BackdoorsMoveset!A2:GV112,204,FALSE)+VLOOKUP(Backdoors!A57,BackdoorsMoveset!A2:GV112,204,FALSE)+VLOOKUP(Backdoors!A58,BackdoorsMoveset!A2:GV112,204,FALSE)+VLOOKUP(Backdoors!A59,BackdoorsMoveset!A2:GV112,204,FALSE)+VLOOKUP(Backdoors!A60,BackdoorsMoveset!A2:GV112,204,FALSE)+VLOOKUP(Backdoors!A61,BackdoorsMoveset!A2:GV112,204,FALSE),0)</f>
        <v>0</v>
      </c>
      <c r="BO31" s="49">
        <f>IF(BN31=0,0,IF(OR(B9="Poison",$B11="Poison",B2="Light Bowgun",B2="Heavy Bowgun"),ROUND(Backdoors!A36*VLOOKUP(AO7,tbStatus!$A3:$F18,6,FALSE)*IF((AO16*AO46)&gt;1,1,(AO16*AO46)),0),IF(OR(B9="Blast",B11="Blast"),AR377,0)))</f>
        <v>0</v>
      </c>
      <c r="BP31">
        <f t="shared" si="0"/>
        <v>0</v>
      </c>
      <c r="BQ31" s="49" t="str">
        <f>CONCATENATE(AX31,IF(AND(BI31=TRUE,Calculator!B8=TRUE),CONCATENATE(" (Tenderized)"),""),IF(BP31=0,"",CONCATENATE(", ",BP31)))</f>
        <v/>
      </c>
      <c r="BR31" s="49">
        <f>VLOOKUP(Calculator!B4,SavedBuildNumbers!A1:AD73,30,FALSE)</f>
        <v>0</v>
      </c>
      <c r="BS31">
        <f>VLOOKUP(Calculator!B4,SavedBuildNumbers!A1:BS73,71,FALSE)</f>
        <v>0</v>
      </c>
      <c r="BU31" s="49">
        <f>IFERROR(ROUNDDOWN((IF((ROUND((VLOOKUP(tbMoveset!A31,tbMoveset!A2:F112,6,FALSE)+(IF(VLOOKUP(tbMoveset!A31,tbMoveset!A2:F112,6,FALSE)&gt;0,K41,0)))*(1+(IF(VLOOKUP(tbMoveset!A31,tbMoveset!A2:I112,9,FALSE)="Fire",VLOOKUP(Calculator!$E24,tbSkills!$AX3:$AZ9,3,FALSE),IF(VLOOKUP(tbMoveset!A31,tbMoveset!A2:I112,9,FALSE)="Water",VLOOKUP(Calculator!$E25,tbSkills!$AX3:$AZ9,3,FALSE),IF(VLOOKUP(BackdoorsMoveset!A31,tbMoveset!A2:I112,9,FALSE)="Thunder",VLOOKUP(Calculator!$E26,tbSkills!$AX3:$AZ9,3,FALSE),IF(VLOOKUP(tbMoveset!A31,tbMoveset!A2:I112,9,FALSE)="Ice",VLOOKUP(Calculator!$E27,tbSkills!$AX3:$AZ9,3,FALSE),IF(VLOOKUP(tbMoveset!A31,tbMoveset!A2:I112,9,FALSE)="Dragon",VLOOKUP(Calculator!$E28,tbSkills!$AX3:$AZ9,3,FALSE),0)))))/100))*AC7,0)+IF(VLOOKUP(tbMoveset!A31,tbMoveset!A2:F112,6,FALSE)&gt;0,IF(VLOOKUP(tbMoveset!A31,tbMoveset!A2:I112,9,FALSE)="Fire",VLOOKUP(Calculator!$E24,tbSkills!$AX3:$AY9,2,FALSE),IF(VLOOKUP(tbMoveset!A31,tbMoveset!A2:I112,9,FALSE)="Water",VLOOKUP(Calculator!$E25,tbSkills!$AX3:$AY9,2,FALSE),IF(VLOOKUP(tbMoveset!A31,tbMoveset!A2:I112,9,FALSE)="Thunder",VLOOKUP(Calculator!$E26,tbSkills!$AX3:$AY9,2,FALSE),IF(VLOOKUP(tbMoveset!A31,tbMoveset!A2:I112,9,FALSE)="Ice",VLOOKUP(Calculator!$E27,tbSkills!$AX3:$AY9,2,FALSE),IF(VLOOKUP(tbMoveset!A31,tbMoveset!A2:I112,9,FALSE)="Dragon",VLOOKUP(Calculator!$E28,tbSkills!$AX3:$AY9,2,FALSE),0))))),0)/10)&gt;=B34,B34,(ROUND((VLOOKUP(tbMoveset!A31,tbMoveset!A2:F112,6,FALSE)+(IF(VLOOKUP(tbMoveset!A31,tbMoveset!A2:F112,6,FALSE)&gt;0,K41,0)))*(1+(IF(VLOOKUP(tbMoveset!A31,tbMoveset!A2:I112,9,FALSE)="Fire",VLOOKUP(Calculator!$E24,tbSkills!$AX3:$AZ9,3,FALSE),IF(VLOOKUP(tbMoveset!A31,tbMoveset!A2:I112,9,FALSE)="Water",VLOOKUP(Calculator!$E25,tbSkills!$AX3:$AZ9,3,FALSE),IF(VLOOKUP(BackdoorsMoveset!A31,tbMoveset!A2:I112,9,FALSE)="Thunder",VLOOKUP(Calculator!$E26,tbSkills!$AX3:$AZ9,3,FALSE),IF(VLOOKUP(tbMoveset!A31,tbMoveset!A2:I112,9,FALSE)="Ice",VLOOKUP(Calculator!$E27,tbSkills!$AX3:$AZ9,3,FALSE),IF(VLOOKUP(tbMoveset!A31,tbMoveset!A2:I112,9,FALSE)="Dragon",VLOOKUP(Calculator!$E28,tbSkills!$AX3:$AZ9,3,FALSE),0)))))/100))*AC7,0)+IF(VLOOKUP(tbMoveset!A31,tbMoveset!A2:F112,6,FALSE)&gt;0,IF(VLOOKUP(tbMoveset!A31,tbMoveset!A2:I112,9,FALSE)="Fire",VLOOKUP(Calculator!$E24,tbSkills!$AX3:$AY9,2,FALSE),IF(VLOOKUP(tbMoveset!A31,tbMoveset!A2:I112,9,FALSE)="Water",VLOOKUP(Calculator!$E25,tbSkills!$AX3:$AY9,2,FALSE),IF(VLOOKUP(tbMoveset!A31,tbMoveset!A2:I112,9,FALSE)="Thunder",VLOOKUP(Calculator!$E26,tbSkills!$AX3:$AY9,2,FALSE),IF(VLOOKUP(tbMoveset!A31,tbMoveset!A2:I112,9,FALSE)="Ice",VLOOKUP(Calculator!$E27,tbSkills!$AX3:$AY9,2,FALSE),IF(VLOOKUP(tbMoveset!A31,tbMoveset!A2:I112,9,FALSE)="Dragon",VLOOKUP(Calculator!$E28,tbSkills!$AX3:$AY9,2,FALSE),0))))),0)/10))*N6)*AC6,0)*(B30/100),0)</f>
        <v>0</v>
      </c>
    </row>
    <row r="32" spans="1:73" x14ac:dyDescent="0.25">
      <c r="A32" t="s">
        <v>899</v>
      </c>
      <c r="B32" s="5" t="str">
        <f>CONCATENATE(ROUND(B22*VLOOKUP(VLOOKUP(Calculator!B2,tbWeapons!A2:B271,2,FALSE),tbBloat!A2:B15,2,FALSE),0),"/",ROUND(B24*VLOOKUP(VLOOKUP(Calculator!B2,tbWeapons!A2:B271,2,FALSE),tbBloat!A2:B15,2,FALSE),0),"/",ROUND(B26*VLOOKUP(VLOOKUP(Calculator!B2,tbWeapons!A2:B271,2,FALSE),tbBloat!A2:B15,2,FALSE),0),"/",ROUND(B28*VLOOKUP(VLOOKUP(Calculator!B2,tbWeapons!A2:B271,2,FALSE),tbBloat!A2:B15,2,FALSE),0))</f>
        <v>112/112/112/112</v>
      </c>
      <c r="J32" t="s">
        <v>858</v>
      </c>
      <c r="K32">
        <f>IF(K8=TRUE,IF(Calculator!B34="Slot Upgrade",1,0)+IF(Calculator!B35="Slot Upgrade",1,0)+IF(Calculator!B36="Slot Upgrade",1,0)+IF(Calculator!B37="Slot Upgrade",1,0)+IF(Calculator!B38="Slot Upgrade",1,0)+IF(AND(Calculator!B39="Slot Upgrade",OR(B21=10,B21=11)),1,0)+IF(AND(Calculator!B40="Slot Upgrade",B21=10),1,0),0)</f>
        <v>0</v>
      </c>
      <c r="AN32" s="49" t="str">
        <f>IFERROR(INDEX(tbHitzones!K:K,MATCH(ROWS(tbHitzones!$1:15),tbHitzones!K:K,0)),"")</f>
        <v/>
      </c>
      <c r="AO32">
        <f>IF(OR(B2="Light Bowgun",B2="Heavy Bowgun"),IF(AI12&gt;=0,1+(IF(Calculator!E40&gt;0,VLOOKUP(Calculator!E40,tbSkills!AI3:AJ5,2,FALSE),AL4)*(IF((AI12+IF(BA17&gt;=0.45,VLOOKUP(Calculator!E23,tbSkills!DH3:DI6,2,FALSE)+IF(AND(Calculator!B8=TRUE,BI17=TRUE),VLOOKUP(Calculator!E23,tbSkills!DH3:DJ6,3,FALSE),0),0))&gt;=100,100,(AI12+IF(BA17&gt;=0.45,VLOOKUP(Calculator!E23,tbSkills!DH3:DI6,2,FALSE)+IF(AND(Calculator!B8=TRUE,BI17=TRUE),VLOOKUP(Calculator!E23,tbSkills!DH3:DJ6,3,FALSE),0),0)))/100)),1),VLOOKUP(Backdoors!A37,BackdoorsMoveset!A2:DA112,105,FALSE)+VLOOKUP(Backdoors!A38,BackdoorsMoveset!A2:DA112,105,FALSE)+VLOOKUP(Backdoors!A39,BackdoorsMoveset!A2:DA112,105,FALSE)+VLOOKUP(Backdoors!A40,BackdoorsMoveset!A2:DA112,105,FALSE)+VLOOKUP(Backdoors!A41,BackdoorsMoveset!A2:DA112,105,FALSE)+VLOOKUP(Backdoors!A42,BackdoorsMoveset!A2:DA112,105,FALSE)+VLOOKUP(Backdoors!A43,BackdoorsMoveset!A2:DA112,105,FALSE)+VLOOKUP(Backdoors!A44,BackdoorsMoveset!A2:DA112,105,FALSE)+VLOOKUP(Backdoors!A45,BackdoorsMoveset!A2:DA112,105,FALSE)+VLOOKUP(Backdoors!A46,BackdoorsMoveset!A2:DA112,105,FALSE)+VLOOKUP(Backdoors!A47,BackdoorsMoveset!A2:DA112,105,FALSE)+VLOOKUP(Backdoors!A48,BackdoorsMoveset!A2:DA112,105,FALSE)+VLOOKUP(Backdoors!A49,BackdoorsMoveset!A2:DA112,105,FALSE)+VLOOKUP(Backdoors!A50,BackdoorsMoveset!A2:DA112,105,FALSE)+VLOOKUP(Backdoors!A51,BackdoorsMoveset!A2:DA112,105,FALSE)+VLOOKUP(Backdoors!A52,BackdoorsMoveset!A2:DA112,105,FALSE)+VLOOKUP(Backdoors!A53,BackdoorsMoveset!A2:DA112,105,FALSE)+VLOOKUP(Backdoors!A54,BackdoorsMoveset!A2:DA112,105,FALSE)+VLOOKUP(Backdoors!A55,BackdoorsMoveset!A2:DA112,105,FALSE)+VLOOKUP(Backdoors!A56,BackdoorsMoveset!A2:DA112,105,FALSE)+VLOOKUP(Backdoors!A57,BackdoorsMoveset!A2:DA112,105,FALSE)+VLOOKUP(Backdoors!A58,BackdoorsMoveset!A2:DA112,105,FALSE)+VLOOKUP(Backdoors!A59,BackdoorsMoveset!A2:DA112,105,FALSE)+VLOOKUP(Backdoors!A60,BackdoorsMoveset!A2:DA112,105,FALSE)+VLOOKUP(Backdoors!A61,BackdoorsMoveset!A2:DA112,105,FALSE))</f>
        <v>14.299999999999999</v>
      </c>
      <c r="AQ32" t="s">
        <v>235</v>
      </c>
      <c r="AR32">
        <f>IF($AR31&gt;=$AU51,50,IF($AR31&gt;=$AU50,49,IF($AR31&gt;=$AU49,48,IF($AR31&gt;=$AU48,47,IF($AR31&gt;=$AU47,46,IF($AR31&gt;=$AU46,45,IF($AR31&gt;=$AU45,44,IF($AR31&gt;=$AU44,43,IF($AR31&gt;=$AU43,42,IF($AR31&gt;=$AU42,41,IF($AR31&gt;=$AU41,40,IF($AR31&gt;=$AU40,39,IF($AR31&gt;=$AU39,38,IF($AR31&gt;=$AU38,37,IF($AR31&gt;=$AU37,36,IF($AR31&gt;=$AU36,35,IF($AR31&gt;=$AU35,34,IF($AR31&gt;=$AU34,33,IF($AR31&gt;=$AU33,32,IF($AR31&gt;=$AU32,31,IF($AR31&gt;=$AU31,30,IF($AR31&gt;=$AU30,29,IF($AR31&gt;=$AU29,28,IF($AR31&gt;=$AU28,27,IF($AR31&gt;=$AU27,26,IF($AR31&gt;=$AU26,25,IF($AR31&gt;=$AU25,24,IF($AR31&gt;=$AU24,23,IF($AR31&gt;=$AU23,22,IF($AR31&gt;=$AU22,21,IF($AR31&gt;=$AU21,20,IF($AR31&gt;=$AU20,19,IF($AR31&gt;=$AU19,18,IF($AR31&gt;=$AU18,17,IF($AR31&gt;=$AU17,16,IF($AR31&gt;=$AU16,15,IF($AR31&gt;=$AU15,14,IF($AR31&gt;=$AU14,13,IF($AR31&gt;=$AU13,12,IF($AR31&gt;=$AU12,11,IF($AR31&gt;=$AU11,10,IF($AR31&gt;=$AU10,9,IF($AR31&gt;=$AU9,8,IF($AR31&gt;=$AU8,7,IF($AR31&gt;=$AU7,6,IF($AR31&gt;=$AU6,5,IF($AR31&gt;=$AU5,4,IF($AR31&gt;=$AU4,3,IF($AR31&gt;=$AU3,2,IF($AR31&gt;=$AU2,1,0))))))))))))))))))))))))))))))))))))))))))))))))))</f>
        <v>0</v>
      </c>
      <c r="AT32">
        <v>31</v>
      </c>
      <c r="AU32">
        <f>$AU31+IF(AO12+((AO10*30)*AO11)&gt;AO13,AO13,AO12+((AO10*30)*AO11))</f>
        <v>8496</v>
      </c>
      <c r="AW32" s="49" t="str">
        <f>IFERROR(INDEX(tbHitzones!K:K,MATCH(ROWS(tbHitzones!$1:30),tbHitzones!K:K,0)),"")</f>
        <v/>
      </c>
      <c r="AX32" s="49" t="str">
        <f>IFERROR(INDEX(tbHitzones!B:B,MATCH(ROWS(tbHitzones!$1:30),tbHitzones!K:K,0)),"")</f>
        <v/>
      </c>
      <c r="AY32" s="49" t="str">
        <f>IFERROR(INDEX(tbHitzones!C:C,MATCH(ROWS(tbHitzones!$1:30),tbHitzones!K:K,0)),"")</f>
        <v/>
      </c>
      <c r="AZ32" s="49" t="str">
        <f>IFERROR(INDEX(tbHitzones!D:D,MATCH(ROWS(tbHitzones!$1:30),tbHitzones!K:K,0)),"")</f>
        <v/>
      </c>
      <c r="BA32" s="49" t="str">
        <f>IFERROR(INDEX(tbHitzones!E:E,MATCH(ROWS(tbHitzones!$1:30),tbHitzones!K:K,0)),"")</f>
        <v/>
      </c>
      <c r="BB32" s="49" t="str">
        <f>IFERROR(INDEX(tbHitzones!F:F,MATCH(ROWS(tbHitzones!$1:30),tbHitzones!K:K,0)),"")</f>
        <v/>
      </c>
      <c r="BC32" s="49" t="str">
        <f>IFERROR(INDEX(tbHitzones!G:G,MATCH(ROWS(tbHitzones!$1:30),tbHitzones!K:K,0)),"")</f>
        <v/>
      </c>
      <c r="BD32" s="49" t="str">
        <f>IFERROR(INDEX(tbHitzones!H:H,MATCH(ROWS(tbHitzones!$1:30),tbHitzones!K:K,0)),"")</f>
        <v/>
      </c>
      <c r="BE32" s="49" t="str">
        <f>IFERROR(INDEX(tbHitzones!I:I,MATCH(ROWS(tbHitzones!$1:30),tbHitzones!K:K,0)),"")</f>
        <v/>
      </c>
      <c r="BF32" s="49" t="str">
        <f>IFERROR(INDEX(tbHitzones!J:J,MATCH(ROWS(tbHitzones!$1:30),tbHitzones!K:K,0)),"")</f>
        <v/>
      </c>
      <c r="BG32" s="49">
        <f>IFERROR(IF(OR(B9="Fire",B11="Fire"),BB32,IF(OR(B9="Water",B11="Water"),BC32,IF(OR(B9="Thunder",B11="Thunder"),BD32,IF(OR(B9="Ice",B11="Ice"),BE32,IF(OR(B9="Dragon",B11="Dragon"),BF32,0))))),"")</f>
        <v>0</v>
      </c>
      <c r="BH32" s="49" t="str">
        <f>IFERROR(INDEX(tbHitzones!L:L,MATCH(ROWS(tbHitzones!$1:30),tbHitzones!K:K,0)),"")</f>
        <v/>
      </c>
      <c r="BI32" s="49" t="str">
        <f>IFERROR(INDEX(tbHitzones!M:M,MATCH(ROWS(tbHitzones!$1:30),tbHitzones!K:K,0)),"")</f>
        <v/>
      </c>
      <c r="BK32" s="49" t="str">
        <f>IFERROR(INDEX(tbHitzones!K:K,MATCH(ROWS(tbHitzones!$1:30),tbHitzones!K:K,0)),"")</f>
        <v/>
      </c>
      <c r="BL32">
        <f>IFERROR(VLOOKUP(Backdoors!A37,BackdoorsMoveset!A2:GZ112,208,FALSE)+VLOOKUP(Backdoors!A38,BackdoorsMoveset!A2:GZ112,208,FALSE)+VLOOKUP(Backdoors!A39,BackdoorsMoveset!A2:GZ112,208,FALSE)+VLOOKUP(Backdoors!A40,BackdoorsMoveset!A2:GZ112,208,FALSE)+VLOOKUP(Backdoors!A41,BackdoorsMoveset!A2:GZ112,208,FALSE)+VLOOKUP(Backdoors!A42,BackdoorsMoveset!A2:GZ112,208,FALSE)+VLOOKUP(Backdoors!A43,BackdoorsMoveset!A2:GZ112,208,FALSE)+VLOOKUP(Backdoors!A44,BackdoorsMoveset!A2:GZ112,208,FALSE)+VLOOKUP(Backdoors!A45,BackdoorsMoveset!A2:GZ112,208,FALSE)+VLOOKUP(Backdoors!A46,BackdoorsMoveset!A2:GZ112,208,FALSE)+VLOOKUP(Backdoors!A47,BackdoorsMoveset!A2:GZ112,208,FALSE)+VLOOKUP(Backdoors!A48,BackdoorsMoveset!A2:GZ112,208,FALSE)+VLOOKUP(Backdoors!A49,BackdoorsMoveset!A2:GZ112,208,FALSE)+VLOOKUP(Backdoors!A50,BackdoorsMoveset!A2:GZ112,208,FALSE)+VLOOKUP(Backdoors!A51,BackdoorsMoveset!A2:GZ112,208,FALSE)+VLOOKUP(Backdoors!A52,BackdoorsMoveset!A2:GZ112,208,FALSE)+VLOOKUP(Backdoors!A53,BackdoorsMoveset!A2:GZ112,208,FALSE)+VLOOKUP(Backdoors!A54,BackdoorsMoveset!A2:GZ112,208,FALSE)+VLOOKUP(Backdoors!A55,BackdoorsMoveset!A2:GZ112,208,FALSE)+VLOOKUP(Backdoors!A56,BackdoorsMoveset!A2:GZ112,208,FALSE)+VLOOKUP(Backdoors!A57,BackdoorsMoveset!A2:GZ112,208,FALSE)+VLOOKUP(Backdoors!A58,BackdoorsMoveset!A2:GZ112,208,FALSE)+VLOOKUP(Backdoors!A59,BackdoorsMoveset!A2:GZ112,208,FALSE)+VLOOKUP(Backdoors!A60,BackdoorsMoveset!A2:GZ112,208,FALSE)+VLOOKUP(Backdoors!A61,BackdoorsMoveset!A2:GZ112,208,FALSE),0)</f>
        <v>0</v>
      </c>
      <c r="BM32">
        <f>IFERROR(VLOOKUP(Backdoors!A37,BackdoorsMoveset!A2:HA112,209,FALSE)+VLOOKUP(Backdoors!A38,BackdoorsMoveset!A2:HA112,209,FALSE)+VLOOKUP(Backdoors!A39,BackdoorsMoveset!A2:HA112,209,FALSE)+VLOOKUP(Backdoors!A40,BackdoorsMoveset!A2:HA112,209,FALSE)+VLOOKUP(Backdoors!A41,BackdoorsMoveset!A2:HA112,209,FALSE)+VLOOKUP(Backdoors!A42,BackdoorsMoveset!A2:HA112,209,FALSE)+VLOOKUP(Backdoors!A43,BackdoorsMoveset!A2:HA112,209,FALSE)+VLOOKUP(Backdoors!A44,BackdoorsMoveset!A2:HA112,209,FALSE)+VLOOKUP(Backdoors!A45,BackdoorsMoveset!A2:HA112,209,FALSE)+VLOOKUP(Backdoors!A46,BackdoorsMoveset!A2:HA112,209,FALSE)+VLOOKUP(Backdoors!A47,BackdoorsMoveset!A2:HA112,209,FALSE)+VLOOKUP(Backdoors!A48,BackdoorsMoveset!A2:HA112,209,FALSE)+VLOOKUP(Backdoors!A49,BackdoorsMoveset!A2:HA112,209,FALSE)+VLOOKUP(Backdoors!A50,BackdoorsMoveset!A2:HA112,209,FALSE)+VLOOKUP(Backdoors!A51,BackdoorsMoveset!A2:HA112,209,FALSE)+VLOOKUP(Backdoors!A52,BackdoorsMoveset!A2:HA112,209,FALSE)+VLOOKUP(Backdoors!A53,BackdoorsMoveset!A2:HA112,209,FALSE)+VLOOKUP(Backdoors!A54,BackdoorsMoveset!A2:HA112,209,FALSE)+VLOOKUP(Backdoors!A55,BackdoorsMoveset!A2:HA112,209,FALSE)+VLOOKUP(Backdoors!A56,BackdoorsMoveset!A2:HA112,209,FALSE)+VLOOKUP(Backdoors!A57,BackdoorsMoveset!A2:HA112,209,FALSE)+VLOOKUP(Backdoors!A58,BackdoorsMoveset!A2:HA112,209,FALSE)+VLOOKUP(Backdoors!A59,BackdoorsMoveset!A2:HA112,209,FALSE)+VLOOKUP(Backdoors!A60,BackdoorsMoveset!A2:HA112,209,FALSE)+VLOOKUP(Backdoors!A61,BackdoorsMoveset!A2:HA112,209,FALSE),0)</f>
        <v>0</v>
      </c>
      <c r="BN32">
        <f>IFERROR(VLOOKUP(Backdoors!A37,BackdoorsMoveset!A2:HC112,211,FALSE)+VLOOKUP(Backdoors!A38,BackdoorsMoveset!A2:HC112,211,FALSE)+VLOOKUP(Backdoors!A39,BackdoorsMoveset!A2:HC112,211,FALSE)+VLOOKUP(Backdoors!A40,BackdoorsMoveset!A2:HC112,211,FALSE)+VLOOKUP(Backdoors!A41,BackdoorsMoveset!A2:HC112,211,FALSE)+VLOOKUP(Backdoors!A42,BackdoorsMoveset!A2:HC112,211,FALSE)+VLOOKUP(Backdoors!A43,BackdoorsMoveset!A2:HC112,211,FALSE)+VLOOKUP(Backdoors!A44,BackdoorsMoveset!A2:HC112,211,FALSE)+VLOOKUP(Backdoors!A45,BackdoorsMoveset!A2:HC112,211,FALSE)+VLOOKUP(Backdoors!A46,BackdoorsMoveset!A2:HC112,211,FALSE)+VLOOKUP(Backdoors!A47,BackdoorsMoveset!A2:HC112,211,FALSE)+VLOOKUP(Backdoors!A48,BackdoorsMoveset!A2:HC112,211,FALSE)+VLOOKUP(Backdoors!A49,BackdoorsMoveset!A2:HC112,211,FALSE)+VLOOKUP(Backdoors!A50,BackdoorsMoveset!A2:HC112,211,FALSE)+VLOOKUP(Backdoors!A51,BackdoorsMoveset!A2:HC112,211,FALSE)+VLOOKUP(Backdoors!A52,BackdoorsMoveset!A2:HC112,211,FALSE)+VLOOKUP(Backdoors!A53,BackdoorsMoveset!A2:HC112,211,FALSE)+VLOOKUP(Backdoors!A54,BackdoorsMoveset!A2:HC112,211,FALSE)+VLOOKUP(Backdoors!A55,BackdoorsMoveset!A2:HC112,211,FALSE)+VLOOKUP(Backdoors!A56,BackdoorsMoveset!A2:HC112,211,FALSE)+VLOOKUP(Backdoors!A57,BackdoorsMoveset!A2:HC112,211,FALSE)+VLOOKUP(Backdoors!A58,BackdoorsMoveset!A2:HC112,211,FALSE)+VLOOKUP(Backdoors!A59,BackdoorsMoveset!A2:HC112,211,FALSE)+VLOOKUP(Backdoors!A60,BackdoorsMoveset!A2:HC112,211,FALSE)+VLOOKUP(Backdoors!A61,BackdoorsMoveset!A2:HC112,211,FALSE),0)</f>
        <v>0</v>
      </c>
      <c r="BO32" s="49">
        <f>IF(BN32=0,0,IF(OR(B9="Poison",$B11="Poison",B2="Light Bowgun",B2="Heavy Bowgun"),ROUND(Backdoors!A36*VLOOKUP(AO7,tbStatus!$A3:$F18,6,FALSE)*IF((AO16*AO47)&gt;1,1,(AO16*AO47)),0),IF(OR(B9="Blast",B11="Blast"),AR390,0)))</f>
        <v>0</v>
      </c>
      <c r="BP32">
        <f t="shared" si="0"/>
        <v>0</v>
      </c>
      <c r="BQ32" s="49" t="str">
        <f>CONCATENATE(AX32,IF(AND(BI32=TRUE,Calculator!B8=TRUE),CONCATENATE(" (Tenderized)"),""),IF(BP32=0,"",CONCATENATE(", ",BP32)))</f>
        <v/>
      </c>
      <c r="BR32" s="49">
        <f>VLOOKUP(Calculator!B4,SavedBuildNumbers!A1:AS73,31,FALSE)</f>
        <v>0</v>
      </c>
      <c r="BS32">
        <f>VLOOKUP(Calculator!B4,SavedBuildNumbers!A1:BT73,72,FALSE)</f>
        <v>0</v>
      </c>
      <c r="BU32" s="49">
        <f>IFERROR(ROUNDDOWN((IF((ROUND((VLOOKUP(tbMoveset!A32,tbMoveset!A2:F112,6,FALSE)+(IF(VLOOKUP(tbMoveset!A32,tbMoveset!A2:F112,6,FALSE)&gt;0,K41,0)))*(1+(IF(VLOOKUP(tbMoveset!A32,tbMoveset!A2:I112,9,FALSE)="Fire",VLOOKUP(Calculator!$E24,tbSkills!$AX3:$AZ9,3,FALSE),IF(VLOOKUP(tbMoveset!A32,tbMoveset!A2:I112,9,FALSE)="Water",VLOOKUP(Calculator!$E25,tbSkills!$AX3:$AZ9,3,FALSE),IF(VLOOKUP(BackdoorsMoveset!A32,tbMoveset!A2:I112,9,FALSE)="Thunder",VLOOKUP(Calculator!$E26,tbSkills!$AX3:$AZ9,3,FALSE),IF(VLOOKUP(tbMoveset!A32,tbMoveset!A2:I112,9,FALSE)="Ice",VLOOKUP(Calculator!$E27,tbSkills!$AX3:$AZ9,3,FALSE),IF(VLOOKUP(tbMoveset!A32,tbMoveset!A2:I112,9,FALSE)="Dragon",VLOOKUP(Calculator!$E28,tbSkills!$AX3:$AZ9,3,FALSE),0)))))/100))*AC7,0)+IF(VLOOKUP(tbMoveset!A32,tbMoveset!A2:F112,6,FALSE)&gt;0,IF(VLOOKUP(tbMoveset!A32,tbMoveset!A2:I112,9,FALSE)="Fire",VLOOKUP(Calculator!$E24,tbSkills!$AX3:$AY9,2,FALSE),IF(VLOOKUP(tbMoveset!A32,tbMoveset!A2:I112,9,FALSE)="Water",VLOOKUP(Calculator!$E25,tbSkills!$AX3:$AY9,2,FALSE),IF(VLOOKUP(tbMoveset!A32,tbMoveset!A2:I112,9,FALSE)="Thunder",VLOOKUP(Calculator!$E26,tbSkills!$AX3:$AY9,2,FALSE),IF(VLOOKUP(tbMoveset!A32,tbMoveset!A2:I112,9,FALSE)="Ice",VLOOKUP(Calculator!$E27,tbSkills!$AX3:$AY9,2,FALSE),IF(VLOOKUP(tbMoveset!A32,tbMoveset!A2:I112,9,FALSE)="Dragon",VLOOKUP(Calculator!$E28,tbSkills!$AX3:$AY9,2,FALSE),0))))),0)/10)&gt;=B34,B34,(ROUND((VLOOKUP(tbMoveset!A32,tbMoveset!A2:F112,6,FALSE)+(IF(VLOOKUP(tbMoveset!A32,tbMoveset!A2:F112,6,FALSE)&gt;0,K41,0)))*(1+(IF(VLOOKUP(tbMoveset!A32,tbMoveset!A2:I112,9,FALSE)="Fire",VLOOKUP(Calculator!$E24,tbSkills!$AX3:$AZ9,3,FALSE),IF(VLOOKUP(tbMoveset!A32,tbMoveset!A2:I112,9,FALSE)="Water",VLOOKUP(Calculator!$E25,tbSkills!$AX3:$AZ9,3,FALSE),IF(VLOOKUP(BackdoorsMoveset!A32,tbMoveset!A2:I112,9,FALSE)="Thunder",VLOOKUP(Calculator!$E26,tbSkills!$AX3:$AZ9,3,FALSE),IF(VLOOKUP(tbMoveset!A32,tbMoveset!A2:I112,9,FALSE)="Ice",VLOOKUP(Calculator!$E27,tbSkills!$AX3:$AZ9,3,FALSE),IF(VLOOKUP(tbMoveset!A32,tbMoveset!A2:I112,9,FALSE)="Dragon",VLOOKUP(Calculator!$E28,tbSkills!$AX3:$AZ9,3,FALSE),0)))))/100))*AC7,0)+IF(VLOOKUP(tbMoveset!A32,tbMoveset!A2:F112,6,FALSE)&gt;0,IF(VLOOKUP(tbMoveset!A32,tbMoveset!A2:I112,9,FALSE)="Fire",VLOOKUP(Calculator!$E24,tbSkills!$AX3:$AY9,2,FALSE),IF(VLOOKUP(tbMoveset!A32,tbMoveset!A2:I112,9,FALSE)="Water",VLOOKUP(Calculator!$E25,tbSkills!$AX3:$AY9,2,FALSE),IF(VLOOKUP(tbMoveset!A32,tbMoveset!A2:I112,9,FALSE)="Thunder",VLOOKUP(Calculator!$E26,tbSkills!$AX3:$AY9,2,FALSE),IF(VLOOKUP(tbMoveset!A32,tbMoveset!A2:I112,9,FALSE)="Ice",VLOOKUP(Calculator!$E27,tbSkills!$AX3:$AY9,2,FALSE),IF(VLOOKUP(tbMoveset!A32,tbMoveset!A2:I112,9,FALSE)="Dragon",VLOOKUP(Calculator!$E28,tbSkills!$AX3:$AY9,2,FALSE),0))))),0)/10))*N6)*AC6,0)*(B30/100),0)</f>
        <v>0</v>
      </c>
    </row>
    <row r="33" spans="1:73" x14ac:dyDescent="0.25">
      <c r="A33" t="s">
        <v>1538</v>
      </c>
      <c r="B33">
        <f>((ROUND(B3/VLOOKUP(B2,tbBloat!A2:B15,2,FALSE),0))+K24+K48)*2</f>
        <v>160</v>
      </c>
      <c r="J33" t="s">
        <v>850</v>
      </c>
      <c r="K33">
        <f>IF(B21=12,IF(K32&gt;=2,2,0),IF(K32&gt;=4,4,K32))</f>
        <v>0</v>
      </c>
      <c r="AN33" s="49" t="str">
        <f>IFERROR(INDEX(tbHitzones!K:K,MATCH(ROWS(tbHitzones!$1:16),tbHitzones!K:K,0)),"")</f>
        <v/>
      </c>
      <c r="AO33">
        <f>IF(OR(B2="Light Bowgun",B2="Heavy Bowgun"),IF(AI12&gt;=0,1+(IF(Calculator!E40&gt;0,VLOOKUP(Calculator!E40,tbSkills!AI3:AJ5,2,FALSE),AL4)*(IF((AI12+IF(BA18&gt;=0.45,VLOOKUP(Calculator!E23,tbSkills!DH3:DI6,2,FALSE)+IF(AND(Calculator!B8=TRUE,BI18=TRUE),VLOOKUP(Calculator!E23,tbSkills!DH3:DJ6,3,FALSE),0),0))&gt;=100,100,(AI12+IF(BA18&gt;=0.45,VLOOKUP(Calculator!E23,tbSkills!DH3:DI6,2,FALSE)+IF(AND(Calculator!B8=TRUE,BI18=TRUE),VLOOKUP(Calculator!E23,tbSkills!DH3:DJ6,3,FALSE),0),0)))/100)),1),VLOOKUP(Backdoors!A37,BackdoorsMoveset!A2:DH112,112,FALSE)+VLOOKUP(Backdoors!A38,BackdoorsMoveset!A2:DH112,112,FALSE)+VLOOKUP(Backdoors!A39,BackdoorsMoveset!A2:DH112,112,FALSE)+VLOOKUP(Backdoors!A40,BackdoorsMoveset!A2:DH112,112,FALSE)+VLOOKUP(Backdoors!A41,BackdoorsMoveset!A2:DH112,112,FALSE)+VLOOKUP(Backdoors!A42,BackdoorsMoveset!A2:DH112,112,FALSE)+VLOOKUP(Backdoors!A43,BackdoorsMoveset!A2:DH112,112,FALSE)+VLOOKUP(Backdoors!A44,BackdoorsMoveset!A2:DH112,112,FALSE)+VLOOKUP(Backdoors!A45,BackdoorsMoveset!A2:DH112,112,FALSE)+VLOOKUP(Backdoors!A46,BackdoorsMoveset!A2:DH112,112,FALSE)+VLOOKUP(Backdoors!A47,BackdoorsMoveset!A2:DH112,112,FALSE)+VLOOKUP(Backdoors!A48,BackdoorsMoveset!A2:DH112,112,FALSE)+VLOOKUP(Backdoors!A49,BackdoorsMoveset!A2:DH112,112,FALSE)+VLOOKUP(Backdoors!A50,BackdoorsMoveset!A2:DH112,112,FALSE)+VLOOKUP(Backdoors!A51,BackdoorsMoveset!A2:DH112,112,FALSE)+VLOOKUP(Backdoors!A52,BackdoorsMoveset!A2:DH112,112,FALSE)+VLOOKUP(Backdoors!A53,BackdoorsMoveset!A2:DH112,112,FALSE)+VLOOKUP(Backdoors!A54,BackdoorsMoveset!A2:DH112,112,FALSE)+VLOOKUP(Backdoors!A55,BackdoorsMoveset!A2:DH112,112,FALSE)+VLOOKUP(Backdoors!A56,BackdoorsMoveset!A2:DH112,112,FALSE)+VLOOKUP(Backdoors!A57,BackdoorsMoveset!A2:DH112,112,FALSE)+VLOOKUP(Backdoors!A58,BackdoorsMoveset!A2:DH112,112,FALSE)+VLOOKUP(Backdoors!A59,BackdoorsMoveset!A2:DH112,112,FALSE)+VLOOKUP(Backdoors!A60,BackdoorsMoveset!A2:DH112,112,FALSE)+VLOOKUP(Backdoors!A61,BackdoorsMoveset!A2:DH112,112,FALSE))</f>
        <v>14.299999999999999</v>
      </c>
      <c r="AQ33" t="s">
        <v>236</v>
      </c>
      <c r="AR33">
        <f>AR32*VLOOKUP(AO8,tbStatus!A22:E33,5,FALSE)</f>
        <v>0</v>
      </c>
      <c r="AT33">
        <v>32</v>
      </c>
      <c r="AU33">
        <f>$AU32+IF(AO12+((AO10*31)*AO11)&gt;AO13,AO13,AO12+((AO10*31)*AO11))</f>
        <v>8892</v>
      </c>
      <c r="AW33" s="49" t="str">
        <f>IFERROR(INDEX(tbHitzones!K:K,MATCH(ROWS(tbHitzones!$1:31),tbHitzones!K:K,0)),"")</f>
        <v/>
      </c>
      <c r="AX33" s="49" t="str">
        <f>IFERROR(INDEX(tbHitzones!B:B,MATCH(ROWS(tbHitzones!$1:31),tbHitzones!K:K,0)),"")</f>
        <v/>
      </c>
      <c r="AY33" s="49" t="str">
        <f>IFERROR(INDEX(tbHitzones!C:C,MATCH(ROWS(tbHitzones!$1:31),tbHitzones!K:K,0)),"")</f>
        <v/>
      </c>
      <c r="AZ33" s="49" t="str">
        <f>IFERROR(INDEX(tbHitzones!D:D,MATCH(ROWS(tbHitzones!$1:31),tbHitzones!K:K,0)),"")</f>
        <v/>
      </c>
      <c r="BA33" s="49" t="str">
        <f>IFERROR(INDEX(tbHitzones!E:E,MATCH(ROWS(tbHitzones!$1:31),tbHitzones!K:K,0)),"")</f>
        <v/>
      </c>
      <c r="BB33" s="49" t="str">
        <f>IFERROR(INDEX(tbHitzones!F:F,MATCH(ROWS(tbHitzones!$1:31),tbHitzones!K:K,0)),"")</f>
        <v/>
      </c>
      <c r="BC33" s="49" t="str">
        <f>IFERROR(INDEX(tbHitzones!G:G,MATCH(ROWS(tbHitzones!$1:31),tbHitzones!K:K,0)),"")</f>
        <v/>
      </c>
      <c r="BD33" s="49" t="str">
        <f>IFERROR(INDEX(tbHitzones!H:H,MATCH(ROWS(tbHitzones!$1:31),tbHitzones!K:K,0)),"")</f>
        <v/>
      </c>
      <c r="BE33" s="49" t="str">
        <f>IFERROR(INDEX(tbHitzones!I:I,MATCH(ROWS(tbHitzones!$1:31),tbHitzones!K:K,0)),"")</f>
        <v/>
      </c>
      <c r="BF33" s="49" t="str">
        <f>IFERROR(INDEX(tbHitzones!J:J,MATCH(ROWS(tbHitzones!$1:31),tbHitzones!K:K,0)),"")</f>
        <v/>
      </c>
      <c r="BG33" s="49">
        <f>IFERROR(IF(OR(B9="Fire",B11="Fire"),BB33,IF(OR(B9="Water",B11="Water"),BC33,IF(OR(B9="Thunder",B11="Thunder"),BD33,IF(OR(B9="Ice",B11="Ice"),BE33,IF(OR(B9="Dragon",B11="Dragon"),BF33,0))))),"")</f>
        <v>0</v>
      </c>
      <c r="BH33" s="49" t="str">
        <f>IFERROR(INDEX(tbHitzones!L:L,MATCH(ROWS(tbHitzones!$1:31),tbHitzones!K:K,0)),"")</f>
        <v/>
      </c>
      <c r="BI33" s="49" t="str">
        <f>IFERROR(INDEX(tbHitzones!M:M,MATCH(ROWS(tbHitzones!$1:31),tbHitzones!K:K,0)),"")</f>
        <v/>
      </c>
      <c r="BK33" s="49" t="str">
        <f>IFERROR(INDEX(tbHitzones!K:K,MATCH(ROWS(tbHitzones!$1:31),tbHitzones!K:K,0)),"")</f>
        <v/>
      </c>
      <c r="BL33">
        <f>IFERROR(VLOOKUP(Backdoors!A37,BackdoorsMoveset!A2:HG112,215,FALSE)+VLOOKUP(Backdoors!A38,BackdoorsMoveset!A2:HG112,215,FALSE)+VLOOKUP(Backdoors!A39,BackdoorsMoveset!A2:HG112,215,FALSE)+VLOOKUP(Backdoors!A40,BackdoorsMoveset!A2:HG112,215,FALSE)+VLOOKUP(Backdoors!A41,BackdoorsMoveset!A2:HG112,215,FALSE)+VLOOKUP(Backdoors!A42,BackdoorsMoveset!A2:HG112,215,FALSE)+VLOOKUP(Backdoors!A43,BackdoorsMoveset!A2:HG112,215,FALSE)+VLOOKUP(Backdoors!A44,BackdoorsMoveset!A2:HG112,215,FALSE)+VLOOKUP(Backdoors!A45,BackdoorsMoveset!A2:HG112,215,FALSE)+VLOOKUP(Backdoors!A46,BackdoorsMoveset!A2:HG112,215,FALSE)+VLOOKUP(Backdoors!A47,BackdoorsMoveset!A2:HG112,215,FALSE)+VLOOKUP(Backdoors!A48,BackdoorsMoveset!A2:HG112,215,FALSE)+VLOOKUP(Backdoors!A49,BackdoorsMoveset!A2:HG112,215,FALSE)+VLOOKUP(Backdoors!A50,BackdoorsMoveset!A2:HG112,215,FALSE)+VLOOKUP(Backdoors!A51,BackdoorsMoveset!A2:HG112,215,FALSE)+VLOOKUP(Backdoors!A52,BackdoorsMoveset!A2:HG112,215,FALSE)+VLOOKUP(Backdoors!A53,BackdoorsMoveset!A2:HG112,215,FALSE)+VLOOKUP(Backdoors!A54,BackdoorsMoveset!A2:HG112,215,FALSE)+VLOOKUP(Backdoors!A55,BackdoorsMoveset!A2:HG112,215,FALSE)+VLOOKUP(Backdoors!A56,BackdoorsMoveset!A2:HG112,215,FALSE)+VLOOKUP(Backdoors!A57,BackdoorsMoveset!A2:HG112,215,FALSE)+VLOOKUP(Backdoors!A58,BackdoorsMoveset!A2:HG112,215,FALSE)+VLOOKUP(Backdoors!A59,BackdoorsMoveset!A2:HG112,215,FALSE)+VLOOKUP(Backdoors!A60,BackdoorsMoveset!A2:HG112,215,FALSE)+VLOOKUP(Backdoors!A61,BackdoorsMoveset!A2:HG112,215,FALSE),0)</f>
        <v>0</v>
      </c>
      <c r="BM33">
        <f>IFERROR(VLOOKUP(Backdoors!A37,BackdoorsMoveset!A2:HH112,216,FALSE)+VLOOKUP(Backdoors!A38,BackdoorsMoveset!A2:HH112,216,FALSE)+VLOOKUP(Backdoors!A39,BackdoorsMoveset!A2:HH112,216,FALSE)+VLOOKUP(Backdoors!A40,BackdoorsMoveset!A2:HH112,216,FALSE)+VLOOKUP(Backdoors!A41,BackdoorsMoveset!A2:HH112,216,FALSE)+VLOOKUP(Backdoors!A42,BackdoorsMoveset!A2:HH112,216,FALSE)+VLOOKUP(Backdoors!A43,BackdoorsMoveset!A2:HH112,216,FALSE)+VLOOKUP(Backdoors!A44,BackdoorsMoveset!A2:HH112,216,FALSE)+VLOOKUP(Backdoors!A45,BackdoorsMoveset!A2:HH112,216,FALSE)+VLOOKUP(Backdoors!A46,BackdoorsMoveset!A2:HH112,216,FALSE)+VLOOKUP(Backdoors!A47,BackdoorsMoveset!A2:HH112,216,FALSE)+VLOOKUP(Backdoors!A48,BackdoorsMoveset!A2:HH112,216,FALSE)+VLOOKUP(Backdoors!A49,BackdoorsMoveset!A2:HH112,216,FALSE)+VLOOKUP(Backdoors!A50,BackdoorsMoveset!A2:HH112,216,FALSE)+VLOOKUP(Backdoors!A51,BackdoorsMoveset!A2:HH112,216,FALSE)+VLOOKUP(Backdoors!A52,BackdoorsMoveset!A2:HH112,216,FALSE)+VLOOKUP(Backdoors!A53,BackdoorsMoveset!A2:HH112,216,FALSE)+VLOOKUP(Backdoors!A54,BackdoorsMoveset!A2:HH112,216,FALSE)+VLOOKUP(Backdoors!A55,BackdoorsMoveset!A2:HH112,216,FALSE)+VLOOKUP(Backdoors!A56,BackdoorsMoveset!A2:HH112,216,FALSE)+VLOOKUP(Backdoors!A57,BackdoorsMoveset!A2:HH112,216,FALSE)+VLOOKUP(Backdoors!A58,BackdoorsMoveset!A2:HH112,216,FALSE)+VLOOKUP(Backdoors!A59,BackdoorsMoveset!A2:HH112,216,FALSE)+VLOOKUP(Backdoors!A60,BackdoorsMoveset!A2:HH112,216,FALSE)+VLOOKUP(Backdoors!A61,BackdoorsMoveset!A2:HH112,216,FALSE),0)</f>
        <v>0</v>
      </c>
      <c r="BN33">
        <f>IFERROR(VLOOKUP(Backdoors!A37,BackdoorsMoveset!A2:HJ112,218,FALSE)+VLOOKUP(Backdoors!A38,BackdoorsMoveset!A2:HJ112,218,FALSE)+VLOOKUP(Backdoors!A39,BackdoorsMoveset!A2:HJ112,218,FALSE)+VLOOKUP(Backdoors!A40,BackdoorsMoveset!A2:HJ112,218,FALSE)+VLOOKUP(Backdoors!A41,BackdoorsMoveset!A2:HJ112,218,FALSE)+VLOOKUP(Backdoors!A42,BackdoorsMoveset!A2:HJ112,218,FALSE)+VLOOKUP(Backdoors!A43,BackdoorsMoveset!A2:HJ112,218,FALSE)+VLOOKUP(Backdoors!A44,BackdoorsMoveset!A2:HJ112,218,FALSE)+VLOOKUP(Backdoors!A45,BackdoorsMoveset!A2:HJ112,218,FALSE)+VLOOKUP(Backdoors!A46,BackdoorsMoveset!A2:HJ112,218,FALSE)+VLOOKUP(Backdoors!A47,BackdoorsMoveset!A2:HJ112,218,FALSE)+VLOOKUP(Backdoors!A48,BackdoorsMoveset!A2:HJ112,218,FALSE)+VLOOKUP(Backdoors!A49,BackdoorsMoveset!A2:HJ112,218,FALSE)+VLOOKUP(Backdoors!A50,BackdoorsMoveset!A2:HJ112,218,FALSE)+VLOOKUP(Backdoors!A51,BackdoorsMoveset!A2:HJ112,218,FALSE)+VLOOKUP(Backdoors!A52,BackdoorsMoveset!A2:HJ112,218,FALSE)+VLOOKUP(Backdoors!A53,BackdoorsMoveset!A2:HJ112,218,FALSE)+VLOOKUP(Backdoors!A54,BackdoorsMoveset!A2:HJ112,218,FALSE)+VLOOKUP(Backdoors!A55,BackdoorsMoveset!A2:HJ112,218,FALSE)+VLOOKUP(Backdoors!A56,BackdoorsMoveset!A2:HJ112,218,FALSE)+VLOOKUP(Backdoors!A57,BackdoorsMoveset!A2:HJ112,218,FALSE)+VLOOKUP(Backdoors!A58,BackdoorsMoveset!A2:HJ112,218,FALSE)+VLOOKUP(Backdoors!A59,BackdoorsMoveset!A2:HJ112,218,FALSE)+VLOOKUP(Backdoors!A60,BackdoorsMoveset!A2:HJ112,218,FALSE)+VLOOKUP(Backdoors!A61,BackdoorsMoveset!A2:HJ112,218,FALSE),0)</f>
        <v>0</v>
      </c>
      <c r="BO33" s="49">
        <f>IF(BN33=0,0,IF(OR(B9="Poison",$B11="Poison",B2="Light Bowgun",B2="Heavy Bowgun"),ROUND(Backdoors!A36*VLOOKUP(AO7,tbStatus!$A3:$F18,6,FALSE)*IF((AO16*AO48)&gt;1,1,(AO16*AO48)),0),IF(OR(B9="Blast",B11="Blast"),AR403,0)))</f>
        <v>0</v>
      </c>
      <c r="BP33">
        <f t="shared" si="0"/>
        <v>0</v>
      </c>
      <c r="BQ33" s="49" t="str">
        <f>CONCATENATE(AX33,IF(AND(BI33=TRUE,Calculator!B8=TRUE),CONCATENATE(" (Tenderized)"),""),IF(BP33=0,"",CONCATENATE(", ",BP33)))</f>
        <v/>
      </c>
      <c r="BR33" s="49">
        <f>VLOOKUP(Calculator!B4,SavedBuildNumbers!A1:AT73,32,FALSE)</f>
        <v>0</v>
      </c>
      <c r="BS33">
        <f>VLOOKUP(Calculator!B4,SavedBuildNumbers!A1:BU73,73,FALSE)</f>
        <v>0</v>
      </c>
      <c r="BU33" s="49">
        <f>IFERROR(ROUNDDOWN((IF((ROUND((VLOOKUP(tbMoveset!A33,tbMoveset!A2:F112,6,FALSE)+(IF(VLOOKUP(tbMoveset!A33,tbMoveset!A2:F112,6,FALSE)&gt;0,K41,0)))*(1+(IF(VLOOKUP(tbMoveset!A33,tbMoveset!A2:I112,9,FALSE)="Fire",VLOOKUP(Calculator!$E24,tbSkills!$AX3:$AZ9,3,FALSE),IF(VLOOKUP(tbMoveset!A33,tbMoveset!A2:I112,9,FALSE)="Water",VLOOKUP(Calculator!$E25,tbSkills!$AX3:$AZ9,3,FALSE),IF(VLOOKUP(BackdoorsMoveset!A33,tbMoveset!A2:I112,9,FALSE)="Thunder",VLOOKUP(Calculator!$E26,tbSkills!$AX3:$AZ9,3,FALSE),IF(VLOOKUP(tbMoveset!A33,tbMoveset!A2:I112,9,FALSE)="Ice",VLOOKUP(Calculator!$E27,tbSkills!$AX3:$AZ9,3,FALSE),IF(VLOOKUP(tbMoveset!A33,tbMoveset!A2:I112,9,FALSE)="Dragon",VLOOKUP(Calculator!$E28,tbSkills!$AX3:$AZ9,3,FALSE),0)))))/100))*AC7,0)+IF(VLOOKUP(tbMoveset!A33,tbMoveset!A2:F112,6,FALSE)&gt;0,IF(VLOOKUP(tbMoveset!A33,tbMoveset!A2:I112,9,FALSE)="Fire",VLOOKUP(Calculator!$E24,tbSkills!$AX3:$AY9,2,FALSE),IF(VLOOKUP(tbMoveset!A33,tbMoveset!A2:I112,9,FALSE)="Water",VLOOKUP(Calculator!$E25,tbSkills!$AX3:$AY9,2,FALSE),IF(VLOOKUP(tbMoveset!A33,tbMoveset!A2:I112,9,FALSE)="Thunder",VLOOKUP(Calculator!$E26,tbSkills!$AX3:$AY9,2,FALSE),IF(VLOOKUP(tbMoveset!A33,tbMoveset!A2:I112,9,FALSE)="Ice",VLOOKUP(Calculator!$E27,tbSkills!$AX3:$AY9,2,FALSE),IF(VLOOKUP(tbMoveset!A33,tbMoveset!A2:I112,9,FALSE)="Dragon",VLOOKUP(Calculator!$E28,tbSkills!$AX3:$AY9,2,FALSE),0))))),0)/10)&gt;=B34,B34,(ROUND((VLOOKUP(tbMoveset!A33,tbMoveset!A2:F112,6,FALSE)+(IF(VLOOKUP(tbMoveset!A33,tbMoveset!A2:F112,6,FALSE)&gt;0,K41,0)))*(1+(IF(VLOOKUP(tbMoveset!A33,tbMoveset!A2:I112,9,FALSE)="Fire",VLOOKUP(Calculator!$E24,tbSkills!$AX3:$AZ9,3,FALSE),IF(VLOOKUP(tbMoveset!A33,tbMoveset!A2:I112,9,FALSE)="Water",VLOOKUP(Calculator!$E25,tbSkills!$AX3:$AZ9,3,FALSE),IF(VLOOKUP(BackdoorsMoveset!A33,tbMoveset!A2:I112,9,FALSE)="Thunder",VLOOKUP(Calculator!$E26,tbSkills!$AX3:$AZ9,3,FALSE),IF(VLOOKUP(tbMoveset!A33,tbMoveset!A2:I112,9,FALSE)="Ice",VLOOKUP(Calculator!$E27,tbSkills!$AX3:$AZ9,3,FALSE),IF(VLOOKUP(tbMoveset!A33,tbMoveset!A2:I112,9,FALSE)="Dragon",VLOOKUP(Calculator!$E28,tbSkills!$AX3:$AZ9,3,FALSE),0)))))/100))*AC7,0)+IF(VLOOKUP(tbMoveset!A33,tbMoveset!A2:F112,6,FALSE)&gt;0,IF(VLOOKUP(tbMoveset!A33,tbMoveset!A2:I112,9,FALSE)="Fire",VLOOKUP(Calculator!$E24,tbSkills!$AX3:$AY9,2,FALSE),IF(VLOOKUP(tbMoveset!A33,tbMoveset!A2:I112,9,FALSE)="Water",VLOOKUP(Calculator!$E25,tbSkills!$AX3:$AY9,2,FALSE),IF(VLOOKUP(tbMoveset!A33,tbMoveset!A2:I112,9,FALSE)="Thunder",VLOOKUP(Calculator!$E26,tbSkills!$AX3:$AY9,2,FALSE),IF(VLOOKUP(tbMoveset!A33,tbMoveset!A2:I112,9,FALSE)="Ice",VLOOKUP(Calculator!$E27,tbSkills!$AX3:$AY9,2,FALSE),IF(VLOOKUP(tbMoveset!A33,tbMoveset!A2:I112,9,FALSE)="Dragon",VLOOKUP(Calculator!$E28,tbSkills!$AX3:$AY9,2,FALSE),0))))),0)/10))*N6)*AC6,0)*(B30/100),0)</f>
        <v>0</v>
      </c>
    </row>
    <row r="34" spans="1:73" x14ac:dyDescent="0.25">
      <c r="A34" t="s">
        <v>1539</v>
      </c>
      <c r="B34">
        <f>ROUND(ROUND(((B14+IF(B14&gt;0,K26+K52,0))/10),0)*VLOOKUP(Calculator!E41,tbSkills!AL3:AP5,5,FALSE),0)</f>
        <v>0</v>
      </c>
      <c r="J34" t="s">
        <v>859</v>
      </c>
      <c r="K34">
        <f>IF(OR(B21=10,B21=12),IF(K33=1,3,IF(K33=2,6,IF(K33=3,7,IF(K33=4,8,0)))),IF(B21=11,IF(K33=1,3,IF(K33=2,5,IF(K33=3,7,IF(K33=4,8,0)))),0))</f>
        <v>0</v>
      </c>
      <c r="AN34" s="49" t="str">
        <f>IFERROR(INDEX(tbHitzones!K:K,MATCH(ROWS(tbHitzones!$1:17),tbHitzones!K:K,0)),"")</f>
        <v/>
      </c>
      <c r="AO34">
        <f>IF(OR(B2="Light Bowgun",B2="Heavy Bowgun"),IF(AI12&gt;=0,1+(IF(Calculator!E40&gt;0,VLOOKUP(Calculator!E40,tbSkills!AI3:AJ5,2,FALSE),AL4)*(IF((AI12+IF(BA19&gt;=0.45,VLOOKUP(Calculator!E23,tbSkills!DH3:DI6,2,FALSE)+IF(AND(Calculator!B8=TRUE,BI19=TRUE),VLOOKUP(Calculator!E23,tbSkills!DH3:DJ6,3,FALSE),0),0))&gt;=100,100,(AI12+IF(BA19&gt;=0.45,VLOOKUP(Calculator!E23,tbSkills!DH3:DI6,2,FALSE)+IF(AND(Calculator!B8=TRUE,BI19=TRUE),VLOOKUP(Calculator!E23,tbSkills!DH3:DJ6,3,FALSE),0),0)))/100)),1),VLOOKUP(Backdoors!A37,BackdoorsMoveset!A2:DO112,119,FALSE)+VLOOKUP(Backdoors!A38,BackdoorsMoveset!A2:DO112,119,FALSE)+VLOOKUP(Backdoors!A39,BackdoorsMoveset!A2:DO112,119,FALSE)+VLOOKUP(Backdoors!A40,BackdoorsMoveset!A2:DO112,119,FALSE)+VLOOKUP(Backdoors!A41,BackdoorsMoveset!A2:DO112,119,FALSE)+VLOOKUP(Backdoors!A42,BackdoorsMoveset!A2:DO112,119,FALSE)+VLOOKUP(Backdoors!A43,BackdoorsMoveset!A2:DO112,119,FALSE)+VLOOKUP(Backdoors!A44,BackdoorsMoveset!A2:DO112,119,FALSE)+VLOOKUP(Backdoors!A45,BackdoorsMoveset!A2:DO112,119,FALSE)+VLOOKUP(Backdoors!A46,BackdoorsMoveset!A2:DO112,119,FALSE)+VLOOKUP(Backdoors!A47,BackdoorsMoveset!A2:DO112,119,FALSE)+VLOOKUP(Backdoors!A48,BackdoorsMoveset!A2:DO112,119,FALSE)+VLOOKUP(Backdoors!A49,BackdoorsMoveset!A2:DO112,119,FALSE)+VLOOKUP(Backdoors!A50,BackdoorsMoveset!A2:DO112,119,FALSE)+VLOOKUP(Backdoors!A51,BackdoorsMoveset!A2:DO112,119,FALSE)+VLOOKUP(Backdoors!A52,BackdoorsMoveset!A2:DO112,119,FALSE)+VLOOKUP(Backdoors!A53,BackdoorsMoveset!A2:DO112,119,FALSE)+VLOOKUP(Backdoors!A54,BackdoorsMoveset!A2:DO112,119,FALSE)+VLOOKUP(Backdoors!A55,BackdoorsMoveset!A2:DO112,119,FALSE)+VLOOKUP(Backdoors!A56,BackdoorsMoveset!A2:DO112,119,FALSE)+VLOOKUP(Backdoors!A57,BackdoorsMoveset!A2:DO112,119,FALSE)+VLOOKUP(Backdoors!A58,BackdoorsMoveset!A2:DO112,119,FALSE)+VLOOKUP(Backdoors!A59,BackdoorsMoveset!A2:DO112,119,FALSE)+VLOOKUP(Backdoors!A60,BackdoorsMoveset!A2:DO112,119,FALSE)+VLOOKUP(Backdoors!A61,BackdoorsMoveset!A2:DO112,119,FALSE))</f>
        <v>14.299999999999999</v>
      </c>
      <c r="AQ34" t="s">
        <v>237</v>
      </c>
      <c r="AR34">
        <f>N8-AR33</f>
        <v>1408</v>
      </c>
      <c r="AT34">
        <v>33</v>
      </c>
      <c r="AU34">
        <f>$AU33+IF(AO12+((AO10*32)*AO11)&gt;AO13,AO13,AO12+((AO10*32)*AO11))</f>
        <v>9288</v>
      </c>
      <c r="AW34" s="49" t="str">
        <f>IFERROR(INDEX(tbHitzones!K:K,MATCH(ROWS(tbHitzones!$1:32),tbHitzones!K:K,0)),"")</f>
        <v/>
      </c>
      <c r="AX34" s="49" t="str">
        <f>IFERROR(INDEX(tbHitzones!B:B,MATCH(ROWS(tbHitzones!$1:32),tbHitzones!K:K,0)),"")</f>
        <v/>
      </c>
      <c r="AY34" s="49" t="str">
        <f>IFERROR(INDEX(tbHitzones!C:C,MATCH(ROWS(tbHitzones!$1:32),tbHitzones!K:K,0)),"")</f>
        <v/>
      </c>
      <c r="AZ34" s="49" t="str">
        <f>IFERROR(INDEX(tbHitzones!D:D,MATCH(ROWS(tbHitzones!$1:32),tbHitzones!K:K,0)),"")</f>
        <v/>
      </c>
      <c r="BA34" s="49" t="str">
        <f>IFERROR(INDEX(tbHitzones!E:E,MATCH(ROWS(tbHitzones!$1:32),tbHitzones!K:K,0)),"")</f>
        <v/>
      </c>
      <c r="BB34" s="49" t="str">
        <f>IFERROR(INDEX(tbHitzones!F:F,MATCH(ROWS(tbHitzones!$1:32),tbHitzones!K:K,0)),"")</f>
        <v/>
      </c>
      <c r="BC34" s="49" t="str">
        <f>IFERROR(INDEX(tbHitzones!G:G,MATCH(ROWS(tbHitzones!$1:32),tbHitzones!K:K,0)),"")</f>
        <v/>
      </c>
      <c r="BD34" s="49" t="str">
        <f>IFERROR(INDEX(tbHitzones!H:H,MATCH(ROWS(tbHitzones!$1:32),tbHitzones!K:K,0)),"")</f>
        <v/>
      </c>
      <c r="BE34" s="49" t="str">
        <f>IFERROR(INDEX(tbHitzones!I:I,MATCH(ROWS(tbHitzones!$1:32),tbHitzones!K:K,0)),"")</f>
        <v/>
      </c>
      <c r="BF34" s="49" t="str">
        <f>IFERROR(INDEX(tbHitzones!J:J,MATCH(ROWS(tbHitzones!$1:32),tbHitzones!K:K,0)),"")</f>
        <v/>
      </c>
      <c r="BG34" s="49">
        <f>IFERROR(IF(OR(B9="Fire",B11="Fire"),BB34,IF(OR(B9="Water",B11="Water"),BC34,IF(OR(B9="Thunder",B11="Thunder"),BD34,IF(OR(B9="Ice",B11="Ice"),BE34,IF(OR(B9="Dragon",B11="Dragon"),BF34,0))))),"")</f>
        <v>0</v>
      </c>
      <c r="BH34" s="49" t="str">
        <f>IFERROR(INDEX(tbHitzones!L:L,MATCH(ROWS(tbHitzones!$1:32),tbHitzones!K:K,0)),"")</f>
        <v/>
      </c>
      <c r="BI34" s="49" t="str">
        <f>IFERROR(INDEX(tbHitzones!M:M,MATCH(ROWS(tbHitzones!$1:32),tbHitzones!K:K,0)),"")</f>
        <v/>
      </c>
      <c r="BK34" s="49" t="str">
        <f>IFERROR(INDEX(tbHitzones!K:K,MATCH(ROWS(tbHitzones!$1:32),tbHitzones!K:K,0)),"")</f>
        <v/>
      </c>
      <c r="BL34">
        <f>IFERROR(VLOOKUP(Backdoors!A37,BackdoorsMoveset!A2:HN112,222,FALSE)+VLOOKUP(Backdoors!A38,BackdoorsMoveset!A2:HN112,222,FALSE)+VLOOKUP(Backdoors!A39,BackdoorsMoveset!A2:HN112,222,FALSE)+VLOOKUP(Backdoors!A40,BackdoorsMoveset!A2:HN112,222,FALSE)+VLOOKUP(Backdoors!A41,BackdoorsMoveset!A2:HN112,222,FALSE)+VLOOKUP(Backdoors!A42,BackdoorsMoveset!A2:HN112,222,FALSE)+VLOOKUP(Backdoors!A43,BackdoorsMoveset!A2:HN112,222,FALSE)+VLOOKUP(Backdoors!A44,BackdoorsMoveset!A2:HN112,222,FALSE)+VLOOKUP(Backdoors!A45,BackdoorsMoveset!A2:HN112,222,FALSE)+VLOOKUP(Backdoors!A46,BackdoorsMoveset!A2:HN112,222,FALSE)+VLOOKUP(Backdoors!A47,BackdoorsMoveset!A2:HN112,222,FALSE)+VLOOKUP(Backdoors!A48,BackdoorsMoveset!A2:HN112,222,FALSE)+VLOOKUP(Backdoors!A49,BackdoorsMoveset!A2:HN112,222,FALSE)+VLOOKUP(Backdoors!A50,BackdoorsMoveset!A2:HN112,222,FALSE)+VLOOKUP(Backdoors!A51,BackdoorsMoveset!A2:HN112,222,FALSE)+VLOOKUP(Backdoors!A52,BackdoorsMoveset!A2:HN112,222,FALSE)+VLOOKUP(Backdoors!A53,BackdoorsMoveset!A2:HN112,222,FALSE)+VLOOKUP(Backdoors!A54,BackdoorsMoveset!A2:HN112,222,FALSE)+VLOOKUP(Backdoors!A55,BackdoorsMoveset!A2:HN112,222,FALSE)+VLOOKUP(Backdoors!A56,BackdoorsMoveset!A2:HN112,222,FALSE)+VLOOKUP(Backdoors!A57,BackdoorsMoveset!A2:HN112,222,FALSE)+VLOOKUP(Backdoors!A58,BackdoorsMoveset!A2:HN112,222,FALSE)+VLOOKUP(Backdoors!A59,BackdoorsMoveset!A2:HN112,222,FALSE)+VLOOKUP(Backdoors!A60,BackdoorsMoveset!A2:HN112,222,FALSE)+VLOOKUP(Backdoors!A61,BackdoorsMoveset!A2:HN112,222,FALSE),0)</f>
        <v>0</v>
      </c>
      <c r="BM34">
        <f>IFERROR(VLOOKUP(Backdoors!A37,BackdoorsMoveset!A2:HO112,223,FALSE)+VLOOKUP(Backdoors!A38,BackdoorsMoveset!A2:HO112,223,FALSE)+VLOOKUP(Backdoors!A39,BackdoorsMoveset!A2:HO112,223,FALSE)+VLOOKUP(Backdoors!A40,BackdoorsMoveset!A2:HO112,223,FALSE)+VLOOKUP(Backdoors!A41,BackdoorsMoveset!A2:HO112,223,FALSE)+VLOOKUP(Backdoors!A42,BackdoorsMoveset!A2:HO112,223,FALSE)+VLOOKUP(Backdoors!A43,BackdoorsMoveset!A2:HO112,223,FALSE)+VLOOKUP(Backdoors!A44,BackdoorsMoveset!A2:HO112,223,FALSE)+VLOOKUP(Backdoors!A45,BackdoorsMoveset!A2:HO112,223,FALSE)+VLOOKUP(Backdoors!A46,BackdoorsMoveset!A2:HO112,223,FALSE)+VLOOKUP(Backdoors!A47,BackdoorsMoveset!A2:HO112,223,FALSE)+VLOOKUP(Backdoors!A48,BackdoorsMoveset!A2:HO112,223,FALSE)+VLOOKUP(Backdoors!A49,BackdoorsMoveset!A2:HO112,223,FALSE)+VLOOKUP(Backdoors!A50,BackdoorsMoveset!A2:HO112,223,FALSE)+VLOOKUP(Backdoors!A51,BackdoorsMoveset!A2:HO112,223,FALSE)+VLOOKUP(Backdoors!A52,BackdoorsMoveset!A2:HO112,223,FALSE)+VLOOKUP(Backdoors!A53,BackdoorsMoveset!A2:HO112,223,FALSE)+VLOOKUP(Backdoors!A54,BackdoorsMoveset!A2:HO112,223,FALSE)+VLOOKUP(Backdoors!A55,BackdoorsMoveset!A2:HO112,223,FALSE)+VLOOKUP(Backdoors!A56,BackdoorsMoveset!A2:HO112,223,FALSE)+VLOOKUP(Backdoors!A57,BackdoorsMoveset!A2:HO112,223,FALSE)+VLOOKUP(Backdoors!A58,BackdoorsMoveset!A2:HO112,223,FALSE)+VLOOKUP(Backdoors!A59,BackdoorsMoveset!A2:HO112,223,FALSE)+VLOOKUP(Backdoors!A60,BackdoorsMoveset!A2:HO112,223,FALSE)+VLOOKUP(Backdoors!A61,BackdoorsMoveset!A2:HO112,223,FALSE),0)</f>
        <v>0</v>
      </c>
      <c r="BN34">
        <f>IFERROR(VLOOKUP(Backdoors!A37,BackdoorsMoveset!A2:HQ112,225,FALSE)+VLOOKUP(Backdoors!A38,BackdoorsMoveset!A2:HQ112,225,FALSE)+VLOOKUP(Backdoors!A39,BackdoorsMoveset!A2:HQ112,225,FALSE)+VLOOKUP(Backdoors!A40,BackdoorsMoveset!A2:HQ112,225,FALSE)+VLOOKUP(Backdoors!A41,BackdoorsMoveset!A2:HQ112,225,FALSE)+VLOOKUP(Backdoors!A42,BackdoorsMoveset!A2:HQ112,225,FALSE)+VLOOKUP(Backdoors!A43,BackdoorsMoveset!A2:HQ112,225,FALSE)+VLOOKUP(Backdoors!A44,BackdoorsMoveset!A2:HQ112,225,FALSE)+VLOOKUP(Backdoors!A45,BackdoorsMoveset!A2:HQ112,225,FALSE)+VLOOKUP(Backdoors!A46,BackdoorsMoveset!A2:HQ112,225,FALSE)+VLOOKUP(Backdoors!A47,BackdoorsMoveset!A2:HQ112,225,FALSE)+VLOOKUP(Backdoors!A48,BackdoorsMoveset!A2:HQ112,225,FALSE)+VLOOKUP(Backdoors!A49,BackdoorsMoveset!A2:HQ112,225,FALSE)+VLOOKUP(Backdoors!A50,BackdoorsMoveset!A2:HQ112,225,FALSE)+VLOOKUP(Backdoors!A51,BackdoorsMoveset!A2:HQ112,225,FALSE)+VLOOKUP(Backdoors!A52,BackdoorsMoveset!A2:HQ112,225,FALSE)+VLOOKUP(Backdoors!A53,BackdoorsMoveset!A2:HQ112,225,FALSE)+VLOOKUP(Backdoors!A54,BackdoorsMoveset!A2:HQ112,225,FALSE)+VLOOKUP(Backdoors!A55,BackdoorsMoveset!A2:HQ112,225,FALSE)+VLOOKUP(Backdoors!A56,BackdoorsMoveset!A2:HQ112,225,FALSE)+VLOOKUP(Backdoors!A57,BackdoorsMoveset!A2:HQ112,225,FALSE)+VLOOKUP(Backdoors!A58,BackdoorsMoveset!A2:HQ112,225,FALSE)+VLOOKUP(Backdoors!A59,BackdoorsMoveset!A2:HQ112,225,FALSE)+VLOOKUP(Backdoors!A60,BackdoorsMoveset!A2:HQ112,225,FALSE)+VLOOKUP(Backdoors!A61,BackdoorsMoveset!A2:HQ112,225,FALSE),0)</f>
        <v>0</v>
      </c>
      <c r="BO34" s="49">
        <f>IF(BN34=0,0,IF(OR(B9="Poison",$B11="Poison",B2="Light Bowgun",B2="Heavy Bowgun"),ROUND(Backdoors!A36*VLOOKUP(AO7,tbStatus!$A3:$F18,6,FALSE)*IF((AO16*AO49)&gt;1,1,(AO16*AO49)),0),IF(OR(B9="Blast",B11="Blast"),AR416,0)))</f>
        <v>0</v>
      </c>
      <c r="BP34">
        <f t="shared" si="0"/>
        <v>0</v>
      </c>
      <c r="BQ34" s="49" t="str">
        <f>CONCATENATE(AX34,IF(AND(BI34=TRUE,Calculator!B8=TRUE),CONCATENATE(" (Tenderized)"),""),IF(BP34=0,"",CONCATENATE(", ",BP34)))</f>
        <v/>
      </c>
      <c r="BR34" s="49">
        <f>VLOOKUP(Calculator!B4,SavedBuildNumbers!A1:AV73,33,FALSE)</f>
        <v>0</v>
      </c>
      <c r="BS34">
        <f>VLOOKUP(Calculator!B4,SavedBuildNumbers!A1:BV73,74,FALSE)</f>
        <v>0</v>
      </c>
      <c r="BU34" s="49">
        <f>IFERROR(ROUNDDOWN((IF((ROUND((VLOOKUP(tbMoveset!A34,tbMoveset!A2:F112,6,FALSE)+(IF(VLOOKUP(tbMoveset!A34,tbMoveset!A2:F112,6,FALSE)&gt;0,K41,0)))*(1+(IF(VLOOKUP(tbMoveset!A34,tbMoveset!A2:I112,9,FALSE)="Fire",VLOOKUP(Calculator!$E24,tbSkills!$AX3:$AZ9,3,FALSE),IF(VLOOKUP(tbMoveset!A34,tbMoveset!A2:I112,9,FALSE)="Water",VLOOKUP(Calculator!$E25,tbSkills!$AX3:$AZ9,3,FALSE),IF(VLOOKUP(BackdoorsMoveset!A34,tbMoveset!A2:I112,9,FALSE)="Thunder",VLOOKUP(Calculator!$E26,tbSkills!$AX3:$AZ9,3,FALSE),IF(VLOOKUP(tbMoveset!A34,tbMoveset!A2:I112,9,FALSE)="Ice",VLOOKUP(Calculator!$E27,tbSkills!$AX3:$AZ9,3,FALSE),IF(VLOOKUP(tbMoveset!A34,tbMoveset!A2:I112,9,FALSE)="Dragon",VLOOKUP(Calculator!$E28,tbSkills!$AX3:$AZ9,3,FALSE),0)))))/100))*AC7,0)+IF(VLOOKUP(tbMoveset!A34,tbMoveset!A2:F112,6,FALSE)&gt;0,IF(VLOOKUP(tbMoveset!A34,tbMoveset!A2:I112,9,FALSE)="Fire",VLOOKUP(Calculator!$E24,tbSkills!$AX3:$AY9,2,FALSE),IF(VLOOKUP(tbMoveset!A34,tbMoveset!A2:I112,9,FALSE)="Water",VLOOKUP(Calculator!$E25,tbSkills!$AX3:$AY9,2,FALSE),IF(VLOOKUP(tbMoveset!A34,tbMoveset!A2:I112,9,FALSE)="Thunder",VLOOKUP(Calculator!$E26,tbSkills!$AX3:$AY9,2,FALSE),IF(VLOOKUP(tbMoveset!A34,tbMoveset!A2:I112,9,FALSE)="Ice",VLOOKUP(Calculator!$E27,tbSkills!$AX3:$AY9,2,FALSE),IF(VLOOKUP(tbMoveset!A34,tbMoveset!A2:I112,9,FALSE)="Dragon",VLOOKUP(Calculator!$E28,tbSkills!$AX3:$AY9,2,FALSE),0))))),0)/10)&gt;=B34,B34,(ROUND((VLOOKUP(tbMoveset!A34,tbMoveset!A2:F112,6,FALSE)+(IF(VLOOKUP(tbMoveset!A34,tbMoveset!A2:F112,6,FALSE)&gt;0,K41,0)))*(1+(IF(VLOOKUP(tbMoveset!A34,tbMoveset!A2:I112,9,FALSE)="Fire",VLOOKUP(Calculator!$E24,tbSkills!$AX3:$AZ9,3,FALSE),IF(VLOOKUP(tbMoveset!A34,tbMoveset!A2:I112,9,FALSE)="Water",VLOOKUP(Calculator!$E25,tbSkills!$AX3:$AZ9,3,FALSE),IF(VLOOKUP(BackdoorsMoveset!A34,tbMoveset!A2:I112,9,FALSE)="Thunder",VLOOKUP(Calculator!$E26,tbSkills!$AX3:$AZ9,3,FALSE),IF(VLOOKUP(tbMoveset!A34,tbMoveset!A2:I112,9,FALSE)="Ice",VLOOKUP(Calculator!$E27,tbSkills!$AX3:$AZ9,3,FALSE),IF(VLOOKUP(tbMoveset!A34,tbMoveset!A2:I112,9,FALSE)="Dragon",VLOOKUP(Calculator!$E28,tbSkills!$AX3:$AZ9,3,FALSE),0)))))/100))*AC7,0)+IF(VLOOKUP(tbMoveset!A34,tbMoveset!A2:F112,6,FALSE)&gt;0,IF(VLOOKUP(tbMoveset!A34,tbMoveset!A2:I112,9,FALSE)="Fire",VLOOKUP(Calculator!$E24,tbSkills!$AX3:$AY9,2,FALSE),IF(VLOOKUP(tbMoveset!A34,tbMoveset!A2:I112,9,FALSE)="Water",VLOOKUP(Calculator!$E25,tbSkills!$AX3:$AY9,2,FALSE),IF(VLOOKUP(tbMoveset!A34,tbMoveset!A2:I112,9,FALSE)="Thunder",VLOOKUP(Calculator!$E26,tbSkills!$AX3:$AY9,2,FALSE),IF(VLOOKUP(tbMoveset!A34,tbMoveset!A2:I112,9,FALSE)="Ice",VLOOKUP(Calculator!$E27,tbSkills!$AX3:$AY9,2,FALSE),IF(VLOOKUP(tbMoveset!A34,tbMoveset!A2:I112,9,FALSE)="Dragon",VLOOKUP(Calculator!$E28,tbSkills!$AX3:$AY9,2,FALSE),0))))),0)/10))*N6)*AC6,0)*(B30/100),0)</f>
        <v>0</v>
      </c>
    </row>
    <row r="35" spans="1:73" x14ac:dyDescent="0.25">
      <c r="J35" t="s">
        <v>861</v>
      </c>
      <c r="K35">
        <f>K31+K34</f>
        <v>0</v>
      </c>
      <c r="AN35" s="49" t="str">
        <f>IFERROR(INDEX(tbHitzones!K:K,MATCH(ROWS(tbHitzones!$1:18),tbHitzones!K:K,0)),"")</f>
        <v/>
      </c>
      <c r="AO35">
        <f>IF(OR(B2="Light Bowgun",B2="Heavy Bowgun"),IF(AI12&gt;=0,1+(IF(Calculator!E40&gt;0,VLOOKUP(Calculator!E40,tbSkills!AI3:AJ5,2,FALSE),AL4)*(IF((AI12+IF(BA20&gt;=0.45,VLOOKUP(Calculator!E23,tbSkills!DH3:DI6,2,FALSE)+IF(AND(Calculator!B8=TRUE,BI20=TRUE),VLOOKUP(Calculator!E23,tbSkills!DH3:DJ6,3,FALSE),0),0))&gt;=100,100,(AI12+IF(BA20&gt;=0.45,VLOOKUP(Calculator!E23,tbSkills!DH3:DI6,2,FALSE)+IF(AND(Calculator!B8=TRUE,BI20=TRUE),VLOOKUP(Calculator!E23,tbSkills!DH3:DJ6,3,FALSE),0),0)))/100)),1),VLOOKUP(Backdoors!A37,BackdoorsMoveset!A2:DV112,126,FALSE)+VLOOKUP(Backdoors!A38,BackdoorsMoveset!A2:DV112,126,FALSE)+VLOOKUP(Backdoors!A39,BackdoorsMoveset!A2:DV112,126,FALSE)+VLOOKUP(Backdoors!A40,BackdoorsMoveset!A2:DV112,126,FALSE)+VLOOKUP(Backdoors!A41,BackdoorsMoveset!A2:DV112,126,FALSE)+VLOOKUP(Backdoors!A42,BackdoorsMoveset!A2:DV112,126,FALSE)+VLOOKUP(Backdoors!A43,BackdoorsMoveset!A2:DV112,126,FALSE)+VLOOKUP(Backdoors!A44,BackdoorsMoveset!A2:DV112,126,FALSE)+VLOOKUP(Backdoors!A45,BackdoorsMoveset!A2:DV112,126,FALSE)+VLOOKUP(Backdoors!A46,BackdoorsMoveset!A2:DV112,126,FALSE)+VLOOKUP(Backdoors!A47,BackdoorsMoveset!A2:DV112,126,FALSE)+VLOOKUP(Backdoors!A48,BackdoorsMoveset!A2:DV112,126,FALSE)+VLOOKUP(Backdoors!A49,BackdoorsMoveset!A2:DV112,126,FALSE)+VLOOKUP(Backdoors!A50,BackdoorsMoveset!A2:DV112,126,FALSE)+VLOOKUP(Backdoors!A51,BackdoorsMoveset!A2:DV112,126,FALSE)+VLOOKUP(Backdoors!A52,BackdoorsMoveset!A2:DV112,126,FALSE)+VLOOKUP(Backdoors!A53,BackdoorsMoveset!A2:DV112,126,FALSE)+VLOOKUP(Backdoors!A54,BackdoorsMoveset!A2:DV112,126,FALSE)+VLOOKUP(Backdoors!A55,BackdoorsMoveset!A2:DV112,126,FALSE)+VLOOKUP(Backdoors!A56,BackdoorsMoveset!A2:DV112,126,FALSE)+VLOOKUP(Backdoors!A57,BackdoorsMoveset!A2:DV112,126,FALSE)+VLOOKUP(Backdoors!A58,BackdoorsMoveset!A2:DV112,126,FALSE)+VLOOKUP(Backdoors!A59,BackdoorsMoveset!A2:DV112,126,FALSE)+VLOOKUP(Backdoors!A60,BackdoorsMoveset!A2:DV112,126,FALSE)+VLOOKUP(Backdoors!A61,BackdoorsMoveset!A2:DV112,126,FALSE))</f>
        <v>14.299999999999999</v>
      </c>
      <c r="AQ35" t="s">
        <v>238</v>
      </c>
      <c r="AR35">
        <f>IFERROR(AR34/BN5,0)</f>
        <v>11.831932773109244</v>
      </c>
      <c r="AT35">
        <v>34</v>
      </c>
      <c r="AU35">
        <f>$AU34+IF(AO12+((AO10*33)*AO11)&gt;AO13,AO13,AO12+((AO10*33)*AO11))</f>
        <v>9684</v>
      </c>
      <c r="AW35" s="49" t="str">
        <f>IFERROR(INDEX(tbHitzones!K:K,MATCH(ROWS(tbHitzones!$1:33),tbHitzones!K:K,0)),"")</f>
        <v/>
      </c>
      <c r="AX35" s="49" t="str">
        <f>IFERROR(INDEX(tbHitzones!B:B,MATCH(ROWS(tbHitzones!$1:33),tbHitzones!K:K,0)),"")</f>
        <v/>
      </c>
      <c r="AY35" s="49" t="str">
        <f>IFERROR(INDEX(tbHitzones!C:C,MATCH(ROWS(tbHitzones!$1:33),tbHitzones!K:K,0)),"")</f>
        <v/>
      </c>
      <c r="AZ35" s="49" t="str">
        <f>IFERROR(INDEX(tbHitzones!D:D,MATCH(ROWS(tbHitzones!$1:33),tbHitzones!K:K,0)),"")</f>
        <v/>
      </c>
      <c r="BA35" s="49" t="str">
        <f>IFERROR(INDEX(tbHitzones!E:E,MATCH(ROWS(tbHitzones!$1:33),tbHitzones!K:K,0)),"")</f>
        <v/>
      </c>
      <c r="BB35" s="49" t="str">
        <f>IFERROR(INDEX(tbHitzones!F:F,MATCH(ROWS(tbHitzones!$1:33),tbHitzones!K:K,0)),"")</f>
        <v/>
      </c>
      <c r="BC35" s="49" t="str">
        <f>IFERROR(INDEX(tbHitzones!G:G,MATCH(ROWS(tbHitzones!$1:33),tbHitzones!K:K,0)),"")</f>
        <v/>
      </c>
      <c r="BD35" s="49" t="str">
        <f>IFERROR(INDEX(tbHitzones!H:H,MATCH(ROWS(tbHitzones!$1:33),tbHitzones!K:K,0)),"")</f>
        <v/>
      </c>
      <c r="BE35" s="49" t="str">
        <f>IFERROR(INDEX(tbHitzones!I:I,MATCH(ROWS(tbHitzones!$1:33),tbHitzones!K:K,0)),"")</f>
        <v/>
      </c>
      <c r="BF35" s="49" t="str">
        <f>IFERROR(INDEX(tbHitzones!J:J,MATCH(ROWS(tbHitzones!$1:33),tbHitzones!K:K,0)),"")</f>
        <v/>
      </c>
      <c r="BG35" s="49">
        <f>IFERROR(IF(OR(B9="Fire",B11="Fire"),BB35,IF(OR(B9="Water",B11="Water"),BC35,IF(OR(B9="Thunder",B11="Thunder"),BD35,IF(OR(B9="Ice",B11="Ice"),BE35,IF(OR(B9="Dragon",B11="Dragon"),BF35,0))))),"")</f>
        <v>0</v>
      </c>
      <c r="BH35" s="49" t="str">
        <f>IFERROR(INDEX(tbHitzones!L:L,MATCH(ROWS(tbHitzones!$1:33),tbHitzones!K:K,0)),"")</f>
        <v/>
      </c>
      <c r="BI35" s="49" t="str">
        <f>IFERROR(INDEX(tbHitzones!M:M,MATCH(ROWS(tbHitzones!$1:33),tbHitzones!K:K,0)),"")</f>
        <v/>
      </c>
      <c r="BK35" s="49" t="str">
        <f>IFERROR(INDEX(tbHitzones!K:K,MATCH(ROWS(tbHitzones!$1:33),tbHitzones!K:K,0)),"")</f>
        <v/>
      </c>
      <c r="BL35">
        <f>IFERROR(VLOOKUP(Backdoors!A37,BackdoorsMoveset!A2:HU112,229,FALSE)+VLOOKUP(Backdoors!A38,BackdoorsMoveset!A2:HU112,229,FALSE)+VLOOKUP(Backdoors!A39,BackdoorsMoveset!A2:HU112,229,FALSE)+VLOOKUP(Backdoors!A40,BackdoorsMoveset!A2:HU112,229,FALSE)+VLOOKUP(Backdoors!A41,BackdoorsMoveset!A2:HU112,229,FALSE)+VLOOKUP(Backdoors!A42,BackdoorsMoveset!A2:HU112,229,FALSE)+VLOOKUP(Backdoors!A43,BackdoorsMoveset!A2:HU112,229,FALSE)+VLOOKUP(Backdoors!A44,BackdoorsMoveset!A2:HU112,229,FALSE)+VLOOKUP(Backdoors!A45,BackdoorsMoveset!A2:HU112,229,FALSE)+VLOOKUP(Backdoors!A46,BackdoorsMoveset!A2:HU112,229,FALSE)+VLOOKUP(Backdoors!A47,BackdoorsMoveset!A2:HU112,229,FALSE)+VLOOKUP(Backdoors!A48,BackdoorsMoveset!A2:HU112,229,FALSE)+VLOOKUP(Backdoors!A49,BackdoorsMoveset!A2:HU112,229,FALSE)+VLOOKUP(Backdoors!A50,BackdoorsMoveset!A2:HU112,229,FALSE)+VLOOKUP(Backdoors!A51,BackdoorsMoveset!A2:HU112,229,FALSE)+VLOOKUP(Backdoors!A52,BackdoorsMoveset!A2:HU112,229,FALSE)+VLOOKUP(Backdoors!A53,BackdoorsMoveset!A2:HU112,229,FALSE)+VLOOKUP(Backdoors!A54,BackdoorsMoveset!A2:HU112,229,FALSE)+VLOOKUP(Backdoors!A55,BackdoorsMoveset!A2:HU112,229,FALSE)+VLOOKUP(Backdoors!A56,BackdoorsMoveset!A2:HU112,229,FALSE)+VLOOKUP(Backdoors!A57,BackdoorsMoveset!A2:HU112,229,FALSE)+VLOOKUP(Backdoors!A58,BackdoorsMoveset!A2:HU112,229,FALSE)+VLOOKUP(Backdoors!A59,BackdoorsMoveset!A2:HU112,229,FALSE)+VLOOKUP(Backdoors!A60,BackdoorsMoveset!A2:HU112,229,FALSE)+VLOOKUP(Backdoors!A61,BackdoorsMoveset!A2:HU112,229,FALSE),0)</f>
        <v>0</v>
      </c>
      <c r="BM35">
        <f>IFERROR(VLOOKUP(Backdoors!A37,BackdoorsMoveset!A2:HV112,230,FALSE)+VLOOKUP(Backdoors!A38,BackdoorsMoveset!A2:HV112,230,FALSE)+VLOOKUP(Backdoors!A39,BackdoorsMoveset!A2:HV112,230,FALSE)+VLOOKUP(Backdoors!A40,BackdoorsMoveset!A2:HV112,230,FALSE)+VLOOKUP(Backdoors!A41,BackdoorsMoveset!A2:HV112,230,FALSE)+VLOOKUP(Backdoors!A42,BackdoorsMoveset!A2:HV112,230,FALSE)+VLOOKUP(Backdoors!A43,BackdoorsMoveset!A2:HV112,230,FALSE)+VLOOKUP(Backdoors!A44,BackdoorsMoveset!A2:HV112,230,FALSE)+VLOOKUP(Backdoors!A45,BackdoorsMoveset!A2:HV112,230,FALSE)+VLOOKUP(Backdoors!A46,BackdoorsMoveset!A2:HV112,230,FALSE)+VLOOKUP(Backdoors!A47,BackdoorsMoveset!A2:HV112,230,FALSE)+VLOOKUP(Backdoors!A48,BackdoorsMoveset!A2:HV112,230,FALSE)+VLOOKUP(Backdoors!A49,BackdoorsMoveset!A2:HV112,230,FALSE)+VLOOKUP(Backdoors!A50,BackdoorsMoveset!A2:HV112,230,FALSE)+VLOOKUP(Backdoors!A51,BackdoorsMoveset!A2:HV112,230,FALSE)+VLOOKUP(Backdoors!A52,BackdoorsMoveset!A2:HV112,230,FALSE)+VLOOKUP(Backdoors!A53,BackdoorsMoveset!A2:HV112,230,FALSE)+VLOOKUP(Backdoors!A54,BackdoorsMoveset!A2:HV112,230,FALSE)+VLOOKUP(Backdoors!A55,BackdoorsMoveset!A2:HV112,230,FALSE)+VLOOKUP(Backdoors!A56,BackdoorsMoveset!A2:HV112,230,FALSE)+VLOOKUP(Backdoors!A57,BackdoorsMoveset!A2:HV112,230,FALSE)+VLOOKUP(Backdoors!A58,BackdoorsMoveset!A2:HV112,230,FALSE)+VLOOKUP(Backdoors!A59,BackdoorsMoveset!A2:HV112,230,FALSE)+VLOOKUP(Backdoors!A60,BackdoorsMoveset!A2:HV112,230,FALSE)+VLOOKUP(Backdoors!A61,BackdoorsMoveset!A2:HV112,230,FALSE),0)</f>
        <v>0</v>
      </c>
      <c r="BN35">
        <f>IFERROR(VLOOKUP(Backdoors!A37,BackdoorsMoveset!A2:HX112,232,FALSE)+VLOOKUP(Backdoors!A38,BackdoorsMoveset!A2:HX112,232,FALSE)+VLOOKUP(Backdoors!A39,BackdoorsMoveset!A2:HX112,232,FALSE)+VLOOKUP(Backdoors!A40,BackdoorsMoveset!A2:HX112,232,FALSE)+VLOOKUP(Backdoors!A41,BackdoorsMoveset!A2:HX112,232,FALSE)+VLOOKUP(Backdoors!A42,BackdoorsMoveset!A2:HX112,232,FALSE)+VLOOKUP(Backdoors!A43,BackdoorsMoveset!A2:HX112,232,FALSE)+VLOOKUP(Backdoors!A44,BackdoorsMoveset!A2:HX112,232,FALSE)+VLOOKUP(Backdoors!A45,BackdoorsMoveset!A2:HX112,232,FALSE)+VLOOKUP(Backdoors!A46,BackdoorsMoveset!A2:HX112,232,FALSE)+VLOOKUP(Backdoors!A47,BackdoorsMoveset!A2:HX112,232,FALSE)+VLOOKUP(Backdoors!A48,BackdoorsMoveset!A2:HX112,232,FALSE)+VLOOKUP(Backdoors!A49,BackdoorsMoveset!A2:HX112,232,FALSE)+VLOOKUP(Backdoors!A50,BackdoorsMoveset!A2:HX112,232,FALSE)+VLOOKUP(Backdoors!A51,BackdoorsMoveset!A2:HX112,232,FALSE)+VLOOKUP(Backdoors!A52,BackdoorsMoveset!A2:HX112,232,FALSE)+VLOOKUP(Backdoors!A53,BackdoorsMoveset!A2:HX112,232,FALSE)+VLOOKUP(Backdoors!A54,BackdoorsMoveset!A2:HX112,232,FALSE)+VLOOKUP(Backdoors!A55,BackdoorsMoveset!A2:HX112,232,FALSE)+VLOOKUP(Backdoors!A56,BackdoorsMoveset!A2:HX112,232,FALSE)+VLOOKUP(Backdoors!A57,BackdoorsMoveset!A2:HX112,232,FALSE)+VLOOKUP(Backdoors!A58,BackdoorsMoveset!A2:HX112,232,FALSE)+VLOOKUP(Backdoors!A59,BackdoorsMoveset!A2:HX112,232,FALSE)+VLOOKUP(Backdoors!A60,BackdoorsMoveset!A2:HX112,232,FALSE)+VLOOKUP(Backdoors!A61,BackdoorsMoveset!A2:HX112,232,FALSE),0)</f>
        <v>0</v>
      </c>
      <c r="BO35" s="49">
        <f>IF(BN35=0,0,IF(OR(B9="Poison",$B11="Poison",B2="Light Bowgun",B2="Heavy Bowgun"),ROUND(Backdoors!A36*VLOOKUP(AO7,tbStatus!$A3:$F18,6,FALSE)*IF((AO16*AO50)&gt;1,1,(AO16*AO50)),0),IF(OR(B9="Blast",B11="Blast"),AR429,0)))</f>
        <v>0</v>
      </c>
      <c r="BP35">
        <f t="shared" si="0"/>
        <v>0</v>
      </c>
      <c r="BQ35" s="49" t="str">
        <f>CONCATENATE(AX35,IF(AND(BI35=TRUE,Calculator!B8=TRUE),CONCATENATE(" (Tenderized)"),""),IF(BP35=0,"",CONCATENATE(", ",BP35)))</f>
        <v/>
      </c>
      <c r="BR35" s="49">
        <f>VLOOKUP(Calculator!B4,SavedBuildNumbers!A1:AX73,34,FALSE)</f>
        <v>0</v>
      </c>
      <c r="BS35">
        <f>VLOOKUP(Calculator!B4,SavedBuildNumbers!A1:BW73,75,FALSE)</f>
        <v>0</v>
      </c>
      <c r="BU35" s="49">
        <f>IFERROR(ROUNDDOWN((IF((ROUND((VLOOKUP(tbMoveset!A35,tbMoveset!A2:F112,6,FALSE)+(IF(VLOOKUP(tbMoveset!A35,tbMoveset!A2:F112,6,FALSE)&gt;0,K41,0)))*(1+(IF(VLOOKUP(tbMoveset!A35,tbMoveset!A2:I112,9,FALSE)="Fire",VLOOKUP(Calculator!$E24,tbSkills!$AX3:$AZ9,3,FALSE),IF(VLOOKUP(tbMoveset!A35,tbMoveset!A2:I112,9,FALSE)="Water",VLOOKUP(Calculator!$E25,tbSkills!$AX3:$AZ9,3,FALSE),IF(VLOOKUP(BackdoorsMoveset!A35,tbMoveset!A2:I112,9,FALSE)="Thunder",VLOOKUP(Calculator!$E26,tbSkills!$AX3:$AZ9,3,FALSE),IF(VLOOKUP(tbMoveset!A35,tbMoveset!A2:I112,9,FALSE)="Ice",VLOOKUP(Calculator!$E27,tbSkills!$AX3:$AZ9,3,FALSE),IF(VLOOKUP(tbMoveset!A35,tbMoveset!A2:I112,9,FALSE)="Dragon",VLOOKUP(Calculator!$E28,tbSkills!$AX3:$AZ9,3,FALSE),0)))))/100))*AC7,0)+IF(VLOOKUP(tbMoveset!A35,tbMoveset!A2:F112,6,FALSE)&gt;0,IF(VLOOKUP(tbMoveset!A35,tbMoveset!A2:I112,9,FALSE)="Fire",VLOOKUP(Calculator!$E24,tbSkills!$AX3:$AY9,2,FALSE),IF(VLOOKUP(tbMoveset!A35,tbMoveset!A2:I112,9,FALSE)="Water",VLOOKUP(Calculator!$E25,tbSkills!$AX3:$AY9,2,FALSE),IF(VLOOKUP(tbMoveset!A35,tbMoveset!A2:I112,9,FALSE)="Thunder",VLOOKUP(Calculator!$E26,tbSkills!$AX3:$AY9,2,FALSE),IF(VLOOKUP(tbMoveset!A35,tbMoveset!A2:I112,9,FALSE)="Ice",VLOOKUP(Calculator!$E27,tbSkills!$AX3:$AY9,2,FALSE),IF(VLOOKUP(tbMoveset!A35,tbMoveset!A2:I112,9,FALSE)="Dragon",VLOOKUP(Calculator!$E28,tbSkills!$AX3:$AY9,2,FALSE),0))))),0)/10)&gt;=B34,B34,(ROUND((VLOOKUP(tbMoveset!A35,tbMoveset!A2:F112,6,FALSE)+(IF(VLOOKUP(tbMoveset!A35,tbMoveset!A2:F112,6,FALSE)&gt;0,K41,0)))*(1+(IF(VLOOKUP(tbMoveset!A35,tbMoveset!A2:I112,9,FALSE)="Fire",VLOOKUP(Calculator!$E24,tbSkills!$AX3:$AZ9,3,FALSE),IF(VLOOKUP(tbMoveset!A35,tbMoveset!A2:I112,9,FALSE)="Water",VLOOKUP(Calculator!$E25,tbSkills!$AX3:$AZ9,3,FALSE),IF(VLOOKUP(BackdoorsMoveset!A35,tbMoveset!A2:I112,9,FALSE)="Thunder",VLOOKUP(Calculator!$E26,tbSkills!$AX3:$AZ9,3,FALSE),IF(VLOOKUP(tbMoveset!A35,tbMoveset!A2:I112,9,FALSE)="Ice",VLOOKUP(Calculator!$E27,tbSkills!$AX3:$AZ9,3,FALSE),IF(VLOOKUP(tbMoveset!A35,tbMoveset!A2:I112,9,FALSE)="Dragon",VLOOKUP(Calculator!$E28,tbSkills!$AX3:$AZ9,3,FALSE),0)))))/100))*AC7,0)+IF(VLOOKUP(tbMoveset!A35,tbMoveset!A2:F112,6,FALSE)&gt;0,IF(VLOOKUP(tbMoveset!A35,tbMoveset!A2:I112,9,FALSE)="Fire",VLOOKUP(Calculator!$E24,tbSkills!$AX3:$AY9,2,FALSE),IF(VLOOKUP(tbMoveset!A35,tbMoveset!A2:I112,9,FALSE)="Water",VLOOKUP(Calculator!$E25,tbSkills!$AX3:$AY9,2,FALSE),IF(VLOOKUP(tbMoveset!A35,tbMoveset!A2:I112,9,FALSE)="Thunder",VLOOKUP(Calculator!$E26,tbSkills!$AX3:$AY9,2,FALSE),IF(VLOOKUP(tbMoveset!A35,tbMoveset!A2:I112,9,FALSE)="Ice",VLOOKUP(Calculator!$E27,tbSkills!$AX3:$AY9,2,FALSE),IF(VLOOKUP(tbMoveset!A35,tbMoveset!A2:I112,9,FALSE)="Dragon",VLOOKUP(Calculator!$E28,tbSkills!$AX3:$AY9,2,FALSE),0))))),0)/10))*N6)*AC6,0)*(B30/100),0)</f>
        <v>0</v>
      </c>
    </row>
    <row r="36" spans="1:73" x14ac:dyDescent="0.25">
      <c r="A36" s="67">
        <f>IF(HLOOKUP(Calculator!B7,Combos!B3:K29,2,FALSE)="",1,HLOOKUP(Calculator!B7,Combos!B3:K29,2,FALSE))</f>
        <v>6.3330000000000002</v>
      </c>
      <c r="J36" t="s">
        <v>870</v>
      </c>
      <c r="K36">
        <f>IF(B21=12,6,IF(B21=11,8,IF(B21=10,10,0)))</f>
        <v>0</v>
      </c>
      <c r="AN36" s="49" t="str">
        <f>IFERROR(INDEX(tbHitzones!K:K,MATCH(ROWS(tbHitzones!$1:19),tbHitzones!K:K,0)),"")</f>
        <v/>
      </c>
      <c r="AO36">
        <f>IF(OR(B2="Light Bowgun",B2="Heavy Bowgun"),IF(AI12&gt;=0,1+(IF(Calculator!E40&gt;0,VLOOKUP(Calculator!E40,tbSkills!AI3:AJ5,2,FALSE),AL4)*(IF((AI12+IF(BA21&gt;=0.45,VLOOKUP(Calculator!E23,tbSkills!DH3:DI6,2,FALSE)+IF(AND(Calculator!B8=TRUE,BI21=TRUE),VLOOKUP(Calculator!E23,tbSkills!DH3:DJ6,3,FALSE),0),0))&gt;=100,100,(AI12+IF(BA21&gt;=0.45,VLOOKUP(Calculator!E23,tbSkills!DH3:DI6,2,FALSE)+IF(AND(Calculator!B8=TRUE,BI21=TRUE),VLOOKUP(Calculator!E23,tbSkills!DH3:DJ6,3,FALSE),0),0)))/100)),1),VLOOKUP(Backdoors!A37,BackdoorsMoveset!A2:EC112,133,FALSE)+VLOOKUP(Backdoors!A38,BackdoorsMoveset!A2:EC112,133,FALSE)+VLOOKUP(Backdoors!A39,BackdoorsMoveset!A2:EC112,133,FALSE)+VLOOKUP(Backdoors!A40,BackdoorsMoveset!A2:EC112,133,FALSE)+VLOOKUP(Backdoors!A41,BackdoorsMoveset!A2:EC112,133,FALSE)+VLOOKUP(Backdoors!A42,BackdoorsMoveset!A2:EC112,133,FALSE)+VLOOKUP(Backdoors!A43,BackdoorsMoveset!A2:EC112,133,FALSE)+VLOOKUP(Backdoors!A44,BackdoorsMoveset!A2:EC112,133,FALSE)+VLOOKUP(Backdoors!A45,BackdoorsMoveset!A2:EC112,133,FALSE)+VLOOKUP(Backdoors!A46,BackdoorsMoveset!A2:EC112,133,FALSE)+VLOOKUP(Backdoors!A47,BackdoorsMoveset!A2:EC112,133,FALSE)+VLOOKUP(Backdoors!A48,BackdoorsMoveset!A2:EC112,133,FALSE)+VLOOKUP(Backdoors!A49,BackdoorsMoveset!A2:EC112,133,FALSE)+VLOOKUP(Backdoors!A50,BackdoorsMoveset!A2:EC112,133,FALSE)+VLOOKUP(Backdoors!A51,BackdoorsMoveset!A2:EC112,133,FALSE)+VLOOKUP(Backdoors!A52,BackdoorsMoveset!A2:EC112,133,FALSE)+VLOOKUP(Backdoors!A53,BackdoorsMoveset!A2:EC112,133,FALSE)+VLOOKUP(Backdoors!A54,BackdoorsMoveset!A2:EC112,133,FALSE)+VLOOKUP(Backdoors!A55,BackdoorsMoveset!A2:EC112,133,FALSE)+VLOOKUP(Backdoors!A56,BackdoorsMoveset!A2:EC112,133,FALSE)+VLOOKUP(Backdoors!A57,BackdoorsMoveset!A2:EC112,133,FALSE)+VLOOKUP(Backdoors!A58,BackdoorsMoveset!A2:EC112,133,FALSE)+VLOOKUP(Backdoors!A59,BackdoorsMoveset!A2:EC112,133,FALSE)+VLOOKUP(Backdoors!A60,BackdoorsMoveset!A2:EC112,133,FALSE)+VLOOKUP(Backdoors!A61,BackdoorsMoveset!A2:EC112,133,FALSE))</f>
        <v>14.299999999999999</v>
      </c>
      <c r="AQ36" t="s">
        <v>239</v>
      </c>
      <c r="AR36">
        <f>AR35*AR30</f>
        <v>0</v>
      </c>
      <c r="AT36">
        <v>35</v>
      </c>
      <c r="AU36">
        <f>$AU35+IF(AO12+((AO10*34)*AO11)&gt;AO13,AO13,AO12+((AO10*34)*AO11))</f>
        <v>10080</v>
      </c>
      <c r="AW36" s="49" t="str">
        <f>IFERROR(INDEX(tbHitzones!K:K,MATCH(ROWS(tbHitzones!$1:34),tbHitzones!K:K,0)),"")</f>
        <v/>
      </c>
      <c r="AX36" s="49" t="str">
        <f>IFERROR(INDEX(tbHitzones!B:B,MATCH(ROWS(tbHitzones!$1:34),tbHitzones!K:K,0)),"")</f>
        <v/>
      </c>
      <c r="AY36" s="49" t="str">
        <f>IFERROR(INDEX(tbHitzones!C:C,MATCH(ROWS(tbHitzones!$1:34),tbHitzones!K:K,0)),"")</f>
        <v/>
      </c>
      <c r="AZ36" s="49" t="str">
        <f>IFERROR(INDEX(tbHitzones!D:D,MATCH(ROWS(tbHitzones!$1:34),tbHitzones!K:K,0)),"")</f>
        <v/>
      </c>
      <c r="BA36" s="49" t="str">
        <f>IFERROR(INDEX(tbHitzones!E:E,MATCH(ROWS(tbHitzones!$1:34),tbHitzones!K:K,0)),"")</f>
        <v/>
      </c>
      <c r="BB36" s="49" t="str">
        <f>IFERROR(INDEX(tbHitzones!F:F,MATCH(ROWS(tbHitzones!$1:34),tbHitzones!K:K,0)),"")</f>
        <v/>
      </c>
      <c r="BC36" s="49" t="str">
        <f>IFERROR(INDEX(tbHitzones!G:G,MATCH(ROWS(tbHitzones!$1:34),tbHitzones!K:K,0)),"")</f>
        <v/>
      </c>
      <c r="BD36" s="49" t="str">
        <f>IFERROR(INDEX(tbHitzones!H:H,MATCH(ROWS(tbHitzones!$1:34),tbHitzones!K:K,0)),"")</f>
        <v/>
      </c>
      <c r="BE36" s="49" t="str">
        <f>IFERROR(INDEX(tbHitzones!I:I,MATCH(ROWS(tbHitzones!$1:34),tbHitzones!K:K,0)),"")</f>
        <v/>
      </c>
      <c r="BF36" s="49" t="str">
        <f>IFERROR(INDEX(tbHitzones!J:J,MATCH(ROWS(tbHitzones!$1:34),tbHitzones!K:K,0)),"")</f>
        <v/>
      </c>
      <c r="BG36" s="49">
        <f>IFERROR(IF(OR(B9="Fire",B11="Fire"),BB36,IF(OR(B9="Water",B11="Water"),BC36,IF(OR(B9="Thunder",B11="Thunder"),BD36,IF(OR(B9="Ice",B11="Ice"),BE36,IF(OR(B9="Dragon",B11="Dragon"),BF36,0))))),"")</f>
        <v>0</v>
      </c>
      <c r="BH36" s="49" t="str">
        <f>IFERROR(INDEX(tbHitzones!L:L,MATCH(ROWS(tbHitzones!$1:34),tbHitzones!K:K,0)),"")</f>
        <v/>
      </c>
      <c r="BI36" s="49" t="str">
        <f>IFERROR(INDEX(tbHitzones!M:M,MATCH(ROWS(tbHitzones!$1:34),tbHitzones!K:K,0)),"")</f>
        <v/>
      </c>
      <c r="BK36" s="49" t="str">
        <f>IFERROR(INDEX(tbHitzones!K:K,MATCH(ROWS(tbHitzones!$1:34),tbHitzones!K:K,0)),"")</f>
        <v/>
      </c>
      <c r="BL36">
        <f>IFERROR(VLOOKUP(Backdoors!A37,BackdoorsMoveset!A2:IB112,236,FALSE)+VLOOKUP(Backdoors!A38,BackdoorsMoveset!A2:IB112,236,FALSE)+VLOOKUP(Backdoors!A39,BackdoorsMoveset!A2:IB112,236,FALSE)+VLOOKUP(Backdoors!A40,BackdoorsMoveset!A2:IB112,236,FALSE)+VLOOKUP(Backdoors!A41,BackdoorsMoveset!A2:IB112,236,FALSE)+VLOOKUP(Backdoors!A42,BackdoorsMoveset!A2:IB112,236,FALSE)+VLOOKUP(Backdoors!A43,BackdoorsMoveset!A2:IB112,236,FALSE)+VLOOKUP(Backdoors!A44,BackdoorsMoveset!A2:IB112,236,FALSE)+VLOOKUP(Backdoors!A45,BackdoorsMoveset!A2:IB112,236,FALSE)+VLOOKUP(Backdoors!A46,BackdoorsMoveset!A2:IB112,236,FALSE)+VLOOKUP(Backdoors!A47,BackdoorsMoveset!A2:IB112,236,FALSE)+VLOOKUP(Backdoors!A48,BackdoorsMoveset!A2:IB112,236,FALSE)+VLOOKUP(Backdoors!A49,BackdoorsMoveset!A2:IB112,236,FALSE)+VLOOKUP(Backdoors!A50,BackdoorsMoveset!A2:IB112,236,FALSE)+VLOOKUP(Backdoors!A51,BackdoorsMoveset!A2:IB112,236,FALSE)+VLOOKUP(Backdoors!A52,BackdoorsMoveset!A2:IB112,236,FALSE)+VLOOKUP(Backdoors!A53,BackdoorsMoveset!A2:IB112,236,FALSE)+VLOOKUP(Backdoors!A54,BackdoorsMoveset!A2:IB112,236,FALSE)+VLOOKUP(Backdoors!A55,BackdoorsMoveset!A2:IB112,236,FALSE)+VLOOKUP(Backdoors!A56,BackdoorsMoveset!A2:IB112,236,FALSE)+VLOOKUP(Backdoors!A57,BackdoorsMoveset!A2:IB112,236,FALSE)+VLOOKUP(Backdoors!A58,BackdoorsMoveset!A2:IB112,236,FALSE)+VLOOKUP(Backdoors!A59,BackdoorsMoveset!A2:IB112,236,FALSE)+VLOOKUP(Backdoors!A60,BackdoorsMoveset!A2:IB112,236,FALSE)+VLOOKUP(Backdoors!A61,BackdoorsMoveset!A2:IB112,236,FALSE),0)</f>
        <v>0</v>
      </c>
      <c r="BM36">
        <f>IFERROR(VLOOKUP(Backdoors!A37,BackdoorsMoveset!A2:IC112,237,FALSE)+VLOOKUP(Backdoors!A38,BackdoorsMoveset!A2:IC112,237,FALSE)+VLOOKUP(Backdoors!A39,BackdoorsMoveset!A2:IC112,237,FALSE)+VLOOKUP(Backdoors!A40,BackdoorsMoveset!A2:IC112,237,FALSE)+VLOOKUP(Backdoors!A41,BackdoorsMoveset!A2:IC112,237,FALSE)+VLOOKUP(Backdoors!A42,BackdoorsMoveset!A2:IC112,237,FALSE)+VLOOKUP(Backdoors!A43,BackdoorsMoveset!A2:IC112,237,FALSE)+VLOOKUP(Backdoors!A44,BackdoorsMoveset!A2:IC112,237,FALSE)+VLOOKUP(Backdoors!A45,BackdoorsMoveset!A2:IC112,237,FALSE)+VLOOKUP(Backdoors!A46,BackdoorsMoveset!A2:IC112,237,FALSE)+VLOOKUP(Backdoors!A47,BackdoorsMoveset!A2:IC112,237,FALSE)+VLOOKUP(Backdoors!A48,BackdoorsMoveset!A2:IC112,237,FALSE)+VLOOKUP(Backdoors!A49,BackdoorsMoveset!A2:IC112,237,FALSE)+VLOOKUP(Backdoors!A50,BackdoorsMoveset!A2:IC112,237,FALSE)+VLOOKUP(Backdoors!A51,BackdoorsMoveset!A2:IC112,237,FALSE)+VLOOKUP(Backdoors!A52,BackdoorsMoveset!A2:IC112,237,FALSE)+VLOOKUP(Backdoors!A53,BackdoorsMoveset!A2:IC112,237,FALSE)+VLOOKUP(Backdoors!A54,BackdoorsMoveset!A2:IC112,237,FALSE)+VLOOKUP(Backdoors!A55,BackdoorsMoveset!A2:IC112,237,FALSE)+VLOOKUP(Backdoors!A56,BackdoorsMoveset!A2:IC112,237,FALSE)+VLOOKUP(Backdoors!A57,BackdoorsMoveset!A2:IC112,237,FALSE)+VLOOKUP(Backdoors!A58,BackdoorsMoveset!A2:IC112,237,FALSE)+VLOOKUP(Backdoors!A59,BackdoorsMoveset!A2:IC112,237,FALSE)+VLOOKUP(Backdoors!A60,BackdoorsMoveset!A2:IC112,237,FALSE)+VLOOKUP(Backdoors!A61,BackdoorsMoveset!A2:IC112,237,FALSE),0)</f>
        <v>0</v>
      </c>
      <c r="BN36">
        <f>IFERROR(VLOOKUP(Backdoors!A37,BackdoorsMoveset!A2:IE112,239,FALSE)+VLOOKUP(Backdoors!A38,BackdoorsMoveset!A2:IE112,239,FALSE)+VLOOKUP(Backdoors!A39,BackdoorsMoveset!A2:IE112,239,FALSE)+VLOOKUP(Backdoors!A40,BackdoorsMoveset!A2:IE112,239,FALSE)+VLOOKUP(Backdoors!A41,BackdoorsMoveset!A2:IE112,239,FALSE)+VLOOKUP(Backdoors!A42,BackdoorsMoveset!A2:IE112,239,FALSE)+VLOOKUP(Backdoors!A43,BackdoorsMoveset!A2:IE112,239,FALSE)+VLOOKUP(Backdoors!A44,BackdoorsMoveset!A2:IE112,239,FALSE)+VLOOKUP(Backdoors!A45,BackdoorsMoveset!A2:IE112,239,FALSE)+VLOOKUP(Backdoors!A46,BackdoorsMoveset!A2:IE112,239,FALSE)+VLOOKUP(Backdoors!A47,BackdoorsMoveset!A2:IE112,239,FALSE)+VLOOKUP(Backdoors!A48,BackdoorsMoveset!A2:IE112,239,FALSE)+VLOOKUP(Backdoors!A49,BackdoorsMoveset!A2:IE112,239,FALSE)+VLOOKUP(Backdoors!A50,BackdoorsMoveset!A2:IE112,239,FALSE)+VLOOKUP(Backdoors!A51,BackdoorsMoveset!A2:IE112,239,FALSE)+VLOOKUP(Backdoors!A52,BackdoorsMoveset!A2:IE112,239,FALSE)+VLOOKUP(Backdoors!A53,BackdoorsMoveset!A2:IE112,239,FALSE)+VLOOKUP(Backdoors!A54,BackdoorsMoveset!A2:IE112,239,FALSE)+VLOOKUP(Backdoors!A55,BackdoorsMoveset!A2:IE112,239,FALSE)+VLOOKUP(Backdoors!A56,BackdoorsMoveset!A2:IE112,239,FALSE)+VLOOKUP(Backdoors!A57,BackdoorsMoveset!A2:IE112,239,FALSE)+VLOOKUP(Backdoors!A58,BackdoorsMoveset!A2:IE112,239,FALSE)+VLOOKUP(Backdoors!A59,BackdoorsMoveset!A2:IE112,239,FALSE)+VLOOKUP(Backdoors!A60,BackdoorsMoveset!A2:IE112,239,FALSE)+VLOOKUP(Backdoors!A61,BackdoorsMoveset!A2:IE112,239,FALSE),0)</f>
        <v>0</v>
      </c>
      <c r="BO36" s="49">
        <f>IF(BN36=0,0,IF(OR(B9="Poison",$B11="Poison",B2="Light Bowgun",B2="Heavy Bowgun"),ROUND(Backdoors!A36*VLOOKUP(AO7,tbStatus!$A3:$F18,6,FALSE)*IF((AO16*AO51)&gt;1,1,(AO16*AO51)),0),IF(OR(B9="Blast",B11="Blast"),AR442,0)))</f>
        <v>0</v>
      </c>
      <c r="BP36">
        <f t="shared" si="0"/>
        <v>0</v>
      </c>
      <c r="BQ36" s="49" t="str">
        <f>CONCATENATE(AX36,IF(AND(BI36=TRUE,Calculator!B8=TRUE),CONCATENATE(" (Tenderized)"),""),IF(BP36=0,"",CONCATENATE(", ",BP36)))</f>
        <v/>
      </c>
      <c r="BR36" s="49">
        <f>VLOOKUP(Calculator!B4,SavedBuildNumbers!A1:AW73,35,FALSE)</f>
        <v>0</v>
      </c>
      <c r="BS36">
        <f>VLOOKUP(Calculator!B4,SavedBuildNumbers!A1:BX73,76,FALSE)</f>
        <v>0</v>
      </c>
      <c r="BU36" s="49">
        <f>IFERROR(ROUNDDOWN((IF((ROUND((VLOOKUP(tbMoveset!A36,tbMoveset!A2:F112,6,FALSE)+(IF(VLOOKUP(tbMoveset!A36,tbMoveset!A2:F112,6,FALSE)&gt;0,K41,0)))*(1+(IF(VLOOKUP(tbMoveset!A36,tbMoveset!A2:I112,9,FALSE)="Fire",VLOOKUP(Calculator!$E24,tbSkills!$AX3:$AZ9,3,FALSE),IF(VLOOKUP(tbMoveset!A36,tbMoveset!A2:I112,9,FALSE)="Water",VLOOKUP(Calculator!$E25,tbSkills!$AX3:$AZ9,3,FALSE),IF(VLOOKUP(BackdoorsMoveset!A36,tbMoveset!A2:I112,9,FALSE)="Thunder",VLOOKUP(Calculator!$E26,tbSkills!$AX3:$AZ9,3,FALSE),IF(VLOOKUP(tbMoveset!A36,tbMoveset!A2:I112,9,FALSE)="Ice",VLOOKUP(Calculator!$E27,tbSkills!$AX3:$AZ9,3,FALSE),IF(VLOOKUP(tbMoveset!A36,tbMoveset!A2:I112,9,FALSE)="Dragon",VLOOKUP(Calculator!$E28,tbSkills!$AX3:$AZ9,3,FALSE),0)))))/100))*AC7,0)+IF(VLOOKUP(tbMoveset!A36,tbMoveset!A2:F112,6,FALSE)&gt;0,IF(VLOOKUP(tbMoveset!A36,tbMoveset!A2:I112,9,FALSE)="Fire",VLOOKUP(Calculator!$E24,tbSkills!$AX3:$AY9,2,FALSE),IF(VLOOKUP(tbMoveset!A36,tbMoveset!A2:I112,9,FALSE)="Water",VLOOKUP(Calculator!$E25,tbSkills!$AX3:$AY9,2,FALSE),IF(VLOOKUP(tbMoveset!A36,tbMoveset!A2:I112,9,FALSE)="Thunder",VLOOKUP(Calculator!$E26,tbSkills!$AX3:$AY9,2,FALSE),IF(VLOOKUP(tbMoveset!A36,tbMoveset!A2:I112,9,FALSE)="Ice",VLOOKUP(Calculator!$E27,tbSkills!$AX3:$AY9,2,FALSE),IF(VLOOKUP(tbMoveset!A36,tbMoveset!A2:I112,9,FALSE)="Dragon",VLOOKUP(Calculator!$E28,tbSkills!$AX3:$AY9,2,FALSE),0))))),0)/10)&gt;=B34,B34,(ROUND((VLOOKUP(tbMoveset!A36,tbMoveset!A2:F112,6,FALSE)+(IF(VLOOKUP(tbMoveset!A36,tbMoveset!A2:F112,6,FALSE)&gt;0,K41,0)))*(1+(IF(VLOOKUP(tbMoveset!A36,tbMoveset!A2:I112,9,FALSE)="Fire",VLOOKUP(Calculator!$E24,tbSkills!$AX3:$AZ9,3,FALSE),IF(VLOOKUP(tbMoveset!A36,tbMoveset!A2:I112,9,FALSE)="Water",VLOOKUP(Calculator!$E25,tbSkills!$AX3:$AZ9,3,FALSE),IF(VLOOKUP(BackdoorsMoveset!A36,tbMoveset!A2:I112,9,FALSE)="Thunder",VLOOKUP(Calculator!$E26,tbSkills!$AX3:$AZ9,3,FALSE),IF(VLOOKUP(tbMoveset!A36,tbMoveset!A2:I112,9,FALSE)="Ice",VLOOKUP(Calculator!$E27,tbSkills!$AX3:$AZ9,3,FALSE),IF(VLOOKUP(tbMoveset!A36,tbMoveset!A2:I112,9,FALSE)="Dragon",VLOOKUP(Calculator!$E28,tbSkills!$AX3:$AZ9,3,FALSE),0)))))/100))*AC7,0)+IF(VLOOKUP(tbMoveset!A36,tbMoveset!A2:F112,6,FALSE)&gt;0,IF(VLOOKUP(tbMoveset!A36,tbMoveset!A2:I112,9,FALSE)="Fire",VLOOKUP(Calculator!$E24,tbSkills!$AX3:$AY9,2,FALSE),IF(VLOOKUP(tbMoveset!A36,tbMoveset!A2:I112,9,FALSE)="Water",VLOOKUP(Calculator!$E25,tbSkills!$AX3:$AY9,2,FALSE),IF(VLOOKUP(tbMoveset!A36,tbMoveset!A2:I112,9,FALSE)="Thunder",VLOOKUP(Calculator!$E26,tbSkills!$AX3:$AY9,2,FALSE),IF(VLOOKUP(tbMoveset!A36,tbMoveset!A2:I112,9,FALSE)="Ice",VLOOKUP(Calculator!$E27,tbSkills!$AX3:$AY9,2,FALSE),IF(VLOOKUP(tbMoveset!A36,tbMoveset!A2:I112,9,FALSE)="Dragon",VLOOKUP(Calculator!$E28,tbSkills!$AX3:$AY9,2,FALSE),0))))),0)/10))*N6)*AC6,0)*(B30/100),0)</f>
        <v>0</v>
      </c>
    </row>
    <row r="37" spans="1:73" x14ac:dyDescent="0.25">
      <c r="A37" s="66" t="str">
        <f>IF(AND(HLOOKUP(Calculator!B7,Combos!B3:K29,3,FALSE)="",A62=0),tbMoveset!A3,HLOOKUP(Calculator!B7,Combos!B3:K29,3,FALSE))</f>
        <v>Demon Fangs</v>
      </c>
      <c r="AN37" s="49" t="str">
        <f>IFERROR(INDEX(tbHitzones!K:K,MATCH(ROWS(tbHitzones!$1:20),tbHitzones!K:K,0)),"")</f>
        <v/>
      </c>
      <c r="AO37">
        <f>IF(OR(B2="Light Bowgun",B2="Heavy Bowgun"),IF(AI12&gt;=0,1+(IF(Calculator!E40&gt;0,VLOOKUP(Calculator!E40,tbSkills!AI3:AJ5,2,FALSE),AL4)*(IF((AI12+IF(BA22&gt;=0.45,VLOOKUP(Calculator!E23,tbSkills!DH3:DI6,2,FALSE)+IF(AND(Calculator!B8=TRUE,BI22=TRUE),VLOOKUP(Calculator!E23,tbSkills!DH3:DJ6,3,FALSE),0),0))&gt;=100,100,(AI12+IF(BA22&gt;=0.45,VLOOKUP(Calculator!E23,tbSkills!DH3:DI6,2,FALSE)+IF(AND(Calculator!B8=TRUE,BI22=TRUE),VLOOKUP(Calculator!E23,tbSkills!DH3:DJ6,3,FALSE),0),0)))/100)),1),VLOOKUP(Backdoors!A37,BackdoorsMoveset!A2:EJ112,140,FALSE)+VLOOKUP(Backdoors!A38,BackdoorsMoveset!A2:EJ112,140,FALSE)+VLOOKUP(Backdoors!A39,BackdoorsMoveset!A2:EJ112,140,FALSE)+VLOOKUP(Backdoors!A40,BackdoorsMoveset!A2:EJ112,140,FALSE)+VLOOKUP(Backdoors!A41,BackdoorsMoveset!A2:EJ112,140,FALSE)+VLOOKUP(Backdoors!A42,BackdoorsMoveset!A2:EJ112,140,FALSE)+VLOOKUP(Backdoors!A43,BackdoorsMoveset!A2:EJ112,140,FALSE)+VLOOKUP(Backdoors!A44,BackdoorsMoveset!A2:EJ112,140,FALSE)+VLOOKUP(Backdoors!A45,BackdoorsMoveset!A2:EJ112,140,FALSE)+VLOOKUP(Backdoors!A46,BackdoorsMoveset!A2:EJ112,140,FALSE)+VLOOKUP(Backdoors!A47,BackdoorsMoveset!A2:EJ112,140,FALSE)+VLOOKUP(Backdoors!A48,BackdoorsMoveset!A2:EJ112,140,FALSE)+VLOOKUP(Backdoors!A49,BackdoorsMoveset!A2:EJ112,140,FALSE)+VLOOKUP(Backdoors!A50,BackdoorsMoveset!A2:EJ112,140,FALSE)+VLOOKUP(Backdoors!A51,BackdoorsMoveset!A2:EJ112,140,FALSE)+VLOOKUP(Backdoors!A52,BackdoorsMoveset!A2:EJ112,140,FALSE)+VLOOKUP(Backdoors!A53,BackdoorsMoveset!A2:EJ112,140,FALSE)+VLOOKUP(Backdoors!A54,BackdoorsMoveset!A2:EJ112,140,FALSE)+VLOOKUP(Backdoors!A55,BackdoorsMoveset!A2:EJ112,140,FALSE)+VLOOKUP(Backdoors!A56,BackdoorsMoveset!A2:EJ112,140,FALSE)+VLOOKUP(Backdoors!A57,BackdoorsMoveset!A2:EJ112,140,FALSE)+VLOOKUP(Backdoors!A58,BackdoorsMoveset!A2:EJ112,140,FALSE)+VLOOKUP(Backdoors!A59,BackdoorsMoveset!A2:EJ112,140,FALSE)+VLOOKUP(Backdoors!A60,BackdoorsMoveset!A2:EJ112,140,FALSE)+VLOOKUP(Backdoors!A61,BackdoorsMoveset!A2:EJ112,140,FALSE))</f>
        <v>14.299999999999999</v>
      </c>
      <c r="AQ37" t="s">
        <v>240</v>
      </c>
      <c r="AR37">
        <f>IF($AR36&gt;=$AU51,50,IF($AR36&gt;=$AU50,49,IF($AR36&gt;=$AU49,48,IF($AR36&gt;=$AU48,47,IF($AR36&gt;=$AU47,46,IF($AR36&gt;=$AU46,45,IF($AR36&gt;=$AU45,44,IF($AR36&gt;=$AU44,43,IF($AR36&gt;=$AU43,42,IF($AR36&gt;=$AU42,41,IF($AR36&gt;=$AU41,40,IF($AR36&gt;=$AU40,39,IF($AR36&gt;=$AU39,38,IF($AR36&gt;=$AU38,37,IF($AR36&gt;=$AU37,36,IF($AR36&gt;=$AU36,35,IF($AR36&gt;=$AU35,34,IF($AR36&gt;=$AU34,33,IF($AR36&gt;=$AU33,32,IF($AR36&gt;=$AU32,31,IF($AR36&gt;=$AU31,30,IF($AR36&gt;=$AU30,29,IF($AR36&gt;=$AU29,28,IF($AR36&gt;=$AU28,27,IF($AR36&gt;=$AU27,26,IF($AR36&gt;=$AU26,25,IF($AR36&gt;=$AU25,24,IF($AR36&gt;=$AU24,23,IF($AR36&gt;=$AU23,22,IF($AR36&gt;=$AU22,21,IF($AR36&gt;=$AU21,20,IF($AR36&gt;=$AU20,19,IF($AR36&gt;=$AU19,18,IF($AR36&gt;=$AU18,17,IF($AR36&gt;=$AU17,16,IF($AR36&gt;=$AU16,15,IF($AR36&gt;=$AU15,14,IF($AR36&gt;=$AU14,13,IF($AR36&gt;=$AU13,12,IF($AR36&gt;=$AU12,11,IF($AR36&gt;=$AU11,10,IF($AR36&gt;=$AU10,9,IF($AR36&gt;=$AU9,8,IF($AR36&gt;=$AU8,7,IF($AR36&gt;=$AU7,6,IF($AR36&gt;=$AU6,5,IF($AR36&gt;=$AU5,4,IF($AR36&gt;=$AU4,3,IF($AR36&gt;=$AU3,2,IF($AR36&gt;=$AU2,1,0))))))))))))))))))))))))))))))))))))))))))))))))))</f>
        <v>0</v>
      </c>
      <c r="AT37">
        <v>36</v>
      </c>
      <c r="AU37">
        <f>$AU36+IF(AO12+((AO10*35)*AO11)&gt;AO13,AO13,AO12+((AO10*35)*AO11))</f>
        <v>10476</v>
      </c>
      <c r="AW37" s="49" t="str">
        <f>IFERROR(INDEX(tbHitzones!K:K,MATCH(ROWS(tbHitzones!$1:35),tbHitzones!K:K,0)),"")</f>
        <v/>
      </c>
      <c r="AX37" s="49" t="str">
        <f>IFERROR(INDEX(tbHitzones!B:B,MATCH(ROWS(tbHitzones!$1:35),tbHitzones!K:K,0)),"")</f>
        <v/>
      </c>
      <c r="AY37" s="49" t="str">
        <f>IFERROR(INDEX(tbHitzones!C:C,MATCH(ROWS(tbHitzones!$1:35),tbHitzones!K:K,0)),"")</f>
        <v/>
      </c>
      <c r="AZ37" s="49" t="str">
        <f>IFERROR(INDEX(tbHitzones!D:D,MATCH(ROWS(tbHitzones!$1:35),tbHitzones!K:K,0)),"")</f>
        <v/>
      </c>
      <c r="BA37" s="49" t="str">
        <f>IFERROR(INDEX(tbHitzones!E:E,MATCH(ROWS(tbHitzones!$1:35),tbHitzones!K:K,0)),"")</f>
        <v/>
      </c>
      <c r="BB37" s="49" t="str">
        <f>IFERROR(INDEX(tbHitzones!F:F,MATCH(ROWS(tbHitzones!$1:35),tbHitzones!K:K,0)),"")</f>
        <v/>
      </c>
      <c r="BC37" s="49" t="str">
        <f>IFERROR(INDEX(tbHitzones!G:G,MATCH(ROWS(tbHitzones!$1:35),tbHitzones!K:K,0)),"")</f>
        <v/>
      </c>
      <c r="BD37" s="49" t="str">
        <f>IFERROR(INDEX(tbHitzones!H:H,MATCH(ROWS(tbHitzones!$1:35),tbHitzones!K:K,0)),"")</f>
        <v/>
      </c>
      <c r="BE37" s="49" t="str">
        <f>IFERROR(INDEX(tbHitzones!I:I,MATCH(ROWS(tbHitzones!$1:35),tbHitzones!K:K,0)),"")</f>
        <v/>
      </c>
      <c r="BF37" s="49" t="str">
        <f>IFERROR(INDEX(tbHitzones!J:J,MATCH(ROWS(tbHitzones!$1:35),tbHitzones!K:K,0)),"")</f>
        <v/>
      </c>
      <c r="BG37" s="49">
        <f>IFERROR(IF(OR(B9="Fire",B11="Fire"),BB37,IF(OR(B9="Water",B11="Water"),BC37,IF(OR(B9="Thunder",B11="Thunder"),BD37,IF(OR(B9="Ice",B11="Ice"),BE37,IF(OR(B9="Dragon",B11="Dragon"),BF37,0))))),"")</f>
        <v>0</v>
      </c>
      <c r="BH37" s="49" t="str">
        <f>IFERROR(INDEX(tbHitzones!L:L,MATCH(ROWS(tbHitzones!$1:35),tbHitzones!K:K,0)),"")</f>
        <v/>
      </c>
      <c r="BI37" s="49" t="str">
        <f>IFERROR(INDEX(tbHitzones!M:M,MATCH(ROWS(tbHitzones!$1:35),tbHitzones!K:K,0)),"")</f>
        <v/>
      </c>
      <c r="BK37" s="49" t="str">
        <f>IFERROR(INDEX(tbHitzones!K:K,MATCH(ROWS(tbHitzones!$1:35),tbHitzones!K:K,0)),"")</f>
        <v/>
      </c>
      <c r="BL37">
        <f>IFERROR(VLOOKUP(Backdoors!A37,BackdoorsMoveset!A2:II112,243,FALSE)+VLOOKUP(Backdoors!A38,BackdoorsMoveset!A2:II112,243,FALSE)+VLOOKUP(Backdoors!A39,BackdoorsMoveset!A2:II112,243,FALSE)+VLOOKUP(Backdoors!A40,BackdoorsMoveset!A2:II112,243,FALSE)+VLOOKUP(Backdoors!A41,BackdoorsMoveset!A2:II112,243,FALSE)+VLOOKUP(Backdoors!A42,BackdoorsMoveset!A2:II112,243,FALSE)+VLOOKUP(Backdoors!A43,BackdoorsMoveset!A2:II112,243,FALSE)+VLOOKUP(Backdoors!A44,BackdoorsMoveset!A2:II112,243,FALSE)+VLOOKUP(Backdoors!A45,BackdoorsMoveset!A2:II112,243,FALSE)+VLOOKUP(Backdoors!A46,BackdoorsMoveset!A2:II112,243,FALSE)+VLOOKUP(Backdoors!A47,BackdoorsMoveset!A2:II112,243,FALSE)+VLOOKUP(Backdoors!A48,BackdoorsMoveset!A2:II112,243,FALSE)+VLOOKUP(Backdoors!A49,BackdoorsMoveset!A2:II112,243,FALSE)+VLOOKUP(Backdoors!A50,BackdoorsMoveset!A2:II112,243,FALSE)+VLOOKUP(Backdoors!A51,BackdoorsMoveset!A2:II112,243,FALSE)+VLOOKUP(Backdoors!A52,BackdoorsMoveset!A2:II112,243,FALSE)+VLOOKUP(Backdoors!A53,BackdoorsMoveset!A2:II112,243,FALSE)+VLOOKUP(Backdoors!A54,BackdoorsMoveset!A2:II112,243,FALSE)+VLOOKUP(Backdoors!A55,BackdoorsMoveset!A2:II112,243,FALSE)+VLOOKUP(Backdoors!A56,BackdoorsMoveset!A2:II112,243,FALSE)+VLOOKUP(Backdoors!A57,BackdoorsMoveset!A2:II112,243,FALSE)+VLOOKUP(Backdoors!A58,BackdoorsMoveset!A2:II112,243,FALSE)+VLOOKUP(Backdoors!A59,BackdoorsMoveset!A2:II112,243,FALSE)+VLOOKUP(Backdoors!A60,BackdoorsMoveset!A2:II112,243,FALSE)+VLOOKUP(Backdoors!A61,BackdoorsMoveset!A2:II112,243,FALSE),0)</f>
        <v>0</v>
      </c>
      <c r="BM37">
        <f>IFERROR(VLOOKUP(Backdoors!A37,BackdoorsMoveset!A2:IJ112,244,FALSE)+VLOOKUP(Backdoors!A38,BackdoorsMoveset!A2:IJ112,244,FALSE)+VLOOKUP(Backdoors!A39,BackdoorsMoveset!A2:IJ112,244,FALSE)+VLOOKUP(Backdoors!A40,BackdoorsMoveset!A2:IJ112,244,FALSE)+VLOOKUP(Backdoors!A41,BackdoorsMoveset!A2:IJ112,244,FALSE)+VLOOKUP(Backdoors!A42,BackdoorsMoveset!A2:IJ112,244,FALSE)+VLOOKUP(Backdoors!A43,BackdoorsMoveset!A2:IJ112,244,FALSE)+VLOOKUP(Backdoors!A44,BackdoorsMoveset!A2:IJ112,244,FALSE)+VLOOKUP(Backdoors!A45,BackdoorsMoveset!A2:IJ112,244,FALSE)+VLOOKUP(Backdoors!A46,BackdoorsMoveset!A2:IJ112,244,FALSE)+VLOOKUP(Backdoors!A47,BackdoorsMoveset!A2:IJ112,244,FALSE)+VLOOKUP(Backdoors!A48,BackdoorsMoveset!A2:IJ112,244,FALSE)+VLOOKUP(Backdoors!A49,BackdoorsMoveset!A2:IJ112,244,FALSE)+VLOOKUP(Backdoors!A50,BackdoorsMoveset!A2:IJ112,244,FALSE)+VLOOKUP(Backdoors!A51,BackdoorsMoveset!A2:IJ112,244,FALSE)+VLOOKUP(Backdoors!A52,BackdoorsMoveset!A2:IJ112,244,FALSE)+VLOOKUP(Backdoors!A53,BackdoorsMoveset!A2:IJ112,244,FALSE)+VLOOKUP(Backdoors!A54,BackdoorsMoveset!A2:IJ112,244,FALSE)+VLOOKUP(Backdoors!A55,BackdoorsMoveset!A2:IJ112,244,FALSE)+VLOOKUP(Backdoors!A56,BackdoorsMoveset!A2:IJ112,244,FALSE)+VLOOKUP(Backdoors!A57,BackdoorsMoveset!A2:IJ112,244,FALSE)+VLOOKUP(Backdoors!A58,BackdoorsMoveset!A2:IJ112,244,FALSE)+VLOOKUP(Backdoors!A59,BackdoorsMoveset!A2:IJ112,244,FALSE)+VLOOKUP(Backdoors!A60,BackdoorsMoveset!A2:IJ112,244,FALSE)+VLOOKUP(Backdoors!A61,BackdoorsMoveset!A2:IJ112,244,FALSE),0)</f>
        <v>0</v>
      </c>
      <c r="BN37">
        <f>IFERROR(VLOOKUP(Backdoors!A37,BackdoorsMoveset!A2:IL112,246,FALSE)+VLOOKUP(Backdoors!A38,BackdoorsMoveset!A2:IL112,246,FALSE)+VLOOKUP(Backdoors!A39,BackdoorsMoveset!A2:IL112,246,FALSE)+VLOOKUP(Backdoors!A40,BackdoorsMoveset!A2:IL112,246,FALSE)+VLOOKUP(Backdoors!A41,BackdoorsMoveset!A2:IL112,246,FALSE)+VLOOKUP(Backdoors!A42,BackdoorsMoveset!A2:IL112,246,FALSE)+VLOOKUP(Backdoors!A43,BackdoorsMoveset!A2:IL112,246,FALSE)+VLOOKUP(Backdoors!A44,BackdoorsMoveset!A2:IL112,246,FALSE)+VLOOKUP(Backdoors!A45,BackdoorsMoveset!A2:IL112,246,FALSE)+VLOOKUP(Backdoors!A46,BackdoorsMoveset!A2:IL112,246,FALSE)+VLOOKUP(Backdoors!A47,BackdoorsMoveset!A2:IL112,246,FALSE)+VLOOKUP(Backdoors!A48,BackdoorsMoveset!A2:IL112,246,FALSE)+VLOOKUP(Backdoors!A49,BackdoorsMoveset!A2:IL112,246,FALSE)+VLOOKUP(Backdoors!A50,BackdoorsMoveset!A2:IL112,246,FALSE)+VLOOKUP(Backdoors!A51,BackdoorsMoveset!A2:IL112,246,FALSE)+VLOOKUP(Backdoors!A52,BackdoorsMoveset!A2:IL112,246,FALSE)+VLOOKUP(Backdoors!A53,BackdoorsMoveset!A2:IL112,246,FALSE)+VLOOKUP(Backdoors!A54,BackdoorsMoveset!A2:IL112,246,FALSE)+VLOOKUP(Backdoors!A55,BackdoorsMoveset!A2:IL112,246,FALSE)+VLOOKUP(Backdoors!A56,BackdoorsMoveset!A2:IL112,246,FALSE)+VLOOKUP(Backdoors!A57,BackdoorsMoveset!A2:IL112,246,FALSE)+VLOOKUP(Backdoors!A58,BackdoorsMoveset!A2:IL112,246,FALSE)+VLOOKUP(Backdoors!A59,BackdoorsMoveset!A2:IL112,246,FALSE)+VLOOKUP(Backdoors!A60,BackdoorsMoveset!A2:IL112,246,FALSE)+VLOOKUP(Backdoors!A61,BackdoorsMoveset!A2:IL112,246,FALSE),0)</f>
        <v>0</v>
      </c>
      <c r="BO37" s="49">
        <f>IF(BN37=0,0,IF(OR(B9="Poison",$B11="Poison",B2="Light Bowgun",B2="Heavy Bowgun"),ROUND(Backdoors!A36*VLOOKUP(AO7,tbStatus!$A3:$F18,6,FALSE)*IF((AO16*AO52)&gt;1,1,(AO16*AO52)),0),IF(OR(B9="Blast",B11="Blast"),AR455,0)))</f>
        <v>0</v>
      </c>
      <c r="BP37">
        <f t="shared" si="0"/>
        <v>0</v>
      </c>
      <c r="BQ37" s="49" t="str">
        <f>CONCATENATE(AX37,IF(AND(BI37=TRUE,Calculator!B8=TRUE),CONCATENATE(" (Tenderized)"),""),IF(BP37=0,"",CONCATENATE(", ",BP37)))</f>
        <v/>
      </c>
      <c r="BR37" s="49">
        <f>VLOOKUP(Calculator!B4,SavedBuildNumbers!A1:AX73,36,FALSE)</f>
        <v>0</v>
      </c>
      <c r="BS37">
        <f>VLOOKUP(Calculator!B4,SavedBuildNumbers!A1:BY73,77,FALSE)</f>
        <v>0</v>
      </c>
      <c r="BU37" s="49">
        <f>IFERROR(ROUNDDOWN((IF((ROUND((VLOOKUP(tbMoveset!A37,tbMoveset!A2:F112,6,FALSE)+(IF(VLOOKUP(tbMoveset!A37,tbMoveset!A2:F112,6,FALSE)&gt;0,K41,0)))*(1+(IF(VLOOKUP(tbMoveset!A37,tbMoveset!A2:I112,9,FALSE)="Fire",VLOOKUP(Calculator!$E24,tbSkills!$AX3:$AZ9,3,FALSE),IF(VLOOKUP(tbMoveset!A37,tbMoveset!A2:I112,9,FALSE)="Water",VLOOKUP(Calculator!$E25,tbSkills!$AX3:$AZ9,3,FALSE),IF(VLOOKUP(BackdoorsMoveset!A37,tbMoveset!A2:I112,9,FALSE)="Thunder",VLOOKUP(Calculator!$E26,tbSkills!$AX3:$AZ9,3,FALSE),IF(VLOOKUP(tbMoveset!A37,tbMoveset!A2:I112,9,FALSE)="Ice",VLOOKUP(Calculator!$E27,tbSkills!$AX3:$AZ9,3,FALSE),IF(VLOOKUP(tbMoveset!A37,tbMoveset!A2:I112,9,FALSE)="Dragon",VLOOKUP(Calculator!$E28,tbSkills!$AX3:$AZ9,3,FALSE),0)))))/100))*AC7,0)+IF(VLOOKUP(tbMoveset!A37,tbMoveset!A2:F112,6,FALSE)&gt;0,IF(VLOOKUP(tbMoveset!A37,tbMoveset!A2:I112,9,FALSE)="Fire",VLOOKUP(Calculator!$E24,tbSkills!$AX3:$AY9,2,FALSE),IF(VLOOKUP(tbMoveset!A37,tbMoveset!A2:I112,9,FALSE)="Water",VLOOKUP(Calculator!$E25,tbSkills!$AX3:$AY9,2,FALSE),IF(VLOOKUP(tbMoveset!A37,tbMoveset!A2:I112,9,FALSE)="Thunder",VLOOKUP(Calculator!$E26,tbSkills!$AX3:$AY9,2,FALSE),IF(VLOOKUP(tbMoveset!A37,tbMoveset!A2:I112,9,FALSE)="Ice",VLOOKUP(Calculator!$E27,tbSkills!$AX3:$AY9,2,FALSE),IF(VLOOKUP(tbMoveset!A37,tbMoveset!A2:I112,9,FALSE)="Dragon",VLOOKUP(Calculator!$E28,tbSkills!$AX3:$AY9,2,FALSE),0))))),0)/10)&gt;=B34,B34,(ROUND((VLOOKUP(tbMoveset!A37,tbMoveset!A2:F112,6,FALSE)+(IF(VLOOKUP(tbMoveset!A37,tbMoveset!A2:F112,6,FALSE)&gt;0,K41,0)))*(1+(IF(VLOOKUP(tbMoveset!A37,tbMoveset!A2:I112,9,FALSE)="Fire",VLOOKUP(Calculator!$E24,tbSkills!$AX3:$AZ9,3,FALSE),IF(VLOOKUP(tbMoveset!A37,tbMoveset!A2:I112,9,FALSE)="Water",VLOOKUP(Calculator!$E25,tbSkills!$AX3:$AZ9,3,FALSE),IF(VLOOKUP(BackdoorsMoveset!A37,tbMoveset!A2:I112,9,FALSE)="Thunder",VLOOKUP(Calculator!$E26,tbSkills!$AX3:$AZ9,3,FALSE),IF(VLOOKUP(tbMoveset!A37,tbMoveset!A2:I112,9,FALSE)="Ice",VLOOKUP(Calculator!$E27,tbSkills!$AX3:$AZ9,3,FALSE),IF(VLOOKUP(tbMoveset!A37,tbMoveset!A2:I112,9,FALSE)="Dragon",VLOOKUP(Calculator!$E28,tbSkills!$AX3:$AZ9,3,FALSE),0)))))/100))*AC7,0)+IF(VLOOKUP(tbMoveset!A37,tbMoveset!A2:F112,6,FALSE)&gt;0,IF(VLOOKUP(tbMoveset!A37,tbMoveset!A2:I112,9,FALSE)="Fire",VLOOKUP(Calculator!$E24,tbSkills!$AX3:$AY9,2,FALSE),IF(VLOOKUP(tbMoveset!A37,tbMoveset!A2:I112,9,FALSE)="Water",VLOOKUP(Calculator!$E25,tbSkills!$AX3:$AY9,2,FALSE),IF(VLOOKUP(tbMoveset!A37,tbMoveset!A2:I112,9,FALSE)="Thunder",VLOOKUP(Calculator!$E26,tbSkills!$AX3:$AY9,2,FALSE),IF(VLOOKUP(tbMoveset!A37,tbMoveset!A2:I112,9,FALSE)="Ice",VLOOKUP(Calculator!$E27,tbSkills!$AX3:$AY9,2,FALSE),IF(VLOOKUP(tbMoveset!A37,tbMoveset!A2:I112,9,FALSE)="Dragon",VLOOKUP(Calculator!$E28,tbSkills!$AX3:$AY9,2,FALSE),0))))),0)/10))*N6)*AC6,0)*(B30/100),0)</f>
        <v>0</v>
      </c>
    </row>
    <row r="38" spans="1:73" x14ac:dyDescent="0.25">
      <c r="A38" s="67" t="str">
        <f>IFERROR(HLOOKUP(Calculator!B7,Combos!B3:K29,4,FALSE),"")</f>
        <v>Twofold Demon Slash (R)</v>
      </c>
      <c r="J38" s="113" t="s">
        <v>906</v>
      </c>
      <c r="K38" s="113"/>
      <c r="AN38" s="49" t="str">
        <f>IFERROR(INDEX(tbHitzones!K:K,MATCH(ROWS(tbHitzones!$1:21),tbHitzones!K:K,0)),"")</f>
        <v/>
      </c>
      <c r="AO38">
        <f>IF(OR(B2="Light Bowgun",B2="Heavy Bowgun"),IF(AI12&gt;=0,1+(IF(Calculator!E40&gt;0,VLOOKUP(Calculator!E40,tbSkills!AI3:AJ5,2,FALSE),AL4)*(IF((AI12+IF(BA23&gt;=0.45,VLOOKUP(Calculator!E23,tbSkills!DH3:DI6,2,FALSE)+IF(AND(Calculator!B8=TRUE,BI23=TRUE),VLOOKUP(Calculator!E23,tbSkills!DH3:DJ6,3,FALSE),0),0))&gt;=100,100,(AI12+IF(BA23&gt;=0.45,VLOOKUP(Calculator!E23,tbSkills!DH3:DI6,2,FALSE)+IF(AND(Calculator!B8=TRUE,BI23=TRUE),VLOOKUP(Calculator!E23,tbSkills!DH3:DJ6,3,FALSE),0),0)))/100)),1),VLOOKUP(Backdoors!A37,BackdoorsMoveset!A2:EQ112,147,FALSE)+VLOOKUP(Backdoors!A38,BackdoorsMoveset!A2:EQ112,147,FALSE)+VLOOKUP(Backdoors!A39,BackdoorsMoveset!A2:EQ112,147,FALSE)+VLOOKUP(Backdoors!A40,BackdoorsMoveset!A2:EQ112,147,FALSE)+VLOOKUP(Backdoors!A41,BackdoorsMoveset!A2:EQ112,147,FALSE)+VLOOKUP(Backdoors!A42,BackdoorsMoveset!A2:EQ112,147,FALSE)+VLOOKUP(Backdoors!A43,BackdoorsMoveset!A2:EQ112,147,FALSE)+VLOOKUP(Backdoors!A44,BackdoorsMoveset!A2:EQ112,147,FALSE)+VLOOKUP(Backdoors!A45,BackdoorsMoveset!A2:EQ112,147,FALSE)+VLOOKUP(Backdoors!A46,BackdoorsMoveset!A2:EQ112,147,FALSE)+VLOOKUP(Backdoors!A47,BackdoorsMoveset!A2:EQ112,147,FALSE)+VLOOKUP(Backdoors!A48,BackdoorsMoveset!A2:EQ112,147,FALSE)+VLOOKUP(Backdoors!A49,BackdoorsMoveset!A2:EQ112,147,FALSE)+VLOOKUP(Backdoors!A50,BackdoorsMoveset!A2:EQ112,147,FALSE)+VLOOKUP(Backdoors!A51,BackdoorsMoveset!A2:EQ112,147,FALSE)+VLOOKUP(Backdoors!A52,BackdoorsMoveset!A2:EQ112,147,FALSE)+VLOOKUP(Backdoors!A53,BackdoorsMoveset!A2:EQ112,147,FALSE)+VLOOKUP(Backdoors!A54,BackdoorsMoveset!A2:EQ112,147,FALSE)+VLOOKUP(Backdoors!A55,BackdoorsMoveset!A2:EQ112,147,FALSE)+VLOOKUP(Backdoors!A56,BackdoorsMoveset!A2:EQ112,147,FALSE)+VLOOKUP(Backdoors!A57,BackdoorsMoveset!A2:EQ112,147,FALSE)+VLOOKUP(Backdoors!A58,BackdoorsMoveset!A2:EQ112,147,FALSE)+VLOOKUP(Backdoors!A59,BackdoorsMoveset!A2:EQ112,147,FALSE)+VLOOKUP(Backdoors!A60,BackdoorsMoveset!A2:EQ112,147,FALSE)+VLOOKUP(Backdoors!A61,BackdoorsMoveset!A2:EQ112,147,FALSE))</f>
        <v>14.299999999999999</v>
      </c>
      <c r="AQ38" t="s">
        <v>241</v>
      </c>
      <c r="AR38">
        <f>AR37*VLOOKUP(AO8,tbStatus!A22:E33,5,FALSE)</f>
        <v>0</v>
      </c>
      <c r="AT38">
        <v>37</v>
      </c>
      <c r="AU38">
        <f>$AU37+IF(AO12+((AO10*36)*AO11)&gt;AO13,AO13,AO12+((AO10*36)*AO11))</f>
        <v>10872</v>
      </c>
      <c r="AW38" s="49" t="str">
        <f>IFERROR(INDEX(tbHitzones!K:K,MATCH(ROWS(tbHitzones!$1:36),tbHitzones!K:K,0)),"")</f>
        <v/>
      </c>
      <c r="AX38" s="49" t="str">
        <f>IFERROR(INDEX(tbHitzones!B:B,MATCH(ROWS(tbHitzones!$1:36),tbHitzones!K:K,0)),"")</f>
        <v/>
      </c>
      <c r="AY38" s="49" t="str">
        <f>IFERROR(INDEX(tbHitzones!C:C,MATCH(ROWS(tbHitzones!$1:36),tbHitzones!K:K,0)),"")</f>
        <v/>
      </c>
      <c r="AZ38" s="49" t="str">
        <f>IFERROR(INDEX(tbHitzones!D:D,MATCH(ROWS(tbHitzones!$1:36),tbHitzones!K:K,0)),"")</f>
        <v/>
      </c>
      <c r="BA38" s="49" t="str">
        <f>IFERROR(INDEX(tbHitzones!E:E,MATCH(ROWS(tbHitzones!$1:36),tbHitzones!K:K,0)),"")</f>
        <v/>
      </c>
      <c r="BB38" s="49" t="str">
        <f>IFERROR(INDEX(tbHitzones!F:F,MATCH(ROWS(tbHitzones!$1:36),tbHitzones!K:K,0)),"")</f>
        <v/>
      </c>
      <c r="BC38" s="49" t="str">
        <f>IFERROR(INDEX(tbHitzones!G:G,MATCH(ROWS(tbHitzones!$1:36),tbHitzones!K:K,0)),"")</f>
        <v/>
      </c>
      <c r="BD38" s="49" t="str">
        <f>IFERROR(INDEX(tbHitzones!H:H,MATCH(ROWS(tbHitzones!$1:36),tbHitzones!K:K,0)),"")</f>
        <v/>
      </c>
      <c r="BE38" s="49" t="str">
        <f>IFERROR(INDEX(tbHitzones!I:I,MATCH(ROWS(tbHitzones!$1:36),tbHitzones!K:K,0)),"")</f>
        <v/>
      </c>
      <c r="BF38" s="49" t="str">
        <f>IFERROR(INDEX(tbHitzones!J:J,MATCH(ROWS(tbHitzones!$1:36),tbHitzones!K:K,0)),"")</f>
        <v/>
      </c>
      <c r="BG38" s="49">
        <f>IFERROR(IF(OR(B9="Fire",B11="Fire"),BB38,IF(OR(B9="Water",B11="Water"),BC38,IF(OR(B9="Thunder",B11="Thunder"),BD38,IF(OR(B9="Ice",B11="Ice"),BE38,IF(OR(B9="Dragon",B11="Dragon"),BF38,0))))),"")</f>
        <v>0</v>
      </c>
      <c r="BH38" s="49" t="str">
        <f>IFERROR(INDEX(tbHitzones!L:L,MATCH(ROWS(tbHitzones!$1:36),tbHitzones!K:K,0)),"")</f>
        <v/>
      </c>
      <c r="BI38" s="49" t="str">
        <f>IFERROR(INDEX(tbHitzones!M:M,MATCH(ROWS(tbHitzones!$1:36),tbHitzones!K:K,0)),"")</f>
        <v/>
      </c>
      <c r="BK38" s="49" t="str">
        <f>IFERROR(INDEX(tbHitzones!K:K,MATCH(ROWS(tbHitzones!$1:36),tbHitzones!K:K,0)),"")</f>
        <v/>
      </c>
      <c r="BL38">
        <f>IFERROR(VLOOKUP(Backdoors!A37,BackdoorsMoveset!A2:IP112,250,FALSE)+VLOOKUP(Backdoors!A38,BackdoorsMoveset!A2:IP112,250,FALSE)+VLOOKUP(Backdoors!A39,BackdoorsMoveset!A2:IP112,250,FALSE)+VLOOKUP(Backdoors!A40,BackdoorsMoveset!A2:IP112,250,FALSE)+VLOOKUP(Backdoors!A41,BackdoorsMoveset!A2:IP112,250,FALSE)+VLOOKUP(Backdoors!A42,BackdoorsMoveset!A2:IP112,250,FALSE)+VLOOKUP(Backdoors!A43,BackdoorsMoveset!A2:IP112,250,FALSE)+VLOOKUP(Backdoors!A44,BackdoorsMoveset!A2:IP112,250,FALSE)+VLOOKUP(Backdoors!A45,BackdoorsMoveset!A2:IP112,250,FALSE)+VLOOKUP(Backdoors!A46,BackdoorsMoveset!A2:IP112,250,FALSE)+VLOOKUP(Backdoors!A47,BackdoorsMoveset!A2:IP112,250,FALSE)+VLOOKUP(Backdoors!A48,BackdoorsMoveset!A2:IP112,250,FALSE)+VLOOKUP(Backdoors!A49,BackdoorsMoveset!A2:IP112,250,FALSE)+VLOOKUP(Backdoors!A50,BackdoorsMoveset!A2:IP112,250,FALSE)+VLOOKUP(Backdoors!A51,BackdoorsMoveset!A2:IP112,250,FALSE)+VLOOKUP(Backdoors!A52,BackdoorsMoveset!A2:IP112,250,FALSE)+VLOOKUP(Backdoors!A53,BackdoorsMoveset!A2:IP112,250,FALSE)+VLOOKUP(Backdoors!A54,BackdoorsMoveset!A2:IP112,250,FALSE)+VLOOKUP(Backdoors!A55,BackdoorsMoveset!A2:IP112,250,FALSE)+VLOOKUP(Backdoors!A56,BackdoorsMoveset!A2:IP112,250,FALSE)+VLOOKUP(Backdoors!A57,BackdoorsMoveset!A2:IP112,250,FALSE)+VLOOKUP(Backdoors!A58,BackdoorsMoveset!A2:IP112,250,FALSE)+VLOOKUP(Backdoors!A59,BackdoorsMoveset!A2:IP112,250,FALSE)+VLOOKUP(Backdoors!A60,BackdoorsMoveset!A2:IP112,250,FALSE)+VLOOKUP(Backdoors!A61,BackdoorsMoveset!A2:IP112,250,FALSE),0)</f>
        <v>0</v>
      </c>
      <c r="BM38">
        <f>IFERROR(VLOOKUP(Backdoors!A37,BackdoorsMoveset!A2:IQ112,251,FALSE)+VLOOKUP(Backdoors!A38,BackdoorsMoveset!A2:IQ112,251,FALSE)+VLOOKUP(Backdoors!A39,BackdoorsMoveset!A2:IQ112,251,FALSE)+VLOOKUP(Backdoors!A40,BackdoorsMoveset!A2:IQ112,251,FALSE)+VLOOKUP(Backdoors!A41,BackdoorsMoveset!A2:IQ112,251,FALSE)+VLOOKUP(Backdoors!A42,BackdoorsMoveset!A2:IQ112,251,FALSE)+VLOOKUP(Backdoors!A43,BackdoorsMoveset!A2:IQ112,251,FALSE)+VLOOKUP(Backdoors!A44,BackdoorsMoveset!A2:IQ112,251,FALSE)+VLOOKUP(Backdoors!A45,BackdoorsMoveset!A2:IQ112,251,FALSE)+VLOOKUP(Backdoors!A46,BackdoorsMoveset!A2:IQ112,251,FALSE)+VLOOKUP(Backdoors!A47,BackdoorsMoveset!A2:IQ112,251,FALSE)+VLOOKUP(Backdoors!A48,BackdoorsMoveset!A2:IQ112,251,FALSE)+VLOOKUP(Backdoors!A49,BackdoorsMoveset!A2:IQ112,251,FALSE)+VLOOKUP(Backdoors!A50,BackdoorsMoveset!A2:IQ112,251,FALSE)+VLOOKUP(Backdoors!A51,BackdoorsMoveset!A2:IQ112,251,FALSE)+VLOOKUP(Backdoors!A52,BackdoorsMoveset!A2:IQ112,251,FALSE)+VLOOKUP(Backdoors!A53,BackdoorsMoveset!A2:IQ112,251,FALSE)+VLOOKUP(Backdoors!A54,BackdoorsMoveset!A2:IQ112,251,FALSE)+VLOOKUP(Backdoors!A55,BackdoorsMoveset!A2:IQ112,251,FALSE)+VLOOKUP(Backdoors!A56,BackdoorsMoveset!A2:IQ112,251,FALSE)+VLOOKUP(Backdoors!A57,BackdoorsMoveset!A2:IQ112,251,FALSE)+VLOOKUP(Backdoors!A58,BackdoorsMoveset!A2:IQ112,251,FALSE)+VLOOKUP(Backdoors!A59,BackdoorsMoveset!A2:IQ112,251,FALSE)+VLOOKUP(Backdoors!A60,BackdoorsMoveset!A2:IQ112,251,FALSE)+VLOOKUP(Backdoors!A61,BackdoorsMoveset!A2:IQ112,251,FALSE),0)</f>
        <v>0</v>
      </c>
      <c r="BN38">
        <f>IFERROR(VLOOKUP(Backdoors!A37,BackdoorsMoveset!A2:IS112,253,FALSE)+VLOOKUP(Backdoors!A38,BackdoorsMoveset!A2:IS112,253,FALSE)+VLOOKUP(Backdoors!A39,BackdoorsMoveset!A2:IS112,253,FALSE)+VLOOKUP(Backdoors!A40,BackdoorsMoveset!A2:IS112,253,FALSE)+VLOOKUP(Backdoors!A41,BackdoorsMoveset!A2:IS112,253,FALSE)+VLOOKUP(Backdoors!A42,BackdoorsMoveset!A2:IS112,253,FALSE)+VLOOKUP(Backdoors!A43,BackdoorsMoveset!A2:IS112,253,FALSE)+VLOOKUP(Backdoors!A44,BackdoorsMoveset!A2:IS112,253,FALSE)+VLOOKUP(Backdoors!A45,BackdoorsMoveset!A2:IS112,253,FALSE)+VLOOKUP(Backdoors!A46,BackdoorsMoveset!A2:IS112,253,FALSE)+VLOOKUP(Backdoors!A47,BackdoorsMoveset!A2:IS112,253,FALSE)+VLOOKUP(Backdoors!A48,BackdoorsMoveset!A2:IS112,253,FALSE)+VLOOKUP(Backdoors!A49,BackdoorsMoveset!A2:IS112,253,FALSE)+VLOOKUP(Backdoors!A50,BackdoorsMoveset!A2:IS112,253,FALSE)+VLOOKUP(Backdoors!A51,BackdoorsMoveset!A2:IS112,253,FALSE)+VLOOKUP(Backdoors!A52,BackdoorsMoveset!A2:IS112,253,FALSE)+VLOOKUP(Backdoors!A53,BackdoorsMoveset!A2:IS112,253,FALSE)+VLOOKUP(Backdoors!A54,BackdoorsMoveset!A2:IS112,253,FALSE)+VLOOKUP(Backdoors!A55,BackdoorsMoveset!A2:IS112,253,FALSE)+VLOOKUP(Backdoors!A56,BackdoorsMoveset!A2:IS112,253,FALSE)+VLOOKUP(Backdoors!A57,BackdoorsMoveset!A2:IS112,253,FALSE)+VLOOKUP(Backdoors!A58,BackdoorsMoveset!A2:IS112,253,FALSE)+VLOOKUP(Backdoors!A59,BackdoorsMoveset!A2:IS112,253,FALSE)+VLOOKUP(Backdoors!A60,BackdoorsMoveset!A2:IS112,253,FALSE)+VLOOKUP(Backdoors!A61,BackdoorsMoveset!A2:IS112,253,FALSE),0)</f>
        <v>0</v>
      </c>
      <c r="BO38" s="49">
        <f>IF(BN38=0,0,IF(OR(B9="Poison",$B11="Poison",B2="Light Bowgun",B2="Heavy Bowgun"),ROUND(Backdoors!A36*VLOOKUP(AO7,tbStatus!$A3:$F18,6,FALSE)*IF((AO16*AO53)&gt;1,1,(AO16*AO53)),0),IF(OR(B9="Blast",B11="Blast"),AR468,0)))</f>
        <v>0</v>
      </c>
      <c r="BP38">
        <f t="shared" si="0"/>
        <v>0</v>
      </c>
      <c r="BQ38" s="49" t="str">
        <f>CONCATENATE(AX38,IF(AND(BI38=TRUE,Calculator!B8=TRUE),CONCATENATE(" (Tenderized)"),""),IF(BP38=0,"",CONCATENATE(", ",BP38)))</f>
        <v/>
      </c>
      <c r="BR38" s="49">
        <f>VLOOKUP(Calculator!B4,SavedBuildNumbers!A1:AY73,37,FALSE)</f>
        <v>0</v>
      </c>
      <c r="BS38">
        <f>VLOOKUP(Calculator!B4,SavedBuildNumbers!A1:BZ73,78,FALSE)</f>
        <v>0</v>
      </c>
      <c r="BU38" s="49">
        <f>IFERROR(ROUNDDOWN((IF((ROUND((VLOOKUP(tbMoveset!A38,tbMoveset!A2:F112,6,FALSE)+(IF(VLOOKUP(tbMoveset!A38,tbMoveset!A2:F112,6,FALSE)&gt;0,K41,0)))*(1+(IF(VLOOKUP(tbMoveset!A38,tbMoveset!A2:I112,9,FALSE)="Fire",VLOOKUP(Calculator!$E24,tbSkills!$AX3:$AZ9,3,FALSE),IF(VLOOKUP(tbMoveset!A38,tbMoveset!A2:I112,9,FALSE)="Water",VLOOKUP(Calculator!$E25,tbSkills!$AX3:$AZ9,3,FALSE),IF(VLOOKUP(BackdoorsMoveset!A38,tbMoveset!A2:I112,9,FALSE)="Thunder",VLOOKUP(Calculator!$E26,tbSkills!$AX3:$AZ9,3,FALSE),IF(VLOOKUP(tbMoveset!A38,tbMoveset!A2:I112,9,FALSE)="Ice",VLOOKUP(Calculator!$E27,tbSkills!$AX3:$AZ9,3,FALSE),IF(VLOOKUP(tbMoveset!A38,tbMoveset!A2:I112,9,FALSE)="Dragon",VLOOKUP(Calculator!$E28,tbSkills!$AX3:$AZ9,3,FALSE),0)))))/100))*AC7,0)+IF(VLOOKUP(tbMoveset!A38,tbMoveset!A2:F112,6,FALSE)&gt;0,IF(VLOOKUP(tbMoveset!A38,tbMoveset!A2:I112,9,FALSE)="Fire",VLOOKUP(Calculator!$E24,tbSkills!$AX3:$AY9,2,FALSE),IF(VLOOKUP(tbMoveset!A38,tbMoveset!A2:I112,9,FALSE)="Water",VLOOKUP(Calculator!$E25,tbSkills!$AX3:$AY9,2,FALSE),IF(VLOOKUP(tbMoveset!A38,tbMoveset!A2:I112,9,FALSE)="Thunder",VLOOKUP(Calculator!$E26,tbSkills!$AX3:$AY9,2,FALSE),IF(VLOOKUP(tbMoveset!A38,tbMoveset!A2:I112,9,FALSE)="Ice",VLOOKUP(Calculator!$E27,tbSkills!$AX3:$AY9,2,FALSE),IF(VLOOKUP(tbMoveset!A38,tbMoveset!A2:I112,9,FALSE)="Dragon",VLOOKUP(Calculator!$E28,tbSkills!$AX3:$AY9,2,FALSE),0))))),0)/10)&gt;=B34,B34,(ROUND((VLOOKUP(tbMoveset!A38,tbMoveset!A2:F112,6,FALSE)+(IF(VLOOKUP(tbMoveset!A38,tbMoveset!A2:F112,6,FALSE)&gt;0,K41,0)))*(1+(IF(VLOOKUP(tbMoveset!A38,tbMoveset!A2:I112,9,FALSE)="Fire",VLOOKUP(Calculator!$E24,tbSkills!$AX3:$AZ9,3,FALSE),IF(VLOOKUP(tbMoveset!A38,tbMoveset!A2:I112,9,FALSE)="Water",VLOOKUP(Calculator!$E25,tbSkills!$AX3:$AZ9,3,FALSE),IF(VLOOKUP(BackdoorsMoveset!A38,tbMoveset!A2:I112,9,FALSE)="Thunder",VLOOKUP(Calculator!$E26,tbSkills!$AX3:$AZ9,3,FALSE),IF(VLOOKUP(tbMoveset!A38,tbMoveset!A2:I112,9,FALSE)="Ice",VLOOKUP(Calculator!$E27,tbSkills!$AX3:$AZ9,3,FALSE),IF(VLOOKUP(tbMoveset!A38,tbMoveset!A2:I112,9,FALSE)="Dragon",VLOOKUP(Calculator!$E28,tbSkills!$AX3:$AZ9,3,FALSE),0)))))/100))*AC7,0)+IF(VLOOKUP(tbMoveset!A38,tbMoveset!A2:F112,6,FALSE)&gt;0,IF(VLOOKUP(tbMoveset!A38,tbMoveset!A2:I112,9,FALSE)="Fire",VLOOKUP(Calculator!$E24,tbSkills!$AX3:$AY9,2,FALSE),IF(VLOOKUP(tbMoveset!A38,tbMoveset!A2:I112,9,FALSE)="Water",VLOOKUP(Calculator!$E25,tbSkills!$AX3:$AY9,2,FALSE),IF(VLOOKUP(tbMoveset!A38,tbMoveset!A2:I112,9,FALSE)="Thunder",VLOOKUP(Calculator!$E26,tbSkills!$AX3:$AY9,2,FALSE),IF(VLOOKUP(tbMoveset!A38,tbMoveset!A2:I112,9,FALSE)="Ice",VLOOKUP(Calculator!$E27,tbSkills!$AX3:$AY9,2,FALSE),IF(VLOOKUP(tbMoveset!A38,tbMoveset!A2:I112,9,FALSE)="Dragon",VLOOKUP(Calculator!$E28,tbSkills!$AX3:$AY9,2,FALSE),0))))),0)/10))*N6)*AC6,0)*(B30/100),0)</f>
        <v>0</v>
      </c>
    </row>
    <row r="39" spans="1:73" x14ac:dyDescent="0.25">
      <c r="A39" s="67" t="str">
        <f>IFERROR(HLOOKUP(Calculator!B7,Combos!B3:K29,5,FALSE),"")</f>
        <v>Twofold Demon Slash (L)</v>
      </c>
      <c r="J39" t="s">
        <v>907</v>
      </c>
      <c r="K39">
        <f>IF(K13&gt;=120,6,IF(K13&gt;=90,4,IF(K13&gt;=60,3,IF(K13&gt;=30,2,0))))</f>
        <v>0</v>
      </c>
      <c r="AN39" s="49" t="str">
        <f>IFERROR(INDEX(tbHitzones!K:K,MATCH(ROWS(tbHitzones!$1:22),tbHitzones!K:K,0)),"")</f>
        <v/>
      </c>
      <c r="AO39">
        <f>IF(OR(B2="Light Bowgun",B2="Heavy Bowgun"),IF(AI12&gt;=0,1+(IF(Calculator!E40&gt;0,VLOOKUP(Calculator!E40,tbSkills!AI3:AJ5,2,FALSE),AL4)*(IF((AI12+IF(BA24&gt;=0.45,VLOOKUP(Calculator!E23,tbSkills!DH3:DI6,2,FALSE)+IF(AND(Calculator!B8=TRUE,BI24=TRUE),VLOOKUP(Calculator!E23,tbSkills!DH3:DJ6,3,FALSE),0),0))&gt;=100,100,(AI12+IF(BA24&gt;=0.45,VLOOKUP(Calculator!E23,tbSkills!DH3:DI6,2,FALSE)+IF(AND(Calculator!B8=TRUE,BI24=TRUE),VLOOKUP(Calculator!E23,tbSkills!DH3:DJ6,3,FALSE),0),0)))/100)),1),VLOOKUP(Backdoors!A37,BackdoorsMoveset!A2:EX112,154,FALSE)+VLOOKUP(Backdoors!A38,BackdoorsMoveset!A2:EX112,154,FALSE)+VLOOKUP(Backdoors!A39,BackdoorsMoveset!A2:EX112,154,FALSE)+VLOOKUP(Backdoors!A40,BackdoorsMoveset!A2:EX112,154,FALSE)+VLOOKUP(Backdoors!A41,BackdoorsMoveset!A2:EX112,154,FALSE)+VLOOKUP(Backdoors!A42,BackdoorsMoveset!A2:EX112,154,FALSE)+VLOOKUP(Backdoors!A43,BackdoorsMoveset!A2:EX112,154,FALSE)+VLOOKUP(Backdoors!A44,BackdoorsMoveset!A2:EX112,154,FALSE)+VLOOKUP(Backdoors!A45,BackdoorsMoveset!A2:EX112,154,FALSE)+VLOOKUP(Backdoors!A46,BackdoorsMoveset!A2:EX112,154,FALSE)+VLOOKUP(Backdoors!A47,BackdoorsMoveset!A2:EX112,154,FALSE)+VLOOKUP(Backdoors!A48,BackdoorsMoveset!A2:EX112,154,FALSE)+VLOOKUP(Backdoors!A49,BackdoorsMoveset!A2:EX112,154,FALSE)+VLOOKUP(Backdoors!A50,BackdoorsMoveset!A2:EX112,154,FALSE)+VLOOKUP(Backdoors!A51,BackdoorsMoveset!A2:EX112,154,FALSE)+VLOOKUP(Backdoors!A52,BackdoorsMoveset!A2:EX112,154,FALSE)+VLOOKUP(Backdoors!A53,BackdoorsMoveset!A2:EX112,154,FALSE)+VLOOKUP(Backdoors!A54,BackdoorsMoveset!A2:EX112,154,FALSE)+VLOOKUP(Backdoors!A55,BackdoorsMoveset!A2:EX112,154,FALSE)+VLOOKUP(Backdoors!A56,BackdoorsMoveset!A2:EX112,154,FALSE)+VLOOKUP(Backdoors!A57,BackdoorsMoveset!A2:EX112,154,FALSE)+VLOOKUP(Backdoors!A58,BackdoorsMoveset!A2:EX112,154,FALSE)+VLOOKUP(Backdoors!A59,BackdoorsMoveset!A2:EX112,154,FALSE)+VLOOKUP(Backdoors!A60,BackdoorsMoveset!A2:EX112,154,FALSE)+VLOOKUP(Backdoors!A61,BackdoorsMoveset!A2:EX112,154,FALSE))</f>
        <v>14.299999999999999</v>
      </c>
      <c r="AQ39" t="s">
        <v>242</v>
      </c>
      <c r="AR39">
        <f>ROUND((AR38/N8)*BN5,0)</f>
        <v>0</v>
      </c>
      <c r="AT39">
        <v>38</v>
      </c>
      <c r="AU39">
        <f>$AU38+IF(AO12+((AO10*37)*AO11)&gt;AO13,AO13,AO12+((AO10*37)*AO11))</f>
        <v>11268</v>
      </c>
      <c r="AW39" s="49" t="str">
        <f>IFERROR(INDEX(tbHitzones!K:K,MATCH(ROWS(tbHitzones!$1:37),tbHitzones!K:K,0)),"")</f>
        <v/>
      </c>
      <c r="AX39" s="49" t="str">
        <f>IFERROR(INDEX(tbHitzones!B:B,MATCH(ROWS(tbHitzones!$1:37),tbHitzones!K:K,0)),"")</f>
        <v/>
      </c>
      <c r="AY39" s="49" t="str">
        <f>IFERROR(INDEX(tbHitzones!C:C,MATCH(ROWS(tbHitzones!$1:37),tbHitzones!K:K,0)),"")</f>
        <v/>
      </c>
      <c r="AZ39" s="49" t="str">
        <f>IFERROR(INDEX(tbHitzones!D:D,MATCH(ROWS(tbHitzones!$1:37),tbHitzones!K:K,0)),"")</f>
        <v/>
      </c>
      <c r="BA39" s="49" t="str">
        <f>IFERROR(INDEX(tbHitzones!E:E,MATCH(ROWS(tbHitzones!$1:37),tbHitzones!K:K,0)),"")</f>
        <v/>
      </c>
      <c r="BB39" s="49" t="str">
        <f>IFERROR(INDEX(tbHitzones!F:F,MATCH(ROWS(tbHitzones!$1:37),tbHitzones!K:K,0)),"")</f>
        <v/>
      </c>
      <c r="BC39" s="49" t="str">
        <f>IFERROR(INDEX(tbHitzones!G:G,MATCH(ROWS(tbHitzones!$1:37),tbHitzones!K:K,0)),"")</f>
        <v/>
      </c>
      <c r="BD39" s="49" t="str">
        <f>IFERROR(INDEX(tbHitzones!H:H,MATCH(ROWS(tbHitzones!$1:37),tbHitzones!K:K,0)),"")</f>
        <v/>
      </c>
      <c r="BE39" s="49" t="str">
        <f>IFERROR(INDEX(tbHitzones!I:I,MATCH(ROWS(tbHitzones!$1:37),tbHitzones!K:K,0)),"")</f>
        <v/>
      </c>
      <c r="BF39" s="49" t="str">
        <f>IFERROR(INDEX(tbHitzones!J:J,MATCH(ROWS(tbHitzones!$1:37),tbHitzones!K:K,0)),"")</f>
        <v/>
      </c>
      <c r="BG39" s="49">
        <f>IFERROR(IF(OR(B9="Fire",B11="Fire"),BB39,IF(OR(B9="Water",B11="Water"),BC39,IF(OR(B9="Thunder",B11="Thunder"),BD39,IF(OR(B9="Ice",B11="Ice"),BE39,IF(OR(B9="Dragon",B11="Dragon"),BF39,0))))),"")</f>
        <v>0</v>
      </c>
      <c r="BH39" s="49" t="str">
        <f>IFERROR(INDEX(tbHitzones!L:L,MATCH(ROWS(tbHitzones!$1:37),tbHitzones!K:K,0)),"")</f>
        <v/>
      </c>
      <c r="BI39" s="49" t="str">
        <f>IFERROR(INDEX(tbHitzones!M:M,MATCH(ROWS(tbHitzones!$1:37),tbHitzones!K:K,0)),"")</f>
        <v/>
      </c>
      <c r="BK39" s="49" t="str">
        <f>IFERROR(INDEX(tbHitzones!K:K,MATCH(ROWS(tbHitzones!$1:37),tbHitzones!K:K,0)),"")</f>
        <v/>
      </c>
      <c r="BL39">
        <f>IFERROR(VLOOKUP(Backdoors!A37,BackdoorsMoveset!A2:IW112,257,FALSE)+VLOOKUP(Backdoors!A38,BackdoorsMoveset!A2:IW112,257,FALSE)+VLOOKUP(Backdoors!A39,BackdoorsMoveset!A2:IW112,257,FALSE)+VLOOKUP(Backdoors!A40,BackdoorsMoveset!A2:IW112,257,FALSE)+VLOOKUP(Backdoors!A41,BackdoorsMoveset!A2:IW112,257,FALSE)+VLOOKUP(Backdoors!A42,BackdoorsMoveset!A2:IW112,257,FALSE)+VLOOKUP(Backdoors!A43,BackdoorsMoveset!A2:IW112,257,FALSE)+VLOOKUP(Backdoors!A44,BackdoorsMoveset!A2:IW112,257,FALSE)+VLOOKUP(Backdoors!A45,BackdoorsMoveset!A2:IW112,257,FALSE)+VLOOKUP(Backdoors!A46,BackdoorsMoveset!A2:IW112,257,FALSE)+VLOOKUP(Backdoors!A47,BackdoorsMoveset!A2:IW112,257,FALSE)+VLOOKUP(Backdoors!A48,BackdoorsMoveset!A2:IW112,257,FALSE)+VLOOKUP(Backdoors!A49,BackdoorsMoveset!A2:IW112,257,FALSE)+VLOOKUP(Backdoors!A50,BackdoorsMoveset!A2:IW112,257,FALSE)+VLOOKUP(Backdoors!A51,BackdoorsMoveset!A2:IW112,257,FALSE)+VLOOKUP(Backdoors!A52,BackdoorsMoveset!A2:IW112,257,FALSE)+VLOOKUP(Backdoors!A53,BackdoorsMoveset!A2:IW112,257,FALSE)+VLOOKUP(Backdoors!A54,BackdoorsMoveset!A2:IW112,257,FALSE)+VLOOKUP(Backdoors!A55,BackdoorsMoveset!A2:IW112,257,FALSE)+VLOOKUP(Backdoors!A56,BackdoorsMoveset!A2:IW112,257,FALSE)+VLOOKUP(Backdoors!A57,BackdoorsMoveset!A2:IW112,257,FALSE)+VLOOKUP(Backdoors!A58,BackdoorsMoveset!A2:IW112,257,FALSE)+VLOOKUP(Backdoors!A59,BackdoorsMoveset!A2:IW112,257,FALSE)+VLOOKUP(Backdoors!A60,BackdoorsMoveset!A2:IW112,257,FALSE)+VLOOKUP(Backdoors!A61,BackdoorsMoveset!A2:IW112,257,FALSE),0)</f>
        <v>0</v>
      </c>
      <c r="BM39">
        <f>IFERROR(VLOOKUP(Backdoors!A37,BackdoorsMoveset!A2:IX112,258,FALSE)+VLOOKUP(Backdoors!A38,BackdoorsMoveset!A2:IX112,258,FALSE)+VLOOKUP(Backdoors!A39,BackdoorsMoveset!A2:IX112,258,FALSE)+VLOOKUP(Backdoors!A40,BackdoorsMoveset!A2:IX112,258,FALSE)+VLOOKUP(Backdoors!A41,BackdoorsMoveset!A2:IX112,258,FALSE)+VLOOKUP(Backdoors!A42,BackdoorsMoveset!A2:IX112,258,FALSE)+VLOOKUP(Backdoors!A43,BackdoorsMoveset!A2:IX112,258,FALSE)+VLOOKUP(Backdoors!A44,BackdoorsMoveset!A2:IX112,258,FALSE)+VLOOKUP(Backdoors!A45,BackdoorsMoveset!A2:IX112,258,FALSE)+VLOOKUP(Backdoors!A46,BackdoorsMoveset!A2:IX112,258,FALSE)+VLOOKUP(Backdoors!A47,BackdoorsMoveset!A2:IX112,258,FALSE)+VLOOKUP(Backdoors!A48,BackdoorsMoveset!A2:IX112,258,FALSE)+VLOOKUP(Backdoors!A49,BackdoorsMoveset!A2:IX112,258,FALSE)+VLOOKUP(Backdoors!A50,BackdoorsMoveset!A2:IX112,258,FALSE)+VLOOKUP(Backdoors!A51,BackdoorsMoveset!A2:IX112,258,FALSE)+VLOOKUP(Backdoors!A52,BackdoorsMoveset!A2:IX112,258,FALSE)+VLOOKUP(Backdoors!A53,BackdoorsMoveset!A2:IX112,258,FALSE)+VLOOKUP(Backdoors!A54,BackdoorsMoveset!A2:IX112,258,FALSE)+VLOOKUP(Backdoors!A55,BackdoorsMoveset!A2:IX112,258,FALSE)+VLOOKUP(Backdoors!A56,BackdoorsMoveset!A2:IX112,258,FALSE)+VLOOKUP(Backdoors!A57,BackdoorsMoveset!A2:IX112,258,FALSE)+VLOOKUP(Backdoors!A58,BackdoorsMoveset!A2:IX112,258,FALSE)+VLOOKUP(Backdoors!A59,BackdoorsMoveset!A2:IX112,258,FALSE)+VLOOKUP(Backdoors!A60,BackdoorsMoveset!A2:IX112,258,FALSE)+VLOOKUP(Backdoors!A61,BackdoorsMoveset!A2:IX112,258,FALSE),0)</f>
        <v>0</v>
      </c>
      <c r="BN39">
        <f>IFERROR(VLOOKUP(Backdoors!A37,BackdoorsMoveset!A2:IZ112,260,FALSE)+VLOOKUP(Backdoors!A38,BackdoorsMoveset!A2:IZ112,260,FALSE)+VLOOKUP(Backdoors!A39,BackdoorsMoveset!A2:IZ112,260,FALSE)+VLOOKUP(Backdoors!A40,BackdoorsMoveset!A2:IZ112,260,FALSE)+VLOOKUP(Backdoors!A41,BackdoorsMoveset!A2:IZ112,260,FALSE)+VLOOKUP(Backdoors!A42,BackdoorsMoveset!A2:IZ112,260,FALSE)+VLOOKUP(Backdoors!A43,BackdoorsMoveset!A2:IZ112,260,FALSE)+VLOOKUP(Backdoors!A44,BackdoorsMoveset!A2:IZ112,260,FALSE)+VLOOKUP(Backdoors!A45,BackdoorsMoveset!A2:IZ112,260,FALSE)+VLOOKUP(Backdoors!A46,BackdoorsMoveset!A2:IZ112,260,FALSE)+VLOOKUP(Backdoors!A47,BackdoorsMoveset!A2:IZ112,260,FALSE)+VLOOKUP(Backdoors!A48,BackdoorsMoveset!A2:IZ112,260,FALSE)+VLOOKUP(Backdoors!A49,BackdoorsMoveset!A2:IZ112,260,FALSE)+VLOOKUP(Backdoors!A50,BackdoorsMoveset!A2:IZ112,260,FALSE)+VLOOKUP(Backdoors!A51,BackdoorsMoveset!A2:IZ112,260,FALSE)+VLOOKUP(Backdoors!A52,BackdoorsMoveset!A2:IZ112,260,FALSE)+VLOOKUP(Backdoors!A53,BackdoorsMoveset!A2:IZ112,260,FALSE)+VLOOKUP(Backdoors!A54,BackdoorsMoveset!A2:IZ112,260,FALSE)+VLOOKUP(Backdoors!A55,BackdoorsMoveset!A2:IZ112,260,FALSE)+VLOOKUP(Backdoors!A56,BackdoorsMoveset!A2:IZ112,260,FALSE)+VLOOKUP(Backdoors!A57,BackdoorsMoveset!A2:IZ112,260,FALSE)+VLOOKUP(Backdoors!A58,BackdoorsMoveset!A2:IZ112,260,FALSE)+VLOOKUP(Backdoors!A59,BackdoorsMoveset!A2:IZ112,260,FALSE)+VLOOKUP(Backdoors!A60,BackdoorsMoveset!A2:IZ112,260,FALSE)+VLOOKUP(Backdoors!A61,BackdoorsMoveset!A2:IZ112,260,FALSE),0)</f>
        <v>0</v>
      </c>
      <c r="BO39" s="49">
        <f>IF(BN39=0,0,IF(OR(B9="Poison",$B11="Poison",B2="Light Bowgun",B2="Heavy Bowgun"),ROUND(Backdoors!A36*VLOOKUP(AO7,tbStatus!$A3:$F18,6,FALSE)*IF((AO16*AO54)&gt;1,1,(AO16*AO54)),0),IF(OR(B9="Blast",B11="Blast"),AR481,0)))</f>
        <v>0</v>
      </c>
      <c r="BP39">
        <f t="shared" si="0"/>
        <v>0</v>
      </c>
      <c r="BQ39" s="49" t="str">
        <f>CONCATENATE(AX39,IF(AND(BI39=TRUE,Calculator!B8=TRUE),CONCATENATE(" (Tenderized)"),""),IF(BP39=0,"",CONCATENATE(", ",BP39)))</f>
        <v/>
      </c>
      <c r="BR39" s="49">
        <f>VLOOKUP(Calculator!B4,SavedBuildNumbers!A1:AY73,38,FALSE)</f>
        <v>0</v>
      </c>
      <c r="BS39">
        <f>VLOOKUP(Calculator!B4,SavedBuildNumbers!A1:CA73,79,FALSE)</f>
        <v>0</v>
      </c>
      <c r="BU39" s="49">
        <f>IFERROR(ROUNDDOWN((IF((ROUND((VLOOKUP(tbMoveset!A39,tbMoveset!A2:F112,6,FALSE)+(IF(VLOOKUP(tbMoveset!A39,tbMoveset!A2:F112,6,FALSE)&gt;0,K41,0)))*(1+(IF(VLOOKUP(tbMoveset!A39,tbMoveset!A2:I112,9,FALSE)="Fire",VLOOKUP(Calculator!$E24,tbSkills!$AX3:$AZ9,3,FALSE),IF(VLOOKUP(tbMoveset!A39,tbMoveset!A2:I112,9,FALSE)="Water",VLOOKUP(Calculator!$E25,tbSkills!$AX3:$AZ9,3,FALSE),IF(VLOOKUP(BackdoorsMoveset!A39,tbMoveset!A2:I112,9,FALSE)="Thunder",VLOOKUP(Calculator!$E26,tbSkills!$AX3:$AZ9,3,FALSE),IF(VLOOKUP(tbMoveset!A39,tbMoveset!A2:I112,9,FALSE)="Ice",VLOOKUP(Calculator!$E27,tbSkills!$AX3:$AZ9,3,FALSE),IF(VLOOKUP(tbMoveset!A39,tbMoveset!A2:I112,9,FALSE)="Dragon",VLOOKUP(Calculator!$E28,tbSkills!$AX3:$AZ9,3,FALSE),0)))))/100))*AC7,0)+IF(VLOOKUP(tbMoveset!A39,tbMoveset!A2:F112,6,FALSE)&gt;0,IF(VLOOKUP(tbMoveset!A39,tbMoveset!A2:I112,9,FALSE)="Fire",VLOOKUP(Calculator!$E24,tbSkills!$AX3:$AY9,2,FALSE),IF(VLOOKUP(tbMoveset!A39,tbMoveset!A2:I112,9,FALSE)="Water",VLOOKUP(Calculator!$E25,tbSkills!$AX3:$AY9,2,FALSE),IF(VLOOKUP(tbMoveset!A39,tbMoveset!A2:I112,9,FALSE)="Thunder",VLOOKUP(Calculator!$E26,tbSkills!$AX3:$AY9,2,FALSE),IF(VLOOKUP(tbMoveset!A39,tbMoveset!A2:I112,9,FALSE)="Ice",VLOOKUP(Calculator!$E27,tbSkills!$AX3:$AY9,2,FALSE),IF(VLOOKUP(tbMoveset!A39,tbMoveset!A2:I112,9,FALSE)="Dragon",VLOOKUP(Calculator!$E28,tbSkills!$AX3:$AY9,2,FALSE),0))))),0)/10)&gt;=B34,B34,(ROUND((VLOOKUP(tbMoveset!A39,tbMoveset!A2:F112,6,FALSE)+(IF(VLOOKUP(tbMoveset!A39,tbMoveset!A2:F112,6,FALSE)&gt;0,K41,0)))*(1+(IF(VLOOKUP(tbMoveset!A39,tbMoveset!A2:I112,9,FALSE)="Fire",VLOOKUP(Calculator!$E24,tbSkills!$AX3:$AZ9,3,FALSE),IF(VLOOKUP(tbMoveset!A39,tbMoveset!A2:I112,9,FALSE)="Water",VLOOKUP(Calculator!$E25,tbSkills!$AX3:$AZ9,3,FALSE),IF(VLOOKUP(BackdoorsMoveset!A39,tbMoveset!A2:I112,9,FALSE)="Thunder",VLOOKUP(Calculator!$E26,tbSkills!$AX3:$AZ9,3,FALSE),IF(VLOOKUP(tbMoveset!A39,tbMoveset!A2:I112,9,FALSE)="Ice",VLOOKUP(Calculator!$E27,tbSkills!$AX3:$AZ9,3,FALSE),IF(VLOOKUP(tbMoveset!A39,tbMoveset!A2:I112,9,FALSE)="Dragon",VLOOKUP(Calculator!$E28,tbSkills!$AX3:$AZ9,3,FALSE),0)))))/100))*AC7,0)+IF(VLOOKUP(tbMoveset!A39,tbMoveset!A2:F112,6,FALSE)&gt;0,IF(VLOOKUP(tbMoveset!A39,tbMoveset!A2:I112,9,FALSE)="Fire",VLOOKUP(Calculator!$E24,tbSkills!$AX3:$AY9,2,FALSE),IF(VLOOKUP(tbMoveset!A39,tbMoveset!A2:I112,9,FALSE)="Water",VLOOKUP(Calculator!$E25,tbSkills!$AX3:$AY9,2,FALSE),IF(VLOOKUP(tbMoveset!A39,tbMoveset!A2:I112,9,FALSE)="Thunder",VLOOKUP(Calculator!$E26,tbSkills!$AX3:$AY9,2,FALSE),IF(VLOOKUP(tbMoveset!A39,tbMoveset!A2:I112,9,FALSE)="Ice",VLOOKUP(Calculator!$E27,tbSkills!$AX3:$AY9,2,FALSE),IF(VLOOKUP(tbMoveset!A39,tbMoveset!A2:I112,9,FALSE)="Dragon",VLOOKUP(Calculator!$E28,tbSkills!$AX3:$AY9,2,FALSE),0))))),0)/10))*N6)*AC6,0)*(B30/100),0)</f>
        <v>0</v>
      </c>
    </row>
    <row r="40" spans="1:73" x14ac:dyDescent="0.25">
      <c r="A40" s="67" t="str">
        <f>IFERROR(HLOOKUP(Calculator!B7,Combos!B3:K29,6,FALSE),"")</f>
        <v>Sixfold Demon Slash (L1)</v>
      </c>
      <c r="J40" t="s">
        <v>907</v>
      </c>
      <c r="K40">
        <f>K26</f>
        <v>0</v>
      </c>
      <c r="AN40" s="49" t="str">
        <f>IFERROR(INDEX(tbHitzones!K:K,MATCH(ROWS(tbHitzones!$1:23),tbHitzones!K:K,0)),"")</f>
        <v/>
      </c>
      <c r="AO40">
        <f>IF(OR(B2="Light Bowgun",B2="Heavy Bowgun"),IF(AI12&gt;=0,1+(IF(Calculator!E40&gt;0,VLOOKUP(Calculator!E40,tbSkills!AI3:AJ5,2,FALSE),AL4)*(IF((AI12+IF(BA25&gt;=0.45,VLOOKUP(Calculator!E23,tbSkills!DH3:DI6,2,FALSE)+IF(AND(Calculator!B8=TRUE,BI25=TRUE),VLOOKUP(Calculator!E23,tbSkills!DH3:DJ6,3,FALSE),0),0))&gt;=100,100,(AI12+IF(BA25&gt;=0.45,VLOOKUP(Calculator!E23,tbSkills!DH3:DI6,2,FALSE)+IF(AND(Calculator!B8=TRUE,BI25=TRUE),VLOOKUP(Calculator!E23,tbSkills!DH3:DJ6,3,FALSE),0),0)))/100)),1),VLOOKUP(Backdoors!A37,BackdoorsMoveset!A2:FE112,161,FALSE)+VLOOKUP(Backdoors!A38,BackdoorsMoveset!A2:FE112,161,FALSE)+VLOOKUP(Backdoors!A39,BackdoorsMoveset!A2:FE112,161,FALSE)+VLOOKUP(Backdoors!A40,BackdoorsMoveset!A2:FE112,161,FALSE)+VLOOKUP(Backdoors!A41,BackdoorsMoveset!A2:FE112,161,FALSE)+VLOOKUP(Backdoors!A42,BackdoorsMoveset!A2:FE112,161,FALSE)+VLOOKUP(Backdoors!A43,BackdoorsMoveset!A2:FE112,161,FALSE)+VLOOKUP(Backdoors!A44,BackdoorsMoveset!A2:FE112,161,FALSE)+VLOOKUP(Backdoors!A45,BackdoorsMoveset!A2:FE112,161,FALSE)+VLOOKUP(Backdoors!A46,BackdoorsMoveset!A2:FE112,161,FALSE)+VLOOKUP(Backdoors!A47,BackdoorsMoveset!A2:FE112,161,FALSE)+VLOOKUP(Backdoors!A48,BackdoorsMoveset!A2:FE112,161,FALSE)+VLOOKUP(Backdoors!A49,BackdoorsMoveset!A2:FE112,161,FALSE)+VLOOKUP(Backdoors!A50,BackdoorsMoveset!A2:FE112,161,FALSE)+VLOOKUP(Backdoors!A51,BackdoorsMoveset!A2:FE112,161,FALSE)+VLOOKUP(Backdoors!A52,BackdoorsMoveset!A2:FE112,161,FALSE)+VLOOKUP(Backdoors!A53,BackdoorsMoveset!A2:FE112,161,FALSE)+VLOOKUP(Backdoors!A54,BackdoorsMoveset!A2:FE112,161,FALSE)+VLOOKUP(Backdoors!A55,BackdoorsMoveset!A2:FE112,161,FALSE)+VLOOKUP(Backdoors!A56,BackdoorsMoveset!A2:FE112,161,FALSE)+VLOOKUP(Backdoors!A57,BackdoorsMoveset!A2:FE112,161,FALSE)+VLOOKUP(Backdoors!A58,BackdoorsMoveset!A2:FE112,161,FALSE)+VLOOKUP(Backdoors!A59,BackdoorsMoveset!A2:FE112,161,FALSE)+VLOOKUP(Backdoors!A60,BackdoorsMoveset!A2:FE112,161,FALSE)+VLOOKUP(Backdoors!A61,BackdoorsMoveset!A2:FE112,161,FALSE))</f>
        <v>14.299999999999999</v>
      </c>
      <c r="AT40">
        <v>39</v>
      </c>
      <c r="AU40">
        <f>$AU39+IF(AO12+((AO10*38)*AO11)&gt;AO13,AO13,AO12+((AO10*38)*AO11))</f>
        <v>11664</v>
      </c>
      <c r="AW40" s="49" t="str">
        <f>IFERROR(INDEX(tbHitzones!K:K,MATCH(ROWS(tbHitzones!$1:38),tbHitzones!K:K,0)),"")</f>
        <v/>
      </c>
      <c r="AX40" s="49" t="str">
        <f>IFERROR(INDEX(tbHitzones!B:B,MATCH(ROWS(tbHitzones!$1:38),tbHitzones!K:K,0)),"")</f>
        <v/>
      </c>
      <c r="AY40" s="49" t="str">
        <f>IFERROR(INDEX(tbHitzones!C:C,MATCH(ROWS(tbHitzones!$1:38),tbHitzones!K:K,0)),"")</f>
        <v/>
      </c>
      <c r="AZ40" s="49" t="str">
        <f>IFERROR(INDEX(tbHitzones!D:D,MATCH(ROWS(tbHitzones!$1:38),tbHitzones!K:K,0)),"")</f>
        <v/>
      </c>
      <c r="BA40" s="49" t="str">
        <f>IFERROR(INDEX(tbHitzones!E:E,MATCH(ROWS(tbHitzones!$1:38),tbHitzones!K:K,0)),"")</f>
        <v/>
      </c>
      <c r="BB40" s="49" t="str">
        <f>IFERROR(INDEX(tbHitzones!F:F,MATCH(ROWS(tbHitzones!$1:38),tbHitzones!K:K,0)),"")</f>
        <v/>
      </c>
      <c r="BC40" s="49" t="str">
        <f>IFERROR(INDEX(tbHitzones!G:G,MATCH(ROWS(tbHitzones!$1:38),tbHitzones!K:K,0)),"")</f>
        <v/>
      </c>
      <c r="BD40" s="49" t="str">
        <f>IFERROR(INDEX(tbHitzones!H:H,MATCH(ROWS(tbHitzones!$1:38),tbHitzones!K:K,0)),"")</f>
        <v/>
      </c>
      <c r="BE40" s="49" t="str">
        <f>IFERROR(INDEX(tbHitzones!I:I,MATCH(ROWS(tbHitzones!$1:38),tbHitzones!K:K,0)),"")</f>
        <v/>
      </c>
      <c r="BF40" s="49" t="str">
        <f>IFERROR(INDEX(tbHitzones!J:J,MATCH(ROWS(tbHitzones!$1:38),tbHitzones!K:K,0)),"")</f>
        <v/>
      </c>
      <c r="BG40" s="49">
        <f>IFERROR(IF(OR(B9="Fire",B11="Fire"),BB40,IF(OR(B9="Water",B11="Water"),BC40,IF(OR(B9="Thunder",B11="Thunder"),BD40,IF(OR(B9="Ice",B11="Ice"),BE40,IF(OR(B9="Dragon",B11="Dragon"),BF40,0))))),"")</f>
        <v>0</v>
      </c>
      <c r="BH40" s="49" t="str">
        <f>IFERROR(INDEX(tbHitzones!L:L,MATCH(ROWS(tbHitzones!$1:38),tbHitzones!K:K,0)),"")</f>
        <v/>
      </c>
      <c r="BI40" s="49" t="str">
        <f>IFERROR(INDEX(tbHitzones!M:M,MATCH(ROWS(tbHitzones!$1:38),tbHitzones!K:K,0)),"")</f>
        <v/>
      </c>
      <c r="BK40" s="49" t="str">
        <f>IFERROR(INDEX(tbHitzones!K:K,MATCH(ROWS(tbHitzones!$1:38),tbHitzones!K:K,0)),"")</f>
        <v/>
      </c>
      <c r="BL40">
        <f>IFERROR(VLOOKUP(Backdoors!A37,BackdoorsMoveset!A2:JD112,264,FALSE)+VLOOKUP(Backdoors!A38,BackdoorsMoveset!A2:JD112,264,FALSE)+VLOOKUP(Backdoors!A39,BackdoorsMoveset!A2:JD112,264,FALSE)+VLOOKUP(Backdoors!A40,BackdoorsMoveset!A2:JD112,264,FALSE)+VLOOKUP(Backdoors!A41,BackdoorsMoveset!A2:JD112,264,FALSE)+VLOOKUP(Backdoors!A42,BackdoorsMoveset!A2:JD112,264,FALSE)+VLOOKUP(Backdoors!A43,BackdoorsMoveset!A2:JD112,264,FALSE)+VLOOKUP(Backdoors!A44,BackdoorsMoveset!A2:JD112,264,FALSE)+VLOOKUP(Backdoors!A45,BackdoorsMoveset!A2:JD112,264,FALSE)+VLOOKUP(Backdoors!A46,BackdoorsMoveset!A2:JD112,264,FALSE)+VLOOKUP(Backdoors!A47,BackdoorsMoveset!A2:JD112,264,FALSE)+VLOOKUP(Backdoors!A48,BackdoorsMoveset!A2:JD112,264,FALSE)+VLOOKUP(Backdoors!A49,BackdoorsMoveset!A2:JD112,264,FALSE)+VLOOKUP(Backdoors!A50,BackdoorsMoveset!A2:JD112,264,FALSE)+VLOOKUP(Backdoors!A51,BackdoorsMoveset!A2:JD112,264,FALSE)+VLOOKUP(Backdoors!A52,BackdoorsMoveset!A2:JD112,264,FALSE)+VLOOKUP(Backdoors!A53,BackdoorsMoveset!A2:JD112,264,FALSE)+VLOOKUP(Backdoors!A54,BackdoorsMoveset!A2:JD112,264,FALSE)+VLOOKUP(Backdoors!A55,BackdoorsMoveset!A2:JD112,264,FALSE)+VLOOKUP(Backdoors!A56,BackdoorsMoveset!A2:JD112,264,FALSE)+VLOOKUP(Backdoors!A57,BackdoorsMoveset!A2:JD112,264,FALSE)+VLOOKUP(Backdoors!A58,BackdoorsMoveset!A2:JD112,264,FALSE)+VLOOKUP(Backdoors!A59,BackdoorsMoveset!A2:JD112,264,FALSE)+VLOOKUP(Backdoors!A60,BackdoorsMoveset!A2:JD112,264,FALSE)+VLOOKUP(Backdoors!A61,BackdoorsMoveset!A2:JD112,264,FALSE),0)</f>
        <v>0</v>
      </c>
      <c r="BM40">
        <f>IFERROR(VLOOKUP(Backdoors!A37,BackdoorsMoveset!A2:JE112,265,FALSE)+VLOOKUP(Backdoors!A38,BackdoorsMoveset!A2:JE112,265,FALSE)+VLOOKUP(Backdoors!A39,BackdoorsMoveset!A2:JE112,265,FALSE)+VLOOKUP(Backdoors!A40,BackdoorsMoveset!A2:JE112,265,FALSE)+VLOOKUP(Backdoors!A41,BackdoorsMoveset!A2:JE112,265,FALSE)+VLOOKUP(Backdoors!A42,BackdoorsMoveset!A2:JE112,265,FALSE)+VLOOKUP(Backdoors!A43,BackdoorsMoveset!A2:JE112,265,FALSE)+VLOOKUP(Backdoors!A44,BackdoorsMoveset!A2:JE112,265,FALSE)+VLOOKUP(Backdoors!A45,BackdoorsMoveset!A2:JE112,265,FALSE)+VLOOKUP(Backdoors!A46,BackdoorsMoveset!A2:JE112,265,FALSE)+VLOOKUP(Backdoors!A47,BackdoorsMoveset!A2:JE112,265,FALSE)+VLOOKUP(Backdoors!A48,BackdoorsMoveset!A2:JE112,265,FALSE)+VLOOKUP(Backdoors!A49,BackdoorsMoveset!A2:JE112,265,FALSE)+VLOOKUP(Backdoors!A50,BackdoorsMoveset!A2:JE112,265,FALSE)+VLOOKUP(Backdoors!A51,BackdoorsMoveset!A2:JE112,265,FALSE)+VLOOKUP(Backdoors!A52,BackdoorsMoveset!A2:JE112,265,FALSE)+VLOOKUP(Backdoors!A53,BackdoorsMoveset!A2:JE112,265,FALSE)+VLOOKUP(Backdoors!A54,BackdoorsMoveset!A2:JE112,265,FALSE)+VLOOKUP(Backdoors!A55,BackdoorsMoveset!A2:JE112,265,FALSE)+VLOOKUP(Backdoors!A56,BackdoorsMoveset!A2:JE112,265,FALSE)+VLOOKUP(Backdoors!A57,BackdoorsMoveset!A2:JE112,265,FALSE)+VLOOKUP(Backdoors!A58,BackdoorsMoveset!A2:JE112,265,FALSE)+VLOOKUP(Backdoors!A59,BackdoorsMoveset!A2:JE112,265,FALSE)+VLOOKUP(Backdoors!A60,BackdoorsMoveset!A2:JE112,265,FALSE)+VLOOKUP(Backdoors!A61,BackdoorsMoveset!A2:JE112,265,FALSE),0)</f>
        <v>0</v>
      </c>
      <c r="BN40">
        <f>IFERROR(VLOOKUP(Backdoors!A37,BackdoorsMoveset!A2:JG112,267,FALSE)+VLOOKUP(Backdoors!A38,BackdoorsMoveset!A2:JG112,267,FALSE)+VLOOKUP(Backdoors!A39,BackdoorsMoveset!A2:JG112,267,FALSE)+VLOOKUP(Backdoors!A40,BackdoorsMoveset!A2:JG112,267,FALSE)+VLOOKUP(Backdoors!A41,BackdoorsMoveset!A2:JG112,267,FALSE)+VLOOKUP(Backdoors!A42,BackdoorsMoveset!A2:JG112,267,FALSE)+VLOOKUP(Backdoors!A43,BackdoorsMoveset!A2:JG112,267,FALSE)+VLOOKUP(Backdoors!A44,BackdoorsMoveset!A2:JG112,267,FALSE)+VLOOKUP(Backdoors!A45,BackdoorsMoveset!A2:JG112,267,FALSE)+VLOOKUP(Backdoors!A46,BackdoorsMoveset!A2:JG112,267,FALSE)+VLOOKUP(Backdoors!A47,BackdoorsMoveset!A2:JG112,267,FALSE)+VLOOKUP(Backdoors!A48,BackdoorsMoveset!A2:JG112,267,FALSE)+VLOOKUP(Backdoors!A49,BackdoorsMoveset!A2:JG112,267,FALSE)+VLOOKUP(Backdoors!A50,BackdoorsMoveset!A2:JG112,267,FALSE)+VLOOKUP(Backdoors!A51,BackdoorsMoveset!A2:JG112,267,FALSE)+VLOOKUP(Backdoors!A52,BackdoorsMoveset!A2:JG112,267,FALSE)+VLOOKUP(Backdoors!A53,BackdoorsMoveset!A2:JG112,267,FALSE)+VLOOKUP(Backdoors!A54,BackdoorsMoveset!A2:JG112,267,FALSE)+VLOOKUP(Backdoors!A55,BackdoorsMoveset!A2:JG112,267,FALSE)+VLOOKUP(Backdoors!A56,BackdoorsMoveset!A2:JG112,267,FALSE)+VLOOKUP(Backdoors!A57,BackdoorsMoveset!A2:JG112,267,FALSE)+VLOOKUP(Backdoors!A58,BackdoorsMoveset!A2:JG112,267,FALSE)+VLOOKUP(Backdoors!A59,BackdoorsMoveset!A2:JG112,267,FALSE)+VLOOKUP(Backdoors!A60,BackdoorsMoveset!A2:JG112,267,FALSE)+VLOOKUP(Backdoors!A61,BackdoorsMoveset!A2:JG112,267,FALSE),0)</f>
        <v>0</v>
      </c>
      <c r="BO40" s="49">
        <f>IF(BN40=0,0,IF(OR(B9="Poison",$B11="Poison",B2="Light Bowgun",B2="Heavy Bowgun"),ROUND(Backdoors!A36*VLOOKUP(AO7,tbStatus!$A3:$F18,6,FALSE)*IF((AO16*AO55)&gt;1,1,(AO16*AO55)),0),IF(OR(B9="Blast",B11="Blast"),AR494,0)))</f>
        <v>0</v>
      </c>
      <c r="BP40">
        <f t="shared" si="0"/>
        <v>0</v>
      </c>
      <c r="BQ40" s="49" t="str">
        <f>CONCATENATE(AX40,IF(AND(BI40=TRUE,Calculator!B8=TRUE),CONCATENATE(" (Tenderized)"),""),IF(BP40=0,"",CONCATENATE(", ",BP40)))</f>
        <v/>
      </c>
      <c r="BR40" s="49">
        <f>VLOOKUP(Calculator!B4,SavedBuildNumbers!A1:AY73,39,FALSE)</f>
        <v>0</v>
      </c>
      <c r="BS40">
        <f>VLOOKUP(Calculator!B4,SavedBuildNumbers!A1:CB73,80,FALSE)</f>
        <v>0</v>
      </c>
      <c r="BU40" s="49">
        <f>IFERROR(ROUNDDOWN((IF((ROUND((VLOOKUP(tbMoveset!A40,tbMoveset!A2:F112,6,FALSE)+(IF(VLOOKUP(tbMoveset!A40,tbMoveset!A2:F112,6,FALSE)&gt;0,K41,0)))*(1+(IF(VLOOKUP(tbMoveset!A40,tbMoveset!A2:I112,9,FALSE)="Fire",VLOOKUP(Calculator!$E24,tbSkills!$AX3:$AZ9,3,FALSE),IF(VLOOKUP(tbMoveset!A40,tbMoveset!A2:I112,9,FALSE)="Water",VLOOKUP(Calculator!$E25,tbSkills!$AX3:$AZ9,3,FALSE),IF(VLOOKUP(BackdoorsMoveset!A40,tbMoveset!A2:I112,9,FALSE)="Thunder",VLOOKUP(Calculator!$E26,tbSkills!$AX3:$AZ9,3,FALSE),IF(VLOOKUP(tbMoveset!A40,tbMoveset!A2:I112,9,FALSE)="Ice",VLOOKUP(Calculator!$E27,tbSkills!$AX3:$AZ9,3,FALSE),IF(VLOOKUP(tbMoveset!A40,tbMoveset!A2:I112,9,FALSE)="Dragon",VLOOKUP(Calculator!$E28,tbSkills!$AX3:$AZ9,3,FALSE),0)))))/100))*AC7,0)+IF(VLOOKUP(tbMoveset!A40,tbMoveset!A2:F112,6,FALSE)&gt;0,IF(VLOOKUP(tbMoveset!A40,tbMoveset!A2:I112,9,FALSE)="Fire",VLOOKUP(Calculator!$E24,tbSkills!$AX3:$AY9,2,FALSE),IF(VLOOKUP(tbMoveset!A40,tbMoveset!A2:I112,9,FALSE)="Water",VLOOKUP(Calculator!$E25,tbSkills!$AX3:$AY9,2,FALSE),IF(VLOOKUP(tbMoveset!A40,tbMoveset!A2:I112,9,FALSE)="Thunder",VLOOKUP(Calculator!$E26,tbSkills!$AX3:$AY9,2,FALSE),IF(VLOOKUP(tbMoveset!A40,tbMoveset!A2:I112,9,FALSE)="Ice",VLOOKUP(Calculator!$E27,tbSkills!$AX3:$AY9,2,FALSE),IF(VLOOKUP(tbMoveset!A40,tbMoveset!A2:I112,9,FALSE)="Dragon",VLOOKUP(Calculator!$E28,tbSkills!$AX3:$AY9,2,FALSE),0))))),0)/10)&gt;=B34,B34,(ROUND((VLOOKUP(tbMoveset!A40,tbMoveset!A2:F112,6,FALSE)+(IF(VLOOKUP(tbMoveset!A40,tbMoveset!A2:F112,6,FALSE)&gt;0,K41,0)))*(1+(IF(VLOOKUP(tbMoveset!A40,tbMoveset!A2:I112,9,FALSE)="Fire",VLOOKUP(Calculator!$E24,tbSkills!$AX3:$AZ9,3,FALSE),IF(VLOOKUP(tbMoveset!A40,tbMoveset!A2:I112,9,FALSE)="Water",VLOOKUP(Calculator!$E25,tbSkills!$AX3:$AZ9,3,FALSE),IF(VLOOKUP(BackdoorsMoveset!A40,tbMoveset!A2:I112,9,FALSE)="Thunder",VLOOKUP(Calculator!$E26,tbSkills!$AX3:$AZ9,3,FALSE),IF(VLOOKUP(tbMoveset!A40,tbMoveset!A2:I112,9,FALSE)="Ice",VLOOKUP(Calculator!$E27,tbSkills!$AX3:$AZ9,3,FALSE),IF(VLOOKUP(tbMoveset!A40,tbMoveset!A2:I112,9,FALSE)="Dragon",VLOOKUP(Calculator!$E28,tbSkills!$AX3:$AZ9,3,FALSE),0)))))/100))*AC7,0)+IF(VLOOKUP(tbMoveset!A40,tbMoveset!A2:F112,6,FALSE)&gt;0,IF(VLOOKUP(tbMoveset!A40,tbMoveset!A2:I112,9,FALSE)="Fire",VLOOKUP(Calculator!$E24,tbSkills!$AX3:$AY9,2,FALSE),IF(VLOOKUP(tbMoveset!A40,tbMoveset!A2:I112,9,FALSE)="Water",VLOOKUP(Calculator!$E25,tbSkills!$AX3:$AY9,2,FALSE),IF(VLOOKUP(tbMoveset!A40,tbMoveset!A2:I112,9,FALSE)="Thunder",VLOOKUP(Calculator!$E26,tbSkills!$AX3:$AY9,2,FALSE),IF(VLOOKUP(tbMoveset!A40,tbMoveset!A2:I112,9,FALSE)="Ice",VLOOKUP(Calculator!$E27,tbSkills!$AX3:$AY9,2,FALSE),IF(VLOOKUP(tbMoveset!A40,tbMoveset!A2:I112,9,FALSE)="Dragon",VLOOKUP(Calculator!$E28,tbSkills!$AX3:$AY9,2,FALSE),0))))),0)/10))*N6)*AC6,0)*(B30/100),0)</f>
        <v>0</v>
      </c>
    </row>
    <row r="41" spans="1:73" x14ac:dyDescent="0.25">
      <c r="A41" s="67" t="str">
        <f>IFERROR(HLOOKUP(Calculator!B7,Combos!B3:K29,7,FALSE),"")</f>
        <v>Sixfold Demon Slash (R1)</v>
      </c>
      <c r="J41" t="s">
        <v>907</v>
      </c>
      <c r="K41">
        <f>K39+K40</f>
        <v>0</v>
      </c>
      <c r="AN41" s="49" t="str">
        <f>IFERROR(INDEX(tbHitzones!K:K,MATCH(ROWS(tbHitzones!$1:24),tbHitzones!K:K,0)),"")</f>
        <v/>
      </c>
      <c r="AO41">
        <f>IF(OR(B2="Light Bowgun",B2="Heavy Bowgun"),IF(AI12&gt;=0,1+(IF(Calculator!E40&gt;0,VLOOKUP(Calculator!E40,tbSkills!AI3:AJ5,2,FALSE),AL4)*(IF((AI12+IF(BA26&gt;=0.45,VLOOKUP(Calculator!E23,tbSkills!DH3:DI6,2,FALSE)+IF(AND(Calculator!B8=TRUE,BI26=TRUE),VLOOKUP(Calculator!E23,tbSkills!DH3:DJ6,3,FALSE),0),0))&gt;=100,100,(AI12+IF(BA26&gt;=0.45,VLOOKUP(Calculator!E23,tbSkills!DH3:DI6,2,FALSE)+IF(AND(Calculator!B8=TRUE,BI26=TRUE),VLOOKUP(Calculator!E23,tbSkills!DH3:DJ6,3,FALSE),0),0)))/100)),1),VLOOKUP(Backdoors!A37,BackdoorsMoveset!A2:FL112,168,FALSE)+VLOOKUP(Backdoors!A38,BackdoorsMoveset!A2:FL112,168,FALSE)+VLOOKUP(Backdoors!A39,BackdoorsMoveset!A2:FL112,168,FALSE)+VLOOKUP(Backdoors!A40,BackdoorsMoveset!A2:FL112,168,FALSE)+VLOOKUP(Backdoors!A41,BackdoorsMoveset!A2:FL112,168,FALSE)+VLOOKUP(Backdoors!A42,BackdoorsMoveset!A2:FL112,168,FALSE)+VLOOKUP(Backdoors!A43,BackdoorsMoveset!A2:FL112,168,FALSE)+VLOOKUP(Backdoors!A44,BackdoorsMoveset!A2:FL112,168,FALSE)+VLOOKUP(Backdoors!A45,BackdoorsMoveset!A2:FL112,168,FALSE)+VLOOKUP(Backdoors!A46,BackdoorsMoveset!A2:FL112,168,FALSE)+VLOOKUP(Backdoors!A47,BackdoorsMoveset!A2:FL112,168,FALSE)+VLOOKUP(Backdoors!A48,BackdoorsMoveset!A2:FL112,168,FALSE)+VLOOKUP(Backdoors!A49,BackdoorsMoveset!A2:FL112,168,FALSE)+VLOOKUP(Backdoors!A50,BackdoorsMoveset!A2:FL112,168,FALSE)+VLOOKUP(Backdoors!A51,BackdoorsMoveset!A2:FL112,168,FALSE)+VLOOKUP(Backdoors!A52,BackdoorsMoveset!A2:FL112,168,FALSE)+VLOOKUP(Backdoors!A53,BackdoorsMoveset!A2:FL112,168,FALSE)+VLOOKUP(Backdoors!A54,BackdoorsMoveset!A2:FL112,168,FALSE)+VLOOKUP(Backdoors!A55,BackdoorsMoveset!A2:FL112,168,FALSE)+VLOOKUP(Backdoors!A56,BackdoorsMoveset!A2:FL112,168,FALSE)+VLOOKUP(Backdoors!A57,BackdoorsMoveset!A2:FL112,168,FALSE)+VLOOKUP(Backdoors!A58,BackdoorsMoveset!A2:FL112,168,FALSE)+VLOOKUP(Backdoors!A59,BackdoorsMoveset!A2:FL112,168,FALSE)+VLOOKUP(Backdoors!A60,BackdoorsMoveset!A2:FL112,168,FALSE)+VLOOKUP(Backdoors!A61,BackdoorsMoveset!A2:FL112,168,FALSE))</f>
        <v>14.299999999999999</v>
      </c>
      <c r="AQ41" t="s">
        <v>574</v>
      </c>
      <c r="AR41">
        <f>IFERROR(INDEX(tbHitzones!K:K,MATCH(ROWS(tbHitzones!$1:4),tbHitzones!K:K,0)),"")</f>
        <v>4</v>
      </c>
      <c r="AT41">
        <v>40</v>
      </c>
      <c r="AU41">
        <f>$AU40+IF(AO12+((AO10*39)*AO11)&gt;AO13,AO13,AO12+((AO10*39)*AO11))</f>
        <v>12060</v>
      </c>
      <c r="AW41" s="49" t="str">
        <f>IFERROR(INDEX(tbHitzones!K:K,MATCH(ROWS(tbHitzones!$1:39),tbHitzones!K:K,0)),"")</f>
        <v/>
      </c>
      <c r="AX41" s="49" t="str">
        <f>IFERROR(INDEX(tbHitzones!B:B,MATCH(ROWS(tbHitzones!$1:39),tbHitzones!K:K,0)),"")</f>
        <v/>
      </c>
      <c r="AY41" s="49" t="str">
        <f>IFERROR(INDEX(tbHitzones!C:C,MATCH(ROWS(tbHitzones!$1:39),tbHitzones!K:K,0)),"")</f>
        <v/>
      </c>
      <c r="AZ41" s="49" t="str">
        <f>IFERROR(INDEX(tbHitzones!D:D,MATCH(ROWS(tbHitzones!$1:39),tbHitzones!K:K,0)),"")</f>
        <v/>
      </c>
      <c r="BA41" s="49" t="str">
        <f>IFERROR(INDEX(tbHitzones!E:E,MATCH(ROWS(tbHitzones!$1:39),tbHitzones!K:K,0)),"")</f>
        <v/>
      </c>
      <c r="BB41" s="49" t="str">
        <f>IFERROR(INDEX(tbHitzones!F:F,MATCH(ROWS(tbHitzones!$1:39),tbHitzones!K:K,0)),"")</f>
        <v/>
      </c>
      <c r="BC41" s="49" t="str">
        <f>IFERROR(INDEX(tbHitzones!G:G,MATCH(ROWS(tbHitzones!$1:39),tbHitzones!K:K,0)),"")</f>
        <v/>
      </c>
      <c r="BD41" s="49" t="str">
        <f>IFERROR(INDEX(tbHitzones!H:H,MATCH(ROWS(tbHitzones!$1:39),tbHitzones!K:K,0)),"")</f>
        <v/>
      </c>
      <c r="BE41" s="49" t="str">
        <f>IFERROR(INDEX(tbHitzones!I:I,MATCH(ROWS(tbHitzones!$1:39),tbHitzones!K:K,0)),"")</f>
        <v/>
      </c>
      <c r="BF41" s="49" t="str">
        <f>IFERROR(INDEX(tbHitzones!J:J,MATCH(ROWS(tbHitzones!$1:39),tbHitzones!K:K,0)),"")</f>
        <v/>
      </c>
      <c r="BG41" s="49">
        <f>IFERROR(IF(OR(B9="Fire",B11="Fire"),BB41,IF(OR(B9="Water",B11="Water"),BC41,IF(OR(B9="Thunder",B11="Thunder"),BD41,IF(OR(B9="Ice",B11="Ice"),BE41,IF(OR(B9="Dragon",B11="Dragon"),BF41,0))))),"")</f>
        <v>0</v>
      </c>
      <c r="BH41" s="49" t="str">
        <f>IFERROR(INDEX(tbHitzones!L:L,MATCH(ROWS(tbHitzones!$1:39),tbHitzones!K:K,0)),"")</f>
        <v/>
      </c>
      <c r="BI41" s="49" t="str">
        <f>IFERROR(INDEX(tbHitzones!M:M,MATCH(ROWS(tbHitzones!$1:39),tbHitzones!K:K,0)),"")</f>
        <v/>
      </c>
      <c r="BK41" s="49" t="str">
        <f>IFERROR(INDEX(tbHitzones!K:K,MATCH(ROWS(tbHitzones!$1:39),tbHitzones!K:K,0)),"")</f>
        <v/>
      </c>
      <c r="BL41">
        <f>IFERROR(VLOOKUP(Backdoors!A37,BackdoorsMoveset!A2:JK112,271,FALSE)+VLOOKUP(Backdoors!A38,BackdoorsMoveset!A2:JK112,271,FALSE)+VLOOKUP(Backdoors!A39,BackdoorsMoveset!A2:JK112,271,FALSE)+VLOOKUP(Backdoors!A40,BackdoorsMoveset!A2:JK112,271,FALSE)+VLOOKUP(Backdoors!A41,BackdoorsMoveset!A2:JK112,271,FALSE)+VLOOKUP(Backdoors!A42,BackdoorsMoveset!A2:JK112,271,FALSE)+VLOOKUP(Backdoors!A43,BackdoorsMoveset!A2:JK112,271,FALSE)+VLOOKUP(Backdoors!A44,BackdoorsMoveset!A2:JK112,271,FALSE)+VLOOKUP(Backdoors!A45,BackdoorsMoveset!A2:JK112,271,FALSE)+VLOOKUP(Backdoors!A46,BackdoorsMoveset!A2:JK112,271,FALSE)+VLOOKUP(Backdoors!A47,BackdoorsMoveset!A2:JK112,271,FALSE)+VLOOKUP(Backdoors!A48,BackdoorsMoveset!A2:JK112,271,FALSE)+VLOOKUP(Backdoors!A49,BackdoorsMoveset!A2:JK112,271,FALSE)+VLOOKUP(Backdoors!A50,BackdoorsMoveset!A2:JK112,271,FALSE)+VLOOKUP(Backdoors!A51,BackdoorsMoveset!A2:JK112,271,FALSE)+VLOOKUP(Backdoors!A52,BackdoorsMoveset!A2:JK112,271,FALSE)+VLOOKUP(Backdoors!A53,BackdoorsMoveset!A2:JK112,271,FALSE)+VLOOKUP(Backdoors!A54,BackdoorsMoveset!A2:JK112,271,FALSE)+VLOOKUP(Backdoors!A55,BackdoorsMoveset!A2:JK112,271,FALSE)+VLOOKUP(Backdoors!A56,BackdoorsMoveset!A2:JK112,271,FALSE)+VLOOKUP(Backdoors!A57,BackdoorsMoveset!A2:JK112,271,FALSE)+VLOOKUP(Backdoors!A58,BackdoorsMoveset!A2:JK112,271,FALSE)+VLOOKUP(Backdoors!A59,BackdoorsMoveset!A2:JK112,271,FALSE)+VLOOKUP(Backdoors!A60,BackdoorsMoveset!A2:JK112,271,FALSE)+VLOOKUP(Backdoors!A61,BackdoorsMoveset!A2:JK112,271,FALSE),0)</f>
        <v>0</v>
      </c>
      <c r="BM41">
        <f>IFERROR(VLOOKUP(Backdoors!A37,BackdoorsMoveset!A2:JL112,272,FALSE)+VLOOKUP(Backdoors!A38,BackdoorsMoveset!A2:JL112,272,FALSE)+VLOOKUP(Backdoors!A39,BackdoorsMoveset!A2:JL112,272,FALSE)+VLOOKUP(Backdoors!A40,BackdoorsMoveset!A2:JL112,272,FALSE)+VLOOKUP(Backdoors!A41,BackdoorsMoveset!A2:JL112,272,FALSE)+VLOOKUP(Backdoors!A42,BackdoorsMoveset!A2:JL112,272,FALSE)+VLOOKUP(Backdoors!A43,BackdoorsMoveset!A2:JL112,272,FALSE)+VLOOKUP(Backdoors!A44,BackdoorsMoveset!A2:JL112,272,FALSE)+VLOOKUP(Backdoors!A45,BackdoorsMoveset!A2:JL112,272,FALSE)+VLOOKUP(Backdoors!A46,BackdoorsMoveset!A2:JL112,272,FALSE)+VLOOKUP(Backdoors!A47,BackdoorsMoveset!A2:JL112,272,FALSE)+VLOOKUP(Backdoors!A48,BackdoorsMoveset!A2:JL112,272,FALSE)+VLOOKUP(Backdoors!A49,BackdoorsMoveset!A2:JL112,272,FALSE)+VLOOKUP(Backdoors!A50,BackdoorsMoveset!A2:JL112,272,FALSE)+VLOOKUP(Backdoors!A51,BackdoorsMoveset!A2:JL112,272,FALSE)+VLOOKUP(Backdoors!A52,BackdoorsMoveset!A2:JL112,272,FALSE)+VLOOKUP(Backdoors!A53,BackdoorsMoveset!A2:JL112,272,FALSE)+VLOOKUP(Backdoors!A54,BackdoorsMoveset!A2:JL112,272,FALSE)+VLOOKUP(Backdoors!A55,BackdoorsMoveset!A2:JL112,272,FALSE)+VLOOKUP(Backdoors!A56,BackdoorsMoveset!A2:JL112,272,FALSE)+VLOOKUP(Backdoors!A57,BackdoorsMoveset!A2:JL112,272,FALSE)+VLOOKUP(Backdoors!A58,BackdoorsMoveset!A2:JL112,272,FALSE)+VLOOKUP(Backdoors!A59,BackdoorsMoveset!A2:JL112,272,FALSE)+VLOOKUP(Backdoors!A60,BackdoorsMoveset!A2:JL112,272,FALSE)+VLOOKUP(Backdoors!A61,BackdoorsMoveset!A2:JL112,272,FALSE),0)</f>
        <v>0</v>
      </c>
      <c r="BN41">
        <f>IFERROR(VLOOKUP(Backdoors!A37,BackdoorsMoveset!A2:JN112,274,FALSE)+VLOOKUP(Backdoors!A38,BackdoorsMoveset!A2:JN112,274,FALSE)+VLOOKUP(Backdoors!A39,BackdoorsMoveset!A2:JN112,274,FALSE)+VLOOKUP(Backdoors!A40,BackdoorsMoveset!A2:JN112,274,FALSE)+VLOOKUP(Backdoors!A41,BackdoorsMoveset!A2:JN112,274,FALSE)+VLOOKUP(Backdoors!A42,BackdoorsMoveset!A2:JN112,274,FALSE)+VLOOKUP(Backdoors!A43,BackdoorsMoveset!A2:JN112,274,FALSE)+VLOOKUP(Backdoors!A44,BackdoorsMoveset!A2:JN112,274,FALSE)+VLOOKUP(Backdoors!A45,BackdoorsMoveset!A2:JN112,274,FALSE)+VLOOKUP(Backdoors!A46,BackdoorsMoveset!A2:JN112,274,FALSE)+VLOOKUP(Backdoors!A47,BackdoorsMoveset!A2:JN112,274,FALSE)+VLOOKUP(Backdoors!A48,BackdoorsMoveset!A2:JN112,274,FALSE)+VLOOKUP(Backdoors!A49,BackdoorsMoveset!A2:JN112,274,FALSE)+VLOOKUP(Backdoors!A50,BackdoorsMoveset!A2:JN112,274,FALSE)+VLOOKUP(Backdoors!A51,BackdoorsMoveset!A2:JN112,274,FALSE)+VLOOKUP(Backdoors!A52,BackdoorsMoveset!A2:JN112,274,FALSE)+VLOOKUP(Backdoors!A53,BackdoorsMoveset!A2:JN112,274,FALSE)+VLOOKUP(Backdoors!A54,BackdoorsMoveset!A2:JN112,274,FALSE)+VLOOKUP(Backdoors!A55,BackdoorsMoveset!A2:JN112,274,FALSE)+VLOOKUP(Backdoors!A56,BackdoorsMoveset!A2:JN112,274,FALSE)+VLOOKUP(Backdoors!A57,BackdoorsMoveset!A2:JN112,274,FALSE)+VLOOKUP(Backdoors!A58,BackdoorsMoveset!A2:JN112,274,FALSE)+VLOOKUP(Backdoors!A59,BackdoorsMoveset!A2:JN112,274,FALSE)+VLOOKUP(Backdoors!A60,BackdoorsMoveset!A2:JN112,274,FALSE)+VLOOKUP(Backdoors!A61,BackdoorsMoveset!A2:JN112,274,FALSE),0)</f>
        <v>0</v>
      </c>
      <c r="BO41" s="49">
        <f>IF(BN41=0,0,IF(OR(B9="Poison",$B11="Poison",B2="Light Bowgun",B2="Heavy Bowgun"),ROUND(Backdoors!A36*VLOOKUP(AO7,tbStatus!$A3:$F18,6,FALSE)*IF((AO16*AO56)&gt;1,1,(AO16*AO56)),0),IF(OR(B9="Blast",B11="Blast"),AR507,0)))</f>
        <v>0</v>
      </c>
      <c r="BP41">
        <f t="shared" si="0"/>
        <v>0</v>
      </c>
      <c r="BQ41" s="49" t="str">
        <f>CONCATENATE(AX41,IF(AND(BI41=TRUE,Calculator!B8=TRUE),CONCATENATE(" (Tenderized)"),""),IF(BP41=0,"",CONCATENATE(", ",BP41)))</f>
        <v/>
      </c>
      <c r="BR41" s="49">
        <f>VLOOKUP(Calculator!B4,SavedBuildNumbers!A1:AY73,40,FALSE)</f>
        <v>0</v>
      </c>
      <c r="BS41" t="b">
        <f>VLOOKUP(Calculator!B4,SavedBuildNumbers!A1:CC73,81,FALSE)</f>
        <v>0</v>
      </c>
      <c r="BU41" s="49">
        <f>IFERROR(ROUNDDOWN((IF((ROUND((VLOOKUP(tbMoveset!A41,tbMoveset!A2:F112,6,FALSE)+(IF(VLOOKUP(tbMoveset!A41,tbMoveset!A2:F112,6,FALSE)&gt;0,K41,0)))*(1+(IF(VLOOKUP(tbMoveset!A41,tbMoveset!A2:I112,9,FALSE)="Fire",VLOOKUP(Calculator!$E24,tbSkills!$AX3:$AZ9,3,FALSE),IF(VLOOKUP(tbMoveset!A41,tbMoveset!A2:I112,9,FALSE)="Water",VLOOKUP(Calculator!$E25,tbSkills!$AX3:$AZ9,3,FALSE),IF(VLOOKUP(BackdoorsMoveset!A41,tbMoveset!A2:I112,9,FALSE)="Thunder",VLOOKUP(Calculator!$E26,tbSkills!$AX3:$AZ9,3,FALSE),IF(VLOOKUP(tbMoveset!A41,tbMoveset!A2:I112,9,FALSE)="Ice",VLOOKUP(Calculator!$E27,tbSkills!$AX3:$AZ9,3,FALSE),IF(VLOOKUP(tbMoveset!A41,tbMoveset!A2:I112,9,FALSE)="Dragon",VLOOKUP(Calculator!$E28,tbSkills!$AX3:$AZ9,3,FALSE),0)))))/100))*AC7,0)+IF(VLOOKUP(tbMoveset!A41,tbMoveset!A2:F112,6,FALSE)&gt;0,IF(VLOOKUP(tbMoveset!A41,tbMoveset!A2:I112,9,FALSE)="Fire",VLOOKUP(Calculator!$E24,tbSkills!$AX3:$AY9,2,FALSE),IF(VLOOKUP(tbMoveset!A41,tbMoveset!A2:I112,9,FALSE)="Water",VLOOKUP(Calculator!$E25,tbSkills!$AX3:$AY9,2,FALSE),IF(VLOOKUP(tbMoveset!A41,tbMoveset!A2:I112,9,FALSE)="Thunder",VLOOKUP(Calculator!$E26,tbSkills!$AX3:$AY9,2,FALSE),IF(VLOOKUP(tbMoveset!A41,tbMoveset!A2:I112,9,FALSE)="Ice",VLOOKUP(Calculator!$E27,tbSkills!$AX3:$AY9,2,FALSE),IF(VLOOKUP(tbMoveset!A41,tbMoveset!A2:I112,9,FALSE)="Dragon",VLOOKUP(Calculator!$E28,tbSkills!$AX3:$AY9,2,FALSE),0))))),0)/10)&gt;=B34,B34,(ROUND((VLOOKUP(tbMoveset!A41,tbMoveset!A2:F112,6,FALSE)+(IF(VLOOKUP(tbMoveset!A41,tbMoveset!A2:F112,6,FALSE)&gt;0,K41,0)))*(1+(IF(VLOOKUP(tbMoveset!A41,tbMoveset!A2:I112,9,FALSE)="Fire",VLOOKUP(Calculator!$E24,tbSkills!$AX3:$AZ9,3,FALSE),IF(VLOOKUP(tbMoveset!A41,tbMoveset!A2:I112,9,FALSE)="Water",VLOOKUP(Calculator!$E25,tbSkills!$AX3:$AZ9,3,FALSE),IF(VLOOKUP(BackdoorsMoveset!A41,tbMoveset!A2:I112,9,FALSE)="Thunder",VLOOKUP(Calculator!$E26,tbSkills!$AX3:$AZ9,3,FALSE),IF(VLOOKUP(tbMoveset!A41,tbMoveset!A2:I112,9,FALSE)="Ice",VLOOKUP(Calculator!$E27,tbSkills!$AX3:$AZ9,3,FALSE),IF(VLOOKUP(tbMoveset!A41,tbMoveset!A2:I112,9,FALSE)="Dragon",VLOOKUP(Calculator!$E28,tbSkills!$AX3:$AZ9,3,FALSE),0)))))/100))*AC7,0)+IF(VLOOKUP(tbMoveset!A41,tbMoveset!A2:F112,6,FALSE)&gt;0,IF(VLOOKUP(tbMoveset!A41,tbMoveset!A2:I112,9,FALSE)="Fire",VLOOKUP(Calculator!$E24,tbSkills!$AX3:$AY9,2,FALSE),IF(VLOOKUP(tbMoveset!A41,tbMoveset!A2:I112,9,FALSE)="Water",VLOOKUP(Calculator!$E25,tbSkills!$AX3:$AY9,2,FALSE),IF(VLOOKUP(tbMoveset!A41,tbMoveset!A2:I112,9,FALSE)="Thunder",VLOOKUP(Calculator!$E26,tbSkills!$AX3:$AY9,2,FALSE),IF(VLOOKUP(tbMoveset!A41,tbMoveset!A2:I112,9,FALSE)="Ice",VLOOKUP(Calculator!$E27,tbSkills!$AX3:$AY9,2,FALSE),IF(VLOOKUP(tbMoveset!A41,tbMoveset!A2:I112,9,FALSE)="Dragon",VLOOKUP(Calculator!$E28,tbSkills!$AX3:$AY9,2,FALSE),0))))),0)/10))*N6)*AC6,0)*(B30/100),0)</f>
        <v>0</v>
      </c>
    </row>
    <row r="42" spans="1:73" x14ac:dyDescent="0.25">
      <c r="A42" s="67" t="str">
        <f>IFERROR(HLOOKUP(Calculator!B7,Combos!B3:K29,8,FALSE),"")</f>
        <v>Sixfold Demon Slash (R2)</v>
      </c>
      <c r="J42" t="s">
        <v>908</v>
      </c>
      <c r="K42">
        <f>IF(K13&gt;=120,20,IF(K13&gt;=90,15,IF(K13&gt;=60,10,IF(K13&gt;=30,5,0))))</f>
        <v>0</v>
      </c>
      <c r="AN42" s="49" t="str">
        <f>IFERROR(INDEX(tbHitzones!K:K,MATCH(ROWS(tbHitzones!$1:25),tbHitzones!K:K,0)),"")</f>
        <v/>
      </c>
      <c r="AO42">
        <f>IF(OR(B2="Light Bowgun",B2="Heavy Bowgun"),IF(AI12&gt;=0,1+(IF(Calculator!E40&gt;0,VLOOKUP(Calculator!E40,tbSkills!AI3:AJ5,2,FALSE),AL4)*(IF((AI12+IF(BA27&gt;=0.45,VLOOKUP(Calculator!E23,tbSkills!DH3:DI6,2,FALSE)+IF(AND(Calculator!B8=TRUE,BI27=TRUE),VLOOKUP(Calculator!E23,tbSkills!DH3:DJ6,3,FALSE),0),0))&gt;=100,100,(AI12+IF(BA27&gt;=0.45,VLOOKUP(Calculator!E23,tbSkills!DH3:DI6,2,FALSE)+IF(AND(Calculator!B8=TRUE,BI27=TRUE),VLOOKUP(Calculator!E23,tbSkills!DH3:DJ6,3,FALSE),0),0)))/100)),1),VLOOKUP(Backdoors!A37,BackdoorsMoveset!A2:FS112,175,FALSE)+VLOOKUP(Backdoors!A38,BackdoorsMoveset!A2:FS112,175,FALSE)+VLOOKUP(Backdoors!A39,BackdoorsMoveset!A2:FS112,175,FALSE)+VLOOKUP(Backdoors!A40,BackdoorsMoveset!A2:FS112,175,FALSE)+VLOOKUP(Backdoors!A41,BackdoorsMoveset!A2:FS112,175,FALSE)+VLOOKUP(Backdoors!A42,BackdoorsMoveset!A2:FS112,175,FALSE)+VLOOKUP(Backdoors!A43,BackdoorsMoveset!A2:FS112,175,FALSE)+VLOOKUP(Backdoors!A44,BackdoorsMoveset!A2:FS112,175,FALSE)+VLOOKUP(Backdoors!A45,BackdoorsMoveset!A2:FS112,175,FALSE)+VLOOKUP(Backdoors!A46,BackdoorsMoveset!A2:FS112,175,FALSE)+VLOOKUP(Backdoors!A47,BackdoorsMoveset!A2:FS112,175,FALSE)+VLOOKUP(Backdoors!A48,BackdoorsMoveset!A2:FS112,175,FALSE)+VLOOKUP(Backdoors!A49,BackdoorsMoveset!A2:FS112,175,FALSE)+VLOOKUP(Backdoors!A50,BackdoorsMoveset!A2:FS112,175,FALSE)+VLOOKUP(Backdoors!A51,BackdoorsMoveset!A2:FS112,175,FALSE)+VLOOKUP(Backdoors!A52,BackdoorsMoveset!A2:FS112,175,FALSE)+VLOOKUP(Backdoors!A53,BackdoorsMoveset!A2:FS112,175,FALSE)+VLOOKUP(Backdoors!A54,BackdoorsMoveset!A2:FS112,175,FALSE)+VLOOKUP(Backdoors!A55,BackdoorsMoveset!A2:FS112,175,FALSE)+VLOOKUP(Backdoors!A56,BackdoorsMoveset!A2:FS112,175,FALSE)+VLOOKUP(Backdoors!A57,BackdoorsMoveset!A2:FS112,175,FALSE)+VLOOKUP(Backdoors!A58,BackdoorsMoveset!A2:FS112,175,FALSE)+VLOOKUP(Backdoors!A59,BackdoorsMoveset!A2:FS112,175,FALSE)+VLOOKUP(Backdoors!A60,BackdoorsMoveset!A2:FS112,175,FALSE)+VLOOKUP(Backdoors!A61,BackdoorsMoveset!A2:FS112,175,FALSE))</f>
        <v>14.299999999999999</v>
      </c>
      <c r="AQ42" t="s">
        <v>234</v>
      </c>
      <c r="AR42">
        <f>IFERROR(N8/BN6,0)</f>
        <v>13.669902912621358</v>
      </c>
      <c r="AT42">
        <v>41</v>
      </c>
      <c r="AU42">
        <f>$AU41+IF(AO12+((AO10*40)*AO11)&gt;AO13,AO13,AO12+((AO10*40)*AO11))</f>
        <v>12456</v>
      </c>
      <c r="AW42" s="49" t="str">
        <f>IFERROR(INDEX(tbHitzones!K:K,MATCH(ROWS(tbHitzones!$1:40),tbHitzones!K:K,0)),"")</f>
        <v/>
      </c>
      <c r="AX42" s="49" t="str">
        <f>IFERROR(INDEX(tbHitzones!B:B,MATCH(ROWS(tbHitzones!$1:40),tbHitzones!K:K,0)),"")</f>
        <v/>
      </c>
      <c r="AY42" s="49" t="str">
        <f>IFERROR(INDEX(tbHitzones!C:C,MATCH(ROWS(tbHitzones!$1:40),tbHitzones!K:K,0)),"")</f>
        <v/>
      </c>
      <c r="AZ42" s="49" t="str">
        <f>IFERROR(INDEX(tbHitzones!D:D,MATCH(ROWS(tbHitzones!$1:40),tbHitzones!K:K,0)),"")</f>
        <v/>
      </c>
      <c r="BA42" s="49" t="str">
        <f>IFERROR(INDEX(tbHitzones!E:E,MATCH(ROWS(tbHitzones!$1:40),tbHitzones!K:K,0)),"")</f>
        <v/>
      </c>
      <c r="BB42" s="49" t="str">
        <f>IFERROR(INDEX(tbHitzones!F:F,MATCH(ROWS(tbHitzones!$1:40),tbHitzones!K:K,0)),"")</f>
        <v/>
      </c>
      <c r="BC42" s="49" t="str">
        <f>IFERROR(INDEX(tbHitzones!G:G,MATCH(ROWS(tbHitzones!$1:40),tbHitzones!K:K,0)),"")</f>
        <v/>
      </c>
      <c r="BD42" s="49" t="str">
        <f>IFERROR(INDEX(tbHitzones!H:H,MATCH(ROWS(tbHitzones!$1:40),tbHitzones!K:K,0)),"")</f>
        <v/>
      </c>
      <c r="BE42" s="49" t="str">
        <f>IFERROR(INDEX(tbHitzones!I:I,MATCH(ROWS(tbHitzones!$1:40),tbHitzones!K:K,0)),"")</f>
        <v/>
      </c>
      <c r="BF42" s="49" t="str">
        <f>IFERROR(INDEX(tbHitzones!J:J,MATCH(ROWS(tbHitzones!$1:40),tbHitzones!K:K,0)),"")</f>
        <v/>
      </c>
      <c r="BG42" s="49">
        <f>IFERROR(IF(OR(B9="Fire",B11="Fire"),BB42,IF(OR(B9="Water",B11="Water"),BC42,IF(OR(B9="Thunder",B11="Thunder"),BD42,IF(OR(B9="Ice",B11="Ice"),BE42,IF(OR(B9="Dragon",B11="Dragon"),BF42,0))))),"")</f>
        <v>0</v>
      </c>
      <c r="BH42" s="49" t="str">
        <f>IFERROR(INDEX(tbHitzones!L:L,MATCH(ROWS(tbHitzones!$1:40),tbHitzones!K:K,0)),"")</f>
        <v/>
      </c>
      <c r="BI42" s="49" t="str">
        <f>IFERROR(INDEX(tbHitzones!M:M,MATCH(ROWS(tbHitzones!$1:40),tbHitzones!K:K,0)),"")</f>
        <v/>
      </c>
      <c r="BK42" s="49" t="str">
        <f>IFERROR(INDEX(tbHitzones!K:K,MATCH(ROWS(tbHitzones!$1:40),tbHitzones!K:K,0)),"")</f>
        <v/>
      </c>
      <c r="BL42">
        <f>IFERROR(VLOOKUP(Backdoors!A37,BackdoorsMoveset!A2:JR112,278,FALSE)+VLOOKUP(Backdoors!A38,BackdoorsMoveset!A2:JR112,278,FALSE)+VLOOKUP(Backdoors!A39,BackdoorsMoveset!A2:JR112,278,FALSE)+VLOOKUP(Backdoors!A40,BackdoorsMoveset!A2:JR112,278,FALSE)+VLOOKUP(Backdoors!A41,BackdoorsMoveset!A2:JR112,278,FALSE)+VLOOKUP(Backdoors!A42,BackdoorsMoveset!A2:JR112,278,FALSE)+VLOOKUP(Backdoors!A43,BackdoorsMoveset!A2:JR112,278,FALSE)+VLOOKUP(Backdoors!A44,BackdoorsMoveset!A2:JR112,278,FALSE)+VLOOKUP(Backdoors!A45,BackdoorsMoveset!A2:JR112,278,FALSE)+VLOOKUP(Backdoors!A46,BackdoorsMoveset!A2:JR112,278,FALSE)+VLOOKUP(Backdoors!A47,BackdoorsMoveset!A2:JR112,278,FALSE)+VLOOKUP(Backdoors!A48,BackdoorsMoveset!A2:JR112,278,FALSE)+VLOOKUP(Backdoors!A49,BackdoorsMoveset!A2:JR112,278,FALSE)+VLOOKUP(Backdoors!A50,BackdoorsMoveset!A2:JR112,278,FALSE)+VLOOKUP(Backdoors!A51,BackdoorsMoveset!A2:JR112,278,FALSE)+VLOOKUP(Backdoors!A52,BackdoorsMoveset!A2:JR112,278,FALSE)+VLOOKUP(Backdoors!A53,BackdoorsMoveset!A2:JR112,278,FALSE)+VLOOKUP(Backdoors!A54,BackdoorsMoveset!A2:JR112,278,FALSE)+VLOOKUP(Backdoors!A55,BackdoorsMoveset!A2:JR112,278,FALSE)+VLOOKUP(Backdoors!A56,BackdoorsMoveset!A2:JR112,278,FALSE)+VLOOKUP(Backdoors!A57,BackdoorsMoveset!A2:JR112,278,FALSE)+VLOOKUP(Backdoors!A58,BackdoorsMoveset!A2:JR112,278,FALSE)+VLOOKUP(Backdoors!A59,BackdoorsMoveset!A2:JR112,278,FALSE)+VLOOKUP(Backdoors!A60,BackdoorsMoveset!A2:JR112,278,FALSE)+VLOOKUP(Backdoors!A61,BackdoorsMoveset!A2:JR112,278,FALSE),0)</f>
        <v>0</v>
      </c>
      <c r="BM42">
        <f>IFERROR(VLOOKUP(Backdoors!A37,BackdoorsMoveset!A2:JS112,279,FALSE)+VLOOKUP(Backdoors!A38,BackdoorsMoveset!A2:JS112,279,FALSE)+VLOOKUP(Backdoors!A39,BackdoorsMoveset!A2:JS112,279,FALSE)+VLOOKUP(Backdoors!A40,BackdoorsMoveset!A2:JS112,279,FALSE)+VLOOKUP(Backdoors!A41,BackdoorsMoveset!A2:JS112,279,FALSE)+VLOOKUP(Backdoors!A42,BackdoorsMoveset!A2:JS112,279,FALSE)+VLOOKUP(Backdoors!A43,BackdoorsMoveset!A2:JS112,279,FALSE)+VLOOKUP(Backdoors!A44,BackdoorsMoveset!A2:JS112,279,FALSE)+VLOOKUP(Backdoors!A45,BackdoorsMoveset!A2:JS112,279,FALSE)+VLOOKUP(Backdoors!A46,BackdoorsMoveset!A2:JS112,279,FALSE)+VLOOKUP(Backdoors!A47,BackdoorsMoveset!A2:JS112,279,FALSE)+VLOOKUP(Backdoors!A48,BackdoorsMoveset!A2:JS112,279,FALSE)+VLOOKUP(Backdoors!A49,BackdoorsMoveset!A2:JS112,279,FALSE)+VLOOKUP(Backdoors!A50,BackdoorsMoveset!A2:JS112,279,FALSE)+VLOOKUP(Backdoors!A51,BackdoorsMoveset!A2:JS112,279,FALSE)+VLOOKUP(Backdoors!A52,BackdoorsMoveset!A2:JS112,279,FALSE)+VLOOKUP(Backdoors!A53,BackdoorsMoveset!A2:JS112,279,FALSE)+VLOOKUP(Backdoors!A54,BackdoorsMoveset!A2:JS112,279,FALSE)+VLOOKUP(Backdoors!A55,BackdoorsMoveset!A2:JS112,279,FALSE)+VLOOKUP(Backdoors!A56,BackdoorsMoveset!A2:JS112,279,FALSE)+VLOOKUP(Backdoors!A57,BackdoorsMoveset!A2:JS112,279,FALSE)+VLOOKUP(Backdoors!A58,BackdoorsMoveset!A2:JS112,279,FALSE)+VLOOKUP(Backdoors!A59,BackdoorsMoveset!A2:JS112,279,FALSE)+VLOOKUP(Backdoors!A60,BackdoorsMoveset!A2:JS112,279,FALSE)+VLOOKUP(Backdoors!A61,BackdoorsMoveset!A2:JS112,279,FALSE),0)</f>
        <v>0</v>
      </c>
      <c r="BN42">
        <f>IFERROR(VLOOKUP(Backdoors!A37,BackdoorsMoveset!A2:JU112,281,FALSE)+VLOOKUP(Backdoors!A38,BackdoorsMoveset!A2:JU112,281,FALSE)+VLOOKUP(Backdoors!A39,BackdoorsMoveset!A2:JU112,281,FALSE)+VLOOKUP(Backdoors!A40,BackdoorsMoveset!A2:JU112,281,FALSE)+VLOOKUP(Backdoors!A41,BackdoorsMoveset!A2:JU112,281,FALSE)+VLOOKUP(Backdoors!A42,BackdoorsMoveset!A2:JU112,281,FALSE)+VLOOKUP(Backdoors!A43,BackdoorsMoveset!A2:JU112,281,FALSE)+VLOOKUP(Backdoors!A44,BackdoorsMoveset!A2:JU112,281,FALSE)+VLOOKUP(Backdoors!A45,BackdoorsMoveset!A2:JU112,281,FALSE)+VLOOKUP(Backdoors!A46,BackdoorsMoveset!A2:JU112,281,FALSE)+VLOOKUP(Backdoors!A47,BackdoorsMoveset!A2:JU112,281,FALSE)+VLOOKUP(Backdoors!A48,BackdoorsMoveset!A2:JU112,281,FALSE)+VLOOKUP(Backdoors!A49,BackdoorsMoveset!A2:JU112,281,FALSE)+VLOOKUP(Backdoors!A50,BackdoorsMoveset!A2:JU112,281,FALSE)+VLOOKUP(Backdoors!A51,BackdoorsMoveset!A2:JU112,281,FALSE)+VLOOKUP(Backdoors!A52,BackdoorsMoveset!A2:JU112,281,FALSE)+VLOOKUP(Backdoors!A53,BackdoorsMoveset!A2:JU112,281,FALSE)+VLOOKUP(Backdoors!A54,BackdoorsMoveset!A2:JU112,281,FALSE)+VLOOKUP(Backdoors!A55,BackdoorsMoveset!A2:JU112,281,FALSE)+VLOOKUP(Backdoors!A56,BackdoorsMoveset!A2:JU112,281,FALSE)+VLOOKUP(Backdoors!A57,BackdoorsMoveset!A2:JU112,281,FALSE)+VLOOKUP(Backdoors!A58,BackdoorsMoveset!A2:JU112,281,FALSE)+VLOOKUP(Backdoors!A59,BackdoorsMoveset!A2:JU112,281,FALSE)+VLOOKUP(Backdoors!A60,BackdoorsMoveset!A2:JU112,281,FALSE)+VLOOKUP(Backdoors!A61,BackdoorsMoveset!A2:JU112,281,FALSE),0)</f>
        <v>0</v>
      </c>
      <c r="BO42" s="49">
        <f>IF(BN42=0,0,IF(OR(B9="Poison",$B11="Poison",B2="Light Bowgun",B2="Heavy Bowgun"),ROUND(Backdoors!A36*VLOOKUP(AO7,tbStatus!$A3:$F18,6,FALSE)*IF((AO16*AO57)&gt;1,1,(AO16*AO57)),0),IF(OR(B9="Blast",B11="Blast"),AR520,0)))</f>
        <v>0</v>
      </c>
      <c r="BP42">
        <f t="shared" si="0"/>
        <v>0</v>
      </c>
      <c r="BQ42" s="49" t="str">
        <f>CONCATENATE(AX42,IF(AND(BI42=TRUE,Calculator!B8=TRUE),CONCATENATE(" (Tenderized)"),""),IF(BP42=0,"",CONCATENATE(", ",BP42)))</f>
        <v/>
      </c>
      <c r="BR42" s="49">
        <f>VLOOKUP(Calculator!B4,SavedBuildNumbers!A1:AZ73,41,FALSE)</f>
        <v>0</v>
      </c>
      <c r="BS42">
        <f>VLOOKUP(Calculator!B4,SavedBuildNumbers!A1:CD73,82,FALSE)</f>
        <v>0</v>
      </c>
      <c r="BU42" s="49">
        <f>IFERROR(ROUNDDOWN((IF((ROUND((VLOOKUP(tbMoveset!A42,tbMoveset!A2:F112,6,FALSE)+(IF(VLOOKUP(tbMoveset!A42,tbMoveset!A2:F112,6,FALSE)&gt;0,K41,0)))*(1+(IF(VLOOKUP(tbMoveset!A42,tbMoveset!A2:I112,9,FALSE)="Fire",VLOOKUP(Calculator!$E24,tbSkills!$AX3:$AZ9,3,FALSE),IF(VLOOKUP(tbMoveset!A42,tbMoveset!A2:I112,9,FALSE)="Water",VLOOKUP(Calculator!$E25,tbSkills!$AX3:$AZ9,3,FALSE),IF(VLOOKUP(BackdoorsMoveset!A42,tbMoveset!A2:I112,9,FALSE)="Thunder",VLOOKUP(Calculator!$E26,tbSkills!$AX3:$AZ9,3,FALSE),IF(VLOOKUP(tbMoveset!A42,tbMoveset!A2:I112,9,FALSE)="Ice",VLOOKUP(Calculator!$E27,tbSkills!$AX3:$AZ9,3,FALSE),IF(VLOOKUP(tbMoveset!A42,tbMoveset!A2:I112,9,FALSE)="Dragon",VLOOKUP(Calculator!$E28,tbSkills!$AX3:$AZ9,3,FALSE),0)))))/100))*AC7,0)+IF(VLOOKUP(tbMoveset!A42,tbMoveset!A2:F112,6,FALSE)&gt;0,IF(VLOOKUP(tbMoveset!A42,tbMoveset!A2:I112,9,FALSE)="Fire",VLOOKUP(Calculator!$E24,tbSkills!$AX3:$AY9,2,FALSE),IF(VLOOKUP(tbMoveset!A42,tbMoveset!A2:I112,9,FALSE)="Water",VLOOKUP(Calculator!$E25,tbSkills!$AX3:$AY9,2,FALSE),IF(VLOOKUP(tbMoveset!A42,tbMoveset!A2:I112,9,FALSE)="Thunder",VLOOKUP(Calculator!$E26,tbSkills!$AX3:$AY9,2,FALSE),IF(VLOOKUP(tbMoveset!A42,tbMoveset!A2:I112,9,FALSE)="Ice",VLOOKUP(Calculator!$E27,tbSkills!$AX3:$AY9,2,FALSE),IF(VLOOKUP(tbMoveset!A42,tbMoveset!A2:I112,9,FALSE)="Dragon",VLOOKUP(Calculator!$E28,tbSkills!$AX3:$AY9,2,FALSE),0))))),0)/10)&gt;=B34,B34,(ROUND((VLOOKUP(tbMoveset!A42,tbMoveset!A2:F112,6,FALSE)+(IF(VLOOKUP(tbMoveset!A42,tbMoveset!A2:F112,6,FALSE)&gt;0,K41,0)))*(1+(IF(VLOOKUP(tbMoveset!A42,tbMoveset!A2:I112,9,FALSE)="Fire",VLOOKUP(Calculator!$E24,tbSkills!$AX3:$AZ9,3,FALSE),IF(VLOOKUP(tbMoveset!A42,tbMoveset!A2:I112,9,FALSE)="Water",VLOOKUP(Calculator!$E25,tbSkills!$AX3:$AZ9,3,FALSE),IF(VLOOKUP(BackdoorsMoveset!A42,tbMoveset!A2:I112,9,FALSE)="Thunder",VLOOKUP(Calculator!$E26,tbSkills!$AX3:$AZ9,3,FALSE),IF(VLOOKUP(tbMoveset!A42,tbMoveset!A2:I112,9,FALSE)="Ice",VLOOKUP(Calculator!$E27,tbSkills!$AX3:$AZ9,3,FALSE),IF(VLOOKUP(tbMoveset!A42,tbMoveset!A2:I112,9,FALSE)="Dragon",VLOOKUP(Calculator!$E28,tbSkills!$AX3:$AZ9,3,FALSE),0)))))/100))*AC7,0)+IF(VLOOKUP(tbMoveset!A42,tbMoveset!A2:F112,6,FALSE)&gt;0,IF(VLOOKUP(tbMoveset!A42,tbMoveset!A2:I112,9,FALSE)="Fire",VLOOKUP(Calculator!$E24,tbSkills!$AX3:$AY9,2,FALSE),IF(VLOOKUP(tbMoveset!A42,tbMoveset!A2:I112,9,FALSE)="Water",VLOOKUP(Calculator!$E25,tbSkills!$AX3:$AY9,2,FALSE),IF(VLOOKUP(tbMoveset!A42,tbMoveset!A2:I112,9,FALSE)="Thunder",VLOOKUP(Calculator!$E26,tbSkills!$AX3:$AY9,2,FALSE),IF(VLOOKUP(tbMoveset!A42,tbMoveset!A2:I112,9,FALSE)="Ice",VLOOKUP(Calculator!$E27,tbSkills!$AX3:$AY9,2,FALSE),IF(VLOOKUP(tbMoveset!A42,tbMoveset!A2:I112,9,FALSE)="Dragon",VLOOKUP(Calculator!$E28,tbSkills!$AX3:$AY9,2,FALSE),0))))),0)/10))*N6)*AC6,0)*(B30/100),0)</f>
        <v>0</v>
      </c>
    </row>
    <row r="43" spans="1:73" x14ac:dyDescent="0.25">
      <c r="A43" s="67" t="str">
        <f>IFERROR(HLOOKUP(Calculator!B7,Combos!B3:K29,9,FALSE),"")</f>
        <v>Sixfold Demon Slash (L2)</v>
      </c>
      <c r="J43" t="s">
        <v>908</v>
      </c>
      <c r="K43">
        <f>K26</f>
        <v>0</v>
      </c>
      <c r="AN43" s="49" t="str">
        <f>IFERROR(INDEX(tbHitzones!K:K,MATCH(ROWS(tbHitzones!$1:26),tbHitzones!K:K,0)),"")</f>
        <v/>
      </c>
      <c r="AO43">
        <f>IF(OR(B2="Light Bowgun",B2="Heavy Bowgun"),IF(AI12&gt;=0,1+(IF(Calculator!E40&gt;0,VLOOKUP(Calculator!E40,tbSkills!AI3:AJ5,2,FALSE),AL4)*(IF((AI12+IF(BA28&gt;=0.45,VLOOKUP(Calculator!E23,tbSkills!DH3:DI6,2,FALSE)+IF(AND(Calculator!B8=TRUE,BI28=TRUE),VLOOKUP(Calculator!E23,tbSkills!DH3:DJ6,3,FALSE),0),0))&gt;=100,100,(AI12+IF(BA28&gt;=0.45,VLOOKUP(Calculator!E23,tbSkills!DH3:DI6,2,FALSE)+IF(AND(Calculator!B8=TRUE,BI28=TRUE),VLOOKUP(Calculator!E23,tbSkills!DH3:DJ6,3,FALSE),0),0)))/100)),1),VLOOKUP(Backdoors!A37,BackdoorsMoveset!A2:FZ112,182,FALSE)+VLOOKUP(Backdoors!A38,BackdoorsMoveset!A2:FZ112,182,FALSE)+VLOOKUP(Backdoors!A39,BackdoorsMoveset!A2:FZ112,182,FALSE)+VLOOKUP(Backdoors!A40,BackdoorsMoveset!A2:FZ112,182,FALSE)+VLOOKUP(Backdoors!A41,BackdoorsMoveset!A2:FZ112,182,FALSE)+VLOOKUP(Backdoors!A42,BackdoorsMoveset!A2:FZ112,182,FALSE)+VLOOKUP(Backdoors!A43,BackdoorsMoveset!A2:FZ112,182,FALSE)+VLOOKUP(Backdoors!A44,BackdoorsMoveset!A2:FZ112,182,FALSE)+VLOOKUP(Backdoors!A45,BackdoorsMoveset!A2:FZ112,182,FALSE)+VLOOKUP(Backdoors!A46,BackdoorsMoveset!A2:FZ112,182,FALSE)+VLOOKUP(Backdoors!A47,BackdoorsMoveset!A2:FZ112,182,FALSE)+VLOOKUP(Backdoors!A48,BackdoorsMoveset!A2:FZ112,182,FALSE)+VLOOKUP(Backdoors!A49,BackdoorsMoveset!A2:FZ112,182,FALSE)+VLOOKUP(Backdoors!A50,BackdoorsMoveset!A2:FZ112,182,FALSE)+VLOOKUP(Backdoors!A51,BackdoorsMoveset!A2:FZ112,182,FALSE)+VLOOKUP(Backdoors!A52,BackdoorsMoveset!A2:FZ112,182,FALSE)+VLOOKUP(Backdoors!A53,BackdoorsMoveset!A2:FZ112,182,FALSE)+VLOOKUP(Backdoors!A54,BackdoorsMoveset!A2:FZ112,182,FALSE)+VLOOKUP(Backdoors!A55,BackdoorsMoveset!A2:FZ112,182,FALSE)+VLOOKUP(Backdoors!A56,BackdoorsMoveset!A2:FZ112,182,FALSE)+VLOOKUP(Backdoors!A57,BackdoorsMoveset!A2:FZ112,182,FALSE)+VLOOKUP(Backdoors!A58,BackdoorsMoveset!A2:FZ112,182,FALSE)+VLOOKUP(Backdoors!A59,BackdoorsMoveset!A2:FZ112,182,FALSE)+VLOOKUP(Backdoors!A60,BackdoorsMoveset!A2:FZ112,182,FALSE)+VLOOKUP(Backdoors!A61,BackdoorsMoveset!A2:FZ112,182,FALSE))</f>
        <v>14.299999999999999</v>
      </c>
      <c r="AQ43" t="s">
        <v>572</v>
      </c>
      <c r="AR43">
        <f>AO6*AO21</f>
        <v>0</v>
      </c>
      <c r="AT43">
        <v>42</v>
      </c>
      <c r="AU43">
        <f>$AU42+IF(AO12+((AO10*41)*AO11)&gt;AO13,AO13,AO12+((AO10*41)*AO11))</f>
        <v>12852</v>
      </c>
      <c r="AW43" s="49" t="str">
        <f>IFERROR(INDEX(tbHitzones!K:K,MATCH(ROWS(tbHitzones!$1:41),tbHitzones!K:K,0)),"")</f>
        <v/>
      </c>
      <c r="AX43" s="49" t="str">
        <f>IFERROR(INDEX(tbHitzones!B:B,MATCH(ROWS(tbHitzones!$1:41),tbHitzones!K:K,0)),"")</f>
        <v/>
      </c>
      <c r="AY43" s="49" t="str">
        <f>IFERROR(INDEX(tbHitzones!C:C,MATCH(ROWS(tbHitzones!$1:41),tbHitzones!K:K,0)),"")</f>
        <v/>
      </c>
      <c r="AZ43" s="49" t="str">
        <f>IFERROR(INDEX(tbHitzones!D:D,MATCH(ROWS(tbHitzones!$1:41),tbHitzones!K:K,0)),"")</f>
        <v/>
      </c>
      <c r="BA43" s="49" t="str">
        <f>IFERROR(INDEX(tbHitzones!E:E,MATCH(ROWS(tbHitzones!$1:41),tbHitzones!K:K,0)),"")</f>
        <v/>
      </c>
      <c r="BB43" s="49" t="str">
        <f>IFERROR(INDEX(tbHitzones!F:F,MATCH(ROWS(tbHitzones!$1:41),tbHitzones!K:K,0)),"")</f>
        <v/>
      </c>
      <c r="BC43" s="49" t="str">
        <f>IFERROR(INDEX(tbHitzones!G:G,MATCH(ROWS(tbHitzones!$1:41),tbHitzones!K:K,0)),"")</f>
        <v/>
      </c>
      <c r="BD43" s="49" t="str">
        <f>IFERROR(INDEX(tbHitzones!H:H,MATCH(ROWS(tbHitzones!$1:41),tbHitzones!K:K,0)),"")</f>
        <v/>
      </c>
      <c r="BE43" s="49" t="str">
        <f>IFERROR(INDEX(tbHitzones!I:I,MATCH(ROWS(tbHitzones!$1:41),tbHitzones!K:K,0)),"")</f>
        <v/>
      </c>
      <c r="BF43" s="49" t="str">
        <f>IFERROR(INDEX(tbHitzones!J:J,MATCH(ROWS(tbHitzones!$1:41),tbHitzones!K:K,0)),"")</f>
        <v/>
      </c>
      <c r="BG43" s="49">
        <f>IFERROR(IF(OR(B9="Fire",B11="Fire"),BB43,IF(OR(B9="Water",B11="Water"),BC43,IF(OR(B9="Thunder",B11="Thunder"),BD43,IF(OR(B9="Ice",B11="Ice"),BE43,IF(OR(B9="Dragon",B11="Dragon"),BF43,0))))),"")</f>
        <v>0</v>
      </c>
      <c r="BH43" s="49" t="str">
        <f>IFERROR(INDEX(tbHitzones!L:L,MATCH(ROWS(tbHitzones!$1:41),tbHitzones!K:K,0)),"")</f>
        <v/>
      </c>
      <c r="BI43" s="49" t="str">
        <f>IFERROR(INDEX(tbHitzones!M:M,MATCH(ROWS(tbHitzones!$1:41),tbHitzones!K:K,0)),"")</f>
        <v/>
      </c>
      <c r="BK43" s="49" t="str">
        <f>IFERROR(INDEX(tbHitzones!K:K,MATCH(ROWS(tbHitzones!$1:41),tbHitzones!K:K,0)),"")</f>
        <v/>
      </c>
      <c r="BL43">
        <f>IFERROR(VLOOKUP(Backdoors!A37,BackdoorsMoveset!A2:JY112,285,FALSE)+VLOOKUP(Backdoors!A38,BackdoorsMoveset!A2:JY112,285,FALSE)+VLOOKUP(Backdoors!A39,BackdoorsMoveset!A2:JY112,285,FALSE)+VLOOKUP(Backdoors!A40,BackdoorsMoveset!A2:JY112,285,FALSE)+VLOOKUP(Backdoors!A41,BackdoorsMoveset!A2:JY112,285,FALSE)+VLOOKUP(Backdoors!A42,BackdoorsMoveset!A2:JY112,285,FALSE)+VLOOKUP(Backdoors!A43,BackdoorsMoveset!A2:JY112,285,FALSE)+VLOOKUP(Backdoors!A44,BackdoorsMoveset!A2:JY112,285,FALSE)+VLOOKUP(Backdoors!A45,BackdoorsMoveset!A2:JY112,285,FALSE)+VLOOKUP(Backdoors!A46,BackdoorsMoveset!A2:JY112,285,FALSE)+VLOOKUP(Backdoors!A47,BackdoorsMoveset!A2:JY112,285,FALSE)+VLOOKUP(Backdoors!A48,BackdoorsMoveset!A2:JY112,285,FALSE)+VLOOKUP(Backdoors!A49,BackdoorsMoveset!A2:JY112,285,FALSE)+VLOOKUP(Backdoors!A50,BackdoorsMoveset!A2:JY112,285,FALSE)+VLOOKUP(Backdoors!A51,BackdoorsMoveset!A2:JY112,285,FALSE)+VLOOKUP(Backdoors!A52,BackdoorsMoveset!A2:JY112,285,FALSE)+VLOOKUP(Backdoors!A53,BackdoorsMoveset!A2:JY112,285,FALSE)+VLOOKUP(Backdoors!A54,BackdoorsMoveset!A2:JY112,285,FALSE)+VLOOKUP(Backdoors!A55,BackdoorsMoveset!A2:JY112,285,FALSE)+VLOOKUP(Backdoors!A56,BackdoorsMoveset!A2:JY112,285,FALSE)+VLOOKUP(Backdoors!A57,BackdoorsMoveset!A2:JY112,285,FALSE)+VLOOKUP(Backdoors!A58,BackdoorsMoveset!A2:JY112,285,FALSE)+VLOOKUP(Backdoors!A59,BackdoorsMoveset!A2:JY112,285,FALSE)+VLOOKUP(Backdoors!A60,BackdoorsMoveset!A2:JY112,285,FALSE)+VLOOKUP(Backdoors!A61,BackdoorsMoveset!A2:JY112,285,FALSE),0)</f>
        <v>0</v>
      </c>
      <c r="BM43">
        <f>IFERROR(VLOOKUP(Backdoors!A37,BackdoorsMoveset!A2:JZ112,286,FALSE)+VLOOKUP(Backdoors!A38,BackdoorsMoveset!A2:JZ112,286,FALSE)+VLOOKUP(Backdoors!A39,BackdoorsMoveset!A2:JZ112,286,FALSE)+VLOOKUP(Backdoors!A40,BackdoorsMoveset!A2:JZ112,286,FALSE)+VLOOKUP(Backdoors!A41,BackdoorsMoveset!A2:JZ112,286,FALSE)+VLOOKUP(Backdoors!A42,BackdoorsMoveset!A2:JZ112,286,FALSE)+VLOOKUP(Backdoors!A43,BackdoorsMoveset!A2:JZ112,286,FALSE)+VLOOKUP(Backdoors!A44,BackdoorsMoveset!A2:JZ112,286,FALSE)+VLOOKUP(Backdoors!A45,BackdoorsMoveset!A2:JZ112,286,FALSE)+VLOOKUP(Backdoors!A46,BackdoorsMoveset!A2:JZ112,286,FALSE)+VLOOKUP(Backdoors!A47,BackdoorsMoveset!A2:JZ112,286,FALSE)+VLOOKUP(Backdoors!A48,BackdoorsMoveset!A2:JZ112,286,FALSE)+VLOOKUP(Backdoors!A49,BackdoorsMoveset!A2:JZ112,286,FALSE)+VLOOKUP(Backdoors!A50,BackdoorsMoveset!A2:JZ112,286,FALSE)+VLOOKUP(Backdoors!A51,BackdoorsMoveset!A2:JZ112,286,FALSE)+VLOOKUP(Backdoors!A52,BackdoorsMoveset!A2:JZ112,286,FALSE)+VLOOKUP(Backdoors!A53,BackdoorsMoveset!A2:JZ112,286,FALSE)+VLOOKUP(Backdoors!A54,BackdoorsMoveset!A2:JZ112,286,FALSE)+VLOOKUP(Backdoors!A55,BackdoorsMoveset!A2:JZ112,286,FALSE)+VLOOKUP(Backdoors!A56,BackdoorsMoveset!A2:JZ112,286,FALSE)+VLOOKUP(Backdoors!A57,BackdoorsMoveset!A2:JZ112,286,FALSE)+VLOOKUP(Backdoors!A58,BackdoorsMoveset!A2:JZ112,286,FALSE)+VLOOKUP(Backdoors!A59,BackdoorsMoveset!A2:JZ112,286,FALSE)+VLOOKUP(Backdoors!A60,BackdoorsMoveset!A2:JZ112,286,FALSE)+VLOOKUP(Backdoors!A61,BackdoorsMoveset!A2:JZ112,286,FALSE),0)</f>
        <v>0</v>
      </c>
      <c r="BN43">
        <f>IFERROR(VLOOKUP(Backdoors!A37,BackdoorsMoveset!A2:KB112,288,FALSE)+VLOOKUP(Backdoors!A38,BackdoorsMoveset!A2:KB112,288,FALSE)+VLOOKUP(Backdoors!A39,BackdoorsMoveset!A2:KB112,288,FALSE)+VLOOKUP(Backdoors!A40,BackdoorsMoveset!A2:KB112,288,FALSE)+VLOOKUP(Backdoors!A41,BackdoorsMoveset!A2:KB112,288,FALSE)+VLOOKUP(Backdoors!A42,BackdoorsMoveset!A2:KB112,288,FALSE)+VLOOKUP(Backdoors!A43,BackdoorsMoveset!A2:KB112,288,FALSE)+VLOOKUP(Backdoors!A44,BackdoorsMoveset!A2:KB112,288,FALSE)+VLOOKUP(Backdoors!A45,BackdoorsMoveset!A2:KB112,288,FALSE)+VLOOKUP(Backdoors!A46,BackdoorsMoveset!A2:KB112,288,FALSE)+VLOOKUP(Backdoors!A47,BackdoorsMoveset!A2:KB112,288,FALSE)+VLOOKUP(Backdoors!A48,BackdoorsMoveset!A2:KB112,288,FALSE)+VLOOKUP(Backdoors!A49,BackdoorsMoveset!A2:KB112,288,FALSE)+VLOOKUP(Backdoors!A50,BackdoorsMoveset!A2:KB112,288,FALSE)+VLOOKUP(Backdoors!A51,BackdoorsMoveset!A2:KB112,288,FALSE)+VLOOKUP(Backdoors!A52,BackdoorsMoveset!A2:KB112,288,FALSE)+VLOOKUP(Backdoors!A53,BackdoorsMoveset!A2:KB112,288,FALSE)+VLOOKUP(Backdoors!A54,BackdoorsMoveset!A2:KB112,288,FALSE)+VLOOKUP(Backdoors!A55,BackdoorsMoveset!A2:KB112,288,FALSE)+VLOOKUP(Backdoors!A56,BackdoorsMoveset!A2:KB112,288,FALSE)+VLOOKUP(Backdoors!A57,BackdoorsMoveset!A2:KB112,288,FALSE)+VLOOKUP(Backdoors!A58,BackdoorsMoveset!A2:KB112,288,FALSE)+VLOOKUP(Backdoors!A59,BackdoorsMoveset!A2:KB112,288,FALSE)+VLOOKUP(Backdoors!A60,BackdoorsMoveset!A2:KB112,288,FALSE)+VLOOKUP(Backdoors!A61,BackdoorsMoveset!A2:KB112,288,FALSE),0)</f>
        <v>0</v>
      </c>
      <c r="BO43" s="49">
        <f>IF(BN43=0,0,IF(OR(B9="Poison",$B11="Poison",B2="Light Bowgun",B2="Heavy Bowgun"),ROUND(Backdoors!A36*VLOOKUP(AO7,tbStatus!$A3:$F18,6,FALSE)*IF((AO16*AO58)&gt;1,1,(AO16*AO58)),0),IF(OR(B9="Blast",B11="Blast"),AR533,0)))</f>
        <v>0</v>
      </c>
      <c r="BP43">
        <f t="shared" si="0"/>
        <v>0</v>
      </c>
      <c r="BQ43" s="49" t="str">
        <f>CONCATENATE(AX43,IF(AND(BI43=TRUE,Calculator!B8=TRUE),CONCATENATE(" (Tenderized)"),""),IF(BP43=0,"",CONCATENATE(", ",BP43)))</f>
        <v/>
      </c>
      <c r="BR43" s="49">
        <f>VLOOKUP(Calculator!B4,SavedBuildNumbers!A1:BA73,42,FALSE)</f>
        <v>0</v>
      </c>
      <c r="BS43" t="b">
        <f>VLOOKUP(Calculator!B4,SavedBuildNumbers!A1:CE73,83,FALSE)</f>
        <v>0</v>
      </c>
      <c r="BU43" s="49">
        <f>IFERROR(ROUNDDOWN((IF((ROUND((VLOOKUP(tbMoveset!A43,tbMoveset!A2:F112,6,FALSE)+(IF(VLOOKUP(tbMoveset!A43,tbMoveset!A2:F112,6,FALSE)&gt;0,K41,0)))*(1+(IF(VLOOKUP(tbMoveset!A43,tbMoveset!A2:I112,9,FALSE)="Fire",VLOOKUP(Calculator!$E24,tbSkills!$AX3:$AZ9,3,FALSE),IF(VLOOKUP(tbMoveset!A43,tbMoveset!A2:I112,9,FALSE)="Water",VLOOKUP(Calculator!$E25,tbSkills!$AX3:$AZ9,3,FALSE),IF(VLOOKUP(BackdoorsMoveset!A43,tbMoveset!A2:I112,9,FALSE)="Thunder",VLOOKUP(Calculator!$E26,tbSkills!$AX3:$AZ9,3,FALSE),IF(VLOOKUP(tbMoveset!A43,tbMoveset!A2:I112,9,FALSE)="Ice",VLOOKUP(Calculator!$E27,tbSkills!$AX3:$AZ9,3,FALSE),IF(VLOOKUP(tbMoveset!A43,tbMoveset!A2:I112,9,FALSE)="Dragon",VLOOKUP(Calculator!$E28,tbSkills!$AX3:$AZ9,3,FALSE),0)))))/100))*AC7,0)+IF(VLOOKUP(tbMoveset!A43,tbMoveset!A2:F112,6,FALSE)&gt;0,IF(VLOOKUP(tbMoveset!A43,tbMoveset!A2:I112,9,FALSE)="Fire",VLOOKUP(Calculator!$E24,tbSkills!$AX3:$AY9,2,FALSE),IF(VLOOKUP(tbMoveset!A43,tbMoveset!A2:I112,9,FALSE)="Water",VLOOKUP(Calculator!$E25,tbSkills!$AX3:$AY9,2,FALSE),IF(VLOOKUP(tbMoveset!A43,tbMoveset!A2:I112,9,FALSE)="Thunder",VLOOKUP(Calculator!$E26,tbSkills!$AX3:$AY9,2,FALSE),IF(VLOOKUP(tbMoveset!A43,tbMoveset!A2:I112,9,FALSE)="Ice",VLOOKUP(Calculator!$E27,tbSkills!$AX3:$AY9,2,FALSE),IF(VLOOKUP(tbMoveset!A43,tbMoveset!A2:I112,9,FALSE)="Dragon",VLOOKUP(Calculator!$E28,tbSkills!$AX3:$AY9,2,FALSE),0))))),0)/10)&gt;=B34,B34,(ROUND((VLOOKUP(tbMoveset!A43,tbMoveset!A2:F112,6,FALSE)+(IF(VLOOKUP(tbMoveset!A43,tbMoveset!A2:F112,6,FALSE)&gt;0,K41,0)))*(1+(IF(VLOOKUP(tbMoveset!A43,tbMoveset!A2:I112,9,FALSE)="Fire",VLOOKUP(Calculator!$E24,tbSkills!$AX3:$AZ9,3,FALSE),IF(VLOOKUP(tbMoveset!A43,tbMoveset!A2:I112,9,FALSE)="Water",VLOOKUP(Calculator!$E25,tbSkills!$AX3:$AZ9,3,FALSE),IF(VLOOKUP(BackdoorsMoveset!A43,tbMoveset!A2:I112,9,FALSE)="Thunder",VLOOKUP(Calculator!$E26,tbSkills!$AX3:$AZ9,3,FALSE),IF(VLOOKUP(tbMoveset!A43,tbMoveset!A2:I112,9,FALSE)="Ice",VLOOKUP(Calculator!$E27,tbSkills!$AX3:$AZ9,3,FALSE),IF(VLOOKUP(tbMoveset!A43,tbMoveset!A2:I112,9,FALSE)="Dragon",VLOOKUP(Calculator!$E28,tbSkills!$AX3:$AZ9,3,FALSE),0)))))/100))*AC7,0)+IF(VLOOKUP(tbMoveset!A43,tbMoveset!A2:F112,6,FALSE)&gt;0,IF(VLOOKUP(tbMoveset!A43,tbMoveset!A2:I112,9,FALSE)="Fire",VLOOKUP(Calculator!$E24,tbSkills!$AX3:$AY9,2,FALSE),IF(VLOOKUP(tbMoveset!A43,tbMoveset!A2:I112,9,FALSE)="Water",VLOOKUP(Calculator!$E25,tbSkills!$AX3:$AY9,2,FALSE),IF(VLOOKUP(tbMoveset!A43,tbMoveset!A2:I112,9,FALSE)="Thunder",VLOOKUP(Calculator!$E26,tbSkills!$AX3:$AY9,2,FALSE),IF(VLOOKUP(tbMoveset!A43,tbMoveset!A2:I112,9,FALSE)="Ice",VLOOKUP(Calculator!$E27,tbSkills!$AX3:$AY9,2,FALSE),IF(VLOOKUP(tbMoveset!A43,tbMoveset!A2:I112,9,FALSE)="Dragon",VLOOKUP(Calculator!$E28,tbSkills!$AX3:$AY9,2,FALSE),0))))),0)/10))*N6)*AC6,0)*(B30/100),0)</f>
        <v>0</v>
      </c>
    </row>
    <row r="44" spans="1:73" x14ac:dyDescent="0.25">
      <c r="A44" s="67" t="str">
        <f>IFERROR(HLOOKUP(Calculator!B7,Combos!B3:K29,10,FALSE),"")</f>
        <v>Sixfold Demon Slash (L3)</v>
      </c>
      <c r="J44" t="s">
        <v>908</v>
      </c>
      <c r="K44">
        <f>K42+K43</f>
        <v>0</v>
      </c>
      <c r="AN44" s="49" t="str">
        <f>IFERROR(INDEX(tbHitzones!K:K,MATCH(ROWS(tbHitzones!$1:27),tbHitzones!K:K,0)),"")</f>
        <v/>
      </c>
      <c r="AO44">
        <f>IF(OR(B2="Light Bowgun",B2="Heavy Bowgun"),IF(AI12&gt;=0,1+(IF(Calculator!E40&gt;0,VLOOKUP(Calculator!E40,tbSkills!AI3:AJ5,2,FALSE),AL4)*(IF((AI12+IF(BA29&gt;=0.45,VLOOKUP(Calculator!E23,tbSkills!DH3:DI6,2,FALSE)+IF(AND(Calculator!B8=TRUE,BI29=TRUE),VLOOKUP(Calculator!E23,tbSkills!DH3:DJ6,3,FALSE),0),0))&gt;=100,100,(AI12+IF(BA29&gt;=0.45,VLOOKUP(Calculator!E23,tbSkills!DH3:DI6,2,FALSE)+IF(AND(Calculator!B8=TRUE,BI29=TRUE),VLOOKUP(Calculator!E23,tbSkills!DH3:DJ6,3,FALSE),0),0)))/100)),1),VLOOKUP(Backdoors!A37,BackdoorsMoveset!A2:GG112,189,FALSE)+VLOOKUP(Backdoors!A38,BackdoorsMoveset!A2:GG112,189,FALSE)+VLOOKUP(Backdoors!A39,BackdoorsMoveset!A2:GG112,189,FALSE)+VLOOKUP(Backdoors!A40,BackdoorsMoveset!A2:GG112,189,FALSE)+VLOOKUP(Backdoors!A41,BackdoorsMoveset!A2:GG112,189,FALSE)+VLOOKUP(Backdoors!A42,BackdoorsMoveset!A2:GG112,189,FALSE)+VLOOKUP(Backdoors!A43,BackdoorsMoveset!A2:GG112,189,FALSE)+VLOOKUP(Backdoors!A44,BackdoorsMoveset!A2:GG112,189,FALSE)+VLOOKUP(Backdoors!A45,BackdoorsMoveset!A2:GG112,189,FALSE)+VLOOKUP(Backdoors!A46,BackdoorsMoveset!A2:GG112,189,FALSE)+VLOOKUP(Backdoors!A47,BackdoorsMoveset!A2:GG112,189,FALSE)+VLOOKUP(Backdoors!A48,BackdoorsMoveset!A2:GG112,189,FALSE)+VLOOKUP(Backdoors!A49,BackdoorsMoveset!A2:GG112,189,FALSE)+VLOOKUP(Backdoors!A50,BackdoorsMoveset!A2:GG112,189,FALSE)+VLOOKUP(Backdoors!A51,BackdoorsMoveset!A2:GG112,189,FALSE)+VLOOKUP(Backdoors!A52,BackdoorsMoveset!A2:GG112,189,FALSE)+VLOOKUP(Backdoors!A53,BackdoorsMoveset!A2:GG112,189,FALSE)+VLOOKUP(Backdoors!A54,BackdoorsMoveset!A2:GG112,189,FALSE)+VLOOKUP(Backdoors!A55,BackdoorsMoveset!A2:GG112,189,FALSE)+VLOOKUP(Backdoors!A56,BackdoorsMoveset!A2:GG112,189,FALSE)+VLOOKUP(Backdoors!A57,BackdoorsMoveset!A2:GG112,189,FALSE)+VLOOKUP(Backdoors!A58,BackdoorsMoveset!A2:GG112,189,FALSE)+VLOOKUP(Backdoors!A59,BackdoorsMoveset!A2:GG112,189,FALSE)+VLOOKUP(Backdoors!A60,BackdoorsMoveset!A2:GG112,189,FALSE)+VLOOKUP(Backdoors!A61,BackdoorsMoveset!A2:GG112,189,FALSE))</f>
        <v>14.299999999999999</v>
      </c>
      <c r="AQ44" t="s">
        <v>190</v>
      </c>
      <c r="AR44">
        <f>AR42*AR43</f>
        <v>0</v>
      </c>
      <c r="AT44">
        <v>43</v>
      </c>
      <c r="AU44">
        <f>$AU43+IF(AO12+((AO10*42)*AO11)&gt;AO13,AO13,AO12+((AO10*42)*AO11))</f>
        <v>13248</v>
      </c>
      <c r="AW44" s="49" t="str">
        <f>IFERROR(INDEX(tbHitzones!K:K,MATCH(ROWS(tbHitzones!$1:42),tbHitzones!K:K,0)),"")</f>
        <v/>
      </c>
      <c r="AX44" s="49" t="str">
        <f>IFERROR(INDEX(tbHitzones!B:B,MATCH(ROWS(tbHitzones!$1:42),tbHitzones!K:K,0)),"")</f>
        <v/>
      </c>
      <c r="AY44" s="49" t="str">
        <f>IFERROR(INDEX(tbHitzones!C:C,MATCH(ROWS(tbHitzones!$1:42),tbHitzones!K:K,0)),"")</f>
        <v/>
      </c>
      <c r="AZ44" s="49" t="str">
        <f>IFERROR(INDEX(tbHitzones!D:D,MATCH(ROWS(tbHitzones!$1:42),tbHitzones!K:K,0)),"")</f>
        <v/>
      </c>
      <c r="BA44" s="49" t="str">
        <f>IFERROR(INDEX(tbHitzones!E:E,MATCH(ROWS(tbHitzones!$1:42),tbHitzones!K:K,0)),"")</f>
        <v/>
      </c>
      <c r="BB44" s="49" t="str">
        <f>IFERROR(INDEX(tbHitzones!F:F,MATCH(ROWS(tbHitzones!$1:42),tbHitzones!K:K,0)),"")</f>
        <v/>
      </c>
      <c r="BC44" s="49" t="str">
        <f>IFERROR(INDEX(tbHitzones!G:G,MATCH(ROWS(tbHitzones!$1:42),tbHitzones!K:K,0)),"")</f>
        <v/>
      </c>
      <c r="BD44" s="49" t="str">
        <f>IFERROR(INDEX(tbHitzones!H:H,MATCH(ROWS(tbHitzones!$1:42),tbHitzones!K:K,0)),"")</f>
        <v/>
      </c>
      <c r="BE44" s="49" t="str">
        <f>IFERROR(INDEX(tbHitzones!I:I,MATCH(ROWS(tbHitzones!$1:42),tbHitzones!K:K,0)),"")</f>
        <v/>
      </c>
      <c r="BF44" s="49" t="str">
        <f>IFERROR(INDEX(tbHitzones!J:J,MATCH(ROWS(tbHitzones!$1:42),tbHitzones!K:K,0)),"")</f>
        <v/>
      </c>
      <c r="BG44" s="49">
        <f>IFERROR(IF(OR(B9="Fire",B11="Fire"),BB44,IF(OR(B9="Water",B11="Water"),BC44,IF(OR(B9="Thunder",B11="Thunder"),BD44,IF(OR(B9="Ice",B11="Ice"),BE44,IF(OR(B9="Dragon",B11="Dragon"),BF44,0))))),"")</f>
        <v>0</v>
      </c>
      <c r="BH44" s="49" t="str">
        <f>IFERROR(INDEX(tbHitzones!L:L,MATCH(ROWS(tbHitzones!$1:42),tbHitzones!K:K,0)),"")</f>
        <v/>
      </c>
      <c r="BI44" s="49" t="str">
        <f>IFERROR(INDEX(tbHitzones!M:M,MATCH(ROWS(tbHitzones!$1:42),tbHitzones!K:K,0)),"")</f>
        <v/>
      </c>
      <c r="BK44" s="49" t="str">
        <f>IFERROR(INDEX(tbHitzones!K:K,MATCH(ROWS(tbHitzones!$1:42),tbHitzones!K:K,0)),"")</f>
        <v/>
      </c>
      <c r="BL44">
        <f>IFERROR(VLOOKUP(Backdoors!A37,BackdoorsMoveset!A2:KF112,292,FALSE)+VLOOKUP(Backdoors!A38,BackdoorsMoveset!A2:KF112,292,FALSE)+VLOOKUP(Backdoors!A39,BackdoorsMoveset!A2:KF112,292,FALSE)+VLOOKUP(Backdoors!A40,BackdoorsMoveset!A2:KF112,292,FALSE)+VLOOKUP(Backdoors!A41,BackdoorsMoveset!A2:KF112,292,FALSE)+VLOOKUP(Backdoors!A42,BackdoorsMoveset!A2:KF112,292,FALSE)+VLOOKUP(Backdoors!A43,BackdoorsMoveset!A2:KF112,292,FALSE)+VLOOKUP(Backdoors!A44,BackdoorsMoveset!A2:KF112,292,FALSE)+VLOOKUP(Backdoors!A45,BackdoorsMoveset!A2:KF112,292,FALSE)+VLOOKUP(Backdoors!A46,BackdoorsMoveset!A2:KF112,292,FALSE)+VLOOKUP(Backdoors!A47,BackdoorsMoveset!A2:KF112,292,FALSE)+VLOOKUP(Backdoors!A48,BackdoorsMoveset!A2:KF112,292,FALSE)+VLOOKUP(Backdoors!A49,BackdoorsMoveset!A2:KF112,292,FALSE)+VLOOKUP(Backdoors!A50,BackdoorsMoveset!A2:KF112,292,FALSE)+VLOOKUP(Backdoors!A51,BackdoorsMoveset!A2:KF112,292,FALSE)+VLOOKUP(Backdoors!A52,BackdoorsMoveset!A2:KF112,292,FALSE)+VLOOKUP(Backdoors!A53,BackdoorsMoveset!A2:KF112,292,FALSE)+VLOOKUP(Backdoors!A54,BackdoorsMoveset!A2:KF112,292,FALSE)+VLOOKUP(Backdoors!A55,BackdoorsMoveset!A2:KF112,292,FALSE)+VLOOKUP(Backdoors!A56,BackdoorsMoveset!A2:KF112,292,FALSE)+VLOOKUP(Backdoors!A57,BackdoorsMoveset!A2:KF112,292,FALSE)+VLOOKUP(Backdoors!A58,BackdoorsMoveset!A2:KF112,292,FALSE)+VLOOKUP(Backdoors!A59,BackdoorsMoveset!A2:KF112,292,FALSE)+VLOOKUP(Backdoors!A60,BackdoorsMoveset!A2:KF112,292,FALSE)+VLOOKUP(Backdoors!A61,BackdoorsMoveset!A2:KF112,292,FALSE),0)</f>
        <v>0</v>
      </c>
      <c r="BM44">
        <f>IFERROR(VLOOKUP(Backdoors!A37,BackdoorsMoveset!A2:KG112,293,FALSE)+VLOOKUP(Backdoors!A38,BackdoorsMoveset!A2:KG112,293,FALSE)+VLOOKUP(Backdoors!A39,BackdoorsMoveset!A2:KG112,293,FALSE)+VLOOKUP(Backdoors!A40,BackdoorsMoveset!A2:KG112,293,FALSE)+VLOOKUP(Backdoors!A41,BackdoorsMoveset!A2:KG112,293,FALSE)+VLOOKUP(Backdoors!A42,BackdoorsMoveset!A2:KG112,293,FALSE)+VLOOKUP(Backdoors!A43,BackdoorsMoveset!A2:KG112,293,FALSE)+VLOOKUP(Backdoors!A44,BackdoorsMoveset!A2:KG112,293,FALSE)+VLOOKUP(Backdoors!A45,BackdoorsMoveset!A2:KG112,293,FALSE)+VLOOKUP(Backdoors!A46,BackdoorsMoveset!A2:KG112,293,FALSE)+VLOOKUP(Backdoors!A47,BackdoorsMoveset!A2:KG112,293,FALSE)+VLOOKUP(Backdoors!A48,BackdoorsMoveset!A2:KG112,293,FALSE)+VLOOKUP(Backdoors!A49,BackdoorsMoveset!A2:KG112,293,FALSE)+VLOOKUP(Backdoors!A50,BackdoorsMoveset!A2:KG112,293,FALSE)+VLOOKUP(Backdoors!A51,BackdoorsMoveset!A2:KG112,293,FALSE)+VLOOKUP(Backdoors!A52,BackdoorsMoveset!A2:KG112,293,FALSE)+VLOOKUP(Backdoors!A53,BackdoorsMoveset!A2:KG112,293,FALSE)+VLOOKUP(Backdoors!A54,BackdoorsMoveset!A2:KG112,293,FALSE)+VLOOKUP(Backdoors!A55,BackdoorsMoveset!A2:KG112,293,FALSE)+VLOOKUP(Backdoors!A56,BackdoorsMoveset!A2:KG112,293,FALSE)+VLOOKUP(Backdoors!A57,BackdoorsMoveset!A2:KG112,293,FALSE)+VLOOKUP(Backdoors!A58,BackdoorsMoveset!A2:KG112,293,FALSE)+VLOOKUP(Backdoors!A59,BackdoorsMoveset!A2:KG112,293,FALSE)+VLOOKUP(Backdoors!A60,BackdoorsMoveset!A2:KG112,293,FALSE)+VLOOKUP(Backdoors!A61,BackdoorsMoveset!A2:KG112,293,FALSE),0)</f>
        <v>0</v>
      </c>
      <c r="BN44">
        <f>IFERROR(VLOOKUP(Backdoors!A37,BackdoorsMoveset!A2:KI112,295,FALSE)+VLOOKUP(Backdoors!A38,BackdoorsMoveset!A2:KI112,295,FALSE)+VLOOKUP(Backdoors!A39,BackdoorsMoveset!A2:KI112,295,FALSE)+VLOOKUP(Backdoors!A40,BackdoorsMoveset!A2:KI112,295,FALSE)+VLOOKUP(Backdoors!A41,BackdoorsMoveset!A2:KI112,295,FALSE)+VLOOKUP(Backdoors!A42,BackdoorsMoveset!A2:KI112,295,FALSE)+VLOOKUP(Backdoors!A43,BackdoorsMoveset!A2:KI112,295,FALSE)+VLOOKUP(Backdoors!A44,BackdoorsMoveset!A2:KI112,295,FALSE)+VLOOKUP(Backdoors!A45,BackdoorsMoveset!A2:KI112,295,FALSE)+VLOOKUP(Backdoors!A46,BackdoorsMoveset!A2:KI112,295,FALSE)+VLOOKUP(Backdoors!A47,BackdoorsMoveset!A2:KI112,295,FALSE)+VLOOKUP(Backdoors!A48,BackdoorsMoveset!A2:KI112,295,FALSE)+VLOOKUP(Backdoors!A49,BackdoorsMoveset!A2:KI112,295,FALSE)+VLOOKUP(Backdoors!A50,BackdoorsMoveset!A2:KI112,295,FALSE)+VLOOKUP(Backdoors!A51,BackdoorsMoveset!A2:KI112,295,FALSE)+VLOOKUP(Backdoors!A52,BackdoorsMoveset!A2:KI112,295,FALSE)+VLOOKUP(Backdoors!A53,BackdoorsMoveset!A2:KI112,295,FALSE)+VLOOKUP(Backdoors!A54,BackdoorsMoveset!A2:KI112,295,FALSE)+VLOOKUP(Backdoors!A55,BackdoorsMoveset!A2:KI112,295,FALSE)+VLOOKUP(Backdoors!A56,BackdoorsMoveset!A2:KI112,295,FALSE)+VLOOKUP(Backdoors!A57,BackdoorsMoveset!A2:KI112,295,FALSE)+VLOOKUP(Backdoors!A58,BackdoorsMoveset!A2:KI112,295,FALSE)+VLOOKUP(Backdoors!A59,BackdoorsMoveset!A2:KI112,295,FALSE)+VLOOKUP(Backdoors!A60,BackdoorsMoveset!A2:KI112,295,FALSE)+VLOOKUP(Backdoors!A61,BackdoorsMoveset!A2:KI112,295,FALSE),0)</f>
        <v>0</v>
      </c>
      <c r="BO44" s="49">
        <f>IF(BN44=0,0,IF(OR(B9="Poison",$B11="Poison",B2="Light Bowgun",B2="Heavy Bowgun"),ROUND(Backdoors!A36*VLOOKUP(AO7,tbStatus!$A3:$F18,6,FALSE)*IF((AO16*AO59)&gt;1,1,(AO16*AO59)),0),IF(OR(B9="Blast",B11="Blast"),AR546,0)))</f>
        <v>0</v>
      </c>
      <c r="BP44">
        <f t="shared" si="0"/>
        <v>0</v>
      </c>
      <c r="BQ44" s="49" t="str">
        <f>CONCATENATE(AX44,IF(AND(BI44=TRUE,Calculator!B8=TRUE),CONCATENATE(" (Tenderized)"),""),IF(BP44=0,"",CONCATENATE(", ",BP44)))</f>
        <v/>
      </c>
      <c r="BR44" s="49">
        <f>VLOOKUP(Calculator!B4,SavedBuildNumbers!A1:BB73,43,FALSE)</f>
        <v>0</v>
      </c>
      <c r="BS44">
        <f>VLOOKUP(Calculator!B4,SavedBuildNumbers!A1:CF73,84,FALSE)</f>
        <v>0</v>
      </c>
      <c r="BU44" s="49">
        <f>IFERROR(ROUNDDOWN((IF((ROUND((VLOOKUP(tbMoveset!A44,tbMoveset!A2:F112,6,FALSE)+(IF(VLOOKUP(tbMoveset!A44,tbMoveset!A2:F112,6,FALSE)&gt;0,K41,0)))*(1+(IF(VLOOKUP(tbMoveset!A44,tbMoveset!A2:I112,9,FALSE)="Fire",VLOOKUP(Calculator!$E24,tbSkills!$AX3:$AZ9,3,FALSE),IF(VLOOKUP(tbMoveset!A44,tbMoveset!A2:I112,9,FALSE)="Water",VLOOKUP(Calculator!$E25,tbSkills!$AX3:$AZ9,3,FALSE),IF(VLOOKUP(BackdoorsMoveset!A44,tbMoveset!A2:I112,9,FALSE)="Thunder",VLOOKUP(Calculator!$E26,tbSkills!$AX3:$AZ9,3,FALSE),IF(VLOOKUP(tbMoveset!A44,tbMoveset!A2:I112,9,FALSE)="Ice",VLOOKUP(Calculator!$E27,tbSkills!$AX3:$AZ9,3,FALSE),IF(VLOOKUP(tbMoveset!A44,tbMoveset!A2:I112,9,FALSE)="Dragon",VLOOKUP(Calculator!$E28,tbSkills!$AX3:$AZ9,3,FALSE),0)))))/100))*AC7,0)+IF(VLOOKUP(tbMoveset!A44,tbMoveset!A2:F112,6,FALSE)&gt;0,IF(VLOOKUP(tbMoveset!A44,tbMoveset!A2:I112,9,FALSE)="Fire",VLOOKUP(Calculator!$E24,tbSkills!$AX3:$AY9,2,FALSE),IF(VLOOKUP(tbMoveset!A44,tbMoveset!A2:I112,9,FALSE)="Water",VLOOKUP(Calculator!$E25,tbSkills!$AX3:$AY9,2,FALSE),IF(VLOOKUP(tbMoveset!A44,tbMoveset!A2:I112,9,FALSE)="Thunder",VLOOKUP(Calculator!$E26,tbSkills!$AX3:$AY9,2,FALSE),IF(VLOOKUP(tbMoveset!A44,tbMoveset!A2:I112,9,FALSE)="Ice",VLOOKUP(Calculator!$E27,tbSkills!$AX3:$AY9,2,FALSE),IF(VLOOKUP(tbMoveset!A44,tbMoveset!A2:I112,9,FALSE)="Dragon",VLOOKUP(Calculator!$E28,tbSkills!$AX3:$AY9,2,FALSE),0))))),0)/10)&gt;=B34,B34,(ROUND((VLOOKUP(tbMoveset!A44,tbMoveset!A2:F112,6,FALSE)+(IF(VLOOKUP(tbMoveset!A44,tbMoveset!A2:F112,6,FALSE)&gt;0,K41,0)))*(1+(IF(VLOOKUP(tbMoveset!A44,tbMoveset!A2:I112,9,FALSE)="Fire",VLOOKUP(Calculator!$E24,tbSkills!$AX3:$AZ9,3,FALSE),IF(VLOOKUP(tbMoveset!A44,tbMoveset!A2:I112,9,FALSE)="Water",VLOOKUP(Calculator!$E25,tbSkills!$AX3:$AZ9,3,FALSE),IF(VLOOKUP(BackdoorsMoveset!A44,tbMoveset!A2:I112,9,FALSE)="Thunder",VLOOKUP(Calculator!$E26,tbSkills!$AX3:$AZ9,3,FALSE),IF(VLOOKUP(tbMoveset!A44,tbMoveset!A2:I112,9,FALSE)="Ice",VLOOKUP(Calculator!$E27,tbSkills!$AX3:$AZ9,3,FALSE),IF(VLOOKUP(tbMoveset!A44,tbMoveset!A2:I112,9,FALSE)="Dragon",VLOOKUP(Calculator!$E28,tbSkills!$AX3:$AZ9,3,FALSE),0)))))/100))*AC7,0)+IF(VLOOKUP(tbMoveset!A44,tbMoveset!A2:F112,6,FALSE)&gt;0,IF(VLOOKUP(tbMoveset!A44,tbMoveset!A2:I112,9,FALSE)="Fire",VLOOKUP(Calculator!$E24,tbSkills!$AX3:$AY9,2,FALSE),IF(VLOOKUP(tbMoveset!A44,tbMoveset!A2:I112,9,FALSE)="Water",VLOOKUP(Calculator!$E25,tbSkills!$AX3:$AY9,2,FALSE),IF(VLOOKUP(tbMoveset!A44,tbMoveset!A2:I112,9,FALSE)="Thunder",VLOOKUP(Calculator!$E26,tbSkills!$AX3:$AY9,2,FALSE),IF(VLOOKUP(tbMoveset!A44,tbMoveset!A2:I112,9,FALSE)="Ice",VLOOKUP(Calculator!$E27,tbSkills!$AX3:$AY9,2,FALSE),IF(VLOOKUP(tbMoveset!A44,tbMoveset!A2:I112,9,FALSE)="Dragon",VLOOKUP(Calculator!$E28,tbSkills!$AX3:$AY9,2,FALSE),0))))),0)/10))*N6)*AC6,0)*(B30/100),0)</f>
        <v>0</v>
      </c>
    </row>
    <row r="45" spans="1:73" x14ac:dyDescent="0.25">
      <c r="A45" s="67" t="str">
        <f>IFERROR(HLOOKUP(Calculator!B7,Combos!B3:K29,11,FALSE),"")</f>
        <v>Sixfold Demon Slash (R3)</v>
      </c>
      <c r="AN45" s="49" t="str">
        <f>IFERROR(INDEX(tbHitzones!K:K,MATCH(ROWS(tbHitzones!$1:28),tbHitzones!K:K,0)),"")</f>
        <v/>
      </c>
      <c r="AO45">
        <f>IF(OR(B2="Light Bowgun",B2="Heavy Bowgun"),IF(AI12&gt;=0,1+(IF(Calculator!E40&gt;0,VLOOKUP(Calculator!E40,tbSkills!AI3:AJ5,2,FALSE),AL4)*(IF((AI12+IF(BA30&gt;=0.45,VLOOKUP(Calculator!E23,tbSkills!DH3:DI6,2,FALSE)+IF(AND(Calculator!B8=TRUE,BI30=TRUE),VLOOKUP(Calculator!E23,tbSkills!DH3:DJ6,3,FALSE),0),0))&gt;=100,100,(AI12+IF(BA30&gt;=0.45,VLOOKUP(Calculator!E23,tbSkills!DH3:DI6,2,FALSE)+IF(AND(Calculator!B8=TRUE,BI30=TRUE),VLOOKUP(Calculator!E23,tbSkills!DH3:DJ6,3,FALSE),0),0)))/100)),1),VLOOKUP(Backdoors!A37,BackdoorsMoveset!A2:GN112,196,FALSE)+VLOOKUP(Backdoors!A38,BackdoorsMoveset!A2:GN112,196,FALSE)+VLOOKUP(Backdoors!A39,BackdoorsMoveset!A2:GN112,196,FALSE)+VLOOKUP(Backdoors!A40,BackdoorsMoveset!A2:GN112,196,FALSE)+VLOOKUP(Backdoors!A41,BackdoorsMoveset!A2:GN112,196,FALSE)+VLOOKUP(Backdoors!A42,BackdoorsMoveset!A2:GN112,196,FALSE)+VLOOKUP(Backdoors!A43,BackdoorsMoveset!A2:GN112,196,FALSE)+VLOOKUP(Backdoors!A44,BackdoorsMoveset!A2:GN112,196,FALSE)+VLOOKUP(Backdoors!A45,BackdoorsMoveset!A2:GN112,196,FALSE)+VLOOKUP(Backdoors!A46,BackdoorsMoveset!A2:GN112,196,FALSE)+VLOOKUP(Backdoors!A47,BackdoorsMoveset!A2:GN112,196,FALSE)+VLOOKUP(Backdoors!A48,BackdoorsMoveset!A2:GN112,196,FALSE)+VLOOKUP(Backdoors!A49,BackdoorsMoveset!A2:GN112,196,FALSE)+VLOOKUP(Backdoors!A50,BackdoorsMoveset!A2:GN112,196,FALSE)+VLOOKUP(Backdoors!A51,BackdoorsMoveset!A2:GN112,196,FALSE)+VLOOKUP(Backdoors!A52,BackdoorsMoveset!A2:GN112,196,FALSE)+VLOOKUP(Backdoors!A53,BackdoorsMoveset!A2:GN112,196,FALSE)+VLOOKUP(Backdoors!A54,BackdoorsMoveset!A2:GN112,196,FALSE)+VLOOKUP(Backdoors!A55,BackdoorsMoveset!A2:GN112,196,FALSE)+VLOOKUP(Backdoors!A56,BackdoorsMoveset!A2:GN112,196,FALSE)+VLOOKUP(Backdoors!A57,BackdoorsMoveset!A2:GN112,196,FALSE)+VLOOKUP(Backdoors!A58,BackdoorsMoveset!A2:GN112,196,FALSE)+VLOOKUP(Backdoors!A59,BackdoorsMoveset!A2:GN112,196,FALSE)+VLOOKUP(Backdoors!A60,BackdoorsMoveset!A2:GN112,196,FALSE)+VLOOKUP(Backdoors!A61,BackdoorsMoveset!A2:GN112,196,FALSE))</f>
        <v>14.299999999999999</v>
      </c>
      <c r="AQ45" t="s">
        <v>235</v>
      </c>
      <c r="AR45">
        <f>IF($AR44&gt;=$AU51,50,IF($AR44&gt;=$AU50,49,IF($AR44&gt;=$AU49,48,IF($AR44&gt;=$AU48,47,IF($AR44&gt;=$AU47,46,IF($AR44&gt;=$AU46,45,IF($AR44&gt;=$AU45,44,IF($AR44&gt;=$AU44,43,IF($AR44&gt;=$AU43,42,IF($AR44&gt;=$AU42,41,IF($AR44&gt;=$AU41,40,IF($AR44&gt;=$AU40,39,IF($AR44&gt;=$AU39,38,IF($AR44&gt;=$AU38,37,IF($AR44&gt;=$AU37,36,IF($AR44&gt;=$AU36,35,IF($AR44&gt;=$AU35,34,IF($AR44&gt;=$AU34,33,IF($AR44&gt;=$AU33,32,IF($AR44&gt;=$AU32,31,IF($AR44&gt;=$AU31,30,IF($AR44&gt;=$AU30,29,IF($AR44&gt;=$AU29,28,IF($AR44&gt;=$AU28,27,IF($AR44&gt;=$AU27,26,IF($AR44&gt;=$AU26,25,IF($AR44&gt;=$AU25,24,IF($AR44&gt;=$AU24,23,IF($AR44&gt;=$AU23,22,IF($AR44&gt;=$AU22,21,IF($AR44&gt;=$AU21,20,IF($AR44&gt;=$AU20,19,IF($AR44&gt;=$AU19,18,IF($AR44&gt;=$AU18,17,IF($AR44&gt;=$AU17,16,IF($AR44&gt;=$AU16,15,IF($AR44&gt;=$AU15,14,IF($AR44&gt;=$AU14,13,IF($AR44&gt;=$AU13,12,IF($AR44&gt;=$AU12,11,IF($AR44&gt;=$AU11,10,IF($AR44&gt;=$AU10,9,IF($AR44&gt;=$AU9,8,IF($AR44&gt;=$AU8,7,IF($AR44&gt;=$AU7,6,IF($AR44&gt;=$AU6,5,IF($AR44&gt;=$AU5,4,IF($AR44&gt;=$AU4,3,IF($AR44&gt;=$AU3,2,IF($AR44&gt;=$AU2,1,0))))))))))))))))))))))))))))))))))))))))))))))))))</f>
        <v>0</v>
      </c>
      <c r="AT45">
        <v>44</v>
      </c>
      <c r="AU45">
        <f>$AU44+IF(AO12+((AO10*43)*AO11)&gt;AO13,AO13,AO12+((AO10*43)*AO11))</f>
        <v>13644</v>
      </c>
      <c r="AW45" s="49" t="str">
        <f>IFERROR(INDEX(tbHitzones!K:K,MATCH(ROWS(tbHitzones!$1:43),tbHitzones!K:K,0)),"")</f>
        <v/>
      </c>
      <c r="AX45" s="49" t="str">
        <f>IFERROR(INDEX(tbHitzones!B:B,MATCH(ROWS(tbHitzones!$1:43),tbHitzones!K:K,0)),"")</f>
        <v/>
      </c>
      <c r="AY45" s="49" t="str">
        <f>IFERROR(INDEX(tbHitzones!C:C,MATCH(ROWS(tbHitzones!$1:43),tbHitzones!K:K,0)),"")</f>
        <v/>
      </c>
      <c r="AZ45" s="49" t="str">
        <f>IFERROR(INDEX(tbHitzones!D:D,MATCH(ROWS(tbHitzones!$1:43),tbHitzones!K:K,0)),"")</f>
        <v/>
      </c>
      <c r="BA45" s="49" t="str">
        <f>IFERROR(INDEX(tbHitzones!E:E,MATCH(ROWS(tbHitzones!$1:43),tbHitzones!K:K,0)),"")</f>
        <v/>
      </c>
      <c r="BB45" s="49" t="str">
        <f>IFERROR(INDEX(tbHitzones!F:F,MATCH(ROWS(tbHitzones!$1:43),tbHitzones!K:K,0)),"")</f>
        <v/>
      </c>
      <c r="BC45" s="49" t="str">
        <f>IFERROR(INDEX(tbHitzones!G:G,MATCH(ROWS(tbHitzones!$1:43),tbHitzones!K:K,0)),"")</f>
        <v/>
      </c>
      <c r="BD45" s="49" t="str">
        <f>IFERROR(INDEX(tbHitzones!H:H,MATCH(ROWS(tbHitzones!$1:43),tbHitzones!K:K,0)),"")</f>
        <v/>
      </c>
      <c r="BE45" s="49" t="str">
        <f>IFERROR(INDEX(tbHitzones!I:I,MATCH(ROWS(tbHitzones!$1:43),tbHitzones!K:K,0)),"")</f>
        <v/>
      </c>
      <c r="BF45" s="49" t="str">
        <f>IFERROR(INDEX(tbHitzones!J:J,MATCH(ROWS(tbHitzones!$1:43),tbHitzones!K:K,0)),"")</f>
        <v/>
      </c>
      <c r="BG45" s="49">
        <f>IFERROR(IF(OR(B9="Fire",B11="Fire"),BB45,IF(OR(B9="Water",B11="Water"),BC45,IF(OR(B9="Thunder",B11="Thunder"),BD45,IF(OR(B9="Ice",B11="Ice"),BE45,IF(OR(B9="Dragon",B11="Dragon"),BF45,0))))),"")</f>
        <v>0</v>
      </c>
      <c r="BH45" s="49" t="str">
        <f>IFERROR(INDEX(tbHitzones!L:L,MATCH(ROWS(tbHitzones!$1:43),tbHitzones!K:K,0)),"")</f>
        <v/>
      </c>
      <c r="BI45" s="49" t="str">
        <f>IFERROR(INDEX(tbHitzones!M:M,MATCH(ROWS(tbHitzones!$1:43),tbHitzones!K:K,0)),"")</f>
        <v/>
      </c>
      <c r="BK45" s="49" t="str">
        <f>IFERROR(INDEX(tbHitzones!K:K,MATCH(ROWS(tbHitzones!$1:43),tbHitzones!K:K,0)),"")</f>
        <v/>
      </c>
      <c r="BL45">
        <f>IFERROR(VLOOKUP(Backdoors!A37,BackdoorsMoveset!A2:KM112,299,FALSE)+VLOOKUP(Backdoors!A38,BackdoorsMoveset!A2:KM112,299,FALSE)+VLOOKUP(Backdoors!A39,BackdoorsMoveset!A2:KM112,299,FALSE)+VLOOKUP(Backdoors!A40,BackdoorsMoveset!A2:KM112,299,FALSE)+VLOOKUP(Backdoors!A41,BackdoorsMoveset!A2:KM112,299,FALSE)+VLOOKUP(Backdoors!A42,BackdoorsMoveset!A2:KM112,299,FALSE)+VLOOKUP(Backdoors!A43,BackdoorsMoveset!A2:KM112,299,FALSE)+VLOOKUP(Backdoors!A44,BackdoorsMoveset!A2:KM112,299,FALSE)+VLOOKUP(Backdoors!A45,BackdoorsMoveset!A2:KM112,299,FALSE)+VLOOKUP(Backdoors!A46,BackdoorsMoveset!A2:KM112,299,FALSE)+VLOOKUP(Backdoors!A47,BackdoorsMoveset!A2:KM112,299,FALSE)+VLOOKUP(Backdoors!A48,BackdoorsMoveset!A2:KM112,299,FALSE)+VLOOKUP(Backdoors!A49,BackdoorsMoveset!A2:KM112,299,FALSE)+VLOOKUP(Backdoors!A50,BackdoorsMoveset!A2:KM112,299,FALSE)+VLOOKUP(Backdoors!A51,BackdoorsMoveset!A2:KM112,299,FALSE)+VLOOKUP(Backdoors!A52,BackdoorsMoveset!A2:KM112,299,FALSE)+VLOOKUP(Backdoors!A53,BackdoorsMoveset!A2:KM112,299,FALSE)+VLOOKUP(Backdoors!A54,BackdoorsMoveset!A2:KM112,299,FALSE)+VLOOKUP(Backdoors!A55,BackdoorsMoveset!A2:KM112,299,FALSE)+VLOOKUP(Backdoors!A56,BackdoorsMoveset!A2:KM112,299,FALSE)+VLOOKUP(Backdoors!A57,BackdoorsMoveset!A2:KM112,299,FALSE)+VLOOKUP(Backdoors!A58,BackdoorsMoveset!A2:KM112,299,FALSE)+VLOOKUP(Backdoors!A59,BackdoorsMoveset!A2:KM112,299,FALSE)+VLOOKUP(Backdoors!A60,BackdoorsMoveset!A2:KM112,299,FALSE)+VLOOKUP(Backdoors!A61,BackdoorsMoveset!A2:KM112,299,FALSE),0)</f>
        <v>0</v>
      </c>
      <c r="BM45">
        <f>IFERROR(VLOOKUP(Backdoors!A37,BackdoorsMoveset!A2:KN112,300,FALSE)+VLOOKUP(Backdoors!A38,BackdoorsMoveset!A2:KN112,300,FALSE)+VLOOKUP(Backdoors!A39,BackdoorsMoveset!A2:KN112,300,FALSE)+VLOOKUP(Backdoors!A40,BackdoorsMoveset!A2:KN112,300,FALSE)+VLOOKUP(Backdoors!A41,BackdoorsMoveset!A2:KN112,300,FALSE)+VLOOKUP(Backdoors!A42,BackdoorsMoveset!A2:KN112,300,FALSE)+VLOOKUP(Backdoors!A43,BackdoorsMoveset!A2:KN112,300,FALSE)+VLOOKUP(Backdoors!A44,BackdoorsMoveset!A2:KN112,300,FALSE)+VLOOKUP(Backdoors!A45,BackdoorsMoveset!A2:KN112,300,FALSE)+VLOOKUP(Backdoors!A46,BackdoorsMoveset!A2:KN112,300,FALSE)+VLOOKUP(Backdoors!A47,BackdoorsMoveset!A2:KN112,300,FALSE)+VLOOKUP(Backdoors!A48,BackdoorsMoveset!A2:KN112,300,FALSE)+VLOOKUP(Backdoors!A49,BackdoorsMoveset!A2:KN112,300,FALSE)+VLOOKUP(Backdoors!A50,BackdoorsMoveset!A2:KN112,300,FALSE)+VLOOKUP(Backdoors!A51,BackdoorsMoveset!A2:KN112,300,FALSE)+VLOOKUP(Backdoors!A52,BackdoorsMoveset!A2:KN112,300,FALSE)+VLOOKUP(Backdoors!A53,BackdoorsMoveset!A2:KN112,300,FALSE)+VLOOKUP(Backdoors!A54,BackdoorsMoveset!A2:KN112,300,FALSE)+VLOOKUP(Backdoors!A55,BackdoorsMoveset!A2:KN112,300,FALSE)+VLOOKUP(Backdoors!A56,BackdoorsMoveset!A2:KN112,300,FALSE)+VLOOKUP(Backdoors!A57,BackdoorsMoveset!A2:KN112,300,FALSE)+VLOOKUP(Backdoors!A58,BackdoorsMoveset!A2:KN112,300,FALSE)+VLOOKUP(Backdoors!A59,BackdoorsMoveset!A2:KN112,300,FALSE)+VLOOKUP(Backdoors!A60,BackdoorsMoveset!A2:KN112,300,FALSE)+VLOOKUP(Backdoors!A61,BackdoorsMoveset!A2:KN112,300,FALSE),0)</f>
        <v>0</v>
      </c>
      <c r="BN45">
        <f>IFERROR(VLOOKUP(Backdoors!A37,BackdoorsMoveset!A2:KP112,302,FALSE)+VLOOKUP(Backdoors!A38,BackdoorsMoveset!A2:KP112,302,FALSE)+VLOOKUP(Backdoors!A39,BackdoorsMoveset!A2:KP112,302,FALSE)+VLOOKUP(Backdoors!A40,BackdoorsMoveset!A2:KP112,302,FALSE)+VLOOKUP(Backdoors!A41,BackdoorsMoveset!A2:KP112,302,FALSE)+VLOOKUP(Backdoors!A42,BackdoorsMoveset!A2:KP112,302,FALSE)+VLOOKUP(Backdoors!A43,BackdoorsMoveset!A2:KP112,302,FALSE)+VLOOKUP(Backdoors!A44,BackdoorsMoveset!A2:KP112,302,FALSE)+VLOOKUP(Backdoors!A45,BackdoorsMoveset!A2:KP112,302,FALSE)+VLOOKUP(Backdoors!A46,BackdoorsMoveset!A2:KP112,302,FALSE)+VLOOKUP(Backdoors!A47,BackdoorsMoveset!A2:KP112,302,FALSE)+VLOOKUP(Backdoors!A48,BackdoorsMoveset!A2:KP112,302,FALSE)+VLOOKUP(Backdoors!A49,BackdoorsMoveset!A2:KP112,302,FALSE)+VLOOKUP(Backdoors!A50,BackdoorsMoveset!A2:KP112,302,FALSE)+VLOOKUP(Backdoors!A51,BackdoorsMoveset!A2:KP112,302,FALSE)+VLOOKUP(Backdoors!A52,BackdoorsMoveset!A2:KP112,302,FALSE)+VLOOKUP(Backdoors!A53,BackdoorsMoveset!A2:KP112,302,FALSE)+VLOOKUP(Backdoors!A54,BackdoorsMoveset!A2:KP112,302,FALSE)+VLOOKUP(Backdoors!A55,BackdoorsMoveset!A2:KP112,302,FALSE)+VLOOKUP(Backdoors!A56,BackdoorsMoveset!A2:KP112,302,FALSE)+VLOOKUP(Backdoors!A57,BackdoorsMoveset!A2:KP112,302,FALSE)+VLOOKUP(Backdoors!A58,BackdoorsMoveset!A2:KP112,302,FALSE)+VLOOKUP(Backdoors!A59,BackdoorsMoveset!A2:KP112,302,FALSE)+VLOOKUP(Backdoors!A60,BackdoorsMoveset!A2:KP112,302,FALSE)+VLOOKUP(Backdoors!A61,BackdoorsMoveset!A2:KP112,302,FALSE),0)</f>
        <v>0</v>
      </c>
      <c r="BO45" s="49">
        <f>IF(BN45=0,0,IF(OR(B9="Poison",$B11="Poison",B2="Light Bowgun",B2="Heavy Bowgun"),ROUND(Backdoors!A36*VLOOKUP(AO7,tbStatus!$A3:$F18,6,FALSE)*IF((AO16*AO60)&gt;1,1,(AO16*AO60)),0),IF(OR(B9="Blast",B11="Blast"),AR559,0)))</f>
        <v>0</v>
      </c>
      <c r="BP45">
        <f t="shared" si="0"/>
        <v>0</v>
      </c>
      <c r="BQ45" s="49" t="str">
        <f>CONCATENATE(AX45,IF(AND(BI45=TRUE,Calculator!B8=TRUE),CONCATENATE(" (Tenderized)"),""),IF(BP45=0,"",CONCATENATE(", ",BP45)))</f>
        <v/>
      </c>
      <c r="BR45" s="49">
        <f>VLOOKUP(Calculator!B4,SavedBuildNumbers!A1:BC73,44,FALSE)</f>
        <v>0</v>
      </c>
      <c r="BS45">
        <f>VLOOKUP(Calculator!B4,SavedBuildNumbers!A1:CG73,85,FALSE)</f>
        <v>0</v>
      </c>
      <c r="BU45" s="49">
        <f>IFERROR(ROUNDDOWN((IF((ROUND((VLOOKUP(tbMoveset!A45,tbMoveset!A2:F112,6,FALSE)+(IF(VLOOKUP(tbMoveset!A45,tbMoveset!A2:F112,6,FALSE)&gt;0,K41,0)))*(1+(IF(VLOOKUP(tbMoveset!A45,tbMoveset!A2:I112,9,FALSE)="Fire",VLOOKUP(Calculator!$E24,tbSkills!$AX3:$AZ9,3,FALSE),IF(VLOOKUP(tbMoveset!A45,tbMoveset!A2:I112,9,FALSE)="Water",VLOOKUP(Calculator!$E25,tbSkills!$AX3:$AZ9,3,FALSE),IF(VLOOKUP(BackdoorsMoveset!A45,tbMoveset!A2:I112,9,FALSE)="Thunder",VLOOKUP(Calculator!$E26,tbSkills!$AX3:$AZ9,3,FALSE),IF(VLOOKUP(tbMoveset!A45,tbMoveset!A2:I112,9,FALSE)="Ice",VLOOKUP(Calculator!$E27,tbSkills!$AX3:$AZ9,3,FALSE),IF(VLOOKUP(tbMoveset!A45,tbMoveset!A2:I112,9,FALSE)="Dragon",VLOOKUP(Calculator!$E28,tbSkills!$AX3:$AZ9,3,FALSE),0)))))/100))*AC7,0)+IF(VLOOKUP(tbMoveset!A45,tbMoveset!A2:F112,6,FALSE)&gt;0,IF(VLOOKUP(tbMoveset!A45,tbMoveset!A2:I112,9,FALSE)="Fire",VLOOKUP(Calculator!$E24,tbSkills!$AX3:$AY9,2,FALSE),IF(VLOOKUP(tbMoveset!A45,tbMoveset!A2:I112,9,FALSE)="Water",VLOOKUP(Calculator!$E25,tbSkills!$AX3:$AY9,2,FALSE),IF(VLOOKUP(tbMoveset!A45,tbMoveset!A2:I112,9,FALSE)="Thunder",VLOOKUP(Calculator!$E26,tbSkills!$AX3:$AY9,2,FALSE),IF(VLOOKUP(tbMoveset!A45,tbMoveset!A2:I112,9,FALSE)="Ice",VLOOKUP(Calculator!$E27,tbSkills!$AX3:$AY9,2,FALSE),IF(VLOOKUP(tbMoveset!A45,tbMoveset!A2:I112,9,FALSE)="Dragon",VLOOKUP(Calculator!$E28,tbSkills!$AX3:$AY9,2,FALSE),0))))),0)/10)&gt;=B34,B34,(ROUND((VLOOKUP(tbMoveset!A45,tbMoveset!A2:F112,6,FALSE)+(IF(VLOOKUP(tbMoveset!A45,tbMoveset!A2:F112,6,FALSE)&gt;0,K41,0)))*(1+(IF(VLOOKUP(tbMoveset!A45,tbMoveset!A2:I112,9,FALSE)="Fire",VLOOKUP(Calculator!$E24,tbSkills!$AX3:$AZ9,3,FALSE),IF(VLOOKUP(tbMoveset!A45,tbMoveset!A2:I112,9,FALSE)="Water",VLOOKUP(Calculator!$E25,tbSkills!$AX3:$AZ9,3,FALSE),IF(VLOOKUP(BackdoorsMoveset!A45,tbMoveset!A2:I112,9,FALSE)="Thunder",VLOOKUP(Calculator!$E26,tbSkills!$AX3:$AZ9,3,FALSE),IF(VLOOKUP(tbMoveset!A45,tbMoveset!A2:I112,9,FALSE)="Ice",VLOOKUP(Calculator!$E27,tbSkills!$AX3:$AZ9,3,FALSE),IF(VLOOKUP(tbMoveset!A45,tbMoveset!A2:I112,9,FALSE)="Dragon",VLOOKUP(Calculator!$E28,tbSkills!$AX3:$AZ9,3,FALSE),0)))))/100))*AC7,0)+IF(VLOOKUP(tbMoveset!A45,tbMoveset!A2:F112,6,FALSE)&gt;0,IF(VLOOKUP(tbMoveset!A45,tbMoveset!A2:I112,9,FALSE)="Fire",VLOOKUP(Calculator!$E24,tbSkills!$AX3:$AY9,2,FALSE),IF(VLOOKUP(tbMoveset!A45,tbMoveset!A2:I112,9,FALSE)="Water",VLOOKUP(Calculator!$E25,tbSkills!$AX3:$AY9,2,FALSE),IF(VLOOKUP(tbMoveset!A45,tbMoveset!A2:I112,9,FALSE)="Thunder",VLOOKUP(Calculator!$E26,tbSkills!$AX3:$AY9,2,FALSE),IF(VLOOKUP(tbMoveset!A45,tbMoveset!A2:I112,9,FALSE)="Ice",VLOOKUP(Calculator!$E27,tbSkills!$AX3:$AY9,2,FALSE),IF(VLOOKUP(tbMoveset!A45,tbMoveset!A2:I112,9,FALSE)="Dragon",VLOOKUP(Calculator!$E28,tbSkills!$AX3:$AY9,2,FALSE),0))))),0)/10))*N6)*AC6,0)*(B30/100),0)</f>
        <v>0</v>
      </c>
    </row>
    <row r="46" spans="1:73" x14ac:dyDescent="0.25">
      <c r="A46" s="67" t="str">
        <f>IFERROR(HLOOKUP(Calculator!B7,Combos!B3:K29,12,FALSE),"")</f>
        <v>Blade Dance (L1)</v>
      </c>
      <c r="J46" s="113" t="s">
        <v>1051</v>
      </c>
      <c r="K46" s="113"/>
      <c r="AN46" s="49" t="str">
        <f>IFERROR(INDEX(tbHitzones!K:K,MATCH(ROWS(tbHitzones!$1:29),tbHitzones!K:K,0)),"")</f>
        <v/>
      </c>
      <c r="AO46">
        <f>IF(OR(B2="Light Bowgun",B2="Heavy Bowgun"),IF(AI12&gt;=0,1+(IF(Calculator!E40&gt;0,VLOOKUP(Calculator!E40,tbSkills!AI3:AJ5,2,FALSE),AL4)*(IF((AI12+IF(BA31&gt;=0.45,VLOOKUP(Calculator!E23,tbSkills!DH3:DI6,2,FALSE)+IF(AND(Calculator!B8=TRUE,BI31=TRUE),VLOOKUP(Calculator!E23,tbSkills!DH3:DJ6,3,FALSE),0),0))&gt;=100,100,(AI12+IF(BA31&gt;=0.45,VLOOKUP(Calculator!E23,tbSkills!DH3:DI6,2,FALSE)+IF(AND(Calculator!B8=TRUE,BI31=TRUE),VLOOKUP(Calculator!E23,tbSkills!DH3:DJ6,3,FALSE),0),0)))/100)),1),VLOOKUP(Backdoors!A37,BackdoorsMoveset!A2:GU112,203,FALSE)+VLOOKUP(Backdoors!A38,BackdoorsMoveset!A2:GU112,203,FALSE)+VLOOKUP(Backdoors!A39,BackdoorsMoveset!A2:GU112,203,FALSE)+VLOOKUP(Backdoors!A40,BackdoorsMoveset!A2:GU112,203,FALSE)+VLOOKUP(Backdoors!A41,BackdoorsMoveset!A2:GU112,203,FALSE)+VLOOKUP(Backdoors!A42,BackdoorsMoveset!A2:GU112,203,FALSE)+VLOOKUP(Backdoors!A43,BackdoorsMoveset!A2:GU112,203,FALSE)+VLOOKUP(Backdoors!A44,BackdoorsMoveset!A2:GU112,203,FALSE)+VLOOKUP(Backdoors!A45,BackdoorsMoveset!A2:GU112,203,FALSE)+VLOOKUP(Backdoors!A46,BackdoorsMoveset!A2:GU112,203,FALSE)+VLOOKUP(Backdoors!A47,BackdoorsMoveset!A2:GU112,203,FALSE)+VLOOKUP(Backdoors!A48,BackdoorsMoveset!A2:GU112,203,FALSE)+VLOOKUP(Backdoors!A49,BackdoorsMoveset!A2:GU112,203,FALSE)+VLOOKUP(Backdoors!A50,BackdoorsMoveset!A2:GU112,203,FALSE)+VLOOKUP(Backdoors!A51,BackdoorsMoveset!A2:GU112,203,FALSE)+VLOOKUP(Backdoors!A52,BackdoorsMoveset!A2:GU112,203,FALSE)+VLOOKUP(Backdoors!A53,BackdoorsMoveset!A2:GU112,203,FALSE)+VLOOKUP(Backdoors!A54,BackdoorsMoveset!A2:GU112,203,FALSE)+VLOOKUP(Backdoors!A55,BackdoorsMoveset!A2:GU112,203,FALSE)+VLOOKUP(Backdoors!A56,BackdoorsMoveset!A2:GU112,203,FALSE)+VLOOKUP(Backdoors!A57,BackdoorsMoveset!A2:GU112,203,FALSE)+VLOOKUP(Backdoors!A58,BackdoorsMoveset!A2:GU112,203,FALSE)+VLOOKUP(Backdoors!A59,BackdoorsMoveset!A2:GU112,203,FALSE)+VLOOKUP(Backdoors!A60,BackdoorsMoveset!A2:GU112,203,FALSE)+VLOOKUP(Backdoors!A61,BackdoorsMoveset!A2:GU112,203,FALSE))</f>
        <v>14.299999999999999</v>
      </c>
      <c r="AQ46" t="s">
        <v>236</v>
      </c>
      <c r="AR46">
        <f>AR45*VLOOKUP(AO8,tbStatus!A22:E33,5,FALSE)</f>
        <v>0</v>
      </c>
      <c r="AT46">
        <v>45</v>
      </c>
      <c r="AU46">
        <f>$AU45+IF(AO12+((AO10*44)*AO11)&gt;AO13,AO13,AO12+((AO10*44)*AO11))</f>
        <v>14040</v>
      </c>
      <c r="AW46" s="49" t="str">
        <f>IFERROR(INDEX(tbHitzones!K:K,MATCH(ROWS(tbHitzones!$1:44),tbHitzones!K:K,0)),"")</f>
        <v/>
      </c>
      <c r="AX46" s="49" t="str">
        <f>IFERROR(INDEX(tbHitzones!B:B,MATCH(ROWS(tbHitzones!$1:44),tbHitzones!K:K,0)),"")</f>
        <v/>
      </c>
      <c r="AY46" s="49" t="str">
        <f>IFERROR(INDEX(tbHitzones!C:C,MATCH(ROWS(tbHitzones!$1:44),tbHitzones!K:K,0)),"")</f>
        <v/>
      </c>
      <c r="AZ46" s="49" t="str">
        <f>IFERROR(INDEX(tbHitzones!D:D,MATCH(ROWS(tbHitzones!$1:44),tbHitzones!K:K,0)),"")</f>
        <v/>
      </c>
      <c r="BA46" s="49" t="str">
        <f>IFERROR(INDEX(tbHitzones!E:E,MATCH(ROWS(tbHitzones!$1:44),tbHitzones!K:K,0)),"")</f>
        <v/>
      </c>
      <c r="BB46" s="49" t="str">
        <f>IFERROR(INDEX(tbHitzones!F:F,MATCH(ROWS(tbHitzones!$1:44),tbHitzones!K:K,0)),"")</f>
        <v/>
      </c>
      <c r="BC46" s="49" t="str">
        <f>IFERROR(INDEX(tbHitzones!G:G,MATCH(ROWS(tbHitzones!$1:44),tbHitzones!K:K,0)),"")</f>
        <v/>
      </c>
      <c r="BD46" s="49" t="str">
        <f>IFERROR(INDEX(tbHitzones!H:H,MATCH(ROWS(tbHitzones!$1:44),tbHitzones!K:K,0)),"")</f>
        <v/>
      </c>
      <c r="BE46" s="49" t="str">
        <f>IFERROR(INDEX(tbHitzones!I:I,MATCH(ROWS(tbHitzones!$1:44),tbHitzones!K:K,0)),"")</f>
        <v/>
      </c>
      <c r="BF46" s="49" t="str">
        <f>IFERROR(INDEX(tbHitzones!J:J,MATCH(ROWS(tbHitzones!$1:44),tbHitzones!K:K,0)),"")</f>
        <v/>
      </c>
      <c r="BG46" s="49">
        <f>IFERROR(IF(OR(B9="Fire",B11="Fire"),BB46,IF(OR(B9="Water",B11="Water"),BC46,IF(OR(B9="Thunder",B11="Thunder"),BD46,IF(OR(B9="Ice",B11="Ice"),BE46,IF(OR(B9="Dragon",B11="Dragon"),BF46,0))))),"")</f>
        <v>0</v>
      </c>
      <c r="BH46" s="49" t="str">
        <f>IFERROR(INDEX(tbHitzones!L:L,MATCH(ROWS(tbHitzones!$1:44),tbHitzones!K:K,0)),"")</f>
        <v/>
      </c>
      <c r="BI46" s="49" t="str">
        <f>IFERROR(INDEX(tbHitzones!M:M,MATCH(ROWS(tbHitzones!$1:44),tbHitzones!K:K,0)),"")</f>
        <v/>
      </c>
      <c r="BK46" s="49" t="str">
        <f>IFERROR(INDEX(tbHitzones!K:K,MATCH(ROWS(tbHitzones!$1:44),tbHitzones!K:K,0)),"")</f>
        <v/>
      </c>
      <c r="BL46">
        <f>IFERROR(VLOOKUP(Backdoors!A37,BackdoorsMoveset!A2:KT112,306,FALSE)+VLOOKUP(Backdoors!A38,BackdoorsMoveset!A2:KT112,306,FALSE)+VLOOKUP(Backdoors!A39,BackdoorsMoveset!A2:KT112,306,FALSE)+VLOOKUP(Backdoors!A40,BackdoorsMoveset!A2:KT112,306,FALSE)+VLOOKUP(Backdoors!A41,BackdoorsMoveset!A2:KT112,306,FALSE)+VLOOKUP(Backdoors!A42,BackdoorsMoveset!A2:KT112,306,FALSE)+VLOOKUP(Backdoors!A43,BackdoorsMoveset!A2:KT112,306,FALSE)+VLOOKUP(Backdoors!A44,BackdoorsMoveset!A2:KT112,306,FALSE)+VLOOKUP(Backdoors!A45,BackdoorsMoveset!A2:KT112,306,FALSE)+VLOOKUP(Backdoors!A46,BackdoorsMoveset!A2:KT112,306,FALSE)+VLOOKUP(Backdoors!A47,BackdoorsMoveset!A2:KT112,306,FALSE)+VLOOKUP(Backdoors!A48,BackdoorsMoveset!A2:KT112,306,FALSE)+VLOOKUP(Backdoors!A49,BackdoorsMoveset!A2:KT112,306,FALSE)+VLOOKUP(Backdoors!A50,BackdoorsMoveset!A2:KT112,306,FALSE)+VLOOKUP(Backdoors!A51,BackdoorsMoveset!A2:KT112,306,FALSE)+VLOOKUP(Backdoors!A52,BackdoorsMoveset!A2:KT112,306,FALSE)+VLOOKUP(Backdoors!A53,BackdoorsMoveset!A2:KT112,306,FALSE)+VLOOKUP(Backdoors!A54,BackdoorsMoveset!A2:KT112,306,FALSE)+VLOOKUP(Backdoors!A55,BackdoorsMoveset!A2:KT112,306,FALSE)+VLOOKUP(Backdoors!A56,BackdoorsMoveset!A2:KT112,306,FALSE)+VLOOKUP(Backdoors!A57,BackdoorsMoveset!A2:KT112,306,FALSE)+VLOOKUP(Backdoors!A58,BackdoorsMoveset!A2:KT112,306,FALSE)+VLOOKUP(Backdoors!A59,BackdoorsMoveset!A2:KT112,306,FALSE)+VLOOKUP(Backdoors!A60,BackdoorsMoveset!A2:KT112,306,FALSE)+VLOOKUP(Backdoors!A61,BackdoorsMoveset!A2:KT112,306,FALSE),0)</f>
        <v>0</v>
      </c>
      <c r="BM46">
        <f>IFERROR(VLOOKUP(Backdoors!A37,BackdoorsMoveset!A2:KU112,307,FALSE)+VLOOKUP(Backdoors!A38,BackdoorsMoveset!A2:KU112,307,FALSE)+VLOOKUP(Backdoors!A39,BackdoorsMoveset!A2:KU112,307,FALSE)+VLOOKUP(Backdoors!A40,BackdoorsMoveset!A2:KU112,307,FALSE)+VLOOKUP(Backdoors!A41,BackdoorsMoveset!A2:KU112,307,FALSE)+VLOOKUP(Backdoors!A42,BackdoorsMoveset!A2:KU112,307,FALSE)+VLOOKUP(Backdoors!A43,BackdoorsMoveset!A2:KU112,307,FALSE)+VLOOKUP(Backdoors!A44,BackdoorsMoveset!A2:KU112,307,FALSE)+VLOOKUP(Backdoors!A45,BackdoorsMoveset!A2:KU112,307,FALSE)+VLOOKUP(Backdoors!A46,BackdoorsMoveset!A2:KU112,307,FALSE)+VLOOKUP(Backdoors!A47,BackdoorsMoveset!A2:KU112,307,FALSE)+VLOOKUP(Backdoors!A48,BackdoorsMoveset!A2:KU112,307,FALSE)+VLOOKUP(Backdoors!A49,BackdoorsMoveset!A2:KU112,307,FALSE)+VLOOKUP(Backdoors!A50,BackdoorsMoveset!A2:KU112,307,FALSE)+VLOOKUP(Backdoors!A51,BackdoorsMoveset!A2:KU112,307,FALSE)+VLOOKUP(Backdoors!A52,BackdoorsMoveset!A2:KU112,307,FALSE)+VLOOKUP(Backdoors!A53,BackdoorsMoveset!A2:KU112,307,FALSE)+VLOOKUP(Backdoors!A54,BackdoorsMoveset!A2:KU112,307,FALSE)+VLOOKUP(Backdoors!A55,BackdoorsMoveset!A2:KU112,307,FALSE)+VLOOKUP(Backdoors!A56,BackdoorsMoveset!A2:KU112,307,FALSE)+VLOOKUP(Backdoors!A57,BackdoorsMoveset!A2:KU112,307,FALSE)+VLOOKUP(Backdoors!A58,BackdoorsMoveset!A2:KU112,307,FALSE)+VLOOKUP(Backdoors!A59,BackdoorsMoveset!A2:KU112,307,FALSE)+VLOOKUP(Backdoors!A60,BackdoorsMoveset!A2:KU112,307,FALSE)+VLOOKUP(Backdoors!A61,BackdoorsMoveset!A2:KU112,307,FALSE),0)</f>
        <v>0</v>
      </c>
      <c r="BN46">
        <f>IFERROR(VLOOKUP(Backdoors!A37,BackdoorsMoveset!A2:KW112,309,FALSE)+VLOOKUP(Backdoors!A38,BackdoorsMoveset!A2:KW112,309,FALSE)+VLOOKUP(Backdoors!A39,BackdoorsMoveset!A2:KW112,309,FALSE)+VLOOKUP(Backdoors!A40,BackdoorsMoveset!A2:KW112,309,FALSE)+VLOOKUP(Backdoors!A41,BackdoorsMoveset!A2:KW112,309,FALSE)+VLOOKUP(Backdoors!A42,BackdoorsMoveset!A2:KW112,309,FALSE)+VLOOKUP(Backdoors!A43,BackdoorsMoveset!A2:KW112,309,FALSE)+VLOOKUP(Backdoors!A44,BackdoorsMoveset!A2:KW112,309,FALSE)+VLOOKUP(Backdoors!A45,BackdoorsMoveset!A2:KW112,309,FALSE)+VLOOKUP(Backdoors!A46,BackdoorsMoveset!A2:KW112,309,FALSE)+VLOOKUP(Backdoors!A47,BackdoorsMoveset!A2:KW112,309,FALSE)+VLOOKUP(Backdoors!A48,BackdoorsMoveset!A2:KW112,309,FALSE)+VLOOKUP(Backdoors!A49,BackdoorsMoveset!A2:KW112,309,FALSE)+VLOOKUP(Backdoors!A50,BackdoorsMoveset!A2:KW112,309,FALSE)+VLOOKUP(Backdoors!A51,BackdoorsMoveset!A2:KW112,309,FALSE)+VLOOKUP(Backdoors!A52,BackdoorsMoveset!A2:KW112,309,FALSE)+VLOOKUP(Backdoors!A53,BackdoorsMoveset!A2:KW112,309,FALSE)+VLOOKUP(Backdoors!A54,BackdoorsMoveset!A2:KW112,309,FALSE)+VLOOKUP(Backdoors!A55,BackdoorsMoveset!A2:KW112,309,FALSE)+VLOOKUP(Backdoors!A56,BackdoorsMoveset!A2:KW112,309,FALSE)+VLOOKUP(Backdoors!A57,BackdoorsMoveset!A2:KW112,309,FALSE)+VLOOKUP(Backdoors!A58,BackdoorsMoveset!A2:KW112,309,FALSE)+VLOOKUP(Backdoors!A59,BackdoorsMoveset!A2:KW112,309,FALSE)+VLOOKUP(Backdoors!A60,BackdoorsMoveset!A2:KW112,309,FALSE)+VLOOKUP(Backdoors!A61,BackdoorsMoveset!A2:KW112,309,FALSE),0)</f>
        <v>0</v>
      </c>
      <c r="BO46" s="49">
        <f>IF(BN46=0,0,IF(OR(B9="Poison",$B11="Poison",B2="Light Bowgun",B2="Heavy Bowgun"),ROUND(Backdoors!A36*VLOOKUP(AO7,tbStatus!$A3:$F18,6,FALSE)*IF((AO16*AO61)&gt;1,1,(AO16*AO61)),0),IF(OR(B9="Blast",B11="Blast"),AR572,0)))</f>
        <v>0</v>
      </c>
      <c r="BP46">
        <f t="shared" si="0"/>
        <v>0</v>
      </c>
      <c r="BQ46" s="49" t="str">
        <f>CONCATENATE(AX46,IF(AND(BI46=TRUE,Calculator!B8=TRUE),CONCATENATE(" (Tenderized)"),""),IF(BP46=0,"",CONCATENATE(", ",BP46)))</f>
        <v/>
      </c>
      <c r="BR46" s="49">
        <f>VLOOKUP(Calculator!B4,SavedBuildNumbers!A1:BD73,45,FALSE)</f>
        <v>0</v>
      </c>
      <c r="BS46">
        <f>VLOOKUP(Calculator!B4,SavedBuildNumbers!A1:CH73,86,FALSE)</f>
        <v>0</v>
      </c>
      <c r="BU46" s="49">
        <f>IFERROR(ROUNDDOWN((IF((ROUND((VLOOKUP(tbMoveset!A46,tbMoveset!A2:F112,6,FALSE)+(IF(VLOOKUP(tbMoveset!A46,tbMoveset!A2:F112,6,FALSE)&gt;0,K41,0)))*(1+(IF(VLOOKUP(tbMoveset!A46,tbMoveset!A2:I112,9,FALSE)="Fire",VLOOKUP(Calculator!$E24,tbSkills!$AX3:$AZ9,3,FALSE),IF(VLOOKUP(tbMoveset!A46,tbMoveset!A2:I112,9,FALSE)="Water",VLOOKUP(Calculator!$E25,tbSkills!$AX3:$AZ9,3,FALSE),IF(VLOOKUP(BackdoorsMoveset!A46,tbMoveset!A2:I112,9,FALSE)="Thunder",VLOOKUP(Calculator!$E26,tbSkills!$AX3:$AZ9,3,FALSE),IF(VLOOKUP(tbMoveset!A46,tbMoveset!A2:I112,9,FALSE)="Ice",VLOOKUP(Calculator!$E27,tbSkills!$AX3:$AZ9,3,FALSE),IF(VLOOKUP(tbMoveset!A46,tbMoveset!A2:I112,9,FALSE)="Dragon",VLOOKUP(Calculator!$E28,tbSkills!$AX3:$AZ9,3,FALSE),0)))))/100))*AC7,0)+IF(VLOOKUP(tbMoveset!A46,tbMoveset!A2:F112,6,FALSE)&gt;0,IF(VLOOKUP(tbMoveset!A46,tbMoveset!A2:I112,9,FALSE)="Fire",VLOOKUP(Calculator!$E24,tbSkills!$AX3:$AY9,2,FALSE),IF(VLOOKUP(tbMoveset!A46,tbMoveset!A2:I112,9,FALSE)="Water",VLOOKUP(Calculator!$E25,tbSkills!$AX3:$AY9,2,FALSE),IF(VLOOKUP(tbMoveset!A46,tbMoveset!A2:I112,9,FALSE)="Thunder",VLOOKUP(Calculator!$E26,tbSkills!$AX3:$AY9,2,FALSE),IF(VLOOKUP(tbMoveset!A46,tbMoveset!A2:I112,9,FALSE)="Ice",VLOOKUP(Calculator!$E27,tbSkills!$AX3:$AY9,2,FALSE),IF(VLOOKUP(tbMoveset!A46,tbMoveset!A2:I112,9,FALSE)="Dragon",VLOOKUP(Calculator!$E28,tbSkills!$AX3:$AY9,2,FALSE),0))))),0)/10)&gt;=B34,B34,(ROUND((VLOOKUP(tbMoveset!A46,tbMoveset!A2:F112,6,FALSE)+(IF(VLOOKUP(tbMoveset!A46,tbMoveset!A2:F112,6,FALSE)&gt;0,K41,0)))*(1+(IF(VLOOKUP(tbMoveset!A46,tbMoveset!A2:I112,9,FALSE)="Fire",VLOOKUP(Calculator!$E24,tbSkills!$AX3:$AZ9,3,FALSE),IF(VLOOKUP(tbMoveset!A46,tbMoveset!A2:I112,9,FALSE)="Water",VLOOKUP(Calculator!$E25,tbSkills!$AX3:$AZ9,3,FALSE),IF(VLOOKUP(BackdoorsMoveset!A46,tbMoveset!A2:I112,9,FALSE)="Thunder",VLOOKUP(Calculator!$E26,tbSkills!$AX3:$AZ9,3,FALSE),IF(VLOOKUP(tbMoveset!A46,tbMoveset!A2:I112,9,FALSE)="Ice",VLOOKUP(Calculator!$E27,tbSkills!$AX3:$AZ9,3,FALSE),IF(VLOOKUP(tbMoveset!A46,tbMoveset!A2:I112,9,FALSE)="Dragon",VLOOKUP(Calculator!$E28,tbSkills!$AX3:$AZ9,3,FALSE),0)))))/100))*AC7,0)+IF(VLOOKUP(tbMoveset!A46,tbMoveset!A2:F112,6,FALSE)&gt;0,IF(VLOOKUP(tbMoveset!A46,tbMoveset!A2:I112,9,FALSE)="Fire",VLOOKUP(Calculator!$E24,tbSkills!$AX3:$AY9,2,FALSE),IF(VLOOKUP(tbMoveset!A46,tbMoveset!A2:I112,9,FALSE)="Water",VLOOKUP(Calculator!$E25,tbSkills!$AX3:$AY9,2,FALSE),IF(VLOOKUP(tbMoveset!A46,tbMoveset!A2:I112,9,FALSE)="Thunder",VLOOKUP(Calculator!$E26,tbSkills!$AX3:$AY9,2,FALSE),IF(VLOOKUP(tbMoveset!A46,tbMoveset!A2:I112,9,FALSE)="Ice",VLOOKUP(Calculator!$E27,tbSkills!$AX3:$AY9,2,FALSE),IF(VLOOKUP(tbMoveset!A46,tbMoveset!A2:I112,9,FALSE)="Dragon",VLOOKUP(Calculator!$E28,tbSkills!$AX3:$AY9,2,FALSE),0))))),0)/10))*N6)*AC6,0)*(B30/100),0)</f>
        <v>0</v>
      </c>
    </row>
    <row r="47" spans="1:73" x14ac:dyDescent="0.25">
      <c r="A47" s="67" t="str">
        <f>IFERROR(HLOOKUP(Calculator!B7,Combos!B3:K29,13,FALSE),"")</f>
        <v>Blade Dance (R1)</v>
      </c>
      <c r="J47" t="s">
        <v>697</v>
      </c>
      <c r="K47">
        <f>IF(VLOOKUP(Calculator!B2,tbWeapons!A2:AK271,37,FALSE)=TRUE,IF(OR(Calculator!B51=tbAwaken!A2,Calculator!B51=tbAwaken!A3,Calculator!B51=tbAwaken!A4,Calculator!B51=tbAwaken!A5,Calculator!B51=tbAwaken!A6,Calculator!B51=tbAwaken!A7),VLOOKUP(Calculator!B51,tbAwaken!A2:B7,2,FALSE),0)+IF(OR(Calculator!B52=tbAwaken!A2,Calculator!B52=tbAwaken!A3,Calculator!B52=tbAwaken!A4,Calculator!B52=tbAwaken!A5,Calculator!B52=tbAwaken!A6,Calculator!B52=tbAwaken!A7),VLOOKUP(Calculator!B52,tbAwaken!A2:B7,2,FALSE),0)+IF(OR(Calculator!B53=tbAwaken!A2,Calculator!B53=tbAwaken!A3,Calculator!B53=tbAwaken!A4,Calculator!B53=tbAwaken!A5,Calculator!B53=tbAwaken!A6,Calculator!B53=tbAwaken!A7),VLOOKUP(Calculator!B53,tbAwaken!A2:B7,2,FALSE),0)+IF(OR(Calculator!B54=tbAwaken!A2,Calculator!B54=tbAwaken!A3,Calculator!B54=tbAwaken!A4,Calculator!B54=tbAwaken!A5,Calculator!B54=tbAwaken!A6,Calculator!B54=tbAwaken!A7),VLOOKUP(Calculator!B54,tbAwaken!A2:B7,2,FALSE),0)+IF(OR(Calculator!B55=tbAwaken!A2,Calculator!B55=tbAwaken!A3,Calculator!B55=tbAwaken!A4,Calculator!B55=tbAwaken!A5,Calculator!B55=tbAwaken!A6,Calculator!B55=tbAwaken!A7),VLOOKUP(Calculator!B55,tbAwaken!A2:B7,2,FALSE),0),0)</f>
        <v>0</v>
      </c>
      <c r="AN47" s="49" t="str">
        <f>IFERROR(INDEX(tbHitzones!K:K,MATCH(ROWS(tbHitzones!$1:30),tbHitzones!K:K,0)),"")</f>
        <v/>
      </c>
      <c r="AO47">
        <f>IF(OR(B2="Light Bowgun",B2="Heavy Bowgun"),IF(AI12&gt;=0,1+(IF(Calculator!E40&gt;0,VLOOKUP(Calculator!E40,tbSkills!AI3:AJ5,2,FALSE),AL4)*(IF((AI12+IF(BA32&gt;=0.45,VLOOKUP(Calculator!E23,tbSkills!DH3:DI6,2,FALSE)+IF(AND(Calculator!B8=TRUE,BI32=TRUE),VLOOKUP(Calculator!E23,tbSkills!DH3:DJ6,3,FALSE),0),0))&gt;=100,100,(AI12+IF(BA32&gt;=0.45,VLOOKUP(Calculator!E23,tbSkills!DH3:DI6,2,FALSE)+IF(AND(Calculator!B8=TRUE,BI32=TRUE),VLOOKUP(Calculator!E23,tbSkills!DH3:DJ6,3,FALSE),0),0)))/100)),1),VLOOKUP(Backdoors!A37,BackdoorsMoveset!A2:HB112,210,FALSE)+VLOOKUP(Backdoors!A38,BackdoorsMoveset!A2:HB112,210,FALSE)+VLOOKUP(Backdoors!A39,BackdoorsMoveset!A2:HB112,210,FALSE)+VLOOKUP(Backdoors!A40,BackdoorsMoveset!A2:HB112,210,FALSE)+VLOOKUP(Backdoors!A41,BackdoorsMoveset!A2:HB112,210,FALSE)+VLOOKUP(Backdoors!A42,BackdoorsMoveset!A2:HB112,210,FALSE)+VLOOKUP(Backdoors!A43,BackdoorsMoveset!A2:HB112,210,FALSE)+VLOOKUP(Backdoors!A44,BackdoorsMoveset!A2:HB112,210,FALSE)+VLOOKUP(Backdoors!A45,BackdoorsMoveset!A2:HB112,210,FALSE)+VLOOKUP(Backdoors!A46,BackdoorsMoveset!A2:HB112,210,FALSE)+VLOOKUP(Backdoors!A47,BackdoorsMoveset!A2:HB112,210,FALSE)+VLOOKUP(Backdoors!A48,BackdoorsMoveset!A2:HB112,210,FALSE)+VLOOKUP(Backdoors!A49,BackdoorsMoveset!A2:HB112,210,FALSE)+VLOOKUP(Backdoors!A50,BackdoorsMoveset!A2:HB112,210,FALSE)+VLOOKUP(Backdoors!A51,BackdoorsMoveset!A2:HB112,210,FALSE)+VLOOKUP(Backdoors!A52,BackdoorsMoveset!A2:HB112,210,FALSE)+VLOOKUP(Backdoors!A53,BackdoorsMoveset!A2:HB112,210,FALSE)+VLOOKUP(Backdoors!A54,BackdoorsMoveset!A2:HB112,210,FALSE)+VLOOKUP(Backdoors!A55,BackdoorsMoveset!A2:HB112,210,FALSE)+VLOOKUP(Backdoors!A56,BackdoorsMoveset!A2:HB112,210,FALSE)+VLOOKUP(Backdoors!A57,BackdoorsMoveset!A2:HB112,210,FALSE)+VLOOKUP(Backdoors!A58,BackdoorsMoveset!A2:HB112,210,FALSE)+VLOOKUP(Backdoors!A59,BackdoorsMoveset!A2:HB112,210,FALSE)+VLOOKUP(Backdoors!A60,BackdoorsMoveset!A2:HB112,210,FALSE)+VLOOKUP(Backdoors!A61,BackdoorsMoveset!A2:HB112,210,FALSE))</f>
        <v>14.299999999999999</v>
      </c>
      <c r="AQ47" t="s">
        <v>237</v>
      </c>
      <c r="AR47">
        <f>N8-AR46</f>
        <v>1408</v>
      </c>
      <c r="AT47">
        <v>46</v>
      </c>
      <c r="AU47">
        <f>$AU46+IF(AO12+((AO10*45)*AO11)&gt;AO13,AO13,AO12+((AO10*45)*AO11))</f>
        <v>14436</v>
      </c>
      <c r="BQ47" s="49"/>
      <c r="BS47">
        <f>VLOOKUP(Calculator!B4,SavedBuildNumbers!A1:CI73,87,FALSE)</f>
        <v>0</v>
      </c>
      <c r="BU47" s="49">
        <f>IFERROR(ROUNDDOWN((IF((ROUND((VLOOKUP(tbMoveset!A47,tbMoveset!A2:F112,6,FALSE)+(IF(VLOOKUP(tbMoveset!A47,tbMoveset!A2:F112,6,FALSE)&gt;0,K41,0)))*(1+(IF(VLOOKUP(tbMoveset!A47,tbMoveset!A2:I112,9,FALSE)="Fire",VLOOKUP(Calculator!$E24,tbSkills!$AX3:$AZ9,3,FALSE),IF(VLOOKUP(tbMoveset!A47,tbMoveset!A2:I112,9,FALSE)="Water",VLOOKUP(Calculator!$E25,tbSkills!$AX3:$AZ9,3,FALSE),IF(VLOOKUP(BackdoorsMoveset!A47,tbMoveset!A2:I112,9,FALSE)="Thunder",VLOOKUP(Calculator!$E26,tbSkills!$AX3:$AZ9,3,FALSE),IF(VLOOKUP(tbMoveset!A47,tbMoveset!A2:I112,9,FALSE)="Ice",VLOOKUP(Calculator!$E27,tbSkills!$AX3:$AZ9,3,FALSE),IF(VLOOKUP(tbMoveset!A47,tbMoveset!A2:I112,9,FALSE)="Dragon",VLOOKUP(Calculator!$E28,tbSkills!$AX3:$AZ9,3,FALSE),0)))))/100))*AC7,0)+IF(VLOOKUP(tbMoveset!A47,tbMoveset!A2:F112,6,FALSE)&gt;0,IF(VLOOKUP(tbMoveset!A47,tbMoveset!A2:I112,9,FALSE)="Fire",VLOOKUP(Calculator!$E24,tbSkills!$AX3:$AY9,2,FALSE),IF(VLOOKUP(tbMoveset!A47,tbMoveset!A2:I112,9,FALSE)="Water",VLOOKUP(Calculator!$E25,tbSkills!$AX3:$AY9,2,FALSE),IF(VLOOKUP(tbMoveset!A47,tbMoveset!A2:I112,9,FALSE)="Thunder",VLOOKUP(Calculator!$E26,tbSkills!$AX3:$AY9,2,FALSE),IF(VLOOKUP(tbMoveset!A47,tbMoveset!A2:I112,9,FALSE)="Ice",VLOOKUP(Calculator!$E27,tbSkills!$AX3:$AY9,2,FALSE),IF(VLOOKUP(tbMoveset!A47,tbMoveset!A2:I112,9,FALSE)="Dragon",VLOOKUP(Calculator!$E28,tbSkills!$AX3:$AY9,2,FALSE),0))))),0)/10)&gt;=B34,B34,(ROUND((VLOOKUP(tbMoveset!A47,tbMoveset!A2:F112,6,FALSE)+(IF(VLOOKUP(tbMoveset!A47,tbMoveset!A2:F112,6,FALSE)&gt;0,K41,0)))*(1+(IF(VLOOKUP(tbMoveset!A47,tbMoveset!A2:I112,9,FALSE)="Fire",VLOOKUP(Calculator!$E24,tbSkills!$AX3:$AZ9,3,FALSE),IF(VLOOKUP(tbMoveset!A47,tbMoveset!A2:I112,9,FALSE)="Water",VLOOKUP(Calculator!$E25,tbSkills!$AX3:$AZ9,3,FALSE),IF(VLOOKUP(BackdoorsMoveset!A47,tbMoveset!A2:I112,9,FALSE)="Thunder",VLOOKUP(Calculator!$E26,tbSkills!$AX3:$AZ9,3,FALSE),IF(VLOOKUP(tbMoveset!A47,tbMoveset!A2:I112,9,FALSE)="Ice",VLOOKUP(Calculator!$E27,tbSkills!$AX3:$AZ9,3,FALSE),IF(VLOOKUP(tbMoveset!A47,tbMoveset!A2:I112,9,FALSE)="Dragon",VLOOKUP(Calculator!$E28,tbSkills!$AX3:$AZ9,3,FALSE),0)))))/100))*AC7,0)+IF(VLOOKUP(tbMoveset!A47,tbMoveset!A2:F112,6,FALSE)&gt;0,IF(VLOOKUP(tbMoveset!A47,tbMoveset!A2:I112,9,FALSE)="Fire",VLOOKUP(Calculator!$E24,tbSkills!$AX3:$AY9,2,FALSE),IF(VLOOKUP(tbMoveset!A47,tbMoveset!A2:I112,9,FALSE)="Water",VLOOKUP(Calculator!$E25,tbSkills!$AX3:$AY9,2,FALSE),IF(VLOOKUP(tbMoveset!A47,tbMoveset!A2:I112,9,FALSE)="Thunder",VLOOKUP(Calculator!$E26,tbSkills!$AX3:$AY9,2,FALSE),IF(VLOOKUP(tbMoveset!A47,tbMoveset!A2:I112,9,FALSE)="Ice",VLOOKUP(Calculator!$E27,tbSkills!$AX3:$AY9,2,FALSE),IF(VLOOKUP(tbMoveset!A47,tbMoveset!A2:I112,9,FALSE)="Dragon",VLOOKUP(Calculator!$E28,tbSkills!$AX3:$AY9,2,FALSE),0))))),0)/10))*N6)*AC6,0)*(B30/100),0)</f>
        <v>0</v>
      </c>
    </row>
    <row r="48" spans="1:73" x14ac:dyDescent="0.25">
      <c r="A48" s="67" t="str">
        <f>IFERROR(HLOOKUP(Calculator!B7,Combos!B3:K29,14,FALSE),"")</f>
        <v>Blade Dance (L2)</v>
      </c>
      <c r="J48" t="s">
        <v>1056</v>
      </c>
      <c r="K48">
        <f>IF(K47&gt;=((tbAwaken!B6*4)+tbAwaken!B7),(tbAwaken!B6*4)+tbAwaken!B7,K47)</f>
        <v>0</v>
      </c>
      <c r="AN48" s="49" t="str">
        <f>IFERROR(INDEX(tbHitzones!K:K,MATCH(ROWS(tbHitzones!$1:31),tbHitzones!K:K,0)),"")</f>
        <v/>
      </c>
      <c r="AO48">
        <f>IF(OR(B2="Light Bowgun",B2="Heavy Bowgun"),IF(AI12&gt;=0,1+(IF(Calculator!E40&gt;0,VLOOKUP(Calculator!E40,tbSkills!AI3:AJ5,2,FALSE),AL4)*(IF((AI12+IF(BA33&gt;=0.45,VLOOKUP(Calculator!E23,tbSkills!DH3:DI6,2,FALSE)+IF(AND(Calculator!B8=TRUE,BI33=TRUE),VLOOKUP(Calculator!E23,tbSkills!DH3:DJ6,3,FALSE),0),0))&gt;=100,100,(AI12+IF(BA33&gt;=0.45,VLOOKUP(Calculator!E23,tbSkills!DH3:DI6,2,FALSE)+IF(AND(Calculator!B8=TRUE,BI33=TRUE),VLOOKUP(Calculator!E23,tbSkills!DH3:DJ6,3,FALSE),0),0)))/100)),1),VLOOKUP(Backdoors!A37,BackdoorsMoveset!A2:HI112,217,FALSE)+VLOOKUP(Backdoors!A38,BackdoorsMoveset!A2:HI112,217,FALSE)+VLOOKUP(Backdoors!A39,BackdoorsMoveset!A2:HI112,217,FALSE)+VLOOKUP(Backdoors!A40,BackdoorsMoveset!A2:HI112,217,FALSE)+VLOOKUP(Backdoors!A41,BackdoorsMoveset!A2:HI112,217,FALSE)+VLOOKUP(Backdoors!A42,BackdoorsMoveset!A2:HI112,217,FALSE)+VLOOKUP(Backdoors!A43,BackdoorsMoveset!A2:HI112,217,FALSE)+VLOOKUP(Backdoors!A44,BackdoorsMoveset!A2:HI112,217,FALSE)+VLOOKUP(Backdoors!A45,BackdoorsMoveset!A2:HI112,217,FALSE)+VLOOKUP(Backdoors!A46,BackdoorsMoveset!A2:HI112,217,FALSE)+VLOOKUP(Backdoors!A47,BackdoorsMoveset!A2:HI112,217,FALSE)+VLOOKUP(Backdoors!A48,BackdoorsMoveset!A2:HI112,217,FALSE)+VLOOKUP(Backdoors!A49,BackdoorsMoveset!A2:HI112,217,FALSE)+VLOOKUP(Backdoors!A50,BackdoorsMoveset!A2:HI112,217,FALSE)+VLOOKUP(Backdoors!A51,BackdoorsMoveset!A2:HI112,217,FALSE)+VLOOKUP(Backdoors!A52,BackdoorsMoveset!A2:HI112,217,FALSE)+VLOOKUP(Backdoors!A53,BackdoorsMoveset!A2:HI112,217,FALSE)+VLOOKUP(Backdoors!A54,BackdoorsMoveset!A2:HI112,217,FALSE)+VLOOKUP(Backdoors!A55,BackdoorsMoveset!A2:HI112,217,FALSE)+VLOOKUP(Backdoors!A56,BackdoorsMoveset!A2:HI112,217,FALSE)+VLOOKUP(Backdoors!A57,BackdoorsMoveset!A2:HI112,217,FALSE)+VLOOKUP(Backdoors!A58,BackdoorsMoveset!A2:HI112,217,FALSE)+VLOOKUP(Backdoors!A59,BackdoorsMoveset!A2:HI112,217,FALSE)+VLOOKUP(Backdoors!A60,BackdoorsMoveset!A2:HI112,217,FALSE)+VLOOKUP(Backdoors!A61,BackdoorsMoveset!A2:HI112,217,FALSE))</f>
        <v>14.299999999999999</v>
      </c>
      <c r="AQ48" t="s">
        <v>238</v>
      </c>
      <c r="AR48">
        <f>IFERROR(AR47/BN6,0)</f>
        <v>13.669902912621358</v>
      </c>
      <c r="AT48">
        <v>47</v>
      </c>
      <c r="AU48">
        <f>$AU47+IF(AO12+((AO10*46)*AO11)&gt;AO13,AO13,AO12+((AO10*46)*AO11))</f>
        <v>14832</v>
      </c>
      <c r="BS48" t="b">
        <f>VLOOKUP(Calculator!B4,SavedBuildNumbers!A1:CJ73,88,FALSE)</f>
        <v>0</v>
      </c>
      <c r="BU48" s="49">
        <f>IFERROR(ROUNDDOWN((IF((ROUND((VLOOKUP(tbMoveset!A48,tbMoveset!A2:F112,6,FALSE)+(IF(VLOOKUP(tbMoveset!A48,tbMoveset!A2:F112,6,FALSE)&gt;0,K41,0)))*(1+(IF(VLOOKUP(tbMoveset!A48,tbMoveset!A2:I112,9,FALSE)="Fire",VLOOKUP(Calculator!$E24,tbSkills!$AX3:$AZ9,3,FALSE),IF(VLOOKUP(tbMoveset!A48,tbMoveset!A2:I112,9,FALSE)="Water",VLOOKUP(Calculator!$E25,tbSkills!$AX3:$AZ9,3,FALSE),IF(VLOOKUP(BackdoorsMoveset!A48,tbMoveset!A2:I112,9,FALSE)="Thunder",VLOOKUP(Calculator!$E26,tbSkills!$AX3:$AZ9,3,FALSE),IF(VLOOKUP(tbMoveset!A48,tbMoveset!A2:I112,9,FALSE)="Ice",VLOOKUP(Calculator!$E27,tbSkills!$AX3:$AZ9,3,FALSE),IF(VLOOKUP(tbMoveset!A48,tbMoveset!A2:I112,9,FALSE)="Dragon",VLOOKUP(Calculator!$E28,tbSkills!$AX3:$AZ9,3,FALSE),0)))))/100))*AC7,0)+IF(VLOOKUP(tbMoveset!A48,tbMoveset!A2:F112,6,FALSE)&gt;0,IF(VLOOKUP(tbMoveset!A48,tbMoveset!A2:I112,9,FALSE)="Fire",VLOOKUP(Calculator!$E24,tbSkills!$AX3:$AY9,2,FALSE),IF(VLOOKUP(tbMoveset!A48,tbMoveset!A2:I112,9,FALSE)="Water",VLOOKUP(Calculator!$E25,tbSkills!$AX3:$AY9,2,FALSE),IF(VLOOKUP(tbMoveset!A48,tbMoveset!A2:I112,9,FALSE)="Thunder",VLOOKUP(Calculator!$E26,tbSkills!$AX3:$AY9,2,FALSE),IF(VLOOKUP(tbMoveset!A48,tbMoveset!A2:I112,9,FALSE)="Ice",VLOOKUP(Calculator!$E27,tbSkills!$AX3:$AY9,2,FALSE),IF(VLOOKUP(tbMoveset!A48,tbMoveset!A2:I112,9,FALSE)="Dragon",VLOOKUP(Calculator!$E28,tbSkills!$AX3:$AY9,2,FALSE),0))))),0)/10)&gt;=B34,B34,(ROUND((VLOOKUP(tbMoveset!A48,tbMoveset!A2:F112,6,FALSE)+(IF(VLOOKUP(tbMoveset!A48,tbMoveset!A2:F112,6,FALSE)&gt;0,K41,0)))*(1+(IF(VLOOKUP(tbMoveset!A48,tbMoveset!A2:I112,9,FALSE)="Fire",VLOOKUP(Calculator!$E24,tbSkills!$AX3:$AZ9,3,FALSE),IF(VLOOKUP(tbMoveset!A48,tbMoveset!A2:I112,9,FALSE)="Water",VLOOKUP(Calculator!$E25,tbSkills!$AX3:$AZ9,3,FALSE),IF(VLOOKUP(BackdoorsMoveset!A48,tbMoveset!A2:I112,9,FALSE)="Thunder",VLOOKUP(Calculator!$E26,tbSkills!$AX3:$AZ9,3,FALSE),IF(VLOOKUP(tbMoveset!A48,tbMoveset!A2:I112,9,FALSE)="Ice",VLOOKUP(Calculator!$E27,tbSkills!$AX3:$AZ9,3,FALSE),IF(VLOOKUP(tbMoveset!A48,tbMoveset!A2:I112,9,FALSE)="Dragon",VLOOKUP(Calculator!$E28,tbSkills!$AX3:$AZ9,3,FALSE),0)))))/100))*AC7,0)+IF(VLOOKUP(tbMoveset!A48,tbMoveset!A2:F112,6,FALSE)&gt;0,IF(VLOOKUP(tbMoveset!A48,tbMoveset!A2:I112,9,FALSE)="Fire",VLOOKUP(Calculator!$E24,tbSkills!$AX3:$AY9,2,FALSE),IF(VLOOKUP(tbMoveset!A48,tbMoveset!A2:I112,9,FALSE)="Water",VLOOKUP(Calculator!$E25,tbSkills!$AX3:$AY9,2,FALSE),IF(VLOOKUP(tbMoveset!A48,tbMoveset!A2:I112,9,FALSE)="Thunder",VLOOKUP(Calculator!$E26,tbSkills!$AX3:$AY9,2,FALSE),IF(VLOOKUP(tbMoveset!A48,tbMoveset!A2:I112,9,FALSE)="Ice",VLOOKUP(Calculator!$E27,tbSkills!$AX3:$AY9,2,FALSE),IF(VLOOKUP(tbMoveset!A48,tbMoveset!A2:I112,9,FALSE)="Dragon",VLOOKUP(Calculator!$E28,tbSkills!$AX3:$AY9,2,FALSE),0))))),0)/10))*N6)*AC6,0)*(B30/100),0)</f>
        <v>0</v>
      </c>
    </row>
    <row r="49" spans="1:73" x14ac:dyDescent="0.25">
      <c r="A49" s="67" t="str">
        <f>IFERROR(HLOOKUP(Calculator!B7,Combos!B3:K29,15,FALSE),"")</f>
        <v>Blade Dance (R2)</v>
      </c>
      <c r="J49" t="s">
        <v>698</v>
      </c>
      <c r="K49">
        <f>IF(VLOOKUP(Calculator!B2,tbWeapons!A2:AK271,37,FALSE)=TRUE,IF(OR(Calculator!B51=tbAwaken!D2,Calculator!B51=tbAwaken!D3,Calculator!B51=tbAwaken!D4,Calculator!B51=tbAwaken!D5,Calculator!B51=tbAwaken!D6,Calculator!B51=tbAwaken!D7),VLOOKUP(Calculator!B51,tbAwaken!D2:E7,2,FALSE),0)+IF(OR(Calculator!B52=tbAwaken!D2,Calculator!B52=tbAwaken!D3,Calculator!B52=tbAwaken!D4,Calculator!B52=tbAwaken!D5,Calculator!B52=tbAwaken!D6,Calculator!B52=tbAwaken!D7),VLOOKUP(Calculator!B52,tbAwaken!D2:E7,2,FALSE),0)+IF(OR(Calculator!B53=tbAwaken!D2,Calculator!B53=tbAwaken!D3,Calculator!B53=tbAwaken!D4,Calculator!B53=tbAwaken!D5,Calculator!B53=tbAwaken!D6,Calculator!B53=tbAwaken!D7),VLOOKUP(Calculator!B53,tbAwaken!D2:E7,2,FALSE),0)+IF(OR(Calculator!B54=tbAwaken!D2,Calculator!B54=tbAwaken!D3,Calculator!B54=tbAwaken!D4,Calculator!B54=tbAwaken!D5,Calculator!B54=tbAwaken!D6,Calculator!B54=tbAwaken!D7),VLOOKUP(Calculator!B54,tbAwaken!D2:E7,2,FALSE),0)+IF(OR(Calculator!B55=tbAwaken!D2,Calculator!B55=tbAwaken!D3,Calculator!B55=tbAwaken!D4,Calculator!B55=tbAwaken!D5,Calculator!B55=tbAwaken!D6,Calculator!B55=tbAwaken!D7),VLOOKUP(Calculator!B55,tbAwaken!D2:E7,2,FALSE),0),0)</f>
        <v>0</v>
      </c>
      <c r="AN49" s="49" t="str">
        <f>IFERROR(INDEX(tbHitzones!K:K,MATCH(ROWS(tbHitzones!$1:32),tbHitzones!K:K,0)),"")</f>
        <v/>
      </c>
      <c r="AO49">
        <f>IF(OR(B2="Light Bowgun",B2="Heavy Bowgun"),IF(AI12&gt;=0,1+(IF(Calculator!E40&gt;0,VLOOKUP(Calculator!E40,tbSkills!AI3:AJ5,2,FALSE),AL4)*(IF((AI12+IF(BA34&gt;=0.45,VLOOKUP(Calculator!E23,tbSkills!DH3:DI6,2,FALSE)+IF(AND(Calculator!B8=TRUE,BI34=TRUE),VLOOKUP(Calculator!E23,tbSkills!DH3:DJ6,3,FALSE),0),0))&gt;=100,100,(AI12+IF(BA34&gt;=0.45,VLOOKUP(Calculator!E23,tbSkills!DH3:DI6,2,FALSE)+IF(AND(Calculator!B8=TRUE,BI34=TRUE),VLOOKUP(Calculator!E23,tbSkills!DH3:DJ6,3,FALSE),0),0)))/100)),1),VLOOKUP(Backdoors!A37,BackdoorsMoveset!A2:HP112,224,FALSE)+VLOOKUP(Backdoors!A38,BackdoorsMoveset!A2:HP112,224,FALSE)+VLOOKUP(Backdoors!A39,BackdoorsMoveset!A2:HP112,224,FALSE)+VLOOKUP(Backdoors!A40,BackdoorsMoveset!A2:HP112,224,FALSE)+VLOOKUP(Backdoors!A41,BackdoorsMoveset!A2:HP112,224,FALSE)+VLOOKUP(Backdoors!A42,BackdoorsMoveset!A2:HP112,224,FALSE)+VLOOKUP(Backdoors!A43,BackdoorsMoveset!A2:HP112,224,FALSE)+VLOOKUP(Backdoors!A44,BackdoorsMoveset!A2:HP112,224,FALSE)+VLOOKUP(Backdoors!A45,BackdoorsMoveset!A2:HP112,224,FALSE)+VLOOKUP(Backdoors!A46,BackdoorsMoveset!A2:HP112,224,FALSE)+VLOOKUP(Backdoors!A47,BackdoorsMoveset!A2:HP112,224,FALSE)+VLOOKUP(Backdoors!A48,BackdoorsMoveset!A2:HP112,224,FALSE)+VLOOKUP(Backdoors!A49,BackdoorsMoveset!A2:HP112,224,FALSE)+VLOOKUP(Backdoors!A50,BackdoorsMoveset!A2:HP112,224,FALSE)+VLOOKUP(Backdoors!A51,BackdoorsMoveset!A2:HP112,224,FALSE)+VLOOKUP(Backdoors!A52,BackdoorsMoveset!A2:HP112,224,FALSE)+VLOOKUP(Backdoors!A53,BackdoorsMoveset!A2:HP112,224,FALSE)+VLOOKUP(Backdoors!A54,BackdoorsMoveset!A2:HP112,224,FALSE)+VLOOKUP(Backdoors!A55,BackdoorsMoveset!A2:HP112,224,FALSE)+VLOOKUP(Backdoors!A56,BackdoorsMoveset!A2:HP112,224,FALSE)+VLOOKUP(Backdoors!A57,BackdoorsMoveset!A2:HP112,224,FALSE)+VLOOKUP(Backdoors!A58,BackdoorsMoveset!A2:HP112,224,FALSE)+VLOOKUP(Backdoors!A59,BackdoorsMoveset!A2:HP112,224,FALSE)+VLOOKUP(Backdoors!A60,BackdoorsMoveset!A2:HP112,224,FALSE)+VLOOKUP(Backdoors!A61,BackdoorsMoveset!A2:HP112,224,FALSE))</f>
        <v>14.299999999999999</v>
      </c>
      <c r="AQ49" t="s">
        <v>239</v>
      </c>
      <c r="AR49">
        <f>AR48*AR43</f>
        <v>0</v>
      </c>
      <c r="AT49">
        <v>48</v>
      </c>
      <c r="AU49">
        <f>$AU48+IF(AO12+((AO10*47)*AO11)&gt;AO13,AO13,AO12+((AO10*47)*AO11))</f>
        <v>15228</v>
      </c>
      <c r="BS49" t="b">
        <f>VLOOKUP(Calculator!B4,SavedBuildNumbers!A1:CK73,89,FALSE)</f>
        <v>0</v>
      </c>
      <c r="BU49" s="49">
        <f>IFERROR(ROUNDDOWN((IF((ROUND((VLOOKUP(tbMoveset!A49,tbMoveset!A2:F112,6,FALSE)+(IF(VLOOKUP(tbMoveset!A49,tbMoveset!A2:F112,6,FALSE)&gt;0,K41,0)))*(1+(IF(VLOOKUP(tbMoveset!A49,tbMoveset!A2:I112,9,FALSE)="Fire",VLOOKUP(Calculator!$E24,tbSkills!$AX3:$AZ9,3,FALSE),IF(VLOOKUP(tbMoveset!A49,tbMoveset!A2:I112,9,FALSE)="Water",VLOOKUP(Calculator!$E25,tbSkills!$AX3:$AZ9,3,FALSE),IF(VLOOKUP(BackdoorsMoveset!A49,tbMoveset!A2:I112,9,FALSE)="Thunder",VLOOKUP(Calculator!$E26,tbSkills!$AX3:$AZ9,3,FALSE),IF(VLOOKUP(tbMoveset!A49,tbMoveset!A2:I112,9,FALSE)="Ice",VLOOKUP(Calculator!$E27,tbSkills!$AX3:$AZ9,3,FALSE),IF(VLOOKUP(tbMoveset!A49,tbMoveset!A2:I112,9,FALSE)="Dragon",VLOOKUP(Calculator!$E28,tbSkills!$AX3:$AZ9,3,FALSE),0)))))/100))*AC7,0)+IF(VLOOKUP(tbMoveset!A49,tbMoveset!A2:F112,6,FALSE)&gt;0,IF(VLOOKUP(tbMoveset!A49,tbMoveset!A2:I112,9,FALSE)="Fire",VLOOKUP(Calculator!$E24,tbSkills!$AX3:$AY9,2,FALSE),IF(VLOOKUP(tbMoveset!A49,tbMoveset!A2:I112,9,FALSE)="Water",VLOOKUP(Calculator!$E25,tbSkills!$AX3:$AY9,2,FALSE),IF(VLOOKUP(tbMoveset!A49,tbMoveset!A2:I112,9,FALSE)="Thunder",VLOOKUP(Calculator!$E26,tbSkills!$AX3:$AY9,2,FALSE),IF(VLOOKUP(tbMoveset!A49,tbMoveset!A2:I112,9,FALSE)="Ice",VLOOKUP(Calculator!$E27,tbSkills!$AX3:$AY9,2,FALSE),IF(VLOOKUP(tbMoveset!A49,tbMoveset!A2:I112,9,FALSE)="Dragon",VLOOKUP(Calculator!$E28,tbSkills!$AX3:$AY9,2,FALSE),0))))),0)/10)&gt;=B34,B34,(ROUND((VLOOKUP(tbMoveset!A49,tbMoveset!A2:F112,6,FALSE)+(IF(VLOOKUP(tbMoveset!A49,tbMoveset!A2:F112,6,FALSE)&gt;0,K41,0)))*(1+(IF(VLOOKUP(tbMoveset!A49,tbMoveset!A2:I112,9,FALSE)="Fire",VLOOKUP(Calculator!$E24,tbSkills!$AX3:$AZ9,3,FALSE),IF(VLOOKUP(tbMoveset!A49,tbMoveset!A2:I112,9,FALSE)="Water",VLOOKUP(Calculator!$E25,tbSkills!$AX3:$AZ9,3,FALSE),IF(VLOOKUP(BackdoorsMoveset!A49,tbMoveset!A2:I112,9,FALSE)="Thunder",VLOOKUP(Calculator!$E26,tbSkills!$AX3:$AZ9,3,FALSE),IF(VLOOKUP(tbMoveset!A49,tbMoveset!A2:I112,9,FALSE)="Ice",VLOOKUP(Calculator!$E27,tbSkills!$AX3:$AZ9,3,FALSE),IF(VLOOKUP(tbMoveset!A49,tbMoveset!A2:I112,9,FALSE)="Dragon",VLOOKUP(Calculator!$E28,tbSkills!$AX3:$AZ9,3,FALSE),0)))))/100))*AC7,0)+IF(VLOOKUP(tbMoveset!A49,tbMoveset!A2:F112,6,FALSE)&gt;0,IF(VLOOKUP(tbMoveset!A49,tbMoveset!A2:I112,9,FALSE)="Fire",VLOOKUP(Calculator!$E24,tbSkills!$AX3:$AY9,2,FALSE),IF(VLOOKUP(tbMoveset!A49,tbMoveset!A2:I112,9,FALSE)="Water",VLOOKUP(Calculator!$E25,tbSkills!$AX3:$AY9,2,FALSE),IF(VLOOKUP(tbMoveset!A49,tbMoveset!A2:I112,9,FALSE)="Thunder",VLOOKUP(Calculator!$E26,tbSkills!$AX3:$AY9,2,FALSE),IF(VLOOKUP(tbMoveset!A49,tbMoveset!A2:I112,9,FALSE)="Ice",VLOOKUP(Calculator!$E27,tbSkills!$AX3:$AY9,2,FALSE),IF(VLOOKUP(tbMoveset!A49,tbMoveset!A2:I112,9,FALSE)="Dragon",VLOOKUP(Calculator!$E28,tbSkills!$AX3:$AY9,2,FALSE),0))))),0)/10))*N6)*AC6,0)*(B30/100),0)</f>
        <v>0</v>
      </c>
    </row>
    <row r="50" spans="1:73" x14ac:dyDescent="0.25">
      <c r="A50" s="67" t="str">
        <f>IFERROR(HLOOKUP(Calculator!B7,Combos!B3:K29,16,FALSE),"")</f>
        <v>Blade Dance (L3)</v>
      </c>
      <c r="J50" t="s">
        <v>1055</v>
      </c>
      <c r="K50">
        <f>IF(K49&gt;=((tbAwaken!E6*4)+tbAwaken!E7),(tbAwaken!E6*4)+tbAwaken!E7,K49)</f>
        <v>0</v>
      </c>
      <c r="AN50" s="49" t="str">
        <f>IFERROR(INDEX(tbHitzones!K:K,MATCH(ROWS(tbHitzones!$1:33),tbHitzones!K:K,0)),"")</f>
        <v/>
      </c>
      <c r="AO50">
        <f>IF(OR(B2="Light Bowgun",B2="Heavy Bowgun"),IF(AI12&gt;=0,1+(IF(Calculator!E40&gt;0,VLOOKUP(Calculator!E40,tbSkills!AI3:AJ5,2,FALSE),AL4)*(IF((AI12+IF(BA35&gt;=0.45,VLOOKUP(Calculator!E23,tbSkills!DH3:DI6,2,FALSE)+IF(AND(Calculator!B8=TRUE,BI35=TRUE),VLOOKUP(Calculator!E23,tbSkills!DH3:DJ6,3,FALSE),0),0))&gt;=100,100,(AI12+IF(BA35&gt;=0.45,VLOOKUP(Calculator!E23,tbSkills!DH3:DI6,2,FALSE)+IF(AND(Calculator!B8=TRUE,BI35=TRUE),VLOOKUP(Calculator!E23,tbSkills!DH3:DJ6,3,FALSE),0),0)))/100)),1),VLOOKUP(Backdoors!A37,BackdoorsMoveset!A2:HW112,231,FALSE)+VLOOKUP(Backdoors!A38,BackdoorsMoveset!A2:HW112,231,FALSE)+VLOOKUP(Backdoors!A39,BackdoorsMoveset!A2:HW112,231,FALSE)+VLOOKUP(Backdoors!A40,BackdoorsMoveset!A2:HW112,231,FALSE)+VLOOKUP(Backdoors!A41,BackdoorsMoveset!A2:HW112,231,FALSE)+VLOOKUP(Backdoors!A42,BackdoorsMoveset!A2:HW112,231,FALSE)+VLOOKUP(Backdoors!A43,BackdoorsMoveset!A2:HW112,231,FALSE)+VLOOKUP(Backdoors!A44,BackdoorsMoveset!A2:HW112,231,FALSE)+VLOOKUP(Backdoors!A45,BackdoorsMoveset!A2:HW112,231,FALSE)+VLOOKUP(Backdoors!A46,BackdoorsMoveset!A2:HW112,231,FALSE)+VLOOKUP(Backdoors!A47,BackdoorsMoveset!A2:HW112,231,FALSE)+VLOOKUP(Backdoors!A48,BackdoorsMoveset!A2:HW112,231,FALSE)+VLOOKUP(Backdoors!A49,BackdoorsMoveset!A2:HW112,231,FALSE)+VLOOKUP(Backdoors!A50,BackdoorsMoveset!A2:HW112,231,FALSE)+VLOOKUP(Backdoors!A51,BackdoorsMoveset!A2:HW112,231,FALSE)+VLOOKUP(Backdoors!A52,BackdoorsMoveset!A2:HW112,231,FALSE)+VLOOKUP(Backdoors!A53,BackdoorsMoveset!A2:HW112,231,FALSE)+VLOOKUP(Backdoors!A54,BackdoorsMoveset!A2:HW112,231,FALSE)+VLOOKUP(Backdoors!A55,BackdoorsMoveset!A2:HW112,231,FALSE)+VLOOKUP(Backdoors!A56,BackdoorsMoveset!A2:HW112,231,FALSE)+VLOOKUP(Backdoors!A57,BackdoorsMoveset!A2:HW112,231,FALSE)+VLOOKUP(Backdoors!A58,BackdoorsMoveset!A2:HW112,231,FALSE)+VLOOKUP(Backdoors!A59,BackdoorsMoveset!A2:HW112,231,FALSE)+VLOOKUP(Backdoors!A60,BackdoorsMoveset!A2:HW112,231,FALSE)+VLOOKUP(Backdoors!A61,BackdoorsMoveset!A2:HW112,231,FALSE))</f>
        <v>14.299999999999999</v>
      </c>
      <c r="AQ50" t="s">
        <v>240</v>
      </c>
      <c r="AR50">
        <f>IF($AR49&gt;=$AU51,50,IF($AR49&gt;=$AU50,49,IF($AR49&gt;=$AU49,48,IF($AR49&gt;=$AU48,47,IF($AR49&gt;=$AU47,46,IF($AR49&gt;=$AU46,45,IF($AR49&gt;=$AU45,44,IF($AR49&gt;=$AU44,43,IF($AR49&gt;=$AU43,42,IF($AR49&gt;=$AU42,41,IF($AR49&gt;=$AU41,40,IF($AR49&gt;=$AU40,39,IF($AR49&gt;=$AU39,38,IF($AR49&gt;=$AU38,37,IF($AR49&gt;=$AU37,36,IF($AR49&gt;=$AU36,35,IF($AR49&gt;=$AU35,34,IF($AR49&gt;=$AU34,33,IF($AR49&gt;=$AU33,32,IF($AR49&gt;=$AU32,31,IF($AR49&gt;=$AU31,30,IF($AR49&gt;=$AU30,29,IF($AR49&gt;=$AU29,28,IF($AR49&gt;=$AU28,27,IF($AR49&gt;=$AU27,26,IF($AR49&gt;=$AU26,25,IF($AR49&gt;=$AU25,24,IF($AR49&gt;=$AU24,23,IF($AR49&gt;=$AU23,22,IF($AR49&gt;=$AU22,21,IF($AR49&gt;=$AU21,20,IF($AR49&gt;=$AU20,19,IF($AR49&gt;=$AU19,18,IF($AR49&gt;=$AU18,17,IF($AR49&gt;=$AU17,16,IF($AR49&gt;=$AU16,15,IF($AR49&gt;=$AU15,14,IF($AR49&gt;=$AU14,13,IF($AR49&gt;=$AU13,12,IF($AR49&gt;=$AU12,11,IF($AR49&gt;=$AU11,10,IF($AR49&gt;=$AU10,9,IF($AR49&gt;=$AU9,8,IF($AR49&gt;=$AU8,7,IF($AR49&gt;=$AU7,6,IF($AR49&gt;=$AU6,5,IF($AR49&gt;=$AU5,4,IF($AR49&gt;=$AU4,3,IF($AR49&gt;=$AU3,2,IF($AR49&gt;=$AU2,1,0))))))))))))))))))))))))))))))))))))))))))))))))))</f>
        <v>0</v>
      </c>
      <c r="AT50">
        <v>49</v>
      </c>
      <c r="AU50">
        <f>$AU49+IF(AO12+((AO10*48)*AO11)&gt;AO13,AO13,AO12+((AO10*48)*AO11))</f>
        <v>15624</v>
      </c>
      <c r="BS50">
        <f>VLOOKUP(Calculator!B4,SavedBuildNumbers!A1:CL73,90,FALSE)</f>
        <v>0</v>
      </c>
      <c r="BU50" s="49">
        <f>IFERROR(ROUNDDOWN((IF((ROUND((VLOOKUP(tbMoveset!A50,tbMoveset!A2:F112,6,FALSE)+(IF(VLOOKUP(tbMoveset!A50,tbMoveset!A2:F112,6,FALSE)&gt;0,K41,0)))*(1+(IF(VLOOKUP(tbMoveset!A50,tbMoveset!A2:I112,9,FALSE)="Fire",VLOOKUP(Calculator!$E24,tbSkills!$AX3:$AZ9,3,FALSE),IF(VLOOKUP(tbMoveset!A50,tbMoveset!A2:I112,9,FALSE)="Water",VLOOKUP(Calculator!$E25,tbSkills!$AX3:$AZ9,3,FALSE),IF(VLOOKUP(BackdoorsMoveset!A50,tbMoveset!A2:I112,9,FALSE)="Thunder",VLOOKUP(Calculator!$E26,tbSkills!$AX3:$AZ9,3,FALSE),IF(VLOOKUP(tbMoveset!A50,tbMoveset!A2:I112,9,FALSE)="Ice",VLOOKUP(Calculator!$E27,tbSkills!$AX3:$AZ9,3,FALSE),IF(VLOOKUP(tbMoveset!A50,tbMoveset!A2:I112,9,FALSE)="Dragon",VLOOKUP(Calculator!$E28,tbSkills!$AX3:$AZ9,3,FALSE),0)))))/100))*AC7,0)+IF(VLOOKUP(tbMoveset!A50,tbMoveset!A2:F112,6,FALSE)&gt;0,IF(VLOOKUP(tbMoveset!A50,tbMoveset!A2:I112,9,FALSE)="Fire",VLOOKUP(Calculator!$E24,tbSkills!$AX3:$AY9,2,FALSE),IF(VLOOKUP(tbMoveset!A50,tbMoveset!A2:I112,9,FALSE)="Water",VLOOKUP(Calculator!$E25,tbSkills!$AX3:$AY9,2,FALSE),IF(VLOOKUP(tbMoveset!A50,tbMoveset!A2:I112,9,FALSE)="Thunder",VLOOKUP(Calculator!$E26,tbSkills!$AX3:$AY9,2,FALSE),IF(VLOOKUP(tbMoveset!A50,tbMoveset!A2:I112,9,FALSE)="Ice",VLOOKUP(Calculator!$E27,tbSkills!$AX3:$AY9,2,FALSE),IF(VLOOKUP(tbMoveset!A50,tbMoveset!A2:I112,9,FALSE)="Dragon",VLOOKUP(Calculator!$E28,tbSkills!$AX3:$AY9,2,FALSE),0))))),0)/10)&gt;=B34,B34,(ROUND((VLOOKUP(tbMoveset!A50,tbMoveset!A2:F112,6,FALSE)+(IF(VLOOKUP(tbMoveset!A50,tbMoveset!A2:F112,6,FALSE)&gt;0,K41,0)))*(1+(IF(VLOOKUP(tbMoveset!A50,tbMoveset!A2:I112,9,FALSE)="Fire",VLOOKUP(Calculator!$E24,tbSkills!$AX3:$AZ9,3,FALSE),IF(VLOOKUP(tbMoveset!A50,tbMoveset!A2:I112,9,FALSE)="Water",VLOOKUP(Calculator!$E25,tbSkills!$AX3:$AZ9,3,FALSE),IF(VLOOKUP(BackdoorsMoveset!A50,tbMoveset!A2:I112,9,FALSE)="Thunder",VLOOKUP(Calculator!$E26,tbSkills!$AX3:$AZ9,3,FALSE),IF(VLOOKUP(tbMoveset!A50,tbMoveset!A2:I112,9,FALSE)="Ice",VLOOKUP(Calculator!$E27,tbSkills!$AX3:$AZ9,3,FALSE),IF(VLOOKUP(tbMoveset!A50,tbMoveset!A2:I112,9,FALSE)="Dragon",VLOOKUP(Calculator!$E28,tbSkills!$AX3:$AZ9,3,FALSE),0)))))/100))*AC7,0)+IF(VLOOKUP(tbMoveset!A50,tbMoveset!A2:F112,6,FALSE)&gt;0,IF(VLOOKUP(tbMoveset!A50,tbMoveset!A2:I112,9,FALSE)="Fire",VLOOKUP(Calculator!$E24,tbSkills!$AX3:$AY9,2,FALSE),IF(VLOOKUP(tbMoveset!A50,tbMoveset!A2:I112,9,FALSE)="Water",VLOOKUP(Calculator!$E25,tbSkills!$AX3:$AY9,2,FALSE),IF(VLOOKUP(tbMoveset!A50,tbMoveset!A2:I112,9,FALSE)="Thunder",VLOOKUP(Calculator!$E26,tbSkills!$AX3:$AY9,2,FALSE),IF(VLOOKUP(tbMoveset!A50,tbMoveset!A2:I112,9,FALSE)="Ice",VLOOKUP(Calculator!$E27,tbSkills!$AX3:$AY9,2,FALSE),IF(VLOOKUP(tbMoveset!A50,tbMoveset!A2:I112,9,FALSE)="Dragon",VLOOKUP(Calculator!$E28,tbSkills!$AX3:$AY9,2,FALSE),0))))),0)/10))*N6)*AC6,0)*(B30/100),0)</f>
        <v>0</v>
      </c>
    </row>
    <row r="51" spans="1:73" x14ac:dyDescent="0.25">
      <c r="A51" s="67" t="str">
        <f>IFERROR(HLOOKUP(Calculator!B7,Combos!B3:K29,17,FALSE),"")</f>
        <v>Blade Dance (R3)</v>
      </c>
      <c r="J51" t="s">
        <v>1024</v>
      </c>
      <c r="K51">
        <f>IF(VLOOKUP(Calculator!B2,tbWeapons!A2:AK271,37,FALSE)=TRUE,IF(OR(Calculator!B51=tbAwaken!G2,Calculator!B51=tbAwaken!G3,Calculator!B51=tbAwaken!G4,Calculator!B51=tbAwaken!G5,Calculator!B51=tbAwaken!G6,Calculator!B51=tbAwaken!G7),VLOOKUP(Calculator!B51,tbAwaken!G2:H7,2,FALSE),0)+IF(OR(Calculator!B52=tbAwaken!G2,Calculator!B52=tbAwaken!G3,Calculator!B52=tbAwaken!G4,Calculator!B52=tbAwaken!G5,Calculator!B52=tbAwaken!G6,Calculator!B52=tbAwaken!G7),VLOOKUP(Calculator!B52,tbAwaken!G2:H7,2,FALSE),0)+IF(OR(Calculator!B53=tbAwaken!G2,Calculator!B53=tbAwaken!G3,Calculator!B53=tbAwaken!G4,Calculator!B53=tbAwaken!G5,Calculator!B53=tbAwaken!G6,Calculator!B53=tbAwaken!G7),VLOOKUP(Calculator!B53,tbAwaken!G2:H7,2,FALSE),0)+IF(OR(Calculator!B54=tbAwaken!G2,Calculator!B54=tbAwaken!G3,Calculator!B54=tbAwaken!G4,Calculator!B54=tbAwaken!G5,Calculator!B54=tbAwaken!G6,Calculator!B54=tbAwaken!G7),VLOOKUP(Calculator!B54,tbAwaken!G2:H7,2,FALSE),0)+IF(OR(Calculator!B55=tbAwaken!G2,Calculator!B55=tbAwaken!G3,Calculator!B55=tbAwaken!G4,Calculator!B55=tbAwaken!G5,Calculator!B55=tbAwaken!G6,Calculator!B55=tbAwaken!G7),VLOOKUP(Calculator!B55,tbAwaken!G2:H7,2,FALSE),0),0)</f>
        <v>0</v>
      </c>
      <c r="AN51" s="49" t="str">
        <f>IFERROR(INDEX(tbHitzones!K:K,MATCH(ROWS(tbHitzones!$1:34),tbHitzones!K:K,0)),"")</f>
        <v/>
      </c>
      <c r="AO51">
        <f>IF(OR(B2="Light Bowgun",B2="Heavy Bowgun"),IF(AI12&gt;=0,1+(IF(Calculator!E40&gt;0,VLOOKUP(Calculator!E40,tbSkills!AI3:AJ5,2,FALSE),AL4)*(IF((AI12+IF(BA36&gt;=0.45,VLOOKUP(Calculator!E23,tbSkills!DH3:DI6,2,FALSE)+IF(AND(Calculator!B8=TRUE,BI36=TRUE),VLOOKUP(Calculator!E23,tbSkills!DH3:DJ6,3,FALSE),0),0))&gt;=100,100,(AI12+IF(BA36&gt;=0.45,VLOOKUP(Calculator!E23,tbSkills!DH3:DI6,2,FALSE)+IF(AND(Calculator!B8=TRUE,BI36=TRUE),VLOOKUP(Calculator!E23,tbSkills!DH3:DJ6,3,FALSE),0),0)))/100)),1),VLOOKUP(Backdoors!A37,BackdoorsMoveset!A2:ID112,238,FALSE)+VLOOKUP(Backdoors!A38,BackdoorsMoveset!A2:ID112,238,FALSE)+VLOOKUP(Backdoors!A39,BackdoorsMoveset!A2:ID112,238,FALSE)+VLOOKUP(Backdoors!A40,BackdoorsMoveset!A2:ID112,238,FALSE)+VLOOKUP(Backdoors!A41,BackdoorsMoveset!A2:ID112,238,FALSE)+VLOOKUP(Backdoors!A42,BackdoorsMoveset!A2:ID112,238,FALSE)+VLOOKUP(Backdoors!A43,BackdoorsMoveset!A2:ID112,238,FALSE)+VLOOKUP(Backdoors!A44,BackdoorsMoveset!A2:ID112,238,FALSE)+VLOOKUP(Backdoors!A45,BackdoorsMoveset!A2:ID112,238,FALSE)+VLOOKUP(Backdoors!A46,BackdoorsMoveset!A2:ID112,238,FALSE)+VLOOKUP(Backdoors!A47,BackdoorsMoveset!A2:ID112,238,FALSE)+VLOOKUP(Backdoors!A48,BackdoorsMoveset!A2:ID112,238,FALSE)+VLOOKUP(Backdoors!A49,BackdoorsMoveset!A2:ID112,238,FALSE)+VLOOKUP(Backdoors!A50,BackdoorsMoveset!A2:ID112,238,FALSE)+VLOOKUP(Backdoors!A51,BackdoorsMoveset!A2:ID112,238,FALSE)+VLOOKUP(Backdoors!A52,BackdoorsMoveset!A2:ID112,238,FALSE)+VLOOKUP(Backdoors!A53,BackdoorsMoveset!A2:ID112,238,FALSE)+VLOOKUP(Backdoors!A54,BackdoorsMoveset!A2:ID112,238,FALSE)+VLOOKUP(Backdoors!A55,BackdoorsMoveset!A2:ID112,238,FALSE)+VLOOKUP(Backdoors!A56,BackdoorsMoveset!A2:ID112,238,FALSE)+VLOOKUP(Backdoors!A57,BackdoorsMoveset!A2:ID112,238,FALSE)+VLOOKUP(Backdoors!A58,BackdoorsMoveset!A2:ID112,238,FALSE)+VLOOKUP(Backdoors!A59,BackdoorsMoveset!A2:ID112,238,FALSE)+VLOOKUP(Backdoors!A60,BackdoorsMoveset!A2:ID112,238,FALSE)+VLOOKUP(Backdoors!A61,BackdoorsMoveset!A2:ID112,238,FALSE))</f>
        <v>14.299999999999999</v>
      </c>
      <c r="AQ51" t="s">
        <v>241</v>
      </c>
      <c r="AR51">
        <f>AR50*VLOOKUP(AO8,tbStatus!A22:E33,5,FALSE)</f>
        <v>0</v>
      </c>
      <c r="AT51">
        <v>50</v>
      </c>
      <c r="AU51">
        <f>$AU50+IF(AO12+((AO10*49)*AO11)&gt;AO13,AO13,AO12+((AO10*49)*AO11))</f>
        <v>16020</v>
      </c>
      <c r="BS51" t="b">
        <f>VLOOKUP(Calculator!B4,SavedBuildNumbers!A1:CM73,91,FALSE)</f>
        <v>0</v>
      </c>
      <c r="BU51" s="49">
        <f>IFERROR(ROUNDDOWN((IF((ROUND((VLOOKUP(tbMoveset!A51,tbMoveset!A2:F112,6,FALSE)+(IF(VLOOKUP(tbMoveset!A51,tbMoveset!A2:F112,6,FALSE)&gt;0,K41,0)))*(1+(IF(VLOOKUP(tbMoveset!A51,tbMoveset!A2:I112,9,FALSE)="Fire",VLOOKUP(Calculator!$E24,tbSkills!$AX3:$AZ9,3,FALSE),IF(VLOOKUP(tbMoveset!A51,tbMoveset!A2:I112,9,FALSE)="Water",VLOOKUP(Calculator!$E25,tbSkills!$AX3:$AZ9,3,FALSE),IF(VLOOKUP(BackdoorsMoveset!A51,tbMoveset!A2:I112,9,FALSE)="Thunder",VLOOKUP(Calculator!$E26,tbSkills!$AX3:$AZ9,3,FALSE),IF(VLOOKUP(tbMoveset!A51,tbMoveset!A2:I112,9,FALSE)="Ice",VLOOKUP(Calculator!$E27,tbSkills!$AX3:$AZ9,3,FALSE),IF(VLOOKUP(tbMoveset!A51,tbMoveset!A2:I112,9,FALSE)="Dragon",VLOOKUP(Calculator!$E28,tbSkills!$AX3:$AZ9,3,FALSE),0)))))/100))*AC7,0)+IF(VLOOKUP(tbMoveset!A51,tbMoveset!A2:F112,6,FALSE)&gt;0,IF(VLOOKUP(tbMoveset!A51,tbMoveset!A2:I112,9,FALSE)="Fire",VLOOKUP(Calculator!$E24,tbSkills!$AX3:$AY9,2,FALSE),IF(VLOOKUP(tbMoveset!A51,tbMoveset!A2:I112,9,FALSE)="Water",VLOOKUP(Calculator!$E25,tbSkills!$AX3:$AY9,2,FALSE),IF(VLOOKUP(tbMoveset!A51,tbMoveset!A2:I112,9,FALSE)="Thunder",VLOOKUP(Calculator!$E26,tbSkills!$AX3:$AY9,2,FALSE),IF(VLOOKUP(tbMoveset!A51,tbMoveset!A2:I112,9,FALSE)="Ice",VLOOKUP(Calculator!$E27,tbSkills!$AX3:$AY9,2,FALSE),IF(VLOOKUP(tbMoveset!A51,tbMoveset!A2:I112,9,FALSE)="Dragon",VLOOKUP(Calculator!$E28,tbSkills!$AX3:$AY9,2,FALSE),0))))),0)/10)&gt;=B34,B34,(ROUND((VLOOKUP(tbMoveset!A51,tbMoveset!A2:F112,6,FALSE)+(IF(VLOOKUP(tbMoveset!A51,tbMoveset!A2:F112,6,FALSE)&gt;0,K41,0)))*(1+(IF(VLOOKUP(tbMoveset!A51,tbMoveset!A2:I112,9,FALSE)="Fire",VLOOKUP(Calculator!$E24,tbSkills!$AX3:$AZ9,3,FALSE),IF(VLOOKUP(tbMoveset!A51,tbMoveset!A2:I112,9,FALSE)="Water",VLOOKUP(Calculator!$E25,tbSkills!$AX3:$AZ9,3,FALSE),IF(VLOOKUP(BackdoorsMoveset!A51,tbMoveset!A2:I112,9,FALSE)="Thunder",VLOOKUP(Calculator!$E26,tbSkills!$AX3:$AZ9,3,FALSE),IF(VLOOKUP(tbMoveset!A51,tbMoveset!A2:I112,9,FALSE)="Ice",VLOOKUP(Calculator!$E27,tbSkills!$AX3:$AZ9,3,FALSE),IF(VLOOKUP(tbMoveset!A51,tbMoveset!A2:I112,9,FALSE)="Dragon",VLOOKUP(Calculator!$E28,tbSkills!$AX3:$AZ9,3,FALSE),0)))))/100))*AC7,0)+IF(VLOOKUP(tbMoveset!A51,tbMoveset!A2:F112,6,FALSE)&gt;0,IF(VLOOKUP(tbMoveset!A51,tbMoveset!A2:I112,9,FALSE)="Fire",VLOOKUP(Calculator!$E24,tbSkills!$AX3:$AY9,2,FALSE),IF(VLOOKUP(tbMoveset!A51,tbMoveset!A2:I112,9,FALSE)="Water",VLOOKUP(Calculator!$E25,tbSkills!$AX3:$AY9,2,FALSE),IF(VLOOKUP(tbMoveset!A51,tbMoveset!A2:I112,9,FALSE)="Thunder",VLOOKUP(Calculator!$E26,tbSkills!$AX3:$AY9,2,FALSE),IF(VLOOKUP(tbMoveset!A51,tbMoveset!A2:I112,9,FALSE)="Ice",VLOOKUP(Calculator!$E27,tbSkills!$AX3:$AY9,2,FALSE),IF(VLOOKUP(tbMoveset!A51,tbMoveset!A2:I112,9,FALSE)="Dragon",VLOOKUP(Calculator!$E28,tbSkills!$AX3:$AY9,2,FALSE),0))))),0)/10))*N6)*AC6,0)*(B30/100),0)</f>
        <v>0</v>
      </c>
    </row>
    <row r="52" spans="1:73" x14ac:dyDescent="0.25">
      <c r="A52" s="67" t="str">
        <f>IFERROR(HLOOKUP(Calculator!B7,Combos!B3:K29,18,FALSE),"")</f>
        <v>Blade Dance (R4)</v>
      </c>
      <c r="J52" t="s">
        <v>1054</v>
      </c>
      <c r="K52">
        <f>IF(K51&gt;=((tbAwaken!H6*4)+tbAwaken!H7),(tbAwaken!H6*4)+tbAwaken!H7,K51)</f>
        <v>0</v>
      </c>
      <c r="AN52" s="49" t="str">
        <f>IFERROR(INDEX(tbHitzones!K:K,MATCH(ROWS(tbHitzones!$1:35),tbHitzones!K:K,0)),"")</f>
        <v/>
      </c>
      <c r="AO52">
        <f>IF(OR(B2="Light Bowgun",B2="Heavy Bowgun"),IF(AI12&gt;=0,1+(IF(Calculator!E40&gt;0,VLOOKUP(Calculator!E40,tbSkills!AI3:AJ5,2,FALSE),AL4)*(IF((AI12+IF(BA37&gt;=0.45,VLOOKUP(Calculator!E23,tbSkills!DH3:DI6,2,FALSE)+IF(AND(Calculator!B8=TRUE,BI37=TRUE),VLOOKUP(Calculator!E23,tbSkills!DH3:DJ6,3,FALSE),0),0))&gt;=100,100,(AI12+IF(BA37&gt;=0.45,VLOOKUP(Calculator!E23,tbSkills!DH3:DI6,2,FALSE)+IF(AND(Calculator!B8=TRUE,BI37=TRUE),VLOOKUP(Calculator!E23,tbSkills!DH3:DJ6,3,FALSE),0),0)))/100)),1),VLOOKUP(Backdoors!A37,BackdoorsMoveset!A2:IK112,245,FALSE)+VLOOKUP(Backdoors!A38,BackdoorsMoveset!A2:IK112,245,FALSE)+VLOOKUP(Backdoors!A39,BackdoorsMoveset!A2:IK112,245,FALSE)+VLOOKUP(Backdoors!A40,BackdoorsMoveset!A2:IK112,245,FALSE)+VLOOKUP(Backdoors!A41,BackdoorsMoveset!A2:IK112,245,FALSE)+VLOOKUP(Backdoors!A42,BackdoorsMoveset!A2:IK112,245,FALSE)+VLOOKUP(Backdoors!A43,BackdoorsMoveset!A2:IK112,245,FALSE)+VLOOKUP(Backdoors!A44,BackdoorsMoveset!A2:IK112,245,FALSE)+VLOOKUP(Backdoors!A45,BackdoorsMoveset!A2:IK112,245,FALSE)+VLOOKUP(Backdoors!A46,BackdoorsMoveset!A2:IK112,245,FALSE)+VLOOKUP(Backdoors!A47,BackdoorsMoveset!A2:IK112,245,FALSE)+VLOOKUP(Backdoors!A48,BackdoorsMoveset!A2:IK112,245,FALSE)+VLOOKUP(Backdoors!A49,BackdoorsMoveset!A2:IK112,245,FALSE)+VLOOKUP(Backdoors!A50,BackdoorsMoveset!A2:IK112,245,FALSE)+VLOOKUP(Backdoors!A51,BackdoorsMoveset!A2:IK112,245,FALSE)+VLOOKUP(Backdoors!A52,BackdoorsMoveset!A2:IK112,245,FALSE)+VLOOKUP(Backdoors!A53,BackdoorsMoveset!A2:IK112,245,FALSE)+VLOOKUP(Backdoors!A54,BackdoorsMoveset!A2:IK112,245,FALSE)+VLOOKUP(Backdoors!A55,BackdoorsMoveset!A2:IK112,245,FALSE)+VLOOKUP(Backdoors!A56,BackdoorsMoveset!A2:IK112,245,FALSE)+VLOOKUP(Backdoors!A57,BackdoorsMoveset!A2:IK112,245,FALSE)+VLOOKUP(Backdoors!A58,BackdoorsMoveset!A2:IK112,245,FALSE)+VLOOKUP(Backdoors!A59,BackdoorsMoveset!A2:IK112,245,FALSE)+VLOOKUP(Backdoors!A60,BackdoorsMoveset!A2:IK112,245,FALSE)+VLOOKUP(Backdoors!A61,BackdoorsMoveset!A2:IK112,245,FALSE))</f>
        <v>14.299999999999999</v>
      </c>
      <c r="AQ52" t="s">
        <v>242</v>
      </c>
      <c r="AR52">
        <f>ROUND((AR51/N8)*BN6,0)</f>
        <v>0</v>
      </c>
      <c r="BS52">
        <f>VLOOKUP(Calculator!B4,SavedBuildNumbers!A1:CN73,92,FALSE)</f>
        <v>0</v>
      </c>
      <c r="BU52" s="49">
        <f>IFERROR(ROUNDDOWN((IF((ROUND((VLOOKUP(tbMoveset!A52,tbMoveset!A2:F112,6,FALSE)+(IF(VLOOKUP(tbMoveset!A52,tbMoveset!A2:F112,6,FALSE)&gt;0,K41,0)))*(1+(IF(VLOOKUP(tbMoveset!A52,tbMoveset!A2:I112,9,FALSE)="Fire",VLOOKUP(Calculator!$E24,tbSkills!$AX3:$AZ9,3,FALSE),IF(VLOOKUP(tbMoveset!A52,tbMoveset!A2:I112,9,FALSE)="Water",VLOOKUP(Calculator!$E25,tbSkills!$AX3:$AZ9,3,FALSE),IF(VLOOKUP(BackdoorsMoveset!A52,tbMoveset!A2:I112,9,FALSE)="Thunder",VLOOKUP(Calculator!$E26,tbSkills!$AX3:$AZ9,3,FALSE),IF(VLOOKUP(tbMoveset!A52,tbMoveset!A2:I112,9,FALSE)="Ice",VLOOKUP(Calculator!$E27,tbSkills!$AX3:$AZ9,3,FALSE),IF(VLOOKUP(tbMoveset!A52,tbMoveset!A2:I112,9,FALSE)="Dragon",VLOOKUP(Calculator!$E28,tbSkills!$AX3:$AZ9,3,FALSE),0)))))/100))*AC7,0)+IF(VLOOKUP(tbMoveset!A52,tbMoveset!A2:F112,6,FALSE)&gt;0,IF(VLOOKUP(tbMoveset!A52,tbMoveset!A2:I112,9,FALSE)="Fire",VLOOKUP(Calculator!$E24,tbSkills!$AX3:$AY9,2,FALSE),IF(VLOOKUP(tbMoveset!A52,tbMoveset!A2:I112,9,FALSE)="Water",VLOOKUP(Calculator!$E25,tbSkills!$AX3:$AY9,2,FALSE),IF(VLOOKUP(tbMoveset!A52,tbMoveset!A2:I112,9,FALSE)="Thunder",VLOOKUP(Calculator!$E26,tbSkills!$AX3:$AY9,2,FALSE),IF(VLOOKUP(tbMoveset!A52,tbMoveset!A2:I112,9,FALSE)="Ice",VLOOKUP(Calculator!$E27,tbSkills!$AX3:$AY9,2,FALSE),IF(VLOOKUP(tbMoveset!A52,tbMoveset!A2:I112,9,FALSE)="Dragon",VLOOKUP(Calculator!$E28,tbSkills!$AX3:$AY9,2,FALSE),0))))),0)/10)&gt;=B34,B34,(ROUND((VLOOKUP(tbMoveset!A52,tbMoveset!A2:F112,6,FALSE)+(IF(VLOOKUP(tbMoveset!A52,tbMoveset!A2:F112,6,FALSE)&gt;0,K41,0)))*(1+(IF(VLOOKUP(tbMoveset!A52,tbMoveset!A2:I112,9,FALSE)="Fire",VLOOKUP(Calculator!$E24,tbSkills!$AX3:$AZ9,3,FALSE),IF(VLOOKUP(tbMoveset!A52,tbMoveset!A2:I112,9,FALSE)="Water",VLOOKUP(Calculator!$E25,tbSkills!$AX3:$AZ9,3,FALSE),IF(VLOOKUP(BackdoorsMoveset!A52,tbMoveset!A2:I112,9,FALSE)="Thunder",VLOOKUP(Calculator!$E26,tbSkills!$AX3:$AZ9,3,FALSE),IF(VLOOKUP(tbMoveset!A52,tbMoveset!A2:I112,9,FALSE)="Ice",VLOOKUP(Calculator!$E27,tbSkills!$AX3:$AZ9,3,FALSE),IF(VLOOKUP(tbMoveset!A52,tbMoveset!A2:I112,9,FALSE)="Dragon",VLOOKUP(Calculator!$E28,tbSkills!$AX3:$AZ9,3,FALSE),0)))))/100))*AC7,0)+IF(VLOOKUP(tbMoveset!A52,tbMoveset!A2:F112,6,FALSE)&gt;0,IF(VLOOKUP(tbMoveset!A52,tbMoveset!A2:I112,9,FALSE)="Fire",VLOOKUP(Calculator!$E24,tbSkills!$AX3:$AY9,2,FALSE),IF(VLOOKUP(tbMoveset!A52,tbMoveset!A2:I112,9,FALSE)="Water",VLOOKUP(Calculator!$E25,tbSkills!$AX3:$AY9,2,FALSE),IF(VLOOKUP(tbMoveset!A52,tbMoveset!A2:I112,9,FALSE)="Thunder",VLOOKUP(Calculator!$E26,tbSkills!$AX3:$AY9,2,FALSE),IF(VLOOKUP(tbMoveset!A52,tbMoveset!A2:I112,9,FALSE)="Ice",VLOOKUP(Calculator!$E27,tbSkills!$AX3:$AY9,2,FALSE),IF(VLOOKUP(tbMoveset!A52,tbMoveset!A2:I112,9,FALSE)="Dragon",VLOOKUP(Calculator!$E28,tbSkills!$AX3:$AY9,2,FALSE),0))))),0)/10))*N6)*AC6,0)*(B30/100),0)</f>
        <v>0</v>
      </c>
    </row>
    <row r="53" spans="1:73" x14ac:dyDescent="0.25">
      <c r="A53" s="67" t="str">
        <f>IFERROR(HLOOKUP(Calculator!B7,Combos!B3:K29,19,FALSE),"")</f>
        <v>Blade Dance (L4)</v>
      </c>
      <c r="J53" t="s">
        <v>1025</v>
      </c>
      <c r="K53">
        <f>IF(VLOOKUP(Calculator!B2,tbWeapons!A2:AK271,37,FALSE)=TRUE,IF(OR(Calculator!B51=tbAwaken!J2,Calculator!B51=tbAwaken!J3,Calculator!B51=tbAwaken!J4,Calculator!B51=tbAwaken!J5,Calculator!B51=tbAwaken!J6,Calculator!B51=tbAwaken!J7),VLOOKUP(Calculator!B51,tbAwaken!J2:K7,2,FALSE),0)+IF(OR(Calculator!B52=tbAwaken!J2,Calculator!B52=tbAwaken!J3,Calculator!B52=tbAwaken!J4,Calculator!B52=tbAwaken!J5,Calculator!B52=tbAwaken!J6,Calculator!B52=tbAwaken!J7),VLOOKUP(Calculator!B52,tbAwaken!J2:K7,2,FALSE),0)+IF(OR(Calculator!B53=tbAwaken!J2,Calculator!B53=tbAwaken!J3,Calculator!B53=tbAwaken!J4,Calculator!B53=tbAwaken!J5,Calculator!B53=tbAwaken!J6,Calculator!B53=tbAwaken!J7),VLOOKUP(Calculator!B53,tbAwaken!J2:K7,2,FALSE),0)+IF(OR(Calculator!B54=tbAwaken!J2,Calculator!B54=tbAwaken!J3,Calculator!B54=tbAwaken!J4,Calculator!B54=tbAwaken!J5,Calculator!B54=tbAwaken!J6,Calculator!B54=tbAwaken!J7),VLOOKUP(Calculator!B54,tbAwaken!J2:K7,2,FALSE),0)+IF(OR(Calculator!B55=tbAwaken!J2,Calculator!B55=tbAwaken!J3,Calculator!B55=tbAwaken!J4,Calculator!B55=tbAwaken!J5,Calculator!B55=tbAwaken!J6,Calculator!B55=tbAwaken!J7),VLOOKUP(Calculator!B55,tbAwaken!J2:K7,2,FALSE),0),0)</f>
        <v>0</v>
      </c>
      <c r="AN53" s="49" t="str">
        <f>IFERROR(INDEX(tbHitzones!K:K,MATCH(ROWS(tbHitzones!$1:36),tbHitzones!K:K,0)),"")</f>
        <v/>
      </c>
      <c r="AO53">
        <f>IF(OR(B2="Light Bowgun",B2="Heavy Bowgun"),IF(AI12&gt;=0,1+(IF(Calculator!E40&gt;0,VLOOKUP(Calculator!E40,tbSkills!AI3:AJ5,2,FALSE),AL4)*(IF((AI12+IF(BA38&gt;=0.45,VLOOKUP(Calculator!E23,tbSkills!DH3:DI6,2,FALSE)+IF(AND(Calculator!B8=TRUE,BI38=TRUE),VLOOKUP(Calculator!E23,tbSkills!DH3:DJ6,3,FALSE),0),0))&gt;=100,100,(AI12+IF(BA38&gt;=0.45,VLOOKUP(Calculator!E23,tbSkills!DH3:DI6,2,FALSE)+IF(AND(Calculator!B8=TRUE,BI38=TRUE),VLOOKUP(Calculator!E23,tbSkills!DH3:DJ6,3,FALSE),0),0)))/100)),1),VLOOKUP(Backdoors!A37,BackdoorsMoveset!A2:IR112,252,FALSE)+VLOOKUP(Backdoors!A38,BackdoorsMoveset!A2:IR112,252,FALSE)+VLOOKUP(Backdoors!A39,BackdoorsMoveset!A2:IR112,252,FALSE)+VLOOKUP(Backdoors!A40,BackdoorsMoveset!A2:IR112,252,FALSE)+VLOOKUP(Backdoors!A41,BackdoorsMoveset!A2:IR112,252,FALSE)+VLOOKUP(Backdoors!A42,BackdoorsMoveset!A2:IR112,252,FALSE)+VLOOKUP(Backdoors!A43,BackdoorsMoveset!A2:IR112,252,FALSE)+VLOOKUP(Backdoors!A44,BackdoorsMoveset!A2:IR112,252,FALSE)+VLOOKUP(Backdoors!A45,BackdoorsMoveset!A2:IR112,252,FALSE)+VLOOKUP(Backdoors!A46,BackdoorsMoveset!A2:IR112,252,FALSE)+VLOOKUP(Backdoors!A47,BackdoorsMoveset!A2:IR112,252,FALSE)+VLOOKUP(Backdoors!A48,BackdoorsMoveset!A2:IR112,252,FALSE)+VLOOKUP(Backdoors!A49,BackdoorsMoveset!A2:IR112,252,FALSE)+VLOOKUP(Backdoors!A50,BackdoorsMoveset!A2:IR112,252,FALSE)+VLOOKUP(Backdoors!A51,BackdoorsMoveset!A2:IR112,252,FALSE)+VLOOKUP(Backdoors!A52,BackdoorsMoveset!A2:IR112,252,FALSE)+VLOOKUP(Backdoors!A53,BackdoorsMoveset!A2:IR112,252,FALSE)+VLOOKUP(Backdoors!A54,BackdoorsMoveset!A2:IR112,252,FALSE)+VLOOKUP(Backdoors!A55,BackdoorsMoveset!A2:IR112,252,FALSE)+VLOOKUP(Backdoors!A56,BackdoorsMoveset!A2:IR112,252,FALSE)+VLOOKUP(Backdoors!A57,BackdoorsMoveset!A2:IR112,252,FALSE)+VLOOKUP(Backdoors!A58,BackdoorsMoveset!A2:IR112,252,FALSE)+VLOOKUP(Backdoors!A59,BackdoorsMoveset!A2:IR112,252,FALSE)+VLOOKUP(Backdoors!A60,BackdoorsMoveset!A2:IR112,252,FALSE)+VLOOKUP(Backdoors!A61,BackdoorsMoveset!A2:IR112,252,FALSE))</f>
        <v>14.299999999999999</v>
      </c>
      <c r="BS53">
        <f>VLOOKUP(Calculator!B4,SavedBuildNumbers!A1:CO73,93,FALSE)</f>
        <v>0</v>
      </c>
      <c r="BU53" s="49">
        <f>IFERROR(ROUNDDOWN((IF((ROUND((VLOOKUP(tbMoveset!A53,tbMoveset!A2:F112,6,FALSE)+(IF(VLOOKUP(tbMoveset!A53,tbMoveset!A2:F112,6,FALSE)&gt;0,K41,0)))*(1+(IF(VLOOKUP(tbMoveset!A53,tbMoveset!A2:I112,9,FALSE)="Fire",VLOOKUP(Calculator!$E24,tbSkills!$AX3:$AZ9,3,FALSE),IF(VLOOKUP(tbMoveset!A53,tbMoveset!A2:I112,9,FALSE)="Water",VLOOKUP(Calculator!$E25,tbSkills!$AX3:$AZ9,3,FALSE),IF(VLOOKUP(BackdoorsMoveset!A53,tbMoveset!A2:I112,9,FALSE)="Thunder",VLOOKUP(Calculator!$E26,tbSkills!$AX3:$AZ9,3,FALSE),IF(VLOOKUP(tbMoveset!A53,tbMoveset!A2:I112,9,FALSE)="Ice",VLOOKUP(Calculator!$E27,tbSkills!$AX3:$AZ9,3,FALSE),IF(VLOOKUP(tbMoveset!A53,tbMoveset!A2:I112,9,FALSE)="Dragon",VLOOKUP(Calculator!$E28,tbSkills!$AX3:$AZ9,3,FALSE),0)))))/100))*AC7,0)+IF(VLOOKUP(tbMoveset!A53,tbMoveset!A2:F112,6,FALSE)&gt;0,IF(VLOOKUP(tbMoveset!A53,tbMoveset!A2:I112,9,FALSE)="Fire",VLOOKUP(Calculator!$E24,tbSkills!$AX3:$AY9,2,FALSE),IF(VLOOKUP(tbMoveset!A53,tbMoveset!A2:I112,9,FALSE)="Water",VLOOKUP(Calculator!$E25,tbSkills!$AX3:$AY9,2,FALSE),IF(VLOOKUP(tbMoveset!A53,tbMoveset!A2:I112,9,FALSE)="Thunder",VLOOKUP(Calculator!$E26,tbSkills!$AX3:$AY9,2,FALSE),IF(VLOOKUP(tbMoveset!A53,tbMoveset!A2:I112,9,FALSE)="Ice",VLOOKUP(Calculator!$E27,tbSkills!$AX3:$AY9,2,FALSE),IF(VLOOKUP(tbMoveset!A53,tbMoveset!A2:I112,9,FALSE)="Dragon",VLOOKUP(Calculator!$E28,tbSkills!$AX3:$AY9,2,FALSE),0))))),0)/10)&gt;=B34,B34,(ROUND((VLOOKUP(tbMoveset!A53,tbMoveset!A2:F112,6,FALSE)+(IF(VLOOKUP(tbMoveset!A53,tbMoveset!A2:F112,6,FALSE)&gt;0,K41,0)))*(1+(IF(VLOOKUP(tbMoveset!A53,tbMoveset!A2:I112,9,FALSE)="Fire",VLOOKUP(Calculator!$E24,tbSkills!$AX3:$AZ9,3,FALSE),IF(VLOOKUP(tbMoveset!A53,tbMoveset!A2:I112,9,FALSE)="Water",VLOOKUP(Calculator!$E25,tbSkills!$AX3:$AZ9,3,FALSE),IF(VLOOKUP(BackdoorsMoveset!A53,tbMoveset!A2:I112,9,FALSE)="Thunder",VLOOKUP(Calculator!$E26,tbSkills!$AX3:$AZ9,3,FALSE),IF(VLOOKUP(tbMoveset!A53,tbMoveset!A2:I112,9,FALSE)="Ice",VLOOKUP(Calculator!$E27,tbSkills!$AX3:$AZ9,3,FALSE),IF(VLOOKUP(tbMoveset!A53,tbMoveset!A2:I112,9,FALSE)="Dragon",VLOOKUP(Calculator!$E28,tbSkills!$AX3:$AZ9,3,FALSE),0)))))/100))*AC7,0)+IF(VLOOKUP(tbMoveset!A53,tbMoveset!A2:F112,6,FALSE)&gt;0,IF(VLOOKUP(tbMoveset!A53,tbMoveset!A2:I112,9,FALSE)="Fire",VLOOKUP(Calculator!$E24,tbSkills!$AX3:$AY9,2,FALSE),IF(VLOOKUP(tbMoveset!A53,tbMoveset!A2:I112,9,FALSE)="Water",VLOOKUP(Calculator!$E25,tbSkills!$AX3:$AY9,2,FALSE),IF(VLOOKUP(tbMoveset!A53,tbMoveset!A2:I112,9,FALSE)="Thunder",VLOOKUP(Calculator!$E26,tbSkills!$AX3:$AY9,2,FALSE),IF(VLOOKUP(tbMoveset!A53,tbMoveset!A2:I112,9,FALSE)="Ice",VLOOKUP(Calculator!$E27,tbSkills!$AX3:$AY9,2,FALSE),IF(VLOOKUP(tbMoveset!A53,tbMoveset!A2:I112,9,FALSE)="Dragon",VLOOKUP(Calculator!$E28,tbSkills!$AX3:$AY9,2,FALSE),0))))),0)/10))*N6)*AC6,0)*(B30/100),0)</f>
        <v>0</v>
      </c>
    </row>
    <row r="54" spans="1:73" x14ac:dyDescent="0.25">
      <c r="A54" s="67" t="str">
        <f>IFERROR(HLOOKUP(Calculator!B7,Combos!B3:K29,20,FALSE),"")</f>
        <v>Blade Dance (R5)</v>
      </c>
      <c r="J54" t="s">
        <v>1053</v>
      </c>
      <c r="K54">
        <f>IF(K53&gt;=((tbAwaken!K6*4)+tbAwaken!K7),(tbAwaken!K6*4)+tbAwaken!K7,K53)</f>
        <v>0</v>
      </c>
      <c r="AN54" s="49" t="str">
        <f>IFERROR(INDEX(tbHitzones!K:K,MATCH(ROWS(tbHitzones!$1:37),tbHitzones!K:K,0)),"")</f>
        <v/>
      </c>
      <c r="AO54" s="49">
        <f>IF(OR(B2="Light Bowgun",B2="Heavy Bowgun"),IF(AI12&gt;=0,1+(IF(Calculator!E40&gt;0,VLOOKUP(Calculator!E40,tbSkills!AI3:AJ5,2,FALSE),AL4)*(IF((AI12+IF(BA39&gt;=0.45,VLOOKUP(Calculator!E23,tbSkills!DH3:DI6,2,FALSE)+IF(AND(Calculator!B8=TRUE,BI39=TRUE),VLOOKUP(Calculator!E23,tbSkills!DH3:DJ6,3,FALSE),0),0))&gt;=100,100,(AI12+IF(BA39&gt;=0.45,VLOOKUP(Calculator!E23,tbSkills!DH3:DI6,2,FALSE)+IF(AND(Calculator!B8=TRUE,BI39=TRUE),VLOOKUP(Calculator!E23,tbSkills!DH3:DJ6,3,FALSE),0),0)))/100)),1),VLOOKUP(Backdoors!A37,BackdoorsMoveset!A2:IY112,259,FALSE)+VLOOKUP(Backdoors!A38,BackdoorsMoveset!A2:IY112,259,FALSE)+VLOOKUP(Backdoors!A39,BackdoorsMoveset!A2:IY112,259,FALSE)+VLOOKUP(Backdoors!A40,BackdoorsMoveset!A2:IY112,259,FALSE)+VLOOKUP(Backdoors!A41,BackdoorsMoveset!A2:IY112,259,FALSE)+VLOOKUP(Backdoors!A42,BackdoorsMoveset!A2:IY112,259,FALSE)+VLOOKUP(Backdoors!A43,BackdoorsMoveset!A2:IY112,259,FALSE)+VLOOKUP(Backdoors!A44,BackdoorsMoveset!A2:IY112,259,FALSE)+VLOOKUP(Backdoors!A45,BackdoorsMoveset!A2:IY112,259,FALSE)+VLOOKUP(Backdoors!A46,BackdoorsMoveset!A2:IY112,259,FALSE)+VLOOKUP(Backdoors!A47,BackdoorsMoveset!A2:IY112,259,FALSE)+VLOOKUP(Backdoors!A48,BackdoorsMoveset!A2:IY112,259,FALSE)+VLOOKUP(Backdoors!A49,BackdoorsMoveset!A2:IY112,259,FALSE)+VLOOKUP(Backdoors!A50,BackdoorsMoveset!A2:IY112,259,FALSE)+VLOOKUP(Backdoors!A51,BackdoorsMoveset!A2:IY112,259,FALSE)+VLOOKUP(Backdoors!A52,BackdoorsMoveset!A2:IY112,259,FALSE)+VLOOKUP(Backdoors!A53,BackdoorsMoveset!A2:IY112,259,FALSE)+VLOOKUP(Backdoors!A54,BackdoorsMoveset!A2:IY112,259,FALSE)+VLOOKUP(Backdoors!A55,BackdoorsMoveset!A2:IY112,259,FALSE)+VLOOKUP(Backdoors!A56,BackdoorsMoveset!A2:IY112,259,FALSE)+VLOOKUP(Backdoors!A57,BackdoorsMoveset!A2:IY112,259,FALSE)+VLOOKUP(Backdoors!A58,BackdoorsMoveset!A2:IY112,259,FALSE)+VLOOKUP(Backdoors!A59,BackdoorsMoveset!A2:IY112,259,FALSE)+VLOOKUP(Backdoors!A60,BackdoorsMoveset!A2:IY112,259,FALSE)+VLOOKUP(Backdoors!A61,BackdoorsMoveset!A2:IY112,259,FALSE))</f>
        <v>14.299999999999999</v>
      </c>
      <c r="AQ54" t="s">
        <v>574</v>
      </c>
      <c r="AR54">
        <f>IFERROR(INDEX(tbHitzones!K:K,MATCH(ROWS(tbHitzones!$1:5),tbHitzones!K:K,0)),"")</f>
        <v>5</v>
      </c>
      <c r="BS54">
        <f>VLOOKUP(Calculator!B4,SavedBuildNumbers!A1:CP73,94,FALSE)</f>
        <v>0</v>
      </c>
      <c r="BU54" s="49">
        <f>IFERROR(ROUNDDOWN((IF((ROUND((VLOOKUP(tbMoveset!A54,tbMoveset!A2:F112,6,FALSE)+(IF(VLOOKUP(tbMoveset!A54,tbMoveset!A2:F112,6,FALSE)&gt;0,K41,0)))*(1+(IF(VLOOKUP(tbMoveset!A54,tbMoveset!A2:I112,9,FALSE)="Fire",VLOOKUP(Calculator!$E24,tbSkills!$AX3:$AZ9,3,FALSE),IF(VLOOKUP(tbMoveset!A54,tbMoveset!A2:I112,9,FALSE)="Water",VLOOKUP(Calculator!$E25,tbSkills!$AX3:$AZ9,3,FALSE),IF(VLOOKUP(BackdoorsMoveset!A54,tbMoveset!A2:I112,9,FALSE)="Thunder",VLOOKUP(Calculator!$E26,tbSkills!$AX3:$AZ9,3,FALSE),IF(VLOOKUP(tbMoveset!A54,tbMoveset!A2:I112,9,FALSE)="Ice",VLOOKUP(Calculator!$E27,tbSkills!$AX3:$AZ9,3,FALSE),IF(VLOOKUP(tbMoveset!A54,tbMoveset!A2:I112,9,FALSE)="Dragon",VLOOKUP(Calculator!$E28,tbSkills!$AX3:$AZ9,3,FALSE),0)))))/100))*AC7,0)+IF(VLOOKUP(tbMoveset!A54,tbMoveset!A2:F112,6,FALSE)&gt;0,IF(VLOOKUP(tbMoveset!A54,tbMoveset!A2:I112,9,FALSE)="Fire",VLOOKUP(Calculator!$E24,tbSkills!$AX3:$AY9,2,FALSE),IF(VLOOKUP(tbMoveset!A54,tbMoveset!A2:I112,9,FALSE)="Water",VLOOKUP(Calculator!$E25,tbSkills!$AX3:$AY9,2,FALSE),IF(VLOOKUP(tbMoveset!A54,tbMoveset!A2:I112,9,FALSE)="Thunder",VLOOKUP(Calculator!$E26,tbSkills!$AX3:$AY9,2,FALSE),IF(VLOOKUP(tbMoveset!A54,tbMoveset!A2:I112,9,FALSE)="Ice",VLOOKUP(Calculator!$E27,tbSkills!$AX3:$AY9,2,FALSE),IF(VLOOKUP(tbMoveset!A54,tbMoveset!A2:I112,9,FALSE)="Dragon",VLOOKUP(Calculator!$E28,tbSkills!$AX3:$AY9,2,FALSE),0))))),0)/10)&gt;=B34,B34,(ROUND((VLOOKUP(tbMoveset!A54,tbMoveset!A2:F112,6,FALSE)+(IF(VLOOKUP(tbMoveset!A54,tbMoveset!A2:F112,6,FALSE)&gt;0,K41,0)))*(1+(IF(VLOOKUP(tbMoveset!A54,tbMoveset!A2:I112,9,FALSE)="Fire",VLOOKUP(Calculator!$E24,tbSkills!$AX3:$AZ9,3,FALSE),IF(VLOOKUP(tbMoveset!A54,tbMoveset!A2:I112,9,FALSE)="Water",VLOOKUP(Calculator!$E25,tbSkills!$AX3:$AZ9,3,FALSE),IF(VLOOKUP(BackdoorsMoveset!A54,tbMoveset!A2:I112,9,FALSE)="Thunder",VLOOKUP(Calculator!$E26,tbSkills!$AX3:$AZ9,3,FALSE),IF(VLOOKUP(tbMoveset!A54,tbMoveset!A2:I112,9,FALSE)="Ice",VLOOKUP(Calculator!$E27,tbSkills!$AX3:$AZ9,3,FALSE),IF(VLOOKUP(tbMoveset!A54,tbMoveset!A2:I112,9,FALSE)="Dragon",VLOOKUP(Calculator!$E28,tbSkills!$AX3:$AZ9,3,FALSE),0)))))/100))*AC7,0)+IF(VLOOKUP(tbMoveset!A54,tbMoveset!A2:F112,6,FALSE)&gt;0,IF(VLOOKUP(tbMoveset!A54,tbMoveset!A2:I112,9,FALSE)="Fire",VLOOKUP(Calculator!$E24,tbSkills!$AX3:$AY9,2,FALSE),IF(VLOOKUP(tbMoveset!A54,tbMoveset!A2:I112,9,FALSE)="Water",VLOOKUP(Calculator!$E25,tbSkills!$AX3:$AY9,2,FALSE),IF(VLOOKUP(tbMoveset!A54,tbMoveset!A2:I112,9,FALSE)="Thunder",VLOOKUP(Calculator!$E26,tbSkills!$AX3:$AY9,2,FALSE),IF(VLOOKUP(tbMoveset!A54,tbMoveset!A2:I112,9,FALSE)="Ice",VLOOKUP(Calculator!$E27,tbSkills!$AX3:$AY9,2,FALSE),IF(VLOOKUP(tbMoveset!A54,tbMoveset!A2:I112,9,FALSE)="Dragon",VLOOKUP(Calculator!$E28,tbSkills!$AX3:$AY9,2,FALSE),0))))),0)/10))*N6)*AC6,0)*(B30/100),0)</f>
        <v>0</v>
      </c>
    </row>
    <row r="55" spans="1:73" x14ac:dyDescent="0.25">
      <c r="A55" s="67" t="str">
        <f>IFERROR(HLOOKUP(Calculator!B7,Combos!B3:K29,21,FALSE),"")</f>
        <v>Blade Dance (L5)</v>
      </c>
      <c r="J55" t="s">
        <v>1027</v>
      </c>
      <c r="K55">
        <f>IF(VLOOKUP(Calculator!B2,tbWeapons!A2:AK271,37,FALSE)=TRUE,IF(OR(Calculator!B51=tbAwaken!M2,Calculator!B51=tbAwaken!M3,Calculator!B51=tbAwaken!M4,Calculator!B51=tbAwaken!M5,Calculator!B51=tbAwaken!M6,Calculator!B51=tbAwaken!M7),VLOOKUP(Calculator!B51,tbAwaken!M2:N7,2,FALSE),0)+IF(OR(Calculator!B52=tbAwaken!M2,Calculator!B52=tbAwaken!M3,Calculator!B52=tbAwaken!M4,Calculator!B52=tbAwaken!M5,Calculator!B52=tbAwaken!M6,Calculator!B52=tbAwaken!M7),VLOOKUP(Calculator!B52,tbAwaken!M2:N7,2,FALSE),0)+IF(OR(Calculator!B53=tbAwaken!M2,Calculator!B53=tbAwaken!M3,Calculator!B53=tbAwaken!M4,Calculator!B53=tbAwaken!M5,Calculator!B53=tbAwaken!M6,Calculator!B53=tbAwaken!M7),VLOOKUP(Calculator!B53,tbAwaken!M2:N7,2,FALSE),0)+IF(OR(Calculator!B54=tbAwaken!M2,Calculator!B54=tbAwaken!M3,Calculator!B54=tbAwaken!M4,Calculator!B54=tbAwaken!M5,Calculator!B54=tbAwaken!M6,Calculator!B54=tbAwaken!M7),VLOOKUP(Calculator!B54,tbAwaken!M2:N7,2,FALSE),0)+IF(OR(Calculator!B55=tbAwaken!M2,Calculator!B55=tbAwaken!M3,Calculator!B55=tbAwaken!M4,Calculator!B55=tbAwaken!M5,Calculator!B55=tbAwaken!M6,Calculator!B55=tbAwaken!M7),VLOOKUP(Calculator!B55,tbAwaken!M2:N7,2,FALSE),0),0)</f>
        <v>0</v>
      </c>
      <c r="AN55" s="49" t="str">
        <f>IFERROR(INDEX(tbHitzones!K:K,MATCH(ROWS(tbHitzones!$1:38),tbHitzones!K:K,0)),"")</f>
        <v/>
      </c>
      <c r="AO55" s="49">
        <f>IF(OR(B2="Light Bowgun",B2="Heavy Bowgun"),IF(AI12&gt;=0,1+(IF(Calculator!E40&gt;0,VLOOKUP(Calculator!E40,tbSkills!AI3:AJ5,2,FALSE),AL4)*(IF((AI12+IF(BA40&gt;=0.45,VLOOKUP(Calculator!E23,tbSkills!DH3:DI6,2,FALSE)+IF(AND(Calculator!B8=TRUE,BI40=TRUE),VLOOKUP(Calculator!E23,tbSkills!DH3:DJ6,3,FALSE),0),0))&gt;=100,100,(AI12+IF(BA40&gt;=0.45,VLOOKUP(Calculator!E23,tbSkills!DH3:DI6,2,FALSE)+IF(AND(Calculator!B8=TRUE,BI40=TRUE),VLOOKUP(Calculator!E23,tbSkills!DH3:DJ6,3,FALSE),0),0)))/100)),1),VLOOKUP(Backdoors!A37,BackdoorsMoveset!A2:JF112,266,FALSE)+VLOOKUP(Backdoors!A38,BackdoorsMoveset!A2:JF112,266,FALSE)+VLOOKUP(Backdoors!A39,BackdoorsMoveset!A2:JF112,266,FALSE)+VLOOKUP(Backdoors!A40,BackdoorsMoveset!A2:JF112,266,FALSE)+VLOOKUP(Backdoors!A41,BackdoorsMoveset!A2:JF112,266,FALSE)+VLOOKUP(Backdoors!A42,BackdoorsMoveset!A2:JF112,266,FALSE)+VLOOKUP(Backdoors!A43,BackdoorsMoveset!A2:JF112,266,FALSE)+VLOOKUP(Backdoors!A44,BackdoorsMoveset!A2:JF112,266,FALSE)+VLOOKUP(Backdoors!A45,BackdoorsMoveset!A2:JF112,266,FALSE)+VLOOKUP(Backdoors!A46,BackdoorsMoveset!A2:JF112,266,FALSE)+VLOOKUP(Backdoors!A47,BackdoorsMoveset!A2:JF112,266,FALSE)+VLOOKUP(Backdoors!A48,BackdoorsMoveset!A2:JF112,266,FALSE)+VLOOKUP(Backdoors!A49,BackdoorsMoveset!A2:JF112,266,FALSE)+VLOOKUP(Backdoors!A50,BackdoorsMoveset!A2:JF112,266,FALSE)+VLOOKUP(Backdoors!A51,BackdoorsMoveset!A2:JF112,266,FALSE)+VLOOKUP(Backdoors!A52,BackdoorsMoveset!A2:JF112,266,FALSE)+VLOOKUP(Backdoors!A53,BackdoorsMoveset!A2:JF112,266,FALSE)+VLOOKUP(Backdoors!A54,BackdoorsMoveset!A2:JF112,266,FALSE)+VLOOKUP(Backdoors!A55,BackdoorsMoveset!A2:JF112,266,FALSE)+VLOOKUP(Backdoors!A56,BackdoorsMoveset!A2:JF112,266,FALSE)+VLOOKUP(Backdoors!A57,BackdoorsMoveset!A2:JF112,266,FALSE)+VLOOKUP(Backdoors!A58,BackdoorsMoveset!A2:JF112,266,FALSE)+VLOOKUP(Backdoors!A59,BackdoorsMoveset!A2:JF112,266,FALSE)+VLOOKUP(Backdoors!A60,BackdoorsMoveset!A2:JF112,266,FALSE)+VLOOKUP(Backdoors!A61,BackdoorsMoveset!A2:JF112,266,FALSE))</f>
        <v>14.299999999999999</v>
      </c>
      <c r="AQ55" t="s">
        <v>234</v>
      </c>
      <c r="AR55">
        <f>IFERROR(N8/BN7,0)</f>
        <v>9.3245033112582778</v>
      </c>
      <c r="BS55">
        <f>VLOOKUP(Calculator!B4,SavedBuildNumbers!A1:CQ73,95,FALSE)</f>
        <v>0</v>
      </c>
      <c r="BU55" s="49">
        <f>IFERROR(ROUNDDOWN((IF((ROUND((VLOOKUP(tbMoveset!A55,tbMoveset!A2:F112,6,FALSE)+(IF(VLOOKUP(tbMoveset!A55,tbMoveset!A2:F112,6,FALSE)&gt;0,K41,0)))*(1+(IF(VLOOKUP(tbMoveset!A55,tbMoveset!A2:I112,9,FALSE)="Fire",VLOOKUP(Calculator!$E24,tbSkills!$AX3:$AZ9,3,FALSE),IF(VLOOKUP(tbMoveset!A55,tbMoveset!A2:I112,9,FALSE)="Water",VLOOKUP(Calculator!$E25,tbSkills!$AX3:$AZ9,3,FALSE),IF(VLOOKUP(BackdoorsMoveset!A55,tbMoveset!A2:I112,9,FALSE)="Thunder",VLOOKUP(Calculator!$E26,tbSkills!$AX3:$AZ9,3,FALSE),IF(VLOOKUP(tbMoveset!A55,tbMoveset!A2:I112,9,FALSE)="Ice",VLOOKUP(Calculator!$E27,tbSkills!$AX3:$AZ9,3,FALSE),IF(VLOOKUP(tbMoveset!A55,tbMoveset!A2:I112,9,FALSE)="Dragon",VLOOKUP(Calculator!$E28,tbSkills!$AX3:$AZ9,3,FALSE),0)))))/100))*AC7,0)+IF(VLOOKUP(tbMoveset!A55,tbMoveset!A2:F112,6,FALSE)&gt;0,IF(VLOOKUP(tbMoveset!A55,tbMoveset!A2:I112,9,FALSE)="Fire",VLOOKUP(Calculator!$E24,tbSkills!$AX3:$AY9,2,FALSE),IF(VLOOKUP(tbMoveset!A55,tbMoveset!A2:I112,9,FALSE)="Water",VLOOKUP(Calculator!$E25,tbSkills!$AX3:$AY9,2,FALSE),IF(VLOOKUP(tbMoveset!A55,tbMoveset!A2:I112,9,FALSE)="Thunder",VLOOKUP(Calculator!$E26,tbSkills!$AX3:$AY9,2,FALSE),IF(VLOOKUP(tbMoveset!A55,tbMoveset!A2:I112,9,FALSE)="Ice",VLOOKUP(Calculator!$E27,tbSkills!$AX3:$AY9,2,FALSE),IF(VLOOKUP(tbMoveset!A55,tbMoveset!A2:I112,9,FALSE)="Dragon",VLOOKUP(Calculator!$E28,tbSkills!$AX3:$AY9,2,FALSE),0))))),0)/10)&gt;=B34,B34,(ROUND((VLOOKUP(tbMoveset!A55,tbMoveset!A2:F112,6,FALSE)+(IF(VLOOKUP(tbMoveset!A55,tbMoveset!A2:F112,6,FALSE)&gt;0,K41,0)))*(1+(IF(VLOOKUP(tbMoveset!A55,tbMoveset!A2:I112,9,FALSE)="Fire",VLOOKUP(Calculator!$E24,tbSkills!$AX3:$AZ9,3,FALSE),IF(VLOOKUP(tbMoveset!A55,tbMoveset!A2:I112,9,FALSE)="Water",VLOOKUP(Calculator!$E25,tbSkills!$AX3:$AZ9,3,FALSE),IF(VLOOKUP(BackdoorsMoveset!A55,tbMoveset!A2:I112,9,FALSE)="Thunder",VLOOKUP(Calculator!$E26,tbSkills!$AX3:$AZ9,3,FALSE),IF(VLOOKUP(tbMoveset!A55,tbMoveset!A2:I112,9,FALSE)="Ice",VLOOKUP(Calculator!$E27,tbSkills!$AX3:$AZ9,3,FALSE),IF(VLOOKUP(tbMoveset!A55,tbMoveset!A2:I112,9,FALSE)="Dragon",VLOOKUP(Calculator!$E28,tbSkills!$AX3:$AZ9,3,FALSE),0)))))/100))*AC7,0)+IF(VLOOKUP(tbMoveset!A55,tbMoveset!A2:F112,6,FALSE)&gt;0,IF(VLOOKUP(tbMoveset!A55,tbMoveset!A2:I112,9,FALSE)="Fire",VLOOKUP(Calculator!$E24,tbSkills!$AX3:$AY9,2,FALSE),IF(VLOOKUP(tbMoveset!A55,tbMoveset!A2:I112,9,FALSE)="Water",VLOOKUP(Calculator!$E25,tbSkills!$AX3:$AY9,2,FALSE),IF(VLOOKUP(tbMoveset!A55,tbMoveset!A2:I112,9,FALSE)="Thunder",VLOOKUP(Calculator!$E26,tbSkills!$AX3:$AY9,2,FALSE),IF(VLOOKUP(tbMoveset!A55,tbMoveset!A2:I112,9,FALSE)="Ice",VLOOKUP(Calculator!$E27,tbSkills!$AX3:$AY9,2,FALSE),IF(VLOOKUP(tbMoveset!A55,tbMoveset!A2:I112,9,FALSE)="Dragon",VLOOKUP(Calculator!$E28,tbSkills!$AX3:$AY9,2,FALSE),0))))),0)/10))*N6)*AC6,0)*(B30/100),0)</f>
        <v>0</v>
      </c>
    </row>
    <row r="56" spans="1:73" x14ac:dyDescent="0.25">
      <c r="A56" s="67" t="str">
        <f>IFERROR(HLOOKUP(Calculator!B7,Combos!B3:K29,22,FALSE),"")</f>
        <v>Blade Dance (L6)</v>
      </c>
      <c r="J56" t="s">
        <v>908</v>
      </c>
      <c r="K56">
        <f>IF(K55&gt;=((tbAwaken!N6*4)+tbAwaken!N7),(tbAwaken!N6*4)+tbAwaken!N7,K55)</f>
        <v>0</v>
      </c>
      <c r="AN56" s="49" t="str">
        <f>IFERROR(INDEX(tbHitzones!K:K,MATCH(ROWS(tbHitzones!$1:39),tbHitzones!K:K,0)),"")</f>
        <v/>
      </c>
      <c r="AO56" s="49">
        <f>IF(OR(B2="Light Bowgun",B2="Heavy Bowgun"),IF(AI12&gt;=0,1+(IF(Calculator!E40&gt;0,VLOOKUP(Calculator!E40,tbSkills!AI3:AJ5,2,FALSE),AL4)*(IF((AI12+IF(BA41&gt;=0.45,VLOOKUP(Calculator!E23,tbSkills!DH3:DI6,2,FALSE)+IF(AND(Calculator!B8=TRUE,BI41=TRUE),VLOOKUP(Calculator!E23,tbSkills!DH3:DJ6,3,FALSE),0),0))&gt;=100,100,(AI12+IF(BA41&gt;=0.45,VLOOKUP(Calculator!E23,tbSkills!DH3:DI6,2,FALSE)+IF(AND(Calculator!B8=TRUE,BI41=TRUE),VLOOKUP(Calculator!E23,tbSkills!DH3:DJ6,3,FALSE),0),0)))/100)),1),VLOOKUP(Backdoors!A37,BackdoorsMoveset!A2:JM112,273,FALSE)+VLOOKUP(Backdoors!A38,BackdoorsMoveset!A2:JM112,273,FALSE)+VLOOKUP(Backdoors!A39,BackdoorsMoveset!A2:JM112,273,FALSE)+VLOOKUP(Backdoors!A40,BackdoorsMoveset!A2:JM112,273,FALSE)+VLOOKUP(Backdoors!A41,BackdoorsMoveset!A2:JM112,273,FALSE)+VLOOKUP(Backdoors!A42,BackdoorsMoveset!A2:JM112,273,FALSE)+VLOOKUP(Backdoors!A43,BackdoorsMoveset!A2:JM112,273,FALSE)+VLOOKUP(Backdoors!A44,BackdoorsMoveset!A2:JM112,273,FALSE)+VLOOKUP(Backdoors!A45,BackdoorsMoveset!A2:JM112,273,FALSE)+VLOOKUP(Backdoors!A46,BackdoorsMoveset!A2:JM112,273,FALSE)+VLOOKUP(Backdoors!A47,BackdoorsMoveset!A2:JM112,273,FALSE)+VLOOKUP(Backdoors!A48,BackdoorsMoveset!A2:JM112,273,FALSE)+VLOOKUP(Backdoors!A49,BackdoorsMoveset!A2:JM112,273,FALSE)+VLOOKUP(Backdoors!A50,BackdoorsMoveset!A2:JM112,273,FALSE)+VLOOKUP(Backdoors!A51,BackdoorsMoveset!A2:JM112,273,FALSE)+VLOOKUP(Backdoors!A52,BackdoorsMoveset!A2:JM112,273,FALSE)+VLOOKUP(Backdoors!A53,BackdoorsMoveset!A2:JM112,273,FALSE)+VLOOKUP(Backdoors!A54,BackdoorsMoveset!A2:JM112,273,FALSE)+VLOOKUP(Backdoors!A55,BackdoorsMoveset!A2:JM112,273,FALSE)+VLOOKUP(Backdoors!A56,BackdoorsMoveset!A2:JM112,273,FALSE)+VLOOKUP(Backdoors!A57,BackdoorsMoveset!A2:JM112,273,FALSE)+VLOOKUP(Backdoors!A58,BackdoorsMoveset!A2:JM112,273,FALSE)+VLOOKUP(Backdoors!A59,BackdoorsMoveset!A2:JM112,273,FALSE)+VLOOKUP(Backdoors!A60,BackdoorsMoveset!A2:JM112,273,FALSE)+VLOOKUP(Backdoors!A61,BackdoorsMoveset!A2:JM112,273,FALSE))</f>
        <v>14.299999999999999</v>
      </c>
      <c r="AQ56" t="s">
        <v>572</v>
      </c>
      <c r="AR56">
        <f>AO6*AO22</f>
        <v>0</v>
      </c>
      <c r="BS56">
        <f>VLOOKUP(Calculator!B4,SavedBuildNumbers!A1:CR73,96,FALSE)</f>
        <v>0</v>
      </c>
      <c r="BU56" s="49">
        <f>IFERROR(ROUNDDOWN((IF((ROUND((VLOOKUP(tbMoveset!A56,tbMoveset!A2:F112,6,FALSE)+(IF(VLOOKUP(tbMoveset!A56,tbMoveset!A2:F112,6,FALSE)&gt;0,K41,0)))*(1+(IF(VLOOKUP(tbMoveset!A56,tbMoveset!A2:I112,9,FALSE)="Fire",VLOOKUP(Calculator!$E24,tbSkills!$AX3:$AZ9,3,FALSE),IF(VLOOKUP(tbMoveset!A56,tbMoveset!A2:I112,9,FALSE)="Water",VLOOKUP(Calculator!$E25,tbSkills!$AX3:$AZ9,3,FALSE),IF(VLOOKUP(BackdoorsMoveset!A56,tbMoveset!A2:I112,9,FALSE)="Thunder",VLOOKUP(Calculator!$E26,tbSkills!$AX3:$AZ9,3,FALSE),IF(VLOOKUP(tbMoveset!A56,tbMoveset!A2:I112,9,FALSE)="Ice",VLOOKUP(Calculator!$E27,tbSkills!$AX3:$AZ9,3,FALSE),IF(VLOOKUP(tbMoveset!A56,tbMoveset!A2:I112,9,FALSE)="Dragon",VLOOKUP(Calculator!$E28,tbSkills!$AX3:$AZ9,3,FALSE),0)))))/100))*AC7,0)+IF(VLOOKUP(tbMoveset!A56,tbMoveset!A2:F112,6,FALSE)&gt;0,IF(VLOOKUP(tbMoveset!A56,tbMoveset!A2:I112,9,FALSE)="Fire",VLOOKUP(Calculator!$E24,tbSkills!$AX3:$AY9,2,FALSE),IF(VLOOKUP(tbMoveset!A56,tbMoveset!A2:I112,9,FALSE)="Water",VLOOKUP(Calculator!$E25,tbSkills!$AX3:$AY9,2,FALSE),IF(VLOOKUP(tbMoveset!A56,tbMoveset!A2:I112,9,FALSE)="Thunder",VLOOKUP(Calculator!$E26,tbSkills!$AX3:$AY9,2,FALSE),IF(VLOOKUP(tbMoveset!A56,tbMoveset!A2:I112,9,FALSE)="Ice",VLOOKUP(Calculator!$E27,tbSkills!$AX3:$AY9,2,FALSE),IF(VLOOKUP(tbMoveset!A56,tbMoveset!A2:I112,9,FALSE)="Dragon",VLOOKUP(Calculator!$E28,tbSkills!$AX3:$AY9,2,FALSE),0))))),0)/10)&gt;=B34,B34,(ROUND((VLOOKUP(tbMoveset!A56,tbMoveset!A2:F112,6,FALSE)+(IF(VLOOKUP(tbMoveset!A56,tbMoveset!A2:F112,6,FALSE)&gt;0,K41,0)))*(1+(IF(VLOOKUP(tbMoveset!A56,tbMoveset!A2:I112,9,FALSE)="Fire",VLOOKUP(Calculator!$E24,tbSkills!$AX3:$AZ9,3,FALSE),IF(VLOOKUP(tbMoveset!A56,tbMoveset!A2:I112,9,FALSE)="Water",VLOOKUP(Calculator!$E25,tbSkills!$AX3:$AZ9,3,FALSE),IF(VLOOKUP(BackdoorsMoveset!A56,tbMoveset!A2:I112,9,FALSE)="Thunder",VLOOKUP(Calculator!$E26,tbSkills!$AX3:$AZ9,3,FALSE),IF(VLOOKUP(tbMoveset!A56,tbMoveset!A2:I112,9,FALSE)="Ice",VLOOKUP(Calculator!$E27,tbSkills!$AX3:$AZ9,3,FALSE),IF(VLOOKUP(tbMoveset!A56,tbMoveset!A2:I112,9,FALSE)="Dragon",VLOOKUP(Calculator!$E28,tbSkills!$AX3:$AZ9,3,FALSE),0)))))/100))*AC7,0)+IF(VLOOKUP(tbMoveset!A56,tbMoveset!A2:F112,6,FALSE)&gt;0,IF(VLOOKUP(tbMoveset!A56,tbMoveset!A2:I112,9,FALSE)="Fire",VLOOKUP(Calculator!$E24,tbSkills!$AX3:$AY9,2,FALSE),IF(VLOOKUP(tbMoveset!A56,tbMoveset!A2:I112,9,FALSE)="Water",VLOOKUP(Calculator!$E25,tbSkills!$AX3:$AY9,2,FALSE),IF(VLOOKUP(tbMoveset!A56,tbMoveset!A2:I112,9,FALSE)="Thunder",VLOOKUP(Calculator!$E26,tbSkills!$AX3:$AY9,2,FALSE),IF(VLOOKUP(tbMoveset!A56,tbMoveset!A2:I112,9,FALSE)="Ice",VLOOKUP(Calculator!$E27,tbSkills!$AX3:$AY9,2,FALSE),IF(VLOOKUP(tbMoveset!A56,tbMoveset!A2:I112,9,FALSE)="Dragon",VLOOKUP(Calculator!$E28,tbSkills!$AX3:$AY9,2,FALSE),0))))),0)/10))*N6)*AC6,0)*(B30/100),0)</f>
        <v>0</v>
      </c>
    </row>
    <row r="57" spans="1:73" x14ac:dyDescent="0.25">
      <c r="A57" s="67" t="str">
        <f>IFERROR(HLOOKUP(Calculator!B7,Combos!B3:K29,23,FALSE),"")</f>
        <v>Blade Dance (R6)</v>
      </c>
      <c r="J57" t="s">
        <v>1026</v>
      </c>
      <c r="K57">
        <f>IF(VLOOKUP(Calculator!B2,tbWeapons!A2:AK271,37,FALSE)=TRUE,IF(OR(Calculator!B51=tbAwaken!P2,Calculator!B51=tbAwaken!P3,Calculator!B51=tbAwaken!P4,Calculator!B51=tbAwaken!P5),VLOOKUP(Calculator!B51,tbAwaken!P2:Q5,2,FALSE),0)+IF(OR(Calculator!B52=tbAwaken!P2,Calculator!B52=tbAwaken!P3,Calculator!B52=tbAwaken!P4,Calculator!B52=tbAwaken!P5),VLOOKUP(Calculator!B52,tbAwaken!P2:Q5,2,FALSE),0)+IF(OR(Calculator!B53=tbAwaken!P2,Calculator!B53=tbAwaken!P3,Calculator!B53=tbAwaken!P4,Calculator!B53=tbAwaken!P5),VLOOKUP(Calculator!B53,tbAwaken!P2:Q5,2,FALSE),0)+IF(OR(Calculator!B54=tbAwaken!P2,Calculator!B54=tbAwaken!P3,Calculator!B54=tbAwaken!P4,Calculator!B54=tbAwaken!P5),VLOOKUP(Calculator!B54,tbAwaken!P2:Q5,2,FALSE),0)+IF(OR(Calculator!B55=tbAwaken!P2,Calculator!B55=tbAwaken!P3,Calculator!B55=tbAwaken!P4,Calculator!B55=tbAwaken!P5),VLOOKUP(Calculator!B55,tbAwaken!P2:Q5,2,FALSE),0),0)</f>
        <v>0</v>
      </c>
      <c r="AN57" s="49" t="str">
        <f>IFERROR(INDEX(tbHitzones!K:K,MATCH(ROWS(tbHitzones!$1:40),tbHitzones!K:K,0)),"")</f>
        <v/>
      </c>
      <c r="AO57" s="49">
        <f>IF(OR(B2="Light Bowgun",B2="Heavy Bowgun"),IF(AI12&gt;=0,1+(IF(Calculator!E40&gt;0,VLOOKUP(Calculator!E40,tbSkills!AI3:AJ5,2,FALSE),AL4)*(IF((AI12+IF(BA42&gt;=0.45,VLOOKUP(Calculator!E23,tbSkills!DH3:DI6,2,FALSE)+IF(AND(Calculator!B8=TRUE,BI42=TRUE),VLOOKUP(Calculator!E23,tbSkills!DH3:DJ6,3,FALSE),0),0))&gt;=100,100,(AI12+IF(BA42&gt;=0.45,VLOOKUP(Calculator!E23,tbSkills!DH3:DI6,2,FALSE)+IF(AND(Calculator!B8=TRUE,BI42=TRUE),VLOOKUP(Calculator!E23,tbSkills!DH3:DJ6,3,FALSE),0),0)))/100)),1),VLOOKUP(Backdoors!A37,BackdoorsMoveset!A2:JT112,280,FALSE)+VLOOKUP(Backdoors!A38,BackdoorsMoveset!A2:JT112,280,FALSE)+VLOOKUP(Backdoors!A39,BackdoorsMoveset!A2:JT112,280,FALSE)+VLOOKUP(Backdoors!A40,BackdoorsMoveset!A2:JT112,280,FALSE)+VLOOKUP(Backdoors!A41,BackdoorsMoveset!A2:JT112,280,FALSE)+VLOOKUP(Backdoors!A42,BackdoorsMoveset!A2:JT112,280,FALSE)+VLOOKUP(Backdoors!A43,BackdoorsMoveset!A2:JT112,280,FALSE)+VLOOKUP(Backdoors!A44,BackdoorsMoveset!A2:JT112,280,FALSE)+VLOOKUP(Backdoors!A45,BackdoorsMoveset!A2:JT112,280,FALSE)+VLOOKUP(Backdoors!A46,BackdoorsMoveset!A2:JT112,280,FALSE)+VLOOKUP(Backdoors!A47,BackdoorsMoveset!A2:JT112,280,FALSE)+VLOOKUP(Backdoors!A48,BackdoorsMoveset!A2:JT112,280,FALSE)+VLOOKUP(Backdoors!A49,BackdoorsMoveset!A2:JT112,280,FALSE)+VLOOKUP(Backdoors!A50,BackdoorsMoveset!A2:JT112,280,FALSE)+VLOOKUP(Backdoors!A51,BackdoorsMoveset!A2:JT112,280,FALSE)+VLOOKUP(Backdoors!A52,BackdoorsMoveset!A2:JT112,280,FALSE)+VLOOKUP(Backdoors!A53,BackdoorsMoveset!A2:JT112,280,FALSE)+VLOOKUP(Backdoors!A54,BackdoorsMoveset!A2:JT112,280,FALSE)+VLOOKUP(Backdoors!A55,BackdoorsMoveset!A2:JT112,280,FALSE)+VLOOKUP(Backdoors!A56,BackdoorsMoveset!A2:JT112,280,FALSE)+VLOOKUP(Backdoors!A57,BackdoorsMoveset!A2:JT112,280,FALSE)+VLOOKUP(Backdoors!A58,BackdoorsMoveset!A2:JT112,280,FALSE)+VLOOKUP(Backdoors!A59,BackdoorsMoveset!A2:JT112,280,FALSE)+VLOOKUP(Backdoors!A60,BackdoorsMoveset!A2:JT112,280,FALSE)+VLOOKUP(Backdoors!A61,BackdoorsMoveset!A2:JT112,280,FALSE))</f>
        <v>14.299999999999999</v>
      </c>
      <c r="AQ57" t="s">
        <v>190</v>
      </c>
      <c r="AR57">
        <f>AR55*AR56</f>
        <v>0</v>
      </c>
      <c r="BS57">
        <f>VLOOKUP(Calculator!B4,SavedBuildNumbers!A1:CS73,97,FALSE)</f>
        <v>0</v>
      </c>
      <c r="BU57" s="49">
        <f>IFERROR(ROUNDDOWN((IF((ROUND((VLOOKUP(tbMoveset!A57,tbMoveset!A2:F112,6,FALSE)+(IF(VLOOKUP(tbMoveset!A57,tbMoveset!A2:F112,6,FALSE)&gt;0,K41,0)))*(1+(IF(VLOOKUP(tbMoveset!A57,tbMoveset!A2:I112,9,FALSE)="Fire",VLOOKUP(Calculator!$E24,tbSkills!$AX3:$AZ9,3,FALSE),IF(VLOOKUP(tbMoveset!A57,tbMoveset!A2:I112,9,FALSE)="Water",VLOOKUP(Calculator!$E25,tbSkills!$AX3:$AZ9,3,FALSE),IF(VLOOKUP(BackdoorsMoveset!A57,tbMoveset!A2:I112,9,FALSE)="Thunder",VLOOKUP(Calculator!$E26,tbSkills!$AX3:$AZ9,3,FALSE),IF(VLOOKUP(tbMoveset!A57,tbMoveset!A2:I112,9,FALSE)="Ice",VLOOKUP(Calculator!$E27,tbSkills!$AX3:$AZ9,3,FALSE),IF(VLOOKUP(tbMoveset!A57,tbMoveset!A2:I112,9,FALSE)="Dragon",VLOOKUP(Calculator!$E28,tbSkills!$AX3:$AZ9,3,FALSE),0)))))/100))*AC7,0)+IF(VLOOKUP(tbMoveset!A57,tbMoveset!A2:F112,6,FALSE)&gt;0,IF(VLOOKUP(tbMoveset!A57,tbMoveset!A2:I112,9,FALSE)="Fire",VLOOKUP(Calculator!$E24,tbSkills!$AX3:$AY9,2,FALSE),IF(VLOOKUP(tbMoveset!A57,tbMoveset!A2:I112,9,FALSE)="Water",VLOOKUP(Calculator!$E25,tbSkills!$AX3:$AY9,2,FALSE),IF(VLOOKUP(tbMoveset!A57,tbMoveset!A2:I112,9,FALSE)="Thunder",VLOOKUP(Calculator!$E26,tbSkills!$AX3:$AY9,2,FALSE),IF(VLOOKUP(tbMoveset!A57,tbMoveset!A2:I112,9,FALSE)="Ice",VLOOKUP(Calculator!$E27,tbSkills!$AX3:$AY9,2,FALSE),IF(VLOOKUP(tbMoveset!A57,tbMoveset!A2:I112,9,FALSE)="Dragon",VLOOKUP(Calculator!$E28,tbSkills!$AX3:$AY9,2,FALSE),0))))),0)/10)&gt;=B34,B34,(ROUND((VLOOKUP(tbMoveset!A57,tbMoveset!A2:F112,6,FALSE)+(IF(VLOOKUP(tbMoveset!A57,tbMoveset!A2:F112,6,FALSE)&gt;0,K41,0)))*(1+(IF(VLOOKUP(tbMoveset!A57,tbMoveset!A2:I112,9,FALSE)="Fire",VLOOKUP(Calculator!$E24,tbSkills!$AX3:$AZ9,3,FALSE),IF(VLOOKUP(tbMoveset!A57,tbMoveset!A2:I112,9,FALSE)="Water",VLOOKUP(Calculator!$E25,tbSkills!$AX3:$AZ9,3,FALSE),IF(VLOOKUP(BackdoorsMoveset!A57,tbMoveset!A2:I112,9,FALSE)="Thunder",VLOOKUP(Calculator!$E26,tbSkills!$AX3:$AZ9,3,FALSE),IF(VLOOKUP(tbMoveset!A57,tbMoveset!A2:I112,9,FALSE)="Ice",VLOOKUP(Calculator!$E27,tbSkills!$AX3:$AZ9,3,FALSE),IF(VLOOKUP(tbMoveset!A57,tbMoveset!A2:I112,9,FALSE)="Dragon",VLOOKUP(Calculator!$E28,tbSkills!$AX3:$AZ9,3,FALSE),0)))))/100))*AC7,0)+IF(VLOOKUP(tbMoveset!A57,tbMoveset!A2:F112,6,FALSE)&gt;0,IF(VLOOKUP(tbMoveset!A57,tbMoveset!A2:I112,9,FALSE)="Fire",VLOOKUP(Calculator!$E24,tbSkills!$AX3:$AY9,2,FALSE),IF(VLOOKUP(tbMoveset!A57,tbMoveset!A2:I112,9,FALSE)="Water",VLOOKUP(Calculator!$E25,tbSkills!$AX3:$AY9,2,FALSE),IF(VLOOKUP(tbMoveset!A57,tbMoveset!A2:I112,9,FALSE)="Thunder",VLOOKUP(Calculator!$E26,tbSkills!$AX3:$AY9,2,FALSE),IF(VLOOKUP(tbMoveset!A57,tbMoveset!A2:I112,9,FALSE)="Ice",VLOOKUP(Calculator!$E27,tbSkills!$AX3:$AY9,2,FALSE),IF(VLOOKUP(tbMoveset!A57,tbMoveset!A2:I112,9,FALSE)="Dragon",VLOOKUP(Calculator!$E28,tbSkills!$AX3:$AY9,2,FALSE),0))))),0)/10))*N6)*AC6,0)*(B30/100),0)</f>
        <v>0</v>
      </c>
    </row>
    <row r="58" spans="1:73" x14ac:dyDescent="0.25">
      <c r="A58" s="67" t="str">
        <f>IFERROR(HLOOKUP(Calculator!B7,Combos!B3:K29,24,FALSE),"")</f>
        <v>Blade Dance (L7)</v>
      </c>
      <c r="J58" t="s">
        <v>850</v>
      </c>
      <c r="K58">
        <f>IF(K57&gt;4,4,K57)</f>
        <v>0</v>
      </c>
      <c r="AN58" s="49" t="str">
        <f>IFERROR(INDEX(tbHitzones!K:K,MATCH(ROWS(tbHitzones!$1:41),tbHitzones!K:K,0)),"")</f>
        <v/>
      </c>
      <c r="AO58" s="49">
        <f>IF(OR(B2="Light Bowgun",B2="Heavy Bowgun"),IF(AI12&gt;=0,1+(IF(Calculator!E40&gt;0,VLOOKUP(Calculator!E40,tbSkills!AI3:AJ5,2,FALSE),AL4)*(IF((AI12+IF(BA43&gt;=0.45,VLOOKUP(Calculator!E23,tbSkills!DH3:DI6,2,FALSE)+IF(AND(Calculator!B8=TRUE,BI43=TRUE),VLOOKUP(Calculator!E23,tbSkills!DH3:DJ6,3,FALSE),0),0))&gt;=100,100,(AI12+IF(BA43&gt;=0.45,VLOOKUP(Calculator!E23,tbSkills!DH3:DI6,2,FALSE)+IF(AND(Calculator!B8=TRUE,BI43=TRUE),VLOOKUP(Calculator!E23,tbSkills!DH3:DJ6,3,FALSE),0),0)))/100)),1),VLOOKUP(Backdoors!A37,BackdoorsMoveset!A2:KA112,287,FALSE)+VLOOKUP(Backdoors!A38,BackdoorsMoveset!A2:KA112,287,FALSE)+VLOOKUP(Backdoors!A39,BackdoorsMoveset!A2:KA112,287,FALSE)+VLOOKUP(Backdoors!A40,BackdoorsMoveset!A2:KA112,287,FALSE)+VLOOKUP(Backdoors!A41,BackdoorsMoveset!A2:KA112,287,FALSE)+VLOOKUP(Backdoors!A42,BackdoorsMoveset!A2:KA112,287,FALSE)+VLOOKUP(Backdoors!A43,BackdoorsMoveset!A2:KA112,287,FALSE)+VLOOKUP(Backdoors!A44,BackdoorsMoveset!A2:KA112,287,FALSE)+VLOOKUP(Backdoors!A45,BackdoorsMoveset!A2:KA112,287,FALSE)+VLOOKUP(Backdoors!A46,BackdoorsMoveset!A2:KA112,287,FALSE)+VLOOKUP(Backdoors!A47,BackdoorsMoveset!A2:KA112,287,FALSE)+VLOOKUP(Backdoors!A48,BackdoorsMoveset!A2:KA112,287,FALSE)+VLOOKUP(Backdoors!A49,BackdoorsMoveset!A2:KA112,287,FALSE)+VLOOKUP(Backdoors!A50,BackdoorsMoveset!A2:KA112,287,FALSE)+VLOOKUP(Backdoors!A51,BackdoorsMoveset!A2:KA112,287,FALSE)+VLOOKUP(Backdoors!A52,BackdoorsMoveset!A2:KA112,287,FALSE)+VLOOKUP(Backdoors!A53,BackdoorsMoveset!A2:KA112,287,FALSE)+VLOOKUP(Backdoors!A54,BackdoorsMoveset!A2:KA112,287,FALSE)+VLOOKUP(Backdoors!A55,BackdoorsMoveset!A2:KA112,287,FALSE)+VLOOKUP(Backdoors!A56,BackdoorsMoveset!A2:KA112,287,FALSE)+VLOOKUP(Backdoors!A57,BackdoorsMoveset!A2:KA112,287,FALSE)+VLOOKUP(Backdoors!A58,BackdoorsMoveset!A2:KA112,287,FALSE)+VLOOKUP(Backdoors!A59,BackdoorsMoveset!A2:KA112,287,FALSE)+VLOOKUP(Backdoors!A60,BackdoorsMoveset!A2:KA112,287,FALSE)+VLOOKUP(Backdoors!A61,BackdoorsMoveset!A2:KA112,287,FALSE))</f>
        <v>14.299999999999999</v>
      </c>
      <c r="AQ58" t="s">
        <v>235</v>
      </c>
      <c r="AR58">
        <f>IF($AR57&gt;=$AU51,50,IF($AR57&gt;=$AU50,49,IF($AR57&gt;=$AU49,48,IF($AR57&gt;=$AU48,47,IF($AR57&gt;=$AU47,46,IF($AR57&gt;=$AU46,45,IF($AR57&gt;=$AU45,44,IF($AR57&gt;=$AU44,43,IF($AR57&gt;=$AU43,42,IF($AR57&gt;=$AU42,41,IF($AR57&gt;=$AU41,40,IF($AR57&gt;=$AU40,39,IF($AR57&gt;=$AU39,38,IF($AR57&gt;=$AU38,37,IF($AR57&gt;=$AU37,36,IF($AR57&gt;=$AU36,35,IF($AR57&gt;=$AU35,34,IF($AR57&gt;=$AU34,33,IF($AR57&gt;=$AU33,32,IF($AR57&gt;=$AU32,31,IF($AR57&gt;=$AU31,30,IF($AR57&gt;=$AU30,29,IF($AR57&gt;=$AU29,28,IF($AR57&gt;=$AU28,27,IF($AR57&gt;=$AU27,26,IF($AR57&gt;=$AU26,25,IF($AR57&gt;=$AU25,24,IF($AR57&gt;=$AU24,23,IF($AR57&gt;=$AU23,22,IF($AR57&gt;=$AU22,21,IF($AR57&gt;=$AU21,20,IF($AR57&gt;=$AU20,19,IF($AR57&gt;=$AU19,18,IF($AR57&gt;=$AU18,17,IF($AR57&gt;=$AU17,16,IF($AR57&gt;=$AU16,15,IF($AR57&gt;=$AU15,14,IF($AR57&gt;=$AU14,13,IF($AR57&gt;=$AU13,12,IF($AR57&gt;=$AU12,11,IF($AR57&gt;=$AU11,10,IF($AR57&gt;=$AU10,9,IF($AR57&gt;=$AU9,8,IF($AR57&gt;=$AU8,7,IF($AR57&gt;=$AU7,6,IF($AR57&gt;=$AU6,5,IF($AR57&gt;=$AU5,4,IF($AR57&gt;=$AU4,3,IF($AR57&gt;=$AU3,2,IF($AR57&gt;=$AU2,1,0))))))))))))))))))))))))))))))))))))))))))))))))))</f>
        <v>0</v>
      </c>
      <c r="BS58">
        <f>VLOOKUP(Calculator!B4,SavedBuildNumbers!A1:CT73,98,FALSE)</f>
        <v>0</v>
      </c>
      <c r="BU58" s="49">
        <f>IFERROR(ROUNDDOWN((IF((ROUND((VLOOKUP(tbMoveset!A58,tbMoveset!A2:F112,6,FALSE)+(IF(VLOOKUP(tbMoveset!A58,tbMoveset!A2:F112,6,FALSE)&gt;0,K41,0)))*(1+(IF(VLOOKUP(tbMoveset!A58,tbMoveset!A2:I112,9,FALSE)="Fire",VLOOKUP(Calculator!$E24,tbSkills!$AX3:$AZ9,3,FALSE),IF(VLOOKUP(tbMoveset!A58,tbMoveset!A2:I112,9,FALSE)="Water",VLOOKUP(Calculator!$E25,tbSkills!$AX3:$AZ9,3,FALSE),IF(VLOOKUP(BackdoorsMoveset!A58,tbMoveset!A2:I112,9,FALSE)="Thunder",VLOOKUP(Calculator!$E26,tbSkills!$AX3:$AZ9,3,FALSE),IF(VLOOKUP(tbMoveset!A58,tbMoveset!A2:I112,9,FALSE)="Ice",VLOOKUP(Calculator!$E27,tbSkills!$AX3:$AZ9,3,FALSE),IF(VLOOKUP(tbMoveset!A58,tbMoveset!A2:I112,9,FALSE)="Dragon",VLOOKUP(Calculator!$E28,tbSkills!$AX3:$AZ9,3,FALSE),0)))))/100))*AC7,0)+IF(VLOOKUP(tbMoveset!A58,tbMoveset!A2:F112,6,FALSE)&gt;0,IF(VLOOKUP(tbMoveset!A58,tbMoveset!A2:I112,9,FALSE)="Fire",VLOOKUP(Calculator!$E24,tbSkills!$AX3:$AY9,2,FALSE),IF(VLOOKUP(tbMoveset!A58,tbMoveset!A2:I112,9,FALSE)="Water",VLOOKUP(Calculator!$E25,tbSkills!$AX3:$AY9,2,FALSE),IF(VLOOKUP(tbMoveset!A58,tbMoveset!A2:I112,9,FALSE)="Thunder",VLOOKUP(Calculator!$E26,tbSkills!$AX3:$AY9,2,FALSE),IF(VLOOKUP(tbMoveset!A58,tbMoveset!A2:I112,9,FALSE)="Ice",VLOOKUP(Calculator!$E27,tbSkills!$AX3:$AY9,2,FALSE),IF(VLOOKUP(tbMoveset!A58,tbMoveset!A2:I112,9,FALSE)="Dragon",VLOOKUP(Calculator!$E28,tbSkills!$AX3:$AY9,2,FALSE),0))))),0)/10)&gt;=B34,B34,(ROUND((VLOOKUP(tbMoveset!A58,tbMoveset!A2:F112,6,FALSE)+(IF(VLOOKUP(tbMoveset!A58,tbMoveset!A2:F112,6,FALSE)&gt;0,K41,0)))*(1+(IF(VLOOKUP(tbMoveset!A58,tbMoveset!A2:I112,9,FALSE)="Fire",VLOOKUP(Calculator!$E24,tbSkills!$AX3:$AZ9,3,FALSE),IF(VLOOKUP(tbMoveset!A58,tbMoveset!A2:I112,9,FALSE)="Water",VLOOKUP(Calculator!$E25,tbSkills!$AX3:$AZ9,3,FALSE),IF(VLOOKUP(BackdoorsMoveset!A58,tbMoveset!A2:I112,9,FALSE)="Thunder",VLOOKUP(Calculator!$E26,tbSkills!$AX3:$AZ9,3,FALSE),IF(VLOOKUP(tbMoveset!A58,tbMoveset!A2:I112,9,FALSE)="Ice",VLOOKUP(Calculator!$E27,tbSkills!$AX3:$AZ9,3,FALSE),IF(VLOOKUP(tbMoveset!A58,tbMoveset!A2:I112,9,FALSE)="Dragon",VLOOKUP(Calculator!$E28,tbSkills!$AX3:$AZ9,3,FALSE),0)))))/100))*AC7,0)+IF(VLOOKUP(tbMoveset!A58,tbMoveset!A2:F112,6,FALSE)&gt;0,IF(VLOOKUP(tbMoveset!A58,tbMoveset!A2:I112,9,FALSE)="Fire",VLOOKUP(Calculator!$E24,tbSkills!$AX3:$AY9,2,FALSE),IF(VLOOKUP(tbMoveset!A58,tbMoveset!A2:I112,9,FALSE)="Water",VLOOKUP(Calculator!$E25,tbSkills!$AX3:$AY9,2,FALSE),IF(VLOOKUP(tbMoveset!A58,tbMoveset!A2:I112,9,FALSE)="Thunder",VLOOKUP(Calculator!$E26,tbSkills!$AX3:$AY9,2,FALSE),IF(VLOOKUP(tbMoveset!A58,tbMoveset!A2:I112,9,FALSE)="Ice",VLOOKUP(Calculator!$E27,tbSkills!$AX3:$AY9,2,FALSE),IF(VLOOKUP(tbMoveset!A58,tbMoveset!A2:I112,9,FALSE)="Dragon",VLOOKUP(Calculator!$E28,tbSkills!$AX3:$AY9,2,FALSE),0))))),0)/10))*N6)*AC6,0)*(B30/100),0)</f>
        <v>0</v>
      </c>
    </row>
    <row r="59" spans="1:73" x14ac:dyDescent="0.25">
      <c r="A59" s="67" t="str">
        <f>IFERROR(HLOOKUP(Calculator!B7,Combos!B3:K29,25,FALSE),"")</f>
        <v>Blade Dance (R7)</v>
      </c>
      <c r="AN59" s="49" t="str">
        <f>IFERROR(INDEX(tbHitzones!K:K,MATCH(ROWS(tbHitzones!$1:42),tbHitzones!K:K,0)),"")</f>
        <v/>
      </c>
      <c r="AO59" s="49">
        <f>IF(OR(B2="Light Bowgun",B2="Heavy Bowgun"),IF(AI12&gt;=0,1+(IF(Calculator!E40&gt;0,VLOOKUP(Calculator!E40,tbSkills!AI3:AJ5,2,FALSE),AL4)*(IF((AI12+IF(BA44&gt;=0.45,VLOOKUP(Calculator!E23,tbSkills!DH3:DI6,2,FALSE)+IF(AND(Calculator!B8=TRUE,BI44=TRUE),VLOOKUP(Calculator!E23,tbSkills!DH3:DJ6,3,FALSE),0),0))&gt;=100,100,(AI12+IF(BA44&gt;=0.45,VLOOKUP(Calculator!E23,tbSkills!DH3:DI6,2,FALSE)+IF(AND(Calculator!B8=TRUE,BI44=TRUE),VLOOKUP(Calculator!E23,tbSkills!DH3:DJ6,3,FALSE),0),0)))/100)),1),VLOOKUP(Backdoors!A37,BackdoorsMoveset!A2:KH112,294,FALSE)+VLOOKUP(Backdoors!A38,BackdoorsMoveset!A2:KH112,294,FALSE)+VLOOKUP(Backdoors!A39,BackdoorsMoveset!A2:KH112,294,FALSE)+VLOOKUP(Backdoors!A40,BackdoorsMoveset!A2:KH112,294,FALSE)+VLOOKUP(Backdoors!A41,BackdoorsMoveset!A2:KH112,294,FALSE)+VLOOKUP(Backdoors!A42,BackdoorsMoveset!A2:KH112,294,FALSE)+VLOOKUP(Backdoors!A43,BackdoorsMoveset!A2:KH112,294,FALSE)+VLOOKUP(Backdoors!A44,BackdoorsMoveset!A2:KH112,294,FALSE)+VLOOKUP(Backdoors!A45,BackdoorsMoveset!A2:KH112,294,FALSE)+VLOOKUP(Backdoors!A46,BackdoorsMoveset!A2:KH112,294,FALSE)+VLOOKUP(Backdoors!A47,BackdoorsMoveset!A2:KH112,294,FALSE)+VLOOKUP(Backdoors!A48,BackdoorsMoveset!A2:KH112,294,FALSE)+VLOOKUP(Backdoors!A49,BackdoorsMoveset!A2:KH112,294,FALSE)+VLOOKUP(Backdoors!A50,BackdoorsMoveset!A2:KH112,294,FALSE)+VLOOKUP(Backdoors!A51,BackdoorsMoveset!A2:KH112,294,FALSE)+VLOOKUP(Backdoors!A52,BackdoorsMoveset!A2:KH112,294,FALSE)+VLOOKUP(Backdoors!A53,BackdoorsMoveset!A2:KH112,294,FALSE)+VLOOKUP(Backdoors!A54,BackdoorsMoveset!A2:KH112,294,FALSE)+VLOOKUP(Backdoors!A55,BackdoorsMoveset!A2:KH112,294,FALSE)+VLOOKUP(Backdoors!A56,BackdoorsMoveset!A2:KH112,294,FALSE)+VLOOKUP(Backdoors!A57,BackdoorsMoveset!A2:KH112,294,FALSE)+VLOOKUP(Backdoors!A58,BackdoorsMoveset!A2:KH112,294,FALSE)+VLOOKUP(Backdoors!A59,BackdoorsMoveset!A2:KH112,294,FALSE)+VLOOKUP(Backdoors!A60,BackdoorsMoveset!A2:KH112,294,FALSE)+VLOOKUP(Backdoors!A61,BackdoorsMoveset!A2:KH112,294,FALSE))</f>
        <v>14.299999999999999</v>
      </c>
      <c r="AQ59" t="s">
        <v>236</v>
      </c>
      <c r="AR59">
        <f>AR58*VLOOKUP(AO8,tbStatus!A22:E33,5,FALSE)</f>
        <v>0</v>
      </c>
      <c r="BS59">
        <f>VLOOKUP(Calculator!B4,SavedBuildNumbers!A1:CU73,99,FALSE)</f>
        <v>0</v>
      </c>
      <c r="BU59" s="49">
        <f>IFERROR(ROUNDDOWN((IF((ROUND((VLOOKUP(tbMoveset!A59,tbMoveset!A2:F112,6,FALSE)+(IF(VLOOKUP(tbMoveset!A59,tbMoveset!A2:F112,6,FALSE)&gt;0,K41,0)))*(1+(IF(VLOOKUP(tbMoveset!A59,tbMoveset!A2:I112,9,FALSE)="Fire",VLOOKUP(Calculator!$E24,tbSkills!$AX3:$AZ9,3,FALSE),IF(VLOOKUP(tbMoveset!A59,tbMoveset!A2:I112,9,FALSE)="Water",VLOOKUP(Calculator!$E25,tbSkills!$AX3:$AZ9,3,FALSE),IF(VLOOKUP(BackdoorsMoveset!A59,tbMoveset!A2:I112,9,FALSE)="Thunder",VLOOKUP(Calculator!$E26,tbSkills!$AX3:$AZ9,3,FALSE),IF(VLOOKUP(tbMoveset!A59,tbMoveset!A2:I112,9,FALSE)="Ice",VLOOKUP(Calculator!$E27,tbSkills!$AX3:$AZ9,3,FALSE),IF(VLOOKUP(tbMoveset!A59,tbMoveset!A2:I112,9,FALSE)="Dragon",VLOOKUP(Calculator!$E28,tbSkills!$AX3:$AZ9,3,FALSE),0)))))/100))*AC7,0)+IF(VLOOKUP(tbMoveset!A59,tbMoveset!A2:F112,6,FALSE)&gt;0,IF(VLOOKUP(tbMoveset!A59,tbMoveset!A2:I112,9,FALSE)="Fire",VLOOKUP(Calculator!$E24,tbSkills!$AX3:$AY9,2,FALSE),IF(VLOOKUP(tbMoveset!A59,tbMoveset!A2:I112,9,FALSE)="Water",VLOOKUP(Calculator!$E25,tbSkills!$AX3:$AY9,2,FALSE),IF(VLOOKUP(tbMoveset!A59,tbMoveset!A2:I112,9,FALSE)="Thunder",VLOOKUP(Calculator!$E26,tbSkills!$AX3:$AY9,2,FALSE),IF(VLOOKUP(tbMoveset!A59,tbMoveset!A2:I112,9,FALSE)="Ice",VLOOKUP(Calculator!$E27,tbSkills!$AX3:$AY9,2,FALSE),IF(VLOOKUP(tbMoveset!A59,tbMoveset!A2:I112,9,FALSE)="Dragon",VLOOKUP(Calculator!$E28,tbSkills!$AX3:$AY9,2,FALSE),0))))),0)/10)&gt;=B34,B34,(ROUND((VLOOKUP(tbMoveset!A59,tbMoveset!A2:F112,6,FALSE)+(IF(VLOOKUP(tbMoveset!A59,tbMoveset!A2:F112,6,FALSE)&gt;0,K41,0)))*(1+(IF(VLOOKUP(tbMoveset!A59,tbMoveset!A2:I112,9,FALSE)="Fire",VLOOKUP(Calculator!$E24,tbSkills!$AX3:$AZ9,3,FALSE),IF(VLOOKUP(tbMoveset!A59,tbMoveset!A2:I112,9,FALSE)="Water",VLOOKUP(Calculator!$E25,tbSkills!$AX3:$AZ9,3,FALSE),IF(VLOOKUP(BackdoorsMoveset!A59,tbMoveset!A2:I112,9,FALSE)="Thunder",VLOOKUP(Calculator!$E26,tbSkills!$AX3:$AZ9,3,FALSE),IF(VLOOKUP(tbMoveset!A59,tbMoveset!A2:I112,9,FALSE)="Ice",VLOOKUP(Calculator!$E27,tbSkills!$AX3:$AZ9,3,FALSE),IF(VLOOKUP(tbMoveset!A59,tbMoveset!A2:I112,9,FALSE)="Dragon",VLOOKUP(Calculator!$E28,tbSkills!$AX3:$AZ9,3,FALSE),0)))))/100))*AC7,0)+IF(VLOOKUP(tbMoveset!A59,tbMoveset!A2:F112,6,FALSE)&gt;0,IF(VLOOKUP(tbMoveset!A59,tbMoveset!A2:I112,9,FALSE)="Fire",VLOOKUP(Calculator!$E24,tbSkills!$AX3:$AY9,2,FALSE),IF(VLOOKUP(tbMoveset!A59,tbMoveset!A2:I112,9,FALSE)="Water",VLOOKUP(Calculator!$E25,tbSkills!$AX3:$AY9,2,FALSE),IF(VLOOKUP(tbMoveset!A59,tbMoveset!A2:I112,9,FALSE)="Thunder",VLOOKUP(Calculator!$E26,tbSkills!$AX3:$AY9,2,FALSE),IF(VLOOKUP(tbMoveset!A59,tbMoveset!A2:I112,9,FALSE)="Ice",VLOOKUP(Calculator!$E27,tbSkills!$AX3:$AY9,2,FALSE),IF(VLOOKUP(tbMoveset!A59,tbMoveset!A2:I112,9,FALSE)="Dragon",VLOOKUP(Calculator!$E28,tbSkills!$AX3:$AY9,2,FALSE),0))))),0)/10))*N6)*AC6,0)*(B30/100),0)</f>
        <v>0</v>
      </c>
    </row>
    <row r="60" spans="1:73" x14ac:dyDescent="0.25">
      <c r="A60" s="67" t="str">
        <f>IFERROR(HLOOKUP(Calculator!B7,Combos!B3:K29,26,FALSE),"")</f>
        <v>Blade Dance (L8)</v>
      </c>
      <c r="AN60" s="49" t="str">
        <f>IFERROR(INDEX(tbHitzones!K:K,MATCH(ROWS(tbHitzones!$1:43),tbHitzones!K:K,0)),"")</f>
        <v/>
      </c>
      <c r="AO60" s="49">
        <f>IF(OR(B2="Light Bowgun",B2="Heavy Bowgun"),IF(AI12&gt;=0,1+(IF(Calculator!E40&gt;0,VLOOKUP(Calculator!E40,tbSkills!AI3:AJ5,2,FALSE),AL4)*(IF((AI12+IF(BA45&gt;=0.45,VLOOKUP(Calculator!E23,tbSkills!DH3:DI6,2,FALSE)+IF(AND(Calculator!B8=TRUE,BI45=TRUE),VLOOKUP(Calculator!E23,tbSkills!DH3:DJ6,3,FALSE),0),0))&gt;=100,100,(AI12+IF(BA45&gt;=0.45,VLOOKUP(Calculator!E23,tbSkills!DH3:DI6,2,FALSE)+IF(AND(Calculator!B8=TRUE,BI45=TRUE),VLOOKUP(Calculator!E23,tbSkills!DH3:DJ6,3,FALSE),0),0)))/100)),1),VLOOKUP(Backdoors!A37,BackdoorsMoveset!A2:KO112,301,FALSE)+VLOOKUP(Backdoors!A38,BackdoorsMoveset!A2:KO112,301,FALSE)+VLOOKUP(Backdoors!A39,BackdoorsMoveset!A2:KO112,301,FALSE)+VLOOKUP(Backdoors!A40,BackdoorsMoveset!A2:KO112,301,FALSE)+VLOOKUP(Backdoors!A41,BackdoorsMoveset!A2:KO112,301,FALSE)+VLOOKUP(Backdoors!A42,BackdoorsMoveset!A2:KO112,301,FALSE)+VLOOKUP(Backdoors!A43,BackdoorsMoveset!A2:KO112,301,FALSE)+VLOOKUP(Backdoors!A44,BackdoorsMoveset!A2:KO112,301,FALSE)+VLOOKUP(Backdoors!A45,BackdoorsMoveset!A2:KO112,301,FALSE)+VLOOKUP(Backdoors!A46,BackdoorsMoveset!A2:KO112,301,FALSE)+VLOOKUP(Backdoors!A47,BackdoorsMoveset!A2:KO112,301,FALSE)+VLOOKUP(Backdoors!A48,BackdoorsMoveset!A2:KO112,301,FALSE)+VLOOKUP(Backdoors!A49,BackdoorsMoveset!A2:KO112,301,FALSE)+VLOOKUP(Backdoors!A50,BackdoorsMoveset!A2:KO112,301,FALSE)+VLOOKUP(Backdoors!A51,BackdoorsMoveset!A2:KO112,301,FALSE)+VLOOKUP(Backdoors!A52,BackdoorsMoveset!A2:KO112,301,FALSE)+VLOOKUP(Backdoors!A53,BackdoorsMoveset!A2:KO112,301,FALSE)+VLOOKUP(Backdoors!A54,BackdoorsMoveset!A2:KO112,301,FALSE)+VLOOKUP(Backdoors!A55,BackdoorsMoveset!A2:KO112,301,FALSE)+VLOOKUP(Backdoors!A56,BackdoorsMoveset!A2:KO112,301,FALSE)+VLOOKUP(Backdoors!A57,BackdoorsMoveset!A2:KO112,301,FALSE)+VLOOKUP(Backdoors!A58,BackdoorsMoveset!A2:KO112,301,FALSE)+VLOOKUP(Backdoors!A59,BackdoorsMoveset!A2:KO112,301,FALSE)+VLOOKUP(Backdoors!A60,BackdoorsMoveset!A2:KO112,301,FALSE)+VLOOKUP(Backdoors!A61,BackdoorsMoveset!A2:KO112,301,FALSE))</f>
        <v>14.299999999999999</v>
      </c>
      <c r="AQ60" t="s">
        <v>237</v>
      </c>
      <c r="AR60">
        <f>N8-AR59</f>
        <v>1408</v>
      </c>
      <c r="BS60">
        <f>VLOOKUP(Calculator!B4,SavedBuildNumbers!A1:CV73,100,FALSE)</f>
        <v>0</v>
      </c>
      <c r="BU60" s="49">
        <f>IFERROR(ROUNDDOWN((IF((ROUND((VLOOKUP(tbMoveset!A60,tbMoveset!A2:F112,6,FALSE)+(IF(VLOOKUP(tbMoveset!A60,tbMoveset!A2:F112,6,FALSE)&gt;0,K41,0)))*(1+(IF(VLOOKUP(tbMoveset!A60,tbMoveset!A2:I112,9,FALSE)="Fire",VLOOKUP(Calculator!$E24,tbSkills!$AX3:$AZ9,3,FALSE),IF(VLOOKUP(tbMoveset!A60,tbMoveset!A2:I112,9,FALSE)="Water",VLOOKUP(Calculator!$E25,tbSkills!$AX3:$AZ9,3,FALSE),IF(VLOOKUP(BackdoorsMoveset!A60,tbMoveset!A2:I112,9,FALSE)="Thunder",VLOOKUP(Calculator!$E26,tbSkills!$AX3:$AZ9,3,FALSE),IF(VLOOKUP(tbMoveset!A60,tbMoveset!A2:I112,9,FALSE)="Ice",VLOOKUP(Calculator!$E27,tbSkills!$AX3:$AZ9,3,FALSE),IF(VLOOKUP(tbMoveset!A60,tbMoveset!A2:I112,9,FALSE)="Dragon",VLOOKUP(Calculator!$E28,tbSkills!$AX3:$AZ9,3,FALSE),0)))))/100))*AC7,0)+IF(VLOOKUP(tbMoveset!A60,tbMoveset!A2:F112,6,FALSE)&gt;0,IF(VLOOKUP(tbMoveset!A60,tbMoveset!A2:I112,9,FALSE)="Fire",VLOOKUP(Calculator!$E24,tbSkills!$AX3:$AY9,2,FALSE),IF(VLOOKUP(tbMoveset!A60,tbMoveset!A2:I112,9,FALSE)="Water",VLOOKUP(Calculator!$E25,tbSkills!$AX3:$AY9,2,FALSE),IF(VLOOKUP(tbMoveset!A60,tbMoveset!A2:I112,9,FALSE)="Thunder",VLOOKUP(Calculator!$E26,tbSkills!$AX3:$AY9,2,FALSE),IF(VLOOKUP(tbMoveset!A60,tbMoveset!A2:I112,9,FALSE)="Ice",VLOOKUP(Calculator!$E27,tbSkills!$AX3:$AY9,2,FALSE),IF(VLOOKUP(tbMoveset!A60,tbMoveset!A2:I112,9,FALSE)="Dragon",VLOOKUP(Calculator!$E28,tbSkills!$AX3:$AY9,2,FALSE),0))))),0)/10)&gt;=B34,B34,(ROUND((VLOOKUP(tbMoveset!A60,tbMoveset!A2:F112,6,FALSE)+(IF(VLOOKUP(tbMoveset!A60,tbMoveset!A2:F112,6,FALSE)&gt;0,K41,0)))*(1+(IF(VLOOKUP(tbMoveset!A60,tbMoveset!A2:I112,9,FALSE)="Fire",VLOOKUP(Calculator!$E24,tbSkills!$AX3:$AZ9,3,FALSE),IF(VLOOKUP(tbMoveset!A60,tbMoveset!A2:I112,9,FALSE)="Water",VLOOKUP(Calculator!$E25,tbSkills!$AX3:$AZ9,3,FALSE),IF(VLOOKUP(BackdoorsMoveset!A60,tbMoveset!A2:I112,9,FALSE)="Thunder",VLOOKUP(Calculator!$E26,tbSkills!$AX3:$AZ9,3,FALSE),IF(VLOOKUP(tbMoveset!A60,tbMoveset!A2:I112,9,FALSE)="Ice",VLOOKUP(Calculator!$E27,tbSkills!$AX3:$AZ9,3,FALSE),IF(VLOOKUP(tbMoveset!A60,tbMoveset!A2:I112,9,FALSE)="Dragon",VLOOKUP(Calculator!$E28,tbSkills!$AX3:$AZ9,3,FALSE),0)))))/100))*AC7,0)+IF(VLOOKUP(tbMoveset!A60,tbMoveset!A2:F112,6,FALSE)&gt;0,IF(VLOOKUP(tbMoveset!A60,tbMoveset!A2:I112,9,FALSE)="Fire",VLOOKUP(Calculator!$E24,tbSkills!$AX3:$AY9,2,FALSE),IF(VLOOKUP(tbMoveset!A60,tbMoveset!A2:I112,9,FALSE)="Water",VLOOKUP(Calculator!$E25,tbSkills!$AX3:$AY9,2,FALSE),IF(VLOOKUP(tbMoveset!A60,tbMoveset!A2:I112,9,FALSE)="Thunder",VLOOKUP(Calculator!$E26,tbSkills!$AX3:$AY9,2,FALSE),IF(VLOOKUP(tbMoveset!A60,tbMoveset!A2:I112,9,FALSE)="Ice",VLOOKUP(Calculator!$E27,tbSkills!$AX3:$AY9,2,FALSE),IF(VLOOKUP(tbMoveset!A60,tbMoveset!A2:I112,9,FALSE)="Dragon",VLOOKUP(Calculator!$E28,tbSkills!$AX3:$AY9,2,FALSE),0))))),0)/10))*N6)*AC6,0)*(B30/100),0)</f>
        <v>0</v>
      </c>
    </row>
    <row r="61" spans="1:73" x14ac:dyDescent="0.25">
      <c r="A61" s="67" t="str">
        <f>IFERROR(HLOOKUP(Calculator!B7,Combos!B3:K29,27,FALSE),"")</f>
        <v>Blade Dance (R8)</v>
      </c>
      <c r="AN61" s="49" t="str">
        <f>IFERROR(INDEX(tbHitzones!K:K,MATCH(ROWS(tbHitzones!$1:44),tbHitzones!K:K,0)),"")</f>
        <v/>
      </c>
      <c r="AO61" s="49">
        <f>IF(OR(B2="Light Bowgun",B2="Heavy Bowgun"),IF(AI12&gt;=0,1+(IF(Calculator!E40&gt;0,VLOOKUP(Calculator!E40,tbSkills!AI3:AJ5,2,FALSE),AL4)*(IF((AI12+IF(BA46&gt;=0.45,VLOOKUP(Calculator!E23,tbSkills!DH3:DI6,2,FALSE)+IF(AND(Calculator!B8=TRUE,BI46=TRUE),VLOOKUP(Calculator!E23,tbSkills!DH3:DJ6,3,FALSE),0),0))&gt;=100,100,(AI12+IF(BA46&gt;=0.45,VLOOKUP(Calculator!E23,tbSkills!DH3:DI6,2,FALSE)+IF(AND(Calculator!B8=TRUE,BI46=TRUE),VLOOKUP(Calculator!E23,tbSkills!DH3:DJ6,3,FALSE),0),0)))/100)),1),VLOOKUP(Backdoors!A37,BackdoorsMoveset!A2:KV112,308,FALSE)+VLOOKUP(Backdoors!A38,BackdoorsMoveset!A2:KV112,308,FALSE)+VLOOKUP(Backdoors!A39,BackdoorsMoveset!A2:KV112,308,FALSE)+VLOOKUP(Backdoors!A40,BackdoorsMoveset!A2:KV112,308,FALSE)+VLOOKUP(Backdoors!A41,BackdoorsMoveset!A2:KV112,308,FALSE)+VLOOKUP(Backdoors!A42,BackdoorsMoveset!A2:KV112,308,FALSE)+VLOOKUP(Backdoors!A43,BackdoorsMoveset!A2:KV112,308,FALSE)+VLOOKUP(Backdoors!A44,BackdoorsMoveset!A2:KV112,308,FALSE)+VLOOKUP(Backdoors!A45,BackdoorsMoveset!A2:KV112,308,FALSE)+VLOOKUP(Backdoors!A46,BackdoorsMoveset!A2:KV112,308,FALSE)+VLOOKUP(Backdoors!A47,BackdoorsMoveset!A2:KV112,308,FALSE)+VLOOKUP(Backdoors!A48,BackdoorsMoveset!A2:KV112,308,FALSE)+VLOOKUP(Backdoors!A49,BackdoorsMoveset!A2:KV112,308,FALSE)+VLOOKUP(Backdoors!A50,BackdoorsMoveset!A2:KV112,308,FALSE)+VLOOKUP(Backdoors!A51,BackdoorsMoveset!A2:KV112,308,FALSE)+VLOOKUP(Backdoors!A52,BackdoorsMoveset!A2:KV112,308,FALSE)+VLOOKUP(Backdoors!A53,BackdoorsMoveset!A2:KV112,308,FALSE)+VLOOKUP(Backdoors!A54,BackdoorsMoveset!A2:KV112,308,FALSE)+VLOOKUP(Backdoors!A55,BackdoorsMoveset!A2:KV112,308,FALSE)+VLOOKUP(Backdoors!A56,BackdoorsMoveset!A2:KV112,308,FALSE)+VLOOKUP(Backdoors!A57,BackdoorsMoveset!A2:KV112,308,FALSE)+VLOOKUP(Backdoors!A58,BackdoorsMoveset!A2:KV112,308,FALSE)+VLOOKUP(Backdoors!A59,BackdoorsMoveset!A2:KV112,308,FALSE)+VLOOKUP(Backdoors!A60,BackdoorsMoveset!A2:KV112,308,FALSE)+VLOOKUP(Backdoors!A61,BackdoorsMoveset!A2:KV112,308,FALSE))</f>
        <v>14.299999999999999</v>
      </c>
      <c r="AQ61" t="s">
        <v>238</v>
      </c>
      <c r="AR61">
        <f>IFERROR(AR60/BN7,0)</f>
        <v>9.3245033112582778</v>
      </c>
      <c r="BS61">
        <f>VLOOKUP(Calculator!B4,SavedBuildNumbers!A1:CW73,101,FALSE)</f>
        <v>0</v>
      </c>
      <c r="BU61" s="49">
        <f>IFERROR(ROUNDDOWN((IF((ROUND((VLOOKUP(tbMoveset!A61,tbMoveset!A2:F112,6,FALSE)+(IF(VLOOKUP(tbMoveset!A61,tbMoveset!A2:F112,6,FALSE)&gt;0,K41,0)))*(1+(IF(VLOOKUP(tbMoveset!A61,tbMoveset!A2:I112,9,FALSE)="Fire",VLOOKUP(Calculator!$E24,tbSkills!$AX3:$AZ9,3,FALSE),IF(VLOOKUP(tbMoveset!A61,tbMoveset!A2:I112,9,FALSE)="Water",VLOOKUP(Calculator!$E25,tbSkills!$AX3:$AZ9,3,FALSE),IF(VLOOKUP(BackdoorsMoveset!A61,tbMoveset!A2:I112,9,FALSE)="Thunder",VLOOKUP(Calculator!$E26,tbSkills!$AX3:$AZ9,3,FALSE),IF(VLOOKUP(tbMoveset!A61,tbMoveset!A2:I112,9,FALSE)="Ice",VLOOKUP(Calculator!$E27,tbSkills!$AX3:$AZ9,3,FALSE),IF(VLOOKUP(tbMoveset!A61,tbMoveset!A2:I112,9,FALSE)="Dragon",VLOOKUP(Calculator!$E28,tbSkills!$AX3:$AZ9,3,FALSE),0)))))/100))*AC7,0)+IF(VLOOKUP(tbMoveset!A61,tbMoveset!A2:F112,6,FALSE)&gt;0,IF(VLOOKUP(tbMoveset!A61,tbMoveset!A2:I112,9,FALSE)="Fire",VLOOKUP(Calculator!$E24,tbSkills!$AX3:$AY9,2,FALSE),IF(VLOOKUP(tbMoveset!A61,tbMoveset!A2:I112,9,FALSE)="Water",VLOOKUP(Calculator!$E25,tbSkills!$AX3:$AY9,2,FALSE),IF(VLOOKUP(tbMoveset!A61,tbMoveset!A2:I112,9,FALSE)="Thunder",VLOOKUP(Calculator!$E26,tbSkills!$AX3:$AY9,2,FALSE),IF(VLOOKUP(tbMoveset!A61,tbMoveset!A2:I112,9,FALSE)="Ice",VLOOKUP(Calculator!$E27,tbSkills!$AX3:$AY9,2,FALSE),IF(VLOOKUP(tbMoveset!A61,tbMoveset!A2:I112,9,FALSE)="Dragon",VLOOKUP(Calculator!$E28,tbSkills!$AX3:$AY9,2,FALSE),0))))),0)/10)&gt;=B34,B34,(ROUND((VLOOKUP(tbMoveset!A61,tbMoveset!A2:F112,6,FALSE)+(IF(VLOOKUP(tbMoveset!A61,tbMoveset!A2:F112,6,FALSE)&gt;0,K41,0)))*(1+(IF(VLOOKUP(tbMoveset!A61,tbMoveset!A2:I112,9,FALSE)="Fire",VLOOKUP(Calculator!$E24,tbSkills!$AX3:$AZ9,3,FALSE),IF(VLOOKUP(tbMoveset!A61,tbMoveset!A2:I112,9,FALSE)="Water",VLOOKUP(Calculator!$E25,tbSkills!$AX3:$AZ9,3,FALSE),IF(VLOOKUP(BackdoorsMoveset!A61,tbMoveset!A2:I112,9,FALSE)="Thunder",VLOOKUP(Calculator!$E26,tbSkills!$AX3:$AZ9,3,FALSE),IF(VLOOKUP(tbMoveset!A61,tbMoveset!A2:I112,9,FALSE)="Ice",VLOOKUP(Calculator!$E27,tbSkills!$AX3:$AZ9,3,FALSE),IF(VLOOKUP(tbMoveset!A61,tbMoveset!A2:I112,9,FALSE)="Dragon",VLOOKUP(Calculator!$E28,tbSkills!$AX3:$AZ9,3,FALSE),0)))))/100))*AC7,0)+IF(VLOOKUP(tbMoveset!A61,tbMoveset!A2:F112,6,FALSE)&gt;0,IF(VLOOKUP(tbMoveset!A61,tbMoveset!A2:I112,9,FALSE)="Fire",VLOOKUP(Calculator!$E24,tbSkills!$AX3:$AY9,2,FALSE),IF(VLOOKUP(tbMoveset!A61,tbMoveset!A2:I112,9,FALSE)="Water",VLOOKUP(Calculator!$E25,tbSkills!$AX3:$AY9,2,FALSE),IF(VLOOKUP(tbMoveset!A61,tbMoveset!A2:I112,9,FALSE)="Thunder",VLOOKUP(Calculator!$E26,tbSkills!$AX3:$AY9,2,FALSE),IF(VLOOKUP(tbMoveset!A61,tbMoveset!A2:I112,9,FALSE)="Ice",VLOOKUP(Calculator!$E27,tbSkills!$AX3:$AY9,2,FALSE),IF(VLOOKUP(tbMoveset!A61,tbMoveset!A2:I112,9,FALSE)="Dragon",VLOOKUP(Calculator!$E28,tbSkills!$AX3:$AY9,2,FALSE),0))))),0)/10))*N6)*AC6,0)*(B30/100),0)</f>
        <v>0</v>
      </c>
    </row>
    <row r="62" spans="1:73" x14ac:dyDescent="0.25">
      <c r="A62" s="66">
        <f>COUNT(A38:A61)-COUNTIF(A38:A61,0)</f>
        <v>0</v>
      </c>
      <c r="AQ62" t="s">
        <v>239</v>
      </c>
      <c r="AR62">
        <f>AR61*AR56</f>
        <v>0</v>
      </c>
      <c r="BS62">
        <f>VLOOKUP(Calculator!B4,SavedBuildNumbers!A1:CX73,102,FALSE)</f>
        <v>0</v>
      </c>
      <c r="BU62" s="49">
        <f>IFERROR(ROUNDDOWN((IF((ROUND((VLOOKUP(tbMoveset!A62,tbMoveset!A2:F112,6,FALSE)+(IF(VLOOKUP(tbMoveset!A62,tbMoveset!A2:F112,6,FALSE)&gt;0,K41,0)))*(1+(IF(VLOOKUP(tbMoveset!A62,tbMoveset!A2:I112,9,FALSE)="Fire",VLOOKUP(Calculator!$E24,tbSkills!$AX3:$AZ9,3,FALSE),IF(VLOOKUP(tbMoveset!A62,tbMoveset!A2:I112,9,FALSE)="Water",VLOOKUP(Calculator!$E25,tbSkills!$AX3:$AZ9,3,FALSE),IF(VLOOKUP(BackdoorsMoveset!A62,tbMoveset!A2:I112,9,FALSE)="Thunder",VLOOKUP(Calculator!$E26,tbSkills!$AX3:$AZ9,3,FALSE),IF(VLOOKUP(tbMoveset!A62,tbMoveset!A2:I112,9,FALSE)="Ice",VLOOKUP(Calculator!$E27,tbSkills!$AX3:$AZ9,3,FALSE),IF(VLOOKUP(tbMoveset!A62,tbMoveset!A2:I112,9,FALSE)="Dragon",VLOOKUP(Calculator!$E28,tbSkills!$AX3:$AZ9,3,FALSE),0)))))/100))*AC7,0)+IF(VLOOKUP(tbMoveset!A62,tbMoveset!A2:F112,6,FALSE)&gt;0,IF(VLOOKUP(tbMoveset!A62,tbMoveset!A2:I112,9,FALSE)="Fire",VLOOKUP(Calculator!$E24,tbSkills!$AX3:$AY9,2,FALSE),IF(VLOOKUP(tbMoveset!A62,tbMoveset!A2:I112,9,FALSE)="Water",VLOOKUP(Calculator!$E25,tbSkills!$AX3:$AY9,2,FALSE),IF(VLOOKUP(tbMoveset!A62,tbMoveset!A2:I112,9,FALSE)="Thunder",VLOOKUP(Calculator!$E26,tbSkills!$AX3:$AY9,2,FALSE),IF(VLOOKUP(tbMoveset!A62,tbMoveset!A2:I112,9,FALSE)="Ice",VLOOKUP(Calculator!$E27,tbSkills!$AX3:$AY9,2,FALSE),IF(VLOOKUP(tbMoveset!A62,tbMoveset!A2:I112,9,FALSE)="Dragon",VLOOKUP(Calculator!$E28,tbSkills!$AX3:$AY9,2,FALSE),0))))),0)/10)&gt;=B34,B34,(ROUND((VLOOKUP(tbMoveset!A62,tbMoveset!A2:F112,6,FALSE)+(IF(VLOOKUP(tbMoveset!A62,tbMoveset!A2:F112,6,FALSE)&gt;0,K41,0)))*(1+(IF(VLOOKUP(tbMoveset!A62,tbMoveset!A2:I112,9,FALSE)="Fire",VLOOKUP(Calculator!$E24,tbSkills!$AX3:$AZ9,3,FALSE),IF(VLOOKUP(tbMoveset!A62,tbMoveset!A2:I112,9,FALSE)="Water",VLOOKUP(Calculator!$E25,tbSkills!$AX3:$AZ9,3,FALSE),IF(VLOOKUP(BackdoorsMoveset!A62,tbMoveset!A2:I112,9,FALSE)="Thunder",VLOOKUP(Calculator!$E26,tbSkills!$AX3:$AZ9,3,FALSE),IF(VLOOKUP(tbMoveset!A62,tbMoveset!A2:I112,9,FALSE)="Ice",VLOOKUP(Calculator!$E27,tbSkills!$AX3:$AZ9,3,FALSE),IF(VLOOKUP(tbMoveset!A62,tbMoveset!A2:I112,9,FALSE)="Dragon",VLOOKUP(Calculator!$E28,tbSkills!$AX3:$AZ9,3,FALSE),0)))))/100))*AC7,0)+IF(VLOOKUP(tbMoveset!A62,tbMoveset!A2:F112,6,FALSE)&gt;0,IF(VLOOKUP(tbMoveset!A62,tbMoveset!A2:I112,9,FALSE)="Fire",VLOOKUP(Calculator!$E24,tbSkills!$AX3:$AY9,2,FALSE),IF(VLOOKUP(tbMoveset!A62,tbMoveset!A2:I112,9,FALSE)="Water",VLOOKUP(Calculator!$E25,tbSkills!$AX3:$AY9,2,FALSE),IF(VLOOKUP(tbMoveset!A62,tbMoveset!A2:I112,9,FALSE)="Thunder",VLOOKUP(Calculator!$E26,tbSkills!$AX3:$AY9,2,FALSE),IF(VLOOKUP(tbMoveset!A62,tbMoveset!A2:I112,9,FALSE)="Ice",VLOOKUP(Calculator!$E27,tbSkills!$AX3:$AY9,2,FALSE),IF(VLOOKUP(tbMoveset!A62,tbMoveset!A2:I112,9,FALSE)="Dragon",VLOOKUP(Calculator!$E28,tbSkills!$AX3:$AY9,2,FALSE),0))))),0)/10))*N6)*AC6,0)*(B30/100),0)</f>
        <v>0</v>
      </c>
    </row>
    <row r="63" spans="1:73" x14ac:dyDescent="0.25">
      <c r="AQ63" t="s">
        <v>240</v>
      </c>
      <c r="AR63">
        <f>IF($AR62&gt;=$AU51,50,IF($AR62&gt;=$AU50,49,IF($AR62&gt;=$AU49,48,IF($AR62&gt;=$AU48,47,IF($AR62&gt;=$AU47,46,IF($AR62&gt;=$AU46,45,IF($AR62&gt;=$AU45,44,IF($AR62&gt;=$AU44,43,IF($AR62&gt;=$AU43,42,IF($AR62&gt;=$AU42,41,IF($AR62&gt;=$AU41,40,IF($AR62&gt;=$AU40,39,IF($AR62&gt;=$AU39,38,IF($AR62&gt;=$AU38,37,IF($AR62&gt;=$AU37,36,IF($AR62&gt;=$AU36,35,IF($AR62&gt;=$AU35,34,IF($AR62&gt;=$AU34,33,IF($AR62&gt;=$AU33,32,IF($AR62&gt;=$AU32,31,IF($AR62&gt;=$AU31,30,IF($AR62&gt;=$AU30,29,IF($AR62&gt;=$AU29,28,IF($AR62&gt;=$AU28,27,IF($AR62&gt;=$AU27,26,IF($AR62&gt;=$AU26,25,IF($AR62&gt;=$AU25,24,IF($AR62&gt;=$AU24,23,IF($AR62&gt;=$AU23,22,IF($AR62&gt;=$AU22,21,IF($AR62&gt;=$AU21,20,IF($AR62&gt;=$AU20,19,IF($AR62&gt;=$AU19,18,IF($AR62&gt;=$AU18,17,IF($AR62&gt;=$AU17,16,IF($AR62&gt;=$AU16,15,IF($AR62&gt;=$AU15,14,IF($AR62&gt;=$AU14,13,IF($AR62&gt;=$AU13,12,IF($AR62&gt;=$AU12,11,IF($AR62&gt;=$AU11,10,IF($AR62&gt;=$AU10,9,IF($AR62&gt;=$AU9,8,IF($AR62&gt;=$AU8,7,IF($AR62&gt;=$AU7,6,IF($AR62&gt;=$AU6,5,IF($AR62&gt;=$AU5,4,IF($AR62&gt;=$AU4,3,IF($AR62&gt;=$AU3,2,IF($AR62&gt;=$AU2,1,0))))))))))))))))))))))))))))))))))))))))))))))))))</f>
        <v>0</v>
      </c>
      <c r="BS63">
        <f>VLOOKUP(Calculator!B4,SavedBuildNumbers!A1:CY73,103,FALSE)</f>
        <v>0</v>
      </c>
      <c r="BU63" s="49">
        <f>IFERROR(ROUNDDOWN((IF((ROUND((VLOOKUP(tbMoveset!A63,tbMoveset!A2:F112,6,FALSE)+(IF(VLOOKUP(tbMoveset!A63,tbMoveset!A2:F112,6,FALSE)&gt;0,K41,0)))*(1+(IF(VLOOKUP(tbMoveset!A63,tbMoveset!A2:I112,9,FALSE)="Fire",VLOOKUP(Calculator!$E24,tbSkills!$AX3:$AZ9,3,FALSE),IF(VLOOKUP(tbMoveset!A63,tbMoveset!A2:I112,9,FALSE)="Water",VLOOKUP(Calculator!$E25,tbSkills!$AX3:$AZ9,3,FALSE),IF(VLOOKUP(BackdoorsMoveset!A63,tbMoveset!A2:I112,9,FALSE)="Thunder",VLOOKUP(Calculator!$E26,tbSkills!$AX3:$AZ9,3,FALSE),IF(VLOOKUP(tbMoveset!A63,tbMoveset!A2:I112,9,FALSE)="Ice",VLOOKUP(Calculator!$E27,tbSkills!$AX3:$AZ9,3,FALSE),IF(VLOOKUP(tbMoveset!A63,tbMoveset!A2:I112,9,FALSE)="Dragon",VLOOKUP(Calculator!$E28,tbSkills!$AX3:$AZ9,3,FALSE),0)))))/100))*AC7,0)+IF(VLOOKUP(tbMoveset!A63,tbMoveset!A2:F112,6,FALSE)&gt;0,IF(VLOOKUP(tbMoveset!A63,tbMoveset!A2:I112,9,FALSE)="Fire",VLOOKUP(Calculator!$E24,tbSkills!$AX3:$AY9,2,FALSE),IF(VLOOKUP(tbMoveset!A63,tbMoveset!A2:I112,9,FALSE)="Water",VLOOKUP(Calculator!$E25,tbSkills!$AX3:$AY9,2,FALSE),IF(VLOOKUP(tbMoveset!A63,tbMoveset!A2:I112,9,FALSE)="Thunder",VLOOKUP(Calculator!$E26,tbSkills!$AX3:$AY9,2,FALSE),IF(VLOOKUP(tbMoveset!A63,tbMoveset!A2:I112,9,FALSE)="Ice",VLOOKUP(Calculator!$E27,tbSkills!$AX3:$AY9,2,FALSE),IF(VLOOKUP(tbMoveset!A63,tbMoveset!A2:I112,9,FALSE)="Dragon",VLOOKUP(Calculator!$E28,tbSkills!$AX3:$AY9,2,FALSE),0))))),0)/10)&gt;=B34,B34,(ROUND((VLOOKUP(tbMoveset!A63,tbMoveset!A2:F112,6,FALSE)+(IF(VLOOKUP(tbMoveset!A63,tbMoveset!A2:F112,6,FALSE)&gt;0,K41,0)))*(1+(IF(VLOOKUP(tbMoveset!A63,tbMoveset!A2:I112,9,FALSE)="Fire",VLOOKUP(Calculator!$E24,tbSkills!$AX3:$AZ9,3,FALSE),IF(VLOOKUP(tbMoveset!A63,tbMoveset!A2:I112,9,FALSE)="Water",VLOOKUP(Calculator!$E25,tbSkills!$AX3:$AZ9,3,FALSE),IF(VLOOKUP(BackdoorsMoveset!A63,tbMoveset!A2:I112,9,FALSE)="Thunder",VLOOKUP(Calculator!$E26,tbSkills!$AX3:$AZ9,3,FALSE),IF(VLOOKUP(tbMoveset!A63,tbMoveset!A2:I112,9,FALSE)="Ice",VLOOKUP(Calculator!$E27,tbSkills!$AX3:$AZ9,3,FALSE),IF(VLOOKUP(tbMoveset!A63,tbMoveset!A2:I112,9,FALSE)="Dragon",VLOOKUP(Calculator!$E28,tbSkills!$AX3:$AZ9,3,FALSE),0)))))/100))*AC7,0)+IF(VLOOKUP(tbMoveset!A63,tbMoveset!A2:F112,6,FALSE)&gt;0,IF(VLOOKUP(tbMoveset!A63,tbMoveset!A2:I112,9,FALSE)="Fire",VLOOKUP(Calculator!$E24,tbSkills!$AX3:$AY9,2,FALSE),IF(VLOOKUP(tbMoveset!A63,tbMoveset!A2:I112,9,FALSE)="Water",VLOOKUP(Calculator!$E25,tbSkills!$AX3:$AY9,2,FALSE),IF(VLOOKUP(tbMoveset!A63,tbMoveset!A2:I112,9,FALSE)="Thunder",VLOOKUP(Calculator!$E26,tbSkills!$AX3:$AY9,2,FALSE),IF(VLOOKUP(tbMoveset!A63,tbMoveset!A2:I112,9,FALSE)="Ice",VLOOKUP(Calculator!$E27,tbSkills!$AX3:$AY9,2,FALSE),IF(VLOOKUP(tbMoveset!A63,tbMoveset!A2:I112,9,FALSE)="Dragon",VLOOKUP(Calculator!$E28,tbSkills!$AX3:$AY9,2,FALSE),0))))),0)/10))*N6)*AC6,0)*(B30/100),0)</f>
        <v>0</v>
      </c>
    </row>
    <row r="64" spans="1:73" x14ac:dyDescent="0.25">
      <c r="AQ64" t="s">
        <v>241</v>
      </c>
      <c r="AR64">
        <f>AR63*VLOOKUP(AO8,tbStatus!A22:E33,5,FALSE)</f>
        <v>0</v>
      </c>
      <c r="BS64">
        <f>VLOOKUP(Calculator!B4,SavedBuildNumbers!A1:CZ73,104,FALSE)</f>
        <v>0</v>
      </c>
      <c r="BU64" s="49">
        <f>IFERROR(ROUNDDOWN((IF((ROUND((VLOOKUP(tbMoveset!A64,tbMoveset!A2:F112,6,FALSE)+(IF(VLOOKUP(tbMoveset!A64,tbMoveset!A2:F112,6,FALSE)&gt;0,K41,0)))*(1+(IF(VLOOKUP(tbMoveset!A64,tbMoveset!A2:I112,9,FALSE)="Fire",VLOOKUP(Calculator!$E24,tbSkills!$AX3:$AZ9,3,FALSE),IF(VLOOKUP(tbMoveset!A64,tbMoveset!A2:I112,9,FALSE)="Water",VLOOKUP(Calculator!$E25,tbSkills!$AX3:$AZ9,3,FALSE),IF(VLOOKUP(BackdoorsMoveset!A64,tbMoveset!A2:I112,9,FALSE)="Thunder",VLOOKUP(Calculator!$E26,tbSkills!$AX3:$AZ9,3,FALSE),IF(VLOOKUP(tbMoveset!A64,tbMoveset!A2:I112,9,FALSE)="Ice",VLOOKUP(Calculator!$E27,tbSkills!$AX3:$AZ9,3,FALSE),IF(VLOOKUP(tbMoveset!A64,tbMoveset!A2:I112,9,FALSE)="Dragon",VLOOKUP(Calculator!$E28,tbSkills!$AX3:$AZ9,3,FALSE),0)))))/100))*AC7,0)+IF(VLOOKUP(tbMoveset!A64,tbMoveset!A2:F112,6,FALSE)&gt;0,IF(VLOOKUP(tbMoveset!A64,tbMoveset!A2:I112,9,FALSE)="Fire",VLOOKUP(Calculator!$E24,tbSkills!$AX3:$AY9,2,FALSE),IF(VLOOKUP(tbMoveset!A64,tbMoveset!A2:I112,9,FALSE)="Water",VLOOKUP(Calculator!$E25,tbSkills!$AX3:$AY9,2,FALSE),IF(VLOOKUP(tbMoveset!A64,tbMoveset!A2:I112,9,FALSE)="Thunder",VLOOKUP(Calculator!$E26,tbSkills!$AX3:$AY9,2,FALSE),IF(VLOOKUP(tbMoveset!A64,tbMoveset!A2:I112,9,FALSE)="Ice",VLOOKUP(Calculator!$E27,tbSkills!$AX3:$AY9,2,FALSE),IF(VLOOKUP(tbMoveset!A64,tbMoveset!A2:I112,9,FALSE)="Dragon",VLOOKUP(Calculator!$E28,tbSkills!$AX3:$AY9,2,FALSE),0))))),0)/10)&gt;=B34,B34,(ROUND((VLOOKUP(tbMoveset!A64,tbMoveset!A2:F112,6,FALSE)+(IF(VLOOKUP(tbMoveset!A64,tbMoveset!A2:F112,6,FALSE)&gt;0,K41,0)))*(1+(IF(VLOOKUP(tbMoveset!A64,tbMoveset!A2:I112,9,FALSE)="Fire",VLOOKUP(Calculator!$E24,tbSkills!$AX3:$AZ9,3,FALSE),IF(VLOOKUP(tbMoveset!A64,tbMoveset!A2:I112,9,FALSE)="Water",VLOOKUP(Calculator!$E25,tbSkills!$AX3:$AZ9,3,FALSE),IF(VLOOKUP(BackdoorsMoveset!A64,tbMoveset!A2:I112,9,FALSE)="Thunder",VLOOKUP(Calculator!$E26,tbSkills!$AX3:$AZ9,3,FALSE),IF(VLOOKUP(tbMoveset!A64,tbMoveset!A2:I112,9,FALSE)="Ice",VLOOKUP(Calculator!$E27,tbSkills!$AX3:$AZ9,3,FALSE),IF(VLOOKUP(tbMoveset!A64,tbMoveset!A2:I112,9,FALSE)="Dragon",VLOOKUP(Calculator!$E28,tbSkills!$AX3:$AZ9,3,FALSE),0)))))/100))*AC7,0)+IF(VLOOKUP(tbMoveset!A64,tbMoveset!A2:F112,6,FALSE)&gt;0,IF(VLOOKUP(tbMoveset!A64,tbMoveset!A2:I112,9,FALSE)="Fire",VLOOKUP(Calculator!$E24,tbSkills!$AX3:$AY9,2,FALSE),IF(VLOOKUP(tbMoveset!A64,tbMoveset!A2:I112,9,FALSE)="Water",VLOOKUP(Calculator!$E25,tbSkills!$AX3:$AY9,2,FALSE),IF(VLOOKUP(tbMoveset!A64,tbMoveset!A2:I112,9,FALSE)="Thunder",VLOOKUP(Calculator!$E26,tbSkills!$AX3:$AY9,2,FALSE),IF(VLOOKUP(tbMoveset!A64,tbMoveset!A2:I112,9,FALSE)="Ice",VLOOKUP(Calculator!$E27,tbSkills!$AX3:$AY9,2,FALSE),IF(VLOOKUP(tbMoveset!A64,tbMoveset!A2:I112,9,FALSE)="Dragon",VLOOKUP(Calculator!$E28,tbSkills!$AX3:$AY9,2,FALSE),0))))),0)/10))*N6)*AC6,0)*(B30/100),0)</f>
        <v>0</v>
      </c>
    </row>
    <row r="65" spans="43:73" x14ac:dyDescent="0.25">
      <c r="AQ65" t="s">
        <v>242</v>
      </c>
      <c r="AR65">
        <f>ROUND((AR64/N8)*BN7,0)</f>
        <v>0</v>
      </c>
      <c r="BS65">
        <f>VLOOKUP(Calculator!B4,SavedBuildNumbers!A1:DA73,105,FALSE)</f>
        <v>0</v>
      </c>
      <c r="BU65" s="49">
        <f>IFERROR(ROUNDDOWN((IF((ROUND((VLOOKUP(tbMoveset!A65,tbMoveset!A2:F112,6,FALSE)+(IF(VLOOKUP(tbMoveset!A65,tbMoveset!A2:F112,6,FALSE)&gt;0,K41,0)))*(1+(IF(VLOOKUP(tbMoveset!A65,tbMoveset!A2:I112,9,FALSE)="Fire",VLOOKUP(Calculator!$E24,tbSkills!$AX3:$AZ9,3,FALSE),IF(VLOOKUP(tbMoveset!A65,tbMoveset!A2:I112,9,FALSE)="Water",VLOOKUP(Calculator!$E25,tbSkills!$AX3:$AZ9,3,FALSE),IF(VLOOKUP(BackdoorsMoveset!A65,tbMoveset!A2:I112,9,FALSE)="Thunder",VLOOKUP(Calculator!$E26,tbSkills!$AX3:$AZ9,3,FALSE),IF(VLOOKUP(tbMoveset!A65,tbMoveset!A2:I112,9,FALSE)="Ice",VLOOKUP(Calculator!$E27,tbSkills!$AX3:$AZ9,3,FALSE),IF(VLOOKUP(tbMoveset!A65,tbMoveset!A2:I112,9,FALSE)="Dragon",VLOOKUP(Calculator!$E28,tbSkills!$AX3:$AZ9,3,FALSE),0)))))/100))*AC7,0)+IF(VLOOKUP(tbMoveset!A65,tbMoveset!A2:F112,6,FALSE)&gt;0,IF(VLOOKUP(tbMoveset!A65,tbMoveset!A2:I112,9,FALSE)="Fire",VLOOKUP(Calculator!$E24,tbSkills!$AX3:$AY9,2,FALSE),IF(VLOOKUP(tbMoveset!A65,tbMoveset!A2:I112,9,FALSE)="Water",VLOOKUP(Calculator!$E25,tbSkills!$AX3:$AY9,2,FALSE),IF(VLOOKUP(tbMoveset!A65,tbMoveset!A2:I112,9,FALSE)="Thunder",VLOOKUP(Calculator!$E26,tbSkills!$AX3:$AY9,2,FALSE),IF(VLOOKUP(tbMoveset!A65,tbMoveset!A2:I112,9,FALSE)="Ice",VLOOKUP(Calculator!$E27,tbSkills!$AX3:$AY9,2,FALSE),IF(VLOOKUP(tbMoveset!A65,tbMoveset!A2:I112,9,FALSE)="Dragon",VLOOKUP(Calculator!$E28,tbSkills!$AX3:$AY9,2,FALSE),0))))),0)/10)&gt;=B34,B34,(ROUND((VLOOKUP(tbMoveset!A65,tbMoveset!A2:F112,6,FALSE)+(IF(VLOOKUP(tbMoveset!A65,tbMoveset!A2:F112,6,FALSE)&gt;0,K41,0)))*(1+(IF(VLOOKUP(tbMoveset!A65,tbMoveset!A2:I112,9,FALSE)="Fire",VLOOKUP(Calculator!$E24,tbSkills!$AX3:$AZ9,3,FALSE),IF(VLOOKUP(tbMoveset!A65,tbMoveset!A2:I112,9,FALSE)="Water",VLOOKUP(Calculator!$E25,tbSkills!$AX3:$AZ9,3,FALSE),IF(VLOOKUP(BackdoorsMoveset!A65,tbMoveset!A2:I112,9,FALSE)="Thunder",VLOOKUP(Calculator!$E26,tbSkills!$AX3:$AZ9,3,FALSE),IF(VLOOKUP(tbMoveset!A65,tbMoveset!A2:I112,9,FALSE)="Ice",VLOOKUP(Calculator!$E27,tbSkills!$AX3:$AZ9,3,FALSE),IF(VLOOKUP(tbMoveset!A65,tbMoveset!A2:I112,9,FALSE)="Dragon",VLOOKUP(Calculator!$E28,tbSkills!$AX3:$AZ9,3,FALSE),0)))))/100))*AC7,0)+IF(VLOOKUP(tbMoveset!A65,tbMoveset!A2:F112,6,FALSE)&gt;0,IF(VLOOKUP(tbMoveset!A65,tbMoveset!A2:I112,9,FALSE)="Fire",VLOOKUP(Calculator!$E24,tbSkills!$AX3:$AY9,2,FALSE),IF(VLOOKUP(tbMoveset!A65,tbMoveset!A2:I112,9,FALSE)="Water",VLOOKUP(Calculator!$E25,tbSkills!$AX3:$AY9,2,FALSE),IF(VLOOKUP(tbMoveset!A65,tbMoveset!A2:I112,9,FALSE)="Thunder",VLOOKUP(Calculator!$E26,tbSkills!$AX3:$AY9,2,FALSE),IF(VLOOKUP(tbMoveset!A65,tbMoveset!A2:I112,9,FALSE)="Ice",VLOOKUP(Calculator!$E27,tbSkills!$AX3:$AY9,2,FALSE),IF(VLOOKUP(tbMoveset!A65,tbMoveset!A2:I112,9,FALSE)="Dragon",VLOOKUP(Calculator!$E28,tbSkills!$AX3:$AY9,2,FALSE),0))))),0)/10))*N6)*AC6,0)*(B30/100),0)</f>
        <v>0</v>
      </c>
    </row>
    <row r="66" spans="43:73" x14ac:dyDescent="0.25">
      <c r="BS66">
        <f>VLOOKUP(Calculator!B4,SavedBuildNumbers!A1:DB73,106,FALSE)</f>
        <v>0</v>
      </c>
      <c r="BU66" s="49">
        <f>IFERROR(ROUNDDOWN((IF((ROUND((VLOOKUP(tbMoveset!A66,tbMoveset!A2:F112,6,FALSE)+(IF(VLOOKUP(tbMoveset!A66,tbMoveset!A2:F112,6,FALSE)&gt;0,K41,0)))*(1+(IF(VLOOKUP(tbMoveset!A66,tbMoveset!A2:I112,9,FALSE)="Fire",VLOOKUP(Calculator!$E24,tbSkills!$AX3:$AZ9,3,FALSE),IF(VLOOKUP(tbMoveset!A66,tbMoveset!A2:I112,9,FALSE)="Water",VLOOKUP(Calculator!$E25,tbSkills!$AX3:$AZ9,3,FALSE),IF(VLOOKUP(BackdoorsMoveset!A66,tbMoveset!A2:I112,9,FALSE)="Thunder",VLOOKUP(Calculator!$E26,tbSkills!$AX3:$AZ9,3,FALSE),IF(VLOOKUP(tbMoveset!A66,tbMoveset!A2:I112,9,FALSE)="Ice",VLOOKUP(Calculator!$E27,tbSkills!$AX3:$AZ9,3,FALSE),IF(VLOOKUP(tbMoveset!A66,tbMoveset!A2:I112,9,FALSE)="Dragon",VLOOKUP(Calculator!$E28,tbSkills!$AX3:$AZ9,3,FALSE),0)))))/100))*AC7,0)+IF(VLOOKUP(tbMoveset!A66,tbMoveset!A2:F112,6,FALSE)&gt;0,IF(VLOOKUP(tbMoveset!A66,tbMoveset!A2:I112,9,FALSE)="Fire",VLOOKUP(Calculator!$E24,tbSkills!$AX3:$AY9,2,FALSE),IF(VLOOKUP(tbMoveset!A66,tbMoveset!A2:I112,9,FALSE)="Water",VLOOKUP(Calculator!$E25,tbSkills!$AX3:$AY9,2,FALSE),IF(VLOOKUP(tbMoveset!A66,tbMoveset!A2:I112,9,FALSE)="Thunder",VLOOKUP(Calculator!$E26,tbSkills!$AX3:$AY9,2,FALSE),IF(VLOOKUP(tbMoveset!A66,tbMoveset!A2:I112,9,FALSE)="Ice",VLOOKUP(Calculator!$E27,tbSkills!$AX3:$AY9,2,FALSE),IF(VLOOKUP(tbMoveset!A66,tbMoveset!A2:I112,9,FALSE)="Dragon",VLOOKUP(Calculator!$E28,tbSkills!$AX3:$AY9,2,FALSE),0))))),0)/10)&gt;=B34,B34,(ROUND((VLOOKUP(tbMoveset!A66,tbMoveset!A2:F112,6,FALSE)+(IF(VLOOKUP(tbMoveset!A66,tbMoveset!A2:F112,6,FALSE)&gt;0,K41,0)))*(1+(IF(VLOOKUP(tbMoveset!A66,tbMoveset!A2:I112,9,FALSE)="Fire",VLOOKUP(Calculator!$E24,tbSkills!$AX3:$AZ9,3,FALSE),IF(VLOOKUP(tbMoveset!A66,tbMoveset!A2:I112,9,FALSE)="Water",VLOOKUP(Calculator!$E25,tbSkills!$AX3:$AZ9,3,FALSE),IF(VLOOKUP(BackdoorsMoveset!A66,tbMoveset!A2:I112,9,FALSE)="Thunder",VLOOKUP(Calculator!$E26,tbSkills!$AX3:$AZ9,3,FALSE),IF(VLOOKUP(tbMoveset!A66,tbMoveset!A2:I112,9,FALSE)="Ice",VLOOKUP(Calculator!$E27,tbSkills!$AX3:$AZ9,3,FALSE),IF(VLOOKUP(tbMoveset!A66,tbMoveset!A2:I112,9,FALSE)="Dragon",VLOOKUP(Calculator!$E28,tbSkills!$AX3:$AZ9,3,FALSE),0)))))/100))*AC7,0)+IF(VLOOKUP(tbMoveset!A66,tbMoveset!A2:F112,6,FALSE)&gt;0,IF(VLOOKUP(tbMoveset!A66,tbMoveset!A2:I112,9,FALSE)="Fire",VLOOKUP(Calculator!$E24,tbSkills!$AX3:$AY9,2,FALSE),IF(VLOOKUP(tbMoveset!A66,tbMoveset!A2:I112,9,FALSE)="Water",VLOOKUP(Calculator!$E25,tbSkills!$AX3:$AY9,2,FALSE),IF(VLOOKUP(tbMoveset!A66,tbMoveset!A2:I112,9,FALSE)="Thunder",VLOOKUP(Calculator!$E26,tbSkills!$AX3:$AY9,2,FALSE),IF(VLOOKUP(tbMoveset!A66,tbMoveset!A2:I112,9,FALSE)="Ice",VLOOKUP(Calculator!$E27,tbSkills!$AX3:$AY9,2,FALSE),IF(VLOOKUP(tbMoveset!A66,tbMoveset!A2:I112,9,FALSE)="Dragon",VLOOKUP(Calculator!$E28,tbSkills!$AX3:$AY9,2,FALSE),0))))),0)/10))*N6)*AC6,0)*(B30/100),0)</f>
        <v>0</v>
      </c>
    </row>
    <row r="67" spans="43:73" x14ac:dyDescent="0.25">
      <c r="AQ67" t="s">
        <v>574</v>
      </c>
      <c r="AR67">
        <f>IFERROR(INDEX(tbHitzones!K:K,MATCH(ROWS(tbHitzones!$1:6),tbHitzones!K:K,0)),"")</f>
        <v>6</v>
      </c>
      <c r="BS67">
        <f>VLOOKUP(Calculator!B4,SavedBuildNumbers!A1:DC73,107,FALSE)</f>
        <v>0</v>
      </c>
      <c r="BU67" s="49">
        <f>IFERROR(ROUNDDOWN((IF((ROUND((VLOOKUP(tbMoveset!A67,tbMoveset!A2:F112,6,FALSE)+(IF(VLOOKUP(tbMoveset!A67,tbMoveset!A2:F112,6,FALSE)&gt;0,K41,0)))*(1+(IF(VLOOKUP(tbMoveset!A67,tbMoveset!A2:I112,9,FALSE)="Fire",VLOOKUP(Calculator!$E24,tbSkills!$AX3:$AZ9,3,FALSE),IF(VLOOKUP(tbMoveset!A67,tbMoveset!A2:I112,9,FALSE)="Water",VLOOKUP(Calculator!$E25,tbSkills!$AX3:$AZ9,3,FALSE),IF(VLOOKUP(BackdoorsMoveset!A67,tbMoveset!A2:I112,9,FALSE)="Thunder",VLOOKUP(Calculator!$E26,tbSkills!$AX3:$AZ9,3,FALSE),IF(VLOOKUP(tbMoveset!A67,tbMoveset!A2:I112,9,FALSE)="Ice",VLOOKUP(Calculator!$E27,tbSkills!$AX3:$AZ9,3,FALSE),IF(VLOOKUP(tbMoveset!A67,tbMoveset!A2:I112,9,FALSE)="Dragon",VLOOKUP(Calculator!$E28,tbSkills!$AX3:$AZ9,3,FALSE),0)))))/100))*AC7,0)+IF(VLOOKUP(tbMoveset!A67,tbMoveset!A2:F112,6,FALSE)&gt;0,IF(VLOOKUP(tbMoveset!A67,tbMoveset!A2:I112,9,FALSE)="Fire",VLOOKUP(Calculator!$E24,tbSkills!$AX3:$AY9,2,FALSE),IF(VLOOKUP(tbMoveset!A67,tbMoveset!A2:I112,9,FALSE)="Water",VLOOKUP(Calculator!$E25,tbSkills!$AX3:$AY9,2,FALSE),IF(VLOOKUP(tbMoveset!A67,tbMoveset!A2:I112,9,FALSE)="Thunder",VLOOKUP(Calculator!$E26,tbSkills!$AX3:$AY9,2,FALSE),IF(VLOOKUP(tbMoveset!A67,tbMoveset!A2:I112,9,FALSE)="Ice",VLOOKUP(Calculator!$E27,tbSkills!$AX3:$AY9,2,FALSE),IF(VLOOKUP(tbMoveset!A67,tbMoveset!A2:I112,9,FALSE)="Dragon",VLOOKUP(Calculator!$E28,tbSkills!$AX3:$AY9,2,FALSE),0))))),0)/10)&gt;=B34,B34,(ROUND((VLOOKUP(tbMoveset!A67,tbMoveset!A2:F112,6,FALSE)+(IF(VLOOKUP(tbMoveset!A67,tbMoveset!A2:F112,6,FALSE)&gt;0,K41,0)))*(1+(IF(VLOOKUP(tbMoveset!A67,tbMoveset!A2:I112,9,FALSE)="Fire",VLOOKUP(Calculator!$E24,tbSkills!$AX3:$AZ9,3,FALSE),IF(VLOOKUP(tbMoveset!A67,tbMoveset!A2:I112,9,FALSE)="Water",VLOOKUP(Calculator!$E25,tbSkills!$AX3:$AZ9,3,FALSE),IF(VLOOKUP(BackdoorsMoveset!A67,tbMoveset!A2:I112,9,FALSE)="Thunder",VLOOKUP(Calculator!$E26,tbSkills!$AX3:$AZ9,3,FALSE),IF(VLOOKUP(tbMoveset!A67,tbMoveset!A2:I112,9,FALSE)="Ice",VLOOKUP(Calculator!$E27,tbSkills!$AX3:$AZ9,3,FALSE),IF(VLOOKUP(tbMoveset!A67,tbMoveset!A2:I112,9,FALSE)="Dragon",VLOOKUP(Calculator!$E28,tbSkills!$AX3:$AZ9,3,FALSE),0)))))/100))*AC7,0)+IF(VLOOKUP(tbMoveset!A67,tbMoveset!A2:F112,6,FALSE)&gt;0,IF(VLOOKUP(tbMoveset!A67,tbMoveset!A2:I112,9,FALSE)="Fire",VLOOKUP(Calculator!$E24,tbSkills!$AX3:$AY9,2,FALSE),IF(VLOOKUP(tbMoveset!A67,tbMoveset!A2:I112,9,FALSE)="Water",VLOOKUP(Calculator!$E25,tbSkills!$AX3:$AY9,2,FALSE),IF(VLOOKUP(tbMoveset!A67,tbMoveset!A2:I112,9,FALSE)="Thunder",VLOOKUP(Calculator!$E26,tbSkills!$AX3:$AY9,2,FALSE),IF(VLOOKUP(tbMoveset!A67,tbMoveset!A2:I112,9,FALSE)="Ice",VLOOKUP(Calculator!$E27,tbSkills!$AX3:$AY9,2,FALSE),IF(VLOOKUP(tbMoveset!A67,tbMoveset!A2:I112,9,FALSE)="Dragon",VLOOKUP(Calculator!$E28,tbSkills!$AX3:$AY9,2,FALSE),0))))),0)/10))*N6)*AC6,0)*(B30/100),0)</f>
        <v>0</v>
      </c>
    </row>
    <row r="68" spans="43:73" x14ac:dyDescent="0.25">
      <c r="AQ68" t="s">
        <v>234</v>
      </c>
      <c r="AR68">
        <f>IFERROR(N8/BN8,0)</f>
        <v>13.669902912621358</v>
      </c>
      <c r="BS68">
        <f>VLOOKUP(Calculator!B4,SavedBuildNumbers!A1:DD73,108,FALSE)</f>
        <v>0</v>
      </c>
      <c r="BU68" s="49">
        <f>IFERROR(ROUNDDOWN((IF((ROUND((VLOOKUP(tbMoveset!A68,tbMoveset!A2:F112,6,FALSE)+(IF(VLOOKUP(tbMoveset!A68,tbMoveset!A2:F112,6,FALSE)&gt;0,K41,0)))*(1+(IF(VLOOKUP(tbMoveset!A68,tbMoveset!A2:I112,9,FALSE)="Fire",VLOOKUP(Calculator!$E24,tbSkills!$AX3:$AZ9,3,FALSE),IF(VLOOKUP(tbMoveset!A68,tbMoveset!A2:I112,9,FALSE)="Water",VLOOKUP(Calculator!$E25,tbSkills!$AX3:$AZ9,3,FALSE),IF(VLOOKUP(BackdoorsMoveset!A68,tbMoveset!A2:I112,9,FALSE)="Thunder",VLOOKUP(Calculator!$E26,tbSkills!$AX3:$AZ9,3,FALSE),IF(VLOOKUP(tbMoveset!A68,tbMoveset!A2:I112,9,FALSE)="Ice",VLOOKUP(Calculator!$E27,tbSkills!$AX3:$AZ9,3,FALSE),IF(VLOOKUP(tbMoveset!A68,tbMoveset!A2:I112,9,FALSE)="Dragon",VLOOKUP(Calculator!$E28,tbSkills!$AX3:$AZ9,3,FALSE),0)))))/100))*AC7,0)+IF(VLOOKUP(tbMoveset!A68,tbMoveset!A2:F112,6,FALSE)&gt;0,IF(VLOOKUP(tbMoveset!A68,tbMoveset!A2:I112,9,FALSE)="Fire",VLOOKUP(Calculator!$E24,tbSkills!$AX3:$AY9,2,FALSE),IF(VLOOKUP(tbMoveset!A68,tbMoveset!A2:I112,9,FALSE)="Water",VLOOKUP(Calculator!$E25,tbSkills!$AX3:$AY9,2,FALSE),IF(VLOOKUP(tbMoveset!A68,tbMoveset!A2:I112,9,FALSE)="Thunder",VLOOKUP(Calculator!$E26,tbSkills!$AX3:$AY9,2,FALSE),IF(VLOOKUP(tbMoveset!A68,tbMoveset!A2:I112,9,FALSE)="Ice",VLOOKUP(Calculator!$E27,tbSkills!$AX3:$AY9,2,FALSE),IF(VLOOKUP(tbMoveset!A68,tbMoveset!A2:I112,9,FALSE)="Dragon",VLOOKUP(Calculator!$E28,tbSkills!$AX3:$AY9,2,FALSE),0))))),0)/10)&gt;=B34,B34,(ROUND((VLOOKUP(tbMoveset!A68,tbMoveset!A2:F112,6,FALSE)+(IF(VLOOKUP(tbMoveset!A68,tbMoveset!A2:F112,6,FALSE)&gt;0,K41,0)))*(1+(IF(VLOOKUP(tbMoveset!A68,tbMoveset!A2:I112,9,FALSE)="Fire",VLOOKUP(Calculator!$E24,tbSkills!$AX3:$AZ9,3,FALSE),IF(VLOOKUP(tbMoveset!A68,tbMoveset!A2:I112,9,FALSE)="Water",VLOOKUP(Calculator!$E25,tbSkills!$AX3:$AZ9,3,FALSE),IF(VLOOKUP(BackdoorsMoveset!A68,tbMoveset!A2:I112,9,FALSE)="Thunder",VLOOKUP(Calculator!$E26,tbSkills!$AX3:$AZ9,3,FALSE),IF(VLOOKUP(tbMoveset!A68,tbMoveset!A2:I112,9,FALSE)="Ice",VLOOKUP(Calculator!$E27,tbSkills!$AX3:$AZ9,3,FALSE),IF(VLOOKUP(tbMoveset!A68,tbMoveset!A2:I112,9,FALSE)="Dragon",VLOOKUP(Calculator!$E28,tbSkills!$AX3:$AZ9,3,FALSE),0)))))/100))*AC7,0)+IF(VLOOKUP(tbMoveset!A68,tbMoveset!A2:F112,6,FALSE)&gt;0,IF(VLOOKUP(tbMoveset!A68,tbMoveset!A2:I112,9,FALSE)="Fire",VLOOKUP(Calculator!$E24,tbSkills!$AX3:$AY9,2,FALSE),IF(VLOOKUP(tbMoveset!A68,tbMoveset!A2:I112,9,FALSE)="Water",VLOOKUP(Calculator!$E25,tbSkills!$AX3:$AY9,2,FALSE),IF(VLOOKUP(tbMoveset!A68,tbMoveset!A2:I112,9,FALSE)="Thunder",VLOOKUP(Calculator!$E26,tbSkills!$AX3:$AY9,2,FALSE),IF(VLOOKUP(tbMoveset!A68,tbMoveset!A2:I112,9,FALSE)="Ice",VLOOKUP(Calculator!$E27,tbSkills!$AX3:$AY9,2,FALSE),IF(VLOOKUP(tbMoveset!A68,tbMoveset!A2:I112,9,FALSE)="Dragon",VLOOKUP(Calculator!$E28,tbSkills!$AX3:$AY9,2,FALSE),0))))),0)/10))*N6)*AC6,0)*(B30/100),0)</f>
        <v>0</v>
      </c>
    </row>
    <row r="69" spans="43:73" x14ac:dyDescent="0.25">
      <c r="AQ69" t="s">
        <v>572</v>
      </c>
      <c r="AR69">
        <f>AO6*AO23</f>
        <v>0</v>
      </c>
      <c r="BS69">
        <f>VLOOKUP(Calculator!B4,SavedBuildNumbers!A1:DE73,109,FALSE)</f>
        <v>0</v>
      </c>
      <c r="BU69" s="49">
        <f>IFERROR(ROUNDDOWN((IF((ROUND((VLOOKUP(tbMoveset!A69,tbMoveset!A2:F112,6,FALSE)+(IF(VLOOKUP(tbMoveset!A69,tbMoveset!A2:F112,6,FALSE)&gt;0,K41,0)))*(1+(IF(VLOOKUP(tbMoveset!A69,tbMoveset!A2:I112,9,FALSE)="Fire",VLOOKUP(Calculator!$E24,tbSkills!$AX3:$AZ9,3,FALSE),IF(VLOOKUP(tbMoveset!A69,tbMoveset!A2:I112,9,FALSE)="Water",VLOOKUP(Calculator!$E25,tbSkills!$AX3:$AZ9,3,FALSE),IF(VLOOKUP(BackdoorsMoveset!A69,tbMoveset!A2:I112,9,FALSE)="Thunder",VLOOKUP(Calculator!$E26,tbSkills!$AX3:$AZ9,3,FALSE),IF(VLOOKUP(tbMoveset!A69,tbMoveset!A2:I112,9,FALSE)="Ice",VLOOKUP(Calculator!$E27,tbSkills!$AX3:$AZ9,3,FALSE),IF(VLOOKUP(tbMoveset!A69,tbMoveset!A2:I112,9,FALSE)="Dragon",VLOOKUP(Calculator!$E28,tbSkills!$AX3:$AZ9,3,FALSE),0)))))/100))*AC7,0)+IF(VLOOKUP(tbMoveset!A69,tbMoveset!A2:F112,6,FALSE)&gt;0,IF(VLOOKUP(tbMoveset!A69,tbMoveset!A2:I112,9,FALSE)="Fire",VLOOKUP(Calculator!$E24,tbSkills!$AX3:$AY9,2,FALSE),IF(VLOOKUP(tbMoveset!A69,tbMoveset!A2:I112,9,FALSE)="Water",VLOOKUP(Calculator!$E25,tbSkills!$AX3:$AY9,2,FALSE),IF(VLOOKUP(tbMoveset!A69,tbMoveset!A2:I112,9,FALSE)="Thunder",VLOOKUP(Calculator!$E26,tbSkills!$AX3:$AY9,2,FALSE),IF(VLOOKUP(tbMoveset!A69,tbMoveset!A2:I112,9,FALSE)="Ice",VLOOKUP(Calculator!$E27,tbSkills!$AX3:$AY9,2,FALSE),IF(VLOOKUP(tbMoveset!A69,tbMoveset!A2:I112,9,FALSE)="Dragon",VLOOKUP(Calculator!$E28,tbSkills!$AX3:$AY9,2,FALSE),0))))),0)/10)&gt;=B34,B34,(ROUND((VLOOKUP(tbMoveset!A69,tbMoveset!A2:F112,6,FALSE)+(IF(VLOOKUP(tbMoveset!A69,tbMoveset!A2:F112,6,FALSE)&gt;0,K41,0)))*(1+(IF(VLOOKUP(tbMoveset!A69,tbMoveset!A2:I112,9,FALSE)="Fire",VLOOKUP(Calculator!$E24,tbSkills!$AX3:$AZ9,3,FALSE),IF(VLOOKUP(tbMoveset!A69,tbMoveset!A2:I112,9,FALSE)="Water",VLOOKUP(Calculator!$E25,tbSkills!$AX3:$AZ9,3,FALSE),IF(VLOOKUP(BackdoorsMoveset!A69,tbMoveset!A2:I112,9,FALSE)="Thunder",VLOOKUP(Calculator!$E26,tbSkills!$AX3:$AZ9,3,FALSE),IF(VLOOKUP(tbMoveset!A69,tbMoveset!A2:I112,9,FALSE)="Ice",VLOOKUP(Calculator!$E27,tbSkills!$AX3:$AZ9,3,FALSE),IF(VLOOKUP(tbMoveset!A69,tbMoveset!A2:I112,9,FALSE)="Dragon",VLOOKUP(Calculator!$E28,tbSkills!$AX3:$AZ9,3,FALSE),0)))))/100))*AC7,0)+IF(VLOOKUP(tbMoveset!A69,tbMoveset!A2:F112,6,FALSE)&gt;0,IF(VLOOKUP(tbMoveset!A69,tbMoveset!A2:I112,9,FALSE)="Fire",VLOOKUP(Calculator!$E24,tbSkills!$AX3:$AY9,2,FALSE),IF(VLOOKUP(tbMoveset!A69,tbMoveset!A2:I112,9,FALSE)="Water",VLOOKUP(Calculator!$E25,tbSkills!$AX3:$AY9,2,FALSE),IF(VLOOKUP(tbMoveset!A69,tbMoveset!A2:I112,9,FALSE)="Thunder",VLOOKUP(Calculator!$E26,tbSkills!$AX3:$AY9,2,FALSE),IF(VLOOKUP(tbMoveset!A69,tbMoveset!A2:I112,9,FALSE)="Ice",VLOOKUP(Calculator!$E27,tbSkills!$AX3:$AY9,2,FALSE),IF(VLOOKUP(tbMoveset!A69,tbMoveset!A2:I112,9,FALSE)="Dragon",VLOOKUP(Calculator!$E28,tbSkills!$AX3:$AY9,2,FALSE),0))))),0)/10))*N6)*AC6,0)*(B30/100),0)</f>
        <v>0</v>
      </c>
    </row>
    <row r="70" spans="43:73" x14ac:dyDescent="0.25">
      <c r="AQ70" t="s">
        <v>190</v>
      </c>
      <c r="AR70">
        <f>AR68*AR69</f>
        <v>0</v>
      </c>
      <c r="BS70">
        <f>VLOOKUP(Calculator!B4,SavedBuildNumbers!A1:DF73,110,FALSE)</f>
        <v>0</v>
      </c>
      <c r="BU70" s="49">
        <f>IFERROR(ROUNDDOWN((IF((ROUND((VLOOKUP(tbMoveset!A70,tbMoveset!A2:F112,6,FALSE)+(IF(VLOOKUP(tbMoveset!A70,tbMoveset!A2:F112,6,FALSE)&gt;0,K41,0)))*(1+(IF(VLOOKUP(tbMoveset!A70,tbMoveset!A2:I112,9,FALSE)="Fire",VLOOKUP(Calculator!$E24,tbSkills!$AX3:$AZ9,3,FALSE),IF(VLOOKUP(tbMoveset!A70,tbMoveset!A2:I112,9,FALSE)="Water",VLOOKUP(Calculator!$E25,tbSkills!$AX3:$AZ9,3,FALSE),IF(VLOOKUP(BackdoorsMoveset!A70,tbMoveset!A2:I112,9,FALSE)="Thunder",VLOOKUP(Calculator!$E26,tbSkills!$AX3:$AZ9,3,FALSE),IF(VLOOKUP(tbMoveset!A70,tbMoveset!A2:I112,9,FALSE)="Ice",VLOOKUP(Calculator!$E27,tbSkills!$AX3:$AZ9,3,FALSE),IF(VLOOKUP(tbMoveset!A70,tbMoveset!A2:I112,9,FALSE)="Dragon",VLOOKUP(Calculator!$E28,tbSkills!$AX3:$AZ9,3,FALSE),0)))))/100))*AC7,0)+IF(VLOOKUP(tbMoveset!A70,tbMoveset!A2:F112,6,FALSE)&gt;0,IF(VLOOKUP(tbMoveset!A70,tbMoveset!A2:I112,9,FALSE)="Fire",VLOOKUP(Calculator!$E24,tbSkills!$AX3:$AY9,2,FALSE),IF(VLOOKUP(tbMoveset!A70,tbMoveset!A2:I112,9,FALSE)="Water",VLOOKUP(Calculator!$E25,tbSkills!$AX3:$AY9,2,FALSE),IF(VLOOKUP(tbMoveset!A70,tbMoveset!A2:I112,9,FALSE)="Thunder",VLOOKUP(Calculator!$E26,tbSkills!$AX3:$AY9,2,FALSE),IF(VLOOKUP(tbMoveset!A70,tbMoveset!A2:I112,9,FALSE)="Ice",VLOOKUP(Calculator!$E27,tbSkills!$AX3:$AY9,2,FALSE),IF(VLOOKUP(tbMoveset!A70,tbMoveset!A2:I112,9,FALSE)="Dragon",VLOOKUP(Calculator!$E28,tbSkills!$AX3:$AY9,2,FALSE),0))))),0)/10)&gt;=B34,B34,(ROUND((VLOOKUP(tbMoveset!A70,tbMoveset!A2:F112,6,FALSE)+(IF(VLOOKUP(tbMoveset!A70,tbMoveset!A2:F112,6,FALSE)&gt;0,K41,0)))*(1+(IF(VLOOKUP(tbMoveset!A70,tbMoveset!A2:I112,9,FALSE)="Fire",VLOOKUP(Calculator!$E24,tbSkills!$AX3:$AZ9,3,FALSE),IF(VLOOKUP(tbMoveset!A70,tbMoveset!A2:I112,9,FALSE)="Water",VLOOKUP(Calculator!$E25,tbSkills!$AX3:$AZ9,3,FALSE),IF(VLOOKUP(BackdoorsMoveset!A70,tbMoveset!A2:I112,9,FALSE)="Thunder",VLOOKUP(Calculator!$E26,tbSkills!$AX3:$AZ9,3,FALSE),IF(VLOOKUP(tbMoveset!A70,tbMoveset!A2:I112,9,FALSE)="Ice",VLOOKUP(Calculator!$E27,tbSkills!$AX3:$AZ9,3,FALSE),IF(VLOOKUP(tbMoveset!A70,tbMoveset!A2:I112,9,FALSE)="Dragon",VLOOKUP(Calculator!$E28,tbSkills!$AX3:$AZ9,3,FALSE),0)))))/100))*AC7,0)+IF(VLOOKUP(tbMoveset!A70,tbMoveset!A2:F112,6,FALSE)&gt;0,IF(VLOOKUP(tbMoveset!A70,tbMoveset!A2:I112,9,FALSE)="Fire",VLOOKUP(Calculator!$E24,tbSkills!$AX3:$AY9,2,FALSE),IF(VLOOKUP(tbMoveset!A70,tbMoveset!A2:I112,9,FALSE)="Water",VLOOKUP(Calculator!$E25,tbSkills!$AX3:$AY9,2,FALSE),IF(VLOOKUP(tbMoveset!A70,tbMoveset!A2:I112,9,FALSE)="Thunder",VLOOKUP(Calculator!$E26,tbSkills!$AX3:$AY9,2,FALSE),IF(VLOOKUP(tbMoveset!A70,tbMoveset!A2:I112,9,FALSE)="Ice",VLOOKUP(Calculator!$E27,tbSkills!$AX3:$AY9,2,FALSE),IF(VLOOKUP(tbMoveset!A70,tbMoveset!A2:I112,9,FALSE)="Dragon",VLOOKUP(Calculator!$E28,tbSkills!$AX3:$AY9,2,FALSE),0))))),0)/10))*N6)*AC6,0)*(B30/100),0)</f>
        <v>0</v>
      </c>
    </row>
    <row r="71" spans="43:73" x14ac:dyDescent="0.25">
      <c r="AQ71" t="s">
        <v>235</v>
      </c>
      <c r="AR71">
        <f>IF($AR70&gt;=$AU51,50,IF($AR70&gt;=$AU50,49,IF($AR70&gt;=$AU49,48,IF($AR70&gt;=$AU48,47,IF($AR70&gt;=$AU47,46,IF($AR70&gt;=$AU46,45,IF($AR70&gt;=$AU45,44,IF($AR70&gt;=$AU44,43,IF($AR70&gt;=$AU43,42,IF($AR70&gt;=$AU42,41,IF($AR70&gt;=$AU41,40,IF($AR70&gt;=$AU40,39,IF($AR70&gt;=$AU39,38,IF($AR70&gt;=$AU38,37,IF($AR70&gt;=$AU37,36,IF($AR70&gt;=$AU36,35,IF($AR70&gt;=$AU35,34,IF($AR70&gt;=$AU34,33,IF($AR70&gt;=$AU33,32,IF($AR70&gt;=$AU32,31,IF($AR70&gt;=$AU31,30,IF($AR70&gt;=$AU30,29,IF($AR70&gt;=$AU29,28,IF($AR70&gt;=$AU28,27,IF($AR70&gt;=$AU27,26,IF($AR70&gt;=$AU26,25,IF($AR70&gt;=$AU25,24,IF($AR70&gt;=$AU24,23,IF($AR70&gt;=$AU23,22,IF($AR70&gt;=$AU22,21,IF($AR70&gt;=$AU21,20,IF($AR70&gt;=$AU20,19,IF($AR70&gt;=$AU19,18,IF($AR70&gt;=$AU18,17,IF($AR70&gt;=$AU17,16,IF($AR70&gt;=$AU16,15,IF($AR70&gt;=$AU15,14,IF($AR70&gt;=$AU14,13,IF($AR70&gt;=$AU13,12,IF($AR70&gt;=$AU12,11,IF($AR70&gt;=$AU11,10,IF($AR70&gt;=$AU10,9,IF($AR70&gt;=$AU9,8,IF($AR70&gt;=$AU8,7,IF($AR70&gt;=$AU7,6,IF($AR70&gt;=$AU6,5,IF($AR70&gt;=$AU5,4,IF($AR70&gt;=$AU4,3,IF($AR70&gt;=$AU3,2,IF($AR70&gt;=$AU2,1,0))))))))))))))))))))))))))))))))))))))))))))))))))</f>
        <v>0</v>
      </c>
      <c r="BS71">
        <f>VLOOKUP(Calculator!B4,SavedBuildNumbers!A1:DG73,111,FALSE)</f>
        <v>0</v>
      </c>
      <c r="BU71" s="49">
        <f>IFERROR(ROUNDDOWN((IF((ROUND((VLOOKUP(tbMoveset!A71,tbMoveset!A2:F112,6,FALSE)+(IF(VLOOKUP(tbMoveset!A71,tbMoveset!A2:F112,6,FALSE)&gt;0,K41,0)))*(1+(IF(VLOOKUP(tbMoveset!A71,tbMoveset!A2:I112,9,FALSE)="Fire",VLOOKUP(Calculator!$E24,tbSkills!$AX3:$AZ9,3,FALSE),IF(VLOOKUP(tbMoveset!A71,tbMoveset!A2:I112,9,FALSE)="Water",VLOOKUP(Calculator!$E25,tbSkills!$AX3:$AZ9,3,FALSE),IF(VLOOKUP(BackdoorsMoveset!A71,tbMoveset!A2:I112,9,FALSE)="Thunder",VLOOKUP(Calculator!$E26,tbSkills!$AX3:$AZ9,3,FALSE),IF(VLOOKUP(tbMoveset!A71,tbMoveset!A2:I112,9,FALSE)="Ice",VLOOKUP(Calculator!$E27,tbSkills!$AX3:$AZ9,3,FALSE),IF(VLOOKUP(tbMoveset!A71,tbMoveset!A2:I112,9,FALSE)="Dragon",VLOOKUP(Calculator!$E28,tbSkills!$AX3:$AZ9,3,FALSE),0)))))/100))*AC7,0)+IF(VLOOKUP(tbMoveset!A71,tbMoveset!A2:F112,6,FALSE)&gt;0,IF(VLOOKUP(tbMoveset!A71,tbMoveset!A2:I112,9,FALSE)="Fire",VLOOKUP(Calculator!$E24,tbSkills!$AX3:$AY9,2,FALSE),IF(VLOOKUP(tbMoveset!A71,tbMoveset!A2:I112,9,FALSE)="Water",VLOOKUP(Calculator!$E25,tbSkills!$AX3:$AY9,2,FALSE),IF(VLOOKUP(tbMoveset!A71,tbMoveset!A2:I112,9,FALSE)="Thunder",VLOOKUP(Calculator!$E26,tbSkills!$AX3:$AY9,2,FALSE),IF(VLOOKUP(tbMoveset!A71,tbMoveset!A2:I112,9,FALSE)="Ice",VLOOKUP(Calculator!$E27,tbSkills!$AX3:$AY9,2,FALSE),IF(VLOOKUP(tbMoveset!A71,tbMoveset!A2:I112,9,FALSE)="Dragon",VLOOKUP(Calculator!$E28,tbSkills!$AX3:$AY9,2,FALSE),0))))),0)/10)&gt;=B34,B34,(ROUND((VLOOKUP(tbMoveset!A71,tbMoveset!A2:F112,6,FALSE)+(IF(VLOOKUP(tbMoveset!A71,tbMoveset!A2:F112,6,FALSE)&gt;0,K41,0)))*(1+(IF(VLOOKUP(tbMoveset!A71,tbMoveset!A2:I112,9,FALSE)="Fire",VLOOKUP(Calculator!$E24,tbSkills!$AX3:$AZ9,3,FALSE),IF(VLOOKUP(tbMoveset!A71,tbMoveset!A2:I112,9,FALSE)="Water",VLOOKUP(Calculator!$E25,tbSkills!$AX3:$AZ9,3,FALSE),IF(VLOOKUP(BackdoorsMoveset!A71,tbMoveset!A2:I112,9,FALSE)="Thunder",VLOOKUP(Calculator!$E26,tbSkills!$AX3:$AZ9,3,FALSE),IF(VLOOKUP(tbMoveset!A71,tbMoveset!A2:I112,9,FALSE)="Ice",VLOOKUP(Calculator!$E27,tbSkills!$AX3:$AZ9,3,FALSE),IF(VLOOKUP(tbMoveset!A71,tbMoveset!A2:I112,9,FALSE)="Dragon",VLOOKUP(Calculator!$E28,tbSkills!$AX3:$AZ9,3,FALSE),0)))))/100))*AC7,0)+IF(VLOOKUP(tbMoveset!A71,tbMoveset!A2:F112,6,FALSE)&gt;0,IF(VLOOKUP(tbMoveset!A71,tbMoveset!A2:I112,9,FALSE)="Fire",VLOOKUP(Calculator!$E24,tbSkills!$AX3:$AY9,2,FALSE),IF(VLOOKUP(tbMoveset!A71,tbMoveset!A2:I112,9,FALSE)="Water",VLOOKUP(Calculator!$E25,tbSkills!$AX3:$AY9,2,FALSE),IF(VLOOKUP(tbMoveset!A71,tbMoveset!A2:I112,9,FALSE)="Thunder",VLOOKUP(Calculator!$E26,tbSkills!$AX3:$AY9,2,FALSE),IF(VLOOKUP(tbMoveset!A71,tbMoveset!A2:I112,9,FALSE)="Ice",VLOOKUP(Calculator!$E27,tbSkills!$AX3:$AY9,2,FALSE),IF(VLOOKUP(tbMoveset!A71,tbMoveset!A2:I112,9,FALSE)="Dragon",VLOOKUP(Calculator!$E28,tbSkills!$AX3:$AY9,2,FALSE),0))))),0)/10))*N6)*AC6,0)*(B30/100),0)</f>
        <v>0</v>
      </c>
    </row>
    <row r="72" spans="43:73" x14ac:dyDescent="0.25">
      <c r="AQ72" t="s">
        <v>236</v>
      </c>
      <c r="AR72">
        <f>AR71*VLOOKUP(AO8,tbStatus!A22:E33,5,FALSE)</f>
        <v>0</v>
      </c>
      <c r="BS72">
        <f>VLOOKUP(Calculator!B4,SavedBuildNumbers!A1:DH73,112,FALSE)</f>
        <v>0</v>
      </c>
      <c r="BU72" s="49">
        <f>IFERROR(ROUNDDOWN((IF((ROUND((VLOOKUP(tbMoveset!A72,tbMoveset!A2:F112,6,FALSE)+(IF(VLOOKUP(tbMoveset!A72,tbMoveset!A2:F112,6,FALSE)&gt;0,K41,0)))*(1+(IF(VLOOKUP(tbMoveset!A72,tbMoveset!A2:I112,9,FALSE)="Fire",VLOOKUP(Calculator!$E24,tbSkills!$AX3:$AZ9,3,FALSE),IF(VLOOKUP(tbMoveset!A72,tbMoveset!A2:I112,9,FALSE)="Water",VLOOKUP(Calculator!$E25,tbSkills!$AX3:$AZ9,3,FALSE),IF(VLOOKUP(BackdoorsMoveset!A72,tbMoveset!A2:I112,9,FALSE)="Thunder",VLOOKUP(Calculator!$E26,tbSkills!$AX3:$AZ9,3,FALSE),IF(VLOOKUP(tbMoveset!A72,tbMoveset!A2:I112,9,FALSE)="Ice",VLOOKUP(Calculator!$E27,tbSkills!$AX3:$AZ9,3,FALSE),IF(VLOOKUP(tbMoveset!A72,tbMoveset!A2:I112,9,FALSE)="Dragon",VLOOKUP(Calculator!$E28,tbSkills!$AX3:$AZ9,3,FALSE),0)))))/100))*AC7,0)+IF(VLOOKUP(tbMoveset!A72,tbMoveset!A2:F112,6,FALSE)&gt;0,IF(VLOOKUP(tbMoveset!A72,tbMoveset!A2:I112,9,FALSE)="Fire",VLOOKUP(Calculator!$E24,tbSkills!$AX3:$AY9,2,FALSE),IF(VLOOKUP(tbMoveset!A72,tbMoveset!A2:I112,9,FALSE)="Water",VLOOKUP(Calculator!$E25,tbSkills!$AX3:$AY9,2,FALSE),IF(VLOOKUP(tbMoveset!A72,tbMoveset!A2:I112,9,FALSE)="Thunder",VLOOKUP(Calculator!$E26,tbSkills!$AX3:$AY9,2,FALSE),IF(VLOOKUP(tbMoveset!A72,tbMoveset!A2:I112,9,FALSE)="Ice",VLOOKUP(Calculator!$E27,tbSkills!$AX3:$AY9,2,FALSE),IF(VLOOKUP(tbMoveset!A72,tbMoveset!A2:I112,9,FALSE)="Dragon",VLOOKUP(Calculator!$E28,tbSkills!$AX3:$AY9,2,FALSE),0))))),0)/10)&gt;=B34,B34,(ROUND((VLOOKUP(tbMoveset!A72,tbMoveset!A2:F112,6,FALSE)+(IF(VLOOKUP(tbMoveset!A72,tbMoveset!A2:F112,6,FALSE)&gt;0,K41,0)))*(1+(IF(VLOOKUP(tbMoveset!A72,tbMoveset!A2:I112,9,FALSE)="Fire",VLOOKUP(Calculator!$E24,tbSkills!$AX3:$AZ9,3,FALSE),IF(VLOOKUP(tbMoveset!A72,tbMoveset!A2:I112,9,FALSE)="Water",VLOOKUP(Calculator!$E25,tbSkills!$AX3:$AZ9,3,FALSE),IF(VLOOKUP(BackdoorsMoveset!A72,tbMoveset!A2:I112,9,FALSE)="Thunder",VLOOKUP(Calculator!$E26,tbSkills!$AX3:$AZ9,3,FALSE),IF(VLOOKUP(tbMoveset!A72,tbMoveset!A2:I112,9,FALSE)="Ice",VLOOKUP(Calculator!$E27,tbSkills!$AX3:$AZ9,3,FALSE),IF(VLOOKUP(tbMoveset!A72,tbMoveset!A2:I112,9,FALSE)="Dragon",VLOOKUP(Calculator!$E28,tbSkills!$AX3:$AZ9,3,FALSE),0)))))/100))*AC7,0)+IF(VLOOKUP(tbMoveset!A72,tbMoveset!A2:F112,6,FALSE)&gt;0,IF(VLOOKUP(tbMoveset!A72,tbMoveset!A2:I112,9,FALSE)="Fire",VLOOKUP(Calculator!$E24,tbSkills!$AX3:$AY9,2,FALSE),IF(VLOOKUP(tbMoveset!A72,tbMoveset!A2:I112,9,FALSE)="Water",VLOOKUP(Calculator!$E25,tbSkills!$AX3:$AY9,2,FALSE),IF(VLOOKUP(tbMoveset!A72,tbMoveset!A2:I112,9,FALSE)="Thunder",VLOOKUP(Calculator!$E26,tbSkills!$AX3:$AY9,2,FALSE),IF(VLOOKUP(tbMoveset!A72,tbMoveset!A2:I112,9,FALSE)="Ice",VLOOKUP(Calculator!$E27,tbSkills!$AX3:$AY9,2,FALSE),IF(VLOOKUP(tbMoveset!A72,tbMoveset!A2:I112,9,FALSE)="Dragon",VLOOKUP(Calculator!$E28,tbSkills!$AX3:$AY9,2,FALSE),0))))),0)/10))*N6)*AC6,0)*(B30/100),0)</f>
        <v>0</v>
      </c>
    </row>
    <row r="73" spans="43:73" x14ac:dyDescent="0.25">
      <c r="AQ73" t="s">
        <v>237</v>
      </c>
      <c r="AR73">
        <f>N8-AR72</f>
        <v>1408</v>
      </c>
      <c r="BS73">
        <f>VLOOKUP(Calculator!B4,SavedBuildNumbers!A1:DI73,113,FALSE)</f>
        <v>0</v>
      </c>
      <c r="BU73" s="49">
        <f>IFERROR(ROUNDDOWN((IF((ROUND((VLOOKUP(tbMoveset!A73,tbMoveset!A2:F112,6,FALSE)+(IF(VLOOKUP(tbMoveset!A73,tbMoveset!A2:F112,6,FALSE)&gt;0,K41,0)))*(1+(IF(VLOOKUP(tbMoveset!A73,tbMoveset!A2:I112,9,FALSE)="Fire",VLOOKUP(Calculator!$E24,tbSkills!$AX3:$AZ9,3,FALSE),IF(VLOOKUP(tbMoveset!A73,tbMoveset!A2:I112,9,FALSE)="Water",VLOOKUP(Calculator!$E25,tbSkills!$AX3:$AZ9,3,FALSE),IF(VLOOKUP(BackdoorsMoveset!A73,tbMoveset!A2:I112,9,FALSE)="Thunder",VLOOKUP(Calculator!$E26,tbSkills!$AX3:$AZ9,3,FALSE),IF(VLOOKUP(tbMoveset!A73,tbMoveset!A2:I112,9,FALSE)="Ice",VLOOKUP(Calculator!$E27,tbSkills!$AX3:$AZ9,3,FALSE),IF(VLOOKUP(tbMoveset!A73,tbMoveset!A2:I112,9,FALSE)="Dragon",VLOOKUP(Calculator!$E28,tbSkills!$AX3:$AZ9,3,FALSE),0)))))/100))*AC7,0)+IF(VLOOKUP(tbMoveset!A73,tbMoveset!A2:F112,6,FALSE)&gt;0,IF(VLOOKUP(tbMoveset!A73,tbMoveset!A2:I112,9,FALSE)="Fire",VLOOKUP(Calculator!$E24,tbSkills!$AX3:$AY9,2,FALSE),IF(VLOOKUP(tbMoveset!A73,tbMoveset!A2:I112,9,FALSE)="Water",VLOOKUP(Calculator!$E25,tbSkills!$AX3:$AY9,2,FALSE),IF(VLOOKUP(tbMoveset!A73,tbMoveset!A2:I112,9,FALSE)="Thunder",VLOOKUP(Calculator!$E26,tbSkills!$AX3:$AY9,2,FALSE),IF(VLOOKUP(tbMoveset!A73,tbMoveset!A2:I112,9,FALSE)="Ice",VLOOKUP(Calculator!$E27,tbSkills!$AX3:$AY9,2,FALSE),IF(VLOOKUP(tbMoveset!A73,tbMoveset!A2:I112,9,FALSE)="Dragon",VLOOKUP(Calculator!$E28,tbSkills!$AX3:$AY9,2,FALSE),0))))),0)/10)&gt;=B34,B34,(ROUND((VLOOKUP(tbMoveset!A73,tbMoveset!A2:F112,6,FALSE)+(IF(VLOOKUP(tbMoveset!A73,tbMoveset!A2:F112,6,FALSE)&gt;0,K41,0)))*(1+(IF(VLOOKUP(tbMoveset!A73,tbMoveset!A2:I112,9,FALSE)="Fire",VLOOKUP(Calculator!$E24,tbSkills!$AX3:$AZ9,3,FALSE),IF(VLOOKUP(tbMoveset!A73,tbMoveset!A2:I112,9,FALSE)="Water",VLOOKUP(Calculator!$E25,tbSkills!$AX3:$AZ9,3,FALSE),IF(VLOOKUP(BackdoorsMoveset!A73,tbMoveset!A2:I112,9,FALSE)="Thunder",VLOOKUP(Calculator!$E26,tbSkills!$AX3:$AZ9,3,FALSE),IF(VLOOKUP(tbMoveset!A73,tbMoveset!A2:I112,9,FALSE)="Ice",VLOOKUP(Calculator!$E27,tbSkills!$AX3:$AZ9,3,FALSE),IF(VLOOKUP(tbMoveset!A73,tbMoveset!A2:I112,9,FALSE)="Dragon",VLOOKUP(Calculator!$E28,tbSkills!$AX3:$AZ9,3,FALSE),0)))))/100))*AC7,0)+IF(VLOOKUP(tbMoveset!A73,tbMoveset!A2:F112,6,FALSE)&gt;0,IF(VLOOKUP(tbMoveset!A73,tbMoveset!A2:I112,9,FALSE)="Fire",VLOOKUP(Calculator!$E24,tbSkills!$AX3:$AY9,2,FALSE),IF(VLOOKUP(tbMoveset!A73,tbMoveset!A2:I112,9,FALSE)="Water",VLOOKUP(Calculator!$E25,tbSkills!$AX3:$AY9,2,FALSE),IF(VLOOKUP(tbMoveset!A73,tbMoveset!A2:I112,9,FALSE)="Thunder",VLOOKUP(Calculator!$E26,tbSkills!$AX3:$AY9,2,FALSE),IF(VLOOKUP(tbMoveset!A73,tbMoveset!A2:I112,9,FALSE)="Ice",VLOOKUP(Calculator!$E27,tbSkills!$AX3:$AY9,2,FALSE),IF(VLOOKUP(tbMoveset!A73,tbMoveset!A2:I112,9,FALSE)="Dragon",VLOOKUP(Calculator!$E28,tbSkills!$AX3:$AY9,2,FALSE),0))))),0)/10))*N6)*AC6,0)*(B30/100),0)</f>
        <v>0</v>
      </c>
    </row>
    <row r="74" spans="43:73" x14ac:dyDescent="0.25">
      <c r="AQ74" t="s">
        <v>238</v>
      </c>
      <c r="AR74">
        <f>IFERROR(AR73/BN8,0)</f>
        <v>13.669902912621358</v>
      </c>
      <c r="BS74" t="str">
        <f>VLOOKUP(Calculator!B4,SavedBuildNumbers!A1:AT73,46,FALSE)</f>
        <v>N/A</v>
      </c>
      <c r="BU74" s="49">
        <f>IFERROR(ROUNDDOWN((IF((ROUND((VLOOKUP(tbMoveset!A74,tbMoveset!A2:F112,6,FALSE)+(IF(VLOOKUP(tbMoveset!A74,tbMoveset!A2:F112,6,FALSE)&gt;0,K41,0)))*(1+(IF(VLOOKUP(tbMoveset!A74,tbMoveset!A2:I112,9,FALSE)="Fire",VLOOKUP(Calculator!$E24,tbSkills!$AX3:$AZ9,3,FALSE),IF(VLOOKUP(tbMoveset!A74,tbMoveset!A2:I112,9,FALSE)="Water",VLOOKUP(Calculator!$E25,tbSkills!$AX3:$AZ9,3,FALSE),IF(VLOOKUP(BackdoorsMoveset!A74,tbMoveset!A2:I112,9,FALSE)="Thunder",VLOOKUP(Calculator!$E26,tbSkills!$AX3:$AZ9,3,FALSE),IF(VLOOKUP(tbMoveset!A74,tbMoveset!A2:I112,9,FALSE)="Ice",VLOOKUP(Calculator!$E27,tbSkills!$AX3:$AZ9,3,FALSE),IF(VLOOKUP(tbMoveset!A74,tbMoveset!A2:I112,9,FALSE)="Dragon",VLOOKUP(Calculator!$E28,tbSkills!$AX3:$AZ9,3,FALSE),0)))))/100))*AC7,0)+IF(VLOOKUP(tbMoveset!A74,tbMoveset!A2:F112,6,FALSE)&gt;0,IF(VLOOKUP(tbMoveset!A74,tbMoveset!A2:I112,9,FALSE)="Fire",VLOOKUP(Calculator!$E24,tbSkills!$AX3:$AY9,2,FALSE),IF(VLOOKUP(tbMoveset!A74,tbMoveset!A2:I112,9,FALSE)="Water",VLOOKUP(Calculator!$E25,tbSkills!$AX3:$AY9,2,FALSE),IF(VLOOKUP(tbMoveset!A74,tbMoveset!A2:I112,9,FALSE)="Thunder",VLOOKUP(Calculator!$E26,tbSkills!$AX3:$AY9,2,FALSE),IF(VLOOKUP(tbMoveset!A74,tbMoveset!A2:I112,9,FALSE)="Ice",VLOOKUP(Calculator!$E27,tbSkills!$AX3:$AY9,2,FALSE),IF(VLOOKUP(tbMoveset!A74,tbMoveset!A2:I112,9,FALSE)="Dragon",VLOOKUP(Calculator!$E28,tbSkills!$AX3:$AY9,2,FALSE),0))))),0)/10)&gt;=B34,B34,(ROUND((VLOOKUP(tbMoveset!A74,tbMoveset!A2:F112,6,FALSE)+(IF(VLOOKUP(tbMoveset!A74,tbMoveset!A2:F112,6,FALSE)&gt;0,K41,0)))*(1+(IF(VLOOKUP(tbMoveset!A74,tbMoveset!A2:I112,9,FALSE)="Fire",VLOOKUP(Calculator!$E24,tbSkills!$AX3:$AZ9,3,FALSE),IF(VLOOKUP(tbMoveset!A74,tbMoveset!A2:I112,9,FALSE)="Water",VLOOKUP(Calculator!$E25,tbSkills!$AX3:$AZ9,3,FALSE),IF(VLOOKUP(BackdoorsMoveset!A74,tbMoveset!A2:I112,9,FALSE)="Thunder",VLOOKUP(Calculator!$E26,tbSkills!$AX3:$AZ9,3,FALSE),IF(VLOOKUP(tbMoveset!A74,tbMoveset!A2:I112,9,FALSE)="Ice",VLOOKUP(Calculator!$E27,tbSkills!$AX3:$AZ9,3,FALSE),IF(VLOOKUP(tbMoveset!A74,tbMoveset!A2:I112,9,FALSE)="Dragon",VLOOKUP(Calculator!$E28,tbSkills!$AX3:$AZ9,3,FALSE),0)))))/100))*AC7,0)+IF(VLOOKUP(tbMoveset!A74,tbMoveset!A2:F112,6,FALSE)&gt;0,IF(VLOOKUP(tbMoveset!A74,tbMoveset!A2:I112,9,FALSE)="Fire",VLOOKUP(Calculator!$E24,tbSkills!$AX3:$AY9,2,FALSE),IF(VLOOKUP(tbMoveset!A74,tbMoveset!A2:I112,9,FALSE)="Water",VLOOKUP(Calculator!$E25,tbSkills!$AX3:$AY9,2,FALSE),IF(VLOOKUP(tbMoveset!A74,tbMoveset!A2:I112,9,FALSE)="Thunder",VLOOKUP(Calculator!$E26,tbSkills!$AX3:$AY9,2,FALSE),IF(VLOOKUP(tbMoveset!A74,tbMoveset!A2:I112,9,FALSE)="Ice",VLOOKUP(Calculator!$E27,tbSkills!$AX3:$AY9,2,FALSE),IF(VLOOKUP(tbMoveset!A74,tbMoveset!A2:I112,9,FALSE)="Dragon",VLOOKUP(Calculator!$E28,tbSkills!$AX3:$AY9,2,FALSE),0))))),0)/10))*N6)*AC6,0)*(B30/100),0)</f>
        <v>0</v>
      </c>
    </row>
    <row r="75" spans="43:73" x14ac:dyDescent="0.25">
      <c r="AQ75" t="s">
        <v>239</v>
      </c>
      <c r="AR75">
        <f>AR74*AR69</f>
        <v>0</v>
      </c>
      <c r="BU75" s="49">
        <f>IFERROR(ROUNDDOWN((IF((ROUND((VLOOKUP(tbMoveset!A75,tbMoveset!A2:F112,6,FALSE)+(IF(VLOOKUP(tbMoveset!A75,tbMoveset!A2:F112,6,FALSE)&gt;0,K41,0)))*(1+(IF(VLOOKUP(tbMoveset!A75,tbMoveset!A2:I112,9,FALSE)="Fire",VLOOKUP(Calculator!$E24,tbSkills!$AX3:$AZ9,3,FALSE),IF(VLOOKUP(tbMoveset!A75,tbMoveset!A2:I112,9,FALSE)="Water",VLOOKUP(Calculator!$E25,tbSkills!$AX3:$AZ9,3,FALSE),IF(VLOOKUP(BackdoorsMoveset!A75,tbMoveset!A2:I112,9,FALSE)="Thunder",VLOOKUP(Calculator!$E26,tbSkills!$AX3:$AZ9,3,FALSE),IF(VLOOKUP(tbMoveset!A75,tbMoveset!A2:I112,9,FALSE)="Ice",VLOOKUP(Calculator!$E27,tbSkills!$AX3:$AZ9,3,FALSE),IF(VLOOKUP(tbMoveset!A75,tbMoveset!A2:I112,9,FALSE)="Dragon",VLOOKUP(Calculator!$E28,tbSkills!$AX3:$AZ9,3,FALSE),0)))))/100))*AC7,0)+IF(VLOOKUP(tbMoveset!A75,tbMoveset!A2:F112,6,FALSE)&gt;0,IF(VLOOKUP(tbMoveset!A75,tbMoveset!A2:I112,9,FALSE)="Fire",VLOOKUP(Calculator!$E24,tbSkills!$AX3:$AY9,2,FALSE),IF(VLOOKUP(tbMoveset!A75,tbMoveset!A2:I112,9,FALSE)="Water",VLOOKUP(Calculator!$E25,tbSkills!$AX3:$AY9,2,FALSE),IF(VLOOKUP(tbMoveset!A75,tbMoveset!A2:I112,9,FALSE)="Thunder",VLOOKUP(Calculator!$E26,tbSkills!$AX3:$AY9,2,FALSE),IF(VLOOKUP(tbMoveset!A75,tbMoveset!A2:I112,9,FALSE)="Ice",VLOOKUP(Calculator!$E27,tbSkills!$AX3:$AY9,2,FALSE),IF(VLOOKUP(tbMoveset!A75,tbMoveset!A2:I112,9,FALSE)="Dragon",VLOOKUP(Calculator!$E28,tbSkills!$AX3:$AY9,2,FALSE),0))))),0)/10)&gt;=B34,B34,(ROUND((VLOOKUP(tbMoveset!A75,tbMoveset!A2:F112,6,FALSE)+(IF(VLOOKUP(tbMoveset!A75,tbMoveset!A2:F112,6,FALSE)&gt;0,K41,0)))*(1+(IF(VLOOKUP(tbMoveset!A75,tbMoveset!A2:I112,9,FALSE)="Fire",VLOOKUP(Calculator!$E24,tbSkills!$AX3:$AZ9,3,FALSE),IF(VLOOKUP(tbMoveset!A75,tbMoveset!A2:I112,9,FALSE)="Water",VLOOKUP(Calculator!$E25,tbSkills!$AX3:$AZ9,3,FALSE),IF(VLOOKUP(BackdoorsMoveset!A75,tbMoveset!A2:I112,9,FALSE)="Thunder",VLOOKUP(Calculator!$E26,tbSkills!$AX3:$AZ9,3,FALSE),IF(VLOOKUP(tbMoveset!A75,tbMoveset!A2:I112,9,FALSE)="Ice",VLOOKUP(Calculator!$E27,tbSkills!$AX3:$AZ9,3,FALSE),IF(VLOOKUP(tbMoveset!A75,tbMoveset!A2:I112,9,FALSE)="Dragon",VLOOKUP(Calculator!$E28,tbSkills!$AX3:$AZ9,3,FALSE),0)))))/100))*AC7,0)+IF(VLOOKUP(tbMoveset!A75,tbMoveset!A2:F112,6,FALSE)&gt;0,IF(VLOOKUP(tbMoveset!A75,tbMoveset!A2:I112,9,FALSE)="Fire",VLOOKUP(Calculator!$E24,tbSkills!$AX3:$AY9,2,FALSE),IF(VLOOKUP(tbMoveset!A75,tbMoveset!A2:I112,9,FALSE)="Water",VLOOKUP(Calculator!$E25,tbSkills!$AX3:$AY9,2,FALSE),IF(VLOOKUP(tbMoveset!A75,tbMoveset!A2:I112,9,FALSE)="Thunder",VLOOKUP(Calculator!$E26,tbSkills!$AX3:$AY9,2,FALSE),IF(VLOOKUP(tbMoveset!A75,tbMoveset!A2:I112,9,FALSE)="Ice",VLOOKUP(Calculator!$E27,tbSkills!$AX3:$AY9,2,FALSE),IF(VLOOKUP(tbMoveset!A75,tbMoveset!A2:I112,9,FALSE)="Dragon",VLOOKUP(Calculator!$E28,tbSkills!$AX3:$AY9,2,FALSE),0))))),0)/10))*N6)*AC6,0)*(B30/100),0)</f>
        <v>0</v>
      </c>
    </row>
    <row r="76" spans="43:73" x14ac:dyDescent="0.25">
      <c r="AQ76" t="s">
        <v>240</v>
      </c>
      <c r="AR76">
        <f>IF($AR75&gt;=$AU51,50,IF($AR75&gt;=$AU50,49,IF($AR75&gt;=$AU49,48,IF($AR75&gt;=$AU48,47,IF($AR75&gt;=$AU47,46,IF($AR75&gt;=$AU46,45,IF($AR75&gt;=$AU45,44,IF($AR75&gt;=$AU44,43,IF($AR75&gt;=$AU43,42,IF($AR75&gt;=$AU42,41,IF($AR75&gt;=$AU41,40,IF($AR75&gt;=$AU40,39,IF($AR75&gt;=$AU39,38,IF($AR75&gt;=$AU38,37,IF($AR75&gt;=$AU37,36,IF($AR75&gt;=$AU36,35,IF($AR75&gt;=$AU35,34,IF($AR75&gt;=$AU34,33,IF($AR75&gt;=$AU33,32,IF($AR75&gt;=$AU32,31,IF($AR75&gt;=$AU31,30,IF($AR75&gt;=$AU30,29,IF($AR75&gt;=$AU29,28,IF($AR75&gt;=$AU28,27,IF($AR75&gt;=$AU27,26,IF($AR75&gt;=$AU26,25,IF($AR75&gt;=$AU25,24,IF($AR75&gt;=$AU24,23,IF($AR75&gt;=$AU23,22,IF($AR75&gt;=$AU22,21,IF($AR75&gt;=$AU21,20,IF($AR75&gt;=$AU20,19,IF($AR75&gt;=$AU19,18,IF($AR75&gt;=$AU18,17,IF($AR75&gt;=$AU17,16,IF($AR75&gt;=$AU16,15,IF($AR75&gt;=$AU15,14,IF($AR75&gt;=$AU14,13,IF($AR75&gt;=$AU13,12,IF($AR75&gt;=$AU12,11,IF($AR75&gt;=$AU11,10,IF($AR75&gt;=$AU10,9,IF($AR75&gt;=$AU9,8,IF($AR75&gt;=$AU8,7,IF($AR75&gt;=$AU7,6,IF($AR75&gt;=$AU6,5,IF($AR75&gt;=$AU5,4,IF($AR75&gt;=$AU4,3,IF($AR75&gt;=$AU3,2,IF($AR75&gt;=$AU2,1,0))))))))))))))))))))))))))))))))))))))))))))))))))</f>
        <v>0</v>
      </c>
      <c r="BU76" s="49">
        <f>IFERROR(ROUNDDOWN((IF((ROUND((VLOOKUP(tbMoveset!A76,tbMoveset!A2:F112,6,FALSE)+(IF(VLOOKUP(tbMoveset!A76,tbMoveset!A2:F112,6,FALSE)&gt;0,K41,0)))*(1+(IF(VLOOKUP(tbMoveset!A76,tbMoveset!A2:I112,9,FALSE)="Fire",VLOOKUP(Calculator!$E24,tbSkills!$AX3:$AZ9,3,FALSE),IF(VLOOKUP(tbMoveset!A76,tbMoveset!A2:I112,9,FALSE)="Water",VLOOKUP(Calculator!$E25,tbSkills!$AX3:$AZ9,3,FALSE),IF(VLOOKUP(BackdoorsMoveset!A76,tbMoveset!A2:I112,9,FALSE)="Thunder",VLOOKUP(Calculator!$E26,tbSkills!$AX3:$AZ9,3,FALSE),IF(VLOOKUP(tbMoveset!A76,tbMoveset!A2:I112,9,FALSE)="Ice",VLOOKUP(Calculator!$E27,tbSkills!$AX3:$AZ9,3,FALSE),IF(VLOOKUP(tbMoveset!A76,tbMoveset!A2:I112,9,FALSE)="Dragon",VLOOKUP(Calculator!$E28,tbSkills!$AX3:$AZ9,3,FALSE),0)))))/100))*AC7,0)+IF(VLOOKUP(tbMoveset!A76,tbMoveset!A2:F112,6,FALSE)&gt;0,IF(VLOOKUP(tbMoveset!A76,tbMoveset!A2:I112,9,FALSE)="Fire",VLOOKUP(Calculator!$E24,tbSkills!$AX3:$AY9,2,FALSE),IF(VLOOKUP(tbMoveset!A76,tbMoveset!A2:I112,9,FALSE)="Water",VLOOKUP(Calculator!$E25,tbSkills!$AX3:$AY9,2,FALSE),IF(VLOOKUP(tbMoveset!A76,tbMoveset!A2:I112,9,FALSE)="Thunder",VLOOKUP(Calculator!$E26,tbSkills!$AX3:$AY9,2,FALSE),IF(VLOOKUP(tbMoveset!A76,tbMoveset!A2:I112,9,FALSE)="Ice",VLOOKUP(Calculator!$E27,tbSkills!$AX3:$AY9,2,FALSE),IF(VLOOKUP(tbMoveset!A76,tbMoveset!A2:I112,9,FALSE)="Dragon",VLOOKUP(Calculator!$E28,tbSkills!$AX3:$AY9,2,FALSE),0))))),0)/10)&gt;=B34,B34,(ROUND((VLOOKUP(tbMoveset!A76,tbMoveset!A2:F112,6,FALSE)+(IF(VLOOKUP(tbMoveset!A76,tbMoveset!A2:F112,6,FALSE)&gt;0,K41,0)))*(1+(IF(VLOOKUP(tbMoveset!A76,tbMoveset!A2:I112,9,FALSE)="Fire",VLOOKUP(Calculator!$E24,tbSkills!$AX3:$AZ9,3,FALSE),IF(VLOOKUP(tbMoveset!A76,tbMoveset!A2:I112,9,FALSE)="Water",VLOOKUP(Calculator!$E25,tbSkills!$AX3:$AZ9,3,FALSE),IF(VLOOKUP(BackdoorsMoveset!A76,tbMoveset!A2:I112,9,FALSE)="Thunder",VLOOKUP(Calculator!$E26,tbSkills!$AX3:$AZ9,3,FALSE),IF(VLOOKUP(tbMoveset!A76,tbMoveset!A2:I112,9,FALSE)="Ice",VLOOKUP(Calculator!$E27,tbSkills!$AX3:$AZ9,3,FALSE),IF(VLOOKUP(tbMoveset!A76,tbMoveset!A2:I112,9,FALSE)="Dragon",VLOOKUP(Calculator!$E28,tbSkills!$AX3:$AZ9,3,FALSE),0)))))/100))*AC7,0)+IF(VLOOKUP(tbMoveset!A76,tbMoveset!A2:F112,6,FALSE)&gt;0,IF(VLOOKUP(tbMoveset!A76,tbMoveset!A2:I112,9,FALSE)="Fire",VLOOKUP(Calculator!$E24,tbSkills!$AX3:$AY9,2,FALSE),IF(VLOOKUP(tbMoveset!A76,tbMoveset!A2:I112,9,FALSE)="Water",VLOOKUP(Calculator!$E25,tbSkills!$AX3:$AY9,2,FALSE),IF(VLOOKUP(tbMoveset!A76,tbMoveset!A2:I112,9,FALSE)="Thunder",VLOOKUP(Calculator!$E26,tbSkills!$AX3:$AY9,2,FALSE),IF(VLOOKUP(tbMoveset!A76,tbMoveset!A2:I112,9,FALSE)="Ice",VLOOKUP(Calculator!$E27,tbSkills!$AX3:$AY9,2,FALSE),IF(VLOOKUP(tbMoveset!A76,tbMoveset!A2:I112,9,FALSE)="Dragon",VLOOKUP(Calculator!$E28,tbSkills!$AX3:$AY9,2,FALSE),0))))),0)/10))*N6)*AC6,0)*(B30/100),0)</f>
        <v>0</v>
      </c>
    </row>
    <row r="77" spans="43:73" x14ac:dyDescent="0.25">
      <c r="AQ77" t="s">
        <v>241</v>
      </c>
      <c r="AR77">
        <f>AR76*VLOOKUP(AO8,tbStatus!A22:E33,5,FALSE)</f>
        <v>0</v>
      </c>
      <c r="BU77" s="49">
        <f>IFERROR(ROUNDDOWN((IF((ROUND((VLOOKUP(tbMoveset!A77,tbMoveset!A2:F112,6,FALSE)+(IF(VLOOKUP(tbMoveset!A77,tbMoveset!A2:F112,6,FALSE)&gt;0,K41,0)))*(1+(IF(VLOOKUP(tbMoveset!A77,tbMoveset!A2:I112,9,FALSE)="Fire",VLOOKUP(Calculator!$E24,tbSkills!$AX3:$AZ9,3,FALSE),IF(VLOOKUP(tbMoveset!A77,tbMoveset!A2:I112,9,FALSE)="Water",VLOOKUP(Calculator!$E25,tbSkills!$AX3:$AZ9,3,FALSE),IF(VLOOKUP(BackdoorsMoveset!A77,tbMoveset!A2:I112,9,FALSE)="Thunder",VLOOKUP(Calculator!$E26,tbSkills!$AX3:$AZ9,3,FALSE),IF(VLOOKUP(tbMoveset!A77,tbMoveset!A2:I112,9,FALSE)="Ice",VLOOKUP(Calculator!$E27,tbSkills!$AX3:$AZ9,3,FALSE),IF(VLOOKUP(tbMoveset!A77,tbMoveset!A2:I112,9,FALSE)="Dragon",VLOOKUP(Calculator!$E28,tbSkills!$AX3:$AZ9,3,FALSE),0)))))/100))*AC7,0)+IF(VLOOKUP(tbMoveset!A77,tbMoveset!A2:F112,6,FALSE)&gt;0,IF(VLOOKUP(tbMoveset!A77,tbMoveset!A2:I112,9,FALSE)="Fire",VLOOKUP(Calculator!$E24,tbSkills!$AX3:$AY9,2,FALSE),IF(VLOOKUP(tbMoveset!A77,tbMoveset!A2:I112,9,FALSE)="Water",VLOOKUP(Calculator!$E25,tbSkills!$AX3:$AY9,2,FALSE),IF(VLOOKUP(tbMoveset!A77,tbMoveset!A2:I112,9,FALSE)="Thunder",VLOOKUP(Calculator!$E26,tbSkills!$AX3:$AY9,2,FALSE),IF(VLOOKUP(tbMoveset!A77,tbMoveset!A2:I112,9,FALSE)="Ice",VLOOKUP(Calculator!$E27,tbSkills!$AX3:$AY9,2,FALSE),IF(VLOOKUP(tbMoveset!A77,tbMoveset!A2:I112,9,FALSE)="Dragon",VLOOKUP(Calculator!$E28,tbSkills!$AX3:$AY9,2,FALSE),0))))),0)/10)&gt;=B34,B34,(ROUND((VLOOKUP(tbMoveset!A77,tbMoveset!A2:F112,6,FALSE)+(IF(VLOOKUP(tbMoveset!A77,tbMoveset!A2:F112,6,FALSE)&gt;0,K41,0)))*(1+(IF(VLOOKUP(tbMoveset!A77,tbMoveset!A2:I112,9,FALSE)="Fire",VLOOKUP(Calculator!$E24,tbSkills!$AX3:$AZ9,3,FALSE),IF(VLOOKUP(tbMoveset!A77,tbMoveset!A2:I112,9,FALSE)="Water",VLOOKUP(Calculator!$E25,tbSkills!$AX3:$AZ9,3,FALSE),IF(VLOOKUP(BackdoorsMoveset!A77,tbMoveset!A2:I112,9,FALSE)="Thunder",VLOOKUP(Calculator!$E26,tbSkills!$AX3:$AZ9,3,FALSE),IF(VLOOKUP(tbMoveset!A77,tbMoveset!A2:I112,9,FALSE)="Ice",VLOOKUP(Calculator!$E27,tbSkills!$AX3:$AZ9,3,FALSE),IF(VLOOKUP(tbMoveset!A77,tbMoveset!A2:I112,9,FALSE)="Dragon",VLOOKUP(Calculator!$E28,tbSkills!$AX3:$AZ9,3,FALSE),0)))))/100))*AC7,0)+IF(VLOOKUP(tbMoveset!A77,tbMoveset!A2:F112,6,FALSE)&gt;0,IF(VLOOKUP(tbMoveset!A77,tbMoveset!A2:I112,9,FALSE)="Fire",VLOOKUP(Calculator!$E24,tbSkills!$AX3:$AY9,2,FALSE),IF(VLOOKUP(tbMoveset!A77,tbMoveset!A2:I112,9,FALSE)="Water",VLOOKUP(Calculator!$E25,tbSkills!$AX3:$AY9,2,FALSE),IF(VLOOKUP(tbMoveset!A77,tbMoveset!A2:I112,9,FALSE)="Thunder",VLOOKUP(Calculator!$E26,tbSkills!$AX3:$AY9,2,FALSE),IF(VLOOKUP(tbMoveset!A77,tbMoveset!A2:I112,9,FALSE)="Ice",VLOOKUP(Calculator!$E27,tbSkills!$AX3:$AY9,2,FALSE),IF(VLOOKUP(tbMoveset!A77,tbMoveset!A2:I112,9,FALSE)="Dragon",VLOOKUP(Calculator!$E28,tbSkills!$AX3:$AY9,2,FALSE),0))))),0)/10))*N6)*AC6,0)*(B30/100),0)</f>
        <v>0</v>
      </c>
    </row>
    <row r="78" spans="43:73" x14ac:dyDescent="0.25">
      <c r="AQ78" t="s">
        <v>242</v>
      </c>
      <c r="AR78">
        <f>ROUND((AR77/N8)*BN8,0)</f>
        <v>0</v>
      </c>
      <c r="BU78" s="49">
        <f>IFERROR(ROUNDDOWN((IF((ROUND((VLOOKUP(tbMoveset!A78,tbMoveset!A2:F112,6,FALSE)+(IF(VLOOKUP(tbMoveset!A78,tbMoveset!A2:F112,6,FALSE)&gt;0,K41,0)))*(1+(IF(VLOOKUP(tbMoveset!A78,tbMoveset!A2:I112,9,FALSE)="Fire",VLOOKUP(Calculator!$E24,tbSkills!$AX3:$AZ9,3,FALSE),IF(VLOOKUP(tbMoveset!A78,tbMoveset!A2:I112,9,FALSE)="Water",VLOOKUP(Calculator!$E25,tbSkills!$AX3:$AZ9,3,FALSE),IF(VLOOKUP(BackdoorsMoveset!A78,tbMoveset!A2:I112,9,FALSE)="Thunder",VLOOKUP(Calculator!$E26,tbSkills!$AX3:$AZ9,3,FALSE),IF(VLOOKUP(tbMoveset!A78,tbMoveset!A2:I112,9,FALSE)="Ice",VLOOKUP(Calculator!$E27,tbSkills!$AX3:$AZ9,3,FALSE),IF(VLOOKUP(tbMoveset!A78,tbMoveset!A2:I112,9,FALSE)="Dragon",VLOOKUP(Calculator!$E28,tbSkills!$AX3:$AZ9,3,FALSE),0)))))/100))*AC7,0)+IF(VLOOKUP(tbMoveset!A78,tbMoveset!A2:F112,6,FALSE)&gt;0,IF(VLOOKUP(tbMoveset!A78,tbMoveset!A2:I112,9,FALSE)="Fire",VLOOKUP(Calculator!$E24,tbSkills!$AX3:$AY9,2,FALSE),IF(VLOOKUP(tbMoveset!A78,tbMoveset!A2:I112,9,FALSE)="Water",VLOOKUP(Calculator!$E25,tbSkills!$AX3:$AY9,2,FALSE),IF(VLOOKUP(tbMoveset!A78,tbMoveset!A2:I112,9,FALSE)="Thunder",VLOOKUP(Calculator!$E26,tbSkills!$AX3:$AY9,2,FALSE),IF(VLOOKUP(tbMoveset!A78,tbMoveset!A2:I112,9,FALSE)="Ice",VLOOKUP(Calculator!$E27,tbSkills!$AX3:$AY9,2,FALSE),IF(VLOOKUP(tbMoveset!A78,tbMoveset!A2:I112,9,FALSE)="Dragon",VLOOKUP(Calculator!$E28,tbSkills!$AX3:$AY9,2,FALSE),0))))),0)/10)&gt;=B34,B34,(ROUND((VLOOKUP(tbMoveset!A78,tbMoveset!A2:F112,6,FALSE)+(IF(VLOOKUP(tbMoveset!A78,tbMoveset!A2:F112,6,FALSE)&gt;0,K41,0)))*(1+(IF(VLOOKUP(tbMoveset!A78,tbMoveset!A2:I112,9,FALSE)="Fire",VLOOKUP(Calculator!$E24,tbSkills!$AX3:$AZ9,3,FALSE),IF(VLOOKUP(tbMoveset!A78,tbMoveset!A2:I112,9,FALSE)="Water",VLOOKUP(Calculator!$E25,tbSkills!$AX3:$AZ9,3,FALSE),IF(VLOOKUP(BackdoorsMoveset!A78,tbMoveset!A2:I112,9,FALSE)="Thunder",VLOOKUP(Calculator!$E26,tbSkills!$AX3:$AZ9,3,FALSE),IF(VLOOKUP(tbMoveset!A78,tbMoveset!A2:I112,9,FALSE)="Ice",VLOOKUP(Calculator!$E27,tbSkills!$AX3:$AZ9,3,FALSE),IF(VLOOKUP(tbMoveset!A78,tbMoveset!A2:I112,9,FALSE)="Dragon",VLOOKUP(Calculator!$E28,tbSkills!$AX3:$AZ9,3,FALSE),0)))))/100))*AC7,0)+IF(VLOOKUP(tbMoveset!A78,tbMoveset!A2:F112,6,FALSE)&gt;0,IF(VLOOKUP(tbMoveset!A78,tbMoveset!A2:I112,9,FALSE)="Fire",VLOOKUP(Calculator!$E24,tbSkills!$AX3:$AY9,2,FALSE),IF(VLOOKUP(tbMoveset!A78,tbMoveset!A2:I112,9,FALSE)="Water",VLOOKUP(Calculator!$E25,tbSkills!$AX3:$AY9,2,FALSE),IF(VLOOKUP(tbMoveset!A78,tbMoveset!A2:I112,9,FALSE)="Thunder",VLOOKUP(Calculator!$E26,tbSkills!$AX3:$AY9,2,FALSE),IF(VLOOKUP(tbMoveset!A78,tbMoveset!A2:I112,9,FALSE)="Ice",VLOOKUP(Calculator!$E27,tbSkills!$AX3:$AY9,2,FALSE),IF(VLOOKUP(tbMoveset!A78,tbMoveset!A2:I112,9,FALSE)="Dragon",VLOOKUP(Calculator!$E28,tbSkills!$AX3:$AY9,2,FALSE),0))))),0)/10))*N6)*AC6,0)*(B30/100),0)</f>
        <v>0</v>
      </c>
    </row>
    <row r="79" spans="43:73" x14ac:dyDescent="0.25">
      <c r="BU79" s="49">
        <f>IFERROR(ROUNDDOWN((IF((ROUND((VLOOKUP(tbMoveset!A79,tbMoveset!A2:F112,6,FALSE)+(IF(VLOOKUP(tbMoveset!A79,tbMoveset!A2:F112,6,FALSE)&gt;0,K41,0)))*(1+(IF(VLOOKUP(tbMoveset!A79,tbMoveset!A2:I112,9,FALSE)="Fire",VLOOKUP(Calculator!$E24,tbSkills!$AX3:$AZ9,3,FALSE),IF(VLOOKUP(tbMoveset!A79,tbMoveset!A2:I112,9,FALSE)="Water",VLOOKUP(Calculator!$E25,tbSkills!$AX3:$AZ9,3,FALSE),IF(VLOOKUP(BackdoorsMoveset!A79,tbMoveset!A2:I112,9,FALSE)="Thunder",VLOOKUP(Calculator!$E26,tbSkills!$AX3:$AZ9,3,FALSE),IF(VLOOKUP(tbMoveset!A79,tbMoveset!A2:I112,9,FALSE)="Ice",VLOOKUP(Calculator!$E27,tbSkills!$AX3:$AZ9,3,FALSE),IF(VLOOKUP(tbMoveset!A79,tbMoveset!A2:I112,9,FALSE)="Dragon",VLOOKUP(Calculator!$E28,tbSkills!$AX3:$AZ9,3,FALSE),0)))))/100))*AC7,0)+IF(VLOOKUP(tbMoveset!A79,tbMoveset!A2:F112,6,FALSE)&gt;0,IF(VLOOKUP(tbMoveset!A79,tbMoveset!A2:I112,9,FALSE)="Fire",VLOOKUP(Calculator!$E24,tbSkills!$AX3:$AY9,2,FALSE),IF(VLOOKUP(tbMoveset!A79,tbMoveset!A2:I112,9,FALSE)="Water",VLOOKUP(Calculator!$E25,tbSkills!$AX3:$AY9,2,FALSE),IF(VLOOKUP(tbMoveset!A79,tbMoveset!A2:I112,9,FALSE)="Thunder",VLOOKUP(Calculator!$E26,tbSkills!$AX3:$AY9,2,FALSE),IF(VLOOKUP(tbMoveset!A79,tbMoveset!A2:I112,9,FALSE)="Ice",VLOOKUP(Calculator!$E27,tbSkills!$AX3:$AY9,2,FALSE),IF(VLOOKUP(tbMoveset!A79,tbMoveset!A2:I112,9,FALSE)="Dragon",VLOOKUP(Calculator!$E28,tbSkills!$AX3:$AY9,2,FALSE),0))))),0)/10)&gt;=B34,B34,(ROUND((VLOOKUP(tbMoveset!A79,tbMoveset!A2:F112,6,FALSE)+(IF(VLOOKUP(tbMoveset!A79,tbMoveset!A2:F112,6,FALSE)&gt;0,K41,0)))*(1+(IF(VLOOKUP(tbMoveset!A79,tbMoveset!A2:I112,9,FALSE)="Fire",VLOOKUP(Calculator!$E24,tbSkills!$AX3:$AZ9,3,FALSE),IF(VLOOKUP(tbMoveset!A79,tbMoveset!A2:I112,9,FALSE)="Water",VLOOKUP(Calculator!$E25,tbSkills!$AX3:$AZ9,3,FALSE),IF(VLOOKUP(BackdoorsMoveset!A79,tbMoveset!A2:I112,9,FALSE)="Thunder",VLOOKUP(Calculator!$E26,tbSkills!$AX3:$AZ9,3,FALSE),IF(VLOOKUP(tbMoveset!A79,tbMoveset!A2:I112,9,FALSE)="Ice",VLOOKUP(Calculator!$E27,tbSkills!$AX3:$AZ9,3,FALSE),IF(VLOOKUP(tbMoveset!A79,tbMoveset!A2:I112,9,FALSE)="Dragon",VLOOKUP(Calculator!$E28,tbSkills!$AX3:$AZ9,3,FALSE),0)))))/100))*AC7,0)+IF(VLOOKUP(tbMoveset!A79,tbMoveset!A2:F112,6,FALSE)&gt;0,IF(VLOOKUP(tbMoveset!A79,tbMoveset!A2:I112,9,FALSE)="Fire",VLOOKUP(Calculator!$E24,tbSkills!$AX3:$AY9,2,FALSE),IF(VLOOKUP(tbMoveset!A79,tbMoveset!A2:I112,9,FALSE)="Water",VLOOKUP(Calculator!$E25,tbSkills!$AX3:$AY9,2,FALSE),IF(VLOOKUP(tbMoveset!A79,tbMoveset!A2:I112,9,FALSE)="Thunder",VLOOKUP(Calculator!$E26,tbSkills!$AX3:$AY9,2,FALSE),IF(VLOOKUP(tbMoveset!A79,tbMoveset!A2:I112,9,FALSE)="Ice",VLOOKUP(Calculator!$E27,tbSkills!$AX3:$AY9,2,FALSE),IF(VLOOKUP(tbMoveset!A79,tbMoveset!A2:I112,9,FALSE)="Dragon",VLOOKUP(Calculator!$E28,tbSkills!$AX3:$AY9,2,FALSE),0))))),0)/10))*N6)*AC6,0)*(B30/100),0)</f>
        <v>0</v>
      </c>
    </row>
    <row r="80" spans="43:73" x14ac:dyDescent="0.25">
      <c r="AQ80" t="s">
        <v>574</v>
      </c>
      <c r="AR80">
        <f>IFERROR(INDEX(tbHitzones!K:K,MATCH(ROWS(tbHitzones!$1:7),tbHitzones!K:K,0)),"")</f>
        <v>7</v>
      </c>
      <c r="BU80" s="49">
        <f>IFERROR(ROUNDDOWN((IF((ROUND((VLOOKUP(tbMoveset!A80,tbMoveset!A2:F112,6,FALSE)+(IF(VLOOKUP(tbMoveset!A80,tbMoveset!A2:F112,6,FALSE)&gt;0,K41,0)))*(1+(IF(VLOOKUP(tbMoveset!A80,tbMoveset!A2:I112,9,FALSE)="Fire",VLOOKUP(Calculator!$E24,tbSkills!$AX3:$AZ9,3,FALSE),IF(VLOOKUP(tbMoveset!A80,tbMoveset!A2:I112,9,FALSE)="Water",VLOOKUP(Calculator!$E25,tbSkills!$AX3:$AZ9,3,FALSE),IF(VLOOKUP(BackdoorsMoveset!A80,tbMoveset!A2:I112,9,FALSE)="Thunder",VLOOKUP(Calculator!$E26,tbSkills!$AX3:$AZ9,3,FALSE),IF(VLOOKUP(tbMoveset!A80,tbMoveset!A2:I112,9,FALSE)="Ice",VLOOKUP(Calculator!$E27,tbSkills!$AX3:$AZ9,3,FALSE),IF(VLOOKUP(tbMoveset!A80,tbMoveset!A2:I112,9,FALSE)="Dragon",VLOOKUP(Calculator!$E28,tbSkills!$AX3:$AZ9,3,FALSE),0)))))/100))*AC7,0)+IF(VLOOKUP(tbMoveset!A80,tbMoveset!A2:F112,6,FALSE)&gt;0,IF(VLOOKUP(tbMoveset!A80,tbMoveset!A2:I112,9,FALSE)="Fire",VLOOKUP(Calculator!$E24,tbSkills!$AX3:$AY9,2,FALSE),IF(VLOOKUP(tbMoveset!A80,tbMoveset!A2:I112,9,FALSE)="Water",VLOOKUP(Calculator!$E25,tbSkills!$AX3:$AY9,2,FALSE),IF(VLOOKUP(tbMoveset!A80,tbMoveset!A2:I112,9,FALSE)="Thunder",VLOOKUP(Calculator!$E26,tbSkills!$AX3:$AY9,2,FALSE),IF(VLOOKUP(tbMoveset!A80,tbMoveset!A2:I112,9,FALSE)="Ice",VLOOKUP(Calculator!$E27,tbSkills!$AX3:$AY9,2,FALSE),IF(VLOOKUP(tbMoveset!A80,tbMoveset!A2:I112,9,FALSE)="Dragon",VLOOKUP(Calculator!$E28,tbSkills!$AX3:$AY9,2,FALSE),0))))),0)/10)&gt;=B34,B34,(ROUND((VLOOKUP(tbMoveset!A80,tbMoveset!A2:F112,6,FALSE)+(IF(VLOOKUP(tbMoveset!A80,tbMoveset!A2:F112,6,FALSE)&gt;0,K41,0)))*(1+(IF(VLOOKUP(tbMoveset!A80,tbMoveset!A2:I112,9,FALSE)="Fire",VLOOKUP(Calculator!$E24,tbSkills!$AX3:$AZ9,3,FALSE),IF(VLOOKUP(tbMoveset!A80,tbMoveset!A2:I112,9,FALSE)="Water",VLOOKUP(Calculator!$E25,tbSkills!$AX3:$AZ9,3,FALSE),IF(VLOOKUP(BackdoorsMoveset!A80,tbMoveset!A2:I112,9,FALSE)="Thunder",VLOOKUP(Calculator!$E26,tbSkills!$AX3:$AZ9,3,FALSE),IF(VLOOKUP(tbMoveset!A80,tbMoveset!A2:I112,9,FALSE)="Ice",VLOOKUP(Calculator!$E27,tbSkills!$AX3:$AZ9,3,FALSE),IF(VLOOKUP(tbMoveset!A80,tbMoveset!A2:I112,9,FALSE)="Dragon",VLOOKUP(Calculator!$E28,tbSkills!$AX3:$AZ9,3,FALSE),0)))))/100))*AC7,0)+IF(VLOOKUP(tbMoveset!A80,tbMoveset!A2:F112,6,FALSE)&gt;0,IF(VLOOKUP(tbMoveset!A80,tbMoveset!A2:I112,9,FALSE)="Fire",VLOOKUP(Calculator!$E24,tbSkills!$AX3:$AY9,2,FALSE),IF(VLOOKUP(tbMoveset!A80,tbMoveset!A2:I112,9,FALSE)="Water",VLOOKUP(Calculator!$E25,tbSkills!$AX3:$AY9,2,FALSE),IF(VLOOKUP(tbMoveset!A80,tbMoveset!A2:I112,9,FALSE)="Thunder",VLOOKUP(Calculator!$E26,tbSkills!$AX3:$AY9,2,FALSE),IF(VLOOKUP(tbMoveset!A80,tbMoveset!A2:I112,9,FALSE)="Ice",VLOOKUP(Calculator!$E27,tbSkills!$AX3:$AY9,2,FALSE),IF(VLOOKUP(tbMoveset!A80,tbMoveset!A2:I112,9,FALSE)="Dragon",VLOOKUP(Calculator!$E28,tbSkills!$AX3:$AY9,2,FALSE),0))))),0)/10))*N6)*AC6,0)*(B30/100),0)</f>
        <v>0</v>
      </c>
    </row>
    <row r="81" spans="43:73" x14ac:dyDescent="0.25">
      <c r="AQ81" t="s">
        <v>234</v>
      </c>
      <c r="AR81">
        <f>IFERROR(N8/BN9,0)</f>
        <v>13.669902912621358</v>
      </c>
      <c r="BU81" s="49">
        <f>IFERROR(ROUNDDOWN((IF((ROUND((VLOOKUP(tbMoveset!A81,tbMoveset!A2:F112,6,FALSE)+(IF(VLOOKUP(tbMoveset!A81,tbMoveset!A2:F112,6,FALSE)&gt;0,K41,0)))*(1+(IF(VLOOKUP(tbMoveset!A81,tbMoveset!A2:I112,9,FALSE)="Fire",VLOOKUP(Calculator!$E24,tbSkills!$AX3:$AZ9,3,FALSE),IF(VLOOKUP(tbMoveset!A81,tbMoveset!A2:I112,9,FALSE)="Water",VLOOKUP(Calculator!$E25,tbSkills!$AX3:$AZ9,3,FALSE),IF(VLOOKUP(BackdoorsMoveset!A81,tbMoveset!A2:I112,9,FALSE)="Thunder",VLOOKUP(Calculator!$E26,tbSkills!$AX3:$AZ9,3,FALSE),IF(VLOOKUP(tbMoveset!A81,tbMoveset!A2:I112,9,FALSE)="Ice",VLOOKUP(Calculator!$E27,tbSkills!$AX3:$AZ9,3,FALSE),IF(VLOOKUP(tbMoveset!A81,tbMoveset!A2:I112,9,FALSE)="Dragon",VLOOKUP(Calculator!$E28,tbSkills!$AX3:$AZ9,3,FALSE),0)))))/100))*AC7,0)+IF(VLOOKUP(tbMoveset!A81,tbMoveset!A2:F112,6,FALSE)&gt;0,IF(VLOOKUP(tbMoveset!A81,tbMoveset!A2:I112,9,FALSE)="Fire",VLOOKUP(Calculator!$E24,tbSkills!$AX3:$AY9,2,FALSE),IF(VLOOKUP(tbMoveset!A81,tbMoveset!A2:I112,9,FALSE)="Water",VLOOKUP(Calculator!$E25,tbSkills!$AX3:$AY9,2,FALSE),IF(VLOOKUP(tbMoveset!A81,tbMoveset!A2:I112,9,FALSE)="Thunder",VLOOKUP(Calculator!$E26,tbSkills!$AX3:$AY9,2,FALSE),IF(VLOOKUP(tbMoveset!A81,tbMoveset!A2:I112,9,FALSE)="Ice",VLOOKUP(Calculator!$E27,tbSkills!$AX3:$AY9,2,FALSE),IF(VLOOKUP(tbMoveset!A81,tbMoveset!A2:I112,9,FALSE)="Dragon",VLOOKUP(Calculator!$E28,tbSkills!$AX3:$AY9,2,FALSE),0))))),0)/10)&gt;=B34,B34,(ROUND((VLOOKUP(tbMoveset!A81,tbMoveset!A2:F112,6,FALSE)+(IF(VLOOKUP(tbMoveset!A81,tbMoveset!A2:F112,6,FALSE)&gt;0,K41,0)))*(1+(IF(VLOOKUP(tbMoveset!A81,tbMoveset!A2:I112,9,FALSE)="Fire",VLOOKUP(Calculator!$E24,tbSkills!$AX3:$AZ9,3,FALSE),IF(VLOOKUP(tbMoveset!A81,tbMoveset!A2:I112,9,FALSE)="Water",VLOOKUP(Calculator!$E25,tbSkills!$AX3:$AZ9,3,FALSE),IF(VLOOKUP(BackdoorsMoveset!A81,tbMoveset!A2:I112,9,FALSE)="Thunder",VLOOKUP(Calculator!$E26,tbSkills!$AX3:$AZ9,3,FALSE),IF(VLOOKUP(tbMoveset!A81,tbMoveset!A2:I112,9,FALSE)="Ice",VLOOKUP(Calculator!$E27,tbSkills!$AX3:$AZ9,3,FALSE),IF(VLOOKUP(tbMoveset!A81,tbMoveset!A2:I112,9,FALSE)="Dragon",VLOOKUP(Calculator!$E28,tbSkills!$AX3:$AZ9,3,FALSE),0)))))/100))*AC7,0)+IF(VLOOKUP(tbMoveset!A81,tbMoveset!A2:F112,6,FALSE)&gt;0,IF(VLOOKUP(tbMoveset!A81,tbMoveset!A2:I112,9,FALSE)="Fire",VLOOKUP(Calculator!$E24,tbSkills!$AX3:$AY9,2,FALSE),IF(VLOOKUP(tbMoveset!A81,tbMoveset!A2:I112,9,FALSE)="Water",VLOOKUP(Calculator!$E25,tbSkills!$AX3:$AY9,2,FALSE),IF(VLOOKUP(tbMoveset!A81,tbMoveset!A2:I112,9,FALSE)="Thunder",VLOOKUP(Calculator!$E26,tbSkills!$AX3:$AY9,2,FALSE),IF(VLOOKUP(tbMoveset!A81,tbMoveset!A2:I112,9,FALSE)="Ice",VLOOKUP(Calculator!$E27,tbSkills!$AX3:$AY9,2,FALSE),IF(VLOOKUP(tbMoveset!A81,tbMoveset!A2:I112,9,FALSE)="Dragon",VLOOKUP(Calculator!$E28,tbSkills!$AX3:$AY9,2,FALSE),0))))),0)/10))*N6)*AC6,0)*(B30/100),0)</f>
        <v>0</v>
      </c>
    </row>
    <row r="82" spans="43:73" x14ac:dyDescent="0.25">
      <c r="AQ82" t="s">
        <v>572</v>
      </c>
      <c r="AR82">
        <f>AO6*AO24</f>
        <v>0</v>
      </c>
      <c r="BU82" s="49">
        <f>IFERROR(ROUNDDOWN((IF((ROUND((VLOOKUP(tbMoveset!A82,tbMoveset!A2:F112,6,FALSE)+(IF(VLOOKUP(tbMoveset!A82,tbMoveset!A2:F112,6,FALSE)&gt;0,K41,0)))*(1+(IF(VLOOKUP(tbMoveset!A82,tbMoveset!A2:I112,9,FALSE)="Fire",VLOOKUP(Calculator!$E24,tbSkills!$AX3:$AZ9,3,FALSE),IF(VLOOKUP(tbMoveset!A82,tbMoveset!A2:I112,9,FALSE)="Water",VLOOKUP(Calculator!$E25,tbSkills!$AX3:$AZ9,3,FALSE),IF(VLOOKUP(BackdoorsMoveset!A82,tbMoveset!A2:I112,9,FALSE)="Thunder",VLOOKUP(Calculator!$E26,tbSkills!$AX3:$AZ9,3,FALSE),IF(VLOOKUP(tbMoveset!A82,tbMoveset!A2:I112,9,FALSE)="Ice",VLOOKUP(Calculator!$E27,tbSkills!$AX3:$AZ9,3,FALSE),IF(VLOOKUP(tbMoveset!A82,tbMoveset!A2:I112,9,FALSE)="Dragon",VLOOKUP(Calculator!$E28,tbSkills!$AX3:$AZ9,3,FALSE),0)))))/100))*AC7,0)+IF(VLOOKUP(tbMoveset!A82,tbMoveset!A2:F112,6,FALSE)&gt;0,IF(VLOOKUP(tbMoveset!A82,tbMoveset!A2:I112,9,FALSE)="Fire",VLOOKUP(Calculator!$E24,tbSkills!$AX3:$AY9,2,FALSE),IF(VLOOKUP(tbMoveset!A82,tbMoveset!A2:I112,9,FALSE)="Water",VLOOKUP(Calculator!$E25,tbSkills!$AX3:$AY9,2,FALSE),IF(VLOOKUP(tbMoveset!A82,tbMoveset!A2:I112,9,FALSE)="Thunder",VLOOKUP(Calculator!$E26,tbSkills!$AX3:$AY9,2,FALSE),IF(VLOOKUP(tbMoveset!A82,tbMoveset!A2:I112,9,FALSE)="Ice",VLOOKUP(Calculator!$E27,tbSkills!$AX3:$AY9,2,FALSE),IF(VLOOKUP(tbMoveset!A82,tbMoveset!A2:I112,9,FALSE)="Dragon",VLOOKUP(Calculator!$E28,tbSkills!$AX3:$AY9,2,FALSE),0))))),0)/10)&gt;=B34,B34,(ROUND((VLOOKUP(tbMoveset!A82,tbMoveset!A2:F112,6,FALSE)+(IF(VLOOKUP(tbMoveset!A82,tbMoveset!A2:F112,6,FALSE)&gt;0,K41,0)))*(1+(IF(VLOOKUP(tbMoveset!A82,tbMoveset!A2:I112,9,FALSE)="Fire",VLOOKUP(Calculator!$E24,tbSkills!$AX3:$AZ9,3,FALSE),IF(VLOOKUP(tbMoveset!A82,tbMoveset!A2:I112,9,FALSE)="Water",VLOOKUP(Calculator!$E25,tbSkills!$AX3:$AZ9,3,FALSE),IF(VLOOKUP(BackdoorsMoveset!A82,tbMoveset!A2:I112,9,FALSE)="Thunder",VLOOKUP(Calculator!$E26,tbSkills!$AX3:$AZ9,3,FALSE),IF(VLOOKUP(tbMoveset!A82,tbMoveset!A2:I112,9,FALSE)="Ice",VLOOKUP(Calculator!$E27,tbSkills!$AX3:$AZ9,3,FALSE),IF(VLOOKUP(tbMoveset!A82,tbMoveset!A2:I112,9,FALSE)="Dragon",VLOOKUP(Calculator!$E28,tbSkills!$AX3:$AZ9,3,FALSE),0)))))/100))*AC7,0)+IF(VLOOKUP(tbMoveset!A82,tbMoveset!A2:F112,6,FALSE)&gt;0,IF(VLOOKUP(tbMoveset!A82,tbMoveset!A2:I112,9,FALSE)="Fire",VLOOKUP(Calculator!$E24,tbSkills!$AX3:$AY9,2,FALSE),IF(VLOOKUP(tbMoveset!A82,tbMoveset!A2:I112,9,FALSE)="Water",VLOOKUP(Calculator!$E25,tbSkills!$AX3:$AY9,2,FALSE),IF(VLOOKUP(tbMoveset!A82,tbMoveset!A2:I112,9,FALSE)="Thunder",VLOOKUP(Calculator!$E26,tbSkills!$AX3:$AY9,2,FALSE),IF(VLOOKUP(tbMoveset!A82,tbMoveset!A2:I112,9,FALSE)="Ice",VLOOKUP(Calculator!$E27,tbSkills!$AX3:$AY9,2,FALSE),IF(VLOOKUP(tbMoveset!A82,tbMoveset!A2:I112,9,FALSE)="Dragon",VLOOKUP(Calculator!$E28,tbSkills!$AX3:$AY9,2,FALSE),0))))),0)/10))*N6)*AC6,0)*(B30/100),0)</f>
        <v>0</v>
      </c>
    </row>
    <row r="83" spans="43:73" x14ac:dyDescent="0.25">
      <c r="AQ83" t="s">
        <v>190</v>
      </c>
      <c r="AR83">
        <f>AR81*AR82</f>
        <v>0</v>
      </c>
      <c r="BU83" s="49">
        <f>IFERROR(ROUNDDOWN((IF((ROUND((VLOOKUP(tbMoveset!A83,tbMoveset!A2:F112,6,FALSE)+(IF(VLOOKUP(tbMoveset!A83,tbMoveset!A2:F112,6,FALSE)&gt;0,K41,0)))*(1+(IF(VLOOKUP(tbMoveset!A83,tbMoveset!A2:I112,9,FALSE)="Fire",VLOOKUP(Calculator!$E24,tbSkills!$AX3:$AZ9,3,FALSE),IF(VLOOKUP(tbMoveset!A83,tbMoveset!A2:I112,9,FALSE)="Water",VLOOKUP(Calculator!$E25,tbSkills!$AX3:$AZ9,3,FALSE),IF(VLOOKUP(BackdoorsMoveset!A83,tbMoveset!A2:I112,9,FALSE)="Thunder",VLOOKUP(Calculator!$E26,tbSkills!$AX3:$AZ9,3,FALSE),IF(VLOOKUP(tbMoveset!A83,tbMoveset!A2:I112,9,FALSE)="Ice",VLOOKUP(Calculator!$E27,tbSkills!$AX3:$AZ9,3,FALSE),IF(VLOOKUP(tbMoveset!A83,tbMoveset!A2:I112,9,FALSE)="Dragon",VLOOKUP(Calculator!$E28,tbSkills!$AX3:$AZ9,3,FALSE),0)))))/100))*AC7,0)+IF(VLOOKUP(tbMoveset!A83,tbMoveset!A2:F112,6,FALSE)&gt;0,IF(VLOOKUP(tbMoveset!A83,tbMoveset!A2:I112,9,FALSE)="Fire",VLOOKUP(Calculator!$E24,tbSkills!$AX3:$AY9,2,FALSE),IF(VLOOKUP(tbMoveset!A83,tbMoveset!A2:I112,9,FALSE)="Water",VLOOKUP(Calculator!$E25,tbSkills!$AX3:$AY9,2,FALSE),IF(VLOOKUP(tbMoveset!A83,tbMoveset!A2:I112,9,FALSE)="Thunder",VLOOKUP(Calculator!$E26,tbSkills!$AX3:$AY9,2,FALSE),IF(VLOOKUP(tbMoveset!A83,tbMoveset!A2:I112,9,FALSE)="Ice",VLOOKUP(Calculator!$E27,tbSkills!$AX3:$AY9,2,FALSE),IF(VLOOKUP(tbMoveset!A83,tbMoveset!A2:I112,9,FALSE)="Dragon",VLOOKUP(Calculator!$E28,tbSkills!$AX3:$AY9,2,FALSE),0))))),0)/10)&gt;=B34,B34,(ROUND((VLOOKUP(tbMoveset!A83,tbMoveset!A2:F112,6,FALSE)+(IF(VLOOKUP(tbMoveset!A83,tbMoveset!A2:F112,6,FALSE)&gt;0,K41,0)))*(1+(IF(VLOOKUP(tbMoveset!A83,tbMoveset!A2:I112,9,FALSE)="Fire",VLOOKUP(Calculator!$E24,tbSkills!$AX3:$AZ9,3,FALSE),IF(VLOOKUP(tbMoveset!A83,tbMoveset!A2:I112,9,FALSE)="Water",VLOOKUP(Calculator!$E25,tbSkills!$AX3:$AZ9,3,FALSE),IF(VLOOKUP(BackdoorsMoveset!A83,tbMoveset!A2:I112,9,FALSE)="Thunder",VLOOKUP(Calculator!$E26,tbSkills!$AX3:$AZ9,3,FALSE),IF(VLOOKUP(tbMoveset!A83,tbMoveset!A2:I112,9,FALSE)="Ice",VLOOKUP(Calculator!$E27,tbSkills!$AX3:$AZ9,3,FALSE),IF(VLOOKUP(tbMoveset!A83,tbMoveset!A2:I112,9,FALSE)="Dragon",VLOOKUP(Calculator!$E28,tbSkills!$AX3:$AZ9,3,FALSE),0)))))/100))*AC7,0)+IF(VLOOKUP(tbMoveset!A83,tbMoveset!A2:F112,6,FALSE)&gt;0,IF(VLOOKUP(tbMoveset!A83,tbMoveset!A2:I112,9,FALSE)="Fire",VLOOKUP(Calculator!$E24,tbSkills!$AX3:$AY9,2,FALSE),IF(VLOOKUP(tbMoveset!A83,tbMoveset!A2:I112,9,FALSE)="Water",VLOOKUP(Calculator!$E25,tbSkills!$AX3:$AY9,2,FALSE),IF(VLOOKUP(tbMoveset!A83,tbMoveset!A2:I112,9,FALSE)="Thunder",VLOOKUP(Calculator!$E26,tbSkills!$AX3:$AY9,2,FALSE),IF(VLOOKUP(tbMoveset!A83,tbMoveset!A2:I112,9,FALSE)="Ice",VLOOKUP(Calculator!$E27,tbSkills!$AX3:$AY9,2,FALSE),IF(VLOOKUP(tbMoveset!A83,tbMoveset!A2:I112,9,FALSE)="Dragon",VLOOKUP(Calculator!$E28,tbSkills!$AX3:$AY9,2,FALSE),0))))),0)/10))*N6)*AC6,0)*(B30/100),0)</f>
        <v>0</v>
      </c>
    </row>
    <row r="84" spans="43:73" x14ac:dyDescent="0.25">
      <c r="AQ84" t="s">
        <v>235</v>
      </c>
      <c r="AR84">
        <f>IF($AR83&gt;=$AU51,50,IF($AR83&gt;=$AU50,49,IF($AR83&gt;=$AU49,48,IF($AR83&gt;=$AU48,47,IF($AR83&gt;=$AU47,46,IF($AR83&gt;=$AU46,45,IF($AR83&gt;=$AU45,44,IF($AR83&gt;=$AU44,43,IF($AR83&gt;=$AU43,42,IF($AR83&gt;=$AU42,41,IF($AR83&gt;=$AU41,40,IF($AR83&gt;=$AU40,39,IF($AR83&gt;=$AU39,38,IF($AR83&gt;=$AU38,37,IF($AR83&gt;=$AU37,36,IF($AR83&gt;=$AU36,35,IF($AR83&gt;=$AU35,34,IF($AR83&gt;=$AU34,33,IF($AR83&gt;=$AU33,32,IF($AR83&gt;=$AU32,31,IF($AR83&gt;=$AU31,30,IF($AR83&gt;=$AU30,29,IF($AR83&gt;=$AU29,28,IF($AR83&gt;=$AU28,27,IF($AR83&gt;=$AU27,26,IF($AR83&gt;=$AU26,25,IF($AR83&gt;=$AU25,24,IF($AR83&gt;=$AU24,23,IF($AR83&gt;=$AU23,22,IF($AR83&gt;=$AU22,21,IF($AR83&gt;=$AU21,20,IF($AR83&gt;=$AU20,19,IF($AR83&gt;=$AU19,18,IF($AR83&gt;=$AU18,17,IF($AR83&gt;=$AU17,16,IF($AR83&gt;=$AU16,15,IF($AR83&gt;=$AU15,14,IF($AR83&gt;=$AU14,13,IF($AR83&gt;=$AU13,12,IF($AR83&gt;=$AU12,11,IF($AR83&gt;=$AU11,10,IF($AR83&gt;=$AU10,9,IF($AR83&gt;=$AU9,8,IF($AR83&gt;=$AU8,7,IF($AR83&gt;=$AU7,6,IF($AR83&gt;=$AU6,5,IF($AR83&gt;=$AU5,4,IF($AR83&gt;=$AU4,3,IF($AR83&gt;=$AU3,2,IF($AR83&gt;=$AU2,1,0))))))))))))))))))))))))))))))))))))))))))))))))))</f>
        <v>0</v>
      </c>
      <c r="BU84" s="49">
        <f>IFERROR(ROUNDDOWN((IF((ROUND((VLOOKUP(tbMoveset!A84,tbMoveset!A2:F112,6,FALSE)+(IF(VLOOKUP(tbMoveset!A84,tbMoveset!A2:F112,6,FALSE)&gt;0,K41,0)))*(1+(IF(VLOOKUP(tbMoveset!A84,tbMoveset!A2:I112,9,FALSE)="Fire",VLOOKUP(Calculator!$E24,tbSkills!$AX3:$AZ9,3,FALSE),IF(VLOOKUP(tbMoveset!A84,tbMoveset!A2:I112,9,FALSE)="Water",VLOOKUP(Calculator!$E25,tbSkills!$AX3:$AZ9,3,FALSE),IF(VLOOKUP(BackdoorsMoveset!A84,tbMoveset!A2:I112,9,FALSE)="Thunder",VLOOKUP(Calculator!$E26,tbSkills!$AX3:$AZ9,3,FALSE),IF(VLOOKUP(tbMoveset!A84,tbMoveset!A2:I112,9,FALSE)="Ice",VLOOKUP(Calculator!$E27,tbSkills!$AX3:$AZ9,3,FALSE),IF(VLOOKUP(tbMoveset!A84,tbMoveset!A2:I112,9,FALSE)="Dragon",VLOOKUP(Calculator!$E28,tbSkills!$AX3:$AZ9,3,FALSE),0)))))/100))*AC7,0)+IF(VLOOKUP(tbMoveset!A84,tbMoveset!A2:F112,6,FALSE)&gt;0,IF(VLOOKUP(tbMoveset!A84,tbMoveset!A2:I112,9,FALSE)="Fire",VLOOKUP(Calculator!$E24,tbSkills!$AX3:$AY9,2,FALSE),IF(VLOOKUP(tbMoveset!A84,tbMoveset!A2:I112,9,FALSE)="Water",VLOOKUP(Calculator!$E25,tbSkills!$AX3:$AY9,2,FALSE),IF(VLOOKUP(tbMoveset!A84,tbMoveset!A2:I112,9,FALSE)="Thunder",VLOOKUP(Calculator!$E26,tbSkills!$AX3:$AY9,2,FALSE),IF(VLOOKUP(tbMoveset!A84,tbMoveset!A2:I112,9,FALSE)="Ice",VLOOKUP(Calculator!$E27,tbSkills!$AX3:$AY9,2,FALSE),IF(VLOOKUP(tbMoveset!A84,tbMoveset!A2:I112,9,FALSE)="Dragon",VLOOKUP(Calculator!$E28,tbSkills!$AX3:$AY9,2,FALSE),0))))),0)/10)&gt;=B34,B34,(ROUND((VLOOKUP(tbMoveset!A84,tbMoveset!A2:F112,6,FALSE)+(IF(VLOOKUP(tbMoveset!A84,tbMoveset!A2:F112,6,FALSE)&gt;0,K41,0)))*(1+(IF(VLOOKUP(tbMoveset!A84,tbMoveset!A2:I112,9,FALSE)="Fire",VLOOKUP(Calculator!$E24,tbSkills!$AX3:$AZ9,3,FALSE),IF(VLOOKUP(tbMoveset!A84,tbMoveset!A2:I112,9,FALSE)="Water",VLOOKUP(Calculator!$E25,tbSkills!$AX3:$AZ9,3,FALSE),IF(VLOOKUP(BackdoorsMoveset!A84,tbMoveset!A2:I112,9,FALSE)="Thunder",VLOOKUP(Calculator!$E26,tbSkills!$AX3:$AZ9,3,FALSE),IF(VLOOKUP(tbMoveset!A84,tbMoveset!A2:I112,9,FALSE)="Ice",VLOOKUP(Calculator!$E27,tbSkills!$AX3:$AZ9,3,FALSE),IF(VLOOKUP(tbMoveset!A84,tbMoveset!A2:I112,9,FALSE)="Dragon",VLOOKUP(Calculator!$E28,tbSkills!$AX3:$AZ9,3,FALSE),0)))))/100))*AC7,0)+IF(VLOOKUP(tbMoveset!A84,tbMoveset!A2:F112,6,FALSE)&gt;0,IF(VLOOKUP(tbMoveset!A84,tbMoveset!A2:I112,9,FALSE)="Fire",VLOOKUP(Calculator!$E24,tbSkills!$AX3:$AY9,2,FALSE),IF(VLOOKUP(tbMoveset!A84,tbMoveset!A2:I112,9,FALSE)="Water",VLOOKUP(Calculator!$E25,tbSkills!$AX3:$AY9,2,FALSE),IF(VLOOKUP(tbMoveset!A84,tbMoveset!A2:I112,9,FALSE)="Thunder",VLOOKUP(Calculator!$E26,tbSkills!$AX3:$AY9,2,FALSE),IF(VLOOKUP(tbMoveset!A84,tbMoveset!A2:I112,9,FALSE)="Ice",VLOOKUP(Calculator!$E27,tbSkills!$AX3:$AY9,2,FALSE),IF(VLOOKUP(tbMoveset!A84,tbMoveset!A2:I112,9,FALSE)="Dragon",VLOOKUP(Calculator!$E28,tbSkills!$AX3:$AY9,2,FALSE),0))))),0)/10))*N6)*AC6,0)*(B30/100),0)</f>
        <v>0</v>
      </c>
    </row>
    <row r="85" spans="43:73" x14ac:dyDescent="0.25">
      <c r="AQ85" t="s">
        <v>236</v>
      </c>
      <c r="AR85">
        <f>AR84*VLOOKUP(AO8,tbStatus!A22:E33,5,FALSE)</f>
        <v>0</v>
      </c>
      <c r="BU85" s="49">
        <f>IFERROR(ROUNDDOWN((IF((ROUND((VLOOKUP(tbMoveset!A85,tbMoveset!A2:F112,6,FALSE)+(IF(VLOOKUP(tbMoveset!A85,tbMoveset!A2:F112,6,FALSE)&gt;0,K41,0)))*(1+(IF(VLOOKUP(tbMoveset!A85,tbMoveset!A2:I112,9,FALSE)="Fire",VLOOKUP(Calculator!$E24,tbSkills!$AX3:$AZ9,3,FALSE),IF(VLOOKUP(tbMoveset!A85,tbMoveset!A2:I112,9,FALSE)="Water",VLOOKUP(Calculator!$E25,tbSkills!$AX3:$AZ9,3,FALSE),IF(VLOOKUP(BackdoorsMoveset!A85,tbMoveset!A2:I112,9,FALSE)="Thunder",VLOOKUP(Calculator!$E26,tbSkills!$AX3:$AZ9,3,FALSE),IF(VLOOKUP(tbMoveset!A85,tbMoveset!A2:I112,9,FALSE)="Ice",VLOOKUP(Calculator!$E27,tbSkills!$AX3:$AZ9,3,FALSE),IF(VLOOKUP(tbMoveset!A85,tbMoveset!A2:I112,9,FALSE)="Dragon",VLOOKUP(Calculator!$E28,tbSkills!$AX3:$AZ9,3,FALSE),0)))))/100))*AC7,0)+IF(VLOOKUP(tbMoveset!A85,tbMoveset!A2:F112,6,FALSE)&gt;0,IF(VLOOKUP(tbMoveset!A85,tbMoveset!A2:I112,9,FALSE)="Fire",VLOOKUP(Calculator!$E24,tbSkills!$AX3:$AY9,2,FALSE),IF(VLOOKUP(tbMoveset!A85,tbMoveset!A2:I112,9,FALSE)="Water",VLOOKUP(Calculator!$E25,tbSkills!$AX3:$AY9,2,FALSE),IF(VLOOKUP(tbMoveset!A85,tbMoveset!A2:I112,9,FALSE)="Thunder",VLOOKUP(Calculator!$E26,tbSkills!$AX3:$AY9,2,FALSE),IF(VLOOKUP(tbMoveset!A85,tbMoveset!A2:I112,9,FALSE)="Ice",VLOOKUP(Calculator!$E27,tbSkills!$AX3:$AY9,2,FALSE),IF(VLOOKUP(tbMoveset!A85,tbMoveset!A2:I112,9,FALSE)="Dragon",VLOOKUP(Calculator!$E28,tbSkills!$AX3:$AY9,2,FALSE),0))))),0)/10)&gt;=B34,B34,(ROUND((VLOOKUP(tbMoveset!A85,tbMoveset!A2:F112,6,FALSE)+(IF(VLOOKUP(tbMoveset!A85,tbMoveset!A2:F112,6,FALSE)&gt;0,K41,0)))*(1+(IF(VLOOKUP(tbMoveset!A85,tbMoveset!A2:I112,9,FALSE)="Fire",VLOOKUP(Calculator!$E24,tbSkills!$AX3:$AZ9,3,FALSE),IF(VLOOKUP(tbMoveset!A85,tbMoveset!A2:I112,9,FALSE)="Water",VLOOKUP(Calculator!$E25,tbSkills!$AX3:$AZ9,3,FALSE),IF(VLOOKUP(BackdoorsMoveset!A85,tbMoveset!A2:I112,9,FALSE)="Thunder",VLOOKUP(Calculator!$E26,tbSkills!$AX3:$AZ9,3,FALSE),IF(VLOOKUP(tbMoveset!A85,tbMoveset!A2:I112,9,FALSE)="Ice",VLOOKUP(Calculator!$E27,tbSkills!$AX3:$AZ9,3,FALSE),IF(VLOOKUP(tbMoveset!A85,tbMoveset!A2:I112,9,FALSE)="Dragon",VLOOKUP(Calculator!$E28,tbSkills!$AX3:$AZ9,3,FALSE),0)))))/100))*AC7,0)+IF(VLOOKUP(tbMoveset!A85,tbMoveset!A2:F112,6,FALSE)&gt;0,IF(VLOOKUP(tbMoveset!A85,tbMoveset!A2:I112,9,FALSE)="Fire",VLOOKUP(Calculator!$E24,tbSkills!$AX3:$AY9,2,FALSE),IF(VLOOKUP(tbMoveset!A85,tbMoveset!A2:I112,9,FALSE)="Water",VLOOKUP(Calculator!$E25,tbSkills!$AX3:$AY9,2,FALSE),IF(VLOOKUP(tbMoveset!A85,tbMoveset!A2:I112,9,FALSE)="Thunder",VLOOKUP(Calculator!$E26,tbSkills!$AX3:$AY9,2,FALSE),IF(VLOOKUP(tbMoveset!A85,tbMoveset!A2:I112,9,FALSE)="Ice",VLOOKUP(Calculator!$E27,tbSkills!$AX3:$AY9,2,FALSE),IF(VLOOKUP(tbMoveset!A85,tbMoveset!A2:I112,9,FALSE)="Dragon",VLOOKUP(Calculator!$E28,tbSkills!$AX3:$AY9,2,FALSE),0))))),0)/10))*N6)*AC6,0)*(B30/100),0)</f>
        <v>0</v>
      </c>
    </row>
    <row r="86" spans="43:73" x14ac:dyDescent="0.25">
      <c r="AQ86" t="s">
        <v>237</v>
      </c>
      <c r="AR86">
        <f>N8-AR85</f>
        <v>1408</v>
      </c>
      <c r="BU86" s="49">
        <f>IFERROR(ROUNDDOWN((IF((ROUND((VLOOKUP(tbMoveset!A86,tbMoveset!A2:F112,6,FALSE)+(IF(VLOOKUP(tbMoveset!A86,tbMoveset!A2:F112,6,FALSE)&gt;0,K41,0)))*(1+(IF(VLOOKUP(tbMoveset!A86,tbMoveset!A2:I112,9,FALSE)="Fire",VLOOKUP(Calculator!$E24,tbSkills!$AX3:$AZ9,3,FALSE),IF(VLOOKUP(tbMoveset!A86,tbMoveset!A2:I112,9,FALSE)="Water",VLOOKUP(Calculator!$E25,tbSkills!$AX3:$AZ9,3,FALSE),IF(VLOOKUP(BackdoorsMoveset!A86,tbMoveset!A2:I112,9,FALSE)="Thunder",VLOOKUP(Calculator!$E26,tbSkills!$AX3:$AZ9,3,FALSE),IF(VLOOKUP(tbMoveset!A86,tbMoveset!A2:I112,9,FALSE)="Ice",VLOOKUP(Calculator!$E27,tbSkills!$AX3:$AZ9,3,FALSE),IF(VLOOKUP(tbMoveset!A86,tbMoveset!A2:I112,9,FALSE)="Dragon",VLOOKUP(Calculator!$E28,tbSkills!$AX3:$AZ9,3,FALSE),0)))))/100))*AC7,0)+IF(VLOOKUP(tbMoveset!A86,tbMoveset!A2:F112,6,FALSE)&gt;0,IF(VLOOKUP(tbMoveset!A86,tbMoveset!A2:I112,9,FALSE)="Fire",VLOOKUP(Calculator!$E24,tbSkills!$AX3:$AY9,2,FALSE),IF(VLOOKUP(tbMoveset!A86,tbMoveset!A2:I112,9,FALSE)="Water",VLOOKUP(Calculator!$E25,tbSkills!$AX3:$AY9,2,FALSE),IF(VLOOKUP(tbMoveset!A86,tbMoveset!A2:I112,9,FALSE)="Thunder",VLOOKUP(Calculator!$E26,tbSkills!$AX3:$AY9,2,FALSE),IF(VLOOKUP(tbMoveset!A86,tbMoveset!A2:I112,9,FALSE)="Ice",VLOOKUP(Calculator!$E27,tbSkills!$AX3:$AY9,2,FALSE),IF(VLOOKUP(tbMoveset!A86,tbMoveset!A2:I112,9,FALSE)="Dragon",VLOOKUP(Calculator!$E28,tbSkills!$AX3:$AY9,2,FALSE),0))))),0)/10)&gt;=B34,B34,(ROUND((VLOOKUP(tbMoveset!A86,tbMoveset!A2:F112,6,FALSE)+(IF(VLOOKUP(tbMoveset!A86,tbMoveset!A2:F112,6,FALSE)&gt;0,K41,0)))*(1+(IF(VLOOKUP(tbMoveset!A86,tbMoveset!A2:I112,9,FALSE)="Fire",VLOOKUP(Calculator!$E24,tbSkills!$AX3:$AZ9,3,FALSE),IF(VLOOKUP(tbMoveset!A86,tbMoveset!A2:I112,9,FALSE)="Water",VLOOKUP(Calculator!$E25,tbSkills!$AX3:$AZ9,3,FALSE),IF(VLOOKUP(BackdoorsMoveset!A86,tbMoveset!A2:I112,9,FALSE)="Thunder",VLOOKUP(Calculator!$E26,tbSkills!$AX3:$AZ9,3,FALSE),IF(VLOOKUP(tbMoveset!A86,tbMoveset!A2:I112,9,FALSE)="Ice",VLOOKUP(Calculator!$E27,tbSkills!$AX3:$AZ9,3,FALSE),IF(VLOOKUP(tbMoveset!A86,tbMoveset!A2:I112,9,FALSE)="Dragon",VLOOKUP(Calculator!$E28,tbSkills!$AX3:$AZ9,3,FALSE),0)))))/100))*AC7,0)+IF(VLOOKUP(tbMoveset!A86,tbMoveset!A2:F112,6,FALSE)&gt;0,IF(VLOOKUP(tbMoveset!A86,tbMoveset!A2:I112,9,FALSE)="Fire",VLOOKUP(Calculator!$E24,tbSkills!$AX3:$AY9,2,FALSE),IF(VLOOKUP(tbMoveset!A86,tbMoveset!A2:I112,9,FALSE)="Water",VLOOKUP(Calculator!$E25,tbSkills!$AX3:$AY9,2,FALSE),IF(VLOOKUP(tbMoveset!A86,tbMoveset!A2:I112,9,FALSE)="Thunder",VLOOKUP(Calculator!$E26,tbSkills!$AX3:$AY9,2,FALSE),IF(VLOOKUP(tbMoveset!A86,tbMoveset!A2:I112,9,FALSE)="Ice",VLOOKUP(Calculator!$E27,tbSkills!$AX3:$AY9,2,FALSE),IF(VLOOKUP(tbMoveset!A86,tbMoveset!A2:I112,9,FALSE)="Dragon",VLOOKUP(Calculator!$E28,tbSkills!$AX3:$AY9,2,FALSE),0))))),0)/10))*N6)*AC6,0)*(B30/100),0)</f>
        <v>0</v>
      </c>
    </row>
    <row r="87" spans="43:73" x14ac:dyDescent="0.25">
      <c r="AQ87" t="s">
        <v>238</v>
      </c>
      <c r="AR87">
        <f>IFERROR(AR86/BN9,0)</f>
        <v>13.669902912621358</v>
      </c>
      <c r="BU87" s="49">
        <f>IFERROR(ROUNDDOWN((IF((ROUND((VLOOKUP(tbMoveset!A87,tbMoveset!A2:F112,6,FALSE)+(IF(VLOOKUP(tbMoveset!A87,tbMoveset!A2:F112,6,FALSE)&gt;0,K41,0)))*(1+(IF(VLOOKUP(tbMoveset!A87,tbMoveset!A2:I112,9,FALSE)="Fire",VLOOKUP(Calculator!$E24,tbSkills!$AX3:$AZ9,3,FALSE),IF(VLOOKUP(tbMoveset!A87,tbMoveset!A2:I112,9,FALSE)="Water",VLOOKUP(Calculator!$E25,tbSkills!$AX3:$AZ9,3,FALSE),IF(VLOOKUP(BackdoorsMoveset!A87,tbMoveset!A2:I112,9,FALSE)="Thunder",VLOOKUP(Calculator!$E26,tbSkills!$AX3:$AZ9,3,FALSE),IF(VLOOKUP(tbMoveset!A87,tbMoveset!A2:I112,9,FALSE)="Ice",VLOOKUP(Calculator!$E27,tbSkills!$AX3:$AZ9,3,FALSE),IF(VLOOKUP(tbMoveset!A87,tbMoveset!A2:I112,9,FALSE)="Dragon",VLOOKUP(Calculator!$E28,tbSkills!$AX3:$AZ9,3,FALSE),0)))))/100))*AC7,0)+IF(VLOOKUP(tbMoveset!A87,tbMoveset!A2:F112,6,FALSE)&gt;0,IF(VLOOKUP(tbMoveset!A87,tbMoveset!A2:I112,9,FALSE)="Fire",VLOOKUP(Calculator!$E24,tbSkills!$AX3:$AY9,2,FALSE),IF(VLOOKUP(tbMoveset!A87,tbMoveset!A2:I112,9,FALSE)="Water",VLOOKUP(Calculator!$E25,tbSkills!$AX3:$AY9,2,FALSE),IF(VLOOKUP(tbMoveset!A87,tbMoveset!A2:I112,9,FALSE)="Thunder",VLOOKUP(Calculator!$E26,tbSkills!$AX3:$AY9,2,FALSE),IF(VLOOKUP(tbMoveset!A87,tbMoveset!A2:I112,9,FALSE)="Ice",VLOOKUP(Calculator!$E27,tbSkills!$AX3:$AY9,2,FALSE),IF(VLOOKUP(tbMoveset!A87,tbMoveset!A2:I112,9,FALSE)="Dragon",VLOOKUP(Calculator!$E28,tbSkills!$AX3:$AY9,2,FALSE),0))))),0)/10)&gt;=B34,B34,(ROUND((VLOOKUP(tbMoveset!A87,tbMoveset!A2:F112,6,FALSE)+(IF(VLOOKUP(tbMoveset!A87,tbMoveset!A2:F112,6,FALSE)&gt;0,K41,0)))*(1+(IF(VLOOKUP(tbMoveset!A87,tbMoveset!A2:I112,9,FALSE)="Fire",VLOOKUP(Calculator!$E24,tbSkills!$AX3:$AZ9,3,FALSE),IF(VLOOKUP(tbMoveset!A87,tbMoveset!A2:I112,9,FALSE)="Water",VLOOKUP(Calculator!$E25,tbSkills!$AX3:$AZ9,3,FALSE),IF(VLOOKUP(BackdoorsMoveset!A87,tbMoveset!A2:I112,9,FALSE)="Thunder",VLOOKUP(Calculator!$E26,tbSkills!$AX3:$AZ9,3,FALSE),IF(VLOOKUP(tbMoveset!A87,tbMoveset!A2:I112,9,FALSE)="Ice",VLOOKUP(Calculator!$E27,tbSkills!$AX3:$AZ9,3,FALSE),IF(VLOOKUP(tbMoveset!A87,tbMoveset!A2:I112,9,FALSE)="Dragon",VLOOKUP(Calculator!$E28,tbSkills!$AX3:$AZ9,3,FALSE),0)))))/100))*AC7,0)+IF(VLOOKUP(tbMoveset!A87,tbMoveset!A2:F112,6,FALSE)&gt;0,IF(VLOOKUP(tbMoveset!A87,tbMoveset!A2:I112,9,FALSE)="Fire",VLOOKUP(Calculator!$E24,tbSkills!$AX3:$AY9,2,FALSE),IF(VLOOKUP(tbMoveset!A87,tbMoveset!A2:I112,9,FALSE)="Water",VLOOKUP(Calculator!$E25,tbSkills!$AX3:$AY9,2,FALSE),IF(VLOOKUP(tbMoveset!A87,tbMoveset!A2:I112,9,FALSE)="Thunder",VLOOKUP(Calculator!$E26,tbSkills!$AX3:$AY9,2,FALSE),IF(VLOOKUP(tbMoveset!A87,tbMoveset!A2:I112,9,FALSE)="Ice",VLOOKUP(Calculator!$E27,tbSkills!$AX3:$AY9,2,FALSE),IF(VLOOKUP(tbMoveset!A87,tbMoveset!A2:I112,9,FALSE)="Dragon",VLOOKUP(Calculator!$E28,tbSkills!$AX3:$AY9,2,FALSE),0))))),0)/10))*N6)*AC6,0)*(B30/100),0)</f>
        <v>0</v>
      </c>
    </row>
    <row r="88" spans="43:73" x14ac:dyDescent="0.25">
      <c r="AQ88" t="s">
        <v>239</v>
      </c>
      <c r="AR88">
        <f>AR87*AR82</f>
        <v>0</v>
      </c>
      <c r="BU88" s="49">
        <f>IFERROR(ROUNDDOWN((IF((ROUND((VLOOKUP(tbMoveset!A88,tbMoveset!A2:F112,6,FALSE)+(IF(VLOOKUP(tbMoveset!A88,tbMoveset!A2:F112,6,FALSE)&gt;0,K41,0)))*(1+(IF(VLOOKUP(tbMoveset!A88,tbMoveset!A2:I112,9,FALSE)="Fire",VLOOKUP(Calculator!$E24,tbSkills!$AX3:$AZ9,3,FALSE),IF(VLOOKUP(tbMoveset!A88,tbMoveset!A2:I112,9,FALSE)="Water",VLOOKUP(Calculator!$E25,tbSkills!$AX3:$AZ9,3,FALSE),IF(VLOOKUP(BackdoorsMoveset!A88,tbMoveset!A2:I112,9,FALSE)="Thunder",VLOOKUP(Calculator!$E26,tbSkills!$AX3:$AZ9,3,FALSE),IF(VLOOKUP(tbMoveset!A88,tbMoveset!A2:I112,9,FALSE)="Ice",VLOOKUP(Calculator!$E27,tbSkills!$AX3:$AZ9,3,FALSE),IF(VLOOKUP(tbMoveset!A88,tbMoveset!A2:I112,9,FALSE)="Dragon",VLOOKUP(Calculator!$E28,tbSkills!$AX3:$AZ9,3,FALSE),0)))))/100))*AC7,0)+IF(VLOOKUP(tbMoveset!A88,tbMoveset!A2:F112,6,FALSE)&gt;0,IF(VLOOKUP(tbMoveset!A88,tbMoveset!A2:I112,9,FALSE)="Fire",VLOOKUP(Calculator!$E24,tbSkills!$AX3:$AY9,2,FALSE),IF(VLOOKUP(tbMoveset!A88,tbMoveset!A2:I112,9,FALSE)="Water",VLOOKUP(Calculator!$E25,tbSkills!$AX3:$AY9,2,FALSE),IF(VLOOKUP(tbMoveset!A88,tbMoveset!A2:I112,9,FALSE)="Thunder",VLOOKUP(Calculator!$E26,tbSkills!$AX3:$AY9,2,FALSE),IF(VLOOKUP(tbMoveset!A88,tbMoveset!A2:I112,9,FALSE)="Ice",VLOOKUP(Calculator!$E27,tbSkills!$AX3:$AY9,2,FALSE),IF(VLOOKUP(tbMoveset!A88,tbMoveset!A2:I112,9,FALSE)="Dragon",VLOOKUP(Calculator!$E28,tbSkills!$AX3:$AY9,2,FALSE),0))))),0)/10)&gt;=B34,B34,(ROUND((VLOOKUP(tbMoveset!A88,tbMoveset!A2:F112,6,FALSE)+(IF(VLOOKUP(tbMoveset!A88,tbMoveset!A2:F112,6,FALSE)&gt;0,K41,0)))*(1+(IF(VLOOKUP(tbMoveset!A88,tbMoveset!A2:I112,9,FALSE)="Fire",VLOOKUP(Calculator!$E24,tbSkills!$AX3:$AZ9,3,FALSE),IF(VLOOKUP(tbMoveset!A88,tbMoveset!A2:I112,9,FALSE)="Water",VLOOKUP(Calculator!$E25,tbSkills!$AX3:$AZ9,3,FALSE),IF(VLOOKUP(BackdoorsMoveset!A88,tbMoveset!A2:I112,9,FALSE)="Thunder",VLOOKUP(Calculator!$E26,tbSkills!$AX3:$AZ9,3,FALSE),IF(VLOOKUP(tbMoveset!A88,tbMoveset!A2:I112,9,FALSE)="Ice",VLOOKUP(Calculator!$E27,tbSkills!$AX3:$AZ9,3,FALSE),IF(VLOOKUP(tbMoveset!A88,tbMoveset!A2:I112,9,FALSE)="Dragon",VLOOKUP(Calculator!$E28,tbSkills!$AX3:$AZ9,3,FALSE),0)))))/100))*AC7,0)+IF(VLOOKUP(tbMoveset!A88,tbMoveset!A2:F112,6,FALSE)&gt;0,IF(VLOOKUP(tbMoveset!A88,tbMoveset!A2:I112,9,FALSE)="Fire",VLOOKUP(Calculator!$E24,tbSkills!$AX3:$AY9,2,FALSE),IF(VLOOKUP(tbMoveset!A88,tbMoveset!A2:I112,9,FALSE)="Water",VLOOKUP(Calculator!$E25,tbSkills!$AX3:$AY9,2,FALSE),IF(VLOOKUP(tbMoveset!A88,tbMoveset!A2:I112,9,FALSE)="Thunder",VLOOKUP(Calculator!$E26,tbSkills!$AX3:$AY9,2,FALSE),IF(VLOOKUP(tbMoveset!A88,tbMoveset!A2:I112,9,FALSE)="Ice",VLOOKUP(Calculator!$E27,tbSkills!$AX3:$AY9,2,FALSE),IF(VLOOKUP(tbMoveset!A88,tbMoveset!A2:I112,9,FALSE)="Dragon",VLOOKUP(Calculator!$E28,tbSkills!$AX3:$AY9,2,FALSE),0))))),0)/10))*N6)*AC6,0)*(B30/100),0)</f>
        <v>0</v>
      </c>
    </row>
    <row r="89" spans="43:73" x14ac:dyDescent="0.25">
      <c r="AQ89" t="s">
        <v>240</v>
      </c>
      <c r="AR89">
        <f>IF($AR88&gt;=$AU51,50,IF($AR88&gt;=$AU50,49,IF($AR88&gt;=$AU49,48,IF($AR88&gt;=$AU48,47,IF($AR88&gt;=$AU47,46,IF($AR88&gt;=$AU46,45,IF($AR88&gt;=$AU45,44,IF($AR88&gt;=$AU44,43,IF($AR88&gt;=$AU43,42,IF($AR88&gt;=$AU42,41,IF($AR88&gt;=$AU41,40,IF($AR88&gt;=$AU40,39,IF($AR88&gt;=$AU39,38,IF($AR88&gt;=$AU38,37,IF($AR88&gt;=$AU37,36,IF($AR88&gt;=$AU36,35,IF($AR88&gt;=$AU35,34,IF($AR88&gt;=$AU34,33,IF($AR88&gt;=$AU33,32,IF($AR88&gt;=$AU32,31,IF($AR88&gt;=$AU31,30,IF($AR88&gt;=$AU30,29,IF($AR88&gt;=$AU29,28,IF($AR88&gt;=$AU28,27,IF($AR88&gt;=$AU27,26,IF($AR88&gt;=$AU26,25,IF($AR88&gt;=$AU25,24,IF($AR88&gt;=$AU24,23,IF($AR88&gt;=$AU23,22,IF($AR88&gt;=$AU22,21,IF($AR88&gt;=$AU21,20,IF($AR88&gt;=$AU20,19,IF($AR88&gt;=$AU19,18,IF($AR88&gt;=$AU18,17,IF($AR88&gt;=$AU17,16,IF($AR88&gt;=$AU16,15,IF($AR88&gt;=$AU15,14,IF($AR88&gt;=$AU14,13,IF($AR88&gt;=$AU13,12,IF($AR88&gt;=$AU12,11,IF($AR88&gt;=$AU11,10,IF($AR88&gt;=$AU10,9,IF($AR88&gt;=$AU9,8,IF($AR88&gt;=$AU8,7,IF($AR88&gt;=$AU7,6,IF($AR88&gt;=$AU6,5,IF($AR88&gt;=$AU5,4,IF($AR88&gt;=$AU4,3,IF($AR88&gt;=$AU3,2,IF($AR88&gt;=$AU2,1,0))))))))))))))))))))))))))))))))))))))))))))))))))</f>
        <v>0</v>
      </c>
      <c r="BU89" s="49">
        <f>IFERROR(ROUNDDOWN((IF((ROUND((VLOOKUP(tbMoveset!A89,tbMoveset!A2:F112,6,FALSE)+(IF(VLOOKUP(tbMoveset!A89,tbMoveset!A2:F112,6,FALSE)&gt;0,K41,0)))*(1+(IF(VLOOKUP(tbMoveset!A89,tbMoveset!A2:I112,9,FALSE)="Fire",VLOOKUP(Calculator!$E24,tbSkills!$AX3:$AZ9,3,FALSE),IF(VLOOKUP(tbMoveset!A89,tbMoveset!A2:I112,9,FALSE)="Water",VLOOKUP(Calculator!$E25,tbSkills!$AX3:$AZ9,3,FALSE),IF(VLOOKUP(BackdoorsMoveset!A89,tbMoveset!A2:I112,9,FALSE)="Thunder",VLOOKUP(Calculator!$E26,tbSkills!$AX3:$AZ9,3,FALSE),IF(VLOOKUP(tbMoveset!A89,tbMoveset!A2:I112,9,FALSE)="Ice",VLOOKUP(Calculator!$E27,tbSkills!$AX3:$AZ9,3,FALSE),IF(VLOOKUP(tbMoveset!A89,tbMoveset!A2:I112,9,FALSE)="Dragon",VLOOKUP(Calculator!$E28,tbSkills!$AX3:$AZ9,3,FALSE),0)))))/100))*AC7,0)+IF(VLOOKUP(tbMoveset!A89,tbMoveset!A2:F112,6,FALSE)&gt;0,IF(VLOOKUP(tbMoveset!A89,tbMoveset!A2:I112,9,FALSE)="Fire",VLOOKUP(Calculator!$E24,tbSkills!$AX3:$AY9,2,FALSE),IF(VLOOKUP(tbMoveset!A89,tbMoveset!A2:I112,9,FALSE)="Water",VLOOKUP(Calculator!$E25,tbSkills!$AX3:$AY9,2,FALSE),IF(VLOOKUP(tbMoveset!A89,tbMoveset!A2:I112,9,FALSE)="Thunder",VLOOKUP(Calculator!$E26,tbSkills!$AX3:$AY9,2,FALSE),IF(VLOOKUP(tbMoveset!A89,tbMoveset!A2:I112,9,FALSE)="Ice",VLOOKUP(Calculator!$E27,tbSkills!$AX3:$AY9,2,FALSE),IF(VLOOKUP(tbMoveset!A89,tbMoveset!A2:I112,9,FALSE)="Dragon",VLOOKUP(Calculator!$E28,tbSkills!$AX3:$AY9,2,FALSE),0))))),0)/10)&gt;=B34,B34,(ROUND((VLOOKUP(tbMoveset!A89,tbMoveset!A2:F112,6,FALSE)+(IF(VLOOKUP(tbMoveset!A89,tbMoveset!A2:F112,6,FALSE)&gt;0,K41,0)))*(1+(IF(VLOOKUP(tbMoveset!A89,tbMoveset!A2:I112,9,FALSE)="Fire",VLOOKUP(Calculator!$E24,tbSkills!$AX3:$AZ9,3,FALSE),IF(VLOOKUP(tbMoveset!A89,tbMoveset!A2:I112,9,FALSE)="Water",VLOOKUP(Calculator!$E25,tbSkills!$AX3:$AZ9,3,FALSE),IF(VLOOKUP(BackdoorsMoveset!A89,tbMoveset!A2:I112,9,FALSE)="Thunder",VLOOKUP(Calculator!$E26,tbSkills!$AX3:$AZ9,3,FALSE),IF(VLOOKUP(tbMoveset!A89,tbMoveset!A2:I112,9,FALSE)="Ice",VLOOKUP(Calculator!$E27,tbSkills!$AX3:$AZ9,3,FALSE),IF(VLOOKUP(tbMoveset!A89,tbMoveset!A2:I112,9,FALSE)="Dragon",VLOOKUP(Calculator!$E28,tbSkills!$AX3:$AZ9,3,FALSE),0)))))/100))*AC7,0)+IF(VLOOKUP(tbMoveset!A89,tbMoveset!A2:F112,6,FALSE)&gt;0,IF(VLOOKUP(tbMoveset!A89,tbMoveset!A2:I112,9,FALSE)="Fire",VLOOKUP(Calculator!$E24,tbSkills!$AX3:$AY9,2,FALSE),IF(VLOOKUP(tbMoveset!A89,tbMoveset!A2:I112,9,FALSE)="Water",VLOOKUP(Calculator!$E25,tbSkills!$AX3:$AY9,2,FALSE),IF(VLOOKUP(tbMoveset!A89,tbMoveset!A2:I112,9,FALSE)="Thunder",VLOOKUP(Calculator!$E26,tbSkills!$AX3:$AY9,2,FALSE),IF(VLOOKUP(tbMoveset!A89,tbMoveset!A2:I112,9,FALSE)="Ice",VLOOKUP(Calculator!$E27,tbSkills!$AX3:$AY9,2,FALSE),IF(VLOOKUP(tbMoveset!A89,tbMoveset!A2:I112,9,FALSE)="Dragon",VLOOKUP(Calculator!$E28,tbSkills!$AX3:$AY9,2,FALSE),0))))),0)/10))*N6)*AC6,0)*(B30/100),0)</f>
        <v>0</v>
      </c>
    </row>
    <row r="90" spans="43:73" x14ac:dyDescent="0.25">
      <c r="AQ90" t="s">
        <v>241</v>
      </c>
      <c r="AR90">
        <f>AR89*VLOOKUP(AO8,tbStatus!A22:E33,5,FALSE)</f>
        <v>0</v>
      </c>
      <c r="BU90" s="49">
        <f>IFERROR(ROUNDDOWN((IF((ROUND((VLOOKUP(tbMoveset!A90,tbMoveset!A2:F112,6,FALSE)+(IF(VLOOKUP(tbMoveset!A90,tbMoveset!A2:F112,6,FALSE)&gt;0,K41,0)))*(1+(IF(VLOOKUP(tbMoveset!A90,tbMoveset!A2:I112,9,FALSE)="Fire",VLOOKUP(Calculator!$E24,tbSkills!$AX3:$AZ9,3,FALSE),IF(VLOOKUP(tbMoveset!A90,tbMoveset!A2:I112,9,FALSE)="Water",VLOOKUP(Calculator!$E25,tbSkills!$AX3:$AZ9,3,FALSE),IF(VLOOKUP(BackdoorsMoveset!A90,tbMoveset!A2:I112,9,FALSE)="Thunder",VLOOKUP(Calculator!$E26,tbSkills!$AX3:$AZ9,3,FALSE),IF(VLOOKUP(tbMoveset!A90,tbMoveset!A2:I112,9,FALSE)="Ice",VLOOKUP(Calculator!$E27,tbSkills!$AX3:$AZ9,3,FALSE),IF(VLOOKUP(tbMoveset!A90,tbMoveset!A2:I112,9,FALSE)="Dragon",VLOOKUP(Calculator!$E28,tbSkills!$AX3:$AZ9,3,FALSE),0)))))/100))*AC7,0)+IF(VLOOKUP(tbMoveset!A90,tbMoveset!A2:F112,6,FALSE)&gt;0,IF(VLOOKUP(tbMoveset!A90,tbMoveset!A2:I112,9,FALSE)="Fire",VLOOKUP(Calculator!$E24,tbSkills!$AX3:$AY9,2,FALSE),IF(VLOOKUP(tbMoveset!A90,tbMoveset!A2:I112,9,FALSE)="Water",VLOOKUP(Calculator!$E25,tbSkills!$AX3:$AY9,2,FALSE),IF(VLOOKUP(tbMoveset!A90,tbMoveset!A2:I112,9,FALSE)="Thunder",VLOOKUP(Calculator!$E26,tbSkills!$AX3:$AY9,2,FALSE),IF(VLOOKUP(tbMoveset!A90,tbMoveset!A2:I112,9,FALSE)="Ice",VLOOKUP(Calculator!$E27,tbSkills!$AX3:$AY9,2,FALSE),IF(VLOOKUP(tbMoveset!A90,tbMoveset!A2:I112,9,FALSE)="Dragon",VLOOKUP(Calculator!$E28,tbSkills!$AX3:$AY9,2,FALSE),0))))),0)/10)&gt;=B34,B34,(ROUND((VLOOKUP(tbMoveset!A90,tbMoveset!A2:F112,6,FALSE)+(IF(VLOOKUP(tbMoveset!A90,tbMoveset!A2:F112,6,FALSE)&gt;0,K41,0)))*(1+(IF(VLOOKUP(tbMoveset!A90,tbMoveset!A2:I112,9,FALSE)="Fire",VLOOKUP(Calculator!$E24,tbSkills!$AX3:$AZ9,3,FALSE),IF(VLOOKUP(tbMoveset!A90,tbMoveset!A2:I112,9,FALSE)="Water",VLOOKUP(Calculator!$E25,tbSkills!$AX3:$AZ9,3,FALSE),IF(VLOOKUP(BackdoorsMoveset!A90,tbMoveset!A2:I112,9,FALSE)="Thunder",VLOOKUP(Calculator!$E26,tbSkills!$AX3:$AZ9,3,FALSE),IF(VLOOKUP(tbMoveset!A90,tbMoveset!A2:I112,9,FALSE)="Ice",VLOOKUP(Calculator!$E27,tbSkills!$AX3:$AZ9,3,FALSE),IF(VLOOKUP(tbMoveset!A90,tbMoveset!A2:I112,9,FALSE)="Dragon",VLOOKUP(Calculator!$E28,tbSkills!$AX3:$AZ9,3,FALSE),0)))))/100))*AC7,0)+IF(VLOOKUP(tbMoveset!A90,tbMoveset!A2:F112,6,FALSE)&gt;0,IF(VLOOKUP(tbMoveset!A90,tbMoveset!A2:I112,9,FALSE)="Fire",VLOOKUP(Calculator!$E24,tbSkills!$AX3:$AY9,2,FALSE),IF(VLOOKUP(tbMoveset!A90,tbMoveset!A2:I112,9,FALSE)="Water",VLOOKUP(Calculator!$E25,tbSkills!$AX3:$AY9,2,FALSE),IF(VLOOKUP(tbMoveset!A90,tbMoveset!A2:I112,9,FALSE)="Thunder",VLOOKUP(Calculator!$E26,tbSkills!$AX3:$AY9,2,FALSE),IF(VLOOKUP(tbMoveset!A90,tbMoveset!A2:I112,9,FALSE)="Ice",VLOOKUP(Calculator!$E27,tbSkills!$AX3:$AY9,2,FALSE),IF(VLOOKUP(tbMoveset!A90,tbMoveset!A2:I112,9,FALSE)="Dragon",VLOOKUP(Calculator!$E28,tbSkills!$AX3:$AY9,2,FALSE),0))))),0)/10))*N6)*AC6,0)*(B30/100),0)</f>
        <v>0</v>
      </c>
    </row>
    <row r="91" spans="43:73" x14ac:dyDescent="0.25">
      <c r="AQ91" t="s">
        <v>242</v>
      </c>
      <c r="AR91">
        <f>ROUND((AR90/N8)*BN9,0)</f>
        <v>0</v>
      </c>
      <c r="BU91" s="49">
        <f>IFERROR(ROUNDDOWN((IF((ROUND((VLOOKUP(tbMoveset!A91,tbMoveset!A2:F112,6,FALSE)+(IF(VLOOKUP(tbMoveset!A91,tbMoveset!A2:F112,6,FALSE)&gt;0,K41,0)))*(1+(IF(VLOOKUP(tbMoveset!A91,tbMoveset!A2:I112,9,FALSE)="Fire",VLOOKUP(Calculator!$E24,tbSkills!$AX3:$AZ9,3,FALSE),IF(VLOOKUP(tbMoveset!A91,tbMoveset!A2:I112,9,FALSE)="Water",VLOOKUP(Calculator!$E25,tbSkills!$AX3:$AZ9,3,FALSE),IF(VLOOKUP(BackdoorsMoveset!A91,tbMoveset!A2:I112,9,FALSE)="Thunder",VLOOKUP(Calculator!$E26,tbSkills!$AX3:$AZ9,3,FALSE),IF(VLOOKUP(tbMoveset!A91,tbMoveset!A2:I112,9,FALSE)="Ice",VLOOKUP(Calculator!$E27,tbSkills!$AX3:$AZ9,3,FALSE),IF(VLOOKUP(tbMoveset!A91,tbMoveset!A2:I112,9,FALSE)="Dragon",VLOOKUP(Calculator!$E28,tbSkills!$AX3:$AZ9,3,FALSE),0)))))/100))*AC7,0)+IF(VLOOKUP(tbMoveset!A91,tbMoveset!A2:F112,6,FALSE)&gt;0,IF(VLOOKUP(tbMoveset!A91,tbMoveset!A2:I112,9,FALSE)="Fire",VLOOKUP(Calculator!$E24,tbSkills!$AX3:$AY9,2,FALSE),IF(VLOOKUP(tbMoveset!A91,tbMoveset!A2:I112,9,FALSE)="Water",VLOOKUP(Calculator!$E25,tbSkills!$AX3:$AY9,2,FALSE),IF(VLOOKUP(tbMoveset!A91,tbMoveset!A2:I112,9,FALSE)="Thunder",VLOOKUP(Calculator!$E26,tbSkills!$AX3:$AY9,2,FALSE),IF(VLOOKUP(tbMoveset!A91,tbMoveset!A2:I112,9,FALSE)="Ice",VLOOKUP(Calculator!$E27,tbSkills!$AX3:$AY9,2,FALSE),IF(VLOOKUP(tbMoveset!A91,tbMoveset!A2:I112,9,FALSE)="Dragon",VLOOKUP(Calculator!$E28,tbSkills!$AX3:$AY9,2,FALSE),0))))),0)/10)&gt;=B34,B34,(ROUND((VLOOKUP(tbMoveset!A91,tbMoveset!A2:F112,6,FALSE)+(IF(VLOOKUP(tbMoveset!A91,tbMoveset!A2:F112,6,FALSE)&gt;0,K41,0)))*(1+(IF(VLOOKUP(tbMoveset!A91,tbMoveset!A2:I112,9,FALSE)="Fire",VLOOKUP(Calculator!$E24,tbSkills!$AX3:$AZ9,3,FALSE),IF(VLOOKUP(tbMoveset!A91,tbMoveset!A2:I112,9,FALSE)="Water",VLOOKUP(Calculator!$E25,tbSkills!$AX3:$AZ9,3,FALSE),IF(VLOOKUP(BackdoorsMoveset!A91,tbMoveset!A2:I112,9,FALSE)="Thunder",VLOOKUP(Calculator!$E26,tbSkills!$AX3:$AZ9,3,FALSE),IF(VLOOKUP(tbMoveset!A91,tbMoveset!A2:I112,9,FALSE)="Ice",VLOOKUP(Calculator!$E27,tbSkills!$AX3:$AZ9,3,FALSE),IF(VLOOKUP(tbMoveset!A91,tbMoveset!A2:I112,9,FALSE)="Dragon",VLOOKUP(Calculator!$E28,tbSkills!$AX3:$AZ9,3,FALSE),0)))))/100))*AC7,0)+IF(VLOOKUP(tbMoveset!A91,tbMoveset!A2:F112,6,FALSE)&gt;0,IF(VLOOKUP(tbMoveset!A91,tbMoveset!A2:I112,9,FALSE)="Fire",VLOOKUP(Calculator!$E24,tbSkills!$AX3:$AY9,2,FALSE),IF(VLOOKUP(tbMoveset!A91,tbMoveset!A2:I112,9,FALSE)="Water",VLOOKUP(Calculator!$E25,tbSkills!$AX3:$AY9,2,FALSE),IF(VLOOKUP(tbMoveset!A91,tbMoveset!A2:I112,9,FALSE)="Thunder",VLOOKUP(Calculator!$E26,tbSkills!$AX3:$AY9,2,FALSE),IF(VLOOKUP(tbMoveset!A91,tbMoveset!A2:I112,9,FALSE)="Ice",VLOOKUP(Calculator!$E27,tbSkills!$AX3:$AY9,2,FALSE),IF(VLOOKUP(tbMoveset!A91,tbMoveset!A2:I112,9,FALSE)="Dragon",VLOOKUP(Calculator!$E28,tbSkills!$AX3:$AY9,2,FALSE),0))))),0)/10))*N6)*AC6,0)*(B30/100),0)</f>
        <v>0</v>
      </c>
    </row>
    <row r="92" spans="43:73" x14ac:dyDescent="0.25">
      <c r="BU92" s="49">
        <f>IFERROR(ROUNDDOWN((IF((ROUND((VLOOKUP(tbMoveset!A92,tbMoveset!A2:F112,6,FALSE)+(IF(VLOOKUP(tbMoveset!A92,tbMoveset!A2:F112,6,FALSE)&gt;0,K41,0)))*(1+(IF(VLOOKUP(tbMoveset!A92,tbMoveset!A2:I112,9,FALSE)="Fire",VLOOKUP(Calculator!$E24,tbSkills!$AX3:$AZ9,3,FALSE),IF(VLOOKUP(tbMoveset!A92,tbMoveset!A2:I112,9,FALSE)="Water",VLOOKUP(Calculator!$E25,tbSkills!$AX3:$AZ9,3,FALSE),IF(VLOOKUP(BackdoorsMoveset!A92,tbMoveset!A2:I112,9,FALSE)="Thunder",VLOOKUP(Calculator!$E26,tbSkills!$AX3:$AZ9,3,FALSE),IF(VLOOKUP(tbMoveset!A92,tbMoveset!A2:I112,9,FALSE)="Ice",VLOOKUP(Calculator!$E27,tbSkills!$AX3:$AZ9,3,FALSE),IF(VLOOKUP(tbMoveset!A92,tbMoveset!A2:I112,9,FALSE)="Dragon",VLOOKUP(Calculator!$E28,tbSkills!$AX3:$AZ9,3,FALSE),0)))))/100))*AC7,0)+IF(VLOOKUP(tbMoveset!A92,tbMoveset!A2:F112,6,FALSE)&gt;0,IF(VLOOKUP(tbMoveset!A92,tbMoveset!A2:I112,9,FALSE)="Fire",VLOOKUP(Calculator!$E24,tbSkills!$AX3:$AY9,2,FALSE),IF(VLOOKUP(tbMoveset!A92,tbMoveset!A2:I112,9,FALSE)="Water",VLOOKUP(Calculator!$E25,tbSkills!$AX3:$AY9,2,FALSE),IF(VLOOKUP(tbMoveset!A92,tbMoveset!A2:I112,9,FALSE)="Thunder",VLOOKUP(Calculator!$E26,tbSkills!$AX3:$AY9,2,FALSE),IF(VLOOKUP(tbMoveset!A92,tbMoveset!A2:I112,9,FALSE)="Ice",VLOOKUP(Calculator!$E27,tbSkills!$AX3:$AY9,2,FALSE),IF(VLOOKUP(tbMoveset!A92,tbMoveset!A2:I112,9,FALSE)="Dragon",VLOOKUP(Calculator!$E28,tbSkills!$AX3:$AY9,2,FALSE),0))))),0)/10)&gt;=B34,B34,(ROUND((VLOOKUP(tbMoveset!A92,tbMoveset!A2:F112,6,FALSE)+(IF(VLOOKUP(tbMoveset!A92,tbMoveset!A2:F112,6,FALSE)&gt;0,K41,0)))*(1+(IF(VLOOKUP(tbMoveset!A92,tbMoveset!A2:I112,9,FALSE)="Fire",VLOOKUP(Calculator!$E24,tbSkills!$AX3:$AZ9,3,FALSE),IF(VLOOKUP(tbMoveset!A92,tbMoveset!A2:I112,9,FALSE)="Water",VLOOKUP(Calculator!$E25,tbSkills!$AX3:$AZ9,3,FALSE),IF(VLOOKUP(BackdoorsMoveset!A92,tbMoveset!A2:I112,9,FALSE)="Thunder",VLOOKUP(Calculator!$E26,tbSkills!$AX3:$AZ9,3,FALSE),IF(VLOOKUP(tbMoveset!A92,tbMoveset!A2:I112,9,FALSE)="Ice",VLOOKUP(Calculator!$E27,tbSkills!$AX3:$AZ9,3,FALSE),IF(VLOOKUP(tbMoveset!A92,tbMoveset!A2:I112,9,FALSE)="Dragon",VLOOKUP(Calculator!$E28,tbSkills!$AX3:$AZ9,3,FALSE),0)))))/100))*AC7,0)+IF(VLOOKUP(tbMoveset!A92,tbMoveset!A2:F112,6,FALSE)&gt;0,IF(VLOOKUP(tbMoveset!A92,tbMoveset!A2:I112,9,FALSE)="Fire",VLOOKUP(Calculator!$E24,tbSkills!$AX3:$AY9,2,FALSE),IF(VLOOKUP(tbMoveset!A92,tbMoveset!A2:I112,9,FALSE)="Water",VLOOKUP(Calculator!$E25,tbSkills!$AX3:$AY9,2,FALSE),IF(VLOOKUP(tbMoveset!A92,tbMoveset!A2:I112,9,FALSE)="Thunder",VLOOKUP(Calculator!$E26,tbSkills!$AX3:$AY9,2,FALSE),IF(VLOOKUP(tbMoveset!A92,tbMoveset!A2:I112,9,FALSE)="Ice",VLOOKUP(Calculator!$E27,tbSkills!$AX3:$AY9,2,FALSE),IF(VLOOKUP(tbMoveset!A92,tbMoveset!A2:I112,9,FALSE)="Dragon",VLOOKUP(Calculator!$E28,tbSkills!$AX3:$AY9,2,FALSE),0))))),0)/10))*N6)*AC6,0)*(B30/100),0)</f>
        <v>0</v>
      </c>
    </row>
    <row r="93" spans="43:73" x14ac:dyDescent="0.25">
      <c r="AQ93" t="s">
        <v>574</v>
      </c>
      <c r="AR93">
        <f>IFERROR(INDEX(tbHitzones!K:K,MATCH(ROWS(tbHitzones!$1:8),tbHitzones!K:K,0)),"")</f>
        <v>8</v>
      </c>
      <c r="BU93" s="49">
        <f>IFERROR(ROUNDDOWN((IF((ROUND((VLOOKUP(tbMoveset!A93,tbMoveset!A2:F112,6,FALSE)+(IF(VLOOKUP(tbMoveset!A93,tbMoveset!A2:F112,6,FALSE)&gt;0,K41,0)))*(1+(IF(VLOOKUP(tbMoveset!A93,tbMoveset!A2:I112,9,FALSE)="Fire",VLOOKUP(Calculator!$E24,tbSkills!$AX3:$AZ9,3,FALSE),IF(VLOOKUP(tbMoveset!A93,tbMoveset!A2:I112,9,FALSE)="Water",VLOOKUP(Calculator!$E25,tbSkills!$AX3:$AZ9,3,FALSE),IF(VLOOKUP(BackdoorsMoveset!A93,tbMoveset!A2:I112,9,FALSE)="Thunder",VLOOKUP(Calculator!$E26,tbSkills!$AX3:$AZ9,3,FALSE),IF(VLOOKUP(tbMoveset!A93,tbMoveset!A2:I112,9,FALSE)="Ice",VLOOKUP(Calculator!$E27,tbSkills!$AX3:$AZ9,3,FALSE),IF(VLOOKUP(tbMoveset!A93,tbMoveset!A2:I112,9,FALSE)="Dragon",VLOOKUP(Calculator!$E28,tbSkills!$AX3:$AZ9,3,FALSE),0)))))/100))*AC7,0)+IF(VLOOKUP(tbMoveset!A93,tbMoveset!A2:F112,6,FALSE)&gt;0,IF(VLOOKUP(tbMoveset!A93,tbMoveset!A2:I112,9,FALSE)="Fire",VLOOKUP(Calculator!$E24,tbSkills!$AX3:$AY9,2,FALSE),IF(VLOOKUP(tbMoveset!A93,tbMoveset!A2:I112,9,FALSE)="Water",VLOOKUP(Calculator!$E25,tbSkills!$AX3:$AY9,2,FALSE),IF(VLOOKUP(tbMoveset!A93,tbMoveset!A2:I112,9,FALSE)="Thunder",VLOOKUP(Calculator!$E26,tbSkills!$AX3:$AY9,2,FALSE),IF(VLOOKUP(tbMoveset!A93,tbMoveset!A2:I112,9,FALSE)="Ice",VLOOKUP(Calculator!$E27,tbSkills!$AX3:$AY9,2,FALSE),IF(VLOOKUP(tbMoveset!A93,tbMoveset!A2:I112,9,FALSE)="Dragon",VLOOKUP(Calculator!$E28,tbSkills!$AX3:$AY9,2,FALSE),0))))),0)/10)&gt;=B34,B34,(ROUND((VLOOKUP(tbMoveset!A93,tbMoveset!A2:F112,6,FALSE)+(IF(VLOOKUP(tbMoveset!A93,tbMoveset!A2:F112,6,FALSE)&gt;0,K41,0)))*(1+(IF(VLOOKUP(tbMoveset!A93,tbMoveset!A2:I112,9,FALSE)="Fire",VLOOKUP(Calculator!$E24,tbSkills!$AX3:$AZ9,3,FALSE),IF(VLOOKUP(tbMoveset!A93,tbMoveset!A2:I112,9,FALSE)="Water",VLOOKUP(Calculator!$E25,tbSkills!$AX3:$AZ9,3,FALSE),IF(VLOOKUP(BackdoorsMoveset!A93,tbMoveset!A2:I112,9,FALSE)="Thunder",VLOOKUP(Calculator!$E26,tbSkills!$AX3:$AZ9,3,FALSE),IF(VLOOKUP(tbMoveset!A93,tbMoveset!A2:I112,9,FALSE)="Ice",VLOOKUP(Calculator!$E27,tbSkills!$AX3:$AZ9,3,FALSE),IF(VLOOKUP(tbMoveset!A93,tbMoveset!A2:I112,9,FALSE)="Dragon",VLOOKUP(Calculator!$E28,tbSkills!$AX3:$AZ9,3,FALSE),0)))))/100))*AC7,0)+IF(VLOOKUP(tbMoveset!A93,tbMoveset!A2:F112,6,FALSE)&gt;0,IF(VLOOKUP(tbMoveset!A93,tbMoveset!A2:I112,9,FALSE)="Fire",VLOOKUP(Calculator!$E24,tbSkills!$AX3:$AY9,2,FALSE),IF(VLOOKUP(tbMoveset!A93,tbMoveset!A2:I112,9,FALSE)="Water",VLOOKUP(Calculator!$E25,tbSkills!$AX3:$AY9,2,FALSE),IF(VLOOKUP(tbMoveset!A93,tbMoveset!A2:I112,9,FALSE)="Thunder",VLOOKUP(Calculator!$E26,tbSkills!$AX3:$AY9,2,FALSE),IF(VLOOKUP(tbMoveset!A93,tbMoveset!A2:I112,9,FALSE)="Ice",VLOOKUP(Calculator!$E27,tbSkills!$AX3:$AY9,2,FALSE),IF(VLOOKUP(tbMoveset!A93,tbMoveset!A2:I112,9,FALSE)="Dragon",VLOOKUP(Calculator!$E28,tbSkills!$AX3:$AY9,2,FALSE),0))))),0)/10))*N6)*AC6,0)*(B30/100),0)</f>
        <v>0</v>
      </c>
    </row>
    <row r="94" spans="43:73" x14ac:dyDescent="0.25">
      <c r="AQ94" t="s">
        <v>234</v>
      </c>
      <c r="AR94">
        <f>IFERROR(N8/BN10,0)</f>
        <v>6.6415094339622645</v>
      </c>
      <c r="BU94" s="49">
        <f>IFERROR(ROUNDDOWN((IF((ROUND((VLOOKUP(tbMoveset!A94,tbMoveset!A2:F112,6,FALSE)+(IF(VLOOKUP(tbMoveset!A94,tbMoveset!A2:F112,6,FALSE)&gt;0,K41,0)))*(1+(IF(VLOOKUP(tbMoveset!A94,tbMoveset!A2:I112,9,FALSE)="Fire",VLOOKUP(Calculator!$E24,tbSkills!$AX3:$AZ9,3,FALSE),IF(VLOOKUP(tbMoveset!A94,tbMoveset!A2:I112,9,FALSE)="Water",VLOOKUP(Calculator!$E25,tbSkills!$AX3:$AZ9,3,FALSE),IF(VLOOKUP(BackdoorsMoveset!A94,tbMoveset!A2:I112,9,FALSE)="Thunder",VLOOKUP(Calculator!$E26,tbSkills!$AX3:$AZ9,3,FALSE),IF(VLOOKUP(tbMoveset!A94,tbMoveset!A2:I112,9,FALSE)="Ice",VLOOKUP(Calculator!$E27,tbSkills!$AX3:$AZ9,3,FALSE),IF(VLOOKUP(tbMoveset!A94,tbMoveset!A2:I112,9,FALSE)="Dragon",VLOOKUP(Calculator!$E28,tbSkills!$AX3:$AZ9,3,FALSE),0)))))/100))*AC7,0)+IF(VLOOKUP(tbMoveset!A94,tbMoveset!A2:F112,6,FALSE)&gt;0,IF(VLOOKUP(tbMoveset!A94,tbMoveset!A2:I112,9,FALSE)="Fire",VLOOKUP(Calculator!$E24,tbSkills!$AX3:$AY9,2,FALSE),IF(VLOOKUP(tbMoveset!A94,tbMoveset!A2:I112,9,FALSE)="Water",VLOOKUP(Calculator!$E25,tbSkills!$AX3:$AY9,2,FALSE),IF(VLOOKUP(tbMoveset!A94,tbMoveset!A2:I112,9,FALSE)="Thunder",VLOOKUP(Calculator!$E26,tbSkills!$AX3:$AY9,2,FALSE),IF(VLOOKUP(tbMoveset!A94,tbMoveset!A2:I112,9,FALSE)="Ice",VLOOKUP(Calculator!$E27,tbSkills!$AX3:$AY9,2,FALSE),IF(VLOOKUP(tbMoveset!A94,tbMoveset!A2:I112,9,FALSE)="Dragon",VLOOKUP(Calculator!$E28,tbSkills!$AX3:$AY9,2,FALSE),0))))),0)/10)&gt;=B34,B34,(ROUND((VLOOKUP(tbMoveset!A94,tbMoveset!A2:F112,6,FALSE)+(IF(VLOOKUP(tbMoveset!A94,tbMoveset!A2:F112,6,FALSE)&gt;0,K41,0)))*(1+(IF(VLOOKUP(tbMoveset!A94,tbMoveset!A2:I112,9,FALSE)="Fire",VLOOKUP(Calculator!$E24,tbSkills!$AX3:$AZ9,3,FALSE),IF(VLOOKUP(tbMoveset!A94,tbMoveset!A2:I112,9,FALSE)="Water",VLOOKUP(Calculator!$E25,tbSkills!$AX3:$AZ9,3,FALSE),IF(VLOOKUP(BackdoorsMoveset!A94,tbMoveset!A2:I112,9,FALSE)="Thunder",VLOOKUP(Calculator!$E26,tbSkills!$AX3:$AZ9,3,FALSE),IF(VLOOKUP(tbMoveset!A94,tbMoveset!A2:I112,9,FALSE)="Ice",VLOOKUP(Calculator!$E27,tbSkills!$AX3:$AZ9,3,FALSE),IF(VLOOKUP(tbMoveset!A94,tbMoveset!A2:I112,9,FALSE)="Dragon",VLOOKUP(Calculator!$E28,tbSkills!$AX3:$AZ9,3,FALSE),0)))))/100))*AC7,0)+IF(VLOOKUP(tbMoveset!A94,tbMoveset!A2:F112,6,FALSE)&gt;0,IF(VLOOKUP(tbMoveset!A94,tbMoveset!A2:I112,9,FALSE)="Fire",VLOOKUP(Calculator!$E24,tbSkills!$AX3:$AY9,2,FALSE),IF(VLOOKUP(tbMoveset!A94,tbMoveset!A2:I112,9,FALSE)="Water",VLOOKUP(Calculator!$E25,tbSkills!$AX3:$AY9,2,FALSE),IF(VLOOKUP(tbMoveset!A94,tbMoveset!A2:I112,9,FALSE)="Thunder",VLOOKUP(Calculator!$E26,tbSkills!$AX3:$AY9,2,FALSE),IF(VLOOKUP(tbMoveset!A94,tbMoveset!A2:I112,9,FALSE)="Ice",VLOOKUP(Calculator!$E27,tbSkills!$AX3:$AY9,2,FALSE),IF(VLOOKUP(tbMoveset!A94,tbMoveset!A2:I112,9,FALSE)="Dragon",VLOOKUP(Calculator!$E28,tbSkills!$AX3:$AY9,2,FALSE),0))))),0)/10))*N6)*AC6,0)*(B30/100),0)</f>
        <v>0</v>
      </c>
    </row>
    <row r="95" spans="43:73" x14ac:dyDescent="0.25">
      <c r="AQ95" t="s">
        <v>572</v>
      </c>
      <c r="AR95">
        <f>AO6*AO25</f>
        <v>0</v>
      </c>
      <c r="BU95" s="49">
        <f>IFERROR(ROUNDDOWN((IF((ROUND((VLOOKUP(tbMoveset!A95,tbMoveset!A2:F112,6,FALSE)+(IF(VLOOKUP(tbMoveset!A95,tbMoveset!A2:F112,6,FALSE)&gt;0,K41,0)))*(1+(IF(VLOOKUP(tbMoveset!A95,tbMoveset!A2:I112,9,FALSE)="Fire",VLOOKUP(Calculator!$E24,tbSkills!$AX3:$AZ9,3,FALSE),IF(VLOOKUP(tbMoveset!A95,tbMoveset!A2:I112,9,FALSE)="Water",VLOOKUP(Calculator!$E25,tbSkills!$AX3:$AZ9,3,FALSE),IF(VLOOKUP(BackdoorsMoveset!A95,tbMoveset!A2:I112,9,FALSE)="Thunder",VLOOKUP(Calculator!$E26,tbSkills!$AX3:$AZ9,3,FALSE),IF(VLOOKUP(tbMoveset!A95,tbMoveset!A2:I112,9,FALSE)="Ice",VLOOKUP(Calculator!$E27,tbSkills!$AX3:$AZ9,3,FALSE),IF(VLOOKUP(tbMoveset!A95,tbMoveset!A2:I112,9,FALSE)="Dragon",VLOOKUP(Calculator!$E28,tbSkills!$AX3:$AZ9,3,FALSE),0)))))/100))*AC7,0)+IF(VLOOKUP(tbMoveset!A95,tbMoveset!A2:F112,6,FALSE)&gt;0,IF(VLOOKUP(tbMoveset!A95,tbMoveset!A2:I112,9,FALSE)="Fire",VLOOKUP(Calculator!$E24,tbSkills!$AX3:$AY9,2,FALSE),IF(VLOOKUP(tbMoveset!A95,tbMoveset!A2:I112,9,FALSE)="Water",VLOOKUP(Calculator!$E25,tbSkills!$AX3:$AY9,2,FALSE),IF(VLOOKUP(tbMoveset!A95,tbMoveset!A2:I112,9,FALSE)="Thunder",VLOOKUP(Calculator!$E26,tbSkills!$AX3:$AY9,2,FALSE),IF(VLOOKUP(tbMoveset!A95,tbMoveset!A2:I112,9,FALSE)="Ice",VLOOKUP(Calculator!$E27,tbSkills!$AX3:$AY9,2,FALSE),IF(VLOOKUP(tbMoveset!A95,tbMoveset!A2:I112,9,FALSE)="Dragon",VLOOKUP(Calculator!$E28,tbSkills!$AX3:$AY9,2,FALSE),0))))),0)/10)&gt;=B34,B34,(ROUND((VLOOKUP(tbMoveset!A95,tbMoveset!A2:F112,6,FALSE)+(IF(VLOOKUP(tbMoveset!A95,tbMoveset!A2:F112,6,FALSE)&gt;0,K41,0)))*(1+(IF(VLOOKUP(tbMoveset!A95,tbMoveset!A2:I112,9,FALSE)="Fire",VLOOKUP(Calculator!$E24,tbSkills!$AX3:$AZ9,3,FALSE),IF(VLOOKUP(tbMoveset!A95,tbMoveset!A2:I112,9,FALSE)="Water",VLOOKUP(Calculator!$E25,tbSkills!$AX3:$AZ9,3,FALSE),IF(VLOOKUP(BackdoorsMoveset!A95,tbMoveset!A2:I112,9,FALSE)="Thunder",VLOOKUP(Calculator!$E26,tbSkills!$AX3:$AZ9,3,FALSE),IF(VLOOKUP(tbMoveset!A95,tbMoveset!A2:I112,9,FALSE)="Ice",VLOOKUP(Calculator!$E27,tbSkills!$AX3:$AZ9,3,FALSE),IF(VLOOKUP(tbMoveset!A95,tbMoveset!A2:I112,9,FALSE)="Dragon",VLOOKUP(Calculator!$E28,tbSkills!$AX3:$AZ9,3,FALSE),0)))))/100))*AC7,0)+IF(VLOOKUP(tbMoveset!A95,tbMoveset!A2:F112,6,FALSE)&gt;0,IF(VLOOKUP(tbMoveset!A95,tbMoveset!A2:I112,9,FALSE)="Fire",VLOOKUP(Calculator!$E24,tbSkills!$AX3:$AY9,2,FALSE),IF(VLOOKUP(tbMoveset!A95,tbMoveset!A2:I112,9,FALSE)="Water",VLOOKUP(Calculator!$E25,tbSkills!$AX3:$AY9,2,FALSE),IF(VLOOKUP(tbMoveset!A95,tbMoveset!A2:I112,9,FALSE)="Thunder",VLOOKUP(Calculator!$E26,tbSkills!$AX3:$AY9,2,FALSE),IF(VLOOKUP(tbMoveset!A95,tbMoveset!A2:I112,9,FALSE)="Ice",VLOOKUP(Calculator!$E27,tbSkills!$AX3:$AY9,2,FALSE),IF(VLOOKUP(tbMoveset!A95,tbMoveset!A2:I112,9,FALSE)="Dragon",VLOOKUP(Calculator!$E28,tbSkills!$AX3:$AY9,2,FALSE),0))))),0)/10))*N6)*AC6,0)*(B30/100),0)</f>
        <v>0</v>
      </c>
    </row>
    <row r="96" spans="43:73" x14ac:dyDescent="0.25">
      <c r="AQ96" t="s">
        <v>190</v>
      </c>
      <c r="AR96">
        <f>AR94*AR95</f>
        <v>0</v>
      </c>
      <c r="BU96" s="49">
        <f>IFERROR(ROUNDDOWN((IF((ROUND((VLOOKUP(tbMoveset!A96,tbMoveset!A2:F112,6,FALSE)+(IF(VLOOKUP(tbMoveset!A96,tbMoveset!A2:F112,6,FALSE)&gt;0,K41,0)))*(1+(IF(VLOOKUP(tbMoveset!A96,tbMoveset!A2:I112,9,FALSE)="Fire",VLOOKUP(Calculator!$E24,tbSkills!$AX3:$AZ9,3,FALSE),IF(VLOOKUP(tbMoveset!A96,tbMoveset!A2:I112,9,FALSE)="Water",VLOOKUP(Calculator!$E25,tbSkills!$AX3:$AZ9,3,FALSE),IF(VLOOKUP(BackdoorsMoveset!A96,tbMoveset!A2:I112,9,FALSE)="Thunder",VLOOKUP(Calculator!$E26,tbSkills!$AX3:$AZ9,3,FALSE),IF(VLOOKUP(tbMoveset!A96,tbMoveset!A2:I112,9,FALSE)="Ice",VLOOKUP(Calculator!$E27,tbSkills!$AX3:$AZ9,3,FALSE),IF(VLOOKUP(tbMoveset!A96,tbMoveset!A2:I112,9,FALSE)="Dragon",VLOOKUP(Calculator!$E28,tbSkills!$AX3:$AZ9,3,FALSE),0)))))/100))*AC7,0)+IF(VLOOKUP(tbMoveset!A96,tbMoveset!A2:F112,6,FALSE)&gt;0,IF(VLOOKUP(tbMoveset!A96,tbMoveset!A2:I112,9,FALSE)="Fire",VLOOKUP(Calculator!$E24,tbSkills!$AX3:$AY9,2,FALSE),IF(VLOOKUP(tbMoveset!A96,tbMoveset!A2:I112,9,FALSE)="Water",VLOOKUP(Calculator!$E25,tbSkills!$AX3:$AY9,2,FALSE),IF(VLOOKUP(tbMoveset!A96,tbMoveset!A2:I112,9,FALSE)="Thunder",VLOOKUP(Calculator!$E26,tbSkills!$AX3:$AY9,2,FALSE),IF(VLOOKUP(tbMoveset!A96,tbMoveset!A2:I112,9,FALSE)="Ice",VLOOKUP(Calculator!$E27,tbSkills!$AX3:$AY9,2,FALSE),IF(VLOOKUP(tbMoveset!A96,tbMoveset!A2:I112,9,FALSE)="Dragon",VLOOKUP(Calculator!$E28,tbSkills!$AX3:$AY9,2,FALSE),0))))),0)/10)&gt;=B34,B34,(ROUND((VLOOKUP(tbMoveset!A96,tbMoveset!A2:F112,6,FALSE)+(IF(VLOOKUP(tbMoveset!A96,tbMoveset!A2:F112,6,FALSE)&gt;0,K41,0)))*(1+(IF(VLOOKUP(tbMoveset!A96,tbMoveset!A2:I112,9,FALSE)="Fire",VLOOKUP(Calculator!$E24,tbSkills!$AX3:$AZ9,3,FALSE),IF(VLOOKUP(tbMoveset!A96,tbMoveset!A2:I112,9,FALSE)="Water",VLOOKUP(Calculator!$E25,tbSkills!$AX3:$AZ9,3,FALSE),IF(VLOOKUP(BackdoorsMoveset!A96,tbMoveset!A2:I112,9,FALSE)="Thunder",VLOOKUP(Calculator!$E26,tbSkills!$AX3:$AZ9,3,FALSE),IF(VLOOKUP(tbMoveset!A96,tbMoveset!A2:I112,9,FALSE)="Ice",VLOOKUP(Calculator!$E27,tbSkills!$AX3:$AZ9,3,FALSE),IF(VLOOKUP(tbMoveset!A96,tbMoveset!A2:I112,9,FALSE)="Dragon",VLOOKUP(Calculator!$E28,tbSkills!$AX3:$AZ9,3,FALSE),0)))))/100))*AC7,0)+IF(VLOOKUP(tbMoveset!A96,tbMoveset!A2:F112,6,FALSE)&gt;0,IF(VLOOKUP(tbMoveset!A96,tbMoveset!A2:I112,9,FALSE)="Fire",VLOOKUP(Calculator!$E24,tbSkills!$AX3:$AY9,2,FALSE),IF(VLOOKUP(tbMoveset!A96,tbMoveset!A2:I112,9,FALSE)="Water",VLOOKUP(Calculator!$E25,tbSkills!$AX3:$AY9,2,FALSE),IF(VLOOKUP(tbMoveset!A96,tbMoveset!A2:I112,9,FALSE)="Thunder",VLOOKUP(Calculator!$E26,tbSkills!$AX3:$AY9,2,FALSE),IF(VLOOKUP(tbMoveset!A96,tbMoveset!A2:I112,9,FALSE)="Ice",VLOOKUP(Calculator!$E27,tbSkills!$AX3:$AY9,2,FALSE),IF(VLOOKUP(tbMoveset!A96,tbMoveset!A2:I112,9,FALSE)="Dragon",VLOOKUP(Calculator!$E28,tbSkills!$AX3:$AY9,2,FALSE),0))))),0)/10))*N6)*AC6,0)*(B30/100),0)</f>
        <v>0</v>
      </c>
    </row>
    <row r="97" spans="43:73" x14ac:dyDescent="0.25">
      <c r="AQ97" t="s">
        <v>235</v>
      </c>
      <c r="AR97">
        <f>IF($AR96&gt;=$AU51,50,IF($AR96&gt;=$AU50,49,IF($AR96&gt;=$AU49,48,IF($AR96&gt;=$AU48,47,IF($AR96&gt;=$AU47,46,IF($AR96&gt;=$AU46,45,IF($AR96&gt;=$AU45,44,IF($AR96&gt;=$AU44,43,IF($AR96&gt;=$AU43,42,IF($AR96&gt;=$AU42,41,IF($AR96&gt;=$AU41,40,IF($AR96&gt;=$AU40,39,IF($AR96&gt;=$AU39,38,IF($AR96&gt;=$AU38,37,IF($AR96&gt;=$AU37,36,IF($AR96&gt;=$AU36,35,IF($AR96&gt;=$AU35,34,IF($AR96&gt;=$AU34,33,IF($AR96&gt;=$AU33,32,IF($AR96&gt;=$AU32,31,IF($AR96&gt;=$AU31,30,IF($AR96&gt;=$AU30,29,IF($AR96&gt;=$AU29,28,IF($AR96&gt;=$AU28,27,IF($AR96&gt;=$AU27,26,IF($AR96&gt;=$AU26,25,IF($AR96&gt;=$AU25,24,IF($AR96&gt;=$AU24,23,IF($AR96&gt;=$AU23,22,IF($AR96&gt;=$AU22,21,IF($AR96&gt;=$AU21,20,IF($AR96&gt;=$AU20,19,IF($AR96&gt;=$AU19,18,IF($AR96&gt;=$AU18,17,IF($AR96&gt;=$AU17,16,IF($AR96&gt;=$AU16,15,IF($AR96&gt;=$AU15,14,IF($AR96&gt;=$AU14,13,IF($AR96&gt;=$AU13,12,IF($AR96&gt;=$AU12,11,IF($AR96&gt;=$AU11,10,IF($AR96&gt;=$AU10,9,IF($AR96&gt;=$AU9,8,IF($AR96&gt;=$AU8,7,IF($AR96&gt;=$AU7,6,IF($AR96&gt;=$AU6,5,IF($AR96&gt;=$AU5,4,IF($AR96&gt;=$AU4,3,IF($AR96&gt;=$AU3,2,IF($AR96&gt;=$AU2,1,0))))))))))))))))))))))))))))))))))))))))))))))))))</f>
        <v>0</v>
      </c>
      <c r="BU97" s="49">
        <f>IFERROR(ROUNDDOWN((IF((ROUND((VLOOKUP(tbMoveset!A97,tbMoveset!A2:F112,6,FALSE)+(IF(VLOOKUP(tbMoveset!A97,tbMoveset!A2:F112,6,FALSE)&gt;0,K41,0)))*(1+(IF(VLOOKUP(tbMoveset!A97,tbMoveset!A2:I112,9,FALSE)="Fire",VLOOKUP(Calculator!$E24,tbSkills!$AX3:$AZ9,3,FALSE),IF(VLOOKUP(tbMoveset!A97,tbMoveset!A2:I112,9,FALSE)="Water",VLOOKUP(Calculator!$E25,tbSkills!$AX3:$AZ9,3,FALSE),IF(VLOOKUP(BackdoorsMoveset!A97,tbMoveset!A2:I112,9,FALSE)="Thunder",VLOOKUP(Calculator!$E26,tbSkills!$AX3:$AZ9,3,FALSE),IF(VLOOKUP(tbMoveset!A97,tbMoveset!A2:I112,9,FALSE)="Ice",VLOOKUP(Calculator!$E27,tbSkills!$AX3:$AZ9,3,FALSE),IF(VLOOKUP(tbMoveset!A97,tbMoveset!A2:I112,9,FALSE)="Dragon",VLOOKUP(Calculator!$E28,tbSkills!$AX3:$AZ9,3,FALSE),0)))))/100))*AC7,0)+IF(VLOOKUP(tbMoveset!A97,tbMoveset!A2:F112,6,FALSE)&gt;0,IF(VLOOKUP(tbMoveset!A97,tbMoveset!A2:I112,9,FALSE)="Fire",VLOOKUP(Calculator!$E24,tbSkills!$AX3:$AY9,2,FALSE),IF(VLOOKUP(tbMoveset!A97,tbMoveset!A2:I112,9,FALSE)="Water",VLOOKUP(Calculator!$E25,tbSkills!$AX3:$AY9,2,FALSE),IF(VLOOKUP(tbMoveset!A97,tbMoveset!A2:I112,9,FALSE)="Thunder",VLOOKUP(Calculator!$E26,tbSkills!$AX3:$AY9,2,FALSE),IF(VLOOKUP(tbMoveset!A97,tbMoveset!A2:I112,9,FALSE)="Ice",VLOOKUP(Calculator!$E27,tbSkills!$AX3:$AY9,2,FALSE),IF(VLOOKUP(tbMoveset!A97,tbMoveset!A2:I112,9,FALSE)="Dragon",VLOOKUP(Calculator!$E28,tbSkills!$AX3:$AY9,2,FALSE),0))))),0)/10)&gt;=B34,B34,(ROUND((VLOOKUP(tbMoveset!A97,tbMoveset!A2:F112,6,FALSE)+(IF(VLOOKUP(tbMoveset!A97,tbMoveset!A2:F112,6,FALSE)&gt;0,K41,0)))*(1+(IF(VLOOKUP(tbMoveset!A97,tbMoveset!A2:I112,9,FALSE)="Fire",VLOOKUP(Calculator!$E24,tbSkills!$AX3:$AZ9,3,FALSE),IF(VLOOKUP(tbMoveset!A97,tbMoveset!A2:I112,9,FALSE)="Water",VLOOKUP(Calculator!$E25,tbSkills!$AX3:$AZ9,3,FALSE),IF(VLOOKUP(BackdoorsMoveset!A97,tbMoveset!A2:I112,9,FALSE)="Thunder",VLOOKUP(Calculator!$E26,tbSkills!$AX3:$AZ9,3,FALSE),IF(VLOOKUP(tbMoveset!A97,tbMoveset!A2:I112,9,FALSE)="Ice",VLOOKUP(Calculator!$E27,tbSkills!$AX3:$AZ9,3,FALSE),IF(VLOOKUP(tbMoveset!A97,tbMoveset!A2:I112,9,FALSE)="Dragon",VLOOKUP(Calculator!$E28,tbSkills!$AX3:$AZ9,3,FALSE),0)))))/100))*AC7,0)+IF(VLOOKUP(tbMoveset!A97,tbMoveset!A2:F112,6,FALSE)&gt;0,IF(VLOOKUP(tbMoveset!A97,tbMoveset!A2:I112,9,FALSE)="Fire",VLOOKUP(Calculator!$E24,tbSkills!$AX3:$AY9,2,FALSE),IF(VLOOKUP(tbMoveset!A97,tbMoveset!A2:I112,9,FALSE)="Water",VLOOKUP(Calculator!$E25,tbSkills!$AX3:$AY9,2,FALSE),IF(VLOOKUP(tbMoveset!A97,tbMoveset!A2:I112,9,FALSE)="Thunder",VLOOKUP(Calculator!$E26,tbSkills!$AX3:$AY9,2,FALSE),IF(VLOOKUP(tbMoveset!A97,tbMoveset!A2:I112,9,FALSE)="Ice",VLOOKUP(Calculator!$E27,tbSkills!$AX3:$AY9,2,FALSE),IF(VLOOKUP(tbMoveset!A97,tbMoveset!A2:I112,9,FALSE)="Dragon",VLOOKUP(Calculator!$E28,tbSkills!$AX3:$AY9,2,FALSE),0))))),0)/10))*N6)*AC6,0)*(B30/100),0)</f>
        <v>0</v>
      </c>
    </row>
    <row r="98" spans="43:73" x14ac:dyDescent="0.25">
      <c r="AQ98" t="s">
        <v>236</v>
      </c>
      <c r="AR98">
        <f>AR97*VLOOKUP(AO8,tbStatus!A22:E33,5,FALSE)</f>
        <v>0</v>
      </c>
      <c r="BU98" s="49">
        <f>IFERROR(ROUNDDOWN((IF((ROUND((VLOOKUP(tbMoveset!A98,tbMoveset!A2:F112,6,FALSE)+(IF(VLOOKUP(tbMoveset!A98,tbMoveset!A2:F112,6,FALSE)&gt;0,K41,0)))*(1+(IF(VLOOKUP(tbMoveset!A98,tbMoveset!A2:I112,9,FALSE)="Fire",VLOOKUP(Calculator!$E24,tbSkills!$AX3:$AZ9,3,FALSE),IF(VLOOKUP(tbMoveset!A98,tbMoveset!A2:I112,9,FALSE)="Water",VLOOKUP(Calculator!$E25,tbSkills!$AX3:$AZ9,3,FALSE),IF(VLOOKUP(BackdoorsMoveset!A98,tbMoveset!A2:I112,9,FALSE)="Thunder",VLOOKUP(Calculator!$E26,tbSkills!$AX3:$AZ9,3,FALSE),IF(VLOOKUP(tbMoveset!A98,tbMoveset!A2:I112,9,FALSE)="Ice",VLOOKUP(Calculator!$E27,tbSkills!$AX3:$AZ9,3,FALSE),IF(VLOOKUP(tbMoveset!A98,tbMoveset!A2:I112,9,FALSE)="Dragon",VLOOKUP(Calculator!$E28,tbSkills!$AX3:$AZ9,3,FALSE),0)))))/100))*AC7,0)+IF(VLOOKUP(tbMoveset!A98,tbMoveset!A2:F112,6,FALSE)&gt;0,IF(VLOOKUP(tbMoveset!A98,tbMoveset!A2:I112,9,FALSE)="Fire",VLOOKUP(Calculator!$E24,tbSkills!$AX3:$AY9,2,FALSE),IF(VLOOKUP(tbMoveset!A98,tbMoveset!A2:I112,9,FALSE)="Water",VLOOKUP(Calculator!$E25,tbSkills!$AX3:$AY9,2,FALSE),IF(VLOOKUP(tbMoveset!A98,tbMoveset!A2:I112,9,FALSE)="Thunder",VLOOKUP(Calculator!$E26,tbSkills!$AX3:$AY9,2,FALSE),IF(VLOOKUP(tbMoveset!A98,tbMoveset!A2:I112,9,FALSE)="Ice",VLOOKUP(Calculator!$E27,tbSkills!$AX3:$AY9,2,FALSE),IF(VLOOKUP(tbMoveset!A98,tbMoveset!A2:I112,9,FALSE)="Dragon",VLOOKUP(Calculator!$E28,tbSkills!$AX3:$AY9,2,FALSE),0))))),0)/10)&gt;=B34,B34,(ROUND((VLOOKUP(tbMoveset!A98,tbMoveset!A2:F112,6,FALSE)+(IF(VLOOKUP(tbMoveset!A98,tbMoveset!A2:F112,6,FALSE)&gt;0,K41,0)))*(1+(IF(VLOOKUP(tbMoveset!A98,tbMoveset!A2:I112,9,FALSE)="Fire",VLOOKUP(Calculator!$E24,tbSkills!$AX3:$AZ9,3,FALSE),IF(VLOOKUP(tbMoveset!A98,tbMoveset!A2:I112,9,FALSE)="Water",VLOOKUP(Calculator!$E25,tbSkills!$AX3:$AZ9,3,FALSE),IF(VLOOKUP(BackdoorsMoveset!A98,tbMoveset!A2:I112,9,FALSE)="Thunder",VLOOKUP(Calculator!$E26,tbSkills!$AX3:$AZ9,3,FALSE),IF(VLOOKUP(tbMoveset!A98,tbMoveset!A2:I112,9,FALSE)="Ice",VLOOKUP(Calculator!$E27,tbSkills!$AX3:$AZ9,3,FALSE),IF(VLOOKUP(tbMoveset!A98,tbMoveset!A2:I112,9,FALSE)="Dragon",VLOOKUP(Calculator!$E28,tbSkills!$AX3:$AZ9,3,FALSE),0)))))/100))*AC7,0)+IF(VLOOKUP(tbMoveset!A98,tbMoveset!A2:F112,6,FALSE)&gt;0,IF(VLOOKUP(tbMoveset!A98,tbMoveset!A2:I112,9,FALSE)="Fire",VLOOKUP(Calculator!$E24,tbSkills!$AX3:$AY9,2,FALSE),IF(VLOOKUP(tbMoveset!A98,tbMoveset!A2:I112,9,FALSE)="Water",VLOOKUP(Calculator!$E25,tbSkills!$AX3:$AY9,2,FALSE),IF(VLOOKUP(tbMoveset!A98,tbMoveset!A2:I112,9,FALSE)="Thunder",VLOOKUP(Calculator!$E26,tbSkills!$AX3:$AY9,2,FALSE),IF(VLOOKUP(tbMoveset!A98,tbMoveset!A2:I112,9,FALSE)="Ice",VLOOKUP(Calculator!$E27,tbSkills!$AX3:$AY9,2,FALSE),IF(VLOOKUP(tbMoveset!A98,tbMoveset!A2:I112,9,FALSE)="Dragon",VLOOKUP(Calculator!$E28,tbSkills!$AX3:$AY9,2,FALSE),0))))),0)/10))*N6)*AC6,0)*(B30/100),0)</f>
        <v>0</v>
      </c>
    </row>
    <row r="99" spans="43:73" x14ac:dyDescent="0.25">
      <c r="AQ99" t="s">
        <v>237</v>
      </c>
      <c r="AR99">
        <f>N8-AR98</f>
        <v>1408</v>
      </c>
      <c r="BU99" s="49">
        <f>IFERROR(ROUNDDOWN((IF((ROUND((VLOOKUP(tbMoveset!A99,tbMoveset!A2:F112,6,FALSE)+(IF(VLOOKUP(tbMoveset!A99,tbMoveset!A2:F112,6,FALSE)&gt;0,K41,0)))*(1+(IF(VLOOKUP(tbMoveset!A99,tbMoveset!A2:I112,9,FALSE)="Fire",VLOOKUP(Calculator!$E24,tbSkills!$AX3:$AZ9,3,FALSE),IF(VLOOKUP(tbMoveset!A99,tbMoveset!A2:I112,9,FALSE)="Water",VLOOKUP(Calculator!$E25,tbSkills!$AX3:$AZ9,3,FALSE),IF(VLOOKUP(BackdoorsMoveset!A99,tbMoveset!A2:I112,9,FALSE)="Thunder",VLOOKUP(Calculator!$E26,tbSkills!$AX3:$AZ9,3,FALSE),IF(VLOOKUP(tbMoveset!A99,tbMoveset!A2:I112,9,FALSE)="Ice",VLOOKUP(Calculator!$E27,tbSkills!$AX3:$AZ9,3,FALSE),IF(VLOOKUP(tbMoveset!A99,tbMoveset!A2:I112,9,FALSE)="Dragon",VLOOKUP(Calculator!$E28,tbSkills!$AX3:$AZ9,3,FALSE),0)))))/100))*AC7,0)+IF(VLOOKUP(tbMoveset!A99,tbMoveset!A2:F112,6,FALSE)&gt;0,IF(VLOOKUP(tbMoveset!A99,tbMoveset!A2:I112,9,FALSE)="Fire",VLOOKUP(Calculator!$E24,tbSkills!$AX3:$AY9,2,FALSE),IF(VLOOKUP(tbMoveset!A99,tbMoveset!A2:I112,9,FALSE)="Water",VLOOKUP(Calculator!$E25,tbSkills!$AX3:$AY9,2,FALSE),IF(VLOOKUP(tbMoveset!A99,tbMoveset!A2:I112,9,FALSE)="Thunder",VLOOKUP(Calculator!$E26,tbSkills!$AX3:$AY9,2,FALSE),IF(VLOOKUP(tbMoveset!A99,tbMoveset!A2:I112,9,FALSE)="Ice",VLOOKUP(Calculator!$E27,tbSkills!$AX3:$AY9,2,FALSE),IF(VLOOKUP(tbMoveset!A99,tbMoveset!A2:I112,9,FALSE)="Dragon",VLOOKUP(Calculator!$E28,tbSkills!$AX3:$AY9,2,FALSE),0))))),0)/10)&gt;=B34,B34,(ROUND((VLOOKUP(tbMoveset!A99,tbMoveset!A2:F112,6,FALSE)+(IF(VLOOKUP(tbMoveset!A99,tbMoveset!A2:F112,6,FALSE)&gt;0,K41,0)))*(1+(IF(VLOOKUP(tbMoveset!A99,tbMoveset!A2:I112,9,FALSE)="Fire",VLOOKUP(Calculator!$E24,tbSkills!$AX3:$AZ9,3,FALSE),IF(VLOOKUP(tbMoveset!A99,tbMoveset!A2:I112,9,FALSE)="Water",VLOOKUP(Calculator!$E25,tbSkills!$AX3:$AZ9,3,FALSE),IF(VLOOKUP(BackdoorsMoveset!A99,tbMoveset!A2:I112,9,FALSE)="Thunder",VLOOKUP(Calculator!$E26,tbSkills!$AX3:$AZ9,3,FALSE),IF(VLOOKUP(tbMoveset!A99,tbMoveset!A2:I112,9,FALSE)="Ice",VLOOKUP(Calculator!$E27,tbSkills!$AX3:$AZ9,3,FALSE),IF(VLOOKUP(tbMoveset!A99,tbMoveset!A2:I112,9,FALSE)="Dragon",VLOOKUP(Calculator!$E28,tbSkills!$AX3:$AZ9,3,FALSE),0)))))/100))*AC7,0)+IF(VLOOKUP(tbMoveset!A99,tbMoveset!A2:F112,6,FALSE)&gt;0,IF(VLOOKUP(tbMoveset!A99,tbMoveset!A2:I112,9,FALSE)="Fire",VLOOKUP(Calculator!$E24,tbSkills!$AX3:$AY9,2,FALSE),IF(VLOOKUP(tbMoveset!A99,tbMoveset!A2:I112,9,FALSE)="Water",VLOOKUP(Calculator!$E25,tbSkills!$AX3:$AY9,2,FALSE),IF(VLOOKUP(tbMoveset!A99,tbMoveset!A2:I112,9,FALSE)="Thunder",VLOOKUP(Calculator!$E26,tbSkills!$AX3:$AY9,2,FALSE),IF(VLOOKUP(tbMoveset!A99,tbMoveset!A2:I112,9,FALSE)="Ice",VLOOKUP(Calculator!$E27,tbSkills!$AX3:$AY9,2,FALSE),IF(VLOOKUP(tbMoveset!A99,tbMoveset!A2:I112,9,FALSE)="Dragon",VLOOKUP(Calculator!$E28,tbSkills!$AX3:$AY9,2,FALSE),0))))),0)/10))*N6)*AC6,0)*(B30/100),0)</f>
        <v>0</v>
      </c>
    </row>
    <row r="100" spans="43:73" x14ac:dyDescent="0.25">
      <c r="AQ100" t="s">
        <v>238</v>
      </c>
      <c r="AR100">
        <f>IFERROR(AR99/BN10,0)</f>
        <v>6.6415094339622645</v>
      </c>
      <c r="BU100" s="49">
        <f>IFERROR(ROUNDDOWN((IF((ROUND((VLOOKUP(tbMoveset!A100,tbMoveset!A2:F112,6,FALSE)+(IF(VLOOKUP(tbMoveset!A100,tbMoveset!A2:F112,6,FALSE)&gt;0,K41,0)))*(1+(IF(VLOOKUP(tbMoveset!A100,tbMoveset!A2:I112,9,FALSE)="Fire",VLOOKUP(Calculator!$E24,tbSkills!$AX3:$AZ9,3,FALSE),IF(VLOOKUP(tbMoveset!A100,tbMoveset!A2:I112,9,FALSE)="Water",VLOOKUP(Calculator!$E25,tbSkills!$AX3:$AZ9,3,FALSE),IF(VLOOKUP(BackdoorsMoveset!A100,tbMoveset!A2:I112,9,FALSE)="Thunder",VLOOKUP(Calculator!$E26,tbSkills!$AX3:$AZ9,3,FALSE),IF(VLOOKUP(tbMoveset!A100,tbMoveset!A2:I112,9,FALSE)="Ice",VLOOKUP(Calculator!$E27,tbSkills!$AX3:$AZ9,3,FALSE),IF(VLOOKUP(tbMoveset!A100,tbMoveset!A2:I112,9,FALSE)="Dragon",VLOOKUP(Calculator!$E28,tbSkills!$AX3:$AZ9,3,FALSE),0)))))/100))*AC7,0)+IF(VLOOKUP(tbMoveset!A100,tbMoveset!A2:F112,6,FALSE)&gt;0,IF(VLOOKUP(tbMoveset!A100,tbMoveset!A2:I112,9,FALSE)="Fire",VLOOKUP(Calculator!$E24,tbSkills!$AX3:$AY9,2,FALSE),IF(VLOOKUP(tbMoveset!A100,tbMoveset!A2:I112,9,FALSE)="Water",VLOOKUP(Calculator!$E25,tbSkills!$AX3:$AY9,2,FALSE),IF(VLOOKUP(tbMoveset!A100,tbMoveset!A2:I112,9,FALSE)="Thunder",VLOOKUP(Calculator!$E26,tbSkills!$AX3:$AY9,2,FALSE),IF(VLOOKUP(tbMoveset!A100,tbMoveset!A2:I112,9,FALSE)="Ice",VLOOKUP(Calculator!$E27,tbSkills!$AX3:$AY9,2,FALSE),IF(VLOOKUP(tbMoveset!A100,tbMoveset!A2:I112,9,FALSE)="Dragon",VLOOKUP(Calculator!$E28,tbSkills!$AX3:$AY9,2,FALSE),0))))),0)/10)&gt;=B34,B34,(ROUND((VLOOKUP(tbMoveset!A100,tbMoveset!A2:F112,6,FALSE)+(IF(VLOOKUP(tbMoveset!A100,tbMoveset!A2:F112,6,FALSE)&gt;0,K41,0)))*(1+(IF(VLOOKUP(tbMoveset!A100,tbMoveset!A2:I112,9,FALSE)="Fire",VLOOKUP(Calculator!$E24,tbSkills!$AX3:$AZ9,3,FALSE),IF(VLOOKUP(tbMoveset!A100,tbMoveset!A2:I112,9,FALSE)="Water",VLOOKUP(Calculator!$E25,tbSkills!$AX3:$AZ9,3,FALSE),IF(VLOOKUP(BackdoorsMoveset!A100,tbMoveset!A2:I112,9,FALSE)="Thunder",VLOOKUP(Calculator!$E26,tbSkills!$AX3:$AZ9,3,FALSE),IF(VLOOKUP(tbMoveset!A100,tbMoveset!A2:I112,9,FALSE)="Ice",VLOOKUP(Calculator!$E27,tbSkills!$AX3:$AZ9,3,FALSE),IF(VLOOKUP(tbMoveset!A100,tbMoveset!A2:I112,9,FALSE)="Dragon",VLOOKUP(Calculator!$E28,tbSkills!$AX3:$AZ9,3,FALSE),0)))))/100))*AC7,0)+IF(VLOOKUP(tbMoveset!A100,tbMoveset!A2:F112,6,FALSE)&gt;0,IF(VLOOKUP(tbMoveset!A100,tbMoveset!A2:I112,9,FALSE)="Fire",VLOOKUP(Calculator!$E24,tbSkills!$AX3:$AY9,2,FALSE),IF(VLOOKUP(tbMoveset!A100,tbMoveset!A2:I112,9,FALSE)="Water",VLOOKUP(Calculator!$E25,tbSkills!$AX3:$AY9,2,FALSE),IF(VLOOKUP(tbMoveset!A100,tbMoveset!A2:I112,9,FALSE)="Thunder",VLOOKUP(Calculator!$E26,tbSkills!$AX3:$AY9,2,FALSE),IF(VLOOKUP(tbMoveset!A100,tbMoveset!A2:I112,9,FALSE)="Ice",VLOOKUP(Calculator!$E27,tbSkills!$AX3:$AY9,2,FALSE),IF(VLOOKUP(tbMoveset!A100,tbMoveset!A2:I112,9,FALSE)="Dragon",VLOOKUP(Calculator!$E28,tbSkills!$AX3:$AY9,2,FALSE),0))))),0)/10))*N6)*AC6,0)*(B30/100),0)</f>
        <v>0</v>
      </c>
    </row>
    <row r="101" spans="43:73" x14ac:dyDescent="0.25">
      <c r="AQ101" t="s">
        <v>239</v>
      </c>
      <c r="AR101">
        <f>AR100*AR95</f>
        <v>0</v>
      </c>
      <c r="BU101" s="49">
        <f>IFERROR(ROUNDDOWN((IF((ROUND((VLOOKUP(tbMoveset!A101,tbMoveset!A2:F112,6,FALSE)+(IF(VLOOKUP(tbMoveset!A101,tbMoveset!A2:F112,6,FALSE)&gt;0,K41,0)))*(1+(IF(VLOOKUP(tbMoveset!A101,tbMoveset!A2:I112,9,FALSE)="Fire",VLOOKUP(Calculator!$E24,tbSkills!$AX3:$AZ9,3,FALSE),IF(VLOOKUP(tbMoveset!A101,tbMoveset!A2:I112,9,FALSE)="Water",VLOOKUP(Calculator!$E25,tbSkills!$AX3:$AZ9,3,FALSE),IF(VLOOKUP(BackdoorsMoveset!A101,tbMoveset!A2:I112,9,FALSE)="Thunder",VLOOKUP(Calculator!$E26,tbSkills!$AX3:$AZ9,3,FALSE),IF(VLOOKUP(tbMoveset!A101,tbMoveset!A2:I112,9,FALSE)="Ice",VLOOKUP(Calculator!$E27,tbSkills!$AX3:$AZ9,3,FALSE),IF(VLOOKUP(tbMoveset!A101,tbMoveset!A2:I112,9,FALSE)="Dragon",VLOOKUP(Calculator!$E28,tbSkills!$AX3:$AZ9,3,FALSE),0)))))/100))*AC7,0)+IF(VLOOKUP(tbMoveset!A101,tbMoveset!A2:F112,6,FALSE)&gt;0,IF(VLOOKUP(tbMoveset!A101,tbMoveset!A2:I112,9,FALSE)="Fire",VLOOKUP(Calculator!$E24,tbSkills!$AX3:$AY9,2,FALSE),IF(VLOOKUP(tbMoveset!A101,tbMoveset!A2:I112,9,FALSE)="Water",VLOOKUP(Calculator!$E25,tbSkills!$AX3:$AY9,2,FALSE),IF(VLOOKUP(tbMoveset!A101,tbMoveset!A2:I112,9,FALSE)="Thunder",VLOOKUP(Calculator!$E26,tbSkills!$AX3:$AY9,2,FALSE),IF(VLOOKUP(tbMoveset!A101,tbMoveset!A2:I112,9,FALSE)="Ice",VLOOKUP(Calculator!$E27,tbSkills!$AX3:$AY9,2,FALSE),IF(VLOOKUP(tbMoveset!A101,tbMoveset!A2:I112,9,FALSE)="Dragon",VLOOKUP(Calculator!$E28,tbSkills!$AX3:$AY9,2,FALSE),0))))),0)/10)&gt;=B34,B34,(ROUND((VLOOKUP(tbMoveset!A101,tbMoveset!A2:F112,6,FALSE)+(IF(VLOOKUP(tbMoveset!A101,tbMoveset!A2:F112,6,FALSE)&gt;0,K41,0)))*(1+(IF(VLOOKUP(tbMoveset!A101,tbMoveset!A2:I112,9,FALSE)="Fire",VLOOKUP(Calculator!$E24,tbSkills!$AX3:$AZ9,3,FALSE),IF(VLOOKUP(tbMoveset!A101,tbMoveset!A2:I112,9,FALSE)="Water",VLOOKUP(Calculator!$E25,tbSkills!$AX3:$AZ9,3,FALSE),IF(VLOOKUP(BackdoorsMoveset!A101,tbMoveset!A2:I112,9,FALSE)="Thunder",VLOOKUP(Calculator!$E26,tbSkills!$AX3:$AZ9,3,FALSE),IF(VLOOKUP(tbMoveset!A101,tbMoveset!A2:I112,9,FALSE)="Ice",VLOOKUP(Calculator!$E27,tbSkills!$AX3:$AZ9,3,FALSE),IF(VLOOKUP(tbMoveset!A101,tbMoveset!A2:I112,9,FALSE)="Dragon",VLOOKUP(Calculator!$E28,tbSkills!$AX3:$AZ9,3,FALSE),0)))))/100))*AC7,0)+IF(VLOOKUP(tbMoveset!A101,tbMoveset!A2:F112,6,FALSE)&gt;0,IF(VLOOKUP(tbMoveset!A101,tbMoveset!A2:I112,9,FALSE)="Fire",VLOOKUP(Calculator!$E24,tbSkills!$AX3:$AY9,2,FALSE),IF(VLOOKUP(tbMoveset!A101,tbMoveset!A2:I112,9,FALSE)="Water",VLOOKUP(Calculator!$E25,tbSkills!$AX3:$AY9,2,FALSE),IF(VLOOKUP(tbMoveset!A101,tbMoveset!A2:I112,9,FALSE)="Thunder",VLOOKUP(Calculator!$E26,tbSkills!$AX3:$AY9,2,FALSE),IF(VLOOKUP(tbMoveset!A101,tbMoveset!A2:I112,9,FALSE)="Ice",VLOOKUP(Calculator!$E27,tbSkills!$AX3:$AY9,2,FALSE),IF(VLOOKUP(tbMoveset!A101,tbMoveset!A2:I112,9,FALSE)="Dragon",VLOOKUP(Calculator!$E28,tbSkills!$AX3:$AY9,2,FALSE),0))))),0)/10))*N6)*AC6,0)*(B30/100),0)</f>
        <v>0</v>
      </c>
    </row>
    <row r="102" spans="43:73" x14ac:dyDescent="0.25">
      <c r="AQ102" t="s">
        <v>240</v>
      </c>
      <c r="AR102">
        <f>IF($AR101&gt;=$AU51,50,IF($AR101&gt;=$AU50,49,IF($AR101&gt;=$AU49,48,IF($AR101&gt;=$AU48,47,IF($AR101&gt;=$AU47,46,IF($AR101&gt;=$AU46,45,IF($AR101&gt;=$AU45,44,IF($AR101&gt;=$AU44,43,IF($AR101&gt;=$AU43,42,IF($AR101&gt;=$AU42,41,IF($AR101&gt;=$AU41,40,IF($AR101&gt;=$AU40,39,IF($AR101&gt;=$AU39,38,IF($AR101&gt;=$AU38,37,IF($AR101&gt;=$AU37,36,IF($AR101&gt;=$AU36,35,IF($AR101&gt;=$AU35,34,IF($AR101&gt;=$AU34,33,IF($AR101&gt;=$AU33,32,IF($AR101&gt;=$AU32,31,IF($AR101&gt;=$AU31,30,IF($AR101&gt;=$AU30,29,IF($AR101&gt;=$AU29,28,IF($AR101&gt;=$AU28,27,IF($AR101&gt;=$AU27,26,IF($AR101&gt;=$AU26,25,IF($AR101&gt;=$AU25,24,IF($AR101&gt;=$AU24,23,IF($AR101&gt;=$AU23,22,IF($AR101&gt;=$AU22,21,IF($AR101&gt;=$AU21,20,IF($AR101&gt;=$AU20,19,IF($AR101&gt;=$AU19,18,IF($AR101&gt;=$AU18,17,IF($AR101&gt;=$AU17,16,IF($AR101&gt;=$AU16,15,IF($AR101&gt;=$AU15,14,IF($AR101&gt;=$AU14,13,IF($AR101&gt;=$AU13,12,IF($AR101&gt;=$AU12,11,IF($AR101&gt;=$AU11,10,IF($AR101&gt;=$AU10,9,IF($AR101&gt;=$AU9,8,IF($AR101&gt;=$AU8,7,IF($AR101&gt;=$AU7,6,IF($AR101&gt;=$AU6,5,IF($AR101&gt;=$AU5,4,IF($AR101&gt;=$AU4,3,IF($AR101&gt;=$AU3,2,IF($AR101&gt;=$AU2,1,0))))))))))))))))))))))))))))))))))))))))))))))))))</f>
        <v>0</v>
      </c>
      <c r="BU102" s="49">
        <f>IFERROR(ROUNDDOWN((IF((ROUND((VLOOKUP(tbMoveset!A102,tbMoveset!A2:F112,6,FALSE)+(IF(VLOOKUP(tbMoveset!A102,tbMoveset!A2:F112,6,FALSE)&gt;0,K41,0)))*(1+(IF(VLOOKUP(tbMoveset!A102,tbMoveset!A2:I112,9,FALSE)="Fire",VLOOKUP(Calculator!$E24,tbSkills!$AX3:$AZ9,3,FALSE),IF(VLOOKUP(tbMoveset!A102,tbMoveset!A2:I112,9,FALSE)="Water",VLOOKUP(Calculator!$E25,tbSkills!$AX3:$AZ9,3,FALSE),IF(VLOOKUP(BackdoorsMoveset!A102,tbMoveset!A2:I112,9,FALSE)="Thunder",VLOOKUP(Calculator!$E26,tbSkills!$AX3:$AZ9,3,FALSE),IF(VLOOKUP(tbMoveset!A102,tbMoveset!A2:I112,9,FALSE)="Ice",VLOOKUP(Calculator!$E27,tbSkills!$AX3:$AZ9,3,FALSE),IF(VLOOKUP(tbMoveset!A102,tbMoveset!A2:I112,9,FALSE)="Dragon",VLOOKUP(Calculator!$E28,tbSkills!$AX3:$AZ9,3,FALSE),0)))))/100))*AC7,0)+IF(VLOOKUP(tbMoveset!A102,tbMoveset!A2:F112,6,FALSE)&gt;0,IF(VLOOKUP(tbMoveset!A102,tbMoveset!A2:I112,9,FALSE)="Fire",VLOOKUP(Calculator!$E24,tbSkills!$AX3:$AY9,2,FALSE),IF(VLOOKUP(tbMoveset!A102,tbMoveset!A2:I112,9,FALSE)="Water",VLOOKUP(Calculator!$E25,tbSkills!$AX3:$AY9,2,FALSE),IF(VLOOKUP(tbMoveset!A102,tbMoveset!A2:I112,9,FALSE)="Thunder",VLOOKUP(Calculator!$E26,tbSkills!$AX3:$AY9,2,FALSE),IF(VLOOKUP(tbMoveset!A102,tbMoveset!A2:I112,9,FALSE)="Ice",VLOOKUP(Calculator!$E27,tbSkills!$AX3:$AY9,2,FALSE),IF(VLOOKUP(tbMoveset!A102,tbMoveset!A2:I112,9,FALSE)="Dragon",VLOOKUP(Calculator!$E28,tbSkills!$AX3:$AY9,2,FALSE),0))))),0)/10)&gt;=B34,B34,(ROUND((VLOOKUP(tbMoveset!A102,tbMoveset!A2:F112,6,FALSE)+(IF(VLOOKUP(tbMoveset!A102,tbMoveset!A2:F112,6,FALSE)&gt;0,K41,0)))*(1+(IF(VLOOKUP(tbMoveset!A102,tbMoveset!A2:I112,9,FALSE)="Fire",VLOOKUP(Calculator!$E24,tbSkills!$AX3:$AZ9,3,FALSE),IF(VLOOKUP(tbMoveset!A102,tbMoveset!A2:I112,9,FALSE)="Water",VLOOKUP(Calculator!$E25,tbSkills!$AX3:$AZ9,3,FALSE),IF(VLOOKUP(BackdoorsMoveset!A102,tbMoveset!A2:I112,9,FALSE)="Thunder",VLOOKUP(Calculator!$E26,tbSkills!$AX3:$AZ9,3,FALSE),IF(VLOOKUP(tbMoveset!A102,tbMoveset!A2:I112,9,FALSE)="Ice",VLOOKUP(Calculator!$E27,tbSkills!$AX3:$AZ9,3,FALSE),IF(VLOOKUP(tbMoveset!A102,tbMoveset!A2:I112,9,FALSE)="Dragon",VLOOKUP(Calculator!$E28,tbSkills!$AX3:$AZ9,3,FALSE),0)))))/100))*AC7,0)+IF(VLOOKUP(tbMoveset!A102,tbMoveset!A2:F112,6,FALSE)&gt;0,IF(VLOOKUP(tbMoveset!A102,tbMoveset!A2:I112,9,FALSE)="Fire",VLOOKUP(Calculator!$E24,tbSkills!$AX3:$AY9,2,FALSE),IF(VLOOKUP(tbMoveset!A102,tbMoveset!A2:I112,9,FALSE)="Water",VLOOKUP(Calculator!$E25,tbSkills!$AX3:$AY9,2,FALSE),IF(VLOOKUP(tbMoveset!A102,tbMoveset!A2:I112,9,FALSE)="Thunder",VLOOKUP(Calculator!$E26,tbSkills!$AX3:$AY9,2,FALSE),IF(VLOOKUP(tbMoveset!A102,tbMoveset!A2:I112,9,FALSE)="Ice",VLOOKUP(Calculator!$E27,tbSkills!$AX3:$AY9,2,FALSE),IF(VLOOKUP(tbMoveset!A102,tbMoveset!A2:I112,9,FALSE)="Dragon",VLOOKUP(Calculator!$E28,tbSkills!$AX3:$AY9,2,FALSE),0))))),0)/10))*N6)*AC6,0)*(B30/100),0)</f>
        <v>0</v>
      </c>
    </row>
    <row r="103" spans="43:73" x14ac:dyDescent="0.25">
      <c r="AQ103" t="s">
        <v>241</v>
      </c>
      <c r="AR103">
        <f>AR102*VLOOKUP(AO8,tbStatus!A22:E33,5,FALSE)</f>
        <v>0</v>
      </c>
      <c r="BU103" s="49">
        <f>IFERROR(ROUNDDOWN((IF((ROUND((VLOOKUP(tbMoveset!A103,tbMoveset!A2:F112,6,FALSE)+(IF(VLOOKUP(tbMoveset!A103,tbMoveset!A2:F112,6,FALSE)&gt;0,K41,0)))*(1+(IF(VLOOKUP(tbMoveset!A103,tbMoveset!A2:I112,9,FALSE)="Fire",VLOOKUP(Calculator!$E24,tbSkills!$AX3:$AZ9,3,FALSE),IF(VLOOKUP(tbMoveset!A103,tbMoveset!A2:I112,9,FALSE)="Water",VLOOKUP(Calculator!$E25,tbSkills!$AX3:$AZ9,3,FALSE),IF(VLOOKUP(BackdoorsMoveset!A103,tbMoveset!A2:I112,9,FALSE)="Thunder",VLOOKUP(Calculator!$E26,tbSkills!$AX3:$AZ9,3,FALSE),IF(VLOOKUP(tbMoveset!A103,tbMoveset!A2:I112,9,FALSE)="Ice",VLOOKUP(Calculator!$E27,tbSkills!$AX3:$AZ9,3,FALSE),IF(VLOOKUP(tbMoveset!A103,tbMoveset!A2:I112,9,FALSE)="Dragon",VLOOKUP(Calculator!$E28,tbSkills!$AX3:$AZ9,3,FALSE),0)))))/100))*AC7,0)+IF(VLOOKUP(tbMoveset!A103,tbMoveset!A2:F112,6,FALSE)&gt;0,IF(VLOOKUP(tbMoveset!A103,tbMoveset!A2:I112,9,FALSE)="Fire",VLOOKUP(Calculator!$E24,tbSkills!$AX3:$AY9,2,FALSE),IF(VLOOKUP(tbMoveset!A103,tbMoveset!A2:I112,9,FALSE)="Water",VLOOKUP(Calculator!$E25,tbSkills!$AX3:$AY9,2,FALSE),IF(VLOOKUP(tbMoveset!A103,tbMoveset!A2:I112,9,FALSE)="Thunder",VLOOKUP(Calculator!$E26,tbSkills!$AX3:$AY9,2,FALSE),IF(VLOOKUP(tbMoveset!A103,tbMoveset!A2:I112,9,FALSE)="Ice",VLOOKUP(Calculator!$E27,tbSkills!$AX3:$AY9,2,FALSE),IF(VLOOKUP(tbMoveset!A103,tbMoveset!A2:I112,9,FALSE)="Dragon",VLOOKUP(Calculator!$E28,tbSkills!$AX3:$AY9,2,FALSE),0))))),0)/10)&gt;=B34,B34,(ROUND((VLOOKUP(tbMoveset!A103,tbMoveset!A2:F112,6,FALSE)+(IF(VLOOKUP(tbMoveset!A103,tbMoveset!A2:F112,6,FALSE)&gt;0,K41,0)))*(1+(IF(VLOOKUP(tbMoveset!A103,tbMoveset!A2:I112,9,FALSE)="Fire",VLOOKUP(Calculator!$E24,tbSkills!$AX3:$AZ9,3,FALSE),IF(VLOOKUP(tbMoveset!A103,tbMoveset!A2:I112,9,FALSE)="Water",VLOOKUP(Calculator!$E25,tbSkills!$AX3:$AZ9,3,FALSE),IF(VLOOKUP(BackdoorsMoveset!A103,tbMoveset!A2:I112,9,FALSE)="Thunder",VLOOKUP(Calculator!$E26,tbSkills!$AX3:$AZ9,3,FALSE),IF(VLOOKUP(tbMoveset!A103,tbMoveset!A2:I112,9,FALSE)="Ice",VLOOKUP(Calculator!$E27,tbSkills!$AX3:$AZ9,3,FALSE),IF(VLOOKUP(tbMoveset!A103,tbMoveset!A2:I112,9,FALSE)="Dragon",VLOOKUP(Calculator!$E28,tbSkills!$AX3:$AZ9,3,FALSE),0)))))/100))*AC7,0)+IF(VLOOKUP(tbMoveset!A103,tbMoveset!A2:F112,6,FALSE)&gt;0,IF(VLOOKUP(tbMoveset!A103,tbMoveset!A2:I112,9,FALSE)="Fire",VLOOKUP(Calculator!$E24,tbSkills!$AX3:$AY9,2,FALSE),IF(VLOOKUP(tbMoveset!A103,tbMoveset!A2:I112,9,FALSE)="Water",VLOOKUP(Calculator!$E25,tbSkills!$AX3:$AY9,2,FALSE),IF(VLOOKUP(tbMoveset!A103,tbMoveset!A2:I112,9,FALSE)="Thunder",VLOOKUP(Calculator!$E26,tbSkills!$AX3:$AY9,2,FALSE),IF(VLOOKUP(tbMoveset!A103,tbMoveset!A2:I112,9,FALSE)="Ice",VLOOKUP(Calculator!$E27,tbSkills!$AX3:$AY9,2,FALSE),IF(VLOOKUP(tbMoveset!A103,tbMoveset!A2:I112,9,FALSE)="Dragon",VLOOKUP(Calculator!$E28,tbSkills!$AX3:$AY9,2,FALSE),0))))),0)/10))*N6)*AC6,0)*(B30/100),0)</f>
        <v>0</v>
      </c>
    </row>
    <row r="104" spans="43:73" x14ac:dyDescent="0.25">
      <c r="AQ104" t="s">
        <v>242</v>
      </c>
      <c r="AR104">
        <f>ROUND((AR103/N8)*BN10,0)</f>
        <v>0</v>
      </c>
      <c r="BU104" s="49">
        <f>IFERROR(ROUNDDOWN((IF((ROUND((VLOOKUP(tbMoveset!A104,tbMoveset!A2:F112,6,FALSE)+(IF(VLOOKUP(tbMoveset!A104,tbMoveset!A2:F112,6,FALSE)&gt;0,K41,0)))*(1+(IF(VLOOKUP(tbMoveset!A104,tbMoveset!A2:I112,9,FALSE)="Fire",VLOOKUP(Calculator!$E24,tbSkills!$AX3:$AZ9,3,FALSE),IF(VLOOKUP(tbMoveset!A104,tbMoveset!A2:I112,9,FALSE)="Water",VLOOKUP(Calculator!$E25,tbSkills!$AX3:$AZ9,3,FALSE),IF(VLOOKUP(BackdoorsMoveset!A104,tbMoveset!A2:I112,9,FALSE)="Thunder",VLOOKUP(Calculator!$E26,tbSkills!$AX3:$AZ9,3,FALSE),IF(VLOOKUP(tbMoveset!A104,tbMoveset!A2:I112,9,FALSE)="Ice",VLOOKUP(Calculator!$E27,tbSkills!$AX3:$AZ9,3,FALSE),IF(VLOOKUP(tbMoveset!A104,tbMoveset!A2:I112,9,FALSE)="Dragon",VLOOKUP(Calculator!$E28,tbSkills!$AX3:$AZ9,3,FALSE),0)))))/100))*AC7,0)+IF(VLOOKUP(tbMoveset!A104,tbMoveset!A2:F112,6,FALSE)&gt;0,IF(VLOOKUP(tbMoveset!A104,tbMoveset!A2:I112,9,FALSE)="Fire",VLOOKUP(Calculator!$E24,tbSkills!$AX3:$AY9,2,FALSE),IF(VLOOKUP(tbMoveset!A104,tbMoveset!A2:I112,9,FALSE)="Water",VLOOKUP(Calculator!$E25,tbSkills!$AX3:$AY9,2,FALSE),IF(VLOOKUP(tbMoveset!A104,tbMoveset!A2:I112,9,FALSE)="Thunder",VLOOKUP(Calculator!$E26,tbSkills!$AX3:$AY9,2,FALSE),IF(VLOOKUP(tbMoveset!A104,tbMoveset!A2:I112,9,FALSE)="Ice",VLOOKUP(Calculator!$E27,tbSkills!$AX3:$AY9,2,FALSE),IF(VLOOKUP(tbMoveset!A104,tbMoveset!A2:I112,9,FALSE)="Dragon",VLOOKUP(Calculator!$E28,tbSkills!$AX3:$AY9,2,FALSE),0))))),0)/10)&gt;=B34,B34,(ROUND((VLOOKUP(tbMoveset!A104,tbMoveset!A2:F112,6,FALSE)+(IF(VLOOKUP(tbMoveset!A104,tbMoveset!A2:F112,6,FALSE)&gt;0,K41,0)))*(1+(IF(VLOOKUP(tbMoveset!A104,tbMoveset!A2:I112,9,FALSE)="Fire",VLOOKUP(Calculator!$E24,tbSkills!$AX3:$AZ9,3,FALSE),IF(VLOOKUP(tbMoveset!A104,tbMoveset!A2:I112,9,FALSE)="Water",VLOOKUP(Calculator!$E25,tbSkills!$AX3:$AZ9,3,FALSE),IF(VLOOKUP(BackdoorsMoveset!A104,tbMoveset!A2:I112,9,FALSE)="Thunder",VLOOKUP(Calculator!$E26,tbSkills!$AX3:$AZ9,3,FALSE),IF(VLOOKUP(tbMoveset!A104,tbMoveset!A2:I112,9,FALSE)="Ice",VLOOKUP(Calculator!$E27,tbSkills!$AX3:$AZ9,3,FALSE),IF(VLOOKUP(tbMoveset!A104,tbMoveset!A2:I112,9,FALSE)="Dragon",VLOOKUP(Calculator!$E28,tbSkills!$AX3:$AZ9,3,FALSE),0)))))/100))*AC7,0)+IF(VLOOKUP(tbMoveset!A104,tbMoveset!A2:F112,6,FALSE)&gt;0,IF(VLOOKUP(tbMoveset!A104,tbMoveset!A2:I112,9,FALSE)="Fire",VLOOKUP(Calculator!$E24,tbSkills!$AX3:$AY9,2,FALSE),IF(VLOOKUP(tbMoveset!A104,tbMoveset!A2:I112,9,FALSE)="Water",VLOOKUP(Calculator!$E25,tbSkills!$AX3:$AY9,2,FALSE),IF(VLOOKUP(tbMoveset!A104,tbMoveset!A2:I112,9,FALSE)="Thunder",VLOOKUP(Calculator!$E26,tbSkills!$AX3:$AY9,2,FALSE),IF(VLOOKUP(tbMoveset!A104,tbMoveset!A2:I112,9,FALSE)="Ice",VLOOKUP(Calculator!$E27,tbSkills!$AX3:$AY9,2,FALSE),IF(VLOOKUP(tbMoveset!A104,tbMoveset!A2:I112,9,FALSE)="Dragon",VLOOKUP(Calculator!$E28,tbSkills!$AX3:$AY9,2,FALSE),0))))),0)/10))*N6)*AC6,0)*(B30/100),0)</f>
        <v>0</v>
      </c>
    </row>
    <row r="105" spans="43:73" x14ac:dyDescent="0.25">
      <c r="BU105" s="49">
        <f>IFERROR(ROUNDDOWN((IF((ROUND((VLOOKUP(tbMoveset!A105,tbMoveset!A2:F112,6,FALSE)+(IF(VLOOKUP(tbMoveset!A105,tbMoveset!A2:F112,6,FALSE)&gt;0,K41,0)))*(1+(IF(VLOOKUP(tbMoveset!A105,tbMoveset!A2:I112,9,FALSE)="Fire",VLOOKUP(Calculator!$E24,tbSkills!$AX3:$AZ9,3,FALSE),IF(VLOOKUP(tbMoveset!A105,tbMoveset!A2:I112,9,FALSE)="Water",VLOOKUP(Calculator!$E25,tbSkills!$AX3:$AZ9,3,FALSE),IF(VLOOKUP(BackdoorsMoveset!A105,tbMoveset!A2:I112,9,FALSE)="Thunder",VLOOKUP(Calculator!$E26,tbSkills!$AX3:$AZ9,3,FALSE),IF(VLOOKUP(tbMoveset!A105,tbMoveset!A2:I112,9,FALSE)="Ice",VLOOKUP(Calculator!$E27,tbSkills!$AX3:$AZ9,3,FALSE),IF(VLOOKUP(tbMoveset!A105,tbMoveset!A2:I112,9,FALSE)="Dragon",VLOOKUP(Calculator!$E28,tbSkills!$AX3:$AZ9,3,FALSE),0)))))/100))*AC7,0)+IF(VLOOKUP(tbMoveset!A105,tbMoveset!A2:F112,6,FALSE)&gt;0,IF(VLOOKUP(tbMoveset!A105,tbMoveset!A2:I112,9,FALSE)="Fire",VLOOKUP(Calculator!$E24,tbSkills!$AX3:$AY9,2,FALSE),IF(VLOOKUP(tbMoveset!A105,tbMoveset!A2:I112,9,FALSE)="Water",VLOOKUP(Calculator!$E25,tbSkills!$AX3:$AY9,2,FALSE),IF(VLOOKUP(tbMoveset!A105,tbMoveset!A2:I112,9,FALSE)="Thunder",VLOOKUP(Calculator!$E26,tbSkills!$AX3:$AY9,2,FALSE),IF(VLOOKUP(tbMoveset!A105,tbMoveset!A2:I112,9,FALSE)="Ice",VLOOKUP(Calculator!$E27,tbSkills!$AX3:$AY9,2,FALSE),IF(VLOOKUP(tbMoveset!A105,tbMoveset!A2:I112,9,FALSE)="Dragon",VLOOKUP(Calculator!$E28,tbSkills!$AX3:$AY9,2,FALSE),0))))),0)/10)&gt;=B34,B34,(ROUND((VLOOKUP(tbMoveset!A105,tbMoveset!A2:F112,6,FALSE)+(IF(VLOOKUP(tbMoveset!A105,tbMoveset!A2:F112,6,FALSE)&gt;0,K41,0)))*(1+(IF(VLOOKUP(tbMoveset!A105,tbMoveset!A2:I112,9,FALSE)="Fire",VLOOKUP(Calculator!$E24,tbSkills!$AX3:$AZ9,3,FALSE),IF(VLOOKUP(tbMoveset!A105,tbMoveset!A2:I112,9,FALSE)="Water",VLOOKUP(Calculator!$E25,tbSkills!$AX3:$AZ9,3,FALSE),IF(VLOOKUP(BackdoorsMoveset!A105,tbMoveset!A2:I112,9,FALSE)="Thunder",VLOOKUP(Calculator!$E26,tbSkills!$AX3:$AZ9,3,FALSE),IF(VLOOKUP(tbMoveset!A105,tbMoveset!A2:I112,9,FALSE)="Ice",VLOOKUP(Calculator!$E27,tbSkills!$AX3:$AZ9,3,FALSE),IF(VLOOKUP(tbMoveset!A105,tbMoveset!A2:I112,9,FALSE)="Dragon",VLOOKUP(Calculator!$E28,tbSkills!$AX3:$AZ9,3,FALSE),0)))))/100))*AC7,0)+IF(VLOOKUP(tbMoveset!A105,tbMoveset!A2:F112,6,FALSE)&gt;0,IF(VLOOKUP(tbMoveset!A105,tbMoveset!A2:I112,9,FALSE)="Fire",VLOOKUP(Calculator!$E24,tbSkills!$AX3:$AY9,2,FALSE),IF(VLOOKUP(tbMoveset!A105,tbMoveset!A2:I112,9,FALSE)="Water",VLOOKUP(Calculator!$E25,tbSkills!$AX3:$AY9,2,FALSE),IF(VLOOKUP(tbMoveset!A105,tbMoveset!A2:I112,9,FALSE)="Thunder",VLOOKUP(Calculator!$E26,tbSkills!$AX3:$AY9,2,FALSE),IF(VLOOKUP(tbMoveset!A105,tbMoveset!A2:I112,9,FALSE)="Ice",VLOOKUP(Calculator!$E27,tbSkills!$AX3:$AY9,2,FALSE),IF(VLOOKUP(tbMoveset!A105,tbMoveset!A2:I112,9,FALSE)="Dragon",VLOOKUP(Calculator!$E28,tbSkills!$AX3:$AY9,2,FALSE),0))))),0)/10))*N6)*AC6,0)*(B30/100),0)</f>
        <v>0</v>
      </c>
    </row>
    <row r="106" spans="43:73" x14ac:dyDescent="0.25">
      <c r="AQ106" t="s">
        <v>574</v>
      </c>
      <c r="AR106" t="str">
        <f>IFERROR(INDEX(tbHitzones!K:K,MATCH(ROWS(tbHitzones!$1:9),tbHitzones!K:K,0)),"")</f>
        <v/>
      </c>
      <c r="BU106" s="49">
        <f>IFERROR(ROUNDDOWN((IF((ROUND((VLOOKUP(tbMoveset!A106,tbMoveset!A2:F112,6,FALSE)+(IF(VLOOKUP(tbMoveset!A106,tbMoveset!A2:F112,6,FALSE)&gt;0,K41,0)))*(1+(IF(VLOOKUP(tbMoveset!A106,tbMoveset!A2:I112,9,FALSE)="Fire",VLOOKUP(Calculator!$E24,tbSkills!$AX3:$AZ9,3,FALSE),IF(VLOOKUP(tbMoveset!A106,tbMoveset!A2:I112,9,FALSE)="Water",VLOOKUP(Calculator!$E25,tbSkills!$AX3:$AZ9,3,FALSE),IF(VLOOKUP(BackdoorsMoveset!A106,tbMoveset!A2:I112,9,FALSE)="Thunder",VLOOKUP(Calculator!$E26,tbSkills!$AX3:$AZ9,3,FALSE),IF(VLOOKUP(tbMoveset!A106,tbMoveset!A2:I112,9,FALSE)="Ice",VLOOKUP(Calculator!$E27,tbSkills!$AX3:$AZ9,3,FALSE),IF(VLOOKUP(tbMoveset!A106,tbMoveset!A2:I112,9,FALSE)="Dragon",VLOOKUP(Calculator!$E28,tbSkills!$AX3:$AZ9,3,FALSE),0)))))/100))*AC7,0)+IF(VLOOKUP(tbMoveset!A106,tbMoveset!A2:F112,6,FALSE)&gt;0,IF(VLOOKUP(tbMoveset!A106,tbMoveset!A2:I112,9,FALSE)="Fire",VLOOKUP(Calculator!$E24,tbSkills!$AX3:$AY9,2,FALSE),IF(VLOOKUP(tbMoveset!A106,tbMoveset!A2:I112,9,FALSE)="Water",VLOOKUP(Calculator!$E25,tbSkills!$AX3:$AY9,2,FALSE),IF(VLOOKUP(tbMoveset!A106,tbMoveset!A2:I112,9,FALSE)="Thunder",VLOOKUP(Calculator!$E26,tbSkills!$AX3:$AY9,2,FALSE),IF(VLOOKUP(tbMoveset!A106,tbMoveset!A2:I112,9,FALSE)="Ice",VLOOKUP(Calculator!$E27,tbSkills!$AX3:$AY9,2,FALSE),IF(VLOOKUP(tbMoveset!A106,tbMoveset!A2:I112,9,FALSE)="Dragon",VLOOKUP(Calculator!$E28,tbSkills!$AX3:$AY9,2,FALSE),0))))),0)/10)&gt;=B34,B34,(ROUND((VLOOKUP(tbMoveset!A106,tbMoveset!A2:F112,6,FALSE)+(IF(VLOOKUP(tbMoveset!A106,tbMoveset!A2:F112,6,FALSE)&gt;0,K41,0)))*(1+(IF(VLOOKUP(tbMoveset!A106,tbMoveset!A2:I112,9,FALSE)="Fire",VLOOKUP(Calculator!$E24,tbSkills!$AX3:$AZ9,3,FALSE),IF(VLOOKUP(tbMoveset!A106,tbMoveset!A2:I112,9,FALSE)="Water",VLOOKUP(Calculator!$E25,tbSkills!$AX3:$AZ9,3,FALSE),IF(VLOOKUP(BackdoorsMoveset!A106,tbMoveset!A2:I112,9,FALSE)="Thunder",VLOOKUP(Calculator!$E26,tbSkills!$AX3:$AZ9,3,FALSE),IF(VLOOKUP(tbMoveset!A106,tbMoveset!A2:I112,9,FALSE)="Ice",VLOOKUP(Calculator!$E27,tbSkills!$AX3:$AZ9,3,FALSE),IF(VLOOKUP(tbMoveset!A106,tbMoveset!A2:I112,9,FALSE)="Dragon",VLOOKUP(Calculator!$E28,tbSkills!$AX3:$AZ9,3,FALSE),0)))))/100))*AC7,0)+IF(VLOOKUP(tbMoveset!A106,tbMoveset!A2:F112,6,FALSE)&gt;0,IF(VLOOKUP(tbMoveset!A106,tbMoveset!A2:I112,9,FALSE)="Fire",VLOOKUP(Calculator!$E24,tbSkills!$AX3:$AY9,2,FALSE),IF(VLOOKUP(tbMoveset!A106,tbMoveset!A2:I112,9,FALSE)="Water",VLOOKUP(Calculator!$E25,tbSkills!$AX3:$AY9,2,FALSE),IF(VLOOKUP(tbMoveset!A106,tbMoveset!A2:I112,9,FALSE)="Thunder",VLOOKUP(Calculator!$E26,tbSkills!$AX3:$AY9,2,FALSE),IF(VLOOKUP(tbMoveset!A106,tbMoveset!A2:I112,9,FALSE)="Ice",VLOOKUP(Calculator!$E27,tbSkills!$AX3:$AY9,2,FALSE),IF(VLOOKUP(tbMoveset!A106,tbMoveset!A2:I112,9,FALSE)="Dragon",VLOOKUP(Calculator!$E28,tbSkills!$AX3:$AY9,2,FALSE),0))))),0)/10))*N6)*AC6,0)*(B30/100),0)</f>
        <v>0</v>
      </c>
    </row>
    <row r="107" spans="43:73" x14ac:dyDescent="0.25">
      <c r="AQ107" t="s">
        <v>234</v>
      </c>
      <c r="AR107">
        <f>IFERROR(N8/BN11,0)</f>
        <v>0</v>
      </c>
      <c r="BU107" s="49">
        <f>IFERROR(ROUNDDOWN((IF((ROUND((VLOOKUP(tbMoveset!A107,tbMoveset!A2:F112,6,FALSE)+(IF(VLOOKUP(tbMoveset!A107,tbMoveset!A2:F112,6,FALSE)&gt;0,K41,0)))*(1+(IF(VLOOKUP(tbMoveset!A107,tbMoveset!A2:I112,9,FALSE)="Fire",VLOOKUP(Calculator!$E24,tbSkills!$AX3:$AZ9,3,FALSE),IF(VLOOKUP(tbMoveset!A107,tbMoveset!A2:I112,9,FALSE)="Water",VLOOKUP(Calculator!$E25,tbSkills!$AX3:$AZ9,3,FALSE),IF(VLOOKUP(BackdoorsMoveset!A107,tbMoveset!A2:I112,9,FALSE)="Thunder",VLOOKUP(Calculator!$E26,tbSkills!$AX3:$AZ9,3,FALSE),IF(VLOOKUP(tbMoveset!A107,tbMoveset!A2:I112,9,FALSE)="Ice",VLOOKUP(Calculator!$E27,tbSkills!$AX3:$AZ9,3,FALSE),IF(VLOOKUP(tbMoveset!A107,tbMoveset!A2:I112,9,FALSE)="Dragon",VLOOKUP(Calculator!$E28,tbSkills!$AX3:$AZ9,3,FALSE),0)))))/100))*AC7,0)+IF(VLOOKUP(tbMoveset!A107,tbMoveset!A2:F112,6,FALSE)&gt;0,IF(VLOOKUP(tbMoveset!A107,tbMoveset!A2:I112,9,FALSE)="Fire",VLOOKUP(Calculator!$E24,tbSkills!$AX3:$AY9,2,FALSE),IF(VLOOKUP(tbMoveset!A107,tbMoveset!A2:I112,9,FALSE)="Water",VLOOKUP(Calculator!$E25,tbSkills!$AX3:$AY9,2,FALSE),IF(VLOOKUP(tbMoveset!A107,tbMoveset!A2:I112,9,FALSE)="Thunder",VLOOKUP(Calculator!$E26,tbSkills!$AX3:$AY9,2,FALSE),IF(VLOOKUP(tbMoveset!A107,tbMoveset!A2:I112,9,FALSE)="Ice",VLOOKUP(Calculator!$E27,tbSkills!$AX3:$AY9,2,FALSE),IF(VLOOKUP(tbMoveset!A107,tbMoveset!A2:I112,9,FALSE)="Dragon",VLOOKUP(Calculator!$E28,tbSkills!$AX3:$AY9,2,FALSE),0))))),0)/10)&gt;=B34,B34,(ROUND((VLOOKUP(tbMoveset!A107,tbMoveset!A2:F112,6,FALSE)+(IF(VLOOKUP(tbMoveset!A107,tbMoveset!A2:F112,6,FALSE)&gt;0,K41,0)))*(1+(IF(VLOOKUP(tbMoveset!A107,tbMoveset!A2:I112,9,FALSE)="Fire",VLOOKUP(Calculator!$E24,tbSkills!$AX3:$AZ9,3,FALSE),IF(VLOOKUP(tbMoveset!A107,tbMoveset!A2:I112,9,FALSE)="Water",VLOOKUP(Calculator!$E25,tbSkills!$AX3:$AZ9,3,FALSE),IF(VLOOKUP(BackdoorsMoveset!A107,tbMoveset!A2:I112,9,FALSE)="Thunder",VLOOKUP(Calculator!$E26,tbSkills!$AX3:$AZ9,3,FALSE),IF(VLOOKUP(tbMoveset!A107,tbMoveset!A2:I112,9,FALSE)="Ice",VLOOKUP(Calculator!$E27,tbSkills!$AX3:$AZ9,3,FALSE),IF(VLOOKUP(tbMoveset!A107,tbMoveset!A2:I112,9,FALSE)="Dragon",VLOOKUP(Calculator!$E28,tbSkills!$AX3:$AZ9,3,FALSE),0)))))/100))*AC7,0)+IF(VLOOKUP(tbMoveset!A107,tbMoveset!A2:F112,6,FALSE)&gt;0,IF(VLOOKUP(tbMoveset!A107,tbMoveset!A2:I112,9,FALSE)="Fire",VLOOKUP(Calculator!$E24,tbSkills!$AX3:$AY9,2,FALSE),IF(VLOOKUP(tbMoveset!A107,tbMoveset!A2:I112,9,FALSE)="Water",VLOOKUP(Calculator!$E25,tbSkills!$AX3:$AY9,2,FALSE),IF(VLOOKUP(tbMoveset!A107,tbMoveset!A2:I112,9,FALSE)="Thunder",VLOOKUP(Calculator!$E26,tbSkills!$AX3:$AY9,2,FALSE),IF(VLOOKUP(tbMoveset!A107,tbMoveset!A2:I112,9,FALSE)="Ice",VLOOKUP(Calculator!$E27,tbSkills!$AX3:$AY9,2,FALSE),IF(VLOOKUP(tbMoveset!A107,tbMoveset!A2:I112,9,FALSE)="Dragon",VLOOKUP(Calculator!$E28,tbSkills!$AX3:$AY9,2,FALSE),0))))),0)/10))*N6)*AC6,0)*(B30/100),0)</f>
        <v>0</v>
      </c>
    </row>
    <row r="108" spans="43:73" x14ac:dyDescent="0.25">
      <c r="AQ108" t="s">
        <v>572</v>
      </c>
      <c r="AR108">
        <f>AO6*AO26</f>
        <v>0</v>
      </c>
      <c r="BU108" s="49">
        <f>IFERROR(ROUNDDOWN((IF((ROUND((VLOOKUP(tbMoveset!A108,tbMoveset!A2:F112,6,FALSE)+(IF(VLOOKUP(tbMoveset!A108,tbMoveset!A2:F112,6,FALSE)&gt;0,K41,0)))*(1+(IF(VLOOKUP(tbMoveset!A108,tbMoveset!A2:I112,9,FALSE)="Fire",VLOOKUP(Calculator!$E24,tbSkills!$AX3:$AZ9,3,FALSE),IF(VLOOKUP(tbMoveset!A108,tbMoveset!A2:I112,9,FALSE)="Water",VLOOKUP(Calculator!$E25,tbSkills!$AX3:$AZ9,3,FALSE),IF(VLOOKUP(BackdoorsMoveset!A108,tbMoveset!A2:I112,9,FALSE)="Thunder",VLOOKUP(Calculator!$E26,tbSkills!$AX3:$AZ9,3,FALSE),IF(VLOOKUP(tbMoveset!A108,tbMoveset!A2:I112,9,FALSE)="Ice",VLOOKUP(Calculator!$E27,tbSkills!$AX3:$AZ9,3,FALSE),IF(VLOOKUP(tbMoveset!A108,tbMoveset!A2:I112,9,FALSE)="Dragon",VLOOKUP(Calculator!$E28,tbSkills!$AX3:$AZ9,3,FALSE),0)))))/100))*AC7,0)+IF(VLOOKUP(tbMoveset!A108,tbMoveset!A2:F112,6,FALSE)&gt;0,IF(VLOOKUP(tbMoveset!A108,tbMoveset!A2:I112,9,FALSE)="Fire",VLOOKUP(Calculator!$E24,tbSkills!$AX3:$AY9,2,FALSE),IF(VLOOKUP(tbMoveset!A108,tbMoveset!A2:I112,9,FALSE)="Water",VLOOKUP(Calculator!$E25,tbSkills!$AX3:$AY9,2,FALSE),IF(VLOOKUP(tbMoveset!A108,tbMoveset!A2:I112,9,FALSE)="Thunder",VLOOKUP(Calculator!$E26,tbSkills!$AX3:$AY9,2,FALSE),IF(VLOOKUP(tbMoveset!A108,tbMoveset!A2:I112,9,FALSE)="Ice",VLOOKUP(Calculator!$E27,tbSkills!$AX3:$AY9,2,FALSE),IF(VLOOKUP(tbMoveset!A108,tbMoveset!A2:I112,9,FALSE)="Dragon",VLOOKUP(Calculator!$E28,tbSkills!$AX3:$AY9,2,FALSE),0))))),0)/10)&gt;=B34,B34,(ROUND((VLOOKUP(tbMoveset!A108,tbMoveset!A2:F112,6,FALSE)+(IF(VLOOKUP(tbMoveset!A108,tbMoveset!A2:F112,6,FALSE)&gt;0,K41,0)))*(1+(IF(VLOOKUP(tbMoveset!A108,tbMoveset!A2:I112,9,FALSE)="Fire",VLOOKUP(Calculator!$E24,tbSkills!$AX3:$AZ9,3,FALSE),IF(VLOOKUP(tbMoveset!A108,tbMoveset!A2:I112,9,FALSE)="Water",VLOOKUP(Calculator!$E25,tbSkills!$AX3:$AZ9,3,FALSE),IF(VLOOKUP(BackdoorsMoveset!A108,tbMoveset!A2:I112,9,FALSE)="Thunder",VLOOKUP(Calculator!$E26,tbSkills!$AX3:$AZ9,3,FALSE),IF(VLOOKUP(tbMoveset!A108,tbMoveset!A2:I112,9,FALSE)="Ice",VLOOKUP(Calculator!$E27,tbSkills!$AX3:$AZ9,3,FALSE),IF(VLOOKUP(tbMoveset!A108,tbMoveset!A2:I112,9,FALSE)="Dragon",VLOOKUP(Calculator!$E28,tbSkills!$AX3:$AZ9,3,FALSE),0)))))/100))*AC7,0)+IF(VLOOKUP(tbMoveset!A108,tbMoveset!A2:F112,6,FALSE)&gt;0,IF(VLOOKUP(tbMoveset!A108,tbMoveset!A2:I112,9,FALSE)="Fire",VLOOKUP(Calculator!$E24,tbSkills!$AX3:$AY9,2,FALSE),IF(VLOOKUP(tbMoveset!A108,tbMoveset!A2:I112,9,FALSE)="Water",VLOOKUP(Calculator!$E25,tbSkills!$AX3:$AY9,2,FALSE),IF(VLOOKUP(tbMoveset!A108,tbMoveset!A2:I112,9,FALSE)="Thunder",VLOOKUP(Calculator!$E26,tbSkills!$AX3:$AY9,2,FALSE),IF(VLOOKUP(tbMoveset!A108,tbMoveset!A2:I112,9,FALSE)="Ice",VLOOKUP(Calculator!$E27,tbSkills!$AX3:$AY9,2,FALSE),IF(VLOOKUP(tbMoveset!A108,tbMoveset!A2:I112,9,FALSE)="Dragon",VLOOKUP(Calculator!$E28,tbSkills!$AX3:$AY9,2,FALSE),0))))),0)/10))*N6)*AC6,0)*(B30/100),0)</f>
        <v>0</v>
      </c>
    </row>
    <row r="109" spans="43:73" x14ac:dyDescent="0.25">
      <c r="AQ109" t="s">
        <v>190</v>
      </c>
      <c r="AR109">
        <f>AR107*AR108</f>
        <v>0</v>
      </c>
      <c r="BU109" s="49">
        <f>IFERROR(ROUNDDOWN((IF((ROUND((VLOOKUP(tbMoveset!A109,tbMoveset!A2:F112,6,FALSE)+(IF(VLOOKUP(tbMoveset!A109,tbMoveset!A2:F112,6,FALSE)&gt;0,K41,0)))*(1+(IF(VLOOKUP(tbMoveset!A109,tbMoveset!A2:I112,9,FALSE)="Fire",VLOOKUP(Calculator!$E24,tbSkills!$AX3:$AZ9,3,FALSE),IF(VLOOKUP(tbMoveset!A109,tbMoveset!A2:I112,9,FALSE)="Water",VLOOKUP(Calculator!$E25,tbSkills!$AX3:$AZ9,3,FALSE),IF(VLOOKUP(BackdoorsMoveset!A109,tbMoveset!A2:I112,9,FALSE)="Thunder",VLOOKUP(Calculator!$E26,tbSkills!$AX3:$AZ9,3,FALSE),IF(VLOOKUP(tbMoveset!A109,tbMoveset!A2:I112,9,FALSE)="Ice",VLOOKUP(Calculator!$E27,tbSkills!$AX3:$AZ9,3,FALSE),IF(VLOOKUP(tbMoveset!A109,tbMoveset!A2:I112,9,FALSE)="Dragon",VLOOKUP(Calculator!$E28,tbSkills!$AX3:$AZ9,3,FALSE),0)))))/100))*AC7,0)+IF(VLOOKUP(tbMoveset!A109,tbMoveset!A2:F112,6,FALSE)&gt;0,IF(VLOOKUP(tbMoveset!A109,tbMoveset!A2:I112,9,FALSE)="Fire",VLOOKUP(Calculator!$E24,tbSkills!$AX3:$AY9,2,FALSE),IF(VLOOKUP(tbMoveset!A109,tbMoveset!A2:I112,9,FALSE)="Water",VLOOKUP(Calculator!$E25,tbSkills!$AX3:$AY9,2,FALSE),IF(VLOOKUP(tbMoveset!A109,tbMoveset!A2:I112,9,FALSE)="Thunder",VLOOKUP(Calculator!$E26,tbSkills!$AX3:$AY9,2,FALSE),IF(VLOOKUP(tbMoveset!A109,tbMoveset!A2:I112,9,FALSE)="Ice",VLOOKUP(Calculator!$E27,tbSkills!$AX3:$AY9,2,FALSE),IF(VLOOKUP(tbMoveset!A109,tbMoveset!A2:I112,9,FALSE)="Dragon",VLOOKUP(Calculator!$E28,tbSkills!$AX3:$AY9,2,FALSE),0))))),0)/10)&gt;=B34,B34,(ROUND((VLOOKUP(tbMoveset!A109,tbMoveset!A2:F112,6,FALSE)+(IF(VLOOKUP(tbMoveset!A109,tbMoveset!A2:F112,6,FALSE)&gt;0,K41,0)))*(1+(IF(VLOOKUP(tbMoveset!A109,tbMoveset!A2:I112,9,FALSE)="Fire",VLOOKUP(Calculator!$E24,tbSkills!$AX3:$AZ9,3,FALSE),IF(VLOOKUP(tbMoveset!A109,tbMoveset!A2:I112,9,FALSE)="Water",VLOOKUP(Calculator!$E25,tbSkills!$AX3:$AZ9,3,FALSE),IF(VLOOKUP(BackdoorsMoveset!A109,tbMoveset!A2:I112,9,FALSE)="Thunder",VLOOKUP(Calculator!$E26,tbSkills!$AX3:$AZ9,3,FALSE),IF(VLOOKUP(tbMoveset!A109,tbMoveset!A2:I112,9,FALSE)="Ice",VLOOKUP(Calculator!$E27,tbSkills!$AX3:$AZ9,3,FALSE),IF(VLOOKUP(tbMoveset!A109,tbMoveset!A2:I112,9,FALSE)="Dragon",VLOOKUP(Calculator!$E28,tbSkills!$AX3:$AZ9,3,FALSE),0)))))/100))*AC7,0)+IF(VLOOKUP(tbMoveset!A109,tbMoveset!A2:F112,6,FALSE)&gt;0,IF(VLOOKUP(tbMoveset!A109,tbMoveset!A2:I112,9,FALSE)="Fire",VLOOKUP(Calculator!$E24,tbSkills!$AX3:$AY9,2,FALSE),IF(VLOOKUP(tbMoveset!A109,tbMoveset!A2:I112,9,FALSE)="Water",VLOOKUP(Calculator!$E25,tbSkills!$AX3:$AY9,2,FALSE),IF(VLOOKUP(tbMoveset!A109,tbMoveset!A2:I112,9,FALSE)="Thunder",VLOOKUP(Calculator!$E26,tbSkills!$AX3:$AY9,2,FALSE),IF(VLOOKUP(tbMoveset!A109,tbMoveset!A2:I112,9,FALSE)="Ice",VLOOKUP(Calculator!$E27,tbSkills!$AX3:$AY9,2,FALSE),IF(VLOOKUP(tbMoveset!A109,tbMoveset!A2:I112,9,FALSE)="Dragon",VLOOKUP(Calculator!$E28,tbSkills!$AX3:$AY9,2,FALSE),0))))),0)/10))*N6)*AC6,0)*(B30/100),0)</f>
        <v>0</v>
      </c>
    </row>
    <row r="110" spans="43:73" x14ac:dyDescent="0.25">
      <c r="AQ110" t="s">
        <v>235</v>
      </c>
      <c r="AR110">
        <f>IF($AR109&gt;=$AU51,50,IF($AR109&gt;=$AU50,49,IF($AR109&gt;=$AU49,48,IF($AR109&gt;=$AU48,47,IF($AR109&gt;=$AU47,46,IF($AR109&gt;=$AU46,45,IF($AR109&gt;=$AU45,44,IF($AR109&gt;=$AU44,43,IF($AR109&gt;=$AU43,42,IF($AR109&gt;=$AU42,41,IF($AR109&gt;=$AU41,40,IF($AR109&gt;=$AU40,39,IF($AR109&gt;=$AU39,38,IF($AR109&gt;=$AU38,37,IF($AR109&gt;=$AU37,36,IF($AR109&gt;=$AU36,35,IF($AR109&gt;=$AU35,34,IF($AR109&gt;=$AU34,33,IF($AR109&gt;=$AU33,32,IF($AR109&gt;=$AU32,31,IF($AR109&gt;=$AU31,30,IF($AR109&gt;=$AU30,29,IF($AR109&gt;=$AU29,28,IF($AR109&gt;=$AU28,27,IF($AR109&gt;=$AU27,26,IF($AR109&gt;=$AU26,25,IF($AR109&gt;=$AU25,24,IF($AR109&gt;=$AU24,23,IF($AR109&gt;=$AU23,22,IF($AR109&gt;=$AU22,21,IF($AR109&gt;=$AU21,20,IF($AR109&gt;=$AU20,19,IF($AR109&gt;=$AU19,18,IF($AR109&gt;=$AU18,17,IF($AR109&gt;=$AU17,16,IF($AR109&gt;=$AU16,15,IF($AR109&gt;=$AU15,14,IF($AR109&gt;=$AU14,13,IF($AR109&gt;=$AU13,12,IF($AR109&gt;=$AU12,11,IF($AR109&gt;=$AU11,10,IF($AR109&gt;=$AU10,9,IF($AR109&gt;=$AU9,8,IF($AR109&gt;=$AU8,7,IF($AR109&gt;=$AU7,6,IF($AR109&gt;=$AU6,5,IF($AR109&gt;=$AU5,4,IF($AR109&gt;=$AU4,3,IF($AR109&gt;=$AU3,2,IF($AR109&gt;=$AU2,1,0))))))))))))))))))))))))))))))))))))))))))))))))))</f>
        <v>0</v>
      </c>
      <c r="BU110" s="49">
        <f>IFERROR(ROUNDDOWN((IF((ROUND((VLOOKUP(tbMoveset!A110,tbMoveset!A2:F112,6,FALSE)+(IF(VLOOKUP(tbMoveset!A110,tbMoveset!A2:F112,6,FALSE)&gt;0,K41,0)))*(1+(IF(VLOOKUP(tbMoveset!A110,tbMoveset!A2:I112,9,FALSE)="Fire",VLOOKUP(Calculator!$E24,tbSkills!$AX3:$AZ9,3,FALSE),IF(VLOOKUP(tbMoveset!A110,tbMoveset!A2:I112,9,FALSE)="Water",VLOOKUP(Calculator!$E25,tbSkills!$AX3:$AZ9,3,FALSE),IF(VLOOKUP(BackdoorsMoveset!A110,tbMoveset!A2:I112,9,FALSE)="Thunder",VLOOKUP(Calculator!$E26,tbSkills!$AX3:$AZ9,3,FALSE),IF(VLOOKUP(tbMoveset!A110,tbMoveset!A2:I112,9,FALSE)="Ice",VLOOKUP(Calculator!$E27,tbSkills!$AX3:$AZ9,3,FALSE),IF(VLOOKUP(tbMoveset!A110,tbMoveset!A2:I112,9,FALSE)="Dragon",VLOOKUP(Calculator!$E28,tbSkills!$AX3:$AZ9,3,FALSE),0)))))/100))*AC7,0)+IF(VLOOKUP(tbMoveset!A110,tbMoveset!A2:F112,6,FALSE)&gt;0,IF(VLOOKUP(tbMoveset!A110,tbMoveset!A2:I112,9,FALSE)="Fire",VLOOKUP(Calculator!$E24,tbSkills!$AX3:$AY9,2,FALSE),IF(VLOOKUP(tbMoveset!A110,tbMoveset!A2:I112,9,FALSE)="Water",VLOOKUP(Calculator!$E25,tbSkills!$AX3:$AY9,2,FALSE),IF(VLOOKUP(tbMoveset!A110,tbMoveset!A2:I112,9,FALSE)="Thunder",VLOOKUP(Calculator!$E26,tbSkills!$AX3:$AY9,2,FALSE),IF(VLOOKUP(tbMoveset!A110,tbMoveset!A2:I112,9,FALSE)="Ice",VLOOKUP(Calculator!$E27,tbSkills!$AX3:$AY9,2,FALSE),IF(VLOOKUP(tbMoveset!A110,tbMoveset!A2:I112,9,FALSE)="Dragon",VLOOKUP(Calculator!$E28,tbSkills!$AX3:$AY9,2,FALSE),0))))),0)/10)&gt;=B34,B34,(ROUND((VLOOKUP(tbMoveset!A110,tbMoveset!A2:F112,6,FALSE)+(IF(VLOOKUP(tbMoveset!A110,tbMoveset!A2:F112,6,FALSE)&gt;0,K41,0)))*(1+(IF(VLOOKUP(tbMoveset!A110,tbMoveset!A2:I112,9,FALSE)="Fire",VLOOKUP(Calculator!$E24,tbSkills!$AX3:$AZ9,3,FALSE),IF(VLOOKUP(tbMoveset!A110,tbMoveset!A2:I112,9,FALSE)="Water",VLOOKUP(Calculator!$E25,tbSkills!$AX3:$AZ9,3,FALSE),IF(VLOOKUP(BackdoorsMoveset!A110,tbMoveset!A2:I112,9,FALSE)="Thunder",VLOOKUP(Calculator!$E26,tbSkills!$AX3:$AZ9,3,FALSE),IF(VLOOKUP(tbMoveset!A110,tbMoveset!A2:I112,9,FALSE)="Ice",VLOOKUP(Calculator!$E27,tbSkills!$AX3:$AZ9,3,FALSE),IF(VLOOKUP(tbMoveset!A110,tbMoveset!A2:I112,9,FALSE)="Dragon",VLOOKUP(Calculator!$E28,tbSkills!$AX3:$AZ9,3,FALSE),0)))))/100))*AC7,0)+IF(VLOOKUP(tbMoveset!A110,tbMoveset!A2:F112,6,FALSE)&gt;0,IF(VLOOKUP(tbMoveset!A110,tbMoveset!A2:I112,9,FALSE)="Fire",VLOOKUP(Calculator!$E24,tbSkills!$AX3:$AY9,2,FALSE),IF(VLOOKUP(tbMoveset!A110,tbMoveset!A2:I112,9,FALSE)="Water",VLOOKUP(Calculator!$E25,tbSkills!$AX3:$AY9,2,FALSE),IF(VLOOKUP(tbMoveset!A110,tbMoveset!A2:I112,9,FALSE)="Thunder",VLOOKUP(Calculator!$E26,tbSkills!$AX3:$AY9,2,FALSE),IF(VLOOKUP(tbMoveset!A110,tbMoveset!A2:I112,9,FALSE)="Ice",VLOOKUP(Calculator!$E27,tbSkills!$AX3:$AY9,2,FALSE),IF(VLOOKUP(tbMoveset!A110,tbMoveset!A2:I112,9,FALSE)="Dragon",VLOOKUP(Calculator!$E28,tbSkills!$AX3:$AY9,2,FALSE),0))))),0)/10))*N6)*AC6,0)*(B30/100),0)</f>
        <v>0</v>
      </c>
    </row>
    <row r="111" spans="43:73" x14ac:dyDescent="0.25">
      <c r="AQ111" t="s">
        <v>236</v>
      </c>
      <c r="AR111">
        <f>AR110*VLOOKUP(AO8,tbStatus!A22:E33,5,FALSE)</f>
        <v>0</v>
      </c>
      <c r="BU111" s="49">
        <f>IFERROR(ROUNDDOWN((IF((ROUND((VLOOKUP(tbMoveset!A111,tbMoveset!A2:F112,6,FALSE)+(IF(VLOOKUP(tbMoveset!A111,tbMoveset!A2:F112,6,FALSE)&gt;0,K41,0)))*(1+(IF(VLOOKUP(tbMoveset!A111,tbMoveset!A2:I112,9,FALSE)="Fire",VLOOKUP(Calculator!$E24,tbSkills!$AX3:$AZ9,3,FALSE),IF(VLOOKUP(tbMoveset!A111,tbMoveset!A2:I112,9,FALSE)="Water",VLOOKUP(Calculator!$E25,tbSkills!$AX3:$AZ9,3,FALSE),IF(VLOOKUP(BackdoorsMoveset!A111,tbMoveset!A2:I112,9,FALSE)="Thunder",VLOOKUP(Calculator!$E26,tbSkills!$AX3:$AZ9,3,FALSE),IF(VLOOKUP(tbMoveset!A111,tbMoveset!A2:I112,9,FALSE)="Ice",VLOOKUP(Calculator!$E27,tbSkills!$AX3:$AZ9,3,FALSE),IF(VLOOKUP(tbMoveset!A111,tbMoveset!A2:I112,9,FALSE)="Dragon",VLOOKUP(Calculator!$E28,tbSkills!$AX3:$AZ9,3,FALSE),0)))))/100))*AC7,0)+IF(VLOOKUP(tbMoveset!A111,tbMoveset!A2:F112,6,FALSE)&gt;0,IF(VLOOKUP(tbMoveset!A111,tbMoveset!A2:I112,9,FALSE)="Fire",VLOOKUP(Calculator!$E24,tbSkills!$AX3:$AY9,2,FALSE),IF(VLOOKUP(tbMoveset!A111,tbMoveset!A2:I112,9,FALSE)="Water",VLOOKUP(Calculator!$E25,tbSkills!$AX3:$AY9,2,FALSE),IF(VLOOKUP(tbMoveset!A111,tbMoveset!A2:I112,9,FALSE)="Thunder",VLOOKUP(Calculator!$E26,tbSkills!$AX3:$AY9,2,FALSE),IF(VLOOKUP(tbMoveset!A111,tbMoveset!A2:I112,9,FALSE)="Ice",VLOOKUP(Calculator!$E27,tbSkills!$AX3:$AY9,2,FALSE),IF(VLOOKUP(tbMoveset!A111,tbMoveset!A2:I112,9,FALSE)="Dragon",VLOOKUP(Calculator!$E28,tbSkills!$AX3:$AY9,2,FALSE),0))))),0)/10)&gt;=B34,B34,(ROUND((VLOOKUP(tbMoveset!A111,tbMoveset!A2:F112,6,FALSE)+(IF(VLOOKUP(tbMoveset!A111,tbMoveset!A2:F112,6,FALSE)&gt;0,K41,0)))*(1+(IF(VLOOKUP(tbMoveset!A111,tbMoveset!A2:I112,9,FALSE)="Fire",VLOOKUP(Calculator!$E24,tbSkills!$AX3:$AZ9,3,FALSE),IF(VLOOKUP(tbMoveset!A111,tbMoveset!A2:I112,9,FALSE)="Water",VLOOKUP(Calculator!$E25,tbSkills!$AX3:$AZ9,3,FALSE),IF(VLOOKUP(BackdoorsMoveset!A111,tbMoveset!A2:I112,9,FALSE)="Thunder",VLOOKUP(Calculator!$E26,tbSkills!$AX3:$AZ9,3,FALSE),IF(VLOOKUP(tbMoveset!A111,tbMoveset!A2:I112,9,FALSE)="Ice",VLOOKUP(Calculator!$E27,tbSkills!$AX3:$AZ9,3,FALSE),IF(VLOOKUP(tbMoveset!A111,tbMoveset!A2:I112,9,FALSE)="Dragon",VLOOKUP(Calculator!$E28,tbSkills!$AX3:$AZ9,3,FALSE),0)))))/100))*AC7,0)+IF(VLOOKUP(tbMoveset!A111,tbMoveset!A2:F112,6,FALSE)&gt;0,IF(VLOOKUP(tbMoveset!A111,tbMoveset!A2:I112,9,FALSE)="Fire",VLOOKUP(Calculator!$E24,tbSkills!$AX3:$AY9,2,FALSE),IF(VLOOKUP(tbMoveset!A111,tbMoveset!A2:I112,9,FALSE)="Water",VLOOKUP(Calculator!$E25,tbSkills!$AX3:$AY9,2,FALSE),IF(VLOOKUP(tbMoveset!A111,tbMoveset!A2:I112,9,FALSE)="Thunder",VLOOKUP(Calculator!$E26,tbSkills!$AX3:$AY9,2,FALSE),IF(VLOOKUP(tbMoveset!A111,tbMoveset!A2:I112,9,FALSE)="Ice",VLOOKUP(Calculator!$E27,tbSkills!$AX3:$AY9,2,FALSE),IF(VLOOKUP(tbMoveset!A111,tbMoveset!A2:I112,9,FALSE)="Dragon",VLOOKUP(Calculator!$E28,tbSkills!$AX3:$AY9,2,FALSE),0))))),0)/10))*N6)*AC6,0)*(B30/100),0)</f>
        <v>0</v>
      </c>
    </row>
    <row r="112" spans="43:73" x14ac:dyDescent="0.25">
      <c r="AQ112" t="s">
        <v>237</v>
      </c>
      <c r="AR112">
        <f>N8-AR111</f>
        <v>1408</v>
      </c>
      <c r="BU112" s="49">
        <f>IFERROR(ROUNDDOWN(((ROUND((VLOOKUP(tbMoveset!A112,tbMoveset!A2:F112,6,FALSE)+(IF(VLOOKUP(tbMoveset!A112,tbMoveset!A2:F112,6,FALSE)&gt;0,K41,0)))*(1+(IF(VLOOKUP(tbMoveset!A112,tbMoveset!A2:I112,9,FALSE)="Fire",VLOOKUP(Calculator!$E24,tbSkills!$AX3:$AZ9,3,FALSE),IF(VLOOKUP(tbMoveset!A112,tbMoveset!A2:I112,9,FALSE)="Water",VLOOKUP(Calculator!$E25,tbSkills!$AX3:$AZ9,3,FALSE),IF(VLOOKUP(BackdoorsMoveset!A112,tbMoveset!A2:I112,9,FALSE)="Thunder",VLOOKUP(Calculator!$E26,tbSkills!$AX3:$AZ9,3,FALSE),IF(VLOOKUP(tbMoveset!A112,tbMoveset!A2:I112,9,FALSE)="Ice",VLOOKUP(Calculator!$E27,tbSkills!$AX3:$AZ9,3,FALSE),IF(VLOOKUP(tbMoveset!A112,tbMoveset!A2:I112,9,FALSE)="Dragon",VLOOKUP(Calculator!$E28,tbSkills!$AX3:$AZ9,3,FALSE),0)))))/100))*AC7,0)+IF(VLOOKUP(tbMoveset!A112,tbMoveset!A2:F112,6,FALSE)&gt;0,IF(VLOOKUP(tbMoveset!A112,tbMoveset!A2:I112,9,FALSE)="Fire",VLOOKUP(Calculator!$E24,tbSkills!$AX3:$AY9,2,FALSE),IF(VLOOKUP(tbMoveset!A112,tbMoveset!A2:I112,9,FALSE)="Water",VLOOKUP(Calculator!$E25,tbSkills!$AX3:$AY9,2,FALSE),IF(VLOOKUP(tbMoveset!A112,tbMoveset!A2:I112,9,FALSE)="Thunder",VLOOKUP(Calculator!$E26,tbSkills!$AX3:$AY9,2,FALSE),IF(VLOOKUP(tbMoveset!A112,tbMoveset!A2:I112,9,FALSE)="Ice",VLOOKUP(Calculator!$E27,tbSkills!$AX3:$AY9,2,FALSE),IF(VLOOKUP(tbMoveset!A112,tbMoveset!A2:I112,9,FALSE)="Dragon",VLOOKUP(Calculator!$E28,tbSkills!$AX3:$AY9,2,FALSE),0))))),0)/10)*N6)*AC6,0)*(B30/100),0)</f>
        <v>0</v>
      </c>
    </row>
    <row r="113" spans="43:44" x14ac:dyDescent="0.25">
      <c r="AQ113" t="s">
        <v>238</v>
      </c>
      <c r="AR113">
        <f>IFERROR(AR112/BN11,0)</f>
        <v>0</v>
      </c>
    </row>
    <row r="114" spans="43:44" x14ac:dyDescent="0.25">
      <c r="AQ114" t="s">
        <v>239</v>
      </c>
      <c r="AR114">
        <f>AR113*AR108</f>
        <v>0</v>
      </c>
    </row>
    <row r="115" spans="43:44" x14ac:dyDescent="0.25">
      <c r="AQ115" t="s">
        <v>240</v>
      </c>
      <c r="AR115">
        <f>IF($AR114&gt;=$AU51,50,IF($AR114&gt;=$AU50,49,IF($AR114&gt;=$AU49,48,IF($AR114&gt;=$AU48,47,IF($AR114&gt;=$AU47,46,IF($AR114&gt;=$AU46,45,IF($AR114&gt;=$AU45,44,IF($AR114&gt;=$AU44,43,IF($AR114&gt;=$AU43,42,IF($AR114&gt;=$AU42,41,IF($AR114&gt;=$AU41,40,IF($AR114&gt;=$AU40,39,IF($AR114&gt;=$AU39,38,IF($AR114&gt;=$AU38,37,IF($AR114&gt;=$AU37,36,IF($AR114&gt;=$AU36,35,IF($AR114&gt;=$AU35,34,IF($AR114&gt;=$AU34,33,IF($AR114&gt;=$AU33,32,IF($AR114&gt;=$AU32,31,IF($AR114&gt;=$AU31,30,IF($AR114&gt;=$AU30,29,IF($AR114&gt;=$AU29,28,IF($AR114&gt;=$AU28,27,IF($AR114&gt;=$AU27,26,IF($AR114&gt;=$AU26,25,IF($AR114&gt;=$AU25,24,IF($AR114&gt;=$AU24,23,IF($AR114&gt;=$AU23,22,IF($AR114&gt;=$AU22,21,IF($AR114&gt;=$AU21,20,IF($AR114&gt;=$AU20,19,IF($AR114&gt;=$AU19,18,IF($AR114&gt;=$AU18,17,IF($AR114&gt;=$AU17,16,IF($AR114&gt;=$AU16,15,IF($AR114&gt;=$AU15,14,IF($AR114&gt;=$AU14,13,IF($AR114&gt;=$AU13,12,IF($AR114&gt;=$AU12,11,IF($AR114&gt;=$AU11,10,IF($AR114&gt;=$AU10,9,IF($AR114&gt;=$AU9,8,IF($AR114&gt;=$AU8,7,IF($AR114&gt;=$AU7,6,IF($AR114&gt;=$AU6,5,IF($AR114&gt;=$AU5,4,IF($AR114&gt;=$AU4,3,IF($AR114&gt;=$AU3,2,IF($AR114&gt;=$AU2,1,0))))))))))))))))))))))))))))))))))))))))))))))))))</f>
        <v>0</v>
      </c>
    </row>
    <row r="116" spans="43:44" x14ac:dyDescent="0.25">
      <c r="AQ116" t="s">
        <v>241</v>
      </c>
      <c r="AR116">
        <f>AR115*VLOOKUP(AO8,tbStatus!A22:E33,5,FALSE)</f>
        <v>0</v>
      </c>
    </row>
    <row r="117" spans="43:44" x14ac:dyDescent="0.25">
      <c r="AQ117" t="s">
        <v>242</v>
      </c>
      <c r="AR117">
        <f>ROUND((AR116/N8)*BN11,0)</f>
        <v>0</v>
      </c>
    </row>
    <row r="119" spans="43:44" x14ac:dyDescent="0.25">
      <c r="AQ119" t="s">
        <v>574</v>
      </c>
      <c r="AR119" t="str">
        <f>IFERROR(INDEX(tbHitzones!K:K,MATCH(ROWS(tbHitzones!$1:10),tbHitzones!K:K,0)),"")</f>
        <v/>
      </c>
    </row>
    <row r="120" spans="43:44" x14ac:dyDescent="0.25">
      <c r="AQ120" t="s">
        <v>234</v>
      </c>
      <c r="AR120">
        <f>IFERROR(N8/BN12,0)</f>
        <v>0</v>
      </c>
    </row>
    <row r="121" spans="43:44" x14ac:dyDescent="0.25">
      <c r="AQ121" t="s">
        <v>572</v>
      </c>
      <c r="AR121">
        <f>AO6*AO27</f>
        <v>0</v>
      </c>
    </row>
    <row r="122" spans="43:44" x14ac:dyDescent="0.25">
      <c r="AQ122" t="s">
        <v>190</v>
      </c>
      <c r="AR122">
        <f>AR120*AR121</f>
        <v>0</v>
      </c>
    </row>
    <row r="123" spans="43:44" x14ac:dyDescent="0.25">
      <c r="AQ123" t="s">
        <v>235</v>
      </c>
      <c r="AR123">
        <f>IF($AR122&gt;=$AU51,50,IF($AR122&gt;=$AU50,49,IF($AR122&gt;=$AU49,48,IF($AR122&gt;=$AU48,47,IF($AR122&gt;=$AU47,46,IF($AR122&gt;=$AU46,45,IF($AR122&gt;=$AU45,44,IF($AR122&gt;=$AU44,43,IF($AR122&gt;=$AU43,42,IF($AR122&gt;=$AU42,41,IF($AR122&gt;=$AU41,40,IF($AR122&gt;=$AU40,39,IF($AR122&gt;=$AU39,38,IF($AR122&gt;=$AU38,37,IF($AR122&gt;=$AU37,36,IF($AR122&gt;=$AU36,35,IF($AR122&gt;=$AU35,34,IF($AR122&gt;=$AU34,33,IF($AR122&gt;=$AU33,32,IF($AR122&gt;=$AU32,31,IF($AR122&gt;=$AU31,30,IF($AR122&gt;=$AU30,29,IF($AR122&gt;=$AU29,28,IF($AR122&gt;=$AU28,27,IF($AR122&gt;=$AU27,26,IF($AR122&gt;=$AU26,25,IF($AR122&gt;=$AU25,24,IF($AR122&gt;=$AU24,23,IF($AR122&gt;=$AU23,22,IF($AR122&gt;=$AU22,21,IF($AR122&gt;=$AU21,20,IF($AR122&gt;=$AU20,19,IF($AR122&gt;=$AU19,18,IF($AR122&gt;=$AU18,17,IF($AR122&gt;=$AU17,16,IF($AR122&gt;=$AU16,15,IF($AR122&gt;=$AU15,14,IF($AR122&gt;=$AU14,13,IF($AR122&gt;=$AU13,12,IF($AR122&gt;=$AU12,11,IF($AR122&gt;=$AU11,10,IF($AR122&gt;=$AU10,9,IF($AR122&gt;=$AU9,8,IF($AR122&gt;=$AU8,7,IF($AR122&gt;=$AU7,6,IF($AR122&gt;=$AU6,5,IF($AR122&gt;=$AU5,4,IF($AR122&gt;=$AU4,3,IF($AR122&gt;=$AU3,2,IF($AR122&gt;=$AU2,1,0))))))))))))))))))))))))))))))))))))))))))))))))))</f>
        <v>0</v>
      </c>
    </row>
    <row r="124" spans="43:44" x14ac:dyDescent="0.25">
      <c r="AQ124" t="s">
        <v>236</v>
      </c>
      <c r="AR124">
        <f>AR123*VLOOKUP(AO8,tbStatus!A22:E33,5,FALSE)</f>
        <v>0</v>
      </c>
    </row>
    <row r="125" spans="43:44" x14ac:dyDescent="0.25">
      <c r="AQ125" t="s">
        <v>237</v>
      </c>
      <c r="AR125">
        <f>N8-AR124</f>
        <v>1408</v>
      </c>
    </row>
    <row r="126" spans="43:44" x14ac:dyDescent="0.25">
      <c r="AQ126" t="s">
        <v>238</v>
      </c>
      <c r="AR126">
        <f>IFERROR(AR125/BN12,0)</f>
        <v>0</v>
      </c>
    </row>
    <row r="127" spans="43:44" x14ac:dyDescent="0.25">
      <c r="AQ127" t="s">
        <v>239</v>
      </c>
      <c r="AR127">
        <f>AR126*AR121</f>
        <v>0</v>
      </c>
    </row>
    <row r="128" spans="43:44" x14ac:dyDescent="0.25">
      <c r="AQ128" t="s">
        <v>240</v>
      </c>
      <c r="AR128">
        <f>IF($AR127&gt;=$AU51,50,IF($AR127&gt;=$AU50,49,IF($AR127&gt;=$AU49,48,IF($AR127&gt;=$AU48,47,IF($AR127&gt;=$AU47,46,IF($AR127&gt;=$AU46,45,IF($AR127&gt;=$AU45,44,IF($AR127&gt;=$AU44,43,IF($AR127&gt;=$AU43,42,IF($AR127&gt;=$AU42,41,IF($AR127&gt;=$AU41,40,IF($AR127&gt;=$AU40,39,IF($AR127&gt;=$AU39,38,IF($AR127&gt;=$AU38,37,IF($AR127&gt;=$AU37,36,IF($AR127&gt;=$AU36,35,IF($AR127&gt;=$AU35,34,IF($AR127&gt;=$AU34,33,IF($AR127&gt;=$AU33,32,IF($AR127&gt;=$AU32,31,IF($AR127&gt;=$AU31,30,IF($AR127&gt;=$AU30,29,IF($AR127&gt;=$AU29,28,IF($AR127&gt;=$AU28,27,IF($AR127&gt;=$AU27,26,IF($AR127&gt;=$AU26,25,IF($AR127&gt;=$AU25,24,IF($AR127&gt;=$AU24,23,IF($AR127&gt;=$AU23,22,IF($AR127&gt;=$AU22,21,IF($AR127&gt;=$AU21,20,IF($AR127&gt;=$AU20,19,IF($AR127&gt;=$AU19,18,IF($AR127&gt;=$AU18,17,IF($AR127&gt;=$AU17,16,IF($AR127&gt;=$AU16,15,IF($AR127&gt;=$AU15,14,IF($AR127&gt;=$AU14,13,IF($AR127&gt;=$AU13,12,IF($AR127&gt;=$AU12,11,IF($AR127&gt;=$AU11,10,IF($AR127&gt;=$AU10,9,IF($AR127&gt;=$AU9,8,IF($AR127&gt;=$AU8,7,IF($AR127&gt;=$AU7,6,IF($AR127&gt;=$AU6,5,IF($AR127&gt;=$AU5,4,IF($AR127&gt;=$AU4,3,IF($AR127&gt;=$AU3,2,IF($AR127&gt;=$AU2,1,0))))))))))))))))))))))))))))))))))))))))))))))))))</f>
        <v>0</v>
      </c>
    </row>
    <row r="129" spans="43:44" x14ac:dyDescent="0.25">
      <c r="AQ129" t="s">
        <v>241</v>
      </c>
      <c r="AR129">
        <f>AR128*VLOOKUP(AO8,tbStatus!A22:E33,5,FALSE)</f>
        <v>0</v>
      </c>
    </row>
    <row r="130" spans="43:44" x14ac:dyDescent="0.25">
      <c r="AQ130" t="s">
        <v>242</v>
      </c>
      <c r="AR130">
        <f>ROUND((AR129/N8)*BN12,0)</f>
        <v>0</v>
      </c>
    </row>
    <row r="132" spans="43:44" x14ac:dyDescent="0.25">
      <c r="AQ132" t="s">
        <v>574</v>
      </c>
      <c r="AR132" t="str">
        <f>IFERROR(INDEX(tbHitzones!K:K,MATCH(ROWS(tbHitzones!$1:11),tbHitzones!K:K,0)),"")</f>
        <v/>
      </c>
    </row>
    <row r="133" spans="43:44" x14ac:dyDescent="0.25">
      <c r="AQ133" t="s">
        <v>234</v>
      </c>
      <c r="AR133">
        <f>IFERROR(N8/BN13,0)</f>
        <v>0</v>
      </c>
    </row>
    <row r="134" spans="43:44" x14ac:dyDescent="0.25">
      <c r="AQ134" t="s">
        <v>572</v>
      </c>
      <c r="AR134">
        <f>AO6*AO28</f>
        <v>0</v>
      </c>
    </row>
    <row r="135" spans="43:44" x14ac:dyDescent="0.25">
      <c r="AQ135" t="s">
        <v>190</v>
      </c>
      <c r="AR135">
        <f>AR133*AR134</f>
        <v>0</v>
      </c>
    </row>
    <row r="136" spans="43:44" x14ac:dyDescent="0.25">
      <c r="AQ136" t="s">
        <v>235</v>
      </c>
      <c r="AR136">
        <f>IF($AR135&gt;=$AU51,50,IF($AR135&gt;=$AU50,49,IF($AR135&gt;=$AU49,48,IF($AR135&gt;=$AU48,47,IF($AR135&gt;=$AU47,46,IF($AR135&gt;=$AU46,45,IF($AR135&gt;=$AU45,44,IF($AR135&gt;=$AU44,43,IF($AR135&gt;=$AU43,42,IF($AR135&gt;=$AU42,41,IF($AR135&gt;=$AU41,40,IF($AR135&gt;=$AU40,39,IF($AR135&gt;=$AU39,38,IF($AR135&gt;=$AU38,37,IF($AR135&gt;=$AU37,36,IF($AR135&gt;=$AU36,35,IF($AR135&gt;=$AU35,34,IF($AR135&gt;=$AU34,33,IF($AR135&gt;=$AU33,32,IF($AR135&gt;=$AU32,31,IF($AR135&gt;=$AU31,30,IF($AR135&gt;=$AU30,29,IF($AR135&gt;=$AU29,28,IF($AR135&gt;=$AU28,27,IF($AR135&gt;=$AU27,26,IF($AR135&gt;=$AU26,25,IF($AR135&gt;=$AU25,24,IF($AR135&gt;=$AU24,23,IF($AR135&gt;=$AU23,22,IF($AR135&gt;=$AU22,21,IF($AR135&gt;=$AU21,20,IF($AR135&gt;=$AU20,19,IF($AR135&gt;=$AU19,18,IF($AR135&gt;=$AU18,17,IF($AR135&gt;=$AU17,16,IF($AR135&gt;=$AU16,15,IF($AR135&gt;=$AU15,14,IF($AR135&gt;=$AU14,13,IF($AR135&gt;=$AU13,12,IF($AR135&gt;=$AU12,11,IF($AR135&gt;=$AU11,10,IF($AR135&gt;=$AU10,9,IF($AR135&gt;=$AU9,8,IF($AR135&gt;=$AU8,7,IF($AR135&gt;=$AU7,6,IF($AR135&gt;=$AU6,5,IF($AR135&gt;=$AU5,4,IF($AR135&gt;=$AU4,3,IF($AR135&gt;=$AU3,2,IF($AR135&gt;=$AU2,1,0))))))))))))))))))))))))))))))))))))))))))))))))))</f>
        <v>0</v>
      </c>
    </row>
    <row r="137" spans="43:44" x14ac:dyDescent="0.25">
      <c r="AQ137" t="s">
        <v>236</v>
      </c>
      <c r="AR137">
        <f>AR136*VLOOKUP(AO8,tbStatus!A22:E33,5,FALSE)</f>
        <v>0</v>
      </c>
    </row>
    <row r="138" spans="43:44" x14ac:dyDescent="0.25">
      <c r="AQ138" t="s">
        <v>237</v>
      </c>
      <c r="AR138">
        <f>N8-AR137</f>
        <v>1408</v>
      </c>
    </row>
    <row r="139" spans="43:44" x14ac:dyDescent="0.25">
      <c r="AQ139" t="s">
        <v>238</v>
      </c>
      <c r="AR139">
        <f>IFERROR(AR138/BN13,0)</f>
        <v>0</v>
      </c>
    </row>
    <row r="140" spans="43:44" x14ac:dyDescent="0.25">
      <c r="AQ140" t="s">
        <v>239</v>
      </c>
      <c r="AR140">
        <f>AR139*AR134</f>
        <v>0</v>
      </c>
    </row>
    <row r="141" spans="43:44" x14ac:dyDescent="0.25">
      <c r="AQ141" t="s">
        <v>240</v>
      </c>
      <c r="AR141">
        <f>IF($AR140&gt;=$AU51,50,IF($AR140&gt;=$AU50,49,IF($AR140&gt;=$AU49,48,IF($AR140&gt;=$AU48,47,IF($AR140&gt;=$AU47,46,IF($AR140&gt;=$AU46,45,IF($AR140&gt;=$AU45,44,IF($AR140&gt;=$AU44,43,IF($AR140&gt;=$AU43,42,IF($AR140&gt;=$AU42,41,IF($AR140&gt;=$AU41,40,IF($AR140&gt;=$AU40,39,IF($AR140&gt;=$AU39,38,IF($AR140&gt;=$AU38,37,IF($AR140&gt;=$AU37,36,IF($AR140&gt;=$AU36,35,IF($AR140&gt;=$AU35,34,IF($AR140&gt;=$AU34,33,IF($AR140&gt;=$AU33,32,IF($AR140&gt;=$AU32,31,IF($AR140&gt;=$AU31,30,IF($AR140&gt;=$AU30,29,IF($AR140&gt;=$AU29,28,IF($AR140&gt;=$AU28,27,IF($AR140&gt;=$AU27,26,IF($AR140&gt;=$AU26,25,IF($AR140&gt;=$AU25,24,IF($AR140&gt;=$AU24,23,IF($AR140&gt;=$AU23,22,IF($AR140&gt;=$AU22,21,IF($AR140&gt;=$AU21,20,IF($AR140&gt;=$AU20,19,IF($AR140&gt;=$AU19,18,IF($AR140&gt;=$AU18,17,IF($AR140&gt;=$AU17,16,IF($AR140&gt;=$AU16,15,IF($AR140&gt;=$AU15,14,IF($AR140&gt;=$AU14,13,IF($AR140&gt;=$AU13,12,IF($AR140&gt;=$AU12,11,IF($AR140&gt;=$AU11,10,IF($AR140&gt;=$AU10,9,IF($AR140&gt;=$AU9,8,IF($AR140&gt;=$AU8,7,IF($AR140&gt;=$AU7,6,IF($AR140&gt;=$AU6,5,IF($AR140&gt;=$AU5,4,IF($AR140&gt;=$AU4,3,IF($AR140&gt;=$AU3,2,IF($AR140&gt;=$AU2,1,0))))))))))))))))))))))))))))))))))))))))))))))))))</f>
        <v>0</v>
      </c>
    </row>
    <row r="142" spans="43:44" x14ac:dyDescent="0.25">
      <c r="AQ142" t="s">
        <v>241</v>
      </c>
      <c r="AR142">
        <f>AR141*VLOOKUP(AO8,tbStatus!A22:E33,5,FALSE)</f>
        <v>0</v>
      </c>
    </row>
    <row r="143" spans="43:44" x14ac:dyDescent="0.25">
      <c r="AQ143" t="s">
        <v>242</v>
      </c>
      <c r="AR143">
        <f>ROUND((AR142/N8)*BN13,0)</f>
        <v>0</v>
      </c>
    </row>
    <row r="145" spans="43:44" x14ac:dyDescent="0.25">
      <c r="AQ145" t="s">
        <v>574</v>
      </c>
      <c r="AR145" t="str">
        <f>IFERROR(INDEX(tbHitzones!K:K,MATCH(ROWS(tbHitzones!$1:12),tbHitzones!K:K,0)),"")</f>
        <v/>
      </c>
    </row>
    <row r="146" spans="43:44" x14ac:dyDescent="0.25">
      <c r="AQ146" t="s">
        <v>234</v>
      </c>
      <c r="AR146">
        <f>IFERROR(N8/BN14,0)</f>
        <v>0</v>
      </c>
    </row>
    <row r="147" spans="43:44" x14ac:dyDescent="0.25">
      <c r="AQ147" t="s">
        <v>572</v>
      </c>
      <c r="AR147">
        <f>AO6*AO29</f>
        <v>0</v>
      </c>
    </row>
    <row r="148" spans="43:44" x14ac:dyDescent="0.25">
      <c r="AQ148" t="s">
        <v>190</v>
      </c>
      <c r="AR148">
        <f>AR3*AR147</f>
        <v>0</v>
      </c>
    </row>
    <row r="149" spans="43:44" x14ac:dyDescent="0.25">
      <c r="AQ149" t="s">
        <v>235</v>
      </c>
      <c r="AR149">
        <f>IF($AR148&gt;=$AU51,50,IF($AR148&gt;=$AU50,49,IF($AR148&gt;=$AU49,48,IF($AR148&gt;=$AU48,47,IF($AR148&gt;=$AU47,46,IF($AR148&gt;=$AU46,45,IF($AR148&gt;=$AU45,44,IF($AR148&gt;=$AU44,43,IF($AR148&gt;=$AU43,42,IF($AR148&gt;=$AU42,41,IF($AR148&gt;=$AU41,40,IF($AR148&gt;=$AU40,39,IF($AR148&gt;=$AU39,38,IF($AR148&gt;=$AU38,37,IF($AR148&gt;=$AU37,36,IF($AR148&gt;=$AU36,35,IF($AR148&gt;=$AU35,34,IF($AR148&gt;=$AU34,33,IF($AR148&gt;=$AU33,32,IF($AR148&gt;=$AU32,31,IF($AR148&gt;=$AU31,30,IF($AR148&gt;=$AU30,29,IF($AR148&gt;=$AU29,28,IF($AR148&gt;=$AU28,27,IF($AR148&gt;=$AU27,26,IF($AR148&gt;=$AU26,25,IF($AR148&gt;=$AU25,24,IF($AR148&gt;=$AU24,23,IF($AR148&gt;=$AU23,22,IF($AR148&gt;=$AU22,21,IF($AR148&gt;=$AU21,20,IF($AR148&gt;=$AU20,19,IF($AR148&gt;=$AU19,18,IF($AR148&gt;=$AU18,17,IF($AR148&gt;=$AU17,16,IF($AR148&gt;=$AU16,15,IF($AR148&gt;=$AU15,14,IF($AR148&gt;=$AU14,13,IF($AR148&gt;=$AU13,12,IF($AR148&gt;=$AU12,11,IF($AR148&gt;=$AU11,10,IF($AR148&gt;=$AU10,9,IF($AR148&gt;=$AU9,8,IF($AR148&gt;=$AU8,7,IF($AR148&gt;=$AU7,6,IF($AR148&gt;=$AU6,5,IF($AR148&gt;=$AU5,4,IF($AR148&gt;=$AU4,3,IF($AR148&gt;=$AU3,2,IF($AR148&gt;=$AU2,1,0))))))))))))))))))))))))))))))))))))))))))))))))))</f>
        <v>0</v>
      </c>
    </row>
    <row r="150" spans="43:44" x14ac:dyDescent="0.25">
      <c r="AQ150" t="s">
        <v>236</v>
      </c>
      <c r="AR150">
        <f>AR149*VLOOKUP(AO8,tbStatus!A22:E33,5,FALSE)</f>
        <v>0</v>
      </c>
    </row>
    <row r="151" spans="43:44" x14ac:dyDescent="0.25">
      <c r="AQ151" t="s">
        <v>237</v>
      </c>
      <c r="AR151">
        <f>N8-AR150</f>
        <v>1408</v>
      </c>
    </row>
    <row r="152" spans="43:44" x14ac:dyDescent="0.25">
      <c r="AQ152" t="s">
        <v>238</v>
      </c>
      <c r="AR152">
        <f>IFERROR(AR151/BN14,0)</f>
        <v>0</v>
      </c>
    </row>
    <row r="153" spans="43:44" x14ac:dyDescent="0.25">
      <c r="AQ153" t="s">
        <v>239</v>
      </c>
      <c r="AR153">
        <f>AR152*AR147</f>
        <v>0</v>
      </c>
    </row>
    <row r="154" spans="43:44" x14ac:dyDescent="0.25">
      <c r="AQ154" t="s">
        <v>240</v>
      </c>
      <c r="AR154">
        <f>IF($AR153&gt;=$AU51,50,IF($AR153&gt;=$AU50,49,IF($AR153&gt;=$AU49,48,IF($AR153&gt;=$AU48,47,IF($AR153&gt;=$AU47,46,IF($AR153&gt;=$AU46,45,IF($AR153&gt;=$AU45,44,IF($AR153&gt;=$AU44,43,IF($AR153&gt;=$AU43,42,IF($AR153&gt;=$AU42,41,IF($AR153&gt;=$AU41,40,IF($AR153&gt;=$AU40,39,IF($AR153&gt;=$AU39,38,IF($AR153&gt;=$AU38,37,IF($AR153&gt;=$AU37,36,IF($AR153&gt;=$AU36,35,IF($AR153&gt;=$AU35,34,IF($AR153&gt;=$AU34,33,IF($AR153&gt;=$AU33,32,IF($AR153&gt;=$AU32,31,IF($AR153&gt;=$AU31,30,IF($AR153&gt;=$AU30,29,IF($AR153&gt;=$AU29,28,IF($AR153&gt;=$AU28,27,IF($AR153&gt;=$AU27,26,IF($AR153&gt;=$AU26,25,IF($AR153&gt;=$AU25,24,IF($AR153&gt;=$AU24,23,IF($AR153&gt;=$AU23,22,IF($AR153&gt;=$AU22,21,IF($AR153&gt;=$AU21,20,IF($AR153&gt;=$AU20,19,IF($AR153&gt;=$AU19,18,IF($AR153&gt;=$AU18,17,IF($AR153&gt;=$AU17,16,IF($AR153&gt;=$AU16,15,IF($AR153&gt;=$AU15,14,IF($AR153&gt;=$AU14,13,IF($AR153&gt;=$AU13,12,IF($AR153&gt;=$AU12,11,IF($AR153&gt;=$AU11,10,IF($AR153&gt;=$AU10,9,IF($AR153&gt;=$AU9,8,IF($AR153&gt;=$AU8,7,IF($AR153&gt;=$AU7,6,IF($AR153&gt;=$AU6,5,IF($AR153&gt;=$AU5,4,IF($AR153&gt;=$AU4,3,IF($AR153&gt;=$AU3,2,IF($AR153&gt;=$AU2,1,0))))))))))))))))))))))))))))))))))))))))))))))))))</f>
        <v>0</v>
      </c>
    </row>
    <row r="155" spans="43:44" x14ac:dyDescent="0.25">
      <c r="AQ155" t="s">
        <v>241</v>
      </c>
      <c r="AR155">
        <f>AR154*VLOOKUP(AO8,tbStatus!A22:E33,5,FALSE)</f>
        <v>0</v>
      </c>
    </row>
    <row r="156" spans="43:44" x14ac:dyDescent="0.25">
      <c r="AQ156" t="s">
        <v>242</v>
      </c>
      <c r="AR156">
        <f>ROUND((AR155/N8)*BN14,0)</f>
        <v>0</v>
      </c>
    </row>
    <row r="158" spans="43:44" x14ac:dyDescent="0.25">
      <c r="AQ158" t="s">
        <v>574</v>
      </c>
      <c r="AR158" t="str">
        <f>IFERROR(INDEX(tbHitzones!K:K,MATCH(ROWS(tbHitzones!$1:13),tbHitzones!K:K,0)),"")</f>
        <v/>
      </c>
    </row>
    <row r="159" spans="43:44" x14ac:dyDescent="0.25">
      <c r="AQ159" t="s">
        <v>234</v>
      </c>
      <c r="AR159">
        <f>IFERROR(N8/BN15,0)</f>
        <v>0</v>
      </c>
    </row>
    <row r="160" spans="43:44" x14ac:dyDescent="0.25">
      <c r="AQ160" t="s">
        <v>572</v>
      </c>
      <c r="AR160">
        <f>AO6*AO30</f>
        <v>0</v>
      </c>
    </row>
    <row r="161" spans="43:44" x14ac:dyDescent="0.25">
      <c r="AQ161" t="s">
        <v>190</v>
      </c>
      <c r="AR161">
        <f>AR159*AR160</f>
        <v>0</v>
      </c>
    </row>
    <row r="162" spans="43:44" x14ac:dyDescent="0.25">
      <c r="AQ162" t="s">
        <v>235</v>
      </c>
      <c r="AR162">
        <f>IF($AR161&gt;=$AU51,50,IF($AR161&gt;=$AU50,49,IF($AR161&gt;=$AU49,48,IF($AR161&gt;=$AU48,47,IF($AR161&gt;=$AU47,46,IF($AR161&gt;=$AU46,45,IF($AR161&gt;=$AU45,44,IF($AR161&gt;=$AU44,43,IF($AR161&gt;=$AU43,42,IF($AR161&gt;=$AU42,41,IF($AR161&gt;=$AU41,40,IF($AR161&gt;=$AU40,39,IF($AR161&gt;=$AU39,38,IF($AR161&gt;=$AU38,37,IF($AR161&gt;=$AU37,36,IF($AR161&gt;=$AU36,35,IF($AR161&gt;=$AU35,34,IF($AR161&gt;=$AU34,33,IF($AR161&gt;=$AU33,32,IF($AR161&gt;=$AU32,31,IF($AR161&gt;=$AU31,30,IF($AR161&gt;=$AU30,29,IF($AR161&gt;=$AU29,28,IF($AR161&gt;=$AU28,27,IF($AR161&gt;=$AU27,26,IF($AR161&gt;=$AU26,25,IF($AR161&gt;=$AU25,24,IF($AR161&gt;=$AU24,23,IF($AR161&gt;=$AU23,22,IF($AR161&gt;=$AU22,21,IF($AR161&gt;=$AU21,20,IF($AR161&gt;=$AU20,19,IF($AR161&gt;=$AU19,18,IF($AR161&gt;=$AU18,17,IF($AR161&gt;=$AU17,16,IF($AR161&gt;=$AU16,15,IF($AR161&gt;=$AU15,14,IF($AR161&gt;=$AU14,13,IF($AR161&gt;=$AU13,12,IF($AR161&gt;=$AU12,11,IF($AR161&gt;=$AU11,10,IF($AR161&gt;=$AU10,9,IF($AR161&gt;=$AU9,8,IF($AR161&gt;=$AU8,7,IF($AR161&gt;=$AU7,6,IF($AR161&gt;=$AU6,5,IF($AR161&gt;=$AU5,4,IF($AR161&gt;=$AU4,3,IF($AR161&gt;=$AU3,2,IF($AR161&gt;=$AU2,1,0))))))))))))))))))))))))))))))))))))))))))))))))))</f>
        <v>0</v>
      </c>
    </row>
    <row r="163" spans="43:44" x14ac:dyDescent="0.25">
      <c r="AQ163" t="s">
        <v>236</v>
      </c>
      <c r="AR163">
        <f>AR162*VLOOKUP(AO8,tbStatus!A22:E33,5,FALSE)</f>
        <v>0</v>
      </c>
    </row>
    <row r="164" spans="43:44" x14ac:dyDescent="0.25">
      <c r="AQ164" t="s">
        <v>237</v>
      </c>
      <c r="AR164">
        <f>N8-AR163</f>
        <v>1408</v>
      </c>
    </row>
    <row r="165" spans="43:44" x14ac:dyDescent="0.25">
      <c r="AQ165" t="s">
        <v>238</v>
      </c>
      <c r="AR165">
        <f>IFERROR(AR164/BN15,0)</f>
        <v>0</v>
      </c>
    </row>
    <row r="166" spans="43:44" x14ac:dyDescent="0.25">
      <c r="AQ166" t="s">
        <v>239</v>
      </c>
      <c r="AR166">
        <f>AR165*AR160</f>
        <v>0</v>
      </c>
    </row>
    <row r="167" spans="43:44" x14ac:dyDescent="0.25">
      <c r="AQ167" t="s">
        <v>240</v>
      </c>
      <c r="AR167">
        <f>IF($AR166&gt;=$AU51,50,IF($AR166&gt;=$AU50,49,IF($AR166&gt;=$AU49,48,IF($AR166&gt;=$AU48,47,IF($AR166&gt;=$AU47,46,IF($AR166&gt;=$AU46,45,IF($AR166&gt;=$AU45,44,IF($AR166&gt;=$AU44,43,IF($AR166&gt;=$AU43,42,IF($AR166&gt;=$AU42,41,IF($AR166&gt;=$AU41,40,IF($AR166&gt;=$AU40,39,IF($AR166&gt;=$AU39,38,IF($AR166&gt;=$AU38,37,IF($AR166&gt;=$AU37,36,IF($AR166&gt;=$AU36,35,IF($AR166&gt;=$AU35,34,IF($AR166&gt;=$AU34,33,IF($AR166&gt;=$AU33,32,IF($AR166&gt;=$AU32,31,IF($AR166&gt;=$AU31,30,IF($AR166&gt;=$AU30,29,IF($AR166&gt;=$AU29,28,IF($AR166&gt;=$AU28,27,IF($AR166&gt;=$AU27,26,IF($AR166&gt;=$AU26,25,IF($AR166&gt;=$AU25,24,IF($AR166&gt;=$AU24,23,IF($AR166&gt;=$AU23,22,IF($AR166&gt;=$AU22,21,IF($AR166&gt;=$AU21,20,IF($AR166&gt;=$AU20,19,IF($AR166&gt;=$AU19,18,IF($AR166&gt;=$AU18,17,IF($AR166&gt;=$AU17,16,IF($AR166&gt;=$AU16,15,IF($AR166&gt;=$AU15,14,IF($AR166&gt;=$AU14,13,IF($AR166&gt;=$AU13,12,IF($AR166&gt;=$AU12,11,IF($AR166&gt;=$AU11,10,IF($AR166&gt;=$AU10,9,IF($AR166&gt;=$AU9,8,IF($AR166&gt;=$AU8,7,IF($AR166&gt;=$AU7,6,IF($AR166&gt;=$AU6,5,IF($AR166&gt;=$AU5,4,IF($AR166&gt;=$AU4,3,IF($AR166&gt;=$AU3,2,IF($AR166&gt;=$AU2,1,0))))))))))))))))))))))))))))))))))))))))))))))))))</f>
        <v>0</v>
      </c>
    </row>
    <row r="168" spans="43:44" x14ac:dyDescent="0.25">
      <c r="AQ168" t="s">
        <v>241</v>
      </c>
      <c r="AR168">
        <f>AR167*VLOOKUP(AO8,tbStatus!A22:E33,5,FALSE)</f>
        <v>0</v>
      </c>
    </row>
    <row r="169" spans="43:44" x14ac:dyDescent="0.25">
      <c r="AQ169" t="s">
        <v>242</v>
      </c>
      <c r="AR169">
        <f>ROUND((AR168/N8)*BN15,0)</f>
        <v>0</v>
      </c>
    </row>
    <row r="171" spans="43:44" x14ac:dyDescent="0.25">
      <c r="AQ171" t="s">
        <v>574</v>
      </c>
      <c r="AR171" t="str">
        <f>IFERROR(INDEX(tbHitzones!K:K,MATCH(ROWS(tbHitzones!$1:14),tbHitzones!K:K,0)),"")</f>
        <v/>
      </c>
    </row>
    <row r="172" spans="43:44" x14ac:dyDescent="0.25">
      <c r="AQ172" t="s">
        <v>234</v>
      </c>
      <c r="AR172">
        <f>IFERROR(N8/BN16,0)</f>
        <v>0</v>
      </c>
    </row>
    <row r="173" spans="43:44" x14ac:dyDescent="0.25">
      <c r="AQ173" t="s">
        <v>572</v>
      </c>
      <c r="AR173">
        <f>AO6*AO31</f>
        <v>0</v>
      </c>
    </row>
    <row r="174" spans="43:44" x14ac:dyDescent="0.25">
      <c r="AQ174" t="s">
        <v>190</v>
      </c>
      <c r="AR174">
        <f>AR172*AR173</f>
        <v>0</v>
      </c>
    </row>
    <row r="175" spans="43:44" x14ac:dyDescent="0.25">
      <c r="AQ175" t="s">
        <v>235</v>
      </c>
      <c r="AR175">
        <f>IF($AR174&gt;=$AU51,50,IF($AR174&gt;=$AU50,49,IF($AR174&gt;=$AU49,48,IF($AR174&gt;=$AU48,47,IF($AR174&gt;=$AU47,46,IF($AR174&gt;=$AU46,45,IF($AR174&gt;=$AU45,44,IF($AR174&gt;=$AU44,43,IF($AR174&gt;=$AU43,42,IF($AR174&gt;=$AU42,41,IF($AR174&gt;=$AU41,40,IF($AR174&gt;=$AU40,39,IF($AR174&gt;=$AU39,38,IF($AR174&gt;=$AU38,37,IF($AR174&gt;=$AU37,36,IF($AR174&gt;=$AU36,35,IF($AR174&gt;=$AU35,34,IF($AR174&gt;=$AU34,33,IF($AR174&gt;=$AU33,32,IF($AR174&gt;=$AU32,31,IF($AR174&gt;=$AU31,30,IF($AR174&gt;=$AU30,29,IF($AR174&gt;=$AU29,28,IF($AR174&gt;=$AU28,27,IF($AR174&gt;=$AU27,26,IF($AR174&gt;=$AU26,25,IF($AR174&gt;=$AU25,24,IF($AR174&gt;=$AU24,23,IF($AR174&gt;=$AU23,22,IF($AR174&gt;=$AU22,21,IF($AR174&gt;=$AU21,20,IF($AR174&gt;=$AU20,19,IF($AR174&gt;=$AU19,18,IF($AR174&gt;=$AU18,17,IF($AR174&gt;=$AU17,16,IF($AR174&gt;=$AU16,15,IF($AR174&gt;=$AU15,14,IF($AR174&gt;=$AU14,13,IF($AR174&gt;=$AU13,12,IF($AR174&gt;=$AU12,11,IF($AR174&gt;=$AU11,10,IF($AR174&gt;=$AU10,9,IF($AR174&gt;=$AU9,8,IF($AR174&gt;=$AU8,7,IF($AR174&gt;=$AU7,6,IF($AR174&gt;=$AU6,5,IF($AR174&gt;=$AU5,4,IF($AR174&gt;=$AU4,3,IF($AR174&gt;=$AU3,2,IF($AR174&gt;=$AU2,1,0))))))))))))))))))))))))))))))))))))))))))))))))))</f>
        <v>0</v>
      </c>
    </row>
    <row r="176" spans="43:44" x14ac:dyDescent="0.25">
      <c r="AQ176" t="s">
        <v>236</v>
      </c>
      <c r="AR176">
        <f>AR175*VLOOKUP(AO8,tbStatus!A22:E33,5,FALSE)</f>
        <v>0</v>
      </c>
    </row>
    <row r="177" spans="43:44" x14ac:dyDescent="0.25">
      <c r="AQ177" t="s">
        <v>237</v>
      </c>
      <c r="AR177">
        <f>N8-AR176</f>
        <v>1408</v>
      </c>
    </row>
    <row r="178" spans="43:44" x14ac:dyDescent="0.25">
      <c r="AQ178" t="s">
        <v>238</v>
      </c>
      <c r="AR178">
        <f>IFERROR(AR177/BN16,0)</f>
        <v>0</v>
      </c>
    </row>
    <row r="179" spans="43:44" x14ac:dyDescent="0.25">
      <c r="AQ179" t="s">
        <v>239</v>
      </c>
      <c r="AR179">
        <f>AR178*AR173</f>
        <v>0</v>
      </c>
    </row>
    <row r="180" spans="43:44" x14ac:dyDescent="0.25">
      <c r="AQ180" t="s">
        <v>240</v>
      </c>
      <c r="AR180">
        <f>IF($AR179&gt;=$AU51,50,IF($AR179&gt;=$AU50,49,IF($AR179&gt;=$AU49,48,IF($AR179&gt;=$AU48,47,IF($AR179&gt;=$AU47,46,IF($AR179&gt;=$AU46,45,IF($AR179&gt;=$AU45,44,IF($AR179&gt;=$AU44,43,IF($AR179&gt;=$AU43,42,IF($AR179&gt;=$AU42,41,IF($AR179&gt;=$AU41,40,IF($AR179&gt;=$AU40,39,IF($AR179&gt;=$AU39,38,IF($AR179&gt;=$AU38,37,IF($AR179&gt;=$AU37,36,IF($AR179&gt;=$AU36,35,IF($AR179&gt;=$AU35,34,IF($AR179&gt;=$AU34,33,IF($AR179&gt;=$AU33,32,IF($AR179&gt;=$AU32,31,IF($AR179&gt;=$AU31,30,IF($AR179&gt;=$AU30,29,IF($AR179&gt;=$AU29,28,IF($AR179&gt;=$AU28,27,IF($AR179&gt;=$AU27,26,IF($AR179&gt;=$AU26,25,IF($AR179&gt;=$AU25,24,IF($AR179&gt;=$AU24,23,IF($AR179&gt;=$AU23,22,IF($AR179&gt;=$AU22,21,IF($AR179&gt;=$AU21,20,IF($AR179&gt;=$AU20,19,IF($AR179&gt;=$AU19,18,IF($AR179&gt;=$AU18,17,IF($AR179&gt;=$AU17,16,IF($AR179&gt;=$AU16,15,IF($AR179&gt;=$AU15,14,IF($AR179&gt;=$AU14,13,IF($AR179&gt;=$AU13,12,IF($AR179&gt;=$AU12,11,IF($AR179&gt;=$AU11,10,IF($AR179&gt;=$AU10,9,IF($AR179&gt;=$AU9,8,IF($AR179&gt;=$AU8,7,IF($AR179&gt;=$AU7,6,IF($AR179&gt;=$AU6,5,IF($AR179&gt;=$AU5,4,IF($AR179&gt;=$AU4,3,IF($AR179&gt;=$AU3,2,IF($AR179&gt;=$AU2,1,0))))))))))))))))))))))))))))))))))))))))))))))))))</f>
        <v>0</v>
      </c>
    </row>
    <row r="181" spans="43:44" x14ac:dyDescent="0.25">
      <c r="AQ181" t="s">
        <v>241</v>
      </c>
      <c r="AR181">
        <f>AR180*VLOOKUP(AO8,tbStatus!A22:E33,5,FALSE)</f>
        <v>0</v>
      </c>
    </row>
    <row r="182" spans="43:44" x14ac:dyDescent="0.25">
      <c r="AQ182" t="s">
        <v>242</v>
      </c>
      <c r="AR182">
        <f>ROUND((AR181/N8)*BN16,0)</f>
        <v>0</v>
      </c>
    </row>
    <row r="184" spans="43:44" x14ac:dyDescent="0.25">
      <c r="AQ184" t="s">
        <v>574</v>
      </c>
      <c r="AR184" t="str">
        <f>IFERROR(INDEX(tbHitzones!K:K,MATCH(ROWS(tbHitzones!$1:15),tbHitzones!K:K,0)),"")</f>
        <v/>
      </c>
    </row>
    <row r="185" spans="43:44" x14ac:dyDescent="0.25">
      <c r="AQ185" t="s">
        <v>234</v>
      </c>
      <c r="AR185">
        <f>IFERROR(N8/BN17,0)</f>
        <v>0</v>
      </c>
    </row>
    <row r="186" spans="43:44" x14ac:dyDescent="0.25">
      <c r="AQ186" t="s">
        <v>572</v>
      </c>
      <c r="AR186">
        <f>AO6*AO32</f>
        <v>0</v>
      </c>
    </row>
    <row r="187" spans="43:44" x14ac:dyDescent="0.25">
      <c r="AQ187" t="s">
        <v>190</v>
      </c>
      <c r="AR187">
        <f>AR185*AR186</f>
        <v>0</v>
      </c>
    </row>
    <row r="188" spans="43:44" x14ac:dyDescent="0.25">
      <c r="AQ188" t="s">
        <v>235</v>
      </c>
      <c r="AR188">
        <f>IF($AR187&gt;=$AU51,50,IF($AR187&gt;=$AU50,49,IF($AR187&gt;=$AU49,48,IF($AR187&gt;=$AU48,47,IF($AR187&gt;=$AU47,46,IF($AR187&gt;=$AU46,45,IF($AR187&gt;=$AU45,44,IF($AR187&gt;=$AU44,43,IF($AR187&gt;=$AU43,42,IF($AR187&gt;=$AU42,41,IF($AR187&gt;=$AU41,40,IF($AR187&gt;=$AU40,39,IF($AR187&gt;=$AU39,38,IF($AR187&gt;=$AU38,37,IF($AR187&gt;=$AU37,36,IF($AR187&gt;=$AU36,35,IF($AR187&gt;=$AU35,34,IF($AR187&gt;=$AU34,33,IF($AR187&gt;=$AU33,32,IF($AR187&gt;=$AU32,31,IF($AR187&gt;=$AU31,30,IF($AR187&gt;=$AU30,29,IF($AR187&gt;=$AU29,28,IF($AR187&gt;=$AU28,27,IF($AR187&gt;=$AU27,26,IF($AR187&gt;=$AU26,25,IF($AR187&gt;=$AU25,24,IF($AR187&gt;=$AU24,23,IF($AR187&gt;=$AU23,22,IF($AR187&gt;=$AU22,21,IF($AR187&gt;=$AU21,20,IF($AR187&gt;=$AU20,19,IF($AR187&gt;=$AU19,18,IF($AR187&gt;=$AU18,17,IF($AR187&gt;=$AU17,16,IF($AR187&gt;=$AU16,15,IF($AR187&gt;=$AU15,14,IF($AR187&gt;=$AU14,13,IF($AR187&gt;=$AU13,12,IF($AR187&gt;=$AU12,11,IF($AR187&gt;=$AU11,10,IF($AR187&gt;=$AU10,9,IF($AR187&gt;=$AU9,8,IF($AR187&gt;=$AU8,7,IF($AR187&gt;=$AU7,6,IF($AR187&gt;=$AU6,5,IF($AR187&gt;=$AU5,4,IF($AR187&gt;=$AU4,3,IF($AR187&gt;=$AU3,2,IF($AR187&gt;=$AU2,1,0))))))))))))))))))))))))))))))))))))))))))))))))))</f>
        <v>0</v>
      </c>
    </row>
    <row r="189" spans="43:44" x14ac:dyDescent="0.25">
      <c r="AQ189" t="s">
        <v>236</v>
      </c>
      <c r="AR189">
        <f>AR188*VLOOKUP(AO8,tbStatus!A22:E33,5,FALSE)</f>
        <v>0</v>
      </c>
    </row>
    <row r="190" spans="43:44" x14ac:dyDescent="0.25">
      <c r="AQ190" t="s">
        <v>237</v>
      </c>
      <c r="AR190">
        <f>N8-AR189</f>
        <v>1408</v>
      </c>
    </row>
    <row r="191" spans="43:44" x14ac:dyDescent="0.25">
      <c r="AQ191" t="s">
        <v>238</v>
      </c>
      <c r="AR191">
        <f>IFERROR(AR190/BN17,0)</f>
        <v>0</v>
      </c>
    </row>
    <row r="192" spans="43:44" x14ac:dyDescent="0.25">
      <c r="AQ192" t="s">
        <v>239</v>
      </c>
      <c r="AR192">
        <f>AR191*AR186</f>
        <v>0</v>
      </c>
    </row>
    <row r="193" spans="43:44" x14ac:dyDescent="0.25">
      <c r="AQ193" t="s">
        <v>240</v>
      </c>
      <c r="AR193">
        <f>IF($AR192&gt;=$AU51,50,IF($AR192&gt;=$AU50,49,IF($AR192&gt;=$AU49,48,IF($AR192&gt;=$AU48,47,IF($AR192&gt;=$AU47,46,IF($AR192&gt;=$AU46,45,IF($AR192&gt;=$AU45,44,IF($AR192&gt;=$AU44,43,IF($AR192&gt;=$AU43,42,IF($AR192&gt;=$AU42,41,IF($AR192&gt;=$AU41,40,IF($AR192&gt;=$AU40,39,IF($AR192&gt;=$AU39,38,IF($AR192&gt;=$AU38,37,IF($AR192&gt;=$AU37,36,IF($AR192&gt;=$AU36,35,IF($AR192&gt;=$AU35,34,IF($AR192&gt;=$AU34,33,IF($AR192&gt;=$AU33,32,IF($AR192&gt;=$AU32,31,IF($AR192&gt;=$AU31,30,IF($AR192&gt;=$AU30,29,IF($AR192&gt;=$AU29,28,IF($AR192&gt;=$AU28,27,IF($AR192&gt;=$AU27,26,IF($AR192&gt;=$AU26,25,IF($AR192&gt;=$AU25,24,IF($AR192&gt;=$AU24,23,IF($AR192&gt;=$AU23,22,IF($AR192&gt;=$AU22,21,IF($AR192&gt;=$AU21,20,IF($AR192&gt;=$AU20,19,IF($AR192&gt;=$AU19,18,IF($AR192&gt;=$AU18,17,IF($AR192&gt;=$AU17,16,IF($AR192&gt;=$AU16,15,IF($AR192&gt;=$AU15,14,IF($AR192&gt;=$AU14,13,IF($AR192&gt;=$AU13,12,IF($AR192&gt;=$AU12,11,IF($AR192&gt;=$AU11,10,IF($AR192&gt;=$AU10,9,IF($AR192&gt;=$AU9,8,IF($AR192&gt;=$AU8,7,IF($AR192&gt;=$AU7,6,IF($AR192&gt;=$AU6,5,IF($AR192&gt;=$AU5,4,IF($AR192&gt;=$AU4,3,IF($AR192&gt;=$AU3,2,IF($AR192&gt;=$AU2,1,0))))))))))))))))))))))))))))))))))))))))))))))))))</f>
        <v>0</v>
      </c>
    </row>
    <row r="194" spans="43:44" x14ac:dyDescent="0.25">
      <c r="AQ194" t="s">
        <v>241</v>
      </c>
      <c r="AR194">
        <f>AR193*VLOOKUP(AO8,tbStatus!A22:E33,5,FALSE)</f>
        <v>0</v>
      </c>
    </row>
    <row r="195" spans="43:44" x14ac:dyDescent="0.25">
      <c r="AQ195" t="s">
        <v>242</v>
      </c>
      <c r="AR195">
        <f>ROUND((AR194/N8)*BN17,0)</f>
        <v>0</v>
      </c>
    </row>
    <row r="197" spans="43:44" x14ac:dyDescent="0.25">
      <c r="AQ197" t="s">
        <v>574</v>
      </c>
      <c r="AR197" t="str">
        <f>IFERROR(INDEX(tbHitzones!K:K,MATCH(ROWS(tbHitzones!$1:16),tbHitzones!K:K,0)),"")</f>
        <v/>
      </c>
    </row>
    <row r="198" spans="43:44" x14ac:dyDescent="0.25">
      <c r="AQ198" t="s">
        <v>234</v>
      </c>
      <c r="AR198">
        <f>IFERROR(N8/BN18,0)</f>
        <v>0</v>
      </c>
    </row>
    <row r="199" spans="43:44" x14ac:dyDescent="0.25">
      <c r="AQ199" t="s">
        <v>572</v>
      </c>
      <c r="AR199">
        <f>AO6*AO33</f>
        <v>0</v>
      </c>
    </row>
    <row r="200" spans="43:44" x14ac:dyDescent="0.25">
      <c r="AQ200" t="s">
        <v>190</v>
      </c>
      <c r="AR200">
        <f>AR198*AR199</f>
        <v>0</v>
      </c>
    </row>
    <row r="201" spans="43:44" x14ac:dyDescent="0.25">
      <c r="AQ201" t="s">
        <v>235</v>
      </c>
      <c r="AR201">
        <f>IF($AR200&gt;=$AU51,50,IF($AR200&gt;=$AU50,49,IF($AR200&gt;=$AU49,48,IF($AR200&gt;=$AU48,47,IF($AR200&gt;=$AU47,46,IF($AR200&gt;=$AU46,45,IF($AR200&gt;=$AU45,44,IF($AR200&gt;=$AU44,43,IF($AR200&gt;=$AU43,42,IF($AR200&gt;=$AU42,41,IF($AR200&gt;=$AU41,40,IF($AR200&gt;=$AU40,39,IF($AR200&gt;=$AU39,38,IF($AR200&gt;=$AU38,37,IF($AR200&gt;=$AU37,36,IF($AR200&gt;=$AU36,35,IF($AR200&gt;=$AU35,34,IF($AR200&gt;=$AU34,33,IF($AR200&gt;=$AU33,32,IF($AR200&gt;=$AU32,31,IF($AR200&gt;=$AU31,30,IF($AR200&gt;=$AU30,29,IF($AR200&gt;=$AU29,28,IF($AR200&gt;=$AU28,27,IF($AR200&gt;=$AU27,26,IF($AR200&gt;=$AU26,25,IF($AR200&gt;=$AU25,24,IF($AR200&gt;=$AU24,23,IF($AR200&gt;=$AU23,22,IF($AR200&gt;=$AU22,21,IF($AR200&gt;=$AU21,20,IF($AR200&gt;=$AU20,19,IF($AR200&gt;=$AU19,18,IF($AR200&gt;=$AU18,17,IF($AR200&gt;=$AU17,16,IF($AR200&gt;=$AU16,15,IF($AR200&gt;=$AU15,14,IF($AR200&gt;=$AU14,13,IF($AR200&gt;=$AU13,12,IF($AR200&gt;=$AU12,11,IF($AR200&gt;=$AU11,10,IF($AR200&gt;=$AU10,9,IF($AR200&gt;=$AU9,8,IF($AR200&gt;=$AU8,7,IF($AR200&gt;=$AU7,6,IF($AR200&gt;=$AU6,5,IF($AR200&gt;=$AU5,4,IF($AR200&gt;=$AU4,3,IF($AR200&gt;=$AU3,2,IF($AR200&gt;=$AU2,1,0))))))))))))))))))))))))))))))))))))))))))))))))))</f>
        <v>0</v>
      </c>
    </row>
    <row r="202" spans="43:44" x14ac:dyDescent="0.25">
      <c r="AQ202" t="s">
        <v>236</v>
      </c>
      <c r="AR202">
        <f>AR201*VLOOKUP(AO8,tbStatus!A22:E33,5,FALSE)</f>
        <v>0</v>
      </c>
    </row>
    <row r="203" spans="43:44" x14ac:dyDescent="0.25">
      <c r="AQ203" t="s">
        <v>237</v>
      </c>
      <c r="AR203">
        <f>N8-AR202</f>
        <v>1408</v>
      </c>
    </row>
    <row r="204" spans="43:44" x14ac:dyDescent="0.25">
      <c r="AQ204" t="s">
        <v>238</v>
      </c>
      <c r="AR204">
        <f>IFERROR(AR203/BN18,0)</f>
        <v>0</v>
      </c>
    </row>
    <row r="205" spans="43:44" x14ac:dyDescent="0.25">
      <c r="AQ205" t="s">
        <v>239</v>
      </c>
      <c r="AR205">
        <f>AR204*AR199</f>
        <v>0</v>
      </c>
    </row>
    <row r="206" spans="43:44" x14ac:dyDescent="0.25">
      <c r="AQ206" t="s">
        <v>240</v>
      </c>
      <c r="AR206">
        <f>IF($AR205&gt;=$AU51,50,IF($AR205&gt;=$AU50,49,IF($AR205&gt;=$AU49,48,IF($AR205&gt;=$AU48,47,IF($AR205&gt;=$AU47,46,IF($AR205&gt;=$AU46,45,IF($AR205&gt;=$AU45,44,IF($AR205&gt;=$AU44,43,IF($AR205&gt;=$AU43,42,IF($AR205&gt;=$AU42,41,IF($AR205&gt;=$AU41,40,IF($AR205&gt;=$AU40,39,IF($AR205&gt;=$AU39,38,IF($AR205&gt;=$AU38,37,IF($AR205&gt;=$AU37,36,IF($AR205&gt;=$AU36,35,IF($AR205&gt;=$AU35,34,IF($AR205&gt;=$AU34,33,IF($AR205&gt;=$AU33,32,IF($AR205&gt;=$AU32,31,IF($AR205&gt;=$AU31,30,IF($AR205&gt;=$AU30,29,IF($AR205&gt;=$AU29,28,IF($AR205&gt;=$AU28,27,IF($AR205&gt;=$AU27,26,IF($AR205&gt;=$AU26,25,IF($AR205&gt;=$AU25,24,IF($AR205&gt;=$AU24,23,IF($AR205&gt;=$AU23,22,IF($AR205&gt;=$AU22,21,IF($AR205&gt;=$AU21,20,IF($AR205&gt;=$AU20,19,IF($AR205&gt;=$AU19,18,IF($AR205&gt;=$AU18,17,IF($AR205&gt;=$AU17,16,IF($AR205&gt;=$AU16,15,IF($AR205&gt;=$AU15,14,IF($AR205&gt;=$AU14,13,IF($AR205&gt;=$AU13,12,IF($AR205&gt;=$AU12,11,IF($AR205&gt;=$AU11,10,IF($AR205&gt;=$AU10,9,IF($AR205&gt;=$AU9,8,IF($AR205&gt;=$AU8,7,IF($AR205&gt;=$AU7,6,IF($AR205&gt;=$AU6,5,IF($AR205&gt;=$AU5,4,IF($AR205&gt;=$AU4,3,IF($AR205&gt;=$AU3,2,IF($AR205&gt;=$AU2,1,0))))))))))))))))))))))))))))))))))))))))))))))))))</f>
        <v>0</v>
      </c>
    </row>
    <row r="207" spans="43:44" x14ac:dyDescent="0.25">
      <c r="AQ207" t="s">
        <v>241</v>
      </c>
      <c r="AR207">
        <f>AR206*VLOOKUP(AO8,tbStatus!A22:E33,5,FALSE)</f>
        <v>0</v>
      </c>
    </row>
    <row r="208" spans="43:44" x14ac:dyDescent="0.25">
      <c r="AQ208" t="s">
        <v>242</v>
      </c>
      <c r="AR208">
        <f>ROUND((AR207/N8)*BN18,0)</f>
        <v>0</v>
      </c>
    </row>
    <row r="210" spans="43:44" x14ac:dyDescent="0.25">
      <c r="AQ210" t="s">
        <v>574</v>
      </c>
      <c r="AR210" t="str">
        <f>IFERROR(INDEX(tbHitzones!K:K,MATCH(ROWS(tbHitzones!$1:17),tbHitzones!K:K,0)),"")</f>
        <v/>
      </c>
    </row>
    <row r="211" spans="43:44" x14ac:dyDescent="0.25">
      <c r="AQ211" t="s">
        <v>234</v>
      </c>
      <c r="AR211">
        <f>IFERROR(N8/BN19,0)</f>
        <v>0</v>
      </c>
    </row>
    <row r="212" spans="43:44" x14ac:dyDescent="0.25">
      <c r="AQ212" t="s">
        <v>572</v>
      </c>
      <c r="AR212">
        <f>AO6*AO34</f>
        <v>0</v>
      </c>
    </row>
    <row r="213" spans="43:44" x14ac:dyDescent="0.25">
      <c r="AQ213" t="s">
        <v>190</v>
      </c>
      <c r="AR213">
        <f>AR211*AR212</f>
        <v>0</v>
      </c>
    </row>
    <row r="214" spans="43:44" x14ac:dyDescent="0.25">
      <c r="AQ214" t="s">
        <v>235</v>
      </c>
      <c r="AR214">
        <f>IF($AR213&gt;=$AU51,50,IF($AR213&gt;=$AU50,49,IF($AR213&gt;=$AU49,48,IF($AR213&gt;=$AU48,47,IF($AR213&gt;=$AU47,46,IF($AR213&gt;=$AU46,45,IF($AR213&gt;=$AU45,44,IF($AR213&gt;=$AU44,43,IF($AR213&gt;=$AU43,42,IF($AR213&gt;=$AU42,41,IF($AR213&gt;=$AU41,40,IF($AR213&gt;=$AU40,39,IF($AR213&gt;=$AU39,38,IF($AR213&gt;=$AU38,37,IF($AR213&gt;=$AU37,36,IF($AR213&gt;=$AU36,35,IF($AR213&gt;=$AU35,34,IF($AR213&gt;=$AU34,33,IF($AR213&gt;=$AU33,32,IF($AR213&gt;=$AU32,31,IF($AR213&gt;=$AU31,30,IF($AR213&gt;=$AU30,29,IF($AR213&gt;=$AU29,28,IF($AR213&gt;=$AU28,27,IF($AR213&gt;=$AU27,26,IF($AR213&gt;=$AU26,25,IF($AR213&gt;=$AU25,24,IF($AR213&gt;=$AU24,23,IF($AR213&gt;=$AU23,22,IF($AR213&gt;=$AU22,21,IF($AR213&gt;=$AU21,20,IF($AR213&gt;=$AU20,19,IF($AR213&gt;=$AU19,18,IF($AR213&gt;=$AU18,17,IF($AR213&gt;=$AU17,16,IF($AR213&gt;=$AU16,15,IF($AR213&gt;=$AU15,14,IF($AR213&gt;=$AU14,13,IF($AR213&gt;=$AU13,12,IF($AR213&gt;=$AU12,11,IF($AR213&gt;=$AU11,10,IF($AR213&gt;=$AU10,9,IF($AR213&gt;=$AU9,8,IF($AR213&gt;=$AU8,7,IF($AR213&gt;=$AU7,6,IF($AR213&gt;=$AU6,5,IF($AR213&gt;=$AU5,4,IF($AR213&gt;=$AU4,3,IF($AR213&gt;=$AU3,2,IF($AR213&gt;=$AU2,1,0))))))))))))))))))))))))))))))))))))))))))))))))))</f>
        <v>0</v>
      </c>
    </row>
    <row r="215" spans="43:44" x14ac:dyDescent="0.25">
      <c r="AQ215" t="s">
        <v>236</v>
      </c>
      <c r="AR215">
        <f>AR214*VLOOKUP(AO8,tbStatus!A22:E33,5,FALSE)</f>
        <v>0</v>
      </c>
    </row>
    <row r="216" spans="43:44" x14ac:dyDescent="0.25">
      <c r="AQ216" t="s">
        <v>237</v>
      </c>
      <c r="AR216">
        <f>N8-AR215</f>
        <v>1408</v>
      </c>
    </row>
    <row r="217" spans="43:44" x14ac:dyDescent="0.25">
      <c r="AQ217" t="s">
        <v>238</v>
      </c>
      <c r="AR217">
        <f>IFERROR(AR216/BN19,0)</f>
        <v>0</v>
      </c>
    </row>
    <row r="218" spans="43:44" x14ac:dyDescent="0.25">
      <c r="AQ218" t="s">
        <v>239</v>
      </c>
      <c r="AR218">
        <f>AR217*AR212</f>
        <v>0</v>
      </c>
    </row>
    <row r="219" spans="43:44" x14ac:dyDescent="0.25">
      <c r="AQ219" t="s">
        <v>240</v>
      </c>
      <c r="AR219">
        <f>IF($AR218&gt;=$AU51,50,IF($AR218&gt;=$AU50,49,IF($AR218&gt;=$AU49,48,IF($AR218&gt;=$AU48,47,IF($AR218&gt;=$AU47,46,IF($AR218&gt;=$AU46,45,IF($AR218&gt;=$AU45,44,IF($AR218&gt;=$AU44,43,IF($AR218&gt;=$AU43,42,IF($AR218&gt;=$AU42,41,IF($AR218&gt;=$AU41,40,IF($AR218&gt;=$AU40,39,IF($AR218&gt;=$AU39,38,IF($AR218&gt;=$AU38,37,IF($AR218&gt;=$AU37,36,IF($AR218&gt;=$AU36,35,IF($AR218&gt;=$AU35,34,IF($AR218&gt;=$AU34,33,IF($AR218&gt;=$AU33,32,IF($AR218&gt;=$AU32,31,IF($AR218&gt;=$AU31,30,IF($AR218&gt;=$AU30,29,IF($AR218&gt;=$AU29,28,IF($AR218&gt;=$AU28,27,IF($AR218&gt;=$AU27,26,IF($AR218&gt;=$AU26,25,IF($AR218&gt;=$AU25,24,IF($AR218&gt;=$AU24,23,IF($AR218&gt;=$AU23,22,IF($AR218&gt;=$AU22,21,IF($AR218&gt;=$AU21,20,IF($AR218&gt;=$AU20,19,IF($AR218&gt;=$AU19,18,IF($AR218&gt;=$AU18,17,IF($AR218&gt;=$AU17,16,IF($AR218&gt;=$AU16,15,IF($AR218&gt;=$AU15,14,IF($AR218&gt;=$AU14,13,IF($AR218&gt;=$AU13,12,IF($AR218&gt;=$AU12,11,IF($AR218&gt;=$AU11,10,IF($AR218&gt;=$AU10,9,IF($AR218&gt;=$AU9,8,IF($AR218&gt;=$AU8,7,IF($AR218&gt;=$AU7,6,IF($AR218&gt;=$AU6,5,IF($AR218&gt;=$AU5,4,IF($AR218&gt;=$AU4,3,IF($AR218&gt;=$AU3,2,IF($AR218&gt;=$AU2,1,0))))))))))))))))))))))))))))))))))))))))))))))))))</f>
        <v>0</v>
      </c>
    </row>
    <row r="220" spans="43:44" x14ac:dyDescent="0.25">
      <c r="AQ220" t="s">
        <v>241</v>
      </c>
      <c r="AR220">
        <f>AR219*VLOOKUP(AO8,tbStatus!A22:E33,5,FALSE)</f>
        <v>0</v>
      </c>
    </row>
    <row r="221" spans="43:44" x14ac:dyDescent="0.25">
      <c r="AQ221" t="s">
        <v>242</v>
      </c>
      <c r="AR221">
        <f>ROUND((AR220/N8)*BN19,0)</f>
        <v>0</v>
      </c>
    </row>
    <row r="223" spans="43:44" x14ac:dyDescent="0.25">
      <c r="AQ223" t="s">
        <v>574</v>
      </c>
      <c r="AR223" t="str">
        <f>IFERROR(INDEX(tbHitzones!K:K,MATCH(ROWS(tbHitzones!$1:18),tbHitzones!K:K,0)),"")</f>
        <v/>
      </c>
    </row>
    <row r="224" spans="43:44" x14ac:dyDescent="0.25">
      <c r="AQ224" t="s">
        <v>234</v>
      </c>
      <c r="AR224">
        <f>IFERROR(N8/BN20,0)</f>
        <v>0</v>
      </c>
    </row>
    <row r="225" spans="43:44" x14ac:dyDescent="0.25">
      <c r="AQ225" t="s">
        <v>572</v>
      </c>
      <c r="AR225">
        <f>AO6*AO35</f>
        <v>0</v>
      </c>
    </row>
    <row r="226" spans="43:44" x14ac:dyDescent="0.25">
      <c r="AQ226" t="s">
        <v>190</v>
      </c>
      <c r="AR226">
        <f>AR224*AR225</f>
        <v>0</v>
      </c>
    </row>
    <row r="227" spans="43:44" x14ac:dyDescent="0.25">
      <c r="AQ227" t="s">
        <v>235</v>
      </c>
      <c r="AR227">
        <f>IF($AR226&gt;=$AU51,50,IF($AR226&gt;=$AU50,49,IF($AR226&gt;=$AU49,48,IF($AR226&gt;=$AU48,47,IF($AR226&gt;=$AU47,46,IF($AR226&gt;=$AU46,45,IF($AR226&gt;=$AU45,44,IF($AR226&gt;=$AU44,43,IF($AR226&gt;=$AU43,42,IF($AR226&gt;=$AU42,41,IF($AR226&gt;=$AU41,40,IF($AR226&gt;=$AU40,39,IF($AR226&gt;=$AU39,38,IF($AR226&gt;=$AU38,37,IF($AR226&gt;=$AU37,36,IF($AR226&gt;=$AU36,35,IF($AR226&gt;=$AU35,34,IF($AR226&gt;=$AU34,33,IF($AR226&gt;=$AU33,32,IF($AR226&gt;=$AU32,31,IF($AR226&gt;=$AU31,30,IF($AR226&gt;=$AU30,29,IF($AR226&gt;=$AU29,28,IF($AR226&gt;=$AU28,27,IF($AR226&gt;=$AU27,26,IF($AR226&gt;=$AU26,25,IF($AR226&gt;=$AU25,24,IF($AR226&gt;=$AU24,23,IF($AR226&gt;=$AU23,22,IF($AR226&gt;=$AU22,21,IF($AR226&gt;=$AU21,20,IF($AR226&gt;=$AU20,19,IF($AR226&gt;=$AU19,18,IF($AR226&gt;=$AU18,17,IF($AR226&gt;=$AU17,16,IF($AR226&gt;=$AU16,15,IF($AR226&gt;=$AU15,14,IF($AR226&gt;=$AU14,13,IF($AR226&gt;=$AU13,12,IF($AR226&gt;=$AU12,11,IF($AR226&gt;=$AU11,10,IF($AR226&gt;=$AU10,9,IF($AR226&gt;=$AU9,8,IF($AR226&gt;=$AU8,7,IF($AR226&gt;=$AU7,6,IF($AR226&gt;=$AU6,5,IF($AR226&gt;=$AU5,4,IF($AR226&gt;=$AU4,3,IF($AR226&gt;=$AU3,2,IF($AR226&gt;=$AU2,1,0))))))))))))))))))))))))))))))))))))))))))))))))))</f>
        <v>0</v>
      </c>
    </row>
    <row r="228" spans="43:44" x14ac:dyDescent="0.25">
      <c r="AQ228" t="s">
        <v>236</v>
      </c>
      <c r="AR228">
        <f>AR227*VLOOKUP(AO8,tbStatus!A22:E33,5,FALSE)</f>
        <v>0</v>
      </c>
    </row>
    <row r="229" spans="43:44" x14ac:dyDescent="0.25">
      <c r="AQ229" t="s">
        <v>237</v>
      </c>
      <c r="AR229">
        <f>N8-AR228</f>
        <v>1408</v>
      </c>
    </row>
    <row r="230" spans="43:44" x14ac:dyDescent="0.25">
      <c r="AQ230" t="s">
        <v>238</v>
      </c>
      <c r="AR230">
        <f>IFERROR(AR229/BN20,0)</f>
        <v>0</v>
      </c>
    </row>
    <row r="231" spans="43:44" x14ac:dyDescent="0.25">
      <c r="AQ231" t="s">
        <v>239</v>
      </c>
      <c r="AR231">
        <f>AR230*AR225</f>
        <v>0</v>
      </c>
    </row>
    <row r="232" spans="43:44" x14ac:dyDescent="0.25">
      <c r="AQ232" t="s">
        <v>240</v>
      </c>
      <c r="AR232">
        <f>IF($AR231&gt;=$AU51,50,IF($AR231&gt;=$AU50,49,IF($AR231&gt;=$AU49,48,IF($AR231&gt;=$AU48,47,IF($AR231&gt;=$AU47,46,IF($AR231&gt;=$AU46,45,IF($AR231&gt;=$AU45,44,IF($AR231&gt;=$AU44,43,IF($AR231&gt;=$AU43,42,IF($AR231&gt;=$AU42,41,IF($AR231&gt;=$AU41,40,IF($AR231&gt;=$AU40,39,IF($AR231&gt;=$AU39,38,IF($AR231&gt;=$AU38,37,IF($AR231&gt;=$AU37,36,IF($AR231&gt;=$AU36,35,IF($AR231&gt;=$AU35,34,IF($AR231&gt;=$AU34,33,IF($AR231&gt;=$AU33,32,IF($AR231&gt;=$AU32,31,IF($AR231&gt;=$AU31,30,IF($AR231&gt;=$AU30,29,IF($AR231&gt;=$AU29,28,IF($AR231&gt;=$AU28,27,IF($AR231&gt;=$AU27,26,IF($AR231&gt;=$AU26,25,IF($AR231&gt;=$AU25,24,IF($AR231&gt;=$AU24,23,IF($AR231&gt;=$AU23,22,IF($AR231&gt;=$AU22,21,IF($AR231&gt;=$AU21,20,IF($AR231&gt;=$AU20,19,IF($AR231&gt;=$AU19,18,IF($AR231&gt;=$AU18,17,IF($AR231&gt;=$AU17,16,IF($AR231&gt;=$AU16,15,IF($AR231&gt;=$AU15,14,IF($AR231&gt;=$AU14,13,IF($AR231&gt;=$AU13,12,IF($AR231&gt;=$AU12,11,IF($AR231&gt;=$AU11,10,IF($AR231&gt;=$AU10,9,IF($AR231&gt;=$AU9,8,IF($AR231&gt;=$AU8,7,IF($AR231&gt;=$AU7,6,IF($AR231&gt;=$AU6,5,IF($AR231&gt;=$AU5,4,IF($AR231&gt;=$AU4,3,IF($AR231&gt;=$AU3,2,IF($AR231&gt;=$AU2,1,0))))))))))))))))))))))))))))))))))))))))))))))))))</f>
        <v>0</v>
      </c>
    </row>
    <row r="233" spans="43:44" x14ac:dyDescent="0.25">
      <c r="AQ233" t="s">
        <v>241</v>
      </c>
      <c r="AR233">
        <f>AR232*VLOOKUP(AO8,tbStatus!A22:E33,5,FALSE)</f>
        <v>0</v>
      </c>
    </row>
    <row r="234" spans="43:44" x14ac:dyDescent="0.25">
      <c r="AQ234" t="s">
        <v>242</v>
      </c>
      <c r="AR234">
        <f>ROUND((AR233/N8)*BN20,0)</f>
        <v>0</v>
      </c>
    </row>
    <row r="236" spans="43:44" x14ac:dyDescent="0.25">
      <c r="AQ236" t="s">
        <v>574</v>
      </c>
      <c r="AR236" t="str">
        <f>IFERROR(INDEX(tbHitzones!K:K,MATCH(ROWS(tbHitzones!$1:19),tbHitzones!K:K,0)),"")</f>
        <v/>
      </c>
    </row>
    <row r="237" spans="43:44" x14ac:dyDescent="0.25">
      <c r="AQ237" t="s">
        <v>234</v>
      </c>
      <c r="AR237">
        <f>IFERROR(N8/BN21,0)</f>
        <v>0</v>
      </c>
    </row>
    <row r="238" spans="43:44" x14ac:dyDescent="0.25">
      <c r="AQ238" t="s">
        <v>572</v>
      </c>
      <c r="AR238">
        <f>AO6*AO36</f>
        <v>0</v>
      </c>
    </row>
    <row r="239" spans="43:44" x14ac:dyDescent="0.25">
      <c r="AQ239" t="s">
        <v>190</v>
      </c>
      <c r="AR239">
        <f>AR237*AR238</f>
        <v>0</v>
      </c>
    </row>
    <row r="240" spans="43:44" x14ac:dyDescent="0.25">
      <c r="AQ240" t="s">
        <v>235</v>
      </c>
      <c r="AR240">
        <f>IF($AR239&gt;=$AU51,50,IF($AR239&gt;=$AU50,49,IF($AR239&gt;=$AU49,48,IF($AR239&gt;=$AU48,47,IF($AR239&gt;=$AU47,46,IF($AR239&gt;=$AU46,45,IF($AR239&gt;=$AU45,44,IF($AR239&gt;=$AU44,43,IF($AR239&gt;=$AU43,42,IF($AR239&gt;=$AU42,41,IF($AR239&gt;=$AU41,40,IF($AR239&gt;=$AU40,39,IF($AR239&gt;=$AU39,38,IF($AR239&gt;=$AU38,37,IF($AR239&gt;=$AU37,36,IF($AR239&gt;=$AU36,35,IF($AR239&gt;=$AU35,34,IF($AR239&gt;=$AU34,33,IF($AR239&gt;=$AU33,32,IF($AR239&gt;=$AU32,31,IF($AR239&gt;=$AU31,30,IF($AR239&gt;=$AU30,29,IF($AR239&gt;=$AU29,28,IF($AR239&gt;=$AU28,27,IF($AR239&gt;=$AU27,26,IF($AR239&gt;=$AU26,25,IF($AR239&gt;=$AU25,24,IF($AR239&gt;=$AU24,23,IF($AR239&gt;=$AU23,22,IF($AR239&gt;=$AU22,21,IF($AR239&gt;=$AU21,20,IF($AR239&gt;=$AU20,19,IF($AR239&gt;=$AU19,18,IF($AR239&gt;=$AU18,17,IF($AR239&gt;=$AU17,16,IF($AR239&gt;=$AU16,15,IF($AR239&gt;=$AU15,14,IF($AR239&gt;=$AU14,13,IF($AR239&gt;=$AU13,12,IF($AR239&gt;=$AU12,11,IF($AR239&gt;=$AU11,10,IF($AR239&gt;=$AU10,9,IF($AR239&gt;=$AU9,8,IF($AR239&gt;=$AU8,7,IF($AR239&gt;=$AU7,6,IF($AR239&gt;=$AU6,5,IF($AR239&gt;=$AU5,4,IF($AR239&gt;=$AU4,3,IF($AR239&gt;=$AU3,2,IF($AR239&gt;=$AU2,1,0))))))))))))))))))))))))))))))))))))))))))))))))))</f>
        <v>0</v>
      </c>
    </row>
    <row r="241" spans="43:44" x14ac:dyDescent="0.25">
      <c r="AQ241" t="s">
        <v>236</v>
      </c>
      <c r="AR241">
        <f>AR240*VLOOKUP(AO8,tbStatus!A22:E33,5,FALSE)</f>
        <v>0</v>
      </c>
    </row>
    <row r="242" spans="43:44" x14ac:dyDescent="0.25">
      <c r="AQ242" t="s">
        <v>237</v>
      </c>
      <c r="AR242">
        <f>N8-AR241</f>
        <v>1408</v>
      </c>
    </row>
    <row r="243" spans="43:44" x14ac:dyDescent="0.25">
      <c r="AQ243" t="s">
        <v>238</v>
      </c>
      <c r="AR243">
        <f>IFERROR(AR242/BN21,0)</f>
        <v>0</v>
      </c>
    </row>
    <row r="244" spans="43:44" x14ac:dyDescent="0.25">
      <c r="AQ244" t="s">
        <v>239</v>
      </c>
      <c r="AR244">
        <f>AR243*AR238</f>
        <v>0</v>
      </c>
    </row>
    <row r="245" spans="43:44" x14ac:dyDescent="0.25">
      <c r="AQ245" t="s">
        <v>240</v>
      </c>
      <c r="AR245">
        <f>IF($AR244&gt;=$AU51,50,IF($AR244&gt;=$AU50,49,IF($AR244&gt;=$AU49,48,IF($AR244&gt;=$AU48,47,IF($AR244&gt;=$AU47,46,IF($AR244&gt;=$AU46,45,IF($AR244&gt;=$AU45,44,IF($AR244&gt;=$AU44,43,IF($AR244&gt;=$AU43,42,IF($AR244&gt;=$AU42,41,IF($AR244&gt;=$AU41,40,IF($AR244&gt;=$AU40,39,IF($AR244&gt;=$AU39,38,IF($AR244&gt;=$AU38,37,IF($AR244&gt;=$AU37,36,IF($AR244&gt;=$AU36,35,IF($AR244&gt;=$AU35,34,IF($AR244&gt;=$AU34,33,IF($AR244&gt;=$AU33,32,IF($AR244&gt;=$AU32,31,IF($AR244&gt;=$AU31,30,IF($AR244&gt;=$AU30,29,IF($AR244&gt;=$AU29,28,IF($AR244&gt;=$AU28,27,IF($AR244&gt;=$AU27,26,IF($AR244&gt;=$AU26,25,IF($AR244&gt;=$AU25,24,IF($AR244&gt;=$AU24,23,IF($AR244&gt;=$AU23,22,IF($AR244&gt;=$AU22,21,IF($AR244&gt;=$AU21,20,IF($AR244&gt;=$AU20,19,IF($AR244&gt;=$AU19,18,IF($AR244&gt;=$AU18,17,IF($AR244&gt;=$AU17,16,IF($AR244&gt;=$AU16,15,IF($AR244&gt;=$AU15,14,IF($AR244&gt;=$AU14,13,IF($AR244&gt;=$AU13,12,IF($AR244&gt;=$AU12,11,IF($AR244&gt;=$AU11,10,IF($AR244&gt;=$AU10,9,IF($AR244&gt;=$AU9,8,IF($AR244&gt;=$AU8,7,IF($AR244&gt;=$AU7,6,IF($AR244&gt;=$AU6,5,IF($AR244&gt;=$AU5,4,IF($AR244&gt;=$AU4,3,IF($AR244&gt;=$AU3,2,IF($AR244&gt;=$AU2,1,0))))))))))))))))))))))))))))))))))))))))))))))))))</f>
        <v>0</v>
      </c>
    </row>
    <row r="246" spans="43:44" x14ac:dyDescent="0.25">
      <c r="AQ246" t="s">
        <v>241</v>
      </c>
      <c r="AR246">
        <f>AR245*VLOOKUP(AO8,tbStatus!A22:E33,5,FALSE)</f>
        <v>0</v>
      </c>
    </row>
    <row r="247" spans="43:44" x14ac:dyDescent="0.25">
      <c r="AQ247" t="s">
        <v>242</v>
      </c>
      <c r="AR247">
        <f>ROUND((AR246/N8)*BN21,0)</f>
        <v>0</v>
      </c>
    </row>
    <row r="249" spans="43:44" x14ac:dyDescent="0.25">
      <c r="AQ249" t="s">
        <v>574</v>
      </c>
      <c r="AR249" t="str">
        <f>IFERROR(INDEX(tbHitzones!K:K,MATCH(ROWS(tbHitzones!$1:20),tbHitzones!K:K,0)),"")</f>
        <v/>
      </c>
    </row>
    <row r="250" spans="43:44" x14ac:dyDescent="0.25">
      <c r="AQ250" t="s">
        <v>234</v>
      </c>
      <c r="AR250">
        <f>IFERROR(N8/BN22,0)</f>
        <v>0</v>
      </c>
    </row>
    <row r="251" spans="43:44" x14ac:dyDescent="0.25">
      <c r="AQ251" t="s">
        <v>572</v>
      </c>
      <c r="AR251">
        <f>AO6*AO37</f>
        <v>0</v>
      </c>
    </row>
    <row r="252" spans="43:44" x14ac:dyDescent="0.25">
      <c r="AQ252" t="s">
        <v>190</v>
      </c>
      <c r="AR252">
        <f>AR250*AR251</f>
        <v>0</v>
      </c>
    </row>
    <row r="253" spans="43:44" x14ac:dyDescent="0.25">
      <c r="AQ253" t="s">
        <v>235</v>
      </c>
      <c r="AR253">
        <f>IF($AR252&gt;=$AU51,50,IF($AR252&gt;=$AU50,49,IF($AR252&gt;=$AU49,48,IF($AR252&gt;=$AU48,47,IF($AR252&gt;=$AU47,46,IF($AR252&gt;=$AU46,45,IF($AR252&gt;=$AU45,44,IF($AR252&gt;=$AU44,43,IF($AR252&gt;=$AU43,42,IF($AR252&gt;=$AU42,41,IF($AR252&gt;=$AU41,40,IF($AR252&gt;=$AU40,39,IF($AR252&gt;=$AU39,38,IF($AR252&gt;=$AU38,37,IF($AR252&gt;=$AU37,36,IF($AR252&gt;=$AU36,35,IF($AR252&gt;=$AU35,34,IF($AR252&gt;=$AU34,33,IF($AR252&gt;=$AU33,32,IF($AR252&gt;=$AU32,31,IF($AR252&gt;=$AU31,30,IF($AR252&gt;=$AU30,29,IF($AR252&gt;=$AU29,28,IF($AR252&gt;=$AU28,27,IF($AR252&gt;=$AU27,26,IF($AR252&gt;=$AU26,25,IF($AR252&gt;=$AU25,24,IF($AR252&gt;=$AU24,23,IF($AR252&gt;=$AU23,22,IF($AR252&gt;=$AU22,21,IF($AR252&gt;=$AU21,20,IF($AR252&gt;=$AU20,19,IF($AR252&gt;=$AU19,18,IF($AR252&gt;=$AU18,17,IF($AR252&gt;=$AU17,16,IF($AR252&gt;=$AU16,15,IF($AR252&gt;=$AU15,14,IF($AR252&gt;=$AU14,13,IF($AR252&gt;=$AU13,12,IF($AR252&gt;=$AU12,11,IF($AR252&gt;=$AU11,10,IF($AR252&gt;=$AU10,9,IF($AR252&gt;=$AU9,8,IF($AR252&gt;=$AU8,7,IF($AR252&gt;=$AU7,6,IF($AR252&gt;=$AU6,5,IF($AR252&gt;=$AU5,4,IF($AR252&gt;=$AU4,3,IF($AR252&gt;=$AU3,2,IF($AR252&gt;=$AU2,1,0))))))))))))))))))))))))))))))))))))))))))))))))))</f>
        <v>0</v>
      </c>
    </row>
    <row r="254" spans="43:44" x14ac:dyDescent="0.25">
      <c r="AQ254" t="s">
        <v>236</v>
      </c>
      <c r="AR254">
        <f>AR253*VLOOKUP(AO8,tbStatus!A22:E33,5,FALSE)</f>
        <v>0</v>
      </c>
    </row>
    <row r="255" spans="43:44" x14ac:dyDescent="0.25">
      <c r="AQ255" t="s">
        <v>237</v>
      </c>
      <c r="AR255">
        <f>N8-AR254</f>
        <v>1408</v>
      </c>
    </row>
    <row r="256" spans="43:44" x14ac:dyDescent="0.25">
      <c r="AQ256" t="s">
        <v>238</v>
      </c>
      <c r="AR256">
        <f>IFERROR(AR255/BN22,0)</f>
        <v>0</v>
      </c>
    </row>
    <row r="257" spans="43:44" x14ac:dyDescent="0.25">
      <c r="AQ257" t="s">
        <v>239</v>
      </c>
      <c r="AR257">
        <f>AR256*AR251</f>
        <v>0</v>
      </c>
    </row>
    <row r="258" spans="43:44" x14ac:dyDescent="0.25">
      <c r="AQ258" t="s">
        <v>240</v>
      </c>
      <c r="AR258">
        <f>IF($AR257&gt;=$AU51,50,IF($AR257&gt;=$AU50,49,IF($AR257&gt;=$AU49,48,IF($AR257&gt;=$AU48,47,IF($AR257&gt;=$AU47,46,IF($AR257&gt;=$AU46,45,IF($AR257&gt;=$AU45,44,IF($AR257&gt;=$AU44,43,IF($AR257&gt;=$AU43,42,IF($AR257&gt;=$AU42,41,IF($AR257&gt;=$AU41,40,IF($AR257&gt;=$AU40,39,IF($AR257&gt;=$AU39,38,IF($AR257&gt;=$AU38,37,IF($AR257&gt;=$AU37,36,IF($AR257&gt;=$AU36,35,IF($AR257&gt;=$AU35,34,IF($AR257&gt;=$AU34,33,IF($AR257&gt;=$AU33,32,IF($AR257&gt;=$AU32,31,IF($AR257&gt;=$AU31,30,IF($AR257&gt;=$AU30,29,IF($AR257&gt;=$AU29,28,IF($AR257&gt;=$AU28,27,IF($AR257&gt;=$AU27,26,IF($AR257&gt;=$AU26,25,IF($AR257&gt;=$AU25,24,IF($AR257&gt;=$AU24,23,IF($AR257&gt;=$AU23,22,IF($AR257&gt;=$AU22,21,IF($AR257&gt;=$AU21,20,IF($AR257&gt;=$AU20,19,IF($AR257&gt;=$AU19,18,IF($AR257&gt;=$AU18,17,IF($AR257&gt;=$AU17,16,IF($AR257&gt;=$AU16,15,IF($AR257&gt;=$AU15,14,IF($AR257&gt;=$AU14,13,IF($AR257&gt;=$AU13,12,IF($AR257&gt;=$AU12,11,IF($AR257&gt;=$AU11,10,IF($AR257&gt;=$AU10,9,IF($AR257&gt;=$AU9,8,IF($AR257&gt;=$AU8,7,IF($AR257&gt;=$AU7,6,IF($AR257&gt;=$AU6,5,IF($AR257&gt;=$AU5,4,IF($AR257&gt;=$AU4,3,IF($AR257&gt;=$AU3,2,IF($AR257&gt;=$AU2,1,0))))))))))))))))))))))))))))))))))))))))))))))))))</f>
        <v>0</v>
      </c>
    </row>
    <row r="259" spans="43:44" x14ac:dyDescent="0.25">
      <c r="AQ259" t="s">
        <v>241</v>
      </c>
      <c r="AR259">
        <f>AR258*VLOOKUP(AO8,tbStatus!A22:E33,5,FALSE)</f>
        <v>0</v>
      </c>
    </row>
    <row r="260" spans="43:44" x14ac:dyDescent="0.25">
      <c r="AQ260" t="s">
        <v>242</v>
      </c>
      <c r="AR260">
        <f>ROUND((AR259/N8)*BN22,0)</f>
        <v>0</v>
      </c>
    </row>
    <row r="262" spans="43:44" x14ac:dyDescent="0.25">
      <c r="AQ262" t="s">
        <v>574</v>
      </c>
      <c r="AR262" t="str">
        <f>IFERROR(INDEX(tbHitzones!K:K,MATCH(ROWS(tbHitzones!$1:21),tbHitzones!K:K,0)),"")</f>
        <v/>
      </c>
    </row>
    <row r="263" spans="43:44" x14ac:dyDescent="0.25">
      <c r="AQ263" t="s">
        <v>234</v>
      </c>
      <c r="AR263">
        <f>IFERROR(N8/BN23,0)</f>
        <v>0</v>
      </c>
    </row>
    <row r="264" spans="43:44" x14ac:dyDescent="0.25">
      <c r="AQ264" t="s">
        <v>572</v>
      </c>
      <c r="AR264">
        <f>AO6*AO38</f>
        <v>0</v>
      </c>
    </row>
    <row r="265" spans="43:44" x14ac:dyDescent="0.25">
      <c r="AQ265" t="s">
        <v>190</v>
      </c>
      <c r="AR265">
        <f>AR263*AR264</f>
        <v>0</v>
      </c>
    </row>
    <row r="266" spans="43:44" x14ac:dyDescent="0.25">
      <c r="AQ266" t="s">
        <v>235</v>
      </c>
      <c r="AR266">
        <f>IF($AR265&gt;=$AU51,50,IF($AR265&gt;=$AU50,49,IF($AR265&gt;=$AU49,48,IF($AR265&gt;=$AU48,47,IF($AR265&gt;=$AU47,46,IF($AR265&gt;=$AU46,45,IF($AR265&gt;=$AU45,44,IF($AR265&gt;=$AU44,43,IF($AR265&gt;=$AU43,42,IF($AR265&gt;=$AU42,41,IF($AR265&gt;=$AU41,40,IF($AR265&gt;=$AU40,39,IF($AR265&gt;=$AU39,38,IF($AR265&gt;=$AU38,37,IF($AR265&gt;=$AU37,36,IF($AR265&gt;=$AU36,35,IF($AR265&gt;=$AU35,34,IF($AR265&gt;=$AU34,33,IF($AR265&gt;=$AU33,32,IF($AR265&gt;=$AU32,31,IF($AR265&gt;=$AU31,30,IF($AR265&gt;=$AU30,29,IF($AR265&gt;=$AU29,28,IF($AR265&gt;=$AU28,27,IF($AR265&gt;=$AU27,26,IF($AR265&gt;=$AU26,25,IF($AR265&gt;=$AU25,24,IF($AR265&gt;=$AU24,23,IF($AR265&gt;=$AU23,22,IF($AR265&gt;=$AU22,21,IF($AR265&gt;=$AU21,20,IF($AR265&gt;=$AU20,19,IF($AR265&gt;=$AU19,18,IF($AR265&gt;=$AU18,17,IF($AR265&gt;=$AU17,16,IF($AR265&gt;=$AU16,15,IF($AR265&gt;=$AU15,14,IF($AR265&gt;=$AU14,13,IF($AR265&gt;=$AU13,12,IF($AR265&gt;=$AU12,11,IF($AR265&gt;=$AU11,10,IF($AR265&gt;=$AU10,9,IF($AR265&gt;=$AU9,8,IF($AR265&gt;=$AU8,7,IF($AR265&gt;=$AU7,6,IF($AR265&gt;=$AU6,5,IF($AR265&gt;=$AU5,4,IF($AR265&gt;=$AU4,3,IF($AR265&gt;=$AU3,2,IF($AR265&gt;=$AU2,1,0))))))))))))))))))))))))))))))))))))))))))))))))))</f>
        <v>0</v>
      </c>
    </row>
    <row r="267" spans="43:44" x14ac:dyDescent="0.25">
      <c r="AQ267" t="s">
        <v>236</v>
      </c>
      <c r="AR267">
        <f>AR266*VLOOKUP(AO8,tbStatus!A22:E33,5,FALSE)</f>
        <v>0</v>
      </c>
    </row>
    <row r="268" spans="43:44" x14ac:dyDescent="0.25">
      <c r="AQ268" t="s">
        <v>237</v>
      </c>
      <c r="AR268">
        <f>N8-AR267</f>
        <v>1408</v>
      </c>
    </row>
    <row r="269" spans="43:44" x14ac:dyDescent="0.25">
      <c r="AQ269" t="s">
        <v>238</v>
      </c>
      <c r="AR269">
        <f>IFERROR(AR268/BN23,0)</f>
        <v>0</v>
      </c>
    </row>
    <row r="270" spans="43:44" x14ac:dyDescent="0.25">
      <c r="AQ270" t="s">
        <v>239</v>
      </c>
      <c r="AR270">
        <f>AR269*AR264</f>
        <v>0</v>
      </c>
    </row>
    <row r="271" spans="43:44" x14ac:dyDescent="0.25">
      <c r="AQ271" t="s">
        <v>240</v>
      </c>
      <c r="AR271">
        <f>IF($AR270&gt;=$AU51,50,IF($AR270&gt;=$AU50,49,IF($AR270&gt;=$AU49,48,IF($AR270&gt;=$AU48,47,IF($AR270&gt;=$AU47,46,IF($AR270&gt;=$AU46,45,IF($AR270&gt;=$AU45,44,IF($AR270&gt;=$AU44,43,IF($AR270&gt;=$AU43,42,IF($AR270&gt;=$AU42,41,IF($AR270&gt;=$AU41,40,IF($AR270&gt;=$AU40,39,IF($AR270&gt;=$AU39,38,IF($AR270&gt;=$AU38,37,IF($AR270&gt;=$AU37,36,IF($AR270&gt;=$AU36,35,IF($AR270&gt;=$AU35,34,IF($AR270&gt;=$AU34,33,IF($AR270&gt;=$AU33,32,IF($AR270&gt;=$AU32,31,IF($AR270&gt;=$AU31,30,IF($AR270&gt;=$AU30,29,IF($AR270&gt;=$AU29,28,IF($AR270&gt;=$AU28,27,IF($AR270&gt;=$AU27,26,IF($AR270&gt;=$AU26,25,IF($AR270&gt;=$AU25,24,IF($AR270&gt;=$AU24,23,IF($AR270&gt;=$AU23,22,IF($AR270&gt;=$AU22,21,IF($AR270&gt;=$AU21,20,IF($AR270&gt;=$AU20,19,IF($AR270&gt;=$AU19,18,IF($AR270&gt;=$AU18,17,IF($AR270&gt;=$AU17,16,IF($AR270&gt;=$AU16,15,IF($AR270&gt;=$AU15,14,IF($AR270&gt;=$AU14,13,IF($AR270&gt;=$AU13,12,IF($AR270&gt;=$AU12,11,IF($AR270&gt;=$AU11,10,IF($AR270&gt;=$AU10,9,IF($AR270&gt;=$AU9,8,IF($AR270&gt;=$AU8,7,IF($AR270&gt;=$AU7,6,IF($AR270&gt;=$AU6,5,IF($AR270&gt;=$AU5,4,IF($AR270&gt;=$AU4,3,IF($AR270&gt;=$AU3,2,IF($AR270&gt;=$AU2,1,0))))))))))))))))))))))))))))))))))))))))))))))))))</f>
        <v>0</v>
      </c>
    </row>
    <row r="272" spans="43:44" x14ac:dyDescent="0.25">
      <c r="AQ272" t="s">
        <v>241</v>
      </c>
      <c r="AR272">
        <f>AR271*VLOOKUP(AO8,tbStatus!A22:E33,5,FALSE)</f>
        <v>0</v>
      </c>
    </row>
    <row r="273" spans="43:44" x14ac:dyDescent="0.25">
      <c r="AQ273" t="s">
        <v>242</v>
      </c>
      <c r="AR273">
        <f>ROUND((AR272/N8)*BN23,0)</f>
        <v>0</v>
      </c>
    </row>
    <row r="275" spans="43:44" x14ac:dyDescent="0.25">
      <c r="AQ275" t="s">
        <v>574</v>
      </c>
      <c r="AR275" t="str">
        <f>IFERROR(INDEX(tbHitzones!K:K,MATCH(ROWS(tbHitzones!$1:22),tbHitzones!K:K,0)),"")</f>
        <v/>
      </c>
    </row>
    <row r="276" spans="43:44" x14ac:dyDescent="0.25">
      <c r="AQ276" t="s">
        <v>234</v>
      </c>
      <c r="AR276">
        <f>IFERROR(N8/BN24,0)</f>
        <v>0</v>
      </c>
    </row>
    <row r="277" spans="43:44" x14ac:dyDescent="0.25">
      <c r="AQ277" t="s">
        <v>572</v>
      </c>
      <c r="AR277">
        <f>AO6*AO39</f>
        <v>0</v>
      </c>
    </row>
    <row r="278" spans="43:44" x14ac:dyDescent="0.25">
      <c r="AQ278" t="s">
        <v>190</v>
      </c>
      <c r="AR278">
        <f>AR276*AR277</f>
        <v>0</v>
      </c>
    </row>
    <row r="279" spans="43:44" x14ac:dyDescent="0.25">
      <c r="AQ279" t="s">
        <v>235</v>
      </c>
      <c r="AR279">
        <f>IF($AR278&gt;=$AU51,50,IF($AR278&gt;=$AU50,49,IF($AR278&gt;=$AU49,48,IF($AR278&gt;=$AU48,47,IF($AR278&gt;=$AU47,46,IF($AR278&gt;=$AU46,45,IF($AR278&gt;=$AU45,44,IF($AR278&gt;=$AU44,43,IF($AR278&gt;=$AU43,42,IF($AR278&gt;=$AU42,41,IF($AR278&gt;=$AU41,40,IF($AR278&gt;=$AU40,39,IF($AR278&gt;=$AU39,38,IF($AR278&gt;=$AU38,37,IF($AR278&gt;=$AU37,36,IF($AR278&gt;=$AU36,35,IF($AR278&gt;=$AU35,34,IF($AR278&gt;=$AU34,33,IF($AR278&gt;=$AU33,32,IF($AR278&gt;=$AU32,31,IF($AR278&gt;=$AU31,30,IF($AR278&gt;=$AU30,29,IF($AR278&gt;=$AU29,28,IF($AR278&gt;=$AU28,27,IF($AR278&gt;=$AU27,26,IF($AR278&gt;=$AU26,25,IF($AR278&gt;=$AU25,24,IF($AR278&gt;=$AU24,23,IF($AR278&gt;=$AU23,22,IF($AR278&gt;=$AU22,21,IF($AR278&gt;=$AU21,20,IF($AR278&gt;=$AU20,19,IF($AR278&gt;=$AU19,18,IF($AR278&gt;=$AU18,17,IF($AR278&gt;=$AU17,16,IF($AR278&gt;=$AU16,15,IF($AR278&gt;=$AU15,14,IF($AR278&gt;=$AU14,13,IF($AR278&gt;=$AU13,12,IF($AR278&gt;=$AU12,11,IF($AR278&gt;=$AU11,10,IF($AR278&gt;=$AU10,9,IF($AR278&gt;=$AU9,8,IF($AR278&gt;=$AU8,7,IF($AR278&gt;=$AU7,6,IF($AR278&gt;=$AU6,5,IF($AR278&gt;=$AU5,4,IF($AR278&gt;=$AU4,3,IF($AR278&gt;=$AU3,2,IF($AR278&gt;=$AU2,1,0))))))))))))))))))))))))))))))))))))))))))))))))))</f>
        <v>0</v>
      </c>
    </row>
    <row r="280" spans="43:44" x14ac:dyDescent="0.25">
      <c r="AQ280" t="s">
        <v>236</v>
      </c>
      <c r="AR280">
        <f>AR279*VLOOKUP(AO8,tbStatus!A22:E33,5,FALSE)</f>
        <v>0</v>
      </c>
    </row>
    <row r="281" spans="43:44" x14ac:dyDescent="0.25">
      <c r="AQ281" t="s">
        <v>237</v>
      </c>
      <c r="AR281">
        <f>N8-AR280</f>
        <v>1408</v>
      </c>
    </row>
    <row r="282" spans="43:44" x14ac:dyDescent="0.25">
      <c r="AQ282" t="s">
        <v>238</v>
      </c>
      <c r="AR282">
        <f>IFERROR(AR281/BN24,0)</f>
        <v>0</v>
      </c>
    </row>
    <row r="283" spans="43:44" x14ac:dyDescent="0.25">
      <c r="AQ283" t="s">
        <v>239</v>
      </c>
      <c r="AR283">
        <f>AR282*AR277</f>
        <v>0</v>
      </c>
    </row>
    <row r="284" spans="43:44" x14ac:dyDescent="0.25">
      <c r="AQ284" t="s">
        <v>240</v>
      </c>
      <c r="AR284">
        <f>IF($AR283&gt;=$AU51,50,IF($AR283&gt;=$AU50,49,IF($AR283&gt;=$AU49,48,IF($AR283&gt;=$AU48,47,IF($AR283&gt;=$AU47,46,IF($AR283&gt;=$AU46,45,IF($AR283&gt;=$AU45,44,IF($AR283&gt;=$AU44,43,IF($AR283&gt;=$AU43,42,IF($AR283&gt;=$AU42,41,IF($AR283&gt;=$AU41,40,IF($AR283&gt;=$AU40,39,IF($AR283&gt;=$AU39,38,IF($AR283&gt;=$AU38,37,IF($AR283&gt;=$AU37,36,IF($AR283&gt;=$AU36,35,IF($AR283&gt;=$AU35,34,IF($AR283&gt;=$AU34,33,IF($AR283&gt;=$AU33,32,IF($AR283&gt;=$AU32,31,IF($AR283&gt;=$AU31,30,IF($AR283&gt;=$AU30,29,IF($AR283&gt;=$AU29,28,IF($AR283&gt;=$AU28,27,IF($AR283&gt;=$AU27,26,IF($AR283&gt;=$AU26,25,IF($AR283&gt;=$AU25,24,IF($AR283&gt;=$AU24,23,IF($AR283&gt;=$AU23,22,IF($AR283&gt;=$AU22,21,IF($AR283&gt;=$AU21,20,IF($AR283&gt;=$AU20,19,IF($AR283&gt;=$AU19,18,IF($AR283&gt;=$AU18,17,IF($AR283&gt;=$AU17,16,IF($AR283&gt;=$AU16,15,IF($AR283&gt;=$AU15,14,IF($AR283&gt;=$AU14,13,IF($AR283&gt;=$AU13,12,IF($AR283&gt;=$AU12,11,IF($AR283&gt;=$AU11,10,IF($AR283&gt;=$AU10,9,IF($AR283&gt;=$AU9,8,IF($AR283&gt;=$AU8,7,IF($AR283&gt;=$AU7,6,IF($AR283&gt;=$AU6,5,IF($AR283&gt;=$AU5,4,IF($AR283&gt;=$AU4,3,IF($AR283&gt;=$AU3,2,IF($AR283&gt;=$AU2,1,0))))))))))))))))))))))))))))))))))))))))))))))))))</f>
        <v>0</v>
      </c>
    </row>
    <row r="285" spans="43:44" x14ac:dyDescent="0.25">
      <c r="AQ285" t="s">
        <v>241</v>
      </c>
      <c r="AR285">
        <f>AR284*VLOOKUP(AO8,tbStatus!A22:E33,5,FALSE)</f>
        <v>0</v>
      </c>
    </row>
    <row r="286" spans="43:44" x14ac:dyDescent="0.25">
      <c r="AQ286" t="s">
        <v>242</v>
      </c>
      <c r="AR286">
        <f>ROUND((AR285/N8)*BN24,0)</f>
        <v>0</v>
      </c>
    </row>
    <row r="288" spans="43:44" x14ac:dyDescent="0.25">
      <c r="AQ288" t="s">
        <v>574</v>
      </c>
      <c r="AR288" t="str">
        <f>IFERROR(INDEX(tbHitzones!K:K,MATCH(ROWS(tbHitzones!$1:23),tbHitzones!K:K,0)),"")</f>
        <v/>
      </c>
    </row>
    <row r="289" spans="43:44" x14ac:dyDescent="0.25">
      <c r="AQ289" t="s">
        <v>234</v>
      </c>
      <c r="AR289">
        <f>IFERROR(N8/BN25,0)</f>
        <v>0</v>
      </c>
    </row>
    <row r="290" spans="43:44" x14ac:dyDescent="0.25">
      <c r="AQ290" t="s">
        <v>572</v>
      </c>
      <c r="AR290">
        <f>AO6*AO40</f>
        <v>0</v>
      </c>
    </row>
    <row r="291" spans="43:44" x14ac:dyDescent="0.25">
      <c r="AQ291" t="s">
        <v>190</v>
      </c>
      <c r="AR291">
        <f>AR289*AR290</f>
        <v>0</v>
      </c>
    </row>
    <row r="292" spans="43:44" x14ac:dyDescent="0.25">
      <c r="AQ292" t="s">
        <v>235</v>
      </c>
      <c r="AR292">
        <f>IF($AR291&gt;=$AU51,50,IF($AR291&gt;=$AU50,49,IF($AR291&gt;=$AU49,48,IF($AR291&gt;=$AU48,47,IF($AR291&gt;=$AU47,46,IF($AR291&gt;=$AU46,45,IF($AR291&gt;=$AU45,44,IF($AR291&gt;=$AU44,43,IF($AR291&gt;=$AU43,42,IF($AR291&gt;=$AU42,41,IF($AR291&gt;=$AU41,40,IF($AR291&gt;=$AU40,39,IF($AR291&gt;=$AU39,38,IF($AR291&gt;=$AU38,37,IF($AR291&gt;=$AU37,36,IF($AR291&gt;=$AU36,35,IF($AR291&gt;=$AU35,34,IF($AR291&gt;=$AU34,33,IF($AR291&gt;=$AU33,32,IF($AR291&gt;=$AU32,31,IF($AR291&gt;=$AU31,30,IF($AR291&gt;=$AU30,29,IF($AR291&gt;=$AU29,28,IF($AR291&gt;=$AU28,27,IF($AR291&gt;=$AU27,26,IF($AR291&gt;=$AU26,25,IF($AR291&gt;=$AU25,24,IF($AR291&gt;=$AU24,23,IF($AR291&gt;=$AU23,22,IF($AR291&gt;=$AU22,21,IF($AR291&gt;=$AU21,20,IF($AR291&gt;=$AU20,19,IF($AR291&gt;=$AU19,18,IF($AR291&gt;=$AU18,17,IF($AR291&gt;=$AU17,16,IF($AR291&gt;=$AU16,15,IF($AR291&gt;=$AU15,14,IF($AR291&gt;=$AU14,13,IF($AR291&gt;=$AU13,12,IF($AR291&gt;=$AU12,11,IF($AR291&gt;=$AU11,10,IF($AR291&gt;=$AU10,9,IF($AR291&gt;=$AU9,8,IF($AR291&gt;=$AU8,7,IF($AR291&gt;=$AU7,6,IF($AR291&gt;=$AU6,5,IF($AR291&gt;=$AU5,4,IF($AR291&gt;=$AU4,3,IF($AR291&gt;=$AU3,2,IF($AR291&gt;=$AU2,1,0))))))))))))))))))))))))))))))))))))))))))))))))))</f>
        <v>0</v>
      </c>
    </row>
    <row r="293" spans="43:44" x14ac:dyDescent="0.25">
      <c r="AQ293" t="s">
        <v>236</v>
      </c>
      <c r="AR293">
        <f>AR292*VLOOKUP(AO8,tbStatus!A22:E33,5,FALSE)</f>
        <v>0</v>
      </c>
    </row>
    <row r="294" spans="43:44" x14ac:dyDescent="0.25">
      <c r="AQ294" t="s">
        <v>237</v>
      </c>
      <c r="AR294">
        <f>N8-AR293</f>
        <v>1408</v>
      </c>
    </row>
    <row r="295" spans="43:44" x14ac:dyDescent="0.25">
      <c r="AQ295" t="s">
        <v>238</v>
      </c>
      <c r="AR295">
        <f>IFERROR(AR294/BN25,0)</f>
        <v>0</v>
      </c>
    </row>
    <row r="296" spans="43:44" x14ac:dyDescent="0.25">
      <c r="AQ296" t="s">
        <v>239</v>
      </c>
      <c r="AR296">
        <f>AR295*AR290</f>
        <v>0</v>
      </c>
    </row>
    <row r="297" spans="43:44" x14ac:dyDescent="0.25">
      <c r="AQ297" t="s">
        <v>240</v>
      </c>
      <c r="AR297">
        <f>IF($AR296&gt;=$AU51,50,IF($AR296&gt;=$AU50,49,IF($AR296&gt;=$AU49,48,IF($AR296&gt;=$AU48,47,IF($AR296&gt;=$AU47,46,IF($AR296&gt;=$AU46,45,IF($AR296&gt;=$AU45,44,IF($AR296&gt;=$AU44,43,IF($AR296&gt;=$AU43,42,IF($AR296&gt;=$AU42,41,IF($AR296&gt;=$AU41,40,IF($AR296&gt;=$AU40,39,IF($AR296&gt;=$AU39,38,IF($AR296&gt;=$AU38,37,IF($AR296&gt;=$AU37,36,IF($AR296&gt;=$AU36,35,IF($AR296&gt;=$AU35,34,IF($AR296&gt;=$AU34,33,IF($AR296&gt;=$AU33,32,IF($AR296&gt;=$AU32,31,IF($AR296&gt;=$AU31,30,IF($AR296&gt;=$AU30,29,IF($AR296&gt;=$AU29,28,IF($AR296&gt;=$AU28,27,IF($AR296&gt;=$AU27,26,IF($AR296&gt;=$AU26,25,IF($AR296&gt;=$AU25,24,IF($AR296&gt;=$AU24,23,IF($AR296&gt;=$AU23,22,IF($AR296&gt;=$AU22,21,IF($AR296&gt;=$AU21,20,IF($AR296&gt;=$AU20,19,IF($AR296&gt;=$AU19,18,IF($AR296&gt;=$AU18,17,IF($AR296&gt;=$AU17,16,IF($AR296&gt;=$AU16,15,IF($AR296&gt;=$AU15,14,IF($AR296&gt;=$AU14,13,IF($AR296&gt;=$AU13,12,IF($AR296&gt;=$AU12,11,IF($AR296&gt;=$AU11,10,IF($AR296&gt;=$AU10,9,IF($AR296&gt;=$AU9,8,IF($AR296&gt;=$AU8,7,IF($AR296&gt;=$AU7,6,IF($AR296&gt;=$AU6,5,IF($AR296&gt;=$AU5,4,IF($AR296&gt;=$AU4,3,IF($AR296&gt;=$AU3,2,IF($AR296&gt;=$AU2,1,0))))))))))))))))))))))))))))))))))))))))))))))))))</f>
        <v>0</v>
      </c>
    </row>
    <row r="298" spans="43:44" x14ac:dyDescent="0.25">
      <c r="AQ298" t="s">
        <v>241</v>
      </c>
      <c r="AR298">
        <f>AR297*VLOOKUP(AO8,tbStatus!A22:E33,5,FALSE)</f>
        <v>0</v>
      </c>
    </row>
    <row r="299" spans="43:44" x14ac:dyDescent="0.25">
      <c r="AQ299" t="s">
        <v>242</v>
      </c>
      <c r="AR299">
        <f>ROUND((AR298/N8)*BN25,0)</f>
        <v>0</v>
      </c>
    </row>
    <row r="301" spans="43:44" x14ac:dyDescent="0.25">
      <c r="AQ301" t="s">
        <v>574</v>
      </c>
      <c r="AR301" t="str">
        <f>IFERROR(INDEX(tbHitzones!K:K,MATCH(ROWS(tbHitzones!$1:24),tbHitzones!K:K,0)),"")</f>
        <v/>
      </c>
    </row>
    <row r="302" spans="43:44" x14ac:dyDescent="0.25">
      <c r="AQ302" t="s">
        <v>234</v>
      </c>
      <c r="AR302">
        <f>IFERROR(N8/BN26,0)</f>
        <v>0</v>
      </c>
    </row>
    <row r="303" spans="43:44" x14ac:dyDescent="0.25">
      <c r="AQ303" t="s">
        <v>572</v>
      </c>
      <c r="AR303">
        <f>AO6*AO41</f>
        <v>0</v>
      </c>
    </row>
    <row r="304" spans="43:44" x14ac:dyDescent="0.25">
      <c r="AQ304" t="s">
        <v>190</v>
      </c>
      <c r="AR304">
        <f>AR302*AR303</f>
        <v>0</v>
      </c>
    </row>
    <row r="305" spans="43:44" x14ac:dyDescent="0.25">
      <c r="AQ305" t="s">
        <v>235</v>
      </c>
      <c r="AR305">
        <f>IF($AR304&gt;=$AU51,50,IF($AR304&gt;=$AU50,49,IF($AR304&gt;=$AU49,48,IF($AR304&gt;=$AU48,47,IF($AR304&gt;=$AU47,46,IF($AR304&gt;=$AU46,45,IF($AR304&gt;=$AU45,44,IF($AR304&gt;=$AU44,43,IF($AR304&gt;=$AU43,42,IF($AR304&gt;=$AU42,41,IF($AR304&gt;=$AU41,40,IF($AR304&gt;=$AU40,39,IF($AR304&gt;=$AU39,38,IF($AR304&gt;=$AU38,37,IF($AR304&gt;=$AU37,36,IF($AR304&gt;=$AU36,35,IF($AR304&gt;=$AU35,34,IF($AR304&gt;=$AU34,33,IF($AR304&gt;=$AU33,32,IF($AR304&gt;=$AU32,31,IF($AR304&gt;=$AU31,30,IF($AR304&gt;=$AU30,29,IF($AR304&gt;=$AU29,28,IF($AR304&gt;=$AU28,27,IF($AR304&gt;=$AU27,26,IF($AR304&gt;=$AU26,25,IF($AR304&gt;=$AU25,24,IF($AR304&gt;=$AU24,23,IF($AR304&gt;=$AU23,22,IF($AR304&gt;=$AU22,21,IF($AR304&gt;=$AU21,20,IF($AR304&gt;=$AU20,19,IF($AR304&gt;=$AU19,18,IF($AR304&gt;=$AU18,17,IF($AR304&gt;=$AU17,16,IF($AR304&gt;=$AU16,15,IF($AR304&gt;=$AU15,14,IF($AR304&gt;=$AU14,13,IF($AR304&gt;=$AU13,12,IF($AR304&gt;=$AU12,11,IF($AR304&gt;=$AU11,10,IF($AR304&gt;=$AU10,9,IF($AR304&gt;=$AU9,8,IF($AR304&gt;=$AU8,7,IF($AR304&gt;=$AU7,6,IF($AR304&gt;=$AU6,5,IF($AR304&gt;=$AU5,4,IF($AR304&gt;=$AU4,3,IF($AR304&gt;=$AU3,2,IF($AR304&gt;=$AU2,1,0))))))))))))))))))))))))))))))))))))))))))))))))))</f>
        <v>0</v>
      </c>
    </row>
    <row r="306" spans="43:44" x14ac:dyDescent="0.25">
      <c r="AQ306" t="s">
        <v>236</v>
      </c>
      <c r="AR306">
        <f>AR305*VLOOKUP(AO8,tbStatus!A22:E33,5,FALSE)</f>
        <v>0</v>
      </c>
    </row>
    <row r="307" spans="43:44" x14ac:dyDescent="0.25">
      <c r="AQ307" t="s">
        <v>237</v>
      </c>
      <c r="AR307">
        <f>N8-AR306</f>
        <v>1408</v>
      </c>
    </row>
    <row r="308" spans="43:44" x14ac:dyDescent="0.25">
      <c r="AQ308" t="s">
        <v>238</v>
      </c>
      <c r="AR308">
        <f>IFERROR(AR307/BN26,0)</f>
        <v>0</v>
      </c>
    </row>
    <row r="309" spans="43:44" x14ac:dyDescent="0.25">
      <c r="AQ309" t="s">
        <v>239</v>
      </c>
      <c r="AR309">
        <f>AR308*AR303</f>
        <v>0</v>
      </c>
    </row>
    <row r="310" spans="43:44" x14ac:dyDescent="0.25">
      <c r="AQ310" t="s">
        <v>240</v>
      </c>
      <c r="AR310">
        <f>IF($AR309&gt;=$AU51,50,IF($AR309&gt;=$AU50,49,IF($AR309&gt;=$AU49,48,IF($AR309&gt;=$AU48,47,IF($AR309&gt;=$AU47,46,IF($AR309&gt;=$AU46,45,IF($AR309&gt;=$AU45,44,IF($AR309&gt;=$AU44,43,IF($AR309&gt;=$AU43,42,IF($AR309&gt;=$AU42,41,IF($AR309&gt;=$AU41,40,IF($AR309&gt;=$AU40,39,IF($AR309&gt;=$AU39,38,IF($AR309&gt;=$AU38,37,IF($AR309&gt;=$AU37,36,IF($AR309&gt;=$AU36,35,IF($AR309&gt;=$AU35,34,IF($AR309&gt;=$AU34,33,IF($AR309&gt;=$AU33,32,IF($AR309&gt;=$AU32,31,IF($AR309&gt;=$AU31,30,IF($AR309&gt;=$AU30,29,IF($AR309&gt;=$AU29,28,IF($AR309&gt;=$AU28,27,IF($AR309&gt;=$AU27,26,IF($AR309&gt;=$AU26,25,IF($AR309&gt;=$AU25,24,IF($AR309&gt;=$AU24,23,IF($AR309&gt;=$AU23,22,IF($AR309&gt;=$AU22,21,IF($AR309&gt;=$AU21,20,IF($AR309&gt;=$AU20,19,IF($AR309&gt;=$AU19,18,IF($AR309&gt;=$AU18,17,IF($AR309&gt;=$AU17,16,IF($AR309&gt;=$AU16,15,IF($AR309&gt;=$AU15,14,IF($AR309&gt;=$AU14,13,IF($AR309&gt;=$AU13,12,IF($AR309&gt;=$AU12,11,IF($AR309&gt;=$AU11,10,IF($AR309&gt;=$AU10,9,IF($AR309&gt;=$AU9,8,IF($AR309&gt;=$AU8,7,IF($AR309&gt;=$AU7,6,IF($AR309&gt;=$AU6,5,IF($AR309&gt;=$AU5,4,IF($AR309&gt;=$AU4,3,IF($AR309&gt;=$AU3,2,IF($AR309&gt;=$AU2,1,0))))))))))))))))))))))))))))))))))))))))))))))))))</f>
        <v>0</v>
      </c>
    </row>
    <row r="311" spans="43:44" x14ac:dyDescent="0.25">
      <c r="AQ311" t="s">
        <v>241</v>
      </c>
      <c r="AR311">
        <f>AR310*VLOOKUP(AO8,tbStatus!A22:E33,5,FALSE)</f>
        <v>0</v>
      </c>
    </row>
    <row r="312" spans="43:44" x14ac:dyDescent="0.25">
      <c r="AQ312" t="s">
        <v>242</v>
      </c>
      <c r="AR312">
        <f>ROUND((AR311/N8)*BN26,0)</f>
        <v>0</v>
      </c>
    </row>
    <row r="314" spans="43:44" x14ac:dyDescent="0.25">
      <c r="AQ314" t="s">
        <v>574</v>
      </c>
      <c r="AR314" t="str">
        <f>IFERROR(INDEX(tbHitzones!K:K,MATCH(ROWS(tbHitzones!$1:25),tbHitzones!K:K,0)),"")</f>
        <v/>
      </c>
    </row>
    <row r="315" spans="43:44" x14ac:dyDescent="0.25">
      <c r="AQ315" t="s">
        <v>234</v>
      </c>
      <c r="AR315">
        <f>IFERROR(N8/BN27,0)</f>
        <v>0</v>
      </c>
    </row>
    <row r="316" spans="43:44" x14ac:dyDescent="0.25">
      <c r="AQ316" t="s">
        <v>572</v>
      </c>
      <c r="AR316">
        <f>AO6*AO42</f>
        <v>0</v>
      </c>
    </row>
    <row r="317" spans="43:44" x14ac:dyDescent="0.25">
      <c r="AQ317" t="s">
        <v>190</v>
      </c>
      <c r="AR317">
        <f>AR315*AR316</f>
        <v>0</v>
      </c>
    </row>
    <row r="318" spans="43:44" x14ac:dyDescent="0.25">
      <c r="AQ318" t="s">
        <v>235</v>
      </c>
      <c r="AR318">
        <f>IF($AR317&gt;=$AU51,50,IF($AR317&gt;=$AU50,49,IF($AR317&gt;=$AU49,48,IF($AR317&gt;=$AU48,47,IF($AR317&gt;=$AU47,46,IF($AR317&gt;=$AU46,45,IF($AR317&gt;=$AU45,44,IF($AR317&gt;=$AU44,43,IF($AR317&gt;=$AU43,42,IF($AR317&gt;=$AU42,41,IF($AR317&gt;=$AU41,40,IF($AR317&gt;=$AU40,39,IF($AR317&gt;=$AU39,38,IF($AR317&gt;=$AU38,37,IF($AR317&gt;=$AU37,36,IF($AR317&gt;=$AU36,35,IF($AR317&gt;=$AU35,34,IF($AR317&gt;=$AU34,33,IF($AR317&gt;=$AU33,32,IF($AR317&gt;=$AU32,31,IF($AR317&gt;=$AU31,30,IF($AR317&gt;=$AU30,29,IF($AR317&gt;=$AU29,28,IF($AR317&gt;=$AU28,27,IF($AR317&gt;=$AU27,26,IF($AR317&gt;=$AU26,25,IF($AR317&gt;=$AU25,24,IF($AR317&gt;=$AU24,23,IF($AR317&gt;=$AU23,22,IF($AR317&gt;=$AU22,21,IF($AR317&gt;=$AU21,20,IF($AR317&gt;=$AU20,19,IF($AR317&gt;=$AU19,18,IF($AR317&gt;=$AU18,17,IF($AR317&gt;=$AU17,16,IF($AR317&gt;=$AU16,15,IF($AR317&gt;=$AU15,14,IF($AR317&gt;=$AU14,13,IF($AR317&gt;=$AU13,12,IF($AR317&gt;=$AU12,11,IF($AR317&gt;=$AU11,10,IF($AR317&gt;=$AU10,9,IF($AR317&gt;=$AU9,8,IF($AR317&gt;=$AU8,7,IF($AR317&gt;=$AU7,6,IF($AR317&gt;=$AU6,5,IF($AR317&gt;=$AU5,4,IF($AR317&gt;=$AU4,3,IF($AR317&gt;=$AU3,2,IF($AR317&gt;=$AU2,1,0))))))))))))))))))))))))))))))))))))))))))))))))))</f>
        <v>0</v>
      </c>
    </row>
    <row r="319" spans="43:44" x14ac:dyDescent="0.25">
      <c r="AQ319" t="s">
        <v>236</v>
      </c>
      <c r="AR319">
        <f>AR318*VLOOKUP(AO8,tbStatus!A22:E33,5,FALSE)</f>
        <v>0</v>
      </c>
    </row>
    <row r="320" spans="43:44" x14ac:dyDescent="0.25">
      <c r="AQ320" t="s">
        <v>237</v>
      </c>
      <c r="AR320">
        <f>N8-AR319</f>
        <v>1408</v>
      </c>
    </row>
    <row r="321" spans="43:44" x14ac:dyDescent="0.25">
      <c r="AQ321" t="s">
        <v>238</v>
      </c>
      <c r="AR321">
        <f>IFERROR(AR320/BN27,0)</f>
        <v>0</v>
      </c>
    </row>
    <row r="322" spans="43:44" x14ac:dyDescent="0.25">
      <c r="AQ322" t="s">
        <v>239</v>
      </c>
      <c r="AR322">
        <f>AR321*AR316</f>
        <v>0</v>
      </c>
    </row>
    <row r="323" spans="43:44" x14ac:dyDescent="0.25">
      <c r="AQ323" t="s">
        <v>240</v>
      </c>
      <c r="AR323">
        <f>IF($AR322&gt;=$AU51,50,IF($AR322&gt;=$AU50,49,IF($AR322&gt;=$AU49,48,IF($AR322&gt;=$AU48,47,IF($AR322&gt;=$AU47,46,IF($AR322&gt;=$AU46,45,IF($AR322&gt;=$AU45,44,IF($AR322&gt;=$AU44,43,IF($AR322&gt;=$AU43,42,IF($AR322&gt;=$AU42,41,IF($AR322&gt;=$AU41,40,IF($AR322&gt;=$AU40,39,IF($AR322&gt;=$AU39,38,IF($AR322&gt;=$AU38,37,IF($AR322&gt;=$AU37,36,IF($AR322&gt;=$AU36,35,IF($AR322&gt;=$AU35,34,IF($AR322&gt;=$AU34,33,IF($AR322&gt;=$AU33,32,IF($AR322&gt;=$AU32,31,IF($AR322&gt;=$AU31,30,IF($AR322&gt;=$AU30,29,IF($AR322&gt;=$AU29,28,IF($AR322&gt;=$AU28,27,IF($AR322&gt;=$AU27,26,IF($AR322&gt;=$AU26,25,IF($AR322&gt;=$AU25,24,IF($AR322&gt;=$AU24,23,IF($AR322&gt;=$AU23,22,IF($AR322&gt;=$AU22,21,IF($AR322&gt;=$AU21,20,IF($AR322&gt;=$AU20,19,IF($AR322&gt;=$AU19,18,IF($AR322&gt;=$AU18,17,IF($AR322&gt;=$AU17,16,IF($AR322&gt;=$AU16,15,IF($AR322&gt;=$AU15,14,IF($AR322&gt;=$AU14,13,IF($AR322&gt;=$AU13,12,IF($AR322&gt;=$AU12,11,IF($AR322&gt;=$AU11,10,IF($AR322&gt;=$AU10,9,IF($AR322&gt;=$AU9,8,IF($AR322&gt;=$AU8,7,IF($AR322&gt;=$AU7,6,IF($AR322&gt;=$AU6,5,IF($AR322&gt;=$AU5,4,IF($AR322&gt;=$AU4,3,IF($AR322&gt;=$AU3,2,IF($AR322&gt;=$AU2,1,0))))))))))))))))))))))))))))))))))))))))))))))))))</f>
        <v>0</v>
      </c>
    </row>
    <row r="324" spans="43:44" x14ac:dyDescent="0.25">
      <c r="AQ324" t="s">
        <v>241</v>
      </c>
      <c r="AR324">
        <f>AR323*VLOOKUP(AO8,tbStatus!A22:E33,5,FALSE)</f>
        <v>0</v>
      </c>
    </row>
    <row r="325" spans="43:44" x14ac:dyDescent="0.25">
      <c r="AQ325" t="s">
        <v>242</v>
      </c>
      <c r="AR325">
        <f>ROUND((AR324/N8)*BN27,0)</f>
        <v>0</v>
      </c>
    </row>
    <row r="327" spans="43:44" x14ac:dyDescent="0.25">
      <c r="AQ327" t="s">
        <v>574</v>
      </c>
      <c r="AR327" t="str">
        <f>IFERROR(INDEX(tbHitzones!K:K,MATCH(ROWS(tbHitzones!$1:26),tbHitzones!K:K,0)),"")</f>
        <v/>
      </c>
    </row>
    <row r="328" spans="43:44" x14ac:dyDescent="0.25">
      <c r="AQ328" t="s">
        <v>234</v>
      </c>
      <c r="AR328">
        <f>IFERROR(N8/BN28,0)</f>
        <v>0</v>
      </c>
    </row>
    <row r="329" spans="43:44" x14ac:dyDescent="0.25">
      <c r="AQ329" t="s">
        <v>572</v>
      </c>
      <c r="AR329">
        <f>AO6*AO43</f>
        <v>0</v>
      </c>
    </row>
    <row r="330" spans="43:44" x14ac:dyDescent="0.25">
      <c r="AQ330" t="s">
        <v>190</v>
      </c>
      <c r="AR330">
        <f>AR328*AR329</f>
        <v>0</v>
      </c>
    </row>
    <row r="331" spans="43:44" x14ac:dyDescent="0.25">
      <c r="AQ331" t="s">
        <v>235</v>
      </c>
      <c r="AR331">
        <f>IF($AR330&gt;=$AU51,50,IF($AR330&gt;=$AU50,49,IF($AR330&gt;=$AU49,48,IF($AR330&gt;=$AU48,47,IF($AR330&gt;=$AU47,46,IF($AR330&gt;=$AU46,45,IF($AR330&gt;=$AU45,44,IF($AR330&gt;=$AU44,43,IF($AR330&gt;=$AU43,42,IF($AR330&gt;=$AU42,41,IF($AR330&gt;=$AU41,40,IF($AR330&gt;=$AU40,39,IF($AR330&gt;=$AU39,38,IF($AR330&gt;=$AU38,37,IF($AR330&gt;=$AU37,36,IF($AR330&gt;=$AU36,35,IF($AR330&gt;=$AU35,34,IF($AR330&gt;=$AU34,33,IF($AR330&gt;=$AU33,32,IF($AR330&gt;=$AU32,31,IF($AR330&gt;=$AU31,30,IF($AR330&gt;=$AU30,29,IF($AR330&gt;=$AU29,28,IF($AR330&gt;=$AU28,27,IF($AR330&gt;=$AU27,26,IF($AR330&gt;=$AU26,25,IF($AR330&gt;=$AU25,24,IF($AR330&gt;=$AU24,23,IF($AR330&gt;=$AU23,22,IF($AR330&gt;=$AU22,21,IF($AR330&gt;=$AU21,20,IF($AR330&gt;=$AU20,19,IF($AR330&gt;=$AU19,18,IF($AR330&gt;=$AU18,17,IF($AR330&gt;=$AU17,16,IF($AR330&gt;=$AU16,15,IF($AR330&gt;=$AU15,14,IF($AR330&gt;=$AU14,13,IF($AR330&gt;=$AU13,12,IF($AR330&gt;=$AU12,11,IF($AR330&gt;=$AU11,10,IF($AR330&gt;=$AU10,9,IF($AR330&gt;=$AU9,8,IF($AR330&gt;=$AU8,7,IF($AR330&gt;=$AU7,6,IF($AR330&gt;=$AU6,5,IF($AR330&gt;=$AU5,4,IF($AR330&gt;=$AU4,3,IF($AR330&gt;=$AU3,2,IF($AR330&gt;=$AU2,1,0))))))))))))))))))))))))))))))))))))))))))))))))))</f>
        <v>0</v>
      </c>
    </row>
    <row r="332" spans="43:44" x14ac:dyDescent="0.25">
      <c r="AQ332" t="s">
        <v>236</v>
      </c>
      <c r="AR332">
        <f>AR331*VLOOKUP(AO8,tbStatus!A22:E33,5,FALSE)</f>
        <v>0</v>
      </c>
    </row>
    <row r="333" spans="43:44" x14ac:dyDescent="0.25">
      <c r="AQ333" t="s">
        <v>237</v>
      </c>
      <c r="AR333">
        <f>N8-AR332</f>
        <v>1408</v>
      </c>
    </row>
    <row r="334" spans="43:44" x14ac:dyDescent="0.25">
      <c r="AQ334" t="s">
        <v>238</v>
      </c>
      <c r="AR334">
        <f>IFERROR(AR333/BN28,0)</f>
        <v>0</v>
      </c>
    </row>
    <row r="335" spans="43:44" x14ac:dyDescent="0.25">
      <c r="AQ335" t="s">
        <v>239</v>
      </c>
      <c r="AR335">
        <f>AR334*AR329</f>
        <v>0</v>
      </c>
    </row>
    <row r="336" spans="43:44" x14ac:dyDescent="0.25">
      <c r="AQ336" t="s">
        <v>240</v>
      </c>
      <c r="AR336">
        <f>IF($AR335&gt;=$AU51,50,IF($AR335&gt;=$AU50,49,IF($AR335&gt;=$AU49,48,IF($AR335&gt;=$AU48,47,IF($AR335&gt;=$AU47,46,IF($AR335&gt;=$AU46,45,IF($AR335&gt;=$AU45,44,IF($AR335&gt;=$AU44,43,IF($AR335&gt;=$AU43,42,IF($AR335&gt;=$AU42,41,IF($AR335&gt;=$AU41,40,IF($AR335&gt;=$AU40,39,IF($AR335&gt;=$AU39,38,IF($AR335&gt;=$AU38,37,IF($AR335&gt;=$AU37,36,IF($AR335&gt;=$AU36,35,IF($AR335&gt;=$AU35,34,IF($AR335&gt;=$AU34,33,IF($AR335&gt;=$AU33,32,IF($AR335&gt;=$AU32,31,IF($AR335&gt;=$AU31,30,IF($AR335&gt;=$AU30,29,IF($AR335&gt;=$AU29,28,IF($AR335&gt;=$AU28,27,IF($AR335&gt;=$AU27,26,IF($AR335&gt;=$AU26,25,IF($AR335&gt;=$AU25,24,IF($AR335&gt;=$AU24,23,IF($AR335&gt;=$AU23,22,IF($AR335&gt;=$AU22,21,IF($AR335&gt;=$AU21,20,IF($AR335&gt;=$AU20,19,IF($AR335&gt;=$AU19,18,IF($AR335&gt;=$AU18,17,IF($AR335&gt;=$AU17,16,IF($AR335&gt;=$AU16,15,IF($AR335&gt;=$AU15,14,IF($AR335&gt;=$AU14,13,IF($AR335&gt;=$AU13,12,IF($AR335&gt;=$AU12,11,IF($AR335&gt;=$AU11,10,IF($AR335&gt;=$AU10,9,IF($AR335&gt;=$AU9,8,IF($AR335&gt;=$AU8,7,IF($AR335&gt;=$AU7,6,IF($AR335&gt;=$AU6,5,IF($AR335&gt;=$AU5,4,IF($AR335&gt;=$AU4,3,IF($AR335&gt;=$AU3,2,IF($AR335&gt;=$AU2,1,0))))))))))))))))))))))))))))))))))))))))))))))))))</f>
        <v>0</v>
      </c>
    </row>
    <row r="337" spans="43:44" x14ac:dyDescent="0.25">
      <c r="AQ337" t="s">
        <v>241</v>
      </c>
      <c r="AR337">
        <f>AR336*VLOOKUP(AO8,tbStatus!A22:E33,5,FALSE)</f>
        <v>0</v>
      </c>
    </row>
    <row r="338" spans="43:44" x14ac:dyDescent="0.25">
      <c r="AQ338" t="s">
        <v>242</v>
      </c>
      <c r="AR338">
        <f>ROUND((AR337/N8)*BN28,0)</f>
        <v>0</v>
      </c>
    </row>
    <row r="340" spans="43:44" x14ac:dyDescent="0.25">
      <c r="AQ340" t="s">
        <v>574</v>
      </c>
      <c r="AR340" t="str">
        <f>IFERROR(INDEX(tbHitzones!K:K,MATCH(ROWS(tbHitzones!$1:27),tbHitzones!K:K,0)),"")</f>
        <v/>
      </c>
    </row>
    <row r="341" spans="43:44" x14ac:dyDescent="0.25">
      <c r="AQ341" t="s">
        <v>234</v>
      </c>
      <c r="AR341">
        <f>IFERROR(N8/BN29,0)</f>
        <v>0</v>
      </c>
    </row>
    <row r="342" spans="43:44" x14ac:dyDescent="0.25">
      <c r="AQ342" t="s">
        <v>572</v>
      </c>
      <c r="AR342">
        <f>AO6*AO44</f>
        <v>0</v>
      </c>
    </row>
    <row r="343" spans="43:44" x14ac:dyDescent="0.25">
      <c r="AQ343" t="s">
        <v>190</v>
      </c>
      <c r="AR343">
        <f>AR341*AR342</f>
        <v>0</v>
      </c>
    </row>
    <row r="344" spans="43:44" x14ac:dyDescent="0.25">
      <c r="AQ344" t="s">
        <v>235</v>
      </c>
      <c r="AR344">
        <f>IF($AR343&gt;=$AU51,50,IF($AR343&gt;=$AU50,49,IF($AR343&gt;=$AU49,48,IF($AR343&gt;=$AU48,47,IF($AR343&gt;=$AU47,46,IF($AR343&gt;=$AU46,45,IF($AR343&gt;=$AU45,44,IF($AR343&gt;=$AU44,43,IF($AR343&gt;=$AU43,42,IF($AR343&gt;=$AU42,41,IF($AR343&gt;=$AU41,40,IF($AR343&gt;=$AU40,39,IF($AR343&gt;=$AU39,38,IF($AR343&gt;=$AU38,37,IF($AR343&gt;=$AU37,36,IF($AR343&gt;=$AU36,35,IF($AR343&gt;=$AU35,34,IF($AR343&gt;=$AU34,33,IF($AR343&gt;=$AU33,32,IF($AR343&gt;=$AU32,31,IF($AR343&gt;=$AU31,30,IF($AR343&gt;=$AU30,29,IF($AR343&gt;=$AU29,28,IF($AR343&gt;=$AU28,27,IF($AR343&gt;=$AU27,26,IF($AR343&gt;=$AU26,25,IF($AR343&gt;=$AU25,24,IF($AR343&gt;=$AU24,23,IF($AR343&gt;=$AU23,22,IF($AR343&gt;=$AU22,21,IF($AR343&gt;=$AU21,20,IF($AR343&gt;=$AU20,19,IF($AR343&gt;=$AU19,18,IF($AR343&gt;=$AU18,17,IF($AR343&gt;=$AU17,16,IF($AR343&gt;=$AU16,15,IF($AR343&gt;=$AU15,14,IF($AR343&gt;=$AU14,13,IF($AR343&gt;=$AU13,12,IF($AR343&gt;=$AU12,11,IF($AR343&gt;=$AU11,10,IF($AR343&gt;=$AU10,9,IF($AR343&gt;=$AU9,8,IF($AR343&gt;=$AU8,7,IF($AR343&gt;=$AU7,6,IF($AR343&gt;=$AU6,5,IF($AR343&gt;=$AU5,4,IF($AR343&gt;=$AU4,3,IF($AR343&gt;=$AU3,2,IF($AR343&gt;=$AU2,1,0))))))))))))))))))))))))))))))))))))))))))))))))))</f>
        <v>0</v>
      </c>
    </row>
    <row r="345" spans="43:44" x14ac:dyDescent="0.25">
      <c r="AQ345" t="s">
        <v>236</v>
      </c>
      <c r="AR345">
        <f>AR344*VLOOKUP(AO8,tbStatus!A22:E33,5,FALSE)</f>
        <v>0</v>
      </c>
    </row>
    <row r="346" spans="43:44" x14ac:dyDescent="0.25">
      <c r="AQ346" t="s">
        <v>237</v>
      </c>
      <c r="AR346">
        <f>N8-AR345</f>
        <v>1408</v>
      </c>
    </row>
    <row r="347" spans="43:44" x14ac:dyDescent="0.25">
      <c r="AQ347" t="s">
        <v>238</v>
      </c>
      <c r="AR347">
        <f>IFERROR(AR346/BN29,0)</f>
        <v>0</v>
      </c>
    </row>
    <row r="348" spans="43:44" x14ac:dyDescent="0.25">
      <c r="AQ348" t="s">
        <v>239</v>
      </c>
      <c r="AR348">
        <f>AR347*AR342</f>
        <v>0</v>
      </c>
    </row>
    <row r="349" spans="43:44" x14ac:dyDescent="0.25">
      <c r="AQ349" t="s">
        <v>240</v>
      </c>
      <c r="AR349">
        <f>IF($AR348&gt;=$AU51,50,IF($AR348&gt;=$AU50,49,IF($AR348&gt;=$AU49,48,IF($AR348&gt;=$AU48,47,IF($AR348&gt;=$AU47,46,IF($AR348&gt;=$AU46,45,IF($AR348&gt;=$AU45,44,IF($AR348&gt;=$AU44,43,IF($AR348&gt;=$AU43,42,IF($AR348&gt;=$AU42,41,IF($AR348&gt;=$AU41,40,IF($AR348&gt;=$AU40,39,IF($AR348&gt;=$AU39,38,IF($AR348&gt;=$AU38,37,IF($AR348&gt;=$AU37,36,IF($AR348&gt;=$AU36,35,IF($AR348&gt;=$AU35,34,IF($AR348&gt;=$AU34,33,IF($AR348&gt;=$AU33,32,IF($AR348&gt;=$AU32,31,IF($AR348&gt;=$AU31,30,IF($AR348&gt;=$AU30,29,IF($AR348&gt;=$AU29,28,IF($AR348&gt;=$AU28,27,IF($AR348&gt;=$AU27,26,IF($AR348&gt;=$AU26,25,IF($AR348&gt;=$AU25,24,IF($AR348&gt;=$AU24,23,IF($AR348&gt;=$AU23,22,IF($AR348&gt;=$AU22,21,IF($AR348&gt;=$AU21,20,IF($AR348&gt;=$AU20,19,IF($AR348&gt;=$AU19,18,IF($AR348&gt;=$AU18,17,IF($AR348&gt;=$AU17,16,IF($AR348&gt;=$AU16,15,IF($AR348&gt;=$AU15,14,IF($AR348&gt;=$AU14,13,IF($AR348&gt;=$AU13,12,IF($AR348&gt;=$AU12,11,IF($AR348&gt;=$AU11,10,IF($AR348&gt;=$AU10,9,IF($AR348&gt;=$AU9,8,IF($AR348&gt;=$AU8,7,IF($AR348&gt;=$AU7,6,IF($AR348&gt;=$AU6,5,IF($AR348&gt;=$AU5,4,IF($AR348&gt;=$AU4,3,IF($AR348&gt;=$AU3,2,IF($AR348&gt;=$AU2,1,0))))))))))))))))))))))))))))))))))))))))))))))))))</f>
        <v>0</v>
      </c>
    </row>
    <row r="350" spans="43:44" x14ac:dyDescent="0.25">
      <c r="AQ350" t="s">
        <v>241</v>
      </c>
      <c r="AR350">
        <f>AR349*VLOOKUP(AO8,tbStatus!A22:E33,5,FALSE)</f>
        <v>0</v>
      </c>
    </row>
    <row r="351" spans="43:44" x14ac:dyDescent="0.25">
      <c r="AQ351" t="s">
        <v>242</v>
      </c>
      <c r="AR351">
        <f>ROUND((AR350/N8)*BN29,0)</f>
        <v>0</v>
      </c>
    </row>
    <row r="353" spans="43:44" x14ac:dyDescent="0.25">
      <c r="AQ353" t="s">
        <v>574</v>
      </c>
      <c r="AR353" t="str">
        <f>IFERROR(INDEX(tbHitzones!K:K,MATCH(ROWS(tbHitzones!$1:28),tbHitzones!K:K,0)),"")</f>
        <v/>
      </c>
    </row>
    <row r="354" spans="43:44" x14ac:dyDescent="0.25">
      <c r="AQ354" t="s">
        <v>234</v>
      </c>
      <c r="AR354">
        <f>IFERROR(N8/BN30,0)</f>
        <v>0</v>
      </c>
    </row>
    <row r="355" spans="43:44" x14ac:dyDescent="0.25">
      <c r="AQ355" t="s">
        <v>572</v>
      </c>
      <c r="AR355">
        <f>AO6*AO45</f>
        <v>0</v>
      </c>
    </row>
    <row r="356" spans="43:44" x14ac:dyDescent="0.25">
      <c r="AQ356" t="s">
        <v>190</v>
      </c>
      <c r="AR356">
        <f>AR354*AR355</f>
        <v>0</v>
      </c>
    </row>
    <row r="357" spans="43:44" x14ac:dyDescent="0.25">
      <c r="AQ357" t="s">
        <v>235</v>
      </c>
      <c r="AR357">
        <f>IF($AR356&gt;=$AU51,50,IF($AR356&gt;=$AU50,49,IF($AR356&gt;=$AU49,48,IF($AR356&gt;=$AU48,47,IF($AR356&gt;=$AU47,46,IF($AR356&gt;=$AU46,45,IF($AR356&gt;=$AU45,44,IF($AR356&gt;=$AU44,43,IF($AR356&gt;=$AU43,42,IF($AR356&gt;=$AU42,41,IF($AR356&gt;=$AU41,40,IF($AR356&gt;=$AU40,39,IF($AR356&gt;=$AU39,38,IF($AR356&gt;=$AU38,37,IF($AR356&gt;=$AU37,36,IF($AR356&gt;=$AU36,35,IF($AR356&gt;=$AU35,34,IF($AR356&gt;=$AU34,33,IF($AR356&gt;=$AU33,32,IF($AR356&gt;=$AU32,31,IF($AR356&gt;=$AU31,30,IF($AR356&gt;=$AU30,29,IF($AR356&gt;=$AU29,28,IF($AR356&gt;=$AU28,27,IF($AR356&gt;=$AU27,26,IF($AR356&gt;=$AU26,25,IF($AR356&gt;=$AU25,24,IF($AR356&gt;=$AU24,23,IF($AR356&gt;=$AU23,22,IF($AR356&gt;=$AU22,21,IF($AR356&gt;=$AU21,20,IF($AR356&gt;=$AU20,19,IF($AR356&gt;=$AU19,18,IF($AR356&gt;=$AU18,17,IF($AR356&gt;=$AU17,16,IF($AR356&gt;=$AU16,15,IF($AR356&gt;=$AU15,14,IF($AR356&gt;=$AU14,13,IF($AR356&gt;=$AU13,12,IF($AR356&gt;=$AU12,11,IF($AR356&gt;=$AU11,10,IF($AR356&gt;=$AU10,9,IF($AR356&gt;=$AU9,8,IF($AR356&gt;=$AU8,7,IF($AR356&gt;=$AU7,6,IF($AR356&gt;=$AU6,5,IF($AR356&gt;=$AU5,4,IF($AR356&gt;=$AU4,3,IF($AR356&gt;=$AU3,2,IF($AR356&gt;=$AU2,1,0))))))))))))))))))))))))))))))))))))))))))))))))))</f>
        <v>0</v>
      </c>
    </row>
    <row r="358" spans="43:44" x14ac:dyDescent="0.25">
      <c r="AQ358" t="s">
        <v>236</v>
      </c>
      <c r="AR358">
        <f>AR357*VLOOKUP(AO8,tbStatus!A22:E33,5,FALSE)</f>
        <v>0</v>
      </c>
    </row>
    <row r="359" spans="43:44" x14ac:dyDescent="0.25">
      <c r="AQ359" t="s">
        <v>237</v>
      </c>
      <c r="AR359">
        <f>N8-AR358</f>
        <v>1408</v>
      </c>
    </row>
    <row r="360" spans="43:44" x14ac:dyDescent="0.25">
      <c r="AQ360" t="s">
        <v>238</v>
      </c>
      <c r="AR360">
        <f>IFERROR(AR359/BN30,0)</f>
        <v>0</v>
      </c>
    </row>
    <row r="361" spans="43:44" x14ac:dyDescent="0.25">
      <c r="AQ361" t="s">
        <v>239</v>
      </c>
      <c r="AR361">
        <f>AR360*AR355</f>
        <v>0</v>
      </c>
    </row>
    <row r="362" spans="43:44" x14ac:dyDescent="0.25">
      <c r="AQ362" t="s">
        <v>240</v>
      </c>
      <c r="AR362">
        <f>IF($AR361&gt;=$AU51,50,IF($AR361&gt;=$AU50,49,IF($AR361&gt;=$AU49,48,IF($AR361&gt;=$AU48,47,IF($AR361&gt;=$AU47,46,IF($AR361&gt;=$AU46,45,IF($AR361&gt;=$AU45,44,IF($AR361&gt;=$AU44,43,IF($AR361&gt;=$AU43,42,IF($AR361&gt;=$AU42,41,IF($AR361&gt;=$AU41,40,IF($AR361&gt;=$AU40,39,IF($AR361&gt;=$AU39,38,IF($AR361&gt;=$AU38,37,IF($AR361&gt;=$AU37,36,IF($AR361&gt;=$AU36,35,IF($AR361&gt;=$AU35,34,IF($AR361&gt;=$AU34,33,IF($AR361&gt;=$AU33,32,IF($AR361&gt;=$AU32,31,IF($AR361&gt;=$AU31,30,IF($AR361&gt;=$AU30,29,IF($AR361&gt;=$AU29,28,IF($AR361&gt;=$AU28,27,IF($AR361&gt;=$AU27,26,IF($AR361&gt;=$AU26,25,IF($AR361&gt;=$AU25,24,IF($AR361&gt;=$AU24,23,IF($AR361&gt;=$AU23,22,IF($AR361&gt;=$AU22,21,IF($AR361&gt;=$AU21,20,IF($AR361&gt;=$AU20,19,IF($AR361&gt;=$AU19,18,IF($AR361&gt;=$AU18,17,IF($AR361&gt;=$AU17,16,IF($AR361&gt;=$AU16,15,IF($AR361&gt;=$AU15,14,IF($AR361&gt;=$AU14,13,IF($AR361&gt;=$AU13,12,IF($AR361&gt;=$AU12,11,IF($AR361&gt;=$AU11,10,IF($AR361&gt;=$AU10,9,IF($AR361&gt;=$AU9,8,IF($AR361&gt;=$AU8,7,IF($AR361&gt;=$AU7,6,IF($AR361&gt;=$AU6,5,IF($AR361&gt;=$AU5,4,IF($AR361&gt;=$AU4,3,IF($AR361&gt;=$AU3,2,IF($AR361&gt;=$AU2,1,0))))))))))))))))))))))))))))))))))))))))))))))))))</f>
        <v>0</v>
      </c>
    </row>
    <row r="363" spans="43:44" x14ac:dyDescent="0.25">
      <c r="AQ363" t="s">
        <v>241</v>
      </c>
      <c r="AR363">
        <f>AR362*VLOOKUP(AO8,tbStatus!A22:E33,5,FALSE)</f>
        <v>0</v>
      </c>
    </row>
    <row r="364" spans="43:44" x14ac:dyDescent="0.25">
      <c r="AQ364" t="s">
        <v>242</v>
      </c>
      <c r="AR364">
        <f>ROUND((AR363/N8)*BN30,0)</f>
        <v>0</v>
      </c>
    </row>
    <row r="366" spans="43:44" x14ac:dyDescent="0.25">
      <c r="AQ366" t="s">
        <v>574</v>
      </c>
      <c r="AR366" t="str">
        <f>IFERROR(INDEX(tbHitzones!K:K,MATCH(ROWS(tbHitzones!$1:29),tbHitzones!K:K,0)),"")</f>
        <v/>
      </c>
    </row>
    <row r="367" spans="43:44" x14ac:dyDescent="0.25">
      <c r="AQ367" t="s">
        <v>234</v>
      </c>
      <c r="AR367">
        <f>IFERROR(N8/BN31,0)</f>
        <v>0</v>
      </c>
    </row>
    <row r="368" spans="43:44" x14ac:dyDescent="0.25">
      <c r="AQ368" t="s">
        <v>572</v>
      </c>
      <c r="AR368">
        <f>AO6*AO46</f>
        <v>0</v>
      </c>
    </row>
    <row r="369" spans="43:44" x14ac:dyDescent="0.25">
      <c r="AQ369" t="s">
        <v>190</v>
      </c>
      <c r="AR369">
        <f>AR367*AR368</f>
        <v>0</v>
      </c>
    </row>
    <row r="370" spans="43:44" x14ac:dyDescent="0.25">
      <c r="AQ370" t="s">
        <v>235</v>
      </c>
      <c r="AR370">
        <f>IF($AR369&gt;=$AU51,50,IF($AR369&gt;=$AU50,49,IF($AR369&gt;=$AU49,48,IF($AR369&gt;=$AU48,47,IF($AR369&gt;=$AU47,46,IF($AR369&gt;=$AU46,45,IF($AR369&gt;=$AU45,44,IF($AR369&gt;=$AU44,43,IF($AR369&gt;=$AU43,42,IF($AR369&gt;=$AU42,41,IF($AR369&gt;=$AU41,40,IF($AR369&gt;=$AU40,39,IF($AR369&gt;=$AU39,38,IF($AR369&gt;=$AU38,37,IF($AR369&gt;=$AU37,36,IF($AR369&gt;=$AU36,35,IF($AR369&gt;=$AU35,34,IF($AR369&gt;=$AU34,33,IF($AR369&gt;=$AU33,32,IF($AR369&gt;=$AU32,31,IF($AR369&gt;=$AU31,30,IF($AR369&gt;=$AU30,29,IF($AR369&gt;=$AU29,28,IF($AR369&gt;=$AU28,27,IF($AR369&gt;=$AU27,26,IF($AR369&gt;=$AU26,25,IF($AR369&gt;=$AU25,24,IF($AR369&gt;=$AU24,23,IF($AR369&gt;=$AU23,22,IF($AR369&gt;=$AU22,21,IF($AR369&gt;=$AU21,20,IF($AR369&gt;=$AU20,19,IF($AR369&gt;=$AU19,18,IF($AR369&gt;=$AU18,17,IF($AR369&gt;=$AU17,16,IF($AR369&gt;=$AU16,15,IF($AR369&gt;=$AU15,14,IF($AR369&gt;=$AU14,13,IF($AR369&gt;=$AU13,12,IF($AR369&gt;=$AU12,11,IF($AR369&gt;=$AU11,10,IF($AR369&gt;=$AU10,9,IF($AR369&gt;=$AU9,8,IF($AR369&gt;=$AU8,7,IF($AR369&gt;=$AU7,6,IF($AR369&gt;=$AU6,5,IF($AR369&gt;=$AU5,4,IF($AR369&gt;=$AU4,3,IF($AR369&gt;=$AU3,2,IF($AR369&gt;=$AU2,1,0))))))))))))))))))))))))))))))))))))))))))))))))))</f>
        <v>0</v>
      </c>
    </row>
    <row r="371" spans="43:44" x14ac:dyDescent="0.25">
      <c r="AQ371" t="s">
        <v>236</v>
      </c>
      <c r="AR371">
        <f>AR370*VLOOKUP(AO8,tbStatus!A22:E33,5,FALSE)</f>
        <v>0</v>
      </c>
    </row>
    <row r="372" spans="43:44" x14ac:dyDescent="0.25">
      <c r="AQ372" t="s">
        <v>237</v>
      </c>
      <c r="AR372">
        <f>N8-AR371</f>
        <v>1408</v>
      </c>
    </row>
    <row r="373" spans="43:44" x14ac:dyDescent="0.25">
      <c r="AQ373" t="s">
        <v>238</v>
      </c>
      <c r="AR373">
        <f>IFERROR(AR372/BN31,0)</f>
        <v>0</v>
      </c>
    </row>
    <row r="374" spans="43:44" x14ac:dyDescent="0.25">
      <c r="AQ374" t="s">
        <v>239</v>
      </c>
      <c r="AR374">
        <f>AR373*AR368</f>
        <v>0</v>
      </c>
    </row>
    <row r="375" spans="43:44" x14ac:dyDescent="0.25">
      <c r="AQ375" t="s">
        <v>240</v>
      </c>
      <c r="AR375">
        <f>IF($AR374&gt;=$AU51,50,IF($AR374&gt;=$AU50,49,IF($AR374&gt;=$AU49,48,IF($AR374&gt;=$AU48,47,IF($AR374&gt;=$AU47,46,IF($AR374&gt;=$AU46,45,IF($AR374&gt;=$AU45,44,IF($AR374&gt;=$AU44,43,IF($AR374&gt;=$AU43,42,IF($AR374&gt;=$AU42,41,IF($AR374&gt;=$AU41,40,IF($AR374&gt;=$AU40,39,IF($AR374&gt;=$AU39,38,IF($AR374&gt;=$AU38,37,IF($AR374&gt;=$AU37,36,IF($AR374&gt;=$AU36,35,IF($AR374&gt;=$AU35,34,IF($AR374&gt;=$AU34,33,IF($AR374&gt;=$AU33,32,IF($AR374&gt;=$AU32,31,IF($AR374&gt;=$AU31,30,IF($AR374&gt;=$AU30,29,IF($AR374&gt;=$AU29,28,IF($AR374&gt;=$AU28,27,IF($AR374&gt;=$AU27,26,IF($AR374&gt;=$AU26,25,IF($AR374&gt;=$AU25,24,IF($AR374&gt;=$AU24,23,IF($AR374&gt;=$AU23,22,IF($AR374&gt;=$AU22,21,IF($AR374&gt;=$AU21,20,IF($AR374&gt;=$AU20,19,IF($AR374&gt;=$AU19,18,IF($AR374&gt;=$AU18,17,IF($AR374&gt;=$AU17,16,IF($AR374&gt;=$AU16,15,IF($AR374&gt;=$AU15,14,IF($AR374&gt;=$AU14,13,IF($AR374&gt;=$AU13,12,IF($AR374&gt;=$AU12,11,IF($AR374&gt;=$AU11,10,IF($AR374&gt;=$AU10,9,IF($AR374&gt;=$AU9,8,IF($AR374&gt;=$AU8,7,IF($AR374&gt;=$AU7,6,IF($AR374&gt;=$AU6,5,IF($AR374&gt;=$AU5,4,IF($AR374&gt;=$AU4,3,IF($AR374&gt;=$AU3,2,IF($AR374&gt;=$AU2,1,0))))))))))))))))))))))))))))))))))))))))))))))))))</f>
        <v>0</v>
      </c>
    </row>
    <row r="376" spans="43:44" x14ac:dyDescent="0.25">
      <c r="AQ376" t="s">
        <v>241</v>
      </c>
      <c r="AR376">
        <f>AR375*VLOOKUP(AO8,tbStatus!A22:E33,5,FALSE)</f>
        <v>0</v>
      </c>
    </row>
    <row r="377" spans="43:44" x14ac:dyDescent="0.25">
      <c r="AQ377" t="s">
        <v>242</v>
      </c>
      <c r="AR377">
        <f>ROUND((AR376/N8)*BN31,0)</f>
        <v>0</v>
      </c>
    </row>
    <row r="379" spans="43:44" x14ac:dyDescent="0.25">
      <c r="AQ379" t="s">
        <v>574</v>
      </c>
      <c r="AR379" t="str">
        <f>IFERROR(INDEX(tbHitzones!K:K,MATCH(ROWS(tbHitzones!$1:30),tbHitzones!K:K,0)),"")</f>
        <v/>
      </c>
    </row>
    <row r="380" spans="43:44" x14ac:dyDescent="0.25">
      <c r="AQ380" t="s">
        <v>234</v>
      </c>
      <c r="AR380">
        <f>IFERROR(N8/BN32,0)</f>
        <v>0</v>
      </c>
    </row>
    <row r="381" spans="43:44" x14ac:dyDescent="0.25">
      <c r="AQ381" t="s">
        <v>572</v>
      </c>
      <c r="AR381">
        <f>AO6*AO47</f>
        <v>0</v>
      </c>
    </row>
    <row r="382" spans="43:44" x14ac:dyDescent="0.25">
      <c r="AQ382" t="s">
        <v>190</v>
      </c>
      <c r="AR382">
        <f>AR380*AR381</f>
        <v>0</v>
      </c>
    </row>
    <row r="383" spans="43:44" x14ac:dyDescent="0.25">
      <c r="AQ383" t="s">
        <v>235</v>
      </c>
      <c r="AR383">
        <f>IF($AR382&gt;=$AU51,50,IF($AR382&gt;=$AU50,49,IF($AR382&gt;=$AU49,48,IF($AR382&gt;=$AU48,47,IF($AR382&gt;=$AU47,46,IF($AR382&gt;=$AU46,45,IF($AR382&gt;=$AU45,44,IF($AR382&gt;=$AU44,43,IF($AR382&gt;=$AU43,42,IF($AR382&gt;=$AU42,41,IF($AR382&gt;=$AU41,40,IF($AR382&gt;=$AU40,39,IF($AR382&gt;=$AU39,38,IF($AR382&gt;=$AU38,37,IF($AR382&gt;=$AU37,36,IF($AR382&gt;=$AU36,35,IF($AR382&gt;=$AU35,34,IF($AR382&gt;=$AU34,33,IF($AR382&gt;=$AU33,32,IF($AR382&gt;=$AU32,31,IF($AR382&gt;=$AU31,30,IF($AR382&gt;=$AU30,29,IF($AR382&gt;=$AU29,28,IF($AR382&gt;=$AU28,27,IF($AR382&gt;=$AU27,26,IF($AR382&gt;=$AU26,25,IF($AR382&gt;=$AU25,24,IF($AR382&gt;=$AU24,23,IF($AR382&gt;=$AU23,22,IF($AR382&gt;=$AU22,21,IF($AR382&gt;=$AU21,20,IF($AR382&gt;=$AU20,19,IF($AR382&gt;=$AU19,18,IF($AR382&gt;=$AU18,17,IF($AR382&gt;=$AU17,16,IF($AR382&gt;=$AU16,15,IF($AR382&gt;=$AU15,14,IF($AR382&gt;=$AU14,13,IF($AR382&gt;=$AU13,12,IF($AR382&gt;=$AU12,11,IF($AR382&gt;=$AU11,10,IF($AR382&gt;=$AU10,9,IF($AR382&gt;=$AU9,8,IF($AR382&gt;=$AU8,7,IF($AR382&gt;=$AU7,6,IF($AR382&gt;=$AU6,5,IF($AR382&gt;=$AU5,4,IF($AR382&gt;=$AU4,3,IF($AR382&gt;=$AU3,2,IF($AR382&gt;=$AU2,1,0))))))))))))))))))))))))))))))))))))))))))))))))))</f>
        <v>0</v>
      </c>
    </row>
    <row r="384" spans="43:44" x14ac:dyDescent="0.25">
      <c r="AQ384" t="s">
        <v>236</v>
      </c>
      <c r="AR384">
        <f>AR383*VLOOKUP(AO8,tbStatus!A22:E33,5,FALSE)</f>
        <v>0</v>
      </c>
    </row>
    <row r="385" spans="43:44" x14ac:dyDescent="0.25">
      <c r="AQ385" t="s">
        <v>237</v>
      </c>
      <c r="AR385">
        <f>N8-AR384</f>
        <v>1408</v>
      </c>
    </row>
    <row r="386" spans="43:44" x14ac:dyDescent="0.25">
      <c r="AQ386" t="s">
        <v>238</v>
      </c>
      <c r="AR386">
        <f>IFERROR(AR385/BN32,0)</f>
        <v>0</v>
      </c>
    </row>
    <row r="387" spans="43:44" x14ac:dyDescent="0.25">
      <c r="AQ387" t="s">
        <v>239</v>
      </c>
      <c r="AR387">
        <f>AR386*AR381</f>
        <v>0</v>
      </c>
    </row>
    <row r="388" spans="43:44" x14ac:dyDescent="0.25">
      <c r="AQ388" t="s">
        <v>240</v>
      </c>
      <c r="AR388">
        <f>IF($AR387&gt;=$AU51,50,IF($AR387&gt;=$AU50,49,IF($AR387&gt;=$AU49,48,IF($AR387&gt;=$AU48,47,IF($AR387&gt;=$AU47,46,IF($AR387&gt;=$AU46,45,IF($AR387&gt;=$AU45,44,IF($AR387&gt;=$AU44,43,IF($AR387&gt;=$AU43,42,IF($AR387&gt;=$AU42,41,IF($AR387&gt;=$AU41,40,IF($AR387&gt;=$AU40,39,IF($AR387&gt;=$AU39,38,IF($AR387&gt;=$AU38,37,IF($AR387&gt;=$AU37,36,IF($AR387&gt;=$AU36,35,IF($AR387&gt;=$AU35,34,IF($AR387&gt;=$AU34,33,IF($AR387&gt;=$AU33,32,IF($AR387&gt;=$AU32,31,IF($AR387&gt;=$AU31,30,IF($AR387&gt;=$AU30,29,IF($AR387&gt;=$AU29,28,IF($AR387&gt;=$AU28,27,IF($AR387&gt;=$AU27,26,IF($AR387&gt;=$AU26,25,IF($AR387&gt;=$AU25,24,IF($AR387&gt;=$AU24,23,IF($AR387&gt;=$AU23,22,IF($AR387&gt;=$AU22,21,IF($AR387&gt;=$AU21,20,IF($AR387&gt;=$AU20,19,IF($AR387&gt;=$AU19,18,IF($AR387&gt;=$AU18,17,IF($AR387&gt;=$AU17,16,IF($AR387&gt;=$AU16,15,IF($AR387&gt;=$AU15,14,IF($AR387&gt;=$AU14,13,IF($AR387&gt;=$AU13,12,IF($AR387&gt;=$AU12,11,IF($AR387&gt;=$AU11,10,IF($AR387&gt;=$AU10,9,IF($AR387&gt;=$AU9,8,IF($AR387&gt;=$AU8,7,IF($AR387&gt;=$AU7,6,IF($AR387&gt;=$AU6,5,IF($AR387&gt;=$AU5,4,IF($AR387&gt;=$AU4,3,IF($AR387&gt;=$AU3,2,IF($AR387&gt;=$AU2,1,0))))))))))))))))))))))))))))))))))))))))))))))))))</f>
        <v>0</v>
      </c>
    </row>
    <row r="389" spans="43:44" x14ac:dyDescent="0.25">
      <c r="AQ389" t="s">
        <v>241</v>
      </c>
      <c r="AR389">
        <f>AR388*VLOOKUP(AO8,tbStatus!A22:E33,5,FALSE)</f>
        <v>0</v>
      </c>
    </row>
    <row r="390" spans="43:44" x14ac:dyDescent="0.25">
      <c r="AQ390" t="s">
        <v>242</v>
      </c>
      <c r="AR390">
        <f>ROUND((AR389/N8)*BN32,0)</f>
        <v>0</v>
      </c>
    </row>
    <row r="392" spans="43:44" x14ac:dyDescent="0.25">
      <c r="AQ392" t="s">
        <v>574</v>
      </c>
      <c r="AR392" t="str">
        <f>IFERROR(INDEX(tbHitzones!K:K,MATCH(ROWS(tbHitzones!$1:31),tbHitzones!K:K,0)),"")</f>
        <v/>
      </c>
    </row>
    <row r="393" spans="43:44" x14ac:dyDescent="0.25">
      <c r="AQ393" t="s">
        <v>234</v>
      </c>
      <c r="AR393">
        <f>IFERROR(N8/BN33,0)</f>
        <v>0</v>
      </c>
    </row>
    <row r="394" spans="43:44" x14ac:dyDescent="0.25">
      <c r="AQ394" t="s">
        <v>572</v>
      </c>
      <c r="AR394">
        <f>AO6*AO48</f>
        <v>0</v>
      </c>
    </row>
    <row r="395" spans="43:44" x14ac:dyDescent="0.25">
      <c r="AQ395" t="s">
        <v>190</v>
      </c>
      <c r="AR395">
        <f>AR393*AR394</f>
        <v>0</v>
      </c>
    </row>
    <row r="396" spans="43:44" x14ac:dyDescent="0.25">
      <c r="AQ396" t="s">
        <v>235</v>
      </c>
      <c r="AR396">
        <f>IF($AR395&gt;=$AU51,50,IF($AR395&gt;=$AU50,49,IF($AR395&gt;=$AU49,48,IF($AR395&gt;=$AU48,47,IF($AR395&gt;=$AU47,46,IF($AR395&gt;=$AU46,45,IF($AR395&gt;=$AU45,44,IF($AR395&gt;=$AU44,43,IF($AR395&gt;=$AU43,42,IF($AR395&gt;=$AU42,41,IF($AR395&gt;=$AU41,40,IF($AR395&gt;=$AU40,39,IF($AR395&gt;=$AU39,38,IF($AR395&gt;=$AU38,37,IF($AR395&gt;=$AU37,36,IF($AR395&gt;=$AU36,35,IF($AR395&gt;=$AU35,34,IF($AR395&gt;=$AU34,33,IF($AR395&gt;=$AU33,32,IF($AR395&gt;=$AU32,31,IF($AR395&gt;=$AU31,30,IF($AR395&gt;=$AU30,29,IF($AR395&gt;=$AU29,28,IF($AR395&gt;=$AU28,27,IF($AR395&gt;=$AU27,26,IF($AR395&gt;=$AU26,25,IF($AR395&gt;=$AU25,24,IF($AR395&gt;=$AU24,23,IF($AR395&gt;=$AU23,22,IF($AR395&gt;=$AU22,21,IF($AR395&gt;=$AU21,20,IF($AR395&gt;=$AU20,19,IF($AR395&gt;=$AU19,18,IF($AR395&gt;=$AU18,17,IF($AR395&gt;=$AU17,16,IF($AR395&gt;=$AU16,15,IF($AR395&gt;=$AU15,14,IF($AR395&gt;=$AU14,13,IF($AR395&gt;=$AU13,12,IF($AR395&gt;=$AU12,11,IF($AR395&gt;=$AU11,10,IF($AR395&gt;=$AU10,9,IF($AR395&gt;=$AU9,8,IF($AR395&gt;=$AU8,7,IF($AR395&gt;=$AU7,6,IF($AR395&gt;=$AU6,5,IF($AR395&gt;=$AU5,4,IF($AR395&gt;=$AU4,3,IF($AR395&gt;=$AU3,2,IF($AR395&gt;=$AU2,1,0))))))))))))))))))))))))))))))))))))))))))))))))))</f>
        <v>0</v>
      </c>
    </row>
    <row r="397" spans="43:44" x14ac:dyDescent="0.25">
      <c r="AQ397" t="s">
        <v>236</v>
      </c>
      <c r="AR397">
        <f>AR396*VLOOKUP(AO8,tbStatus!A22:E33,5,FALSE)</f>
        <v>0</v>
      </c>
    </row>
    <row r="398" spans="43:44" x14ac:dyDescent="0.25">
      <c r="AQ398" t="s">
        <v>237</v>
      </c>
      <c r="AR398">
        <f>N8-AR397</f>
        <v>1408</v>
      </c>
    </row>
    <row r="399" spans="43:44" x14ac:dyDescent="0.25">
      <c r="AQ399" t="s">
        <v>238</v>
      </c>
      <c r="AR399">
        <f>IFERROR(AR398/BN33,0)</f>
        <v>0</v>
      </c>
    </row>
    <row r="400" spans="43:44" x14ac:dyDescent="0.25">
      <c r="AQ400" t="s">
        <v>239</v>
      </c>
      <c r="AR400">
        <f>AR399*AR394</f>
        <v>0</v>
      </c>
    </row>
    <row r="401" spans="43:44" x14ac:dyDescent="0.25">
      <c r="AQ401" t="s">
        <v>240</v>
      </c>
      <c r="AR401">
        <f>IF($AR400&gt;=$AU51,50,IF($AR400&gt;=$AU50,49,IF($AR400&gt;=$AU49,48,IF($AR400&gt;=$AU48,47,IF($AR400&gt;=$AU47,46,IF($AR400&gt;=$AU46,45,IF($AR400&gt;=$AU45,44,IF($AR400&gt;=$AU44,43,IF($AR400&gt;=$AU43,42,IF($AR400&gt;=$AU42,41,IF($AR400&gt;=$AU41,40,IF($AR400&gt;=$AU40,39,IF($AR400&gt;=$AU39,38,IF($AR400&gt;=$AU38,37,IF($AR400&gt;=$AU37,36,IF($AR400&gt;=$AU36,35,IF($AR400&gt;=$AU35,34,IF($AR400&gt;=$AU34,33,IF($AR400&gt;=$AU33,32,IF($AR400&gt;=$AU32,31,IF($AR400&gt;=$AU31,30,IF($AR400&gt;=$AU30,29,IF($AR400&gt;=$AU29,28,IF($AR400&gt;=$AU28,27,IF($AR400&gt;=$AU27,26,IF($AR400&gt;=$AU26,25,IF($AR400&gt;=$AU25,24,IF($AR400&gt;=$AU24,23,IF($AR400&gt;=$AU23,22,IF($AR400&gt;=$AU22,21,IF($AR400&gt;=$AU21,20,IF($AR400&gt;=$AU20,19,IF($AR400&gt;=$AU19,18,IF($AR400&gt;=$AU18,17,IF($AR400&gt;=$AU17,16,IF($AR400&gt;=$AU16,15,IF($AR400&gt;=$AU15,14,IF($AR400&gt;=$AU14,13,IF($AR400&gt;=$AU13,12,IF($AR400&gt;=$AU12,11,IF($AR400&gt;=$AU11,10,IF($AR400&gt;=$AU10,9,IF($AR400&gt;=$AU9,8,IF($AR400&gt;=$AU8,7,IF($AR400&gt;=$AU7,6,IF($AR400&gt;=$AU6,5,IF($AR400&gt;=$AU5,4,IF($AR400&gt;=$AU4,3,IF($AR400&gt;=$AU3,2,IF($AR400&gt;=$AU2,1,0))))))))))))))))))))))))))))))))))))))))))))))))))</f>
        <v>0</v>
      </c>
    </row>
    <row r="402" spans="43:44" x14ac:dyDescent="0.25">
      <c r="AQ402" t="s">
        <v>241</v>
      </c>
      <c r="AR402">
        <f>AR401*VLOOKUP(AO8,tbStatus!A22:E33,5,FALSE)</f>
        <v>0</v>
      </c>
    </row>
    <row r="403" spans="43:44" x14ac:dyDescent="0.25">
      <c r="AQ403" t="s">
        <v>242</v>
      </c>
      <c r="AR403">
        <f>ROUND((AR402/N8)*BN33,0)</f>
        <v>0</v>
      </c>
    </row>
    <row r="405" spans="43:44" x14ac:dyDescent="0.25">
      <c r="AQ405" t="s">
        <v>574</v>
      </c>
      <c r="AR405" t="str">
        <f>IFERROR(INDEX(tbHitzones!K:K,MATCH(ROWS(tbHitzones!$1:32),tbHitzones!K:K,0)),"")</f>
        <v/>
      </c>
    </row>
    <row r="406" spans="43:44" x14ac:dyDescent="0.25">
      <c r="AQ406" t="s">
        <v>234</v>
      </c>
      <c r="AR406">
        <f>IFERROR(N8/BN34,0)</f>
        <v>0</v>
      </c>
    </row>
    <row r="407" spans="43:44" x14ac:dyDescent="0.25">
      <c r="AQ407" t="s">
        <v>572</v>
      </c>
      <c r="AR407">
        <f>AO6*AO49</f>
        <v>0</v>
      </c>
    </row>
    <row r="408" spans="43:44" x14ac:dyDescent="0.25">
      <c r="AQ408" t="s">
        <v>190</v>
      </c>
      <c r="AR408">
        <f>AR406*AR407</f>
        <v>0</v>
      </c>
    </row>
    <row r="409" spans="43:44" x14ac:dyDescent="0.25">
      <c r="AQ409" t="s">
        <v>235</v>
      </c>
      <c r="AR409">
        <f>IF($AR408&gt;=$AU51,50,IF($AR408&gt;=$AU50,49,IF($AR408&gt;=$AU49,48,IF($AR408&gt;=$AU48,47,IF($AR408&gt;=$AU47,46,IF($AR408&gt;=$AU46,45,IF($AR408&gt;=$AU45,44,IF($AR408&gt;=$AU44,43,IF($AR408&gt;=$AU43,42,IF($AR408&gt;=$AU42,41,IF($AR408&gt;=$AU41,40,IF($AR408&gt;=$AU40,39,IF($AR408&gt;=$AU39,38,IF($AR408&gt;=$AU38,37,IF($AR408&gt;=$AU37,36,IF($AR408&gt;=$AU36,35,IF($AR408&gt;=$AU35,34,IF($AR408&gt;=$AU34,33,IF($AR408&gt;=$AU33,32,IF($AR408&gt;=$AU32,31,IF($AR408&gt;=$AU31,30,IF($AR408&gt;=$AU30,29,IF($AR408&gt;=$AU29,28,IF($AR408&gt;=$AU28,27,IF($AR408&gt;=$AU27,26,IF($AR408&gt;=$AU26,25,IF($AR408&gt;=$AU25,24,IF($AR408&gt;=$AU24,23,IF($AR408&gt;=$AU23,22,IF($AR408&gt;=$AU22,21,IF($AR408&gt;=$AU21,20,IF($AR408&gt;=$AU20,19,IF($AR408&gt;=$AU19,18,IF($AR408&gt;=$AU18,17,IF($AR408&gt;=$AU17,16,IF($AR408&gt;=$AU16,15,IF($AR408&gt;=$AU15,14,IF($AR408&gt;=$AU14,13,IF($AR408&gt;=$AU13,12,IF($AR408&gt;=$AU12,11,IF($AR408&gt;=$AU11,10,IF($AR408&gt;=$AU10,9,IF($AR408&gt;=$AU9,8,IF($AR408&gt;=$AU8,7,IF($AR408&gt;=$AU7,6,IF($AR408&gt;=$AU6,5,IF($AR408&gt;=$AU5,4,IF($AR408&gt;=$AU4,3,IF($AR408&gt;=$AU3,2,IF($AR408&gt;=$AU2,1,0))))))))))))))))))))))))))))))))))))))))))))))))))</f>
        <v>0</v>
      </c>
    </row>
    <row r="410" spans="43:44" x14ac:dyDescent="0.25">
      <c r="AQ410" t="s">
        <v>236</v>
      </c>
      <c r="AR410">
        <f>AR409*VLOOKUP(AO8,tbStatus!A22:E33,5,FALSE)</f>
        <v>0</v>
      </c>
    </row>
    <row r="411" spans="43:44" x14ac:dyDescent="0.25">
      <c r="AQ411" t="s">
        <v>237</v>
      </c>
      <c r="AR411">
        <f>N8-AR410</f>
        <v>1408</v>
      </c>
    </row>
    <row r="412" spans="43:44" x14ac:dyDescent="0.25">
      <c r="AQ412" t="s">
        <v>238</v>
      </c>
      <c r="AR412">
        <f>IFERROR(AR411/BN34,0)</f>
        <v>0</v>
      </c>
    </row>
    <row r="413" spans="43:44" x14ac:dyDescent="0.25">
      <c r="AQ413" t="s">
        <v>239</v>
      </c>
      <c r="AR413">
        <f>AR412*AR407</f>
        <v>0</v>
      </c>
    </row>
    <row r="414" spans="43:44" x14ac:dyDescent="0.25">
      <c r="AQ414" t="s">
        <v>240</v>
      </c>
      <c r="AR414">
        <f>IF($AR413&gt;=$AU51,50,IF($AR413&gt;=$AU50,49,IF($AR413&gt;=$AU49,48,IF($AR413&gt;=$AU48,47,IF($AR413&gt;=$AU47,46,IF($AR413&gt;=$AU46,45,IF($AR413&gt;=$AU45,44,IF($AR413&gt;=$AU44,43,IF($AR413&gt;=$AU43,42,IF($AR413&gt;=$AU42,41,IF($AR413&gt;=$AU41,40,IF($AR413&gt;=$AU40,39,IF($AR413&gt;=$AU39,38,IF($AR413&gt;=$AU38,37,IF($AR413&gt;=$AU37,36,IF($AR413&gt;=$AU36,35,IF($AR413&gt;=$AU35,34,IF($AR413&gt;=$AU34,33,IF($AR413&gt;=$AU33,32,IF($AR413&gt;=$AU32,31,IF($AR413&gt;=$AU31,30,IF($AR413&gt;=$AU30,29,IF($AR413&gt;=$AU29,28,IF($AR413&gt;=$AU28,27,IF($AR413&gt;=$AU27,26,IF($AR413&gt;=$AU26,25,IF($AR413&gt;=$AU25,24,IF($AR413&gt;=$AU24,23,IF($AR413&gt;=$AU23,22,IF($AR413&gt;=$AU22,21,IF($AR413&gt;=$AU21,20,IF($AR413&gt;=$AU20,19,IF($AR413&gt;=$AU19,18,IF($AR413&gt;=$AU18,17,IF($AR413&gt;=$AU17,16,IF($AR413&gt;=$AU16,15,IF($AR413&gt;=$AU15,14,IF($AR413&gt;=$AU14,13,IF($AR413&gt;=$AU13,12,IF($AR413&gt;=$AU12,11,IF($AR413&gt;=$AU11,10,IF($AR413&gt;=$AU10,9,IF($AR413&gt;=$AU9,8,IF($AR413&gt;=$AU8,7,IF($AR413&gt;=$AU7,6,IF($AR413&gt;=$AU6,5,IF($AR413&gt;=$AU5,4,IF($AR413&gt;=$AU4,3,IF($AR413&gt;=$AU3,2,IF($AR413&gt;=$AU2,1,0))))))))))))))))))))))))))))))))))))))))))))))))))</f>
        <v>0</v>
      </c>
    </row>
    <row r="415" spans="43:44" x14ac:dyDescent="0.25">
      <c r="AQ415" t="s">
        <v>241</v>
      </c>
      <c r="AR415">
        <f>AR414*VLOOKUP(AO8,tbStatus!A22:E33,5,FALSE)</f>
        <v>0</v>
      </c>
    </row>
    <row r="416" spans="43:44" x14ac:dyDescent="0.25">
      <c r="AQ416" t="s">
        <v>242</v>
      </c>
      <c r="AR416">
        <f>ROUND((AR415/N8)*BN34,0)</f>
        <v>0</v>
      </c>
    </row>
    <row r="418" spans="43:44" x14ac:dyDescent="0.25">
      <c r="AQ418" t="s">
        <v>574</v>
      </c>
      <c r="AR418" t="str">
        <f>IFERROR(INDEX(tbHitzones!K:K,MATCH(ROWS(tbHitzones!$1:33),tbHitzones!K:K,0)),"")</f>
        <v/>
      </c>
    </row>
    <row r="419" spans="43:44" x14ac:dyDescent="0.25">
      <c r="AQ419" t="s">
        <v>234</v>
      </c>
      <c r="AR419">
        <f>IFERROR(N8/BN35,0)</f>
        <v>0</v>
      </c>
    </row>
    <row r="420" spans="43:44" x14ac:dyDescent="0.25">
      <c r="AQ420" t="s">
        <v>572</v>
      </c>
      <c r="AR420">
        <f>AO6*AO50</f>
        <v>0</v>
      </c>
    </row>
    <row r="421" spans="43:44" x14ac:dyDescent="0.25">
      <c r="AQ421" t="s">
        <v>190</v>
      </c>
      <c r="AR421">
        <f>AR419*AR420</f>
        <v>0</v>
      </c>
    </row>
    <row r="422" spans="43:44" x14ac:dyDescent="0.25">
      <c r="AQ422" t="s">
        <v>235</v>
      </c>
      <c r="AR422">
        <f>IF($AR421&gt;=$AU51,50,IF($AR421&gt;=$AU50,49,IF($AR421&gt;=$AU49,48,IF($AR421&gt;=$AU48,47,IF($AR421&gt;=$AU47,46,IF($AR421&gt;=$AU46,45,IF($AR421&gt;=$AU45,44,IF($AR421&gt;=$AU44,43,IF($AR421&gt;=$AU43,42,IF($AR421&gt;=$AU42,41,IF($AR421&gt;=$AU41,40,IF($AR421&gt;=$AU40,39,IF($AR421&gt;=$AU39,38,IF($AR421&gt;=$AU38,37,IF($AR421&gt;=$AU37,36,IF($AR421&gt;=$AU36,35,IF($AR421&gt;=$AU35,34,IF($AR421&gt;=$AU34,33,IF($AR421&gt;=$AU33,32,IF($AR421&gt;=$AU32,31,IF($AR421&gt;=$AU31,30,IF($AR421&gt;=$AU30,29,IF($AR421&gt;=$AU29,28,IF($AR421&gt;=$AU28,27,IF($AR421&gt;=$AU27,26,IF($AR421&gt;=$AU26,25,IF($AR421&gt;=$AU25,24,IF($AR421&gt;=$AU24,23,IF($AR421&gt;=$AU23,22,IF($AR421&gt;=$AU22,21,IF($AR421&gt;=$AU21,20,IF($AR421&gt;=$AU20,19,IF($AR421&gt;=$AU19,18,IF($AR421&gt;=$AU18,17,IF($AR421&gt;=$AU17,16,IF($AR421&gt;=$AU16,15,IF($AR421&gt;=$AU15,14,IF($AR421&gt;=$AU14,13,IF($AR421&gt;=$AU13,12,IF($AR421&gt;=$AU12,11,IF($AR421&gt;=$AU11,10,IF($AR421&gt;=$AU10,9,IF($AR421&gt;=$AU9,8,IF($AR421&gt;=$AU8,7,IF($AR421&gt;=$AU7,6,IF($AR421&gt;=$AU6,5,IF($AR421&gt;=$AU5,4,IF($AR421&gt;=$AU4,3,IF($AR421&gt;=$AU3,2,IF($AR421&gt;=$AU2,1,0))))))))))))))))))))))))))))))))))))))))))))))))))</f>
        <v>0</v>
      </c>
    </row>
    <row r="423" spans="43:44" x14ac:dyDescent="0.25">
      <c r="AQ423" t="s">
        <v>236</v>
      </c>
      <c r="AR423">
        <f>AR422*VLOOKUP(AO8,tbStatus!A22:E33,5,FALSE)</f>
        <v>0</v>
      </c>
    </row>
    <row r="424" spans="43:44" x14ac:dyDescent="0.25">
      <c r="AQ424" t="s">
        <v>237</v>
      </c>
      <c r="AR424">
        <f>N8-AR423</f>
        <v>1408</v>
      </c>
    </row>
    <row r="425" spans="43:44" x14ac:dyDescent="0.25">
      <c r="AQ425" t="s">
        <v>238</v>
      </c>
      <c r="AR425">
        <f>IFERROR(AR424/BN35,0)</f>
        <v>0</v>
      </c>
    </row>
    <row r="426" spans="43:44" x14ac:dyDescent="0.25">
      <c r="AQ426" t="s">
        <v>239</v>
      </c>
      <c r="AR426">
        <f>AR425*AR420</f>
        <v>0</v>
      </c>
    </row>
    <row r="427" spans="43:44" x14ac:dyDescent="0.25">
      <c r="AQ427" t="s">
        <v>240</v>
      </c>
      <c r="AR427">
        <f>IF($AR426&gt;=$AU51,50,IF($AR426&gt;=$AU50,49,IF($AR426&gt;=$AU49,48,IF($AR426&gt;=$AU48,47,IF($AR426&gt;=$AU47,46,IF($AR426&gt;=$AU46,45,IF($AR426&gt;=$AU45,44,IF($AR426&gt;=$AU44,43,IF($AR426&gt;=$AU43,42,IF($AR426&gt;=$AU42,41,IF($AR426&gt;=$AU41,40,IF($AR426&gt;=$AU40,39,IF($AR426&gt;=$AU39,38,IF($AR426&gt;=$AU38,37,IF($AR426&gt;=$AU37,36,IF($AR426&gt;=$AU36,35,IF($AR426&gt;=$AU35,34,IF($AR426&gt;=$AU34,33,IF($AR426&gt;=$AU33,32,IF($AR426&gt;=$AU32,31,IF($AR426&gt;=$AU31,30,IF($AR426&gt;=$AU30,29,IF($AR426&gt;=$AU29,28,IF($AR426&gt;=$AU28,27,IF($AR426&gt;=$AU27,26,IF($AR426&gt;=$AU26,25,IF($AR426&gt;=$AU25,24,IF($AR426&gt;=$AU24,23,IF($AR426&gt;=$AU23,22,IF($AR426&gt;=$AU22,21,IF($AR426&gt;=$AU21,20,IF($AR426&gt;=$AU20,19,IF($AR426&gt;=$AU19,18,IF($AR426&gt;=$AU18,17,IF($AR426&gt;=$AU17,16,IF($AR426&gt;=$AU16,15,IF($AR426&gt;=$AU15,14,IF($AR426&gt;=$AU14,13,IF($AR426&gt;=$AU13,12,IF($AR426&gt;=$AU12,11,IF($AR426&gt;=$AU11,10,IF($AR426&gt;=$AU10,9,IF($AR426&gt;=$AU9,8,IF($AR426&gt;=$AU8,7,IF($AR426&gt;=$AU7,6,IF($AR426&gt;=$AU6,5,IF($AR426&gt;=$AU5,4,IF($AR426&gt;=$AU4,3,IF($AR426&gt;=$AU3,2,IF($AR426&gt;=$AU2,1,0))))))))))))))))))))))))))))))))))))))))))))))))))</f>
        <v>0</v>
      </c>
    </row>
    <row r="428" spans="43:44" x14ac:dyDescent="0.25">
      <c r="AQ428" t="s">
        <v>241</v>
      </c>
      <c r="AR428">
        <f>AR427*VLOOKUP(AO8,tbStatus!A22:E33,5,FALSE)</f>
        <v>0</v>
      </c>
    </row>
    <row r="429" spans="43:44" x14ac:dyDescent="0.25">
      <c r="AQ429" t="s">
        <v>242</v>
      </c>
      <c r="AR429">
        <f>ROUND((AR428/N8)*BN35,0)</f>
        <v>0</v>
      </c>
    </row>
    <row r="431" spans="43:44" x14ac:dyDescent="0.25">
      <c r="AQ431" t="s">
        <v>574</v>
      </c>
      <c r="AR431" t="str">
        <f>IFERROR(INDEX(tbHitzones!K:K,MATCH(ROWS(tbHitzones!$1:34),tbHitzones!K:K,0)),"")</f>
        <v/>
      </c>
    </row>
    <row r="432" spans="43:44" x14ac:dyDescent="0.25">
      <c r="AQ432" t="s">
        <v>234</v>
      </c>
      <c r="AR432">
        <f>IFERROR(N8/BN36,0)</f>
        <v>0</v>
      </c>
    </row>
    <row r="433" spans="43:44" x14ac:dyDescent="0.25">
      <c r="AQ433" t="s">
        <v>572</v>
      </c>
      <c r="AR433">
        <f>AO6*AO51</f>
        <v>0</v>
      </c>
    </row>
    <row r="434" spans="43:44" x14ac:dyDescent="0.25">
      <c r="AQ434" t="s">
        <v>190</v>
      </c>
      <c r="AR434">
        <f>AR432*AR433</f>
        <v>0</v>
      </c>
    </row>
    <row r="435" spans="43:44" x14ac:dyDescent="0.25">
      <c r="AQ435" t="s">
        <v>235</v>
      </c>
      <c r="AR435">
        <f>IF($AR434&gt;=$AU51,50,IF($AR434&gt;=$AU50,49,IF($AR434&gt;=$AU49,48,IF($AR434&gt;=$AU48,47,IF($AR434&gt;=$AU47,46,IF($AR434&gt;=$AU46,45,IF($AR434&gt;=$AU45,44,IF($AR434&gt;=$AU44,43,IF($AR434&gt;=$AU43,42,IF($AR434&gt;=$AU42,41,IF($AR434&gt;=$AU41,40,IF($AR434&gt;=$AU40,39,IF($AR434&gt;=$AU39,38,IF($AR434&gt;=$AU38,37,IF($AR434&gt;=$AU37,36,IF($AR434&gt;=$AU36,35,IF($AR434&gt;=$AU35,34,IF($AR434&gt;=$AU34,33,IF($AR434&gt;=$AU33,32,IF($AR434&gt;=$AU32,31,IF($AR434&gt;=$AU31,30,IF($AR434&gt;=$AU30,29,IF($AR434&gt;=$AU29,28,IF($AR434&gt;=$AU28,27,IF($AR434&gt;=$AU27,26,IF($AR434&gt;=$AU26,25,IF($AR434&gt;=$AU25,24,IF($AR434&gt;=$AU24,23,IF($AR434&gt;=$AU23,22,IF($AR434&gt;=$AU22,21,IF($AR434&gt;=$AU21,20,IF($AR434&gt;=$AU20,19,IF($AR434&gt;=$AU19,18,IF($AR434&gt;=$AU18,17,IF($AR434&gt;=$AU17,16,IF($AR434&gt;=$AU16,15,IF($AR434&gt;=$AU15,14,IF($AR434&gt;=$AU14,13,IF($AR434&gt;=$AU13,12,IF($AR434&gt;=$AU12,11,IF($AR434&gt;=$AU11,10,IF($AR434&gt;=$AU10,9,IF($AR434&gt;=$AU9,8,IF($AR434&gt;=$AU8,7,IF($AR434&gt;=$AU7,6,IF($AR434&gt;=$AU6,5,IF($AR434&gt;=$AU5,4,IF($AR434&gt;=$AU4,3,IF($AR434&gt;=$AU3,2,IF($AR434&gt;=$AU2,1,0))))))))))))))))))))))))))))))))))))))))))))))))))</f>
        <v>0</v>
      </c>
    </row>
    <row r="436" spans="43:44" x14ac:dyDescent="0.25">
      <c r="AQ436" t="s">
        <v>236</v>
      </c>
      <c r="AR436">
        <f>AR435*VLOOKUP(AO8,tbStatus!A22:E33,5,FALSE)</f>
        <v>0</v>
      </c>
    </row>
    <row r="437" spans="43:44" x14ac:dyDescent="0.25">
      <c r="AQ437" t="s">
        <v>237</v>
      </c>
      <c r="AR437">
        <f>N8-AR436</f>
        <v>1408</v>
      </c>
    </row>
    <row r="438" spans="43:44" x14ac:dyDescent="0.25">
      <c r="AQ438" t="s">
        <v>238</v>
      </c>
      <c r="AR438">
        <f>IFERROR(AR437/BN36,0)</f>
        <v>0</v>
      </c>
    </row>
    <row r="439" spans="43:44" x14ac:dyDescent="0.25">
      <c r="AQ439" t="s">
        <v>239</v>
      </c>
      <c r="AR439">
        <f>AR438*AR433</f>
        <v>0</v>
      </c>
    </row>
    <row r="440" spans="43:44" x14ac:dyDescent="0.25">
      <c r="AQ440" t="s">
        <v>240</v>
      </c>
      <c r="AR440">
        <f>IF($AR439&gt;=$AU51,50,IF($AR439&gt;=$AU50,49,IF($AR439&gt;=$AU49,48,IF($AR439&gt;=$AU48,47,IF($AR439&gt;=$AU47,46,IF($AR439&gt;=$AU46,45,IF($AR439&gt;=$AU45,44,IF($AR439&gt;=$AU44,43,IF($AR439&gt;=$AU43,42,IF($AR439&gt;=$AU42,41,IF($AR439&gt;=$AU41,40,IF($AR439&gt;=$AU40,39,IF($AR439&gt;=$AU39,38,IF($AR439&gt;=$AU38,37,IF($AR439&gt;=$AU37,36,IF($AR439&gt;=$AU36,35,IF($AR439&gt;=$AU35,34,IF($AR439&gt;=$AU34,33,IF($AR439&gt;=$AU33,32,IF($AR439&gt;=$AU32,31,IF($AR439&gt;=$AU31,30,IF($AR439&gt;=$AU30,29,IF($AR439&gt;=$AU29,28,IF($AR439&gt;=$AU28,27,IF($AR439&gt;=$AU27,26,IF($AR439&gt;=$AU26,25,IF($AR439&gt;=$AU25,24,IF($AR439&gt;=$AU24,23,IF($AR439&gt;=$AU23,22,IF($AR439&gt;=$AU22,21,IF($AR439&gt;=$AU21,20,IF($AR439&gt;=$AU20,19,IF($AR439&gt;=$AU19,18,IF($AR439&gt;=$AU18,17,IF($AR439&gt;=$AU17,16,IF($AR439&gt;=$AU16,15,IF($AR439&gt;=$AU15,14,IF($AR439&gt;=$AU14,13,IF($AR439&gt;=$AU13,12,IF($AR439&gt;=$AU12,11,IF($AR439&gt;=$AU11,10,IF($AR439&gt;=$AU10,9,IF($AR439&gt;=$AU9,8,IF($AR439&gt;=$AU8,7,IF($AR439&gt;=$AU7,6,IF($AR439&gt;=$AU6,5,IF($AR439&gt;=$AU5,4,IF($AR439&gt;=$AU4,3,IF($AR439&gt;=$AU3,2,IF($AR439&gt;=$AU2,1,0))))))))))))))))))))))))))))))))))))))))))))))))))</f>
        <v>0</v>
      </c>
    </row>
    <row r="441" spans="43:44" x14ac:dyDescent="0.25">
      <c r="AQ441" t="s">
        <v>241</v>
      </c>
      <c r="AR441">
        <f>AR440*VLOOKUP(AO8,tbStatus!A22:E33,5,FALSE)</f>
        <v>0</v>
      </c>
    </row>
    <row r="442" spans="43:44" x14ac:dyDescent="0.25">
      <c r="AQ442" t="s">
        <v>242</v>
      </c>
      <c r="AR442">
        <f>ROUND((AR441/N8)*BN36,0)</f>
        <v>0</v>
      </c>
    </row>
    <row r="444" spans="43:44" x14ac:dyDescent="0.25">
      <c r="AQ444" t="s">
        <v>574</v>
      </c>
      <c r="AR444" t="str">
        <f>IFERROR(INDEX(tbHitzones!K:K,MATCH(ROWS(tbHitzones!$1:35),tbHitzones!K:K,0)),"")</f>
        <v/>
      </c>
    </row>
    <row r="445" spans="43:44" x14ac:dyDescent="0.25">
      <c r="AQ445" t="s">
        <v>234</v>
      </c>
      <c r="AR445">
        <f>IFERROR(N8/BN37,0)</f>
        <v>0</v>
      </c>
    </row>
    <row r="446" spans="43:44" x14ac:dyDescent="0.25">
      <c r="AQ446" t="s">
        <v>572</v>
      </c>
      <c r="AR446">
        <f>AO6*AO52</f>
        <v>0</v>
      </c>
    </row>
    <row r="447" spans="43:44" x14ac:dyDescent="0.25">
      <c r="AQ447" t="s">
        <v>190</v>
      </c>
      <c r="AR447">
        <f>AR445*AR446</f>
        <v>0</v>
      </c>
    </row>
    <row r="448" spans="43:44" x14ac:dyDescent="0.25">
      <c r="AQ448" t="s">
        <v>235</v>
      </c>
      <c r="AR448">
        <f>IF($AR447&gt;=$AU51,50,IF($AR447&gt;=$AU50,49,IF($AR447&gt;=$AU49,48,IF($AR447&gt;=$AU48,47,IF($AR447&gt;=$AU47,46,IF($AR447&gt;=$AU46,45,IF($AR447&gt;=$AU45,44,IF($AR447&gt;=$AU44,43,IF($AR447&gt;=$AU43,42,IF($AR447&gt;=$AU42,41,IF($AR447&gt;=$AU41,40,IF($AR447&gt;=$AU40,39,IF($AR447&gt;=$AU39,38,IF($AR447&gt;=$AU38,37,IF($AR447&gt;=$AU37,36,IF($AR447&gt;=$AU36,35,IF($AR447&gt;=$AU35,34,IF($AR447&gt;=$AU34,33,IF($AR447&gt;=$AU33,32,IF($AR447&gt;=$AU32,31,IF($AR447&gt;=$AU31,30,IF($AR447&gt;=$AU30,29,IF($AR447&gt;=$AU29,28,IF($AR447&gt;=$AU28,27,IF($AR447&gt;=$AU27,26,IF($AR447&gt;=$AU26,25,IF($AR447&gt;=$AU25,24,IF($AR447&gt;=$AU24,23,IF($AR447&gt;=$AU23,22,IF($AR447&gt;=$AU22,21,IF($AR447&gt;=$AU21,20,IF($AR447&gt;=$AU20,19,IF($AR447&gt;=$AU19,18,IF($AR447&gt;=$AU18,17,IF($AR447&gt;=$AU17,16,IF($AR447&gt;=$AU16,15,IF($AR447&gt;=$AU15,14,IF($AR447&gt;=$AU14,13,IF($AR447&gt;=$AU13,12,IF($AR447&gt;=$AU12,11,IF($AR447&gt;=$AU11,10,IF($AR447&gt;=$AU10,9,IF($AR447&gt;=$AU9,8,IF($AR447&gt;=$AU8,7,IF($AR447&gt;=$AU7,6,IF($AR447&gt;=$AU6,5,IF($AR447&gt;=$AU5,4,IF($AR447&gt;=$AU4,3,IF($AR447&gt;=$AU3,2,IF($AR447&gt;=$AU2,1,0))))))))))))))))))))))))))))))))))))))))))))))))))</f>
        <v>0</v>
      </c>
    </row>
    <row r="449" spans="43:44" x14ac:dyDescent="0.25">
      <c r="AQ449" t="s">
        <v>236</v>
      </c>
      <c r="AR449">
        <f>AR448*VLOOKUP(AO8,tbStatus!A22:E33,5,FALSE)</f>
        <v>0</v>
      </c>
    </row>
    <row r="450" spans="43:44" x14ac:dyDescent="0.25">
      <c r="AQ450" t="s">
        <v>237</v>
      </c>
      <c r="AR450">
        <f>N8-AR449</f>
        <v>1408</v>
      </c>
    </row>
    <row r="451" spans="43:44" x14ac:dyDescent="0.25">
      <c r="AQ451" t="s">
        <v>238</v>
      </c>
      <c r="AR451">
        <f>IFERROR(AR450/BN37,0)</f>
        <v>0</v>
      </c>
    </row>
    <row r="452" spans="43:44" x14ac:dyDescent="0.25">
      <c r="AQ452" t="s">
        <v>239</v>
      </c>
      <c r="AR452">
        <f>AR451*AR446</f>
        <v>0</v>
      </c>
    </row>
    <row r="453" spans="43:44" x14ac:dyDescent="0.25">
      <c r="AQ453" t="s">
        <v>240</v>
      </c>
      <c r="AR453">
        <f>IF($AR452&gt;=$AU51,50,IF($AR452&gt;=$AU50,49,IF($AR452&gt;=$AU49,48,IF($AR452&gt;=$AU48,47,IF($AR452&gt;=$AU47,46,IF($AR452&gt;=$AU46,45,IF($AR452&gt;=$AU45,44,IF($AR452&gt;=$AU44,43,IF($AR452&gt;=$AU43,42,IF($AR452&gt;=$AU42,41,IF($AR452&gt;=$AU41,40,IF($AR452&gt;=$AU40,39,IF($AR452&gt;=$AU39,38,IF($AR452&gt;=$AU38,37,IF($AR452&gt;=$AU37,36,IF($AR452&gt;=$AU36,35,IF($AR452&gt;=$AU35,34,IF($AR452&gt;=$AU34,33,IF($AR452&gt;=$AU33,32,IF($AR452&gt;=$AU32,31,IF($AR452&gt;=$AU31,30,IF($AR452&gt;=$AU30,29,IF($AR452&gt;=$AU29,28,IF($AR452&gt;=$AU28,27,IF($AR452&gt;=$AU27,26,IF($AR452&gt;=$AU26,25,IF($AR452&gt;=$AU25,24,IF($AR452&gt;=$AU24,23,IF($AR452&gt;=$AU23,22,IF($AR452&gt;=$AU22,21,IF($AR452&gt;=$AU21,20,IF($AR452&gt;=$AU20,19,IF($AR452&gt;=$AU19,18,IF($AR452&gt;=$AU18,17,IF($AR452&gt;=$AU17,16,IF($AR452&gt;=$AU16,15,IF($AR452&gt;=$AU15,14,IF($AR452&gt;=$AU14,13,IF($AR452&gt;=$AU13,12,IF($AR452&gt;=$AU12,11,IF($AR452&gt;=$AU11,10,IF($AR452&gt;=$AU10,9,IF($AR452&gt;=$AU9,8,IF($AR452&gt;=$AU8,7,IF($AR452&gt;=$AU7,6,IF($AR452&gt;=$AU6,5,IF($AR452&gt;=$AU5,4,IF($AR452&gt;=$AU4,3,IF($AR452&gt;=$AU3,2,IF($AR452&gt;=$AU2,1,0))))))))))))))))))))))))))))))))))))))))))))))))))</f>
        <v>0</v>
      </c>
    </row>
    <row r="454" spans="43:44" x14ac:dyDescent="0.25">
      <c r="AQ454" t="s">
        <v>241</v>
      </c>
      <c r="AR454">
        <f>AR453*VLOOKUP(AO8,tbStatus!A22:E33,5,FALSE)</f>
        <v>0</v>
      </c>
    </row>
    <row r="455" spans="43:44" x14ac:dyDescent="0.25">
      <c r="AQ455" t="s">
        <v>242</v>
      </c>
      <c r="AR455">
        <f>ROUND((AR454/N8)*BN37,0)</f>
        <v>0</v>
      </c>
    </row>
    <row r="457" spans="43:44" x14ac:dyDescent="0.25">
      <c r="AQ457" t="s">
        <v>574</v>
      </c>
      <c r="AR457" t="str">
        <f>IFERROR(INDEX(tbHitzones!K:K,MATCH(ROWS(tbHitzones!$1:36),tbHitzones!K:K,0)),"")</f>
        <v/>
      </c>
    </row>
    <row r="458" spans="43:44" x14ac:dyDescent="0.25">
      <c r="AQ458" t="s">
        <v>234</v>
      </c>
      <c r="AR458">
        <f>IFERROR(N8/BN38,0)</f>
        <v>0</v>
      </c>
    </row>
    <row r="459" spans="43:44" x14ac:dyDescent="0.25">
      <c r="AQ459" t="s">
        <v>572</v>
      </c>
      <c r="AR459">
        <f>AO6*AO53</f>
        <v>0</v>
      </c>
    </row>
    <row r="460" spans="43:44" x14ac:dyDescent="0.25">
      <c r="AQ460" t="s">
        <v>190</v>
      </c>
      <c r="AR460">
        <f>AR458*AR459</f>
        <v>0</v>
      </c>
    </row>
    <row r="461" spans="43:44" x14ac:dyDescent="0.25">
      <c r="AQ461" t="s">
        <v>235</v>
      </c>
      <c r="AR461">
        <f>IF($AR460&gt;=$AU51,50,IF($AR460&gt;=$AU50,49,IF($AR460&gt;=$AU49,48,IF($AR460&gt;=$AU48,47,IF($AR460&gt;=$AU47,46,IF($AR460&gt;=$AU46,45,IF($AR460&gt;=$AU45,44,IF($AR460&gt;=$AU44,43,IF($AR460&gt;=$AU43,42,IF($AR460&gt;=$AU42,41,IF($AR460&gt;=$AU41,40,IF($AR460&gt;=$AU40,39,IF($AR460&gt;=$AU39,38,IF($AR460&gt;=$AU38,37,IF($AR460&gt;=$AU37,36,IF($AR460&gt;=$AU36,35,IF($AR460&gt;=$AU35,34,IF($AR460&gt;=$AU34,33,IF($AR460&gt;=$AU33,32,IF($AR460&gt;=$AU32,31,IF($AR460&gt;=$AU31,30,IF($AR460&gt;=$AU30,29,IF($AR460&gt;=$AU29,28,IF($AR460&gt;=$AU28,27,IF($AR460&gt;=$AU27,26,IF($AR460&gt;=$AU26,25,IF($AR460&gt;=$AU25,24,IF($AR460&gt;=$AU24,23,IF($AR460&gt;=$AU23,22,IF($AR460&gt;=$AU22,21,IF($AR460&gt;=$AU21,20,IF($AR460&gt;=$AU20,19,IF($AR460&gt;=$AU19,18,IF($AR460&gt;=$AU18,17,IF($AR460&gt;=$AU17,16,IF($AR460&gt;=$AU16,15,IF($AR460&gt;=$AU15,14,IF($AR460&gt;=$AU14,13,IF($AR460&gt;=$AU13,12,IF($AR460&gt;=$AU12,11,IF($AR460&gt;=$AU11,10,IF($AR460&gt;=$AU10,9,IF($AR460&gt;=$AU9,8,IF($AR460&gt;=$AU8,7,IF($AR460&gt;=$AU7,6,IF($AR460&gt;=$AU6,5,IF($AR460&gt;=$AU5,4,IF($AR460&gt;=$AU4,3,IF($AR460&gt;=$AU3,2,IF($AR460&gt;=$AU2,1,0))))))))))))))))))))))))))))))))))))))))))))))))))</f>
        <v>0</v>
      </c>
    </row>
    <row r="462" spans="43:44" x14ac:dyDescent="0.25">
      <c r="AQ462" t="s">
        <v>236</v>
      </c>
      <c r="AR462">
        <f>AR461*VLOOKUP(AO8,tbStatus!A22:E33,5,FALSE)</f>
        <v>0</v>
      </c>
    </row>
    <row r="463" spans="43:44" x14ac:dyDescent="0.25">
      <c r="AQ463" t="s">
        <v>237</v>
      </c>
      <c r="AR463">
        <f>N8-AR462</f>
        <v>1408</v>
      </c>
    </row>
    <row r="464" spans="43:44" x14ac:dyDescent="0.25">
      <c r="AQ464" t="s">
        <v>238</v>
      </c>
      <c r="AR464">
        <f>IFERROR(AR463/BN38,0)</f>
        <v>0</v>
      </c>
    </row>
    <row r="465" spans="43:44" x14ac:dyDescent="0.25">
      <c r="AQ465" t="s">
        <v>239</v>
      </c>
      <c r="AR465">
        <f>AR464*AR459</f>
        <v>0</v>
      </c>
    </row>
    <row r="466" spans="43:44" x14ac:dyDescent="0.25">
      <c r="AQ466" t="s">
        <v>240</v>
      </c>
      <c r="AR466">
        <f>IF($AR465&gt;=$AU51,50,IF($AR465&gt;=$AU50,49,IF($AR465&gt;=$AU49,48,IF($AR465&gt;=$AU48,47,IF($AR465&gt;=$AU47,46,IF($AR465&gt;=$AU46,45,IF($AR465&gt;=$AU45,44,IF($AR465&gt;=$AU44,43,IF($AR465&gt;=$AU43,42,IF($AR465&gt;=$AU42,41,IF($AR465&gt;=$AU41,40,IF($AR465&gt;=$AU40,39,IF($AR465&gt;=$AU39,38,IF($AR465&gt;=$AU38,37,IF($AR465&gt;=$AU37,36,IF($AR465&gt;=$AU36,35,IF($AR465&gt;=$AU35,34,IF($AR465&gt;=$AU34,33,IF($AR465&gt;=$AU33,32,IF($AR465&gt;=$AU32,31,IF($AR465&gt;=$AU31,30,IF($AR465&gt;=$AU30,29,IF($AR465&gt;=$AU29,28,IF($AR465&gt;=$AU28,27,IF($AR465&gt;=$AU27,26,IF($AR465&gt;=$AU26,25,IF($AR465&gt;=$AU25,24,IF($AR465&gt;=$AU24,23,IF($AR465&gt;=$AU23,22,IF($AR465&gt;=$AU22,21,IF($AR465&gt;=$AU21,20,IF($AR465&gt;=$AU20,19,IF($AR465&gt;=$AU19,18,IF($AR465&gt;=$AU18,17,IF($AR465&gt;=$AU17,16,IF($AR465&gt;=$AU16,15,IF($AR465&gt;=$AU15,14,IF($AR465&gt;=$AU14,13,IF($AR465&gt;=$AU13,12,IF($AR465&gt;=$AU12,11,IF($AR465&gt;=$AU11,10,IF($AR465&gt;=$AU10,9,IF($AR465&gt;=$AU9,8,IF($AR465&gt;=$AU8,7,IF($AR465&gt;=$AU7,6,IF($AR465&gt;=$AU6,5,IF($AR465&gt;=$AU5,4,IF($AR465&gt;=$AU4,3,IF($AR465&gt;=$AU3,2,IF($AR465&gt;=$AU2,1,0))))))))))))))))))))))))))))))))))))))))))))))))))</f>
        <v>0</v>
      </c>
    </row>
    <row r="467" spans="43:44" x14ac:dyDescent="0.25">
      <c r="AQ467" t="s">
        <v>241</v>
      </c>
      <c r="AR467">
        <f>AR466*VLOOKUP(AO8,tbStatus!A22:E33,5,FALSE)</f>
        <v>0</v>
      </c>
    </row>
    <row r="468" spans="43:44" x14ac:dyDescent="0.25">
      <c r="AQ468" t="s">
        <v>242</v>
      </c>
      <c r="AR468">
        <f>ROUND((AR467/N8)*BN38,0)</f>
        <v>0</v>
      </c>
    </row>
    <row r="470" spans="43:44" x14ac:dyDescent="0.25">
      <c r="AQ470" t="s">
        <v>574</v>
      </c>
      <c r="AR470" t="str">
        <f>IFERROR(INDEX(tbHitzones!K:K,MATCH(ROWS(tbHitzones!$1:37),tbHitzones!K:K,0)),"")</f>
        <v/>
      </c>
    </row>
    <row r="471" spans="43:44" x14ac:dyDescent="0.25">
      <c r="AQ471" t="s">
        <v>234</v>
      </c>
      <c r="AR471">
        <f>IFERROR(N8/BN39,0)</f>
        <v>0</v>
      </c>
    </row>
    <row r="472" spans="43:44" x14ac:dyDescent="0.25">
      <c r="AQ472" t="s">
        <v>572</v>
      </c>
      <c r="AR472">
        <f>AO6*AO54</f>
        <v>0</v>
      </c>
    </row>
    <row r="473" spans="43:44" x14ac:dyDescent="0.25">
      <c r="AQ473" t="s">
        <v>190</v>
      </c>
      <c r="AR473">
        <f>AR471*AR472</f>
        <v>0</v>
      </c>
    </row>
    <row r="474" spans="43:44" x14ac:dyDescent="0.25">
      <c r="AQ474" t="s">
        <v>235</v>
      </c>
      <c r="AR474">
        <f>IF($AR473&gt;=$AU51,50,IF($AR473&gt;=$AU50,49,IF($AR473&gt;=$AU49,48,IF($AR473&gt;=$AU48,47,IF($AR473&gt;=$AU47,46,IF($AR473&gt;=$AU46,45,IF($AR473&gt;=$AU45,44,IF($AR473&gt;=$AU44,43,IF($AR473&gt;=$AU43,42,IF($AR473&gt;=$AU42,41,IF($AR473&gt;=$AU41,40,IF($AR473&gt;=$AU40,39,IF($AR473&gt;=$AU39,38,IF($AR473&gt;=$AU38,37,IF($AR473&gt;=$AU37,36,IF($AR473&gt;=$AU36,35,IF($AR473&gt;=$AU35,34,IF($AR473&gt;=$AU34,33,IF($AR473&gt;=$AU33,32,IF($AR473&gt;=$AU32,31,IF($AR473&gt;=$AU31,30,IF($AR473&gt;=$AU30,29,IF($AR473&gt;=$AU29,28,IF($AR473&gt;=$AU28,27,IF($AR473&gt;=$AU27,26,IF($AR473&gt;=$AU26,25,IF($AR473&gt;=$AU25,24,IF($AR473&gt;=$AU24,23,IF($AR473&gt;=$AU23,22,IF($AR473&gt;=$AU22,21,IF($AR473&gt;=$AU21,20,IF($AR473&gt;=$AU20,19,IF($AR473&gt;=$AU19,18,IF($AR473&gt;=$AU18,17,IF($AR473&gt;=$AU17,16,IF($AR473&gt;=$AU16,15,IF($AR473&gt;=$AU15,14,IF($AR473&gt;=$AU14,13,IF($AR473&gt;=$AU13,12,IF($AR473&gt;=$AU12,11,IF($AR473&gt;=$AU11,10,IF($AR473&gt;=$AU10,9,IF($AR473&gt;=$AU9,8,IF($AR473&gt;=$AU8,7,IF($AR473&gt;=$AU7,6,IF($AR473&gt;=$AU6,5,IF($AR473&gt;=$AU5,4,IF($AR473&gt;=$AU4,3,IF($AR473&gt;=$AU3,2,IF($AR473&gt;=$AU2,1,0))))))))))))))))))))))))))))))))))))))))))))))))))</f>
        <v>0</v>
      </c>
    </row>
    <row r="475" spans="43:44" x14ac:dyDescent="0.25">
      <c r="AQ475" t="s">
        <v>236</v>
      </c>
      <c r="AR475">
        <f>AR474*VLOOKUP(AO8,tbStatus!A22:E33,5,FALSE)</f>
        <v>0</v>
      </c>
    </row>
    <row r="476" spans="43:44" x14ac:dyDescent="0.25">
      <c r="AQ476" t="s">
        <v>237</v>
      </c>
      <c r="AR476">
        <f>N8-AR475</f>
        <v>1408</v>
      </c>
    </row>
    <row r="477" spans="43:44" x14ac:dyDescent="0.25">
      <c r="AQ477" t="s">
        <v>238</v>
      </c>
      <c r="AR477">
        <f>IFERROR(AR476/BN39,0)</f>
        <v>0</v>
      </c>
    </row>
    <row r="478" spans="43:44" x14ac:dyDescent="0.25">
      <c r="AQ478" t="s">
        <v>239</v>
      </c>
      <c r="AR478">
        <f>AR477*AR472</f>
        <v>0</v>
      </c>
    </row>
    <row r="479" spans="43:44" x14ac:dyDescent="0.25">
      <c r="AQ479" t="s">
        <v>240</v>
      </c>
      <c r="AR479">
        <f>IF($AR478&gt;=$AU51,50,IF($AR478&gt;=$AU50,49,IF($AR478&gt;=$AU49,48,IF($AR478&gt;=$AU48,47,IF($AR478&gt;=$AU47,46,IF($AR478&gt;=$AU46,45,IF($AR478&gt;=$AU45,44,IF($AR478&gt;=$AU44,43,IF($AR478&gt;=$AU43,42,IF($AR478&gt;=$AU42,41,IF($AR478&gt;=$AU41,40,IF($AR478&gt;=$AU40,39,IF($AR478&gt;=$AU39,38,IF($AR478&gt;=$AU38,37,IF($AR478&gt;=$AU37,36,IF($AR478&gt;=$AU36,35,IF($AR478&gt;=$AU35,34,IF($AR478&gt;=$AU34,33,IF($AR478&gt;=$AU33,32,IF($AR478&gt;=$AU32,31,IF($AR478&gt;=$AU31,30,IF($AR478&gt;=$AU30,29,IF($AR478&gt;=$AU29,28,IF($AR478&gt;=$AU28,27,IF($AR478&gt;=$AU27,26,IF($AR478&gt;=$AU26,25,IF($AR478&gt;=$AU25,24,IF($AR478&gt;=$AU24,23,IF($AR478&gt;=$AU23,22,IF($AR478&gt;=$AU22,21,IF($AR478&gt;=$AU21,20,IF($AR478&gt;=$AU20,19,IF($AR478&gt;=$AU19,18,IF($AR478&gt;=$AU18,17,IF($AR478&gt;=$AU17,16,IF($AR478&gt;=$AU16,15,IF($AR478&gt;=$AU15,14,IF($AR478&gt;=$AU14,13,IF($AR478&gt;=$AU13,12,IF($AR478&gt;=$AU12,11,IF($AR478&gt;=$AU11,10,IF($AR478&gt;=$AU10,9,IF($AR478&gt;=$AU9,8,IF($AR478&gt;=$AU8,7,IF($AR478&gt;=$AU7,6,IF($AR478&gt;=$AU6,5,IF($AR478&gt;=$AU5,4,IF($AR478&gt;=$AU4,3,IF($AR478&gt;=$AU3,2,IF($AR478&gt;=$AU2,1,0))))))))))))))))))))))))))))))))))))))))))))))))))</f>
        <v>0</v>
      </c>
    </row>
    <row r="480" spans="43:44" x14ac:dyDescent="0.25">
      <c r="AQ480" t="s">
        <v>241</v>
      </c>
      <c r="AR480">
        <f>AR479*VLOOKUP(AO8,tbStatus!A22:E33,5,FALSE)</f>
        <v>0</v>
      </c>
    </row>
    <row r="481" spans="43:44" x14ac:dyDescent="0.25">
      <c r="AQ481" t="s">
        <v>242</v>
      </c>
      <c r="AR481">
        <f>ROUND((AR480/N8)*BN39,0)</f>
        <v>0</v>
      </c>
    </row>
    <row r="483" spans="43:44" x14ac:dyDescent="0.25">
      <c r="AQ483" t="s">
        <v>574</v>
      </c>
      <c r="AR483" t="str">
        <f>IFERROR(INDEX(tbHitzones!K:K,MATCH(ROWS(tbHitzones!$1:38),tbHitzones!K:K,0)),"")</f>
        <v/>
      </c>
    </row>
    <row r="484" spans="43:44" x14ac:dyDescent="0.25">
      <c r="AQ484" t="s">
        <v>234</v>
      </c>
      <c r="AR484">
        <f>IFERROR(N8/BN40,0)</f>
        <v>0</v>
      </c>
    </row>
    <row r="485" spans="43:44" x14ac:dyDescent="0.25">
      <c r="AQ485" t="s">
        <v>572</v>
      </c>
      <c r="AR485">
        <f>AO6*AO55</f>
        <v>0</v>
      </c>
    </row>
    <row r="486" spans="43:44" x14ac:dyDescent="0.25">
      <c r="AQ486" t="s">
        <v>190</v>
      </c>
      <c r="AR486">
        <f>AR484*AR485</f>
        <v>0</v>
      </c>
    </row>
    <row r="487" spans="43:44" x14ac:dyDescent="0.25">
      <c r="AQ487" t="s">
        <v>235</v>
      </c>
      <c r="AR487">
        <f>IF($AR486&gt;=$AU51,50,IF($AR486&gt;=$AU50,49,IF($AR486&gt;=$AU49,48,IF($AR486&gt;=$AU48,47,IF($AR486&gt;=$AU47,46,IF($AR486&gt;=$AU46,45,IF($AR486&gt;=$AU45,44,IF($AR486&gt;=$AU44,43,IF($AR486&gt;=$AU43,42,IF($AR486&gt;=$AU42,41,IF($AR486&gt;=$AU41,40,IF($AR486&gt;=$AU40,39,IF($AR486&gt;=$AU39,38,IF($AR486&gt;=$AU38,37,IF($AR486&gt;=$AU37,36,IF($AR486&gt;=$AU36,35,IF($AR486&gt;=$AU35,34,IF($AR486&gt;=$AU34,33,IF($AR486&gt;=$AU33,32,IF($AR486&gt;=$AU32,31,IF($AR486&gt;=$AU31,30,IF($AR486&gt;=$AU30,29,IF($AR486&gt;=$AU29,28,IF($AR486&gt;=$AU28,27,IF($AR486&gt;=$AU27,26,IF($AR486&gt;=$AU26,25,IF($AR486&gt;=$AU25,24,IF($AR486&gt;=$AU24,23,IF($AR486&gt;=$AU23,22,IF($AR486&gt;=$AU22,21,IF($AR486&gt;=$AU21,20,IF($AR486&gt;=$AU20,19,IF($AR486&gt;=$AU19,18,IF($AR486&gt;=$AU18,17,IF($AR486&gt;=$AU17,16,IF($AR486&gt;=$AU16,15,IF($AR486&gt;=$AU15,14,IF($AR486&gt;=$AU14,13,IF($AR486&gt;=$AU13,12,IF($AR486&gt;=$AU12,11,IF($AR486&gt;=$AU11,10,IF($AR486&gt;=$AU10,9,IF($AR486&gt;=$AU9,8,IF($AR486&gt;=$AU8,7,IF($AR486&gt;=$AU7,6,IF($AR486&gt;=$AU6,5,IF($AR486&gt;=$AU5,4,IF($AR486&gt;=$AU4,3,IF($AR486&gt;=$AU3,2,IF($AR486&gt;=$AU2,1,0))))))))))))))))))))))))))))))))))))))))))))))))))</f>
        <v>0</v>
      </c>
    </row>
    <row r="488" spans="43:44" x14ac:dyDescent="0.25">
      <c r="AQ488" t="s">
        <v>236</v>
      </c>
      <c r="AR488">
        <f>AR487*VLOOKUP(AO8,tbStatus!A22:E33,5,FALSE)</f>
        <v>0</v>
      </c>
    </row>
    <row r="489" spans="43:44" x14ac:dyDescent="0.25">
      <c r="AQ489" t="s">
        <v>237</v>
      </c>
      <c r="AR489">
        <f>N8-AR488</f>
        <v>1408</v>
      </c>
    </row>
    <row r="490" spans="43:44" x14ac:dyDescent="0.25">
      <c r="AQ490" t="s">
        <v>238</v>
      </c>
      <c r="AR490">
        <f>IFERROR(AR489/BN40,0)</f>
        <v>0</v>
      </c>
    </row>
    <row r="491" spans="43:44" x14ac:dyDescent="0.25">
      <c r="AQ491" t="s">
        <v>239</v>
      </c>
      <c r="AR491">
        <f>AR490*AR485</f>
        <v>0</v>
      </c>
    </row>
    <row r="492" spans="43:44" x14ac:dyDescent="0.25">
      <c r="AQ492" t="s">
        <v>240</v>
      </c>
      <c r="AR492">
        <f>IF($AR491&gt;=$AU51,50,IF($AR491&gt;=$AU50,49,IF($AR491&gt;=$AU49,48,IF($AR491&gt;=$AU48,47,IF($AR491&gt;=$AU47,46,IF($AR491&gt;=$AU46,45,IF($AR491&gt;=$AU45,44,IF($AR491&gt;=$AU44,43,IF($AR491&gt;=$AU43,42,IF($AR491&gt;=$AU42,41,IF($AR491&gt;=$AU41,40,IF($AR491&gt;=$AU40,39,IF($AR491&gt;=$AU39,38,IF($AR491&gt;=$AU38,37,IF($AR491&gt;=$AU37,36,IF($AR491&gt;=$AU36,35,IF($AR491&gt;=$AU35,34,IF($AR491&gt;=$AU34,33,IF($AR491&gt;=$AU33,32,IF($AR491&gt;=$AU32,31,IF($AR491&gt;=$AU31,30,IF($AR491&gt;=$AU30,29,IF($AR491&gt;=$AU29,28,IF($AR491&gt;=$AU28,27,IF($AR491&gt;=$AU27,26,IF($AR491&gt;=$AU26,25,IF($AR491&gt;=$AU25,24,IF($AR491&gt;=$AU24,23,IF($AR491&gt;=$AU23,22,IF($AR491&gt;=$AU22,21,IF($AR491&gt;=$AU21,20,IF($AR491&gt;=$AU20,19,IF($AR491&gt;=$AU19,18,IF($AR491&gt;=$AU18,17,IF($AR491&gt;=$AU17,16,IF($AR491&gt;=$AU16,15,IF($AR491&gt;=$AU15,14,IF($AR491&gt;=$AU14,13,IF($AR491&gt;=$AU13,12,IF($AR491&gt;=$AU12,11,IF($AR491&gt;=$AU11,10,IF($AR491&gt;=$AU10,9,IF($AR491&gt;=$AU9,8,IF($AR491&gt;=$AU8,7,IF($AR491&gt;=$AU7,6,IF($AR491&gt;=$AU6,5,IF($AR491&gt;=$AU5,4,IF($AR491&gt;=$AU4,3,IF($AR491&gt;=$AU3,2,IF($AR491&gt;=$AU2,1,0))))))))))))))))))))))))))))))))))))))))))))))))))</f>
        <v>0</v>
      </c>
    </row>
    <row r="493" spans="43:44" x14ac:dyDescent="0.25">
      <c r="AQ493" t="s">
        <v>241</v>
      </c>
      <c r="AR493">
        <f>AR492*VLOOKUP(AO8,tbStatus!A22:E33,5,FALSE)</f>
        <v>0</v>
      </c>
    </row>
    <row r="494" spans="43:44" x14ac:dyDescent="0.25">
      <c r="AQ494" t="s">
        <v>242</v>
      </c>
      <c r="AR494">
        <f>ROUND((AR493/N8)*BN40,0)</f>
        <v>0</v>
      </c>
    </row>
    <row r="496" spans="43:44" x14ac:dyDescent="0.25">
      <c r="AQ496" t="s">
        <v>574</v>
      </c>
      <c r="AR496" t="str">
        <f>IFERROR(INDEX(tbHitzones!K:K,MATCH(ROWS(tbHitzones!$1:39),tbHitzones!K:K,0)),"")</f>
        <v/>
      </c>
    </row>
    <row r="497" spans="43:44" x14ac:dyDescent="0.25">
      <c r="AQ497" t="s">
        <v>234</v>
      </c>
      <c r="AR497">
        <f>IFERROR(N8/BN41,0)</f>
        <v>0</v>
      </c>
    </row>
    <row r="498" spans="43:44" x14ac:dyDescent="0.25">
      <c r="AQ498" t="s">
        <v>572</v>
      </c>
      <c r="AR498">
        <f>AO6*AO56</f>
        <v>0</v>
      </c>
    </row>
    <row r="499" spans="43:44" x14ac:dyDescent="0.25">
      <c r="AQ499" t="s">
        <v>190</v>
      </c>
      <c r="AR499">
        <f>AR497*AR498</f>
        <v>0</v>
      </c>
    </row>
    <row r="500" spans="43:44" x14ac:dyDescent="0.25">
      <c r="AQ500" t="s">
        <v>235</v>
      </c>
      <c r="AR500">
        <f>IF($AR499&gt;=$AU51,50,IF($AR499&gt;=$AU50,49,IF($AR499&gt;=$AU49,48,IF($AR499&gt;=$AU48,47,IF($AR499&gt;=$AU47,46,IF($AR499&gt;=$AU46,45,IF($AR499&gt;=$AU45,44,IF($AR499&gt;=$AU44,43,IF($AR499&gt;=$AU43,42,IF($AR499&gt;=$AU42,41,IF($AR499&gt;=$AU41,40,IF($AR499&gt;=$AU40,39,IF($AR499&gt;=$AU39,38,IF($AR499&gt;=$AU38,37,IF($AR499&gt;=$AU37,36,IF($AR499&gt;=$AU36,35,IF($AR499&gt;=$AU35,34,IF($AR499&gt;=$AU34,33,IF($AR499&gt;=$AU33,32,IF($AR499&gt;=$AU32,31,IF($AR499&gt;=$AU31,30,IF($AR499&gt;=$AU30,29,IF($AR499&gt;=$AU29,28,IF($AR499&gt;=$AU28,27,IF($AR499&gt;=$AU27,26,IF($AR499&gt;=$AU26,25,IF($AR499&gt;=$AU25,24,IF($AR499&gt;=$AU24,23,IF($AR499&gt;=$AU23,22,IF($AR499&gt;=$AU22,21,IF($AR499&gt;=$AU21,20,IF($AR499&gt;=$AU20,19,IF($AR499&gt;=$AU19,18,IF($AR499&gt;=$AU18,17,IF($AR499&gt;=$AU17,16,IF($AR499&gt;=$AU16,15,IF($AR499&gt;=$AU15,14,IF($AR499&gt;=$AU14,13,IF($AR499&gt;=$AU13,12,IF($AR499&gt;=$AU12,11,IF($AR499&gt;=$AU11,10,IF($AR499&gt;=$AU10,9,IF($AR499&gt;=$AU9,8,IF($AR499&gt;=$AU8,7,IF($AR499&gt;=$AU7,6,IF($AR499&gt;=$AU6,5,IF($AR499&gt;=$AU5,4,IF($AR499&gt;=$AU4,3,IF($AR499&gt;=$AU3,2,IF($AR499&gt;=$AU2,1,0))))))))))))))))))))))))))))))))))))))))))))))))))</f>
        <v>0</v>
      </c>
    </row>
    <row r="501" spans="43:44" x14ac:dyDescent="0.25">
      <c r="AQ501" t="s">
        <v>236</v>
      </c>
      <c r="AR501">
        <f>AR500*VLOOKUP(AO8,tbStatus!A22:E33,5,FALSE)</f>
        <v>0</v>
      </c>
    </row>
    <row r="502" spans="43:44" x14ac:dyDescent="0.25">
      <c r="AQ502" t="s">
        <v>237</v>
      </c>
      <c r="AR502">
        <f>N8-AR501</f>
        <v>1408</v>
      </c>
    </row>
    <row r="503" spans="43:44" x14ac:dyDescent="0.25">
      <c r="AQ503" t="s">
        <v>238</v>
      </c>
      <c r="AR503">
        <f>IFERROR(AR502/BN41,0)</f>
        <v>0</v>
      </c>
    </row>
    <row r="504" spans="43:44" x14ac:dyDescent="0.25">
      <c r="AQ504" t="s">
        <v>239</v>
      </c>
      <c r="AR504">
        <f>AR503*AR498</f>
        <v>0</v>
      </c>
    </row>
    <row r="505" spans="43:44" x14ac:dyDescent="0.25">
      <c r="AQ505" t="s">
        <v>240</v>
      </c>
      <c r="AR505">
        <f>IF($AR504&gt;=$AU51,50,IF($AR504&gt;=$AU50,49,IF($AR504&gt;=$AU49,48,IF($AR504&gt;=$AU48,47,IF($AR504&gt;=$AU47,46,IF($AR504&gt;=$AU46,45,IF($AR504&gt;=$AU45,44,IF($AR504&gt;=$AU44,43,IF($AR504&gt;=$AU43,42,IF($AR504&gt;=$AU42,41,IF($AR504&gt;=$AU41,40,IF($AR504&gt;=$AU40,39,IF($AR504&gt;=$AU39,38,IF($AR504&gt;=$AU38,37,IF($AR504&gt;=$AU37,36,IF($AR504&gt;=$AU36,35,IF($AR504&gt;=$AU35,34,IF($AR504&gt;=$AU34,33,IF($AR504&gt;=$AU33,32,IF($AR504&gt;=$AU32,31,IF($AR504&gt;=$AU31,30,IF($AR504&gt;=$AU30,29,IF($AR504&gt;=$AU29,28,IF($AR504&gt;=$AU28,27,IF($AR504&gt;=$AU27,26,IF($AR504&gt;=$AU26,25,IF($AR504&gt;=$AU25,24,IF($AR504&gt;=$AU24,23,IF($AR504&gt;=$AU23,22,IF($AR504&gt;=$AU22,21,IF($AR504&gt;=$AU21,20,IF($AR504&gt;=$AU20,19,IF($AR504&gt;=$AU19,18,IF($AR504&gt;=$AU18,17,IF($AR504&gt;=$AU17,16,IF($AR504&gt;=$AU16,15,IF($AR504&gt;=$AU15,14,IF($AR504&gt;=$AU14,13,IF($AR504&gt;=$AU13,12,IF($AR504&gt;=$AU12,11,IF($AR504&gt;=$AU11,10,IF($AR504&gt;=$AU10,9,IF($AR504&gt;=$AU9,8,IF($AR504&gt;=$AU8,7,IF($AR504&gt;=$AU7,6,IF($AR504&gt;=$AU6,5,IF($AR504&gt;=$AU5,4,IF($AR504&gt;=$AU4,3,IF($AR504&gt;=$AU3,2,IF($AR504&gt;=$AU2,1,0))))))))))))))))))))))))))))))))))))))))))))))))))</f>
        <v>0</v>
      </c>
    </row>
    <row r="506" spans="43:44" x14ac:dyDescent="0.25">
      <c r="AQ506" t="s">
        <v>241</v>
      </c>
      <c r="AR506">
        <f>AR505*VLOOKUP(AO8,tbStatus!A22:E33,5,FALSE)</f>
        <v>0</v>
      </c>
    </row>
    <row r="507" spans="43:44" x14ac:dyDescent="0.25">
      <c r="AQ507" t="s">
        <v>242</v>
      </c>
      <c r="AR507">
        <f>ROUND((AR506/N8)*BN41,0)</f>
        <v>0</v>
      </c>
    </row>
    <row r="509" spans="43:44" x14ac:dyDescent="0.25">
      <c r="AQ509" t="s">
        <v>574</v>
      </c>
      <c r="AR509" t="str">
        <f>IFERROR(INDEX(tbHitzones!K:K,MATCH(ROWS(tbHitzones!$1:40),tbHitzones!K:K,0)),"")</f>
        <v/>
      </c>
    </row>
    <row r="510" spans="43:44" x14ac:dyDescent="0.25">
      <c r="AQ510" t="s">
        <v>234</v>
      </c>
      <c r="AR510">
        <f>IFERROR(N8/BN42,0)</f>
        <v>0</v>
      </c>
    </row>
    <row r="511" spans="43:44" x14ac:dyDescent="0.25">
      <c r="AQ511" t="s">
        <v>572</v>
      </c>
      <c r="AR511">
        <f>AO6*AO57</f>
        <v>0</v>
      </c>
    </row>
    <row r="512" spans="43:44" x14ac:dyDescent="0.25">
      <c r="AQ512" t="s">
        <v>190</v>
      </c>
      <c r="AR512">
        <f>AR510*AR511</f>
        <v>0</v>
      </c>
    </row>
    <row r="513" spans="43:44" x14ac:dyDescent="0.25">
      <c r="AQ513" t="s">
        <v>235</v>
      </c>
      <c r="AR513">
        <f>IF($AR512&gt;=$AU51,50,IF($AR512&gt;=$AU50,49,IF($AR512&gt;=$AU49,48,IF($AR512&gt;=$AU48,47,IF($AR512&gt;=$AU47,46,IF($AR512&gt;=$AU46,45,IF($AR512&gt;=$AU45,44,IF($AR512&gt;=$AU44,43,IF($AR512&gt;=$AU43,42,IF($AR512&gt;=$AU42,41,IF($AR512&gt;=$AU41,40,IF($AR512&gt;=$AU40,39,IF($AR512&gt;=$AU39,38,IF($AR512&gt;=$AU38,37,IF($AR512&gt;=$AU37,36,IF($AR512&gt;=$AU36,35,IF($AR512&gt;=$AU35,34,IF($AR512&gt;=$AU34,33,IF($AR512&gt;=$AU33,32,IF($AR512&gt;=$AU32,31,IF($AR512&gt;=$AU31,30,IF($AR512&gt;=$AU30,29,IF($AR512&gt;=$AU29,28,IF($AR512&gt;=$AU28,27,IF($AR512&gt;=$AU27,26,IF($AR512&gt;=$AU26,25,IF($AR512&gt;=$AU25,24,IF($AR512&gt;=$AU24,23,IF($AR512&gt;=$AU23,22,IF($AR512&gt;=$AU22,21,IF($AR512&gt;=$AU21,20,IF($AR512&gt;=$AU20,19,IF($AR512&gt;=$AU19,18,IF($AR512&gt;=$AU18,17,IF($AR512&gt;=$AU17,16,IF($AR512&gt;=$AU16,15,IF($AR512&gt;=$AU15,14,IF($AR512&gt;=$AU14,13,IF($AR512&gt;=$AU13,12,IF($AR512&gt;=$AU12,11,IF($AR512&gt;=$AU11,10,IF($AR512&gt;=$AU10,9,IF($AR512&gt;=$AU9,8,IF($AR512&gt;=$AU8,7,IF($AR512&gt;=$AU7,6,IF($AR512&gt;=$AU6,5,IF($AR512&gt;=$AU5,4,IF($AR512&gt;=$AU4,3,IF($AR512&gt;=$AU3,2,IF($AR512&gt;=$AU2,1,0))))))))))))))))))))))))))))))))))))))))))))))))))</f>
        <v>0</v>
      </c>
    </row>
    <row r="514" spans="43:44" x14ac:dyDescent="0.25">
      <c r="AQ514" t="s">
        <v>236</v>
      </c>
      <c r="AR514">
        <f>AR513*VLOOKUP(AO8,tbStatus!A22:E33,5,FALSE)</f>
        <v>0</v>
      </c>
    </row>
    <row r="515" spans="43:44" x14ac:dyDescent="0.25">
      <c r="AQ515" t="s">
        <v>237</v>
      </c>
      <c r="AR515">
        <f>N8-AR514</f>
        <v>1408</v>
      </c>
    </row>
    <row r="516" spans="43:44" x14ac:dyDescent="0.25">
      <c r="AQ516" t="s">
        <v>238</v>
      </c>
      <c r="AR516">
        <f>IFERROR(AR515/BN42,0)</f>
        <v>0</v>
      </c>
    </row>
    <row r="517" spans="43:44" x14ac:dyDescent="0.25">
      <c r="AQ517" t="s">
        <v>239</v>
      </c>
      <c r="AR517">
        <f>AR516*AR511</f>
        <v>0</v>
      </c>
    </row>
    <row r="518" spans="43:44" x14ac:dyDescent="0.25">
      <c r="AQ518" t="s">
        <v>240</v>
      </c>
      <c r="AR518">
        <f>IF($AR517&gt;=$AU51,50,IF($AR517&gt;=$AU50,49,IF($AR517&gt;=$AU49,48,IF($AR517&gt;=$AU48,47,IF($AR517&gt;=$AU47,46,IF($AR517&gt;=$AU46,45,IF($AR517&gt;=$AU45,44,IF($AR517&gt;=$AU44,43,IF($AR517&gt;=$AU43,42,IF($AR517&gt;=$AU42,41,IF($AR517&gt;=$AU41,40,IF($AR517&gt;=$AU40,39,IF($AR517&gt;=$AU39,38,IF($AR517&gt;=$AU38,37,IF($AR517&gt;=$AU37,36,IF($AR517&gt;=$AU36,35,IF($AR517&gt;=$AU35,34,IF($AR517&gt;=$AU34,33,IF($AR517&gt;=$AU33,32,IF($AR517&gt;=$AU32,31,IF($AR517&gt;=$AU31,30,IF($AR517&gt;=$AU30,29,IF($AR517&gt;=$AU29,28,IF($AR517&gt;=$AU28,27,IF($AR517&gt;=$AU27,26,IF($AR517&gt;=$AU26,25,IF($AR517&gt;=$AU25,24,IF($AR517&gt;=$AU24,23,IF($AR517&gt;=$AU23,22,IF($AR517&gt;=$AU22,21,IF($AR517&gt;=$AU21,20,IF($AR517&gt;=$AU20,19,IF($AR517&gt;=$AU19,18,IF($AR517&gt;=$AU18,17,IF($AR517&gt;=$AU17,16,IF($AR517&gt;=$AU16,15,IF($AR517&gt;=$AU15,14,IF($AR517&gt;=$AU14,13,IF($AR517&gt;=$AU13,12,IF($AR517&gt;=$AU12,11,IF($AR517&gt;=$AU11,10,IF($AR517&gt;=$AU10,9,IF($AR517&gt;=$AU9,8,IF($AR517&gt;=$AU8,7,IF($AR517&gt;=$AU7,6,IF($AR517&gt;=$AU6,5,IF($AR517&gt;=$AU5,4,IF($AR517&gt;=$AU4,3,IF($AR517&gt;=$AU3,2,IF($AR517&gt;=$AU2,1,0))))))))))))))))))))))))))))))))))))))))))))))))))</f>
        <v>0</v>
      </c>
    </row>
    <row r="519" spans="43:44" x14ac:dyDescent="0.25">
      <c r="AQ519" t="s">
        <v>241</v>
      </c>
      <c r="AR519">
        <f>AR518*VLOOKUP(AO8,tbStatus!A22:E33,5,FALSE)</f>
        <v>0</v>
      </c>
    </row>
    <row r="520" spans="43:44" x14ac:dyDescent="0.25">
      <c r="AQ520" t="s">
        <v>242</v>
      </c>
      <c r="AR520">
        <f>ROUND((AR519/N8)*BN42,0)</f>
        <v>0</v>
      </c>
    </row>
    <row r="522" spans="43:44" x14ac:dyDescent="0.25">
      <c r="AQ522" t="s">
        <v>574</v>
      </c>
      <c r="AR522" t="str">
        <f>IFERROR(INDEX(tbHitzones!K:K,MATCH(ROWS(tbHitzones!$1:41),tbHitzones!K:K,0)),"")</f>
        <v/>
      </c>
    </row>
    <row r="523" spans="43:44" x14ac:dyDescent="0.25">
      <c r="AQ523" t="s">
        <v>234</v>
      </c>
      <c r="AR523">
        <f>IFERROR(N8/BN43,0)</f>
        <v>0</v>
      </c>
    </row>
    <row r="524" spans="43:44" x14ac:dyDescent="0.25">
      <c r="AQ524" t="s">
        <v>572</v>
      </c>
      <c r="AR524">
        <f>AO6*AO58</f>
        <v>0</v>
      </c>
    </row>
    <row r="525" spans="43:44" x14ac:dyDescent="0.25">
      <c r="AQ525" t="s">
        <v>190</v>
      </c>
      <c r="AR525">
        <f>AR523*AR524</f>
        <v>0</v>
      </c>
    </row>
    <row r="526" spans="43:44" x14ac:dyDescent="0.25">
      <c r="AQ526" t="s">
        <v>235</v>
      </c>
      <c r="AR526">
        <f>IF($AR525&gt;=$AU51,50,IF($AR525&gt;=$AU50,49,IF($AR525&gt;=$AU49,48,IF($AR525&gt;=$AU48,47,IF($AR525&gt;=$AU47,46,IF($AR525&gt;=$AU46,45,IF($AR525&gt;=$AU45,44,IF($AR525&gt;=$AU44,43,IF($AR525&gt;=$AU43,42,IF($AR525&gt;=$AU42,41,IF($AR525&gt;=$AU41,40,IF($AR525&gt;=$AU40,39,IF($AR525&gt;=$AU39,38,IF($AR525&gt;=$AU38,37,IF($AR525&gt;=$AU37,36,IF($AR525&gt;=$AU36,35,IF($AR525&gt;=$AU35,34,IF($AR525&gt;=$AU34,33,IF($AR525&gt;=$AU33,32,IF($AR525&gt;=$AU32,31,IF($AR525&gt;=$AU31,30,IF($AR525&gt;=$AU30,29,IF($AR525&gt;=$AU29,28,IF($AR525&gt;=$AU28,27,IF($AR525&gt;=$AU27,26,IF($AR525&gt;=$AU26,25,IF($AR525&gt;=$AU25,24,IF($AR525&gt;=$AU24,23,IF($AR525&gt;=$AU23,22,IF($AR525&gt;=$AU22,21,IF($AR525&gt;=$AU21,20,IF($AR525&gt;=$AU20,19,IF($AR525&gt;=$AU19,18,IF($AR525&gt;=$AU18,17,IF($AR525&gt;=$AU17,16,IF($AR525&gt;=$AU16,15,IF($AR525&gt;=$AU15,14,IF($AR525&gt;=$AU14,13,IF($AR525&gt;=$AU13,12,IF($AR525&gt;=$AU12,11,IF($AR525&gt;=$AU11,10,IF($AR525&gt;=$AU10,9,IF($AR525&gt;=$AU9,8,IF($AR525&gt;=$AU8,7,IF($AR525&gt;=$AU7,6,IF($AR525&gt;=$AU6,5,IF($AR525&gt;=$AU5,4,IF($AR525&gt;=$AU4,3,IF($AR525&gt;=$AU3,2,IF($AR525&gt;=$AU2,1,0))))))))))))))))))))))))))))))))))))))))))))))))))</f>
        <v>0</v>
      </c>
    </row>
    <row r="527" spans="43:44" x14ac:dyDescent="0.25">
      <c r="AQ527" t="s">
        <v>236</v>
      </c>
      <c r="AR527">
        <f>AR526*VLOOKUP(AO8,tbStatus!A22:E33,5,FALSE)</f>
        <v>0</v>
      </c>
    </row>
    <row r="528" spans="43:44" x14ac:dyDescent="0.25">
      <c r="AQ528" t="s">
        <v>237</v>
      </c>
      <c r="AR528">
        <f>N8-AR527</f>
        <v>1408</v>
      </c>
    </row>
    <row r="529" spans="43:44" x14ac:dyDescent="0.25">
      <c r="AQ529" t="s">
        <v>238</v>
      </c>
      <c r="AR529">
        <f>IFERROR(AR528/BN43,0)</f>
        <v>0</v>
      </c>
    </row>
    <row r="530" spans="43:44" x14ac:dyDescent="0.25">
      <c r="AQ530" t="s">
        <v>239</v>
      </c>
      <c r="AR530">
        <f>AR529*AR524</f>
        <v>0</v>
      </c>
    </row>
    <row r="531" spans="43:44" x14ac:dyDescent="0.25">
      <c r="AQ531" t="s">
        <v>240</v>
      </c>
      <c r="AR531">
        <f>IF($AR530&gt;=$AU51,50,IF($AR530&gt;=$AU50,49,IF($AR530&gt;=$AU49,48,IF($AR530&gt;=$AU48,47,IF($AR530&gt;=$AU47,46,IF($AR530&gt;=$AU46,45,IF($AR530&gt;=$AU45,44,IF($AR530&gt;=$AU44,43,IF($AR530&gt;=$AU43,42,IF($AR530&gt;=$AU42,41,IF($AR530&gt;=$AU41,40,IF($AR530&gt;=$AU40,39,IF($AR530&gt;=$AU39,38,IF($AR530&gt;=$AU38,37,IF($AR530&gt;=$AU37,36,IF($AR530&gt;=$AU36,35,IF($AR530&gt;=$AU35,34,IF($AR530&gt;=$AU34,33,IF($AR530&gt;=$AU33,32,IF($AR530&gt;=$AU32,31,IF($AR530&gt;=$AU31,30,IF($AR530&gt;=$AU30,29,IF($AR530&gt;=$AU29,28,IF($AR530&gt;=$AU28,27,IF($AR530&gt;=$AU27,26,IF($AR530&gt;=$AU26,25,IF($AR530&gt;=$AU25,24,IF($AR530&gt;=$AU24,23,IF($AR530&gt;=$AU23,22,IF($AR530&gt;=$AU22,21,IF($AR530&gt;=$AU21,20,IF($AR530&gt;=$AU20,19,IF($AR530&gt;=$AU19,18,IF($AR530&gt;=$AU18,17,IF($AR530&gt;=$AU17,16,IF($AR530&gt;=$AU16,15,IF($AR530&gt;=$AU15,14,IF($AR530&gt;=$AU14,13,IF($AR530&gt;=$AU13,12,IF($AR530&gt;=$AU12,11,IF($AR530&gt;=$AU11,10,IF($AR530&gt;=$AU10,9,IF($AR530&gt;=$AU9,8,IF($AR530&gt;=$AU8,7,IF($AR530&gt;=$AU7,6,IF($AR530&gt;=$AU6,5,IF($AR530&gt;=$AU5,4,IF($AR530&gt;=$AU4,3,IF($AR530&gt;=$AU3,2,IF($AR530&gt;=$AU2,1,0))))))))))))))))))))))))))))))))))))))))))))))))))</f>
        <v>0</v>
      </c>
    </row>
    <row r="532" spans="43:44" x14ac:dyDescent="0.25">
      <c r="AQ532" t="s">
        <v>241</v>
      </c>
      <c r="AR532">
        <f>AR531*VLOOKUP(AO8,tbStatus!A22:E33,5,FALSE)</f>
        <v>0</v>
      </c>
    </row>
    <row r="533" spans="43:44" x14ac:dyDescent="0.25">
      <c r="AQ533" t="s">
        <v>242</v>
      </c>
      <c r="AR533">
        <f>ROUND((AR532/N8)*BN43,0)</f>
        <v>0</v>
      </c>
    </row>
    <row r="535" spans="43:44" x14ac:dyDescent="0.25">
      <c r="AQ535" t="s">
        <v>574</v>
      </c>
      <c r="AR535" t="str">
        <f>IFERROR(INDEX(tbHitzones!K:K,MATCH(ROWS(tbHitzones!$1:42),tbHitzones!K:K,0)),"")</f>
        <v/>
      </c>
    </row>
    <row r="536" spans="43:44" x14ac:dyDescent="0.25">
      <c r="AQ536" t="s">
        <v>234</v>
      </c>
      <c r="AR536">
        <f>IFERROR(N8/BN44,0)</f>
        <v>0</v>
      </c>
    </row>
    <row r="537" spans="43:44" x14ac:dyDescent="0.25">
      <c r="AQ537" t="s">
        <v>572</v>
      </c>
      <c r="AR537">
        <f>AO6*AO59</f>
        <v>0</v>
      </c>
    </row>
    <row r="538" spans="43:44" x14ac:dyDescent="0.25">
      <c r="AQ538" t="s">
        <v>190</v>
      </c>
      <c r="AR538">
        <f>AR536*AR537</f>
        <v>0</v>
      </c>
    </row>
    <row r="539" spans="43:44" x14ac:dyDescent="0.25">
      <c r="AQ539" t="s">
        <v>235</v>
      </c>
      <c r="AR539">
        <f>IF($AR538&gt;=$AU51,50,IF($AR538&gt;=$AU50,49,IF($AR538&gt;=$AU49,48,IF($AR538&gt;=$AU48,47,IF($AR538&gt;=$AU47,46,IF($AR538&gt;=$AU46,45,IF($AR538&gt;=$AU45,44,IF($AR538&gt;=$AU44,43,IF($AR538&gt;=$AU43,42,IF($AR538&gt;=$AU42,41,IF($AR538&gt;=$AU41,40,IF($AR538&gt;=$AU40,39,IF($AR538&gt;=$AU39,38,IF($AR538&gt;=$AU38,37,IF($AR538&gt;=$AU37,36,IF($AR538&gt;=$AU36,35,IF($AR538&gt;=$AU35,34,IF($AR538&gt;=$AU34,33,IF($AR538&gt;=$AU33,32,IF($AR538&gt;=$AU32,31,IF($AR538&gt;=$AU31,30,IF($AR538&gt;=$AU30,29,IF($AR538&gt;=$AU29,28,IF($AR538&gt;=$AU28,27,IF($AR538&gt;=$AU27,26,IF($AR538&gt;=$AU26,25,IF($AR538&gt;=$AU25,24,IF($AR538&gt;=$AU24,23,IF($AR538&gt;=$AU23,22,IF($AR538&gt;=$AU22,21,IF($AR538&gt;=$AU21,20,IF($AR538&gt;=$AU20,19,IF($AR538&gt;=$AU19,18,IF($AR538&gt;=$AU18,17,IF($AR538&gt;=$AU17,16,IF($AR538&gt;=$AU16,15,IF($AR538&gt;=$AU15,14,IF($AR538&gt;=$AU14,13,IF($AR538&gt;=$AU13,12,IF($AR538&gt;=$AU12,11,IF($AR538&gt;=$AU11,10,IF($AR538&gt;=$AU10,9,IF($AR538&gt;=$AU9,8,IF($AR538&gt;=$AU8,7,IF($AR538&gt;=$AU7,6,IF($AR538&gt;=$AU6,5,IF($AR538&gt;=$AU5,4,IF($AR538&gt;=$AU4,3,IF($AR538&gt;=$AU3,2,IF($AR538&gt;=$AU2,1,0))))))))))))))))))))))))))))))))))))))))))))))))))</f>
        <v>0</v>
      </c>
    </row>
    <row r="540" spans="43:44" x14ac:dyDescent="0.25">
      <c r="AQ540" t="s">
        <v>236</v>
      </c>
      <c r="AR540">
        <f>AR539*VLOOKUP(AO8,tbStatus!A22:E33,5,FALSE)</f>
        <v>0</v>
      </c>
    </row>
    <row r="541" spans="43:44" x14ac:dyDescent="0.25">
      <c r="AQ541" t="s">
        <v>237</v>
      </c>
      <c r="AR541">
        <f>N8-AR540</f>
        <v>1408</v>
      </c>
    </row>
    <row r="542" spans="43:44" x14ac:dyDescent="0.25">
      <c r="AQ542" t="s">
        <v>238</v>
      </c>
      <c r="AR542">
        <f>IFERROR(AR541/BN44,0)</f>
        <v>0</v>
      </c>
    </row>
    <row r="543" spans="43:44" x14ac:dyDescent="0.25">
      <c r="AQ543" t="s">
        <v>239</v>
      </c>
      <c r="AR543">
        <f>AR542*AR537</f>
        <v>0</v>
      </c>
    </row>
    <row r="544" spans="43:44" x14ac:dyDescent="0.25">
      <c r="AQ544" t="s">
        <v>240</v>
      </c>
      <c r="AR544">
        <f>IF($AR543&gt;=$AU51,50,IF($AR543&gt;=$AU50,49,IF($AR543&gt;=$AU49,48,IF($AR543&gt;=$AU48,47,IF($AR543&gt;=$AU47,46,IF($AR543&gt;=$AU46,45,IF($AR543&gt;=$AU45,44,IF($AR543&gt;=$AU44,43,IF($AR543&gt;=$AU43,42,IF($AR543&gt;=$AU42,41,IF($AR543&gt;=$AU41,40,IF($AR543&gt;=$AU40,39,IF($AR543&gt;=$AU39,38,IF($AR543&gt;=$AU38,37,IF($AR543&gt;=$AU37,36,IF($AR543&gt;=$AU36,35,IF($AR543&gt;=$AU35,34,IF($AR543&gt;=$AU34,33,IF($AR543&gt;=$AU33,32,IF($AR543&gt;=$AU32,31,IF($AR543&gt;=$AU31,30,IF($AR543&gt;=$AU30,29,IF($AR543&gt;=$AU29,28,IF($AR543&gt;=$AU28,27,IF($AR543&gt;=$AU27,26,IF($AR543&gt;=$AU26,25,IF($AR543&gt;=$AU25,24,IF($AR543&gt;=$AU24,23,IF($AR543&gt;=$AU23,22,IF($AR543&gt;=$AU22,21,IF($AR543&gt;=$AU21,20,IF($AR543&gt;=$AU20,19,IF($AR543&gt;=$AU19,18,IF($AR543&gt;=$AU18,17,IF($AR543&gt;=$AU17,16,IF($AR543&gt;=$AU16,15,IF($AR543&gt;=$AU15,14,IF($AR543&gt;=$AU14,13,IF($AR543&gt;=$AU13,12,IF($AR543&gt;=$AU12,11,IF($AR543&gt;=$AU11,10,IF($AR543&gt;=$AU10,9,IF($AR543&gt;=$AU9,8,IF($AR543&gt;=$AU8,7,IF($AR543&gt;=$AU7,6,IF($AR543&gt;=$AU6,5,IF($AR543&gt;=$AU5,4,IF($AR543&gt;=$AU4,3,IF($AR543&gt;=$AU3,2,IF($AR543&gt;=$AU2,1,0))))))))))))))))))))))))))))))))))))))))))))))))))</f>
        <v>0</v>
      </c>
    </row>
    <row r="545" spans="43:44" x14ac:dyDescent="0.25">
      <c r="AQ545" t="s">
        <v>241</v>
      </c>
      <c r="AR545">
        <f>AR544*VLOOKUP(AO8,tbStatus!A22:E33,5,FALSE)</f>
        <v>0</v>
      </c>
    </row>
    <row r="546" spans="43:44" x14ac:dyDescent="0.25">
      <c r="AQ546" t="s">
        <v>242</v>
      </c>
      <c r="AR546">
        <f>ROUND((AR545/N8)*BN44,0)</f>
        <v>0</v>
      </c>
    </row>
    <row r="548" spans="43:44" x14ac:dyDescent="0.25">
      <c r="AQ548" t="s">
        <v>574</v>
      </c>
      <c r="AR548" t="str">
        <f>IFERROR(INDEX(tbHitzones!K:K,MATCH(ROWS(tbHitzones!$1:43),tbHitzones!K:K,0)),"")</f>
        <v/>
      </c>
    </row>
    <row r="549" spans="43:44" x14ac:dyDescent="0.25">
      <c r="AQ549" t="s">
        <v>234</v>
      </c>
      <c r="AR549">
        <f>IFERROR(N8/BN45,0)</f>
        <v>0</v>
      </c>
    </row>
    <row r="550" spans="43:44" x14ac:dyDescent="0.25">
      <c r="AQ550" t="s">
        <v>572</v>
      </c>
      <c r="AR550">
        <f>AO6*AO60</f>
        <v>0</v>
      </c>
    </row>
    <row r="551" spans="43:44" x14ac:dyDescent="0.25">
      <c r="AQ551" t="s">
        <v>190</v>
      </c>
      <c r="AR551">
        <f>AR549*AR550</f>
        <v>0</v>
      </c>
    </row>
    <row r="552" spans="43:44" x14ac:dyDescent="0.25">
      <c r="AQ552" t="s">
        <v>235</v>
      </c>
      <c r="AR552">
        <f>IF($AR551&gt;=$AU51,50,IF($AR551&gt;=$AU50,49,IF($AR551&gt;=$AU49,48,IF($AR551&gt;=$AU48,47,IF($AR551&gt;=$AU47,46,IF($AR551&gt;=$AU46,45,IF($AR551&gt;=$AU45,44,IF($AR551&gt;=$AU44,43,IF($AR551&gt;=$AU43,42,IF($AR551&gt;=$AU42,41,IF($AR551&gt;=$AU41,40,IF($AR551&gt;=$AU40,39,IF($AR551&gt;=$AU39,38,IF($AR551&gt;=$AU38,37,IF($AR551&gt;=$AU37,36,IF($AR551&gt;=$AU36,35,IF($AR551&gt;=$AU35,34,IF($AR551&gt;=$AU34,33,IF($AR551&gt;=$AU33,32,IF($AR551&gt;=$AU32,31,IF($AR551&gt;=$AU31,30,IF($AR551&gt;=$AU30,29,IF($AR551&gt;=$AU29,28,IF($AR551&gt;=$AU28,27,IF($AR551&gt;=$AU27,26,IF($AR551&gt;=$AU26,25,IF($AR551&gt;=$AU25,24,IF($AR551&gt;=$AU24,23,IF($AR551&gt;=$AU23,22,IF($AR551&gt;=$AU22,21,IF($AR551&gt;=$AU21,20,IF($AR551&gt;=$AU20,19,IF($AR551&gt;=$AU19,18,IF($AR551&gt;=$AU18,17,IF($AR551&gt;=$AU17,16,IF($AR551&gt;=$AU16,15,IF($AR551&gt;=$AU15,14,IF($AR551&gt;=$AU14,13,IF($AR551&gt;=$AU13,12,IF($AR551&gt;=$AU12,11,IF($AR551&gt;=$AU11,10,IF($AR551&gt;=$AU10,9,IF($AR551&gt;=$AU9,8,IF($AR551&gt;=$AU8,7,IF($AR551&gt;=$AU7,6,IF($AR551&gt;=$AU6,5,IF($AR551&gt;=$AU5,4,IF($AR551&gt;=$AU4,3,IF($AR551&gt;=$AU3,2,IF($AR551&gt;=$AU2,1,0))))))))))))))))))))))))))))))))))))))))))))))))))</f>
        <v>0</v>
      </c>
    </row>
    <row r="553" spans="43:44" x14ac:dyDescent="0.25">
      <c r="AQ553" t="s">
        <v>236</v>
      </c>
      <c r="AR553">
        <f>AR552*VLOOKUP(AO8,tbStatus!A22:E33,5,FALSE)</f>
        <v>0</v>
      </c>
    </row>
    <row r="554" spans="43:44" x14ac:dyDescent="0.25">
      <c r="AQ554" t="s">
        <v>237</v>
      </c>
      <c r="AR554">
        <f>N8-AR553</f>
        <v>1408</v>
      </c>
    </row>
    <row r="555" spans="43:44" x14ac:dyDescent="0.25">
      <c r="AQ555" t="s">
        <v>238</v>
      </c>
      <c r="AR555">
        <f>IFERROR(AR554/BN45,0)</f>
        <v>0</v>
      </c>
    </row>
    <row r="556" spans="43:44" x14ac:dyDescent="0.25">
      <c r="AQ556" t="s">
        <v>239</v>
      </c>
      <c r="AR556">
        <f>AR555*AR550</f>
        <v>0</v>
      </c>
    </row>
    <row r="557" spans="43:44" x14ac:dyDescent="0.25">
      <c r="AQ557" t="s">
        <v>240</v>
      </c>
      <c r="AR557">
        <f>IF($AR556&gt;=$AU51,50,IF($AR556&gt;=$AU50,49,IF($AR556&gt;=$AU49,48,IF($AR556&gt;=$AU48,47,IF($AR556&gt;=$AU47,46,IF($AR556&gt;=$AU46,45,IF($AR556&gt;=$AU45,44,IF($AR556&gt;=$AU44,43,IF($AR556&gt;=$AU43,42,IF($AR556&gt;=$AU42,41,IF($AR556&gt;=$AU41,40,IF($AR556&gt;=$AU40,39,IF($AR556&gt;=$AU39,38,IF($AR556&gt;=$AU38,37,IF($AR556&gt;=$AU37,36,IF($AR556&gt;=$AU36,35,IF($AR556&gt;=$AU35,34,IF($AR556&gt;=$AU34,33,IF($AR556&gt;=$AU33,32,IF($AR556&gt;=$AU32,31,IF($AR556&gt;=$AU31,30,IF($AR556&gt;=$AU30,29,IF($AR556&gt;=$AU29,28,IF($AR556&gt;=$AU28,27,IF($AR556&gt;=$AU27,26,IF($AR556&gt;=$AU26,25,IF($AR556&gt;=$AU25,24,IF($AR556&gt;=$AU24,23,IF($AR556&gt;=$AU23,22,IF($AR556&gt;=$AU22,21,IF($AR556&gt;=$AU21,20,IF($AR556&gt;=$AU20,19,IF($AR556&gt;=$AU19,18,IF($AR556&gt;=$AU18,17,IF($AR556&gt;=$AU17,16,IF($AR556&gt;=$AU16,15,IF($AR556&gt;=$AU15,14,IF($AR556&gt;=$AU14,13,IF($AR556&gt;=$AU13,12,IF($AR556&gt;=$AU12,11,IF($AR556&gt;=$AU11,10,IF($AR556&gt;=$AU10,9,IF($AR556&gt;=$AU9,8,IF($AR556&gt;=$AU8,7,IF($AR556&gt;=$AU7,6,IF($AR556&gt;=$AU6,5,IF($AR556&gt;=$AU5,4,IF($AR556&gt;=$AU4,3,IF($AR556&gt;=$AU3,2,IF($AR556&gt;=$AU2,1,0))))))))))))))))))))))))))))))))))))))))))))))))))</f>
        <v>0</v>
      </c>
    </row>
    <row r="558" spans="43:44" x14ac:dyDescent="0.25">
      <c r="AQ558" t="s">
        <v>241</v>
      </c>
      <c r="AR558">
        <f>AR557*VLOOKUP(AO8,tbStatus!A22:E33,5,FALSE)</f>
        <v>0</v>
      </c>
    </row>
    <row r="559" spans="43:44" x14ac:dyDescent="0.25">
      <c r="AQ559" t="s">
        <v>242</v>
      </c>
      <c r="AR559">
        <f>ROUND((AR558/N8)*BN45,0)</f>
        <v>0</v>
      </c>
    </row>
    <row r="561" spans="43:44" x14ac:dyDescent="0.25">
      <c r="AQ561" t="s">
        <v>574</v>
      </c>
      <c r="AR561" t="str">
        <f>IFERROR(INDEX(tbHitzones!K:K,MATCH(ROWS(tbHitzones!$1:44),tbHitzones!K:K,0)),"")</f>
        <v/>
      </c>
    </row>
    <row r="562" spans="43:44" x14ac:dyDescent="0.25">
      <c r="AQ562" t="s">
        <v>234</v>
      </c>
      <c r="AR562">
        <f>IFERROR(N8/BN46,0)</f>
        <v>0</v>
      </c>
    </row>
    <row r="563" spans="43:44" x14ac:dyDescent="0.25">
      <c r="AQ563" t="s">
        <v>572</v>
      </c>
      <c r="AR563">
        <f>AO6*AO61</f>
        <v>0</v>
      </c>
    </row>
    <row r="564" spans="43:44" x14ac:dyDescent="0.25">
      <c r="AQ564" t="s">
        <v>190</v>
      </c>
      <c r="AR564">
        <f>AR562*AR563</f>
        <v>0</v>
      </c>
    </row>
    <row r="565" spans="43:44" x14ac:dyDescent="0.25">
      <c r="AQ565" t="s">
        <v>235</v>
      </c>
      <c r="AR565">
        <f>IF($AR564&gt;=$AU51,50,IF($AR564&gt;=$AU50,49,IF($AR564&gt;=$AU49,48,IF($AR564&gt;=$AU48,47,IF($AR564&gt;=$AU47,46,IF($AR564&gt;=$AU46,45,IF($AR564&gt;=$AU45,44,IF($AR564&gt;=$AU44,43,IF($AR564&gt;=$AU43,42,IF($AR564&gt;=$AU42,41,IF($AR564&gt;=$AU41,40,IF($AR564&gt;=$AU40,39,IF($AR564&gt;=$AU39,38,IF($AR564&gt;=$AU38,37,IF($AR564&gt;=$AU37,36,IF($AR564&gt;=$AU36,35,IF($AR564&gt;=$AU35,34,IF($AR564&gt;=$AU34,33,IF($AR564&gt;=$AU33,32,IF($AR564&gt;=$AU32,31,IF($AR564&gt;=$AU31,30,IF($AR564&gt;=$AU30,29,IF($AR564&gt;=$AU29,28,IF($AR564&gt;=$AU28,27,IF($AR564&gt;=$AU27,26,IF($AR564&gt;=$AU26,25,IF($AR564&gt;=$AU25,24,IF($AR564&gt;=$AU24,23,IF($AR564&gt;=$AU23,22,IF($AR564&gt;=$AU22,21,IF($AR564&gt;=$AU21,20,IF($AR564&gt;=$AU20,19,IF($AR564&gt;=$AU19,18,IF($AR564&gt;=$AU18,17,IF($AR564&gt;=$AU17,16,IF($AR564&gt;=$AU16,15,IF($AR564&gt;=$AU15,14,IF($AR564&gt;=$AU14,13,IF($AR564&gt;=$AU13,12,IF($AR564&gt;=$AU12,11,IF($AR564&gt;=$AU11,10,IF($AR564&gt;=$AU10,9,IF($AR564&gt;=$AU9,8,IF($AR564&gt;=$AU8,7,IF($AR564&gt;=$AU7,6,IF($AR564&gt;=$AU6,5,IF($AR564&gt;=$AU5,4,IF($AR564&gt;=$AU4,3,IF($AR564&gt;=$AU3,2,IF($AR564&gt;=$AU2,1,0))))))))))))))))))))))))))))))))))))))))))))))))))</f>
        <v>0</v>
      </c>
    </row>
    <row r="566" spans="43:44" x14ac:dyDescent="0.25">
      <c r="AQ566" t="s">
        <v>236</v>
      </c>
      <c r="AR566">
        <f>AR565*VLOOKUP(AO8,tbStatus!A22:E33,5,FALSE)</f>
        <v>0</v>
      </c>
    </row>
    <row r="567" spans="43:44" x14ac:dyDescent="0.25">
      <c r="AQ567" t="s">
        <v>237</v>
      </c>
      <c r="AR567">
        <f>N8-AR566</f>
        <v>1408</v>
      </c>
    </row>
    <row r="568" spans="43:44" x14ac:dyDescent="0.25">
      <c r="AQ568" t="s">
        <v>238</v>
      </c>
      <c r="AR568">
        <f>IFERROR(AR567/BN46,0)</f>
        <v>0</v>
      </c>
    </row>
    <row r="569" spans="43:44" x14ac:dyDescent="0.25">
      <c r="AQ569" t="s">
        <v>239</v>
      </c>
      <c r="AR569">
        <f>AR568*AR563</f>
        <v>0</v>
      </c>
    </row>
    <row r="570" spans="43:44" x14ac:dyDescent="0.25">
      <c r="AQ570" t="s">
        <v>240</v>
      </c>
      <c r="AR570">
        <f>IF($AR569&gt;=$AU51,50,IF($AR569&gt;=$AU50,49,IF($AR569&gt;=$AU49,48,IF($AR569&gt;=$AU48,47,IF($AR569&gt;=$AU47,46,IF($AR569&gt;=$AU46,45,IF($AR569&gt;=$AU45,44,IF($AR569&gt;=$AU44,43,IF($AR569&gt;=$AU43,42,IF($AR569&gt;=$AU42,41,IF($AR569&gt;=$AU41,40,IF($AR569&gt;=$AU40,39,IF($AR569&gt;=$AU39,38,IF($AR569&gt;=$AU38,37,IF($AR569&gt;=$AU37,36,IF($AR569&gt;=$AU36,35,IF($AR569&gt;=$AU35,34,IF($AR569&gt;=$AU34,33,IF($AR569&gt;=$AU33,32,IF($AR569&gt;=$AU32,31,IF($AR569&gt;=$AU31,30,IF($AR569&gt;=$AU30,29,IF($AR569&gt;=$AU29,28,IF($AR569&gt;=$AU28,27,IF($AR569&gt;=$AU27,26,IF($AR569&gt;=$AU26,25,IF($AR569&gt;=$AU25,24,IF($AR569&gt;=$AU24,23,IF($AR569&gt;=$AU23,22,IF($AR569&gt;=$AU22,21,IF($AR569&gt;=$AU21,20,IF($AR569&gt;=$AU20,19,IF($AR569&gt;=$AU19,18,IF($AR569&gt;=$AU18,17,IF($AR569&gt;=$AU17,16,IF($AR569&gt;=$AU16,15,IF($AR569&gt;=$AU15,14,IF($AR569&gt;=$AU14,13,IF($AR569&gt;=$AU13,12,IF($AR569&gt;=$AU12,11,IF($AR569&gt;=$AU11,10,IF($AR569&gt;=$AU10,9,IF($AR569&gt;=$AU9,8,IF($AR569&gt;=$AU8,7,IF($AR569&gt;=$AU7,6,IF($AR569&gt;=$AU6,5,IF($AR569&gt;=$AU5,4,IF($AR569&gt;=$AU4,3,IF($AR569&gt;=$AU3,2,IF($AR569&gt;=$AU2,1,0))))))))))))))))))))))))))))))))))))))))))))))))))</f>
        <v>0</v>
      </c>
    </row>
    <row r="571" spans="43:44" x14ac:dyDescent="0.25">
      <c r="AQ571" t="s">
        <v>241</v>
      </c>
      <c r="AR571">
        <f>AR570*VLOOKUP(AO8,tbStatus!A22:E33,5,FALSE)</f>
        <v>0</v>
      </c>
    </row>
    <row r="572" spans="43:44" x14ac:dyDescent="0.25">
      <c r="AQ572" t="s">
        <v>242</v>
      </c>
      <c r="AR572">
        <f>ROUND((AR571/N8)*BN46,0)</f>
        <v>0</v>
      </c>
    </row>
  </sheetData>
  <mergeCells count="23">
    <mergeCell ref="A1:B1"/>
    <mergeCell ref="D1:E1"/>
    <mergeCell ref="P1:Q1"/>
    <mergeCell ref="M1:N1"/>
    <mergeCell ref="J1:K1"/>
    <mergeCell ref="G1:H1"/>
    <mergeCell ref="S1:T1"/>
    <mergeCell ref="V1:W1"/>
    <mergeCell ref="AE1:AF1"/>
    <mergeCell ref="Y1:Z1"/>
    <mergeCell ref="J46:K46"/>
    <mergeCell ref="J38:K38"/>
    <mergeCell ref="J7:K7"/>
    <mergeCell ref="J23:K23"/>
    <mergeCell ref="J16:K16"/>
    <mergeCell ref="J28:K28"/>
    <mergeCell ref="AW1:BH1"/>
    <mergeCell ref="AB1:AC1"/>
    <mergeCell ref="AN1:AO1"/>
    <mergeCell ref="AT1:AU1"/>
    <mergeCell ref="AK1:AL1"/>
    <mergeCell ref="AQ1:AR1"/>
    <mergeCell ref="AH1:AI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8E333-A794-4766-8FFF-81B204674EEF}">
  <sheetPr codeName="Sheet11"/>
  <dimension ref="A1:KW113"/>
  <sheetViews>
    <sheetView topLeftCell="JZ2" zoomScale="70" zoomScaleNormal="70" workbookViewId="0">
      <selection activeCell="KO54" sqref="KO53:KO54"/>
    </sheetView>
  </sheetViews>
  <sheetFormatPr defaultRowHeight="15" x14ac:dyDescent="0.25"/>
  <cols>
    <col min="1" max="1" width="41.7109375" bestFit="1" customWidth="1"/>
    <col min="2" max="2" width="16.7109375" bestFit="1" customWidth="1"/>
    <col min="3" max="3" width="20.140625" bestFit="1" customWidth="1"/>
    <col min="4" max="4" width="12.140625" bestFit="1" customWidth="1"/>
    <col min="5" max="5" width="13.85546875" bestFit="1" customWidth="1"/>
    <col min="6" max="6" width="17.42578125" bestFit="1" customWidth="1"/>
    <col min="7" max="7" width="15.85546875" bestFit="1" customWidth="1"/>
    <col min="8" max="8" width="14.42578125" bestFit="1" customWidth="1"/>
    <col min="9" max="9" width="16.7109375" bestFit="1" customWidth="1"/>
    <col min="10" max="10" width="20.140625" bestFit="1" customWidth="1"/>
    <col min="11" max="11" width="12.140625" bestFit="1" customWidth="1"/>
    <col min="12" max="12" width="13.85546875" bestFit="1" customWidth="1"/>
    <col min="13" max="13" width="17.42578125" bestFit="1" customWidth="1"/>
    <col min="14" max="14" width="15.85546875" bestFit="1" customWidth="1"/>
    <col min="15" max="15" width="14.42578125" bestFit="1" customWidth="1"/>
    <col min="16" max="16" width="16.7109375" bestFit="1" customWidth="1"/>
    <col min="17" max="17" width="20.140625" bestFit="1" customWidth="1"/>
    <col min="18" max="18" width="12.140625" bestFit="1" customWidth="1"/>
    <col min="19" max="19" width="13.85546875" bestFit="1" customWidth="1"/>
    <col min="20" max="20" width="17.42578125" bestFit="1" customWidth="1"/>
    <col min="21" max="21" width="15.85546875" bestFit="1" customWidth="1"/>
    <col min="22" max="22" width="14.42578125" bestFit="1" customWidth="1"/>
    <col min="23" max="23" width="16.7109375" bestFit="1" customWidth="1"/>
    <col min="24" max="24" width="20.140625" bestFit="1" customWidth="1"/>
    <col min="25" max="25" width="12.140625" bestFit="1" customWidth="1"/>
    <col min="26" max="26" width="13.85546875" bestFit="1" customWidth="1"/>
    <col min="27" max="27" width="17.42578125" bestFit="1" customWidth="1"/>
    <col min="28" max="28" width="15.85546875" bestFit="1" customWidth="1"/>
    <col min="29" max="29" width="14.42578125" bestFit="1" customWidth="1"/>
    <col min="30" max="30" width="16.7109375" bestFit="1" customWidth="1"/>
    <col min="31" max="31" width="20.140625" bestFit="1" customWidth="1"/>
    <col min="32" max="32" width="12.140625" bestFit="1" customWidth="1"/>
    <col min="33" max="33" width="13.85546875" bestFit="1" customWidth="1"/>
    <col min="34" max="34" width="17.42578125" bestFit="1" customWidth="1"/>
    <col min="35" max="35" width="15.85546875" bestFit="1" customWidth="1"/>
    <col min="36" max="36" width="14.42578125" bestFit="1" customWidth="1"/>
    <col min="37" max="37" width="16.7109375" bestFit="1" customWidth="1"/>
    <col min="38" max="38" width="20.140625" bestFit="1" customWidth="1"/>
    <col min="39" max="39" width="12.140625" bestFit="1" customWidth="1"/>
    <col min="40" max="40" width="13.85546875" bestFit="1" customWidth="1"/>
    <col min="41" max="41" width="17.42578125" bestFit="1" customWidth="1"/>
    <col min="42" max="42" width="15.85546875" bestFit="1" customWidth="1"/>
    <col min="43" max="43" width="14.42578125" bestFit="1" customWidth="1"/>
    <col min="44" max="44" width="16.7109375" bestFit="1" customWidth="1"/>
    <col min="45" max="45" width="20.140625" bestFit="1" customWidth="1"/>
    <col min="46" max="46" width="12.140625" bestFit="1" customWidth="1"/>
    <col min="47" max="47" width="13.85546875" bestFit="1" customWidth="1"/>
    <col min="48" max="48" width="17.42578125" bestFit="1" customWidth="1"/>
    <col min="49" max="49" width="15.85546875" bestFit="1" customWidth="1"/>
    <col min="50" max="50" width="14.42578125" bestFit="1" customWidth="1"/>
    <col min="51" max="51" width="16.7109375" bestFit="1" customWidth="1"/>
    <col min="52" max="52" width="20.140625" bestFit="1" customWidth="1"/>
    <col min="53" max="53" width="12.140625" bestFit="1" customWidth="1"/>
    <col min="54" max="54" width="13.85546875" bestFit="1" customWidth="1"/>
    <col min="55" max="55" width="17.42578125" bestFit="1" customWidth="1"/>
    <col min="56" max="56" width="15.85546875" bestFit="1" customWidth="1"/>
    <col min="57" max="57" width="14.42578125" bestFit="1" customWidth="1"/>
    <col min="58" max="58" width="16.7109375" bestFit="1" customWidth="1"/>
    <col min="59" max="59" width="20.140625" bestFit="1" customWidth="1"/>
    <col min="60" max="60" width="12.140625" bestFit="1" customWidth="1"/>
    <col min="61" max="61" width="13.85546875" bestFit="1" customWidth="1"/>
    <col min="62" max="62" width="17.42578125" bestFit="1" customWidth="1"/>
    <col min="63" max="63" width="15.85546875" bestFit="1" customWidth="1"/>
    <col min="64" max="64" width="14.42578125" bestFit="1" customWidth="1"/>
    <col min="65" max="65" width="16.7109375" bestFit="1" customWidth="1"/>
    <col min="66" max="66" width="20.140625" bestFit="1" customWidth="1"/>
    <col min="67" max="67" width="12.140625" bestFit="1" customWidth="1"/>
    <col min="68" max="68" width="13.85546875" bestFit="1" customWidth="1"/>
    <col min="69" max="69" width="17.42578125" bestFit="1" customWidth="1"/>
    <col min="70" max="70" width="15.85546875" bestFit="1" customWidth="1"/>
    <col min="71" max="71" width="14.42578125" bestFit="1" customWidth="1"/>
    <col min="72" max="72" width="16.7109375" bestFit="1" customWidth="1"/>
    <col min="73" max="73" width="20.140625" bestFit="1" customWidth="1"/>
    <col min="74" max="74" width="12.140625" bestFit="1" customWidth="1"/>
    <col min="75" max="75" width="13.85546875" bestFit="1" customWidth="1"/>
    <col min="76" max="76" width="17.42578125" bestFit="1" customWidth="1"/>
    <col min="77" max="77" width="15.85546875" bestFit="1" customWidth="1"/>
    <col min="78" max="78" width="14.42578125" bestFit="1" customWidth="1"/>
    <col min="79" max="79" width="16.7109375" bestFit="1" customWidth="1"/>
    <col min="80" max="80" width="20.140625" bestFit="1" customWidth="1"/>
    <col min="81" max="81" width="12.140625" bestFit="1" customWidth="1"/>
    <col min="82" max="82" width="13.85546875" bestFit="1" customWidth="1"/>
    <col min="83" max="83" width="17.42578125" bestFit="1" customWidth="1"/>
    <col min="84" max="84" width="15.85546875" bestFit="1" customWidth="1"/>
    <col min="85" max="85" width="14.42578125" bestFit="1" customWidth="1"/>
    <col min="86" max="86" width="16.7109375" bestFit="1" customWidth="1"/>
    <col min="87" max="87" width="20.140625" bestFit="1" customWidth="1"/>
    <col min="88" max="88" width="12.140625" bestFit="1" customWidth="1"/>
    <col min="89" max="89" width="13.85546875" bestFit="1" customWidth="1"/>
    <col min="90" max="90" width="17.42578125" bestFit="1" customWidth="1"/>
    <col min="91" max="91" width="15.85546875" bestFit="1" customWidth="1"/>
    <col min="92" max="92" width="14.42578125" bestFit="1" customWidth="1"/>
    <col min="93" max="93" width="16.7109375" bestFit="1" customWidth="1"/>
    <col min="94" max="94" width="20.140625" bestFit="1" customWidth="1"/>
    <col min="95" max="95" width="12.140625" bestFit="1" customWidth="1"/>
    <col min="96" max="96" width="13.85546875" bestFit="1" customWidth="1"/>
    <col min="97" max="97" width="17.42578125" bestFit="1" customWidth="1"/>
    <col min="98" max="98" width="15.85546875" bestFit="1" customWidth="1"/>
    <col min="99" max="99" width="14.42578125" bestFit="1" customWidth="1"/>
    <col min="100" max="100" width="16.7109375" bestFit="1" customWidth="1"/>
    <col min="101" max="101" width="20.140625" bestFit="1" customWidth="1"/>
    <col min="102" max="102" width="12.140625" bestFit="1" customWidth="1"/>
    <col min="103" max="103" width="13.85546875" bestFit="1" customWidth="1"/>
    <col min="104" max="104" width="17.42578125" bestFit="1" customWidth="1"/>
    <col min="105" max="105" width="15.85546875" bestFit="1" customWidth="1"/>
    <col min="106" max="106" width="14.42578125" bestFit="1" customWidth="1"/>
    <col min="107" max="107" width="16.7109375" bestFit="1" customWidth="1"/>
    <col min="108" max="108" width="20.140625" bestFit="1" customWidth="1"/>
    <col min="109" max="109" width="12.140625" bestFit="1" customWidth="1"/>
    <col min="110" max="110" width="13.85546875" bestFit="1" customWidth="1"/>
    <col min="111" max="111" width="17.42578125" bestFit="1" customWidth="1"/>
    <col min="112" max="112" width="15.85546875" bestFit="1" customWidth="1"/>
    <col min="113" max="113" width="14.42578125" bestFit="1" customWidth="1"/>
    <col min="114" max="114" width="16.7109375" bestFit="1" customWidth="1"/>
    <col min="115" max="115" width="20.140625" bestFit="1" customWidth="1"/>
    <col min="116" max="116" width="12.140625" bestFit="1" customWidth="1"/>
    <col min="117" max="117" width="13.85546875" bestFit="1" customWidth="1"/>
    <col min="118" max="118" width="17.42578125" bestFit="1" customWidth="1"/>
    <col min="119" max="119" width="15.85546875" bestFit="1" customWidth="1"/>
    <col min="120" max="120" width="14.42578125" bestFit="1" customWidth="1"/>
    <col min="121" max="121" width="16.7109375" bestFit="1" customWidth="1"/>
    <col min="122" max="122" width="20.140625" bestFit="1" customWidth="1"/>
    <col min="123" max="123" width="12.140625" bestFit="1" customWidth="1"/>
    <col min="124" max="124" width="13.85546875" bestFit="1" customWidth="1"/>
    <col min="125" max="125" width="17.42578125" bestFit="1" customWidth="1"/>
    <col min="126" max="126" width="15.85546875" bestFit="1" customWidth="1"/>
    <col min="127" max="127" width="14.42578125" bestFit="1" customWidth="1"/>
    <col min="128" max="128" width="16.7109375" bestFit="1" customWidth="1"/>
    <col min="129" max="129" width="20.140625" bestFit="1" customWidth="1"/>
    <col min="130" max="130" width="12.140625" bestFit="1" customWidth="1"/>
    <col min="131" max="131" width="13.85546875" bestFit="1" customWidth="1"/>
    <col min="132" max="132" width="17.42578125" bestFit="1" customWidth="1"/>
    <col min="133" max="133" width="15.85546875" bestFit="1" customWidth="1"/>
    <col min="134" max="134" width="14.42578125" bestFit="1" customWidth="1"/>
    <col min="135" max="135" width="16.7109375" bestFit="1" customWidth="1"/>
    <col min="136" max="136" width="20.140625" bestFit="1" customWidth="1"/>
    <col min="137" max="137" width="12.140625" bestFit="1" customWidth="1"/>
    <col min="138" max="138" width="13.85546875" bestFit="1" customWidth="1"/>
    <col min="139" max="139" width="17.42578125" bestFit="1" customWidth="1"/>
    <col min="140" max="140" width="15.85546875" bestFit="1" customWidth="1"/>
    <col min="141" max="141" width="14.42578125" bestFit="1" customWidth="1"/>
    <col min="142" max="142" width="16.7109375" bestFit="1" customWidth="1"/>
    <col min="143" max="143" width="20.140625" bestFit="1" customWidth="1"/>
    <col min="144" max="144" width="12.140625" bestFit="1" customWidth="1"/>
    <col min="145" max="145" width="13.85546875" bestFit="1" customWidth="1"/>
    <col min="146" max="146" width="17.42578125" bestFit="1" customWidth="1"/>
    <col min="147" max="147" width="15.85546875" bestFit="1" customWidth="1"/>
    <col min="148" max="148" width="14.42578125" bestFit="1" customWidth="1"/>
    <col min="149" max="149" width="16.7109375" bestFit="1" customWidth="1"/>
    <col min="150" max="150" width="20.140625" bestFit="1" customWidth="1"/>
    <col min="151" max="151" width="12.140625" bestFit="1" customWidth="1"/>
    <col min="152" max="152" width="13.85546875" bestFit="1" customWidth="1"/>
    <col min="153" max="153" width="17.42578125" bestFit="1" customWidth="1"/>
    <col min="154" max="154" width="15.85546875" bestFit="1" customWidth="1"/>
    <col min="155" max="155" width="14.42578125" bestFit="1" customWidth="1"/>
    <col min="156" max="156" width="16.7109375" bestFit="1" customWidth="1"/>
    <col min="157" max="157" width="20.140625" bestFit="1" customWidth="1"/>
    <col min="158" max="158" width="12.140625" bestFit="1" customWidth="1"/>
    <col min="159" max="159" width="13.85546875" bestFit="1" customWidth="1"/>
    <col min="160" max="160" width="17.42578125" bestFit="1" customWidth="1"/>
    <col min="161" max="161" width="15.85546875" bestFit="1" customWidth="1"/>
    <col min="162" max="162" width="14.42578125" bestFit="1" customWidth="1"/>
    <col min="163" max="163" width="16.7109375" bestFit="1" customWidth="1"/>
    <col min="164" max="164" width="20.140625" bestFit="1" customWidth="1"/>
    <col min="165" max="165" width="12.140625" bestFit="1" customWidth="1"/>
    <col min="166" max="166" width="13.85546875" bestFit="1" customWidth="1"/>
    <col min="167" max="167" width="17.42578125" bestFit="1" customWidth="1"/>
    <col min="168" max="168" width="15.85546875" bestFit="1" customWidth="1"/>
    <col min="169" max="169" width="14.42578125" bestFit="1" customWidth="1"/>
    <col min="170" max="170" width="16.7109375" bestFit="1" customWidth="1"/>
    <col min="171" max="171" width="20.140625" bestFit="1" customWidth="1"/>
    <col min="172" max="172" width="12.140625" bestFit="1" customWidth="1"/>
    <col min="173" max="173" width="13.85546875" bestFit="1" customWidth="1"/>
    <col min="174" max="174" width="17.42578125" bestFit="1" customWidth="1"/>
    <col min="175" max="175" width="15.85546875" bestFit="1" customWidth="1"/>
    <col min="176" max="176" width="14.42578125" bestFit="1" customWidth="1"/>
    <col min="177" max="177" width="16.7109375" bestFit="1" customWidth="1"/>
    <col min="178" max="178" width="20.140625" bestFit="1" customWidth="1"/>
    <col min="179" max="179" width="12.140625" bestFit="1" customWidth="1"/>
    <col min="180" max="180" width="13.85546875" bestFit="1" customWidth="1"/>
    <col min="181" max="181" width="17.42578125" bestFit="1" customWidth="1"/>
    <col min="182" max="182" width="15.85546875" bestFit="1" customWidth="1"/>
    <col min="183" max="183" width="14.42578125" bestFit="1" customWidth="1"/>
    <col min="184" max="184" width="16.7109375" bestFit="1" customWidth="1"/>
    <col min="185" max="185" width="20.140625" bestFit="1" customWidth="1"/>
    <col min="186" max="186" width="12.140625" bestFit="1" customWidth="1"/>
    <col min="187" max="187" width="13.85546875" bestFit="1" customWidth="1"/>
    <col min="188" max="188" width="17.42578125" bestFit="1" customWidth="1"/>
    <col min="189" max="189" width="15.85546875" bestFit="1" customWidth="1"/>
    <col min="190" max="190" width="14.42578125" bestFit="1" customWidth="1"/>
    <col min="191" max="191" width="16.7109375" bestFit="1" customWidth="1"/>
    <col min="192" max="192" width="20.140625" bestFit="1" customWidth="1"/>
    <col min="193" max="193" width="12.140625" bestFit="1" customWidth="1"/>
    <col min="194" max="194" width="13.85546875" bestFit="1" customWidth="1"/>
    <col min="195" max="195" width="17.42578125" bestFit="1" customWidth="1"/>
    <col min="196" max="196" width="15.85546875" bestFit="1" customWidth="1"/>
    <col min="197" max="197" width="14.42578125" bestFit="1" customWidth="1"/>
    <col min="198" max="198" width="16.7109375" bestFit="1" customWidth="1"/>
    <col min="199" max="199" width="20.140625" bestFit="1" customWidth="1"/>
    <col min="200" max="200" width="12.140625" bestFit="1" customWidth="1"/>
    <col min="201" max="201" width="13.85546875" bestFit="1" customWidth="1"/>
    <col min="202" max="202" width="17.42578125" bestFit="1" customWidth="1"/>
    <col min="203" max="203" width="15.85546875" bestFit="1" customWidth="1"/>
    <col min="204" max="204" width="14.42578125" bestFit="1" customWidth="1"/>
    <col min="205" max="205" width="16.7109375" bestFit="1" customWidth="1"/>
    <col min="206" max="206" width="20.140625" bestFit="1" customWidth="1"/>
    <col min="207" max="207" width="12.140625" bestFit="1" customWidth="1"/>
    <col min="208" max="208" width="13.85546875" bestFit="1" customWidth="1"/>
    <col min="209" max="209" width="17.42578125" bestFit="1" customWidth="1"/>
    <col min="210" max="210" width="15.85546875" bestFit="1" customWidth="1"/>
    <col min="211" max="211" width="14.42578125" bestFit="1" customWidth="1"/>
    <col min="212" max="212" width="16.7109375" bestFit="1" customWidth="1"/>
    <col min="213" max="213" width="20.140625" bestFit="1" customWidth="1"/>
    <col min="214" max="214" width="12.140625" bestFit="1" customWidth="1"/>
    <col min="215" max="215" width="13.85546875" bestFit="1" customWidth="1"/>
    <col min="216" max="216" width="17.42578125" bestFit="1" customWidth="1"/>
    <col min="217" max="217" width="15.85546875" bestFit="1" customWidth="1"/>
    <col min="218" max="218" width="14.42578125" bestFit="1" customWidth="1"/>
    <col min="219" max="219" width="16.7109375" bestFit="1" customWidth="1"/>
    <col min="220" max="220" width="20.140625" bestFit="1" customWidth="1"/>
    <col min="221" max="221" width="12.140625" bestFit="1" customWidth="1"/>
    <col min="222" max="222" width="13.85546875" bestFit="1" customWidth="1"/>
    <col min="223" max="223" width="17.42578125" bestFit="1" customWidth="1"/>
    <col min="224" max="224" width="15.85546875" bestFit="1" customWidth="1"/>
    <col min="225" max="225" width="14.42578125" bestFit="1" customWidth="1"/>
    <col min="226" max="226" width="16.7109375" bestFit="1" customWidth="1"/>
    <col min="227" max="227" width="20.140625" bestFit="1" customWidth="1"/>
    <col min="228" max="228" width="12.140625" bestFit="1" customWidth="1"/>
    <col min="229" max="229" width="13.85546875" bestFit="1" customWidth="1"/>
    <col min="230" max="230" width="17.42578125" bestFit="1" customWidth="1"/>
    <col min="231" max="231" width="15.85546875" bestFit="1" customWidth="1"/>
    <col min="232" max="232" width="14.42578125" bestFit="1" customWidth="1"/>
    <col min="233" max="233" width="16.7109375" bestFit="1" customWidth="1"/>
    <col min="234" max="234" width="20.140625" bestFit="1" customWidth="1"/>
    <col min="235" max="235" width="12.140625" bestFit="1" customWidth="1"/>
    <col min="236" max="236" width="13.85546875" bestFit="1" customWidth="1"/>
    <col min="237" max="237" width="17.42578125" bestFit="1" customWidth="1"/>
    <col min="238" max="238" width="15.85546875" bestFit="1" customWidth="1"/>
    <col min="239" max="239" width="14.42578125" bestFit="1" customWidth="1"/>
    <col min="240" max="240" width="16.7109375" bestFit="1" customWidth="1"/>
    <col min="241" max="241" width="20.140625" bestFit="1" customWidth="1"/>
    <col min="242" max="242" width="12.140625" bestFit="1" customWidth="1"/>
    <col min="243" max="243" width="13.85546875" bestFit="1" customWidth="1"/>
    <col min="244" max="244" width="17.42578125" bestFit="1" customWidth="1"/>
    <col min="245" max="245" width="15.85546875" bestFit="1" customWidth="1"/>
    <col min="246" max="246" width="14.42578125" bestFit="1" customWidth="1"/>
    <col min="247" max="247" width="16.7109375" bestFit="1" customWidth="1"/>
    <col min="248" max="248" width="20.140625" bestFit="1" customWidth="1"/>
    <col min="249" max="249" width="12.140625" bestFit="1" customWidth="1"/>
    <col min="250" max="250" width="13.85546875" bestFit="1" customWidth="1"/>
    <col min="251" max="251" width="17.42578125" bestFit="1" customWidth="1"/>
    <col min="252" max="252" width="15.85546875" bestFit="1" customWidth="1"/>
    <col min="253" max="253" width="14.42578125" bestFit="1" customWidth="1"/>
    <col min="254" max="254" width="16.7109375" bestFit="1" customWidth="1"/>
    <col min="255" max="255" width="20.140625" bestFit="1" customWidth="1"/>
    <col min="256" max="256" width="12.140625" bestFit="1" customWidth="1"/>
    <col min="257" max="257" width="13.85546875" bestFit="1" customWidth="1"/>
    <col min="258" max="258" width="17.42578125" bestFit="1" customWidth="1"/>
    <col min="259" max="259" width="15.85546875" bestFit="1" customWidth="1"/>
    <col min="260" max="260" width="14.42578125" bestFit="1" customWidth="1"/>
    <col min="261" max="261" width="16.7109375" bestFit="1" customWidth="1"/>
    <col min="262" max="262" width="20.140625" bestFit="1" customWidth="1"/>
    <col min="263" max="263" width="12.140625" bestFit="1" customWidth="1"/>
    <col min="264" max="264" width="13.85546875" bestFit="1" customWidth="1"/>
    <col min="265" max="265" width="17.42578125" bestFit="1" customWidth="1"/>
    <col min="266" max="266" width="15.85546875" bestFit="1" customWidth="1"/>
    <col min="267" max="267" width="14.42578125" bestFit="1" customWidth="1"/>
    <col min="268" max="268" width="16.7109375" bestFit="1" customWidth="1"/>
    <col min="269" max="269" width="20.140625" bestFit="1" customWidth="1"/>
    <col min="270" max="270" width="12.140625" bestFit="1" customWidth="1"/>
    <col min="271" max="271" width="13.85546875" bestFit="1" customWidth="1"/>
    <col min="272" max="272" width="17.42578125" bestFit="1" customWidth="1"/>
    <col min="273" max="273" width="15.85546875" bestFit="1" customWidth="1"/>
    <col min="274" max="274" width="14.42578125" bestFit="1" customWidth="1"/>
    <col min="275" max="275" width="16.7109375" bestFit="1" customWidth="1"/>
    <col min="276" max="276" width="20.140625" bestFit="1" customWidth="1"/>
    <col min="277" max="277" width="12.140625" bestFit="1" customWidth="1"/>
    <col min="278" max="278" width="13.85546875" bestFit="1" customWidth="1"/>
    <col min="279" max="279" width="17.42578125" bestFit="1" customWidth="1"/>
    <col min="280" max="280" width="15.85546875" bestFit="1" customWidth="1"/>
    <col min="281" max="281" width="14.42578125" bestFit="1" customWidth="1"/>
    <col min="282" max="282" width="16.7109375" bestFit="1" customWidth="1"/>
    <col min="283" max="283" width="20.140625" bestFit="1" customWidth="1"/>
    <col min="284" max="284" width="12.140625" bestFit="1" customWidth="1"/>
    <col min="285" max="285" width="13.85546875" bestFit="1" customWidth="1"/>
    <col min="286" max="286" width="17.42578125" bestFit="1" customWidth="1"/>
    <col min="287" max="287" width="15.85546875" bestFit="1" customWidth="1"/>
    <col min="288" max="288" width="14.42578125" bestFit="1" customWidth="1"/>
    <col min="289" max="289" width="16.7109375" bestFit="1" customWidth="1"/>
    <col min="290" max="290" width="20.140625" bestFit="1" customWidth="1"/>
    <col min="291" max="291" width="12.140625" bestFit="1" customWidth="1"/>
    <col min="292" max="292" width="13.85546875" bestFit="1" customWidth="1"/>
    <col min="293" max="293" width="17.42578125" bestFit="1" customWidth="1"/>
    <col min="294" max="294" width="15.85546875" bestFit="1" customWidth="1"/>
    <col min="295" max="295" width="14.42578125" bestFit="1" customWidth="1"/>
    <col min="296" max="296" width="16.7109375" bestFit="1" customWidth="1"/>
    <col min="297" max="297" width="20.140625" bestFit="1" customWidth="1"/>
    <col min="298" max="298" width="12.140625" bestFit="1" customWidth="1"/>
    <col min="299" max="299" width="13.85546875" bestFit="1" customWidth="1"/>
    <col min="300" max="300" width="17.42578125" bestFit="1" customWidth="1"/>
    <col min="301" max="301" width="15.85546875" bestFit="1" customWidth="1"/>
    <col min="302" max="302" width="14.42578125" bestFit="1" customWidth="1"/>
    <col min="303" max="303" width="16.7109375" bestFit="1" customWidth="1"/>
    <col min="304" max="304" width="20.140625" bestFit="1" customWidth="1"/>
    <col min="305" max="305" width="12.140625" bestFit="1" customWidth="1"/>
    <col min="306" max="306" width="13.85546875" bestFit="1" customWidth="1"/>
    <col min="307" max="307" width="17.42578125" bestFit="1" customWidth="1"/>
    <col min="308" max="308" width="15.85546875" bestFit="1" customWidth="1"/>
    <col min="309" max="309" width="14.42578125" bestFit="1" customWidth="1"/>
  </cols>
  <sheetData>
    <row r="1" spans="1:309" x14ac:dyDescent="0.25">
      <c r="A1" s="94" t="s">
        <v>111</v>
      </c>
      <c r="B1" s="83" t="s">
        <v>540</v>
      </c>
      <c r="C1" s="84" t="s">
        <v>541</v>
      </c>
      <c r="D1" s="84" t="s">
        <v>512</v>
      </c>
      <c r="E1" s="84" t="s">
        <v>188</v>
      </c>
      <c r="F1" s="84" t="s">
        <v>189</v>
      </c>
      <c r="G1" s="84" t="s">
        <v>190</v>
      </c>
      <c r="H1" s="85" t="s">
        <v>148</v>
      </c>
      <c r="I1" s="83" t="s">
        <v>540</v>
      </c>
      <c r="J1" s="84" t="s">
        <v>541</v>
      </c>
      <c r="K1" s="84" t="s">
        <v>512</v>
      </c>
      <c r="L1" s="84" t="s">
        <v>188</v>
      </c>
      <c r="M1" s="84" t="s">
        <v>189</v>
      </c>
      <c r="N1" s="84" t="s">
        <v>190</v>
      </c>
      <c r="O1" s="85" t="s">
        <v>148</v>
      </c>
      <c r="P1" s="83" t="s">
        <v>540</v>
      </c>
      <c r="Q1" s="84" t="s">
        <v>541</v>
      </c>
      <c r="R1" s="84" t="s">
        <v>512</v>
      </c>
      <c r="S1" s="84" t="s">
        <v>188</v>
      </c>
      <c r="T1" s="84" t="s">
        <v>189</v>
      </c>
      <c r="U1" s="84" t="s">
        <v>190</v>
      </c>
      <c r="V1" s="85" t="s">
        <v>148</v>
      </c>
      <c r="W1" s="83" t="s">
        <v>540</v>
      </c>
      <c r="X1" s="84" t="s">
        <v>541</v>
      </c>
      <c r="Y1" s="84" t="s">
        <v>512</v>
      </c>
      <c r="Z1" s="84" t="s">
        <v>188</v>
      </c>
      <c r="AA1" s="84" t="s">
        <v>189</v>
      </c>
      <c r="AB1" s="84" t="s">
        <v>190</v>
      </c>
      <c r="AC1" s="85" t="s">
        <v>148</v>
      </c>
      <c r="AD1" s="83" t="s">
        <v>540</v>
      </c>
      <c r="AE1" s="84" t="s">
        <v>541</v>
      </c>
      <c r="AF1" s="84" t="s">
        <v>512</v>
      </c>
      <c r="AG1" s="84" t="s">
        <v>188</v>
      </c>
      <c r="AH1" s="84" t="s">
        <v>189</v>
      </c>
      <c r="AI1" s="84" t="s">
        <v>190</v>
      </c>
      <c r="AJ1" s="85" t="s">
        <v>148</v>
      </c>
      <c r="AK1" s="83" t="s">
        <v>540</v>
      </c>
      <c r="AL1" s="84" t="s">
        <v>541</v>
      </c>
      <c r="AM1" s="84" t="s">
        <v>512</v>
      </c>
      <c r="AN1" s="84" t="s">
        <v>188</v>
      </c>
      <c r="AO1" s="84" t="s">
        <v>189</v>
      </c>
      <c r="AP1" s="84" t="s">
        <v>190</v>
      </c>
      <c r="AQ1" s="85" t="s">
        <v>148</v>
      </c>
      <c r="AR1" s="83" t="s">
        <v>540</v>
      </c>
      <c r="AS1" s="84" t="s">
        <v>541</v>
      </c>
      <c r="AT1" s="84" t="s">
        <v>512</v>
      </c>
      <c r="AU1" s="84" t="s">
        <v>188</v>
      </c>
      <c r="AV1" s="84" t="s">
        <v>189</v>
      </c>
      <c r="AW1" s="84" t="s">
        <v>190</v>
      </c>
      <c r="AX1" s="85" t="s">
        <v>148</v>
      </c>
      <c r="AY1" s="83" t="s">
        <v>540</v>
      </c>
      <c r="AZ1" s="84" t="s">
        <v>541</v>
      </c>
      <c r="BA1" s="84" t="s">
        <v>512</v>
      </c>
      <c r="BB1" s="84" t="s">
        <v>188</v>
      </c>
      <c r="BC1" s="84" t="s">
        <v>189</v>
      </c>
      <c r="BD1" s="84" t="s">
        <v>190</v>
      </c>
      <c r="BE1" s="85" t="s">
        <v>148</v>
      </c>
      <c r="BF1" s="83" t="s">
        <v>540</v>
      </c>
      <c r="BG1" s="84" t="s">
        <v>541</v>
      </c>
      <c r="BH1" s="84" t="s">
        <v>512</v>
      </c>
      <c r="BI1" s="84" t="s">
        <v>188</v>
      </c>
      <c r="BJ1" s="84" t="s">
        <v>189</v>
      </c>
      <c r="BK1" s="84" t="s">
        <v>190</v>
      </c>
      <c r="BL1" s="85" t="s">
        <v>148</v>
      </c>
      <c r="BM1" s="83" t="s">
        <v>540</v>
      </c>
      <c r="BN1" s="84" t="s">
        <v>541</v>
      </c>
      <c r="BO1" s="84" t="s">
        <v>512</v>
      </c>
      <c r="BP1" s="84" t="s">
        <v>188</v>
      </c>
      <c r="BQ1" s="84" t="s">
        <v>189</v>
      </c>
      <c r="BR1" s="84" t="s">
        <v>190</v>
      </c>
      <c r="BS1" s="85" t="s">
        <v>148</v>
      </c>
      <c r="BT1" s="83" t="s">
        <v>540</v>
      </c>
      <c r="BU1" s="84" t="s">
        <v>541</v>
      </c>
      <c r="BV1" s="84" t="s">
        <v>512</v>
      </c>
      <c r="BW1" s="84" t="s">
        <v>188</v>
      </c>
      <c r="BX1" s="84" t="s">
        <v>189</v>
      </c>
      <c r="BY1" s="84" t="s">
        <v>190</v>
      </c>
      <c r="BZ1" s="85" t="s">
        <v>148</v>
      </c>
      <c r="CA1" s="83" t="s">
        <v>540</v>
      </c>
      <c r="CB1" s="84" t="s">
        <v>541</v>
      </c>
      <c r="CC1" s="84" t="s">
        <v>512</v>
      </c>
      <c r="CD1" s="84" t="s">
        <v>188</v>
      </c>
      <c r="CE1" s="84" t="s">
        <v>189</v>
      </c>
      <c r="CF1" s="84" t="s">
        <v>190</v>
      </c>
      <c r="CG1" s="85" t="s">
        <v>148</v>
      </c>
      <c r="CH1" s="83" t="s">
        <v>540</v>
      </c>
      <c r="CI1" s="84" t="s">
        <v>541</v>
      </c>
      <c r="CJ1" s="84" t="s">
        <v>512</v>
      </c>
      <c r="CK1" s="84" t="s">
        <v>188</v>
      </c>
      <c r="CL1" s="84" t="s">
        <v>189</v>
      </c>
      <c r="CM1" s="84" t="s">
        <v>190</v>
      </c>
      <c r="CN1" s="85" t="s">
        <v>148</v>
      </c>
      <c r="CO1" s="83" t="s">
        <v>540</v>
      </c>
      <c r="CP1" s="84" t="s">
        <v>541</v>
      </c>
      <c r="CQ1" s="84" t="s">
        <v>512</v>
      </c>
      <c r="CR1" s="84" t="s">
        <v>188</v>
      </c>
      <c r="CS1" s="84" t="s">
        <v>189</v>
      </c>
      <c r="CT1" s="84" t="s">
        <v>190</v>
      </c>
      <c r="CU1" s="85" t="s">
        <v>148</v>
      </c>
      <c r="CV1" s="83" t="s">
        <v>540</v>
      </c>
      <c r="CW1" s="84" t="s">
        <v>541</v>
      </c>
      <c r="CX1" s="84" t="s">
        <v>512</v>
      </c>
      <c r="CY1" s="84" t="s">
        <v>188</v>
      </c>
      <c r="CZ1" s="84" t="s">
        <v>189</v>
      </c>
      <c r="DA1" s="84" t="s">
        <v>190</v>
      </c>
      <c r="DB1" s="85" t="s">
        <v>148</v>
      </c>
      <c r="DC1" s="83" t="s">
        <v>540</v>
      </c>
      <c r="DD1" s="84" t="s">
        <v>541</v>
      </c>
      <c r="DE1" s="84" t="s">
        <v>512</v>
      </c>
      <c r="DF1" s="84" t="s">
        <v>188</v>
      </c>
      <c r="DG1" s="84" t="s">
        <v>189</v>
      </c>
      <c r="DH1" s="84" t="s">
        <v>190</v>
      </c>
      <c r="DI1" s="85" t="s">
        <v>148</v>
      </c>
      <c r="DJ1" s="83" t="s">
        <v>540</v>
      </c>
      <c r="DK1" s="84" t="s">
        <v>541</v>
      </c>
      <c r="DL1" s="84" t="s">
        <v>512</v>
      </c>
      <c r="DM1" s="84" t="s">
        <v>188</v>
      </c>
      <c r="DN1" s="84" t="s">
        <v>189</v>
      </c>
      <c r="DO1" s="84" t="s">
        <v>190</v>
      </c>
      <c r="DP1" s="85" t="s">
        <v>148</v>
      </c>
      <c r="DQ1" s="83" t="s">
        <v>540</v>
      </c>
      <c r="DR1" s="84" t="s">
        <v>541</v>
      </c>
      <c r="DS1" s="84" t="s">
        <v>512</v>
      </c>
      <c r="DT1" s="84" t="s">
        <v>188</v>
      </c>
      <c r="DU1" s="84" t="s">
        <v>189</v>
      </c>
      <c r="DV1" s="84" t="s">
        <v>190</v>
      </c>
      <c r="DW1" s="85" t="s">
        <v>148</v>
      </c>
      <c r="DX1" s="83" t="s">
        <v>540</v>
      </c>
      <c r="DY1" s="84" t="s">
        <v>541</v>
      </c>
      <c r="DZ1" s="84" t="s">
        <v>512</v>
      </c>
      <c r="EA1" s="84" t="s">
        <v>188</v>
      </c>
      <c r="EB1" s="84" t="s">
        <v>189</v>
      </c>
      <c r="EC1" s="84" t="s">
        <v>190</v>
      </c>
      <c r="ED1" s="85" t="s">
        <v>148</v>
      </c>
      <c r="EE1" s="83" t="s">
        <v>540</v>
      </c>
      <c r="EF1" s="84" t="s">
        <v>541</v>
      </c>
      <c r="EG1" s="84" t="s">
        <v>512</v>
      </c>
      <c r="EH1" s="84" t="s">
        <v>188</v>
      </c>
      <c r="EI1" s="84" t="s">
        <v>189</v>
      </c>
      <c r="EJ1" s="84" t="s">
        <v>190</v>
      </c>
      <c r="EK1" s="85" t="s">
        <v>148</v>
      </c>
      <c r="EL1" s="83" t="s">
        <v>540</v>
      </c>
      <c r="EM1" s="84" t="s">
        <v>541</v>
      </c>
      <c r="EN1" s="84" t="s">
        <v>512</v>
      </c>
      <c r="EO1" s="84" t="s">
        <v>188</v>
      </c>
      <c r="EP1" s="84" t="s">
        <v>189</v>
      </c>
      <c r="EQ1" s="84" t="s">
        <v>190</v>
      </c>
      <c r="ER1" s="85" t="s">
        <v>148</v>
      </c>
      <c r="ES1" s="83" t="s">
        <v>540</v>
      </c>
      <c r="ET1" s="84" t="s">
        <v>541</v>
      </c>
      <c r="EU1" s="84" t="s">
        <v>512</v>
      </c>
      <c r="EV1" s="84" t="s">
        <v>188</v>
      </c>
      <c r="EW1" s="84" t="s">
        <v>189</v>
      </c>
      <c r="EX1" s="84" t="s">
        <v>190</v>
      </c>
      <c r="EY1" s="85" t="s">
        <v>148</v>
      </c>
      <c r="EZ1" s="83" t="s">
        <v>540</v>
      </c>
      <c r="FA1" s="84" t="s">
        <v>541</v>
      </c>
      <c r="FB1" s="84" t="s">
        <v>512</v>
      </c>
      <c r="FC1" s="84" t="s">
        <v>188</v>
      </c>
      <c r="FD1" s="84" t="s">
        <v>189</v>
      </c>
      <c r="FE1" s="84" t="s">
        <v>190</v>
      </c>
      <c r="FF1" s="85" t="s">
        <v>148</v>
      </c>
      <c r="FG1" s="83" t="s">
        <v>540</v>
      </c>
      <c r="FH1" s="84" t="s">
        <v>541</v>
      </c>
      <c r="FI1" s="84" t="s">
        <v>512</v>
      </c>
      <c r="FJ1" s="84" t="s">
        <v>188</v>
      </c>
      <c r="FK1" s="84" t="s">
        <v>189</v>
      </c>
      <c r="FL1" s="84" t="s">
        <v>190</v>
      </c>
      <c r="FM1" s="85" t="s">
        <v>148</v>
      </c>
      <c r="FN1" s="83" t="s">
        <v>540</v>
      </c>
      <c r="FO1" s="84" t="s">
        <v>541</v>
      </c>
      <c r="FP1" s="84" t="s">
        <v>512</v>
      </c>
      <c r="FQ1" s="84" t="s">
        <v>188</v>
      </c>
      <c r="FR1" s="84" t="s">
        <v>189</v>
      </c>
      <c r="FS1" s="84" t="s">
        <v>190</v>
      </c>
      <c r="FT1" s="85" t="s">
        <v>148</v>
      </c>
      <c r="FU1" s="83" t="s">
        <v>540</v>
      </c>
      <c r="FV1" s="84" t="s">
        <v>541</v>
      </c>
      <c r="FW1" s="84" t="s">
        <v>512</v>
      </c>
      <c r="FX1" s="84" t="s">
        <v>188</v>
      </c>
      <c r="FY1" s="84" t="s">
        <v>189</v>
      </c>
      <c r="FZ1" s="84" t="s">
        <v>190</v>
      </c>
      <c r="GA1" s="85" t="s">
        <v>148</v>
      </c>
      <c r="GB1" s="83" t="s">
        <v>540</v>
      </c>
      <c r="GC1" s="84" t="s">
        <v>541</v>
      </c>
      <c r="GD1" s="84" t="s">
        <v>512</v>
      </c>
      <c r="GE1" s="84" t="s">
        <v>188</v>
      </c>
      <c r="GF1" s="84" t="s">
        <v>189</v>
      </c>
      <c r="GG1" s="84" t="s">
        <v>190</v>
      </c>
      <c r="GH1" s="85" t="s">
        <v>148</v>
      </c>
      <c r="GI1" s="83" t="s">
        <v>540</v>
      </c>
      <c r="GJ1" s="84" t="s">
        <v>541</v>
      </c>
      <c r="GK1" s="84" t="s">
        <v>512</v>
      </c>
      <c r="GL1" s="84" t="s">
        <v>188</v>
      </c>
      <c r="GM1" s="84" t="s">
        <v>189</v>
      </c>
      <c r="GN1" s="84" t="s">
        <v>190</v>
      </c>
      <c r="GO1" s="85" t="s">
        <v>148</v>
      </c>
      <c r="GP1" s="83" t="s">
        <v>540</v>
      </c>
      <c r="GQ1" s="84" t="s">
        <v>541</v>
      </c>
      <c r="GR1" s="84" t="s">
        <v>512</v>
      </c>
      <c r="GS1" s="84" t="s">
        <v>188</v>
      </c>
      <c r="GT1" s="84" t="s">
        <v>189</v>
      </c>
      <c r="GU1" s="84" t="s">
        <v>190</v>
      </c>
      <c r="GV1" s="85" t="s">
        <v>148</v>
      </c>
      <c r="GW1" s="83" t="s">
        <v>540</v>
      </c>
      <c r="GX1" s="84" t="s">
        <v>541</v>
      </c>
      <c r="GY1" s="84" t="s">
        <v>512</v>
      </c>
      <c r="GZ1" s="84" t="s">
        <v>188</v>
      </c>
      <c r="HA1" s="84" t="s">
        <v>189</v>
      </c>
      <c r="HB1" s="84" t="s">
        <v>190</v>
      </c>
      <c r="HC1" s="85" t="s">
        <v>148</v>
      </c>
      <c r="HD1" s="83" t="s">
        <v>540</v>
      </c>
      <c r="HE1" s="84" t="s">
        <v>541</v>
      </c>
      <c r="HF1" s="84" t="s">
        <v>512</v>
      </c>
      <c r="HG1" s="84" t="s">
        <v>188</v>
      </c>
      <c r="HH1" s="84" t="s">
        <v>189</v>
      </c>
      <c r="HI1" s="84" t="s">
        <v>190</v>
      </c>
      <c r="HJ1" s="85" t="s">
        <v>148</v>
      </c>
      <c r="HK1" s="83" t="s">
        <v>540</v>
      </c>
      <c r="HL1" s="84" t="s">
        <v>541</v>
      </c>
      <c r="HM1" s="84" t="s">
        <v>512</v>
      </c>
      <c r="HN1" s="84" t="s">
        <v>188</v>
      </c>
      <c r="HO1" s="84" t="s">
        <v>189</v>
      </c>
      <c r="HP1" s="84" t="s">
        <v>190</v>
      </c>
      <c r="HQ1" s="85" t="s">
        <v>148</v>
      </c>
      <c r="HR1" s="83" t="s">
        <v>540</v>
      </c>
      <c r="HS1" s="84" t="s">
        <v>541</v>
      </c>
      <c r="HT1" s="84" t="s">
        <v>512</v>
      </c>
      <c r="HU1" s="84" t="s">
        <v>188</v>
      </c>
      <c r="HV1" s="84" t="s">
        <v>189</v>
      </c>
      <c r="HW1" s="84" t="s">
        <v>190</v>
      </c>
      <c r="HX1" s="85" t="s">
        <v>148</v>
      </c>
      <c r="HY1" s="83" t="s">
        <v>540</v>
      </c>
      <c r="HZ1" s="84" t="s">
        <v>541</v>
      </c>
      <c r="IA1" s="84" t="s">
        <v>512</v>
      </c>
      <c r="IB1" s="84" t="s">
        <v>188</v>
      </c>
      <c r="IC1" s="84" t="s">
        <v>189</v>
      </c>
      <c r="ID1" s="84" t="s">
        <v>190</v>
      </c>
      <c r="IE1" s="85" t="s">
        <v>148</v>
      </c>
      <c r="IF1" s="83" t="s">
        <v>540</v>
      </c>
      <c r="IG1" s="84" t="s">
        <v>541</v>
      </c>
      <c r="IH1" s="84" t="s">
        <v>512</v>
      </c>
      <c r="II1" s="84" t="s">
        <v>188</v>
      </c>
      <c r="IJ1" s="84" t="s">
        <v>189</v>
      </c>
      <c r="IK1" s="84" t="s">
        <v>190</v>
      </c>
      <c r="IL1" s="85" t="s">
        <v>148</v>
      </c>
      <c r="IM1" s="83" t="s">
        <v>540</v>
      </c>
      <c r="IN1" s="84" t="s">
        <v>541</v>
      </c>
      <c r="IO1" s="84" t="s">
        <v>512</v>
      </c>
      <c r="IP1" s="84" t="s">
        <v>188</v>
      </c>
      <c r="IQ1" s="84" t="s">
        <v>189</v>
      </c>
      <c r="IR1" s="84" t="s">
        <v>190</v>
      </c>
      <c r="IS1" s="85" t="s">
        <v>148</v>
      </c>
      <c r="IT1" s="83" t="s">
        <v>540</v>
      </c>
      <c r="IU1" s="84" t="s">
        <v>541</v>
      </c>
      <c r="IV1" s="84" t="s">
        <v>512</v>
      </c>
      <c r="IW1" s="84" t="s">
        <v>188</v>
      </c>
      <c r="IX1" s="84" t="s">
        <v>189</v>
      </c>
      <c r="IY1" s="84" t="s">
        <v>190</v>
      </c>
      <c r="IZ1" s="85" t="s">
        <v>148</v>
      </c>
      <c r="JA1" s="83" t="s">
        <v>540</v>
      </c>
      <c r="JB1" s="84" t="s">
        <v>541</v>
      </c>
      <c r="JC1" s="84" t="s">
        <v>512</v>
      </c>
      <c r="JD1" s="84" t="s">
        <v>188</v>
      </c>
      <c r="JE1" s="84" t="s">
        <v>189</v>
      </c>
      <c r="JF1" s="84" t="s">
        <v>190</v>
      </c>
      <c r="JG1" s="85" t="s">
        <v>148</v>
      </c>
      <c r="JH1" s="83" t="s">
        <v>540</v>
      </c>
      <c r="JI1" s="84" t="s">
        <v>541</v>
      </c>
      <c r="JJ1" s="84" t="s">
        <v>512</v>
      </c>
      <c r="JK1" s="84" t="s">
        <v>188</v>
      </c>
      <c r="JL1" s="84" t="s">
        <v>189</v>
      </c>
      <c r="JM1" s="84" t="s">
        <v>190</v>
      </c>
      <c r="JN1" s="85" t="s">
        <v>148</v>
      </c>
      <c r="JO1" s="83" t="s">
        <v>540</v>
      </c>
      <c r="JP1" s="84" t="s">
        <v>541</v>
      </c>
      <c r="JQ1" s="84" t="s">
        <v>512</v>
      </c>
      <c r="JR1" s="84" t="s">
        <v>188</v>
      </c>
      <c r="JS1" s="84" t="s">
        <v>189</v>
      </c>
      <c r="JT1" s="84" t="s">
        <v>190</v>
      </c>
      <c r="JU1" s="85" t="s">
        <v>148</v>
      </c>
      <c r="JV1" s="83" t="s">
        <v>540</v>
      </c>
      <c r="JW1" s="84" t="s">
        <v>541</v>
      </c>
      <c r="JX1" s="84" t="s">
        <v>512</v>
      </c>
      <c r="JY1" s="84" t="s">
        <v>188</v>
      </c>
      <c r="JZ1" s="84" t="s">
        <v>189</v>
      </c>
      <c r="KA1" s="84" t="s">
        <v>190</v>
      </c>
      <c r="KB1" s="85" t="s">
        <v>148</v>
      </c>
      <c r="KC1" s="83" t="s">
        <v>540</v>
      </c>
      <c r="KD1" s="84" t="s">
        <v>541</v>
      </c>
      <c r="KE1" s="84" t="s">
        <v>512</v>
      </c>
      <c r="KF1" s="84" t="s">
        <v>188</v>
      </c>
      <c r="KG1" s="84" t="s">
        <v>189</v>
      </c>
      <c r="KH1" s="84" t="s">
        <v>190</v>
      </c>
      <c r="KI1" s="85" t="s">
        <v>148</v>
      </c>
      <c r="KJ1" s="83" t="s">
        <v>540</v>
      </c>
      <c r="KK1" s="84" t="s">
        <v>541</v>
      </c>
      <c r="KL1" s="84" t="s">
        <v>512</v>
      </c>
      <c r="KM1" s="84" t="s">
        <v>188</v>
      </c>
      <c r="KN1" s="84" t="s">
        <v>189</v>
      </c>
      <c r="KO1" s="84" t="s">
        <v>190</v>
      </c>
      <c r="KP1" s="85" t="s">
        <v>148</v>
      </c>
      <c r="KQ1" s="83" t="s">
        <v>540</v>
      </c>
      <c r="KR1" s="84" t="s">
        <v>541</v>
      </c>
      <c r="KS1" s="84" t="s">
        <v>512</v>
      </c>
      <c r="KT1" s="84" t="s">
        <v>188</v>
      </c>
      <c r="KU1" s="84" t="s">
        <v>189</v>
      </c>
      <c r="KV1" s="84" t="s">
        <v>190</v>
      </c>
      <c r="KW1" s="85" t="s">
        <v>148</v>
      </c>
    </row>
    <row r="2" spans="1:309" x14ac:dyDescent="0.25">
      <c r="A2" s="95">
        <v>0</v>
      </c>
      <c r="B2" s="86"/>
      <c r="C2" s="49"/>
      <c r="E2" s="49"/>
      <c r="F2" s="49"/>
      <c r="H2" s="87"/>
      <c r="I2" s="86"/>
      <c r="L2" s="49"/>
      <c r="M2" s="49"/>
      <c r="N2" s="49"/>
      <c r="O2" s="87"/>
      <c r="P2" s="86"/>
      <c r="S2" s="49"/>
      <c r="T2" s="49"/>
      <c r="U2" s="49"/>
      <c r="V2" s="87"/>
      <c r="W2" s="86"/>
      <c r="Z2" s="49"/>
      <c r="AA2" s="49"/>
      <c r="AB2" s="49"/>
      <c r="AC2" s="87"/>
      <c r="AD2" s="86"/>
      <c r="AG2" s="49"/>
      <c r="AH2" s="49"/>
      <c r="AI2" s="49"/>
      <c r="AJ2" s="87"/>
      <c r="AK2" s="91"/>
      <c r="AN2" s="49"/>
      <c r="AO2" s="49"/>
      <c r="AP2" s="49"/>
      <c r="AQ2" s="87"/>
      <c r="AR2" s="86"/>
      <c r="AU2" s="49"/>
      <c r="AV2" s="49"/>
      <c r="AW2" s="49"/>
      <c r="AX2" s="87"/>
      <c r="AY2" s="86"/>
      <c r="BB2" s="49"/>
      <c r="BC2" s="49"/>
      <c r="BD2" s="49"/>
      <c r="BE2" s="87"/>
      <c r="BF2" s="86"/>
      <c r="BI2" s="49"/>
      <c r="BJ2" s="49"/>
      <c r="BK2" s="49"/>
      <c r="BL2" s="87"/>
      <c r="BM2" s="86"/>
      <c r="BP2" s="49"/>
      <c r="BQ2" s="49"/>
      <c r="BR2" s="49"/>
      <c r="BS2" s="87"/>
      <c r="BT2" s="86"/>
      <c r="BW2" s="49"/>
      <c r="BX2" s="49"/>
      <c r="BY2" s="49"/>
      <c r="BZ2" s="87"/>
      <c r="CA2" s="86"/>
      <c r="CD2" s="49"/>
      <c r="CE2" s="49"/>
      <c r="CF2" s="49"/>
      <c r="CG2" s="87"/>
      <c r="CH2" s="86"/>
      <c r="CK2" s="49"/>
      <c r="CL2" s="49"/>
      <c r="CM2" s="49"/>
      <c r="CN2" s="87"/>
      <c r="CO2" s="86"/>
      <c r="CR2" s="49"/>
      <c r="CS2" s="49"/>
      <c r="CT2" s="49"/>
      <c r="CU2" s="87"/>
      <c r="CV2" s="86"/>
      <c r="CY2" s="49"/>
      <c r="CZ2" s="49"/>
      <c r="DA2" s="49"/>
      <c r="DB2" s="87"/>
      <c r="DC2" s="86"/>
      <c r="DF2" s="49"/>
      <c r="DG2" s="49"/>
      <c r="DH2" s="49"/>
      <c r="DI2" s="87"/>
      <c r="DJ2" s="86"/>
      <c r="DM2" s="49"/>
      <c r="DN2" s="49"/>
      <c r="DO2" s="49"/>
      <c r="DP2" s="87"/>
      <c r="DQ2" s="86"/>
      <c r="DT2" s="49"/>
      <c r="DU2" s="49"/>
      <c r="DV2" s="49"/>
      <c r="DW2" s="87"/>
      <c r="DX2" s="86"/>
      <c r="EA2" s="49"/>
      <c r="EB2" s="49"/>
      <c r="EC2" s="49"/>
      <c r="ED2" s="87"/>
      <c r="EE2" s="86"/>
      <c r="EH2" s="49"/>
      <c r="EI2" s="49"/>
      <c r="EJ2" s="49"/>
      <c r="EK2" s="87"/>
      <c r="EL2" s="86"/>
      <c r="EO2" s="49"/>
      <c r="EP2" s="49"/>
      <c r="EQ2" s="49"/>
      <c r="ER2" s="87"/>
      <c r="ES2" s="86"/>
      <c r="EV2" s="49"/>
      <c r="EW2" s="49"/>
      <c r="EX2" s="49"/>
      <c r="EY2" s="87"/>
      <c r="EZ2" s="86"/>
      <c r="FC2" s="49"/>
      <c r="FD2" s="49"/>
      <c r="FE2" s="49"/>
      <c r="FF2" s="87"/>
      <c r="FG2" s="86"/>
      <c r="FJ2" s="49"/>
      <c r="FK2" s="49"/>
      <c r="FL2" s="49"/>
      <c r="FM2" s="87"/>
      <c r="FN2" s="86"/>
      <c r="FQ2" s="49"/>
      <c r="FR2" s="49"/>
      <c r="FS2" s="49"/>
      <c r="FT2" s="87"/>
      <c r="FU2" s="86"/>
      <c r="FX2" s="49"/>
      <c r="FY2" s="49"/>
      <c r="FZ2" s="49"/>
      <c r="GA2" s="87"/>
      <c r="GB2" s="86"/>
      <c r="GE2" s="49"/>
      <c r="GF2" s="49"/>
      <c r="GG2" s="49"/>
      <c r="GH2" s="87"/>
      <c r="GI2" s="86"/>
      <c r="GL2" s="49"/>
      <c r="GM2" s="49"/>
      <c r="GN2" s="49"/>
      <c r="GO2" s="87"/>
      <c r="GP2" s="86"/>
      <c r="GS2" s="49"/>
      <c r="GT2" s="49"/>
      <c r="GU2" s="49"/>
      <c r="GV2" s="87"/>
      <c r="GW2" s="86"/>
      <c r="GZ2" s="49"/>
      <c r="HA2" s="49"/>
      <c r="HB2" s="49"/>
      <c r="HC2" s="87"/>
      <c r="HD2" s="86"/>
      <c r="HG2" s="49"/>
      <c r="HH2" s="49"/>
      <c r="HI2" s="49"/>
      <c r="HJ2" s="87"/>
      <c r="HK2" s="86"/>
      <c r="HN2" s="49"/>
      <c r="HO2" s="49"/>
      <c r="HP2" s="49"/>
      <c r="HQ2" s="87"/>
      <c r="HR2" s="86"/>
      <c r="HU2" s="49"/>
      <c r="HV2" s="49"/>
      <c r="HW2" s="49"/>
      <c r="HX2" s="87"/>
      <c r="HY2" s="86"/>
      <c r="IB2" s="49"/>
      <c r="IC2" s="49"/>
      <c r="ID2" s="49"/>
      <c r="IE2" s="87"/>
      <c r="IF2" s="86"/>
      <c r="II2" s="49"/>
      <c r="IJ2" s="49"/>
      <c r="IK2" s="49"/>
      <c r="IL2" s="87"/>
      <c r="IM2" s="86"/>
      <c r="IP2" s="49"/>
      <c r="IQ2" s="49"/>
      <c r="IR2" s="49"/>
      <c r="IS2" s="87"/>
      <c r="IT2" s="86"/>
      <c r="IW2" s="49"/>
      <c r="IX2" s="49"/>
      <c r="IY2" s="49"/>
      <c r="IZ2" s="87"/>
      <c r="JA2" s="86"/>
      <c r="JD2" s="49"/>
      <c r="JE2" s="49"/>
      <c r="JF2" s="49"/>
      <c r="JG2" s="87"/>
      <c r="JH2" s="86"/>
      <c r="JK2" s="49"/>
      <c r="JL2" s="49"/>
      <c r="JM2" s="49"/>
      <c r="JN2" s="87"/>
      <c r="JO2" s="86"/>
      <c r="JR2" s="49"/>
      <c r="JS2" s="49"/>
      <c r="JT2" s="49"/>
      <c r="JU2" s="87"/>
      <c r="JV2" s="86"/>
      <c r="JY2" s="49"/>
      <c r="JZ2" s="49"/>
      <c r="KA2" s="49"/>
      <c r="KB2" s="87"/>
      <c r="KC2" s="86"/>
      <c r="KF2" s="49"/>
      <c r="KG2" s="49"/>
      <c r="KH2" s="49"/>
      <c r="KI2" s="87"/>
      <c r="KJ2" s="86"/>
      <c r="KM2" s="49"/>
      <c r="KN2" s="49"/>
      <c r="KO2" s="49"/>
      <c r="KP2" s="87"/>
      <c r="KQ2" s="86"/>
      <c r="KT2" s="49"/>
      <c r="KU2" s="49"/>
      <c r="KV2" s="49"/>
      <c r="KW2" s="87"/>
    </row>
    <row r="3" spans="1:309" x14ac:dyDescent="0.25">
      <c r="A3" s="95" t="str">
        <f>tbMoveset!A3</f>
        <v>Double Slash (L)</v>
      </c>
      <c r="B3" s="86">
        <f>IFERROR(IF(VLOOKUP(A3,tbMoveset!A2:B112,2,FALSE)="Sever",Backdoors!AY3/100,IF(VLOOKUP(A3,tbMoveset!A2:B112,2,FALSE)="Blunt",Backdoors!AZ3/100,Backdoors!BA3/100)),"")</f>
        <v>0.8</v>
      </c>
      <c r="C3" s="49">
        <f>IFERROR(IF(VLOOKUP(tbMoveset!A3,tbMoveset!A2:H112,8,FALSE)="Other",IF(VLOOKUP(tbMoveset!A3,tbMoveset!A2:I112,9,FALSE)="Fire",Backdoors!BB3,IF(VLOOKUP(tbMoveset!A3,tbMoveset!A2:I112,9,FALSE)="Water",Backdoors!BC3,IF(VLOOKUP(tbMoveset!A3,tbMoveset!A2:I112,9,FALSE)="Thunder",Backdoors!BD3,IF(VLOOKUP(tbMoveset!A3,tbMoveset!A2:I112,9,FALSE)="Ice",Backdoors!BE3,IF(VLOOKUP(tbMoveset!A3,tbMoveset!A2:I112,9,FALSE)="Dragon",Backdoors!BF3,Backdoors!BG3)))))/100,Backdoors!BG3/100),"")</f>
        <v>0</v>
      </c>
      <c r="D3" s="49">
        <f>IFERROR(IF(VLOOKUP(A3,tbMoveset!A2:J112,10,FALSE)=TRUE,IF((Backdoors!AI12+IF(B3&gt;=0.45,VLOOKUP(Calculator!E23,tbSkills!DH3:DI6,2,FALSE)+IF(AND(Calculator!B8=TRUE,Backdoors!BI3=TRUE),VLOOKUP(Calculator!E23,tbSkills!DH3:DJ6,3,FALSE),0),0))&gt;=0,1+(Backdoors!AL2*(IF((Backdoors!AI12+IF(B3&gt;=0.45,VLOOKUP(Calculator!E23,tbSkills!DH3:DI6,2,FALSE)+IF(AND(Calculator!B8=TRUE,Backdoors!BI3=TRUE),VLOOKUP(Calculator!E23,tbSkills!DH3:DJ6,3,FALSE),0),0))&gt;=100,100,(Backdoors!AI12+IF(B3&gt;=0.45,VLOOKUP(Calculator!E23,tbSkills!DH3:DI6,2,FALSE)+IF(AND(Calculator!B8=TRUE,Backdoors!BI3=TRUE),VLOOKUP(Calculator!E23,tbSkills!DH3:DJ6,3,FALSE),0),0)))/100)),(1-(0.25*((-Backdoors!AI12-IF(B3&gt;=0.45,VLOOKUP(Calculator!E23,tbSkills!DH3:DI6,2,FALSE)+IF(AND(Calculator!B8=TRUE,Backdoors!BI3=TRUE),VLOOKUP(Calculator!E23,tbSkills!DH3:DJ6,3,FALSE),0),0))/100)))),1),"")</f>
        <v>1</v>
      </c>
      <c r="E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3)*D3)*(VLOOKUP(A3,tbMoveset!A2:C112,3,FALSE)/100)*IF(VLOOKUP(A3,tbMoveset!A2:B112,2,FALSE)="Projectile",Backdoors!N10,Backdoors!N9),0),"")</f>
        <v>5</v>
      </c>
      <c r="F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3&gt;=0.45,VLOOKUP(Calculator!E23,tbSkills!DH3:DI6,2,FALSE)+IF(AND(Calculator!B8=TRUE,Backdoors!BI3=TRUE),VLOOKUP(Calculator!E23,tbSkills!DH3:DJ6,3,FALSE),0),0))&gt;=100,100,(Backdoors!AI12+IF(B3&gt;=0.45,VLOOKUP(Calculator!E23,tbSkills!DH3:DI6,2,FALSE)+IF(AND(Calculator!B8=TRUE,Backdoors!BI3=TRUE),VLOOKUP(Calculator!E23,tbSkills!DH3:DJ6,3,FALSE),0),0)))/100)),1))*IF(VLOOKUP(A3,tbMoveset!A2:K112,11,FALSE)=TRUE,Backdoors!AC5,1))*C3,0),"")</f>
        <v>0</v>
      </c>
      <c r="G3">
        <f>VLOOKUP(A3,tbMoveset!A2:G112,7,FALSE)*IFERROR(IF(Backdoors!AI12&gt;=0,1+(IF(Calculator!E40&gt;0,VLOOKUP(Calculator!E40,tbSkills!AI3:AJ5,2,FALSE),Backdoors!AL4)*(IF((Backdoors!AI12+IF(B3&gt;=0.45,VLOOKUP(Calculator!E23,tbSkills!DH3:DI6,2,FALSE)+IF(AND(Calculator!B8=TRUE,Backdoors!BI3=TRUE),VLOOKUP(Calculator!E23,tbSkills!DH3:DJ6,3,FALSE),0),0))&gt;=100,100,(Backdoors!AI12+IF(B3&gt;=0.45,VLOOKUP(Calculator!E23,tbSkills!DH3:DI6,2,FALSE)+IF(AND(Calculator!B8=TRUE,Backdoors!BI3=TRUE),VLOOKUP(Calculator!E23,tbSkills!DH3:DJ6,3,FALSE),0),0)))/100)),1),1)</f>
        <v>0.4</v>
      </c>
      <c r="H3" s="87">
        <f>SUM(E3:F3)</f>
        <v>5</v>
      </c>
      <c r="I3" s="86">
        <f>IFERROR(IF(VLOOKUP(A3,tbMoveset!A2:B112,2,FALSE)="Sever",Backdoors!AY4/100,IF(VLOOKUP(A3,tbMoveset!A2:B112,2,FALSE)="Blunt",Backdoors!AZ4/100,Backdoors!BA4/100)),"")</f>
        <v>0.65</v>
      </c>
      <c r="J3" s="49">
        <f>IFERROR(IF(VLOOKUP(tbMoveset!A3,tbMoveset!A2:H112,8,FALSE)="Other",IF(VLOOKUP(tbMoveset!A3,tbMoveset!A2:I112,9,FALSE)="Fire",Backdoors!BB4,IF(VLOOKUP(tbMoveset!A3,tbMoveset!A2:I112,9,FALSE)="Water",Backdoors!BC4,IF(VLOOKUP(tbMoveset!A3,tbMoveset!A2:I112,9,FALSE)="Thunder",Backdoors!BD4,IF(VLOOKUP(tbMoveset!A3,tbMoveset!A2:I112,9,FALSE)="Ice",Backdoors!BE4,IF(VLOOKUP(tbMoveset!A3,tbMoveset!A2:I112,9,FALSE)="Dragon",Backdoors!BF4,Backdoors!BG4)))))/100,Backdoors!BG4/100),"")</f>
        <v>0</v>
      </c>
      <c r="K3" s="49">
        <f>IFERROR(IF(VLOOKUP(A3,tbMoveset!A2:J112,10,FALSE)=TRUE,IF((Backdoors!AI12+IF(I3&gt;=0.45,VLOOKUP(Calculator!E23,tbSkills!DH3:DI6,2,FALSE)+IF(AND(Calculator!B8=TRUE,Backdoors!BI4=TRUE),VLOOKUP(Calculator!E23,tbSkills!DH3:DJ6,3,FALSE),0),0))&gt;=0,1+(Backdoors!AL2*(IF((Backdoors!AI12+IF(I3&gt;=0.45,VLOOKUP(Calculator!E23,tbSkills!DH3:DI6,2,FALSE)+IF(AND(Calculator!B8=TRUE,Backdoors!BI4=TRUE),VLOOKUP(Calculator!E23,tbSkills!DH3:DJ6,3,FALSE),0),0))&gt;=100,100,(Backdoors!AI12+IF(I3&gt;=0.45,VLOOKUP(Calculator!E23,tbSkills!DH3:DI6,2,FALSE)+IF(AND(Calculator!B8=TRUE,Backdoors!BI4=TRUE),VLOOKUP(Calculator!E23,tbSkills!DH3:DJ6,3,FALSE),0),0)))/100)),(1-(0.25*((-Backdoors!AI12-IF(I3&gt;=0.45,VLOOKUP(Calculator!E23,tbSkills!DH3:DI6,2,FALSE)+IF(AND(Calculator!B8=TRUE,Backdoors!BI4=TRUE),VLOOKUP(Calculator!E23,tbSkills!DH3:DJ6,3,FALSE),0),0))/100)))),1),"")</f>
        <v>1</v>
      </c>
      <c r="L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3)*K3)*(VLOOKUP(A3,tbMoveset!A2:C112,3,FALSE)/100)*IF(VLOOKUP(A3,tbMoveset!A2:B112,2,FALSE)="Projectile",Backdoors!N10,Backdoors!N9),0),"")</f>
        <v>4</v>
      </c>
      <c r="M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I3&gt;=0.45,VLOOKUP(Calculator!E23,tbSkills!DH3:DI6,2,FALSE)+IF(AND(Calculator!B8=TRUE,Backdoors!BI4=TRUE),VLOOKUP(Calculator!E23,tbSkills!DH3:DJ6,3,FALSE),0),0))&gt;=100,100,(Backdoors!AI12+IF(I3&gt;=0.45,VLOOKUP(Calculator!E23,tbSkills!DH3:DI6,2,FALSE)+IF(AND(Calculator!B8=TRUE,Backdoors!BI4=TRUE),VLOOKUP(Calculator!E23,tbSkills!DH3:DJ6,3,FALSE),0),0)))/100)),1))*IF(VLOOKUP(A3,tbMoveset!A2:K112,11,FALSE)=TRUE,Backdoors!AC5,1))*J3,0),"")</f>
        <v>0</v>
      </c>
      <c r="N3" s="49">
        <f>VLOOKUP(A3,tbMoveset!A2:G112,7,FALSE)*IFERROR(IF(Backdoors!AI12&gt;=0,1+(IF(Calculator!E40&gt;0,VLOOKUP(Calculator!E40,tbSkills!AI3:AJ5,2,FALSE),Backdoors!AL4)*(IF((Backdoors!AI12+IF(I3&gt;=0.45,VLOOKUP(Calculator!E23,tbSkills!DH3:DI6,2,FALSE)+IF(AND(Calculator!B8=TRUE,Backdoors!BI4=TRUE),VLOOKUP(Calculator!E23,tbSkills!DH3:DJ6,3,FALSE),0),0))&gt;=100,100,(Backdoors!AI12+IF(I3&gt;=0.45,VLOOKUP(Calculator!E23,tbSkills!DH3:DI6,2,FALSE)+IF(AND(Calculator!B8=TRUE,Backdoors!BI4=TRUE),VLOOKUP(Calculator!E23,tbSkills!DH3:DJ6,3,FALSE),0),0)))/100)),1),1)</f>
        <v>0.4</v>
      </c>
      <c r="O3" s="87">
        <f>SUM(L3:M3)</f>
        <v>4</v>
      </c>
      <c r="P3" s="86">
        <f>IFERROR(IF(VLOOKUP(A3,tbMoveset!A2:B112,2,FALSE)="Sever",Backdoors!AY5/100,IF(VLOOKUP(A3,tbMoveset!A2:B112,2,FALSE)="Blunt",Backdoors!AZ5/100,Backdoors!BA5/100)),"")</f>
        <v>0.5</v>
      </c>
      <c r="Q3" s="49">
        <f>IFERROR(IF(VLOOKUP(tbMoveset!A3,tbMoveset!A2:H112,8,FALSE)="Other",IF(VLOOKUP(tbMoveset!A3,tbMoveset!A2:I112,9,FALSE)="Fire",Backdoors!BB5,IF(VLOOKUP(tbMoveset!A3,tbMoveset!A2:I112,9,FALSE)="Water",Backdoors!BC5,IF(VLOOKUP(tbMoveset!A3,tbMoveset!A2:I112,9,FALSE)="Thunder",Backdoors!BD5,IF(VLOOKUP(tbMoveset!A3,tbMoveset!A2:I112,9,FALSE)="Ice",Backdoors!BE5,IF(VLOOKUP(tbMoveset!A3,tbMoveset!A2:I112,9,FALSE)="Dragon",Backdoors!BF5,Backdoors!BG5)))))/100,Backdoors!BG5/100),"")</f>
        <v>0</v>
      </c>
      <c r="R3" s="49">
        <f>IFERROR(IF(VLOOKUP(A3,tbMoveset!A2:J112,10,FALSE)=TRUE,IF((Backdoors!AI12+IF(P3&gt;=0.45,VLOOKUP(Calculator!E23,tbSkills!DH3:DI6,2,FALSE)+IF(AND(Calculator!B8=TRUE,Backdoors!BI5=TRUE),VLOOKUP(Calculator!E23,tbSkills!DH3:DJ6,3,FALSE),0),0))&gt;=0,1+(Backdoors!AL2*(IF((Backdoors!AI12+IF(P3&gt;=0.45,VLOOKUP(Calculator!E23,tbSkills!DH3:DI6,2,FALSE)+IF(AND(Calculator!B8=TRUE,Backdoors!BI5=TRUE),VLOOKUP(Calculator!E23,tbSkills!DH3:DJ6,3,FALSE),0),0))&gt;=100,100,(Backdoors!AI12+IF(P3&gt;=0.45,VLOOKUP(Calculator!E23,tbSkills!DH3:DI6,2,FALSE)+IF(AND(Calculator!B8=TRUE,Backdoors!BI5=TRUE),VLOOKUP(Calculator!E23,tbSkills!DH3:DJ6,3,FALSE),0),0)))/100)),(1-(0.25*((-Backdoors!AI12-IF(P3&gt;=0.45,VLOOKUP(Calculator!E23,tbSkills!DH3:DI6,2,FALSE)+IF(AND(Calculator!B8=TRUE,Backdoors!BI5=TRUE),VLOOKUP(Calculator!E23,tbSkills!DH3:DJ6,3,FALSE),0),0))/100)))),1),"")</f>
        <v>1</v>
      </c>
      <c r="S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P3)*R3)*(VLOOKUP(A3,tbMoveset!A2:C112,3,FALSE)/100)*IF(VLOOKUP(A3,tbMoveset!A2:B112,2,FALSE)="Projectile",Backdoors!N10,Backdoors!N9),0),"")</f>
        <v>3</v>
      </c>
      <c r="T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P3&gt;=0.45,VLOOKUP(Calculator!E23,tbSkills!DH3:DI6,2,FALSE)+IF(AND(Calculator!B8=TRUE,Backdoors!BI5=TRUE),VLOOKUP(Calculator!E23,tbSkills!DH3:DJ6,3,FALSE),0),0))&gt;=100,100,(Backdoors!AI12+IF(P3&gt;=0.45,VLOOKUP(Calculator!E23,tbSkills!DH3:DI6,2,FALSE)+IF(AND(Calculator!B8=TRUE,Backdoors!BI5=TRUE),VLOOKUP(Calculator!E23,tbSkills!DH3:DJ6,3,FALSE),0),0)))/100)),1))*IF(VLOOKUP(A3,tbMoveset!A2:K112,11,FALSE)=TRUE,Backdoors!AC5,1))*Q3,0),"")</f>
        <v>0</v>
      </c>
      <c r="U3" s="49">
        <f>VLOOKUP(A3,tbMoveset!A2:G112,7,FALSE)*IFERROR(IF(Backdoors!AI12&gt;=0,1+(IF(Calculator!E40&gt;0,VLOOKUP(Calculator!E40,tbSkills!AI3:AJ5,2,FALSE),Backdoors!AL4)*(IF((Backdoors!AI12+IF(P3&gt;=0.45,VLOOKUP(Calculator!E23,tbSkills!DH3:DI6,2,FALSE)+IF(AND(Calculator!B8=TRUE,Backdoors!BI5=TRUE),VLOOKUP(Calculator!E23,tbSkills!DH3:DJ6,3,FALSE),0),0))&gt;=100,100,(Backdoors!AI12+IF(P3&gt;=0.45,VLOOKUP(Calculator!E23,tbSkills!DH3:DI6,2,FALSE)+IF(AND(Calculator!B8=TRUE,Backdoors!BI5=TRUE),VLOOKUP(Calculator!E23,tbSkills!DH3:DJ6,3,FALSE),0),0)))/100)),1),1)</f>
        <v>0.4</v>
      </c>
      <c r="V3" s="87">
        <f>SUM(S3:T3)</f>
        <v>3</v>
      </c>
      <c r="W3" s="86">
        <f>IFERROR(IF(VLOOKUP(A3,tbMoveset!A2:B112,2,FALSE)="Sever",Backdoors!AY6/100,IF(VLOOKUP(A3,tbMoveset!A2:B112,2,FALSE)="Blunt",Backdoors!AZ6/100,Backdoors!BA6/100)),"")</f>
        <v>0.45</v>
      </c>
      <c r="X3" s="49">
        <f>IFERROR(IF(VLOOKUP(tbMoveset!A3,tbMoveset!A2:H112,8,FALSE)="Other",IF(VLOOKUP(tbMoveset!A3,tbMoveset!A2:I112,9,FALSE)="Fire",Backdoors!BB6,IF(VLOOKUP(tbMoveset!A3,tbMoveset!A2:I112,9,FALSE)="Water",Backdoors!BC6,IF(VLOOKUP(tbMoveset!A3,tbMoveset!A2:I112,9,FALSE)="Thunder",Backdoors!BD6,IF(VLOOKUP(tbMoveset!A3,tbMoveset!A2:I112,9,FALSE)="Ice",Backdoors!BE6,IF(VLOOKUP(tbMoveset!A3,tbMoveset!A2:I112,9,FALSE)="Dragon",Backdoors!BF6,Backdoors!BG6)))))/100,Backdoors!BG6/100),"")</f>
        <v>0</v>
      </c>
      <c r="Y3" s="49">
        <f>IFERROR(IF(VLOOKUP(A3,tbMoveset!A2:J112,10,FALSE)=TRUE,IF((Backdoors!AI12+IF(W3&gt;=0.45,VLOOKUP(Calculator!E23,tbSkills!DH3:DI6,2,FALSE)+IF(AND(Calculator!B8=TRUE,Backdoors!BI6=TRUE),VLOOKUP(Calculator!E23,tbSkills!DH3:DJ6,3,FALSE),0),0))&gt;=0,1+(Backdoors!AL2*(IF((Backdoors!AI12+IF(W3&gt;=0.45,VLOOKUP(Calculator!E23,tbSkills!DH3:DI6,2,FALSE)+IF(AND(Calculator!B8=TRUE,Backdoors!BI6=TRUE),VLOOKUP(Calculator!E23,tbSkills!DH3:DJ6,3,FALSE),0),0))&gt;=100,100,(Backdoors!AI12+IF(W3&gt;=0.45,VLOOKUP(Calculator!E23,tbSkills!DH3:DI6,2,FALSE)+IF(AND(Calculator!B8=TRUE,Backdoors!BI6=TRUE),VLOOKUP(Calculator!E23,tbSkills!DH3:DJ6,3,FALSE),0),0)))/100)),(1-(0.25*((-Backdoors!AI12-IF(W3&gt;=0.45,VLOOKUP(Calculator!E23,tbSkills!DH3:DI6,2,FALSE)+IF(AND(Calculator!B8=TRUE,Backdoors!BI6=TRUE),VLOOKUP(Calculator!E23,tbSkills!DH3:DJ6,3,FALSE),0),0))/100)))),1),"")</f>
        <v>1</v>
      </c>
      <c r="Z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W3)*Y3)*(VLOOKUP(A3,tbMoveset!A2:C112,3,FALSE)/100)*IF(VLOOKUP(A3,tbMoveset!A2:B112,2,FALSE)="Projectile",Backdoors!N10,Backdoors!N9),0),"")</f>
        <v>3</v>
      </c>
      <c r="AA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W3&gt;=0.45,VLOOKUP(Calculator!E23,tbSkills!DH3:DI6,2,FALSE)+IF(AND(Calculator!B8=TRUE,Backdoors!BI6=TRUE),VLOOKUP(Calculator!E23,tbSkills!DH3:DJ6,3,FALSE),0),0))&gt;=100,100,(Backdoors!AI12+IF(W3&gt;=0.45,VLOOKUP(Calculator!E23,tbSkills!DH3:DI6,2,FALSE)+IF(AND(Calculator!B8=TRUE,Backdoors!BI6=TRUE),VLOOKUP(Calculator!E23,tbSkills!DH3:DJ6,3,FALSE),0),0)))/100)),1))*IF(VLOOKUP(A3,tbMoveset!A2:K112,11,FALSE)=TRUE,Backdoors!AC5,1))*X3,0),"")</f>
        <v>0</v>
      </c>
      <c r="AB3" s="49">
        <f>VLOOKUP(A3,tbMoveset!A2:G112,7,FALSE)*IFERROR(IF(Backdoors!AI12&gt;=0,1+(IF(Calculator!E40&gt;0,VLOOKUP(Calculator!E40,tbSkills!AI3:AJ5,2,FALSE),Backdoors!AL4)*(IF((Backdoors!AI12+IF(W3&gt;=0.45,VLOOKUP(Calculator!E23,tbSkills!DH3:DI6,2,FALSE)+IF(AND(Calculator!B8=TRUE,Backdoors!BI6=TRUE),VLOOKUP(Calculator!E23,tbSkills!DH3:DJ6,3,FALSE),0),0))&gt;=100,100,(Backdoors!AI12+IF(W3&gt;=0.45,VLOOKUP(Calculator!E23,tbSkills!DH3:DI6,2,FALSE)+IF(AND(Calculator!B8=TRUE,Backdoors!BI6=TRUE),VLOOKUP(Calculator!E23,tbSkills!DH3:DJ6,3,FALSE),0),0)))/100)),1),1)</f>
        <v>0.4</v>
      </c>
      <c r="AC3" s="87">
        <f>SUM(Z3:AA3)</f>
        <v>3</v>
      </c>
      <c r="AD3" s="86">
        <f>IFERROR(IF(VLOOKUP(A3,tbMoveset!A2:B112,2,FALSE)="Sever",Backdoors!AY7/100,IF(VLOOKUP(A3,tbMoveset!A2:B112,2,FALSE)="Blunt",Backdoors!AZ7/100,Backdoors!BA7/100)),"")</f>
        <v>0.65</v>
      </c>
      <c r="AE3" s="49">
        <f>IFERROR(IF(VLOOKUP(tbMoveset!A3,tbMoveset!A2:H112,8,FALSE)="Other",IF(VLOOKUP(tbMoveset!A3,tbMoveset!A2:I112,9,FALSE)="Fire",Backdoors!BB7,IF(VLOOKUP(tbMoveset!A3,tbMoveset!A2:I112,9,FALSE)="Water",Backdoors!BC7,IF(VLOOKUP(tbMoveset!A3,tbMoveset!A2:I112,9,FALSE)="Thunder",Backdoors!BD7,IF(VLOOKUP(tbMoveset!A3,tbMoveset!A2:I112,9,FALSE)="Ice",Backdoors!BE7,IF(VLOOKUP(tbMoveset!A3,tbMoveset!A2:I112,9,FALSE)="Dragon",Backdoors!BF7,Backdoors!BG7)))))/100,Backdoors!BG7/100),"")</f>
        <v>0</v>
      </c>
      <c r="AF3" s="49">
        <f>IFERROR(IF(VLOOKUP(A3,tbMoveset!A2:J112,10,FALSE)=TRUE,IF((Backdoors!AI12+IF(AD3&gt;=0.45,VLOOKUP(Calculator!E23,tbSkills!DH3:DI6,2,FALSE)+IF(AND(Calculator!B8=TRUE,Backdoors!BI7=TRUE),VLOOKUP(Calculator!E23,tbSkills!DH3:DJ6,3,FALSE),0),0))&gt;=0,1+(Backdoors!AL2*(IF((Backdoors!AI12+IF(AD3&gt;=0.45,VLOOKUP(Calculator!E23,tbSkills!DH3:DI6,2,FALSE)+IF(AND(Calculator!B8=TRUE,Backdoors!BI7=TRUE),VLOOKUP(Calculator!E23,tbSkills!DH3:DJ6,3,FALSE),0),0))&gt;=100,100,(Backdoors!AI12+IF(AD3&gt;=0.45,VLOOKUP(Calculator!E23,tbSkills!DH3:DI6,2,FALSE)+IF(AND(Calculator!B8=TRUE,Backdoors!BI7=TRUE),VLOOKUP(Calculator!E23,tbSkills!DH3:DJ6,3,FALSE),0),0)))/100)),(1-(0.25*((-Backdoors!AI12-IF(AD3&gt;=0.45,VLOOKUP(Calculator!E23,tbSkills!DH3:DI6,2,FALSE)+IF(AND(Calculator!B8=TRUE,Backdoors!BI7=TRUE),VLOOKUP(Calculator!E23,tbSkills!DH3:DJ6,3,FALSE),0),0))/100)))),1),"")</f>
        <v>1</v>
      </c>
      <c r="AG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D3)*AF3)*(VLOOKUP(A3,tbMoveset!A2:C112,3,FALSE)/100)*IF(VLOOKUP(A3,tbMoveset!A2:B112,2,FALSE)="Projectile",Backdoors!N10,Backdoors!N9),0),"")</f>
        <v>4</v>
      </c>
      <c r="AH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D3&gt;=0.45,VLOOKUP(Calculator!E23,tbSkills!DH3:DI6,2,FALSE)+IF(AND(Calculator!B8=TRUE,Backdoors!BI7=TRUE),VLOOKUP(Calculator!E23,tbSkills!DH3:DJ6,3,FALSE),0),0))&gt;=100,100,(Backdoors!AI12+IF(AD3&gt;=0.45,VLOOKUP(Calculator!E23,tbSkills!DH3:DI6,2,FALSE)+IF(AND(Calculator!B8=TRUE,Backdoors!BI7=TRUE),VLOOKUP(Calculator!E23,tbSkills!DH3:DJ6,3,FALSE),0),0)))/100)),1))*IF(VLOOKUP(A3,tbMoveset!A2:K112,11,FALSE)=TRUE,Backdoors!AC5,1))*AE3,0),"")</f>
        <v>0</v>
      </c>
      <c r="AI3" s="49">
        <f>VLOOKUP(A3,tbMoveset!A2:G112,7,FALSE)*IFERROR(IF(Backdoors!AI12&gt;=0,1+(IF(Calculator!E40&gt;0,VLOOKUP(Calculator!E40,tbSkills!AI3:AJ5,2,FALSE),Backdoors!AL4)*(IF((Backdoors!AI12+IF(AD3&gt;=0.45,VLOOKUP(Calculator!E23,tbSkills!DH3:DI6,2,FALSE)+IF(AND(Calculator!B8=TRUE,Backdoors!BI7=TRUE),VLOOKUP(Calculator!E23,tbSkills!DH3:DJ6,3,FALSE),0),0))&gt;=100,100,(Backdoors!AI12+IF(AD3&gt;=0.45,VLOOKUP(Calculator!E23,tbSkills!DH3:DI6,2,FALSE)+IF(AND(Calculator!B8=TRUE,Backdoors!BI7=TRUE),VLOOKUP(Calculator!E23,tbSkills!DH3:DJ6,3,FALSE),0),0)))/100)),1),1)</f>
        <v>0.4</v>
      </c>
      <c r="AJ3" s="87">
        <f>SUM(AG3:AH3)</f>
        <v>4</v>
      </c>
      <c r="AK3" s="91">
        <f>IFERROR(IF(VLOOKUP(A3,tbMoveset!A2:B112,2,FALSE)="Sever",Backdoors!AY8/100,IF(VLOOKUP(A3,tbMoveset!A2:B112,2,FALSE)="Blunt",Backdoors!AZ8/100,Backdoors!BA8/100)),"")</f>
        <v>0.45</v>
      </c>
      <c r="AL3" s="49">
        <f>IFERROR(IF(VLOOKUP(tbMoveset!A3,tbMoveset!A2:H112,8,FALSE)="Other",IF(VLOOKUP(tbMoveset!A3,tbMoveset!A2:I112,9,FALSE)="Fire",Backdoors!BB8,IF(VLOOKUP(tbMoveset!A3,tbMoveset!A2:I112,9,FALSE)="Water",Backdoors!BC8,IF(VLOOKUP(tbMoveset!A3,tbMoveset!A2:I112,9,FALSE)="Thunder",Backdoors!BD8,IF(VLOOKUP(tbMoveset!A3,tbMoveset!A2:I112,9,FALSE)="Ice",Backdoors!BE8,IF(VLOOKUP(tbMoveset!A3,tbMoveset!A2:I112,9,FALSE)="Dragon",Backdoors!BF8,Backdoors!BG8)))))/100,Backdoors!BG8/100),"")</f>
        <v>0</v>
      </c>
      <c r="AM3" s="49">
        <f>IFERROR(IF(VLOOKUP(A3,tbMoveset!A2:J112,10,FALSE)=TRUE,IF((Backdoors!AI12+IF(AK3&gt;=0.45,VLOOKUP(Calculator!E23,tbSkills!DH3:DI6,2,FALSE)+IF(AND(Calculator!B8=TRUE,Backdoors!BI8=TRUE),VLOOKUP(Calculator!E23,tbSkills!DH3:DJ6,3,FALSE),0),0))&gt;=0,1+(Backdoors!AL2*(IF((Backdoors!AI12+IF(AK3&gt;=0.45,VLOOKUP(Calculator!E23,tbSkills!DH3:DI6,2,FALSE)+IF(AND(Calculator!B8=TRUE,Backdoors!BI8=TRUE),VLOOKUP(Calculator!E23,tbSkills!DH3:DJ6,3,FALSE),0),0))&gt;=100,100,(Backdoors!AI12+IF(AK3&gt;=0.45,VLOOKUP(Calculator!E23,tbSkills!DH3:DI6,2,FALSE)+IF(AND(Calculator!B8=TRUE,Backdoors!BI8=TRUE),VLOOKUP(Calculator!E23,tbSkills!DH3:DJ6,3,FALSE),0),0)))/100)),(1-(0.25*((-Backdoors!AI12-IF(AK3&gt;=0.45,VLOOKUP(Calculator!E23,tbSkills!DH3:DI6,2,FALSE)+IF(AND(Calculator!B8=TRUE,Backdoors!BI8=TRUE),VLOOKUP(Calculator!E23,tbSkills!DH3:DJ6,3,FALSE),0),0))/100)))),1),"")</f>
        <v>1</v>
      </c>
      <c r="AN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K3)*AM3)*(VLOOKUP(A3,tbMoveset!A2:C112,3,FALSE)/100)*IF(VLOOKUP(A3,tbMoveset!A2:B112,2,FALSE)="Projectile",Backdoors!N10,Backdoors!N9),0),"")</f>
        <v>3</v>
      </c>
      <c r="AO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K3&gt;=0.45,VLOOKUP(Calculator!E23,tbSkills!DH3:DI6,2,FALSE)+IF(AND(Calculator!B8=TRUE,Backdoors!BI8=TRUE),VLOOKUP(Calculator!E23,tbSkills!DH3:DJ6,3,FALSE),0),0))&gt;=100,100,(Backdoors!AI12+IF(AK3&gt;=0.45,VLOOKUP(Calculator!E23,tbSkills!DH3:DI6,2,FALSE)+IF(AND(Calculator!B8=TRUE,Backdoors!BI8=TRUE),VLOOKUP(Calculator!E23,tbSkills!DH3:DJ6,3,FALSE),0),0)))/100)),1))*IF(VLOOKUP(A3,tbMoveset!A2:K112,11,FALSE)=TRUE,Backdoors!AC5,1))*AL3,0),"")</f>
        <v>0</v>
      </c>
      <c r="AP3" s="49">
        <f>VLOOKUP(A3,tbMoveset!A2:G112,7,FALSE)*IFERROR(IF(Backdoors!AI12&gt;=0,1+(IF(Calculator!E40&gt;0,VLOOKUP(Calculator!E40,tbSkills!AI3:AJ5,2,FALSE),Backdoors!AL4)*(IF((Backdoors!AI12+IF(AK3&gt;=0.45,VLOOKUP(Calculator!E23,tbSkills!DH3:DI6,2,FALSE)+IF(AND(Calculator!B8=TRUE,Backdoors!BI8=TRUE),VLOOKUP(Calculator!E23,tbSkills!DH3:DJ6,3,FALSE),0),0))&gt;=100,100,(Backdoors!AI12+IF(AK3&gt;=0.45,VLOOKUP(Calculator!E23,tbSkills!DH3:DI6,2,FALSE)+IF(AND(Calculator!B8=TRUE,Backdoors!BI8=TRUE),VLOOKUP(Calculator!E23,tbSkills!DH3:DJ6,3,FALSE),0),0)))/100)),1),1)</f>
        <v>0.4</v>
      </c>
      <c r="AQ3" s="87">
        <f>SUM(AN3:AO3)</f>
        <v>3</v>
      </c>
      <c r="AR3" s="86">
        <f>IFERROR(IF(VLOOKUP(A3,tbMoveset!A2:B112,2,FALSE)="Sever",Backdoors!AY9/100,IF(VLOOKUP(A3,tbMoveset!A2:B112,2,FALSE)="Blunt",Backdoors!AZ9/100,Backdoors!BA9/100)),"")</f>
        <v>0.45</v>
      </c>
      <c r="AS3" s="49">
        <f>IFERROR(IF(VLOOKUP(tbMoveset!A3,tbMoveset!A2:H112,8,FALSE)="Other",IF(VLOOKUP(tbMoveset!A3,tbMoveset!A2:I112,9,FALSE)="Fire",Backdoors!BB9,IF(VLOOKUP(tbMoveset!A3,tbMoveset!A2:I112,9,FALSE)="Water",Backdoors!BC9,IF(VLOOKUP(tbMoveset!A3,tbMoveset!A2:I112,9,FALSE)="Thunder",Backdoors!BD9,IF(VLOOKUP(tbMoveset!A3,tbMoveset!A2:I112,9,FALSE)="Ice",Backdoors!BE9,IF(VLOOKUP(tbMoveset!A3,tbMoveset!A2:I112,9,FALSE)="Dragon",Backdoors!BF9,Backdoors!BG9)))))/100,Backdoors!BG9/100),"")</f>
        <v>0</v>
      </c>
      <c r="AT3" s="49">
        <f>IFERROR(IF(VLOOKUP(A3,tbMoveset!A2:J112,10,FALSE)=TRUE,IF((Backdoors!AI12+IF(AR3&gt;=0.45,VLOOKUP(Calculator!E23,tbSkills!DH3:DI6,2,FALSE)+IF(AND(Calculator!B8=TRUE,Backdoors!BI9=TRUE),VLOOKUP(Calculator!E23,tbSkills!DH3:DJ6,3,FALSE),0),0))&gt;=0,1+(Backdoors!AL2*(IF((Backdoors!AI12+IF(AR3&gt;=0.45,VLOOKUP(Calculator!E23,tbSkills!DH3:DI6,2,FALSE)+IF(AND(Calculator!B8=TRUE,Backdoors!BI9=TRUE),VLOOKUP(Calculator!E23,tbSkills!DH3:DJ6,3,FALSE),0),0))&gt;=100,100,(Backdoors!AI12+IF(AR3&gt;=0.45,VLOOKUP(Calculator!E23,tbSkills!DH3:DI6,2,FALSE)+IF(AND(Calculator!B8=TRUE,Backdoors!BI9=TRUE),VLOOKUP(Calculator!E23,tbSkills!DH3:DJ6,3,FALSE),0),0)))/100)),(1-(0.25*((-Backdoors!AI12-IF(AR3&gt;=0.45,VLOOKUP(Calculator!E23,tbSkills!DH3:DI6,2,FALSE)+IF(AND(Calculator!B8=TRUE,Backdoors!BI9=TRUE),VLOOKUP(Calculator!E23,tbSkills!DH3:DJ6,3,FALSE),0),0))/100)))),1),"")</f>
        <v>1</v>
      </c>
      <c r="AU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R3)*AT3)*(VLOOKUP(A3,tbMoveset!A2:C112,3,FALSE)/100)*IF(VLOOKUP(A3,tbMoveset!A2:B112,2,FALSE)="Projectile",Backdoors!N10,Backdoors!N9),0),"")</f>
        <v>3</v>
      </c>
      <c r="AV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R3&gt;=0.45,VLOOKUP(Calculator!E23,tbSkills!DH3:DI6,2,FALSE)+IF(AND(Calculator!B8=TRUE,Backdoors!BI9=TRUE),VLOOKUP(Calculator!E23,tbSkills!DH3:DJ6,3,FALSE),0),0))&gt;=100,100,(Backdoors!AI12+IF(AR3&gt;=0.45,VLOOKUP(Calculator!E23,tbSkills!DH3:DI6,2,FALSE)+IF(AND(Calculator!B8=TRUE,Backdoors!BI9=TRUE),VLOOKUP(Calculator!E23,tbSkills!DH3:DJ6,3,FALSE),0),0)))/100)),1))*IF(VLOOKUP(A3,tbMoveset!A2:K112,11,FALSE)=TRUE,Backdoors!AC5,1))*AS3,0),"")</f>
        <v>0</v>
      </c>
      <c r="AW3" s="49">
        <f>VLOOKUP(A3,tbMoveset!A2:G112,7,FALSE)*IFERROR(IF(Backdoors!AI12&gt;=0,1+(IF(Calculator!E40&gt;0,VLOOKUP(Calculator!E40,tbSkills!AI3:AJ5,2,FALSE),Backdoors!AL4)*(IF((Backdoors!AI12+IF(AR3&gt;=0.45,VLOOKUP(Calculator!E23,tbSkills!DH3:DI6,2,FALSE)+IF(AND(Calculator!B8=TRUE,Backdoors!BI9=TRUE),VLOOKUP(Calculator!E23,tbSkills!DH3:DJ6,3,FALSE),0),0))&gt;=100,100,(Backdoors!AI12+IF(AR3&gt;=0.45,VLOOKUP(Calculator!E23,tbSkills!DH3:DI6,2,FALSE)+IF(AND(Calculator!B8=TRUE,Backdoors!BI9=TRUE),VLOOKUP(Calculator!E23,tbSkills!DH3:DJ6,3,FALSE),0),0)))/100)),1),1)</f>
        <v>0.4</v>
      </c>
      <c r="AX3" s="87">
        <f>SUM(AU3:AV3)</f>
        <v>3</v>
      </c>
      <c r="AY3" s="86">
        <f>IFERROR(IF(VLOOKUP(A3,tbMoveset!A2:B112,2,FALSE)="Sever",Backdoors!AY10/100,IF(VLOOKUP(A3,tbMoveset!A2:B112,2,FALSE)="Blunt",Backdoors!AZ10/100,Backdoors!BA10/100)),"")</f>
        <v>0.9</v>
      </c>
      <c r="AZ3" s="49">
        <f>IFERROR(IF(VLOOKUP(tbMoveset!A3,tbMoveset!A2:H112,8,FALSE)="Other",IF(VLOOKUP(tbMoveset!A3,tbMoveset!A2:I112,9,FALSE)="Fire",Backdoors!BB10,IF(VLOOKUP(tbMoveset!A3,tbMoveset!A2:I112,9,FALSE)="Water",Backdoors!BC10,IF(VLOOKUP(tbMoveset!A3,tbMoveset!A2:I112,9,FALSE)="Thunder",Backdoors!BD10,IF(VLOOKUP(tbMoveset!A3,tbMoveset!A2:I112,9,FALSE)="Ice",Backdoors!BE10,IF(VLOOKUP(tbMoveset!A3,tbMoveset!A2:I112,9,FALSE)="Dragon",Backdoors!BF10,Backdoors!BG10)))))/100,Backdoors!BG10/100),"")</f>
        <v>0</v>
      </c>
      <c r="BA3" s="49">
        <f>IFERROR(IF(VLOOKUP(A3,tbMoveset!A2:J112,10,FALSE)=TRUE,IF((Backdoors!AI12+IF(AY3&gt;=0.45,VLOOKUP(Calculator!E23,tbSkills!DH3:DI6,2,FALSE)+IF(AND(Calculator!B8=TRUE,Backdoors!BI10=TRUE),VLOOKUP(Calculator!E23,tbSkills!DH3:DJ6,3,FALSE),0),0))&gt;=0,1+(Backdoors!AL2*(IF((Backdoors!AI12+IF(AY3&gt;=0.45,VLOOKUP(Calculator!E23,tbSkills!DH3:DI6,2,FALSE)+IF(AND(Calculator!B8=TRUE,Backdoors!BI10=TRUE),VLOOKUP(Calculator!E23,tbSkills!DH3:DJ6,3,FALSE),0),0))&gt;=100,100,(Backdoors!AI12+IF(AY3&gt;=0.45,VLOOKUP(Calculator!E23,tbSkills!DH3:DI6,2,FALSE)+IF(AND(Calculator!B8=TRUE,Backdoors!BI10=TRUE),VLOOKUP(Calculator!E23,tbSkills!DH3:DJ6,3,FALSE),0),0)))/100)),(1-(0.25*((-Backdoors!AI12-IF(AY3&gt;=0.45,VLOOKUP(Calculator!E23,tbSkills!DH3:DI6,2,FALSE)+IF(AND(Calculator!B8=TRUE,Backdoors!BI10=TRUE),VLOOKUP(Calculator!E23,tbSkills!DH3:DJ6,3,FALSE),0),0))/100)))),1),"")</f>
        <v>1</v>
      </c>
      <c r="BB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Y3)*BA3)*(VLOOKUP(A3,tbMoveset!A2:C112,3,FALSE)/100)*IF(VLOOKUP(A3,tbMoveset!A2:B112,2,FALSE)="Projectile",Backdoors!N10,Backdoors!N9),0),"")</f>
        <v>6</v>
      </c>
      <c r="BC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Y3&gt;=0.45,VLOOKUP(Calculator!E23,tbSkills!DH3:DI6,2,FALSE)+IF(AND(Calculator!B8=TRUE,Backdoors!BI10=TRUE),VLOOKUP(Calculator!E23,tbSkills!DH3:DJ6,3,FALSE),0),0))&gt;=100,100,(Backdoors!AI12+IF(AY3&gt;=0.45,VLOOKUP(Calculator!E23,tbSkills!DH3:DI6,2,FALSE)+IF(AND(Calculator!B8=TRUE,Backdoors!BI10=TRUE),VLOOKUP(Calculator!E23,tbSkills!DH3:DJ6,3,FALSE),0),0)))/100)),1))*IF(VLOOKUP(A3,tbMoveset!A2:K112,11,FALSE)=TRUE,Backdoors!AC5,1))*AZ3,0),"")</f>
        <v>0</v>
      </c>
      <c r="BD3" s="49">
        <f>VLOOKUP(A3,tbMoveset!A2:G112,7,FALSE)*IFERROR(IF(Backdoors!AI12&gt;=0,1+(IF(Calculator!E40&gt;0,VLOOKUP(Calculator!E40,tbSkills!AI3:AJ5,2,FALSE),Backdoors!AL4)*(IF((Backdoors!AI12+IF(AY3&gt;=0.45,VLOOKUP(Calculator!E23,tbSkills!DH3:DI6,2,FALSE)+IF(AND(Calculator!B8=TRUE,Backdoors!BI10=TRUE),VLOOKUP(Calculator!E23,tbSkills!DH3:DJ6,3,FALSE),0),0))&gt;=100,100,(Backdoors!AI12+IF(AY3&gt;=0.45,VLOOKUP(Calculator!E23,tbSkills!DH3:DI6,2,FALSE)+IF(AND(Calculator!B8=TRUE,Backdoors!BI10=TRUE),VLOOKUP(Calculator!E23,tbSkills!DH3:DJ6,3,FALSE),0),0)))/100)),1),1)</f>
        <v>0.4</v>
      </c>
      <c r="BE3" s="87">
        <f>SUM(BB3:BC3)</f>
        <v>6</v>
      </c>
      <c r="BF3" s="86" t="str">
        <f>IFERROR(IF(VLOOKUP(A3,tbMoveset!A2:B112,2,FALSE)="Sever",Backdoors!AY11/100,IF(VLOOKUP(A3,tbMoveset!A2:B112,2,FALSE)="Blunt",Backdoors!AZ11/100,Backdoors!BA11/100)),"")</f>
        <v/>
      </c>
      <c r="BG3" s="49">
        <f>IFERROR(IF(VLOOKUP(tbMoveset!A3,tbMoveset!A2:H112,8,FALSE)="Other",IF(VLOOKUP(tbMoveset!A3,tbMoveset!A2:I112,9,FALSE)="Fire",Backdoors!BB11,IF(VLOOKUP(tbMoveset!A3,tbMoveset!A2:I112,9,FALSE)="Water",Backdoors!BC11,IF(VLOOKUP(tbMoveset!A3,tbMoveset!A2:I112,9,FALSE)="Thunder",Backdoors!BD11,IF(VLOOKUP(tbMoveset!A3,tbMoveset!A2:I112,9,FALSE)="Ice",Backdoors!BE11,IF(VLOOKUP(tbMoveset!A3,tbMoveset!A2:I112,9,FALSE)="Dragon",Backdoors!BF11,Backdoors!BG11)))))/100,Backdoors!BG11/100),"")</f>
        <v>0</v>
      </c>
      <c r="BH3" s="49">
        <f>IFERROR(IF(VLOOKUP(A3,tbMoveset!A2:J112,10,FALSE)=TRUE,IF((Backdoors!AI12+IF(BF3&gt;=0.45,VLOOKUP(Calculator!E23,tbSkills!DH3:DI6,2,FALSE)+IF(AND(Calculator!B8=TRUE,Backdoors!BI11=TRUE),VLOOKUP(Calculator!E23,tbSkills!DH3:DJ6,3,FALSE),0),0))&gt;=0,1+(Backdoors!AL2*(IF((Backdoors!AI12+IF(BF3&gt;=0.45,VLOOKUP(Calculator!E23,tbSkills!DH3:DI6,2,FALSE)+IF(AND(Calculator!B8=TRUE,Backdoors!BI11=TRUE),VLOOKUP(Calculator!E23,tbSkills!DH3:DJ6,3,FALSE),0),0))&gt;=100,100,(Backdoors!AI12+IF(BF3&gt;=0.45,VLOOKUP(Calculator!E23,tbSkills!DH3:DI6,2,FALSE)+IF(AND(Calculator!B8=TRUE,Backdoors!BI11=TRUE),VLOOKUP(Calculator!E23,tbSkills!DH3:DJ6,3,FALSE),0),0)))/100)),(1-(0.25*((-Backdoors!AI12-IF(BF3&gt;=0.45,VLOOKUP(Calculator!E23,tbSkills!DH3:DI6,2,FALSE)+IF(AND(Calculator!B8=TRUE,Backdoors!BI11=TRUE),VLOOKUP(Calculator!E23,tbSkills!DH3:DJ6,3,FALSE),0),0))/100)))),1),"")</f>
        <v>1</v>
      </c>
      <c r="BI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F3)*BH3)*(VLOOKUP(A3,tbMoveset!A2:C112,3,FALSE)/100)*IF(VLOOKUP(A3,tbMoveset!A2:B112,2,FALSE)="Projectile",Backdoors!N10,Backdoors!N9),0),"")</f>
        <v/>
      </c>
      <c r="BJ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F3&gt;=0.45,VLOOKUP(Calculator!E23,tbSkills!DH3:DI6,2,FALSE)+IF(AND(Calculator!B8=TRUE,Backdoors!BI11=TRUE),VLOOKUP(Calculator!E23,tbSkills!DH3:DJ6,3,FALSE),0),0))&gt;=100,100,(Backdoors!AI12+IF(BF3&gt;=0.45,VLOOKUP(Calculator!E23,tbSkills!DH3:DI6,2,FALSE)+IF(AND(Calculator!B8=TRUE,Backdoors!BI11=TRUE),VLOOKUP(Calculator!E23,tbSkills!DH3:DJ6,3,FALSE),0),0)))/100)),1))*IF(VLOOKUP(A3,tbMoveset!A2:K112,11,FALSE)=TRUE,Backdoors!AC5,1))*BG3,0),"")</f>
        <v>0</v>
      </c>
      <c r="BK3" s="49">
        <f>VLOOKUP(A3,tbMoveset!A2:G112,7,FALSE)*IFERROR(IF(Backdoors!AI12&gt;=0,1+(IF(Calculator!E40&gt;0,VLOOKUP(Calculator!E40,tbSkills!AI3:AJ5,2,FALSE),Backdoors!AL4)*(IF((Backdoors!AI12+IF(BF3&gt;=0.45,VLOOKUP(Calculator!E23,tbSkills!DH3:DI6,2,FALSE)+IF(AND(Calculator!B8=TRUE,Backdoors!BI11=TRUE),VLOOKUP(Calculator!E23,tbSkills!DH3:DJ6,3,FALSE),0),0))&gt;=100,100,(Backdoors!AI12+IF(BF3&gt;=0.45,VLOOKUP(Calculator!E23,tbSkills!DH3:DI6,2,FALSE)+IF(AND(Calculator!B8=TRUE,Backdoors!BI11=TRUE),VLOOKUP(Calculator!E23,tbSkills!DH3:DJ6,3,FALSE),0),0)))/100)),1),1)</f>
        <v>0.4</v>
      </c>
      <c r="BL3" s="87">
        <f>SUM(BI3:BJ3)</f>
        <v>0</v>
      </c>
      <c r="BM3" s="86" t="str">
        <f>IFERROR(IF(VLOOKUP(A3,tbMoveset!A2:B112,2,FALSE)="Sever",Backdoors!AY12/100,IF(VLOOKUP(A3,tbMoveset!A2:B112,2,FALSE)="Blunt",Backdoors!AZ12/100,Backdoors!BA12/100)),"")</f>
        <v/>
      </c>
      <c r="BN3" s="49">
        <f>IFERROR(IF(VLOOKUP(tbMoveset!A3,tbMoveset!A2:H112,8,FALSE)="Other",IF(VLOOKUP(tbMoveset!A3,tbMoveset!A2:I112,9,FALSE)="Fire",Backdoors!BB12,IF(VLOOKUP(tbMoveset!A3,tbMoveset!A2:I112,9,FALSE)="Water",Backdoors!BC12,IF(VLOOKUP(tbMoveset!A3,tbMoveset!A2:I112,9,FALSE)="Thunder",Backdoors!BD12,IF(VLOOKUP(tbMoveset!A3,tbMoveset!A2:I112,9,FALSE)="Ice",Backdoors!BE12,IF(VLOOKUP(tbMoveset!A3,tbMoveset!A2:I112,9,FALSE)="Dragon",Backdoors!BF12,Backdoors!BG12)))))/100,Backdoors!BG12/100),"")</f>
        <v>0</v>
      </c>
      <c r="BO3" s="49">
        <f>IFERROR(IF(VLOOKUP(A3,tbMoveset!A2:J112,10,FALSE)=TRUE,IF((Backdoors!AI12+IF(BM3&gt;=0.45,VLOOKUP(Calculator!E23,tbSkills!DH3:DI6,2,FALSE)+IF(AND(Calculator!B8=TRUE,Backdoors!BI12=TRUE),VLOOKUP(Calculator!E23,tbSkills!DH3:DJ6,3,FALSE),0),0))&gt;=0,1+(Backdoors!AL2*(IF((Backdoors!AI12+IF(BM3&gt;=0.45,VLOOKUP(Calculator!E23,tbSkills!DH3:DI6,2,FALSE)+IF(AND(Calculator!B8=TRUE,Backdoors!BI12=TRUE),VLOOKUP(Calculator!E23,tbSkills!DH3:DJ6,3,FALSE),0),0))&gt;=100,100,(Backdoors!AI12+IF(BM3&gt;=0.45,VLOOKUP(Calculator!E23,tbSkills!DH3:DI6,2,FALSE)+IF(AND(Calculator!B8=TRUE,Backdoors!BI12=TRUE),VLOOKUP(Calculator!E23,tbSkills!DH3:DJ6,3,FALSE),0),0)))/100)),(1-(0.25*((-Backdoors!AI12-IF(BM3&gt;=0.45,VLOOKUP(Calculator!E23,tbSkills!DH3:DI6,2,FALSE)+IF(AND(Calculator!B8=TRUE,Backdoors!BI12=TRUE),VLOOKUP(Calculator!E23,tbSkills!DH3:DJ6,3,FALSE),0),0))/100)))),1),"")</f>
        <v>1</v>
      </c>
      <c r="BP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M3)*BO3)*(VLOOKUP(A3,tbMoveset!A2:C112,3,FALSE)/100)*IF(VLOOKUP(A3,tbMoveset!A2:B112,2,FALSE)="Projectile",Backdoors!N10,Backdoors!N9),0),"")</f>
        <v/>
      </c>
      <c r="BQ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M3&gt;=0.45,VLOOKUP(Calculator!E23,tbSkills!DH3:DI6,2,FALSE)+IF(AND(Calculator!B8=TRUE,Backdoors!BI12=TRUE),VLOOKUP(Calculator!E23,tbSkills!DH3:DJ6,3,FALSE),0),0))&gt;=100,100,(Backdoors!AI12+IF(BM3&gt;=0.45,VLOOKUP(Calculator!E23,tbSkills!DH3:DI6,2,FALSE)+IF(AND(Calculator!B8=TRUE,Backdoors!BI12=TRUE),VLOOKUP(Calculator!E23,tbSkills!DH3:DJ6,3,FALSE),0),0)))/100)),1))*IF(VLOOKUP(A3,tbMoveset!A2:K112,11,FALSE)=TRUE,Backdoors!AC5,1))*BN3,0),"")</f>
        <v>0</v>
      </c>
      <c r="BR3" s="49">
        <f>VLOOKUP(A3,tbMoveset!A2:G112,7,FALSE)*IFERROR(IF(Backdoors!AI12&gt;=0,1+(IF(Calculator!E40&gt;0,VLOOKUP(Calculator!E40,tbSkills!AI3:AJ5,2,FALSE),Backdoors!AL4)*(IF((Backdoors!AI12+IF(BM3&gt;=0.45,VLOOKUP(Calculator!E23,tbSkills!DH3:DI6,2,FALSE)+IF(AND(Calculator!B8=TRUE,Backdoors!BI12=TRUE),VLOOKUP(Calculator!E23,tbSkills!DH3:DJ6,3,FALSE),0),0))&gt;=100,100,(Backdoors!AI12+IF(BM3&gt;=0.45,VLOOKUP(Calculator!E23,tbSkills!DH3:DI6,2,FALSE)+IF(AND(Calculator!B8=TRUE,Backdoors!BI12=TRUE),VLOOKUP(Calculator!E23,tbSkills!DH3:DJ6,3,FALSE),0),0)))/100)),1),1)</f>
        <v>0.4</v>
      </c>
      <c r="BS3" s="87">
        <f>SUM(BP3:BQ3)</f>
        <v>0</v>
      </c>
      <c r="BT3" s="86" t="str">
        <f>IFERROR(IF(VLOOKUP(A3,tbMoveset!A2:B112,2,FALSE)="Sever",Backdoors!AY13/100,IF(VLOOKUP(A3,tbMoveset!A2:B112,2,FALSE)="Blunt",Backdoors!AZ13/100,Backdoors!BA13/100)),"")</f>
        <v/>
      </c>
      <c r="BU3" s="49">
        <f>IFERROR(IF(VLOOKUP(tbMoveset!A3,tbMoveset!A2:H112,8,FALSE)="Other",IF(VLOOKUP(tbMoveset!A3,tbMoveset!A2:I112,9,FALSE)="Fire",Backdoors!BB13,IF(VLOOKUP(tbMoveset!A3,tbMoveset!A2:I112,9,FALSE)="Water",Backdoors!BC13,IF(VLOOKUP(tbMoveset!A3,tbMoveset!A2:I112,9,FALSE)="Thunder",Backdoors!BD13,IF(VLOOKUP(tbMoveset!A3,tbMoveset!A2:I112,9,FALSE)="Ice",Backdoors!BE13,IF(VLOOKUP(tbMoveset!A3,tbMoveset!A2:I112,9,FALSE)="Dragon",Backdoors!BF13,Backdoors!BG13)))))/100,Backdoors!BG13/100),"")</f>
        <v>0</v>
      </c>
      <c r="BV3" s="49">
        <f>IFERROR(IF(VLOOKUP(A3,tbMoveset!A2:J112,10,FALSE)=TRUE,IF((Backdoors!AI12+IF(BT3&gt;=0.45,VLOOKUP(Calculator!E23,tbSkills!DH3:DI6,2,FALSE)+IF(AND(Calculator!B8=TRUE,Backdoors!BI13=TRUE),VLOOKUP(Calculator!E23,tbSkills!DH3:DJ6,3,FALSE),0),0))&gt;=0,1+(Backdoors!AL2*(IF((Backdoors!AI12+IF(BT3&gt;=0.45,VLOOKUP(Calculator!E23,tbSkills!DH3:DI6,2,FALSE)+IF(AND(Calculator!B8=TRUE,Backdoors!BI13=TRUE),VLOOKUP(Calculator!E23,tbSkills!DH3:DJ6,3,FALSE),0),0))&gt;=100,100,(Backdoors!AI12+IF(BT3&gt;=0.45,VLOOKUP(Calculator!E23,tbSkills!DH3:DI6,2,FALSE)+IF(AND(Calculator!B8=TRUE,Backdoors!BI13=TRUE),VLOOKUP(Calculator!E23,tbSkills!DH3:DJ6,3,FALSE),0),0)))/100)),(1-(0.25*((-Backdoors!AI12-IF(BT3&gt;=0.45,VLOOKUP(Calculator!E23,tbSkills!DH3:DI6,2,FALSE)+IF(AND(Calculator!B8=TRUE,Backdoors!BI13=TRUE),VLOOKUP(Calculator!E23,tbSkills!DH3:DJ6,3,FALSE),0),0))/100)))),1),"")</f>
        <v>1</v>
      </c>
      <c r="BW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T3)*BV3)*(VLOOKUP(A3,tbMoveset!A2:C112,3,FALSE)/100)*IF(VLOOKUP(A3,tbMoveset!A2:B112,2,FALSE)="Projectile",Backdoors!N10,Backdoors!N9),0),"")</f>
        <v/>
      </c>
      <c r="BX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T3&gt;=0.45,VLOOKUP(Calculator!E23,tbSkills!DH3:DI6,2,FALSE)+IF(AND(Calculator!B8=TRUE,Backdoors!BI13=TRUE),VLOOKUP(Calculator!E23,tbSkills!DH3:DJ6,3,FALSE),0),0))&gt;=100,100,(Backdoors!AI12+IF(BT3&gt;=0.45,VLOOKUP(Calculator!E23,tbSkills!DH3:DI6,2,FALSE)+IF(AND(Calculator!B8=TRUE,Backdoors!BI13=TRUE),VLOOKUP(Calculator!E23,tbSkills!DH3:DJ6,3,FALSE),0),0)))/100)),1))*IF(VLOOKUP(A3,tbMoveset!A2:K112,11,FALSE)=TRUE,Backdoors!AC5,1))*BU3,0),"")</f>
        <v>0</v>
      </c>
      <c r="BY3" s="49">
        <f>VLOOKUP(A3,tbMoveset!A2:G112,7,FALSE)*IFERROR(IF(Backdoors!AI12&gt;=0,1+(IF(Calculator!E40&gt;0,VLOOKUP(Calculator!E40,tbSkills!AI3:AJ5,2,FALSE),Backdoors!AL4)*(IF((Backdoors!AI12+IF(BT3&gt;=0.45,VLOOKUP(Calculator!E23,tbSkills!DH3:DI6,2,FALSE)+IF(AND(Calculator!B8=TRUE,Backdoors!BI13=TRUE),VLOOKUP(Calculator!E23,tbSkills!DH3:DJ6,3,FALSE),0),0))&gt;=100,100,(Backdoors!AI12+IF(BT3&gt;=0.45,VLOOKUP(Calculator!E23,tbSkills!DH3:DI6,2,FALSE)+IF(AND(Calculator!B8=TRUE,Backdoors!BI13=TRUE),VLOOKUP(Calculator!E23,tbSkills!DH3:DJ6,3,FALSE),0),0)))/100)),1),1)</f>
        <v>0.4</v>
      </c>
      <c r="BZ3" s="87">
        <f>SUM(BW3:BX3)</f>
        <v>0</v>
      </c>
      <c r="CA3" s="86" t="str">
        <f>IFERROR(IF(VLOOKUP(A3,tbMoveset!A2:B112,2,FALSE)="Sever",Backdoors!AY14/100,IF(VLOOKUP(A3,tbMoveset!A2:B112,2,FALSE)="Blunt",Backdoors!AZ14/100,Backdoors!BA14/100)),"")</f>
        <v/>
      </c>
      <c r="CB3" s="49">
        <f>IFERROR(IF(VLOOKUP(tbMoveset!A3,tbMoveset!A2:H112,8,FALSE)="Other",IF(VLOOKUP(tbMoveset!A3,tbMoveset!A2:I112,9,FALSE)="Fire",Backdoors!BB14,IF(VLOOKUP(tbMoveset!A3,tbMoveset!A2:I112,9,FALSE)="Water",Backdoors!BC14,IF(VLOOKUP(tbMoveset!A3,tbMoveset!A2:I112,9,FALSE)="Thunder",Backdoors!BD14,IF(VLOOKUP(tbMoveset!A3,tbMoveset!A2:I112,9,FALSE)="Ice",Backdoors!BE14,IF(VLOOKUP(tbMoveset!A3,tbMoveset!A2:I112,9,FALSE)="Dragon",Backdoors!BF14,Backdoors!BG14)))))/100,Backdoors!BG14/100),"")</f>
        <v>0</v>
      </c>
      <c r="CC3" s="49">
        <f>IFERROR(IF(VLOOKUP(A3,tbMoveset!A2:J112,10,FALSE)=TRUE,IF((Backdoors!AI12+IF(CA3&gt;=0.45,VLOOKUP(Calculator!E23,tbSkills!DH3:DI6,2,FALSE)+IF(AND(Calculator!B8=TRUE,Backdoors!BI14=TRUE),VLOOKUP(Calculator!E23,tbSkills!DH3:DJ6,3,FALSE),0),0))&gt;=0,1+(Backdoors!AL2*(IF((Backdoors!AI12+IF(CA3&gt;=0.45,VLOOKUP(Calculator!E23,tbSkills!DH3:DI6,2,FALSE)+IF(AND(Calculator!B8=TRUE,Backdoors!BI14=TRUE),VLOOKUP(Calculator!E23,tbSkills!DH3:DJ6,3,FALSE),0),0))&gt;=100,100,(Backdoors!AI12+IF(CA3&gt;=0.45,VLOOKUP(Calculator!E23,tbSkills!DH3:DI6,2,FALSE)+IF(AND(Calculator!B8=TRUE,Backdoors!BI14=TRUE),VLOOKUP(Calculator!E23,tbSkills!DH3:DJ6,3,FALSE),0),0)))/100)),(1-(0.25*((-Backdoors!AI12-IF(CA3&gt;=0.45,VLOOKUP(Calculator!E23,tbSkills!DH3:DI6,2,FALSE)+IF(AND(Calculator!B8=TRUE,Backdoors!BI14=TRUE),VLOOKUP(Calculator!E23,tbSkills!DH3:DJ6,3,FALSE),0),0))/100)))),1),"")</f>
        <v>1</v>
      </c>
      <c r="CD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A3)*CC3)*(VLOOKUP(A3,tbMoveset!A2:C112,3,FALSE)/100)*IF(VLOOKUP(A3,tbMoveset!A2:B112,2,FALSE)="Projectile",Backdoors!N10,Backdoors!N9),0),"")</f>
        <v/>
      </c>
      <c r="CE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A3&gt;=0.45,VLOOKUP(Calculator!E23,tbSkills!DH3:DI6,2,FALSE)+IF(AND(Calculator!B8=TRUE,Backdoors!BI14=TRUE),VLOOKUP(Calculator!E23,tbSkills!DH3:DJ6,3,FALSE),0),0))&gt;=100,100,(Backdoors!AI12+IF(CA3&gt;=0.45,VLOOKUP(Calculator!E23,tbSkills!DH3:DI6,2,FALSE)+IF(AND(Calculator!B8=TRUE,Backdoors!BI14=TRUE),VLOOKUP(Calculator!E23,tbSkills!DH3:DJ6,3,FALSE),0),0)))/100)),1))*IF(VLOOKUP(A3,tbMoveset!A2:K112,11,FALSE)=TRUE,Backdoors!AC5,1))*CB3,0),"")</f>
        <v>0</v>
      </c>
      <c r="CF3" s="49">
        <f>VLOOKUP(A3,tbMoveset!A2:G112,7,FALSE)*IFERROR(IF(Backdoors!AI12&gt;=0,1+(IF(Calculator!E40&gt;0,VLOOKUP(Calculator!E40,tbSkills!AI3:AJ5,2,FALSE),Backdoors!AL4)*(IF((Backdoors!AI12+IF(CA3&gt;=0.45,VLOOKUP(Calculator!E23,tbSkills!DH3:DI6,2,FALSE)+IF(AND(Calculator!B8=TRUE,Backdoors!BI14=TRUE),VLOOKUP(Calculator!E23,tbSkills!DH3:DJ6,3,FALSE),0),0))&gt;=100,100,(Backdoors!AI12+IF(CA3&gt;=0.45,VLOOKUP(Calculator!E23,tbSkills!DH3:DI6,2,FALSE)+IF(AND(Calculator!B8=TRUE,Backdoors!BI14=TRUE),VLOOKUP(Calculator!E23,tbSkills!DH3:DJ6,3,FALSE),0),0)))/100)),1),1)</f>
        <v>0.4</v>
      </c>
      <c r="CG3" s="87">
        <f>SUM(CD3:CE3)</f>
        <v>0</v>
      </c>
      <c r="CH3" s="86" t="str">
        <f>IFERROR(IF(VLOOKUP(A3,tbMoveset!A2:B112,2,FALSE)="Sever",Backdoors!AY15/100,IF(VLOOKUP(A3,tbMoveset!A2:B112,2,FALSE)="Blunt",Backdoors!AZ15/100,Backdoors!BA15/100)),"")</f>
        <v/>
      </c>
      <c r="CI3" s="49">
        <f>IFERROR(IF(VLOOKUP(tbMoveset!A3,tbMoveset!A2:H112,8,FALSE)="Other",IF(VLOOKUP(tbMoveset!A3,tbMoveset!A2:I112,9,FALSE)="Fire",Backdoors!BB15,IF(VLOOKUP(tbMoveset!A3,tbMoveset!A2:I112,9,FALSE)="Water",Backdoors!BC15,IF(VLOOKUP(tbMoveset!A3,tbMoveset!A2:I112,9,FALSE)="Thunder",Backdoors!BD15,IF(VLOOKUP(tbMoveset!A3,tbMoveset!A2:I112,9,FALSE)="Ice",Backdoors!BE15,IF(VLOOKUP(tbMoveset!A3,tbMoveset!A2:I112,9,FALSE)="Dragon",Backdoors!BF15,Backdoors!BG15)))))/100,Backdoors!BG15/100),"")</f>
        <v>0</v>
      </c>
      <c r="CJ3" s="49">
        <f>IFERROR(IF(VLOOKUP(A3,tbMoveset!A2:J112,10,FALSE)=TRUE,IF((Backdoors!AI12+IF(CH3&gt;=0.45,VLOOKUP(Calculator!E23,tbSkills!DH3:DI6,2,FALSE)+IF(AND(Calculator!B8=TRUE,Backdoors!BI15=TRUE),VLOOKUP(Calculator!E23,tbSkills!DH3:DJ6,3,FALSE),0),0))&gt;=0,1+(Backdoors!AL2*(IF((Backdoors!AI12+IF(CH3&gt;=0.45,VLOOKUP(Calculator!E23,tbSkills!DH3:DI6,2,FALSE)+IF(AND(Calculator!B8=TRUE,Backdoors!BI15=TRUE),VLOOKUP(Calculator!E23,tbSkills!DH3:DJ6,3,FALSE),0),0))&gt;=100,100,(Backdoors!AI12+IF(CH3&gt;=0.45,VLOOKUP(Calculator!E23,tbSkills!DH3:DI6,2,FALSE)+IF(AND(Calculator!B8=TRUE,Backdoors!BI15=TRUE),VLOOKUP(Calculator!E23,tbSkills!DH3:DJ6,3,FALSE),0),0)))/100)),(1-(0.25*((-Backdoors!AI12-IF(CH3&gt;=0.45,VLOOKUP(Calculator!E23,tbSkills!DH3:DI6,2,FALSE)+IF(AND(Calculator!B8=TRUE,Backdoors!BI15=TRUE),VLOOKUP(Calculator!E23,tbSkills!DH3:DJ6,3,FALSE),0),0))/100)))),1),"")</f>
        <v>1</v>
      </c>
      <c r="CK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H3)*CJ3)*(VLOOKUP(A3,tbMoveset!A2:C112,3,FALSE)/100)*IF(VLOOKUP(A3,tbMoveset!A2:B112,2,FALSE)="Projectile",Backdoors!N10,Backdoors!N9),0),"")</f>
        <v/>
      </c>
      <c r="CL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H3&gt;=0.45,VLOOKUP(Calculator!E23,tbSkills!DH3:DI6,2,FALSE)+IF(AND(Calculator!B8=TRUE,Backdoors!BI15=TRUE),VLOOKUP(Calculator!E23,tbSkills!DH3:DJ6,3,FALSE),0),0))&gt;=100,100,(Backdoors!AI12+IF(CH3&gt;=0.45,VLOOKUP(Calculator!E23,tbSkills!DH3:DI6,2,FALSE)+IF(AND(Calculator!B8=TRUE,Backdoors!BI15=TRUE),VLOOKUP(Calculator!E23,tbSkills!DH3:DJ6,3,FALSE),0),0)))/100)),1))*IF(VLOOKUP(A3,tbMoveset!A2:K112,11,FALSE)=TRUE,Backdoors!AC5,1))*CI3,0),"")</f>
        <v>0</v>
      </c>
      <c r="CM3" s="49">
        <f>VLOOKUP(A3,tbMoveset!A2:G112,7,FALSE)*IFERROR(IF(Backdoors!AI12&gt;=0,1+(IF(Calculator!E40&gt;0,VLOOKUP(Calculator!E40,tbSkills!AI3:AJ5,2,FALSE),Backdoors!AL4)*(IF((Backdoors!AI12+IF(CH3&gt;=0.45,VLOOKUP(Calculator!E23,tbSkills!DH3:DI6,2,FALSE)+IF(AND(Calculator!B8=TRUE,Backdoors!BI15=TRUE),VLOOKUP(Calculator!E23,tbSkills!DH3:DJ6,3,FALSE),0),0))&gt;=100,100,(Backdoors!AI12+IF(CH3&gt;=0.45,VLOOKUP(Calculator!E23,tbSkills!DH3:DI6,2,FALSE)+IF(AND(Calculator!B8=TRUE,Backdoors!BI15=TRUE),VLOOKUP(Calculator!E23,tbSkills!DH3:DJ6,3,FALSE),0),0)))/100)),1),1)</f>
        <v>0.4</v>
      </c>
      <c r="CN3" s="87">
        <f>SUM(CK3:CL3)</f>
        <v>0</v>
      </c>
      <c r="CO3" s="86" t="str">
        <f>IFERROR(IF(VLOOKUP(A3,tbMoveset!A2:B112,2,FALSE)="Sever",Backdoors!AY16/100,IF(VLOOKUP(A3,tbMoveset!A2:B112,2,FALSE)="Blunt",Backdoors!AZ16/100,Backdoors!BA16/100)),"")</f>
        <v/>
      </c>
      <c r="CP3" s="49">
        <f>IFERROR(IF(VLOOKUP(tbMoveset!A3,tbMoveset!A2:H112,8,FALSE)="Other",IF(VLOOKUP(tbMoveset!A3,tbMoveset!A2:I112,9,FALSE)="Fire",Backdoors!BB16,IF(VLOOKUP(tbMoveset!A3,tbMoveset!A2:I112,9,FALSE)="Water",Backdoors!BC16,IF(VLOOKUP(tbMoveset!A3,tbMoveset!A2:I112,9,FALSE)="Thunder",Backdoors!BD16,IF(VLOOKUP(tbMoveset!A3,tbMoveset!A2:I112,9,FALSE)="Ice",Backdoors!BE16,IF(VLOOKUP(tbMoveset!A3,tbMoveset!A2:I112,9,FALSE)="Dragon",Backdoors!BF16,Backdoors!BG16)))))/100,Backdoors!BG16/100),"")</f>
        <v>0</v>
      </c>
      <c r="CQ3" s="49">
        <f>IFERROR(IF(VLOOKUP(A3,tbMoveset!A2:J112,10,FALSE)=TRUE,IF((Backdoors!AI12+IF(CO3&gt;=0.45,VLOOKUP(Calculator!E23,tbSkills!DH3:DI6,2,FALSE)+IF(AND(Calculator!B8=TRUE,Backdoors!BI16=TRUE),VLOOKUP(Calculator!E23,tbSkills!DH3:DJ6,3,FALSE),0),0))&gt;=0,1+(Backdoors!AL2*(IF((Backdoors!AI12+IF(CO3&gt;=0.45,VLOOKUP(Calculator!E23,tbSkills!DH3:DI6,2,FALSE)+IF(AND(Calculator!B8=TRUE,Backdoors!BI16=TRUE),VLOOKUP(Calculator!E23,tbSkills!DH3:DJ6,3,FALSE),0),0))&gt;=100,100,(Backdoors!AI12+IF(CO3&gt;=0.45,VLOOKUP(Calculator!E23,tbSkills!DH3:DI6,2,FALSE)+IF(AND(Calculator!B8=TRUE,Backdoors!BI16=TRUE),VLOOKUP(Calculator!E23,tbSkills!DH3:DJ6,3,FALSE),0),0)))/100)),(1-(0.25*((-Backdoors!AI12-IF(CO3&gt;=0.45,VLOOKUP(Calculator!E23,tbSkills!DH3:DI6,2,FALSE)+IF(AND(Calculator!B8=TRUE,Backdoors!BI16=TRUE),VLOOKUP(Calculator!E23,tbSkills!DH3:DJ6,3,FALSE),0),0))/100)))),1),"")</f>
        <v>1</v>
      </c>
      <c r="CR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O3)*CQ3)*(VLOOKUP(A3,tbMoveset!A2:C112,3,FALSE)/100)*IF(VLOOKUP(A3,tbMoveset!A2:B112,2,FALSE)="Projectile",Backdoors!N10,Backdoors!N9),0),"")</f>
        <v/>
      </c>
      <c r="CS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O3&gt;=0.45,VLOOKUP(Calculator!E23,tbSkills!DH3:DI6,2,FALSE)+IF(AND(Calculator!B8=TRUE,Backdoors!BI16=TRUE),VLOOKUP(Calculator!E23,tbSkills!DH3:DJ6,3,FALSE),0),0))&gt;=100,100,(Backdoors!AI12+IF(CO3&gt;=0.45,VLOOKUP(Calculator!E23,tbSkills!DH3:DI6,2,FALSE)+IF(AND(Calculator!B8=TRUE,Backdoors!BI16=TRUE),VLOOKUP(Calculator!E23,tbSkills!DH3:DJ6,3,FALSE),0),0)))/100)),1))*IF(VLOOKUP(A3,tbMoveset!A2:K112,11,FALSE)=TRUE,Backdoors!AC5,1))*CP3,0),"")</f>
        <v>0</v>
      </c>
      <c r="CT3" s="49">
        <f>VLOOKUP(A3,tbMoveset!A2:G112,7,FALSE)*IFERROR(IF(Backdoors!AI12&gt;=0,1+(IF(Calculator!E40&gt;0,VLOOKUP(Calculator!E40,tbSkills!AI3:AJ5,2,FALSE),Backdoors!AL4)*(IF((Backdoors!AI12+IF(CO3&gt;=0.45,VLOOKUP(Calculator!E23,tbSkills!DH3:DI6,2,FALSE)+IF(AND(Calculator!B8=TRUE,Backdoors!BI16=TRUE),VLOOKUP(Calculator!E23,tbSkills!DH3:DJ6,3,FALSE),0),0))&gt;=100,100,(Backdoors!AI12+IF(CO3&gt;=0.45,VLOOKUP(Calculator!E23,tbSkills!DH3:DI6,2,FALSE)+IF(AND(Calculator!B8=TRUE,Backdoors!BI16=TRUE),VLOOKUP(Calculator!E23,tbSkills!DH3:DJ6,3,FALSE),0),0)))/100)),1),1)</f>
        <v>0.4</v>
      </c>
      <c r="CU3" s="87">
        <f>SUM(CR3:CS3)</f>
        <v>0</v>
      </c>
      <c r="CV3" s="86" t="str">
        <f>IFERROR(IF(VLOOKUP(A3,tbMoveset!A2:B112,2,FALSE)="Sever",Backdoors!AY17/100,IF(VLOOKUP(A3,tbMoveset!A2:B112,2,FALSE)="Blunt",Backdoors!AZ17/100,Backdoors!BA17/100)),"")</f>
        <v/>
      </c>
      <c r="CW3" s="49">
        <f>IFERROR(IF(VLOOKUP(tbMoveset!A3,tbMoveset!A2:H112,8,FALSE)="Other",IF(VLOOKUP(tbMoveset!A3,tbMoveset!A2:I112,9,FALSE)="Fire",Backdoors!BB17,IF(VLOOKUP(tbMoveset!A3,tbMoveset!A2:I112,9,FALSE)="Water",Backdoors!BC17,IF(VLOOKUP(tbMoveset!A3,tbMoveset!A2:I112,9,FALSE)="Thunder",Backdoors!BD17,IF(VLOOKUP(tbMoveset!A3,tbMoveset!A2:I112,9,FALSE)="Ice",Backdoors!BE17,IF(VLOOKUP(tbMoveset!A3,tbMoveset!A2:I112,9,FALSE)="Dragon",Backdoors!BF17,Backdoors!BG17)))))/100,Backdoors!BG17/100),"")</f>
        <v>0</v>
      </c>
      <c r="CX3" s="49">
        <f>IFERROR(IF(VLOOKUP(A3,tbMoveset!A2:J112,10,FALSE)=TRUE,IF((Backdoors!AI12+IF(CV3&gt;=0.45,VLOOKUP(Calculator!E23,tbSkills!DH3:DI6,2,FALSE)+IF(AND(Calculator!B8=TRUE,Backdoors!BI17=TRUE),VLOOKUP(Calculator!E23,tbSkills!DH3:DJ6,3,FALSE),0),0))&gt;=0,1+(Backdoors!AL2*(IF((Backdoors!AI12+IF(CV3&gt;=0.45,VLOOKUP(Calculator!E23,tbSkills!DH3:DI6,2,FALSE)+IF(AND(Calculator!B8=TRUE,Backdoors!BI17=TRUE),VLOOKUP(Calculator!E23,tbSkills!DH3:DJ6,3,FALSE),0),0))&gt;=100,100,(Backdoors!AI12+IF(CV3&gt;=0.45,VLOOKUP(Calculator!E23,tbSkills!DH3:DI6,2,FALSE)+IF(AND(Calculator!B8=TRUE,Backdoors!BI17=TRUE),VLOOKUP(Calculator!E23,tbSkills!DH3:DJ6,3,FALSE),0),0)))/100)),(1-(0.25*((-Backdoors!AI12-IF(CV3&gt;=0.45,VLOOKUP(Calculator!E23,tbSkills!DH3:DI6,2,FALSE)+IF(AND(Calculator!B8=TRUE,Backdoors!BI17=TRUE),VLOOKUP(Calculator!E23,tbSkills!DH3:DJ6,3,FALSE),0),0))/100)))),1),"")</f>
        <v>1</v>
      </c>
      <c r="CY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V3)*CX3)*(VLOOKUP(A3,tbMoveset!A2:C112,3,FALSE)/100)*IF(VLOOKUP(A3,tbMoveset!A2:B112,2,FALSE)="Projectile",Backdoors!N10,Backdoors!N9),0),"")</f>
        <v/>
      </c>
      <c r="CZ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V3&gt;=0.45,VLOOKUP(Calculator!E23,tbSkills!DH3:DI6,2,FALSE)+IF(AND(Calculator!B8=TRUE,Backdoors!BI17=TRUE),VLOOKUP(Calculator!E23,tbSkills!DH3:DJ6,3,FALSE),0),0))&gt;=100,100,(Backdoors!AI12+IF(CV3&gt;=0.45,VLOOKUP(Calculator!E23,tbSkills!DH3:DI6,2,FALSE)+IF(AND(Calculator!B8=TRUE,Backdoors!BI17=TRUE),VLOOKUP(Calculator!E23,tbSkills!DH3:DJ6,3,FALSE),0),0)))/100)),1))*IF(VLOOKUP(A3,tbMoveset!A2:K112,11,FALSE)=TRUE,Backdoors!AC5,1))*CW3,0),"")</f>
        <v>0</v>
      </c>
      <c r="DA3" s="49">
        <f>VLOOKUP(A3,tbMoveset!A2:G112,7,FALSE)*IFERROR(IF(Backdoors!AI12&gt;=0,1+(IF(Calculator!E40&gt;0,VLOOKUP(Calculator!E40,tbSkills!AI3:AJ5,2,FALSE),Backdoors!AL4)*(IF((Backdoors!AI12+IF(CV3&gt;=0.45,VLOOKUP(Calculator!E23,tbSkills!DH3:DI6,2,FALSE)+IF(AND(Calculator!B8=TRUE,Backdoors!BI17=TRUE),VLOOKUP(Calculator!E23,tbSkills!DH3:DJ6,3,FALSE),0),0))&gt;=100,100,(Backdoors!AI12+IF(CV3&gt;=0.45,VLOOKUP(Calculator!E23,tbSkills!DH3:DI6,2,FALSE)+IF(AND(Calculator!B8=TRUE,Backdoors!BI17=TRUE),VLOOKUP(Calculator!E23,tbSkills!DH3:DJ6,3,FALSE),0),0)))/100)),1),1)</f>
        <v>0.4</v>
      </c>
      <c r="DB3" s="87">
        <f>SUM(CY3:CZ3)</f>
        <v>0</v>
      </c>
      <c r="DC3" s="86" t="str">
        <f>IFERROR(IF(VLOOKUP(A3,tbMoveset!A2:B112,2,FALSE)="Sever",Backdoors!AY18/100,IF(VLOOKUP(A3,tbMoveset!A2:B112,2,FALSE)="Blunt",Backdoors!AZ18/100,Backdoors!BA18/100)),"")</f>
        <v/>
      </c>
      <c r="DD3" s="49">
        <f>IFERROR(IF(VLOOKUP(tbMoveset!A3,tbMoveset!A2:H112,8,FALSE)="Other",IF(VLOOKUP(tbMoveset!A3,tbMoveset!A2:I112,9,FALSE)="Fire",Backdoors!BB18,IF(VLOOKUP(tbMoveset!A3,tbMoveset!A2:I112,9,FALSE)="Water",Backdoors!BC18,IF(VLOOKUP(tbMoveset!A3,tbMoveset!A2:I112,9,FALSE)="Thunder",Backdoors!BD18,IF(VLOOKUP(tbMoveset!A3,tbMoveset!A2:I112,9,FALSE)="Ice",Backdoors!BE18,IF(VLOOKUP(tbMoveset!A3,tbMoveset!A2:I112,9,FALSE)="Dragon",Backdoors!BF18,Backdoors!BG18)))))/100,Backdoors!BG18/100),"")</f>
        <v>0</v>
      </c>
      <c r="DE3" s="49">
        <f>IFERROR(IF(VLOOKUP(A3,tbMoveset!A2:J112,10,FALSE)=TRUE,IF((Backdoors!AI12+IF(DC3&gt;=0.45,VLOOKUP(Calculator!E23,tbSkills!DH3:DI6,2,FALSE)+IF(AND(Calculator!B8=TRUE,Backdoors!BI18=TRUE),VLOOKUP(Calculator!E23,tbSkills!DH3:DJ6,3,FALSE),0),0))&gt;=0,1+(Backdoors!AL2*(IF((Backdoors!AI12+IF(DC3&gt;=0.45,VLOOKUP(Calculator!E23,tbSkills!DH3:DI6,2,FALSE)+IF(AND(Calculator!B8=TRUE,Backdoors!BI18=TRUE),VLOOKUP(Calculator!E23,tbSkills!DH3:DJ6,3,FALSE),0),0))&gt;=100,100,(Backdoors!AI12+IF(DC3&gt;=0.45,VLOOKUP(Calculator!E23,tbSkills!DH3:DI6,2,FALSE)+IF(AND(Calculator!B8=TRUE,Backdoors!BI18=TRUE),VLOOKUP(Calculator!E23,tbSkills!DH3:DJ6,3,FALSE),0),0)))/100)),(1-(0.25*((-Backdoors!AI12-IF(DC3&gt;=0.45,VLOOKUP(Calculator!E23,tbSkills!DH3:DI6,2,FALSE)+IF(AND(Calculator!B8=TRUE,Backdoors!BI18=TRUE),VLOOKUP(Calculator!E23,tbSkills!DH3:DJ6,3,FALSE),0),0))/100)))),1),"")</f>
        <v>1</v>
      </c>
      <c r="DF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C3)*DE3)*(VLOOKUP(A3,tbMoveset!A2:C112,3,FALSE)/100)*IF(VLOOKUP(A3,tbMoveset!A2:B112,2,FALSE)="Projectile",Backdoors!N10,Backdoors!N9),0),"")</f>
        <v/>
      </c>
      <c r="DG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C3&gt;=0.45,VLOOKUP(Calculator!E23,tbSkills!DH3:DI6,2,FALSE)+IF(AND(Calculator!B8=TRUE,Backdoors!BI18=TRUE),VLOOKUP(Calculator!E23,tbSkills!DH3:DJ6,3,FALSE),0),0))&gt;=100,100,(Backdoors!AI12+IF(DC3&gt;=0.45,VLOOKUP(Calculator!E23,tbSkills!DH3:DI6,2,FALSE)+IF(AND(Calculator!B8=TRUE,Backdoors!BI18=TRUE),VLOOKUP(Calculator!E23,tbSkills!DH3:DJ6,3,FALSE),0),0)))/100)),1))*IF(VLOOKUP(A3,tbMoveset!A2:K112,11,FALSE)=TRUE,Backdoors!AC5,1))*DD3,0),"")</f>
        <v>0</v>
      </c>
      <c r="DH3" s="49">
        <f>VLOOKUP(A3,tbMoveset!A2:G112,7,FALSE)*IFERROR(IF(Backdoors!AI12&gt;=0,1+(IF(Calculator!E40&gt;0,VLOOKUP(Calculator!E40,tbSkills!AI3:AJ5,2,FALSE),Backdoors!AL4)*(IF((Backdoors!AI12+IF(DC3&gt;=0.45,VLOOKUP(Calculator!E23,tbSkills!DH3:DI6,2,FALSE)+IF(AND(Calculator!B8=TRUE,Backdoors!BI18=TRUE),VLOOKUP(Calculator!E23,tbSkills!DH3:DJ6,3,FALSE),0),0))&gt;=100,100,(Backdoors!AI12+IF(DC3&gt;=0.45,VLOOKUP(Calculator!E23,tbSkills!DH3:DI6,2,FALSE)+IF(AND(Calculator!B8=TRUE,Backdoors!BI18=TRUE),VLOOKUP(Calculator!E23,tbSkills!DH3:DJ6,3,FALSE),0),0)))/100)),1),1)</f>
        <v>0.4</v>
      </c>
      <c r="DI3" s="87">
        <f>SUM(DF3:DG3)</f>
        <v>0</v>
      </c>
      <c r="DJ3" s="86" t="str">
        <f>IFERROR(IF(VLOOKUP(A3,tbMoveset!A2:B112,2,FALSE)="Sever",Backdoors!AY19/100,IF(VLOOKUP(A3,tbMoveset!A2:B112,2,FALSE)="Blunt",Backdoors!AZ19/100,Backdoors!BA19/100)),"")</f>
        <v/>
      </c>
      <c r="DK3" s="49">
        <f>IFERROR(IF(VLOOKUP(tbMoveset!A3,tbMoveset!A2:H112,8,FALSE)="Other",IF(VLOOKUP(tbMoveset!A3,tbMoveset!A2:I112,9,FALSE)="Fire",Backdoors!BB19,IF(VLOOKUP(tbMoveset!A3,tbMoveset!A2:I112,9,FALSE)="Water",Backdoors!BC19,IF(VLOOKUP(tbMoveset!A3,tbMoveset!A2:I112,9,FALSE)="Thunder",Backdoors!BD19,IF(VLOOKUP(tbMoveset!A3,tbMoveset!A2:I112,9,FALSE)="Ice",Backdoors!BE19,IF(VLOOKUP(tbMoveset!A3,tbMoveset!A2:I112,9,FALSE)="Dragon",Backdoors!BF19,Backdoors!BG19)))))/100,Backdoors!BG19/100),"")</f>
        <v>0</v>
      </c>
      <c r="DL3" s="49">
        <f>IFERROR(IF(VLOOKUP(A3,tbMoveset!A2:J112,10,FALSE)=TRUE,IF((Backdoors!AI12+IF(DJ3&gt;=0.45,VLOOKUP(Calculator!E23,tbSkills!DH3:DI6,2,FALSE)+IF(AND(Calculator!B8=TRUE,Backdoors!BI19=TRUE),VLOOKUP(Calculator!E23,tbSkills!DH3:DJ6,3,FALSE),0),0))&gt;=0,1+(Backdoors!AL2*(IF((Backdoors!AI12+IF(DJ3&gt;=0.45,VLOOKUP(Calculator!E23,tbSkills!DH3:DI6,2,FALSE)+IF(AND(Calculator!B8=TRUE,Backdoors!BI19=TRUE),VLOOKUP(Calculator!E23,tbSkills!DH3:DJ6,3,FALSE),0),0))&gt;=100,100,(Backdoors!AI12+IF(DJ3&gt;=0.45,VLOOKUP(Calculator!E23,tbSkills!DH3:DI6,2,FALSE)+IF(AND(Calculator!B8=TRUE,Backdoors!BI19=TRUE),VLOOKUP(Calculator!E23,tbSkills!DH3:DJ6,3,FALSE),0),0)))/100)),(1-(0.25*((-Backdoors!AI12-IF(DJ3&gt;=0.45,VLOOKUP(Calculator!E23,tbSkills!DH3:DI6,2,FALSE)+IF(AND(Calculator!B8=TRUE,Backdoors!BI19=TRUE),VLOOKUP(Calculator!E23,tbSkills!DH3:DJ6,3,FALSE),0),0))/100)))),1),"")</f>
        <v>1</v>
      </c>
      <c r="DM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J3)*DL3)*(VLOOKUP(A3,tbMoveset!A2:C112,3,FALSE)/100)*IF(VLOOKUP(A3,tbMoveset!A2:B112,2,FALSE)="Projectile",Backdoors!N10,Backdoors!N9),0),"")</f>
        <v/>
      </c>
      <c r="DN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J3&gt;=0.45,VLOOKUP(Calculator!E23,tbSkills!DH3:DI6,2,FALSE)+IF(AND(Calculator!B8=TRUE,Backdoors!BI19=TRUE),VLOOKUP(Calculator!E23,tbSkills!DH3:DJ6,3,FALSE),0),0))&gt;=100,100,(Backdoors!AI12+IF(DJ3&gt;=0.45,VLOOKUP(Calculator!E23,tbSkills!DH3:DI6,2,FALSE)+IF(AND(Calculator!B8=TRUE,Backdoors!BI19=TRUE),VLOOKUP(Calculator!E23,tbSkills!DH3:DJ6,3,FALSE),0),0)))/100)),1))*IF(VLOOKUP(A3,tbMoveset!A2:K112,11,FALSE)=TRUE,Backdoors!AC5,1))*DK3,0),"")</f>
        <v>0</v>
      </c>
      <c r="DO3" s="49">
        <f>VLOOKUP(A3,tbMoveset!A2:G112,7,FALSE)*IFERROR(IF(Backdoors!AI12&gt;=0,1+(IF(Calculator!E40&gt;0,VLOOKUP(Calculator!E40,tbSkills!AI3:AJ5,2,FALSE),Backdoors!AL4)*(IF((Backdoors!AI12+IF(DJ3&gt;=0.45,VLOOKUP(Calculator!E23,tbSkills!DH3:DI6,2,FALSE)+IF(AND(Calculator!B8=TRUE,Backdoors!BI19=TRUE),VLOOKUP(Calculator!E23,tbSkills!DH3:DJ6,3,FALSE),0),0))&gt;=100,100,(Backdoors!AI12+IF(DJ3&gt;=0.45,VLOOKUP(Calculator!E23,tbSkills!DH3:DI6,2,FALSE)+IF(AND(Calculator!B8=TRUE,Backdoors!BI19=TRUE),VLOOKUP(Calculator!E23,tbSkills!DH3:DJ6,3,FALSE),0),0)))/100)),1),1)</f>
        <v>0.4</v>
      </c>
      <c r="DP3" s="87">
        <f>SUM(DM3:DN3)</f>
        <v>0</v>
      </c>
      <c r="DQ3" s="86" t="str">
        <f>IFERROR(IF(VLOOKUP(A3,tbMoveset!A2:B112,2,FALSE)="Sever",Backdoors!AY20/100,IF(VLOOKUP(A3,tbMoveset!A2:B112,2,FALSE)="Blunt",Backdoors!AZ20/100,Backdoors!BA20/100)),"")</f>
        <v/>
      </c>
      <c r="DR3" s="49">
        <f>IFERROR(IF(VLOOKUP(tbMoveset!A3,tbMoveset!A2:H112,8,FALSE)="Other",IF(VLOOKUP(tbMoveset!A3,tbMoveset!A2:I112,9,FALSE)="Fire",Backdoors!BB20,IF(VLOOKUP(tbMoveset!A3,tbMoveset!A2:I112,9,FALSE)="Water",Backdoors!BC20,IF(VLOOKUP(tbMoveset!A3,tbMoveset!A2:I112,9,FALSE)="Thunder",Backdoors!BD20,IF(VLOOKUP(tbMoveset!A3,tbMoveset!A2:I112,9,FALSE)="Ice",Backdoors!BE20,IF(VLOOKUP(tbMoveset!A3,tbMoveset!A2:I112,9,FALSE)="Dragon",Backdoors!BF20,Backdoors!BG20)))))/100,Backdoors!BG20/100),"")</f>
        <v>0</v>
      </c>
      <c r="DS3" s="49">
        <f>IFERROR(IF(VLOOKUP(A3,tbMoveset!A2:J112,10,FALSE)=TRUE,IF((Backdoors!AI12+IF(DQ3&gt;=0.45,VLOOKUP(Calculator!E23,tbSkills!DH3:DI6,2,FALSE)+IF(AND(Calculator!B8=TRUE,Backdoors!BI20=TRUE),VLOOKUP(Calculator!E23,tbSkills!DH3:DJ6,3,FALSE),0),0))&gt;=0,1+(Backdoors!AL2*(IF((Backdoors!AI12+IF(DQ3&gt;=0.45,VLOOKUP(Calculator!E23,tbSkills!DH3:DI6,2,FALSE)+IF(AND(Calculator!B8=TRUE,Backdoors!BI20=TRUE),VLOOKUP(Calculator!E23,tbSkills!DH3:DJ6,3,FALSE),0),0))&gt;=100,100,(Backdoors!AI12+IF(DQ3&gt;=0.45,VLOOKUP(Calculator!E23,tbSkills!DH3:DI6,2,FALSE)+IF(AND(Calculator!B8=TRUE,Backdoors!BI20=TRUE),VLOOKUP(Calculator!E23,tbSkills!DH3:DJ6,3,FALSE),0),0)))/100)),(1-(0.25*((-Backdoors!AI12-IF(DQ3&gt;=0.45,VLOOKUP(Calculator!E23,tbSkills!DH3:DI6,2,FALSE)+IF(AND(Calculator!B8=TRUE,Backdoors!BI20=TRUE),VLOOKUP(Calculator!E23,tbSkills!DH3:DJ6,3,FALSE),0),0))/100)))),1),"")</f>
        <v>1</v>
      </c>
      <c r="DT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Q3)*DS3)*(VLOOKUP(A3,tbMoveset!A2:C112,3,FALSE)/100)*IF(VLOOKUP(A3,tbMoveset!A2:B112,2,FALSE)="Projectile",Backdoors!N10,Backdoors!N9),0),"")</f>
        <v/>
      </c>
      <c r="DU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Q3&gt;=0.45,VLOOKUP(Calculator!E23,tbSkills!DH3:DI6,2,FALSE)+IF(AND(Calculator!B8=TRUE,Backdoors!BI20=TRUE),VLOOKUP(Calculator!E23,tbSkills!DH3:DJ6,3,FALSE),0),0))&gt;=100,100,(Backdoors!AI12+IF(DQ3&gt;=0.45,VLOOKUP(Calculator!E23,tbSkills!DH3:DI6,2,FALSE)+IF(AND(Calculator!B8=TRUE,Backdoors!BI20=TRUE),VLOOKUP(Calculator!E23,tbSkills!DH3:DJ6,3,FALSE),0),0)))/100)),1))*IF(VLOOKUP(A3,tbMoveset!A2:K112,11,FALSE)=TRUE,Backdoors!AC5,1))*DR3,0),"")</f>
        <v>0</v>
      </c>
      <c r="DV3" s="49">
        <f>VLOOKUP(A3,tbMoveset!A2:G112,7,FALSE)*IFERROR(IF(Backdoors!AI12&gt;=0,1+(IF(Calculator!E40&gt;0,VLOOKUP(Calculator!E40,tbSkills!AI3:AJ5,2,FALSE),Backdoors!AL4)*(IF((Backdoors!AI12+IF(DQ3&gt;=0.45,VLOOKUP(Calculator!E23,tbSkills!DH3:DI6,2,FALSE)+IF(AND(Calculator!B8=TRUE,Backdoors!BI20=TRUE),VLOOKUP(Calculator!E23,tbSkills!DH3:DJ6,3,FALSE),0),0))&gt;=100,100,(Backdoors!AI12+IF(DQ3&gt;=0.45,VLOOKUP(Calculator!E23,tbSkills!DH3:DI6,2,FALSE)+IF(AND(Calculator!B8=TRUE,Backdoors!BI20=TRUE),VLOOKUP(Calculator!E23,tbSkills!DH3:DJ6,3,FALSE),0),0)))/100)),1),1)</f>
        <v>0.4</v>
      </c>
      <c r="DW3" s="87">
        <f>SUM(DT3:DU3)</f>
        <v>0</v>
      </c>
      <c r="DX3" s="86" t="str">
        <f>IFERROR(IF(VLOOKUP(A3,tbMoveset!A2:B112,2,FALSE)="Sever",Backdoors!AY21/100,IF(VLOOKUP(A3,tbMoveset!A2:B112,2,FALSE)="Blunt",Backdoors!AZ21/100,Backdoors!BA21/100)),"")</f>
        <v/>
      </c>
      <c r="DY3" s="49">
        <f>IFERROR(IF(VLOOKUP(tbMoveset!A3,tbMoveset!A2:H112,8,FALSE)="Other",IF(VLOOKUP(tbMoveset!A3,tbMoveset!A2:I112,9,FALSE)="Fire",Backdoors!BB21,IF(VLOOKUP(tbMoveset!A3,tbMoveset!A2:I112,9,FALSE)="Water",Backdoors!BC21,IF(VLOOKUP(tbMoveset!A3,tbMoveset!A2:I112,9,FALSE)="Thunder",Backdoors!BD21,IF(VLOOKUP(tbMoveset!A3,tbMoveset!A2:I112,9,FALSE)="Ice",Backdoors!BE21,IF(VLOOKUP(tbMoveset!A3,tbMoveset!A2:I112,9,FALSE)="Dragon",Backdoors!BF21,Backdoors!BG21)))))/100,Backdoors!BG21/100),"")</f>
        <v>0</v>
      </c>
      <c r="DZ3" s="49">
        <f>IFERROR(IF(VLOOKUP(A3,tbMoveset!A2:J112,10,FALSE)=TRUE,IF((Backdoors!AI12+IF(DX3&gt;=0.45,VLOOKUP(Calculator!E23,tbSkills!DH3:DI6,2,FALSE)+IF(AND(Calculator!B8=TRUE,Backdoors!BI21=TRUE),VLOOKUP(Calculator!E23,tbSkills!DH3:DJ6,3,FALSE),0),0))&gt;=0,1+(Backdoors!AL2*(IF((Backdoors!AI12+IF(DX3&gt;=0.45,VLOOKUP(Calculator!E23,tbSkills!DH3:DI6,2,FALSE)+IF(AND(Calculator!B8=TRUE,Backdoors!BI21=TRUE),VLOOKUP(Calculator!E23,tbSkills!DH3:DJ6,3,FALSE),0),0))&gt;=100,100,(Backdoors!AI12+IF(DX3&gt;=0.45,VLOOKUP(Calculator!E23,tbSkills!DH3:DI6,2,FALSE)+IF(AND(Calculator!B8=TRUE,Backdoors!BI21=TRUE),VLOOKUP(Calculator!E23,tbSkills!DH3:DJ6,3,FALSE),0),0)))/100)),(1-(0.25*((-Backdoors!AI12-IF(DX3&gt;=0.45,VLOOKUP(Calculator!E23,tbSkills!DH3:DI6,2,FALSE)+IF(AND(Calculator!B8=TRUE,Backdoors!BI21=TRUE),VLOOKUP(Calculator!E23,tbSkills!DH3:DJ6,3,FALSE),0),0))/100)))),1),"")</f>
        <v>1</v>
      </c>
      <c r="EA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X3)*DZ3)*(VLOOKUP(A3,tbMoveset!A2:C112,3,FALSE)/100)*IF(VLOOKUP(A3,tbMoveset!A2:B112,2,FALSE)="Projectile",Backdoors!N10,Backdoors!N9),0),"")</f>
        <v/>
      </c>
      <c r="EB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X3&gt;=0.45,VLOOKUP(Calculator!E23,tbSkills!DH3:DI6,2,FALSE)+IF(AND(Calculator!B8=TRUE,Backdoors!BI21=TRUE),VLOOKUP(Calculator!E23,tbSkills!DH3:DJ6,3,FALSE),0),0))&gt;=100,100,(Backdoors!AI12+IF(DX3&gt;=0.45,VLOOKUP(Calculator!E23,tbSkills!DH3:DI6,2,FALSE)+IF(AND(Calculator!B8=TRUE,Backdoors!BI21=TRUE),VLOOKUP(Calculator!E23,tbSkills!DH3:DJ6,3,FALSE),0),0)))/100)),1))*IF(VLOOKUP(A3,tbMoveset!A2:K112,11,FALSE)=TRUE,Backdoors!AC5,1))*DY3,0),"")</f>
        <v>0</v>
      </c>
      <c r="EC3" s="49">
        <f>VLOOKUP(A3,tbMoveset!A2:G112,7,FALSE)*IFERROR(IF(Backdoors!AI12&gt;=0,1+(IF(Calculator!E40&gt;0,VLOOKUP(Calculator!E40,tbSkills!AI3:AJ5,2,FALSE),Backdoors!AL4)*(IF((Backdoors!AI12+IF(DX3&gt;=0.45,VLOOKUP(Calculator!E23,tbSkills!DH3:DI6,2,FALSE)+IF(AND(Calculator!B8=TRUE,Backdoors!BI21=TRUE),VLOOKUP(Calculator!E23,tbSkills!DH3:DJ6,3,FALSE),0),0))&gt;=100,100,(Backdoors!AI12+IF(DX3&gt;=0.45,VLOOKUP(Calculator!E23,tbSkills!DH3:DI6,2,FALSE)+IF(AND(Calculator!B8=TRUE,Backdoors!BI21=TRUE),VLOOKUP(Calculator!E23,tbSkills!DH3:DJ6,3,FALSE),0),0)))/100)),1),1)</f>
        <v>0.4</v>
      </c>
      <c r="ED3" s="87">
        <f>SUM(EA3:EB3)</f>
        <v>0</v>
      </c>
      <c r="EE3" s="86" t="str">
        <f>IFERROR(IF(VLOOKUP(A3,tbMoveset!A2:B112,2,FALSE)="Sever",Backdoors!AY22/100,IF(VLOOKUP(A3,tbMoveset!A2:B112,2,FALSE)="Blunt",Backdoors!AZ22/100,Backdoors!BA22/100)),"")</f>
        <v/>
      </c>
      <c r="EF3" s="49">
        <f>IFERROR(IF(VLOOKUP(tbMoveset!A3,tbMoveset!A2:H112,8,FALSE)="Other",IF(VLOOKUP(tbMoveset!A3,tbMoveset!A2:I112,9,FALSE)="Fire",Backdoors!BB22,IF(VLOOKUP(tbMoveset!A3,tbMoveset!A2:I112,9,FALSE)="Water",Backdoors!BC22,IF(VLOOKUP(tbMoveset!A3,tbMoveset!A2:I112,9,FALSE)="Thunder",Backdoors!BD22,IF(VLOOKUP(tbMoveset!A3,tbMoveset!A2:I112,9,FALSE)="Ice",Backdoors!BE22,IF(VLOOKUP(tbMoveset!A3,tbMoveset!A2:I112,9,FALSE)="Dragon",Backdoors!BF22,Backdoors!BG22)))))/100,Backdoors!BG22/100),"")</f>
        <v>0</v>
      </c>
      <c r="EG3" s="49">
        <f>IFERROR(IF(VLOOKUP(A3,tbMoveset!A2:J112,10,FALSE)=TRUE,IF((Backdoors!AI12+IF(EE3&gt;=0.45,VLOOKUP(Calculator!E23,tbSkills!DH3:DI6,2,FALSE)+IF(AND(Calculator!B8=TRUE,Backdoors!BI22=TRUE),VLOOKUP(Calculator!E23,tbSkills!DH3:DJ6,3,FALSE),0),0))&gt;=0,1+(Backdoors!AL2*(IF((Backdoors!AI12+IF(EE3&gt;=0.45,VLOOKUP(Calculator!E23,tbSkills!DH3:DI6,2,FALSE)+IF(AND(Calculator!B8=TRUE,Backdoors!BI22=TRUE),VLOOKUP(Calculator!E23,tbSkills!DH3:DJ6,3,FALSE),0),0))&gt;=100,100,(Backdoors!AI12+IF(EE3&gt;=0.45,VLOOKUP(Calculator!E23,tbSkills!DH3:DI6,2,FALSE)+IF(AND(Calculator!B8=TRUE,Backdoors!BI22=TRUE),VLOOKUP(Calculator!E23,tbSkills!DH3:DJ6,3,FALSE),0),0)))/100)),(1-(0.25*((-Backdoors!AI12-IF(EE3&gt;=0.45,VLOOKUP(Calculator!E23,tbSkills!DH3:DI6,2,FALSE)+IF(AND(Calculator!B8=TRUE,Backdoors!BI22=TRUE),VLOOKUP(Calculator!E23,tbSkills!DH3:DJ6,3,FALSE),0),0))/100)))),1),"")</f>
        <v>1</v>
      </c>
      <c r="EH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E3)*EG3)*(VLOOKUP(A3,tbMoveset!A2:C112,3,FALSE)/100)*IF(VLOOKUP(A3,tbMoveset!A2:B112,2,FALSE)="Projectile",Backdoors!N10,Backdoors!N9),0),"")</f>
        <v/>
      </c>
      <c r="EI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E3&gt;=0.45,VLOOKUP(Calculator!E23,tbSkills!DH3:DI6,2,FALSE)+IF(AND(Calculator!B8=TRUE,Backdoors!BI22=TRUE),VLOOKUP(Calculator!E23,tbSkills!DH3:DJ6,3,FALSE),0),0))&gt;=100,100,(Backdoors!AI12+IF(EE3&gt;=0.45,VLOOKUP(Calculator!E23,tbSkills!DH3:DI6,2,FALSE)+IF(AND(Calculator!B8=TRUE,Backdoors!BI22=TRUE),VLOOKUP(Calculator!E23,tbSkills!DH3:DJ6,3,FALSE),0),0)))/100)),1))*IF(VLOOKUP(A3,tbMoveset!A2:K112,11,FALSE)=TRUE,Backdoors!AC5,1))*EF3,0),"")</f>
        <v>0</v>
      </c>
      <c r="EJ3" s="49">
        <f>VLOOKUP(A3,tbMoveset!A2:G112,7,FALSE)*IFERROR(IF(Backdoors!AI12&gt;=0,1+(IF(Calculator!E40&gt;0,VLOOKUP(Calculator!E40,tbSkills!AI3:AJ5,2,FALSE),Backdoors!AL4)*(IF((Backdoors!AI12+IF(EE3&gt;=0.45,VLOOKUP(Calculator!E23,tbSkills!DH3:DI6,2,FALSE)+IF(AND(Calculator!B8=TRUE,Backdoors!BI22=TRUE),VLOOKUP(Calculator!E23,tbSkills!DH3:DJ6,3,FALSE),0),0))&gt;=100,100,(Backdoors!AI12+IF(EE3&gt;=0.45,VLOOKUP(Calculator!E23,tbSkills!DH3:DI6,2,FALSE)+IF(AND(Calculator!B8=TRUE,Backdoors!BI22=TRUE),VLOOKUP(Calculator!E23,tbSkills!DH3:DJ6,3,FALSE),0),0)))/100)),1),1)</f>
        <v>0.4</v>
      </c>
      <c r="EK3" s="87">
        <f>SUM(EH3:EI3)</f>
        <v>0</v>
      </c>
      <c r="EL3" s="86" t="str">
        <f>IFERROR(IF(VLOOKUP(A3,tbMoveset!A2:B112,2,FALSE)="Sever",Backdoors!AY23/100,IF(VLOOKUP(A3,tbMoveset!A2:B112,2,FALSE)="Blunt",Backdoors!AZ23/100,Backdoors!BA23/100)),"")</f>
        <v/>
      </c>
      <c r="EM3" s="49">
        <f>IFERROR(IF(VLOOKUP(tbMoveset!A3,tbMoveset!A2:H112,8,FALSE)="Other",IF(VLOOKUP(tbMoveset!A3,tbMoveset!A2:I112,9,FALSE)="Fire",Backdoors!BB23,IF(VLOOKUP(tbMoveset!A3,tbMoveset!A2:I112,9,FALSE)="Water",Backdoors!BC23,IF(VLOOKUP(tbMoveset!A3,tbMoveset!A2:I112,9,FALSE)="Thunder",Backdoors!BD23,IF(VLOOKUP(tbMoveset!A3,tbMoveset!A2:I112,9,FALSE)="Ice",Backdoors!BE23,IF(VLOOKUP(tbMoveset!A3,tbMoveset!A2:I112,9,FALSE)="Dragon",Backdoors!BF23,Backdoors!BG23)))))/100,Backdoors!BG23/100),"")</f>
        <v>0</v>
      </c>
      <c r="EN3" s="49">
        <f>IFERROR(IF(VLOOKUP(A3,tbMoveset!A2:J112,10,FALSE)=TRUE,IF((Backdoors!AI12+IF(EL3&gt;=0.45,VLOOKUP(Calculator!E23,tbSkills!DH3:DI6,2,FALSE)+IF(AND(Calculator!B8=TRUE,Backdoors!BI23=TRUE),VLOOKUP(Calculator!E23,tbSkills!DH3:DJ6,3,FALSE),0),0))&gt;=0,1+(Backdoors!AL2*(IF((Backdoors!AI12+IF(EL3&gt;=0.45,VLOOKUP(Calculator!E23,tbSkills!DH3:DI6,2,FALSE)+IF(AND(Calculator!B8=TRUE,Backdoors!BI23=TRUE),VLOOKUP(Calculator!E23,tbSkills!DH3:DJ6,3,FALSE),0),0))&gt;=100,100,(Backdoors!AI12+IF(EL3&gt;=0.45,VLOOKUP(Calculator!E23,tbSkills!DH3:DI6,2,FALSE)+IF(AND(Calculator!B8=TRUE,Backdoors!BI23=TRUE),VLOOKUP(Calculator!E23,tbSkills!DH3:DJ6,3,FALSE),0),0)))/100)),(1-(0.25*((-Backdoors!AI12-IF(EL3&gt;=0.45,VLOOKUP(Calculator!E23,tbSkills!DH3:DI6,2,FALSE)+IF(AND(Calculator!B8=TRUE,Backdoors!BI23=TRUE),VLOOKUP(Calculator!E23,tbSkills!DH3:DJ6,3,FALSE),0),0))/100)))),1),"")</f>
        <v>1</v>
      </c>
      <c r="EO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L3)*EN3)*(VLOOKUP(A3,tbMoveset!A2:C112,3,FALSE)/100)*IF(VLOOKUP(A3,tbMoveset!A2:B112,2,FALSE)="Projectile",Backdoors!N10,Backdoors!N9),0),"")</f>
        <v/>
      </c>
      <c r="EP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L3&gt;=0.45,VLOOKUP(Calculator!E23,tbSkills!DH3:DI6,2,FALSE)+IF(AND(Calculator!B8=TRUE,Backdoors!BI23=TRUE),VLOOKUP(Calculator!E23,tbSkills!DH3:DJ6,3,FALSE),0),0))&gt;=100,100,(Backdoors!AI12+IF(EL3&gt;=0.45,VLOOKUP(Calculator!E23,tbSkills!DH3:DI6,2,FALSE)+IF(AND(Calculator!B8=TRUE,Backdoors!BI23=TRUE),VLOOKUP(Calculator!E23,tbSkills!DH3:DJ6,3,FALSE),0),0)))/100)),1))*IF(VLOOKUP(A3,tbMoveset!A2:K112,11,FALSE)=TRUE,Backdoors!AC5,1))*EM3,0),"")</f>
        <v>0</v>
      </c>
      <c r="EQ3" s="49">
        <f>VLOOKUP(A3,tbMoveset!A2:G112,7,FALSE)*IFERROR(IF(Backdoors!AI12&gt;=0,1+(IF(Calculator!E40&gt;0,VLOOKUP(Calculator!E40,tbSkills!AI3:AJ5,2,FALSE),Backdoors!AL4)*(IF((Backdoors!AI12+IF(EL3&gt;=0.45,VLOOKUP(Calculator!E23,tbSkills!DH3:DI6,2,FALSE)+IF(AND(Calculator!B8=TRUE,Backdoors!BI23=TRUE),VLOOKUP(Calculator!E23,tbSkills!DH3:DJ6,3,FALSE),0),0))&gt;=100,100,(Backdoors!AI12+IF(EL3&gt;=0.45,VLOOKUP(Calculator!E23,tbSkills!DH3:DI6,2,FALSE)+IF(AND(Calculator!B8=TRUE,Backdoors!BI23=TRUE),VLOOKUP(Calculator!E23,tbSkills!DH3:DJ6,3,FALSE),0),0)))/100)),1),1)</f>
        <v>0.4</v>
      </c>
      <c r="ER3" s="87">
        <f>SUM(EO3:EP3)</f>
        <v>0</v>
      </c>
      <c r="ES3" s="86" t="str">
        <f>IFERROR(IF(VLOOKUP(A3,tbMoveset!A2:B112,2,FALSE)="Sever",Backdoors!AY24/100,IF(VLOOKUP(A3,tbMoveset!A2:B112,2,FALSE)="Blunt",Backdoors!AZ24/100,Backdoors!BA24/100)),"")</f>
        <v/>
      </c>
      <c r="ET3" s="49">
        <f>IFERROR(IF(VLOOKUP(tbMoveset!A3,tbMoveset!A2:H112,8,FALSE)="Other",IF(VLOOKUP(tbMoveset!A3,tbMoveset!A2:I112,9,FALSE)="Fire",Backdoors!BB24,IF(VLOOKUP(tbMoveset!A3,tbMoveset!A2:I112,9,FALSE)="Water",Backdoors!BC24,IF(VLOOKUP(tbMoveset!A3,tbMoveset!A2:I112,9,FALSE)="Thunder",Backdoors!BD24,IF(VLOOKUP(tbMoveset!A3,tbMoveset!A2:I112,9,FALSE)="Ice",Backdoors!BE24,IF(VLOOKUP(tbMoveset!A3,tbMoveset!A2:I112,9,FALSE)="Dragon",Backdoors!BF24,Backdoors!BG24)))))/100,Backdoors!BG24/100),"")</f>
        <v>0</v>
      </c>
      <c r="EU3" s="49">
        <f>IFERROR(IF(VLOOKUP(A3,tbMoveset!A2:J112,10,FALSE)=TRUE,IF((Backdoors!AI12+IF(ES3&gt;=0.45,VLOOKUP(Calculator!E23,tbSkills!DH3:DI6,2,FALSE)+IF(AND(Calculator!B8=TRUE,Backdoors!BI24=TRUE),VLOOKUP(Calculator!E23,tbSkills!DH3:DJ6,3,FALSE),0),0))&gt;=0,1+(Backdoors!AL2*(IF((Backdoors!AI12+IF(ES3&gt;=0.45,VLOOKUP(Calculator!E23,tbSkills!DH3:DI6,2,FALSE)+IF(AND(Calculator!B8=TRUE,Backdoors!BI24=TRUE),VLOOKUP(Calculator!E23,tbSkills!DH3:DJ6,3,FALSE),0),0))&gt;=100,100,(Backdoors!AI12+IF(ES3&gt;=0.45,VLOOKUP(Calculator!E23,tbSkills!DH3:DI6,2,FALSE)+IF(AND(Calculator!B8=TRUE,Backdoors!BI24=TRUE),VLOOKUP(Calculator!E23,tbSkills!DH3:DJ6,3,FALSE),0),0)))/100)),(1-(0.25*((-Backdoors!AI12-IF(ES3&gt;=0.45,VLOOKUP(Calculator!E23,tbSkills!DH3:DI6,2,FALSE)+IF(AND(Calculator!B8=TRUE,Backdoors!BI24=TRUE),VLOOKUP(Calculator!E23,tbSkills!DH3:DJ6,3,FALSE),0),0))/100)))),1),"")</f>
        <v>1</v>
      </c>
      <c r="EV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S3)*EU3)*(VLOOKUP(A3,tbMoveset!A2:C112,3,FALSE)/100)*IF(VLOOKUP(A3,tbMoveset!A2:B112,2,FALSE)="Projectile",Backdoors!N10,Backdoors!N9),0),"")</f>
        <v/>
      </c>
      <c r="EW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S3&gt;=0.45,VLOOKUP(Calculator!E23,tbSkills!DH3:DI6,2,FALSE)+IF(AND(Calculator!B8=TRUE,Backdoors!BI24=TRUE),VLOOKUP(Calculator!E23,tbSkills!DH3:DJ6,3,FALSE),0),0))&gt;=100,100,(Backdoors!AI12+IF(ES3&gt;=0.45,VLOOKUP(Calculator!E23,tbSkills!DH3:DI6,2,FALSE)+IF(AND(Calculator!B8=TRUE,Backdoors!BI24=TRUE),VLOOKUP(Calculator!E23,tbSkills!DH3:DJ6,3,FALSE),0),0)))/100)),1))*IF(VLOOKUP(A3,tbMoveset!A2:K112,11,FALSE)=TRUE,Backdoors!AC5,1))*ET3,0),"")</f>
        <v>0</v>
      </c>
      <c r="EX3" s="49">
        <f>VLOOKUP(A3,tbMoveset!A2:G112,7,FALSE)*IFERROR(IF(Backdoors!AI12&gt;=0,1+(IF(Calculator!E40&gt;0,VLOOKUP(Calculator!E40,tbSkills!AI3:AJ5,2,FALSE),Backdoors!AL4)*(IF((Backdoors!AI12+IF(ES3&gt;=0.45,VLOOKUP(Calculator!E23,tbSkills!DH3:DI6,2,FALSE)+IF(AND(Calculator!B8=TRUE,Backdoors!BI24=TRUE),VLOOKUP(Calculator!E23,tbSkills!DH3:DJ6,3,FALSE),0),0))&gt;=100,100,(Backdoors!AI12+IF(ES3&gt;=0.45,VLOOKUP(Calculator!E23,tbSkills!DH3:DI6,2,FALSE)+IF(AND(Calculator!B8=TRUE,Backdoors!BI24=TRUE),VLOOKUP(Calculator!E23,tbSkills!DH3:DJ6,3,FALSE),0),0)))/100)),1),1)</f>
        <v>0.4</v>
      </c>
      <c r="EY3" s="87">
        <f>SUM(EV3:EW3)</f>
        <v>0</v>
      </c>
      <c r="EZ3" s="86" t="str">
        <f>IFERROR(IF(VLOOKUP(A3,tbMoveset!A2:B112,2,FALSE)="Sever",Backdoors!AY25/100,IF(VLOOKUP(A3,tbMoveset!A2:B112,2,FALSE)="Blunt",Backdoors!AZ25/100,Backdoors!BA25/100)),"")</f>
        <v/>
      </c>
      <c r="FA3" s="49">
        <f>IFERROR(IF(VLOOKUP(tbMoveset!A3,tbMoveset!A2:H112,8,FALSE)="Other",IF(VLOOKUP(tbMoveset!A3,tbMoveset!A2:I112,9,FALSE)="Fire",Backdoors!BB25,IF(VLOOKUP(tbMoveset!A3,tbMoveset!A2:I112,9,FALSE)="Water",Backdoors!BC25,IF(VLOOKUP(tbMoveset!A3,tbMoveset!A2:I112,9,FALSE)="Thunder",Backdoors!BD25,IF(VLOOKUP(tbMoveset!A3,tbMoveset!A2:I112,9,FALSE)="Ice",Backdoors!BE25,IF(VLOOKUP(tbMoveset!A3,tbMoveset!A2:I112,9,FALSE)="Dragon",Backdoors!BF25,Backdoors!BG25)))))/100,Backdoors!BG25/100),"")</f>
        <v>0</v>
      </c>
      <c r="FB3" s="49">
        <f>IFERROR(IF(VLOOKUP(A3,tbMoveset!A2:J112,10,FALSE)=TRUE,IF((Backdoors!AI12+IF(EZ3&gt;=0.45,VLOOKUP(Calculator!E23,tbSkills!DH3:DI6,2,FALSE)+IF(AND(Calculator!B8=TRUE,Backdoors!BI25=TRUE),VLOOKUP(Calculator!E23,tbSkills!DH3:DJ6,3,FALSE),0),0))&gt;=0,1+(Backdoors!AL2*(IF((Backdoors!AI12+IF(EZ3&gt;=0.45,VLOOKUP(Calculator!E23,tbSkills!DH3:DI6,2,FALSE)+IF(AND(Calculator!B8=TRUE,Backdoors!BI25=TRUE),VLOOKUP(Calculator!E23,tbSkills!DH3:DJ6,3,FALSE),0),0))&gt;=100,100,(Backdoors!AI12+IF(EZ3&gt;=0.45,VLOOKUP(Calculator!E23,tbSkills!DH3:DI6,2,FALSE)+IF(AND(Calculator!B8=TRUE,Backdoors!BI25=TRUE),VLOOKUP(Calculator!E23,tbSkills!DH3:DJ6,3,FALSE),0),0)))/100)),(1-(0.25*((-Backdoors!AI12-IF(EZ3&gt;=0.45,VLOOKUP(Calculator!E23,tbSkills!DH3:DI6,2,FALSE)+IF(AND(Calculator!B8=TRUE,Backdoors!BI25=TRUE),VLOOKUP(Calculator!E23,tbSkills!DH3:DJ6,3,FALSE),0),0))/100)))),1),"")</f>
        <v>1</v>
      </c>
      <c r="FC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Z3)*FB3)*(VLOOKUP(A3,tbMoveset!A2:C112,3,FALSE)/100)*IF(VLOOKUP(A3,tbMoveset!A2:B112,2,FALSE)="Projectile",Backdoors!N10,Backdoors!N9),0),"")</f>
        <v/>
      </c>
      <c r="FD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Z3&gt;=0.45,VLOOKUP(Calculator!E23,tbSkills!DH3:DI6,2,FALSE)+IF(AND(Calculator!B8=TRUE,Backdoors!BI25=TRUE),VLOOKUP(Calculator!E23,tbSkills!DH3:DJ6,3,FALSE),0),0))&gt;=100,100,(Backdoors!AI12+IF(EZ3&gt;=0.45,VLOOKUP(Calculator!E23,tbSkills!DH3:DI6,2,FALSE)+IF(AND(Calculator!B8=TRUE,Backdoors!BI25=TRUE),VLOOKUP(Calculator!E23,tbSkills!DH3:DJ6,3,FALSE),0),0)))/100)),1))*IF(VLOOKUP(A3,tbMoveset!A2:K112,11,FALSE)=TRUE,Backdoors!AC5,1))*FA3,0),"")</f>
        <v>0</v>
      </c>
      <c r="FE3" s="49">
        <f>VLOOKUP(A3,tbMoveset!A2:G112,7,FALSE)*IFERROR(IF(Backdoors!AI12&gt;=0,1+(IF(Calculator!E40&gt;0,VLOOKUP(Calculator!E40,tbSkills!AI3:AJ5,2,FALSE),Backdoors!AL4)*(IF((Backdoors!AI12+IF(EZ3&gt;=0.45,VLOOKUP(Calculator!E23,tbSkills!DH3:DI6,2,FALSE)+IF(AND(Calculator!B8=TRUE,Backdoors!BI25=TRUE),VLOOKUP(Calculator!E23,tbSkills!DH3:DJ6,3,FALSE),0),0))&gt;=100,100,(Backdoors!AI12+IF(EZ3&gt;=0.45,VLOOKUP(Calculator!E23,tbSkills!DH3:DI6,2,FALSE)+IF(AND(Calculator!B8=TRUE,Backdoors!BI25=TRUE),VLOOKUP(Calculator!E23,tbSkills!DH3:DJ6,3,FALSE),0),0)))/100)),1),1)</f>
        <v>0.4</v>
      </c>
      <c r="FF3" s="87">
        <f>SUM(FC3:FD3)</f>
        <v>0</v>
      </c>
      <c r="FG3" s="86" t="str">
        <f>IFERROR(IF(VLOOKUP(A3,tbMoveset!A2:B112,2,FALSE)="Sever",Backdoors!AY26/100,IF(VLOOKUP(A3,tbMoveset!A2:B112,2,FALSE)="Blunt",Backdoors!AZ26/100,Backdoors!BA26/100)),"")</f>
        <v/>
      </c>
      <c r="FH3" s="49">
        <f>IFERROR(IF(VLOOKUP(tbMoveset!A3,tbMoveset!A2:H112,8,FALSE)="Other",IF(VLOOKUP(tbMoveset!A3,tbMoveset!A2:I112,9,FALSE)="Fire",Backdoors!BB26,IF(VLOOKUP(tbMoveset!A3,tbMoveset!A2:I112,9,FALSE)="Water",Backdoors!BC26,IF(VLOOKUP(tbMoveset!A3,tbMoveset!A2:I112,9,FALSE)="Thunder",Backdoors!BD26,IF(VLOOKUP(tbMoveset!A3,tbMoveset!A2:I112,9,FALSE)="Ice",Backdoors!BE26,IF(VLOOKUP(tbMoveset!A3,tbMoveset!A2:I112,9,FALSE)="Dragon",Backdoors!BF26,Backdoors!BG26)))))/100,Backdoors!BG26/100),"")</f>
        <v>0</v>
      </c>
      <c r="FI3" s="49">
        <f>IFERROR(IF(VLOOKUP(A3,tbMoveset!A2:J112,10,FALSE)=TRUE,IF((Backdoors!AI12+IF(FG3&gt;=0.45,VLOOKUP(Calculator!E23,tbSkills!DH3:DI6,2,FALSE)+IF(AND(Calculator!B8=TRUE,Backdoors!BI26=TRUE),VLOOKUP(Calculator!E23,tbSkills!DH3:DJ6,3,FALSE),0),0))&gt;=0,1+(Backdoors!AL2*(IF((Backdoors!AI12+IF(FG3&gt;=0.45,VLOOKUP(Calculator!E23,tbSkills!DH3:DI6,2,FALSE)+IF(AND(Calculator!B8=TRUE,Backdoors!BI26=TRUE),VLOOKUP(Calculator!E23,tbSkills!DH3:DJ6,3,FALSE),0),0))&gt;=100,100,(Backdoors!AI12+IF(FG3&gt;=0.45,VLOOKUP(Calculator!E23,tbSkills!DH3:DI6,2,FALSE)+IF(AND(Calculator!B8=TRUE,Backdoors!BI26=TRUE),VLOOKUP(Calculator!E23,tbSkills!DH3:DJ6,3,FALSE),0),0)))/100)),(1-(0.25*((-Backdoors!AI12-IF(FG3&gt;=0.45,VLOOKUP(Calculator!E23,tbSkills!DH3:DI6,2,FALSE)+IF(AND(Calculator!B8=TRUE,Backdoors!BI26=TRUE),VLOOKUP(Calculator!E23,tbSkills!DH3:DJ6,3,FALSE),0),0))/100)))),1),"")</f>
        <v>1</v>
      </c>
      <c r="FJ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FG3)*FI3)*(VLOOKUP(A3,tbMoveset!A2:C112,3,FALSE)/100)*IF(VLOOKUP(A3,tbMoveset!A2:B112,2,FALSE)="Projectile",Backdoors!N10,Backdoors!N9),0),"")</f>
        <v/>
      </c>
      <c r="FK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FG3&gt;=0.45,VLOOKUP(Calculator!E23,tbSkills!DH3:DI6,2,FALSE)+IF(AND(Calculator!B8=TRUE,Backdoors!BI26=TRUE),VLOOKUP(Calculator!E23,tbSkills!DH3:DJ6,3,FALSE),0),0))&gt;=100,100,(Backdoors!AI12+IF(FG3&gt;=0.45,VLOOKUP(Calculator!E23,tbSkills!DH3:DI6,2,FALSE)+IF(AND(Calculator!B8=TRUE,Backdoors!BI26=TRUE),VLOOKUP(Calculator!E23,tbSkills!DH3:DJ6,3,FALSE),0),0)))/100)),1))*IF(VLOOKUP(A3,tbMoveset!A2:K112,11,FALSE)=TRUE,Backdoors!AC5,1))*FH3,0),"")</f>
        <v>0</v>
      </c>
      <c r="FL3" s="49">
        <f>VLOOKUP(A3,tbMoveset!A2:G112,7,FALSE)*IFERROR(IF(Backdoors!AI12&gt;=0,1+(IF(Calculator!E40&gt;0,VLOOKUP(Calculator!E40,tbSkills!AI3:AJ5,2,FALSE),Backdoors!AL4)*(IF((Backdoors!AI12+IF(FG3&gt;=0.45,VLOOKUP(Calculator!E23,tbSkills!DH3:DI6,2,FALSE)+IF(AND(Calculator!B8=TRUE,Backdoors!BI26=TRUE),VLOOKUP(Calculator!E23,tbSkills!DH3:DJ6,3,FALSE),0),0))&gt;=100,100,(Backdoors!AI12+IF(FG3&gt;=0.45,VLOOKUP(Calculator!E23,tbSkills!DH3:DI6,2,FALSE)+IF(AND(Calculator!B8=TRUE,Backdoors!BI26=TRUE),VLOOKUP(Calculator!E23,tbSkills!DH3:DJ6,3,FALSE),0),0)))/100)),1),1)</f>
        <v>0.4</v>
      </c>
      <c r="FM3" s="87">
        <f>SUM(FJ3:FK3)</f>
        <v>0</v>
      </c>
      <c r="FN3" s="86" t="str">
        <f>IFERROR(IF(VLOOKUP(A3,tbMoveset!A2:B112,2,FALSE)="Sever",Backdoors!AY27/100,IF(VLOOKUP(A3,tbMoveset!A2:B112,2,FALSE)="Blunt",Backdoors!AZ27/100,Backdoors!BA27/100)),"")</f>
        <v/>
      </c>
      <c r="FO3" s="49">
        <f>IFERROR(IF(VLOOKUP(tbMoveset!A3,tbMoveset!A2:H112,8,FALSE)="Other",IF(VLOOKUP(tbMoveset!A3,tbMoveset!A2:I112,9,FALSE)="Fire",Backdoors!BB27,IF(VLOOKUP(tbMoveset!A3,tbMoveset!A2:I112,9,FALSE)="Water",Backdoors!BC27,IF(VLOOKUP(tbMoveset!A3,tbMoveset!A2:I112,9,FALSE)="Thunder",Backdoors!BD27,IF(VLOOKUP(tbMoveset!A3,tbMoveset!A2:I112,9,FALSE)="Ice",Backdoors!BE27,IF(VLOOKUP(tbMoveset!A3,tbMoveset!A2:I112,9,FALSE)="Dragon",Backdoors!BF27,Backdoors!BG27)))))/100,Backdoors!BG27/100),"")</f>
        <v>0</v>
      </c>
      <c r="FP3" s="49">
        <f>IFERROR(IF(VLOOKUP(A3,tbMoveset!A2:J112,10,FALSE)=TRUE,IF((Backdoors!AI12+IF(FN3&gt;=0.45,VLOOKUP(Calculator!E23,tbSkills!DH3:DI6,2,FALSE)+IF(AND(Calculator!B8=TRUE,Backdoors!BI27=TRUE),VLOOKUP(Calculator!E23,tbSkills!DH3:DJ6,3,FALSE),0),0))&gt;=0,1+(Backdoors!AL2*(IF((Backdoors!AI12+IF(FN3&gt;=0.45,VLOOKUP(Calculator!E23,tbSkills!DH3:DI6,2,FALSE)+IF(AND(Calculator!B8=TRUE,Backdoors!BI27=TRUE),VLOOKUP(Calculator!E23,tbSkills!DH3:DJ6,3,FALSE),0),0))&gt;=100,100,(Backdoors!AI12+IF(FN3&gt;=0.45,VLOOKUP(Calculator!E23,tbSkills!DH3:DI6,2,FALSE)+IF(AND(Calculator!B8=TRUE,Backdoors!BI27=TRUE),VLOOKUP(Calculator!E23,tbSkills!DH3:DJ6,3,FALSE),0),0)))/100)),(1-(0.25*((-Backdoors!AI12-IF(FN3&gt;=0.45,VLOOKUP(Calculator!E23,tbSkills!DH3:DI6,2,FALSE)+IF(AND(Calculator!B8=TRUE,Backdoors!BI27=TRUE),VLOOKUP(Calculator!E23,tbSkills!DH3:DJ6,3,FALSE),0),0))/100)))),1),"")</f>
        <v>1</v>
      </c>
      <c r="FQ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FN3)*FP3)*(VLOOKUP(A3,tbMoveset!A2:C112,3,FALSE)/100)*IF(VLOOKUP(A3,tbMoveset!A2:B112,2,FALSE)="Projectile",Backdoors!N10,Backdoors!N9),0),"")</f>
        <v/>
      </c>
      <c r="FR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FN3&gt;=0.45,VLOOKUP(Calculator!E23,tbSkills!DH3:DI6,2,FALSE)+IF(AND(Calculator!B8=TRUE,Backdoors!BI27=TRUE),VLOOKUP(Calculator!E23,tbSkills!DH3:DJ6,3,FALSE),0),0))&gt;=100,100,(Backdoors!AI12+IF(FN3&gt;=0.45,VLOOKUP(Calculator!E23,tbSkills!DH3:DI6,2,FALSE)+IF(AND(Calculator!B8=TRUE,Backdoors!BI27=TRUE),VLOOKUP(Calculator!E23,tbSkills!DH3:DJ6,3,FALSE),0),0)))/100)),1))*IF(VLOOKUP(A3,tbMoveset!A2:K112,11,FALSE)=TRUE,Backdoors!AC5,1))*FO3,0),"")</f>
        <v>0</v>
      </c>
      <c r="FS3" s="49">
        <f>VLOOKUP(A3,tbMoveset!A2:G112,7,FALSE)*IFERROR(IF(Backdoors!AI12&gt;=0,1+(IF(Calculator!E40&gt;0,VLOOKUP(Calculator!E40,tbSkills!AI3:AJ5,2,FALSE),Backdoors!AL4)*(IF((Backdoors!AI12+IF(FN3&gt;=0.45,VLOOKUP(Calculator!E23,tbSkills!DH3:DI6,2,FALSE)+IF(AND(Calculator!B8=TRUE,Backdoors!BI27=TRUE),VLOOKUP(Calculator!E23,tbSkills!DH3:DJ6,3,FALSE),0),0))&gt;=100,100,(Backdoors!AI12+IF(FN3&gt;=0.45,VLOOKUP(Calculator!E23,tbSkills!DH3:DI6,2,FALSE)+IF(AND(Calculator!B8=TRUE,Backdoors!BI27=TRUE),VLOOKUP(Calculator!E23,tbSkills!DH3:DJ6,3,FALSE),0),0)))/100)),1),1)</f>
        <v>0.4</v>
      </c>
      <c r="FT3" s="87">
        <f>SUM(FQ3:FR3)</f>
        <v>0</v>
      </c>
      <c r="FU3" s="86" t="str">
        <f>IFERROR(IF(VLOOKUP(A3,tbMoveset!A2:B112,2,FALSE)="Sever",Backdoors!AY28/100,IF(VLOOKUP(A3,tbMoveset!A2:B112,2,FALSE)="Blunt",Backdoors!AZ28/100,Backdoors!BA28/100)),"")</f>
        <v/>
      </c>
      <c r="FV3" s="49">
        <f>IFERROR(IF(VLOOKUP(tbMoveset!A3,tbMoveset!A2:H112,8,FALSE)="Other",IF(VLOOKUP(tbMoveset!A3,tbMoveset!A2:I112,9,FALSE)="Fire",Backdoors!BB28,IF(VLOOKUP(tbMoveset!A3,tbMoveset!A2:I112,9,FALSE)="Water",Backdoors!BC28,IF(VLOOKUP(tbMoveset!A3,tbMoveset!A2:I112,9,FALSE)="Thunder",Backdoors!BD28,IF(VLOOKUP(tbMoveset!A3,tbMoveset!A2:I112,9,FALSE)="Ice",Backdoors!BE28,IF(VLOOKUP(tbMoveset!A3,tbMoveset!A2:I112,9,FALSE)="Dragon",Backdoors!BF28,Backdoors!BG28)))))/100,Backdoors!BG28/100),"")</f>
        <v>0</v>
      </c>
      <c r="FW3" s="49">
        <f>IFERROR(IF(VLOOKUP(A3,tbMoveset!A2:J112,10,FALSE)=TRUE,IF((Backdoors!AI12+IF(FU3&gt;=0.45,VLOOKUP(Calculator!E23,tbSkills!DH3:DI6,2,FALSE)+IF(AND(Calculator!B8=TRUE,Backdoors!BI28=TRUE),VLOOKUP(Calculator!E23,tbSkills!DH3:DJ6,3,FALSE),0),0))&gt;=0,1+(Backdoors!AL2*(IF((Backdoors!AI12+IF(FU3&gt;=0.45,VLOOKUP(Calculator!E23,tbSkills!DH3:DI6,2,FALSE)+IF(AND(Calculator!B8=TRUE,Backdoors!BI28=TRUE),VLOOKUP(Calculator!E23,tbSkills!DH3:DJ6,3,FALSE),0),0))&gt;=100,100,(Backdoors!AI12+IF(FU3&gt;=0.45,VLOOKUP(Calculator!E23,tbSkills!DH3:DI6,2,FALSE)+IF(AND(Calculator!B8=TRUE,Backdoors!BI28=TRUE),VLOOKUP(Calculator!E23,tbSkills!DH3:DJ6,3,FALSE),0),0)))/100)),(1-(0.25*((-Backdoors!AI12-IF(FU3&gt;=0.45,VLOOKUP(Calculator!E23,tbSkills!DH3:DI6,2,FALSE)+IF(AND(Calculator!B8=TRUE,Backdoors!BI28=TRUE),VLOOKUP(Calculator!E23,tbSkills!DH3:DJ6,3,FALSE),0),0))/100)))),1),"")</f>
        <v>1</v>
      </c>
      <c r="FX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FU3)*FW3)*(VLOOKUP(A3,tbMoveset!A2:C112,3,FALSE)/100)*IF(VLOOKUP(A3,tbMoveset!A2:B112,2,FALSE)="Projectile",Backdoors!N10,Backdoors!N9),0),"")</f>
        <v/>
      </c>
      <c r="FY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FU3&gt;=0.45,VLOOKUP(Calculator!E23,tbSkills!DH3:DI6,2,FALSE)+IF(AND(Calculator!B8=TRUE,Backdoors!BI28=TRUE),VLOOKUP(Calculator!E23,tbSkills!DH3:DJ6,3,FALSE),0),0))&gt;=100,100,(Backdoors!AI12+IF(FU3&gt;=0.45,VLOOKUP(Calculator!E23,tbSkills!DH3:DI6,2,FALSE)+IF(AND(Calculator!B8=TRUE,Backdoors!BI28=TRUE),VLOOKUP(Calculator!E23,tbSkills!DH3:DJ6,3,FALSE),0),0)))/100)),1))*IF(VLOOKUP(A3,tbMoveset!A2:K112,11,FALSE)=TRUE,Backdoors!AC5,1))*FV3,0),"")</f>
        <v>0</v>
      </c>
      <c r="FZ3" s="49">
        <f>VLOOKUP(A3,tbMoveset!A2:G112,7,FALSE)*IFERROR(IF(Backdoors!AI12&gt;=0,1+(IF(Calculator!E40&gt;0,VLOOKUP(Calculator!E40,tbSkills!AI3:AJ5,2,FALSE),Backdoors!AL4)*(IF((Backdoors!AI12+IF(FU3&gt;=0.45,VLOOKUP(Calculator!E23,tbSkills!DH3:DI6,2,FALSE)+IF(AND(Calculator!B8=TRUE,Backdoors!BI28=TRUE),VLOOKUP(Calculator!E23,tbSkills!DH3:DJ6,3,FALSE),0),0))&gt;=100,100,(Backdoors!AI12+IF(FU3&gt;=0.45,VLOOKUP(Calculator!E23,tbSkills!DH3:DI6,2,FALSE)+IF(AND(Calculator!B8=TRUE,Backdoors!BI28=TRUE),VLOOKUP(Calculator!E23,tbSkills!DH3:DJ6,3,FALSE),0),0)))/100)),1),1)</f>
        <v>0.4</v>
      </c>
      <c r="GA3" s="87">
        <f>SUM(FX3:FY3)</f>
        <v>0</v>
      </c>
      <c r="GB3" s="86" t="str">
        <f>IFERROR(IF(VLOOKUP(A3,tbMoveset!A2:B112,2,FALSE)="Sever",Backdoors!AY29/100,IF(VLOOKUP(A3,tbMoveset!A2:B112,2,FALSE)="Blunt",Backdoors!AZ29/100,Backdoors!BA29/100)),"")</f>
        <v/>
      </c>
      <c r="GC3" s="49">
        <f>IFERROR(IF(VLOOKUP(tbMoveset!A3,tbMoveset!A2:H112,8,FALSE)="Other",IF(VLOOKUP(tbMoveset!A3,tbMoveset!A2:I112,9,FALSE)="Fire",Backdoors!BB29,IF(VLOOKUP(tbMoveset!A3,tbMoveset!A2:I112,9,FALSE)="Water",Backdoors!BC29,IF(VLOOKUP(tbMoveset!A3,tbMoveset!A2:I112,9,FALSE)="Thunder",Backdoors!BD29,IF(VLOOKUP(tbMoveset!A3,tbMoveset!A2:I112,9,FALSE)="Ice",Backdoors!BE29,IF(VLOOKUP(tbMoveset!A3,tbMoveset!A2:I112,9,FALSE)="Dragon",Backdoors!BF29,Backdoors!BG29)))))/100,Backdoors!BG29/100),"")</f>
        <v>0</v>
      </c>
      <c r="GD3" s="49">
        <f>IFERROR(IF(VLOOKUP(A3,tbMoveset!A2:J112,10,FALSE)=TRUE,IF((Backdoors!AI12+IF(GB3&gt;=0.45,VLOOKUP(Calculator!E23,tbSkills!DH3:DI6,2,FALSE)+IF(AND(Calculator!B8=TRUE,Backdoors!BI29=TRUE),VLOOKUP(Calculator!E23,tbSkills!DH3:DJ6,3,FALSE),0),0))&gt;=0,1+(Backdoors!AL2*(IF((Backdoors!AI12+IF(GB3&gt;=0.45,VLOOKUP(Calculator!E23,tbSkills!DH3:DI6,2,FALSE)+IF(AND(Calculator!B8=TRUE,Backdoors!BI29=TRUE),VLOOKUP(Calculator!E23,tbSkills!DH3:DJ6,3,FALSE),0),0))&gt;=100,100,(Backdoors!AI12+IF(GB3&gt;=0.45,VLOOKUP(Calculator!E23,tbSkills!DH3:DI6,2,FALSE)+IF(AND(Calculator!B8=TRUE,Backdoors!BI29=TRUE),VLOOKUP(Calculator!E23,tbSkills!DH3:DJ6,3,FALSE),0),0)))/100)),(1-(0.25*((-Backdoors!AI12-IF(GB3&gt;=0.45,VLOOKUP(Calculator!E23,tbSkills!DH3:DI6,2,FALSE)+IF(AND(Calculator!B8=TRUE,Backdoors!BI29=TRUE),VLOOKUP(Calculator!E23,tbSkills!DH3:DJ6,3,FALSE),0),0))/100)))),1),"")</f>
        <v>1</v>
      </c>
      <c r="GE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B3)*GD3)*(VLOOKUP(A3,tbMoveset!A2:C112,3,FALSE)/100)*IF(VLOOKUP(A3,tbMoveset!A2:B112,2,FALSE)="Projectile",Backdoors!N10,Backdoors!N9),0),"")</f>
        <v/>
      </c>
      <c r="GF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B3&gt;=0.45,VLOOKUP(Calculator!E23,tbSkills!DH3:DI6,2,FALSE)+IF(AND(Calculator!B8=TRUE,Backdoors!BI29=TRUE),VLOOKUP(Calculator!E23,tbSkills!DH3:DJ6,3,FALSE),0),0))&gt;=100,100,(Backdoors!AI12+IF(GB3&gt;=0.45,VLOOKUP(Calculator!E23,tbSkills!DH3:DI6,2,FALSE)+IF(AND(Calculator!B8=TRUE,Backdoors!BI29=TRUE),VLOOKUP(Calculator!E23,tbSkills!DH3:DJ6,3,FALSE),0),0)))/100)),1))*IF(VLOOKUP(A3,tbMoveset!A2:K112,11,FALSE)=TRUE,Backdoors!AC5,1))*GC3,0),"")</f>
        <v>0</v>
      </c>
      <c r="GG3" s="49">
        <f>VLOOKUP(A3,tbMoveset!A2:G112,7,FALSE)*IFERROR(IF(Backdoors!AI12&gt;=0,1+(IF(Calculator!E40&gt;0,VLOOKUP(Calculator!E40,tbSkills!AI3:AJ5,2,FALSE),Backdoors!AL4)*(IF((Backdoors!AI12+IF(GB3&gt;=0.45,VLOOKUP(Calculator!E23,tbSkills!DH3:DI6,2,FALSE)+IF(AND(Calculator!B8=TRUE,Backdoors!BI29=TRUE),VLOOKUP(Calculator!E23,tbSkills!DH3:DJ6,3,FALSE),0),0))&gt;=100,100,(Backdoors!AI12+IF(GB3&gt;=0.45,VLOOKUP(Calculator!E23,tbSkills!DH3:DI6,2,FALSE)+IF(AND(Calculator!B8=TRUE,Backdoors!BI29=TRUE),VLOOKUP(Calculator!E23,tbSkills!DH3:DJ6,3,FALSE),0),0)))/100)),1),1)</f>
        <v>0.4</v>
      </c>
      <c r="GH3" s="87">
        <f>SUM(GE3:GF3)</f>
        <v>0</v>
      </c>
      <c r="GI3" s="86" t="str">
        <f>IFERROR(IF(VLOOKUP(A3,tbMoveset!A2:B112,2,FALSE)="Sever",Backdoors!AY30/100,IF(VLOOKUP(A3,tbMoveset!A2:B112,2,FALSE)="Blunt",Backdoors!AZ30/100,Backdoors!BA30/100)),"")</f>
        <v/>
      </c>
      <c r="GJ3" s="49">
        <f>IFERROR(IF(VLOOKUP(tbMoveset!A3,tbMoveset!A2:H112,8,FALSE)="Other",IF(VLOOKUP(tbMoveset!A3,tbMoveset!A2:I112,9,FALSE)="Fire",Backdoors!BB30,IF(VLOOKUP(tbMoveset!A3,tbMoveset!A2:I112,9,FALSE)="Water",Backdoors!BC30,IF(VLOOKUP(tbMoveset!A3,tbMoveset!A2:I112,9,FALSE)="Thunder",Backdoors!BD30,IF(VLOOKUP(tbMoveset!A3,tbMoveset!A2:I112,9,FALSE)="Ice",Backdoors!BE30,IF(VLOOKUP(tbMoveset!A3,tbMoveset!A2:I112,9,FALSE)="Dragon",Backdoors!BF30,Backdoors!BG30)))))/100,Backdoors!BG30/100),"")</f>
        <v>0</v>
      </c>
      <c r="GK3" s="49">
        <f>IFERROR(IF(VLOOKUP(A3,tbMoveset!A2:J112,10,FALSE)=TRUE,IF((Backdoors!AI12+IF(GI3&gt;=0.45,VLOOKUP(Calculator!E23,tbSkills!DH3:DI6,2,FALSE)+IF(AND(Calculator!B8=TRUE,Backdoors!BI30=TRUE),VLOOKUP(Calculator!E23,tbSkills!DH3:DJ6,3,FALSE),0),0))&gt;=0,1+(Backdoors!AL2*(IF((Backdoors!AI12+IF(GI3&gt;=0.45,VLOOKUP(Calculator!E23,tbSkills!DH3:DI6,2,FALSE)+IF(AND(Calculator!B8=TRUE,Backdoors!BI30=TRUE),VLOOKUP(Calculator!E23,tbSkills!DH3:DJ6,3,FALSE),0),0))&gt;=100,100,(Backdoors!AI12+IF(GI3&gt;=0.45,VLOOKUP(Calculator!E23,tbSkills!DH3:DI6,2,FALSE)+IF(AND(Calculator!B8=TRUE,Backdoors!BI30=TRUE),VLOOKUP(Calculator!E23,tbSkills!DH3:DJ6,3,FALSE),0),0)))/100)),(1-(0.25*((-Backdoors!AI12-IF(GI3&gt;=0.45,VLOOKUP(Calculator!E23,tbSkills!DH3:DI6,2,FALSE)+IF(AND(Calculator!B8=TRUE,Backdoors!BI30=TRUE),VLOOKUP(Calculator!E23,tbSkills!DH3:DJ6,3,FALSE),0),0))/100)))),1),"")</f>
        <v>1</v>
      </c>
      <c r="GL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I3)*GK3)*(VLOOKUP(A3,tbMoveset!A2:C112,3,FALSE)/100)*IF(VLOOKUP(A3,tbMoveset!A2:B112,2,FALSE)="Projectile",Backdoors!N10,Backdoors!N9),0),"")</f>
        <v/>
      </c>
      <c r="GM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I3&gt;=0.45,VLOOKUP(Calculator!E23,tbSkills!DH3:DI6,2,FALSE)+IF(AND(Calculator!B8=TRUE,Backdoors!BI30=TRUE),VLOOKUP(Calculator!E23,tbSkills!DH3:DJ6,3,FALSE),0),0))&gt;=100,100,(Backdoors!AI12+IF(GI3&gt;=0.45,VLOOKUP(Calculator!E23,tbSkills!DH3:DI6,2,FALSE)+IF(AND(Calculator!B8=TRUE,Backdoors!BI30=TRUE),VLOOKUP(Calculator!E23,tbSkills!DH3:DJ6,3,FALSE),0),0)))/100)),1))*IF(VLOOKUP(A3,tbMoveset!A2:K112,11,FALSE)=TRUE,Backdoors!AC5,1))*GJ3,0),"")</f>
        <v>0</v>
      </c>
      <c r="GN3" s="49">
        <f>VLOOKUP(A3,tbMoveset!A2:G112,7,FALSE)*IFERROR(IF(Backdoors!AI12&gt;=0,1+(IF(Calculator!E40&gt;0,VLOOKUP(Calculator!E40,tbSkills!AI3:AJ5,2,FALSE),Backdoors!AL4)*(IF((Backdoors!AI12+IF(GI3&gt;=0.45,VLOOKUP(Calculator!E23,tbSkills!DH3:DI6,2,FALSE)+IF(AND(Calculator!B8=TRUE,Backdoors!BI30=TRUE),VLOOKUP(Calculator!E23,tbSkills!DH3:DJ6,3,FALSE),0),0))&gt;=100,100,(Backdoors!AI12+IF(GI3&gt;=0.45,VLOOKUP(Calculator!E23,tbSkills!DH3:DI6,2,FALSE)+IF(AND(Calculator!B8=TRUE,Backdoors!BI30=TRUE),VLOOKUP(Calculator!E23,tbSkills!DH3:DJ6,3,FALSE),0),0)))/100)),1),1)</f>
        <v>0.4</v>
      </c>
      <c r="GO3" s="87">
        <f>SUM(GL3:GM3)</f>
        <v>0</v>
      </c>
      <c r="GP3" s="86" t="str">
        <f>IFERROR(IF(VLOOKUP(A3,tbMoveset!A2:B112,2,FALSE)="Sever",Backdoors!AY31/100,IF(VLOOKUP(A3,tbMoveset!A2:B112,2,FALSE)="Blunt",Backdoors!AZ31/100,Backdoors!BA31/100)),"")</f>
        <v/>
      </c>
      <c r="GQ3" s="49">
        <f>IFERROR(IF(VLOOKUP(tbMoveset!A3,tbMoveset!A2:H112,8,FALSE)="Other",IF(VLOOKUP(tbMoveset!A3,tbMoveset!A2:I112,9,FALSE)="Fire",Backdoors!BB31,IF(VLOOKUP(tbMoveset!A3,tbMoveset!A2:I112,9,FALSE)="Water",Backdoors!BC31,IF(VLOOKUP(tbMoveset!A3,tbMoveset!A2:I112,9,FALSE)="Thunder",Backdoors!BD31,IF(VLOOKUP(tbMoveset!A3,tbMoveset!A2:I112,9,FALSE)="Ice",Backdoors!BE31,IF(VLOOKUP(tbMoveset!A3,tbMoveset!A2:I112,9,FALSE)="Dragon",Backdoors!BF31,Backdoors!BG31)))))/100,Backdoors!BG31/100),"")</f>
        <v>0</v>
      </c>
      <c r="GR3" s="49">
        <f>IFERROR(IF(VLOOKUP(A3,tbMoveset!A2:J112,10,FALSE)=TRUE,IF((Backdoors!AI12+IF(GP3&gt;=0.45,VLOOKUP(Calculator!E23,tbSkills!DH3:DI6,2,FALSE)+IF(AND(Calculator!B8=TRUE,Backdoors!BI31=TRUE),VLOOKUP(Calculator!E23,tbSkills!DH3:DJ6,3,FALSE),0),0))&gt;=0,1+(Backdoors!AL2*(IF((Backdoors!AI12+IF(GP3&gt;=0.45,VLOOKUP(Calculator!E23,tbSkills!DH3:DI6,2,FALSE)+IF(AND(Calculator!B8=TRUE,Backdoors!BI31=TRUE),VLOOKUP(Calculator!E23,tbSkills!DH3:DJ6,3,FALSE),0),0))&gt;=100,100,(Backdoors!AI12+IF(GP3&gt;=0.45,VLOOKUP(Calculator!E23,tbSkills!DH3:DI6,2,FALSE)+IF(AND(Calculator!B8=TRUE,Backdoors!BI31=TRUE),VLOOKUP(Calculator!E23,tbSkills!DH3:DJ6,3,FALSE),0),0)))/100)),(1-(0.25*((-Backdoors!AI12-IF(GP3&gt;=0.45,VLOOKUP(Calculator!E23,tbSkills!DH3:DI6,2,FALSE)+IF(AND(Calculator!B8=TRUE,Backdoors!BI31=TRUE),VLOOKUP(Calculator!E23,tbSkills!DH3:DJ6,3,FALSE),0),0))/100)))),1),"")</f>
        <v>1</v>
      </c>
      <c r="GS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P3)*GR3)*(VLOOKUP(A3,tbMoveset!A2:C112,3,FALSE)/100)*IF(VLOOKUP(A3,tbMoveset!A2:B112,2,FALSE)="Projectile",Backdoors!N10,Backdoors!N9),0),"")</f>
        <v/>
      </c>
      <c r="GT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P3&gt;=0.45,VLOOKUP(Calculator!E23,tbSkills!DH3:DI6,2,FALSE)+IF(AND(Calculator!B8=TRUE,Backdoors!BI31=TRUE),VLOOKUP(Calculator!E23,tbSkills!DH3:DJ6,3,FALSE),0),0))&gt;=100,100,(Backdoors!AI12+IF(GP3&gt;=0.45,VLOOKUP(Calculator!E23,tbSkills!DH3:DI6,2,FALSE)+IF(AND(Calculator!B8=TRUE,Backdoors!BI31=TRUE),VLOOKUP(Calculator!E23,tbSkills!DH3:DJ6,3,FALSE),0),0)))/100)),1))*IF(VLOOKUP(A3,tbMoveset!A2:K112,11,FALSE)=TRUE,Backdoors!AC5,1))*GQ3,0),"")</f>
        <v>0</v>
      </c>
      <c r="GU3" s="49">
        <f>VLOOKUP(A3,tbMoveset!A2:G112,7,FALSE)*IFERROR(IF(Backdoors!AI12&gt;=0,1+(IF(Calculator!E40&gt;0,VLOOKUP(Calculator!E40,tbSkills!AI3:AJ5,2,FALSE),Backdoors!AL4)*(IF((Backdoors!AI12+IF(GP3&gt;=0.45,VLOOKUP(Calculator!E23,tbSkills!DH3:DI6,2,FALSE)+IF(AND(Calculator!B8=TRUE,Backdoors!BI31=TRUE),VLOOKUP(Calculator!E23,tbSkills!DH3:DJ6,3,FALSE),0),0))&gt;=100,100,(Backdoors!AI12+IF(GP3&gt;=0.45,VLOOKUP(Calculator!E23,tbSkills!DH3:DI6,2,FALSE)+IF(AND(Calculator!B8=TRUE,Backdoors!BI31=TRUE),VLOOKUP(Calculator!E23,tbSkills!DH3:DJ6,3,FALSE),0),0)))/100)),1),1)</f>
        <v>0.4</v>
      </c>
      <c r="GV3" s="87">
        <f>SUM(GS3:GT3)</f>
        <v>0</v>
      </c>
      <c r="GW3" s="86" t="str">
        <f>IFERROR(IF(VLOOKUP(A3,tbMoveset!A2:B112,2,FALSE)="Sever",Backdoors!AY32/100,IF(VLOOKUP(A3,tbMoveset!A2:B112,2,FALSE)="Blunt",Backdoors!AZ32/100,Backdoors!BA32/100)),"")</f>
        <v/>
      </c>
      <c r="GX3" s="49">
        <f>IFERROR(IF(VLOOKUP(tbMoveset!A3,tbMoveset!A2:H112,8,FALSE)="Other",IF(VLOOKUP(tbMoveset!A3,tbMoveset!A2:I112,9,FALSE)="Fire",Backdoors!BB32,IF(VLOOKUP(tbMoveset!A3,tbMoveset!A2:I112,9,FALSE)="Water",Backdoors!BC32,IF(VLOOKUP(tbMoveset!A3,tbMoveset!A2:I112,9,FALSE)="Thunder",Backdoors!BD32,IF(VLOOKUP(tbMoveset!A3,tbMoveset!A2:I112,9,FALSE)="Ice",Backdoors!BE32,IF(VLOOKUP(tbMoveset!A3,tbMoveset!A2:I112,9,FALSE)="Dragon",Backdoors!BF32,Backdoors!BG32)))))/100,Backdoors!BG32/100),"")</f>
        <v>0</v>
      </c>
      <c r="GY3" s="49">
        <f>IFERROR(IF(VLOOKUP(A3,tbMoveset!A2:J112,10,FALSE)=TRUE,IF((Backdoors!AI12+IF(GW3&gt;=0.45,VLOOKUP(Calculator!E23,tbSkills!DH3:DI6,2,FALSE)+IF(AND(Calculator!B8=TRUE,Backdoors!BI32=TRUE),VLOOKUP(Calculator!E23,tbSkills!DH3:DJ6,3,FALSE),0),0))&gt;=0,1+(Backdoors!AL2*(IF((Backdoors!AI12+IF(GW3&gt;=0.45,VLOOKUP(Calculator!E23,tbSkills!DH3:DI6,2,FALSE)+IF(AND(Calculator!B8=TRUE,Backdoors!BI32=TRUE),VLOOKUP(Calculator!E23,tbSkills!DH3:DJ6,3,FALSE),0),0))&gt;=100,100,(Backdoors!AI12+IF(GW3&gt;=0.45,VLOOKUP(Calculator!E23,tbSkills!DH3:DI6,2,FALSE)+IF(AND(Calculator!B8=TRUE,Backdoors!BI32=TRUE),VLOOKUP(Calculator!E23,tbSkills!DH3:DJ6,3,FALSE),0),0)))/100)),(1-(0.25*((-Backdoors!AI12-IF(GW3&gt;=0.45,VLOOKUP(Calculator!E23,tbSkills!DH3:DI6,2,FALSE)+IF(AND(Calculator!B8=TRUE,Backdoors!BI32=TRUE),VLOOKUP(Calculator!E23,tbSkills!DH3:DJ6,3,FALSE),0),0))/100)))),1),"")</f>
        <v>1</v>
      </c>
      <c r="GZ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W3)*GY3)*(VLOOKUP(A3,tbMoveset!A2:C112,3,FALSE)/100)*IF(VLOOKUP(A3,tbMoveset!A2:B112,2,FALSE)="Projectile",Backdoors!N10,Backdoors!N9),0),"")</f>
        <v/>
      </c>
      <c r="HA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W3&gt;=0.45,VLOOKUP(Calculator!E23,tbSkills!DH3:DI6,2,FALSE)+IF(AND(Calculator!B8=TRUE,Backdoors!BI32=TRUE),VLOOKUP(Calculator!E23,tbSkills!DH3:DJ6,3,FALSE),0),0))&gt;=100,100,(Backdoors!AI12+IF(GW3&gt;=0.45,VLOOKUP(Calculator!E23,tbSkills!DH3:DI6,2,FALSE)+IF(AND(Calculator!B8=TRUE,Backdoors!BI32=TRUE),VLOOKUP(Calculator!E23,tbSkills!DH3:DJ6,3,FALSE),0),0)))/100)),1))*IF(VLOOKUP(A3,tbMoveset!A2:K112,11,FALSE)=TRUE,Backdoors!AC5,1))*GX3,0),"")</f>
        <v>0</v>
      </c>
      <c r="HB3" s="49">
        <f>VLOOKUP(A3,tbMoveset!A2:G112,7,FALSE)*IFERROR(IF(Backdoors!AI12&gt;=0,1+(IF(Calculator!E40&gt;0,VLOOKUP(Calculator!E40,tbSkills!AI3:AJ5,2,FALSE),Backdoors!AL4)*(IF((Backdoors!AI12+IF(GW3&gt;=0.45,VLOOKUP(Calculator!E23,tbSkills!DH3:DI6,2,FALSE)+IF(AND(Calculator!B8=TRUE,Backdoors!BI32=TRUE),VLOOKUP(Calculator!E23,tbSkills!DH3:DJ6,3,FALSE),0),0))&gt;=100,100,(Backdoors!AI12+IF(GW3&gt;=0.45,VLOOKUP(Calculator!E23,tbSkills!DH3:DI6,2,FALSE)+IF(AND(Calculator!B8=TRUE,Backdoors!BI32=TRUE),VLOOKUP(Calculator!E23,tbSkills!DH3:DJ6,3,FALSE),0),0)))/100)),1),1)</f>
        <v>0.4</v>
      </c>
      <c r="HC3" s="87">
        <f>SUM(GZ3:HA3)</f>
        <v>0</v>
      </c>
      <c r="HD3" s="86" t="str">
        <f>IFERROR(IF(VLOOKUP(A3,tbMoveset!A2:B112,2,FALSE)="Sever",Backdoors!AY33/100,IF(VLOOKUP(A3,tbMoveset!A2:B112,2,FALSE)="Blunt",Backdoors!AZ33/100,Backdoors!BA33/100)),"")</f>
        <v/>
      </c>
      <c r="HE3" s="49">
        <f>IFERROR(IF(VLOOKUP(tbMoveset!A3,tbMoveset!A2:H112,8,FALSE)="Other",IF(VLOOKUP(tbMoveset!A3,tbMoveset!A2:I112,9,FALSE)="Fire",Backdoors!BB33,IF(VLOOKUP(tbMoveset!A3,tbMoveset!A2:I112,9,FALSE)="Water",Backdoors!BC33,IF(VLOOKUP(tbMoveset!A3,tbMoveset!A2:I112,9,FALSE)="Thunder",Backdoors!BD33,IF(VLOOKUP(tbMoveset!A3,tbMoveset!A2:I112,9,FALSE)="Ice",Backdoors!BE33,IF(VLOOKUP(tbMoveset!A3,tbMoveset!A2:I112,9,FALSE)="Dragon",Backdoors!BF33,Backdoors!BG33)))))/100,Backdoors!BG33/100),"")</f>
        <v>0</v>
      </c>
      <c r="HF3" s="49">
        <f>IFERROR(IF(VLOOKUP(A3,tbMoveset!A2:J112,10,FALSE)=TRUE,IF((Backdoors!AI12+IF(HD3&gt;=0.45,VLOOKUP(Calculator!E23,tbSkills!DH3:DI6,2,FALSE)+IF(AND(Calculator!B8=TRUE,Backdoors!BI33=TRUE),VLOOKUP(Calculator!E23,tbSkills!DH3:DJ6,3,FALSE),0),0))&gt;=0,1+(Backdoors!AL2*(IF((Backdoors!AI12+IF(HD3&gt;=0.45,VLOOKUP(Calculator!E23,tbSkills!DH3:DI6,2,FALSE)+IF(AND(Calculator!B8=TRUE,Backdoors!BI33=TRUE),VLOOKUP(Calculator!E23,tbSkills!DH3:DJ6,3,FALSE),0),0))&gt;=100,100,(Backdoors!AI12+IF(HD3&gt;=0.45,VLOOKUP(Calculator!E23,tbSkills!DH3:DI6,2,FALSE)+IF(AND(Calculator!B8=TRUE,Backdoors!BI33=TRUE),VLOOKUP(Calculator!E23,tbSkills!DH3:DJ6,3,FALSE),0),0)))/100)),(1-(0.25*((-Backdoors!AI12-IF(HD3&gt;=0.45,VLOOKUP(Calculator!E23,tbSkills!DH3:DI6,2,FALSE)+IF(AND(Calculator!B8=TRUE,Backdoors!BI33=TRUE),VLOOKUP(Calculator!E23,tbSkills!DH3:DJ6,3,FALSE),0),0))/100)))),1),"")</f>
        <v>1</v>
      </c>
      <c r="HG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D3)*HF3)*(VLOOKUP(A3,tbMoveset!A2:C112,3,FALSE)/100)*IF(VLOOKUP(A3,tbMoveset!A2:B112,2,FALSE)="Projectile",Backdoors!N10,Backdoors!N9),0),"")</f>
        <v/>
      </c>
      <c r="HH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D3&gt;=0.45,VLOOKUP(Calculator!E23,tbSkills!DH3:DI6,2,FALSE)+IF(AND(Calculator!B8=TRUE,Backdoors!BI33=TRUE),VLOOKUP(Calculator!E23,tbSkills!DH3:DJ6,3,FALSE),0),0))&gt;=100,100,(Backdoors!AI12+IF(HD3&gt;=0.45,VLOOKUP(Calculator!E23,tbSkills!DH3:DI6,2,FALSE)+IF(AND(Calculator!B8=TRUE,Backdoors!BI33=TRUE),VLOOKUP(Calculator!E23,tbSkills!DH3:DJ6,3,FALSE),0),0)))/100)),1))*IF(VLOOKUP(A3,tbMoveset!A2:K112,11,FALSE)=TRUE,Backdoors!AC5,1))*HE3,0),"")</f>
        <v>0</v>
      </c>
      <c r="HI3" s="49">
        <f>VLOOKUP(A3,tbMoveset!A2:G112,7,FALSE)*IFERROR(IF(Backdoors!AI12&gt;=0,1+(IF(Calculator!E40&gt;0,VLOOKUP(Calculator!E40,tbSkills!AI3:AJ5,2,FALSE),Backdoors!AL4)*(IF((Backdoors!AI12+IF(HD3&gt;=0.45,VLOOKUP(Calculator!E23,tbSkills!DH3:DI6,2,FALSE)+IF(AND(Calculator!B8=TRUE,Backdoors!BI33=TRUE),VLOOKUP(Calculator!E23,tbSkills!DH3:DJ6,3,FALSE),0),0))&gt;=100,100,(Backdoors!AI12+IF(HD3&gt;=0.45,VLOOKUP(Calculator!E23,tbSkills!DH3:DI6,2,FALSE)+IF(AND(Calculator!B8=TRUE,Backdoors!BI33=TRUE),VLOOKUP(Calculator!E23,tbSkills!DH3:DJ6,3,FALSE),0),0)))/100)),1),1)</f>
        <v>0.4</v>
      </c>
      <c r="HJ3" s="87">
        <f>SUM(HG3:HH3)</f>
        <v>0</v>
      </c>
      <c r="HK3" s="86" t="str">
        <f>IFERROR(IF(VLOOKUP(A3,tbMoveset!A2:B112,2,FALSE)="Sever",Backdoors!AY34/100,IF(VLOOKUP(A3,tbMoveset!A2:B112,2,FALSE)="Blunt",Backdoors!AZ34/100,Backdoors!BA34/100)),"")</f>
        <v/>
      </c>
      <c r="HL3" s="49">
        <f>IFERROR(IF(VLOOKUP(tbMoveset!A3,tbMoveset!A2:H112,8,FALSE)="Other",IF(VLOOKUP(tbMoveset!A3,tbMoveset!A2:I112,9,FALSE)="Fire",Backdoors!BB34,IF(VLOOKUP(tbMoveset!A3,tbMoveset!A2:I112,9,FALSE)="Water",Backdoors!BC34,IF(VLOOKUP(tbMoveset!A3,tbMoveset!A2:I112,9,FALSE)="Thunder",Backdoors!BD34,IF(VLOOKUP(tbMoveset!A3,tbMoveset!A2:I112,9,FALSE)="Ice",Backdoors!BE34,IF(VLOOKUP(tbMoveset!A3,tbMoveset!A2:I112,9,FALSE)="Dragon",Backdoors!BF34,Backdoors!BG34)))))/100,Backdoors!BG34/100),"")</f>
        <v>0</v>
      </c>
      <c r="HM3" s="49">
        <f>IFERROR(IF(VLOOKUP(A3,tbMoveset!A2:J112,10,FALSE)=TRUE,IF((Backdoors!AI12+IF(HK3&gt;=0.45,VLOOKUP(Calculator!E23,tbSkills!DH3:DI6,2,FALSE)+IF(AND(Calculator!B8=TRUE,Backdoors!BI34=TRUE),VLOOKUP(Calculator!E23,tbSkills!DH3:DJ6,3,FALSE),0),0))&gt;=0,1+(Backdoors!AL2*(IF((Backdoors!AI12+IF(HK3&gt;=0.45,VLOOKUP(Calculator!E23,tbSkills!DH3:DI6,2,FALSE)+IF(AND(Calculator!B8=TRUE,Backdoors!BI34=TRUE),VLOOKUP(Calculator!E23,tbSkills!DH3:DJ6,3,FALSE),0),0))&gt;=100,100,(Backdoors!AI12+IF(HK3&gt;=0.45,VLOOKUP(Calculator!E23,tbSkills!DH3:DI6,2,FALSE)+IF(AND(Calculator!B8=TRUE,Backdoors!BI34=TRUE),VLOOKUP(Calculator!E23,tbSkills!DH3:DJ6,3,FALSE),0),0)))/100)),(1-(0.25*((-Backdoors!AI12-IF(HK3&gt;=0.45,VLOOKUP(Calculator!E23,tbSkills!DH3:DI6,2,FALSE)+IF(AND(Calculator!B8=TRUE,Backdoors!BI34=TRUE),VLOOKUP(Calculator!E23,tbSkills!DH3:DJ6,3,FALSE),0),0))/100)))),1),"")</f>
        <v>1</v>
      </c>
      <c r="HN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K3)*HM3)*(VLOOKUP(A3,tbMoveset!A2:C112,3,FALSE)/100)*IF(VLOOKUP(A3,tbMoveset!A2:B112,2,FALSE)="Projectile",Backdoors!N10,Backdoors!N9),0),"")</f>
        <v/>
      </c>
      <c r="HO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K3&gt;=0.45,VLOOKUP(Calculator!E23,tbSkills!DH3:DI6,2,FALSE)+IF(AND(Calculator!B8=TRUE,Backdoors!BI34=TRUE),VLOOKUP(Calculator!E23,tbSkills!DH3:DJ6,3,FALSE),0),0))&gt;=100,100,(Backdoors!AI12+IF(HK3&gt;=0.45,VLOOKUP(Calculator!E23,tbSkills!DH3:DI6,2,FALSE)+IF(AND(Calculator!B8=TRUE,Backdoors!BI34=TRUE),VLOOKUP(Calculator!E23,tbSkills!DH3:DJ6,3,FALSE),0),0)))/100)),1))*IF(VLOOKUP(A3,tbMoveset!A2:K112,11,FALSE)=TRUE,Backdoors!AC5,1))*HL3,0),"")</f>
        <v>0</v>
      </c>
      <c r="HP3" s="49">
        <f>VLOOKUP(A3,tbMoveset!A2:G112,7,FALSE)*IFERROR(IF(Backdoors!AI12&gt;=0,1+(IF(Calculator!E40&gt;0,VLOOKUP(Calculator!E40,tbSkills!AI3:AJ5,2,FALSE),Backdoors!AL4)*(IF((Backdoors!AI12+IF(HK3&gt;=0.45,VLOOKUP(Calculator!E23,tbSkills!DH3:DI6,2,FALSE)+IF(AND(Calculator!B8=TRUE,Backdoors!BI34=TRUE),VLOOKUP(Calculator!E23,tbSkills!DH3:DJ6,3,FALSE),0),0))&gt;=100,100,(Backdoors!AI12+IF(HK3&gt;=0.45,VLOOKUP(Calculator!E23,tbSkills!DH3:DI6,2,FALSE)+IF(AND(Calculator!B8=TRUE,Backdoors!BI34=TRUE),VLOOKUP(Calculator!E23,tbSkills!DH3:DJ6,3,FALSE),0),0)))/100)),1),1)</f>
        <v>0.4</v>
      </c>
      <c r="HQ3" s="87">
        <f>SUM(HN3:HO3)</f>
        <v>0</v>
      </c>
      <c r="HR3" s="86" t="str">
        <f>IFERROR(IF(VLOOKUP(A3,tbMoveset!A2:B112,2,FALSE)="Sever",Backdoors!AY35/100,IF(VLOOKUP(A3,tbMoveset!A2:B112,2,FALSE)="Blunt",Backdoors!AZ35/100,Backdoors!BA35/100)),"")</f>
        <v/>
      </c>
      <c r="HS3" s="49">
        <f>IFERROR(IF(VLOOKUP(tbMoveset!A3,tbMoveset!A2:H112,8,FALSE)="Other",IF(VLOOKUP(tbMoveset!A3,tbMoveset!A2:I112,9,FALSE)="Fire",Backdoors!BB35,IF(VLOOKUP(tbMoveset!A3,tbMoveset!A2:I112,9,FALSE)="Water",Backdoors!BC35,IF(VLOOKUP(tbMoveset!A3,tbMoveset!A2:I112,9,FALSE)="Thunder",Backdoors!BD35,IF(VLOOKUP(tbMoveset!A3,tbMoveset!A2:I112,9,FALSE)="Ice",Backdoors!BE35,IF(VLOOKUP(tbMoveset!A3,tbMoveset!A2:I112,9,FALSE)="Dragon",Backdoors!BF35,Backdoors!BG35)))))/100,Backdoors!BG35/100),"")</f>
        <v>0</v>
      </c>
      <c r="HT3" s="49">
        <f>IFERROR(IF(VLOOKUP(A3,tbMoveset!A2:J112,10,FALSE)=TRUE,IF((Backdoors!AI12+IF(HR3&gt;=0.45,VLOOKUP(Calculator!E23,tbSkills!DH3:DI6,2,FALSE)+IF(AND(Calculator!B8=TRUE,Backdoors!BI35=TRUE),VLOOKUP(Calculator!E23,tbSkills!DH3:DJ6,3,FALSE),0),0))&gt;=0,1+(Backdoors!AL2*(IF((Backdoors!AI12+IF(HR3&gt;=0.45,VLOOKUP(Calculator!E23,tbSkills!DH3:DI6,2,FALSE)+IF(AND(Calculator!B8=TRUE,Backdoors!BI35=TRUE),VLOOKUP(Calculator!E23,tbSkills!DH3:DJ6,3,FALSE),0),0))&gt;=100,100,(Backdoors!AI12+IF(HR3&gt;=0.45,VLOOKUP(Calculator!E23,tbSkills!DH3:DI6,2,FALSE)+IF(AND(Calculator!B8=TRUE,Backdoors!BI35=TRUE),VLOOKUP(Calculator!E23,tbSkills!DH3:DJ6,3,FALSE),0),0)))/100)),(1-(0.25*((-Backdoors!AI12-IF(HR3&gt;=0.45,VLOOKUP(Calculator!E23,tbSkills!DH3:DI6,2,FALSE)+IF(AND(Calculator!B8=TRUE,Backdoors!BI35=TRUE),VLOOKUP(Calculator!E23,tbSkills!DH3:DJ6,3,FALSE),0),0))/100)))),1),"")</f>
        <v>1</v>
      </c>
      <c r="HU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R3)*HT3)*(VLOOKUP(A3,tbMoveset!A2:C112,3,FALSE)/100)*IF(VLOOKUP(A3,tbMoveset!A2:B112,2,FALSE)="Projectile",Backdoors!N10,Backdoors!N9),0),"")</f>
        <v/>
      </c>
      <c r="HV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R3&gt;=0.45,VLOOKUP(Calculator!E23,tbSkills!DH3:DI6,2,FALSE)+IF(AND(Calculator!B8=TRUE,Backdoors!BI35=TRUE),VLOOKUP(Calculator!E23,tbSkills!DH3:DJ6,3,FALSE),0),0))&gt;=100,100,(Backdoors!AI12+IF(HR3&gt;=0.45,VLOOKUP(Calculator!E23,tbSkills!DH3:DI6,2,FALSE)+IF(AND(Calculator!B8=TRUE,Backdoors!BI35=TRUE),VLOOKUP(Calculator!E23,tbSkills!DH3:DJ6,3,FALSE),0),0)))/100)),1))*IF(VLOOKUP(A3,tbMoveset!A2:K112,11,FALSE)=TRUE,Backdoors!AC5,1))*HS3,0),"")</f>
        <v>0</v>
      </c>
      <c r="HW3" s="49">
        <f>VLOOKUP(A3,tbMoveset!A2:G112,7,FALSE)*IFERROR(IF(Backdoors!AI12&gt;=0,1+(IF(Calculator!E40&gt;0,VLOOKUP(Calculator!E40,tbSkills!AI3:AJ5,2,FALSE),Backdoors!AL4)*(IF((Backdoors!AI12+IF(HR3&gt;=0.45,VLOOKUP(Calculator!E23,tbSkills!DH3:DI6,2,FALSE)+IF(AND(Calculator!B8=TRUE,Backdoors!BI35=TRUE),VLOOKUP(Calculator!E23,tbSkills!DH3:DJ6,3,FALSE),0),0))&gt;=100,100,(Backdoors!AI12+IF(HR3&gt;=0.45,VLOOKUP(Calculator!E23,tbSkills!DH3:DI6,2,FALSE)+IF(AND(Calculator!B8=TRUE,Backdoors!BI35=TRUE),VLOOKUP(Calculator!E23,tbSkills!DH3:DJ6,3,FALSE),0),0)))/100)),1),1)</f>
        <v>0.4</v>
      </c>
      <c r="HX3" s="87">
        <f>SUM(HU3:HV3)</f>
        <v>0</v>
      </c>
      <c r="HY3" s="86" t="str">
        <f>IFERROR(IF(VLOOKUP(A3,tbMoveset!A2:B112,2,FALSE)="Sever",Backdoors!AY36/100,IF(VLOOKUP(A3,tbMoveset!A2:B112,2,FALSE)="Blunt",Backdoors!AZ36/100,Backdoors!BA36/100)),"")</f>
        <v/>
      </c>
      <c r="HZ3" s="49">
        <f>IFERROR(IF(VLOOKUP(tbMoveset!A3,tbMoveset!A2:H112,8,FALSE)="Other",IF(VLOOKUP(tbMoveset!A3,tbMoveset!A2:I112,9,FALSE)="Fire",Backdoors!BB36,IF(VLOOKUP(tbMoveset!A3,tbMoveset!A2:I112,9,FALSE)="Water",Backdoors!BC36,IF(VLOOKUP(tbMoveset!A3,tbMoveset!A2:I112,9,FALSE)="Thunder",Backdoors!BD36,IF(VLOOKUP(tbMoveset!A3,tbMoveset!A2:I112,9,FALSE)="Ice",Backdoors!BE36,IF(VLOOKUP(tbMoveset!A3,tbMoveset!A2:I112,9,FALSE)="Dragon",Backdoors!BF36,Backdoors!BG36)))))/100,Backdoors!BG36/100),"")</f>
        <v>0</v>
      </c>
      <c r="IA3" s="49">
        <f>IFERROR(IF(VLOOKUP(A3,tbMoveset!A2:J112,10,FALSE)=TRUE,IF((Backdoors!AI12+IF(HY3&gt;=0.45,VLOOKUP(Calculator!E23,tbSkills!DH3:DI6,2,FALSE)+IF(AND(Calculator!B8=TRUE,Backdoors!BI36=TRUE),VLOOKUP(Calculator!E23,tbSkills!DH3:DJ6,3,FALSE),0),0))&gt;=0,1+(Backdoors!AL2*(IF((Backdoors!AI12+IF(HY3&gt;=0.45,VLOOKUP(Calculator!E23,tbSkills!DH3:DI6,2,FALSE)+IF(AND(Calculator!B8=TRUE,Backdoors!BI36=TRUE),VLOOKUP(Calculator!E23,tbSkills!DH3:DJ6,3,FALSE),0),0))&gt;=100,100,(Backdoors!AI12+IF(HY3&gt;=0.45,VLOOKUP(Calculator!E23,tbSkills!DH3:DI6,2,FALSE)+IF(AND(Calculator!B8=TRUE,Backdoors!BI36=TRUE),VLOOKUP(Calculator!E23,tbSkills!DH3:DJ6,3,FALSE),0),0)))/100)),(1-(0.25*((-Backdoors!AI12-IF(HY3&gt;=0.45,VLOOKUP(Calculator!E23,tbSkills!DH3:DI6,2,FALSE)+IF(AND(Calculator!B8=TRUE,Backdoors!BI36=TRUE),VLOOKUP(Calculator!E23,tbSkills!DH3:DJ6,3,FALSE),0),0))/100)))),1),"")</f>
        <v>1</v>
      </c>
      <c r="IB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Y3)*IA3)*(VLOOKUP(A3,tbMoveset!A2:C112,3,FALSE)/100)*IF(VLOOKUP(A3,tbMoveset!A2:B112,2,FALSE)="Projectile",Backdoors!N10,Backdoors!N9),0),"")</f>
        <v/>
      </c>
      <c r="IC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Y3&gt;=0.45,VLOOKUP(Calculator!E23,tbSkills!DH3:DI6,2,FALSE)+IF(AND(Calculator!B8=TRUE,Backdoors!BI36=TRUE),VLOOKUP(Calculator!E23,tbSkills!DH3:DJ6,3,FALSE),0),0))&gt;=100,100,(Backdoors!AI12+IF(HY3&gt;=0.45,VLOOKUP(Calculator!E23,tbSkills!DH3:DI6,2,FALSE)+IF(AND(Calculator!B8=TRUE,Backdoors!BI36=TRUE),VLOOKUP(Calculator!E23,tbSkills!DH3:DJ6,3,FALSE),0),0)))/100)),1))*IF(VLOOKUP(A3,tbMoveset!A2:K112,11,FALSE)=TRUE,Backdoors!AC5,1))*HZ3,0),"")</f>
        <v>0</v>
      </c>
      <c r="ID3" s="49">
        <f>VLOOKUP(A3,tbMoveset!A2:G112,7,FALSE)*IFERROR(IF(Backdoors!AI12&gt;=0,1+(IF(Calculator!E40&gt;0,VLOOKUP(Calculator!E40,tbSkills!AI3:AJ5,2,FALSE),Backdoors!AL4)*(IF((Backdoors!AI12+IF(HY3&gt;=0.45,VLOOKUP(Calculator!E23,tbSkills!DH3:DI6,2,FALSE)+IF(AND(Calculator!B8=TRUE,Backdoors!BI36=TRUE),VLOOKUP(Calculator!E23,tbSkills!DH3:DJ6,3,FALSE),0),0))&gt;=100,100,(Backdoors!AI12+IF(HY3&gt;=0.45,VLOOKUP(Calculator!E23,tbSkills!DH3:DI6,2,FALSE)+IF(AND(Calculator!B8=TRUE,Backdoors!BI36=TRUE),VLOOKUP(Calculator!E23,tbSkills!DH3:DJ6,3,FALSE),0),0)))/100)),1),1)</f>
        <v>0.4</v>
      </c>
      <c r="IE3" s="87">
        <f>SUM(IB3:IC3)</f>
        <v>0</v>
      </c>
      <c r="IF3" s="86" t="str">
        <f>IFERROR(IF(VLOOKUP(A3,tbMoveset!A2:B112,2,FALSE)="Sever",Backdoors!AY37/100,IF(VLOOKUP(A3,tbMoveset!A2:B112,2,FALSE)="Blunt",Backdoors!AZ37/100,Backdoors!BA37/100)),"")</f>
        <v/>
      </c>
      <c r="IG3" s="49">
        <f>IFERROR(IF(VLOOKUP(tbMoveset!A3,tbMoveset!A2:H112,8,FALSE)="Other",IF(VLOOKUP(tbMoveset!A3,tbMoveset!A2:I112,9,FALSE)="Fire",Backdoors!BB37,IF(VLOOKUP(tbMoveset!A3,tbMoveset!A2:I112,9,FALSE)="Water",Backdoors!BC37,IF(VLOOKUP(tbMoveset!A3,tbMoveset!A2:I112,9,FALSE)="Thunder",Backdoors!BD37,IF(VLOOKUP(tbMoveset!A3,tbMoveset!A2:I112,9,FALSE)="Ice",Backdoors!BE37,IF(VLOOKUP(tbMoveset!A3,tbMoveset!A2:I112,9,FALSE)="Dragon",Backdoors!BF37,Backdoors!BG37)))))/100,Backdoors!BG37/100),"")</f>
        <v>0</v>
      </c>
      <c r="IH3" s="49">
        <f>IFERROR(IF(VLOOKUP(A3,tbMoveset!A2:J112,10,FALSE)=TRUE,IF((Backdoors!AI12+IF(IF3&gt;=0.45,VLOOKUP(Calculator!E23,tbSkills!DH3:DI6,2,FALSE)+IF(AND(Calculator!B8=TRUE,Backdoors!BI37=TRUE),VLOOKUP(Calculator!E23,tbSkills!DH3:DJ6,3,FALSE),0),0))&gt;=0,1+(Backdoors!AL2*(IF((Backdoors!AI12+IF(IF3&gt;=0.45,VLOOKUP(Calculator!E23,tbSkills!DH3:DI6,2,FALSE)+IF(AND(Calculator!B8=TRUE,Backdoors!BI37=TRUE),VLOOKUP(Calculator!E23,tbSkills!DH3:DJ6,3,FALSE),0),0))&gt;=100,100,(Backdoors!AI12+IF(IF3&gt;=0.45,VLOOKUP(Calculator!E23,tbSkills!DH3:DI6,2,FALSE)+IF(AND(Calculator!B8=TRUE,Backdoors!BI37=TRUE),VLOOKUP(Calculator!E23,tbSkills!DH3:DJ6,3,FALSE),0),0)))/100)),(1-(0.25*((-Backdoors!AI12-IF(IF3&gt;=0.45,VLOOKUP(Calculator!E23,tbSkills!DH3:DI6,2,FALSE)+IF(AND(Calculator!B8=TRUE,Backdoors!BI37=TRUE),VLOOKUP(Calculator!E23,tbSkills!DH3:DJ6,3,FALSE),0),0))/100)))),1),"")</f>
        <v>1</v>
      </c>
      <c r="II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F3)*IH3)*(VLOOKUP(A3,tbMoveset!A2:C112,3,FALSE)/100)*IF(VLOOKUP(A3,tbMoveset!A2:B112,2,FALSE)="Projectile",Backdoors!N10,Backdoors!N9),0),"")</f>
        <v/>
      </c>
      <c r="IJ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IF3&gt;=0.45,VLOOKUP(Calculator!E23,tbSkills!DH3:DI6,2,FALSE)+IF(AND(Calculator!B8=TRUE,Backdoors!BI37=TRUE),VLOOKUP(Calculator!E23,tbSkills!DH3:DJ6,3,FALSE),0),0))&gt;=100,100,(Backdoors!AI12+IF(IF3&gt;=0.45,VLOOKUP(Calculator!E23,tbSkills!DH3:DI6,2,FALSE)+IF(AND(Calculator!B8=TRUE,Backdoors!BI37=TRUE),VLOOKUP(Calculator!E23,tbSkills!DH3:DJ6,3,FALSE),0),0)))/100)),1))*IF(VLOOKUP(A3,tbMoveset!A2:K112,11,FALSE)=TRUE,Backdoors!AC5,1))*IG3,0),"")</f>
        <v>0</v>
      </c>
      <c r="IK3" s="49">
        <f>VLOOKUP(A3,tbMoveset!A2:G112,7,FALSE)*IFERROR(IF(Backdoors!AI12&gt;=0,1+(IF(Calculator!E40&gt;0,VLOOKUP(Calculator!E40,tbSkills!AI3:AJ5,2,FALSE),Backdoors!AL4)*(IF((Backdoors!AI12+IF(IF3&gt;=0.45,VLOOKUP(Calculator!E23,tbSkills!DH3:DI6,2,FALSE)+IF(AND(Calculator!B8=TRUE,Backdoors!BI37=TRUE),VLOOKUP(Calculator!E23,tbSkills!DH3:DJ6,3,FALSE),0),0))&gt;=100,100,(Backdoors!AI12+IF(IF3&gt;=0.45,VLOOKUP(Calculator!E23,tbSkills!DH3:DI6,2,FALSE)+IF(AND(Calculator!B8=TRUE,Backdoors!BI37=TRUE),VLOOKUP(Calculator!E23,tbSkills!DH3:DJ6,3,FALSE),0),0)))/100)),1),1)</f>
        <v>0.4</v>
      </c>
      <c r="IL3" s="87">
        <f>SUM(II3:IJ3)</f>
        <v>0</v>
      </c>
      <c r="IM3" s="86" t="str">
        <f>IFERROR(IF(VLOOKUP(A3,tbMoveset!A2:B112,2,FALSE)="Sever",Backdoors!AY38/100,IF(VLOOKUP(A3,tbMoveset!A2:B112,2,FALSE)="Blunt",Backdoors!AZ38/100,Backdoors!BA38/100)),"")</f>
        <v/>
      </c>
      <c r="IN3" s="49">
        <f>IFERROR(IF(VLOOKUP(tbMoveset!A3,tbMoveset!A2:H112,8,FALSE)="Other",IF(VLOOKUP(tbMoveset!A3,tbMoveset!A2:I112,9,FALSE)="Fire",Backdoors!BB38,IF(VLOOKUP(tbMoveset!A3,tbMoveset!A2:I112,9,FALSE)="Water",Backdoors!BC38,IF(VLOOKUP(tbMoveset!A3,tbMoveset!A2:I112,9,FALSE)="Thunder",Backdoors!BD38,IF(VLOOKUP(tbMoveset!A3,tbMoveset!A2:I112,9,FALSE)="Ice",Backdoors!BE38,IF(VLOOKUP(tbMoveset!A3,tbMoveset!A2:I112,9,FALSE)="Dragon",Backdoors!BF38,Backdoors!BG38)))))/100,Backdoors!BG38/100),"")</f>
        <v>0</v>
      </c>
      <c r="IO3" s="49">
        <f>IFERROR(IF(VLOOKUP(A3,tbMoveset!A2:J112,10,FALSE)=TRUE,IF((Backdoors!AI12+IF(IM3&gt;=0.45,VLOOKUP(Calculator!E23,tbSkills!DH3:DI6,2,FALSE)+IF(AND(Calculator!B8=TRUE,Backdoors!BI38=TRUE),VLOOKUP(Calculator!E23,tbSkills!DH3:DJ6,3,FALSE),0),0))&gt;=0,1+(Backdoors!AL2*(IF((Backdoors!AI12+IF(IM3&gt;=0.45,VLOOKUP(Calculator!E23,tbSkills!DH3:DI6,2,FALSE)+IF(AND(Calculator!B8=TRUE,Backdoors!BI38=TRUE),VLOOKUP(Calculator!E23,tbSkills!DH3:DJ6,3,FALSE),0),0))&gt;=100,100,(Backdoors!AI12+IF(IM3&gt;=0.45,VLOOKUP(Calculator!E23,tbSkills!DH3:DI6,2,FALSE)+IF(AND(Calculator!B8=TRUE,Backdoors!BI38=TRUE),VLOOKUP(Calculator!E23,tbSkills!DH3:DJ6,3,FALSE),0),0)))/100)),(1-(0.25*((-Backdoors!AI12-IF(IM3&gt;=0.45,VLOOKUP(Calculator!E23,tbSkills!DH3:DI6,2,FALSE)+IF(AND(Calculator!B8=TRUE,Backdoors!BI38=TRUE),VLOOKUP(Calculator!E23,tbSkills!DH3:DJ6,3,FALSE),0),0))/100)))),1),"")</f>
        <v>1</v>
      </c>
      <c r="IP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M3)*IO3)*(VLOOKUP(A3,tbMoveset!A2:C112,3,FALSE)/100)*IF(VLOOKUP(A3,tbMoveset!A2:B112,2,FALSE)="Projectile",Backdoors!N10,Backdoors!N9),0),"")</f>
        <v/>
      </c>
      <c r="IQ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IM3&gt;=0.45,VLOOKUP(Calculator!E23,tbSkills!DH3:DI6,2,FALSE)+IF(AND(Calculator!B8=TRUE,Backdoors!BI38=TRUE),VLOOKUP(Calculator!E23,tbSkills!DH3:DJ6,3,FALSE),0),0))&gt;=100,100,(Backdoors!AI12+IF(IM3&gt;=0.45,VLOOKUP(Calculator!E23,tbSkills!DH3:DI6,2,FALSE)+IF(AND(Calculator!B8=TRUE,Backdoors!BI38=TRUE),VLOOKUP(Calculator!E23,tbSkills!DH3:DJ6,3,FALSE),0),0)))/100)),1))*IF(VLOOKUP(A3,tbMoveset!A2:K112,11,FALSE)=TRUE,Backdoors!AC5,1))*IN3,0),"")</f>
        <v>0</v>
      </c>
      <c r="IR3" s="49">
        <f>VLOOKUP(A3,tbMoveset!A2:G112,7,FALSE)*IFERROR(IF(Backdoors!AI12&gt;=0,1+(IF(Calculator!E40&gt;0,VLOOKUP(Calculator!E40,tbSkills!AI3:AJ5,2,FALSE),Backdoors!AL4)*(IF((Backdoors!AI12+IF(IM3&gt;=0.45,VLOOKUP(Calculator!E23,tbSkills!DH3:DI6,2,FALSE)+IF(AND(Calculator!B8=TRUE,Backdoors!BI38=TRUE),VLOOKUP(Calculator!E23,tbSkills!DH3:DJ6,3,FALSE),0),0))&gt;=100,100,(Backdoors!AI12+IF(IM3&gt;=0.45,VLOOKUP(Calculator!E23,tbSkills!DH3:DI6,2,FALSE)+IF(AND(Calculator!B8=TRUE,Backdoors!BI38=TRUE),VLOOKUP(Calculator!E23,tbSkills!DH3:DJ6,3,FALSE),0),0)))/100)),1),1)</f>
        <v>0.4</v>
      </c>
      <c r="IS3" s="87">
        <f>SUM(IP3:IQ3)</f>
        <v>0</v>
      </c>
      <c r="IT3" s="86" t="str">
        <f>IFERROR(IF(VLOOKUP(A3,tbMoveset!A2:B112,2,FALSE)="Sever",Backdoors!AY39/100,IF(VLOOKUP(A3,tbMoveset!A2:B112,2,FALSE)="Blunt",Backdoors!AZ39/100,Backdoors!BA39/100)),"")</f>
        <v/>
      </c>
      <c r="IU3" s="49">
        <f>IFERROR(IF(VLOOKUP(tbMoveset!A3,tbMoveset!A2:H112,8,FALSE)="Other",IF(VLOOKUP(tbMoveset!A3,tbMoveset!A2:I112,9,FALSE)="Fire",Backdoors!BB39,IF(VLOOKUP(tbMoveset!A3,tbMoveset!A2:I112,9,FALSE)="Water",Backdoors!BC39,IF(VLOOKUP(tbMoveset!A3,tbMoveset!A2:I112,9,FALSE)="Thunder",Backdoors!BD39,IF(VLOOKUP(tbMoveset!A3,tbMoveset!A2:I112,9,FALSE)="Ice",Backdoors!BE39,IF(VLOOKUP(tbMoveset!A3,tbMoveset!A2:I112,9,FALSE)="Dragon",Backdoors!BF39,Backdoors!BG39)))))/100,Backdoors!BG39/100),"")</f>
        <v>0</v>
      </c>
      <c r="IV3" s="49">
        <f>IFERROR(IF(VLOOKUP(A3,tbMoveset!A2:J112,10,FALSE)=TRUE,IF((Backdoors!AI12+IF(IT3&gt;=0.45,VLOOKUP(Calculator!E23,tbSkills!DH3:DI6,2,FALSE)+IF(AND(Calculator!B8=TRUE,Backdoors!BI39=TRUE),VLOOKUP(Calculator!E23,tbSkills!DH3:DJ6,3,FALSE),0),0))&gt;=0,1+(Backdoors!AL2*(IF((Backdoors!AI12+IF(IT3&gt;=0.45,VLOOKUP(Calculator!E23,tbSkills!DH3:DI6,2,FALSE)+IF(AND(Calculator!B8=TRUE,Backdoors!BI39=TRUE),VLOOKUP(Calculator!E23,tbSkills!DH3:DJ6,3,FALSE),0),0))&gt;=100,100,(Backdoors!AI12+IF(IT3&gt;=0.45,VLOOKUP(Calculator!E23,tbSkills!DH3:DI6,2,FALSE)+IF(AND(Calculator!B8=TRUE,Backdoors!BI39=TRUE),VLOOKUP(Calculator!E23,tbSkills!DH3:DJ6,3,FALSE),0),0)))/100)),(1-(0.25*((-Backdoors!AI12-IF(IT3&gt;=0.45,VLOOKUP(Calculator!E23,tbSkills!DH3:DI6,2,FALSE)+IF(AND(Calculator!B8=TRUE,Backdoors!BI39=TRUE),VLOOKUP(Calculator!E23,tbSkills!DH3:DJ6,3,FALSE),0),0))/100)))),1),"")</f>
        <v>1</v>
      </c>
      <c r="IW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T3)*IV3)*(VLOOKUP(A3,tbMoveset!A2:C112,3,FALSE)/100)*IF(VLOOKUP(A3,tbMoveset!A2:B112,2,FALSE)="Projectile",Backdoors!N10,Backdoors!N9),0),"")</f>
        <v/>
      </c>
      <c r="IX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40&gt;0,VLOOKUP(Calculator!E40,tbSkills!AC3:AD5,2,FALSE),Backdoors!AL3)*(IF((Backdoors!AI12+IF(IT3&gt;=0.45,VLOOKUP(Calculator!E23,tbSkills!DH3:DI6,2,FALSE)+IF(AND(Calculator!B8=TRUE,Backdoors!BI39=TRUE),VLOOKUP(Calculator!E23,tbSkills!DH3:DJ6,3,FALSE),0),0))&gt;=100,100,(Backdoors!AI12+IF(IT3&gt;=0.45,VLOOKUP(Calculator!E23,tbSkills!DH3:DI6,2,FALSE)+IF(AND(Calculator!B8=TRUE,Backdoors!BI39=TRUE),VLOOKUP(Calculator!E23,tbSkills!DH3:DJ6,3,FALSE),0),0)))/100)),1))*IF(VLOOKUP(A3,tbMoveset!A2:K112,11,FALSE)=TRUE,Backdoors!AC5,1))*IU3,0),"")</f>
        <v>0</v>
      </c>
      <c r="IY3" s="49">
        <f>VLOOKUP(A3,tbMoveset!A2:G112,7,FALSE)*IFERROR(IF(Backdoors!AI12&gt;=0,1+(IF(Calculator!E40&gt;0,VLOOKUP(Calculator!E40,tbSkills!AI3:AJ5,2,FALSE),Backdoors!AL4)*(IF((Backdoors!AI12+IF(IT3&gt;=0.45,VLOOKUP(Calculator!E23,tbSkills!DH3:DI6,2,FALSE)+IF(AND(Calculator!B8=TRUE,Backdoors!BI39=TRUE),VLOOKUP(Calculator!E23,tbSkills!DH3:DJ6,3,FALSE),0),0))&gt;=100,100,(Backdoors!AI12+IF(IT3&gt;=0.45,VLOOKUP(Calculator!E23,tbSkills!DH3:DI6,2,FALSE)+IF(AND(Calculator!B8=TRUE,Backdoors!BI39=TRUE),VLOOKUP(Calculator!E23,tbSkills!DH3:DJ6,3,FALSE),0),0)))/100)),1),1)</f>
        <v>0.4</v>
      </c>
      <c r="IZ3" s="87">
        <f>SUM(IW3:IX3)</f>
        <v>0</v>
      </c>
      <c r="JA3" s="86" t="str">
        <f>IFERROR(IF(VLOOKUP(A3,tbMoveset!A2:B112,2,FALSE)="Sever",Backdoors!AY40/100,IF(VLOOKUP(A3,tbMoveset!A2:B112,2,FALSE)="Blunt",Backdoors!AZ40/100,Backdoors!BA40/100)),"")</f>
        <v/>
      </c>
      <c r="JB3" s="49">
        <f>IFERROR(IF(VLOOKUP(tbMoveset!A3,tbMoveset!A2:H112,8,FALSE)="Other",IF(VLOOKUP(tbMoveset!A3,tbMoveset!A2:I112,9,FALSE)="Fire",Backdoors!BB40,IF(VLOOKUP(tbMoveset!A3,tbMoveset!A2:I112,9,FALSE)="Water",Backdoors!BC40,IF(VLOOKUP(tbMoveset!A3,tbMoveset!A2:I112,9,FALSE)="Thunder",Backdoors!BD40,IF(VLOOKUP(tbMoveset!A3,tbMoveset!A2:I112,9,FALSE)="Ice",Backdoors!BE40,IF(VLOOKUP(tbMoveset!A3,tbMoveset!A2:I112,9,FALSE)="Dragon",Backdoors!BF40,Backdoors!BG40)))))/100,Backdoors!BG40/100),"")</f>
        <v>0</v>
      </c>
      <c r="JC3" s="49">
        <f>IFERROR(IF(VLOOKUP(A3,tbMoveset!A2:J112,10,FALSE)=TRUE,IF((Backdoors!AI12+IF(JA3&gt;=0.45,VLOOKUP(Calculator!E23,tbSkills!DH3:DI6,2,FALSE)+IF(AND(Calculator!B8=TRUE,Backdoors!BI40=TRUE),VLOOKUP(Calculator!E23,tbSkills!DH3:DJ6,3,FALSE),0),0))&gt;=0,1+(Backdoors!AL2*(IF((Backdoors!AI12+IF(JA3&gt;=0.45,VLOOKUP(Calculator!E23,tbSkills!DH3:DI6,2,FALSE)+IF(AND(Calculator!B8=TRUE,Backdoors!BI40=TRUE),VLOOKUP(Calculator!E23,tbSkills!DH3:DJ6,3,FALSE),0),0))&gt;=100,100,(Backdoors!AI12+IF(JA3&gt;=0.45,VLOOKUP(Calculator!E23,tbSkills!DH3:DI6,2,FALSE)+IF(AND(Calculator!B8=TRUE,Backdoors!BI40=TRUE),VLOOKUP(Calculator!E23,tbSkills!DH3:DJ6,3,FALSE),0),0)))/100)),(1-(0.25*((-Backdoors!AI12-IF(JA3&gt;=0.45,VLOOKUP(Calculator!E23,tbSkills!DH3:DI6,2,FALSE)+IF(AND(Calculator!B8=TRUE,Backdoors!BI40=TRUE),VLOOKUP(Calculator!E23,tbSkills!DH3:DJ6,3,FALSE),0),0))/100)))),1),"")</f>
        <v>1</v>
      </c>
      <c r="JD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A3)*JC3)*(VLOOKUP(A3,tbMoveset!A2:C112,3,FALSE)/100)*IF(VLOOKUP(A3,tbMoveset!A2:B112,2,FALSE)="Projectile",Backdoors!N10,Backdoors!N9),0),"")</f>
        <v/>
      </c>
      <c r="JE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42&gt;0,VLOOKUP(Calculator!E42,tbSkills!AC3:AD5,2,FALSE),Backdoors!AL3)*(IF((Backdoors!AI12+IF(JA3&gt;=0.45,VLOOKUP(Calculator!E23,tbSkills!DH3:DI6,2,FALSE)+IF(AND(Calculator!B8=TRUE,Backdoors!BI40=TRUE),VLOOKUP(Calculator!E23,tbSkills!DH3:DJ6,3,FALSE),0),0))&gt;=100,100,(Backdoors!AI12+IF(JA3&gt;=0.45,VLOOKUP(Calculator!E23,tbSkills!DH3:DI6,2,FALSE)+IF(AND(Calculator!B8=TRUE,Backdoors!BI40=TRUE),VLOOKUP(Calculator!E23,tbSkills!DH3:DJ6,3,FALSE),0),0)))/100)),1))*IF(VLOOKUP(A3,tbMoveset!A2:K112,11,FALSE)=TRUE,Backdoors!AC5,1))*JB3,0),"")</f>
        <v>0</v>
      </c>
      <c r="JF3" s="49">
        <f>VLOOKUP(A3,tbMoveset!A2:G112,7,FALSE)*IFERROR(IF(Backdoors!AI12&gt;=0,1+(IF(Calculator!E40&gt;0,VLOOKUP(Calculator!E40,tbSkills!AI3:AJ5,2,FALSE),Backdoors!AL4)*(IF((Backdoors!AI12+IF(JA3&gt;=0.45,VLOOKUP(Calculator!E23,tbSkills!DH3:DI6,2,FALSE)+IF(AND(Calculator!B8=TRUE,Backdoors!BI40=TRUE),VLOOKUP(Calculator!E23,tbSkills!DH3:DJ6,3,FALSE),0),0))&gt;=100,100,(Backdoors!AI12+IF(JA3&gt;=0.45,VLOOKUP(Calculator!E23,tbSkills!DH3:DI6,2,FALSE)+IF(AND(Calculator!B8=TRUE,Backdoors!BI40=TRUE),VLOOKUP(Calculator!E23,tbSkills!DH3:DJ6,3,FALSE),0),0)))/100)),1),1)</f>
        <v>0.4</v>
      </c>
      <c r="JG3" s="87">
        <f>SUM(JD3:JE3)</f>
        <v>0</v>
      </c>
      <c r="JH3" s="86" t="str">
        <f>IFERROR(IF(VLOOKUP(A3,tbMoveset!A2:B112,2,FALSE)="Sever",Backdoors!AY41/100,IF(VLOOKUP(A3,tbMoveset!A2:B112,2,FALSE)="Blunt",Backdoors!AZ41/100,Backdoors!BA41/100)),"")</f>
        <v/>
      </c>
      <c r="JI3" s="49">
        <f>IFERROR(IF(VLOOKUP(tbMoveset!A3,tbMoveset!A2:H112,8,FALSE)="Other",IF(VLOOKUP(tbMoveset!A3,tbMoveset!A2:I112,9,FALSE)="Fire",Backdoors!BB41,IF(VLOOKUP(tbMoveset!A3,tbMoveset!A2:I112,9,FALSE)="Water",Backdoors!BC41,IF(VLOOKUP(tbMoveset!A3,tbMoveset!A2:I112,9,FALSE)="Thunder",Backdoors!BD41,IF(VLOOKUP(tbMoveset!A3,tbMoveset!A2:I112,9,FALSE)="Ice",Backdoors!BE41,IF(VLOOKUP(tbMoveset!A3,tbMoveset!A2:I112,9,FALSE)="Dragon",Backdoors!BF41,Backdoors!BG41)))))/100,Backdoors!BG41/100),"")</f>
        <v>0</v>
      </c>
      <c r="JJ3" s="49">
        <f>IFERROR(IF(VLOOKUP(A3,tbMoveset!A2:J112,10,FALSE)=TRUE,IF((Backdoors!AI12+IF(JH3&gt;=0.45,VLOOKUP(Calculator!E23,tbSkills!DH3:DI6,2,FALSE)+IF(AND(Calculator!B8=TRUE,Backdoors!BI41=TRUE),VLOOKUP(Calculator!E23,tbSkills!DH3:DJ6,3,FALSE),0),0))&gt;=0,1+(Backdoors!AL2*(IF((Backdoors!AI12+IF(JH3&gt;=0.45,VLOOKUP(Calculator!E23,tbSkills!DH3:DI6,2,FALSE)+IF(AND(Calculator!B8=TRUE,Backdoors!BI41=TRUE),VLOOKUP(Calculator!E23,tbSkills!DH3:DJ6,3,FALSE),0),0))&gt;=100,100,(Backdoors!AI12+IF(JH3&gt;=0.45,VLOOKUP(Calculator!E23,tbSkills!DH3:DI6,2,FALSE)+IF(AND(Calculator!B8=TRUE,Backdoors!BI41=TRUE),VLOOKUP(Calculator!E23,tbSkills!DH3:DJ6,3,FALSE),0),0)))/100)),(1-(0.25*((-Backdoors!AI12-IF(JH3&gt;=0.45,VLOOKUP(Calculator!E23,tbSkills!DH3:DI6,2,FALSE)+IF(AND(Calculator!B8=TRUE,Backdoors!BI41=TRUE),VLOOKUP(Calculator!E23,tbSkills!DH3:DJ6,3,FALSE),0),0))/100)))),1),"")</f>
        <v>1</v>
      </c>
      <c r="JK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H3)*JJ3)*(VLOOKUP(A3,tbMoveset!A2:C112,3,FALSE)/100)*IF(VLOOKUP(A3,tbMoveset!A2:B112,2,FALSE)="Projectile",Backdoors!N10,Backdoors!N9),0),"")</f>
        <v/>
      </c>
      <c r="JL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43&gt;0,VLOOKUP(Calculator!E43,tbSkills!AC3:AD5,2,FALSE),Backdoors!AL3)*(IF((Backdoors!AI12+IF(JH3&gt;=0.45,VLOOKUP(Calculator!E23,tbSkills!DH3:DI6,2,FALSE)+IF(AND(Calculator!B8=TRUE,Backdoors!BI41=TRUE),VLOOKUP(Calculator!E23,tbSkills!DH3:DJ6,3,FALSE),0),0))&gt;=100,100,(Backdoors!AI12+IF(JH3&gt;=0.45,VLOOKUP(Calculator!E23,tbSkills!DH3:DI6,2,FALSE)+IF(AND(Calculator!B8=TRUE,Backdoors!BI41=TRUE),VLOOKUP(Calculator!E23,tbSkills!DH3:DJ6,3,FALSE),0),0)))/100)),1))*IF(VLOOKUP(A3,tbMoveset!A2:K112,11,FALSE)=TRUE,Backdoors!AC5,1))*JI3,0),"")</f>
        <v/>
      </c>
      <c r="JM3" s="49">
        <f>VLOOKUP(A3,tbMoveset!A2:G112,7,FALSE)*IFERROR(IF(Backdoors!AI12&gt;=0,1+(IF(Calculator!E40&gt;0,VLOOKUP(Calculator!E40,tbSkills!AI3:AJ5,2,FALSE),Backdoors!AL4)*(IF((Backdoors!AI12+IF(JH3&gt;=0.45,VLOOKUP(Calculator!E23,tbSkills!DH3:DI6,2,FALSE)+IF(AND(Calculator!B8=TRUE,Backdoors!BI41=TRUE),VLOOKUP(Calculator!E23,tbSkills!DH3:DJ6,3,FALSE),0),0))&gt;=100,100,(Backdoors!AI12+IF(JH3&gt;=0.45,VLOOKUP(Calculator!E23,tbSkills!DH3:DI6,2,FALSE)+IF(AND(Calculator!B8=TRUE,Backdoors!BI41=TRUE),VLOOKUP(Calculator!E23,tbSkills!DH3:DJ6,3,FALSE),0),0)))/100)),1),1)</f>
        <v>0.4</v>
      </c>
      <c r="JN3" s="87">
        <f>SUM(JK3:JL3)</f>
        <v>0</v>
      </c>
      <c r="JO3" s="86" t="str">
        <f>IFERROR(IF(VLOOKUP(A3,tbMoveset!A2:B112,2,FALSE)="Sever",Backdoors!AY42/100,IF(VLOOKUP(A3,tbMoveset!A2:B112,2,FALSE)="Blunt",Backdoors!AZ42/100,Backdoors!BA42/100)),"")</f>
        <v/>
      </c>
      <c r="JP3" s="49">
        <f>IFERROR(IF(VLOOKUP(tbMoveset!A3,tbMoveset!A2:H112,8,FALSE)="Other",IF(VLOOKUP(tbMoveset!A3,tbMoveset!A2:I112,9,FALSE)="Fire",Backdoors!BB42,IF(VLOOKUP(tbMoveset!A3,tbMoveset!A2:I112,9,FALSE)="Water",Backdoors!BC42,IF(VLOOKUP(tbMoveset!A3,tbMoveset!A2:I112,9,FALSE)="Thunder",Backdoors!BD42,IF(VLOOKUP(tbMoveset!A3,tbMoveset!A2:I112,9,FALSE)="Ice",Backdoors!BE42,IF(VLOOKUP(tbMoveset!A3,tbMoveset!A2:I112,9,FALSE)="Dragon",Backdoors!BF42,Backdoors!BG42)))))/100,Backdoors!BG42/100),"")</f>
        <v>0</v>
      </c>
      <c r="JQ3" s="49">
        <f>IFERROR(IF(VLOOKUP(A3,tbMoveset!A2:J112,10,FALSE)=TRUE,IF((Backdoors!AI12+IF(JO3&gt;=0.45,VLOOKUP(Calculator!E23,tbSkills!DH3:DI6,2,FALSE)+IF(AND(Calculator!B8=TRUE,Backdoors!BI42=TRUE),VLOOKUP(Calculator!E23,tbSkills!DH3:DJ6,3,FALSE),0),0))&gt;=0,1+(Backdoors!AL2*(IF((Backdoors!AI12+IF(JO3&gt;=0.45,VLOOKUP(Calculator!E23,tbSkills!DH3:DI6,2,FALSE)+IF(AND(Calculator!B8=TRUE,Backdoors!BI42=TRUE),VLOOKUP(Calculator!E23,tbSkills!DH3:DJ6,3,FALSE),0),0))&gt;=100,100,(Backdoors!AI12+IF(JO3&gt;=0.45,VLOOKUP(Calculator!E23,tbSkills!DH3:DI6,2,FALSE)+IF(AND(Calculator!B8=TRUE,Backdoors!BI42=TRUE),VLOOKUP(Calculator!E23,tbSkills!DH3:DJ6,3,FALSE),0),0)))/100)),(1-(0.25*((-Backdoors!AI12-IF(JO3&gt;=0.45,VLOOKUP(Calculator!E23,tbSkills!DH3:DI6,2,FALSE)+IF(AND(Calculator!B8=TRUE,Backdoors!BI42=TRUE),VLOOKUP(Calculator!E23,tbSkills!DH3:DJ6,3,FALSE),0),0))/100)))),1),"")</f>
        <v>1</v>
      </c>
      <c r="JR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O3)*JQ3)*(VLOOKUP(A3,tbMoveset!A2:C112,3,FALSE)/100)*IF(VLOOKUP(A3,tbMoveset!A2:B112,2,FALSE)="Projectile",Backdoors!N10,Backdoors!N9),0),"")</f>
        <v/>
      </c>
      <c r="JS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45&gt;0,VLOOKUP(Calculator!E45,tbSkills!AC3:AD5,2,FALSE),Backdoors!AL3)*(IF((Backdoors!AI12+IF(JO3&gt;=0.45,VLOOKUP(Calculator!E23,tbSkills!DH3:DI6,2,FALSE)+IF(AND(Calculator!B8=TRUE,Backdoors!BI42=TRUE),VLOOKUP(Calculator!E23,tbSkills!DH3:DJ6,3,FALSE),0),0))&gt;=100,100,(Backdoors!AI12+IF(JO3&gt;=0.45,VLOOKUP(Calculator!E23,tbSkills!DH3:DI6,2,FALSE)+IF(AND(Calculator!B8=TRUE,Backdoors!BI42=TRUE),VLOOKUP(Calculator!E23,tbSkills!DH3:DJ6,3,FALSE),0),0)))/100)),1))*IF(VLOOKUP(A3,tbMoveset!A2:K112,11,FALSE)=TRUE,Backdoors!AC5,1))*JP3,0),"")</f>
        <v>0</v>
      </c>
      <c r="JT3" s="49">
        <f>VLOOKUP(A3,tbMoveset!A2:G112,7,FALSE)*IFERROR(IF(Backdoors!AI12&gt;=0,1+(IF(Calculator!E40&gt;0,VLOOKUP(Calculator!E40,tbSkills!AI3:AJ5,2,FALSE),Backdoors!AL4)*(IF((Backdoors!AI12+IF(JO3&gt;=0.45,VLOOKUP(Calculator!E23,tbSkills!DH3:DI6,2,FALSE)+IF(AND(Calculator!B8=TRUE,Backdoors!BI42=TRUE),VLOOKUP(Calculator!E23,tbSkills!DH3:DJ6,3,FALSE),0),0))&gt;=100,100,(Backdoors!AI12+IF(JO3&gt;=0.45,VLOOKUP(Calculator!E23,tbSkills!DH3:DI6,2,FALSE)+IF(AND(Calculator!B8=TRUE,Backdoors!BI42=TRUE),VLOOKUP(Calculator!E23,tbSkills!DH3:DJ6,3,FALSE),0),0)))/100)),1),1)</f>
        <v>0.4</v>
      </c>
      <c r="JU3" s="87">
        <f>SUM(JR3:JS3)</f>
        <v>0</v>
      </c>
      <c r="JV3" s="86" t="str">
        <f>IFERROR(IF(VLOOKUP(A3,tbMoveset!A2:B112,2,FALSE)="Sever",Backdoors!AY43/100,IF(VLOOKUP(A3,tbMoveset!A2:B112,2,FALSE)="Blunt",Backdoors!AZ43/100,Backdoors!BA43/100)),"")</f>
        <v/>
      </c>
      <c r="JW3" s="49">
        <f>IFERROR(IF(VLOOKUP(tbMoveset!A3,tbMoveset!A2:H112,8,FALSE)="Other",IF(VLOOKUP(tbMoveset!A3,tbMoveset!A2:I112,9,FALSE)="Fire",Backdoors!BB43,IF(VLOOKUP(tbMoveset!A3,tbMoveset!A2:I112,9,FALSE)="Water",Backdoors!BC43,IF(VLOOKUP(tbMoveset!A3,tbMoveset!A2:I112,9,FALSE)="Thunder",Backdoors!BD43,IF(VLOOKUP(tbMoveset!A3,tbMoveset!A2:I112,9,FALSE)="Ice",Backdoors!BE43,IF(VLOOKUP(tbMoveset!A3,tbMoveset!A2:I112,9,FALSE)="Dragon",Backdoors!BF43,Backdoors!BG43)))))/100,Backdoors!BG43/100),"")</f>
        <v>0</v>
      </c>
      <c r="JX3" s="49">
        <f>IFERROR(IF(VLOOKUP(A3,tbMoveset!A2:J112,10,FALSE)=TRUE,IF((Backdoors!AI12+IF(JV3&gt;=0.45,VLOOKUP(Calculator!E23,tbSkills!DH3:DI6,2,FALSE)+IF(AND(Calculator!B8=TRUE,Backdoors!BI43=TRUE),VLOOKUP(Calculator!E23,tbSkills!DH3:DJ6,3,FALSE),0),0))&gt;=0,1+(Backdoors!AL2*(IF((Backdoors!AI12+IF(JV3&gt;=0.45,VLOOKUP(Calculator!E23,tbSkills!DH3:DI6,2,FALSE)+IF(AND(Calculator!B8=TRUE,Backdoors!BI43=TRUE),VLOOKUP(Calculator!E23,tbSkills!DH3:DJ6,3,FALSE),0),0))&gt;=100,100,(Backdoors!AI12+IF(JV3&gt;=0.45,VLOOKUP(Calculator!E23,tbSkills!DH3:DI6,2,FALSE)+IF(AND(Calculator!B8=TRUE,Backdoors!BI43=TRUE),VLOOKUP(Calculator!E23,tbSkills!DH3:DJ6,3,FALSE),0),0)))/100)),(1-(0.25*((-Backdoors!AI12-IF(JV3&gt;=0.45,VLOOKUP(Calculator!E23,tbSkills!DH3:DI6,2,FALSE)+IF(AND(Calculator!B8=TRUE,Backdoors!BI43=TRUE),VLOOKUP(Calculator!E23,tbSkills!DH3:DJ6,3,FALSE),0),0))/100)))),1),"")</f>
        <v>1</v>
      </c>
      <c r="JY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V3)*JX3)*(VLOOKUP(A3,tbMoveset!A2:C112,3,FALSE)/100)*IF(VLOOKUP(A3,tbMoveset!A2:B112,2,FALSE)="Projectile",Backdoors!N10,Backdoors!N9),0),"")</f>
        <v/>
      </c>
      <c r="JZ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46&gt;0,VLOOKUP(Calculator!E46,tbSkills!AC3:AD5,2,FALSE),Backdoors!AL3)*(IF((Backdoors!AI12+IF(JV3&gt;=0.45,VLOOKUP(Calculator!E23,tbSkills!DH3:DI6,2,FALSE)+IF(AND(Calculator!B8=TRUE,Backdoors!BI43=TRUE),VLOOKUP(Calculator!E23,tbSkills!DH3:DJ6,3,FALSE),0),0))&gt;=100,100,(Backdoors!AI12+IF(JV3&gt;=0.45,VLOOKUP(Calculator!E23,tbSkills!DH3:DI6,2,FALSE)+IF(AND(Calculator!B8=TRUE,Backdoors!BI43=TRUE),VLOOKUP(Calculator!E23,tbSkills!DH3:DJ6,3,FALSE),0),0)))/100)),1))*IF(VLOOKUP(A3,tbMoveset!A2:K112,11,FALSE)=TRUE,Backdoors!AC5,1))*JW3,0),"")</f>
        <v/>
      </c>
      <c r="KA3" s="49">
        <f>VLOOKUP(A3,tbMoveset!A2:G112,7,FALSE)*IFERROR(IF(Backdoors!AI12&gt;=0,1+(IF(Calculator!E40&gt;0,VLOOKUP(Calculator!E40,tbSkills!AI3:AJ5,2,FALSE),Backdoors!AL4)*(IF((Backdoors!AI12+IF(JV3&gt;=0.45,VLOOKUP(Calculator!E23,tbSkills!DH3:DI6,2,FALSE)+IF(AND(Calculator!B8=TRUE,Backdoors!BI43=TRUE),VLOOKUP(Calculator!E23,tbSkills!DH3:DJ6,3,FALSE),0),0))&gt;=100,100,(Backdoors!AI12+IF(JV3&gt;=0.45,VLOOKUP(Calculator!E23,tbSkills!DH3:DI6,2,FALSE)+IF(AND(Calculator!B8=TRUE,Backdoors!BI43=TRUE),VLOOKUP(Calculator!E23,tbSkills!DH3:DJ6,3,FALSE),0),0)))/100)),1),1)</f>
        <v>0.4</v>
      </c>
      <c r="KB3" s="87">
        <f>SUM(JY3:JZ3)</f>
        <v>0</v>
      </c>
      <c r="KC3" s="86" t="str">
        <f>IFERROR(IF(VLOOKUP(A3,tbMoveset!A2:B112,2,FALSE)="Sever",Backdoors!AY44/100,IF(VLOOKUP(A3,tbMoveset!A2:B112,2,FALSE)="Blunt",Backdoors!AZ44/100,Backdoors!BA44/100)),"")</f>
        <v/>
      </c>
      <c r="KD3" s="49">
        <f>IFERROR(IF(VLOOKUP(tbMoveset!A3,tbMoveset!A2:H112,8,FALSE)="Other",IF(VLOOKUP(tbMoveset!A3,tbMoveset!A2:I112,9,FALSE)="Fire",Backdoors!BB44,IF(VLOOKUP(tbMoveset!A3,tbMoveset!A2:I112,9,FALSE)="Water",Backdoors!BC44,IF(VLOOKUP(tbMoveset!A3,tbMoveset!A2:I112,9,FALSE)="Thunder",Backdoors!BD44,IF(VLOOKUP(tbMoveset!A3,tbMoveset!A2:I112,9,FALSE)="Ice",Backdoors!BE44,IF(VLOOKUP(tbMoveset!A3,tbMoveset!A2:I112,9,FALSE)="Dragon",Backdoors!BF44,Backdoors!BG44)))))/100,Backdoors!BG44/100),"")</f>
        <v>0</v>
      </c>
      <c r="KE3" s="49">
        <f>IFERROR(IF(VLOOKUP(A3,tbMoveset!A2:J112,10,FALSE)=TRUE,IF((Backdoors!AI12+IF(KC3&gt;=0.45,VLOOKUP(Calculator!E23,tbSkills!DH3:DI6,2,FALSE)+IF(AND(Calculator!B8=TRUE,Backdoors!BI44=TRUE),VLOOKUP(Calculator!E23,tbSkills!DH3:DJ6,3,FALSE),0),0))&gt;=0,1+(Backdoors!AL2*(IF((Backdoors!AI12+IF(KC3&gt;=0.45,VLOOKUP(Calculator!E23,tbSkills!DH3:DI6,2,FALSE)+IF(AND(Calculator!B8=TRUE,Backdoors!BI44=TRUE),VLOOKUP(Calculator!E23,tbSkills!DH3:DJ6,3,FALSE),0),0))&gt;=100,100,(Backdoors!AI12+IF(KC3&gt;=0.45,VLOOKUP(Calculator!E23,tbSkills!DH3:DI6,2,FALSE)+IF(AND(Calculator!B8=TRUE,Backdoors!BI44=TRUE),VLOOKUP(Calculator!E23,tbSkills!DH3:DJ6,3,FALSE),0),0)))/100)),(1-(0.25*((-Backdoors!AI12-IF(KC3&gt;=0.45,VLOOKUP(Calculator!E23,tbSkills!DH3:DI6,2,FALSE)+IF(AND(Calculator!B8=TRUE,Backdoors!BI44=TRUE),VLOOKUP(Calculator!E23,tbSkills!DH3:DJ6,3,FALSE),0),0))/100)))),1),"")</f>
        <v>1</v>
      </c>
      <c r="KF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KC3)*KE3)*(VLOOKUP(A3,tbMoveset!A2:C112,3,FALSE)/100)*IF(VLOOKUP(A3,tbMoveset!A2:B112,2,FALSE)="Projectile",Backdoors!N10,Backdoors!N9),0),"")</f>
        <v/>
      </c>
      <c r="KG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REF!&gt;0,VLOOKUP(Calculator!#REF!,tbSkills!AC3:AD5,2,FALSE),Backdoors!AL3)*(IF((Backdoors!AI12+IF(KC3&gt;=0.45,VLOOKUP(Calculator!E23,tbSkills!DH3:DI6,2,FALSE)+IF(AND(Calculator!B8=TRUE,Backdoors!BI44=TRUE),VLOOKUP(Calculator!E23,tbSkills!DH3:DJ6,3,FALSE),0),0))&gt;=100,100,(Backdoors!AI12+IF(KC3&gt;=0.45,VLOOKUP(Calculator!E23,tbSkills!DH3:DI6,2,FALSE)+IF(AND(Calculator!B8=TRUE,Backdoors!BI44=TRUE),VLOOKUP(Calculator!E23,tbSkills!DH3:DJ6,3,FALSE),0),0)))/100)),1))*IF(VLOOKUP(A3,tbMoveset!A2:K112,11,FALSE)=TRUE,Backdoors!AC5,1))*KD3,0),"")</f>
        <v/>
      </c>
      <c r="KH3" s="49">
        <f>VLOOKUP(A3,tbMoveset!A2:G112,7,FALSE)*IFERROR(IF(Backdoors!AI12&gt;=0,1+(IF(Calculator!E40&gt;0,VLOOKUP(Calculator!E40,tbSkills!AI3:AJ5,2,FALSE),Backdoors!AL4)*(IF((Backdoors!AI12+IF(KC3&gt;=0.45,VLOOKUP(Calculator!E23,tbSkills!DH3:DI6,2,FALSE)+IF(AND(Calculator!B8=TRUE,Backdoors!BI44=TRUE),VLOOKUP(Calculator!E23,tbSkills!DH3:DJ6,3,FALSE),0),0))&gt;=100,100,(Backdoors!AI12+IF(KC3&gt;=0.45,VLOOKUP(Calculator!E23,tbSkills!DH3:DI6,2,FALSE)+IF(AND(Calculator!B8=TRUE,Backdoors!BI44=TRUE),VLOOKUP(Calculator!E23,tbSkills!DH3:DJ6,3,FALSE),0),0)))/100)),1),1)</f>
        <v>0.4</v>
      </c>
      <c r="KI3" s="87">
        <f>SUM(KF3:KG3)</f>
        <v>0</v>
      </c>
      <c r="KJ3" s="86" t="str">
        <f>IFERROR(IF(VLOOKUP(A3,tbMoveset!A2:B112,2,FALSE)="Sever",Backdoors!AY45/100,IF(VLOOKUP(A3,tbMoveset!A2:B112,2,FALSE)="Blunt",Backdoors!AZ45/100,Backdoors!BA45/100)),"")</f>
        <v/>
      </c>
      <c r="KK3" s="49">
        <f>IFERROR(IF(VLOOKUP(tbMoveset!A3,tbMoveset!A2:H112,8,FALSE)="Other",IF(VLOOKUP(tbMoveset!A3,tbMoveset!A2:I112,9,FALSE)="Fire",Backdoors!BB45,IF(VLOOKUP(tbMoveset!A3,tbMoveset!A2:I112,9,FALSE)="Water",Backdoors!BC45,IF(VLOOKUP(tbMoveset!A3,tbMoveset!A2:I112,9,FALSE)="Thunder",Backdoors!BD45,IF(VLOOKUP(tbMoveset!A3,tbMoveset!A2:I112,9,FALSE)="Ice",Backdoors!BE45,IF(VLOOKUP(tbMoveset!A3,tbMoveset!A2:I112,9,FALSE)="Dragon",Backdoors!BF45,Backdoors!BG45)))))/100,Backdoors!BG45/100),"")</f>
        <v>0</v>
      </c>
      <c r="KL3" s="49">
        <f>IFERROR(IF(VLOOKUP(A3,tbMoveset!A2:J112,10,FALSE)=TRUE,IF((Backdoors!AI12+IF(KJ3&gt;=0.45,VLOOKUP(Calculator!E23,tbSkills!DH3:DI6,2,FALSE)+IF(AND(Calculator!B8=TRUE,Backdoors!BI45=TRUE),VLOOKUP(Calculator!E23,tbSkills!DH3:DJ6,3,FALSE),0),0))&gt;=0,1+(Backdoors!AL2*(IF((Backdoors!AI12+IF(KJ3&gt;=0.45,VLOOKUP(Calculator!E23,tbSkills!DH3:DI6,2,FALSE)+IF(AND(Calculator!B8=TRUE,Backdoors!BI45=TRUE),VLOOKUP(Calculator!E23,tbSkills!DH3:DJ6,3,FALSE),0),0))&gt;=100,100,(Backdoors!AI12+IF(KJ3&gt;=0.45,VLOOKUP(Calculator!E23,tbSkills!DH3:DI6,2,FALSE)+IF(AND(Calculator!B8=TRUE,Backdoors!BI45=TRUE),VLOOKUP(Calculator!E23,tbSkills!DH3:DJ6,3,FALSE),0),0)))/100)),(1-(0.25*((-Backdoors!AI12-IF(KJ3&gt;=0.45,VLOOKUP(Calculator!E23,tbSkills!DH3:DI6,2,FALSE)+IF(AND(Calculator!B8=TRUE,Backdoors!BI45=TRUE),VLOOKUP(Calculator!E23,tbSkills!DH3:DJ6,3,FALSE),0),0))/100)))),1),"")</f>
        <v>1</v>
      </c>
      <c r="KM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KJ3)*KL3)*(VLOOKUP(A3,tbMoveset!A2:C112,3,FALSE)/100)*IF(VLOOKUP(A3,tbMoveset!A2:B112,2,FALSE)="Projectile",Backdoors!N10,Backdoors!N9),0),"")</f>
        <v/>
      </c>
      <c r="KN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REF!&gt;0,VLOOKUP(Calculator!#REF!,tbSkills!AC3:AD5,2,FALSE),Backdoors!AL3)*(IF((Backdoors!AI12+IF(KJ3&gt;=0.45,VLOOKUP(Calculator!E23,tbSkills!DH3:DI6,2,FALSE)+IF(AND(Calculator!B8=TRUE,Backdoors!BI45=TRUE),VLOOKUP(Calculator!E23,tbSkills!DH3:DJ6,3,FALSE),0),0))&gt;=100,100,(Backdoors!AI12+IF(KJ3&gt;=0.45,VLOOKUP(Calculator!E23,tbSkills!DH3:DI6,2,FALSE)+IF(AND(Calculator!B8=TRUE,Backdoors!BI45=TRUE),VLOOKUP(Calculator!E23,tbSkills!DH3:DJ6,3,FALSE),0),0)))/100)),1))*IF(VLOOKUP(A3,tbMoveset!A2:K112,11,FALSE)=TRUE,Backdoors!AC5,1))*KK3,0),"")</f>
        <v/>
      </c>
      <c r="KO3" s="49">
        <f>VLOOKUP(A3,tbMoveset!A2:G112,7,FALSE)*IFERROR(IF(Backdoors!AI12&gt;=0,1+(IF(Calculator!E40&gt;0,VLOOKUP(Calculator!E40,tbSkills!AI3:AJ5,2,FALSE),Backdoors!AL4)*(IF((Backdoors!AI12+IF(KJ3&gt;=0.45,VLOOKUP(Calculator!E23,tbSkills!DH3:DI6,2,FALSE)+IF(AND(Calculator!B8=TRUE,Backdoors!BI45=TRUE),VLOOKUP(Calculator!E23,tbSkills!DH3:DJ6,3,FALSE),0),0))&gt;=100,100,(Backdoors!AI12+IF(KJ3&gt;=0.45,VLOOKUP(Calculator!E23,tbSkills!DH3:DI6,2,FALSE)+IF(AND(Calculator!B8=TRUE,Backdoors!BI45=TRUE),VLOOKUP(Calculator!E23,tbSkills!DH3:DJ6,3,FALSE),0),0)))/100)),1),1)</f>
        <v>0.4</v>
      </c>
      <c r="KP3" s="87">
        <f>SUM(KM3:KN3)</f>
        <v>0</v>
      </c>
      <c r="KQ3" s="86" t="str">
        <f>IFERROR(IF(VLOOKUP(A3,tbMoveset!A2:B112,2,FALSE)="Sever",Backdoors!AY46/100,IF(VLOOKUP(A3,tbMoveset!A2:B112,2,FALSE)="Blunt",Backdoors!AZ46/100,Backdoors!BA46/100)),"")</f>
        <v/>
      </c>
      <c r="KR3" s="49">
        <f>IFERROR(IF(VLOOKUP(tbMoveset!A3,tbMoveset!A2:H112,8,FALSE)="Other",IF(VLOOKUP(tbMoveset!A3,tbMoveset!A2:I112,9,FALSE)="Fire",Backdoors!BB46,IF(VLOOKUP(tbMoveset!A3,tbMoveset!A2:I112,9,FALSE)="Water",Backdoors!BC46,IF(VLOOKUP(tbMoveset!A3,tbMoveset!A2:I112,9,FALSE)="Thunder",Backdoors!BD46,IF(VLOOKUP(tbMoveset!A3,tbMoveset!A2:I112,9,FALSE)="Ice",Backdoors!BE46,IF(VLOOKUP(tbMoveset!A3,tbMoveset!A2:I112,9,FALSE)="Dragon",Backdoors!BF46,Backdoors!BG46)))))/100,Backdoors!BG46/100),"")</f>
        <v>0</v>
      </c>
      <c r="KS3" s="49">
        <f>IFERROR(IF(VLOOKUP(A3,tbMoveset!A2:J112,10,FALSE)=TRUE,IF((Backdoors!AI12+IF(KQ3&gt;=0.45,VLOOKUP(Calculator!E23,tbSkills!DH3:DI6,2,FALSE)+IF(AND(Calculator!B8=TRUE,Backdoors!BI46=TRUE),VLOOKUP(Calculator!E23,tbSkills!DH3:DJ6,3,FALSE),0),0))&gt;=0,1+(Backdoors!AL2*(IF((Backdoors!AI12+IF(KQ3&gt;=0.45,VLOOKUP(Calculator!E23,tbSkills!DH3:DI6,2,FALSE)+IF(AND(Calculator!B8=TRUE,Backdoors!BI46=TRUE),VLOOKUP(Calculator!E23,tbSkills!DH3:DJ6,3,FALSE),0),0))&gt;=100,100,(Backdoors!AI12+IF(KQ3&gt;=0.45,VLOOKUP(Calculator!E23,tbSkills!DH3:DI6,2,FALSE)+IF(AND(Calculator!B8=TRUE,Backdoors!BI46=TRUE),VLOOKUP(Calculator!E23,tbSkills!DH3:DJ6,3,FALSE),0),0)))/100)),(1-(0.25*((-Backdoors!AI12-IF(KQ3&gt;=0.45,VLOOKUP(Calculator!E23,tbSkills!DH3:DI6,2,FALSE)+IF(AND(Calculator!B8=TRUE,Backdoors!BI46=TRUE),VLOOKUP(Calculator!E23,tbSkills!DH3:DJ6,3,FALSE),0),0))/100)))),1),"")</f>
        <v>1</v>
      </c>
      <c r="KT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KQ3)*KS3)*(VLOOKUP(A3,tbMoveset!A2:C112,3,FALSE)/100)*IF(VLOOKUP(A3,tbMoveset!A2:B112,2,FALSE)="Projectile",Backdoors!N10,Backdoors!N9),0),"")</f>
        <v/>
      </c>
      <c r="KU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REF!&gt;0,VLOOKUP(Calculator!#REF!,tbSkills!AC3:AD5,2,FALSE),Backdoors!AL3)*(IF((Backdoors!AI12+IF(KQ3&gt;=0.45,VLOOKUP(Calculator!E23,tbSkills!DH3:DI6,2,FALSE)+IF(AND(Calculator!B8=TRUE,Backdoors!BI46=TRUE),VLOOKUP(Calculator!E23,tbSkills!DH3:DJ6,3,FALSE),0),0))&gt;=100,100,(Backdoors!AI12+IF(KQ3&gt;=0.45,VLOOKUP(Calculator!E23,tbSkills!DH3:DI6,2,FALSE)+IF(AND(Calculator!B8=TRUE,Backdoors!BI46=TRUE),VLOOKUP(Calculator!E23,tbSkills!DH3:DJ6,3,FALSE),0),0)))/100)),1))*IF(VLOOKUP(A3,tbMoveset!A2:K112,11,FALSE)=TRUE,Backdoors!AC5,1))*KR3,0),"")</f>
        <v/>
      </c>
      <c r="KV3" s="49">
        <f>VLOOKUP(A3,tbMoveset!A2:G112,7,FALSE)*IFERROR(IF(Backdoors!AI12&gt;=0,1+(IF(Calculator!E40&gt;0,VLOOKUP(Calculator!E40,tbSkills!AI3:AJ5,2,FALSE),Backdoors!AL4)*(IF((Backdoors!AI12+IF(KQ3&gt;=0.45,VLOOKUP(Calculator!E23,tbSkills!DH3:DI6,2,FALSE)+IF(AND(Calculator!B8=TRUE,Backdoors!BI46=TRUE),VLOOKUP(Calculator!E23,tbSkills!DH3:DJ6,3,FALSE),0),0))&gt;=100,100,(Backdoors!AI12+IF(KQ3&gt;=0.45,VLOOKUP(Calculator!E23,tbSkills!DH3:DI6,2,FALSE)+IF(AND(Calculator!B8=TRUE,Backdoors!BI46=TRUE),VLOOKUP(Calculator!E23,tbSkills!DH3:DJ6,3,FALSE),0),0)))/100)),1),1)</f>
        <v>0.4</v>
      </c>
      <c r="KW3" s="87">
        <f>SUM(KT3:KU3)</f>
        <v>0</v>
      </c>
    </row>
    <row r="4" spans="1:309" x14ac:dyDescent="0.25">
      <c r="A4" s="95" t="str">
        <f>tbMoveset!A4</f>
        <v>Double Slash (R)</v>
      </c>
      <c r="B4" s="86">
        <f>IFERROR(IF(VLOOKUP(A4,tbMoveset!A2:B112,2,FALSE)="Sever",Backdoors!AY3/100,IF(VLOOKUP(A4,tbMoveset!A2:B112,2,FALSE)="Blunt",Backdoors!AZ3/100,Backdoors!BA3/100)),"")</f>
        <v>0.8</v>
      </c>
      <c r="C4" s="49">
        <f>IFERROR(IF(VLOOKUP(tbMoveset!A4,tbMoveset!A2:H112,8,FALSE)="Other",IF(VLOOKUP(tbMoveset!A4,tbMoveset!A2:I112,9,FALSE)="Fire",Backdoors!BB3,IF(VLOOKUP(tbMoveset!A4,tbMoveset!A2:I112,9,FALSE)="Water",Backdoors!BC3,IF(VLOOKUP(tbMoveset!A4,tbMoveset!A2:I112,9,FALSE)="Thunder",Backdoors!BD3,IF(VLOOKUP(tbMoveset!A4,tbMoveset!A2:I112,9,FALSE)="Ice",Backdoors!BE3,IF(VLOOKUP(tbMoveset!A4,tbMoveset!A2:I112,9,FALSE)="Dragon",Backdoors!BF3,Backdoors!BG3)))))/100,Backdoors!BG3/100),"")</f>
        <v>0</v>
      </c>
      <c r="D4" s="49">
        <f>IFERROR(IF(VLOOKUP(A4,tbMoveset!A2:J112,10,FALSE)=TRUE,IF((Backdoors!AI12+IF(B4&gt;=0.45,VLOOKUP(Calculator!E23,tbSkills!DH3:DI6,2,FALSE)+IF(AND(Calculator!B8=TRUE,Backdoors!BI3=TRUE),VLOOKUP(Calculator!E23,tbSkills!DH3:DJ6,3,FALSE),0),0))&gt;=0,1+(Backdoors!AL2*(IF((Backdoors!AI12+IF(B4&gt;=0.45,VLOOKUP(Calculator!E23,tbSkills!DH3:DI6,2,FALSE)+IF(AND(Calculator!B8=TRUE,Backdoors!BI3=TRUE),VLOOKUP(Calculator!E23,tbSkills!DH3:DJ6,3,FALSE),0),0))&gt;=100,100,(Backdoors!AI12+IF(B4&gt;=0.45,VLOOKUP(Calculator!E23,tbSkills!DH3:DI6,2,FALSE)+IF(AND(Calculator!B8=TRUE,Backdoors!BI3=TRUE),VLOOKUP(Calculator!E23,tbSkills!DH3:DJ6,3,FALSE),0),0)))/100)),(1-(0.25*((-Backdoors!AI12-IF(B4&gt;=0.45,VLOOKUP(Calculator!E23,tbSkills!DH3:DI6,2,FALSE)+IF(AND(Calculator!B8=TRUE,Backdoors!BI3=TRUE),VLOOKUP(Calculator!E23,tbSkills!DH3:DJ6,3,FALSE),0),0))/100)))),1),"")</f>
        <v>1</v>
      </c>
      <c r="E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4)*D4)*(VLOOKUP(A4,tbMoveset!A2:C112,3,FALSE)/100)*IF(VLOOKUP(A4,tbMoveset!A2:B112,2,FALSE)="Projectile",Backdoors!N10,Backdoors!N9),0),"")</f>
        <v>7</v>
      </c>
      <c r="F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4&gt;=0.45,VLOOKUP(Calculator!E23,tbSkills!DH3:DI6,2,FALSE)+IF(AND(Calculator!B8=TRUE,Backdoors!BI3=TRUE),VLOOKUP(Calculator!E23,tbSkills!DH3:DJ6,3,FALSE),0),0))&gt;=100,100,(Backdoors!AI12+IF(B4&gt;=0.45,VLOOKUP(Calculator!E23,tbSkills!DH3:DI6,2,FALSE)+IF(AND(Calculator!B8=TRUE,Backdoors!BI3=TRUE),VLOOKUP(Calculator!E23,tbSkills!DH3:DJ6,3,FALSE),0),0)))/100)),1))*IF(VLOOKUP(A4,tbMoveset!A2:K112,11,FALSE)=TRUE,Backdoors!AC5,1))*C4,0),"")</f>
        <v>0</v>
      </c>
      <c r="G4">
        <f>VLOOKUP(A4,tbMoveset!A2:G112,7,FALSE)*IFERROR(IF(Backdoors!AI12&gt;=0,1+(IF(Calculator!E40&gt;0,VLOOKUP(Calculator!E40,tbSkills!AI3:AJ5,2,FALSE),Backdoors!AL4)*(IF((Backdoors!AI12+IF(B4&gt;=0.45,VLOOKUP(Calculator!E23,tbSkills!DH3:DI6,2,FALSE)+IF(AND(Calculator!B8=TRUE,Backdoors!BI3=TRUE),VLOOKUP(Calculator!E23,tbSkills!DH3:DJ6,3,FALSE),0),0))&gt;=100,100,(Backdoors!AI12+IF(B4&gt;=0.45,VLOOKUP(Calculator!E23,tbSkills!DH3:DI6,2,FALSE)+IF(AND(Calculator!B8=TRUE,Backdoors!BI3=TRUE),VLOOKUP(Calculator!E23,tbSkills!DH3:DJ6,3,FALSE),0),0)))/100)),1),1)</f>
        <v>0.4</v>
      </c>
      <c r="H4" s="87">
        <f>SUM(E4:F4)</f>
        <v>7</v>
      </c>
      <c r="I4" s="86">
        <f>IFERROR(IF(VLOOKUP(A4,tbMoveset!A2:B112,2,FALSE)="Sever",Backdoors!AY4/100,IF(VLOOKUP(A4,tbMoveset!A2:B112,2,FALSE)="Blunt",Backdoors!AZ4/100,Backdoors!BA4/100)),"")</f>
        <v>0.65</v>
      </c>
      <c r="J4" s="49">
        <f>IFERROR(IF(VLOOKUP(tbMoveset!A4,tbMoveset!A2:H112,8,FALSE)="Other",IF(VLOOKUP(tbMoveset!A4,tbMoveset!A2:I112,9,FALSE)="Fire",Backdoors!BB4,IF(VLOOKUP(tbMoveset!A4,tbMoveset!A2:I112,9,FALSE)="Water",Backdoors!BC4,IF(VLOOKUP(tbMoveset!A4,tbMoveset!A2:I112,9,FALSE)="Thunder",Backdoors!BD4,IF(VLOOKUP(tbMoveset!A4,tbMoveset!A2:I112,9,FALSE)="Ice",Backdoors!BE4,IF(VLOOKUP(tbMoveset!A4,tbMoveset!A2:I112,9,FALSE)="Dragon",Backdoors!BF4,Backdoors!BG4)))))/100,Backdoors!BG4/100),"")</f>
        <v>0</v>
      </c>
      <c r="K4" s="49">
        <f>IFERROR(IF(VLOOKUP(A4,tbMoveset!A2:J112,10,FALSE)=TRUE,IF((Backdoors!AI12+IF(I4&gt;=0.45,VLOOKUP(Calculator!E23,tbSkills!DH3:DI6,2,FALSE)+IF(AND(Calculator!B8=TRUE,Backdoors!BI4=TRUE),VLOOKUP(Calculator!E23,tbSkills!DH3:DJ6,3,FALSE),0),0))&gt;=0,1+(Backdoors!AL2*(IF((Backdoors!AI12+IF(I4&gt;=0.45,VLOOKUP(Calculator!E23,tbSkills!DH3:DI6,2,FALSE)+IF(AND(Calculator!B8=TRUE,Backdoors!BI4=TRUE),VLOOKUP(Calculator!E23,tbSkills!DH3:DJ6,3,FALSE),0),0))&gt;=100,100,(Backdoors!AI12+IF(I4&gt;=0.45,VLOOKUP(Calculator!E23,tbSkills!DH3:DI6,2,FALSE)+IF(AND(Calculator!B8=TRUE,Backdoors!BI4=TRUE),VLOOKUP(Calculator!E23,tbSkills!DH3:DJ6,3,FALSE),0),0)))/100)),(1-(0.25*((-Backdoors!AI12-IF(I4&gt;=0.45,VLOOKUP(Calculator!E23,tbSkills!DH3:DI6,2,FALSE)+IF(AND(Calculator!B8=TRUE,Backdoors!BI4=TRUE),VLOOKUP(Calculator!E23,tbSkills!DH3:DJ6,3,FALSE),0),0))/100)))),1),"")</f>
        <v>1</v>
      </c>
      <c r="L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4)*K4)*(VLOOKUP(A4,tbMoveset!A2:C112,3,FALSE)/100)*IF(VLOOKUP(A4,tbMoveset!A2:B112,2,FALSE)="Projectile",Backdoors!N10,Backdoors!N9),0),"")</f>
        <v>5</v>
      </c>
      <c r="M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I4&gt;=0.45,VLOOKUP(Calculator!E23,tbSkills!DH3:DI6,2,FALSE)+IF(AND(Calculator!B8=TRUE,Backdoors!BI4=TRUE),VLOOKUP(Calculator!E23,tbSkills!DH3:DJ6,3,FALSE),0),0))&gt;=100,100,(Backdoors!AI12+IF(I4&gt;=0.45,VLOOKUP(Calculator!E23,tbSkills!DH3:DI6,2,FALSE)+IF(AND(Calculator!B8=TRUE,Backdoors!BI4=TRUE),VLOOKUP(Calculator!E23,tbSkills!DH3:DJ6,3,FALSE),0),0)))/100)),1))*IF(VLOOKUP(A4,tbMoveset!A2:K112,11,FALSE)=TRUE,Backdoors!AC5,1))*J4,0),"")</f>
        <v>0</v>
      </c>
      <c r="N4" s="49">
        <f>VLOOKUP(A4,tbMoveset!A2:G112,7,FALSE)*IFERROR(IF(Backdoors!AI12&gt;=0,1+(IF(Calculator!E40&gt;0,VLOOKUP(Calculator!E40,tbSkills!AI3:AJ5,2,FALSE),Backdoors!AL4)*(IF((Backdoors!AI12+IF(I4&gt;=0.45,VLOOKUP(Calculator!E23,tbSkills!DH3:DI6,2,FALSE)+IF(AND(Calculator!B8=TRUE,Backdoors!BI4=TRUE),VLOOKUP(Calculator!E23,tbSkills!DH3:DJ6,3,FALSE),0),0))&gt;=100,100,(Backdoors!AI12+IF(I4&gt;=0.45,VLOOKUP(Calculator!E23,tbSkills!DH3:DI6,2,FALSE)+IF(AND(Calculator!B8=TRUE,Backdoors!BI4=TRUE),VLOOKUP(Calculator!E23,tbSkills!DH3:DJ6,3,FALSE),0),0)))/100)),1),1)</f>
        <v>0.4</v>
      </c>
      <c r="O4" s="87">
        <f>SUM(L4:M4)</f>
        <v>5</v>
      </c>
      <c r="P4" s="86">
        <f>IFERROR(IF(VLOOKUP(A4,tbMoveset!A2:B112,2,FALSE)="Sever",Backdoors!AY5/100,IF(VLOOKUP(A4,tbMoveset!A2:B112,2,FALSE)="Blunt",Backdoors!AZ5/100,Backdoors!BA5/100)),"")</f>
        <v>0.5</v>
      </c>
      <c r="Q4" s="49">
        <f>IFERROR(IF(VLOOKUP(tbMoveset!A4,tbMoveset!A2:H112,8,FALSE)="Other",IF(VLOOKUP(tbMoveset!A4,tbMoveset!A2:I112,9,FALSE)="Fire",Backdoors!BB5,IF(VLOOKUP(tbMoveset!A4,tbMoveset!A2:I112,9,FALSE)="Water",Backdoors!BC5,IF(VLOOKUP(tbMoveset!A4,tbMoveset!A2:I112,9,FALSE)="Thunder",Backdoors!BD5,IF(VLOOKUP(tbMoveset!A4,tbMoveset!A2:I112,9,FALSE)="Ice",Backdoors!BE5,IF(VLOOKUP(tbMoveset!A4,tbMoveset!A2:I112,9,FALSE)="Dragon",Backdoors!BF5,Backdoors!BG5)))))/100,Backdoors!BG5/100),"")</f>
        <v>0</v>
      </c>
      <c r="R4" s="49">
        <f>IFERROR(IF(VLOOKUP(A4,tbMoveset!A2:J112,10,FALSE)=TRUE,IF((Backdoors!AI12+IF(P4&gt;=0.45,VLOOKUP(Calculator!E23,tbSkills!DH3:DI6,2,FALSE)+IF(AND(Calculator!B8=TRUE,Backdoors!BI5=TRUE),VLOOKUP(Calculator!E23,tbSkills!DH3:DJ6,3,FALSE),0),0))&gt;=0,1+(Backdoors!AL2*(IF((Backdoors!AI12+IF(P4&gt;=0.45,VLOOKUP(Calculator!E23,tbSkills!DH3:DI6,2,FALSE)+IF(AND(Calculator!B8=TRUE,Backdoors!BI5=TRUE),VLOOKUP(Calculator!E23,tbSkills!DH3:DJ6,3,FALSE),0),0))&gt;=100,100,(Backdoors!AI12+IF(P4&gt;=0.45,VLOOKUP(Calculator!E23,tbSkills!DH3:DI6,2,FALSE)+IF(AND(Calculator!B8=TRUE,Backdoors!BI5=TRUE),VLOOKUP(Calculator!E23,tbSkills!DH3:DJ6,3,FALSE),0),0)))/100)),(1-(0.25*((-Backdoors!AI12-IF(P4&gt;=0.45,VLOOKUP(Calculator!E23,tbSkills!DH3:DI6,2,FALSE)+IF(AND(Calculator!B8=TRUE,Backdoors!BI5=TRUE),VLOOKUP(Calculator!E23,tbSkills!DH3:DJ6,3,FALSE),0),0))/100)))),1),"")</f>
        <v>1</v>
      </c>
      <c r="S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P4)*R4)*(VLOOKUP(A4,tbMoveset!A2:C112,3,FALSE)/100)*IF(VLOOKUP(A4,tbMoveset!A2:B112,2,FALSE)="Projectile",Backdoors!N10,Backdoors!N9),0),"")</f>
        <v>4</v>
      </c>
      <c r="T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P4&gt;=0.45,VLOOKUP(Calculator!E23,tbSkills!DH3:DI6,2,FALSE)+IF(AND(Calculator!B8=TRUE,Backdoors!BI5=TRUE),VLOOKUP(Calculator!E23,tbSkills!DH3:DJ6,3,FALSE),0),0))&gt;=100,100,(Backdoors!AI12+IF(P4&gt;=0.45,VLOOKUP(Calculator!E23,tbSkills!DH3:DI6,2,FALSE)+IF(AND(Calculator!B8=TRUE,Backdoors!BI5=TRUE),VLOOKUP(Calculator!E23,tbSkills!DH3:DJ6,3,FALSE),0),0)))/100)),1))*IF(VLOOKUP(A4,tbMoveset!A2:K112,11,FALSE)=TRUE,Backdoors!AC5,1))*Q4,0),"")</f>
        <v>0</v>
      </c>
      <c r="U4" s="49">
        <f>VLOOKUP(A4,tbMoveset!A2:G112,7,FALSE)*IFERROR(IF(Backdoors!AI12&gt;=0,1+(IF(Calculator!E40&gt;0,VLOOKUP(Calculator!E40,tbSkills!AI3:AJ5,2,FALSE),Backdoors!AL4)*(IF((Backdoors!AI12+IF(P4&gt;=0.45,VLOOKUP(Calculator!E23,tbSkills!DH3:DI6,2,FALSE)+IF(AND(Calculator!B8=TRUE,Backdoors!BI5=TRUE),VLOOKUP(Calculator!E23,tbSkills!DH3:DJ6,3,FALSE),0),0))&gt;=100,100,(Backdoors!AI12+IF(P4&gt;=0.45,VLOOKUP(Calculator!E23,tbSkills!DH3:DI6,2,FALSE)+IF(AND(Calculator!B8=TRUE,Backdoors!BI5=TRUE),VLOOKUP(Calculator!E23,tbSkills!DH3:DJ6,3,FALSE),0),0)))/100)),1),1)</f>
        <v>0.4</v>
      </c>
      <c r="V4" s="87">
        <f>SUM(S4:T4)</f>
        <v>4</v>
      </c>
      <c r="W4" s="86">
        <f>IFERROR(IF(VLOOKUP(A4,tbMoveset!A2:B112,2,FALSE)="Sever",Backdoors!AY6/100,IF(VLOOKUP(A4,tbMoveset!A2:B112,2,FALSE)="Blunt",Backdoors!AZ6/100,Backdoors!BA6/100)),"")</f>
        <v>0.45</v>
      </c>
      <c r="X4" s="49">
        <f>IFERROR(IF(VLOOKUP(tbMoveset!A4,tbMoveset!A2:H112,8,FALSE)="Other",IF(VLOOKUP(tbMoveset!A4,tbMoveset!A2:I112,9,FALSE)="Fire",Backdoors!BB6,IF(VLOOKUP(tbMoveset!A4,tbMoveset!A2:I112,9,FALSE)="Water",Backdoors!BC6,IF(VLOOKUP(tbMoveset!A4,tbMoveset!A2:I112,9,FALSE)="Thunder",Backdoors!BD6,IF(VLOOKUP(tbMoveset!A4,tbMoveset!A2:I112,9,FALSE)="Ice",Backdoors!BE6,IF(VLOOKUP(tbMoveset!A4,tbMoveset!A2:I112,9,FALSE)="Dragon",Backdoors!BF6,Backdoors!BG6)))))/100,Backdoors!BG6/100),"")</f>
        <v>0</v>
      </c>
      <c r="Y4" s="49">
        <f>IFERROR(IF(VLOOKUP(A4,tbMoveset!A2:J112,10,FALSE)=TRUE,IF((Backdoors!AI12+IF(W4&gt;=0.45,VLOOKUP(Calculator!E23,tbSkills!DH3:DI6,2,FALSE)+IF(AND(Calculator!B8=TRUE,Backdoors!BI6=TRUE),VLOOKUP(Calculator!E23,tbSkills!DH3:DJ6,3,FALSE),0),0))&gt;=0,1+(Backdoors!AL2*(IF((Backdoors!AI12+IF(W4&gt;=0.45,VLOOKUP(Calculator!E23,tbSkills!DH3:DI6,2,FALSE)+IF(AND(Calculator!B8=TRUE,Backdoors!BI6=TRUE),VLOOKUP(Calculator!E23,tbSkills!DH3:DJ6,3,FALSE),0),0))&gt;=100,100,(Backdoors!AI12+IF(W4&gt;=0.45,VLOOKUP(Calculator!E23,tbSkills!DH3:DI6,2,FALSE)+IF(AND(Calculator!B8=TRUE,Backdoors!BI6=TRUE),VLOOKUP(Calculator!E23,tbSkills!DH3:DJ6,3,FALSE),0),0)))/100)),(1-(0.25*((-Backdoors!AI12-IF(W4&gt;=0.45,VLOOKUP(Calculator!E23,tbSkills!DH3:DI6,2,FALSE)+IF(AND(Calculator!B8=TRUE,Backdoors!BI6=TRUE),VLOOKUP(Calculator!E23,tbSkills!DH3:DJ6,3,FALSE),0),0))/100)))),1),"")</f>
        <v>1</v>
      </c>
      <c r="Z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W4)*Y4)*(VLOOKUP(A4,tbMoveset!A2:C112,3,FALSE)/100)*IF(VLOOKUP(A4,tbMoveset!A2:B112,2,FALSE)="Projectile",Backdoors!N10,Backdoors!N9),0),"")</f>
        <v>4</v>
      </c>
      <c r="AA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W4&gt;=0.45,VLOOKUP(Calculator!E23,tbSkills!DH3:DI6,2,FALSE)+IF(AND(Calculator!B8=TRUE,Backdoors!BI6=TRUE),VLOOKUP(Calculator!E23,tbSkills!DH3:DJ6,3,FALSE),0),0))&gt;=100,100,(Backdoors!AI12+IF(W4&gt;=0.45,VLOOKUP(Calculator!E23,tbSkills!DH3:DI6,2,FALSE)+IF(AND(Calculator!B8=TRUE,Backdoors!BI6=TRUE),VLOOKUP(Calculator!E23,tbSkills!DH3:DJ6,3,FALSE),0),0)))/100)),1))*IF(VLOOKUP(A4,tbMoveset!A2:K112,11,FALSE)=TRUE,Backdoors!AC5,1))*X4,0),"")</f>
        <v>0</v>
      </c>
      <c r="AB4" s="49">
        <f>VLOOKUP(A4,tbMoveset!A2:G112,7,FALSE)*IFERROR(IF(Backdoors!AI12&gt;=0,1+(IF(Calculator!E40&gt;0,VLOOKUP(Calculator!E40,tbSkills!AI3:AJ5,2,FALSE),Backdoors!AL4)*(IF((Backdoors!AI12+IF(W4&gt;=0.45,VLOOKUP(Calculator!E23,tbSkills!DH3:DI6,2,FALSE)+IF(AND(Calculator!B8=TRUE,Backdoors!BI6=TRUE),VLOOKUP(Calculator!E23,tbSkills!DH3:DJ6,3,FALSE),0),0))&gt;=100,100,(Backdoors!AI12+IF(W4&gt;=0.45,VLOOKUP(Calculator!E23,tbSkills!DH3:DI6,2,FALSE)+IF(AND(Calculator!B8=TRUE,Backdoors!BI6=TRUE),VLOOKUP(Calculator!E23,tbSkills!DH3:DJ6,3,FALSE),0),0)))/100)),1),1)</f>
        <v>0.4</v>
      </c>
      <c r="AC4" s="87">
        <f t="shared" ref="AC4:AC34" si="0">SUM(Z4:AA4)</f>
        <v>4</v>
      </c>
      <c r="AD4" s="86">
        <f>IFERROR(IF(VLOOKUP(A4,tbMoveset!A2:B112,2,FALSE)="Sever",Backdoors!AY7/100,IF(VLOOKUP(A4,tbMoveset!A2:B112,2,FALSE)="Blunt",Backdoors!AZ7/100,Backdoors!BA7/100)),"")</f>
        <v>0.65</v>
      </c>
      <c r="AE4" s="49">
        <f>IFERROR(IF(VLOOKUP(tbMoveset!A4,tbMoveset!A2:H112,8,FALSE)="Other",IF(VLOOKUP(tbMoveset!A4,tbMoveset!A2:I112,9,FALSE)="Fire",Backdoors!BB7,IF(VLOOKUP(tbMoveset!A4,tbMoveset!A2:I112,9,FALSE)="Water",Backdoors!BC7,IF(VLOOKUP(tbMoveset!A4,tbMoveset!A2:I112,9,FALSE)="Thunder",Backdoors!BD7,IF(VLOOKUP(tbMoveset!A4,tbMoveset!A2:I112,9,FALSE)="Ice",Backdoors!BE7,IF(VLOOKUP(tbMoveset!A4,tbMoveset!A2:I112,9,FALSE)="Dragon",Backdoors!BF7,Backdoors!BG7)))))/100,Backdoors!BG7/100),"")</f>
        <v>0</v>
      </c>
      <c r="AF4" s="49">
        <f>IFERROR(IF(VLOOKUP(A4,tbMoveset!A2:J112,10,FALSE)=TRUE,IF((Backdoors!AI12+IF(AD4&gt;=0.45,VLOOKUP(Calculator!E23,tbSkills!DH3:DI6,2,FALSE)+IF(AND(Calculator!B8=TRUE,Backdoors!BI7=TRUE),VLOOKUP(Calculator!E23,tbSkills!DH3:DJ6,3,FALSE),0),0))&gt;=0,1+(Backdoors!AL2*(IF((Backdoors!AI12+IF(AD4&gt;=0.45,VLOOKUP(Calculator!E23,tbSkills!DH3:DI6,2,FALSE)+IF(AND(Calculator!B8=TRUE,Backdoors!BI7=TRUE),VLOOKUP(Calculator!E23,tbSkills!DH3:DJ6,3,FALSE),0),0))&gt;=100,100,(Backdoors!AI12+IF(AD4&gt;=0.45,VLOOKUP(Calculator!E23,tbSkills!DH3:DI6,2,FALSE)+IF(AND(Calculator!B8=TRUE,Backdoors!BI7=TRUE),VLOOKUP(Calculator!E23,tbSkills!DH3:DJ6,3,FALSE),0),0)))/100)),(1-(0.25*((-Backdoors!AI12-IF(AD4&gt;=0.45,VLOOKUP(Calculator!E23,tbSkills!DH3:DI6,2,FALSE)+IF(AND(Calculator!B8=TRUE,Backdoors!BI7=TRUE),VLOOKUP(Calculator!E23,tbSkills!DH3:DJ6,3,FALSE),0),0))/100)))),1),"")</f>
        <v>1</v>
      </c>
      <c r="AG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D4)*AF4)*(VLOOKUP(A4,tbMoveset!A2:C112,3,FALSE)/100)*IF(VLOOKUP(A4,tbMoveset!A2:B112,2,FALSE)="Projectile",Backdoors!N10,Backdoors!N9),0),"")</f>
        <v>5</v>
      </c>
      <c r="AH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D4&gt;=0.45,VLOOKUP(Calculator!E23,tbSkills!DH3:DI6,2,FALSE)+IF(AND(Calculator!B8=TRUE,Backdoors!BI7=TRUE),VLOOKUP(Calculator!E23,tbSkills!DH3:DJ6,3,FALSE),0),0))&gt;=100,100,(Backdoors!AI12+IF(AD4&gt;=0.45,VLOOKUP(Calculator!E23,tbSkills!DH3:DI6,2,FALSE)+IF(AND(Calculator!B8=TRUE,Backdoors!BI7=TRUE),VLOOKUP(Calculator!E23,tbSkills!DH3:DJ6,3,FALSE),0),0)))/100)),1))*IF(VLOOKUP(A4,tbMoveset!A2:K112,11,FALSE)=TRUE,Backdoors!AC5,1))*AE4,0),"")</f>
        <v>0</v>
      </c>
      <c r="AI4" s="49">
        <f>VLOOKUP(A4,tbMoveset!A2:G112,7,FALSE)*IFERROR(IF(Backdoors!AI12&gt;=0,1+(IF(Calculator!E40&gt;0,VLOOKUP(Calculator!E40,tbSkills!AI3:AJ5,2,FALSE),Backdoors!AL4)*(IF((Backdoors!AI12+IF(AD4&gt;=0.45,VLOOKUP(Calculator!E23,tbSkills!DH3:DI6,2,FALSE)+IF(AND(Calculator!B8=TRUE,Backdoors!BI7=TRUE),VLOOKUP(Calculator!E23,tbSkills!DH3:DJ6,3,FALSE),0),0))&gt;=100,100,(Backdoors!AI12+IF(AD4&gt;=0.45,VLOOKUP(Calculator!E23,tbSkills!DH3:DI6,2,FALSE)+IF(AND(Calculator!B8=TRUE,Backdoors!BI7=TRUE),VLOOKUP(Calculator!E23,tbSkills!DH3:DJ6,3,FALSE),0),0)))/100)),1),1)</f>
        <v>0.4</v>
      </c>
      <c r="AJ4" s="87">
        <f t="shared" ref="AJ4:AJ34" si="1">SUM(AG4:AH4)</f>
        <v>5</v>
      </c>
      <c r="AK4" s="91">
        <f>IFERROR(IF(VLOOKUP(A4,tbMoveset!A2:B112,2,FALSE)="Sever",Backdoors!AY8/100,IF(VLOOKUP(A4,tbMoveset!A2:B112,2,FALSE)="Blunt",Backdoors!AZ8/100,Backdoors!BA8/100)),"")</f>
        <v>0.45</v>
      </c>
      <c r="AL4" s="49">
        <f>IFERROR(IF(VLOOKUP(tbMoveset!A4,tbMoveset!A2:H112,8,FALSE)="Other",IF(VLOOKUP(tbMoveset!A4,tbMoveset!A2:I112,9,FALSE)="Fire",Backdoors!BB8,IF(VLOOKUP(tbMoveset!A4,tbMoveset!A2:I112,9,FALSE)="Water",Backdoors!BC8,IF(VLOOKUP(tbMoveset!A4,tbMoveset!A2:I112,9,FALSE)="Thunder",Backdoors!BD8,IF(VLOOKUP(tbMoveset!A4,tbMoveset!A2:I112,9,FALSE)="Ice",Backdoors!BE8,IF(VLOOKUP(tbMoveset!A4,tbMoveset!A2:I112,9,FALSE)="Dragon",Backdoors!BF8,Backdoors!BG8)))))/100,Backdoors!BG8/100),"")</f>
        <v>0</v>
      </c>
      <c r="AM4" s="49">
        <f>IFERROR(IF(VLOOKUP(A4,tbMoveset!A2:J112,10,FALSE)=TRUE,IF((Backdoors!AI12+IF(AK4&gt;=0.45,VLOOKUP(Calculator!E23,tbSkills!DH3:DI6,2,FALSE)+IF(AND(Calculator!B8=TRUE,Backdoors!BI8=TRUE),VLOOKUP(Calculator!E23,tbSkills!DH3:DJ6,3,FALSE),0),0))&gt;=0,1+(Backdoors!AL2*(IF((Backdoors!AI12+IF(AK4&gt;=0.45,VLOOKUP(Calculator!E23,tbSkills!DH3:DI6,2,FALSE)+IF(AND(Calculator!B8=TRUE,Backdoors!BI8=TRUE),VLOOKUP(Calculator!E23,tbSkills!DH3:DJ6,3,FALSE),0),0))&gt;=100,100,(Backdoors!AI12+IF(AK4&gt;=0.45,VLOOKUP(Calculator!E23,tbSkills!DH3:DI6,2,FALSE)+IF(AND(Calculator!B8=TRUE,Backdoors!BI8=TRUE),VLOOKUP(Calculator!E23,tbSkills!DH3:DJ6,3,FALSE),0),0)))/100)),(1-(0.25*((-Backdoors!AI12-IF(AK4&gt;=0.45,VLOOKUP(Calculator!E23,tbSkills!DH3:DI6,2,FALSE)+IF(AND(Calculator!B8=TRUE,Backdoors!BI8=TRUE),VLOOKUP(Calculator!E23,tbSkills!DH3:DJ6,3,FALSE),0),0))/100)))),1),"")</f>
        <v>1</v>
      </c>
      <c r="AN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K4)*AM4)*(VLOOKUP(A4,tbMoveset!A2:C112,3,FALSE)/100)*IF(VLOOKUP(A4,tbMoveset!A2:B112,2,FALSE)="Projectile",Backdoors!N10,Backdoors!N9),0),"")</f>
        <v>4</v>
      </c>
      <c r="AO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K4&gt;=0.45,VLOOKUP(Calculator!E23,tbSkills!DH3:DI6,2,FALSE)+IF(AND(Calculator!B8=TRUE,Backdoors!BI8=TRUE),VLOOKUP(Calculator!E23,tbSkills!DH3:DJ6,3,FALSE),0),0))&gt;=100,100,(Backdoors!AI12+IF(AK4&gt;=0.45,VLOOKUP(Calculator!E23,tbSkills!DH3:DI6,2,FALSE)+IF(AND(Calculator!B8=TRUE,Backdoors!BI8=TRUE),VLOOKUP(Calculator!E23,tbSkills!DH3:DJ6,3,FALSE),0),0)))/100)),1))*IF(VLOOKUP(A4,tbMoveset!A2:K112,11,FALSE)=TRUE,Backdoors!AC5,1))*AL4,0),"")</f>
        <v>0</v>
      </c>
      <c r="AP4" s="49">
        <f>VLOOKUP(A4,tbMoveset!A2:G112,7,FALSE)*IFERROR(IF(Backdoors!AI12&gt;=0,1+(IF(Calculator!E40&gt;0,VLOOKUP(Calculator!E40,tbSkills!AI3:AJ5,2,FALSE),Backdoors!AL4)*(IF((Backdoors!AI12+IF(AK4&gt;=0.45,VLOOKUP(Calculator!E23,tbSkills!DH3:DI6,2,FALSE)+IF(AND(Calculator!B8=TRUE,Backdoors!BI8=TRUE),VLOOKUP(Calculator!E23,tbSkills!DH3:DJ6,3,FALSE),0),0))&gt;=100,100,(Backdoors!AI12+IF(AK4&gt;=0.45,VLOOKUP(Calculator!E23,tbSkills!DH3:DI6,2,FALSE)+IF(AND(Calculator!B8=TRUE,Backdoors!BI8=TRUE),VLOOKUP(Calculator!E23,tbSkills!DH3:DJ6,3,FALSE),0),0)))/100)),1),1)</f>
        <v>0.4</v>
      </c>
      <c r="AQ4" s="87">
        <f t="shared" ref="AQ4:AQ34" si="2">SUM(AN4:AO4)</f>
        <v>4</v>
      </c>
      <c r="AR4" s="86">
        <f>IFERROR(IF(VLOOKUP(A4,tbMoveset!A2:B112,2,FALSE)="Sever",Backdoors!AY9/100,IF(VLOOKUP(A4,tbMoveset!A2:B112,2,FALSE)="Blunt",Backdoors!AZ9/100,Backdoors!BA9/100)),"")</f>
        <v>0.45</v>
      </c>
      <c r="AS4" s="49">
        <f>IFERROR(IF(VLOOKUP(tbMoveset!A4,tbMoveset!A2:H112,8,FALSE)="Other",IF(VLOOKUP(tbMoveset!A4,tbMoveset!A2:I112,9,FALSE)="Fire",Backdoors!BB9,IF(VLOOKUP(tbMoveset!A4,tbMoveset!A2:I112,9,FALSE)="Water",Backdoors!BC9,IF(VLOOKUP(tbMoveset!A4,tbMoveset!A2:I112,9,FALSE)="Thunder",Backdoors!BD9,IF(VLOOKUP(tbMoveset!A4,tbMoveset!A2:I112,9,FALSE)="Ice",Backdoors!BE9,IF(VLOOKUP(tbMoveset!A4,tbMoveset!A2:I112,9,FALSE)="Dragon",Backdoors!BF9,Backdoors!BG9)))))/100,Backdoors!BG9/100),"")</f>
        <v>0</v>
      </c>
      <c r="AT4" s="49">
        <f>IFERROR(IF(VLOOKUP(A4,tbMoveset!A2:J112,10,FALSE)=TRUE,IF((Backdoors!AI12+IF(AR4&gt;=0.45,VLOOKUP(Calculator!E23,tbSkills!DH3:DI6,2,FALSE)+IF(AND(Calculator!B8=TRUE,Backdoors!BI9=TRUE),VLOOKUP(Calculator!E23,tbSkills!DH3:DJ6,3,FALSE),0),0))&gt;=0,1+(Backdoors!AL2*(IF((Backdoors!AI12+IF(AR4&gt;=0.45,VLOOKUP(Calculator!E23,tbSkills!DH3:DI6,2,FALSE)+IF(AND(Calculator!B8=TRUE,Backdoors!BI9=TRUE),VLOOKUP(Calculator!E23,tbSkills!DH3:DJ6,3,FALSE),0),0))&gt;=100,100,(Backdoors!AI12+IF(AR4&gt;=0.45,VLOOKUP(Calculator!E23,tbSkills!DH3:DI6,2,FALSE)+IF(AND(Calculator!B8=TRUE,Backdoors!BI9=TRUE),VLOOKUP(Calculator!E23,tbSkills!DH3:DJ6,3,FALSE),0),0)))/100)),(1-(0.25*((-Backdoors!AI12-IF(AR4&gt;=0.45,VLOOKUP(Calculator!E23,tbSkills!DH3:DI6,2,FALSE)+IF(AND(Calculator!B8=TRUE,Backdoors!BI9=TRUE),VLOOKUP(Calculator!E23,tbSkills!DH3:DJ6,3,FALSE),0),0))/100)))),1),"")</f>
        <v>1</v>
      </c>
      <c r="AU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R4)*AT4)*(VLOOKUP(A4,tbMoveset!A2:C112,3,FALSE)/100)*IF(VLOOKUP(A4,tbMoveset!A2:B112,2,FALSE)="Projectile",Backdoors!N10,Backdoors!N9),0),"")</f>
        <v>4</v>
      </c>
      <c r="AV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R4&gt;=0.45,VLOOKUP(Calculator!E23,tbSkills!DH3:DI6,2,FALSE)+IF(AND(Calculator!B8=TRUE,Backdoors!BI9=TRUE),VLOOKUP(Calculator!E23,tbSkills!DH3:DJ6,3,FALSE),0),0))&gt;=100,100,(Backdoors!AI12+IF(AR4&gt;=0.45,VLOOKUP(Calculator!E23,tbSkills!DH3:DI6,2,FALSE)+IF(AND(Calculator!B8=TRUE,Backdoors!BI9=TRUE),VLOOKUP(Calculator!E23,tbSkills!DH3:DJ6,3,FALSE),0),0)))/100)),1))*IF(VLOOKUP(A4,tbMoveset!A2:K112,11,FALSE)=TRUE,Backdoors!AC5,1))*AS4,0),"")</f>
        <v>0</v>
      </c>
      <c r="AW4" s="49">
        <f>VLOOKUP(A4,tbMoveset!A2:G112,7,FALSE)*IFERROR(IF(Backdoors!AI12&gt;=0,1+(IF(Calculator!E40&gt;0,VLOOKUP(Calculator!E40,tbSkills!AI3:AJ5,2,FALSE),Backdoors!AL4)*(IF((Backdoors!AI12+IF(AR4&gt;=0.45,VLOOKUP(Calculator!E23,tbSkills!DH3:DI6,2,FALSE)+IF(AND(Calculator!B8=TRUE,Backdoors!BI9=TRUE),VLOOKUP(Calculator!E23,tbSkills!DH3:DJ6,3,FALSE),0),0))&gt;=100,100,(Backdoors!AI12+IF(AR4&gt;=0.45,VLOOKUP(Calculator!E23,tbSkills!DH3:DI6,2,FALSE)+IF(AND(Calculator!B8=TRUE,Backdoors!BI9=TRUE),VLOOKUP(Calculator!E23,tbSkills!DH3:DJ6,3,FALSE),0),0)))/100)),1),1)</f>
        <v>0.4</v>
      </c>
      <c r="AX4" s="87">
        <f>SUM(AU4:AV4)</f>
        <v>4</v>
      </c>
      <c r="AY4" s="86">
        <f>IFERROR(IF(VLOOKUP(A4,tbMoveset!A2:B112,2,FALSE)="Sever",Backdoors!AY10/100,IF(VLOOKUP(A4,tbMoveset!A2:B112,2,FALSE)="Blunt",Backdoors!AZ10/100,Backdoors!BA10/100)),"")</f>
        <v>0.9</v>
      </c>
      <c r="AZ4" s="49">
        <f>IFERROR(IF(VLOOKUP(tbMoveset!A4,tbMoveset!A2:H112,8,FALSE)="Other",IF(VLOOKUP(tbMoveset!A4,tbMoveset!A2:I112,9,FALSE)="Fire",Backdoors!BB10,IF(VLOOKUP(tbMoveset!A4,tbMoveset!A2:I112,9,FALSE)="Water",Backdoors!BC10,IF(VLOOKUP(tbMoveset!A4,tbMoveset!A2:I112,9,FALSE)="Thunder",Backdoors!BD10,IF(VLOOKUP(tbMoveset!A4,tbMoveset!A2:I112,9,FALSE)="Ice",Backdoors!BE10,IF(VLOOKUP(tbMoveset!A4,tbMoveset!A2:I112,9,FALSE)="Dragon",Backdoors!BF10,Backdoors!BG10)))))/100,Backdoors!BG10/100),"")</f>
        <v>0</v>
      </c>
      <c r="BA4" s="49">
        <f>IFERROR(IF(VLOOKUP(A4,tbMoveset!A2:J112,10,FALSE)=TRUE,IF((Backdoors!AI12+IF(AY4&gt;=0.45,VLOOKUP(Calculator!E23,tbSkills!DH3:DI6,2,FALSE)+IF(AND(Calculator!B8=TRUE,Backdoors!BI10=TRUE),VLOOKUP(Calculator!E23,tbSkills!DH3:DJ6,3,FALSE),0),0))&gt;=0,1+(Backdoors!AL2*(IF((Backdoors!AI12+IF(AY4&gt;=0.45,VLOOKUP(Calculator!E23,tbSkills!DH3:DI6,2,FALSE)+IF(AND(Calculator!B8=TRUE,Backdoors!BI10=TRUE),VLOOKUP(Calculator!E23,tbSkills!DH3:DJ6,3,FALSE),0),0))&gt;=100,100,(Backdoors!AI12+IF(AY4&gt;=0.45,VLOOKUP(Calculator!E23,tbSkills!DH3:DI6,2,FALSE)+IF(AND(Calculator!B8=TRUE,Backdoors!BI10=TRUE),VLOOKUP(Calculator!E23,tbSkills!DH3:DJ6,3,FALSE),0),0)))/100)),(1-(0.25*((-Backdoors!AI12-IF(AY4&gt;=0.45,VLOOKUP(Calculator!E23,tbSkills!DH3:DI6,2,FALSE)+IF(AND(Calculator!B8=TRUE,Backdoors!BI10=TRUE),VLOOKUP(Calculator!E23,tbSkills!DH3:DJ6,3,FALSE),0),0))/100)))),1),"")</f>
        <v>1</v>
      </c>
      <c r="BB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Y4)*BA4)*(VLOOKUP(A4,tbMoveset!A2:C112,3,FALSE)/100)*IF(VLOOKUP(A4,tbMoveset!A2:B112,2,FALSE)="Projectile",Backdoors!N10,Backdoors!N9),0),"")</f>
        <v>8</v>
      </c>
      <c r="BC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Y4&gt;=0.45,VLOOKUP(Calculator!E23,tbSkills!DH3:DI6,2,FALSE)+IF(AND(Calculator!B8=TRUE,Backdoors!BI10=TRUE),VLOOKUP(Calculator!E23,tbSkills!DH3:DJ6,3,FALSE),0),0))&gt;=100,100,(Backdoors!AI12+IF(AY4&gt;=0.45,VLOOKUP(Calculator!E23,tbSkills!DH3:DI6,2,FALSE)+IF(AND(Calculator!B8=TRUE,Backdoors!BI10=TRUE),VLOOKUP(Calculator!E23,tbSkills!DH3:DJ6,3,FALSE),0),0)))/100)),1))*IF(VLOOKUP(A4,tbMoveset!A2:K112,11,FALSE)=TRUE,Backdoors!AC5,1))*AZ4,0),"")</f>
        <v>0</v>
      </c>
      <c r="BD4" s="49">
        <f>VLOOKUP(A4,tbMoveset!A2:G112,7,FALSE)*IFERROR(IF(Backdoors!AI12&gt;=0,1+(IF(Calculator!E40&gt;0,VLOOKUP(Calculator!E40,tbSkills!AI3:AJ5,2,FALSE),Backdoors!AL4)*(IF((Backdoors!AI12+IF(AY4&gt;=0.45,VLOOKUP(Calculator!E23,tbSkills!DH3:DI6,2,FALSE)+IF(AND(Calculator!B8=TRUE,Backdoors!BI10=TRUE),VLOOKUP(Calculator!E23,tbSkills!DH3:DJ6,3,FALSE),0),0))&gt;=100,100,(Backdoors!AI12+IF(AY4&gt;=0.45,VLOOKUP(Calculator!E23,tbSkills!DH3:DI6,2,FALSE)+IF(AND(Calculator!B8=TRUE,Backdoors!BI10=TRUE),VLOOKUP(Calculator!E23,tbSkills!DH3:DJ6,3,FALSE),0),0)))/100)),1),1)</f>
        <v>0.4</v>
      </c>
      <c r="BE4" s="87">
        <f t="shared" ref="BE4:BE66" si="3">SUM(BB4:BC4)</f>
        <v>8</v>
      </c>
      <c r="BF4" s="86" t="str">
        <f>IFERROR(IF(VLOOKUP(A4,tbMoveset!A2:B112,2,FALSE)="Sever",Backdoors!AY11/100,IF(VLOOKUP(A4,tbMoveset!A2:B112,2,FALSE)="Blunt",Backdoors!AZ11/100,Backdoors!BA11/100)),"")</f>
        <v/>
      </c>
      <c r="BG4" s="49">
        <f>IFERROR(IF(VLOOKUP(tbMoveset!A4,tbMoveset!A2:H112,8,FALSE)="Other",IF(VLOOKUP(tbMoveset!A4,tbMoveset!A2:I112,9,FALSE)="Fire",Backdoors!BB11,IF(VLOOKUP(tbMoveset!A4,tbMoveset!A2:I112,9,FALSE)="Water",Backdoors!BC11,IF(VLOOKUP(tbMoveset!A4,tbMoveset!A2:I112,9,FALSE)="Thunder",Backdoors!BD11,IF(VLOOKUP(tbMoveset!A4,tbMoveset!A2:I112,9,FALSE)="Ice",Backdoors!BE11,IF(VLOOKUP(tbMoveset!A4,tbMoveset!A2:I112,9,FALSE)="Dragon",Backdoors!BF11,Backdoors!BG11)))))/100,Backdoors!BG11/100),"")</f>
        <v>0</v>
      </c>
      <c r="BH4" s="49">
        <f>IFERROR(IF(VLOOKUP(A4,tbMoveset!A2:J112,10,FALSE)=TRUE,IF((Backdoors!AI12+IF(BF4&gt;=0.45,VLOOKUP(Calculator!E23,tbSkills!DH3:DI6,2,FALSE)+IF(AND(Calculator!B8=TRUE,Backdoors!BI11=TRUE),VLOOKUP(Calculator!E23,tbSkills!DH3:DJ6,3,FALSE),0),0))&gt;=0,1+(Backdoors!AL2*(IF((Backdoors!AI12+IF(BF4&gt;=0.45,VLOOKUP(Calculator!E23,tbSkills!DH3:DI6,2,FALSE)+IF(AND(Calculator!B8=TRUE,Backdoors!BI11=TRUE),VLOOKUP(Calculator!E23,tbSkills!DH3:DJ6,3,FALSE),0),0))&gt;=100,100,(Backdoors!AI12+IF(BF4&gt;=0.45,VLOOKUP(Calculator!E23,tbSkills!DH3:DI6,2,FALSE)+IF(AND(Calculator!B8=TRUE,Backdoors!BI11=TRUE),VLOOKUP(Calculator!E23,tbSkills!DH3:DJ6,3,FALSE),0),0)))/100)),(1-(0.25*((-Backdoors!AI12-IF(BF4&gt;=0.45,VLOOKUP(Calculator!E23,tbSkills!DH3:DI6,2,FALSE)+IF(AND(Calculator!B8=TRUE,Backdoors!BI11=TRUE),VLOOKUP(Calculator!E23,tbSkills!DH3:DJ6,3,FALSE),0),0))/100)))),1),"")</f>
        <v>1</v>
      </c>
      <c r="BI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F4)*BH4)*(VLOOKUP(A4,tbMoveset!A2:C112,3,FALSE)/100)*IF(VLOOKUP(A4,tbMoveset!A2:B112,2,FALSE)="Projectile",Backdoors!N10,Backdoors!N9),0),"")</f>
        <v/>
      </c>
      <c r="BJ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F4&gt;=0.45,VLOOKUP(Calculator!E23,tbSkills!DH3:DI6,2,FALSE)+IF(AND(Calculator!B8=TRUE,Backdoors!BI11=TRUE),VLOOKUP(Calculator!E23,tbSkills!DH3:DJ6,3,FALSE),0),0))&gt;=100,100,(Backdoors!AI12+IF(BF4&gt;=0.45,VLOOKUP(Calculator!E23,tbSkills!DH3:DI6,2,FALSE)+IF(AND(Calculator!B8=TRUE,Backdoors!BI11=TRUE),VLOOKUP(Calculator!E23,tbSkills!DH3:DJ6,3,FALSE),0),0)))/100)),1))*IF(VLOOKUP(A4,tbMoveset!A2:K112,11,FALSE)=TRUE,Backdoors!AC5,1))*BG4,0),"")</f>
        <v>0</v>
      </c>
      <c r="BK4" s="49">
        <f>VLOOKUP(A4,tbMoveset!A2:G112,7,FALSE)*IFERROR(IF(Backdoors!AI12&gt;=0,1+(IF(Calculator!E40&gt;0,VLOOKUP(Calculator!E40,tbSkills!AI3:AJ5,2,FALSE),Backdoors!AL4)*(IF((Backdoors!AI12+IF(BF4&gt;=0.45,VLOOKUP(Calculator!E23,tbSkills!DH3:DI6,2,FALSE)+IF(AND(Calculator!B8=TRUE,Backdoors!BI11=TRUE),VLOOKUP(Calculator!E23,tbSkills!DH3:DJ6,3,FALSE),0),0))&gt;=100,100,(Backdoors!AI12+IF(BF4&gt;=0.45,VLOOKUP(Calculator!E23,tbSkills!DH3:DI6,2,FALSE)+IF(AND(Calculator!B8=TRUE,Backdoors!BI11=TRUE),VLOOKUP(Calculator!E23,tbSkills!DH3:DJ6,3,FALSE),0),0)))/100)),1),1)</f>
        <v>0.4</v>
      </c>
      <c r="BL4" s="87">
        <f t="shared" ref="BL4:BL66" si="4">SUM(BI4:BJ4)</f>
        <v>0</v>
      </c>
      <c r="BM4" s="86" t="str">
        <f>IFERROR(IF(VLOOKUP(A4,tbMoveset!A2:B112,2,FALSE)="Sever",Backdoors!AY12/100,IF(VLOOKUP(A4,tbMoveset!A2:B112,2,FALSE)="Blunt",Backdoors!AZ12/100,Backdoors!BA12/100)),"")</f>
        <v/>
      </c>
      <c r="BN4" s="49">
        <f>IFERROR(IF(VLOOKUP(tbMoveset!A4,tbMoveset!A2:H112,8,FALSE)="Other",IF(VLOOKUP(tbMoveset!A4,tbMoveset!A2:I112,9,FALSE)="Fire",Backdoors!BB12,IF(VLOOKUP(tbMoveset!A4,tbMoveset!A2:I112,9,FALSE)="Water",Backdoors!BC12,IF(VLOOKUP(tbMoveset!A4,tbMoveset!A2:I112,9,FALSE)="Thunder",Backdoors!BD12,IF(VLOOKUP(tbMoveset!A4,tbMoveset!A2:I112,9,FALSE)="Ice",Backdoors!BE12,IF(VLOOKUP(tbMoveset!A4,tbMoveset!A2:I112,9,FALSE)="Dragon",Backdoors!BF12,Backdoors!BG12)))))/100,Backdoors!BG12/100),"")</f>
        <v>0</v>
      </c>
      <c r="BO4" s="49">
        <f>IFERROR(IF(VLOOKUP(A4,tbMoveset!A2:J112,10,FALSE)=TRUE,IF((Backdoors!AI12+IF(BM4&gt;=0.45,VLOOKUP(Calculator!E23,tbSkills!DH3:DI6,2,FALSE)+IF(AND(Calculator!B8=TRUE,Backdoors!BI12=TRUE),VLOOKUP(Calculator!E23,tbSkills!DH3:DJ6,3,FALSE),0),0))&gt;=0,1+(Backdoors!AL2*(IF((Backdoors!AI12+IF(BM4&gt;=0.45,VLOOKUP(Calculator!E23,tbSkills!DH3:DI6,2,FALSE)+IF(AND(Calculator!B8=TRUE,Backdoors!BI12=TRUE),VLOOKUP(Calculator!E23,tbSkills!DH3:DJ6,3,FALSE),0),0))&gt;=100,100,(Backdoors!AI12+IF(BM4&gt;=0.45,VLOOKUP(Calculator!E23,tbSkills!DH3:DI6,2,FALSE)+IF(AND(Calculator!B8=TRUE,Backdoors!BI12=TRUE),VLOOKUP(Calculator!E23,tbSkills!DH3:DJ6,3,FALSE),0),0)))/100)),(1-(0.25*((-Backdoors!AI12-IF(BM4&gt;=0.45,VLOOKUP(Calculator!E23,tbSkills!DH3:DI6,2,FALSE)+IF(AND(Calculator!B8=TRUE,Backdoors!BI12=TRUE),VLOOKUP(Calculator!E23,tbSkills!DH3:DJ6,3,FALSE),0),0))/100)))),1),"")</f>
        <v>1</v>
      </c>
      <c r="BP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M4)*BO4)*(VLOOKUP(A4,tbMoveset!A2:C112,3,FALSE)/100)*IF(VLOOKUP(A4,tbMoveset!A2:B112,2,FALSE)="Projectile",Backdoors!N10,Backdoors!N9),0),"")</f>
        <v/>
      </c>
      <c r="BQ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M4&gt;=0.45,VLOOKUP(Calculator!E23,tbSkills!DH3:DI6,2,FALSE)+IF(AND(Calculator!B8=TRUE,Backdoors!BI12=TRUE),VLOOKUP(Calculator!E23,tbSkills!DH3:DJ6,3,FALSE),0),0))&gt;=100,100,(Backdoors!AI12+IF(BM4&gt;=0.45,VLOOKUP(Calculator!E23,tbSkills!DH3:DI6,2,FALSE)+IF(AND(Calculator!B8=TRUE,Backdoors!BI12=TRUE),VLOOKUP(Calculator!E23,tbSkills!DH3:DJ6,3,FALSE),0),0)))/100)),1))*IF(VLOOKUP(A4,tbMoveset!A2:K112,11,FALSE)=TRUE,Backdoors!AC5,1))*BN4,0),"")</f>
        <v>0</v>
      </c>
      <c r="BR4" s="49">
        <f>VLOOKUP(A4,tbMoveset!A2:G112,7,FALSE)*IFERROR(IF(Backdoors!AI12&gt;=0,1+(IF(Calculator!E40&gt;0,VLOOKUP(Calculator!E40,tbSkills!AI3:AJ5,2,FALSE),Backdoors!AL4)*(IF((Backdoors!AI12+IF(BM4&gt;=0.45,VLOOKUP(Calculator!E23,tbSkills!DH3:DI6,2,FALSE)+IF(AND(Calculator!B8=TRUE,Backdoors!BI12=TRUE),VLOOKUP(Calculator!E23,tbSkills!DH3:DJ6,3,FALSE),0),0))&gt;=100,100,(Backdoors!AI12+IF(BM4&gt;=0.45,VLOOKUP(Calculator!E23,tbSkills!DH3:DI6,2,FALSE)+IF(AND(Calculator!B8=TRUE,Backdoors!BI12=TRUE),VLOOKUP(Calculator!E23,tbSkills!DH3:DJ6,3,FALSE),0),0)))/100)),1),1)</f>
        <v>0.4</v>
      </c>
      <c r="BS4" s="87">
        <f>SUM(BP4:BQ4)</f>
        <v>0</v>
      </c>
      <c r="BT4" s="86" t="str">
        <f>IFERROR(IF(VLOOKUP(A4,tbMoveset!A2:B112,2,FALSE)="Sever",Backdoors!AY13/100,IF(VLOOKUP(A4,tbMoveset!A2:B112,2,FALSE)="Blunt",Backdoors!AZ13/100,Backdoors!BA13/100)),"")</f>
        <v/>
      </c>
      <c r="BU4" s="49">
        <f>IFERROR(IF(VLOOKUP(tbMoveset!A4,tbMoveset!A2:H112,8,FALSE)="Other",IF(VLOOKUP(tbMoveset!A4,tbMoveset!A2:I112,9,FALSE)="Fire",Backdoors!BB13,IF(VLOOKUP(tbMoveset!A4,tbMoveset!A2:I112,9,FALSE)="Water",Backdoors!BC13,IF(VLOOKUP(tbMoveset!A4,tbMoveset!A2:I112,9,FALSE)="Thunder",Backdoors!BD13,IF(VLOOKUP(tbMoveset!A4,tbMoveset!A2:I112,9,FALSE)="Ice",Backdoors!BE13,IF(VLOOKUP(tbMoveset!A4,tbMoveset!A2:I112,9,FALSE)="Dragon",Backdoors!BF13,Backdoors!BG13)))))/100,Backdoors!BG13/100),"")</f>
        <v>0</v>
      </c>
      <c r="BV4" s="49">
        <f>IFERROR(IF(VLOOKUP(A4,tbMoveset!A2:J112,10,FALSE)=TRUE,IF((Backdoors!AI12+IF(BT4&gt;=0.45,VLOOKUP(Calculator!E23,tbSkills!DH3:DI6,2,FALSE)+IF(AND(Calculator!B8=TRUE,Backdoors!BI13=TRUE),VLOOKUP(Calculator!E23,tbSkills!DH3:DJ6,3,FALSE),0),0))&gt;=0,1+(Backdoors!AL2*(IF((Backdoors!AI12+IF(BT4&gt;=0.45,VLOOKUP(Calculator!E23,tbSkills!DH3:DI6,2,FALSE)+IF(AND(Calculator!B8=TRUE,Backdoors!BI13=TRUE),VLOOKUP(Calculator!E23,tbSkills!DH3:DJ6,3,FALSE),0),0))&gt;=100,100,(Backdoors!AI12+IF(BT4&gt;=0.45,VLOOKUP(Calculator!E23,tbSkills!DH3:DI6,2,FALSE)+IF(AND(Calculator!B8=TRUE,Backdoors!BI13=TRUE),VLOOKUP(Calculator!E23,tbSkills!DH3:DJ6,3,FALSE),0),0)))/100)),(1-(0.25*((-Backdoors!AI12-IF(BT4&gt;=0.45,VLOOKUP(Calculator!E23,tbSkills!DH3:DI6,2,FALSE)+IF(AND(Calculator!B8=TRUE,Backdoors!BI13=TRUE),VLOOKUP(Calculator!E23,tbSkills!DH3:DJ6,3,FALSE),0),0))/100)))),1),"")</f>
        <v>1</v>
      </c>
      <c r="BW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T4)*BV4)*(VLOOKUP(A4,tbMoveset!A2:C112,3,FALSE)/100)*IF(VLOOKUP(A4,tbMoveset!A2:B112,2,FALSE)="Projectile",Backdoors!N10,Backdoors!N9),0),"")</f>
        <v/>
      </c>
      <c r="BX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T4&gt;=0.45,VLOOKUP(Calculator!E23,tbSkills!DH3:DI6,2,FALSE)+IF(AND(Calculator!B8=TRUE,Backdoors!BI13=TRUE),VLOOKUP(Calculator!E23,tbSkills!DH3:DJ6,3,FALSE),0),0))&gt;=100,100,(Backdoors!AI12+IF(BT4&gt;=0.45,VLOOKUP(Calculator!E23,tbSkills!DH3:DI6,2,FALSE)+IF(AND(Calculator!B8=TRUE,Backdoors!BI13=TRUE),VLOOKUP(Calculator!E23,tbSkills!DH3:DJ6,3,FALSE),0),0)))/100)),1))*IF(VLOOKUP(A4,tbMoveset!A2:K112,11,FALSE)=TRUE,Backdoors!AC5,1))*BU4,0),"")</f>
        <v>0</v>
      </c>
      <c r="BY4" s="49">
        <f>VLOOKUP(A4,tbMoveset!A2:G112,7,FALSE)*IFERROR(IF(Backdoors!AI12&gt;=0,1+(IF(Calculator!E40&gt;0,VLOOKUP(Calculator!E40,tbSkills!AI3:AJ5,2,FALSE),Backdoors!AL4)*(IF((Backdoors!AI12+IF(BT4&gt;=0.45,VLOOKUP(Calculator!E23,tbSkills!DH3:DI6,2,FALSE)+IF(AND(Calculator!B8=TRUE,Backdoors!BI13=TRUE),VLOOKUP(Calculator!E23,tbSkills!DH3:DJ6,3,FALSE),0),0))&gt;=100,100,(Backdoors!AI12+IF(BT4&gt;=0.45,VLOOKUP(Calculator!E23,tbSkills!DH3:DI6,2,FALSE)+IF(AND(Calculator!B8=TRUE,Backdoors!BI13=TRUE),VLOOKUP(Calculator!E23,tbSkills!DH3:DJ6,3,FALSE),0),0)))/100)),1),1)</f>
        <v>0.4</v>
      </c>
      <c r="BZ4" s="87">
        <f t="shared" ref="BZ4:BZ66" si="5">SUM(BW4:BX4)</f>
        <v>0</v>
      </c>
      <c r="CA4" s="86" t="str">
        <f>IFERROR(IF(VLOOKUP(A4,tbMoveset!A2:B112,2,FALSE)="Sever",Backdoors!AY14/100,IF(VLOOKUP(A4,tbMoveset!A2:B112,2,FALSE)="Blunt",Backdoors!AZ14/100,Backdoors!BA14/100)),"")</f>
        <v/>
      </c>
      <c r="CB4" s="49">
        <f>IFERROR(IF(VLOOKUP(tbMoveset!A4,tbMoveset!A2:H112,8,FALSE)="Other",IF(VLOOKUP(tbMoveset!A4,tbMoveset!A2:I112,9,FALSE)="Fire",Backdoors!BB14,IF(VLOOKUP(tbMoveset!A4,tbMoveset!A2:I112,9,FALSE)="Water",Backdoors!BC14,IF(VLOOKUP(tbMoveset!A4,tbMoveset!A2:I112,9,FALSE)="Thunder",Backdoors!BD14,IF(VLOOKUP(tbMoveset!A4,tbMoveset!A2:I112,9,FALSE)="Ice",Backdoors!BE14,IF(VLOOKUP(tbMoveset!A4,tbMoveset!A2:I112,9,FALSE)="Dragon",Backdoors!BF14,Backdoors!BG14)))))/100,Backdoors!BG14/100),"")</f>
        <v>0</v>
      </c>
      <c r="CC4" s="49">
        <f>IFERROR(IF(VLOOKUP(A4,tbMoveset!A2:J112,10,FALSE)=TRUE,IF((Backdoors!AI12+IF(CA4&gt;=0.45,VLOOKUP(Calculator!E23,tbSkills!DH3:DI6,2,FALSE)+IF(AND(Calculator!B8=TRUE,Backdoors!BI14=TRUE),VLOOKUP(Calculator!E23,tbSkills!DH3:DJ6,3,FALSE),0),0))&gt;=0,1+(Backdoors!AL2*(IF((Backdoors!AI12+IF(CA4&gt;=0.45,VLOOKUP(Calculator!E23,tbSkills!DH3:DI6,2,FALSE)+IF(AND(Calculator!B8=TRUE,Backdoors!BI14=TRUE),VLOOKUP(Calculator!E23,tbSkills!DH3:DJ6,3,FALSE),0),0))&gt;=100,100,(Backdoors!AI12+IF(CA4&gt;=0.45,VLOOKUP(Calculator!E23,tbSkills!DH3:DI6,2,FALSE)+IF(AND(Calculator!B8=TRUE,Backdoors!BI14=TRUE),VLOOKUP(Calculator!E23,tbSkills!DH3:DJ6,3,FALSE),0),0)))/100)),(1-(0.25*((-Backdoors!AI12-IF(CA4&gt;=0.45,VLOOKUP(Calculator!E23,tbSkills!DH3:DI6,2,FALSE)+IF(AND(Calculator!B8=TRUE,Backdoors!BI14=TRUE),VLOOKUP(Calculator!E23,tbSkills!DH3:DJ6,3,FALSE),0),0))/100)))),1),"")</f>
        <v>1</v>
      </c>
      <c r="CD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A4)*CC4)*(VLOOKUP(A4,tbMoveset!A2:C112,3,FALSE)/100)*IF(VLOOKUP(A4,tbMoveset!A2:B112,2,FALSE)="Projectile",Backdoors!N10,Backdoors!N9),0),"")</f>
        <v/>
      </c>
      <c r="CE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A4&gt;=0.45,VLOOKUP(Calculator!E23,tbSkills!DH3:DI6,2,FALSE)+IF(AND(Calculator!B8=TRUE,Backdoors!BI14=TRUE),VLOOKUP(Calculator!E23,tbSkills!DH3:DJ6,3,FALSE),0),0))&gt;=100,100,(Backdoors!AI12+IF(CA4&gt;=0.45,VLOOKUP(Calculator!E23,tbSkills!DH3:DI6,2,FALSE)+IF(AND(Calculator!B8=TRUE,Backdoors!BI14=TRUE),VLOOKUP(Calculator!E23,tbSkills!DH3:DJ6,3,FALSE),0),0)))/100)),1))*IF(VLOOKUP(A4,tbMoveset!A2:K112,11,FALSE)=TRUE,Backdoors!AC5,1))*CB4,0),"")</f>
        <v>0</v>
      </c>
      <c r="CF4" s="49">
        <f>VLOOKUP(A4,tbMoveset!A2:G112,7,FALSE)*IFERROR(IF(Backdoors!AI12&gt;=0,1+(IF(Calculator!E40&gt;0,VLOOKUP(Calculator!E40,tbSkills!AI3:AJ5,2,FALSE),Backdoors!AL4)*(IF((Backdoors!AI12+IF(CA4&gt;=0.45,VLOOKUP(Calculator!E23,tbSkills!DH3:DI6,2,FALSE)+IF(AND(Calculator!B8=TRUE,Backdoors!BI14=TRUE),VLOOKUP(Calculator!E23,tbSkills!DH3:DJ6,3,FALSE),0),0))&gt;=100,100,(Backdoors!AI12+IF(CA4&gt;=0.45,VLOOKUP(Calculator!E23,tbSkills!DH3:DI6,2,FALSE)+IF(AND(Calculator!B8=TRUE,Backdoors!BI14=TRUE),VLOOKUP(Calculator!E23,tbSkills!DH3:DJ6,3,FALSE),0),0)))/100)),1),1)</f>
        <v>0.4</v>
      </c>
      <c r="CG4" s="87">
        <f t="shared" ref="CG4:CG67" si="6">SUM(CD4:CE4)</f>
        <v>0</v>
      </c>
      <c r="CH4" s="86" t="str">
        <f>IFERROR(IF(VLOOKUP(A4,tbMoveset!A2:B112,2,FALSE)="Sever",Backdoors!AY15/100,IF(VLOOKUP(A4,tbMoveset!A2:B112,2,FALSE)="Blunt",Backdoors!AZ15/100,Backdoors!BA15/100)),"")</f>
        <v/>
      </c>
      <c r="CI4" s="49">
        <f>IFERROR(IF(VLOOKUP(tbMoveset!A4,tbMoveset!A2:H112,8,FALSE)="Other",IF(VLOOKUP(tbMoveset!A4,tbMoveset!A2:I112,9,FALSE)="Fire",Backdoors!BB15,IF(VLOOKUP(tbMoveset!A4,tbMoveset!A2:I112,9,FALSE)="Water",Backdoors!BC15,IF(VLOOKUP(tbMoveset!A4,tbMoveset!A2:I112,9,FALSE)="Thunder",Backdoors!BD15,IF(VLOOKUP(tbMoveset!A4,tbMoveset!A2:I112,9,FALSE)="Ice",Backdoors!BE15,IF(VLOOKUP(tbMoveset!A4,tbMoveset!A2:I112,9,FALSE)="Dragon",Backdoors!BF15,Backdoors!BG15)))))/100,Backdoors!BG15/100),"")</f>
        <v>0</v>
      </c>
      <c r="CJ4" s="49">
        <f>IFERROR(IF(VLOOKUP(A4,tbMoveset!A2:J112,10,FALSE)=TRUE,IF((Backdoors!AI12+IF(CH4&gt;=0.45,VLOOKUP(Calculator!E23,tbSkills!DH3:DI6,2,FALSE)+IF(AND(Calculator!B8=TRUE,Backdoors!BI15=TRUE),VLOOKUP(Calculator!E23,tbSkills!DH3:DJ6,3,FALSE),0),0))&gt;=0,1+(Backdoors!AL2*(IF((Backdoors!AI12+IF(CH4&gt;=0.45,VLOOKUP(Calculator!E23,tbSkills!DH3:DI6,2,FALSE)+IF(AND(Calculator!B8=TRUE,Backdoors!BI15=TRUE),VLOOKUP(Calculator!E23,tbSkills!DH3:DJ6,3,FALSE),0),0))&gt;=100,100,(Backdoors!AI12+IF(CH4&gt;=0.45,VLOOKUP(Calculator!E23,tbSkills!DH3:DI6,2,FALSE)+IF(AND(Calculator!B8=TRUE,Backdoors!BI15=TRUE),VLOOKUP(Calculator!E23,tbSkills!DH3:DJ6,3,FALSE),0),0)))/100)),(1-(0.25*((-Backdoors!AI12-IF(CH4&gt;=0.45,VLOOKUP(Calculator!E23,tbSkills!DH3:DI6,2,FALSE)+IF(AND(Calculator!B8=TRUE,Backdoors!BI15=TRUE),VLOOKUP(Calculator!E23,tbSkills!DH3:DJ6,3,FALSE),0),0))/100)))),1),"")</f>
        <v>1</v>
      </c>
      <c r="CK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H4)*CJ4)*(VLOOKUP(A4,tbMoveset!A2:C112,3,FALSE)/100)*IF(VLOOKUP(A4,tbMoveset!A2:B112,2,FALSE)="Projectile",Backdoors!N10,Backdoors!N9),0),"")</f>
        <v/>
      </c>
      <c r="CL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H4&gt;=0.45,VLOOKUP(Calculator!E23,tbSkills!DH3:DI6,2,FALSE)+IF(AND(Calculator!B8=TRUE,Backdoors!BI15=TRUE),VLOOKUP(Calculator!E23,tbSkills!DH3:DJ6,3,FALSE),0),0))&gt;=100,100,(Backdoors!AI12+IF(CH4&gt;=0.45,VLOOKUP(Calculator!E23,tbSkills!DH3:DI6,2,FALSE)+IF(AND(Calculator!B8=TRUE,Backdoors!BI15=TRUE),VLOOKUP(Calculator!E23,tbSkills!DH3:DJ6,3,FALSE),0),0)))/100)),1))*IF(VLOOKUP(A4,tbMoveset!A2:K112,11,FALSE)=TRUE,Backdoors!AC5,1))*CI4,0),"")</f>
        <v>0</v>
      </c>
      <c r="CM4" s="49">
        <f>VLOOKUP(A4,tbMoveset!A2:G112,7,FALSE)*IFERROR(IF(Backdoors!AI12&gt;=0,1+(IF(Calculator!E40&gt;0,VLOOKUP(Calculator!E40,tbSkills!AI3:AJ5,2,FALSE),Backdoors!AL4)*(IF((Backdoors!AI12+IF(CH4&gt;=0.45,VLOOKUP(Calculator!E23,tbSkills!DH3:DI6,2,FALSE)+IF(AND(Calculator!B8=TRUE,Backdoors!BI15=TRUE),VLOOKUP(Calculator!E23,tbSkills!DH3:DJ6,3,FALSE),0),0))&gt;=100,100,(Backdoors!AI12+IF(CH4&gt;=0.45,VLOOKUP(Calculator!E23,tbSkills!DH3:DI6,2,FALSE)+IF(AND(Calculator!B8=TRUE,Backdoors!BI15=TRUE),VLOOKUP(Calculator!E23,tbSkills!DH3:DJ6,3,FALSE),0),0)))/100)),1),1)</f>
        <v>0.4</v>
      </c>
      <c r="CN4" s="87">
        <f t="shared" ref="CN4:CN67" si="7">SUM(CK4:CL4)</f>
        <v>0</v>
      </c>
      <c r="CO4" s="86" t="str">
        <f>IFERROR(IF(VLOOKUP(A4,tbMoveset!A2:B112,2,FALSE)="Sever",Backdoors!AY16/100,IF(VLOOKUP(A4,tbMoveset!A2:B112,2,FALSE)="Blunt",Backdoors!AZ16/100,Backdoors!BA16/100)),"")</f>
        <v/>
      </c>
      <c r="CP4" s="49">
        <f>IFERROR(IF(VLOOKUP(tbMoveset!A4,tbMoveset!A2:H112,8,FALSE)="Other",IF(VLOOKUP(tbMoveset!A4,tbMoveset!A2:I112,9,FALSE)="Fire",Backdoors!BB16,IF(VLOOKUP(tbMoveset!A4,tbMoveset!A2:I112,9,FALSE)="Water",Backdoors!BC16,IF(VLOOKUP(tbMoveset!A4,tbMoveset!A2:I112,9,FALSE)="Thunder",Backdoors!BD16,IF(VLOOKUP(tbMoveset!A4,tbMoveset!A2:I112,9,FALSE)="Ice",Backdoors!BE16,IF(VLOOKUP(tbMoveset!A4,tbMoveset!A2:I112,9,FALSE)="Dragon",Backdoors!BF16,Backdoors!BG16)))))/100,Backdoors!BG16/100),"")</f>
        <v>0</v>
      </c>
      <c r="CQ4" s="49">
        <f>IFERROR(IF(VLOOKUP(A4,tbMoveset!A2:J112,10,FALSE)=TRUE,IF((Backdoors!AI12+IF(CO4&gt;=0.45,VLOOKUP(Calculator!E23,tbSkills!DH3:DI6,2,FALSE)+IF(AND(Calculator!B8=TRUE,Backdoors!BI16=TRUE),VLOOKUP(Calculator!E23,tbSkills!DH3:DJ6,3,FALSE),0),0))&gt;=0,1+(Backdoors!AL2*(IF((Backdoors!AI12+IF(CO4&gt;=0.45,VLOOKUP(Calculator!E23,tbSkills!DH3:DI6,2,FALSE)+IF(AND(Calculator!B8=TRUE,Backdoors!BI16=TRUE),VLOOKUP(Calculator!E23,tbSkills!DH3:DJ6,3,FALSE),0),0))&gt;=100,100,(Backdoors!AI12+IF(CO4&gt;=0.45,VLOOKUP(Calculator!E23,tbSkills!DH3:DI6,2,FALSE)+IF(AND(Calculator!B8=TRUE,Backdoors!BI16=TRUE),VLOOKUP(Calculator!E23,tbSkills!DH3:DJ6,3,FALSE),0),0)))/100)),(1-(0.25*((-Backdoors!AI12-IF(CO4&gt;=0.45,VLOOKUP(Calculator!E23,tbSkills!DH3:DI6,2,FALSE)+IF(AND(Calculator!B8=TRUE,Backdoors!BI16=TRUE),VLOOKUP(Calculator!E23,tbSkills!DH3:DJ6,3,FALSE),0),0))/100)))),1),"")</f>
        <v>1</v>
      </c>
      <c r="CR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O4)*CQ4)*(VLOOKUP(A4,tbMoveset!A2:C112,3,FALSE)/100)*IF(VLOOKUP(A4,tbMoveset!A2:B112,2,FALSE)="Projectile",Backdoors!N10,Backdoors!N9),0),"")</f>
        <v/>
      </c>
      <c r="CS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O4&gt;=0.45,VLOOKUP(Calculator!E23,tbSkills!DH3:DI6,2,FALSE)+IF(AND(Calculator!B8=TRUE,Backdoors!BI16=TRUE),VLOOKUP(Calculator!E23,tbSkills!DH3:DJ6,3,FALSE),0),0))&gt;=100,100,(Backdoors!AI12+IF(CO4&gt;=0.45,VLOOKUP(Calculator!E23,tbSkills!DH3:DI6,2,FALSE)+IF(AND(Calculator!B8=TRUE,Backdoors!BI16=TRUE),VLOOKUP(Calculator!E23,tbSkills!DH3:DJ6,3,FALSE),0),0)))/100)),1))*IF(VLOOKUP(A4,tbMoveset!A2:K112,11,FALSE)=TRUE,Backdoors!AC5,1))*CP4,0),"")</f>
        <v>0</v>
      </c>
      <c r="CT4" s="49">
        <f>VLOOKUP(A4,tbMoveset!A2:G112,7,FALSE)*IFERROR(IF(Backdoors!AI12&gt;=0,1+(IF(Calculator!E40&gt;0,VLOOKUP(Calculator!E40,tbSkills!AI3:AJ5,2,FALSE),Backdoors!AL4)*(IF((Backdoors!AI12+IF(CO4&gt;=0.45,VLOOKUP(Calculator!E23,tbSkills!DH3:DI6,2,FALSE)+IF(AND(Calculator!B8=TRUE,Backdoors!BI16=TRUE),VLOOKUP(Calculator!E23,tbSkills!DH3:DJ6,3,FALSE),0),0))&gt;=100,100,(Backdoors!AI12+IF(CO4&gt;=0.45,VLOOKUP(Calculator!E23,tbSkills!DH3:DI6,2,FALSE)+IF(AND(Calculator!B8=TRUE,Backdoors!BI16=TRUE),VLOOKUP(Calculator!E23,tbSkills!DH3:DJ6,3,FALSE),0),0)))/100)),1),1)</f>
        <v>0.4</v>
      </c>
      <c r="CU4" s="87">
        <f>SUM(CR4:CS4)</f>
        <v>0</v>
      </c>
      <c r="CV4" s="86" t="str">
        <f>IFERROR(IF(VLOOKUP(A4,tbMoveset!A2:B112,2,FALSE)="Sever",Backdoors!AY17/100,IF(VLOOKUP(A4,tbMoveset!A2:B112,2,FALSE)="Blunt",Backdoors!AZ17/100,Backdoors!BA17/100)),"")</f>
        <v/>
      </c>
      <c r="CW4" s="49">
        <f>IFERROR(IF(VLOOKUP(tbMoveset!A4,tbMoveset!A2:H112,8,FALSE)="Other",IF(VLOOKUP(tbMoveset!A4,tbMoveset!A2:I112,9,FALSE)="Fire",Backdoors!BB17,IF(VLOOKUP(tbMoveset!A4,tbMoveset!A2:I112,9,FALSE)="Water",Backdoors!BC17,IF(VLOOKUP(tbMoveset!A4,tbMoveset!A2:I112,9,FALSE)="Thunder",Backdoors!BD17,IF(VLOOKUP(tbMoveset!A4,tbMoveset!A2:I112,9,FALSE)="Ice",Backdoors!BE17,IF(VLOOKUP(tbMoveset!A4,tbMoveset!A2:I112,9,FALSE)="Dragon",Backdoors!BF17,Backdoors!BG17)))))/100,Backdoors!BG17/100),"")</f>
        <v>0</v>
      </c>
      <c r="CX4" s="49">
        <f>IFERROR(IF(VLOOKUP(A4,tbMoveset!A2:J112,10,FALSE)=TRUE,IF((Backdoors!AI12+IF(CV4&gt;=0.45,VLOOKUP(Calculator!E23,tbSkills!DH3:DI6,2,FALSE)+IF(AND(Calculator!B8=TRUE,Backdoors!BI17=TRUE),VLOOKUP(Calculator!E23,tbSkills!DH3:DJ6,3,FALSE),0),0))&gt;=0,1+(Backdoors!AL2*(IF((Backdoors!AI12+IF(CV4&gt;=0.45,VLOOKUP(Calculator!E23,tbSkills!DH3:DI6,2,FALSE)+IF(AND(Calculator!B8=TRUE,Backdoors!BI17=TRUE),VLOOKUP(Calculator!E23,tbSkills!DH3:DJ6,3,FALSE),0),0))&gt;=100,100,(Backdoors!AI12+IF(CV4&gt;=0.45,VLOOKUP(Calculator!E23,tbSkills!DH3:DI6,2,FALSE)+IF(AND(Calculator!B8=TRUE,Backdoors!BI17=TRUE),VLOOKUP(Calculator!E23,tbSkills!DH3:DJ6,3,FALSE),0),0)))/100)),(1-(0.25*((-Backdoors!AI12-IF(CV4&gt;=0.45,VLOOKUP(Calculator!E23,tbSkills!DH3:DI6,2,FALSE)+IF(AND(Calculator!B8=TRUE,Backdoors!BI17=TRUE),VLOOKUP(Calculator!E23,tbSkills!DH3:DJ6,3,FALSE),0),0))/100)))),1),"")</f>
        <v>1</v>
      </c>
      <c r="CY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V4)*CX4)*(VLOOKUP(A4,tbMoveset!A2:C112,3,FALSE)/100)*IF(VLOOKUP(A4,tbMoveset!A2:B112,2,FALSE)="Projectile",Backdoors!N10,Backdoors!N9),0),"")</f>
        <v/>
      </c>
      <c r="CZ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V4&gt;=0.45,VLOOKUP(Calculator!E23,tbSkills!DH3:DI6,2,FALSE)+IF(AND(Calculator!B8=TRUE,Backdoors!BI17=TRUE),VLOOKUP(Calculator!E23,tbSkills!DH3:DJ6,3,FALSE),0),0))&gt;=100,100,(Backdoors!AI12+IF(CV4&gt;=0.45,VLOOKUP(Calculator!E23,tbSkills!DH3:DI6,2,FALSE)+IF(AND(Calculator!B8=TRUE,Backdoors!BI17=TRUE),VLOOKUP(Calculator!E23,tbSkills!DH3:DJ6,3,FALSE),0),0)))/100)),1))*IF(VLOOKUP(A4,tbMoveset!A2:K112,11,FALSE)=TRUE,Backdoors!AC5,1))*CW4,0),"")</f>
        <v>0</v>
      </c>
      <c r="DA4" s="49">
        <f>VLOOKUP(A4,tbMoveset!A2:G112,7,FALSE)*IFERROR(IF(Backdoors!AI12&gt;=0,1+(IF(Calculator!E40&gt;0,VLOOKUP(Calculator!E40,tbSkills!AI3:AJ5,2,FALSE),Backdoors!AL4)*(IF((Backdoors!AI12+IF(CV4&gt;=0.45,VLOOKUP(Calculator!E23,tbSkills!DH3:DI6,2,FALSE)+IF(AND(Calculator!B8=TRUE,Backdoors!BI17=TRUE),VLOOKUP(Calculator!E23,tbSkills!DH3:DJ6,3,FALSE),0),0))&gt;=100,100,(Backdoors!AI12+IF(CV4&gt;=0.45,VLOOKUP(Calculator!E23,tbSkills!DH3:DI6,2,FALSE)+IF(AND(Calculator!B8=TRUE,Backdoors!BI17=TRUE),VLOOKUP(Calculator!E23,tbSkills!DH3:DJ6,3,FALSE),0),0)))/100)),1),1)</f>
        <v>0.4</v>
      </c>
      <c r="DB4" s="87">
        <f t="shared" ref="DB4:DB67" si="8">SUM(CY4:CZ4)</f>
        <v>0</v>
      </c>
      <c r="DC4" s="86" t="str">
        <f>IFERROR(IF(VLOOKUP(A4,tbMoveset!A2:B112,2,FALSE)="Sever",Backdoors!AY18/100,IF(VLOOKUP(A4,tbMoveset!A2:B112,2,FALSE)="Blunt",Backdoors!AZ18/100,Backdoors!BA18/100)),"")</f>
        <v/>
      </c>
      <c r="DD4" s="49">
        <f>IFERROR(IF(VLOOKUP(tbMoveset!A4,tbMoveset!A2:H112,8,FALSE)="Other",IF(VLOOKUP(tbMoveset!A4,tbMoveset!A2:I112,9,FALSE)="Fire",Backdoors!BB18,IF(VLOOKUP(tbMoveset!A4,tbMoveset!A2:I112,9,FALSE)="Water",Backdoors!BC18,IF(VLOOKUP(tbMoveset!A4,tbMoveset!A2:I112,9,FALSE)="Thunder",Backdoors!BD18,IF(VLOOKUP(tbMoveset!A4,tbMoveset!A2:I112,9,FALSE)="Ice",Backdoors!BE18,IF(VLOOKUP(tbMoveset!A4,tbMoveset!A2:I112,9,FALSE)="Dragon",Backdoors!BF18,Backdoors!BG18)))))/100,Backdoors!BG18/100),"")</f>
        <v>0</v>
      </c>
      <c r="DE4" s="49">
        <f>IFERROR(IF(VLOOKUP(A4,tbMoveset!A2:J112,10,FALSE)=TRUE,IF((Backdoors!AI12+IF(DC4&gt;=0.45,VLOOKUP(Calculator!E23,tbSkills!DH3:DI6,2,FALSE)+IF(AND(Calculator!B8=TRUE,Backdoors!BI18=TRUE),VLOOKUP(Calculator!E23,tbSkills!DH3:DJ6,3,FALSE),0),0))&gt;=0,1+(Backdoors!AL2*(IF((Backdoors!AI12+IF(DC4&gt;=0.45,VLOOKUP(Calculator!E23,tbSkills!DH3:DI6,2,FALSE)+IF(AND(Calculator!B8=TRUE,Backdoors!BI18=TRUE),VLOOKUP(Calculator!E23,tbSkills!DH3:DJ6,3,FALSE),0),0))&gt;=100,100,(Backdoors!AI12+IF(DC4&gt;=0.45,VLOOKUP(Calculator!E23,tbSkills!DH3:DI6,2,FALSE)+IF(AND(Calculator!B8=TRUE,Backdoors!BI18=TRUE),VLOOKUP(Calculator!E23,tbSkills!DH3:DJ6,3,FALSE),0),0)))/100)),(1-(0.25*((-Backdoors!AI12-IF(DC4&gt;=0.45,VLOOKUP(Calculator!E23,tbSkills!DH3:DI6,2,FALSE)+IF(AND(Calculator!B8=TRUE,Backdoors!BI18=TRUE),VLOOKUP(Calculator!E23,tbSkills!DH3:DJ6,3,FALSE),0),0))/100)))),1),"")</f>
        <v>1</v>
      </c>
      <c r="DF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C4)*DE4)*(VLOOKUP(A4,tbMoveset!A2:C112,3,FALSE)/100)*IF(VLOOKUP(A4,tbMoveset!A2:B112,2,FALSE)="Projectile",Backdoors!N10,Backdoors!N9),0),"")</f>
        <v/>
      </c>
      <c r="DG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C4&gt;=0.45,VLOOKUP(Calculator!E23,tbSkills!DH3:DI6,2,FALSE)+IF(AND(Calculator!B8=TRUE,Backdoors!BI18=TRUE),VLOOKUP(Calculator!E23,tbSkills!DH3:DJ6,3,FALSE),0),0))&gt;=100,100,(Backdoors!AI12+IF(DC4&gt;=0.45,VLOOKUP(Calculator!E23,tbSkills!DH3:DI6,2,FALSE)+IF(AND(Calculator!B8=TRUE,Backdoors!BI18=TRUE),VLOOKUP(Calculator!E23,tbSkills!DH3:DJ6,3,FALSE),0),0)))/100)),1))*IF(VLOOKUP(A4,tbMoveset!A2:K112,11,FALSE)=TRUE,Backdoors!AC5,1))*DD4,0),"")</f>
        <v>0</v>
      </c>
      <c r="DH4" s="49">
        <f>VLOOKUP(A4,tbMoveset!A2:G112,7,FALSE)*IFERROR(IF(Backdoors!AI12&gt;=0,1+(IF(Calculator!E40&gt;0,VLOOKUP(Calculator!E40,tbSkills!AI3:AJ5,2,FALSE),Backdoors!AL4)*(IF((Backdoors!AI12+IF(DC4&gt;=0.45,VLOOKUP(Calculator!E23,tbSkills!DH3:DI6,2,FALSE)+IF(AND(Calculator!B8=TRUE,Backdoors!BI18=TRUE),VLOOKUP(Calculator!E23,tbSkills!DH3:DJ6,3,FALSE),0),0))&gt;=100,100,(Backdoors!AI12+IF(DC4&gt;=0.45,VLOOKUP(Calculator!E23,tbSkills!DH3:DI6,2,FALSE)+IF(AND(Calculator!B8=TRUE,Backdoors!BI18=TRUE),VLOOKUP(Calculator!E23,tbSkills!DH3:DJ6,3,FALSE),0),0)))/100)),1),1)</f>
        <v>0.4</v>
      </c>
      <c r="DI4" s="87">
        <f t="shared" ref="DI4:DI67" si="9">SUM(DF4:DG4)</f>
        <v>0</v>
      </c>
      <c r="DJ4" s="86" t="str">
        <f>IFERROR(IF(VLOOKUP(A4,tbMoveset!A2:B112,2,FALSE)="Sever",Backdoors!AY19/100,IF(VLOOKUP(A4,tbMoveset!A2:B112,2,FALSE)="Blunt",Backdoors!AZ19/100,Backdoors!BA19/100)),"")</f>
        <v/>
      </c>
      <c r="DK4" s="49">
        <f>IFERROR(IF(VLOOKUP(tbMoveset!A4,tbMoveset!A2:H112,8,FALSE)="Other",IF(VLOOKUP(tbMoveset!A4,tbMoveset!A2:I112,9,FALSE)="Fire",Backdoors!BB19,IF(VLOOKUP(tbMoveset!A4,tbMoveset!A2:I112,9,FALSE)="Water",Backdoors!BC19,IF(VLOOKUP(tbMoveset!A4,tbMoveset!A2:I112,9,FALSE)="Thunder",Backdoors!BD19,IF(VLOOKUP(tbMoveset!A4,tbMoveset!A2:I112,9,FALSE)="Ice",Backdoors!BE19,IF(VLOOKUP(tbMoveset!A4,tbMoveset!A2:I112,9,FALSE)="Dragon",Backdoors!BF19,Backdoors!BG19)))))/100,Backdoors!BG19/100),"")</f>
        <v>0</v>
      </c>
      <c r="DL4" s="49">
        <f>IFERROR(IF(VLOOKUP(A4,tbMoveset!A2:J112,10,FALSE)=TRUE,IF((Backdoors!AI12+IF(DJ4&gt;=0.45,VLOOKUP(Calculator!E23,tbSkills!DH3:DI6,2,FALSE)+IF(AND(Calculator!B8=TRUE,Backdoors!BI19=TRUE),VLOOKUP(Calculator!E23,tbSkills!DH3:DJ6,3,FALSE),0),0))&gt;=0,1+(Backdoors!AL2*(IF((Backdoors!AI12+IF(DJ4&gt;=0.45,VLOOKUP(Calculator!E23,tbSkills!DH3:DI6,2,FALSE)+IF(AND(Calculator!B8=TRUE,Backdoors!BI19=TRUE),VLOOKUP(Calculator!E23,tbSkills!DH3:DJ6,3,FALSE),0),0))&gt;=100,100,(Backdoors!AI12+IF(DJ4&gt;=0.45,VLOOKUP(Calculator!E23,tbSkills!DH3:DI6,2,FALSE)+IF(AND(Calculator!B8=TRUE,Backdoors!BI19=TRUE),VLOOKUP(Calculator!E23,tbSkills!DH3:DJ6,3,FALSE),0),0)))/100)),(1-(0.25*((-Backdoors!AI12-IF(DJ4&gt;=0.45,VLOOKUP(Calculator!E23,tbSkills!DH3:DI6,2,FALSE)+IF(AND(Calculator!B8=TRUE,Backdoors!BI19=TRUE),VLOOKUP(Calculator!E23,tbSkills!DH3:DJ6,3,FALSE),0),0))/100)))),1),"")</f>
        <v>1</v>
      </c>
      <c r="DM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J4)*DL4)*(VLOOKUP(A4,tbMoveset!A2:C112,3,FALSE)/100)*IF(VLOOKUP(A4,tbMoveset!A2:B112,2,FALSE)="Projectile",Backdoors!N10,Backdoors!N9),0),"")</f>
        <v/>
      </c>
      <c r="DN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J4&gt;=0.45,VLOOKUP(Calculator!E23,tbSkills!DH3:DI6,2,FALSE)+IF(AND(Calculator!B8=TRUE,Backdoors!BI19=TRUE),VLOOKUP(Calculator!E23,tbSkills!DH3:DJ6,3,FALSE),0),0))&gt;=100,100,(Backdoors!AI12+IF(DJ4&gt;=0.45,VLOOKUP(Calculator!E23,tbSkills!DH3:DI6,2,FALSE)+IF(AND(Calculator!B8=TRUE,Backdoors!BI19=TRUE),VLOOKUP(Calculator!E23,tbSkills!DH3:DJ6,3,FALSE),0),0)))/100)),1))*IF(VLOOKUP(A4,tbMoveset!A2:K112,11,FALSE)=TRUE,Backdoors!AC5,1))*DK4,0),"")</f>
        <v>0</v>
      </c>
      <c r="DO4" s="49">
        <f>VLOOKUP(A4,tbMoveset!A2:G112,7,FALSE)*IFERROR(IF(Backdoors!AI12&gt;=0,1+(IF(Calculator!E40&gt;0,VLOOKUP(Calculator!E40,tbSkills!AI3:AJ5,2,FALSE),Backdoors!AL4)*(IF((Backdoors!AI12+IF(DJ4&gt;=0.45,VLOOKUP(Calculator!E23,tbSkills!DH3:DI6,2,FALSE)+IF(AND(Calculator!B8=TRUE,Backdoors!BI19=TRUE),VLOOKUP(Calculator!E23,tbSkills!DH3:DJ6,3,FALSE),0),0))&gt;=100,100,(Backdoors!AI12+IF(DJ4&gt;=0.45,VLOOKUP(Calculator!E23,tbSkills!DH3:DI6,2,FALSE)+IF(AND(Calculator!B8=TRUE,Backdoors!BI19=TRUE),VLOOKUP(Calculator!E23,tbSkills!DH3:DJ6,3,FALSE),0),0)))/100)),1),1)</f>
        <v>0.4</v>
      </c>
      <c r="DP4" s="87">
        <f>SUM(DM4:DN4)</f>
        <v>0</v>
      </c>
      <c r="DQ4" s="86" t="str">
        <f>IFERROR(IF(VLOOKUP(A4,tbMoveset!A2:B112,2,FALSE)="Sever",Backdoors!AY20/100,IF(VLOOKUP(A4,tbMoveset!A2:B112,2,FALSE)="Blunt",Backdoors!AZ20/100,Backdoors!BA20/100)),"")</f>
        <v/>
      </c>
      <c r="DR4" s="49">
        <f>IFERROR(IF(VLOOKUP(tbMoveset!A4,tbMoveset!A2:H112,8,FALSE)="Other",IF(VLOOKUP(tbMoveset!A4,tbMoveset!A2:I112,9,FALSE)="Fire",Backdoors!BB20,IF(VLOOKUP(tbMoveset!A4,tbMoveset!A2:I112,9,FALSE)="Water",Backdoors!BC20,IF(VLOOKUP(tbMoveset!A4,tbMoveset!A2:I112,9,FALSE)="Thunder",Backdoors!BD20,IF(VLOOKUP(tbMoveset!A4,tbMoveset!A2:I112,9,FALSE)="Ice",Backdoors!BE20,IF(VLOOKUP(tbMoveset!A4,tbMoveset!A2:I112,9,FALSE)="Dragon",Backdoors!BF20,Backdoors!BG20)))))/100,Backdoors!BG20/100),"")</f>
        <v>0</v>
      </c>
      <c r="DS4" s="49">
        <f>IFERROR(IF(VLOOKUP(A4,tbMoveset!A2:J112,10,FALSE)=TRUE,IF((Backdoors!AI12+IF(DQ4&gt;=0.45,VLOOKUP(Calculator!E23,tbSkills!DH3:DI6,2,FALSE)+IF(AND(Calculator!B8=TRUE,Backdoors!BI20=TRUE),VLOOKUP(Calculator!E23,tbSkills!DH3:DJ6,3,FALSE),0),0))&gt;=0,1+(Backdoors!AL2*(IF((Backdoors!AI12+IF(DQ4&gt;=0.45,VLOOKUP(Calculator!E23,tbSkills!DH3:DI6,2,FALSE)+IF(AND(Calculator!B8=TRUE,Backdoors!BI20=TRUE),VLOOKUP(Calculator!E23,tbSkills!DH3:DJ6,3,FALSE),0),0))&gt;=100,100,(Backdoors!AI12+IF(DQ4&gt;=0.45,VLOOKUP(Calculator!E23,tbSkills!DH3:DI6,2,FALSE)+IF(AND(Calculator!B8=TRUE,Backdoors!BI20=TRUE),VLOOKUP(Calculator!E23,tbSkills!DH3:DJ6,3,FALSE),0),0)))/100)),(1-(0.25*((-Backdoors!AI12-IF(DQ4&gt;=0.45,VLOOKUP(Calculator!E23,tbSkills!DH3:DI6,2,FALSE)+IF(AND(Calculator!B8=TRUE,Backdoors!BI20=TRUE),VLOOKUP(Calculator!E23,tbSkills!DH3:DJ6,3,FALSE),0),0))/100)))),1),"")</f>
        <v>1</v>
      </c>
      <c r="DT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Q4)*DS4)*(VLOOKUP(A4,tbMoveset!A2:C112,3,FALSE)/100)*IF(VLOOKUP(A4,tbMoveset!A2:B112,2,FALSE)="Projectile",Backdoors!N10,Backdoors!N9),0),"")</f>
        <v/>
      </c>
      <c r="DU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Q4&gt;=0.45,VLOOKUP(Calculator!E23,tbSkills!DH3:DI6,2,FALSE)+IF(AND(Calculator!B8=TRUE,Backdoors!BI20=TRUE),VLOOKUP(Calculator!E23,tbSkills!DH3:DJ6,3,FALSE),0),0))&gt;=100,100,(Backdoors!AI12+IF(DQ4&gt;=0.45,VLOOKUP(Calculator!E23,tbSkills!DH3:DI6,2,FALSE)+IF(AND(Calculator!B8=TRUE,Backdoors!BI20=TRUE),VLOOKUP(Calculator!E23,tbSkills!DH3:DJ6,3,FALSE),0),0)))/100)),1))*IF(VLOOKUP(A4,tbMoveset!A2:K112,11,FALSE)=TRUE,Backdoors!AC5,1))*DR4,0),"")</f>
        <v>0</v>
      </c>
      <c r="DV4" s="49">
        <f>VLOOKUP(A4,tbMoveset!A2:G112,7,FALSE)*IFERROR(IF(Backdoors!AI12&gt;=0,1+(IF(Calculator!E40&gt;0,VLOOKUP(Calculator!E40,tbSkills!AI3:AJ5,2,FALSE),Backdoors!AL4)*(IF((Backdoors!AI12+IF(DQ4&gt;=0.45,VLOOKUP(Calculator!E23,tbSkills!DH3:DI6,2,FALSE)+IF(AND(Calculator!B8=TRUE,Backdoors!BI20=TRUE),VLOOKUP(Calculator!E23,tbSkills!DH3:DJ6,3,FALSE),0),0))&gt;=100,100,(Backdoors!AI12+IF(DQ4&gt;=0.45,VLOOKUP(Calculator!E23,tbSkills!DH3:DI6,2,FALSE)+IF(AND(Calculator!B8=TRUE,Backdoors!BI20=TRUE),VLOOKUP(Calculator!E23,tbSkills!DH3:DJ6,3,FALSE),0),0)))/100)),1),1)</f>
        <v>0.4</v>
      </c>
      <c r="DW4" s="87">
        <f t="shared" ref="DW4:DW67" si="10">SUM(DT4:DU4)</f>
        <v>0</v>
      </c>
      <c r="DX4" s="86" t="str">
        <f>IFERROR(IF(VLOOKUP(A4,tbMoveset!A2:B112,2,FALSE)="Sever",Backdoors!AY21/100,IF(VLOOKUP(A4,tbMoveset!A2:B112,2,FALSE)="Blunt",Backdoors!AZ21/100,Backdoors!BA21/100)),"")</f>
        <v/>
      </c>
      <c r="DY4" s="49">
        <f>IFERROR(IF(VLOOKUP(tbMoveset!A4,tbMoveset!A2:H112,8,FALSE)="Other",IF(VLOOKUP(tbMoveset!A4,tbMoveset!A2:I112,9,FALSE)="Fire",Backdoors!BB21,IF(VLOOKUP(tbMoveset!A4,tbMoveset!A2:I112,9,FALSE)="Water",Backdoors!BC21,IF(VLOOKUP(tbMoveset!A4,tbMoveset!A2:I112,9,FALSE)="Thunder",Backdoors!BD21,IF(VLOOKUP(tbMoveset!A4,tbMoveset!A2:I112,9,FALSE)="Ice",Backdoors!BE21,IF(VLOOKUP(tbMoveset!A4,tbMoveset!A2:I112,9,FALSE)="Dragon",Backdoors!BF21,Backdoors!BG21)))))/100,Backdoors!BG21/100),"")</f>
        <v>0</v>
      </c>
      <c r="DZ4" s="49">
        <f>IFERROR(IF(VLOOKUP(A4,tbMoveset!A2:J112,10,FALSE)=TRUE,IF((Backdoors!AI12+IF(DX4&gt;=0.45,VLOOKUP(Calculator!E23,tbSkills!DH3:DI6,2,FALSE)+IF(AND(Calculator!B8=TRUE,Backdoors!BI21=TRUE),VLOOKUP(Calculator!E23,tbSkills!DH3:DJ6,3,FALSE),0),0))&gt;=0,1+(Backdoors!AL2*(IF((Backdoors!AI12+IF(DX4&gt;=0.45,VLOOKUP(Calculator!E23,tbSkills!DH3:DI6,2,FALSE)+IF(AND(Calculator!B8=TRUE,Backdoors!BI21=TRUE),VLOOKUP(Calculator!E23,tbSkills!DH3:DJ6,3,FALSE),0),0))&gt;=100,100,(Backdoors!AI12+IF(DX4&gt;=0.45,VLOOKUP(Calculator!E23,tbSkills!DH3:DI6,2,FALSE)+IF(AND(Calculator!B8=TRUE,Backdoors!BI21=TRUE),VLOOKUP(Calculator!E23,tbSkills!DH3:DJ6,3,FALSE),0),0)))/100)),(1-(0.25*((-Backdoors!AI12-IF(DX4&gt;=0.45,VLOOKUP(Calculator!E23,tbSkills!DH3:DI6,2,FALSE)+IF(AND(Calculator!B8=TRUE,Backdoors!BI21=TRUE),VLOOKUP(Calculator!E23,tbSkills!DH3:DJ6,3,FALSE),0),0))/100)))),1),"")</f>
        <v>1</v>
      </c>
      <c r="EA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X4)*DZ4)*(VLOOKUP(A4,tbMoveset!A2:C112,3,FALSE)/100)*IF(VLOOKUP(A4,tbMoveset!A2:B112,2,FALSE)="Projectile",Backdoors!N10,Backdoors!N9),0),"")</f>
        <v/>
      </c>
      <c r="EB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X4&gt;=0.45,VLOOKUP(Calculator!E23,tbSkills!DH3:DI6,2,FALSE)+IF(AND(Calculator!B8=TRUE,Backdoors!BI21=TRUE),VLOOKUP(Calculator!E23,tbSkills!DH3:DJ6,3,FALSE),0),0))&gt;=100,100,(Backdoors!AI12+IF(DX4&gt;=0.45,VLOOKUP(Calculator!E23,tbSkills!DH3:DI6,2,FALSE)+IF(AND(Calculator!B8=TRUE,Backdoors!BI21=TRUE),VLOOKUP(Calculator!E23,tbSkills!DH3:DJ6,3,FALSE),0),0)))/100)),1))*IF(VLOOKUP(A4,tbMoveset!A2:K112,11,FALSE)=TRUE,Backdoors!AC5,1))*DY4,0),"")</f>
        <v>0</v>
      </c>
      <c r="EC4" s="49">
        <f>VLOOKUP(A4,tbMoveset!A2:G112,7,FALSE)*IFERROR(IF(Backdoors!AI12&gt;=0,1+(IF(Calculator!E40&gt;0,VLOOKUP(Calculator!E40,tbSkills!AI3:AJ5,2,FALSE),Backdoors!AL4)*(IF((Backdoors!AI12+IF(DX4&gt;=0.45,VLOOKUP(Calculator!E23,tbSkills!DH3:DI6,2,FALSE)+IF(AND(Calculator!B8=TRUE,Backdoors!BI21=TRUE),VLOOKUP(Calculator!E23,tbSkills!DH3:DJ6,3,FALSE),0),0))&gt;=100,100,(Backdoors!AI12+IF(DX4&gt;=0.45,VLOOKUP(Calculator!E23,tbSkills!DH3:DI6,2,FALSE)+IF(AND(Calculator!B8=TRUE,Backdoors!BI21=TRUE),VLOOKUP(Calculator!E23,tbSkills!DH3:DJ6,3,FALSE),0),0)))/100)),1),1)</f>
        <v>0.4</v>
      </c>
      <c r="ED4" s="87">
        <f t="shared" ref="ED4:ED67" si="11">SUM(EA4:EB4)</f>
        <v>0</v>
      </c>
      <c r="EE4" s="86" t="str">
        <f>IFERROR(IF(VLOOKUP(A4,tbMoveset!A2:B112,2,FALSE)="Sever",Backdoors!AY22/100,IF(VLOOKUP(A4,tbMoveset!A2:B112,2,FALSE)="Blunt",Backdoors!AZ22/100,Backdoors!BA22/100)),"")</f>
        <v/>
      </c>
      <c r="EF4" s="49">
        <f>IFERROR(IF(VLOOKUP(tbMoveset!A4,tbMoveset!A2:H112,8,FALSE)="Other",IF(VLOOKUP(tbMoveset!A4,tbMoveset!A2:I112,9,FALSE)="Fire",Backdoors!BB22,IF(VLOOKUP(tbMoveset!A4,tbMoveset!A2:I112,9,FALSE)="Water",Backdoors!BC22,IF(VLOOKUP(tbMoveset!A4,tbMoveset!A2:I112,9,FALSE)="Thunder",Backdoors!BD22,IF(VLOOKUP(tbMoveset!A4,tbMoveset!A2:I112,9,FALSE)="Ice",Backdoors!BE22,IF(VLOOKUP(tbMoveset!A4,tbMoveset!A2:I112,9,FALSE)="Dragon",Backdoors!BF22,Backdoors!BG22)))))/100,Backdoors!BG22/100),"")</f>
        <v>0</v>
      </c>
      <c r="EG4" s="49">
        <f>IFERROR(IF(VLOOKUP(A4,tbMoveset!A2:J112,10,FALSE)=TRUE,IF((Backdoors!AI12+IF(EE4&gt;=0.45,VLOOKUP(Calculator!E23,tbSkills!DH3:DI6,2,FALSE)+IF(AND(Calculator!B8=TRUE,Backdoors!BI22=TRUE),VLOOKUP(Calculator!E23,tbSkills!DH3:DJ6,3,FALSE),0),0))&gt;=0,1+(Backdoors!AL2*(IF((Backdoors!AI12+IF(EE4&gt;=0.45,VLOOKUP(Calculator!E23,tbSkills!DH3:DI6,2,FALSE)+IF(AND(Calculator!B8=TRUE,Backdoors!BI22=TRUE),VLOOKUP(Calculator!E23,tbSkills!DH3:DJ6,3,FALSE),0),0))&gt;=100,100,(Backdoors!AI12+IF(EE4&gt;=0.45,VLOOKUP(Calculator!E23,tbSkills!DH3:DI6,2,FALSE)+IF(AND(Calculator!B8=TRUE,Backdoors!BI22=TRUE),VLOOKUP(Calculator!E23,tbSkills!DH3:DJ6,3,FALSE),0),0)))/100)),(1-(0.25*((-Backdoors!AI12-IF(EE4&gt;=0.45,VLOOKUP(Calculator!E23,tbSkills!DH3:DI6,2,FALSE)+IF(AND(Calculator!B8=TRUE,Backdoors!BI22=TRUE),VLOOKUP(Calculator!E23,tbSkills!DH3:DJ6,3,FALSE),0),0))/100)))),1),"")</f>
        <v>1</v>
      </c>
      <c r="EH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E4)*EG4)*(VLOOKUP(A4,tbMoveset!A2:C112,3,FALSE)/100)*IF(VLOOKUP(A4,tbMoveset!A2:B112,2,FALSE)="Projectile",Backdoors!N10,Backdoors!N9),0),"")</f>
        <v/>
      </c>
      <c r="EI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E4&gt;=0.45,VLOOKUP(Calculator!E23,tbSkills!DH3:DI6,2,FALSE)+IF(AND(Calculator!B8=TRUE,Backdoors!BI22=TRUE),VLOOKUP(Calculator!E23,tbSkills!DH3:DJ6,3,FALSE),0),0))&gt;=100,100,(Backdoors!AI12+IF(EE4&gt;=0.45,VLOOKUP(Calculator!E23,tbSkills!DH3:DI6,2,FALSE)+IF(AND(Calculator!B8=TRUE,Backdoors!BI22=TRUE),VLOOKUP(Calculator!E23,tbSkills!DH3:DJ6,3,FALSE),0),0)))/100)),1))*IF(VLOOKUP(A4,tbMoveset!A2:K112,11,FALSE)=TRUE,Backdoors!AC5,1))*EF4,0),"")</f>
        <v>0</v>
      </c>
      <c r="EJ4" s="49">
        <f>VLOOKUP(A4,tbMoveset!A2:G112,7,FALSE)*IFERROR(IF(Backdoors!AI12&gt;=0,1+(IF(Calculator!E40&gt;0,VLOOKUP(Calculator!E40,tbSkills!AI3:AJ5,2,FALSE),Backdoors!AL4)*(IF((Backdoors!AI12+IF(EE4&gt;=0.45,VLOOKUP(Calculator!E23,tbSkills!DH3:DI6,2,FALSE)+IF(AND(Calculator!B8=TRUE,Backdoors!BI22=TRUE),VLOOKUP(Calculator!E23,tbSkills!DH3:DJ6,3,FALSE),0),0))&gt;=100,100,(Backdoors!AI12+IF(EE4&gt;=0.45,VLOOKUP(Calculator!E23,tbSkills!DH3:DI6,2,FALSE)+IF(AND(Calculator!B8=TRUE,Backdoors!BI22=TRUE),VLOOKUP(Calculator!E23,tbSkills!DH3:DJ6,3,FALSE),0),0)))/100)),1),1)</f>
        <v>0.4</v>
      </c>
      <c r="EK4" s="87">
        <f t="shared" ref="EK4:EK67" si="12">SUM(EH4:EI4)</f>
        <v>0</v>
      </c>
      <c r="EL4" s="86" t="str">
        <f>IFERROR(IF(VLOOKUP(A4,tbMoveset!A2:B112,2,FALSE)="Sever",Backdoors!AY23/100,IF(VLOOKUP(A4,tbMoveset!A2:B112,2,FALSE)="Blunt",Backdoors!AZ23/100,Backdoors!BA23/100)),"")</f>
        <v/>
      </c>
      <c r="EM4" s="49">
        <f>IFERROR(IF(VLOOKUP(tbMoveset!A4,tbMoveset!A2:H112,8,FALSE)="Other",IF(VLOOKUP(tbMoveset!A4,tbMoveset!A2:I112,9,FALSE)="Fire",Backdoors!BB23,IF(VLOOKUP(tbMoveset!A4,tbMoveset!A2:I112,9,FALSE)="Water",Backdoors!BC23,IF(VLOOKUP(tbMoveset!A4,tbMoveset!A2:I112,9,FALSE)="Thunder",Backdoors!BD23,IF(VLOOKUP(tbMoveset!A4,tbMoveset!A2:I112,9,FALSE)="Ice",Backdoors!BE23,IF(VLOOKUP(tbMoveset!A4,tbMoveset!A2:I112,9,FALSE)="Dragon",Backdoors!BF23,Backdoors!BG23)))))/100,Backdoors!BG23/100),"")</f>
        <v>0</v>
      </c>
      <c r="EN4" s="49">
        <f>IFERROR(IF(VLOOKUP(A4,tbMoveset!A2:J112,10,FALSE)=TRUE,IF((Backdoors!AI12+IF(EL4&gt;=0.45,VLOOKUP(Calculator!E23,tbSkills!DH3:DI6,2,FALSE)+IF(AND(Calculator!B8=TRUE,Backdoors!BI23=TRUE),VLOOKUP(Calculator!E23,tbSkills!DH3:DJ6,3,FALSE),0),0))&gt;=0,1+(Backdoors!AL2*(IF((Backdoors!AI12+IF(EL4&gt;=0.45,VLOOKUP(Calculator!E23,tbSkills!DH3:DI6,2,FALSE)+IF(AND(Calculator!B8=TRUE,Backdoors!BI23=TRUE),VLOOKUP(Calculator!E23,tbSkills!DH3:DJ6,3,FALSE),0),0))&gt;=100,100,(Backdoors!AI12+IF(EL4&gt;=0.45,VLOOKUP(Calculator!E23,tbSkills!DH3:DI6,2,FALSE)+IF(AND(Calculator!B8=TRUE,Backdoors!BI23=TRUE),VLOOKUP(Calculator!E23,tbSkills!DH3:DJ6,3,FALSE),0),0)))/100)),(1-(0.25*((-Backdoors!AI12-IF(EL4&gt;=0.45,VLOOKUP(Calculator!E23,tbSkills!DH3:DI6,2,FALSE)+IF(AND(Calculator!B8=TRUE,Backdoors!BI23=TRUE),VLOOKUP(Calculator!E23,tbSkills!DH3:DJ6,3,FALSE),0),0))/100)))),1),"")</f>
        <v>1</v>
      </c>
      <c r="EO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L4)*EN4)*(VLOOKUP(A4,tbMoveset!A2:C112,3,FALSE)/100)*IF(VLOOKUP(A4,tbMoveset!A2:B112,2,FALSE)="Projectile",Backdoors!N10,Backdoors!N9),0),"")</f>
        <v/>
      </c>
      <c r="EP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L4&gt;=0.45,VLOOKUP(Calculator!E23,tbSkills!DH3:DI6,2,FALSE)+IF(AND(Calculator!B8=TRUE,Backdoors!BI23=TRUE),VLOOKUP(Calculator!E23,tbSkills!DH3:DJ6,3,FALSE),0),0))&gt;=100,100,(Backdoors!AI12+IF(EL4&gt;=0.45,VLOOKUP(Calculator!E23,tbSkills!DH3:DI6,2,FALSE)+IF(AND(Calculator!B8=TRUE,Backdoors!BI23=TRUE),VLOOKUP(Calculator!E23,tbSkills!DH3:DJ6,3,FALSE),0),0)))/100)),1))*IF(VLOOKUP(A4,tbMoveset!A2:K112,11,FALSE)=TRUE,Backdoors!AC5,1))*EM4,0),"")</f>
        <v>0</v>
      </c>
      <c r="EQ4" s="49">
        <f>VLOOKUP(A4,tbMoveset!A2:G112,7,FALSE)*IFERROR(IF(Backdoors!AI12&gt;=0,1+(IF(Calculator!E40&gt;0,VLOOKUP(Calculator!E40,tbSkills!AI3:AJ5,2,FALSE),Backdoors!AL4)*(IF((Backdoors!AI12+IF(EL4&gt;=0.45,VLOOKUP(Calculator!E23,tbSkills!DH3:DI6,2,FALSE)+IF(AND(Calculator!B8=TRUE,Backdoors!BI23=TRUE),VLOOKUP(Calculator!E23,tbSkills!DH3:DJ6,3,FALSE),0),0))&gt;=100,100,(Backdoors!AI12+IF(EL4&gt;=0.45,VLOOKUP(Calculator!E23,tbSkills!DH3:DI6,2,FALSE)+IF(AND(Calculator!B8=TRUE,Backdoors!BI23=TRUE),VLOOKUP(Calculator!E23,tbSkills!DH3:DJ6,3,FALSE),0),0)))/100)),1),1)</f>
        <v>0.4</v>
      </c>
      <c r="ER4" s="87">
        <f t="shared" ref="ER4:ER67" si="13">SUM(EO4:EP4)</f>
        <v>0</v>
      </c>
      <c r="ES4" s="86" t="str">
        <f>IFERROR(IF(VLOOKUP(A4,tbMoveset!A2:B112,2,FALSE)="Sever",Backdoors!AY24/100,IF(VLOOKUP(A4,tbMoveset!A2:B112,2,FALSE)="Blunt",Backdoors!AZ24/100,Backdoors!BA24/100)),"")</f>
        <v/>
      </c>
      <c r="ET4" s="49">
        <f>IFERROR(IF(VLOOKUP(tbMoveset!A4,tbMoveset!A2:H112,8,FALSE)="Other",IF(VLOOKUP(tbMoveset!A4,tbMoveset!A2:I112,9,FALSE)="Fire",Backdoors!BB24,IF(VLOOKUP(tbMoveset!A4,tbMoveset!A2:I112,9,FALSE)="Water",Backdoors!BC24,IF(VLOOKUP(tbMoveset!A4,tbMoveset!A2:I112,9,FALSE)="Thunder",Backdoors!BD24,IF(VLOOKUP(tbMoveset!A4,tbMoveset!A2:I112,9,FALSE)="Ice",Backdoors!BE24,IF(VLOOKUP(tbMoveset!A4,tbMoveset!A2:I112,9,FALSE)="Dragon",Backdoors!BF24,Backdoors!BG24)))))/100,Backdoors!BG24/100),"")</f>
        <v>0</v>
      </c>
      <c r="EU4" s="49">
        <f>IFERROR(IF(VLOOKUP(A4,tbMoveset!A2:J112,10,FALSE)=TRUE,IF((Backdoors!AI12+IF(ES4&gt;=0.45,VLOOKUP(Calculator!E23,tbSkills!DH3:DI6,2,FALSE)+IF(AND(Calculator!B8=TRUE,Backdoors!BI24=TRUE),VLOOKUP(Calculator!E23,tbSkills!DH3:DJ6,3,FALSE),0),0))&gt;=0,1+(Backdoors!AL2*(IF((Backdoors!AI12+IF(ES4&gt;=0.45,VLOOKUP(Calculator!E23,tbSkills!DH3:DI6,2,FALSE)+IF(AND(Calculator!B8=TRUE,Backdoors!BI24=TRUE),VLOOKUP(Calculator!E23,tbSkills!DH3:DJ6,3,FALSE),0),0))&gt;=100,100,(Backdoors!AI12+IF(ES4&gt;=0.45,VLOOKUP(Calculator!E23,tbSkills!DH3:DI6,2,FALSE)+IF(AND(Calculator!B8=TRUE,Backdoors!BI24=TRUE),VLOOKUP(Calculator!E23,tbSkills!DH3:DJ6,3,FALSE),0),0)))/100)),(1-(0.25*((-Backdoors!AI12-IF(ES4&gt;=0.45,VLOOKUP(Calculator!E23,tbSkills!DH3:DI6,2,FALSE)+IF(AND(Calculator!B8=TRUE,Backdoors!BI24=TRUE),VLOOKUP(Calculator!E23,tbSkills!DH3:DJ6,3,FALSE),0),0))/100)))),1),"")</f>
        <v>1</v>
      </c>
      <c r="EV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S4)*EU4)*(VLOOKUP(A4,tbMoveset!A2:C112,3,FALSE)/100)*IF(VLOOKUP(A4,tbMoveset!A2:B112,2,FALSE)="Projectile",Backdoors!N10,Backdoors!N9),0),"")</f>
        <v/>
      </c>
      <c r="EW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S4&gt;=0.45,VLOOKUP(Calculator!E23,tbSkills!DH3:DI6,2,FALSE)+IF(AND(Calculator!B8=TRUE,Backdoors!BI24=TRUE),VLOOKUP(Calculator!E23,tbSkills!DH3:DJ6,3,FALSE),0),0))&gt;=100,100,(Backdoors!AI12+IF(ES4&gt;=0.45,VLOOKUP(Calculator!E23,tbSkills!DH3:DI6,2,FALSE)+IF(AND(Calculator!B8=TRUE,Backdoors!BI24=TRUE),VLOOKUP(Calculator!E23,tbSkills!DH3:DJ6,3,FALSE),0),0)))/100)),1))*IF(VLOOKUP(A4,tbMoveset!A2:K112,11,FALSE)=TRUE,Backdoors!AC5,1))*ET4,0),"")</f>
        <v>0</v>
      </c>
      <c r="EX4" s="49">
        <f>VLOOKUP(A4,tbMoveset!A2:G112,7,FALSE)*IFERROR(IF(Backdoors!AI12&gt;=0,1+(IF(Calculator!E40&gt;0,VLOOKUP(Calculator!E40,tbSkills!AI3:AJ5,2,FALSE),Backdoors!AL4)*(IF((Backdoors!AI12+IF(ES4&gt;=0.45,VLOOKUP(Calculator!E23,tbSkills!DH3:DI6,2,FALSE)+IF(AND(Calculator!B8=TRUE,Backdoors!BI24=TRUE),VLOOKUP(Calculator!E23,tbSkills!DH3:DJ6,3,FALSE),0),0))&gt;=100,100,(Backdoors!AI12+IF(ES4&gt;=0.45,VLOOKUP(Calculator!E23,tbSkills!DH3:DI6,2,FALSE)+IF(AND(Calculator!B8=TRUE,Backdoors!BI24=TRUE),VLOOKUP(Calculator!E23,tbSkills!DH3:DJ6,3,FALSE),0),0)))/100)),1),1)</f>
        <v>0.4</v>
      </c>
      <c r="EY4" s="87">
        <f t="shared" ref="EY4:EY67" si="14">SUM(EV4:EW4)</f>
        <v>0</v>
      </c>
      <c r="EZ4" s="86" t="str">
        <f>IFERROR(IF(VLOOKUP(A4,tbMoveset!A2:B112,2,FALSE)="Sever",Backdoors!AY25/100,IF(VLOOKUP(A4,tbMoveset!A2:B112,2,FALSE)="Blunt",Backdoors!AZ25/100,Backdoors!BA25/100)),"")</f>
        <v/>
      </c>
      <c r="FA4" s="49">
        <f>IFERROR(IF(VLOOKUP(tbMoveset!A4,tbMoveset!A2:H112,8,FALSE)="Other",IF(VLOOKUP(tbMoveset!A4,tbMoveset!A2:I112,9,FALSE)="Fire",Backdoors!BB25,IF(VLOOKUP(tbMoveset!A4,tbMoveset!A2:I112,9,FALSE)="Water",Backdoors!BC25,IF(VLOOKUP(tbMoveset!A4,tbMoveset!A2:I112,9,FALSE)="Thunder",Backdoors!BD25,IF(VLOOKUP(tbMoveset!A4,tbMoveset!A2:I112,9,FALSE)="Ice",Backdoors!BE25,IF(VLOOKUP(tbMoveset!A4,tbMoveset!A2:I112,9,FALSE)="Dragon",Backdoors!BF25,Backdoors!BG25)))))/100,Backdoors!BG25/100),"")</f>
        <v>0</v>
      </c>
      <c r="FB4" s="49">
        <f>IFERROR(IF(VLOOKUP(A4,tbMoveset!A2:J112,10,FALSE)=TRUE,IF((Backdoors!AI12+IF(EZ4&gt;=0.45,VLOOKUP(Calculator!E23,tbSkills!DH3:DI6,2,FALSE)+IF(AND(Calculator!B8=TRUE,Backdoors!BI25=TRUE),VLOOKUP(Calculator!E23,tbSkills!DH3:DJ6,3,FALSE),0),0))&gt;=0,1+(Backdoors!AL2*(IF((Backdoors!AI12+IF(EZ4&gt;=0.45,VLOOKUP(Calculator!E23,tbSkills!DH3:DI6,2,FALSE)+IF(AND(Calculator!B8=TRUE,Backdoors!BI25=TRUE),VLOOKUP(Calculator!E23,tbSkills!DH3:DJ6,3,FALSE),0),0))&gt;=100,100,(Backdoors!AI12+IF(EZ4&gt;=0.45,VLOOKUP(Calculator!E23,tbSkills!DH3:DI6,2,FALSE)+IF(AND(Calculator!B8=TRUE,Backdoors!BI25=TRUE),VLOOKUP(Calculator!E23,tbSkills!DH3:DJ6,3,FALSE),0),0)))/100)),(1-(0.25*((-Backdoors!AI12-IF(EZ4&gt;=0.45,VLOOKUP(Calculator!E23,tbSkills!DH3:DI6,2,FALSE)+IF(AND(Calculator!B8=TRUE,Backdoors!BI25=TRUE),VLOOKUP(Calculator!E23,tbSkills!DH3:DJ6,3,FALSE),0),0))/100)))),1),"")</f>
        <v>1</v>
      </c>
      <c r="FC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Z4)*FB4)*(VLOOKUP(A4,tbMoveset!A2:C112,3,FALSE)/100)*IF(VLOOKUP(A4,tbMoveset!A2:B112,2,FALSE)="Projectile",Backdoors!N10,Backdoors!N9),0),"")</f>
        <v/>
      </c>
      <c r="FD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Z4&gt;=0.45,VLOOKUP(Calculator!E23,tbSkills!DH3:DI6,2,FALSE)+IF(AND(Calculator!B8=TRUE,Backdoors!BI25=TRUE),VLOOKUP(Calculator!E23,tbSkills!DH3:DJ6,3,FALSE),0),0))&gt;=100,100,(Backdoors!AI12+IF(EZ4&gt;=0.45,VLOOKUP(Calculator!E23,tbSkills!DH3:DI6,2,FALSE)+IF(AND(Calculator!B8=TRUE,Backdoors!BI25=TRUE),VLOOKUP(Calculator!E23,tbSkills!DH3:DJ6,3,FALSE),0),0)))/100)),1))*IF(VLOOKUP(A4,tbMoveset!A2:K112,11,FALSE)=TRUE,Backdoors!AC5,1))*FA4,0),"")</f>
        <v>0</v>
      </c>
      <c r="FE4" s="49">
        <f>VLOOKUP(A4,tbMoveset!A2:G112,7,FALSE)*IFERROR(IF(Backdoors!AI12&gt;=0,1+(IF(Calculator!E40&gt;0,VLOOKUP(Calculator!E40,tbSkills!AI3:AJ5,2,FALSE),Backdoors!AL4)*(IF((Backdoors!AI12+IF(EZ4&gt;=0.45,VLOOKUP(Calculator!E23,tbSkills!DH3:DI6,2,FALSE)+IF(AND(Calculator!B8=TRUE,Backdoors!BI25=TRUE),VLOOKUP(Calculator!E23,tbSkills!DH3:DJ6,3,FALSE),0),0))&gt;=100,100,(Backdoors!AI12+IF(EZ4&gt;=0.45,VLOOKUP(Calculator!E23,tbSkills!DH3:DI6,2,FALSE)+IF(AND(Calculator!B8=TRUE,Backdoors!BI25=TRUE),VLOOKUP(Calculator!E23,tbSkills!DH3:DJ6,3,FALSE),0),0)))/100)),1),1)</f>
        <v>0.4</v>
      </c>
      <c r="FF4" s="87">
        <f t="shared" ref="FF4:FF67" si="15">SUM(FC4:FD4)</f>
        <v>0</v>
      </c>
      <c r="FG4" s="86" t="str">
        <f>IFERROR(IF(VLOOKUP(A4,tbMoveset!A2:B112,2,FALSE)="Sever",Backdoors!AY26/100,IF(VLOOKUP(A4,tbMoveset!A2:B112,2,FALSE)="Blunt",Backdoors!AZ26/100,Backdoors!BA26/100)),"")</f>
        <v/>
      </c>
      <c r="FH4" s="49">
        <f>IFERROR(IF(VLOOKUP(tbMoveset!A4,tbMoveset!A2:H112,8,FALSE)="Other",IF(VLOOKUP(tbMoveset!A4,tbMoveset!A2:I112,9,FALSE)="Fire",Backdoors!BB26,IF(VLOOKUP(tbMoveset!A4,tbMoveset!A2:I112,9,FALSE)="Water",Backdoors!BC26,IF(VLOOKUP(tbMoveset!A4,tbMoveset!A2:I112,9,FALSE)="Thunder",Backdoors!BD26,IF(VLOOKUP(tbMoveset!A4,tbMoveset!A2:I112,9,FALSE)="Ice",Backdoors!BE26,IF(VLOOKUP(tbMoveset!A4,tbMoveset!A2:I112,9,FALSE)="Dragon",Backdoors!BF26,Backdoors!BG26)))))/100,Backdoors!BG26/100),"")</f>
        <v>0</v>
      </c>
      <c r="FI4" s="49">
        <f>IFERROR(IF(VLOOKUP(A4,tbMoveset!A2:J112,10,FALSE)=TRUE,IF((Backdoors!AI12+IF(FG4&gt;=0.45,VLOOKUP(Calculator!E23,tbSkills!DH3:DI6,2,FALSE)+IF(AND(Calculator!B8=TRUE,Backdoors!BI26=TRUE),VLOOKUP(Calculator!E23,tbSkills!DH3:DJ6,3,FALSE),0),0))&gt;=0,1+(Backdoors!AL2*(IF((Backdoors!AI12+IF(FG4&gt;=0.45,VLOOKUP(Calculator!E23,tbSkills!DH3:DI6,2,FALSE)+IF(AND(Calculator!B8=TRUE,Backdoors!BI26=TRUE),VLOOKUP(Calculator!E23,tbSkills!DH3:DJ6,3,FALSE),0),0))&gt;=100,100,(Backdoors!AI12+IF(FG4&gt;=0.45,VLOOKUP(Calculator!E23,tbSkills!DH3:DI6,2,FALSE)+IF(AND(Calculator!B8=TRUE,Backdoors!BI26=TRUE),VLOOKUP(Calculator!E23,tbSkills!DH3:DJ6,3,FALSE),0),0)))/100)),(1-(0.25*((-Backdoors!AI12-IF(FG4&gt;=0.45,VLOOKUP(Calculator!E23,tbSkills!DH3:DI6,2,FALSE)+IF(AND(Calculator!B8=TRUE,Backdoors!BI26=TRUE),VLOOKUP(Calculator!E23,tbSkills!DH3:DJ6,3,FALSE),0),0))/100)))),1),"")</f>
        <v>1</v>
      </c>
      <c r="FJ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FG4)*FI4)*(VLOOKUP(A4,tbMoveset!A2:C112,3,FALSE)/100)*IF(VLOOKUP(A4,tbMoveset!A2:B112,2,FALSE)="Projectile",Backdoors!N10,Backdoors!N9),0),"")</f>
        <v/>
      </c>
      <c r="FK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FG4&gt;=0.45,VLOOKUP(Calculator!E23,tbSkills!DH3:DI6,2,FALSE)+IF(AND(Calculator!B8=TRUE,Backdoors!BI26=TRUE),VLOOKUP(Calculator!E23,tbSkills!DH3:DJ6,3,FALSE),0),0))&gt;=100,100,(Backdoors!AI12+IF(FG4&gt;=0.45,VLOOKUP(Calculator!E23,tbSkills!DH3:DI6,2,FALSE)+IF(AND(Calculator!B8=TRUE,Backdoors!BI26=TRUE),VLOOKUP(Calculator!E23,tbSkills!DH3:DJ6,3,FALSE),0),0)))/100)),1))*IF(VLOOKUP(A4,tbMoveset!A2:K112,11,FALSE)=TRUE,Backdoors!AC5,1))*FH4,0),"")</f>
        <v>0</v>
      </c>
      <c r="FL4" s="49">
        <f>VLOOKUP(A4,tbMoveset!A2:G112,7,FALSE)*IFERROR(IF(Backdoors!AI12&gt;=0,1+(IF(Calculator!E40&gt;0,VLOOKUP(Calculator!E40,tbSkills!AI3:AJ5,2,FALSE),Backdoors!AL4)*(IF((Backdoors!AI12+IF(FG4&gt;=0.45,VLOOKUP(Calculator!E23,tbSkills!DH3:DI6,2,FALSE)+IF(AND(Calculator!B8=TRUE,Backdoors!BI26=TRUE),VLOOKUP(Calculator!E23,tbSkills!DH3:DJ6,3,FALSE),0),0))&gt;=100,100,(Backdoors!AI12+IF(FG4&gt;=0.45,VLOOKUP(Calculator!E23,tbSkills!DH3:DI6,2,FALSE)+IF(AND(Calculator!B8=TRUE,Backdoors!BI26=TRUE),VLOOKUP(Calculator!E23,tbSkills!DH3:DJ6,3,FALSE),0),0)))/100)),1),1)</f>
        <v>0.4</v>
      </c>
      <c r="FM4" s="87">
        <f t="shared" ref="FM4:FM67" si="16">SUM(FJ4:FK4)</f>
        <v>0</v>
      </c>
      <c r="FN4" s="86" t="str">
        <f>IFERROR(IF(VLOOKUP(A4,tbMoveset!A2:B112,2,FALSE)="Sever",Backdoors!AY27/100,IF(VLOOKUP(A4,tbMoveset!A2:B112,2,FALSE)="Blunt",Backdoors!AZ27/100,Backdoors!BA27/100)),"")</f>
        <v/>
      </c>
      <c r="FO4" s="49">
        <f>IFERROR(IF(VLOOKUP(tbMoveset!A4,tbMoveset!A2:H112,8,FALSE)="Other",IF(VLOOKUP(tbMoveset!A4,tbMoveset!A2:I112,9,FALSE)="Fire",Backdoors!BB27,IF(VLOOKUP(tbMoveset!A4,tbMoveset!A2:I112,9,FALSE)="Water",Backdoors!BC27,IF(VLOOKUP(tbMoveset!A4,tbMoveset!A2:I112,9,FALSE)="Thunder",Backdoors!BD27,IF(VLOOKUP(tbMoveset!A4,tbMoveset!A2:I112,9,FALSE)="Ice",Backdoors!BE27,IF(VLOOKUP(tbMoveset!A4,tbMoveset!A2:I112,9,FALSE)="Dragon",Backdoors!BF27,Backdoors!BG27)))))/100,Backdoors!BG27/100),"")</f>
        <v>0</v>
      </c>
      <c r="FP4" s="49">
        <f>IFERROR(IF(VLOOKUP(A4,tbMoveset!A2:J112,10,FALSE)=TRUE,IF((Backdoors!AI12+IF(FN4&gt;=0.45,VLOOKUP(Calculator!E23,tbSkills!DH3:DI6,2,FALSE)+IF(AND(Calculator!B8=TRUE,Backdoors!BI27=TRUE),VLOOKUP(Calculator!E23,tbSkills!DH3:DJ6,3,FALSE),0),0))&gt;=0,1+(Backdoors!AL2*(IF((Backdoors!AI12+IF(FN4&gt;=0.45,VLOOKUP(Calculator!E23,tbSkills!DH3:DI6,2,FALSE)+IF(AND(Calculator!B8=TRUE,Backdoors!BI27=TRUE),VLOOKUP(Calculator!E23,tbSkills!DH3:DJ6,3,FALSE),0),0))&gt;=100,100,(Backdoors!AI12+IF(FN4&gt;=0.45,VLOOKUP(Calculator!E23,tbSkills!DH3:DI6,2,FALSE)+IF(AND(Calculator!B8=TRUE,Backdoors!BI27=TRUE),VLOOKUP(Calculator!E23,tbSkills!DH3:DJ6,3,FALSE),0),0)))/100)),(1-(0.25*((-Backdoors!AI12-IF(FN4&gt;=0.45,VLOOKUP(Calculator!E23,tbSkills!DH3:DI6,2,FALSE)+IF(AND(Calculator!B8=TRUE,Backdoors!BI27=TRUE),VLOOKUP(Calculator!E23,tbSkills!DH3:DJ6,3,FALSE),0),0))/100)))),1),"")</f>
        <v>1</v>
      </c>
      <c r="FQ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FN4)*FP4)*(VLOOKUP(A4,tbMoveset!A2:C112,3,FALSE)/100)*IF(VLOOKUP(A4,tbMoveset!A2:B112,2,FALSE)="Projectile",Backdoors!N10,Backdoors!N9),0),"")</f>
        <v/>
      </c>
      <c r="FR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FN4&gt;=0.45,VLOOKUP(Calculator!E23,tbSkills!DH3:DI6,2,FALSE)+IF(AND(Calculator!B8=TRUE,Backdoors!BI27=TRUE),VLOOKUP(Calculator!E23,tbSkills!DH3:DJ6,3,FALSE),0),0))&gt;=100,100,(Backdoors!AI12+IF(FN4&gt;=0.45,VLOOKUP(Calculator!E23,tbSkills!DH3:DI6,2,FALSE)+IF(AND(Calculator!B8=TRUE,Backdoors!BI27=TRUE),VLOOKUP(Calculator!E23,tbSkills!DH3:DJ6,3,FALSE),0),0)))/100)),1))*IF(VLOOKUP(A4,tbMoveset!A2:K112,11,FALSE)=TRUE,Backdoors!AC5,1))*FO4,0),"")</f>
        <v>0</v>
      </c>
      <c r="FS4" s="49">
        <f>VLOOKUP(A4,tbMoveset!A2:G112,7,FALSE)*IFERROR(IF(Backdoors!AI12&gt;=0,1+(IF(Calculator!E40&gt;0,VLOOKUP(Calculator!E40,tbSkills!AI3:AJ5,2,FALSE),Backdoors!AL4)*(IF((Backdoors!AI12+IF(FN4&gt;=0.45,VLOOKUP(Calculator!E23,tbSkills!DH3:DI6,2,FALSE)+IF(AND(Calculator!B8=TRUE,Backdoors!BI27=TRUE),VLOOKUP(Calculator!E23,tbSkills!DH3:DJ6,3,FALSE),0),0))&gt;=100,100,(Backdoors!AI12+IF(FN4&gt;=0.45,VLOOKUP(Calculator!E23,tbSkills!DH3:DI6,2,FALSE)+IF(AND(Calculator!B8=TRUE,Backdoors!BI27=TRUE),VLOOKUP(Calculator!E23,tbSkills!DH3:DJ6,3,FALSE),0),0)))/100)),1),1)</f>
        <v>0.4</v>
      </c>
      <c r="FT4" s="87">
        <f t="shared" ref="FT4:FT67" si="17">SUM(FQ4:FR4)</f>
        <v>0</v>
      </c>
      <c r="FU4" s="86" t="str">
        <f>IFERROR(IF(VLOOKUP(A4,tbMoveset!A2:B112,2,FALSE)="Sever",Backdoors!AY28/100,IF(VLOOKUP(A4,tbMoveset!A2:B112,2,FALSE)="Blunt",Backdoors!AZ28/100,Backdoors!BA28/100)),"")</f>
        <v/>
      </c>
      <c r="FV4" s="49">
        <f>IFERROR(IF(VLOOKUP(tbMoveset!A4,tbMoveset!A2:H112,8,FALSE)="Other",IF(VLOOKUP(tbMoveset!A4,tbMoveset!A2:I112,9,FALSE)="Fire",Backdoors!BB28,IF(VLOOKUP(tbMoveset!A4,tbMoveset!A2:I112,9,FALSE)="Water",Backdoors!BC28,IF(VLOOKUP(tbMoveset!A4,tbMoveset!A2:I112,9,FALSE)="Thunder",Backdoors!BD28,IF(VLOOKUP(tbMoveset!A4,tbMoveset!A2:I112,9,FALSE)="Ice",Backdoors!BE28,IF(VLOOKUP(tbMoveset!A4,tbMoveset!A2:I112,9,FALSE)="Dragon",Backdoors!BF28,Backdoors!BG28)))))/100,Backdoors!BG28/100),"")</f>
        <v>0</v>
      </c>
      <c r="FW4" s="49">
        <f>IFERROR(IF(VLOOKUP(A4,tbMoveset!A2:J112,10,FALSE)=TRUE,IF((Backdoors!AI12+IF(FU4&gt;=0.45,VLOOKUP(Calculator!E23,tbSkills!DH3:DI6,2,FALSE)+IF(AND(Calculator!B8=TRUE,Backdoors!BI28=TRUE),VLOOKUP(Calculator!E23,tbSkills!DH3:DJ6,3,FALSE),0),0))&gt;=0,1+(Backdoors!AL2*(IF((Backdoors!AI12+IF(FU4&gt;=0.45,VLOOKUP(Calculator!E23,tbSkills!DH3:DI6,2,FALSE)+IF(AND(Calculator!B8=TRUE,Backdoors!BI28=TRUE),VLOOKUP(Calculator!E23,tbSkills!DH3:DJ6,3,FALSE),0),0))&gt;=100,100,(Backdoors!AI12+IF(FU4&gt;=0.45,VLOOKUP(Calculator!E23,tbSkills!DH3:DI6,2,FALSE)+IF(AND(Calculator!B8=TRUE,Backdoors!BI28=TRUE),VLOOKUP(Calculator!E23,tbSkills!DH3:DJ6,3,FALSE),0),0)))/100)),(1-(0.25*((-Backdoors!AI12-IF(FU4&gt;=0.45,VLOOKUP(Calculator!E23,tbSkills!DH3:DI6,2,FALSE)+IF(AND(Calculator!B8=TRUE,Backdoors!BI28=TRUE),VLOOKUP(Calculator!E23,tbSkills!DH3:DJ6,3,FALSE),0),0))/100)))),1),"")</f>
        <v>1</v>
      </c>
      <c r="FX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FU4)*FW4)*(VLOOKUP(A4,tbMoveset!A2:C112,3,FALSE)/100)*IF(VLOOKUP(A4,tbMoveset!A2:B112,2,FALSE)="Projectile",Backdoors!N10,Backdoors!N9),0),"")</f>
        <v/>
      </c>
      <c r="FY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FU4&gt;=0.45,VLOOKUP(Calculator!E23,tbSkills!DH3:DI6,2,FALSE)+IF(AND(Calculator!B8=TRUE,Backdoors!BI28=TRUE),VLOOKUP(Calculator!E23,tbSkills!DH3:DJ6,3,FALSE),0),0))&gt;=100,100,(Backdoors!AI12+IF(FU4&gt;=0.45,VLOOKUP(Calculator!E23,tbSkills!DH3:DI6,2,FALSE)+IF(AND(Calculator!B8=TRUE,Backdoors!BI28=TRUE),VLOOKUP(Calculator!E23,tbSkills!DH3:DJ6,3,FALSE),0),0)))/100)),1))*IF(VLOOKUP(A4,tbMoveset!A2:K112,11,FALSE)=TRUE,Backdoors!AC5,1))*FV4,0),"")</f>
        <v>0</v>
      </c>
      <c r="FZ4" s="49">
        <f>VLOOKUP(A4,tbMoveset!A2:G112,7,FALSE)*IFERROR(IF(Backdoors!AI12&gt;=0,1+(IF(Calculator!E40&gt;0,VLOOKUP(Calculator!E40,tbSkills!AI3:AJ5,2,FALSE),Backdoors!AL4)*(IF((Backdoors!AI12+IF(FU4&gt;=0.45,VLOOKUP(Calculator!E23,tbSkills!DH3:DI6,2,FALSE)+IF(AND(Calculator!B8=TRUE,Backdoors!BI28=TRUE),VLOOKUP(Calculator!E23,tbSkills!DH3:DJ6,3,FALSE),0),0))&gt;=100,100,(Backdoors!AI12+IF(FU4&gt;=0.45,VLOOKUP(Calculator!E23,tbSkills!DH3:DI6,2,FALSE)+IF(AND(Calculator!B8=TRUE,Backdoors!BI28=TRUE),VLOOKUP(Calculator!E23,tbSkills!DH3:DJ6,3,FALSE),0),0)))/100)),1),1)</f>
        <v>0.4</v>
      </c>
      <c r="GA4" s="87">
        <f t="shared" ref="GA4:GA67" si="18">SUM(FX4:FY4)</f>
        <v>0</v>
      </c>
      <c r="GB4" s="86" t="str">
        <f>IFERROR(IF(VLOOKUP(A4,tbMoveset!A2:B112,2,FALSE)="Sever",Backdoors!AY29/100,IF(VLOOKUP(A4,tbMoveset!A2:B112,2,FALSE)="Blunt",Backdoors!AZ29/100,Backdoors!BA29/100)),"")</f>
        <v/>
      </c>
      <c r="GC4" s="49">
        <f>IFERROR(IF(VLOOKUP(tbMoveset!A4,tbMoveset!A2:H112,8,FALSE)="Other",IF(VLOOKUP(tbMoveset!A4,tbMoveset!A2:I112,9,FALSE)="Fire",Backdoors!BB29,IF(VLOOKUP(tbMoveset!A4,tbMoveset!A2:I112,9,FALSE)="Water",Backdoors!BC29,IF(VLOOKUP(tbMoveset!A4,tbMoveset!A2:I112,9,FALSE)="Thunder",Backdoors!BD29,IF(VLOOKUP(tbMoveset!A4,tbMoveset!A2:I112,9,FALSE)="Ice",Backdoors!BE29,IF(VLOOKUP(tbMoveset!A4,tbMoveset!A2:I112,9,FALSE)="Dragon",Backdoors!BF29,Backdoors!BG29)))))/100,Backdoors!BG29/100),"")</f>
        <v>0</v>
      </c>
      <c r="GD4" s="49">
        <f>IFERROR(IF(VLOOKUP(A4,tbMoveset!A2:J112,10,FALSE)=TRUE,IF((Backdoors!AI12+IF(GB4&gt;=0.45,VLOOKUP(Calculator!E23,tbSkills!DH3:DI6,2,FALSE)+IF(AND(Calculator!B8=TRUE,Backdoors!BI29=TRUE),VLOOKUP(Calculator!E23,tbSkills!DH3:DJ6,3,FALSE),0),0))&gt;=0,1+(Backdoors!AL2*(IF((Backdoors!AI12+IF(GB4&gt;=0.45,VLOOKUP(Calculator!E23,tbSkills!DH3:DI6,2,FALSE)+IF(AND(Calculator!B8=TRUE,Backdoors!BI29=TRUE),VLOOKUP(Calculator!E23,tbSkills!DH3:DJ6,3,FALSE),0),0))&gt;=100,100,(Backdoors!AI12+IF(GB4&gt;=0.45,VLOOKUP(Calculator!E23,tbSkills!DH3:DI6,2,FALSE)+IF(AND(Calculator!B8=TRUE,Backdoors!BI29=TRUE),VLOOKUP(Calculator!E23,tbSkills!DH3:DJ6,3,FALSE),0),0)))/100)),(1-(0.25*((-Backdoors!AI12-IF(GB4&gt;=0.45,VLOOKUP(Calculator!E23,tbSkills!DH3:DI6,2,FALSE)+IF(AND(Calculator!B8=TRUE,Backdoors!BI29=TRUE),VLOOKUP(Calculator!E23,tbSkills!DH3:DJ6,3,FALSE),0),0))/100)))),1),"")</f>
        <v>1</v>
      </c>
      <c r="GE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B4)*GD4)*(VLOOKUP(A4,tbMoveset!A2:C112,3,FALSE)/100)*IF(VLOOKUP(A4,tbMoveset!A2:B112,2,FALSE)="Projectile",Backdoors!N10,Backdoors!N9),0),"")</f>
        <v/>
      </c>
      <c r="GF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B4&gt;=0.45,VLOOKUP(Calculator!E23,tbSkills!DH3:DI6,2,FALSE)+IF(AND(Calculator!B8=TRUE,Backdoors!BI29=TRUE),VLOOKUP(Calculator!E23,tbSkills!DH3:DJ6,3,FALSE),0),0))&gt;=100,100,(Backdoors!AI12+IF(GB4&gt;=0.45,VLOOKUP(Calculator!E23,tbSkills!DH3:DI6,2,FALSE)+IF(AND(Calculator!B8=TRUE,Backdoors!BI29=TRUE),VLOOKUP(Calculator!E23,tbSkills!DH3:DJ6,3,FALSE),0),0)))/100)),1))*IF(VLOOKUP(A4,tbMoveset!A2:K112,11,FALSE)=TRUE,Backdoors!AC5,1))*GC4,0),"")</f>
        <v>0</v>
      </c>
      <c r="GG4" s="49">
        <f>VLOOKUP(A4,tbMoveset!A2:G112,7,FALSE)*IFERROR(IF(Backdoors!AI12&gt;=0,1+(IF(Calculator!E40&gt;0,VLOOKUP(Calculator!E40,tbSkills!AI3:AJ5,2,FALSE),Backdoors!AL4)*(IF((Backdoors!AI12+IF(GB4&gt;=0.45,VLOOKUP(Calculator!E23,tbSkills!DH3:DI6,2,FALSE)+IF(AND(Calculator!B8=TRUE,Backdoors!BI29=TRUE),VLOOKUP(Calculator!E23,tbSkills!DH3:DJ6,3,FALSE),0),0))&gt;=100,100,(Backdoors!AI12+IF(GB4&gt;=0.45,VLOOKUP(Calculator!E23,tbSkills!DH3:DI6,2,FALSE)+IF(AND(Calculator!B8=TRUE,Backdoors!BI29=TRUE),VLOOKUP(Calculator!E23,tbSkills!DH3:DJ6,3,FALSE),0),0)))/100)),1),1)</f>
        <v>0.4</v>
      </c>
      <c r="GH4" s="87">
        <f t="shared" ref="GH4:GH67" si="19">SUM(GE4:GF4)</f>
        <v>0</v>
      </c>
      <c r="GI4" s="86" t="str">
        <f>IFERROR(IF(VLOOKUP(A4,tbMoveset!A2:B112,2,FALSE)="Sever",Backdoors!AY30/100,IF(VLOOKUP(A4,tbMoveset!A2:B112,2,FALSE)="Blunt",Backdoors!AZ30/100,Backdoors!BA30/100)),"")</f>
        <v/>
      </c>
      <c r="GJ4" s="49">
        <f>IFERROR(IF(VLOOKUP(tbMoveset!A4,tbMoveset!A2:H112,8,FALSE)="Other",IF(VLOOKUP(tbMoveset!A4,tbMoveset!A2:I112,9,FALSE)="Fire",Backdoors!BB30,IF(VLOOKUP(tbMoveset!A4,tbMoveset!A2:I112,9,FALSE)="Water",Backdoors!BC30,IF(VLOOKUP(tbMoveset!A4,tbMoveset!A2:I112,9,FALSE)="Thunder",Backdoors!BD30,IF(VLOOKUP(tbMoveset!A4,tbMoveset!A2:I112,9,FALSE)="Ice",Backdoors!BE30,IF(VLOOKUP(tbMoveset!A4,tbMoveset!A2:I112,9,FALSE)="Dragon",Backdoors!BF30,Backdoors!BG30)))))/100,Backdoors!BG30/100),"")</f>
        <v>0</v>
      </c>
      <c r="GK4" s="49">
        <f>IFERROR(IF(VLOOKUP(A4,tbMoveset!A2:J112,10,FALSE)=TRUE,IF((Backdoors!AI12+IF(GI4&gt;=0.45,VLOOKUP(Calculator!E23,tbSkills!DH3:DI6,2,FALSE)+IF(AND(Calculator!B8=TRUE,Backdoors!BI30=TRUE),VLOOKUP(Calculator!E23,tbSkills!DH3:DJ6,3,FALSE),0),0))&gt;=0,1+(Backdoors!AL2*(IF((Backdoors!AI12+IF(GI4&gt;=0.45,VLOOKUP(Calculator!E23,tbSkills!DH3:DI6,2,FALSE)+IF(AND(Calculator!B8=TRUE,Backdoors!BI30=TRUE),VLOOKUP(Calculator!E23,tbSkills!DH3:DJ6,3,FALSE),0),0))&gt;=100,100,(Backdoors!AI12+IF(GI4&gt;=0.45,VLOOKUP(Calculator!E23,tbSkills!DH3:DI6,2,FALSE)+IF(AND(Calculator!B8=TRUE,Backdoors!BI30=TRUE),VLOOKUP(Calculator!E23,tbSkills!DH3:DJ6,3,FALSE),0),0)))/100)),(1-(0.25*((-Backdoors!AI12-IF(GI4&gt;=0.45,VLOOKUP(Calculator!E23,tbSkills!DH3:DI6,2,FALSE)+IF(AND(Calculator!B8=TRUE,Backdoors!BI30=TRUE),VLOOKUP(Calculator!E23,tbSkills!DH3:DJ6,3,FALSE),0),0))/100)))),1),"")</f>
        <v>1</v>
      </c>
      <c r="GL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I4)*GK4)*(VLOOKUP(A4,tbMoveset!A2:C112,3,FALSE)/100)*IF(VLOOKUP(A4,tbMoveset!A2:B112,2,FALSE)="Projectile",Backdoors!N10,Backdoors!N9),0),"")</f>
        <v/>
      </c>
      <c r="GM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I4&gt;=0.45,VLOOKUP(Calculator!E23,tbSkills!DH3:DI6,2,FALSE)+IF(AND(Calculator!B8=TRUE,Backdoors!BI30=TRUE),VLOOKUP(Calculator!E23,tbSkills!DH3:DJ6,3,FALSE),0),0))&gt;=100,100,(Backdoors!AI12+IF(GI4&gt;=0.45,VLOOKUP(Calculator!E23,tbSkills!DH3:DI6,2,FALSE)+IF(AND(Calculator!B8=TRUE,Backdoors!BI30=TRUE),VLOOKUP(Calculator!E23,tbSkills!DH3:DJ6,3,FALSE),0),0)))/100)),1))*IF(VLOOKUP(A4,tbMoveset!A2:K112,11,FALSE)=TRUE,Backdoors!AC5,1))*GJ4,0),"")</f>
        <v>0</v>
      </c>
      <c r="GN4" s="49">
        <f>VLOOKUP(A4,tbMoveset!A2:G112,7,FALSE)*IFERROR(IF(Backdoors!AI12&gt;=0,1+(IF(Calculator!E40&gt;0,VLOOKUP(Calculator!E40,tbSkills!AI3:AJ5,2,FALSE),Backdoors!AL4)*(IF((Backdoors!AI12+IF(GI4&gt;=0.45,VLOOKUP(Calculator!E23,tbSkills!DH3:DI6,2,FALSE)+IF(AND(Calculator!B8=TRUE,Backdoors!BI30=TRUE),VLOOKUP(Calculator!E23,tbSkills!DH3:DJ6,3,FALSE),0),0))&gt;=100,100,(Backdoors!AI12+IF(GI4&gt;=0.45,VLOOKUP(Calculator!E23,tbSkills!DH3:DI6,2,FALSE)+IF(AND(Calculator!B8=TRUE,Backdoors!BI30=TRUE),VLOOKUP(Calculator!E23,tbSkills!DH3:DJ6,3,FALSE),0),0)))/100)),1),1)</f>
        <v>0.4</v>
      </c>
      <c r="GO4" s="87">
        <f t="shared" ref="GO4:GO67" si="20">SUM(GL4:GM4)</f>
        <v>0</v>
      </c>
      <c r="GP4" s="86" t="str">
        <f>IFERROR(IF(VLOOKUP(A4,tbMoveset!A2:B112,2,FALSE)="Sever",Backdoors!AY31/100,IF(VLOOKUP(A4,tbMoveset!A2:B112,2,FALSE)="Blunt",Backdoors!AZ31/100,Backdoors!BA31/100)),"")</f>
        <v/>
      </c>
      <c r="GQ4" s="49">
        <f>IFERROR(IF(VLOOKUP(tbMoveset!A4,tbMoveset!A2:H112,8,FALSE)="Other",IF(VLOOKUP(tbMoveset!A4,tbMoveset!A2:I112,9,FALSE)="Fire",Backdoors!BB31,IF(VLOOKUP(tbMoveset!A4,tbMoveset!A2:I112,9,FALSE)="Water",Backdoors!BC31,IF(VLOOKUP(tbMoveset!A4,tbMoveset!A2:I112,9,FALSE)="Thunder",Backdoors!BD31,IF(VLOOKUP(tbMoveset!A4,tbMoveset!A2:I112,9,FALSE)="Ice",Backdoors!BE31,IF(VLOOKUP(tbMoveset!A4,tbMoveset!A2:I112,9,FALSE)="Dragon",Backdoors!BF31,Backdoors!BG31)))))/100,Backdoors!BG31/100),"")</f>
        <v>0</v>
      </c>
      <c r="GR4" s="49">
        <f>IFERROR(IF(VLOOKUP(A4,tbMoveset!A2:J112,10,FALSE)=TRUE,IF((Backdoors!AI12+IF(GP4&gt;=0.45,VLOOKUP(Calculator!E23,tbSkills!DH3:DI6,2,FALSE)+IF(AND(Calculator!B8=TRUE,Backdoors!BI31=TRUE),VLOOKUP(Calculator!E23,tbSkills!DH3:DJ6,3,FALSE),0),0))&gt;=0,1+(Backdoors!AL2*(IF((Backdoors!AI12+IF(GP4&gt;=0.45,VLOOKUP(Calculator!E23,tbSkills!DH3:DI6,2,FALSE)+IF(AND(Calculator!B8=TRUE,Backdoors!BI31=TRUE),VLOOKUP(Calculator!E23,tbSkills!DH3:DJ6,3,FALSE),0),0))&gt;=100,100,(Backdoors!AI12+IF(GP4&gt;=0.45,VLOOKUP(Calculator!E23,tbSkills!DH3:DI6,2,FALSE)+IF(AND(Calculator!B8=TRUE,Backdoors!BI31=TRUE),VLOOKUP(Calculator!E23,tbSkills!DH3:DJ6,3,FALSE),0),0)))/100)),(1-(0.25*((-Backdoors!AI12-IF(GP4&gt;=0.45,VLOOKUP(Calculator!E23,tbSkills!DH3:DI6,2,FALSE)+IF(AND(Calculator!B8=TRUE,Backdoors!BI31=TRUE),VLOOKUP(Calculator!E23,tbSkills!DH3:DJ6,3,FALSE),0),0))/100)))),1),"")</f>
        <v>1</v>
      </c>
      <c r="GS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P4)*GR4)*(VLOOKUP(A4,tbMoveset!A2:C112,3,FALSE)/100)*IF(VLOOKUP(A4,tbMoveset!A2:B112,2,FALSE)="Projectile",Backdoors!N10,Backdoors!N9),0),"")</f>
        <v/>
      </c>
      <c r="GT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P4&gt;=0.45,VLOOKUP(Calculator!E23,tbSkills!DH3:DI6,2,FALSE)+IF(AND(Calculator!B8=TRUE,Backdoors!BI31=TRUE),VLOOKUP(Calculator!E23,tbSkills!DH3:DJ6,3,FALSE),0),0))&gt;=100,100,(Backdoors!AI12+IF(GP4&gt;=0.45,VLOOKUP(Calculator!E23,tbSkills!DH3:DI6,2,FALSE)+IF(AND(Calculator!B8=TRUE,Backdoors!BI31=TRUE),VLOOKUP(Calculator!E23,tbSkills!DH3:DJ6,3,FALSE),0),0)))/100)),1))*IF(VLOOKUP(A4,tbMoveset!A2:K112,11,FALSE)=TRUE,Backdoors!AC5,1))*GQ4,0),"")</f>
        <v>0</v>
      </c>
      <c r="GU4" s="49">
        <f>VLOOKUP(A4,tbMoveset!A2:G112,7,FALSE)*IFERROR(IF(Backdoors!AI12&gt;=0,1+(IF(Calculator!E40&gt;0,VLOOKUP(Calculator!E40,tbSkills!AI3:AJ5,2,FALSE),Backdoors!AL4)*(IF((Backdoors!AI12+IF(GP4&gt;=0.45,VLOOKUP(Calculator!E23,tbSkills!DH3:DI6,2,FALSE)+IF(AND(Calculator!B8=TRUE,Backdoors!BI31=TRUE),VLOOKUP(Calculator!E23,tbSkills!DH3:DJ6,3,FALSE),0),0))&gt;=100,100,(Backdoors!AI12+IF(GP4&gt;=0.45,VLOOKUP(Calculator!E23,tbSkills!DH3:DI6,2,FALSE)+IF(AND(Calculator!B8=TRUE,Backdoors!BI31=TRUE),VLOOKUP(Calculator!E23,tbSkills!DH3:DJ6,3,FALSE),0),0)))/100)),1),1)</f>
        <v>0.4</v>
      </c>
      <c r="GV4" s="87">
        <f t="shared" ref="GV4:GV67" si="21">SUM(GS4:GT4)</f>
        <v>0</v>
      </c>
      <c r="GW4" s="86" t="str">
        <f>IFERROR(IF(VLOOKUP(A4,tbMoveset!A2:B112,2,FALSE)="Sever",Backdoors!AY32/100,IF(VLOOKUP(A4,tbMoveset!A2:B112,2,FALSE)="Blunt",Backdoors!AZ32/100,Backdoors!BA32/100)),"")</f>
        <v/>
      </c>
      <c r="GX4" s="49">
        <f>IFERROR(IF(VLOOKUP(tbMoveset!A4,tbMoveset!A2:H112,8,FALSE)="Other",IF(VLOOKUP(tbMoveset!A4,tbMoveset!A2:I112,9,FALSE)="Fire",Backdoors!BB32,IF(VLOOKUP(tbMoveset!A4,tbMoveset!A2:I112,9,FALSE)="Water",Backdoors!BC32,IF(VLOOKUP(tbMoveset!A4,tbMoveset!A2:I112,9,FALSE)="Thunder",Backdoors!BD32,IF(VLOOKUP(tbMoveset!A4,tbMoveset!A2:I112,9,FALSE)="Ice",Backdoors!BE32,IF(VLOOKUP(tbMoveset!A4,tbMoveset!A2:I112,9,FALSE)="Dragon",Backdoors!BF32,Backdoors!BG32)))))/100,Backdoors!BG32/100),"")</f>
        <v>0</v>
      </c>
      <c r="GY4" s="49">
        <f>IFERROR(IF(VLOOKUP(A4,tbMoveset!A2:J112,10,FALSE)=TRUE,IF((Backdoors!AI12+IF(GW4&gt;=0.45,VLOOKUP(Calculator!E23,tbSkills!DH3:DI6,2,FALSE)+IF(AND(Calculator!B8=TRUE,Backdoors!BI32=TRUE),VLOOKUP(Calculator!E23,tbSkills!DH3:DJ6,3,FALSE),0),0))&gt;=0,1+(Backdoors!AL2*(IF((Backdoors!AI12+IF(GW4&gt;=0.45,VLOOKUP(Calculator!E23,tbSkills!DH3:DI6,2,FALSE)+IF(AND(Calculator!B8=TRUE,Backdoors!BI32=TRUE),VLOOKUP(Calculator!E23,tbSkills!DH3:DJ6,3,FALSE),0),0))&gt;=100,100,(Backdoors!AI12+IF(GW4&gt;=0.45,VLOOKUP(Calculator!E23,tbSkills!DH3:DI6,2,FALSE)+IF(AND(Calculator!B8=TRUE,Backdoors!BI32=TRUE),VLOOKUP(Calculator!E23,tbSkills!DH3:DJ6,3,FALSE),0),0)))/100)),(1-(0.25*((-Backdoors!AI12-IF(GW4&gt;=0.45,VLOOKUP(Calculator!E23,tbSkills!DH3:DI6,2,FALSE)+IF(AND(Calculator!B8=TRUE,Backdoors!BI32=TRUE),VLOOKUP(Calculator!E23,tbSkills!DH3:DJ6,3,FALSE),0),0))/100)))),1),"")</f>
        <v>1</v>
      </c>
      <c r="GZ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W4)*GY4)*(VLOOKUP(A4,tbMoveset!A2:C112,3,FALSE)/100)*IF(VLOOKUP(A4,tbMoveset!A2:B112,2,FALSE)="Projectile",Backdoors!N10,Backdoors!N9),0),"")</f>
        <v/>
      </c>
      <c r="HA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W4&gt;=0.45,VLOOKUP(Calculator!E23,tbSkills!DH3:DI6,2,FALSE)+IF(AND(Calculator!B8=TRUE,Backdoors!BI32=TRUE),VLOOKUP(Calculator!E23,tbSkills!DH3:DJ6,3,FALSE),0),0))&gt;=100,100,(Backdoors!AI12+IF(GW4&gt;=0.45,VLOOKUP(Calculator!E23,tbSkills!DH3:DI6,2,FALSE)+IF(AND(Calculator!B8=TRUE,Backdoors!BI32=TRUE),VLOOKUP(Calculator!E23,tbSkills!DH3:DJ6,3,FALSE),0),0)))/100)),1))*IF(VLOOKUP(A4,tbMoveset!A2:K112,11,FALSE)=TRUE,Backdoors!AC5,1))*GX4,0),"")</f>
        <v>0</v>
      </c>
      <c r="HB4" s="49">
        <f>VLOOKUP(A4,tbMoveset!A2:G112,7,FALSE)*IFERROR(IF(Backdoors!AI12&gt;=0,1+(IF(Calculator!E40&gt;0,VLOOKUP(Calculator!E40,tbSkills!AI3:AJ5,2,FALSE),Backdoors!AL4)*(IF((Backdoors!AI12+IF(GW4&gt;=0.45,VLOOKUP(Calculator!E23,tbSkills!DH3:DI6,2,FALSE)+IF(AND(Calculator!B8=TRUE,Backdoors!BI32=TRUE),VLOOKUP(Calculator!E23,tbSkills!DH3:DJ6,3,FALSE),0),0))&gt;=100,100,(Backdoors!AI12+IF(GW4&gt;=0.45,VLOOKUP(Calculator!E23,tbSkills!DH3:DI6,2,FALSE)+IF(AND(Calculator!B8=TRUE,Backdoors!BI32=TRUE),VLOOKUP(Calculator!E23,tbSkills!DH3:DJ6,3,FALSE),0),0)))/100)),1),1)</f>
        <v>0.4</v>
      </c>
      <c r="HC4" s="87">
        <f t="shared" ref="HC4:HC67" si="22">SUM(GZ4:HA4)</f>
        <v>0</v>
      </c>
      <c r="HD4" s="86" t="str">
        <f>IFERROR(IF(VLOOKUP(A4,tbMoveset!A2:B112,2,FALSE)="Sever",Backdoors!AY33/100,IF(VLOOKUP(A4,tbMoveset!A2:B112,2,FALSE)="Blunt",Backdoors!AZ33/100,Backdoors!BA33/100)),"")</f>
        <v/>
      </c>
      <c r="HE4" s="49">
        <f>IFERROR(IF(VLOOKUP(tbMoveset!A4,tbMoveset!A2:H112,8,FALSE)="Other",IF(VLOOKUP(tbMoveset!A4,tbMoveset!A2:I112,9,FALSE)="Fire",Backdoors!BB33,IF(VLOOKUP(tbMoveset!A4,tbMoveset!A2:I112,9,FALSE)="Water",Backdoors!BC33,IF(VLOOKUP(tbMoveset!A4,tbMoveset!A2:I112,9,FALSE)="Thunder",Backdoors!BD33,IF(VLOOKUP(tbMoveset!A4,tbMoveset!A2:I112,9,FALSE)="Ice",Backdoors!BE33,IF(VLOOKUP(tbMoveset!A4,tbMoveset!A2:I112,9,FALSE)="Dragon",Backdoors!BF33,Backdoors!BG33)))))/100,Backdoors!BG33/100),"")</f>
        <v>0</v>
      </c>
      <c r="HF4" s="49">
        <f>IFERROR(IF(VLOOKUP(A4,tbMoveset!A2:J112,10,FALSE)=TRUE,IF((Backdoors!AI12+IF(HD4&gt;=0.45,VLOOKUP(Calculator!E23,tbSkills!DH3:DI6,2,FALSE)+IF(AND(Calculator!B8=TRUE,Backdoors!BI33=TRUE),VLOOKUP(Calculator!E23,tbSkills!DH3:DJ6,3,FALSE),0),0))&gt;=0,1+(Backdoors!AL2*(IF((Backdoors!AI12+IF(HD4&gt;=0.45,VLOOKUP(Calculator!E23,tbSkills!DH3:DI6,2,FALSE)+IF(AND(Calculator!B8=TRUE,Backdoors!BI33=TRUE),VLOOKUP(Calculator!E23,tbSkills!DH3:DJ6,3,FALSE),0),0))&gt;=100,100,(Backdoors!AI12+IF(HD4&gt;=0.45,VLOOKUP(Calculator!E23,tbSkills!DH3:DI6,2,FALSE)+IF(AND(Calculator!B8=TRUE,Backdoors!BI33=TRUE),VLOOKUP(Calculator!E23,tbSkills!DH3:DJ6,3,FALSE),0),0)))/100)),(1-(0.25*((-Backdoors!AI12-IF(HD4&gt;=0.45,VLOOKUP(Calculator!E23,tbSkills!DH3:DI6,2,FALSE)+IF(AND(Calculator!B8=TRUE,Backdoors!BI33=TRUE),VLOOKUP(Calculator!E23,tbSkills!DH3:DJ6,3,FALSE),0),0))/100)))),1),"")</f>
        <v>1</v>
      </c>
      <c r="HG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D4)*HF4)*(VLOOKUP(A4,tbMoveset!A2:C112,3,FALSE)/100)*IF(VLOOKUP(A4,tbMoveset!A2:B112,2,FALSE)="Projectile",Backdoors!N10,Backdoors!N9),0),"")</f>
        <v/>
      </c>
      <c r="HH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D4&gt;=0.45,VLOOKUP(Calculator!E23,tbSkills!DH3:DI6,2,FALSE)+IF(AND(Calculator!B8=TRUE,Backdoors!BI33=TRUE),VLOOKUP(Calculator!E23,tbSkills!DH3:DJ6,3,FALSE),0),0))&gt;=100,100,(Backdoors!AI12+IF(HD4&gt;=0.45,VLOOKUP(Calculator!E23,tbSkills!DH3:DI6,2,FALSE)+IF(AND(Calculator!B8=TRUE,Backdoors!BI33=TRUE),VLOOKUP(Calculator!E23,tbSkills!DH3:DJ6,3,FALSE),0),0)))/100)),1))*IF(VLOOKUP(A4,tbMoveset!A2:K112,11,FALSE)=TRUE,Backdoors!AC5,1))*HE4,0),"")</f>
        <v>0</v>
      </c>
      <c r="HI4" s="49">
        <f>VLOOKUP(A4,tbMoveset!A2:G112,7,FALSE)*IFERROR(IF(Backdoors!AI12&gt;=0,1+(IF(Calculator!E40&gt;0,VLOOKUP(Calculator!E40,tbSkills!AI3:AJ5,2,FALSE),Backdoors!AL4)*(IF((Backdoors!AI12+IF(HD4&gt;=0.45,VLOOKUP(Calculator!E23,tbSkills!DH3:DI6,2,FALSE)+IF(AND(Calculator!B8=TRUE,Backdoors!BI33=TRUE),VLOOKUP(Calculator!E23,tbSkills!DH3:DJ6,3,FALSE),0),0))&gt;=100,100,(Backdoors!AI12+IF(HD4&gt;=0.45,VLOOKUP(Calculator!E23,tbSkills!DH3:DI6,2,FALSE)+IF(AND(Calculator!B8=TRUE,Backdoors!BI33=TRUE),VLOOKUP(Calculator!E23,tbSkills!DH3:DJ6,3,FALSE),0),0)))/100)),1),1)</f>
        <v>0.4</v>
      </c>
      <c r="HJ4" s="87">
        <f t="shared" ref="HJ4:HJ67" si="23">SUM(HG4:HH4)</f>
        <v>0</v>
      </c>
      <c r="HK4" s="86" t="str">
        <f>IFERROR(IF(VLOOKUP(A4,tbMoveset!A2:B112,2,FALSE)="Sever",Backdoors!AY34/100,IF(VLOOKUP(A4,tbMoveset!A2:B112,2,FALSE)="Blunt",Backdoors!AZ34/100,Backdoors!BA34/100)),"")</f>
        <v/>
      </c>
      <c r="HL4" s="49">
        <f>IFERROR(IF(VLOOKUP(tbMoveset!A4,tbMoveset!A2:H112,8,FALSE)="Other",IF(VLOOKUP(tbMoveset!A4,tbMoveset!A2:I112,9,FALSE)="Fire",Backdoors!BB34,IF(VLOOKUP(tbMoveset!A4,tbMoveset!A2:I112,9,FALSE)="Water",Backdoors!BC34,IF(VLOOKUP(tbMoveset!A4,tbMoveset!A2:I112,9,FALSE)="Thunder",Backdoors!BD34,IF(VLOOKUP(tbMoveset!A4,tbMoveset!A2:I112,9,FALSE)="Ice",Backdoors!BE34,IF(VLOOKUP(tbMoveset!A4,tbMoveset!A2:I112,9,FALSE)="Dragon",Backdoors!BF34,Backdoors!BG34)))))/100,Backdoors!BG34/100),"")</f>
        <v>0</v>
      </c>
      <c r="HM4" s="49">
        <f>IFERROR(IF(VLOOKUP(A4,tbMoveset!A2:J112,10,FALSE)=TRUE,IF((Backdoors!AI12+IF(HK4&gt;=0.45,VLOOKUP(Calculator!E23,tbSkills!DH3:DI6,2,FALSE)+IF(AND(Calculator!B8=TRUE,Backdoors!BI34=TRUE),VLOOKUP(Calculator!E23,tbSkills!DH3:DJ6,3,FALSE),0),0))&gt;=0,1+(Backdoors!AL2*(IF((Backdoors!AI12+IF(HK4&gt;=0.45,VLOOKUP(Calculator!E23,tbSkills!DH3:DI6,2,FALSE)+IF(AND(Calculator!B8=TRUE,Backdoors!BI34=TRUE),VLOOKUP(Calculator!E23,tbSkills!DH3:DJ6,3,FALSE),0),0))&gt;=100,100,(Backdoors!AI12+IF(HK4&gt;=0.45,VLOOKUP(Calculator!E23,tbSkills!DH3:DI6,2,FALSE)+IF(AND(Calculator!B8=TRUE,Backdoors!BI34=TRUE),VLOOKUP(Calculator!E23,tbSkills!DH3:DJ6,3,FALSE),0),0)))/100)),(1-(0.25*((-Backdoors!AI12-IF(HK4&gt;=0.45,VLOOKUP(Calculator!E23,tbSkills!DH3:DI6,2,FALSE)+IF(AND(Calculator!B8=TRUE,Backdoors!BI34=TRUE),VLOOKUP(Calculator!E23,tbSkills!DH3:DJ6,3,FALSE),0),0))/100)))),1),"")</f>
        <v>1</v>
      </c>
      <c r="HN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K4)*HM4)*(VLOOKUP(A4,tbMoveset!A2:C112,3,FALSE)/100)*IF(VLOOKUP(A4,tbMoveset!A2:B112,2,FALSE)="Projectile",Backdoors!N10,Backdoors!N9),0),"")</f>
        <v/>
      </c>
      <c r="HO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K4&gt;=0.45,VLOOKUP(Calculator!E23,tbSkills!DH3:DI6,2,FALSE)+IF(AND(Calculator!B8=TRUE,Backdoors!BI34=TRUE),VLOOKUP(Calculator!E23,tbSkills!DH3:DJ6,3,FALSE),0),0))&gt;=100,100,(Backdoors!AI12+IF(HK4&gt;=0.45,VLOOKUP(Calculator!E23,tbSkills!DH3:DI6,2,FALSE)+IF(AND(Calculator!B8=TRUE,Backdoors!BI34=TRUE),VLOOKUP(Calculator!E23,tbSkills!DH3:DJ6,3,FALSE),0),0)))/100)),1))*IF(VLOOKUP(A4,tbMoveset!A2:K112,11,FALSE)=TRUE,Backdoors!AC5,1))*HL4,0),"")</f>
        <v>0</v>
      </c>
      <c r="HP4" s="49">
        <f>VLOOKUP(A4,tbMoveset!A2:G112,7,FALSE)*IFERROR(IF(Backdoors!AI12&gt;=0,1+(IF(Calculator!E40&gt;0,VLOOKUP(Calculator!E40,tbSkills!AI3:AJ5,2,FALSE),Backdoors!AL4)*(IF((Backdoors!AI12+IF(HK4&gt;=0.45,VLOOKUP(Calculator!E23,tbSkills!DH3:DI6,2,FALSE)+IF(AND(Calculator!B8=TRUE,Backdoors!BI34=TRUE),VLOOKUP(Calculator!E23,tbSkills!DH3:DJ6,3,FALSE),0),0))&gt;=100,100,(Backdoors!AI12+IF(HK4&gt;=0.45,VLOOKUP(Calculator!E23,tbSkills!DH3:DI6,2,FALSE)+IF(AND(Calculator!B8=TRUE,Backdoors!BI34=TRUE),VLOOKUP(Calculator!E23,tbSkills!DH3:DJ6,3,FALSE),0),0)))/100)),1),1)</f>
        <v>0.4</v>
      </c>
      <c r="HQ4" s="87">
        <f t="shared" ref="HQ4:HQ67" si="24">SUM(HN4:HO4)</f>
        <v>0</v>
      </c>
      <c r="HR4" s="86" t="str">
        <f>IFERROR(IF(VLOOKUP(A4,tbMoveset!A2:B112,2,FALSE)="Sever",Backdoors!AY35/100,IF(VLOOKUP(A4,tbMoveset!A2:B112,2,FALSE)="Blunt",Backdoors!AZ35/100,Backdoors!BA35/100)),"")</f>
        <v/>
      </c>
      <c r="HS4" s="49">
        <f>IFERROR(IF(VLOOKUP(tbMoveset!A4,tbMoveset!A2:H112,8,FALSE)="Other",IF(VLOOKUP(tbMoveset!A4,tbMoveset!A2:I112,9,FALSE)="Fire",Backdoors!BB35,IF(VLOOKUP(tbMoveset!A4,tbMoveset!A2:I112,9,FALSE)="Water",Backdoors!BC35,IF(VLOOKUP(tbMoveset!A4,tbMoveset!A2:I112,9,FALSE)="Thunder",Backdoors!BD35,IF(VLOOKUP(tbMoveset!A4,tbMoveset!A2:I112,9,FALSE)="Ice",Backdoors!BE35,IF(VLOOKUP(tbMoveset!A4,tbMoveset!A2:I112,9,FALSE)="Dragon",Backdoors!BF35,Backdoors!BG35)))))/100,Backdoors!BG35/100),"")</f>
        <v>0</v>
      </c>
      <c r="HT4" s="49">
        <f>IFERROR(IF(VLOOKUP(A4,tbMoveset!A2:J112,10,FALSE)=TRUE,IF((Backdoors!AI12+IF(HR4&gt;=0.45,VLOOKUP(Calculator!E23,tbSkills!DH3:DI6,2,FALSE)+IF(AND(Calculator!B8=TRUE,Backdoors!BI35=TRUE),VLOOKUP(Calculator!E23,tbSkills!DH3:DJ6,3,FALSE),0),0))&gt;=0,1+(Backdoors!AL2*(IF((Backdoors!AI12+IF(HR4&gt;=0.45,VLOOKUP(Calculator!E23,tbSkills!DH3:DI6,2,FALSE)+IF(AND(Calculator!B8=TRUE,Backdoors!BI35=TRUE),VLOOKUP(Calculator!E23,tbSkills!DH3:DJ6,3,FALSE),0),0))&gt;=100,100,(Backdoors!AI12+IF(HR4&gt;=0.45,VLOOKUP(Calculator!E23,tbSkills!DH3:DI6,2,FALSE)+IF(AND(Calculator!B8=TRUE,Backdoors!BI35=TRUE),VLOOKUP(Calculator!E23,tbSkills!DH3:DJ6,3,FALSE),0),0)))/100)),(1-(0.25*((-Backdoors!AI12-IF(HR4&gt;=0.45,VLOOKUP(Calculator!E23,tbSkills!DH3:DI6,2,FALSE)+IF(AND(Calculator!B8=TRUE,Backdoors!BI35=TRUE),VLOOKUP(Calculator!E23,tbSkills!DH3:DJ6,3,FALSE),0),0))/100)))),1),"")</f>
        <v>1</v>
      </c>
      <c r="HU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R4)*HT4)*(VLOOKUP(A4,tbMoveset!A2:C112,3,FALSE)/100)*IF(VLOOKUP(A4,tbMoveset!A2:B112,2,FALSE)="Projectile",Backdoors!N10,Backdoors!N9),0),"")</f>
        <v/>
      </c>
      <c r="HV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R4&gt;=0.45,VLOOKUP(Calculator!E23,tbSkills!DH3:DI6,2,FALSE)+IF(AND(Calculator!B8=TRUE,Backdoors!BI35=TRUE),VLOOKUP(Calculator!E23,tbSkills!DH3:DJ6,3,FALSE),0),0))&gt;=100,100,(Backdoors!AI12+IF(HR4&gt;=0.45,VLOOKUP(Calculator!E23,tbSkills!DH3:DI6,2,FALSE)+IF(AND(Calculator!B8=TRUE,Backdoors!BI35=TRUE),VLOOKUP(Calculator!E23,tbSkills!DH3:DJ6,3,FALSE),0),0)))/100)),1))*IF(VLOOKUP(A4,tbMoveset!A2:K112,11,FALSE)=TRUE,Backdoors!AC5,1))*HS4,0),"")</f>
        <v>0</v>
      </c>
      <c r="HW4" s="49">
        <f>VLOOKUP(A4,tbMoveset!A2:G112,7,FALSE)*IFERROR(IF(Backdoors!AI12&gt;=0,1+(IF(Calculator!E40&gt;0,VLOOKUP(Calculator!E40,tbSkills!AI3:AJ5,2,FALSE),Backdoors!AL4)*(IF((Backdoors!AI12+IF(HR4&gt;=0.45,VLOOKUP(Calculator!E23,tbSkills!DH3:DI6,2,FALSE)+IF(AND(Calculator!B8=TRUE,Backdoors!BI35=TRUE),VLOOKUP(Calculator!E23,tbSkills!DH3:DJ6,3,FALSE),0),0))&gt;=100,100,(Backdoors!AI12+IF(HR4&gt;=0.45,VLOOKUP(Calculator!E23,tbSkills!DH3:DI6,2,FALSE)+IF(AND(Calculator!B8=TRUE,Backdoors!BI35=TRUE),VLOOKUP(Calculator!E23,tbSkills!DH3:DJ6,3,FALSE),0),0)))/100)),1),1)</f>
        <v>0.4</v>
      </c>
      <c r="HX4" s="87">
        <f t="shared" ref="HX4:HX67" si="25">SUM(HU4:HV4)</f>
        <v>0</v>
      </c>
      <c r="HY4" s="86" t="str">
        <f>IFERROR(IF(VLOOKUP(A4,tbMoveset!A2:B112,2,FALSE)="Sever",Backdoors!AY36/100,IF(VLOOKUP(A4,tbMoveset!A2:B112,2,FALSE)="Blunt",Backdoors!AZ36/100,Backdoors!BA36/100)),"")</f>
        <v/>
      </c>
      <c r="HZ4" s="49">
        <f>IFERROR(IF(VLOOKUP(tbMoveset!A4,tbMoveset!A2:H112,8,FALSE)="Other",IF(VLOOKUP(tbMoveset!A4,tbMoveset!A2:I112,9,FALSE)="Fire",Backdoors!BB36,IF(VLOOKUP(tbMoveset!A4,tbMoveset!A2:I112,9,FALSE)="Water",Backdoors!BC36,IF(VLOOKUP(tbMoveset!A4,tbMoveset!A2:I112,9,FALSE)="Thunder",Backdoors!BD36,IF(VLOOKUP(tbMoveset!A4,tbMoveset!A2:I112,9,FALSE)="Ice",Backdoors!BE36,IF(VLOOKUP(tbMoveset!A4,tbMoveset!A2:I112,9,FALSE)="Dragon",Backdoors!BF36,Backdoors!BG36)))))/100,Backdoors!BG36/100),"")</f>
        <v>0</v>
      </c>
      <c r="IA4" s="49">
        <f>IFERROR(IF(VLOOKUP(A4,tbMoveset!A2:J112,10,FALSE)=TRUE,IF((Backdoors!AI12+IF(HY4&gt;=0.45,VLOOKUP(Calculator!E23,tbSkills!DH3:DI6,2,FALSE)+IF(AND(Calculator!B8=TRUE,Backdoors!BI36=TRUE),VLOOKUP(Calculator!E23,tbSkills!DH3:DJ6,3,FALSE),0),0))&gt;=0,1+(Backdoors!AL2*(IF((Backdoors!AI12+IF(HY4&gt;=0.45,VLOOKUP(Calculator!E23,tbSkills!DH3:DI6,2,FALSE)+IF(AND(Calculator!B8=TRUE,Backdoors!BI36=TRUE),VLOOKUP(Calculator!E23,tbSkills!DH3:DJ6,3,FALSE),0),0))&gt;=100,100,(Backdoors!AI12+IF(HY4&gt;=0.45,VLOOKUP(Calculator!E23,tbSkills!DH3:DI6,2,FALSE)+IF(AND(Calculator!B8=TRUE,Backdoors!BI36=TRUE),VLOOKUP(Calculator!E23,tbSkills!DH3:DJ6,3,FALSE),0),0)))/100)),(1-(0.25*((-Backdoors!AI12-IF(HY4&gt;=0.45,VLOOKUP(Calculator!E23,tbSkills!DH3:DI6,2,FALSE)+IF(AND(Calculator!B8=TRUE,Backdoors!BI36=TRUE),VLOOKUP(Calculator!E23,tbSkills!DH3:DJ6,3,FALSE),0),0))/100)))),1),"")</f>
        <v>1</v>
      </c>
      <c r="IB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Y4)*IA4)*(VLOOKUP(A4,tbMoveset!A2:C112,3,FALSE)/100)*IF(VLOOKUP(A4,tbMoveset!A2:B112,2,FALSE)="Projectile",Backdoors!N10,Backdoors!N9),0),"")</f>
        <v/>
      </c>
      <c r="IC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Y4&gt;=0.45,VLOOKUP(Calculator!E23,tbSkills!DH3:DI6,2,FALSE)+IF(AND(Calculator!B8=TRUE,Backdoors!BI36=TRUE),VLOOKUP(Calculator!E23,tbSkills!DH3:DJ6,3,FALSE),0),0))&gt;=100,100,(Backdoors!AI12+IF(HY4&gt;=0.45,VLOOKUP(Calculator!E23,tbSkills!DH3:DI6,2,FALSE)+IF(AND(Calculator!B8=TRUE,Backdoors!BI36=TRUE),VLOOKUP(Calculator!E23,tbSkills!DH3:DJ6,3,FALSE),0),0)))/100)),1))*IF(VLOOKUP(A4,tbMoveset!A2:K112,11,FALSE)=TRUE,Backdoors!AC5,1))*HZ4,0),"")</f>
        <v>0</v>
      </c>
      <c r="ID4" s="49">
        <f>VLOOKUP(A4,tbMoveset!A2:G112,7,FALSE)*IFERROR(IF(Backdoors!AI12&gt;=0,1+(IF(Calculator!E40&gt;0,VLOOKUP(Calculator!E40,tbSkills!AI3:AJ5,2,FALSE),Backdoors!AL4)*(IF((Backdoors!AI12+IF(HY4&gt;=0.45,VLOOKUP(Calculator!E23,tbSkills!DH3:DI6,2,FALSE)+IF(AND(Calculator!B8=TRUE,Backdoors!BI36=TRUE),VLOOKUP(Calculator!E23,tbSkills!DH3:DJ6,3,FALSE),0),0))&gt;=100,100,(Backdoors!AI12+IF(HY4&gt;=0.45,VLOOKUP(Calculator!E23,tbSkills!DH3:DI6,2,FALSE)+IF(AND(Calculator!B8=TRUE,Backdoors!BI36=TRUE),VLOOKUP(Calculator!E23,tbSkills!DH3:DJ6,3,FALSE),0),0)))/100)),1),1)</f>
        <v>0.4</v>
      </c>
      <c r="IE4" s="87">
        <f t="shared" ref="IE4:IE67" si="26">SUM(IB4:IC4)</f>
        <v>0</v>
      </c>
      <c r="IF4" s="86" t="str">
        <f>IFERROR(IF(VLOOKUP(A4,tbMoveset!A2:B112,2,FALSE)="Sever",Backdoors!AY37/100,IF(VLOOKUP(A4,tbMoveset!A2:B112,2,FALSE)="Blunt",Backdoors!AZ37/100,Backdoors!BA37/100)),"")</f>
        <v/>
      </c>
      <c r="IG4" s="49">
        <f>IFERROR(IF(VLOOKUP(tbMoveset!A4,tbMoveset!A2:H112,8,FALSE)="Other",IF(VLOOKUP(tbMoveset!A4,tbMoveset!A2:I112,9,FALSE)="Fire",Backdoors!BB37,IF(VLOOKUP(tbMoveset!A4,tbMoveset!A2:I112,9,FALSE)="Water",Backdoors!BC37,IF(VLOOKUP(tbMoveset!A4,tbMoveset!A2:I112,9,FALSE)="Thunder",Backdoors!BD37,IF(VLOOKUP(tbMoveset!A4,tbMoveset!A2:I112,9,FALSE)="Ice",Backdoors!BE37,IF(VLOOKUP(tbMoveset!A4,tbMoveset!A2:I112,9,FALSE)="Dragon",Backdoors!BF37,Backdoors!BG37)))))/100,Backdoors!BG37/100),"")</f>
        <v>0</v>
      </c>
      <c r="IH4" s="49">
        <f>IFERROR(IF(VLOOKUP(A4,tbMoveset!A2:J112,10,FALSE)=TRUE,IF((Backdoors!AI12+IF(IF4&gt;=0.45,VLOOKUP(Calculator!E23,tbSkills!DH3:DI6,2,FALSE)+IF(AND(Calculator!B8=TRUE,Backdoors!BI37=TRUE),VLOOKUP(Calculator!E23,tbSkills!DH3:DJ6,3,FALSE),0),0))&gt;=0,1+(Backdoors!AL2*(IF((Backdoors!AI12+IF(IF4&gt;=0.45,VLOOKUP(Calculator!E23,tbSkills!DH3:DI6,2,FALSE)+IF(AND(Calculator!B8=TRUE,Backdoors!BI37=TRUE),VLOOKUP(Calculator!E23,tbSkills!DH3:DJ6,3,FALSE),0),0))&gt;=100,100,(Backdoors!AI12+IF(IF4&gt;=0.45,VLOOKUP(Calculator!E23,tbSkills!DH3:DI6,2,FALSE)+IF(AND(Calculator!B8=TRUE,Backdoors!BI37=TRUE),VLOOKUP(Calculator!E23,tbSkills!DH3:DJ6,3,FALSE),0),0)))/100)),(1-(0.25*((-Backdoors!AI12-IF(IF4&gt;=0.45,VLOOKUP(Calculator!E23,tbSkills!DH3:DI6,2,FALSE)+IF(AND(Calculator!B8=TRUE,Backdoors!BI37=TRUE),VLOOKUP(Calculator!E23,tbSkills!DH3:DJ6,3,FALSE),0),0))/100)))),1),"")</f>
        <v>1</v>
      </c>
      <c r="II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F4)*IH4)*(VLOOKUP(A4,tbMoveset!A2:C112,3,FALSE)/100)*IF(VLOOKUP(A4,tbMoveset!A2:B112,2,FALSE)="Projectile",Backdoors!N10,Backdoors!N9),0),"")</f>
        <v/>
      </c>
      <c r="IJ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IF4&gt;=0.45,VLOOKUP(Calculator!E23,tbSkills!DH3:DI6,2,FALSE)+IF(AND(Calculator!B8=TRUE,Backdoors!BI37=TRUE),VLOOKUP(Calculator!E23,tbSkills!DH3:DJ6,3,FALSE),0),0))&gt;=100,100,(Backdoors!AI12+IF(IF4&gt;=0.45,VLOOKUP(Calculator!E23,tbSkills!DH3:DI6,2,FALSE)+IF(AND(Calculator!B8=TRUE,Backdoors!BI37=TRUE),VLOOKUP(Calculator!E23,tbSkills!DH3:DJ6,3,FALSE),0),0)))/100)),1))*IF(VLOOKUP(A4,tbMoveset!A2:K112,11,FALSE)=TRUE,Backdoors!AC5,1))*IG4,0),"")</f>
        <v>0</v>
      </c>
      <c r="IK4" s="49">
        <f>VLOOKUP(A4,tbMoveset!A2:G112,7,FALSE)*IFERROR(IF(Backdoors!AI12&gt;=0,1+(IF(Calculator!E40&gt;0,VLOOKUP(Calculator!E40,tbSkills!AI3:AJ5,2,FALSE),Backdoors!AL4)*(IF((Backdoors!AI12+IF(IF4&gt;=0.45,VLOOKUP(Calculator!E23,tbSkills!DH3:DI6,2,FALSE)+IF(AND(Calculator!B8=TRUE,Backdoors!BI37=TRUE),VLOOKUP(Calculator!E23,tbSkills!DH3:DJ6,3,FALSE),0),0))&gt;=100,100,(Backdoors!AI12+IF(IF4&gt;=0.45,VLOOKUP(Calculator!E23,tbSkills!DH3:DI6,2,FALSE)+IF(AND(Calculator!B8=TRUE,Backdoors!BI37=TRUE),VLOOKUP(Calculator!E23,tbSkills!DH3:DJ6,3,FALSE),0),0)))/100)),1),1)</f>
        <v>0.4</v>
      </c>
      <c r="IL4" s="87">
        <f t="shared" ref="IL4:IL67" si="27">SUM(II4:IJ4)</f>
        <v>0</v>
      </c>
      <c r="IM4" s="86" t="str">
        <f>IFERROR(IF(VLOOKUP(A4,tbMoveset!A2:B112,2,FALSE)="Sever",Backdoors!AY38/100,IF(VLOOKUP(A4,tbMoveset!A2:B112,2,FALSE)="Blunt",Backdoors!AZ38/100,Backdoors!BA38/100)),"")</f>
        <v/>
      </c>
      <c r="IN4" s="49">
        <f>IFERROR(IF(VLOOKUP(tbMoveset!A4,tbMoveset!A2:H112,8,FALSE)="Other",IF(VLOOKUP(tbMoveset!A4,tbMoveset!A2:I112,9,FALSE)="Fire",Backdoors!BB38,IF(VLOOKUP(tbMoveset!A4,tbMoveset!A2:I112,9,FALSE)="Water",Backdoors!BC38,IF(VLOOKUP(tbMoveset!A4,tbMoveset!A2:I112,9,FALSE)="Thunder",Backdoors!BD38,IF(VLOOKUP(tbMoveset!A4,tbMoveset!A2:I112,9,FALSE)="Ice",Backdoors!BE38,IF(VLOOKUP(tbMoveset!A4,tbMoveset!A2:I112,9,FALSE)="Dragon",Backdoors!BF38,Backdoors!BG38)))))/100,Backdoors!BG38/100),"")</f>
        <v>0</v>
      </c>
      <c r="IO4" s="49">
        <f>IFERROR(IF(VLOOKUP(A4,tbMoveset!A2:J112,10,FALSE)=TRUE,IF((Backdoors!AI12+IF(IM4&gt;=0.45,VLOOKUP(Calculator!E23,tbSkills!DH3:DI6,2,FALSE)+IF(AND(Calculator!B8=TRUE,Backdoors!BI38=TRUE),VLOOKUP(Calculator!E23,tbSkills!DH3:DJ6,3,FALSE),0),0))&gt;=0,1+(Backdoors!AL2*(IF((Backdoors!AI12+IF(IM4&gt;=0.45,VLOOKUP(Calculator!E23,tbSkills!DH3:DI6,2,FALSE)+IF(AND(Calculator!B8=TRUE,Backdoors!BI38=TRUE),VLOOKUP(Calculator!E23,tbSkills!DH3:DJ6,3,FALSE),0),0))&gt;=100,100,(Backdoors!AI12+IF(IM4&gt;=0.45,VLOOKUP(Calculator!E23,tbSkills!DH3:DI6,2,FALSE)+IF(AND(Calculator!B8=TRUE,Backdoors!BI38=TRUE),VLOOKUP(Calculator!E23,tbSkills!DH3:DJ6,3,FALSE),0),0)))/100)),(1-(0.25*((-Backdoors!AI12-IF(IM4&gt;=0.45,VLOOKUP(Calculator!E23,tbSkills!DH3:DI6,2,FALSE)+IF(AND(Calculator!B8=TRUE,Backdoors!BI38=TRUE),VLOOKUP(Calculator!E23,tbSkills!DH3:DJ6,3,FALSE),0),0))/100)))),1),"")</f>
        <v>1</v>
      </c>
      <c r="IP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M4)*IO4)*(VLOOKUP(A4,tbMoveset!A2:C112,3,FALSE)/100)*IF(VLOOKUP(A4,tbMoveset!A2:B112,2,FALSE)="Projectile",Backdoors!N10,Backdoors!N9),0),"")</f>
        <v/>
      </c>
      <c r="IQ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IM4&gt;=0.45,VLOOKUP(Calculator!E23,tbSkills!DH3:DI6,2,FALSE)+IF(AND(Calculator!B8=TRUE,Backdoors!BI38=TRUE),VLOOKUP(Calculator!E23,tbSkills!DH3:DJ6,3,FALSE),0),0))&gt;=100,100,(Backdoors!AI12+IF(IM4&gt;=0.45,VLOOKUP(Calculator!E23,tbSkills!DH3:DI6,2,FALSE)+IF(AND(Calculator!B8=TRUE,Backdoors!BI38=TRUE),VLOOKUP(Calculator!E23,tbSkills!DH3:DJ6,3,FALSE),0),0)))/100)),1))*IF(VLOOKUP(A4,tbMoveset!A2:K112,11,FALSE)=TRUE,Backdoors!AC5,1))*IN4,0),"")</f>
        <v>0</v>
      </c>
      <c r="IR4" s="49">
        <f>VLOOKUP(A4,tbMoveset!A2:G112,7,FALSE)*IFERROR(IF(Backdoors!AI12&gt;=0,1+(IF(Calculator!E40&gt;0,VLOOKUP(Calculator!E40,tbSkills!AI3:AJ5,2,FALSE),Backdoors!AL4)*(IF((Backdoors!AI12+IF(IM4&gt;=0.45,VLOOKUP(Calculator!E23,tbSkills!DH3:DI6,2,FALSE)+IF(AND(Calculator!B8=TRUE,Backdoors!BI38=TRUE),VLOOKUP(Calculator!E23,tbSkills!DH3:DJ6,3,FALSE),0),0))&gt;=100,100,(Backdoors!AI12+IF(IM4&gt;=0.45,VLOOKUP(Calculator!E23,tbSkills!DH3:DI6,2,FALSE)+IF(AND(Calculator!B8=TRUE,Backdoors!BI38=TRUE),VLOOKUP(Calculator!E23,tbSkills!DH3:DJ6,3,FALSE),0),0)))/100)),1),1)</f>
        <v>0.4</v>
      </c>
      <c r="IS4" s="87">
        <f>SUM(IP4:IQ4)</f>
        <v>0</v>
      </c>
      <c r="IT4" s="86" t="str">
        <f>IFERROR(IF(VLOOKUP(A4,tbMoveset!A2:B112,2,FALSE)="Sever",Backdoors!AY39/100,IF(VLOOKUP(A4,tbMoveset!A2:B112,2,FALSE)="Blunt",Backdoors!AZ39/100,Backdoors!BA39/100)),"")</f>
        <v/>
      </c>
      <c r="IU4" s="49">
        <f>IFERROR(IF(VLOOKUP(tbMoveset!A4,tbMoveset!A2:H112,8,FALSE)="Other",IF(VLOOKUP(tbMoveset!A4,tbMoveset!A2:I112,9,FALSE)="Fire",Backdoors!BB39,IF(VLOOKUP(tbMoveset!A4,tbMoveset!A2:I112,9,FALSE)="Water",Backdoors!BC39,IF(VLOOKUP(tbMoveset!A4,tbMoveset!A2:I112,9,FALSE)="Thunder",Backdoors!BD39,IF(VLOOKUP(tbMoveset!A4,tbMoveset!A2:I112,9,FALSE)="Ice",Backdoors!BE39,IF(VLOOKUP(tbMoveset!A4,tbMoveset!A2:I112,9,FALSE)="Dragon",Backdoors!BF39,Backdoors!BG39)))))/100,Backdoors!BG39/100),"")</f>
        <v>0</v>
      </c>
      <c r="IV4" s="49">
        <f>IFERROR(IF(VLOOKUP(A4,tbMoveset!A2:J112,10,FALSE)=TRUE,IF((Backdoors!AI12+IF(IT4&gt;=0.45,VLOOKUP(Calculator!E23,tbSkills!DH3:DI6,2,FALSE)+IF(AND(Calculator!B8=TRUE,Backdoors!BI39=TRUE),VLOOKUP(Calculator!E23,tbSkills!DH3:DJ6,3,FALSE),0),0))&gt;=0,1+(Backdoors!AL2*(IF((Backdoors!AI12+IF(IT4&gt;=0.45,VLOOKUP(Calculator!E23,tbSkills!DH3:DI6,2,FALSE)+IF(AND(Calculator!B8=TRUE,Backdoors!BI39=TRUE),VLOOKUP(Calculator!E23,tbSkills!DH3:DJ6,3,FALSE),0),0))&gt;=100,100,(Backdoors!AI12+IF(IT4&gt;=0.45,VLOOKUP(Calculator!E23,tbSkills!DH3:DI6,2,FALSE)+IF(AND(Calculator!B8=TRUE,Backdoors!BI39=TRUE),VLOOKUP(Calculator!E23,tbSkills!DH3:DJ6,3,FALSE),0),0)))/100)),(1-(0.25*((-Backdoors!AI12-IF(IT4&gt;=0.45,VLOOKUP(Calculator!E23,tbSkills!DH3:DI6,2,FALSE)+IF(AND(Calculator!B8=TRUE,Backdoors!BI39=TRUE),VLOOKUP(Calculator!E23,tbSkills!DH3:DJ6,3,FALSE),0),0))/100)))),1),"")</f>
        <v>1</v>
      </c>
      <c r="IW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T4)*IV4)*(VLOOKUP(A4,tbMoveset!A2:C112,3,FALSE)/100)*IF(VLOOKUP(A4,tbMoveset!A2:B112,2,FALSE)="Projectile",Backdoors!N10,Backdoors!N9),0),"")</f>
        <v/>
      </c>
      <c r="IX4" s="49">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40&gt;0,VLOOKUP(Calculator!E40,tbSkills!AC3:AD5,2,FALSE),Backdoors!AL3)*(IF((Backdoors!AI12+IF(IT4&gt;=0.45,VLOOKUP(Calculator!E23,tbSkills!DH3:DI6,2,FALSE)+IF(AND(Calculator!B8=TRUE,Backdoors!BI39=TRUE),VLOOKUP(Calculator!E23,tbSkills!DH3:DJ6,3,FALSE),0),0))&gt;=100,100,(Backdoors!AI12+IF(IT4&gt;=0.45,VLOOKUP(Calculator!E23,tbSkills!DH3:DI6,2,FALSE)+IF(AND(Calculator!B8=TRUE,Backdoors!BI39=TRUE),VLOOKUP(Calculator!E23,tbSkills!DH3:DJ6,3,FALSE),0),0)))/100)),1))*IF(VLOOKUP(A4,tbMoveset!A2:K112,11,FALSE)=TRUE,Backdoors!AC5,1))*IU4,0),"")</f>
        <v>0</v>
      </c>
      <c r="IY4" s="49">
        <f>VLOOKUP(A4,tbMoveset!A2:G112,7,FALSE)*IFERROR(IF(Backdoors!AI12&gt;=0,1+(IF(Calculator!E40&gt;0,VLOOKUP(Calculator!E40,tbSkills!AI3:AJ5,2,FALSE),Backdoors!AL4)*(IF((Backdoors!AI12+IF(IT4&gt;=0.45,VLOOKUP(Calculator!E23,tbSkills!DH3:DI6,2,FALSE)+IF(AND(Calculator!B8=TRUE,Backdoors!BI39=TRUE),VLOOKUP(Calculator!E23,tbSkills!DH3:DJ6,3,FALSE),0),0))&gt;=100,100,(Backdoors!AI12+IF(IT4&gt;=0.45,VLOOKUP(Calculator!E23,tbSkills!DH3:DI6,2,FALSE)+IF(AND(Calculator!B8=TRUE,Backdoors!BI39=TRUE),VLOOKUP(Calculator!E23,tbSkills!DH3:DJ6,3,FALSE),0),0)))/100)),1),1)</f>
        <v>0.4</v>
      </c>
      <c r="IZ4" s="87">
        <f t="shared" ref="IZ4:IZ67" si="28">SUM(IW4:IX4)</f>
        <v>0</v>
      </c>
      <c r="JA4" s="86" t="str">
        <f>IFERROR(IF(VLOOKUP(A4,tbMoveset!A2:B112,2,FALSE)="Sever",Backdoors!AY40/100,IF(VLOOKUP(A4,tbMoveset!A2:B112,2,FALSE)="Blunt",Backdoors!AZ40/100,Backdoors!BA40/100)),"")</f>
        <v/>
      </c>
      <c r="JB4" s="49">
        <f>IFERROR(IF(VLOOKUP(tbMoveset!A4,tbMoveset!A2:H112,8,FALSE)="Other",IF(VLOOKUP(tbMoveset!A4,tbMoveset!A2:I112,9,FALSE)="Fire",Backdoors!BB40,IF(VLOOKUP(tbMoveset!A4,tbMoveset!A2:I112,9,FALSE)="Water",Backdoors!BC40,IF(VLOOKUP(tbMoveset!A4,tbMoveset!A2:I112,9,FALSE)="Thunder",Backdoors!BD40,IF(VLOOKUP(tbMoveset!A4,tbMoveset!A2:I112,9,FALSE)="Ice",Backdoors!BE40,IF(VLOOKUP(tbMoveset!A4,tbMoveset!A2:I112,9,FALSE)="Dragon",Backdoors!BF40,Backdoors!BG40)))))/100,Backdoors!BG40/100),"")</f>
        <v>0</v>
      </c>
      <c r="JC4" s="49">
        <f>IFERROR(IF(VLOOKUP(A4,tbMoveset!A2:J112,10,FALSE)=TRUE,IF((Backdoors!AI12+IF(JA4&gt;=0.45,VLOOKUP(Calculator!E23,tbSkills!DH3:DI6,2,FALSE)+IF(AND(Calculator!B8=TRUE,Backdoors!BI40=TRUE),VLOOKUP(Calculator!E23,tbSkills!DH3:DJ6,3,FALSE),0),0))&gt;=0,1+(Backdoors!AL2*(IF((Backdoors!AI12+IF(JA4&gt;=0.45,VLOOKUP(Calculator!E23,tbSkills!DH3:DI6,2,FALSE)+IF(AND(Calculator!B8=TRUE,Backdoors!BI40=TRUE),VLOOKUP(Calculator!E23,tbSkills!DH3:DJ6,3,FALSE),0),0))&gt;=100,100,(Backdoors!AI12+IF(JA4&gt;=0.45,VLOOKUP(Calculator!E23,tbSkills!DH3:DI6,2,FALSE)+IF(AND(Calculator!B8=TRUE,Backdoors!BI40=TRUE),VLOOKUP(Calculator!E23,tbSkills!DH3:DJ6,3,FALSE),0),0)))/100)),(1-(0.25*((-Backdoors!AI12-IF(JA4&gt;=0.45,VLOOKUP(Calculator!E23,tbSkills!DH3:DI6,2,FALSE)+IF(AND(Calculator!B8=TRUE,Backdoors!BI40=TRUE),VLOOKUP(Calculator!E23,tbSkills!DH3:DJ6,3,FALSE),0),0))/100)))),1),"")</f>
        <v>1</v>
      </c>
      <c r="JD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A4)*JC4)*(VLOOKUP(A4,tbMoveset!A2:C112,3,FALSE)/100)*IF(VLOOKUP(A4,tbMoveset!A2:B112,2,FALSE)="Projectile",Backdoors!N10,Backdoors!N9),0),"")</f>
        <v/>
      </c>
      <c r="JE4" s="49">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42&gt;0,VLOOKUP(Calculator!E42,tbSkills!AC3:AD5,2,FALSE),Backdoors!AL3)*(IF((Backdoors!AI12+IF(JA4&gt;=0.45,VLOOKUP(Calculator!E23,tbSkills!DH3:DI6,2,FALSE)+IF(AND(Calculator!B8=TRUE,Backdoors!BI40=TRUE),VLOOKUP(Calculator!E23,tbSkills!DH3:DJ6,3,FALSE),0),0))&gt;=100,100,(Backdoors!AI12+IF(JA4&gt;=0.45,VLOOKUP(Calculator!E23,tbSkills!DH3:DI6,2,FALSE)+IF(AND(Calculator!B8=TRUE,Backdoors!BI40=TRUE),VLOOKUP(Calculator!E23,tbSkills!DH3:DJ6,3,FALSE),0),0)))/100)),1))*IF(VLOOKUP(A4,tbMoveset!A2:K112,11,FALSE)=TRUE,Backdoors!AC5,1))*JB4,0),"")</f>
        <v>0</v>
      </c>
      <c r="JF4" s="49">
        <f>VLOOKUP(A4,tbMoveset!A2:G112,7,FALSE)*IFERROR(IF(Backdoors!AI12&gt;=0,1+(IF(Calculator!E40&gt;0,VLOOKUP(Calculator!E40,tbSkills!AI3:AJ5,2,FALSE),Backdoors!AL4)*(IF((Backdoors!AI12+IF(JA4&gt;=0.45,VLOOKUP(Calculator!E23,tbSkills!DH3:DI6,2,FALSE)+IF(AND(Calculator!B8=TRUE,Backdoors!BI40=TRUE),VLOOKUP(Calculator!E23,tbSkills!DH3:DJ6,3,FALSE),0),0))&gt;=100,100,(Backdoors!AI12+IF(JA4&gt;=0.45,VLOOKUP(Calculator!E23,tbSkills!DH3:DI6,2,FALSE)+IF(AND(Calculator!B8=TRUE,Backdoors!BI40=TRUE),VLOOKUP(Calculator!E23,tbSkills!DH3:DJ6,3,FALSE),0),0)))/100)),1),1)</f>
        <v>0.4</v>
      </c>
      <c r="JG4" s="87">
        <f t="shared" ref="JG4:JG67" si="29">SUM(JD4:JE4)</f>
        <v>0</v>
      </c>
      <c r="JH4" s="86" t="str">
        <f>IFERROR(IF(VLOOKUP(A4,tbMoveset!A2:B112,2,FALSE)="Sever",Backdoors!AY41/100,IF(VLOOKUP(A4,tbMoveset!A2:B112,2,FALSE)="Blunt",Backdoors!AZ41/100,Backdoors!BA41/100)),"")</f>
        <v/>
      </c>
      <c r="JI4" s="49">
        <f>IFERROR(IF(VLOOKUP(tbMoveset!A4,tbMoveset!A2:H112,8,FALSE)="Other",IF(VLOOKUP(tbMoveset!A4,tbMoveset!A2:I112,9,FALSE)="Fire",Backdoors!BB41,IF(VLOOKUP(tbMoveset!A4,tbMoveset!A2:I112,9,FALSE)="Water",Backdoors!BC41,IF(VLOOKUP(tbMoveset!A4,tbMoveset!A2:I112,9,FALSE)="Thunder",Backdoors!BD41,IF(VLOOKUP(tbMoveset!A4,tbMoveset!A2:I112,9,FALSE)="Ice",Backdoors!BE41,IF(VLOOKUP(tbMoveset!A4,tbMoveset!A2:I112,9,FALSE)="Dragon",Backdoors!BF41,Backdoors!BG41)))))/100,Backdoors!BG41/100),"")</f>
        <v>0</v>
      </c>
      <c r="JJ4" s="49">
        <f>IFERROR(IF(VLOOKUP(A4,tbMoveset!A2:J112,10,FALSE)=TRUE,IF((Backdoors!AI12+IF(JH4&gt;=0.45,VLOOKUP(Calculator!E23,tbSkills!DH3:DI6,2,FALSE)+IF(AND(Calculator!B8=TRUE,Backdoors!BI41=TRUE),VLOOKUP(Calculator!E23,tbSkills!DH3:DJ6,3,FALSE),0),0))&gt;=0,1+(Backdoors!AL2*(IF((Backdoors!AI12+IF(JH4&gt;=0.45,VLOOKUP(Calculator!E23,tbSkills!DH3:DI6,2,FALSE)+IF(AND(Calculator!B8=TRUE,Backdoors!BI41=TRUE),VLOOKUP(Calculator!E23,tbSkills!DH3:DJ6,3,FALSE),0),0))&gt;=100,100,(Backdoors!AI12+IF(JH4&gt;=0.45,VLOOKUP(Calculator!E23,tbSkills!DH3:DI6,2,FALSE)+IF(AND(Calculator!B8=TRUE,Backdoors!BI41=TRUE),VLOOKUP(Calculator!E23,tbSkills!DH3:DJ6,3,FALSE),0),0)))/100)),(1-(0.25*((-Backdoors!AI12-IF(JH4&gt;=0.45,VLOOKUP(Calculator!E23,tbSkills!DH3:DI6,2,FALSE)+IF(AND(Calculator!B8=TRUE,Backdoors!BI41=TRUE),VLOOKUP(Calculator!E23,tbSkills!DH3:DJ6,3,FALSE),0),0))/100)))),1),"")</f>
        <v>1</v>
      </c>
      <c r="JK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H4)*JJ4)*(VLOOKUP(A4,tbMoveset!A2:C112,3,FALSE)/100)*IF(VLOOKUP(A4,tbMoveset!A2:B112,2,FALSE)="Projectile",Backdoors!N10,Backdoors!N9),0),"")</f>
        <v/>
      </c>
      <c r="JL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43&gt;0,VLOOKUP(Calculator!E43,tbSkills!AC3:AD5,2,FALSE),Backdoors!AL3)*(IF((Backdoors!AI12+IF(JH4&gt;=0.45,VLOOKUP(Calculator!E23,tbSkills!DH3:DI6,2,FALSE)+IF(AND(Calculator!B8=TRUE,Backdoors!BI41=TRUE),VLOOKUP(Calculator!E23,tbSkills!DH3:DJ6,3,FALSE),0),0))&gt;=100,100,(Backdoors!AI12+IF(JH4&gt;=0.45,VLOOKUP(Calculator!E23,tbSkills!DH3:DI6,2,FALSE)+IF(AND(Calculator!B8=TRUE,Backdoors!BI41=TRUE),VLOOKUP(Calculator!E23,tbSkills!DH3:DJ6,3,FALSE),0),0)))/100)),1))*IF(VLOOKUP(A4,tbMoveset!A2:K112,11,FALSE)=TRUE,Backdoors!AC5,1))*JI4,0),"")</f>
        <v/>
      </c>
      <c r="JM4" s="49">
        <f>VLOOKUP(A4,tbMoveset!A2:G112,7,FALSE)*IFERROR(IF(Backdoors!AI12&gt;=0,1+(IF(Calculator!E40&gt;0,VLOOKUP(Calculator!E40,tbSkills!AI3:AJ5,2,FALSE),Backdoors!AL4)*(IF((Backdoors!AI12+IF(JH4&gt;=0.45,VLOOKUP(Calculator!E23,tbSkills!DH3:DI6,2,FALSE)+IF(AND(Calculator!B8=TRUE,Backdoors!BI41=TRUE),VLOOKUP(Calculator!E23,tbSkills!DH3:DJ6,3,FALSE),0),0))&gt;=100,100,(Backdoors!AI12+IF(JH4&gt;=0.45,VLOOKUP(Calculator!E23,tbSkills!DH3:DI6,2,FALSE)+IF(AND(Calculator!B8=TRUE,Backdoors!BI41=TRUE),VLOOKUP(Calculator!E23,tbSkills!DH3:DJ6,3,FALSE),0),0)))/100)),1),1)</f>
        <v>0.4</v>
      </c>
      <c r="JN4" s="87">
        <f t="shared" ref="JN4:JN67" si="30">SUM(JK4:JL4)</f>
        <v>0</v>
      </c>
      <c r="JO4" s="86" t="str">
        <f>IFERROR(IF(VLOOKUP(A4,tbMoveset!A2:B112,2,FALSE)="Sever",Backdoors!AY42/100,IF(VLOOKUP(A4,tbMoveset!A2:B112,2,FALSE)="Blunt",Backdoors!AZ42/100,Backdoors!BA42/100)),"")</f>
        <v/>
      </c>
      <c r="JP4" s="49">
        <f>IFERROR(IF(VLOOKUP(tbMoveset!A4,tbMoveset!A2:H112,8,FALSE)="Other",IF(VLOOKUP(tbMoveset!A4,tbMoveset!A2:I112,9,FALSE)="Fire",Backdoors!BB42,IF(VLOOKUP(tbMoveset!A4,tbMoveset!A2:I112,9,FALSE)="Water",Backdoors!BC42,IF(VLOOKUP(tbMoveset!A4,tbMoveset!A2:I112,9,FALSE)="Thunder",Backdoors!BD42,IF(VLOOKUP(tbMoveset!A4,tbMoveset!A2:I112,9,FALSE)="Ice",Backdoors!BE42,IF(VLOOKUP(tbMoveset!A4,tbMoveset!A2:I112,9,FALSE)="Dragon",Backdoors!BF42,Backdoors!BG42)))))/100,Backdoors!BG42/100),"")</f>
        <v>0</v>
      </c>
      <c r="JQ4" s="49">
        <f>IFERROR(IF(VLOOKUP(A4,tbMoveset!A2:J112,10,FALSE)=TRUE,IF((Backdoors!AI12+IF(JO4&gt;=0.45,VLOOKUP(Calculator!E23,tbSkills!DH3:DI6,2,FALSE)+IF(AND(Calculator!B8=TRUE,Backdoors!BI42=TRUE),VLOOKUP(Calculator!E23,tbSkills!DH3:DJ6,3,FALSE),0),0))&gt;=0,1+(Backdoors!AL2*(IF((Backdoors!AI12+IF(JO4&gt;=0.45,VLOOKUP(Calculator!E23,tbSkills!DH3:DI6,2,FALSE)+IF(AND(Calculator!B8=TRUE,Backdoors!BI42=TRUE),VLOOKUP(Calculator!E23,tbSkills!DH3:DJ6,3,FALSE),0),0))&gt;=100,100,(Backdoors!AI12+IF(JO4&gt;=0.45,VLOOKUP(Calculator!E23,tbSkills!DH3:DI6,2,FALSE)+IF(AND(Calculator!B8=TRUE,Backdoors!BI42=TRUE),VLOOKUP(Calculator!E23,tbSkills!DH3:DJ6,3,FALSE),0),0)))/100)),(1-(0.25*((-Backdoors!AI12-IF(JO4&gt;=0.45,VLOOKUP(Calculator!E23,tbSkills!DH3:DI6,2,FALSE)+IF(AND(Calculator!B8=TRUE,Backdoors!BI42=TRUE),VLOOKUP(Calculator!E23,tbSkills!DH3:DJ6,3,FALSE),0),0))/100)))),1),"")</f>
        <v>1</v>
      </c>
      <c r="JR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O4)*JQ4)*(VLOOKUP(A4,tbMoveset!A2:C112,3,FALSE)/100)*IF(VLOOKUP(A4,tbMoveset!A2:B112,2,FALSE)="Projectile",Backdoors!N10,Backdoors!N9),0),"")</f>
        <v/>
      </c>
      <c r="JS4" s="49">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45&gt;0,VLOOKUP(Calculator!E45,tbSkills!AC3:AD5,2,FALSE),Backdoors!AL3)*(IF((Backdoors!AI12+IF(JO4&gt;=0.45,VLOOKUP(Calculator!E23,tbSkills!DH3:DI6,2,FALSE)+IF(AND(Calculator!B8=TRUE,Backdoors!BI42=TRUE),VLOOKUP(Calculator!E23,tbSkills!DH3:DJ6,3,FALSE),0),0))&gt;=100,100,(Backdoors!AI12+IF(JO4&gt;=0.45,VLOOKUP(Calculator!E23,tbSkills!DH3:DI6,2,FALSE)+IF(AND(Calculator!B8=TRUE,Backdoors!BI42=TRUE),VLOOKUP(Calculator!E23,tbSkills!DH3:DJ6,3,FALSE),0),0)))/100)),1))*IF(VLOOKUP(A4,tbMoveset!A2:K112,11,FALSE)=TRUE,Backdoors!AC5,1))*JP4,0),"")</f>
        <v>0</v>
      </c>
      <c r="JT4" s="49">
        <f>VLOOKUP(A4,tbMoveset!A2:G112,7,FALSE)*IFERROR(IF(Backdoors!AI12&gt;=0,1+(IF(Calculator!E40&gt;0,VLOOKUP(Calculator!E40,tbSkills!AI3:AJ5,2,FALSE),Backdoors!AL4)*(IF((Backdoors!AI12+IF(JO4&gt;=0.45,VLOOKUP(Calculator!E23,tbSkills!DH3:DI6,2,FALSE)+IF(AND(Calculator!B8=TRUE,Backdoors!BI42=TRUE),VLOOKUP(Calculator!E23,tbSkills!DH3:DJ6,3,FALSE),0),0))&gt;=100,100,(Backdoors!AI12+IF(JO4&gt;=0.45,VLOOKUP(Calculator!E23,tbSkills!DH3:DI6,2,FALSE)+IF(AND(Calculator!B8=TRUE,Backdoors!BI42=TRUE),VLOOKUP(Calculator!E23,tbSkills!DH3:DJ6,3,FALSE),0),0)))/100)),1),1)</f>
        <v>0.4</v>
      </c>
      <c r="JU4" s="87">
        <f t="shared" ref="JU4:JU67" si="31">SUM(JR4:JS4)</f>
        <v>0</v>
      </c>
      <c r="JV4" s="86" t="str">
        <f>IFERROR(IF(VLOOKUP(A4,tbMoveset!A2:B112,2,FALSE)="Sever",Backdoors!AY43/100,IF(VLOOKUP(A4,tbMoveset!A2:B112,2,FALSE)="Blunt",Backdoors!AZ43/100,Backdoors!BA43/100)),"")</f>
        <v/>
      </c>
      <c r="JW4" s="49">
        <f>IFERROR(IF(VLOOKUP(tbMoveset!A4,tbMoveset!A2:H112,8,FALSE)="Other",IF(VLOOKUP(tbMoveset!A4,tbMoveset!A2:I112,9,FALSE)="Fire",Backdoors!BB43,IF(VLOOKUP(tbMoveset!A4,tbMoveset!A2:I112,9,FALSE)="Water",Backdoors!BC43,IF(VLOOKUP(tbMoveset!A4,tbMoveset!A2:I112,9,FALSE)="Thunder",Backdoors!BD43,IF(VLOOKUP(tbMoveset!A4,tbMoveset!A2:I112,9,FALSE)="Ice",Backdoors!BE43,IF(VLOOKUP(tbMoveset!A4,tbMoveset!A2:I112,9,FALSE)="Dragon",Backdoors!BF43,Backdoors!BG43)))))/100,Backdoors!BG43/100),"")</f>
        <v>0</v>
      </c>
      <c r="JX4" s="49">
        <f>IFERROR(IF(VLOOKUP(A4,tbMoveset!A2:J112,10,FALSE)=TRUE,IF((Backdoors!AI12+IF(JV4&gt;=0.45,VLOOKUP(Calculator!E23,tbSkills!DH3:DI6,2,FALSE)+IF(AND(Calculator!B8=TRUE,Backdoors!BI43=TRUE),VLOOKUP(Calculator!E23,tbSkills!DH3:DJ6,3,FALSE),0),0))&gt;=0,1+(Backdoors!AL2*(IF((Backdoors!AI12+IF(JV4&gt;=0.45,VLOOKUP(Calculator!E23,tbSkills!DH3:DI6,2,FALSE)+IF(AND(Calculator!B8=TRUE,Backdoors!BI43=TRUE),VLOOKUP(Calculator!E23,tbSkills!DH3:DJ6,3,FALSE),0),0))&gt;=100,100,(Backdoors!AI12+IF(JV4&gt;=0.45,VLOOKUP(Calculator!E23,tbSkills!DH3:DI6,2,FALSE)+IF(AND(Calculator!B8=TRUE,Backdoors!BI43=TRUE),VLOOKUP(Calculator!E23,tbSkills!DH3:DJ6,3,FALSE),0),0)))/100)),(1-(0.25*((-Backdoors!AI12-IF(JV4&gt;=0.45,VLOOKUP(Calculator!E23,tbSkills!DH3:DI6,2,FALSE)+IF(AND(Calculator!B8=TRUE,Backdoors!BI43=TRUE),VLOOKUP(Calculator!E23,tbSkills!DH3:DJ6,3,FALSE),0),0))/100)))),1),"")</f>
        <v>1</v>
      </c>
      <c r="JY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V4)*JX4)*(VLOOKUP(A4,tbMoveset!A2:C112,3,FALSE)/100)*IF(VLOOKUP(A4,tbMoveset!A2:B112,2,FALSE)="Projectile",Backdoors!N10,Backdoors!N9),0),"")</f>
        <v/>
      </c>
      <c r="JZ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46&gt;0,VLOOKUP(Calculator!E46,tbSkills!AC3:AD5,2,FALSE),Backdoors!AL3)*(IF((Backdoors!AI12+IF(JV4&gt;=0.45,VLOOKUP(Calculator!E23,tbSkills!DH3:DI6,2,FALSE)+IF(AND(Calculator!B8=TRUE,Backdoors!BI43=TRUE),VLOOKUP(Calculator!E23,tbSkills!DH3:DJ6,3,FALSE),0),0))&gt;=100,100,(Backdoors!AI12+IF(JV4&gt;=0.45,VLOOKUP(Calculator!E23,tbSkills!DH3:DI6,2,FALSE)+IF(AND(Calculator!B8=TRUE,Backdoors!BI43=TRUE),VLOOKUP(Calculator!E23,tbSkills!DH3:DJ6,3,FALSE),0),0)))/100)),1))*IF(VLOOKUP(A4,tbMoveset!A2:K112,11,FALSE)=TRUE,Backdoors!AC5,1))*JW4,0),"")</f>
        <v/>
      </c>
      <c r="KA4" s="49">
        <f>VLOOKUP(A4,tbMoveset!A2:G112,7,FALSE)*IFERROR(IF(Backdoors!AI12&gt;=0,1+(IF(Calculator!E40&gt;0,VLOOKUP(Calculator!E40,tbSkills!AI3:AJ5,2,FALSE),Backdoors!AL4)*(IF((Backdoors!AI12+IF(JV4&gt;=0.45,VLOOKUP(Calculator!E23,tbSkills!DH3:DI6,2,FALSE)+IF(AND(Calculator!B8=TRUE,Backdoors!BI43=TRUE),VLOOKUP(Calculator!E23,tbSkills!DH3:DJ6,3,FALSE),0),0))&gt;=100,100,(Backdoors!AI12+IF(JV4&gt;=0.45,VLOOKUP(Calculator!E23,tbSkills!DH3:DI6,2,FALSE)+IF(AND(Calculator!B8=TRUE,Backdoors!BI43=TRUE),VLOOKUP(Calculator!E23,tbSkills!DH3:DJ6,3,FALSE),0),0)))/100)),1),1)</f>
        <v>0.4</v>
      </c>
      <c r="KB4" s="87">
        <f t="shared" ref="KB4:KB67" si="32">SUM(JY4:JZ4)</f>
        <v>0</v>
      </c>
      <c r="KC4" s="86" t="str">
        <f>IFERROR(IF(VLOOKUP(A4,tbMoveset!A2:B112,2,FALSE)="Sever",Backdoors!AY44/100,IF(VLOOKUP(A4,tbMoveset!A2:B112,2,FALSE)="Blunt",Backdoors!AZ44/100,Backdoors!BA44/100)),"")</f>
        <v/>
      </c>
      <c r="KD4" s="49">
        <f>IFERROR(IF(VLOOKUP(tbMoveset!A4,tbMoveset!A2:H112,8,FALSE)="Other",IF(VLOOKUP(tbMoveset!A4,tbMoveset!A2:I112,9,FALSE)="Fire",Backdoors!BB44,IF(VLOOKUP(tbMoveset!A4,tbMoveset!A2:I112,9,FALSE)="Water",Backdoors!BC44,IF(VLOOKUP(tbMoveset!A4,tbMoveset!A2:I112,9,FALSE)="Thunder",Backdoors!BD44,IF(VLOOKUP(tbMoveset!A4,tbMoveset!A2:I112,9,FALSE)="Ice",Backdoors!BE44,IF(VLOOKUP(tbMoveset!A4,tbMoveset!A2:I112,9,FALSE)="Dragon",Backdoors!BF44,Backdoors!BG44)))))/100,Backdoors!BG44/100),"")</f>
        <v>0</v>
      </c>
      <c r="KE4" s="49">
        <f>IFERROR(IF(VLOOKUP(A4,tbMoveset!A2:J112,10,FALSE)=TRUE,IF((Backdoors!AI12+IF(KC4&gt;=0.45,VLOOKUP(Calculator!E23,tbSkills!DH3:DI6,2,FALSE)+IF(AND(Calculator!B8=TRUE,Backdoors!BI44=TRUE),VLOOKUP(Calculator!E23,tbSkills!DH3:DJ6,3,FALSE),0),0))&gt;=0,1+(Backdoors!AL2*(IF((Backdoors!AI12+IF(KC4&gt;=0.45,VLOOKUP(Calculator!E23,tbSkills!DH3:DI6,2,FALSE)+IF(AND(Calculator!B8=TRUE,Backdoors!BI44=TRUE),VLOOKUP(Calculator!E23,tbSkills!DH3:DJ6,3,FALSE),0),0))&gt;=100,100,(Backdoors!AI12+IF(KC4&gt;=0.45,VLOOKUP(Calculator!E23,tbSkills!DH3:DI6,2,FALSE)+IF(AND(Calculator!B8=TRUE,Backdoors!BI44=TRUE),VLOOKUP(Calculator!E23,tbSkills!DH3:DJ6,3,FALSE),0),0)))/100)),(1-(0.25*((-Backdoors!AI12-IF(KC4&gt;=0.45,VLOOKUP(Calculator!E23,tbSkills!DH3:DI6,2,FALSE)+IF(AND(Calculator!B8=TRUE,Backdoors!BI44=TRUE),VLOOKUP(Calculator!E23,tbSkills!DH3:DJ6,3,FALSE),0),0))/100)))),1),"")</f>
        <v>1</v>
      </c>
      <c r="KF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KC4)*KE4)*(VLOOKUP(A4,tbMoveset!A2:C112,3,FALSE)/100)*IF(VLOOKUP(A4,tbMoveset!A2:B112,2,FALSE)="Projectile",Backdoors!N10,Backdoors!N9),0),"")</f>
        <v/>
      </c>
      <c r="KG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REF!&gt;0,VLOOKUP(Calculator!#REF!,tbSkills!AC3:AD5,2,FALSE),Backdoors!AL3)*(IF((Backdoors!AI12+IF(KC4&gt;=0.45,VLOOKUP(Calculator!E23,tbSkills!DH3:DI6,2,FALSE)+IF(AND(Calculator!B8=TRUE,Backdoors!BI44=TRUE),VLOOKUP(Calculator!E23,tbSkills!DH3:DJ6,3,FALSE),0),0))&gt;=100,100,(Backdoors!AI12+IF(KC4&gt;=0.45,VLOOKUP(Calculator!E23,tbSkills!DH3:DI6,2,FALSE)+IF(AND(Calculator!B8=TRUE,Backdoors!BI44=TRUE),VLOOKUP(Calculator!E23,tbSkills!DH3:DJ6,3,FALSE),0),0)))/100)),1))*IF(VLOOKUP(A4,tbMoveset!A2:K112,11,FALSE)=TRUE,Backdoors!AC5,1))*KD4,0),"")</f>
        <v/>
      </c>
      <c r="KH4" s="49">
        <f>VLOOKUP(A4,tbMoveset!A2:G112,7,FALSE)*IFERROR(IF(Backdoors!AI12&gt;=0,1+(IF(Calculator!E40&gt;0,VLOOKUP(Calculator!E40,tbSkills!AI3:AJ5,2,FALSE),Backdoors!AL4)*(IF((Backdoors!AI12+IF(KC4&gt;=0.45,VLOOKUP(Calculator!E23,tbSkills!DH3:DI6,2,FALSE)+IF(AND(Calculator!B8=TRUE,Backdoors!BI44=TRUE),VLOOKUP(Calculator!E23,tbSkills!DH3:DJ6,3,FALSE),0),0))&gt;=100,100,(Backdoors!AI12+IF(KC4&gt;=0.45,VLOOKUP(Calculator!E23,tbSkills!DH3:DI6,2,FALSE)+IF(AND(Calculator!B8=TRUE,Backdoors!BI44=TRUE),VLOOKUP(Calculator!E23,tbSkills!DH3:DJ6,3,FALSE),0),0)))/100)),1),1)</f>
        <v>0.4</v>
      </c>
      <c r="KI4" s="87">
        <f t="shared" ref="KI4:KI67" si="33">SUM(KF4:KG4)</f>
        <v>0</v>
      </c>
      <c r="KJ4" s="86" t="str">
        <f>IFERROR(IF(VLOOKUP(A4,tbMoveset!A2:B112,2,FALSE)="Sever",Backdoors!AY45/100,IF(VLOOKUP(A4,tbMoveset!A2:B112,2,FALSE)="Blunt",Backdoors!AZ45/100,Backdoors!BA45/100)),"")</f>
        <v/>
      </c>
      <c r="KK4" s="49">
        <f>IFERROR(IF(VLOOKUP(tbMoveset!A4,tbMoveset!A2:H112,8,FALSE)="Other",IF(VLOOKUP(tbMoveset!A4,tbMoveset!A2:I112,9,FALSE)="Fire",Backdoors!BB45,IF(VLOOKUP(tbMoveset!A4,tbMoveset!A2:I112,9,FALSE)="Water",Backdoors!BC45,IF(VLOOKUP(tbMoveset!A4,tbMoveset!A2:I112,9,FALSE)="Thunder",Backdoors!BD45,IF(VLOOKUP(tbMoveset!A4,tbMoveset!A2:I112,9,FALSE)="Ice",Backdoors!BE45,IF(VLOOKUP(tbMoveset!A4,tbMoveset!A2:I112,9,FALSE)="Dragon",Backdoors!BF45,Backdoors!BG45)))))/100,Backdoors!BG45/100),"")</f>
        <v>0</v>
      </c>
      <c r="KL4" s="49">
        <f>IFERROR(IF(VLOOKUP(A4,tbMoveset!A2:J112,10,FALSE)=TRUE,IF((Backdoors!AI12+IF(KJ4&gt;=0.45,VLOOKUP(Calculator!E23,tbSkills!DH3:DI6,2,FALSE)+IF(AND(Calculator!B8=TRUE,Backdoors!BI45=TRUE),VLOOKUP(Calculator!E23,tbSkills!DH3:DJ6,3,FALSE),0),0))&gt;=0,1+(Backdoors!AL2*(IF((Backdoors!AI12+IF(KJ4&gt;=0.45,VLOOKUP(Calculator!E23,tbSkills!DH3:DI6,2,FALSE)+IF(AND(Calculator!B8=TRUE,Backdoors!BI45=TRUE),VLOOKUP(Calculator!E23,tbSkills!DH3:DJ6,3,FALSE),0),0))&gt;=100,100,(Backdoors!AI12+IF(KJ4&gt;=0.45,VLOOKUP(Calculator!E23,tbSkills!DH3:DI6,2,FALSE)+IF(AND(Calculator!B8=TRUE,Backdoors!BI45=TRUE),VLOOKUP(Calculator!E23,tbSkills!DH3:DJ6,3,FALSE),0),0)))/100)),(1-(0.25*((-Backdoors!AI12-IF(KJ4&gt;=0.45,VLOOKUP(Calculator!E23,tbSkills!DH3:DI6,2,FALSE)+IF(AND(Calculator!B8=TRUE,Backdoors!BI45=TRUE),VLOOKUP(Calculator!E23,tbSkills!DH3:DJ6,3,FALSE),0),0))/100)))),1),"")</f>
        <v>1</v>
      </c>
      <c r="KM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KJ4)*KL4)*(VLOOKUP(A4,tbMoveset!A2:C112,3,FALSE)/100)*IF(VLOOKUP(A4,tbMoveset!A2:B112,2,FALSE)="Projectile",Backdoors!N10,Backdoors!N9),0),"")</f>
        <v/>
      </c>
      <c r="KN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REF!&gt;0,VLOOKUP(Calculator!#REF!,tbSkills!AC3:AD5,2,FALSE),Backdoors!AL3)*(IF((Backdoors!AI12+IF(KJ4&gt;=0.45,VLOOKUP(Calculator!E23,tbSkills!DH3:DI6,2,FALSE)+IF(AND(Calculator!B8=TRUE,Backdoors!BI45=TRUE),VLOOKUP(Calculator!E23,tbSkills!DH3:DJ6,3,FALSE),0),0))&gt;=100,100,(Backdoors!AI12+IF(KJ4&gt;=0.45,VLOOKUP(Calculator!E23,tbSkills!DH3:DI6,2,FALSE)+IF(AND(Calculator!B8=TRUE,Backdoors!BI45=TRUE),VLOOKUP(Calculator!E23,tbSkills!DH3:DJ6,3,FALSE),0),0)))/100)),1))*IF(VLOOKUP(A4,tbMoveset!A2:K112,11,FALSE)=TRUE,Backdoors!AC5,1))*KK4,0),"")</f>
        <v/>
      </c>
      <c r="KO4" s="49">
        <f>VLOOKUP(A4,tbMoveset!A2:G112,7,FALSE)*IFERROR(IF(Backdoors!AI12&gt;=0,1+(IF(Calculator!E40&gt;0,VLOOKUP(Calculator!E40,tbSkills!AI3:AJ5,2,FALSE),Backdoors!AL4)*(IF((Backdoors!AI12+IF(KJ4&gt;=0.45,VLOOKUP(Calculator!E23,tbSkills!DH3:DI6,2,FALSE)+IF(AND(Calculator!B8=TRUE,Backdoors!BI45=TRUE),VLOOKUP(Calculator!E23,tbSkills!DH3:DJ6,3,FALSE),0),0))&gt;=100,100,(Backdoors!AI12+IF(KJ4&gt;=0.45,VLOOKUP(Calculator!E23,tbSkills!DH3:DI6,2,FALSE)+IF(AND(Calculator!B8=TRUE,Backdoors!BI45=TRUE),VLOOKUP(Calculator!E23,tbSkills!DH3:DJ6,3,FALSE),0),0)))/100)),1),1)</f>
        <v>0.4</v>
      </c>
      <c r="KP4" s="87">
        <f t="shared" ref="KP4:KP67" si="34">SUM(KM4:KN4)</f>
        <v>0</v>
      </c>
      <c r="KQ4" s="86" t="str">
        <f>IFERROR(IF(VLOOKUP(A4,tbMoveset!A2:B112,2,FALSE)="Sever",Backdoors!AY46/100,IF(VLOOKUP(A4,tbMoveset!A2:B112,2,FALSE)="Blunt",Backdoors!AZ46/100,Backdoors!BA46/100)),"")</f>
        <v/>
      </c>
      <c r="KR4" s="49">
        <f>IFERROR(IF(VLOOKUP(tbMoveset!A4,tbMoveset!A2:H112,8,FALSE)="Other",IF(VLOOKUP(tbMoveset!A4,tbMoveset!A2:I112,9,FALSE)="Fire",Backdoors!BB46,IF(VLOOKUP(tbMoveset!A4,tbMoveset!A2:I112,9,FALSE)="Water",Backdoors!BC46,IF(VLOOKUP(tbMoveset!A4,tbMoveset!A2:I112,9,FALSE)="Thunder",Backdoors!BD46,IF(VLOOKUP(tbMoveset!A4,tbMoveset!A2:I112,9,FALSE)="Ice",Backdoors!BE46,IF(VLOOKUP(tbMoveset!A4,tbMoveset!A2:I112,9,FALSE)="Dragon",Backdoors!BF46,Backdoors!BG46)))))/100,Backdoors!BG46/100),"")</f>
        <v>0</v>
      </c>
      <c r="KS4" s="49">
        <f>IFERROR(IF(VLOOKUP(A4,tbMoveset!A2:J112,10,FALSE)=TRUE,IF((Backdoors!AI12+IF(KQ4&gt;=0.45,VLOOKUP(Calculator!E23,tbSkills!DH3:DI6,2,FALSE)+IF(AND(Calculator!B8=TRUE,Backdoors!BI46=TRUE),VLOOKUP(Calculator!E23,tbSkills!DH3:DJ6,3,FALSE),0),0))&gt;=0,1+(Backdoors!AL2*(IF((Backdoors!AI12+IF(KQ4&gt;=0.45,VLOOKUP(Calculator!E23,tbSkills!DH3:DI6,2,FALSE)+IF(AND(Calculator!B8=TRUE,Backdoors!BI46=TRUE),VLOOKUP(Calculator!E23,tbSkills!DH3:DJ6,3,FALSE),0),0))&gt;=100,100,(Backdoors!AI12+IF(KQ4&gt;=0.45,VLOOKUP(Calculator!E23,tbSkills!DH3:DI6,2,FALSE)+IF(AND(Calculator!B8=TRUE,Backdoors!BI46=TRUE),VLOOKUP(Calculator!E23,tbSkills!DH3:DJ6,3,FALSE),0),0)))/100)),(1-(0.25*((-Backdoors!AI12-IF(KQ4&gt;=0.45,VLOOKUP(Calculator!E23,tbSkills!DH3:DI6,2,FALSE)+IF(AND(Calculator!B8=TRUE,Backdoors!BI46=TRUE),VLOOKUP(Calculator!E23,tbSkills!DH3:DJ6,3,FALSE),0),0))/100)))),1),"")</f>
        <v>1</v>
      </c>
      <c r="KT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KQ4)*KS4)*(VLOOKUP(A4,tbMoveset!A2:C112,3,FALSE)/100)*IF(VLOOKUP(A4,tbMoveset!A2:B112,2,FALSE)="Projectile",Backdoors!N10,Backdoors!N9),0),"")</f>
        <v/>
      </c>
      <c r="KU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REF!&gt;0,VLOOKUP(Calculator!#REF!,tbSkills!AC3:AD5,2,FALSE),Backdoors!AL3)*(IF((Backdoors!AI12+IF(KQ4&gt;=0.45,VLOOKUP(Calculator!E23,tbSkills!DH3:DI6,2,FALSE)+IF(AND(Calculator!B8=TRUE,Backdoors!BI46=TRUE),VLOOKUP(Calculator!E23,tbSkills!DH3:DJ6,3,FALSE),0),0))&gt;=100,100,(Backdoors!AI12+IF(KQ4&gt;=0.45,VLOOKUP(Calculator!E23,tbSkills!DH3:DI6,2,FALSE)+IF(AND(Calculator!B8=TRUE,Backdoors!BI46=TRUE),VLOOKUP(Calculator!E23,tbSkills!DH3:DJ6,3,FALSE),0),0)))/100)),1))*IF(VLOOKUP(A4,tbMoveset!A2:K112,11,FALSE)=TRUE,Backdoors!AC5,1))*KR4,0),"")</f>
        <v/>
      </c>
      <c r="KV4" s="49">
        <f>VLOOKUP(A4,tbMoveset!A2:G112,7,FALSE)*IFERROR(IF(Backdoors!AI12&gt;=0,1+(IF(Calculator!E40&gt;0,VLOOKUP(Calculator!E40,tbSkills!AI3:AJ5,2,FALSE),Backdoors!AL4)*(IF((Backdoors!AI12+IF(KQ4&gt;=0.45,VLOOKUP(Calculator!E23,tbSkills!DH3:DI6,2,FALSE)+IF(AND(Calculator!B8=TRUE,Backdoors!BI46=TRUE),VLOOKUP(Calculator!E23,tbSkills!DH3:DJ6,3,FALSE),0),0))&gt;=100,100,(Backdoors!AI12+IF(KQ4&gt;=0.45,VLOOKUP(Calculator!E23,tbSkills!DH3:DI6,2,FALSE)+IF(AND(Calculator!B8=TRUE,Backdoors!BI46=TRUE),VLOOKUP(Calculator!E23,tbSkills!DH3:DJ6,3,FALSE),0),0)))/100)),1),1)</f>
        <v>0.4</v>
      </c>
      <c r="KW4" s="87">
        <f t="shared" ref="KW4:KW67" si="35">SUM(KT4:KU4)</f>
        <v>0</v>
      </c>
    </row>
    <row r="5" spans="1:309" x14ac:dyDescent="0.25">
      <c r="A5" s="95" t="str">
        <f>tbMoveset!A5</f>
        <v>Double Slash Return Stroke (R)</v>
      </c>
      <c r="B5" s="86">
        <f>IFERROR(IF(VLOOKUP(A5,tbMoveset!A2:B112,2,FALSE)="Sever",Backdoors!AY3/100,IF(VLOOKUP(A5,tbMoveset!A2:B112,2,FALSE)="Blunt",Backdoors!AZ3/100,Backdoors!BA3/100)),"")</f>
        <v>0.8</v>
      </c>
      <c r="C5" s="49">
        <f>IFERROR(IF(VLOOKUP(tbMoveset!A5,tbMoveset!A2:H112,8,FALSE)="Other",IF(VLOOKUP(tbMoveset!A5,tbMoveset!A2:I112,9,FALSE)="Fire",Backdoors!BB3,IF(VLOOKUP(tbMoveset!A5,tbMoveset!A2:I112,9,FALSE)="Water",Backdoors!BC3,IF(VLOOKUP(tbMoveset!A5,tbMoveset!A2:I112,9,FALSE)="Thunder",Backdoors!BD3,IF(VLOOKUP(tbMoveset!A5,tbMoveset!A2:I112,9,FALSE)="Ice",Backdoors!BE3,IF(VLOOKUP(tbMoveset!A5,tbMoveset!A2:I112,9,FALSE)="Dragon",Backdoors!BF3,Backdoors!BG3)))))/100,Backdoors!BG3/100),"")</f>
        <v>0</v>
      </c>
      <c r="D5" s="49">
        <f>IFERROR(IF(VLOOKUP(A5,tbMoveset!A2:J112,10,FALSE)=TRUE,IF((Backdoors!AI12+IF(B5&gt;=0.45,VLOOKUP(Calculator!E23,tbSkills!DH3:DI6,2,FALSE)+IF(AND(Calculator!B8=TRUE,Backdoors!BI3=TRUE),VLOOKUP(Calculator!E23,tbSkills!DH3:DJ6,3,FALSE),0),0))&gt;=0,1+(Backdoors!AL2*(IF((Backdoors!AI12+IF(B5&gt;=0.45,VLOOKUP(Calculator!E23,tbSkills!DH3:DI6,2,FALSE)+IF(AND(Calculator!B8=TRUE,Backdoors!BI3=TRUE),VLOOKUP(Calculator!E23,tbSkills!DH3:DJ6,3,FALSE),0),0))&gt;=100,100,(Backdoors!AI12+IF(B5&gt;=0.45,VLOOKUP(Calculator!E23,tbSkills!DH3:DI6,2,FALSE)+IF(AND(Calculator!B8=TRUE,Backdoors!BI3=TRUE),VLOOKUP(Calculator!E23,tbSkills!DH3:DJ6,3,FALSE),0),0)))/100)),(1-(0.25*((-Backdoors!AI12-IF(B5&gt;=0.45,VLOOKUP(Calculator!E23,tbSkills!DH3:DI6,2,FALSE)+IF(AND(Calculator!B8=TRUE,Backdoors!BI3=TRUE),VLOOKUP(Calculator!E23,tbSkills!DH3:DJ6,3,FALSE),0),0))/100)))),1),"")</f>
        <v>1</v>
      </c>
      <c r="E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5)*D5)*(VLOOKUP(A5,tbMoveset!A2:C112,3,FALSE)/100)*IF(VLOOKUP(A5,tbMoveset!A2:B112,2,FALSE)="Projectile",Backdoors!N10,Backdoors!N9),0),"")</f>
        <v>6</v>
      </c>
      <c r="F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5&gt;=0.45,VLOOKUP(Calculator!E23,tbSkills!DH3:DI6,2,FALSE)+IF(AND(Calculator!B8=TRUE,Backdoors!BI3=TRUE),VLOOKUP(Calculator!E23,tbSkills!DH3:DJ6,3,FALSE),0),0))&gt;=100,100,(Backdoors!AI12+IF(B5&gt;=0.45,VLOOKUP(Calculator!E23,tbSkills!DH3:DI6,2,FALSE)+IF(AND(Calculator!B8=TRUE,Backdoors!BI3=TRUE),VLOOKUP(Calculator!E23,tbSkills!DH3:DJ6,3,FALSE),0),0)))/100)),1))*IF(VLOOKUP(A5,tbMoveset!A2:K112,11,FALSE)=TRUE,Backdoors!AC5,1))*C5,0),"")</f>
        <v>0</v>
      </c>
      <c r="G5">
        <f>VLOOKUP(A5,tbMoveset!A2:G112,7,FALSE)*IFERROR(IF(Backdoors!AI12&gt;=0,1+(IF(Calculator!E40&gt;0,VLOOKUP(Calculator!E40,tbSkills!AI3:AJ5,2,FALSE),Backdoors!AL4)*(IF((Backdoors!AI12+IF(B5&gt;=0.45,VLOOKUP(Calculator!E23,tbSkills!DH3:DI6,2,FALSE)+IF(AND(Calculator!B8=TRUE,Backdoors!BI3=TRUE),VLOOKUP(Calculator!E23,tbSkills!DH3:DJ6,3,FALSE),0),0))&gt;=100,100,(Backdoors!AI12+IF(B5&gt;=0.45,VLOOKUP(Calculator!E23,tbSkills!DH3:DI6,2,FALSE)+IF(AND(Calculator!B8=TRUE,Backdoors!BI3=TRUE),VLOOKUP(Calculator!E23,tbSkills!DH3:DJ6,3,FALSE),0),0)))/100)),1),1)</f>
        <v>0.4</v>
      </c>
      <c r="H5" s="87">
        <f>SUM(E5:F5)</f>
        <v>6</v>
      </c>
      <c r="I5" s="86">
        <f>IFERROR(IF(VLOOKUP(A5,tbMoveset!A2:B112,2,FALSE)="Sever",Backdoors!AY4/100,IF(VLOOKUP(A5,tbMoveset!A2:B112,2,FALSE)="Blunt",Backdoors!AZ4/100,Backdoors!BA4/100)),"")</f>
        <v>0.65</v>
      </c>
      <c r="J5" s="49">
        <f>IFERROR(IF(VLOOKUP(tbMoveset!A5,tbMoveset!A2:H112,8,FALSE)="Other",IF(VLOOKUP(tbMoveset!A5,tbMoveset!A2:I112,9,FALSE)="Fire",Backdoors!BB4,IF(VLOOKUP(tbMoveset!A5,tbMoveset!A2:I112,9,FALSE)="Water",Backdoors!BC4,IF(VLOOKUP(tbMoveset!A5,tbMoveset!A2:I112,9,FALSE)="Thunder",Backdoors!BD4,IF(VLOOKUP(tbMoveset!A5,tbMoveset!A2:I112,9,FALSE)="Ice",Backdoors!BE4,IF(VLOOKUP(tbMoveset!A5,tbMoveset!A2:I112,9,FALSE)="Dragon",Backdoors!BF4,Backdoors!BG4)))))/100,Backdoors!BG4/100),"")</f>
        <v>0</v>
      </c>
      <c r="K5" s="49">
        <f>IFERROR(IF(VLOOKUP(A5,tbMoveset!A2:J112,10,FALSE)=TRUE,IF((Backdoors!AI12+IF(I5&gt;=0.45,VLOOKUP(Calculator!E23,tbSkills!DH3:DI6,2,FALSE)+IF(AND(Calculator!B8=TRUE,Backdoors!BI4=TRUE),VLOOKUP(Calculator!E23,tbSkills!DH3:DJ6,3,FALSE),0),0))&gt;=0,1+(Backdoors!AL2*(IF((Backdoors!AI12+IF(I5&gt;=0.45,VLOOKUP(Calculator!E23,tbSkills!DH3:DI6,2,FALSE)+IF(AND(Calculator!B8=TRUE,Backdoors!BI4=TRUE),VLOOKUP(Calculator!E23,tbSkills!DH3:DJ6,3,FALSE),0),0))&gt;=100,100,(Backdoors!AI12+IF(I5&gt;=0.45,VLOOKUP(Calculator!E23,tbSkills!DH3:DI6,2,FALSE)+IF(AND(Calculator!B8=TRUE,Backdoors!BI4=TRUE),VLOOKUP(Calculator!E23,tbSkills!DH3:DJ6,3,FALSE),0),0)))/100)),(1-(0.25*((-Backdoors!AI12-IF(I5&gt;=0.45,VLOOKUP(Calculator!E23,tbSkills!DH3:DI6,2,FALSE)+IF(AND(Calculator!B8=TRUE,Backdoors!BI4=TRUE),VLOOKUP(Calculator!E23,tbSkills!DH3:DJ6,3,FALSE),0),0))/100)))),1),"")</f>
        <v>1</v>
      </c>
      <c r="L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5)*K5)*(VLOOKUP(A5,tbMoveset!A2:C112,3,FALSE)/100)*IF(VLOOKUP(A5,tbMoveset!A2:B112,2,FALSE)="Projectile",Backdoors!N10,Backdoors!N9),0),"")</f>
        <v>5</v>
      </c>
      <c r="M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I5&gt;=0.45,VLOOKUP(Calculator!E23,tbSkills!DH3:DI6,2,FALSE)+IF(AND(Calculator!B8=TRUE,Backdoors!BI4=TRUE),VLOOKUP(Calculator!E23,tbSkills!DH3:DJ6,3,FALSE),0),0))&gt;=100,100,(Backdoors!AI12+IF(I5&gt;=0.45,VLOOKUP(Calculator!E23,tbSkills!DH3:DI6,2,FALSE)+IF(AND(Calculator!B8=TRUE,Backdoors!BI4=TRUE),VLOOKUP(Calculator!E23,tbSkills!DH3:DJ6,3,FALSE),0),0)))/100)),1))*IF(VLOOKUP(A5,tbMoveset!A2:K112,11,FALSE)=TRUE,Backdoors!AC5,1))*J5,0),"")</f>
        <v>0</v>
      </c>
      <c r="N5" s="49">
        <f>VLOOKUP(A5,tbMoveset!A2:G112,7,FALSE)*IFERROR(IF(Backdoors!AI12&gt;=0,1+(IF(Calculator!E40&gt;0,VLOOKUP(Calculator!E40,tbSkills!AI3:AJ5,2,FALSE),Backdoors!AL4)*(IF((Backdoors!AI12+IF(I5&gt;=0.45,VLOOKUP(Calculator!E23,tbSkills!DH3:DI6,2,FALSE)+IF(AND(Calculator!B8=TRUE,Backdoors!BI4=TRUE),VLOOKUP(Calculator!E23,tbSkills!DH3:DJ6,3,FALSE),0),0))&gt;=100,100,(Backdoors!AI12+IF(I5&gt;=0.45,VLOOKUP(Calculator!E23,tbSkills!DH3:DI6,2,FALSE)+IF(AND(Calculator!B8=TRUE,Backdoors!BI4=TRUE),VLOOKUP(Calculator!E23,tbSkills!DH3:DJ6,3,FALSE),0),0)))/100)),1),1)</f>
        <v>0.4</v>
      </c>
      <c r="O5" s="87">
        <f t="shared" ref="O5:O34" si="36">SUM(L5:M5)</f>
        <v>5</v>
      </c>
      <c r="P5" s="86">
        <f>IFERROR(IF(VLOOKUP(A5,tbMoveset!A2:B112,2,FALSE)="Sever",Backdoors!AY5/100,IF(VLOOKUP(A5,tbMoveset!A2:B112,2,FALSE)="Blunt",Backdoors!AZ5/100,Backdoors!BA5/100)),"")</f>
        <v>0.5</v>
      </c>
      <c r="Q5" s="49">
        <f>IFERROR(IF(VLOOKUP(tbMoveset!A5,tbMoveset!A2:H112,8,FALSE)="Other",IF(VLOOKUP(tbMoveset!A5,tbMoveset!A2:I112,9,FALSE)="Fire",Backdoors!BB5,IF(VLOOKUP(tbMoveset!A5,tbMoveset!A2:I112,9,FALSE)="Water",Backdoors!BC5,IF(VLOOKUP(tbMoveset!A5,tbMoveset!A2:I112,9,FALSE)="Thunder",Backdoors!BD5,IF(VLOOKUP(tbMoveset!A5,tbMoveset!A2:I112,9,FALSE)="Ice",Backdoors!BE5,IF(VLOOKUP(tbMoveset!A5,tbMoveset!A2:I112,9,FALSE)="Dragon",Backdoors!BF5,Backdoors!BG5)))))/100,Backdoors!BG5/100),"")</f>
        <v>0</v>
      </c>
      <c r="R5" s="49">
        <f>IFERROR(IF(VLOOKUP(A5,tbMoveset!A2:J112,10,FALSE)=TRUE,IF((Backdoors!AI12+IF(P5&gt;=0.45,VLOOKUP(Calculator!E23,tbSkills!DH3:DI6,2,FALSE)+IF(AND(Calculator!B8=TRUE,Backdoors!BI5=TRUE),VLOOKUP(Calculator!E23,tbSkills!DH3:DJ6,3,FALSE),0),0))&gt;=0,1+(Backdoors!AL2*(IF((Backdoors!AI12+IF(P5&gt;=0.45,VLOOKUP(Calculator!E23,tbSkills!DH3:DI6,2,FALSE)+IF(AND(Calculator!B8=TRUE,Backdoors!BI5=TRUE),VLOOKUP(Calculator!E23,tbSkills!DH3:DJ6,3,FALSE),0),0))&gt;=100,100,(Backdoors!AI12+IF(P5&gt;=0.45,VLOOKUP(Calculator!E23,tbSkills!DH3:DI6,2,FALSE)+IF(AND(Calculator!B8=TRUE,Backdoors!BI5=TRUE),VLOOKUP(Calculator!E23,tbSkills!DH3:DJ6,3,FALSE),0),0)))/100)),(1-(0.25*((-Backdoors!AI12-IF(P5&gt;=0.45,VLOOKUP(Calculator!E23,tbSkills!DH3:DI6,2,FALSE)+IF(AND(Calculator!B8=TRUE,Backdoors!BI5=TRUE),VLOOKUP(Calculator!E23,tbSkills!DH3:DJ6,3,FALSE),0),0))/100)))),1),"")</f>
        <v>1</v>
      </c>
      <c r="S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P5)*R5)*(VLOOKUP(A5,tbMoveset!A2:C112,3,FALSE)/100)*IF(VLOOKUP(A5,tbMoveset!A2:B112,2,FALSE)="Projectile",Backdoors!N10,Backdoors!N9),0),"")</f>
        <v>4</v>
      </c>
      <c r="T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P5&gt;=0.45,VLOOKUP(Calculator!E23,tbSkills!DH3:DI6,2,FALSE)+IF(AND(Calculator!B8=TRUE,Backdoors!BI5=TRUE),VLOOKUP(Calculator!E23,tbSkills!DH3:DJ6,3,FALSE),0),0))&gt;=100,100,(Backdoors!AI12+IF(P5&gt;=0.45,VLOOKUP(Calculator!E23,tbSkills!DH3:DI6,2,FALSE)+IF(AND(Calculator!B8=TRUE,Backdoors!BI5=TRUE),VLOOKUP(Calculator!E23,tbSkills!DH3:DJ6,3,FALSE),0),0)))/100)),1))*IF(VLOOKUP(A5,tbMoveset!A2:K112,11,FALSE)=TRUE,Backdoors!AC5,1))*Q5,0),"")</f>
        <v>0</v>
      </c>
      <c r="U5" s="49">
        <f>VLOOKUP(A5,tbMoveset!A2:G112,7,FALSE)*IFERROR(IF(Backdoors!AI12&gt;=0,1+(IF(Calculator!E40&gt;0,VLOOKUP(Calculator!E40,tbSkills!AI3:AJ5,2,FALSE),Backdoors!AL4)*(IF((Backdoors!AI12+IF(P5&gt;=0.45,VLOOKUP(Calculator!E23,tbSkills!DH3:DI6,2,FALSE)+IF(AND(Calculator!B8=TRUE,Backdoors!BI5=TRUE),VLOOKUP(Calculator!E23,tbSkills!DH3:DJ6,3,FALSE),0),0))&gt;=100,100,(Backdoors!AI12+IF(P5&gt;=0.45,VLOOKUP(Calculator!E23,tbSkills!DH3:DI6,2,FALSE)+IF(AND(Calculator!B8=TRUE,Backdoors!BI5=TRUE),VLOOKUP(Calculator!E23,tbSkills!DH3:DJ6,3,FALSE),0),0)))/100)),1),1)</f>
        <v>0.4</v>
      </c>
      <c r="V5" s="87">
        <f t="shared" ref="V5:V34" si="37">SUM(S5:T5)</f>
        <v>4</v>
      </c>
      <c r="W5" s="86">
        <f>IFERROR(IF(VLOOKUP(A5,tbMoveset!A2:B112,2,FALSE)="Sever",Backdoors!AY6/100,IF(VLOOKUP(A5,tbMoveset!A2:B112,2,FALSE)="Blunt",Backdoors!AZ6/100,Backdoors!BA6/100)),"")</f>
        <v>0.45</v>
      </c>
      <c r="X5" s="49">
        <f>IFERROR(IF(VLOOKUP(tbMoveset!A5,tbMoveset!A2:H112,8,FALSE)="Other",IF(VLOOKUP(tbMoveset!A5,tbMoveset!A2:I112,9,FALSE)="Fire",Backdoors!BB6,IF(VLOOKUP(tbMoveset!A5,tbMoveset!A2:I112,9,FALSE)="Water",Backdoors!BC6,IF(VLOOKUP(tbMoveset!A5,tbMoveset!A2:I112,9,FALSE)="Thunder",Backdoors!BD6,IF(VLOOKUP(tbMoveset!A5,tbMoveset!A2:I112,9,FALSE)="Ice",Backdoors!BE6,IF(VLOOKUP(tbMoveset!A5,tbMoveset!A2:I112,9,FALSE)="Dragon",Backdoors!BF6,Backdoors!BG6)))))/100,Backdoors!BG6/100),"")</f>
        <v>0</v>
      </c>
      <c r="Y5" s="49">
        <f>IFERROR(IF(VLOOKUP(A5,tbMoveset!A2:J112,10,FALSE)=TRUE,IF((Backdoors!AI12+IF(W5&gt;=0.45,VLOOKUP(Calculator!E23,tbSkills!DH3:DI6,2,FALSE)+IF(AND(Calculator!B8=TRUE,Backdoors!BI6=TRUE),VLOOKUP(Calculator!E23,tbSkills!DH3:DJ6,3,FALSE),0),0))&gt;=0,1+(Backdoors!AL2*(IF((Backdoors!AI12+IF(W5&gt;=0.45,VLOOKUP(Calculator!E23,tbSkills!DH3:DI6,2,FALSE)+IF(AND(Calculator!B8=TRUE,Backdoors!BI6=TRUE),VLOOKUP(Calculator!E23,tbSkills!DH3:DJ6,3,FALSE),0),0))&gt;=100,100,(Backdoors!AI12+IF(W5&gt;=0.45,VLOOKUP(Calculator!E23,tbSkills!DH3:DI6,2,FALSE)+IF(AND(Calculator!B8=TRUE,Backdoors!BI6=TRUE),VLOOKUP(Calculator!E23,tbSkills!DH3:DJ6,3,FALSE),0),0)))/100)),(1-(0.25*((-Backdoors!AI12-IF(W5&gt;=0.45,VLOOKUP(Calculator!E23,tbSkills!DH3:DI6,2,FALSE)+IF(AND(Calculator!B8=TRUE,Backdoors!BI6=TRUE),VLOOKUP(Calculator!E23,tbSkills!DH3:DJ6,3,FALSE),0),0))/100)))),1),"")</f>
        <v>1</v>
      </c>
      <c r="Z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W5)*Y5)*(VLOOKUP(A5,tbMoveset!A2:C112,3,FALSE)/100)*IF(VLOOKUP(A5,tbMoveset!A2:B112,2,FALSE)="Projectile",Backdoors!N10,Backdoors!N9),0),"")</f>
        <v>3</v>
      </c>
      <c r="AA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W5&gt;=0.45,VLOOKUP(Calculator!E23,tbSkills!DH3:DI6,2,FALSE)+IF(AND(Calculator!B8=TRUE,Backdoors!BI6=TRUE),VLOOKUP(Calculator!E23,tbSkills!DH3:DJ6,3,FALSE),0),0))&gt;=100,100,(Backdoors!AI12+IF(W5&gt;=0.45,VLOOKUP(Calculator!E23,tbSkills!DH3:DI6,2,FALSE)+IF(AND(Calculator!B8=TRUE,Backdoors!BI6=TRUE),VLOOKUP(Calculator!E23,tbSkills!DH3:DJ6,3,FALSE),0),0)))/100)),1))*IF(VLOOKUP(A5,tbMoveset!A2:K112,11,FALSE)=TRUE,Backdoors!AC5,1))*X5,0),"")</f>
        <v>0</v>
      </c>
      <c r="AB5" s="49">
        <f>VLOOKUP(A5,tbMoveset!A2:G112,7,FALSE)*IFERROR(IF(Backdoors!AI12&gt;=0,1+(IF(Calculator!E40&gt;0,VLOOKUP(Calculator!E40,tbSkills!AI3:AJ5,2,FALSE),Backdoors!AL4)*(IF((Backdoors!AI12+IF(W5&gt;=0.45,VLOOKUP(Calculator!E23,tbSkills!DH3:DI6,2,FALSE)+IF(AND(Calculator!B8=TRUE,Backdoors!BI6=TRUE),VLOOKUP(Calculator!E23,tbSkills!DH3:DJ6,3,FALSE),0),0))&gt;=100,100,(Backdoors!AI12+IF(W5&gt;=0.45,VLOOKUP(Calculator!E23,tbSkills!DH3:DI6,2,FALSE)+IF(AND(Calculator!B8=TRUE,Backdoors!BI6=TRUE),VLOOKUP(Calculator!E23,tbSkills!DH3:DJ6,3,FALSE),0),0)))/100)),1),1)</f>
        <v>0.4</v>
      </c>
      <c r="AC5" s="87">
        <f t="shared" si="0"/>
        <v>3</v>
      </c>
      <c r="AD5" s="86">
        <f>IFERROR(IF(VLOOKUP(A5,tbMoveset!A2:B112,2,FALSE)="Sever",Backdoors!AY7/100,IF(VLOOKUP(A5,tbMoveset!A2:B112,2,FALSE)="Blunt",Backdoors!AZ7/100,Backdoors!BA7/100)),"")</f>
        <v>0.65</v>
      </c>
      <c r="AE5" s="49">
        <f>IFERROR(IF(VLOOKUP(tbMoveset!A5,tbMoveset!A2:H112,8,FALSE)="Other",IF(VLOOKUP(tbMoveset!A5,tbMoveset!A2:I112,9,FALSE)="Fire",Backdoors!BB7,IF(VLOOKUP(tbMoveset!A5,tbMoveset!A2:I112,9,FALSE)="Water",Backdoors!BC7,IF(VLOOKUP(tbMoveset!A5,tbMoveset!A2:I112,9,FALSE)="Thunder",Backdoors!BD7,IF(VLOOKUP(tbMoveset!A5,tbMoveset!A2:I112,9,FALSE)="Ice",Backdoors!BE7,IF(VLOOKUP(tbMoveset!A5,tbMoveset!A2:I112,9,FALSE)="Dragon",Backdoors!BF7,Backdoors!BG7)))))/100,Backdoors!BG7/100),"")</f>
        <v>0</v>
      </c>
      <c r="AF5" s="49">
        <f>IFERROR(IF(VLOOKUP(A5,tbMoveset!A2:J112,10,FALSE)=TRUE,IF((Backdoors!AI12+IF(AD5&gt;=0.45,VLOOKUP(Calculator!E23,tbSkills!DH3:DI6,2,FALSE)+IF(AND(Calculator!B8=TRUE,Backdoors!BI7=TRUE),VLOOKUP(Calculator!E23,tbSkills!DH3:DJ6,3,FALSE),0),0))&gt;=0,1+(Backdoors!AL2*(IF((Backdoors!AI12+IF(AD5&gt;=0.45,VLOOKUP(Calculator!E23,tbSkills!DH3:DI6,2,FALSE)+IF(AND(Calculator!B8=TRUE,Backdoors!BI7=TRUE),VLOOKUP(Calculator!E23,tbSkills!DH3:DJ6,3,FALSE),0),0))&gt;=100,100,(Backdoors!AI12+IF(AD5&gt;=0.45,VLOOKUP(Calculator!E23,tbSkills!DH3:DI6,2,FALSE)+IF(AND(Calculator!B8=TRUE,Backdoors!BI7=TRUE),VLOOKUP(Calculator!E23,tbSkills!DH3:DJ6,3,FALSE),0),0)))/100)),(1-(0.25*((-Backdoors!AI12-IF(AD5&gt;=0.45,VLOOKUP(Calculator!E23,tbSkills!DH3:DI6,2,FALSE)+IF(AND(Calculator!B8=TRUE,Backdoors!BI7=TRUE),VLOOKUP(Calculator!E23,tbSkills!DH3:DJ6,3,FALSE),0),0))/100)))),1),"")</f>
        <v>1</v>
      </c>
      <c r="AG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D5)*AF5)*(VLOOKUP(A5,tbMoveset!A2:C112,3,FALSE)/100)*IF(VLOOKUP(A5,tbMoveset!A2:B112,2,FALSE)="Projectile",Backdoors!N10,Backdoors!N9),0),"")</f>
        <v>5</v>
      </c>
      <c r="AH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D5&gt;=0.45,VLOOKUP(Calculator!E23,tbSkills!DH3:DI6,2,FALSE)+IF(AND(Calculator!B8=TRUE,Backdoors!BI7=TRUE),VLOOKUP(Calculator!E23,tbSkills!DH3:DJ6,3,FALSE),0),0))&gt;=100,100,(Backdoors!AI12+IF(AD5&gt;=0.45,VLOOKUP(Calculator!E23,tbSkills!DH3:DI6,2,FALSE)+IF(AND(Calculator!B8=TRUE,Backdoors!BI7=TRUE),VLOOKUP(Calculator!E23,tbSkills!DH3:DJ6,3,FALSE),0),0)))/100)),1))*IF(VLOOKUP(A5,tbMoveset!A2:K112,11,FALSE)=TRUE,Backdoors!AC5,1))*AE5,0),"")</f>
        <v>0</v>
      </c>
      <c r="AI5" s="49">
        <f>VLOOKUP(A5,tbMoveset!A2:G112,7,FALSE)*IFERROR(IF(Backdoors!AI12&gt;=0,1+(IF(Calculator!E40&gt;0,VLOOKUP(Calculator!E40,tbSkills!AI3:AJ5,2,FALSE),Backdoors!AL4)*(IF((Backdoors!AI12+IF(AD5&gt;=0.45,VLOOKUP(Calculator!E23,tbSkills!DH3:DI6,2,FALSE)+IF(AND(Calculator!B8=TRUE,Backdoors!BI7=TRUE),VLOOKUP(Calculator!E23,tbSkills!DH3:DJ6,3,FALSE),0),0))&gt;=100,100,(Backdoors!AI12+IF(AD5&gt;=0.45,VLOOKUP(Calculator!E23,tbSkills!DH3:DI6,2,FALSE)+IF(AND(Calculator!B8=TRUE,Backdoors!BI7=TRUE),VLOOKUP(Calculator!E23,tbSkills!DH3:DJ6,3,FALSE),0),0)))/100)),1),1)</f>
        <v>0.4</v>
      </c>
      <c r="AJ5" s="87">
        <f t="shared" si="1"/>
        <v>5</v>
      </c>
      <c r="AK5" s="91">
        <f>IFERROR(IF(VLOOKUP(A5,tbMoveset!A2:B112,2,FALSE)="Sever",Backdoors!AY8/100,IF(VLOOKUP(A5,tbMoveset!A2:B112,2,FALSE)="Blunt",Backdoors!AZ8/100,Backdoors!BA8/100)),"")</f>
        <v>0.45</v>
      </c>
      <c r="AL5" s="49">
        <f>IFERROR(IF(VLOOKUP(tbMoveset!A5,tbMoveset!A2:H112,8,FALSE)="Other",IF(VLOOKUP(tbMoveset!A5,tbMoveset!A2:I112,9,FALSE)="Fire",Backdoors!BB8,IF(VLOOKUP(tbMoveset!A5,tbMoveset!A2:I112,9,FALSE)="Water",Backdoors!BC8,IF(VLOOKUP(tbMoveset!A5,tbMoveset!A2:I112,9,FALSE)="Thunder",Backdoors!BD8,IF(VLOOKUP(tbMoveset!A5,tbMoveset!A2:I112,9,FALSE)="Ice",Backdoors!BE8,IF(VLOOKUP(tbMoveset!A5,tbMoveset!A2:I112,9,FALSE)="Dragon",Backdoors!BF8,Backdoors!BG8)))))/100,Backdoors!BG8/100),"")</f>
        <v>0</v>
      </c>
      <c r="AM5" s="49">
        <f>IFERROR(IF(VLOOKUP(A5,tbMoveset!A2:J112,10,FALSE)=TRUE,IF((Backdoors!AI12+IF(AK5&gt;=0.45,VLOOKUP(Calculator!E23,tbSkills!DH3:DI6,2,FALSE)+IF(AND(Calculator!B8=TRUE,Backdoors!BI8=TRUE),VLOOKUP(Calculator!E23,tbSkills!DH3:DJ6,3,FALSE),0),0))&gt;=0,1+(Backdoors!AL2*(IF((Backdoors!AI12+IF(AK5&gt;=0.45,VLOOKUP(Calculator!E23,tbSkills!DH3:DI6,2,FALSE)+IF(AND(Calculator!B8=TRUE,Backdoors!BI8=TRUE),VLOOKUP(Calculator!E23,tbSkills!DH3:DJ6,3,FALSE),0),0))&gt;=100,100,(Backdoors!AI12+IF(AK5&gt;=0.45,VLOOKUP(Calculator!E23,tbSkills!DH3:DI6,2,FALSE)+IF(AND(Calculator!B8=TRUE,Backdoors!BI8=TRUE),VLOOKUP(Calculator!E23,tbSkills!DH3:DJ6,3,FALSE),0),0)))/100)),(1-(0.25*((-Backdoors!AI12-IF(AK5&gt;=0.45,VLOOKUP(Calculator!E23,tbSkills!DH3:DI6,2,FALSE)+IF(AND(Calculator!B8=TRUE,Backdoors!BI8=TRUE),VLOOKUP(Calculator!E23,tbSkills!DH3:DJ6,3,FALSE),0),0))/100)))),1),"")</f>
        <v>1</v>
      </c>
      <c r="AN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K5)*AM5)*(VLOOKUP(A5,tbMoveset!A2:C112,3,FALSE)/100)*IF(VLOOKUP(A5,tbMoveset!A2:B112,2,FALSE)="Projectile",Backdoors!N10,Backdoors!N9),0),"")</f>
        <v>3</v>
      </c>
      <c r="AO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K5&gt;=0.45,VLOOKUP(Calculator!E23,tbSkills!DH3:DI6,2,FALSE)+IF(AND(Calculator!B8=TRUE,Backdoors!BI8=TRUE),VLOOKUP(Calculator!E23,tbSkills!DH3:DJ6,3,FALSE),0),0))&gt;=100,100,(Backdoors!AI12+IF(AK5&gt;=0.45,VLOOKUP(Calculator!E23,tbSkills!DH3:DI6,2,FALSE)+IF(AND(Calculator!B8=TRUE,Backdoors!BI8=TRUE),VLOOKUP(Calculator!E23,tbSkills!DH3:DJ6,3,FALSE),0),0)))/100)),1))*IF(VLOOKUP(A5,tbMoveset!A2:K112,11,FALSE)=TRUE,Backdoors!AC5,1))*AL5,0),"")</f>
        <v>0</v>
      </c>
      <c r="AP5" s="49">
        <f>VLOOKUP(A5,tbMoveset!A2:G112,7,FALSE)*IFERROR(IF(Backdoors!AI12&gt;=0,1+(IF(Calculator!E40&gt;0,VLOOKUP(Calculator!E40,tbSkills!AI3:AJ5,2,FALSE),Backdoors!AL4)*(IF((Backdoors!AI12+IF(AK5&gt;=0.45,VLOOKUP(Calculator!E23,tbSkills!DH3:DI6,2,FALSE)+IF(AND(Calculator!B8=TRUE,Backdoors!BI8=TRUE),VLOOKUP(Calculator!E23,tbSkills!DH3:DJ6,3,FALSE),0),0))&gt;=100,100,(Backdoors!AI12+IF(AK5&gt;=0.45,VLOOKUP(Calculator!E23,tbSkills!DH3:DI6,2,FALSE)+IF(AND(Calculator!B8=TRUE,Backdoors!BI8=TRUE),VLOOKUP(Calculator!E23,tbSkills!DH3:DJ6,3,FALSE),0),0)))/100)),1),1)</f>
        <v>0.4</v>
      </c>
      <c r="AQ5" s="87">
        <f t="shared" si="2"/>
        <v>3</v>
      </c>
      <c r="AR5" s="86">
        <f>IFERROR(IF(VLOOKUP(A5,tbMoveset!A2:B112,2,FALSE)="Sever",Backdoors!AY9/100,IF(VLOOKUP(A5,tbMoveset!A2:B112,2,FALSE)="Blunt",Backdoors!AZ9/100,Backdoors!BA9/100)),"")</f>
        <v>0.45</v>
      </c>
      <c r="AS5" s="49">
        <f>IFERROR(IF(VLOOKUP(tbMoveset!A5,tbMoveset!A2:H112,8,FALSE)="Other",IF(VLOOKUP(tbMoveset!A5,tbMoveset!A2:I112,9,FALSE)="Fire",Backdoors!BB9,IF(VLOOKUP(tbMoveset!A5,tbMoveset!A2:I112,9,FALSE)="Water",Backdoors!BC9,IF(VLOOKUP(tbMoveset!A5,tbMoveset!A2:I112,9,FALSE)="Thunder",Backdoors!BD9,IF(VLOOKUP(tbMoveset!A5,tbMoveset!A2:I112,9,FALSE)="Ice",Backdoors!BE9,IF(VLOOKUP(tbMoveset!A5,tbMoveset!A2:I112,9,FALSE)="Dragon",Backdoors!BF9,Backdoors!BG9)))))/100,Backdoors!BG9/100),"")</f>
        <v>0</v>
      </c>
      <c r="AT5" s="49">
        <f>IFERROR(IF(VLOOKUP(A5,tbMoveset!A2:J112,10,FALSE)=TRUE,IF((Backdoors!AI12+IF(AR5&gt;=0.45,VLOOKUP(Calculator!E23,tbSkills!DH3:DI6,2,FALSE)+IF(AND(Calculator!B8=TRUE,Backdoors!BI9=TRUE),VLOOKUP(Calculator!E23,tbSkills!DH3:DJ6,3,FALSE),0),0))&gt;=0,1+(Backdoors!AL2*(IF((Backdoors!AI12+IF(AR5&gt;=0.45,VLOOKUP(Calculator!E23,tbSkills!DH3:DI6,2,FALSE)+IF(AND(Calculator!B8=TRUE,Backdoors!BI9=TRUE),VLOOKUP(Calculator!E23,tbSkills!DH3:DJ6,3,FALSE),0),0))&gt;=100,100,(Backdoors!AI12+IF(AR5&gt;=0.45,VLOOKUP(Calculator!E23,tbSkills!DH3:DI6,2,FALSE)+IF(AND(Calculator!B8=TRUE,Backdoors!BI9=TRUE),VLOOKUP(Calculator!E23,tbSkills!DH3:DJ6,3,FALSE),0),0)))/100)),(1-(0.25*((-Backdoors!AI12-IF(AR5&gt;=0.45,VLOOKUP(Calculator!E23,tbSkills!DH3:DI6,2,FALSE)+IF(AND(Calculator!B8=TRUE,Backdoors!BI9=TRUE),VLOOKUP(Calculator!E23,tbSkills!DH3:DJ6,3,FALSE),0),0))/100)))),1),"")</f>
        <v>1</v>
      </c>
      <c r="AU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R5)*AT5)*(VLOOKUP(A5,tbMoveset!A2:C112,3,FALSE)/100)*IF(VLOOKUP(A5,tbMoveset!A2:B112,2,FALSE)="Projectile",Backdoors!N10,Backdoors!N9),0),"")</f>
        <v>3</v>
      </c>
      <c r="AV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R5&gt;=0.45,VLOOKUP(Calculator!E23,tbSkills!DH3:DI6,2,FALSE)+IF(AND(Calculator!B8=TRUE,Backdoors!BI9=TRUE),VLOOKUP(Calculator!E23,tbSkills!DH3:DJ6,3,FALSE),0),0))&gt;=100,100,(Backdoors!AI12+IF(AR5&gt;=0.45,VLOOKUP(Calculator!E23,tbSkills!DH3:DI6,2,FALSE)+IF(AND(Calculator!B8=TRUE,Backdoors!BI9=TRUE),VLOOKUP(Calculator!E23,tbSkills!DH3:DJ6,3,FALSE),0),0)))/100)),1))*IF(VLOOKUP(A5,tbMoveset!A2:K112,11,FALSE)=TRUE,Backdoors!AC5,1))*AS5,0),"")</f>
        <v>0</v>
      </c>
      <c r="AW5" s="49">
        <f>VLOOKUP(A5,tbMoveset!A2:G112,7,FALSE)*IFERROR(IF(Backdoors!AI12&gt;=0,1+(IF(Calculator!E40&gt;0,VLOOKUP(Calculator!E40,tbSkills!AI3:AJ5,2,FALSE),Backdoors!AL4)*(IF((Backdoors!AI12+IF(AR5&gt;=0.45,VLOOKUP(Calculator!E23,tbSkills!DH3:DI6,2,FALSE)+IF(AND(Calculator!B8=TRUE,Backdoors!BI9=TRUE),VLOOKUP(Calculator!E23,tbSkills!DH3:DJ6,3,FALSE),0),0))&gt;=100,100,(Backdoors!AI12+IF(AR5&gt;=0.45,VLOOKUP(Calculator!E23,tbSkills!DH3:DI6,2,FALSE)+IF(AND(Calculator!B8=TRUE,Backdoors!BI9=TRUE),VLOOKUP(Calculator!E23,tbSkills!DH3:DJ6,3,FALSE),0),0)))/100)),1),1)</f>
        <v>0.4</v>
      </c>
      <c r="AX5" s="87">
        <f t="shared" ref="AX5:AX34" si="38">SUM(AU5:AV5)</f>
        <v>3</v>
      </c>
      <c r="AY5" s="86">
        <f>IFERROR(IF(VLOOKUP(A5,tbMoveset!A2:B112,2,FALSE)="Sever",Backdoors!AY10/100,IF(VLOOKUP(A5,tbMoveset!A2:B112,2,FALSE)="Blunt",Backdoors!AZ10/100,Backdoors!BA10/100)),"")</f>
        <v>0.9</v>
      </c>
      <c r="AZ5" s="49">
        <f>IFERROR(IF(VLOOKUP(tbMoveset!A5,tbMoveset!A2:H112,8,FALSE)="Other",IF(VLOOKUP(tbMoveset!A5,tbMoveset!A2:I112,9,FALSE)="Fire",Backdoors!BB10,IF(VLOOKUP(tbMoveset!A5,tbMoveset!A2:I112,9,FALSE)="Water",Backdoors!BC10,IF(VLOOKUP(tbMoveset!A5,tbMoveset!A2:I112,9,FALSE)="Thunder",Backdoors!BD10,IF(VLOOKUP(tbMoveset!A5,tbMoveset!A2:I112,9,FALSE)="Ice",Backdoors!BE10,IF(VLOOKUP(tbMoveset!A5,tbMoveset!A2:I112,9,FALSE)="Dragon",Backdoors!BF10,Backdoors!BG10)))))/100,Backdoors!BG10/100),"")</f>
        <v>0</v>
      </c>
      <c r="BA5" s="49">
        <f>IFERROR(IF(VLOOKUP(A5,tbMoveset!A2:J112,10,FALSE)=TRUE,IF((Backdoors!AI12+IF(AY5&gt;=0.45,VLOOKUP(Calculator!E23,tbSkills!DH3:DI6,2,FALSE)+IF(AND(Calculator!B8=TRUE,Backdoors!BI10=TRUE),VLOOKUP(Calculator!E23,tbSkills!DH3:DJ6,3,FALSE),0),0))&gt;=0,1+(Backdoors!AL2*(IF((Backdoors!AI12+IF(AY5&gt;=0.45,VLOOKUP(Calculator!E23,tbSkills!DH3:DI6,2,FALSE)+IF(AND(Calculator!B8=TRUE,Backdoors!BI10=TRUE),VLOOKUP(Calculator!E23,tbSkills!DH3:DJ6,3,FALSE),0),0))&gt;=100,100,(Backdoors!AI12+IF(AY5&gt;=0.45,VLOOKUP(Calculator!E23,tbSkills!DH3:DI6,2,FALSE)+IF(AND(Calculator!B8=TRUE,Backdoors!BI10=TRUE),VLOOKUP(Calculator!E23,tbSkills!DH3:DJ6,3,FALSE),0),0)))/100)),(1-(0.25*((-Backdoors!AI12-IF(AY5&gt;=0.45,VLOOKUP(Calculator!E23,tbSkills!DH3:DI6,2,FALSE)+IF(AND(Calculator!B8=TRUE,Backdoors!BI10=TRUE),VLOOKUP(Calculator!E23,tbSkills!DH3:DJ6,3,FALSE),0),0))/100)))),1),"")</f>
        <v>1</v>
      </c>
      <c r="BB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Y5)*BA5)*(VLOOKUP(A5,tbMoveset!A2:C112,3,FALSE)/100)*IF(VLOOKUP(A5,tbMoveset!A2:B112,2,FALSE)="Projectile",Backdoors!N10,Backdoors!N9),0),"")</f>
        <v>7</v>
      </c>
      <c r="BC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Y5&gt;=0.45,VLOOKUP(Calculator!E23,tbSkills!DH3:DI6,2,FALSE)+IF(AND(Calculator!B8=TRUE,Backdoors!BI10=TRUE),VLOOKUP(Calculator!E23,tbSkills!DH3:DJ6,3,FALSE),0),0))&gt;=100,100,(Backdoors!AI12+IF(AY5&gt;=0.45,VLOOKUP(Calculator!E23,tbSkills!DH3:DI6,2,FALSE)+IF(AND(Calculator!B8=TRUE,Backdoors!BI10=TRUE),VLOOKUP(Calculator!E23,tbSkills!DH3:DJ6,3,FALSE),0),0)))/100)),1))*IF(VLOOKUP(A5,tbMoveset!A2:K112,11,FALSE)=TRUE,Backdoors!AC5,1))*AZ5,0),"")</f>
        <v>0</v>
      </c>
      <c r="BD5" s="49">
        <f>VLOOKUP(A5,tbMoveset!A2:G112,7,FALSE)*IFERROR(IF(Backdoors!AI12&gt;=0,1+(IF(Calculator!E40&gt;0,VLOOKUP(Calculator!E40,tbSkills!AI3:AJ5,2,FALSE),Backdoors!AL4)*(IF((Backdoors!AI12+IF(AY5&gt;=0.45,VLOOKUP(Calculator!E23,tbSkills!DH3:DI6,2,FALSE)+IF(AND(Calculator!B8=TRUE,Backdoors!BI10=TRUE),VLOOKUP(Calculator!E23,tbSkills!DH3:DJ6,3,FALSE),0),0))&gt;=100,100,(Backdoors!AI12+IF(AY5&gt;=0.45,VLOOKUP(Calculator!E23,tbSkills!DH3:DI6,2,FALSE)+IF(AND(Calculator!B8=TRUE,Backdoors!BI10=TRUE),VLOOKUP(Calculator!E23,tbSkills!DH3:DJ6,3,FALSE),0),0)))/100)),1),1)</f>
        <v>0.4</v>
      </c>
      <c r="BE5" s="87">
        <f t="shared" si="3"/>
        <v>7</v>
      </c>
      <c r="BF5" s="86" t="str">
        <f>IFERROR(IF(VLOOKUP(A5,tbMoveset!A2:B112,2,FALSE)="Sever",Backdoors!AY11/100,IF(VLOOKUP(A5,tbMoveset!A2:B112,2,FALSE)="Blunt",Backdoors!AZ11/100,Backdoors!BA11/100)),"")</f>
        <v/>
      </c>
      <c r="BG5" s="49">
        <f>IFERROR(IF(VLOOKUP(tbMoveset!A5,tbMoveset!A2:H112,8,FALSE)="Other",IF(VLOOKUP(tbMoveset!A5,tbMoveset!A2:I112,9,FALSE)="Fire",Backdoors!BB11,IF(VLOOKUP(tbMoveset!A5,tbMoveset!A2:I112,9,FALSE)="Water",Backdoors!BC11,IF(VLOOKUP(tbMoveset!A5,tbMoveset!A2:I112,9,FALSE)="Thunder",Backdoors!BD11,IF(VLOOKUP(tbMoveset!A5,tbMoveset!A2:I112,9,FALSE)="Ice",Backdoors!BE11,IF(VLOOKUP(tbMoveset!A5,tbMoveset!A2:I112,9,FALSE)="Dragon",Backdoors!BF11,Backdoors!BG11)))))/100,Backdoors!BG11/100),"")</f>
        <v>0</v>
      </c>
      <c r="BH5" s="49">
        <f>IFERROR(IF(VLOOKUP(A5,tbMoveset!A2:J112,10,FALSE)=TRUE,IF((Backdoors!AI12+IF(BF5&gt;=0.45,VLOOKUP(Calculator!E23,tbSkills!DH3:DI6,2,FALSE)+IF(AND(Calculator!B8=TRUE,Backdoors!BI11=TRUE),VLOOKUP(Calculator!E23,tbSkills!DH3:DJ6,3,FALSE),0),0))&gt;=0,1+(Backdoors!AL2*(IF((Backdoors!AI12+IF(BF5&gt;=0.45,VLOOKUP(Calculator!E23,tbSkills!DH3:DI6,2,FALSE)+IF(AND(Calculator!B8=TRUE,Backdoors!BI11=TRUE),VLOOKUP(Calculator!E23,tbSkills!DH3:DJ6,3,FALSE),0),0))&gt;=100,100,(Backdoors!AI12+IF(BF5&gt;=0.45,VLOOKUP(Calculator!E23,tbSkills!DH3:DI6,2,FALSE)+IF(AND(Calculator!B8=TRUE,Backdoors!BI11=TRUE),VLOOKUP(Calculator!E23,tbSkills!DH3:DJ6,3,FALSE),0),0)))/100)),(1-(0.25*((-Backdoors!AI12-IF(BF5&gt;=0.45,VLOOKUP(Calculator!E23,tbSkills!DH3:DI6,2,FALSE)+IF(AND(Calculator!B8=TRUE,Backdoors!BI11=TRUE),VLOOKUP(Calculator!E23,tbSkills!DH3:DJ6,3,FALSE),0),0))/100)))),1),"")</f>
        <v>1</v>
      </c>
      <c r="BI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F5)*BH5)*(VLOOKUP(A5,tbMoveset!A2:C112,3,FALSE)/100)*IF(VLOOKUP(A5,tbMoveset!A2:B112,2,FALSE)="Projectile",Backdoors!N10,Backdoors!N9),0),"")</f>
        <v/>
      </c>
      <c r="BJ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F5&gt;=0.45,VLOOKUP(Calculator!E23,tbSkills!DH3:DI6,2,FALSE)+IF(AND(Calculator!B8=TRUE,Backdoors!BI11=TRUE),VLOOKUP(Calculator!E23,tbSkills!DH3:DJ6,3,FALSE),0),0))&gt;=100,100,(Backdoors!AI12+IF(BF5&gt;=0.45,VLOOKUP(Calculator!E23,tbSkills!DH3:DI6,2,FALSE)+IF(AND(Calculator!B8=TRUE,Backdoors!BI11=TRUE),VLOOKUP(Calculator!E23,tbSkills!DH3:DJ6,3,FALSE),0),0)))/100)),1))*IF(VLOOKUP(A5,tbMoveset!A2:K112,11,FALSE)=TRUE,Backdoors!AC5,1))*BG5,0),"")</f>
        <v>0</v>
      </c>
      <c r="BK5" s="49">
        <f>VLOOKUP(A5,tbMoveset!A2:G112,7,FALSE)*IFERROR(IF(Backdoors!AI12&gt;=0,1+(IF(Calculator!E40&gt;0,VLOOKUP(Calculator!E40,tbSkills!AI3:AJ5,2,FALSE),Backdoors!AL4)*(IF((Backdoors!AI12+IF(BF5&gt;=0.45,VLOOKUP(Calculator!E23,tbSkills!DH3:DI6,2,FALSE)+IF(AND(Calculator!B8=TRUE,Backdoors!BI11=TRUE),VLOOKUP(Calculator!E23,tbSkills!DH3:DJ6,3,FALSE),0),0))&gt;=100,100,(Backdoors!AI12+IF(BF5&gt;=0.45,VLOOKUP(Calculator!E23,tbSkills!DH3:DI6,2,FALSE)+IF(AND(Calculator!B8=TRUE,Backdoors!BI11=TRUE),VLOOKUP(Calculator!E23,tbSkills!DH3:DJ6,3,FALSE),0),0)))/100)),1),1)</f>
        <v>0.4</v>
      </c>
      <c r="BL5" s="87">
        <f t="shared" si="4"/>
        <v>0</v>
      </c>
      <c r="BM5" s="86" t="str">
        <f>IFERROR(IF(VLOOKUP(A5,tbMoveset!A2:B112,2,FALSE)="Sever",Backdoors!AY12/100,IF(VLOOKUP(A5,tbMoveset!A2:B112,2,FALSE)="Blunt",Backdoors!AZ12/100,Backdoors!BA12/100)),"")</f>
        <v/>
      </c>
      <c r="BN5" s="49">
        <f>IFERROR(IF(VLOOKUP(tbMoveset!A5,tbMoveset!A2:H112,8,FALSE)="Other",IF(VLOOKUP(tbMoveset!A5,tbMoveset!A2:I112,9,FALSE)="Fire",Backdoors!BB12,IF(VLOOKUP(tbMoveset!A5,tbMoveset!A2:I112,9,FALSE)="Water",Backdoors!BC12,IF(VLOOKUP(tbMoveset!A5,tbMoveset!A2:I112,9,FALSE)="Thunder",Backdoors!BD12,IF(VLOOKUP(tbMoveset!A5,tbMoveset!A2:I112,9,FALSE)="Ice",Backdoors!BE12,IF(VLOOKUP(tbMoveset!A5,tbMoveset!A2:I112,9,FALSE)="Dragon",Backdoors!BF12,Backdoors!BG12)))))/100,Backdoors!BG12/100),"")</f>
        <v>0</v>
      </c>
      <c r="BO5" s="49">
        <f>IFERROR(IF(VLOOKUP(A5,tbMoveset!A2:J112,10,FALSE)=TRUE,IF((Backdoors!AI12+IF(BM5&gt;=0.45,VLOOKUP(Calculator!E23,tbSkills!DH3:DI6,2,FALSE)+IF(AND(Calculator!B8=TRUE,Backdoors!BI12=TRUE),VLOOKUP(Calculator!E23,tbSkills!DH3:DJ6,3,FALSE),0),0))&gt;=0,1+(Backdoors!AL2*(IF((Backdoors!AI12+IF(BM5&gt;=0.45,VLOOKUP(Calculator!E23,tbSkills!DH3:DI6,2,FALSE)+IF(AND(Calculator!B8=TRUE,Backdoors!BI12=TRUE),VLOOKUP(Calculator!E23,tbSkills!DH3:DJ6,3,FALSE),0),0))&gt;=100,100,(Backdoors!AI12+IF(BM5&gt;=0.45,VLOOKUP(Calculator!E23,tbSkills!DH3:DI6,2,FALSE)+IF(AND(Calculator!B8=TRUE,Backdoors!BI12=TRUE),VLOOKUP(Calculator!E23,tbSkills!DH3:DJ6,3,FALSE),0),0)))/100)),(1-(0.25*((-Backdoors!AI12-IF(BM5&gt;=0.45,VLOOKUP(Calculator!E23,tbSkills!DH3:DI6,2,FALSE)+IF(AND(Calculator!B8=TRUE,Backdoors!BI12=TRUE),VLOOKUP(Calculator!E23,tbSkills!DH3:DJ6,3,FALSE),0),0))/100)))),1),"")</f>
        <v>1</v>
      </c>
      <c r="BP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M5)*BO5)*(VLOOKUP(A5,tbMoveset!A2:C112,3,FALSE)/100)*IF(VLOOKUP(A5,tbMoveset!A2:B112,2,FALSE)="Projectile",Backdoors!N10,Backdoors!N9),0),"")</f>
        <v/>
      </c>
      <c r="BQ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M5&gt;=0.45,VLOOKUP(Calculator!E23,tbSkills!DH3:DI6,2,FALSE)+IF(AND(Calculator!B8=TRUE,Backdoors!BI12=TRUE),VLOOKUP(Calculator!E23,tbSkills!DH3:DJ6,3,FALSE),0),0))&gt;=100,100,(Backdoors!AI12+IF(BM5&gt;=0.45,VLOOKUP(Calculator!E23,tbSkills!DH3:DI6,2,FALSE)+IF(AND(Calculator!B8=TRUE,Backdoors!BI12=TRUE),VLOOKUP(Calculator!E23,tbSkills!DH3:DJ6,3,FALSE),0),0)))/100)),1))*IF(VLOOKUP(A5,tbMoveset!A2:K112,11,FALSE)=TRUE,Backdoors!AC5,1))*BN5,0),"")</f>
        <v>0</v>
      </c>
      <c r="BR5" s="49">
        <f>VLOOKUP(A5,tbMoveset!A2:G112,7,FALSE)*IFERROR(IF(Backdoors!AI12&gt;=0,1+(IF(Calculator!E40&gt;0,VLOOKUP(Calculator!E40,tbSkills!AI3:AJ5,2,FALSE),Backdoors!AL4)*(IF((Backdoors!AI12+IF(BM5&gt;=0.45,VLOOKUP(Calculator!E23,tbSkills!DH3:DI6,2,FALSE)+IF(AND(Calculator!B8=TRUE,Backdoors!BI12=TRUE),VLOOKUP(Calculator!E23,tbSkills!DH3:DJ6,3,FALSE),0),0))&gt;=100,100,(Backdoors!AI12+IF(BM5&gt;=0.45,VLOOKUP(Calculator!E23,tbSkills!DH3:DI6,2,FALSE)+IF(AND(Calculator!B8=TRUE,Backdoors!BI12=TRUE),VLOOKUP(Calculator!E23,tbSkills!DH3:DJ6,3,FALSE),0),0)))/100)),1),1)</f>
        <v>0.4</v>
      </c>
      <c r="BS5" s="87">
        <f t="shared" ref="BS5:BS66" si="39">SUM(BP5:BQ5)</f>
        <v>0</v>
      </c>
      <c r="BT5" s="86" t="str">
        <f>IFERROR(IF(VLOOKUP(A5,tbMoveset!A2:B112,2,FALSE)="Sever",Backdoors!AY13/100,IF(VLOOKUP(A5,tbMoveset!A2:B112,2,FALSE)="Blunt",Backdoors!AZ13/100,Backdoors!BA13/100)),"")</f>
        <v/>
      </c>
      <c r="BU5" s="49">
        <f>IFERROR(IF(VLOOKUP(tbMoveset!A5,tbMoveset!A2:H112,8,FALSE)="Other",IF(VLOOKUP(tbMoveset!A5,tbMoveset!A2:I112,9,FALSE)="Fire",Backdoors!BB13,IF(VLOOKUP(tbMoveset!A5,tbMoveset!A2:I112,9,FALSE)="Water",Backdoors!BC13,IF(VLOOKUP(tbMoveset!A5,tbMoveset!A2:I112,9,FALSE)="Thunder",Backdoors!BD13,IF(VLOOKUP(tbMoveset!A5,tbMoveset!A2:I112,9,FALSE)="Ice",Backdoors!BE13,IF(VLOOKUP(tbMoveset!A5,tbMoveset!A2:I112,9,FALSE)="Dragon",Backdoors!BF13,Backdoors!BG13)))))/100,Backdoors!BG13/100),"")</f>
        <v>0</v>
      </c>
      <c r="BV5" s="49">
        <f>IFERROR(IF(VLOOKUP(A5,tbMoveset!A2:J112,10,FALSE)=TRUE,IF((Backdoors!AI12+IF(BT5&gt;=0.45,VLOOKUP(Calculator!E23,tbSkills!DH3:DI6,2,FALSE)+IF(AND(Calculator!B8=TRUE,Backdoors!BI13=TRUE),VLOOKUP(Calculator!E23,tbSkills!DH3:DJ6,3,FALSE),0),0))&gt;=0,1+(Backdoors!AL2*(IF((Backdoors!AI12+IF(BT5&gt;=0.45,VLOOKUP(Calculator!E23,tbSkills!DH3:DI6,2,FALSE)+IF(AND(Calculator!B8=TRUE,Backdoors!BI13=TRUE),VLOOKUP(Calculator!E23,tbSkills!DH3:DJ6,3,FALSE),0),0))&gt;=100,100,(Backdoors!AI12+IF(BT5&gt;=0.45,VLOOKUP(Calculator!E23,tbSkills!DH3:DI6,2,FALSE)+IF(AND(Calculator!B8=TRUE,Backdoors!BI13=TRUE),VLOOKUP(Calculator!E23,tbSkills!DH3:DJ6,3,FALSE),0),0)))/100)),(1-(0.25*((-Backdoors!AI12-IF(BT5&gt;=0.45,VLOOKUP(Calculator!E23,tbSkills!DH3:DI6,2,FALSE)+IF(AND(Calculator!B8=TRUE,Backdoors!BI13=TRUE),VLOOKUP(Calculator!E23,tbSkills!DH3:DJ6,3,FALSE),0),0))/100)))),1),"")</f>
        <v>1</v>
      </c>
      <c r="BW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T5)*BV5)*(VLOOKUP(A5,tbMoveset!A2:C112,3,FALSE)/100)*IF(VLOOKUP(A5,tbMoveset!A2:B112,2,FALSE)="Projectile",Backdoors!N10,Backdoors!N9),0),"")</f>
        <v/>
      </c>
      <c r="BX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T5&gt;=0.45,VLOOKUP(Calculator!E23,tbSkills!DH3:DI6,2,FALSE)+IF(AND(Calculator!B8=TRUE,Backdoors!BI13=TRUE),VLOOKUP(Calculator!E23,tbSkills!DH3:DJ6,3,FALSE),0),0))&gt;=100,100,(Backdoors!AI12+IF(BT5&gt;=0.45,VLOOKUP(Calculator!E23,tbSkills!DH3:DI6,2,FALSE)+IF(AND(Calculator!B8=TRUE,Backdoors!BI13=TRUE),VLOOKUP(Calculator!E23,tbSkills!DH3:DJ6,3,FALSE),0),0)))/100)),1))*IF(VLOOKUP(A5,tbMoveset!A2:K112,11,FALSE)=TRUE,Backdoors!AC5,1))*BU5,0),"")</f>
        <v>0</v>
      </c>
      <c r="BY5" s="49">
        <f>VLOOKUP(A5,tbMoveset!A2:G112,7,FALSE)*IFERROR(IF(Backdoors!AI12&gt;=0,1+(IF(Calculator!E40&gt;0,VLOOKUP(Calculator!E40,tbSkills!AI3:AJ5,2,FALSE),Backdoors!AL4)*(IF((Backdoors!AI12+IF(BT5&gt;=0.45,VLOOKUP(Calculator!E23,tbSkills!DH3:DI6,2,FALSE)+IF(AND(Calculator!B8=TRUE,Backdoors!BI13=TRUE),VLOOKUP(Calculator!E23,tbSkills!DH3:DJ6,3,FALSE),0),0))&gt;=100,100,(Backdoors!AI12+IF(BT5&gt;=0.45,VLOOKUP(Calculator!E23,tbSkills!DH3:DI6,2,FALSE)+IF(AND(Calculator!B8=TRUE,Backdoors!BI13=TRUE),VLOOKUP(Calculator!E23,tbSkills!DH3:DJ6,3,FALSE),0),0)))/100)),1),1)</f>
        <v>0.4</v>
      </c>
      <c r="BZ5" s="87">
        <f t="shared" si="5"/>
        <v>0</v>
      </c>
      <c r="CA5" s="86" t="str">
        <f>IFERROR(IF(VLOOKUP(A5,tbMoveset!A2:B112,2,FALSE)="Sever",Backdoors!AY14/100,IF(VLOOKUP(A5,tbMoveset!A2:B112,2,FALSE)="Blunt",Backdoors!AZ14/100,Backdoors!BA14/100)),"")</f>
        <v/>
      </c>
      <c r="CB5" s="49">
        <f>IFERROR(IF(VLOOKUP(tbMoveset!A5,tbMoveset!A2:H112,8,FALSE)="Other",IF(VLOOKUP(tbMoveset!A5,tbMoveset!A2:I112,9,FALSE)="Fire",Backdoors!BB14,IF(VLOOKUP(tbMoveset!A5,tbMoveset!A2:I112,9,FALSE)="Water",Backdoors!BC14,IF(VLOOKUP(tbMoveset!A5,tbMoveset!A2:I112,9,FALSE)="Thunder",Backdoors!BD14,IF(VLOOKUP(tbMoveset!A5,tbMoveset!A2:I112,9,FALSE)="Ice",Backdoors!BE14,IF(VLOOKUP(tbMoveset!A5,tbMoveset!A2:I112,9,FALSE)="Dragon",Backdoors!BF14,Backdoors!BG14)))))/100,Backdoors!BG14/100),"")</f>
        <v>0</v>
      </c>
      <c r="CC5" s="49">
        <f>IFERROR(IF(VLOOKUP(A5,tbMoveset!A2:J112,10,FALSE)=TRUE,IF((Backdoors!AI12+IF(CA5&gt;=0.45,VLOOKUP(Calculator!E23,tbSkills!DH3:DI6,2,FALSE)+IF(AND(Calculator!B8=TRUE,Backdoors!BI14=TRUE),VLOOKUP(Calculator!E23,tbSkills!DH3:DJ6,3,FALSE),0),0))&gt;=0,1+(Backdoors!AL2*(IF((Backdoors!AI12+IF(CA5&gt;=0.45,VLOOKUP(Calculator!E23,tbSkills!DH3:DI6,2,FALSE)+IF(AND(Calculator!B8=TRUE,Backdoors!BI14=TRUE),VLOOKUP(Calculator!E23,tbSkills!DH3:DJ6,3,FALSE),0),0))&gt;=100,100,(Backdoors!AI12+IF(CA5&gt;=0.45,VLOOKUP(Calculator!E23,tbSkills!DH3:DI6,2,FALSE)+IF(AND(Calculator!B8=TRUE,Backdoors!BI14=TRUE),VLOOKUP(Calculator!E23,tbSkills!DH3:DJ6,3,FALSE),0),0)))/100)),(1-(0.25*((-Backdoors!AI12-IF(CA5&gt;=0.45,VLOOKUP(Calculator!E23,tbSkills!DH3:DI6,2,FALSE)+IF(AND(Calculator!B8=TRUE,Backdoors!BI14=TRUE),VLOOKUP(Calculator!E23,tbSkills!DH3:DJ6,3,FALSE),0),0))/100)))),1),"")</f>
        <v>1</v>
      </c>
      <c r="CD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A5)*CC5)*(VLOOKUP(A5,tbMoveset!A2:C112,3,FALSE)/100)*IF(VLOOKUP(A5,tbMoveset!A2:B112,2,FALSE)="Projectile",Backdoors!N10,Backdoors!N9),0),"")</f>
        <v/>
      </c>
      <c r="CE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A5&gt;=0.45,VLOOKUP(Calculator!E23,tbSkills!DH3:DI6,2,FALSE)+IF(AND(Calculator!B8=TRUE,Backdoors!BI14=TRUE),VLOOKUP(Calculator!E23,tbSkills!DH3:DJ6,3,FALSE),0),0))&gt;=100,100,(Backdoors!AI12+IF(CA5&gt;=0.45,VLOOKUP(Calculator!E23,tbSkills!DH3:DI6,2,FALSE)+IF(AND(Calculator!B8=TRUE,Backdoors!BI14=TRUE),VLOOKUP(Calculator!E23,tbSkills!DH3:DJ6,3,FALSE),0),0)))/100)),1))*IF(VLOOKUP(A5,tbMoveset!A2:K112,11,FALSE)=TRUE,Backdoors!AC5,1))*CB5,0),"")</f>
        <v>0</v>
      </c>
      <c r="CF5" s="49">
        <f>VLOOKUP(A5,tbMoveset!A2:G112,7,FALSE)*IFERROR(IF(Backdoors!AI12&gt;=0,1+(IF(Calculator!E40&gt;0,VLOOKUP(Calculator!E40,tbSkills!AI3:AJ5,2,FALSE),Backdoors!AL4)*(IF((Backdoors!AI12+IF(CA5&gt;=0.45,VLOOKUP(Calculator!E23,tbSkills!DH3:DI6,2,FALSE)+IF(AND(Calculator!B8=TRUE,Backdoors!BI14=TRUE),VLOOKUP(Calculator!E23,tbSkills!DH3:DJ6,3,FALSE),0),0))&gt;=100,100,(Backdoors!AI12+IF(CA5&gt;=0.45,VLOOKUP(Calculator!E23,tbSkills!DH3:DI6,2,FALSE)+IF(AND(Calculator!B8=TRUE,Backdoors!BI14=TRUE),VLOOKUP(Calculator!E23,tbSkills!DH3:DJ6,3,FALSE),0),0)))/100)),1),1)</f>
        <v>0.4</v>
      </c>
      <c r="CG5" s="87">
        <f t="shared" si="6"/>
        <v>0</v>
      </c>
      <c r="CH5" s="86" t="str">
        <f>IFERROR(IF(VLOOKUP(A5,tbMoveset!A2:B112,2,FALSE)="Sever",Backdoors!AY15/100,IF(VLOOKUP(A5,tbMoveset!A2:B112,2,FALSE)="Blunt",Backdoors!AZ15/100,Backdoors!BA15/100)),"")</f>
        <v/>
      </c>
      <c r="CI5" s="49">
        <f>IFERROR(IF(VLOOKUP(tbMoveset!A5,tbMoveset!A2:H112,8,FALSE)="Other",IF(VLOOKUP(tbMoveset!A5,tbMoveset!A2:I112,9,FALSE)="Fire",Backdoors!BB15,IF(VLOOKUP(tbMoveset!A5,tbMoveset!A2:I112,9,FALSE)="Water",Backdoors!BC15,IF(VLOOKUP(tbMoveset!A5,tbMoveset!A2:I112,9,FALSE)="Thunder",Backdoors!BD15,IF(VLOOKUP(tbMoveset!A5,tbMoveset!A2:I112,9,FALSE)="Ice",Backdoors!BE15,IF(VLOOKUP(tbMoveset!A5,tbMoveset!A2:I112,9,FALSE)="Dragon",Backdoors!BF15,Backdoors!BG15)))))/100,Backdoors!BG15/100),"")</f>
        <v>0</v>
      </c>
      <c r="CJ5" s="49">
        <f>IFERROR(IF(VLOOKUP(A5,tbMoveset!A2:J112,10,FALSE)=TRUE,IF((Backdoors!AI12+IF(CH5&gt;=0.45,VLOOKUP(Calculator!E23,tbSkills!DH3:DI6,2,FALSE)+IF(AND(Calculator!B8=TRUE,Backdoors!BI15=TRUE),VLOOKUP(Calculator!E23,tbSkills!DH3:DJ6,3,FALSE),0),0))&gt;=0,1+(Backdoors!AL2*(IF((Backdoors!AI12+IF(CH5&gt;=0.45,VLOOKUP(Calculator!E23,tbSkills!DH3:DI6,2,FALSE)+IF(AND(Calculator!B8=TRUE,Backdoors!BI15=TRUE),VLOOKUP(Calculator!E23,tbSkills!DH3:DJ6,3,FALSE),0),0))&gt;=100,100,(Backdoors!AI12+IF(CH5&gt;=0.45,VLOOKUP(Calculator!E23,tbSkills!DH3:DI6,2,FALSE)+IF(AND(Calculator!B8=TRUE,Backdoors!BI15=TRUE),VLOOKUP(Calculator!E23,tbSkills!DH3:DJ6,3,FALSE),0),0)))/100)),(1-(0.25*((-Backdoors!AI12-IF(CH5&gt;=0.45,VLOOKUP(Calculator!E23,tbSkills!DH3:DI6,2,FALSE)+IF(AND(Calculator!B8=TRUE,Backdoors!BI15=TRUE),VLOOKUP(Calculator!E23,tbSkills!DH3:DJ6,3,FALSE),0),0))/100)))),1),"")</f>
        <v>1</v>
      </c>
      <c r="CK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H5)*CJ5)*(VLOOKUP(A5,tbMoveset!A2:C112,3,FALSE)/100)*IF(VLOOKUP(A5,tbMoveset!A2:B112,2,FALSE)="Projectile",Backdoors!N10,Backdoors!N9),0),"")</f>
        <v/>
      </c>
      <c r="CL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H5&gt;=0.45,VLOOKUP(Calculator!E23,tbSkills!DH3:DI6,2,FALSE)+IF(AND(Calculator!B8=TRUE,Backdoors!BI15=TRUE),VLOOKUP(Calculator!E23,tbSkills!DH3:DJ6,3,FALSE),0),0))&gt;=100,100,(Backdoors!AI12+IF(CH5&gt;=0.45,VLOOKUP(Calculator!E23,tbSkills!DH3:DI6,2,FALSE)+IF(AND(Calculator!B8=TRUE,Backdoors!BI15=TRUE),VLOOKUP(Calculator!E23,tbSkills!DH3:DJ6,3,FALSE),0),0)))/100)),1))*IF(VLOOKUP(A5,tbMoveset!A2:K112,11,FALSE)=TRUE,Backdoors!AC5,1))*CI5,0),"")</f>
        <v>0</v>
      </c>
      <c r="CM5" s="49">
        <f>VLOOKUP(A5,tbMoveset!A2:G112,7,FALSE)*IFERROR(IF(Backdoors!AI12&gt;=0,1+(IF(Calculator!E40&gt;0,VLOOKUP(Calculator!E40,tbSkills!AI3:AJ5,2,FALSE),Backdoors!AL4)*(IF((Backdoors!AI12+IF(CH5&gt;=0.45,VLOOKUP(Calculator!E23,tbSkills!DH3:DI6,2,FALSE)+IF(AND(Calculator!B8=TRUE,Backdoors!BI15=TRUE),VLOOKUP(Calculator!E23,tbSkills!DH3:DJ6,3,FALSE),0),0))&gt;=100,100,(Backdoors!AI12+IF(CH5&gt;=0.45,VLOOKUP(Calculator!E23,tbSkills!DH3:DI6,2,FALSE)+IF(AND(Calculator!B8=TRUE,Backdoors!BI15=TRUE),VLOOKUP(Calculator!E23,tbSkills!DH3:DJ6,3,FALSE),0),0)))/100)),1),1)</f>
        <v>0.4</v>
      </c>
      <c r="CN5" s="87">
        <f t="shared" si="7"/>
        <v>0</v>
      </c>
      <c r="CO5" s="86" t="str">
        <f>IFERROR(IF(VLOOKUP(A5,tbMoveset!A2:B112,2,FALSE)="Sever",Backdoors!AY16/100,IF(VLOOKUP(A5,tbMoveset!A2:B112,2,FALSE)="Blunt",Backdoors!AZ16/100,Backdoors!BA16/100)),"")</f>
        <v/>
      </c>
      <c r="CP5" s="49">
        <f>IFERROR(IF(VLOOKUP(tbMoveset!A5,tbMoveset!A2:H112,8,FALSE)="Other",IF(VLOOKUP(tbMoveset!A5,tbMoveset!A2:I112,9,FALSE)="Fire",Backdoors!BB16,IF(VLOOKUP(tbMoveset!A5,tbMoveset!A2:I112,9,FALSE)="Water",Backdoors!BC16,IF(VLOOKUP(tbMoveset!A5,tbMoveset!A2:I112,9,FALSE)="Thunder",Backdoors!BD16,IF(VLOOKUP(tbMoveset!A5,tbMoveset!A2:I112,9,FALSE)="Ice",Backdoors!BE16,IF(VLOOKUP(tbMoveset!A5,tbMoveset!A2:I112,9,FALSE)="Dragon",Backdoors!BF16,Backdoors!BG16)))))/100,Backdoors!BG16/100),"")</f>
        <v>0</v>
      </c>
      <c r="CQ5" s="49">
        <f>IFERROR(IF(VLOOKUP(A5,tbMoveset!A2:J112,10,FALSE)=TRUE,IF((Backdoors!AI12+IF(CO5&gt;=0.45,VLOOKUP(Calculator!E23,tbSkills!DH3:DI6,2,FALSE)+IF(AND(Calculator!B8=TRUE,Backdoors!BI16=TRUE),VLOOKUP(Calculator!E23,tbSkills!DH3:DJ6,3,FALSE),0),0))&gt;=0,1+(Backdoors!AL2*(IF((Backdoors!AI12+IF(CO5&gt;=0.45,VLOOKUP(Calculator!E23,tbSkills!DH3:DI6,2,FALSE)+IF(AND(Calculator!B8=TRUE,Backdoors!BI16=TRUE),VLOOKUP(Calculator!E23,tbSkills!DH3:DJ6,3,FALSE),0),0))&gt;=100,100,(Backdoors!AI12+IF(CO5&gt;=0.45,VLOOKUP(Calculator!E23,tbSkills!DH3:DI6,2,FALSE)+IF(AND(Calculator!B8=TRUE,Backdoors!BI16=TRUE),VLOOKUP(Calculator!E23,tbSkills!DH3:DJ6,3,FALSE),0),0)))/100)),(1-(0.25*((-Backdoors!AI12-IF(CO5&gt;=0.45,VLOOKUP(Calculator!E23,tbSkills!DH3:DI6,2,FALSE)+IF(AND(Calculator!B8=TRUE,Backdoors!BI16=TRUE),VLOOKUP(Calculator!E23,tbSkills!DH3:DJ6,3,FALSE),0),0))/100)))),1),"")</f>
        <v>1</v>
      </c>
      <c r="CR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O5)*CQ5)*(VLOOKUP(A5,tbMoveset!A2:C112,3,FALSE)/100)*IF(VLOOKUP(A5,tbMoveset!A2:B112,2,FALSE)="Projectile",Backdoors!N10,Backdoors!N9),0),"")</f>
        <v/>
      </c>
      <c r="CS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O5&gt;=0.45,VLOOKUP(Calculator!E23,tbSkills!DH3:DI6,2,FALSE)+IF(AND(Calculator!B8=TRUE,Backdoors!BI16=TRUE),VLOOKUP(Calculator!E23,tbSkills!DH3:DJ6,3,FALSE),0),0))&gt;=100,100,(Backdoors!AI12+IF(CO5&gt;=0.45,VLOOKUP(Calculator!E23,tbSkills!DH3:DI6,2,FALSE)+IF(AND(Calculator!B8=TRUE,Backdoors!BI16=TRUE),VLOOKUP(Calculator!E23,tbSkills!DH3:DJ6,3,FALSE),0),0)))/100)),1))*IF(VLOOKUP(A5,tbMoveset!A2:K112,11,FALSE)=TRUE,Backdoors!AC5,1))*CP5,0),"")</f>
        <v>0</v>
      </c>
      <c r="CT5" s="49">
        <f>VLOOKUP(A5,tbMoveset!A2:G112,7,FALSE)*IFERROR(IF(Backdoors!AI12&gt;=0,1+(IF(Calculator!E40&gt;0,VLOOKUP(Calculator!E40,tbSkills!AI3:AJ5,2,FALSE),Backdoors!AL4)*(IF((Backdoors!AI12+IF(CO5&gt;=0.45,VLOOKUP(Calculator!E23,tbSkills!DH3:DI6,2,FALSE)+IF(AND(Calculator!B8=TRUE,Backdoors!BI16=TRUE),VLOOKUP(Calculator!E23,tbSkills!DH3:DJ6,3,FALSE),0),0))&gt;=100,100,(Backdoors!AI12+IF(CO5&gt;=0.45,VLOOKUP(Calculator!E23,tbSkills!DH3:DI6,2,FALSE)+IF(AND(Calculator!B8=TRUE,Backdoors!BI16=TRUE),VLOOKUP(Calculator!E23,tbSkills!DH3:DJ6,3,FALSE),0),0)))/100)),1),1)</f>
        <v>0.4</v>
      </c>
      <c r="CU5" s="87">
        <f t="shared" ref="CU5:CU67" si="40">SUM(CR5:CS5)</f>
        <v>0</v>
      </c>
      <c r="CV5" s="86" t="str">
        <f>IFERROR(IF(VLOOKUP(A5,tbMoveset!A2:B112,2,FALSE)="Sever",Backdoors!AY17/100,IF(VLOOKUP(A5,tbMoveset!A2:B112,2,FALSE)="Blunt",Backdoors!AZ17/100,Backdoors!BA17/100)),"")</f>
        <v/>
      </c>
      <c r="CW5" s="49">
        <f>IFERROR(IF(VLOOKUP(tbMoveset!A5,tbMoveset!A2:H112,8,FALSE)="Other",IF(VLOOKUP(tbMoveset!A5,tbMoveset!A2:I112,9,FALSE)="Fire",Backdoors!BB17,IF(VLOOKUP(tbMoveset!A5,tbMoveset!A2:I112,9,FALSE)="Water",Backdoors!BC17,IF(VLOOKUP(tbMoveset!A5,tbMoveset!A2:I112,9,FALSE)="Thunder",Backdoors!BD17,IF(VLOOKUP(tbMoveset!A5,tbMoveset!A2:I112,9,FALSE)="Ice",Backdoors!BE17,IF(VLOOKUP(tbMoveset!A5,tbMoveset!A2:I112,9,FALSE)="Dragon",Backdoors!BF17,Backdoors!BG17)))))/100,Backdoors!BG17/100),"")</f>
        <v>0</v>
      </c>
      <c r="CX5" s="49">
        <f>IFERROR(IF(VLOOKUP(A5,tbMoveset!A2:J112,10,FALSE)=TRUE,IF((Backdoors!AI12+IF(CV5&gt;=0.45,VLOOKUP(Calculator!E23,tbSkills!DH3:DI6,2,FALSE)+IF(AND(Calculator!B8=TRUE,Backdoors!BI17=TRUE),VLOOKUP(Calculator!E23,tbSkills!DH3:DJ6,3,FALSE),0),0))&gt;=0,1+(Backdoors!AL2*(IF((Backdoors!AI12+IF(CV5&gt;=0.45,VLOOKUP(Calculator!E23,tbSkills!DH3:DI6,2,FALSE)+IF(AND(Calculator!B8=TRUE,Backdoors!BI17=TRUE),VLOOKUP(Calculator!E23,tbSkills!DH3:DJ6,3,FALSE),0),0))&gt;=100,100,(Backdoors!AI12+IF(CV5&gt;=0.45,VLOOKUP(Calculator!E23,tbSkills!DH3:DI6,2,FALSE)+IF(AND(Calculator!B8=TRUE,Backdoors!BI17=TRUE),VLOOKUP(Calculator!E23,tbSkills!DH3:DJ6,3,FALSE),0),0)))/100)),(1-(0.25*((-Backdoors!AI12-IF(CV5&gt;=0.45,VLOOKUP(Calculator!E23,tbSkills!DH3:DI6,2,FALSE)+IF(AND(Calculator!B8=TRUE,Backdoors!BI17=TRUE),VLOOKUP(Calculator!E23,tbSkills!DH3:DJ6,3,FALSE),0),0))/100)))),1),"")</f>
        <v>1</v>
      </c>
      <c r="CY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V5)*CX5)*(VLOOKUP(A5,tbMoveset!A2:C112,3,FALSE)/100)*IF(VLOOKUP(A5,tbMoveset!A2:B112,2,FALSE)="Projectile",Backdoors!N10,Backdoors!N9),0),"")</f>
        <v/>
      </c>
      <c r="CZ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V5&gt;=0.45,VLOOKUP(Calculator!E23,tbSkills!DH3:DI6,2,FALSE)+IF(AND(Calculator!B8=TRUE,Backdoors!BI17=TRUE),VLOOKUP(Calculator!E23,tbSkills!DH3:DJ6,3,FALSE),0),0))&gt;=100,100,(Backdoors!AI12+IF(CV5&gt;=0.45,VLOOKUP(Calculator!E23,tbSkills!DH3:DI6,2,FALSE)+IF(AND(Calculator!B8=TRUE,Backdoors!BI17=TRUE),VLOOKUP(Calculator!E23,tbSkills!DH3:DJ6,3,FALSE),0),0)))/100)),1))*IF(VLOOKUP(A5,tbMoveset!A2:K112,11,FALSE)=TRUE,Backdoors!AC5,1))*CW5,0),"")</f>
        <v>0</v>
      </c>
      <c r="DA5" s="49">
        <f>VLOOKUP(A5,tbMoveset!A2:G112,7,FALSE)*IFERROR(IF(Backdoors!AI12&gt;=0,1+(IF(Calculator!E40&gt;0,VLOOKUP(Calculator!E40,tbSkills!AI3:AJ5,2,FALSE),Backdoors!AL4)*(IF((Backdoors!AI12+IF(CV5&gt;=0.45,VLOOKUP(Calculator!E23,tbSkills!DH3:DI6,2,FALSE)+IF(AND(Calculator!B8=TRUE,Backdoors!BI17=TRUE),VLOOKUP(Calculator!E23,tbSkills!DH3:DJ6,3,FALSE),0),0))&gt;=100,100,(Backdoors!AI12+IF(CV5&gt;=0.45,VLOOKUP(Calculator!E23,tbSkills!DH3:DI6,2,FALSE)+IF(AND(Calculator!B8=TRUE,Backdoors!BI17=TRUE),VLOOKUP(Calculator!E23,tbSkills!DH3:DJ6,3,FALSE),0),0)))/100)),1),1)</f>
        <v>0.4</v>
      </c>
      <c r="DB5" s="87">
        <f t="shared" si="8"/>
        <v>0</v>
      </c>
      <c r="DC5" s="86" t="str">
        <f>IFERROR(IF(VLOOKUP(A5,tbMoveset!A2:B112,2,FALSE)="Sever",Backdoors!AY18/100,IF(VLOOKUP(A5,tbMoveset!A2:B112,2,FALSE)="Blunt",Backdoors!AZ18/100,Backdoors!BA18/100)),"")</f>
        <v/>
      </c>
      <c r="DD5" s="49">
        <f>IFERROR(IF(VLOOKUP(tbMoveset!A5,tbMoveset!A2:H112,8,FALSE)="Other",IF(VLOOKUP(tbMoveset!A5,tbMoveset!A2:I112,9,FALSE)="Fire",Backdoors!BB18,IF(VLOOKUP(tbMoveset!A5,tbMoveset!A2:I112,9,FALSE)="Water",Backdoors!BC18,IF(VLOOKUP(tbMoveset!A5,tbMoveset!A2:I112,9,FALSE)="Thunder",Backdoors!BD18,IF(VLOOKUP(tbMoveset!A5,tbMoveset!A2:I112,9,FALSE)="Ice",Backdoors!BE18,IF(VLOOKUP(tbMoveset!A5,tbMoveset!A2:I112,9,FALSE)="Dragon",Backdoors!BF18,Backdoors!BG18)))))/100,Backdoors!BG18/100),"")</f>
        <v>0</v>
      </c>
      <c r="DE5" s="49">
        <f>IFERROR(IF(VLOOKUP(A5,tbMoveset!A2:J112,10,FALSE)=TRUE,IF((Backdoors!AI12+IF(DC5&gt;=0.45,VLOOKUP(Calculator!E23,tbSkills!DH3:DI6,2,FALSE)+IF(AND(Calculator!B8=TRUE,Backdoors!BI18=TRUE),VLOOKUP(Calculator!E23,tbSkills!DH3:DJ6,3,FALSE),0),0))&gt;=0,1+(Backdoors!AL2*(IF((Backdoors!AI12+IF(DC5&gt;=0.45,VLOOKUP(Calculator!E23,tbSkills!DH3:DI6,2,FALSE)+IF(AND(Calculator!B8=TRUE,Backdoors!BI18=TRUE),VLOOKUP(Calculator!E23,tbSkills!DH3:DJ6,3,FALSE),0),0))&gt;=100,100,(Backdoors!AI12+IF(DC5&gt;=0.45,VLOOKUP(Calculator!E23,tbSkills!DH3:DI6,2,FALSE)+IF(AND(Calculator!B8=TRUE,Backdoors!BI18=TRUE),VLOOKUP(Calculator!E23,tbSkills!DH3:DJ6,3,FALSE),0),0)))/100)),(1-(0.25*((-Backdoors!AI12-IF(DC5&gt;=0.45,VLOOKUP(Calculator!E23,tbSkills!DH3:DI6,2,FALSE)+IF(AND(Calculator!B8=TRUE,Backdoors!BI18=TRUE),VLOOKUP(Calculator!E23,tbSkills!DH3:DJ6,3,FALSE),0),0))/100)))),1),"")</f>
        <v>1</v>
      </c>
      <c r="DF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C5)*DE5)*(VLOOKUP(A5,tbMoveset!A2:C112,3,FALSE)/100)*IF(VLOOKUP(A5,tbMoveset!A2:B112,2,FALSE)="Projectile",Backdoors!N10,Backdoors!N9),0),"")</f>
        <v/>
      </c>
      <c r="DG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C5&gt;=0.45,VLOOKUP(Calculator!E23,tbSkills!DH3:DI6,2,FALSE)+IF(AND(Calculator!B8=TRUE,Backdoors!BI18=TRUE),VLOOKUP(Calculator!E23,tbSkills!DH3:DJ6,3,FALSE),0),0))&gt;=100,100,(Backdoors!AI12+IF(DC5&gt;=0.45,VLOOKUP(Calculator!E23,tbSkills!DH3:DI6,2,FALSE)+IF(AND(Calculator!B8=TRUE,Backdoors!BI18=TRUE),VLOOKUP(Calculator!E23,tbSkills!DH3:DJ6,3,FALSE),0),0)))/100)),1))*IF(VLOOKUP(A5,tbMoveset!A2:K112,11,FALSE)=TRUE,Backdoors!AC5,1))*DD5,0),"")</f>
        <v>0</v>
      </c>
      <c r="DH5" s="49">
        <f>VLOOKUP(A5,tbMoveset!A2:G112,7,FALSE)*IFERROR(IF(Backdoors!AI12&gt;=0,1+(IF(Calculator!E40&gt;0,VLOOKUP(Calculator!E40,tbSkills!AI3:AJ5,2,FALSE),Backdoors!AL4)*(IF((Backdoors!AI12+IF(DC5&gt;=0.45,VLOOKUP(Calculator!E23,tbSkills!DH3:DI6,2,FALSE)+IF(AND(Calculator!B8=TRUE,Backdoors!BI18=TRUE),VLOOKUP(Calculator!E23,tbSkills!DH3:DJ6,3,FALSE),0),0))&gt;=100,100,(Backdoors!AI12+IF(DC5&gt;=0.45,VLOOKUP(Calculator!E23,tbSkills!DH3:DI6,2,FALSE)+IF(AND(Calculator!B8=TRUE,Backdoors!BI18=TRUE),VLOOKUP(Calculator!E23,tbSkills!DH3:DJ6,3,FALSE),0),0)))/100)),1),1)</f>
        <v>0.4</v>
      </c>
      <c r="DI5" s="87">
        <f t="shared" si="9"/>
        <v>0</v>
      </c>
      <c r="DJ5" s="86" t="str">
        <f>IFERROR(IF(VLOOKUP(A5,tbMoveset!A2:B112,2,FALSE)="Sever",Backdoors!AY19/100,IF(VLOOKUP(A5,tbMoveset!A2:B112,2,FALSE)="Blunt",Backdoors!AZ19/100,Backdoors!BA19/100)),"")</f>
        <v/>
      </c>
      <c r="DK5" s="49">
        <f>IFERROR(IF(VLOOKUP(tbMoveset!A5,tbMoveset!A2:H112,8,FALSE)="Other",IF(VLOOKUP(tbMoveset!A5,tbMoveset!A2:I112,9,FALSE)="Fire",Backdoors!BB19,IF(VLOOKUP(tbMoveset!A5,tbMoveset!A2:I112,9,FALSE)="Water",Backdoors!BC19,IF(VLOOKUP(tbMoveset!A5,tbMoveset!A2:I112,9,FALSE)="Thunder",Backdoors!BD19,IF(VLOOKUP(tbMoveset!A5,tbMoveset!A2:I112,9,FALSE)="Ice",Backdoors!BE19,IF(VLOOKUP(tbMoveset!A5,tbMoveset!A2:I112,9,FALSE)="Dragon",Backdoors!BF19,Backdoors!BG19)))))/100,Backdoors!BG19/100),"")</f>
        <v>0</v>
      </c>
      <c r="DL5" s="49">
        <f>IFERROR(IF(VLOOKUP(A5,tbMoveset!A2:J112,10,FALSE)=TRUE,IF((Backdoors!AI12+IF(DJ5&gt;=0.45,VLOOKUP(Calculator!E23,tbSkills!DH3:DI6,2,FALSE)+IF(AND(Calculator!B8=TRUE,Backdoors!BI19=TRUE),VLOOKUP(Calculator!E23,tbSkills!DH3:DJ6,3,FALSE),0),0))&gt;=0,1+(Backdoors!AL2*(IF((Backdoors!AI12+IF(DJ5&gt;=0.45,VLOOKUP(Calculator!E23,tbSkills!DH3:DI6,2,FALSE)+IF(AND(Calculator!B8=TRUE,Backdoors!BI19=TRUE),VLOOKUP(Calculator!E23,tbSkills!DH3:DJ6,3,FALSE),0),0))&gt;=100,100,(Backdoors!AI12+IF(DJ5&gt;=0.45,VLOOKUP(Calculator!E23,tbSkills!DH3:DI6,2,FALSE)+IF(AND(Calculator!B8=TRUE,Backdoors!BI19=TRUE),VLOOKUP(Calculator!E23,tbSkills!DH3:DJ6,3,FALSE),0),0)))/100)),(1-(0.25*((-Backdoors!AI12-IF(DJ5&gt;=0.45,VLOOKUP(Calculator!E23,tbSkills!DH3:DI6,2,FALSE)+IF(AND(Calculator!B8=TRUE,Backdoors!BI19=TRUE),VLOOKUP(Calculator!E23,tbSkills!DH3:DJ6,3,FALSE),0),0))/100)))),1),"")</f>
        <v>1</v>
      </c>
      <c r="DM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J5)*DL5)*(VLOOKUP(A5,tbMoveset!A2:C112,3,FALSE)/100)*IF(VLOOKUP(A5,tbMoveset!A2:B112,2,FALSE)="Projectile",Backdoors!N10,Backdoors!N9),0),"")</f>
        <v/>
      </c>
      <c r="DN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J5&gt;=0.45,VLOOKUP(Calculator!E23,tbSkills!DH3:DI6,2,FALSE)+IF(AND(Calculator!B8=TRUE,Backdoors!BI19=TRUE),VLOOKUP(Calculator!E23,tbSkills!DH3:DJ6,3,FALSE),0),0))&gt;=100,100,(Backdoors!AI12+IF(DJ5&gt;=0.45,VLOOKUP(Calculator!E23,tbSkills!DH3:DI6,2,FALSE)+IF(AND(Calculator!B8=TRUE,Backdoors!BI19=TRUE),VLOOKUP(Calculator!E23,tbSkills!DH3:DJ6,3,FALSE),0),0)))/100)),1))*IF(VLOOKUP(A5,tbMoveset!A2:K112,11,FALSE)=TRUE,Backdoors!AC5,1))*DK5,0),"")</f>
        <v>0</v>
      </c>
      <c r="DO5" s="49">
        <f>VLOOKUP(A5,tbMoveset!A2:G112,7,FALSE)*IFERROR(IF(Backdoors!AI12&gt;=0,1+(IF(Calculator!E40&gt;0,VLOOKUP(Calculator!E40,tbSkills!AI3:AJ5,2,FALSE),Backdoors!AL4)*(IF((Backdoors!AI12+IF(DJ5&gt;=0.45,VLOOKUP(Calculator!E23,tbSkills!DH3:DI6,2,FALSE)+IF(AND(Calculator!B8=TRUE,Backdoors!BI19=TRUE),VLOOKUP(Calculator!E23,tbSkills!DH3:DJ6,3,FALSE),0),0))&gt;=100,100,(Backdoors!AI12+IF(DJ5&gt;=0.45,VLOOKUP(Calculator!E23,tbSkills!DH3:DI6,2,FALSE)+IF(AND(Calculator!B8=TRUE,Backdoors!BI19=TRUE),VLOOKUP(Calculator!E23,tbSkills!DH3:DJ6,3,FALSE),0),0)))/100)),1),1)</f>
        <v>0.4</v>
      </c>
      <c r="DP5" s="87">
        <f t="shared" ref="DP5:DP67" si="41">SUM(DM5:DN5)</f>
        <v>0</v>
      </c>
      <c r="DQ5" s="86" t="str">
        <f>IFERROR(IF(VLOOKUP(A5,tbMoveset!A2:B112,2,FALSE)="Sever",Backdoors!AY20/100,IF(VLOOKUP(A5,tbMoveset!A2:B112,2,FALSE)="Blunt",Backdoors!AZ20/100,Backdoors!BA20/100)),"")</f>
        <v/>
      </c>
      <c r="DR5" s="49">
        <f>IFERROR(IF(VLOOKUP(tbMoveset!A5,tbMoveset!A2:H112,8,FALSE)="Other",IF(VLOOKUP(tbMoveset!A5,tbMoveset!A2:I112,9,FALSE)="Fire",Backdoors!BB20,IF(VLOOKUP(tbMoveset!A5,tbMoveset!A2:I112,9,FALSE)="Water",Backdoors!BC20,IF(VLOOKUP(tbMoveset!A5,tbMoveset!A2:I112,9,FALSE)="Thunder",Backdoors!BD20,IF(VLOOKUP(tbMoveset!A5,tbMoveset!A2:I112,9,FALSE)="Ice",Backdoors!BE20,IF(VLOOKUP(tbMoveset!A5,tbMoveset!A2:I112,9,FALSE)="Dragon",Backdoors!BF20,Backdoors!BG20)))))/100,Backdoors!BG20/100),"")</f>
        <v>0</v>
      </c>
      <c r="DS5" s="49">
        <f>IFERROR(IF(VLOOKUP(A5,tbMoveset!A2:J112,10,FALSE)=TRUE,IF((Backdoors!AI12+IF(DQ5&gt;=0.45,VLOOKUP(Calculator!E23,tbSkills!DH3:DI6,2,FALSE)+IF(AND(Calculator!B8=TRUE,Backdoors!BI20=TRUE),VLOOKUP(Calculator!E23,tbSkills!DH3:DJ6,3,FALSE),0),0))&gt;=0,1+(Backdoors!AL2*(IF((Backdoors!AI12+IF(DQ5&gt;=0.45,VLOOKUP(Calculator!E23,tbSkills!DH3:DI6,2,FALSE)+IF(AND(Calculator!B8=TRUE,Backdoors!BI20=TRUE),VLOOKUP(Calculator!E23,tbSkills!DH3:DJ6,3,FALSE),0),0))&gt;=100,100,(Backdoors!AI12+IF(DQ5&gt;=0.45,VLOOKUP(Calculator!E23,tbSkills!DH3:DI6,2,FALSE)+IF(AND(Calculator!B8=TRUE,Backdoors!BI20=TRUE),VLOOKUP(Calculator!E23,tbSkills!DH3:DJ6,3,FALSE),0),0)))/100)),(1-(0.25*((-Backdoors!AI12-IF(DQ5&gt;=0.45,VLOOKUP(Calculator!E23,tbSkills!DH3:DI6,2,FALSE)+IF(AND(Calculator!B8=TRUE,Backdoors!BI20=TRUE),VLOOKUP(Calculator!E23,tbSkills!DH3:DJ6,3,FALSE),0),0))/100)))),1),"")</f>
        <v>1</v>
      </c>
      <c r="DT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Q5)*DS5)*(VLOOKUP(A5,tbMoveset!A2:C112,3,FALSE)/100)*IF(VLOOKUP(A5,tbMoveset!A2:B112,2,FALSE)="Projectile",Backdoors!N10,Backdoors!N9),0),"")</f>
        <v/>
      </c>
      <c r="DU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Q5&gt;=0.45,VLOOKUP(Calculator!E23,tbSkills!DH3:DI6,2,FALSE)+IF(AND(Calculator!B8=TRUE,Backdoors!BI20=TRUE),VLOOKUP(Calculator!E23,tbSkills!DH3:DJ6,3,FALSE),0),0))&gt;=100,100,(Backdoors!AI12+IF(DQ5&gt;=0.45,VLOOKUP(Calculator!E23,tbSkills!DH3:DI6,2,FALSE)+IF(AND(Calculator!B8=TRUE,Backdoors!BI20=TRUE),VLOOKUP(Calculator!E23,tbSkills!DH3:DJ6,3,FALSE),0),0)))/100)),1))*IF(VLOOKUP(A5,tbMoveset!A2:K112,11,FALSE)=TRUE,Backdoors!AC5,1))*DR5,0),"")</f>
        <v>0</v>
      </c>
      <c r="DV5" s="49">
        <f>VLOOKUP(A5,tbMoveset!A2:G112,7,FALSE)*IFERROR(IF(Backdoors!AI12&gt;=0,1+(IF(Calculator!E40&gt;0,VLOOKUP(Calculator!E40,tbSkills!AI3:AJ5,2,FALSE),Backdoors!AL4)*(IF((Backdoors!AI12+IF(DQ5&gt;=0.45,VLOOKUP(Calculator!E23,tbSkills!DH3:DI6,2,FALSE)+IF(AND(Calculator!B8=TRUE,Backdoors!BI20=TRUE),VLOOKUP(Calculator!E23,tbSkills!DH3:DJ6,3,FALSE),0),0))&gt;=100,100,(Backdoors!AI12+IF(DQ5&gt;=0.45,VLOOKUP(Calculator!E23,tbSkills!DH3:DI6,2,FALSE)+IF(AND(Calculator!B8=TRUE,Backdoors!BI20=TRUE),VLOOKUP(Calculator!E23,tbSkills!DH3:DJ6,3,FALSE),0),0)))/100)),1),1)</f>
        <v>0.4</v>
      </c>
      <c r="DW5" s="87">
        <f t="shared" si="10"/>
        <v>0</v>
      </c>
      <c r="DX5" s="86" t="str">
        <f>IFERROR(IF(VLOOKUP(A5,tbMoveset!A2:B112,2,FALSE)="Sever",Backdoors!AY21/100,IF(VLOOKUP(A5,tbMoveset!A2:B112,2,FALSE)="Blunt",Backdoors!AZ21/100,Backdoors!BA21/100)),"")</f>
        <v/>
      </c>
      <c r="DY5" s="49">
        <f>IFERROR(IF(VLOOKUP(tbMoveset!A5,tbMoveset!A2:H112,8,FALSE)="Other",IF(VLOOKUP(tbMoveset!A5,tbMoveset!A2:I112,9,FALSE)="Fire",Backdoors!BB21,IF(VLOOKUP(tbMoveset!A5,tbMoveset!A2:I112,9,FALSE)="Water",Backdoors!BC21,IF(VLOOKUP(tbMoveset!A5,tbMoveset!A2:I112,9,FALSE)="Thunder",Backdoors!BD21,IF(VLOOKUP(tbMoveset!A5,tbMoveset!A2:I112,9,FALSE)="Ice",Backdoors!BE21,IF(VLOOKUP(tbMoveset!A5,tbMoveset!A2:I112,9,FALSE)="Dragon",Backdoors!BF21,Backdoors!BG21)))))/100,Backdoors!BG21/100),"")</f>
        <v>0</v>
      </c>
      <c r="DZ5" s="49">
        <f>IFERROR(IF(VLOOKUP(A5,tbMoveset!A2:J112,10,FALSE)=TRUE,IF((Backdoors!AI12+IF(DX5&gt;=0.45,VLOOKUP(Calculator!E23,tbSkills!DH3:DI6,2,FALSE)+IF(AND(Calculator!B8=TRUE,Backdoors!BI21=TRUE),VLOOKUP(Calculator!E23,tbSkills!DH3:DJ6,3,FALSE),0),0))&gt;=0,1+(Backdoors!AL2*(IF((Backdoors!AI12+IF(DX5&gt;=0.45,VLOOKUP(Calculator!E23,tbSkills!DH3:DI6,2,FALSE)+IF(AND(Calculator!B8=TRUE,Backdoors!BI21=TRUE),VLOOKUP(Calculator!E23,tbSkills!DH3:DJ6,3,FALSE),0),0))&gt;=100,100,(Backdoors!AI12+IF(DX5&gt;=0.45,VLOOKUP(Calculator!E23,tbSkills!DH3:DI6,2,FALSE)+IF(AND(Calculator!B8=TRUE,Backdoors!BI21=TRUE),VLOOKUP(Calculator!E23,tbSkills!DH3:DJ6,3,FALSE),0),0)))/100)),(1-(0.25*((-Backdoors!AI12-IF(DX5&gt;=0.45,VLOOKUP(Calculator!E23,tbSkills!DH3:DI6,2,FALSE)+IF(AND(Calculator!B8=TRUE,Backdoors!BI21=TRUE),VLOOKUP(Calculator!E23,tbSkills!DH3:DJ6,3,FALSE),0),0))/100)))),1),"")</f>
        <v>1</v>
      </c>
      <c r="EA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X5)*DZ5)*(VLOOKUP(A5,tbMoveset!A2:C112,3,FALSE)/100)*IF(VLOOKUP(A5,tbMoveset!A2:B112,2,FALSE)="Projectile",Backdoors!N10,Backdoors!N9),0),"")</f>
        <v/>
      </c>
      <c r="EB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X5&gt;=0.45,VLOOKUP(Calculator!E23,tbSkills!DH3:DI6,2,FALSE)+IF(AND(Calculator!B8=TRUE,Backdoors!BI21=TRUE),VLOOKUP(Calculator!E23,tbSkills!DH3:DJ6,3,FALSE),0),0))&gt;=100,100,(Backdoors!AI12+IF(DX5&gt;=0.45,VLOOKUP(Calculator!E23,tbSkills!DH3:DI6,2,FALSE)+IF(AND(Calculator!B8=TRUE,Backdoors!BI21=TRUE),VLOOKUP(Calculator!E23,tbSkills!DH3:DJ6,3,FALSE),0),0)))/100)),1))*IF(VLOOKUP(A5,tbMoveset!A2:K112,11,FALSE)=TRUE,Backdoors!AC5,1))*DY5,0),"")</f>
        <v>0</v>
      </c>
      <c r="EC5" s="49">
        <f>VLOOKUP(A5,tbMoveset!A2:G112,7,FALSE)*IFERROR(IF(Backdoors!AI12&gt;=0,1+(IF(Calculator!E40&gt;0,VLOOKUP(Calculator!E40,tbSkills!AI3:AJ5,2,FALSE),Backdoors!AL4)*(IF((Backdoors!AI12+IF(DX5&gt;=0.45,VLOOKUP(Calculator!E23,tbSkills!DH3:DI6,2,FALSE)+IF(AND(Calculator!B8=TRUE,Backdoors!BI21=TRUE),VLOOKUP(Calculator!E23,tbSkills!DH3:DJ6,3,FALSE),0),0))&gt;=100,100,(Backdoors!AI12+IF(DX5&gt;=0.45,VLOOKUP(Calculator!E23,tbSkills!DH3:DI6,2,FALSE)+IF(AND(Calculator!B8=TRUE,Backdoors!BI21=TRUE),VLOOKUP(Calculator!E23,tbSkills!DH3:DJ6,3,FALSE),0),0)))/100)),1),1)</f>
        <v>0.4</v>
      </c>
      <c r="ED5" s="87">
        <f t="shared" si="11"/>
        <v>0</v>
      </c>
      <c r="EE5" s="86" t="str">
        <f>IFERROR(IF(VLOOKUP(A5,tbMoveset!A2:B112,2,FALSE)="Sever",Backdoors!AY22/100,IF(VLOOKUP(A5,tbMoveset!A2:B112,2,FALSE)="Blunt",Backdoors!AZ22/100,Backdoors!BA22/100)),"")</f>
        <v/>
      </c>
      <c r="EF5" s="49">
        <f>IFERROR(IF(VLOOKUP(tbMoveset!A5,tbMoveset!A2:H112,8,FALSE)="Other",IF(VLOOKUP(tbMoveset!A5,tbMoveset!A2:I112,9,FALSE)="Fire",Backdoors!BB22,IF(VLOOKUP(tbMoveset!A5,tbMoveset!A2:I112,9,FALSE)="Water",Backdoors!BC22,IF(VLOOKUP(tbMoveset!A5,tbMoveset!A2:I112,9,FALSE)="Thunder",Backdoors!BD22,IF(VLOOKUP(tbMoveset!A5,tbMoveset!A2:I112,9,FALSE)="Ice",Backdoors!BE22,IF(VLOOKUP(tbMoveset!A5,tbMoveset!A2:I112,9,FALSE)="Dragon",Backdoors!BF22,Backdoors!BG22)))))/100,Backdoors!BG22/100),"")</f>
        <v>0</v>
      </c>
      <c r="EG5" s="49">
        <f>IFERROR(IF(VLOOKUP(A5,tbMoveset!A2:J112,10,FALSE)=TRUE,IF((Backdoors!AI12+IF(EE5&gt;=0.45,VLOOKUP(Calculator!E23,tbSkills!DH3:DI6,2,FALSE)+IF(AND(Calculator!B8=TRUE,Backdoors!BI22=TRUE),VLOOKUP(Calculator!E23,tbSkills!DH3:DJ6,3,FALSE),0),0))&gt;=0,1+(Backdoors!AL2*(IF((Backdoors!AI12+IF(EE5&gt;=0.45,VLOOKUP(Calculator!E23,tbSkills!DH3:DI6,2,FALSE)+IF(AND(Calculator!B8=TRUE,Backdoors!BI22=TRUE),VLOOKUP(Calculator!E23,tbSkills!DH3:DJ6,3,FALSE),0),0))&gt;=100,100,(Backdoors!AI12+IF(EE5&gt;=0.45,VLOOKUP(Calculator!E23,tbSkills!DH3:DI6,2,FALSE)+IF(AND(Calculator!B8=TRUE,Backdoors!BI22=TRUE),VLOOKUP(Calculator!E23,tbSkills!DH3:DJ6,3,FALSE),0),0)))/100)),(1-(0.25*((-Backdoors!AI12-IF(EE5&gt;=0.45,VLOOKUP(Calculator!E23,tbSkills!DH3:DI6,2,FALSE)+IF(AND(Calculator!B8=TRUE,Backdoors!BI22=TRUE),VLOOKUP(Calculator!E23,tbSkills!DH3:DJ6,3,FALSE),0),0))/100)))),1),"")</f>
        <v>1</v>
      </c>
      <c r="EH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E5)*EG5)*(VLOOKUP(A5,tbMoveset!A2:C112,3,FALSE)/100)*IF(VLOOKUP(A5,tbMoveset!A2:B112,2,FALSE)="Projectile",Backdoors!N10,Backdoors!N9),0),"")</f>
        <v/>
      </c>
      <c r="EI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E5&gt;=0.45,VLOOKUP(Calculator!E23,tbSkills!DH3:DI6,2,FALSE)+IF(AND(Calculator!B8=TRUE,Backdoors!BI22=TRUE),VLOOKUP(Calculator!E23,tbSkills!DH3:DJ6,3,FALSE),0),0))&gt;=100,100,(Backdoors!AI12+IF(EE5&gt;=0.45,VLOOKUP(Calculator!E23,tbSkills!DH3:DI6,2,FALSE)+IF(AND(Calculator!B8=TRUE,Backdoors!BI22=TRUE),VLOOKUP(Calculator!E23,tbSkills!DH3:DJ6,3,FALSE),0),0)))/100)),1))*IF(VLOOKUP(A5,tbMoveset!A2:K112,11,FALSE)=TRUE,Backdoors!AC5,1))*EF5,0),"")</f>
        <v>0</v>
      </c>
      <c r="EJ5" s="49">
        <f>VLOOKUP(A5,tbMoveset!A2:G112,7,FALSE)*IFERROR(IF(Backdoors!AI12&gt;=0,1+(IF(Calculator!E40&gt;0,VLOOKUP(Calculator!E40,tbSkills!AI3:AJ5,2,FALSE),Backdoors!AL4)*(IF((Backdoors!AI12+IF(EE5&gt;=0.45,VLOOKUP(Calculator!E23,tbSkills!DH3:DI6,2,FALSE)+IF(AND(Calculator!B8=TRUE,Backdoors!BI22=TRUE),VLOOKUP(Calculator!E23,tbSkills!DH3:DJ6,3,FALSE),0),0))&gt;=100,100,(Backdoors!AI12+IF(EE5&gt;=0.45,VLOOKUP(Calculator!E23,tbSkills!DH3:DI6,2,FALSE)+IF(AND(Calculator!B8=TRUE,Backdoors!BI22=TRUE),VLOOKUP(Calculator!E23,tbSkills!DH3:DJ6,3,FALSE),0),0)))/100)),1),1)</f>
        <v>0.4</v>
      </c>
      <c r="EK5" s="87">
        <f t="shared" si="12"/>
        <v>0</v>
      </c>
      <c r="EL5" s="86" t="str">
        <f>IFERROR(IF(VLOOKUP(A5,tbMoveset!A2:B112,2,FALSE)="Sever",Backdoors!AY23/100,IF(VLOOKUP(A5,tbMoveset!A2:B112,2,FALSE)="Blunt",Backdoors!AZ23/100,Backdoors!BA23/100)),"")</f>
        <v/>
      </c>
      <c r="EM5" s="49">
        <f>IFERROR(IF(VLOOKUP(tbMoveset!A5,tbMoveset!A2:H112,8,FALSE)="Other",IF(VLOOKUP(tbMoveset!A5,tbMoveset!A2:I112,9,FALSE)="Fire",Backdoors!BB23,IF(VLOOKUP(tbMoveset!A5,tbMoveset!A2:I112,9,FALSE)="Water",Backdoors!BC23,IF(VLOOKUP(tbMoveset!A5,tbMoveset!A2:I112,9,FALSE)="Thunder",Backdoors!BD23,IF(VLOOKUP(tbMoveset!A5,tbMoveset!A2:I112,9,FALSE)="Ice",Backdoors!BE23,IF(VLOOKUP(tbMoveset!A5,tbMoveset!A2:I112,9,FALSE)="Dragon",Backdoors!BF23,Backdoors!BG23)))))/100,Backdoors!BG23/100),"")</f>
        <v>0</v>
      </c>
      <c r="EN5" s="49">
        <f>IFERROR(IF(VLOOKUP(A5,tbMoveset!A2:J112,10,FALSE)=TRUE,IF((Backdoors!AI12+IF(EL5&gt;=0.45,VLOOKUP(Calculator!E23,tbSkills!DH3:DI6,2,FALSE)+IF(AND(Calculator!B8=TRUE,Backdoors!BI23=TRUE),VLOOKUP(Calculator!E23,tbSkills!DH3:DJ6,3,FALSE),0),0))&gt;=0,1+(Backdoors!AL2*(IF((Backdoors!AI12+IF(EL5&gt;=0.45,VLOOKUP(Calculator!E23,tbSkills!DH3:DI6,2,FALSE)+IF(AND(Calculator!B8=TRUE,Backdoors!BI23=TRUE),VLOOKUP(Calculator!E23,tbSkills!DH3:DJ6,3,FALSE),0),0))&gt;=100,100,(Backdoors!AI12+IF(EL5&gt;=0.45,VLOOKUP(Calculator!E23,tbSkills!DH3:DI6,2,FALSE)+IF(AND(Calculator!B8=TRUE,Backdoors!BI23=TRUE),VLOOKUP(Calculator!E23,tbSkills!DH3:DJ6,3,FALSE),0),0)))/100)),(1-(0.25*((-Backdoors!AI12-IF(EL5&gt;=0.45,VLOOKUP(Calculator!E23,tbSkills!DH3:DI6,2,FALSE)+IF(AND(Calculator!B8=TRUE,Backdoors!BI23=TRUE),VLOOKUP(Calculator!E23,tbSkills!DH3:DJ6,3,FALSE),0),0))/100)))),1),"")</f>
        <v>1</v>
      </c>
      <c r="EO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L5)*EN5)*(VLOOKUP(A5,tbMoveset!A2:C112,3,FALSE)/100)*IF(VLOOKUP(A5,tbMoveset!A2:B112,2,FALSE)="Projectile",Backdoors!N10,Backdoors!N9),0),"")</f>
        <v/>
      </c>
      <c r="EP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L5&gt;=0.45,VLOOKUP(Calculator!E23,tbSkills!DH3:DI6,2,FALSE)+IF(AND(Calculator!B8=TRUE,Backdoors!BI23=TRUE),VLOOKUP(Calculator!E23,tbSkills!DH3:DJ6,3,FALSE),0),0))&gt;=100,100,(Backdoors!AI12+IF(EL5&gt;=0.45,VLOOKUP(Calculator!E23,tbSkills!DH3:DI6,2,FALSE)+IF(AND(Calculator!B8=TRUE,Backdoors!BI23=TRUE),VLOOKUP(Calculator!E23,tbSkills!DH3:DJ6,3,FALSE),0),0)))/100)),1))*IF(VLOOKUP(A5,tbMoveset!A2:K112,11,FALSE)=TRUE,Backdoors!AC5,1))*EM5,0),"")</f>
        <v>0</v>
      </c>
      <c r="EQ5" s="49">
        <f>VLOOKUP(A5,tbMoveset!A2:G112,7,FALSE)*IFERROR(IF(Backdoors!AI12&gt;=0,1+(IF(Calculator!E40&gt;0,VLOOKUP(Calculator!E40,tbSkills!AI3:AJ5,2,FALSE),Backdoors!AL4)*(IF((Backdoors!AI12+IF(EL5&gt;=0.45,VLOOKUP(Calculator!E23,tbSkills!DH3:DI6,2,FALSE)+IF(AND(Calculator!B8=TRUE,Backdoors!BI23=TRUE),VLOOKUP(Calculator!E23,tbSkills!DH3:DJ6,3,FALSE),0),0))&gt;=100,100,(Backdoors!AI12+IF(EL5&gt;=0.45,VLOOKUP(Calculator!E23,tbSkills!DH3:DI6,2,FALSE)+IF(AND(Calculator!B8=TRUE,Backdoors!BI23=TRUE),VLOOKUP(Calculator!E23,tbSkills!DH3:DJ6,3,FALSE),0),0)))/100)),1),1)</f>
        <v>0.4</v>
      </c>
      <c r="ER5" s="87">
        <f t="shared" si="13"/>
        <v>0</v>
      </c>
      <c r="ES5" s="86" t="str">
        <f>IFERROR(IF(VLOOKUP(A5,tbMoveset!A2:B112,2,FALSE)="Sever",Backdoors!AY24/100,IF(VLOOKUP(A5,tbMoveset!A2:B112,2,FALSE)="Blunt",Backdoors!AZ24/100,Backdoors!BA24/100)),"")</f>
        <v/>
      </c>
      <c r="ET5" s="49">
        <f>IFERROR(IF(VLOOKUP(tbMoveset!A5,tbMoveset!A2:H112,8,FALSE)="Other",IF(VLOOKUP(tbMoveset!A5,tbMoveset!A2:I112,9,FALSE)="Fire",Backdoors!BB24,IF(VLOOKUP(tbMoveset!A5,tbMoveset!A2:I112,9,FALSE)="Water",Backdoors!BC24,IF(VLOOKUP(tbMoveset!A5,tbMoveset!A2:I112,9,FALSE)="Thunder",Backdoors!BD24,IF(VLOOKUP(tbMoveset!A5,tbMoveset!A2:I112,9,FALSE)="Ice",Backdoors!BE24,IF(VLOOKUP(tbMoveset!A5,tbMoveset!A2:I112,9,FALSE)="Dragon",Backdoors!BF24,Backdoors!BG24)))))/100,Backdoors!BG24/100),"")</f>
        <v>0</v>
      </c>
      <c r="EU5" s="49">
        <f>IFERROR(IF(VLOOKUP(A5,tbMoveset!A2:J112,10,FALSE)=TRUE,IF((Backdoors!AI12+IF(ES5&gt;=0.45,VLOOKUP(Calculator!E23,tbSkills!DH3:DI6,2,FALSE)+IF(AND(Calculator!B8=TRUE,Backdoors!BI24=TRUE),VLOOKUP(Calculator!E23,tbSkills!DH3:DJ6,3,FALSE),0),0))&gt;=0,1+(Backdoors!AL2*(IF((Backdoors!AI12+IF(ES5&gt;=0.45,VLOOKUP(Calculator!E23,tbSkills!DH3:DI6,2,FALSE)+IF(AND(Calculator!B8=TRUE,Backdoors!BI24=TRUE),VLOOKUP(Calculator!E23,tbSkills!DH3:DJ6,3,FALSE),0),0))&gt;=100,100,(Backdoors!AI12+IF(ES5&gt;=0.45,VLOOKUP(Calculator!E23,tbSkills!DH3:DI6,2,FALSE)+IF(AND(Calculator!B8=TRUE,Backdoors!BI24=TRUE),VLOOKUP(Calculator!E23,tbSkills!DH3:DJ6,3,FALSE),0),0)))/100)),(1-(0.25*((-Backdoors!AI12-IF(ES5&gt;=0.45,VLOOKUP(Calculator!E23,tbSkills!DH3:DI6,2,FALSE)+IF(AND(Calculator!B8=TRUE,Backdoors!BI24=TRUE),VLOOKUP(Calculator!E23,tbSkills!DH3:DJ6,3,FALSE),0),0))/100)))),1),"")</f>
        <v>1</v>
      </c>
      <c r="EV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S5)*EU5)*(VLOOKUP(A5,tbMoveset!A2:C112,3,FALSE)/100)*IF(VLOOKUP(A5,tbMoveset!A2:B112,2,FALSE)="Projectile",Backdoors!N10,Backdoors!N9),0),"")</f>
        <v/>
      </c>
      <c r="EW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S5&gt;=0.45,VLOOKUP(Calculator!E23,tbSkills!DH3:DI6,2,FALSE)+IF(AND(Calculator!B8=TRUE,Backdoors!BI24=TRUE),VLOOKUP(Calculator!E23,tbSkills!DH3:DJ6,3,FALSE),0),0))&gt;=100,100,(Backdoors!AI12+IF(ES5&gt;=0.45,VLOOKUP(Calculator!E23,tbSkills!DH3:DI6,2,FALSE)+IF(AND(Calculator!B8=TRUE,Backdoors!BI24=TRUE),VLOOKUP(Calculator!E23,tbSkills!DH3:DJ6,3,FALSE),0),0)))/100)),1))*IF(VLOOKUP(A5,tbMoveset!A2:K112,11,FALSE)=TRUE,Backdoors!AC5,1))*ET5,0),"")</f>
        <v>0</v>
      </c>
      <c r="EX5" s="49">
        <f>VLOOKUP(A5,tbMoveset!A2:G112,7,FALSE)*IFERROR(IF(Backdoors!AI12&gt;=0,1+(IF(Calculator!E40&gt;0,VLOOKUP(Calculator!E40,tbSkills!AI3:AJ5,2,FALSE),Backdoors!AL4)*(IF((Backdoors!AI12+IF(ES5&gt;=0.45,VLOOKUP(Calculator!E23,tbSkills!DH3:DI6,2,FALSE)+IF(AND(Calculator!B8=TRUE,Backdoors!BI24=TRUE),VLOOKUP(Calculator!E23,tbSkills!DH3:DJ6,3,FALSE),0),0))&gt;=100,100,(Backdoors!AI12+IF(ES5&gt;=0.45,VLOOKUP(Calculator!E23,tbSkills!DH3:DI6,2,FALSE)+IF(AND(Calculator!B8=TRUE,Backdoors!BI24=TRUE),VLOOKUP(Calculator!E23,tbSkills!DH3:DJ6,3,FALSE),0),0)))/100)),1),1)</f>
        <v>0.4</v>
      </c>
      <c r="EY5" s="87">
        <f t="shared" si="14"/>
        <v>0</v>
      </c>
      <c r="EZ5" s="86" t="str">
        <f>IFERROR(IF(VLOOKUP(A5,tbMoveset!A2:B112,2,FALSE)="Sever",Backdoors!AY25/100,IF(VLOOKUP(A5,tbMoveset!A2:B112,2,FALSE)="Blunt",Backdoors!AZ25/100,Backdoors!BA25/100)),"")</f>
        <v/>
      </c>
      <c r="FA5" s="49">
        <f>IFERROR(IF(VLOOKUP(tbMoveset!A5,tbMoveset!A2:H112,8,FALSE)="Other",IF(VLOOKUP(tbMoveset!A5,tbMoveset!A2:I112,9,FALSE)="Fire",Backdoors!BB25,IF(VLOOKUP(tbMoveset!A5,tbMoveset!A2:I112,9,FALSE)="Water",Backdoors!BC25,IF(VLOOKUP(tbMoveset!A5,tbMoveset!A2:I112,9,FALSE)="Thunder",Backdoors!BD25,IF(VLOOKUP(tbMoveset!A5,tbMoveset!A2:I112,9,FALSE)="Ice",Backdoors!BE25,IF(VLOOKUP(tbMoveset!A5,tbMoveset!A2:I112,9,FALSE)="Dragon",Backdoors!BF25,Backdoors!BG25)))))/100,Backdoors!BG25/100),"")</f>
        <v>0</v>
      </c>
      <c r="FB5" s="49">
        <f>IFERROR(IF(VLOOKUP(A5,tbMoveset!A2:J112,10,FALSE)=TRUE,IF((Backdoors!AI12+IF(EZ5&gt;=0.45,VLOOKUP(Calculator!E23,tbSkills!DH3:DI6,2,FALSE)+IF(AND(Calculator!B8=TRUE,Backdoors!BI25=TRUE),VLOOKUP(Calculator!E23,tbSkills!DH3:DJ6,3,FALSE),0),0))&gt;=0,1+(Backdoors!AL2*(IF((Backdoors!AI12+IF(EZ5&gt;=0.45,VLOOKUP(Calculator!E23,tbSkills!DH3:DI6,2,FALSE)+IF(AND(Calculator!B8=TRUE,Backdoors!BI25=TRUE),VLOOKUP(Calculator!E23,tbSkills!DH3:DJ6,3,FALSE),0),0))&gt;=100,100,(Backdoors!AI12+IF(EZ5&gt;=0.45,VLOOKUP(Calculator!E23,tbSkills!DH3:DI6,2,FALSE)+IF(AND(Calculator!B8=TRUE,Backdoors!BI25=TRUE),VLOOKUP(Calculator!E23,tbSkills!DH3:DJ6,3,FALSE),0),0)))/100)),(1-(0.25*((-Backdoors!AI12-IF(EZ5&gt;=0.45,VLOOKUP(Calculator!E23,tbSkills!DH3:DI6,2,FALSE)+IF(AND(Calculator!B8=TRUE,Backdoors!BI25=TRUE),VLOOKUP(Calculator!E23,tbSkills!DH3:DJ6,3,FALSE),0),0))/100)))),1),"")</f>
        <v>1</v>
      </c>
      <c r="FC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Z5)*FB5)*(VLOOKUP(A5,tbMoveset!A2:C112,3,FALSE)/100)*IF(VLOOKUP(A5,tbMoveset!A2:B112,2,FALSE)="Projectile",Backdoors!N10,Backdoors!N9),0),"")</f>
        <v/>
      </c>
      <c r="FD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Z5&gt;=0.45,VLOOKUP(Calculator!E23,tbSkills!DH3:DI6,2,FALSE)+IF(AND(Calculator!B8=TRUE,Backdoors!BI25=TRUE),VLOOKUP(Calculator!E23,tbSkills!DH3:DJ6,3,FALSE),0),0))&gt;=100,100,(Backdoors!AI12+IF(EZ5&gt;=0.45,VLOOKUP(Calculator!E23,tbSkills!DH3:DI6,2,FALSE)+IF(AND(Calculator!B8=TRUE,Backdoors!BI25=TRUE),VLOOKUP(Calculator!E23,tbSkills!DH3:DJ6,3,FALSE),0),0)))/100)),1))*IF(VLOOKUP(A5,tbMoveset!A2:K112,11,FALSE)=TRUE,Backdoors!AC5,1))*FA5,0),"")</f>
        <v>0</v>
      </c>
      <c r="FE5" s="49">
        <f>VLOOKUP(A5,tbMoveset!A2:G112,7,FALSE)*IFERROR(IF(Backdoors!AI12&gt;=0,1+(IF(Calculator!E40&gt;0,VLOOKUP(Calculator!E40,tbSkills!AI3:AJ5,2,FALSE),Backdoors!AL4)*(IF((Backdoors!AI12+IF(EZ5&gt;=0.45,VLOOKUP(Calculator!E23,tbSkills!DH3:DI6,2,FALSE)+IF(AND(Calculator!B8=TRUE,Backdoors!BI25=TRUE),VLOOKUP(Calculator!E23,tbSkills!DH3:DJ6,3,FALSE),0),0))&gt;=100,100,(Backdoors!AI12+IF(EZ5&gt;=0.45,VLOOKUP(Calculator!E23,tbSkills!DH3:DI6,2,FALSE)+IF(AND(Calculator!B8=TRUE,Backdoors!BI25=TRUE),VLOOKUP(Calculator!E23,tbSkills!DH3:DJ6,3,FALSE),0),0)))/100)),1),1)</f>
        <v>0.4</v>
      </c>
      <c r="FF5" s="87">
        <f t="shared" si="15"/>
        <v>0</v>
      </c>
      <c r="FG5" s="86" t="str">
        <f>IFERROR(IF(VLOOKUP(A5,tbMoveset!A2:B112,2,FALSE)="Sever",Backdoors!AY26/100,IF(VLOOKUP(A5,tbMoveset!A2:B112,2,FALSE)="Blunt",Backdoors!AZ26/100,Backdoors!BA26/100)),"")</f>
        <v/>
      </c>
      <c r="FH5" s="49">
        <f>IFERROR(IF(VLOOKUP(tbMoveset!A5,tbMoveset!A2:H112,8,FALSE)="Other",IF(VLOOKUP(tbMoveset!A5,tbMoveset!A2:I112,9,FALSE)="Fire",Backdoors!BB26,IF(VLOOKUP(tbMoveset!A5,tbMoveset!A2:I112,9,FALSE)="Water",Backdoors!BC26,IF(VLOOKUP(tbMoveset!A5,tbMoveset!A2:I112,9,FALSE)="Thunder",Backdoors!BD26,IF(VLOOKUP(tbMoveset!A5,tbMoveset!A2:I112,9,FALSE)="Ice",Backdoors!BE26,IF(VLOOKUP(tbMoveset!A5,tbMoveset!A2:I112,9,FALSE)="Dragon",Backdoors!BF26,Backdoors!BG26)))))/100,Backdoors!BG26/100),"")</f>
        <v>0</v>
      </c>
      <c r="FI5" s="49">
        <f>IFERROR(IF(VLOOKUP(A5,tbMoveset!A2:J112,10,FALSE)=TRUE,IF((Backdoors!AI12+IF(FG5&gt;=0.45,VLOOKUP(Calculator!E23,tbSkills!DH3:DI6,2,FALSE)+IF(AND(Calculator!B8=TRUE,Backdoors!BI26=TRUE),VLOOKUP(Calculator!E23,tbSkills!DH3:DJ6,3,FALSE),0),0))&gt;=0,1+(Backdoors!AL2*(IF((Backdoors!AI12+IF(FG5&gt;=0.45,VLOOKUP(Calculator!E23,tbSkills!DH3:DI6,2,FALSE)+IF(AND(Calculator!B8=TRUE,Backdoors!BI26=TRUE),VLOOKUP(Calculator!E23,tbSkills!DH3:DJ6,3,FALSE),0),0))&gt;=100,100,(Backdoors!AI12+IF(FG5&gt;=0.45,VLOOKUP(Calculator!E23,tbSkills!DH3:DI6,2,FALSE)+IF(AND(Calculator!B8=TRUE,Backdoors!BI26=TRUE),VLOOKUP(Calculator!E23,tbSkills!DH3:DJ6,3,FALSE),0),0)))/100)),(1-(0.25*((-Backdoors!AI12-IF(FG5&gt;=0.45,VLOOKUP(Calculator!E23,tbSkills!DH3:DI6,2,FALSE)+IF(AND(Calculator!B8=TRUE,Backdoors!BI26=TRUE),VLOOKUP(Calculator!E23,tbSkills!DH3:DJ6,3,FALSE),0),0))/100)))),1),"")</f>
        <v>1</v>
      </c>
      <c r="FJ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FG5)*FI5)*(VLOOKUP(A5,tbMoveset!A2:C112,3,FALSE)/100)*IF(VLOOKUP(A5,tbMoveset!A2:B112,2,FALSE)="Projectile",Backdoors!N10,Backdoors!N9),0),"")</f>
        <v/>
      </c>
      <c r="FK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FG5&gt;=0.45,VLOOKUP(Calculator!E23,tbSkills!DH3:DI6,2,FALSE)+IF(AND(Calculator!B8=TRUE,Backdoors!BI26=TRUE),VLOOKUP(Calculator!E23,tbSkills!DH3:DJ6,3,FALSE),0),0))&gt;=100,100,(Backdoors!AI12+IF(FG5&gt;=0.45,VLOOKUP(Calculator!E23,tbSkills!DH3:DI6,2,FALSE)+IF(AND(Calculator!B8=TRUE,Backdoors!BI26=TRUE),VLOOKUP(Calculator!E23,tbSkills!DH3:DJ6,3,FALSE),0),0)))/100)),1))*IF(VLOOKUP(A5,tbMoveset!A2:K112,11,FALSE)=TRUE,Backdoors!AC5,1))*FH5,0),"")</f>
        <v>0</v>
      </c>
      <c r="FL5" s="49">
        <f>VLOOKUP(A5,tbMoveset!A2:G112,7,FALSE)*IFERROR(IF(Backdoors!AI12&gt;=0,1+(IF(Calculator!E40&gt;0,VLOOKUP(Calculator!E40,tbSkills!AI3:AJ5,2,FALSE),Backdoors!AL4)*(IF((Backdoors!AI12+IF(FG5&gt;=0.45,VLOOKUP(Calculator!E23,tbSkills!DH3:DI6,2,FALSE)+IF(AND(Calculator!B8=TRUE,Backdoors!BI26=TRUE),VLOOKUP(Calculator!E23,tbSkills!DH3:DJ6,3,FALSE),0),0))&gt;=100,100,(Backdoors!AI12+IF(FG5&gt;=0.45,VLOOKUP(Calculator!E23,tbSkills!DH3:DI6,2,FALSE)+IF(AND(Calculator!B8=TRUE,Backdoors!BI26=TRUE),VLOOKUP(Calculator!E23,tbSkills!DH3:DJ6,3,FALSE),0),0)))/100)),1),1)</f>
        <v>0.4</v>
      </c>
      <c r="FM5" s="87">
        <f t="shared" si="16"/>
        <v>0</v>
      </c>
      <c r="FN5" s="86" t="str">
        <f>IFERROR(IF(VLOOKUP(A5,tbMoveset!A2:B112,2,FALSE)="Sever",Backdoors!AY27/100,IF(VLOOKUP(A5,tbMoveset!A2:B112,2,FALSE)="Blunt",Backdoors!AZ27/100,Backdoors!BA27/100)),"")</f>
        <v/>
      </c>
      <c r="FO5" s="49">
        <f>IFERROR(IF(VLOOKUP(tbMoveset!A5,tbMoveset!A2:H112,8,FALSE)="Other",IF(VLOOKUP(tbMoveset!A5,tbMoveset!A2:I112,9,FALSE)="Fire",Backdoors!BB27,IF(VLOOKUP(tbMoveset!A5,tbMoveset!A2:I112,9,FALSE)="Water",Backdoors!BC27,IF(VLOOKUP(tbMoveset!A5,tbMoveset!A2:I112,9,FALSE)="Thunder",Backdoors!BD27,IF(VLOOKUP(tbMoveset!A5,tbMoveset!A2:I112,9,FALSE)="Ice",Backdoors!BE27,IF(VLOOKUP(tbMoveset!A5,tbMoveset!A2:I112,9,FALSE)="Dragon",Backdoors!BF27,Backdoors!BG27)))))/100,Backdoors!BG27/100),"")</f>
        <v>0</v>
      </c>
      <c r="FP5" s="49">
        <f>IFERROR(IF(VLOOKUP(A5,tbMoveset!A2:J112,10,FALSE)=TRUE,IF((Backdoors!AI12+IF(FN5&gt;=0.45,VLOOKUP(Calculator!E23,tbSkills!DH3:DI6,2,FALSE)+IF(AND(Calculator!B8=TRUE,Backdoors!BI27=TRUE),VLOOKUP(Calculator!E23,tbSkills!DH3:DJ6,3,FALSE),0),0))&gt;=0,1+(Backdoors!AL2*(IF((Backdoors!AI12+IF(FN5&gt;=0.45,VLOOKUP(Calculator!E23,tbSkills!DH3:DI6,2,FALSE)+IF(AND(Calculator!B8=TRUE,Backdoors!BI27=TRUE),VLOOKUP(Calculator!E23,tbSkills!DH3:DJ6,3,FALSE),0),0))&gt;=100,100,(Backdoors!AI12+IF(FN5&gt;=0.45,VLOOKUP(Calculator!E23,tbSkills!DH3:DI6,2,FALSE)+IF(AND(Calculator!B8=TRUE,Backdoors!BI27=TRUE),VLOOKUP(Calculator!E23,tbSkills!DH3:DJ6,3,FALSE),0),0)))/100)),(1-(0.25*((-Backdoors!AI12-IF(FN5&gt;=0.45,VLOOKUP(Calculator!E23,tbSkills!DH3:DI6,2,FALSE)+IF(AND(Calculator!B8=TRUE,Backdoors!BI27=TRUE),VLOOKUP(Calculator!E23,tbSkills!DH3:DJ6,3,FALSE),0),0))/100)))),1),"")</f>
        <v>1</v>
      </c>
      <c r="FQ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FN5)*FP5)*(VLOOKUP(A5,tbMoveset!A2:C112,3,FALSE)/100)*IF(VLOOKUP(A5,tbMoveset!A2:B112,2,FALSE)="Projectile",Backdoors!N10,Backdoors!N9),0),"")</f>
        <v/>
      </c>
      <c r="FR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FN5&gt;=0.45,VLOOKUP(Calculator!E23,tbSkills!DH3:DI6,2,FALSE)+IF(AND(Calculator!B8=TRUE,Backdoors!BI27=TRUE),VLOOKUP(Calculator!E23,tbSkills!DH3:DJ6,3,FALSE),0),0))&gt;=100,100,(Backdoors!AI12+IF(FN5&gt;=0.45,VLOOKUP(Calculator!E23,tbSkills!DH3:DI6,2,FALSE)+IF(AND(Calculator!B8=TRUE,Backdoors!BI27=TRUE),VLOOKUP(Calculator!E23,tbSkills!DH3:DJ6,3,FALSE),0),0)))/100)),1))*IF(VLOOKUP(A5,tbMoveset!A2:K112,11,FALSE)=TRUE,Backdoors!AC5,1))*FO5,0),"")</f>
        <v>0</v>
      </c>
      <c r="FS5" s="49">
        <f>VLOOKUP(A5,tbMoveset!A2:G112,7,FALSE)*IFERROR(IF(Backdoors!AI12&gt;=0,1+(IF(Calculator!E40&gt;0,VLOOKUP(Calculator!E40,tbSkills!AI3:AJ5,2,FALSE),Backdoors!AL4)*(IF((Backdoors!AI12+IF(FN5&gt;=0.45,VLOOKUP(Calculator!E23,tbSkills!DH3:DI6,2,FALSE)+IF(AND(Calculator!B8=TRUE,Backdoors!BI27=TRUE),VLOOKUP(Calculator!E23,tbSkills!DH3:DJ6,3,FALSE),0),0))&gt;=100,100,(Backdoors!AI12+IF(FN5&gt;=0.45,VLOOKUP(Calculator!E23,tbSkills!DH3:DI6,2,FALSE)+IF(AND(Calculator!B8=TRUE,Backdoors!BI27=TRUE),VLOOKUP(Calculator!E23,tbSkills!DH3:DJ6,3,FALSE),0),0)))/100)),1),1)</f>
        <v>0.4</v>
      </c>
      <c r="FT5" s="87">
        <f t="shared" si="17"/>
        <v>0</v>
      </c>
      <c r="FU5" s="86" t="str">
        <f>IFERROR(IF(VLOOKUP(A5,tbMoveset!A2:B112,2,FALSE)="Sever",Backdoors!AY28/100,IF(VLOOKUP(A5,tbMoveset!A2:B112,2,FALSE)="Blunt",Backdoors!AZ28/100,Backdoors!BA28/100)),"")</f>
        <v/>
      </c>
      <c r="FV5" s="49">
        <f>IFERROR(IF(VLOOKUP(tbMoveset!A5,tbMoveset!A2:H112,8,FALSE)="Other",IF(VLOOKUP(tbMoveset!A5,tbMoveset!A2:I112,9,FALSE)="Fire",Backdoors!BB28,IF(VLOOKUP(tbMoveset!A5,tbMoveset!A2:I112,9,FALSE)="Water",Backdoors!BC28,IF(VLOOKUP(tbMoveset!A5,tbMoveset!A2:I112,9,FALSE)="Thunder",Backdoors!BD28,IF(VLOOKUP(tbMoveset!A5,tbMoveset!A2:I112,9,FALSE)="Ice",Backdoors!BE28,IF(VLOOKUP(tbMoveset!A5,tbMoveset!A2:I112,9,FALSE)="Dragon",Backdoors!BF28,Backdoors!BG28)))))/100,Backdoors!BG28/100),"")</f>
        <v>0</v>
      </c>
      <c r="FW5" s="49">
        <f>IFERROR(IF(VLOOKUP(A5,tbMoveset!A2:J112,10,FALSE)=TRUE,IF((Backdoors!AI12+IF(FU5&gt;=0.45,VLOOKUP(Calculator!E23,tbSkills!DH3:DI6,2,FALSE)+IF(AND(Calculator!B8=TRUE,Backdoors!BI28=TRUE),VLOOKUP(Calculator!E23,tbSkills!DH3:DJ6,3,FALSE),0),0))&gt;=0,1+(Backdoors!AL2*(IF((Backdoors!AI12+IF(FU5&gt;=0.45,VLOOKUP(Calculator!E23,tbSkills!DH3:DI6,2,FALSE)+IF(AND(Calculator!B8=TRUE,Backdoors!BI28=TRUE),VLOOKUP(Calculator!E23,tbSkills!DH3:DJ6,3,FALSE),0),0))&gt;=100,100,(Backdoors!AI12+IF(FU5&gt;=0.45,VLOOKUP(Calculator!E23,tbSkills!DH3:DI6,2,FALSE)+IF(AND(Calculator!B8=TRUE,Backdoors!BI28=TRUE),VLOOKUP(Calculator!E23,tbSkills!DH3:DJ6,3,FALSE),0),0)))/100)),(1-(0.25*((-Backdoors!AI12-IF(FU5&gt;=0.45,VLOOKUP(Calculator!E23,tbSkills!DH3:DI6,2,FALSE)+IF(AND(Calculator!B8=TRUE,Backdoors!BI28=TRUE),VLOOKUP(Calculator!E23,tbSkills!DH3:DJ6,3,FALSE),0),0))/100)))),1),"")</f>
        <v>1</v>
      </c>
      <c r="FX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FU5)*FW5)*(VLOOKUP(A5,tbMoveset!A2:C112,3,FALSE)/100)*IF(VLOOKUP(A5,tbMoveset!A2:B112,2,FALSE)="Projectile",Backdoors!N10,Backdoors!N9),0),"")</f>
        <v/>
      </c>
      <c r="FY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FU5&gt;=0.45,VLOOKUP(Calculator!E23,tbSkills!DH3:DI6,2,FALSE)+IF(AND(Calculator!B8=TRUE,Backdoors!BI28=TRUE),VLOOKUP(Calculator!E23,tbSkills!DH3:DJ6,3,FALSE),0),0))&gt;=100,100,(Backdoors!AI12+IF(FU5&gt;=0.45,VLOOKUP(Calculator!E23,tbSkills!DH3:DI6,2,FALSE)+IF(AND(Calculator!B8=TRUE,Backdoors!BI28=TRUE),VLOOKUP(Calculator!E23,tbSkills!DH3:DJ6,3,FALSE),0),0)))/100)),1))*IF(VLOOKUP(A5,tbMoveset!A2:K112,11,FALSE)=TRUE,Backdoors!AC5,1))*FV5,0),"")</f>
        <v>0</v>
      </c>
      <c r="FZ5" s="49">
        <f>VLOOKUP(A5,tbMoveset!A2:G112,7,FALSE)*IFERROR(IF(Backdoors!AI12&gt;=0,1+(IF(Calculator!E40&gt;0,VLOOKUP(Calculator!E40,tbSkills!AI3:AJ5,2,FALSE),Backdoors!AL4)*(IF((Backdoors!AI12+IF(FU5&gt;=0.45,VLOOKUP(Calculator!E23,tbSkills!DH3:DI6,2,FALSE)+IF(AND(Calculator!B8=TRUE,Backdoors!BI28=TRUE),VLOOKUP(Calculator!E23,tbSkills!DH3:DJ6,3,FALSE),0),0))&gt;=100,100,(Backdoors!AI12+IF(FU5&gt;=0.45,VLOOKUP(Calculator!E23,tbSkills!DH3:DI6,2,FALSE)+IF(AND(Calculator!B8=TRUE,Backdoors!BI28=TRUE),VLOOKUP(Calculator!E23,tbSkills!DH3:DJ6,3,FALSE),0),0)))/100)),1),1)</f>
        <v>0.4</v>
      </c>
      <c r="GA5" s="87">
        <f t="shared" si="18"/>
        <v>0</v>
      </c>
      <c r="GB5" s="86" t="str">
        <f>IFERROR(IF(VLOOKUP(A5,tbMoveset!A2:B112,2,FALSE)="Sever",Backdoors!AY29/100,IF(VLOOKUP(A5,tbMoveset!A2:B112,2,FALSE)="Blunt",Backdoors!AZ29/100,Backdoors!BA29/100)),"")</f>
        <v/>
      </c>
      <c r="GC5" s="49">
        <f>IFERROR(IF(VLOOKUP(tbMoveset!A5,tbMoveset!A2:H112,8,FALSE)="Other",IF(VLOOKUP(tbMoveset!A5,tbMoveset!A2:I112,9,FALSE)="Fire",Backdoors!BB29,IF(VLOOKUP(tbMoveset!A5,tbMoveset!A2:I112,9,FALSE)="Water",Backdoors!BC29,IF(VLOOKUP(tbMoveset!A5,tbMoveset!A2:I112,9,FALSE)="Thunder",Backdoors!BD29,IF(VLOOKUP(tbMoveset!A5,tbMoveset!A2:I112,9,FALSE)="Ice",Backdoors!BE29,IF(VLOOKUP(tbMoveset!A5,tbMoveset!A2:I112,9,FALSE)="Dragon",Backdoors!BF29,Backdoors!BG29)))))/100,Backdoors!BG29/100),"")</f>
        <v>0</v>
      </c>
      <c r="GD5" s="49">
        <f>IFERROR(IF(VLOOKUP(A5,tbMoveset!A2:J112,10,FALSE)=TRUE,IF((Backdoors!AI12+IF(GB5&gt;=0.45,VLOOKUP(Calculator!E23,tbSkills!DH3:DI6,2,FALSE)+IF(AND(Calculator!B8=TRUE,Backdoors!BI29=TRUE),VLOOKUP(Calculator!E23,tbSkills!DH3:DJ6,3,FALSE),0),0))&gt;=0,1+(Backdoors!AL2*(IF((Backdoors!AI12+IF(GB5&gt;=0.45,VLOOKUP(Calculator!E23,tbSkills!DH3:DI6,2,FALSE)+IF(AND(Calculator!B8=TRUE,Backdoors!BI29=TRUE),VLOOKUP(Calculator!E23,tbSkills!DH3:DJ6,3,FALSE),0),0))&gt;=100,100,(Backdoors!AI12+IF(GB5&gt;=0.45,VLOOKUP(Calculator!E23,tbSkills!DH3:DI6,2,FALSE)+IF(AND(Calculator!B8=TRUE,Backdoors!BI29=TRUE),VLOOKUP(Calculator!E23,tbSkills!DH3:DJ6,3,FALSE),0),0)))/100)),(1-(0.25*((-Backdoors!AI12-IF(GB5&gt;=0.45,VLOOKUP(Calculator!E23,tbSkills!DH3:DI6,2,FALSE)+IF(AND(Calculator!B8=TRUE,Backdoors!BI29=TRUE),VLOOKUP(Calculator!E23,tbSkills!DH3:DJ6,3,FALSE),0),0))/100)))),1),"")</f>
        <v>1</v>
      </c>
      <c r="GE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B5)*GD5)*(VLOOKUP(A5,tbMoveset!A2:C112,3,FALSE)/100)*IF(VLOOKUP(A5,tbMoveset!A2:B112,2,FALSE)="Projectile",Backdoors!N10,Backdoors!N9),0),"")</f>
        <v/>
      </c>
      <c r="GF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B5&gt;=0.45,VLOOKUP(Calculator!E23,tbSkills!DH3:DI6,2,FALSE)+IF(AND(Calculator!B8=TRUE,Backdoors!BI29=TRUE),VLOOKUP(Calculator!E23,tbSkills!DH3:DJ6,3,FALSE),0),0))&gt;=100,100,(Backdoors!AI12+IF(GB5&gt;=0.45,VLOOKUP(Calculator!E23,tbSkills!DH3:DI6,2,FALSE)+IF(AND(Calculator!B8=TRUE,Backdoors!BI29=TRUE),VLOOKUP(Calculator!E23,tbSkills!DH3:DJ6,3,FALSE),0),0)))/100)),1))*IF(VLOOKUP(A5,tbMoveset!A2:K112,11,FALSE)=TRUE,Backdoors!AC5,1))*GC5,0),"")</f>
        <v>0</v>
      </c>
      <c r="GG5" s="49">
        <f>VLOOKUP(A5,tbMoveset!A2:G112,7,FALSE)*IFERROR(IF(Backdoors!AI12&gt;=0,1+(IF(Calculator!E40&gt;0,VLOOKUP(Calculator!E40,tbSkills!AI3:AJ5,2,FALSE),Backdoors!AL4)*(IF((Backdoors!AI12+IF(GB5&gt;=0.45,VLOOKUP(Calculator!E23,tbSkills!DH3:DI6,2,FALSE)+IF(AND(Calculator!B8=TRUE,Backdoors!BI29=TRUE),VLOOKUP(Calculator!E23,tbSkills!DH3:DJ6,3,FALSE),0),0))&gt;=100,100,(Backdoors!AI12+IF(GB5&gt;=0.45,VLOOKUP(Calculator!E23,tbSkills!DH3:DI6,2,FALSE)+IF(AND(Calculator!B8=TRUE,Backdoors!BI29=TRUE),VLOOKUP(Calculator!E23,tbSkills!DH3:DJ6,3,FALSE),0),0)))/100)),1),1)</f>
        <v>0.4</v>
      </c>
      <c r="GH5" s="87">
        <f t="shared" si="19"/>
        <v>0</v>
      </c>
      <c r="GI5" s="86" t="str">
        <f>IFERROR(IF(VLOOKUP(A5,tbMoveset!A2:B112,2,FALSE)="Sever",Backdoors!AY30/100,IF(VLOOKUP(A5,tbMoveset!A2:B112,2,FALSE)="Blunt",Backdoors!AZ30/100,Backdoors!BA30/100)),"")</f>
        <v/>
      </c>
      <c r="GJ5" s="49">
        <f>IFERROR(IF(VLOOKUP(tbMoveset!A5,tbMoveset!A2:H112,8,FALSE)="Other",IF(VLOOKUP(tbMoveset!A5,tbMoveset!A2:I112,9,FALSE)="Fire",Backdoors!BB30,IF(VLOOKUP(tbMoveset!A5,tbMoveset!A2:I112,9,FALSE)="Water",Backdoors!BC30,IF(VLOOKUP(tbMoveset!A5,tbMoveset!A2:I112,9,FALSE)="Thunder",Backdoors!BD30,IF(VLOOKUP(tbMoveset!A5,tbMoveset!A2:I112,9,FALSE)="Ice",Backdoors!BE30,IF(VLOOKUP(tbMoveset!A5,tbMoveset!A2:I112,9,FALSE)="Dragon",Backdoors!BF30,Backdoors!BG30)))))/100,Backdoors!BG30/100),"")</f>
        <v>0</v>
      </c>
      <c r="GK5" s="49">
        <f>IFERROR(IF(VLOOKUP(A5,tbMoveset!A2:J112,10,FALSE)=TRUE,IF((Backdoors!AI12+IF(GI5&gt;=0.45,VLOOKUP(Calculator!E23,tbSkills!DH3:DI6,2,FALSE)+IF(AND(Calculator!B8=TRUE,Backdoors!BI30=TRUE),VLOOKUP(Calculator!E23,tbSkills!DH3:DJ6,3,FALSE),0),0))&gt;=0,1+(Backdoors!AL2*(IF((Backdoors!AI12+IF(GI5&gt;=0.45,VLOOKUP(Calculator!E23,tbSkills!DH3:DI6,2,FALSE)+IF(AND(Calculator!B8=TRUE,Backdoors!BI30=TRUE),VLOOKUP(Calculator!E23,tbSkills!DH3:DJ6,3,FALSE),0),0))&gt;=100,100,(Backdoors!AI12+IF(GI5&gt;=0.45,VLOOKUP(Calculator!E23,tbSkills!DH3:DI6,2,FALSE)+IF(AND(Calculator!B8=TRUE,Backdoors!BI30=TRUE),VLOOKUP(Calculator!E23,tbSkills!DH3:DJ6,3,FALSE),0),0)))/100)),(1-(0.25*((-Backdoors!AI12-IF(GI5&gt;=0.45,VLOOKUP(Calculator!E23,tbSkills!DH3:DI6,2,FALSE)+IF(AND(Calculator!B8=TRUE,Backdoors!BI30=TRUE),VLOOKUP(Calculator!E23,tbSkills!DH3:DJ6,3,FALSE),0),0))/100)))),1),"")</f>
        <v>1</v>
      </c>
      <c r="GL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I5)*GK5)*(VLOOKUP(A5,tbMoveset!A2:C112,3,FALSE)/100)*IF(VLOOKUP(A5,tbMoveset!A2:B112,2,FALSE)="Projectile",Backdoors!N10,Backdoors!N9),0),"")</f>
        <v/>
      </c>
      <c r="GM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I5&gt;=0.45,VLOOKUP(Calculator!E23,tbSkills!DH3:DI6,2,FALSE)+IF(AND(Calculator!B8=TRUE,Backdoors!BI30=TRUE),VLOOKUP(Calculator!E23,tbSkills!DH3:DJ6,3,FALSE),0),0))&gt;=100,100,(Backdoors!AI12+IF(GI5&gt;=0.45,VLOOKUP(Calculator!E23,tbSkills!DH3:DI6,2,FALSE)+IF(AND(Calculator!B8=TRUE,Backdoors!BI30=TRUE),VLOOKUP(Calculator!E23,tbSkills!DH3:DJ6,3,FALSE),0),0)))/100)),1))*IF(VLOOKUP(A5,tbMoveset!A2:K112,11,FALSE)=TRUE,Backdoors!AC5,1))*GJ5,0),"")</f>
        <v>0</v>
      </c>
      <c r="GN5" s="49">
        <f>VLOOKUP(A5,tbMoveset!A2:G112,7,FALSE)*IFERROR(IF(Backdoors!AI12&gt;=0,1+(IF(Calculator!E40&gt;0,VLOOKUP(Calculator!E40,tbSkills!AI3:AJ5,2,FALSE),Backdoors!AL4)*(IF((Backdoors!AI12+IF(GI5&gt;=0.45,VLOOKUP(Calculator!E23,tbSkills!DH3:DI6,2,FALSE)+IF(AND(Calculator!B8=TRUE,Backdoors!BI30=TRUE),VLOOKUP(Calculator!E23,tbSkills!DH3:DJ6,3,FALSE),0),0))&gt;=100,100,(Backdoors!AI12+IF(GI5&gt;=0.45,VLOOKUP(Calculator!E23,tbSkills!DH3:DI6,2,FALSE)+IF(AND(Calculator!B8=TRUE,Backdoors!BI30=TRUE),VLOOKUP(Calculator!E23,tbSkills!DH3:DJ6,3,FALSE),0),0)))/100)),1),1)</f>
        <v>0.4</v>
      </c>
      <c r="GO5" s="87">
        <f t="shared" si="20"/>
        <v>0</v>
      </c>
      <c r="GP5" s="86" t="str">
        <f>IFERROR(IF(VLOOKUP(A5,tbMoveset!A2:B112,2,FALSE)="Sever",Backdoors!AY31/100,IF(VLOOKUP(A5,tbMoveset!A2:B112,2,FALSE)="Blunt",Backdoors!AZ31/100,Backdoors!BA31/100)),"")</f>
        <v/>
      </c>
      <c r="GQ5" s="49">
        <f>IFERROR(IF(VLOOKUP(tbMoveset!A5,tbMoveset!A2:H112,8,FALSE)="Other",IF(VLOOKUP(tbMoveset!A5,tbMoveset!A2:I112,9,FALSE)="Fire",Backdoors!BB31,IF(VLOOKUP(tbMoveset!A5,tbMoveset!A2:I112,9,FALSE)="Water",Backdoors!BC31,IF(VLOOKUP(tbMoveset!A5,tbMoveset!A2:I112,9,FALSE)="Thunder",Backdoors!BD31,IF(VLOOKUP(tbMoveset!A5,tbMoveset!A2:I112,9,FALSE)="Ice",Backdoors!BE31,IF(VLOOKUP(tbMoveset!A5,tbMoveset!A2:I112,9,FALSE)="Dragon",Backdoors!BF31,Backdoors!BG31)))))/100,Backdoors!BG31/100),"")</f>
        <v>0</v>
      </c>
      <c r="GR5" s="49">
        <f>IFERROR(IF(VLOOKUP(A5,tbMoveset!A2:J112,10,FALSE)=TRUE,IF((Backdoors!AI12+IF(GP5&gt;=0.45,VLOOKUP(Calculator!E23,tbSkills!DH3:DI6,2,FALSE)+IF(AND(Calculator!B8=TRUE,Backdoors!BI31=TRUE),VLOOKUP(Calculator!E23,tbSkills!DH3:DJ6,3,FALSE),0),0))&gt;=0,1+(Backdoors!AL2*(IF((Backdoors!AI12+IF(GP5&gt;=0.45,VLOOKUP(Calculator!E23,tbSkills!DH3:DI6,2,FALSE)+IF(AND(Calculator!B8=TRUE,Backdoors!BI31=TRUE),VLOOKUP(Calculator!E23,tbSkills!DH3:DJ6,3,FALSE),0),0))&gt;=100,100,(Backdoors!AI12+IF(GP5&gt;=0.45,VLOOKUP(Calculator!E23,tbSkills!DH3:DI6,2,FALSE)+IF(AND(Calculator!B8=TRUE,Backdoors!BI31=TRUE),VLOOKUP(Calculator!E23,tbSkills!DH3:DJ6,3,FALSE),0),0)))/100)),(1-(0.25*((-Backdoors!AI12-IF(GP5&gt;=0.45,VLOOKUP(Calculator!E23,tbSkills!DH3:DI6,2,FALSE)+IF(AND(Calculator!B8=TRUE,Backdoors!BI31=TRUE),VLOOKUP(Calculator!E23,tbSkills!DH3:DJ6,3,FALSE),0),0))/100)))),1),"")</f>
        <v>1</v>
      </c>
      <c r="GS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P5)*GR5)*(VLOOKUP(A5,tbMoveset!A2:C112,3,FALSE)/100)*IF(VLOOKUP(A5,tbMoveset!A2:B112,2,FALSE)="Projectile",Backdoors!N10,Backdoors!N9),0),"")</f>
        <v/>
      </c>
      <c r="GT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P5&gt;=0.45,VLOOKUP(Calculator!E23,tbSkills!DH3:DI6,2,FALSE)+IF(AND(Calculator!B8=TRUE,Backdoors!BI31=TRUE),VLOOKUP(Calculator!E23,tbSkills!DH3:DJ6,3,FALSE),0),0))&gt;=100,100,(Backdoors!AI12+IF(GP5&gt;=0.45,VLOOKUP(Calculator!E23,tbSkills!DH3:DI6,2,FALSE)+IF(AND(Calculator!B8=TRUE,Backdoors!BI31=TRUE),VLOOKUP(Calculator!E23,tbSkills!DH3:DJ6,3,FALSE),0),0)))/100)),1))*IF(VLOOKUP(A5,tbMoveset!A2:K112,11,FALSE)=TRUE,Backdoors!AC5,1))*GQ5,0),"")</f>
        <v>0</v>
      </c>
      <c r="GU5" s="49">
        <f>VLOOKUP(A5,tbMoveset!A2:G112,7,FALSE)*IFERROR(IF(Backdoors!AI12&gt;=0,1+(IF(Calculator!E40&gt;0,VLOOKUP(Calculator!E40,tbSkills!AI3:AJ5,2,FALSE),Backdoors!AL4)*(IF((Backdoors!AI12+IF(GP5&gt;=0.45,VLOOKUP(Calculator!E23,tbSkills!DH3:DI6,2,FALSE)+IF(AND(Calculator!B8=TRUE,Backdoors!BI31=TRUE),VLOOKUP(Calculator!E23,tbSkills!DH3:DJ6,3,FALSE),0),0))&gt;=100,100,(Backdoors!AI12+IF(GP5&gt;=0.45,VLOOKUP(Calculator!E23,tbSkills!DH3:DI6,2,FALSE)+IF(AND(Calculator!B8=TRUE,Backdoors!BI31=TRUE),VLOOKUP(Calculator!E23,tbSkills!DH3:DJ6,3,FALSE),0),0)))/100)),1),1)</f>
        <v>0.4</v>
      </c>
      <c r="GV5" s="87">
        <f t="shared" si="21"/>
        <v>0</v>
      </c>
      <c r="GW5" s="86" t="str">
        <f>IFERROR(IF(VLOOKUP(A5,tbMoveset!A2:B112,2,FALSE)="Sever",Backdoors!AY32/100,IF(VLOOKUP(A5,tbMoveset!A2:B112,2,FALSE)="Blunt",Backdoors!AZ32/100,Backdoors!BA32/100)),"")</f>
        <v/>
      </c>
      <c r="GX5" s="49">
        <f>IFERROR(IF(VLOOKUP(tbMoveset!A5,tbMoveset!A2:H112,8,FALSE)="Other",IF(VLOOKUP(tbMoveset!A5,tbMoveset!A2:I112,9,FALSE)="Fire",Backdoors!BB32,IF(VLOOKUP(tbMoveset!A5,tbMoveset!A2:I112,9,FALSE)="Water",Backdoors!BC32,IF(VLOOKUP(tbMoveset!A5,tbMoveset!A2:I112,9,FALSE)="Thunder",Backdoors!BD32,IF(VLOOKUP(tbMoveset!A5,tbMoveset!A2:I112,9,FALSE)="Ice",Backdoors!BE32,IF(VLOOKUP(tbMoveset!A5,tbMoveset!A2:I112,9,FALSE)="Dragon",Backdoors!BF32,Backdoors!BG32)))))/100,Backdoors!BG32/100),"")</f>
        <v>0</v>
      </c>
      <c r="GY5" s="49">
        <f>IFERROR(IF(VLOOKUP(A5,tbMoveset!A2:J112,10,FALSE)=TRUE,IF((Backdoors!AI12+IF(GW5&gt;=0.45,VLOOKUP(Calculator!E23,tbSkills!DH3:DI6,2,FALSE)+IF(AND(Calculator!B8=TRUE,Backdoors!BI32=TRUE),VLOOKUP(Calculator!E23,tbSkills!DH3:DJ6,3,FALSE),0),0))&gt;=0,1+(Backdoors!AL2*(IF((Backdoors!AI12+IF(GW5&gt;=0.45,VLOOKUP(Calculator!E23,tbSkills!DH3:DI6,2,FALSE)+IF(AND(Calculator!B8=TRUE,Backdoors!BI32=TRUE),VLOOKUP(Calculator!E23,tbSkills!DH3:DJ6,3,FALSE),0),0))&gt;=100,100,(Backdoors!AI12+IF(GW5&gt;=0.45,VLOOKUP(Calculator!E23,tbSkills!DH3:DI6,2,FALSE)+IF(AND(Calculator!B8=TRUE,Backdoors!BI32=TRUE),VLOOKUP(Calculator!E23,tbSkills!DH3:DJ6,3,FALSE),0),0)))/100)),(1-(0.25*((-Backdoors!AI12-IF(GW5&gt;=0.45,VLOOKUP(Calculator!E23,tbSkills!DH3:DI6,2,FALSE)+IF(AND(Calculator!B8=TRUE,Backdoors!BI32=TRUE),VLOOKUP(Calculator!E23,tbSkills!DH3:DJ6,3,FALSE),0),0))/100)))),1),"")</f>
        <v>1</v>
      </c>
      <c r="GZ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W5)*GY5)*(VLOOKUP(A5,tbMoveset!A2:C112,3,FALSE)/100)*IF(VLOOKUP(A5,tbMoveset!A2:B112,2,FALSE)="Projectile",Backdoors!N10,Backdoors!N9),0),"")</f>
        <v/>
      </c>
      <c r="HA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W5&gt;=0.45,VLOOKUP(Calculator!E23,tbSkills!DH3:DI6,2,FALSE)+IF(AND(Calculator!B8=TRUE,Backdoors!BI32=TRUE),VLOOKUP(Calculator!E23,tbSkills!DH3:DJ6,3,FALSE),0),0))&gt;=100,100,(Backdoors!AI12+IF(GW5&gt;=0.45,VLOOKUP(Calculator!E23,tbSkills!DH3:DI6,2,FALSE)+IF(AND(Calculator!B8=TRUE,Backdoors!BI32=TRUE),VLOOKUP(Calculator!E23,tbSkills!DH3:DJ6,3,FALSE),0),0)))/100)),1))*IF(VLOOKUP(A5,tbMoveset!A2:K112,11,FALSE)=TRUE,Backdoors!AC5,1))*GX5,0),"")</f>
        <v>0</v>
      </c>
      <c r="HB5" s="49">
        <f>VLOOKUP(A5,tbMoveset!A2:G112,7,FALSE)*IFERROR(IF(Backdoors!AI12&gt;=0,1+(IF(Calculator!E40&gt;0,VLOOKUP(Calculator!E40,tbSkills!AI3:AJ5,2,FALSE),Backdoors!AL4)*(IF((Backdoors!AI12+IF(GW5&gt;=0.45,VLOOKUP(Calculator!E23,tbSkills!DH3:DI6,2,FALSE)+IF(AND(Calculator!B8=TRUE,Backdoors!BI32=TRUE),VLOOKUP(Calculator!E23,tbSkills!DH3:DJ6,3,FALSE),0),0))&gt;=100,100,(Backdoors!AI12+IF(GW5&gt;=0.45,VLOOKUP(Calculator!E23,tbSkills!DH3:DI6,2,FALSE)+IF(AND(Calculator!B8=TRUE,Backdoors!BI32=TRUE),VLOOKUP(Calculator!E23,tbSkills!DH3:DJ6,3,FALSE),0),0)))/100)),1),1)</f>
        <v>0.4</v>
      </c>
      <c r="HC5" s="87">
        <f t="shared" si="22"/>
        <v>0</v>
      </c>
      <c r="HD5" s="86" t="str">
        <f>IFERROR(IF(VLOOKUP(A5,tbMoveset!A2:B112,2,FALSE)="Sever",Backdoors!AY33/100,IF(VLOOKUP(A5,tbMoveset!A2:B112,2,FALSE)="Blunt",Backdoors!AZ33/100,Backdoors!BA33/100)),"")</f>
        <v/>
      </c>
      <c r="HE5" s="49">
        <f>IFERROR(IF(VLOOKUP(tbMoveset!A5,tbMoveset!A2:H112,8,FALSE)="Other",IF(VLOOKUP(tbMoveset!A5,tbMoveset!A2:I112,9,FALSE)="Fire",Backdoors!BB33,IF(VLOOKUP(tbMoveset!A5,tbMoveset!A2:I112,9,FALSE)="Water",Backdoors!BC33,IF(VLOOKUP(tbMoveset!A5,tbMoveset!A2:I112,9,FALSE)="Thunder",Backdoors!BD33,IF(VLOOKUP(tbMoveset!A5,tbMoveset!A2:I112,9,FALSE)="Ice",Backdoors!BE33,IF(VLOOKUP(tbMoveset!A5,tbMoveset!A2:I112,9,FALSE)="Dragon",Backdoors!BF33,Backdoors!BG33)))))/100,Backdoors!BG33/100),"")</f>
        <v>0</v>
      </c>
      <c r="HF5" s="49">
        <f>IFERROR(IF(VLOOKUP(A5,tbMoveset!A2:J112,10,FALSE)=TRUE,IF((Backdoors!AI12+IF(HD5&gt;=0.45,VLOOKUP(Calculator!E23,tbSkills!DH3:DI6,2,FALSE)+IF(AND(Calculator!B8=TRUE,Backdoors!BI33=TRUE),VLOOKUP(Calculator!E23,tbSkills!DH3:DJ6,3,FALSE),0),0))&gt;=0,1+(Backdoors!AL2*(IF((Backdoors!AI12+IF(HD5&gt;=0.45,VLOOKUP(Calculator!E23,tbSkills!DH3:DI6,2,FALSE)+IF(AND(Calculator!B8=TRUE,Backdoors!BI33=TRUE),VLOOKUP(Calculator!E23,tbSkills!DH3:DJ6,3,FALSE),0),0))&gt;=100,100,(Backdoors!AI12+IF(HD5&gt;=0.45,VLOOKUP(Calculator!E23,tbSkills!DH3:DI6,2,FALSE)+IF(AND(Calculator!B8=TRUE,Backdoors!BI33=TRUE),VLOOKUP(Calculator!E23,tbSkills!DH3:DJ6,3,FALSE),0),0)))/100)),(1-(0.25*((-Backdoors!AI12-IF(HD5&gt;=0.45,VLOOKUP(Calculator!E23,tbSkills!DH3:DI6,2,FALSE)+IF(AND(Calculator!B8=TRUE,Backdoors!BI33=TRUE),VLOOKUP(Calculator!E23,tbSkills!DH3:DJ6,3,FALSE),0),0))/100)))),1),"")</f>
        <v>1</v>
      </c>
      <c r="HG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D5)*HF5)*(VLOOKUP(A5,tbMoveset!A2:C112,3,FALSE)/100)*IF(VLOOKUP(A5,tbMoveset!A2:B112,2,FALSE)="Projectile",Backdoors!N10,Backdoors!N9),0),"")</f>
        <v/>
      </c>
      <c r="HH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D5&gt;=0.45,VLOOKUP(Calculator!E23,tbSkills!DH3:DI6,2,FALSE)+IF(AND(Calculator!B8=TRUE,Backdoors!BI33=TRUE),VLOOKUP(Calculator!E23,tbSkills!DH3:DJ6,3,FALSE),0),0))&gt;=100,100,(Backdoors!AI12+IF(HD5&gt;=0.45,VLOOKUP(Calculator!E23,tbSkills!DH3:DI6,2,FALSE)+IF(AND(Calculator!B8=TRUE,Backdoors!BI33=TRUE),VLOOKUP(Calculator!E23,tbSkills!DH3:DJ6,3,FALSE),0),0)))/100)),1))*IF(VLOOKUP(A5,tbMoveset!A2:K112,11,FALSE)=TRUE,Backdoors!AC5,1))*HE5,0),"")</f>
        <v>0</v>
      </c>
      <c r="HI5" s="49">
        <f>VLOOKUP(A5,tbMoveset!A2:G112,7,FALSE)*IFERROR(IF(Backdoors!AI12&gt;=0,1+(IF(Calculator!E40&gt;0,VLOOKUP(Calculator!E40,tbSkills!AI3:AJ5,2,FALSE),Backdoors!AL4)*(IF((Backdoors!AI12+IF(HD5&gt;=0.45,VLOOKUP(Calculator!E23,tbSkills!DH3:DI6,2,FALSE)+IF(AND(Calculator!B8=TRUE,Backdoors!BI33=TRUE),VLOOKUP(Calculator!E23,tbSkills!DH3:DJ6,3,FALSE),0),0))&gt;=100,100,(Backdoors!AI12+IF(HD5&gt;=0.45,VLOOKUP(Calculator!E23,tbSkills!DH3:DI6,2,FALSE)+IF(AND(Calculator!B8=TRUE,Backdoors!BI33=TRUE),VLOOKUP(Calculator!E23,tbSkills!DH3:DJ6,3,FALSE),0),0)))/100)),1),1)</f>
        <v>0.4</v>
      </c>
      <c r="HJ5" s="87">
        <f t="shared" si="23"/>
        <v>0</v>
      </c>
      <c r="HK5" s="86" t="str">
        <f>IFERROR(IF(VLOOKUP(A5,tbMoveset!A2:B112,2,FALSE)="Sever",Backdoors!AY34/100,IF(VLOOKUP(A5,tbMoveset!A2:B112,2,FALSE)="Blunt",Backdoors!AZ34/100,Backdoors!BA34/100)),"")</f>
        <v/>
      </c>
      <c r="HL5" s="49">
        <f>IFERROR(IF(VLOOKUP(tbMoveset!A5,tbMoveset!A2:H112,8,FALSE)="Other",IF(VLOOKUP(tbMoveset!A5,tbMoveset!A2:I112,9,FALSE)="Fire",Backdoors!BB34,IF(VLOOKUP(tbMoveset!A5,tbMoveset!A2:I112,9,FALSE)="Water",Backdoors!BC34,IF(VLOOKUP(tbMoveset!A5,tbMoveset!A2:I112,9,FALSE)="Thunder",Backdoors!BD34,IF(VLOOKUP(tbMoveset!A5,tbMoveset!A2:I112,9,FALSE)="Ice",Backdoors!BE34,IF(VLOOKUP(tbMoveset!A5,tbMoveset!A2:I112,9,FALSE)="Dragon",Backdoors!BF34,Backdoors!BG34)))))/100,Backdoors!BG34/100),"")</f>
        <v>0</v>
      </c>
      <c r="HM5" s="49">
        <f>IFERROR(IF(VLOOKUP(A5,tbMoveset!A2:J112,10,FALSE)=TRUE,IF((Backdoors!AI12+IF(HK5&gt;=0.45,VLOOKUP(Calculator!E23,tbSkills!DH3:DI6,2,FALSE)+IF(AND(Calculator!B8=TRUE,Backdoors!BI34=TRUE),VLOOKUP(Calculator!E23,tbSkills!DH3:DJ6,3,FALSE),0),0))&gt;=0,1+(Backdoors!AL2*(IF((Backdoors!AI12+IF(HK5&gt;=0.45,VLOOKUP(Calculator!E23,tbSkills!DH3:DI6,2,FALSE)+IF(AND(Calculator!B8=TRUE,Backdoors!BI34=TRUE),VLOOKUP(Calculator!E23,tbSkills!DH3:DJ6,3,FALSE),0),0))&gt;=100,100,(Backdoors!AI12+IF(HK5&gt;=0.45,VLOOKUP(Calculator!E23,tbSkills!DH3:DI6,2,FALSE)+IF(AND(Calculator!B8=TRUE,Backdoors!BI34=TRUE),VLOOKUP(Calculator!E23,tbSkills!DH3:DJ6,3,FALSE),0),0)))/100)),(1-(0.25*((-Backdoors!AI12-IF(HK5&gt;=0.45,VLOOKUP(Calculator!E23,tbSkills!DH3:DI6,2,FALSE)+IF(AND(Calculator!B8=TRUE,Backdoors!BI34=TRUE),VLOOKUP(Calculator!E23,tbSkills!DH3:DJ6,3,FALSE),0),0))/100)))),1),"")</f>
        <v>1</v>
      </c>
      <c r="HN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K5)*HM5)*(VLOOKUP(A5,tbMoveset!A2:C112,3,FALSE)/100)*IF(VLOOKUP(A5,tbMoveset!A2:B112,2,FALSE)="Projectile",Backdoors!N10,Backdoors!N9),0),"")</f>
        <v/>
      </c>
      <c r="HO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K5&gt;=0.45,VLOOKUP(Calculator!E23,tbSkills!DH3:DI6,2,FALSE)+IF(AND(Calculator!B8=TRUE,Backdoors!BI34=TRUE),VLOOKUP(Calculator!E23,tbSkills!DH3:DJ6,3,FALSE),0),0))&gt;=100,100,(Backdoors!AI12+IF(HK5&gt;=0.45,VLOOKUP(Calculator!E23,tbSkills!DH3:DI6,2,FALSE)+IF(AND(Calculator!B8=TRUE,Backdoors!BI34=TRUE),VLOOKUP(Calculator!E23,tbSkills!DH3:DJ6,3,FALSE),0),0)))/100)),1))*IF(VLOOKUP(A5,tbMoveset!A2:K112,11,FALSE)=TRUE,Backdoors!AC5,1))*HL5,0),"")</f>
        <v>0</v>
      </c>
      <c r="HP5" s="49">
        <f>VLOOKUP(A5,tbMoveset!A2:G112,7,FALSE)*IFERROR(IF(Backdoors!AI12&gt;=0,1+(IF(Calculator!E40&gt;0,VLOOKUP(Calculator!E40,tbSkills!AI3:AJ5,2,FALSE),Backdoors!AL4)*(IF((Backdoors!AI12+IF(HK5&gt;=0.45,VLOOKUP(Calculator!E23,tbSkills!DH3:DI6,2,FALSE)+IF(AND(Calculator!B8=TRUE,Backdoors!BI34=TRUE),VLOOKUP(Calculator!E23,tbSkills!DH3:DJ6,3,FALSE),0),0))&gt;=100,100,(Backdoors!AI12+IF(HK5&gt;=0.45,VLOOKUP(Calculator!E23,tbSkills!DH3:DI6,2,FALSE)+IF(AND(Calculator!B8=TRUE,Backdoors!BI34=TRUE),VLOOKUP(Calculator!E23,tbSkills!DH3:DJ6,3,FALSE),0),0)))/100)),1),1)</f>
        <v>0.4</v>
      </c>
      <c r="HQ5" s="87">
        <f t="shared" si="24"/>
        <v>0</v>
      </c>
      <c r="HR5" s="86" t="str">
        <f>IFERROR(IF(VLOOKUP(A5,tbMoveset!A2:B112,2,FALSE)="Sever",Backdoors!AY35/100,IF(VLOOKUP(A5,tbMoveset!A2:B112,2,FALSE)="Blunt",Backdoors!AZ35/100,Backdoors!BA35/100)),"")</f>
        <v/>
      </c>
      <c r="HS5" s="49">
        <f>IFERROR(IF(VLOOKUP(tbMoveset!A5,tbMoveset!A2:H112,8,FALSE)="Other",IF(VLOOKUP(tbMoveset!A5,tbMoveset!A2:I112,9,FALSE)="Fire",Backdoors!BB35,IF(VLOOKUP(tbMoveset!A5,tbMoveset!A2:I112,9,FALSE)="Water",Backdoors!BC35,IF(VLOOKUP(tbMoveset!A5,tbMoveset!A2:I112,9,FALSE)="Thunder",Backdoors!BD35,IF(VLOOKUP(tbMoveset!A5,tbMoveset!A2:I112,9,FALSE)="Ice",Backdoors!BE35,IF(VLOOKUP(tbMoveset!A5,tbMoveset!A2:I112,9,FALSE)="Dragon",Backdoors!BF35,Backdoors!BG35)))))/100,Backdoors!BG35/100),"")</f>
        <v>0</v>
      </c>
      <c r="HT5" s="49">
        <f>IFERROR(IF(VLOOKUP(A5,tbMoveset!A2:J112,10,FALSE)=TRUE,IF((Backdoors!AI12+IF(HR5&gt;=0.45,VLOOKUP(Calculator!E23,tbSkills!DH3:DI6,2,FALSE)+IF(AND(Calculator!B8=TRUE,Backdoors!BI35=TRUE),VLOOKUP(Calculator!E23,tbSkills!DH3:DJ6,3,FALSE),0),0))&gt;=0,1+(Backdoors!AL2*(IF((Backdoors!AI12+IF(HR5&gt;=0.45,VLOOKUP(Calculator!E23,tbSkills!DH3:DI6,2,FALSE)+IF(AND(Calculator!B8=TRUE,Backdoors!BI35=TRUE),VLOOKUP(Calculator!E23,tbSkills!DH3:DJ6,3,FALSE),0),0))&gt;=100,100,(Backdoors!AI12+IF(HR5&gt;=0.45,VLOOKUP(Calculator!E23,tbSkills!DH3:DI6,2,FALSE)+IF(AND(Calculator!B8=TRUE,Backdoors!BI35=TRUE),VLOOKUP(Calculator!E23,tbSkills!DH3:DJ6,3,FALSE),0),0)))/100)),(1-(0.25*((-Backdoors!AI12-IF(HR5&gt;=0.45,VLOOKUP(Calculator!E23,tbSkills!DH3:DI6,2,FALSE)+IF(AND(Calculator!B8=TRUE,Backdoors!BI35=TRUE),VLOOKUP(Calculator!E23,tbSkills!DH3:DJ6,3,FALSE),0),0))/100)))),1),"")</f>
        <v>1</v>
      </c>
      <c r="HU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R5)*HT5)*(VLOOKUP(A5,tbMoveset!A2:C112,3,FALSE)/100)*IF(VLOOKUP(A5,tbMoveset!A2:B112,2,FALSE)="Projectile",Backdoors!N10,Backdoors!N9),0),"")</f>
        <v/>
      </c>
      <c r="HV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R5&gt;=0.45,VLOOKUP(Calculator!E23,tbSkills!DH3:DI6,2,FALSE)+IF(AND(Calculator!B8=TRUE,Backdoors!BI35=TRUE),VLOOKUP(Calculator!E23,tbSkills!DH3:DJ6,3,FALSE),0),0))&gt;=100,100,(Backdoors!AI12+IF(HR5&gt;=0.45,VLOOKUP(Calculator!E23,tbSkills!DH3:DI6,2,FALSE)+IF(AND(Calculator!B8=TRUE,Backdoors!BI35=TRUE),VLOOKUP(Calculator!E23,tbSkills!DH3:DJ6,3,FALSE),0),0)))/100)),1))*IF(VLOOKUP(A5,tbMoveset!A2:K112,11,FALSE)=TRUE,Backdoors!AC5,1))*HS5,0),"")</f>
        <v>0</v>
      </c>
      <c r="HW5" s="49">
        <f>VLOOKUP(A5,tbMoveset!A2:G112,7,FALSE)*IFERROR(IF(Backdoors!AI12&gt;=0,1+(IF(Calculator!E40&gt;0,VLOOKUP(Calculator!E40,tbSkills!AI3:AJ5,2,FALSE),Backdoors!AL4)*(IF((Backdoors!AI12+IF(HR5&gt;=0.45,VLOOKUP(Calculator!E23,tbSkills!DH3:DI6,2,FALSE)+IF(AND(Calculator!B8=TRUE,Backdoors!BI35=TRUE),VLOOKUP(Calculator!E23,tbSkills!DH3:DJ6,3,FALSE),0),0))&gt;=100,100,(Backdoors!AI12+IF(HR5&gt;=0.45,VLOOKUP(Calculator!E23,tbSkills!DH3:DI6,2,FALSE)+IF(AND(Calculator!B8=TRUE,Backdoors!BI35=TRUE),VLOOKUP(Calculator!E23,tbSkills!DH3:DJ6,3,FALSE),0),0)))/100)),1),1)</f>
        <v>0.4</v>
      </c>
      <c r="HX5" s="87">
        <f t="shared" si="25"/>
        <v>0</v>
      </c>
      <c r="HY5" s="86" t="str">
        <f>IFERROR(IF(VLOOKUP(A5,tbMoveset!A2:B112,2,FALSE)="Sever",Backdoors!AY36/100,IF(VLOOKUP(A5,tbMoveset!A2:B112,2,FALSE)="Blunt",Backdoors!AZ36/100,Backdoors!BA36/100)),"")</f>
        <v/>
      </c>
      <c r="HZ5" s="49">
        <f>IFERROR(IF(VLOOKUP(tbMoveset!A5,tbMoveset!A2:H112,8,FALSE)="Other",IF(VLOOKUP(tbMoveset!A5,tbMoveset!A2:I112,9,FALSE)="Fire",Backdoors!BB36,IF(VLOOKUP(tbMoveset!A5,tbMoveset!A2:I112,9,FALSE)="Water",Backdoors!BC36,IF(VLOOKUP(tbMoveset!A5,tbMoveset!A2:I112,9,FALSE)="Thunder",Backdoors!BD36,IF(VLOOKUP(tbMoveset!A5,tbMoveset!A2:I112,9,FALSE)="Ice",Backdoors!BE36,IF(VLOOKUP(tbMoveset!A5,tbMoveset!A2:I112,9,FALSE)="Dragon",Backdoors!BF36,Backdoors!BG36)))))/100,Backdoors!BG36/100),"")</f>
        <v>0</v>
      </c>
      <c r="IA5" s="49">
        <f>IFERROR(IF(VLOOKUP(A5,tbMoveset!A2:J112,10,FALSE)=TRUE,IF((Backdoors!AI12+IF(HY5&gt;=0.45,VLOOKUP(Calculator!E23,tbSkills!DH3:DI6,2,FALSE)+IF(AND(Calculator!B8=TRUE,Backdoors!BI36=TRUE),VLOOKUP(Calculator!E23,tbSkills!DH3:DJ6,3,FALSE),0),0))&gt;=0,1+(Backdoors!AL2*(IF((Backdoors!AI12+IF(HY5&gt;=0.45,VLOOKUP(Calculator!E23,tbSkills!DH3:DI6,2,FALSE)+IF(AND(Calculator!B8=TRUE,Backdoors!BI36=TRUE),VLOOKUP(Calculator!E23,tbSkills!DH3:DJ6,3,FALSE),0),0))&gt;=100,100,(Backdoors!AI12+IF(HY5&gt;=0.45,VLOOKUP(Calculator!E23,tbSkills!DH3:DI6,2,FALSE)+IF(AND(Calculator!B8=TRUE,Backdoors!BI36=TRUE),VLOOKUP(Calculator!E23,tbSkills!DH3:DJ6,3,FALSE),0),0)))/100)),(1-(0.25*((-Backdoors!AI12-IF(HY5&gt;=0.45,VLOOKUP(Calculator!E23,tbSkills!DH3:DI6,2,FALSE)+IF(AND(Calculator!B8=TRUE,Backdoors!BI36=TRUE),VLOOKUP(Calculator!E23,tbSkills!DH3:DJ6,3,FALSE),0),0))/100)))),1),"")</f>
        <v>1</v>
      </c>
      <c r="IB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Y5)*IA5)*(VLOOKUP(A5,tbMoveset!A2:C112,3,FALSE)/100)*IF(VLOOKUP(A5,tbMoveset!A2:B112,2,FALSE)="Projectile",Backdoors!N10,Backdoors!N9),0),"")</f>
        <v/>
      </c>
      <c r="IC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Y5&gt;=0.45,VLOOKUP(Calculator!E23,tbSkills!DH3:DI6,2,FALSE)+IF(AND(Calculator!B8=TRUE,Backdoors!BI36=TRUE),VLOOKUP(Calculator!E23,tbSkills!DH3:DJ6,3,FALSE),0),0))&gt;=100,100,(Backdoors!AI12+IF(HY5&gt;=0.45,VLOOKUP(Calculator!E23,tbSkills!DH3:DI6,2,FALSE)+IF(AND(Calculator!B8=TRUE,Backdoors!BI36=TRUE),VLOOKUP(Calculator!E23,tbSkills!DH3:DJ6,3,FALSE),0),0)))/100)),1))*IF(VLOOKUP(A5,tbMoveset!A2:K112,11,FALSE)=TRUE,Backdoors!AC5,1))*HZ5,0),"")</f>
        <v>0</v>
      </c>
      <c r="ID5" s="49">
        <f>VLOOKUP(A5,tbMoveset!A2:G112,7,FALSE)*IFERROR(IF(Backdoors!AI12&gt;=0,1+(IF(Calculator!E40&gt;0,VLOOKUP(Calculator!E40,tbSkills!AI3:AJ5,2,FALSE),Backdoors!AL4)*(IF((Backdoors!AI12+IF(HY5&gt;=0.45,VLOOKUP(Calculator!E23,tbSkills!DH3:DI6,2,FALSE)+IF(AND(Calculator!B8=TRUE,Backdoors!BI36=TRUE),VLOOKUP(Calculator!E23,tbSkills!DH3:DJ6,3,FALSE),0),0))&gt;=100,100,(Backdoors!AI12+IF(HY5&gt;=0.45,VLOOKUP(Calculator!E23,tbSkills!DH3:DI6,2,FALSE)+IF(AND(Calculator!B8=TRUE,Backdoors!BI36=TRUE),VLOOKUP(Calculator!E23,tbSkills!DH3:DJ6,3,FALSE),0),0)))/100)),1),1)</f>
        <v>0.4</v>
      </c>
      <c r="IE5" s="87">
        <f t="shared" si="26"/>
        <v>0</v>
      </c>
      <c r="IF5" s="86" t="str">
        <f>IFERROR(IF(VLOOKUP(A5,tbMoveset!A2:B112,2,FALSE)="Sever",Backdoors!AY37/100,IF(VLOOKUP(A5,tbMoveset!A2:B112,2,FALSE)="Blunt",Backdoors!AZ37/100,Backdoors!BA37/100)),"")</f>
        <v/>
      </c>
      <c r="IG5" s="49">
        <f>IFERROR(IF(VLOOKUP(tbMoveset!A5,tbMoveset!A2:H112,8,FALSE)="Other",IF(VLOOKUP(tbMoveset!A5,tbMoveset!A2:I112,9,FALSE)="Fire",Backdoors!BB37,IF(VLOOKUP(tbMoveset!A5,tbMoveset!A2:I112,9,FALSE)="Water",Backdoors!BC37,IF(VLOOKUP(tbMoveset!A5,tbMoveset!A2:I112,9,FALSE)="Thunder",Backdoors!BD37,IF(VLOOKUP(tbMoveset!A5,tbMoveset!A2:I112,9,FALSE)="Ice",Backdoors!BE37,IF(VLOOKUP(tbMoveset!A5,tbMoveset!A2:I112,9,FALSE)="Dragon",Backdoors!BF37,Backdoors!BG37)))))/100,Backdoors!BG37/100),"")</f>
        <v>0</v>
      </c>
      <c r="IH5" s="49">
        <f>IFERROR(IF(VLOOKUP(A5,tbMoveset!A2:J112,10,FALSE)=TRUE,IF((Backdoors!AI12+IF(IF5&gt;=0.45,VLOOKUP(Calculator!E23,tbSkills!DH3:DI6,2,FALSE)+IF(AND(Calculator!B8=TRUE,Backdoors!BI37=TRUE),VLOOKUP(Calculator!E23,tbSkills!DH3:DJ6,3,FALSE),0),0))&gt;=0,1+(Backdoors!AL2*(IF((Backdoors!AI12+IF(IF5&gt;=0.45,VLOOKUP(Calculator!E23,tbSkills!DH3:DI6,2,FALSE)+IF(AND(Calculator!B8=TRUE,Backdoors!BI37=TRUE),VLOOKUP(Calculator!E23,tbSkills!DH3:DJ6,3,FALSE),0),0))&gt;=100,100,(Backdoors!AI12+IF(IF5&gt;=0.45,VLOOKUP(Calculator!E23,tbSkills!DH3:DI6,2,FALSE)+IF(AND(Calculator!B8=TRUE,Backdoors!BI37=TRUE),VLOOKUP(Calculator!E23,tbSkills!DH3:DJ6,3,FALSE),0),0)))/100)),(1-(0.25*((-Backdoors!AI12-IF(IF5&gt;=0.45,VLOOKUP(Calculator!E23,tbSkills!DH3:DI6,2,FALSE)+IF(AND(Calculator!B8=TRUE,Backdoors!BI37=TRUE),VLOOKUP(Calculator!E23,tbSkills!DH3:DJ6,3,FALSE),0),0))/100)))),1),"")</f>
        <v>1</v>
      </c>
      <c r="II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F5)*IH5)*(VLOOKUP(A5,tbMoveset!A2:C112,3,FALSE)/100)*IF(VLOOKUP(A5,tbMoveset!A2:B112,2,FALSE)="Projectile",Backdoors!N10,Backdoors!N9),0),"")</f>
        <v/>
      </c>
      <c r="IJ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IF5&gt;=0.45,VLOOKUP(Calculator!E23,tbSkills!DH3:DI6,2,FALSE)+IF(AND(Calculator!B8=TRUE,Backdoors!BI37=TRUE),VLOOKUP(Calculator!E23,tbSkills!DH3:DJ6,3,FALSE),0),0))&gt;=100,100,(Backdoors!AI12+IF(IF5&gt;=0.45,VLOOKUP(Calculator!E23,tbSkills!DH3:DI6,2,FALSE)+IF(AND(Calculator!B8=TRUE,Backdoors!BI37=TRUE),VLOOKUP(Calculator!E23,tbSkills!DH3:DJ6,3,FALSE),0),0)))/100)),1))*IF(VLOOKUP(A5,tbMoveset!A2:K112,11,FALSE)=TRUE,Backdoors!AC5,1))*IG5,0),"")</f>
        <v>0</v>
      </c>
      <c r="IK5" s="49">
        <f>VLOOKUP(A5,tbMoveset!A2:G112,7,FALSE)*IFERROR(IF(Backdoors!AI12&gt;=0,1+(IF(Calculator!E40&gt;0,VLOOKUP(Calculator!E40,tbSkills!AI3:AJ5,2,FALSE),Backdoors!AL4)*(IF((Backdoors!AI12+IF(IF5&gt;=0.45,VLOOKUP(Calculator!E23,tbSkills!DH3:DI6,2,FALSE)+IF(AND(Calculator!B8=TRUE,Backdoors!BI37=TRUE),VLOOKUP(Calculator!E23,tbSkills!DH3:DJ6,3,FALSE),0),0))&gt;=100,100,(Backdoors!AI12+IF(IF5&gt;=0.45,VLOOKUP(Calculator!E23,tbSkills!DH3:DI6,2,FALSE)+IF(AND(Calculator!B8=TRUE,Backdoors!BI37=TRUE),VLOOKUP(Calculator!E23,tbSkills!DH3:DJ6,3,FALSE),0),0)))/100)),1),1)</f>
        <v>0.4</v>
      </c>
      <c r="IL5" s="87">
        <f t="shared" si="27"/>
        <v>0</v>
      </c>
      <c r="IM5" s="86" t="str">
        <f>IFERROR(IF(VLOOKUP(A5,tbMoveset!A2:B112,2,FALSE)="Sever",Backdoors!AY38/100,IF(VLOOKUP(A5,tbMoveset!A2:B112,2,FALSE)="Blunt",Backdoors!AZ38/100,Backdoors!BA38/100)),"")</f>
        <v/>
      </c>
      <c r="IN5" s="49">
        <f>IFERROR(IF(VLOOKUP(tbMoveset!A5,tbMoveset!A2:H112,8,FALSE)="Other",IF(VLOOKUP(tbMoveset!A5,tbMoveset!A2:I112,9,FALSE)="Fire",Backdoors!BB38,IF(VLOOKUP(tbMoveset!A5,tbMoveset!A2:I112,9,FALSE)="Water",Backdoors!BC38,IF(VLOOKUP(tbMoveset!A5,tbMoveset!A2:I112,9,FALSE)="Thunder",Backdoors!BD38,IF(VLOOKUP(tbMoveset!A5,tbMoveset!A2:I112,9,FALSE)="Ice",Backdoors!BE38,IF(VLOOKUP(tbMoveset!A5,tbMoveset!A2:I112,9,FALSE)="Dragon",Backdoors!BF38,Backdoors!BG38)))))/100,Backdoors!BG38/100),"")</f>
        <v>0</v>
      </c>
      <c r="IO5" s="49">
        <f>IFERROR(IF(VLOOKUP(A5,tbMoveset!A2:J112,10,FALSE)=TRUE,IF((Backdoors!AI12+IF(IM5&gt;=0.45,VLOOKUP(Calculator!E23,tbSkills!DH3:DI6,2,FALSE)+IF(AND(Calculator!B8=TRUE,Backdoors!BI38=TRUE),VLOOKUP(Calculator!E23,tbSkills!DH3:DJ6,3,FALSE),0),0))&gt;=0,1+(Backdoors!AL2*(IF((Backdoors!AI12+IF(IM5&gt;=0.45,VLOOKUP(Calculator!E23,tbSkills!DH3:DI6,2,FALSE)+IF(AND(Calculator!B8=TRUE,Backdoors!BI38=TRUE),VLOOKUP(Calculator!E23,tbSkills!DH3:DJ6,3,FALSE),0),0))&gt;=100,100,(Backdoors!AI12+IF(IM5&gt;=0.45,VLOOKUP(Calculator!E23,tbSkills!DH3:DI6,2,FALSE)+IF(AND(Calculator!B8=TRUE,Backdoors!BI38=TRUE),VLOOKUP(Calculator!E23,tbSkills!DH3:DJ6,3,FALSE),0),0)))/100)),(1-(0.25*((-Backdoors!AI12-IF(IM5&gt;=0.45,VLOOKUP(Calculator!E23,tbSkills!DH3:DI6,2,FALSE)+IF(AND(Calculator!B8=TRUE,Backdoors!BI38=TRUE),VLOOKUP(Calculator!E23,tbSkills!DH3:DJ6,3,FALSE),0),0))/100)))),1),"")</f>
        <v>1</v>
      </c>
      <c r="IP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M5)*IO5)*(VLOOKUP(A5,tbMoveset!A2:C112,3,FALSE)/100)*IF(VLOOKUP(A5,tbMoveset!A2:B112,2,FALSE)="Projectile",Backdoors!N10,Backdoors!N9),0),"")</f>
        <v/>
      </c>
      <c r="IQ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IM5&gt;=0.45,VLOOKUP(Calculator!E23,tbSkills!DH3:DI6,2,FALSE)+IF(AND(Calculator!B8=TRUE,Backdoors!BI38=TRUE),VLOOKUP(Calculator!E23,tbSkills!DH3:DJ6,3,FALSE),0),0))&gt;=100,100,(Backdoors!AI12+IF(IM5&gt;=0.45,VLOOKUP(Calculator!E23,tbSkills!DH3:DI6,2,FALSE)+IF(AND(Calculator!B8=TRUE,Backdoors!BI38=TRUE),VLOOKUP(Calculator!E23,tbSkills!DH3:DJ6,3,FALSE),0),0)))/100)),1))*IF(VLOOKUP(A5,tbMoveset!A2:K112,11,FALSE)=TRUE,Backdoors!AC5,1))*IN5,0),"")</f>
        <v>0</v>
      </c>
      <c r="IR5" s="49">
        <f>VLOOKUP(A5,tbMoveset!A2:G112,7,FALSE)*IFERROR(IF(Backdoors!AI12&gt;=0,1+(IF(Calculator!E40&gt;0,VLOOKUP(Calculator!E40,tbSkills!AI3:AJ5,2,FALSE),Backdoors!AL4)*(IF((Backdoors!AI12+IF(IM5&gt;=0.45,VLOOKUP(Calculator!E23,tbSkills!DH3:DI6,2,FALSE)+IF(AND(Calculator!B8=TRUE,Backdoors!BI38=TRUE),VLOOKUP(Calculator!E23,tbSkills!DH3:DJ6,3,FALSE),0),0))&gt;=100,100,(Backdoors!AI12+IF(IM5&gt;=0.45,VLOOKUP(Calculator!E23,tbSkills!DH3:DI6,2,FALSE)+IF(AND(Calculator!B8=TRUE,Backdoors!BI38=TRUE),VLOOKUP(Calculator!E23,tbSkills!DH3:DJ6,3,FALSE),0),0)))/100)),1),1)</f>
        <v>0.4</v>
      </c>
      <c r="IS5" s="87">
        <f t="shared" ref="IS5:IS67" si="42">SUM(IP5:IQ5)</f>
        <v>0</v>
      </c>
      <c r="IT5" s="86" t="str">
        <f>IFERROR(IF(VLOOKUP(A5,tbMoveset!A2:B112,2,FALSE)="Sever",Backdoors!AY39/100,IF(VLOOKUP(A5,tbMoveset!A2:B112,2,FALSE)="Blunt",Backdoors!AZ39/100,Backdoors!BA39/100)),"")</f>
        <v/>
      </c>
      <c r="IU5" s="49">
        <f>IFERROR(IF(VLOOKUP(tbMoveset!A5,tbMoveset!A2:H112,8,FALSE)="Other",IF(VLOOKUP(tbMoveset!A5,tbMoveset!A2:I112,9,FALSE)="Fire",Backdoors!BB39,IF(VLOOKUP(tbMoveset!A5,tbMoveset!A2:I112,9,FALSE)="Water",Backdoors!BC39,IF(VLOOKUP(tbMoveset!A5,tbMoveset!A2:I112,9,FALSE)="Thunder",Backdoors!BD39,IF(VLOOKUP(tbMoveset!A5,tbMoveset!A2:I112,9,FALSE)="Ice",Backdoors!BE39,IF(VLOOKUP(tbMoveset!A5,tbMoveset!A2:I112,9,FALSE)="Dragon",Backdoors!BF39,Backdoors!BG39)))))/100,Backdoors!BG39/100),"")</f>
        <v>0</v>
      </c>
      <c r="IV5" s="49">
        <f>IFERROR(IF(VLOOKUP(A5,tbMoveset!A2:J112,10,FALSE)=TRUE,IF((Backdoors!AI12+IF(IT5&gt;=0.45,VLOOKUP(Calculator!E23,tbSkills!DH3:DI6,2,FALSE)+IF(AND(Calculator!B8=TRUE,Backdoors!BI39=TRUE),VLOOKUP(Calculator!E23,tbSkills!DH3:DJ6,3,FALSE),0),0))&gt;=0,1+(Backdoors!AL2*(IF((Backdoors!AI12+IF(IT5&gt;=0.45,VLOOKUP(Calculator!E23,tbSkills!DH3:DI6,2,FALSE)+IF(AND(Calculator!B8=TRUE,Backdoors!BI39=TRUE),VLOOKUP(Calculator!E23,tbSkills!DH3:DJ6,3,FALSE),0),0))&gt;=100,100,(Backdoors!AI12+IF(IT5&gt;=0.45,VLOOKUP(Calculator!E23,tbSkills!DH3:DI6,2,FALSE)+IF(AND(Calculator!B8=TRUE,Backdoors!BI39=TRUE),VLOOKUP(Calculator!E23,tbSkills!DH3:DJ6,3,FALSE),0),0)))/100)),(1-(0.25*((-Backdoors!AI12-IF(IT5&gt;=0.45,VLOOKUP(Calculator!E23,tbSkills!DH3:DI6,2,FALSE)+IF(AND(Calculator!B8=TRUE,Backdoors!BI39=TRUE),VLOOKUP(Calculator!E23,tbSkills!DH3:DJ6,3,FALSE),0),0))/100)))),1),"")</f>
        <v>1</v>
      </c>
      <c r="IW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T5)*IV5)*(VLOOKUP(A5,tbMoveset!A2:C112,3,FALSE)/100)*IF(VLOOKUP(A5,tbMoveset!A2:B112,2,FALSE)="Projectile",Backdoors!N10,Backdoors!N9),0),"")</f>
        <v/>
      </c>
      <c r="IX5" s="49">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40&gt;0,VLOOKUP(Calculator!E40,tbSkills!AC3:AD5,2,FALSE),Backdoors!AL3)*(IF((Backdoors!AI12+IF(IT5&gt;=0.45,VLOOKUP(Calculator!E23,tbSkills!DH3:DI6,2,FALSE)+IF(AND(Calculator!B8=TRUE,Backdoors!BI39=TRUE),VLOOKUP(Calculator!E23,tbSkills!DH3:DJ6,3,FALSE),0),0))&gt;=100,100,(Backdoors!AI12+IF(IT5&gt;=0.45,VLOOKUP(Calculator!E23,tbSkills!DH3:DI6,2,FALSE)+IF(AND(Calculator!B8=TRUE,Backdoors!BI39=TRUE),VLOOKUP(Calculator!E23,tbSkills!DH3:DJ6,3,FALSE),0),0)))/100)),1))*IF(VLOOKUP(A5,tbMoveset!A2:K112,11,FALSE)=TRUE,Backdoors!AC5,1))*IU5,0),"")</f>
        <v>0</v>
      </c>
      <c r="IY5" s="49">
        <f>VLOOKUP(A5,tbMoveset!A2:G112,7,FALSE)*IFERROR(IF(Backdoors!AI12&gt;=0,1+(IF(Calculator!E40&gt;0,VLOOKUP(Calculator!E40,tbSkills!AI3:AJ5,2,FALSE),Backdoors!AL4)*(IF((Backdoors!AI12+IF(IT5&gt;=0.45,VLOOKUP(Calculator!E23,tbSkills!DH3:DI6,2,FALSE)+IF(AND(Calculator!B8=TRUE,Backdoors!BI39=TRUE),VLOOKUP(Calculator!E23,tbSkills!DH3:DJ6,3,FALSE),0),0))&gt;=100,100,(Backdoors!AI12+IF(IT5&gt;=0.45,VLOOKUP(Calculator!E23,tbSkills!DH3:DI6,2,FALSE)+IF(AND(Calculator!B8=TRUE,Backdoors!BI39=TRUE),VLOOKUP(Calculator!E23,tbSkills!DH3:DJ6,3,FALSE),0),0)))/100)),1),1)</f>
        <v>0.4</v>
      </c>
      <c r="IZ5" s="87">
        <f t="shared" si="28"/>
        <v>0</v>
      </c>
      <c r="JA5" s="86" t="str">
        <f>IFERROR(IF(VLOOKUP(A5,tbMoveset!A2:B112,2,FALSE)="Sever",Backdoors!AY40/100,IF(VLOOKUP(A5,tbMoveset!A2:B112,2,FALSE)="Blunt",Backdoors!AZ40/100,Backdoors!BA40/100)),"")</f>
        <v/>
      </c>
      <c r="JB5" s="49">
        <f>IFERROR(IF(VLOOKUP(tbMoveset!A5,tbMoveset!A2:H112,8,FALSE)="Other",IF(VLOOKUP(tbMoveset!A5,tbMoveset!A2:I112,9,FALSE)="Fire",Backdoors!BB40,IF(VLOOKUP(tbMoveset!A5,tbMoveset!A2:I112,9,FALSE)="Water",Backdoors!BC40,IF(VLOOKUP(tbMoveset!A5,tbMoveset!A2:I112,9,FALSE)="Thunder",Backdoors!BD40,IF(VLOOKUP(tbMoveset!A5,tbMoveset!A2:I112,9,FALSE)="Ice",Backdoors!BE40,IF(VLOOKUP(tbMoveset!A5,tbMoveset!A2:I112,9,FALSE)="Dragon",Backdoors!BF40,Backdoors!BG40)))))/100,Backdoors!BG40/100),"")</f>
        <v>0</v>
      </c>
      <c r="JC5" s="49">
        <f>IFERROR(IF(VLOOKUP(A5,tbMoveset!A2:J112,10,FALSE)=TRUE,IF((Backdoors!AI12+IF(JA5&gt;=0.45,VLOOKUP(Calculator!E23,tbSkills!DH3:DI6,2,FALSE)+IF(AND(Calculator!B8=TRUE,Backdoors!BI40=TRUE),VLOOKUP(Calculator!E23,tbSkills!DH3:DJ6,3,FALSE),0),0))&gt;=0,1+(Backdoors!AL2*(IF((Backdoors!AI12+IF(JA5&gt;=0.45,VLOOKUP(Calculator!E23,tbSkills!DH3:DI6,2,FALSE)+IF(AND(Calculator!B8=TRUE,Backdoors!BI40=TRUE),VLOOKUP(Calculator!E23,tbSkills!DH3:DJ6,3,FALSE),0),0))&gt;=100,100,(Backdoors!AI12+IF(JA5&gt;=0.45,VLOOKUP(Calculator!E23,tbSkills!DH3:DI6,2,FALSE)+IF(AND(Calculator!B8=TRUE,Backdoors!BI40=TRUE),VLOOKUP(Calculator!E23,tbSkills!DH3:DJ6,3,FALSE),0),0)))/100)),(1-(0.25*((-Backdoors!AI12-IF(JA5&gt;=0.45,VLOOKUP(Calculator!E23,tbSkills!DH3:DI6,2,FALSE)+IF(AND(Calculator!B8=TRUE,Backdoors!BI40=TRUE),VLOOKUP(Calculator!E23,tbSkills!DH3:DJ6,3,FALSE),0),0))/100)))),1),"")</f>
        <v>1</v>
      </c>
      <c r="JD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A5)*JC5)*(VLOOKUP(A5,tbMoveset!A2:C112,3,FALSE)/100)*IF(VLOOKUP(A5,tbMoveset!A2:B112,2,FALSE)="Projectile",Backdoors!N10,Backdoors!N9),0),"")</f>
        <v/>
      </c>
      <c r="JE5" s="49">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42&gt;0,VLOOKUP(Calculator!E42,tbSkills!AC3:AD5,2,FALSE),Backdoors!AL3)*(IF((Backdoors!AI12+IF(JA5&gt;=0.45,VLOOKUP(Calculator!E23,tbSkills!DH3:DI6,2,FALSE)+IF(AND(Calculator!B8=TRUE,Backdoors!BI40=TRUE),VLOOKUP(Calculator!E23,tbSkills!DH3:DJ6,3,FALSE),0),0))&gt;=100,100,(Backdoors!AI12+IF(JA5&gt;=0.45,VLOOKUP(Calculator!E23,tbSkills!DH3:DI6,2,FALSE)+IF(AND(Calculator!B8=TRUE,Backdoors!BI40=TRUE),VLOOKUP(Calculator!E23,tbSkills!DH3:DJ6,3,FALSE),0),0)))/100)),1))*IF(VLOOKUP(A5,tbMoveset!A2:K112,11,FALSE)=TRUE,Backdoors!AC5,1))*JB5,0),"")</f>
        <v>0</v>
      </c>
      <c r="JF5" s="49">
        <f>VLOOKUP(A5,tbMoveset!A2:G112,7,FALSE)*IFERROR(IF(Backdoors!AI12&gt;=0,1+(IF(Calculator!E40&gt;0,VLOOKUP(Calculator!E40,tbSkills!AI3:AJ5,2,FALSE),Backdoors!AL4)*(IF((Backdoors!AI12+IF(JA5&gt;=0.45,VLOOKUP(Calculator!E23,tbSkills!DH3:DI6,2,FALSE)+IF(AND(Calculator!B8=TRUE,Backdoors!BI40=TRUE),VLOOKUP(Calculator!E23,tbSkills!DH3:DJ6,3,FALSE),0),0))&gt;=100,100,(Backdoors!AI12+IF(JA5&gt;=0.45,VLOOKUP(Calculator!E23,tbSkills!DH3:DI6,2,FALSE)+IF(AND(Calculator!B8=TRUE,Backdoors!BI40=TRUE),VLOOKUP(Calculator!E23,tbSkills!DH3:DJ6,3,FALSE),0),0)))/100)),1),1)</f>
        <v>0.4</v>
      </c>
      <c r="JG5" s="87">
        <f t="shared" si="29"/>
        <v>0</v>
      </c>
      <c r="JH5" s="86" t="str">
        <f>IFERROR(IF(VLOOKUP(A5,tbMoveset!A2:B112,2,FALSE)="Sever",Backdoors!AY41/100,IF(VLOOKUP(A5,tbMoveset!A2:B112,2,FALSE)="Blunt",Backdoors!AZ41/100,Backdoors!BA41/100)),"")</f>
        <v/>
      </c>
      <c r="JI5" s="49">
        <f>IFERROR(IF(VLOOKUP(tbMoveset!A5,tbMoveset!A2:H112,8,FALSE)="Other",IF(VLOOKUP(tbMoveset!A5,tbMoveset!A2:I112,9,FALSE)="Fire",Backdoors!BB41,IF(VLOOKUP(tbMoveset!A5,tbMoveset!A2:I112,9,FALSE)="Water",Backdoors!BC41,IF(VLOOKUP(tbMoveset!A5,tbMoveset!A2:I112,9,FALSE)="Thunder",Backdoors!BD41,IF(VLOOKUP(tbMoveset!A5,tbMoveset!A2:I112,9,FALSE)="Ice",Backdoors!BE41,IF(VLOOKUP(tbMoveset!A5,tbMoveset!A2:I112,9,FALSE)="Dragon",Backdoors!BF41,Backdoors!BG41)))))/100,Backdoors!BG41/100),"")</f>
        <v>0</v>
      </c>
      <c r="JJ5" s="49">
        <f>IFERROR(IF(VLOOKUP(A5,tbMoveset!A2:J112,10,FALSE)=TRUE,IF((Backdoors!AI12+IF(JH5&gt;=0.45,VLOOKUP(Calculator!E23,tbSkills!DH3:DI6,2,FALSE)+IF(AND(Calculator!B8=TRUE,Backdoors!BI41=TRUE),VLOOKUP(Calculator!E23,tbSkills!DH3:DJ6,3,FALSE),0),0))&gt;=0,1+(Backdoors!AL2*(IF((Backdoors!AI12+IF(JH5&gt;=0.45,VLOOKUP(Calculator!E23,tbSkills!DH3:DI6,2,FALSE)+IF(AND(Calculator!B8=TRUE,Backdoors!BI41=TRUE),VLOOKUP(Calculator!E23,tbSkills!DH3:DJ6,3,FALSE),0),0))&gt;=100,100,(Backdoors!AI12+IF(JH5&gt;=0.45,VLOOKUP(Calculator!E23,tbSkills!DH3:DI6,2,FALSE)+IF(AND(Calculator!B8=TRUE,Backdoors!BI41=TRUE),VLOOKUP(Calculator!E23,tbSkills!DH3:DJ6,3,FALSE),0),0)))/100)),(1-(0.25*((-Backdoors!AI12-IF(JH5&gt;=0.45,VLOOKUP(Calculator!E23,tbSkills!DH3:DI6,2,FALSE)+IF(AND(Calculator!B8=TRUE,Backdoors!BI41=TRUE),VLOOKUP(Calculator!E23,tbSkills!DH3:DJ6,3,FALSE),0),0))/100)))),1),"")</f>
        <v>1</v>
      </c>
      <c r="JK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H5)*JJ5)*(VLOOKUP(A5,tbMoveset!A2:C112,3,FALSE)/100)*IF(VLOOKUP(A5,tbMoveset!A2:B112,2,FALSE)="Projectile",Backdoors!N10,Backdoors!N9),0),"")</f>
        <v/>
      </c>
      <c r="JL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43&gt;0,VLOOKUP(Calculator!E43,tbSkills!AC3:AD5,2,FALSE),Backdoors!AL3)*(IF((Backdoors!AI12+IF(JH5&gt;=0.45,VLOOKUP(Calculator!E23,tbSkills!DH3:DI6,2,FALSE)+IF(AND(Calculator!B8=TRUE,Backdoors!BI41=TRUE),VLOOKUP(Calculator!E23,tbSkills!DH3:DJ6,3,FALSE),0),0))&gt;=100,100,(Backdoors!AI12+IF(JH5&gt;=0.45,VLOOKUP(Calculator!E23,tbSkills!DH3:DI6,2,FALSE)+IF(AND(Calculator!B8=TRUE,Backdoors!BI41=TRUE),VLOOKUP(Calculator!E23,tbSkills!DH3:DJ6,3,FALSE),0),0)))/100)),1))*IF(VLOOKUP(A5,tbMoveset!A2:K112,11,FALSE)=TRUE,Backdoors!AC5,1))*JI5,0),"")</f>
        <v/>
      </c>
      <c r="JM5" s="49">
        <f>VLOOKUP(A5,tbMoveset!A2:G112,7,FALSE)*IFERROR(IF(Backdoors!AI12&gt;=0,1+(IF(Calculator!E40&gt;0,VLOOKUP(Calculator!E40,tbSkills!AI3:AJ5,2,FALSE),Backdoors!AL4)*(IF((Backdoors!AI12+IF(JH5&gt;=0.45,VLOOKUP(Calculator!E23,tbSkills!DH3:DI6,2,FALSE)+IF(AND(Calculator!B8=TRUE,Backdoors!BI41=TRUE),VLOOKUP(Calculator!E23,tbSkills!DH3:DJ6,3,FALSE),0),0))&gt;=100,100,(Backdoors!AI12+IF(JH5&gt;=0.45,VLOOKUP(Calculator!E23,tbSkills!DH3:DI6,2,FALSE)+IF(AND(Calculator!B8=TRUE,Backdoors!BI41=TRUE),VLOOKUP(Calculator!E23,tbSkills!DH3:DJ6,3,FALSE),0),0)))/100)),1),1)</f>
        <v>0.4</v>
      </c>
      <c r="JN5" s="87">
        <f t="shared" si="30"/>
        <v>0</v>
      </c>
      <c r="JO5" s="86" t="str">
        <f>IFERROR(IF(VLOOKUP(A5,tbMoveset!A2:B112,2,FALSE)="Sever",Backdoors!AY42/100,IF(VLOOKUP(A5,tbMoveset!A2:B112,2,FALSE)="Blunt",Backdoors!AZ42/100,Backdoors!BA42/100)),"")</f>
        <v/>
      </c>
      <c r="JP5" s="49">
        <f>IFERROR(IF(VLOOKUP(tbMoveset!A5,tbMoveset!A2:H112,8,FALSE)="Other",IF(VLOOKUP(tbMoveset!A5,tbMoveset!A2:I112,9,FALSE)="Fire",Backdoors!BB42,IF(VLOOKUP(tbMoveset!A5,tbMoveset!A2:I112,9,FALSE)="Water",Backdoors!BC42,IF(VLOOKUP(tbMoveset!A5,tbMoveset!A2:I112,9,FALSE)="Thunder",Backdoors!BD42,IF(VLOOKUP(tbMoveset!A5,tbMoveset!A2:I112,9,FALSE)="Ice",Backdoors!BE42,IF(VLOOKUP(tbMoveset!A5,tbMoveset!A2:I112,9,FALSE)="Dragon",Backdoors!BF42,Backdoors!BG42)))))/100,Backdoors!BG42/100),"")</f>
        <v>0</v>
      </c>
      <c r="JQ5" s="49">
        <f>IFERROR(IF(VLOOKUP(A5,tbMoveset!A2:J112,10,FALSE)=TRUE,IF((Backdoors!AI12+IF(JO5&gt;=0.45,VLOOKUP(Calculator!E23,tbSkills!DH3:DI6,2,FALSE)+IF(AND(Calculator!B8=TRUE,Backdoors!BI42=TRUE),VLOOKUP(Calculator!E23,tbSkills!DH3:DJ6,3,FALSE),0),0))&gt;=0,1+(Backdoors!AL2*(IF((Backdoors!AI12+IF(JO5&gt;=0.45,VLOOKUP(Calculator!E23,tbSkills!DH3:DI6,2,FALSE)+IF(AND(Calculator!B8=TRUE,Backdoors!BI42=TRUE),VLOOKUP(Calculator!E23,tbSkills!DH3:DJ6,3,FALSE),0),0))&gt;=100,100,(Backdoors!AI12+IF(JO5&gt;=0.45,VLOOKUP(Calculator!E23,tbSkills!DH3:DI6,2,FALSE)+IF(AND(Calculator!B8=TRUE,Backdoors!BI42=TRUE),VLOOKUP(Calculator!E23,tbSkills!DH3:DJ6,3,FALSE),0),0)))/100)),(1-(0.25*((-Backdoors!AI12-IF(JO5&gt;=0.45,VLOOKUP(Calculator!E23,tbSkills!DH3:DI6,2,FALSE)+IF(AND(Calculator!B8=TRUE,Backdoors!BI42=TRUE),VLOOKUP(Calculator!E23,tbSkills!DH3:DJ6,3,FALSE),0),0))/100)))),1),"")</f>
        <v>1</v>
      </c>
      <c r="JR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O5)*JQ5)*(VLOOKUP(A5,tbMoveset!A2:C112,3,FALSE)/100)*IF(VLOOKUP(A5,tbMoveset!A2:B112,2,FALSE)="Projectile",Backdoors!N10,Backdoors!N9),0),"")</f>
        <v/>
      </c>
      <c r="JS5" s="49">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45&gt;0,VLOOKUP(Calculator!E45,tbSkills!AC3:AD5,2,FALSE),Backdoors!AL3)*(IF((Backdoors!AI12+IF(JO5&gt;=0.45,VLOOKUP(Calculator!E23,tbSkills!DH3:DI6,2,FALSE)+IF(AND(Calculator!B8=TRUE,Backdoors!BI42=TRUE),VLOOKUP(Calculator!E23,tbSkills!DH3:DJ6,3,FALSE),0),0))&gt;=100,100,(Backdoors!AI12+IF(JO5&gt;=0.45,VLOOKUP(Calculator!E23,tbSkills!DH3:DI6,2,FALSE)+IF(AND(Calculator!B8=TRUE,Backdoors!BI42=TRUE),VLOOKUP(Calculator!E23,tbSkills!DH3:DJ6,3,FALSE),0),0)))/100)),1))*IF(VLOOKUP(A5,tbMoveset!A2:K112,11,FALSE)=TRUE,Backdoors!AC5,1))*JP5,0),"")</f>
        <v>0</v>
      </c>
      <c r="JT5" s="49">
        <f>VLOOKUP(A5,tbMoveset!A2:G112,7,FALSE)*IFERROR(IF(Backdoors!AI12&gt;=0,1+(IF(Calculator!E40&gt;0,VLOOKUP(Calculator!E40,tbSkills!AI3:AJ5,2,FALSE),Backdoors!AL4)*(IF((Backdoors!AI12+IF(JO5&gt;=0.45,VLOOKUP(Calculator!E23,tbSkills!DH3:DI6,2,FALSE)+IF(AND(Calculator!B8=TRUE,Backdoors!BI42=TRUE),VLOOKUP(Calculator!E23,tbSkills!DH3:DJ6,3,FALSE),0),0))&gt;=100,100,(Backdoors!AI12+IF(JO5&gt;=0.45,VLOOKUP(Calculator!E23,tbSkills!DH3:DI6,2,FALSE)+IF(AND(Calculator!B8=TRUE,Backdoors!BI42=TRUE),VLOOKUP(Calculator!E23,tbSkills!DH3:DJ6,3,FALSE),0),0)))/100)),1),1)</f>
        <v>0.4</v>
      </c>
      <c r="JU5" s="87">
        <f t="shared" si="31"/>
        <v>0</v>
      </c>
      <c r="JV5" s="86" t="str">
        <f>IFERROR(IF(VLOOKUP(A5,tbMoveset!A2:B112,2,FALSE)="Sever",Backdoors!AY43/100,IF(VLOOKUP(A5,tbMoveset!A2:B112,2,FALSE)="Blunt",Backdoors!AZ43/100,Backdoors!BA43/100)),"")</f>
        <v/>
      </c>
      <c r="JW5" s="49">
        <f>IFERROR(IF(VLOOKUP(tbMoveset!A5,tbMoveset!A2:H112,8,FALSE)="Other",IF(VLOOKUP(tbMoveset!A5,tbMoveset!A2:I112,9,FALSE)="Fire",Backdoors!BB43,IF(VLOOKUP(tbMoveset!A5,tbMoveset!A2:I112,9,FALSE)="Water",Backdoors!BC43,IF(VLOOKUP(tbMoveset!A5,tbMoveset!A2:I112,9,FALSE)="Thunder",Backdoors!BD43,IF(VLOOKUP(tbMoveset!A5,tbMoveset!A2:I112,9,FALSE)="Ice",Backdoors!BE43,IF(VLOOKUP(tbMoveset!A5,tbMoveset!A2:I112,9,FALSE)="Dragon",Backdoors!BF43,Backdoors!BG43)))))/100,Backdoors!BG43/100),"")</f>
        <v>0</v>
      </c>
      <c r="JX5" s="49">
        <f>IFERROR(IF(VLOOKUP(A5,tbMoveset!A2:J112,10,FALSE)=TRUE,IF((Backdoors!AI12+IF(JV5&gt;=0.45,VLOOKUP(Calculator!E23,tbSkills!DH3:DI6,2,FALSE)+IF(AND(Calculator!B8=TRUE,Backdoors!BI43=TRUE),VLOOKUP(Calculator!E23,tbSkills!DH3:DJ6,3,FALSE),0),0))&gt;=0,1+(Backdoors!AL2*(IF((Backdoors!AI12+IF(JV5&gt;=0.45,VLOOKUP(Calculator!E23,tbSkills!DH3:DI6,2,FALSE)+IF(AND(Calculator!B8=TRUE,Backdoors!BI43=TRUE),VLOOKUP(Calculator!E23,tbSkills!DH3:DJ6,3,FALSE),0),0))&gt;=100,100,(Backdoors!AI12+IF(JV5&gt;=0.45,VLOOKUP(Calculator!E23,tbSkills!DH3:DI6,2,FALSE)+IF(AND(Calculator!B8=TRUE,Backdoors!BI43=TRUE),VLOOKUP(Calculator!E23,tbSkills!DH3:DJ6,3,FALSE),0),0)))/100)),(1-(0.25*((-Backdoors!AI12-IF(JV5&gt;=0.45,VLOOKUP(Calculator!E23,tbSkills!DH3:DI6,2,FALSE)+IF(AND(Calculator!B8=TRUE,Backdoors!BI43=TRUE),VLOOKUP(Calculator!E23,tbSkills!DH3:DJ6,3,FALSE),0),0))/100)))),1),"")</f>
        <v>1</v>
      </c>
      <c r="JY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V5)*JX5)*(VLOOKUP(A5,tbMoveset!A2:C112,3,FALSE)/100)*IF(VLOOKUP(A5,tbMoveset!A2:B112,2,FALSE)="Projectile",Backdoors!N10,Backdoors!N9),0),"")</f>
        <v/>
      </c>
      <c r="JZ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46&gt;0,VLOOKUP(Calculator!E46,tbSkills!AC3:AD5,2,FALSE),Backdoors!AL3)*(IF((Backdoors!AI12+IF(JV5&gt;=0.45,VLOOKUP(Calculator!E23,tbSkills!DH3:DI6,2,FALSE)+IF(AND(Calculator!B8=TRUE,Backdoors!BI43=TRUE),VLOOKUP(Calculator!E23,tbSkills!DH3:DJ6,3,FALSE),0),0))&gt;=100,100,(Backdoors!AI12+IF(JV5&gt;=0.45,VLOOKUP(Calculator!E23,tbSkills!DH3:DI6,2,FALSE)+IF(AND(Calculator!B8=TRUE,Backdoors!BI43=TRUE),VLOOKUP(Calculator!E23,tbSkills!DH3:DJ6,3,FALSE),0),0)))/100)),1))*IF(VLOOKUP(A5,tbMoveset!A2:K112,11,FALSE)=TRUE,Backdoors!AC5,1))*JW5,0),"")</f>
        <v/>
      </c>
      <c r="KA5" s="49">
        <f>VLOOKUP(A5,tbMoveset!A2:G112,7,FALSE)*IFERROR(IF(Backdoors!AI12&gt;=0,1+(IF(Calculator!E40&gt;0,VLOOKUP(Calculator!E40,tbSkills!AI3:AJ5,2,FALSE),Backdoors!AL4)*(IF((Backdoors!AI12+IF(JV5&gt;=0.45,VLOOKUP(Calculator!E23,tbSkills!DH3:DI6,2,FALSE)+IF(AND(Calculator!B8=TRUE,Backdoors!BI43=TRUE),VLOOKUP(Calculator!E23,tbSkills!DH3:DJ6,3,FALSE),0),0))&gt;=100,100,(Backdoors!AI12+IF(JV5&gt;=0.45,VLOOKUP(Calculator!E23,tbSkills!DH3:DI6,2,FALSE)+IF(AND(Calculator!B8=TRUE,Backdoors!BI43=TRUE),VLOOKUP(Calculator!E23,tbSkills!DH3:DJ6,3,FALSE),0),0)))/100)),1),1)</f>
        <v>0.4</v>
      </c>
      <c r="KB5" s="87">
        <f t="shared" si="32"/>
        <v>0</v>
      </c>
      <c r="KC5" s="86" t="str">
        <f>IFERROR(IF(VLOOKUP(A5,tbMoveset!A2:B112,2,FALSE)="Sever",Backdoors!AY44/100,IF(VLOOKUP(A5,tbMoveset!A2:B112,2,FALSE)="Blunt",Backdoors!AZ44/100,Backdoors!BA44/100)),"")</f>
        <v/>
      </c>
      <c r="KD5" s="49">
        <f>IFERROR(IF(VLOOKUP(tbMoveset!A5,tbMoveset!A2:H112,8,FALSE)="Other",IF(VLOOKUP(tbMoveset!A5,tbMoveset!A2:I112,9,FALSE)="Fire",Backdoors!BB44,IF(VLOOKUP(tbMoveset!A5,tbMoveset!A2:I112,9,FALSE)="Water",Backdoors!BC44,IF(VLOOKUP(tbMoveset!A5,tbMoveset!A2:I112,9,FALSE)="Thunder",Backdoors!BD44,IF(VLOOKUP(tbMoveset!A5,tbMoveset!A2:I112,9,FALSE)="Ice",Backdoors!BE44,IF(VLOOKUP(tbMoveset!A5,tbMoveset!A2:I112,9,FALSE)="Dragon",Backdoors!BF44,Backdoors!BG44)))))/100,Backdoors!BG44/100),"")</f>
        <v>0</v>
      </c>
      <c r="KE5" s="49">
        <f>IFERROR(IF(VLOOKUP(A5,tbMoveset!A2:J112,10,FALSE)=TRUE,IF((Backdoors!AI12+IF(KC5&gt;=0.45,VLOOKUP(Calculator!E23,tbSkills!DH3:DI6,2,FALSE)+IF(AND(Calculator!B8=TRUE,Backdoors!BI44=TRUE),VLOOKUP(Calculator!E23,tbSkills!DH3:DJ6,3,FALSE),0),0))&gt;=0,1+(Backdoors!AL2*(IF((Backdoors!AI12+IF(KC5&gt;=0.45,VLOOKUP(Calculator!E23,tbSkills!DH3:DI6,2,FALSE)+IF(AND(Calculator!B8=TRUE,Backdoors!BI44=TRUE),VLOOKUP(Calculator!E23,tbSkills!DH3:DJ6,3,FALSE),0),0))&gt;=100,100,(Backdoors!AI12+IF(KC5&gt;=0.45,VLOOKUP(Calculator!E23,tbSkills!DH3:DI6,2,FALSE)+IF(AND(Calculator!B8=TRUE,Backdoors!BI44=TRUE),VLOOKUP(Calculator!E23,tbSkills!DH3:DJ6,3,FALSE),0),0)))/100)),(1-(0.25*((-Backdoors!AI12-IF(KC5&gt;=0.45,VLOOKUP(Calculator!E23,tbSkills!DH3:DI6,2,FALSE)+IF(AND(Calculator!B8=TRUE,Backdoors!BI44=TRUE),VLOOKUP(Calculator!E23,tbSkills!DH3:DJ6,3,FALSE),0),0))/100)))),1),"")</f>
        <v>1</v>
      </c>
      <c r="KF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KC5)*KE5)*(VLOOKUP(A5,tbMoveset!A2:C112,3,FALSE)/100)*IF(VLOOKUP(A5,tbMoveset!A2:B112,2,FALSE)="Projectile",Backdoors!N10,Backdoors!N9),0),"")</f>
        <v/>
      </c>
      <c r="KG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REF!&gt;0,VLOOKUP(Calculator!#REF!,tbSkills!AC3:AD5,2,FALSE),Backdoors!AL3)*(IF((Backdoors!AI12+IF(KC5&gt;=0.45,VLOOKUP(Calculator!E23,tbSkills!DH3:DI6,2,FALSE)+IF(AND(Calculator!B8=TRUE,Backdoors!BI44=TRUE),VLOOKUP(Calculator!E23,tbSkills!DH3:DJ6,3,FALSE),0),0))&gt;=100,100,(Backdoors!AI12+IF(KC5&gt;=0.45,VLOOKUP(Calculator!E23,tbSkills!DH3:DI6,2,FALSE)+IF(AND(Calculator!B8=TRUE,Backdoors!BI44=TRUE),VLOOKUP(Calculator!E23,tbSkills!DH3:DJ6,3,FALSE),0),0)))/100)),1))*IF(VLOOKUP(A5,tbMoveset!A2:K112,11,FALSE)=TRUE,Backdoors!AC5,1))*KD5,0),"")</f>
        <v/>
      </c>
      <c r="KH5" s="49">
        <f>VLOOKUP(A5,tbMoveset!A2:G112,7,FALSE)*IFERROR(IF(Backdoors!AI12&gt;=0,1+(IF(Calculator!E40&gt;0,VLOOKUP(Calculator!E40,tbSkills!AI3:AJ5,2,FALSE),Backdoors!AL4)*(IF((Backdoors!AI12+IF(KC5&gt;=0.45,VLOOKUP(Calculator!E23,tbSkills!DH3:DI6,2,FALSE)+IF(AND(Calculator!B8=TRUE,Backdoors!BI44=TRUE),VLOOKUP(Calculator!E23,tbSkills!DH3:DJ6,3,FALSE),0),0))&gt;=100,100,(Backdoors!AI12+IF(KC5&gt;=0.45,VLOOKUP(Calculator!E23,tbSkills!DH3:DI6,2,FALSE)+IF(AND(Calculator!B8=TRUE,Backdoors!BI44=TRUE),VLOOKUP(Calculator!E23,tbSkills!DH3:DJ6,3,FALSE),0),0)))/100)),1),1)</f>
        <v>0.4</v>
      </c>
      <c r="KI5" s="87">
        <f t="shared" si="33"/>
        <v>0</v>
      </c>
      <c r="KJ5" s="86" t="str">
        <f>IFERROR(IF(VLOOKUP(A5,tbMoveset!A2:B112,2,FALSE)="Sever",Backdoors!AY45/100,IF(VLOOKUP(A5,tbMoveset!A2:B112,2,FALSE)="Blunt",Backdoors!AZ45/100,Backdoors!BA45/100)),"")</f>
        <v/>
      </c>
      <c r="KK5" s="49">
        <f>IFERROR(IF(VLOOKUP(tbMoveset!A5,tbMoveset!A2:H112,8,FALSE)="Other",IF(VLOOKUP(tbMoveset!A5,tbMoveset!A2:I112,9,FALSE)="Fire",Backdoors!BB45,IF(VLOOKUP(tbMoveset!A5,tbMoveset!A2:I112,9,FALSE)="Water",Backdoors!BC45,IF(VLOOKUP(tbMoveset!A5,tbMoveset!A2:I112,9,FALSE)="Thunder",Backdoors!BD45,IF(VLOOKUP(tbMoveset!A5,tbMoveset!A2:I112,9,FALSE)="Ice",Backdoors!BE45,IF(VLOOKUP(tbMoveset!A5,tbMoveset!A2:I112,9,FALSE)="Dragon",Backdoors!BF45,Backdoors!BG45)))))/100,Backdoors!BG45/100),"")</f>
        <v>0</v>
      </c>
      <c r="KL5" s="49">
        <f>IFERROR(IF(VLOOKUP(A5,tbMoveset!A2:J112,10,FALSE)=TRUE,IF((Backdoors!AI12+IF(KJ5&gt;=0.45,VLOOKUP(Calculator!E23,tbSkills!DH3:DI6,2,FALSE)+IF(AND(Calculator!B8=TRUE,Backdoors!BI45=TRUE),VLOOKUP(Calculator!E23,tbSkills!DH3:DJ6,3,FALSE),0),0))&gt;=0,1+(Backdoors!AL2*(IF((Backdoors!AI12+IF(KJ5&gt;=0.45,VLOOKUP(Calculator!E23,tbSkills!DH3:DI6,2,FALSE)+IF(AND(Calculator!B8=TRUE,Backdoors!BI45=TRUE),VLOOKUP(Calculator!E23,tbSkills!DH3:DJ6,3,FALSE),0),0))&gt;=100,100,(Backdoors!AI12+IF(KJ5&gt;=0.45,VLOOKUP(Calculator!E23,tbSkills!DH3:DI6,2,FALSE)+IF(AND(Calculator!B8=TRUE,Backdoors!BI45=TRUE),VLOOKUP(Calculator!E23,tbSkills!DH3:DJ6,3,FALSE),0),0)))/100)),(1-(0.25*((-Backdoors!AI12-IF(KJ5&gt;=0.45,VLOOKUP(Calculator!E23,tbSkills!DH3:DI6,2,FALSE)+IF(AND(Calculator!B8=TRUE,Backdoors!BI45=TRUE),VLOOKUP(Calculator!E23,tbSkills!DH3:DJ6,3,FALSE),0),0))/100)))),1),"")</f>
        <v>1</v>
      </c>
      <c r="KM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KJ5)*KL5)*(VLOOKUP(A5,tbMoveset!A2:C112,3,FALSE)/100)*IF(VLOOKUP(A5,tbMoveset!A2:B112,2,FALSE)="Projectile",Backdoors!N10,Backdoors!N9),0),"")</f>
        <v/>
      </c>
      <c r="KN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REF!&gt;0,VLOOKUP(Calculator!#REF!,tbSkills!AC3:AD5,2,FALSE),Backdoors!AL3)*(IF((Backdoors!AI12+IF(KJ5&gt;=0.45,VLOOKUP(Calculator!E23,tbSkills!DH3:DI6,2,FALSE)+IF(AND(Calculator!B8=TRUE,Backdoors!BI45=TRUE),VLOOKUP(Calculator!E23,tbSkills!DH3:DJ6,3,FALSE),0),0))&gt;=100,100,(Backdoors!AI12+IF(KJ5&gt;=0.45,VLOOKUP(Calculator!E23,tbSkills!DH3:DI6,2,FALSE)+IF(AND(Calculator!B8=TRUE,Backdoors!BI45=TRUE),VLOOKUP(Calculator!E23,tbSkills!DH3:DJ6,3,FALSE),0),0)))/100)),1))*IF(VLOOKUP(A5,tbMoveset!A2:K112,11,FALSE)=TRUE,Backdoors!AC5,1))*KK5,0),"")</f>
        <v/>
      </c>
      <c r="KO5" s="49">
        <f>VLOOKUP(A5,tbMoveset!A2:G112,7,FALSE)*IFERROR(IF(Backdoors!AI12&gt;=0,1+(IF(Calculator!E40&gt;0,VLOOKUP(Calculator!E40,tbSkills!AI3:AJ5,2,FALSE),Backdoors!AL4)*(IF((Backdoors!AI12+IF(KJ5&gt;=0.45,VLOOKUP(Calculator!E23,tbSkills!DH3:DI6,2,FALSE)+IF(AND(Calculator!B8=TRUE,Backdoors!BI45=TRUE),VLOOKUP(Calculator!E23,tbSkills!DH3:DJ6,3,FALSE),0),0))&gt;=100,100,(Backdoors!AI12+IF(KJ5&gt;=0.45,VLOOKUP(Calculator!E23,tbSkills!DH3:DI6,2,FALSE)+IF(AND(Calculator!B8=TRUE,Backdoors!BI45=TRUE),VLOOKUP(Calculator!E23,tbSkills!DH3:DJ6,3,FALSE),0),0)))/100)),1),1)</f>
        <v>0.4</v>
      </c>
      <c r="KP5" s="87">
        <f t="shared" si="34"/>
        <v>0</v>
      </c>
      <c r="KQ5" s="86" t="str">
        <f>IFERROR(IF(VLOOKUP(A5,tbMoveset!A2:B112,2,FALSE)="Sever",Backdoors!AY46/100,IF(VLOOKUP(A5,tbMoveset!A2:B112,2,FALSE)="Blunt",Backdoors!AZ46/100,Backdoors!BA46/100)),"")</f>
        <v/>
      </c>
      <c r="KR5" s="49">
        <f>IFERROR(IF(VLOOKUP(tbMoveset!A5,tbMoveset!A2:H112,8,FALSE)="Other",IF(VLOOKUP(tbMoveset!A5,tbMoveset!A2:I112,9,FALSE)="Fire",Backdoors!BB46,IF(VLOOKUP(tbMoveset!A5,tbMoveset!A2:I112,9,FALSE)="Water",Backdoors!BC46,IF(VLOOKUP(tbMoveset!A5,tbMoveset!A2:I112,9,FALSE)="Thunder",Backdoors!BD46,IF(VLOOKUP(tbMoveset!A5,tbMoveset!A2:I112,9,FALSE)="Ice",Backdoors!BE46,IF(VLOOKUP(tbMoveset!A5,tbMoveset!A2:I112,9,FALSE)="Dragon",Backdoors!BF46,Backdoors!BG46)))))/100,Backdoors!BG46/100),"")</f>
        <v>0</v>
      </c>
      <c r="KS5" s="49">
        <f>IFERROR(IF(VLOOKUP(A5,tbMoveset!A2:J112,10,FALSE)=TRUE,IF((Backdoors!AI12+IF(KQ5&gt;=0.45,VLOOKUP(Calculator!E23,tbSkills!DH3:DI6,2,FALSE)+IF(AND(Calculator!B8=TRUE,Backdoors!BI46=TRUE),VLOOKUP(Calculator!E23,tbSkills!DH3:DJ6,3,FALSE),0),0))&gt;=0,1+(Backdoors!AL2*(IF((Backdoors!AI12+IF(KQ5&gt;=0.45,VLOOKUP(Calculator!E23,tbSkills!DH3:DI6,2,FALSE)+IF(AND(Calculator!B8=TRUE,Backdoors!BI46=TRUE),VLOOKUP(Calculator!E23,tbSkills!DH3:DJ6,3,FALSE),0),0))&gt;=100,100,(Backdoors!AI12+IF(KQ5&gt;=0.45,VLOOKUP(Calculator!E23,tbSkills!DH3:DI6,2,FALSE)+IF(AND(Calculator!B8=TRUE,Backdoors!BI46=TRUE),VLOOKUP(Calculator!E23,tbSkills!DH3:DJ6,3,FALSE),0),0)))/100)),(1-(0.25*((-Backdoors!AI12-IF(KQ5&gt;=0.45,VLOOKUP(Calculator!E23,tbSkills!DH3:DI6,2,FALSE)+IF(AND(Calculator!B8=TRUE,Backdoors!BI46=TRUE),VLOOKUP(Calculator!E23,tbSkills!DH3:DJ6,3,FALSE),0),0))/100)))),1),"")</f>
        <v>1</v>
      </c>
      <c r="KT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KQ5)*KS5)*(VLOOKUP(A5,tbMoveset!A2:C112,3,FALSE)/100)*IF(VLOOKUP(A5,tbMoveset!A2:B112,2,FALSE)="Projectile",Backdoors!N10,Backdoors!N9),0),"")</f>
        <v/>
      </c>
      <c r="KU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REF!&gt;0,VLOOKUP(Calculator!#REF!,tbSkills!AC3:AD5,2,FALSE),Backdoors!AL3)*(IF((Backdoors!AI12+IF(KQ5&gt;=0.45,VLOOKUP(Calculator!E23,tbSkills!DH3:DI6,2,FALSE)+IF(AND(Calculator!B8=TRUE,Backdoors!BI46=TRUE),VLOOKUP(Calculator!E23,tbSkills!DH3:DJ6,3,FALSE),0),0))&gt;=100,100,(Backdoors!AI12+IF(KQ5&gt;=0.45,VLOOKUP(Calculator!E23,tbSkills!DH3:DI6,2,FALSE)+IF(AND(Calculator!B8=TRUE,Backdoors!BI46=TRUE),VLOOKUP(Calculator!E23,tbSkills!DH3:DJ6,3,FALSE),0),0)))/100)),1))*IF(VLOOKUP(A5,tbMoveset!A2:K112,11,FALSE)=TRUE,Backdoors!AC5,1))*KR5,0),"")</f>
        <v/>
      </c>
      <c r="KV5" s="49">
        <f>VLOOKUP(A5,tbMoveset!A2:G112,7,FALSE)*IFERROR(IF(Backdoors!AI12&gt;=0,1+(IF(Calculator!E40&gt;0,VLOOKUP(Calculator!E40,tbSkills!AI3:AJ5,2,FALSE),Backdoors!AL4)*(IF((Backdoors!AI12+IF(KQ5&gt;=0.45,VLOOKUP(Calculator!E23,tbSkills!DH3:DI6,2,FALSE)+IF(AND(Calculator!B8=TRUE,Backdoors!BI46=TRUE),VLOOKUP(Calculator!E23,tbSkills!DH3:DJ6,3,FALSE),0),0))&gt;=100,100,(Backdoors!AI12+IF(KQ5&gt;=0.45,VLOOKUP(Calculator!E23,tbSkills!DH3:DI6,2,FALSE)+IF(AND(Calculator!B8=TRUE,Backdoors!BI46=TRUE),VLOOKUP(Calculator!E23,tbSkills!DH3:DJ6,3,FALSE),0),0)))/100)),1),1)</f>
        <v>0.4</v>
      </c>
      <c r="KW5" s="87">
        <f t="shared" si="35"/>
        <v>0</v>
      </c>
    </row>
    <row r="6" spans="1:309" x14ac:dyDescent="0.25">
      <c r="A6" s="95" t="str">
        <f>tbMoveset!A6</f>
        <v>Double Slash Return Stroke (L)</v>
      </c>
      <c r="B6" s="86">
        <f>IFERROR(IF(VLOOKUP(A6,tbMoveset!A2:B112,2,FALSE)="Sever",Backdoors!AY3/100,IF(VLOOKUP(A6,tbMoveset!A2:B112,2,FALSE)="Blunt",Backdoors!AZ3/100,Backdoors!BA3/100)),"")</f>
        <v>0.8</v>
      </c>
      <c r="C6" s="49">
        <f>IFERROR(IF(VLOOKUP(tbMoveset!A6,tbMoveset!A2:H112,8,FALSE)="Other",IF(VLOOKUP(tbMoveset!A6,tbMoveset!A2:I112,9,FALSE)="Fire",Backdoors!BB3,IF(VLOOKUP(tbMoveset!A6,tbMoveset!A2:I112,9,FALSE)="Water",Backdoors!BC3,IF(VLOOKUP(tbMoveset!A6,tbMoveset!A2:I112,9,FALSE)="Thunder",Backdoors!BD3,IF(VLOOKUP(tbMoveset!A6,tbMoveset!A2:I112,9,FALSE)="Ice",Backdoors!BE3,IF(VLOOKUP(tbMoveset!A6,tbMoveset!A2:I112,9,FALSE)="Dragon",Backdoors!BF3,Backdoors!BG3)))))/100,Backdoors!BG3/100),"")</f>
        <v>0</v>
      </c>
      <c r="D6" s="49">
        <f>IFERROR(IF(VLOOKUP(A6,tbMoveset!A2:J112,10,FALSE)=TRUE,IF((Backdoors!AI12+IF(B6&gt;=0.45,VLOOKUP(Calculator!E23,tbSkills!DH3:DI6,2,FALSE)+IF(AND(Calculator!B8=TRUE,Backdoors!BI3=TRUE),VLOOKUP(Calculator!E23,tbSkills!DH3:DJ6,3,FALSE),0),0))&gt;=0,1+(Backdoors!AL2*(IF((Backdoors!AI12+IF(B6&gt;=0.45,VLOOKUP(Calculator!E23,tbSkills!DH3:DI6,2,FALSE)+IF(AND(Calculator!B8=TRUE,Backdoors!BI3=TRUE),VLOOKUP(Calculator!E23,tbSkills!DH3:DJ6,3,FALSE),0),0))&gt;=100,100,(Backdoors!AI12+IF(B6&gt;=0.45,VLOOKUP(Calculator!E23,tbSkills!DH3:DI6,2,FALSE)+IF(AND(Calculator!B8=TRUE,Backdoors!BI3=TRUE),VLOOKUP(Calculator!E23,tbSkills!DH3:DJ6,3,FALSE),0),0)))/100)),(1-(0.25*((-Backdoors!AI12-IF(B6&gt;=0.45,VLOOKUP(Calculator!E23,tbSkills!DH3:DI6,2,FALSE)+IF(AND(Calculator!B8=TRUE,Backdoors!BI3=TRUE),VLOOKUP(Calculator!E23,tbSkills!DH3:DJ6,3,FALSE),0),0))/100)))),1),"")</f>
        <v>1</v>
      </c>
      <c r="E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6)*D6)*(VLOOKUP(A6,tbMoveset!A2:C112,3,FALSE)/100)*IF(VLOOKUP(A6,tbMoveset!A2:B112,2,FALSE)="Projectile",Backdoors!N10,Backdoors!N9),0),"")</f>
        <v>7</v>
      </c>
      <c r="F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6&gt;=0.45,VLOOKUP(Calculator!E23,tbSkills!DH3:DI6,2,FALSE)+IF(AND(Calculator!B8=TRUE,Backdoors!BI3=TRUE),VLOOKUP(Calculator!E23,tbSkills!DH3:DJ6,3,FALSE),0),0))&gt;=100,100,(Backdoors!AI12+IF(B6&gt;=0.45,VLOOKUP(Calculator!E23,tbSkills!DH3:DI6,2,FALSE)+IF(AND(Calculator!B8=TRUE,Backdoors!BI3=TRUE),VLOOKUP(Calculator!E23,tbSkills!DH3:DJ6,3,FALSE),0),0)))/100)),1))*IF(VLOOKUP(A6,tbMoveset!A2:K112,11,FALSE)=TRUE,Backdoors!AC5,1))*C6,0),"")</f>
        <v>0</v>
      </c>
      <c r="G6">
        <f>VLOOKUP(A6,tbMoveset!A2:G112,7,FALSE)*IFERROR(IF(Backdoors!AI12&gt;=0,1+(IF(Calculator!E40&gt;0,VLOOKUP(Calculator!E40,tbSkills!AI3:AJ5,2,FALSE),Backdoors!AL4)*(IF((Backdoors!AI12+IF(B6&gt;=0.45,VLOOKUP(Calculator!E23,tbSkills!DH3:DI6,2,FALSE)+IF(AND(Calculator!B8=TRUE,Backdoors!BI3=TRUE),VLOOKUP(Calculator!E23,tbSkills!DH3:DJ6,3,FALSE),0),0))&gt;=100,100,(Backdoors!AI12+IF(B6&gt;=0.45,VLOOKUP(Calculator!E23,tbSkills!DH3:DI6,2,FALSE)+IF(AND(Calculator!B8=TRUE,Backdoors!BI3=TRUE),VLOOKUP(Calculator!E23,tbSkills!DH3:DJ6,3,FALSE),0),0)))/100)),1),1)</f>
        <v>0.4</v>
      </c>
      <c r="H6" s="87">
        <f t="shared" ref="H6:H34" si="43">SUM(E6:F6)</f>
        <v>7</v>
      </c>
      <c r="I6" s="86">
        <f>IFERROR(IF(VLOOKUP(A6,tbMoveset!A2:B112,2,FALSE)="Sever",Backdoors!AY4/100,IF(VLOOKUP(A6,tbMoveset!A2:B112,2,FALSE)="Blunt",Backdoors!AZ4/100,Backdoors!BA4/100)),"")</f>
        <v>0.65</v>
      </c>
      <c r="J6" s="49">
        <f>IFERROR(IF(VLOOKUP(tbMoveset!A6,tbMoveset!A2:H112,8,FALSE)="Other",IF(VLOOKUP(tbMoveset!A6,tbMoveset!A2:I112,9,FALSE)="Fire",Backdoors!BB4,IF(VLOOKUP(tbMoveset!A6,tbMoveset!A2:I112,9,FALSE)="Water",Backdoors!BC4,IF(VLOOKUP(tbMoveset!A6,tbMoveset!A2:I112,9,FALSE)="Thunder",Backdoors!BD4,IF(VLOOKUP(tbMoveset!A6,tbMoveset!A2:I112,9,FALSE)="Ice",Backdoors!BE4,IF(VLOOKUP(tbMoveset!A6,tbMoveset!A2:I112,9,FALSE)="Dragon",Backdoors!BF4,Backdoors!BG4)))))/100,Backdoors!BG4/100),"")</f>
        <v>0</v>
      </c>
      <c r="K6" s="49">
        <f>IFERROR(IF(VLOOKUP(A6,tbMoveset!A2:J112,10,FALSE)=TRUE,IF((Backdoors!AI12+IF(I6&gt;=0.45,VLOOKUP(Calculator!E23,tbSkills!DH3:DI6,2,FALSE)+IF(AND(Calculator!B8=TRUE,Backdoors!BI4=TRUE),VLOOKUP(Calculator!E23,tbSkills!DH3:DJ6,3,FALSE),0),0))&gt;=0,1+(Backdoors!AL2*(IF((Backdoors!AI12+IF(I6&gt;=0.45,VLOOKUP(Calculator!E23,tbSkills!DH3:DI6,2,FALSE)+IF(AND(Calculator!B8=TRUE,Backdoors!BI4=TRUE),VLOOKUP(Calculator!E23,tbSkills!DH3:DJ6,3,FALSE),0),0))&gt;=100,100,(Backdoors!AI12+IF(I6&gt;=0.45,VLOOKUP(Calculator!E23,tbSkills!DH3:DI6,2,FALSE)+IF(AND(Calculator!B8=TRUE,Backdoors!BI4=TRUE),VLOOKUP(Calculator!E23,tbSkills!DH3:DJ6,3,FALSE),0),0)))/100)),(1-(0.25*((-Backdoors!AI12-IF(I6&gt;=0.45,VLOOKUP(Calculator!E23,tbSkills!DH3:DI6,2,FALSE)+IF(AND(Calculator!B8=TRUE,Backdoors!BI4=TRUE),VLOOKUP(Calculator!E23,tbSkills!DH3:DJ6,3,FALSE),0),0))/100)))),1),"")</f>
        <v>1</v>
      </c>
      <c r="L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6)*K6)*(VLOOKUP(A6,tbMoveset!A2:C112,3,FALSE)/100)*IF(VLOOKUP(A6,tbMoveset!A2:B112,2,FALSE)="Projectile",Backdoors!N10,Backdoors!N9),0),"")</f>
        <v>5</v>
      </c>
      <c r="M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I6&gt;=0.45,VLOOKUP(Calculator!E23,tbSkills!DH3:DI6,2,FALSE)+IF(AND(Calculator!B8=TRUE,Backdoors!BI4=TRUE),VLOOKUP(Calculator!E23,tbSkills!DH3:DJ6,3,FALSE),0),0))&gt;=100,100,(Backdoors!AI12+IF(I6&gt;=0.45,VLOOKUP(Calculator!E23,tbSkills!DH3:DI6,2,FALSE)+IF(AND(Calculator!B8=TRUE,Backdoors!BI4=TRUE),VLOOKUP(Calculator!E23,tbSkills!DH3:DJ6,3,FALSE),0),0)))/100)),1))*IF(VLOOKUP(A6,tbMoveset!A2:K112,11,FALSE)=TRUE,Backdoors!AC5,1))*J6,0),"")</f>
        <v>0</v>
      </c>
      <c r="N6" s="49">
        <f>VLOOKUP(A6,tbMoveset!A2:G112,7,FALSE)*IFERROR(IF(Backdoors!AI12&gt;=0,1+(IF(Calculator!E40&gt;0,VLOOKUP(Calculator!E40,tbSkills!AI3:AJ5,2,FALSE),Backdoors!AL4)*(IF((Backdoors!AI12+IF(I6&gt;=0.45,VLOOKUP(Calculator!E23,tbSkills!DH3:DI6,2,FALSE)+IF(AND(Calculator!B8=TRUE,Backdoors!BI4=TRUE),VLOOKUP(Calculator!E23,tbSkills!DH3:DJ6,3,FALSE),0),0))&gt;=100,100,(Backdoors!AI12+IF(I6&gt;=0.45,VLOOKUP(Calculator!E23,tbSkills!DH3:DI6,2,FALSE)+IF(AND(Calculator!B8=TRUE,Backdoors!BI4=TRUE),VLOOKUP(Calculator!E23,tbSkills!DH3:DJ6,3,FALSE),0),0)))/100)),1),1)</f>
        <v>0.4</v>
      </c>
      <c r="O6" s="87">
        <f t="shared" si="36"/>
        <v>5</v>
      </c>
      <c r="P6" s="86">
        <f>IFERROR(IF(VLOOKUP(A6,tbMoveset!A2:B112,2,FALSE)="Sever",Backdoors!AY5/100,IF(VLOOKUP(A6,tbMoveset!A2:B112,2,FALSE)="Blunt",Backdoors!AZ5/100,Backdoors!BA5/100)),"")</f>
        <v>0.5</v>
      </c>
      <c r="Q6" s="49">
        <f>IFERROR(IF(VLOOKUP(tbMoveset!A6,tbMoveset!A2:H112,8,FALSE)="Other",IF(VLOOKUP(tbMoveset!A6,tbMoveset!A2:I112,9,FALSE)="Fire",Backdoors!BB5,IF(VLOOKUP(tbMoveset!A6,tbMoveset!A2:I112,9,FALSE)="Water",Backdoors!BC5,IF(VLOOKUP(tbMoveset!A6,tbMoveset!A2:I112,9,FALSE)="Thunder",Backdoors!BD5,IF(VLOOKUP(tbMoveset!A6,tbMoveset!A2:I112,9,FALSE)="Ice",Backdoors!BE5,IF(VLOOKUP(tbMoveset!A6,tbMoveset!A2:I112,9,FALSE)="Dragon",Backdoors!BF5,Backdoors!BG5)))))/100,Backdoors!BG5/100),"")</f>
        <v>0</v>
      </c>
      <c r="R6" s="49">
        <f>IFERROR(IF(VLOOKUP(A6,tbMoveset!A2:J112,10,FALSE)=TRUE,IF((Backdoors!AI12+IF(P6&gt;=0.45,VLOOKUP(Calculator!E23,tbSkills!DH3:DI6,2,FALSE)+IF(AND(Calculator!B8=TRUE,Backdoors!BI5=TRUE),VLOOKUP(Calculator!E23,tbSkills!DH3:DJ6,3,FALSE),0),0))&gt;=0,1+(Backdoors!AL2*(IF((Backdoors!AI12+IF(P6&gt;=0.45,VLOOKUP(Calculator!E23,tbSkills!DH3:DI6,2,FALSE)+IF(AND(Calculator!B8=TRUE,Backdoors!BI5=TRUE),VLOOKUP(Calculator!E23,tbSkills!DH3:DJ6,3,FALSE),0),0))&gt;=100,100,(Backdoors!AI12+IF(P6&gt;=0.45,VLOOKUP(Calculator!E23,tbSkills!DH3:DI6,2,FALSE)+IF(AND(Calculator!B8=TRUE,Backdoors!BI5=TRUE),VLOOKUP(Calculator!E23,tbSkills!DH3:DJ6,3,FALSE),0),0)))/100)),(1-(0.25*((-Backdoors!AI12-IF(P6&gt;=0.45,VLOOKUP(Calculator!E23,tbSkills!DH3:DI6,2,FALSE)+IF(AND(Calculator!B8=TRUE,Backdoors!BI5=TRUE),VLOOKUP(Calculator!E23,tbSkills!DH3:DJ6,3,FALSE),0),0))/100)))),1),"")</f>
        <v>1</v>
      </c>
      <c r="S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P6)*R6)*(VLOOKUP(A6,tbMoveset!A2:C112,3,FALSE)/100)*IF(VLOOKUP(A6,tbMoveset!A2:B112,2,FALSE)="Projectile",Backdoors!N10,Backdoors!N9),0),"")</f>
        <v>4</v>
      </c>
      <c r="T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P6&gt;=0.45,VLOOKUP(Calculator!E23,tbSkills!DH3:DI6,2,FALSE)+IF(AND(Calculator!B8=TRUE,Backdoors!BI5=TRUE),VLOOKUP(Calculator!E23,tbSkills!DH3:DJ6,3,FALSE),0),0))&gt;=100,100,(Backdoors!AI12+IF(P6&gt;=0.45,VLOOKUP(Calculator!E23,tbSkills!DH3:DI6,2,FALSE)+IF(AND(Calculator!B8=TRUE,Backdoors!BI5=TRUE),VLOOKUP(Calculator!E23,tbSkills!DH3:DJ6,3,FALSE),0),0)))/100)),1))*IF(VLOOKUP(A6,tbMoveset!A2:K112,11,FALSE)=TRUE,Backdoors!AC5,1))*Q6,0),"")</f>
        <v>0</v>
      </c>
      <c r="U6" s="49">
        <f>VLOOKUP(A6,tbMoveset!A2:G112,7,FALSE)*IFERROR(IF(Backdoors!AI12&gt;=0,1+(IF(Calculator!E40&gt;0,VLOOKUP(Calculator!E40,tbSkills!AI3:AJ5,2,FALSE),Backdoors!AL4)*(IF((Backdoors!AI12+IF(P6&gt;=0.45,VLOOKUP(Calculator!E23,tbSkills!DH3:DI6,2,FALSE)+IF(AND(Calculator!B8=TRUE,Backdoors!BI5=TRUE),VLOOKUP(Calculator!E23,tbSkills!DH3:DJ6,3,FALSE),0),0))&gt;=100,100,(Backdoors!AI12+IF(P6&gt;=0.45,VLOOKUP(Calculator!E23,tbSkills!DH3:DI6,2,FALSE)+IF(AND(Calculator!B8=TRUE,Backdoors!BI5=TRUE),VLOOKUP(Calculator!E23,tbSkills!DH3:DJ6,3,FALSE),0),0)))/100)),1),1)</f>
        <v>0.4</v>
      </c>
      <c r="V6" s="87">
        <f t="shared" si="37"/>
        <v>4</v>
      </c>
      <c r="W6" s="86">
        <f>IFERROR(IF(VLOOKUP(A6,tbMoveset!A2:B112,2,FALSE)="Sever",Backdoors!AY6/100,IF(VLOOKUP(A6,tbMoveset!A2:B112,2,FALSE)="Blunt",Backdoors!AZ6/100,Backdoors!BA6/100)),"")</f>
        <v>0.45</v>
      </c>
      <c r="X6" s="49">
        <f>IFERROR(IF(VLOOKUP(tbMoveset!A6,tbMoveset!A2:H112,8,FALSE)="Other",IF(VLOOKUP(tbMoveset!A6,tbMoveset!A2:I112,9,FALSE)="Fire",Backdoors!BB6,IF(VLOOKUP(tbMoveset!A6,tbMoveset!A2:I112,9,FALSE)="Water",Backdoors!BC6,IF(VLOOKUP(tbMoveset!A6,tbMoveset!A2:I112,9,FALSE)="Thunder",Backdoors!BD6,IF(VLOOKUP(tbMoveset!A6,tbMoveset!A2:I112,9,FALSE)="Ice",Backdoors!BE6,IF(VLOOKUP(tbMoveset!A6,tbMoveset!A2:I112,9,FALSE)="Dragon",Backdoors!BF6,Backdoors!BG6)))))/100,Backdoors!BG6/100),"")</f>
        <v>0</v>
      </c>
      <c r="Y6" s="49">
        <f>IFERROR(IF(VLOOKUP(A6,tbMoveset!A2:J112,10,FALSE)=TRUE,IF((Backdoors!AI12+IF(W6&gt;=0.45,VLOOKUP(Calculator!E23,tbSkills!DH3:DI6,2,FALSE)+IF(AND(Calculator!B8=TRUE,Backdoors!BI6=TRUE),VLOOKUP(Calculator!E23,tbSkills!DH3:DJ6,3,FALSE),0),0))&gt;=0,1+(Backdoors!AL2*(IF((Backdoors!AI12+IF(W6&gt;=0.45,VLOOKUP(Calculator!E23,tbSkills!DH3:DI6,2,FALSE)+IF(AND(Calculator!B8=TRUE,Backdoors!BI6=TRUE),VLOOKUP(Calculator!E23,tbSkills!DH3:DJ6,3,FALSE),0),0))&gt;=100,100,(Backdoors!AI12+IF(W6&gt;=0.45,VLOOKUP(Calculator!E23,tbSkills!DH3:DI6,2,FALSE)+IF(AND(Calculator!B8=TRUE,Backdoors!BI6=TRUE),VLOOKUP(Calculator!E23,tbSkills!DH3:DJ6,3,FALSE),0),0)))/100)),(1-(0.25*((-Backdoors!AI12-IF(W6&gt;=0.45,VLOOKUP(Calculator!E23,tbSkills!DH3:DI6,2,FALSE)+IF(AND(Calculator!B8=TRUE,Backdoors!BI6=TRUE),VLOOKUP(Calculator!E23,tbSkills!DH3:DJ6,3,FALSE),0),0))/100)))),1),"")</f>
        <v>1</v>
      </c>
      <c r="Z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W6)*Y6)*(VLOOKUP(A6,tbMoveset!A2:C112,3,FALSE)/100)*IF(VLOOKUP(A6,tbMoveset!A2:B112,2,FALSE)="Projectile",Backdoors!N10,Backdoors!N9),0),"")</f>
        <v>4</v>
      </c>
      <c r="AA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W6&gt;=0.45,VLOOKUP(Calculator!E23,tbSkills!DH3:DI6,2,FALSE)+IF(AND(Calculator!B8=TRUE,Backdoors!BI6=TRUE),VLOOKUP(Calculator!E23,tbSkills!DH3:DJ6,3,FALSE),0),0))&gt;=100,100,(Backdoors!AI12+IF(W6&gt;=0.45,VLOOKUP(Calculator!E23,tbSkills!DH3:DI6,2,FALSE)+IF(AND(Calculator!B8=TRUE,Backdoors!BI6=TRUE),VLOOKUP(Calculator!E23,tbSkills!DH3:DJ6,3,FALSE),0),0)))/100)),1))*IF(VLOOKUP(A6,tbMoveset!A2:K112,11,FALSE)=TRUE,Backdoors!AC5,1))*X6,0),"")</f>
        <v>0</v>
      </c>
      <c r="AB6" s="49">
        <f>VLOOKUP(A6,tbMoveset!A2:G112,7,FALSE)*IFERROR(IF(Backdoors!AI12&gt;=0,1+(IF(Calculator!E40&gt;0,VLOOKUP(Calculator!E40,tbSkills!AI3:AJ5,2,FALSE),Backdoors!AL4)*(IF((Backdoors!AI12+IF(W6&gt;=0.45,VLOOKUP(Calculator!E23,tbSkills!DH3:DI6,2,FALSE)+IF(AND(Calculator!B8=TRUE,Backdoors!BI6=TRUE),VLOOKUP(Calculator!E23,tbSkills!DH3:DJ6,3,FALSE),0),0))&gt;=100,100,(Backdoors!AI12+IF(W6&gt;=0.45,VLOOKUP(Calculator!E23,tbSkills!DH3:DI6,2,FALSE)+IF(AND(Calculator!B8=TRUE,Backdoors!BI6=TRUE),VLOOKUP(Calculator!E23,tbSkills!DH3:DJ6,3,FALSE),0),0)))/100)),1),1)</f>
        <v>0.4</v>
      </c>
      <c r="AC6" s="87">
        <f t="shared" si="0"/>
        <v>4</v>
      </c>
      <c r="AD6" s="86">
        <f>IFERROR(IF(VLOOKUP(A6,tbMoveset!A2:B112,2,FALSE)="Sever",Backdoors!AY7/100,IF(VLOOKUP(A6,tbMoveset!A2:B112,2,FALSE)="Blunt",Backdoors!AZ7/100,Backdoors!BA7/100)),"")</f>
        <v>0.65</v>
      </c>
      <c r="AE6" s="49">
        <f>IFERROR(IF(VLOOKUP(tbMoveset!A6,tbMoveset!A2:H112,8,FALSE)="Other",IF(VLOOKUP(tbMoveset!A6,tbMoveset!A2:I112,9,FALSE)="Fire",Backdoors!BB7,IF(VLOOKUP(tbMoveset!A6,tbMoveset!A2:I112,9,FALSE)="Water",Backdoors!BC7,IF(VLOOKUP(tbMoveset!A6,tbMoveset!A2:I112,9,FALSE)="Thunder",Backdoors!BD7,IF(VLOOKUP(tbMoveset!A6,tbMoveset!A2:I112,9,FALSE)="Ice",Backdoors!BE7,IF(VLOOKUP(tbMoveset!A6,tbMoveset!A2:I112,9,FALSE)="Dragon",Backdoors!BF7,Backdoors!BG7)))))/100,Backdoors!BG7/100),"")</f>
        <v>0</v>
      </c>
      <c r="AF6" s="49">
        <f>IFERROR(IF(VLOOKUP(A6,tbMoveset!A2:J112,10,FALSE)=TRUE,IF((Backdoors!AI12+IF(AD6&gt;=0.45,VLOOKUP(Calculator!E23,tbSkills!DH3:DI6,2,FALSE)+IF(AND(Calculator!B8=TRUE,Backdoors!BI7=TRUE),VLOOKUP(Calculator!E23,tbSkills!DH3:DJ6,3,FALSE),0),0))&gt;=0,1+(Backdoors!AL2*(IF((Backdoors!AI12+IF(AD6&gt;=0.45,VLOOKUP(Calculator!E23,tbSkills!DH3:DI6,2,FALSE)+IF(AND(Calculator!B8=TRUE,Backdoors!BI7=TRUE),VLOOKUP(Calculator!E23,tbSkills!DH3:DJ6,3,FALSE),0),0))&gt;=100,100,(Backdoors!AI12+IF(AD6&gt;=0.45,VLOOKUP(Calculator!E23,tbSkills!DH3:DI6,2,FALSE)+IF(AND(Calculator!B8=TRUE,Backdoors!BI7=TRUE),VLOOKUP(Calculator!E23,tbSkills!DH3:DJ6,3,FALSE),0),0)))/100)),(1-(0.25*((-Backdoors!AI12-IF(AD6&gt;=0.45,VLOOKUP(Calculator!E23,tbSkills!DH3:DI6,2,FALSE)+IF(AND(Calculator!B8=TRUE,Backdoors!BI7=TRUE),VLOOKUP(Calculator!E23,tbSkills!DH3:DJ6,3,FALSE),0),0))/100)))),1),"")</f>
        <v>1</v>
      </c>
      <c r="AG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D6)*AF6)*(VLOOKUP(A6,tbMoveset!A2:C112,3,FALSE)/100)*IF(VLOOKUP(A6,tbMoveset!A2:B112,2,FALSE)="Projectile",Backdoors!N10,Backdoors!N9),0),"")</f>
        <v>5</v>
      </c>
      <c r="AH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D6&gt;=0.45,VLOOKUP(Calculator!E23,tbSkills!DH3:DI6,2,FALSE)+IF(AND(Calculator!B8=TRUE,Backdoors!BI7=TRUE),VLOOKUP(Calculator!E23,tbSkills!DH3:DJ6,3,FALSE),0),0))&gt;=100,100,(Backdoors!AI12+IF(AD6&gt;=0.45,VLOOKUP(Calculator!E23,tbSkills!DH3:DI6,2,FALSE)+IF(AND(Calculator!B8=TRUE,Backdoors!BI7=TRUE),VLOOKUP(Calculator!E23,tbSkills!DH3:DJ6,3,FALSE),0),0)))/100)),1))*IF(VLOOKUP(A6,tbMoveset!A2:K112,11,FALSE)=TRUE,Backdoors!AC5,1))*AE6,0),"")</f>
        <v>0</v>
      </c>
      <c r="AI6" s="49">
        <f>VLOOKUP(A6,tbMoveset!A2:G112,7,FALSE)*IFERROR(IF(Backdoors!AI12&gt;=0,1+(IF(Calculator!E40&gt;0,VLOOKUP(Calculator!E40,tbSkills!AI3:AJ5,2,FALSE),Backdoors!AL4)*(IF((Backdoors!AI12+IF(AD6&gt;=0.45,VLOOKUP(Calculator!E23,tbSkills!DH3:DI6,2,FALSE)+IF(AND(Calculator!B8=TRUE,Backdoors!BI7=TRUE),VLOOKUP(Calculator!E23,tbSkills!DH3:DJ6,3,FALSE),0),0))&gt;=100,100,(Backdoors!AI12+IF(AD6&gt;=0.45,VLOOKUP(Calculator!E23,tbSkills!DH3:DI6,2,FALSE)+IF(AND(Calculator!B8=TRUE,Backdoors!BI7=TRUE),VLOOKUP(Calculator!E23,tbSkills!DH3:DJ6,3,FALSE),0),0)))/100)),1),1)</f>
        <v>0.4</v>
      </c>
      <c r="AJ6" s="87">
        <f t="shared" si="1"/>
        <v>5</v>
      </c>
      <c r="AK6" s="91">
        <f>IFERROR(IF(VLOOKUP(A6,tbMoveset!A2:B112,2,FALSE)="Sever",Backdoors!AY8/100,IF(VLOOKUP(A6,tbMoveset!A2:B112,2,FALSE)="Blunt",Backdoors!AZ8/100,Backdoors!BA8/100)),"")</f>
        <v>0.45</v>
      </c>
      <c r="AL6" s="49">
        <f>IFERROR(IF(VLOOKUP(tbMoveset!A6,tbMoveset!A2:H112,8,FALSE)="Other",IF(VLOOKUP(tbMoveset!A6,tbMoveset!A2:I112,9,FALSE)="Fire",Backdoors!BB8,IF(VLOOKUP(tbMoveset!A6,tbMoveset!A2:I112,9,FALSE)="Water",Backdoors!BC8,IF(VLOOKUP(tbMoveset!A6,tbMoveset!A2:I112,9,FALSE)="Thunder",Backdoors!BD8,IF(VLOOKUP(tbMoveset!A6,tbMoveset!A2:I112,9,FALSE)="Ice",Backdoors!BE8,IF(VLOOKUP(tbMoveset!A6,tbMoveset!A2:I112,9,FALSE)="Dragon",Backdoors!BF8,Backdoors!BG8)))))/100,Backdoors!BG8/100),"")</f>
        <v>0</v>
      </c>
      <c r="AM6" s="49">
        <f>IFERROR(IF(VLOOKUP(A6,tbMoveset!A2:J112,10,FALSE)=TRUE,IF((Backdoors!AI12+IF(AK6&gt;=0.45,VLOOKUP(Calculator!E23,tbSkills!DH3:DI6,2,FALSE)+IF(AND(Calculator!B8=TRUE,Backdoors!BI8=TRUE),VLOOKUP(Calculator!E23,tbSkills!DH3:DJ6,3,FALSE),0),0))&gt;=0,1+(Backdoors!AL2*(IF((Backdoors!AI12+IF(AK6&gt;=0.45,VLOOKUP(Calculator!E23,tbSkills!DH3:DI6,2,FALSE)+IF(AND(Calculator!B8=TRUE,Backdoors!BI8=TRUE),VLOOKUP(Calculator!E23,tbSkills!DH3:DJ6,3,FALSE),0),0))&gt;=100,100,(Backdoors!AI12+IF(AK6&gt;=0.45,VLOOKUP(Calculator!E23,tbSkills!DH3:DI6,2,FALSE)+IF(AND(Calculator!B8=TRUE,Backdoors!BI8=TRUE),VLOOKUP(Calculator!E23,tbSkills!DH3:DJ6,3,FALSE),0),0)))/100)),(1-(0.25*((-Backdoors!AI12-IF(AK6&gt;=0.45,VLOOKUP(Calculator!E23,tbSkills!DH3:DI6,2,FALSE)+IF(AND(Calculator!B8=TRUE,Backdoors!BI8=TRUE),VLOOKUP(Calculator!E23,tbSkills!DH3:DJ6,3,FALSE),0),0))/100)))),1),"")</f>
        <v>1</v>
      </c>
      <c r="AN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K6)*AM6)*(VLOOKUP(A6,tbMoveset!A2:C112,3,FALSE)/100)*IF(VLOOKUP(A6,tbMoveset!A2:B112,2,FALSE)="Projectile",Backdoors!N10,Backdoors!N9),0),"")</f>
        <v>4</v>
      </c>
      <c r="AO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K6&gt;=0.45,VLOOKUP(Calculator!E23,tbSkills!DH3:DI6,2,FALSE)+IF(AND(Calculator!B8=TRUE,Backdoors!BI8=TRUE),VLOOKUP(Calculator!E23,tbSkills!DH3:DJ6,3,FALSE),0),0))&gt;=100,100,(Backdoors!AI12+IF(AK6&gt;=0.45,VLOOKUP(Calculator!E23,tbSkills!DH3:DI6,2,FALSE)+IF(AND(Calculator!B8=TRUE,Backdoors!BI8=TRUE),VLOOKUP(Calculator!E23,tbSkills!DH3:DJ6,3,FALSE),0),0)))/100)),1))*IF(VLOOKUP(A6,tbMoveset!A2:K112,11,FALSE)=TRUE,Backdoors!AC5,1))*AL6,0),"")</f>
        <v>0</v>
      </c>
      <c r="AP6" s="49">
        <f>VLOOKUP(A6,tbMoveset!A2:G112,7,FALSE)*IFERROR(IF(Backdoors!AI12&gt;=0,1+(IF(Calculator!E40&gt;0,VLOOKUP(Calculator!E40,tbSkills!AI3:AJ5,2,FALSE),Backdoors!AL4)*(IF((Backdoors!AI12+IF(AK6&gt;=0.45,VLOOKUP(Calculator!E23,tbSkills!DH3:DI6,2,FALSE)+IF(AND(Calculator!B8=TRUE,Backdoors!BI8=TRUE),VLOOKUP(Calculator!E23,tbSkills!DH3:DJ6,3,FALSE),0),0))&gt;=100,100,(Backdoors!AI12+IF(AK6&gt;=0.45,VLOOKUP(Calculator!E23,tbSkills!DH3:DI6,2,FALSE)+IF(AND(Calculator!B8=TRUE,Backdoors!BI8=TRUE),VLOOKUP(Calculator!E23,tbSkills!DH3:DJ6,3,FALSE),0),0)))/100)),1),1)</f>
        <v>0.4</v>
      </c>
      <c r="AQ6" s="87">
        <f t="shared" si="2"/>
        <v>4</v>
      </c>
      <c r="AR6" s="86">
        <f>IFERROR(IF(VLOOKUP(A6,tbMoveset!A2:B112,2,FALSE)="Sever",Backdoors!AY9/100,IF(VLOOKUP(A6,tbMoveset!A2:B112,2,FALSE)="Blunt",Backdoors!AZ9/100,Backdoors!BA9/100)),"")</f>
        <v>0.45</v>
      </c>
      <c r="AS6" s="49">
        <f>IFERROR(IF(VLOOKUP(tbMoveset!A6,tbMoveset!A2:H112,8,FALSE)="Other",IF(VLOOKUP(tbMoveset!A6,tbMoveset!A2:I112,9,FALSE)="Fire",Backdoors!BB9,IF(VLOOKUP(tbMoveset!A6,tbMoveset!A2:I112,9,FALSE)="Water",Backdoors!BC9,IF(VLOOKUP(tbMoveset!A6,tbMoveset!A2:I112,9,FALSE)="Thunder",Backdoors!BD9,IF(VLOOKUP(tbMoveset!A6,tbMoveset!A2:I112,9,FALSE)="Ice",Backdoors!BE9,IF(VLOOKUP(tbMoveset!A6,tbMoveset!A2:I112,9,FALSE)="Dragon",Backdoors!BF9,Backdoors!BG9)))))/100,Backdoors!BG9/100),"")</f>
        <v>0</v>
      </c>
      <c r="AT6" s="49">
        <f>IFERROR(IF(VLOOKUP(A6,tbMoveset!A2:J112,10,FALSE)=TRUE,IF((Backdoors!AI12+IF(AR6&gt;=0.45,VLOOKUP(Calculator!E23,tbSkills!DH3:DI6,2,FALSE)+IF(AND(Calculator!B8=TRUE,Backdoors!BI9=TRUE),VLOOKUP(Calculator!E23,tbSkills!DH3:DJ6,3,FALSE),0),0))&gt;=0,1+(Backdoors!AL2*(IF((Backdoors!AI12+IF(AR6&gt;=0.45,VLOOKUP(Calculator!E23,tbSkills!DH3:DI6,2,FALSE)+IF(AND(Calculator!B8=TRUE,Backdoors!BI9=TRUE),VLOOKUP(Calculator!E23,tbSkills!DH3:DJ6,3,FALSE),0),0))&gt;=100,100,(Backdoors!AI12+IF(AR6&gt;=0.45,VLOOKUP(Calculator!E23,tbSkills!DH3:DI6,2,FALSE)+IF(AND(Calculator!B8=TRUE,Backdoors!BI9=TRUE),VLOOKUP(Calculator!E23,tbSkills!DH3:DJ6,3,FALSE),0),0)))/100)),(1-(0.25*((-Backdoors!AI12-IF(AR6&gt;=0.45,VLOOKUP(Calculator!E23,tbSkills!DH3:DI6,2,FALSE)+IF(AND(Calculator!B8=TRUE,Backdoors!BI9=TRUE),VLOOKUP(Calculator!E23,tbSkills!DH3:DJ6,3,FALSE),0),0))/100)))),1),"")</f>
        <v>1</v>
      </c>
      <c r="AU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R6)*AT6)*(VLOOKUP(A6,tbMoveset!A2:C112,3,FALSE)/100)*IF(VLOOKUP(A6,tbMoveset!A2:B112,2,FALSE)="Projectile",Backdoors!N10,Backdoors!N9),0),"")</f>
        <v>4</v>
      </c>
      <c r="AV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R6&gt;=0.45,VLOOKUP(Calculator!E23,tbSkills!DH3:DI6,2,FALSE)+IF(AND(Calculator!B8=TRUE,Backdoors!BI9=TRUE),VLOOKUP(Calculator!E23,tbSkills!DH3:DJ6,3,FALSE),0),0))&gt;=100,100,(Backdoors!AI12+IF(AR6&gt;=0.45,VLOOKUP(Calculator!E23,tbSkills!DH3:DI6,2,FALSE)+IF(AND(Calculator!B8=TRUE,Backdoors!BI9=TRUE),VLOOKUP(Calculator!E23,tbSkills!DH3:DJ6,3,FALSE),0),0)))/100)),1))*IF(VLOOKUP(A6,tbMoveset!A2:K112,11,FALSE)=TRUE,Backdoors!AC5,1))*AS6,0),"")</f>
        <v>0</v>
      </c>
      <c r="AW6" s="49">
        <f>VLOOKUP(A6,tbMoveset!A2:G112,7,FALSE)*IFERROR(IF(Backdoors!AI12&gt;=0,1+(IF(Calculator!E40&gt;0,VLOOKUP(Calculator!E40,tbSkills!AI3:AJ5,2,FALSE),Backdoors!AL4)*(IF((Backdoors!AI12+IF(AR6&gt;=0.45,VLOOKUP(Calculator!E23,tbSkills!DH3:DI6,2,FALSE)+IF(AND(Calculator!B8=TRUE,Backdoors!BI9=TRUE),VLOOKUP(Calculator!E23,tbSkills!DH3:DJ6,3,FALSE),0),0))&gt;=100,100,(Backdoors!AI12+IF(AR6&gt;=0.45,VLOOKUP(Calculator!E23,tbSkills!DH3:DI6,2,FALSE)+IF(AND(Calculator!B8=TRUE,Backdoors!BI9=TRUE),VLOOKUP(Calculator!E23,tbSkills!DH3:DJ6,3,FALSE),0),0)))/100)),1),1)</f>
        <v>0.4</v>
      </c>
      <c r="AX6" s="87">
        <f t="shared" si="38"/>
        <v>4</v>
      </c>
      <c r="AY6" s="86">
        <f>IFERROR(IF(VLOOKUP(A6,tbMoveset!A2:B112,2,FALSE)="Sever",Backdoors!AY10/100,IF(VLOOKUP(A6,tbMoveset!A2:B112,2,FALSE)="Blunt",Backdoors!AZ10/100,Backdoors!BA10/100)),"")</f>
        <v>0.9</v>
      </c>
      <c r="AZ6" s="49">
        <f>IFERROR(IF(VLOOKUP(tbMoveset!A6,tbMoveset!A2:H112,8,FALSE)="Other",IF(VLOOKUP(tbMoveset!A6,tbMoveset!A2:I112,9,FALSE)="Fire",Backdoors!BB10,IF(VLOOKUP(tbMoveset!A6,tbMoveset!A2:I112,9,FALSE)="Water",Backdoors!BC10,IF(VLOOKUP(tbMoveset!A6,tbMoveset!A2:I112,9,FALSE)="Thunder",Backdoors!BD10,IF(VLOOKUP(tbMoveset!A6,tbMoveset!A2:I112,9,FALSE)="Ice",Backdoors!BE10,IF(VLOOKUP(tbMoveset!A6,tbMoveset!A2:I112,9,FALSE)="Dragon",Backdoors!BF10,Backdoors!BG10)))))/100,Backdoors!BG10/100),"")</f>
        <v>0</v>
      </c>
      <c r="BA6" s="49">
        <f>IFERROR(IF(VLOOKUP(A6,tbMoveset!A2:J112,10,FALSE)=TRUE,IF((Backdoors!AI12+IF(AY6&gt;=0.45,VLOOKUP(Calculator!E23,tbSkills!DH3:DI6,2,FALSE)+IF(AND(Calculator!B8=TRUE,Backdoors!BI10=TRUE),VLOOKUP(Calculator!E23,tbSkills!DH3:DJ6,3,FALSE),0),0))&gt;=0,1+(Backdoors!AL2*(IF((Backdoors!AI12+IF(AY6&gt;=0.45,VLOOKUP(Calculator!E23,tbSkills!DH3:DI6,2,FALSE)+IF(AND(Calculator!B8=TRUE,Backdoors!BI10=TRUE),VLOOKUP(Calculator!E23,tbSkills!DH3:DJ6,3,FALSE),0),0))&gt;=100,100,(Backdoors!AI12+IF(AY6&gt;=0.45,VLOOKUP(Calculator!E23,tbSkills!DH3:DI6,2,FALSE)+IF(AND(Calculator!B8=TRUE,Backdoors!BI10=TRUE),VLOOKUP(Calculator!E23,tbSkills!DH3:DJ6,3,FALSE),0),0)))/100)),(1-(0.25*((-Backdoors!AI12-IF(AY6&gt;=0.45,VLOOKUP(Calculator!E23,tbSkills!DH3:DI6,2,FALSE)+IF(AND(Calculator!B8=TRUE,Backdoors!BI10=TRUE),VLOOKUP(Calculator!E23,tbSkills!DH3:DJ6,3,FALSE),0),0))/100)))),1),"")</f>
        <v>1</v>
      </c>
      <c r="BB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Y6)*BA6)*(VLOOKUP(A6,tbMoveset!A2:C112,3,FALSE)/100)*IF(VLOOKUP(A6,tbMoveset!A2:B112,2,FALSE)="Projectile",Backdoors!N10,Backdoors!N9),0),"")</f>
        <v>8</v>
      </c>
      <c r="BC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Y6&gt;=0.45,VLOOKUP(Calculator!E23,tbSkills!DH3:DI6,2,FALSE)+IF(AND(Calculator!B8=TRUE,Backdoors!BI10=TRUE),VLOOKUP(Calculator!E23,tbSkills!DH3:DJ6,3,FALSE),0),0))&gt;=100,100,(Backdoors!AI12+IF(AY6&gt;=0.45,VLOOKUP(Calculator!E23,tbSkills!DH3:DI6,2,FALSE)+IF(AND(Calculator!B8=TRUE,Backdoors!BI10=TRUE),VLOOKUP(Calculator!E23,tbSkills!DH3:DJ6,3,FALSE),0),0)))/100)),1))*IF(VLOOKUP(A6,tbMoveset!A2:K112,11,FALSE)=TRUE,Backdoors!AC5,1))*AZ6,0),"")</f>
        <v>0</v>
      </c>
      <c r="BD6" s="49">
        <f>VLOOKUP(A6,tbMoveset!A2:G112,7,FALSE)*IFERROR(IF(Backdoors!AI12&gt;=0,1+(IF(Calculator!E40&gt;0,VLOOKUP(Calculator!E40,tbSkills!AI3:AJ5,2,FALSE),Backdoors!AL4)*(IF((Backdoors!AI12+IF(AY6&gt;=0.45,VLOOKUP(Calculator!E23,tbSkills!DH3:DI6,2,FALSE)+IF(AND(Calculator!B8=TRUE,Backdoors!BI10=TRUE),VLOOKUP(Calculator!E23,tbSkills!DH3:DJ6,3,FALSE),0),0))&gt;=100,100,(Backdoors!AI12+IF(AY6&gt;=0.45,VLOOKUP(Calculator!E23,tbSkills!DH3:DI6,2,FALSE)+IF(AND(Calculator!B8=TRUE,Backdoors!BI10=TRUE),VLOOKUP(Calculator!E23,tbSkills!DH3:DJ6,3,FALSE),0),0)))/100)),1),1)</f>
        <v>0.4</v>
      </c>
      <c r="BE6" s="87">
        <f t="shared" si="3"/>
        <v>8</v>
      </c>
      <c r="BF6" s="86" t="str">
        <f>IFERROR(IF(VLOOKUP(A6,tbMoveset!A2:B112,2,FALSE)="Sever",Backdoors!AY11/100,IF(VLOOKUP(A6,tbMoveset!A2:B112,2,FALSE)="Blunt",Backdoors!AZ11/100,Backdoors!BA11/100)),"")</f>
        <v/>
      </c>
      <c r="BG6" s="49">
        <f>IFERROR(IF(VLOOKUP(tbMoveset!A6,tbMoveset!A2:H112,8,FALSE)="Other",IF(VLOOKUP(tbMoveset!A6,tbMoveset!A2:I112,9,FALSE)="Fire",Backdoors!BB11,IF(VLOOKUP(tbMoveset!A6,tbMoveset!A2:I112,9,FALSE)="Water",Backdoors!BC11,IF(VLOOKUP(tbMoveset!A6,tbMoveset!A2:I112,9,FALSE)="Thunder",Backdoors!BD11,IF(VLOOKUP(tbMoveset!A6,tbMoveset!A2:I112,9,FALSE)="Ice",Backdoors!BE11,IF(VLOOKUP(tbMoveset!A6,tbMoveset!A2:I112,9,FALSE)="Dragon",Backdoors!BF11,Backdoors!BG11)))))/100,Backdoors!BG11/100),"")</f>
        <v>0</v>
      </c>
      <c r="BH6" s="49">
        <f>IFERROR(IF(VLOOKUP(A6,tbMoveset!A2:J112,10,FALSE)=TRUE,IF((Backdoors!AI12+IF(BF6&gt;=0.45,VLOOKUP(Calculator!E23,tbSkills!DH3:DI6,2,FALSE)+IF(AND(Calculator!B8=TRUE,Backdoors!BI11=TRUE),VLOOKUP(Calculator!E23,tbSkills!DH3:DJ6,3,FALSE),0),0))&gt;=0,1+(Backdoors!AL2*(IF((Backdoors!AI12+IF(BF6&gt;=0.45,VLOOKUP(Calculator!E23,tbSkills!DH3:DI6,2,FALSE)+IF(AND(Calculator!B8=TRUE,Backdoors!BI11=TRUE),VLOOKUP(Calculator!E23,tbSkills!DH3:DJ6,3,FALSE),0),0))&gt;=100,100,(Backdoors!AI12+IF(BF6&gt;=0.45,VLOOKUP(Calculator!E23,tbSkills!DH3:DI6,2,FALSE)+IF(AND(Calculator!B8=TRUE,Backdoors!BI11=TRUE),VLOOKUP(Calculator!E23,tbSkills!DH3:DJ6,3,FALSE),0),0)))/100)),(1-(0.25*((-Backdoors!AI12-IF(BF6&gt;=0.45,VLOOKUP(Calculator!E23,tbSkills!DH3:DI6,2,FALSE)+IF(AND(Calculator!B8=TRUE,Backdoors!BI11=TRUE),VLOOKUP(Calculator!E23,tbSkills!DH3:DJ6,3,FALSE),0),0))/100)))),1),"")</f>
        <v>1</v>
      </c>
      <c r="BI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F6)*BH6)*(VLOOKUP(A6,tbMoveset!A2:C112,3,FALSE)/100)*IF(VLOOKUP(A6,tbMoveset!A2:B112,2,FALSE)="Projectile",Backdoors!N10,Backdoors!N9),0),"")</f>
        <v/>
      </c>
      <c r="BJ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F6&gt;=0.45,VLOOKUP(Calculator!E23,tbSkills!DH3:DI6,2,FALSE)+IF(AND(Calculator!B8=TRUE,Backdoors!BI11=TRUE),VLOOKUP(Calculator!E23,tbSkills!DH3:DJ6,3,FALSE),0),0))&gt;=100,100,(Backdoors!AI12+IF(BF6&gt;=0.45,VLOOKUP(Calculator!E23,tbSkills!DH3:DI6,2,FALSE)+IF(AND(Calculator!B8=TRUE,Backdoors!BI11=TRUE),VLOOKUP(Calculator!E23,tbSkills!DH3:DJ6,3,FALSE),0),0)))/100)),1))*IF(VLOOKUP(A6,tbMoveset!A2:K112,11,FALSE)=TRUE,Backdoors!AC5,1))*BG6,0),"")</f>
        <v>0</v>
      </c>
      <c r="BK6" s="49">
        <f>VLOOKUP(A6,tbMoveset!A2:G112,7,FALSE)*IFERROR(IF(Backdoors!AI12&gt;=0,1+(IF(Calculator!E40&gt;0,VLOOKUP(Calculator!E40,tbSkills!AI3:AJ5,2,FALSE),Backdoors!AL4)*(IF((Backdoors!AI12+IF(BF6&gt;=0.45,VLOOKUP(Calculator!E23,tbSkills!DH3:DI6,2,FALSE)+IF(AND(Calculator!B8=TRUE,Backdoors!BI11=TRUE),VLOOKUP(Calculator!E23,tbSkills!DH3:DJ6,3,FALSE),0),0))&gt;=100,100,(Backdoors!AI12+IF(BF6&gt;=0.45,VLOOKUP(Calculator!E23,tbSkills!DH3:DI6,2,FALSE)+IF(AND(Calculator!B8=TRUE,Backdoors!BI11=TRUE),VLOOKUP(Calculator!E23,tbSkills!DH3:DJ6,3,FALSE),0),0)))/100)),1),1)</f>
        <v>0.4</v>
      </c>
      <c r="BL6" s="87">
        <f t="shared" si="4"/>
        <v>0</v>
      </c>
      <c r="BM6" s="86" t="str">
        <f>IFERROR(IF(VLOOKUP(A6,tbMoveset!A2:B112,2,FALSE)="Sever",Backdoors!AY12/100,IF(VLOOKUP(A6,tbMoveset!A2:B112,2,FALSE)="Blunt",Backdoors!AZ12/100,Backdoors!BA12/100)),"")</f>
        <v/>
      </c>
      <c r="BN6" s="49">
        <f>IFERROR(IF(VLOOKUP(tbMoveset!A6,tbMoveset!A2:H112,8,FALSE)="Other",IF(VLOOKUP(tbMoveset!A6,tbMoveset!A2:I112,9,FALSE)="Fire",Backdoors!BB12,IF(VLOOKUP(tbMoveset!A6,tbMoveset!A2:I112,9,FALSE)="Water",Backdoors!BC12,IF(VLOOKUP(tbMoveset!A6,tbMoveset!A2:I112,9,FALSE)="Thunder",Backdoors!BD12,IF(VLOOKUP(tbMoveset!A6,tbMoveset!A2:I112,9,FALSE)="Ice",Backdoors!BE12,IF(VLOOKUP(tbMoveset!A6,tbMoveset!A2:I112,9,FALSE)="Dragon",Backdoors!BF12,Backdoors!BG12)))))/100,Backdoors!BG12/100),"")</f>
        <v>0</v>
      </c>
      <c r="BO6" s="49">
        <f>IFERROR(IF(VLOOKUP(A6,tbMoveset!A2:J112,10,FALSE)=TRUE,IF((Backdoors!AI12+IF(BM6&gt;=0.45,VLOOKUP(Calculator!E23,tbSkills!DH3:DI6,2,FALSE)+IF(AND(Calculator!B8=TRUE,Backdoors!BI12=TRUE),VLOOKUP(Calculator!E23,tbSkills!DH3:DJ6,3,FALSE),0),0))&gt;=0,1+(Backdoors!AL2*(IF((Backdoors!AI12+IF(BM6&gt;=0.45,VLOOKUP(Calculator!E23,tbSkills!DH3:DI6,2,FALSE)+IF(AND(Calculator!B8=TRUE,Backdoors!BI12=TRUE),VLOOKUP(Calculator!E23,tbSkills!DH3:DJ6,3,FALSE),0),0))&gt;=100,100,(Backdoors!AI12+IF(BM6&gt;=0.45,VLOOKUP(Calculator!E23,tbSkills!DH3:DI6,2,FALSE)+IF(AND(Calculator!B8=TRUE,Backdoors!BI12=TRUE),VLOOKUP(Calculator!E23,tbSkills!DH3:DJ6,3,FALSE),0),0)))/100)),(1-(0.25*((-Backdoors!AI12-IF(BM6&gt;=0.45,VLOOKUP(Calculator!E23,tbSkills!DH3:DI6,2,FALSE)+IF(AND(Calculator!B8=TRUE,Backdoors!BI12=TRUE),VLOOKUP(Calculator!E23,tbSkills!DH3:DJ6,3,FALSE),0),0))/100)))),1),"")</f>
        <v>1</v>
      </c>
      <c r="BP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M6)*BO6)*(VLOOKUP(A6,tbMoveset!A2:C112,3,FALSE)/100)*IF(VLOOKUP(A6,tbMoveset!A2:B112,2,FALSE)="Projectile",Backdoors!N10,Backdoors!N9),0),"")</f>
        <v/>
      </c>
      <c r="BQ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M6&gt;=0.45,VLOOKUP(Calculator!E23,tbSkills!DH3:DI6,2,FALSE)+IF(AND(Calculator!B8=TRUE,Backdoors!BI12=TRUE),VLOOKUP(Calculator!E23,tbSkills!DH3:DJ6,3,FALSE),0),0))&gt;=100,100,(Backdoors!AI12+IF(BM6&gt;=0.45,VLOOKUP(Calculator!E23,tbSkills!DH3:DI6,2,FALSE)+IF(AND(Calculator!B8=TRUE,Backdoors!BI12=TRUE),VLOOKUP(Calculator!E23,tbSkills!DH3:DJ6,3,FALSE),0),0)))/100)),1))*IF(VLOOKUP(A6,tbMoveset!A2:K112,11,FALSE)=TRUE,Backdoors!AC5,1))*BN6,0),"")</f>
        <v>0</v>
      </c>
      <c r="BR6" s="49">
        <f>VLOOKUP(A6,tbMoveset!A2:G112,7,FALSE)*IFERROR(IF(Backdoors!AI12&gt;=0,1+(IF(Calculator!E40&gt;0,VLOOKUP(Calculator!E40,tbSkills!AI3:AJ5,2,FALSE),Backdoors!AL4)*(IF((Backdoors!AI12+IF(BM6&gt;=0.45,VLOOKUP(Calculator!E23,tbSkills!DH3:DI6,2,FALSE)+IF(AND(Calculator!B8=TRUE,Backdoors!BI12=TRUE),VLOOKUP(Calculator!E23,tbSkills!DH3:DJ6,3,FALSE),0),0))&gt;=100,100,(Backdoors!AI12+IF(BM6&gt;=0.45,VLOOKUP(Calculator!E23,tbSkills!DH3:DI6,2,FALSE)+IF(AND(Calculator!B8=TRUE,Backdoors!BI12=TRUE),VLOOKUP(Calculator!E23,tbSkills!DH3:DJ6,3,FALSE),0),0)))/100)),1),1)</f>
        <v>0.4</v>
      </c>
      <c r="BS6" s="87">
        <f t="shared" si="39"/>
        <v>0</v>
      </c>
      <c r="BT6" s="86" t="str">
        <f>IFERROR(IF(VLOOKUP(A6,tbMoveset!A2:B112,2,FALSE)="Sever",Backdoors!AY13/100,IF(VLOOKUP(A6,tbMoveset!A2:B112,2,FALSE)="Blunt",Backdoors!AZ13/100,Backdoors!BA13/100)),"")</f>
        <v/>
      </c>
      <c r="BU6" s="49">
        <f>IFERROR(IF(VLOOKUP(tbMoveset!A6,tbMoveset!A2:H112,8,FALSE)="Other",IF(VLOOKUP(tbMoveset!A6,tbMoveset!A2:I112,9,FALSE)="Fire",Backdoors!BB13,IF(VLOOKUP(tbMoveset!A6,tbMoveset!A2:I112,9,FALSE)="Water",Backdoors!BC13,IF(VLOOKUP(tbMoveset!A6,tbMoveset!A2:I112,9,FALSE)="Thunder",Backdoors!BD13,IF(VLOOKUP(tbMoveset!A6,tbMoveset!A2:I112,9,FALSE)="Ice",Backdoors!BE13,IF(VLOOKUP(tbMoveset!A6,tbMoveset!A2:I112,9,FALSE)="Dragon",Backdoors!BF13,Backdoors!BG13)))))/100,Backdoors!BG13/100),"")</f>
        <v>0</v>
      </c>
      <c r="BV6" s="49">
        <f>IFERROR(IF(VLOOKUP(A6,tbMoveset!A2:J112,10,FALSE)=TRUE,IF((Backdoors!AI12+IF(BT6&gt;=0.45,VLOOKUP(Calculator!E23,tbSkills!DH3:DI6,2,FALSE)+IF(AND(Calculator!B8=TRUE,Backdoors!BI13=TRUE),VLOOKUP(Calculator!E23,tbSkills!DH3:DJ6,3,FALSE),0),0))&gt;=0,1+(Backdoors!AL2*(IF((Backdoors!AI12+IF(BT6&gt;=0.45,VLOOKUP(Calculator!E23,tbSkills!DH3:DI6,2,FALSE)+IF(AND(Calculator!B8=TRUE,Backdoors!BI13=TRUE),VLOOKUP(Calculator!E23,tbSkills!DH3:DJ6,3,FALSE),0),0))&gt;=100,100,(Backdoors!AI12+IF(BT6&gt;=0.45,VLOOKUP(Calculator!E23,tbSkills!DH3:DI6,2,FALSE)+IF(AND(Calculator!B8=TRUE,Backdoors!BI13=TRUE),VLOOKUP(Calculator!E23,tbSkills!DH3:DJ6,3,FALSE),0),0)))/100)),(1-(0.25*((-Backdoors!AI12-IF(BT6&gt;=0.45,VLOOKUP(Calculator!E23,tbSkills!DH3:DI6,2,FALSE)+IF(AND(Calculator!B8=TRUE,Backdoors!BI13=TRUE),VLOOKUP(Calculator!E23,tbSkills!DH3:DJ6,3,FALSE),0),0))/100)))),1),"")</f>
        <v>1</v>
      </c>
      <c r="BW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T6)*BV6)*(VLOOKUP(A6,tbMoveset!A2:C112,3,FALSE)/100)*IF(VLOOKUP(A6,tbMoveset!A2:B112,2,FALSE)="Projectile",Backdoors!N10,Backdoors!N9),0),"")</f>
        <v/>
      </c>
      <c r="BX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T6&gt;=0.45,VLOOKUP(Calculator!E23,tbSkills!DH3:DI6,2,FALSE)+IF(AND(Calculator!B8=TRUE,Backdoors!BI13=TRUE),VLOOKUP(Calculator!E23,tbSkills!DH3:DJ6,3,FALSE),0),0))&gt;=100,100,(Backdoors!AI12+IF(BT6&gt;=0.45,VLOOKUP(Calculator!E23,tbSkills!DH3:DI6,2,FALSE)+IF(AND(Calculator!B8=TRUE,Backdoors!BI13=TRUE),VLOOKUP(Calculator!E23,tbSkills!DH3:DJ6,3,FALSE),0),0)))/100)),1))*IF(VLOOKUP(A6,tbMoveset!A2:K112,11,FALSE)=TRUE,Backdoors!AC5,1))*BU6,0),"")</f>
        <v>0</v>
      </c>
      <c r="BY6" s="49">
        <f>VLOOKUP(A6,tbMoveset!A2:G112,7,FALSE)*IFERROR(IF(Backdoors!AI12&gt;=0,1+(IF(Calculator!E40&gt;0,VLOOKUP(Calculator!E40,tbSkills!AI3:AJ5,2,FALSE),Backdoors!AL4)*(IF((Backdoors!AI12+IF(BT6&gt;=0.45,VLOOKUP(Calculator!E23,tbSkills!DH3:DI6,2,FALSE)+IF(AND(Calculator!B8=TRUE,Backdoors!BI13=TRUE),VLOOKUP(Calculator!E23,tbSkills!DH3:DJ6,3,FALSE),0),0))&gt;=100,100,(Backdoors!AI12+IF(BT6&gt;=0.45,VLOOKUP(Calculator!E23,tbSkills!DH3:DI6,2,FALSE)+IF(AND(Calculator!B8=TRUE,Backdoors!BI13=TRUE),VLOOKUP(Calculator!E23,tbSkills!DH3:DJ6,3,FALSE),0),0)))/100)),1),1)</f>
        <v>0.4</v>
      </c>
      <c r="BZ6" s="87">
        <f t="shared" si="5"/>
        <v>0</v>
      </c>
      <c r="CA6" s="86" t="str">
        <f>IFERROR(IF(VLOOKUP(A6,tbMoveset!A2:B112,2,FALSE)="Sever",Backdoors!AY14/100,IF(VLOOKUP(A6,tbMoveset!A2:B112,2,FALSE)="Blunt",Backdoors!AZ14/100,Backdoors!BA14/100)),"")</f>
        <v/>
      </c>
      <c r="CB6" s="49">
        <f>IFERROR(IF(VLOOKUP(tbMoveset!A6,tbMoveset!A2:H112,8,FALSE)="Other",IF(VLOOKUP(tbMoveset!A6,tbMoveset!A2:I112,9,FALSE)="Fire",Backdoors!BB14,IF(VLOOKUP(tbMoveset!A6,tbMoveset!A2:I112,9,FALSE)="Water",Backdoors!BC14,IF(VLOOKUP(tbMoveset!A6,tbMoveset!A2:I112,9,FALSE)="Thunder",Backdoors!BD14,IF(VLOOKUP(tbMoveset!A6,tbMoveset!A2:I112,9,FALSE)="Ice",Backdoors!BE14,IF(VLOOKUP(tbMoveset!A6,tbMoveset!A2:I112,9,FALSE)="Dragon",Backdoors!BF14,Backdoors!BG14)))))/100,Backdoors!BG14/100),"")</f>
        <v>0</v>
      </c>
      <c r="CC6" s="49">
        <f>IFERROR(IF(VLOOKUP(A6,tbMoveset!A2:J112,10,FALSE)=TRUE,IF((Backdoors!AI12+IF(CA6&gt;=0.45,VLOOKUP(Calculator!E23,tbSkills!DH3:DI6,2,FALSE)+IF(AND(Calculator!B8=TRUE,Backdoors!BI14=TRUE),VLOOKUP(Calculator!E23,tbSkills!DH3:DJ6,3,FALSE),0),0))&gt;=0,1+(Backdoors!AL2*(IF((Backdoors!AI12+IF(CA6&gt;=0.45,VLOOKUP(Calculator!E23,tbSkills!DH3:DI6,2,FALSE)+IF(AND(Calculator!B8=TRUE,Backdoors!BI14=TRUE),VLOOKUP(Calculator!E23,tbSkills!DH3:DJ6,3,FALSE),0),0))&gt;=100,100,(Backdoors!AI12+IF(CA6&gt;=0.45,VLOOKUP(Calculator!E23,tbSkills!DH3:DI6,2,FALSE)+IF(AND(Calculator!B8=TRUE,Backdoors!BI14=TRUE),VLOOKUP(Calculator!E23,tbSkills!DH3:DJ6,3,FALSE),0),0)))/100)),(1-(0.25*((-Backdoors!AI12-IF(CA6&gt;=0.45,VLOOKUP(Calculator!E23,tbSkills!DH3:DI6,2,FALSE)+IF(AND(Calculator!B8=TRUE,Backdoors!BI14=TRUE),VLOOKUP(Calculator!E23,tbSkills!DH3:DJ6,3,FALSE),0),0))/100)))),1),"")</f>
        <v>1</v>
      </c>
      <c r="CD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A6)*CC6)*(VLOOKUP(A6,tbMoveset!A2:C112,3,FALSE)/100)*IF(VLOOKUP(A6,tbMoveset!A2:B112,2,FALSE)="Projectile",Backdoors!N10,Backdoors!N9),0),"")</f>
        <v/>
      </c>
      <c r="CE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A6&gt;=0.45,VLOOKUP(Calculator!E23,tbSkills!DH3:DI6,2,FALSE)+IF(AND(Calculator!B8=TRUE,Backdoors!BI14=TRUE),VLOOKUP(Calculator!E23,tbSkills!DH3:DJ6,3,FALSE),0),0))&gt;=100,100,(Backdoors!AI12+IF(CA6&gt;=0.45,VLOOKUP(Calculator!E23,tbSkills!DH3:DI6,2,FALSE)+IF(AND(Calculator!B8=TRUE,Backdoors!BI14=TRUE),VLOOKUP(Calculator!E23,tbSkills!DH3:DJ6,3,FALSE),0),0)))/100)),1))*IF(VLOOKUP(A6,tbMoveset!A2:K112,11,FALSE)=TRUE,Backdoors!AC5,1))*CB6,0),"")</f>
        <v>0</v>
      </c>
      <c r="CF6" s="49">
        <f>VLOOKUP(A6,tbMoveset!A2:G112,7,FALSE)*IFERROR(IF(Backdoors!AI12&gt;=0,1+(IF(Calculator!E40&gt;0,VLOOKUP(Calculator!E40,tbSkills!AI3:AJ5,2,FALSE),Backdoors!AL4)*(IF((Backdoors!AI12+IF(CA6&gt;=0.45,VLOOKUP(Calculator!E23,tbSkills!DH3:DI6,2,FALSE)+IF(AND(Calculator!B8=TRUE,Backdoors!BI14=TRUE),VLOOKUP(Calculator!E23,tbSkills!DH3:DJ6,3,FALSE),0),0))&gt;=100,100,(Backdoors!AI12+IF(CA6&gt;=0.45,VLOOKUP(Calculator!E23,tbSkills!DH3:DI6,2,FALSE)+IF(AND(Calculator!B8=TRUE,Backdoors!BI14=TRUE),VLOOKUP(Calculator!E23,tbSkills!DH3:DJ6,3,FALSE),0),0)))/100)),1),1)</f>
        <v>0.4</v>
      </c>
      <c r="CG6" s="87">
        <f t="shared" si="6"/>
        <v>0</v>
      </c>
      <c r="CH6" s="86" t="str">
        <f>IFERROR(IF(VLOOKUP(A6,tbMoveset!A2:B112,2,FALSE)="Sever",Backdoors!AY15/100,IF(VLOOKUP(A6,tbMoveset!A2:B112,2,FALSE)="Blunt",Backdoors!AZ15/100,Backdoors!BA15/100)),"")</f>
        <v/>
      </c>
      <c r="CI6" s="49">
        <f>IFERROR(IF(VLOOKUP(tbMoveset!A6,tbMoveset!A2:H112,8,FALSE)="Other",IF(VLOOKUP(tbMoveset!A6,tbMoveset!A2:I112,9,FALSE)="Fire",Backdoors!BB15,IF(VLOOKUP(tbMoveset!A6,tbMoveset!A2:I112,9,FALSE)="Water",Backdoors!BC15,IF(VLOOKUP(tbMoveset!A6,tbMoveset!A2:I112,9,FALSE)="Thunder",Backdoors!BD15,IF(VLOOKUP(tbMoveset!A6,tbMoveset!A2:I112,9,FALSE)="Ice",Backdoors!BE15,IF(VLOOKUP(tbMoveset!A6,tbMoveset!A2:I112,9,FALSE)="Dragon",Backdoors!BF15,Backdoors!BG15)))))/100,Backdoors!BG15/100),"")</f>
        <v>0</v>
      </c>
      <c r="CJ6" s="49">
        <f>IFERROR(IF(VLOOKUP(A6,tbMoveset!A2:J112,10,FALSE)=TRUE,IF((Backdoors!AI12+IF(CH6&gt;=0.45,VLOOKUP(Calculator!E23,tbSkills!DH3:DI6,2,FALSE)+IF(AND(Calculator!B8=TRUE,Backdoors!BI15=TRUE),VLOOKUP(Calculator!E23,tbSkills!DH3:DJ6,3,FALSE),0),0))&gt;=0,1+(Backdoors!AL2*(IF((Backdoors!AI12+IF(CH6&gt;=0.45,VLOOKUP(Calculator!E23,tbSkills!DH3:DI6,2,FALSE)+IF(AND(Calculator!B8=TRUE,Backdoors!BI15=TRUE),VLOOKUP(Calculator!E23,tbSkills!DH3:DJ6,3,FALSE),0),0))&gt;=100,100,(Backdoors!AI12+IF(CH6&gt;=0.45,VLOOKUP(Calculator!E23,tbSkills!DH3:DI6,2,FALSE)+IF(AND(Calculator!B8=TRUE,Backdoors!BI15=TRUE),VLOOKUP(Calculator!E23,tbSkills!DH3:DJ6,3,FALSE),0),0)))/100)),(1-(0.25*((-Backdoors!AI12-IF(CH6&gt;=0.45,VLOOKUP(Calculator!E23,tbSkills!DH3:DI6,2,FALSE)+IF(AND(Calculator!B8=TRUE,Backdoors!BI15=TRUE),VLOOKUP(Calculator!E23,tbSkills!DH3:DJ6,3,FALSE),0),0))/100)))),1),"")</f>
        <v>1</v>
      </c>
      <c r="CK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H6)*CJ6)*(VLOOKUP(A6,tbMoveset!A2:C112,3,FALSE)/100)*IF(VLOOKUP(A6,tbMoveset!A2:B112,2,FALSE)="Projectile",Backdoors!N10,Backdoors!N9),0),"")</f>
        <v/>
      </c>
      <c r="CL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H6&gt;=0.45,VLOOKUP(Calculator!E23,tbSkills!DH3:DI6,2,FALSE)+IF(AND(Calculator!B8=TRUE,Backdoors!BI15=TRUE),VLOOKUP(Calculator!E23,tbSkills!DH3:DJ6,3,FALSE),0),0))&gt;=100,100,(Backdoors!AI12+IF(CH6&gt;=0.45,VLOOKUP(Calculator!E23,tbSkills!DH3:DI6,2,FALSE)+IF(AND(Calculator!B8=TRUE,Backdoors!BI15=TRUE),VLOOKUP(Calculator!E23,tbSkills!DH3:DJ6,3,FALSE),0),0)))/100)),1))*IF(VLOOKUP(A6,tbMoveset!A2:K112,11,FALSE)=TRUE,Backdoors!AC5,1))*CI6,0),"")</f>
        <v>0</v>
      </c>
      <c r="CM6" s="49">
        <f>VLOOKUP(A6,tbMoveset!A2:G112,7,FALSE)*IFERROR(IF(Backdoors!AI12&gt;=0,1+(IF(Calculator!E40&gt;0,VLOOKUP(Calculator!E40,tbSkills!AI3:AJ5,2,FALSE),Backdoors!AL4)*(IF((Backdoors!AI12+IF(CH6&gt;=0.45,VLOOKUP(Calculator!E23,tbSkills!DH3:DI6,2,FALSE)+IF(AND(Calculator!B8=TRUE,Backdoors!BI15=TRUE),VLOOKUP(Calculator!E23,tbSkills!DH3:DJ6,3,FALSE),0),0))&gt;=100,100,(Backdoors!AI12+IF(CH6&gt;=0.45,VLOOKUP(Calculator!E23,tbSkills!DH3:DI6,2,FALSE)+IF(AND(Calculator!B8=TRUE,Backdoors!BI15=TRUE),VLOOKUP(Calculator!E23,tbSkills!DH3:DJ6,3,FALSE),0),0)))/100)),1),1)</f>
        <v>0.4</v>
      </c>
      <c r="CN6" s="87">
        <f t="shared" si="7"/>
        <v>0</v>
      </c>
      <c r="CO6" s="86" t="str">
        <f>IFERROR(IF(VLOOKUP(A6,tbMoveset!A2:B112,2,FALSE)="Sever",Backdoors!AY16/100,IF(VLOOKUP(A6,tbMoveset!A2:B112,2,FALSE)="Blunt",Backdoors!AZ16/100,Backdoors!BA16/100)),"")</f>
        <v/>
      </c>
      <c r="CP6" s="49">
        <f>IFERROR(IF(VLOOKUP(tbMoveset!A6,tbMoveset!A2:H112,8,FALSE)="Other",IF(VLOOKUP(tbMoveset!A6,tbMoveset!A2:I112,9,FALSE)="Fire",Backdoors!BB16,IF(VLOOKUP(tbMoveset!A6,tbMoveset!A2:I112,9,FALSE)="Water",Backdoors!BC16,IF(VLOOKUP(tbMoveset!A6,tbMoveset!A2:I112,9,FALSE)="Thunder",Backdoors!BD16,IF(VLOOKUP(tbMoveset!A6,tbMoveset!A2:I112,9,FALSE)="Ice",Backdoors!BE16,IF(VLOOKUP(tbMoveset!A6,tbMoveset!A2:I112,9,FALSE)="Dragon",Backdoors!BF16,Backdoors!BG16)))))/100,Backdoors!BG16/100),"")</f>
        <v>0</v>
      </c>
      <c r="CQ6" s="49">
        <f>IFERROR(IF(VLOOKUP(A6,tbMoveset!A2:J112,10,FALSE)=TRUE,IF((Backdoors!AI12+IF(CO6&gt;=0.45,VLOOKUP(Calculator!E23,tbSkills!DH3:DI6,2,FALSE)+IF(AND(Calculator!B8=TRUE,Backdoors!BI16=TRUE),VLOOKUP(Calculator!E23,tbSkills!DH3:DJ6,3,FALSE),0),0))&gt;=0,1+(Backdoors!AL2*(IF((Backdoors!AI12+IF(CO6&gt;=0.45,VLOOKUP(Calculator!E23,tbSkills!DH3:DI6,2,FALSE)+IF(AND(Calculator!B8=TRUE,Backdoors!BI16=TRUE),VLOOKUP(Calculator!E23,tbSkills!DH3:DJ6,3,FALSE),0),0))&gt;=100,100,(Backdoors!AI12+IF(CO6&gt;=0.45,VLOOKUP(Calculator!E23,tbSkills!DH3:DI6,2,FALSE)+IF(AND(Calculator!B8=TRUE,Backdoors!BI16=TRUE),VLOOKUP(Calculator!E23,tbSkills!DH3:DJ6,3,FALSE),0),0)))/100)),(1-(0.25*((-Backdoors!AI12-IF(CO6&gt;=0.45,VLOOKUP(Calculator!E23,tbSkills!DH3:DI6,2,FALSE)+IF(AND(Calculator!B8=TRUE,Backdoors!BI16=TRUE),VLOOKUP(Calculator!E23,tbSkills!DH3:DJ6,3,FALSE),0),0))/100)))),1),"")</f>
        <v>1</v>
      </c>
      <c r="CR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O6)*CQ6)*(VLOOKUP(A6,tbMoveset!A2:C112,3,FALSE)/100)*IF(VLOOKUP(A6,tbMoveset!A2:B112,2,FALSE)="Projectile",Backdoors!N10,Backdoors!N9),0),"")</f>
        <v/>
      </c>
      <c r="CS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O6&gt;=0.45,VLOOKUP(Calculator!E23,tbSkills!DH3:DI6,2,FALSE)+IF(AND(Calculator!B8=TRUE,Backdoors!BI16=TRUE),VLOOKUP(Calculator!E23,tbSkills!DH3:DJ6,3,FALSE),0),0))&gt;=100,100,(Backdoors!AI12+IF(CO6&gt;=0.45,VLOOKUP(Calculator!E23,tbSkills!DH3:DI6,2,FALSE)+IF(AND(Calculator!B8=TRUE,Backdoors!BI16=TRUE),VLOOKUP(Calculator!E23,tbSkills!DH3:DJ6,3,FALSE),0),0)))/100)),1))*IF(VLOOKUP(A6,tbMoveset!A2:K112,11,FALSE)=TRUE,Backdoors!AC5,1))*CP6,0),"")</f>
        <v>0</v>
      </c>
      <c r="CT6" s="49">
        <f>VLOOKUP(A6,tbMoveset!A2:G112,7,FALSE)*IFERROR(IF(Backdoors!AI12&gt;=0,1+(IF(Calculator!E40&gt;0,VLOOKUP(Calculator!E40,tbSkills!AI3:AJ5,2,FALSE),Backdoors!AL4)*(IF((Backdoors!AI12+IF(CO6&gt;=0.45,VLOOKUP(Calculator!E23,tbSkills!DH3:DI6,2,FALSE)+IF(AND(Calculator!B8=TRUE,Backdoors!BI16=TRUE),VLOOKUP(Calculator!E23,tbSkills!DH3:DJ6,3,FALSE),0),0))&gt;=100,100,(Backdoors!AI12+IF(CO6&gt;=0.45,VLOOKUP(Calculator!E23,tbSkills!DH3:DI6,2,FALSE)+IF(AND(Calculator!B8=TRUE,Backdoors!BI16=TRUE),VLOOKUP(Calculator!E23,tbSkills!DH3:DJ6,3,FALSE),0),0)))/100)),1),1)</f>
        <v>0.4</v>
      </c>
      <c r="CU6" s="87">
        <f t="shared" si="40"/>
        <v>0</v>
      </c>
      <c r="CV6" s="86" t="str">
        <f>IFERROR(IF(VLOOKUP(A6,tbMoveset!A2:B112,2,FALSE)="Sever",Backdoors!AY17/100,IF(VLOOKUP(A6,tbMoveset!A2:B112,2,FALSE)="Blunt",Backdoors!AZ17/100,Backdoors!BA17/100)),"")</f>
        <v/>
      </c>
      <c r="CW6" s="49">
        <f>IFERROR(IF(VLOOKUP(tbMoveset!A6,tbMoveset!A2:H112,8,FALSE)="Other",IF(VLOOKUP(tbMoveset!A6,tbMoveset!A2:I112,9,FALSE)="Fire",Backdoors!BB17,IF(VLOOKUP(tbMoveset!A6,tbMoveset!A2:I112,9,FALSE)="Water",Backdoors!BC17,IF(VLOOKUP(tbMoveset!A6,tbMoveset!A2:I112,9,FALSE)="Thunder",Backdoors!BD17,IF(VLOOKUP(tbMoveset!A6,tbMoveset!A2:I112,9,FALSE)="Ice",Backdoors!BE17,IF(VLOOKUP(tbMoveset!A6,tbMoveset!A2:I112,9,FALSE)="Dragon",Backdoors!BF17,Backdoors!BG17)))))/100,Backdoors!BG17/100),"")</f>
        <v>0</v>
      </c>
      <c r="CX6" s="49">
        <f>IFERROR(IF(VLOOKUP(A6,tbMoveset!A2:J112,10,FALSE)=TRUE,IF((Backdoors!AI12+IF(CV6&gt;=0.45,VLOOKUP(Calculator!E23,tbSkills!DH3:DI6,2,FALSE)+IF(AND(Calculator!B8=TRUE,Backdoors!BI17=TRUE),VLOOKUP(Calculator!E23,tbSkills!DH3:DJ6,3,FALSE),0),0))&gt;=0,1+(Backdoors!AL2*(IF((Backdoors!AI12+IF(CV6&gt;=0.45,VLOOKUP(Calculator!E23,tbSkills!DH3:DI6,2,FALSE)+IF(AND(Calculator!B8=TRUE,Backdoors!BI17=TRUE),VLOOKUP(Calculator!E23,tbSkills!DH3:DJ6,3,FALSE),0),0))&gt;=100,100,(Backdoors!AI12+IF(CV6&gt;=0.45,VLOOKUP(Calculator!E23,tbSkills!DH3:DI6,2,FALSE)+IF(AND(Calculator!B8=TRUE,Backdoors!BI17=TRUE),VLOOKUP(Calculator!E23,tbSkills!DH3:DJ6,3,FALSE),0),0)))/100)),(1-(0.25*((-Backdoors!AI12-IF(CV6&gt;=0.45,VLOOKUP(Calculator!E23,tbSkills!DH3:DI6,2,FALSE)+IF(AND(Calculator!B8=TRUE,Backdoors!BI17=TRUE),VLOOKUP(Calculator!E23,tbSkills!DH3:DJ6,3,FALSE),0),0))/100)))),1),"")</f>
        <v>1</v>
      </c>
      <c r="CY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V6)*CX6)*(VLOOKUP(A6,tbMoveset!A2:C112,3,FALSE)/100)*IF(VLOOKUP(A6,tbMoveset!A2:B112,2,FALSE)="Projectile",Backdoors!N10,Backdoors!N9),0),"")</f>
        <v/>
      </c>
      <c r="CZ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V6&gt;=0.45,VLOOKUP(Calculator!E23,tbSkills!DH3:DI6,2,FALSE)+IF(AND(Calculator!B8=TRUE,Backdoors!BI17=TRUE),VLOOKUP(Calculator!E23,tbSkills!DH3:DJ6,3,FALSE),0),0))&gt;=100,100,(Backdoors!AI12+IF(CV6&gt;=0.45,VLOOKUP(Calculator!E23,tbSkills!DH3:DI6,2,FALSE)+IF(AND(Calculator!B8=TRUE,Backdoors!BI17=TRUE),VLOOKUP(Calculator!E23,tbSkills!DH3:DJ6,3,FALSE),0),0)))/100)),1))*IF(VLOOKUP(A6,tbMoveset!A2:K112,11,FALSE)=TRUE,Backdoors!AC5,1))*CW6,0),"")</f>
        <v>0</v>
      </c>
      <c r="DA6" s="49">
        <f>VLOOKUP(A6,tbMoveset!A2:G112,7,FALSE)*IFERROR(IF(Backdoors!AI12&gt;=0,1+(IF(Calculator!E40&gt;0,VLOOKUP(Calculator!E40,tbSkills!AI3:AJ5,2,FALSE),Backdoors!AL4)*(IF((Backdoors!AI12+IF(CV6&gt;=0.45,VLOOKUP(Calculator!E23,tbSkills!DH3:DI6,2,FALSE)+IF(AND(Calculator!B8=TRUE,Backdoors!BI17=TRUE),VLOOKUP(Calculator!E23,tbSkills!DH3:DJ6,3,FALSE),0),0))&gt;=100,100,(Backdoors!AI12+IF(CV6&gt;=0.45,VLOOKUP(Calculator!E23,tbSkills!DH3:DI6,2,FALSE)+IF(AND(Calculator!B8=TRUE,Backdoors!BI17=TRUE),VLOOKUP(Calculator!E23,tbSkills!DH3:DJ6,3,FALSE),0),0)))/100)),1),1)</f>
        <v>0.4</v>
      </c>
      <c r="DB6" s="87">
        <f t="shared" si="8"/>
        <v>0</v>
      </c>
      <c r="DC6" s="86" t="str">
        <f>IFERROR(IF(VLOOKUP(A6,tbMoveset!A2:B112,2,FALSE)="Sever",Backdoors!AY18/100,IF(VLOOKUP(A6,tbMoveset!A2:B112,2,FALSE)="Blunt",Backdoors!AZ18/100,Backdoors!BA18/100)),"")</f>
        <v/>
      </c>
      <c r="DD6" s="49">
        <f>IFERROR(IF(VLOOKUP(tbMoveset!A6,tbMoveset!A2:H112,8,FALSE)="Other",IF(VLOOKUP(tbMoveset!A6,tbMoveset!A2:I112,9,FALSE)="Fire",Backdoors!BB18,IF(VLOOKUP(tbMoveset!A6,tbMoveset!A2:I112,9,FALSE)="Water",Backdoors!BC18,IF(VLOOKUP(tbMoveset!A6,tbMoveset!A2:I112,9,FALSE)="Thunder",Backdoors!BD18,IF(VLOOKUP(tbMoveset!A6,tbMoveset!A2:I112,9,FALSE)="Ice",Backdoors!BE18,IF(VLOOKUP(tbMoveset!A6,tbMoveset!A2:I112,9,FALSE)="Dragon",Backdoors!BF18,Backdoors!BG18)))))/100,Backdoors!BG18/100),"")</f>
        <v>0</v>
      </c>
      <c r="DE6" s="49">
        <f>IFERROR(IF(VLOOKUP(A6,tbMoveset!A2:J112,10,FALSE)=TRUE,IF((Backdoors!AI12+IF(DC6&gt;=0.45,VLOOKUP(Calculator!E23,tbSkills!DH3:DI6,2,FALSE)+IF(AND(Calculator!B8=TRUE,Backdoors!BI18=TRUE),VLOOKUP(Calculator!E23,tbSkills!DH3:DJ6,3,FALSE),0),0))&gt;=0,1+(Backdoors!AL2*(IF((Backdoors!AI12+IF(DC6&gt;=0.45,VLOOKUP(Calculator!E23,tbSkills!DH3:DI6,2,FALSE)+IF(AND(Calculator!B8=TRUE,Backdoors!BI18=TRUE),VLOOKUP(Calculator!E23,tbSkills!DH3:DJ6,3,FALSE),0),0))&gt;=100,100,(Backdoors!AI12+IF(DC6&gt;=0.45,VLOOKUP(Calculator!E23,tbSkills!DH3:DI6,2,FALSE)+IF(AND(Calculator!B8=TRUE,Backdoors!BI18=TRUE),VLOOKUP(Calculator!E23,tbSkills!DH3:DJ6,3,FALSE),0),0)))/100)),(1-(0.25*((-Backdoors!AI12-IF(DC6&gt;=0.45,VLOOKUP(Calculator!E23,tbSkills!DH3:DI6,2,FALSE)+IF(AND(Calculator!B8=TRUE,Backdoors!BI18=TRUE),VLOOKUP(Calculator!E23,tbSkills!DH3:DJ6,3,FALSE),0),0))/100)))),1),"")</f>
        <v>1</v>
      </c>
      <c r="DF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C6)*DE6)*(VLOOKUP(A6,tbMoveset!A2:C112,3,FALSE)/100)*IF(VLOOKUP(A6,tbMoveset!A2:B112,2,FALSE)="Projectile",Backdoors!N10,Backdoors!N9),0),"")</f>
        <v/>
      </c>
      <c r="DG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C6&gt;=0.45,VLOOKUP(Calculator!E23,tbSkills!DH3:DI6,2,FALSE)+IF(AND(Calculator!B8=TRUE,Backdoors!BI18=TRUE),VLOOKUP(Calculator!E23,tbSkills!DH3:DJ6,3,FALSE),0),0))&gt;=100,100,(Backdoors!AI12+IF(DC6&gt;=0.45,VLOOKUP(Calculator!E23,tbSkills!DH3:DI6,2,FALSE)+IF(AND(Calculator!B8=TRUE,Backdoors!BI18=TRUE),VLOOKUP(Calculator!E23,tbSkills!DH3:DJ6,3,FALSE),0),0)))/100)),1))*IF(VLOOKUP(A6,tbMoveset!A2:K112,11,FALSE)=TRUE,Backdoors!AC5,1))*DD6,0),"")</f>
        <v>0</v>
      </c>
      <c r="DH6" s="49">
        <f>VLOOKUP(A6,tbMoveset!A2:G112,7,FALSE)*IFERROR(IF(Backdoors!AI12&gt;=0,1+(IF(Calculator!E40&gt;0,VLOOKUP(Calculator!E40,tbSkills!AI3:AJ5,2,FALSE),Backdoors!AL4)*(IF((Backdoors!AI12+IF(DC6&gt;=0.45,VLOOKUP(Calculator!E23,tbSkills!DH3:DI6,2,FALSE)+IF(AND(Calculator!B8=TRUE,Backdoors!BI18=TRUE),VLOOKUP(Calculator!E23,tbSkills!DH3:DJ6,3,FALSE),0),0))&gt;=100,100,(Backdoors!AI12+IF(DC6&gt;=0.45,VLOOKUP(Calculator!E23,tbSkills!DH3:DI6,2,FALSE)+IF(AND(Calculator!B8=TRUE,Backdoors!BI18=TRUE),VLOOKUP(Calculator!E23,tbSkills!DH3:DJ6,3,FALSE),0),0)))/100)),1),1)</f>
        <v>0.4</v>
      </c>
      <c r="DI6" s="87">
        <f t="shared" si="9"/>
        <v>0</v>
      </c>
      <c r="DJ6" s="86" t="str">
        <f>IFERROR(IF(VLOOKUP(A6,tbMoveset!A2:B112,2,FALSE)="Sever",Backdoors!AY19/100,IF(VLOOKUP(A6,tbMoveset!A2:B112,2,FALSE)="Blunt",Backdoors!AZ19/100,Backdoors!BA19/100)),"")</f>
        <v/>
      </c>
      <c r="DK6" s="49">
        <f>IFERROR(IF(VLOOKUP(tbMoveset!A6,tbMoveset!A2:H112,8,FALSE)="Other",IF(VLOOKUP(tbMoveset!A6,tbMoveset!A2:I112,9,FALSE)="Fire",Backdoors!BB19,IF(VLOOKUP(tbMoveset!A6,tbMoveset!A2:I112,9,FALSE)="Water",Backdoors!BC19,IF(VLOOKUP(tbMoveset!A6,tbMoveset!A2:I112,9,FALSE)="Thunder",Backdoors!BD19,IF(VLOOKUP(tbMoveset!A6,tbMoveset!A2:I112,9,FALSE)="Ice",Backdoors!BE19,IF(VLOOKUP(tbMoveset!A6,tbMoveset!A2:I112,9,FALSE)="Dragon",Backdoors!BF19,Backdoors!BG19)))))/100,Backdoors!BG19/100),"")</f>
        <v>0</v>
      </c>
      <c r="DL6" s="49">
        <f>IFERROR(IF(VLOOKUP(A6,tbMoveset!A2:J112,10,FALSE)=TRUE,IF((Backdoors!AI12+IF(DJ6&gt;=0.45,VLOOKUP(Calculator!E23,tbSkills!DH3:DI6,2,FALSE)+IF(AND(Calculator!B8=TRUE,Backdoors!BI19=TRUE),VLOOKUP(Calculator!E23,tbSkills!DH3:DJ6,3,FALSE),0),0))&gt;=0,1+(Backdoors!AL2*(IF((Backdoors!AI12+IF(DJ6&gt;=0.45,VLOOKUP(Calculator!E23,tbSkills!DH3:DI6,2,FALSE)+IF(AND(Calculator!B8=TRUE,Backdoors!BI19=TRUE),VLOOKUP(Calculator!E23,tbSkills!DH3:DJ6,3,FALSE),0),0))&gt;=100,100,(Backdoors!AI12+IF(DJ6&gt;=0.45,VLOOKUP(Calculator!E23,tbSkills!DH3:DI6,2,FALSE)+IF(AND(Calculator!B8=TRUE,Backdoors!BI19=TRUE),VLOOKUP(Calculator!E23,tbSkills!DH3:DJ6,3,FALSE),0),0)))/100)),(1-(0.25*((-Backdoors!AI12-IF(DJ6&gt;=0.45,VLOOKUP(Calculator!E23,tbSkills!DH3:DI6,2,FALSE)+IF(AND(Calculator!B8=TRUE,Backdoors!BI19=TRUE),VLOOKUP(Calculator!E23,tbSkills!DH3:DJ6,3,FALSE),0),0))/100)))),1),"")</f>
        <v>1</v>
      </c>
      <c r="DM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J6)*DL6)*(VLOOKUP(A6,tbMoveset!A2:C112,3,FALSE)/100)*IF(VLOOKUP(A6,tbMoveset!A2:B112,2,FALSE)="Projectile",Backdoors!N10,Backdoors!N9),0),"")</f>
        <v/>
      </c>
      <c r="DN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J6&gt;=0.45,VLOOKUP(Calculator!E23,tbSkills!DH3:DI6,2,FALSE)+IF(AND(Calculator!B8=TRUE,Backdoors!BI19=TRUE),VLOOKUP(Calculator!E23,tbSkills!DH3:DJ6,3,FALSE),0),0))&gt;=100,100,(Backdoors!AI12+IF(DJ6&gt;=0.45,VLOOKUP(Calculator!E23,tbSkills!DH3:DI6,2,FALSE)+IF(AND(Calculator!B8=TRUE,Backdoors!BI19=TRUE),VLOOKUP(Calculator!E23,tbSkills!DH3:DJ6,3,FALSE),0),0)))/100)),1))*IF(VLOOKUP(A6,tbMoveset!A2:K112,11,FALSE)=TRUE,Backdoors!AC5,1))*DK6,0),"")</f>
        <v>0</v>
      </c>
      <c r="DO6" s="49">
        <f>VLOOKUP(A6,tbMoveset!A2:G112,7,FALSE)*IFERROR(IF(Backdoors!AI12&gt;=0,1+(IF(Calculator!E40&gt;0,VLOOKUP(Calculator!E40,tbSkills!AI3:AJ5,2,FALSE),Backdoors!AL4)*(IF((Backdoors!AI12+IF(DJ6&gt;=0.45,VLOOKUP(Calculator!E23,tbSkills!DH3:DI6,2,FALSE)+IF(AND(Calculator!B8=TRUE,Backdoors!BI19=TRUE),VLOOKUP(Calculator!E23,tbSkills!DH3:DJ6,3,FALSE),0),0))&gt;=100,100,(Backdoors!AI12+IF(DJ6&gt;=0.45,VLOOKUP(Calculator!E23,tbSkills!DH3:DI6,2,FALSE)+IF(AND(Calculator!B8=TRUE,Backdoors!BI19=TRUE),VLOOKUP(Calculator!E23,tbSkills!DH3:DJ6,3,FALSE),0),0)))/100)),1),1)</f>
        <v>0.4</v>
      </c>
      <c r="DP6" s="87">
        <f t="shared" si="41"/>
        <v>0</v>
      </c>
      <c r="DQ6" s="86" t="str">
        <f>IFERROR(IF(VLOOKUP(A6,tbMoveset!A2:B112,2,FALSE)="Sever",Backdoors!AY20/100,IF(VLOOKUP(A6,tbMoveset!A2:B112,2,FALSE)="Blunt",Backdoors!AZ20/100,Backdoors!BA20/100)),"")</f>
        <v/>
      </c>
      <c r="DR6" s="49">
        <f>IFERROR(IF(VLOOKUP(tbMoveset!A6,tbMoveset!A2:H112,8,FALSE)="Other",IF(VLOOKUP(tbMoveset!A6,tbMoveset!A2:I112,9,FALSE)="Fire",Backdoors!BB20,IF(VLOOKUP(tbMoveset!A6,tbMoveset!A2:I112,9,FALSE)="Water",Backdoors!BC20,IF(VLOOKUP(tbMoveset!A6,tbMoveset!A2:I112,9,FALSE)="Thunder",Backdoors!BD20,IF(VLOOKUP(tbMoveset!A6,tbMoveset!A2:I112,9,FALSE)="Ice",Backdoors!BE20,IF(VLOOKUP(tbMoveset!A6,tbMoveset!A2:I112,9,FALSE)="Dragon",Backdoors!BF20,Backdoors!BG20)))))/100,Backdoors!BG20/100),"")</f>
        <v>0</v>
      </c>
      <c r="DS6" s="49">
        <f>IFERROR(IF(VLOOKUP(A6,tbMoveset!A2:J112,10,FALSE)=TRUE,IF((Backdoors!AI12+IF(DQ6&gt;=0.45,VLOOKUP(Calculator!E23,tbSkills!DH3:DI6,2,FALSE)+IF(AND(Calculator!B8=TRUE,Backdoors!BI20=TRUE),VLOOKUP(Calculator!E23,tbSkills!DH3:DJ6,3,FALSE),0),0))&gt;=0,1+(Backdoors!AL2*(IF((Backdoors!AI12+IF(DQ6&gt;=0.45,VLOOKUP(Calculator!E23,tbSkills!DH3:DI6,2,FALSE)+IF(AND(Calculator!B8=TRUE,Backdoors!BI20=TRUE),VLOOKUP(Calculator!E23,tbSkills!DH3:DJ6,3,FALSE),0),0))&gt;=100,100,(Backdoors!AI12+IF(DQ6&gt;=0.45,VLOOKUP(Calculator!E23,tbSkills!DH3:DI6,2,FALSE)+IF(AND(Calculator!B8=TRUE,Backdoors!BI20=TRUE),VLOOKUP(Calculator!E23,tbSkills!DH3:DJ6,3,FALSE),0),0)))/100)),(1-(0.25*((-Backdoors!AI12-IF(DQ6&gt;=0.45,VLOOKUP(Calculator!E23,tbSkills!DH3:DI6,2,FALSE)+IF(AND(Calculator!B8=TRUE,Backdoors!BI20=TRUE),VLOOKUP(Calculator!E23,tbSkills!DH3:DJ6,3,FALSE),0),0))/100)))),1),"")</f>
        <v>1</v>
      </c>
      <c r="DT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Q6)*DS6)*(VLOOKUP(A6,tbMoveset!A2:C112,3,FALSE)/100)*IF(VLOOKUP(A6,tbMoveset!A2:B112,2,FALSE)="Projectile",Backdoors!N10,Backdoors!N9),0),"")</f>
        <v/>
      </c>
      <c r="DU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Q6&gt;=0.45,VLOOKUP(Calculator!E23,tbSkills!DH3:DI6,2,FALSE)+IF(AND(Calculator!B8=TRUE,Backdoors!BI20=TRUE),VLOOKUP(Calculator!E23,tbSkills!DH3:DJ6,3,FALSE),0),0))&gt;=100,100,(Backdoors!AI12+IF(DQ6&gt;=0.45,VLOOKUP(Calculator!E23,tbSkills!DH3:DI6,2,FALSE)+IF(AND(Calculator!B8=TRUE,Backdoors!BI20=TRUE),VLOOKUP(Calculator!E23,tbSkills!DH3:DJ6,3,FALSE),0),0)))/100)),1))*IF(VLOOKUP(A6,tbMoveset!A2:K112,11,FALSE)=TRUE,Backdoors!AC5,1))*DR6,0),"")</f>
        <v>0</v>
      </c>
      <c r="DV6" s="49">
        <f>VLOOKUP(A6,tbMoveset!A2:G112,7,FALSE)*IFERROR(IF(Backdoors!AI12&gt;=0,1+(IF(Calculator!E40&gt;0,VLOOKUP(Calculator!E40,tbSkills!AI3:AJ5,2,FALSE),Backdoors!AL4)*(IF((Backdoors!AI12+IF(DQ6&gt;=0.45,VLOOKUP(Calculator!E23,tbSkills!DH3:DI6,2,FALSE)+IF(AND(Calculator!B8=TRUE,Backdoors!BI20=TRUE),VLOOKUP(Calculator!E23,tbSkills!DH3:DJ6,3,FALSE),0),0))&gt;=100,100,(Backdoors!AI12+IF(DQ6&gt;=0.45,VLOOKUP(Calculator!E23,tbSkills!DH3:DI6,2,FALSE)+IF(AND(Calculator!B8=TRUE,Backdoors!BI20=TRUE),VLOOKUP(Calculator!E23,tbSkills!DH3:DJ6,3,FALSE),0),0)))/100)),1),1)</f>
        <v>0.4</v>
      </c>
      <c r="DW6" s="87">
        <f t="shared" si="10"/>
        <v>0</v>
      </c>
      <c r="DX6" s="86" t="str">
        <f>IFERROR(IF(VLOOKUP(A6,tbMoveset!A2:B112,2,FALSE)="Sever",Backdoors!AY21/100,IF(VLOOKUP(A6,tbMoveset!A2:B112,2,FALSE)="Blunt",Backdoors!AZ21/100,Backdoors!BA21/100)),"")</f>
        <v/>
      </c>
      <c r="DY6" s="49">
        <f>IFERROR(IF(VLOOKUP(tbMoveset!A6,tbMoveset!A2:H112,8,FALSE)="Other",IF(VLOOKUP(tbMoveset!A6,tbMoveset!A2:I112,9,FALSE)="Fire",Backdoors!BB21,IF(VLOOKUP(tbMoveset!A6,tbMoveset!A2:I112,9,FALSE)="Water",Backdoors!BC21,IF(VLOOKUP(tbMoveset!A6,tbMoveset!A2:I112,9,FALSE)="Thunder",Backdoors!BD21,IF(VLOOKUP(tbMoveset!A6,tbMoveset!A2:I112,9,FALSE)="Ice",Backdoors!BE21,IF(VLOOKUP(tbMoveset!A6,tbMoveset!A2:I112,9,FALSE)="Dragon",Backdoors!BF21,Backdoors!BG21)))))/100,Backdoors!BG21/100),"")</f>
        <v>0</v>
      </c>
      <c r="DZ6" s="49">
        <f>IFERROR(IF(VLOOKUP(A6,tbMoveset!A2:J112,10,FALSE)=TRUE,IF((Backdoors!AI12+IF(DX6&gt;=0.45,VLOOKUP(Calculator!E23,tbSkills!DH3:DI6,2,FALSE)+IF(AND(Calculator!B8=TRUE,Backdoors!BI21=TRUE),VLOOKUP(Calculator!E23,tbSkills!DH3:DJ6,3,FALSE),0),0))&gt;=0,1+(Backdoors!AL2*(IF((Backdoors!AI12+IF(DX6&gt;=0.45,VLOOKUP(Calculator!E23,tbSkills!DH3:DI6,2,FALSE)+IF(AND(Calculator!B8=TRUE,Backdoors!BI21=TRUE),VLOOKUP(Calculator!E23,tbSkills!DH3:DJ6,3,FALSE),0),0))&gt;=100,100,(Backdoors!AI12+IF(DX6&gt;=0.45,VLOOKUP(Calculator!E23,tbSkills!DH3:DI6,2,FALSE)+IF(AND(Calculator!B8=TRUE,Backdoors!BI21=TRUE),VLOOKUP(Calculator!E23,tbSkills!DH3:DJ6,3,FALSE),0),0)))/100)),(1-(0.25*((-Backdoors!AI12-IF(DX6&gt;=0.45,VLOOKUP(Calculator!E23,tbSkills!DH3:DI6,2,FALSE)+IF(AND(Calculator!B8=TRUE,Backdoors!BI21=TRUE),VLOOKUP(Calculator!E23,tbSkills!DH3:DJ6,3,FALSE),0),0))/100)))),1),"")</f>
        <v>1</v>
      </c>
      <c r="EA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X6)*DZ6)*(VLOOKUP(A6,tbMoveset!A2:C112,3,FALSE)/100)*IF(VLOOKUP(A6,tbMoveset!A2:B112,2,FALSE)="Projectile",Backdoors!N10,Backdoors!N9),0),"")</f>
        <v/>
      </c>
      <c r="EB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X6&gt;=0.45,VLOOKUP(Calculator!E23,tbSkills!DH3:DI6,2,FALSE)+IF(AND(Calculator!B8=TRUE,Backdoors!BI21=TRUE),VLOOKUP(Calculator!E23,tbSkills!DH3:DJ6,3,FALSE),0),0))&gt;=100,100,(Backdoors!AI12+IF(DX6&gt;=0.45,VLOOKUP(Calculator!E23,tbSkills!DH3:DI6,2,FALSE)+IF(AND(Calculator!B8=TRUE,Backdoors!BI21=TRUE),VLOOKUP(Calculator!E23,tbSkills!DH3:DJ6,3,FALSE),0),0)))/100)),1))*IF(VLOOKUP(A6,tbMoveset!A2:K112,11,FALSE)=TRUE,Backdoors!AC5,1))*DY6,0),"")</f>
        <v>0</v>
      </c>
      <c r="EC6" s="49">
        <f>VLOOKUP(A6,tbMoveset!A2:G112,7,FALSE)*IFERROR(IF(Backdoors!AI12&gt;=0,1+(IF(Calculator!E40&gt;0,VLOOKUP(Calculator!E40,tbSkills!AI3:AJ5,2,FALSE),Backdoors!AL4)*(IF((Backdoors!AI12+IF(DX6&gt;=0.45,VLOOKUP(Calculator!E23,tbSkills!DH3:DI6,2,FALSE)+IF(AND(Calculator!B8=TRUE,Backdoors!BI21=TRUE),VLOOKUP(Calculator!E23,tbSkills!DH3:DJ6,3,FALSE),0),0))&gt;=100,100,(Backdoors!AI12+IF(DX6&gt;=0.45,VLOOKUP(Calculator!E23,tbSkills!DH3:DI6,2,FALSE)+IF(AND(Calculator!B8=TRUE,Backdoors!BI21=TRUE),VLOOKUP(Calculator!E23,tbSkills!DH3:DJ6,3,FALSE),0),0)))/100)),1),1)</f>
        <v>0.4</v>
      </c>
      <c r="ED6" s="87">
        <f t="shared" si="11"/>
        <v>0</v>
      </c>
      <c r="EE6" s="86" t="str">
        <f>IFERROR(IF(VLOOKUP(A6,tbMoveset!A2:B112,2,FALSE)="Sever",Backdoors!AY22/100,IF(VLOOKUP(A6,tbMoveset!A2:B112,2,FALSE)="Blunt",Backdoors!AZ22/100,Backdoors!BA22/100)),"")</f>
        <v/>
      </c>
      <c r="EF6" s="49">
        <f>IFERROR(IF(VLOOKUP(tbMoveset!A6,tbMoveset!A2:H112,8,FALSE)="Other",IF(VLOOKUP(tbMoveset!A6,tbMoveset!A2:I112,9,FALSE)="Fire",Backdoors!BB22,IF(VLOOKUP(tbMoveset!A6,tbMoveset!A2:I112,9,FALSE)="Water",Backdoors!BC22,IF(VLOOKUP(tbMoveset!A6,tbMoveset!A2:I112,9,FALSE)="Thunder",Backdoors!BD22,IF(VLOOKUP(tbMoveset!A6,tbMoveset!A2:I112,9,FALSE)="Ice",Backdoors!BE22,IF(VLOOKUP(tbMoveset!A6,tbMoveset!A2:I112,9,FALSE)="Dragon",Backdoors!BF22,Backdoors!BG22)))))/100,Backdoors!BG22/100),"")</f>
        <v>0</v>
      </c>
      <c r="EG6" s="49">
        <f>IFERROR(IF(VLOOKUP(A6,tbMoveset!A2:J112,10,FALSE)=TRUE,IF((Backdoors!AI12+IF(EE6&gt;=0.45,VLOOKUP(Calculator!E23,tbSkills!DH3:DI6,2,FALSE)+IF(AND(Calculator!B8=TRUE,Backdoors!BI22=TRUE),VLOOKUP(Calculator!E23,tbSkills!DH3:DJ6,3,FALSE),0),0))&gt;=0,1+(Backdoors!AL2*(IF((Backdoors!AI12+IF(EE6&gt;=0.45,VLOOKUP(Calculator!E23,tbSkills!DH3:DI6,2,FALSE)+IF(AND(Calculator!B8=TRUE,Backdoors!BI22=TRUE),VLOOKUP(Calculator!E23,tbSkills!DH3:DJ6,3,FALSE),0),0))&gt;=100,100,(Backdoors!AI12+IF(EE6&gt;=0.45,VLOOKUP(Calculator!E23,tbSkills!DH3:DI6,2,FALSE)+IF(AND(Calculator!B8=TRUE,Backdoors!BI22=TRUE),VLOOKUP(Calculator!E23,tbSkills!DH3:DJ6,3,FALSE),0),0)))/100)),(1-(0.25*((-Backdoors!AI12-IF(EE6&gt;=0.45,VLOOKUP(Calculator!E23,tbSkills!DH3:DI6,2,FALSE)+IF(AND(Calculator!B8=TRUE,Backdoors!BI22=TRUE),VLOOKUP(Calculator!E23,tbSkills!DH3:DJ6,3,FALSE),0),0))/100)))),1),"")</f>
        <v>1</v>
      </c>
      <c r="EH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E6)*EG6)*(VLOOKUP(A6,tbMoveset!A2:C112,3,FALSE)/100)*IF(VLOOKUP(A6,tbMoveset!A2:B112,2,FALSE)="Projectile",Backdoors!N10,Backdoors!N9),0),"")</f>
        <v/>
      </c>
      <c r="EI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E6&gt;=0.45,VLOOKUP(Calculator!E23,tbSkills!DH3:DI6,2,FALSE)+IF(AND(Calculator!B8=TRUE,Backdoors!BI22=TRUE),VLOOKUP(Calculator!E23,tbSkills!DH3:DJ6,3,FALSE),0),0))&gt;=100,100,(Backdoors!AI12+IF(EE6&gt;=0.45,VLOOKUP(Calculator!E23,tbSkills!DH3:DI6,2,FALSE)+IF(AND(Calculator!B8=TRUE,Backdoors!BI22=TRUE),VLOOKUP(Calculator!E23,tbSkills!DH3:DJ6,3,FALSE),0),0)))/100)),1))*IF(VLOOKUP(A6,tbMoveset!A2:K112,11,FALSE)=TRUE,Backdoors!AC5,1))*EF6,0),"")</f>
        <v>0</v>
      </c>
      <c r="EJ6" s="49">
        <f>VLOOKUP(A6,tbMoveset!A2:G112,7,FALSE)*IFERROR(IF(Backdoors!AI12&gt;=0,1+(IF(Calculator!E40&gt;0,VLOOKUP(Calculator!E40,tbSkills!AI3:AJ5,2,FALSE),Backdoors!AL4)*(IF((Backdoors!AI12+IF(EE6&gt;=0.45,VLOOKUP(Calculator!E23,tbSkills!DH3:DI6,2,FALSE)+IF(AND(Calculator!B8=TRUE,Backdoors!BI22=TRUE),VLOOKUP(Calculator!E23,tbSkills!DH3:DJ6,3,FALSE),0),0))&gt;=100,100,(Backdoors!AI12+IF(EE6&gt;=0.45,VLOOKUP(Calculator!E23,tbSkills!DH3:DI6,2,FALSE)+IF(AND(Calculator!B8=TRUE,Backdoors!BI22=TRUE),VLOOKUP(Calculator!E23,tbSkills!DH3:DJ6,3,FALSE),0),0)))/100)),1),1)</f>
        <v>0.4</v>
      </c>
      <c r="EK6" s="87">
        <f t="shared" si="12"/>
        <v>0</v>
      </c>
      <c r="EL6" s="86" t="str">
        <f>IFERROR(IF(VLOOKUP(A6,tbMoveset!A2:B112,2,FALSE)="Sever",Backdoors!AY23/100,IF(VLOOKUP(A6,tbMoveset!A2:B112,2,FALSE)="Blunt",Backdoors!AZ23/100,Backdoors!BA23/100)),"")</f>
        <v/>
      </c>
      <c r="EM6" s="49">
        <f>IFERROR(IF(VLOOKUP(tbMoveset!A6,tbMoveset!A2:H112,8,FALSE)="Other",IF(VLOOKUP(tbMoveset!A6,tbMoveset!A2:I112,9,FALSE)="Fire",Backdoors!BB23,IF(VLOOKUP(tbMoveset!A6,tbMoveset!A2:I112,9,FALSE)="Water",Backdoors!BC23,IF(VLOOKUP(tbMoveset!A6,tbMoveset!A2:I112,9,FALSE)="Thunder",Backdoors!BD23,IF(VLOOKUP(tbMoveset!A6,tbMoveset!A2:I112,9,FALSE)="Ice",Backdoors!BE23,IF(VLOOKUP(tbMoveset!A6,tbMoveset!A2:I112,9,FALSE)="Dragon",Backdoors!BF23,Backdoors!BG23)))))/100,Backdoors!BG23/100),"")</f>
        <v>0</v>
      </c>
      <c r="EN6" s="49">
        <f>IFERROR(IF(VLOOKUP(A6,tbMoveset!A2:J112,10,FALSE)=TRUE,IF((Backdoors!AI12+IF(EL6&gt;=0.45,VLOOKUP(Calculator!E23,tbSkills!DH3:DI6,2,FALSE)+IF(AND(Calculator!B8=TRUE,Backdoors!BI23=TRUE),VLOOKUP(Calculator!E23,tbSkills!DH3:DJ6,3,FALSE),0),0))&gt;=0,1+(Backdoors!AL2*(IF((Backdoors!AI12+IF(EL6&gt;=0.45,VLOOKUP(Calculator!E23,tbSkills!DH3:DI6,2,FALSE)+IF(AND(Calculator!B8=TRUE,Backdoors!BI23=TRUE),VLOOKUP(Calculator!E23,tbSkills!DH3:DJ6,3,FALSE),0),0))&gt;=100,100,(Backdoors!AI12+IF(EL6&gt;=0.45,VLOOKUP(Calculator!E23,tbSkills!DH3:DI6,2,FALSE)+IF(AND(Calculator!B8=TRUE,Backdoors!BI23=TRUE),VLOOKUP(Calculator!E23,tbSkills!DH3:DJ6,3,FALSE),0),0)))/100)),(1-(0.25*((-Backdoors!AI12-IF(EL6&gt;=0.45,VLOOKUP(Calculator!E23,tbSkills!DH3:DI6,2,FALSE)+IF(AND(Calculator!B8=TRUE,Backdoors!BI23=TRUE),VLOOKUP(Calculator!E23,tbSkills!DH3:DJ6,3,FALSE),0),0))/100)))),1),"")</f>
        <v>1</v>
      </c>
      <c r="EO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L6)*EN6)*(VLOOKUP(A6,tbMoveset!A2:C112,3,FALSE)/100)*IF(VLOOKUP(A6,tbMoveset!A2:B112,2,FALSE)="Projectile",Backdoors!N10,Backdoors!N9),0),"")</f>
        <v/>
      </c>
      <c r="EP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L6&gt;=0.45,VLOOKUP(Calculator!E23,tbSkills!DH3:DI6,2,FALSE)+IF(AND(Calculator!B8=TRUE,Backdoors!BI23=TRUE),VLOOKUP(Calculator!E23,tbSkills!DH3:DJ6,3,FALSE),0),0))&gt;=100,100,(Backdoors!AI12+IF(EL6&gt;=0.45,VLOOKUP(Calculator!E23,tbSkills!DH3:DI6,2,FALSE)+IF(AND(Calculator!B8=TRUE,Backdoors!BI23=TRUE),VLOOKUP(Calculator!E23,tbSkills!DH3:DJ6,3,FALSE),0),0)))/100)),1))*IF(VLOOKUP(A6,tbMoveset!A2:K112,11,FALSE)=TRUE,Backdoors!AC5,1))*EM6,0),"")</f>
        <v>0</v>
      </c>
      <c r="EQ6" s="49">
        <f>VLOOKUP(A6,tbMoveset!A2:G112,7,FALSE)*IFERROR(IF(Backdoors!AI12&gt;=0,1+(IF(Calculator!E40&gt;0,VLOOKUP(Calculator!E40,tbSkills!AI3:AJ5,2,FALSE),Backdoors!AL4)*(IF((Backdoors!AI12+IF(EL6&gt;=0.45,VLOOKUP(Calculator!E23,tbSkills!DH3:DI6,2,FALSE)+IF(AND(Calculator!B8=TRUE,Backdoors!BI23=TRUE),VLOOKUP(Calculator!E23,tbSkills!DH3:DJ6,3,FALSE),0),0))&gt;=100,100,(Backdoors!AI12+IF(EL6&gt;=0.45,VLOOKUP(Calculator!E23,tbSkills!DH3:DI6,2,FALSE)+IF(AND(Calculator!B8=TRUE,Backdoors!BI23=TRUE),VLOOKUP(Calculator!E23,tbSkills!DH3:DJ6,3,FALSE),0),0)))/100)),1),1)</f>
        <v>0.4</v>
      </c>
      <c r="ER6" s="87">
        <f t="shared" si="13"/>
        <v>0</v>
      </c>
      <c r="ES6" s="86" t="str">
        <f>IFERROR(IF(VLOOKUP(A6,tbMoveset!A2:B112,2,FALSE)="Sever",Backdoors!AY24/100,IF(VLOOKUP(A6,tbMoveset!A2:B112,2,FALSE)="Blunt",Backdoors!AZ24/100,Backdoors!BA24/100)),"")</f>
        <v/>
      </c>
      <c r="ET6" s="49">
        <f>IFERROR(IF(VLOOKUP(tbMoveset!A6,tbMoveset!A2:H112,8,FALSE)="Other",IF(VLOOKUP(tbMoveset!A6,tbMoveset!A2:I112,9,FALSE)="Fire",Backdoors!BB24,IF(VLOOKUP(tbMoveset!A6,tbMoveset!A2:I112,9,FALSE)="Water",Backdoors!BC24,IF(VLOOKUP(tbMoveset!A6,tbMoveset!A2:I112,9,FALSE)="Thunder",Backdoors!BD24,IF(VLOOKUP(tbMoveset!A6,tbMoveset!A2:I112,9,FALSE)="Ice",Backdoors!BE24,IF(VLOOKUP(tbMoveset!A6,tbMoveset!A2:I112,9,FALSE)="Dragon",Backdoors!BF24,Backdoors!BG24)))))/100,Backdoors!BG24/100),"")</f>
        <v>0</v>
      </c>
      <c r="EU6" s="49">
        <f>IFERROR(IF(VLOOKUP(A6,tbMoveset!A2:J112,10,FALSE)=TRUE,IF((Backdoors!AI12+IF(ES6&gt;=0.45,VLOOKUP(Calculator!E23,tbSkills!DH3:DI6,2,FALSE)+IF(AND(Calculator!B8=TRUE,Backdoors!BI24=TRUE),VLOOKUP(Calculator!E23,tbSkills!DH3:DJ6,3,FALSE),0),0))&gt;=0,1+(Backdoors!AL2*(IF((Backdoors!AI12+IF(ES6&gt;=0.45,VLOOKUP(Calculator!E23,tbSkills!DH3:DI6,2,FALSE)+IF(AND(Calculator!B8=TRUE,Backdoors!BI24=TRUE),VLOOKUP(Calculator!E23,tbSkills!DH3:DJ6,3,FALSE),0),0))&gt;=100,100,(Backdoors!AI12+IF(ES6&gt;=0.45,VLOOKUP(Calculator!E23,tbSkills!DH3:DI6,2,FALSE)+IF(AND(Calculator!B8=TRUE,Backdoors!BI24=TRUE),VLOOKUP(Calculator!E23,tbSkills!DH3:DJ6,3,FALSE),0),0)))/100)),(1-(0.25*((-Backdoors!AI12-IF(ES6&gt;=0.45,VLOOKUP(Calculator!E23,tbSkills!DH3:DI6,2,FALSE)+IF(AND(Calculator!B8=TRUE,Backdoors!BI24=TRUE),VLOOKUP(Calculator!E23,tbSkills!DH3:DJ6,3,FALSE),0),0))/100)))),1),"")</f>
        <v>1</v>
      </c>
      <c r="EV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S6)*EU6)*(VLOOKUP(A6,tbMoveset!A2:C112,3,FALSE)/100)*IF(VLOOKUP(A6,tbMoveset!A2:B112,2,FALSE)="Projectile",Backdoors!N10,Backdoors!N9),0),"")</f>
        <v/>
      </c>
      <c r="EW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S6&gt;=0.45,VLOOKUP(Calculator!E23,tbSkills!DH3:DI6,2,FALSE)+IF(AND(Calculator!B8=TRUE,Backdoors!BI24=TRUE),VLOOKUP(Calculator!E23,tbSkills!DH3:DJ6,3,FALSE),0),0))&gt;=100,100,(Backdoors!AI12+IF(ES6&gt;=0.45,VLOOKUP(Calculator!E23,tbSkills!DH3:DI6,2,FALSE)+IF(AND(Calculator!B8=TRUE,Backdoors!BI24=TRUE),VLOOKUP(Calculator!E23,tbSkills!DH3:DJ6,3,FALSE),0),0)))/100)),1))*IF(VLOOKUP(A6,tbMoveset!A2:K112,11,FALSE)=TRUE,Backdoors!AC5,1))*ET6,0),"")</f>
        <v>0</v>
      </c>
      <c r="EX6" s="49">
        <f>VLOOKUP(A6,tbMoveset!A2:G112,7,FALSE)*IFERROR(IF(Backdoors!AI12&gt;=0,1+(IF(Calculator!E40&gt;0,VLOOKUP(Calculator!E40,tbSkills!AI3:AJ5,2,FALSE),Backdoors!AL4)*(IF((Backdoors!AI12+IF(ES6&gt;=0.45,VLOOKUP(Calculator!E23,tbSkills!DH3:DI6,2,FALSE)+IF(AND(Calculator!B8=TRUE,Backdoors!BI24=TRUE),VLOOKUP(Calculator!E23,tbSkills!DH3:DJ6,3,FALSE),0),0))&gt;=100,100,(Backdoors!AI12+IF(ES6&gt;=0.45,VLOOKUP(Calculator!E23,tbSkills!DH3:DI6,2,FALSE)+IF(AND(Calculator!B8=TRUE,Backdoors!BI24=TRUE),VLOOKUP(Calculator!E23,tbSkills!DH3:DJ6,3,FALSE),0),0)))/100)),1),1)</f>
        <v>0.4</v>
      </c>
      <c r="EY6" s="87">
        <f t="shared" si="14"/>
        <v>0</v>
      </c>
      <c r="EZ6" s="86" t="str">
        <f>IFERROR(IF(VLOOKUP(A6,tbMoveset!A2:B112,2,FALSE)="Sever",Backdoors!AY25/100,IF(VLOOKUP(A6,tbMoveset!A2:B112,2,FALSE)="Blunt",Backdoors!AZ25/100,Backdoors!BA25/100)),"")</f>
        <v/>
      </c>
      <c r="FA6" s="49">
        <f>IFERROR(IF(VLOOKUP(tbMoveset!A6,tbMoveset!A2:H112,8,FALSE)="Other",IF(VLOOKUP(tbMoveset!A6,tbMoveset!A2:I112,9,FALSE)="Fire",Backdoors!BB25,IF(VLOOKUP(tbMoveset!A6,tbMoveset!A2:I112,9,FALSE)="Water",Backdoors!BC25,IF(VLOOKUP(tbMoveset!A6,tbMoveset!A2:I112,9,FALSE)="Thunder",Backdoors!BD25,IF(VLOOKUP(tbMoveset!A6,tbMoveset!A2:I112,9,FALSE)="Ice",Backdoors!BE25,IF(VLOOKUP(tbMoveset!A6,tbMoveset!A2:I112,9,FALSE)="Dragon",Backdoors!BF25,Backdoors!BG25)))))/100,Backdoors!BG25/100),"")</f>
        <v>0</v>
      </c>
      <c r="FB6" s="49">
        <f>IFERROR(IF(VLOOKUP(A6,tbMoveset!A2:J112,10,FALSE)=TRUE,IF((Backdoors!AI12+IF(EZ6&gt;=0.45,VLOOKUP(Calculator!E23,tbSkills!DH3:DI6,2,FALSE)+IF(AND(Calculator!B8=TRUE,Backdoors!BI25=TRUE),VLOOKUP(Calculator!E23,tbSkills!DH3:DJ6,3,FALSE),0),0))&gt;=0,1+(Backdoors!AL2*(IF((Backdoors!AI12+IF(EZ6&gt;=0.45,VLOOKUP(Calculator!E23,tbSkills!DH3:DI6,2,FALSE)+IF(AND(Calculator!B8=TRUE,Backdoors!BI25=TRUE),VLOOKUP(Calculator!E23,tbSkills!DH3:DJ6,3,FALSE),0),0))&gt;=100,100,(Backdoors!AI12+IF(EZ6&gt;=0.45,VLOOKUP(Calculator!E23,tbSkills!DH3:DI6,2,FALSE)+IF(AND(Calculator!B8=TRUE,Backdoors!BI25=TRUE),VLOOKUP(Calculator!E23,tbSkills!DH3:DJ6,3,FALSE),0),0)))/100)),(1-(0.25*((-Backdoors!AI12-IF(EZ6&gt;=0.45,VLOOKUP(Calculator!E23,tbSkills!DH3:DI6,2,FALSE)+IF(AND(Calculator!B8=TRUE,Backdoors!BI25=TRUE),VLOOKUP(Calculator!E23,tbSkills!DH3:DJ6,3,FALSE),0),0))/100)))),1),"")</f>
        <v>1</v>
      </c>
      <c r="FC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Z6)*FB6)*(VLOOKUP(A6,tbMoveset!A2:C112,3,FALSE)/100)*IF(VLOOKUP(A6,tbMoveset!A2:B112,2,FALSE)="Projectile",Backdoors!N10,Backdoors!N9),0),"")</f>
        <v/>
      </c>
      <c r="FD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Z6&gt;=0.45,VLOOKUP(Calculator!E23,tbSkills!DH3:DI6,2,FALSE)+IF(AND(Calculator!B8=TRUE,Backdoors!BI25=TRUE),VLOOKUP(Calculator!E23,tbSkills!DH3:DJ6,3,FALSE),0),0))&gt;=100,100,(Backdoors!AI12+IF(EZ6&gt;=0.45,VLOOKUP(Calculator!E23,tbSkills!DH3:DI6,2,FALSE)+IF(AND(Calculator!B8=TRUE,Backdoors!BI25=TRUE),VLOOKUP(Calculator!E23,tbSkills!DH3:DJ6,3,FALSE),0),0)))/100)),1))*IF(VLOOKUP(A6,tbMoveset!A2:K112,11,FALSE)=TRUE,Backdoors!AC5,1))*FA6,0),"")</f>
        <v>0</v>
      </c>
      <c r="FE6" s="49">
        <f>VLOOKUP(A6,tbMoveset!A2:G112,7,FALSE)*IFERROR(IF(Backdoors!AI12&gt;=0,1+(IF(Calculator!E40&gt;0,VLOOKUP(Calculator!E40,tbSkills!AI3:AJ5,2,FALSE),Backdoors!AL4)*(IF((Backdoors!AI12+IF(EZ6&gt;=0.45,VLOOKUP(Calculator!E23,tbSkills!DH3:DI6,2,FALSE)+IF(AND(Calculator!B8=TRUE,Backdoors!BI25=TRUE),VLOOKUP(Calculator!E23,tbSkills!DH3:DJ6,3,FALSE),0),0))&gt;=100,100,(Backdoors!AI12+IF(EZ6&gt;=0.45,VLOOKUP(Calculator!E23,tbSkills!DH3:DI6,2,FALSE)+IF(AND(Calculator!B8=TRUE,Backdoors!BI25=TRUE),VLOOKUP(Calculator!E23,tbSkills!DH3:DJ6,3,FALSE),0),0)))/100)),1),1)</f>
        <v>0.4</v>
      </c>
      <c r="FF6" s="87">
        <f t="shared" si="15"/>
        <v>0</v>
      </c>
      <c r="FG6" s="86" t="str">
        <f>IFERROR(IF(VLOOKUP(A6,tbMoveset!A2:B112,2,FALSE)="Sever",Backdoors!AY26/100,IF(VLOOKUP(A6,tbMoveset!A2:B112,2,FALSE)="Blunt",Backdoors!AZ26/100,Backdoors!BA26/100)),"")</f>
        <v/>
      </c>
      <c r="FH6" s="49">
        <f>IFERROR(IF(VLOOKUP(tbMoveset!A6,tbMoveset!A2:H112,8,FALSE)="Other",IF(VLOOKUP(tbMoveset!A6,tbMoveset!A2:I112,9,FALSE)="Fire",Backdoors!BB26,IF(VLOOKUP(tbMoveset!A6,tbMoveset!A2:I112,9,FALSE)="Water",Backdoors!BC26,IF(VLOOKUP(tbMoveset!A6,tbMoveset!A2:I112,9,FALSE)="Thunder",Backdoors!BD26,IF(VLOOKUP(tbMoveset!A6,tbMoveset!A2:I112,9,FALSE)="Ice",Backdoors!BE26,IF(VLOOKUP(tbMoveset!A6,tbMoveset!A2:I112,9,FALSE)="Dragon",Backdoors!BF26,Backdoors!BG26)))))/100,Backdoors!BG26/100),"")</f>
        <v>0</v>
      </c>
      <c r="FI6" s="49">
        <f>IFERROR(IF(VLOOKUP(A6,tbMoveset!A2:J112,10,FALSE)=TRUE,IF((Backdoors!AI12+IF(FG6&gt;=0.45,VLOOKUP(Calculator!E23,tbSkills!DH3:DI6,2,FALSE)+IF(AND(Calculator!B8=TRUE,Backdoors!BI26=TRUE),VLOOKUP(Calculator!E23,tbSkills!DH3:DJ6,3,FALSE),0),0))&gt;=0,1+(Backdoors!AL2*(IF((Backdoors!AI12+IF(FG6&gt;=0.45,VLOOKUP(Calculator!E23,tbSkills!DH3:DI6,2,FALSE)+IF(AND(Calculator!B8=TRUE,Backdoors!BI26=TRUE),VLOOKUP(Calculator!E23,tbSkills!DH3:DJ6,3,FALSE),0),0))&gt;=100,100,(Backdoors!AI12+IF(FG6&gt;=0.45,VLOOKUP(Calculator!E23,tbSkills!DH3:DI6,2,FALSE)+IF(AND(Calculator!B8=TRUE,Backdoors!BI26=TRUE),VLOOKUP(Calculator!E23,tbSkills!DH3:DJ6,3,FALSE),0),0)))/100)),(1-(0.25*((-Backdoors!AI12-IF(FG6&gt;=0.45,VLOOKUP(Calculator!E23,tbSkills!DH3:DI6,2,FALSE)+IF(AND(Calculator!B8=TRUE,Backdoors!BI26=TRUE),VLOOKUP(Calculator!E23,tbSkills!DH3:DJ6,3,FALSE),0),0))/100)))),1),"")</f>
        <v>1</v>
      </c>
      <c r="FJ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FG6)*FI6)*(VLOOKUP(A6,tbMoveset!A2:C112,3,FALSE)/100)*IF(VLOOKUP(A6,tbMoveset!A2:B112,2,FALSE)="Projectile",Backdoors!N10,Backdoors!N9),0),"")</f>
        <v/>
      </c>
      <c r="FK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FG6&gt;=0.45,VLOOKUP(Calculator!E23,tbSkills!DH3:DI6,2,FALSE)+IF(AND(Calculator!B8=TRUE,Backdoors!BI26=TRUE),VLOOKUP(Calculator!E23,tbSkills!DH3:DJ6,3,FALSE),0),0))&gt;=100,100,(Backdoors!AI12+IF(FG6&gt;=0.45,VLOOKUP(Calculator!E23,tbSkills!DH3:DI6,2,FALSE)+IF(AND(Calculator!B8=TRUE,Backdoors!BI26=TRUE),VLOOKUP(Calculator!E23,tbSkills!DH3:DJ6,3,FALSE),0),0)))/100)),1))*IF(VLOOKUP(A6,tbMoveset!A2:K112,11,FALSE)=TRUE,Backdoors!AC5,1))*FH6,0),"")</f>
        <v>0</v>
      </c>
      <c r="FL6" s="49">
        <f>VLOOKUP(A6,tbMoveset!A2:G112,7,FALSE)*IFERROR(IF(Backdoors!AI12&gt;=0,1+(IF(Calculator!E40&gt;0,VLOOKUP(Calculator!E40,tbSkills!AI3:AJ5,2,FALSE),Backdoors!AL4)*(IF((Backdoors!AI12+IF(FG6&gt;=0.45,VLOOKUP(Calculator!E23,tbSkills!DH3:DI6,2,FALSE)+IF(AND(Calculator!B8=TRUE,Backdoors!BI26=TRUE),VLOOKUP(Calculator!E23,tbSkills!DH3:DJ6,3,FALSE),0),0))&gt;=100,100,(Backdoors!AI12+IF(FG6&gt;=0.45,VLOOKUP(Calculator!E23,tbSkills!DH3:DI6,2,FALSE)+IF(AND(Calculator!B8=TRUE,Backdoors!BI26=TRUE),VLOOKUP(Calculator!E23,tbSkills!DH3:DJ6,3,FALSE),0),0)))/100)),1),1)</f>
        <v>0.4</v>
      </c>
      <c r="FM6" s="87">
        <f t="shared" si="16"/>
        <v>0</v>
      </c>
      <c r="FN6" s="86" t="str">
        <f>IFERROR(IF(VLOOKUP(A6,tbMoveset!A2:B112,2,FALSE)="Sever",Backdoors!AY27/100,IF(VLOOKUP(A6,tbMoveset!A2:B112,2,FALSE)="Blunt",Backdoors!AZ27/100,Backdoors!BA27/100)),"")</f>
        <v/>
      </c>
      <c r="FO6" s="49">
        <f>IFERROR(IF(VLOOKUP(tbMoveset!A6,tbMoveset!A2:H112,8,FALSE)="Other",IF(VLOOKUP(tbMoveset!A6,tbMoveset!A2:I112,9,FALSE)="Fire",Backdoors!BB27,IF(VLOOKUP(tbMoveset!A6,tbMoveset!A2:I112,9,FALSE)="Water",Backdoors!BC27,IF(VLOOKUP(tbMoveset!A6,tbMoveset!A2:I112,9,FALSE)="Thunder",Backdoors!BD27,IF(VLOOKUP(tbMoveset!A6,tbMoveset!A2:I112,9,FALSE)="Ice",Backdoors!BE27,IF(VLOOKUP(tbMoveset!A6,tbMoveset!A2:I112,9,FALSE)="Dragon",Backdoors!BF27,Backdoors!BG27)))))/100,Backdoors!BG27/100),"")</f>
        <v>0</v>
      </c>
      <c r="FP6" s="49">
        <f>IFERROR(IF(VLOOKUP(A6,tbMoveset!A2:J112,10,FALSE)=TRUE,IF((Backdoors!AI12+IF(FN6&gt;=0.45,VLOOKUP(Calculator!E23,tbSkills!DH3:DI6,2,FALSE)+IF(AND(Calculator!B8=TRUE,Backdoors!BI27=TRUE),VLOOKUP(Calculator!E23,tbSkills!DH3:DJ6,3,FALSE),0),0))&gt;=0,1+(Backdoors!AL2*(IF((Backdoors!AI12+IF(FN6&gt;=0.45,VLOOKUP(Calculator!E23,tbSkills!DH3:DI6,2,FALSE)+IF(AND(Calculator!B8=TRUE,Backdoors!BI27=TRUE),VLOOKUP(Calculator!E23,tbSkills!DH3:DJ6,3,FALSE),0),0))&gt;=100,100,(Backdoors!AI12+IF(FN6&gt;=0.45,VLOOKUP(Calculator!E23,tbSkills!DH3:DI6,2,FALSE)+IF(AND(Calculator!B8=TRUE,Backdoors!BI27=TRUE),VLOOKUP(Calculator!E23,tbSkills!DH3:DJ6,3,FALSE),0),0)))/100)),(1-(0.25*((-Backdoors!AI12-IF(FN6&gt;=0.45,VLOOKUP(Calculator!E23,tbSkills!DH3:DI6,2,FALSE)+IF(AND(Calculator!B8=TRUE,Backdoors!BI27=TRUE),VLOOKUP(Calculator!E23,tbSkills!DH3:DJ6,3,FALSE),0),0))/100)))),1),"")</f>
        <v>1</v>
      </c>
      <c r="FQ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FN6)*FP6)*(VLOOKUP(A6,tbMoveset!A2:C112,3,FALSE)/100)*IF(VLOOKUP(A6,tbMoveset!A2:B112,2,FALSE)="Projectile",Backdoors!N10,Backdoors!N9),0),"")</f>
        <v/>
      </c>
      <c r="FR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FN6&gt;=0.45,VLOOKUP(Calculator!E23,tbSkills!DH3:DI6,2,FALSE)+IF(AND(Calculator!B8=TRUE,Backdoors!BI27=TRUE),VLOOKUP(Calculator!E23,tbSkills!DH3:DJ6,3,FALSE),0),0))&gt;=100,100,(Backdoors!AI12+IF(FN6&gt;=0.45,VLOOKUP(Calculator!E23,tbSkills!DH3:DI6,2,FALSE)+IF(AND(Calculator!B8=TRUE,Backdoors!BI27=TRUE),VLOOKUP(Calculator!E23,tbSkills!DH3:DJ6,3,FALSE),0),0)))/100)),1))*IF(VLOOKUP(A6,tbMoveset!A2:K112,11,FALSE)=TRUE,Backdoors!AC5,1))*FO6,0),"")</f>
        <v>0</v>
      </c>
      <c r="FS6" s="49">
        <f>VLOOKUP(A6,tbMoveset!A2:G112,7,FALSE)*IFERROR(IF(Backdoors!AI12&gt;=0,1+(IF(Calculator!E40&gt;0,VLOOKUP(Calculator!E40,tbSkills!AI3:AJ5,2,FALSE),Backdoors!AL4)*(IF((Backdoors!AI12+IF(FN6&gt;=0.45,VLOOKUP(Calculator!E23,tbSkills!DH3:DI6,2,FALSE)+IF(AND(Calculator!B8=TRUE,Backdoors!BI27=TRUE),VLOOKUP(Calculator!E23,tbSkills!DH3:DJ6,3,FALSE),0),0))&gt;=100,100,(Backdoors!AI12+IF(FN6&gt;=0.45,VLOOKUP(Calculator!E23,tbSkills!DH3:DI6,2,FALSE)+IF(AND(Calculator!B8=TRUE,Backdoors!BI27=TRUE),VLOOKUP(Calculator!E23,tbSkills!DH3:DJ6,3,FALSE),0),0)))/100)),1),1)</f>
        <v>0.4</v>
      </c>
      <c r="FT6" s="87">
        <f t="shared" si="17"/>
        <v>0</v>
      </c>
      <c r="FU6" s="86" t="str">
        <f>IFERROR(IF(VLOOKUP(A6,tbMoveset!A2:B112,2,FALSE)="Sever",Backdoors!AY28/100,IF(VLOOKUP(A6,tbMoveset!A2:B112,2,FALSE)="Blunt",Backdoors!AZ28/100,Backdoors!BA28/100)),"")</f>
        <v/>
      </c>
      <c r="FV6" s="49">
        <f>IFERROR(IF(VLOOKUP(tbMoveset!A6,tbMoveset!A2:H112,8,FALSE)="Other",IF(VLOOKUP(tbMoveset!A6,tbMoveset!A2:I112,9,FALSE)="Fire",Backdoors!BB28,IF(VLOOKUP(tbMoveset!A6,tbMoveset!A2:I112,9,FALSE)="Water",Backdoors!BC28,IF(VLOOKUP(tbMoveset!A6,tbMoveset!A2:I112,9,FALSE)="Thunder",Backdoors!BD28,IF(VLOOKUP(tbMoveset!A6,tbMoveset!A2:I112,9,FALSE)="Ice",Backdoors!BE28,IF(VLOOKUP(tbMoveset!A6,tbMoveset!A2:I112,9,FALSE)="Dragon",Backdoors!BF28,Backdoors!BG28)))))/100,Backdoors!BG28/100),"")</f>
        <v>0</v>
      </c>
      <c r="FW6" s="49">
        <f>IFERROR(IF(VLOOKUP(A6,tbMoveset!A2:J112,10,FALSE)=TRUE,IF((Backdoors!AI12+IF(FU6&gt;=0.45,VLOOKUP(Calculator!E23,tbSkills!DH3:DI6,2,FALSE)+IF(AND(Calculator!B8=TRUE,Backdoors!BI28=TRUE),VLOOKUP(Calculator!E23,tbSkills!DH3:DJ6,3,FALSE),0),0))&gt;=0,1+(Backdoors!AL2*(IF((Backdoors!AI12+IF(FU6&gt;=0.45,VLOOKUP(Calculator!E23,tbSkills!DH3:DI6,2,FALSE)+IF(AND(Calculator!B8=TRUE,Backdoors!BI28=TRUE),VLOOKUP(Calculator!E23,tbSkills!DH3:DJ6,3,FALSE),0),0))&gt;=100,100,(Backdoors!AI12+IF(FU6&gt;=0.45,VLOOKUP(Calculator!E23,tbSkills!DH3:DI6,2,FALSE)+IF(AND(Calculator!B8=TRUE,Backdoors!BI28=TRUE),VLOOKUP(Calculator!E23,tbSkills!DH3:DJ6,3,FALSE),0),0)))/100)),(1-(0.25*((-Backdoors!AI12-IF(FU6&gt;=0.45,VLOOKUP(Calculator!E23,tbSkills!DH3:DI6,2,FALSE)+IF(AND(Calculator!B8=TRUE,Backdoors!BI28=TRUE),VLOOKUP(Calculator!E23,tbSkills!DH3:DJ6,3,FALSE),0),0))/100)))),1),"")</f>
        <v>1</v>
      </c>
      <c r="FX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FU6)*FW6)*(VLOOKUP(A6,tbMoveset!A2:C112,3,FALSE)/100)*IF(VLOOKUP(A6,tbMoveset!A2:B112,2,FALSE)="Projectile",Backdoors!N10,Backdoors!N9),0),"")</f>
        <v/>
      </c>
      <c r="FY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FU6&gt;=0.45,VLOOKUP(Calculator!E23,tbSkills!DH3:DI6,2,FALSE)+IF(AND(Calculator!B8=TRUE,Backdoors!BI28=TRUE),VLOOKUP(Calculator!E23,tbSkills!DH3:DJ6,3,FALSE),0),0))&gt;=100,100,(Backdoors!AI12+IF(FU6&gt;=0.45,VLOOKUP(Calculator!E23,tbSkills!DH3:DI6,2,FALSE)+IF(AND(Calculator!B8=TRUE,Backdoors!BI28=TRUE),VLOOKUP(Calculator!E23,tbSkills!DH3:DJ6,3,FALSE),0),0)))/100)),1))*IF(VLOOKUP(A6,tbMoveset!A2:K112,11,FALSE)=TRUE,Backdoors!AC5,1))*FV6,0),"")</f>
        <v>0</v>
      </c>
      <c r="FZ6" s="49">
        <f>VLOOKUP(A6,tbMoveset!A2:G112,7,FALSE)*IFERROR(IF(Backdoors!AI12&gt;=0,1+(IF(Calculator!E40&gt;0,VLOOKUP(Calculator!E40,tbSkills!AI3:AJ5,2,FALSE),Backdoors!AL4)*(IF((Backdoors!AI12+IF(FU6&gt;=0.45,VLOOKUP(Calculator!E23,tbSkills!DH3:DI6,2,FALSE)+IF(AND(Calculator!B8=TRUE,Backdoors!BI28=TRUE),VLOOKUP(Calculator!E23,tbSkills!DH3:DJ6,3,FALSE),0),0))&gt;=100,100,(Backdoors!AI12+IF(FU6&gt;=0.45,VLOOKUP(Calculator!E23,tbSkills!DH3:DI6,2,FALSE)+IF(AND(Calculator!B8=TRUE,Backdoors!BI28=TRUE),VLOOKUP(Calculator!E23,tbSkills!DH3:DJ6,3,FALSE),0),0)))/100)),1),1)</f>
        <v>0.4</v>
      </c>
      <c r="GA6" s="87">
        <f t="shared" si="18"/>
        <v>0</v>
      </c>
      <c r="GB6" s="86" t="str">
        <f>IFERROR(IF(VLOOKUP(A6,tbMoveset!A2:B112,2,FALSE)="Sever",Backdoors!AY29/100,IF(VLOOKUP(A6,tbMoveset!A2:B112,2,FALSE)="Blunt",Backdoors!AZ29/100,Backdoors!BA29/100)),"")</f>
        <v/>
      </c>
      <c r="GC6" s="49">
        <f>IFERROR(IF(VLOOKUP(tbMoveset!A6,tbMoveset!A2:H112,8,FALSE)="Other",IF(VLOOKUP(tbMoveset!A6,tbMoveset!A2:I112,9,FALSE)="Fire",Backdoors!BB29,IF(VLOOKUP(tbMoveset!A6,tbMoveset!A2:I112,9,FALSE)="Water",Backdoors!BC29,IF(VLOOKUP(tbMoveset!A6,tbMoveset!A2:I112,9,FALSE)="Thunder",Backdoors!BD29,IF(VLOOKUP(tbMoveset!A6,tbMoveset!A2:I112,9,FALSE)="Ice",Backdoors!BE29,IF(VLOOKUP(tbMoveset!A6,tbMoveset!A2:I112,9,FALSE)="Dragon",Backdoors!BF29,Backdoors!BG29)))))/100,Backdoors!BG29/100),"")</f>
        <v>0</v>
      </c>
      <c r="GD6" s="49">
        <f>IFERROR(IF(VLOOKUP(A6,tbMoveset!A2:J112,10,FALSE)=TRUE,IF((Backdoors!AI12+IF(GB6&gt;=0.45,VLOOKUP(Calculator!E23,tbSkills!DH3:DI6,2,FALSE)+IF(AND(Calculator!B8=TRUE,Backdoors!BI29=TRUE),VLOOKUP(Calculator!E23,tbSkills!DH3:DJ6,3,FALSE),0),0))&gt;=0,1+(Backdoors!AL2*(IF((Backdoors!AI12+IF(GB6&gt;=0.45,VLOOKUP(Calculator!E23,tbSkills!DH3:DI6,2,FALSE)+IF(AND(Calculator!B8=TRUE,Backdoors!BI29=TRUE),VLOOKUP(Calculator!E23,tbSkills!DH3:DJ6,3,FALSE),0),0))&gt;=100,100,(Backdoors!AI12+IF(GB6&gt;=0.45,VLOOKUP(Calculator!E23,tbSkills!DH3:DI6,2,FALSE)+IF(AND(Calculator!B8=TRUE,Backdoors!BI29=TRUE),VLOOKUP(Calculator!E23,tbSkills!DH3:DJ6,3,FALSE),0),0)))/100)),(1-(0.25*((-Backdoors!AI12-IF(GB6&gt;=0.45,VLOOKUP(Calculator!E23,tbSkills!DH3:DI6,2,FALSE)+IF(AND(Calculator!B8=TRUE,Backdoors!BI29=TRUE),VLOOKUP(Calculator!E23,tbSkills!DH3:DJ6,3,FALSE),0),0))/100)))),1),"")</f>
        <v>1</v>
      </c>
      <c r="GE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B6)*GD6)*(VLOOKUP(A6,tbMoveset!A2:C112,3,FALSE)/100)*IF(VLOOKUP(A6,tbMoveset!A2:B112,2,FALSE)="Projectile",Backdoors!N10,Backdoors!N9),0),"")</f>
        <v/>
      </c>
      <c r="GF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B6&gt;=0.45,VLOOKUP(Calculator!E23,tbSkills!DH3:DI6,2,FALSE)+IF(AND(Calculator!B8=TRUE,Backdoors!BI29=TRUE),VLOOKUP(Calculator!E23,tbSkills!DH3:DJ6,3,FALSE),0),0))&gt;=100,100,(Backdoors!AI12+IF(GB6&gt;=0.45,VLOOKUP(Calculator!E23,tbSkills!DH3:DI6,2,FALSE)+IF(AND(Calculator!B8=TRUE,Backdoors!BI29=TRUE),VLOOKUP(Calculator!E23,tbSkills!DH3:DJ6,3,FALSE),0),0)))/100)),1))*IF(VLOOKUP(A6,tbMoveset!A2:K112,11,FALSE)=TRUE,Backdoors!AC5,1))*GC6,0),"")</f>
        <v>0</v>
      </c>
      <c r="GG6" s="49">
        <f>VLOOKUP(A6,tbMoveset!A2:G112,7,FALSE)*IFERROR(IF(Backdoors!AI12&gt;=0,1+(IF(Calculator!E40&gt;0,VLOOKUP(Calculator!E40,tbSkills!AI3:AJ5,2,FALSE),Backdoors!AL4)*(IF((Backdoors!AI12+IF(GB6&gt;=0.45,VLOOKUP(Calculator!E23,tbSkills!DH3:DI6,2,FALSE)+IF(AND(Calculator!B8=TRUE,Backdoors!BI29=TRUE),VLOOKUP(Calculator!E23,tbSkills!DH3:DJ6,3,FALSE),0),0))&gt;=100,100,(Backdoors!AI12+IF(GB6&gt;=0.45,VLOOKUP(Calculator!E23,tbSkills!DH3:DI6,2,FALSE)+IF(AND(Calculator!B8=TRUE,Backdoors!BI29=TRUE),VLOOKUP(Calculator!E23,tbSkills!DH3:DJ6,3,FALSE),0),0)))/100)),1),1)</f>
        <v>0.4</v>
      </c>
      <c r="GH6" s="87">
        <f t="shared" si="19"/>
        <v>0</v>
      </c>
      <c r="GI6" s="86" t="str">
        <f>IFERROR(IF(VLOOKUP(A6,tbMoveset!A2:B112,2,FALSE)="Sever",Backdoors!AY30/100,IF(VLOOKUP(A6,tbMoveset!A2:B112,2,FALSE)="Blunt",Backdoors!AZ30/100,Backdoors!BA30/100)),"")</f>
        <v/>
      </c>
      <c r="GJ6" s="49">
        <f>IFERROR(IF(VLOOKUP(tbMoveset!A6,tbMoveset!A2:H112,8,FALSE)="Other",IF(VLOOKUP(tbMoveset!A6,tbMoveset!A2:I112,9,FALSE)="Fire",Backdoors!BB30,IF(VLOOKUP(tbMoveset!A6,tbMoveset!A2:I112,9,FALSE)="Water",Backdoors!BC30,IF(VLOOKUP(tbMoveset!A6,tbMoveset!A2:I112,9,FALSE)="Thunder",Backdoors!BD30,IF(VLOOKUP(tbMoveset!A6,tbMoveset!A2:I112,9,FALSE)="Ice",Backdoors!BE30,IF(VLOOKUP(tbMoveset!A6,tbMoveset!A2:I112,9,FALSE)="Dragon",Backdoors!BF30,Backdoors!BG30)))))/100,Backdoors!BG30/100),"")</f>
        <v>0</v>
      </c>
      <c r="GK6" s="49">
        <f>IFERROR(IF(VLOOKUP(A6,tbMoveset!A2:J112,10,FALSE)=TRUE,IF((Backdoors!AI12+IF(GI6&gt;=0.45,VLOOKUP(Calculator!E23,tbSkills!DH3:DI6,2,FALSE)+IF(AND(Calculator!B8=TRUE,Backdoors!BI30=TRUE),VLOOKUP(Calculator!E23,tbSkills!DH3:DJ6,3,FALSE),0),0))&gt;=0,1+(Backdoors!AL2*(IF((Backdoors!AI12+IF(GI6&gt;=0.45,VLOOKUP(Calculator!E23,tbSkills!DH3:DI6,2,FALSE)+IF(AND(Calculator!B8=TRUE,Backdoors!BI30=TRUE),VLOOKUP(Calculator!E23,tbSkills!DH3:DJ6,3,FALSE),0),0))&gt;=100,100,(Backdoors!AI12+IF(GI6&gt;=0.45,VLOOKUP(Calculator!E23,tbSkills!DH3:DI6,2,FALSE)+IF(AND(Calculator!B8=TRUE,Backdoors!BI30=TRUE),VLOOKUP(Calculator!E23,tbSkills!DH3:DJ6,3,FALSE),0),0)))/100)),(1-(0.25*((-Backdoors!AI12-IF(GI6&gt;=0.45,VLOOKUP(Calculator!E23,tbSkills!DH3:DI6,2,FALSE)+IF(AND(Calculator!B8=TRUE,Backdoors!BI30=TRUE),VLOOKUP(Calculator!E23,tbSkills!DH3:DJ6,3,FALSE),0),0))/100)))),1),"")</f>
        <v>1</v>
      </c>
      <c r="GL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I6)*GK6)*(VLOOKUP(A6,tbMoveset!A2:C112,3,FALSE)/100)*IF(VLOOKUP(A6,tbMoveset!A2:B112,2,FALSE)="Projectile",Backdoors!N10,Backdoors!N9),0),"")</f>
        <v/>
      </c>
      <c r="GM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I6&gt;=0.45,VLOOKUP(Calculator!E23,tbSkills!DH3:DI6,2,FALSE)+IF(AND(Calculator!B8=TRUE,Backdoors!BI30=TRUE),VLOOKUP(Calculator!E23,tbSkills!DH3:DJ6,3,FALSE),0),0))&gt;=100,100,(Backdoors!AI12+IF(GI6&gt;=0.45,VLOOKUP(Calculator!E23,tbSkills!DH3:DI6,2,FALSE)+IF(AND(Calculator!B8=TRUE,Backdoors!BI30=TRUE),VLOOKUP(Calculator!E23,tbSkills!DH3:DJ6,3,FALSE),0),0)))/100)),1))*IF(VLOOKUP(A6,tbMoveset!A2:K112,11,FALSE)=TRUE,Backdoors!AC5,1))*GJ6,0),"")</f>
        <v>0</v>
      </c>
      <c r="GN6" s="49">
        <f>VLOOKUP(A6,tbMoveset!A2:G112,7,FALSE)*IFERROR(IF(Backdoors!AI12&gt;=0,1+(IF(Calculator!E40&gt;0,VLOOKUP(Calculator!E40,tbSkills!AI3:AJ5,2,FALSE),Backdoors!AL4)*(IF((Backdoors!AI12+IF(GI6&gt;=0.45,VLOOKUP(Calculator!E23,tbSkills!DH3:DI6,2,FALSE)+IF(AND(Calculator!B8=TRUE,Backdoors!BI30=TRUE),VLOOKUP(Calculator!E23,tbSkills!DH3:DJ6,3,FALSE),0),0))&gt;=100,100,(Backdoors!AI12+IF(GI6&gt;=0.45,VLOOKUP(Calculator!E23,tbSkills!DH3:DI6,2,FALSE)+IF(AND(Calculator!B8=TRUE,Backdoors!BI30=TRUE),VLOOKUP(Calculator!E23,tbSkills!DH3:DJ6,3,FALSE),0),0)))/100)),1),1)</f>
        <v>0.4</v>
      </c>
      <c r="GO6" s="87">
        <f t="shared" si="20"/>
        <v>0</v>
      </c>
      <c r="GP6" s="86" t="str">
        <f>IFERROR(IF(VLOOKUP(A6,tbMoveset!A2:B112,2,FALSE)="Sever",Backdoors!AY31/100,IF(VLOOKUP(A6,tbMoveset!A2:B112,2,FALSE)="Blunt",Backdoors!AZ31/100,Backdoors!BA31/100)),"")</f>
        <v/>
      </c>
      <c r="GQ6" s="49">
        <f>IFERROR(IF(VLOOKUP(tbMoveset!A6,tbMoveset!A2:H112,8,FALSE)="Other",IF(VLOOKUP(tbMoveset!A6,tbMoveset!A2:I112,9,FALSE)="Fire",Backdoors!BB31,IF(VLOOKUP(tbMoveset!A6,tbMoveset!A2:I112,9,FALSE)="Water",Backdoors!BC31,IF(VLOOKUP(tbMoveset!A6,tbMoveset!A2:I112,9,FALSE)="Thunder",Backdoors!BD31,IF(VLOOKUP(tbMoveset!A6,tbMoveset!A2:I112,9,FALSE)="Ice",Backdoors!BE31,IF(VLOOKUP(tbMoveset!A6,tbMoveset!A2:I112,9,FALSE)="Dragon",Backdoors!BF31,Backdoors!BG31)))))/100,Backdoors!BG31/100),"")</f>
        <v>0</v>
      </c>
      <c r="GR6" s="49">
        <f>IFERROR(IF(VLOOKUP(A6,tbMoveset!A2:J112,10,FALSE)=TRUE,IF((Backdoors!AI12+IF(GP6&gt;=0.45,VLOOKUP(Calculator!E23,tbSkills!DH3:DI6,2,FALSE)+IF(AND(Calculator!B8=TRUE,Backdoors!BI31=TRUE),VLOOKUP(Calculator!E23,tbSkills!DH3:DJ6,3,FALSE),0),0))&gt;=0,1+(Backdoors!AL2*(IF((Backdoors!AI12+IF(GP6&gt;=0.45,VLOOKUP(Calculator!E23,tbSkills!DH3:DI6,2,FALSE)+IF(AND(Calculator!B8=TRUE,Backdoors!BI31=TRUE),VLOOKUP(Calculator!E23,tbSkills!DH3:DJ6,3,FALSE),0),0))&gt;=100,100,(Backdoors!AI12+IF(GP6&gt;=0.45,VLOOKUP(Calculator!E23,tbSkills!DH3:DI6,2,FALSE)+IF(AND(Calculator!B8=TRUE,Backdoors!BI31=TRUE),VLOOKUP(Calculator!E23,tbSkills!DH3:DJ6,3,FALSE),0),0)))/100)),(1-(0.25*((-Backdoors!AI12-IF(GP6&gt;=0.45,VLOOKUP(Calculator!E23,tbSkills!DH3:DI6,2,FALSE)+IF(AND(Calculator!B8=TRUE,Backdoors!BI31=TRUE),VLOOKUP(Calculator!E23,tbSkills!DH3:DJ6,3,FALSE),0),0))/100)))),1),"")</f>
        <v>1</v>
      </c>
      <c r="GS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P6)*GR6)*(VLOOKUP(A6,tbMoveset!A2:C112,3,FALSE)/100)*IF(VLOOKUP(A6,tbMoveset!A2:B112,2,FALSE)="Projectile",Backdoors!N10,Backdoors!N9),0),"")</f>
        <v/>
      </c>
      <c r="GT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P6&gt;=0.45,VLOOKUP(Calculator!E23,tbSkills!DH3:DI6,2,FALSE)+IF(AND(Calculator!B8=TRUE,Backdoors!BI31=TRUE),VLOOKUP(Calculator!E23,tbSkills!DH3:DJ6,3,FALSE),0),0))&gt;=100,100,(Backdoors!AI12+IF(GP6&gt;=0.45,VLOOKUP(Calculator!E23,tbSkills!DH3:DI6,2,FALSE)+IF(AND(Calculator!B8=TRUE,Backdoors!BI31=TRUE),VLOOKUP(Calculator!E23,tbSkills!DH3:DJ6,3,FALSE),0),0)))/100)),1))*IF(VLOOKUP(A6,tbMoveset!A2:K112,11,FALSE)=TRUE,Backdoors!AC5,1))*GQ6,0),"")</f>
        <v>0</v>
      </c>
      <c r="GU6" s="49">
        <f>VLOOKUP(A6,tbMoveset!A2:G112,7,FALSE)*IFERROR(IF(Backdoors!AI12&gt;=0,1+(IF(Calculator!E40&gt;0,VLOOKUP(Calculator!E40,tbSkills!AI3:AJ5,2,FALSE),Backdoors!AL4)*(IF((Backdoors!AI12+IF(GP6&gt;=0.45,VLOOKUP(Calculator!E23,tbSkills!DH3:DI6,2,FALSE)+IF(AND(Calculator!B8=TRUE,Backdoors!BI31=TRUE),VLOOKUP(Calculator!E23,tbSkills!DH3:DJ6,3,FALSE),0),0))&gt;=100,100,(Backdoors!AI12+IF(GP6&gt;=0.45,VLOOKUP(Calculator!E23,tbSkills!DH3:DI6,2,FALSE)+IF(AND(Calculator!B8=TRUE,Backdoors!BI31=TRUE),VLOOKUP(Calculator!E23,tbSkills!DH3:DJ6,3,FALSE),0),0)))/100)),1),1)</f>
        <v>0.4</v>
      </c>
      <c r="GV6" s="87">
        <f t="shared" si="21"/>
        <v>0</v>
      </c>
      <c r="GW6" s="86" t="str">
        <f>IFERROR(IF(VLOOKUP(A6,tbMoveset!A2:B112,2,FALSE)="Sever",Backdoors!AY32/100,IF(VLOOKUP(A6,tbMoveset!A2:B112,2,FALSE)="Blunt",Backdoors!AZ32/100,Backdoors!BA32/100)),"")</f>
        <v/>
      </c>
      <c r="GX6" s="49">
        <f>IFERROR(IF(VLOOKUP(tbMoveset!A6,tbMoveset!A2:H112,8,FALSE)="Other",IF(VLOOKUP(tbMoveset!A6,tbMoveset!A2:I112,9,FALSE)="Fire",Backdoors!BB32,IF(VLOOKUP(tbMoveset!A6,tbMoveset!A2:I112,9,FALSE)="Water",Backdoors!BC32,IF(VLOOKUP(tbMoveset!A6,tbMoveset!A2:I112,9,FALSE)="Thunder",Backdoors!BD32,IF(VLOOKUP(tbMoveset!A6,tbMoveset!A2:I112,9,FALSE)="Ice",Backdoors!BE32,IF(VLOOKUP(tbMoveset!A6,tbMoveset!A2:I112,9,FALSE)="Dragon",Backdoors!BF32,Backdoors!BG32)))))/100,Backdoors!BG32/100),"")</f>
        <v>0</v>
      </c>
      <c r="GY6" s="49">
        <f>IFERROR(IF(VLOOKUP(A6,tbMoveset!A2:J112,10,FALSE)=TRUE,IF((Backdoors!AI12+IF(GW6&gt;=0.45,VLOOKUP(Calculator!E23,tbSkills!DH3:DI6,2,FALSE)+IF(AND(Calculator!B8=TRUE,Backdoors!BI32=TRUE),VLOOKUP(Calculator!E23,tbSkills!DH3:DJ6,3,FALSE),0),0))&gt;=0,1+(Backdoors!AL2*(IF((Backdoors!AI12+IF(GW6&gt;=0.45,VLOOKUP(Calculator!E23,tbSkills!DH3:DI6,2,FALSE)+IF(AND(Calculator!B8=TRUE,Backdoors!BI32=TRUE),VLOOKUP(Calculator!E23,tbSkills!DH3:DJ6,3,FALSE),0),0))&gt;=100,100,(Backdoors!AI12+IF(GW6&gt;=0.45,VLOOKUP(Calculator!E23,tbSkills!DH3:DI6,2,FALSE)+IF(AND(Calculator!B8=TRUE,Backdoors!BI32=TRUE),VLOOKUP(Calculator!E23,tbSkills!DH3:DJ6,3,FALSE),0),0)))/100)),(1-(0.25*((-Backdoors!AI12-IF(GW6&gt;=0.45,VLOOKUP(Calculator!E23,tbSkills!DH3:DI6,2,FALSE)+IF(AND(Calculator!B8=TRUE,Backdoors!BI32=TRUE),VLOOKUP(Calculator!E23,tbSkills!DH3:DJ6,3,FALSE),0),0))/100)))),1),"")</f>
        <v>1</v>
      </c>
      <c r="GZ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W6)*GY6)*(VLOOKUP(A6,tbMoveset!A2:C112,3,FALSE)/100)*IF(VLOOKUP(A6,tbMoveset!A2:B112,2,FALSE)="Projectile",Backdoors!N10,Backdoors!N9),0),"")</f>
        <v/>
      </c>
      <c r="HA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W6&gt;=0.45,VLOOKUP(Calculator!E23,tbSkills!DH3:DI6,2,FALSE)+IF(AND(Calculator!B8=TRUE,Backdoors!BI32=TRUE),VLOOKUP(Calculator!E23,tbSkills!DH3:DJ6,3,FALSE),0),0))&gt;=100,100,(Backdoors!AI12+IF(GW6&gt;=0.45,VLOOKUP(Calculator!E23,tbSkills!DH3:DI6,2,FALSE)+IF(AND(Calculator!B8=TRUE,Backdoors!BI32=TRUE),VLOOKUP(Calculator!E23,tbSkills!DH3:DJ6,3,FALSE),0),0)))/100)),1))*IF(VLOOKUP(A6,tbMoveset!A2:K112,11,FALSE)=TRUE,Backdoors!AC5,1))*GX6,0),"")</f>
        <v>0</v>
      </c>
      <c r="HB6" s="49">
        <f>VLOOKUP(A6,tbMoveset!A2:G112,7,FALSE)*IFERROR(IF(Backdoors!AI12&gt;=0,1+(IF(Calculator!E40&gt;0,VLOOKUP(Calculator!E40,tbSkills!AI3:AJ5,2,FALSE),Backdoors!AL4)*(IF((Backdoors!AI12+IF(GW6&gt;=0.45,VLOOKUP(Calculator!E23,tbSkills!DH3:DI6,2,FALSE)+IF(AND(Calculator!B8=TRUE,Backdoors!BI32=TRUE),VLOOKUP(Calculator!E23,tbSkills!DH3:DJ6,3,FALSE),0),0))&gt;=100,100,(Backdoors!AI12+IF(GW6&gt;=0.45,VLOOKUP(Calculator!E23,tbSkills!DH3:DI6,2,FALSE)+IF(AND(Calculator!B8=TRUE,Backdoors!BI32=TRUE),VLOOKUP(Calculator!E23,tbSkills!DH3:DJ6,3,FALSE),0),0)))/100)),1),1)</f>
        <v>0.4</v>
      </c>
      <c r="HC6" s="87">
        <f t="shared" si="22"/>
        <v>0</v>
      </c>
      <c r="HD6" s="86" t="str">
        <f>IFERROR(IF(VLOOKUP(A6,tbMoveset!A2:B112,2,FALSE)="Sever",Backdoors!AY33/100,IF(VLOOKUP(A6,tbMoveset!A2:B112,2,FALSE)="Blunt",Backdoors!AZ33/100,Backdoors!BA33/100)),"")</f>
        <v/>
      </c>
      <c r="HE6" s="49">
        <f>IFERROR(IF(VLOOKUP(tbMoveset!A6,tbMoveset!A2:H112,8,FALSE)="Other",IF(VLOOKUP(tbMoveset!A6,tbMoveset!A2:I112,9,FALSE)="Fire",Backdoors!BB33,IF(VLOOKUP(tbMoveset!A6,tbMoveset!A2:I112,9,FALSE)="Water",Backdoors!BC33,IF(VLOOKUP(tbMoveset!A6,tbMoveset!A2:I112,9,FALSE)="Thunder",Backdoors!BD33,IF(VLOOKUP(tbMoveset!A6,tbMoveset!A2:I112,9,FALSE)="Ice",Backdoors!BE33,IF(VLOOKUP(tbMoveset!A6,tbMoveset!A2:I112,9,FALSE)="Dragon",Backdoors!BF33,Backdoors!BG33)))))/100,Backdoors!BG33/100),"")</f>
        <v>0</v>
      </c>
      <c r="HF6" s="49">
        <f>IFERROR(IF(VLOOKUP(A6,tbMoveset!A2:J112,10,FALSE)=TRUE,IF((Backdoors!AI12+IF(HD6&gt;=0.45,VLOOKUP(Calculator!E23,tbSkills!DH3:DI6,2,FALSE)+IF(AND(Calculator!B8=TRUE,Backdoors!BI33=TRUE),VLOOKUP(Calculator!E23,tbSkills!DH3:DJ6,3,FALSE),0),0))&gt;=0,1+(Backdoors!AL2*(IF((Backdoors!AI12+IF(HD6&gt;=0.45,VLOOKUP(Calculator!E23,tbSkills!DH3:DI6,2,FALSE)+IF(AND(Calculator!B8=TRUE,Backdoors!BI33=TRUE),VLOOKUP(Calculator!E23,tbSkills!DH3:DJ6,3,FALSE),0),0))&gt;=100,100,(Backdoors!AI12+IF(HD6&gt;=0.45,VLOOKUP(Calculator!E23,tbSkills!DH3:DI6,2,FALSE)+IF(AND(Calculator!B8=TRUE,Backdoors!BI33=TRUE),VLOOKUP(Calculator!E23,tbSkills!DH3:DJ6,3,FALSE),0),0)))/100)),(1-(0.25*((-Backdoors!AI12-IF(HD6&gt;=0.45,VLOOKUP(Calculator!E23,tbSkills!DH3:DI6,2,FALSE)+IF(AND(Calculator!B8=TRUE,Backdoors!BI33=TRUE),VLOOKUP(Calculator!E23,tbSkills!DH3:DJ6,3,FALSE),0),0))/100)))),1),"")</f>
        <v>1</v>
      </c>
      <c r="HG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D6)*HF6)*(VLOOKUP(A6,tbMoveset!A2:C112,3,FALSE)/100)*IF(VLOOKUP(A6,tbMoveset!A2:B112,2,FALSE)="Projectile",Backdoors!N10,Backdoors!N9),0),"")</f>
        <v/>
      </c>
      <c r="HH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D6&gt;=0.45,VLOOKUP(Calculator!E23,tbSkills!DH3:DI6,2,FALSE)+IF(AND(Calculator!B8=TRUE,Backdoors!BI33=TRUE),VLOOKUP(Calculator!E23,tbSkills!DH3:DJ6,3,FALSE),0),0))&gt;=100,100,(Backdoors!AI12+IF(HD6&gt;=0.45,VLOOKUP(Calculator!E23,tbSkills!DH3:DI6,2,FALSE)+IF(AND(Calculator!B8=TRUE,Backdoors!BI33=TRUE),VLOOKUP(Calculator!E23,tbSkills!DH3:DJ6,3,FALSE),0),0)))/100)),1))*IF(VLOOKUP(A6,tbMoveset!A2:K112,11,FALSE)=TRUE,Backdoors!AC5,1))*HE6,0),"")</f>
        <v>0</v>
      </c>
      <c r="HI6" s="49">
        <f>VLOOKUP(A6,tbMoveset!A2:G112,7,FALSE)*IFERROR(IF(Backdoors!AI12&gt;=0,1+(IF(Calculator!E40&gt;0,VLOOKUP(Calculator!E40,tbSkills!AI3:AJ5,2,FALSE),Backdoors!AL4)*(IF((Backdoors!AI12+IF(HD6&gt;=0.45,VLOOKUP(Calculator!E23,tbSkills!DH3:DI6,2,FALSE)+IF(AND(Calculator!B8=TRUE,Backdoors!BI33=TRUE),VLOOKUP(Calculator!E23,tbSkills!DH3:DJ6,3,FALSE),0),0))&gt;=100,100,(Backdoors!AI12+IF(HD6&gt;=0.45,VLOOKUP(Calculator!E23,tbSkills!DH3:DI6,2,FALSE)+IF(AND(Calculator!B8=TRUE,Backdoors!BI33=TRUE),VLOOKUP(Calculator!E23,tbSkills!DH3:DJ6,3,FALSE),0),0)))/100)),1),1)</f>
        <v>0.4</v>
      </c>
      <c r="HJ6" s="87">
        <f t="shared" si="23"/>
        <v>0</v>
      </c>
      <c r="HK6" s="86" t="str">
        <f>IFERROR(IF(VLOOKUP(A6,tbMoveset!A2:B112,2,FALSE)="Sever",Backdoors!AY34/100,IF(VLOOKUP(A6,tbMoveset!A2:B112,2,FALSE)="Blunt",Backdoors!AZ34/100,Backdoors!BA34/100)),"")</f>
        <v/>
      </c>
      <c r="HL6" s="49">
        <f>IFERROR(IF(VLOOKUP(tbMoveset!A6,tbMoveset!A2:H112,8,FALSE)="Other",IF(VLOOKUP(tbMoveset!A6,tbMoveset!A2:I112,9,FALSE)="Fire",Backdoors!BB34,IF(VLOOKUP(tbMoveset!A6,tbMoveset!A2:I112,9,FALSE)="Water",Backdoors!BC34,IF(VLOOKUP(tbMoveset!A6,tbMoveset!A2:I112,9,FALSE)="Thunder",Backdoors!BD34,IF(VLOOKUP(tbMoveset!A6,tbMoveset!A2:I112,9,FALSE)="Ice",Backdoors!BE34,IF(VLOOKUP(tbMoveset!A6,tbMoveset!A2:I112,9,FALSE)="Dragon",Backdoors!BF34,Backdoors!BG34)))))/100,Backdoors!BG34/100),"")</f>
        <v>0</v>
      </c>
      <c r="HM6" s="49">
        <f>IFERROR(IF(VLOOKUP(A6,tbMoveset!A2:J112,10,FALSE)=TRUE,IF((Backdoors!AI12+IF(HK6&gt;=0.45,VLOOKUP(Calculator!E23,tbSkills!DH3:DI6,2,FALSE)+IF(AND(Calculator!B8=TRUE,Backdoors!BI34=TRUE),VLOOKUP(Calculator!E23,tbSkills!DH3:DJ6,3,FALSE),0),0))&gt;=0,1+(Backdoors!AL2*(IF((Backdoors!AI12+IF(HK6&gt;=0.45,VLOOKUP(Calculator!E23,tbSkills!DH3:DI6,2,FALSE)+IF(AND(Calculator!B8=TRUE,Backdoors!BI34=TRUE),VLOOKUP(Calculator!E23,tbSkills!DH3:DJ6,3,FALSE),0),0))&gt;=100,100,(Backdoors!AI12+IF(HK6&gt;=0.45,VLOOKUP(Calculator!E23,tbSkills!DH3:DI6,2,FALSE)+IF(AND(Calculator!B8=TRUE,Backdoors!BI34=TRUE),VLOOKUP(Calculator!E23,tbSkills!DH3:DJ6,3,FALSE),0),0)))/100)),(1-(0.25*((-Backdoors!AI12-IF(HK6&gt;=0.45,VLOOKUP(Calculator!E23,tbSkills!DH3:DI6,2,FALSE)+IF(AND(Calculator!B8=TRUE,Backdoors!BI34=TRUE),VLOOKUP(Calculator!E23,tbSkills!DH3:DJ6,3,FALSE),0),0))/100)))),1),"")</f>
        <v>1</v>
      </c>
      <c r="HN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K6)*HM6)*(VLOOKUP(A6,tbMoveset!A2:C112,3,FALSE)/100)*IF(VLOOKUP(A6,tbMoveset!A2:B112,2,FALSE)="Projectile",Backdoors!N10,Backdoors!N9),0),"")</f>
        <v/>
      </c>
      <c r="HO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K6&gt;=0.45,VLOOKUP(Calculator!E23,tbSkills!DH3:DI6,2,FALSE)+IF(AND(Calculator!B8=TRUE,Backdoors!BI34=TRUE),VLOOKUP(Calculator!E23,tbSkills!DH3:DJ6,3,FALSE),0),0))&gt;=100,100,(Backdoors!AI12+IF(HK6&gt;=0.45,VLOOKUP(Calculator!E23,tbSkills!DH3:DI6,2,FALSE)+IF(AND(Calculator!B8=TRUE,Backdoors!BI34=TRUE),VLOOKUP(Calculator!E23,tbSkills!DH3:DJ6,3,FALSE),0),0)))/100)),1))*IF(VLOOKUP(A6,tbMoveset!A2:K112,11,FALSE)=TRUE,Backdoors!AC5,1))*HL6,0),"")</f>
        <v>0</v>
      </c>
      <c r="HP6" s="49">
        <f>VLOOKUP(A6,tbMoveset!A2:G112,7,FALSE)*IFERROR(IF(Backdoors!AI12&gt;=0,1+(IF(Calculator!E40&gt;0,VLOOKUP(Calculator!E40,tbSkills!AI3:AJ5,2,FALSE),Backdoors!AL4)*(IF((Backdoors!AI12+IF(HK6&gt;=0.45,VLOOKUP(Calculator!E23,tbSkills!DH3:DI6,2,FALSE)+IF(AND(Calculator!B8=TRUE,Backdoors!BI34=TRUE),VLOOKUP(Calculator!E23,tbSkills!DH3:DJ6,3,FALSE),0),0))&gt;=100,100,(Backdoors!AI12+IF(HK6&gt;=0.45,VLOOKUP(Calculator!E23,tbSkills!DH3:DI6,2,FALSE)+IF(AND(Calculator!B8=TRUE,Backdoors!BI34=TRUE),VLOOKUP(Calculator!E23,tbSkills!DH3:DJ6,3,FALSE),0),0)))/100)),1),1)</f>
        <v>0.4</v>
      </c>
      <c r="HQ6" s="87">
        <f t="shared" si="24"/>
        <v>0</v>
      </c>
      <c r="HR6" s="86" t="str">
        <f>IFERROR(IF(VLOOKUP(A6,tbMoveset!A2:B112,2,FALSE)="Sever",Backdoors!AY35/100,IF(VLOOKUP(A6,tbMoveset!A2:B112,2,FALSE)="Blunt",Backdoors!AZ35/100,Backdoors!BA35/100)),"")</f>
        <v/>
      </c>
      <c r="HS6" s="49">
        <f>IFERROR(IF(VLOOKUP(tbMoveset!A6,tbMoveset!A2:H112,8,FALSE)="Other",IF(VLOOKUP(tbMoveset!A6,tbMoveset!A2:I112,9,FALSE)="Fire",Backdoors!BB35,IF(VLOOKUP(tbMoveset!A6,tbMoveset!A2:I112,9,FALSE)="Water",Backdoors!BC35,IF(VLOOKUP(tbMoveset!A6,tbMoveset!A2:I112,9,FALSE)="Thunder",Backdoors!BD35,IF(VLOOKUP(tbMoveset!A6,tbMoveset!A2:I112,9,FALSE)="Ice",Backdoors!BE35,IF(VLOOKUP(tbMoveset!A6,tbMoveset!A2:I112,9,FALSE)="Dragon",Backdoors!BF35,Backdoors!BG35)))))/100,Backdoors!BG35/100),"")</f>
        <v>0</v>
      </c>
      <c r="HT6" s="49">
        <f>IFERROR(IF(VLOOKUP(A6,tbMoveset!A2:J112,10,FALSE)=TRUE,IF((Backdoors!AI12+IF(HR6&gt;=0.45,VLOOKUP(Calculator!E23,tbSkills!DH3:DI6,2,FALSE)+IF(AND(Calculator!B8=TRUE,Backdoors!BI35=TRUE),VLOOKUP(Calculator!E23,tbSkills!DH3:DJ6,3,FALSE),0),0))&gt;=0,1+(Backdoors!AL2*(IF((Backdoors!AI12+IF(HR6&gt;=0.45,VLOOKUP(Calculator!E23,tbSkills!DH3:DI6,2,FALSE)+IF(AND(Calculator!B8=TRUE,Backdoors!BI35=TRUE),VLOOKUP(Calculator!E23,tbSkills!DH3:DJ6,3,FALSE),0),0))&gt;=100,100,(Backdoors!AI12+IF(HR6&gt;=0.45,VLOOKUP(Calculator!E23,tbSkills!DH3:DI6,2,FALSE)+IF(AND(Calculator!B8=TRUE,Backdoors!BI35=TRUE),VLOOKUP(Calculator!E23,tbSkills!DH3:DJ6,3,FALSE),0),0)))/100)),(1-(0.25*((-Backdoors!AI12-IF(HR6&gt;=0.45,VLOOKUP(Calculator!E23,tbSkills!DH3:DI6,2,FALSE)+IF(AND(Calculator!B8=TRUE,Backdoors!BI35=TRUE),VLOOKUP(Calculator!E23,tbSkills!DH3:DJ6,3,FALSE),0),0))/100)))),1),"")</f>
        <v>1</v>
      </c>
      <c r="HU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R6)*HT6)*(VLOOKUP(A6,tbMoveset!A2:C112,3,FALSE)/100)*IF(VLOOKUP(A6,tbMoveset!A2:B112,2,FALSE)="Projectile",Backdoors!N10,Backdoors!N9),0),"")</f>
        <v/>
      </c>
      <c r="HV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R6&gt;=0.45,VLOOKUP(Calculator!E23,tbSkills!DH3:DI6,2,FALSE)+IF(AND(Calculator!B8=TRUE,Backdoors!BI35=TRUE),VLOOKUP(Calculator!E23,tbSkills!DH3:DJ6,3,FALSE),0),0))&gt;=100,100,(Backdoors!AI12+IF(HR6&gt;=0.45,VLOOKUP(Calculator!E23,tbSkills!DH3:DI6,2,FALSE)+IF(AND(Calculator!B8=TRUE,Backdoors!BI35=TRUE),VLOOKUP(Calculator!E23,tbSkills!DH3:DJ6,3,FALSE),0),0)))/100)),1))*IF(VLOOKUP(A6,tbMoveset!A2:K112,11,FALSE)=TRUE,Backdoors!AC5,1))*HS6,0),"")</f>
        <v>0</v>
      </c>
      <c r="HW6" s="49">
        <f>VLOOKUP(A6,tbMoveset!A2:G112,7,FALSE)*IFERROR(IF(Backdoors!AI12&gt;=0,1+(IF(Calculator!E40&gt;0,VLOOKUP(Calculator!E40,tbSkills!AI3:AJ5,2,FALSE),Backdoors!AL4)*(IF((Backdoors!AI12+IF(HR6&gt;=0.45,VLOOKUP(Calculator!E23,tbSkills!DH3:DI6,2,FALSE)+IF(AND(Calculator!B8=TRUE,Backdoors!BI35=TRUE),VLOOKUP(Calculator!E23,tbSkills!DH3:DJ6,3,FALSE),0),0))&gt;=100,100,(Backdoors!AI12+IF(HR6&gt;=0.45,VLOOKUP(Calculator!E23,tbSkills!DH3:DI6,2,FALSE)+IF(AND(Calculator!B8=TRUE,Backdoors!BI35=TRUE),VLOOKUP(Calculator!E23,tbSkills!DH3:DJ6,3,FALSE),0),0)))/100)),1),1)</f>
        <v>0.4</v>
      </c>
      <c r="HX6" s="87">
        <f t="shared" si="25"/>
        <v>0</v>
      </c>
      <c r="HY6" s="86" t="str">
        <f>IFERROR(IF(VLOOKUP(A6,tbMoveset!A2:B112,2,FALSE)="Sever",Backdoors!AY36/100,IF(VLOOKUP(A6,tbMoveset!A2:B112,2,FALSE)="Blunt",Backdoors!AZ36/100,Backdoors!BA36/100)),"")</f>
        <v/>
      </c>
      <c r="HZ6" s="49">
        <f>IFERROR(IF(VLOOKUP(tbMoveset!A6,tbMoveset!A2:H112,8,FALSE)="Other",IF(VLOOKUP(tbMoveset!A6,tbMoveset!A2:I112,9,FALSE)="Fire",Backdoors!BB36,IF(VLOOKUP(tbMoveset!A6,tbMoveset!A2:I112,9,FALSE)="Water",Backdoors!BC36,IF(VLOOKUP(tbMoveset!A6,tbMoveset!A2:I112,9,FALSE)="Thunder",Backdoors!BD36,IF(VLOOKUP(tbMoveset!A6,tbMoveset!A2:I112,9,FALSE)="Ice",Backdoors!BE36,IF(VLOOKUP(tbMoveset!A6,tbMoveset!A2:I112,9,FALSE)="Dragon",Backdoors!BF36,Backdoors!BG36)))))/100,Backdoors!BG36/100),"")</f>
        <v>0</v>
      </c>
      <c r="IA6" s="49">
        <f>IFERROR(IF(VLOOKUP(A6,tbMoveset!A2:J112,10,FALSE)=TRUE,IF((Backdoors!AI12+IF(HY6&gt;=0.45,VLOOKUP(Calculator!E23,tbSkills!DH3:DI6,2,FALSE)+IF(AND(Calculator!B8=TRUE,Backdoors!BI36=TRUE),VLOOKUP(Calculator!E23,tbSkills!DH3:DJ6,3,FALSE),0),0))&gt;=0,1+(Backdoors!AL2*(IF((Backdoors!AI12+IF(HY6&gt;=0.45,VLOOKUP(Calculator!E23,tbSkills!DH3:DI6,2,FALSE)+IF(AND(Calculator!B8=TRUE,Backdoors!BI36=TRUE),VLOOKUP(Calculator!E23,tbSkills!DH3:DJ6,3,FALSE),0),0))&gt;=100,100,(Backdoors!AI12+IF(HY6&gt;=0.45,VLOOKUP(Calculator!E23,tbSkills!DH3:DI6,2,FALSE)+IF(AND(Calculator!B8=TRUE,Backdoors!BI36=TRUE),VLOOKUP(Calculator!E23,tbSkills!DH3:DJ6,3,FALSE),0),0)))/100)),(1-(0.25*((-Backdoors!AI12-IF(HY6&gt;=0.45,VLOOKUP(Calculator!E23,tbSkills!DH3:DI6,2,FALSE)+IF(AND(Calculator!B8=TRUE,Backdoors!BI36=TRUE),VLOOKUP(Calculator!E23,tbSkills!DH3:DJ6,3,FALSE),0),0))/100)))),1),"")</f>
        <v>1</v>
      </c>
      <c r="IB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Y6)*IA6)*(VLOOKUP(A6,tbMoveset!A2:C112,3,FALSE)/100)*IF(VLOOKUP(A6,tbMoveset!A2:B112,2,FALSE)="Projectile",Backdoors!N10,Backdoors!N9),0),"")</f>
        <v/>
      </c>
      <c r="IC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Y6&gt;=0.45,VLOOKUP(Calculator!E23,tbSkills!DH3:DI6,2,FALSE)+IF(AND(Calculator!B8=TRUE,Backdoors!BI36=TRUE),VLOOKUP(Calculator!E23,tbSkills!DH3:DJ6,3,FALSE),0),0))&gt;=100,100,(Backdoors!AI12+IF(HY6&gt;=0.45,VLOOKUP(Calculator!E23,tbSkills!DH3:DI6,2,FALSE)+IF(AND(Calculator!B8=TRUE,Backdoors!BI36=TRUE),VLOOKUP(Calculator!E23,tbSkills!DH3:DJ6,3,FALSE),0),0)))/100)),1))*IF(VLOOKUP(A6,tbMoveset!A2:K112,11,FALSE)=TRUE,Backdoors!AC5,1))*HZ6,0),"")</f>
        <v>0</v>
      </c>
      <c r="ID6" s="49">
        <f>VLOOKUP(A6,tbMoveset!A2:G112,7,FALSE)*IFERROR(IF(Backdoors!AI12&gt;=0,1+(IF(Calculator!E40&gt;0,VLOOKUP(Calculator!E40,tbSkills!AI3:AJ5,2,FALSE),Backdoors!AL4)*(IF((Backdoors!AI12+IF(HY6&gt;=0.45,VLOOKUP(Calculator!E23,tbSkills!DH3:DI6,2,FALSE)+IF(AND(Calculator!B8=TRUE,Backdoors!BI36=TRUE),VLOOKUP(Calculator!E23,tbSkills!DH3:DJ6,3,FALSE),0),0))&gt;=100,100,(Backdoors!AI12+IF(HY6&gt;=0.45,VLOOKUP(Calculator!E23,tbSkills!DH3:DI6,2,FALSE)+IF(AND(Calculator!B8=TRUE,Backdoors!BI36=TRUE),VLOOKUP(Calculator!E23,tbSkills!DH3:DJ6,3,FALSE),0),0)))/100)),1),1)</f>
        <v>0.4</v>
      </c>
      <c r="IE6" s="87">
        <f t="shared" si="26"/>
        <v>0</v>
      </c>
      <c r="IF6" s="86" t="str">
        <f>IFERROR(IF(VLOOKUP(A6,tbMoveset!A2:B112,2,FALSE)="Sever",Backdoors!AY37/100,IF(VLOOKUP(A6,tbMoveset!A2:B112,2,FALSE)="Blunt",Backdoors!AZ37/100,Backdoors!BA37/100)),"")</f>
        <v/>
      </c>
      <c r="IG6" s="49">
        <f>IFERROR(IF(VLOOKUP(tbMoveset!A6,tbMoveset!A2:H112,8,FALSE)="Other",IF(VLOOKUP(tbMoveset!A6,tbMoveset!A2:I112,9,FALSE)="Fire",Backdoors!BB37,IF(VLOOKUP(tbMoveset!A6,tbMoveset!A2:I112,9,FALSE)="Water",Backdoors!BC37,IF(VLOOKUP(tbMoveset!A6,tbMoveset!A2:I112,9,FALSE)="Thunder",Backdoors!BD37,IF(VLOOKUP(tbMoveset!A6,tbMoveset!A2:I112,9,FALSE)="Ice",Backdoors!BE37,IF(VLOOKUP(tbMoveset!A6,tbMoveset!A2:I112,9,FALSE)="Dragon",Backdoors!BF37,Backdoors!BG37)))))/100,Backdoors!BG37/100),"")</f>
        <v>0</v>
      </c>
      <c r="IH6" s="49">
        <f>IFERROR(IF(VLOOKUP(A6,tbMoveset!A2:J112,10,FALSE)=TRUE,IF((Backdoors!AI12+IF(IF6&gt;=0.45,VLOOKUP(Calculator!E23,tbSkills!DH3:DI6,2,FALSE)+IF(AND(Calculator!B8=TRUE,Backdoors!BI37=TRUE),VLOOKUP(Calculator!E23,tbSkills!DH3:DJ6,3,FALSE),0),0))&gt;=0,1+(Backdoors!AL2*(IF((Backdoors!AI12+IF(IF6&gt;=0.45,VLOOKUP(Calculator!E23,tbSkills!DH3:DI6,2,FALSE)+IF(AND(Calculator!B8=TRUE,Backdoors!BI37=TRUE),VLOOKUP(Calculator!E23,tbSkills!DH3:DJ6,3,FALSE),0),0))&gt;=100,100,(Backdoors!AI12+IF(IF6&gt;=0.45,VLOOKUP(Calculator!E23,tbSkills!DH3:DI6,2,FALSE)+IF(AND(Calculator!B8=TRUE,Backdoors!BI37=TRUE),VLOOKUP(Calculator!E23,tbSkills!DH3:DJ6,3,FALSE),0),0)))/100)),(1-(0.25*((-Backdoors!AI12-IF(IF6&gt;=0.45,VLOOKUP(Calculator!E23,tbSkills!DH3:DI6,2,FALSE)+IF(AND(Calculator!B8=TRUE,Backdoors!BI37=TRUE),VLOOKUP(Calculator!E23,tbSkills!DH3:DJ6,3,FALSE),0),0))/100)))),1),"")</f>
        <v>1</v>
      </c>
      <c r="II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F6)*IH6)*(VLOOKUP(A6,tbMoveset!A2:C112,3,FALSE)/100)*IF(VLOOKUP(A6,tbMoveset!A2:B112,2,FALSE)="Projectile",Backdoors!N10,Backdoors!N9),0),"")</f>
        <v/>
      </c>
      <c r="IJ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IF6&gt;=0.45,VLOOKUP(Calculator!E23,tbSkills!DH3:DI6,2,FALSE)+IF(AND(Calculator!B8=TRUE,Backdoors!BI37=TRUE),VLOOKUP(Calculator!E23,tbSkills!DH3:DJ6,3,FALSE),0),0))&gt;=100,100,(Backdoors!AI12+IF(IF6&gt;=0.45,VLOOKUP(Calculator!E23,tbSkills!DH3:DI6,2,FALSE)+IF(AND(Calculator!B8=TRUE,Backdoors!BI37=TRUE),VLOOKUP(Calculator!E23,tbSkills!DH3:DJ6,3,FALSE),0),0)))/100)),1))*IF(VLOOKUP(A6,tbMoveset!A2:K112,11,FALSE)=TRUE,Backdoors!AC5,1))*IG6,0),"")</f>
        <v>0</v>
      </c>
      <c r="IK6" s="49">
        <f>VLOOKUP(A6,tbMoveset!A2:G112,7,FALSE)*IFERROR(IF(Backdoors!AI12&gt;=0,1+(IF(Calculator!E40&gt;0,VLOOKUP(Calculator!E40,tbSkills!AI3:AJ5,2,FALSE),Backdoors!AL4)*(IF((Backdoors!AI12+IF(IF6&gt;=0.45,VLOOKUP(Calculator!E23,tbSkills!DH3:DI6,2,FALSE)+IF(AND(Calculator!B8=TRUE,Backdoors!BI37=TRUE),VLOOKUP(Calculator!E23,tbSkills!DH3:DJ6,3,FALSE),0),0))&gt;=100,100,(Backdoors!AI12+IF(IF6&gt;=0.45,VLOOKUP(Calculator!E23,tbSkills!DH3:DI6,2,FALSE)+IF(AND(Calculator!B8=TRUE,Backdoors!BI37=TRUE),VLOOKUP(Calculator!E23,tbSkills!DH3:DJ6,3,FALSE),0),0)))/100)),1),1)</f>
        <v>0.4</v>
      </c>
      <c r="IL6" s="87">
        <f t="shared" si="27"/>
        <v>0</v>
      </c>
      <c r="IM6" s="86" t="str">
        <f>IFERROR(IF(VLOOKUP(A6,tbMoveset!A2:B112,2,FALSE)="Sever",Backdoors!AY38/100,IF(VLOOKUP(A6,tbMoveset!A2:B112,2,FALSE)="Blunt",Backdoors!AZ38/100,Backdoors!BA38/100)),"")</f>
        <v/>
      </c>
      <c r="IN6" s="49">
        <f>IFERROR(IF(VLOOKUP(tbMoveset!A6,tbMoveset!A2:H112,8,FALSE)="Other",IF(VLOOKUP(tbMoveset!A6,tbMoveset!A2:I112,9,FALSE)="Fire",Backdoors!BB38,IF(VLOOKUP(tbMoveset!A6,tbMoveset!A2:I112,9,FALSE)="Water",Backdoors!BC38,IF(VLOOKUP(tbMoveset!A6,tbMoveset!A2:I112,9,FALSE)="Thunder",Backdoors!BD38,IF(VLOOKUP(tbMoveset!A6,tbMoveset!A2:I112,9,FALSE)="Ice",Backdoors!BE38,IF(VLOOKUP(tbMoveset!A6,tbMoveset!A2:I112,9,FALSE)="Dragon",Backdoors!BF38,Backdoors!BG38)))))/100,Backdoors!BG38/100),"")</f>
        <v>0</v>
      </c>
      <c r="IO6" s="49">
        <f>IFERROR(IF(VLOOKUP(A6,tbMoveset!A2:J112,10,FALSE)=TRUE,IF((Backdoors!AI12+IF(IM6&gt;=0.45,VLOOKUP(Calculator!E23,tbSkills!DH3:DI6,2,FALSE)+IF(AND(Calculator!B8=TRUE,Backdoors!BI38=TRUE),VLOOKUP(Calculator!E23,tbSkills!DH3:DJ6,3,FALSE),0),0))&gt;=0,1+(Backdoors!AL2*(IF((Backdoors!AI12+IF(IM6&gt;=0.45,VLOOKUP(Calculator!E23,tbSkills!DH3:DI6,2,FALSE)+IF(AND(Calculator!B8=TRUE,Backdoors!BI38=TRUE),VLOOKUP(Calculator!E23,tbSkills!DH3:DJ6,3,FALSE),0),0))&gt;=100,100,(Backdoors!AI12+IF(IM6&gt;=0.45,VLOOKUP(Calculator!E23,tbSkills!DH3:DI6,2,FALSE)+IF(AND(Calculator!B8=TRUE,Backdoors!BI38=TRUE),VLOOKUP(Calculator!E23,tbSkills!DH3:DJ6,3,FALSE),0),0)))/100)),(1-(0.25*((-Backdoors!AI12-IF(IM6&gt;=0.45,VLOOKUP(Calculator!E23,tbSkills!DH3:DI6,2,FALSE)+IF(AND(Calculator!B8=TRUE,Backdoors!BI38=TRUE),VLOOKUP(Calculator!E23,tbSkills!DH3:DJ6,3,FALSE),0),0))/100)))),1),"")</f>
        <v>1</v>
      </c>
      <c r="IP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M6)*IO6)*(VLOOKUP(A6,tbMoveset!A2:C112,3,FALSE)/100)*IF(VLOOKUP(A6,tbMoveset!A2:B112,2,FALSE)="Projectile",Backdoors!N10,Backdoors!N9),0),"")</f>
        <v/>
      </c>
      <c r="IQ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IM6&gt;=0.45,VLOOKUP(Calculator!E23,tbSkills!DH3:DI6,2,FALSE)+IF(AND(Calculator!B8=TRUE,Backdoors!BI38=TRUE),VLOOKUP(Calculator!E23,tbSkills!DH3:DJ6,3,FALSE),0),0))&gt;=100,100,(Backdoors!AI12+IF(IM6&gt;=0.45,VLOOKUP(Calculator!E23,tbSkills!DH3:DI6,2,FALSE)+IF(AND(Calculator!B8=TRUE,Backdoors!BI38=TRUE),VLOOKUP(Calculator!E23,tbSkills!DH3:DJ6,3,FALSE),0),0)))/100)),1))*IF(VLOOKUP(A6,tbMoveset!A2:K112,11,FALSE)=TRUE,Backdoors!AC5,1))*IN6,0),"")</f>
        <v>0</v>
      </c>
      <c r="IR6" s="49">
        <f>VLOOKUP(A6,tbMoveset!A2:G112,7,FALSE)*IFERROR(IF(Backdoors!AI12&gt;=0,1+(IF(Calculator!E40&gt;0,VLOOKUP(Calculator!E40,tbSkills!AI3:AJ5,2,FALSE),Backdoors!AL4)*(IF((Backdoors!AI12+IF(IM6&gt;=0.45,VLOOKUP(Calculator!E23,tbSkills!DH3:DI6,2,FALSE)+IF(AND(Calculator!B8=TRUE,Backdoors!BI38=TRUE),VLOOKUP(Calculator!E23,tbSkills!DH3:DJ6,3,FALSE),0),0))&gt;=100,100,(Backdoors!AI12+IF(IM6&gt;=0.45,VLOOKUP(Calculator!E23,tbSkills!DH3:DI6,2,FALSE)+IF(AND(Calculator!B8=TRUE,Backdoors!BI38=TRUE),VLOOKUP(Calculator!E23,tbSkills!DH3:DJ6,3,FALSE),0),0)))/100)),1),1)</f>
        <v>0.4</v>
      </c>
      <c r="IS6" s="87">
        <f t="shared" si="42"/>
        <v>0</v>
      </c>
      <c r="IT6" s="86" t="str">
        <f>IFERROR(IF(VLOOKUP(A6,tbMoveset!A2:B112,2,FALSE)="Sever",Backdoors!AY39/100,IF(VLOOKUP(A6,tbMoveset!A2:B112,2,FALSE)="Blunt",Backdoors!AZ39/100,Backdoors!BA39/100)),"")</f>
        <v/>
      </c>
      <c r="IU6" s="49">
        <f>IFERROR(IF(VLOOKUP(tbMoveset!A6,tbMoveset!A2:H112,8,FALSE)="Other",IF(VLOOKUP(tbMoveset!A6,tbMoveset!A2:I112,9,FALSE)="Fire",Backdoors!BB39,IF(VLOOKUP(tbMoveset!A6,tbMoveset!A2:I112,9,FALSE)="Water",Backdoors!BC39,IF(VLOOKUP(tbMoveset!A6,tbMoveset!A2:I112,9,FALSE)="Thunder",Backdoors!BD39,IF(VLOOKUP(tbMoveset!A6,tbMoveset!A2:I112,9,FALSE)="Ice",Backdoors!BE39,IF(VLOOKUP(tbMoveset!A6,tbMoveset!A2:I112,9,FALSE)="Dragon",Backdoors!BF39,Backdoors!BG39)))))/100,Backdoors!BG39/100),"")</f>
        <v>0</v>
      </c>
      <c r="IV6" s="49">
        <f>IFERROR(IF(VLOOKUP(A6,tbMoveset!A2:J112,10,FALSE)=TRUE,IF((Backdoors!AI12+IF(IT6&gt;=0.45,VLOOKUP(Calculator!E23,tbSkills!DH3:DI6,2,FALSE)+IF(AND(Calculator!B8=TRUE,Backdoors!BI39=TRUE),VLOOKUP(Calculator!E23,tbSkills!DH3:DJ6,3,FALSE),0),0))&gt;=0,1+(Backdoors!AL2*(IF((Backdoors!AI12+IF(IT6&gt;=0.45,VLOOKUP(Calculator!E23,tbSkills!DH3:DI6,2,FALSE)+IF(AND(Calculator!B8=TRUE,Backdoors!BI39=TRUE),VLOOKUP(Calculator!E23,tbSkills!DH3:DJ6,3,FALSE),0),0))&gt;=100,100,(Backdoors!AI12+IF(IT6&gt;=0.45,VLOOKUP(Calculator!E23,tbSkills!DH3:DI6,2,FALSE)+IF(AND(Calculator!B8=TRUE,Backdoors!BI39=TRUE),VLOOKUP(Calculator!E23,tbSkills!DH3:DJ6,3,FALSE),0),0)))/100)),(1-(0.25*((-Backdoors!AI12-IF(IT6&gt;=0.45,VLOOKUP(Calculator!E23,tbSkills!DH3:DI6,2,FALSE)+IF(AND(Calculator!B8=TRUE,Backdoors!BI39=TRUE),VLOOKUP(Calculator!E23,tbSkills!DH3:DJ6,3,FALSE),0),0))/100)))),1),"")</f>
        <v>1</v>
      </c>
      <c r="IW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T6)*IV6)*(VLOOKUP(A6,tbMoveset!A2:C112,3,FALSE)/100)*IF(VLOOKUP(A6,tbMoveset!A2:B112,2,FALSE)="Projectile",Backdoors!N10,Backdoors!N9),0),"")</f>
        <v/>
      </c>
      <c r="IX6" s="49">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40&gt;0,VLOOKUP(Calculator!E40,tbSkills!AC3:AD5,2,FALSE),Backdoors!AL3)*(IF((Backdoors!AI12+IF(IT6&gt;=0.45,VLOOKUP(Calculator!E23,tbSkills!DH3:DI6,2,FALSE)+IF(AND(Calculator!B8=TRUE,Backdoors!BI39=TRUE),VLOOKUP(Calculator!E23,tbSkills!DH3:DJ6,3,FALSE),0),0))&gt;=100,100,(Backdoors!AI12+IF(IT6&gt;=0.45,VLOOKUP(Calculator!E23,tbSkills!DH3:DI6,2,FALSE)+IF(AND(Calculator!B8=TRUE,Backdoors!BI39=TRUE),VLOOKUP(Calculator!E23,tbSkills!DH3:DJ6,3,FALSE),0),0)))/100)),1))*IF(VLOOKUP(A6,tbMoveset!A2:K112,11,FALSE)=TRUE,Backdoors!AC5,1))*IU6,0),"")</f>
        <v>0</v>
      </c>
      <c r="IY6" s="49">
        <f>VLOOKUP(A6,tbMoveset!A2:G112,7,FALSE)*IFERROR(IF(Backdoors!AI12&gt;=0,1+(IF(Calculator!E40&gt;0,VLOOKUP(Calculator!E40,tbSkills!AI3:AJ5,2,FALSE),Backdoors!AL4)*(IF((Backdoors!AI12+IF(IT6&gt;=0.45,VLOOKUP(Calculator!E23,tbSkills!DH3:DI6,2,FALSE)+IF(AND(Calculator!B8=TRUE,Backdoors!BI39=TRUE),VLOOKUP(Calculator!E23,tbSkills!DH3:DJ6,3,FALSE),0),0))&gt;=100,100,(Backdoors!AI12+IF(IT6&gt;=0.45,VLOOKUP(Calculator!E23,tbSkills!DH3:DI6,2,FALSE)+IF(AND(Calculator!B8=TRUE,Backdoors!BI39=TRUE),VLOOKUP(Calculator!E23,tbSkills!DH3:DJ6,3,FALSE),0),0)))/100)),1),1)</f>
        <v>0.4</v>
      </c>
      <c r="IZ6" s="87">
        <f t="shared" si="28"/>
        <v>0</v>
      </c>
      <c r="JA6" s="86" t="str">
        <f>IFERROR(IF(VLOOKUP(A6,tbMoveset!A2:B112,2,FALSE)="Sever",Backdoors!AY40/100,IF(VLOOKUP(A6,tbMoveset!A2:B112,2,FALSE)="Blunt",Backdoors!AZ40/100,Backdoors!BA40/100)),"")</f>
        <v/>
      </c>
      <c r="JB6" s="49">
        <f>IFERROR(IF(VLOOKUP(tbMoveset!A6,tbMoveset!A2:H112,8,FALSE)="Other",IF(VLOOKUP(tbMoveset!A6,tbMoveset!A2:I112,9,FALSE)="Fire",Backdoors!BB40,IF(VLOOKUP(tbMoveset!A6,tbMoveset!A2:I112,9,FALSE)="Water",Backdoors!BC40,IF(VLOOKUP(tbMoveset!A6,tbMoveset!A2:I112,9,FALSE)="Thunder",Backdoors!BD40,IF(VLOOKUP(tbMoveset!A6,tbMoveset!A2:I112,9,FALSE)="Ice",Backdoors!BE40,IF(VLOOKUP(tbMoveset!A6,tbMoveset!A2:I112,9,FALSE)="Dragon",Backdoors!BF40,Backdoors!BG40)))))/100,Backdoors!BG40/100),"")</f>
        <v>0</v>
      </c>
      <c r="JC6" s="49">
        <f>IFERROR(IF(VLOOKUP(A6,tbMoveset!A2:J112,10,FALSE)=TRUE,IF((Backdoors!AI12+IF(JA6&gt;=0.45,VLOOKUP(Calculator!E23,tbSkills!DH3:DI6,2,FALSE)+IF(AND(Calculator!B8=TRUE,Backdoors!BI40=TRUE),VLOOKUP(Calculator!E23,tbSkills!DH3:DJ6,3,FALSE),0),0))&gt;=0,1+(Backdoors!AL2*(IF((Backdoors!AI12+IF(JA6&gt;=0.45,VLOOKUP(Calculator!E23,tbSkills!DH3:DI6,2,FALSE)+IF(AND(Calculator!B8=TRUE,Backdoors!BI40=TRUE),VLOOKUP(Calculator!E23,tbSkills!DH3:DJ6,3,FALSE),0),0))&gt;=100,100,(Backdoors!AI12+IF(JA6&gt;=0.45,VLOOKUP(Calculator!E23,tbSkills!DH3:DI6,2,FALSE)+IF(AND(Calculator!B8=TRUE,Backdoors!BI40=TRUE),VLOOKUP(Calculator!E23,tbSkills!DH3:DJ6,3,FALSE),0),0)))/100)),(1-(0.25*((-Backdoors!AI12-IF(JA6&gt;=0.45,VLOOKUP(Calculator!E23,tbSkills!DH3:DI6,2,FALSE)+IF(AND(Calculator!B8=TRUE,Backdoors!BI40=TRUE),VLOOKUP(Calculator!E23,tbSkills!DH3:DJ6,3,FALSE),0),0))/100)))),1),"")</f>
        <v>1</v>
      </c>
      <c r="JD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A6)*JC6)*(VLOOKUP(A6,tbMoveset!A2:C112,3,FALSE)/100)*IF(VLOOKUP(A6,tbMoveset!A2:B112,2,FALSE)="Projectile",Backdoors!N10,Backdoors!N9),0),"")</f>
        <v/>
      </c>
      <c r="JE6" s="49">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42&gt;0,VLOOKUP(Calculator!E42,tbSkills!AC3:AD5,2,FALSE),Backdoors!AL3)*(IF((Backdoors!AI12+IF(JA6&gt;=0.45,VLOOKUP(Calculator!E23,tbSkills!DH3:DI6,2,FALSE)+IF(AND(Calculator!B8=TRUE,Backdoors!BI40=TRUE),VLOOKUP(Calculator!E23,tbSkills!DH3:DJ6,3,FALSE),0),0))&gt;=100,100,(Backdoors!AI12+IF(JA6&gt;=0.45,VLOOKUP(Calculator!E23,tbSkills!DH3:DI6,2,FALSE)+IF(AND(Calculator!B8=TRUE,Backdoors!BI40=TRUE),VLOOKUP(Calculator!E23,tbSkills!DH3:DJ6,3,FALSE),0),0)))/100)),1))*IF(VLOOKUP(A6,tbMoveset!A2:K112,11,FALSE)=TRUE,Backdoors!AC5,1))*JB6,0),"")</f>
        <v>0</v>
      </c>
      <c r="JF6" s="49">
        <f>VLOOKUP(A6,tbMoveset!A2:G112,7,FALSE)*IFERROR(IF(Backdoors!AI12&gt;=0,1+(IF(Calculator!E40&gt;0,VLOOKUP(Calculator!E40,tbSkills!AI3:AJ5,2,FALSE),Backdoors!AL4)*(IF((Backdoors!AI12+IF(JA6&gt;=0.45,VLOOKUP(Calculator!E23,tbSkills!DH3:DI6,2,FALSE)+IF(AND(Calculator!B8=TRUE,Backdoors!BI40=TRUE),VLOOKUP(Calculator!E23,tbSkills!DH3:DJ6,3,FALSE),0),0))&gt;=100,100,(Backdoors!AI12+IF(JA6&gt;=0.45,VLOOKUP(Calculator!E23,tbSkills!DH3:DI6,2,FALSE)+IF(AND(Calculator!B8=TRUE,Backdoors!BI40=TRUE),VLOOKUP(Calculator!E23,tbSkills!DH3:DJ6,3,FALSE),0),0)))/100)),1),1)</f>
        <v>0.4</v>
      </c>
      <c r="JG6" s="87">
        <f t="shared" si="29"/>
        <v>0</v>
      </c>
      <c r="JH6" s="86" t="str">
        <f>IFERROR(IF(VLOOKUP(A6,tbMoveset!A2:B112,2,FALSE)="Sever",Backdoors!AY41/100,IF(VLOOKUP(A6,tbMoveset!A2:B112,2,FALSE)="Blunt",Backdoors!AZ41/100,Backdoors!BA41/100)),"")</f>
        <v/>
      </c>
      <c r="JI6" s="49">
        <f>IFERROR(IF(VLOOKUP(tbMoveset!A6,tbMoveset!A2:H112,8,FALSE)="Other",IF(VLOOKUP(tbMoveset!A6,tbMoveset!A2:I112,9,FALSE)="Fire",Backdoors!BB41,IF(VLOOKUP(tbMoveset!A6,tbMoveset!A2:I112,9,FALSE)="Water",Backdoors!BC41,IF(VLOOKUP(tbMoveset!A6,tbMoveset!A2:I112,9,FALSE)="Thunder",Backdoors!BD41,IF(VLOOKUP(tbMoveset!A6,tbMoveset!A2:I112,9,FALSE)="Ice",Backdoors!BE41,IF(VLOOKUP(tbMoveset!A6,tbMoveset!A2:I112,9,FALSE)="Dragon",Backdoors!BF41,Backdoors!BG41)))))/100,Backdoors!BG41/100),"")</f>
        <v>0</v>
      </c>
      <c r="JJ6" s="49">
        <f>IFERROR(IF(VLOOKUP(A6,tbMoveset!A2:J112,10,FALSE)=TRUE,IF((Backdoors!AI12+IF(JH6&gt;=0.45,VLOOKUP(Calculator!E23,tbSkills!DH3:DI6,2,FALSE)+IF(AND(Calculator!B8=TRUE,Backdoors!BI41=TRUE),VLOOKUP(Calculator!E23,tbSkills!DH3:DJ6,3,FALSE),0),0))&gt;=0,1+(Backdoors!AL2*(IF((Backdoors!AI12+IF(JH6&gt;=0.45,VLOOKUP(Calculator!E23,tbSkills!DH3:DI6,2,FALSE)+IF(AND(Calculator!B8=TRUE,Backdoors!BI41=TRUE),VLOOKUP(Calculator!E23,tbSkills!DH3:DJ6,3,FALSE),0),0))&gt;=100,100,(Backdoors!AI12+IF(JH6&gt;=0.45,VLOOKUP(Calculator!E23,tbSkills!DH3:DI6,2,FALSE)+IF(AND(Calculator!B8=TRUE,Backdoors!BI41=TRUE),VLOOKUP(Calculator!E23,tbSkills!DH3:DJ6,3,FALSE),0),0)))/100)),(1-(0.25*((-Backdoors!AI12-IF(JH6&gt;=0.45,VLOOKUP(Calculator!E23,tbSkills!DH3:DI6,2,FALSE)+IF(AND(Calculator!B8=TRUE,Backdoors!BI41=TRUE),VLOOKUP(Calculator!E23,tbSkills!DH3:DJ6,3,FALSE),0),0))/100)))),1),"")</f>
        <v>1</v>
      </c>
      <c r="JK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H6)*JJ6)*(VLOOKUP(A6,tbMoveset!A2:C112,3,FALSE)/100)*IF(VLOOKUP(A6,tbMoveset!A2:B112,2,FALSE)="Projectile",Backdoors!N10,Backdoors!N9),0),"")</f>
        <v/>
      </c>
      <c r="JL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43&gt;0,VLOOKUP(Calculator!E43,tbSkills!AC3:AD5,2,FALSE),Backdoors!AL3)*(IF((Backdoors!AI12+IF(JH6&gt;=0.45,VLOOKUP(Calculator!E23,tbSkills!DH3:DI6,2,FALSE)+IF(AND(Calculator!B8=TRUE,Backdoors!BI41=TRUE),VLOOKUP(Calculator!E23,tbSkills!DH3:DJ6,3,FALSE),0),0))&gt;=100,100,(Backdoors!AI12+IF(JH6&gt;=0.45,VLOOKUP(Calculator!E23,tbSkills!DH3:DI6,2,FALSE)+IF(AND(Calculator!B8=TRUE,Backdoors!BI41=TRUE),VLOOKUP(Calculator!E23,tbSkills!DH3:DJ6,3,FALSE),0),0)))/100)),1))*IF(VLOOKUP(A6,tbMoveset!A2:K112,11,FALSE)=TRUE,Backdoors!AC5,1))*JI6,0),"")</f>
        <v/>
      </c>
      <c r="JM6" s="49">
        <f>VLOOKUP(A6,tbMoveset!A2:G112,7,FALSE)*IFERROR(IF(Backdoors!AI12&gt;=0,1+(IF(Calculator!E40&gt;0,VLOOKUP(Calculator!E40,tbSkills!AI3:AJ5,2,FALSE),Backdoors!AL4)*(IF((Backdoors!AI12+IF(JH6&gt;=0.45,VLOOKUP(Calculator!E23,tbSkills!DH3:DI6,2,FALSE)+IF(AND(Calculator!B8=TRUE,Backdoors!BI41=TRUE),VLOOKUP(Calculator!E23,tbSkills!DH3:DJ6,3,FALSE),0),0))&gt;=100,100,(Backdoors!AI12+IF(JH6&gt;=0.45,VLOOKUP(Calculator!E23,tbSkills!DH3:DI6,2,FALSE)+IF(AND(Calculator!B8=TRUE,Backdoors!BI41=TRUE),VLOOKUP(Calculator!E23,tbSkills!DH3:DJ6,3,FALSE),0),0)))/100)),1),1)</f>
        <v>0.4</v>
      </c>
      <c r="JN6" s="87">
        <f t="shared" si="30"/>
        <v>0</v>
      </c>
      <c r="JO6" s="86" t="str">
        <f>IFERROR(IF(VLOOKUP(A6,tbMoveset!A2:B112,2,FALSE)="Sever",Backdoors!AY42/100,IF(VLOOKUP(A6,tbMoveset!A2:B112,2,FALSE)="Blunt",Backdoors!AZ42/100,Backdoors!BA42/100)),"")</f>
        <v/>
      </c>
      <c r="JP6" s="49">
        <f>IFERROR(IF(VLOOKUP(tbMoveset!A6,tbMoveset!A2:H112,8,FALSE)="Other",IF(VLOOKUP(tbMoveset!A6,tbMoveset!A2:I112,9,FALSE)="Fire",Backdoors!BB42,IF(VLOOKUP(tbMoveset!A6,tbMoveset!A2:I112,9,FALSE)="Water",Backdoors!BC42,IF(VLOOKUP(tbMoveset!A6,tbMoveset!A2:I112,9,FALSE)="Thunder",Backdoors!BD42,IF(VLOOKUP(tbMoveset!A6,tbMoveset!A2:I112,9,FALSE)="Ice",Backdoors!BE42,IF(VLOOKUP(tbMoveset!A6,tbMoveset!A2:I112,9,FALSE)="Dragon",Backdoors!BF42,Backdoors!BG42)))))/100,Backdoors!BG42/100),"")</f>
        <v>0</v>
      </c>
      <c r="JQ6" s="49">
        <f>IFERROR(IF(VLOOKUP(A6,tbMoveset!A2:J112,10,FALSE)=TRUE,IF((Backdoors!AI12+IF(JO6&gt;=0.45,VLOOKUP(Calculator!E23,tbSkills!DH3:DI6,2,FALSE)+IF(AND(Calculator!B8=TRUE,Backdoors!BI42=TRUE),VLOOKUP(Calculator!E23,tbSkills!DH3:DJ6,3,FALSE),0),0))&gt;=0,1+(Backdoors!AL2*(IF((Backdoors!AI12+IF(JO6&gt;=0.45,VLOOKUP(Calculator!E23,tbSkills!DH3:DI6,2,FALSE)+IF(AND(Calculator!B8=TRUE,Backdoors!BI42=TRUE),VLOOKUP(Calculator!E23,tbSkills!DH3:DJ6,3,FALSE),0),0))&gt;=100,100,(Backdoors!AI12+IF(JO6&gt;=0.45,VLOOKUP(Calculator!E23,tbSkills!DH3:DI6,2,FALSE)+IF(AND(Calculator!B8=TRUE,Backdoors!BI42=TRUE),VLOOKUP(Calculator!E23,tbSkills!DH3:DJ6,3,FALSE),0),0)))/100)),(1-(0.25*((-Backdoors!AI12-IF(JO6&gt;=0.45,VLOOKUP(Calculator!E23,tbSkills!DH3:DI6,2,FALSE)+IF(AND(Calculator!B8=TRUE,Backdoors!BI42=TRUE),VLOOKUP(Calculator!E23,tbSkills!DH3:DJ6,3,FALSE),0),0))/100)))),1),"")</f>
        <v>1</v>
      </c>
      <c r="JR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O6)*JQ6)*(VLOOKUP(A6,tbMoveset!A2:C112,3,FALSE)/100)*IF(VLOOKUP(A6,tbMoveset!A2:B112,2,FALSE)="Projectile",Backdoors!N10,Backdoors!N9),0),"")</f>
        <v/>
      </c>
      <c r="JS6" s="49">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45&gt;0,VLOOKUP(Calculator!E45,tbSkills!AC3:AD5,2,FALSE),Backdoors!AL3)*(IF((Backdoors!AI12+IF(JO6&gt;=0.45,VLOOKUP(Calculator!E23,tbSkills!DH3:DI6,2,FALSE)+IF(AND(Calculator!B8=TRUE,Backdoors!BI42=TRUE),VLOOKUP(Calculator!E23,tbSkills!DH3:DJ6,3,FALSE),0),0))&gt;=100,100,(Backdoors!AI12+IF(JO6&gt;=0.45,VLOOKUP(Calculator!E23,tbSkills!DH3:DI6,2,FALSE)+IF(AND(Calculator!B8=TRUE,Backdoors!BI42=TRUE),VLOOKUP(Calculator!E23,tbSkills!DH3:DJ6,3,FALSE),0),0)))/100)),1))*IF(VLOOKUP(A6,tbMoveset!A2:K112,11,FALSE)=TRUE,Backdoors!AC5,1))*JP6,0),"")</f>
        <v>0</v>
      </c>
      <c r="JT6" s="49">
        <f>VLOOKUP(A6,tbMoveset!A2:G112,7,FALSE)*IFERROR(IF(Backdoors!AI12&gt;=0,1+(IF(Calculator!E40&gt;0,VLOOKUP(Calculator!E40,tbSkills!AI3:AJ5,2,FALSE),Backdoors!AL4)*(IF((Backdoors!AI12+IF(JO6&gt;=0.45,VLOOKUP(Calculator!E23,tbSkills!DH3:DI6,2,FALSE)+IF(AND(Calculator!B8=TRUE,Backdoors!BI42=TRUE),VLOOKUP(Calculator!E23,tbSkills!DH3:DJ6,3,FALSE),0),0))&gt;=100,100,(Backdoors!AI12+IF(JO6&gt;=0.45,VLOOKUP(Calculator!E23,tbSkills!DH3:DI6,2,FALSE)+IF(AND(Calculator!B8=TRUE,Backdoors!BI42=TRUE),VLOOKUP(Calculator!E23,tbSkills!DH3:DJ6,3,FALSE),0),0)))/100)),1),1)</f>
        <v>0.4</v>
      </c>
      <c r="JU6" s="87">
        <f t="shared" si="31"/>
        <v>0</v>
      </c>
      <c r="JV6" s="86" t="str">
        <f>IFERROR(IF(VLOOKUP(A6,tbMoveset!A2:B112,2,FALSE)="Sever",Backdoors!AY43/100,IF(VLOOKUP(A6,tbMoveset!A2:B112,2,FALSE)="Blunt",Backdoors!AZ43/100,Backdoors!BA43/100)),"")</f>
        <v/>
      </c>
      <c r="JW6" s="49">
        <f>IFERROR(IF(VLOOKUP(tbMoveset!A6,tbMoveset!A2:H112,8,FALSE)="Other",IF(VLOOKUP(tbMoveset!A6,tbMoveset!A2:I112,9,FALSE)="Fire",Backdoors!BB43,IF(VLOOKUP(tbMoveset!A6,tbMoveset!A2:I112,9,FALSE)="Water",Backdoors!BC43,IF(VLOOKUP(tbMoveset!A6,tbMoveset!A2:I112,9,FALSE)="Thunder",Backdoors!BD43,IF(VLOOKUP(tbMoveset!A6,tbMoveset!A2:I112,9,FALSE)="Ice",Backdoors!BE43,IF(VLOOKUP(tbMoveset!A6,tbMoveset!A2:I112,9,FALSE)="Dragon",Backdoors!BF43,Backdoors!BG43)))))/100,Backdoors!BG43/100),"")</f>
        <v>0</v>
      </c>
      <c r="JX6" s="49">
        <f>IFERROR(IF(VLOOKUP(A6,tbMoveset!A2:J112,10,FALSE)=TRUE,IF((Backdoors!AI12+IF(JV6&gt;=0.45,VLOOKUP(Calculator!E23,tbSkills!DH3:DI6,2,FALSE)+IF(AND(Calculator!B8=TRUE,Backdoors!BI43=TRUE),VLOOKUP(Calculator!E23,tbSkills!DH3:DJ6,3,FALSE),0),0))&gt;=0,1+(Backdoors!AL2*(IF((Backdoors!AI12+IF(JV6&gt;=0.45,VLOOKUP(Calculator!E23,tbSkills!DH3:DI6,2,FALSE)+IF(AND(Calculator!B8=TRUE,Backdoors!BI43=TRUE),VLOOKUP(Calculator!E23,tbSkills!DH3:DJ6,3,FALSE),0),0))&gt;=100,100,(Backdoors!AI12+IF(JV6&gt;=0.45,VLOOKUP(Calculator!E23,tbSkills!DH3:DI6,2,FALSE)+IF(AND(Calculator!B8=TRUE,Backdoors!BI43=TRUE),VLOOKUP(Calculator!E23,tbSkills!DH3:DJ6,3,FALSE),0),0)))/100)),(1-(0.25*((-Backdoors!AI12-IF(JV6&gt;=0.45,VLOOKUP(Calculator!E23,tbSkills!DH3:DI6,2,FALSE)+IF(AND(Calculator!B8=TRUE,Backdoors!BI43=TRUE),VLOOKUP(Calculator!E23,tbSkills!DH3:DJ6,3,FALSE),0),0))/100)))),1),"")</f>
        <v>1</v>
      </c>
      <c r="JY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V6)*JX6)*(VLOOKUP(A6,tbMoveset!A2:C112,3,FALSE)/100)*IF(VLOOKUP(A6,tbMoveset!A2:B112,2,FALSE)="Projectile",Backdoors!N10,Backdoors!N9),0),"")</f>
        <v/>
      </c>
      <c r="JZ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46&gt;0,VLOOKUP(Calculator!E46,tbSkills!AC3:AD5,2,FALSE),Backdoors!AL3)*(IF((Backdoors!AI12+IF(JV6&gt;=0.45,VLOOKUP(Calculator!E23,tbSkills!DH3:DI6,2,FALSE)+IF(AND(Calculator!B8=TRUE,Backdoors!BI43=TRUE),VLOOKUP(Calculator!E23,tbSkills!DH3:DJ6,3,FALSE),0),0))&gt;=100,100,(Backdoors!AI12+IF(JV6&gt;=0.45,VLOOKUP(Calculator!E23,tbSkills!DH3:DI6,2,FALSE)+IF(AND(Calculator!B8=TRUE,Backdoors!BI43=TRUE),VLOOKUP(Calculator!E23,tbSkills!DH3:DJ6,3,FALSE),0),0)))/100)),1))*IF(VLOOKUP(A6,tbMoveset!A2:K112,11,FALSE)=TRUE,Backdoors!AC5,1))*JW6,0),"")</f>
        <v/>
      </c>
      <c r="KA6" s="49">
        <f>VLOOKUP(A6,tbMoveset!A2:G112,7,FALSE)*IFERROR(IF(Backdoors!AI12&gt;=0,1+(IF(Calculator!E40&gt;0,VLOOKUP(Calculator!E40,tbSkills!AI3:AJ5,2,FALSE),Backdoors!AL4)*(IF((Backdoors!AI12+IF(JV6&gt;=0.45,VLOOKUP(Calculator!E23,tbSkills!DH3:DI6,2,FALSE)+IF(AND(Calculator!B8=TRUE,Backdoors!BI43=TRUE),VLOOKUP(Calculator!E23,tbSkills!DH3:DJ6,3,FALSE),0),0))&gt;=100,100,(Backdoors!AI12+IF(JV6&gt;=0.45,VLOOKUP(Calculator!E23,tbSkills!DH3:DI6,2,FALSE)+IF(AND(Calculator!B8=TRUE,Backdoors!BI43=TRUE),VLOOKUP(Calculator!E23,tbSkills!DH3:DJ6,3,FALSE),0),0)))/100)),1),1)</f>
        <v>0.4</v>
      </c>
      <c r="KB6" s="87">
        <f t="shared" si="32"/>
        <v>0</v>
      </c>
      <c r="KC6" s="86" t="str">
        <f>IFERROR(IF(VLOOKUP(A6,tbMoveset!A2:B112,2,FALSE)="Sever",Backdoors!AY44/100,IF(VLOOKUP(A6,tbMoveset!A2:B112,2,FALSE)="Blunt",Backdoors!AZ44/100,Backdoors!BA44/100)),"")</f>
        <v/>
      </c>
      <c r="KD6" s="49">
        <f>IFERROR(IF(VLOOKUP(tbMoveset!A6,tbMoveset!A2:H112,8,FALSE)="Other",IF(VLOOKUP(tbMoveset!A6,tbMoveset!A2:I112,9,FALSE)="Fire",Backdoors!BB44,IF(VLOOKUP(tbMoveset!A6,tbMoveset!A2:I112,9,FALSE)="Water",Backdoors!BC44,IF(VLOOKUP(tbMoveset!A6,tbMoveset!A2:I112,9,FALSE)="Thunder",Backdoors!BD44,IF(VLOOKUP(tbMoveset!A6,tbMoveset!A2:I112,9,FALSE)="Ice",Backdoors!BE44,IF(VLOOKUP(tbMoveset!A6,tbMoveset!A2:I112,9,FALSE)="Dragon",Backdoors!BF44,Backdoors!BG44)))))/100,Backdoors!BG44/100),"")</f>
        <v>0</v>
      </c>
      <c r="KE6" s="49">
        <f>IFERROR(IF(VLOOKUP(A6,tbMoveset!A2:J112,10,FALSE)=TRUE,IF((Backdoors!AI12+IF(KC6&gt;=0.45,VLOOKUP(Calculator!E23,tbSkills!DH3:DI6,2,FALSE)+IF(AND(Calculator!B8=TRUE,Backdoors!BI44=TRUE),VLOOKUP(Calculator!E23,tbSkills!DH3:DJ6,3,FALSE),0),0))&gt;=0,1+(Backdoors!AL2*(IF((Backdoors!AI12+IF(KC6&gt;=0.45,VLOOKUP(Calculator!E23,tbSkills!DH3:DI6,2,FALSE)+IF(AND(Calculator!B8=TRUE,Backdoors!BI44=TRUE),VLOOKUP(Calculator!E23,tbSkills!DH3:DJ6,3,FALSE),0),0))&gt;=100,100,(Backdoors!AI12+IF(KC6&gt;=0.45,VLOOKUP(Calculator!E23,tbSkills!DH3:DI6,2,FALSE)+IF(AND(Calculator!B8=TRUE,Backdoors!BI44=TRUE),VLOOKUP(Calculator!E23,tbSkills!DH3:DJ6,3,FALSE),0),0)))/100)),(1-(0.25*((-Backdoors!AI12-IF(KC6&gt;=0.45,VLOOKUP(Calculator!E23,tbSkills!DH3:DI6,2,FALSE)+IF(AND(Calculator!B8=TRUE,Backdoors!BI44=TRUE),VLOOKUP(Calculator!E23,tbSkills!DH3:DJ6,3,FALSE),0),0))/100)))),1),"")</f>
        <v>1</v>
      </c>
      <c r="KF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KC6)*KE6)*(VLOOKUP(A6,tbMoveset!A2:C112,3,FALSE)/100)*IF(VLOOKUP(A6,tbMoveset!A2:B112,2,FALSE)="Projectile",Backdoors!N10,Backdoors!N9),0),"")</f>
        <v/>
      </c>
      <c r="KG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REF!&gt;0,VLOOKUP(Calculator!#REF!,tbSkills!AC3:AD5,2,FALSE),Backdoors!AL3)*(IF((Backdoors!AI12+IF(KC6&gt;=0.45,VLOOKUP(Calculator!E23,tbSkills!DH3:DI6,2,FALSE)+IF(AND(Calculator!B8=TRUE,Backdoors!BI44=TRUE),VLOOKUP(Calculator!E23,tbSkills!DH3:DJ6,3,FALSE),0),0))&gt;=100,100,(Backdoors!AI12+IF(KC6&gt;=0.45,VLOOKUP(Calculator!E23,tbSkills!DH3:DI6,2,FALSE)+IF(AND(Calculator!B8=TRUE,Backdoors!BI44=TRUE),VLOOKUP(Calculator!E23,tbSkills!DH3:DJ6,3,FALSE),0),0)))/100)),1))*IF(VLOOKUP(A6,tbMoveset!A2:K112,11,FALSE)=TRUE,Backdoors!AC5,1))*KD6,0),"")</f>
        <v/>
      </c>
      <c r="KH6" s="49">
        <f>VLOOKUP(A6,tbMoveset!A2:G112,7,FALSE)*IFERROR(IF(Backdoors!AI12&gt;=0,1+(IF(Calculator!E40&gt;0,VLOOKUP(Calculator!E40,tbSkills!AI3:AJ5,2,FALSE),Backdoors!AL4)*(IF((Backdoors!AI12+IF(KC6&gt;=0.45,VLOOKUP(Calculator!E23,tbSkills!DH3:DI6,2,FALSE)+IF(AND(Calculator!B8=TRUE,Backdoors!BI44=TRUE),VLOOKUP(Calculator!E23,tbSkills!DH3:DJ6,3,FALSE),0),0))&gt;=100,100,(Backdoors!AI12+IF(KC6&gt;=0.45,VLOOKUP(Calculator!E23,tbSkills!DH3:DI6,2,FALSE)+IF(AND(Calculator!B8=TRUE,Backdoors!BI44=TRUE),VLOOKUP(Calculator!E23,tbSkills!DH3:DJ6,3,FALSE),0),0)))/100)),1),1)</f>
        <v>0.4</v>
      </c>
      <c r="KI6" s="87">
        <f t="shared" si="33"/>
        <v>0</v>
      </c>
      <c r="KJ6" s="86" t="str">
        <f>IFERROR(IF(VLOOKUP(A6,tbMoveset!A2:B112,2,FALSE)="Sever",Backdoors!AY45/100,IF(VLOOKUP(A6,tbMoveset!A2:B112,2,FALSE)="Blunt",Backdoors!AZ45/100,Backdoors!BA45/100)),"")</f>
        <v/>
      </c>
      <c r="KK6" s="49">
        <f>IFERROR(IF(VLOOKUP(tbMoveset!A6,tbMoveset!A2:H112,8,FALSE)="Other",IF(VLOOKUP(tbMoveset!A6,tbMoveset!A2:I112,9,FALSE)="Fire",Backdoors!BB45,IF(VLOOKUP(tbMoveset!A6,tbMoveset!A2:I112,9,FALSE)="Water",Backdoors!BC45,IF(VLOOKUP(tbMoveset!A6,tbMoveset!A2:I112,9,FALSE)="Thunder",Backdoors!BD45,IF(VLOOKUP(tbMoveset!A6,tbMoveset!A2:I112,9,FALSE)="Ice",Backdoors!BE45,IF(VLOOKUP(tbMoveset!A6,tbMoveset!A2:I112,9,FALSE)="Dragon",Backdoors!BF45,Backdoors!BG45)))))/100,Backdoors!BG45/100),"")</f>
        <v>0</v>
      </c>
      <c r="KL6" s="49">
        <f>IFERROR(IF(VLOOKUP(A6,tbMoveset!A2:J112,10,FALSE)=TRUE,IF((Backdoors!AI12+IF(KJ6&gt;=0.45,VLOOKUP(Calculator!E23,tbSkills!DH3:DI6,2,FALSE)+IF(AND(Calculator!B8=TRUE,Backdoors!BI45=TRUE),VLOOKUP(Calculator!E23,tbSkills!DH3:DJ6,3,FALSE),0),0))&gt;=0,1+(Backdoors!AL2*(IF((Backdoors!AI12+IF(KJ6&gt;=0.45,VLOOKUP(Calculator!E23,tbSkills!DH3:DI6,2,FALSE)+IF(AND(Calculator!B8=TRUE,Backdoors!BI45=TRUE),VLOOKUP(Calculator!E23,tbSkills!DH3:DJ6,3,FALSE),0),0))&gt;=100,100,(Backdoors!AI12+IF(KJ6&gt;=0.45,VLOOKUP(Calculator!E23,tbSkills!DH3:DI6,2,FALSE)+IF(AND(Calculator!B8=TRUE,Backdoors!BI45=TRUE),VLOOKUP(Calculator!E23,tbSkills!DH3:DJ6,3,FALSE),0),0)))/100)),(1-(0.25*((-Backdoors!AI12-IF(KJ6&gt;=0.45,VLOOKUP(Calculator!E23,tbSkills!DH3:DI6,2,FALSE)+IF(AND(Calculator!B8=TRUE,Backdoors!BI45=TRUE),VLOOKUP(Calculator!E23,tbSkills!DH3:DJ6,3,FALSE),0),0))/100)))),1),"")</f>
        <v>1</v>
      </c>
      <c r="KM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KJ6)*KL6)*(VLOOKUP(A6,tbMoveset!A2:C112,3,FALSE)/100)*IF(VLOOKUP(A6,tbMoveset!A2:B112,2,FALSE)="Projectile",Backdoors!N10,Backdoors!N9),0),"")</f>
        <v/>
      </c>
      <c r="KN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REF!&gt;0,VLOOKUP(Calculator!#REF!,tbSkills!AC3:AD5,2,FALSE),Backdoors!AL3)*(IF((Backdoors!AI12+IF(KJ6&gt;=0.45,VLOOKUP(Calculator!E23,tbSkills!DH3:DI6,2,FALSE)+IF(AND(Calculator!B8=TRUE,Backdoors!BI45=TRUE),VLOOKUP(Calculator!E23,tbSkills!DH3:DJ6,3,FALSE),0),0))&gt;=100,100,(Backdoors!AI12+IF(KJ6&gt;=0.45,VLOOKUP(Calculator!E23,tbSkills!DH3:DI6,2,FALSE)+IF(AND(Calculator!B8=TRUE,Backdoors!BI45=TRUE),VLOOKUP(Calculator!E23,tbSkills!DH3:DJ6,3,FALSE),0),0)))/100)),1))*IF(VLOOKUP(A6,tbMoveset!A2:K112,11,FALSE)=TRUE,Backdoors!AC5,1))*KK6,0),"")</f>
        <v/>
      </c>
      <c r="KO6" s="49">
        <f>VLOOKUP(A6,tbMoveset!A2:G112,7,FALSE)*IFERROR(IF(Backdoors!AI12&gt;=0,1+(IF(Calculator!E40&gt;0,VLOOKUP(Calculator!E40,tbSkills!AI3:AJ5,2,FALSE),Backdoors!AL4)*(IF((Backdoors!AI12+IF(KJ6&gt;=0.45,VLOOKUP(Calculator!E23,tbSkills!DH3:DI6,2,FALSE)+IF(AND(Calculator!B8=TRUE,Backdoors!BI45=TRUE),VLOOKUP(Calculator!E23,tbSkills!DH3:DJ6,3,FALSE),0),0))&gt;=100,100,(Backdoors!AI12+IF(KJ6&gt;=0.45,VLOOKUP(Calculator!E23,tbSkills!DH3:DI6,2,FALSE)+IF(AND(Calculator!B8=TRUE,Backdoors!BI45=TRUE),VLOOKUP(Calculator!E23,tbSkills!DH3:DJ6,3,FALSE),0),0)))/100)),1),1)</f>
        <v>0.4</v>
      </c>
      <c r="KP6" s="87">
        <f t="shared" si="34"/>
        <v>0</v>
      </c>
      <c r="KQ6" s="86" t="str">
        <f>IFERROR(IF(VLOOKUP(A6,tbMoveset!A2:B112,2,FALSE)="Sever",Backdoors!AY46/100,IF(VLOOKUP(A6,tbMoveset!A2:B112,2,FALSE)="Blunt",Backdoors!AZ46/100,Backdoors!BA46/100)),"")</f>
        <v/>
      </c>
      <c r="KR6" s="49">
        <f>IFERROR(IF(VLOOKUP(tbMoveset!A6,tbMoveset!A2:H112,8,FALSE)="Other",IF(VLOOKUP(tbMoveset!A6,tbMoveset!A2:I112,9,FALSE)="Fire",Backdoors!BB46,IF(VLOOKUP(tbMoveset!A6,tbMoveset!A2:I112,9,FALSE)="Water",Backdoors!BC46,IF(VLOOKUP(tbMoveset!A6,tbMoveset!A2:I112,9,FALSE)="Thunder",Backdoors!BD46,IF(VLOOKUP(tbMoveset!A6,tbMoveset!A2:I112,9,FALSE)="Ice",Backdoors!BE46,IF(VLOOKUP(tbMoveset!A6,tbMoveset!A2:I112,9,FALSE)="Dragon",Backdoors!BF46,Backdoors!BG46)))))/100,Backdoors!BG46/100),"")</f>
        <v>0</v>
      </c>
      <c r="KS6" s="49">
        <f>IFERROR(IF(VLOOKUP(A6,tbMoveset!A2:J112,10,FALSE)=TRUE,IF((Backdoors!AI12+IF(KQ6&gt;=0.45,VLOOKUP(Calculator!E23,tbSkills!DH3:DI6,2,FALSE)+IF(AND(Calculator!B8=TRUE,Backdoors!BI46=TRUE),VLOOKUP(Calculator!E23,tbSkills!DH3:DJ6,3,FALSE),0),0))&gt;=0,1+(Backdoors!AL2*(IF((Backdoors!AI12+IF(KQ6&gt;=0.45,VLOOKUP(Calculator!E23,tbSkills!DH3:DI6,2,FALSE)+IF(AND(Calculator!B8=TRUE,Backdoors!BI46=TRUE),VLOOKUP(Calculator!E23,tbSkills!DH3:DJ6,3,FALSE),0),0))&gt;=100,100,(Backdoors!AI12+IF(KQ6&gt;=0.45,VLOOKUP(Calculator!E23,tbSkills!DH3:DI6,2,FALSE)+IF(AND(Calculator!B8=TRUE,Backdoors!BI46=TRUE),VLOOKUP(Calculator!E23,tbSkills!DH3:DJ6,3,FALSE),0),0)))/100)),(1-(0.25*((-Backdoors!AI12-IF(KQ6&gt;=0.45,VLOOKUP(Calculator!E23,tbSkills!DH3:DI6,2,FALSE)+IF(AND(Calculator!B8=TRUE,Backdoors!BI46=TRUE),VLOOKUP(Calculator!E23,tbSkills!DH3:DJ6,3,FALSE),0),0))/100)))),1),"")</f>
        <v>1</v>
      </c>
      <c r="KT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KQ6)*KS6)*(VLOOKUP(A6,tbMoveset!A2:C112,3,FALSE)/100)*IF(VLOOKUP(A6,tbMoveset!A2:B112,2,FALSE)="Projectile",Backdoors!N10,Backdoors!N9),0),"")</f>
        <v/>
      </c>
      <c r="KU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REF!&gt;0,VLOOKUP(Calculator!#REF!,tbSkills!AC3:AD5,2,FALSE),Backdoors!AL3)*(IF((Backdoors!AI12+IF(KQ6&gt;=0.45,VLOOKUP(Calculator!E23,tbSkills!DH3:DI6,2,FALSE)+IF(AND(Calculator!B8=TRUE,Backdoors!BI46=TRUE),VLOOKUP(Calculator!E23,tbSkills!DH3:DJ6,3,FALSE),0),0))&gt;=100,100,(Backdoors!AI12+IF(KQ6&gt;=0.45,VLOOKUP(Calculator!E23,tbSkills!DH3:DI6,2,FALSE)+IF(AND(Calculator!B8=TRUE,Backdoors!BI46=TRUE),VLOOKUP(Calculator!E23,tbSkills!DH3:DJ6,3,FALSE),0),0)))/100)),1))*IF(VLOOKUP(A6,tbMoveset!A2:K112,11,FALSE)=TRUE,Backdoors!AC5,1))*KR6,0),"")</f>
        <v/>
      </c>
      <c r="KV6" s="49">
        <f>VLOOKUP(A6,tbMoveset!A2:G112,7,FALSE)*IFERROR(IF(Backdoors!AI12&gt;=0,1+(IF(Calculator!E40&gt;0,VLOOKUP(Calculator!E40,tbSkills!AI3:AJ5,2,FALSE),Backdoors!AL4)*(IF((Backdoors!AI12+IF(KQ6&gt;=0.45,VLOOKUP(Calculator!E23,tbSkills!DH3:DI6,2,FALSE)+IF(AND(Calculator!B8=TRUE,Backdoors!BI46=TRUE),VLOOKUP(Calculator!E23,tbSkills!DH3:DJ6,3,FALSE),0),0))&gt;=100,100,(Backdoors!AI12+IF(KQ6&gt;=0.45,VLOOKUP(Calculator!E23,tbSkills!DH3:DI6,2,FALSE)+IF(AND(Calculator!B8=TRUE,Backdoors!BI46=TRUE),VLOOKUP(Calculator!E23,tbSkills!DH3:DJ6,3,FALSE),0),0)))/100)),1),1)</f>
        <v>0.4</v>
      </c>
      <c r="KW6" s="87">
        <f t="shared" si="35"/>
        <v>0</v>
      </c>
    </row>
    <row r="7" spans="1:309" x14ac:dyDescent="0.25">
      <c r="A7" s="95" t="str">
        <f>tbMoveset!A7</f>
        <v>Circle Slash (R1)</v>
      </c>
      <c r="B7" s="86">
        <f>IFERROR(IF(VLOOKUP(A7,tbMoveset!A2:B112,2,FALSE)="Sever",Backdoors!AY3/100,IF(VLOOKUP(A7,tbMoveset!A2:B112,2,FALSE)="Blunt",Backdoors!AZ3/100,Backdoors!BA3/100)),"")</f>
        <v>0.8</v>
      </c>
      <c r="C7" s="49">
        <f>IFERROR(IF(VLOOKUP(tbMoveset!A7,tbMoveset!A2:H112,8,FALSE)="Other",IF(VLOOKUP(tbMoveset!A7,tbMoveset!A2:I112,9,FALSE)="Fire",Backdoors!BB3,IF(VLOOKUP(tbMoveset!A7,tbMoveset!A2:I112,9,FALSE)="Water",Backdoors!BC3,IF(VLOOKUP(tbMoveset!A7,tbMoveset!A2:I112,9,FALSE)="Thunder",Backdoors!BD3,IF(VLOOKUP(tbMoveset!A7,tbMoveset!A2:I112,9,FALSE)="Ice",Backdoors!BE3,IF(VLOOKUP(tbMoveset!A7,tbMoveset!A2:I112,9,FALSE)="Dragon",Backdoors!BF3,Backdoors!BG3)))))/100,Backdoors!BG3/100),"")</f>
        <v>0</v>
      </c>
      <c r="D7" s="49">
        <f>IFERROR(IF(VLOOKUP(A7,tbMoveset!A2:J112,10,FALSE)=TRUE,IF((Backdoors!AI12+IF(B7&gt;=0.45,VLOOKUP(Calculator!E23,tbSkills!DH3:DI6,2,FALSE)+IF(AND(Calculator!B8=TRUE,Backdoors!BI3=TRUE),VLOOKUP(Calculator!E23,tbSkills!DH3:DJ6,3,FALSE),0),0))&gt;=0,1+(Backdoors!AL2*(IF((Backdoors!AI12+IF(B7&gt;=0.45,VLOOKUP(Calculator!E23,tbSkills!DH3:DI6,2,FALSE)+IF(AND(Calculator!B8=TRUE,Backdoors!BI3=TRUE),VLOOKUP(Calculator!E23,tbSkills!DH3:DJ6,3,FALSE),0),0))&gt;=100,100,(Backdoors!AI12+IF(B7&gt;=0.45,VLOOKUP(Calculator!E23,tbSkills!DH3:DI6,2,FALSE)+IF(AND(Calculator!B8=TRUE,Backdoors!BI3=TRUE),VLOOKUP(Calculator!E23,tbSkills!DH3:DJ6,3,FALSE),0),0)))/100)),(1-(0.25*((-Backdoors!AI12-IF(B7&gt;=0.45,VLOOKUP(Calculator!E23,tbSkills!DH3:DI6,2,FALSE)+IF(AND(Calculator!B8=TRUE,Backdoors!BI3=TRUE),VLOOKUP(Calculator!E23,tbSkills!DH3:DJ6,3,FALSE),0),0))/100)))),1),"")</f>
        <v>1</v>
      </c>
      <c r="E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7)*D7)*(VLOOKUP(A7,tbMoveset!A2:C112,3,FALSE)/100)*IF(VLOOKUP(A7,tbMoveset!A2:B112,2,FALSE)="Projectile",Backdoors!N10,Backdoors!N9),0),"")</f>
        <v>6</v>
      </c>
      <c r="F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7&gt;=0.45,VLOOKUP(Calculator!E23,tbSkills!DH3:DI6,2,FALSE)+IF(AND(Calculator!B8=TRUE,Backdoors!BI3=TRUE),VLOOKUP(Calculator!E23,tbSkills!DH3:DJ6,3,FALSE),0),0))&gt;=100,100,(Backdoors!AI12+IF(B7&gt;=0.45,VLOOKUP(Calculator!E23,tbSkills!DH3:DI6,2,FALSE)+IF(AND(Calculator!B8=TRUE,Backdoors!BI3=TRUE),VLOOKUP(Calculator!E23,tbSkills!DH3:DJ6,3,FALSE),0),0)))/100)),1))*IF(VLOOKUP(A7,tbMoveset!A2:K112,11,FALSE)=TRUE,Backdoors!AC5,1))*C7,0),"")</f>
        <v>0</v>
      </c>
      <c r="G7">
        <f>VLOOKUP(A7,tbMoveset!A2:G112,7,FALSE)*IFERROR(IF(Backdoors!AI12&gt;=0,1+(IF(Calculator!E40&gt;0,VLOOKUP(Calculator!E40,tbSkills!AI3:AJ5,2,FALSE),Backdoors!AL4)*(IF((Backdoors!AI12+IF(B7&gt;=0.45,VLOOKUP(Calculator!E23,tbSkills!DH3:DI6,2,FALSE)+IF(AND(Calculator!B8=TRUE,Backdoors!BI3=TRUE),VLOOKUP(Calculator!E23,tbSkills!DH3:DJ6,3,FALSE),0),0))&gt;=100,100,(Backdoors!AI12+IF(B7&gt;=0.45,VLOOKUP(Calculator!E23,tbSkills!DH3:DI6,2,FALSE)+IF(AND(Calculator!B8=TRUE,Backdoors!BI3=TRUE),VLOOKUP(Calculator!E23,tbSkills!DH3:DJ6,3,FALSE),0),0)))/100)),1),1)</f>
        <v>0.5</v>
      </c>
      <c r="H7" s="87">
        <f t="shared" si="43"/>
        <v>6</v>
      </c>
      <c r="I7" s="86">
        <f>IFERROR(IF(VLOOKUP(A7,tbMoveset!A2:B112,2,FALSE)="Sever",Backdoors!AY4/100,IF(VLOOKUP(A7,tbMoveset!A2:B112,2,FALSE)="Blunt",Backdoors!AZ4/100,Backdoors!BA4/100)),"")</f>
        <v>0.65</v>
      </c>
      <c r="J7" s="49">
        <f>IFERROR(IF(VLOOKUP(tbMoveset!A7,tbMoveset!A2:H112,8,FALSE)="Other",IF(VLOOKUP(tbMoveset!A7,tbMoveset!A2:I112,9,FALSE)="Fire",Backdoors!BB4,IF(VLOOKUP(tbMoveset!A7,tbMoveset!A2:I112,9,FALSE)="Water",Backdoors!BC4,IF(VLOOKUP(tbMoveset!A7,tbMoveset!A2:I112,9,FALSE)="Thunder",Backdoors!BD4,IF(VLOOKUP(tbMoveset!A7,tbMoveset!A2:I112,9,FALSE)="Ice",Backdoors!BE4,IF(VLOOKUP(tbMoveset!A7,tbMoveset!A2:I112,9,FALSE)="Dragon",Backdoors!BF4,Backdoors!BG4)))))/100,Backdoors!BG4/100),"")</f>
        <v>0</v>
      </c>
      <c r="K7" s="49">
        <f>IFERROR(IF(VLOOKUP(A7,tbMoveset!A2:J112,10,FALSE)=TRUE,IF((Backdoors!AI12+IF(I7&gt;=0.45,VLOOKUP(Calculator!E23,tbSkills!DH3:DI6,2,FALSE)+IF(AND(Calculator!B8=TRUE,Backdoors!BI4=TRUE),VLOOKUP(Calculator!E23,tbSkills!DH3:DJ6,3,FALSE),0),0))&gt;=0,1+(Backdoors!AL2*(IF((Backdoors!AI12+IF(I7&gt;=0.45,VLOOKUP(Calculator!E23,tbSkills!DH3:DI6,2,FALSE)+IF(AND(Calculator!B8=TRUE,Backdoors!BI4=TRUE),VLOOKUP(Calculator!E23,tbSkills!DH3:DJ6,3,FALSE),0),0))&gt;=100,100,(Backdoors!AI12+IF(I7&gt;=0.45,VLOOKUP(Calculator!E23,tbSkills!DH3:DI6,2,FALSE)+IF(AND(Calculator!B8=TRUE,Backdoors!BI4=TRUE),VLOOKUP(Calculator!E23,tbSkills!DH3:DJ6,3,FALSE),0),0)))/100)),(1-(0.25*((-Backdoors!AI12-IF(I7&gt;=0.45,VLOOKUP(Calculator!E23,tbSkills!DH3:DI6,2,FALSE)+IF(AND(Calculator!B8=TRUE,Backdoors!BI4=TRUE),VLOOKUP(Calculator!E23,tbSkills!DH3:DJ6,3,FALSE),0),0))/100)))),1),"")</f>
        <v>1</v>
      </c>
      <c r="L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7)*K7)*(VLOOKUP(A7,tbMoveset!A2:C112,3,FALSE)/100)*IF(VLOOKUP(A7,tbMoveset!A2:B112,2,FALSE)="Projectile",Backdoors!N10,Backdoors!N9),0),"")</f>
        <v>5</v>
      </c>
      <c r="M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I7&gt;=0.45,VLOOKUP(Calculator!E23,tbSkills!DH3:DI6,2,FALSE)+IF(AND(Calculator!B8=TRUE,Backdoors!BI4=TRUE),VLOOKUP(Calculator!E23,tbSkills!DH3:DJ6,3,FALSE),0),0))&gt;=100,100,(Backdoors!AI12+IF(I7&gt;=0.45,VLOOKUP(Calculator!E23,tbSkills!DH3:DI6,2,FALSE)+IF(AND(Calculator!B8=TRUE,Backdoors!BI4=TRUE),VLOOKUP(Calculator!E23,tbSkills!DH3:DJ6,3,FALSE),0),0)))/100)),1))*IF(VLOOKUP(A7,tbMoveset!A2:K112,11,FALSE)=TRUE,Backdoors!AC5,1))*J7,0),"")</f>
        <v>0</v>
      </c>
      <c r="N7" s="49">
        <f>VLOOKUP(A7,tbMoveset!A2:G112,7,FALSE)*IFERROR(IF(Backdoors!AI12&gt;=0,1+(IF(Calculator!E40&gt;0,VLOOKUP(Calculator!E40,tbSkills!AI3:AJ5,2,FALSE),Backdoors!AL4)*(IF((Backdoors!AI12+IF(I7&gt;=0.45,VLOOKUP(Calculator!E23,tbSkills!DH3:DI6,2,FALSE)+IF(AND(Calculator!B8=TRUE,Backdoors!BI4=TRUE),VLOOKUP(Calculator!E23,tbSkills!DH3:DJ6,3,FALSE),0),0))&gt;=100,100,(Backdoors!AI12+IF(I7&gt;=0.45,VLOOKUP(Calculator!E23,tbSkills!DH3:DI6,2,FALSE)+IF(AND(Calculator!B8=TRUE,Backdoors!BI4=TRUE),VLOOKUP(Calculator!E23,tbSkills!DH3:DJ6,3,FALSE),0),0)))/100)),1),1)</f>
        <v>0.5</v>
      </c>
      <c r="O7" s="87">
        <f t="shared" si="36"/>
        <v>5</v>
      </c>
      <c r="P7" s="86">
        <f>IFERROR(IF(VLOOKUP(A7,tbMoveset!A2:B112,2,FALSE)="Sever",Backdoors!AY5/100,IF(VLOOKUP(A7,tbMoveset!A2:B112,2,FALSE)="Blunt",Backdoors!AZ5/100,Backdoors!BA5/100)),"")</f>
        <v>0.5</v>
      </c>
      <c r="Q7" s="49">
        <f>IFERROR(IF(VLOOKUP(tbMoveset!A7,tbMoveset!A2:H112,8,FALSE)="Other",IF(VLOOKUP(tbMoveset!A7,tbMoveset!A2:I112,9,FALSE)="Fire",Backdoors!BB5,IF(VLOOKUP(tbMoveset!A7,tbMoveset!A2:I112,9,FALSE)="Water",Backdoors!BC5,IF(VLOOKUP(tbMoveset!A7,tbMoveset!A2:I112,9,FALSE)="Thunder",Backdoors!BD5,IF(VLOOKUP(tbMoveset!A7,tbMoveset!A2:I112,9,FALSE)="Ice",Backdoors!BE5,IF(VLOOKUP(tbMoveset!A7,tbMoveset!A2:I112,9,FALSE)="Dragon",Backdoors!BF5,Backdoors!BG5)))))/100,Backdoors!BG5/100),"")</f>
        <v>0</v>
      </c>
      <c r="R7" s="49">
        <f>IFERROR(IF(VLOOKUP(A7,tbMoveset!A2:J112,10,FALSE)=TRUE,IF((Backdoors!AI12+IF(P7&gt;=0.45,VLOOKUP(Calculator!E23,tbSkills!DH3:DI6,2,FALSE)+IF(AND(Calculator!B8=TRUE,Backdoors!BI5=TRUE),VLOOKUP(Calculator!E23,tbSkills!DH3:DJ6,3,FALSE),0),0))&gt;=0,1+(Backdoors!AL2*(IF((Backdoors!AI12+IF(P7&gt;=0.45,VLOOKUP(Calculator!E23,tbSkills!DH3:DI6,2,FALSE)+IF(AND(Calculator!B8=TRUE,Backdoors!BI5=TRUE),VLOOKUP(Calculator!E23,tbSkills!DH3:DJ6,3,FALSE),0),0))&gt;=100,100,(Backdoors!AI12+IF(P7&gt;=0.45,VLOOKUP(Calculator!E23,tbSkills!DH3:DI6,2,FALSE)+IF(AND(Calculator!B8=TRUE,Backdoors!BI5=TRUE),VLOOKUP(Calculator!E23,tbSkills!DH3:DJ6,3,FALSE),0),0)))/100)),(1-(0.25*((-Backdoors!AI12-IF(P7&gt;=0.45,VLOOKUP(Calculator!E23,tbSkills!DH3:DI6,2,FALSE)+IF(AND(Calculator!B8=TRUE,Backdoors!BI5=TRUE),VLOOKUP(Calculator!E23,tbSkills!DH3:DJ6,3,FALSE),0),0))/100)))),1),"")</f>
        <v>1</v>
      </c>
      <c r="S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P7)*R7)*(VLOOKUP(A7,tbMoveset!A2:C112,3,FALSE)/100)*IF(VLOOKUP(A7,tbMoveset!A2:B112,2,FALSE)="Projectile",Backdoors!N10,Backdoors!N9),0),"")</f>
        <v>4</v>
      </c>
      <c r="T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P7&gt;=0.45,VLOOKUP(Calculator!E23,tbSkills!DH3:DI6,2,FALSE)+IF(AND(Calculator!B8=TRUE,Backdoors!BI5=TRUE),VLOOKUP(Calculator!E23,tbSkills!DH3:DJ6,3,FALSE),0),0))&gt;=100,100,(Backdoors!AI12+IF(P7&gt;=0.45,VLOOKUP(Calculator!E23,tbSkills!DH3:DI6,2,FALSE)+IF(AND(Calculator!B8=TRUE,Backdoors!BI5=TRUE),VLOOKUP(Calculator!E23,tbSkills!DH3:DJ6,3,FALSE),0),0)))/100)),1))*IF(VLOOKUP(A7,tbMoveset!A2:K112,11,FALSE)=TRUE,Backdoors!AC5,1))*Q7,0),"")</f>
        <v>0</v>
      </c>
      <c r="U7" s="49">
        <f>VLOOKUP(A7,tbMoveset!A2:G112,7,FALSE)*IFERROR(IF(Backdoors!AI12&gt;=0,1+(IF(Calculator!E40&gt;0,VLOOKUP(Calculator!E40,tbSkills!AI3:AJ5,2,FALSE),Backdoors!AL4)*(IF((Backdoors!AI12+IF(P7&gt;=0.45,VLOOKUP(Calculator!E23,tbSkills!DH3:DI6,2,FALSE)+IF(AND(Calculator!B8=TRUE,Backdoors!BI5=TRUE),VLOOKUP(Calculator!E23,tbSkills!DH3:DJ6,3,FALSE),0),0))&gt;=100,100,(Backdoors!AI12+IF(P7&gt;=0.45,VLOOKUP(Calculator!E23,tbSkills!DH3:DI6,2,FALSE)+IF(AND(Calculator!B8=TRUE,Backdoors!BI5=TRUE),VLOOKUP(Calculator!E23,tbSkills!DH3:DJ6,3,FALSE),0),0)))/100)),1),1)</f>
        <v>0.5</v>
      </c>
      <c r="V7" s="87">
        <f t="shared" si="37"/>
        <v>4</v>
      </c>
      <c r="W7" s="86">
        <f>IFERROR(IF(VLOOKUP(A7,tbMoveset!A2:B112,2,FALSE)="Sever",Backdoors!AY6/100,IF(VLOOKUP(A7,tbMoveset!A2:B112,2,FALSE)="Blunt",Backdoors!AZ6/100,Backdoors!BA6/100)),"")</f>
        <v>0.45</v>
      </c>
      <c r="X7" s="49">
        <f>IFERROR(IF(VLOOKUP(tbMoveset!A7,tbMoveset!A2:H112,8,FALSE)="Other",IF(VLOOKUP(tbMoveset!A7,tbMoveset!A2:I112,9,FALSE)="Fire",Backdoors!BB6,IF(VLOOKUP(tbMoveset!A7,tbMoveset!A2:I112,9,FALSE)="Water",Backdoors!BC6,IF(VLOOKUP(tbMoveset!A7,tbMoveset!A2:I112,9,FALSE)="Thunder",Backdoors!BD6,IF(VLOOKUP(tbMoveset!A7,tbMoveset!A2:I112,9,FALSE)="Ice",Backdoors!BE6,IF(VLOOKUP(tbMoveset!A7,tbMoveset!A2:I112,9,FALSE)="Dragon",Backdoors!BF6,Backdoors!BG6)))))/100,Backdoors!BG6/100),"")</f>
        <v>0</v>
      </c>
      <c r="Y7" s="49">
        <f>IFERROR(IF(VLOOKUP(A7,tbMoveset!A2:J112,10,FALSE)=TRUE,IF((Backdoors!AI12+IF(W7&gt;=0.45,VLOOKUP(Calculator!E23,tbSkills!DH3:DI6,2,FALSE)+IF(AND(Calculator!B8=TRUE,Backdoors!BI6=TRUE),VLOOKUP(Calculator!E23,tbSkills!DH3:DJ6,3,FALSE),0),0))&gt;=0,1+(Backdoors!AL2*(IF((Backdoors!AI12+IF(W7&gt;=0.45,VLOOKUP(Calculator!E23,tbSkills!DH3:DI6,2,FALSE)+IF(AND(Calculator!B8=TRUE,Backdoors!BI6=TRUE),VLOOKUP(Calculator!E23,tbSkills!DH3:DJ6,3,FALSE),0),0))&gt;=100,100,(Backdoors!AI12+IF(W7&gt;=0.45,VLOOKUP(Calculator!E23,tbSkills!DH3:DI6,2,FALSE)+IF(AND(Calculator!B8=TRUE,Backdoors!BI6=TRUE),VLOOKUP(Calculator!E23,tbSkills!DH3:DJ6,3,FALSE),0),0)))/100)),(1-(0.25*((-Backdoors!AI12-IF(W7&gt;=0.45,VLOOKUP(Calculator!E23,tbSkills!DH3:DI6,2,FALSE)+IF(AND(Calculator!B8=TRUE,Backdoors!BI6=TRUE),VLOOKUP(Calculator!E23,tbSkills!DH3:DJ6,3,FALSE),0),0))/100)))),1),"")</f>
        <v>1</v>
      </c>
      <c r="Z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W7)*Y7)*(VLOOKUP(A7,tbMoveset!A2:C112,3,FALSE)/100)*IF(VLOOKUP(A7,tbMoveset!A2:B112,2,FALSE)="Projectile",Backdoors!N10,Backdoors!N9),0),"")</f>
        <v>3</v>
      </c>
      <c r="AA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W7&gt;=0.45,VLOOKUP(Calculator!E23,tbSkills!DH3:DI6,2,FALSE)+IF(AND(Calculator!B8=TRUE,Backdoors!BI6=TRUE),VLOOKUP(Calculator!E23,tbSkills!DH3:DJ6,3,FALSE),0),0))&gt;=100,100,(Backdoors!AI12+IF(W7&gt;=0.45,VLOOKUP(Calculator!E23,tbSkills!DH3:DI6,2,FALSE)+IF(AND(Calculator!B8=TRUE,Backdoors!BI6=TRUE),VLOOKUP(Calculator!E23,tbSkills!DH3:DJ6,3,FALSE),0),0)))/100)),1))*IF(VLOOKUP(A7,tbMoveset!A2:K112,11,FALSE)=TRUE,Backdoors!AC5,1))*X7,0),"")</f>
        <v>0</v>
      </c>
      <c r="AB7" s="49">
        <f>VLOOKUP(A7,tbMoveset!A2:G112,7,FALSE)*IFERROR(IF(Backdoors!AI12&gt;=0,1+(IF(Calculator!E40&gt;0,VLOOKUP(Calculator!E40,tbSkills!AI3:AJ5,2,FALSE),Backdoors!AL4)*(IF((Backdoors!AI12+IF(W7&gt;=0.45,VLOOKUP(Calculator!E23,tbSkills!DH3:DI6,2,FALSE)+IF(AND(Calculator!B8=TRUE,Backdoors!BI6=TRUE),VLOOKUP(Calculator!E23,tbSkills!DH3:DJ6,3,FALSE),0),0))&gt;=100,100,(Backdoors!AI12+IF(W7&gt;=0.45,VLOOKUP(Calculator!E23,tbSkills!DH3:DI6,2,FALSE)+IF(AND(Calculator!B8=TRUE,Backdoors!BI6=TRUE),VLOOKUP(Calculator!E23,tbSkills!DH3:DJ6,3,FALSE),0),0)))/100)),1),1)</f>
        <v>0.5</v>
      </c>
      <c r="AC7" s="87">
        <f t="shared" si="0"/>
        <v>3</v>
      </c>
      <c r="AD7" s="86">
        <f>IFERROR(IF(VLOOKUP(A7,tbMoveset!A2:B112,2,FALSE)="Sever",Backdoors!AY7/100,IF(VLOOKUP(A7,tbMoveset!A2:B112,2,FALSE)="Blunt",Backdoors!AZ7/100,Backdoors!BA7/100)),"")</f>
        <v>0.65</v>
      </c>
      <c r="AE7" s="49">
        <f>IFERROR(IF(VLOOKUP(tbMoveset!A7,tbMoveset!A2:H112,8,FALSE)="Other",IF(VLOOKUP(tbMoveset!A7,tbMoveset!A2:I112,9,FALSE)="Fire",Backdoors!BB7,IF(VLOOKUP(tbMoveset!A7,tbMoveset!A2:I112,9,FALSE)="Water",Backdoors!BC7,IF(VLOOKUP(tbMoveset!A7,tbMoveset!A2:I112,9,FALSE)="Thunder",Backdoors!BD7,IF(VLOOKUP(tbMoveset!A7,tbMoveset!A2:I112,9,FALSE)="Ice",Backdoors!BE7,IF(VLOOKUP(tbMoveset!A7,tbMoveset!A2:I112,9,FALSE)="Dragon",Backdoors!BF7,Backdoors!BG7)))))/100,Backdoors!BG7/100),"")</f>
        <v>0</v>
      </c>
      <c r="AF7" s="49">
        <f>IFERROR(IF(VLOOKUP(A7,tbMoveset!A2:J112,10,FALSE)=TRUE,IF((Backdoors!AI12+IF(AD7&gt;=0.45,VLOOKUP(Calculator!E23,tbSkills!DH3:DI6,2,FALSE)+IF(AND(Calculator!B8=TRUE,Backdoors!BI7=TRUE),VLOOKUP(Calculator!E23,tbSkills!DH3:DJ6,3,FALSE),0),0))&gt;=0,1+(Backdoors!AL2*(IF((Backdoors!AI12+IF(AD7&gt;=0.45,VLOOKUP(Calculator!E23,tbSkills!DH3:DI6,2,FALSE)+IF(AND(Calculator!B8=TRUE,Backdoors!BI7=TRUE),VLOOKUP(Calculator!E23,tbSkills!DH3:DJ6,3,FALSE),0),0))&gt;=100,100,(Backdoors!AI12+IF(AD7&gt;=0.45,VLOOKUP(Calculator!E23,tbSkills!DH3:DI6,2,FALSE)+IF(AND(Calculator!B8=TRUE,Backdoors!BI7=TRUE),VLOOKUP(Calculator!E23,tbSkills!DH3:DJ6,3,FALSE),0),0)))/100)),(1-(0.25*((-Backdoors!AI12-IF(AD7&gt;=0.45,VLOOKUP(Calculator!E23,tbSkills!DH3:DI6,2,FALSE)+IF(AND(Calculator!B8=TRUE,Backdoors!BI7=TRUE),VLOOKUP(Calculator!E23,tbSkills!DH3:DJ6,3,FALSE),0),0))/100)))),1),"")</f>
        <v>1</v>
      </c>
      <c r="AG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D7)*AF7)*(VLOOKUP(A7,tbMoveset!A2:C112,3,FALSE)/100)*IF(VLOOKUP(A7,tbMoveset!A2:B112,2,FALSE)="Projectile",Backdoors!N10,Backdoors!N9),0),"")</f>
        <v>5</v>
      </c>
      <c r="AH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D7&gt;=0.45,VLOOKUP(Calculator!E23,tbSkills!DH3:DI6,2,FALSE)+IF(AND(Calculator!B8=TRUE,Backdoors!BI7=TRUE),VLOOKUP(Calculator!E23,tbSkills!DH3:DJ6,3,FALSE),0),0))&gt;=100,100,(Backdoors!AI12+IF(AD7&gt;=0.45,VLOOKUP(Calculator!E23,tbSkills!DH3:DI6,2,FALSE)+IF(AND(Calculator!B8=TRUE,Backdoors!BI7=TRUE),VLOOKUP(Calculator!E23,tbSkills!DH3:DJ6,3,FALSE),0),0)))/100)),1))*IF(VLOOKUP(A7,tbMoveset!A2:K112,11,FALSE)=TRUE,Backdoors!AC5,1))*AE7,0),"")</f>
        <v>0</v>
      </c>
      <c r="AI7" s="49">
        <f>VLOOKUP(A7,tbMoveset!A2:G112,7,FALSE)*IFERROR(IF(Backdoors!AI12&gt;=0,1+(IF(Calculator!E40&gt;0,VLOOKUP(Calculator!E40,tbSkills!AI3:AJ5,2,FALSE),Backdoors!AL4)*(IF((Backdoors!AI12+IF(AD7&gt;=0.45,VLOOKUP(Calculator!E23,tbSkills!DH3:DI6,2,FALSE)+IF(AND(Calculator!B8=TRUE,Backdoors!BI7=TRUE),VLOOKUP(Calculator!E23,tbSkills!DH3:DJ6,3,FALSE),0),0))&gt;=100,100,(Backdoors!AI12+IF(AD7&gt;=0.45,VLOOKUP(Calculator!E23,tbSkills!DH3:DI6,2,FALSE)+IF(AND(Calculator!B8=TRUE,Backdoors!BI7=TRUE),VLOOKUP(Calculator!E23,tbSkills!DH3:DJ6,3,FALSE),0),0)))/100)),1),1)</f>
        <v>0.5</v>
      </c>
      <c r="AJ7" s="87">
        <f t="shared" si="1"/>
        <v>5</v>
      </c>
      <c r="AK7" s="91">
        <f>IFERROR(IF(VLOOKUP(A7,tbMoveset!A2:B112,2,FALSE)="Sever",Backdoors!AY8/100,IF(VLOOKUP(A7,tbMoveset!A2:B112,2,FALSE)="Blunt",Backdoors!AZ8/100,Backdoors!BA8/100)),"")</f>
        <v>0.45</v>
      </c>
      <c r="AL7" s="49">
        <f>IFERROR(IF(VLOOKUP(tbMoveset!A7,tbMoveset!A2:H112,8,FALSE)="Other",IF(VLOOKUP(tbMoveset!A7,tbMoveset!A2:I112,9,FALSE)="Fire",Backdoors!BB8,IF(VLOOKUP(tbMoveset!A7,tbMoveset!A2:I112,9,FALSE)="Water",Backdoors!BC8,IF(VLOOKUP(tbMoveset!A7,tbMoveset!A2:I112,9,FALSE)="Thunder",Backdoors!BD8,IF(VLOOKUP(tbMoveset!A7,tbMoveset!A2:I112,9,FALSE)="Ice",Backdoors!BE8,IF(VLOOKUP(tbMoveset!A7,tbMoveset!A2:I112,9,FALSE)="Dragon",Backdoors!BF8,Backdoors!BG8)))))/100,Backdoors!BG8/100),"")</f>
        <v>0</v>
      </c>
      <c r="AM7" s="49">
        <f>IFERROR(IF(VLOOKUP(A7,tbMoveset!A2:J112,10,FALSE)=TRUE,IF((Backdoors!AI12+IF(AK7&gt;=0.45,VLOOKUP(Calculator!E23,tbSkills!DH3:DI6,2,FALSE)+IF(AND(Calculator!B8=TRUE,Backdoors!BI8=TRUE),VLOOKUP(Calculator!E23,tbSkills!DH3:DJ6,3,FALSE),0),0))&gt;=0,1+(Backdoors!AL2*(IF((Backdoors!AI12+IF(AK7&gt;=0.45,VLOOKUP(Calculator!E23,tbSkills!DH3:DI6,2,FALSE)+IF(AND(Calculator!B8=TRUE,Backdoors!BI8=TRUE),VLOOKUP(Calculator!E23,tbSkills!DH3:DJ6,3,FALSE),0),0))&gt;=100,100,(Backdoors!AI12+IF(AK7&gt;=0.45,VLOOKUP(Calculator!E23,tbSkills!DH3:DI6,2,FALSE)+IF(AND(Calculator!B8=TRUE,Backdoors!BI8=TRUE),VLOOKUP(Calculator!E23,tbSkills!DH3:DJ6,3,FALSE),0),0)))/100)),(1-(0.25*((-Backdoors!AI12-IF(AK7&gt;=0.45,VLOOKUP(Calculator!E23,tbSkills!DH3:DI6,2,FALSE)+IF(AND(Calculator!B8=TRUE,Backdoors!BI8=TRUE),VLOOKUP(Calculator!E23,tbSkills!DH3:DJ6,3,FALSE),0),0))/100)))),1),"")</f>
        <v>1</v>
      </c>
      <c r="AN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K7)*AM7)*(VLOOKUP(A7,tbMoveset!A2:C112,3,FALSE)/100)*IF(VLOOKUP(A7,tbMoveset!A2:B112,2,FALSE)="Projectile",Backdoors!N10,Backdoors!N9),0),"")</f>
        <v>3</v>
      </c>
      <c r="AO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K7&gt;=0.45,VLOOKUP(Calculator!E23,tbSkills!DH3:DI6,2,FALSE)+IF(AND(Calculator!B8=TRUE,Backdoors!BI8=TRUE),VLOOKUP(Calculator!E23,tbSkills!DH3:DJ6,3,FALSE),0),0))&gt;=100,100,(Backdoors!AI12+IF(AK7&gt;=0.45,VLOOKUP(Calculator!E23,tbSkills!DH3:DI6,2,FALSE)+IF(AND(Calculator!B8=TRUE,Backdoors!BI8=TRUE),VLOOKUP(Calculator!E23,tbSkills!DH3:DJ6,3,FALSE),0),0)))/100)),1))*IF(VLOOKUP(A7,tbMoveset!A2:K112,11,FALSE)=TRUE,Backdoors!AC5,1))*AL7,0),"")</f>
        <v>0</v>
      </c>
      <c r="AP7" s="49">
        <f>VLOOKUP(A7,tbMoveset!A2:G112,7,FALSE)*IFERROR(IF(Backdoors!AI12&gt;=0,1+(IF(Calculator!E40&gt;0,VLOOKUP(Calculator!E40,tbSkills!AI3:AJ5,2,FALSE),Backdoors!AL4)*(IF((Backdoors!AI12+IF(AK7&gt;=0.45,VLOOKUP(Calculator!E23,tbSkills!DH3:DI6,2,FALSE)+IF(AND(Calculator!B8=TRUE,Backdoors!BI8=TRUE),VLOOKUP(Calculator!E23,tbSkills!DH3:DJ6,3,FALSE),0),0))&gt;=100,100,(Backdoors!AI12+IF(AK7&gt;=0.45,VLOOKUP(Calculator!E23,tbSkills!DH3:DI6,2,FALSE)+IF(AND(Calculator!B8=TRUE,Backdoors!BI8=TRUE),VLOOKUP(Calculator!E23,tbSkills!DH3:DJ6,3,FALSE),0),0)))/100)),1),1)</f>
        <v>0.5</v>
      </c>
      <c r="AQ7" s="87">
        <f t="shared" si="2"/>
        <v>3</v>
      </c>
      <c r="AR7" s="86">
        <f>IFERROR(IF(VLOOKUP(A7,tbMoveset!A2:B112,2,FALSE)="Sever",Backdoors!AY9/100,IF(VLOOKUP(A7,tbMoveset!A2:B112,2,FALSE)="Blunt",Backdoors!AZ9/100,Backdoors!BA9/100)),"")</f>
        <v>0.45</v>
      </c>
      <c r="AS7" s="49">
        <f>IFERROR(IF(VLOOKUP(tbMoveset!A7,tbMoveset!A2:H112,8,FALSE)="Other",IF(VLOOKUP(tbMoveset!A7,tbMoveset!A2:I112,9,FALSE)="Fire",Backdoors!BB9,IF(VLOOKUP(tbMoveset!A7,tbMoveset!A2:I112,9,FALSE)="Water",Backdoors!BC9,IF(VLOOKUP(tbMoveset!A7,tbMoveset!A2:I112,9,FALSE)="Thunder",Backdoors!BD9,IF(VLOOKUP(tbMoveset!A7,tbMoveset!A2:I112,9,FALSE)="Ice",Backdoors!BE9,IF(VLOOKUP(tbMoveset!A7,tbMoveset!A2:I112,9,FALSE)="Dragon",Backdoors!BF9,Backdoors!BG9)))))/100,Backdoors!BG9/100),"")</f>
        <v>0</v>
      </c>
      <c r="AT7" s="49">
        <f>IFERROR(IF(VLOOKUP(A7,tbMoveset!A2:J112,10,FALSE)=TRUE,IF((Backdoors!AI12+IF(AR7&gt;=0.45,VLOOKUP(Calculator!E23,tbSkills!DH3:DI6,2,FALSE)+IF(AND(Calculator!B8=TRUE,Backdoors!BI9=TRUE),VLOOKUP(Calculator!E23,tbSkills!DH3:DJ6,3,FALSE),0),0))&gt;=0,1+(Backdoors!AL2*(IF((Backdoors!AI12+IF(AR7&gt;=0.45,VLOOKUP(Calculator!E23,tbSkills!DH3:DI6,2,FALSE)+IF(AND(Calculator!B8=TRUE,Backdoors!BI9=TRUE),VLOOKUP(Calculator!E23,tbSkills!DH3:DJ6,3,FALSE),0),0))&gt;=100,100,(Backdoors!AI12+IF(AR7&gt;=0.45,VLOOKUP(Calculator!E23,tbSkills!DH3:DI6,2,FALSE)+IF(AND(Calculator!B8=TRUE,Backdoors!BI9=TRUE),VLOOKUP(Calculator!E23,tbSkills!DH3:DJ6,3,FALSE),0),0)))/100)),(1-(0.25*((-Backdoors!AI12-IF(AR7&gt;=0.45,VLOOKUP(Calculator!E23,tbSkills!DH3:DI6,2,FALSE)+IF(AND(Calculator!B8=TRUE,Backdoors!BI9=TRUE),VLOOKUP(Calculator!E23,tbSkills!DH3:DJ6,3,FALSE),0),0))/100)))),1),"")</f>
        <v>1</v>
      </c>
      <c r="AU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R7)*AT7)*(VLOOKUP(A7,tbMoveset!A2:C112,3,FALSE)/100)*IF(VLOOKUP(A7,tbMoveset!A2:B112,2,FALSE)="Projectile",Backdoors!N10,Backdoors!N9),0),"")</f>
        <v>3</v>
      </c>
      <c r="AV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R7&gt;=0.45,VLOOKUP(Calculator!E23,tbSkills!DH3:DI6,2,FALSE)+IF(AND(Calculator!B8=TRUE,Backdoors!BI9=TRUE),VLOOKUP(Calculator!E23,tbSkills!DH3:DJ6,3,FALSE),0),0))&gt;=100,100,(Backdoors!AI12+IF(AR7&gt;=0.45,VLOOKUP(Calculator!E23,tbSkills!DH3:DI6,2,FALSE)+IF(AND(Calculator!B8=TRUE,Backdoors!BI9=TRUE),VLOOKUP(Calculator!E23,tbSkills!DH3:DJ6,3,FALSE),0),0)))/100)),1))*IF(VLOOKUP(A7,tbMoveset!A2:K112,11,FALSE)=TRUE,Backdoors!AC5,1))*AS7,0),"")</f>
        <v>0</v>
      </c>
      <c r="AW7" s="49">
        <f>VLOOKUP(A7,tbMoveset!A2:G112,7,FALSE)*IFERROR(IF(Backdoors!AI12&gt;=0,1+(IF(Calculator!E40&gt;0,VLOOKUP(Calculator!E40,tbSkills!AI3:AJ5,2,FALSE),Backdoors!AL4)*(IF((Backdoors!AI12+IF(AR7&gt;=0.45,VLOOKUP(Calculator!E23,tbSkills!DH3:DI6,2,FALSE)+IF(AND(Calculator!B8=TRUE,Backdoors!BI9=TRUE),VLOOKUP(Calculator!E23,tbSkills!DH3:DJ6,3,FALSE),0),0))&gt;=100,100,(Backdoors!AI12+IF(AR7&gt;=0.45,VLOOKUP(Calculator!E23,tbSkills!DH3:DI6,2,FALSE)+IF(AND(Calculator!B8=TRUE,Backdoors!BI9=TRUE),VLOOKUP(Calculator!E23,tbSkills!DH3:DJ6,3,FALSE),0),0)))/100)),1),1)</f>
        <v>0.5</v>
      </c>
      <c r="AX7" s="87">
        <f t="shared" si="38"/>
        <v>3</v>
      </c>
      <c r="AY7" s="86">
        <f>IFERROR(IF(VLOOKUP(A7,tbMoveset!A2:B112,2,FALSE)="Sever",Backdoors!AY10/100,IF(VLOOKUP(A7,tbMoveset!A2:B112,2,FALSE)="Blunt",Backdoors!AZ10/100,Backdoors!BA10/100)),"")</f>
        <v>0.9</v>
      </c>
      <c r="AZ7" s="49">
        <f>IFERROR(IF(VLOOKUP(tbMoveset!A7,tbMoveset!A2:H112,8,FALSE)="Other",IF(VLOOKUP(tbMoveset!A7,tbMoveset!A2:I112,9,FALSE)="Fire",Backdoors!BB10,IF(VLOOKUP(tbMoveset!A7,tbMoveset!A2:I112,9,FALSE)="Water",Backdoors!BC10,IF(VLOOKUP(tbMoveset!A7,tbMoveset!A2:I112,9,FALSE)="Thunder",Backdoors!BD10,IF(VLOOKUP(tbMoveset!A7,tbMoveset!A2:I112,9,FALSE)="Ice",Backdoors!BE10,IF(VLOOKUP(tbMoveset!A7,tbMoveset!A2:I112,9,FALSE)="Dragon",Backdoors!BF10,Backdoors!BG10)))))/100,Backdoors!BG10/100),"")</f>
        <v>0</v>
      </c>
      <c r="BA7" s="49">
        <f>IFERROR(IF(VLOOKUP(A7,tbMoveset!A2:J112,10,FALSE)=TRUE,IF((Backdoors!AI12+IF(AY7&gt;=0.45,VLOOKUP(Calculator!E23,tbSkills!DH3:DI6,2,FALSE)+IF(AND(Calculator!B8=TRUE,Backdoors!BI10=TRUE),VLOOKUP(Calculator!E23,tbSkills!DH3:DJ6,3,FALSE),0),0))&gt;=0,1+(Backdoors!AL2*(IF((Backdoors!AI12+IF(AY7&gt;=0.45,VLOOKUP(Calculator!E23,tbSkills!DH3:DI6,2,FALSE)+IF(AND(Calculator!B8=TRUE,Backdoors!BI10=TRUE),VLOOKUP(Calculator!E23,tbSkills!DH3:DJ6,3,FALSE),0),0))&gt;=100,100,(Backdoors!AI12+IF(AY7&gt;=0.45,VLOOKUP(Calculator!E23,tbSkills!DH3:DI6,2,FALSE)+IF(AND(Calculator!B8=TRUE,Backdoors!BI10=TRUE),VLOOKUP(Calculator!E23,tbSkills!DH3:DJ6,3,FALSE),0),0)))/100)),(1-(0.25*((-Backdoors!AI12-IF(AY7&gt;=0.45,VLOOKUP(Calculator!E23,tbSkills!DH3:DI6,2,FALSE)+IF(AND(Calculator!B8=TRUE,Backdoors!BI10=TRUE),VLOOKUP(Calculator!E23,tbSkills!DH3:DJ6,3,FALSE),0),0))/100)))),1),"")</f>
        <v>1</v>
      </c>
      <c r="BB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Y7)*BA7)*(VLOOKUP(A7,tbMoveset!A2:C112,3,FALSE)/100)*IF(VLOOKUP(A7,tbMoveset!A2:B112,2,FALSE)="Projectile",Backdoors!N10,Backdoors!N9),0),"")</f>
        <v>7</v>
      </c>
      <c r="BC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Y7&gt;=0.45,VLOOKUP(Calculator!E23,tbSkills!DH3:DI6,2,FALSE)+IF(AND(Calculator!B8=TRUE,Backdoors!BI10=TRUE),VLOOKUP(Calculator!E23,tbSkills!DH3:DJ6,3,FALSE),0),0))&gt;=100,100,(Backdoors!AI12+IF(AY7&gt;=0.45,VLOOKUP(Calculator!E23,tbSkills!DH3:DI6,2,FALSE)+IF(AND(Calculator!B8=TRUE,Backdoors!BI10=TRUE),VLOOKUP(Calculator!E23,tbSkills!DH3:DJ6,3,FALSE),0),0)))/100)),1))*IF(VLOOKUP(A7,tbMoveset!A2:K112,11,FALSE)=TRUE,Backdoors!AC5,1))*AZ7,0),"")</f>
        <v>0</v>
      </c>
      <c r="BD7" s="49">
        <f>VLOOKUP(A7,tbMoveset!A2:G112,7,FALSE)*IFERROR(IF(Backdoors!AI12&gt;=0,1+(IF(Calculator!E40&gt;0,VLOOKUP(Calculator!E40,tbSkills!AI3:AJ5,2,FALSE),Backdoors!AL4)*(IF((Backdoors!AI12+IF(AY7&gt;=0.45,VLOOKUP(Calculator!E23,tbSkills!DH3:DI6,2,FALSE)+IF(AND(Calculator!B8=TRUE,Backdoors!BI10=TRUE),VLOOKUP(Calculator!E23,tbSkills!DH3:DJ6,3,FALSE),0),0))&gt;=100,100,(Backdoors!AI12+IF(AY7&gt;=0.45,VLOOKUP(Calculator!E23,tbSkills!DH3:DI6,2,FALSE)+IF(AND(Calculator!B8=TRUE,Backdoors!BI10=TRUE),VLOOKUP(Calculator!E23,tbSkills!DH3:DJ6,3,FALSE),0),0)))/100)),1),1)</f>
        <v>0.5</v>
      </c>
      <c r="BE7" s="87">
        <f t="shared" si="3"/>
        <v>7</v>
      </c>
      <c r="BF7" s="86" t="str">
        <f>IFERROR(IF(VLOOKUP(A7,tbMoveset!A2:B112,2,FALSE)="Sever",Backdoors!AY11/100,IF(VLOOKUP(A7,tbMoveset!A2:B112,2,FALSE)="Blunt",Backdoors!AZ11/100,Backdoors!BA11/100)),"")</f>
        <v/>
      </c>
      <c r="BG7" s="49">
        <f>IFERROR(IF(VLOOKUP(tbMoveset!A7,tbMoveset!A2:H112,8,FALSE)="Other",IF(VLOOKUP(tbMoveset!A7,tbMoveset!A2:I112,9,FALSE)="Fire",Backdoors!BB11,IF(VLOOKUP(tbMoveset!A7,tbMoveset!A2:I112,9,FALSE)="Water",Backdoors!BC11,IF(VLOOKUP(tbMoveset!A7,tbMoveset!A2:I112,9,FALSE)="Thunder",Backdoors!BD11,IF(VLOOKUP(tbMoveset!A7,tbMoveset!A2:I112,9,FALSE)="Ice",Backdoors!BE11,IF(VLOOKUP(tbMoveset!A7,tbMoveset!A2:I112,9,FALSE)="Dragon",Backdoors!BF11,Backdoors!BG11)))))/100,Backdoors!BG11/100),"")</f>
        <v>0</v>
      </c>
      <c r="BH7" s="49">
        <f>IFERROR(IF(VLOOKUP(A7,tbMoveset!A2:J112,10,FALSE)=TRUE,IF((Backdoors!AI12+IF(BF7&gt;=0.45,VLOOKUP(Calculator!E23,tbSkills!DH3:DI6,2,FALSE)+IF(AND(Calculator!B8=TRUE,Backdoors!BI11=TRUE),VLOOKUP(Calculator!E23,tbSkills!DH3:DJ6,3,FALSE),0),0))&gt;=0,1+(Backdoors!AL2*(IF((Backdoors!AI12+IF(BF7&gt;=0.45,VLOOKUP(Calculator!E23,tbSkills!DH3:DI6,2,FALSE)+IF(AND(Calculator!B8=TRUE,Backdoors!BI11=TRUE),VLOOKUP(Calculator!E23,tbSkills!DH3:DJ6,3,FALSE),0),0))&gt;=100,100,(Backdoors!AI12+IF(BF7&gt;=0.45,VLOOKUP(Calculator!E23,tbSkills!DH3:DI6,2,FALSE)+IF(AND(Calculator!B8=TRUE,Backdoors!BI11=TRUE),VLOOKUP(Calculator!E23,tbSkills!DH3:DJ6,3,FALSE),0),0)))/100)),(1-(0.25*((-Backdoors!AI12-IF(BF7&gt;=0.45,VLOOKUP(Calculator!E23,tbSkills!DH3:DI6,2,FALSE)+IF(AND(Calculator!B8=TRUE,Backdoors!BI11=TRUE),VLOOKUP(Calculator!E23,tbSkills!DH3:DJ6,3,FALSE),0),0))/100)))),1),"")</f>
        <v>1</v>
      </c>
      <c r="BI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F7)*BH7)*(VLOOKUP(A7,tbMoveset!A2:C112,3,FALSE)/100)*IF(VLOOKUP(A7,tbMoveset!A2:B112,2,FALSE)="Projectile",Backdoors!N10,Backdoors!N9),0),"")</f>
        <v/>
      </c>
      <c r="BJ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F7&gt;=0.45,VLOOKUP(Calculator!E23,tbSkills!DH3:DI6,2,FALSE)+IF(AND(Calculator!B8=TRUE,Backdoors!BI11=TRUE),VLOOKUP(Calculator!E23,tbSkills!DH3:DJ6,3,FALSE),0),0))&gt;=100,100,(Backdoors!AI12+IF(BF7&gt;=0.45,VLOOKUP(Calculator!E23,tbSkills!DH3:DI6,2,FALSE)+IF(AND(Calculator!B8=TRUE,Backdoors!BI11=TRUE),VLOOKUP(Calculator!E23,tbSkills!DH3:DJ6,3,FALSE),0),0)))/100)),1))*IF(VLOOKUP(A7,tbMoveset!A2:K112,11,FALSE)=TRUE,Backdoors!AC5,1))*BG7,0),"")</f>
        <v>0</v>
      </c>
      <c r="BK7" s="49">
        <f>VLOOKUP(A7,tbMoveset!A2:G112,7,FALSE)*IFERROR(IF(Backdoors!AI12&gt;=0,1+(IF(Calculator!E40&gt;0,VLOOKUP(Calculator!E40,tbSkills!AI3:AJ5,2,FALSE),Backdoors!AL4)*(IF((Backdoors!AI12+IF(BF7&gt;=0.45,VLOOKUP(Calculator!E23,tbSkills!DH3:DI6,2,FALSE)+IF(AND(Calculator!B8=TRUE,Backdoors!BI11=TRUE),VLOOKUP(Calculator!E23,tbSkills!DH3:DJ6,3,FALSE),0),0))&gt;=100,100,(Backdoors!AI12+IF(BF7&gt;=0.45,VLOOKUP(Calculator!E23,tbSkills!DH3:DI6,2,FALSE)+IF(AND(Calculator!B8=TRUE,Backdoors!BI11=TRUE),VLOOKUP(Calculator!E23,tbSkills!DH3:DJ6,3,FALSE),0),0)))/100)),1),1)</f>
        <v>0.5</v>
      </c>
      <c r="BL7" s="87">
        <f t="shared" si="4"/>
        <v>0</v>
      </c>
      <c r="BM7" s="86" t="str">
        <f>IFERROR(IF(VLOOKUP(A7,tbMoveset!A2:B112,2,FALSE)="Sever",Backdoors!AY12/100,IF(VLOOKUP(A7,tbMoveset!A2:B112,2,FALSE)="Blunt",Backdoors!AZ12/100,Backdoors!BA12/100)),"")</f>
        <v/>
      </c>
      <c r="BN7" s="49">
        <f>IFERROR(IF(VLOOKUP(tbMoveset!A7,tbMoveset!A2:H112,8,FALSE)="Other",IF(VLOOKUP(tbMoveset!A7,tbMoveset!A2:I112,9,FALSE)="Fire",Backdoors!BB12,IF(VLOOKUP(tbMoveset!A7,tbMoveset!A2:I112,9,FALSE)="Water",Backdoors!BC12,IF(VLOOKUP(tbMoveset!A7,tbMoveset!A2:I112,9,FALSE)="Thunder",Backdoors!BD12,IF(VLOOKUP(tbMoveset!A7,tbMoveset!A2:I112,9,FALSE)="Ice",Backdoors!BE12,IF(VLOOKUP(tbMoveset!A7,tbMoveset!A2:I112,9,FALSE)="Dragon",Backdoors!BF12,Backdoors!BG12)))))/100,Backdoors!BG12/100),"")</f>
        <v>0</v>
      </c>
      <c r="BO7" s="49">
        <f>IFERROR(IF(VLOOKUP(A7,tbMoveset!A2:J112,10,FALSE)=TRUE,IF((Backdoors!AI12+IF(BM7&gt;=0.45,VLOOKUP(Calculator!E23,tbSkills!DH3:DI6,2,FALSE)+IF(AND(Calculator!B8=TRUE,Backdoors!BI12=TRUE),VLOOKUP(Calculator!E23,tbSkills!DH3:DJ6,3,FALSE),0),0))&gt;=0,1+(Backdoors!AL2*(IF((Backdoors!AI12+IF(BM7&gt;=0.45,VLOOKUP(Calculator!E23,tbSkills!DH3:DI6,2,FALSE)+IF(AND(Calculator!B8=TRUE,Backdoors!BI12=TRUE),VLOOKUP(Calculator!E23,tbSkills!DH3:DJ6,3,FALSE),0),0))&gt;=100,100,(Backdoors!AI12+IF(BM7&gt;=0.45,VLOOKUP(Calculator!E23,tbSkills!DH3:DI6,2,FALSE)+IF(AND(Calculator!B8=TRUE,Backdoors!BI12=TRUE),VLOOKUP(Calculator!E23,tbSkills!DH3:DJ6,3,FALSE),0),0)))/100)),(1-(0.25*((-Backdoors!AI12-IF(BM7&gt;=0.45,VLOOKUP(Calculator!E23,tbSkills!DH3:DI6,2,FALSE)+IF(AND(Calculator!B8=TRUE,Backdoors!BI12=TRUE),VLOOKUP(Calculator!E23,tbSkills!DH3:DJ6,3,FALSE),0),0))/100)))),1),"")</f>
        <v>1</v>
      </c>
      <c r="BP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M7)*BO7)*(VLOOKUP(A7,tbMoveset!A2:C112,3,FALSE)/100)*IF(VLOOKUP(A7,tbMoveset!A2:B112,2,FALSE)="Projectile",Backdoors!N10,Backdoors!N9),0),"")</f>
        <v/>
      </c>
      <c r="BQ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M7&gt;=0.45,VLOOKUP(Calculator!E23,tbSkills!DH3:DI6,2,FALSE)+IF(AND(Calculator!B8=TRUE,Backdoors!BI12=TRUE),VLOOKUP(Calculator!E23,tbSkills!DH3:DJ6,3,FALSE),0),0))&gt;=100,100,(Backdoors!AI12+IF(BM7&gt;=0.45,VLOOKUP(Calculator!E23,tbSkills!DH3:DI6,2,FALSE)+IF(AND(Calculator!B8=TRUE,Backdoors!BI12=TRUE),VLOOKUP(Calculator!E23,tbSkills!DH3:DJ6,3,FALSE),0),0)))/100)),1))*IF(VLOOKUP(A7,tbMoveset!A2:K112,11,FALSE)=TRUE,Backdoors!AC5,1))*BN7,0),"")</f>
        <v>0</v>
      </c>
      <c r="BR7" s="49">
        <f>VLOOKUP(A7,tbMoveset!A2:G112,7,FALSE)*IFERROR(IF(Backdoors!AI12&gt;=0,1+(IF(Calculator!E40&gt;0,VLOOKUP(Calculator!E40,tbSkills!AI3:AJ5,2,FALSE),Backdoors!AL4)*(IF((Backdoors!AI12+IF(BM7&gt;=0.45,VLOOKUP(Calculator!E23,tbSkills!DH3:DI6,2,FALSE)+IF(AND(Calculator!B8=TRUE,Backdoors!BI12=TRUE),VLOOKUP(Calculator!E23,tbSkills!DH3:DJ6,3,FALSE),0),0))&gt;=100,100,(Backdoors!AI12+IF(BM7&gt;=0.45,VLOOKUP(Calculator!E23,tbSkills!DH3:DI6,2,FALSE)+IF(AND(Calculator!B8=TRUE,Backdoors!BI12=TRUE),VLOOKUP(Calculator!E23,tbSkills!DH3:DJ6,3,FALSE),0),0)))/100)),1),1)</f>
        <v>0.5</v>
      </c>
      <c r="BS7" s="87">
        <f t="shared" si="39"/>
        <v>0</v>
      </c>
      <c r="BT7" s="86" t="str">
        <f>IFERROR(IF(VLOOKUP(A7,tbMoveset!A2:B112,2,FALSE)="Sever",Backdoors!AY13/100,IF(VLOOKUP(A7,tbMoveset!A2:B112,2,FALSE)="Blunt",Backdoors!AZ13/100,Backdoors!BA13/100)),"")</f>
        <v/>
      </c>
      <c r="BU7" s="49">
        <f>IFERROR(IF(VLOOKUP(tbMoveset!A7,tbMoveset!A2:H112,8,FALSE)="Other",IF(VLOOKUP(tbMoveset!A7,tbMoveset!A2:I112,9,FALSE)="Fire",Backdoors!BB13,IF(VLOOKUP(tbMoveset!A7,tbMoveset!A2:I112,9,FALSE)="Water",Backdoors!BC13,IF(VLOOKUP(tbMoveset!A7,tbMoveset!A2:I112,9,FALSE)="Thunder",Backdoors!BD13,IF(VLOOKUP(tbMoveset!A7,tbMoveset!A2:I112,9,FALSE)="Ice",Backdoors!BE13,IF(VLOOKUP(tbMoveset!A7,tbMoveset!A2:I112,9,FALSE)="Dragon",Backdoors!BF13,Backdoors!BG13)))))/100,Backdoors!BG13/100),"")</f>
        <v>0</v>
      </c>
      <c r="BV7" s="49">
        <f>IFERROR(IF(VLOOKUP(A7,tbMoveset!A2:J112,10,FALSE)=TRUE,IF((Backdoors!AI12+IF(BT7&gt;=0.45,VLOOKUP(Calculator!E23,tbSkills!DH3:DI6,2,FALSE)+IF(AND(Calculator!B8=TRUE,Backdoors!BI13=TRUE),VLOOKUP(Calculator!E23,tbSkills!DH3:DJ6,3,FALSE),0),0))&gt;=0,1+(Backdoors!AL2*(IF((Backdoors!AI12+IF(BT7&gt;=0.45,VLOOKUP(Calculator!E23,tbSkills!DH3:DI6,2,FALSE)+IF(AND(Calculator!B8=TRUE,Backdoors!BI13=TRUE),VLOOKUP(Calculator!E23,tbSkills!DH3:DJ6,3,FALSE),0),0))&gt;=100,100,(Backdoors!AI12+IF(BT7&gt;=0.45,VLOOKUP(Calculator!E23,tbSkills!DH3:DI6,2,FALSE)+IF(AND(Calculator!B8=TRUE,Backdoors!BI13=TRUE),VLOOKUP(Calculator!E23,tbSkills!DH3:DJ6,3,FALSE),0),0)))/100)),(1-(0.25*((-Backdoors!AI12-IF(BT7&gt;=0.45,VLOOKUP(Calculator!E23,tbSkills!DH3:DI6,2,FALSE)+IF(AND(Calculator!B8=TRUE,Backdoors!BI13=TRUE),VLOOKUP(Calculator!E23,tbSkills!DH3:DJ6,3,FALSE),0),0))/100)))),1),"")</f>
        <v>1</v>
      </c>
      <c r="BW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T7)*BV7)*(VLOOKUP(A7,tbMoveset!A2:C112,3,FALSE)/100)*IF(VLOOKUP(A7,tbMoveset!A2:B112,2,FALSE)="Projectile",Backdoors!N10,Backdoors!N9),0),"")</f>
        <v/>
      </c>
      <c r="BX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T7&gt;=0.45,VLOOKUP(Calculator!E23,tbSkills!DH3:DI6,2,FALSE)+IF(AND(Calculator!B8=TRUE,Backdoors!BI13=TRUE),VLOOKUP(Calculator!E23,tbSkills!DH3:DJ6,3,FALSE),0),0))&gt;=100,100,(Backdoors!AI12+IF(BT7&gt;=0.45,VLOOKUP(Calculator!E23,tbSkills!DH3:DI6,2,FALSE)+IF(AND(Calculator!B8=TRUE,Backdoors!BI13=TRUE),VLOOKUP(Calculator!E23,tbSkills!DH3:DJ6,3,FALSE),0),0)))/100)),1))*IF(VLOOKUP(A7,tbMoveset!A2:K112,11,FALSE)=TRUE,Backdoors!AC5,1))*BU7,0),"")</f>
        <v>0</v>
      </c>
      <c r="BY7" s="49">
        <f>VLOOKUP(A7,tbMoveset!A2:G112,7,FALSE)*IFERROR(IF(Backdoors!AI12&gt;=0,1+(IF(Calculator!E40&gt;0,VLOOKUP(Calculator!E40,tbSkills!AI3:AJ5,2,FALSE),Backdoors!AL4)*(IF((Backdoors!AI12+IF(BT7&gt;=0.45,VLOOKUP(Calculator!E23,tbSkills!DH3:DI6,2,FALSE)+IF(AND(Calculator!B8=TRUE,Backdoors!BI13=TRUE),VLOOKUP(Calculator!E23,tbSkills!DH3:DJ6,3,FALSE),0),0))&gt;=100,100,(Backdoors!AI12+IF(BT7&gt;=0.45,VLOOKUP(Calculator!E23,tbSkills!DH3:DI6,2,FALSE)+IF(AND(Calculator!B8=TRUE,Backdoors!BI13=TRUE),VLOOKUP(Calculator!E23,tbSkills!DH3:DJ6,3,FALSE),0),0)))/100)),1),1)</f>
        <v>0.5</v>
      </c>
      <c r="BZ7" s="87">
        <f t="shared" si="5"/>
        <v>0</v>
      </c>
      <c r="CA7" s="86" t="str">
        <f>IFERROR(IF(VLOOKUP(A7,tbMoveset!A2:B112,2,FALSE)="Sever",Backdoors!AY14/100,IF(VLOOKUP(A7,tbMoveset!A2:B112,2,FALSE)="Blunt",Backdoors!AZ14/100,Backdoors!BA14/100)),"")</f>
        <v/>
      </c>
      <c r="CB7" s="49">
        <f>IFERROR(IF(VLOOKUP(tbMoveset!A7,tbMoveset!A2:H112,8,FALSE)="Other",IF(VLOOKUP(tbMoveset!A7,tbMoveset!A2:I112,9,FALSE)="Fire",Backdoors!BB14,IF(VLOOKUP(tbMoveset!A7,tbMoveset!A2:I112,9,FALSE)="Water",Backdoors!BC14,IF(VLOOKUP(tbMoveset!A7,tbMoveset!A2:I112,9,FALSE)="Thunder",Backdoors!BD14,IF(VLOOKUP(tbMoveset!A7,tbMoveset!A2:I112,9,FALSE)="Ice",Backdoors!BE14,IF(VLOOKUP(tbMoveset!A7,tbMoveset!A2:I112,9,FALSE)="Dragon",Backdoors!BF14,Backdoors!BG14)))))/100,Backdoors!BG14/100),"")</f>
        <v>0</v>
      </c>
      <c r="CC7" s="49">
        <f>IFERROR(IF(VLOOKUP(A7,tbMoveset!A2:J112,10,FALSE)=TRUE,IF((Backdoors!AI12+IF(CA7&gt;=0.45,VLOOKUP(Calculator!E23,tbSkills!DH3:DI6,2,FALSE)+IF(AND(Calculator!B8=TRUE,Backdoors!BI14=TRUE),VLOOKUP(Calculator!E23,tbSkills!DH3:DJ6,3,FALSE),0),0))&gt;=0,1+(Backdoors!AL2*(IF((Backdoors!AI12+IF(CA7&gt;=0.45,VLOOKUP(Calculator!E23,tbSkills!DH3:DI6,2,FALSE)+IF(AND(Calculator!B8=TRUE,Backdoors!BI14=TRUE),VLOOKUP(Calculator!E23,tbSkills!DH3:DJ6,3,FALSE),0),0))&gt;=100,100,(Backdoors!AI12+IF(CA7&gt;=0.45,VLOOKUP(Calculator!E23,tbSkills!DH3:DI6,2,FALSE)+IF(AND(Calculator!B8=TRUE,Backdoors!BI14=TRUE),VLOOKUP(Calculator!E23,tbSkills!DH3:DJ6,3,FALSE),0),0)))/100)),(1-(0.25*((-Backdoors!AI12-IF(CA7&gt;=0.45,VLOOKUP(Calculator!E23,tbSkills!DH3:DI6,2,FALSE)+IF(AND(Calculator!B8=TRUE,Backdoors!BI14=TRUE),VLOOKUP(Calculator!E23,tbSkills!DH3:DJ6,3,FALSE),0),0))/100)))),1),"")</f>
        <v>1</v>
      </c>
      <c r="CD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A7)*CC7)*(VLOOKUP(A7,tbMoveset!A2:C112,3,FALSE)/100)*IF(VLOOKUP(A7,tbMoveset!A2:B112,2,FALSE)="Projectile",Backdoors!N10,Backdoors!N9),0),"")</f>
        <v/>
      </c>
      <c r="CE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A7&gt;=0.45,VLOOKUP(Calculator!E23,tbSkills!DH3:DI6,2,FALSE)+IF(AND(Calculator!B8=TRUE,Backdoors!BI14=TRUE),VLOOKUP(Calculator!E23,tbSkills!DH3:DJ6,3,FALSE),0),0))&gt;=100,100,(Backdoors!AI12+IF(CA7&gt;=0.45,VLOOKUP(Calculator!E23,tbSkills!DH3:DI6,2,FALSE)+IF(AND(Calculator!B8=TRUE,Backdoors!BI14=TRUE),VLOOKUP(Calculator!E23,tbSkills!DH3:DJ6,3,FALSE),0),0)))/100)),1))*IF(VLOOKUP(A7,tbMoveset!A2:K112,11,FALSE)=TRUE,Backdoors!AC5,1))*CB7,0),"")</f>
        <v>0</v>
      </c>
      <c r="CF7" s="49">
        <f>VLOOKUP(A7,tbMoveset!A2:G112,7,FALSE)*IFERROR(IF(Backdoors!AI12&gt;=0,1+(IF(Calculator!E40&gt;0,VLOOKUP(Calculator!E40,tbSkills!AI3:AJ5,2,FALSE),Backdoors!AL4)*(IF((Backdoors!AI12+IF(CA7&gt;=0.45,VLOOKUP(Calculator!E23,tbSkills!DH3:DI6,2,FALSE)+IF(AND(Calculator!B8=TRUE,Backdoors!BI14=TRUE),VLOOKUP(Calculator!E23,tbSkills!DH3:DJ6,3,FALSE),0),0))&gt;=100,100,(Backdoors!AI12+IF(CA7&gt;=0.45,VLOOKUP(Calculator!E23,tbSkills!DH3:DI6,2,FALSE)+IF(AND(Calculator!B8=TRUE,Backdoors!BI14=TRUE),VLOOKUP(Calculator!E23,tbSkills!DH3:DJ6,3,FALSE),0),0)))/100)),1),1)</f>
        <v>0.5</v>
      </c>
      <c r="CG7" s="87">
        <f t="shared" si="6"/>
        <v>0</v>
      </c>
      <c r="CH7" s="86" t="str">
        <f>IFERROR(IF(VLOOKUP(A7,tbMoveset!A2:B112,2,FALSE)="Sever",Backdoors!AY15/100,IF(VLOOKUP(A7,tbMoveset!A2:B112,2,FALSE)="Blunt",Backdoors!AZ15/100,Backdoors!BA15/100)),"")</f>
        <v/>
      </c>
      <c r="CI7" s="49">
        <f>IFERROR(IF(VLOOKUP(tbMoveset!A7,tbMoveset!A2:H112,8,FALSE)="Other",IF(VLOOKUP(tbMoveset!A7,tbMoveset!A2:I112,9,FALSE)="Fire",Backdoors!BB15,IF(VLOOKUP(tbMoveset!A7,tbMoveset!A2:I112,9,FALSE)="Water",Backdoors!BC15,IF(VLOOKUP(tbMoveset!A7,tbMoveset!A2:I112,9,FALSE)="Thunder",Backdoors!BD15,IF(VLOOKUP(tbMoveset!A7,tbMoveset!A2:I112,9,FALSE)="Ice",Backdoors!BE15,IF(VLOOKUP(tbMoveset!A7,tbMoveset!A2:I112,9,FALSE)="Dragon",Backdoors!BF15,Backdoors!BG15)))))/100,Backdoors!BG15/100),"")</f>
        <v>0</v>
      </c>
      <c r="CJ7" s="49">
        <f>IFERROR(IF(VLOOKUP(A7,tbMoveset!A2:J112,10,FALSE)=TRUE,IF((Backdoors!AI12+IF(CH7&gt;=0.45,VLOOKUP(Calculator!E23,tbSkills!DH3:DI6,2,FALSE)+IF(AND(Calculator!B8=TRUE,Backdoors!BI15=TRUE),VLOOKUP(Calculator!E23,tbSkills!DH3:DJ6,3,FALSE),0),0))&gt;=0,1+(Backdoors!AL2*(IF((Backdoors!AI12+IF(CH7&gt;=0.45,VLOOKUP(Calculator!E23,tbSkills!DH3:DI6,2,FALSE)+IF(AND(Calculator!B8=TRUE,Backdoors!BI15=TRUE),VLOOKUP(Calculator!E23,tbSkills!DH3:DJ6,3,FALSE),0),0))&gt;=100,100,(Backdoors!AI12+IF(CH7&gt;=0.45,VLOOKUP(Calculator!E23,tbSkills!DH3:DI6,2,FALSE)+IF(AND(Calculator!B8=TRUE,Backdoors!BI15=TRUE),VLOOKUP(Calculator!E23,tbSkills!DH3:DJ6,3,FALSE),0),0)))/100)),(1-(0.25*((-Backdoors!AI12-IF(CH7&gt;=0.45,VLOOKUP(Calculator!E23,tbSkills!DH3:DI6,2,FALSE)+IF(AND(Calculator!B8=TRUE,Backdoors!BI15=TRUE),VLOOKUP(Calculator!E23,tbSkills!DH3:DJ6,3,FALSE),0),0))/100)))),1),"")</f>
        <v>1</v>
      </c>
      <c r="CK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H7)*CJ7)*(VLOOKUP(A7,tbMoveset!A2:C112,3,FALSE)/100)*IF(VLOOKUP(A7,tbMoveset!A2:B112,2,FALSE)="Projectile",Backdoors!N10,Backdoors!N9),0),"")</f>
        <v/>
      </c>
      <c r="CL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H7&gt;=0.45,VLOOKUP(Calculator!E23,tbSkills!DH3:DI6,2,FALSE)+IF(AND(Calculator!B8=TRUE,Backdoors!BI15=TRUE),VLOOKUP(Calculator!E23,tbSkills!DH3:DJ6,3,FALSE),0),0))&gt;=100,100,(Backdoors!AI12+IF(CH7&gt;=0.45,VLOOKUP(Calculator!E23,tbSkills!DH3:DI6,2,FALSE)+IF(AND(Calculator!B8=TRUE,Backdoors!BI15=TRUE),VLOOKUP(Calculator!E23,tbSkills!DH3:DJ6,3,FALSE),0),0)))/100)),1))*IF(VLOOKUP(A7,tbMoveset!A2:K112,11,FALSE)=TRUE,Backdoors!AC5,1))*CI7,0),"")</f>
        <v>0</v>
      </c>
      <c r="CM7" s="49">
        <f>VLOOKUP(A7,tbMoveset!A2:G112,7,FALSE)*IFERROR(IF(Backdoors!AI12&gt;=0,1+(IF(Calculator!E40&gt;0,VLOOKUP(Calculator!E40,tbSkills!AI3:AJ5,2,FALSE),Backdoors!AL4)*(IF((Backdoors!AI12+IF(CH7&gt;=0.45,VLOOKUP(Calculator!E23,tbSkills!DH3:DI6,2,FALSE)+IF(AND(Calculator!B8=TRUE,Backdoors!BI15=TRUE),VLOOKUP(Calculator!E23,tbSkills!DH3:DJ6,3,FALSE),0),0))&gt;=100,100,(Backdoors!AI12+IF(CH7&gt;=0.45,VLOOKUP(Calculator!E23,tbSkills!DH3:DI6,2,FALSE)+IF(AND(Calculator!B8=TRUE,Backdoors!BI15=TRUE),VLOOKUP(Calculator!E23,tbSkills!DH3:DJ6,3,FALSE),0),0)))/100)),1),1)</f>
        <v>0.5</v>
      </c>
      <c r="CN7" s="87">
        <f t="shared" si="7"/>
        <v>0</v>
      </c>
      <c r="CO7" s="86" t="str">
        <f>IFERROR(IF(VLOOKUP(A7,tbMoveset!A2:B112,2,FALSE)="Sever",Backdoors!AY16/100,IF(VLOOKUP(A7,tbMoveset!A2:B112,2,FALSE)="Blunt",Backdoors!AZ16/100,Backdoors!BA16/100)),"")</f>
        <v/>
      </c>
      <c r="CP7" s="49">
        <f>IFERROR(IF(VLOOKUP(tbMoveset!A7,tbMoveset!A2:H112,8,FALSE)="Other",IF(VLOOKUP(tbMoveset!A7,tbMoveset!A2:I112,9,FALSE)="Fire",Backdoors!BB16,IF(VLOOKUP(tbMoveset!A7,tbMoveset!A2:I112,9,FALSE)="Water",Backdoors!BC16,IF(VLOOKUP(tbMoveset!A7,tbMoveset!A2:I112,9,FALSE)="Thunder",Backdoors!BD16,IF(VLOOKUP(tbMoveset!A7,tbMoveset!A2:I112,9,FALSE)="Ice",Backdoors!BE16,IF(VLOOKUP(tbMoveset!A7,tbMoveset!A2:I112,9,FALSE)="Dragon",Backdoors!BF16,Backdoors!BG16)))))/100,Backdoors!BG16/100),"")</f>
        <v>0</v>
      </c>
      <c r="CQ7" s="49">
        <f>IFERROR(IF(VLOOKUP(A7,tbMoveset!A2:J112,10,FALSE)=TRUE,IF((Backdoors!AI12+IF(CO7&gt;=0.45,VLOOKUP(Calculator!E23,tbSkills!DH3:DI6,2,FALSE)+IF(AND(Calculator!B8=TRUE,Backdoors!BI16=TRUE),VLOOKUP(Calculator!E23,tbSkills!DH3:DJ6,3,FALSE),0),0))&gt;=0,1+(Backdoors!AL2*(IF((Backdoors!AI12+IF(CO7&gt;=0.45,VLOOKUP(Calculator!E23,tbSkills!DH3:DI6,2,FALSE)+IF(AND(Calculator!B8=TRUE,Backdoors!BI16=TRUE),VLOOKUP(Calculator!E23,tbSkills!DH3:DJ6,3,FALSE),0),0))&gt;=100,100,(Backdoors!AI12+IF(CO7&gt;=0.45,VLOOKUP(Calculator!E23,tbSkills!DH3:DI6,2,FALSE)+IF(AND(Calculator!B8=TRUE,Backdoors!BI16=TRUE),VLOOKUP(Calculator!E23,tbSkills!DH3:DJ6,3,FALSE),0),0)))/100)),(1-(0.25*((-Backdoors!AI12-IF(CO7&gt;=0.45,VLOOKUP(Calculator!E23,tbSkills!DH3:DI6,2,FALSE)+IF(AND(Calculator!B8=TRUE,Backdoors!BI16=TRUE),VLOOKUP(Calculator!E23,tbSkills!DH3:DJ6,3,FALSE),0),0))/100)))),1),"")</f>
        <v>1</v>
      </c>
      <c r="CR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O7)*CQ7)*(VLOOKUP(A7,tbMoveset!A2:C112,3,FALSE)/100)*IF(VLOOKUP(A7,tbMoveset!A2:B112,2,FALSE)="Projectile",Backdoors!N10,Backdoors!N9),0),"")</f>
        <v/>
      </c>
      <c r="CS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O7&gt;=0.45,VLOOKUP(Calculator!E23,tbSkills!DH3:DI6,2,FALSE)+IF(AND(Calculator!B8=TRUE,Backdoors!BI16=TRUE),VLOOKUP(Calculator!E23,tbSkills!DH3:DJ6,3,FALSE),0),0))&gt;=100,100,(Backdoors!AI12+IF(CO7&gt;=0.45,VLOOKUP(Calculator!E23,tbSkills!DH3:DI6,2,FALSE)+IF(AND(Calculator!B8=TRUE,Backdoors!BI16=TRUE),VLOOKUP(Calculator!E23,tbSkills!DH3:DJ6,3,FALSE),0),0)))/100)),1))*IF(VLOOKUP(A7,tbMoveset!A2:K112,11,FALSE)=TRUE,Backdoors!AC5,1))*CP7,0),"")</f>
        <v>0</v>
      </c>
      <c r="CT7" s="49">
        <f>VLOOKUP(A7,tbMoveset!A2:G112,7,FALSE)*IFERROR(IF(Backdoors!AI12&gt;=0,1+(IF(Calculator!E40&gt;0,VLOOKUP(Calculator!E40,tbSkills!AI3:AJ5,2,FALSE),Backdoors!AL4)*(IF((Backdoors!AI12+IF(CO7&gt;=0.45,VLOOKUP(Calculator!E23,tbSkills!DH3:DI6,2,FALSE)+IF(AND(Calculator!B8=TRUE,Backdoors!BI16=TRUE),VLOOKUP(Calculator!E23,tbSkills!DH3:DJ6,3,FALSE),0),0))&gt;=100,100,(Backdoors!AI12+IF(CO7&gt;=0.45,VLOOKUP(Calculator!E23,tbSkills!DH3:DI6,2,FALSE)+IF(AND(Calculator!B8=TRUE,Backdoors!BI16=TRUE),VLOOKUP(Calculator!E23,tbSkills!DH3:DJ6,3,FALSE),0),0)))/100)),1),1)</f>
        <v>0.5</v>
      </c>
      <c r="CU7" s="87">
        <f t="shared" si="40"/>
        <v>0</v>
      </c>
      <c r="CV7" s="86" t="str">
        <f>IFERROR(IF(VLOOKUP(A7,tbMoveset!A2:B112,2,FALSE)="Sever",Backdoors!AY17/100,IF(VLOOKUP(A7,tbMoveset!A2:B112,2,FALSE)="Blunt",Backdoors!AZ17/100,Backdoors!BA17/100)),"")</f>
        <v/>
      </c>
      <c r="CW7" s="49">
        <f>IFERROR(IF(VLOOKUP(tbMoveset!A7,tbMoveset!A2:H112,8,FALSE)="Other",IF(VLOOKUP(tbMoveset!A7,tbMoveset!A2:I112,9,FALSE)="Fire",Backdoors!BB17,IF(VLOOKUP(tbMoveset!A7,tbMoveset!A2:I112,9,FALSE)="Water",Backdoors!BC17,IF(VLOOKUP(tbMoveset!A7,tbMoveset!A2:I112,9,FALSE)="Thunder",Backdoors!BD17,IF(VLOOKUP(tbMoveset!A7,tbMoveset!A2:I112,9,FALSE)="Ice",Backdoors!BE17,IF(VLOOKUP(tbMoveset!A7,tbMoveset!A2:I112,9,FALSE)="Dragon",Backdoors!BF17,Backdoors!BG17)))))/100,Backdoors!BG17/100),"")</f>
        <v>0</v>
      </c>
      <c r="CX7" s="49">
        <f>IFERROR(IF(VLOOKUP(A7,tbMoveset!A2:J112,10,FALSE)=TRUE,IF((Backdoors!AI12+IF(CV7&gt;=0.45,VLOOKUP(Calculator!E23,tbSkills!DH3:DI6,2,FALSE)+IF(AND(Calculator!B8=TRUE,Backdoors!BI17=TRUE),VLOOKUP(Calculator!E23,tbSkills!DH3:DJ6,3,FALSE),0),0))&gt;=0,1+(Backdoors!AL2*(IF((Backdoors!AI12+IF(CV7&gt;=0.45,VLOOKUP(Calculator!E23,tbSkills!DH3:DI6,2,FALSE)+IF(AND(Calculator!B8=TRUE,Backdoors!BI17=TRUE),VLOOKUP(Calculator!E23,tbSkills!DH3:DJ6,3,FALSE),0),0))&gt;=100,100,(Backdoors!AI12+IF(CV7&gt;=0.45,VLOOKUP(Calculator!E23,tbSkills!DH3:DI6,2,FALSE)+IF(AND(Calculator!B8=TRUE,Backdoors!BI17=TRUE),VLOOKUP(Calculator!E23,tbSkills!DH3:DJ6,3,FALSE),0),0)))/100)),(1-(0.25*((-Backdoors!AI12-IF(CV7&gt;=0.45,VLOOKUP(Calculator!E23,tbSkills!DH3:DI6,2,FALSE)+IF(AND(Calculator!B8=TRUE,Backdoors!BI17=TRUE),VLOOKUP(Calculator!E23,tbSkills!DH3:DJ6,3,FALSE),0),0))/100)))),1),"")</f>
        <v>1</v>
      </c>
      <c r="CY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V7)*CX7)*(VLOOKUP(A7,tbMoveset!A2:C112,3,FALSE)/100)*IF(VLOOKUP(A7,tbMoveset!A2:B112,2,FALSE)="Projectile",Backdoors!N10,Backdoors!N9),0),"")</f>
        <v/>
      </c>
      <c r="CZ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V7&gt;=0.45,VLOOKUP(Calculator!E23,tbSkills!DH3:DI6,2,FALSE)+IF(AND(Calculator!B8=TRUE,Backdoors!BI17=TRUE),VLOOKUP(Calculator!E23,tbSkills!DH3:DJ6,3,FALSE),0),0))&gt;=100,100,(Backdoors!AI12+IF(CV7&gt;=0.45,VLOOKUP(Calculator!E23,tbSkills!DH3:DI6,2,FALSE)+IF(AND(Calculator!B8=TRUE,Backdoors!BI17=TRUE),VLOOKUP(Calculator!E23,tbSkills!DH3:DJ6,3,FALSE),0),0)))/100)),1))*IF(VLOOKUP(A7,tbMoveset!A2:K112,11,FALSE)=TRUE,Backdoors!AC5,1))*CW7,0),"")</f>
        <v>0</v>
      </c>
      <c r="DA7" s="49">
        <f>VLOOKUP(A7,tbMoveset!A2:G112,7,FALSE)*IFERROR(IF(Backdoors!AI12&gt;=0,1+(IF(Calculator!E40&gt;0,VLOOKUP(Calculator!E40,tbSkills!AI3:AJ5,2,FALSE),Backdoors!AL4)*(IF((Backdoors!AI12+IF(CV7&gt;=0.45,VLOOKUP(Calculator!E23,tbSkills!DH3:DI6,2,FALSE)+IF(AND(Calculator!B8=TRUE,Backdoors!BI17=TRUE),VLOOKUP(Calculator!E23,tbSkills!DH3:DJ6,3,FALSE),0),0))&gt;=100,100,(Backdoors!AI12+IF(CV7&gt;=0.45,VLOOKUP(Calculator!E23,tbSkills!DH3:DI6,2,FALSE)+IF(AND(Calculator!B8=TRUE,Backdoors!BI17=TRUE),VLOOKUP(Calculator!E23,tbSkills!DH3:DJ6,3,FALSE),0),0)))/100)),1),1)</f>
        <v>0.5</v>
      </c>
      <c r="DB7" s="87">
        <f t="shared" si="8"/>
        <v>0</v>
      </c>
      <c r="DC7" s="86" t="str">
        <f>IFERROR(IF(VLOOKUP(A7,tbMoveset!A2:B112,2,FALSE)="Sever",Backdoors!AY18/100,IF(VLOOKUP(A7,tbMoveset!A2:B112,2,FALSE)="Blunt",Backdoors!AZ18/100,Backdoors!BA18/100)),"")</f>
        <v/>
      </c>
      <c r="DD7" s="49">
        <f>IFERROR(IF(VLOOKUP(tbMoveset!A7,tbMoveset!A2:H112,8,FALSE)="Other",IF(VLOOKUP(tbMoveset!A7,tbMoveset!A2:I112,9,FALSE)="Fire",Backdoors!BB18,IF(VLOOKUP(tbMoveset!A7,tbMoveset!A2:I112,9,FALSE)="Water",Backdoors!BC18,IF(VLOOKUP(tbMoveset!A7,tbMoveset!A2:I112,9,FALSE)="Thunder",Backdoors!BD18,IF(VLOOKUP(tbMoveset!A7,tbMoveset!A2:I112,9,FALSE)="Ice",Backdoors!BE18,IF(VLOOKUP(tbMoveset!A7,tbMoveset!A2:I112,9,FALSE)="Dragon",Backdoors!BF18,Backdoors!BG18)))))/100,Backdoors!BG18/100),"")</f>
        <v>0</v>
      </c>
      <c r="DE7" s="49">
        <f>IFERROR(IF(VLOOKUP(A7,tbMoveset!A2:J112,10,FALSE)=TRUE,IF((Backdoors!AI12+IF(DC7&gt;=0.45,VLOOKUP(Calculator!E23,tbSkills!DH3:DI6,2,FALSE)+IF(AND(Calculator!B8=TRUE,Backdoors!BI18=TRUE),VLOOKUP(Calculator!E23,tbSkills!DH3:DJ6,3,FALSE),0),0))&gt;=0,1+(Backdoors!AL2*(IF((Backdoors!AI12+IF(DC7&gt;=0.45,VLOOKUP(Calculator!E23,tbSkills!DH3:DI6,2,FALSE)+IF(AND(Calculator!B8=TRUE,Backdoors!BI18=TRUE),VLOOKUP(Calculator!E23,tbSkills!DH3:DJ6,3,FALSE),0),0))&gt;=100,100,(Backdoors!AI12+IF(DC7&gt;=0.45,VLOOKUP(Calculator!E23,tbSkills!DH3:DI6,2,FALSE)+IF(AND(Calculator!B8=TRUE,Backdoors!BI18=TRUE),VLOOKUP(Calculator!E23,tbSkills!DH3:DJ6,3,FALSE),0),0)))/100)),(1-(0.25*((-Backdoors!AI12-IF(DC7&gt;=0.45,VLOOKUP(Calculator!E23,tbSkills!DH3:DI6,2,FALSE)+IF(AND(Calculator!B8=TRUE,Backdoors!BI18=TRUE),VLOOKUP(Calculator!E23,tbSkills!DH3:DJ6,3,FALSE),0),0))/100)))),1),"")</f>
        <v>1</v>
      </c>
      <c r="DF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C7)*DE7)*(VLOOKUP(A7,tbMoveset!A2:C112,3,FALSE)/100)*IF(VLOOKUP(A7,tbMoveset!A2:B112,2,FALSE)="Projectile",Backdoors!N10,Backdoors!N9),0),"")</f>
        <v/>
      </c>
      <c r="DG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C7&gt;=0.45,VLOOKUP(Calculator!E23,tbSkills!DH3:DI6,2,FALSE)+IF(AND(Calculator!B8=TRUE,Backdoors!BI18=TRUE),VLOOKUP(Calculator!E23,tbSkills!DH3:DJ6,3,FALSE),0),0))&gt;=100,100,(Backdoors!AI12+IF(DC7&gt;=0.45,VLOOKUP(Calculator!E23,tbSkills!DH3:DI6,2,FALSE)+IF(AND(Calculator!B8=TRUE,Backdoors!BI18=TRUE),VLOOKUP(Calculator!E23,tbSkills!DH3:DJ6,3,FALSE),0),0)))/100)),1))*IF(VLOOKUP(A7,tbMoveset!A2:K112,11,FALSE)=TRUE,Backdoors!AC5,1))*DD7,0),"")</f>
        <v>0</v>
      </c>
      <c r="DH7" s="49">
        <f>VLOOKUP(A7,tbMoveset!A2:G112,7,FALSE)*IFERROR(IF(Backdoors!AI12&gt;=0,1+(IF(Calculator!E40&gt;0,VLOOKUP(Calculator!E40,tbSkills!AI3:AJ5,2,FALSE),Backdoors!AL4)*(IF((Backdoors!AI12+IF(DC7&gt;=0.45,VLOOKUP(Calculator!E23,tbSkills!DH3:DI6,2,FALSE)+IF(AND(Calculator!B8=TRUE,Backdoors!BI18=TRUE),VLOOKUP(Calculator!E23,tbSkills!DH3:DJ6,3,FALSE),0),0))&gt;=100,100,(Backdoors!AI12+IF(DC7&gt;=0.45,VLOOKUP(Calculator!E23,tbSkills!DH3:DI6,2,FALSE)+IF(AND(Calculator!B8=TRUE,Backdoors!BI18=TRUE),VLOOKUP(Calculator!E23,tbSkills!DH3:DJ6,3,FALSE),0),0)))/100)),1),1)</f>
        <v>0.5</v>
      </c>
      <c r="DI7" s="87">
        <f t="shared" si="9"/>
        <v>0</v>
      </c>
      <c r="DJ7" s="86" t="str">
        <f>IFERROR(IF(VLOOKUP(A7,tbMoveset!A2:B112,2,FALSE)="Sever",Backdoors!AY19/100,IF(VLOOKUP(A7,tbMoveset!A2:B112,2,FALSE)="Blunt",Backdoors!AZ19/100,Backdoors!BA19/100)),"")</f>
        <v/>
      </c>
      <c r="DK7" s="49">
        <f>IFERROR(IF(VLOOKUP(tbMoveset!A7,tbMoveset!A2:H112,8,FALSE)="Other",IF(VLOOKUP(tbMoveset!A7,tbMoveset!A2:I112,9,FALSE)="Fire",Backdoors!BB19,IF(VLOOKUP(tbMoveset!A7,tbMoveset!A2:I112,9,FALSE)="Water",Backdoors!BC19,IF(VLOOKUP(tbMoveset!A7,tbMoveset!A2:I112,9,FALSE)="Thunder",Backdoors!BD19,IF(VLOOKUP(tbMoveset!A7,tbMoveset!A2:I112,9,FALSE)="Ice",Backdoors!BE19,IF(VLOOKUP(tbMoveset!A7,tbMoveset!A2:I112,9,FALSE)="Dragon",Backdoors!BF19,Backdoors!BG19)))))/100,Backdoors!BG19/100),"")</f>
        <v>0</v>
      </c>
      <c r="DL7" s="49">
        <f>IFERROR(IF(VLOOKUP(A7,tbMoveset!A2:J112,10,FALSE)=TRUE,IF((Backdoors!AI12+IF(DJ7&gt;=0.45,VLOOKUP(Calculator!E23,tbSkills!DH3:DI6,2,FALSE)+IF(AND(Calculator!B8=TRUE,Backdoors!BI19=TRUE),VLOOKUP(Calculator!E23,tbSkills!DH3:DJ6,3,FALSE),0),0))&gt;=0,1+(Backdoors!AL2*(IF((Backdoors!AI12+IF(DJ7&gt;=0.45,VLOOKUP(Calculator!E23,tbSkills!DH3:DI6,2,FALSE)+IF(AND(Calculator!B8=TRUE,Backdoors!BI19=TRUE),VLOOKUP(Calculator!E23,tbSkills!DH3:DJ6,3,FALSE),0),0))&gt;=100,100,(Backdoors!AI12+IF(DJ7&gt;=0.45,VLOOKUP(Calculator!E23,tbSkills!DH3:DI6,2,FALSE)+IF(AND(Calculator!B8=TRUE,Backdoors!BI19=TRUE),VLOOKUP(Calculator!E23,tbSkills!DH3:DJ6,3,FALSE),0),0)))/100)),(1-(0.25*((-Backdoors!AI12-IF(DJ7&gt;=0.45,VLOOKUP(Calculator!E23,tbSkills!DH3:DI6,2,FALSE)+IF(AND(Calculator!B8=TRUE,Backdoors!BI19=TRUE),VLOOKUP(Calculator!E23,tbSkills!DH3:DJ6,3,FALSE),0),0))/100)))),1),"")</f>
        <v>1</v>
      </c>
      <c r="DM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J7)*DL7)*(VLOOKUP(A7,tbMoveset!A2:C112,3,FALSE)/100)*IF(VLOOKUP(A7,tbMoveset!A2:B112,2,FALSE)="Projectile",Backdoors!N10,Backdoors!N9),0),"")</f>
        <v/>
      </c>
      <c r="DN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J7&gt;=0.45,VLOOKUP(Calculator!E23,tbSkills!DH3:DI6,2,FALSE)+IF(AND(Calculator!B8=TRUE,Backdoors!BI19=TRUE),VLOOKUP(Calculator!E23,tbSkills!DH3:DJ6,3,FALSE),0),0))&gt;=100,100,(Backdoors!AI12+IF(DJ7&gt;=0.45,VLOOKUP(Calculator!E23,tbSkills!DH3:DI6,2,FALSE)+IF(AND(Calculator!B8=TRUE,Backdoors!BI19=TRUE),VLOOKUP(Calculator!E23,tbSkills!DH3:DJ6,3,FALSE),0),0)))/100)),1))*IF(VLOOKUP(A7,tbMoveset!A2:K112,11,FALSE)=TRUE,Backdoors!AC5,1))*DK7,0),"")</f>
        <v>0</v>
      </c>
      <c r="DO7" s="49">
        <f>VLOOKUP(A7,tbMoveset!A2:G112,7,FALSE)*IFERROR(IF(Backdoors!AI12&gt;=0,1+(IF(Calculator!E40&gt;0,VLOOKUP(Calculator!E40,tbSkills!AI3:AJ5,2,FALSE),Backdoors!AL4)*(IF((Backdoors!AI12+IF(DJ7&gt;=0.45,VLOOKUP(Calculator!E23,tbSkills!DH3:DI6,2,FALSE)+IF(AND(Calculator!B8=TRUE,Backdoors!BI19=TRUE),VLOOKUP(Calculator!E23,tbSkills!DH3:DJ6,3,FALSE),0),0))&gt;=100,100,(Backdoors!AI12+IF(DJ7&gt;=0.45,VLOOKUP(Calculator!E23,tbSkills!DH3:DI6,2,FALSE)+IF(AND(Calculator!B8=TRUE,Backdoors!BI19=TRUE),VLOOKUP(Calculator!E23,tbSkills!DH3:DJ6,3,FALSE),0),0)))/100)),1),1)</f>
        <v>0.5</v>
      </c>
      <c r="DP7" s="87">
        <f t="shared" si="41"/>
        <v>0</v>
      </c>
      <c r="DQ7" s="86" t="str">
        <f>IFERROR(IF(VLOOKUP(A7,tbMoveset!A2:B112,2,FALSE)="Sever",Backdoors!AY20/100,IF(VLOOKUP(A7,tbMoveset!A2:B112,2,FALSE)="Blunt",Backdoors!AZ20/100,Backdoors!BA20/100)),"")</f>
        <v/>
      </c>
      <c r="DR7" s="49">
        <f>IFERROR(IF(VLOOKUP(tbMoveset!A7,tbMoveset!A2:H112,8,FALSE)="Other",IF(VLOOKUP(tbMoveset!A7,tbMoveset!A2:I112,9,FALSE)="Fire",Backdoors!BB20,IF(VLOOKUP(tbMoveset!A7,tbMoveset!A2:I112,9,FALSE)="Water",Backdoors!BC20,IF(VLOOKUP(tbMoveset!A7,tbMoveset!A2:I112,9,FALSE)="Thunder",Backdoors!BD20,IF(VLOOKUP(tbMoveset!A7,tbMoveset!A2:I112,9,FALSE)="Ice",Backdoors!BE20,IF(VLOOKUP(tbMoveset!A7,tbMoveset!A2:I112,9,FALSE)="Dragon",Backdoors!BF20,Backdoors!BG20)))))/100,Backdoors!BG20/100),"")</f>
        <v>0</v>
      </c>
      <c r="DS7" s="49">
        <f>IFERROR(IF(VLOOKUP(A7,tbMoveset!A2:J112,10,FALSE)=TRUE,IF((Backdoors!AI12+IF(DQ7&gt;=0.45,VLOOKUP(Calculator!E23,tbSkills!DH3:DI6,2,FALSE)+IF(AND(Calculator!B8=TRUE,Backdoors!BI20=TRUE),VLOOKUP(Calculator!E23,tbSkills!DH3:DJ6,3,FALSE),0),0))&gt;=0,1+(Backdoors!AL2*(IF((Backdoors!AI12+IF(DQ7&gt;=0.45,VLOOKUP(Calculator!E23,tbSkills!DH3:DI6,2,FALSE)+IF(AND(Calculator!B8=TRUE,Backdoors!BI20=TRUE),VLOOKUP(Calculator!E23,tbSkills!DH3:DJ6,3,FALSE),0),0))&gt;=100,100,(Backdoors!AI12+IF(DQ7&gt;=0.45,VLOOKUP(Calculator!E23,tbSkills!DH3:DI6,2,FALSE)+IF(AND(Calculator!B8=TRUE,Backdoors!BI20=TRUE),VLOOKUP(Calculator!E23,tbSkills!DH3:DJ6,3,FALSE),0),0)))/100)),(1-(0.25*((-Backdoors!AI12-IF(DQ7&gt;=0.45,VLOOKUP(Calculator!E23,tbSkills!DH3:DI6,2,FALSE)+IF(AND(Calculator!B8=TRUE,Backdoors!BI20=TRUE),VLOOKUP(Calculator!E23,tbSkills!DH3:DJ6,3,FALSE),0),0))/100)))),1),"")</f>
        <v>1</v>
      </c>
      <c r="DT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Q7)*DS7)*(VLOOKUP(A7,tbMoveset!A2:C112,3,FALSE)/100)*IF(VLOOKUP(A7,tbMoveset!A2:B112,2,FALSE)="Projectile",Backdoors!N10,Backdoors!N9),0),"")</f>
        <v/>
      </c>
      <c r="DU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Q7&gt;=0.45,VLOOKUP(Calculator!E23,tbSkills!DH3:DI6,2,FALSE)+IF(AND(Calculator!B8=TRUE,Backdoors!BI20=TRUE),VLOOKUP(Calculator!E23,tbSkills!DH3:DJ6,3,FALSE),0),0))&gt;=100,100,(Backdoors!AI12+IF(DQ7&gt;=0.45,VLOOKUP(Calculator!E23,tbSkills!DH3:DI6,2,FALSE)+IF(AND(Calculator!B8=TRUE,Backdoors!BI20=TRUE),VLOOKUP(Calculator!E23,tbSkills!DH3:DJ6,3,FALSE),0),0)))/100)),1))*IF(VLOOKUP(A7,tbMoveset!A2:K112,11,FALSE)=TRUE,Backdoors!AC5,1))*DR7,0),"")</f>
        <v>0</v>
      </c>
      <c r="DV7" s="49">
        <f>VLOOKUP(A7,tbMoveset!A2:G112,7,FALSE)*IFERROR(IF(Backdoors!AI12&gt;=0,1+(IF(Calculator!E40&gt;0,VLOOKUP(Calculator!E40,tbSkills!AI3:AJ5,2,FALSE),Backdoors!AL4)*(IF((Backdoors!AI12+IF(DQ7&gt;=0.45,VLOOKUP(Calculator!E23,tbSkills!DH3:DI6,2,FALSE)+IF(AND(Calculator!B8=TRUE,Backdoors!BI20=TRUE),VLOOKUP(Calculator!E23,tbSkills!DH3:DJ6,3,FALSE),0),0))&gt;=100,100,(Backdoors!AI12+IF(DQ7&gt;=0.45,VLOOKUP(Calculator!E23,tbSkills!DH3:DI6,2,FALSE)+IF(AND(Calculator!B8=TRUE,Backdoors!BI20=TRUE),VLOOKUP(Calculator!E23,tbSkills!DH3:DJ6,3,FALSE),0),0)))/100)),1),1)</f>
        <v>0.5</v>
      </c>
      <c r="DW7" s="87">
        <f t="shared" si="10"/>
        <v>0</v>
      </c>
      <c r="DX7" s="86" t="str">
        <f>IFERROR(IF(VLOOKUP(A7,tbMoveset!A2:B112,2,FALSE)="Sever",Backdoors!AY21/100,IF(VLOOKUP(A7,tbMoveset!A2:B112,2,FALSE)="Blunt",Backdoors!AZ21/100,Backdoors!BA21/100)),"")</f>
        <v/>
      </c>
      <c r="DY7" s="49">
        <f>IFERROR(IF(VLOOKUP(tbMoveset!A7,tbMoveset!A2:H112,8,FALSE)="Other",IF(VLOOKUP(tbMoveset!A7,tbMoveset!A2:I112,9,FALSE)="Fire",Backdoors!BB21,IF(VLOOKUP(tbMoveset!A7,tbMoveset!A2:I112,9,FALSE)="Water",Backdoors!BC21,IF(VLOOKUP(tbMoveset!A7,tbMoveset!A2:I112,9,FALSE)="Thunder",Backdoors!BD21,IF(VLOOKUP(tbMoveset!A7,tbMoveset!A2:I112,9,FALSE)="Ice",Backdoors!BE21,IF(VLOOKUP(tbMoveset!A7,tbMoveset!A2:I112,9,FALSE)="Dragon",Backdoors!BF21,Backdoors!BG21)))))/100,Backdoors!BG21/100),"")</f>
        <v>0</v>
      </c>
      <c r="DZ7" s="49">
        <f>IFERROR(IF(VLOOKUP(A7,tbMoveset!A2:J112,10,FALSE)=TRUE,IF((Backdoors!AI12+IF(DX7&gt;=0.45,VLOOKUP(Calculator!E23,tbSkills!DH3:DI6,2,FALSE)+IF(AND(Calculator!B8=TRUE,Backdoors!BI21=TRUE),VLOOKUP(Calculator!E23,tbSkills!DH3:DJ6,3,FALSE),0),0))&gt;=0,1+(Backdoors!AL2*(IF((Backdoors!AI12+IF(DX7&gt;=0.45,VLOOKUP(Calculator!E23,tbSkills!DH3:DI6,2,FALSE)+IF(AND(Calculator!B8=TRUE,Backdoors!BI21=TRUE),VLOOKUP(Calculator!E23,tbSkills!DH3:DJ6,3,FALSE),0),0))&gt;=100,100,(Backdoors!AI12+IF(DX7&gt;=0.45,VLOOKUP(Calculator!E23,tbSkills!DH3:DI6,2,FALSE)+IF(AND(Calculator!B8=TRUE,Backdoors!BI21=TRUE),VLOOKUP(Calculator!E23,tbSkills!DH3:DJ6,3,FALSE),0),0)))/100)),(1-(0.25*((-Backdoors!AI12-IF(DX7&gt;=0.45,VLOOKUP(Calculator!E23,tbSkills!DH3:DI6,2,FALSE)+IF(AND(Calculator!B8=TRUE,Backdoors!BI21=TRUE),VLOOKUP(Calculator!E23,tbSkills!DH3:DJ6,3,FALSE),0),0))/100)))),1),"")</f>
        <v>1</v>
      </c>
      <c r="EA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X7)*DZ7)*(VLOOKUP(A7,tbMoveset!A2:C112,3,FALSE)/100)*IF(VLOOKUP(A7,tbMoveset!A2:B112,2,FALSE)="Projectile",Backdoors!N10,Backdoors!N9),0),"")</f>
        <v/>
      </c>
      <c r="EB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X7&gt;=0.45,VLOOKUP(Calculator!E23,tbSkills!DH3:DI6,2,FALSE)+IF(AND(Calculator!B8=TRUE,Backdoors!BI21=TRUE),VLOOKUP(Calculator!E23,tbSkills!DH3:DJ6,3,FALSE),0),0))&gt;=100,100,(Backdoors!AI12+IF(DX7&gt;=0.45,VLOOKUP(Calculator!E23,tbSkills!DH3:DI6,2,FALSE)+IF(AND(Calculator!B8=TRUE,Backdoors!BI21=TRUE),VLOOKUP(Calculator!E23,tbSkills!DH3:DJ6,3,FALSE),0),0)))/100)),1))*IF(VLOOKUP(A7,tbMoveset!A2:K112,11,FALSE)=TRUE,Backdoors!AC5,1))*DY7,0),"")</f>
        <v>0</v>
      </c>
      <c r="EC7" s="49">
        <f>VLOOKUP(A7,tbMoveset!A2:G112,7,FALSE)*IFERROR(IF(Backdoors!AI12&gt;=0,1+(IF(Calculator!E40&gt;0,VLOOKUP(Calculator!E40,tbSkills!AI3:AJ5,2,FALSE),Backdoors!AL4)*(IF((Backdoors!AI12+IF(DX7&gt;=0.45,VLOOKUP(Calculator!E23,tbSkills!DH3:DI6,2,FALSE)+IF(AND(Calculator!B8=TRUE,Backdoors!BI21=TRUE),VLOOKUP(Calculator!E23,tbSkills!DH3:DJ6,3,FALSE),0),0))&gt;=100,100,(Backdoors!AI12+IF(DX7&gt;=0.45,VLOOKUP(Calculator!E23,tbSkills!DH3:DI6,2,FALSE)+IF(AND(Calculator!B8=TRUE,Backdoors!BI21=TRUE),VLOOKUP(Calculator!E23,tbSkills!DH3:DJ6,3,FALSE),0),0)))/100)),1),1)</f>
        <v>0.5</v>
      </c>
      <c r="ED7" s="87">
        <f t="shared" si="11"/>
        <v>0</v>
      </c>
      <c r="EE7" s="86" t="str">
        <f>IFERROR(IF(VLOOKUP(A7,tbMoveset!A2:B112,2,FALSE)="Sever",Backdoors!AY22/100,IF(VLOOKUP(A7,tbMoveset!A2:B112,2,FALSE)="Blunt",Backdoors!AZ22/100,Backdoors!BA22/100)),"")</f>
        <v/>
      </c>
      <c r="EF7" s="49">
        <f>IFERROR(IF(VLOOKUP(tbMoveset!A7,tbMoveset!A2:H112,8,FALSE)="Other",IF(VLOOKUP(tbMoveset!A7,tbMoveset!A2:I112,9,FALSE)="Fire",Backdoors!BB22,IF(VLOOKUP(tbMoveset!A7,tbMoveset!A2:I112,9,FALSE)="Water",Backdoors!BC22,IF(VLOOKUP(tbMoveset!A7,tbMoveset!A2:I112,9,FALSE)="Thunder",Backdoors!BD22,IF(VLOOKUP(tbMoveset!A7,tbMoveset!A2:I112,9,FALSE)="Ice",Backdoors!BE22,IF(VLOOKUP(tbMoveset!A7,tbMoveset!A2:I112,9,FALSE)="Dragon",Backdoors!BF22,Backdoors!BG22)))))/100,Backdoors!BG22/100),"")</f>
        <v>0</v>
      </c>
      <c r="EG7" s="49">
        <f>IFERROR(IF(VLOOKUP(A7,tbMoveset!A2:J112,10,FALSE)=TRUE,IF((Backdoors!AI12+IF(EE7&gt;=0.45,VLOOKUP(Calculator!E23,tbSkills!DH3:DI6,2,FALSE)+IF(AND(Calculator!B8=TRUE,Backdoors!BI22=TRUE),VLOOKUP(Calculator!E23,tbSkills!DH3:DJ6,3,FALSE),0),0))&gt;=0,1+(Backdoors!AL2*(IF((Backdoors!AI12+IF(EE7&gt;=0.45,VLOOKUP(Calculator!E23,tbSkills!DH3:DI6,2,FALSE)+IF(AND(Calculator!B8=TRUE,Backdoors!BI22=TRUE),VLOOKUP(Calculator!E23,tbSkills!DH3:DJ6,3,FALSE),0),0))&gt;=100,100,(Backdoors!AI12+IF(EE7&gt;=0.45,VLOOKUP(Calculator!E23,tbSkills!DH3:DI6,2,FALSE)+IF(AND(Calculator!B8=TRUE,Backdoors!BI22=TRUE),VLOOKUP(Calculator!E23,tbSkills!DH3:DJ6,3,FALSE),0),0)))/100)),(1-(0.25*((-Backdoors!AI12-IF(EE7&gt;=0.45,VLOOKUP(Calculator!E23,tbSkills!DH3:DI6,2,FALSE)+IF(AND(Calculator!B8=TRUE,Backdoors!BI22=TRUE),VLOOKUP(Calculator!E23,tbSkills!DH3:DJ6,3,FALSE),0),0))/100)))),1),"")</f>
        <v>1</v>
      </c>
      <c r="EH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E7)*EG7)*(VLOOKUP(A7,tbMoveset!A2:C112,3,FALSE)/100)*IF(VLOOKUP(A7,tbMoveset!A2:B112,2,FALSE)="Projectile",Backdoors!N10,Backdoors!N9),0),"")</f>
        <v/>
      </c>
      <c r="EI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E7&gt;=0.45,VLOOKUP(Calculator!E23,tbSkills!DH3:DI6,2,FALSE)+IF(AND(Calculator!B8=TRUE,Backdoors!BI22=TRUE),VLOOKUP(Calculator!E23,tbSkills!DH3:DJ6,3,FALSE),0),0))&gt;=100,100,(Backdoors!AI12+IF(EE7&gt;=0.45,VLOOKUP(Calculator!E23,tbSkills!DH3:DI6,2,FALSE)+IF(AND(Calculator!B8=TRUE,Backdoors!BI22=TRUE),VLOOKUP(Calculator!E23,tbSkills!DH3:DJ6,3,FALSE),0),0)))/100)),1))*IF(VLOOKUP(A7,tbMoveset!A2:K112,11,FALSE)=TRUE,Backdoors!AC5,1))*EF7,0),"")</f>
        <v>0</v>
      </c>
      <c r="EJ7" s="49">
        <f>VLOOKUP(A7,tbMoveset!A2:G112,7,FALSE)*IFERROR(IF(Backdoors!AI12&gt;=0,1+(IF(Calculator!E40&gt;0,VLOOKUP(Calculator!E40,tbSkills!AI3:AJ5,2,FALSE),Backdoors!AL4)*(IF((Backdoors!AI12+IF(EE7&gt;=0.45,VLOOKUP(Calculator!E23,tbSkills!DH3:DI6,2,FALSE)+IF(AND(Calculator!B8=TRUE,Backdoors!BI22=TRUE),VLOOKUP(Calculator!E23,tbSkills!DH3:DJ6,3,FALSE),0),0))&gt;=100,100,(Backdoors!AI12+IF(EE7&gt;=0.45,VLOOKUP(Calculator!E23,tbSkills!DH3:DI6,2,FALSE)+IF(AND(Calculator!B8=TRUE,Backdoors!BI22=TRUE),VLOOKUP(Calculator!E23,tbSkills!DH3:DJ6,3,FALSE),0),0)))/100)),1),1)</f>
        <v>0.5</v>
      </c>
      <c r="EK7" s="87">
        <f t="shared" si="12"/>
        <v>0</v>
      </c>
      <c r="EL7" s="86" t="str">
        <f>IFERROR(IF(VLOOKUP(A7,tbMoveset!A2:B112,2,FALSE)="Sever",Backdoors!AY23/100,IF(VLOOKUP(A7,tbMoveset!A2:B112,2,FALSE)="Blunt",Backdoors!AZ23/100,Backdoors!BA23/100)),"")</f>
        <v/>
      </c>
      <c r="EM7" s="49">
        <f>IFERROR(IF(VLOOKUP(tbMoveset!A7,tbMoveset!A2:H112,8,FALSE)="Other",IF(VLOOKUP(tbMoveset!A7,tbMoveset!A2:I112,9,FALSE)="Fire",Backdoors!BB23,IF(VLOOKUP(tbMoveset!A7,tbMoveset!A2:I112,9,FALSE)="Water",Backdoors!BC23,IF(VLOOKUP(tbMoveset!A7,tbMoveset!A2:I112,9,FALSE)="Thunder",Backdoors!BD23,IF(VLOOKUP(tbMoveset!A7,tbMoveset!A2:I112,9,FALSE)="Ice",Backdoors!BE23,IF(VLOOKUP(tbMoveset!A7,tbMoveset!A2:I112,9,FALSE)="Dragon",Backdoors!BF23,Backdoors!BG23)))))/100,Backdoors!BG23/100),"")</f>
        <v>0</v>
      </c>
      <c r="EN7" s="49">
        <f>IFERROR(IF(VLOOKUP(A7,tbMoveset!A2:J112,10,FALSE)=TRUE,IF((Backdoors!AI12+IF(EL7&gt;=0.45,VLOOKUP(Calculator!E23,tbSkills!DH3:DI6,2,FALSE)+IF(AND(Calculator!B8=TRUE,Backdoors!BI23=TRUE),VLOOKUP(Calculator!E23,tbSkills!DH3:DJ6,3,FALSE),0),0))&gt;=0,1+(Backdoors!AL2*(IF((Backdoors!AI12+IF(EL7&gt;=0.45,VLOOKUP(Calculator!E23,tbSkills!DH3:DI6,2,FALSE)+IF(AND(Calculator!B8=TRUE,Backdoors!BI23=TRUE),VLOOKUP(Calculator!E23,tbSkills!DH3:DJ6,3,FALSE),0),0))&gt;=100,100,(Backdoors!AI12+IF(EL7&gt;=0.45,VLOOKUP(Calculator!E23,tbSkills!DH3:DI6,2,FALSE)+IF(AND(Calculator!B8=TRUE,Backdoors!BI23=TRUE),VLOOKUP(Calculator!E23,tbSkills!DH3:DJ6,3,FALSE),0),0)))/100)),(1-(0.25*((-Backdoors!AI12-IF(EL7&gt;=0.45,VLOOKUP(Calculator!E23,tbSkills!DH3:DI6,2,FALSE)+IF(AND(Calculator!B8=TRUE,Backdoors!BI23=TRUE),VLOOKUP(Calculator!E23,tbSkills!DH3:DJ6,3,FALSE),0),0))/100)))),1),"")</f>
        <v>1</v>
      </c>
      <c r="EO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L7)*EN7)*(VLOOKUP(A7,tbMoveset!A2:C112,3,FALSE)/100)*IF(VLOOKUP(A7,tbMoveset!A2:B112,2,FALSE)="Projectile",Backdoors!N10,Backdoors!N9),0),"")</f>
        <v/>
      </c>
      <c r="EP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L7&gt;=0.45,VLOOKUP(Calculator!E23,tbSkills!DH3:DI6,2,FALSE)+IF(AND(Calculator!B8=TRUE,Backdoors!BI23=TRUE),VLOOKUP(Calculator!E23,tbSkills!DH3:DJ6,3,FALSE),0),0))&gt;=100,100,(Backdoors!AI12+IF(EL7&gt;=0.45,VLOOKUP(Calculator!E23,tbSkills!DH3:DI6,2,FALSE)+IF(AND(Calculator!B8=TRUE,Backdoors!BI23=TRUE),VLOOKUP(Calculator!E23,tbSkills!DH3:DJ6,3,FALSE),0),0)))/100)),1))*IF(VLOOKUP(A7,tbMoveset!A2:K112,11,FALSE)=TRUE,Backdoors!AC5,1))*EM7,0),"")</f>
        <v>0</v>
      </c>
      <c r="EQ7" s="49">
        <f>VLOOKUP(A7,tbMoveset!A2:G112,7,FALSE)*IFERROR(IF(Backdoors!AI12&gt;=0,1+(IF(Calculator!E40&gt;0,VLOOKUP(Calculator!E40,tbSkills!AI3:AJ5,2,FALSE),Backdoors!AL4)*(IF((Backdoors!AI12+IF(EL7&gt;=0.45,VLOOKUP(Calculator!E23,tbSkills!DH3:DI6,2,FALSE)+IF(AND(Calculator!B8=TRUE,Backdoors!BI23=TRUE),VLOOKUP(Calculator!E23,tbSkills!DH3:DJ6,3,FALSE),0),0))&gt;=100,100,(Backdoors!AI12+IF(EL7&gt;=0.45,VLOOKUP(Calculator!E23,tbSkills!DH3:DI6,2,FALSE)+IF(AND(Calculator!B8=TRUE,Backdoors!BI23=TRUE),VLOOKUP(Calculator!E23,tbSkills!DH3:DJ6,3,FALSE),0),0)))/100)),1),1)</f>
        <v>0.5</v>
      </c>
      <c r="ER7" s="87">
        <f t="shared" si="13"/>
        <v>0</v>
      </c>
      <c r="ES7" s="86" t="str">
        <f>IFERROR(IF(VLOOKUP(A7,tbMoveset!A2:B112,2,FALSE)="Sever",Backdoors!AY24/100,IF(VLOOKUP(A7,tbMoveset!A2:B112,2,FALSE)="Blunt",Backdoors!AZ24/100,Backdoors!BA24/100)),"")</f>
        <v/>
      </c>
      <c r="ET7" s="49">
        <f>IFERROR(IF(VLOOKUP(tbMoveset!A7,tbMoveset!A2:H112,8,FALSE)="Other",IF(VLOOKUP(tbMoveset!A7,tbMoveset!A2:I112,9,FALSE)="Fire",Backdoors!BB24,IF(VLOOKUP(tbMoveset!A7,tbMoveset!A2:I112,9,FALSE)="Water",Backdoors!BC24,IF(VLOOKUP(tbMoveset!A7,tbMoveset!A2:I112,9,FALSE)="Thunder",Backdoors!BD24,IF(VLOOKUP(tbMoveset!A7,tbMoveset!A2:I112,9,FALSE)="Ice",Backdoors!BE24,IF(VLOOKUP(tbMoveset!A7,tbMoveset!A2:I112,9,FALSE)="Dragon",Backdoors!BF24,Backdoors!BG24)))))/100,Backdoors!BG24/100),"")</f>
        <v>0</v>
      </c>
      <c r="EU7" s="49">
        <f>IFERROR(IF(VLOOKUP(A7,tbMoveset!A2:J112,10,FALSE)=TRUE,IF((Backdoors!AI12+IF(ES7&gt;=0.45,VLOOKUP(Calculator!E23,tbSkills!DH3:DI6,2,FALSE)+IF(AND(Calculator!B8=TRUE,Backdoors!BI24=TRUE),VLOOKUP(Calculator!E23,tbSkills!DH3:DJ6,3,FALSE),0),0))&gt;=0,1+(Backdoors!AL2*(IF((Backdoors!AI12+IF(ES7&gt;=0.45,VLOOKUP(Calculator!E23,tbSkills!DH3:DI6,2,FALSE)+IF(AND(Calculator!B8=TRUE,Backdoors!BI24=TRUE),VLOOKUP(Calculator!E23,tbSkills!DH3:DJ6,3,FALSE),0),0))&gt;=100,100,(Backdoors!AI12+IF(ES7&gt;=0.45,VLOOKUP(Calculator!E23,tbSkills!DH3:DI6,2,FALSE)+IF(AND(Calculator!B8=TRUE,Backdoors!BI24=TRUE),VLOOKUP(Calculator!E23,tbSkills!DH3:DJ6,3,FALSE),0),0)))/100)),(1-(0.25*((-Backdoors!AI12-IF(ES7&gt;=0.45,VLOOKUP(Calculator!E23,tbSkills!DH3:DI6,2,FALSE)+IF(AND(Calculator!B8=TRUE,Backdoors!BI24=TRUE),VLOOKUP(Calculator!E23,tbSkills!DH3:DJ6,3,FALSE),0),0))/100)))),1),"")</f>
        <v>1</v>
      </c>
      <c r="EV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S7)*EU7)*(VLOOKUP(A7,tbMoveset!A2:C112,3,FALSE)/100)*IF(VLOOKUP(A7,tbMoveset!A2:B112,2,FALSE)="Projectile",Backdoors!N10,Backdoors!N9),0),"")</f>
        <v/>
      </c>
      <c r="EW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S7&gt;=0.45,VLOOKUP(Calculator!E23,tbSkills!DH3:DI6,2,FALSE)+IF(AND(Calculator!B8=TRUE,Backdoors!BI24=TRUE),VLOOKUP(Calculator!E23,tbSkills!DH3:DJ6,3,FALSE),0),0))&gt;=100,100,(Backdoors!AI12+IF(ES7&gt;=0.45,VLOOKUP(Calculator!E23,tbSkills!DH3:DI6,2,FALSE)+IF(AND(Calculator!B8=TRUE,Backdoors!BI24=TRUE),VLOOKUP(Calculator!E23,tbSkills!DH3:DJ6,3,FALSE),0),0)))/100)),1))*IF(VLOOKUP(A7,tbMoveset!A2:K112,11,FALSE)=TRUE,Backdoors!AC5,1))*ET7,0),"")</f>
        <v>0</v>
      </c>
      <c r="EX7" s="49">
        <f>VLOOKUP(A7,tbMoveset!A2:G112,7,FALSE)*IFERROR(IF(Backdoors!AI12&gt;=0,1+(IF(Calculator!E40&gt;0,VLOOKUP(Calculator!E40,tbSkills!AI3:AJ5,2,FALSE),Backdoors!AL4)*(IF((Backdoors!AI12+IF(ES7&gt;=0.45,VLOOKUP(Calculator!E23,tbSkills!DH3:DI6,2,FALSE)+IF(AND(Calculator!B8=TRUE,Backdoors!BI24=TRUE),VLOOKUP(Calculator!E23,tbSkills!DH3:DJ6,3,FALSE),0),0))&gt;=100,100,(Backdoors!AI12+IF(ES7&gt;=0.45,VLOOKUP(Calculator!E23,tbSkills!DH3:DI6,2,FALSE)+IF(AND(Calculator!B8=TRUE,Backdoors!BI24=TRUE),VLOOKUP(Calculator!E23,tbSkills!DH3:DJ6,3,FALSE),0),0)))/100)),1),1)</f>
        <v>0.5</v>
      </c>
      <c r="EY7" s="87">
        <f t="shared" si="14"/>
        <v>0</v>
      </c>
      <c r="EZ7" s="86" t="str">
        <f>IFERROR(IF(VLOOKUP(A7,tbMoveset!A2:B112,2,FALSE)="Sever",Backdoors!AY25/100,IF(VLOOKUP(A7,tbMoveset!A2:B112,2,FALSE)="Blunt",Backdoors!AZ25/100,Backdoors!BA25/100)),"")</f>
        <v/>
      </c>
      <c r="FA7" s="49">
        <f>IFERROR(IF(VLOOKUP(tbMoveset!A7,tbMoveset!A2:H112,8,FALSE)="Other",IF(VLOOKUP(tbMoveset!A7,tbMoveset!A2:I112,9,FALSE)="Fire",Backdoors!BB25,IF(VLOOKUP(tbMoveset!A7,tbMoveset!A2:I112,9,FALSE)="Water",Backdoors!BC25,IF(VLOOKUP(tbMoveset!A7,tbMoveset!A2:I112,9,FALSE)="Thunder",Backdoors!BD25,IF(VLOOKUP(tbMoveset!A7,tbMoveset!A2:I112,9,FALSE)="Ice",Backdoors!BE25,IF(VLOOKUP(tbMoveset!A7,tbMoveset!A2:I112,9,FALSE)="Dragon",Backdoors!BF25,Backdoors!BG25)))))/100,Backdoors!BG25/100),"")</f>
        <v>0</v>
      </c>
      <c r="FB7" s="49">
        <f>IFERROR(IF(VLOOKUP(A7,tbMoveset!A2:J112,10,FALSE)=TRUE,IF((Backdoors!AI12+IF(EZ7&gt;=0.45,VLOOKUP(Calculator!E23,tbSkills!DH3:DI6,2,FALSE)+IF(AND(Calculator!B8=TRUE,Backdoors!BI25=TRUE),VLOOKUP(Calculator!E23,tbSkills!DH3:DJ6,3,FALSE),0),0))&gt;=0,1+(Backdoors!AL2*(IF((Backdoors!AI12+IF(EZ7&gt;=0.45,VLOOKUP(Calculator!E23,tbSkills!DH3:DI6,2,FALSE)+IF(AND(Calculator!B8=TRUE,Backdoors!BI25=TRUE),VLOOKUP(Calculator!E23,tbSkills!DH3:DJ6,3,FALSE),0),0))&gt;=100,100,(Backdoors!AI12+IF(EZ7&gt;=0.45,VLOOKUP(Calculator!E23,tbSkills!DH3:DI6,2,FALSE)+IF(AND(Calculator!B8=TRUE,Backdoors!BI25=TRUE),VLOOKUP(Calculator!E23,tbSkills!DH3:DJ6,3,FALSE),0),0)))/100)),(1-(0.25*((-Backdoors!AI12-IF(EZ7&gt;=0.45,VLOOKUP(Calculator!E23,tbSkills!DH3:DI6,2,FALSE)+IF(AND(Calculator!B8=TRUE,Backdoors!BI25=TRUE),VLOOKUP(Calculator!E23,tbSkills!DH3:DJ6,3,FALSE),0),0))/100)))),1),"")</f>
        <v>1</v>
      </c>
      <c r="FC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Z7)*FB7)*(VLOOKUP(A7,tbMoveset!A2:C112,3,FALSE)/100)*IF(VLOOKUP(A7,tbMoveset!A2:B112,2,FALSE)="Projectile",Backdoors!N10,Backdoors!N9),0),"")</f>
        <v/>
      </c>
      <c r="FD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Z7&gt;=0.45,VLOOKUP(Calculator!E23,tbSkills!DH3:DI6,2,FALSE)+IF(AND(Calculator!B8=TRUE,Backdoors!BI25=TRUE),VLOOKUP(Calculator!E23,tbSkills!DH3:DJ6,3,FALSE),0),0))&gt;=100,100,(Backdoors!AI12+IF(EZ7&gt;=0.45,VLOOKUP(Calculator!E23,tbSkills!DH3:DI6,2,FALSE)+IF(AND(Calculator!B8=TRUE,Backdoors!BI25=TRUE),VLOOKUP(Calculator!E23,tbSkills!DH3:DJ6,3,FALSE),0),0)))/100)),1))*IF(VLOOKUP(A7,tbMoveset!A2:K112,11,FALSE)=TRUE,Backdoors!AC5,1))*FA7,0),"")</f>
        <v>0</v>
      </c>
      <c r="FE7" s="49">
        <f>VLOOKUP(A7,tbMoveset!A2:G112,7,FALSE)*IFERROR(IF(Backdoors!AI12&gt;=0,1+(IF(Calculator!E40&gt;0,VLOOKUP(Calculator!E40,tbSkills!AI3:AJ5,2,FALSE),Backdoors!AL4)*(IF((Backdoors!AI12+IF(EZ7&gt;=0.45,VLOOKUP(Calculator!E23,tbSkills!DH3:DI6,2,FALSE)+IF(AND(Calculator!B8=TRUE,Backdoors!BI25=TRUE),VLOOKUP(Calculator!E23,tbSkills!DH3:DJ6,3,FALSE),0),0))&gt;=100,100,(Backdoors!AI12+IF(EZ7&gt;=0.45,VLOOKUP(Calculator!E23,tbSkills!DH3:DI6,2,FALSE)+IF(AND(Calculator!B8=TRUE,Backdoors!BI25=TRUE),VLOOKUP(Calculator!E23,tbSkills!DH3:DJ6,3,FALSE),0),0)))/100)),1),1)</f>
        <v>0.5</v>
      </c>
      <c r="FF7" s="87">
        <f t="shared" si="15"/>
        <v>0</v>
      </c>
      <c r="FG7" s="86" t="str">
        <f>IFERROR(IF(VLOOKUP(A7,tbMoveset!A2:B112,2,FALSE)="Sever",Backdoors!AY26/100,IF(VLOOKUP(A7,tbMoveset!A2:B112,2,FALSE)="Blunt",Backdoors!AZ26/100,Backdoors!BA26/100)),"")</f>
        <v/>
      </c>
      <c r="FH7" s="49">
        <f>IFERROR(IF(VLOOKUP(tbMoveset!A7,tbMoveset!A2:H112,8,FALSE)="Other",IF(VLOOKUP(tbMoveset!A7,tbMoveset!A2:I112,9,FALSE)="Fire",Backdoors!BB26,IF(VLOOKUP(tbMoveset!A7,tbMoveset!A2:I112,9,FALSE)="Water",Backdoors!BC26,IF(VLOOKUP(tbMoveset!A7,tbMoveset!A2:I112,9,FALSE)="Thunder",Backdoors!BD26,IF(VLOOKUP(tbMoveset!A7,tbMoveset!A2:I112,9,FALSE)="Ice",Backdoors!BE26,IF(VLOOKUP(tbMoveset!A7,tbMoveset!A2:I112,9,FALSE)="Dragon",Backdoors!BF26,Backdoors!BG26)))))/100,Backdoors!BG26/100),"")</f>
        <v>0</v>
      </c>
      <c r="FI7" s="49">
        <f>IFERROR(IF(VLOOKUP(A7,tbMoveset!A2:J112,10,FALSE)=TRUE,IF((Backdoors!AI12+IF(FG7&gt;=0.45,VLOOKUP(Calculator!E23,tbSkills!DH3:DI6,2,FALSE)+IF(AND(Calculator!B8=TRUE,Backdoors!BI26=TRUE),VLOOKUP(Calculator!E23,tbSkills!DH3:DJ6,3,FALSE),0),0))&gt;=0,1+(Backdoors!AL2*(IF((Backdoors!AI12+IF(FG7&gt;=0.45,VLOOKUP(Calculator!E23,tbSkills!DH3:DI6,2,FALSE)+IF(AND(Calculator!B8=TRUE,Backdoors!BI26=TRUE),VLOOKUP(Calculator!E23,tbSkills!DH3:DJ6,3,FALSE),0),0))&gt;=100,100,(Backdoors!AI12+IF(FG7&gt;=0.45,VLOOKUP(Calculator!E23,tbSkills!DH3:DI6,2,FALSE)+IF(AND(Calculator!B8=TRUE,Backdoors!BI26=TRUE),VLOOKUP(Calculator!E23,tbSkills!DH3:DJ6,3,FALSE),0),0)))/100)),(1-(0.25*((-Backdoors!AI12-IF(FG7&gt;=0.45,VLOOKUP(Calculator!E23,tbSkills!DH3:DI6,2,FALSE)+IF(AND(Calculator!B8=TRUE,Backdoors!BI26=TRUE),VLOOKUP(Calculator!E23,tbSkills!DH3:DJ6,3,FALSE),0),0))/100)))),1),"")</f>
        <v>1</v>
      </c>
      <c r="FJ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FG7)*FI7)*(VLOOKUP(A7,tbMoveset!A2:C112,3,FALSE)/100)*IF(VLOOKUP(A7,tbMoveset!A2:B112,2,FALSE)="Projectile",Backdoors!N10,Backdoors!N9),0),"")</f>
        <v/>
      </c>
      <c r="FK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FG7&gt;=0.45,VLOOKUP(Calculator!E23,tbSkills!DH3:DI6,2,FALSE)+IF(AND(Calculator!B8=TRUE,Backdoors!BI26=TRUE),VLOOKUP(Calculator!E23,tbSkills!DH3:DJ6,3,FALSE),0),0))&gt;=100,100,(Backdoors!AI12+IF(FG7&gt;=0.45,VLOOKUP(Calculator!E23,tbSkills!DH3:DI6,2,FALSE)+IF(AND(Calculator!B8=TRUE,Backdoors!BI26=TRUE),VLOOKUP(Calculator!E23,tbSkills!DH3:DJ6,3,FALSE),0),0)))/100)),1))*IF(VLOOKUP(A7,tbMoveset!A2:K112,11,FALSE)=TRUE,Backdoors!AC5,1))*FH7,0),"")</f>
        <v>0</v>
      </c>
      <c r="FL7" s="49">
        <f>VLOOKUP(A7,tbMoveset!A2:G112,7,FALSE)*IFERROR(IF(Backdoors!AI12&gt;=0,1+(IF(Calculator!E40&gt;0,VLOOKUP(Calculator!E40,tbSkills!AI3:AJ5,2,FALSE),Backdoors!AL4)*(IF((Backdoors!AI12+IF(FG7&gt;=0.45,VLOOKUP(Calculator!E23,tbSkills!DH3:DI6,2,FALSE)+IF(AND(Calculator!B8=TRUE,Backdoors!BI26=TRUE),VLOOKUP(Calculator!E23,tbSkills!DH3:DJ6,3,FALSE),0),0))&gt;=100,100,(Backdoors!AI12+IF(FG7&gt;=0.45,VLOOKUP(Calculator!E23,tbSkills!DH3:DI6,2,FALSE)+IF(AND(Calculator!B8=TRUE,Backdoors!BI26=TRUE),VLOOKUP(Calculator!E23,tbSkills!DH3:DJ6,3,FALSE),0),0)))/100)),1),1)</f>
        <v>0.5</v>
      </c>
      <c r="FM7" s="87">
        <f t="shared" si="16"/>
        <v>0</v>
      </c>
      <c r="FN7" s="86" t="str">
        <f>IFERROR(IF(VLOOKUP(A7,tbMoveset!A2:B112,2,FALSE)="Sever",Backdoors!AY27/100,IF(VLOOKUP(A7,tbMoveset!A2:B112,2,FALSE)="Blunt",Backdoors!AZ27/100,Backdoors!BA27/100)),"")</f>
        <v/>
      </c>
      <c r="FO7" s="49">
        <f>IFERROR(IF(VLOOKUP(tbMoveset!A7,tbMoveset!A2:H112,8,FALSE)="Other",IF(VLOOKUP(tbMoveset!A7,tbMoveset!A2:I112,9,FALSE)="Fire",Backdoors!BB27,IF(VLOOKUP(tbMoveset!A7,tbMoveset!A2:I112,9,FALSE)="Water",Backdoors!BC27,IF(VLOOKUP(tbMoveset!A7,tbMoveset!A2:I112,9,FALSE)="Thunder",Backdoors!BD27,IF(VLOOKUP(tbMoveset!A7,tbMoveset!A2:I112,9,FALSE)="Ice",Backdoors!BE27,IF(VLOOKUP(tbMoveset!A7,tbMoveset!A2:I112,9,FALSE)="Dragon",Backdoors!BF27,Backdoors!BG27)))))/100,Backdoors!BG27/100),"")</f>
        <v>0</v>
      </c>
      <c r="FP7" s="49">
        <f>IFERROR(IF(VLOOKUP(A7,tbMoveset!A2:J112,10,FALSE)=TRUE,IF((Backdoors!AI12+IF(FN7&gt;=0.45,VLOOKUP(Calculator!E23,tbSkills!DH3:DI6,2,FALSE)+IF(AND(Calculator!B8=TRUE,Backdoors!BI27=TRUE),VLOOKUP(Calculator!E23,tbSkills!DH3:DJ6,3,FALSE),0),0))&gt;=0,1+(Backdoors!AL2*(IF((Backdoors!AI12+IF(FN7&gt;=0.45,VLOOKUP(Calculator!E23,tbSkills!DH3:DI6,2,FALSE)+IF(AND(Calculator!B8=TRUE,Backdoors!BI27=TRUE),VLOOKUP(Calculator!E23,tbSkills!DH3:DJ6,3,FALSE),0),0))&gt;=100,100,(Backdoors!AI12+IF(FN7&gt;=0.45,VLOOKUP(Calculator!E23,tbSkills!DH3:DI6,2,FALSE)+IF(AND(Calculator!B8=TRUE,Backdoors!BI27=TRUE),VLOOKUP(Calculator!E23,tbSkills!DH3:DJ6,3,FALSE),0),0)))/100)),(1-(0.25*((-Backdoors!AI12-IF(FN7&gt;=0.45,VLOOKUP(Calculator!E23,tbSkills!DH3:DI6,2,FALSE)+IF(AND(Calculator!B8=TRUE,Backdoors!BI27=TRUE),VLOOKUP(Calculator!E23,tbSkills!DH3:DJ6,3,FALSE),0),0))/100)))),1),"")</f>
        <v>1</v>
      </c>
      <c r="FQ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FN7)*FP7)*(VLOOKUP(A7,tbMoveset!A2:C112,3,FALSE)/100)*IF(VLOOKUP(A7,tbMoveset!A2:B112,2,FALSE)="Projectile",Backdoors!N10,Backdoors!N9),0),"")</f>
        <v/>
      </c>
      <c r="FR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FN7&gt;=0.45,VLOOKUP(Calculator!E23,tbSkills!DH3:DI6,2,FALSE)+IF(AND(Calculator!B8=TRUE,Backdoors!BI27=TRUE),VLOOKUP(Calculator!E23,tbSkills!DH3:DJ6,3,FALSE),0),0))&gt;=100,100,(Backdoors!AI12+IF(FN7&gt;=0.45,VLOOKUP(Calculator!E23,tbSkills!DH3:DI6,2,FALSE)+IF(AND(Calculator!B8=TRUE,Backdoors!BI27=TRUE),VLOOKUP(Calculator!E23,tbSkills!DH3:DJ6,3,FALSE),0),0)))/100)),1))*IF(VLOOKUP(A7,tbMoveset!A2:K112,11,FALSE)=TRUE,Backdoors!AC5,1))*FO7,0),"")</f>
        <v>0</v>
      </c>
      <c r="FS7" s="49">
        <f>VLOOKUP(A7,tbMoveset!A2:G112,7,FALSE)*IFERROR(IF(Backdoors!AI12&gt;=0,1+(IF(Calculator!E40&gt;0,VLOOKUP(Calculator!E40,tbSkills!AI3:AJ5,2,FALSE),Backdoors!AL4)*(IF((Backdoors!AI12+IF(FN7&gt;=0.45,VLOOKUP(Calculator!E23,tbSkills!DH3:DI6,2,FALSE)+IF(AND(Calculator!B8=TRUE,Backdoors!BI27=TRUE),VLOOKUP(Calculator!E23,tbSkills!DH3:DJ6,3,FALSE),0),0))&gt;=100,100,(Backdoors!AI12+IF(FN7&gt;=0.45,VLOOKUP(Calculator!E23,tbSkills!DH3:DI6,2,FALSE)+IF(AND(Calculator!B8=TRUE,Backdoors!BI27=TRUE),VLOOKUP(Calculator!E23,tbSkills!DH3:DJ6,3,FALSE),0),0)))/100)),1),1)</f>
        <v>0.5</v>
      </c>
      <c r="FT7" s="87">
        <f t="shared" si="17"/>
        <v>0</v>
      </c>
      <c r="FU7" s="86" t="str">
        <f>IFERROR(IF(VLOOKUP(A7,tbMoveset!A2:B112,2,FALSE)="Sever",Backdoors!AY28/100,IF(VLOOKUP(A7,tbMoveset!A2:B112,2,FALSE)="Blunt",Backdoors!AZ28/100,Backdoors!BA28/100)),"")</f>
        <v/>
      </c>
      <c r="FV7" s="49">
        <f>IFERROR(IF(VLOOKUP(tbMoveset!A7,tbMoveset!A2:H112,8,FALSE)="Other",IF(VLOOKUP(tbMoveset!A7,tbMoveset!A2:I112,9,FALSE)="Fire",Backdoors!BB28,IF(VLOOKUP(tbMoveset!A7,tbMoveset!A2:I112,9,FALSE)="Water",Backdoors!BC28,IF(VLOOKUP(tbMoveset!A7,tbMoveset!A2:I112,9,FALSE)="Thunder",Backdoors!BD28,IF(VLOOKUP(tbMoveset!A7,tbMoveset!A2:I112,9,FALSE)="Ice",Backdoors!BE28,IF(VLOOKUP(tbMoveset!A7,tbMoveset!A2:I112,9,FALSE)="Dragon",Backdoors!BF28,Backdoors!BG28)))))/100,Backdoors!BG28/100),"")</f>
        <v>0</v>
      </c>
      <c r="FW7" s="49">
        <f>IFERROR(IF(VLOOKUP(A7,tbMoveset!A2:J112,10,FALSE)=TRUE,IF((Backdoors!AI12+IF(FU7&gt;=0.45,VLOOKUP(Calculator!E23,tbSkills!DH3:DI6,2,FALSE)+IF(AND(Calculator!B8=TRUE,Backdoors!BI28=TRUE),VLOOKUP(Calculator!E23,tbSkills!DH3:DJ6,3,FALSE),0),0))&gt;=0,1+(Backdoors!AL2*(IF((Backdoors!AI12+IF(FU7&gt;=0.45,VLOOKUP(Calculator!E23,tbSkills!DH3:DI6,2,FALSE)+IF(AND(Calculator!B8=TRUE,Backdoors!BI28=TRUE),VLOOKUP(Calculator!E23,tbSkills!DH3:DJ6,3,FALSE),0),0))&gt;=100,100,(Backdoors!AI12+IF(FU7&gt;=0.45,VLOOKUP(Calculator!E23,tbSkills!DH3:DI6,2,FALSE)+IF(AND(Calculator!B8=TRUE,Backdoors!BI28=TRUE),VLOOKUP(Calculator!E23,tbSkills!DH3:DJ6,3,FALSE),0),0)))/100)),(1-(0.25*((-Backdoors!AI12-IF(FU7&gt;=0.45,VLOOKUP(Calculator!E23,tbSkills!DH3:DI6,2,FALSE)+IF(AND(Calculator!B8=TRUE,Backdoors!BI28=TRUE),VLOOKUP(Calculator!E23,tbSkills!DH3:DJ6,3,FALSE),0),0))/100)))),1),"")</f>
        <v>1</v>
      </c>
      <c r="FX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FU7)*FW7)*(VLOOKUP(A7,tbMoveset!A2:C112,3,FALSE)/100)*IF(VLOOKUP(A7,tbMoveset!A2:B112,2,FALSE)="Projectile",Backdoors!N10,Backdoors!N9),0),"")</f>
        <v/>
      </c>
      <c r="FY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FU7&gt;=0.45,VLOOKUP(Calculator!E23,tbSkills!DH3:DI6,2,FALSE)+IF(AND(Calculator!B8=TRUE,Backdoors!BI28=TRUE),VLOOKUP(Calculator!E23,tbSkills!DH3:DJ6,3,FALSE),0),0))&gt;=100,100,(Backdoors!AI12+IF(FU7&gt;=0.45,VLOOKUP(Calculator!E23,tbSkills!DH3:DI6,2,FALSE)+IF(AND(Calculator!B8=TRUE,Backdoors!BI28=TRUE),VLOOKUP(Calculator!E23,tbSkills!DH3:DJ6,3,FALSE),0),0)))/100)),1))*IF(VLOOKUP(A7,tbMoveset!A2:K112,11,FALSE)=TRUE,Backdoors!AC5,1))*FV7,0),"")</f>
        <v>0</v>
      </c>
      <c r="FZ7" s="49">
        <f>VLOOKUP(A7,tbMoveset!A2:G112,7,FALSE)*IFERROR(IF(Backdoors!AI12&gt;=0,1+(IF(Calculator!E40&gt;0,VLOOKUP(Calculator!E40,tbSkills!AI3:AJ5,2,FALSE),Backdoors!AL4)*(IF((Backdoors!AI12+IF(FU7&gt;=0.45,VLOOKUP(Calculator!E23,tbSkills!DH3:DI6,2,FALSE)+IF(AND(Calculator!B8=TRUE,Backdoors!BI28=TRUE),VLOOKUP(Calculator!E23,tbSkills!DH3:DJ6,3,FALSE),0),0))&gt;=100,100,(Backdoors!AI12+IF(FU7&gt;=0.45,VLOOKUP(Calculator!E23,tbSkills!DH3:DI6,2,FALSE)+IF(AND(Calculator!B8=TRUE,Backdoors!BI28=TRUE),VLOOKUP(Calculator!E23,tbSkills!DH3:DJ6,3,FALSE),0),0)))/100)),1),1)</f>
        <v>0.5</v>
      </c>
      <c r="GA7" s="87">
        <f t="shared" si="18"/>
        <v>0</v>
      </c>
      <c r="GB7" s="86" t="str">
        <f>IFERROR(IF(VLOOKUP(A7,tbMoveset!A2:B112,2,FALSE)="Sever",Backdoors!AY29/100,IF(VLOOKUP(A7,tbMoveset!A2:B112,2,FALSE)="Blunt",Backdoors!AZ29/100,Backdoors!BA29/100)),"")</f>
        <v/>
      </c>
      <c r="GC7" s="49">
        <f>IFERROR(IF(VLOOKUP(tbMoveset!A7,tbMoveset!A2:H112,8,FALSE)="Other",IF(VLOOKUP(tbMoveset!A7,tbMoveset!A2:I112,9,FALSE)="Fire",Backdoors!BB29,IF(VLOOKUP(tbMoveset!A7,tbMoveset!A2:I112,9,FALSE)="Water",Backdoors!BC29,IF(VLOOKUP(tbMoveset!A7,tbMoveset!A2:I112,9,FALSE)="Thunder",Backdoors!BD29,IF(VLOOKUP(tbMoveset!A7,tbMoveset!A2:I112,9,FALSE)="Ice",Backdoors!BE29,IF(VLOOKUP(tbMoveset!A7,tbMoveset!A2:I112,9,FALSE)="Dragon",Backdoors!BF29,Backdoors!BG29)))))/100,Backdoors!BG29/100),"")</f>
        <v>0</v>
      </c>
      <c r="GD7" s="49">
        <f>IFERROR(IF(VLOOKUP(A7,tbMoveset!A2:J112,10,FALSE)=TRUE,IF((Backdoors!AI12+IF(GB7&gt;=0.45,VLOOKUP(Calculator!E23,tbSkills!DH3:DI6,2,FALSE)+IF(AND(Calculator!B8=TRUE,Backdoors!BI29=TRUE),VLOOKUP(Calculator!E23,tbSkills!DH3:DJ6,3,FALSE),0),0))&gt;=0,1+(Backdoors!AL2*(IF((Backdoors!AI12+IF(GB7&gt;=0.45,VLOOKUP(Calculator!E23,tbSkills!DH3:DI6,2,FALSE)+IF(AND(Calculator!B8=TRUE,Backdoors!BI29=TRUE),VLOOKUP(Calculator!E23,tbSkills!DH3:DJ6,3,FALSE),0),0))&gt;=100,100,(Backdoors!AI12+IF(GB7&gt;=0.45,VLOOKUP(Calculator!E23,tbSkills!DH3:DI6,2,FALSE)+IF(AND(Calculator!B8=TRUE,Backdoors!BI29=TRUE),VLOOKUP(Calculator!E23,tbSkills!DH3:DJ6,3,FALSE),0),0)))/100)),(1-(0.25*((-Backdoors!AI12-IF(GB7&gt;=0.45,VLOOKUP(Calculator!E23,tbSkills!DH3:DI6,2,FALSE)+IF(AND(Calculator!B8=TRUE,Backdoors!BI29=TRUE),VLOOKUP(Calculator!E23,tbSkills!DH3:DJ6,3,FALSE),0),0))/100)))),1),"")</f>
        <v>1</v>
      </c>
      <c r="GE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B7)*GD7)*(VLOOKUP(A7,tbMoveset!A2:C112,3,FALSE)/100)*IF(VLOOKUP(A7,tbMoveset!A2:B112,2,FALSE)="Projectile",Backdoors!N10,Backdoors!N9),0),"")</f>
        <v/>
      </c>
      <c r="GF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B7&gt;=0.45,VLOOKUP(Calculator!E23,tbSkills!DH3:DI6,2,FALSE)+IF(AND(Calculator!B8=TRUE,Backdoors!BI29=TRUE),VLOOKUP(Calculator!E23,tbSkills!DH3:DJ6,3,FALSE),0),0))&gt;=100,100,(Backdoors!AI12+IF(GB7&gt;=0.45,VLOOKUP(Calculator!E23,tbSkills!DH3:DI6,2,FALSE)+IF(AND(Calculator!B8=TRUE,Backdoors!BI29=TRUE),VLOOKUP(Calculator!E23,tbSkills!DH3:DJ6,3,FALSE),0),0)))/100)),1))*IF(VLOOKUP(A7,tbMoveset!A2:K112,11,FALSE)=TRUE,Backdoors!AC5,1))*GC7,0),"")</f>
        <v>0</v>
      </c>
      <c r="GG7" s="49">
        <f>VLOOKUP(A7,tbMoveset!A2:G112,7,FALSE)*IFERROR(IF(Backdoors!AI12&gt;=0,1+(IF(Calculator!E40&gt;0,VLOOKUP(Calculator!E40,tbSkills!AI3:AJ5,2,FALSE),Backdoors!AL4)*(IF((Backdoors!AI12+IF(GB7&gt;=0.45,VLOOKUP(Calculator!E23,tbSkills!DH3:DI6,2,FALSE)+IF(AND(Calculator!B8=TRUE,Backdoors!BI29=TRUE),VLOOKUP(Calculator!E23,tbSkills!DH3:DJ6,3,FALSE),0),0))&gt;=100,100,(Backdoors!AI12+IF(GB7&gt;=0.45,VLOOKUP(Calculator!E23,tbSkills!DH3:DI6,2,FALSE)+IF(AND(Calculator!B8=TRUE,Backdoors!BI29=TRUE),VLOOKUP(Calculator!E23,tbSkills!DH3:DJ6,3,FALSE),0),0)))/100)),1),1)</f>
        <v>0.5</v>
      </c>
      <c r="GH7" s="87">
        <f t="shared" si="19"/>
        <v>0</v>
      </c>
      <c r="GI7" s="86" t="str">
        <f>IFERROR(IF(VLOOKUP(A7,tbMoveset!A2:B112,2,FALSE)="Sever",Backdoors!AY30/100,IF(VLOOKUP(A7,tbMoveset!A2:B112,2,FALSE)="Blunt",Backdoors!AZ30/100,Backdoors!BA30/100)),"")</f>
        <v/>
      </c>
      <c r="GJ7" s="49">
        <f>IFERROR(IF(VLOOKUP(tbMoveset!A7,tbMoveset!A2:H112,8,FALSE)="Other",IF(VLOOKUP(tbMoveset!A7,tbMoveset!A2:I112,9,FALSE)="Fire",Backdoors!BB30,IF(VLOOKUP(tbMoveset!A7,tbMoveset!A2:I112,9,FALSE)="Water",Backdoors!BC30,IF(VLOOKUP(tbMoveset!A7,tbMoveset!A2:I112,9,FALSE)="Thunder",Backdoors!BD30,IF(VLOOKUP(tbMoveset!A7,tbMoveset!A2:I112,9,FALSE)="Ice",Backdoors!BE30,IF(VLOOKUP(tbMoveset!A7,tbMoveset!A2:I112,9,FALSE)="Dragon",Backdoors!BF30,Backdoors!BG30)))))/100,Backdoors!BG30/100),"")</f>
        <v>0</v>
      </c>
      <c r="GK7" s="49">
        <f>IFERROR(IF(VLOOKUP(A7,tbMoveset!A2:J112,10,FALSE)=TRUE,IF((Backdoors!AI12+IF(GI7&gt;=0.45,VLOOKUP(Calculator!E23,tbSkills!DH3:DI6,2,FALSE)+IF(AND(Calculator!B8=TRUE,Backdoors!BI30=TRUE),VLOOKUP(Calculator!E23,tbSkills!DH3:DJ6,3,FALSE),0),0))&gt;=0,1+(Backdoors!AL2*(IF((Backdoors!AI12+IF(GI7&gt;=0.45,VLOOKUP(Calculator!E23,tbSkills!DH3:DI6,2,FALSE)+IF(AND(Calculator!B8=TRUE,Backdoors!BI30=TRUE),VLOOKUP(Calculator!E23,tbSkills!DH3:DJ6,3,FALSE),0),0))&gt;=100,100,(Backdoors!AI12+IF(GI7&gt;=0.45,VLOOKUP(Calculator!E23,tbSkills!DH3:DI6,2,FALSE)+IF(AND(Calculator!B8=TRUE,Backdoors!BI30=TRUE),VLOOKUP(Calculator!E23,tbSkills!DH3:DJ6,3,FALSE),0),0)))/100)),(1-(0.25*((-Backdoors!AI12-IF(GI7&gt;=0.45,VLOOKUP(Calculator!E23,tbSkills!DH3:DI6,2,FALSE)+IF(AND(Calculator!B8=TRUE,Backdoors!BI30=TRUE),VLOOKUP(Calculator!E23,tbSkills!DH3:DJ6,3,FALSE),0),0))/100)))),1),"")</f>
        <v>1</v>
      </c>
      <c r="GL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I7)*GK7)*(VLOOKUP(A7,tbMoveset!A2:C112,3,FALSE)/100)*IF(VLOOKUP(A7,tbMoveset!A2:B112,2,FALSE)="Projectile",Backdoors!N10,Backdoors!N9),0),"")</f>
        <v/>
      </c>
      <c r="GM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I7&gt;=0.45,VLOOKUP(Calculator!E23,tbSkills!DH3:DI6,2,FALSE)+IF(AND(Calculator!B8=TRUE,Backdoors!BI30=TRUE),VLOOKUP(Calculator!E23,tbSkills!DH3:DJ6,3,FALSE),0),0))&gt;=100,100,(Backdoors!AI12+IF(GI7&gt;=0.45,VLOOKUP(Calculator!E23,tbSkills!DH3:DI6,2,FALSE)+IF(AND(Calculator!B8=TRUE,Backdoors!BI30=TRUE),VLOOKUP(Calculator!E23,tbSkills!DH3:DJ6,3,FALSE),0),0)))/100)),1))*IF(VLOOKUP(A7,tbMoveset!A2:K112,11,FALSE)=TRUE,Backdoors!AC5,1))*GJ7,0),"")</f>
        <v>0</v>
      </c>
      <c r="GN7" s="49">
        <f>VLOOKUP(A7,tbMoveset!A2:G112,7,FALSE)*IFERROR(IF(Backdoors!AI12&gt;=0,1+(IF(Calculator!E40&gt;0,VLOOKUP(Calculator!E40,tbSkills!AI3:AJ5,2,FALSE),Backdoors!AL4)*(IF((Backdoors!AI12+IF(GI7&gt;=0.45,VLOOKUP(Calculator!E23,tbSkills!DH3:DI6,2,FALSE)+IF(AND(Calculator!B8=TRUE,Backdoors!BI30=TRUE),VLOOKUP(Calculator!E23,tbSkills!DH3:DJ6,3,FALSE),0),0))&gt;=100,100,(Backdoors!AI12+IF(GI7&gt;=0.45,VLOOKUP(Calculator!E23,tbSkills!DH3:DI6,2,FALSE)+IF(AND(Calculator!B8=TRUE,Backdoors!BI30=TRUE),VLOOKUP(Calculator!E23,tbSkills!DH3:DJ6,3,FALSE),0),0)))/100)),1),1)</f>
        <v>0.5</v>
      </c>
      <c r="GO7" s="87">
        <f t="shared" si="20"/>
        <v>0</v>
      </c>
      <c r="GP7" s="86" t="str">
        <f>IFERROR(IF(VLOOKUP(A7,tbMoveset!A2:B112,2,FALSE)="Sever",Backdoors!AY31/100,IF(VLOOKUP(A7,tbMoveset!A2:B112,2,FALSE)="Blunt",Backdoors!AZ31/100,Backdoors!BA31/100)),"")</f>
        <v/>
      </c>
      <c r="GQ7" s="49">
        <f>IFERROR(IF(VLOOKUP(tbMoveset!A7,tbMoveset!A2:H112,8,FALSE)="Other",IF(VLOOKUP(tbMoveset!A7,tbMoveset!A2:I112,9,FALSE)="Fire",Backdoors!BB31,IF(VLOOKUP(tbMoveset!A7,tbMoveset!A2:I112,9,FALSE)="Water",Backdoors!BC31,IF(VLOOKUP(tbMoveset!A7,tbMoveset!A2:I112,9,FALSE)="Thunder",Backdoors!BD31,IF(VLOOKUP(tbMoveset!A7,tbMoveset!A2:I112,9,FALSE)="Ice",Backdoors!BE31,IF(VLOOKUP(tbMoveset!A7,tbMoveset!A2:I112,9,FALSE)="Dragon",Backdoors!BF31,Backdoors!BG31)))))/100,Backdoors!BG31/100),"")</f>
        <v>0</v>
      </c>
      <c r="GR7" s="49">
        <f>IFERROR(IF(VLOOKUP(A7,tbMoveset!A2:J112,10,FALSE)=TRUE,IF((Backdoors!AI12+IF(GP7&gt;=0.45,VLOOKUP(Calculator!E23,tbSkills!DH3:DI6,2,FALSE)+IF(AND(Calculator!B8=TRUE,Backdoors!BI31=TRUE),VLOOKUP(Calculator!E23,tbSkills!DH3:DJ6,3,FALSE),0),0))&gt;=0,1+(Backdoors!AL2*(IF((Backdoors!AI12+IF(GP7&gt;=0.45,VLOOKUP(Calculator!E23,tbSkills!DH3:DI6,2,FALSE)+IF(AND(Calculator!B8=TRUE,Backdoors!BI31=TRUE),VLOOKUP(Calculator!E23,tbSkills!DH3:DJ6,3,FALSE),0),0))&gt;=100,100,(Backdoors!AI12+IF(GP7&gt;=0.45,VLOOKUP(Calculator!E23,tbSkills!DH3:DI6,2,FALSE)+IF(AND(Calculator!B8=TRUE,Backdoors!BI31=TRUE),VLOOKUP(Calculator!E23,tbSkills!DH3:DJ6,3,FALSE),0),0)))/100)),(1-(0.25*((-Backdoors!AI12-IF(GP7&gt;=0.45,VLOOKUP(Calculator!E23,tbSkills!DH3:DI6,2,FALSE)+IF(AND(Calculator!B8=TRUE,Backdoors!BI31=TRUE),VLOOKUP(Calculator!E23,tbSkills!DH3:DJ6,3,FALSE),0),0))/100)))),1),"")</f>
        <v>1</v>
      </c>
      <c r="GS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P7)*GR7)*(VLOOKUP(A7,tbMoveset!A2:C112,3,FALSE)/100)*IF(VLOOKUP(A7,tbMoveset!A2:B112,2,FALSE)="Projectile",Backdoors!N10,Backdoors!N9),0),"")</f>
        <v/>
      </c>
      <c r="GT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P7&gt;=0.45,VLOOKUP(Calculator!E23,tbSkills!DH3:DI6,2,FALSE)+IF(AND(Calculator!B8=TRUE,Backdoors!BI31=TRUE),VLOOKUP(Calculator!E23,tbSkills!DH3:DJ6,3,FALSE),0),0))&gt;=100,100,(Backdoors!AI12+IF(GP7&gt;=0.45,VLOOKUP(Calculator!E23,tbSkills!DH3:DI6,2,FALSE)+IF(AND(Calculator!B8=TRUE,Backdoors!BI31=TRUE),VLOOKUP(Calculator!E23,tbSkills!DH3:DJ6,3,FALSE),0),0)))/100)),1))*IF(VLOOKUP(A7,tbMoveset!A2:K112,11,FALSE)=TRUE,Backdoors!AC5,1))*GQ7,0),"")</f>
        <v>0</v>
      </c>
      <c r="GU7" s="49">
        <f>VLOOKUP(A7,tbMoveset!A2:G112,7,FALSE)*IFERROR(IF(Backdoors!AI12&gt;=0,1+(IF(Calculator!E40&gt;0,VLOOKUP(Calculator!E40,tbSkills!AI3:AJ5,2,FALSE),Backdoors!AL4)*(IF((Backdoors!AI12+IF(GP7&gt;=0.45,VLOOKUP(Calculator!E23,tbSkills!DH3:DI6,2,FALSE)+IF(AND(Calculator!B8=TRUE,Backdoors!BI31=TRUE),VLOOKUP(Calculator!E23,tbSkills!DH3:DJ6,3,FALSE),0),0))&gt;=100,100,(Backdoors!AI12+IF(GP7&gt;=0.45,VLOOKUP(Calculator!E23,tbSkills!DH3:DI6,2,FALSE)+IF(AND(Calculator!B8=TRUE,Backdoors!BI31=TRUE),VLOOKUP(Calculator!E23,tbSkills!DH3:DJ6,3,FALSE),0),0)))/100)),1),1)</f>
        <v>0.5</v>
      </c>
      <c r="GV7" s="87">
        <f t="shared" si="21"/>
        <v>0</v>
      </c>
      <c r="GW7" s="86" t="str">
        <f>IFERROR(IF(VLOOKUP(A7,tbMoveset!A2:B112,2,FALSE)="Sever",Backdoors!AY32/100,IF(VLOOKUP(A7,tbMoveset!A2:B112,2,FALSE)="Blunt",Backdoors!AZ32/100,Backdoors!BA32/100)),"")</f>
        <v/>
      </c>
      <c r="GX7" s="49">
        <f>IFERROR(IF(VLOOKUP(tbMoveset!A7,tbMoveset!A2:H112,8,FALSE)="Other",IF(VLOOKUP(tbMoveset!A7,tbMoveset!A2:I112,9,FALSE)="Fire",Backdoors!BB32,IF(VLOOKUP(tbMoveset!A7,tbMoveset!A2:I112,9,FALSE)="Water",Backdoors!BC32,IF(VLOOKUP(tbMoveset!A7,tbMoveset!A2:I112,9,FALSE)="Thunder",Backdoors!BD32,IF(VLOOKUP(tbMoveset!A7,tbMoveset!A2:I112,9,FALSE)="Ice",Backdoors!BE32,IF(VLOOKUP(tbMoveset!A7,tbMoveset!A2:I112,9,FALSE)="Dragon",Backdoors!BF32,Backdoors!BG32)))))/100,Backdoors!BG32/100),"")</f>
        <v>0</v>
      </c>
      <c r="GY7" s="49">
        <f>IFERROR(IF(VLOOKUP(A7,tbMoveset!A2:J112,10,FALSE)=TRUE,IF((Backdoors!AI12+IF(GW7&gt;=0.45,VLOOKUP(Calculator!E23,tbSkills!DH3:DI6,2,FALSE)+IF(AND(Calculator!B8=TRUE,Backdoors!BI32=TRUE),VLOOKUP(Calculator!E23,tbSkills!DH3:DJ6,3,FALSE),0),0))&gt;=0,1+(Backdoors!AL2*(IF((Backdoors!AI12+IF(GW7&gt;=0.45,VLOOKUP(Calculator!E23,tbSkills!DH3:DI6,2,FALSE)+IF(AND(Calculator!B8=TRUE,Backdoors!BI32=TRUE),VLOOKUP(Calculator!E23,tbSkills!DH3:DJ6,3,FALSE),0),0))&gt;=100,100,(Backdoors!AI12+IF(GW7&gt;=0.45,VLOOKUP(Calculator!E23,tbSkills!DH3:DI6,2,FALSE)+IF(AND(Calculator!B8=TRUE,Backdoors!BI32=TRUE),VLOOKUP(Calculator!E23,tbSkills!DH3:DJ6,3,FALSE),0),0)))/100)),(1-(0.25*((-Backdoors!AI12-IF(GW7&gt;=0.45,VLOOKUP(Calculator!E23,tbSkills!DH3:DI6,2,FALSE)+IF(AND(Calculator!B8=TRUE,Backdoors!BI32=TRUE),VLOOKUP(Calculator!E23,tbSkills!DH3:DJ6,3,FALSE),0),0))/100)))),1),"")</f>
        <v>1</v>
      </c>
      <c r="GZ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W7)*GY7)*(VLOOKUP(A7,tbMoveset!A2:C112,3,FALSE)/100)*IF(VLOOKUP(A7,tbMoveset!A2:B112,2,FALSE)="Projectile",Backdoors!N10,Backdoors!N9),0),"")</f>
        <v/>
      </c>
      <c r="HA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W7&gt;=0.45,VLOOKUP(Calculator!E23,tbSkills!DH3:DI6,2,FALSE)+IF(AND(Calculator!B8=TRUE,Backdoors!BI32=TRUE),VLOOKUP(Calculator!E23,tbSkills!DH3:DJ6,3,FALSE),0),0))&gt;=100,100,(Backdoors!AI12+IF(GW7&gt;=0.45,VLOOKUP(Calculator!E23,tbSkills!DH3:DI6,2,FALSE)+IF(AND(Calculator!B8=TRUE,Backdoors!BI32=TRUE),VLOOKUP(Calculator!E23,tbSkills!DH3:DJ6,3,FALSE),0),0)))/100)),1))*IF(VLOOKUP(A7,tbMoveset!A2:K112,11,FALSE)=TRUE,Backdoors!AC5,1))*GX7,0),"")</f>
        <v>0</v>
      </c>
      <c r="HB7" s="49">
        <f>VLOOKUP(A7,tbMoveset!A2:G112,7,FALSE)*IFERROR(IF(Backdoors!AI12&gt;=0,1+(IF(Calculator!E40&gt;0,VLOOKUP(Calculator!E40,tbSkills!AI3:AJ5,2,FALSE),Backdoors!AL4)*(IF((Backdoors!AI12+IF(GW7&gt;=0.45,VLOOKUP(Calculator!E23,tbSkills!DH3:DI6,2,FALSE)+IF(AND(Calculator!B8=TRUE,Backdoors!BI32=TRUE),VLOOKUP(Calculator!E23,tbSkills!DH3:DJ6,3,FALSE),0),0))&gt;=100,100,(Backdoors!AI12+IF(GW7&gt;=0.45,VLOOKUP(Calculator!E23,tbSkills!DH3:DI6,2,FALSE)+IF(AND(Calculator!B8=TRUE,Backdoors!BI32=TRUE),VLOOKUP(Calculator!E23,tbSkills!DH3:DJ6,3,FALSE),0),0)))/100)),1),1)</f>
        <v>0.5</v>
      </c>
      <c r="HC7" s="87">
        <f t="shared" si="22"/>
        <v>0</v>
      </c>
      <c r="HD7" s="86" t="str">
        <f>IFERROR(IF(VLOOKUP(A7,tbMoveset!A2:B112,2,FALSE)="Sever",Backdoors!AY33/100,IF(VLOOKUP(A7,tbMoveset!A2:B112,2,FALSE)="Blunt",Backdoors!AZ33/100,Backdoors!BA33/100)),"")</f>
        <v/>
      </c>
      <c r="HE7" s="49">
        <f>IFERROR(IF(VLOOKUP(tbMoveset!A7,tbMoveset!A2:H112,8,FALSE)="Other",IF(VLOOKUP(tbMoveset!A7,tbMoveset!A2:I112,9,FALSE)="Fire",Backdoors!BB33,IF(VLOOKUP(tbMoveset!A7,tbMoveset!A2:I112,9,FALSE)="Water",Backdoors!BC33,IF(VLOOKUP(tbMoveset!A7,tbMoveset!A2:I112,9,FALSE)="Thunder",Backdoors!BD33,IF(VLOOKUP(tbMoveset!A7,tbMoveset!A2:I112,9,FALSE)="Ice",Backdoors!BE33,IF(VLOOKUP(tbMoveset!A7,tbMoveset!A2:I112,9,FALSE)="Dragon",Backdoors!BF33,Backdoors!BG33)))))/100,Backdoors!BG33/100),"")</f>
        <v>0</v>
      </c>
      <c r="HF7" s="49">
        <f>IFERROR(IF(VLOOKUP(A7,tbMoveset!A2:J112,10,FALSE)=TRUE,IF((Backdoors!AI12+IF(HD7&gt;=0.45,VLOOKUP(Calculator!E23,tbSkills!DH3:DI6,2,FALSE)+IF(AND(Calculator!B8=TRUE,Backdoors!BI33=TRUE),VLOOKUP(Calculator!E23,tbSkills!DH3:DJ6,3,FALSE),0),0))&gt;=0,1+(Backdoors!AL2*(IF((Backdoors!AI12+IF(HD7&gt;=0.45,VLOOKUP(Calculator!E23,tbSkills!DH3:DI6,2,FALSE)+IF(AND(Calculator!B8=TRUE,Backdoors!BI33=TRUE),VLOOKUP(Calculator!E23,tbSkills!DH3:DJ6,3,FALSE),0),0))&gt;=100,100,(Backdoors!AI12+IF(HD7&gt;=0.45,VLOOKUP(Calculator!E23,tbSkills!DH3:DI6,2,FALSE)+IF(AND(Calculator!B8=TRUE,Backdoors!BI33=TRUE),VLOOKUP(Calculator!E23,tbSkills!DH3:DJ6,3,FALSE),0),0)))/100)),(1-(0.25*((-Backdoors!AI12-IF(HD7&gt;=0.45,VLOOKUP(Calculator!E23,tbSkills!DH3:DI6,2,FALSE)+IF(AND(Calculator!B8=TRUE,Backdoors!BI33=TRUE),VLOOKUP(Calculator!E23,tbSkills!DH3:DJ6,3,FALSE),0),0))/100)))),1),"")</f>
        <v>1</v>
      </c>
      <c r="HG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D7)*HF7)*(VLOOKUP(A7,tbMoveset!A2:C112,3,FALSE)/100)*IF(VLOOKUP(A7,tbMoveset!A2:B112,2,FALSE)="Projectile",Backdoors!N10,Backdoors!N9),0),"")</f>
        <v/>
      </c>
      <c r="HH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D7&gt;=0.45,VLOOKUP(Calculator!E23,tbSkills!DH3:DI6,2,FALSE)+IF(AND(Calculator!B8=TRUE,Backdoors!BI33=TRUE),VLOOKUP(Calculator!E23,tbSkills!DH3:DJ6,3,FALSE),0),0))&gt;=100,100,(Backdoors!AI12+IF(HD7&gt;=0.45,VLOOKUP(Calculator!E23,tbSkills!DH3:DI6,2,FALSE)+IF(AND(Calculator!B8=TRUE,Backdoors!BI33=TRUE),VLOOKUP(Calculator!E23,tbSkills!DH3:DJ6,3,FALSE),0),0)))/100)),1))*IF(VLOOKUP(A7,tbMoveset!A2:K112,11,FALSE)=TRUE,Backdoors!AC5,1))*HE7,0),"")</f>
        <v>0</v>
      </c>
      <c r="HI7" s="49">
        <f>VLOOKUP(A7,tbMoveset!A2:G112,7,FALSE)*IFERROR(IF(Backdoors!AI12&gt;=0,1+(IF(Calculator!E40&gt;0,VLOOKUP(Calculator!E40,tbSkills!AI3:AJ5,2,FALSE),Backdoors!AL4)*(IF((Backdoors!AI12+IF(HD7&gt;=0.45,VLOOKUP(Calculator!E23,tbSkills!DH3:DI6,2,FALSE)+IF(AND(Calculator!B8=TRUE,Backdoors!BI33=TRUE),VLOOKUP(Calculator!E23,tbSkills!DH3:DJ6,3,FALSE),0),0))&gt;=100,100,(Backdoors!AI12+IF(HD7&gt;=0.45,VLOOKUP(Calculator!E23,tbSkills!DH3:DI6,2,FALSE)+IF(AND(Calculator!B8=TRUE,Backdoors!BI33=TRUE),VLOOKUP(Calculator!E23,tbSkills!DH3:DJ6,3,FALSE),0),0)))/100)),1),1)</f>
        <v>0.5</v>
      </c>
      <c r="HJ7" s="87">
        <f t="shared" si="23"/>
        <v>0</v>
      </c>
      <c r="HK7" s="86" t="str">
        <f>IFERROR(IF(VLOOKUP(A7,tbMoveset!A2:B112,2,FALSE)="Sever",Backdoors!AY34/100,IF(VLOOKUP(A7,tbMoveset!A2:B112,2,FALSE)="Blunt",Backdoors!AZ34/100,Backdoors!BA34/100)),"")</f>
        <v/>
      </c>
      <c r="HL7" s="49">
        <f>IFERROR(IF(VLOOKUP(tbMoveset!A7,tbMoveset!A2:H112,8,FALSE)="Other",IF(VLOOKUP(tbMoveset!A7,tbMoveset!A2:I112,9,FALSE)="Fire",Backdoors!BB34,IF(VLOOKUP(tbMoveset!A7,tbMoveset!A2:I112,9,FALSE)="Water",Backdoors!BC34,IF(VLOOKUP(tbMoveset!A7,tbMoveset!A2:I112,9,FALSE)="Thunder",Backdoors!BD34,IF(VLOOKUP(tbMoveset!A7,tbMoveset!A2:I112,9,FALSE)="Ice",Backdoors!BE34,IF(VLOOKUP(tbMoveset!A7,tbMoveset!A2:I112,9,FALSE)="Dragon",Backdoors!BF34,Backdoors!BG34)))))/100,Backdoors!BG34/100),"")</f>
        <v>0</v>
      </c>
      <c r="HM7" s="49">
        <f>IFERROR(IF(VLOOKUP(A7,tbMoveset!A2:J112,10,FALSE)=TRUE,IF((Backdoors!AI12+IF(HK7&gt;=0.45,VLOOKUP(Calculator!E23,tbSkills!DH3:DI6,2,FALSE)+IF(AND(Calculator!B8=TRUE,Backdoors!BI34=TRUE),VLOOKUP(Calculator!E23,tbSkills!DH3:DJ6,3,FALSE),0),0))&gt;=0,1+(Backdoors!AL2*(IF((Backdoors!AI12+IF(HK7&gt;=0.45,VLOOKUP(Calculator!E23,tbSkills!DH3:DI6,2,FALSE)+IF(AND(Calculator!B8=TRUE,Backdoors!BI34=TRUE),VLOOKUP(Calculator!E23,tbSkills!DH3:DJ6,3,FALSE),0),0))&gt;=100,100,(Backdoors!AI12+IF(HK7&gt;=0.45,VLOOKUP(Calculator!E23,tbSkills!DH3:DI6,2,FALSE)+IF(AND(Calculator!B8=TRUE,Backdoors!BI34=TRUE),VLOOKUP(Calculator!E23,tbSkills!DH3:DJ6,3,FALSE),0),0)))/100)),(1-(0.25*((-Backdoors!AI12-IF(HK7&gt;=0.45,VLOOKUP(Calculator!E23,tbSkills!DH3:DI6,2,FALSE)+IF(AND(Calculator!B8=TRUE,Backdoors!BI34=TRUE),VLOOKUP(Calculator!E23,tbSkills!DH3:DJ6,3,FALSE),0),0))/100)))),1),"")</f>
        <v>1</v>
      </c>
      <c r="HN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K7)*HM7)*(VLOOKUP(A7,tbMoveset!A2:C112,3,FALSE)/100)*IF(VLOOKUP(A7,tbMoveset!A2:B112,2,FALSE)="Projectile",Backdoors!N10,Backdoors!N9),0),"")</f>
        <v/>
      </c>
      <c r="HO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K7&gt;=0.45,VLOOKUP(Calculator!E23,tbSkills!DH3:DI6,2,FALSE)+IF(AND(Calculator!B8=TRUE,Backdoors!BI34=TRUE),VLOOKUP(Calculator!E23,tbSkills!DH3:DJ6,3,FALSE),0),0))&gt;=100,100,(Backdoors!AI12+IF(HK7&gt;=0.45,VLOOKUP(Calculator!E23,tbSkills!DH3:DI6,2,FALSE)+IF(AND(Calculator!B8=TRUE,Backdoors!BI34=TRUE),VLOOKUP(Calculator!E23,tbSkills!DH3:DJ6,3,FALSE),0),0)))/100)),1))*IF(VLOOKUP(A7,tbMoveset!A2:K112,11,FALSE)=TRUE,Backdoors!AC5,1))*HL7,0),"")</f>
        <v>0</v>
      </c>
      <c r="HP7" s="49">
        <f>VLOOKUP(A7,tbMoveset!A2:G112,7,FALSE)*IFERROR(IF(Backdoors!AI12&gt;=0,1+(IF(Calculator!E40&gt;0,VLOOKUP(Calculator!E40,tbSkills!AI3:AJ5,2,FALSE),Backdoors!AL4)*(IF((Backdoors!AI12+IF(HK7&gt;=0.45,VLOOKUP(Calculator!E23,tbSkills!DH3:DI6,2,FALSE)+IF(AND(Calculator!B8=TRUE,Backdoors!BI34=TRUE),VLOOKUP(Calculator!E23,tbSkills!DH3:DJ6,3,FALSE),0),0))&gt;=100,100,(Backdoors!AI12+IF(HK7&gt;=0.45,VLOOKUP(Calculator!E23,tbSkills!DH3:DI6,2,FALSE)+IF(AND(Calculator!B8=TRUE,Backdoors!BI34=TRUE),VLOOKUP(Calculator!E23,tbSkills!DH3:DJ6,3,FALSE),0),0)))/100)),1),1)</f>
        <v>0.5</v>
      </c>
      <c r="HQ7" s="87">
        <f t="shared" si="24"/>
        <v>0</v>
      </c>
      <c r="HR7" s="86" t="str">
        <f>IFERROR(IF(VLOOKUP(A7,tbMoveset!A2:B112,2,FALSE)="Sever",Backdoors!AY35/100,IF(VLOOKUP(A7,tbMoveset!A2:B112,2,FALSE)="Blunt",Backdoors!AZ35/100,Backdoors!BA35/100)),"")</f>
        <v/>
      </c>
      <c r="HS7" s="49">
        <f>IFERROR(IF(VLOOKUP(tbMoveset!A7,tbMoveset!A2:H112,8,FALSE)="Other",IF(VLOOKUP(tbMoveset!A7,tbMoveset!A2:I112,9,FALSE)="Fire",Backdoors!BB35,IF(VLOOKUP(tbMoveset!A7,tbMoveset!A2:I112,9,FALSE)="Water",Backdoors!BC35,IF(VLOOKUP(tbMoveset!A7,tbMoveset!A2:I112,9,FALSE)="Thunder",Backdoors!BD35,IF(VLOOKUP(tbMoveset!A7,tbMoveset!A2:I112,9,FALSE)="Ice",Backdoors!BE35,IF(VLOOKUP(tbMoveset!A7,tbMoveset!A2:I112,9,FALSE)="Dragon",Backdoors!BF35,Backdoors!BG35)))))/100,Backdoors!BG35/100),"")</f>
        <v>0</v>
      </c>
      <c r="HT7" s="49">
        <f>IFERROR(IF(VLOOKUP(A7,tbMoveset!A2:J112,10,FALSE)=TRUE,IF((Backdoors!AI12+IF(HR7&gt;=0.45,VLOOKUP(Calculator!E23,tbSkills!DH3:DI6,2,FALSE)+IF(AND(Calculator!B8=TRUE,Backdoors!BI35=TRUE),VLOOKUP(Calculator!E23,tbSkills!DH3:DJ6,3,FALSE),0),0))&gt;=0,1+(Backdoors!AL2*(IF((Backdoors!AI12+IF(HR7&gt;=0.45,VLOOKUP(Calculator!E23,tbSkills!DH3:DI6,2,FALSE)+IF(AND(Calculator!B8=TRUE,Backdoors!BI35=TRUE),VLOOKUP(Calculator!E23,tbSkills!DH3:DJ6,3,FALSE),0),0))&gt;=100,100,(Backdoors!AI12+IF(HR7&gt;=0.45,VLOOKUP(Calculator!E23,tbSkills!DH3:DI6,2,FALSE)+IF(AND(Calculator!B8=TRUE,Backdoors!BI35=TRUE),VLOOKUP(Calculator!E23,tbSkills!DH3:DJ6,3,FALSE),0),0)))/100)),(1-(0.25*((-Backdoors!AI12-IF(HR7&gt;=0.45,VLOOKUP(Calculator!E23,tbSkills!DH3:DI6,2,FALSE)+IF(AND(Calculator!B8=TRUE,Backdoors!BI35=TRUE),VLOOKUP(Calculator!E23,tbSkills!DH3:DJ6,3,FALSE),0),0))/100)))),1),"")</f>
        <v>1</v>
      </c>
      <c r="HU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R7)*HT7)*(VLOOKUP(A7,tbMoveset!A2:C112,3,FALSE)/100)*IF(VLOOKUP(A7,tbMoveset!A2:B112,2,FALSE)="Projectile",Backdoors!N10,Backdoors!N9),0),"")</f>
        <v/>
      </c>
      <c r="HV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R7&gt;=0.45,VLOOKUP(Calculator!E23,tbSkills!DH3:DI6,2,FALSE)+IF(AND(Calculator!B8=TRUE,Backdoors!BI35=TRUE),VLOOKUP(Calculator!E23,tbSkills!DH3:DJ6,3,FALSE),0),0))&gt;=100,100,(Backdoors!AI12+IF(HR7&gt;=0.45,VLOOKUP(Calculator!E23,tbSkills!DH3:DI6,2,FALSE)+IF(AND(Calculator!B8=TRUE,Backdoors!BI35=TRUE),VLOOKUP(Calculator!E23,tbSkills!DH3:DJ6,3,FALSE),0),0)))/100)),1))*IF(VLOOKUP(A7,tbMoveset!A2:K112,11,FALSE)=TRUE,Backdoors!AC5,1))*HS7,0),"")</f>
        <v>0</v>
      </c>
      <c r="HW7" s="49">
        <f>VLOOKUP(A7,tbMoveset!A2:G112,7,FALSE)*IFERROR(IF(Backdoors!AI12&gt;=0,1+(IF(Calculator!E40&gt;0,VLOOKUP(Calculator!E40,tbSkills!AI3:AJ5,2,FALSE),Backdoors!AL4)*(IF((Backdoors!AI12+IF(HR7&gt;=0.45,VLOOKUP(Calculator!E23,tbSkills!DH3:DI6,2,FALSE)+IF(AND(Calculator!B8=TRUE,Backdoors!BI35=TRUE),VLOOKUP(Calculator!E23,tbSkills!DH3:DJ6,3,FALSE),0),0))&gt;=100,100,(Backdoors!AI12+IF(HR7&gt;=0.45,VLOOKUP(Calculator!E23,tbSkills!DH3:DI6,2,FALSE)+IF(AND(Calculator!B8=TRUE,Backdoors!BI35=TRUE),VLOOKUP(Calculator!E23,tbSkills!DH3:DJ6,3,FALSE),0),0)))/100)),1),1)</f>
        <v>0.5</v>
      </c>
      <c r="HX7" s="87">
        <f t="shared" si="25"/>
        <v>0</v>
      </c>
      <c r="HY7" s="86" t="str">
        <f>IFERROR(IF(VLOOKUP(A7,tbMoveset!A2:B112,2,FALSE)="Sever",Backdoors!AY36/100,IF(VLOOKUP(A7,tbMoveset!A2:B112,2,FALSE)="Blunt",Backdoors!AZ36/100,Backdoors!BA36/100)),"")</f>
        <v/>
      </c>
      <c r="HZ7" s="49">
        <f>IFERROR(IF(VLOOKUP(tbMoveset!A7,tbMoveset!A2:H112,8,FALSE)="Other",IF(VLOOKUP(tbMoveset!A7,tbMoveset!A2:I112,9,FALSE)="Fire",Backdoors!BB36,IF(VLOOKUP(tbMoveset!A7,tbMoveset!A2:I112,9,FALSE)="Water",Backdoors!BC36,IF(VLOOKUP(tbMoveset!A7,tbMoveset!A2:I112,9,FALSE)="Thunder",Backdoors!BD36,IF(VLOOKUP(tbMoveset!A7,tbMoveset!A2:I112,9,FALSE)="Ice",Backdoors!BE36,IF(VLOOKUP(tbMoveset!A7,tbMoveset!A2:I112,9,FALSE)="Dragon",Backdoors!BF36,Backdoors!BG36)))))/100,Backdoors!BG36/100),"")</f>
        <v>0</v>
      </c>
      <c r="IA7" s="49">
        <f>IFERROR(IF(VLOOKUP(A7,tbMoveset!A2:J112,10,FALSE)=TRUE,IF((Backdoors!AI12+IF(HY7&gt;=0.45,VLOOKUP(Calculator!E23,tbSkills!DH3:DI6,2,FALSE)+IF(AND(Calculator!B8=TRUE,Backdoors!BI36=TRUE),VLOOKUP(Calculator!E23,tbSkills!DH3:DJ6,3,FALSE),0),0))&gt;=0,1+(Backdoors!AL2*(IF((Backdoors!AI12+IF(HY7&gt;=0.45,VLOOKUP(Calculator!E23,tbSkills!DH3:DI6,2,FALSE)+IF(AND(Calculator!B8=TRUE,Backdoors!BI36=TRUE),VLOOKUP(Calculator!E23,tbSkills!DH3:DJ6,3,FALSE),0),0))&gt;=100,100,(Backdoors!AI12+IF(HY7&gt;=0.45,VLOOKUP(Calculator!E23,tbSkills!DH3:DI6,2,FALSE)+IF(AND(Calculator!B8=TRUE,Backdoors!BI36=TRUE),VLOOKUP(Calculator!E23,tbSkills!DH3:DJ6,3,FALSE),0),0)))/100)),(1-(0.25*((-Backdoors!AI12-IF(HY7&gt;=0.45,VLOOKUP(Calculator!E23,tbSkills!DH3:DI6,2,FALSE)+IF(AND(Calculator!B8=TRUE,Backdoors!BI36=TRUE),VLOOKUP(Calculator!E23,tbSkills!DH3:DJ6,3,FALSE),0),0))/100)))),1),"")</f>
        <v>1</v>
      </c>
      <c r="IB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Y7)*IA7)*(VLOOKUP(A7,tbMoveset!A2:C112,3,FALSE)/100)*IF(VLOOKUP(A7,tbMoveset!A2:B112,2,FALSE)="Projectile",Backdoors!N10,Backdoors!N9),0),"")</f>
        <v/>
      </c>
      <c r="IC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Y7&gt;=0.45,VLOOKUP(Calculator!E23,tbSkills!DH3:DI6,2,FALSE)+IF(AND(Calculator!B8=TRUE,Backdoors!BI36=TRUE),VLOOKUP(Calculator!E23,tbSkills!DH3:DJ6,3,FALSE),0),0))&gt;=100,100,(Backdoors!AI12+IF(HY7&gt;=0.45,VLOOKUP(Calculator!E23,tbSkills!DH3:DI6,2,FALSE)+IF(AND(Calculator!B8=TRUE,Backdoors!BI36=TRUE),VLOOKUP(Calculator!E23,tbSkills!DH3:DJ6,3,FALSE),0),0)))/100)),1))*IF(VLOOKUP(A7,tbMoveset!A2:K112,11,FALSE)=TRUE,Backdoors!AC5,1))*HZ7,0),"")</f>
        <v>0</v>
      </c>
      <c r="ID7" s="49">
        <f>VLOOKUP(A7,tbMoveset!A2:G112,7,FALSE)*IFERROR(IF(Backdoors!AI12&gt;=0,1+(IF(Calculator!E40&gt;0,VLOOKUP(Calculator!E40,tbSkills!AI3:AJ5,2,FALSE),Backdoors!AL4)*(IF((Backdoors!AI12+IF(HY7&gt;=0.45,VLOOKUP(Calculator!E23,tbSkills!DH3:DI6,2,FALSE)+IF(AND(Calculator!B8=TRUE,Backdoors!BI36=TRUE),VLOOKUP(Calculator!E23,tbSkills!DH3:DJ6,3,FALSE),0),0))&gt;=100,100,(Backdoors!AI12+IF(HY7&gt;=0.45,VLOOKUP(Calculator!E23,tbSkills!DH3:DI6,2,FALSE)+IF(AND(Calculator!B8=TRUE,Backdoors!BI36=TRUE),VLOOKUP(Calculator!E23,tbSkills!DH3:DJ6,3,FALSE),0),0)))/100)),1),1)</f>
        <v>0.5</v>
      </c>
      <c r="IE7" s="87">
        <f t="shared" si="26"/>
        <v>0</v>
      </c>
      <c r="IF7" s="86" t="str">
        <f>IFERROR(IF(VLOOKUP(A7,tbMoveset!A2:B112,2,FALSE)="Sever",Backdoors!AY37/100,IF(VLOOKUP(A7,tbMoveset!A2:B112,2,FALSE)="Blunt",Backdoors!AZ37/100,Backdoors!BA37/100)),"")</f>
        <v/>
      </c>
      <c r="IG7" s="49">
        <f>IFERROR(IF(VLOOKUP(tbMoveset!A7,tbMoveset!A2:H112,8,FALSE)="Other",IF(VLOOKUP(tbMoveset!A7,tbMoveset!A2:I112,9,FALSE)="Fire",Backdoors!BB37,IF(VLOOKUP(tbMoveset!A7,tbMoveset!A2:I112,9,FALSE)="Water",Backdoors!BC37,IF(VLOOKUP(tbMoveset!A7,tbMoveset!A2:I112,9,FALSE)="Thunder",Backdoors!BD37,IF(VLOOKUP(tbMoveset!A7,tbMoveset!A2:I112,9,FALSE)="Ice",Backdoors!BE37,IF(VLOOKUP(tbMoveset!A7,tbMoveset!A2:I112,9,FALSE)="Dragon",Backdoors!BF37,Backdoors!BG37)))))/100,Backdoors!BG37/100),"")</f>
        <v>0</v>
      </c>
      <c r="IH7" s="49">
        <f>IFERROR(IF(VLOOKUP(A7,tbMoveset!A2:J112,10,FALSE)=TRUE,IF((Backdoors!AI12+IF(IF7&gt;=0.45,VLOOKUP(Calculator!E23,tbSkills!DH3:DI6,2,FALSE)+IF(AND(Calculator!B8=TRUE,Backdoors!BI37=TRUE),VLOOKUP(Calculator!E23,tbSkills!DH3:DJ6,3,FALSE),0),0))&gt;=0,1+(Backdoors!AL2*(IF((Backdoors!AI12+IF(IF7&gt;=0.45,VLOOKUP(Calculator!E23,tbSkills!DH3:DI6,2,FALSE)+IF(AND(Calculator!B8=TRUE,Backdoors!BI37=TRUE),VLOOKUP(Calculator!E23,tbSkills!DH3:DJ6,3,FALSE),0),0))&gt;=100,100,(Backdoors!AI12+IF(IF7&gt;=0.45,VLOOKUP(Calculator!E23,tbSkills!DH3:DI6,2,FALSE)+IF(AND(Calculator!B8=TRUE,Backdoors!BI37=TRUE),VLOOKUP(Calculator!E23,tbSkills!DH3:DJ6,3,FALSE),0),0)))/100)),(1-(0.25*((-Backdoors!AI12-IF(IF7&gt;=0.45,VLOOKUP(Calculator!E23,tbSkills!DH3:DI6,2,FALSE)+IF(AND(Calculator!B8=TRUE,Backdoors!BI37=TRUE),VLOOKUP(Calculator!E23,tbSkills!DH3:DJ6,3,FALSE),0),0))/100)))),1),"")</f>
        <v>1</v>
      </c>
      <c r="II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F7)*IH7)*(VLOOKUP(A7,tbMoveset!A2:C112,3,FALSE)/100)*IF(VLOOKUP(A7,tbMoveset!A2:B112,2,FALSE)="Projectile",Backdoors!N10,Backdoors!N9),0),"")</f>
        <v/>
      </c>
      <c r="IJ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IF7&gt;=0.45,VLOOKUP(Calculator!E23,tbSkills!DH3:DI6,2,FALSE)+IF(AND(Calculator!B8=TRUE,Backdoors!BI37=TRUE),VLOOKUP(Calculator!E23,tbSkills!DH3:DJ6,3,FALSE),0),0))&gt;=100,100,(Backdoors!AI12+IF(IF7&gt;=0.45,VLOOKUP(Calculator!E23,tbSkills!DH3:DI6,2,FALSE)+IF(AND(Calculator!B8=TRUE,Backdoors!BI37=TRUE),VLOOKUP(Calculator!E23,tbSkills!DH3:DJ6,3,FALSE),0),0)))/100)),1))*IF(VLOOKUP(A7,tbMoveset!A2:K112,11,FALSE)=TRUE,Backdoors!AC5,1))*IG7,0),"")</f>
        <v>0</v>
      </c>
      <c r="IK7" s="49">
        <f>VLOOKUP(A7,tbMoveset!A2:G112,7,FALSE)*IFERROR(IF(Backdoors!AI12&gt;=0,1+(IF(Calculator!E40&gt;0,VLOOKUP(Calculator!E40,tbSkills!AI3:AJ5,2,FALSE),Backdoors!AL4)*(IF((Backdoors!AI12+IF(IF7&gt;=0.45,VLOOKUP(Calculator!E23,tbSkills!DH3:DI6,2,FALSE)+IF(AND(Calculator!B8=TRUE,Backdoors!BI37=TRUE),VLOOKUP(Calculator!E23,tbSkills!DH3:DJ6,3,FALSE),0),0))&gt;=100,100,(Backdoors!AI12+IF(IF7&gt;=0.45,VLOOKUP(Calculator!E23,tbSkills!DH3:DI6,2,FALSE)+IF(AND(Calculator!B8=TRUE,Backdoors!BI37=TRUE),VLOOKUP(Calculator!E23,tbSkills!DH3:DJ6,3,FALSE),0),0)))/100)),1),1)</f>
        <v>0.5</v>
      </c>
      <c r="IL7" s="87">
        <f t="shared" si="27"/>
        <v>0</v>
      </c>
      <c r="IM7" s="86" t="str">
        <f>IFERROR(IF(VLOOKUP(A7,tbMoveset!A2:B112,2,FALSE)="Sever",Backdoors!AY38/100,IF(VLOOKUP(A7,tbMoveset!A2:B112,2,FALSE)="Blunt",Backdoors!AZ38/100,Backdoors!BA38/100)),"")</f>
        <v/>
      </c>
      <c r="IN7" s="49">
        <f>IFERROR(IF(VLOOKUP(tbMoveset!A7,tbMoveset!A2:H112,8,FALSE)="Other",IF(VLOOKUP(tbMoveset!A7,tbMoveset!A2:I112,9,FALSE)="Fire",Backdoors!BB38,IF(VLOOKUP(tbMoveset!A7,tbMoveset!A2:I112,9,FALSE)="Water",Backdoors!BC38,IF(VLOOKUP(tbMoveset!A7,tbMoveset!A2:I112,9,FALSE)="Thunder",Backdoors!BD38,IF(VLOOKUP(tbMoveset!A7,tbMoveset!A2:I112,9,FALSE)="Ice",Backdoors!BE38,IF(VLOOKUP(tbMoveset!A7,tbMoveset!A2:I112,9,FALSE)="Dragon",Backdoors!BF38,Backdoors!BG38)))))/100,Backdoors!BG38/100),"")</f>
        <v>0</v>
      </c>
      <c r="IO7" s="49">
        <f>IFERROR(IF(VLOOKUP(A7,tbMoveset!A2:J112,10,FALSE)=TRUE,IF((Backdoors!AI12+IF(IM7&gt;=0.45,VLOOKUP(Calculator!E23,tbSkills!DH3:DI6,2,FALSE)+IF(AND(Calculator!B8=TRUE,Backdoors!BI38=TRUE),VLOOKUP(Calculator!E23,tbSkills!DH3:DJ6,3,FALSE),0),0))&gt;=0,1+(Backdoors!AL2*(IF((Backdoors!AI12+IF(IM7&gt;=0.45,VLOOKUP(Calculator!E23,tbSkills!DH3:DI6,2,FALSE)+IF(AND(Calculator!B8=TRUE,Backdoors!BI38=TRUE),VLOOKUP(Calculator!E23,tbSkills!DH3:DJ6,3,FALSE),0),0))&gt;=100,100,(Backdoors!AI12+IF(IM7&gt;=0.45,VLOOKUP(Calculator!E23,tbSkills!DH3:DI6,2,FALSE)+IF(AND(Calculator!B8=TRUE,Backdoors!BI38=TRUE),VLOOKUP(Calculator!E23,tbSkills!DH3:DJ6,3,FALSE),0),0)))/100)),(1-(0.25*((-Backdoors!AI12-IF(IM7&gt;=0.45,VLOOKUP(Calculator!E23,tbSkills!DH3:DI6,2,FALSE)+IF(AND(Calculator!B8=TRUE,Backdoors!BI38=TRUE),VLOOKUP(Calculator!E23,tbSkills!DH3:DJ6,3,FALSE),0),0))/100)))),1),"")</f>
        <v>1</v>
      </c>
      <c r="IP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M7)*IO7)*(VLOOKUP(A7,tbMoveset!A2:C112,3,FALSE)/100)*IF(VLOOKUP(A7,tbMoveset!A2:B112,2,FALSE)="Projectile",Backdoors!N10,Backdoors!N9),0),"")</f>
        <v/>
      </c>
      <c r="IQ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IM7&gt;=0.45,VLOOKUP(Calculator!E23,tbSkills!DH3:DI6,2,FALSE)+IF(AND(Calculator!B8=TRUE,Backdoors!BI38=TRUE),VLOOKUP(Calculator!E23,tbSkills!DH3:DJ6,3,FALSE),0),0))&gt;=100,100,(Backdoors!AI12+IF(IM7&gt;=0.45,VLOOKUP(Calculator!E23,tbSkills!DH3:DI6,2,FALSE)+IF(AND(Calculator!B8=TRUE,Backdoors!BI38=TRUE),VLOOKUP(Calculator!E23,tbSkills!DH3:DJ6,3,FALSE),0),0)))/100)),1))*IF(VLOOKUP(A7,tbMoveset!A2:K112,11,FALSE)=TRUE,Backdoors!AC5,1))*IN7,0),"")</f>
        <v>0</v>
      </c>
      <c r="IR7" s="49">
        <f>VLOOKUP(A7,tbMoveset!A2:G112,7,FALSE)*IFERROR(IF(Backdoors!AI12&gt;=0,1+(IF(Calculator!E40&gt;0,VLOOKUP(Calculator!E40,tbSkills!AI3:AJ5,2,FALSE),Backdoors!AL4)*(IF((Backdoors!AI12+IF(IM7&gt;=0.45,VLOOKUP(Calculator!E23,tbSkills!DH3:DI6,2,FALSE)+IF(AND(Calculator!B8=TRUE,Backdoors!BI38=TRUE),VLOOKUP(Calculator!E23,tbSkills!DH3:DJ6,3,FALSE),0),0))&gt;=100,100,(Backdoors!AI12+IF(IM7&gt;=0.45,VLOOKUP(Calculator!E23,tbSkills!DH3:DI6,2,FALSE)+IF(AND(Calculator!B8=TRUE,Backdoors!BI38=TRUE),VLOOKUP(Calculator!E23,tbSkills!DH3:DJ6,3,FALSE),0),0)))/100)),1),1)</f>
        <v>0.5</v>
      </c>
      <c r="IS7" s="87">
        <f t="shared" si="42"/>
        <v>0</v>
      </c>
      <c r="IT7" s="86" t="str">
        <f>IFERROR(IF(VLOOKUP(A7,tbMoveset!A2:B112,2,FALSE)="Sever",Backdoors!AY39/100,IF(VLOOKUP(A7,tbMoveset!A2:B112,2,FALSE)="Blunt",Backdoors!AZ39/100,Backdoors!BA39/100)),"")</f>
        <v/>
      </c>
      <c r="IU7" s="49">
        <f>IFERROR(IF(VLOOKUP(tbMoveset!A7,tbMoveset!A2:H112,8,FALSE)="Other",IF(VLOOKUP(tbMoveset!A7,tbMoveset!A2:I112,9,FALSE)="Fire",Backdoors!BB39,IF(VLOOKUP(tbMoveset!A7,tbMoveset!A2:I112,9,FALSE)="Water",Backdoors!BC39,IF(VLOOKUP(tbMoveset!A7,tbMoveset!A2:I112,9,FALSE)="Thunder",Backdoors!BD39,IF(VLOOKUP(tbMoveset!A7,tbMoveset!A2:I112,9,FALSE)="Ice",Backdoors!BE39,IF(VLOOKUP(tbMoveset!A7,tbMoveset!A2:I112,9,FALSE)="Dragon",Backdoors!BF39,Backdoors!BG39)))))/100,Backdoors!BG39/100),"")</f>
        <v>0</v>
      </c>
      <c r="IV7" s="49">
        <f>IFERROR(IF(VLOOKUP(A7,tbMoveset!A2:J112,10,FALSE)=TRUE,IF((Backdoors!AI12+IF(IT7&gt;=0.45,VLOOKUP(Calculator!E23,tbSkills!DH3:DI6,2,FALSE)+IF(AND(Calculator!B8=TRUE,Backdoors!BI39=TRUE),VLOOKUP(Calculator!E23,tbSkills!DH3:DJ6,3,FALSE),0),0))&gt;=0,1+(Backdoors!AL2*(IF((Backdoors!AI12+IF(IT7&gt;=0.45,VLOOKUP(Calculator!E23,tbSkills!DH3:DI6,2,FALSE)+IF(AND(Calculator!B8=TRUE,Backdoors!BI39=TRUE),VLOOKUP(Calculator!E23,tbSkills!DH3:DJ6,3,FALSE),0),0))&gt;=100,100,(Backdoors!AI12+IF(IT7&gt;=0.45,VLOOKUP(Calculator!E23,tbSkills!DH3:DI6,2,FALSE)+IF(AND(Calculator!B8=TRUE,Backdoors!BI39=TRUE),VLOOKUP(Calculator!E23,tbSkills!DH3:DJ6,3,FALSE),0),0)))/100)),(1-(0.25*((-Backdoors!AI12-IF(IT7&gt;=0.45,VLOOKUP(Calculator!E23,tbSkills!DH3:DI6,2,FALSE)+IF(AND(Calculator!B8=TRUE,Backdoors!BI39=TRUE),VLOOKUP(Calculator!E23,tbSkills!DH3:DJ6,3,FALSE),0),0))/100)))),1),"")</f>
        <v>1</v>
      </c>
      <c r="IW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T7)*IV7)*(VLOOKUP(A7,tbMoveset!A2:C112,3,FALSE)/100)*IF(VLOOKUP(A7,tbMoveset!A2:B112,2,FALSE)="Projectile",Backdoors!N10,Backdoors!N9),0),"")</f>
        <v/>
      </c>
      <c r="IX7" s="49">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40&gt;0,VLOOKUP(Calculator!E40,tbSkills!AC3:AD5,2,FALSE),Backdoors!AL3)*(IF((Backdoors!AI12+IF(IT7&gt;=0.45,VLOOKUP(Calculator!E23,tbSkills!DH3:DI6,2,FALSE)+IF(AND(Calculator!B8=TRUE,Backdoors!BI39=TRUE),VLOOKUP(Calculator!E23,tbSkills!DH3:DJ6,3,FALSE),0),0))&gt;=100,100,(Backdoors!AI12+IF(IT7&gt;=0.45,VLOOKUP(Calculator!E23,tbSkills!DH3:DI6,2,FALSE)+IF(AND(Calculator!B8=TRUE,Backdoors!BI39=TRUE),VLOOKUP(Calculator!E23,tbSkills!DH3:DJ6,3,FALSE),0),0)))/100)),1))*IF(VLOOKUP(A7,tbMoveset!A2:K112,11,FALSE)=TRUE,Backdoors!AC5,1))*IU7,0),"")</f>
        <v>0</v>
      </c>
      <c r="IY7" s="49">
        <f>VLOOKUP(A7,tbMoveset!A2:G112,7,FALSE)*IFERROR(IF(Backdoors!AI12&gt;=0,1+(IF(Calculator!E40&gt;0,VLOOKUP(Calculator!E40,tbSkills!AI3:AJ5,2,FALSE),Backdoors!AL4)*(IF((Backdoors!AI12+IF(IT7&gt;=0.45,VLOOKUP(Calculator!E23,tbSkills!DH3:DI6,2,FALSE)+IF(AND(Calculator!B8=TRUE,Backdoors!BI39=TRUE),VLOOKUP(Calculator!E23,tbSkills!DH3:DJ6,3,FALSE),0),0))&gt;=100,100,(Backdoors!AI12+IF(IT7&gt;=0.45,VLOOKUP(Calculator!E23,tbSkills!DH3:DI6,2,FALSE)+IF(AND(Calculator!B8=TRUE,Backdoors!BI39=TRUE),VLOOKUP(Calculator!E23,tbSkills!DH3:DJ6,3,FALSE),0),0)))/100)),1),1)</f>
        <v>0.5</v>
      </c>
      <c r="IZ7" s="87">
        <f t="shared" si="28"/>
        <v>0</v>
      </c>
      <c r="JA7" s="86" t="str">
        <f>IFERROR(IF(VLOOKUP(A7,tbMoveset!A2:B112,2,FALSE)="Sever",Backdoors!AY40/100,IF(VLOOKUP(A7,tbMoveset!A2:B112,2,FALSE)="Blunt",Backdoors!AZ40/100,Backdoors!BA40/100)),"")</f>
        <v/>
      </c>
      <c r="JB7" s="49">
        <f>IFERROR(IF(VLOOKUP(tbMoveset!A7,tbMoveset!A2:H112,8,FALSE)="Other",IF(VLOOKUP(tbMoveset!A7,tbMoveset!A2:I112,9,FALSE)="Fire",Backdoors!BB40,IF(VLOOKUP(tbMoveset!A7,tbMoveset!A2:I112,9,FALSE)="Water",Backdoors!BC40,IF(VLOOKUP(tbMoveset!A7,tbMoveset!A2:I112,9,FALSE)="Thunder",Backdoors!BD40,IF(VLOOKUP(tbMoveset!A7,tbMoveset!A2:I112,9,FALSE)="Ice",Backdoors!BE40,IF(VLOOKUP(tbMoveset!A7,tbMoveset!A2:I112,9,FALSE)="Dragon",Backdoors!BF40,Backdoors!BG40)))))/100,Backdoors!BG40/100),"")</f>
        <v>0</v>
      </c>
      <c r="JC7" s="49">
        <f>IFERROR(IF(VLOOKUP(A7,tbMoveset!A2:J112,10,FALSE)=TRUE,IF((Backdoors!AI12+IF(JA7&gt;=0.45,VLOOKUP(Calculator!E23,tbSkills!DH3:DI6,2,FALSE)+IF(AND(Calculator!B8=TRUE,Backdoors!BI40=TRUE),VLOOKUP(Calculator!E23,tbSkills!DH3:DJ6,3,FALSE),0),0))&gt;=0,1+(Backdoors!AL2*(IF((Backdoors!AI12+IF(JA7&gt;=0.45,VLOOKUP(Calculator!E23,tbSkills!DH3:DI6,2,FALSE)+IF(AND(Calculator!B8=TRUE,Backdoors!BI40=TRUE),VLOOKUP(Calculator!E23,tbSkills!DH3:DJ6,3,FALSE),0),0))&gt;=100,100,(Backdoors!AI12+IF(JA7&gt;=0.45,VLOOKUP(Calculator!E23,tbSkills!DH3:DI6,2,FALSE)+IF(AND(Calculator!B8=TRUE,Backdoors!BI40=TRUE),VLOOKUP(Calculator!E23,tbSkills!DH3:DJ6,3,FALSE),0),0)))/100)),(1-(0.25*((-Backdoors!AI12-IF(JA7&gt;=0.45,VLOOKUP(Calculator!E23,tbSkills!DH3:DI6,2,FALSE)+IF(AND(Calculator!B8=TRUE,Backdoors!BI40=TRUE),VLOOKUP(Calculator!E23,tbSkills!DH3:DJ6,3,FALSE),0),0))/100)))),1),"")</f>
        <v>1</v>
      </c>
      <c r="JD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A7)*JC7)*(VLOOKUP(A7,tbMoveset!A2:C112,3,FALSE)/100)*IF(VLOOKUP(A7,tbMoveset!A2:B112,2,FALSE)="Projectile",Backdoors!N10,Backdoors!N9),0),"")</f>
        <v/>
      </c>
      <c r="JE7" s="49">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42&gt;0,VLOOKUP(Calculator!E42,tbSkills!AC3:AD5,2,FALSE),Backdoors!AL3)*(IF((Backdoors!AI12+IF(JA7&gt;=0.45,VLOOKUP(Calculator!E23,tbSkills!DH3:DI6,2,FALSE)+IF(AND(Calculator!B8=TRUE,Backdoors!BI40=TRUE),VLOOKUP(Calculator!E23,tbSkills!DH3:DJ6,3,FALSE),0),0))&gt;=100,100,(Backdoors!AI12+IF(JA7&gt;=0.45,VLOOKUP(Calculator!E23,tbSkills!DH3:DI6,2,FALSE)+IF(AND(Calculator!B8=TRUE,Backdoors!BI40=TRUE),VLOOKUP(Calculator!E23,tbSkills!DH3:DJ6,3,FALSE),0),0)))/100)),1))*IF(VLOOKUP(A7,tbMoveset!A2:K112,11,FALSE)=TRUE,Backdoors!AC5,1))*JB7,0),"")</f>
        <v>0</v>
      </c>
      <c r="JF7" s="49">
        <f>VLOOKUP(A7,tbMoveset!A2:G112,7,FALSE)*IFERROR(IF(Backdoors!AI12&gt;=0,1+(IF(Calculator!E40&gt;0,VLOOKUP(Calculator!E40,tbSkills!AI3:AJ5,2,FALSE),Backdoors!AL4)*(IF((Backdoors!AI12+IF(JA7&gt;=0.45,VLOOKUP(Calculator!E23,tbSkills!DH3:DI6,2,FALSE)+IF(AND(Calculator!B8=TRUE,Backdoors!BI40=TRUE),VLOOKUP(Calculator!E23,tbSkills!DH3:DJ6,3,FALSE),0),0))&gt;=100,100,(Backdoors!AI12+IF(JA7&gt;=0.45,VLOOKUP(Calculator!E23,tbSkills!DH3:DI6,2,FALSE)+IF(AND(Calculator!B8=TRUE,Backdoors!BI40=TRUE),VLOOKUP(Calculator!E23,tbSkills!DH3:DJ6,3,FALSE),0),0)))/100)),1),1)</f>
        <v>0.5</v>
      </c>
      <c r="JG7" s="87">
        <f t="shared" si="29"/>
        <v>0</v>
      </c>
      <c r="JH7" s="86" t="str">
        <f>IFERROR(IF(VLOOKUP(A7,tbMoveset!A2:B112,2,FALSE)="Sever",Backdoors!AY41/100,IF(VLOOKUP(A7,tbMoveset!A2:B112,2,FALSE)="Blunt",Backdoors!AZ41/100,Backdoors!BA41/100)),"")</f>
        <v/>
      </c>
      <c r="JI7" s="49">
        <f>IFERROR(IF(VLOOKUP(tbMoveset!A7,tbMoveset!A2:H112,8,FALSE)="Other",IF(VLOOKUP(tbMoveset!A7,tbMoveset!A2:I112,9,FALSE)="Fire",Backdoors!BB41,IF(VLOOKUP(tbMoveset!A7,tbMoveset!A2:I112,9,FALSE)="Water",Backdoors!BC41,IF(VLOOKUP(tbMoveset!A7,tbMoveset!A2:I112,9,FALSE)="Thunder",Backdoors!BD41,IF(VLOOKUP(tbMoveset!A7,tbMoveset!A2:I112,9,FALSE)="Ice",Backdoors!BE41,IF(VLOOKUP(tbMoveset!A7,tbMoveset!A2:I112,9,FALSE)="Dragon",Backdoors!BF41,Backdoors!BG41)))))/100,Backdoors!BG41/100),"")</f>
        <v>0</v>
      </c>
      <c r="JJ7" s="49">
        <f>IFERROR(IF(VLOOKUP(A7,tbMoveset!A2:J112,10,FALSE)=TRUE,IF((Backdoors!AI12+IF(JH7&gt;=0.45,VLOOKUP(Calculator!E23,tbSkills!DH3:DI6,2,FALSE)+IF(AND(Calculator!B8=TRUE,Backdoors!BI41=TRUE),VLOOKUP(Calculator!E23,tbSkills!DH3:DJ6,3,FALSE),0),0))&gt;=0,1+(Backdoors!AL2*(IF((Backdoors!AI12+IF(JH7&gt;=0.45,VLOOKUP(Calculator!E23,tbSkills!DH3:DI6,2,FALSE)+IF(AND(Calculator!B8=TRUE,Backdoors!BI41=TRUE),VLOOKUP(Calculator!E23,tbSkills!DH3:DJ6,3,FALSE),0),0))&gt;=100,100,(Backdoors!AI12+IF(JH7&gt;=0.45,VLOOKUP(Calculator!E23,tbSkills!DH3:DI6,2,FALSE)+IF(AND(Calculator!B8=TRUE,Backdoors!BI41=TRUE),VLOOKUP(Calculator!E23,tbSkills!DH3:DJ6,3,FALSE),0),0)))/100)),(1-(0.25*((-Backdoors!AI12-IF(JH7&gt;=0.45,VLOOKUP(Calculator!E23,tbSkills!DH3:DI6,2,FALSE)+IF(AND(Calculator!B8=TRUE,Backdoors!BI41=TRUE),VLOOKUP(Calculator!E23,tbSkills!DH3:DJ6,3,FALSE),0),0))/100)))),1),"")</f>
        <v>1</v>
      </c>
      <c r="JK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H7)*JJ7)*(VLOOKUP(A7,tbMoveset!A2:C112,3,FALSE)/100)*IF(VLOOKUP(A7,tbMoveset!A2:B112,2,FALSE)="Projectile",Backdoors!N10,Backdoors!N9),0),"")</f>
        <v/>
      </c>
      <c r="JL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43&gt;0,VLOOKUP(Calculator!E43,tbSkills!AC3:AD5,2,FALSE),Backdoors!AL3)*(IF((Backdoors!AI12+IF(JH7&gt;=0.45,VLOOKUP(Calculator!E23,tbSkills!DH3:DI6,2,FALSE)+IF(AND(Calculator!B8=TRUE,Backdoors!BI41=TRUE),VLOOKUP(Calculator!E23,tbSkills!DH3:DJ6,3,FALSE),0),0))&gt;=100,100,(Backdoors!AI12+IF(JH7&gt;=0.45,VLOOKUP(Calculator!E23,tbSkills!DH3:DI6,2,FALSE)+IF(AND(Calculator!B8=TRUE,Backdoors!BI41=TRUE),VLOOKUP(Calculator!E23,tbSkills!DH3:DJ6,3,FALSE),0),0)))/100)),1))*IF(VLOOKUP(A7,tbMoveset!A2:K112,11,FALSE)=TRUE,Backdoors!AC5,1))*JI7,0),"")</f>
        <v/>
      </c>
      <c r="JM7" s="49">
        <f>VLOOKUP(A7,tbMoveset!A2:G112,7,FALSE)*IFERROR(IF(Backdoors!AI12&gt;=0,1+(IF(Calculator!E40&gt;0,VLOOKUP(Calculator!E40,tbSkills!AI3:AJ5,2,FALSE),Backdoors!AL4)*(IF((Backdoors!AI12+IF(JH7&gt;=0.45,VLOOKUP(Calculator!E23,tbSkills!DH3:DI6,2,FALSE)+IF(AND(Calculator!B8=TRUE,Backdoors!BI41=TRUE),VLOOKUP(Calculator!E23,tbSkills!DH3:DJ6,3,FALSE),0),0))&gt;=100,100,(Backdoors!AI12+IF(JH7&gt;=0.45,VLOOKUP(Calculator!E23,tbSkills!DH3:DI6,2,FALSE)+IF(AND(Calculator!B8=TRUE,Backdoors!BI41=TRUE),VLOOKUP(Calculator!E23,tbSkills!DH3:DJ6,3,FALSE),0),0)))/100)),1),1)</f>
        <v>0.5</v>
      </c>
      <c r="JN7" s="87">
        <f t="shared" si="30"/>
        <v>0</v>
      </c>
      <c r="JO7" s="86" t="str">
        <f>IFERROR(IF(VLOOKUP(A7,tbMoveset!A2:B112,2,FALSE)="Sever",Backdoors!AY42/100,IF(VLOOKUP(A7,tbMoveset!A2:B112,2,FALSE)="Blunt",Backdoors!AZ42/100,Backdoors!BA42/100)),"")</f>
        <v/>
      </c>
      <c r="JP7" s="49">
        <f>IFERROR(IF(VLOOKUP(tbMoveset!A7,tbMoveset!A2:H112,8,FALSE)="Other",IF(VLOOKUP(tbMoveset!A7,tbMoveset!A2:I112,9,FALSE)="Fire",Backdoors!BB42,IF(VLOOKUP(tbMoveset!A7,tbMoveset!A2:I112,9,FALSE)="Water",Backdoors!BC42,IF(VLOOKUP(tbMoveset!A7,tbMoveset!A2:I112,9,FALSE)="Thunder",Backdoors!BD42,IF(VLOOKUP(tbMoveset!A7,tbMoveset!A2:I112,9,FALSE)="Ice",Backdoors!BE42,IF(VLOOKUP(tbMoveset!A7,tbMoveset!A2:I112,9,FALSE)="Dragon",Backdoors!BF42,Backdoors!BG42)))))/100,Backdoors!BG42/100),"")</f>
        <v>0</v>
      </c>
      <c r="JQ7" s="49">
        <f>IFERROR(IF(VLOOKUP(A7,tbMoveset!A2:J112,10,FALSE)=TRUE,IF((Backdoors!AI12+IF(JO7&gt;=0.45,VLOOKUP(Calculator!E23,tbSkills!DH3:DI6,2,FALSE)+IF(AND(Calculator!B8=TRUE,Backdoors!BI42=TRUE),VLOOKUP(Calculator!E23,tbSkills!DH3:DJ6,3,FALSE),0),0))&gt;=0,1+(Backdoors!AL2*(IF((Backdoors!AI12+IF(JO7&gt;=0.45,VLOOKUP(Calculator!E23,tbSkills!DH3:DI6,2,FALSE)+IF(AND(Calculator!B8=TRUE,Backdoors!BI42=TRUE),VLOOKUP(Calculator!E23,tbSkills!DH3:DJ6,3,FALSE),0),0))&gt;=100,100,(Backdoors!AI12+IF(JO7&gt;=0.45,VLOOKUP(Calculator!E23,tbSkills!DH3:DI6,2,FALSE)+IF(AND(Calculator!B8=TRUE,Backdoors!BI42=TRUE),VLOOKUP(Calculator!E23,tbSkills!DH3:DJ6,3,FALSE),0),0)))/100)),(1-(0.25*((-Backdoors!AI12-IF(JO7&gt;=0.45,VLOOKUP(Calculator!E23,tbSkills!DH3:DI6,2,FALSE)+IF(AND(Calculator!B8=TRUE,Backdoors!BI42=TRUE),VLOOKUP(Calculator!E23,tbSkills!DH3:DJ6,3,FALSE),0),0))/100)))),1),"")</f>
        <v>1</v>
      </c>
      <c r="JR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O7)*JQ7)*(VLOOKUP(A7,tbMoveset!A2:C112,3,FALSE)/100)*IF(VLOOKUP(A7,tbMoveset!A2:B112,2,FALSE)="Projectile",Backdoors!N10,Backdoors!N9),0),"")</f>
        <v/>
      </c>
      <c r="JS7" s="49">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45&gt;0,VLOOKUP(Calculator!E45,tbSkills!AC3:AD5,2,FALSE),Backdoors!AL3)*(IF((Backdoors!AI12+IF(JO7&gt;=0.45,VLOOKUP(Calculator!E23,tbSkills!DH3:DI6,2,FALSE)+IF(AND(Calculator!B8=TRUE,Backdoors!BI42=TRUE),VLOOKUP(Calculator!E23,tbSkills!DH3:DJ6,3,FALSE),0),0))&gt;=100,100,(Backdoors!AI12+IF(JO7&gt;=0.45,VLOOKUP(Calculator!E23,tbSkills!DH3:DI6,2,FALSE)+IF(AND(Calculator!B8=TRUE,Backdoors!BI42=TRUE),VLOOKUP(Calculator!E23,tbSkills!DH3:DJ6,3,FALSE),0),0)))/100)),1))*IF(VLOOKUP(A7,tbMoveset!A2:K112,11,FALSE)=TRUE,Backdoors!AC5,1))*JP7,0),"")</f>
        <v>0</v>
      </c>
      <c r="JT7" s="49">
        <f>VLOOKUP(A7,tbMoveset!A2:G112,7,FALSE)*IFERROR(IF(Backdoors!AI12&gt;=0,1+(IF(Calculator!E40&gt;0,VLOOKUP(Calculator!E40,tbSkills!AI3:AJ5,2,FALSE),Backdoors!AL4)*(IF((Backdoors!AI12+IF(JO7&gt;=0.45,VLOOKUP(Calculator!E23,tbSkills!DH3:DI6,2,FALSE)+IF(AND(Calculator!B8=TRUE,Backdoors!BI42=TRUE),VLOOKUP(Calculator!E23,tbSkills!DH3:DJ6,3,FALSE),0),0))&gt;=100,100,(Backdoors!AI12+IF(JO7&gt;=0.45,VLOOKUP(Calculator!E23,tbSkills!DH3:DI6,2,FALSE)+IF(AND(Calculator!B8=TRUE,Backdoors!BI42=TRUE),VLOOKUP(Calculator!E23,tbSkills!DH3:DJ6,3,FALSE),0),0)))/100)),1),1)</f>
        <v>0.5</v>
      </c>
      <c r="JU7" s="87">
        <f t="shared" si="31"/>
        <v>0</v>
      </c>
      <c r="JV7" s="86" t="str">
        <f>IFERROR(IF(VLOOKUP(A7,tbMoveset!A2:B112,2,FALSE)="Sever",Backdoors!AY43/100,IF(VLOOKUP(A7,tbMoveset!A2:B112,2,FALSE)="Blunt",Backdoors!AZ43/100,Backdoors!BA43/100)),"")</f>
        <v/>
      </c>
      <c r="JW7" s="49">
        <f>IFERROR(IF(VLOOKUP(tbMoveset!A7,tbMoveset!A2:H112,8,FALSE)="Other",IF(VLOOKUP(tbMoveset!A7,tbMoveset!A2:I112,9,FALSE)="Fire",Backdoors!BB43,IF(VLOOKUP(tbMoveset!A7,tbMoveset!A2:I112,9,FALSE)="Water",Backdoors!BC43,IF(VLOOKUP(tbMoveset!A7,tbMoveset!A2:I112,9,FALSE)="Thunder",Backdoors!BD43,IF(VLOOKUP(tbMoveset!A7,tbMoveset!A2:I112,9,FALSE)="Ice",Backdoors!BE43,IF(VLOOKUP(tbMoveset!A7,tbMoveset!A2:I112,9,FALSE)="Dragon",Backdoors!BF43,Backdoors!BG43)))))/100,Backdoors!BG43/100),"")</f>
        <v>0</v>
      </c>
      <c r="JX7" s="49">
        <f>IFERROR(IF(VLOOKUP(A7,tbMoveset!A2:J112,10,FALSE)=TRUE,IF((Backdoors!AI12+IF(JV7&gt;=0.45,VLOOKUP(Calculator!E23,tbSkills!DH3:DI6,2,FALSE)+IF(AND(Calculator!B8=TRUE,Backdoors!BI43=TRUE),VLOOKUP(Calculator!E23,tbSkills!DH3:DJ6,3,FALSE),0),0))&gt;=0,1+(Backdoors!AL2*(IF((Backdoors!AI12+IF(JV7&gt;=0.45,VLOOKUP(Calculator!E23,tbSkills!DH3:DI6,2,FALSE)+IF(AND(Calculator!B8=TRUE,Backdoors!BI43=TRUE),VLOOKUP(Calculator!E23,tbSkills!DH3:DJ6,3,FALSE),0),0))&gt;=100,100,(Backdoors!AI12+IF(JV7&gt;=0.45,VLOOKUP(Calculator!E23,tbSkills!DH3:DI6,2,FALSE)+IF(AND(Calculator!B8=TRUE,Backdoors!BI43=TRUE),VLOOKUP(Calculator!E23,tbSkills!DH3:DJ6,3,FALSE),0),0)))/100)),(1-(0.25*((-Backdoors!AI12-IF(JV7&gt;=0.45,VLOOKUP(Calculator!E23,tbSkills!DH3:DI6,2,FALSE)+IF(AND(Calculator!B8=TRUE,Backdoors!BI43=TRUE),VLOOKUP(Calculator!E23,tbSkills!DH3:DJ6,3,FALSE),0),0))/100)))),1),"")</f>
        <v>1</v>
      </c>
      <c r="JY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V7)*JX7)*(VLOOKUP(A7,tbMoveset!A2:C112,3,FALSE)/100)*IF(VLOOKUP(A7,tbMoveset!A2:B112,2,FALSE)="Projectile",Backdoors!N10,Backdoors!N9),0),"")</f>
        <v/>
      </c>
      <c r="JZ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46&gt;0,VLOOKUP(Calculator!E46,tbSkills!AC3:AD5,2,FALSE),Backdoors!AL3)*(IF((Backdoors!AI12+IF(JV7&gt;=0.45,VLOOKUP(Calculator!E23,tbSkills!DH3:DI6,2,FALSE)+IF(AND(Calculator!B8=TRUE,Backdoors!BI43=TRUE),VLOOKUP(Calculator!E23,tbSkills!DH3:DJ6,3,FALSE),0),0))&gt;=100,100,(Backdoors!AI12+IF(JV7&gt;=0.45,VLOOKUP(Calculator!E23,tbSkills!DH3:DI6,2,FALSE)+IF(AND(Calculator!B8=TRUE,Backdoors!BI43=TRUE),VLOOKUP(Calculator!E23,tbSkills!DH3:DJ6,3,FALSE),0),0)))/100)),1))*IF(VLOOKUP(A7,tbMoveset!A2:K112,11,FALSE)=TRUE,Backdoors!AC5,1))*JW7,0),"")</f>
        <v/>
      </c>
      <c r="KA7" s="49">
        <f>VLOOKUP(A7,tbMoveset!A2:G112,7,FALSE)*IFERROR(IF(Backdoors!AI12&gt;=0,1+(IF(Calculator!E40&gt;0,VLOOKUP(Calculator!E40,tbSkills!AI3:AJ5,2,FALSE),Backdoors!AL4)*(IF((Backdoors!AI12+IF(JV7&gt;=0.45,VLOOKUP(Calculator!E23,tbSkills!DH3:DI6,2,FALSE)+IF(AND(Calculator!B8=TRUE,Backdoors!BI43=TRUE),VLOOKUP(Calculator!E23,tbSkills!DH3:DJ6,3,FALSE),0),0))&gt;=100,100,(Backdoors!AI12+IF(JV7&gt;=0.45,VLOOKUP(Calculator!E23,tbSkills!DH3:DI6,2,FALSE)+IF(AND(Calculator!B8=TRUE,Backdoors!BI43=TRUE),VLOOKUP(Calculator!E23,tbSkills!DH3:DJ6,3,FALSE),0),0)))/100)),1),1)</f>
        <v>0.5</v>
      </c>
      <c r="KB7" s="87">
        <f t="shared" si="32"/>
        <v>0</v>
      </c>
      <c r="KC7" s="86" t="str">
        <f>IFERROR(IF(VLOOKUP(A7,tbMoveset!A2:B112,2,FALSE)="Sever",Backdoors!AY44/100,IF(VLOOKUP(A7,tbMoveset!A2:B112,2,FALSE)="Blunt",Backdoors!AZ44/100,Backdoors!BA44/100)),"")</f>
        <v/>
      </c>
      <c r="KD7" s="49">
        <f>IFERROR(IF(VLOOKUP(tbMoveset!A7,tbMoveset!A2:H112,8,FALSE)="Other",IF(VLOOKUP(tbMoveset!A7,tbMoveset!A2:I112,9,FALSE)="Fire",Backdoors!BB44,IF(VLOOKUP(tbMoveset!A7,tbMoveset!A2:I112,9,FALSE)="Water",Backdoors!BC44,IF(VLOOKUP(tbMoveset!A7,tbMoveset!A2:I112,9,FALSE)="Thunder",Backdoors!BD44,IF(VLOOKUP(tbMoveset!A7,tbMoveset!A2:I112,9,FALSE)="Ice",Backdoors!BE44,IF(VLOOKUP(tbMoveset!A7,tbMoveset!A2:I112,9,FALSE)="Dragon",Backdoors!BF44,Backdoors!BG44)))))/100,Backdoors!BG44/100),"")</f>
        <v>0</v>
      </c>
      <c r="KE7" s="49">
        <f>IFERROR(IF(VLOOKUP(A7,tbMoveset!A2:J112,10,FALSE)=TRUE,IF((Backdoors!AI12+IF(KC7&gt;=0.45,VLOOKUP(Calculator!E23,tbSkills!DH3:DI6,2,FALSE)+IF(AND(Calculator!B8=TRUE,Backdoors!BI44=TRUE),VLOOKUP(Calculator!E23,tbSkills!DH3:DJ6,3,FALSE),0),0))&gt;=0,1+(Backdoors!AL2*(IF((Backdoors!AI12+IF(KC7&gt;=0.45,VLOOKUP(Calculator!E23,tbSkills!DH3:DI6,2,FALSE)+IF(AND(Calculator!B8=TRUE,Backdoors!BI44=TRUE),VLOOKUP(Calculator!E23,tbSkills!DH3:DJ6,3,FALSE),0),0))&gt;=100,100,(Backdoors!AI12+IF(KC7&gt;=0.45,VLOOKUP(Calculator!E23,tbSkills!DH3:DI6,2,FALSE)+IF(AND(Calculator!B8=TRUE,Backdoors!BI44=TRUE),VLOOKUP(Calculator!E23,tbSkills!DH3:DJ6,3,FALSE),0),0)))/100)),(1-(0.25*((-Backdoors!AI12-IF(KC7&gt;=0.45,VLOOKUP(Calculator!E23,tbSkills!DH3:DI6,2,FALSE)+IF(AND(Calculator!B8=TRUE,Backdoors!BI44=TRUE),VLOOKUP(Calculator!E23,tbSkills!DH3:DJ6,3,FALSE),0),0))/100)))),1),"")</f>
        <v>1</v>
      </c>
      <c r="KF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KC7)*KE7)*(VLOOKUP(A7,tbMoveset!A2:C112,3,FALSE)/100)*IF(VLOOKUP(A7,tbMoveset!A2:B112,2,FALSE)="Projectile",Backdoors!N10,Backdoors!N9),0),"")</f>
        <v/>
      </c>
      <c r="KG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REF!&gt;0,VLOOKUP(Calculator!#REF!,tbSkills!AC3:AD5,2,FALSE),Backdoors!AL3)*(IF((Backdoors!AI12+IF(KC7&gt;=0.45,VLOOKUP(Calculator!E23,tbSkills!DH3:DI6,2,FALSE)+IF(AND(Calculator!B8=TRUE,Backdoors!BI44=TRUE),VLOOKUP(Calculator!E23,tbSkills!DH3:DJ6,3,FALSE),0),0))&gt;=100,100,(Backdoors!AI12+IF(KC7&gt;=0.45,VLOOKUP(Calculator!E23,tbSkills!DH3:DI6,2,FALSE)+IF(AND(Calculator!B8=TRUE,Backdoors!BI44=TRUE),VLOOKUP(Calculator!E23,tbSkills!DH3:DJ6,3,FALSE),0),0)))/100)),1))*IF(VLOOKUP(A7,tbMoveset!A2:K112,11,FALSE)=TRUE,Backdoors!AC5,1))*KD7,0),"")</f>
        <v/>
      </c>
      <c r="KH7" s="49">
        <f>VLOOKUP(A7,tbMoveset!A2:G112,7,FALSE)*IFERROR(IF(Backdoors!AI12&gt;=0,1+(IF(Calculator!E40&gt;0,VLOOKUP(Calculator!E40,tbSkills!AI3:AJ5,2,FALSE),Backdoors!AL4)*(IF((Backdoors!AI12+IF(KC7&gt;=0.45,VLOOKUP(Calculator!E23,tbSkills!DH3:DI6,2,FALSE)+IF(AND(Calculator!B8=TRUE,Backdoors!BI44=TRUE),VLOOKUP(Calculator!E23,tbSkills!DH3:DJ6,3,FALSE),0),0))&gt;=100,100,(Backdoors!AI12+IF(KC7&gt;=0.45,VLOOKUP(Calculator!E23,tbSkills!DH3:DI6,2,FALSE)+IF(AND(Calculator!B8=TRUE,Backdoors!BI44=TRUE),VLOOKUP(Calculator!E23,tbSkills!DH3:DJ6,3,FALSE),0),0)))/100)),1),1)</f>
        <v>0.5</v>
      </c>
      <c r="KI7" s="87">
        <f t="shared" si="33"/>
        <v>0</v>
      </c>
      <c r="KJ7" s="86" t="str">
        <f>IFERROR(IF(VLOOKUP(A7,tbMoveset!A2:B112,2,FALSE)="Sever",Backdoors!AY45/100,IF(VLOOKUP(A7,tbMoveset!A2:B112,2,FALSE)="Blunt",Backdoors!AZ45/100,Backdoors!BA45/100)),"")</f>
        <v/>
      </c>
      <c r="KK7" s="49">
        <f>IFERROR(IF(VLOOKUP(tbMoveset!A7,tbMoveset!A2:H112,8,FALSE)="Other",IF(VLOOKUP(tbMoveset!A7,tbMoveset!A2:I112,9,FALSE)="Fire",Backdoors!BB45,IF(VLOOKUP(tbMoveset!A7,tbMoveset!A2:I112,9,FALSE)="Water",Backdoors!BC45,IF(VLOOKUP(tbMoveset!A7,tbMoveset!A2:I112,9,FALSE)="Thunder",Backdoors!BD45,IF(VLOOKUP(tbMoveset!A7,tbMoveset!A2:I112,9,FALSE)="Ice",Backdoors!BE45,IF(VLOOKUP(tbMoveset!A7,tbMoveset!A2:I112,9,FALSE)="Dragon",Backdoors!BF45,Backdoors!BG45)))))/100,Backdoors!BG45/100),"")</f>
        <v>0</v>
      </c>
      <c r="KL7" s="49">
        <f>IFERROR(IF(VLOOKUP(A7,tbMoveset!A2:J112,10,FALSE)=TRUE,IF((Backdoors!AI12+IF(KJ7&gt;=0.45,VLOOKUP(Calculator!E23,tbSkills!DH3:DI6,2,FALSE)+IF(AND(Calculator!B8=TRUE,Backdoors!BI45=TRUE),VLOOKUP(Calculator!E23,tbSkills!DH3:DJ6,3,FALSE),0),0))&gt;=0,1+(Backdoors!AL2*(IF((Backdoors!AI12+IF(KJ7&gt;=0.45,VLOOKUP(Calculator!E23,tbSkills!DH3:DI6,2,FALSE)+IF(AND(Calculator!B8=TRUE,Backdoors!BI45=TRUE),VLOOKUP(Calculator!E23,tbSkills!DH3:DJ6,3,FALSE),0),0))&gt;=100,100,(Backdoors!AI12+IF(KJ7&gt;=0.45,VLOOKUP(Calculator!E23,tbSkills!DH3:DI6,2,FALSE)+IF(AND(Calculator!B8=TRUE,Backdoors!BI45=TRUE),VLOOKUP(Calculator!E23,tbSkills!DH3:DJ6,3,FALSE),0),0)))/100)),(1-(0.25*((-Backdoors!AI12-IF(KJ7&gt;=0.45,VLOOKUP(Calculator!E23,tbSkills!DH3:DI6,2,FALSE)+IF(AND(Calculator!B8=TRUE,Backdoors!BI45=TRUE),VLOOKUP(Calculator!E23,tbSkills!DH3:DJ6,3,FALSE),0),0))/100)))),1),"")</f>
        <v>1</v>
      </c>
      <c r="KM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KJ7)*KL7)*(VLOOKUP(A7,tbMoveset!A2:C112,3,FALSE)/100)*IF(VLOOKUP(A7,tbMoveset!A2:B112,2,FALSE)="Projectile",Backdoors!N10,Backdoors!N9),0),"")</f>
        <v/>
      </c>
      <c r="KN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REF!&gt;0,VLOOKUP(Calculator!#REF!,tbSkills!AC3:AD5,2,FALSE),Backdoors!AL3)*(IF((Backdoors!AI12+IF(KJ7&gt;=0.45,VLOOKUP(Calculator!E23,tbSkills!DH3:DI6,2,FALSE)+IF(AND(Calculator!B8=TRUE,Backdoors!BI45=TRUE),VLOOKUP(Calculator!E23,tbSkills!DH3:DJ6,3,FALSE),0),0))&gt;=100,100,(Backdoors!AI12+IF(KJ7&gt;=0.45,VLOOKUP(Calculator!E23,tbSkills!DH3:DI6,2,FALSE)+IF(AND(Calculator!B8=TRUE,Backdoors!BI45=TRUE),VLOOKUP(Calculator!E23,tbSkills!DH3:DJ6,3,FALSE),0),0)))/100)),1))*IF(VLOOKUP(A7,tbMoveset!A2:K112,11,FALSE)=TRUE,Backdoors!AC5,1))*KK7,0),"")</f>
        <v/>
      </c>
      <c r="KO7" s="49">
        <f>VLOOKUP(A7,tbMoveset!A2:G112,7,FALSE)*IFERROR(IF(Backdoors!AI12&gt;=0,1+(IF(Calculator!E40&gt;0,VLOOKUP(Calculator!E40,tbSkills!AI3:AJ5,2,FALSE),Backdoors!AL4)*(IF((Backdoors!AI12+IF(KJ7&gt;=0.45,VLOOKUP(Calculator!E23,tbSkills!DH3:DI6,2,FALSE)+IF(AND(Calculator!B8=TRUE,Backdoors!BI45=TRUE),VLOOKUP(Calculator!E23,tbSkills!DH3:DJ6,3,FALSE),0),0))&gt;=100,100,(Backdoors!AI12+IF(KJ7&gt;=0.45,VLOOKUP(Calculator!E23,tbSkills!DH3:DI6,2,FALSE)+IF(AND(Calculator!B8=TRUE,Backdoors!BI45=TRUE),VLOOKUP(Calculator!E23,tbSkills!DH3:DJ6,3,FALSE),0),0)))/100)),1),1)</f>
        <v>0.5</v>
      </c>
      <c r="KP7" s="87">
        <f t="shared" si="34"/>
        <v>0</v>
      </c>
      <c r="KQ7" s="86" t="str">
        <f>IFERROR(IF(VLOOKUP(A7,tbMoveset!A2:B112,2,FALSE)="Sever",Backdoors!AY46/100,IF(VLOOKUP(A7,tbMoveset!A2:B112,2,FALSE)="Blunt",Backdoors!AZ46/100,Backdoors!BA46/100)),"")</f>
        <v/>
      </c>
      <c r="KR7" s="49">
        <f>IFERROR(IF(VLOOKUP(tbMoveset!A7,tbMoveset!A2:H112,8,FALSE)="Other",IF(VLOOKUP(tbMoveset!A7,tbMoveset!A2:I112,9,FALSE)="Fire",Backdoors!BB46,IF(VLOOKUP(tbMoveset!A7,tbMoveset!A2:I112,9,FALSE)="Water",Backdoors!BC46,IF(VLOOKUP(tbMoveset!A7,tbMoveset!A2:I112,9,FALSE)="Thunder",Backdoors!BD46,IF(VLOOKUP(tbMoveset!A7,tbMoveset!A2:I112,9,FALSE)="Ice",Backdoors!BE46,IF(VLOOKUP(tbMoveset!A7,tbMoveset!A2:I112,9,FALSE)="Dragon",Backdoors!BF46,Backdoors!BG46)))))/100,Backdoors!BG46/100),"")</f>
        <v>0</v>
      </c>
      <c r="KS7" s="49">
        <f>IFERROR(IF(VLOOKUP(A7,tbMoveset!A2:J112,10,FALSE)=TRUE,IF((Backdoors!AI12+IF(KQ7&gt;=0.45,VLOOKUP(Calculator!E23,tbSkills!DH3:DI6,2,FALSE)+IF(AND(Calculator!B8=TRUE,Backdoors!BI46=TRUE),VLOOKUP(Calculator!E23,tbSkills!DH3:DJ6,3,FALSE),0),0))&gt;=0,1+(Backdoors!AL2*(IF((Backdoors!AI12+IF(KQ7&gt;=0.45,VLOOKUP(Calculator!E23,tbSkills!DH3:DI6,2,FALSE)+IF(AND(Calculator!B8=TRUE,Backdoors!BI46=TRUE),VLOOKUP(Calculator!E23,tbSkills!DH3:DJ6,3,FALSE),0),0))&gt;=100,100,(Backdoors!AI12+IF(KQ7&gt;=0.45,VLOOKUP(Calculator!E23,tbSkills!DH3:DI6,2,FALSE)+IF(AND(Calculator!B8=TRUE,Backdoors!BI46=TRUE),VLOOKUP(Calculator!E23,tbSkills!DH3:DJ6,3,FALSE),0),0)))/100)),(1-(0.25*((-Backdoors!AI12-IF(KQ7&gt;=0.45,VLOOKUP(Calculator!E23,tbSkills!DH3:DI6,2,FALSE)+IF(AND(Calculator!B8=TRUE,Backdoors!BI46=TRUE),VLOOKUP(Calculator!E23,tbSkills!DH3:DJ6,3,FALSE),0),0))/100)))),1),"")</f>
        <v>1</v>
      </c>
      <c r="KT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KQ7)*KS7)*(VLOOKUP(A7,tbMoveset!A2:C112,3,FALSE)/100)*IF(VLOOKUP(A7,tbMoveset!A2:B112,2,FALSE)="Projectile",Backdoors!N10,Backdoors!N9),0),"")</f>
        <v/>
      </c>
      <c r="KU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REF!&gt;0,VLOOKUP(Calculator!#REF!,tbSkills!AC3:AD5,2,FALSE),Backdoors!AL3)*(IF((Backdoors!AI12+IF(KQ7&gt;=0.45,VLOOKUP(Calculator!E23,tbSkills!DH3:DI6,2,FALSE)+IF(AND(Calculator!B8=TRUE,Backdoors!BI46=TRUE),VLOOKUP(Calculator!E23,tbSkills!DH3:DJ6,3,FALSE),0),0))&gt;=100,100,(Backdoors!AI12+IF(KQ7&gt;=0.45,VLOOKUP(Calculator!E23,tbSkills!DH3:DI6,2,FALSE)+IF(AND(Calculator!B8=TRUE,Backdoors!BI46=TRUE),VLOOKUP(Calculator!E23,tbSkills!DH3:DJ6,3,FALSE),0),0)))/100)),1))*IF(VLOOKUP(A7,tbMoveset!A2:K112,11,FALSE)=TRUE,Backdoors!AC5,1))*KR7,0),"")</f>
        <v/>
      </c>
      <c r="KV7" s="49">
        <f>VLOOKUP(A7,tbMoveset!A2:G112,7,FALSE)*IFERROR(IF(Backdoors!AI12&gt;=0,1+(IF(Calculator!E40&gt;0,VLOOKUP(Calculator!E40,tbSkills!AI3:AJ5,2,FALSE),Backdoors!AL4)*(IF((Backdoors!AI12+IF(KQ7&gt;=0.45,VLOOKUP(Calculator!E23,tbSkills!DH3:DI6,2,FALSE)+IF(AND(Calculator!B8=TRUE,Backdoors!BI46=TRUE),VLOOKUP(Calculator!E23,tbSkills!DH3:DJ6,3,FALSE),0),0))&gt;=100,100,(Backdoors!AI12+IF(KQ7&gt;=0.45,VLOOKUP(Calculator!E23,tbSkills!DH3:DI6,2,FALSE)+IF(AND(Calculator!B8=TRUE,Backdoors!BI46=TRUE),VLOOKUP(Calculator!E23,tbSkills!DH3:DJ6,3,FALSE),0),0)))/100)),1),1)</f>
        <v>0.5</v>
      </c>
      <c r="KW7" s="87">
        <f t="shared" si="35"/>
        <v>0</v>
      </c>
    </row>
    <row r="8" spans="1:309" x14ac:dyDescent="0.25">
      <c r="A8" s="95" t="str">
        <f>tbMoveset!A8</f>
        <v>Circle Slash (L)</v>
      </c>
      <c r="B8" s="86">
        <f>IFERROR(IF(VLOOKUP(A8,tbMoveset!A2:B112,2,FALSE)="Sever",Backdoors!AY3/100,IF(VLOOKUP(A8,tbMoveset!A2:B112,2,FALSE)="Blunt",Backdoors!AZ3/100,Backdoors!BA3/100)),"")</f>
        <v>0.8</v>
      </c>
      <c r="C8" s="49">
        <f>IFERROR(IF(VLOOKUP(tbMoveset!A8,tbMoveset!A2:H112,8,FALSE)="Other",IF(VLOOKUP(tbMoveset!A8,tbMoveset!A2:I112,9,FALSE)="Fire",Backdoors!BB3,IF(VLOOKUP(tbMoveset!A8,tbMoveset!A2:I112,9,FALSE)="Water",Backdoors!BC3,IF(VLOOKUP(tbMoveset!A8,tbMoveset!A2:I112,9,FALSE)="Thunder",Backdoors!BD3,IF(VLOOKUP(tbMoveset!A8,tbMoveset!A2:I112,9,FALSE)="Ice",Backdoors!BE3,IF(VLOOKUP(tbMoveset!A8,tbMoveset!A2:I112,9,FALSE)="Dragon",Backdoors!BF3,Backdoors!BG3)))))/100,Backdoors!BG3/100),"")</f>
        <v>0</v>
      </c>
      <c r="D8" s="49">
        <f>IFERROR(IF(VLOOKUP(A8,tbMoveset!A2:J112,10,FALSE)=TRUE,IF((Backdoors!AI12+IF(B8&gt;=0.45,VLOOKUP(Calculator!E23,tbSkills!DH3:DI6,2,FALSE)+IF(AND(Calculator!B8=TRUE,Backdoors!BI3=TRUE),VLOOKUP(Calculator!E23,tbSkills!DH3:DJ6,3,FALSE),0),0))&gt;=0,1+(Backdoors!AL2*(IF((Backdoors!AI12+IF(B8&gt;=0.45,VLOOKUP(Calculator!E23,tbSkills!DH3:DI6,2,FALSE)+IF(AND(Calculator!B8=TRUE,Backdoors!BI3=TRUE),VLOOKUP(Calculator!E23,tbSkills!DH3:DJ6,3,FALSE),0),0))&gt;=100,100,(Backdoors!AI12+IF(B8&gt;=0.45,VLOOKUP(Calculator!E23,tbSkills!DH3:DI6,2,FALSE)+IF(AND(Calculator!B8=TRUE,Backdoors!BI3=TRUE),VLOOKUP(Calculator!E23,tbSkills!DH3:DJ6,3,FALSE),0),0)))/100)),(1-(0.25*((-Backdoors!AI12-IF(B8&gt;=0.45,VLOOKUP(Calculator!E23,tbSkills!DH3:DI6,2,FALSE)+IF(AND(Calculator!B8=TRUE,Backdoors!BI3=TRUE),VLOOKUP(Calculator!E23,tbSkills!DH3:DJ6,3,FALSE),0),0))/100)))),1),"")</f>
        <v>1</v>
      </c>
      <c r="E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8)*D8)*(VLOOKUP(A8,tbMoveset!A2:C112,3,FALSE)/100)*IF(VLOOKUP(A8,tbMoveset!A2:B112,2,FALSE)="Projectile",Backdoors!N10,Backdoors!N9),0),"")</f>
        <v>7</v>
      </c>
      <c r="F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8&gt;=0.45,VLOOKUP(Calculator!E23,tbSkills!DH3:DI6,2,FALSE)+IF(AND(Calculator!B8=TRUE,Backdoors!BI3=TRUE),VLOOKUP(Calculator!E23,tbSkills!DH3:DJ6,3,FALSE),0),0))&gt;=100,100,(Backdoors!AI12+IF(B8&gt;=0.45,VLOOKUP(Calculator!E23,tbSkills!DH3:DI6,2,FALSE)+IF(AND(Calculator!B8=TRUE,Backdoors!BI3=TRUE),VLOOKUP(Calculator!E23,tbSkills!DH3:DJ6,3,FALSE),0),0)))/100)),1))*IF(VLOOKUP(A8,tbMoveset!A2:K112,11,FALSE)=TRUE,Backdoors!AC5,1))*C8,0),"")</f>
        <v>0</v>
      </c>
      <c r="G8">
        <f>VLOOKUP(A8,tbMoveset!A2:G112,7,FALSE)*IFERROR(IF(Backdoors!AI12&gt;=0,1+(IF(Calculator!E40&gt;0,VLOOKUP(Calculator!E40,tbSkills!AI3:AJ5,2,FALSE),Backdoors!AL4)*(IF((Backdoors!AI12+IF(B8&gt;=0.45,VLOOKUP(Calculator!E23,tbSkills!DH3:DI6,2,FALSE)+IF(AND(Calculator!B8=TRUE,Backdoors!BI3=TRUE),VLOOKUP(Calculator!E23,tbSkills!DH3:DJ6,3,FALSE),0),0))&gt;=100,100,(Backdoors!AI12+IF(B8&gt;=0.45,VLOOKUP(Calculator!E23,tbSkills!DH3:DI6,2,FALSE)+IF(AND(Calculator!B8=TRUE,Backdoors!BI3=TRUE),VLOOKUP(Calculator!E23,tbSkills!DH3:DJ6,3,FALSE),0),0)))/100)),1),1)</f>
        <v>0.5</v>
      </c>
      <c r="H8" s="87">
        <f t="shared" si="43"/>
        <v>7</v>
      </c>
      <c r="I8" s="86">
        <f>IFERROR(IF(VLOOKUP(A8,tbMoveset!A2:B112,2,FALSE)="Sever",Backdoors!AY4/100,IF(VLOOKUP(A8,tbMoveset!A2:B112,2,FALSE)="Blunt",Backdoors!AZ4/100,Backdoors!BA4/100)),"")</f>
        <v>0.65</v>
      </c>
      <c r="J8" s="49">
        <f>IFERROR(IF(VLOOKUP(tbMoveset!A8,tbMoveset!A2:H112,8,FALSE)="Other",IF(VLOOKUP(tbMoveset!A8,tbMoveset!A2:I112,9,FALSE)="Fire",Backdoors!BB4,IF(VLOOKUP(tbMoveset!A8,tbMoveset!A2:I112,9,FALSE)="Water",Backdoors!BC4,IF(VLOOKUP(tbMoveset!A8,tbMoveset!A2:I112,9,FALSE)="Thunder",Backdoors!BD4,IF(VLOOKUP(tbMoveset!A8,tbMoveset!A2:I112,9,FALSE)="Ice",Backdoors!BE4,IF(VLOOKUP(tbMoveset!A8,tbMoveset!A2:I112,9,FALSE)="Dragon",Backdoors!BF4,Backdoors!BG4)))))/100,Backdoors!BG4/100),"")</f>
        <v>0</v>
      </c>
      <c r="K8" s="49">
        <f>IFERROR(IF(VLOOKUP(A8,tbMoveset!A2:J112,10,FALSE)=TRUE,IF((Backdoors!AI12+IF(I8&gt;=0.45,VLOOKUP(Calculator!E23,tbSkills!DH3:DI6,2,FALSE)+IF(AND(Calculator!B8=TRUE,Backdoors!BI4=TRUE),VLOOKUP(Calculator!E23,tbSkills!DH3:DJ6,3,FALSE),0),0))&gt;=0,1+(Backdoors!AL2*(IF((Backdoors!AI12+IF(I8&gt;=0.45,VLOOKUP(Calculator!E23,tbSkills!DH3:DI6,2,FALSE)+IF(AND(Calculator!B8=TRUE,Backdoors!BI4=TRUE),VLOOKUP(Calculator!E23,tbSkills!DH3:DJ6,3,FALSE),0),0))&gt;=100,100,(Backdoors!AI12+IF(I8&gt;=0.45,VLOOKUP(Calculator!E23,tbSkills!DH3:DI6,2,FALSE)+IF(AND(Calculator!B8=TRUE,Backdoors!BI4=TRUE),VLOOKUP(Calculator!E23,tbSkills!DH3:DJ6,3,FALSE),0),0)))/100)),(1-(0.25*((-Backdoors!AI12-IF(I8&gt;=0.45,VLOOKUP(Calculator!E23,tbSkills!DH3:DI6,2,FALSE)+IF(AND(Calculator!B8=TRUE,Backdoors!BI4=TRUE),VLOOKUP(Calculator!E23,tbSkills!DH3:DJ6,3,FALSE),0),0))/100)))),1),"")</f>
        <v>1</v>
      </c>
      <c r="L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8)*K8)*(VLOOKUP(A8,tbMoveset!A2:C112,3,FALSE)/100)*IF(VLOOKUP(A8,tbMoveset!A2:B112,2,FALSE)="Projectile",Backdoors!N10,Backdoors!N9),0),"")</f>
        <v>6</v>
      </c>
      <c r="M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I8&gt;=0.45,VLOOKUP(Calculator!E23,tbSkills!DH3:DI6,2,FALSE)+IF(AND(Calculator!B8=TRUE,Backdoors!BI4=TRUE),VLOOKUP(Calculator!E23,tbSkills!DH3:DJ6,3,FALSE),0),0))&gt;=100,100,(Backdoors!AI12+IF(I8&gt;=0.45,VLOOKUP(Calculator!E23,tbSkills!DH3:DI6,2,FALSE)+IF(AND(Calculator!B8=TRUE,Backdoors!BI4=TRUE),VLOOKUP(Calculator!E23,tbSkills!DH3:DJ6,3,FALSE),0),0)))/100)),1))*IF(VLOOKUP(A8,tbMoveset!A2:K112,11,FALSE)=TRUE,Backdoors!AC5,1))*J8,0),"")</f>
        <v>0</v>
      </c>
      <c r="N8" s="49">
        <f>VLOOKUP(A8,tbMoveset!A2:G112,7,FALSE)*IFERROR(IF(Backdoors!AI12&gt;=0,1+(IF(Calculator!E40&gt;0,VLOOKUP(Calculator!E40,tbSkills!AI3:AJ5,2,FALSE),Backdoors!AL4)*(IF((Backdoors!AI12+IF(I8&gt;=0.45,VLOOKUP(Calculator!E23,tbSkills!DH3:DI6,2,FALSE)+IF(AND(Calculator!B8=TRUE,Backdoors!BI4=TRUE),VLOOKUP(Calculator!E23,tbSkills!DH3:DJ6,3,FALSE),0),0))&gt;=100,100,(Backdoors!AI12+IF(I8&gt;=0.45,VLOOKUP(Calculator!E23,tbSkills!DH3:DI6,2,FALSE)+IF(AND(Calculator!B8=TRUE,Backdoors!BI4=TRUE),VLOOKUP(Calculator!E23,tbSkills!DH3:DJ6,3,FALSE),0),0)))/100)),1),1)</f>
        <v>0.5</v>
      </c>
      <c r="O8" s="87">
        <f t="shared" si="36"/>
        <v>6</v>
      </c>
      <c r="P8" s="86">
        <f>IFERROR(IF(VLOOKUP(A8,tbMoveset!A2:B112,2,FALSE)="Sever",Backdoors!AY5/100,IF(VLOOKUP(A8,tbMoveset!A2:B112,2,FALSE)="Blunt",Backdoors!AZ5/100,Backdoors!BA5/100)),"")</f>
        <v>0.5</v>
      </c>
      <c r="Q8" s="49">
        <f>IFERROR(IF(VLOOKUP(tbMoveset!A8,tbMoveset!A2:H112,8,FALSE)="Other",IF(VLOOKUP(tbMoveset!A8,tbMoveset!A2:I112,9,FALSE)="Fire",Backdoors!BB5,IF(VLOOKUP(tbMoveset!A8,tbMoveset!A2:I112,9,FALSE)="Water",Backdoors!BC5,IF(VLOOKUP(tbMoveset!A8,tbMoveset!A2:I112,9,FALSE)="Thunder",Backdoors!BD5,IF(VLOOKUP(tbMoveset!A8,tbMoveset!A2:I112,9,FALSE)="Ice",Backdoors!BE5,IF(VLOOKUP(tbMoveset!A8,tbMoveset!A2:I112,9,FALSE)="Dragon",Backdoors!BF5,Backdoors!BG5)))))/100,Backdoors!BG5/100),"")</f>
        <v>0</v>
      </c>
      <c r="R8" s="49">
        <f>IFERROR(IF(VLOOKUP(A8,tbMoveset!A2:J112,10,FALSE)=TRUE,IF((Backdoors!AI12+IF(P8&gt;=0.45,VLOOKUP(Calculator!E23,tbSkills!DH3:DI6,2,FALSE)+IF(AND(Calculator!B8=TRUE,Backdoors!BI5=TRUE),VLOOKUP(Calculator!E23,tbSkills!DH3:DJ6,3,FALSE),0),0))&gt;=0,1+(Backdoors!AL2*(IF((Backdoors!AI12+IF(P8&gt;=0.45,VLOOKUP(Calculator!E23,tbSkills!DH3:DI6,2,FALSE)+IF(AND(Calculator!B8=TRUE,Backdoors!BI5=TRUE),VLOOKUP(Calculator!E23,tbSkills!DH3:DJ6,3,FALSE),0),0))&gt;=100,100,(Backdoors!AI12+IF(P8&gt;=0.45,VLOOKUP(Calculator!E23,tbSkills!DH3:DI6,2,FALSE)+IF(AND(Calculator!B8=TRUE,Backdoors!BI5=TRUE),VLOOKUP(Calculator!E23,tbSkills!DH3:DJ6,3,FALSE),0),0)))/100)),(1-(0.25*((-Backdoors!AI12-IF(P8&gt;=0.45,VLOOKUP(Calculator!E23,tbSkills!DH3:DI6,2,FALSE)+IF(AND(Calculator!B8=TRUE,Backdoors!BI5=TRUE),VLOOKUP(Calculator!E23,tbSkills!DH3:DJ6,3,FALSE),0),0))/100)))),1),"")</f>
        <v>1</v>
      </c>
      <c r="S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P8)*R8)*(VLOOKUP(A8,tbMoveset!A2:C112,3,FALSE)/100)*IF(VLOOKUP(A8,tbMoveset!A2:B112,2,FALSE)="Projectile",Backdoors!N10,Backdoors!N9),0),"")</f>
        <v>5</v>
      </c>
      <c r="T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P8&gt;=0.45,VLOOKUP(Calculator!E23,tbSkills!DH3:DI6,2,FALSE)+IF(AND(Calculator!B8=TRUE,Backdoors!BI5=TRUE),VLOOKUP(Calculator!E23,tbSkills!DH3:DJ6,3,FALSE),0),0))&gt;=100,100,(Backdoors!AI12+IF(P8&gt;=0.45,VLOOKUP(Calculator!E23,tbSkills!DH3:DI6,2,FALSE)+IF(AND(Calculator!B8=TRUE,Backdoors!BI5=TRUE),VLOOKUP(Calculator!E23,tbSkills!DH3:DJ6,3,FALSE),0),0)))/100)),1))*IF(VLOOKUP(A8,tbMoveset!A2:K112,11,FALSE)=TRUE,Backdoors!AC5,1))*Q8,0),"")</f>
        <v>0</v>
      </c>
      <c r="U8" s="49">
        <f>VLOOKUP(A8,tbMoveset!A2:G112,7,FALSE)*IFERROR(IF(Backdoors!AI12&gt;=0,1+(IF(Calculator!E40&gt;0,VLOOKUP(Calculator!E40,tbSkills!AI3:AJ5,2,FALSE),Backdoors!AL4)*(IF((Backdoors!AI12+IF(P8&gt;=0.45,VLOOKUP(Calculator!E23,tbSkills!DH3:DI6,2,FALSE)+IF(AND(Calculator!B8=TRUE,Backdoors!BI5=TRUE),VLOOKUP(Calculator!E23,tbSkills!DH3:DJ6,3,FALSE),0),0))&gt;=100,100,(Backdoors!AI12+IF(P8&gt;=0.45,VLOOKUP(Calculator!E23,tbSkills!DH3:DI6,2,FALSE)+IF(AND(Calculator!B8=TRUE,Backdoors!BI5=TRUE),VLOOKUP(Calculator!E23,tbSkills!DH3:DJ6,3,FALSE),0),0)))/100)),1),1)</f>
        <v>0.5</v>
      </c>
      <c r="V8" s="87">
        <f t="shared" si="37"/>
        <v>5</v>
      </c>
      <c r="W8" s="86">
        <f>IFERROR(IF(VLOOKUP(A8,tbMoveset!A2:B112,2,FALSE)="Sever",Backdoors!AY6/100,IF(VLOOKUP(A8,tbMoveset!A2:B112,2,FALSE)="Blunt",Backdoors!AZ6/100,Backdoors!BA6/100)),"")</f>
        <v>0.45</v>
      </c>
      <c r="X8" s="49">
        <f>IFERROR(IF(VLOOKUP(tbMoveset!A8,tbMoveset!A2:H112,8,FALSE)="Other",IF(VLOOKUP(tbMoveset!A8,tbMoveset!A2:I112,9,FALSE)="Fire",Backdoors!BB6,IF(VLOOKUP(tbMoveset!A8,tbMoveset!A2:I112,9,FALSE)="Water",Backdoors!BC6,IF(VLOOKUP(tbMoveset!A8,tbMoveset!A2:I112,9,FALSE)="Thunder",Backdoors!BD6,IF(VLOOKUP(tbMoveset!A8,tbMoveset!A2:I112,9,FALSE)="Ice",Backdoors!BE6,IF(VLOOKUP(tbMoveset!A8,tbMoveset!A2:I112,9,FALSE)="Dragon",Backdoors!BF6,Backdoors!BG6)))))/100,Backdoors!BG6/100),"")</f>
        <v>0</v>
      </c>
      <c r="Y8" s="49">
        <f>IFERROR(IF(VLOOKUP(A8,tbMoveset!A2:J112,10,FALSE)=TRUE,IF((Backdoors!AI12+IF(W8&gt;=0.45,VLOOKUP(Calculator!E23,tbSkills!DH3:DI6,2,FALSE)+IF(AND(Calculator!B8=TRUE,Backdoors!BI6=TRUE),VLOOKUP(Calculator!E23,tbSkills!DH3:DJ6,3,FALSE),0),0))&gt;=0,1+(Backdoors!AL2*(IF((Backdoors!AI12+IF(W8&gt;=0.45,VLOOKUP(Calculator!E23,tbSkills!DH3:DI6,2,FALSE)+IF(AND(Calculator!B8=TRUE,Backdoors!BI6=TRUE),VLOOKUP(Calculator!E23,tbSkills!DH3:DJ6,3,FALSE),0),0))&gt;=100,100,(Backdoors!AI12+IF(W8&gt;=0.45,VLOOKUP(Calculator!E23,tbSkills!DH3:DI6,2,FALSE)+IF(AND(Calculator!B8=TRUE,Backdoors!BI6=TRUE),VLOOKUP(Calculator!E23,tbSkills!DH3:DJ6,3,FALSE),0),0)))/100)),(1-(0.25*((-Backdoors!AI12-IF(W8&gt;=0.45,VLOOKUP(Calculator!E23,tbSkills!DH3:DI6,2,FALSE)+IF(AND(Calculator!B8=TRUE,Backdoors!BI6=TRUE),VLOOKUP(Calculator!E23,tbSkills!DH3:DJ6,3,FALSE),0),0))/100)))),1),"")</f>
        <v>1</v>
      </c>
      <c r="Z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W8)*Y8)*(VLOOKUP(A8,tbMoveset!A2:C112,3,FALSE)/100)*IF(VLOOKUP(A8,tbMoveset!A2:B112,2,FALSE)="Projectile",Backdoors!N10,Backdoors!N9),0),"")</f>
        <v>4</v>
      </c>
      <c r="AA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W8&gt;=0.45,VLOOKUP(Calculator!E23,tbSkills!DH3:DI6,2,FALSE)+IF(AND(Calculator!B8=TRUE,Backdoors!BI6=TRUE),VLOOKUP(Calculator!E23,tbSkills!DH3:DJ6,3,FALSE),0),0))&gt;=100,100,(Backdoors!AI12+IF(W8&gt;=0.45,VLOOKUP(Calculator!E23,tbSkills!DH3:DI6,2,FALSE)+IF(AND(Calculator!B8=TRUE,Backdoors!BI6=TRUE),VLOOKUP(Calculator!E23,tbSkills!DH3:DJ6,3,FALSE),0),0)))/100)),1))*IF(VLOOKUP(A8,tbMoveset!A2:K112,11,FALSE)=TRUE,Backdoors!AC5,1))*X8,0),"")</f>
        <v>0</v>
      </c>
      <c r="AB8" s="49">
        <f>VLOOKUP(A8,tbMoveset!A2:G112,7,FALSE)*IFERROR(IF(Backdoors!AI12&gt;=0,1+(IF(Calculator!E40&gt;0,VLOOKUP(Calculator!E40,tbSkills!AI3:AJ5,2,FALSE),Backdoors!AL4)*(IF((Backdoors!AI12+IF(W8&gt;=0.45,VLOOKUP(Calculator!E23,tbSkills!DH3:DI6,2,FALSE)+IF(AND(Calculator!B8=TRUE,Backdoors!BI6=TRUE),VLOOKUP(Calculator!E23,tbSkills!DH3:DJ6,3,FALSE),0),0))&gt;=100,100,(Backdoors!AI12+IF(W8&gt;=0.45,VLOOKUP(Calculator!E23,tbSkills!DH3:DI6,2,FALSE)+IF(AND(Calculator!B8=TRUE,Backdoors!BI6=TRUE),VLOOKUP(Calculator!E23,tbSkills!DH3:DJ6,3,FALSE),0),0)))/100)),1),1)</f>
        <v>0.5</v>
      </c>
      <c r="AC8" s="87">
        <f t="shared" si="0"/>
        <v>4</v>
      </c>
      <c r="AD8" s="86">
        <f>IFERROR(IF(VLOOKUP(A8,tbMoveset!A2:B112,2,FALSE)="Sever",Backdoors!AY7/100,IF(VLOOKUP(A8,tbMoveset!A2:B112,2,FALSE)="Blunt",Backdoors!AZ7/100,Backdoors!BA7/100)),"")</f>
        <v>0.65</v>
      </c>
      <c r="AE8" s="49">
        <f>IFERROR(IF(VLOOKUP(tbMoveset!A8,tbMoveset!A2:H112,8,FALSE)="Other",IF(VLOOKUP(tbMoveset!A8,tbMoveset!A2:I112,9,FALSE)="Fire",Backdoors!BB7,IF(VLOOKUP(tbMoveset!A8,tbMoveset!A2:I112,9,FALSE)="Water",Backdoors!BC7,IF(VLOOKUP(tbMoveset!A8,tbMoveset!A2:I112,9,FALSE)="Thunder",Backdoors!BD7,IF(VLOOKUP(tbMoveset!A8,tbMoveset!A2:I112,9,FALSE)="Ice",Backdoors!BE7,IF(VLOOKUP(tbMoveset!A8,tbMoveset!A2:I112,9,FALSE)="Dragon",Backdoors!BF7,Backdoors!BG7)))))/100,Backdoors!BG7/100),"")</f>
        <v>0</v>
      </c>
      <c r="AF8" s="49">
        <f>IFERROR(IF(VLOOKUP(A8,tbMoveset!A2:J112,10,FALSE)=TRUE,IF((Backdoors!AI12+IF(AD8&gt;=0.45,VLOOKUP(Calculator!E23,tbSkills!DH3:DI6,2,FALSE)+IF(AND(Calculator!B8=TRUE,Backdoors!BI7=TRUE),VLOOKUP(Calculator!E23,tbSkills!DH3:DJ6,3,FALSE),0),0))&gt;=0,1+(Backdoors!AL2*(IF((Backdoors!AI12+IF(AD8&gt;=0.45,VLOOKUP(Calculator!E23,tbSkills!DH3:DI6,2,FALSE)+IF(AND(Calculator!B8=TRUE,Backdoors!BI7=TRUE),VLOOKUP(Calculator!E23,tbSkills!DH3:DJ6,3,FALSE),0),0))&gt;=100,100,(Backdoors!AI12+IF(AD8&gt;=0.45,VLOOKUP(Calculator!E23,tbSkills!DH3:DI6,2,FALSE)+IF(AND(Calculator!B8=TRUE,Backdoors!BI7=TRUE),VLOOKUP(Calculator!E23,tbSkills!DH3:DJ6,3,FALSE),0),0)))/100)),(1-(0.25*((-Backdoors!AI12-IF(AD8&gt;=0.45,VLOOKUP(Calculator!E23,tbSkills!DH3:DI6,2,FALSE)+IF(AND(Calculator!B8=TRUE,Backdoors!BI7=TRUE),VLOOKUP(Calculator!E23,tbSkills!DH3:DJ6,3,FALSE),0),0))/100)))),1),"")</f>
        <v>1</v>
      </c>
      <c r="AG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D8)*AF8)*(VLOOKUP(A8,tbMoveset!A2:C112,3,FALSE)/100)*IF(VLOOKUP(A8,tbMoveset!A2:B112,2,FALSE)="Projectile",Backdoors!N10,Backdoors!N9),0),"")</f>
        <v>6</v>
      </c>
      <c r="AH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D8&gt;=0.45,VLOOKUP(Calculator!E23,tbSkills!DH3:DI6,2,FALSE)+IF(AND(Calculator!B8=TRUE,Backdoors!BI7=TRUE),VLOOKUP(Calculator!E23,tbSkills!DH3:DJ6,3,FALSE),0),0))&gt;=100,100,(Backdoors!AI12+IF(AD8&gt;=0.45,VLOOKUP(Calculator!E23,tbSkills!DH3:DI6,2,FALSE)+IF(AND(Calculator!B8=TRUE,Backdoors!BI7=TRUE),VLOOKUP(Calculator!E23,tbSkills!DH3:DJ6,3,FALSE),0),0)))/100)),1))*IF(VLOOKUP(A8,tbMoveset!A2:K112,11,FALSE)=TRUE,Backdoors!AC5,1))*AE8,0),"")</f>
        <v>0</v>
      </c>
      <c r="AI8" s="49">
        <f>VLOOKUP(A8,tbMoveset!A2:G112,7,FALSE)*IFERROR(IF(Backdoors!AI12&gt;=0,1+(IF(Calculator!E40&gt;0,VLOOKUP(Calculator!E40,tbSkills!AI3:AJ5,2,FALSE),Backdoors!AL4)*(IF((Backdoors!AI12+IF(AD8&gt;=0.45,VLOOKUP(Calculator!E23,tbSkills!DH3:DI6,2,FALSE)+IF(AND(Calculator!B8=TRUE,Backdoors!BI7=TRUE),VLOOKUP(Calculator!E23,tbSkills!DH3:DJ6,3,FALSE),0),0))&gt;=100,100,(Backdoors!AI12+IF(AD8&gt;=0.45,VLOOKUP(Calculator!E23,tbSkills!DH3:DI6,2,FALSE)+IF(AND(Calculator!B8=TRUE,Backdoors!BI7=TRUE),VLOOKUP(Calculator!E23,tbSkills!DH3:DJ6,3,FALSE),0),0)))/100)),1),1)</f>
        <v>0.5</v>
      </c>
      <c r="AJ8" s="87">
        <f t="shared" si="1"/>
        <v>6</v>
      </c>
      <c r="AK8" s="91">
        <f>IFERROR(IF(VLOOKUP(A8,tbMoveset!A2:B112,2,FALSE)="Sever",Backdoors!AY8/100,IF(VLOOKUP(A8,tbMoveset!A2:B112,2,FALSE)="Blunt",Backdoors!AZ8/100,Backdoors!BA8/100)),"")</f>
        <v>0.45</v>
      </c>
      <c r="AL8" s="49">
        <f>IFERROR(IF(VLOOKUP(tbMoveset!A8,tbMoveset!A2:H112,8,FALSE)="Other",IF(VLOOKUP(tbMoveset!A8,tbMoveset!A2:I112,9,FALSE)="Fire",Backdoors!BB8,IF(VLOOKUP(tbMoveset!A8,tbMoveset!A2:I112,9,FALSE)="Water",Backdoors!BC8,IF(VLOOKUP(tbMoveset!A8,tbMoveset!A2:I112,9,FALSE)="Thunder",Backdoors!BD8,IF(VLOOKUP(tbMoveset!A8,tbMoveset!A2:I112,9,FALSE)="Ice",Backdoors!BE8,IF(VLOOKUP(tbMoveset!A8,tbMoveset!A2:I112,9,FALSE)="Dragon",Backdoors!BF8,Backdoors!BG8)))))/100,Backdoors!BG8/100),"")</f>
        <v>0</v>
      </c>
      <c r="AM8" s="49">
        <f>IFERROR(IF(VLOOKUP(A8,tbMoveset!A2:J112,10,FALSE)=TRUE,IF((Backdoors!AI12+IF(AK8&gt;=0.45,VLOOKUP(Calculator!E23,tbSkills!DH3:DI6,2,FALSE)+IF(AND(Calculator!B8=TRUE,Backdoors!BI8=TRUE),VLOOKUP(Calculator!E23,tbSkills!DH3:DJ6,3,FALSE),0),0))&gt;=0,1+(Backdoors!AL2*(IF((Backdoors!AI12+IF(AK8&gt;=0.45,VLOOKUP(Calculator!E23,tbSkills!DH3:DI6,2,FALSE)+IF(AND(Calculator!B8=TRUE,Backdoors!BI8=TRUE),VLOOKUP(Calculator!E23,tbSkills!DH3:DJ6,3,FALSE),0),0))&gt;=100,100,(Backdoors!AI12+IF(AK8&gt;=0.45,VLOOKUP(Calculator!E23,tbSkills!DH3:DI6,2,FALSE)+IF(AND(Calculator!B8=TRUE,Backdoors!BI8=TRUE),VLOOKUP(Calculator!E23,tbSkills!DH3:DJ6,3,FALSE),0),0)))/100)),(1-(0.25*((-Backdoors!AI12-IF(AK8&gt;=0.45,VLOOKUP(Calculator!E23,tbSkills!DH3:DI6,2,FALSE)+IF(AND(Calculator!B8=TRUE,Backdoors!BI8=TRUE),VLOOKUP(Calculator!E23,tbSkills!DH3:DJ6,3,FALSE),0),0))/100)))),1),"")</f>
        <v>1</v>
      </c>
      <c r="AN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K8)*AM8)*(VLOOKUP(A8,tbMoveset!A2:C112,3,FALSE)/100)*IF(VLOOKUP(A8,tbMoveset!A2:B112,2,FALSE)="Projectile",Backdoors!N10,Backdoors!N9),0),"")</f>
        <v>4</v>
      </c>
      <c r="AO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K8&gt;=0.45,VLOOKUP(Calculator!E23,tbSkills!DH3:DI6,2,FALSE)+IF(AND(Calculator!B8=TRUE,Backdoors!BI8=TRUE),VLOOKUP(Calculator!E23,tbSkills!DH3:DJ6,3,FALSE),0),0))&gt;=100,100,(Backdoors!AI12+IF(AK8&gt;=0.45,VLOOKUP(Calculator!E23,tbSkills!DH3:DI6,2,FALSE)+IF(AND(Calculator!B8=TRUE,Backdoors!BI8=TRUE),VLOOKUP(Calculator!E23,tbSkills!DH3:DJ6,3,FALSE),0),0)))/100)),1))*IF(VLOOKUP(A8,tbMoveset!A2:K112,11,FALSE)=TRUE,Backdoors!AC5,1))*AL8,0),"")</f>
        <v>0</v>
      </c>
      <c r="AP8" s="49">
        <f>VLOOKUP(A8,tbMoveset!A2:G112,7,FALSE)*IFERROR(IF(Backdoors!AI12&gt;=0,1+(IF(Calculator!E40&gt;0,VLOOKUP(Calculator!E40,tbSkills!AI3:AJ5,2,FALSE),Backdoors!AL4)*(IF((Backdoors!AI12+IF(AK8&gt;=0.45,VLOOKUP(Calculator!E23,tbSkills!DH3:DI6,2,FALSE)+IF(AND(Calculator!B8=TRUE,Backdoors!BI8=TRUE),VLOOKUP(Calculator!E23,tbSkills!DH3:DJ6,3,FALSE),0),0))&gt;=100,100,(Backdoors!AI12+IF(AK8&gt;=0.45,VLOOKUP(Calculator!E23,tbSkills!DH3:DI6,2,FALSE)+IF(AND(Calculator!B8=TRUE,Backdoors!BI8=TRUE),VLOOKUP(Calculator!E23,tbSkills!DH3:DJ6,3,FALSE),0),0)))/100)),1),1)</f>
        <v>0.5</v>
      </c>
      <c r="AQ8" s="87">
        <f t="shared" si="2"/>
        <v>4</v>
      </c>
      <c r="AR8" s="86">
        <f>IFERROR(IF(VLOOKUP(A8,tbMoveset!A2:B112,2,FALSE)="Sever",Backdoors!AY9/100,IF(VLOOKUP(A8,tbMoveset!A2:B112,2,FALSE)="Blunt",Backdoors!AZ9/100,Backdoors!BA9/100)),"")</f>
        <v>0.45</v>
      </c>
      <c r="AS8" s="49">
        <f>IFERROR(IF(VLOOKUP(tbMoveset!A8,tbMoveset!A2:H112,8,FALSE)="Other",IF(VLOOKUP(tbMoveset!A8,tbMoveset!A2:I112,9,FALSE)="Fire",Backdoors!BB9,IF(VLOOKUP(tbMoveset!A8,tbMoveset!A2:I112,9,FALSE)="Water",Backdoors!BC9,IF(VLOOKUP(tbMoveset!A8,tbMoveset!A2:I112,9,FALSE)="Thunder",Backdoors!BD9,IF(VLOOKUP(tbMoveset!A8,tbMoveset!A2:I112,9,FALSE)="Ice",Backdoors!BE9,IF(VLOOKUP(tbMoveset!A8,tbMoveset!A2:I112,9,FALSE)="Dragon",Backdoors!BF9,Backdoors!BG9)))))/100,Backdoors!BG9/100),"")</f>
        <v>0</v>
      </c>
      <c r="AT8" s="49">
        <f>IFERROR(IF(VLOOKUP(A8,tbMoveset!A2:J112,10,FALSE)=TRUE,IF((Backdoors!AI12+IF(AR8&gt;=0.45,VLOOKUP(Calculator!E23,tbSkills!DH3:DI6,2,FALSE)+IF(AND(Calculator!B8=TRUE,Backdoors!BI9=TRUE),VLOOKUP(Calculator!E23,tbSkills!DH3:DJ6,3,FALSE),0),0))&gt;=0,1+(Backdoors!AL2*(IF((Backdoors!AI12+IF(AR8&gt;=0.45,VLOOKUP(Calculator!E23,tbSkills!DH3:DI6,2,FALSE)+IF(AND(Calculator!B8=TRUE,Backdoors!BI9=TRUE),VLOOKUP(Calculator!E23,tbSkills!DH3:DJ6,3,FALSE),0),0))&gt;=100,100,(Backdoors!AI12+IF(AR8&gt;=0.45,VLOOKUP(Calculator!E23,tbSkills!DH3:DI6,2,FALSE)+IF(AND(Calculator!B8=TRUE,Backdoors!BI9=TRUE),VLOOKUP(Calculator!E23,tbSkills!DH3:DJ6,3,FALSE),0),0)))/100)),(1-(0.25*((-Backdoors!AI12-IF(AR8&gt;=0.45,VLOOKUP(Calculator!E23,tbSkills!DH3:DI6,2,FALSE)+IF(AND(Calculator!B8=TRUE,Backdoors!BI9=TRUE),VLOOKUP(Calculator!E23,tbSkills!DH3:DJ6,3,FALSE),0),0))/100)))),1),"")</f>
        <v>1</v>
      </c>
      <c r="AU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R8)*AT8)*(VLOOKUP(A8,tbMoveset!A2:C112,3,FALSE)/100)*IF(VLOOKUP(A8,tbMoveset!A2:B112,2,FALSE)="Projectile",Backdoors!N10,Backdoors!N9),0),"")</f>
        <v>4</v>
      </c>
      <c r="AV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R8&gt;=0.45,VLOOKUP(Calculator!E23,tbSkills!DH3:DI6,2,FALSE)+IF(AND(Calculator!B8=TRUE,Backdoors!BI9=TRUE),VLOOKUP(Calculator!E23,tbSkills!DH3:DJ6,3,FALSE),0),0))&gt;=100,100,(Backdoors!AI12+IF(AR8&gt;=0.45,VLOOKUP(Calculator!E23,tbSkills!DH3:DI6,2,FALSE)+IF(AND(Calculator!B8=TRUE,Backdoors!BI9=TRUE),VLOOKUP(Calculator!E23,tbSkills!DH3:DJ6,3,FALSE),0),0)))/100)),1))*IF(VLOOKUP(A8,tbMoveset!A2:K112,11,FALSE)=TRUE,Backdoors!AC5,1))*AS8,0),"")</f>
        <v>0</v>
      </c>
      <c r="AW8" s="49">
        <f>VLOOKUP(A8,tbMoveset!A2:G112,7,FALSE)*IFERROR(IF(Backdoors!AI12&gt;=0,1+(IF(Calculator!E40&gt;0,VLOOKUP(Calculator!E40,tbSkills!AI3:AJ5,2,FALSE),Backdoors!AL4)*(IF((Backdoors!AI12+IF(AR8&gt;=0.45,VLOOKUP(Calculator!E23,tbSkills!DH3:DI6,2,FALSE)+IF(AND(Calculator!B8=TRUE,Backdoors!BI9=TRUE),VLOOKUP(Calculator!E23,tbSkills!DH3:DJ6,3,FALSE),0),0))&gt;=100,100,(Backdoors!AI12+IF(AR8&gt;=0.45,VLOOKUP(Calculator!E23,tbSkills!DH3:DI6,2,FALSE)+IF(AND(Calculator!B8=TRUE,Backdoors!BI9=TRUE),VLOOKUP(Calculator!E23,tbSkills!DH3:DJ6,3,FALSE),0),0)))/100)),1),1)</f>
        <v>0.5</v>
      </c>
      <c r="AX8" s="87">
        <f t="shared" si="38"/>
        <v>4</v>
      </c>
      <c r="AY8" s="86">
        <f>IFERROR(IF(VLOOKUP(A8,tbMoveset!A2:B112,2,FALSE)="Sever",Backdoors!AY10/100,IF(VLOOKUP(A8,tbMoveset!A2:B112,2,FALSE)="Blunt",Backdoors!AZ10/100,Backdoors!BA10/100)),"")</f>
        <v>0.9</v>
      </c>
      <c r="AZ8" s="49">
        <f>IFERROR(IF(VLOOKUP(tbMoveset!A8,tbMoveset!A2:H112,8,FALSE)="Other",IF(VLOOKUP(tbMoveset!A8,tbMoveset!A2:I112,9,FALSE)="Fire",Backdoors!BB10,IF(VLOOKUP(tbMoveset!A8,tbMoveset!A2:I112,9,FALSE)="Water",Backdoors!BC10,IF(VLOOKUP(tbMoveset!A8,tbMoveset!A2:I112,9,FALSE)="Thunder",Backdoors!BD10,IF(VLOOKUP(tbMoveset!A8,tbMoveset!A2:I112,9,FALSE)="Ice",Backdoors!BE10,IF(VLOOKUP(tbMoveset!A8,tbMoveset!A2:I112,9,FALSE)="Dragon",Backdoors!BF10,Backdoors!BG10)))))/100,Backdoors!BG10/100),"")</f>
        <v>0</v>
      </c>
      <c r="BA8" s="49">
        <f>IFERROR(IF(VLOOKUP(A8,tbMoveset!A2:J112,10,FALSE)=TRUE,IF((Backdoors!AI12+IF(AY8&gt;=0.45,VLOOKUP(Calculator!E23,tbSkills!DH3:DI6,2,FALSE)+IF(AND(Calculator!B8=TRUE,Backdoors!BI10=TRUE),VLOOKUP(Calculator!E23,tbSkills!DH3:DJ6,3,FALSE),0),0))&gt;=0,1+(Backdoors!AL2*(IF((Backdoors!AI12+IF(AY8&gt;=0.45,VLOOKUP(Calculator!E23,tbSkills!DH3:DI6,2,FALSE)+IF(AND(Calculator!B8=TRUE,Backdoors!BI10=TRUE),VLOOKUP(Calculator!E23,tbSkills!DH3:DJ6,3,FALSE),0),0))&gt;=100,100,(Backdoors!AI12+IF(AY8&gt;=0.45,VLOOKUP(Calculator!E23,tbSkills!DH3:DI6,2,FALSE)+IF(AND(Calculator!B8=TRUE,Backdoors!BI10=TRUE),VLOOKUP(Calculator!E23,tbSkills!DH3:DJ6,3,FALSE),0),0)))/100)),(1-(0.25*((-Backdoors!AI12-IF(AY8&gt;=0.45,VLOOKUP(Calculator!E23,tbSkills!DH3:DI6,2,FALSE)+IF(AND(Calculator!B8=TRUE,Backdoors!BI10=TRUE),VLOOKUP(Calculator!E23,tbSkills!DH3:DJ6,3,FALSE),0),0))/100)))),1),"")</f>
        <v>1</v>
      </c>
      <c r="BB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Y8)*BA8)*(VLOOKUP(A8,tbMoveset!A2:C112,3,FALSE)/100)*IF(VLOOKUP(A8,tbMoveset!A2:B112,2,FALSE)="Projectile",Backdoors!N10,Backdoors!N9),0),"")</f>
        <v>8</v>
      </c>
      <c r="BC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Y8&gt;=0.45,VLOOKUP(Calculator!E23,tbSkills!DH3:DI6,2,FALSE)+IF(AND(Calculator!B8=TRUE,Backdoors!BI10=TRUE),VLOOKUP(Calculator!E23,tbSkills!DH3:DJ6,3,FALSE),0),0))&gt;=100,100,(Backdoors!AI12+IF(AY8&gt;=0.45,VLOOKUP(Calculator!E23,tbSkills!DH3:DI6,2,FALSE)+IF(AND(Calculator!B8=TRUE,Backdoors!BI10=TRUE),VLOOKUP(Calculator!E23,tbSkills!DH3:DJ6,3,FALSE),0),0)))/100)),1))*IF(VLOOKUP(A8,tbMoveset!A2:K112,11,FALSE)=TRUE,Backdoors!AC5,1))*AZ8,0),"")</f>
        <v>0</v>
      </c>
      <c r="BD8" s="49">
        <f>VLOOKUP(A8,tbMoveset!A2:G112,7,FALSE)*IFERROR(IF(Backdoors!AI12&gt;=0,1+(IF(Calculator!E40&gt;0,VLOOKUP(Calculator!E40,tbSkills!AI3:AJ5,2,FALSE),Backdoors!AL4)*(IF((Backdoors!AI12+IF(AY8&gt;=0.45,VLOOKUP(Calculator!E23,tbSkills!DH3:DI6,2,FALSE)+IF(AND(Calculator!B8=TRUE,Backdoors!BI10=TRUE),VLOOKUP(Calculator!E23,tbSkills!DH3:DJ6,3,FALSE),0),0))&gt;=100,100,(Backdoors!AI12+IF(AY8&gt;=0.45,VLOOKUP(Calculator!E23,tbSkills!DH3:DI6,2,FALSE)+IF(AND(Calculator!B8=TRUE,Backdoors!BI10=TRUE),VLOOKUP(Calculator!E23,tbSkills!DH3:DJ6,3,FALSE),0),0)))/100)),1),1)</f>
        <v>0.5</v>
      </c>
      <c r="BE8" s="87">
        <f t="shared" si="3"/>
        <v>8</v>
      </c>
      <c r="BF8" s="86" t="str">
        <f>IFERROR(IF(VLOOKUP(A8,tbMoveset!A2:B112,2,FALSE)="Sever",Backdoors!AY11/100,IF(VLOOKUP(A8,tbMoveset!A2:B112,2,FALSE)="Blunt",Backdoors!AZ11/100,Backdoors!BA11/100)),"")</f>
        <v/>
      </c>
      <c r="BG8" s="49">
        <f>IFERROR(IF(VLOOKUP(tbMoveset!A8,tbMoveset!A2:H112,8,FALSE)="Other",IF(VLOOKUP(tbMoveset!A8,tbMoveset!A2:I112,9,FALSE)="Fire",Backdoors!BB11,IF(VLOOKUP(tbMoveset!A8,tbMoveset!A2:I112,9,FALSE)="Water",Backdoors!BC11,IF(VLOOKUP(tbMoveset!A8,tbMoveset!A2:I112,9,FALSE)="Thunder",Backdoors!BD11,IF(VLOOKUP(tbMoveset!A8,tbMoveset!A2:I112,9,FALSE)="Ice",Backdoors!BE11,IF(VLOOKUP(tbMoveset!A8,tbMoveset!A2:I112,9,FALSE)="Dragon",Backdoors!BF11,Backdoors!BG11)))))/100,Backdoors!BG11/100),"")</f>
        <v>0</v>
      </c>
      <c r="BH8" s="49">
        <f>IFERROR(IF(VLOOKUP(A8,tbMoveset!A2:J112,10,FALSE)=TRUE,IF((Backdoors!AI12+IF(BF8&gt;=0.45,VLOOKUP(Calculator!E23,tbSkills!DH3:DI6,2,FALSE)+IF(AND(Calculator!B8=TRUE,Backdoors!BI11=TRUE),VLOOKUP(Calculator!E23,tbSkills!DH3:DJ6,3,FALSE),0),0))&gt;=0,1+(Backdoors!AL2*(IF((Backdoors!AI12+IF(BF8&gt;=0.45,VLOOKUP(Calculator!E23,tbSkills!DH3:DI6,2,FALSE)+IF(AND(Calculator!B8=TRUE,Backdoors!BI11=TRUE),VLOOKUP(Calculator!E23,tbSkills!DH3:DJ6,3,FALSE),0),0))&gt;=100,100,(Backdoors!AI12+IF(BF8&gt;=0.45,VLOOKUP(Calculator!E23,tbSkills!DH3:DI6,2,FALSE)+IF(AND(Calculator!B8=TRUE,Backdoors!BI11=TRUE),VLOOKUP(Calculator!E23,tbSkills!DH3:DJ6,3,FALSE),0),0)))/100)),(1-(0.25*((-Backdoors!AI12-IF(BF8&gt;=0.45,VLOOKUP(Calculator!E23,tbSkills!DH3:DI6,2,FALSE)+IF(AND(Calculator!B8=TRUE,Backdoors!BI11=TRUE),VLOOKUP(Calculator!E23,tbSkills!DH3:DJ6,3,FALSE),0),0))/100)))),1),"")</f>
        <v>1</v>
      </c>
      <c r="BI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F8)*BH8)*(VLOOKUP(A8,tbMoveset!A2:C112,3,FALSE)/100)*IF(VLOOKUP(A8,tbMoveset!A2:B112,2,FALSE)="Projectile",Backdoors!N10,Backdoors!N9),0),"")</f>
        <v/>
      </c>
      <c r="BJ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F8&gt;=0.45,VLOOKUP(Calculator!E23,tbSkills!DH3:DI6,2,FALSE)+IF(AND(Calculator!B8=TRUE,Backdoors!BI11=TRUE),VLOOKUP(Calculator!E23,tbSkills!DH3:DJ6,3,FALSE),0),0))&gt;=100,100,(Backdoors!AI12+IF(BF8&gt;=0.45,VLOOKUP(Calculator!E23,tbSkills!DH3:DI6,2,FALSE)+IF(AND(Calculator!B8=TRUE,Backdoors!BI11=TRUE),VLOOKUP(Calculator!E23,tbSkills!DH3:DJ6,3,FALSE),0),0)))/100)),1))*IF(VLOOKUP(A8,tbMoveset!A2:K112,11,FALSE)=TRUE,Backdoors!AC5,1))*BG8,0),"")</f>
        <v>0</v>
      </c>
      <c r="BK8" s="49">
        <f>VLOOKUP(A8,tbMoveset!A2:G112,7,FALSE)*IFERROR(IF(Backdoors!AI12&gt;=0,1+(IF(Calculator!E40&gt;0,VLOOKUP(Calculator!E40,tbSkills!AI3:AJ5,2,FALSE),Backdoors!AL4)*(IF((Backdoors!AI12+IF(BF8&gt;=0.45,VLOOKUP(Calculator!E23,tbSkills!DH3:DI6,2,FALSE)+IF(AND(Calculator!B8=TRUE,Backdoors!BI11=TRUE),VLOOKUP(Calculator!E23,tbSkills!DH3:DJ6,3,FALSE),0),0))&gt;=100,100,(Backdoors!AI12+IF(BF8&gt;=0.45,VLOOKUP(Calculator!E23,tbSkills!DH3:DI6,2,FALSE)+IF(AND(Calculator!B8=TRUE,Backdoors!BI11=TRUE),VLOOKUP(Calculator!E23,tbSkills!DH3:DJ6,3,FALSE),0),0)))/100)),1),1)</f>
        <v>0.5</v>
      </c>
      <c r="BL8" s="87">
        <f t="shared" si="4"/>
        <v>0</v>
      </c>
      <c r="BM8" s="86" t="str">
        <f>IFERROR(IF(VLOOKUP(A8,tbMoveset!A2:B112,2,FALSE)="Sever",Backdoors!AY12/100,IF(VLOOKUP(A8,tbMoveset!A2:B112,2,FALSE)="Blunt",Backdoors!AZ12/100,Backdoors!BA12/100)),"")</f>
        <v/>
      </c>
      <c r="BN8" s="49">
        <f>IFERROR(IF(VLOOKUP(tbMoveset!A8,tbMoveset!A2:H112,8,FALSE)="Other",IF(VLOOKUP(tbMoveset!A8,tbMoveset!A2:I112,9,FALSE)="Fire",Backdoors!BB12,IF(VLOOKUP(tbMoveset!A8,tbMoveset!A2:I112,9,FALSE)="Water",Backdoors!BC12,IF(VLOOKUP(tbMoveset!A8,tbMoveset!A2:I112,9,FALSE)="Thunder",Backdoors!BD12,IF(VLOOKUP(tbMoveset!A8,tbMoveset!A2:I112,9,FALSE)="Ice",Backdoors!BE12,IF(VLOOKUP(tbMoveset!A8,tbMoveset!A2:I112,9,FALSE)="Dragon",Backdoors!BF12,Backdoors!BG12)))))/100,Backdoors!BG12/100),"")</f>
        <v>0</v>
      </c>
      <c r="BO8" s="49">
        <f>IFERROR(IF(VLOOKUP(A8,tbMoveset!A2:J112,10,FALSE)=TRUE,IF((Backdoors!AI12+IF(BM8&gt;=0.45,VLOOKUP(Calculator!E23,tbSkills!DH3:DI6,2,FALSE)+IF(AND(Calculator!B8=TRUE,Backdoors!BI12=TRUE),VLOOKUP(Calculator!E23,tbSkills!DH3:DJ6,3,FALSE),0),0))&gt;=0,1+(Backdoors!AL2*(IF((Backdoors!AI12+IF(BM8&gt;=0.45,VLOOKUP(Calculator!E23,tbSkills!DH3:DI6,2,FALSE)+IF(AND(Calculator!B8=TRUE,Backdoors!BI12=TRUE),VLOOKUP(Calculator!E23,tbSkills!DH3:DJ6,3,FALSE),0),0))&gt;=100,100,(Backdoors!AI12+IF(BM8&gt;=0.45,VLOOKUP(Calculator!E23,tbSkills!DH3:DI6,2,FALSE)+IF(AND(Calculator!B8=TRUE,Backdoors!BI12=TRUE),VLOOKUP(Calculator!E23,tbSkills!DH3:DJ6,3,FALSE),0),0)))/100)),(1-(0.25*((-Backdoors!AI12-IF(BM8&gt;=0.45,VLOOKUP(Calculator!E23,tbSkills!DH3:DI6,2,FALSE)+IF(AND(Calculator!B8=TRUE,Backdoors!BI12=TRUE),VLOOKUP(Calculator!E23,tbSkills!DH3:DJ6,3,FALSE),0),0))/100)))),1),"")</f>
        <v>1</v>
      </c>
      <c r="BP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M8)*BO8)*(VLOOKUP(A8,tbMoveset!A2:C112,3,FALSE)/100)*IF(VLOOKUP(A8,tbMoveset!A2:B112,2,FALSE)="Projectile",Backdoors!N10,Backdoors!N9),0),"")</f>
        <v/>
      </c>
      <c r="BQ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M8&gt;=0.45,VLOOKUP(Calculator!E23,tbSkills!DH3:DI6,2,FALSE)+IF(AND(Calculator!B8=TRUE,Backdoors!BI12=TRUE),VLOOKUP(Calculator!E23,tbSkills!DH3:DJ6,3,FALSE),0),0))&gt;=100,100,(Backdoors!AI12+IF(BM8&gt;=0.45,VLOOKUP(Calculator!E23,tbSkills!DH3:DI6,2,FALSE)+IF(AND(Calculator!B8=TRUE,Backdoors!BI12=TRUE),VLOOKUP(Calculator!E23,tbSkills!DH3:DJ6,3,FALSE),0),0)))/100)),1))*IF(VLOOKUP(A8,tbMoveset!A2:K112,11,FALSE)=TRUE,Backdoors!AC5,1))*BN8,0),"")</f>
        <v>0</v>
      </c>
      <c r="BR8" s="49">
        <f>VLOOKUP(A8,tbMoveset!A2:G112,7,FALSE)*IFERROR(IF(Backdoors!AI12&gt;=0,1+(IF(Calculator!E40&gt;0,VLOOKUP(Calculator!E40,tbSkills!AI3:AJ5,2,FALSE),Backdoors!AL4)*(IF((Backdoors!AI12+IF(BM8&gt;=0.45,VLOOKUP(Calculator!E23,tbSkills!DH3:DI6,2,FALSE)+IF(AND(Calculator!B8=TRUE,Backdoors!BI12=TRUE),VLOOKUP(Calculator!E23,tbSkills!DH3:DJ6,3,FALSE),0),0))&gt;=100,100,(Backdoors!AI12+IF(BM8&gt;=0.45,VLOOKUP(Calculator!E23,tbSkills!DH3:DI6,2,FALSE)+IF(AND(Calculator!B8=TRUE,Backdoors!BI12=TRUE),VLOOKUP(Calculator!E23,tbSkills!DH3:DJ6,3,FALSE),0),0)))/100)),1),1)</f>
        <v>0.5</v>
      </c>
      <c r="BS8" s="87">
        <f t="shared" si="39"/>
        <v>0</v>
      </c>
      <c r="BT8" s="86" t="str">
        <f>IFERROR(IF(VLOOKUP(A8,tbMoveset!A2:B112,2,FALSE)="Sever",Backdoors!AY13/100,IF(VLOOKUP(A8,tbMoveset!A2:B112,2,FALSE)="Blunt",Backdoors!AZ13/100,Backdoors!BA13/100)),"")</f>
        <v/>
      </c>
      <c r="BU8" s="49">
        <f>IFERROR(IF(VLOOKUP(tbMoveset!A8,tbMoveset!A2:H112,8,FALSE)="Other",IF(VLOOKUP(tbMoveset!A8,tbMoveset!A2:I112,9,FALSE)="Fire",Backdoors!BB13,IF(VLOOKUP(tbMoveset!A8,tbMoveset!A2:I112,9,FALSE)="Water",Backdoors!BC13,IF(VLOOKUP(tbMoveset!A8,tbMoveset!A2:I112,9,FALSE)="Thunder",Backdoors!BD13,IF(VLOOKUP(tbMoveset!A8,tbMoveset!A2:I112,9,FALSE)="Ice",Backdoors!BE13,IF(VLOOKUP(tbMoveset!A8,tbMoveset!A2:I112,9,FALSE)="Dragon",Backdoors!BF13,Backdoors!BG13)))))/100,Backdoors!BG13/100),"")</f>
        <v>0</v>
      </c>
      <c r="BV8" s="49">
        <f>IFERROR(IF(VLOOKUP(A8,tbMoveset!A2:J112,10,FALSE)=TRUE,IF((Backdoors!AI12+IF(BT8&gt;=0.45,VLOOKUP(Calculator!E23,tbSkills!DH3:DI6,2,FALSE)+IF(AND(Calculator!B8=TRUE,Backdoors!BI13=TRUE),VLOOKUP(Calculator!E23,tbSkills!DH3:DJ6,3,FALSE),0),0))&gt;=0,1+(Backdoors!AL2*(IF((Backdoors!AI12+IF(BT8&gt;=0.45,VLOOKUP(Calculator!E23,tbSkills!DH3:DI6,2,FALSE)+IF(AND(Calculator!B8=TRUE,Backdoors!BI13=TRUE),VLOOKUP(Calculator!E23,tbSkills!DH3:DJ6,3,FALSE),0),0))&gt;=100,100,(Backdoors!AI12+IF(BT8&gt;=0.45,VLOOKUP(Calculator!E23,tbSkills!DH3:DI6,2,FALSE)+IF(AND(Calculator!B8=TRUE,Backdoors!BI13=TRUE),VLOOKUP(Calculator!E23,tbSkills!DH3:DJ6,3,FALSE),0),0)))/100)),(1-(0.25*((-Backdoors!AI12-IF(BT8&gt;=0.45,VLOOKUP(Calculator!E23,tbSkills!DH3:DI6,2,FALSE)+IF(AND(Calculator!B8=TRUE,Backdoors!BI13=TRUE),VLOOKUP(Calculator!E23,tbSkills!DH3:DJ6,3,FALSE),0),0))/100)))),1),"")</f>
        <v>1</v>
      </c>
      <c r="BW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T8)*BV8)*(VLOOKUP(A8,tbMoveset!A2:C112,3,FALSE)/100)*IF(VLOOKUP(A8,tbMoveset!A2:B112,2,FALSE)="Projectile",Backdoors!N10,Backdoors!N9),0),"")</f>
        <v/>
      </c>
      <c r="BX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T8&gt;=0.45,VLOOKUP(Calculator!E23,tbSkills!DH3:DI6,2,FALSE)+IF(AND(Calculator!B8=TRUE,Backdoors!BI13=TRUE),VLOOKUP(Calculator!E23,tbSkills!DH3:DJ6,3,FALSE),0),0))&gt;=100,100,(Backdoors!AI12+IF(BT8&gt;=0.45,VLOOKUP(Calculator!E23,tbSkills!DH3:DI6,2,FALSE)+IF(AND(Calculator!B8=TRUE,Backdoors!BI13=TRUE),VLOOKUP(Calculator!E23,tbSkills!DH3:DJ6,3,FALSE),0),0)))/100)),1))*IF(VLOOKUP(A8,tbMoveset!A2:K112,11,FALSE)=TRUE,Backdoors!AC5,1))*BU8,0),"")</f>
        <v>0</v>
      </c>
      <c r="BY8" s="49">
        <f>VLOOKUP(A8,tbMoveset!A2:G112,7,FALSE)*IFERROR(IF(Backdoors!AI12&gt;=0,1+(IF(Calculator!E40&gt;0,VLOOKUP(Calculator!E40,tbSkills!AI3:AJ5,2,FALSE),Backdoors!AL4)*(IF((Backdoors!AI12+IF(BT8&gt;=0.45,VLOOKUP(Calculator!E23,tbSkills!DH3:DI6,2,FALSE)+IF(AND(Calculator!B8=TRUE,Backdoors!BI13=TRUE),VLOOKUP(Calculator!E23,tbSkills!DH3:DJ6,3,FALSE),0),0))&gt;=100,100,(Backdoors!AI12+IF(BT8&gt;=0.45,VLOOKUP(Calculator!E23,tbSkills!DH3:DI6,2,FALSE)+IF(AND(Calculator!B8=TRUE,Backdoors!BI13=TRUE),VLOOKUP(Calculator!E23,tbSkills!DH3:DJ6,3,FALSE),0),0)))/100)),1),1)</f>
        <v>0.5</v>
      </c>
      <c r="BZ8" s="87">
        <f t="shared" si="5"/>
        <v>0</v>
      </c>
      <c r="CA8" s="86" t="str">
        <f>IFERROR(IF(VLOOKUP(A8,tbMoveset!A2:B112,2,FALSE)="Sever",Backdoors!AY14/100,IF(VLOOKUP(A8,tbMoveset!A2:B112,2,FALSE)="Blunt",Backdoors!AZ14/100,Backdoors!BA14/100)),"")</f>
        <v/>
      </c>
      <c r="CB8" s="49">
        <f>IFERROR(IF(VLOOKUP(tbMoveset!A8,tbMoveset!A2:H112,8,FALSE)="Other",IF(VLOOKUP(tbMoveset!A8,tbMoveset!A2:I112,9,FALSE)="Fire",Backdoors!BB14,IF(VLOOKUP(tbMoveset!A8,tbMoveset!A2:I112,9,FALSE)="Water",Backdoors!BC14,IF(VLOOKUP(tbMoveset!A8,tbMoveset!A2:I112,9,FALSE)="Thunder",Backdoors!BD14,IF(VLOOKUP(tbMoveset!A8,tbMoveset!A2:I112,9,FALSE)="Ice",Backdoors!BE14,IF(VLOOKUP(tbMoveset!A8,tbMoveset!A2:I112,9,FALSE)="Dragon",Backdoors!BF14,Backdoors!BG14)))))/100,Backdoors!BG14/100),"")</f>
        <v>0</v>
      </c>
      <c r="CC8" s="49">
        <f>IFERROR(IF(VLOOKUP(A8,tbMoveset!A2:J112,10,FALSE)=TRUE,IF((Backdoors!AI12+IF(CA8&gt;=0.45,VLOOKUP(Calculator!E23,tbSkills!DH3:DI6,2,FALSE)+IF(AND(Calculator!B8=TRUE,Backdoors!BI14=TRUE),VLOOKUP(Calculator!E23,tbSkills!DH3:DJ6,3,FALSE),0),0))&gt;=0,1+(Backdoors!AL2*(IF((Backdoors!AI12+IF(CA8&gt;=0.45,VLOOKUP(Calculator!E23,tbSkills!DH3:DI6,2,FALSE)+IF(AND(Calculator!B8=TRUE,Backdoors!BI14=TRUE),VLOOKUP(Calculator!E23,tbSkills!DH3:DJ6,3,FALSE),0),0))&gt;=100,100,(Backdoors!AI12+IF(CA8&gt;=0.45,VLOOKUP(Calculator!E23,tbSkills!DH3:DI6,2,FALSE)+IF(AND(Calculator!B8=TRUE,Backdoors!BI14=TRUE),VLOOKUP(Calculator!E23,tbSkills!DH3:DJ6,3,FALSE),0),0)))/100)),(1-(0.25*((-Backdoors!AI12-IF(CA8&gt;=0.45,VLOOKUP(Calculator!E23,tbSkills!DH3:DI6,2,FALSE)+IF(AND(Calculator!B8=TRUE,Backdoors!BI14=TRUE),VLOOKUP(Calculator!E23,tbSkills!DH3:DJ6,3,FALSE),0),0))/100)))),1),"")</f>
        <v>1</v>
      </c>
      <c r="CD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A8)*CC8)*(VLOOKUP(A8,tbMoveset!A2:C112,3,FALSE)/100)*IF(VLOOKUP(A8,tbMoveset!A2:B112,2,FALSE)="Projectile",Backdoors!N10,Backdoors!N9),0),"")</f>
        <v/>
      </c>
      <c r="CE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A8&gt;=0.45,VLOOKUP(Calculator!E23,tbSkills!DH3:DI6,2,FALSE)+IF(AND(Calculator!B8=TRUE,Backdoors!BI14=TRUE),VLOOKUP(Calculator!E23,tbSkills!DH3:DJ6,3,FALSE),0),0))&gt;=100,100,(Backdoors!AI12+IF(CA8&gt;=0.45,VLOOKUP(Calculator!E23,tbSkills!DH3:DI6,2,FALSE)+IF(AND(Calculator!B8=TRUE,Backdoors!BI14=TRUE),VLOOKUP(Calculator!E23,tbSkills!DH3:DJ6,3,FALSE),0),0)))/100)),1))*IF(VLOOKUP(A8,tbMoveset!A2:K112,11,FALSE)=TRUE,Backdoors!AC5,1))*CB8,0),"")</f>
        <v>0</v>
      </c>
      <c r="CF8" s="49">
        <f>VLOOKUP(A8,tbMoveset!A2:G112,7,FALSE)*IFERROR(IF(Backdoors!AI12&gt;=0,1+(IF(Calculator!E40&gt;0,VLOOKUP(Calculator!E40,tbSkills!AI3:AJ5,2,FALSE),Backdoors!AL4)*(IF((Backdoors!AI12+IF(CA8&gt;=0.45,VLOOKUP(Calculator!E23,tbSkills!DH3:DI6,2,FALSE)+IF(AND(Calculator!B8=TRUE,Backdoors!BI14=TRUE),VLOOKUP(Calculator!E23,tbSkills!DH3:DJ6,3,FALSE),0),0))&gt;=100,100,(Backdoors!AI12+IF(CA8&gt;=0.45,VLOOKUP(Calculator!E23,tbSkills!DH3:DI6,2,FALSE)+IF(AND(Calculator!B8=TRUE,Backdoors!BI14=TRUE),VLOOKUP(Calculator!E23,tbSkills!DH3:DJ6,3,FALSE),0),0)))/100)),1),1)</f>
        <v>0.5</v>
      </c>
      <c r="CG8" s="87">
        <f t="shared" si="6"/>
        <v>0</v>
      </c>
      <c r="CH8" s="86" t="str">
        <f>IFERROR(IF(VLOOKUP(A8,tbMoveset!A2:B112,2,FALSE)="Sever",Backdoors!AY15/100,IF(VLOOKUP(A8,tbMoveset!A2:B112,2,FALSE)="Blunt",Backdoors!AZ15/100,Backdoors!BA15/100)),"")</f>
        <v/>
      </c>
      <c r="CI8" s="49">
        <f>IFERROR(IF(VLOOKUP(tbMoveset!A8,tbMoveset!A2:H112,8,FALSE)="Other",IF(VLOOKUP(tbMoveset!A8,tbMoveset!A2:I112,9,FALSE)="Fire",Backdoors!BB15,IF(VLOOKUP(tbMoveset!A8,tbMoveset!A2:I112,9,FALSE)="Water",Backdoors!BC15,IF(VLOOKUP(tbMoveset!A8,tbMoveset!A2:I112,9,FALSE)="Thunder",Backdoors!BD15,IF(VLOOKUP(tbMoveset!A8,tbMoveset!A2:I112,9,FALSE)="Ice",Backdoors!BE15,IF(VLOOKUP(tbMoveset!A8,tbMoveset!A2:I112,9,FALSE)="Dragon",Backdoors!BF15,Backdoors!BG15)))))/100,Backdoors!BG15/100),"")</f>
        <v>0</v>
      </c>
      <c r="CJ8" s="49">
        <f>IFERROR(IF(VLOOKUP(A8,tbMoveset!A2:J112,10,FALSE)=TRUE,IF((Backdoors!AI12+IF(CH8&gt;=0.45,VLOOKUP(Calculator!E23,tbSkills!DH3:DI6,2,FALSE)+IF(AND(Calculator!B8=TRUE,Backdoors!BI15=TRUE),VLOOKUP(Calculator!E23,tbSkills!DH3:DJ6,3,FALSE),0),0))&gt;=0,1+(Backdoors!AL2*(IF((Backdoors!AI12+IF(CH8&gt;=0.45,VLOOKUP(Calculator!E23,tbSkills!DH3:DI6,2,FALSE)+IF(AND(Calculator!B8=TRUE,Backdoors!BI15=TRUE),VLOOKUP(Calculator!E23,tbSkills!DH3:DJ6,3,FALSE),0),0))&gt;=100,100,(Backdoors!AI12+IF(CH8&gt;=0.45,VLOOKUP(Calculator!E23,tbSkills!DH3:DI6,2,FALSE)+IF(AND(Calculator!B8=TRUE,Backdoors!BI15=TRUE),VLOOKUP(Calculator!E23,tbSkills!DH3:DJ6,3,FALSE),0),0)))/100)),(1-(0.25*((-Backdoors!AI12-IF(CH8&gt;=0.45,VLOOKUP(Calculator!E23,tbSkills!DH3:DI6,2,FALSE)+IF(AND(Calculator!B8=TRUE,Backdoors!BI15=TRUE),VLOOKUP(Calculator!E23,tbSkills!DH3:DJ6,3,FALSE),0),0))/100)))),1),"")</f>
        <v>1</v>
      </c>
      <c r="CK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H8)*CJ8)*(VLOOKUP(A8,tbMoveset!A2:C112,3,FALSE)/100)*IF(VLOOKUP(A8,tbMoveset!A2:B112,2,FALSE)="Projectile",Backdoors!N10,Backdoors!N9),0),"")</f>
        <v/>
      </c>
      <c r="CL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H8&gt;=0.45,VLOOKUP(Calculator!E23,tbSkills!DH3:DI6,2,FALSE)+IF(AND(Calculator!B8=TRUE,Backdoors!BI15=TRUE),VLOOKUP(Calculator!E23,tbSkills!DH3:DJ6,3,FALSE),0),0))&gt;=100,100,(Backdoors!AI12+IF(CH8&gt;=0.45,VLOOKUP(Calculator!E23,tbSkills!DH3:DI6,2,FALSE)+IF(AND(Calculator!B8=TRUE,Backdoors!BI15=TRUE),VLOOKUP(Calculator!E23,tbSkills!DH3:DJ6,3,FALSE),0),0)))/100)),1))*IF(VLOOKUP(A8,tbMoveset!A2:K112,11,FALSE)=TRUE,Backdoors!AC5,1))*CI8,0),"")</f>
        <v>0</v>
      </c>
      <c r="CM8" s="49">
        <f>VLOOKUP(A8,tbMoveset!A2:G112,7,FALSE)*IFERROR(IF(Backdoors!AI12&gt;=0,1+(IF(Calculator!E40&gt;0,VLOOKUP(Calculator!E40,tbSkills!AI3:AJ5,2,FALSE),Backdoors!AL4)*(IF((Backdoors!AI12+IF(CH8&gt;=0.45,VLOOKUP(Calculator!E23,tbSkills!DH3:DI6,2,FALSE)+IF(AND(Calculator!B8=TRUE,Backdoors!BI15=TRUE),VLOOKUP(Calculator!E23,tbSkills!DH3:DJ6,3,FALSE),0),0))&gt;=100,100,(Backdoors!AI12+IF(CH8&gt;=0.45,VLOOKUP(Calculator!E23,tbSkills!DH3:DI6,2,FALSE)+IF(AND(Calculator!B8=TRUE,Backdoors!BI15=TRUE),VLOOKUP(Calculator!E23,tbSkills!DH3:DJ6,3,FALSE),0),0)))/100)),1),1)</f>
        <v>0.5</v>
      </c>
      <c r="CN8" s="87">
        <f t="shared" si="7"/>
        <v>0</v>
      </c>
      <c r="CO8" s="86" t="str">
        <f>IFERROR(IF(VLOOKUP(A8,tbMoveset!A2:B112,2,FALSE)="Sever",Backdoors!AY16/100,IF(VLOOKUP(A8,tbMoveset!A2:B112,2,FALSE)="Blunt",Backdoors!AZ16/100,Backdoors!BA16/100)),"")</f>
        <v/>
      </c>
      <c r="CP8" s="49">
        <f>IFERROR(IF(VLOOKUP(tbMoveset!A8,tbMoveset!A2:H112,8,FALSE)="Other",IF(VLOOKUP(tbMoveset!A8,tbMoveset!A2:I112,9,FALSE)="Fire",Backdoors!BB16,IF(VLOOKUP(tbMoveset!A8,tbMoveset!A2:I112,9,FALSE)="Water",Backdoors!BC16,IF(VLOOKUP(tbMoveset!A8,tbMoveset!A2:I112,9,FALSE)="Thunder",Backdoors!BD16,IF(VLOOKUP(tbMoveset!A8,tbMoveset!A2:I112,9,FALSE)="Ice",Backdoors!BE16,IF(VLOOKUP(tbMoveset!A8,tbMoveset!A2:I112,9,FALSE)="Dragon",Backdoors!BF16,Backdoors!BG16)))))/100,Backdoors!BG16/100),"")</f>
        <v>0</v>
      </c>
      <c r="CQ8" s="49">
        <f>IFERROR(IF(VLOOKUP(A8,tbMoveset!A2:J112,10,FALSE)=TRUE,IF((Backdoors!AI12+IF(CO8&gt;=0.45,VLOOKUP(Calculator!E23,tbSkills!DH3:DI6,2,FALSE)+IF(AND(Calculator!B8=TRUE,Backdoors!BI16=TRUE),VLOOKUP(Calculator!E23,tbSkills!DH3:DJ6,3,FALSE),0),0))&gt;=0,1+(Backdoors!AL2*(IF((Backdoors!AI12+IF(CO8&gt;=0.45,VLOOKUP(Calculator!E23,tbSkills!DH3:DI6,2,FALSE)+IF(AND(Calculator!B8=TRUE,Backdoors!BI16=TRUE),VLOOKUP(Calculator!E23,tbSkills!DH3:DJ6,3,FALSE),0),0))&gt;=100,100,(Backdoors!AI12+IF(CO8&gt;=0.45,VLOOKUP(Calculator!E23,tbSkills!DH3:DI6,2,FALSE)+IF(AND(Calculator!B8=TRUE,Backdoors!BI16=TRUE),VLOOKUP(Calculator!E23,tbSkills!DH3:DJ6,3,FALSE),0),0)))/100)),(1-(0.25*((-Backdoors!AI12-IF(CO8&gt;=0.45,VLOOKUP(Calculator!E23,tbSkills!DH3:DI6,2,FALSE)+IF(AND(Calculator!B8=TRUE,Backdoors!BI16=TRUE),VLOOKUP(Calculator!E23,tbSkills!DH3:DJ6,3,FALSE),0),0))/100)))),1),"")</f>
        <v>1</v>
      </c>
      <c r="CR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O8)*CQ8)*(VLOOKUP(A8,tbMoveset!A2:C112,3,FALSE)/100)*IF(VLOOKUP(A8,tbMoveset!A2:B112,2,FALSE)="Projectile",Backdoors!N10,Backdoors!N9),0),"")</f>
        <v/>
      </c>
      <c r="CS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O8&gt;=0.45,VLOOKUP(Calculator!E23,tbSkills!DH3:DI6,2,FALSE)+IF(AND(Calculator!B8=TRUE,Backdoors!BI16=TRUE),VLOOKUP(Calculator!E23,tbSkills!DH3:DJ6,3,FALSE),0),0))&gt;=100,100,(Backdoors!AI12+IF(CO8&gt;=0.45,VLOOKUP(Calculator!E23,tbSkills!DH3:DI6,2,FALSE)+IF(AND(Calculator!B8=TRUE,Backdoors!BI16=TRUE),VLOOKUP(Calculator!E23,tbSkills!DH3:DJ6,3,FALSE),0),0)))/100)),1))*IF(VLOOKUP(A8,tbMoveset!A2:K112,11,FALSE)=TRUE,Backdoors!AC5,1))*CP8,0),"")</f>
        <v>0</v>
      </c>
      <c r="CT8" s="49">
        <f>VLOOKUP(A8,tbMoveset!A2:G112,7,FALSE)*IFERROR(IF(Backdoors!AI12&gt;=0,1+(IF(Calculator!E40&gt;0,VLOOKUP(Calculator!E40,tbSkills!AI3:AJ5,2,FALSE),Backdoors!AL4)*(IF((Backdoors!AI12+IF(CO8&gt;=0.45,VLOOKUP(Calculator!E23,tbSkills!DH3:DI6,2,FALSE)+IF(AND(Calculator!B8=TRUE,Backdoors!BI16=TRUE),VLOOKUP(Calculator!E23,tbSkills!DH3:DJ6,3,FALSE),0),0))&gt;=100,100,(Backdoors!AI12+IF(CO8&gt;=0.45,VLOOKUP(Calculator!E23,tbSkills!DH3:DI6,2,FALSE)+IF(AND(Calculator!B8=TRUE,Backdoors!BI16=TRUE),VLOOKUP(Calculator!E23,tbSkills!DH3:DJ6,3,FALSE),0),0)))/100)),1),1)</f>
        <v>0.5</v>
      </c>
      <c r="CU8" s="87">
        <f t="shared" si="40"/>
        <v>0</v>
      </c>
      <c r="CV8" s="86" t="str">
        <f>IFERROR(IF(VLOOKUP(A8,tbMoveset!A2:B112,2,FALSE)="Sever",Backdoors!AY17/100,IF(VLOOKUP(A8,tbMoveset!A2:B112,2,FALSE)="Blunt",Backdoors!AZ17/100,Backdoors!BA17/100)),"")</f>
        <v/>
      </c>
      <c r="CW8" s="49">
        <f>IFERROR(IF(VLOOKUP(tbMoveset!A8,tbMoveset!A2:H112,8,FALSE)="Other",IF(VLOOKUP(tbMoveset!A8,tbMoveset!A2:I112,9,FALSE)="Fire",Backdoors!BB17,IF(VLOOKUP(tbMoveset!A8,tbMoveset!A2:I112,9,FALSE)="Water",Backdoors!BC17,IF(VLOOKUP(tbMoveset!A8,tbMoveset!A2:I112,9,FALSE)="Thunder",Backdoors!BD17,IF(VLOOKUP(tbMoveset!A8,tbMoveset!A2:I112,9,FALSE)="Ice",Backdoors!BE17,IF(VLOOKUP(tbMoveset!A8,tbMoveset!A2:I112,9,FALSE)="Dragon",Backdoors!BF17,Backdoors!BG17)))))/100,Backdoors!BG17/100),"")</f>
        <v>0</v>
      </c>
      <c r="CX8" s="49">
        <f>IFERROR(IF(VLOOKUP(A8,tbMoveset!A2:J112,10,FALSE)=TRUE,IF((Backdoors!AI12+IF(CV8&gt;=0.45,VLOOKUP(Calculator!E23,tbSkills!DH3:DI6,2,FALSE)+IF(AND(Calculator!B8=TRUE,Backdoors!BI17=TRUE),VLOOKUP(Calculator!E23,tbSkills!DH3:DJ6,3,FALSE),0),0))&gt;=0,1+(Backdoors!AL2*(IF((Backdoors!AI12+IF(CV8&gt;=0.45,VLOOKUP(Calculator!E23,tbSkills!DH3:DI6,2,FALSE)+IF(AND(Calculator!B8=TRUE,Backdoors!BI17=TRUE),VLOOKUP(Calculator!E23,tbSkills!DH3:DJ6,3,FALSE),0),0))&gt;=100,100,(Backdoors!AI12+IF(CV8&gt;=0.45,VLOOKUP(Calculator!E23,tbSkills!DH3:DI6,2,FALSE)+IF(AND(Calculator!B8=TRUE,Backdoors!BI17=TRUE),VLOOKUP(Calculator!E23,tbSkills!DH3:DJ6,3,FALSE),0),0)))/100)),(1-(0.25*((-Backdoors!AI12-IF(CV8&gt;=0.45,VLOOKUP(Calculator!E23,tbSkills!DH3:DI6,2,FALSE)+IF(AND(Calculator!B8=TRUE,Backdoors!BI17=TRUE),VLOOKUP(Calculator!E23,tbSkills!DH3:DJ6,3,FALSE),0),0))/100)))),1),"")</f>
        <v>1</v>
      </c>
      <c r="CY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V8)*CX8)*(VLOOKUP(A8,tbMoveset!A2:C112,3,FALSE)/100)*IF(VLOOKUP(A8,tbMoveset!A2:B112,2,FALSE)="Projectile",Backdoors!N10,Backdoors!N9),0),"")</f>
        <v/>
      </c>
      <c r="CZ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V8&gt;=0.45,VLOOKUP(Calculator!E23,tbSkills!DH3:DI6,2,FALSE)+IF(AND(Calculator!B8=TRUE,Backdoors!BI17=TRUE),VLOOKUP(Calculator!E23,tbSkills!DH3:DJ6,3,FALSE),0),0))&gt;=100,100,(Backdoors!AI12+IF(CV8&gt;=0.45,VLOOKUP(Calculator!E23,tbSkills!DH3:DI6,2,FALSE)+IF(AND(Calculator!B8=TRUE,Backdoors!BI17=TRUE),VLOOKUP(Calculator!E23,tbSkills!DH3:DJ6,3,FALSE),0),0)))/100)),1))*IF(VLOOKUP(A8,tbMoveset!A2:K112,11,FALSE)=TRUE,Backdoors!AC5,1))*CW8,0),"")</f>
        <v>0</v>
      </c>
      <c r="DA8" s="49">
        <f>VLOOKUP(A8,tbMoveset!A2:G112,7,FALSE)*IFERROR(IF(Backdoors!AI12&gt;=0,1+(IF(Calculator!E40&gt;0,VLOOKUP(Calculator!E40,tbSkills!AI3:AJ5,2,FALSE),Backdoors!AL4)*(IF((Backdoors!AI12+IF(CV8&gt;=0.45,VLOOKUP(Calculator!E23,tbSkills!DH3:DI6,2,FALSE)+IF(AND(Calculator!B8=TRUE,Backdoors!BI17=TRUE),VLOOKUP(Calculator!E23,tbSkills!DH3:DJ6,3,FALSE),0),0))&gt;=100,100,(Backdoors!AI12+IF(CV8&gt;=0.45,VLOOKUP(Calculator!E23,tbSkills!DH3:DI6,2,FALSE)+IF(AND(Calculator!B8=TRUE,Backdoors!BI17=TRUE),VLOOKUP(Calculator!E23,tbSkills!DH3:DJ6,3,FALSE),0),0)))/100)),1),1)</f>
        <v>0.5</v>
      </c>
      <c r="DB8" s="87">
        <f t="shared" si="8"/>
        <v>0</v>
      </c>
      <c r="DC8" s="86" t="str">
        <f>IFERROR(IF(VLOOKUP(A8,tbMoveset!A2:B112,2,FALSE)="Sever",Backdoors!AY18/100,IF(VLOOKUP(A8,tbMoveset!A2:B112,2,FALSE)="Blunt",Backdoors!AZ18/100,Backdoors!BA18/100)),"")</f>
        <v/>
      </c>
      <c r="DD8" s="49">
        <f>IFERROR(IF(VLOOKUP(tbMoveset!A8,tbMoveset!A2:H112,8,FALSE)="Other",IF(VLOOKUP(tbMoveset!A8,tbMoveset!A2:I112,9,FALSE)="Fire",Backdoors!BB18,IF(VLOOKUP(tbMoveset!A8,tbMoveset!A2:I112,9,FALSE)="Water",Backdoors!BC18,IF(VLOOKUP(tbMoveset!A8,tbMoveset!A2:I112,9,FALSE)="Thunder",Backdoors!BD18,IF(VLOOKUP(tbMoveset!A8,tbMoveset!A2:I112,9,FALSE)="Ice",Backdoors!BE18,IF(VLOOKUP(tbMoveset!A8,tbMoveset!A2:I112,9,FALSE)="Dragon",Backdoors!BF18,Backdoors!BG18)))))/100,Backdoors!BG18/100),"")</f>
        <v>0</v>
      </c>
      <c r="DE8" s="49">
        <f>IFERROR(IF(VLOOKUP(A8,tbMoveset!A2:J112,10,FALSE)=TRUE,IF((Backdoors!AI12+IF(DC8&gt;=0.45,VLOOKUP(Calculator!E23,tbSkills!DH3:DI6,2,FALSE)+IF(AND(Calculator!B8=TRUE,Backdoors!BI18=TRUE),VLOOKUP(Calculator!E23,tbSkills!DH3:DJ6,3,FALSE),0),0))&gt;=0,1+(Backdoors!AL2*(IF((Backdoors!AI12+IF(DC8&gt;=0.45,VLOOKUP(Calculator!E23,tbSkills!DH3:DI6,2,FALSE)+IF(AND(Calculator!B8=TRUE,Backdoors!BI18=TRUE),VLOOKUP(Calculator!E23,tbSkills!DH3:DJ6,3,FALSE),0),0))&gt;=100,100,(Backdoors!AI12+IF(DC8&gt;=0.45,VLOOKUP(Calculator!E23,tbSkills!DH3:DI6,2,FALSE)+IF(AND(Calculator!B8=TRUE,Backdoors!BI18=TRUE),VLOOKUP(Calculator!E23,tbSkills!DH3:DJ6,3,FALSE),0),0)))/100)),(1-(0.25*((-Backdoors!AI12-IF(DC8&gt;=0.45,VLOOKUP(Calculator!E23,tbSkills!DH3:DI6,2,FALSE)+IF(AND(Calculator!B8=TRUE,Backdoors!BI18=TRUE),VLOOKUP(Calculator!E23,tbSkills!DH3:DJ6,3,FALSE),0),0))/100)))),1),"")</f>
        <v>1</v>
      </c>
      <c r="DF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C8)*DE8)*(VLOOKUP(A8,tbMoveset!A2:C112,3,FALSE)/100)*IF(VLOOKUP(A8,tbMoveset!A2:B112,2,FALSE)="Projectile",Backdoors!N10,Backdoors!N9),0),"")</f>
        <v/>
      </c>
      <c r="DG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C8&gt;=0.45,VLOOKUP(Calculator!E23,tbSkills!DH3:DI6,2,FALSE)+IF(AND(Calculator!B8=TRUE,Backdoors!BI18=TRUE),VLOOKUP(Calculator!E23,tbSkills!DH3:DJ6,3,FALSE),0),0))&gt;=100,100,(Backdoors!AI12+IF(DC8&gt;=0.45,VLOOKUP(Calculator!E23,tbSkills!DH3:DI6,2,FALSE)+IF(AND(Calculator!B8=TRUE,Backdoors!BI18=TRUE),VLOOKUP(Calculator!E23,tbSkills!DH3:DJ6,3,FALSE),0),0)))/100)),1))*IF(VLOOKUP(A8,tbMoveset!A2:K112,11,FALSE)=TRUE,Backdoors!AC5,1))*DD8,0),"")</f>
        <v>0</v>
      </c>
      <c r="DH8" s="49">
        <f>VLOOKUP(A8,tbMoveset!A2:G112,7,FALSE)*IFERROR(IF(Backdoors!AI12&gt;=0,1+(IF(Calculator!E40&gt;0,VLOOKUP(Calculator!E40,tbSkills!AI3:AJ5,2,FALSE),Backdoors!AL4)*(IF((Backdoors!AI12+IF(DC8&gt;=0.45,VLOOKUP(Calculator!E23,tbSkills!DH3:DI6,2,FALSE)+IF(AND(Calculator!B8=TRUE,Backdoors!BI18=TRUE),VLOOKUP(Calculator!E23,tbSkills!DH3:DJ6,3,FALSE),0),0))&gt;=100,100,(Backdoors!AI12+IF(DC8&gt;=0.45,VLOOKUP(Calculator!E23,tbSkills!DH3:DI6,2,FALSE)+IF(AND(Calculator!B8=TRUE,Backdoors!BI18=TRUE),VLOOKUP(Calculator!E23,tbSkills!DH3:DJ6,3,FALSE),0),0)))/100)),1),1)</f>
        <v>0.5</v>
      </c>
      <c r="DI8" s="87">
        <f t="shared" si="9"/>
        <v>0</v>
      </c>
      <c r="DJ8" s="86" t="str">
        <f>IFERROR(IF(VLOOKUP(A8,tbMoveset!A2:B112,2,FALSE)="Sever",Backdoors!AY19/100,IF(VLOOKUP(A8,tbMoveset!A2:B112,2,FALSE)="Blunt",Backdoors!AZ19/100,Backdoors!BA19/100)),"")</f>
        <v/>
      </c>
      <c r="DK8" s="49">
        <f>IFERROR(IF(VLOOKUP(tbMoveset!A8,tbMoveset!A2:H112,8,FALSE)="Other",IF(VLOOKUP(tbMoveset!A8,tbMoveset!A2:I112,9,FALSE)="Fire",Backdoors!BB19,IF(VLOOKUP(tbMoveset!A8,tbMoveset!A2:I112,9,FALSE)="Water",Backdoors!BC19,IF(VLOOKUP(tbMoveset!A8,tbMoveset!A2:I112,9,FALSE)="Thunder",Backdoors!BD19,IF(VLOOKUP(tbMoveset!A8,tbMoveset!A2:I112,9,FALSE)="Ice",Backdoors!BE19,IF(VLOOKUP(tbMoveset!A8,tbMoveset!A2:I112,9,FALSE)="Dragon",Backdoors!BF19,Backdoors!BG19)))))/100,Backdoors!BG19/100),"")</f>
        <v>0</v>
      </c>
      <c r="DL8" s="49">
        <f>IFERROR(IF(VLOOKUP(A8,tbMoveset!A2:J112,10,FALSE)=TRUE,IF((Backdoors!AI12+IF(DJ8&gt;=0.45,VLOOKUP(Calculator!E23,tbSkills!DH3:DI6,2,FALSE)+IF(AND(Calculator!B8=TRUE,Backdoors!BI19=TRUE),VLOOKUP(Calculator!E23,tbSkills!DH3:DJ6,3,FALSE),0),0))&gt;=0,1+(Backdoors!AL2*(IF((Backdoors!AI12+IF(DJ8&gt;=0.45,VLOOKUP(Calculator!E23,tbSkills!DH3:DI6,2,FALSE)+IF(AND(Calculator!B8=TRUE,Backdoors!BI19=TRUE),VLOOKUP(Calculator!E23,tbSkills!DH3:DJ6,3,FALSE),0),0))&gt;=100,100,(Backdoors!AI12+IF(DJ8&gt;=0.45,VLOOKUP(Calculator!E23,tbSkills!DH3:DI6,2,FALSE)+IF(AND(Calculator!B8=TRUE,Backdoors!BI19=TRUE),VLOOKUP(Calculator!E23,tbSkills!DH3:DJ6,3,FALSE),0),0)))/100)),(1-(0.25*((-Backdoors!AI12-IF(DJ8&gt;=0.45,VLOOKUP(Calculator!E23,tbSkills!DH3:DI6,2,FALSE)+IF(AND(Calculator!B8=TRUE,Backdoors!BI19=TRUE),VLOOKUP(Calculator!E23,tbSkills!DH3:DJ6,3,FALSE),0),0))/100)))),1),"")</f>
        <v>1</v>
      </c>
      <c r="DM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J8)*DL8)*(VLOOKUP(A8,tbMoveset!A2:C112,3,FALSE)/100)*IF(VLOOKUP(A8,tbMoveset!A2:B112,2,FALSE)="Projectile",Backdoors!N10,Backdoors!N9),0),"")</f>
        <v/>
      </c>
      <c r="DN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J8&gt;=0.45,VLOOKUP(Calculator!E23,tbSkills!DH3:DI6,2,FALSE)+IF(AND(Calculator!B8=TRUE,Backdoors!BI19=TRUE),VLOOKUP(Calculator!E23,tbSkills!DH3:DJ6,3,FALSE),0),0))&gt;=100,100,(Backdoors!AI12+IF(DJ8&gt;=0.45,VLOOKUP(Calculator!E23,tbSkills!DH3:DI6,2,FALSE)+IF(AND(Calculator!B8=TRUE,Backdoors!BI19=TRUE),VLOOKUP(Calculator!E23,tbSkills!DH3:DJ6,3,FALSE),0),0)))/100)),1))*IF(VLOOKUP(A8,tbMoveset!A2:K112,11,FALSE)=TRUE,Backdoors!AC5,1))*DK8,0),"")</f>
        <v>0</v>
      </c>
      <c r="DO8" s="49">
        <f>VLOOKUP(A8,tbMoveset!A2:G112,7,FALSE)*IFERROR(IF(Backdoors!AI12&gt;=0,1+(IF(Calculator!E40&gt;0,VLOOKUP(Calculator!E40,tbSkills!AI3:AJ5,2,FALSE),Backdoors!AL4)*(IF((Backdoors!AI12+IF(DJ8&gt;=0.45,VLOOKUP(Calculator!E23,tbSkills!DH3:DI6,2,FALSE)+IF(AND(Calculator!B8=TRUE,Backdoors!BI19=TRUE),VLOOKUP(Calculator!E23,tbSkills!DH3:DJ6,3,FALSE),0),0))&gt;=100,100,(Backdoors!AI12+IF(DJ8&gt;=0.45,VLOOKUP(Calculator!E23,tbSkills!DH3:DI6,2,FALSE)+IF(AND(Calculator!B8=TRUE,Backdoors!BI19=TRUE),VLOOKUP(Calculator!E23,tbSkills!DH3:DJ6,3,FALSE),0),0)))/100)),1),1)</f>
        <v>0.5</v>
      </c>
      <c r="DP8" s="87">
        <f t="shared" si="41"/>
        <v>0</v>
      </c>
      <c r="DQ8" s="86" t="str">
        <f>IFERROR(IF(VLOOKUP(A8,tbMoveset!A2:B112,2,FALSE)="Sever",Backdoors!AY20/100,IF(VLOOKUP(A8,tbMoveset!A2:B112,2,FALSE)="Blunt",Backdoors!AZ20/100,Backdoors!BA20/100)),"")</f>
        <v/>
      </c>
      <c r="DR8" s="49">
        <f>IFERROR(IF(VLOOKUP(tbMoveset!A8,tbMoveset!A2:H112,8,FALSE)="Other",IF(VLOOKUP(tbMoveset!A8,tbMoveset!A2:I112,9,FALSE)="Fire",Backdoors!BB20,IF(VLOOKUP(tbMoveset!A8,tbMoveset!A2:I112,9,FALSE)="Water",Backdoors!BC20,IF(VLOOKUP(tbMoveset!A8,tbMoveset!A2:I112,9,FALSE)="Thunder",Backdoors!BD20,IF(VLOOKUP(tbMoveset!A8,tbMoveset!A2:I112,9,FALSE)="Ice",Backdoors!BE20,IF(VLOOKUP(tbMoveset!A8,tbMoveset!A2:I112,9,FALSE)="Dragon",Backdoors!BF20,Backdoors!BG20)))))/100,Backdoors!BG20/100),"")</f>
        <v>0</v>
      </c>
      <c r="DS8" s="49">
        <f>IFERROR(IF(VLOOKUP(A8,tbMoveset!A2:J112,10,FALSE)=TRUE,IF((Backdoors!AI12+IF(DQ8&gt;=0.45,VLOOKUP(Calculator!E23,tbSkills!DH3:DI6,2,FALSE)+IF(AND(Calculator!B8=TRUE,Backdoors!BI20=TRUE),VLOOKUP(Calculator!E23,tbSkills!DH3:DJ6,3,FALSE),0),0))&gt;=0,1+(Backdoors!AL2*(IF((Backdoors!AI12+IF(DQ8&gt;=0.45,VLOOKUP(Calculator!E23,tbSkills!DH3:DI6,2,FALSE)+IF(AND(Calculator!B8=TRUE,Backdoors!BI20=TRUE),VLOOKUP(Calculator!E23,tbSkills!DH3:DJ6,3,FALSE),0),0))&gt;=100,100,(Backdoors!AI12+IF(DQ8&gt;=0.45,VLOOKUP(Calculator!E23,tbSkills!DH3:DI6,2,FALSE)+IF(AND(Calculator!B8=TRUE,Backdoors!BI20=TRUE),VLOOKUP(Calculator!E23,tbSkills!DH3:DJ6,3,FALSE),0),0)))/100)),(1-(0.25*((-Backdoors!AI12-IF(DQ8&gt;=0.45,VLOOKUP(Calculator!E23,tbSkills!DH3:DI6,2,FALSE)+IF(AND(Calculator!B8=TRUE,Backdoors!BI20=TRUE),VLOOKUP(Calculator!E23,tbSkills!DH3:DJ6,3,FALSE),0),0))/100)))),1),"")</f>
        <v>1</v>
      </c>
      <c r="DT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Q8)*DS8)*(VLOOKUP(A8,tbMoveset!A2:C112,3,FALSE)/100)*IF(VLOOKUP(A8,tbMoveset!A2:B112,2,FALSE)="Projectile",Backdoors!N10,Backdoors!N9),0),"")</f>
        <v/>
      </c>
      <c r="DU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Q8&gt;=0.45,VLOOKUP(Calculator!E23,tbSkills!DH3:DI6,2,FALSE)+IF(AND(Calculator!B8=TRUE,Backdoors!BI20=TRUE),VLOOKUP(Calculator!E23,tbSkills!DH3:DJ6,3,FALSE),0),0))&gt;=100,100,(Backdoors!AI12+IF(DQ8&gt;=0.45,VLOOKUP(Calculator!E23,tbSkills!DH3:DI6,2,FALSE)+IF(AND(Calculator!B8=TRUE,Backdoors!BI20=TRUE),VLOOKUP(Calculator!E23,tbSkills!DH3:DJ6,3,FALSE),0),0)))/100)),1))*IF(VLOOKUP(A8,tbMoveset!A2:K112,11,FALSE)=TRUE,Backdoors!AC5,1))*DR8,0),"")</f>
        <v>0</v>
      </c>
      <c r="DV8" s="49">
        <f>VLOOKUP(A8,tbMoveset!A2:G112,7,FALSE)*IFERROR(IF(Backdoors!AI12&gt;=0,1+(IF(Calculator!E40&gt;0,VLOOKUP(Calculator!E40,tbSkills!AI3:AJ5,2,FALSE),Backdoors!AL4)*(IF((Backdoors!AI12+IF(DQ8&gt;=0.45,VLOOKUP(Calculator!E23,tbSkills!DH3:DI6,2,FALSE)+IF(AND(Calculator!B8=TRUE,Backdoors!BI20=TRUE),VLOOKUP(Calculator!E23,tbSkills!DH3:DJ6,3,FALSE),0),0))&gt;=100,100,(Backdoors!AI12+IF(DQ8&gt;=0.45,VLOOKUP(Calculator!E23,tbSkills!DH3:DI6,2,FALSE)+IF(AND(Calculator!B8=TRUE,Backdoors!BI20=TRUE),VLOOKUP(Calculator!E23,tbSkills!DH3:DJ6,3,FALSE),0),0)))/100)),1),1)</f>
        <v>0.5</v>
      </c>
      <c r="DW8" s="87">
        <f t="shared" si="10"/>
        <v>0</v>
      </c>
      <c r="DX8" s="86" t="str">
        <f>IFERROR(IF(VLOOKUP(A8,tbMoveset!A2:B112,2,FALSE)="Sever",Backdoors!AY21/100,IF(VLOOKUP(A8,tbMoveset!A2:B112,2,FALSE)="Blunt",Backdoors!AZ21/100,Backdoors!BA21/100)),"")</f>
        <v/>
      </c>
      <c r="DY8" s="49">
        <f>IFERROR(IF(VLOOKUP(tbMoveset!A8,tbMoveset!A2:H112,8,FALSE)="Other",IF(VLOOKUP(tbMoveset!A8,tbMoveset!A2:I112,9,FALSE)="Fire",Backdoors!BB21,IF(VLOOKUP(tbMoveset!A8,tbMoveset!A2:I112,9,FALSE)="Water",Backdoors!BC21,IF(VLOOKUP(tbMoveset!A8,tbMoveset!A2:I112,9,FALSE)="Thunder",Backdoors!BD21,IF(VLOOKUP(tbMoveset!A8,tbMoveset!A2:I112,9,FALSE)="Ice",Backdoors!BE21,IF(VLOOKUP(tbMoveset!A8,tbMoveset!A2:I112,9,FALSE)="Dragon",Backdoors!BF21,Backdoors!BG21)))))/100,Backdoors!BG21/100),"")</f>
        <v>0</v>
      </c>
      <c r="DZ8" s="49">
        <f>IFERROR(IF(VLOOKUP(A8,tbMoveset!A2:J112,10,FALSE)=TRUE,IF((Backdoors!AI12+IF(DX8&gt;=0.45,VLOOKUP(Calculator!E23,tbSkills!DH3:DI6,2,FALSE)+IF(AND(Calculator!B8=TRUE,Backdoors!BI21=TRUE),VLOOKUP(Calculator!E23,tbSkills!DH3:DJ6,3,FALSE),0),0))&gt;=0,1+(Backdoors!AL2*(IF((Backdoors!AI12+IF(DX8&gt;=0.45,VLOOKUP(Calculator!E23,tbSkills!DH3:DI6,2,FALSE)+IF(AND(Calculator!B8=TRUE,Backdoors!BI21=TRUE),VLOOKUP(Calculator!E23,tbSkills!DH3:DJ6,3,FALSE),0),0))&gt;=100,100,(Backdoors!AI12+IF(DX8&gt;=0.45,VLOOKUP(Calculator!E23,tbSkills!DH3:DI6,2,FALSE)+IF(AND(Calculator!B8=TRUE,Backdoors!BI21=TRUE),VLOOKUP(Calculator!E23,tbSkills!DH3:DJ6,3,FALSE),0),0)))/100)),(1-(0.25*((-Backdoors!AI12-IF(DX8&gt;=0.45,VLOOKUP(Calculator!E23,tbSkills!DH3:DI6,2,FALSE)+IF(AND(Calculator!B8=TRUE,Backdoors!BI21=TRUE),VLOOKUP(Calculator!E23,tbSkills!DH3:DJ6,3,FALSE),0),0))/100)))),1),"")</f>
        <v>1</v>
      </c>
      <c r="EA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X8)*DZ8)*(VLOOKUP(A8,tbMoveset!A2:C112,3,FALSE)/100)*IF(VLOOKUP(A8,tbMoveset!A2:B112,2,FALSE)="Projectile",Backdoors!N10,Backdoors!N9),0),"")</f>
        <v/>
      </c>
      <c r="EB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X8&gt;=0.45,VLOOKUP(Calculator!E23,tbSkills!DH3:DI6,2,FALSE)+IF(AND(Calculator!B8=TRUE,Backdoors!BI21=TRUE),VLOOKUP(Calculator!E23,tbSkills!DH3:DJ6,3,FALSE),0),0))&gt;=100,100,(Backdoors!AI12+IF(DX8&gt;=0.45,VLOOKUP(Calculator!E23,tbSkills!DH3:DI6,2,FALSE)+IF(AND(Calculator!B8=TRUE,Backdoors!BI21=TRUE),VLOOKUP(Calculator!E23,tbSkills!DH3:DJ6,3,FALSE),0),0)))/100)),1))*IF(VLOOKUP(A8,tbMoveset!A2:K112,11,FALSE)=TRUE,Backdoors!AC5,1))*DY8,0),"")</f>
        <v>0</v>
      </c>
      <c r="EC8" s="49">
        <f>VLOOKUP(A8,tbMoveset!A2:G112,7,FALSE)*IFERROR(IF(Backdoors!AI12&gt;=0,1+(IF(Calculator!E40&gt;0,VLOOKUP(Calculator!E40,tbSkills!AI3:AJ5,2,FALSE),Backdoors!AL4)*(IF((Backdoors!AI12+IF(DX8&gt;=0.45,VLOOKUP(Calculator!E23,tbSkills!DH3:DI6,2,FALSE)+IF(AND(Calculator!B8=TRUE,Backdoors!BI21=TRUE),VLOOKUP(Calculator!E23,tbSkills!DH3:DJ6,3,FALSE),0),0))&gt;=100,100,(Backdoors!AI12+IF(DX8&gt;=0.45,VLOOKUP(Calculator!E23,tbSkills!DH3:DI6,2,FALSE)+IF(AND(Calculator!B8=TRUE,Backdoors!BI21=TRUE),VLOOKUP(Calculator!E23,tbSkills!DH3:DJ6,3,FALSE),0),0)))/100)),1),1)</f>
        <v>0.5</v>
      </c>
      <c r="ED8" s="87">
        <f t="shared" si="11"/>
        <v>0</v>
      </c>
      <c r="EE8" s="86" t="str">
        <f>IFERROR(IF(VLOOKUP(A8,tbMoveset!A2:B112,2,FALSE)="Sever",Backdoors!AY22/100,IF(VLOOKUP(A8,tbMoveset!A2:B112,2,FALSE)="Blunt",Backdoors!AZ22/100,Backdoors!BA22/100)),"")</f>
        <v/>
      </c>
      <c r="EF8" s="49">
        <f>IFERROR(IF(VLOOKUP(tbMoveset!A8,tbMoveset!A2:H112,8,FALSE)="Other",IF(VLOOKUP(tbMoveset!A8,tbMoveset!A2:I112,9,FALSE)="Fire",Backdoors!BB22,IF(VLOOKUP(tbMoveset!A8,tbMoveset!A2:I112,9,FALSE)="Water",Backdoors!BC22,IF(VLOOKUP(tbMoveset!A8,tbMoveset!A2:I112,9,FALSE)="Thunder",Backdoors!BD22,IF(VLOOKUP(tbMoveset!A8,tbMoveset!A2:I112,9,FALSE)="Ice",Backdoors!BE22,IF(VLOOKUP(tbMoveset!A8,tbMoveset!A2:I112,9,FALSE)="Dragon",Backdoors!BF22,Backdoors!BG22)))))/100,Backdoors!BG22/100),"")</f>
        <v>0</v>
      </c>
      <c r="EG8" s="49">
        <f>IFERROR(IF(VLOOKUP(A8,tbMoveset!A2:J112,10,FALSE)=TRUE,IF((Backdoors!AI12+IF(EE8&gt;=0.45,VLOOKUP(Calculator!E23,tbSkills!DH3:DI6,2,FALSE)+IF(AND(Calculator!B8=TRUE,Backdoors!BI22=TRUE),VLOOKUP(Calculator!E23,tbSkills!DH3:DJ6,3,FALSE),0),0))&gt;=0,1+(Backdoors!AL2*(IF((Backdoors!AI12+IF(EE8&gt;=0.45,VLOOKUP(Calculator!E23,tbSkills!DH3:DI6,2,FALSE)+IF(AND(Calculator!B8=TRUE,Backdoors!BI22=TRUE),VLOOKUP(Calculator!E23,tbSkills!DH3:DJ6,3,FALSE),0),0))&gt;=100,100,(Backdoors!AI12+IF(EE8&gt;=0.45,VLOOKUP(Calculator!E23,tbSkills!DH3:DI6,2,FALSE)+IF(AND(Calculator!B8=TRUE,Backdoors!BI22=TRUE),VLOOKUP(Calculator!E23,tbSkills!DH3:DJ6,3,FALSE),0),0)))/100)),(1-(0.25*((-Backdoors!AI12-IF(EE8&gt;=0.45,VLOOKUP(Calculator!E23,tbSkills!DH3:DI6,2,FALSE)+IF(AND(Calculator!B8=TRUE,Backdoors!BI22=TRUE),VLOOKUP(Calculator!E23,tbSkills!DH3:DJ6,3,FALSE),0),0))/100)))),1),"")</f>
        <v>1</v>
      </c>
      <c r="EH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E8)*EG8)*(VLOOKUP(A8,tbMoveset!A2:C112,3,FALSE)/100)*IF(VLOOKUP(A8,tbMoveset!A2:B112,2,FALSE)="Projectile",Backdoors!N10,Backdoors!N9),0),"")</f>
        <v/>
      </c>
      <c r="EI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E8&gt;=0.45,VLOOKUP(Calculator!E23,tbSkills!DH3:DI6,2,FALSE)+IF(AND(Calculator!B8=TRUE,Backdoors!BI22=TRUE),VLOOKUP(Calculator!E23,tbSkills!DH3:DJ6,3,FALSE),0),0))&gt;=100,100,(Backdoors!AI12+IF(EE8&gt;=0.45,VLOOKUP(Calculator!E23,tbSkills!DH3:DI6,2,FALSE)+IF(AND(Calculator!B8=TRUE,Backdoors!BI22=TRUE),VLOOKUP(Calculator!E23,tbSkills!DH3:DJ6,3,FALSE),0),0)))/100)),1))*IF(VLOOKUP(A8,tbMoveset!A2:K112,11,FALSE)=TRUE,Backdoors!AC5,1))*EF8,0),"")</f>
        <v>0</v>
      </c>
      <c r="EJ8" s="49">
        <f>VLOOKUP(A8,tbMoveset!A2:G112,7,FALSE)*IFERROR(IF(Backdoors!AI12&gt;=0,1+(IF(Calculator!E40&gt;0,VLOOKUP(Calculator!E40,tbSkills!AI3:AJ5,2,FALSE),Backdoors!AL4)*(IF((Backdoors!AI12+IF(EE8&gt;=0.45,VLOOKUP(Calculator!E23,tbSkills!DH3:DI6,2,FALSE)+IF(AND(Calculator!B8=TRUE,Backdoors!BI22=TRUE),VLOOKUP(Calculator!E23,tbSkills!DH3:DJ6,3,FALSE),0),0))&gt;=100,100,(Backdoors!AI12+IF(EE8&gt;=0.45,VLOOKUP(Calculator!E23,tbSkills!DH3:DI6,2,FALSE)+IF(AND(Calculator!B8=TRUE,Backdoors!BI22=TRUE),VLOOKUP(Calculator!E23,tbSkills!DH3:DJ6,3,FALSE),0),0)))/100)),1),1)</f>
        <v>0.5</v>
      </c>
      <c r="EK8" s="87">
        <f t="shared" si="12"/>
        <v>0</v>
      </c>
      <c r="EL8" s="86" t="str">
        <f>IFERROR(IF(VLOOKUP(A8,tbMoveset!A2:B112,2,FALSE)="Sever",Backdoors!AY23/100,IF(VLOOKUP(A8,tbMoveset!A2:B112,2,FALSE)="Blunt",Backdoors!AZ23/100,Backdoors!BA23/100)),"")</f>
        <v/>
      </c>
      <c r="EM8" s="49">
        <f>IFERROR(IF(VLOOKUP(tbMoveset!A8,tbMoveset!A2:H112,8,FALSE)="Other",IF(VLOOKUP(tbMoveset!A8,tbMoveset!A2:I112,9,FALSE)="Fire",Backdoors!BB23,IF(VLOOKUP(tbMoveset!A8,tbMoveset!A2:I112,9,FALSE)="Water",Backdoors!BC23,IF(VLOOKUP(tbMoveset!A8,tbMoveset!A2:I112,9,FALSE)="Thunder",Backdoors!BD23,IF(VLOOKUP(tbMoveset!A8,tbMoveset!A2:I112,9,FALSE)="Ice",Backdoors!BE23,IF(VLOOKUP(tbMoveset!A8,tbMoveset!A2:I112,9,FALSE)="Dragon",Backdoors!BF23,Backdoors!BG23)))))/100,Backdoors!BG23/100),"")</f>
        <v>0</v>
      </c>
      <c r="EN8" s="49">
        <f>IFERROR(IF(VLOOKUP(A8,tbMoveset!A2:J112,10,FALSE)=TRUE,IF((Backdoors!AI12+IF(EL8&gt;=0.45,VLOOKUP(Calculator!E23,tbSkills!DH3:DI6,2,FALSE)+IF(AND(Calculator!B8=TRUE,Backdoors!BI23=TRUE),VLOOKUP(Calculator!E23,tbSkills!DH3:DJ6,3,FALSE),0),0))&gt;=0,1+(Backdoors!AL2*(IF((Backdoors!AI12+IF(EL8&gt;=0.45,VLOOKUP(Calculator!E23,tbSkills!DH3:DI6,2,FALSE)+IF(AND(Calculator!B8=TRUE,Backdoors!BI23=TRUE),VLOOKUP(Calculator!E23,tbSkills!DH3:DJ6,3,FALSE),0),0))&gt;=100,100,(Backdoors!AI12+IF(EL8&gt;=0.45,VLOOKUP(Calculator!E23,tbSkills!DH3:DI6,2,FALSE)+IF(AND(Calculator!B8=TRUE,Backdoors!BI23=TRUE),VLOOKUP(Calculator!E23,tbSkills!DH3:DJ6,3,FALSE),0),0)))/100)),(1-(0.25*((-Backdoors!AI12-IF(EL8&gt;=0.45,VLOOKUP(Calculator!E23,tbSkills!DH3:DI6,2,FALSE)+IF(AND(Calculator!B8=TRUE,Backdoors!BI23=TRUE),VLOOKUP(Calculator!E23,tbSkills!DH3:DJ6,3,FALSE),0),0))/100)))),1),"")</f>
        <v>1</v>
      </c>
      <c r="EO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L8)*EN8)*(VLOOKUP(A8,tbMoveset!A2:C112,3,FALSE)/100)*IF(VLOOKUP(A8,tbMoveset!A2:B112,2,FALSE)="Projectile",Backdoors!N10,Backdoors!N9),0),"")</f>
        <v/>
      </c>
      <c r="EP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L8&gt;=0.45,VLOOKUP(Calculator!E23,tbSkills!DH3:DI6,2,FALSE)+IF(AND(Calculator!B8=TRUE,Backdoors!BI23=TRUE),VLOOKUP(Calculator!E23,tbSkills!DH3:DJ6,3,FALSE),0),0))&gt;=100,100,(Backdoors!AI12+IF(EL8&gt;=0.45,VLOOKUP(Calculator!E23,tbSkills!DH3:DI6,2,FALSE)+IF(AND(Calculator!B8=TRUE,Backdoors!BI23=TRUE),VLOOKUP(Calculator!E23,tbSkills!DH3:DJ6,3,FALSE),0),0)))/100)),1))*IF(VLOOKUP(A8,tbMoveset!A2:K112,11,FALSE)=TRUE,Backdoors!AC5,1))*EM8,0),"")</f>
        <v>0</v>
      </c>
      <c r="EQ8" s="49">
        <f>VLOOKUP(A8,tbMoveset!A2:G112,7,FALSE)*IFERROR(IF(Backdoors!AI12&gt;=0,1+(IF(Calculator!E40&gt;0,VLOOKUP(Calculator!E40,tbSkills!AI3:AJ5,2,FALSE),Backdoors!AL4)*(IF((Backdoors!AI12+IF(EL8&gt;=0.45,VLOOKUP(Calculator!E23,tbSkills!DH3:DI6,2,FALSE)+IF(AND(Calculator!B8=TRUE,Backdoors!BI23=TRUE),VLOOKUP(Calculator!E23,tbSkills!DH3:DJ6,3,FALSE),0),0))&gt;=100,100,(Backdoors!AI12+IF(EL8&gt;=0.45,VLOOKUP(Calculator!E23,tbSkills!DH3:DI6,2,FALSE)+IF(AND(Calculator!B8=TRUE,Backdoors!BI23=TRUE),VLOOKUP(Calculator!E23,tbSkills!DH3:DJ6,3,FALSE),0),0)))/100)),1),1)</f>
        <v>0.5</v>
      </c>
      <c r="ER8" s="87">
        <f t="shared" si="13"/>
        <v>0</v>
      </c>
      <c r="ES8" s="86" t="str">
        <f>IFERROR(IF(VLOOKUP(A8,tbMoveset!A2:B112,2,FALSE)="Sever",Backdoors!AY24/100,IF(VLOOKUP(A8,tbMoveset!A2:B112,2,FALSE)="Blunt",Backdoors!AZ24/100,Backdoors!BA24/100)),"")</f>
        <v/>
      </c>
      <c r="ET8" s="49">
        <f>IFERROR(IF(VLOOKUP(tbMoveset!A8,tbMoveset!A2:H112,8,FALSE)="Other",IF(VLOOKUP(tbMoveset!A8,tbMoveset!A2:I112,9,FALSE)="Fire",Backdoors!BB24,IF(VLOOKUP(tbMoveset!A8,tbMoveset!A2:I112,9,FALSE)="Water",Backdoors!BC24,IF(VLOOKUP(tbMoveset!A8,tbMoveset!A2:I112,9,FALSE)="Thunder",Backdoors!BD24,IF(VLOOKUP(tbMoveset!A8,tbMoveset!A2:I112,9,FALSE)="Ice",Backdoors!BE24,IF(VLOOKUP(tbMoveset!A8,tbMoveset!A2:I112,9,FALSE)="Dragon",Backdoors!BF24,Backdoors!BG24)))))/100,Backdoors!BG24/100),"")</f>
        <v>0</v>
      </c>
      <c r="EU8" s="49">
        <f>IFERROR(IF(VLOOKUP(A8,tbMoveset!A2:J112,10,FALSE)=TRUE,IF((Backdoors!AI12+IF(ES8&gt;=0.45,VLOOKUP(Calculator!E23,tbSkills!DH3:DI6,2,FALSE)+IF(AND(Calculator!B8=TRUE,Backdoors!BI24=TRUE),VLOOKUP(Calculator!E23,tbSkills!DH3:DJ6,3,FALSE),0),0))&gt;=0,1+(Backdoors!AL2*(IF((Backdoors!AI12+IF(ES8&gt;=0.45,VLOOKUP(Calculator!E23,tbSkills!DH3:DI6,2,FALSE)+IF(AND(Calculator!B8=TRUE,Backdoors!BI24=TRUE),VLOOKUP(Calculator!E23,tbSkills!DH3:DJ6,3,FALSE),0),0))&gt;=100,100,(Backdoors!AI12+IF(ES8&gt;=0.45,VLOOKUP(Calculator!E23,tbSkills!DH3:DI6,2,FALSE)+IF(AND(Calculator!B8=TRUE,Backdoors!BI24=TRUE),VLOOKUP(Calculator!E23,tbSkills!DH3:DJ6,3,FALSE),0),0)))/100)),(1-(0.25*((-Backdoors!AI12-IF(ES8&gt;=0.45,VLOOKUP(Calculator!E23,tbSkills!DH3:DI6,2,FALSE)+IF(AND(Calculator!B8=TRUE,Backdoors!BI24=TRUE),VLOOKUP(Calculator!E23,tbSkills!DH3:DJ6,3,FALSE),0),0))/100)))),1),"")</f>
        <v>1</v>
      </c>
      <c r="EV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S8)*EU8)*(VLOOKUP(A8,tbMoveset!A2:C112,3,FALSE)/100)*IF(VLOOKUP(A8,tbMoveset!A2:B112,2,FALSE)="Projectile",Backdoors!N10,Backdoors!N9),0),"")</f>
        <v/>
      </c>
      <c r="EW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S8&gt;=0.45,VLOOKUP(Calculator!E23,tbSkills!DH3:DI6,2,FALSE)+IF(AND(Calculator!B8=TRUE,Backdoors!BI24=TRUE),VLOOKUP(Calculator!E23,tbSkills!DH3:DJ6,3,FALSE),0),0))&gt;=100,100,(Backdoors!AI12+IF(ES8&gt;=0.45,VLOOKUP(Calculator!E23,tbSkills!DH3:DI6,2,FALSE)+IF(AND(Calculator!B8=TRUE,Backdoors!BI24=TRUE),VLOOKUP(Calculator!E23,tbSkills!DH3:DJ6,3,FALSE),0),0)))/100)),1))*IF(VLOOKUP(A8,tbMoveset!A2:K112,11,FALSE)=TRUE,Backdoors!AC5,1))*ET8,0),"")</f>
        <v>0</v>
      </c>
      <c r="EX8" s="49">
        <f>VLOOKUP(A8,tbMoveset!A2:G112,7,FALSE)*IFERROR(IF(Backdoors!AI12&gt;=0,1+(IF(Calculator!E40&gt;0,VLOOKUP(Calculator!E40,tbSkills!AI3:AJ5,2,FALSE),Backdoors!AL4)*(IF((Backdoors!AI12+IF(ES8&gt;=0.45,VLOOKUP(Calculator!E23,tbSkills!DH3:DI6,2,FALSE)+IF(AND(Calculator!B8=TRUE,Backdoors!BI24=TRUE),VLOOKUP(Calculator!E23,tbSkills!DH3:DJ6,3,FALSE),0),0))&gt;=100,100,(Backdoors!AI12+IF(ES8&gt;=0.45,VLOOKUP(Calculator!E23,tbSkills!DH3:DI6,2,FALSE)+IF(AND(Calculator!B8=TRUE,Backdoors!BI24=TRUE),VLOOKUP(Calculator!E23,tbSkills!DH3:DJ6,3,FALSE),0),0)))/100)),1),1)</f>
        <v>0.5</v>
      </c>
      <c r="EY8" s="87">
        <f t="shared" si="14"/>
        <v>0</v>
      </c>
      <c r="EZ8" s="86" t="str">
        <f>IFERROR(IF(VLOOKUP(A8,tbMoveset!A2:B112,2,FALSE)="Sever",Backdoors!AY25/100,IF(VLOOKUP(A8,tbMoveset!A2:B112,2,FALSE)="Blunt",Backdoors!AZ25/100,Backdoors!BA25/100)),"")</f>
        <v/>
      </c>
      <c r="FA8" s="49">
        <f>IFERROR(IF(VLOOKUP(tbMoveset!A8,tbMoveset!A2:H112,8,FALSE)="Other",IF(VLOOKUP(tbMoveset!A8,tbMoveset!A2:I112,9,FALSE)="Fire",Backdoors!BB25,IF(VLOOKUP(tbMoveset!A8,tbMoveset!A2:I112,9,FALSE)="Water",Backdoors!BC25,IF(VLOOKUP(tbMoveset!A8,tbMoveset!A2:I112,9,FALSE)="Thunder",Backdoors!BD25,IF(VLOOKUP(tbMoveset!A8,tbMoveset!A2:I112,9,FALSE)="Ice",Backdoors!BE25,IF(VLOOKUP(tbMoveset!A8,tbMoveset!A2:I112,9,FALSE)="Dragon",Backdoors!BF25,Backdoors!BG25)))))/100,Backdoors!BG25/100),"")</f>
        <v>0</v>
      </c>
      <c r="FB8" s="49">
        <f>IFERROR(IF(VLOOKUP(A8,tbMoveset!A2:J112,10,FALSE)=TRUE,IF((Backdoors!AI12+IF(EZ8&gt;=0.45,VLOOKUP(Calculator!E23,tbSkills!DH3:DI6,2,FALSE)+IF(AND(Calculator!B8=TRUE,Backdoors!BI25=TRUE),VLOOKUP(Calculator!E23,tbSkills!DH3:DJ6,3,FALSE),0),0))&gt;=0,1+(Backdoors!AL2*(IF((Backdoors!AI12+IF(EZ8&gt;=0.45,VLOOKUP(Calculator!E23,tbSkills!DH3:DI6,2,FALSE)+IF(AND(Calculator!B8=TRUE,Backdoors!BI25=TRUE),VLOOKUP(Calculator!E23,tbSkills!DH3:DJ6,3,FALSE),0),0))&gt;=100,100,(Backdoors!AI12+IF(EZ8&gt;=0.45,VLOOKUP(Calculator!E23,tbSkills!DH3:DI6,2,FALSE)+IF(AND(Calculator!B8=TRUE,Backdoors!BI25=TRUE),VLOOKUP(Calculator!E23,tbSkills!DH3:DJ6,3,FALSE),0),0)))/100)),(1-(0.25*((-Backdoors!AI12-IF(EZ8&gt;=0.45,VLOOKUP(Calculator!E23,tbSkills!DH3:DI6,2,FALSE)+IF(AND(Calculator!B8=TRUE,Backdoors!BI25=TRUE),VLOOKUP(Calculator!E23,tbSkills!DH3:DJ6,3,FALSE),0),0))/100)))),1),"")</f>
        <v>1</v>
      </c>
      <c r="FC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Z8)*FB8)*(VLOOKUP(A8,tbMoveset!A2:C112,3,FALSE)/100)*IF(VLOOKUP(A8,tbMoveset!A2:B112,2,FALSE)="Projectile",Backdoors!N10,Backdoors!N9),0),"")</f>
        <v/>
      </c>
      <c r="FD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Z8&gt;=0.45,VLOOKUP(Calculator!E23,tbSkills!DH3:DI6,2,FALSE)+IF(AND(Calculator!B8=TRUE,Backdoors!BI25=TRUE),VLOOKUP(Calculator!E23,tbSkills!DH3:DJ6,3,FALSE),0),0))&gt;=100,100,(Backdoors!AI12+IF(EZ8&gt;=0.45,VLOOKUP(Calculator!E23,tbSkills!DH3:DI6,2,FALSE)+IF(AND(Calculator!B8=TRUE,Backdoors!BI25=TRUE),VLOOKUP(Calculator!E23,tbSkills!DH3:DJ6,3,FALSE),0),0)))/100)),1))*IF(VLOOKUP(A8,tbMoveset!A2:K112,11,FALSE)=TRUE,Backdoors!AC5,1))*FA8,0),"")</f>
        <v>0</v>
      </c>
      <c r="FE8" s="49">
        <f>VLOOKUP(A8,tbMoveset!A2:G112,7,FALSE)*IFERROR(IF(Backdoors!AI12&gt;=0,1+(IF(Calculator!E40&gt;0,VLOOKUP(Calculator!E40,tbSkills!AI3:AJ5,2,FALSE),Backdoors!AL4)*(IF((Backdoors!AI12+IF(EZ8&gt;=0.45,VLOOKUP(Calculator!E23,tbSkills!DH3:DI6,2,FALSE)+IF(AND(Calculator!B8=TRUE,Backdoors!BI25=TRUE),VLOOKUP(Calculator!E23,tbSkills!DH3:DJ6,3,FALSE),0),0))&gt;=100,100,(Backdoors!AI12+IF(EZ8&gt;=0.45,VLOOKUP(Calculator!E23,tbSkills!DH3:DI6,2,FALSE)+IF(AND(Calculator!B8=TRUE,Backdoors!BI25=TRUE),VLOOKUP(Calculator!E23,tbSkills!DH3:DJ6,3,FALSE),0),0)))/100)),1),1)</f>
        <v>0.5</v>
      </c>
      <c r="FF8" s="87">
        <f t="shared" si="15"/>
        <v>0</v>
      </c>
      <c r="FG8" s="86" t="str">
        <f>IFERROR(IF(VLOOKUP(A8,tbMoveset!A2:B112,2,FALSE)="Sever",Backdoors!AY26/100,IF(VLOOKUP(A8,tbMoveset!A2:B112,2,FALSE)="Blunt",Backdoors!AZ26/100,Backdoors!BA26/100)),"")</f>
        <v/>
      </c>
      <c r="FH8" s="49">
        <f>IFERROR(IF(VLOOKUP(tbMoveset!A8,tbMoveset!A2:H112,8,FALSE)="Other",IF(VLOOKUP(tbMoveset!A8,tbMoveset!A2:I112,9,FALSE)="Fire",Backdoors!BB26,IF(VLOOKUP(tbMoveset!A8,tbMoveset!A2:I112,9,FALSE)="Water",Backdoors!BC26,IF(VLOOKUP(tbMoveset!A8,tbMoveset!A2:I112,9,FALSE)="Thunder",Backdoors!BD26,IF(VLOOKUP(tbMoveset!A8,tbMoveset!A2:I112,9,FALSE)="Ice",Backdoors!BE26,IF(VLOOKUP(tbMoveset!A8,tbMoveset!A2:I112,9,FALSE)="Dragon",Backdoors!BF26,Backdoors!BG26)))))/100,Backdoors!BG26/100),"")</f>
        <v>0</v>
      </c>
      <c r="FI8" s="49">
        <f>IFERROR(IF(VLOOKUP(A8,tbMoveset!A2:J112,10,FALSE)=TRUE,IF((Backdoors!AI12+IF(FG8&gt;=0.45,VLOOKUP(Calculator!E23,tbSkills!DH3:DI6,2,FALSE)+IF(AND(Calculator!B8=TRUE,Backdoors!BI26=TRUE),VLOOKUP(Calculator!E23,tbSkills!DH3:DJ6,3,FALSE),0),0))&gt;=0,1+(Backdoors!AL2*(IF((Backdoors!AI12+IF(FG8&gt;=0.45,VLOOKUP(Calculator!E23,tbSkills!DH3:DI6,2,FALSE)+IF(AND(Calculator!B8=TRUE,Backdoors!BI26=TRUE),VLOOKUP(Calculator!E23,tbSkills!DH3:DJ6,3,FALSE),0),0))&gt;=100,100,(Backdoors!AI12+IF(FG8&gt;=0.45,VLOOKUP(Calculator!E23,tbSkills!DH3:DI6,2,FALSE)+IF(AND(Calculator!B8=TRUE,Backdoors!BI26=TRUE),VLOOKUP(Calculator!E23,tbSkills!DH3:DJ6,3,FALSE),0),0)))/100)),(1-(0.25*((-Backdoors!AI12-IF(FG8&gt;=0.45,VLOOKUP(Calculator!E23,tbSkills!DH3:DI6,2,FALSE)+IF(AND(Calculator!B8=TRUE,Backdoors!BI26=TRUE),VLOOKUP(Calculator!E23,tbSkills!DH3:DJ6,3,FALSE),0),0))/100)))),1),"")</f>
        <v>1</v>
      </c>
      <c r="FJ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FG8)*FI8)*(VLOOKUP(A8,tbMoveset!A2:C112,3,FALSE)/100)*IF(VLOOKUP(A8,tbMoveset!A2:B112,2,FALSE)="Projectile",Backdoors!N10,Backdoors!N9),0),"")</f>
        <v/>
      </c>
      <c r="FK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FG8&gt;=0.45,VLOOKUP(Calculator!E23,tbSkills!DH3:DI6,2,FALSE)+IF(AND(Calculator!B8=TRUE,Backdoors!BI26=TRUE),VLOOKUP(Calculator!E23,tbSkills!DH3:DJ6,3,FALSE),0),0))&gt;=100,100,(Backdoors!AI12+IF(FG8&gt;=0.45,VLOOKUP(Calculator!E23,tbSkills!DH3:DI6,2,FALSE)+IF(AND(Calculator!B8=TRUE,Backdoors!BI26=TRUE),VLOOKUP(Calculator!E23,tbSkills!DH3:DJ6,3,FALSE),0),0)))/100)),1))*IF(VLOOKUP(A8,tbMoveset!A2:K112,11,FALSE)=TRUE,Backdoors!AC5,1))*FH8,0),"")</f>
        <v>0</v>
      </c>
      <c r="FL8" s="49">
        <f>VLOOKUP(A8,tbMoveset!A2:G112,7,FALSE)*IFERROR(IF(Backdoors!AI12&gt;=0,1+(IF(Calculator!E40&gt;0,VLOOKUP(Calculator!E40,tbSkills!AI3:AJ5,2,FALSE),Backdoors!AL4)*(IF((Backdoors!AI12+IF(FG8&gt;=0.45,VLOOKUP(Calculator!E23,tbSkills!DH3:DI6,2,FALSE)+IF(AND(Calculator!B8=TRUE,Backdoors!BI26=TRUE),VLOOKUP(Calculator!E23,tbSkills!DH3:DJ6,3,FALSE),0),0))&gt;=100,100,(Backdoors!AI12+IF(FG8&gt;=0.45,VLOOKUP(Calculator!E23,tbSkills!DH3:DI6,2,FALSE)+IF(AND(Calculator!B8=TRUE,Backdoors!BI26=TRUE),VLOOKUP(Calculator!E23,tbSkills!DH3:DJ6,3,FALSE),0),0)))/100)),1),1)</f>
        <v>0.5</v>
      </c>
      <c r="FM8" s="87">
        <f t="shared" si="16"/>
        <v>0</v>
      </c>
      <c r="FN8" s="86" t="str">
        <f>IFERROR(IF(VLOOKUP(A8,tbMoveset!A2:B112,2,FALSE)="Sever",Backdoors!AY27/100,IF(VLOOKUP(A8,tbMoveset!A2:B112,2,FALSE)="Blunt",Backdoors!AZ27/100,Backdoors!BA27/100)),"")</f>
        <v/>
      </c>
      <c r="FO8" s="49">
        <f>IFERROR(IF(VLOOKUP(tbMoveset!A8,tbMoveset!A2:H112,8,FALSE)="Other",IF(VLOOKUP(tbMoveset!A8,tbMoveset!A2:I112,9,FALSE)="Fire",Backdoors!BB27,IF(VLOOKUP(tbMoveset!A8,tbMoveset!A2:I112,9,FALSE)="Water",Backdoors!BC27,IF(VLOOKUP(tbMoveset!A8,tbMoveset!A2:I112,9,FALSE)="Thunder",Backdoors!BD27,IF(VLOOKUP(tbMoveset!A8,tbMoveset!A2:I112,9,FALSE)="Ice",Backdoors!BE27,IF(VLOOKUP(tbMoveset!A8,tbMoveset!A2:I112,9,FALSE)="Dragon",Backdoors!BF27,Backdoors!BG27)))))/100,Backdoors!BG27/100),"")</f>
        <v>0</v>
      </c>
      <c r="FP8" s="49">
        <f>IFERROR(IF(VLOOKUP(A8,tbMoveset!A2:J112,10,FALSE)=TRUE,IF((Backdoors!AI12+IF(FN8&gt;=0.45,VLOOKUP(Calculator!E23,tbSkills!DH3:DI6,2,FALSE)+IF(AND(Calculator!B8=TRUE,Backdoors!BI27=TRUE),VLOOKUP(Calculator!E23,tbSkills!DH3:DJ6,3,FALSE),0),0))&gt;=0,1+(Backdoors!AL2*(IF((Backdoors!AI12+IF(FN8&gt;=0.45,VLOOKUP(Calculator!E23,tbSkills!DH3:DI6,2,FALSE)+IF(AND(Calculator!B8=TRUE,Backdoors!BI27=TRUE),VLOOKUP(Calculator!E23,tbSkills!DH3:DJ6,3,FALSE),0),0))&gt;=100,100,(Backdoors!AI12+IF(FN8&gt;=0.45,VLOOKUP(Calculator!E23,tbSkills!DH3:DI6,2,FALSE)+IF(AND(Calculator!B8=TRUE,Backdoors!BI27=TRUE),VLOOKUP(Calculator!E23,tbSkills!DH3:DJ6,3,FALSE),0),0)))/100)),(1-(0.25*((-Backdoors!AI12-IF(FN8&gt;=0.45,VLOOKUP(Calculator!E23,tbSkills!DH3:DI6,2,FALSE)+IF(AND(Calculator!B8=TRUE,Backdoors!BI27=TRUE),VLOOKUP(Calculator!E23,tbSkills!DH3:DJ6,3,FALSE),0),0))/100)))),1),"")</f>
        <v>1</v>
      </c>
      <c r="FQ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FN8)*FP8)*(VLOOKUP(A8,tbMoveset!A2:C112,3,FALSE)/100)*IF(VLOOKUP(A8,tbMoveset!A2:B112,2,FALSE)="Projectile",Backdoors!N10,Backdoors!N9),0),"")</f>
        <v/>
      </c>
      <c r="FR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FN8&gt;=0.45,VLOOKUP(Calculator!E23,tbSkills!DH3:DI6,2,FALSE)+IF(AND(Calculator!B8=TRUE,Backdoors!BI27=TRUE),VLOOKUP(Calculator!E23,tbSkills!DH3:DJ6,3,FALSE),0),0))&gt;=100,100,(Backdoors!AI12+IF(FN8&gt;=0.45,VLOOKUP(Calculator!E23,tbSkills!DH3:DI6,2,FALSE)+IF(AND(Calculator!B8=TRUE,Backdoors!BI27=TRUE),VLOOKUP(Calculator!E23,tbSkills!DH3:DJ6,3,FALSE),0),0)))/100)),1))*IF(VLOOKUP(A8,tbMoveset!A2:K112,11,FALSE)=TRUE,Backdoors!AC5,1))*FO8,0),"")</f>
        <v>0</v>
      </c>
      <c r="FS8" s="49">
        <f>VLOOKUP(A8,tbMoveset!A2:G112,7,FALSE)*IFERROR(IF(Backdoors!AI12&gt;=0,1+(IF(Calculator!E40&gt;0,VLOOKUP(Calculator!E40,tbSkills!AI3:AJ5,2,FALSE),Backdoors!AL4)*(IF((Backdoors!AI12+IF(FN8&gt;=0.45,VLOOKUP(Calculator!E23,tbSkills!DH3:DI6,2,FALSE)+IF(AND(Calculator!B8=TRUE,Backdoors!BI27=TRUE),VLOOKUP(Calculator!E23,tbSkills!DH3:DJ6,3,FALSE),0),0))&gt;=100,100,(Backdoors!AI12+IF(FN8&gt;=0.45,VLOOKUP(Calculator!E23,tbSkills!DH3:DI6,2,FALSE)+IF(AND(Calculator!B8=TRUE,Backdoors!BI27=TRUE),VLOOKUP(Calculator!E23,tbSkills!DH3:DJ6,3,FALSE),0),0)))/100)),1),1)</f>
        <v>0.5</v>
      </c>
      <c r="FT8" s="87">
        <f t="shared" si="17"/>
        <v>0</v>
      </c>
      <c r="FU8" s="86" t="str">
        <f>IFERROR(IF(VLOOKUP(A8,tbMoveset!A2:B112,2,FALSE)="Sever",Backdoors!AY28/100,IF(VLOOKUP(A8,tbMoveset!A2:B112,2,FALSE)="Blunt",Backdoors!AZ28/100,Backdoors!BA28/100)),"")</f>
        <v/>
      </c>
      <c r="FV8" s="49">
        <f>IFERROR(IF(VLOOKUP(tbMoveset!A8,tbMoveset!A2:H112,8,FALSE)="Other",IF(VLOOKUP(tbMoveset!A8,tbMoveset!A2:I112,9,FALSE)="Fire",Backdoors!BB28,IF(VLOOKUP(tbMoveset!A8,tbMoveset!A2:I112,9,FALSE)="Water",Backdoors!BC28,IF(VLOOKUP(tbMoveset!A8,tbMoveset!A2:I112,9,FALSE)="Thunder",Backdoors!BD28,IF(VLOOKUP(tbMoveset!A8,tbMoveset!A2:I112,9,FALSE)="Ice",Backdoors!BE28,IF(VLOOKUP(tbMoveset!A8,tbMoveset!A2:I112,9,FALSE)="Dragon",Backdoors!BF28,Backdoors!BG28)))))/100,Backdoors!BG28/100),"")</f>
        <v>0</v>
      </c>
      <c r="FW8" s="49">
        <f>IFERROR(IF(VLOOKUP(A8,tbMoveset!A2:J112,10,FALSE)=TRUE,IF((Backdoors!AI12+IF(FU8&gt;=0.45,VLOOKUP(Calculator!E23,tbSkills!DH3:DI6,2,FALSE)+IF(AND(Calculator!B8=TRUE,Backdoors!BI28=TRUE),VLOOKUP(Calculator!E23,tbSkills!DH3:DJ6,3,FALSE),0),0))&gt;=0,1+(Backdoors!AL2*(IF((Backdoors!AI12+IF(FU8&gt;=0.45,VLOOKUP(Calculator!E23,tbSkills!DH3:DI6,2,FALSE)+IF(AND(Calculator!B8=TRUE,Backdoors!BI28=TRUE),VLOOKUP(Calculator!E23,tbSkills!DH3:DJ6,3,FALSE),0),0))&gt;=100,100,(Backdoors!AI12+IF(FU8&gt;=0.45,VLOOKUP(Calculator!E23,tbSkills!DH3:DI6,2,FALSE)+IF(AND(Calculator!B8=TRUE,Backdoors!BI28=TRUE),VLOOKUP(Calculator!E23,tbSkills!DH3:DJ6,3,FALSE),0),0)))/100)),(1-(0.25*((-Backdoors!AI12-IF(FU8&gt;=0.45,VLOOKUP(Calculator!E23,tbSkills!DH3:DI6,2,FALSE)+IF(AND(Calculator!B8=TRUE,Backdoors!BI28=TRUE),VLOOKUP(Calculator!E23,tbSkills!DH3:DJ6,3,FALSE),0),0))/100)))),1),"")</f>
        <v>1</v>
      </c>
      <c r="FX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FU8)*FW8)*(VLOOKUP(A8,tbMoveset!A2:C112,3,FALSE)/100)*IF(VLOOKUP(A8,tbMoveset!A2:B112,2,FALSE)="Projectile",Backdoors!N10,Backdoors!N9),0),"")</f>
        <v/>
      </c>
      <c r="FY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FU8&gt;=0.45,VLOOKUP(Calculator!E23,tbSkills!DH3:DI6,2,FALSE)+IF(AND(Calculator!B8=TRUE,Backdoors!BI28=TRUE),VLOOKUP(Calculator!E23,tbSkills!DH3:DJ6,3,FALSE),0),0))&gt;=100,100,(Backdoors!AI12+IF(FU8&gt;=0.45,VLOOKUP(Calculator!E23,tbSkills!DH3:DI6,2,FALSE)+IF(AND(Calculator!B8=TRUE,Backdoors!BI28=TRUE),VLOOKUP(Calculator!E23,tbSkills!DH3:DJ6,3,FALSE),0),0)))/100)),1))*IF(VLOOKUP(A8,tbMoveset!A2:K112,11,FALSE)=TRUE,Backdoors!AC5,1))*FV8,0),"")</f>
        <v>0</v>
      </c>
      <c r="FZ8" s="49">
        <f>VLOOKUP(A8,tbMoveset!A2:G112,7,FALSE)*IFERROR(IF(Backdoors!AI12&gt;=0,1+(IF(Calculator!E40&gt;0,VLOOKUP(Calculator!E40,tbSkills!AI3:AJ5,2,FALSE),Backdoors!AL4)*(IF((Backdoors!AI12+IF(FU8&gt;=0.45,VLOOKUP(Calculator!E23,tbSkills!DH3:DI6,2,FALSE)+IF(AND(Calculator!B8=TRUE,Backdoors!BI28=TRUE),VLOOKUP(Calculator!E23,tbSkills!DH3:DJ6,3,FALSE),0),0))&gt;=100,100,(Backdoors!AI12+IF(FU8&gt;=0.45,VLOOKUP(Calculator!E23,tbSkills!DH3:DI6,2,FALSE)+IF(AND(Calculator!B8=TRUE,Backdoors!BI28=TRUE),VLOOKUP(Calculator!E23,tbSkills!DH3:DJ6,3,FALSE),0),0)))/100)),1),1)</f>
        <v>0.5</v>
      </c>
      <c r="GA8" s="87">
        <f t="shared" si="18"/>
        <v>0</v>
      </c>
      <c r="GB8" s="86" t="str">
        <f>IFERROR(IF(VLOOKUP(A8,tbMoveset!A2:B112,2,FALSE)="Sever",Backdoors!AY29/100,IF(VLOOKUP(A8,tbMoveset!A2:B112,2,FALSE)="Blunt",Backdoors!AZ29/100,Backdoors!BA29/100)),"")</f>
        <v/>
      </c>
      <c r="GC8" s="49">
        <f>IFERROR(IF(VLOOKUP(tbMoveset!A8,tbMoveset!A2:H112,8,FALSE)="Other",IF(VLOOKUP(tbMoveset!A8,tbMoveset!A2:I112,9,FALSE)="Fire",Backdoors!BB29,IF(VLOOKUP(tbMoveset!A8,tbMoveset!A2:I112,9,FALSE)="Water",Backdoors!BC29,IF(VLOOKUP(tbMoveset!A8,tbMoveset!A2:I112,9,FALSE)="Thunder",Backdoors!BD29,IF(VLOOKUP(tbMoveset!A8,tbMoveset!A2:I112,9,FALSE)="Ice",Backdoors!BE29,IF(VLOOKUP(tbMoveset!A8,tbMoveset!A2:I112,9,FALSE)="Dragon",Backdoors!BF29,Backdoors!BG29)))))/100,Backdoors!BG29/100),"")</f>
        <v>0</v>
      </c>
      <c r="GD8" s="49">
        <f>IFERROR(IF(VLOOKUP(A8,tbMoveset!A2:J112,10,FALSE)=TRUE,IF((Backdoors!AI12+IF(GB8&gt;=0.45,VLOOKUP(Calculator!E23,tbSkills!DH3:DI6,2,FALSE)+IF(AND(Calculator!B8=TRUE,Backdoors!BI29=TRUE),VLOOKUP(Calculator!E23,tbSkills!DH3:DJ6,3,FALSE),0),0))&gt;=0,1+(Backdoors!AL2*(IF((Backdoors!AI12+IF(GB8&gt;=0.45,VLOOKUP(Calculator!E23,tbSkills!DH3:DI6,2,FALSE)+IF(AND(Calculator!B8=TRUE,Backdoors!BI29=TRUE),VLOOKUP(Calculator!E23,tbSkills!DH3:DJ6,3,FALSE),0),0))&gt;=100,100,(Backdoors!AI12+IF(GB8&gt;=0.45,VLOOKUP(Calculator!E23,tbSkills!DH3:DI6,2,FALSE)+IF(AND(Calculator!B8=TRUE,Backdoors!BI29=TRUE),VLOOKUP(Calculator!E23,tbSkills!DH3:DJ6,3,FALSE),0),0)))/100)),(1-(0.25*((-Backdoors!AI12-IF(GB8&gt;=0.45,VLOOKUP(Calculator!E23,tbSkills!DH3:DI6,2,FALSE)+IF(AND(Calculator!B8=TRUE,Backdoors!BI29=TRUE),VLOOKUP(Calculator!E23,tbSkills!DH3:DJ6,3,FALSE),0),0))/100)))),1),"")</f>
        <v>1</v>
      </c>
      <c r="GE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B8)*GD8)*(VLOOKUP(A8,tbMoveset!A2:C112,3,FALSE)/100)*IF(VLOOKUP(A8,tbMoveset!A2:B112,2,FALSE)="Projectile",Backdoors!N10,Backdoors!N9),0),"")</f>
        <v/>
      </c>
      <c r="GF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B8&gt;=0.45,VLOOKUP(Calculator!E23,tbSkills!DH3:DI6,2,FALSE)+IF(AND(Calculator!B8=TRUE,Backdoors!BI29=TRUE),VLOOKUP(Calculator!E23,tbSkills!DH3:DJ6,3,FALSE),0),0))&gt;=100,100,(Backdoors!AI12+IF(GB8&gt;=0.45,VLOOKUP(Calculator!E23,tbSkills!DH3:DI6,2,FALSE)+IF(AND(Calculator!B8=TRUE,Backdoors!BI29=TRUE),VLOOKUP(Calculator!E23,tbSkills!DH3:DJ6,3,FALSE),0),0)))/100)),1))*IF(VLOOKUP(A8,tbMoveset!A2:K112,11,FALSE)=TRUE,Backdoors!AC5,1))*GC8,0),"")</f>
        <v>0</v>
      </c>
      <c r="GG8" s="49">
        <f>VLOOKUP(A8,tbMoveset!A2:G112,7,FALSE)*IFERROR(IF(Backdoors!AI12&gt;=0,1+(IF(Calculator!E40&gt;0,VLOOKUP(Calculator!E40,tbSkills!AI3:AJ5,2,FALSE),Backdoors!AL4)*(IF((Backdoors!AI12+IF(GB8&gt;=0.45,VLOOKUP(Calculator!E23,tbSkills!DH3:DI6,2,FALSE)+IF(AND(Calculator!B8=TRUE,Backdoors!BI29=TRUE),VLOOKUP(Calculator!E23,tbSkills!DH3:DJ6,3,FALSE),0),0))&gt;=100,100,(Backdoors!AI12+IF(GB8&gt;=0.45,VLOOKUP(Calculator!E23,tbSkills!DH3:DI6,2,FALSE)+IF(AND(Calculator!B8=TRUE,Backdoors!BI29=TRUE),VLOOKUP(Calculator!E23,tbSkills!DH3:DJ6,3,FALSE),0),0)))/100)),1),1)</f>
        <v>0.5</v>
      </c>
      <c r="GH8" s="87">
        <f t="shared" si="19"/>
        <v>0</v>
      </c>
      <c r="GI8" s="86" t="str">
        <f>IFERROR(IF(VLOOKUP(A8,tbMoveset!A2:B112,2,FALSE)="Sever",Backdoors!AY30/100,IF(VLOOKUP(A8,tbMoveset!A2:B112,2,FALSE)="Blunt",Backdoors!AZ30/100,Backdoors!BA30/100)),"")</f>
        <v/>
      </c>
      <c r="GJ8" s="49">
        <f>IFERROR(IF(VLOOKUP(tbMoveset!A8,tbMoveset!A2:H112,8,FALSE)="Other",IF(VLOOKUP(tbMoveset!A8,tbMoveset!A2:I112,9,FALSE)="Fire",Backdoors!BB30,IF(VLOOKUP(tbMoveset!A8,tbMoveset!A2:I112,9,FALSE)="Water",Backdoors!BC30,IF(VLOOKUP(tbMoveset!A8,tbMoveset!A2:I112,9,FALSE)="Thunder",Backdoors!BD30,IF(VLOOKUP(tbMoveset!A8,tbMoveset!A2:I112,9,FALSE)="Ice",Backdoors!BE30,IF(VLOOKUP(tbMoveset!A8,tbMoveset!A2:I112,9,FALSE)="Dragon",Backdoors!BF30,Backdoors!BG30)))))/100,Backdoors!BG30/100),"")</f>
        <v>0</v>
      </c>
      <c r="GK8" s="49">
        <f>IFERROR(IF(VLOOKUP(A8,tbMoveset!A2:J112,10,FALSE)=TRUE,IF((Backdoors!AI12+IF(GI8&gt;=0.45,VLOOKUP(Calculator!E23,tbSkills!DH3:DI6,2,FALSE)+IF(AND(Calculator!B8=TRUE,Backdoors!BI30=TRUE),VLOOKUP(Calculator!E23,tbSkills!DH3:DJ6,3,FALSE),0),0))&gt;=0,1+(Backdoors!AL2*(IF((Backdoors!AI12+IF(GI8&gt;=0.45,VLOOKUP(Calculator!E23,tbSkills!DH3:DI6,2,FALSE)+IF(AND(Calculator!B8=TRUE,Backdoors!BI30=TRUE),VLOOKUP(Calculator!E23,tbSkills!DH3:DJ6,3,FALSE),0),0))&gt;=100,100,(Backdoors!AI12+IF(GI8&gt;=0.45,VLOOKUP(Calculator!E23,tbSkills!DH3:DI6,2,FALSE)+IF(AND(Calculator!B8=TRUE,Backdoors!BI30=TRUE),VLOOKUP(Calculator!E23,tbSkills!DH3:DJ6,3,FALSE),0),0)))/100)),(1-(0.25*((-Backdoors!AI12-IF(GI8&gt;=0.45,VLOOKUP(Calculator!E23,tbSkills!DH3:DI6,2,FALSE)+IF(AND(Calculator!B8=TRUE,Backdoors!BI30=TRUE),VLOOKUP(Calculator!E23,tbSkills!DH3:DJ6,3,FALSE),0),0))/100)))),1),"")</f>
        <v>1</v>
      </c>
      <c r="GL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I8)*GK8)*(VLOOKUP(A8,tbMoveset!A2:C112,3,FALSE)/100)*IF(VLOOKUP(A8,tbMoveset!A2:B112,2,FALSE)="Projectile",Backdoors!N10,Backdoors!N9),0),"")</f>
        <v/>
      </c>
      <c r="GM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I8&gt;=0.45,VLOOKUP(Calculator!E23,tbSkills!DH3:DI6,2,FALSE)+IF(AND(Calculator!B8=TRUE,Backdoors!BI30=TRUE),VLOOKUP(Calculator!E23,tbSkills!DH3:DJ6,3,FALSE),0),0))&gt;=100,100,(Backdoors!AI12+IF(GI8&gt;=0.45,VLOOKUP(Calculator!E23,tbSkills!DH3:DI6,2,FALSE)+IF(AND(Calculator!B8=TRUE,Backdoors!BI30=TRUE),VLOOKUP(Calculator!E23,tbSkills!DH3:DJ6,3,FALSE),0),0)))/100)),1))*IF(VLOOKUP(A8,tbMoveset!A2:K112,11,FALSE)=TRUE,Backdoors!AC5,1))*GJ8,0),"")</f>
        <v>0</v>
      </c>
      <c r="GN8" s="49">
        <f>VLOOKUP(A8,tbMoveset!A2:G112,7,FALSE)*IFERROR(IF(Backdoors!AI12&gt;=0,1+(IF(Calculator!E40&gt;0,VLOOKUP(Calculator!E40,tbSkills!AI3:AJ5,2,FALSE),Backdoors!AL4)*(IF((Backdoors!AI12+IF(GI8&gt;=0.45,VLOOKUP(Calculator!E23,tbSkills!DH3:DI6,2,FALSE)+IF(AND(Calculator!B8=TRUE,Backdoors!BI30=TRUE),VLOOKUP(Calculator!E23,tbSkills!DH3:DJ6,3,FALSE),0),0))&gt;=100,100,(Backdoors!AI12+IF(GI8&gt;=0.45,VLOOKUP(Calculator!E23,tbSkills!DH3:DI6,2,FALSE)+IF(AND(Calculator!B8=TRUE,Backdoors!BI30=TRUE),VLOOKUP(Calculator!E23,tbSkills!DH3:DJ6,3,FALSE),0),0)))/100)),1),1)</f>
        <v>0.5</v>
      </c>
      <c r="GO8" s="87">
        <f t="shared" si="20"/>
        <v>0</v>
      </c>
      <c r="GP8" s="86" t="str">
        <f>IFERROR(IF(VLOOKUP(A8,tbMoveset!A2:B112,2,FALSE)="Sever",Backdoors!AY31/100,IF(VLOOKUP(A8,tbMoveset!A2:B112,2,FALSE)="Blunt",Backdoors!AZ31/100,Backdoors!BA31/100)),"")</f>
        <v/>
      </c>
      <c r="GQ8" s="49">
        <f>IFERROR(IF(VLOOKUP(tbMoveset!A8,tbMoveset!A2:H112,8,FALSE)="Other",IF(VLOOKUP(tbMoveset!A8,tbMoveset!A2:I112,9,FALSE)="Fire",Backdoors!BB31,IF(VLOOKUP(tbMoveset!A8,tbMoveset!A2:I112,9,FALSE)="Water",Backdoors!BC31,IF(VLOOKUP(tbMoveset!A8,tbMoveset!A2:I112,9,FALSE)="Thunder",Backdoors!BD31,IF(VLOOKUP(tbMoveset!A8,tbMoveset!A2:I112,9,FALSE)="Ice",Backdoors!BE31,IF(VLOOKUP(tbMoveset!A8,tbMoveset!A2:I112,9,FALSE)="Dragon",Backdoors!BF31,Backdoors!BG31)))))/100,Backdoors!BG31/100),"")</f>
        <v>0</v>
      </c>
      <c r="GR8" s="49">
        <f>IFERROR(IF(VLOOKUP(A8,tbMoveset!A2:J112,10,FALSE)=TRUE,IF((Backdoors!AI12+IF(GP8&gt;=0.45,VLOOKUP(Calculator!E23,tbSkills!DH3:DI6,2,FALSE)+IF(AND(Calculator!B8=TRUE,Backdoors!BI31=TRUE),VLOOKUP(Calculator!E23,tbSkills!DH3:DJ6,3,FALSE),0),0))&gt;=0,1+(Backdoors!AL2*(IF((Backdoors!AI12+IF(GP8&gt;=0.45,VLOOKUP(Calculator!E23,tbSkills!DH3:DI6,2,FALSE)+IF(AND(Calculator!B8=TRUE,Backdoors!BI31=TRUE),VLOOKUP(Calculator!E23,tbSkills!DH3:DJ6,3,FALSE),0),0))&gt;=100,100,(Backdoors!AI12+IF(GP8&gt;=0.45,VLOOKUP(Calculator!E23,tbSkills!DH3:DI6,2,FALSE)+IF(AND(Calculator!B8=TRUE,Backdoors!BI31=TRUE),VLOOKUP(Calculator!E23,tbSkills!DH3:DJ6,3,FALSE),0),0)))/100)),(1-(0.25*((-Backdoors!AI12-IF(GP8&gt;=0.45,VLOOKUP(Calculator!E23,tbSkills!DH3:DI6,2,FALSE)+IF(AND(Calculator!B8=TRUE,Backdoors!BI31=TRUE),VLOOKUP(Calculator!E23,tbSkills!DH3:DJ6,3,FALSE),0),0))/100)))),1),"")</f>
        <v>1</v>
      </c>
      <c r="GS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P8)*GR8)*(VLOOKUP(A8,tbMoveset!A2:C112,3,FALSE)/100)*IF(VLOOKUP(A8,tbMoveset!A2:B112,2,FALSE)="Projectile",Backdoors!N10,Backdoors!N9),0),"")</f>
        <v/>
      </c>
      <c r="GT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P8&gt;=0.45,VLOOKUP(Calculator!E23,tbSkills!DH3:DI6,2,FALSE)+IF(AND(Calculator!B8=TRUE,Backdoors!BI31=TRUE),VLOOKUP(Calculator!E23,tbSkills!DH3:DJ6,3,FALSE),0),0))&gt;=100,100,(Backdoors!AI12+IF(GP8&gt;=0.45,VLOOKUP(Calculator!E23,tbSkills!DH3:DI6,2,FALSE)+IF(AND(Calculator!B8=TRUE,Backdoors!BI31=TRUE),VLOOKUP(Calculator!E23,tbSkills!DH3:DJ6,3,FALSE),0),0)))/100)),1))*IF(VLOOKUP(A8,tbMoveset!A2:K112,11,FALSE)=TRUE,Backdoors!AC5,1))*GQ8,0),"")</f>
        <v>0</v>
      </c>
      <c r="GU8" s="49">
        <f>VLOOKUP(A8,tbMoveset!A2:G112,7,FALSE)*IFERROR(IF(Backdoors!AI12&gt;=0,1+(IF(Calculator!E40&gt;0,VLOOKUP(Calculator!E40,tbSkills!AI3:AJ5,2,FALSE),Backdoors!AL4)*(IF((Backdoors!AI12+IF(GP8&gt;=0.45,VLOOKUP(Calculator!E23,tbSkills!DH3:DI6,2,FALSE)+IF(AND(Calculator!B8=TRUE,Backdoors!BI31=TRUE),VLOOKUP(Calculator!E23,tbSkills!DH3:DJ6,3,FALSE),0),0))&gt;=100,100,(Backdoors!AI12+IF(GP8&gt;=0.45,VLOOKUP(Calculator!E23,tbSkills!DH3:DI6,2,FALSE)+IF(AND(Calculator!B8=TRUE,Backdoors!BI31=TRUE),VLOOKUP(Calculator!E23,tbSkills!DH3:DJ6,3,FALSE),0),0)))/100)),1),1)</f>
        <v>0.5</v>
      </c>
      <c r="GV8" s="87">
        <f t="shared" si="21"/>
        <v>0</v>
      </c>
      <c r="GW8" s="86" t="str">
        <f>IFERROR(IF(VLOOKUP(A8,tbMoveset!A2:B112,2,FALSE)="Sever",Backdoors!AY32/100,IF(VLOOKUP(A8,tbMoveset!A2:B112,2,FALSE)="Blunt",Backdoors!AZ32/100,Backdoors!BA32/100)),"")</f>
        <v/>
      </c>
      <c r="GX8" s="49">
        <f>IFERROR(IF(VLOOKUP(tbMoveset!A8,tbMoveset!A2:H112,8,FALSE)="Other",IF(VLOOKUP(tbMoveset!A8,tbMoveset!A2:I112,9,FALSE)="Fire",Backdoors!BB32,IF(VLOOKUP(tbMoveset!A8,tbMoveset!A2:I112,9,FALSE)="Water",Backdoors!BC32,IF(VLOOKUP(tbMoveset!A8,tbMoveset!A2:I112,9,FALSE)="Thunder",Backdoors!BD32,IF(VLOOKUP(tbMoveset!A8,tbMoveset!A2:I112,9,FALSE)="Ice",Backdoors!BE32,IF(VLOOKUP(tbMoveset!A8,tbMoveset!A2:I112,9,FALSE)="Dragon",Backdoors!BF32,Backdoors!BG32)))))/100,Backdoors!BG32/100),"")</f>
        <v>0</v>
      </c>
      <c r="GY8" s="49">
        <f>IFERROR(IF(VLOOKUP(A8,tbMoveset!A2:J112,10,FALSE)=TRUE,IF((Backdoors!AI12+IF(GW8&gt;=0.45,VLOOKUP(Calculator!E23,tbSkills!DH3:DI6,2,FALSE)+IF(AND(Calculator!B8=TRUE,Backdoors!BI32=TRUE),VLOOKUP(Calculator!E23,tbSkills!DH3:DJ6,3,FALSE),0),0))&gt;=0,1+(Backdoors!AL2*(IF((Backdoors!AI12+IF(GW8&gt;=0.45,VLOOKUP(Calculator!E23,tbSkills!DH3:DI6,2,FALSE)+IF(AND(Calculator!B8=TRUE,Backdoors!BI32=TRUE),VLOOKUP(Calculator!E23,tbSkills!DH3:DJ6,3,FALSE),0),0))&gt;=100,100,(Backdoors!AI12+IF(GW8&gt;=0.45,VLOOKUP(Calculator!E23,tbSkills!DH3:DI6,2,FALSE)+IF(AND(Calculator!B8=TRUE,Backdoors!BI32=TRUE),VLOOKUP(Calculator!E23,tbSkills!DH3:DJ6,3,FALSE),0),0)))/100)),(1-(0.25*((-Backdoors!AI12-IF(GW8&gt;=0.45,VLOOKUP(Calculator!E23,tbSkills!DH3:DI6,2,FALSE)+IF(AND(Calculator!B8=TRUE,Backdoors!BI32=TRUE),VLOOKUP(Calculator!E23,tbSkills!DH3:DJ6,3,FALSE),0),0))/100)))),1),"")</f>
        <v>1</v>
      </c>
      <c r="GZ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W8)*GY8)*(VLOOKUP(A8,tbMoveset!A2:C112,3,FALSE)/100)*IF(VLOOKUP(A8,tbMoveset!A2:B112,2,FALSE)="Projectile",Backdoors!N10,Backdoors!N9),0),"")</f>
        <v/>
      </c>
      <c r="HA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W8&gt;=0.45,VLOOKUP(Calculator!E23,tbSkills!DH3:DI6,2,FALSE)+IF(AND(Calculator!B8=TRUE,Backdoors!BI32=TRUE),VLOOKUP(Calculator!E23,tbSkills!DH3:DJ6,3,FALSE),0),0))&gt;=100,100,(Backdoors!AI12+IF(GW8&gt;=0.45,VLOOKUP(Calculator!E23,tbSkills!DH3:DI6,2,FALSE)+IF(AND(Calculator!B8=TRUE,Backdoors!BI32=TRUE),VLOOKUP(Calculator!E23,tbSkills!DH3:DJ6,3,FALSE),0),0)))/100)),1))*IF(VLOOKUP(A8,tbMoveset!A2:K112,11,FALSE)=TRUE,Backdoors!AC5,1))*GX8,0),"")</f>
        <v>0</v>
      </c>
      <c r="HB8" s="49">
        <f>VLOOKUP(A8,tbMoveset!A2:G112,7,FALSE)*IFERROR(IF(Backdoors!AI12&gt;=0,1+(IF(Calculator!E40&gt;0,VLOOKUP(Calculator!E40,tbSkills!AI3:AJ5,2,FALSE),Backdoors!AL4)*(IF((Backdoors!AI12+IF(GW8&gt;=0.45,VLOOKUP(Calculator!E23,tbSkills!DH3:DI6,2,FALSE)+IF(AND(Calculator!B8=TRUE,Backdoors!BI32=TRUE),VLOOKUP(Calculator!E23,tbSkills!DH3:DJ6,3,FALSE),0),0))&gt;=100,100,(Backdoors!AI12+IF(GW8&gt;=0.45,VLOOKUP(Calculator!E23,tbSkills!DH3:DI6,2,FALSE)+IF(AND(Calculator!B8=TRUE,Backdoors!BI32=TRUE),VLOOKUP(Calculator!E23,tbSkills!DH3:DJ6,3,FALSE),0),0)))/100)),1),1)</f>
        <v>0.5</v>
      </c>
      <c r="HC8" s="87">
        <f t="shared" si="22"/>
        <v>0</v>
      </c>
      <c r="HD8" s="86" t="str">
        <f>IFERROR(IF(VLOOKUP(A8,tbMoveset!A2:B112,2,FALSE)="Sever",Backdoors!AY33/100,IF(VLOOKUP(A8,tbMoveset!A2:B112,2,FALSE)="Blunt",Backdoors!AZ33/100,Backdoors!BA33/100)),"")</f>
        <v/>
      </c>
      <c r="HE8" s="49">
        <f>IFERROR(IF(VLOOKUP(tbMoveset!A8,tbMoveset!A2:H112,8,FALSE)="Other",IF(VLOOKUP(tbMoveset!A8,tbMoveset!A2:I112,9,FALSE)="Fire",Backdoors!BB33,IF(VLOOKUP(tbMoveset!A8,tbMoveset!A2:I112,9,FALSE)="Water",Backdoors!BC33,IF(VLOOKUP(tbMoveset!A8,tbMoveset!A2:I112,9,FALSE)="Thunder",Backdoors!BD33,IF(VLOOKUP(tbMoveset!A8,tbMoveset!A2:I112,9,FALSE)="Ice",Backdoors!BE33,IF(VLOOKUP(tbMoveset!A8,tbMoveset!A2:I112,9,FALSE)="Dragon",Backdoors!BF33,Backdoors!BG33)))))/100,Backdoors!BG33/100),"")</f>
        <v>0</v>
      </c>
      <c r="HF8" s="49">
        <f>IFERROR(IF(VLOOKUP(A8,tbMoveset!A2:J112,10,FALSE)=TRUE,IF((Backdoors!AI12+IF(HD8&gt;=0.45,VLOOKUP(Calculator!E23,tbSkills!DH3:DI6,2,FALSE)+IF(AND(Calculator!B8=TRUE,Backdoors!BI33=TRUE),VLOOKUP(Calculator!E23,tbSkills!DH3:DJ6,3,FALSE),0),0))&gt;=0,1+(Backdoors!AL2*(IF((Backdoors!AI12+IF(HD8&gt;=0.45,VLOOKUP(Calculator!E23,tbSkills!DH3:DI6,2,FALSE)+IF(AND(Calculator!B8=TRUE,Backdoors!BI33=TRUE),VLOOKUP(Calculator!E23,tbSkills!DH3:DJ6,3,FALSE),0),0))&gt;=100,100,(Backdoors!AI12+IF(HD8&gt;=0.45,VLOOKUP(Calculator!E23,tbSkills!DH3:DI6,2,FALSE)+IF(AND(Calculator!B8=TRUE,Backdoors!BI33=TRUE),VLOOKUP(Calculator!E23,tbSkills!DH3:DJ6,3,FALSE),0),0)))/100)),(1-(0.25*((-Backdoors!AI12-IF(HD8&gt;=0.45,VLOOKUP(Calculator!E23,tbSkills!DH3:DI6,2,FALSE)+IF(AND(Calculator!B8=TRUE,Backdoors!BI33=TRUE),VLOOKUP(Calculator!E23,tbSkills!DH3:DJ6,3,FALSE),0),0))/100)))),1),"")</f>
        <v>1</v>
      </c>
      <c r="HG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D8)*HF8)*(VLOOKUP(A8,tbMoveset!A2:C112,3,FALSE)/100)*IF(VLOOKUP(A8,tbMoveset!A2:B112,2,FALSE)="Projectile",Backdoors!N10,Backdoors!N9),0),"")</f>
        <v/>
      </c>
      <c r="HH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D8&gt;=0.45,VLOOKUP(Calculator!E23,tbSkills!DH3:DI6,2,FALSE)+IF(AND(Calculator!B8=TRUE,Backdoors!BI33=TRUE),VLOOKUP(Calculator!E23,tbSkills!DH3:DJ6,3,FALSE),0),0))&gt;=100,100,(Backdoors!AI12+IF(HD8&gt;=0.45,VLOOKUP(Calculator!E23,tbSkills!DH3:DI6,2,FALSE)+IF(AND(Calculator!B8=TRUE,Backdoors!BI33=TRUE),VLOOKUP(Calculator!E23,tbSkills!DH3:DJ6,3,FALSE),0),0)))/100)),1))*IF(VLOOKUP(A8,tbMoveset!A2:K112,11,FALSE)=TRUE,Backdoors!AC5,1))*HE8,0),"")</f>
        <v>0</v>
      </c>
      <c r="HI8" s="49">
        <f>VLOOKUP(A8,tbMoveset!A2:G112,7,FALSE)*IFERROR(IF(Backdoors!AI12&gt;=0,1+(IF(Calculator!E40&gt;0,VLOOKUP(Calculator!E40,tbSkills!AI3:AJ5,2,FALSE),Backdoors!AL4)*(IF((Backdoors!AI12+IF(HD8&gt;=0.45,VLOOKUP(Calculator!E23,tbSkills!DH3:DI6,2,FALSE)+IF(AND(Calculator!B8=TRUE,Backdoors!BI33=TRUE),VLOOKUP(Calculator!E23,tbSkills!DH3:DJ6,3,FALSE),0),0))&gt;=100,100,(Backdoors!AI12+IF(HD8&gt;=0.45,VLOOKUP(Calculator!E23,tbSkills!DH3:DI6,2,FALSE)+IF(AND(Calculator!B8=TRUE,Backdoors!BI33=TRUE),VLOOKUP(Calculator!E23,tbSkills!DH3:DJ6,3,FALSE),0),0)))/100)),1),1)</f>
        <v>0.5</v>
      </c>
      <c r="HJ8" s="87">
        <f t="shared" si="23"/>
        <v>0</v>
      </c>
      <c r="HK8" s="86" t="str">
        <f>IFERROR(IF(VLOOKUP(A8,tbMoveset!A2:B112,2,FALSE)="Sever",Backdoors!AY34/100,IF(VLOOKUP(A8,tbMoveset!A2:B112,2,FALSE)="Blunt",Backdoors!AZ34/100,Backdoors!BA34/100)),"")</f>
        <v/>
      </c>
      <c r="HL8" s="49">
        <f>IFERROR(IF(VLOOKUP(tbMoveset!A8,tbMoveset!A2:H112,8,FALSE)="Other",IF(VLOOKUP(tbMoveset!A8,tbMoveset!A2:I112,9,FALSE)="Fire",Backdoors!BB34,IF(VLOOKUP(tbMoveset!A8,tbMoveset!A2:I112,9,FALSE)="Water",Backdoors!BC34,IF(VLOOKUP(tbMoveset!A8,tbMoveset!A2:I112,9,FALSE)="Thunder",Backdoors!BD34,IF(VLOOKUP(tbMoveset!A8,tbMoveset!A2:I112,9,FALSE)="Ice",Backdoors!BE34,IF(VLOOKUP(tbMoveset!A8,tbMoveset!A2:I112,9,FALSE)="Dragon",Backdoors!BF34,Backdoors!BG34)))))/100,Backdoors!BG34/100),"")</f>
        <v>0</v>
      </c>
      <c r="HM8" s="49">
        <f>IFERROR(IF(VLOOKUP(A8,tbMoveset!A2:J112,10,FALSE)=TRUE,IF((Backdoors!AI12+IF(HK8&gt;=0.45,VLOOKUP(Calculator!E23,tbSkills!DH3:DI6,2,FALSE)+IF(AND(Calculator!B8=TRUE,Backdoors!BI34=TRUE),VLOOKUP(Calculator!E23,tbSkills!DH3:DJ6,3,FALSE),0),0))&gt;=0,1+(Backdoors!AL2*(IF((Backdoors!AI12+IF(HK8&gt;=0.45,VLOOKUP(Calculator!E23,tbSkills!DH3:DI6,2,FALSE)+IF(AND(Calculator!B8=TRUE,Backdoors!BI34=TRUE),VLOOKUP(Calculator!E23,tbSkills!DH3:DJ6,3,FALSE),0),0))&gt;=100,100,(Backdoors!AI12+IF(HK8&gt;=0.45,VLOOKUP(Calculator!E23,tbSkills!DH3:DI6,2,FALSE)+IF(AND(Calculator!B8=TRUE,Backdoors!BI34=TRUE),VLOOKUP(Calculator!E23,tbSkills!DH3:DJ6,3,FALSE),0),0)))/100)),(1-(0.25*((-Backdoors!AI12-IF(HK8&gt;=0.45,VLOOKUP(Calculator!E23,tbSkills!DH3:DI6,2,FALSE)+IF(AND(Calculator!B8=TRUE,Backdoors!BI34=TRUE),VLOOKUP(Calculator!E23,tbSkills!DH3:DJ6,3,FALSE),0),0))/100)))),1),"")</f>
        <v>1</v>
      </c>
      <c r="HN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K8)*HM8)*(VLOOKUP(A8,tbMoveset!A2:C112,3,FALSE)/100)*IF(VLOOKUP(A8,tbMoveset!A2:B112,2,FALSE)="Projectile",Backdoors!N10,Backdoors!N9),0),"")</f>
        <v/>
      </c>
      <c r="HO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K8&gt;=0.45,VLOOKUP(Calculator!E23,tbSkills!DH3:DI6,2,FALSE)+IF(AND(Calculator!B8=TRUE,Backdoors!BI34=TRUE),VLOOKUP(Calculator!E23,tbSkills!DH3:DJ6,3,FALSE),0),0))&gt;=100,100,(Backdoors!AI12+IF(HK8&gt;=0.45,VLOOKUP(Calculator!E23,tbSkills!DH3:DI6,2,FALSE)+IF(AND(Calculator!B8=TRUE,Backdoors!BI34=TRUE),VLOOKUP(Calculator!E23,tbSkills!DH3:DJ6,3,FALSE),0),0)))/100)),1))*IF(VLOOKUP(A8,tbMoveset!A2:K112,11,FALSE)=TRUE,Backdoors!AC5,1))*HL8,0),"")</f>
        <v>0</v>
      </c>
      <c r="HP8" s="49">
        <f>VLOOKUP(A8,tbMoveset!A2:G112,7,FALSE)*IFERROR(IF(Backdoors!AI12&gt;=0,1+(IF(Calculator!E40&gt;0,VLOOKUP(Calculator!E40,tbSkills!AI3:AJ5,2,FALSE),Backdoors!AL4)*(IF((Backdoors!AI12+IF(HK8&gt;=0.45,VLOOKUP(Calculator!E23,tbSkills!DH3:DI6,2,FALSE)+IF(AND(Calculator!B8=TRUE,Backdoors!BI34=TRUE),VLOOKUP(Calculator!E23,tbSkills!DH3:DJ6,3,FALSE),0),0))&gt;=100,100,(Backdoors!AI12+IF(HK8&gt;=0.45,VLOOKUP(Calculator!E23,tbSkills!DH3:DI6,2,FALSE)+IF(AND(Calculator!B8=TRUE,Backdoors!BI34=TRUE),VLOOKUP(Calculator!E23,tbSkills!DH3:DJ6,3,FALSE),0),0)))/100)),1),1)</f>
        <v>0.5</v>
      </c>
      <c r="HQ8" s="87">
        <f t="shared" si="24"/>
        <v>0</v>
      </c>
      <c r="HR8" s="86" t="str">
        <f>IFERROR(IF(VLOOKUP(A8,tbMoveset!A2:B112,2,FALSE)="Sever",Backdoors!AY35/100,IF(VLOOKUP(A8,tbMoveset!A2:B112,2,FALSE)="Blunt",Backdoors!AZ35/100,Backdoors!BA35/100)),"")</f>
        <v/>
      </c>
      <c r="HS8" s="49">
        <f>IFERROR(IF(VLOOKUP(tbMoveset!A8,tbMoveset!A2:H112,8,FALSE)="Other",IF(VLOOKUP(tbMoveset!A8,tbMoveset!A2:I112,9,FALSE)="Fire",Backdoors!BB35,IF(VLOOKUP(tbMoveset!A8,tbMoveset!A2:I112,9,FALSE)="Water",Backdoors!BC35,IF(VLOOKUP(tbMoveset!A8,tbMoveset!A2:I112,9,FALSE)="Thunder",Backdoors!BD35,IF(VLOOKUP(tbMoveset!A8,tbMoveset!A2:I112,9,FALSE)="Ice",Backdoors!BE35,IF(VLOOKUP(tbMoveset!A8,tbMoveset!A2:I112,9,FALSE)="Dragon",Backdoors!BF35,Backdoors!BG35)))))/100,Backdoors!BG35/100),"")</f>
        <v>0</v>
      </c>
      <c r="HT8" s="49">
        <f>IFERROR(IF(VLOOKUP(A8,tbMoveset!A2:J112,10,FALSE)=TRUE,IF((Backdoors!AI12+IF(HR8&gt;=0.45,VLOOKUP(Calculator!E23,tbSkills!DH3:DI6,2,FALSE)+IF(AND(Calculator!B8=TRUE,Backdoors!BI35=TRUE),VLOOKUP(Calculator!E23,tbSkills!DH3:DJ6,3,FALSE),0),0))&gt;=0,1+(Backdoors!AL2*(IF((Backdoors!AI12+IF(HR8&gt;=0.45,VLOOKUP(Calculator!E23,tbSkills!DH3:DI6,2,FALSE)+IF(AND(Calculator!B8=TRUE,Backdoors!BI35=TRUE),VLOOKUP(Calculator!E23,tbSkills!DH3:DJ6,3,FALSE),0),0))&gt;=100,100,(Backdoors!AI12+IF(HR8&gt;=0.45,VLOOKUP(Calculator!E23,tbSkills!DH3:DI6,2,FALSE)+IF(AND(Calculator!B8=TRUE,Backdoors!BI35=TRUE),VLOOKUP(Calculator!E23,tbSkills!DH3:DJ6,3,FALSE),0),0)))/100)),(1-(0.25*((-Backdoors!AI12-IF(HR8&gt;=0.45,VLOOKUP(Calculator!E23,tbSkills!DH3:DI6,2,FALSE)+IF(AND(Calculator!B8=TRUE,Backdoors!BI35=TRUE),VLOOKUP(Calculator!E23,tbSkills!DH3:DJ6,3,FALSE),0),0))/100)))),1),"")</f>
        <v>1</v>
      </c>
      <c r="HU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R8)*HT8)*(VLOOKUP(A8,tbMoveset!A2:C112,3,FALSE)/100)*IF(VLOOKUP(A8,tbMoveset!A2:B112,2,FALSE)="Projectile",Backdoors!N10,Backdoors!N9),0),"")</f>
        <v/>
      </c>
      <c r="HV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R8&gt;=0.45,VLOOKUP(Calculator!E23,tbSkills!DH3:DI6,2,FALSE)+IF(AND(Calculator!B8=TRUE,Backdoors!BI35=TRUE),VLOOKUP(Calculator!E23,tbSkills!DH3:DJ6,3,FALSE),0),0))&gt;=100,100,(Backdoors!AI12+IF(HR8&gt;=0.45,VLOOKUP(Calculator!E23,tbSkills!DH3:DI6,2,FALSE)+IF(AND(Calculator!B8=TRUE,Backdoors!BI35=TRUE),VLOOKUP(Calculator!E23,tbSkills!DH3:DJ6,3,FALSE),0),0)))/100)),1))*IF(VLOOKUP(A8,tbMoveset!A2:K112,11,FALSE)=TRUE,Backdoors!AC5,1))*HS8,0),"")</f>
        <v>0</v>
      </c>
      <c r="HW8" s="49">
        <f>VLOOKUP(A8,tbMoveset!A2:G112,7,FALSE)*IFERROR(IF(Backdoors!AI12&gt;=0,1+(IF(Calculator!E40&gt;0,VLOOKUP(Calculator!E40,tbSkills!AI3:AJ5,2,FALSE),Backdoors!AL4)*(IF((Backdoors!AI12+IF(HR8&gt;=0.45,VLOOKUP(Calculator!E23,tbSkills!DH3:DI6,2,FALSE)+IF(AND(Calculator!B8=TRUE,Backdoors!BI35=TRUE),VLOOKUP(Calculator!E23,tbSkills!DH3:DJ6,3,FALSE),0),0))&gt;=100,100,(Backdoors!AI12+IF(HR8&gt;=0.45,VLOOKUP(Calculator!E23,tbSkills!DH3:DI6,2,FALSE)+IF(AND(Calculator!B8=TRUE,Backdoors!BI35=TRUE),VLOOKUP(Calculator!E23,tbSkills!DH3:DJ6,3,FALSE),0),0)))/100)),1),1)</f>
        <v>0.5</v>
      </c>
      <c r="HX8" s="87">
        <f t="shared" si="25"/>
        <v>0</v>
      </c>
      <c r="HY8" s="86" t="str">
        <f>IFERROR(IF(VLOOKUP(A8,tbMoveset!A2:B112,2,FALSE)="Sever",Backdoors!AY36/100,IF(VLOOKUP(A8,tbMoveset!A2:B112,2,FALSE)="Blunt",Backdoors!AZ36/100,Backdoors!BA36/100)),"")</f>
        <v/>
      </c>
      <c r="HZ8" s="49">
        <f>IFERROR(IF(VLOOKUP(tbMoveset!A8,tbMoveset!A2:H112,8,FALSE)="Other",IF(VLOOKUP(tbMoveset!A8,tbMoveset!A2:I112,9,FALSE)="Fire",Backdoors!BB36,IF(VLOOKUP(tbMoveset!A8,tbMoveset!A2:I112,9,FALSE)="Water",Backdoors!BC36,IF(VLOOKUP(tbMoveset!A8,tbMoveset!A2:I112,9,FALSE)="Thunder",Backdoors!BD36,IF(VLOOKUP(tbMoveset!A8,tbMoveset!A2:I112,9,FALSE)="Ice",Backdoors!BE36,IF(VLOOKUP(tbMoveset!A8,tbMoveset!A2:I112,9,FALSE)="Dragon",Backdoors!BF36,Backdoors!BG36)))))/100,Backdoors!BG36/100),"")</f>
        <v>0</v>
      </c>
      <c r="IA8" s="49">
        <f>IFERROR(IF(VLOOKUP(A8,tbMoveset!A2:J112,10,FALSE)=TRUE,IF((Backdoors!AI12+IF(HY8&gt;=0.45,VLOOKUP(Calculator!E23,tbSkills!DH3:DI6,2,FALSE)+IF(AND(Calculator!B8=TRUE,Backdoors!BI36=TRUE),VLOOKUP(Calculator!E23,tbSkills!DH3:DJ6,3,FALSE),0),0))&gt;=0,1+(Backdoors!AL2*(IF((Backdoors!AI12+IF(HY8&gt;=0.45,VLOOKUP(Calculator!E23,tbSkills!DH3:DI6,2,FALSE)+IF(AND(Calculator!B8=TRUE,Backdoors!BI36=TRUE),VLOOKUP(Calculator!E23,tbSkills!DH3:DJ6,3,FALSE),0),0))&gt;=100,100,(Backdoors!AI12+IF(HY8&gt;=0.45,VLOOKUP(Calculator!E23,tbSkills!DH3:DI6,2,FALSE)+IF(AND(Calculator!B8=TRUE,Backdoors!BI36=TRUE),VLOOKUP(Calculator!E23,tbSkills!DH3:DJ6,3,FALSE),0),0)))/100)),(1-(0.25*((-Backdoors!AI12-IF(HY8&gt;=0.45,VLOOKUP(Calculator!E23,tbSkills!DH3:DI6,2,FALSE)+IF(AND(Calculator!B8=TRUE,Backdoors!BI36=TRUE),VLOOKUP(Calculator!E23,tbSkills!DH3:DJ6,3,FALSE),0),0))/100)))),1),"")</f>
        <v>1</v>
      </c>
      <c r="IB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Y8)*IA8)*(VLOOKUP(A8,tbMoveset!A2:C112,3,FALSE)/100)*IF(VLOOKUP(A8,tbMoveset!A2:B112,2,FALSE)="Projectile",Backdoors!N10,Backdoors!N9),0),"")</f>
        <v/>
      </c>
      <c r="IC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Y8&gt;=0.45,VLOOKUP(Calculator!E23,tbSkills!DH3:DI6,2,FALSE)+IF(AND(Calculator!B8=TRUE,Backdoors!BI36=TRUE),VLOOKUP(Calculator!E23,tbSkills!DH3:DJ6,3,FALSE),0),0))&gt;=100,100,(Backdoors!AI12+IF(HY8&gt;=0.45,VLOOKUP(Calculator!E23,tbSkills!DH3:DI6,2,FALSE)+IF(AND(Calculator!B8=TRUE,Backdoors!BI36=TRUE),VLOOKUP(Calculator!E23,tbSkills!DH3:DJ6,3,FALSE),0),0)))/100)),1))*IF(VLOOKUP(A8,tbMoveset!A2:K112,11,FALSE)=TRUE,Backdoors!AC5,1))*HZ8,0),"")</f>
        <v>0</v>
      </c>
      <c r="ID8" s="49">
        <f>VLOOKUP(A8,tbMoveset!A2:G112,7,FALSE)*IFERROR(IF(Backdoors!AI12&gt;=0,1+(IF(Calculator!E40&gt;0,VLOOKUP(Calculator!E40,tbSkills!AI3:AJ5,2,FALSE),Backdoors!AL4)*(IF((Backdoors!AI12+IF(HY8&gt;=0.45,VLOOKUP(Calculator!E23,tbSkills!DH3:DI6,2,FALSE)+IF(AND(Calculator!B8=TRUE,Backdoors!BI36=TRUE),VLOOKUP(Calculator!E23,tbSkills!DH3:DJ6,3,FALSE),0),0))&gt;=100,100,(Backdoors!AI12+IF(HY8&gt;=0.45,VLOOKUP(Calculator!E23,tbSkills!DH3:DI6,2,FALSE)+IF(AND(Calculator!B8=TRUE,Backdoors!BI36=TRUE),VLOOKUP(Calculator!E23,tbSkills!DH3:DJ6,3,FALSE),0),0)))/100)),1),1)</f>
        <v>0.5</v>
      </c>
      <c r="IE8" s="87">
        <f t="shared" si="26"/>
        <v>0</v>
      </c>
      <c r="IF8" s="86" t="str">
        <f>IFERROR(IF(VLOOKUP(A8,tbMoveset!A2:B112,2,FALSE)="Sever",Backdoors!AY37/100,IF(VLOOKUP(A8,tbMoveset!A2:B112,2,FALSE)="Blunt",Backdoors!AZ37/100,Backdoors!BA37/100)),"")</f>
        <v/>
      </c>
      <c r="IG8" s="49">
        <f>IFERROR(IF(VLOOKUP(tbMoveset!A8,tbMoveset!A2:H112,8,FALSE)="Other",IF(VLOOKUP(tbMoveset!A8,tbMoveset!A2:I112,9,FALSE)="Fire",Backdoors!BB37,IF(VLOOKUP(tbMoveset!A8,tbMoveset!A2:I112,9,FALSE)="Water",Backdoors!BC37,IF(VLOOKUP(tbMoveset!A8,tbMoveset!A2:I112,9,FALSE)="Thunder",Backdoors!BD37,IF(VLOOKUP(tbMoveset!A8,tbMoveset!A2:I112,9,FALSE)="Ice",Backdoors!BE37,IF(VLOOKUP(tbMoveset!A8,tbMoveset!A2:I112,9,FALSE)="Dragon",Backdoors!BF37,Backdoors!BG37)))))/100,Backdoors!BG37/100),"")</f>
        <v>0</v>
      </c>
      <c r="IH8" s="49">
        <f>IFERROR(IF(VLOOKUP(A8,tbMoveset!A2:J112,10,FALSE)=TRUE,IF((Backdoors!AI12+IF(IF8&gt;=0.45,VLOOKUP(Calculator!E23,tbSkills!DH3:DI6,2,FALSE)+IF(AND(Calculator!B8=TRUE,Backdoors!BI37=TRUE),VLOOKUP(Calculator!E23,tbSkills!DH3:DJ6,3,FALSE),0),0))&gt;=0,1+(Backdoors!AL2*(IF((Backdoors!AI12+IF(IF8&gt;=0.45,VLOOKUP(Calculator!E23,tbSkills!DH3:DI6,2,FALSE)+IF(AND(Calculator!B8=TRUE,Backdoors!BI37=TRUE),VLOOKUP(Calculator!E23,tbSkills!DH3:DJ6,3,FALSE),0),0))&gt;=100,100,(Backdoors!AI12+IF(IF8&gt;=0.45,VLOOKUP(Calculator!E23,tbSkills!DH3:DI6,2,FALSE)+IF(AND(Calculator!B8=TRUE,Backdoors!BI37=TRUE),VLOOKUP(Calculator!E23,tbSkills!DH3:DJ6,3,FALSE),0),0)))/100)),(1-(0.25*((-Backdoors!AI12-IF(IF8&gt;=0.45,VLOOKUP(Calculator!E23,tbSkills!DH3:DI6,2,FALSE)+IF(AND(Calculator!B8=TRUE,Backdoors!BI37=TRUE),VLOOKUP(Calculator!E23,tbSkills!DH3:DJ6,3,FALSE),0),0))/100)))),1),"")</f>
        <v>1</v>
      </c>
      <c r="II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F8)*IH8)*(VLOOKUP(A8,tbMoveset!A2:C112,3,FALSE)/100)*IF(VLOOKUP(A8,tbMoveset!A2:B112,2,FALSE)="Projectile",Backdoors!N10,Backdoors!N9),0),"")</f>
        <v/>
      </c>
      <c r="IJ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IF8&gt;=0.45,VLOOKUP(Calculator!E23,tbSkills!DH3:DI6,2,FALSE)+IF(AND(Calculator!B8=TRUE,Backdoors!BI37=TRUE),VLOOKUP(Calculator!E23,tbSkills!DH3:DJ6,3,FALSE),0),0))&gt;=100,100,(Backdoors!AI12+IF(IF8&gt;=0.45,VLOOKUP(Calculator!E23,tbSkills!DH3:DI6,2,FALSE)+IF(AND(Calculator!B8=TRUE,Backdoors!BI37=TRUE),VLOOKUP(Calculator!E23,tbSkills!DH3:DJ6,3,FALSE),0),0)))/100)),1))*IF(VLOOKUP(A8,tbMoveset!A2:K112,11,FALSE)=TRUE,Backdoors!AC5,1))*IG8,0),"")</f>
        <v>0</v>
      </c>
      <c r="IK8" s="49">
        <f>VLOOKUP(A8,tbMoveset!A2:G112,7,FALSE)*IFERROR(IF(Backdoors!AI12&gt;=0,1+(IF(Calculator!E40&gt;0,VLOOKUP(Calculator!E40,tbSkills!AI3:AJ5,2,FALSE),Backdoors!AL4)*(IF((Backdoors!AI12+IF(IF8&gt;=0.45,VLOOKUP(Calculator!E23,tbSkills!DH3:DI6,2,FALSE)+IF(AND(Calculator!B8=TRUE,Backdoors!BI37=TRUE),VLOOKUP(Calculator!E23,tbSkills!DH3:DJ6,3,FALSE),0),0))&gt;=100,100,(Backdoors!AI12+IF(IF8&gt;=0.45,VLOOKUP(Calculator!E23,tbSkills!DH3:DI6,2,FALSE)+IF(AND(Calculator!B8=TRUE,Backdoors!BI37=TRUE),VLOOKUP(Calculator!E23,tbSkills!DH3:DJ6,3,FALSE),0),0)))/100)),1),1)</f>
        <v>0.5</v>
      </c>
      <c r="IL8" s="87">
        <f t="shared" si="27"/>
        <v>0</v>
      </c>
      <c r="IM8" s="86" t="str">
        <f>IFERROR(IF(VLOOKUP(A8,tbMoveset!A2:B112,2,FALSE)="Sever",Backdoors!AY38/100,IF(VLOOKUP(A8,tbMoveset!A2:B112,2,FALSE)="Blunt",Backdoors!AZ38/100,Backdoors!BA38/100)),"")</f>
        <v/>
      </c>
      <c r="IN8" s="49">
        <f>IFERROR(IF(VLOOKUP(tbMoveset!A8,tbMoveset!A2:H112,8,FALSE)="Other",IF(VLOOKUP(tbMoveset!A8,tbMoveset!A2:I112,9,FALSE)="Fire",Backdoors!BB38,IF(VLOOKUP(tbMoveset!A8,tbMoveset!A2:I112,9,FALSE)="Water",Backdoors!BC38,IF(VLOOKUP(tbMoveset!A8,tbMoveset!A2:I112,9,FALSE)="Thunder",Backdoors!BD38,IF(VLOOKUP(tbMoveset!A8,tbMoveset!A2:I112,9,FALSE)="Ice",Backdoors!BE38,IF(VLOOKUP(tbMoveset!A8,tbMoveset!A2:I112,9,FALSE)="Dragon",Backdoors!BF38,Backdoors!BG38)))))/100,Backdoors!BG38/100),"")</f>
        <v>0</v>
      </c>
      <c r="IO8" s="49">
        <f>IFERROR(IF(VLOOKUP(A8,tbMoveset!A2:J112,10,FALSE)=TRUE,IF((Backdoors!AI12+IF(IM8&gt;=0.45,VLOOKUP(Calculator!E23,tbSkills!DH3:DI6,2,FALSE)+IF(AND(Calculator!B8=TRUE,Backdoors!BI38=TRUE),VLOOKUP(Calculator!E23,tbSkills!DH3:DJ6,3,FALSE),0),0))&gt;=0,1+(Backdoors!AL2*(IF((Backdoors!AI12+IF(IM8&gt;=0.45,VLOOKUP(Calculator!E23,tbSkills!DH3:DI6,2,FALSE)+IF(AND(Calculator!B8=TRUE,Backdoors!BI38=TRUE),VLOOKUP(Calculator!E23,tbSkills!DH3:DJ6,3,FALSE),0),0))&gt;=100,100,(Backdoors!AI12+IF(IM8&gt;=0.45,VLOOKUP(Calculator!E23,tbSkills!DH3:DI6,2,FALSE)+IF(AND(Calculator!B8=TRUE,Backdoors!BI38=TRUE),VLOOKUP(Calculator!E23,tbSkills!DH3:DJ6,3,FALSE),0),0)))/100)),(1-(0.25*((-Backdoors!AI12-IF(IM8&gt;=0.45,VLOOKUP(Calculator!E23,tbSkills!DH3:DI6,2,FALSE)+IF(AND(Calculator!B8=TRUE,Backdoors!BI38=TRUE),VLOOKUP(Calculator!E23,tbSkills!DH3:DJ6,3,FALSE),0),0))/100)))),1),"")</f>
        <v>1</v>
      </c>
      <c r="IP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M8)*IO8)*(VLOOKUP(A8,tbMoveset!A2:C112,3,FALSE)/100)*IF(VLOOKUP(A8,tbMoveset!A2:B112,2,FALSE)="Projectile",Backdoors!N10,Backdoors!N9),0),"")</f>
        <v/>
      </c>
      <c r="IQ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IM8&gt;=0.45,VLOOKUP(Calculator!E23,tbSkills!DH3:DI6,2,FALSE)+IF(AND(Calculator!B8=TRUE,Backdoors!BI38=TRUE),VLOOKUP(Calculator!E23,tbSkills!DH3:DJ6,3,FALSE),0),0))&gt;=100,100,(Backdoors!AI12+IF(IM8&gt;=0.45,VLOOKUP(Calculator!E23,tbSkills!DH3:DI6,2,FALSE)+IF(AND(Calculator!B8=TRUE,Backdoors!BI38=TRUE),VLOOKUP(Calculator!E23,tbSkills!DH3:DJ6,3,FALSE),0),0)))/100)),1))*IF(VLOOKUP(A8,tbMoveset!A2:K112,11,FALSE)=TRUE,Backdoors!AC5,1))*IN8,0),"")</f>
        <v>0</v>
      </c>
      <c r="IR8" s="49">
        <f>VLOOKUP(A8,tbMoveset!A2:G112,7,FALSE)*IFERROR(IF(Backdoors!AI12&gt;=0,1+(IF(Calculator!E40&gt;0,VLOOKUP(Calculator!E40,tbSkills!AI3:AJ5,2,FALSE),Backdoors!AL4)*(IF((Backdoors!AI12+IF(IM8&gt;=0.45,VLOOKUP(Calculator!E23,tbSkills!DH3:DI6,2,FALSE)+IF(AND(Calculator!B8=TRUE,Backdoors!BI38=TRUE),VLOOKUP(Calculator!E23,tbSkills!DH3:DJ6,3,FALSE),0),0))&gt;=100,100,(Backdoors!AI12+IF(IM8&gt;=0.45,VLOOKUP(Calculator!E23,tbSkills!DH3:DI6,2,FALSE)+IF(AND(Calculator!B8=TRUE,Backdoors!BI38=TRUE),VLOOKUP(Calculator!E23,tbSkills!DH3:DJ6,3,FALSE),0),0)))/100)),1),1)</f>
        <v>0.5</v>
      </c>
      <c r="IS8" s="87">
        <f t="shared" si="42"/>
        <v>0</v>
      </c>
      <c r="IT8" s="86" t="str">
        <f>IFERROR(IF(VLOOKUP(A8,tbMoveset!A2:B112,2,FALSE)="Sever",Backdoors!AY39/100,IF(VLOOKUP(A8,tbMoveset!A2:B112,2,FALSE)="Blunt",Backdoors!AZ39/100,Backdoors!BA39/100)),"")</f>
        <v/>
      </c>
      <c r="IU8" s="49">
        <f>IFERROR(IF(VLOOKUP(tbMoveset!A8,tbMoveset!A2:H112,8,FALSE)="Other",IF(VLOOKUP(tbMoveset!A8,tbMoveset!A2:I112,9,FALSE)="Fire",Backdoors!BB39,IF(VLOOKUP(tbMoveset!A8,tbMoveset!A2:I112,9,FALSE)="Water",Backdoors!BC39,IF(VLOOKUP(tbMoveset!A8,tbMoveset!A2:I112,9,FALSE)="Thunder",Backdoors!BD39,IF(VLOOKUP(tbMoveset!A8,tbMoveset!A2:I112,9,FALSE)="Ice",Backdoors!BE39,IF(VLOOKUP(tbMoveset!A8,tbMoveset!A2:I112,9,FALSE)="Dragon",Backdoors!BF39,Backdoors!BG39)))))/100,Backdoors!BG39/100),"")</f>
        <v>0</v>
      </c>
      <c r="IV8" s="49">
        <f>IFERROR(IF(VLOOKUP(A8,tbMoveset!A2:J112,10,FALSE)=TRUE,IF((Backdoors!AI12+IF(IT8&gt;=0.45,VLOOKUP(Calculator!E23,tbSkills!DH3:DI6,2,FALSE)+IF(AND(Calculator!B8=TRUE,Backdoors!BI39=TRUE),VLOOKUP(Calculator!E23,tbSkills!DH3:DJ6,3,FALSE),0),0))&gt;=0,1+(Backdoors!AL2*(IF((Backdoors!AI12+IF(IT8&gt;=0.45,VLOOKUP(Calculator!E23,tbSkills!DH3:DI6,2,FALSE)+IF(AND(Calculator!B8=TRUE,Backdoors!BI39=TRUE),VLOOKUP(Calculator!E23,tbSkills!DH3:DJ6,3,FALSE),0),0))&gt;=100,100,(Backdoors!AI12+IF(IT8&gt;=0.45,VLOOKUP(Calculator!E23,tbSkills!DH3:DI6,2,FALSE)+IF(AND(Calculator!B8=TRUE,Backdoors!BI39=TRUE),VLOOKUP(Calculator!E23,tbSkills!DH3:DJ6,3,FALSE),0),0)))/100)),(1-(0.25*((-Backdoors!AI12-IF(IT8&gt;=0.45,VLOOKUP(Calculator!E23,tbSkills!DH3:DI6,2,FALSE)+IF(AND(Calculator!B8=TRUE,Backdoors!BI39=TRUE),VLOOKUP(Calculator!E23,tbSkills!DH3:DJ6,3,FALSE),0),0))/100)))),1),"")</f>
        <v>1</v>
      </c>
      <c r="IW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T8)*IV8)*(VLOOKUP(A8,tbMoveset!A2:C112,3,FALSE)/100)*IF(VLOOKUP(A8,tbMoveset!A2:B112,2,FALSE)="Projectile",Backdoors!N10,Backdoors!N9),0),"")</f>
        <v/>
      </c>
      <c r="IX8" s="49">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40&gt;0,VLOOKUP(Calculator!E40,tbSkills!AC3:AD5,2,FALSE),Backdoors!AL3)*(IF((Backdoors!AI12+IF(IT8&gt;=0.45,VLOOKUP(Calculator!E23,tbSkills!DH3:DI6,2,FALSE)+IF(AND(Calculator!B8=TRUE,Backdoors!BI39=TRUE),VLOOKUP(Calculator!E23,tbSkills!DH3:DJ6,3,FALSE),0),0))&gt;=100,100,(Backdoors!AI12+IF(IT8&gt;=0.45,VLOOKUP(Calculator!E23,tbSkills!DH3:DI6,2,FALSE)+IF(AND(Calculator!B8=TRUE,Backdoors!BI39=TRUE),VLOOKUP(Calculator!E23,tbSkills!DH3:DJ6,3,FALSE),0),0)))/100)),1))*IF(VLOOKUP(A8,tbMoveset!A2:K112,11,FALSE)=TRUE,Backdoors!AC5,1))*IU8,0),"")</f>
        <v>0</v>
      </c>
      <c r="IY8" s="49">
        <f>VLOOKUP(A8,tbMoveset!A2:G112,7,FALSE)*IFERROR(IF(Backdoors!AI12&gt;=0,1+(IF(Calculator!E40&gt;0,VLOOKUP(Calculator!E40,tbSkills!AI3:AJ5,2,FALSE),Backdoors!AL4)*(IF((Backdoors!AI12+IF(IT8&gt;=0.45,VLOOKUP(Calculator!E23,tbSkills!DH3:DI6,2,FALSE)+IF(AND(Calculator!B8=TRUE,Backdoors!BI39=TRUE),VLOOKUP(Calculator!E23,tbSkills!DH3:DJ6,3,FALSE),0),0))&gt;=100,100,(Backdoors!AI12+IF(IT8&gt;=0.45,VLOOKUP(Calculator!E23,tbSkills!DH3:DI6,2,FALSE)+IF(AND(Calculator!B8=TRUE,Backdoors!BI39=TRUE),VLOOKUP(Calculator!E23,tbSkills!DH3:DJ6,3,FALSE),0),0)))/100)),1),1)</f>
        <v>0.5</v>
      </c>
      <c r="IZ8" s="87">
        <f t="shared" si="28"/>
        <v>0</v>
      </c>
      <c r="JA8" s="86" t="str">
        <f>IFERROR(IF(VLOOKUP(A8,tbMoveset!A2:B112,2,FALSE)="Sever",Backdoors!AY40/100,IF(VLOOKUP(A8,tbMoveset!A2:B112,2,FALSE)="Blunt",Backdoors!AZ40/100,Backdoors!BA40/100)),"")</f>
        <v/>
      </c>
      <c r="JB8" s="49">
        <f>IFERROR(IF(VLOOKUP(tbMoveset!A8,tbMoveset!A2:H112,8,FALSE)="Other",IF(VLOOKUP(tbMoveset!A8,tbMoveset!A2:I112,9,FALSE)="Fire",Backdoors!BB40,IF(VLOOKUP(tbMoveset!A8,tbMoveset!A2:I112,9,FALSE)="Water",Backdoors!BC40,IF(VLOOKUP(tbMoveset!A8,tbMoveset!A2:I112,9,FALSE)="Thunder",Backdoors!BD40,IF(VLOOKUP(tbMoveset!A8,tbMoveset!A2:I112,9,FALSE)="Ice",Backdoors!BE40,IF(VLOOKUP(tbMoveset!A8,tbMoveset!A2:I112,9,FALSE)="Dragon",Backdoors!BF40,Backdoors!BG40)))))/100,Backdoors!BG40/100),"")</f>
        <v>0</v>
      </c>
      <c r="JC8" s="49">
        <f>IFERROR(IF(VLOOKUP(A8,tbMoveset!A2:J112,10,FALSE)=TRUE,IF((Backdoors!AI12+IF(JA8&gt;=0.45,VLOOKUP(Calculator!E23,tbSkills!DH3:DI6,2,FALSE)+IF(AND(Calculator!B8=TRUE,Backdoors!BI40=TRUE),VLOOKUP(Calculator!E23,tbSkills!DH3:DJ6,3,FALSE),0),0))&gt;=0,1+(Backdoors!AL2*(IF((Backdoors!AI12+IF(JA8&gt;=0.45,VLOOKUP(Calculator!E23,tbSkills!DH3:DI6,2,FALSE)+IF(AND(Calculator!B8=TRUE,Backdoors!BI40=TRUE),VLOOKUP(Calculator!E23,tbSkills!DH3:DJ6,3,FALSE),0),0))&gt;=100,100,(Backdoors!AI12+IF(JA8&gt;=0.45,VLOOKUP(Calculator!E23,tbSkills!DH3:DI6,2,FALSE)+IF(AND(Calculator!B8=TRUE,Backdoors!BI40=TRUE),VLOOKUP(Calculator!E23,tbSkills!DH3:DJ6,3,FALSE),0),0)))/100)),(1-(0.25*((-Backdoors!AI12-IF(JA8&gt;=0.45,VLOOKUP(Calculator!E23,tbSkills!DH3:DI6,2,FALSE)+IF(AND(Calculator!B8=TRUE,Backdoors!BI40=TRUE),VLOOKUP(Calculator!E23,tbSkills!DH3:DJ6,3,FALSE),0),0))/100)))),1),"")</f>
        <v>1</v>
      </c>
      <c r="JD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A8)*JC8)*(VLOOKUP(A8,tbMoveset!A2:C112,3,FALSE)/100)*IF(VLOOKUP(A8,tbMoveset!A2:B112,2,FALSE)="Projectile",Backdoors!N10,Backdoors!N9),0),"")</f>
        <v/>
      </c>
      <c r="JE8" s="49">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42&gt;0,VLOOKUP(Calculator!E42,tbSkills!AC3:AD5,2,FALSE),Backdoors!AL3)*(IF((Backdoors!AI12+IF(JA8&gt;=0.45,VLOOKUP(Calculator!E23,tbSkills!DH3:DI6,2,FALSE)+IF(AND(Calculator!B8=TRUE,Backdoors!BI40=TRUE),VLOOKUP(Calculator!E23,tbSkills!DH3:DJ6,3,FALSE),0),0))&gt;=100,100,(Backdoors!AI12+IF(JA8&gt;=0.45,VLOOKUP(Calculator!E23,tbSkills!DH3:DI6,2,FALSE)+IF(AND(Calculator!B8=TRUE,Backdoors!BI40=TRUE),VLOOKUP(Calculator!E23,tbSkills!DH3:DJ6,3,FALSE),0),0)))/100)),1))*IF(VLOOKUP(A8,tbMoveset!A2:K112,11,FALSE)=TRUE,Backdoors!AC5,1))*JB8,0),"")</f>
        <v>0</v>
      </c>
      <c r="JF8" s="49">
        <f>VLOOKUP(A8,tbMoveset!A2:G112,7,FALSE)*IFERROR(IF(Backdoors!AI12&gt;=0,1+(IF(Calculator!E40&gt;0,VLOOKUP(Calculator!E40,tbSkills!AI3:AJ5,2,FALSE),Backdoors!AL4)*(IF((Backdoors!AI12+IF(JA8&gt;=0.45,VLOOKUP(Calculator!E23,tbSkills!DH3:DI6,2,FALSE)+IF(AND(Calculator!B8=TRUE,Backdoors!BI40=TRUE),VLOOKUP(Calculator!E23,tbSkills!DH3:DJ6,3,FALSE),0),0))&gt;=100,100,(Backdoors!AI12+IF(JA8&gt;=0.45,VLOOKUP(Calculator!E23,tbSkills!DH3:DI6,2,FALSE)+IF(AND(Calculator!B8=TRUE,Backdoors!BI40=TRUE),VLOOKUP(Calculator!E23,tbSkills!DH3:DJ6,3,FALSE),0),0)))/100)),1),1)</f>
        <v>0.5</v>
      </c>
      <c r="JG8" s="87">
        <f t="shared" si="29"/>
        <v>0</v>
      </c>
      <c r="JH8" s="86" t="str">
        <f>IFERROR(IF(VLOOKUP(A8,tbMoveset!A2:B112,2,FALSE)="Sever",Backdoors!AY41/100,IF(VLOOKUP(A8,tbMoveset!A2:B112,2,FALSE)="Blunt",Backdoors!AZ41/100,Backdoors!BA41/100)),"")</f>
        <v/>
      </c>
      <c r="JI8" s="49">
        <f>IFERROR(IF(VLOOKUP(tbMoveset!A8,tbMoveset!A2:H112,8,FALSE)="Other",IF(VLOOKUP(tbMoveset!A8,tbMoveset!A2:I112,9,FALSE)="Fire",Backdoors!BB41,IF(VLOOKUP(tbMoveset!A8,tbMoveset!A2:I112,9,FALSE)="Water",Backdoors!BC41,IF(VLOOKUP(tbMoveset!A8,tbMoveset!A2:I112,9,FALSE)="Thunder",Backdoors!BD41,IF(VLOOKUP(tbMoveset!A8,tbMoveset!A2:I112,9,FALSE)="Ice",Backdoors!BE41,IF(VLOOKUP(tbMoveset!A8,tbMoveset!A2:I112,9,FALSE)="Dragon",Backdoors!BF41,Backdoors!BG41)))))/100,Backdoors!BG41/100),"")</f>
        <v>0</v>
      </c>
      <c r="JJ8" s="49">
        <f>IFERROR(IF(VLOOKUP(A8,tbMoveset!A2:J112,10,FALSE)=TRUE,IF((Backdoors!AI12+IF(JH8&gt;=0.45,VLOOKUP(Calculator!E23,tbSkills!DH3:DI6,2,FALSE)+IF(AND(Calculator!B8=TRUE,Backdoors!BI41=TRUE),VLOOKUP(Calculator!E23,tbSkills!DH3:DJ6,3,FALSE),0),0))&gt;=0,1+(Backdoors!AL2*(IF((Backdoors!AI12+IF(JH8&gt;=0.45,VLOOKUP(Calculator!E23,tbSkills!DH3:DI6,2,FALSE)+IF(AND(Calculator!B8=TRUE,Backdoors!BI41=TRUE),VLOOKUP(Calculator!E23,tbSkills!DH3:DJ6,3,FALSE),0),0))&gt;=100,100,(Backdoors!AI12+IF(JH8&gt;=0.45,VLOOKUP(Calculator!E23,tbSkills!DH3:DI6,2,FALSE)+IF(AND(Calculator!B8=TRUE,Backdoors!BI41=TRUE),VLOOKUP(Calculator!E23,tbSkills!DH3:DJ6,3,FALSE),0),0)))/100)),(1-(0.25*((-Backdoors!AI12-IF(JH8&gt;=0.45,VLOOKUP(Calculator!E23,tbSkills!DH3:DI6,2,FALSE)+IF(AND(Calculator!B8=TRUE,Backdoors!BI41=TRUE),VLOOKUP(Calculator!E23,tbSkills!DH3:DJ6,3,FALSE),0),0))/100)))),1),"")</f>
        <v>1</v>
      </c>
      <c r="JK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H8)*JJ8)*(VLOOKUP(A8,tbMoveset!A2:C112,3,FALSE)/100)*IF(VLOOKUP(A8,tbMoveset!A2:B112,2,FALSE)="Projectile",Backdoors!N10,Backdoors!N9),0),"")</f>
        <v/>
      </c>
      <c r="JL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43&gt;0,VLOOKUP(Calculator!E43,tbSkills!AC3:AD5,2,FALSE),Backdoors!AL3)*(IF((Backdoors!AI12+IF(JH8&gt;=0.45,VLOOKUP(Calculator!E23,tbSkills!DH3:DI6,2,FALSE)+IF(AND(Calculator!B8=TRUE,Backdoors!BI41=TRUE),VLOOKUP(Calculator!E23,tbSkills!DH3:DJ6,3,FALSE),0),0))&gt;=100,100,(Backdoors!AI12+IF(JH8&gt;=0.45,VLOOKUP(Calculator!E23,tbSkills!DH3:DI6,2,FALSE)+IF(AND(Calculator!B8=TRUE,Backdoors!BI41=TRUE),VLOOKUP(Calculator!E23,tbSkills!DH3:DJ6,3,FALSE),0),0)))/100)),1))*IF(VLOOKUP(A8,tbMoveset!A2:K112,11,FALSE)=TRUE,Backdoors!AC5,1))*JI8,0),"")</f>
        <v/>
      </c>
      <c r="JM8" s="49">
        <f>VLOOKUP(A8,tbMoveset!A2:G112,7,FALSE)*IFERROR(IF(Backdoors!AI12&gt;=0,1+(IF(Calculator!E40&gt;0,VLOOKUP(Calculator!E40,tbSkills!AI3:AJ5,2,FALSE),Backdoors!AL4)*(IF((Backdoors!AI12+IF(JH8&gt;=0.45,VLOOKUP(Calculator!E23,tbSkills!DH3:DI6,2,FALSE)+IF(AND(Calculator!B8=TRUE,Backdoors!BI41=TRUE),VLOOKUP(Calculator!E23,tbSkills!DH3:DJ6,3,FALSE),0),0))&gt;=100,100,(Backdoors!AI12+IF(JH8&gt;=0.45,VLOOKUP(Calculator!E23,tbSkills!DH3:DI6,2,FALSE)+IF(AND(Calculator!B8=TRUE,Backdoors!BI41=TRUE),VLOOKUP(Calculator!E23,tbSkills!DH3:DJ6,3,FALSE),0),0)))/100)),1),1)</f>
        <v>0.5</v>
      </c>
      <c r="JN8" s="87">
        <f t="shared" si="30"/>
        <v>0</v>
      </c>
      <c r="JO8" s="86" t="str">
        <f>IFERROR(IF(VLOOKUP(A8,tbMoveset!A2:B112,2,FALSE)="Sever",Backdoors!AY42/100,IF(VLOOKUP(A8,tbMoveset!A2:B112,2,FALSE)="Blunt",Backdoors!AZ42/100,Backdoors!BA42/100)),"")</f>
        <v/>
      </c>
      <c r="JP8" s="49">
        <f>IFERROR(IF(VLOOKUP(tbMoveset!A8,tbMoveset!A2:H112,8,FALSE)="Other",IF(VLOOKUP(tbMoveset!A8,tbMoveset!A2:I112,9,FALSE)="Fire",Backdoors!BB42,IF(VLOOKUP(tbMoveset!A8,tbMoveset!A2:I112,9,FALSE)="Water",Backdoors!BC42,IF(VLOOKUP(tbMoveset!A8,tbMoveset!A2:I112,9,FALSE)="Thunder",Backdoors!BD42,IF(VLOOKUP(tbMoveset!A8,tbMoveset!A2:I112,9,FALSE)="Ice",Backdoors!BE42,IF(VLOOKUP(tbMoveset!A8,tbMoveset!A2:I112,9,FALSE)="Dragon",Backdoors!BF42,Backdoors!BG42)))))/100,Backdoors!BG42/100),"")</f>
        <v>0</v>
      </c>
      <c r="JQ8" s="49">
        <f>IFERROR(IF(VLOOKUP(A8,tbMoveset!A2:J112,10,FALSE)=TRUE,IF((Backdoors!AI12+IF(JO8&gt;=0.45,VLOOKUP(Calculator!E23,tbSkills!DH3:DI6,2,FALSE)+IF(AND(Calculator!B8=TRUE,Backdoors!BI42=TRUE),VLOOKUP(Calculator!E23,tbSkills!DH3:DJ6,3,FALSE),0),0))&gt;=0,1+(Backdoors!AL2*(IF((Backdoors!AI12+IF(JO8&gt;=0.45,VLOOKUP(Calculator!E23,tbSkills!DH3:DI6,2,FALSE)+IF(AND(Calculator!B8=TRUE,Backdoors!BI42=TRUE),VLOOKUP(Calculator!E23,tbSkills!DH3:DJ6,3,FALSE),0),0))&gt;=100,100,(Backdoors!AI12+IF(JO8&gt;=0.45,VLOOKUP(Calculator!E23,tbSkills!DH3:DI6,2,FALSE)+IF(AND(Calculator!B8=TRUE,Backdoors!BI42=TRUE),VLOOKUP(Calculator!E23,tbSkills!DH3:DJ6,3,FALSE),0),0)))/100)),(1-(0.25*((-Backdoors!AI12-IF(JO8&gt;=0.45,VLOOKUP(Calculator!E23,tbSkills!DH3:DI6,2,FALSE)+IF(AND(Calculator!B8=TRUE,Backdoors!BI42=TRUE),VLOOKUP(Calculator!E23,tbSkills!DH3:DJ6,3,FALSE),0),0))/100)))),1),"")</f>
        <v>1</v>
      </c>
      <c r="JR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O8)*JQ8)*(VLOOKUP(A8,tbMoveset!A2:C112,3,FALSE)/100)*IF(VLOOKUP(A8,tbMoveset!A2:B112,2,FALSE)="Projectile",Backdoors!N10,Backdoors!N9),0),"")</f>
        <v/>
      </c>
      <c r="JS8" s="49">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45&gt;0,VLOOKUP(Calculator!E45,tbSkills!AC3:AD5,2,FALSE),Backdoors!AL3)*(IF((Backdoors!AI12+IF(JO8&gt;=0.45,VLOOKUP(Calculator!E23,tbSkills!DH3:DI6,2,FALSE)+IF(AND(Calculator!B8=TRUE,Backdoors!BI42=TRUE),VLOOKUP(Calculator!E23,tbSkills!DH3:DJ6,3,FALSE),0),0))&gt;=100,100,(Backdoors!AI12+IF(JO8&gt;=0.45,VLOOKUP(Calculator!E23,tbSkills!DH3:DI6,2,FALSE)+IF(AND(Calculator!B8=TRUE,Backdoors!BI42=TRUE),VLOOKUP(Calculator!E23,tbSkills!DH3:DJ6,3,FALSE),0),0)))/100)),1))*IF(VLOOKUP(A8,tbMoveset!A2:K112,11,FALSE)=TRUE,Backdoors!AC5,1))*JP8,0),"")</f>
        <v>0</v>
      </c>
      <c r="JT8" s="49">
        <f>VLOOKUP(A8,tbMoveset!A2:G112,7,FALSE)*IFERROR(IF(Backdoors!AI12&gt;=0,1+(IF(Calculator!E40&gt;0,VLOOKUP(Calculator!E40,tbSkills!AI3:AJ5,2,FALSE),Backdoors!AL4)*(IF((Backdoors!AI12+IF(JO8&gt;=0.45,VLOOKUP(Calculator!E23,tbSkills!DH3:DI6,2,FALSE)+IF(AND(Calculator!B8=TRUE,Backdoors!BI42=TRUE),VLOOKUP(Calculator!E23,tbSkills!DH3:DJ6,3,FALSE),0),0))&gt;=100,100,(Backdoors!AI12+IF(JO8&gt;=0.45,VLOOKUP(Calculator!E23,tbSkills!DH3:DI6,2,FALSE)+IF(AND(Calculator!B8=TRUE,Backdoors!BI42=TRUE),VLOOKUP(Calculator!E23,tbSkills!DH3:DJ6,3,FALSE),0),0)))/100)),1),1)</f>
        <v>0.5</v>
      </c>
      <c r="JU8" s="87">
        <f t="shared" si="31"/>
        <v>0</v>
      </c>
      <c r="JV8" s="86" t="str">
        <f>IFERROR(IF(VLOOKUP(A8,tbMoveset!A2:B112,2,FALSE)="Sever",Backdoors!AY43/100,IF(VLOOKUP(A8,tbMoveset!A2:B112,2,FALSE)="Blunt",Backdoors!AZ43/100,Backdoors!BA43/100)),"")</f>
        <v/>
      </c>
      <c r="JW8" s="49">
        <f>IFERROR(IF(VLOOKUP(tbMoveset!A8,tbMoveset!A2:H112,8,FALSE)="Other",IF(VLOOKUP(tbMoveset!A8,tbMoveset!A2:I112,9,FALSE)="Fire",Backdoors!BB43,IF(VLOOKUP(tbMoveset!A8,tbMoveset!A2:I112,9,FALSE)="Water",Backdoors!BC43,IF(VLOOKUP(tbMoveset!A8,tbMoveset!A2:I112,9,FALSE)="Thunder",Backdoors!BD43,IF(VLOOKUP(tbMoveset!A8,tbMoveset!A2:I112,9,FALSE)="Ice",Backdoors!BE43,IF(VLOOKUP(tbMoveset!A8,tbMoveset!A2:I112,9,FALSE)="Dragon",Backdoors!BF43,Backdoors!BG43)))))/100,Backdoors!BG43/100),"")</f>
        <v>0</v>
      </c>
      <c r="JX8" s="49">
        <f>IFERROR(IF(VLOOKUP(A8,tbMoveset!A2:J112,10,FALSE)=TRUE,IF((Backdoors!AI12+IF(JV8&gt;=0.45,VLOOKUP(Calculator!E23,tbSkills!DH3:DI6,2,FALSE)+IF(AND(Calculator!B8=TRUE,Backdoors!BI43=TRUE),VLOOKUP(Calculator!E23,tbSkills!DH3:DJ6,3,FALSE),0),0))&gt;=0,1+(Backdoors!AL2*(IF((Backdoors!AI12+IF(JV8&gt;=0.45,VLOOKUP(Calculator!E23,tbSkills!DH3:DI6,2,FALSE)+IF(AND(Calculator!B8=TRUE,Backdoors!BI43=TRUE),VLOOKUP(Calculator!E23,tbSkills!DH3:DJ6,3,FALSE),0),0))&gt;=100,100,(Backdoors!AI12+IF(JV8&gt;=0.45,VLOOKUP(Calculator!E23,tbSkills!DH3:DI6,2,FALSE)+IF(AND(Calculator!B8=TRUE,Backdoors!BI43=TRUE),VLOOKUP(Calculator!E23,tbSkills!DH3:DJ6,3,FALSE),0),0)))/100)),(1-(0.25*((-Backdoors!AI12-IF(JV8&gt;=0.45,VLOOKUP(Calculator!E23,tbSkills!DH3:DI6,2,FALSE)+IF(AND(Calculator!B8=TRUE,Backdoors!BI43=TRUE),VLOOKUP(Calculator!E23,tbSkills!DH3:DJ6,3,FALSE),0),0))/100)))),1),"")</f>
        <v>1</v>
      </c>
      <c r="JY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V8)*JX8)*(VLOOKUP(A8,tbMoveset!A2:C112,3,FALSE)/100)*IF(VLOOKUP(A8,tbMoveset!A2:B112,2,FALSE)="Projectile",Backdoors!N10,Backdoors!N9),0),"")</f>
        <v/>
      </c>
      <c r="JZ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46&gt;0,VLOOKUP(Calculator!E46,tbSkills!AC3:AD5,2,FALSE),Backdoors!AL3)*(IF((Backdoors!AI12+IF(JV8&gt;=0.45,VLOOKUP(Calculator!E23,tbSkills!DH3:DI6,2,FALSE)+IF(AND(Calculator!B8=TRUE,Backdoors!BI43=TRUE),VLOOKUP(Calculator!E23,tbSkills!DH3:DJ6,3,FALSE),0),0))&gt;=100,100,(Backdoors!AI12+IF(JV8&gt;=0.45,VLOOKUP(Calculator!E23,tbSkills!DH3:DI6,2,FALSE)+IF(AND(Calculator!B8=TRUE,Backdoors!BI43=TRUE),VLOOKUP(Calculator!E23,tbSkills!DH3:DJ6,3,FALSE),0),0)))/100)),1))*IF(VLOOKUP(A8,tbMoveset!A2:K112,11,FALSE)=TRUE,Backdoors!AC5,1))*JW8,0),"")</f>
        <v/>
      </c>
      <c r="KA8" s="49">
        <f>VLOOKUP(A8,tbMoveset!A2:G112,7,FALSE)*IFERROR(IF(Backdoors!AI12&gt;=0,1+(IF(Calculator!E40&gt;0,VLOOKUP(Calculator!E40,tbSkills!AI3:AJ5,2,FALSE),Backdoors!AL4)*(IF((Backdoors!AI12+IF(JV8&gt;=0.45,VLOOKUP(Calculator!E23,tbSkills!DH3:DI6,2,FALSE)+IF(AND(Calculator!B8=TRUE,Backdoors!BI43=TRUE),VLOOKUP(Calculator!E23,tbSkills!DH3:DJ6,3,FALSE),0),0))&gt;=100,100,(Backdoors!AI12+IF(JV8&gt;=0.45,VLOOKUP(Calculator!E23,tbSkills!DH3:DI6,2,FALSE)+IF(AND(Calculator!B8=TRUE,Backdoors!BI43=TRUE),VLOOKUP(Calculator!E23,tbSkills!DH3:DJ6,3,FALSE),0),0)))/100)),1),1)</f>
        <v>0.5</v>
      </c>
      <c r="KB8" s="87">
        <f t="shared" si="32"/>
        <v>0</v>
      </c>
      <c r="KC8" s="86" t="str">
        <f>IFERROR(IF(VLOOKUP(A8,tbMoveset!A2:B112,2,FALSE)="Sever",Backdoors!AY44/100,IF(VLOOKUP(A8,tbMoveset!A2:B112,2,FALSE)="Blunt",Backdoors!AZ44/100,Backdoors!BA44/100)),"")</f>
        <v/>
      </c>
      <c r="KD8" s="49">
        <f>IFERROR(IF(VLOOKUP(tbMoveset!A8,tbMoveset!A2:H112,8,FALSE)="Other",IF(VLOOKUP(tbMoveset!A8,tbMoveset!A2:I112,9,FALSE)="Fire",Backdoors!BB44,IF(VLOOKUP(tbMoveset!A8,tbMoveset!A2:I112,9,FALSE)="Water",Backdoors!BC44,IF(VLOOKUP(tbMoveset!A8,tbMoveset!A2:I112,9,FALSE)="Thunder",Backdoors!BD44,IF(VLOOKUP(tbMoveset!A8,tbMoveset!A2:I112,9,FALSE)="Ice",Backdoors!BE44,IF(VLOOKUP(tbMoveset!A8,tbMoveset!A2:I112,9,FALSE)="Dragon",Backdoors!BF44,Backdoors!BG44)))))/100,Backdoors!BG44/100),"")</f>
        <v>0</v>
      </c>
      <c r="KE8" s="49">
        <f>IFERROR(IF(VLOOKUP(A8,tbMoveset!A2:J112,10,FALSE)=TRUE,IF((Backdoors!AI12+IF(KC8&gt;=0.45,VLOOKUP(Calculator!E23,tbSkills!DH3:DI6,2,FALSE)+IF(AND(Calculator!B8=TRUE,Backdoors!BI44=TRUE),VLOOKUP(Calculator!E23,tbSkills!DH3:DJ6,3,FALSE),0),0))&gt;=0,1+(Backdoors!AL2*(IF((Backdoors!AI12+IF(KC8&gt;=0.45,VLOOKUP(Calculator!E23,tbSkills!DH3:DI6,2,FALSE)+IF(AND(Calculator!B8=TRUE,Backdoors!BI44=TRUE),VLOOKUP(Calculator!E23,tbSkills!DH3:DJ6,3,FALSE),0),0))&gt;=100,100,(Backdoors!AI12+IF(KC8&gt;=0.45,VLOOKUP(Calculator!E23,tbSkills!DH3:DI6,2,FALSE)+IF(AND(Calculator!B8=TRUE,Backdoors!BI44=TRUE),VLOOKUP(Calculator!E23,tbSkills!DH3:DJ6,3,FALSE),0),0)))/100)),(1-(0.25*((-Backdoors!AI12-IF(KC8&gt;=0.45,VLOOKUP(Calculator!E23,tbSkills!DH3:DI6,2,FALSE)+IF(AND(Calculator!B8=TRUE,Backdoors!BI44=TRUE),VLOOKUP(Calculator!E23,tbSkills!DH3:DJ6,3,FALSE),0),0))/100)))),1),"")</f>
        <v>1</v>
      </c>
      <c r="KF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KC8)*KE8)*(VLOOKUP(A8,tbMoveset!A2:C112,3,FALSE)/100)*IF(VLOOKUP(A8,tbMoveset!A2:B112,2,FALSE)="Projectile",Backdoors!N10,Backdoors!N9),0),"")</f>
        <v/>
      </c>
      <c r="KG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REF!&gt;0,VLOOKUP(Calculator!#REF!,tbSkills!AC3:AD5,2,FALSE),Backdoors!AL3)*(IF((Backdoors!AI12+IF(KC8&gt;=0.45,VLOOKUP(Calculator!E23,tbSkills!DH3:DI6,2,FALSE)+IF(AND(Calculator!B8=TRUE,Backdoors!BI44=TRUE),VLOOKUP(Calculator!E23,tbSkills!DH3:DJ6,3,FALSE),0),0))&gt;=100,100,(Backdoors!AI12+IF(KC8&gt;=0.45,VLOOKUP(Calculator!E23,tbSkills!DH3:DI6,2,FALSE)+IF(AND(Calculator!B8=TRUE,Backdoors!BI44=TRUE),VLOOKUP(Calculator!E23,tbSkills!DH3:DJ6,3,FALSE),0),0)))/100)),1))*IF(VLOOKUP(A8,tbMoveset!A2:K112,11,FALSE)=TRUE,Backdoors!AC5,1))*KD8,0),"")</f>
        <v/>
      </c>
      <c r="KH8" s="49">
        <f>VLOOKUP(A8,tbMoveset!A2:G112,7,FALSE)*IFERROR(IF(Backdoors!AI12&gt;=0,1+(IF(Calculator!E40&gt;0,VLOOKUP(Calculator!E40,tbSkills!AI3:AJ5,2,FALSE),Backdoors!AL4)*(IF((Backdoors!AI12+IF(KC8&gt;=0.45,VLOOKUP(Calculator!E23,tbSkills!DH3:DI6,2,FALSE)+IF(AND(Calculator!B8=TRUE,Backdoors!BI44=TRUE),VLOOKUP(Calculator!E23,tbSkills!DH3:DJ6,3,FALSE),0),0))&gt;=100,100,(Backdoors!AI12+IF(KC8&gt;=0.45,VLOOKUP(Calculator!E23,tbSkills!DH3:DI6,2,FALSE)+IF(AND(Calculator!B8=TRUE,Backdoors!BI44=TRUE),VLOOKUP(Calculator!E23,tbSkills!DH3:DJ6,3,FALSE),0),0)))/100)),1),1)</f>
        <v>0.5</v>
      </c>
      <c r="KI8" s="87">
        <f t="shared" si="33"/>
        <v>0</v>
      </c>
      <c r="KJ8" s="86" t="str">
        <f>IFERROR(IF(VLOOKUP(A8,tbMoveset!A2:B112,2,FALSE)="Sever",Backdoors!AY45/100,IF(VLOOKUP(A8,tbMoveset!A2:B112,2,FALSE)="Blunt",Backdoors!AZ45/100,Backdoors!BA45/100)),"")</f>
        <v/>
      </c>
      <c r="KK8" s="49">
        <f>IFERROR(IF(VLOOKUP(tbMoveset!A8,tbMoveset!A2:H112,8,FALSE)="Other",IF(VLOOKUP(tbMoveset!A8,tbMoveset!A2:I112,9,FALSE)="Fire",Backdoors!BB45,IF(VLOOKUP(tbMoveset!A8,tbMoveset!A2:I112,9,FALSE)="Water",Backdoors!BC45,IF(VLOOKUP(tbMoveset!A8,tbMoveset!A2:I112,9,FALSE)="Thunder",Backdoors!BD45,IF(VLOOKUP(tbMoveset!A8,tbMoveset!A2:I112,9,FALSE)="Ice",Backdoors!BE45,IF(VLOOKUP(tbMoveset!A8,tbMoveset!A2:I112,9,FALSE)="Dragon",Backdoors!BF45,Backdoors!BG45)))))/100,Backdoors!BG45/100),"")</f>
        <v>0</v>
      </c>
      <c r="KL8" s="49">
        <f>IFERROR(IF(VLOOKUP(A8,tbMoveset!A2:J112,10,FALSE)=TRUE,IF((Backdoors!AI12+IF(KJ8&gt;=0.45,VLOOKUP(Calculator!E23,tbSkills!DH3:DI6,2,FALSE)+IF(AND(Calculator!B8=TRUE,Backdoors!BI45=TRUE),VLOOKUP(Calculator!E23,tbSkills!DH3:DJ6,3,FALSE),0),0))&gt;=0,1+(Backdoors!AL2*(IF((Backdoors!AI12+IF(KJ8&gt;=0.45,VLOOKUP(Calculator!E23,tbSkills!DH3:DI6,2,FALSE)+IF(AND(Calculator!B8=TRUE,Backdoors!BI45=TRUE),VLOOKUP(Calculator!E23,tbSkills!DH3:DJ6,3,FALSE),0),0))&gt;=100,100,(Backdoors!AI12+IF(KJ8&gt;=0.45,VLOOKUP(Calculator!E23,tbSkills!DH3:DI6,2,FALSE)+IF(AND(Calculator!B8=TRUE,Backdoors!BI45=TRUE),VLOOKUP(Calculator!E23,tbSkills!DH3:DJ6,3,FALSE),0),0)))/100)),(1-(0.25*((-Backdoors!AI12-IF(KJ8&gt;=0.45,VLOOKUP(Calculator!E23,tbSkills!DH3:DI6,2,FALSE)+IF(AND(Calculator!B8=TRUE,Backdoors!BI45=TRUE),VLOOKUP(Calculator!E23,tbSkills!DH3:DJ6,3,FALSE),0),0))/100)))),1),"")</f>
        <v>1</v>
      </c>
      <c r="KM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KJ8)*KL8)*(VLOOKUP(A8,tbMoveset!A2:C112,3,FALSE)/100)*IF(VLOOKUP(A8,tbMoveset!A2:B112,2,FALSE)="Projectile",Backdoors!N10,Backdoors!N9),0),"")</f>
        <v/>
      </c>
      <c r="KN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REF!&gt;0,VLOOKUP(Calculator!#REF!,tbSkills!AC3:AD5,2,FALSE),Backdoors!AL3)*(IF((Backdoors!AI12+IF(KJ8&gt;=0.45,VLOOKUP(Calculator!E23,tbSkills!DH3:DI6,2,FALSE)+IF(AND(Calculator!B8=TRUE,Backdoors!BI45=TRUE),VLOOKUP(Calculator!E23,tbSkills!DH3:DJ6,3,FALSE),0),0))&gt;=100,100,(Backdoors!AI12+IF(KJ8&gt;=0.45,VLOOKUP(Calculator!E23,tbSkills!DH3:DI6,2,FALSE)+IF(AND(Calculator!B8=TRUE,Backdoors!BI45=TRUE),VLOOKUP(Calculator!E23,tbSkills!DH3:DJ6,3,FALSE),0),0)))/100)),1))*IF(VLOOKUP(A8,tbMoveset!A2:K112,11,FALSE)=TRUE,Backdoors!AC5,1))*KK8,0),"")</f>
        <v/>
      </c>
      <c r="KO8" s="49">
        <f>VLOOKUP(A8,tbMoveset!A2:G112,7,FALSE)*IFERROR(IF(Backdoors!AI12&gt;=0,1+(IF(Calculator!E40&gt;0,VLOOKUP(Calculator!E40,tbSkills!AI3:AJ5,2,FALSE),Backdoors!AL4)*(IF((Backdoors!AI12+IF(KJ8&gt;=0.45,VLOOKUP(Calculator!E23,tbSkills!DH3:DI6,2,FALSE)+IF(AND(Calculator!B8=TRUE,Backdoors!BI45=TRUE),VLOOKUP(Calculator!E23,tbSkills!DH3:DJ6,3,FALSE),0),0))&gt;=100,100,(Backdoors!AI12+IF(KJ8&gt;=0.45,VLOOKUP(Calculator!E23,tbSkills!DH3:DI6,2,FALSE)+IF(AND(Calculator!B8=TRUE,Backdoors!BI45=TRUE),VLOOKUP(Calculator!E23,tbSkills!DH3:DJ6,3,FALSE),0),0)))/100)),1),1)</f>
        <v>0.5</v>
      </c>
      <c r="KP8" s="87">
        <f t="shared" si="34"/>
        <v>0</v>
      </c>
      <c r="KQ8" s="86" t="str">
        <f>IFERROR(IF(VLOOKUP(A8,tbMoveset!A2:B112,2,FALSE)="Sever",Backdoors!AY46/100,IF(VLOOKUP(A8,tbMoveset!A2:B112,2,FALSE)="Blunt",Backdoors!AZ46/100,Backdoors!BA46/100)),"")</f>
        <v/>
      </c>
      <c r="KR8" s="49">
        <f>IFERROR(IF(VLOOKUP(tbMoveset!A8,tbMoveset!A2:H112,8,FALSE)="Other",IF(VLOOKUP(tbMoveset!A8,tbMoveset!A2:I112,9,FALSE)="Fire",Backdoors!BB46,IF(VLOOKUP(tbMoveset!A8,tbMoveset!A2:I112,9,FALSE)="Water",Backdoors!BC46,IF(VLOOKUP(tbMoveset!A8,tbMoveset!A2:I112,9,FALSE)="Thunder",Backdoors!BD46,IF(VLOOKUP(tbMoveset!A8,tbMoveset!A2:I112,9,FALSE)="Ice",Backdoors!BE46,IF(VLOOKUP(tbMoveset!A8,tbMoveset!A2:I112,9,FALSE)="Dragon",Backdoors!BF46,Backdoors!BG46)))))/100,Backdoors!BG46/100),"")</f>
        <v>0</v>
      </c>
      <c r="KS8" s="49">
        <f>IFERROR(IF(VLOOKUP(A8,tbMoveset!A2:J112,10,FALSE)=TRUE,IF((Backdoors!AI12+IF(KQ8&gt;=0.45,VLOOKUP(Calculator!E23,tbSkills!DH3:DI6,2,FALSE)+IF(AND(Calculator!B8=TRUE,Backdoors!BI46=TRUE),VLOOKUP(Calculator!E23,tbSkills!DH3:DJ6,3,FALSE),0),0))&gt;=0,1+(Backdoors!AL2*(IF((Backdoors!AI12+IF(KQ8&gt;=0.45,VLOOKUP(Calculator!E23,tbSkills!DH3:DI6,2,FALSE)+IF(AND(Calculator!B8=TRUE,Backdoors!BI46=TRUE),VLOOKUP(Calculator!E23,tbSkills!DH3:DJ6,3,FALSE),0),0))&gt;=100,100,(Backdoors!AI12+IF(KQ8&gt;=0.45,VLOOKUP(Calculator!E23,tbSkills!DH3:DI6,2,FALSE)+IF(AND(Calculator!B8=TRUE,Backdoors!BI46=TRUE),VLOOKUP(Calculator!E23,tbSkills!DH3:DJ6,3,FALSE),0),0)))/100)),(1-(0.25*((-Backdoors!AI12-IF(KQ8&gt;=0.45,VLOOKUP(Calculator!E23,tbSkills!DH3:DI6,2,FALSE)+IF(AND(Calculator!B8=TRUE,Backdoors!BI46=TRUE),VLOOKUP(Calculator!E23,tbSkills!DH3:DJ6,3,FALSE),0),0))/100)))),1),"")</f>
        <v>1</v>
      </c>
      <c r="KT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KQ8)*KS8)*(VLOOKUP(A8,tbMoveset!A2:C112,3,FALSE)/100)*IF(VLOOKUP(A8,tbMoveset!A2:B112,2,FALSE)="Projectile",Backdoors!N10,Backdoors!N9),0),"")</f>
        <v/>
      </c>
      <c r="KU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REF!&gt;0,VLOOKUP(Calculator!#REF!,tbSkills!AC3:AD5,2,FALSE),Backdoors!AL3)*(IF((Backdoors!AI12+IF(KQ8&gt;=0.45,VLOOKUP(Calculator!E23,tbSkills!DH3:DI6,2,FALSE)+IF(AND(Calculator!B8=TRUE,Backdoors!BI46=TRUE),VLOOKUP(Calculator!E23,tbSkills!DH3:DJ6,3,FALSE),0),0))&gt;=100,100,(Backdoors!AI12+IF(KQ8&gt;=0.45,VLOOKUP(Calculator!E23,tbSkills!DH3:DI6,2,FALSE)+IF(AND(Calculator!B8=TRUE,Backdoors!BI46=TRUE),VLOOKUP(Calculator!E23,tbSkills!DH3:DJ6,3,FALSE),0),0)))/100)),1))*IF(VLOOKUP(A8,tbMoveset!A2:K112,11,FALSE)=TRUE,Backdoors!AC5,1))*KR8,0),"")</f>
        <v/>
      </c>
      <c r="KV8" s="49">
        <f>VLOOKUP(A8,tbMoveset!A2:G112,7,FALSE)*IFERROR(IF(Backdoors!AI12&gt;=0,1+(IF(Calculator!E40&gt;0,VLOOKUP(Calculator!E40,tbSkills!AI3:AJ5,2,FALSE),Backdoors!AL4)*(IF((Backdoors!AI12+IF(KQ8&gt;=0.45,VLOOKUP(Calculator!E23,tbSkills!DH3:DI6,2,FALSE)+IF(AND(Calculator!B8=TRUE,Backdoors!BI46=TRUE),VLOOKUP(Calculator!E23,tbSkills!DH3:DJ6,3,FALSE),0),0))&gt;=100,100,(Backdoors!AI12+IF(KQ8&gt;=0.45,VLOOKUP(Calculator!E23,tbSkills!DH3:DI6,2,FALSE)+IF(AND(Calculator!B8=TRUE,Backdoors!BI46=TRUE),VLOOKUP(Calculator!E23,tbSkills!DH3:DJ6,3,FALSE),0),0)))/100)),1),1)</f>
        <v>0.5</v>
      </c>
      <c r="KW8" s="87">
        <f t="shared" si="35"/>
        <v>0</v>
      </c>
    </row>
    <row r="9" spans="1:309" x14ac:dyDescent="0.25">
      <c r="A9" s="95" t="str">
        <f>tbMoveset!A9</f>
        <v>Circle Slash (R2)</v>
      </c>
      <c r="B9" s="86">
        <f>IFERROR(IF(VLOOKUP(A9,tbMoveset!A2:B112,2,FALSE)="Sever",Backdoors!AY3/100,IF(VLOOKUP(A9,tbMoveset!A2:B112,2,FALSE)="Blunt",Backdoors!AZ3/100,Backdoors!BA3/100)),"")</f>
        <v>0.8</v>
      </c>
      <c r="C9" s="49">
        <f>IFERROR(IF(VLOOKUP(tbMoveset!A9,tbMoveset!A2:H112,8,FALSE)="Other",IF(VLOOKUP(tbMoveset!A9,tbMoveset!A2:I112,9,FALSE)="Fire",Backdoors!BB3,IF(VLOOKUP(tbMoveset!A9,tbMoveset!A2:I112,9,FALSE)="Water",Backdoors!BC3,IF(VLOOKUP(tbMoveset!A9,tbMoveset!A2:I112,9,FALSE)="Thunder",Backdoors!BD3,IF(VLOOKUP(tbMoveset!A9,tbMoveset!A2:I112,9,FALSE)="Ice",Backdoors!BE3,IF(VLOOKUP(tbMoveset!A9,tbMoveset!A2:I112,9,FALSE)="Dragon",Backdoors!BF3,Backdoors!BG3)))))/100,Backdoors!BG3/100),"")</f>
        <v>0</v>
      </c>
      <c r="D9" s="49">
        <f>IFERROR(IF(VLOOKUP(A9,tbMoveset!A2:J112,10,FALSE)=TRUE,IF((Backdoors!AI12+IF(B9&gt;=0.45,VLOOKUP(Calculator!E23,tbSkills!DH3:DI6,2,FALSE)+IF(AND(Calculator!B8=TRUE,Backdoors!BI3=TRUE),VLOOKUP(Calculator!E23,tbSkills!DH3:DJ6,3,FALSE),0),0))&gt;=0,1+(Backdoors!AL2*(IF((Backdoors!AI12+IF(B9&gt;=0.45,VLOOKUP(Calculator!E23,tbSkills!DH3:DI6,2,FALSE)+IF(AND(Calculator!B8=TRUE,Backdoors!BI3=TRUE),VLOOKUP(Calculator!E23,tbSkills!DH3:DJ6,3,FALSE),0),0))&gt;=100,100,(Backdoors!AI12+IF(B9&gt;=0.45,VLOOKUP(Calculator!E23,tbSkills!DH3:DI6,2,FALSE)+IF(AND(Calculator!B8=TRUE,Backdoors!BI3=TRUE),VLOOKUP(Calculator!E23,tbSkills!DH3:DJ6,3,FALSE),0),0)))/100)),(1-(0.25*((-Backdoors!AI12-IF(B9&gt;=0.45,VLOOKUP(Calculator!E23,tbSkills!DH3:DI6,2,FALSE)+IF(AND(Calculator!B8=TRUE,Backdoors!BI3=TRUE),VLOOKUP(Calculator!E23,tbSkills!DH3:DJ6,3,FALSE),0),0))/100)))),1),"")</f>
        <v>1</v>
      </c>
      <c r="E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9)*D9)*(VLOOKUP(A9,tbMoveset!A2:C112,3,FALSE)/100)*IF(VLOOKUP(A9,tbMoveset!A2:B112,2,FALSE)="Projectile",Backdoors!N10,Backdoors!N9),0),"")</f>
        <v>7</v>
      </c>
      <c r="F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9&gt;=0.45,VLOOKUP(Calculator!E23,tbSkills!DH3:DI6,2,FALSE)+IF(AND(Calculator!B8=TRUE,Backdoors!BI3=TRUE),VLOOKUP(Calculator!E23,tbSkills!DH3:DJ6,3,FALSE),0),0))&gt;=100,100,(Backdoors!AI12+IF(B9&gt;=0.45,VLOOKUP(Calculator!E23,tbSkills!DH3:DI6,2,FALSE)+IF(AND(Calculator!B8=TRUE,Backdoors!BI3=TRUE),VLOOKUP(Calculator!E23,tbSkills!DH3:DJ6,3,FALSE),0),0)))/100)),1))*IF(VLOOKUP(A9,tbMoveset!A2:K112,11,FALSE)=TRUE,Backdoors!AC5,1))*C9,0),"")</f>
        <v>0</v>
      </c>
      <c r="G9">
        <f>VLOOKUP(A9,tbMoveset!A2:G112,7,FALSE)*IFERROR(IF(Backdoors!AI12&gt;=0,1+(IF(Calculator!E40&gt;0,VLOOKUP(Calculator!E40,tbSkills!AI3:AJ5,2,FALSE),Backdoors!AL4)*(IF((Backdoors!AI12+IF(B9&gt;=0.45,VLOOKUP(Calculator!E23,tbSkills!DH3:DI6,2,FALSE)+IF(AND(Calculator!B8=TRUE,Backdoors!BI3=TRUE),VLOOKUP(Calculator!E23,tbSkills!DH3:DJ6,3,FALSE),0),0))&gt;=100,100,(Backdoors!AI12+IF(B9&gt;=0.45,VLOOKUP(Calculator!E23,tbSkills!DH3:DI6,2,FALSE)+IF(AND(Calculator!B8=TRUE,Backdoors!BI3=TRUE),VLOOKUP(Calculator!E23,tbSkills!DH3:DJ6,3,FALSE),0),0)))/100)),1),1)</f>
        <v>0.5</v>
      </c>
      <c r="H9" s="87">
        <f t="shared" si="43"/>
        <v>7</v>
      </c>
      <c r="I9" s="86">
        <f>IFERROR(IF(VLOOKUP(A9,tbMoveset!A2:B112,2,FALSE)="Sever",Backdoors!AY4/100,IF(VLOOKUP(A9,tbMoveset!A2:B112,2,FALSE)="Blunt",Backdoors!AZ4/100,Backdoors!BA4/100)),"")</f>
        <v>0.65</v>
      </c>
      <c r="J9" s="49">
        <f>IFERROR(IF(VLOOKUP(tbMoveset!A9,tbMoveset!A2:H112,8,FALSE)="Other",IF(VLOOKUP(tbMoveset!A9,tbMoveset!A2:I112,9,FALSE)="Fire",Backdoors!BB4,IF(VLOOKUP(tbMoveset!A9,tbMoveset!A2:I112,9,FALSE)="Water",Backdoors!BC4,IF(VLOOKUP(tbMoveset!A9,tbMoveset!A2:I112,9,FALSE)="Thunder",Backdoors!BD4,IF(VLOOKUP(tbMoveset!A9,tbMoveset!A2:I112,9,FALSE)="Ice",Backdoors!BE4,IF(VLOOKUP(tbMoveset!A9,tbMoveset!A2:I112,9,FALSE)="Dragon",Backdoors!BF4,Backdoors!BG4)))))/100,Backdoors!BG4/100),"")</f>
        <v>0</v>
      </c>
      <c r="K9" s="49">
        <f>IFERROR(IF(VLOOKUP(A9,tbMoveset!A2:J112,10,FALSE)=TRUE,IF((Backdoors!AI12+IF(I9&gt;=0.45,VLOOKUP(Calculator!E23,tbSkills!DH3:DI6,2,FALSE)+IF(AND(Calculator!B8=TRUE,Backdoors!BI4=TRUE),VLOOKUP(Calculator!E23,tbSkills!DH3:DJ6,3,FALSE),0),0))&gt;=0,1+(Backdoors!AL2*(IF((Backdoors!AI12+IF(I9&gt;=0.45,VLOOKUP(Calculator!E23,tbSkills!DH3:DI6,2,FALSE)+IF(AND(Calculator!B8=TRUE,Backdoors!BI4=TRUE),VLOOKUP(Calculator!E23,tbSkills!DH3:DJ6,3,FALSE),0),0))&gt;=100,100,(Backdoors!AI12+IF(I9&gt;=0.45,VLOOKUP(Calculator!E23,tbSkills!DH3:DI6,2,FALSE)+IF(AND(Calculator!B8=TRUE,Backdoors!BI4=TRUE),VLOOKUP(Calculator!E23,tbSkills!DH3:DJ6,3,FALSE),0),0)))/100)),(1-(0.25*((-Backdoors!AI12-IF(I9&gt;=0.45,VLOOKUP(Calculator!E23,tbSkills!DH3:DI6,2,FALSE)+IF(AND(Calculator!B8=TRUE,Backdoors!BI4=TRUE),VLOOKUP(Calculator!E23,tbSkills!DH3:DJ6,3,FALSE),0),0))/100)))),1),"")</f>
        <v>1</v>
      </c>
      <c r="L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9)*K9)*(VLOOKUP(A9,tbMoveset!A2:C112,3,FALSE)/100)*IF(VLOOKUP(A9,tbMoveset!A2:B112,2,FALSE)="Projectile",Backdoors!N10,Backdoors!N9),0),"")</f>
        <v>6</v>
      </c>
      <c r="M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I9&gt;=0.45,VLOOKUP(Calculator!E23,tbSkills!DH3:DI6,2,FALSE)+IF(AND(Calculator!B8=TRUE,Backdoors!BI4=TRUE),VLOOKUP(Calculator!E23,tbSkills!DH3:DJ6,3,FALSE),0),0))&gt;=100,100,(Backdoors!AI12+IF(I9&gt;=0.45,VLOOKUP(Calculator!E23,tbSkills!DH3:DI6,2,FALSE)+IF(AND(Calculator!B8=TRUE,Backdoors!BI4=TRUE),VLOOKUP(Calculator!E23,tbSkills!DH3:DJ6,3,FALSE),0),0)))/100)),1))*IF(VLOOKUP(A9,tbMoveset!A2:K112,11,FALSE)=TRUE,Backdoors!AC5,1))*J9,0),"")</f>
        <v>0</v>
      </c>
      <c r="N9" s="49">
        <f>VLOOKUP(A9,tbMoveset!A2:G112,7,FALSE)*IFERROR(IF(Backdoors!AI12&gt;=0,1+(IF(Calculator!E40&gt;0,VLOOKUP(Calculator!E40,tbSkills!AI3:AJ5,2,FALSE),Backdoors!AL4)*(IF((Backdoors!AI12+IF(I9&gt;=0.45,VLOOKUP(Calculator!E23,tbSkills!DH3:DI6,2,FALSE)+IF(AND(Calculator!B8=TRUE,Backdoors!BI4=TRUE),VLOOKUP(Calculator!E23,tbSkills!DH3:DJ6,3,FALSE),0),0))&gt;=100,100,(Backdoors!AI12+IF(I9&gt;=0.45,VLOOKUP(Calculator!E23,tbSkills!DH3:DI6,2,FALSE)+IF(AND(Calculator!B8=TRUE,Backdoors!BI4=TRUE),VLOOKUP(Calculator!E23,tbSkills!DH3:DJ6,3,FALSE),0),0)))/100)),1),1)</f>
        <v>0.5</v>
      </c>
      <c r="O9" s="87">
        <f t="shared" si="36"/>
        <v>6</v>
      </c>
      <c r="P9" s="86">
        <f>IFERROR(IF(VLOOKUP(A9,tbMoveset!A2:B112,2,FALSE)="Sever",Backdoors!AY5/100,IF(VLOOKUP(A9,tbMoveset!A2:B112,2,FALSE)="Blunt",Backdoors!AZ5/100,Backdoors!BA5/100)),"")</f>
        <v>0.5</v>
      </c>
      <c r="Q9" s="49">
        <f>IFERROR(IF(VLOOKUP(tbMoveset!A9,tbMoveset!A2:H112,8,FALSE)="Other",IF(VLOOKUP(tbMoveset!A9,tbMoveset!A2:I112,9,FALSE)="Fire",Backdoors!BB5,IF(VLOOKUP(tbMoveset!A9,tbMoveset!A2:I112,9,FALSE)="Water",Backdoors!BC5,IF(VLOOKUP(tbMoveset!A9,tbMoveset!A2:I112,9,FALSE)="Thunder",Backdoors!BD5,IF(VLOOKUP(tbMoveset!A9,tbMoveset!A2:I112,9,FALSE)="Ice",Backdoors!BE5,IF(VLOOKUP(tbMoveset!A9,tbMoveset!A2:I112,9,FALSE)="Dragon",Backdoors!BF5,Backdoors!BG5)))))/100,Backdoors!BG5/100),"")</f>
        <v>0</v>
      </c>
      <c r="R9" s="49">
        <f>IFERROR(IF(VLOOKUP(A9,tbMoveset!A2:J112,10,FALSE)=TRUE,IF((Backdoors!AI12+IF(P9&gt;=0.45,VLOOKUP(Calculator!E23,tbSkills!DH3:DI6,2,FALSE)+IF(AND(Calculator!B8=TRUE,Backdoors!BI5=TRUE),VLOOKUP(Calculator!E23,tbSkills!DH3:DJ6,3,FALSE),0),0))&gt;=0,1+(Backdoors!AL2*(IF((Backdoors!AI12+IF(P9&gt;=0.45,VLOOKUP(Calculator!E23,tbSkills!DH3:DI6,2,FALSE)+IF(AND(Calculator!B8=TRUE,Backdoors!BI5=TRUE),VLOOKUP(Calculator!E23,tbSkills!DH3:DJ6,3,FALSE),0),0))&gt;=100,100,(Backdoors!AI12+IF(P9&gt;=0.45,VLOOKUP(Calculator!E23,tbSkills!DH3:DI6,2,FALSE)+IF(AND(Calculator!B8=TRUE,Backdoors!BI5=TRUE),VLOOKUP(Calculator!E23,tbSkills!DH3:DJ6,3,FALSE),0),0)))/100)),(1-(0.25*((-Backdoors!AI12-IF(P9&gt;=0.45,VLOOKUP(Calculator!E23,tbSkills!DH3:DI6,2,FALSE)+IF(AND(Calculator!B8=TRUE,Backdoors!BI5=TRUE),VLOOKUP(Calculator!E23,tbSkills!DH3:DJ6,3,FALSE),0),0))/100)))),1),"")</f>
        <v>1</v>
      </c>
      <c r="S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P9)*R9)*(VLOOKUP(A9,tbMoveset!A2:C112,3,FALSE)/100)*IF(VLOOKUP(A9,tbMoveset!A2:B112,2,FALSE)="Projectile",Backdoors!N10,Backdoors!N9),0),"")</f>
        <v>5</v>
      </c>
      <c r="T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P9&gt;=0.45,VLOOKUP(Calculator!E23,tbSkills!DH3:DI6,2,FALSE)+IF(AND(Calculator!B8=TRUE,Backdoors!BI5=TRUE),VLOOKUP(Calculator!E23,tbSkills!DH3:DJ6,3,FALSE),0),0))&gt;=100,100,(Backdoors!AI12+IF(P9&gt;=0.45,VLOOKUP(Calculator!E23,tbSkills!DH3:DI6,2,FALSE)+IF(AND(Calculator!B8=TRUE,Backdoors!BI5=TRUE),VLOOKUP(Calculator!E23,tbSkills!DH3:DJ6,3,FALSE),0),0)))/100)),1))*IF(VLOOKUP(A9,tbMoveset!A2:K112,11,FALSE)=TRUE,Backdoors!AC5,1))*Q9,0),"")</f>
        <v>0</v>
      </c>
      <c r="U9" s="49">
        <f>VLOOKUP(A9,tbMoveset!A2:G112,7,FALSE)*IFERROR(IF(Backdoors!AI12&gt;=0,1+(IF(Calculator!E40&gt;0,VLOOKUP(Calculator!E40,tbSkills!AI3:AJ5,2,FALSE),Backdoors!AL4)*(IF((Backdoors!AI12+IF(P9&gt;=0.45,VLOOKUP(Calculator!E23,tbSkills!DH3:DI6,2,FALSE)+IF(AND(Calculator!B8=TRUE,Backdoors!BI5=TRUE),VLOOKUP(Calculator!E23,tbSkills!DH3:DJ6,3,FALSE),0),0))&gt;=100,100,(Backdoors!AI12+IF(P9&gt;=0.45,VLOOKUP(Calculator!E23,tbSkills!DH3:DI6,2,FALSE)+IF(AND(Calculator!B8=TRUE,Backdoors!BI5=TRUE),VLOOKUP(Calculator!E23,tbSkills!DH3:DJ6,3,FALSE),0),0)))/100)),1),1)</f>
        <v>0.5</v>
      </c>
      <c r="V9" s="87">
        <f t="shared" si="37"/>
        <v>5</v>
      </c>
      <c r="W9" s="86">
        <f>IFERROR(IF(VLOOKUP(A9,tbMoveset!A2:B112,2,FALSE)="Sever",Backdoors!AY6/100,IF(VLOOKUP(A9,tbMoveset!A2:B112,2,FALSE)="Blunt",Backdoors!AZ6/100,Backdoors!BA6/100)),"")</f>
        <v>0.45</v>
      </c>
      <c r="X9" s="49">
        <f>IFERROR(IF(VLOOKUP(tbMoveset!A9,tbMoveset!A2:H112,8,FALSE)="Other",IF(VLOOKUP(tbMoveset!A9,tbMoveset!A2:I112,9,FALSE)="Fire",Backdoors!BB6,IF(VLOOKUP(tbMoveset!A9,tbMoveset!A2:I112,9,FALSE)="Water",Backdoors!BC6,IF(VLOOKUP(tbMoveset!A9,tbMoveset!A2:I112,9,FALSE)="Thunder",Backdoors!BD6,IF(VLOOKUP(tbMoveset!A9,tbMoveset!A2:I112,9,FALSE)="Ice",Backdoors!BE6,IF(VLOOKUP(tbMoveset!A9,tbMoveset!A2:I112,9,FALSE)="Dragon",Backdoors!BF6,Backdoors!BG6)))))/100,Backdoors!BG6/100),"")</f>
        <v>0</v>
      </c>
      <c r="Y9" s="49">
        <f>IFERROR(IF(VLOOKUP(A9,tbMoveset!A2:J112,10,FALSE)=TRUE,IF((Backdoors!AI12+IF(W9&gt;=0.45,VLOOKUP(Calculator!E23,tbSkills!DH3:DI6,2,FALSE)+IF(AND(Calculator!B8=TRUE,Backdoors!BI6=TRUE),VLOOKUP(Calculator!E23,tbSkills!DH3:DJ6,3,FALSE),0),0))&gt;=0,1+(Backdoors!AL2*(IF((Backdoors!AI12+IF(W9&gt;=0.45,VLOOKUP(Calculator!E23,tbSkills!DH3:DI6,2,FALSE)+IF(AND(Calculator!B8=TRUE,Backdoors!BI6=TRUE),VLOOKUP(Calculator!E23,tbSkills!DH3:DJ6,3,FALSE),0),0))&gt;=100,100,(Backdoors!AI12+IF(W9&gt;=0.45,VLOOKUP(Calculator!E23,tbSkills!DH3:DI6,2,FALSE)+IF(AND(Calculator!B8=TRUE,Backdoors!BI6=TRUE),VLOOKUP(Calculator!E23,tbSkills!DH3:DJ6,3,FALSE),0),0)))/100)),(1-(0.25*((-Backdoors!AI12-IF(W9&gt;=0.45,VLOOKUP(Calculator!E23,tbSkills!DH3:DI6,2,FALSE)+IF(AND(Calculator!B8=TRUE,Backdoors!BI6=TRUE),VLOOKUP(Calculator!E23,tbSkills!DH3:DJ6,3,FALSE),0),0))/100)))),1),"")</f>
        <v>1</v>
      </c>
      <c r="Z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W9)*Y9)*(VLOOKUP(A9,tbMoveset!A2:C112,3,FALSE)/100)*IF(VLOOKUP(A9,tbMoveset!A2:B112,2,FALSE)="Projectile",Backdoors!N10,Backdoors!N9),0),"")</f>
        <v>4</v>
      </c>
      <c r="AA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W9&gt;=0.45,VLOOKUP(Calculator!E23,tbSkills!DH3:DI6,2,FALSE)+IF(AND(Calculator!B8=TRUE,Backdoors!BI6=TRUE),VLOOKUP(Calculator!E23,tbSkills!DH3:DJ6,3,FALSE),0),0))&gt;=100,100,(Backdoors!AI12+IF(W9&gt;=0.45,VLOOKUP(Calculator!E23,tbSkills!DH3:DI6,2,FALSE)+IF(AND(Calculator!B8=TRUE,Backdoors!BI6=TRUE),VLOOKUP(Calculator!E23,tbSkills!DH3:DJ6,3,FALSE),0),0)))/100)),1))*IF(VLOOKUP(A9,tbMoveset!A2:K112,11,FALSE)=TRUE,Backdoors!AC5,1))*X9,0),"")</f>
        <v>0</v>
      </c>
      <c r="AB9" s="49">
        <f>VLOOKUP(A9,tbMoveset!A2:G112,7,FALSE)*IFERROR(IF(Backdoors!AI12&gt;=0,1+(IF(Calculator!E40&gt;0,VLOOKUP(Calculator!E40,tbSkills!AI3:AJ5,2,FALSE),Backdoors!AL4)*(IF((Backdoors!AI12+IF(W9&gt;=0.45,VLOOKUP(Calculator!E23,tbSkills!DH3:DI6,2,FALSE)+IF(AND(Calculator!B8=TRUE,Backdoors!BI6=TRUE),VLOOKUP(Calculator!E23,tbSkills!DH3:DJ6,3,FALSE),0),0))&gt;=100,100,(Backdoors!AI12+IF(W9&gt;=0.45,VLOOKUP(Calculator!E23,tbSkills!DH3:DI6,2,FALSE)+IF(AND(Calculator!B8=TRUE,Backdoors!BI6=TRUE),VLOOKUP(Calculator!E23,tbSkills!DH3:DJ6,3,FALSE),0),0)))/100)),1),1)</f>
        <v>0.5</v>
      </c>
      <c r="AC9" s="87">
        <f t="shared" si="0"/>
        <v>4</v>
      </c>
      <c r="AD9" s="86">
        <f>IFERROR(IF(VLOOKUP(A9,tbMoveset!A2:B112,2,FALSE)="Sever",Backdoors!AY7/100,IF(VLOOKUP(A9,tbMoveset!A2:B112,2,FALSE)="Blunt",Backdoors!AZ7/100,Backdoors!BA7/100)),"")</f>
        <v>0.65</v>
      </c>
      <c r="AE9" s="49">
        <f>IFERROR(IF(VLOOKUP(tbMoveset!A9,tbMoveset!A2:H112,8,FALSE)="Other",IF(VLOOKUP(tbMoveset!A9,tbMoveset!A2:I112,9,FALSE)="Fire",Backdoors!BB7,IF(VLOOKUP(tbMoveset!A9,tbMoveset!A2:I112,9,FALSE)="Water",Backdoors!BC7,IF(VLOOKUP(tbMoveset!A9,tbMoveset!A2:I112,9,FALSE)="Thunder",Backdoors!BD7,IF(VLOOKUP(tbMoveset!A9,tbMoveset!A2:I112,9,FALSE)="Ice",Backdoors!BE7,IF(VLOOKUP(tbMoveset!A9,tbMoveset!A2:I112,9,FALSE)="Dragon",Backdoors!BF7,Backdoors!BG7)))))/100,Backdoors!BG7/100),"")</f>
        <v>0</v>
      </c>
      <c r="AF9" s="49">
        <f>IFERROR(IF(VLOOKUP(A9,tbMoveset!A2:J112,10,FALSE)=TRUE,IF((Backdoors!AI12+IF(AD9&gt;=0.45,VLOOKUP(Calculator!E23,tbSkills!DH3:DI6,2,FALSE)+IF(AND(Calculator!B8=TRUE,Backdoors!BI7=TRUE),VLOOKUP(Calculator!E23,tbSkills!DH3:DJ6,3,FALSE),0),0))&gt;=0,1+(Backdoors!AL2*(IF((Backdoors!AI12+IF(AD9&gt;=0.45,VLOOKUP(Calculator!E23,tbSkills!DH3:DI6,2,FALSE)+IF(AND(Calculator!B8=TRUE,Backdoors!BI7=TRUE),VLOOKUP(Calculator!E23,tbSkills!DH3:DJ6,3,FALSE),0),0))&gt;=100,100,(Backdoors!AI12+IF(AD9&gt;=0.45,VLOOKUP(Calculator!E23,tbSkills!DH3:DI6,2,FALSE)+IF(AND(Calculator!B8=TRUE,Backdoors!BI7=TRUE),VLOOKUP(Calculator!E23,tbSkills!DH3:DJ6,3,FALSE),0),0)))/100)),(1-(0.25*((-Backdoors!AI12-IF(AD9&gt;=0.45,VLOOKUP(Calculator!E23,tbSkills!DH3:DI6,2,FALSE)+IF(AND(Calculator!B8=TRUE,Backdoors!BI7=TRUE),VLOOKUP(Calculator!E23,tbSkills!DH3:DJ6,3,FALSE),0),0))/100)))),1),"")</f>
        <v>1</v>
      </c>
      <c r="AG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D9)*AF9)*(VLOOKUP(A9,tbMoveset!A2:C112,3,FALSE)/100)*IF(VLOOKUP(A9,tbMoveset!A2:B112,2,FALSE)="Projectile",Backdoors!N10,Backdoors!N9),0),"")</f>
        <v>6</v>
      </c>
      <c r="AH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D9&gt;=0.45,VLOOKUP(Calculator!E23,tbSkills!DH3:DI6,2,FALSE)+IF(AND(Calculator!B8=TRUE,Backdoors!BI7=TRUE),VLOOKUP(Calculator!E23,tbSkills!DH3:DJ6,3,FALSE),0),0))&gt;=100,100,(Backdoors!AI12+IF(AD9&gt;=0.45,VLOOKUP(Calculator!E23,tbSkills!DH3:DI6,2,FALSE)+IF(AND(Calculator!B8=TRUE,Backdoors!BI7=TRUE),VLOOKUP(Calculator!E23,tbSkills!DH3:DJ6,3,FALSE),0),0)))/100)),1))*IF(VLOOKUP(A9,tbMoveset!A2:K112,11,FALSE)=TRUE,Backdoors!AC5,1))*AE9,0),"")</f>
        <v>0</v>
      </c>
      <c r="AI9" s="49">
        <f>VLOOKUP(A9,tbMoveset!A2:G112,7,FALSE)*IFERROR(IF(Backdoors!AI12&gt;=0,1+(IF(Calculator!E40&gt;0,VLOOKUP(Calculator!E40,tbSkills!AI3:AJ5,2,FALSE),Backdoors!AL4)*(IF((Backdoors!AI12+IF(AD9&gt;=0.45,VLOOKUP(Calculator!E23,tbSkills!DH3:DI6,2,FALSE)+IF(AND(Calculator!B8=TRUE,Backdoors!BI7=TRUE),VLOOKUP(Calculator!E23,tbSkills!DH3:DJ6,3,FALSE),0),0))&gt;=100,100,(Backdoors!AI12+IF(AD9&gt;=0.45,VLOOKUP(Calculator!E23,tbSkills!DH3:DI6,2,FALSE)+IF(AND(Calculator!B8=TRUE,Backdoors!BI7=TRUE),VLOOKUP(Calculator!E23,tbSkills!DH3:DJ6,3,FALSE),0),0)))/100)),1),1)</f>
        <v>0.5</v>
      </c>
      <c r="AJ9" s="87">
        <f t="shared" si="1"/>
        <v>6</v>
      </c>
      <c r="AK9" s="91">
        <f>IFERROR(IF(VLOOKUP(A9,tbMoveset!A2:B112,2,FALSE)="Sever",Backdoors!AY8/100,IF(VLOOKUP(A9,tbMoveset!A2:B112,2,FALSE)="Blunt",Backdoors!AZ8/100,Backdoors!BA8/100)),"")</f>
        <v>0.45</v>
      </c>
      <c r="AL9" s="49">
        <f>IFERROR(IF(VLOOKUP(tbMoveset!A9,tbMoveset!A2:H112,8,FALSE)="Other",IF(VLOOKUP(tbMoveset!A9,tbMoveset!A2:I112,9,FALSE)="Fire",Backdoors!BB8,IF(VLOOKUP(tbMoveset!A9,tbMoveset!A2:I112,9,FALSE)="Water",Backdoors!BC8,IF(VLOOKUP(tbMoveset!A9,tbMoveset!A2:I112,9,FALSE)="Thunder",Backdoors!BD8,IF(VLOOKUP(tbMoveset!A9,tbMoveset!A2:I112,9,FALSE)="Ice",Backdoors!BE8,IF(VLOOKUP(tbMoveset!A9,tbMoveset!A2:I112,9,FALSE)="Dragon",Backdoors!BF8,Backdoors!BG8)))))/100,Backdoors!BG8/100),"")</f>
        <v>0</v>
      </c>
      <c r="AM9" s="49">
        <f>IFERROR(IF(VLOOKUP(A9,tbMoveset!A2:J112,10,FALSE)=TRUE,IF((Backdoors!AI12+IF(AK9&gt;=0.45,VLOOKUP(Calculator!E23,tbSkills!DH3:DI6,2,FALSE)+IF(AND(Calculator!B8=TRUE,Backdoors!BI8=TRUE),VLOOKUP(Calculator!E23,tbSkills!DH3:DJ6,3,FALSE),0),0))&gt;=0,1+(Backdoors!AL2*(IF((Backdoors!AI12+IF(AK9&gt;=0.45,VLOOKUP(Calculator!E23,tbSkills!DH3:DI6,2,FALSE)+IF(AND(Calculator!B8=TRUE,Backdoors!BI8=TRUE),VLOOKUP(Calculator!E23,tbSkills!DH3:DJ6,3,FALSE),0),0))&gt;=100,100,(Backdoors!AI12+IF(AK9&gt;=0.45,VLOOKUP(Calculator!E23,tbSkills!DH3:DI6,2,FALSE)+IF(AND(Calculator!B8=TRUE,Backdoors!BI8=TRUE),VLOOKUP(Calculator!E23,tbSkills!DH3:DJ6,3,FALSE),0),0)))/100)),(1-(0.25*((-Backdoors!AI12-IF(AK9&gt;=0.45,VLOOKUP(Calculator!E23,tbSkills!DH3:DI6,2,FALSE)+IF(AND(Calculator!B8=TRUE,Backdoors!BI8=TRUE),VLOOKUP(Calculator!E23,tbSkills!DH3:DJ6,3,FALSE),0),0))/100)))),1),"")</f>
        <v>1</v>
      </c>
      <c r="AN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K9)*AM9)*(VLOOKUP(A9,tbMoveset!A2:C112,3,FALSE)/100)*IF(VLOOKUP(A9,tbMoveset!A2:B112,2,FALSE)="Projectile",Backdoors!N10,Backdoors!N9),0),"")</f>
        <v>4</v>
      </c>
      <c r="AO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K9&gt;=0.45,VLOOKUP(Calculator!E23,tbSkills!DH3:DI6,2,FALSE)+IF(AND(Calculator!B8=TRUE,Backdoors!BI8=TRUE),VLOOKUP(Calculator!E23,tbSkills!DH3:DJ6,3,FALSE),0),0))&gt;=100,100,(Backdoors!AI12+IF(AK9&gt;=0.45,VLOOKUP(Calculator!E23,tbSkills!DH3:DI6,2,FALSE)+IF(AND(Calculator!B8=TRUE,Backdoors!BI8=TRUE),VLOOKUP(Calculator!E23,tbSkills!DH3:DJ6,3,FALSE),0),0)))/100)),1))*IF(VLOOKUP(A9,tbMoveset!A2:K112,11,FALSE)=TRUE,Backdoors!AC5,1))*AL9,0),"")</f>
        <v>0</v>
      </c>
      <c r="AP9" s="49">
        <f>VLOOKUP(A9,tbMoveset!A2:G112,7,FALSE)*IFERROR(IF(Backdoors!AI12&gt;=0,1+(IF(Calculator!E40&gt;0,VLOOKUP(Calculator!E40,tbSkills!AI3:AJ5,2,FALSE),Backdoors!AL4)*(IF((Backdoors!AI12+IF(AK9&gt;=0.45,VLOOKUP(Calculator!E23,tbSkills!DH3:DI6,2,FALSE)+IF(AND(Calculator!B8=TRUE,Backdoors!BI8=TRUE),VLOOKUP(Calculator!E23,tbSkills!DH3:DJ6,3,FALSE),0),0))&gt;=100,100,(Backdoors!AI12+IF(AK9&gt;=0.45,VLOOKUP(Calculator!E23,tbSkills!DH3:DI6,2,FALSE)+IF(AND(Calculator!B8=TRUE,Backdoors!BI8=TRUE),VLOOKUP(Calculator!E23,tbSkills!DH3:DJ6,3,FALSE),0),0)))/100)),1),1)</f>
        <v>0.5</v>
      </c>
      <c r="AQ9" s="87">
        <f t="shared" si="2"/>
        <v>4</v>
      </c>
      <c r="AR9" s="86">
        <f>IFERROR(IF(VLOOKUP(A9,tbMoveset!A2:B112,2,FALSE)="Sever",Backdoors!AY9/100,IF(VLOOKUP(A9,tbMoveset!A2:B112,2,FALSE)="Blunt",Backdoors!AZ9/100,Backdoors!BA9/100)),"")</f>
        <v>0.45</v>
      </c>
      <c r="AS9" s="49">
        <f>IFERROR(IF(VLOOKUP(tbMoveset!A9,tbMoveset!A2:H112,8,FALSE)="Other",IF(VLOOKUP(tbMoveset!A9,tbMoveset!A2:I112,9,FALSE)="Fire",Backdoors!BB9,IF(VLOOKUP(tbMoveset!A9,tbMoveset!A2:I112,9,FALSE)="Water",Backdoors!BC9,IF(VLOOKUP(tbMoveset!A9,tbMoveset!A2:I112,9,FALSE)="Thunder",Backdoors!BD9,IF(VLOOKUP(tbMoveset!A9,tbMoveset!A2:I112,9,FALSE)="Ice",Backdoors!BE9,IF(VLOOKUP(tbMoveset!A9,tbMoveset!A2:I112,9,FALSE)="Dragon",Backdoors!BF9,Backdoors!BG9)))))/100,Backdoors!BG9/100),"")</f>
        <v>0</v>
      </c>
      <c r="AT9" s="49">
        <f>IFERROR(IF(VLOOKUP(A9,tbMoveset!A2:J112,10,FALSE)=TRUE,IF((Backdoors!AI12+IF(AR9&gt;=0.45,VLOOKUP(Calculator!E23,tbSkills!DH3:DI6,2,FALSE)+IF(AND(Calculator!B8=TRUE,Backdoors!BI9=TRUE),VLOOKUP(Calculator!E23,tbSkills!DH3:DJ6,3,FALSE),0),0))&gt;=0,1+(Backdoors!AL2*(IF((Backdoors!AI12+IF(AR9&gt;=0.45,VLOOKUP(Calculator!E23,tbSkills!DH3:DI6,2,FALSE)+IF(AND(Calculator!B8=TRUE,Backdoors!BI9=TRUE),VLOOKUP(Calculator!E23,tbSkills!DH3:DJ6,3,FALSE),0),0))&gt;=100,100,(Backdoors!AI12+IF(AR9&gt;=0.45,VLOOKUP(Calculator!E23,tbSkills!DH3:DI6,2,FALSE)+IF(AND(Calculator!B8=TRUE,Backdoors!BI9=TRUE),VLOOKUP(Calculator!E23,tbSkills!DH3:DJ6,3,FALSE),0),0)))/100)),(1-(0.25*((-Backdoors!AI12-IF(AR9&gt;=0.45,VLOOKUP(Calculator!E23,tbSkills!DH3:DI6,2,FALSE)+IF(AND(Calculator!B8=TRUE,Backdoors!BI9=TRUE),VLOOKUP(Calculator!E23,tbSkills!DH3:DJ6,3,FALSE),0),0))/100)))),1),"")</f>
        <v>1</v>
      </c>
      <c r="AU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R9)*AT9)*(VLOOKUP(A9,tbMoveset!A2:C112,3,FALSE)/100)*IF(VLOOKUP(A9,tbMoveset!A2:B112,2,FALSE)="Projectile",Backdoors!N10,Backdoors!N9),0),"")</f>
        <v>4</v>
      </c>
      <c r="AV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R9&gt;=0.45,VLOOKUP(Calculator!E23,tbSkills!DH3:DI6,2,FALSE)+IF(AND(Calculator!B8=TRUE,Backdoors!BI9=TRUE),VLOOKUP(Calculator!E23,tbSkills!DH3:DJ6,3,FALSE),0),0))&gt;=100,100,(Backdoors!AI12+IF(AR9&gt;=0.45,VLOOKUP(Calculator!E23,tbSkills!DH3:DI6,2,FALSE)+IF(AND(Calculator!B8=TRUE,Backdoors!BI9=TRUE),VLOOKUP(Calculator!E23,tbSkills!DH3:DJ6,3,FALSE),0),0)))/100)),1))*IF(VLOOKUP(A9,tbMoveset!A2:K112,11,FALSE)=TRUE,Backdoors!AC5,1))*AS9,0),"")</f>
        <v>0</v>
      </c>
      <c r="AW9" s="49">
        <f>VLOOKUP(A9,tbMoveset!A2:G112,7,FALSE)*IFERROR(IF(Backdoors!AI12&gt;=0,1+(IF(Calculator!E40&gt;0,VLOOKUP(Calculator!E40,tbSkills!AI3:AJ5,2,FALSE),Backdoors!AL4)*(IF((Backdoors!AI12+IF(AR9&gt;=0.45,VLOOKUP(Calculator!E23,tbSkills!DH3:DI6,2,FALSE)+IF(AND(Calculator!B8=TRUE,Backdoors!BI9=TRUE),VLOOKUP(Calculator!E23,tbSkills!DH3:DJ6,3,FALSE),0),0))&gt;=100,100,(Backdoors!AI12+IF(AR9&gt;=0.45,VLOOKUP(Calculator!E23,tbSkills!DH3:DI6,2,FALSE)+IF(AND(Calculator!B8=TRUE,Backdoors!BI9=TRUE),VLOOKUP(Calculator!E23,tbSkills!DH3:DJ6,3,FALSE),0),0)))/100)),1),1)</f>
        <v>0.5</v>
      </c>
      <c r="AX9" s="87">
        <f t="shared" si="38"/>
        <v>4</v>
      </c>
      <c r="AY9" s="86">
        <f>IFERROR(IF(VLOOKUP(A9,tbMoveset!A2:B112,2,FALSE)="Sever",Backdoors!AY10/100,IF(VLOOKUP(A9,tbMoveset!A2:B112,2,FALSE)="Blunt",Backdoors!AZ10/100,Backdoors!BA10/100)),"")</f>
        <v>0.9</v>
      </c>
      <c r="AZ9" s="49">
        <f>IFERROR(IF(VLOOKUP(tbMoveset!A9,tbMoveset!A2:H112,8,FALSE)="Other",IF(VLOOKUP(tbMoveset!A9,tbMoveset!A2:I112,9,FALSE)="Fire",Backdoors!BB10,IF(VLOOKUP(tbMoveset!A9,tbMoveset!A2:I112,9,FALSE)="Water",Backdoors!BC10,IF(VLOOKUP(tbMoveset!A9,tbMoveset!A2:I112,9,FALSE)="Thunder",Backdoors!BD10,IF(VLOOKUP(tbMoveset!A9,tbMoveset!A2:I112,9,FALSE)="Ice",Backdoors!BE10,IF(VLOOKUP(tbMoveset!A9,tbMoveset!A2:I112,9,FALSE)="Dragon",Backdoors!BF10,Backdoors!BG10)))))/100,Backdoors!BG10/100),"")</f>
        <v>0</v>
      </c>
      <c r="BA9" s="49">
        <f>IFERROR(IF(VLOOKUP(A9,tbMoveset!A2:J112,10,FALSE)=TRUE,IF((Backdoors!AI12+IF(AY9&gt;=0.45,VLOOKUP(Calculator!E23,tbSkills!DH3:DI6,2,FALSE)+IF(AND(Calculator!B8=TRUE,Backdoors!BI10=TRUE),VLOOKUP(Calculator!E23,tbSkills!DH3:DJ6,3,FALSE),0),0))&gt;=0,1+(Backdoors!AL2*(IF((Backdoors!AI12+IF(AY9&gt;=0.45,VLOOKUP(Calculator!E23,tbSkills!DH3:DI6,2,FALSE)+IF(AND(Calculator!B8=TRUE,Backdoors!BI10=TRUE),VLOOKUP(Calculator!E23,tbSkills!DH3:DJ6,3,FALSE),0),0))&gt;=100,100,(Backdoors!AI12+IF(AY9&gt;=0.45,VLOOKUP(Calculator!E23,tbSkills!DH3:DI6,2,FALSE)+IF(AND(Calculator!B8=TRUE,Backdoors!BI10=TRUE),VLOOKUP(Calculator!E23,tbSkills!DH3:DJ6,3,FALSE),0),0)))/100)),(1-(0.25*((-Backdoors!AI12-IF(AY9&gt;=0.45,VLOOKUP(Calculator!E23,tbSkills!DH3:DI6,2,FALSE)+IF(AND(Calculator!B8=TRUE,Backdoors!BI10=TRUE),VLOOKUP(Calculator!E23,tbSkills!DH3:DJ6,3,FALSE),0),0))/100)))),1),"")</f>
        <v>1</v>
      </c>
      <c r="BB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Y9)*BA9)*(VLOOKUP(A9,tbMoveset!A2:C112,3,FALSE)/100)*IF(VLOOKUP(A9,tbMoveset!A2:B112,2,FALSE)="Projectile",Backdoors!N10,Backdoors!N9),0),"")</f>
        <v>8</v>
      </c>
      <c r="BC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Y9&gt;=0.45,VLOOKUP(Calculator!E23,tbSkills!DH3:DI6,2,FALSE)+IF(AND(Calculator!B8=TRUE,Backdoors!BI10=TRUE),VLOOKUP(Calculator!E23,tbSkills!DH3:DJ6,3,FALSE),0),0))&gt;=100,100,(Backdoors!AI12+IF(AY9&gt;=0.45,VLOOKUP(Calculator!E23,tbSkills!DH3:DI6,2,FALSE)+IF(AND(Calculator!B8=TRUE,Backdoors!BI10=TRUE),VLOOKUP(Calculator!E23,tbSkills!DH3:DJ6,3,FALSE),0),0)))/100)),1))*IF(VLOOKUP(A9,tbMoveset!A2:K112,11,FALSE)=TRUE,Backdoors!AC5,1))*AZ9,0),"")</f>
        <v>0</v>
      </c>
      <c r="BD9" s="49">
        <f>VLOOKUP(A9,tbMoveset!A2:G112,7,FALSE)*IFERROR(IF(Backdoors!AI12&gt;=0,1+(IF(Calculator!E40&gt;0,VLOOKUP(Calculator!E40,tbSkills!AI3:AJ5,2,FALSE),Backdoors!AL4)*(IF((Backdoors!AI12+IF(AY9&gt;=0.45,VLOOKUP(Calculator!E23,tbSkills!DH3:DI6,2,FALSE)+IF(AND(Calculator!B8=TRUE,Backdoors!BI10=TRUE),VLOOKUP(Calculator!E23,tbSkills!DH3:DJ6,3,FALSE),0),0))&gt;=100,100,(Backdoors!AI12+IF(AY9&gt;=0.45,VLOOKUP(Calculator!E23,tbSkills!DH3:DI6,2,FALSE)+IF(AND(Calculator!B8=TRUE,Backdoors!BI10=TRUE),VLOOKUP(Calculator!E23,tbSkills!DH3:DJ6,3,FALSE),0),0)))/100)),1),1)</f>
        <v>0.5</v>
      </c>
      <c r="BE9" s="87">
        <f t="shared" si="3"/>
        <v>8</v>
      </c>
      <c r="BF9" s="86" t="str">
        <f>IFERROR(IF(VLOOKUP(A9,tbMoveset!A2:B112,2,FALSE)="Sever",Backdoors!AY11/100,IF(VLOOKUP(A9,tbMoveset!A2:B112,2,FALSE)="Blunt",Backdoors!AZ11/100,Backdoors!BA11/100)),"")</f>
        <v/>
      </c>
      <c r="BG9" s="49">
        <f>IFERROR(IF(VLOOKUP(tbMoveset!A9,tbMoveset!A2:H112,8,FALSE)="Other",IF(VLOOKUP(tbMoveset!A9,tbMoveset!A2:I112,9,FALSE)="Fire",Backdoors!BB11,IF(VLOOKUP(tbMoveset!A9,tbMoveset!A2:I112,9,FALSE)="Water",Backdoors!BC11,IF(VLOOKUP(tbMoveset!A9,tbMoveset!A2:I112,9,FALSE)="Thunder",Backdoors!BD11,IF(VLOOKUP(tbMoveset!A9,tbMoveset!A2:I112,9,FALSE)="Ice",Backdoors!BE11,IF(VLOOKUP(tbMoveset!A9,tbMoveset!A2:I112,9,FALSE)="Dragon",Backdoors!BF11,Backdoors!BG11)))))/100,Backdoors!BG11/100),"")</f>
        <v>0</v>
      </c>
      <c r="BH9" s="49">
        <f>IFERROR(IF(VLOOKUP(A9,tbMoveset!A2:J112,10,FALSE)=TRUE,IF((Backdoors!AI12+IF(BF9&gt;=0.45,VLOOKUP(Calculator!E23,tbSkills!DH3:DI6,2,FALSE)+IF(AND(Calculator!B8=TRUE,Backdoors!BI11=TRUE),VLOOKUP(Calculator!E23,tbSkills!DH3:DJ6,3,FALSE),0),0))&gt;=0,1+(Backdoors!AL2*(IF((Backdoors!AI12+IF(BF9&gt;=0.45,VLOOKUP(Calculator!E23,tbSkills!DH3:DI6,2,FALSE)+IF(AND(Calculator!B8=TRUE,Backdoors!BI11=TRUE),VLOOKUP(Calculator!E23,tbSkills!DH3:DJ6,3,FALSE),0),0))&gt;=100,100,(Backdoors!AI12+IF(BF9&gt;=0.45,VLOOKUP(Calculator!E23,tbSkills!DH3:DI6,2,FALSE)+IF(AND(Calculator!B8=TRUE,Backdoors!BI11=TRUE),VLOOKUP(Calculator!E23,tbSkills!DH3:DJ6,3,FALSE),0),0)))/100)),(1-(0.25*((-Backdoors!AI12-IF(BF9&gt;=0.45,VLOOKUP(Calculator!E23,tbSkills!DH3:DI6,2,FALSE)+IF(AND(Calculator!B8=TRUE,Backdoors!BI11=TRUE),VLOOKUP(Calculator!E23,tbSkills!DH3:DJ6,3,FALSE),0),0))/100)))),1),"")</f>
        <v>1</v>
      </c>
      <c r="BI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F9)*BH9)*(VLOOKUP(A9,tbMoveset!A2:C112,3,FALSE)/100)*IF(VLOOKUP(A9,tbMoveset!A2:B112,2,FALSE)="Projectile",Backdoors!N10,Backdoors!N9),0),"")</f>
        <v/>
      </c>
      <c r="BJ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F9&gt;=0.45,VLOOKUP(Calculator!E23,tbSkills!DH3:DI6,2,FALSE)+IF(AND(Calculator!B8=TRUE,Backdoors!BI11=TRUE),VLOOKUP(Calculator!E23,tbSkills!DH3:DJ6,3,FALSE),0),0))&gt;=100,100,(Backdoors!AI12+IF(BF9&gt;=0.45,VLOOKUP(Calculator!E23,tbSkills!DH3:DI6,2,FALSE)+IF(AND(Calculator!B8=TRUE,Backdoors!BI11=TRUE),VLOOKUP(Calculator!E23,tbSkills!DH3:DJ6,3,FALSE),0),0)))/100)),1))*IF(VLOOKUP(A9,tbMoveset!A2:K112,11,FALSE)=TRUE,Backdoors!AC5,1))*BG9,0),"")</f>
        <v>0</v>
      </c>
      <c r="BK9" s="49">
        <f>VLOOKUP(A9,tbMoveset!A2:G112,7,FALSE)*IFERROR(IF(Backdoors!AI12&gt;=0,1+(IF(Calculator!E40&gt;0,VLOOKUP(Calculator!E40,tbSkills!AI3:AJ5,2,FALSE),Backdoors!AL4)*(IF((Backdoors!AI12+IF(BF9&gt;=0.45,VLOOKUP(Calculator!E23,tbSkills!DH3:DI6,2,FALSE)+IF(AND(Calculator!B8=TRUE,Backdoors!BI11=TRUE),VLOOKUP(Calculator!E23,tbSkills!DH3:DJ6,3,FALSE),0),0))&gt;=100,100,(Backdoors!AI12+IF(BF9&gt;=0.45,VLOOKUP(Calculator!E23,tbSkills!DH3:DI6,2,FALSE)+IF(AND(Calculator!B8=TRUE,Backdoors!BI11=TRUE),VLOOKUP(Calculator!E23,tbSkills!DH3:DJ6,3,FALSE),0),0)))/100)),1),1)</f>
        <v>0.5</v>
      </c>
      <c r="BL9" s="87">
        <f t="shared" si="4"/>
        <v>0</v>
      </c>
      <c r="BM9" s="86" t="str">
        <f>IFERROR(IF(VLOOKUP(A9,tbMoveset!A2:B112,2,FALSE)="Sever",Backdoors!AY12/100,IF(VLOOKUP(A9,tbMoveset!A2:B112,2,FALSE)="Blunt",Backdoors!AZ12/100,Backdoors!BA12/100)),"")</f>
        <v/>
      </c>
      <c r="BN9" s="49">
        <f>IFERROR(IF(VLOOKUP(tbMoveset!A9,tbMoveset!A2:H112,8,FALSE)="Other",IF(VLOOKUP(tbMoveset!A9,tbMoveset!A2:I112,9,FALSE)="Fire",Backdoors!BB12,IF(VLOOKUP(tbMoveset!A9,tbMoveset!A2:I112,9,FALSE)="Water",Backdoors!BC12,IF(VLOOKUP(tbMoveset!A9,tbMoveset!A2:I112,9,FALSE)="Thunder",Backdoors!BD12,IF(VLOOKUP(tbMoveset!A9,tbMoveset!A2:I112,9,FALSE)="Ice",Backdoors!BE12,IF(VLOOKUP(tbMoveset!A9,tbMoveset!A2:I112,9,FALSE)="Dragon",Backdoors!BF12,Backdoors!BG12)))))/100,Backdoors!BG12/100),"")</f>
        <v>0</v>
      </c>
      <c r="BO9" s="49">
        <f>IFERROR(IF(VLOOKUP(A9,tbMoveset!A2:J112,10,FALSE)=TRUE,IF((Backdoors!AI12+IF(BM9&gt;=0.45,VLOOKUP(Calculator!E23,tbSkills!DH3:DI6,2,FALSE)+IF(AND(Calculator!B8=TRUE,Backdoors!BI12=TRUE),VLOOKUP(Calculator!E23,tbSkills!DH3:DJ6,3,FALSE),0),0))&gt;=0,1+(Backdoors!AL2*(IF((Backdoors!AI12+IF(BM9&gt;=0.45,VLOOKUP(Calculator!E23,tbSkills!DH3:DI6,2,FALSE)+IF(AND(Calculator!B8=TRUE,Backdoors!BI12=TRUE),VLOOKUP(Calculator!E23,tbSkills!DH3:DJ6,3,FALSE),0),0))&gt;=100,100,(Backdoors!AI12+IF(BM9&gt;=0.45,VLOOKUP(Calculator!E23,tbSkills!DH3:DI6,2,FALSE)+IF(AND(Calculator!B8=TRUE,Backdoors!BI12=TRUE),VLOOKUP(Calculator!E23,tbSkills!DH3:DJ6,3,FALSE),0),0)))/100)),(1-(0.25*((-Backdoors!AI12-IF(BM9&gt;=0.45,VLOOKUP(Calculator!E23,tbSkills!DH3:DI6,2,FALSE)+IF(AND(Calculator!B8=TRUE,Backdoors!BI12=TRUE),VLOOKUP(Calculator!E23,tbSkills!DH3:DJ6,3,FALSE),0),0))/100)))),1),"")</f>
        <v>1</v>
      </c>
      <c r="BP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M9)*BO9)*(VLOOKUP(A9,tbMoveset!A2:C112,3,FALSE)/100)*IF(VLOOKUP(A9,tbMoveset!A2:B112,2,FALSE)="Projectile",Backdoors!N10,Backdoors!N9),0),"")</f>
        <v/>
      </c>
      <c r="BQ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M9&gt;=0.45,VLOOKUP(Calculator!E23,tbSkills!DH3:DI6,2,FALSE)+IF(AND(Calculator!B8=TRUE,Backdoors!BI12=TRUE),VLOOKUP(Calculator!E23,tbSkills!DH3:DJ6,3,FALSE),0),0))&gt;=100,100,(Backdoors!AI12+IF(BM9&gt;=0.45,VLOOKUP(Calculator!E23,tbSkills!DH3:DI6,2,FALSE)+IF(AND(Calculator!B8=TRUE,Backdoors!BI12=TRUE),VLOOKUP(Calculator!E23,tbSkills!DH3:DJ6,3,FALSE),0),0)))/100)),1))*IF(VLOOKUP(A9,tbMoveset!A2:K112,11,FALSE)=TRUE,Backdoors!AC5,1))*BN9,0),"")</f>
        <v>0</v>
      </c>
      <c r="BR9" s="49">
        <f>VLOOKUP(A9,tbMoveset!A2:G112,7,FALSE)*IFERROR(IF(Backdoors!AI12&gt;=0,1+(IF(Calculator!E40&gt;0,VLOOKUP(Calculator!E40,tbSkills!AI3:AJ5,2,FALSE),Backdoors!AL4)*(IF((Backdoors!AI12+IF(BM9&gt;=0.45,VLOOKUP(Calculator!E23,tbSkills!DH3:DI6,2,FALSE)+IF(AND(Calculator!B8=TRUE,Backdoors!BI12=TRUE),VLOOKUP(Calculator!E23,tbSkills!DH3:DJ6,3,FALSE),0),0))&gt;=100,100,(Backdoors!AI12+IF(BM9&gt;=0.45,VLOOKUP(Calculator!E23,tbSkills!DH3:DI6,2,FALSE)+IF(AND(Calculator!B8=TRUE,Backdoors!BI12=TRUE),VLOOKUP(Calculator!E23,tbSkills!DH3:DJ6,3,FALSE),0),0)))/100)),1),1)</f>
        <v>0.5</v>
      </c>
      <c r="BS9" s="87">
        <f t="shared" si="39"/>
        <v>0</v>
      </c>
      <c r="BT9" s="86" t="str">
        <f>IFERROR(IF(VLOOKUP(A9,tbMoveset!A2:B112,2,FALSE)="Sever",Backdoors!AY13/100,IF(VLOOKUP(A9,tbMoveset!A2:B112,2,FALSE)="Blunt",Backdoors!AZ13/100,Backdoors!BA13/100)),"")</f>
        <v/>
      </c>
      <c r="BU9" s="49">
        <f>IFERROR(IF(VLOOKUP(tbMoveset!A9,tbMoveset!A2:H112,8,FALSE)="Other",IF(VLOOKUP(tbMoveset!A9,tbMoveset!A2:I112,9,FALSE)="Fire",Backdoors!BB13,IF(VLOOKUP(tbMoveset!A9,tbMoveset!A2:I112,9,FALSE)="Water",Backdoors!BC13,IF(VLOOKUP(tbMoveset!A9,tbMoveset!A2:I112,9,FALSE)="Thunder",Backdoors!BD13,IF(VLOOKUP(tbMoveset!A9,tbMoveset!A2:I112,9,FALSE)="Ice",Backdoors!BE13,IF(VLOOKUP(tbMoveset!A9,tbMoveset!A2:I112,9,FALSE)="Dragon",Backdoors!BF13,Backdoors!BG13)))))/100,Backdoors!BG13/100),"")</f>
        <v>0</v>
      </c>
      <c r="BV9" s="49">
        <f>IFERROR(IF(VLOOKUP(A9,tbMoveset!A2:J112,10,FALSE)=TRUE,IF((Backdoors!AI12+IF(BT9&gt;=0.45,VLOOKUP(Calculator!E23,tbSkills!DH3:DI6,2,FALSE)+IF(AND(Calculator!B8=TRUE,Backdoors!BI13=TRUE),VLOOKUP(Calculator!E23,tbSkills!DH3:DJ6,3,FALSE),0),0))&gt;=0,1+(Backdoors!AL2*(IF((Backdoors!AI12+IF(BT9&gt;=0.45,VLOOKUP(Calculator!E23,tbSkills!DH3:DI6,2,FALSE)+IF(AND(Calculator!B8=TRUE,Backdoors!BI13=TRUE),VLOOKUP(Calculator!E23,tbSkills!DH3:DJ6,3,FALSE),0),0))&gt;=100,100,(Backdoors!AI12+IF(BT9&gt;=0.45,VLOOKUP(Calculator!E23,tbSkills!DH3:DI6,2,FALSE)+IF(AND(Calculator!B8=TRUE,Backdoors!BI13=TRUE),VLOOKUP(Calculator!E23,tbSkills!DH3:DJ6,3,FALSE),0),0)))/100)),(1-(0.25*((-Backdoors!AI12-IF(BT9&gt;=0.45,VLOOKUP(Calculator!E23,tbSkills!DH3:DI6,2,FALSE)+IF(AND(Calculator!B8=TRUE,Backdoors!BI13=TRUE),VLOOKUP(Calculator!E23,tbSkills!DH3:DJ6,3,FALSE),0),0))/100)))),1),"")</f>
        <v>1</v>
      </c>
      <c r="BW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T9)*BV9)*(VLOOKUP(A9,tbMoveset!A2:C112,3,FALSE)/100)*IF(VLOOKUP(A9,tbMoveset!A2:B112,2,FALSE)="Projectile",Backdoors!N10,Backdoors!N9),0),"")</f>
        <v/>
      </c>
      <c r="BX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T9&gt;=0.45,VLOOKUP(Calculator!E23,tbSkills!DH3:DI6,2,FALSE)+IF(AND(Calculator!B8=TRUE,Backdoors!BI13=TRUE),VLOOKUP(Calculator!E23,tbSkills!DH3:DJ6,3,FALSE),0),0))&gt;=100,100,(Backdoors!AI12+IF(BT9&gt;=0.45,VLOOKUP(Calculator!E23,tbSkills!DH3:DI6,2,FALSE)+IF(AND(Calculator!B8=TRUE,Backdoors!BI13=TRUE),VLOOKUP(Calculator!E23,tbSkills!DH3:DJ6,3,FALSE),0),0)))/100)),1))*IF(VLOOKUP(A9,tbMoveset!A2:K112,11,FALSE)=TRUE,Backdoors!AC5,1))*BU9,0),"")</f>
        <v>0</v>
      </c>
      <c r="BY9" s="49">
        <f>VLOOKUP(A9,tbMoveset!A2:G112,7,FALSE)*IFERROR(IF(Backdoors!AI12&gt;=0,1+(IF(Calculator!E40&gt;0,VLOOKUP(Calculator!E40,tbSkills!AI3:AJ5,2,FALSE),Backdoors!AL4)*(IF((Backdoors!AI12+IF(BT9&gt;=0.45,VLOOKUP(Calculator!E23,tbSkills!DH3:DI6,2,FALSE)+IF(AND(Calculator!B8=TRUE,Backdoors!BI13=TRUE),VLOOKUP(Calculator!E23,tbSkills!DH3:DJ6,3,FALSE),0),0))&gt;=100,100,(Backdoors!AI12+IF(BT9&gt;=0.45,VLOOKUP(Calculator!E23,tbSkills!DH3:DI6,2,FALSE)+IF(AND(Calculator!B8=TRUE,Backdoors!BI13=TRUE),VLOOKUP(Calculator!E23,tbSkills!DH3:DJ6,3,FALSE),0),0)))/100)),1),1)</f>
        <v>0.5</v>
      </c>
      <c r="BZ9" s="87">
        <f t="shared" si="5"/>
        <v>0</v>
      </c>
      <c r="CA9" s="86" t="str">
        <f>IFERROR(IF(VLOOKUP(A9,tbMoveset!A2:B112,2,FALSE)="Sever",Backdoors!AY14/100,IF(VLOOKUP(A9,tbMoveset!A2:B112,2,FALSE)="Blunt",Backdoors!AZ14/100,Backdoors!BA14/100)),"")</f>
        <v/>
      </c>
      <c r="CB9" s="49">
        <f>IFERROR(IF(VLOOKUP(tbMoveset!A9,tbMoveset!A2:H112,8,FALSE)="Other",IF(VLOOKUP(tbMoveset!A9,tbMoveset!A2:I112,9,FALSE)="Fire",Backdoors!BB14,IF(VLOOKUP(tbMoveset!A9,tbMoveset!A2:I112,9,FALSE)="Water",Backdoors!BC14,IF(VLOOKUP(tbMoveset!A9,tbMoveset!A2:I112,9,FALSE)="Thunder",Backdoors!BD14,IF(VLOOKUP(tbMoveset!A9,tbMoveset!A2:I112,9,FALSE)="Ice",Backdoors!BE14,IF(VLOOKUP(tbMoveset!A9,tbMoveset!A2:I112,9,FALSE)="Dragon",Backdoors!BF14,Backdoors!BG14)))))/100,Backdoors!BG14/100),"")</f>
        <v>0</v>
      </c>
      <c r="CC9" s="49">
        <f>IFERROR(IF(VLOOKUP(A9,tbMoveset!A2:J112,10,FALSE)=TRUE,IF((Backdoors!AI12+IF(CA9&gt;=0.45,VLOOKUP(Calculator!E23,tbSkills!DH3:DI6,2,FALSE)+IF(AND(Calculator!B8=TRUE,Backdoors!BI14=TRUE),VLOOKUP(Calculator!E23,tbSkills!DH3:DJ6,3,FALSE),0),0))&gt;=0,1+(Backdoors!AL2*(IF((Backdoors!AI12+IF(CA9&gt;=0.45,VLOOKUP(Calculator!E23,tbSkills!DH3:DI6,2,FALSE)+IF(AND(Calculator!B8=TRUE,Backdoors!BI14=TRUE),VLOOKUP(Calculator!E23,tbSkills!DH3:DJ6,3,FALSE),0),0))&gt;=100,100,(Backdoors!AI12+IF(CA9&gt;=0.45,VLOOKUP(Calculator!E23,tbSkills!DH3:DI6,2,FALSE)+IF(AND(Calculator!B8=TRUE,Backdoors!BI14=TRUE),VLOOKUP(Calculator!E23,tbSkills!DH3:DJ6,3,FALSE),0),0)))/100)),(1-(0.25*((-Backdoors!AI12-IF(CA9&gt;=0.45,VLOOKUP(Calculator!E23,tbSkills!DH3:DI6,2,FALSE)+IF(AND(Calculator!B8=TRUE,Backdoors!BI14=TRUE),VLOOKUP(Calculator!E23,tbSkills!DH3:DJ6,3,FALSE),0),0))/100)))),1),"")</f>
        <v>1</v>
      </c>
      <c r="CD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A9)*CC9)*(VLOOKUP(A9,tbMoveset!A2:C112,3,FALSE)/100)*IF(VLOOKUP(A9,tbMoveset!A2:B112,2,FALSE)="Projectile",Backdoors!N10,Backdoors!N9),0),"")</f>
        <v/>
      </c>
      <c r="CE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A9&gt;=0.45,VLOOKUP(Calculator!E23,tbSkills!DH3:DI6,2,FALSE)+IF(AND(Calculator!B8=TRUE,Backdoors!BI14=TRUE),VLOOKUP(Calculator!E23,tbSkills!DH3:DJ6,3,FALSE),0),0))&gt;=100,100,(Backdoors!AI12+IF(CA9&gt;=0.45,VLOOKUP(Calculator!E23,tbSkills!DH3:DI6,2,FALSE)+IF(AND(Calculator!B8=TRUE,Backdoors!BI14=TRUE),VLOOKUP(Calculator!E23,tbSkills!DH3:DJ6,3,FALSE),0),0)))/100)),1))*IF(VLOOKUP(A9,tbMoveset!A2:K112,11,FALSE)=TRUE,Backdoors!AC5,1))*CB9,0),"")</f>
        <v>0</v>
      </c>
      <c r="CF9" s="49">
        <f>VLOOKUP(A9,tbMoveset!A2:G112,7,FALSE)*IFERROR(IF(Backdoors!AI12&gt;=0,1+(IF(Calculator!E40&gt;0,VLOOKUP(Calculator!E40,tbSkills!AI3:AJ5,2,FALSE),Backdoors!AL4)*(IF((Backdoors!AI12+IF(CA9&gt;=0.45,VLOOKUP(Calculator!E23,tbSkills!DH3:DI6,2,FALSE)+IF(AND(Calculator!B8=TRUE,Backdoors!BI14=TRUE),VLOOKUP(Calculator!E23,tbSkills!DH3:DJ6,3,FALSE),0),0))&gt;=100,100,(Backdoors!AI12+IF(CA9&gt;=0.45,VLOOKUP(Calculator!E23,tbSkills!DH3:DI6,2,FALSE)+IF(AND(Calculator!B8=TRUE,Backdoors!BI14=TRUE),VLOOKUP(Calculator!E23,tbSkills!DH3:DJ6,3,FALSE),0),0)))/100)),1),1)</f>
        <v>0.5</v>
      </c>
      <c r="CG9" s="87">
        <f t="shared" si="6"/>
        <v>0</v>
      </c>
      <c r="CH9" s="86" t="str">
        <f>IFERROR(IF(VLOOKUP(A9,tbMoveset!A2:B112,2,FALSE)="Sever",Backdoors!AY15/100,IF(VLOOKUP(A9,tbMoveset!A2:B112,2,FALSE)="Blunt",Backdoors!AZ15/100,Backdoors!BA15/100)),"")</f>
        <v/>
      </c>
      <c r="CI9" s="49">
        <f>IFERROR(IF(VLOOKUP(tbMoveset!A9,tbMoveset!A2:H112,8,FALSE)="Other",IF(VLOOKUP(tbMoveset!A9,tbMoveset!A2:I112,9,FALSE)="Fire",Backdoors!BB15,IF(VLOOKUP(tbMoveset!A9,tbMoveset!A2:I112,9,FALSE)="Water",Backdoors!BC15,IF(VLOOKUP(tbMoveset!A9,tbMoveset!A2:I112,9,FALSE)="Thunder",Backdoors!BD15,IF(VLOOKUP(tbMoveset!A9,tbMoveset!A2:I112,9,FALSE)="Ice",Backdoors!BE15,IF(VLOOKUP(tbMoveset!A9,tbMoveset!A2:I112,9,FALSE)="Dragon",Backdoors!BF15,Backdoors!BG15)))))/100,Backdoors!BG15/100),"")</f>
        <v>0</v>
      </c>
      <c r="CJ9" s="49">
        <f>IFERROR(IF(VLOOKUP(A9,tbMoveset!A2:J112,10,FALSE)=TRUE,IF((Backdoors!AI12+IF(CH9&gt;=0.45,VLOOKUP(Calculator!E23,tbSkills!DH3:DI6,2,FALSE)+IF(AND(Calculator!B8=TRUE,Backdoors!BI15=TRUE),VLOOKUP(Calculator!E23,tbSkills!DH3:DJ6,3,FALSE),0),0))&gt;=0,1+(Backdoors!AL2*(IF((Backdoors!AI12+IF(CH9&gt;=0.45,VLOOKUP(Calculator!E23,tbSkills!DH3:DI6,2,FALSE)+IF(AND(Calculator!B8=TRUE,Backdoors!BI15=TRUE),VLOOKUP(Calculator!E23,tbSkills!DH3:DJ6,3,FALSE),0),0))&gt;=100,100,(Backdoors!AI12+IF(CH9&gt;=0.45,VLOOKUP(Calculator!E23,tbSkills!DH3:DI6,2,FALSE)+IF(AND(Calculator!B8=TRUE,Backdoors!BI15=TRUE),VLOOKUP(Calculator!E23,tbSkills!DH3:DJ6,3,FALSE),0),0)))/100)),(1-(0.25*((-Backdoors!AI12-IF(CH9&gt;=0.45,VLOOKUP(Calculator!E23,tbSkills!DH3:DI6,2,FALSE)+IF(AND(Calculator!B8=TRUE,Backdoors!BI15=TRUE),VLOOKUP(Calculator!E23,tbSkills!DH3:DJ6,3,FALSE),0),0))/100)))),1),"")</f>
        <v>1</v>
      </c>
      <c r="CK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H9)*CJ9)*(VLOOKUP(A9,tbMoveset!A2:C112,3,FALSE)/100)*IF(VLOOKUP(A9,tbMoveset!A2:B112,2,FALSE)="Projectile",Backdoors!N10,Backdoors!N9),0),"")</f>
        <v/>
      </c>
      <c r="CL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H9&gt;=0.45,VLOOKUP(Calculator!E23,tbSkills!DH3:DI6,2,FALSE)+IF(AND(Calculator!B8=TRUE,Backdoors!BI15=TRUE),VLOOKUP(Calculator!E23,tbSkills!DH3:DJ6,3,FALSE),0),0))&gt;=100,100,(Backdoors!AI12+IF(CH9&gt;=0.45,VLOOKUP(Calculator!E23,tbSkills!DH3:DI6,2,FALSE)+IF(AND(Calculator!B8=TRUE,Backdoors!BI15=TRUE),VLOOKUP(Calculator!E23,tbSkills!DH3:DJ6,3,FALSE),0),0)))/100)),1))*IF(VLOOKUP(A9,tbMoveset!A2:K112,11,FALSE)=TRUE,Backdoors!AC5,1))*CI9,0),"")</f>
        <v>0</v>
      </c>
      <c r="CM9" s="49">
        <f>VLOOKUP(A9,tbMoveset!A2:G112,7,FALSE)*IFERROR(IF(Backdoors!AI12&gt;=0,1+(IF(Calculator!E40&gt;0,VLOOKUP(Calculator!E40,tbSkills!AI3:AJ5,2,FALSE),Backdoors!AL4)*(IF((Backdoors!AI12+IF(CH9&gt;=0.45,VLOOKUP(Calculator!E23,tbSkills!DH3:DI6,2,FALSE)+IF(AND(Calculator!B8=TRUE,Backdoors!BI15=TRUE),VLOOKUP(Calculator!E23,tbSkills!DH3:DJ6,3,FALSE),0),0))&gt;=100,100,(Backdoors!AI12+IF(CH9&gt;=0.45,VLOOKUP(Calculator!E23,tbSkills!DH3:DI6,2,FALSE)+IF(AND(Calculator!B8=TRUE,Backdoors!BI15=TRUE),VLOOKUP(Calculator!E23,tbSkills!DH3:DJ6,3,FALSE),0),0)))/100)),1),1)</f>
        <v>0.5</v>
      </c>
      <c r="CN9" s="87">
        <f t="shared" si="7"/>
        <v>0</v>
      </c>
      <c r="CO9" s="86" t="str">
        <f>IFERROR(IF(VLOOKUP(A9,tbMoveset!A2:B112,2,FALSE)="Sever",Backdoors!AY16/100,IF(VLOOKUP(A9,tbMoveset!A2:B112,2,FALSE)="Blunt",Backdoors!AZ16/100,Backdoors!BA16/100)),"")</f>
        <v/>
      </c>
      <c r="CP9" s="49">
        <f>IFERROR(IF(VLOOKUP(tbMoveset!A9,tbMoveset!A2:H112,8,FALSE)="Other",IF(VLOOKUP(tbMoveset!A9,tbMoveset!A2:I112,9,FALSE)="Fire",Backdoors!BB16,IF(VLOOKUP(tbMoveset!A9,tbMoveset!A2:I112,9,FALSE)="Water",Backdoors!BC16,IF(VLOOKUP(tbMoveset!A9,tbMoveset!A2:I112,9,FALSE)="Thunder",Backdoors!BD16,IF(VLOOKUP(tbMoveset!A9,tbMoveset!A2:I112,9,FALSE)="Ice",Backdoors!BE16,IF(VLOOKUP(tbMoveset!A9,tbMoveset!A2:I112,9,FALSE)="Dragon",Backdoors!BF16,Backdoors!BG16)))))/100,Backdoors!BG16/100),"")</f>
        <v>0</v>
      </c>
      <c r="CQ9" s="49">
        <f>IFERROR(IF(VLOOKUP(A9,tbMoveset!A2:J112,10,FALSE)=TRUE,IF((Backdoors!AI12+IF(CO9&gt;=0.45,VLOOKUP(Calculator!E23,tbSkills!DH3:DI6,2,FALSE)+IF(AND(Calculator!B8=TRUE,Backdoors!BI16=TRUE),VLOOKUP(Calculator!E23,tbSkills!DH3:DJ6,3,FALSE),0),0))&gt;=0,1+(Backdoors!AL2*(IF((Backdoors!AI12+IF(CO9&gt;=0.45,VLOOKUP(Calculator!E23,tbSkills!DH3:DI6,2,FALSE)+IF(AND(Calculator!B8=TRUE,Backdoors!BI16=TRUE),VLOOKUP(Calculator!E23,tbSkills!DH3:DJ6,3,FALSE),0),0))&gt;=100,100,(Backdoors!AI12+IF(CO9&gt;=0.45,VLOOKUP(Calculator!E23,tbSkills!DH3:DI6,2,FALSE)+IF(AND(Calculator!B8=TRUE,Backdoors!BI16=TRUE),VLOOKUP(Calculator!E23,tbSkills!DH3:DJ6,3,FALSE),0),0)))/100)),(1-(0.25*((-Backdoors!AI12-IF(CO9&gt;=0.45,VLOOKUP(Calculator!E23,tbSkills!DH3:DI6,2,FALSE)+IF(AND(Calculator!B8=TRUE,Backdoors!BI16=TRUE),VLOOKUP(Calculator!E23,tbSkills!DH3:DJ6,3,FALSE),0),0))/100)))),1),"")</f>
        <v>1</v>
      </c>
      <c r="CR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O9)*CQ9)*(VLOOKUP(A9,tbMoveset!A2:C112,3,FALSE)/100)*IF(VLOOKUP(A9,tbMoveset!A2:B112,2,FALSE)="Projectile",Backdoors!N10,Backdoors!N9),0),"")</f>
        <v/>
      </c>
      <c r="CS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O9&gt;=0.45,VLOOKUP(Calculator!E23,tbSkills!DH3:DI6,2,FALSE)+IF(AND(Calculator!B8=TRUE,Backdoors!BI16=TRUE),VLOOKUP(Calculator!E23,tbSkills!DH3:DJ6,3,FALSE),0),0))&gt;=100,100,(Backdoors!AI12+IF(CO9&gt;=0.45,VLOOKUP(Calculator!E23,tbSkills!DH3:DI6,2,FALSE)+IF(AND(Calculator!B8=TRUE,Backdoors!BI16=TRUE),VLOOKUP(Calculator!E23,tbSkills!DH3:DJ6,3,FALSE),0),0)))/100)),1))*IF(VLOOKUP(A9,tbMoveset!A2:K112,11,FALSE)=TRUE,Backdoors!AC5,1))*CP9,0),"")</f>
        <v>0</v>
      </c>
      <c r="CT9" s="49">
        <f>VLOOKUP(A9,tbMoveset!A2:G112,7,FALSE)*IFERROR(IF(Backdoors!AI12&gt;=0,1+(IF(Calculator!E40&gt;0,VLOOKUP(Calculator!E40,tbSkills!AI3:AJ5,2,FALSE),Backdoors!AL4)*(IF((Backdoors!AI12+IF(CO9&gt;=0.45,VLOOKUP(Calculator!E23,tbSkills!DH3:DI6,2,FALSE)+IF(AND(Calculator!B8=TRUE,Backdoors!BI16=TRUE),VLOOKUP(Calculator!E23,tbSkills!DH3:DJ6,3,FALSE),0),0))&gt;=100,100,(Backdoors!AI12+IF(CO9&gt;=0.45,VLOOKUP(Calculator!E23,tbSkills!DH3:DI6,2,FALSE)+IF(AND(Calculator!B8=TRUE,Backdoors!BI16=TRUE),VLOOKUP(Calculator!E23,tbSkills!DH3:DJ6,3,FALSE),0),0)))/100)),1),1)</f>
        <v>0.5</v>
      </c>
      <c r="CU9" s="87">
        <f t="shared" si="40"/>
        <v>0</v>
      </c>
      <c r="CV9" s="86" t="str">
        <f>IFERROR(IF(VLOOKUP(A9,tbMoveset!A2:B112,2,FALSE)="Sever",Backdoors!AY17/100,IF(VLOOKUP(A9,tbMoveset!A2:B112,2,FALSE)="Blunt",Backdoors!AZ17/100,Backdoors!BA17/100)),"")</f>
        <v/>
      </c>
      <c r="CW9" s="49">
        <f>IFERROR(IF(VLOOKUP(tbMoveset!A9,tbMoveset!A2:H112,8,FALSE)="Other",IF(VLOOKUP(tbMoveset!A9,tbMoveset!A2:I112,9,FALSE)="Fire",Backdoors!BB17,IF(VLOOKUP(tbMoveset!A9,tbMoveset!A2:I112,9,FALSE)="Water",Backdoors!BC17,IF(VLOOKUP(tbMoveset!A9,tbMoveset!A2:I112,9,FALSE)="Thunder",Backdoors!BD17,IF(VLOOKUP(tbMoveset!A9,tbMoveset!A2:I112,9,FALSE)="Ice",Backdoors!BE17,IF(VLOOKUP(tbMoveset!A9,tbMoveset!A2:I112,9,FALSE)="Dragon",Backdoors!BF17,Backdoors!BG17)))))/100,Backdoors!BG17/100),"")</f>
        <v>0</v>
      </c>
      <c r="CX9" s="49">
        <f>IFERROR(IF(VLOOKUP(A9,tbMoveset!A2:J112,10,FALSE)=TRUE,IF((Backdoors!AI12+IF(CV9&gt;=0.45,VLOOKUP(Calculator!E23,tbSkills!DH3:DI6,2,FALSE)+IF(AND(Calculator!B8=TRUE,Backdoors!BI17=TRUE),VLOOKUP(Calculator!E23,tbSkills!DH3:DJ6,3,FALSE),0),0))&gt;=0,1+(Backdoors!AL2*(IF((Backdoors!AI12+IF(CV9&gt;=0.45,VLOOKUP(Calculator!E23,tbSkills!DH3:DI6,2,FALSE)+IF(AND(Calculator!B8=TRUE,Backdoors!BI17=TRUE),VLOOKUP(Calculator!E23,tbSkills!DH3:DJ6,3,FALSE),0),0))&gt;=100,100,(Backdoors!AI12+IF(CV9&gt;=0.45,VLOOKUP(Calculator!E23,tbSkills!DH3:DI6,2,FALSE)+IF(AND(Calculator!B8=TRUE,Backdoors!BI17=TRUE),VLOOKUP(Calculator!E23,tbSkills!DH3:DJ6,3,FALSE),0),0)))/100)),(1-(0.25*((-Backdoors!AI12-IF(CV9&gt;=0.45,VLOOKUP(Calculator!E23,tbSkills!DH3:DI6,2,FALSE)+IF(AND(Calculator!B8=TRUE,Backdoors!BI17=TRUE),VLOOKUP(Calculator!E23,tbSkills!DH3:DJ6,3,FALSE),0),0))/100)))),1),"")</f>
        <v>1</v>
      </c>
      <c r="CY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V9)*CX9)*(VLOOKUP(A9,tbMoveset!A2:C112,3,FALSE)/100)*IF(VLOOKUP(A9,tbMoveset!A2:B112,2,FALSE)="Projectile",Backdoors!N10,Backdoors!N9),0),"")</f>
        <v/>
      </c>
      <c r="CZ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V9&gt;=0.45,VLOOKUP(Calculator!E23,tbSkills!DH3:DI6,2,FALSE)+IF(AND(Calculator!B8=TRUE,Backdoors!BI17=TRUE),VLOOKUP(Calculator!E23,tbSkills!DH3:DJ6,3,FALSE),0),0))&gt;=100,100,(Backdoors!AI12+IF(CV9&gt;=0.45,VLOOKUP(Calculator!E23,tbSkills!DH3:DI6,2,FALSE)+IF(AND(Calculator!B8=TRUE,Backdoors!BI17=TRUE),VLOOKUP(Calculator!E23,tbSkills!DH3:DJ6,3,FALSE),0),0)))/100)),1))*IF(VLOOKUP(A9,tbMoveset!A2:K112,11,FALSE)=TRUE,Backdoors!AC5,1))*CW9,0),"")</f>
        <v>0</v>
      </c>
      <c r="DA9" s="49">
        <f>VLOOKUP(A9,tbMoveset!A2:G112,7,FALSE)*IFERROR(IF(Backdoors!AI12&gt;=0,1+(IF(Calculator!E40&gt;0,VLOOKUP(Calculator!E40,tbSkills!AI3:AJ5,2,FALSE),Backdoors!AL4)*(IF((Backdoors!AI12+IF(CV9&gt;=0.45,VLOOKUP(Calculator!E23,tbSkills!DH3:DI6,2,FALSE)+IF(AND(Calculator!B8=TRUE,Backdoors!BI17=TRUE),VLOOKUP(Calculator!E23,tbSkills!DH3:DJ6,3,FALSE),0),0))&gt;=100,100,(Backdoors!AI12+IF(CV9&gt;=0.45,VLOOKUP(Calculator!E23,tbSkills!DH3:DI6,2,FALSE)+IF(AND(Calculator!B8=TRUE,Backdoors!BI17=TRUE),VLOOKUP(Calculator!E23,tbSkills!DH3:DJ6,3,FALSE),0),0)))/100)),1),1)</f>
        <v>0.5</v>
      </c>
      <c r="DB9" s="87">
        <f t="shared" si="8"/>
        <v>0</v>
      </c>
      <c r="DC9" s="86" t="str">
        <f>IFERROR(IF(VLOOKUP(A9,tbMoveset!A2:B112,2,FALSE)="Sever",Backdoors!AY18/100,IF(VLOOKUP(A9,tbMoveset!A2:B112,2,FALSE)="Blunt",Backdoors!AZ18/100,Backdoors!BA18/100)),"")</f>
        <v/>
      </c>
      <c r="DD9" s="49">
        <f>IFERROR(IF(VLOOKUP(tbMoveset!A9,tbMoveset!A2:H112,8,FALSE)="Other",IF(VLOOKUP(tbMoveset!A9,tbMoveset!A2:I112,9,FALSE)="Fire",Backdoors!BB18,IF(VLOOKUP(tbMoveset!A9,tbMoveset!A2:I112,9,FALSE)="Water",Backdoors!BC18,IF(VLOOKUP(tbMoveset!A9,tbMoveset!A2:I112,9,FALSE)="Thunder",Backdoors!BD18,IF(VLOOKUP(tbMoveset!A9,tbMoveset!A2:I112,9,FALSE)="Ice",Backdoors!BE18,IF(VLOOKUP(tbMoveset!A9,tbMoveset!A2:I112,9,FALSE)="Dragon",Backdoors!BF18,Backdoors!BG18)))))/100,Backdoors!BG18/100),"")</f>
        <v>0</v>
      </c>
      <c r="DE9" s="49">
        <f>IFERROR(IF(VLOOKUP(A9,tbMoveset!A2:J112,10,FALSE)=TRUE,IF((Backdoors!AI12+IF(DC9&gt;=0.45,VLOOKUP(Calculator!E23,tbSkills!DH3:DI6,2,FALSE)+IF(AND(Calculator!B8=TRUE,Backdoors!BI18=TRUE),VLOOKUP(Calculator!E23,tbSkills!DH3:DJ6,3,FALSE),0),0))&gt;=0,1+(Backdoors!AL2*(IF((Backdoors!AI12+IF(DC9&gt;=0.45,VLOOKUP(Calculator!E23,tbSkills!DH3:DI6,2,FALSE)+IF(AND(Calculator!B8=TRUE,Backdoors!BI18=TRUE),VLOOKUP(Calculator!E23,tbSkills!DH3:DJ6,3,FALSE),0),0))&gt;=100,100,(Backdoors!AI12+IF(DC9&gt;=0.45,VLOOKUP(Calculator!E23,tbSkills!DH3:DI6,2,FALSE)+IF(AND(Calculator!B8=TRUE,Backdoors!BI18=TRUE),VLOOKUP(Calculator!E23,tbSkills!DH3:DJ6,3,FALSE),0),0)))/100)),(1-(0.25*((-Backdoors!AI12-IF(DC9&gt;=0.45,VLOOKUP(Calculator!E23,tbSkills!DH3:DI6,2,FALSE)+IF(AND(Calculator!B8=TRUE,Backdoors!BI18=TRUE),VLOOKUP(Calculator!E23,tbSkills!DH3:DJ6,3,FALSE),0),0))/100)))),1),"")</f>
        <v>1</v>
      </c>
      <c r="DF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C9)*DE9)*(VLOOKUP(A9,tbMoveset!A2:C112,3,FALSE)/100)*IF(VLOOKUP(A9,tbMoveset!A2:B112,2,FALSE)="Projectile",Backdoors!N10,Backdoors!N9),0),"")</f>
        <v/>
      </c>
      <c r="DG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C9&gt;=0.45,VLOOKUP(Calculator!E23,tbSkills!DH3:DI6,2,FALSE)+IF(AND(Calculator!B8=TRUE,Backdoors!BI18=TRUE),VLOOKUP(Calculator!E23,tbSkills!DH3:DJ6,3,FALSE),0),0))&gt;=100,100,(Backdoors!AI12+IF(DC9&gt;=0.45,VLOOKUP(Calculator!E23,tbSkills!DH3:DI6,2,FALSE)+IF(AND(Calculator!B8=TRUE,Backdoors!BI18=TRUE),VLOOKUP(Calculator!E23,tbSkills!DH3:DJ6,3,FALSE),0),0)))/100)),1))*IF(VLOOKUP(A9,tbMoveset!A2:K112,11,FALSE)=TRUE,Backdoors!AC5,1))*DD9,0),"")</f>
        <v>0</v>
      </c>
      <c r="DH9" s="49">
        <f>VLOOKUP(A9,tbMoveset!A2:G112,7,FALSE)*IFERROR(IF(Backdoors!AI12&gt;=0,1+(IF(Calculator!E40&gt;0,VLOOKUP(Calculator!E40,tbSkills!AI3:AJ5,2,FALSE),Backdoors!AL4)*(IF((Backdoors!AI12+IF(DC9&gt;=0.45,VLOOKUP(Calculator!E23,tbSkills!DH3:DI6,2,FALSE)+IF(AND(Calculator!B8=TRUE,Backdoors!BI18=TRUE),VLOOKUP(Calculator!E23,tbSkills!DH3:DJ6,3,FALSE),0),0))&gt;=100,100,(Backdoors!AI12+IF(DC9&gt;=0.45,VLOOKUP(Calculator!E23,tbSkills!DH3:DI6,2,FALSE)+IF(AND(Calculator!B8=TRUE,Backdoors!BI18=TRUE),VLOOKUP(Calculator!E23,tbSkills!DH3:DJ6,3,FALSE),0),0)))/100)),1),1)</f>
        <v>0.5</v>
      </c>
      <c r="DI9" s="87">
        <f t="shared" si="9"/>
        <v>0</v>
      </c>
      <c r="DJ9" s="86" t="str">
        <f>IFERROR(IF(VLOOKUP(A9,tbMoveset!A2:B112,2,FALSE)="Sever",Backdoors!AY19/100,IF(VLOOKUP(A9,tbMoveset!A2:B112,2,FALSE)="Blunt",Backdoors!AZ19/100,Backdoors!BA19/100)),"")</f>
        <v/>
      </c>
      <c r="DK9" s="49">
        <f>IFERROR(IF(VLOOKUP(tbMoveset!A9,tbMoveset!A2:H112,8,FALSE)="Other",IF(VLOOKUP(tbMoveset!A9,tbMoveset!A2:I112,9,FALSE)="Fire",Backdoors!BB19,IF(VLOOKUP(tbMoveset!A9,tbMoveset!A2:I112,9,FALSE)="Water",Backdoors!BC19,IF(VLOOKUP(tbMoveset!A9,tbMoveset!A2:I112,9,FALSE)="Thunder",Backdoors!BD19,IF(VLOOKUP(tbMoveset!A9,tbMoveset!A2:I112,9,FALSE)="Ice",Backdoors!BE19,IF(VLOOKUP(tbMoveset!A9,tbMoveset!A2:I112,9,FALSE)="Dragon",Backdoors!BF19,Backdoors!BG19)))))/100,Backdoors!BG19/100),"")</f>
        <v>0</v>
      </c>
      <c r="DL9" s="49">
        <f>IFERROR(IF(VLOOKUP(A9,tbMoveset!A2:J112,10,FALSE)=TRUE,IF((Backdoors!AI12+IF(DJ9&gt;=0.45,VLOOKUP(Calculator!E23,tbSkills!DH3:DI6,2,FALSE)+IF(AND(Calculator!B8=TRUE,Backdoors!BI19=TRUE),VLOOKUP(Calculator!E23,tbSkills!DH3:DJ6,3,FALSE),0),0))&gt;=0,1+(Backdoors!AL2*(IF((Backdoors!AI12+IF(DJ9&gt;=0.45,VLOOKUP(Calculator!E23,tbSkills!DH3:DI6,2,FALSE)+IF(AND(Calculator!B8=TRUE,Backdoors!BI19=TRUE),VLOOKUP(Calculator!E23,tbSkills!DH3:DJ6,3,FALSE),0),0))&gt;=100,100,(Backdoors!AI12+IF(DJ9&gt;=0.45,VLOOKUP(Calculator!E23,tbSkills!DH3:DI6,2,FALSE)+IF(AND(Calculator!B8=TRUE,Backdoors!BI19=TRUE),VLOOKUP(Calculator!E23,tbSkills!DH3:DJ6,3,FALSE),0),0)))/100)),(1-(0.25*((-Backdoors!AI12-IF(DJ9&gt;=0.45,VLOOKUP(Calculator!E23,tbSkills!DH3:DI6,2,FALSE)+IF(AND(Calculator!B8=TRUE,Backdoors!BI19=TRUE),VLOOKUP(Calculator!E23,tbSkills!DH3:DJ6,3,FALSE),0),0))/100)))),1),"")</f>
        <v>1</v>
      </c>
      <c r="DM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J9)*DL9)*(VLOOKUP(A9,tbMoveset!A2:C112,3,FALSE)/100)*IF(VLOOKUP(A9,tbMoveset!A2:B112,2,FALSE)="Projectile",Backdoors!N10,Backdoors!N9),0),"")</f>
        <v/>
      </c>
      <c r="DN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J9&gt;=0.45,VLOOKUP(Calculator!E23,tbSkills!DH3:DI6,2,FALSE)+IF(AND(Calculator!B8=TRUE,Backdoors!BI19=TRUE),VLOOKUP(Calculator!E23,tbSkills!DH3:DJ6,3,FALSE),0),0))&gt;=100,100,(Backdoors!AI12+IF(DJ9&gt;=0.45,VLOOKUP(Calculator!E23,tbSkills!DH3:DI6,2,FALSE)+IF(AND(Calculator!B8=TRUE,Backdoors!BI19=TRUE),VLOOKUP(Calculator!E23,tbSkills!DH3:DJ6,3,FALSE),0),0)))/100)),1))*IF(VLOOKUP(A9,tbMoveset!A2:K112,11,FALSE)=TRUE,Backdoors!AC5,1))*DK9,0),"")</f>
        <v>0</v>
      </c>
      <c r="DO9" s="49">
        <f>VLOOKUP(A9,tbMoveset!A2:G112,7,FALSE)*IFERROR(IF(Backdoors!AI12&gt;=0,1+(IF(Calculator!E40&gt;0,VLOOKUP(Calculator!E40,tbSkills!AI3:AJ5,2,FALSE),Backdoors!AL4)*(IF((Backdoors!AI12+IF(DJ9&gt;=0.45,VLOOKUP(Calculator!E23,tbSkills!DH3:DI6,2,FALSE)+IF(AND(Calculator!B8=TRUE,Backdoors!BI19=TRUE),VLOOKUP(Calculator!E23,tbSkills!DH3:DJ6,3,FALSE),0),0))&gt;=100,100,(Backdoors!AI12+IF(DJ9&gt;=0.45,VLOOKUP(Calculator!E23,tbSkills!DH3:DI6,2,FALSE)+IF(AND(Calculator!B8=TRUE,Backdoors!BI19=TRUE),VLOOKUP(Calculator!E23,tbSkills!DH3:DJ6,3,FALSE),0),0)))/100)),1),1)</f>
        <v>0.5</v>
      </c>
      <c r="DP9" s="87">
        <f t="shared" si="41"/>
        <v>0</v>
      </c>
      <c r="DQ9" s="86" t="str">
        <f>IFERROR(IF(VLOOKUP(A9,tbMoveset!A2:B112,2,FALSE)="Sever",Backdoors!AY20/100,IF(VLOOKUP(A9,tbMoveset!A2:B112,2,FALSE)="Blunt",Backdoors!AZ20/100,Backdoors!BA20/100)),"")</f>
        <v/>
      </c>
      <c r="DR9" s="49">
        <f>IFERROR(IF(VLOOKUP(tbMoveset!A9,tbMoveset!A2:H112,8,FALSE)="Other",IF(VLOOKUP(tbMoveset!A9,tbMoveset!A2:I112,9,FALSE)="Fire",Backdoors!BB20,IF(VLOOKUP(tbMoveset!A9,tbMoveset!A2:I112,9,FALSE)="Water",Backdoors!BC20,IF(VLOOKUP(tbMoveset!A9,tbMoveset!A2:I112,9,FALSE)="Thunder",Backdoors!BD20,IF(VLOOKUP(tbMoveset!A9,tbMoveset!A2:I112,9,FALSE)="Ice",Backdoors!BE20,IF(VLOOKUP(tbMoveset!A9,tbMoveset!A2:I112,9,FALSE)="Dragon",Backdoors!BF20,Backdoors!BG20)))))/100,Backdoors!BG20/100),"")</f>
        <v>0</v>
      </c>
      <c r="DS9" s="49">
        <f>IFERROR(IF(VLOOKUP(A9,tbMoveset!A2:J112,10,FALSE)=TRUE,IF((Backdoors!AI12+IF(DQ9&gt;=0.45,VLOOKUP(Calculator!E23,tbSkills!DH3:DI6,2,FALSE)+IF(AND(Calculator!B8=TRUE,Backdoors!BI20=TRUE),VLOOKUP(Calculator!E23,tbSkills!DH3:DJ6,3,FALSE),0),0))&gt;=0,1+(Backdoors!AL2*(IF((Backdoors!AI12+IF(DQ9&gt;=0.45,VLOOKUP(Calculator!E23,tbSkills!DH3:DI6,2,FALSE)+IF(AND(Calculator!B8=TRUE,Backdoors!BI20=TRUE),VLOOKUP(Calculator!E23,tbSkills!DH3:DJ6,3,FALSE),0),0))&gt;=100,100,(Backdoors!AI12+IF(DQ9&gt;=0.45,VLOOKUP(Calculator!E23,tbSkills!DH3:DI6,2,FALSE)+IF(AND(Calculator!B8=TRUE,Backdoors!BI20=TRUE),VLOOKUP(Calculator!E23,tbSkills!DH3:DJ6,3,FALSE),0),0)))/100)),(1-(0.25*((-Backdoors!AI12-IF(DQ9&gt;=0.45,VLOOKUP(Calculator!E23,tbSkills!DH3:DI6,2,FALSE)+IF(AND(Calculator!B8=TRUE,Backdoors!BI20=TRUE),VLOOKUP(Calculator!E23,tbSkills!DH3:DJ6,3,FALSE),0),0))/100)))),1),"")</f>
        <v>1</v>
      </c>
      <c r="DT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Q9)*DS9)*(VLOOKUP(A9,tbMoveset!A2:C112,3,FALSE)/100)*IF(VLOOKUP(A9,tbMoveset!A2:B112,2,FALSE)="Projectile",Backdoors!N10,Backdoors!N9),0),"")</f>
        <v/>
      </c>
      <c r="DU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Q9&gt;=0.45,VLOOKUP(Calculator!E23,tbSkills!DH3:DI6,2,FALSE)+IF(AND(Calculator!B8=TRUE,Backdoors!BI20=TRUE),VLOOKUP(Calculator!E23,tbSkills!DH3:DJ6,3,FALSE),0),0))&gt;=100,100,(Backdoors!AI12+IF(DQ9&gt;=0.45,VLOOKUP(Calculator!E23,tbSkills!DH3:DI6,2,FALSE)+IF(AND(Calculator!B8=TRUE,Backdoors!BI20=TRUE),VLOOKUP(Calculator!E23,tbSkills!DH3:DJ6,3,FALSE),0),0)))/100)),1))*IF(VLOOKUP(A9,tbMoveset!A2:K112,11,FALSE)=TRUE,Backdoors!AC5,1))*DR9,0),"")</f>
        <v>0</v>
      </c>
      <c r="DV9" s="49">
        <f>VLOOKUP(A9,tbMoveset!A2:G112,7,FALSE)*IFERROR(IF(Backdoors!AI12&gt;=0,1+(IF(Calculator!E40&gt;0,VLOOKUP(Calculator!E40,tbSkills!AI3:AJ5,2,FALSE),Backdoors!AL4)*(IF((Backdoors!AI12+IF(DQ9&gt;=0.45,VLOOKUP(Calculator!E23,tbSkills!DH3:DI6,2,FALSE)+IF(AND(Calculator!B8=TRUE,Backdoors!BI20=TRUE),VLOOKUP(Calculator!E23,tbSkills!DH3:DJ6,3,FALSE),0),0))&gt;=100,100,(Backdoors!AI12+IF(DQ9&gt;=0.45,VLOOKUP(Calculator!E23,tbSkills!DH3:DI6,2,FALSE)+IF(AND(Calculator!B8=TRUE,Backdoors!BI20=TRUE),VLOOKUP(Calculator!E23,tbSkills!DH3:DJ6,3,FALSE),0),0)))/100)),1),1)</f>
        <v>0.5</v>
      </c>
      <c r="DW9" s="87">
        <f t="shared" si="10"/>
        <v>0</v>
      </c>
      <c r="DX9" s="86" t="str">
        <f>IFERROR(IF(VLOOKUP(A9,tbMoveset!A2:B112,2,FALSE)="Sever",Backdoors!AY21/100,IF(VLOOKUP(A9,tbMoveset!A2:B112,2,FALSE)="Blunt",Backdoors!AZ21/100,Backdoors!BA21/100)),"")</f>
        <v/>
      </c>
      <c r="DY9" s="49">
        <f>IFERROR(IF(VLOOKUP(tbMoveset!A9,tbMoveset!A2:H112,8,FALSE)="Other",IF(VLOOKUP(tbMoveset!A9,tbMoveset!A2:I112,9,FALSE)="Fire",Backdoors!BB21,IF(VLOOKUP(tbMoveset!A9,tbMoveset!A2:I112,9,FALSE)="Water",Backdoors!BC21,IF(VLOOKUP(tbMoveset!A9,tbMoveset!A2:I112,9,FALSE)="Thunder",Backdoors!BD21,IF(VLOOKUP(tbMoveset!A9,tbMoveset!A2:I112,9,FALSE)="Ice",Backdoors!BE21,IF(VLOOKUP(tbMoveset!A9,tbMoveset!A2:I112,9,FALSE)="Dragon",Backdoors!BF21,Backdoors!BG21)))))/100,Backdoors!BG21/100),"")</f>
        <v>0</v>
      </c>
      <c r="DZ9" s="49">
        <f>IFERROR(IF(VLOOKUP(A9,tbMoveset!A2:J112,10,FALSE)=TRUE,IF((Backdoors!AI12+IF(DX9&gt;=0.45,VLOOKUP(Calculator!E23,tbSkills!DH3:DI6,2,FALSE)+IF(AND(Calculator!B8=TRUE,Backdoors!BI21=TRUE),VLOOKUP(Calculator!E23,tbSkills!DH3:DJ6,3,FALSE),0),0))&gt;=0,1+(Backdoors!AL2*(IF((Backdoors!AI12+IF(DX9&gt;=0.45,VLOOKUP(Calculator!E23,tbSkills!DH3:DI6,2,FALSE)+IF(AND(Calculator!B8=TRUE,Backdoors!BI21=TRUE),VLOOKUP(Calculator!E23,tbSkills!DH3:DJ6,3,FALSE),0),0))&gt;=100,100,(Backdoors!AI12+IF(DX9&gt;=0.45,VLOOKUP(Calculator!E23,tbSkills!DH3:DI6,2,FALSE)+IF(AND(Calculator!B8=TRUE,Backdoors!BI21=TRUE),VLOOKUP(Calculator!E23,tbSkills!DH3:DJ6,3,FALSE),0),0)))/100)),(1-(0.25*((-Backdoors!AI12-IF(DX9&gt;=0.45,VLOOKUP(Calculator!E23,tbSkills!DH3:DI6,2,FALSE)+IF(AND(Calculator!B8=TRUE,Backdoors!BI21=TRUE),VLOOKUP(Calculator!E23,tbSkills!DH3:DJ6,3,FALSE),0),0))/100)))),1),"")</f>
        <v>1</v>
      </c>
      <c r="EA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X9)*DZ9)*(VLOOKUP(A9,tbMoveset!A2:C112,3,FALSE)/100)*IF(VLOOKUP(A9,tbMoveset!A2:B112,2,FALSE)="Projectile",Backdoors!N10,Backdoors!N9),0),"")</f>
        <v/>
      </c>
      <c r="EB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X9&gt;=0.45,VLOOKUP(Calculator!E23,tbSkills!DH3:DI6,2,FALSE)+IF(AND(Calculator!B8=TRUE,Backdoors!BI21=TRUE),VLOOKUP(Calculator!E23,tbSkills!DH3:DJ6,3,FALSE),0),0))&gt;=100,100,(Backdoors!AI12+IF(DX9&gt;=0.45,VLOOKUP(Calculator!E23,tbSkills!DH3:DI6,2,FALSE)+IF(AND(Calculator!B8=TRUE,Backdoors!BI21=TRUE),VLOOKUP(Calculator!E23,tbSkills!DH3:DJ6,3,FALSE),0),0)))/100)),1))*IF(VLOOKUP(A9,tbMoveset!A2:K112,11,FALSE)=TRUE,Backdoors!AC5,1))*DY9,0),"")</f>
        <v>0</v>
      </c>
      <c r="EC9" s="49">
        <f>VLOOKUP(A9,tbMoveset!A2:G112,7,FALSE)*IFERROR(IF(Backdoors!AI12&gt;=0,1+(IF(Calculator!E40&gt;0,VLOOKUP(Calculator!E40,tbSkills!AI3:AJ5,2,FALSE),Backdoors!AL4)*(IF((Backdoors!AI12+IF(DX9&gt;=0.45,VLOOKUP(Calculator!E23,tbSkills!DH3:DI6,2,FALSE)+IF(AND(Calculator!B8=TRUE,Backdoors!BI21=TRUE),VLOOKUP(Calculator!E23,tbSkills!DH3:DJ6,3,FALSE),0),0))&gt;=100,100,(Backdoors!AI12+IF(DX9&gt;=0.45,VLOOKUP(Calculator!E23,tbSkills!DH3:DI6,2,FALSE)+IF(AND(Calculator!B8=TRUE,Backdoors!BI21=TRUE),VLOOKUP(Calculator!E23,tbSkills!DH3:DJ6,3,FALSE),0),0)))/100)),1),1)</f>
        <v>0.5</v>
      </c>
      <c r="ED9" s="87">
        <f t="shared" si="11"/>
        <v>0</v>
      </c>
      <c r="EE9" s="86" t="str">
        <f>IFERROR(IF(VLOOKUP(A9,tbMoveset!A2:B112,2,FALSE)="Sever",Backdoors!AY22/100,IF(VLOOKUP(A9,tbMoveset!A2:B112,2,FALSE)="Blunt",Backdoors!AZ22/100,Backdoors!BA22/100)),"")</f>
        <v/>
      </c>
      <c r="EF9" s="49">
        <f>IFERROR(IF(VLOOKUP(tbMoveset!A9,tbMoveset!A2:H112,8,FALSE)="Other",IF(VLOOKUP(tbMoveset!A9,tbMoveset!A2:I112,9,FALSE)="Fire",Backdoors!BB22,IF(VLOOKUP(tbMoveset!A9,tbMoveset!A2:I112,9,FALSE)="Water",Backdoors!BC22,IF(VLOOKUP(tbMoveset!A9,tbMoveset!A2:I112,9,FALSE)="Thunder",Backdoors!BD22,IF(VLOOKUP(tbMoveset!A9,tbMoveset!A2:I112,9,FALSE)="Ice",Backdoors!BE22,IF(VLOOKUP(tbMoveset!A9,tbMoveset!A2:I112,9,FALSE)="Dragon",Backdoors!BF22,Backdoors!BG22)))))/100,Backdoors!BG22/100),"")</f>
        <v>0</v>
      </c>
      <c r="EG9" s="49">
        <f>IFERROR(IF(VLOOKUP(A9,tbMoveset!A2:J112,10,FALSE)=TRUE,IF((Backdoors!AI12+IF(EE9&gt;=0.45,VLOOKUP(Calculator!E23,tbSkills!DH3:DI6,2,FALSE)+IF(AND(Calculator!B8=TRUE,Backdoors!BI22=TRUE),VLOOKUP(Calculator!E23,tbSkills!DH3:DJ6,3,FALSE),0),0))&gt;=0,1+(Backdoors!AL2*(IF((Backdoors!AI12+IF(EE9&gt;=0.45,VLOOKUP(Calculator!E23,tbSkills!DH3:DI6,2,FALSE)+IF(AND(Calculator!B8=TRUE,Backdoors!BI22=TRUE),VLOOKUP(Calculator!E23,tbSkills!DH3:DJ6,3,FALSE),0),0))&gt;=100,100,(Backdoors!AI12+IF(EE9&gt;=0.45,VLOOKUP(Calculator!E23,tbSkills!DH3:DI6,2,FALSE)+IF(AND(Calculator!B8=TRUE,Backdoors!BI22=TRUE),VLOOKUP(Calculator!E23,tbSkills!DH3:DJ6,3,FALSE),0),0)))/100)),(1-(0.25*((-Backdoors!AI12-IF(EE9&gt;=0.45,VLOOKUP(Calculator!E23,tbSkills!DH3:DI6,2,FALSE)+IF(AND(Calculator!B8=TRUE,Backdoors!BI22=TRUE),VLOOKUP(Calculator!E23,tbSkills!DH3:DJ6,3,FALSE),0),0))/100)))),1),"")</f>
        <v>1</v>
      </c>
      <c r="EH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E9)*EG9)*(VLOOKUP(A9,tbMoveset!A2:C112,3,FALSE)/100)*IF(VLOOKUP(A9,tbMoveset!A2:B112,2,FALSE)="Projectile",Backdoors!N10,Backdoors!N9),0),"")</f>
        <v/>
      </c>
      <c r="EI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E9&gt;=0.45,VLOOKUP(Calculator!E23,tbSkills!DH3:DI6,2,FALSE)+IF(AND(Calculator!B8=TRUE,Backdoors!BI22=TRUE),VLOOKUP(Calculator!E23,tbSkills!DH3:DJ6,3,FALSE),0),0))&gt;=100,100,(Backdoors!AI12+IF(EE9&gt;=0.45,VLOOKUP(Calculator!E23,tbSkills!DH3:DI6,2,FALSE)+IF(AND(Calculator!B8=TRUE,Backdoors!BI22=TRUE),VLOOKUP(Calculator!E23,tbSkills!DH3:DJ6,3,FALSE),0),0)))/100)),1))*IF(VLOOKUP(A9,tbMoveset!A2:K112,11,FALSE)=TRUE,Backdoors!AC5,1))*EF9,0),"")</f>
        <v>0</v>
      </c>
      <c r="EJ9" s="49">
        <f>VLOOKUP(A9,tbMoveset!A2:G112,7,FALSE)*IFERROR(IF(Backdoors!AI12&gt;=0,1+(IF(Calculator!E40&gt;0,VLOOKUP(Calculator!E40,tbSkills!AI3:AJ5,2,FALSE),Backdoors!AL4)*(IF((Backdoors!AI12+IF(EE9&gt;=0.45,VLOOKUP(Calculator!E23,tbSkills!DH3:DI6,2,FALSE)+IF(AND(Calculator!B8=TRUE,Backdoors!BI22=TRUE),VLOOKUP(Calculator!E23,tbSkills!DH3:DJ6,3,FALSE),0),0))&gt;=100,100,(Backdoors!AI12+IF(EE9&gt;=0.45,VLOOKUP(Calculator!E23,tbSkills!DH3:DI6,2,FALSE)+IF(AND(Calculator!B8=TRUE,Backdoors!BI22=TRUE),VLOOKUP(Calculator!E23,tbSkills!DH3:DJ6,3,FALSE),0),0)))/100)),1),1)</f>
        <v>0.5</v>
      </c>
      <c r="EK9" s="87">
        <f t="shared" si="12"/>
        <v>0</v>
      </c>
      <c r="EL9" s="86" t="str">
        <f>IFERROR(IF(VLOOKUP(A9,tbMoveset!A2:B112,2,FALSE)="Sever",Backdoors!AY23/100,IF(VLOOKUP(A9,tbMoveset!A2:B112,2,FALSE)="Blunt",Backdoors!AZ23/100,Backdoors!BA23/100)),"")</f>
        <v/>
      </c>
      <c r="EM9" s="49">
        <f>IFERROR(IF(VLOOKUP(tbMoveset!A9,tbMoveset!A2:H112,8,FALSE)="Other",IF(VLOOKUP(tbMoveset!A9,tbMoveset!A2:I112,9,FALSE)="Fire",Backdoors!BB23,IF(VLOOKUP(tbMoveset!A9,tbMoveset!A2:I112,9,FALSE)="Water",Backdoors!BC23,IF(VLOOKUP(tbMoveset!A9,tbMoveset!A2:I112,9,FALSE)="Thunder",Backdoors!BD23,IF(VLOOKUP(tbMoveset!A9,tbMoveset!A2:I112,9,FALSE)="Ice",Backdoors!BE23,IF(VLOOKUP(tbMoveset!A9,tbMoveset!A2:I112,9,FALSE)="Dragon",Backdoors!BF23,Backdoors!BG23)))))/100,Backdoors!BG23/100),"")</f>
        <v>0</v>
      </c>
      <c r="EN9" s="49">
        <f>IFERROR(IF(VLOOKUP(A9,tbMoveset!A2:J112,10,FALSE)=TRUE,IF((Backdoors!AI12+IF(EL9&gt;=0.45,VLOOKUP(Calculator!E23,tbSkills!DH3:DI6,2,FALSE)+IF(AND(Calculator!B8=TRUE,Backdoors!BI23=TRUE),VLOOKUP(Calculator!E23,tbSkills!DH3:DJ6,3,FALSE),0),0))&gt;=0,1+(Backdoors!AL2*(IF((Backdoors!AI12+IF(EL9&gt;=0.45,VLOOKUP(Calculator!E23,tbSkills!DH3:DI6,2,FALSE)+IF(AND(Calculator!B8=TRUE,Backdoors!BI23=TRUE),VLOOKUP(Calculator!E23,tbSkills!DH3:DJ6,3,FALSE),0),0))&gt;=100,100,(Backdoors!AI12+IF(EL9&gt;=0.45,VLOOKUP(Calculator!E23,tbSkills!DH3:DI6,2,FALSE)+IF(AND(Calculator!B8=TRUE,Backdoors!BI23=TRUE),VLOOKUP(Calculator!E23,tbSkills!DH3:DJ6,3,FALSE),0),0)))/100)),(1-(0.25*((-Backdoors!AI12-IF(EL9&gt;=0.45,VLOOKUP(Calculator!E23,tbSkills!DH3:DI6,2,FALSE)+IF(AND(Calculator!B8=TRUE,Backdoors!BI23=TRUE),VLOOKUP(Calculator!E23,tbSkills!DH3:DJ6,3,FALSE),0),0))/100)))),1),"")</f>
        <v>1</v>
      </c>
      <c r="EO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L9)*EN9)*(VLOOKUP(A9,tbMoveset!A2:C112,3,FALSE)/100)*IF(VLOOKUP(A9,tbMoveset!A2:B112,2,FALSE)="Projectile",Backdoors!N10,Backdoors!N9),0),"")</f>
        <v/>
      </c>
      <c r="EP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L9&gt;=0.45,VLOOKUP(Calculator!E23,tbSkills!DH3:DI6,2,FALSE)+IF(AND(Calculator!B8=TRUE,Backdoors!BI23=TRUE),VLOOKUP(Calculator!E23,tbSkills!DH3:DJ6,3,FALSE),0),0))&gt;=100,100,(Backdoors!AI12+IF(EL9&gt;=0.45,VLOOKUP(Calculator!E23,tbSkills!DH3:DI6,2,FALSE)+IF(AND(Calculator!B8=TRUE,Backdoors!BI23=TRUE),VLOOKUP(Calculator!E23,tbSkills!DH3:DJ6,3,FALSE),0),0)))/100)),1))*IF(VLOOKUP(A9,tbMoveset!A2:K112,11,FALSE)=TRUE,Backdoors!AC5,1))*EM9,0),"")</f>
        <v>0</v>
      </c>
      <c r="EQ9" s="49">
        <f>VLOOKUP(A9,tbMoveset!A2:G112,7,FALSE)*IFERROR(IF(Backdoors!AI12&gt;=0,1+(IF(Calculator!E40&gt;0,VLOOKUP(Calculator!E40,tbSkills!AI3:AJ5,2,FALSE),Backdoors!AL4)*(IF((Backdoors!AI12+IF(EL9&gt;=0.45,VLOOKUP(Calculator!E23,tbSkills!DH3:DI6,2,FALSE)+IF(AND(Calculator!B8=TRUE,Backdoors!BI23=TRUE),VLOOKUP(Calculator!E23,tbSkills!DH3:DJ6,3,FALSE),0),0))&gt;=100,100,(Backdoors!AI12+IF(EL9&gt;=0.45,VLOOKUP(Calculator!E23,tbSkills!DH3:DI6,2,FALSE)+IF(AND(Calculator!B8=TRUE,Backdoors!BI23=TRUE),VLOOKUP(Calculator!E23,tbSkills!DH3:DJ6,3,FALSE),0),0)))/100)),1),1)</f>
        <v>0.5</v>
      </c>
      <c r="ER9" s="87">
        <f t="shared" si="13"/>
        <v>0</v>
      </c>
      <c r="ES9" s="86" t="str">
        <f>IFERROR(IF(VLOOKUP(A9,tbMoveset!A2:B112,2,FALSE)="Sever",Backdoors!AY24/100,IF(VLOOKUP(A9,tbMoveset!A2:B112,2,FALSE)="Blunt",Backdoors!AZ24/100,Backdoors!BA24/100)),"")</f>
        <v/>
      </c>
      <c r="ET9" s="49">
        <f>IFERROR(IF(VLOOKUP(tbMoveset!A9,tbMoveset!A2:H112,8,FALSE)="Other",IF(VLOOKUP(tbMoveset!A9,tbMoveset!A2:I112,9,FALSE)="Fire",Backdoors!BB24,IF(VLOOKUP(tbMoveset!A9,tbMoveset!A2:I112,9,FALSE)="Water",Backdoors!BC24,IF(VLOOKUP(tbMoveset!A9,tbMoveset!A2:I112,9,FALSE)="Thunder",Backdoors!BD24,IF(VLOOKUP(tbMoveset!A9,tbMoveset!A2:I112,9,FALSE)="Ice",Backdoors!BE24,IF(VLOOKUP(tbMoveset!A9,tbMoveset!A2:I112,9,FALSE)="Dragon",Backdoors!BF24,Backdoors!BG24)))))/100,Backdoors!BG24/100),"")</f>
        <v>0</v>
      </c>
      <c r="EU9" s="49">
        <f>IFERROR(IF(VLOOKUP(A9,tbMoveset!A2:J112,10,FALSE)=TRUE,IF((Backdoors!AI12+IF(ES9&gt;=0.45,VLOOKUP(Calculator!E23,tbSkills!DH3:DI6,2,FALSE)+IF(AND(Calculator!B8=TRUE,Backdoors!BI24=TRUE),VLOOKUP(Calculator!E23,tbSkills!DH3:DJ6,3,FALSE),0),0))&gt;=0,1+(Backdoors!AL2*(IF((Backdoors!AI12+IF(ES9&gt;=0.45,VLOOKUP(Calculator!E23,tbSkills!DH3:DI6,2,FALSE)+IF(AND(Calculator!B8=TRUE,Backdoors!BI24=TRUE),VLOOKUP(Calculator!E23,tbSkills!DH3:DJ6,3,FALSE),0),0))&gt;=100,100,(Backdoors!AI12+IF(ES9&gt;=0.45,VLOOKUP(Calculator!E23,tbSkills!DH3:DI6,2,FALSE)+IF(AND(Calculator!B8=TRUE,Backdoors!BI24=TRUE),VLOOKUP(Calculator!E23,tbSkills!DH3:DJ6,3,FALSE),0),0)))/100)),(1-(0.25*((-Backdoors!AI12-IF(ES9&gt;=0.45,VLOOKUP(Calculator!E23,tbSkills!DH3:DI6,2,FALSE)+IF(AND(Calculator!B8=TRUE,Backdoors!BI24=TRUE),VLOOKUP(Calculator!E23,tbSkills!DH3:DJ6,3,FALSE),0),0))/100)))),1),"")</f>
        <v>1</v>
      </c>
      <c r="EV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S9)*EU9)*(VLOOKUP(A9,tbMoveset!A2:C112,3,FALSE)/100)*IF(VLOOKUP(A9,tbMoveset!A2:B112,2,FALSE)="Projectile",Backdoors!N10,Backdoors!N9),0),"")</f>
        <v/>
      </c>
      <c r="EW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S9&gt;=0.45,VLOOKUP(Calculator!E23,tbSkills!DH3:DI6,2,FALSE)+IF(AND(Calculator!B8=TRUE,Backdoors!BI24=TRUE),VLOOKUP(Calculator!E23,tbSkills!DH3:DJ6,3,FALSE),0),0))&gt;=100,100,(Backdoors!AI12+IF(ES9&gt;=0.45,VLOOKUP(Calculator!E23,tbSkills!DH3:DI6,2,FALSE)+IF(AND(Calculator!B8=TRUE,Backdoors!BI24=TRUE),VLOOKUP(Calculator!E23,tbSkills!DH3:DJ6,3,FALSE),0),0)))/100)),1))*IF(VLOOKUP(A9,tbMoveset!A2:K112,11,FALSE)=TRUE,Backdoors!AC5,1))*ET9,0),"")</f>
        <v>0</v>
      </c>
      <c r="EX9" s="49">
        <f>VLOOKUP(A9,tbMoveset!A2:G112,7,FALSE)*IFERROR(IF(Backdoors!AI12&gt;=0,1+(IF(Calculator!E40&gt;0,VLOOKUP(Calculator!E40,tbSkills!AI3:AJ5,2,FALSE),Backdoors!AL4)*(IF((Backdoors!AI12+IF(ES9&gt;=0.45,VLOOKUP(Calculator!E23,tbSkills!DH3:DI6,2,FALSE)+IF(AND(Calculator!B8=TRUE,Backdoors!BI24=TRUE),VLOOKUP(Calculator!E23,tbSkills!DH3:DJ6,3,FALSE),0),0))&gt;=100,100,(Backdoors!AI12+IF(ES9&gt;=0.45,VLOOKUP(Calculator!E23,tbSkills!DH3:DI6,2,FALSE)+IF(AND(Calculator!B8=TRUE,Backdoors!BI24=TRUE),VLOOKUP(Calculator!E23,tbSkills!DH3:DJ6,3,FALSE),0),0)))/100)),1),1)</f>
        <v>0.5</v>
      </c>
      <c r="EY9" s="87">
        <f t="shared" si="14"/>
        <v>0</v>
      </c>
      <c r="EZ9" s="86" t="str">
        <f>IFERROR(IF(VLOOKUP(A9,tbMoveset!A2:B112,2,FALSE)="Sever",Backdoors!AY25/100,IF(VLOOKUP(A9,tbMoveset!A2:B112,2,FALSE)="Blunt",Backdoors!AZ25/100,Backdoors!BA25/100)),"")</f>
        <v/>
      </c>
      <c r="FA9" s="49">
        <f>IFERROR(IF(VLOOKUP(tbMoveset!A9,tbMoveset!A2:H112,8,FALSE)="Other",IF(VLOOKUP(tbMoveset!A9,tbMoveset!A2:I112,9,FALSE)="Fire",Backdoors!BB25,IF(VLOOKUP(tbMoveset!A9,tbMoveset!A2:I112,9,FALSE)="Water",Backdoors!BC25,IF(VLOOKUP(tbMoveset!A9,tbMoveset!A2:I112,9,FALSE)="Thunder",Backdoors!BD25,IF(VLOOKUP(tbMoveset!A9,tbMoveset!A2:I112,9,FALSE)="Ice",Backdoors!BE25,IF(VLOOKUP(tbMoveset!A9,tbMoveset!A2:I112,9,FALSE)="Dragon",Backdoors!BF25,Backdoors!BG25)))))/100,Backdoors!BG25/100),"")</f>
        <v>0</v>
      </c>
      <c r="FB9" s="49">
        <f>IFERROR(IF(VLOOKUP(A9,tbMoveset!A2:J112,10,FALSE)=TRUE,IF((Backdoors!AI12+IF(EZ9&gt;=0.45,VLOOKUP(Calculator!E23,tbSkills!DH3:DI6,2,FALSE)+IF(AND(Calculator!B8=TRUE,Backdoors!BI25=TRUE),VLOOKUP(Calculator!E23,tbSkills!DH3:DJ6,3,FALSE),0),0))&gt;=0,1+(Backdoors!AL2*(IF((Backdoors!AI12+IF(EZ9&gt;=0.45,VLOOKUP(Calculator!E23,tbSkills!DH3:DI6,2,FALSE)+IF(AND(Calculator!B8=TRUE,Backdoors!BI25=TRUE),VLOOKUP(Calculator!E23,tbSkills!DH3:DJ6,3,FALSE),0),0))&gt;=100,100,(Backdoors!AI12+IF(EZ9&gt;=0.45,VLOOKUP(Calculator!E23,tbSkills!DH3:DI6,2,FALSE)+IF(AND(Calculator!B8=TRUE,Backdoors!BI25=TRUE),VLOOKUP(Calculator!E23,tbSkills!DH3:DJ6,3,FALSE),0),0)))/100)),(1-(0.25*((-Backdoors!AI12-IF(EZ9&gt;=0.45,VLOOKUP(Calculator!E23,tbSkills!DH3:DI6,2,FALSE)+IF(AND(Calculator!B8=TRUE,Backdoors!BI25=TRUE),VLOOKUP(Calculator!E23,tbSkills!DH3:DJ6,3,FALSE),0),0))/100)))),1),"")</f>
        <v>1</v>
      </c>
      <c r="FC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Z9)*FB9)*(VLOOKUP(A9,tbMoveset!A2:C112,3,FALSE)/100)*IF(VLOOKUP(A9,tbMoveset!A2:B112,2,FALSE)="Projectile",Backdoors!N10,Backdoors!N9),0),"")</f>
        <v/>
      </c>
      <c r="FD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Z9&gt;=0.45,VLOOKUP(Calculator!E23,tbSkills!DH3:DI6,2,FALSE)+IF(AND(Calculator!B8=TRUE,Backdoors!BI25=TRUE),VLOOKUP(Calculator!E23,tbSkills!DH3:DJ6,3,FALSE),0),0))&gt;=100,100,(Backdoors!AI12+IF(EZ9&gt;=0.45,VLOOKUP(Calculator!E23,tbSkills!DH3:DI6,2,FALSE)+IF(AND(Calculator!B8=TRUE,Backdoors!BI25=TRUE),VLOOKUP(Calculator!E23,tbSkills!DH3:DJ6,3,FALSE),0),0)))/100)),1))*IF(VLOOKUP(A9,tbMoveset!A2:K112,11,FALSE)=TRUE,Backdoors!AC5,1))*FA9,0),"")</f>
        <v>0</v>
      </c>
      <c r="FE9" s="49">
        <f>VLOOKUP(A9,tbMoveset!A2:G112,7,FALSE)*IFERROR(IF(Backdoors!AI12&gt;=0,1+(IF(Calculator!E40&gt;0,VLOOKUP(Calculator!E40,tbSkills!AI3:AJ5,2,FALSE),Backdoors!AL4)*(IF((Backdoors!AI12+IF(EZ9&gt;=0.45,VLOOKUP(Calculator!E23,tbSkills!DH3:DI6,2,FALSE)+IF(AND(Calculator!B8=TRUE,Backdoors!BI25=TRUE),VLOOKUP(Calculator!E23,tbSkills!DH3:DJ6,3,FALSE),0),0))&gt;=100,100,(Backdoors!AI12+IF(EZ9&gt;=0.45,VLOOKUP(Calculator!E23,tbSkills!DH3:DI6,2,FALSE)+IF(AND(Calculator!B8=TRUE,Backdoors!BI25=TRUE),VLOOKUP(Calculator!E23,tbSkills!DH3:DJ6,3,FALSE),0),0)))/100)),1),1)</f>
        <v>0.5</v>
      </c>
      <c r="FF9" s="87">
        <f t="shared" si="15"/>
        <v>0</v>
      </c>
      <c r="FG9" s="86" t="str">
        <f>IFERROR(IF(VLOOKUP(A9,tbMoveset!A2:B112,2,FALSE)="Sever",Backdoors!AY26/100,IF(VLOOKUP(A9,tbMoveset!A2:B112,2,FALSE)="Blunt",Backdoors!AZ26/100,Backdoors!BA26/100)),"")</f>
        <v/>
      </c>
      <c r="FH9" s="49">
        <f>IFERROR(IF(VLOOKUP(tbMoveset!A9,tbMoveset!A2:H112,8,FALSE)="Other",IF(VLOOKUP(tbMoveset!A9,tbMoveset!A2:I112,9,FALSE)="Fire",Backdoors!BB26,IF(VLOOKUP(tbMoveset!A9,tbMoveset!A2:I112,9,FALSE)="Water",Backdoors!BC26,IF(VLOOKUP(tbMoveset!A9,tbMoveset!A2:I112,9,FALSE)="Thunder",Backdoors!BD26,IF(VLOOKUP(tbMoveset!A9,tbMoveset!A2:I112,9,FALSE)="Ice",Backdoors!BE26,IF(VLOOKUP(tbMoveset!A9,tbMoveset!A2:I112,9,FALSE)="Dragon",Backdoors!BF26,Backdoors!BG26)))))/100,Backdoors!BG26/100),"")</f>
        <v>0</v>
      </c>
      <c r="FI9" s="49">
        <f>IFERROR(IF(VLOOKUP(A9,tbMoveset!A2:J112,10,FALSE)=TRUE,IF((Backdoors!AI12+IF(FG9&gt;=0.45,VLOOKUP(Calculator!E23,tbSkills!DH3:DI6,2,FALSE)+IF(AND(Calculator!B8=TRUE,Backdoors!BI26=TRUE),VLOOKUP(Calculator!E23,tbSkills!DH3:DJ6,3,FALSE),0),0))&gt;=0,1+(Backdoors!AL2*(IF((Backdoors!AI12+IF(FG9&gt;=0.45,VLOOKUP(Calculator!E23,tbSkills!DH3:DI6,2,FALSE)+IF(AND(Calculator!B8=TRUE,Backdoors!BI26=TRUE),VLOOKUP(Calculator!E23,tbSkills!DH3:DJ6,3,FALSE),0),0))&gt;=100,100,(Backdoors!AI12+IF(FG9&gt;=0.45,VLOOKUP(Calculator!E23,tbSkills!DH3:DI6,2,FALSE)+IF(AND(Calculator!B8=TRUE,Backdoors!BI26=TRUE),VLOOKUP(Calculator!E23,tbSkills!DH3:DJ6,3,FALSE),0),0)))/100)),(1-(0.25*((-Backdoors!AI12-IF(FG9&gt;=0.45,VLOOKUP(Calculator!E23,tbSkills!DH3:DI6,2,FALSE)+IF(AND(Calculator!B8=TRUE,Backdoors!BI26=TRUE),VLOOKUP(Calculator!E23,tbSkills!DH3:DJ6,3,FALSE),0),0))/100)))),1),"")</f>
        <v>1</v>
      </c>
      <c r="FJ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FG9)*FI9)*(VLOOKUP(A9,tbMoveset!A2:C112,3,FALSE)/100)*IF(VLOOKUP(A9,tbMoveset!A2:B112,2,FALSE)="Projectile",Backdoors!N10,Backdoors!N9),0),"")</f>
        <v/>
      </c>
      <c r="FK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FG9&gt;=0.45,VLOOKUP(Calculator!E23,tbSkills!DH3:DI6,2,FALSE)+IF(AND(Calculator!B8=TRUE,Backdoors!BI26=TRUE),VLOOKUP(Calculator!E23,tbSkills!DH3:DJ6,3,FALSE),0),0))&gt;=100,100,(Backdoors!AI12+IF(FG9&gt;=0.45,VLOOKUP(Calculator!E23,tbSkills!DH3:DI6,2,FALSE)+IF(AND(Calculator!B8=TRUE,Backdoors!BI26=TRUE),VLOOKUP(Calculator!E23,tbSkills!DH3:DJ6,3,FALSE),0),0)))/100)),1))*IF(VLOOKUP(A9,tbMoveset!A2:K112,11,FALSE)=TRUE,Backdoors!AC5,1))*FH9,0),"")</f>
        <v>0</v>
      </c>
      <c r="FL9" s="49">
        <f>VLOOKUP(A9,tbMoveset!A2:G112,7,FALSE)*IFERROR(IF(Backdoors!AI12&gt;=0,1+(IF(Calculator!E40&gt;0,VLOOKUP(Calculator!E40,tbSkills!AI3:AJ5,2,FALSE),Backdoors!AL4)*(IF((Backdoors!AI12+IF(FG9&gt;=0.45,VLOOKUP(Calculator!E23,tbSkills!DH3:DI6,2,FALSE)+IF(AND(Calculator!B8=TRUE,Backdoors!BI26=TRUE),VLOOKUP(Calculator!E23,tbSkills!DH3:DJ6,3,FALSE),0),0))&gt;=100,100,(Backdoors!AI12+IF(FG9&gt;=0.45,VLOOKUP(Calculator!E23,tbSkills!DH3:DI6,2,FALSE)+IF(AND(Calculator!B8=TRUE,Backdoors!BI26=TRUE),VLOOKUP(Calculator!E23,tbSkills!DH3:DJ6,3,FALSE),0),0)))/100)),1),1)</f>
        <v>0.5</v>
      </c>
      <c r="FM9" s="87">
        <f t="shared" si="16"/>
        <v>0</v>
      </c>
      <c r="FN9" s="86" t="str">
        <f>IFERROR(IF(VLOOKUP(A9,tbMoveset!A2:B112,2,FALSE)="Sever",Backdoors!AY27/100,IF(VLOOKUP(A9,tbMoveset!A2:B112,2,FALSE)="Blunt",Backdoors!AZ27/100,Backdoors!BA27/100)),"")</f>
        <v/>
      </c>
      <c r="FO9" s="49">
        <f>IFERROR(IF(VLOOKUP(tbMoveset!A9,tbMoveset!A2:H112,8,FALSE)="Other",IF(VLOOKUP(tbMoveset!A9,tbMoveset!A2:I112,9,FALSE)="Fire",Backdoors!BB27,IF(VLOOKUP(tbMoveset!A9,tbMoveset!A2:I112,9,FALSE)="Water",Backdoors!BC27,IF(VLOOKUP(tbMoveset!A9,tbMoveset!A2:I112,9,FALSE)="Thunder",Backdoors!BD27,IF(VLOOKUP(tbMoveset!A9,tbMoveset!A2:I112,9,FALSE)="Ice",Backdoors!BE27,IF(VLOOKUP(tbMoveset!A9,tbMoveset!A2:I112,9,FALSE)="Dragon",Backdoors!BF27,Backdoors!BG27)))))/100,Backdoors!BG27/100),"")</f>
        <v>0</v>
      </c>
      <c r="FP9" s="49">
        <f>IFERROR(IF(VLOOKUP(A9,tbMoveset!A2:J112,10,FALSE)=TRUE,IF((Backdoors!AI12+IF(FN9&gt;=0.45,VLOOKUP(Calculator!E23,tbSkills!DH3:DI6,2,FALSE)+IF(AND(Calculator!B8=TRUE,Backdoors!BI27=TRUE),VLOOKUP(Calculator!E23,tbSkills!DH3:DJ6,3,FALSE),0),0))&gt;=0,1+(Backdoors!AL2*(IF((Backdoors!AI12+IF(FN9&gt;=0.45,VLOOKUP(Calculator!E23,tbSkills!DH3:DI6,2,FALSE)+IF(AND(Calculator!B8=TRUE,Backdoors!BI27=TRUE),VLOOKUP(Calculator!E23,tbSkills!DH3:DJ6,3,FALSE),0),0))&gt;=100,100,(Backdoors!AI12+IF(FN9&gt;=0.45,VLOOKUP(Calculator!E23,tbSkills!DH3:DI6,2,FALSE)+IF(AND(Calculator!B8=TRUE,Backdoors!BI27=TRUE),VLOOKUP(Calculator!E23,tbSkills!DH3:DJ6,3,FALSE),0),0)))/100)),(1-(0.25*((-Backdoors!AI12-IF(FN9&gt;=0.45,VLOOKUP(Calculator!E23,tbSkills!DH3:DI6,2,FALSE)+IF(AND(Calculator!B8=TRUE,Backdoors!BI27=TRUE),VLOOKUP(Calculator!E23,tbSkills!DH3:DJ6,3,FALSE),0),0))/100)))),1),"")</f>
        <v>1</v>
      </c>
      <c r="FQ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FN9)*FP9)*(VLOOKUP(A9,tbMoveset!A2:C112,3,FALSE)/100)*IF(VLOOKUP(A9,tbMoveset!A2:B112,2,FALSE)="Projectile",Backdoors!N10,Backdoors!N9),0),"")</f>
        <v/>
      </c>
      <c r="FR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FN9&gt;=0.45,VLOOKUP(Calculator!E23,tbSkills!DH3:DI6,2,FALSE)+IF(AND(Calculator!B8=TRUE,Backdoors!BI27=TRUE),VLOOKUP(Calculator!E23,tbSkills!DH3:DJ6,3,FALSE),0),0))&gt;=100,100,(Backdoors!AI12+IF(FN9&gt;=0.45,VLOOKUP(Calculator!E23,tbSkills!DH3:DI6,2,FALSE)+IF(AND(Calculator!B8=TRUE,Backdoors!BI27=TRUE),VLOOKUP(Calculator!E23,tbSkills!DH3:DJ6,3,FALSE),0),0)))/100)),1))*IF(VLOOKUP(A9,tbMoveset!A2:K112,11,FALSE)=TRUE,Backdoors!AC5,1))*FO9,0),"")</f>
        <v>0</v>
      </c>
      <c r="FS9" s="49">
        <f>VLOOKUP(A9,tbMoveset!A2:G112,7,FALSE)*IFERROR(IF(Backdoors!AI12&gt;=0,1+(IF(Calculator!E40&gt;0,VLOOKUP(Calculator!E40,tbSkills!AI3:AJ5,2,FALSE),Backdoors!AL4)*(IF((Backdoors!AI12+IF(FN9&gt;=0.45,VLOOKUP(Calculator!E23,tbSkills!DH3:DI6,2,FALSE)+IF(AND(Calculator!B8=TRUE,Backdoors!BI27=TRUE),VLOOKUP(Calculator!E23,tbSkills!DH3:DJ6,3,FALSE),0),0))&gt;=100,100,(Backdoors!AI12+IF(FN9&gt;=0.45,VLOOKUP(Calculator!E23,tbSkills!DH3:DI6,2,FALSE)+IF(AND(Calculator!B8=TRUE,Backdoors!BI27=TRUE),VLOOKUP(Calculator!E23,tbSkills!DH3:DJ6,3,FALSE),0),0)))/100)),1),1)</f>
        <v>0.5</v>
      </c>
      <c r="FT9" s="87">
        <f t="shared" si="17"/>
        <v>0</v>
      </c>
      <c r="FU9" s="86" t="str">
        <f>IFERROR(IF(VLOOKUP(A9,tbMoveset!A2:B112,2,FALSE)="Sever",Backdoors!AY28/100,IF(VLOOKUP(A9,tbMoveset!A2:B112,2,FALSE)="Blunt",Backdoors!AZ28/100,Backdoors!BA28/100)),"")</f>
        <v/>
      </c>
      <c r="FV9" s="49">
        <f>IFERROR(IF(VLOOKUP(tbMoveset!A9,tbMoveset!A2:H112,8,FALSE)="Other",IF(VLOOKUP(tbMoveset!A9,tbMoveset!A2:I112,9,FALSE)="Fire",Backdoors!BB28,IF(VLOOKUP(tbMoveset!A9,tbMoveset!A2:I112,9,FALSE)="Water",Backdoors!BC28,IF(VLOOKUP(tbMoveset!A9,tbMoveset!A2:I112,9,FALSE)="Thunder",Backdoors!BD28,IF(VLOOKUP(tbMoveset!A9,tbMoveset!A2:I112,9,FALSE)="Ice",Backdoors!BE28,IF(VLOOKUP(tbMoveset!A9,tbMoveset!A2:I112,9,FALSE)="Dragon",Backdoors!BF28,Backdoors!BG28)))))/100,Backdoors!BG28/100),"")</f>
        <v>0</v>
      </c>
      <c r="FW9" s="49">
        <f>IFERROR(IF(VLOOKUP(A9,tbMoveset!A2:J112,10,FALSE)=TRUE,IF((Backdoors!AI12+IF(FU9&gt;=0.45,VLOOKUP(Calculator!E23,tbSkills!DH3:DI6,2,FALSE)+IF(AND(Calculator!B8=TRUE,Backdoors!BI28=TRUE),VLOOKUP(Calculator!E23,tbSkills!DH3:DJ6,3,FALSE),0),0))&gt;=0,1+(Backdoors!AL2*(IF((Backdoors!AI12+IF(FU9&gt;=0.45,VLOOKUP(Calculator!E23,tbSkills!DH3:DI6,2,FALSE)+IF(AND(Calculator!B8=TRUE,Backdoors!BI28=TRUE),VLOOKUP(Calculator!E23,tbSkills!DH3:DJ6,3,FALSE),0),0))&gt;=100,100,(Backdoors!AI12+IF(FU9&gt;=0.45,VLOOKUP(Calculator!E23,tbSkills!DH3:DI6,2,FALSE)+IF(AND(Calculator!B8=TRUE,Backdoors!BI28=TRUE),VLOOKUP(Calculator!E23,tbSkills!DH3:DJ6,3,FALSE),0),0)))/100)),(1-(0.25*((-Backdoors!AI12-IF(FU9&gt;=0.45,VLOOKUP(Calculator!E23,tbSkills!DH3:DI6,2,FALSE)+IF(AND(Calculator!B8=TRUE,Backdoors!BI28=TRUE),VLOOKUP(Calculator!E23,tbSkills!DH3:DJ6,3,FALSE),0),0))/100)))),1),"")</f>
        <v>1</v>
      </c>
      <c r="FX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FU9)*FW9)*(VLOOKUP(A9,tbMoveset!A2:C112,3,FALSE)/100)*IF(VLOOKUP(A9,tbMoveset!A2:B112,2,FALSE)="Projectile",Backdoors!N10,Backdoors!N9),0),"")</f>
        <v/>
      </c>
      <c r="FY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FU9&gt;=0.45,VLOOKUP(Calculator!E23,tbSkills!DH3:DI6,2,FALSE)+IF(AND(Calculator!B8=TRUE,Backdoors!BI28=TRUE),VLOOKUP(Calculator!E23,tbSkills!DH3:DJ6,3,FALSE),0),0))&gt;=100,100,(Backdoors!AI12+IF(FU9&gt;=0.45,VLOOKUP(Calculator!E23,tbSkills!DH3:DI6,2,FALSE)+IF(AND(Calculator!B8=TRUE,Backdoors!BI28=TRUE),VLOOKUP(Calculator!E23,tbSkills!DH3:DJ6,3,FALSE),0),0)))/100)),1))*IF(VLOOKUP(A9,tbMoveset!A2:K112,11,FALSE)=TRUE,Backdoors!AC5,1))*FV9,0),"")</f>
        <v>0</v>
      </c>
      <c r="FZ9" s="49">
        <f>VLOOKUP(A9,tbMoveset!A2:G112,7,FALSE)*IFERROR(IF(Backdoors!AI12&gt;=0,1+(IF(Calculator!E40&gt;0,VLOOKUP(Calculator!E40,tbSkills!AI3:AJ5,2,FALSE),Backdoors!AL4)*(IF((Backdoors!AI12+IF(FU9&gt;=0.45,VLOOKUP(Calculator!E23,tbSkills!DH3:DI6,2,FALSE)+IF(AND(Calculator!B8=TRUE,Backdoors!BI28=TRUE),VLOOKUP(Calculator!E23,tbSkills!DH3:DJ6,3,FALSE),0),0))&gt;=100,100,(Backdoors!AI12+IF(FU9&gt;=0.45,VLOOKUP(Calculator!E23,tbSkills!DH3:DI6,2,FALSE)+IF(AND(Calculator!B8=TRUE,Backdoors!BI28=TRUE),VLOOKUP(Calculator!E23,tbSkills!DH3:DJ6,3,FALSE),0),0)))/100)),1),1)</f>
        <v>0.5</v>
      </c>
      <c r="GA9" s="87">
        <f t="shared" si="18"/>
        <v>0</v>
      </c>
      <c r="GB9" s="86" t="str">
        <f>IFERROR(IF(VLOOKUP(A9,tbMoveset!A2:B112,2,FALSE)="Sever",Backdoors!AY29/100,IF(VLOOKUP(A9,tbMoveset!A2:B112,2,FALSE)="Blunt",Backdoors!AZ29/100,Backdoors!BA29/100)),"")</f>
        <v/>
      </c>
      <c r="GC9" s="49">
        <f>IFERROR(IF(VLOOKUP(tbMoveset!A9,tbMoveset!A2:H112,8,FALSE)="Other",IF(VLOOKUP(tbMoveset!A9,tbMoveset!A2:I112,9,FALSE)="Fire",Backdoors!BB29,IF(VLOOKUP(tbMoveset!A9,tbMoveset!A2:I112,9,FALSE)="Water",Backdoors!BC29,IF(VLOOKUP(tbMoveset!A9,tbMoveset!A2:I112,9,FALSE)="Thunder",Backdoors!BD29,IF(VLOOKUP(tbMoveset!A9,tbMoveset!A2:I112,9,FALSE)="Ice",Backdoors!BE29,IF(VLOOKUP(tbMoveset!A9,tbMoveset!A2:I112,9,FALSE)="Dragon",Backdoors!BF29,Backdoors!BG29)))))/100,Backdoors!BG29/100),"")</f>
        <v>0</v>
      </c>
      <c r="GD9" s="49">
        <f>IFERROR(IF(VLOOKUP(A9,tbMoveset!A2:J112,10,FALSE)=TRUE,IF((Backdoors!AI12+IF(GB9&gt;=0.45,VLOOKUP(Calculator!E23,tbSkills!DH3:DI6,2,FALSE)+IF(AND(Calculator!B8=TRUE,Backdoors!BI29=TRUE),VLOOKUP(Calculator!E23,tbSkills!DH3:DJ6,3,FALSE),0),0))&gt;=0,1+(Backdoors!AL2*(IF((Backdoors!AI12+IF(GB9&gt;=0.45,VLOOKUP(Calculator!E23,tbSkills!DH3:DI6,2,FALSE)+IF(AND(Calculator!B8=TRUE,Backdoors!BI29=TRUE),VLOOKUP(Calculator!E23,tbSkills!DH3:DJ6,3,FALSE),0),0))&gt;=100,100,(Backdoors!AI12+IF(GB9&gt;=0.45,VLOOKUP(Calculator!E23,tbSkills!DH3:DI6,2,FALSE)+IF(AND(Calculator!B8=TRUE,Backdoors!BI29=TRUE),VLOOKUP(Calculator!E23,tbSkills!DH3:DJ6,3,FALSE),0),0)))/100)),(1-(0.25*((-Backdoors!AI12-IF(GB9&gt;=0.45,VLOOKUP(Calculator!E23,tbSkills!DH3:DI6,2,FALSE)+IF(AND(Calculator!B8=TRUE,Backdoors!BI29=TRUE),VLOOKUP(Calculator!E23,tbSkills!DH3:DJ6,3,FALSE),0),0))/100)))),1),"")</f>
        <v>1</v>
      </c>
      <c r="GE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B9)*GD9)*(VLOOKUP(A9,tbMoveset!A2:C112,3,FALSE)/100)*IF(VLOOKUP(A9,tbMoveset!A2:B112,2,FALSE)="Projectile",Backdoors!N10,Backdoors!N9),0),"")</f>
        <v/>
      </c>
      <c r="GF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B9&gt;=0.45,VLOOKUP(Calculator!E23,tbSkills!DH3:DI6,2,FALSE)+IF(AND(Calculator!B8=TRUE,Backdoors!BI29=TRUE),VLOOKUP(Calculator!E23,tbSkills!DH3:DJ6,3,FALSE),0),0))&gt;=100,100,(Backdoors!AI12+IF(GB9&gt;=0.45,VLOOKUP(Calculator!E23,tbSkills!DH3:DI6,2,FALSE)+IF(AND(Calculator!B8=TRUE,Backdoors!BI29=TRUE),VLOOKUP(Calculator!E23,tbSkills!DH3:DJ6,3,FALSE),0),0)))/100)),1))*IF(VLOOKUP(A9,tbMoveset!A2:K112,11,FALSE)=TRUE,Backdoors!AC5,1))*GC9,0),"")</f>
        <v>0</v>
      </c>
      <c r="GG9" s="49">
        <f>VLOOKUP(A9,tbMoveset!A2:G112,7,FALSE)*IFERROR(IF(Backdoors!AI12&gt;=0,1+(IF(Calculator!E40&gt;0,VLOOKUP(Calculator!E40,tbSkills!AI3:AJ5,2,FALSE),Backdoors!AL4)*(IF((Backdoors!AI12+IF(GB9&gt;=0.45,VLOOKUP(Calculator!E23,tbSkills!DH3:DI6,2,FALSE)+IF(AND(Calculator!B8=TRUE,Backdoors!BI29=TRUE),VLOOKUP(Calculator!E23,tbSkills!DH3:DJ6,3,FALSE),0),0))&gt;=100,100,(Backdoors!AI12+IF(GB9&gt;=0.45,VLOOKUP(Calculator!E23,tbSkills!DH3:DI6,2,FALSE)+IF(AND(Calculator!B8=TRUE,Backdoors!BI29=TRUE),VLOOKUP(Calculator!E23,tbSkills!DH3:DJ6,3,FALSE),0),0)))/100)),1),1)</f>
        <v>0.5</v>
      </c>
      <c r="GH9" s="87">
        <f t="shared" si="19"/>
        <v>0</v>
      </c>
      <c r="GI9" s="86" t="str">
        <f>IFERROR(IF(VLOOKUP(A9,tbMoveset!A2:B112,2,FALSE)="Sever",Backdoors!AY30/100,IF(VLOOKUP(A9,tbMoveset!A2:B112,2,FALSE)="Blunt",Backdoors!AZ30/100,Backdoors!BA30/100)),"")</f>
        <v/>
      </c>
      <c r="GJ9" s="49">
        <f>IFERROR(IF(VLOOKUP(tbMoveset!A9,tbMoveset!A2:H112,8,FALSE)="Other",IF(VLOOKUP(tbMoveset!A9,tbMoveset!A2:I112,9,FALSE)="Fire",Backdoors!BB30,IF(VLOOKUP(tbMoveset!A9,tbMoveset!A2:I112,9,FALSE)="Water",Backdoors!BC30,IF(VLOOKUP(tbMoveset!A9,tbMoveset!A2:I112,9,FALSE)="Thunder",Backdoors!BD30,IF(VLOOKUP(tbMoveset!A9,tbMoveset!A2:I112,9,FALSE)="Ice",Backdoors!BE30,IF(VLOOKUP(tbMoveset!A9,tbMoveset!A2:I112,9,FALSE)="Dragon",Backdoors!BF30,Backdoors!BG30)))))/100,Backdoors!BG30/100),"")</f>
        <v>0</v>
      </c>
      <c r="GK9" s="49">
        <f>IFERROR(IF(VLOOKUP(A9,tbMoveset!A2:J112,10,FALSE)=TRUE,IF((Backdoors!AI12+IF(GI9&gt;=0.45,VLOOKUP(Calculator!E23,tbSkills!DH3:DI6,2,FALSE)+IF(AND(Calculator!B8=TRUE,Backdoors!BI30=TRUE),VLOOKUP(Calculator!E23,tbSkills!DH3:DJ6,3,FALSE),0),0))&gt;=0,1+(Backdoors!AL2*(IF((Backdoors!AI12+IF(GI9&gt;=0.45,VLOOKUP(Calculator!E23,tbSkills!DH3:DI6,2,FALSE)+IF(AND(Calculator!B8=TRUE,Backdoors!BI30=TRUE),VLOOKUP(Calculator!E23,tbSkills!DH3:DJ6,3,FALSE),0),0))&gt;=100,100,(Backdoors!AI12+IF(GI9&gt;=0.45,VLOOKUP(Calculator!E23,tbSkills!DH3:DI6,2,FALSE)+IF(AND(Calculator!B8=TRUE,Backdoors!BI30=TRUE),VLOOKUP(Calculator!E23,tbSkills!DH3:DJ6,3,FALSE),0),0)))/100)),(1-(0.25*((-Backdoors!AI12-IF(GI9&gt;=0.45,VLOOKUP(Calculator!E23,tbSkills!DH3:DI6,2,FALSE)+IF(AND(Calculator!B8=TRUE,Backdoors!BI30=TRUE),VLOOKUP(Calculator!E23,tbSkills!DH3:DJ6,3,FALSE),0),0))/100)))),1),"")</f>
        <v>1</v>
      </c>
      <c r="GL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I9)*GK9)*(VLOOKUP(A9,tbMoveset!A2:C112,3,FALSE)/100)*IF(VLOOKUP(A9,tbMoveset!A2:B112,2,FALSE)="Projectile",Backdoors!N10,Backdoors!N9),0),"")</f>
        <v/>
      </c>
      <c r="GM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I9&gt;=0.45,VLOOKUP(Calculator!E23,tbSkills!DH3:DI6,2,FALSE)+IF(AND(Calculator!B8=TRUE,Backdoors!BI30=TRUE),VLOOKUP(Calculator!E23,tbSkills!DH3:DJ6,3,FALSE),0),0))&gt;=100,100,(Backdoors!AI12+IF(GI9&gt;=0.45,VLOOKUP(Calculator!E23,tbSkills!DH3:DI6,2,FALSE)+IF(AND(Calculator!B8=TRUE,Backdoors!BI30=TRUE),VLOOKUP(Calculator!E23,tbSkills!DH3:DJ6,3,FALSE),0),0)))/100)),1))*IF(VLOOKUP(A9,tbMoveset!A2:K112,11,FALSE)=TRUE,Backdoors!AC5,1))*GJ9,0),"")</f>
        <v>0</v>
      </c>
      <c r="GN9" s="49">
        <f>VLOOKUP(A9,tbMoveset!A2:G112,7,FALSE)*IFERROR(IF(Backdoors!AI12&gt;=0,1+(IF(Calculator!E40&gt;0,VLOOKUP(Calculator!E40,tbSkills!AI3:AJ5,2,FALSE),Backdoors!AL4)*(IF((Backdoors!AI12+IF(GI9&gt;=0.45,VLOOKUP(Calculator!E23,tbSkills!DH3:DI6,2,FALSE)+IF(AND(Calculator!B8=TRUE,Backdoors!BI30=TRUE),VLOOKUP(Calculator!E23,tbSkills!DH3:DJ6,3,FALSE),0),0))&gt;=100,100,(Backdoors!AI12+IF(GI9&gt;=0.45,VLOOKUP(Calculator!E23,tbSkills!DH3:DI6,2,FALSE)+IF(AND(Calculator!B8=TRUE,Backdoors!BI30=TRUE),VLOOKUP(Calculator!E23,tbSkills!DH3:DJ6,3,FALSE),0),0)))/100)),1),1)</f>
        <v>0.5</v>
      </c>
      <c r="GO9" s="87">
        <f t="shared" si="20"/>
        <v>0</v>
      </c>
      <c r="GP9" s="86" t="str">
        <f>IFERROR(IF(VLOOKUP(A9,tbMoveset!A2:B112,2,FALSE)="Sever",Backdoors!AY31/100,IF(VLOOKUP(A9,tbMoveset!A2:B112,2,FALSE)="Blunt",Backdoors!AZ31/100,Backdoors!BA31/100)),"")</f>
        <v/>
      </c>
      <c r="GQ9" s="49">
        <f>IFERROR(IF(VLOOKUP(tbMoveset!A9,tbMoveset!A2:H112,8,FALSE)="Other",IF(VLOOKUP(tbMoveset!A9,tbMoveset!A2:I112,9,FALSE)="Fire",Backdoors!BB31,IF(VLOOKUP(tbMoveset!A9,tbMoveset!A2:I112,9,FALSE)="Water",Backdoors!BC31,IF(VLOOKUP(tbMoveset!A9,tbMoveset!A2:I112,9,FALSE)="Thunder",Backdoors!BD31,IF(VLOOKUP(tbMoveset!A9,tbMoveset!A2:I112,9,FALSE)="Ice",Backdoors!BE31,IF(VLOOKUP(tbMoveset!A9,tbMoveset!A2:I112,9,FALSE)="Dragon",Backdoors!BF31,Backdoors!BG31)))))/100,Backdoors!BG31/100),"")</f>
        <v>0</v>
      </c>
      <c r="GR9" s="49">
        <f>IFERROR(IF(VLOOKUP(A9,tbMoveset!A2:J112,10,FALSE)=TRUE,IF((Backdoors!AI12+IF(GP9&gt;=0.45,VLOOKUP(Calculator!E23,tbSkills!DH3:DI6,2,FALSE)+IF(AND(Calculator!B8=TRUE,Backdoors!BI31=TRUE),VLOOKUP(Calculator!E23,tbSkills!DH3:DJ6,3,FALSE),0),0))&gt;=0,1+(Backdoors!AL2*(IF((Backdoors!AI12+IF(GP9&gt;=0.45,VLOOKUP(Calculator!E23,tbSkills!DH3:DI6,2,FALSE)+IF(AND(Calculator!B8=TRUE,Backdoors!BI31=TRUE),VLOOKUP(Calculator!E23,tbSkills!DH3:DJ6,3,FALSE),0),0))&gt;=100,100,(Backdoors!AI12+IF(GP9&gt;=0.45,VLOOKUP(Calculator!E23,tbSkills!DH3:DI6,2,FALSE)+IF(AND(Calculator!B8=TRUE,Backdoors!BI31=TRUE),VLOOKUP(Calculator!E23,tbSkills!DH3:DJ6,3,FALSE),0),0)))/100)),(1-(0.25*((-Backdoors!AI12-IF(GP9&gt;=0.45,VLOOKUP(Calculator!E23,tbSkills!DH3:DI6,2,FALSE)+IF(AND(Calculator!B8=TRUE,Backdoors!BI31=TRUE),VLOOKUP(Calculator!E23,tbSkills!DH3:DJ6,3,FALSE),0),0))/100)))),1),"")</f>
        <v>1</v>
      </c>
      <c r="GS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P9)*GR9)*(VLOOKUP(A9,tbMoveset!A2:C112,3,FALSE)/100)*IF(VLOOKUP(A9,tbMoveset!A2:B112,2,FALSE)="Projectile",Backdoors!N10,Backdoors!N9),0),"")</f>
        <v/>
      </c>
      <c r="GT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P9&gt;=0.45,VLOOKUP(Calculator!E23,tbSkills!DH3:DI6,2,FALSE)+IF(AND(Calculator!B8=TRUE,Backdoors!BI31=TRUE),VLOOKUP(Calculator!E23,tbSkills!DH3:DJ6,3,FALSE),0),0))&gt;=100,100,(Backdoors!AI12+IF(GP9&gt;=0.45,VLOOKUP(Calculator!E23,tbSkills!DH3:DI6,2,FALSE)+IF(AND(Calculator!B8=TRUE,Backdoors!BI31=TRUE),VLOOKUP(Calculator!E23,tbSkills!DH3:DJ6,3,FALSE),0),0)))/100)),1))*IF(VLOOKUP(A9,tbMoveset!A2:K112,11,FALSE)=TRUE,Backdoors!AC5,1))*GQ9,0),"")</f>
        <v>0</v>
      </c>
      <c r="GU9" s="49">
        <f>VLOOKUP(A9,tbMoveset!A2:G112,7,FALSE)*IFERROR(IF(Backdoors!AI12&gt;=0,1+(IF(Calculator!E40&gt;0,VLOOKUP(Calculator!E40,tbSkills!AI3:AJ5,2,FALSE),Backdoors!AL4)*(IF((Backdoors!AI12+IF(GP9&gt;=0.45,VLOOKUP(Calculator!E23,tbSkills!DH3:DI6,2,FALSE)+IF(AND(Calculator!B8=TRUE,Backdoors!BI31=TRUE),VLOOKUP(Calculator!E23,tbSkills!DH3:DJ6,3,FALSE),0),0))&gt;=100,100,(Backdoors!AI12+IF(GP9&gt;=0.45,VLOOKUP(Calculator!E23,tbSkills!DH3:DI6,2,FALSE)+IF(AND(Calculator!B8=TRUE,Backdoors!BI31=TRUE),VLOOKUP(Calculator!E23,tbSkills!DH3:DJ6,3,FALSE),0),0)))/100)),1),1)</f>
        <v>0.5</v>
      </c>
      <c r="GV9" s="87">
        <f t="shared" si="21"/>
        <v>0</v>
      </c>
      <c r="GW9" s="86" t="str">
        <f>IFERROR(IF(VLOOKUP(A9,tbMoveset!A2:B112,2,FALSE)="Sever",Backdoors!AY32/100,IF(VLOOKUP(A9,tbMoveset!A2:B112,2,FALSE)="Blunt",Backdoors!AZ32/100,Backdoors!BA32/100)),"")</f>
        <v/>
      </c>
      <c r="GX9" s="49">
        <f>IFERROR(IF(VLOOKUP(tbMoveset!A9,tbMoveset!A2:H112,8,FALSE)="Other",IF(VLOOKUP(tbMoveset!A9,tbMoveset!A2:I112,9,FALSE)="Fire",Backdoors!BB32,IF(VLOOKUP(tbMoveset!A9,tbMoveset!A2:I112,9,FALSE)="Water",Backdoors!BC32,IF(VLOOKUP(tbMoveset!A9,tbMoveset!A2:I112,9,FALSE)="Thunder",Backdoors!BD32,IF(VLOOKUP(tbMoveset!A9,tbMoveset!A2:I112,9,FALSE)="Ice",Backdoors!BE32,IF(VLOOKUP(tbMoveset!A9,tbMoveset!A2:I112,9,FALSE)="Dragon",Backdoors!BF32,Backdoors!BG32)))))/100,Backdoors!BG32/100),"")</f>
        <v>0</v>
      </c>
      <c r="GY9" s="49">
        <f>IFERROR(IF(VLOOKUP(A9,tbMoveset!A2:J112,10,FALSE)=TRUE,IF((Backdoors!AI12+IF(GW9&gt;=0.45,VLOOKUP(Calculator!E23,tbSkills!DH3:DI6,2,FALSE)+IF(AND(Calculator!B8=TRUE,Backdoors!BI32=TRUE),VLOOKUP(Calculator!E23,tbSkills!DH3:DJ6,3,FALSE),0),0))&gt;=0,1+(Backdoors!AL2*(IF((Backdoors!AI12+IF(GW9&gt;=0.45,VLOOKUP(Calculator!E23,tbSkills!DH3:DI6,2,FALSE)+IF(AND(Calculator!B8=TRUE,Backdoors!BI32=TRUE),VLOOKUP(Calculator!E23,tbSkills!DH3:DJ6,3,FALSE),0),0))&gt;=100,100,(Backdoors!AI12+IF(GW9&gt;=0.45,VLOOKUP(Calculator!E23,tbSkills!DH3:DI6,2,FALSE)+IF(AND(Calculator!B8=TRUE,Backdoors!BI32=TRUE),VLOOKUP(Calculator!E23,tbSkills!DH3:DJ6,3,FALSE),0),0)))/100)),(1-(0.25*((-Backdoors!AI12-IF(GW9&gt;=0.45,VLOOKUP(Calculator!E23,tbSkills!DH3:DI6,2,FALSE)+IF(AND(Calculator!B8=TRUE,Backdoors!BI32=TRUE),VLOOKUP(Calculator!E23,tbSkills!DH3:DJ6,3,FALSE),0),0))/100)))),1),"")</f>
        <v>1</v>
      </c>
      <c r="GZ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W9)*GY9)*(VLOOKUP(A9,tbMoveset!A2:C112,3,FALSE)/100)*IF(VLOOKUP(A9,tbMoveset!A2:B112,2,FALSE)="Projectile",Backdoors!N10,Backdoors!N9),0),"")</f>
        <v/>
      </c>
      <c r="HA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W9&gt;=0.45,VLOOKUP(Calculator!E23,tbSkills!DH3:DI6,2,FALSE)+IF(AND(Calculator!B8=TRUE,Backdoors!BI32=TRUE),VLOOKUP(Calculator!E23,tbSkills!DH3:DJ6,3,FALSE),0),0))&gt;=100,100,(Backdoors!AI12+IF(GW9&gt;=0.45,VLOOKUP(Calculator!E23,tbSkills!DH3:DI6,2,FALSE)+IF(AND(Calculator!B8=TRUE,Backdoors!BI32=TRUE),VLOOKUP(Calculator!E23,tbSkills!DH3:DJ6,3,FALSE),0),0)))/100)),1))*IF(VLOOKUP(A9,tbMoveset!A2:K112,11,FALSE)=TRUE,Backdoors!AC5,1))*GX9,0),"")</f>
        <v>0</v>
      </c>
      <c r="HB9" s="49">
        <f>VLOOKUP(A9,tbMoveset!A2:G112,7,FALSE)*IFERROR(IF(Backdoors!AI12&gt;=0,1+(IF(Calculator!E40&gt;0,VLOOKUP(Calculator!E40,tbSkills!AI3:AJ5,2,FALSE),Backdoors!AL4)*(IF((Backdoors!AI12+IF(GW9&gt;=0.45,VLOOKUP(Calculator!E23,tbSkills!DH3:DI6,2,FALSE)+IF(AND(Calculator!B8=TRUE,Backdoors!BI32=TRUE),VLOOKUP(Calculator!E23,tbSkills!DH3:DJ6,3,FALSE),0),0))&gt;=100,100,(Backdoors!AI12+IF(GW9&gt;=0.45,VLOOKUP(Calculator!E23,tbSkills!DH3:DI6,2,FALSE)+IF(AND(Calculator!B8=TRUE,Backdoors!BI32=TRUE),VLOOKUP(Calculator!E23,tbSkills!DH3:DJ6,3,FALSE),0),0)))/100)),1),1)</f>
        <v>0.5</v>
      </c>
      <c r="HC9" s="87">
        <f t="shared" si="22"/>
        <v>0</v>
      </c>
      <c r="HD9" s="86" t="str">
        <f>IFERROR(IF(VLOOKUP(A9,tbMoveset!A2:B112,2,FALSE)="Sever",Backdoors!AY33/100,IF(VLOOKUP(A9,tbMoveset!A2:B112,2,FALSE)="Blunt",Backdoors!AZ33/100,Backdoors!BA33/100)),"")</f>
        <v/>
      </c>
      <c r="HE9" s="49">
        <f>IFERROR(IF(VLOOKUP(tbMoveset!A9,tbMoveset!A2:H112,8,FALSE)="Other",IF(VLOOKUP(tbMoveset!A9,tbMoveset!A2:I112,9,FALSE)="Fire",Backdoors!BB33,IF(VLOOKUP(tbMoveset!A9,tbMoveset!A2:I112,9,FALSE)="Water",Backdoors!BC33,IF(VLOOKUP(tbMoveset!A9,tbMoveset!A2:I112,9,FALSE)="Thunder",Backdoors!BD33,IF(VLOOKUP(tbMoveset!A9,tbMoveset!A2:I112,9,FALSE)="Ice",Backdoors!BE33,IF(VLOOKUP(tbMoveset!A9,tbMoveset!A2:I112,9,FALSE)="Dragon",Backdoors!BF33,Backdoors!BG33)))))/100,Backdoors!BG33/100),"")</f>
        <v>0</v>
      </c>
      <c r="HF9" s="49">
        <f>IFERROR(IF(VLOOKUP(A9,tbMoveset!A2:J112,10,FALSE)=TRUE,IF((Backdoors!AI12+IF(HD9&gt;=0.45,VLOOKUP(Calculator!E23,tbSkills!DH3:DI6,2,FALSE)+IF(AND(Calculator!B8=TRUE,Backdoors!BI33=TRUE),VLOOKUP(Calculator!E23,tbSkills!DH3:DJ6,3,FALSE),0),0))&gt;=0,1+(Backdoors!AL2*(IF((Backdoors!AI12+IF(HD9&gt;=0.45,VLOOKUP(Calculator!E23,tbSkills!DH3:DI6,2,FALSE)+IF(AND(Calculator!B8=TRUE,Backdoors!BI33=TRUE),VLOOKUP(Calculator!E23,tbSkills!DH3:DJ6,3,FALSE),0),0))&gt;=100,100,(Backdoors!AI12+IF(HD9&gt;=0.45,VLOOKUP(Calculator!E23,tbSkills!DH3:DI6,2,FALSE)+IF(AND(Calculator!B8=TRUE,Backdoors!BI33=TRUE),VLOOKUP(Calculator!E23,tbSkills!DH3:DJ6,3,FALSE),0),0)))/100)),(1-(0.25*((-Backdoors!AI12-IF(HD9&gt;=0.45,VLOOKUP(Calculator!E23,tbSkills!DH3:DI6,2,FALSE)+IF(AND(Calculator!B8=TRUE,Backdoors!BI33=TRUE),VLOOKUP(Calculator!E23,tbSkills!DH3:DJ6,3,FALSE),0),0))/100)))),1),"")</f>
        <v>1</v>
      </c>
      <c r="HG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D9)*HF9)*(VLOOKUP(A9,tbMoveset!A2:C112,3,FALSE)/100)*IF(VLOOKUP(A9,tbMoveset!A2:B112,2,FALSE)="Projectile",Backdoors!N10,Backdoors!N9),0),"")</f>
        <v/>
      </c>
      <c r="HH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D9&gt;=0.45,VLOOKUP(Calculator!E23,tbSkills!DH3:DI6,2,FALSE)+IF(AND(Calculator!B8=TRUE,Backdoors!BI33=TRUE),VLOOKUP(Calculator!E23,tbSkills!DH3:DJ6,3,FALSE),0),0))&gt;=100,100,(Backdoors!AI12+IF(HD9&gt;=0.45,VLOOKUP(Calculator!E23,tbSkills!DH3:DI6,2,FALSE)+IF(AND(Calculator!B8=TRUE,Backdoors!BI33=TRUE),VLOOKUP(Calculator!E23,tbSkills!DH3:DJ6,3,FALSE),0),0)))/100)),1))*IF(VLOOKUP(A9,tbMoveset!A2:K112,11,FALSE)=TRUE,Backdoors!AC5,1))*HE9,0),"")</f>
        <v>0</v>
      </c>
      <c r="HI9" s="49">
        <f>VLOOKUP(A9,tbMoveset!A2:G112,7,FALSE)*IFERROR(IF(Backdoors!AI12&gt;=0,1+(IF(Calculator!E40&gt;0,VLOOKUP(Calculator!E40,tbSkills!AI3:AJ5,2,FALSE),Backdoors!AL4)*(IF((Backdoors!AI12+IF(HD9&gt;=0.45,VLOOKUP(Calculator!E23,tbSkills!DH3:DI6,2,FALSE)+IF(AND(Calculator!B8=TRUE,Backdoors!BI33=TRUE),VLOOKUP(Calculator!E23,tbSkills!DH3:DJ6,3,FALSE),0),0))&gt;=100,100,(Backdoors!AI12+IF(HD9&gt;=0.45,VLOOKUP(Calculator!E23,tbSkills!DH3:DI6,2,FALSE)+IF(AND(Calculator!B8=TRUE,Backdoors!BI33=TRUE),VLOOKUP(Calculator!E23,tbSkills!DH3:DJ6,3,FALSE),0),0)))/100)),1),1)</f>
        <v>0.5</v>
      </c>
      <c r="HJ9" s="87">
        <f t="shared" si="23"/>
        <v>0</v>
      </c>
      <c r="HK9" s="86" t="str">
        <f>IFERROR(IF(VLOOKUP(A9,tbMoveset!A2:B112,2,FALSE)="Sever",Backdoors!AY34/100,IF(VLOOKUP(A9,tbMoveset!A2:B112,2,FALSE)="Blunt",Backdoors!AZ34/100,Backdoors!BA34/100)),"")</f>
        <v/>
      </c>
      <c r="HL9" s="49">
        <f>IFERROR(IF(VLOOKUP(tbMoveset!A9,tbMoveset!A2:H112,8,FALSE)="Other",IF(VLOOKUP(tbMoveset!A9,tbMoveset!A2:I112,9,FALSE)="Fire",Backdoors!BB34,IF(VLOOKUP(tbMoveset!A9,tbMoveset!A2:I112,9,FALSE)="Water",Backdoors!BC34,IF(VLOOKUP(tbMoveset!A9,tbMoveset!A2:I112,9,FALSE)="Thunder",Backdoors!BD34,IF(VLOOKUP(tbMoveset!A9,tbMoveset!A2:I112,9,FALSE)="Ice",Backdoors!BE34,IF(VLOOKUP(tbMoveset!A9,tbMoveset!A2:I112,9,FALSE)="Dragon",Backdoors!BF34,Backdoors!BG34)))))/100,Backdoors!BG34/100),"")</f>
        <v>0</v>
      </c>
      <c r="HM9" s="49">
        <f>IFERROR(IF(VLOOKUP(A9,tbMoveset!A2:J112,10,FALSE)=TRUE,IF((Backdoors!AI12+IF(HK9&gt;=0.45,VLOOKUP(Calculator!E23,tbSkills!DH3:DI6,2,FALSE)+IF(AND(Calculator!B8=TRUE,Backdoors!BI34=TRUE),VLOOKUP(Calculator!E23,tbSkills!DH3:DJ6,3,FALSE),0),0))&gt;=0,1+(Backdoors!AL2*(IF((Backdoors!AI12+IF(HK9&gt;=0.45,VLOOKUP(Calculator!E23,tbSkills!DH3:DI6,2,FALSE)+IF(AND(Calculator!B8=TRUE,Backdoors!BI34=TRUE),VLOOKUP(Calculator!E23,tbSkills!DH3:DJ6,3,FALSE),0),0))&gt;=100,100,(Backdoors!AI12+IF(HK9&gt;=0.45,VLOOKUP(Calculator!E23,tbSkills!DH3:DI6,2,FALSE)+IF(AND(Calculator!B8=TRUE,Backdoors!BI34=TRUE),VLOOKUP(Calculator!E23,tbSkills!DH3:DJ6,3,FALSE),0),0)))/100)),(1-(0.25*((-Backdoors!AI12-IF(HK9&gt;=0.45,VLOOKUP(Calculator!E23,tbSkills!DH3:DI6,2,FALSE)+IF(AND(Calculator!B8=TRUE,Backdoors!BI34=TRUE),VLOOKUP(Calculator!E23,tbSkills!DH3:DJ6,3,FALSE),0),0))/100)))),1),"")</f>
        <v>1</v>
      </c>
      <c r="HN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K9)*HM9)*(VLOOKUP(A9,tbMoveset!A2:C112,3,FALSE)/100)*IF(VLOOKUP(A9,tbMoveset!A2:B112,2,FALSE)="Projectile",Backdoors!N10,Backdoors!N9),0),"")</f>
        <v/>
      </c>
      <c r="HO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K9&gt;=0.45,VLOOKUP(Calculator!E23,tbSkills!DH3:DI6,2,FALSE)+IF(AND(Calculator!B8=TRUE,Backdoors!BI34=TRUE),VLOOKUP(Calculator!E23,tbSkills!DH3:DJ6,3,FALSE),0),0))&gt;=100,100,(Backdoors!AI12+IF(HK9&gt;=0.45,VLOOKUP(Calculator!E23,tbSkills!DH3:DI6,2,FALSE)+IF(AND(Calculator!B8=TRUE,Backdoors!BI34=TRUE),VLOOKUP(Calculator!E23,tbSkills!DH3:DJ6,3,FALSE),0),0)))/100)),1))*IF(VLOOKUP(A9,tbMoveset!A2:K112,11,FALSE)=TRUE,Backdoors!AC5,1))*HL9,0),"")</f>
        <v>0</v>
      </c>
      <c r="HP9" s="49">
        <f>VLOOKUP(A9,tbMoveset!A2:G112,7,FALSE)*IFERROR(IF(Backdoors!AI12&gt;=0,1+(IF(Calculator!E40&gt;0,VLOOKUP(Calculator!E40,tbSkills!AI3:AJ5,2,FALSE),Backdoors!AL4)*(IF((Backdoors!AI12+IF(HK9&gt;=0.45,VLOOKUP(Calculator!E23,tbSkills!DH3:DI6,2,FALSE)+IF(AND(Calculator!B8=TRUE,Backdoors!BI34=TRUE),VLOOKUP(Calculator!E23,tbSkills!DH3:DJ6,3,FALSE),0),0))&gt;=100,100,(Backdoors!AI12+IF(HK9&gt;=0.45,VLOOKUP(Calculator!E23,tbSkills!DH3:DI6,2,FALSE)+IF(AND(Calculator!B8=TRUE,Backdoors!BI34=TRUE),VLOOKUP(Calculator!E23,tbSkills!DH3:DJ6,3,FALSE),0),0)))/100)),1),1)</f>
        <v>0.5</v>
      </c>
      <c r="HQ9" s="87">
        <f t="shared" si="24"/>
        <v>0</v>
      </c>
      <c r="HR9" s="86" t="str">
        <f>IFERROR(IF(VLOOKUP(A9,tbMoveset!A2:B112,2,FALSE)="Sever",Backdoors!AY35/100,IF(VLOOKUP(A9,tbMoveset!A2:B112,2,FALSE)="Blunt",Backdoors!AZ35/100,Backdoors!BA35/100)),"")</f>
        <v/>
      </c>
      <c r="HS9" s="49">
        <f>IFERROR(IF(VLOOKUP(tbMoveset!A9,tbMoveset!A2:H112,8,FALSE)="Other",IF(VLOOKUP(tbMoveset!A9,tbMoveset!A2:I112,9,FALSE)="Fire",Backdoors!BB35,IF(VLOOKUP(tbMoveset!A9,tbMoveset!A2:I112,9,FALSE)="Water",Backdoors!BC35,IF(VLOOKUP(tbMoveset!A9,tbMoveset!A2:I112,9,FALSE)="Thunder",Backdoors!BD35,IF(VLOOKUP(tbMoveset!A9,tbMoveset!A2:I112,9,FALSE)="Ice",Backdoors!BE35,IF(VLOOKUP(tbMoveset!A9,tbMoveset!A2:I112,9,FALSE)="Dragon",Backdoors!BF35,Backdoors!BG35)))))/100,Backdoors!BG35/100),"")</f>
        <v>0</v>
      </c>
      <c r="HT9" s="49">
        <f>IFERROR(IF(VLOOKUP(A9,tbMoveset!A2:J112,10,FALSE)=TRUE,IF((Backdoors!AI12+IF(HR9&gt;=0.45,VLOOKUP(Calculator!E23,tbSkills!DH3:DI6,2,FALSE)+IF(AND(Calculator!B8=TRUE,Backdoors!BI35=TRUE),VLOOKUP(Calculator!E23,tbSkills!DH3:DJ6,3,FALSE),0),0))&gt;=0,1+(Backdoors!AL2*(IF((Backdoors!AI12+IF(HR9&gt;=0.45,VLOOKUP(Calculator!E23,tbSkills!DH3:DI6,2,FALSE)+IF(AND(Calculator!B8=TRUE,Backdoors!BI35=TRUE),VLOOKUP(Calculator!E23,tbSkills!DH3:DJ6,3,FALSE),0),0))&gt;=100,100,(Backdoors!AI12+IF(HR9&gt;=0.45,VLOOKUP(Calculator!E23,tbSkills!DH3:DI6,2,FALSE)+IF(AND(Calculator!B8=TRUE,Backdoors!BI35=TRUE),VLOOKUP(Calculator!E23,tbSkills!DH3:DJ6,3,FALSE),0),0)))/100)),(1-(0.25*((-Backdoors!AI12-IF(HR9&gt;=0.45,VLOOKUP(Calculator!E23,tbSkills!DH3:DI6,2,FALSE)+IF(AND(Calculator!B8=TRUE,Backdoors!BI35=TRUE),VLOOKUP(Calculator!E23,tbSkills!DH3:DJ6,3,FALSE),0),0))/100)))),1),"")</f>
        <v>1</v>
      </c>
      <c r="HU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R9)*HT9)*(VLOOKUP(A9,tbMoveset!A2:C112,3,FALSE)/100)*IF(VLOOKUP(A9,tbMoveset!A2:B112,2,FALSE)="Projectile",Backdoors!N10,Backdoors!N9),0),"")</f>
        <v/>
      </c>
      <c r="HV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R9&gt;=0.45,VLOOKUP(Calculator!E23,tbSkills!DH3:DI6,2,FALSE)+IF(AND(Calculator!B8=TRUE,Backdoors!BI35=TRUE),VLOOKUP(Calculator!E23,tbSkills!DH3:DJ6,3,FALSE),0),0))&gt;=100,100,(Backdoors!AI12+IF(HR9&gt;=0.45,VLOOKUP(Calculator!E23,tbSkills!DH3:DI6,2,FALSE)+IF(AND(Calculator!B8=TRUE,Backdoors!BI35=TRUE),VLOOKUP(Calculator!E23,tbSkills!DH3:DJ6,3,FALSE),0),0)))/100)),1))*IF(VLOOKUP(A9,tbMoveset!A2:K112,11,FALSE)=TRUE,Backdoors!AC5,1))*HS9,0),"")</f>
        <v>0</v>
      </c>
      <c r="HW9" s="49">
        <f>VLOOKUP(A9,tbMoveset!A2:G112,7,FALSE)*IFERROR(IF(Backdoors!AI12&gt;=0,1+(IF(Calculator!E40&gt;0,VLOOKUP(Calculator!E40,tbSkills!AI3:AJ5,2,FALSE),Backdoors!AL4)*(IF((Backdoors!AI12+IF(HR9&gt;=0.45,VLOOKUP(Calculator!E23,tbSkills!DH3:DI6,2,FALSE)+IF(AND(Calculator!B8=TRUE,Backdoors!BI35=TRUE),VLOOKUP(Calculator!E23,tbSkills!DH3:DJ6,3,FALSE),0),0))&gt;=100,100,(Backdoors!AI12+IF(HR9&gt;=0.45,VLOOKUP(Calculator!E23,tbSkills!DH3:DI6,2,FALSE)+IF(AND(Calculator!B8=TRUE,Backdoors!BI35=TRUE),VLOOKUP(Calculator!E23,tbSkills!DH3:DJ6,3,FALSE),0),0)))/100)),1),1)</f>
        <v>0.5</v>
      </c>
      <c r="HX9" s="87">
        <f t="shared" si="25"/>
        <v>0</v>
      </c>
      <c r="HY9" s="86" t="str">
        <f>IFERROR(IF(VLOOKUP(A9,tbMoveset!A2:B112,2,FALSE)="Sever",Backdoors!AY36/100,IF(VLOOKUP(A9,tbMoveset!A2:B112,2,FALSE)="Blunt",Backdoors!AZ36/100,Backdoors!BA36/100)),"")</f>
        <v/>
      </c>
      <c r="HZ9" s="49">
        <f>IFERROR(IF(VLOOKUP(tbMoveset!A9,tbMoveset!A2:H112,8,FALSE)="Other",IF(VLOOKUP(tbMoveset!A9,tbMoveset!A2:I112,9,FALSE)="Fire",Backdoors!BB36,IF(VLOOKUP(tbMoveset!A9,tbMoveset!A2:I112,9,FALSE)="Water",Backdoors!BC36,IF(VLOOKUP(tbMoveset!A9,tbMoveset!A2:I112,9,FALSE)="Thunder",Backdoors!BD36,IF(VLOOKUP(tbMoveset!A9,tbMoveset!A2:I112,9,FALSE)="Ice",Backdoors!BE36,IF(VLOOKUP(tbMoveset!A9,tbMoveset!A2:I112,9,FALSE)="Dragon",Backdoors!BF36,Backdoors!BG36)))))/100,Backdoors!BG36/100),"")</f>
        <v>0</v>
      </c>
      <c r="IA9" s="49">
        <f>IFERROR(IF(VLOOKUP(A9,tbMoveset!A2:J112,10,FALSE)=TRUE,IF((Backdoors!AI12+IF(HY9&gt;=0.45,VLOOKUP(Calculator!E23,tbSkills!DH3:DI6,2,FALSE)+IF(AND(Calculator!B8=TRUE,Backdoors!BI36=TRUE),VLOOKUP(Calculator!E23,tbSkills!DH3:DJ6,3,FALSE),0),0))&gt;=0,1+(Backdoors!AL2*(IF((Backdoors!AI12+IF(HY9&gt;=0.45,VLOOKUP(Calculator!E23,tbSkills!DH3:DI6,2,FALSE)+IF(AND(Calculator!B8=TRUE,Backdoors!BI36=TRUE),VLOOKUP(Calculator!E23,tbSkills!DH3:DJ6,3,FALSE),0),0))&gt;=100,100,(Backdoors!AI12+IF(HY9&gt;=0.45,VLOOKUP(Calculator!E23,tbSkills!DH3:DI6,2,FALSE)+IF(AND(Calculator!B8=TRUE,Backdoors!BI36=TRUE),VLOOKUP(Calculator!E23,tbSkills!DH3:DJ6,3,FALSE),0),0)))/100)),(1-(0.25*((-Backdoors!AI12-IF(HY9&gt;=0.45,VLOOKUP(Calculator!E23,tbSkills!DH3:DI6,2,FALSE)+IF(AND(Calculator!B8=TRUE,Backdoors!BI36=TRUE),VLOOKUP(Calculator!E23,tbSkills!DH3:DJ6,3,FALSE),0),0))/100)))),1),"")</f>
        <v>1</v>
      </c>
      <c r="IB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Y9)*IA9)*(VLOOKUP(A9,tbMoveset!A2:C112,3,FALSE)/100)*IF(VLOOKUP(A9,tbMoveset!A2:B112,2,FALSE)="Projectile",Backdoors!N10,Backdoors!N9),0),"")</f>
        <v/>
      </c>
      <c r="IC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Y9&gt;=0.45,VLOOKUP(Calculator!E23,tbSkills!DH3:DI6,2,FALSE)+IF(AND(Calculator!B8=TRUE,Backdoors!BI36=TRUE),VLOOKUP(Calculator!E23,tbSkills!DH3:DJ6,3,FALSE),0),0))&gt;=100,100,(Backdoors!AI12+IF(HY9&gt;=0.45,VLOOKUP(Calculator!E23,tbSkills!DH3:DI6,2,FALSE)+IF(AND(Calculator!B8=TRUE,Backdoors!BI36=TRUE),VLOOKUP(Calculator!E23,tbSkills!DH3:DJ6,3,FALSE),0),0)))/100)),1))*IF(VLOOKUP(A9,tbMoveset!A2:K112,11,FALSE)=TRUE,Backdoors!AC5,1))*HZ9,0),"")</f>
        <v>0</v>
      </c>
      <c r="ID9" s="49">
        <f>VLOOKUP(A9,tbMoveset!A2:G112,7,FALSE)*IFERROR(IF(Backdoors!AI12&gt;=0,1+(IF(Calculator!E40&gt;0,VLOOKUP(Calculator!E40,tbSkills!AI3:AJ5,2,FALSE),Backdoors!AL4)*(IF((Backdoors!AI12+IF(HY9&gt;=0.45,VLOOKUP(Calculator!E23,tbSkills!DH3:DI6,2,FALSE)+IF(AND(Calculator!B8=TRUE,Backdoors!BI36=TRUE),VLOOKUP(Calculator!E23,tbSkills!DH3:DJ6,3,FALSE),0),0))&gt;=100,100,(Backdoors!AI12+IF(HY9&gt;=0.45,VLOOKUP(Calculator!E23,tbSkills!DH3:DI6,2,FALSE)+IF(AND(Calculator!B8=TRUE,Backdoors!BI36=TRUE),VLOOKUP(Calculator!E23,tbSkills!DH3:DJ6,3,FALSE),0),0)))/100)),1),1)</f>
        <v>0.5</v>
      </c>
      <c r="IE9" s="87">
        <f t="shared" si="26"/>
        <v>0</v>
      </c>
      <c r="IF9" s="86" t="str">
        <f>IFERROR(IF(VLOOKUP(A9,tbMoveset!A2:B112,2,FALSE)="Sever",Backdoors!AY37/100,IF(VLOOKUP(A9,tbMoveset!A2:B112,2,FALSE)="Blunt",Backdoors!AZ37/100,Backdoors!BA37/100)),"")</f>
        <v/>
      </c>
      <c r="IG9" s="49">
        <f>IFERROR(IF(VLOOKUP(tbMoveset!A9,tbMoveset!A2:H112,8,FALSE)="Other",IF(VLOOKUP(tbMoveset!A9,tbMoveset!A2:I112,9,FALSE)="Fire",Backdoors!BB37,IF(VLOOKUP(tbMoveset!A9,tbMoveset!A2:I112,9,FALSE)="Water",Backdoors!BC37,IF(VLOOKUP(tbMoveset!A9,tbMoveset!A2:I112,9,FALSE)="Thunder",Backdoors!BD37,IF(VLOOKUP(tbMoveset!A9,tbMoveset!A2:I112,9,FALSE)="Ice",Backdoors!BE37,IF(VLOOKUP(tbMoveset!A9,tbMoveset!A2:I112,9,FALSE)="Dragon",Backdoors!BF37,Backdoors!BG37)))))/100,Backdoors!BG37/100),"")</f>
        <v>0</v>
      </c>
      <c r="IH9" s="49">
        <f>IFERROR(IF(VLOOKUP(A9,tbMoveset!A2:J112,10,FALSE)=TRUE,IF((Backdoors!AI12+IF(IF9&gt;=0.45,VLOOKUP(Calculator!E23,tbSkills!DH3:DI6,2,FALSE)+IF(AND(Calculator!B8=TRUE,Backdoors!BI37=TRUE),VLOOKUP(Calculator!E23,tbSkills!DH3:DJ6,3,FALSE),0),0))&gt;=0,1+(Backdoors!AL2*(IF((Backdoors!AI12+IF(IF9&gt;=0.45,VLOOKUP(Calculator!E23,tbSkills!DH3:DI6,2,FALSE)+IF(AND(Calculator!B8=TRUE,Backdoors!BI37=TRUE),VLOOKUP(Calculator!E23,tbSkills!DH3:DJ6,3,FALSE),0),0))&gt;=100,100,(Backdoors!AI12+IF(IF9&gt;=0.45,VLOOKUP(Calculator!E23,tbSkills!DH3:DI6,2,FALSE)+IF(AND(Calculator!B8=TRUE,Backdoors!BI37=TRUE),VLOOKUP(Calculator!E23,tbSkills!DH3:DJ6,3,FALSE),0),0)))/100)),(1-(0.25*((-Backdoors!AI12-IF(IF9&gt;=0.45,VLOOKUP(Calculator!E23,tbSkills!DH3:DI6,2,FALSE)+IF(AND(Calculator!B8=TRUE,Backdoors!BI37=TRUE),VLOOKUP(Calculator!E23,tbSkills!DH3:DJ6,3,FALSE),0),0))/100)))),1),"")</f>
        <v>1</v>
      </c>
      <c r="II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F9)*IH9)*(VLOOKUP(A9,tbMoveset!A2:C112,3,FALSE)/100)*IF(VLOOKUP(A9,tbMoveset!A2:B112,2,FALSE)="Projectile",Backdoors!N10,Backdoors!N9),0),"")</f>
        <v/>
      </c>
      <c r="IJ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IF9&gt;=0.45,VLOOKUP(Calculator!E23,tbSkills!DH3:DI6,2,FALSE)+IF(AND(Calculator!B8=TRUE,Backdoors!BI37=TRUE),VLOOKUP(Calculator!E23,tbSkills!DH3:DJ6,3,FALSE),0),0))&gt;=100,100,(Backdoors!AI12+IF(IF9&gt;=0.45,VLOOKUP(Calculator!E23,tbSkills!DH3:DI6,2,FALSE)+IF(AND(Calculator!B8=TRUE,Backdoors!BI37=TRUE),VLOOKUP(Calculator!E23,tbSkills!DH3:DJ6,3,FALSE),0),0)))/100)),1))*IF(VLOOKUP(A9,tbMoveset!A2:K112,11,FALSE)=TRUE,Backdoors!AC5,1))*IG9,0),"")</f>
        <v>0</v>
      </c>
      <c r="IK9" s="49">
        <f>VLOOKUP(A9,tbMoveset!A2:G112,7,FALSE)*IFERROR(IF(Backdoors!AI12&gt;=0,1+(IF(Calculator!E40&gt;0,VLOOKUP(Calculator!E40,tbSkills!AI3:AJ5,2,FALSE),Backdoors!AL4)*(IF((Backdoors!AI12+IF(IF9&gt;=0.45,VLOOKUP(Calculator!E23,tbSkills!DH3:DI6,2,FALSE)+IF(AND(Calculator!B8=TRUE,Backdoors!BI37=TRUE),VLOOKUP(Calculator!E23,tbSkills!DH3:DJ6,3,FALSE),0),0))&gt;=100,100,(Backdoors!AI12+IF(IF9&gt;=0.45,VLOOKUP(Calculator!E23,tbSkills!DH3:DI6,2,FALSE)+IF(AND(Calculator!B8=TRUE,Backdoors!BI37=TRUE),VLOOKUP(Calculator!E23,tbSkills!DH3:DJ6,3,FALSE),0),0)))/100)),1),1)</f>
        <v>0.5</v>
      </c>
      <c r="IL9" s="87">
        <f t="shared" si="27"/>
        <v>0</v>
      </c>
      <c r="IM9" s="86" t="str">
        <f>IFERROR(IF(VLOOKUP(A9,tbMoveset!A2:B112,2,FALSE)="Sever",Backdoors!AY38/100,IF(VLOOKUP(A9,tbMoveset!A2:B112,2,FALSE)="Blunt",Backdoors!AZ38/100,Backdoors!BA38/100)),"")</f>
        <v/>
      </c>
      <c r="IN9" s="49">
        <f>IFERROR(IF(VLOOKUP(tbMoveset!A9,tbMoveset!A2:H112,8,FALSE)="Other",IF(VLOOKUP(tbMoveset!A9,tbMoveset!A2:I112,9,FALSE)="Fire",Backdoors!BB38,IF(VLOOKUP(tbMoveset!A9,tbMoveset!A2:I112,9,FALSE)="Water",Backdoors!BC38,IF(VLOOKUP(tbMoveset!A9,tbMoveset!A2:I112,9,FALSE)="Thunder",Backdoors!BD38,IF(VLOOKUP(tbMoveset!A9,tbMoveset!A2:I112,9,FALSE)="Ice",Backdoors!BE38,IF(VLOOKUP(tbMoveset!A9,tbMoveset!A2:I112,9,FALSE)="Dragon",Backdoors!BF38,Backdoors!BG38)))))/100,Backdoors!BG38/100),"")</f>
        <v>0</v>
      </c>
      <c r="IO9" s="49">
        <f>IFERROR(IF(VLOOKUP(A9,tbMoveset!A2:J112,10,FALSE)=TRUE,IF((Backdoors!AI12+IF(IM9&gt;=0.45,VLOOKUP(Calculator!E23,tbSkills!DH3:DI6,2,FALSE)+IF(AND(Calculator!B8=TRUE,Backdoors!BI38=TRUE),VLOOKUP(Calculator!E23,tbSkills!DH3:DJ6,3,FALSE),0),0))&gt;=0,1+(Backdoors!AL2*(IF((Backdoors!AI12+IF(IM9&gt;=0.45,VLOOKUP(Calculator!E23,tbSkills!DH3:DI6,2,FALSE)+IF(AND(Calculator!B8=TRUE,Backdoors!BI38=TRUE),VLOOKUP(Calculator!E23,tbSkills!DH3:DJ6,3,FALSE),0),0))&gt;=100,100,(Backdoors!AI12+IF(IM9&gt;=0.45,VLOOKUP(Calculator!E23,tbSkills!DH3:DI6,2,FALSE)+IF(AND(Calculator!B8=TRUE,Backdoors!BI38=TRUE),VLOOKUP(Calculator!E23,tbSkills!DH3:DJ6,3,FALSE),0),0)))/100)),(1-(0.25*((-Backdoors!AI12-IF(IM9&gt;=0.45,VLOOKUP(Calculator!E23,tbSkills!DH3:DI6,2,FALSE)+IF(AND(Calculator!B8=TRUE,Backdoors!BI38=TRUE),VLOOKUP(Calculator!E23,tbSkills!DH3:DJ6,3,FALSE),0),0))/100)))),1),"")</f>
        <v>1</v>
      </c>
      <c r="IP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M9)*IO9)*(VLOOKUP(A9,tbMoveset!A2:C112,3,FALSE)/100)*IF(VLOOKUP(A9,tbMoveset!A2:B112,2,FALSE)="Projectile",Backdoors!N10,Backdoors!N9),0),"")</f>
        <v/>
      </c>
      <c r="IQ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IM9&gt;=0.45,VLOOKUP(Calculator!E23,tbSkills!DH3:DI6,2,FALSE)+IF(AND(Calculator!B8=TRUE,Backdoors!BI38=TRUE),VLOOKUP(Calculator!E23,tbSkills!DH3:DJ6,3,FALSE),0),0))&gt;=100,100,(Backdoors!AI12+IF(IM9&gt;=0.45,VLOOKUP(Calculator!E23,tbSkills!DH3:DI6,2,FALSE)+IF(AND(Calculator!B8=TRUE,Backdoors!BI38=TRUE),VLOOKUP(Calculator!E23,tbSkills!DH3:DJ6,3,FALSE),0),0)))/100)),1))*IF(VLOOKUP(A9,tbMoveset!A2:K112,11,FALSE)=TRUE,Backdoors!AC5,1))*IN9,0),"")</f>
        <v>0</v>
      </c>
      <c r="IR9" s="49">
        <f>VLOOKUP(A9,tbMoveset!A2:G112,7,FALSE)*IFERROR(IF(Backdoors!AI12&gt;=0,1+(IF(Calculator!E40&gt;0,VLOOKUP(Calculator!E40,tbSkills!AI3:AJ5,2,FALSE),Backdoors!AL4)*(IF((Backdoors!AI12+IF(IM9&gt;=0.45,VLOOKUP(Calculator!E23,tbSkills!DH3:DI6,2,FALSE)+IF(AND(Calculator!B8=TRUE,Backdoors!BI38=TRUE),VLOOKUP(Calculator!E23,tbSkills!DH3:DJ6,3,FALSE),0),0))&gt;=100,100,(Backdoors!AI12+IF(IM9&gt;=0.45,VLOOKUP(Calculator!E23,tbSkills!DH3:DI6,2,FALSE)+IF(AND(Calculator!B8=TRUE,Backdoors!BI38=TRUE),VLOOKUP(Calculator!E23,tbSkills!DH3:DJ6,3,FALSE),0),0)))/100)),1),1)</f>
        <v>0.5</v>
      </c>
      <c r="IS9" s="87">
        <f t="shared" si="42"/>
        <v>0</v>
      </c>
      <c r="IT9" s="86" t="str">
        <f>IFERROR(IF(VLOOKUP(A9,tbMoveset!A2:B112,2,FALSE)="Sever",Backdoors!AY39/100,IF(VLOOKUP(A9,tbMoveset!A2:B112,2,FALSE)="Blunt",Backdoors!AZ39/100,Backdoors!BA39/100)),"")</f>
        <v/>
      </c>
      <c r="IU9" s="49">
        <f>IFERROR(IF(VLOOKUP(tbMoveset!A9,tbMoveset!A2:H112,8,FALSE)="Other",IF(VLOOKUP(tbMoveset!A9,tbMoveset!A2:I112,9,FALSE)="Fire",Backdoors!BB39,IF(VLOOKUP(tbMoveset!A9,tbMoveset!A2:I112,9,FALSE)="Water",Backdoors!BC39,IF(VLOOKUP(tbMoveset!A9,tbMoveset!A2:I112,9,FALSE)="Thunder",Backdoors!BD39,IF(VLOOKUP(tbMoveset!A9,tbMoveset!A2:I112,9,FALSE)="Ice",Backdoors!BE39,IF(VLOOKUP(tbMoveset!A9,tbMoveset!A2:I112,9,FALSE)="Dragon",Backdoors!BF39,Backdoors!BG39)))))/100,Backdoors!BG39/100),"")</f>
        <v>0</v>
      </c>
      <c r="IV9" s="49">
        <f>IFERROR(IF(VLOOKUP(A9,tbMoveset!A2:J112,10,FALSE)=TRUE,IF((Backdoors!AI12+IF(IT9&gt;=0.45,VLOOKUP(Calculator!E23,tbSkills!DH3:DI6,2,FALSE)+IF(AND(Calculator!B8=TRUE,Backdoors!BI39=TRUE),VLOOKUP(Calculator!E23,tbSkills!DH3:DJ6,3,FALSE),0),0))&gt;=0,1+(Backdoors!AL2*(IF((Backdoors!AI12+IF(IT9&gt;=0.45,VLOOKUP(Calculator!E23,tbSkills!DH3:DI6,2,FALSE)+IF(AND(Calculator!B8=TRUE,Backdoors!BI39=TRUE),VLOOKUP(Calculator!E23,tbSkills!DH3:DJ6,3,FALSE),0),0))&gt;=100,100,(Backdoors!AI12+IF(IT9&gt;=0.45,VLOOKUP(Calculator!E23,tbSkills!DH3:DI6,2,FALSE)+IF(AND(Calculator!B8=TRUE,Backdoors!BI39=TRUE),VLOOKUP(Calculator!E23,tbSkills!DH3:DJ6,3,FALSE),0),0)))/100)),(1-(0.25*((-Backdoors!AI12-IF(IT9&gt;=0.45,VLOOKUP(Calculator!E23,tbSkills!DH3:DI6,2,FALSE)+IF(AND(Calculator!B8=TRUE,Backdoors!BI39=TRUE),VLOOKUP(Calculator!E23,tbSkills!DH3:DJ6,3,FALSE),0),0))/100)))),1),"")</f>
        <v>1</v>
      </c>
      <c r="IW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T9)*IV9)*(VLOOKUP(A9,tbMoveset!A2:C112,3,FALSE)/100)*IF(VLOOKUP(A9,tbMoveset!A2:B112,2,FALSE)="Projectile",Backdoors!N10,Backdoors!N9),0),"")</f>
        <v/>
      </c>
      <c r="IX9" s="49">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40&gt;0,VLOOKUP(Calculator!E40,tbSkills!AC3:AD5,2,FALSE),Backdoors!AL3)*(IF((Backdoors!AI12+IF(IT9&gt;=0.45,VLOOKUP(Calculator!E23,tbSkills!DH3:DI6,2,FALSE)+IF(AND(Calculator!B8=TRUE,Backdoors!BI39=TRUE),VLOOKUP(Calculator!E23,tbSkills!DH3:DJ6,3,FALSE),0),0))&gt;=100,100,(Backdoors!AI12+IF(IT9&gt;=0.45,VLOOKUP(Calculator!E23,tbSkills!DH3:DI6,2,FALSE)+IF(AND(Calculator!B8=TRUE,Backdoors!BI39=TRUE),VLOOKUP(Calculator!E23,tbSkills!DH3:DJ6,3,FALSE),0),0)))/100)),1))*IF(VLOOKUP(A9,tbMoveset!A2:K112,11,FALSE)=TRUE,Backdoors!AC5,1))*IU9,0),"")</f>
        <v>0</v>
      </c>
      <c r="IY9" s="49">
        <f>VLOOKUP(A9,tbMoveset!A2:G112,7,FALSE)*IFERROR(IF(Backdoors!AI12&gt;=0,1+(IF(Calculator!E40&gt;0,VLOOKUP(Calculator!E40,tbSkills!AI3:AJ5,2,FALSE),Backdoors!AL4)*(IF((Backdoors!AI12+IF(IT9&gt;=0.45,VLOOKUP(Calculator!E23,tbSkills!DH3:DI6,2,FALSE)+IF(AND(Calculator!B8=TRUE,Backdoors!BI39=TRUE),VLOOKUP(Calculator!E23,tbSkills!DH3:DJ6,3,FALSE),0),0))&gt;=100,100,(Backdoors!AI12+IF(IT9&gt;=0.45,VLOOKUP(Calculator!E23,tbSkills!DH3:DI6,2,FALSE)+IF(AND(Calculator!B8=TRUE,Backdoors!BI39=TRUE),VLOOKUP(Calculator!E23,tbSkills!DH3:DJ6,3,FALSE),0),0)))/100)),1),1)</f>
        <v>0.5</v>
      </c>
      <c r="IZ9" s="87">
        <f t="shared" si="28"/>
        <v>0</v>
      </c>
      <c r="JA9" s="86" t="str">
        <f>IFERROR(IF(VLOOKUP(A9,tbMoveset!A2:B112,2,FALSE)="Sever",Backdoors!AY40/100,IF(VLOOKUP(A9,tbMoveset!A2:B112,2,FALSE)="Blunt",Backdoors!AZ40/100,Backdoors!BA40/100)),"")</f>
        <v/>
      </c>
      <c r="JB9" s="49">
        <f>IFERROR(IF(VLOOKUP(tbMoveset!A9,tbMoveset!A2:H112,8,FALSE)="Other",IF(VLOOKUP(tbMoveset!A9,tbMoveset!A2:I112,9,FALSE)="Fire",Backdoors!BB40,IF(VLOOKUP(tbMoveset!A9,tbMoveset!A2:I112,9,FALSE)="Water",Backdoors!BC40,IF(VLOOKUP(tbMoveset!A9,tbMoveset!A2:I112,9,FALSE)="Thunder",Backdoors!BD40,IF(VLOOKUP(tbMoveset!A9,tbMoveset!A2:I112,9,FALSE)="Ice",Backdoors!BE40,IF(VLOOKUP(tbMoveset!A9,tbMoveset!A2:I112,9,FALSE)="Dragon",Backdoors!BF40,Backdoors!BG40)))))/100,Backdoors!BG40/100),"")</f>
        <v>0</v>
      </c>
      <c r="JC9" s="49">
        <f>IFERROR(IF(VLOOKUP(A9,tbMoveset!A2:J112,10,FALSE)=TRUE,IF((Backdoors!AI12+IF(JA9&gt;=0.45,VLOOKUP(Calculator!E23,tbSkills!DH3:DI6,2,FALSE)+IF(AND(Calculator!B8=TRUE,Backdoors!BI40=TRUE),VLOOKUP(Calculator!E23,tbSkills!DH3:DJ6,3,FALSE),0),0))&gt;=0,1+(Backdoors!AL2*(IF((Backdoors!AI12+IF(JA9&gt;=0.45,VLOOKUP(Calculator!E23,tbSkills!DH3:DI6,2,FALSE)+IF(AND(Calculator!B8=TRUE,Backdoors!BI40=TRUE),VLOOKUP(Calculator!E23,tbSkills!DH3:DJ6,3,FALSE),0),0))&gt;=100,100,(Backdoors!AI12+IF(JA9&gt;=0.45,VLOOKUP(Calculator!E23,tbSkills!DH3:DI6,2,FALSE)+IF(AND(Calculator!B8=TRUE,Backdoors!BI40=TRUE),VLOOKUP(Calculator!E23,tbSkills!DH3:DJ6,3,FALSE),0),0)))/100)),(1-(0.25*((-Backdoors!AI12-IF(JA9&gt;=0.45,VLOOKUP(Calculator!E23,tbSkills!DH3:DI6,2,FALSE)+IF(AND(Calculator!B8=TRUE,Backdoors!BI40=TRUE),VLOOKUP(Calculator!E23,tbSkills!DH3:DJ6,3,FALSE),0),0))/100)))),1),"")</f>
        <v>1</v>
      </c>
      <c r="JD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A9)*JC9)*(VLOOKUP(A9,tbMoveset!A2:C112,3,FALSE)/100)*IF(VLOOKUP(A9,tbMoveset!A2:B112,2,FALSE)="Projectile",Backdoors!N10,Backdoors!N9),0),"")</f>
        <v/>
      </c>
      <c r="JE9" s="49">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42&gt;0,VLOOKUP(Calculator!E42,tbSkills!AC3:AD5,2,FALSE),Backdoors!AL3)*(IF((Backdoors!AI12+IF(JA9&gt;=0.45,VLOOKUP(Calculator!E23,tbSkills!DH3:DI6,2,FALSE)+IF(AND(Calculator!B8=TRUE,Backdoors!BI40=TRUE),VLOOKUP(Calculator!E23,tbSkills!DH3:DJ6,3,FALSE),0),0))&gt;=100,100,(Backdoors!AI12+IF(JA9&gt;=0.45,VLOOKUP(Calculator!E23,tbSkills!DH3:DI6,2,FALSE)+IF(AND(Calculator!B8=TRUE,Backdoors!BI40=TRUE),VLOOKUP(Calculator!E23,tbSkills!DH3:DJ6,3,FALSE),0),0)))/100)),1))*IF(VLOOKUP(A9,tbMoveset!A2:K112,11,FALSE)=TRUE,Backdoors!AC5,1))*JB9,0),"")</f>
        <v>0</v>
      </c>
      <c r="JF9" s="49">
        <f>VLOOKUP(A9,tbMoveset!A2:G112,7,FALSE)*IFERROR(IF(Backdoors!AI12&gt;=0,1+(IF(Calculator!E40&gt;0,VLOOKUP(Calculator!E40,tbSkills!AI3:AJ5,2,FALSE),Backdoors!AL4)*(IF((Backdoors!AI12+IF(JA9&gt;=0.45,VLOOKUP(Calculator!E23,tbSkills!DH3:DI6,2,FALSE)+IF(AND(Calculator!B8=TRUE,Backdoors!BI40=TRUE),VLOOKUP(Calculator!E23,tbSkills!DH3:DJ6,3,FALSE),0),0))&gt;=100,100,(Backdoors!AI12+IF(JA9&gt;=0.45,VLOOKUP(Calculator!E23,tbSkills!DH3:DI6,2,FALSE)+IF(AND(Calculator!B8=TRUE,Backdoors!BI40=TRUE),VLOOKUP(Calculator!E23,tbSkills!DH3:DJ6,3,FALSE),0),0)))/100)),1),1)</f>
        <v>0.5</v>
      </c>
      <c r="JG9" s="87">
        <f t="shared" si="29"/>
        <v>0</v>
      </c>
      <c r="JH9" s="86" t="str">
        <f>IFERROR(IF(VLOOKUP(A9,tbMoveset!A2:B112,2,FALSE)="Sever",Backdoors!AY41/100,IF(VLOOKUP(A9,tbMoveset!A2:B112,2,FALSE)="Blunt",Backdoors!AZ41/100,Backdoors!BA41/100)),"")</f>
        <v/>
      </c>
      <c r="JI9" s="49">
        <f>IFERROR(IF(VLOOKUP(tbMoveset!A9,tbMoveset!A2:H112,8,FALSE)="Other",IF(VLOOKUP(tbMoveset!A9,tbMoveset!A2:I112,9,FALSE)="Fire",Backdoors!BB41,IF(VLOOKUP(tbMoveset!A9,tbMoveset!A2:I112,9,FALSE)="Water",Backdoors!BC41,IF(VLOOKUP(tbMoveset!A9,tbMoveset!A2:I112,9,FALSE)="Thunder",Backdoors!BD41,IF(VLOOKUP(tbMoveset!A9,tbMoveset!A2:I112,9,FALSE)="Ice",Backdoors!BE41,IF(VLOOKUP(tbMoveset!A9,tbMoveset!A2:I112,9,FALSE)="Dragon",Backdoors!BF41,Backdoors!BG41)))))/100,Backdoors!BG41/100),"")</f>
        <v>0</v>
      </c>
      <c r="JJ9" s="49">
        <f>IFERROR(IF(VLOOKUP(A9,tbMoveset!A2:J112,10,FALSE)=TRUE,IF((Backdoors!AI12+IF(JH9&gt;=0.45,VLOOKUP(Calculator!E23,tbSkills!DH3:DI6,2,FALSE)+IF(AND(Calculator!B8=TRUE,Backdoors!BI41=TRUE),VLOOKUP(Calculator!E23,tbSkills!DH3:DJ6,3,FALSE),0),0))&gt;=0,1+(Backdoors!AL2*(IF((Backdoors!AI12+IF(JH9&gt;=0.45,VLOOKUP(Calculator!E23,tbSkills!DH3:DI6,2,FALSE)+IF(AND(Calculator!B8=TRUE,Backdoors!BI41=TRUE),VLOOKUP(Calculator!E23,tbSkills!DH3:DJ6,3,FALSE),0),0))&gt;=100,100,(Backdoors!AI12+IF(JH9&gt;=0.45,VLOOKUP(Calculator!E23,tbSkills!DH3:DI6,2,FALSE)+IF(AND(Calculator!B8=TRUE,Backdoors!BI41=TRUE),VLOOKUP(Calculator!E23,tbSkills!DH3:DJ6,3,FALSE),0),0)))/100)),(1-(0.25*((-Backdoors!AI12-IF(JH9&gt;=0.45,VLOOKUP(Calculator!E23,tbSkills!DH3:DI6,2,FALSE)+IF(AND(Calculator!B8=TRUE,Backdoors!BI41=TRUE),VLOOKUP(Calculator!E23,tbSkills!DH3:DJ6,3,FALSE),0),0))/100)))),1),"")</f>
        <v>1</v>
      </c>
      <c r="JK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H9)*JJ9)*(VLOOKUP(A9,tbMoveset!A2:C112,3,FALSE)/100)*IF(VLOOKUP(A9,tbMoveset!A2:B112,2,FALSE)="Projectile",Backdoors!N10,Backdoors!N9),0),"")</f>
        <v/>
      </c>
      <c r="JL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43&gt;0,VLOOKUP(Calculator!E43,tbSkills!AC3:AD5,2,FALSE),Backdoors!AL3)*(IF((Backdoors!AI12+IF(JH9&gt;=0.45,VLOOKUP(Calculator!E23,tbSkills!DH3:DI6,2,FALSE)+IF(AND(Calculator!B8=TRUE,Backdoors!BI41=TRUE),VLOOKUP(Calculator!E23,tbSkills!DH3:DJ6,3,FALSE),0),0))&gt;=100,100,(Backdoors!AI12+IF(JH9&gt;=0.45,VLOOKUP(Calculator!E23,tbSkills!DH3:DI6,2,FALSE)+IF(AND(Calculator!B8=TRUE,Backdoors!BI41=TRUE),VLOOKUP(Calculator!E23,tbSkills!DH3:DJ6,3,FALSE),0),0)))/100)),1))*IF(VLOOKUP(A9,tbMoveset!A2:K112,11,FALSE)=TRUE,Backdoors!AC5,1))*JI9,0),"")</f>
        <v/>
      </c>
      <c r="JM9" s="49">
        <f>VLOOKUP(A9,tbMoveset!A2:G112,7,FALSE)*IFERROR(IF(Backdoors!AI12&gt;=0,1+(IF(Calculator!E40&gt;0,VLOOKUP(Calculator!E40,tbSkills!AI3:AJ5,2,FALSE),Backdoors!AL4)*(IF((Backdoors!AI12+IF(JH9&gt;=0.45,VLOOKUP(Calculator!E23,tbSkills!DH3:DI6,2,FALSE)+IF(AND(Calculator!B8=TRUE,Backdoors!BI41=TRUE),VLOOKUP(Calculator!E23,tbSkills!DH3:DJ6,3,FALSE),0),0))&gt;=100,100,(Backdoors!AI12+IF(JH9&gt;=0.45,VLOOKUP(Calculator!E23,tbSkills!DH3:DI6,2,FALSE)+IF(AND(Calculator!B8=TRUE,Backdoors!BI41=TRUE),VLOOKUP(Calculator!E23,tbSkills!DH3:DJ6,3,FALSE),0),0)))/100)),1),1)</f>
        <v>0.5</v>
      </c>
      <c r="JN9" s="87">
        <f t="shared" si="30"/>
        <v>0</v>
      </c>
      <c r="JO9" s="86" t="str">
        <f>IFERROR(IF(VLOOKUP(A9,tbMoveset!A2:B112,2,FALSE)="Sever",Backdoors!AY42/100,IF(VLOOKUP(A9,tbMoveset!A2:B112,2,FALSE)="Blunt",Backdoors!AZ42/100,Backdoors!BA42/100)),"")</f>
        <v/>
      </c>
      <c r="JP9" s="49">
        <f>IFERROR(IF(VLOOKUP(tbMoveset!A9,tbMoveset!A2:H112,8,FALSE)="Other",IF(VLOOKUP(tbMoveset!A9,tbMoveset!A2:I112,9,FALSE)="Fire",Backdoors!BB42,IF(VLOOKUP(tbMoveset!A9,tbMoveset!A2:I112,9,FALSE)="Water",Backdoors!BC42,IF(VLOOKUP(tbMoveset!A9,tbMoveset!A2:I112,9,FALSE)="Thunder",Backdoors!BD42,IF(VLOOKUP(tbMoveset!A9,tbMoveset!A2:I112,9,FALSE)="Ice",Backdoors!BE42,IF(VLOOKUP(tbMoveset!A9,tbMoveset!A2:I112,9,FALSE)="Dragon",Backdoors!BF42,Backdoors!BG42)))))/100,Backdoors!BG42/100),"")</f>
        <v>0</v>
      </c>
      <c r="JQ9" s="49">
        <f>IFERROR(IF(VLOOKUP(A9,tbMoveset!A2:J112,10,FALSE)=TRUE,IF((Backdoors!AI12+IF(JO9&gt;=0.45,VLOOKUP(Calculator!E23,tbSkills!DH3:DI6,2,FALSE)+IF(AND(Calculator!B8=TRUE,Backdoors!BI42=TRUE),VLOOKUP(Calculator!E23,tbSkills!DH3:DJ6,3,FALSE),0),0))&gt;=0,1+(Backdoors!AL2*(IF((Backdoors!AI12+IF(JO9&gt;=0.45,VLOOKUP(Calculator!E23,tbSkills!DH3:DI6,2,FALSE)+IF(AND(Calculator!B8=TRUE,Backdoors!BI42=TRUE),VLOOKUP(Calculator!E23,tbSkills!DH3:DJ6,3,FALSE),0),0))&gt;=100,100,(Backdoors!AI12+IF(JO9&gt;=0.45,VLOOKUP(Calculator!E23,tbSkills!DH3:DI6,2,FALSE)+IF(AND(Calculator!B8=TRUE,Backdoors!BI42=TRUE),VLOOKUP(Calculator!E23,tbSkills!DH3:DJ6,3,FALSE),0),0)))/100)),(1-(0.25*((-Backdoors!AI12-IF(JO9&gt;=0.45,VLOOKUP(Calculator!E23,tbSkills!DH3:DI6,2,FALSE)+IF(AND(Calculator!B8=TRUE,Backdoors!BI42=TRUE),VLOOKUP(Calculator!E23,tbSkills!DH3:DJ6,3,FALSE),0),0))/100)))),1),"")</f>
        <v>1</v>
      </c>
      <c r="JR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O9)*JQ9)*(VLOOKUP(A9,tbMoveset!A2:C112,3,FALSE)/100)*IF(VLOOKUP(A9,tbMoveset!A2:B112,2,FALSE)="Projectile",Backdoors!N10,Backdoors!N9),0),"")</f>
        <v/>
      </c>
      <c r="JS9" s="49">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45&gt;0,VLOOKUP(Calculator!E45,tbSkills!AC3:AD5,2,FALSE),Backdoors!AL3)*(IF((Backdoors!AI12+IF(JO9&gt;=0.45,VLOOKUP(Calculator!E23,tbSkills!DH3:DI6,2,FALSE)+IF(AND(Calculator!B8=TRUE,Backdoors!BI42=TRUE),VLOOKUP(Calculator!E23,tbSkills!DH3:DJ6,3,FALSE),0),0))&gt;=100,100,(Backdoors!AI12+IF(JO9&gt;=0.45,VLOOKUP(Calculator!E23,tbSkills!DH3:DI6,2,FALSE)+IF(AND(Calculator!B8=TRUE,Backdoors!BI42=TRUE),VLOOKUP(Calculator!E23,tbSkills!DH3:DJ6,3,FALSE),0),0)))/100)),1))*IF(VLOOKUP(A9,tbMoveset!A2:K112,11,FALSE)=TRUE,Backdoors!AC5,1))*JP9,0),"")</f>
        <v>0</v>
      </c>
      <c r="JT9" s="49">
        <f>VLOOKUP(A9,tbMoveset!A2:G112,7,FALSE)*IFERROR(IF(Backdoors!AI12&gt;=0,1+(IF(Calculator!E40&gt;0,VLOOKUP(Calculator!E40,tbSkills!AI3:AJ5,2,FALSE),Backdoors!AL4)*(IF((Backdoors!AI12+IF(JO9&gt;=0.45,VLOOKUP(Calculator!E23,tbSkills!DH3:DI6,2,FALSE)+IF(AND(Calculator!B8=TRUE,Backdoors!BI42=TRUE),VLOOKUP(Calculator!E23,tbSkills!DH3:DJ6,3,FALSE),0),0))&gt;=100,100,(Backdoors!AI12+IF(JO9&gt;=0.45,VLOOKUP(Calculator!E23,tbSkills!DH3:DI6,2,FALSE)+IF(AND(Calculator!B8=TRUE,Backdoors!BI42=TRUE),VLOOKUP(Calculator!E23,tbSkills!DH3:DJ6,3,FALSE),0),0)))/100)),1),1)</f>
        <v>0.5</v>
      </c>
      <c r="JU9" s="87">
        <f t="shared" si="31"/>
        <v>0</v>
      </c>
      <c r="JV9" s="86" t="str">
        <f>IFERROR(IF(VLOOKUP(A9,tbMoveset!A2:B112,2,FALSE)="Sever",Backdoors!AY43/100,IF(VLOOKUP(A9,tbMoveset!A2:B112,2,FALSE)="Blunt",Backdoors!AZ43/100,Backdoors!BA43/100)),"")</f>
        <v/>
      </c>
      <c r="JW9" s="49">
        <f>IFERROR(IF(VLOOKUP(tbMoveset!A9,tbMoveset!A2:H112,8,FALSE)="Other",IF(VLOOKUP(tbMoveset!A9,tbMoveset!A2:I112,9,FALSE)="Fire",Backdoors!BB43,IF(VLOOKUP(tbMoveset!A9,tbMoveset!A2:I112,9,FALSE)="Water",Backdoors!BC43,IF(VLOOKUP(tbMoveset!A9,tbMoveset!A2:I112,9,FALSE)="Thunder",Backdoors!BD43,IF(VLOOKUP(tbMoveset!A9,tbMoveset!A2:I112,9,FALSE)="Ice",Backdoors!BE43,IF(VLOOKUP(tbMoveset!A9,tbMoveset!A2:I112,9,FALSE)="Dragon",Backdoors!BF43,Backdoors!BG43)))))/100,Backdoors!BG43/100),"")</f>
        <v>0</v>
      </c>
      <c r="JX9" s="49">
        <f>IFERROR(IF(VLOOKUP(A9,tbMoveset!A2:J112,10,FALSE)=TRUE,IF((Backdoors!AI12+IF(JV9&gt;=0.45,VLOOKUP(Calculator!E23,tbSkills!DH3:DI6,2,FALSE)+IF(AND(Calculator!B8=TRUE,Backdoors!BI43=TRUE),VLOOKUP(Calculator!E23,tbSkills!DH3:DJ6,3,FALSE),0),0))&gt;=0,1+(Backdoors!AL2*(IF((Backdoors!AI12+IF(JV9&gt;=0.45,VLOOKUP(Calculator!E23,tbSkills!DH3:DI6,2,FALSE)+IF(AND(Calculator!B8=TRUE,Backdoors!BI43=TRUE),VLOOKUP(Calculator!E23,tbSkills!DH3:DJ6,3,FALSE),0),0))&gt;=100,100,(Backdoors!AI12+IF(JV9&gt;=0.45,VLOOKUP(Calculator!E23,tbSkills!DH3:DI6,2,FALSE)+IF(AND(Calculator!B8=TRUE,Backdoors!BI43=TRUE),VLOOKUP(Calculator!E23,tbSkills!DH3:DJ6,3,FALSE),0),0)))/100)),(1-(0.25*((-Backdoors!AI12-IF(JV9&gt;=0.45,VLOOKUP(Calculator!E23,tbSkills!DH3:DI6,2,FALSE)+IF(AND(Calculator!B8=TRUE,Backdoors!BI43=TRUE),VLOOKUP(Calculator!E23,tbSkills!DH3:DJ6,3,FALSE),0),0))/100)))),1),"")</f>
        <v>1</v>
      </c>
      <c r="JY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V9)*JX9)*(VLOOKUP(A9,tbMoveset!A2:C112,3,FALSE)/100)*IF(VLOOKUP(A9,tbMoveset!A2:B112,2,FALSE)="Projectile",Backdoors!N10,Backdoors!N9),0),"")</f>
        <v/>
      </c>
      <c r="JZ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46&gt;0,VLOOKUP(Calculator!E46,tbSkills!AC3:AD5,2,FALSE),Backdoors!AL3)*(IF((Backdoors!AI12+IF(JV9&gt;=0.45,VLOOKUP(Calculator!E23,tbSkills!DH3:DI6,2,FALSE)+IF(AND(Calculator!B8=TRUE,Backdoors!BI43=TRUE),VLOOKUP(Calculator!E23,tbSkills!DH3:DJ6,3,FALSE),0),0))&gt;=100,100,(Backdoors!AI12+IF(JV9&gt;=0.45,VLOOKUP(Calculator!E23,tbSkills!DH3:DI6,2,FALSE)+IF(AND(Calculator!B8=TRUE,Backdoors!BI43=TRUE),VLOOKUP(Calculator!E23,tbSkills!DH3:DJ6,3,FALSE),0),0)))/100)),1))*IF(VLOOKUP(A9,tbMoveset!A2:K112,11,FALSE)=TRUE,Backdoors!AC5,1))*JW9,0),"")</f>
        <v/>
      </c>
      <c r="KA9" s="49">
        <f>VLOOKUP(A9,tbMoveset!A2:G112,7,FALSE)*IFERROR(IF(Backdoors!AI12&gt;=0,1+(IF(Calculator!E40&gt;0,VLOOKUP(Calculator!E40,tbSkills!AI3:AJ5,2,FALSE),Backdoors!AL4)*(IF((Backdoors!AI12+IF(JV9&gt;=0.45,VLOOKUP(Calculator!E23,tbSkills!DH3:DI6,2,FALSE)+IF(AND(Calculator!B8=TRUE,Backdoors!BI43=TRUE),VLOOKUP(Calculator!E23,tbSkills!DH3:DJ6,3,FALSE),0),0))&gt;=100,100,(Backdoors!AI12+IF(JV9&gt;=0.45,VLOOKUP(Calculator!E23,tbSkills!DH3:DI6,2,FALSE)+IF(AND(Calculator!B8=TRUE,Backdoors!BI43=TRUE),VLOOKUP(Calculator!E23,tbSkills!DH3:DJ6,3,FALSE),0),0)))/100)),1),1)</f>
        <v>0.5</v>
      </c>
      <c r="KB9" s="87">
        <f t="shared" si="32"/>
        <v>0</v>
      </c>
      <c r="KC9" s="86" t="str">
        <f>IFERROR(IF(VLOOKUP(A9,tbMoveset!A2:B112,2,FALSE)="Sever",Backdoors!AY44/100,IF(VLOOKUP(A9,tbMoveset!A2:B112,2,FALSE)="Blunt",Backdoors!AZ44/100,Backdoors!BA44/100)),"")</f>
        <v/>
      </c>
      <c r="KD9" s="49">
        <f>IFERROR(IF(VLOOKUP(tbMoveset!A9,tbMoveset!A2:H112,8,FALSE)="Other",IF(VLOOKUP(tbMoveset!A9,tbMoveset!A2:I112,9,FALSE)="Fire",Backdoors!BB44,IF(VLOOKUP(tbMoveset!A9,tbMoveset!A2:I112,9,FALSE)="Water",Backdoors!BC44,IF(VLOOKUP(tbMoveset!A9,tbMoveset!A2:I112,9,FALSE)="Thunder",Backdoors!BD44,IF(VLOOKUP(tbMoveset!A9,tbMoveset!A2:I112,9,FALSE)="Ice",Backdoors!BE44,IF(VLOOKUP(tbMoveset!A9,tbMoveset!A2:I112,9,FALSE)="Dragon",Backdoors!BF44,Backdoors!BG44)))))/100,Backdoors!BG44/100),"")</f>
        <v>0</v>
      </c>
      <c r="KE9" s="49">
        <f>IFERROR(IF(VLOOKUP(A9,tbMoveset!A2:J112,10,FALSE)=TRUE,IF((Backdoors!AI12+IF(KC9&gt;=0.45,VLOOKUP(Calculator!E23,tbSkills!DH3:DI6,2,FALSE)+IF(AND(Calculator!B8=TRUE,Backdoors!BI44=TRUE),VLOOKUP(Calculator!E23,tbSkills!DH3:DJ6,3,FALSE),0),0))&gt;=0,1+(Backdoors!AL2*(IF((Backdoors!AI12+IF(KC9&gt;=0.45,VLOOKUP(Calculator!E23,tbSkills!DH3:DI6,2,FALSE)+IF(AND(Calculator!B8=TRUE,Backdoors!BI44=TRUE),VLOOKUP(Calculator!E23,tbSkills!DH3:DJ6,3,FALSE),0),0))&gt;=100,100,(Backdoors!AI12+IF(KC9&gt;=0.45,VLOOKUP(Calculator!E23,tbSkills!DH3:DI6,2,FALSE)+IF(AND(Calculator!B8=TRUE,Backdoors!BI44=TRUE),VLOOKUP(Calculator!E23,tbSkills!DH3:DJ6,3,FALSE),0),0)))/100)),(1-(0.25*((-Backdoors!AI12-IF(KC9&gt;=0.45,VLOOKUP(Calculator!E23,tbSkills!DH3:DI6,2,FALSE)+IF(AND(Calculator!B8=TRUE,Backdoors!BI44=TRUE),VLOOKUP(Calculator!E23,tbSkills!DH3:DJ6,3,FALSE),0),0))/100)))),1),"")</f>
        <v>1</v>
      </c>
      <c r="KF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KC9)*KE9)*(VLOOKUP(A9,tbMoveset!A2:C112,3,FALSE)/100)*IF(VLOOKUP(A9,tbMoveset!A2:B112,2,FALSE)="Projectile",Backdoors!N10,Backdoors!N9),0),"")</f>
        <v/>
      </c>
      <c r="KG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REF!&gt;0,VLOOKUP(Calculator!#REF!,tbSkills!AC3:AD5,2,FALSE),Backdoors!AL3)*(IF((Backdoors!AI12+IF(KC9&gt;=0.45,VLOOKUP(Calculator!E23,tbSkills!DH3:DI6,2,FALSE)+IF(AND(Calculator!B8=TRUE,Backdoors!BI44=TRUE),VLOOKUP(Calculator!E23,tbSkills!DH3:DJ6,3,FALSE),0),0))&gt;=100,100,(Backdoors!AI12+IF(KC9&gt;=0.45,VLOOKUP(Calculator!E23,tbSkills!DH3:DI6,2,FALSE)+IF(AND(Calculator!B8=TRUE,Backdoors!BI44=TRUE),VLOOKUP(Calculator!E23,tbSkills!DH3:DJ6,3,FALSE),0),0)))/100)),1))*IF(VLOOKUP(A9,tbMoveset!A2:K112,11,FALSE)=TRUE,Backdoors!AC5,1))*KD9,0),"")</f>
        <v/>
      </c>
      <c r="KH9" s="49">
        <f>VLOOKUP(A9,tbMoveset!A2:G112,7,FALSE)*IFERROR(IF(Backdoors!AI12&gt;=0,1+(IF(Calculator!E40&gt;0,VLOOKUP(Calculator!E40,tbSkills!AI3:AJ5,2,FALSE),Backdoors!AL4)*(IF((Backdoors!AI12+IF(KC9&gt;=0.45,VLOOKUP(Calculator!E23,tbSkills!DH3:DI6,2,FALSE)+IF(AND(Calculator!B8=TRUE,Backdoors!BI44=TRUE),VLOOKUP(Calculator!E23,tbSkills!DH3:DJ6,3,FALSE),0),0))&gt;=100,100,(Backdoors!AI12+IF(KC9&gt;=0.45,VLOOKUP(Calculator!E23,tbSkills!DH3:DI6,2,FALSE)+IF(AND(Calculator!B8=TRUE,Backdoors!BI44=TRUE),VLOOKUP(Calculator!E23,tbSkills!DH3:DJ6,3,FALSE),0),0)))/100)),1),1)</f>
        <v>0.5</v>
      </c>
      <c r="KI9" s="87">
        <f t="shared" si="33"/>
        <v>0</v>
      </c>
      <c r="KJ9" s="86" t="str">
        <f>IFERROR(IF(VLOOKUP(A9,tbMoveset!A2:B112,2,FALSE)="Sever",Backdoors!AY45/100,IF(VLOOKUP(A9,tbMoveset!A2:B112,2,FALSE)="Blunt",Backdoors!AZ45/100,Backdoors!BA45/100)),"")</f>
        <v/>
      </c>
      <c r="KK9" s="49">
        <f>IFERROR(IF(VLOOKUP(tbMoveset!A9,tbMoveset!A2:H112,8,FALSE)="Other",IF(VLOOKUP(tbMoveset!A9,tbMoveset!A2:I112,9,FALSE)="Fire",Backdoors!BB45,IF(VLOOKUP(tbMoveset!A9,tbMoveset!A2:I112,9,FALSE)="Water",Backdoors!BC45,IF(VLOOKUP(tbMoveset!A9,tbMoveset!A2:I112,9,FALSE)="Thunder",Backdoors!BD45,IF(VLOOKUP(tbMoveset!A9,tbMoveset!A2:I112,9,FALSE)="Ice",Backdoors!BE45,IF(VLOOKUP(tbMoveset!A9,tbMoveset!A2:I112,9,FALSE)="Dragon",Backdoors!BF45,Backdoors!BG45)))))/100,Backdoors!BG45/100),"")</f>
        <v>0</v>
      </c>
      <c r="KL9" s="49">
        <f>IFERROR(IF(VLOOKUP(A9,tbMoveset!A2:J112,10,FALSE)=TRUE,IF((Backdoors!AI12+IF(KJ9&gt;=0.45,VLOOKUP(Calculator!E23,tbSkills!DH3:DI6,2,FALSE)+IF(AND(Calculator!B8=TRUE,Backdoors!BI45=TRUE),VLOOKUP(Calculator!E23,tbSkills!DH3:DJ6,3,FALSE),0),0))&gt;=0,1+(Backdoors!AL2*(IF((Backdoors!AI12+IF(KJ9&gt;=0.45,VLOOKUP(Calculator!E23,tbSkills!DH3:DI6,2,FALSE)+IF(AND(Calculator!B8=TRUE,Backdoors!BI45=TRUE),VLOOKUP(Calculator!E23,tbSkills!DH3:DJ6,3,FALSE),0),0))&gt;=100,100,(Backdoors!AI12+IF(KJ9&gt;=0.45,VLOOKUP(Calculator!E23,tbSkills!DH3:DI6,2,FALSE)+IF(AND(Calculator!B8=TRUE,Backdoors!BI45=TRUE),VLOOKUP(Calculator!E23,tbSkills!DH3:DJ6,3,FALSE),0),0)))/100)),(1-(0.25*((-Backdoors!AI12-IF(KJ9&gt;=0.45,VLOOKUP(Calculator!E23,tbSkills!DH3:DI6,2,FALSE)+IF(AND(Calculator!B8=TRUE,Backdoors!BI45=TRUE),VLOOKUP(Calculator!E23,tbSkills!DH3:DJ6,3,FALSE),0),0))/100)))),1),"")</f>
        <v>1</v>
      </c>
      <c r="KM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KJ9)*KL9)*(VLOOKUP(A9,tbMoveset!A2:C112,3,FALSE)/100)*IF(VLOOKUP(A9,tbMoveset!A2:B112,2,FALSE)="Projectile",Backdoors!N10,Backdoors!N9),0),"")</f>
        <v/>
      </c>
      <c r="KN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REF!&gt;0,VLOOKUP(Calculator!#REF!,tbSkills!AC3:AD5,2,FALSE),Backdoors!AL3)*(IF((Backdoors!AI12+IF(KJ9&gt;=0.45,VLOOKUP(Calculator!E23,tbSkills!DH3:DI6,2,FALSE)+IF(AND(Calculator!B8=TRUE,Backdoors!BI45=TRUE),VLOOKUP(Calculator!E23,tbSkills!DH3:DJ6,3,FALSE),0),0))&gt;=100,100,(Backdoors!AI12+IF(KJ9&gt;=0.45,VLOOKUP(Calculator!E23,tbSkills!DH3:DI6,2,FALSE)+IF(AND(Calculator!B8=TRUE,Backdoors!BI45=TRUE),VLOOKUP(Calculator!E23,tbSkills!DH3:DJ6,3,FALSE),0),0)))/100)),1))*IF(VLOOKUP(A9,tbMoveset!A2:K112,11,FALSE)=TRUE,Backdoors!AC5,1))*KK9,0),"")</f>
        <v/>
      </c>
      <c r="KO9" s="49">
        <f>VLOOKUP(A9,tbMoveset!A2:G112,7,FALSE)*IFERROR(IF(Backdoors!AI12&gt;=0,1+(IF(Calculator!E40&gt;0,VLOOKUP(Calculator!E40,tbSkills!AI3:AJ5,2,FALSE),Backdoors!AL4)*(IF((Backdoors!AI12+IF(KJ9&gt;=0.45,VLOOKUP(Calculator!E23,tbSkills!DH3:DI6,2,FALSE)+IF(AND(Calculator!B8=TRUE,Backdoors!BI45=TRUE),VLOOKUP(Calculator!E23,tbSkills!DH3:DJ6,3,FALSE),0),0))&gt;=100,100,(Backdoors!AI12+IF(KJ9&gt;=0.45,VLOOKUP(Calculator!E23,tbSkills!DH3:DI6,2,FALSE)+IF(AND(Calculator!B8=TRUE,Backdoors!BI45=TRUE),VLOOKUP(Calculator!E23,tbSkills!DH3:DJ6,3,FALSE),0),0)))/100)),1),1)</f>
        <v>0.5</v>
      </c>
      <c r="KP9" s="87">
        <f t="shared" si="34"/>
        <v>0</v>
      </c>
      <c r="KQ9" s="86" t="str">
        <f>IFERROR(IF(VLOOKUP(A9,tbMoveset!A2:B112,2,FALSE)="Sever",Backdoors!AY46/100,IF(VLOOKUP(A9,tbMoveset!A2:B112,2,FALSE)="Blunt",Backdoors!AZ46/100,Backdoors!BA46/100)),"")</f>
        <v/>
      </c>
      <c r="KR9" s="49">
        <f>IFERROR(IF(VLOOKUP(tbMoveset!A9,tbMoveset!A2:H112,8,FALSE)="Other",IF(VLOOKUP(tbMoveset!A9,tbMoveset!A2:I112,9,FALSE)="Fire",Backdoors!BB46,IF(VLOOKUP(tbMoveset!A9,tbMoveset!A2:I112,9,FALSE)="Water",Backdoors!BC46,IF(VLOOKUP(tbMoveset!A9,tbMoveset!A2:I112,9,FALSE)="Thunder",Backdoors!BD46,IF(VLOOKUP(tbMoveset!A9,tbMoveset!A2:I112,9,FALSE)="Ice",Backdoors!BE46,IF(VLOOKUP(tbMoveset!A9,tbMoveset!A2:I112,9,FALSE)="Dragon",Backdoors!BF46,Backdoors!BG46)))))/100,Backdoors!BG46/100),"")</f>
        <v>0</v>
      </c>
      <c r="KS9" s="49">
        <f>IFERROR(IF(VLOOKUP(A9,tbMoveset!A2:J112,10,FALSE)=TRUE,IF((Backdoors!AI12+IF(KQ9&gt;=0.45,VLOOKUP(Calculator!E23,tbSkills!DH3:DI6,2,FALSE)+IF(AND(Calculator!B8=TRUE,Backdoors!BI46=TRUE),VLOOKUP(Calculator!E23,tbSkills!DH3:DJ6,3,FALSE),0),0))&gt;=0,1+(Backdoors!AL2*(IF((Backdoors!AI12+IF(KQ9&gt;=0.45,VLOOKUP(Calculator!E23,tbSkills!DH3:DI6,2,FALSE)+IF(AND(Calculator!B8=TRUE,Backdoors!BI46=TRUE),VLOOKUP(Calculator!E23,tbSkills!DH3:DJ6,3,FALSE),0),0))&gt;=100,100,(Backdoors!AI12+IF(KQ9&gt;=0.45,VLOOKUP(Calculator!E23,tbSkills!DH3:DI6,2,FALSE)+IF(AND(Calculator!B8=TRUE,Backdoors!BI46=TRUE),VLOOKUP(Calculator!E23,tbSkills!DH3:DJ6,3,FALSE),0),0)))/100)),(1-(0.25*((-Backdoors!AI12-IF(KQ9&gt;=0.45,VLOOKUP(Calculator!E23,tbSkills!DH3:DI6,2,FALSE)+IF(AND(Calculator!B8=TRUE,Backdoors!BI46=TRUE),VLOOKUP(Calculator!E23,tbSkills!DH3:DJ6,3,FALSE),0),0))/100)))),1),"")</f>
        <v>1</v>
      </c>
      <c r="KT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KQ9)*KS9)*(VLOOKUP(A9,tbMoveset!A2:C112,3,FALSE)/100)*IF(VLOOKUP(A9,tbMoveset!A2:B112,2,FALSE)="Projectile",Backdoors!N10,Backdoors!N9),0),"")</f>
        <v/>
      </c>
      <c r="KU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REF!&gt;0,VLOOKUP(Calculator!#REF!,tbSkills!AC3:AD5,2,FALSE),Backdoors!AL3)*(IF((Backdoors!AI12+IF(KQ9&gt;=0.45,VLOOKUP(Calculator!E23,tbSkills!DH3:DI6,2,FALSE)+IF(AND(Calculator!B8=TRUE,Backdoors!BI46=TRUE),VLOOKUP(Calculator!E23,tbSkills!DH3:DJ6,3,FALSE),0),0))&gt;=100,100,(Backdoors!AI12+IF(KQ9&gt;=0.45,VLOOKUP(Calculator!E23,tbSkills!DH3:DI6,2,FALSE)+IF(AND(Calculator!B8=TRUE,Backdoors!BI46=TRUE),VLOOKUP(Calculator!E23,tbSkills!DH3:DJ6,3,FALSE),0),0)))/100)),1))*IF(VLOOKUP(A9,tbMoveset!A2:K112,11,FALSE)=TRUE,Backdoors!AC5,1))*KR9,0),"")</f>
        <v/>
      </c>
      <c r="KV9" s="49">
        <f>VLOOKUP(A9,tbMoveset!A2:G112,7,FALSE)*IFERROR(IF(Backdoors!AI12&gt;=0,1+(IF(Calculator!E40&gt;0,VLOOKUP(Calculator!E40,tbSkills!AI3:AJ5,2,FALSE),Backdoors!AL4)*(IF((Backdoors!AI12+IF(KQ9&gt;=0.45,VLOOKUP(Calculator!E23,tbSkills!DH3:DI6,2,FALSE)+IF(AND(Calculator!B8=TRUE,Backdoors!BI46=TRUE),VLOOKUP(Calculator!E23,tbSkills!DH3:DJ6,3,FALSE),0),0))&gt;=100,100,(Backdoors!AI12+IF(KQ9&gt;=0.45,VLOOKUP(Calculator!E23,tbSkills!DH3:DI6,2,FALSE)+IF(AND(Calculator!B8=TRUE,Backdoors!BI46=TRUE),VLOOKUP(Calculator!E23,tbSkills!DH3:DJ6,3,FALSE),0),0)))/100)),1),1)</f>
        <v>0.5</v>
      </c>
      <c r="KW9" s="87">
        <f t="shared" si="35"/>
        <v>0</v>
      </c>
    </row>
    <row r="10" spans="1:309" x14ac:dyDescent="0.25">
      <c r="A10" s="95" t="str">
        <f>tbMoveset!A10</f>
        <v>Lunging Strike (L1)</v>
      </c>
      <c r="B10" s="86">
        <f>IFERROR(IF(VLOOKUP(A10,tbMoveset!A2:B112,2,FALSE)="Sever",Backdoors!AY3/100,IF(VLOOKUP(A10,tbMoveset!A2:B112,2,FALSE)="Blunt",Backdoors!AZ3/100,Backdoors!BA3/100)),"")</f>
        <v>0.8</v>
      </c>
      <c r="C10" s="49">
        <f>IFERROR(IF(VLOOKUP(tbMoveset!A10,tbMoveset!A2:H112,8,FALSE)="Other",IF(VLOOKUP(tbMoveset!A10,tbMoveset!A2:I112,9,FALSE)="Fire",Backdoors!BB3,IF(VLOOKUP(tbMoveset!A10,tbMoveset!A2:I112,9,FALSE)="Water",Backdoors!BC3,IF(VLOOKUP(tbMoveset!A10,tbMoveset!A2:I112,9,FALSE)="Thunder",Backdoors!BD3,IF(VLOOKUP(tbMoveset!A10,tbMoveset!A2:I112,9,FALSE)="Ice",Backdoors!BE3,IF(VLOOKUP(tbMoveset!A10,tbMoveset!A2:I112,9,FALSE)="Dragon",Backdoors!BF3,Backdoors!BG3)))))/100,Backdoors!BG3/100),"")</f>
        <v>0</v>
      </c>
      <c r="D10" s="49">
        <f>IFERROR(IF(VLOOKUP(A10,tbMoveset!A2:J112,10,FALSE)=TRUE,IF((Backdoors!AI12+IF(B10&gt;=0.45,VLOOKUP(Calculator!E23,tbSkills!DH3:DI6,2,FALSE)+IF(AND(Calculator!B8=TRUE,Backdoors!BI3=TRUE),VLOOKUP(Calculator!E23,tbSkills!DH3:DJ6,3,FALSE),0),0))&gt;=0,1+(Backdoors!AL2*(IF((Backdoors!AI12+IF(B10&gt;=0.45,VLOOKUP(Calculator!E23,tbSkills!DH3:DI6,2,FALSE)+IF(AND(Calculator!B8=TRUE,Backdoors!BI3=TRUE),VLOOKUP(Calculator!E23,tbSkills!DH3:DJ6,3,FALSE),0),0))&gt;=100,100,(Backdoors!AI12+IF(B10&gt;=0.45,VLOOKUP(Calculator!E23,tbSkills!DH3:DI6,2,FALSE)+IF(AND(Calculator!B8=TRUE,Backdoors!BI3=TRUE),VLOOKUP(Calculator!E23,tbSkills!DH3:DJ6,3,FALSE),0),0)))/100)),(1-(0.25*((-Backdoors!AI12-IF(B10&gt;=0.45,VLOOKUP(Calculator!E23,tbSkills!DH3:DI6,2,FALSE)+IF(AND(Calculator!B8=TRUE,Backdoors!BI3=TRUE),VLOOKUP(Calculator!E23,tbSkills!DH3:DJ6,3,FALSE),0),0))/100)))),1),"")</f>
        <v>1</v>
      </c>
      <c r="E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10)*D10)*(VLOOKUP(A10,tbMoveset!A2:C112,3,FALSE)/100)*IF(VLOOKUP(A10,tbMoveset!A2:B112,2,FALSE)="Projectile",Backdoors!N10,Backdoors!N9),0),"")</f>
        <v>2</v>
      </c>
      <c r="F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10&gt;=0.45,VLOOKUP(Calculator!E23,tbSkills!DH3:DI6,2,FALSE)+IF(AND(Calculator!B8=TRUE,Backdoors!BI3=TRUE),VLOOKUP(Calculator!E23,tbSkills!DH3:DJ6,3,FALSE),0),0))&gt;=100,100,(Backdoors!AI12+IF(B10&gt;=0.45,VLOOKUP(Calculator!E23,tbSkills!DH3:DI6,2,FALSE)+IF(AND(Calculator!B8=TRUE,Backdoors!BI3=TRUE),VLOOKUP(Calculator!E23,tbSkills!DH3:DJ6,3,FALSE),0),0)))/100)),1))*IF(VLOOKUP(A10,tbMoveset!A2:K112,11,FALSE)=TRUE,Backdoors!AC5,1))*C10,0),"")</f>
        <v>0</v>
      </c>
      <c r="G10">
        <f>VLOOKUP(A10,tbMoveset!A2:G112,7,FALSE)*IFERROR(IF(Backdoors!AI12&gt;=0,1+(IF(Calculator!E40&gt;0,VLOOKUP(Calculator!E40,tbSkills!AI3:AJ5,2,FALSE),Backdoors!AL4)*(IF((Backdoors!AI12+IF(B10&gt;=0.45,VLOOKUP(Calculator!E23,tbSkills!DH3:DI6,2,FALSE)+IF(AND(Calculator!B8=TRUE,Backdoors!BI3=TRUE),VLOOKUP(Calculator!E23,tbSkills!DH3:DJ6,3,FALSE),0),0))&gt;=100,100,(Backdoors!AI12+IF(B10&gt;=0.45,VLOOKUP(Calculator!E23,tbSkills!DH3:DI6,2,FALSE)+IF(AND(Calculator!B8=TRUE,Backdoors!BI3=TRUE),VLOOKUP(Calculator!E23,tbSkills!DH3:DJ6,3,FALSE),0),0)))/100)),1),1)</f>
        <v>0.4</v>
      </c>
      <c r="H10" s="87">
        <f t="shared" si="43"/>
        <v>2</v>
      </c>
      <c r="I10" s="86">
        <f>IFERROR(IF(VLOOKUP(A10,tbMoveset!A2:B112,2,FALSE)="Sever",Backdoors!AY4/100,IF(VLOOKUP(A10,tbMoveset!A2:B112,2,FALSE)="Blunt",Backdoors!AZ4/100,Backdoors!BA4/100)),"")</f>
        <v>0.65</v>
      </c>
      <c r="J10" s="49">
        <f>IFERROR(IF(VLOOKUP(tbMoveset!A10,tbMoveset!A2:H112,8,FALSE)="Other",IF(VLOOKUP(tbMoveset!A10,tbMoveset!A2:I112,9,FALSE)="Fire",Backdoors!BB4,IF(VLOOKUP(tbMoveset!A10,tbMoveset!A2:I112,9,FALSE)="Water",Backdoors!BC4,IF(VLOOKUP(tbMoveset!A10,tbMoveset!A2:I112,9,FALSE)="Thunder",Backdoors!BD4,IF(VLOOKUP(tbMoveset!A10,tbMoveset!A2:I112,9,FALSE)="Ice",Backdoors!BE4,IF(VLOOKUP(tbMoveset!A10,tbMoveset!A2:I112,9,FALSE)="Dragon",Backdoors!BF4,Backdoors!BG4)))))/100,Backdoors!BG4/100),"")</f>
        <v>0</v>
      </c>
      <c r="K10" s="49">
        <f>IFERROR(IF(VLOOKUP(A10,tbMoveset!A2:J112,10,FALSE)=TRUE,IF((Backdoors!AI12+IF(I10&gt;=0.45,VLOOKUP(Calculator!E23,tbSkills!DH3:DI6,2,FALSE)+IF(AND(Calculator!B8=TRUE,Backdoors!BI4=TRUE),VLOOKUP(Calculator!E23,tbSkills!DH3:DJ6,3,FALSE),0),0))&gt;=0,1+(Backdoors!AL2*(IF((Backdoors!AI12+IF(I10&gt;=0.45,VLOOKUP(Calculator!E23,tbSkills!DH3:DI6,2,FALSE)+IF(AND(Calculator!B8=TRUE,Backdoors!BI4=TRUE),VLOOKUP(Calculator!E23,tbSkills!DH3:DJ6,3,FALSE),0),0))&gt;=100,100,(Backdoors!AI12+IF(I10&gt;=0.45,VLOOKUP(Calculator!E23,tbSkills!DH3:DI6,2,FALSE)+IF(AND(Calculator!B8=TRUE,Backdoors!BI4=TRUE),VLOOKUP(Calculator!E23,tbSkills!DH3:DJ6,3,FALSE),0),0)))/100)),(1-(0.25*((-Backdoors!AI12-IF(I10&gt;=0.45,VLOOKUP(Calculator!E23,tbSkills!DH3:DI6,2,FALSE)+IF(AND(Calculator!B8=TRUE,Backdoors!BI4=TRUE),VLOOKUP(Calculator!E23,tbSkills!DH3:DJ6,3,FALSE),0),0))/100)))),1),"")</f>
        <v>1</v>
      </c>
      <c r="L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10)*K10)*(VLOOKUP(A10,tbMoveset!A2:C112,3,FALSE)/100)*IF(VLOOKUP(A10,tbMoveset!A2:B112,2,FALSE)="Projectile",Backdoors!N10,Backdoors!N9),0),"")</f>
        <v>2</v>
      </c>
      <c r="M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I10&gt;=0.45,VLOOKUP(Calculator!E23,tbSkills!DH3:DI6,2,FALSE)+IF(AND(Calculator!B8=TRUE,Backdoors!BI4=TRUE),VLOOKUP(Calculator!E23,tbSkills!DH3:DJ6,3,FALSE),0),0))&gt;=100,100,(Backdoors!AI12+IF(I10&gt;=0.45,VLOOKUP(Calculator!E23,tbSkills!DH3:DI6,2,FALSE)+IF(AND(Calculator!B8=TRUE,Backdoors!BI4=TRUE),VLOOKUP(Calculator!E23,tbSkills!DH3:DJ6,3,FALSE),0),0)))/100)),1))*IF(VLOOKUP(A10,tbMoveset!A2:K112,11,FALSE)=TRUE,Backdoors!AC5,1))*J10,0),"")</f>
        <v>0</v>
      </c>
      <c r="N10" s="49">
        <f>VLOOKUP(A10,tbMoveset!A2:G112,7,FALSE)*IFERROR(IF(Backdoors!AI12&gt;=0,1+(IF(Calculator!E40&gt;0,VLOOKUP(Calculator!E40,tbSkills!AI3:AJ5,2,FALSE),Backdoors!AL4)*(IF((Backdoors!AI12+IF(I10&gt;=0.45,VLOOKUP(Calculator!E23,tbSkills!DH3:DI6,2,FALSE)+IF(AND(Calculator!B8=TRUE,Backdoors!BI4=TRUE),VLOOKUP(Calculator!E23,tbSkills!DH3:DJ6,3,FALSE),0),0))&gt;=100,100,(Backdoors!AI12+IF(I10&gt;=0.45,VLOOKUP(Calculator!E23,tbSkills!DH3:DI6,2,FALSE)+IF(AND(Calculator!B8=TRUE,Backdoors!BI4=TRUE),VLOOKUP(Calculator!E23,tbSkills!DH3:DJ6,3,FALSE),0),0)))/100)),1),1)</f>
        <v>0.4</v>
      </c>
      <c r="O10" s="87">
        <f t="shared" si="36"/>
        <v>2</v>
      </c>
      <c r="P10" s="86">
        <f>IFERROR(IF(VLOOKUP(A10,tbMoveset!A2:B112,2,FALSE)="Sever",Backdoors!AY5/100,IF(VLOOKUP(A10,tbMoveset!A2:B112,2,FALSE)="Blunt",Backdoors!AZ5/100,Backdoors!BA5/100)),"")</f>
        <v>0.5</v>
      </c>
      <c r="Q10" s="49">
        <f>IFERROR(IF(VLOOKUP(tbMoveset!A10,tbMoveset!A2:H112,8,FALSE)="Other",IF(VLOOKUP(tbMoveset!A10,tbMoveset!A2:I112,9,FALSE)="Fire",Backdoors!BB5,IF(VLOOKUP(tbMoveset!A10,tbMoveset!A2:I112,9,FALSE)="Water",Backdoors!BC5,IF(VLOOKUP(tbMoveset!A10,tbMoveset!A2:I112,9,FALSE)="Thunder",Backdoors!BD5,IF(VLOOKUP(tbMoveset!A10,tbMoveset!A2:I112,9,FALSE)="Ice",Backdoors!BE5,IF(VLOOKUP(tbMoveset!A10,tbMoveset!A2:I112,9,FALSE)="Dragon",Backdoors!BF5,Backdoors!BG5)))))/100,Backdoors!BG5/100),"")</f>
        <v>0</v>
      </c>
      <c r="R10" s="49">
        <f>IFERROR(IF(VLOOKUP(A10,tbMoveset!A2:J112,10,FALSE)=TRUE,IF((Backdoors!AI12+IF(P10&gt;=0.45,VLOOKUP(Calculator!E23,tbSkills!DH3:DI6,2,FALSE)+IF(AND(Calculator!B8=TRUE,Backdoors!BI5=TRUE),VLOOKUP(Calculator!E23,tbSkills!DH3:DJ6,3,FALSE),0),0))&gt;=0,1+(Backdoors!AL2*(IF((Backdoors!AI12+IF(P10&gt;=0.45,VLOOKUP(Calculator!E23,tbSkills!DH3:DI6,2,FALSE)+IF(AND(Calculator!B8=TRUE,Backdoors!BI5=TRUE),VLOOKUP(Calculator!E23,tbSkills!DH3:DJ6,3,FALSE),0),0))&gt;=100,100,(Backdoors!AI12+IF(P10&gt;=0.45,VLOOKUP(Calculator!E23,tbSkills!DH3:DI6,2,FALSE)+IF(AND(Calculator!B8=TRUE,Backdoors!BI5=TRUE),VLOOKUP(Calculator!E23,tbSkills!DH3:DJ6,3,FALSE),0),0)))/100)),(1-(0.25*((-Backdoors!AI12-IF(P10&gt;=0.45,VLOOKUP(Calculator!E23,tbSkills!DH3:DI6,2,FALSE)+IF(AND(Calculator!B8=TRUE,Backdoors!BI5=TRUE),VLOOKUP(Calculator!E23,tbSkills!DH3:DJ6,3,FALSE),0),0))/100)))),1),"")</f>
        <v>1</v>
      </c>
      <c r="S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P10)*R10)*(VLOOKUP(A10,tbMoveset!A2:C112,3,FALSE)/100)*IF(VLOOKUP(A10,tbMoveset!A2:B112,2,FALSE)="Projectile",Backdoors!N10,Backdoors!N9),0),"")</f>
        <v>1</v>
      </c>
      <c r="T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P10&gt;=0.45,VLOOKUP(Calculator!E23,tbSkills!DH3:DI6,2,FALSE)+IF(AND(Calculator!B8=TRUE,Backdoors!BI5=TRUE),VLOOKUP(Calculator!E23,tbSkills!DH3:DJ6,3,FALSE),0),0))&gt;=100,100,(Backdoors!AI12+IF(P10&gt;=0.45,VLOOKUP(Calculator!E23,tbSkills!DH3:DI6,2,FALSE)+IF(AND(Calculator!B8=TRUE,Backdoors!BI5=TRUE),VLOOKUP(Calculator!E23,tbSkills!DH3:DJ6,3,FALSE),0),0)))/100)),1))*IF(VLOOKUP(A10,tbMoveset!A2:K112,11,FALSE)=TRUE,Backdoors!AC5,1))*Q10,0),"")</f>
        <v>0</v>
      </c>
      <c r="U10" s="49">
        <f>VLOOKUP(A10,tbMoveset!A2:G112,7,FALSE)*IFERROR(IF(Backdoors!AI12&gt;=0,1+(IF(Calculator!E40&gt;0,VLOOKUP(Calculator!E40,tbSkills!AI3:AJ5,2,FALSE),Backdoors!AL4)*(IF((Backdoors!AI12+IF(P10&gt;=0.45,VLOOKUP(Calculator!E23,tbSkills!DH3:DI6,2,FALSE)+IF(AND(Calculator!B8=TRUE,Backdoors!BI5=TRUE),VLOOKUP(Calculator!E23,tbSkills!DH3:DJ6,3,FALSE),0),0))&gt;=100,100,(Backdoors!AI12+IF(P10&gt;=0.45,VLOOKUP(Calculator!E23,tbSkills!DH3:DI6,2,FALSE)+IF(AND(Calculator!B8=TRUE,Backdoors!BI5=TRUE),VLOOKUP(Calculator!E23,tbSkills!DH3:DJ6,3,FALSE),0),0)))/100)),1),1)</f>
        <v>0.4</v>
      </c>
      <c r="V10" s="87">
        <f t="shared" si="37"/>
        <v>1</v>
      </c>
      <c r="W10" s="86">
        <f>IFERROR(IF(VLOOKUP(A10,tbMoveset!A2:B112,2,FALSE)="Sever",Backdoors!AY6/100,IF(VLOOKUP(A10,tbMoveset!A2:B112,2,FALSE)="Blunt",Backdoors!AZ6/100,Backdoors!BA6/100)),"")</f>
        <v>0.45</v>
      </c>
      <c r="X10" s="49">
        <f>IFERROR(IF(VLOOKUP(tbMoveset!A10,tbMoveset!A2:H112,8,FALSE)="Other",IF(VLOOKUP(tbMoveset!A10,tbMoveset!A2:I112,9,FALSE)="Fire",Backdoors!BB6,IF(VLOOKUP(tbMoveset!A10,tbMoveset!A2:I112,9,FALSE)="Water",Backdoors!BC6,IF(VLOOKUP(tbMoveset!A10,tbMoveset!A2:I112,9,FALSE)="Thunder",Backdoors!BD6,IF(VLOOKUP(tbMoveset!A10,tbMoveset!A2:I112,9,FALSE)="Ice",Backdoors!BE6,IF(VLOOKUP(tbMoveset!A10,tbMoveset!A2:I112,9,FALSE)="Dragon",Backdoors!BF6,Backdoors!BG6)))))/100,Backdoors!BG6/100),"")</f>
        <v>0</v>
      </c>
      <c r="Y10" s="49">
        <f>IFERROR(IF(VLOOKUP(A10,tbMoveset!A2:J112,10,FALSE)=TRUE,IF((Backdoors!AI12+IF(W10&gt;=0.45,VLOOKUP(Calculator!E23,tbSkills!DH3:DI6,2,FALSE)+IF(AND(Calculator!B8=TRUE,Backdoors!BI6=TRUE),VLOOKUP(Calculator!E23,tbSkills!DH3:DJ6,3,FALSE),0),0))&gt;=0,1+(Backdoors!AL2*(IF((Backdoors!AI12+IF(W10&gt;=0.45,VLOOKUP(Calculator!E23,tbSkills!DH3:DI6,2,FALSE)+IF(AND(Calculator!B8=TRUE,Backdoors!BI6=TRUE),VLOOKUP(Calculator!E23,tbSkills!DH3:DJ6,3,FALSE),0),0))&gt;=100,100,(Backdoors!AI12+IF(W10&gt;=0.45,VLOOKUP(Calculator!E23,tbSkills!DH3:DI6,2,FALSE)+IF(AND(Calculator!B8=TRUE,Backdoors!BI6=TRUE),VLOOKUP(Calculator!E23,tbSkills!DH3:DJ6,3,FALSE),0),0)))/100)),(1-(0.25*((-Backdoors!AI12-IF(W10&gt;=0.45,VLOOKUP(Calculator!E23,tbSkills!DH3:DI6,2,FALSE)+IF(AND(Calculator!B8=TRUE,Backdoors!BI6=TRUE),VLOOKUP(Calculator!E23,tbSkills!DH3:DJ6,3,FALSE),0),0))/100)))),1),"")</f>
        <v>1</v>
      </c>
      <c r="Z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W10)*Y10)*(VLOOKUP(A10,tbMoveset!A2:C112,3,FALSE)/100)*IF(VLOOKUP(A10,tbMoveset!A2:B112,2,FALSE)="Projectile",Backdoors!N10,Backdoors!N9),0),"")</f>
        <v>1</v>
      </c>
      <c r="AA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W10&gt;=0.45,VLOOKUP(Calculator!E23,tbSkills!DH3:DI6,2,FALSE)+IF(AND(Calculator!B8=TRUE,Backdoors!BI6=TRUE),VLOOKUP(Calculator!E23,tbSkills!DH3:DJ6,3,FALSE),0),0))&gt;=100,100,(Backdoors!AI12+IF(W10&gt;=0.45,VLOOKUP(Calculator!E23,tbSkills!DH3:DI6,2,FALSE)+IF(AND(Calculator!B8=TRUE,Backdoors!BI6=TRUE),VLOOKUP(Calculator!E23,tbSkills!DH3:DJ6,3,FALSE),0),0)))/100)),1))*IF(VLOOKUP(A10,tbMoveset!A2:K112,11,FALSE)=TRUE,Backdoors!AC5,1))*X10,0),"")</f>
        <v>0</v>
      </c>
      <c r="AB10" s="49">
        <f>VLOOKUP(A10,tbMoveset!A2:G112,7,FALSE)*IFERROR(IF(Backdoors!AI12&gt;=0,1+(IF(Calculator!E40&gt;0,VLOOKUP(Calculator!E40,tbSkills!AI3:AJ5,2,FALSE),Backdoors!AL4)*(IF((Backdoors!AI12+IF(W10&gt;=0.45,VLOOKUP(Calculator!E23,tbSkills!DH3:DI6,2,FALSE)+IF(AND(Calculator!B8=TRUE,Backdoors!BI6=TRUE),VLOOKUP(Calculator!E23,tbSkills!DH3:DJ6,3,FALSE),0),0))&gt;=100,100,(Backdoors!AI12+IF(W10&gt;=0.45,VLOOKUP(Calculator!E23,tbSkills!DH3:DI6,2,FALSE)+IF(AND(Calculator!B8=TRUE,Backdoors!BI6=TRUE),VLOOKUP(Calculator!E23,tbSkills!DH3:DJ6,3,FALSE),0),0)))/100)),1),1)</f>
        <v>0.4</v>
      </c>
      <c r="AC10" s="87">
        <f t="shared" si="0"/>
        <v>1</v>
      </c>
      <c r="AD10" s="86">
        <f>IFERROR(IF(VLOOKUP(A10,tbMoveset!A2:B112,2,FALSE)="Sever",Backdoors!AY7/100,IF(VLOOKUP(A10,tbMoveset!A2:B112,2,FALSE)="Blunt",Backdoors!AZ7/100,Backdoors!BA7/100)),"")</f>
        <v>0.65</v>
      </c>
      <c r="AE10" s="49">
        <f>IFERROR(IF(VLOOKUP(tbMoveset!A10,tbMoveset!A2:H112,8,FALSE)="Other",IF(VLOOKUP(tbMoveset!A10,tbMoveset!A2:I112,9,FALSE)="Fire",Backdoors!BB7,IF(VLOOKUP(tbMoveset!A10,tbMoveset!A2:I112,9,FALSE)="Water",Backdoors!BC7,IF(VLOOKUP(tbMoveset!A10,tbMoveset!A2:I112,9,FALSE)="Thunder",Backdoors!BD7,IF(VLOOKUP(tbMoveset!A10,tbMoveset!A2:I112,9,FALSE)="Ice",Backdoors!BE7,IF(VLOOKUP(tbMoveset!A10,tbMoveset!A2:I112,9,FALSE)="Dragon",Backdoors!BF7,Backdoors!BG7)))))/100,Backdoors!BG7/100),"")</f>
        <v>0</v>
      </c>
      <c r="AF10" s="49">
        <f>IFERROR(IF(VLOOKUP(A10,tbMoveset!A2:J112,10,FALSE)=TRUE,IF((Backdoors!AI12+IF(AD10&gt;=0.45,VLOOKUP(Calculator!E23,tbSkills!DH3:DI6,2,FALSE)+IF(AND(Calculator!B8=TRUE,Backdoors!BI7=TRUE),VLOOKUP(Calculator!E23,tbSkills!DH3:DJ6,3,FALSE),0),0))&gt;=0,1+(Backdoors!AL2*(IF((Backdoors!AI12+IF(AD10&gt;=0.45,VLOOKUP(Calculator!E23,tbSkills!DH3:DI6,2,FALSE)+IF(AND(Calculator!B8=TRUE,Backdoors!BI7=TRUE),VLOOKUP(Calculator!E23,tbSkills!DH3:DJ6,3,FALSE),0),0))&gt;=100,100,(Backdoors!AI12+IF(AD10&gt;=0.45,VLOOKUP(Calculator!E23,tbSkills!DH3:DI6,2,FALSE)+IF(AND(Calculator!B8=TRUE,Backdoors!BI7=TRUE),VLOOKUP(Calculator!E23,tbSkills!DH3:DJ6,3,FALSE),0),0)))/100)),(1-(0.25*((-Backdoors!AI12-IF(AD10&gt;=0.45,VLOOKUP(Calculator!E23,tbSkills!DH3:DI6,2,FALSE)+IF(AND(Calculator!B8=TRUE,Backdoors!BI7=TRUE),VLOOKUP(Calculator!E23,tbSkills!DH3:DJ6,3,FALSE),0),0))/100)))),1),"")</f>
        <v>1</v>
      </c>
      <c r="AG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D10)*AF10)*(VLOOKUP(A10,tbMoveset!A2:C112,3,FALSE)/100)*IF(VLOOKUP(A10,tbMoveset!A2:B112,2,FALSE)="Projectile",Backdoors!N10,Backdoors!N9),0),"")</f>
        <v>2</v>
      </c>
      <c r="AH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D10&gt;=0.45,VLOOKUP(Calculator!E23,tbSkills!DH3:DI6,2,FALSE)+IF(AND(Calculator!B8=TRUE,Backdoors!BI7=TRUE),VLOOKUP(Calculator!E23,tbSkills!DH3:DJ6,3,FALSE),0),0))&gt;=100,100,(Backdoors!AI12+IF(AD10&gt;=0.45,VLOOKUP(Calculator!E23,tbSkills!DH3:DI6,2,FALSE)+IF(AND(Calculator!B8=TRUE,Backdoors!BI7=TRUE),VLOOKUP(Calculator!E23,tbSkills!DH3:DJ6,3,FALSE),0),0)))/100)),1))*IF(VLOOKUP(A10,tbMoveset!A2:K112,11,FALSE)=TRUE,Backdoors!AC5,1))*AE10,0),"")</f>
        <v>0</v>
      </c>
      <c r="AI10" s="49">
        <f>VLOOKUP(A10,tbMoveset!A2:G112,7,FALSE)*IFERROR(IF(Backdoors!AI12&gt;=0,1+(IF(Calculator!E40&gt;0,VLOOKUP(Calculator!E40,tbSkills!AI3:AJ5,2,FALSE),Backdoors!AL4)*(IF((Backdoors!AI12+IF(AD10&gt;=0.45,VLOOKUP(Calculator!E23,tbSkills!DH3:DI6,2,FALSE)+IF(AND(Calculator!B8=TRUE,Backdoors!BI7=TRUE),VLOOKUP(Calculator!E23,tbSkills!DH3:DJ6,3,FALSE),0),0))&gt;=100,100,(Backdoors!AI12+IF(AD10&gt;=0.45,VLOOKUP(Calculator!E23,tbSkills!DH3:DI6,2,FALSE)+IF(AND(Calculator!B8=TRUE,Backdoors!BI7=TRUE),VLOOKUP(Calculator!E23,tbSkills!DH3:DJ6,3,FALSE),0),0)))/100)),1),1)</f>
        <v>0.4</v>
      </c>
      <c r="AJ10" s="87">
        <f t="shared" si="1"/>
        <v>2</v>
      </c>
      <c r="AK10" s="91">
        <f>IFERROR(IF(VLOOKUP(A10,tbMoveset!A2:B112,2,FALSE)="Sever",Backdoors!AY8/100,IF(VLOOKUP(A10,tbMoveset!A2:B112,2,FALSE)="Blunt",Backdoors!AZ8/100,Backdoors!BA8/100)),"")</f>
        <v>0.45</v>
      </c>
      <c r="AL10" s="49">
        <f>IFERROR(IF(VLOOKUP(tbMoveset!A10,tbMoveset!A2:H112,8,FALSE)="Other",IF(VLOOKUP(tbMoveset!A10,tbMoveset!A2:I112,9,FALSE)="Fire",Backdoors!BB8,IF(VLOOKUP(tbMoveset!A10,tbMoveset!A2:I112,9,FALSE)="Water",Backdoors!BC8,IF(VLOOKUP(tbMoveset!A10,tbMoveset!A2:I112,9,FALSE)="Thunder",Backdoors!BD8,IF(VLOOKUP(tbMoveset!A10,tbMoveset!A2:I112,9,FALSE)="Ice",Backdoors!BE8,IF(VLOOKUP(tbMoveset!A10,tbMoveset!A2:I112,9,FALSE)="Dragon",Backdoors!BF8,Backdoors!BG8)))))/100,Backdoors!BG8/100),"")</f>
        <v>0</v>
      </c>
      <c r="AM10" s="49">
        <f>IFERROR(IF(VLOOKUP(A10,tbMoveset!A2:J112,10,FALSE)=TRUE,IF((Backdoors!AI12+IF(AK10&gt;=0.45,VLOOKUP(Calculator!E23,tbSkills!DH3:DI6,2,FALSE)+IF(AND(Calculator!B8=TRUE,Backdoors!BI8=TRUE),VLOOKUP(Calculator!E23,tbSkills!DH3:DJ6,3,FALSE),0),0))&gt;=0,1+(Backdoors!AL2*(IF((Backdoors!AI12+IF(AK10&gt;=0.45,VLOOKUP(Calculator!E23,tbSkills!DH3:DI6,2,FALSE)+IF(AND(Calculator!B8=TRUE,Backdoors!BI8=TRUE),VLOOKUP(Calculator!E23,tbSkills!DH3:DJ6,3,FALSE),0),0))&gt;=100,100,(Backdoors!AI12+IF(AK10&gt;=0.45,VLOOKUP(Calculator!E23,tbSkills!DH3:DI6,2,FALSE)+IF(AND(Calculator!B8=TRUE,Backdoors!BI8=TRUE),VLOOKUP(Calculator!E23,tbSkills!DH3:DJ6,3,FALSE),0),0)))/100)),(1-(0.25*((-Backdoors!AI12-IF(AK10&gt;=0.45,VLOOKUP(Calculator!E23,tbSkills!DH3:DI6,2,FALSE)+IF(AND(Calculator!B8=TRUE,Backdoors!BI8=TRUE),VLOOKUP(Calculator!E23,tbSkills!DH3:DJ6,3,FALSE),0),0))/100)))),1),"")</f>
        <v>1</v>
      </c>
      <c r="AN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K10)*AM10)*(VLOOKUP(A10,tbMoveset!A2:C112,3,FALSE)/100)*IF(VLOOKUP(A10,tbMoveset!A2:B112,2,FALSE)="Projectile",Backdoors!N10,Backdoors!N9),0),"")</f>
        <v>1</v>
      </c>
      <c r="AO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K10&gt;=0.45,VLOOKUP(Calculator!E23,tbSkills!DH3:DI6,2,FALSE)+IF(AND(Calculator!B8=TRUE,Backdoors!BI8=TRUE),VLOOKUP(Calculator!E23,tbSkills!DH3:DJ6,3,FALSE),0),0))&gt;=100,100,(Backdoors!AI12+IF(AK10&gt;=0.45,VLOOKUP(Calculator!E23,tbSkills!DH3:DI6,2,FALSE)+IF(AND(Calculator!B8=TRUE,Backdoors!BI8=TRUE),VLOOKUP(Calculator!E23,tbSkills!DH3:DJ6,3,FALSE),0),0)))/100)),1))*IF(VLOOKUP(A10,tbMoveset!A2:K112,11,FALSE)=TRUE,Backdoors!AC5,1))*AL10,0),"")</f>
        <v>0</v>
      </c>
      <c r="AP10" s="49">
        <f>VLOOKUP(A10,tbMoveset!A2:G112,7,FALSE)*IFERROR(IF(Backdoors!AI12&gt;=0,1+(IF(Calculator!E40&gt;0,VLOOKUP(Calculator!E40,tbSkills!AI3:AJ5,2,FALSE),Backdoors!AL4)*(IF((Backdoors!AI12+IF(AK10&gt;=0.45,VLOOKUP(Calculator!E23,tbSkills!DH3:DI6,2,FALSE)+IF(AND(Calculator!B8=TRUE,Backdoors!BI8=TRUE),VLOOKUP(Calculator!E23,tbSkills!DH3:DJ6,3,FALSE),0),0))&gt;=100,100,(Backdoors!AI12+IF(AK10&gt;=0.45,VLOOKUP(Calculator!E23,tbSkills!DH3:DI6,2,FALSE)+IF(AND(Calculator!B8=TRUE,Backdoors!BI8=TRUE),VLOOKUP(Calculator!E23,tbSkills!DH3:DJ6,3,FALSE),0),0)))/100)),1),1)</f>
        <v>0.4</v>
      </c>
      <c r="AQ10" s="87">
        <f t="shared" si="2"/>
        <v>1</v>
      </c>
      <c r="AR10" s="86">
        <f>IFERROR(IF(VLOOKUP(A10,tbMoveset!A2:B112,2,FALSE)="Sever",Backdoors!AY9/100,IF(VLOOKUP(A10,tbMoveset!A2:B112,2,FALSE)="Blunt",Backdoors!AZ9/100,Backdoors!BA9/100)),"")</f>
        <v>0.45</v>
      </c>
      <c r="AS10" s="49">
        <f>IFERROR(IF(VLOOKUP(tbMoveset!A10,tbMoveset!A2:H112,8,FALSE)="Other",IF(VLOOKUP(tbMoveset!A10,tbMoveset!A2:I112,9,FALSE)="Fire",Backdoors!BB9,IF(VLOOKUP(tbMoveset!A10,tbMoveset!A2:I112,9,FALSE)="Water",Backdoors!BC9,IF(VLOOKUP(tbMoveset!A10,tbMoveset!A2:I112,9,FALSE)="Thunder",Backdoors!BD9,IF(VLOOKUP(tbMoveset!A10,tbMoveset!A2:I112,9,FALSE)="Ice",Backdoors!BE9,IF(VLOOKUP(tbMoveset!A10,tbMoveset!A2:I112,9,FALSE)="Dragon",Backdoors!BF9,Backdoors!BG9)))))/100,Backdoors!BG9/100),"")</f>
        <v>0</v>
      </c>
      <c r="AT10" s="49">
        <f>IFERROR(IF(VLOOKUP(A10,tbMoveset!A2:J112,10,FALSE)=TRUE,IF((Backdoors!AI12+IF(AR10&gt;=0.45,VLOOKUP(Calculator!E23,tbSkills!DH3:DI6,2,FALSE)+IF(AND(Calculator!B8=TRUE,Backdoors!BI9=TRUE),VLOOKUP(Calculator!E23,tbSkills!DH3:DJ6,3,FALSE),0),0))&gt;=0,1+(Backdoors!AL2*(IF((Backdoors!AI12+IF(AR10&gt;=0.45,VLOOKUP(Calculator!E23,tbSkills!DH3:DI6,2,FALSE)+IF(AND(Calculator!B8=TRUE,Backdoors!BI9=TRUE),VLOOKUP(Calculator!E23,tbSkills!DH3:DJ6,3,FALSE),0),0))&gt;=100,100,(Backdoors!AI12+IF(AR10&gt;=0.45,VLOOKUP(Calculator!E23,tbSkills!DH3:DI6,2,FALSE)+IF(AND(Calculator!B8=TRUE,Backdoors!BI9=TRUE),VLOOKUP(Calculator!E23,tbSkills!DH3:DJ6,3,FALSE),0),0)))/100)),(1-(0.25*((-Backdoors!AI12-IF(AR10&gt;=0.45,VLOOKUP(Calculator!E23,tbSkills!DH3:DI6,2,FALSE)+IF(AND(Calculator!B8=TRUE,Backdoors!BI9=TRUE),VLOOKUP(Calculator!E23,tbSkills!DH3:DJ6,3,FALSE),0),0))/100)))),1),"")</f>
        <v>1</v>
      </c>
      <c r="AU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R10)*AT10)*(VLOOKUP(A10,tbMoveset!A2:C112,3,FALSE)/100)*IF(VLOOKUP(A10,tbMoveset!A2:B112,2,FALSE)="Projectile",Backdoors!N10,Backdoors!N9),0),"")</f>
        <v>1</v>
      </c>
      <c r="AV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R10&gt;=0.45,VLOOKUP(Calculator!E23,tbSkills!DH3:DI6,2,FALSE)+IF(AND(Calculator!B8=TRUE,Backdoors!BI9=TRUE),VLOOKUP(Calculator!E23,tbSkills!DH3:DJ6,3,FALSE),0),0))&gt;=100,100,(Backdoors!AI12+IF(AR10&gt;=0.45,VLOOKUP(Calculator!E23,tbSkills!DH3:DI6,2,FALSE)+IF(AND(Calculator!B8=TRUE,Backdoors!BI9=TRUE),VLOOKUP(Calculator!E23,tbSkills!DH3:DJ6,3,FALSE),0),0)))/100)),1))*IF(VLOOKUP(A10,tbMoveset!A2:K112,11,FALSE)=TRUE,Backdoors!AC5,1))*AS10,0),"")</f>
        <v>0</v>
      </c>
      <c r="AW10" s="49">
        <f>VLOOKUP(A10,tbMoveset!A2:G112,7,FALSE)*IFERROR(IF(Backdoors!AI12&gt;=0,1+(IF(Calculator!E40&gt;0,VLOOKUP(Calculator!E40,tbSkills!AI3:AJ5,2,FALSE),Backdoors!AL4)*(IF((Backdoors!AI12+IF(AR10&gt;=0.45,VLOOKUP(Calculator!E23,tbSkills!DH3:DI6,2,FALSE)+IF(AND(Calculator!B8=TRUE,Backdoors!BI9=TRUE),VLOOKUP(Calculator!E23,tbSkills!DH3:DJ6,3,FALSE),0),0))&gt;=100,100,(Backdoors!AI12+IF(AR10&gt;=0.45,VLOOKUP(Calculator!E23,tbSkills!DH3:DI6,2,FALSE)+IF(AND(Calculator!B8=TRUE,Backdoors!BI9=TRUE),VLOOKUP(Calculator!E23,tbSkills!DH3:DJ6,3,FALSE),0),0)))/100)),1),1)</f>
        <v>0.4</v>
      </c>
      <c r="AX10" s="87">
        <f t="shared" si="38"/>
        <v>1</v>
      </c>
      <c r="AY10" s="86">
        <f>IFERROR(IF(VLOOKUP(A10,tbMoveset!A2:B112,2,FALSE)="Sever",Backdoors!AY10/100,IF(VLOOKUP(A10,tbMoveset!A2:B112,2,FALSE)="Blunt",Backdoors!AZ10/100,Backdoors!BA10/100)),"")</f>
        <v>0.9</v>
      </c>
      <c r="AZ10" s="49">
        <f>IFERROR(IF(VLOOKUP(tbMoveset!A10,tbMoveset!A2:H112,8,FALSE)="Other",IF(VLOOKUP(tbMoveset!A10,tbMoveset!A2:I112,9,FALSE)="Fire",Backdoors!BB10,IF(VLOOKUP(tbMoveset!A10,tbMoveset!A2:I112,9,FALSE)="Water",Backdoors!BC10,IF(VLOOKUP(tbMoveset!A10,tbMoveset!A2:I112,9,FALSE)="Thunder",Backdoors!BD10,IF(VLOOKUP(tbMoveset!A10,tbMoveset!A2:I112,9,FALSE)="Ice",Backdoors!BE10,IF(VLOOKUP(tbMoveset!A10,tbMoveset!A2:I112,9,FALSE)="Dragon",Backdoors!BF10,Backdoors!BG10)))))/100,Backdoors!BG10/100),"")</f>
        <v>0</v>
      </c>
      <c r="BA10" s="49">
        <f>IFERROR(IF(VLOOKUP(A10,tbMoveset!A2:J112,10,FALSE)=TRUE,IF((Backdoors!AI12+IF(AY10&gt;=0.45,VLOOKUP(Calculator!E23,tbSkills!DH3:DI6,2,FALSE)+IF(AND(Calculator!B8=TRUE,Backdoors!BI10=TRUE),VLOOKUP(Calculator!E23,tbSkills!DH3:DJ6,3,FALSE),0),0))&gt;=0,1+(Backdoors!AL2*(IF((Backdoors!AI12+IF(AY10&gt;=0.45,VLOOKUP(Calculator!E23,tbSkills!DH3:DI6,2,FALSE)+IF(AND(Calculator!B8=TRUE,Backdoors!BI10=TRUE),VLOOKUP(Calculator!E23,tbSkills!DH3:DJ6,3,FALSE),0),0))&gt;=100,100,(Backdoors!AI12+IF(AY10&gt;=0.45,VLOOKUP(Calculator!E23,tbSkills!DH3:DI6,2,FALSE)+IF(AND(Calculator!B8=TRUE,Backdoors!BI10=TRUE),VLOOKUP(Calculator!E23,tbSkills!DH3:DJ6,3,FALSE),0),0)))/100)),(1-(0.25*((-Backdoors!AI12-IF(AY10&gt;=0.45,VLOOKUP(Calculator!E23,tbSkills!DH3:DI6,2,FALSE)+IF(AND(Calculator!B8=TRUE,Backdoors!BI10=TRUE),VLOOKUP(Calculator!E23,tbSkills!DH3:DJ6,3,FALSE),0),0))/100)))),1),"")</f>
        <v>1</v>
      </c>
      <c r="BB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Y10)*BA10)*(VLOOKUP(A10,tbMoveset!A2:C112,3,FALSE)/100)*IF(VLOOKUP(A10,tbMoveset!A2:B112,2,FALSE)="Projectile",Backdoors!N10,Backdoors!N9),0),"")</f>
        <v>2</v>
      </c>
      <c r="BC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Y10&gt;=0.45,VLOOKUP(Calculator!E23,tbSkills!DH3:DI6,2,FALSE)+IF(AND(Calculator!B8=TRUE,Backdoors!BI10=TRUE),VLOOKUP(Calculator!E23,tbSkills!DH3:DJ6,3,FALSE),0),0))&gt;=100,100,(Backdoors!AI12+IF(AY10&gt;=0.45,VLOOKUP(Calculator!E23,tbSkills!DH3:DI6,2,FALSE)+IF(AND(Calculator!B8=TRUE,Backdoors!BI10=TRUE),VLOOKUP(Calculator!E23,tbSkills!DH3:DJ6,3,FALSE),0),0)))/100)),1))*IF(VLOOKUP(A10,tbMoveset!A2:K112,11,FALSE)=TRUE,Backdoors!AC5,1))*AZ10,0),"")</f>
        <v>0</v>
      </c>
      <c r="BD10" s="49">
        <f>VLOOKUP(A10,tbMoveset!A2:G112,7,FALSE)*IFERROR(IF(Backdoors!AI12&gt;=0,1+(IF(Calculator!E40&gt;0,VLOOKUP(Calculator!E40,tbSkills!AI3:AJ5,2,FALSE),Backdoors!AL4)*(IF((Backdoors!AI12+IF(AY10&gt;=0.45,VLOOKUP(Calculator!E23,tbSkills!DH3:DI6,2,FALSE)+IF(AND(Calculator!B8=TRUE,Backdoors!BI10=TRUE),VLOOKUP(Calculator!E23,tbSkills!DH3:DJ6,3,FALSE),0),0))&gt;=100,100,(Backdoors!AI12+IF(AY10&gt;=0.45,VLOOKUP(Calculator!E23,tbSkills!DH3:DI6,2,FALSE)+IF(AND(Calculator!B8=TRUE,Backdoors!BI10=TRUE),VLOOKUP(Calculator!E23,tbSkills!DH3:DJ6,3,FALSE),0),0)))/100)),1),1)</f>
        <v>0.4</v>
      </c>
      <c r="BE10" s="87">
        <f t="shared" si="3"/>
        <v>2</v>
      </c>
      <c r="BF10" s="86" t="str">
        <f>IFERROR(IF(VLOOKUP(A10,tbMoveset!A2:B112,2,FALSE)="Sever",Backdoors!AY11/100,IF(VLOOKUP(A10,tbMoveset!A2:B112,2,FALSE)="Blunt",Backdoors!AZ11/100,Backdoors!BA11/100)),"")</f>
        <v/>
      </c>
      <c r="BG10" s="49">
        <f>IFERROR(IF(VLOOKUP(tbMoveset!A10,tbMoveset!A2:H112,8,FALSE)="Other",IF(VLOOKUP(tbMoveset!A10,tbMoveset!A2:I112,9,FALSE)="Fire",Backdoors!BB11,IF(VLOOKUP(tbMoveset!A10,tbMoveset!A2:I112,9,FALSE)="Water",Backdoors!BC11,IF(VLOOKUP(tbMoveset!A10,tbMoveset!A2:I112,9,FALSE)="Thunder",Backdoors!BD11,IF(VLOOKUP(tbMoveset!A10,tbMoveset!A2:I112,9,FALSE)="Ice",Backdoors!BE11,IF(VLOOKUP(tbMoveset!A10,tbMoveset!A2:I112,9,FALSE)="Dragon",Backdoors!BF11,Backdoors!BG11)))))/100,Backdoors!BG11/100),"")</f>
        <v>0</v>
      </c>
      <c r="BH10" s="49">
        <f>IFERROR(IF(VLOOKUP(A10,tbMoveset!A2:J112,10,FALSE)=TRUE,IF((Backdoors!AI12+IF(BF10&gt;=0.45,VLOOKUP(Calculator!E23,tbSkills!DH3:DI6,2,FALSE)+IF(AND(Calculator!B8=TRUE,Backdoors!BI11=TRUE),VLOOKUP(Calculator!E23,tbSkills!DH3:DJ6,3,FALSE),0),0))&gt;=0,1+(Backdoors!AL2*(IF((Backdoors!AI12+IF(BF10&gt;=0.45,VLOOKUP(Calculator!E23,tbSkills!DH3:DI6,2,FALSE)+IF(AND(Calculator!B8=TRUE,Backdoors!BI11=TRUE),VLOOKUP(Calculator!E23,tbSkills!DH3:DJ6,3,FALSE),0),0))&gt;=100,100,(Backdoors!AI12+IF(BF10&gt;=0.45,VLOOKUP(Calculator!E23,tbSkills!DH3:DI6,2,FALSE)+IF(AND(Calculator!B8=TRUE,Backdoors!BI11=TRUE),VLOOKUP(Calculator!E23,tbSkills!DH3:DJ6,3,FALSE),0),0)))/100)),(1-(0.25*((-Backdoors!AI12-IF(BF10&gt;=0.45,VLOOKUP(Calculator!E23,tbSkills!DH3:DI6,2,FALSE)+IF(AND(Calculator!B8=TRUE,Backdoors!BI11=TRUE),VLOOKUP(Calculator!E23,tbSkills!DH3:DJ6,3,FALSE),0),0))/100)))),1),"")</f>
        <v>1</v>
      </c>
      <c r="BI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F10)*BH10)*(VLOOKUP(A10,tbMoveset!A2:C112,3,FALSE)/100)*IF(VLOOKUP(A10,tbMoveset!A2:B112,2,FALSE)="Projectile",Backdoors!N10,Backdoors!N9),0),"")</f>
        <v/>
      </c>
      <c r="BJ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F10&gt;=0.45,VLOOKUP(Calculator!E23,tbSkills!DH3:DI6,2,FALSE)+IF(AND(Calculator!B8=TRUE,Backdoors!BI11=TRUE),VLOOKUP(Calculator!E23,tbSkills!DH3:DJ6,3,FALSE),0),0))&gt;=100,100,(Backdoors!AI12+IF(BF10&gt;=0.45,VLOOKUP(Calculator!E23,tbSkills!DH3:DI6,2,FALSE)+IF(AND(Calculator!B8=TRUE,Backdoors!BI11=TRUE),VLOOKUP(Calculator!E23,tbSkills!DH3:DJ6,3,FALSE),0),0)))/100)),1))*IF(VLOOKUP(A10,tbMoveset!A2:K112,11,FALSE)=TRUE,Backdoors!AC5,1))*BG10,0),"")</f>
        <v>0</v>
      </c>
      <c r="BK10" s="49">
        <f>VLOOKUP(A10,tbMoveset!A2:G112,7,FALSE)*IFERROR(IF(Backdoors!AI12&gt;=0,1+(IF(Calculator!E40&gt;0,VLOOKUP(Calculator!E40,tbSkills!AI3:AJ5,2,FALSE),Backdoors!AL4)*(IF((Backdoors!AI12+IF(BF10&gt;=0.45,VLOOKUP(Calculator!E23,tbSkills!DH3:DI6,2,FALSE)+IF(AND(Calculator!B8=TRUE,Backdoors!BI11=TRUE),VLOOKUP(Calculator!E23,tbSkills!DH3:DJ6,3,FALSE),0),0))&gt;=100,100,(Backdoors!AI12+IF(BF10&gt;=0.45,VLOOKUP(Calculator!E23,tbSkills!DH3:DI6,2,FALSE)+IF(AND(Calculator!B8=TRUE,Backdoors!BI11=TRUE),VLOOKUP(Calculator!E23,tbSkills!DH3:DJ6,3,FALSE),0),0)))/100)),1),1)</f>
        <v>0.4</v>
      </c>
      <c r="BL10" s="87">
        <f t="shared" si="4"/>
        <v>0</v>
      </c>
      <c r="BM10" s="86" t="str">
        <f>IFERROR(IF(VLOOKUP(A10,tbMoveset!A2:B112,2,FALSE)="Sever",Backdoors!AY12/100,IF(VLOOKUP(A10,tbMoveset!A2:B112,2,FALSE)="Blunt",Backdoors!AZ12/100,Backdoors!BA12/100)),"")</f>
        <v/>
      </c>
      <c r="BN10" s="49">
        <f>IFERROR(IF(VLOOKUP(tbMoveset!A10,tbMoveset!A2:H112,8,FALSE)="Other",IF(VLOOKUP(tbMoveset!A10,tbMoveset!A2:I112,9,FALSE)="Fire",Backdoors!BB12,IF(VLOOKUP(tbMoveset!A10,tbMoveset!A2:I112,9,FALSE)="Water",Backdoors!BC12,IF(VLOOKUP(tbMoveset!A10,tbMoveset!A2:I112,9,FALSE)="Thunder",Backdoors!BD12,IF(VLOOKUP(tbMoveset!A10,tbMoveset!A2:I112,9,FALSE)="Ice",Backdoors!BE12,IF(VLOOKUP(tbMoveset!A10,tbMoveset!A2:I112,9,FALSE)="Dragon",Backdoors!BF12,Backdoors!BG12)))))/100,Backdoors!BG12/100),"")</f>
        <v>0</v>
      </c>
      <c r="BO10" s="49">
        <f>IFERROR(IF(VLOOKUP(A10,tbMoveset!A2:J112,10,FALSE)=TRUE,IF((Backdoors!AI12+IF(BM10&gt;=0.45,VLOOKUP(Calculator!E23,tbSkills!DH3:DI6,2,FALSE)+IF(AND(Calculator!B8=TRUE,Backdoors!BI12=TRUE),VLOOKUP(Calculator!E23,tbSkills!DH3:DJ6,3,FALSE),0),0))&gt;=0,1+(Backdoors!AL2*(IF((Backdoors!AI12+IF(BM10&gt;=0.45,VLOOKUP(Calculator!E23,tbSkills!DH3:DI6,2,FALSE)+IF(AND(Calculator!B8=TRUE,Backdoors!BI12=TRUE),VLOOKUP(Calculator!E23,tbSkills!DH3:DJ6,3,FALSE),0),0))&gt;=100,100,(Backdoors!AI12+IF(BM10&gt;=0.45,VLOOKUP(Calculator!E23,tbSkills!DH3:DI6,2,FALSE)+IF(AND(Calculator!B8=TRUE,Backdoors!BI12=TRUE),VLOOKUP(Calculator!E23,tbSkills!DH3:DJ6,3,FALSE),0),0)))/100)),(1-(0.25*((-Backdoors!AI12-IF(BM10&gt;=0.45,VLOOKUP(Calculator!E23,tbSkills!DH3:DI6,2,FALSE)+IF(AND(Calculator!B8=TRUE,Backdoors!BI12=TRUE),VLOOKUP(Calculator!E23,tbSkills!DH3:DJ6,3,FALSE),0),0))/100)))),1),"")</f>
        <v>1</v>
      </c>
      <c r="BP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M10)*BO10)*(VLOOKUP(A10,tbMoveset!A2:C112,3,FALSE)/100)*IF(VLOOKUP(A10,tbMoveset!A2:B112,2,FALSE)="Projectile",Backdoors!N10,Backdoors!N9),0),"")</f>
        <v/>
      </c>
      <c r="BQ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M10&gt;=0.45,VLOOKUP(Calculator!E23,tbSkills!DH3:DI6,2,FALSE)+IF(AND(Calculator!B8=TRUE,Backdoors!BI12=TRUE),VLOOKUP(Calculator!E23,tbSkills!DH3:DJ6,3,FALSE),0),0))&gt;=100,100,(Backdoors!AI12+IF(BM10&gt;=0.45,VLOOKUP(Calculator!E23,tbSkills!DH3:DI6,2,FALSE)+IF(AND(Calculator!B8=TRUE,Backdoors!BI12=TRUE),VLOOKUP(Calculator!E23,tbSkills!DH3:DJ6,3,FALSE),0),0)))/100)),1))*IF(VLOOKUP(A10,tbMoveset!A2:K112,11,FALSE)=TRUE,Backdoors!AC5,1))*BN10,0),"")</f>
        <v>0</v>
      </c>
      <c r="BR10" s="49">
        <f>VLOOKUP(A10,tbMoveset!A2:G112,7,FALSE)*IFERROR(IF(Backdoors!AI12&gt;=0,1+(IF(Calculator!E40&gt;0,VLOOKUP(Calculator!E40,tbSkills!AI3:AJ5,2,FALSE),Backdoors!AL4)*(IF((Backdoors!AI12+IF(BM10&gt;=0.45,VLOOKUP(Calculator!E23,tbSkills!DH3:DI6,2,FALSE)+IF(AND(Calculator!B8=TRUE,Backdoors!BI12=TRUE),VLOOKUP(Calculator!E23,tbSkills!DH3:DJ6,3,FALSE),0),0))&gt;=100,100,(Backdoors!AI12+IF(BM10&gt;=0.45,VLOOKUP(Calculator!E23,tbSkills!DH3:DI6,2,FALSE)+IF(AND(Calculator!B8=TRUE,Backdoors!BI12=TRUE),VLOOKUP(Calculator!E23,tbSkills!DH3:DJ6,3,FALSE),0),0)))/100)),1),1)</f>
        <v>0.4</v>
      </c>
      <c r="BS10" s="87">
        <f t="shared" si="39"/>
        <v>0</v>
      </c>
      <c r="BT10" s="86" t="str">
        <f>IFERROR(IF(VLOOKUP(A10,tbMoveset!A2:B112,2,FALSE)="Sever",Backdoors!AY13/100,IF(VLOOKUP(A10,tbMoveset!A2:B112,2,FALSE)="Blunt",Backdoors!AZ13/100,Backdoors!BA13/100)),"")</f>
        <v/>
      </c>
      <c r="BU10" s="49">
        <f>IFERROR(IF(VLOOKUP(tbMoveset!A10,tbMoveset!A2:H112,8,FALSE)="Other",IF(VLOOKUP(tbMoveset!A10,tbMoveset!A2:I112,9,FALSE)="Fire",Backdoors!BB13,IF(VLOOKUP(tbMoveset!A10,tbMoveset!A2:I112,9,FALSE)="Water",Backdoors!BC13,IF(VLOOKUP(tbMoveset!A10,tbMoveset!A2:I112,9,FALSE)="Thunder",Backdoors!BD13,IF(VLOOKUP(tbMoveset!A10,tbMoveset!A2:I112,9,FALSE)="Ice",Backdoors!BE13,IF(VLOOKUP(tbMoveset!A10,tbMoveset!A2:I112,9,FALSE)="Dragon",Backdoors!BF13,Backdoors!BG13)))))/100,Backdoors!BG13/100),"")</f>
        <v>0</v>
      </c>
      <c r="BV10" s="49">
        <f>IFERROR(IF(VLOOKUP(A10,tbMoveset!A2:J112,10,FALSE)=TRUE,IF((Backdoors!AI12+IF(BT10&gt;=0.45,VLOOKUP(Calculator!E23,tbSkills!DH3:DI6,2,FALSE)+IF(AND(Calculator!B8=TRUE,Backdoors!BI13=TRUE),VLOOKUP(Calculator!E23,tbSkills!DH3:DJ6,3,FALSE),0),0))&gt;=0,1+(Backdoors!AL2*(IF((Backdoors!AI12+IF(BT10&gt;=0.45,VLOOKUP(Calculator!E23,tbSkills!DH3:DI6,2,FALSE)+IF(AND(Calculator!B8=TRUE,Backdoors!BI13=TRUE),VLOOKUP(Calculator!E23,tbSkills!DH3:DJ6,3,FALSE),0),0))&gt;=100,100,(Backdoors!AI12+IF(BT10&gt;=0.45,VLOOKUP(Calculator!E23,tbSkills!DH3:DI6,2,FALSE)+IF(AND(Calculator!B8=TRUE,Backdoors!BI13=TRUE),VLOOKUP(Calculator!E23,tbSkills!DH3:DJ6,3,FALSE),0),0)))/100)),(1-(0.25*((-Backdoors!AI12-IF(BT10&gt;=0.45,VLOOKUP(Calculator!E23,tbSkills!DH3:DI6,2,FALSE)+IF(AND(Calculator!B8=TRUE,Backdoors!BI13=TRUE),VLOOKUP(Calculator!E23,tbSkills!DH3:DJ6,3,FALSE),0),0))/100)))),1),"")</f>
        <v>1</v>
      </c>
      <c r="BW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T10)*BV10)*(VLOOKUP(A10,tbMoveset!A2:C112,3,FALSE)/100)*IF(VLOOKUP(A10,tbMoveset!A2:B112,2,FALSE)="Projectile",Backdoors!N10,Backdoors!N9),0),"")</f>
        <v/>
      </c>
      <c r="BX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T10&gt;=0.45,VLOOKUP(Calculator!E23,tbSkills!DH3:DI6,2,FALSE)+IF(AND(Calculator!B8=TRUE,Backdoors!BI13=TRUE),VLOOKUP(Calculator!E23,tbSkills!DH3:DJ6,3,FALSE),0),0))&gt;=100,100,(Backdoors!AI12+IF(BT10&gt;=0.45,VLOOKUP(Calculator!E23,tbSkills!DH3:DI6,2,FALSE)+IF(AND(Calculator!B8=TRUE,Backdoors!BI13=TRUE),VLOOKUP(Calculator!E23,tbSkills!DH3:DJ6,3,FALSE),0),0)))/100)),1))*IF(VLOOKUP(A10,tbMoveset!A2:K112,11,FALSE)=TRUE,Backdoors!AC5,1))*BU10,0),"")</f>
        <v>0</v>
      </c>
      <c r="BY10" s="49">
        <f>VLOOKUP(A10,tbMoveset!A2:G112,7,FALSE)*IFERROR(IF(Backdoors!AI12&gt;=0,1+(IF(Calculator!E40&gt;0,VLOOKUP(Calculator!E40,tbSkills!AI3:AJ5,2,FALSE),Backdoors!AL4)*(IF((Backdoors!AI12+IF(BT10&gt;=0.45,VLOOKUP(Calculator!E23,tbSkills!DH3:DI6,2,FALSE)+IF(AND(Calculator!B8=TRUE,Backdoors!BI13=TRUE),VLOOKUP(Calculator!E23,tbSkills!DH3:DJ6,3,FALSE),0),0))&gt;=100,100,(Backdoors!AI12+IF(BT10&gt;=0.45,VLOOKUP(Calculator!E23,tbSkills!DH3:DI6,2,FALSE)+IF(AND(Calculator!B8=TRUE,Backdoors!BI13=TRUE),VLOOKUP(Calculator!E23,tbSkills!DH3:DJ6,3,FALSE),0),0)))/100)),1),1)</f>
        <v>0.4</v>
      </c>
      <c r="BZ10" s="87">
        <f t="shared" si="5"/>
        <v>0</v>
      </c>
      <c r="CA10" s="86" t="str">
        <f>IFERROR(IF(VLOOKUP(A10,tbMoveset!A2:B112,2,FALSE)="Sever",Backdoors!AY14/100,IF(VLOOKUP(A10,tbMoveset!A2:B112,2,FALSE)="Blunt",Backdoors!AZ14/100,Backdoors!BA14/100)),"")</f>
        <v/>
      </c>
      <c r="CB10" s="49">
        <f>IFERROR(IF(VLOOKUP(tbMoveset!A10,tbMoveset!A2:H112,8,FALSE)="Other",IF(VLOOKUP(tbMoveset!A10,tbMoveset!A2:I112,9,FALSE)="Fire",Backdoors!BB14,IF(VLOOKUP(tbMoveset!A10,tbMoveset!A2:I112,9,FALSE)="Water",Backdoors!BC14,IF(VLOOKUP(tbMoveset!A10,tbMoveset!A2:I112,9,FALSE)="Thunder",Backdoors!BD14,IF(VLOOKUP(tbMoveset!A10,tbMoveset!A2:I112,9,FALSE)="Ice",Backdoors!BE14,IF(VLOOKUP(tbMoveset!A10,tbMoveset!A2:I112,9,FALSE)="Dragon",Backdoors!BF14,Backdoors!BG14)))))/100,Backdoors!BG14/100),"")</f>
        <v>0</v>
      </c>
      <c r="CC10" s="49">
        <f>IFERROR(IF(VLOOKUP(A10,tbMoveset!A2:J112,10,FALSE)=TRUE,IF((Backdoors!AI12+IF(CA10&gt;=0.45,VLOOKUP(Calculator!E23,tbSkills!DH3:DI6,2,FALSE)+IF(AND(Calculator!B8=TRUE,Backdoors!BI14=TRUE),VLOOKUP(Calculator!E23,tbSkills!DH3:DJ6,3,FALSE),0),0))&gt;=0,1+(Backdoors!AL2*(IF((Backdoors!AI12+IF(CA10&gt;=0.45,VLOOKUP(Calculator!E23,tbSkills!DH3:DI6,2,FALSE)+IF(AND(Calculator!B8=TRUE,Backdoors!BI14=TRUE),VLOOKUP(Calculator!E23,tbSkills!DH3:DJ6,3,FALSE),0),0))&gt;=100,100,(Backdoors!AI12+IF(CA10&gt;=0.45,VLOOKUP(Calculator!E23,tbSkills!DH3:DI6,2,FALSE)+IF(AND(Calculator!B8=TRUE,Backdoors!BI14=TRUE),VLOOKUP(Calculator!E23,tbSkills!DH3:DJ6,3,FALSE),0),0)))/100)),(1-(0.25*((-Backdoors!AI12-IF(CA10&gt;=0.45,VLOOKUP(Calculator!E23,tbSkills!DH3:DI6,2,FALSE)+IF(AND(Calculator!B8=TRUE,Backdoors!BI14=TRUE),VLOOKUP(Calculator!E23,tbSkills!DH3:DJ6,3,FALSE),0),0))/100)))),1),"")</f>
        <v>1</v>
      </c>
      <c r="CD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A10)*CC10)*(VLOOKUP(A10,tbMoveset!A2:C112,3,FALSE)/100)*IF(VLOOKUP(A10,tbMoveset!A2:B112,2,FALSE)="Projectile",Backdoors!N10,Backdoors!N9),0),"")</f>
        <v/>
      </c>
      <c r="CE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A10&gt;=0.45,VLOOKUP(Calculator!E23,tbSkills!DH3:DI6,2,FALSE)+IF(AND(Calculator!B8=TRUE,Backdoors!BI14=TRUE),VLOOKUP(Calculator!E23,tbSkills!DH3:DJ6,3,FALSE),0),0))&gt;=100,100,(Backdoors!AI12+IF(CA10&gt;=0.45,VLOOKUP(Calculator!E23,tbSkills!DH3:DI6,2,FALSE)+IF(AND(Calculator!B8=TRUE,Backdoors!BI14=TRUE),VLOOKUP(Calculator!E23,tbSkills!DH3:DJ6,3,FALSE),0),0)))/100)),1))*IF(VLOOKUP(A10,tbMoveset!A2:K112,11,FALSE)=TRUE,Backdoors!AC5,1))*CB10,0),"")</f>
        <v>0</v>
      </c>
      <c r="CF10" s="49">
        <f>VLOOKUP(A10,tbMoveset!A2:G112,7,FALSE)*IFERROR(IF(Backdoors!AI12&gt;=0,1+(IF(Calculator!E40&gt;0,VLOOKUP(Calculator!E40,tbSkills!AI3:AJ5,2,FALSE),Backdoors!AL4)*(IF((Backdoors!AI12+IF(CA10&gt;=0.45,VLOOKUP(Calculator!E23,tbSkills!DH3:DI6,2,FALSE)+IF(AND(Calculator!B8=TRUE,Backdoors!BI14=TRUE),VLOOKUP(Calculator!E23,tbSkills!DH3:DJ6,3,FALSE),0),0))&gt;=100,100,(Backdoors!AI12+IF(CA10&gt;=0.45,VLOOKUP(Calculator!E23,tbSkills!DH3:DI6,2,FALSE)+IF(AND(Calculator!B8=TRUE,Backdoors!BI14=TRUE),VLOOKUP(Calculator!E23,tbSkills!DH3:DJ6,3,FALSE),0),0)))/100)),1),1)</f>
        <v>0.4</v>
      </c>
      <c r="CG10" s="87">
        <f t="shared" si="6"/>
        <v>0</v>
      </c>
      <c r="CH10" s="86" t="str">
        <f>IFERROR(IF(VLOOKUP(A10,tbMoveset!A2:B112,2,FALSE)="Sever",Backdoors!AY15/100,IF(VLOOKUP(A10,tbMoveset!A2:B112,2,FALSE)="Blunt",Backdoors!AZ15/100,Backdoors!BA15/100)),"")</f>
        <v/>
      </c>
      <c r="CI10" s="49">
        <f>IFERROR(IF(VLOOKUP(tbMoveset!A10,tbMoveset!A2:H112,8,FALSE)="Other",IF(VLOOKUP(tbMoveset!A10,tbMoveset!A2:I112,9,FALSE)="Fire",Backdoors!BB15,IF(VLOOKUP(tbMoveset!A10,tbMoveset!A2:I112,9,FALSE)="Water",Backdoors!BC15,IF(VLOOKUP(tbMoveset!A10,tbMoveset!A2:I112,9,FALSE)="Thunder",Backdoors!BD15,IF(VLOOKUP(tbMoveset!A10,tbMoveset!A2:I112,9,FALSE)="Ice",Backdoors!BE15,IF(VLOOKUP(tbMoveset!A10,tbMoveset!A2:I112,9,FALSE)="Dragon",Backdoors!BF15,Backdoors!BG15)))))/100,Backdoors!BG15/100),"")</f>
        <v>0</v>
      </c>
      <c r="CJ10" s="49">
        <f>IFERROR(IF(VLOOKUP(A10,tbMoveset!A2:J112,10,FALSE)=TRUE,IF((Backdoors!AI12+IF(CH10&gt;=0.45,VLOOKUP(Calculator!E23,tbSkills!DH3:DI6,2,FALSE)+IF(AND(Calculator!B8=TRUE,Backdoors!BI15=TRUE),VLOOKUP(Calculator!E23,tbSkills!DH3:DJ6,3,FALSE),0),0))&gt;=0,1+(Backdoors!AL2*(IF((Backdoors!AI12+IF(CH10&gt;=0.45,VLOOKUP(Calculator!E23,tbSkills!DH3:DI6,2,FALSE)+IF(AND(Calculator!B8=TRUE,Backdoors!BI15=TRUE),VLOOKUP(Calculator!E23,tbSkills!DH3:DJ6,3,FALSE),0),0))&gt;=100,100,(Backdoors!AI12+IF(CH10&gt;=0.45,VLOOKUP(Calculator!E23,tbSkills!DH3:DI6,2,FALSE)+IF(AND(Calculator!B8=TRUE,Backdoors!BI15=TRUE),VLOOKUP(Calculator!E23,tbSkills!DH3:DJ6,3,FALSE),0),0)))/100)),(1-(0.25*((-Backdoors!AI12-IF(CH10&gt;=0.45,VLOOKUP(Calculator!E23,tbSkills!DH3:DI6,2,FALSE)+IF(AND(Calculator!B8=TRUE,Backdoors!BI15=TRUE),VLOOKUP(Calculator!E23,tbSkills!DH3:DJ6,3,FALSE),0),0))/100)))),1),"")</f>
        <v>1</v>
      </c>
      <c r="CK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H10)*CJ10)*(VLOOKUP(A10,tbMoveset!A2:C112,3,FALSE)/100)*IF(VLOOKUP(A10,tbMoveset!A2:B112,2,FALSE)="Projectile",Backdoors!N10,Backdoors!N9),0),"")</f>
        <v/>
      </c>
      <c r="CL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H10&gt;=0.45,VLOOKUP(Calculator!E23,tbSkills!DH3:DI6,2,FALSE)+IF(AND(Calculator!B8=TRUE,Backdoors!BI15=TRUE),VLOOKUP(Calculator!E23,tbSkills!DH3:DJ6,3,FALSE),0),0))&gt;=100,100,(Backdoors!AI12+IF(CH10&gt;=0.45,VLOOKUP(Calculator!E23,tbSkills!DH3:DI6,2,FALSE)+IF(AND(Calculator!B8=TRUE,Backdoors!BI15=TRUE),VLOOKUP(Calculator!E23,tbSkills!DH3:DJ6,3,FALSE),0),0)))/100)),1))*IF(VLOOKUP(A10,tbMoveset!A2:K112,11,FALSE)=TRUE,Backdoors!AC5,1))*CI10,0),"")</f>
        <v>0</v>
      </c>
      <c r="CM10" s="49">
        <f>VLOOKUP(A10,tbMoveset!A2:G112,7,FALSE)*IFERROR(IF(Backdoors!AI12&gt;=0,1+(IF(Calculator!E40&gt;0,VLOOKUP(Calculator!E40,tbSkills!AI3:AJ5,2,FALSE),Backdoors!AL4)*(IF((Backdoors!AI12+IF(CH10&gt;=0.45,VLOOKUP(Calculator!E23,tbSkills!DH3:DI6,2,FALSE)+IF(AND(Calculator!B8=TRUE,Backdoors!BI15=TRUE),VLOOKUP(Calculator!E23,tbSkills!DH3:DJ6,3,FALSE),0),0))&gt;=100,100,(Backdoors!AI12+IF(CH10&gt;=0.45,VLOOKUP(Calculator!E23,tbSkills!DH3:DI6,2,FALSE)+IF(AND(Calculator!B8=TRUE,Backdoors!BI15=TRUE),VLOOKUP(Calculator!E23,tbSkills!DH3:DJ6,3,FALSE),0),0)))/100)),1),1)</f>
        <v>0.4</v>
      </c>
      <c r="CN10" s="87">
        <f t="shared" si="7"/>
        <v>0</v>
      </c>
      <c r="CO10" s="86" t="str">
        <f>IFERROR(IF(VLOOKUP(A10,tbMoveset!A2:B112,2,FALSE)="Sever",Backdoors!AY16/100,IF(VLOOKUP(A10,tbMoveset!A2:B112,2,FALSE)="Blunt",Backdoors!AZ16/100,Backdoors!BA16/100)),"")</f>
        <v/>
      </c>
      <c r="CP10" s="49">
        <f>IFERROR(IF(VLOOKUP(tbMoveset!A10,tbMoveset!A2:H112,8,FALSE)="Other",IF(VLOOKUP(tbMoveset!A10,tbMoveset!A2:I112,9,FALSE)="Fire",Backdoors!BB16,IF(VLOOKUP(tbMoveset!A10,tbMoveset!A2:I112,9,FALSE)="Water",Backdoors!BC16,IF(VLOOKUP(tbMoveset!A10,tbMoveset!A2:I112,9,FALSE)="Thunder",Backdoors!BD16,IF(VLOOKUP(tbMoveset!A10,tbMoveset!A2:I112,9,FALSE)="Ice",Backdoors!BE16,IF(VLOOKUP(tbMoveset!A10,tbMoveset!A2:I112,9,FALSE)="Dragon",Backdoors!BF16,Backdoors!BG16)))))/100,Backdoors!BG16/100),"")</f>
        <v>0</v>
      </c>
      <c r="CQ10" s="49">
        <f>IFERROR(IF(VLOOKUP(A10,tbMoveset!A2:J112,10,FALSE)=TRUE,IF((Backdoors!AI12+IF(CO10&gt;=0.45,VLOOKUP(Calculator!E23,tbSkills!DH3:DI6,2,FALSE)+IF(AND(Calculator!B8=TRUE,Backdoors!BI16=TRUE),VLOOKUP(Calculator!E23,tbSkills!DH3:DJ6,3,FALSE),0),0))&gt;=0,1+(Backdoors!AL2*(IF((Backdoors!AI12+IF(CO10&gt;=0.45,VLOOKUP(Calculator!E23,tbSkills!DH3:DI6,2,FALSE)+IF(AND(Calculator!B8=TRUE,Backdoors!BI16=TRUE),VLOOKUP(Calculator!E23,tbSkills!DH3:DJ6,3,FALSE),0),0))&gt;=100,100,(Backdoors!AI12+IF(CO10&gt;=0.45,VLOOKUP(Calculator!E23,tbSkills!DH3:DI6,2,FALSE)+IF(AND(Calculator!B8=TRUE,Backdoors!BI16=TRUE),VLOOKUP(Calculator!E23,tbSkills!DH3:DJ6,3,FALSE),0),0)))/100)),(1-(0.25*((-Backdoors!AI12-IF(CO10&gt;=0.45,VLOOKUP(Calculator!E23,tbSkills!DH3:DI6,2,FALSE)+IF(AND(Calculator!B8=TRUE,Backdoors!BI16=TRUE),VLOOKUP(Calculator!E23,tbSkills!DH3:DJ6,3,FALSE),0),0))/100)))),1),"")</f>
        <v>1</v>
      </c>
      <c r="CR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O10)*CQ10)*(VLOOKUP(A10,tbMoveset!A2:C112,3,FALSE)/100)*IF(VLOOKUP(A10,tbMoveset!A2:B112,2,FALSE)="Projectile",Backdoors!N10,Backdoors!N9),0),"")</f>
        <v/>
      </c>
      <c r="CS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O10&gt;=0.45,VLOOKUP(Calculator!E23,tbSkills!DH3:DI6,2,FALSE)+IF(AND(Calculator!B8=TRUE,Backdoors!BI16=TRUE),VLOOKUP(Calculator!E23,tbSkills!DH3:DJ6,3,FALSE),0),0))&gt;=100,100,(Backdoors!AI12+IF(CO10&gt;=0.45,VLOOKUP(Calculator!E23,tbSkills!DH3:DI6,2,FALSE)+IF(AND(Calculator!B8=TRUE,Backdoors!BI16=TRUE),VLOOKUP(Calculator!E23,tbSkills!DH3:DJ6,3,FALSE),0),0)))/100)),1))*IF(VLOOKUP(A10,tbMoveset!A2:K112,11,FALSE)=TRUE,Backdoors!AC5,1))*CP10,0),"")</f>
        <v>0</v>
      </c>
      <c r="CT10" s="49">
        <f>VLOOKUP(A10,tbMoveset!A2:G112,7,FALSE)*IFERROR(IF(Backdoors!AI12&gt;=0,1+(IF(Calculator!E40&gt;0,VLOOKUP(Calculator!E40,tbSkills!AI3:AJ5,2,FALSE),Backdoors!AL4)*(IF((Backdoors!AI12+IF(CO10&gt;=0.45,VLOOKUP(Calculator!E23,tbSkills!DH3:DI6,2,FALSE)+IF(AND(Calculator!B8=TRUE,Backdoors!BI16=TRUE),VLOOKUP(Calculator!E23,tbSkills!DH3:DJ6,3,FALSE),0),0))&gt;=100,100,(Backdoors!AI12+IF(CO10&gt;=0.45,VLOOKUP(Calculator!E23,tbSkills!DH3:DI6,2,FALSE)+IF(AND(Calculator!B8=TRUE,Backdoors!BI16=TRUE),VLOOKUP(Calculator!E23,tbSkills!DH3:DJ6,3,FALSE),0),0)))/100)),1),1)</f>
        <v>0.4</v>
      </c>
      <c r="CU10" s="87">
        <f t="shared" si="40"/>
        <v>0</v>
      </c>
      <c r="CV10" s="86" t="str">
        <f>IFERROR(IF(VLOOKUP(A10,tbMoveset!A2:B112,2,FALSE)="Sever",Backdoors!AY17/100,IF(VLOOKUP(A10,tbMoveset!A2:B112,2,FALSE)="Blunt",Backdoors!AZ17/100,Backdoors!BA17/100)),"")</f>
        <v/>
      </c>
      <c r="CW10" s="49">
        <f>IFERROR(IF(VLOOKUP(tbMoveset!A10,tbMoveset!A2:H112,8,FALSE)="Other",IF(VLOOKUP(tbMoveset!A10,tbMoveset!A2:I112,9,FALSE)="Fire",Backdoors!BB17,IF(VLOOKUP(tbMoveset!A10,tbMoveset!A2:I112,9,FALSE)="Water",Backdoors!BC17,IF(VLOOKUP(tbMoveset!A10,tbMoveset!A2:I112,9,FALSE)="Thunder",Backdoors!BD17,IF(VLOOKUP(tbMoveset!A10,tbMoveset!A2:I112,9,FALSE)="Ice",Backdoors!BE17,IF(VLOOKUP(tbMoveset!A10,tbMoveset!A2:I112,9,FALSE)="Dragon",Backdoors!BF17,Backdoors!BG17)))))/100,Backdoors!BG17/100),"")</f>
        <v>0</v>
      </c>
      <c r="CX10" s="49">
        <f>IFERROR(IF(VLOOKUP(A10,tbMoveset!A2:J112,10,FALSE)=TRUE,IF((Backdoors!AI12+IF(CV10&gt;=0.45,VLOOKUP(Calculator!E23,tbSkills!DH3:DI6,2,FALSE)+IF(AND(Calculator!B8=TRUE,Backdoors!BI17=TRUE),VLOOKUP(Calculator!E23,tbSkills!DH3:DJ6,3,FALSE),0),0))&gt;=0,1+(Backdoors!AL2*(IF((Backdoors!AI12+IF(CV10&gt;=0.45,VLOOKUP(Calculator!E23,tbSkills!DH3:DI6,2,FALSE)+IF(AND(Calculator!B8=TRUE,Backdoors!BI17=TRUE),VLOOKUP(Calculator!E23,tbSkills!DH3:DJ6,3,FALSE),0),0))&gt;=100,100,(Backdoors!AI12+IF(CV10&gt;=0.45,VLOOKUP(Calculator!E23,tbSkills!DH3:DI6,2,FALSE)+IF(AND(Calculator!B8=TRUE,Backdoors!BI17=TRUE),VLOOKUP(Calculator!E23,tbSkills!DH3:DJ6,3,FALSE),0),0)))/100)),(1-(0.25*((-Backdoors!AI12-IF(CV10&gt;=0.45,VLOOKUP(Calculator!E23,tbSkills!DH3:DI6,2,FALSE)+IF(AND(Calculator!B8=TRUE,Backdoors!BI17=TRUE),VLOOKUP(Calculator!E23,tbSkills!DH3:DJ6,3,FALSE),0),0))/100)))),1),"")</f>
        <v>1</v>
      </c>
      <c r="CY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V10)*CX10)*(VLOOKUP(A10,tbMoveset!A2:C112,3,FALSE)/100)*IF(VLOOKUP(A10,tbMoveset!A2:B112,2,FALSE)="Projectile",Backdoors!N10,Backdoors!N9),0),"")</f>
        <v/>
      </c>
      <c r="CZ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V10&gt;=0.45,VLOOKUP(Calculator!E23,tbSkills!DH3:DI6,2,FALSE)+IF(AND(Calculator!B8=TRUE,Backdoors!BI17=TRUE),VLOOKUP(Calculator!E23,tbSkills!DH3:DJ6,3,FALSE),0),0))&gt;=100,100,(Backdoors!AI12+IF(CV10&gt;=0.45,VLOOKUP(Calculator!E23,tbSkills!DH3:DI6,2,FALSE)+IF(AND(Calculator!B8=TRUE,Backdoors!BI17=TRUE),VLOOKUP(Calculator!E23,tbSkills!DH3:DJ6,3,FALSE),0),0)))/100)),1))*IF(VLOOKUP(A10,tbMoveset!A2:K112,11,FALSE)=TRUE,Backdoors!AC5,1))*CW10,0),"")</f>
        <v>0</v>
      </c>
      <c r="DA10" s="49">
        <f>VLOOKUP(A10,tbMoveset!A2:G112,7,FALSE)*IFERROR(IF(Backdoors!AI12&gt;=0,1+(IF(Calculator!E40&gt;0,VLOOKUP(Calculator!E40,tbSkills!AI3:AJ5,2,FALSE),Backdoors!AL4)*(IF((Backdoors!AI12+IF(CV10&gt;=0.45,VLOOKUP(Calculator!E23,tbSkills!DH3:DI6,2,FALSE)+IF(AND(Calculator!B8=TRUE,Backdoors!BI17=TRUE),VLOOKUP(Calculator!E23,tbSkills!DH3:DJ6,3,FALSE),0),0))&gt;=100,100,(Backdoors!AI12+IF(CV10&gt;=0.45,VLOOKUP(Calculator!E23,tbSkills!DH3:DI6,2,FALSE)+IF(AND(Calculator!B8=TRUE,Backdoors!BI17=TRUE),VLOOKUP(Calculator!E23,tbSkills!DH3:DJ6,3,FALSE),0),0)))/100)),1),1)</f>
        <v>0.4</v>
      </c>
      <c r="DB10" s="87">
        <f t="shared" si="8"/>
        <v>0</v>
      </c>
      <c r="DC10" s="86" t="str">
        <f>IFERROR(IF(VLOOKUP(A10,tbMoveset!A2:B112,2,FALSE)="Sever",Backdoors!AY18/100,IF(VLOOKUP(A10,tbMoveset!A2:B112,2,FALSE)="Blunt",Backdoors!AZ18/100,Backdoors!BA18/100)),"")</f>
        <v/>
      </c>
      <c r="DD10" s="49">
        <f>IFERROR(IF(VLOOKUP(tbMoveset!A10,tbMoveset!A2:H112,8,FALSE)="Other",IF(VLOOKUP(tbMoveset!A10,tbMoveset!A2:I112,9,FALSE)="Fire",Backdoors!BB18,IF(VLOOKUP(tbMoveset!A10,tbMoveset!A2:I112,9,FALSE)="Water",Backdoors!BC18,IF(VLOOKUP(tbMoveset!A10,tbMoveset!A2:I112,9,FALSE)="Thunder",Backdoors!BD18,IF(VLOOKUP(tbMoveset!A10,tbMoveset!A2:I112,9,FALSE)="Ice",Backdoors!BE18,IF(VLOOKUP(tbMoveset!A10,tbMoveset!A2:I112,9,FALSE)="Dragon",Backdoors!BF18,Backdoors!BG18)))))/100,Backdoors!BG18/100),"")</f>
        <v>0</v>
      </c>
      <c r="DE10" s="49">
        <f>IFERROR(IF(VLOOKUP(A10,tbMoveset!A2:J112,10,FALSE)=TRUE,IF((Backdoors!AI12+IF(DC10&gt;=0.45,VLOOKUP(Calculator!E23,tbSkills!DH3:DI6,2,FALSE)+IF(AND(Calculator!B8=TRUE,Backdoors!BI18=TRUE),VLOOKUP(Calculator!E23,tbSkills!DH3:DJ6,3,FALSE),0),0))&gt;=0,1+(Backdoors!AL2*(IF((Backdoors!AI12+IF(DC10&gt;=0.45,VLOOKUP(Calculator!E23,tbSkills!DH3:DI6,2,FALSE)+IF(AND(Calculator!B8=TRUE,Backdoors!BI18=TRUE),VLOOKUP(Calculator!E23,tbSkills!DH3:DJ6,3,FALSE),0),0))&gt;=100,100,(Backdoors!AI12+IF(DC10&gt;=0.45,VLOOKUP(Calculator!E23,tbSkills!DH3:DI6,2,FALSE)+IF(AND(Calculator!B8=TRUE,Backdoors!BI18=TRUE),VLOOKUP(Calculator!E23,tbSkills!DH3:DJ6,3,FALSE),0),0)))/100)),(1-(0.25*((-Backdoors!AI12-IF(DC10&gt;=0.45,VLOOKUP(Calculator!E23,tbSkills!DH3:DI6,2,FALSE)+IF(AND(Calculator!B8=TRUE,Backdoors!BI18=TRUE),VLOOKUP(Calculator!E23,tbSkills!DH3:DJ6,3,FALSE),0),0))/100)))),1),"")</f>
        <v>1</v>
      </c>
      <c r="DF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C10)*DE10)*(VLOOKUP(A10,tbMoveset!A2:C112,3,FALSE)/100)*IF(VLOOKUP(A10,tbMoveset!A2:B112,2,FALSE)="Projectile",Backdoors!N10,Backdoors!N9),0),"")</f>
        <v/>
      </c>
      <c r="DG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C10&gt;=0.45,VLOOKUP(Calculator!E23,tbSkills!DH3:DI6,2,FALSE)+IF(AND(Calculator!B8=TRUE,Backdoors!BI18=TRUE),VLOOKUP(Calculator!E23,tbSkills!DH3:DJ6,3,FALSE),0),0))&gt;=100,100,(Backdoors!AI12+IF(DC10&gt;=0.45,VLOOKUP(Calculator!E23,tbSkills!DH3:DI6,2,FALSE)+IF(AND(Calculator!B8=TRUE,Backdoors!BI18=TRUE),VLOOKUP(Calculator!E23,tbSkills!DH3:DJ6,3,FALSE),0),0)))/100)),1))*IF(VLOOKUP(A10,tbMoveset!A2:K112,11,FALSE)=TRUE,Backdoors!AC5,1))*DD10,0),"")</f>
        <v>0</v>
      </c>
      <c r="DH10" s="49">
        <f>VLOOKUP(A10,tbMoveset!A2:G112,7,FALSE)*IFERROR(IF(Backdoors!AI12&gt;=0,1+(IF(Calculator!E40&gt;0,VLOOKUP(Calculator!E40,tbSkills!AI3:AJ5,2,FALSE),Backdoors!AL4)*(IF((Backdoors!AI12+IF(DC10&gt;=0.45,VLOOKUP(Calculator!E23,tbSkills!DH3:DI6,2,FALSE)+IF(AND(Calculator!B8=TRUE,Backdoors!BI18=TRUE),VLOOKUP(Calculator!E23,tbSkills!DH3:DJ6,3,FALSE),0),0))&gt;=100,100,(Backdoors!AI12+IF(DC10&gt;=0.45,VLOOKUP(Calculator!E23,tbSkills!DH3:DI6,2,FALSE)+IF(AND(Calculator!B8=TRUE,Backdoors!BI18=TRUE),VLOOKUP(Calculator!E23,tbSkills!DH3:DJ6,3,FALSE),0),0)))/100)),1),1)</f>
        <v>0.4</v>
      </c>
      <c r="DI10" s="87">
        <f t="shared" si="9"/>
        <v>0</v>
      </c>
      <c r="DJ10" s="86" t="str">
        <f>IFERROR(IF(VLOOKUP(A10,tbMoveset!A2:B112,2,FALSE)="Sever",Backdoors!AY19/100,IF(VLOOKUP(A10,tbMoveset!A2:B112,2,FALSE)="Blunt",Backdoors!AZ19/100,Backdoors!BA19/100)),"")</f>
        <v/>
      </c>
      <c r="DK10" s="49">
        <f>IFERROR(IF(VLOOKUP(tbMoveset!A10,tbMoveset!A2:H112,8,FALSE)="Other",IF(VLOOKUP(tbMoveset!A10,tbMoveset!A2:I112,9,FALSE)="Fire",Backdoors!BB19,IF(VLOOKUP(tbMoveset!A10,tbMoveset!A2:I112,9,FALSE)="Water",Backdoors!BC19,IF(VLOOKUP(tbMoveset!A10,tbMoveset!A2:I112,9,FALSE)="Thunder",Backdoors!BD19,IF(VLOOKUP(tbMoveset!A10,tbMoveset!A2:I112,9,FALSE)="Ice",Backdoors!BE19,IF(VLOOKUP(tbMoveset!A10,tbMoveset!A2:I112,9,FALSE)="Dragon",Backdoors!BF19,Backdoors!BG19)))))/100,Backdoors!BG19/100),"")</f>
        <v>0</v>
      </c>
      <c r="DL10" s="49">
        <f>IFERROR(IF(VLOOKUP(A10,tbMoveset!A2:J112,10,FALSE)=TRUE,IF((Backdoors!AI12+IF(DJ10&gt;=0.45,VLOOKUP(Calculator!E23,tbSkills!DH3:DI6,2,FALSE)+IF(AND(Calculator!B8=TRUE,Backdoors!BI19=TRUE),VLOOKUP(Calculator!E23,tbSkills!DH3:DJ6,3,FALSE),0),0))&gt;=0,1+(Backdoors!AL2*(IF((Backdoors!AI12+IF(DJ10&gt;=0.45,VLOOKUP(Calculator!E23,tbSkills!DH3:DI6,2,FALSE)+IF(AND(Calculator!B8=TRUE,Backdoors!BI19=TRUE),VLOOKUP(Calculator!E23,tbSkills!DH3:DJ6,3,FALSE),0),0))&gt;=100,100,(Backdoors!AI12+IF(DJ10&gt;=0.45,VLOOKUP(Calculator!E23,tbSkills!DH3:DI6,2,FALSE)+IF(AND(Calculator!B8=TRUE,Backdoors!BI19=TRUE),VLOOKUP(Calculator!E23,tbSkills!DH3:DJ6,3,FALSE),0),0)))/100)),(1-(0.25*((-Backdoors!AI12-IF(DJ10&gt;=0.45,VLOOKUP(Calculator!E23,tbSkills!DH3:DI6,2,FALSE)+IF(AND(Calculator!B8=TRUE,Backdoors!BI19=TRUE),VLOOKUP(Calculator!E23,tbSkills!DH3:DJ6,3,FALSE),0),0))/100)))),1),"")</f>
        <v>1</v>
      </c>
      <c r="DM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J10)*DL10)*(VLOOKUP(A10,tbMoveset!A2:C112,3,FALSE)/100)*IF(VLOOKUP(A10,tbMoveset!A2:B112,2,FALSE)="Projectile",Backdoors!N10,Backdoors!N9),0),"")</f>
        <v/>
      </c>
      <c r="DN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J10&gt;=0.45,VLOOKUP(Calculator!E23,tbSkills!DH3:DI6,2,FALSE)+IF(AND(Calculator!B8=TRUE,Backdoors!BI19=TRUE),VLOOKUP(Calculator!E23,tbSkills!DH3:DJ6,3,FALSE),0),0))&gt;=100,100,(Backdoors!AI12+IF(DJ10&gt;=0.45,VLOOKUP(Calculator!E23,tbSkills!DH3:DI6,2,FALSE)+IF(AND(Calculator!B8=TRUE,Backdoors!BI19=TRUE),VLOOKUP(Calculator!E23,tbSkills!DH3:DJ6,3,FALSE),0),0)))/100)),1))*IF(VLOOKUP(A10,tbMoveset!A2:K112,11,FALSE)=TRUE,Backdoors!AC5,1))*DK10,0),"")</f>
        <v>0</v>
      </c>
      <c r="DO10" s="49">
        <f>VLOOKUP(A10,tbMoveset!A2:G112,7,FALSE)*IFERROR(IF(Backdoors!AI12&gt;=0,1+(IF(Calculator!E40&gt;0,VLOOKUP(Calculator!E40,tbSkills!AI3:AJ5,2,FALSE),Backdoors!AL4)*(IF((Backdoors!AI12+IF(DJ10&gt;=0.45,VLOOKUP(Calculator!E23,tbSkills!DH3:DI6,2,FALSE)+IF(AND(Calculator!B8=TRUE,Backdoors!BI19=TRUE),VLOOKUP(Calculator!E23,tbSkills!DH3:DJ6,3,FALSE),0),0))&gt;=100,100,(Backdoors!AI12+IF(DJ10&gt;=0.45,VLOOKUP(Calculator!E23,tbSkills!DH3:DI6,2,FALSE)+IF(AND(Calculator!B8=TRUE,Backdoors!BI19=TRUE),VLOOKUP(Calculator!E23,tbSkills!DH3:DJ6,3,FALSE),0),0)))/100)),1),1)</f>
        <v>0.4</v>
      </c>
      <c r="DP10" s="87">
        <f t="shared" si="41"/>
        <v>0</v>
      </c>
      <c r="DQ10" s="86" t="str">
        <f>IFERROR(IF(VLOOKUP(A10,tbMoveset!A2:B112,2,FALSE)="Sever",Backdoors!AY20/100,IF(VLOOKUP(A10,tbMoveset!A2:B112,2,FALSE)="Blunt",Backdoors!AZ20/100,Backdoors!BA20/100)),"")</f>
        <v/>
      </c>
      <c r="DR10" s="49">
        <f>IFERROR(IF(VLOOKUP(tbMoveset!A10,tbMoveset!A2:H112,8,FALSE)="Other",IF(VLOOKUP(tbMoveset!A10,tbMoveset!A2:I112,9,FALSE)="Fire",Backdoors!BB20,IF(VLOOKUP(tbMoveset!A10,tbMoveset!A2:I112,9,FALSE)="Water",Backdoors!BC20,IF(VLOOKUP(tbMoveset!A10,tbMoveset!A2:I112,9,FALSE)="Thunder",Backdoors!BD20,IF(VLOOKUP(tbMoveset!A10,tbMoveset!A2:I112,9,FALSE)="Ice",Backdoors!BE20,IF(VLOOKUP(tbMoveset!A10,tbMoveset!A2:I112,9,FALSE)="Dragon",Backdoors!BF20,Backdoors!BG20)))))/100,Backdoors!BG20/100),"")</f>
        <v>0</v>
      </c>
      <c r="DS10" s="49">
        <f>IFERROR(IF(VLOOKUP(A10,tbMoveset!A2:J112,10,FALSE)=TRUE,IF((Backdoors!AI12+IF(DQ10&gt;=0.45,VLOOKUP(Calculator!E23,tbSkills!DH3:DI6,2,FALSE)+IF(AND(Calculator!B8=TRUE,Backdoors!BI20=TRUE),VLOOKUP(Calculator!E23,tbSkills!DH3:DJ6,3,FALSE),0),0))&gt;=0,1+(Backdoors!AL2*(IF((Backdoors!AI12+IF(DQ10&gt;=0.45,VLOOKUP(Calculator!E23,tbSkills!DH3:DI6,2,FALSE)+IF(AND(Calculator!B8=TRUE,Backdoors!BI20=TRUE),VLOOKUP(Calculator!E23,tbSkills!DH3:DJ6,3,FALSE),0),0))&gt;=100,100,(Backdoors!AI12+IF(DQ10&gt;=0.45,VLOOKUP(Calculator!E23,tbSkills!DH3:DI6,2,FALSE)+IF(AND(Calculator!B8=TRUE,Backdoors!BI20=TRUE),VLOOKUP(Calculator!E23,tbSkills!DH3:DJ6,3,FALSE),0),0)))/100)),(1-(0.25*((-Backdoors!AI12-IF(DQ10&gt;=0.45,VLOOKUP(Calculator!E23,tbSkills!DH3:DI6,2,FALSE)+IF(AND(Calculator!B8=TRUE,Backdoors!BI20=TRUE),VLOOKUP(Calculator!E23,tbSkills!DH3:DJ6,3,FALSE),0),0))/100)))),1),"")</f>
        <v>1</v>
      </c>
      <c r="DT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Q10)*DS10)*(VLOOKUP(A10,tbMoveset!A2:C112,3,FALSE)/100)*IF(VLOOKUP(A10,tbMoveset!A2:B112,2,FALSE)="Projectile",Backdoors!N10,Backdoors!N9),0),"")</f>
        <v/>
      </c>
      <c r="DU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Q10&gt;=0.45,VLOOKUP(Calculator!E23,tbSkills!DH3:DI6,2,FALSE)+IF(AND(Calculator!B8=TRUE,Backdoors!BI20=TRUE),VLOOKUP(Calculator!E23,tbSkills!DH3:DJ6,3,FALSE),0),0))&gt;=100,100,(Backdoors!AI12+IF(DQ10&gt;=0.45,VLOOKUP(Calculator!E23,tbSkills!DH3:DI6,2,FALSE)+IF(AND(Calculator!B8=TRUE,Backdoors!BI20=TRUE),VLOOKUP(Calculator!E23,tbSkills!DH3:DJ6,3,FALSE),0),0)))/100)),1))*IF(VLOOKUP(A10,tbMoveset!A2:K112,11,FALSE)=TRUE,Backdoors!AC5,1))*DR10,0),"")</f>
        <v>0</v>
      </c>
      <c r="DV10" s="49">
        <f>VLOOKUP(A10,tbMoveset!A2:G112,7,FALSE)*IFERROR(IF(Backdoors!AI12&gt;=0,1+(IF(Calculator!E40&gt;0,VLOOKUP(Calculator!E40,tbSkills!AI3:AJ5,2,FALSE),Backdoors!AL4)*(IF((Backdoors!AI12+IF(DQ10&gt;=0.45,VLOOKUP(Calculator!E23,tbSkills!DH3:DI6,2,FALSE)+IF(AND(Calculator!B8=TRUE,Backdoors!BI20=TRUE),VLOOKUP(Calculator!E23,tbSkills!DH3:DJ6,3,FALSE),0),0))&gt;=100,100,(Backdoors!AI12+IF(DQ10&gt;=0.45,VLOOKUP(Calculator!E23,tbSkills!DH3:DI6,2,FALSE)+IF(AND(Calculator!B8=TRUE,Backdoors!BI20=TRUE),VLOOKUP(Calculator!E23,tbSkills!DH3:DJ6,3,FALSE),0),0)))/100)),1),1)</f>
        <v>0.4</v>
      </c>
      <c r="DW10" s="87">
        <f t="shared" si="10"/>
        <v>0</v>
      </c>
      <c r="DX10" s="86" t="str">
        <f>IFERROR(IF(VLOOKUP(A10,tbMoveset!A2:B112,2,FALSE)="Sever",Backdoors!AY21/100,IF(VLOOKUP(A10,tbMoveset!A2:B112,2,FALSE)="Blunt",Backdoors!AZ21/100,Backdoors!BA21/100)),"")</f>
        <v/>
      </c>
      <c r="DY10" s="49">
        <f>IFERROR(IF(VLOOKUP(tbMoveset!A10,tbMoveset!A2:H112,8,FALSE)="Other",IF(VLOOKUP(tbMoveset!A10,tbMoveset!A2:I112,9,FALSE)="Fire",Backdoors!BB21,IF(VLOOKUP(tbMoveset!A10,tbMoveset!A2:I112,9,FALSE)="Water",Backdoors!BC21,IF(VLOOKUP(tbMoveset!A10,tbMoveset!A2:I112,9,FALSE)="Thunder",Backdoors!BD21,IF(VLOOKUP(tbMoveset!A10,tbMoveset!A2:I112,9,FALSE)="Ice",Backdoors!BE21,IF(VLOOKUP(tbMoveset!A10,tbMoveset!A2:I112,9,FALSE)="Dragon",Backdoors!BF21,Backdoors!BG21)))))/100,Backdoors!BG21/100),"")</f>
        <v>0</v>
      </c>
      <c r="DZ10" s="49">
        <f>IFERROR(IF(VLOOKUP(A10,tbMoveset!A2:J112,10,FALSE)=TRUE,IF((Backdoors!AI12+IF(DX10&gt;=0.45,VLOOKUP(Calculator!E23,tbSkills!DH3:DI6,2,FALSE)+IF(AND(Calculator!B8=TRUE,Backdoors!BI21=TRUE),VLOOKUP(Calculator!E23,tbSkills!DH3:DJ6,3,FALSE),0),0))&gt;=0,1+(Backdoors!AL2*(IF((Backdoors!AI12+IF(DX10&gt;=0.45,VLOOKUP(Calculator!E23,tbSkills!DH3:DI6,2,FALSE)+IF(AND(Calculator!B8=TRUE,Backdoors!BI21=TRUE),VLOOKUP(Calculator!E23,tbSkills!DH3:DJ6,3,FALSE),0),0))&gt;=100,100,(Backdoors!AI12+IF(DX10&gt;=0.45,VLOOKUP(Calculator!E23,tbSkills!DH3:DI6,2,FALSE)+IF(AND(Calculator!B8=TRUE,Backdoors!BI21=TRUE),VLOOKUP(Calculator!E23,tbSkills!DH3:DJ6,3,FALSE),0),0)))/100)),(1-(0.25*((-Backdoors!AI12-IF(DX10&gt;=0.45,VLOOKUP(Calculator!E23,tbSkills!DH3:DI6,2,FALSE)+IF(AND(Calculator!B8=TRUE,Backdoors!BI21=TRUE),VLOOKUP(Calculator!E23,tbSkills!DH3:DJ6,3,FALSE),0),0))/100)))),1),"")</f>
        <v>1</v>
      </c>
      <c r="EA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X10)*DZ10)*(VLOOKUP(A10,tbMoveset!A2:C112,3,FALSE)/100)*IF(VLOOKUP(A10,tbMoveset!A2:B112,2,FALSE)="Projectile",Backdoors!N10,Backdoors!N9),0),"")</f>
        <v/>
      </c>
      <c r="EB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X10&gt;=0.45,VLOOKUP(Calculator!E23,tbSkills!DH3:DI6,2,FALSE)+IF(AND(Calculator!B8=TRUE,Backdoors!BI21=TRUE),VLOOKUP(Calculator!E23,tbSkills!DH3:DJ6,3,FALSE),0),0))&gt;=100,100,(Backdoors!AI12+IF(DX10&gt;=0.45,VLOOKUP(Calculator!E23,tbSkills!DH3:DI6,2,FALSE)+IF(AND(Calculator!B8=TRUE,Backdoors!BI21=TRUE),VLOOKUP(Calculator!E23,tbSkills!DH3:DJ6,3,FALSE),0),0)))/100)),1))*IF(VLOOKUP(A10,tbMoveset!A2:K112,11,FALSE)=TRUE,Backdoors!AC5,1))*DY10,0),"")</f>
        <v>0</v>
      </c>
      <c r="EC10" s="49">
        <f>VLOOKUP(A10,tbMoveset!A2:G112,7,FALSE)*IFERROR(IF(Backdoors!AI12&gt;=0,1+(IF(Calculator!E40&gt;0,VLOOKUP(Calculator!E40,tbSkills!AI3:AJ5,2,FALSE),Backdoors!AL4)*(IF((Backdoors!AI12+IF(DX10&gt;=0.45,VLOOKUP(Calculator!E23,tbSkills!DH3:DI6,2,FALSE)+IF(AND(Calculator!B8=TRUE,Backdoors!BI21=TRUE),VLOOKUP(Calculator!E23,tbSkills!DH3:DJ6,3,FALSE),0),0))&gt;=100,100,(Backdoors!AI12+IF(DX10&gt;=0.45,VLOOKUP(Calculator!E23,tbSkills!DH3:DI6,2,FALSE)+IF(AND(Calculator!B8=TRUE,Backdoors!BI21=TRUE),VLOOKUP(Calculator!E23,tbSkills!DH3:DJ6,3,FALSE),0),0)))/100)),1),1)</f>
        <v>0.4</v>
      </c>
      <c r="ED10" s="87">
        <f t="shared" si="11"/>
        <v>0</v>
      </c>
      <c r="EE10" s="86" t="str">
        <f>IFERROR(IF(VLOOKUP(A10,tbMoveset!A2:B112,2,FALSE)="Sever",Backdoors!AY22/100,IF(VLOOKUP(A10,tbMoveset!A2:B112,2,FALSE)="Blunt",Backdoors!AZ22/100,Backdoors!BA22/100)),"")</f>
        <v/>
      </c>
      <c r="EF10" s="49">
        <f>IFERROR(IF(VLOOKUP(tbMoveset!A10,tbMoveset!A2:H112,8,FALSE)="Other",IF(VLOOKUP(tbMoveset!A10,tbMoveset!A2:I112,9,FALSE)="Fire",Backdoors!BB22,IF(VLOOKUP(tbMoveset!A10,tbMoveset!A2:I112,9,FALSE)="Water",Backdoors!BC22,IF(VLOOKUP(tbMoveset!A10,tbMoveset!A2:I112,9,FALSE)="Thunder",Backdoors!BD22,IF(VLOOKUP(tbMoveset!A10,tbMoveset!A2:I112,9,FALSE)="Ice",Backdoors!BE22,IF(VLOOKUP(tbMoveset!A10,tbMoveset!A2:I112,9,FALSE)="Dragon",Backdoors!BF22,Backdoors!BG22)))))/100,Backdoors!BG22/100),"")</f>
        <v>0</v>
      </c>
      <c r="EG10" s="49">
        <f>IFERROR(IF(VLOOKUP(A10,tbMoveset!A2:J112,10,FALSE)=TRUE,IF((Backdoors!AI12+IF(EE10&gt;=0.45,VLOOKUP(Calculator!E23,tbSkills!DH3:DI6,2,FALSE)+IF(AND(Calculator!B8=TRUE,Backdoors!BI22=TRUE),VLOOKUP(Calculator!E23,tbSkills!DH3:DJ6,3,FALSE),0),0))&gt;=0,1+(Backdoors!AL2*(IF((Backdoors!AI12+IF(EE10&gt;=0.45,VLOOKUP(Calculator!E23,tbSkills!DH3:DI6,2,FALSE)+IF(AND(Calculator!B8=TRUE,Backdoors!BI22=TRUE),VLOOKUP(Calculator!E23,tbSkills!DH3:DJ6,3,FALSE),0),0))&gt;=100,100,(Backdoors!AI12+IF(EE10&gt;=0.45,VLOOKUP(Calculator!E23,tbSkills!DH3:DI6,2,FALSE)+IF(AND(Calculator!B8=TRUE,Backdoors!BI22=TRUE),VLOOKUP(Calculator!E23,tbSkills!DH3:DJ6,3,FALSE),0),0)))/100)),(1-(0.25*((-Backdoors!AI12-IF(EE10&gt;=0.45,VLOOKUP(Calculator!E23,tbSkills!DH3:DI6,2,FALSE)+IF(AND(Calculator!B8=TRUE,Backdoors!BI22=TRUE),VLOOKUP(Calculator!E23,tbSkills!DH3:DJ6,3,FALSE),0),0))/100)))),1),"")</f>
        <v>1</v>
      </c>
      <c r="EH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E10)*EG10)*(VLOOKUP(A10,tbMoveset!A2:C112,3,FALSE)/100)*IF(VLOOKUP(A10,tbMoveset!A2:B112,2,FALSE)="Projectile",Backdoors!N10,Backdoors!N9),0),"")</f>
        <v/>
      </c>
      <c r="EI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E10&gt;=0.45,VLOOKUP(Calculator!E23,tbSkills!DH3:DI6,2,FALSE)+IF(AND(Calculator!B8=TRUE,Backdoors!BI22=TRUE),VLOOKUP(Calculator!E23,tbSkills!DH3:DJ6,3,FALSE),0),0))&gt;=100,100,(Backdoors!AI12+IF(EE10&gt;=0.45,VLOOKUP(Calculator!E23,tbSkills!DH3:DI6,2,FALSE)+IF(AND(Calculator!B8=TRUE,Backdoors!BI22=TRUE),VLOOKUP(Calculator!E23,tbSkills!DH3:DJ6,3,FALSE),0),0)))/100)),1))*IF(VLOOKUP(A10,tbMoveset!A2:K112,11,FALSE)=TRUE,Backdoors!AC5,1))*EF10,0),"")</f>
        <v>0</v>
      </c>
      <c r="EJ10" s="49">
        <f>VLOOKUP(A10,tbMoveset!A2:G112,7,FALSE)*IFERROR(IF(Backdoors!AI12&gt;=0,1+(IF(Calculator!E40&gt;0,VLOOKUP(Calculator!E40,tbSkills!AI3:AJ5,2,FALSE),Backdoors!AL4)*(IF((Backdoors!AI12+IF(EE10&gt;=0.45,VLOOKUP(Calculator!E23,tbSkills!DH3:DI6,2,FALSE)+IF(AND(Calculator!B8=TRUE,Backdoors!BI22=TRUE),VLOOKUP(Calculator!E23,tbSkills!DH3:DJ6,3,FALSE),0),0))&gt;=100,100,(Backdoors!AI12+IF(EE10&gt;=0.45,VLOOKUP(Calculator!E23,tbSkills!DH3:DI6,2,FALSE)+IF(AND(Calculator!B8=TRUE,Backdoors!BI22=TRUE),VLOOKUP(Calculator!E23,tbSkills!DH3:DJ6,3,FALSE),0),0)))/100)),1),1)</f>
        <v>0.4</v>
      </c>
      <c r="EK10" s="87">
        <f t="shared" si="12"/>
        <v>0</v>
      </c>
      <c r="EL10" s="86" t="str">
        <f>IFERROR(IF(VLOOKUP(A10,tbMoveset!A2:B112,2,FALSE)="Sever",Backdoors!AY23/100,IF(VLOOKUP(A10,tbMoveset!A2:B112,2,FALSE)="Blunt",Backdoors!AZ23/100,Backdoors!BA23/100)),"")</f>
        <v/>
      </c>
      <c r="EM10" s="49">
        <f>IFERROR(IF(VLOOKUP(tbMoveset!A10,tbMoveset!A2:H112,8,FALSE)="Other",IF(VLOOKUP(tbMoveset!A10,tbMoveset!A2:I112,9,FALSE)="Fire",Backdoors!BB23,IF(VLOOKUP(tbMoveset!A10,tbMoveset!A2:I112,9,FALSE)="Water",Backdoors!BC23,IF(VLOOKUP(tbMoveset!A10,tbMoveset!A2:I112,9,FALSE)="Thunder",Backdoors!BD23,IF(VLOOKUP(tbMoveset!A10,tbMoveset!A2:I112,9,FALSE)="Ice",Backdoors!BE23,IF(VLOOKUP(tbMoveset!A10,tbMoveset!A2:I112,9,FALSE)="Dragon",Backdoors!BF23,Backdoors!BG23)))))/100,Backdoors!BG23/100),"")</f>
        <v>0</v>
      </c>
      <c r="EN10" s="49">
        <f>IFERROR(IF(VLOOKUP(A10,tbMoveset!A2:J112,10,FALSE)=TRUE,IF((Backdoors!AI12+IF(EL10&gt;=0.45,VLOOKUP(Calculator!E23,tbSkills!DH3:DI6,2,FALSE)+IF(AND(Calculator!B8=TRUE,Backdoors!BI23=TRUE),VLOOKUP(Calculator!E23,tbSkills!DH3:DJ6,3,FALSE),0),0))&gt;=0,1+(Backdoors!AL2*(IF((Backdoors!AI12+IF(EL10&gt;=0.45,VLOOKUP(Calculator!E23,tbSkills!DH3:DI6,2,FALSE)+IF(AND(Calculator!B8=TRUE,Backdoors!BI23=TRUE),VLOOKUP(Calculator!E23,tbSkills!DH3:DJ6,3,FALSE),0),0))&gt;=100,100,(Backdoors!AI12+IF(EL10&gt;=0.45,VLOOKUP(Calculator!E23,tbSkills!DH3:DI6,2,FALSE)+IF(AND(Calculator!B8=TRUE,Backdoors!BI23=TRUE),VLOOKUP(Calculator!E23,tbSkills!DH3:DJ6,3,FALSE),0),0)))/100)),(1-(0.25*((-Backdoors!AI12-IF(EL10&gt;=0.45,VLOOKUP(Calculator!E23,tbSkills!DH3:DI6,2,FALSE)+IF(AND(Calculator!B8=TRUE,Backdoors!BI23=TRUE),VLOOKUP(Calculator!E23,tbSkills!DH3:DJ6,3,FALSE),0),0))/100)))),1),"")</f>
        <v>1</v>
      </c>
      <c r="EO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L10)*EN10)*(VLOOKUP(A10,tbMoveset!A2:C112,3,FALSE)/100)*IF(VLOOKUP(A10,tbMoveset!A2:B112,2,FALSE)="Projectile",Backdoors!N10,Backdoors!N9),0),"")</f>
        <v/>
      </c>
      <c r="EP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L10&gt;=0.45,VLOOKUP(Calculator!E23,tbSkills!DH3:DI6,2,FALSE)+IF(AND(Calculator!B8=TRUE,Backdoors!BI23=TRUE),VLOOKUP(Calculator!E23,tbSkills!DH3:DJ6,3,FALSE),0),0))&gt;=100,100,(Backdoors!AI12+IF(EL10&gt;=0.45,VLOOKUP(Calculator!E23,tbSkills!DH3:DI6,2,FALSE)+IF(AND(Calculator!B8=TRUE,Backdoors!BI23=TRUE),VLOOKUP(Calculator!E23,tbSkills!DH3:DJ6,3,FALSE),0),0)))/100)),1))*IF(VLOOKUP(A10,tbMoveset!A2:K112,11,FALSE)=TRUE,Backdoors!AC5,1))*EM10,0),"")</f>
        <v>0</v>
      </c>
      <c r="EQ10" s="49">
        <f>VLOOKUP(A10,tbMoveset!A2:G112,7,FALSE)*IFERROR(IF(Backdoors!AI12&gt;=0,1+(IF(Calculator!E40&gt;0,VLOOKUP(Calculator!E40,tbSkills!AI3:AJ5,2,FALSE),Backdoors!AL4)*(IF((Backdoors!AI12+IF(EL10&gt;=0.45,VLOOKUP(Calculator!E23,tbSkills!DH3:DI6,2,FALSE)+IF(AND(Calculator!B8=TRUE,Backdoors!BI23=TRUE),VLOOKUP(Calculator!E23,tbSkills!DH3:DJ6,3,FALSE),0),0))&gt;=100,100,(Backdoors!AI12+IF(EL10&gt;=0.45,VLOOKUP(Calculator!E23,tbSkills!DH3:DI6,2,FALSE)+IF(AND(Calculator!B8=TRUE,Backdoors!BI23=TRUE),VLOOKUP(Calculator!E23,tbSkills!DH3:DJ6,3,FALSE),0),0)))/100)),1),1)</f>
        <v>0.4</v>
      </c>
      <c r="ER10" s="87">
        <f t="shared" si="13"/>
        <v>0</v>
      </c>
      <c r="ES10" s="86" t="str">
        <f>IFERROR(IF(VLOOKUP(A10,tbMoveset!A2:B112,2,FALSE)="Sever",Backdoors!AY24/100,IF(VLOOKUP(A10,tbMoveset!A2:B112,2,FALSE)="Blunt",Backdoors!AZ24/100,Backdoors!BA24/100)),"")</f>
        <v/>
      </c>
      <c r="ET10" s="49">
        <f>IFERROR(IF(VLOOKUP(tbMoveset!A10,tbMoveset!A2:H112,8,FALSE)="Other",IF(VLOOKUP(tbMoveset!A10,tbMoveset!A2:I112,9,FALSE)="Fire",Backdoors!BB24,IF(VLOOKUP(tbMoveset!A10,tbMoveset!A2:I112,9,FALSE)="Water",Backdoors!BC24,IF(VLOOKUP(tbMoveset!A10,tbMoveset!A2:I112,9,FALSE)="Thunder",Backdoors!BD24,IF(VLOOKUP(tbMoveset!A10,tbMoveset!A2:I112,9,FALSE)="Ice",Backdoors!BE24,IF(VLOOKUP(tbMoveset!A10,tbMoveset!A2:I112,9,FALSE)="Dragon",Backdoors!BF24,Backdoors!BG24)))))/100,Backdoors!BG24/100),"")</f>
        <v>0</v>
      </c>
      <c r="EU10" s="49">
        <f>IFERROR(IF(VLOOKUP(A10,tbMoveset!A2:J112,10,FALSE)=TRUE,IF((Backdoors!AI12+IF(ES10&gt;=0.45,VLOOKUP(Calculator!E23,tbSkills!DH3:DI6,2,FALSE)+IF(AND(Calculator!B8=TRUE,Backdoors!BI24=TRUE),VLOOKUP(Calculator!E23,tbSkills!DH3:DJ6,3,FALSE),0),0))&gt;=0,1+(Backdoors!AL2*(IF((Backdoors!AI12+IF(ES10&gt;=0.45,VLOOKUP(Calculator!E23,tbSkills!DH3:DI6,2,FALSE)+IF(AND(Calculator!B8=TRUE,Backdoors!BI24=TRUE),VLOOKUP(Calculator!E23,tbSkills!DH3:DJ6,3,FALSE),0),0))&gt;=100,100,(Backdoors!AI12+IF(ES10&gt;=0.45,VLOOKUP(Calculator!E23,tbSkills!DH3:DI6,2,FALSE)+IF(AND(Calculator!B8=TRUE,Backdoors!BI24=TRUE),VLOOKUP(Calculator!E23,tbSkills!DH3:DJ6,3,FALSE),0),0)))/100)),(1-(0.25*((-Backdoors!AI12-IF(ES10&gt;=0.45,VLOOKUP(Calculator!E23,tbSkills!DH3:DI6,2,FALSE)+IF(AND(Calculator!B8=TRUE,Backdoors!BI24=TRUE),VLOOKUP(Calculator!E23,tbSkills!DH3:DJ6,3,FALSE),0),0))/100)))),1),"")</f>
        <v>1</v>
      </c>
      <c r="EV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S10)*EU10)*(VLOOKUP(A10,tbMoveset!A2:C112,3,FALSE)/100)*IF(VLOOKUP(A10,tbMoveset!A2:B112,2,FALSE)="Projectile",Backdoors!N10,Backdoors!N9),0),"")</f>
        <v/>
      </c>
      <c r="EW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S10&gt;=0.45,VLOOKUP(Calculator!E23,tbSkills!DH3:DI6,2,FALSE)+IF(AND(Calculator!B8=TRUE,Backdoors!BI24=TRUE),VLOOKUP(Calculator!E23,tbSkills!DH3:DJ6,3,FALSE),0),0))&gt;=100,100,(Backdoors!AI12+IF(ES10&gt;=0.45,VLOOKUP(Calculator!E23,tbSkills!DH3:DI6,2,FALSE)+IF(AND(Calculator!B8=TRUE,Backdoors!BI24=TRUE),VLOOKUP(Calculator!E23,tbSkills!DH3:DJ6,3,FALSE),0),0)))/100)),1))*IF(VLOOKUP(A10,tbMoveset!A2:K112,11,FALSE)=TRUE,Backdoors!AC5,1))*ET10,0),"")</f>
        <v>0</v>
      </c>
      <c r="EX10" s="49">
        <f>VLOOKUP(A10,tbMoveset!A2:G112,7,FALSE)*IFERROR(IF(Backdoors!AI12&gt;=0,1+(IF(Calculator!E40&gt;0,VLOOKUP(Calculator!E40,tbSkills!AI3:AJ5,2,FALSE),Backdoors!AL4)*(IF((Backdoors!AI12+IF(ES10&gt;=0.45,VLOOKUP(Calculator!E23,tbSkills!DH3:DI6,2,FALSE)+IF(AND(Calculator!B8=TRUE,Backdoors!BI24=TRUE),VLOOKUP(Calculator!E23,tbSkills!DH3:DJ6,3,FALSE),0),0))&gt;=100,100,(Backdoors!AI12+IF(ES10&gt;=0.45,VLOOKUP(Calculator!E23,tbSkills!DH3:DI6,2,FALSE)+IF(AND(Calculator!B8=TRUE,Backdoors!BI24=TRUE),VLOOKUP(Calculator!E23,tbSkills!DH3:DJ6,3,FALSE),0),0)))/100)),1),1)</f>
        <v>0.4</v>
      </c>
      <c r="EY10" s="87">
        <f t="shared" si="14"/>
        <v>0</v>
      </c>
      <c r="EZ10" s="86" t="str">
        <f>IFERROR(IF(VLOOKUP(A10,tbMoveset!A2:B112,2,FALSE)="Sever",Backdoors!AY25/100,IF(VLOOKUP(A10,tbMoveset!A2:B112,2,FALSE)="Blunt",Backdoors!AZ25/100,Backdoors!BA25/100)),"")</f>
        <v/>
      </c>
      <c r="FA10" s="49">
        <f>IFERROR(IF(VLOOKUP(tbMoveset!A10,tbMoveset!A2:H112,8,FALSE)="Other",IF(VLOOKUP(tbMoveset!A10,tbMoveset!A2:I112,9,FALSE)="Fire",Backdoors!BB25,IF(VLOOKUP(tbMoveset!A10,tbMoveset!A2:I112,9,FALSE)="Water",Backdoors!BC25,IF(VLOOKUP(tbMoveset!A10,tbMoveset!A2:I112,9,FALSE)="Thunder",Backdoors!BD25,IF(VLOOKUP(tbMoveset!A10,tbMoveset!A2:I112,9,FALSE)="Ice",Backdoors!BE25,IF(VLOOKUP(tbMoveset!A10,tbMoveset!A2:I112,9,FALSE)="Dragon",Backdoors!BF25,Backdoors!BG25)))))/100,Backdoors!BG25/100),"")</f>
        <v>0</v>
      </c>
      <c r="FB10" s="49">
        <f>IFERROR(IF(VLOOKUP(A10,tbMoveset!A2:J112,10,FALSE)=TRUE,IF((Backdoors!AI12+IF(EZ10&gt;=0.45,VLOOKUP(Calculator!E23,tbSkills!DH3:DI6,2,FALSE)+IF(AND(Calculator!B8=TRUE,Backdoors!BI25=TRUE),VLOOKUP(Calculator!E23,tbSkills!DH3:DJ6,3,FALSE),0),0))&gt;=0,1+(Backdoors!AL2*(IF((Backdoors!AI12+IF(EZ10&gt;=0.45,VLOOKUP(Calculator!E23,tbSkills!DH3:DI6,2,FALSE)+IF(AND(Calculator!B8=TRUE,Backdoors!BI25=TRUE),VLOOKUP(Calculator!E23,tbSkills!DH3:DJ6,3,FALSE),0),0))&gt;=100,100,(Backdoors!AI12+IF(EZ10&gt;=0.45,VLOOKUP(Calculator!E23,tbSkills!DH3:DI6,2,FALSE)+IF(AND(Calculator!B8=TRUE,Backdoors!BI25=TRUE),VLOOKUP(Calculator!E23,tbSkills!DH3:DJ6,3,FALSE),0),0)))/100)),(1-(0.25*((-Backdoors!AI12-IF(EZ10&gt;=0.45,VLOOKUP(Calculator!E23,tbSkills!DH3:DI6,2,FALSE)+IF(AND(Calculator!B8=TRUE,Backdoors!BI25=TRUE),VLOOKUP(Calculator!E23,tbSkills!DH3:DJ6,3,FALSE),0),0))/100)))),1),"")</f>
        <v>1</v>
      </c>
      <c r="FC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Z10)*FB10)*(VLOOKUP(A10,tbMoveset!A2:C112,3,FALSE)/100)*IF(VLOOKUP(A10,tbMoveset!A2:B112,2,FALSE)="Projectile",Backdoors!N10,Backdoors!N9),0),"")</f>
        <v/>
      </c>
      <c r="FD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Z10&gt;=0.45,VLOOKUP(Calculator!E23,tbSkills!DH3:DI6,2,FALSE)+IF(AND(Calculator!B8=TRUE,Backdoors!BI25=TRUE),VLOOKUP(Calculator!E23,tbSkills!DH3:DJ6,3,FALSE),0),0))&gt;=100,100,(Backdoors!AI12+IF(EZ10&gt;=0.45,VLOOKUP(Calculator!E23,tbSkills!DH3:DI6,2,FALSE)+IF(AND(Calculator!B8=TRUE,Backdoors!BI25=TRUE),VLOOKUP(Calculator!E23,tbSkills!DH3:DJ6,3,FALSE),0),0)))/100)),1))*IF(VLOOKUP(A10,tbMoveset!A2:K112,11,FALSE)=TRUE,Backdoors!AC5,1))*FA10,0),"")</f>
        <v>0</v>
      </c>
      <c r="FE10" s="49">
        <f>VLOOKUP(A10,tbMoveset!A2:G112,7,FALSE)*IFERROR(IF(Backdoors!AI12&gt;=0,1+(IF(Calculator!E40&gt;0,VLOOKUP(Calculator!E40,tbSkills!AI3:AJ5,2,FALSE),Backdoors!AL4)*(IF((Backdoors!AI12+IF(EZ10&gt;=0.45,VLOOKUP(Calculator!E23,tbSkills!DH3:DI6,2,FALSE)+IF(AND(Calculator!B8=TRUE,Backdoors!BI25=TRUE),VLOOKUP(Calculator!E23,tbSkills!DH3:DJ6,3,FALSE),0),0))&gt;=100,100,(Backdoors!AI12+IF(EZ10&gt;=0.45,VLOOKUP(Calculator!E23,tbSkills!DH3:DI6,2,FALSE)+IF(AND(Calculator!B8=TRUE,Backdoors!BI25=TRUE),VLOOKUP(Calculator!E23,tbSkills!DH3:DJ6,3,FALSE),0),0)))/100)),1),1)</f>
        <v>0.4</v>
      </c>
      <c r="FF10" s="87">
        <f t="shared" si="15"/>
        <v>0</v>
      </c>
      <c r="FG10" s="86" t="str">
        <f>IFERROR(IF(VLOOKUP(A10,tbMoveset!A2:B112,2,FALSE)="Sever",Backdoors!AY26/100,IF(VLOOKUP(A10,tbMoveset!A2:B112,2,FALSE)="Blunt",Backdoors!AZ26/100,Backdoors!BA26/100)),"")</f>
        <v/>
      </c>
      <c r="FH10" s="49">
        <f>IFERROR(IF(VLOOKUP(tbMoveset!A10,tbMoveset!A2:H112,8,FALSE)="Other",IF(VLOOKUP(tbMoveset!A10,tbMoveset!A2:I112,9,FALSE)="Fire",Backdoors!BB26,IF(VLOOKUP(tbMoveset!A10,tbMoveset!A2:I112,9,FALSE)="Water",Backdoors!BC26,IF(VLOOKUP(tbMoveset!A10,tbMoveset!A2:I112,9,FALSE)="Thunder",Backdoors!BD26,IF(VLOOKUP(tbMoveset!A10,tbMoveset!A2:I112,9,FALSE)="Ice",Backdoors!BE26,IF(VLOOKUP(tbMoveset!A10,tbMoveset!A2:I112,9,FALSE)="Dragon",Backdoors!BF26,Backdoors!BG26)))))/100,Backdoors!BG26/100),"")</f>
        <v>0</v>
      </c>
      <c r="FI10" s="49">
        <f>IFERROR(IF(VLOOKUP(A10,tbMoveset!A2:J112,10,FALSE)=TRUE,IF((Backdoors!AI12+IF(FG10&gt;=0.45,VLOOKUP(Calculator!E23,tbSkills!DH3:DI6,2,FALSE)+IF(AND(Calculator!B8=TRUE,Backdoors!BI26=TRUE),VLOOKUP(Calculator!E23,tbSkills!DH3:DJ6,3,FALSE),0),0))&gt;=0,1+(Backdoors!AL2*(IF((Backdoors!AI12+IF(FG10&gt;=0.45,VLOOKUP(Calculator!E23,tbSkills!DH3:DI6,2,FALSE)+IF(AND(Calculator!B8=TRUE,Backdoors!BI26=TRUE),VLOOKUP(Calculator!E23,tbSkills!DH3:DJ6,3,FALSE),0),0))&gt;=100,100,(Backdoors!AI12+IF(FG10&gt;=0.45,VLOOKUP(Calculator!E23,tbSkills!DH3:DI6,2,FALSE)+IF(AND(Calculator!B8=TRUE,Backdoors!BI26=TRUE),VLOOKUP(Calculator!E23,tbSkills!DH3:DJ6,3,FALSE),0),0)))/100)),(1-(0.25*((-Backdoors!AI12-IF(FG10&gt;=0.45,VLOOKUP(Calculator!E23,tbSkills!DH3:DI6,2,FALSE)+IF(AND(Calculator!B8=TRUE,Backdoors!BI26=TRUE),VLOOKUP(Calculator!E23,tbSkills!DH3:DJ6,3,FALSE),0),0))/100)))),1),"")</f>
        <v>1</v>
      </c>
      <c r="FJ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FG10)*FI10)*(VLOOKUP(A10,tbMoveset!A2:C112,3,FALSE)/100)*IF(VLOOKUP(A10,tbMoveset!A2:B112,2,FALSE)="Projectile",Backdoors!N10,Backdoors!N9),0),"")</f>
        <v/>
      </c>
      <c r="FK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FG10&gt;=0.45,VLOOKUP(Calculator!E23,tbSkills!DH3:DI6,2,FALSE)+IF(AND(Calculator!B8=TRUE,Backdoors!BI26=TRUE),VLOOKUP(Calculator!E23,tbSkills!DH3:DJ6,3,FALSE),0),0))&gt;=100,100,(Backdoors!AI12+IF(FG10&gt;=0.45,VLOOKUP(Calculator!E23,tbSkills!DH3:DI6,2,FALSE)+IF(AND(Calculator!B8=TRUE,Backdoors!BI26=TRUE),VLOOKUP(Calculator!E23,tbSkills!DH3:DJ6,3,FALSE),0),0)))/100)),1))*IF(VLOOKUP(A10,tbMoveset!A2:K112,11,FALSE)=TRUE,Backdoors!AC5,1))*FH10,0),"")</f>
        <v>0</v>
      </c>
      <c r="FL10" s="49">
        <f>VLOOKUP(A10,tbMoveset!A2:G112,7,FALSE)*IFERROR(IF(Backdoors!AI12&gt;=0,1+(IF(Calculator!E40&gt;0,VLOOKUP(Calculator!E40,tbSkills!AI3:AJ5,2,FALSE),Backdoors!AL4)*(IF((Backdoors!AI12+IF(FG10&gt;=0.45,VLOOKUP(Calculator!E23,tbSkills!DH3:DI6,2,FALSE)+IF(AND(Calculator!B8=TRUE,Backdoors!BI26=TRUE),VLOOKUP(Calculator!E23,tbSkills!DH3:DJ6,3,FALSE),0),0))&gt;=100,100,(Backdoors!AI12+IF(FG10&gt;=0.45,VLOOKUP(Calculator!E23,tbSkills!DH3:DI6,2,FALSE)+IF(AND(Calculator!B8=TRUE,Backdoors!BI26=TRUE),VLOOKUP(Calculator!E23,tbSkills!DH3:DJ6,3,FALSE),0),0)))/100)),1),1)</f>
        <v>0.4</v>
      </c>
      <c r="FM10" s="87">
        <f t="shared" si="16"/>
        <v>0</v>
      </c>
      <c r="FN10" s="86" t="str">
        <f>IFERROR(IF(VLOOKUP(A10,tbMoveset!A2:B112,2,FALSE)="Sever",Backdoors!AY27/100,IF(VLOOKUP(A10,tbMoveset!A2:B112,2,FALSE)="Blunt",Backdoors!AZ27/100,Backdoors!BA27/100)),"")</f>
        <v/>
      </c>
      <c r="FO10" s="49">
        <f>IFERROR(IF(VLOOKUP(tbMoveset!A10,tbMoveset!A2:H112,8,FALSE)="Other",IF(VLOOKUP(tbMoveset!A10,tbMoveset!A2:I112,9,FALSE)="Fire",Backdoors!BB27,IF(VLOOKUP(tbMoveset!A10,tbMoveset!A2:I112,9,FALSE)="Water",Backdoors!BC27,IF(VLOOKUP(tbMoveset!A10,tbMoveset!A2:I112,9,FALSE)="Thunder",Backdoors!BD27,IF(VLOOKUP(tbMoveset!A10,tbMoveset!A2:I112,9,FALSE)="Ice",Backdoors!BE27,IF(VLOOKUP(tbMoveset!A10,tbMoveset!A2:I112,9,FALSE)="Dragon",Backdoors!BF27,Backdoors!BG27)))))/100,Backdoors!BG27/100),"")</f>
        <v>0</v>
      </c>
      <c r="FP10" s="49">
        <f>IFERROR(IF(VLOOKUP(A10,tbMoveset!A2:J112,10,FALSE)=TRUE,IF((Backdoors!AI12+IF(FN10&gt;=0.45,VLOOKUP(Calculator!E23,tbSkills!DH3:DI6,2,FALSE)+IF(AND(Calculator!B8=TRUE,Backdoors!BI27=TRUE),VLOOKUP(Calculator!E23,tbSkills!DH3:DJ6,3,FALSE),0),0))&gt;=0,1+(Backdoors!AL2*(IF((Backdoors!AI12+IF(FN10&gt;=0.45,VLOOKUP(Calculator!E23,tbSkills!DH3:DI6,2,FALSE)+IF(AND(Calculator!B8=TRUE,Backdoors!BI27=TRUE),VLOOKUP(Calculator!E23,tbSkills!DH3:DJ6,3,FALSE),0),0))&gt;=100,100,(Backdoors!AI12+IF(FN10&gt;=0.45,VLOOKUP(Calculator!E23,tbSkills!DH3:DI6,2,FALSE)+IF(AND(Calculator!B8=TRUE,Backdoors!BI27=TRUE),VLOOKUP(Calculator!E23,tbSkills!DH3:DJ6,3,FALSE),0),0)))/100)),(1-(0.25*((-Backdoors!AI12-IF(FN10&gt;=0.45,VLOOKUP(Calculator!E23,tbSkills!DH3:DI6,2,FALSE)+IF(AND(Calculator!B8=TRUE,Backdoors!BI27=TRUE),VLOOKUP(Calculator!E23,tbSkills!DH3:DJ6,3,FALSE),0),0))/100)))),1),"")</f>
        <v>1</v>
      </c>
      <c r="FQ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FN10)*FP10)*(VLOOKUP(A10,tbMoveset!A2:C112,3,FALSE)/100)*IF(VLOOKUP(A10,tbMoveset!A2:B112,2,FALSE)="Projectile",Backdoors!N10,Backdoors!N9),0),"")</f>
        <v/>
      </c>
      <c r="FR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FN10&gt;=0.45,VLOOKUP(Calculator!E23,tbSkills!DH3:DI6,2,FALSE)+IF(AND(Calculator!B8=TRUE,Backdoors!BI27=TRUE),VLOOKUP(Calculator!E23,tbSkills!DH3:DJ6,3,FALSE),0),0))&gt;=100,100,(Backdoors!AI12+IF(FN10&gt;=0.45,VLOOKUP(Calculator!E23,tbSkills!DH3:DI6,2,FALSE)+IF(AND(Calculator!B8=TRUE,Backdoors!BI27=TRUE),VLOOKUP(Calculator!E23,tbSkills!DH3:DJ6,3,FALSE),0),0)))/100)),1))*IF(VLOOKUP(A10,tbMoveset!A2:K112,11,FALSE)=TRUE,Backdoors!AC5,1))*FO10,0),"")</f>
        <v>0</v>
      </c>
      <c r="FS10" s="49">
        <f>VLOOKUP(A10,tbMoveset!A2:G112,7,FALSE)*IFERROR(IF(Backdoors!AI12&gt;=0,1+(IF(Calculator!E40&gt;0,VLOOKUP(Calculator!E40,tbSkills!AI3:AJ5,2,FALSE),Backdoors!AL4)*(IF((Backdoors!AI12+IF(FN10&gt;=0.45,VLOOKUP(Calculator!E23,tbSkills!DH3:DI6,2,FALSE)+IF(AND(Calculator!B8=TRUE,Backdoors!BI27=TRUE),VLOOKUP(Calculator!E23,tbSkills!DH3:DJ6,3,FALSE),0),0))&gt;=100,100,(Backdoors!AI12+IF(FN10&gt;=0.45,VLOOKUP(Calculator!E23,tbSkills!DH3:DI6,2,FALSE)+IF(AND(Calculator!B8=TRUE,Backdoors!BI27=TRUE),VLOOKUP(Calculator!E23,tbSkills!DH3:DJ6,3,FALSE),0),0)))/100)),1),1)</f>
        <v>0.4</v>
      </c>
      <c r="FT10" s="87">
        <f t="shared" si="17"/>
        <v>0</v>
      </c>
      <c r="FU10" s="86" t="str">
        <f>IFERROR(IF(VLOOKUP(A10,tbMoveset!A2:B112,2,FALSE)="Sever",Backdoors!AY28/100,IF(VLOOKUP(A10,tbMoveset!A2:B112,2,FALSE)="Blunt",Backdoors!AZ28/100,Backdoors!BA28/100)),"")</f>
        <v/>
      </c>
      <c r="FV10" s="49">
        <f>IFERROR(IF(VLOOKUP(tbMoveset!A10,tbMoveset!A2:H112,8,FALSE)="Other",IF(VLOOKUP(tbMoveset!A10,tbMoveset!A2:I112,9,FALSE)="Fire",Backdoors!BB28,IF(VLOOKUP(tbMoveset!A10,tbMoveset!A2:I112,9,FALSE)="Water",Backdoors!BC28,IF(VLOOKUP(tbMoveset!A10,tbMoveset!A2:I112,9,FALSE)="Thunder",Backdoors!BD28,IF(VLOOKUP(tbMoveset!A10,tbMoveset!A2:I112,9,FALSE)="Ice",Backdoors!BE28,IF(VLOOKUP(tbMoveset!A10,tbMoveset!A2:I112,9,FALSE)="Dragon",Backdoors!BF28,Backdoors!BG28)))))/100,Backdoors!BG28/100),"")</f>
        <v>0</v>
      </c>
      <c r="FW10" s="49">
        <f>IFERROR(IF(VLOOKUP(A10,tbMoveset!A2:J112,10,FALSE)=TRUE,IF((Backdoors!AI12+IF(FU10&gt;=0.45,VLOOKUP(Calculator!E23,tbSkills!DH3:DI6,2,FALSE)+IF(AND(Calculator!B8=TRUE,Backdoors!BI28=TRUE),VLOOKUP(Calculator!E23,tbSkills!DH3:DJ6,3,FALSE),0),0))&gt;=0,1+(Backdoors!AL2*(IF((Backdoors!AI12+IF(FU10&gt;=0.45,VLOOKUP(Calculator!E23,tbSkills!DH3:DI6,2,FALSE)+IF(AND(Calculator!B8=TRUE,Backdoors!BI28=TRUE),VLOOKUP(Calculator!E23,tbSkills!DH3:DJ6,3,FALSE),0),0))&gt;=100,100,(Backdoors!AI12+IF(FU10&gt;=0.45,VLOOKUP(Calculator!E23,tbSkills!DH3:DI6,2,FALSE)+IF(AND(Calculator!B8=TRUE,Backdoors!BI28=TRUE),VLOOKUP(Calculator!E23,tbSkills!DH3:DJ6,3,FALSE),0),0)))/100)),(1-(0.25*((-Backdoors!AI12-IF(FU10&gt;=0.45,VLOOKUP(Calculator!E23,tbSkills!DH3:DI6,2,FALSE)+IF(AND(Calculator!B8=TRUE,Backdoors!BI28=TRUE),VLOOKUP(Calculator!E23,tbSkills!DH3:DJ6,3,FALSE),0),0))/100)))),1),"")</f>
        <v>1</v>
      </c>
      <c r="FX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FU10)*FW10)*(VLOOKUP(A10,tbMoveset!A2:C112,3,FALSE)/100)*IF(VLOOKUP(A10,tbMoveset!A2:B112,2,FALSE)="Projectile",Backdoors!N10,Backdoors!N9),0),"")</f>
        <v/>
      </c>
      <c r="FY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FU10&gt;=0.45,VLOOKUP(Calculator!E23,tbSkills!DH3:DI6,2,FALSE)+IF(AND(Calculator!B8=TRUE,Backdoors!BI28=TRUE),VLOOKUP(Calculator!E23,tbSkills!DH3:DJ6,3,FALSE),0),0))&gt;=100,100,(Backdoors!AI12+IF(FU10&gt;=0.45,VLOOKUP(Calculator!E23,tbSkills!DH3:DI6,2,FALSE)+IF(AND(Calculator!B8=TRUE,Backdoors!BI28=TRUE),VLOOKUP(Calculator!E23,tbSkills!DH3:DJ6,3,FALSE),0),0)))/100)),1))*IF(VLOOKUP(A10,tbMoveset!A2:K112,11,FALSE)=TRUE,Backdoors!AC5,1))*FV10,0),"")</f>
        <v>0</v>
      </c>
      <c r="FZ10" s="49">
        <f>VLOOKUP(A10,tbMoveset!A2:G112,7,FALSE)*IFERROR(IF(Backdoors!AI12&gt;=0,1+(IF(Calculator!E40&gt;0,VLOOKUP(Calculator!E40,tbSkills!AI3:AJ5,2,FALSE),Backdoors!AL4)*(IF((Backdoors!AI12+IF(FU10&gt;=0.45,VLOOKUP(Calculator!E23,tbSkills!DH3:DI6,2,FALSE)+IF(AND(Calculator!B8=TRUE,Backdoors!BI28=TRUE),VLOOKUP(Calculator!E23,tbSkills!DH3:DJ6,3,FALSE),0),0))&gt;=100,100,(Backdoors!AI12+IF(FU10&gt;=0.45,VLOOKUP(Calculator!E23,tbSkills!DH3:DI6,2,FALSE)+IF(AND(Calculator!B8=TRUE,Backdoors!BI28=TRUE),VLOOKUP(Calculator!E23,tbSkills!DH3:DJ6,3,FALSE),0),0)))/100)),1),1)</f>
        <v>0.4</v>
      </c>
      <c r="GA10" s="87">
        <f t="shared" si="18"/>
        <v>0</v>
      </c>
      <c r="GB10" s="86" t="str">
        <f>IFERROR(IF(VLOOKUP(A10,tbMoveset!A2:B112,2,FALSE)="Sever",Backdoors!AY29/100,IF(VLOOKUP(A10,tbMoveset!A2:B112,2,FALSE)="Blunt",Backdoors!AZ29/100,Backdoors!BA29/100)),"")</f>
        <v/>
      </c>
      <c r="GC10" s="49">
        <f>IFERROR(IF(VLOOKUP(tbMoveset!A10,tbMoveset!A2:H112,8,FALSE)="Other",IF(VLOOKUP(tbMoveset!A10,tbMoveset!A2:I112,9,FALSE)="Fire",Backdoors!BB29,IF(VLOOKUP(tbMoveset!A10,tbMoveset!A2:I112,9,FALSE)="Water",Backdoors!BC29,IF(VLOOKUP(tbMoveset!A10,tbMoveset!A2:I112,9,FALSE)="Thunder",Backdoors!BD29,IF(VLOOKUP(tbMoveset!A10,tbMoveset!A2:I112,9,FALSE)="Ice",Backdoors!BE29,IF(VLOOKUP(tbMoveset!A10,tbMoveset!A2:I112,9,FALSE)="Dragon",Backdoors!BF29,Backdoors!BG29)))))/100,Backdoors!BG29/100),"")</f>
        <v>0</v>
      </c>
      <c r="GD10" s="49">
        <f>IFERROR(IF(VLOOKUP(A10,tbMoveset!A2:J112,10,FALSE)=TRUE,IF((Backdoors!AI12+IF(GB10&gt;=0.45,VLOOKUP(Calculator!E23,tbSkills!DH3:DI6,2,FALSE)+IF(AND(Calculator!B8=TRUE,Backdoors!BI29=TRUE),VLOOKUP(Calculator!E23,tbSkills!DH3:DJ6,3,FALSE),0),0))&gt;=0,1+(Backdoors!AL2*(IF((Backdoors!AI12+IF(GB10&gt;=0.45,VLOOKUP(Calculator!E23,tbSkills!DH3:DI6,2,FALSE)+IF(AND(Calculator!B8=TRUE,Backdoors!BI29=TRUE),VLOOKUP(Calculator!E23,tbSkills!DH3:DJ6,3,FALSE),0),0))&gt;=100,100,(Backdoors!AI12+IF(GB10&gt;=0.45,VLOOKUP(Calculator!E23,tbSkills!DH3:DI6,2,FALSE)+IF(AND(Calculator!B8=TRUE,Backdoors!BI29=TRUE),VLOOKUP(Calculator!E23,tbSkills!DH3:DJ6,3,FALSE),0),0)))/100)),(1-(0.25*((-Backdoors!AI12-IF(GB10&gt;=0.45,VLOOKUP(Calculator!E23,tbSkills!DH3:DI6,2,FALSE)+IF(AND(Calculator!B8=TRUE,Backdoors!BI29=TRUE),VLOOKUP(Calculator!E23,tbSkills!DH3:DJ6,3,FALSE),0),0))/100)))),1),"")</f>
        <v>1</v>
      </c>
      <c r="GE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B10)*GD10)*(VLOOKUP(A10,tbMoveset!A2:C112,3,FALSE)/100)*IF(VLOOKUP(A10,tbMoveset!A2:B112,2,FALSE)="Projectile",Backdoors!N10,Backdoors!N9),0),"")</f>
        <v/>
      </c>
      <c r="GF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B10&gt;=0.45,VLOOKUP(Calculator!E23,tbSkills!DH3:DI6,2,FALSE)+IF(AND(Calculator!B8=TRUE,Backdoors!BI29=TRUE),VLOOKUP(Calculator!E23,tbSkills!DH3:DJ6,3,FALSE),0),0))&gt;=100,100,(Backdoors!AI12+IF(GB10&gt;=0.45,VLOOKUP(Calculator!E23,tbSkills!DH3:DI6,2,FALSE)+IF(AND(Calculator!B8=TRUE,Backdoors!BI29=TRUE),VLOOKUP(Calculator!E23,tbSkills!DH3:DJ6,3,FALSE),0),0)))/100)),1))*IF(VLOOKUP(A10,tbMoveset!A2:K112,11,FALSE)=TRUE,Backdoors!AC5,1))*GC10,0),"")</f>
        <v>0</v>
      </c>
      <c r="GG10" s="49">
        <f>VLOOKUP(A10,tbMoveset!A2:G112,7,FALSE)*IFERROR(IF(Backdoors!AI12&gt;=0,1+(IF(Calculator!E40&gt;0,VLOOKUP(Calculator!E40,tbSkills!AI3:AJ5,2,FALSE),Backdoors!AL4)*(IF((Backdoors!AI12+IF(GB10&gt;=0.45,VLOOKUP(Calculator!E23,tbSkills!DH3:DI6,2,FALSE)+IF(AND(Calculator!B8=TRUE,Backdoors!BI29=TRUE),VLOOKUP(Calculator!E23,tbSkills!DH3:DJ6,3,FALSE),0),0))&gt;=100,100,(Backdoors!AI12+IF(GB10&gt;=0.45,VLOOKUP(Calculator!E23,tbSkills!DH3:DI6,2,FALSE)+IF(AND(Calculator!B8=TRUE,Backdoors!BI29=TRUE),VLOOKUP(Calculator!E23,tbSkills!DH3:DJ6,3,FALSE),0),0)))/100)),1),1)</f>
        <v>0.4</v>
      </c>
      <c r="GH10" s="87">
        <f t="shared" si="19"/>
        <v>0</v>
      </c>
      <c r="GI10" s="86" t="str">
        <f>IFERROR(IF(VLOOKUP(A10,tbMoveset!A2:B112,2,FALSE)="Sever",Backdoors!AY30/100,IF(VLOOKUP(A10,tbMoveset!A2:B112,2,FALSE)="Blunt",Backdoors!AZ30/100,Backdoors!BA30/100)),"")</f>
        <v/>
      </c>
      <c r="GJ10" s="49">
        <f>IFERROR(IF(VLOOKUP(tbMoveset!A10,tbMoveset!A2:H112,8,FALSE)="Other",IF(VLOOKUP(tbMoveset!A10,tbMoveset!A2:I112,9,FALSE)="Fire",Backdoors!BB30,IF(VLOOKUP(tbMoveset!A10,tbMoveset!A2:I112,9,FALSE)="Water",Backdoors!BC30,IF(VLOOKUP(tbMoveset!A10,tbMoveset!A2:I112,9,FALSE)="Thunder",Backdoors!BD30,IF(VLOOKUP(tbMoveset!A10,tbMoveset!A2:I112,9,FALSE)="Ice",Backdoors!BE30,IF(VLOOKUP(tbMoveset!A10,tbMoveset!A2:I112,9,FALSE)="Dragon",Backdoors!BF30,Backdoors!BG30)))))/100,Backdoors!BG30/100),"")</f>
        <v>0</v>
      </c>
      <c r="GK10" s="49">
        <f>IFERROR(IF(VLOOKUP(A10,tbMoveset!A2:J112,10,FALSE)=TRUE,IF((Backdoors!AI12+IF(GI10&gt;=0.45,VLOOKUP(Calculator!E23,tbSkills!DH3:DI6,2,FALSE)+IF(AND(Calculator!B8=TRUE,Backdoors!BI30=TRUE),VLOOKUP(Calculator!E23,tbSkills!DH3:DJ6,3,FALSE),0),0))&gt;=0,1+(Backdoors!AL2*(IF((Backdoors!AI12+IF(GI10&gt;=0.45,VLOOKUP(Calculator!E23,tbSkills!DH3:DI6,2,FALSE)+IF(AND(Calculator!B8=TRUE,Backdoors!BI30=TRUE),VLOOKUP(Calculator!E23,tbSkills!DH3:DJ6,3,FALSE),0),0))&gt;=100,100,(Backdoors!AI12+IF(GI10&gt;=0.45,VLOOKUP(Calculator!E23,tbSkills!DH3:DI6,2,FALSE)+IF(AND(Calculator!B8=TRUE,Backdoors!BI30=TRUE),VLOOKUP(Calculator!E23,tbSkills!DH3:DJ6,3,FALSE),0),0)))/100)),(1-(0.25*((-Backdoors!AI12-IF(GI10&gt;=0.45,VLOOKUP(Calculator!E23,tbSkills!DH3:DI6,2,FALSE)+IF(AND(Calculator!B8=TRUE,Backdoors!BI30=TRUE),VLOOKUP(Calculator!E23,tbSkills!DH3:DJ6,3,FALSE),0),0))/100)))),1),"")</f>
        <v>1</v>
      </c>
      <c r="GL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I10)*GK10)*(VLOOKUP(A10,tbMoveset!A2:C112,3,FALSE)/100)*IF(VLOOKUP(A10,tbMoveset!A2:B112,2,FALSE)="Projectile",Backdoors!N10,Backdoors!N9),0),"")</f>
        <v/>
      </c>
      <c r="GM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I10&gt;=0.45,VLOOKUP(Calculator!E23,tbSkills!DH3:DI6,2,FALSE)+IF(AND(Calculator!B8=TRUE,Backdoors!BI30=TRUE),VLOOKUP(Calculator!E23,tbSkills!DH3:DJ6,3,FALSE),0),0))&gt;=100,100,(Backdoors!AI12+IF(GI10&gt;=0.45,VLOOKUP(Calculator!E23,tbSkills!DH3:DI6,2,FALSE)+IF(AND(Calculator!B8=TRUE,Backdoors!BI30=TRUE),VLOOKUP(Calculator!E23,tbSkills!DH3:DJ6,3,FALSE),0),0)))/100)),1))*IF(VLOOKUP(A10,tbMoveset!A2:K112,11,FALSE)=TRUE,Backdoors!AC5,1))*GJ10,0),"")</f>
        <v>0</v>
      </c>
      <c r="GN10" s="49">
        <f>VLOOKUP(A10,tbMoveset!A2:G112,7,FALSE)*IFERROR(IF(Backdoors!AI12&gt;=0,1+(IF(Calculator!E40&gt;0,VLOOKUP(Calculator!E40,tbSkills!AI3:AJ5,2,FALSE),Backdoors!AL4)*(IF((Backdoors!AI12+IF(GI10&gt;=0.45,VLOOKUP(Calculator!E23,tbSkills!DH3:DI6,2,FALSE)+IF(AND(Calculator!B8=TRUE,Backdoors!BI30=TRUE),VLOOKUP(Calculator!E23,tbSkills!DH3:DJ6,3,FALSE),0),0))&gt;=100,100,(Backdoors!AI12+IF(GI10&gt;=0.45,VLOOKUP(Calculator!E23,tbSkills!DH3:DI6,2,FALSE)+IF(AND(Calculator!B8=TRUE,Backdoors!BI30=TRUE),VLOOKUP(Calculator!E23,tbSkills!DH3:DJ6,3,FALSE),0),0)))/100)),1),1)</f>
        <v>0.4</v>
      </c>
      <c r="GO10" s="87">
        <f t="shared" si="20"/>
        <v>0</v>
      </c>
      <c r="GP10" s="86" t="str">
        <f>IFERROR(IF(VLOOKUP(A10,tbMoveset!A2:B112,2,FALSE)="Sever",Backdoors!AY31/100,IF(VLOOKUP(A10,tbMoveset!A2:B112,2,FALSE)="Blunt",Backdoors!AZ31/100,Backdoors!BA31/100)),"")</f>
        <v/>
      </c>
      <c r="GQ10" s="49">
        <f>IFERROR(IF(VLOOKUP(tbMoveset!A10,tbMoveset!A2:H112,8,FALSE)="Other",IF(VLOOKUP(tbMoveset!A10,tbMoveset!A2:I112,9,FALSE)="Fire",Backdoors!BB31,IF(VLOOKUP(tbMoveset!A10,tbMoveset!A2:I112,9,FALSE)="Water",Backdoors!BC31,IF(VLOOKUP(tbMoveset!A10,tbMoveset!A2:I112,9,FALSE)="Thunder",Backdoors!BD31,IF(VLOOKUP(tbMoveset!A10,tbMoveset!A2:I112,9,FALSE)="Ice",Backdoors!BE31,IF(VLOOKUP(tbMoveset!A10,tbMoveset!A2:I112,9,FALSE)="Dragon",Backdoors!BF31,Backdoors!BG31)))))/100,Backdoors!BG31/100),"")</f>
        <v>0</v>
      </c>
      <c r="GR10" s="49">
        <f>IFERROR(IF(VLOOKUP(A10,tbMoveset!A2:J112,10,FALSE)=TRUE,IF((Backdoors!AI12+IF(GP10&gt;=0.45,VLOOKUP(Calculator!E23,tbSkills!DH3:DI6,2,FALSE)+IF(AND(Calculator!B8=TRUE,Backdoors!BI31=TRUE),VLOOKUP(Calculator!E23,tbSkills!DH3:DJ6,3,FALSE),0),0))&gt;=0,1+(Backdoors!AL2*(IF((Backdoors!AI12+IF(GP10&gt;=0.45,VLOOKUP(Calculator!E23,tbSkills!DH3:DI6,2,FALSE)+IF(AND(Calculator!B8=TRUE,Backdoors!BI31=TRUE),VLOOKUP(Calculator!E23,tbSkills!DH3:DJ6,3,FALSE),0),0))&gt;=100,100,(Backdoors!AI12+IF(GP10&gt;=0.45,VLOOKUP(Calculator!E23,tbSkills!DH3:DI6,2,FALSE)+IF(AND(Calculator!B8=TRUE,Backdoors!BI31=TRUE),VLOOKUP(Calculator!E23,tbSkills!DH3:DJ6,3,FALSE),0),0)))/100)),(1-(0.25*((-Backdoors!AI12-IF(GP10&gt;=0.45,VLOOKUP(Calculator!E23,tbSkills!DH3:DI6,2,FALSE)+IF(AND(Calculator!B8=TRUE,Backdoors!BI31=TRUE),VLOOKUP(Calculator!E23,tbSkills!DH3:DJ6,3,FALSE),0),0))/100)))),1),"")</f>
        <v>1</v>
      </c>
      <c r="GS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P10)*GR10)*(VLOOKUP(A10,tbMoveset!A2:C112,3,FALSE)/100)*IF(VLOOKUP(A10,tbMoveset!A2:B112,2,FALSE)="Projectile",Backdoors!N10,Backdoors!N9),0),"")</f>
        <v/>
      </c>
      <c r="GT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P10&gt;=0.45,VLOOKUP(Calculator!E23,tbSkills!DH3:DI6,2,FALSE)+IF(AND(Calculator!B8=TRUE,Backdoors!BI31=TRUE),VLOOKUP(Calculator!E23,tbSkills!DH3:DJ6,3,FALSE),0),0))&gt;=100,100,(Backdoors!AI12+IF(GP10&gt;=0.45,VLOOKUP(Calculator!E23,tbSkills!DH3:DI6,2,FALSE)+IF(AND(Calculator!B8=TRUE,Backdoors!BI31=TRUE),VLOOKUP(Calculator!E23,tbSkills!DH3:DJ6,3,FALSE),0),0)))/100)),1))*IF(VLOOKUP(A10,tbMoveset!A2:K112,11,FALSE)=TRUE,Backdoors!AC5,1))*GQ10,0),"")</f>
        <v>0</v>
      </c>
      <c r="GU10" s="49">
        <f>VLOOKUP(A10,tbMoveset!A2:G112,7,FALSE)*IFERROR(IF(Backdoors!AI12&gt;=0,1+(IF(Calculator!E40&gt;0,VLOOKUP(Calculator!E40,tbSkills!AI3:AJ5,2,FALSE),Backdoors!AL4)*(IF((Backdoors!AI12+IF(GP10&gt;=0.45,VLOOKUP(Calculator!E23,tbSkills!DH3:DI6,2,FALSE)+IF(AND(Calculator!B8=TRUE,Backdoors!BI31=TRUE),VLOOKUP(Calculator!E23,tbSkills!DH3:DJ6,3,FALSE),0),0))&gt;=100,100,(Backdoors!AI12+IF(GP10&gt;=0.45,VLOOKUP(Calculator!E23,tbSkills!DH3:DI6,2,FALSE)+IF(AND(Calculator!B8=TRUE,Backdoors!BI31=TRUE),VLOOKUP(Calculator!E23,tbSkills!DH3:DJ6,3,FALSE),0),0)))/100)),1),1)</f>
        <v>0.4</v>
      </c>
      <c r="GV10" s="87">
        <f t="shared" si="21"/>
        <v>0</v>
      </c>
      <c r="GW10" s="86" t="str">
        <f>IFERROR(IF(VLOOKUP(A10,tbMoveset!A2:B112,2,FALSE)="Sever",Backdoors!AY32/100,IF(VLOOKUP(A10,tbMoveset!A2:B112,2,FALSE)="Blunt",Backdoors!AZ32/100,Backdoors!BA32/100)),"")</f>
        <v/>
      </c>
      <c r="GX10" s="49">
        <f>IFERROR(IF(VLOOKUP(tbMoveset!A10,tbMoveset!A2:H112,8,FALSE)="Other",IF(VLOOKUP(tbMoveset!A10,tbMoveset!A2:I112,9,FALSE)="Fire",Backdoors!BB32,IF(VLOOKUP(tbMoveset!A10,tbMoveset!A2:I112,9,FALSE)="Water",Backdoors!BC32,IF(VLOOKUP(tbMoveset!A10,tbMoveset!A2:I112,9,FALSE)="Thunder",Backdoors!BD32,IF(VLOOKUP(tbMoveset!A10,tbMoveset!A2:I112,9,FALSE)="Ice",Backdoors!BE32,IF(VLOOKUP(tbMoveset!A10,tbMoveset!A2:I112,9,FALSE)="Dragon",Backdoors!BF32,Backdoors!BG32)))))/100,Backdoors!BG32/100),"")</f>
        <v>0</v>
      </c>
      <c r="GY10" s="49">
        <f>IFERROR(IF(VLOOKUP(A10,tbMoveset!A2:J112,10,FALSE)=TRUE,IF((Backdoors!AI12+IF(GW10&gt;=0.45,VLOOKUP(Calculator!E23,tbSkills!DH3:DI6,2,FALSE)+IF(AND(Calculator!B8=TRUE,Backdoors!BI32=TRUE),VLOOKUP(Calculator!E23,tbSkills!DH3:DJ6,3,FALSE),0),0))&gt;=0,1+(Backdoors!AL2*(IF((Backdoors!AI12+IF(GW10&gt;=0.45,VLOOKUP(Calculator!E23,tbSkills!DH3:DI6,2,FALSE)+IF(AND(Calculator!B8=TRUE,Backdoors!BI32=TRUE),VLOOKUP(Calculator!E23,tbSkills!DH3:DJ6,3,FALSE),0),0))&gt;=100,100,(Backdoors!AI12+IF(GW10&gt;=0.45,VLOOKUP(Calculator!E23,tbSkills!DH3:DI6,2,FALSE)+IF(AND(Calculator!B8=TRUE,Backdoors!BI32=TRUE),VLOOKUP(Calculator!E23,tbSkills!DH3:DJ6,3,FALSE),0),0)))/100)),(1-(0.25*((-Backdoors!AI12-IF(GW10&gt;=0.45,VLOOKUP(Calculator!E23,tbSkills!DH3:DI6,2,FALSE)+IF(AND(Calculator!B8=TRUE,Backdoors!BI32=TRUE),VLOOKUP(Calculator!E23,tbSkills!DH3:DJ6,3,FALSE),0),0))/100)))),1),"")</f>
        <v>1</v>
      </c>
      <c r="GZ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W10)*GY10)*(VLOOKUP(A10,tbMoveset!A2:C112,3,FALSE)/100)*IF(VLOOKUP(A10,tbMoveset!A2:B112,2,FALSE)="Projectile",Backdoors!N10,Backdoors!N9),0),"")</f>
        <v/>
      </c>
      <c r="HA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W10&gt;=0.45,VLOOKUP(Calculator!E23,tbSkills!DH3:DI6,2,FALSE)+IF(AND(Calculator!B8=TRUE,Backdoors!BI32=TRUE),VLOOKUP(Calculator!E23,tbSkills!DH3:DJ6,3,FALSE),0),0))&gt;=100,100,(Backdoors!AI12+IF(GW10&gt;=0.45,VLOOKUP(Calculator!E23,tbSkills!DH3:DI6,2,FALSE)+IF(AND(Calculator!B8=TRUE,Backdoors!BI32=TRUE),VLOOKUP(Calculator!E23,tbSkills!DH3:DJ6,3,FALSE),0),0)))/100)),1))*IF(VLOOKUP(A10,tbMoveset!A2:K112,11,FALSE)=TRUE,Backdoors!AC5,1))*GX10,0),"")</f>
        <v>0</v>
      </c>
      <c r="HB10" s="49">
        <f>VLOOKUP(A10,tbMoveset!A2:G112,7,FALSE)*IFERROR(IF(Backdoors!AI12&gt;=0,1+(IF(Calculator!E40&gt;0,VLOOKUP(Calculator!E40,tbSkills!AI3:AJ5,2,FALSE),Backdoors!AL4)*(IF((Backdoors!AI12+IF(GW10&gt;=0.45,VLOOKUP(Calculator!E23,tbSkills!DH3:DI6,2,FALSE)+IF(AND(Calculator!B8=TRUE,Backdoors!BI32=TRUE),VLOOKUP(Calculator!E23,tbSkills!DH3:DJ6,3,FALSE),0),0))&gt;=100,100,(Backdoors!AI12+IF(GW10&gt;=0.45,VLOOKUP(Calculator!E23,tbSkills!DH3:DI6,2,FALSE)+IF(AND(Calculator!B8=TRUE,Backdoors!BI32=TRUE),VLOOKUP(Calculator!E23,tbSkills!DH3:DJ6,3,FALSE),0),0)))/100)),1),1)</f>
        <v>0.4</v>
      </c>
      <c r="HC10" s="87">
        <f t="shared" si="22"/>
        <v>0</v>
      </c>
      <c r="HD10" s="86" t="str">
        <f>IFERROR(IF(VLOOKUP(A10,tbMoveset!A2:B112,2,FALSE)="Sever",Backdoors!AY33/100,IF(VLOOKUP(A10,tbMoveset!A2:B112,2,FALSE)="Blunt",Backdoors!AZ33/100,Backdoors!BA33/100)),"")</f>
        <v/>
      </c>
      <c r="HE10" s="49">
        <f>IFERROR(IF(VLOOKUP(tbMoveset!A10,tbMoveset!A2:H112,8,FALSE)="Other",IF(VLOOKUP(tbMoveset!A10,tbMoveset!A2:I112,9,FALSE)="Fire",Backdoors!BB33,IF(VLOOKUP(tbMoveset!A10,tbMoveset!A2:I112,9,FALSE)="Water",Backdoors!BC33,IF(VLOOKUP(tbMoveset!A10,tbMoveset!A2:I112,9,FALSE)="Thunder",Backdoors!BD33,IF(VLOOKUP(tbMoveset!A10,tbMoveset!A2:I112,9,FALSE)="Ice",Backdoors!BE33,IF(VLOOKUP(tbMoveset!A10,tbMoveset!A2:I112,9,FALSE)="Dragon",Backdoors!BF33,Backdoors!BG33)))))/100,Backdoors!BG33/100),"")</f>
        <v>0</v>
      </c>
      <c r="HF10" s="49">
        <f>IFERROR(IF(VLOOKUP(A10,tbMoveset!A2:J112,10,FALSE)=TRUE,IF((Backdoors!AI12+IF(HD10&gt;=0.45,VLOOKUP(Calculator!E23,tbSkills!DH3:DI6,2,FALSE)+IF(AND(Calculator!B8=TRUE,Backdoors!BI33=TRUE),VLOOKUP(Calculator!E23,tbSkills!DH3:DJ6,3,FALSE),0),0))&gt;=0,1+(Backdoors!AL2*(IF((Backdoors!AI12+IF(HD10&gt;=0.45,VLOOKUP(Calculator!E23,tbSkills!DH3:DI6,2,FALSE)+IF(AND(Calculator!B8=TRUE,Backdoors!BI33=TRUE),VLOOKUP(Calculator!E23,tbSkills!DH3:DJ6,3,FALSE),0),0))&gt;=100,100,(Backdoors!AI12+IF(HD10&gt;=0.45,VLOOKUP(Calculator!E23,tbSkills!DH3:DI6,2,FALSE)+IF(AND(Calculator!B8=TRUE,Backdoors!BI33=TRUE),VLOOKUP(Calculator!E23,tbSkills!DH3:DJ6,3,FALSE),0),0)))/100)),(1-(0.25*((-Backdoors!AI12-IF(HD10&gt;=0.45,VLOOKUP(Calculator!E23,tbSkills!DH3:DI6,2,FALSE)+IF(AND(Calculator!B8=TRUE,Backdoors!BI33=TRUE),VLOOKUP(Calculator!E23,tbSkills!DH3:DJ6,3,FALSE),0),0))/100)))),1),"")</f>
        <v>1</v>
      </c>
      <c r="HG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D10)*HF10)*(VLOOKUP(A10,tbMoveset!A2:C112,3,FALSE)/100)*IF(VLOOKUP(A10,tbMoveset!A2:B112,2,FALSE)="Projectile",Backdoors!N10,Backdoors!N9),0),"")</f>
        <v/>
      </c>
      <c r="HH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D10&gt;=0.45,VLOOKUP(Calculator!E23,tbSkills!DH3:DI6,2,FALSE)+IF(AND(Calculator!B8=TRUE,Backdoors!BI33=TRUE),VLOOKUP(Calculator!E23,tbSkills!DH3:DJ6,3,FALSE),0),0))&gt;=100,100,(Backdoors!AI12+IF(HD10&gt;=0.45,VLOOKUP(Calculator!E23,tbSkills!DH3:DI6,2,FALSE)+IF(AND(Calculator!B8=TRUE,Backdoors!BI33=TRUE),VLOOKUP(Calculator!E23,tbSkills!DH3:DJ6,3,FALSE),0),0)))/100)),1))*IF(VLOOKUP(A10,tbMoveset!A2:K112,11,FALSE)=TRUE,Backdoors!AC5,1))*HE10,0),"")</f>
        <v>0</v>
      </c>
      <c r="HI10" s="49">
        <f>VLOOKUP(A10,tbMoveset!A2:G112,7,FALSE)*IFERROR(IF(Backdoors!AI12&gt;=0,1+(IF(Calculator!E40&gt;0,VLOOKUP(Calculator!E40,tbSkills!AI3:AJ5,2,FALSE),Backdoors!AL4)*(IF((Backdoors!AI12+IF(HD10&gt;=0.45,VLOOKUP(Calculator!E23,tbSkills!DH3:DI6,2,FALSE)+IF(AND(Calculator!B8=TRUE,Backdoors!BI33=TRUE),VLOOKUP(Calculator!E23,tbSkills!DH3:DJ6,3,FALSE),0),0))&gt;=100,100,(Backdoors!AI12+IF(HD10&gt;=0.45,VLOOKUP(Calculator!E23,tbSkills!DH3:DI6,2,FALSE)+IF(AND(Calculator!B8=TRUE,Backdoors!BI33=TRUE),VLOOKUP(Calculator!E23,tbSkills!DH3:DJ6,3,FALSE),0),0)))/100)),1),1)</f>
        <v>0.4</v>
      </c>
      <c r="HJ10" s="87">
        <f t="shared" si="23"/>
        <v>0</v>
      </c>
      <c r="HK10" s="86" t="str">
        <f>IFERROR(IF(VLOOKUP(A10,tbMoveset!A2:B112,2,FALSE)="Sever",Backdoors!AY34/100,IF(VLOOKUP(A10,tbMoveset!A2:B112,2,FALSE)="Blunt",Backdoors!AZ34/100,Backdoors!BA34/100)),"")</f>
        <v/>
      </c>
      <c r="HL10" s="49">
        <f>IFERROR(IF(VLOOKUP(tbMoveset!A10,tbMoveset!A2:H112,8,FALSE)="Other",IF(VLOOKUP(tbMoveset!A10,tbMoveset!A2:I112,9,FALSE)="Fire",Backdoors!BB34,IF(VLOOKUP(tbMoveset!A10,tbMoveset!A2:I112,9,FALSE)="Water",Backdoors!BC34,IF(VLOOKUP(tbMoveset!A10,tbMoveset!A2:I112,9,FALSE)="Thunder",Backdoors!BD34,IF(VLOOKUP(tbMoveset!A10,tbMoveset!A2:I112,9,FALSE)="Ice",Backdoors!BE34,IF(VLOOKUP(tbMoveset!A10,tbMoveset!A2:I112,9,FALSE)="Dragon",Backdoors!BF34,Backdoors!BG34)))))/100,Backdoors!BG34/100),"")</f>
        <v>0</v>
      </c>
      <c r="HM10" s="49">
        <f>IFERROR(IF(VLOOKUP(A10,tbMoveset!A2:J112,10,FALSE)=TRUE,IF((Backdoors!AI12+IF(HK10&gt;=0.45,VLOOKUP(Calculator!E23,tbSkills!DH3:DI6,2,FALSE)+IF(AND(Calculator!B8=TRUE,Backdoors!BI34=TRUE),VLOOKUP(Calculator!E23,tbSkills!DH3:DJ6,3,FALSE),0),0))&gt;=0,1+(Backdoors!AL2*(IF((Backdoors!AI12+IF(HK10&gt;=0.45,VLOOKUP(Calculator!E23,tbSkills!DH3:DI6,2,FALSE)+IF(AND(Calculator!B8=TRUE,Backdoors!BI34=TRUE),VLOOKUP(Calculator!E23,tbSkills!DH3:DJ6,3,FALSE),0),0))&gt;=100,100,(Backdoors!AI12+IF(HK10&gt;=0.45,VLOOKUP(Calculator!E23,tbSkills!DH3:DI6,2,FALSE)+IF(AND(Calculator!B8=TRUE,Backdoors!BI34=TRUE),VLOOKUP(Calculator!E23,tbSkills!DH3:DJ6,3,FALSE),0),0)))/100)),(1-(0.25*((-Backdoors!AI12-IF(HK10&gt;=0.45,VLOOKUP(Calculator!E23,tbSkills!DH3:DI6,2,FALSE)+IF(AND(Calculator!B8=TRUE,Backdoors!BI34=TRUE),VLOOKUP(Calculator!E23,tbSkills!DH3:DJ6,3,FALSE),0),0))/100)))),1),"")</f>
        <v>1</v>
      </c>
      <c r="HN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K10)*HM10)*(VLOOKUP(A10,tbMoveset!A2:C112,3,FALSE)/100)*IF(VLOOKUP(A10,tbMoveset!A2:B112,2,FALSE)="Projectile",Backdoors!N10,Backdoors!N9),0),"")</f>
        <v/>
      </c>
      <c r="HO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K10&gt;=0.45,VLOOKUP(Calculator!E23,tbSkills!DH3:DI6,2,FALSE)+IF(AND(Calculator!B8=TRUE,Backdoors!BI34=TRUE),VLOOKUP(Calculator!E23,tbSkills!DH3:DJ6,3,FALSE),0),0))&gt;=100,100,(Backdoors!AI12+IF(HK10&gt;=0.45,VLOOKUP(Calculator!E23,tbSkills!DH3:DI6,2,FALSE)+IF(AND(Calculator!B8=TRUE,Backdoors!BI34=TRUE),VLOOKUP(Calculator!E23,tbSkills!DH3:DJ6,3,FALSE),0),0)))/100)),1))*IF(VLOOKUP(A10,tbMoveset!A2:K112,11,FALSE)=TRUE,Backdoors!AC5,1))*HL10,0),"")</f>
        <v>0</v>
      </c>
      <c r="HP10" s="49">
        <f>VLOOKUP(A10,tbMoveset!A2:G112,7,FALSE)*IFERROR(IF(Backdoors!AI12&gt;=0,1+(IF(Calculator!E40&gt;0,VLOOKUP(Calculator!E40,tbSkills!AI3:AJ5,2,FALSE),Backdoors!AL4)*(IF((Backdoors!AI12+IF(HK10&gt;=0.45,VLOOKUP(Calculator!E23,tbSkills!DH3:DI6,2,FALSE)+IF(AND(Calculator!B8=TRUE,Backdoors!BI34=TRUE),VLOOKUP(Calculator!E23,tbSkills!DH3:DJ6,3,FALSE),0),0))&gt;=100,100,(Backdoors!AI12+IF(HK10&gt;=0.45,VLOOKUP(Calculator!E23,tbSkills!DH3:DI6,2,FALSE)+IF(AND(Calculator!B8=TRUE,Backdoors!BI34=TRUE),VLOOKUP(Calculator!E23,tbSkills!DH3:DJ6,3,FALSE),0),0)))/100)),1),1)</f>
        <v>0.4</v>
      </c>
      <c r="HQ10" s="87">
        <f t="shared" si="24"/>
        <v>0</v>
      </c>
      <c r="HR10" s="86" t="str">
        <f>IFERROR(IF(VLOOKUP(A10,tbMoveset!A2:B112,2,FALSE)="Sever",Backdoors!AY35/100,IF(VLOOKUP(A10,tbMoveset!A2:B112,2,FALSE)="Blunt",Backdoors!AZ35/100,Backdoors!BA35/100)),"")</f>
        <v/>
      </c>
      <c r="HS10" s="49">
        <f>IFERROR(IF(VLOOKUP(tbMoveset!A10,tbMoveset!A2:H112,8,FALSE)="Other",IF(VLOOKUP(tbMoveset!A10,tbMoveset!A2:I112,9,FALSE)="Fire",Backdoors!BB35,IF(VLOOKUP(tbMoveset!A10,tbMoveset!A2:I112,9,FALSE)="Water",Backdoors!BC35,IF(VLOOKUP(tbMoveset!A10,tbMoveset!A2:I112,9,FALSE)="Thunder",Backdoors!BD35,IF(VLOOKUP(tbMoveset!A10,tbMoveset!A2:I112,9,FALSE)="Ice",Backdoors!BE35,IF(VLOOKUP(tbMoveset!A10,tbMoveset!A2:I112,9,FALSE)="Dragon",Backdoors!BF35,Backdoors!BG35)))))/100,Backdoors!BG35/100),"")</f>
        <v>0</v>
      </c>
      <c r="HT10" s="49">
        <f>IFERROR(IF(VLOOKUP(A10,tbMoveset!A2:J112,10,FALSE)=TRUE,IF((Backdoors!AI12+IF(HR10&gt;=0.45,VLOOKUP(Calculator!E23,tbSkills!DH3:DI6,2,FALSE)+IF(AND(Calculator!B8=TRUE,Backdoors!BI35=TRUE),VLOOKUP(Calculator!E23,tbSkills!DH3:DJ6,3,FALSE),0),0))&gt;=0,1+(Backdoors!AL2*(IF((Backdoors!AI12+IF(HR10&gt;=0.45,VLOOKUP(Calculator!E23,tbSkills!DH3:DI6,2,FALSE)+IF(AND(Calculator!B8=TRUE,Backdoors!BI35=TRUE),VLOOKUP(Calculator!E23,tbSkills!DH3:DJ6,3,FALSE),0),0))&gt;=100,100,(Backdoors!AI12+IF(HR10&gt;=0.45,VLOOKUP(Calculator!E23,tbSkills!DH3:DI6,2,FALSE)+IF(AND(Calculator!B8=TRUE,Backdoors!BI35=TRUE),VLOOKUP(Calculator!E23,tbSkills!DH3:DJ6,3,FALSE),0),0)))/100)),(1-(0.25*((-Backdoors!AI12-IF(HR10&gt;=0.45,VLOOKUP(Calculator!E23,tbSkills!DH3:DI6,2,FALSE)+IF(AND(Calculator!B8=TRUE,Backdoors!BI35=TRUE),VLOOKUP(Calculator!E23,tbSkills!DH3:DJ6,3,FALSE),0),0))/100)))),1),"")</f>
        <v>1</v>
      </c>
      <c r="HU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R10)*HT10)*(VLOOKUP(A10,tbMoveset!A2:C112,3,FALSE)/100)*IF(VLOOKUP(A10,tbMoveset!A2:B112,2,FALSE)="Projectile",Backdoors!N10,Backdoors!N9),0),"")</f>
        <v/>
      </c>
      <c r="HV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R10&gt;=0.45,VLOOKUP(Calculator!E23,tbSkills!DH3:DI6,2,FALSE)+IF(AND(Calculator!B8=TRUE,Backdoors!BI35=TRUE),VLOOKUP(Calculator!E23,tbSkills!DH3:DJ6,3,FALSE),0),0))&gt;=100,100,(Backdoors!AI12+IF(HR10&gt;=0.45,VLOOKUP(Calculator!E23,tbSkills!DH3:DI6,2,FALSE)+IF(AND(Calculator!B8=TRUE,Backdoors!BI35=TRUE),VLOOKUP(Calculator!E23,tbSkills!DH3:DJ6,3,FALSE),0),0)))/100)),1))*IF(VLOOKUP(A10,tbMoveset!A2:K112,11,FALSE)=TRUE,Backdoors!AC5,1))*HS10,0),"")</f>
        <v>0</v>
      </c>
      <c r="HW10" s="49">
        <f>VLOOKUP(A10,tbMoveset!A2:G112,7,FALSE)*IFERROR(IF(Backdoors!AI12&gt;=0,1+(IF(Calculator!E40&gt;0,VLOOKUP(Calculator!E40,tbSkills!AI3:AJ5,2,FALSE),Backdoors!AL4)*(IF((Backdoors!AI12+IF(HR10&gt;=0.45,VLOOKUP(Calculator!E23,tbSkills!DH3:DI6,2,FALSE)+IF(AND(Calculator!B8=TRUE,Backdoors!BI35=TRUE),VLOOKUP(Calculator!E23,tbSkills!DH3:DJ6,3,FALSE),0),0))&gt;=100,100,(Backdoors!AI12+IF(HR10&gt;=0.45,VLOOKUP(Calculator!E23,tbSkills!DH3:DI6,2,FALSE)+IF(AND(Calculator!B8=TRUE,Backdoors!BI35=TRUE),VLOOKUP(Calculator!E23,tbSkills!DH3:DJ6,3,FALSE),0),0)))/100)),1),1)</f>
        <v>0.4</v>
      </c>
      <c r="HX10" s="87">
        <f t="shared" si="25"/>
        <v>0</v>
      </c>
      <c r="HY10" s="86" t="str">
        <f>IFERROR(IF(VLOOKUP(A10,tbMoveset!A2:B112,2,FALSE)="Sever",Backdoors!AY36/100,IF(VLOOKUP(A10,tbMoveset!A2:B112,2,FALSE)="Blunt",Backdoors!AZ36/100,Backdoors!BA36/100)),"")</f>
        <v/>
      </c>
      <c r="HZ10" s="49">
        <f>IFERROR(IF(VLOOKUP(tbMoveset!A10,tbMoveset!A2:H112,8,FALSE)="Other",IF(VLOOKUP(tbMoveset!A10,tbMoveset!A2:I112,9,FALSE)="Fire",Backdoors!BB36,IF(VLOOKUP(tbMoveset!A10,tbMoveset!A2:I112,9,FALSE)="Water",Backdoors!BC36,IF(VLOOKUP(tbMoveset!A10,tbMoveset!A2:I112,9,FALSE)="Thunder",Backdoors!BD36,IF(VLOOKUP(tbMoveset!A10,tbMoveset!A2:I112,9,FALSE)="Ice",Backdoors!BE36,IF(VLOOKUP(tbMoveset!A10,tbMoveset!A2:I112,9,FALSE)="Dragon",Backdoors!BF36,Backdoors!BG36)))))/100,Backdoors!BG36/100),"")</f>
        <v>0</v>
      </c>
      <c r="IA10" s="49">
        <f>IFERROR(IF(VLOOKUP(A10,tbMoveset!A2:J112,10,FALSE)=TRUE,IF((Backdoors!AI12+IF(HY10&gt;=0.45,VLOOKUP(Calculator!E23,tbSkills!DH3:DI6,2,FALSE)+IF(AND(Calculator!B8=TRUE,Backdoors!BI36=TRUE),VLOOKUP(Calculator!E23,tbSkills!DH3:DJ6,3,FALSE),0),0))&gt;=0,1+(Backdoors!AL2*(IF((Backdoors!AI12+IF(HY10&gt;=0.45,VLOOKUP(Calculator!E23,tbSkills!DH3:DI6,2,FALSE)+IF(AND(Calculator!B8=TRUE,Backdoors!BI36=TRUE),VLOOKUP(Calculator!E23,tbSkills!DH3:DJ6,3,FALSE),0),0))&gt;=100,100,(Backdoors!AI12+IF(HY10&gt;=0.45,VLOOKUP(Calculator!E23,tbSkills!DH3:DI6,2,FALSE)+IF(AND(Calculator!B8=TRUE,Backdoors!BI36=TRUE),VLOOKUP(Calculator!E23,tbSkills!DH3:DJ6,3,FALSE),0),0)))/100)),(1-(0.25*((-Backdoors!AI12-IF(HY10&gt;=0.45,VLOOKUP(Calculator!E23,tbSkills!DH3:DI6,2,FALSE)+IF(AND(Calculator!B8=TRUE,Backdoors!BI36=TRUE),VLOOKUP(Calculator!E23,tbSkills!DH3:DJ6,3,FALSE),0),0))/100)))),1),"")</f>
        <v>1</v>
      </c>
      <c r="IB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Y10)*IA10)*(VLOOKUP(A10,tbMoveset!A2:C112,3,FALSE)/100)*IF(VLOOKUP(A10,tbMoveset!A2:B112,2,FALSE)="Projectile",Backdoors!N10,Backdoors!N9),0),"")</f>
        <v/>
      </c>
      <c r="IC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Y10&gt;=0.45,VLOOKUP(Calculator!E23,tbSkills!DH3:DI6,2,FALSE)+IF(AND(Calculator!B8=TRUE,Backdoors!BI36=TRUE),VLOOKUP(Calculator!E23,tbSkills!DH3:DJ6,3,FALSE),0),0))&gt;=100,100,(Backdoors!AI12+IF(HY10&gt;=0.45,VLOOKUP(Calculator!E23,tbSkills!DH3:DI6,2,FALSE)+IF(AND(Calculator!B8=TRUE,Backdoors!BI36=TRUE),VLOOKUP(Calculator!E23,tbSkills!DH3:DJ6,3,FALSE),0),0)))/100)),1))*IF(VLOOKUP(A10,tbMoveset!A2:K112,11,FALSE)=TRUE,Backdoors!AC5,1))*HZ10,0),"")</f>
        <v>0</v>
      </c>
      <c r="ID10" s="49">
        <f>VLOOKUP(A10,tbMoveset!A2:G112,7,FALSE)*IFERROR(IF(Backdoors!AI12&gt;=0,1+(IF(Calculator!E40&gt;0,VLOOKUP(Calculator!E40,tbSkills!AI3:AJ5,2,FALSE),Backdoors!AL4)*(IF((Backdoors!AI12+IF(HY10&gt;=0.45,VLOOKUP(Calculator!E23,tbSkills!DH3:DI6,2,FALSE)+IF(AND(Calculator!B8=TRUE,Backdoors!BI36=TRUE),VLOOKUP(Calculator!E23,tbSkills!DH3:DJ6,3,FALSE),0),0))&gt;=100,100,(Backdoors!AI12+IF(HY10&gt;=0.45,VLOOKUP(Calculator!E23,tbSkills!DH3:DI6,2,FALSE)+IF(AND(Calculator!B8=TRUE,Backdoors!BI36=TRUE),VLOOKUP(Calculator!E23,tbSkills!DH3:DJ6,3,FALSE),0),0)))/100)),1),1)</f>
        <v>0.4</v>
      </c>
      <c r="IE10" s="87">
        <f t="shared" si="26"/>
        <v>0</v>
      </c>
      <c r="IF10" s="86" t="str">
        <f>IFERROR(IF(VLOOKUP(A10,tbMoveset!A2:B112,2,FALSE)="Sever",Backdoors!AY37/100,IF(VLOOKUP(A10,tbMoveset!A2:B112,2,FALSE)="Blunt",Backdoors!AZ37/100,Backdoors!BA37/100)),"")</f>
        <v/>
      </c>
      <c r="IG10" s="49">
        <f>IFERROR(IF(VLOOKUP(tbMoveset!A10,tbMoveset!A2:H112,8,FALSE)="Other",IF(VLOOKUP(tbMoveset!A10,tbMoveset!A2:I112,9,FALSE)="Fire",Backdoors!BB37,IF(VLOOKUP(tbMoveset!A10,tbMoveset!A2:I112,9,FALSE)="Water",Backdoors!BC37,IF(VLOOKUP(tbMoveset!A10,tbMoveset!A2:I112,9,FALSE)="Thunder",Backdoors!BD37,IF(VLOOKUP(tbMoveset!A10,tbMoveset!A2:I112,9,FALSE)="Ice",Backdoors!BE37,IF(VLOOKUP(tbMoveset!A10,tbMoveset!A2:I112,9,FALSE)="Dragon",Backdoors!BF37,Backdoors!BG37)))))/100,Backdoors!BG37/100),"")</f>
        <v>0</v>
      </c>
      <c r="IH10" s="49">
        <f>IFERROR(IF(VLOOKUP(A10,tbMoveset!A2:J112,10,FALSE)=TRUE,IF((Backdoors!AI12+IF(IF10&gt;=0.45,VLOOKUP(Calculator!E23,tbSkills!DH3:DI6,2,FALSE)+IF(AND(Calculator!B8=TRUE,Backdoors!BI37=TRUE),VLOOKUP(Calculator!E23,tbSkills!DH3:DJ6,3,FALSE),0),0))&gt;=0,1+(Backdoors!AL2*(IF((Backdoors!AI12+IF(IF10&gt;=0.45,VLOOKUP(Calculator!E23,tbSkills!DH3:DI6,2,FALSE)+IF(AND(Calculator!B8=TRUE,Backdoors!BI37=TRUE),VLOOKUP(Calculator!E23,tbSkills!DH3:DJ6,3,FALSE),0),0))&gt;=100,100,(Backdoors!AI12+IF(IF10&gt;=0.45,VLOOKUP(Calculator!E23,tbSkills!DH3:DI6,2,FALSE)+IF(AND(Calculator!B8=TRUE,Backdoors!BI37=TRUE),VLOOKUP(Calculator!E23,tbSkills!DH3:DJ6,3,FALSE),0),0)))/100)),(1-(0.25*((-Backdoors!AI12-IF(IF10&gt;=0.45,VLOOKUP(Calculator!E23,tbSkills!DH3:DI6,2,FALSE)+IF(AND(Calculator!B8=TRUE,Backdoors!BI37=TRUE),VLOOKUP(Calculator!E23,tbSkills!DH3:DJ6,3,FALSE),0),0))/100)))),1),"")</f>
        <v>1</v>
      </c>
      <c r="II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F10)*IH10)*(VLOOKUP(A10,tbMoveset!A2:C112,3,FALSE)/100)*IF(VLOOKUP(A10,tbMoveset!A2:B112,2,FALSE)="Projectile",Backdoors!N10,Backdoors!N9),0),"")</f>
        <v/>
      </c>
      <c r="IJ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IF10&gt;=0.45,VLOOKUP(Calculator!E23,tbSkills!DH3:DI6,2,FALSE)+IF(AND(Calculator!B8=TRUE,Backdoors!BI37=TRUE),VLOOKUP(Calculator!E23,tbSkills!DH3:DJ6,3,FALSE),0),0))&gt;=100,100,(Backdoors!AI12+IF(IF10&gt;=0.45,VLOOKUP(Calculator!E23,tbSkills!DH3:DI6,2,FALSE)+IF(AND(Calculator!B8=TRUE,Backdoors!BI37=TRUE),VLOOKUP(Calculator!E23,tbSkills!DH3:DJ6,3,FALSE),0),0)))/100)),1))*IF(VLOOKUP(A10,tbMoveset!A2:K112,11,FALSE)=TRUE,Backdoors!AC5,1))*IG10,0),"")</f>
        <v>0</v>
      </c>
      <c r="IK10" s="49">
        <f>VLOOKUP(A10,tbMoveset!A2:G112,7,FALSE)*IFERROR(IF(Backdoors!AI12&gt;=0,1+(IF(Calculator!E40&gt;0,VLOOKUP(Calculator!E40,tbSkills!AI3:AJ5,2,FALSE),Backdoors!AL4)*(IF((Backdoors!AI12+IF(IF10&gt;=0.45,VLOOKUP(Calculator!E23,tbSkills!DH3:DI6,2,FALSE)+IF(AND(Calculator!B8=TRUE,Backdoors!BI37=TRUE),VLOOKUP(Calculator!E23,tbSkills!DH3:DJ6,3,FALSE),0),0))&gt;=100,100,(Backdoors!AI12+IF(IF10&gt;=0.45,VLOOKUP(Calculator!E23,tbSkills!DH3:DI6,2,FALSE)+IF(AND(Calculator!B8=TRUE,Backdoors!BI37=TRUE),VLOOKUP(Calculator!E23,tbSkills!DH3:DJ6,3,FALSE),0),0)))/100)),1),1)</f>
        <v>0.4</v>
      </c>
      <c r="IL10" s="87">
        <f t="shared" si="27"/>
        <v>0</v>
      </c>
      <c r="IM10" s="86" t="str">
        <f>IFERROR(IF(VLOOKUP(A10,tbMoveset!A2:B112,2,FALSE)="Sever",Backdoors!AY38/100,IF(VLOOKUP(A10,tbMoveset!A2:B112,2,FALSE)="Blunt",Backdoors!AZ38/100,Backdoors!BA38/100)),"")</f>
        <v/>
      </c>
      <c r="IN10" s="49">
        <f>IFERROR(IF(VLOOKUP(tbMoveset!A10,tbMoveset!A2:H112,8,FALSE)="Other",IF(VLOOKUP(tbMoveset!A10,tbMoveset!A2:I112,9,FALSE)="Fire",Backdoors!BB38,IF(VLOOKUP(tbMoveset!A10,tbMoveset!A2:I112,9,FALSE)="Water",Backdoors!BC38,IF(VLOOKUP(tbMoveset!A10,tbMoveset!A2:I112,9,FALSE)="Thunder",Backdoors!BD38,IF(VLOOKUP(tbMoveset!A10,tbMoveset!A2:I112,9,FALSE)="Ice",Backdoors!BE38,IF(VLOOKUP(tbMoveset!A10,tbMoveset!A2:I112,9,FALSE)="Dragon",Backdoors!BF38,Backdoors!BG38)))))/100,Backdoors!BG38/100),"")</f>
        <v>0</v>
      </c>
      <c r="IO10" s="49">
        <f>IFERROR(IF(VLOOKUP(A10,tbMoveset!A2:J112,10,FALSE)=TRUE,IF((Backdoors!AI12+IF(IM10&gt;=0.45,VLOOKUP(Calculator!E23,tbSkills!DH3:DI6,2,FALSE)+IF(AND(Calculator!B8=TRUE,Backdoors!BI38=TRUE),VLOOKUP(Calculator!E23,tbSkills!DH3:DJ6,3,FALSE),0),0))&gt;=0,1+(Backdoors!AL2*(IF((Backdoors!AI12+IF(IM10&gt;=0.45,VLOOKUP(Calculator!E23,tbSkills!DH3:DI6,2,FALSE)+IF(AND(Calculator!B8=TRUE,Backdoors!BI38=TRUE),VLOOKUP(Calculator!E23,tbSkills!DH3:DJ6,3,FALSE),0),0))&gt;=100,100,(Backdoors!AI12+IF(IM10&gt;=0.45,VLOOKUP(Calculator!E23,tbSkills!DH3:DI6,2,FALSE)+IF(AND(Calculator!B8=TRUE,Backdoors!BI38=TRUE),VLOOKUP(Calculator!E23,tbSkills!DH3:DJ6,3,FALSE),0),0)))/100)),(1-(0.25*((-Backdoors!AI12-IF(IM10&gt;=0.45,VLOOKUP(Calculator!E23,tbSkills!DH3:DI6,2,FALSE)+IF(AND(Calculator!B8=TRUE,Backdoors!BI38=TRUE),VLOOKUP(Calculator!E23,tbSkills!DH3:DJ6,3,FALSE),0),0))/100)))),1),"")</f>
        <v>1</v>
      </c>
      <c r="IP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M10)*IO10)*(VLOOKUP(A10,tbMoveset!A2:C112,3,FALSE)/100)*IF(VLOOKUP(A10,tbMoveset!A2:B112,2,FALSE)="Projectile",Backdoors!N10,Backdoors!N9),0),"")</f>
        <v/>
      </c>
      <c r="IQ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IM10&gt;=0.45,VLOOKUP(Calculator!E23,tbSkills!DH3:DI6,2,FALSE)+IF(AND(Calculator!B8=TRUE,Backdoors!BI38=TRUE),VLOOKUP(Calculator!E23,tbSkills!DH3:DJ6,3,FALSE),0),0))&gt;=100,100,(Backdoors!AI12+IF(IM10&gt;=0.45,VLOOKUP(Calculator!E23,tbSkills!DH3:DI6,2,FALSE)+IF(AND(Calculator!B8=TRUE,Backdoors!BI38=TRUE),VLOOKUP(Calculator!E23,tbSkills!DH3:DJ6,3,FALSE),0),0)))/100)),1))*IF(VLOOKUP(A10,tbMoveset!A2:K112,11,FALSE)=TRUE,Backdoors!AC5,1))*IN10,0),"")</f>
        <v>0</v>
      </c>
      <c r="IR10" s="49">
        <f>VLOOKUP(A10,tbMoveset!A2:G112,7,FALSE)*IFERROR(IF(Backdoors!AI12&gt;=0,1+(IF(Calculator!E40&gt;0,VLOOKUP(Calculator!E40,tbSkills!AI3:AJ5,2,FALSE),Backdoors!AL4)*(IF((Backdoors!AI12+IF(IM10&gt;=0.45,VLOOKUP(Calculator!E23,tbSkills!DH3:DI6,2,FALSE)+IF(AND(Calculator!B8=TRUE,Backdoors!BI38=TRUE),VLOOKUP(Calculator!E23,tbSkills!DH3:DJ6,3,FALSE),0),0))&gt;=100,100,(Backdoors!AI12+IF(IM10&gt;=0.45,VLOOKUP(Calculator!E23,tbSkills!DH3:DI6,2,FALSE)+IF(AND(Calculator!B8=TRUE,Backdoors!BI38=TRUE),VLOOKUP(Calculator!E23,tbSkills!DH3:DJ6,3,FALSE),0),0)))/100)),1),1)</f>
        <v>0.4</v>
      </c>
      <c r="IS10" s="87">
        <f t="shared" si="42"/>
        <v>0</v>
      </c>
      <c r="IT10" s="86" t="str">
        <f>IFERROR(IF(VLOOKUP(A10,tbMoveset!A2:B112,2,FALSE)="Sever",Backdoors!AY39/100,IF(VLOOKUP(A10,tbMoveset!A2:B112,2,FALSE)="Blunt",Backdoors!AZ39/100,Backdoors!BA39/100)),"")</f>
        <v/>
      </c>
      <c r="IU10" s="49">
        <f>IFERROR(IF(VLOOKUP(tbMoveset!A10,tbMoveset!A2:H112,8,FALSE)="Other",IF(VLOOKUP(tbMoveset!A10,tbMoveset!A2:I112,9,FALSE)="Fire",Backdoors!BB39,IF(VLOOKUP(tbMoveset!A10,tbMoveset!A2:I112,9,FALSE)="Water",Backdoors!BC39,IF(VLOOKUP(tbMoveset!A10,tbMoveset!A2:I112,9,FALSE)="Thunder",Backdoors!BD39,IF(VLOOKUP(tbMoveset!A10,tbMoveset!A2:I112,9,FALSE)="Ice",Backdoors!BE39,IF(VLOOKUP(tbMoveset!A10,tbMoveset!A2:I112,9,FALSE)="Dragon",Backdoors!BF39,Backdoors!BG39)))))/100,Backdoors!BG39/100),"")</f>
        <v>0</v>
      </c>
      <c r="IV10" s="49">
        <f>IFERROR(IF(VLOOKUP(A10,tbMoveset!A2:J112,10,FALSE)=TRUE,IF((Backdoors!AI12+IF(IT10&gt;=0.45,VLOOKUP(Calculator!E23,tbSkills!DH3:DI6,2,FALSE)+IF(AND(Calculator!B8=TRUE,Backdoors!BI39=TRUE),VLOOKUP(Calculator!E23,tbSkills!DH3:DJ6,3,FALSE),0),0))&gt;=0,1+(Backdoors!AL2*(IF((Backdoors!AI12+IF(IT10&gt;=0.45,VLOOKUP(Calculator!E23,tbSkills!DH3:DI6,2,FALSE)+IF(AND(Calculator!B8=TRUE,Backdoors!BI39=TRUE),VLOOKUP(Calculator!E23,tbSkills!DH3:DJ6,3,FALSE),0),0))&gt;=100,100,(Backdoors!AI12+IF(IT10&gt;=0.45,VLOOKUP(Calculator!E23,tbSkills!DH3:DI6,2,FALSE)+IF(AND(Calculator!B8=TRUE,Backdoors!BI39=TRUE),VLOOKUP(Calculator!E23,tbSkills!DH3:DJ6,3,FALSE),0),0)))/100)),(1-(0.25*((-Backdoors!AI12-IF(IT10&gt;=0.45,VLOOKUP(Calculator!E23,tbSkills!DH3:DI6,2,FALSE)+IF(AND(Calculator!B8=TRUE,Backdoors!BI39=TRUE),VLOOKUP(Calculator!E23,tbSkills!DH3:DJ6,3,FALSE),0),0))/100)))),1),"")</f>
        <v>1</v>
      </c>
      <c r="IW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T10)*IV10)*(VLOOKUP(A10,tbMoveset!A2:C112,3,FALSE)/100)*IF(VLOOKUP(A10,tbMoveset!A2:B112,2,FALSE)="Projectile",Backdoors!N10,Backdoors!N9),0),"")</f>
        <v/>
      </c>
      <c r="IX10" s="49">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40&gt;0,VLOOKUP(Calculator!E40,tbSkills!AC3:AD5,2,FALSE),Backdoors!AL3)*(IF((Backdoors!AI12+IF(IT10&gt;=0.45,VLOOKUP(Calculator!E23,tbSkills!DH3:DI6,2,FALSE)+IF(AND(Calculator!B8=TRUE,Backdoors!BI39=TRUE),VLOOKUP(Calculator!E23,tbSkills!DH3:DJ6,3,FALSE),0),0))&gt;=100,100,(Backdoors!AI12+IF(IT10&gt;=0.45,VLOOKUP(Calculator!E23,tbSkills!DH3:DI6,2,FALSE)+IF(AND(Calculator!B8=TRUE,Backdoors!BI39=TRUE),VLOOKUP(Calculator!E23,tbSkills!DH3:DJ6,3,FALSE),0),0)))/100)),1))*IF(VLOOKUP(A10,tbMoveset!A2:K112,11,FALSE)=TRUE,Backdoors!AC5,1))*IU10,0),"")</f>
        <v>0</v>
      </c>
      <c r="IY10" s="49">
        <f>VLOOKUP(A10,tbMoveset!A2:G112,7,FALSE)*IFERROR(IF(Backdoors!AI12&gt;=0,1+(IF(Calculator!E40&gt;0,VLOOKUP(Calculator!E40,tbSkills!AI3:AJ5,2,FALSE),Backdoors!AL4)*(IF((Backdoors!AI12+IF(IT10&gt;=0.45,VLOOKUP(Calculator!E23,tbSkills!DH3:DI6,2,FALSE)+IF(AND(Calculator!B8=TRUE,Backdoors!BI39=TRUE),VLOOKUP(Calculator!E23,tbSkills!DH3:DJ6,3,FALSE),0),0))&gt;=100,100,(Backdoors!AI12+IF(IT10&gt;=0.45,VLOOKUP(Calculator!E23,tbSkills!DH3:DI6,2,FALSE)+IF(AND(Calculator!B8=TRUE,Backdoors!BI39=TRUE),VLOOKUP(Calculator!E23,tbSkills!DH3:DJ6,3,FALSE),0),0)))/100)),1),1)</f>
        <v>0.4</v>
      </c>
      <c r="IZ10" s="87">
        <f t="shared" si="28"/>
        <v>0</v>
      </c>
      <c r="JA10" s="86" t="str">
        <f>IFERROR(IF(VLOOKUP(A10,tbMoveset!A2:B112,2,FALSE)="Sever",Backdoors!AY40/100,IF(VLOOKUP(A10,tbMoveset!A2:B112,2,FALSE)="Blunt",Backdoors!AZ40/100,Backdoors!BA40/100)),"")</f>
        <v/>
      </c>
      <c r="JB10" s="49">
        <f>IFERROR(IF(VLOOKUP(tbMoveset!A10,tbMoveset!A2:H112,8,FALSE)="Other",IF(VLOOKUP(tbMoveset!A10,tbMoveset!A2:I112,9,FALSE)="Fire",Backdoors!BB40,IF(VLOOKUP(tbMoveset!A10,tbMoveset!A2:I112,9,FALSE)="Water",Backdoors!BC40,IF(VLOOKUP(tbMoveset!A10,tbMoveset!A2:I112,9,FALSE)="Thunder",Backdoors!BD40,IF(VLOOKUP(tbMoveset!A10,tbMoveset!A2:I112,9,FALSE)="Ice",Backdoors!BE40,IF(VLOOKUP(tbMoveset!A10,tbMoveset!A2:I112,9,FALSE)="Dragon",Backdoors!BF40,Backdoors!BG40)))))/100,Backdoors!BG40/100),"")</f>
        <v>0</v>
      </c>
      <c r="JC10" s="49">
        <f>IFERROR(IF(VLOOKUP(A10,tbMoveset!A2:J112,10,FALSE)=TRUE,IF((Backdoors!AI12+IF(JA10&gt;=0.45,VLOOKUP(Calculator!E23,tbSkills!DH3:DI6,2,FALSE)+IF(AND(Calculator!B8=TRUE,Backdoors!BI40=TRUE),VLOOKUP(Calculator!E23,tbSkills!DH3:DJ6,3,FALSE),0),0))&gt;=0,1+(Backdoors!AL2*(IF((Backdoors!AI12+IF(JA10&gt;=0.45,VLOOKUP(Calculator!E23,tbSkills!DH3:DI6,2,FALSE)+IF(AND(Calculator!B8=TRUE,Backdoors!BI40=TRUE),VLOOKUP(Calculator!E23,tbSkills!DH3:DJ6,3,FALSE),0),0))&gt;=100,100,(Backdoors!AI12+IF(JA10&gt;=0.45,VLOOKUP(Calculator!E23,tbSkills!DH3:DI6,2,FALSE)+IF(AND(Calculator!B8=TRUE,Backdoors!BI40=TRUE),VLOOKUP(Calculator!E23,tbSkills!DH3:DJ6,3,FALSE),0),0)))/100)),(1-(0.25*((-Backdoors!AI12-IF(JA10&gt;=0.45,VLOOKUP(Calculator!E23,tbSkills!DH3:DI6,2,FALSE)+IF(AND(Calculator!B8=TRUE,Backdoors!BI40=TRUE),VLOOKUP(Calculator!E23,tbSkills!DH3:DJ6,3,FALSE),0),0))/100)))),1),"")</f>
        <v>1</v>
      </c>
      <c r="JD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A10)*JC10)*(VLOOKUP(A10,tbMoveset!A2:C112,3,FALSE)/100)*IF(VLOOKUP(A10,tbMoveset!A2:B112,2,FALSE)="Projectile",Backdoors!N10,Backdoors!N9),0),"")</f>
        <v/>
      </c>
      <c r="JE10" s="49">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42&gt;0,VLOOKUP(Calculator!E42,tbSkills!AC3:AD5,2,FALSE),Backdoors!AL3)*(IF((Backdoors!AI12+IF(JA10&gt;=0.45,VLOOKUP(Calculator!E23,tbSkills!DH3:DI6,2,FALSE)+IF(AND(Calculator!B8=TRUE,Backdoors!BI40=TRUE),VLOOKUP(Calculator!E23,tbSkills!DH3:DJ6,3,FALSE),0),0))&gt;=100,100,(Backdoors!AI12+IF(JA10&gt;=0.45,VLOOKUP(Calculator!E23,tbSkills!DH3:DI6,2,FALSE)+IF(AND(Calculator!B8=TRUE,Backdoors!BI40=TRUE),VLOOKUP(Calculator!E23,tbSkills!DH3:DJ6,3,FALSE),0),0)))/100)),1))*IF(VLOOKUP(A10,tbMoveset!A2:K112,11,FALSE)=TRUE,Backdoors!AC5,1))*JB10,0),"")</f>
        <v>0</v>
      </c>
      <c r="JF10" s="49">
        <f>VLOOKUP(A10,tbMoveset!A2:G112,7,FALSE)*IFERROR(IF(Backdoors!AI12&gt;=0,1+(IF(Calculator!E40&gt;0,VLOOKUP(Calculator!E40,tbSkills!AI3:AJ5,2,FALSE),Backdoors!AL4)*(IF((Backdoors!AI12+IF(JA10&gt;=0.45,VLOOKUP(Calculator!E23,tbSkills!DH3:DI6,2,FALSE)+IF(AND(Calculator!B8=TRUE,Backdoors!BI40=TRUE),VLOOKUP(Calculator!E23,tbSkills!DH3:DJ6,3,FALSE),0),0))&gt;=100,100,(Backdoors!AI12+IF(JA10&gt;=0.45,VLOOKUP(Calculator!E23,tbSkills!DH3:DI6,2,FALSE)+IF(AND(Calculator!B8=TRUE,Backdoors!BI40=TRUE),VLOOKUP(Calculator!E23,tbSkills!DH3:DJ6,3,FALSE),0),0)))/100)),1),1)</f>
        <v>0.4</v>
      </c>
      <c r="JG10" s="87">
        <f t="shared" si="29"/>
        <v>0</v>
      </c>
      <c r="JH10" s="86" t="str">
        <f>IFERROR(IF(VLOOKUP(A10,tbMoveset!A2:B112,2,FALSE)="Sever",Backdoors!AY41/100,IF(VLOOKUP(A10,tbMoveset!A2:B112,2,FALSE)="Blunt",Backdoors!AZ41/100,Backdoors!BA41/100)),"")</f>
        <v/>
      </c>
      <c r="JI10" s="49">
        <f>IFERROR(IF(VLOOKUP(tbMoveset!A10,tbMoveset!A2:H112,8,FALSE)="Other",IF(VLOOKUP(tbMoveset!A10,tbMoveset!A2:I112,9,FALSE)="Fire",Backdoors!BB41,IF(VLOOKUP(tbMoveset!A10,tbMoveset!A2:I112,9,FALSE)="Water",Backdoors!BC41,IF(VLOOKUP(tbMoveset!A10,tbMoveset!A2:I112,9,FALSE)="Thunder",Backdoors!BD41,IF(VLOOKUP(tbMoveset!A10,tbMoveset!A2:I112,9,FALSE)="Ice",Backdoors!BE41,IF(VLOOKUP(tbMoveset!A10,tbMoveset!A2:I112,9,FALSE)="Dragon",Backdoors!BF41,Backdoors!BG41)))))/100,Backdoors!BG41/100),"")</f>
        <v>0</v>
      </c>
      <c r="JJ10" s="49">
        <f>IFERROR(IF(VLOOKUP(A10,tbMoveset!A2:J112,10,FALSE)=TRUE,IF((Backdoors!AI12+IF(JH10&gt;=0.45,VLOOKUP(Calculator!E23,tbSkills!DH3:DI6,2,FALSE)+IF(AND(Calculator!B8=TRUE,Backdoors!BI41=TRUE),VLOOKUP(Calculator!E23,tbSkills!DH3:DJ6,3,FALSE),0),0))&gt;=0,1+(Backdoors!AL2*(IF((Backdoors!AI12+IF(JH10&gt;=0.45,VLOOKUP(Calculator!E23,tbSkills!DH3:DI6,2,FALSE)+IF(AND(Calculator!B8=TRUE,Backdoors!BI41=TRUE),VLOOKUP(Calculator!E23,tbSkills!DH3:DJ6,3,FALSE),0),0))&gt;=100,100,(Backdoors!AI12+IF(JH10&gt;=0.45,VLOOKUP(Calculator!E23,tbSkills!DH3:DI6,2,FALSE)+IF(AND(Calculator!B8=TRUE,Backdoors!BI41=TRUE),VLOOKUP(Calculator!E23,tbSkills!DH3:DJ6,3,FALSE),0),0)))/100)),(1-(0.25*((-Backdoors!AI12-IF(JH10&gt;=0.45,VLOOKUP(Calculator!E23,tbSkills!DH3:DI6,2,FALSE)+IF(AND(Calculator!B8=TRUE,Backdoors!BI41=TRUE),VLOOKUP(Calculator!E23,tbSkills!DH3:DJ6,3,FALSE),0),0))/100)))),1),"")</f>
        <v>1</v>
      </c>
      <c r="JK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H10)*JJ10)*(VLOOKUP(A10,tbMoveset!A2:C112,3,FALSE)/100)*IF(VLOOKUP(A10,tbMoveset!A2:B112,2,FALSE)="Projectile",Backdoors!N10,Backdoors!N9),0),"")</f>
        <v/>
      </c>
      <c r="JL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43&gt;0,VLOOKUP(Calculator!E43,tbSkills!AC3:AD5,2,FALSE),Backdoors!AL3)*(IF((Backdoors!AI12+IF(JH10&gt;=0.45,VLOOKUP(Calculator!E23,tbSkills!DH3:DI6,2,FALSE)+IF(AND(Calculator!B8=TRUE,Backdoors!BI41=TRUE),VLOOKUP(Calculator!E23,tbSkills!DH3:DJ6,3,FALSE),0),0))&gt;=100,100,(Backdoors!AI12+IF(JH10&gt;=0.45,VLOOKUP(Calculator!E23,tbSkills!DH3:DI6,2,FALSE)+IF(AND(Calculator!B8=TRUE,Backdoors!BI41=TRUE),VLOOKUP(Calculator!E23,tbSkills!DH3:DJ6,3,FALSE),0),0)))/100)),1))*IF(VLOOKUP(A10,tbMoveset!A2:K112,11,FALSE)=TRUE,Backdoors!AC5,1))*JI10,0),"")</f>
        <v/>
      </c>
      <c r="JM10" s="49">
        <f>VLOOKUP(A10,tbMoveset!A2:G112,7,FALSE)*IFERROR(IF(Backdoors!AI12&gt;=0,1+(IF(Calculator!E40&gt;0,VLOOKUP(Calculator!E40,tbSkills!AI3:AJ5,2,FALSE),Backdoors!AL4)*(IF((Backdoors!AI12+IF(JH10&gt;=0.45,VLOOKUP(Calculator!E23,tbSkills!DH3:DI6,2,FALSE)+IF(AND(Calculator!B8=TRUE,Backdoors!BI41=TRUE),VLOOKUP(Calculator!E23,tbSkills!DH3:DJ6,3,FALSE),0),0))&gt;=100,100,(Backdoors!AI12+IF(JH10&gt;=0.45,VLOOKUP(Calculator!E23,tbSkills!DH3:DI6,2,FALSE)+IF(AND(Calculator!B8=TRUE,Backdoors!BI41=TRUE),VLOOKUP(Calculator!E23,tbSkills!DH3:DJ6,3,FALSE),0),0)))/100)),1),1)</f>
        <v>0.4</v>
      </c>
      <c r="JN10" s="87">
        <f t="shared" si="30"/>
        <v>0</v>
      </c>
      <c r="JO10" s="86" t="str">
        <f>IFERROR(IF(VLOOKUP(A10,tbMoveset!A2:B112,2,FALSE)="Sever",Backdoors!AY42/100,IF(VLOOKUP(A10,tbMoveset!A2:B112,2,FALSE)="Blunt",Backdoors!AZ42/100,Backdoors!BA42/100)),"")</f>
        <v/>
      </c>
      <c r="JP10" s="49">
        <f>IFERROR(IF(VLOOKUP(tbMoveset!A10,tbMoveset!A2:H112,8,FALSE)="Other",IF(VLOOKUP(tbMoveset!A10,tbMoveset!A2:I112,9,FALSE)="Fire",Backdoors!BB42,IF(VLOOKUP(tbMoveset!A10,tbMoveset!A2:I112,9,FALSE)="Water",Backdoors!BC42,IF(VLOOKUP(tbMoveset!A10,tbMoveset!A2:I112,9,FALSE)="Thunder",Backdoors!BD42,IF(VLOOKUP(tbMoveset!A10,tbMoveset!A2:I112,9,FALSE)="Ice",Backdoors!BE42,IF(VLOOKUP(tbMoveset!A10,tbMoveset!A2:I112,9,FALSE)="Dragon",Backdoors!BF42,Backdoors!BG42)))))/100,Backdoors!BG42/100),"")</f>
        <v>0</v>
      </c>
      <c r="JQ10" s="49">
        <f>IFERROR(IF(VLOOKUP(A10,tbMoveset!A2:J112,10,FALSE)=TRUE,IF((Backdoors!AI12+IF(JO10&gt;=0.45,VLOOKUP(Calculator!E23,tbSkills!DH3:DI6,2,FALSE)+IF(AND(Calculator!B8=TRUE,Backdoors!BI42=TRUE),VLOOKUP(Calculator!E23,tbSkills!DH3:DJ6,3,FALSE),0),0))&gt;=0,1+(Backdoors!AL2*(IF((Backdoors!AI12+IF(JO10&gt;=0.45,VLOOKUP(Calculator!E23,tbSkills!DH3:DI6,2,FALSE)+IF(AND(Calculator!B8=TRUE,Backdoors!BI42=TRUE),VLOOKUP(Calculator!E23,tbSkills!DH3:DJ6,3,FALSE),0),0))&gt;=100,100,(Backdoors!AI12+IF(JO10&gt;=0.45,VLOOKUP(Calculator!E23,tbSkills!DH3:DI6,2,FALSE)+IF(AND(Calculator!B8=TRUE,Backdoors!BI42=TRUE),VLOOKUP(Calculator!E23,tbSkills!DH3:DJ6,3,FALSE),0),0)))/100)),(1-(0.25*((-Backdoors!AI12-IF(JO10&gt;=0.45,VLOOKUP(Calculator!E23,tbSkills!DH3:DI6,2,FALSE)+IF(AND(Calculator!B8=TRUE,Backdoors!BI42=TRUE),VLOOKUP(Calculator!E23,tbSkills!DH3:DJ6,3,FALSE),0),0))/100)))),1),"")</f>
        <v>1</v>
      </c>
      <c r="JR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O10)*JQ10)*(VLOOKUP(A10,tbMoveset!A2:C112,3,FALSE)/100)*IF(VLOOKUP(A10,tbMoveset!A2:B112,2,FALSE)="Projectile",Backdoors!N10,Backdoors!N9),0),"")</f>
        <v/>
      </c>
      <c r="JS10" s="49">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45&gt;0,VLOOKUP(Calculator!E45,tbSkills!AC3:AD5,2,FALSE),Backdoors!AL3)*(IF((Backdoors!AI12+IF(JO10&gt;=0.45,VLOOKUP(Calculator!E23,tbSkills!DH3:DI6,2,FALSE)+IF(AND(Calculator!B8=TRUE,Backdoors!BI42=TRUE),VLOOKUP(Calculator!E23,tbSkills!DH3:DJ6,3,FALSE),0),0))&gt;=100,100,(Backdoors!AI12+IF(JO10&gt;=0.45,VLOOKUP(Calculator!E23,tbSkills!DH3:DI6,2,FALSE)+IF(AND(Calculator!B8=TRUE,Backdoors!BI42=TRUE),VLOOKUP(Calculator!E23,tbSkills!DH3:DJ6,3,FALSE),0),0)))/100)),1))*IF(VLOOKUP(A10,tbMoveset!A2:K112,11,FALSE)=TRUE,Backdoors!AC5,1))*JP10,0),"")</f>
        <v>0</v>
      </c>
      <c r="JT10" s="49">
        <f>VLOOKUP(A10,tbMoveset!A2:G112,7,FALSE)*IFERROR(IF(Backdoors!AI12&gt;=0,1+(IF(Calculator!E40&gt;0,VLOOKUP(Calculator!E40,tbSkills!AI3:AJ5,2,FALSE),Backdoors!AL4)*(IF((Backdoors!AI12+IF(JO10&gt;=0.45,VLOOKUP(Calculator!E23,tbSkills!DH3:DI6,2,FALSE)+IF(AND(Calculator!B8=TRUE,Backdoors!BI42=TRUE),VLOOKUP(Calculator!E23,tbSkills!DH3:DJ6,3,FALSE),0),0))&gt;=100,100,(Backdoors!AI12+IF(JO10&gt;=0.45,VLOOKUP(Calculator!E23,tbSkills!DH3:DI6,2,FALSE)+IF(AND(Calculator!B8=TRUE,Backdoors!BI42=TRUE),VLOOKUP(Calculator!E23,tbSkills!DH3:DJ6,3,FALSE),0),0)))/100)),1),1)</f>
        <v>0.4</v>
      </c>
      <c r="JU10" s="87">
        <f t="shared" si="31"/>
        <v>0</v>
      </c>
      <c r="JV10" s="86" t="str">
        <f>IFERROR(IF(VLOOKUP(A10,tbMoveset!A2:B112,2,FALSE)="Sever",Backdoors!AY43/100,IF(VLOOKUP(A10,tbMoveset!A2:B112,2,FALSE)="Blunt",Backdoors!AZ43/100,Backdoors!BA43/100)),"")</f>
        <v/>
      </c>
      <c r="JW10" s="49">
        <f>IFERROR(IF(VLOOKUP(tbMoveset!A10,tbMoveset!A2:H112,8,FALSE)="Other",IF(VLOOKUP(tbMoveset!A10,tbMoveset!A2:I112,9,FALSE)="Fire",Backdoors!BB43,IF(VLOOKUP(tbMoveset!A10,tbMoveset!A2:I112,9,FALSE)="Water",Backdoors!BC43,IF(VLOOKUP(tbMoveset!A10,tbMoveset!A2:I112,9,FALSE)="Thunder",Backdoors!BD43,IF(VLOOKUP(tbMoveset!A10,tbMoveset!A2:I112,9,FALSE)="Ice",Backdoors!BE43,IF(VLOOKUP(tbMoveset!A10,tbMoveset!A2:I112,9,FALSE)="Dragon",Backdoors!BF43,Backdoors!BG43)))))/100,Backdoors!BG43/100),"")</f>
        <v>0</v>
      </c>
      <c r="JX10" s="49">
        <f>IFERROR(IF(VLOOKUP(A10,tbMoveset!A2:J112,10,FALSE)=TRUE,IF((Backdoors!AI12+IF(JV10&gt;=0.45,VLOOKUP(Calculator!E23,tbSkills!DH3:DI6,2,FALSE)+IF(AND(Calculator!B8=TRUE,Backdoors!BI43=TRUE),VLOOKUP(Calculator!E23,tbSkills!DH3:DJ6,3,FALSE),0),0))&gt;=0,1+(Backdoors!AL2*(IF((Backdoors!AI12+IF(JV10&gt;=0.45,VLOOKUP(Calculator!E23,tbSkills!DH3:DI6,2,FALSE)+IF(AND(Calculator!B8=TRUE,Backdoors!BI43=TRUE),VLOOKUP(Calculator!E23,tbSkills!DH3:DJ6,3,FALSE),0),0))&gt;=100,100,(Backdoors!AI12+IF(JV10&gt;=0.45,VLOOKUP(Calculator!E23,tbSkills!DH3:DI6,2,FALSE)+IF(AND(Calculator!B8=TRUE,Backdoors!BI43=TRUE),VLOOKUP(Calculator!E23,tbSkills!DH3:DJ6,3,FALSE),0),0)))/100)),(1-(0.25*((-Backdoors!AI12-IF(JV10&gt;=0.45,VLOOKUP(Calculator!E23,tbSkills!DH3:DI6,2,FALSE)+IF(AND(Calculator!B8=TRUE,Backdoors!BI43=TRUE),VLOOKUP(Calculator!E23,tbSkills!DH3:DJ6,3,FALSE),0),0))/100)))),1),"")</f>
        <v>1</v>
      </c>
      <c r="JY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V10)*JX10)*(VLOOKUP(A10,tbMoveset!A2:C112,3,FALSE)/100)*IF(VLOOKUP(A10,tbMoveset!A2:B112,2,FALSE)="Projectile",Backdoors!N10,Backdoors!N9),0),"")</f>
        <v/>
      </c>
      <c r="JZ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46&gt;0,VLOOKUP(Calculator!E46,tbSkills!AC3:AD5,2,FALSE),Backdoors!AL3)*(IF((Backdoors!AI12+IF(JV10&gt;=0.45,VLOOKUP(Calculator!E23,tbSkills!DH3:DI6,2,FALSE)+IF(AND(Calculator!B8=TRUE,Backdoors!BI43=TRUE),VLOOKUP(Calculator!E23,tbSkills!DH3:DJ6,3,FALSE),0),0))&gt;=100,100,(Backdoors!AI12+IF(JV10&gt;=0.45,VLOOKUP(Calculator!E23,tbSkills!DH3:DI6,2,FALSE)+IF(AND(Calculator!B8=TRUE,Backdoors!BI43=TRUE),VLOOKUP(Calculator!E23,tbSkills!DH3:DJ6,3,FALSE),0),0)))/100)),1))*IF(VLOOKUP(A10,tbMoveset!A2:K112,11,FALSE)=TRUE,Backdoors!AC5,1))*JW10,0),"")</f>
        <v/>
      </c>
      <c r="KA10" s="49">
        <f>VLOOKUP(A10,tbMoveset!A2:G112,7,FALSE)*IFERROR(IF(Backdoors!AI12&gt;=0,1+(IF(Calculator!E40&gt;0,VLOOKUP(Calculator!E40,tbSkills!AI3:AJ5,2,FALSE),Backdoors!AL4)*(IF((Backdoors!AI12+IF(JV10&gt;=0.45,VLOOKUP(Calculator!E23,tbSkills!DH3:DI6,2,FALSE)+IF(AND(Calculator!B8=TRUE,Backdoors!BI43=TRUE),VLOOKUP(Calculator!E23,tbSkills!DH3:DJ6,3,FALSE),0),0))&gt;=100,100,(Backdoors!AI12+IF(JV10&gt;=0.45,VLOOKUP(Calculator!E23,tbSkills!DH3:DI6,2,FALSE)+IF(AND(Calculator!B8=TRUE,Backdoors!BI43=TRUE),VLOOKUP(Calculator!E23,tbSkills!DH3:DJ6,3,FALSE),0),0)))/100)),1),1)</f>
        <v>0.4</v>
      </c>
      <c r="KB10" s="87">
        <f t="shared" si="32"/>
        <v>0</v>
      </c>
      <c r="KC10" s="86" t="str">
        <f>IFERROR(IF(VLOOKUP(A10,tbMoveset!A2:B112,2,FALSE)="Sever",Backdoors!AY44/100,IF(VLOOKUP(A10,tbMoveset!A2:B112,2,FALSE)="Blunt",Backdoors!AZ44/100,Backdoors!BA44/100)),"")</f>
        <v/>
      </c>
      <c r="KD10" s="49">
        <f>IFERROR(IF(VLOOKUP(tbMoveset!A10,tbMoveset!A2:H112,8,FALSE)="Other",IF(VLOOKUP(tbMoveset!A10,tbMoveset!A2:I112,9,FALSE)="Fire",Backdoors!BB44,IF(VLOOKUP(tbMoveset!A10,tbMoveset!A2:I112,9,FALSE)="Water",Backdoors!BC44,IF(VLOOKUP(tbMoveset!A10,tbMoveset!A2:I112,9,FALSE)="Thunder",Backdoors!BD44,IF(VLOOKUP(tbMoveset!A10,tbMoveset!A2:I112,9,FALSE)="Ice",Backdoors!BE44,IF(VLOOKUP(tbMoveset!A10,tbMoveset!A2:I112,9,FALSE)="Dragon",Backdoors!BF44,Backdoors!BG44)))))/100,Backdoors!BG44/100),"")</f>
        <v>0</v>
      </c>
      <c r="KE10" s="49">
        <f>IFERROR(IF(VLOOKUP(A10,tbMoveset!A2:J112,10,FALSE)=TRUE,IF((Backdoors!AI12+IF(KC10&gt;=0.45,VLOOKUP(Calculator!E23,tbSkills!DH3:DI6,2,FALSE)+IF(AND(Calculator!B8=TRUE,Backdoors!BI44=TRUE),VLOOKUP(Calculator!E23,tbSkills!DH3:DJ6,3,FALSE),0),0))&gt;=0,1+(Backdoors!AL2*(IF((Backdoors!AI12+IF(KC10&gt;=0.45,VLOOKUP(Calculator!E23,tbSkills!DH3:DI6,2,FALSE)+IF(AND(Calculator!B8=TRUE,Backdoors!BI44=TRUE),VLOOKUP(Calculator!E23,tbSkills!DH3:DJ6,3,FALSE),0),0))&gt;=100,100,(Backdoors!AI12+IF(KC10&gt;=0.45,VLOOKUP(Calculator!E23,tbSkills!DH3:DI6,2,FALSE)+IF(AND(Calculator!B8=TRUE,Backdoors!BI44=TRUE),VLOOKUP(Calculator!E23,tbSkills!DH3:DJ6,3,FALSE),0),0)))/100)),(1-(0.25*((-Backdoors!AI12-IF(KC10&gt;=0.45,VLOOKUP(Calculator!E23,tbSkills!DH3:DI6,2,FALSE)+IF(AND(Calculator!B8=TRUE,Backdoors!BI44=TRUE),VLOOKUP(Calculator!E23,tbSkills!DH3:DJ6,3,FALSE),0),0))/100)))),1),"")</f>
        <v>1</v>
      </c>
      <c r="KF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KC10)*KE10)*(VLOOKUP(A10,tbMoveset!A2:C112,3,FALSE)/100)*IF(VLOOKUP(A10,tbMoveset!A2:B112,2,FALSE)="Projectile",Backdoors!N10,Backdoors!N9),0),"")</f>
        <v/>
      </c>
      <c r="KG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REF!&gt;0,VLOOKUP(Calculator!#REF!,tbSkills!AC3:AD5,2,FALSE),Backdoors!AL3)*(IF((Backdoors!AI12+IF(KC10&gt;=0.45,VLOOKUP(Calculator!E23,tbSkills!DH3:DI6,2,FALSE)+IF(AND(Calculator!B8=TRUE,Backdoors!BI44=TRUE),VLOOKUP(Calculator!E23,tbSkills!DH3:DJ6,3,FALSE),0),0))&gt;=100,100,(Backdoors!AI12+IF(KC10&gt;=0.45,VLOOKUP(Calculator!E23,tbSkills!DH3:DI6,2,FALSE)+IF(AND(Calculator!B8=TRUE,Backdoors!BI44=TRUE),VLOOKUP(Calculator!E23,tbSkills!DH3:DJ6,3,FALSE),0),0)))/100)),1))*IF(VLOOKUP(A10,tbMoveset!A2:K112,11,FALSE)=TRUE,Backdoors!AC5,1))*KD10,0),"")</f>
        <v/>
      </c>
      <c r="KH10" s="49">
        <f>VLOOKUP(A10,tbMoveset!A2:G112,7,FALSE)*IFERROR(IF(Backdoors!AI12&gt;=0,1+(IF(Calculator!E40&gt;0,VLOOKUP(Calculator!E40,tbSkills!AI3:AJ5,2,FALSE),Backdoors!AL4)*(IF((Backdoors!AI12+IF(KC10&gt;=0.45,VLOOKUP(Calculator!E23,tbSkills!DH3:DI6,2,FALSE)+IF(AND(Calculator!B8=TRUE,Backdoors!BI44=TRUE),VLOOKUP(Calculator!E23,tbSkills!DH3:DJ6,3,FALSE),0),0))&gt;=100,100,(Backdoors!AI12+IF(KC10&gt;=0.45,VLOOKUP(Calculator!E23,tbSkills!DH3:DI6,2,FALSE)+IF(AND(Calculator!B8=TRUE,Backdoors!BI44=TRUE),VLOOKUP(Calculator!E23,tbSkills!DH3:DJ6,3,FALSE),0),0)))/100)),1),1)</f>
        <v>0.4</v>
      </c>
      <c r="KI10" s="87">
        <f t="shared" si="33"/>
        <v>0</v>
      </c>
      <c r="KJ10" s="86" t="str">
        <f>IFERROR(IF(VLOOKUP(A10,tbMoveset!A2:B112,2,FALSE)="Sever",Backdoors!AY45/100,IF(VLOOKUP(A10,tbMoveset!A2:B112,2,FALSE)="Blunt",Backdoors!AZ45/100,Backdoors!BA45/100)),"")</f>
        <v/>
      </c>
      <c r="KK10" s="49">
        <f>IFERROR(IF(VLOOKUP(tbMoveset!A10,tbMoveset!A2:H112,8,FALSE)="Other",IF(VLOOKUP(tbMoveset!A10,tbMoveset!A2:I112,9,FALSE)="Fire",Backdoors!BB45,IF(VLOOKUP(tbMoveset!A10,tbMoveset!A2:I112,9,FALSE)="Water",Backdoors!BC45,IF(VLOOKUP(tbMoveset!A10,tbMoveset!A2:I112,9,FALSE)="Thunder",Backdoors!BD45,IF(VLOOKUP(tbMoveset!A10,tbMoveset!A2:I112,9,FALSE)="Ice",Backdoors!BE45,IF(VLOOKUP(tbMoveset!A10,tbMoveset!A2:I112,9,FALSE)="Dragon",Backdoors!BF45,Backdoors!BG45)))))/100,Backdoors!BG45/100),"")</f>
        <v>0</v>
      </c>
      <c r="KL10" s="49">
        <f>IFERROR(IF(VLOOKUP(A10,tbMoveset!A2:J112,10,FALSE)=TRUE,IF((Backdoors!AI12+IF(KJ10&gt;=0.45,VLOOKUP(Calculator!E23,tbSkills!DH3:DI6,2,FALSE)+IF(AND(Calculator!B8=TRUE,Backdoors!BI45=TRUE),VLOOKUP(Calculator!E23,tbSkills!DH3:DJ6,3,FALSE),0),0))&gt;=0,1+(Backdoors!AL2*(IF((Backdoors!AI12+IF(KJ10&gt;=0.45,VLOOKUP(Calculator!E23,tbSkills!DH3:DI6,2,FALSE)+IF(AND(Calculator!B8=TRUE,Backdoors!BI45=TRUE),VLOOKUP(Calculator!E23,tbSkills!DH3:DJ6,3,FALSE),0),0))&gt;=100,100,(Backdoors!AI12+IF(KJ10&gt;=0.45,VLOOKUP(Calculator!E23,tbSkills!DH3:DI6,2,FALSE)+IF(AND(Calculator!B8=TRUE,Backdoors!BI45=TRUE),VLOOKUP(Calculator!E23,tbSkills!DH3:DJ6,3,FALSE),0),0)))/100)),(1-(0.25*((-Backdoors!AI12-IF(KJ10&gt;=0.45,VLOOKUP(Calculator!E23,tbSkills!DH3:DI6,2,FALSE)+IF(AND(Calculator!B8=TRUE,Backdoors!BI45=TRUE),VLOOKUP(Calculator!E23,tbSkills!DH3:DJ6,3,FALSE),0),0))/100)))),1),"")</f>
        <v>1</v>
      </c>
      <c r="KM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KJ10)*KL10)*(VLOOKUP(A10,tbMoveset!A2:C112,3,FALSE)/100)*IF(VLOOKUP(A10,tbMoveset!A2:B112,2,FALSE)="Projectile",Backdoors!N10,Backdoors!N9),0),"")</f>
        <v/>
      </c>
      <c r="KN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REF!&gt;0,VLOOKUP(Calculator!#REF!,tbSkills!AC3:AD5,2,FALSE),Backdoors!AL3)*(IF((Backdoors!AI12+IF(KJ10&gt;=0.45,VLOOKUP(Calculator!E23,tbSkills!DH3:DI6,2,FALSE)+IF(AND(Calculator!B8=TRUE,Backdoors!BI45=TRUE),VLOOKUP(Calculator!E23,tbSkills!DH3:DJ6,3,FALSE),0),0))&gt;=100,100,(Backdoors!AI12+IF(KJ10&gt;=0.45,VLOOKUP(Calculator!E23,tbSkills!DH3:DI6,2,FALSE)+IF(AND(Calculator!B8=TRUE,Backdoors!BI45=TRUE),VLOOKUP(Calculator!E23,tbSkills!DH3:DJ6,3,FALSE),0),0)))/100)),1))*IF(VLOOKUP(A10,tbMoveset!A2:K112,11,FALSE)=TRUE,Backdoors!AC5,1))*KK10,0),"")</f>
        <v/>
      </c>
      <c r="KO10" s="49">
        <f>VLOOKUP(A10,tbMoveset!A2:G112,7,FALSE)*IFERROR(IF(Backdoors!AI12&gt;=0,1+(IF(Calculator!E40&gt;0,VLOOKUP(Calculator!E40,tbSkills!AI3:AJ5,2,FALSE),Backdoors!AL4)*(IF((Backdoors!AI12+IF(KJ10&gt;=0.45,VLOOKUP(Calculator!E23,tbSkills!DH3:DI6,2,FALSE)+IF(AND(Calculator!B8=TRUE,Backdoors!BI45=TRUE),VLOOKUP(Calculator!E23,tbSkills!DH3:DJ6,3,FALSE),0),0))&gt;=100,100,(Backdoors!AI12+IF(KJ10&gt;=0.45,VLOOKUP(Calculator!E23,tbSkills!DH3:DI6,2,FALSE)+IF(AND(Calculator!B8=TRUE,Backdoors!BI45=TRUE),VLOOKUP(Calculator!E23,tbSkills!DH3:DJ6,3,FALSE),0),0)))/100)),1),1)</f>
        <v>0.4</v>
      </c>
      <c r="KP10" s="87">
        <f t="shared" si="34"/>
        <v>0</v>
      </c>
      <c r="KQ10" s="86" t="str">
        <f>IFERROR(IF(VLOOKUP(A10,tbMoveset!A2:B112,2,FALSE)="Sever",Backdoors!AY46/100,IF(VLOOKUP(A10,tbMoveset!A2:B112,2,FALSE)="Blunt",Backdoors!AZ46/100,Backdoors!BA46/100)),"")</f>
        <v/>
      </c>
      <c r="KR10" s="49">
        <f>IFERROR(IF(VLOOKUP(tbMoveset!A10,tbMoveset!A2:H112,8,FALSE)="Other",IF(VLOOKUP(tbMoveset!A10,tbMoveset!A2:I112,9,FALSE)="Fire",Backdoors!BB46,IF(VLOOKUP(tbMoveset!A10,tbMoveset!A2:I112,9,FALSE)="Water",Backdoors!BC46,IF(VLOOKUP(tbMoveset!A10,tbMoveset!A2:I112,9,FALSE)="Thunder",Backdoors!BD46,IF(VLOOKUP(tbMoveset!A10,tbMoveset!A2:I112,9,FALSE)="Ice",Backdoors!BE46,IF(VLOOKUP(tbMoveset!A10,tbMoveset!A2:I112,9,FALSE)="Dragon",Backdoors!BF46,Backdoors!BG46)))))/100,Backdoors!BG46/100),"")</f>
        <v>0</v>
      </c>
      <c r="KS10" s="49">
        <f>IFERROR(IF(VLOOKUP(A10,tbMoveset!A2:J112,10,FALSE)=TRUE,IF((Backdoors!AI12+IF(KQ10&gt;=0.45,VLOOKUP(Calculator!E23,tbSkills!DH3:DI6,2,FALSE)+IF(AND(Calculator!B8=TRUE,Backdoors!BI46=TRUE),VLOOKUP(Calculator!E23,tbSkills!DH3:DJ6,3,FALSE),0),0))&gt;=0,1+(Backdoors!AL2*(IF((Backdoors!AI12+IF(KQ10&gt;=0.45,VLOOKUP(Calculator!E23,tbSkills!DH3:DI6,2,FALSE)+IF(AND(Calculator!B8=TRUE,Backdoors!BI46=TRUE),VLOOKUP(Calculator!E23,tbSkills!DH3:DJ6,3,FALSE),0),0))&gt;=100,100,(Backdoors!AI12+IF(KQ10&gt;=0.45,VLOOKUP(Calculator!E23,tbSkills!DH3:DI6,2,FALSE)+IF(AND(Calculator!B8=TRUE,Backdoors!BI46=TRUE),VLOOKUP(Calculator!E23,tbSkills!DH3:DJ6,3,FALSE),0),0)))/100)),(1-(0.25*((-Backdoors!AI12-IF(KQ10&gt;=0.45,VLOOKUP(Calculator!E23,tbSkills!DH3:DI6,2,FALSE)+IF(AND(Calculator!B8=TRUE,Backdoors!BI46=TRUE),VLOOKUP(Calculator!E23,tbSkills!DH3:DJ6,3,FALSE),0),0))/100)))),1),"")</f>
        <v>1</v>
      </c>
      <c r="KT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KQ10)*KS10)*(VLOOKUP(A10,tbMoveset!A2:C112,3,FALSE)/100)*IF(VLOOKUP(A10,tbMoveset!A2:B112,2,FALSE)="Projectile",Backdoors!N10,Backdoors!N9),0),"")</f>
        <v/>
      </c>
      <c r="KU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REF!&gt;0,VLOOKUP(Calculator!#REF!,tbSkills!AC3:AD5,2,FALSE),Backdoors!AL3)*(IF((Backdoors!AI12+IF(KQ10&gt;=0.45,VLOOKUP(Calculator!E23,tbSkills!DH3:DI6,2,FALSE)+IF(AND(Calculator!B8=TRUE,Backdoors!BI46=TRUE),VLOOKUP(Calculator!E23,tbSkills!DH3:DJ6,3,FALSE),0),0))&gt;=100,100,(Backdoors!AI12+IF(KQ10&gt;=0.45,VLOOKUP(Calculator!E23,tbSkills!DH3:DI6,2,FALSE)+IF(AND(Calculator!B8=TRUE,Backdoors!BI46=TRUE),VLOOKUP(Calculator!E23,tbSkills!DH3:DJ6,3,FALSE),0),0)))/100)),1))*IF(VLOOKUP(A10,tbMoveset!A2:K112,11,FALSE)=TRUE,Backdoors!AC5,1))*KR10,0),"")</f>
        <v/>
      </c>
      <c r="KV10" s="49">
        <f>VLOOKUP(A10,tbMoveset!A2:G112,7,FALSE)*IFERROR(IF(Backdoors!AI12&gt;=0,1+(IF(Calculator!E40&gt;0,VLOOKUP(Calculator!E40,tbSkills!AI3:AJ5,2,FALSE),Backdoors!AL4)*(IF((Backdoors!AI12+IF(KQ10&gt;=0.45,VLOOKUP(Calculator!E23,tbSkills!DH3:DI6,2,FALSE)+IF(AND(Calculator!B8=TRUE,Backdoors!BI46=TRUE),VLOOKUP(Calculator!E23,tbSkills!DH3:DJ6,3,FALSE),0),0))&gt;=100,100,(Backdoors!AI12+IF(KQ10&gt;=0.45,VLOOKUP(Calculator!E23,tbSkills!DH3:DI6,2,FALSE)+IF(AND(Calculator!B8=TRUE,Backdoors!BI46=TRUE),VLOOKUP(Calculator!E23,tbSkills!DH3:DJ6,3,FALSE),0),0)))/100)),1),1)</f>
        <v>0.4</v>
      </c>
      <c r="KW10" s="87">
        <f t="shared" si="35"/>
        <v>0</v>
      </c>
    </row>
    <row r="11" spans="1:309" x14ac:dyDescent="0.25">
      <c r="A11" s="95" t="str">
        <f>tbMoveset!A11</f>
        <v>Lunging Strike (R1)</v>
      </c>
      <c r="B11" s="86">
        <f>IFERROR(IF(VLOOKUP(A11,tbMoveset!A2:B112,2,FALSE)="Sever",Backdoors!AY3/100,IF(VLOOKUP(A11,tbMoveset!A2:B112,2,FALSE)="Blunt",Backdoors!AZ3/100,Backdoors!BA3/100)),"")</f>
        <v>0.8</v>
      </c>
      <c r="C11" s="49">
        <f>IFERROR(IF(VLOOKUP(tbMoveset!A11,tbMoveset!A2:H112,8,FALSE)="Other",IF(VLOOKUP(tbMoveset!A11,tbMoveset!A2:I112,9,FALSE)="Fire",Backdoors!BB3,IF(VLOOKUP(tbMoveset!A11,tbMoveset!A2:I112,9,FALSE)="Water",Backdoors!BC3,IF(VLOOKUP(tbMoveset!A11,tbMoveset!A2:I112,9,FALSE)="Thunder",Backdoors!BD3,IF(VLOOKUP(tbMoveset!A11,tbMoveset!A2:I112,9,FALSE)="Ice",Backdoors!BE3,IF(VLOOKUP(tbMoveset!A11,tbMoveset!A2:I112,9,FALSE)="Dragon",Backdoors!BF3,Backdoors!BG3)))))/100,Backdoors!BG3/100),"")</f>
        <v>0</v>
      </c>
      <c r="D11" s="49">
        <f>IFERROR(IF(VLOOKUP(A11,tbMoveset!A2:J112,10,FALSE)=TRUE,IF((Backdoors!AI12+IF(B11&gt;=0.45,VLOOKUP(Calculator!E23,tbSkills!DH3:DI6,2,FALSE)+IF(AND(Calculator!B8=TRUE,Backdoors!BI3=TRUE),VLOOKUP(Calculator!E23,tbSkills!DH3:DJ6,3,FALSE),0),0))&gt;=0,1+(Backdoors!AL2*(IF((Backdoors!AI12+IF(B11&gt;=0.45,VLOOKUP(Calculator!E23,tbSkills!DH3:DI6,2,FALSE)+IF(AND(Calculator!B8=TRUE,Backdoors!BI3=TRUE),VLOOKUP(Calculator!E23,tbSkills!DH3:DJ6,3,FALSE),0),0))&gt;=100,100,(Backdoors!AI12+IF(B11&gt;=0.45,VLOOKUP(Calculator!E23,tbSkills!DH3:DI6,2,FALSE)+IF(AND(Calculator!B8=TRUE,Backdoors!BI3=TRUE),VLOOKUP(Calculator!E23,tbSkills!DH3:DJ6,3,FALSE),0),0)))/100)),(1-(0.25*((-Backdoors!AI12-IF(B11&gt;=0.45,VLOOKUP(Calculator!E23,tbSkills!DH3:DI6,2,FALSE)+IF(AND(Calculator!B8=TRUE,Backdoors!BI3=TRUE),VLOOKUP(Calculator!E23,tbSkills!DH3:DJ6,3,FALSE),0),0))/100)))),1),"")</f>
        <v>1</v>
      </c>
      <c r="E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11)*D11)*(VLOOKUP(A11,tbMoveset!A2:C112,3,FALSE)/100)*IF(VLOOKUP(A11,tbMoveset!A2:B112,2,FALSE)="Projectile",Backdoors!N10,Backdoors!N9),0),"")</f>
        <v>2</v>
      </c>
      <c r="F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11&gt;=0.45,VLOOKUP(Calculator!E23,tbSkills!DH3:DI6,2,FALSE)+IF(AND(Calculator!B8=TRUE,Backdoors!BI3=TRUE),VLOOKUP(Calculator!E23,tbSkills!DH3:DJ6,3,FALSE),0),0))&gt;=100,100,(Backdoors!AI12+IF(B11&gt;=0.45,VLOOKUP(Calculator!E23,tbSkills!DH3:DI6,2,FALSE)+IF(AND(Calculator!B8=TRUE,Backdoors!BI3=TRUE),VLOOKUP(Calculator!E23,tbSkills!DH3:DJ6,3,FALSE),0),0)))/100)),1))*IF(VLOOKUP(A11,tbMoveset!A2:K112,11,FALSE)=TRUE,Backdoors!AC5,1))*C11,0),"")</f>
        <v>0</v>
      </c>
      <c r="G11">
        <f>VLOOKUP(A11,tbMoveset!A2:G112,7,FALSE)*IFERROR(IF(Backdoors!AI12&gt;=0,1+(IF(Calculator!E40&gt;0,VLOOKUP(Calculator!E40,tbSkills!AI3:AJ5,2,FALSE),Backdoors!AL4)*(IF((Backdoors!AI12+IF(B11&gt;=0.45,VLOOKUP(Calculator!E23,tbSkills!DH3:DI6,2,FALSE)+IF(AND(Calculator!B8=TRUE,Backdoors!BI3=TRUE),VLOOKUP(Calculator!E23,tbSkills!DH3:DJ6,3,FALSE),0),0))&gt;=100,100,(Backdoors!AI12+IF(B11&gt;=0.45,VLOOKUP(Calculator!E23,tbSkills!DH3:DI6,2,FALSE)+IF(AND(Calculator!B8=TRUE,Backdoors!BI3=TRUE),VLOOKUP(Calculator!E23,tbSkills!DH3:DJ6,3,FALSE),0),0)))/100)),1),1)</f>
        <v>0.4</v>
      </c>
      <c r="H11" s="87">
        <f t="shared" si="43"/>
        <v>2</v>
      </c>
      <c r="I11" s="86">
        <f>IFERROR(IF(VLOOKUP(A11,tbMoveset!A2:B112,2,FALSE)="Sever",Backdoors!AY4/100,IF(VLOOKUP(A11,tbMoveset!A2:B112,2,FALSE)="Blunt",Backdoors!AZ4/100,Backdoors!BA4/100)),"")</f>
        <v>0.65</v>
      </c>
      <c r="J11" s="49">
        <f>IFERROR(IF(VLOOKUP(tbMoveset!A11,tbMoveset!A2:H112,8,FALSE)="Other",IF(VLOOKUP(tbMoveset!A11,tbMoveset!A2:I112,9,FALSE)="Fire",Backdoors!BB4,IF(VLOOKUP(tbMoveset!A11,tbMoveset!A2:I112,9,FALSE)="Water",Backdoors!BC4,IF(VLOOKUP(tbMoveset!A11,tbMoveset!A2:I112,9,FALSE)="Thunder",Backdoors!BD4,IF(VLOOKUP(tbMoveset!A11,tbMoveset!A2:I112,9,FALSE)="Ice",Backdoors!BE4,IF(VLOOKUP(tbMoveset!A11,tbMoveset!A2:I112,9,FALSE)="Dragon",Backdoors!BF4,Backdoors!BG4)))))/100,Backdoors!BG4/100),"")</f>
        <v>0</v>
      </c>
      <c r="K11" s="49">
        <f>IFERROR(IF(VLOOKUP(A11,tbMoveset!A2:J112,10,FALSE)=TRUE,IF((Backdoors!AI12+IF(I11&gt;=0.45,VLOOKUP(Calculator!E23,tbSkills!DH3:DI6,2,FALSE)+IF(AND(Calculator!B8=TRUE,Backdoors!BI4=TRUE),VLOOKUP(Calculator!E23,tbSkills!DH3:DJ6,3,FALSE),0),0))&gt;=0,1+(Backdoors!AL2*(IF((Backdoors!AI12+IF(I11&gt;=0.45,VLOOKUP(Calculator!E23,tbSkills!DH3:DI6,2,FALSE)+IF(AND(Calculator!B8=TRUE,Backdoors!BI4=TRUE),VLOOKUP(Calculator!E23,tbSkills!DH3:DJ6,3,FALSE),0),0))&gt;=100,100,(Backdoors!AI12+IF(I11&gt;=0.45,VLOOKUP(Calculator!E23,tbSkills!DH3:DI6,2,FALSE)+IF(AND(Calculator!B8=TRUE,Backdoors!BI4=TRUE),VLOOKUP(Calculator!E23,tbSkills!DH3:DJ6,3,FALSE),0),0)))/100)),(1-(0.25*((-Backdoors!AI12-IF(I11&gt;=0.45,VLOOKUP(Calculator!E23,tbSkills!DH3:DI6,2,FALSE)+IF(AND(Calculator!B8=TRUE,Backdoors!BI4=TRUE),VLOOKUP(Calculator!E23,tbSkills!DH3:DJ6,3,FALSE),0),0))/100)))),1),"")</f>
        <v>1</v>
      </c>
      <c r="L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11)*K11)*(VLOOKUP(A11,tbMoveset!A2:C112,3,FALSE)/100)*IF(VLOOKUP(A11,tbMoveset!A2:B112,2,FALSE)="Projectile",Backdoors!N10,Backdoors!N9),0),"")</f>
        <v>2</v>
      </c>
      <c r="M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I11&gt;=0.45,VLOOKUP(Calculator!E23,tbSkills!DH3:DI6,2,FALSE)+IF(AND(Calculator!B8=TRUE,Backdoors!BI4=TRUE),VLOOKUP(Calculator!E23,tbSkills!DH3:DJ6,3,FALSE),0),0))&gt;=100,100,(Backdoors!AI12+IF(I11&gt;=0.45,VLOOKUP(Calculator!E23,tbSkills!DH3:DI6,2,FALSE)+IF(AND(Calculator!B8=TRUE,Backdoors!BI4=TRUE),VLOOKUP(Calculator!E23,tbSkills!DH3:DJ6,3,FALSE),0),0)))/100)),1))*IF(VLOOKUP(A11,tbMoveset!A2:K112,11,FALSE)=TRUE,Backdoors!AC5,1))*J11,0),"")</f>
        <v>0</v>
      </c>
      <c r="N11" s="49">
        <f>VLOOKUP(A11,tbMoveset!A2:G112,7,FALSE)*IFERROR(IF(Backdoors!AI12&gt;=0,1+(IF(Calculator!E40&gt;0,VLOOKUP(Calculator!E40,tbSkills!AI3:AJ5,2,FALSE),Backdoors!AL4)*(IF((Backdoors!AI12+IF(I11&gt;=0.45,VLOOKUP(Calculator!E23,tbSkills!DH3:DI6,2,FALSE)+IF(AND(Calculator!B8=TRUE,Backdoors!BI4=TRUE),VLOOKUP(Calculator!E23,tbSkills!DH3:DJ6,3,FALSE),0),0))&gt;=100,100,(Backdoors!AI12+IF(I11&gt;=0.45,VLOOKUP(Calculator!E23,tbSkills!DH3:DI6,2,FALSE)+IF(AND(Calculator!B8=TRUE,Backdoors!BI4=TRUE),VLOOKUP(Calculator!E23,tbSkills!DH3:DJ6,3,FALSE),0),0)))/100)),1),1)</f>
        <v>0.4</v>
      </c>
      <c r="O11" s="87">
        <f t="shared" si="36"/>
        <v>2</v>
      </c>
      <c r="P11" s="86">
        <f>IFERROR(IF(VLOOKUP(A11,tbMoveset!A2:B112,2,FALSE)="Sever",Backdoors!AY5/100,IF(VLOOKUP(A11,tbMoveset!A2:B112,2,FALSE)="Blunt",Backdoors!AZ5/100,Backdoors!BA5/100)),"")</f>
        <v>0.5</v>
      </c>
      <c r="Q11" s="49">
        <f>IFERROR(IF(VLOOKUP(tbMoveset!A11,tbMoveset!A2:H112,8,FALSE)="Other",IF(VLOOKUP(tbMoveset!A11,tbMoveset!A2:I112,9,FALSE)="Fire",Backdoors!BB5,IF(VLOOKUP(tbMoveset!A11,tbMoveset!A2:I112,9,FALSE)="Water",Backdoors!BC5,IF(VLOOKUP(tbMoveset!A11,tbMoveset!A2:I112,9,FALSE)="Thunder",Backdoors!BD5,IF(VLOOKUP(tbMoveset!A11,tbMoveset!A2:I112,9,FALSE)="Ice",Backdoors!BE5,IF(VLOOKUP(tbMoveset!A11,tbMoveset!A2:I112,9,FALSE)="Dragon",Backdoors!BF5,Backdoors!BG5)))))/100,Backdoors!BG5/100),"")</f>
        <v>0</v>
      </c>
      <c r="R11" s="49">
        <f>IFERROR(IF(VLOOKUP(A11,tbMoveset!A2:J112,10,FALSE)=TRUE,IF((Backdoors!AI12+IF(P11&gt;=0.45,VLOOKUP(Calculator!E23,tbSkills!DH3:DI6,2,FALSE)+IF(AND(Calculator!B8=TRUE,Backdoors!BI5=TRUE),VLOOKUP(Calculator!E23,tbSkills!DH3:DJ6,3,FALSE),0),0))&gt;=0,1+(Backdoors!AL2*(IF((Backdoors!AI12+IF(P11&gt;=0.45,VLOOKUP(Calculator!E23,tbSkills!DH3:DI6,2,FALSE)+IF(AND(Calculator!B8=TRUE,Backdoors!BI5=TRUE),VLOOKUP(Calculator!E23,tbSkills!DH3:DJ6,3,FALSE),0),0))&gt;=100,100,(Backdoors!AI12+IF(P11&gt;=0.45,VLOOKUP(Calculator!E23,tbSkills!DH3:DI6,2,FALSE)+IF(AND(Calculator!B8=TRUE,Backdoors!BI5=TRUE),VLOOKUP(Calculator!E23,tbSkills!DH3:DJ6,3,FALSE),0),0)))/100)),(1-(0.25*((-Backdoors!AI12-IF(P11&gt;=0.45,VLOOKUP(Calculator!E23,tbSkills!DH3:DI6,2,FALSE)+IF(AND(Calculator!B8=TRUE,Backdoors!BI5=TRUE),VLOOKUP(Calculator!E23,tbSkills!DH3:DJ6,3,FALSE),0),0))/100)))),1),"")</f>
        <v>1</v>
      </c>
      <c r="S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P11)*R11)*(VLOOKUP(A11,tbMoveset!A2:C112,3,FALSE)/100)*IF(VLOOKUP(A11,tbMoveset!A2:B112,2,FALSE)="Projectile",Backdoors!N10,Backdoors!N9),0),"")</f>
        <v>1</v>
      </c>
      <c r="T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P11&gt;=0.45,VLOOKUP(Calculator!E23,tbSkills!DH3:DI6,2,FALSE)+IF(AND(Calculator!B8=TRUE,Backdoors!BI5=TRUE),VLOOKUP(Calculator!E23,tbSkills!DH3:DJ6,3,FALSE),0),0))&gt;=100,100,(Backdoors!AI12+IF(P11&gt;=0.45,VLOOKUP(Calculator!E23,tbSkills!DH3:DI6,2,FALSE)+IF(AND(Calculator!B8=TRUE,Backdoors!BI5=TRUE),VLOOKUP(Calculator!E23,tbSkills!DH3:DJ6,3,FALSE),0),0)))/100)),1))*IF(VLOOKUP(A11,tbMoveset!A2:K112,11,FALSE)=TRUE,Backdoors!AC5,1))*Q11,0),"")</f>
        <v>0</v>
      </c>
      <c r="U11" s="49">
        <f>VLOOKUP(A11,tbMoveset!A2:G112,7,FALSE)*IFERROR(IF(Backdoors!AI12&gt;=0,1+(IF(Calculator!E40&gt;0,VLOOKUP(Calculator!E40,tbSkills!AI3:AJ5,2,FALSE),Backdoors!AL4)*(IF((Backdoors!AI12+IF(P11&gt;=0.45,VLOOKUP(Calculator!E23,tbSkills!DH3:DI6,2,FALSE)+IF(AND(Calculator!B8=TRUE,Backdoors!BI5=TRUE),VLOOKUP(Calculator!E23,tbSkills!DH3:DJ6,3,FALSE),0),0))&gt;=100,100,(Backdoors!AI12+IF(P11&gt;=0.45,VLOOKUP(Calculator!E23,tbSkills!DH3:DI6,2,FALSE)+IF(AND(Calculator!B8=TRUE,Backdoors!BI5=TRUE),VLOOKUP(Calculator!E23,tbSkills!DH3:DJ6,3,FALSE),0),0)))/100)),1),1)</f>
        <v>0.4</v>
      </c>
      <c r="V11" s="87">
        <f t="shared" si="37"/>
        <v>1</v>
      </c>
      <c r="W11" s="86">
        <f>IFERROR(IF(VLOOKUP(A11,tbMoveset!A2:B112,2,FALSE)="Sever",Backdoors!AY6/100,IF(VLOOKUP(A11,tbMoveset!A2:B112,2,FALSE)="Blunt",Backdoors!AZ6/100,Backdoors!BA6/100)),"")</f>
        <v>0.45</v>
      </c>
      <c r="X11" s="49">
        <f>IFERROR(IF(VLOOKUP(tbMoveset!A11,tbMoveset!A2:H112,8,FALSE)="Other",IF(VLOOKUP(tbMoveset!A11,tbMoveset!A2:I112,9,FALSE)="Fire",Backdoors!BB6,IF(VLOOKUP(tbMoveset!A11,tbMoveset!A2:I112,9,FALSE)="Water",Backdoors!BC6,IF(VLOOKUP(tbMoveset!A11,tbMoveset!A2:I112,9,FALSE)="Thunder",Backdoors!BD6,IF(VLOOKUP(tbMoveset!A11,tbMoveset!A2:I112,9,FALSE)="Ice",Backdoors!BE6,IF(VLOOKUP(tbMoveset!A11,tbMoveset!A2:I112,9,FALSE)="Dragon",Backdoors!BF6,Backdoors!BG6)))))/100,Backdoors!BG6/100),"")</f>
        <v>0</v>
      </c>
      <c r="Y11" s="49">
        <f>IFERROR(IF(VLOOKUP(A11,tbMoveset!A2:J112,10,FALSE)=TRUE,IF((Backdoors!AI12+IF(W11&gt;=0.45,VLOOKUP(Calculator!E23,tbSkills!DH3:DI6,2,FALSE)+IF(AND(Calculator!B8=TRUE,Backdoors!BI6=TRUE),VLOOKUP(Calculator!E23,tbSkills!DH3:DJ6,3,FALSE),0),0))&gt;=0,1+(Backdoors!AL2*(IF((Backdoors!AI12+IF(W11&gt;=0.45,VLOOKUP(Calculator!E23,tbSkills!DH3:DI6,2,FALSE)+IF(AND(Calculator!B8=TRUE,Backdoors!BI6=TRUE),VLOOKUP(Calculator!E23,tbSkills!DH3:DJ6,3,FALSE),0),0))&gt;=100,100,(Backdoors!AI12+IF(W11&gt;=0.45,VLOOKUP(Calculator!E23,tbSkills!DH3:DI6,2,FALSE)+IF(AND(Calculator!B8=TRUE,Backdoors!BI6=TRUE),VLOOKUP(Calculator!E23,tbSkills!DH3:DJ6,3,FALSE),0),0)))/100)),(1-(0.25*((-Backdoors!AI12-IF(W11&gt;=0.45,VLOOKUP(Calculator!E23,tbSkills!DH3:DI6,2,FALSE)+IF(AND(Calculator!B8=TRUE,Backdoors!BI6=TRUE),VLOOKUP(Calculator!E23,tbSkills!DH3:DJ6,3,FALSE),0),0))/100)))),1),"")</f>
        <v>1</v>
      </c>
      <c r="Z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W11)*Y11)*(VLOOKUP(A11,tbMoveset!A2:C112,3,FALSE)/100)*IF(VLOOKUP(A11,tbMoveset!A2:B112,2,FALSE)="Projectile",Backdoors!N10,Backdoors!N9),0),"")</f>
        <v>1</v>
      </c>
      <c r="AA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W11&gt;=0.45,VLOOKUP(Calculator!E23,tbSkills!DH3:DI6,2,FALSE)+IF(AND(Calculator!B8=TRUE,Backdoors!BI6=TRUE),VLOOKUP(Calculator!E23,tbSkills!DH3:DJ6,3,FALSE),0),0))&gt;=100,100,(Backdoors!AI12+IF(W11&gt;=0.45,VLOOKUP(Calculator!E23,tbSkills!DH3:DI6,2,FALSE)+IF(AND(Calculator!B8=TRUE,Backdoors!BI6=TRUE),VLOOKUP(Calculator!E23,tbSkills!DH3:DJ6,3,FALSE),0),0)))/100)),1))*IF(VLOOKUP(A11,tbMoveset!A2:K112,11,FALSE)=TRUE,Backdoors!AC5,1))*X11,0),"")</f>
        <v>0</v>
      </c>
      <c r="AB11" s="49">
        <f>VLOOKUP(A11,tbMoveset!A2:G112,7,FALSE)*IFERROR(IF(Backdoors!AI12&gt;=0,1+(IF(Calculator!E40&gt;0,VLOOKUP(Calculator!E40,tbSkills!AI3:AJ5,2,FALSE),Backdoors!AL4)*(IF((Backdoors!AI12+IF(W11&gt;=0.45,VLOOKUP(Calculator!E23,tbSkills!DH3:DI6,2,FALSE)+IF(AND(Calculator!B8=TRUE,Backdoors!BI6=TRUE),VLOOKUP(Calculator!E23,tbSkills!DH3:DJ6,3,FALSE),0),0))&gt;=100,100,(Backdoors!AI12+IF(W11&gt;=0.45,VLOOKUP(Calculator!E23,tbSkills!DH3:DI6,2,FALSE)+IF(AND(Calculator!B8=TRUE,Backdoors!BI6=TRUE),VLOOKUP(Calculator!E23,tbSkills!DH3:DJ6,3,FALSE),0),0)))/100)),1),1)</f>
        <v>0.4</v>
      </c>
      <c r="AC11" s="87">
        <f t="shared" si="0"/>
        <v>1</v>
      </c>
      <c r="AD11" s="86">
        <f>IFERROR(IF(VLOOKUP(A11,tbMoveset!A2:B112,2,FALSE)="Sever",Backdoors!AY7/100,IF(VLOOKUP(A11,tbMoveset!A2:B112,2,FALSE)="Blunt",Backdoors!AZ7/100,Backdoors!BA7/100)),"")</f>
        <v>0.65</v>
      </c>
      <c r="AE11" s="49">
        <f>IFERROR(IF(VLOOKUP(tbMoveset!A11,tbMoveset!A2:H112,8,FALSE)="Other",IF(VLOOKUP(tbMoveset!A11,tbMoveset!A2:I112,9,FALSE)="Fire",Backdoors!BB7,IF(VLOOKUP(tbMoveset!A11,tbMoveset!A2:I112,9,FALSE)="Water",Backdoors!BC7,IF(VLOOKUP(tbMoveset!A11,tbMoveset!A2:I112,9,FALSE)="Thunder",Backdoors!BD7,IF(VLOOKUP(tbMoveset!A11,tbMoveset!A2:I112,9,FALSE)="Ice",Backdoors!BE7,IF(VLOOKUP(tbMoveset!A11,tbMoveset!A2:I112,9,FALSE)="Dragon",Backdoors!BF7,Backdoors!BG7)))))/100,Backdoors!BG7/100),"")</f>
        <v>0</v>
      </c>
      <c r="AF11" s="49">
        <f>IFERROR(IF(VLOOKUP(A11,tbMoveset!A2:J112,10,FALSE)=TRUE,IF((Backdoors!AI12+IF(AD11&gt;=0.45,VLOOKUP(Calculator!E23,tbSkills!DH3:DI6,2,FALSE)+IF(AND(Calculator!B8=TRUE,Backdoors!BI7=TRUE),VLOOKUP(Calculator!E23,tbSkills!DH3:DJ6,3,FALSE),0),0))&gt;=0,1+(Backdoors!AL2*(IF((Backdoors!AI12+IF(AD11&gt;=0.45,VLOOKUP(Calculator!E23,tbSkills!DH3:DI6,2,FALSE)+IF(AND(Calculator!B8=TRUE,Backdoors!BI7=TRUE),VLOOKUP(Calculator!E23,tbSkills!DH3:DJ6,3,FALSE),0),0))&gt;=100,100,(Backdoors!AI12+IF(AD11&gt;=0.45,VLOOKUP(Calculator!E23,tbSkills!DH3:DI6,2,FALSE)+IF(AND(Calculator!B8=TRUE,Backdoors!BI7=TRUE),VLOOKUP(Calculator!E23,tbSkills!DH3:DJ6,3,FALSE),0),0)))/100)),(1-(0.25*((-Backdoors!AI12-IF(AD11&gt;=0.45,VLOOKUP(Calculator!E23,tbSkills!DH3:DI6,2,FALSE)+IF(AND(Calculator!B8=TRUE,Backdoors!BI7=TRUE),VLOOKUP(Calculator!E23,tbSkills!DH3:DJ6,3,FALSE),0),0))/100)))),1),"")</f>
        <v>1</v>
      </c>
      <c r="AG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D11)*AF11)*(VLOOKUP(A11,tbMoveset!A2:C112,3,FALSE)/100)*IF(VLOOKUP(A11,tbMoveset!A2:B112,2,FALSE)="Projectile",Backdoors!N10,Backdoors!N9),0),"")</f>
        <v>2</v>
      </c>
      <c r="AH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D11&gt;=0.45,VLOOKUP(Calculator!E23,tbSkills!DH3:DI6,2,FALSE)+IF(AND(Calculator!B8=TRUE,Backdoors!BI7=TRUE),VLOOKUP(Calculator!E23,tbSkills!DH3:DJ6,3,FALSE),0),0))&gt;=100,100,(Backdoors!AI12+IF(AD11&gt;=0.45,VLOOKUP(Calculator!E23,tbSkills!DH3:DI6,2,FALSE)+IF(AND(Calculator!B8=TRUE,Backdoors!BI7=TRUE),VLOOKUP(Calculator!E23,tbSkills!DH3:DJ6,3,FALSE),0),0)))/100)),1))*IF(VLOOKUP(A11,tbMoveset!A2:K112,11,FALSE)=TRUE,Backdoors!AC5,1))*AE11,0),"")</f>
        <v>0</v>
      </c>
      <c r="AI11" s="49">
        <f>VLOOKUP(A11,tbMoveset!A2:G112,7,FALSE)*IFERROR(IF(Backdoors!AI12&gt;=0,1+(IF(Calculator!E40&gt;0,VLOOKUP(Calculator!E40,tbSkills!AI3:AJ5,2,FALSE),Backdoors!AL4)*(IF((Backdoors!AI12+IF(AD11&gt;=0.45,VLOOKUP(Calculator!E23,tbSkills!DH3:DI6,2,FALSE)+IF(AND(Calculator!B8=TRUE,Backdoors!BI7=TRUE),VLOOKUP(Calculator!E23,tbSkills!DH3:DJ6,3,FALSE),0),0))&gt;=100,100,(Backdoors!AI12+IF(AD11&gt;=0.45,VLOOKUP(Calculator!E23,tbSkills!DH3:DI6,2,FALSE)+IF(AND(Calculator!B8=TRUE,Backdoors!BI7=TRUE),VLOOKUP(Calculator!E23,tbSkills!DH3:DJ6,3,FALSE),0),0)))/100)),1),1)</f>
        <v>0.4</v>
      </c>
      <c r="AJ11" s="87">
        <f t="shared" si="1"/>
        <v>2</v>
      </c>
      <c r="AK11" s="91">
        <f>IFERROR(IF(VLOOKUP(A11,tbMoveset!A2:B112,2,FALSE)="Sever",Backdoors!AY8/100,IF(VLOOKUP(A11,tbMoveset!A2:B112,2,FALSE)="Blunt",Backdoors!AZ8/100,Backdoors!BA8/100)),"")</f>
        <v>0.45</v>
      </c>
      <c r="AL11" s="49">
        <f>IFERROR(IF(VLOOKUP(tbMoveset!A11,tbMoveset!A2:H112,8,FALSE)="Other",IF(VLOOKUP(tbMoveset!A11,tbMoveset!A2:I112,9,FALSE)="Fire",Backdoors!BB8,IF(VLOOKUP(tbMoveset!A11,tbMoveset!A2:I112,9,FALSE)="Water",Backdoors!BC8,IF(VLOOKUP(tbMoveset!A11,tbMoveset!A2:I112,9,FALSE)="Thunder",Backdoors!BD8,IF(VLOOKUP(tbMoveset!A11,tbMoveset!A2:I112,9,FALSE)="Ice",Backdoors!BE8,IF(VLOOKUP(tbMoveset!A11,tbMoveset!A2:I112,9,FALSE)="Dragon",Backdoors!BF8,Backdoors!BG8)))))/100,Backdoors!BG8/100),"")</f>
        <v>0</v>
      </c>
      <c r="AM11" s="49">
        <f>IFERROR(IF(VLOOKUP(A11,tbMoveset!A2:J112,10,FALSE)=TRUE,IF((Backdoors!AI12+IF(AK11&gt;=0.45,VLOOKUP(Calculator!E23,tbSkills!DH3:DI6,2,FALSE)+IF(AND(Calculator!B8=TRUE,Backdoors!BI8=TRUE),VLOOKUP(Calculator!E23,tbSkills!DH3:DJ6,3,FALSE),0),0))&gt;=0,1+(Backdoors!AL2*(IF((Backdoors!AI12+IF(AK11&gt;=0.45,VLOOKUP(Calculator!E23,tbSkills!DH3:DI6,2,FALSE)+IF(AND(Calculator!B8=TRUE,Backdoors!BI8=TRUE),VLOOKUP(Calculator!E23,tbSkills!DH3:DJ6,3,FALSE),0),0))&gt;=100,100,(Backdoors!AI12+IF(AK11&gt;=0.45,VLOOKUP(Calculator!E23,tbSkills!DH3:DI6,2,FALSE)+IF(AND(Calculator!B8=TRUE,Backdoors!BI8=TRUE),VLOOKUP(Calculator!E23,tbSkills!DH3:DJ6,3,FALSE),0),0)))/100)),(1-(0.25*((-Backdoors!AI12-IF(AK11&gt;=0.45,VLOOKUP(Calculator!E23,tbSkills!DH3:DI6,2,FALSE)+IF(AND(Calculator!B8=TRUE,Backdoors!BI8=TRUE),VLOOKUP(Calculator!E23,tbSkills!DH3:DJ6,3,FALSE),0),0))/100)))),1),"")</f>
        <v>1</v>
      </c>
      <c r="AN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K11)*AM11)*(VLOOKUP(A11,tbMoveset!A2:C112,3,FALSE)/100)*IF(VLOOKUP(A11,tbMoveset!A2:B112,2,FALSE)="Projectile",Backdoors!N10,Backdoors!N9),0),"")</f>
        <v>1</v>
      </c>
      <c r="AO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K11&gt;=0.45,VLOOKUP(Calculator!E23,tbSkills!DH3:DI6,2,FALSE)+IF(AND(Calculator!B8=TRUE,Backdoors!BI8=TRUE),VLOOKUP(Calculator!E23,tbSkills!DH3:DJ6,3,FALSE),0),0))&gt;=100,100,(Backdoors!AI12+IF(AK11&gt;=0.45,VLOOKUP(Calculator!E23,tbSkills!DH3:DI6,2,FALSE)+IF(AND(Calculator!B8=TRUE,Backdoors!BI8=TRUE),VLOOKUP(Calculator!E23,tbSkills!DH3:DJ6,3,FALSE),0),0)))/100)),1))*IF(VLOOKUP(A11,tbMoveset!A2:K112,11,FALSE)=TRUE,Backdoors!AC5,1))*AL11,0),"")</f>
        <v>0</v>
      </c>
      <c r="AP11" s="49">
        <f>VLOOKUP(A11,tbMoveset!A2:G112,7,FALSE)*IFERROR(IF(Backdoors!AI12&gt;=0,1+(IF(Calculator!E40&gt;0,VLOOKUP(Calculator!E40,tbSkills!AI3:AJ5,2,FALSE),Backdoors!AL4)*(IF((Backdoors!AI12+IF(AK11&gt;=0.45,VLOOKUP(Calculator!E23,tbSkills!DH3:DI6,2,FALSE)+IF(AND(Calculator!B8=TRUE,Backdoors!BI8=TRUE),VLOOKUP(Calculator!E23,tbSkills!DH3:DJ6,3,FALSE),0),0))&gt;=100,100,(Backdoors!AI12+IF(AK11&gt;=0.45,VLOOKUP(Calculator!E23,tbSkills!DH3:DI6,2,FALSE)+IF(AND(Calculator!B8=TRUE,Backdoors!BI8=TRUE),VLOOKUP(Calculator!E23,tbSkills!DH3:DJ6,3,FALSE),0),0)))/100)),1),1)</f>
        <v>0.4</v>
      </c>
      <c r="AQ11" s="87">
        <f t="shared" si="2"/>
        <v>1</v>
      </c>
      <c r="AR11" s="86">
        <f>IFERROR(IF(VLOOKUP(A11,tbMoveset!A2:B112,2,FALSE)="Sever",Backdoors!AY9/100,IF(VLOOKUP(A11,tbMoveset!A2:B112,2,FALSE)="Blunt",Backdoors!AZ9/100,Backdoors!BA9/100)),"")</f>
        <v>0.45</v>
      </c>
      <c r="AS11" s="49">
        <f>IFERROR(IF(VLOOKUP(tbMoveset!A11,tbMoveset!A2:H112,8,FALSE)="Other",IF(VLOOKUP(tbMoveset!A11,tbMoveset!A2:I112,9,FALSE)="Fire",Backdoors!BB9,IF(VLOOKUP(tbMoveset!A11,tbMoveset!A2:I112,9,FALSE)="Water",Backdoors!BC9,IF(VLOOKUP(tbMoveset!A11,tbMoveset!A2:I112,9,FALSE)="Thunder",Backdoors!BD9,IF(VLOOKUP(tbMoveset!A11,tbMoveset!A2:I112,9,FALSE)="Ice",Backdoors!BE9,IF(VLOOKUP(tbMoveset!A11,tbMoveset!A2:I112,9,FALSE)="Dragon",Backdoors!BF9,Backdoors!BG9)))))/100,Backdoors!BG9/100),"")</f>
        <v>0</v>
      </c>
      <c r="AT11" s="49">
        <f>IFERROR(IF(VLOOKUP(A11,tbMoveset!A2:J112,10,FALSE)=TRUE,IF((Backdoors!AI12+IF(AR11&gt;=0.45,VLOOKUP(Calculator!E23,tbSkills!DH3:DI6,2,FALSE)+IF(AND(Calculator!B8=TRUE,Backdoors!BI9=TRUE),VLOOKUP(Calculator!E23,tbSkills!DH3:DJ6,3,FALSE),0),0))&gt;=0,1+(Backdoors!AL2*(IF((Backdoors!AI12+IF(AR11&gt;=0.45,VLOOKUP(Calculator!E23,tbSkills!DH3:DI6,2,FALSE)+IF(AND(Calculator!B8=TRUE,Backdoors!BI9=TRUE),VLOOKUP(Calculator!E23,tbSkills!DH3:DJ6,3,FALSE),0),0))&gt;=100,100,(Backdoors!AI12+IF(AR11&gt;=0.45,VLOOKUP(Calculator!E23,tbSkills!DH3:DI6,2,FALSE)+IF(AND(Calculator!B8=TRUE,Backdoors!BI9=TRUE),VLOOKUP(Calculator!E23,tbSkills!DH3:DJ6,3,FALSE),0),0)))/100)),(1-(0.25*((-Backdoors!AI12-IF(AR11&gt;=0.45,VLOOKUP(Calculator!E23,tbSkills!DH3:DI6,2,FALSE)+IF(AND(Calculator!B8=TRUE,Backdoors!BI9=TRUE),VLOOKUP(Calculator!E23,tbSkills!DH3:DJ6,3,FALSE),0),0))/100)))),1),"")</f>
        <v>1</v>
      </c>
      <c r="AU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R11)*AT11)*(VLOOKUP(A11,tbMoveset!A2:C112,3,FALSE)/100)*IF(VLOOKUP(A11,tbMoveset!A2:B112,2,FALSE)="Projectile",Backdoors!N10,Backdoors!N9),0),"")</f>
        <v>1</v>
      </c>
      <c r="AV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R11&gt;=0.45,VLOOKUP(Calculator!E23,tbSkills!DH3:DI6,2,FALSE)+IF(AND(Calculator!B8=TRUE,Backdoors!BI9=TRUE),VLOOKUP(Calculator!E23,tbSkills!DH3:DJ6,3,FALSE),0),0))&gt;=100,100,(Backdoors!AI12+IF(AR11&gt;=0.45,VLOOKUP(Calculator!E23,tbSkills!DH3:DI6,2,FALSE)+IF(AND(Calculator!B8=TRUE,Backdoors!BI9=TRUE),VLOOKUP(Calculator!E23,tbSkills!DH3:DJ6,3,FALSE),0),0)))/100)),1))*IF(VLOOKUP(A11,tbMoveset!A2:K112,11,FALSE)=TRUE,Backdoors!AC5,1))*AS11,0),"")</f>
        <v>0</v>
      </c>
      <c r="AW11" s="49">
        <f>VLOOKUP(A11,tbMoveset!A2:G112,7,FALSE)*IFERROR(IF(Backdoors!AI12&gt;=0,1+(IF(Calculator!E40&gt;0,VLOOKUP(Calculator!E40,tbSkills!AI3:AJ5,2,FALSE),Backdoors!AL4)*(IF((Backdoors!AI12+IF(AR11&gt;=0.45,VLOOKUP(Calculator!E23,tbSkills!DH3:DI6,2,FALSE)+IF(AND(Calculator!B8=TRUE,Backdoors!BI9=TRUE),VLOOKUP(Calculator!E23,tbSkills!DH3:DJ6,3,FALSE),0),0))&gt;=100,100,(Backdoors!AI12+IF(AR11&gt;=0.45,VLOOKUP(Calculator!E23,tbSkills!DH3:DI6,2,FALSE)+IF(AND(Calculator!B8=TRUE,Backdoors!BI9=TRUE),VLOOKUP(Calculator!E23,tbSkills!DH3:DJ6,3,FALSE),0),0)))/100)),1),1)</f>
        <v>0.4</v>
      </c>
      <c r="AX11" s="87">
        <f t="shared" si="38"/>
        <v>1</v>
      </c>
      <c r="AY11" s="86">
        <f>IFERROR(IF(VLOOKUP(A11,tbMoveset!A2:B112,2,FALSE)="Sever",Backdoors!AY10/100,IF(VLOOKUP(A11,tbMoveset!A2:B112,2,FALSE)="Blunt",Backdoors!AZ10/100,Backdoors!BA10/100)),"")</f>
        <v>0.9</v>
      </c>
      <c r="AZ11" s="49">
        <f>IFERROR(IF(VLOOKUP(tbMoveset!A11,tbMoveset!A2:H112,8,FALSE)="Other",IF(VLOOKUP(tbMoveset!A11,tbMoveset!A2:I112,9,FALSE)="Fire",Backdoors!BB10,IF(VLOOKUP(tbMoveset!A11,tbMoveset!A2:I112,9,FALSE)="Water",Backdoors!BC10,IF(VLOOKUP(tbMoveset!A11,tbMoveset!A2:I112,9,FALSE)="Thunder",Backdoors!BD10,IF(VLOOKUP(tbMoveset!A11,tbMoveset!A2:I112,9,FALSE)="Ice",Backdoors!BE10,IF(VLOOKUP(tbMoveset!A11,tbMoveset!A2:I112,9,FALSE)="Dragon",Backdoors!BF10,Backdoors!BG10)))))/100,Backdoors!BG10/100),"")</f>
        <v>0</v>
      </c>
      <c r="BA11" s="49">
        <f>IFERROR(IF(VLOOKUP(A11,tbMoveset!A2:J112,10,FALSE)=TRUE,IF((Backdoors!AI12+IF(AY11&gt;=0.45,VLOOKUP(Calculator!E23,tbSkills!DH3:DI6,2,FALSE)+IF(AND(Calculator!B8=TRUE,Backdoors!BI10=TRUE),VLOOKUP(Calculator!E23,tbSkills!DH3:DJ6,3,FALSE),0),0))&gt;=0,1+(Backdoors!AL2*(IF((Backdoors!AI12+IF(AY11&gt;=0.45,VLOOKUP(Calculator!E23,tbSkills!DH3:DI6,2,FALSE)+IF(AND(Calculator!B8=TRUE,Backdoors!BI10=TRUE),VLOOKUP(Calculator!E23,tbSkills!DH3:DJ6,3,FALSE),0),0))&gt;=100,100,(Backdoors!AI12+IF(AY11&gt;=0.45,VLOOKUP(Calculator!E23,tbSkills!DH3:DI6,2,FALSE)+IF(AND(Calculator!B8=TRUE,Backdoors!BI10=TRUE),VLOOKUP(Calculator!E23,tbSkills!DH3:DJ6,3,FALSE),0),0)))/100)),(1-(0.25*((-Backdoors!AI12-IF(AY11&gt;=0.45,VLOOKUP(Calculator!E23,tbSkills!DH3:DI6,2,FALSE)+IF(AND(Calculator!B8=TRUE,Backdoors!BI10=TRUE),VLOOKUP(Calculator!E23,tbSkills!DH3:DJ6,3,FALSE),0),0))/100)))),1),"")</f>
        <v>1</v>
      </c>
      <c r="BB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Y11)*BA11)*(VLOOKUP(A11,tbMoveset!A2:C112,3,FALSE)/100)*IF(VLOOKUP(A11,tbMoveset!A2:B112,2,FALSE)="Projectile",Backdoors!N10,Backdoors!N9),0),"")</f>
        <v>2</v>
      </c>
      <c r="BC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Y11&gt;=0.45,VLOOKUP(Calculator!E23,tbSkills!DH3:DI6,2,FALSE)+IF(AND(Calculator!B8=TRUE,Backdoors!BI10=TRUE),VLOOKUP(Calculator!E23,tbSkills!DH3:DJ6,3,FALSE),0),0))&gt;=100,100,(Backdoors!AI12+IF(AY11&gt;=0.45,VLOOKUP(Calculator!E23,tbSkills!DH3:DI6,2,FALSE)+IF(AND(Calculator!B8=TRUE,Backdoors!BI10=TRUE),VLOOKUP(Calculator!E23,tbSkills!DH3:DJ6,3,FALSE),0),0)))/100)),1))*IF(VLOOKUP(A11,tbMoveset!A2:K112,11,FALSE)=TRUE,Backdoors!AC5,1))*AZ11,0),"")</f>
        <v>0</v>
      </c>
      <c r="BD11" s="49">
        <f>VLOOKUP(A11,tbMoveset!A2:G112,7,FALSE)*IFERROR(IF(Backdoors!AI12&gt;=0,1+(IF(Calculator!E40&gt;0,VLOOKUP(Calculator!E40,tbSkills!AI3:AJ5,2,FALSE),Backdoors!AL4)*(IF((Backdoors!AI12+IF(AY11&gt;=0.45,VLOOKUP(Calculator!E23,tbSkills!DH3:DI6,2,FALSE)+IF(AND(Calculator!B8=TRUE,Backdoors!BI10=TRUE),VLOOKUP(Calculator!E23,tbSkills!DH3:DJ6,3,FALSE),0),0))&gt;=100,100,(Backdoors!AI12+IF(AY11&gt;=0.45,VLOOKUP(Calculator!E23,tbSkills!DH3:DI6,2,FALSE)+IF(AND(Calculator!B8=TRUE,Backdoors!BI10=TRUE),VLOOKUP(Calculator!E23,tbSkills!DH3:DJ6,3,FALSE),0),0)))/100)),1),1)</f>
        <v>0.4</v>
      </c>
      <c r="BE11" s="87">
        <f t="shared" si="3"/>
        <v>2</v>
      </c>
      <c r="BF11" s="86" t="str">
        <f>IFERROR(IF(VLOOKUP(A11,tbMoveset!A2:B112,2,FALSE)="Sever",Backdoors!AY11/100,IF(VLOOKUP(A11,tbMoveset!A2:B112,2,FALSE)="Blunt",Backdoors!AZ11/100,Backdoors!BA11/100)),"")</f>
        <v/>
      </c>
      <c r="BG11" s="49">
        <f>IFERROR(IF(VLOOKUP(tbMoveset!A11,tbMoveset!A2:H112,8,FALSE)="Other",IF(VLOOKUP(tbMoveset!A11,tbMoveset!A2:I112,9,FALSE)="Fire",Backdoors!BB11,IF(VLOOKUP(tbMoveset!A11,tbMoveset!A2:I112,9,FALSE)="Water",Backdoors!BC11,IF(VLOOKUP(tbMoveset!A11,tbMoveset!A2:I112,9,FALSE)="Thunder",Backdoors!BD11,IF(VLOOKUP(tbMoveset!A11,tbMoveset!A2:I112,9,FALSE)="Ice",Backdoors!BE11,IF(VLOOKUP(tbMoveset!A11,tbMoveset!A2:I112,9,FALSE)="Dragon",Backdoors!BF11,Backdoors!BG11)))))/100,Backdoors!BG11/100),"")</f>
        <v>0</v>
      </c>
      <c r="BH11" s="49">
        <f>IFERROR(IF(VLOOKUP(A11,tbMoveset!A2:J112,10,FALSE)=TRUE,IF((Backdoors!AI12+IF(BF11&gt;=0.45,VLOOKUP(Calculator!E23,tbSkills!DH3:DI6,2,FALSE)+IF(AND(Calculator!B8=TRUE,Backdoors!BI11=TRUE),VLOOKUP(Calculator!E23,tbSkills!DH3:DJ6,3,FALSE),0),0))&gt;=0,1+(Backdoors!AL2*(IF((Backdoors!AI12+IF(BF11&gt;=0.45,VLOOKUP(Calculator!E23,tbSkills!DH3:DI6,2,FALSE)+IF(AND(Calculator!B8=TRUE,Backdoors!BI11=TRUE),VLOOKUP(Calculator!E23,tbSkills!DH3:DJ6,3,FALSE),0),0))&gt;=100,100,(Backdoors!AI12+IF(BF11&gt;=0.45,VLOOKUP(Calculator!E23,tbSkills!DH3:DI6,2,FALSE)+IF(AND(Calculator!B8=TRUE,Backdoors!BI11=TRUE),VLOOKUP(Calculator!E23,tbSkills!DH3:DJ6,3,FALSE),0),0)))/100)),(1-(0.25*((-Backdoors!AI12-IF(BF11&gt;=0.45,VLOOKUP(Calculator!E23,tbSkills!DH3:DI6,2,FALSE)+IF(AND(Calculator!B8=TRUE,Backdoors!BI11=TRUE),VLOOKUP(Calculator!E23,tbSkills!DH3:DJ6,3,FALSE),0),0))/100)))),1),"")</f>
        <v>1</v>
      </c>
      <c r="BI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F11)*BH11)*(VLOOKUP(A11,tbMoveset!A2:C112,3,FALSE)/100)*IF(VLOOKUP(A11,tbMoveset!A2:B112,2,FALSE)="Projectile",Backdoors!N10,Backdoors!N9),0),"")</f>
        <v/>
      </c>
      <c r="BJ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F11&gt;=0.45,VLOOKUP(Calculator!E23,tbSkills!DH3:DI6,2,FALSE)+IF(AND(Calculator!B8=TRUE,Backdoors!BI11=TRUE),VLOOKUP(Calculator!E23,tbSkills!DH3:DJ6,3,FALSE),0),0))&gt;=100,100,(Backdoors!AI12+IF(BF11&gt;=0.45,VLOOKUP(Calculator!E23,tbSkills!DH3:DI6,2,FALSE)+IF(AND(Calculator!B8=TRUE,Backdoors!BI11=TRUE),VLOOKUP(Calculator!E23,tbSkills!DH3:DJ6,3,FALSE),0),0)))/100)),1))*IF(VLOOKUP(A11,tbMoveset!A2:K112,11,FALSE)=TRUE,Backdoors!AC5,1))*BG11,0),"")</f>
        <v>0</v>
      </c>
      <c r="BK11" s="49">
        <f>VLOOKUP(A11,tbMoveset!A2:G112,7,FALSE)*IFERROR(IF(Backdoors!AI12&gt;=0,1+(IF(Calculator!E40&gt;0,VLOOKUP(Calculator!E40,tbSkills!AI3:AJ5,2,FALSE),Backdoors!AL4)*(IF((Backdoors!AI12+IF(BF11&gt;=0.45,VLOOKUP(Calculator!E23,tbSkills!DH3:DI6,2,FALSE)+IF(AND(Calculator!B8=TRUE,Backdoors!BI11=TRUE),VLOOKUP(Calculator!E23,tbSkills!DH3:DJ6,3,FALSE),0),0))&gt;=100,100,(Backdoors!AI12+IF(BF11&gt;=0.45,VLOOKUP(Calculator!E23,tbSkills!DH3:DI6,2,FALSE)+IF(AND(Calculator!B8=TRUE,Backdoors!BI11=TRUE),VLOOKUP(Calculator!E23,tbSkills!DH3:DJ6,3,FALSE),0),0)))/100)),1),1)</f>
        <v>0.4</v>
      </c>
      <c r="BL11" s="87">
        <f t="shared" si="4"/>
        <v>0</v>
      </c>
      <c r="BM11" s="86" t="str">
        <f>IFERROR(IF(VLOOKUP(A11,tbMoveset!A2:B112,2,FALSE)="Sever",Backdoors!AY12/100,IF(VLOOKUP(A11,tbMoveset!A2:B112,2,FALSE)="Blunt",Backdoors!AZ12/100,Backdoors!BA12/100)),"")</f>
        <v/>
      </c>
      <c r="BN11" s="49">
        <f>IFERROR(IF(VLOOKUP(tbMoveset!A11,tbMoveset!A2:H112,8,FALSE)="Other",IF(VLOOKUP(tbMoveset!A11,tbMoveset!A2:I112,9,FALSE)="Fire",Backdoors!BB12,IF(VLOOKUP(tbMoveset!A11,tbMoveset!A2:I112,9,FALSE)="Water",Backdoors!BC12,IF(VLOOKUP(tbMoveset!A11,tbMoveset!A2:I112,9,FALSE)="Thunder",Backdoors!BD12,IF(VLOOKUP(tbMoveset!A11,tbMoveset!A2:I112,9,FALSE)="Ice",Backdoors!BE12,IF(VLOOKUP(tbMoveset!A11,tbMoveset!A2:I112,9,FALSE)="Dragon",Backdoors!BF12,Backdoors!BG12)))))/100,Backdoors!BG12/100),"")</f>
        <v>0</v>
      </c>
      <c r="BO11" s="49">
        <f>IFERROR(IF(VLOOKUP(A11,tbMoveset!A2:J112,10,FALSE)=TRUE,IF((Backdoors!AI12+IF(BM11&gt;=0.45,VLOOKUP(Calculator!E23,tbSkills!DH3:DI6,2,FALSE)+IF(AND(Calculator!B8=TRUE,Backdoors!BI12=TRUE),VLOOKUP(Calculator!E23,tbSkills!DH3:DJ6,3,FALSE),0),0))&gt;=0,1+(Backdoors!AL2*(IF((Backdoors!AI12+IF(BM11&gt;=0.45,VLOOKUP(Calculator!E23,tbSkills!DH3:DI6,2,FALSE)+IF(AND(Calculator!B8=TRUE,Backdoors!BI12=TRUE),VLOOKUP(Calculator!E23,tbSkills!DH3:DJ6,3,FALSE),0),0))&gt;=100,100,(Backdoors!AI12+IF(BM11&gt;=0.45,VLOOKUP(Calculator!E23,tbSkills!DH3:DI6,2,FALSE)+IF(AND(Calculator!B8=TRUE,Backdoors!BI12=TRUE),VLOOKUP(Calculator!E23,tbSkills!DH3:DJ6,3,FALSE),0),0)))/100)),(1-(0.25*((-Backdoors!AI12-IF(BM11&gt;=0.45,VLOOKUP(Calculator!E23,tbSkills!DH3:DI6,2,FALSE)+IF(AND(Calculator!B8=TRUE,Backdoors!BI12=TRUE),VLOOKUP(Calculator!E23,tbSkills!DH3:DJ6,3,FALSE),0),0))/100)))),1),"")</f>
        <v>1</v>
      </c>
      <c r="BP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M11)*BO11)*(VLOOKUP(A11,tbMoveset!A2:C112,3,FALSE)/100)*IF(VLOOKUP(A11,tbMoveset!A2:B112,2,FALSE)="Projectile",Backdoors!N10,Backdoors!N9),0),"")</f>
        <v/>
      </c>
      <c r="BQ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M11&gt;=0.45,VLOOKUP(Calculator!E23,tbSkills!DH3:DI6,2,FALSE)+IF(AND(Calculator!B8=TRUE,Backdoors!BI12=TRUE),VLOOKUP(Calculator!E23,tbSkills!DH3:DJ6,3,FALSE),0),0))&gt;=100,100,(Backdoors!AI12+IF(BM11&gt;=0.45,VLOOKUP(Calculator!E23,tbSkills!DH3:DI6,2,FALSE)+IF(AND(Calculator!B8=TRUE,Backdoors!BI12=TRUE),VLOOKUP(Calculator!E23,tbSkills!DH3:DJ6,3,FALSE),0),0)))/100)),1))*IF(VLOOKUP(A11,tbMoveset!A2:K112,11,FALSE)=TRUE,Backdoors!AC5,1))*BN11,0),"")</f>
        <v>0</v>
      </c>
      <c r="BR11" s="49">
        <f>VLOOKUP(A11,tbMoveset!A2:G112,7,FALSE)*IFERROR(IF(Backdoors!AI12&gt;=0,1+(IF(Calculator!E40&gt;0,VLOOKUP(Calculator!E40,tbSkills!AI3:AJ5,2,FALSE),Backdoors!AL4)*(IF((Backdoors!AI12+IF(BM11&gt;=0.45,VLOOKUP(Calculator!E23,tbSkills!DH3:DI6,2,FALSE)+IF(AND(Calculator!B8=TRUE,Backdoors!BI12=TRUE),VLOOKUP(Calculator!E23,tbSkills!DH3:DJ6,3,FALSE),0),0))&gt;=100,100,(Backdoors!AI12+IF(BM11&gt;=0.45,VLOOKUP(Calculator!E23,tbSkills!DH3:DI6,2,FALSE)+IF(AND(Calculator!B8=TRUE,Backdoors!BI12=TRUE),VLOOKUP(Calculator!E23,tbSkills!DH3:DJ6,3,FALSE),0),0)))/100)),1),1)</f>
        <v>0.4</v>
      </c>
      <c r="BS11" s="87">
        <f t="shared" si="39"/>
        <v>0</v>
      </c>
      <c r="BT11" s="86" t="str">
        <f>IFERROR(IF(VLOOKUP(A11,tbMoveset!A2:B112,2,FALSE)="Sever",Backdoors!AY13/100,IF(VLOOKUP(A11,tbMoveset!A2:B112,2,FALSE)="Blunt",Backdoors!AZ13/100,Backdoors!BA13/100)),"")</f>
        <v/>
      </c>
      <c r="BU11" s="49">
        <f>IFERROR(IF(VLOOKUP(tbMoveset!A11,tbMoveset!A2:H112,8,FALSE)="Other",IF(VLOOKUP(tbMoveset!A11,tbMoveset!A2:I112,9,FALSE)="Fire",Backdoors!BB13,IF(VLOOKUP(tbMoveset!A11,tbMoveset!A2:I112,9,FALSE)="Water",Backdoors!BC13,IF(VLOOKUP(tbMoveset!A11,tbMoveset!A2:I112,9,FALSE)="Thunder",Backdoors!BD13,IF(VLOOKUP(tbMoveset!A11,tbMoveset!A2:I112,9,FALSE)="Ice",Backdoors!BE13,IF(VLOOKUP(tbMoveset!A11,tbMoveset!A2:I112,9,FALSE)="Dragon",Backdoors!BF13,Backdoors!BG13)))))/100,Backdoors!BG13/100),"")</f>
        <v>0</v>
      </c>
      <c r="BV11" s="49">
        <f>IFERROR(IF(VLOOKUP(A11,tbMoveset!A2:J112,10,FALSE)=TRUE,IF((Backdoors!AI12+IF(BT11&gt;=0.45,VLOOKUP(Calculator!E23,tbSkills!DH3:DI6,2,FALSE)+IF(AND(Calculator!B8=TRUE,Backdoors!BI13=TRUE),VLOOKUP(Calculator!E23,tbSkills!DH3:DJ6,3,FALSE),0),0))&gt;=0,1+(Backdoors!AL2*(IF((Backdoors!AI12+IF(BT11&gt;=0.45,VLOOKUP(Calculator!E23,tbSkills!DH3:DI6,2,FALSE)+IF(AND(Calculator!B8=TRUE,Backdoors!BI13=TRUE),VLOOKUP(Calculator!E23,tbSkills!DH3:DJ6,3,FALSE),0),0))&gt;=100,100,(Backdoors!AI12+IF(BT11&gt;=0.45,VLOOKUP(Calculator!E23,tbSkills!DH3:DI6,2,FALSE)+IF(AND(Calculator!B8=TRUE,Backdoors!BI13=TRUE),VLOOKUP(Calculator!E23,tbSkills!DH3:DJ6,3,FALSE),0),0)))/100)),(1-(0.25*((-Backdoors!AI12-IF(BT11&gt;=0.45,VLOOKUP(Calculator!E23,tbSkills!DH3:DI6,2,FALSE)+IF(AND(Calculator!B8=TRUE,Backdoors!BI13=TRUE),VLOOKUP(Calculator!E23,tbSkills!DH3:DJ6,3,FALSE),0),0))/100)))),1),"")</f>
        <v>1</v>
      </c>
      <c r="BW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T11)*BV11)*(VLOOKUP(A11,tbMoveset!A2:C112,3,FALSE)/100)*IF(VLOOKUP(A11,tbMoveset!A2:B112,2,FALSE)="Projectile",Backdoors!N10,Backdoors!N9),0),"")</f>
        <v/>
      </c>
      <c r="BX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T11&gt;=0.45,VLOOKUP(Calculator!E23,tbSkills!DH3:DI6,2,FALSE)+IF(AND(Calculator!B8=TRUE,Backdoors!BI13=TRUE),VLOOKUP(Calculator!E23,tbSkills!DH3:DJ6,3,FALSE),0),0))&gt;=100,100,(Backdoors!AI12+IF(BT11&gt;=0.45,VLOOKUP(Calculator!E23,tbSkills!DH3:DI6,2,FALSE)+IF(AND(Calculator!B8=TRUE,Backdoors!BI13=TRUE),VLOOKUP(Calculator!E23,tbSkills!DH3:DJ6,3,FALSE),0),0)))/100)),1))*IF(VLOOKUP(A11,tbMoveset!A2:K112,11,FALSE)=TRUE,Backdoors!AC5,1))*BU11,0),"")</f>
        <v>0</v>
      </c>
      <c r="BY11" s="49">
        <f>VLOOKUP(A11,tbMoveset!A2:G112,7,FALSE)*IFERROR(IF(Backdoors!AI12&gt;=0,1+(IF(Calculator!E40&gt;0,VLOOKUP(Calculator!E40,tbSkills!AI3:AJ5,2,FALSE),Backdoors!AL4)*(IF((Backdoors!AI12+IF(BT11&gt;=0.45,VLOOKUP(Calculator!E23,tbSkills!DH3:DI6,2,FALSE)+IF(AND(Calculator!B8=TRUE,Backdoors!BI13=TRUE),VLOOKUP(Calculator!E23,tbSkills!DH3:DJ6,3,FALSE),0),0))&gt;=100,100,(Backdoors!AI12+IF(BT11&gt;=0.45,VLOOKUP(Calculator!E23,tbSkills!DH3:DI6,2,FALSE)+IF(AND(Calculator!B8=TRUE,Backdoors!BI13=TRUE),VLOOKUP(Calculator!E23,tbSkills!DH3:DJ6,3,FALSE),0),0)))/100)),1),1)</f>
        <v>0.4</v>
      </c>
      <c r="BZ11" s="87">
        <f t="shared" si="5"/>
        <v>0</v>
      </c>
      <c r="CA11" s="86" t="str">
        <f>IFERROR(IF(VLOOKUP(A11,tbMoveset!A2:B112,2,FALSE)="Sever",Backdoors!AY14/100,IF(VLOOKUP(A11,tbMoveset!A2:B112,2,FALSE)="Blunt",Backdoors!AZ14/100,Backdoors!BA14/100)),"")</f>
        <v/>
      </c>
      <c r="CB11" s="49">
        <f>IFERROR(IF(VLOOKUP(tbMoveset!A11,tbMoveset!A2:H112,8,FALSE)="Other",IF(VLOOKUP(tbMoveset!A11,tbMoveset!A2:I112,9,FALSE)="Fire",Backdoors!BB14,IF(VLOOKUP(tbMoveset!A11,tbMoveset!A2:I112,9,FALSE)="Water",Backdoors!BC14,IF(VLOOKUP(tbMoveset!A11,tbMoveset!A2:I112,9,FALSE)="Thunder",Backdoors!BD14,IF(VLOOKUP(tbMoveset!A11,tbMoveset!A2:I112,9,FALSE)="Ice",Backdoors!BE14,IF(VLOOKUP(tbMoveset!A11,tbMoveset!A2:I112,9,FALSE)="Dragon",Backdoors!BF14,Backdoors!BG14)))))/100,Backdoors!BG14/100),"")</f>
        <v>0</v>
      </c>
      <c r="CC11" s="49">
        <f>IFERROR(IF(VLOOKUP(A11,tbMoveset!A2:J112,10,FALSE)=TRUE,IF((Backdoors!AI12+IF(CA11&gt;=0.45,VLOOKUP(Calculator!E23,tbSkills!DH3:DI6,2,FALSE)+IF(AND(Calculator!B8=TRUE,Backdoors!BI14=TRUE),VLOOKUP(Calculator!E23,tbSkills!DH3:DJ6,3,FALSE),0),0))&gt;=0,1+(Backdoors!AL2*(IF((Backdoors!AI12+IF(CA11&gt;=0.45,VLOOKUP(Calculator!E23,tbSkills!DH3:DI6,2,FALSE)+IF(AND(Calculator!B8=TRUE,Backdoors!BI14=TRUE),VLOOKUP(Calculator!E23,tbSkills!DH3:DJ6,3,FALSE),0),0))&gt;=100,100,(Backdoors!AI12+IF(CA11&gt;=0.45,VLOOKUP(Calculator!E23,tbSkills!DH3:DI6,2,FALSE)+IF(AND(Calculator!B8=TRUE,Backdoors!BI14=TRUE),VLOOKUP(Calculator!E23,tbSkills!DH3:DJ6,3,FALSE),0),0)))/100)),(1-(0.25*((-Backdoors!AI12-IF(CA11&gt;=0.45,VLOOKUP(Calculator!E23,tbSkills!DH3:DI6,2,FALSE)+IF(AND(Calculator!B8=TRUE,Backdoors!BI14=TRUE),VLOOKUP(Calculator!E23,tbSkills!DH3:DJ6,3,FALSE),0),0))/100)))),1),"")</f>
        <v>1</v>
      </c>
      <c r="CD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A11)*CC11)*(VLOOKUP(A11,tbMoveset!A2:C112,3,FALSE)/100)*IF(VLOOKUP(A11,tbMoveset!A2:B112,2,FALSE)="Projectile",Backdoors!N10,Backdoors!N9),0),"")</f>
        <v/>
      </c>
      <c r="CE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A11&gt;=0.45,VLOOKUP(Calculator!E23,tbSkills!DH3:DI6,2,FALSE)+IF(AND(Calculator!B8=TRUE,Backdoors!BI14=TRUE),VLOOKUP(Calculator!E23,tbSkills!DH3:DJ6,3,FALSE),0),0))&gt;=100,100,(Backdoors!AI12+IF(CA11&gt;=0.45,VLOOKUP(Calculator!E23,tbSkills!DH3:DI6,2,FALSE)+IF(AND(Calculator!B8=TRUE,Backdoors!BI14=TRUE),VLOOKUP(Calculator!E23,tbSkills!DH3:DJ6,3,FALSE),0),0)))/100)),1))*IF(VLOOKUP(A11,tbMoveset!A2:K112,11,FALSE)=TRUE,Backdoors!AC5,1))*CB11,0),"")</f>
        <v>0</v>
      </c>
      <c r="CF11" s="49">
        <f>VLOOKUP(A11,tbMoveset!A2:G112,7,FALSE)*IFERROR(IF(Backdoors!AI12&gt;=0,1+(IF(Calculator!E40&gt;0,VLOOKUP(Calculator!E40,tbSkills!AI3:AJ5,2,FALSE),Backdoors!AL4)*(IF((Backdoors!AI12+IF(CA11&gt;=0.45,VLOOKUP(Calculator!E23,tbSkills!DH3:DI6,2,FALSE)+IF(AND(Calculator!B8=TRUE,Backdoors!BI14=TRUE),VLOOKUP(Calculator!E23,tbSkills!DH3:DJ6,3,FALSE),0),0))&gt;=100,100,(Backdoors!AI12+IF(CA11&gt;=0.45,VLOOKUP(Calculator!E23,tbSkills!DH3:DI6,2,FALSE)+IF(AND(Calculator!B8=TRUE,Backdoors!BI14=TRUE),VLOOKUP(Calculator!E23,tbSkills!DH3:DJ6,3,FALSE),0),0)))/100)),1),1)</f>
        <v>0.4</v>
      </c>
      <c r="CG11" s="87">
        <f t="shared" si="6"/>
        <v>0</v>
      </c>
      <c r="CH11" s="86" t="str">
        <f>IFERROR(IF(VLOOKUP(A11,tbMoveset!A2:B112,2,FALSE)="Sever",Backdoors!AY15/100,IF(VLOOKUP(A11,tbMoveset!A2:B112,2,FALSE)="Blunt",Backdoors!AZ15/100,Backdoors!BA15/100)),"")</f>
        <v/>
      </c>
      <c r="CI11" s="49">
        <f>IFERROR(IF(VLOOKUP(tbMoveset!A11,tbMoveset!A2:H112,8,FALSE)="Other",IF(VLOOKUP(tbMoveset!A11,tbMoveset!A2:I112,9,FALSE)="Fire",Backdoors!BB15,IF(VLOOKUP(tbMoveset!A11,tbMoveset!A2:I112,9,FALSE)="Water",Backdoors!BC15,IF(VLOOKUP(tbMoveset!A11,tbMoveset!A2:I112,9,FALSE)="Thunder",Backdoors!BD15,IF(VLOOKUP(tbMoveset!A11,tbMoveset!A2:I112,9,FALSE)="Ice",Backdoors!BE15,IF(VLOOKUP(tbMoveset!A11,tbMoveset!A2:I112,9,FALSE)="Dragon",Backdoors!BF15,Backdoors!BG15)))))/100,Backdoors!BG15/100),"")</f>
        <v>0</v>
      </c>
      <c r="CJ11" s="49">
        <f>IFERROR(IF(VLOOKUP(A11,tbMoveset!A2:J112,10,FALSE)=TRUE,IF((Backdoors!AI12+IF(CH11&gt;=0.45,VLOOKUP(Calculator!E23,tbSkills!DH3:DI6,2,FALSE)+IF(AND(Calculator!B8=TRUE,Backdoors!BI15=TRUE),VLOOKUP(Calculator!E23,tbSkills!DH3:DJ6,3,FALSE),0),0))&gt;=0,1+(Backdoors!AL2*(IF((Backdoors!AI12+IF(CH11&gt;=0.45,VLOOKUP(Calculator!E23,tbSkills!DH3:DI6,2,FALSE)+IF(AND(Calculator!B8=TRUE,Backdoors!BI15=TRUE),VLOOKUP(Calculator!E23,tbSkills!DH3:DJ6,3,FALSE),0),0))&gt;=100,100,(Backdoors!AI12+IF(CH11&gt;=0.45,VLOOKUP(Calculator!E23,tbSkills!DH3:DI6,2,FALSE)+IF(AND(Calculator!B8=TRUE,Backdoors!BI15=TRUE),VLOOKUP(Calculator!E23,tbSkills!DH3:DJ6,3,FALSE),0),0)))/100)),(1-(0.25*((-Backdoors!AI12-IF(CH11&gt;=0.45,VLOOKUP(Calculator!E23,tbSkills!DH3:DI6,2,FALSE)+IF(AND(Calculator!B8=TRUE,Backdoors!BI15=TRUE),VLOOKUP(Calculator!E23,tbSkills!DH3:DJ6,3,FALSE),0),0))/100)))),1),"")</f>
        <v>1</v>
      </c>
      <c r="CK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H11)*CJ11)*(VLOOKUP(A11,tbMoveset!A2:C112,3,FALSE)/100)*IF(VLOOKUP(A11,tbMoveset!A2:B112,2,FALSE)="Projectile",Backdoors!N10,Backdoors!N9),0),"")</f>
        <v/>
      </c>
      <c r="CL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H11&gt;=0.45,VLOOKUP(Calculator!E23,tbSkills!DH3:DI6,2,FALSE)+IF(AND(Calculator!B8=TRUE,Backdoors!BI15=TRUE),VLOOKUP(Calculator!E23,tbSkills!DH3:DJ6,3,FALSE),0),0))&gt;=100,100,(Backdoors!AI12+IF(CH11&gt;=0.45,VLOOKUP(Calculator!E23,tbSkills!DH3:DI6,2,FALSE)+IF(AND(Calculator!B8=TRUE,Backdoors!BI15=TRUE),VLOOKUP(Calculator!E23,tbSkills!DH3:DJ6,3,FALSE),0),0)))/100)),1))*IF(VLOOKUP(A11,tbMoveset!A2:K112,11,FALSE)=TRUE,Backdoors!AC5,1))*CI11,0),"")</f>
        <v>0</v>
      </c>
      <c r="CM11" s="49">
        <f>VLOOKUP(A11,tbMoveset!A2:G112,7,FALSE)*IFERROR(IF(Backdoors!AI12&gt;=0,1+(IF(Calculator!E40&gt;0,VLOOKUP(Calculator!E40,tbSkills!AI3:AJ5,2,FALSE),Backdoors!AL4)*(IF((Backdoors!AI12+IF(CH11&gt;=0.45,VLOOKUP(Calculator!E23,tbSkills!DH3:DI6,2,FALSE)+IF(AND(Calculator!B8=TRUE,Backdoors!BI15=TRUE),VLOOKUP(Calculator!E23,tbSkills!DH3:DJ6,3,FALSE),0),0))&gt;=100,100,(Backdoors!AI12+IF(CH11&gt;=0.45,VLOOKUP(Calculator!E23,tbSkills!DH3:DI6,2,FALSE)+IF(AND(Calculator!B8=TRUE,Backdoors!BI15=TRUE),VLOOKUP(Calculator!E23,tbSkills!DH3:DJ6,3,FALSE),0),0)))/100)),1),1)</f>
        <v>0.4</v>
      </c>
      <c r="CN11" s="87">
        <f t="shared" si="7"/>
        <v>0</v>
      </c>
      <c r="CO11" s="86" t="str">
        <f>IFERROR(IF(VLOOKUP(A11,tbMoveset!A2:B112,2,FALSE)="Sever",Backdoors!AY16/100,IF(VLOOKUP(A11,tbMoveset!A2:B112,2,FALSE)="Blunt",Backdoors!AZ16/100,Backdoors!BA16/100)),"")</f>
        <v/>
      </c>
      <c r="CP11" s="49">
        <f>IFERROR(IF(VLOOKUP(tbMoveset!A11,tbMoveset!A2:H112,8,FALSE)="Other",IF(VLOOKUP(tbMoveset!A11,tbMoveset!A2:I112,9,FALSE)="Fire",Backdoors!BB16,IF(VLOOKUP(tbMoveset!A11,tbMoveset!A2:I112,9,FALSE)="Water",Backdoors!BC16,IF(VLOOKUP(tbMoveset!A11,tbMoveset!A2:I112,9,FALSE)="Thunder",Backdoors!BD16,IF(VLOOKUP(tbMoveset!A11,tbMoveset!A2:I112,9,FALSE)="Ice",Backdoors!BE16,IF(VLOOKUP(tbMoveset!A11,tbMoveset!A2:I112,9,FALSE)="Dragon",Backdoors!BF16,Backdoors!BG16)))))/100,Backdoors!BG16/100),"")</f>
        <v>0</v>
      </c>
      <c r="CQ11" s="49">
        <f>IFERROR(IF(VLOOKUP(A11,tbMoveset!A2:J112,10,FALSE)=TRUE,IF((Backdoors!AI12+IF(CO11&gt;=0.45,VLOOKUP(Calculator!E23,tbSkills!DH3:DI6,2,FALSE)+IF(AND(Calculator!B8=TRUE,Backdoors!BI16=TRUE),VLOOKUP(Calculator!E23,tbSkills!DH3:DJ6,3,FALSE),0),0))&gt;=0,1+(Backdoors!AL2*(IF((Backdoors!AI12+IF(CO11&gt;=0.45,VLOOKUP(Calculator!E23,tbSkills!DH3:DI6,2,FALSE)+IF(AND(Calculator!B8=TRUE,Backdoors!BI16=TRUE),VLOOKUP(Calculator!E23,tbSkills!DH3:DJ6,3,FALSE),0),0))&gt;=100,100,(Backdoors!AI12+IF(CO11&gt;=0.45,VLOOKUP(Calculator!E23,tbSkills!DH3:DI6,2,FALSE)+IF(AND(Calculator!B8=TRUE,Backdoors!BI16=TRUE),VLOOKUP(Calculator!E23,tbSkills!DH3:DJ6,3,FALSE),0),0)))/100)),(1-(0.25*((-Backdoors!AI12-IF(CO11&gt;=0.45,VLOOKUP(Calculator!E23,tbSkills!DH3:DI6,2,FALSE)+IF(AND(Calculator!B8=TRUE,Backdoors!BI16=TRUE),VLOOKUP(Calculator!E23,tbSkills!DH3:DJ6,3,FALSE),0),0))/100)))),1),"")</f>
        <v>1</v>
      </c>
      <c r="CR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O11)*CQ11)*(VLOOKUP(A11,tbMoveset!A2:C112,3,FALSE)/100)*IF(VLOOKUP(A11,tbMoveset!A2:B112,2,FALSE)="Projectile",Backdoors!N10,Backdoors!N9),0),"")</f>
        <v/>
      </c>
      <c r="CS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O11&gt;=0.45,VLOOKUP(Calculator!E23,tbSkills!DH3:DI6,2,FALSE)+IF(AND(Calculator!B8=TRUE,Backdoors!BI16=TRUE),VLOOKUP(Calculator!E23,tbSkills!DH3:DJ6,3,FALSE),0),0))&gt;=100,100,(Backdoors!AI12+IF(CO11&gt;=0.45,VLOOKUP(Calculator!E23,tbSkills!DH3:DI6,2,FALSE)+IF(AND(Calculator!B8=TRUE,Backdoors!BI16=TRUE),VLOOKUP(Calculator!E23,tbSkills!DH3:DJ6,3,FALSE),0),0)))/100)),1))*IF(VLOOKUP(A11,tbMoveset!A2:K112,11,FALSE)=TRUE,Backdoors!AC5,1))*CP11,0),"")</f>
        <v>0</v>
      </c>
      <c r="CT11" s="49">
        <f>VLOOKUP(A11,tbMoveset!A2:G112,7,FALSE)*IFERROR(IF(Backdoors!AI12&gt;=0,1+(IF(Calculator!E40&gt;0,VLOOKUP(Calculator!E40,tbSkills!AI3:AJ5,2,FALSE),Backdoors!AL4)*(IF((Backdoors!AI12+IF(CO11&gt;=0.45,VLOOKUP(Calculator!E23,tbSkills!DH3:DI6,2,FALSE)+IF(AND(Calculator!B8=TRUE,Backdoors!BI16=TRUE),VLOOKUP(Calculator!E23,tbSkills!DH3:DJ6,3,FALSE),0),0))&gt;=100,100,(Backdoors!AI12+IF(CO11&gt;=0.45,VLOOKUP(Calculator!E23,tbSkills!DH3:DI6,2,FALSE)+IF(AND(Calculator!B8=TRUE,Backdoors!BI16=TRUE),VLOOKUP(Calculator!E23,tbSkills!DH3:DJ6,3,FALSE),0),0)))/100)),1),1)</f>
        <v>0.4</v>
      </c>
      <c r="CU11" s="87">
        <f t="shared" si="40"/>
        <v>0</v>
      </c>
      <c r="CV11" s="86" t="str">
        <f>IFERROR(IF(VLOOKUP(A11,tbMoveset!A2:B112,2,FALSE)="Sever",Backdoors!AY17/100,IF(VLOOKUP(A11,tbMoveset!A2:B112,2,FALSE)="Blunt",Backdoors!AZ17/100,Backdoors!BA17/100)),"")</f>
        <v/>
      </c>
      <c r="CW11" s="49">
        <f>IFERROR(IF(VLOOKUP(tbMoveset!A11,tbMoveset!A2:H112,8,FALSE)="Other",IF(VLOOKUP(tbMoveset!A11,tbMoveset!A2:I112,9,FALSE)="Fire",Backdoors!BB17,IF(VLOOKUP(tbMoveset!A11,tbMoveset!A2:I112,9,FALSE)="Water",Backdoors!BC17,IF(VLOOKUP(tbMoveset!A11,tbMoveset!A2:I112,9,FALSE)="Thunder",Backdoors!BD17,IF(VLOOKUP(tbMoveset!A11,tbMoveset!A2:I112,9,FALSE)="Ice",Backdoors!BE17,IF(VLOOKUP(tbMoveset!A11,tbMoveset!A2:I112,9,FALSE)="Dragon",Backdoors!BF17,Backdoors!BG17)))))/100,Backdoors!BG17/100),"")</f>
        <v>0</v>
      </c>
      <c r="CX11" s="49">
        <f>IFERROR(IF(VLOOKUP(A11,tbMoveset!A2:J112,10,FALSE)=TRUE,IF((Backdoors!AI12+IF(CV11&gt;=0.45,VLOOKUP(Calculator!E23,tbSkills!DH3:DI6,2,FALSE)+IF(AND(Calculator!B8=TRUE,Backdoors!BI17=TRUE),VLOOKUP(Calculator!E23,tbSkills!DH3:DJ6,3,FALSE),0),0))&gt;=0,1+(Backdoors!AL2*(IF((Backdoors!AI12+IF(CV11&gt;=0.45,VLOOKUP(Calculator!E23,tbSkills!DH3:DI6,2,FALSE)+IF(AND(Calculator!B8=TRUE,Backdoors!BI17=TRUE),VLOOKUP(Calculator!E23,tbSkills!DH3:DJ6,3,FALSE),0),0))&gt;=100,100,(Backdoors!AI12+IF(CV11&gt;=0.45,VLOOKUP(Calculator!E23,tbSkills!DH3:DI6,2,FALSE)+IF(AND(Calculator!B8=TRUE,Backdoors!BI17=TRUE),VLOOKUP(Calculator!E23,tbSkills!DH3:DJ6,3,FALSE),0),0)))/100)),(1-(0.25*((-Backdoors!AI12-IF(CV11&gt;=0.45,VLOOKUP(Calculator!E23,tbSkills!DH3:DI6,2,FALSE)+IF(AND(Calculator!B8=TRUE,Backdoors!BI17=TRUE),VLOOKUP(Calculator!E23,tbSkills!DH3:DJ6,3,FALSE),0),0))/100)))),1),"")</f>
        <v>1</v>
      </c>
      <c r="CY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V11)*CX11)*(VLOOKUP(A11,tbMoveset!A2:C112,3,FALSE)/100)*IF(VLOOKUP(A11,tbMoveset!A2:B112,2,FALSE)="Projectile",Backdoors!N10,Backdoors!N9),0),"")</f>
        <v/>
      </c>
      <c r="CZ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V11&gt;=0.45,VLOOKUP(Calculator!E23,tbSkills!DH3:DI6,2,FALSE)+IF(AND(Calculator!B8=TRUE,Backdoors!BI17=TRUE),VLOOKUP(Calculator!E23,tbSkills!DH3:DJ6,3,FALSE),0),0))&gt;=100,100,(Backdoors!AI12+IF(CV11&gt;=0.45,VLOOKUP(Calculator!E23,tbSkills!DH3:DI6,2,FALSE)+IF(AND(Calculator!B8=TRUE,Backdoors!BI17=TRUE),VLOOKUP(Calculator!E23,tbSkills!DH3:DJ6,3,FALSE),0),0)))/100)),1))*IF(VLOOKUP(A11,tbMoveset!A2:K112,11,FALSE)=TRUE,Backdoors!AC5,1))*CW11,0),"")</f>
        <v>0</v>
      </c>
      <c r="DA11" s="49">
        <f>VLOOKUP(A11,tbMoveset!A2:G112,7,FALSE)*IFERROR(IF(Backdoors!AI12&gt;=0,1+(IF(Calculator!E40&gt;0,VLOOKUP(Calculator!E40,tbSkills!AI3:AJ5,2,FALSE),Backdoors!AL4)*(IF((Backdoors!AI12+IF(CV11&gt;=0.45,VLOOKUP(Calculator!E23,tbSkills!DH3:DI6,2,FALSE)+IF(AND(Calculator!B8=TRUE,Backdoors!BI17=TRUE),VLOOKUP(Calculator!E23,tbSkills!DH3:DJ6,3,FALSE),0),0))&gt;=100,100,(Backdoors!AI12+IF(CV11&gt;=0.45,VLOOKUP(Calculator!E23,tbSkills!DH3:DI6,2,FALSE)+IF(AND(Calculator!B8=TRUE,Backdoors!BI17=TRUE),VLOOKUP(Calculator!E23,tbSkills!DH3:DJ6,3,FALSE),0),0)))/100)),1),1)</f>
        <v>0.4</v>
      </c>
      <c r="DB11" s="87">
        <f t="shared" si="8"/>
        <v>0</v>
      </c>
      <c r="DC11" s="86" t="str">
        <f>IFERROR(IF(VLOOKUP(A11,tbMoveset!A2:B112,2,FALSE)="Sever",Backdoors!AY18/100,IF(VLOOKUP(A11,tbMoveset!A2:B112,2,FALSE)="Blunt",Backdoors!AZ18/100,Backdoors!BA18/100)),"")</f>
        <v/>
      </c>
      <c r="DD11" s="49">
        <f>IFERROR(IF(VLOOKUP(tbMoveset!A11,tbMoveset!A2:H112,8,FALSE)="Other",IF(VLOOKUP(tbMoveset!A11,tbMoveset!A2:I112,9,FALSE)="Fire",Backdoors!BB18,IF(VLOOKUP(tbMoveset!A11,tbMoveset!A2:I112,9,FALSE)="Water",Backdoors!BC18,IF(VLOOKUP(tbMoveset!A11,tbMoveset!A2:I112,9,FALSE)="Thunder",Backdoors!BD18,IF(VLOOKUP(tbMoveset!A11,tbMoveset!A2:I112,9,FALSE)="Ice",Backdoors!BE18,IF(VLOOKUP(tbMoveset!A11,tbMoveset!A2:I112,9,FALSE)="Dragon",Backdoors!BF18,Backdoors!BG18)))))/100,Backdoors!BG18/100),"")</f>
        <v>0</v>
      </c>
      <c r="DE11" s="49">
        <f>IFERROR(IF(VLOOKUP(A11,tbMoveset!A2:J112,10,FALSE)=TRUE,IF((Backdoors!AI12+IF(DC11&gt;=0.45,VLOOKUP(Calculator!E23,tbSkills!DH3:DI6,2,FALSE)+IF(AND(Calculator!B8=TRUE,Backdoors!BI18=TRUE),VLOOKUP(Calculator!E23,tbSkills!DH3:DJ6,3,FALSE),0),0))&gt;=0,1+(Backdoors!AL2*(IF((Backdoors!AI12+IF(DC11&gt;=0.45,VLOOKUP(Calculator!E23,tbSkills!DH3:DI6,2,FALSE)+IF(AND(Calculator!B8=TRUE,Backdoors!BI18=TRUE),VLOOKUP(Calculator!E23,tbSkills!DH3:DJ6,3,FALSE),0),0))&gt;=100,100,(Backdoors!AI12+IF(DC11&gt;=0.45,VLOOKUP(Calculator!E23,tbSkills!DH3:DI6,2,FALSE)+IF(AND(Calculator!B8=TRUE,Backdoors!BI18=TRUE),VLOOKUP(Calculator!E23,tbSkills!DH3:DJ6,3,FALSE),0),0)))/100)),(1-(0.25*((-Backdoors!AI12-IF(DC11&gt;=0.45,VLOOKUP(Calculator!E23,tbSkills!DH3:DI6,2,FALSE)+IF(AND(Calculator!B8=TRUE,Backdoors!BI18=TRUE),VLOOKUP(Calculator!E23,tbSkills!DH3:DJ6,3,FALSE),0),0))/100)))),1),"")</f>
        <v>1</v>
      </c>
      <c r="DF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C11)*DE11)*(VLOOKUP(A11,tbMoveset!A2:C112,3,FALSE)/100)*IF(VLOOKUP(A11,tbMoveset!A2:B112,2,FALSE)="Projectile",Backdoors!N10,Backdoors!N9),0),"")</f>
        <v/>
      </c>
      <c r="DG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C11&gt;=0.45,VLOOKUP(Calculator!E23,tbSkills!DH3:DI6,2,FALSE)+IF(AND(Calculator!B8=TRUE,Backdoors!BI18=TRUE),VLOOKUP(Calculator!E23,tbSkills!DH3:DJ6,3,FALSE),0),0))&gt;=100,100,(Backdoors!AI12+IF(DC11&gt;=0.45,VLOOKUP(Calculator!E23,tbSkills!DH3:DI6,2,FALSE)+IF(AND(Calculator!B8=TRUE,Backdoors!BI18=TRUE),VLOOKUP(Calculator!E23,tbSkills!DH3:DJ6,3,FALSE),0),0)))/100)),1))*IF(VLOOKUP(A11,tbMoveset!A2:K112,11,FALSE)=TRUE,Backdoors!AC5,1))*DD11,0),"")</f>
        <v>0</v>
      </c>
      <c r="DH11" s="49">
        <f>VLOOKUP(A11,tbMoveset!A2:G112,7,FALSE)*IFERROR(IF(Backdoors!AI12&gt;=0,1+(IF(Calculator!E40&gt;0,VLOOKUP(Calculator!E40,tbSkills!AI3:AJ5,2,FALSE),Backdoors!AL4)*(IF((Backdoors!AI12+IF(DC11&gt;=0.45,VLOOKUP(Calculator!E23,tbSkills!DH3:DI6,2,FALSE)+IF(AND(Calculator!B8=TRUE,Backdoors!BI18=TRUE),VLOOKUP(Calculator!E23,tbSkills!DH3:DJ6,3,FALSE),0),0))&gt;=100,100,(Backdoors!AI12+IF(DC11&gt;=0.45,VLOOKUP(Calculator!E23,tbSkills!DH3:DI6,2,FALSE)+IF(AND(Calculator!B8=TRUE,Backdoors!BI18=TRUE),VLOOKUP(Calculator!E23,tbSkills!DH3:DJ6,3,FALSE),0),0)))/100)),1),1)</f>
        <v>0.4</v>
      </c>
      <c r="DI11" s="87">
        <f t="shared" si="9"/>
        <v>0</v>
      </c>
      <c r="DJ11" s="86" t="str">
        <f>IFERROR(IF(VLOOKUP(A11,tbMoveset!A2:B112,2,FALSE)="Sever",Backdoors!AY19/100,IF(VLOOKUP(A11,tbMoveset!A2:B112,2,FALSE)="Blunt",Backdoors!AZ19/100,Backdoors!BA19/100)),"")</f>
        <v/>
      </c>
      <c r="DK11" s="49">
        <f>IFERROR(IF(VLOOKUP(tbMoveset!A11,tbMoveset!A2:H112,8,FALSE)="Other",IF(VLOOKUP(tbMoveset!A11,tbMoveset!A2:I112,9,FALSE)="Fire",Backdoors!BB19,IF(VLOOKUP(tbMoveset!A11,tbMoveset!A2:I112,9,FALSE)="Water",Backdoors!BC19,IF(VLOOKUP(tbMoveset!A11,tbMoveset!A2:I112,9,FALSE)="Thunder",Backdoors!BD19,IF(VLOOKUP(tbMoveset!A11,tbMoveset!A2:I112,9,FALSE)="Ice",Backdoors!BE19,IF(VLOOKUP(tbMoveset!A11,tbMoveset!A2:I112,9,FALSE)="Dragon",Backdoors!BF19,Backdoors!BG19)))))/100,Backdoors!BG19/100),"")</f>
        <v>0</v>
      </c>
      <c r="DL11" s="49">
        <f>IFERROR(IF(VLOOKUP(A11,tbMoveset!A2:J112,10,FALSE)=TRUE,IF((Backdoors!AI12+IF(DJ11&gt;=0.45,VLOOKUP(Calculator!E23,tbSkills!DH3:DI6,2,FALSE)+IF(AND(Calculator!B8=TRUE,Backdoors!BI19=TRUE),VLOOKUP(Calculator!E23,tbSkills!DH3:DJ6,3,FALSE),0),0))&gt;=0,1+(Backdoors!AL2*(IF((Backdoors!AI12+IF(DJ11&gt;=0.45,VLOOKUP(Calculator!E23,tbSkills!DH3:DI6,2,FALSE)+IF(AND(Calculator!B8=TRUE,Backdoors!BI19=TRUE),VLOOKUP(Calculator!E23,tbSkills!DH3:DJ6,3,FALSE),0),0))&gt;=100,100,(Backdoors!AI12+IF(DJ11&gt;=0.45,VLOOKUP(Calculator!E23,tbSkills!DH3:DI6,2,FALSE)+IF(AND(Calculator!B8=TRUE,Backdoors!BI19=TRUE),VLOOKUP(Calculator!E23,tbSkills!DH3:DJ6,3,FALSE),0),0)))/100)),(1-(0.25*((-Backdoors!AI12-IF(DJ11&gt;=0.45,VLOOKUP(Calculator!E23,tbSkills!DH3:DI6,2,FALSE)+IF(AND(Calculator!B8=TRUE,Backdoors!BI19=TRUE),VLOOKUP(Calculator!E23,tbSkills!DH3:DJ6,3,FALSE),0),0))/100)))),1),"")</f>
        <v>1</v>
      </c>
      <c r="DM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J11)*DL11)*(VLOOKUP(A11,tbMoveset!A2:C112,3,FALSE)/100)*IF(VLOOKUP(A11,tbMoveset!A2:B112,2,FALSE)="Projectile",Backdoors!N10,Backdoors!N9),0),"")</f>
        <v/>
      </c>
      <c r="DN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J11&gt;=0.45,VLOOKUP(Calculator!E23,tbSkills!DH3:DI6,2,FALSE)+IF(AND(Calculator!B8=TRUE,Backdoors!BI19=TRUE),VLOOKUP(Calculator!E23,tbSkills!DH3:DJ6,3,FALSE),0),0))&gt;=100,100,(Backdoors!AI12+IF(DJ11&gt;=0.45,VLOOKUP(Calculator!E23,tbSkills!DH3:DI6,2,FALSE)+IF(AND(Calculator!B8=TRUE,Backdoors!BI19=TRUE),VLOOKUP(Calculator!E23,tbSkills!DH3:DJ6,3,FALSE),0),0)))/100)),1))*IF(VLOOKUP(A11,tbMoveset!A2:K112,11,FALSE)=TRUE,Backdoors!AC5,1))*DK11,0),"")</f>
        <v>0</v>
      </c>
      <c r="DO11" s="49">
        <f>VLOOKUP(A11,tbMoveset!A2:G112,7,FALSE)*IFERROR(IF(Backdoors!AI12&gt;=0,1+(IF(Calculator!E40&gt;0,VLOOKUP(Calculator!E40,tbSkills!AI3:AJ5,2,FALSE),Backdoors!AL4)*(IF((Backdoors!AI12+IF(DJ11&gt;=0.45,VLOOKUP(Calculator!E23,tbSkills!DH3:DI6,2,FALSE)+IF(AND(Calculator!B8=TRUE,Backdoors!BI19=TRUE),VLOOKUP(Calculator!E23,tbSkills!DH3:DJ6,3,FALSE),0),0))&gt;=100,100,(Backdoors!AI12+IF(DJ11&gt;=0.45,VLOOKUP(Calculator!E23,tbSkills!DH3:DI6,2,FALSE)+IF(AND(Calculator!B8=TRUE,Backdoors!BI19=TRUE),VLOOKUP(Calculator!E23,tbSkills!DH3:DJ6,3,FALSE),0),0)))/100)),1),1)</f>
        <v>0.4</v>
      </c>
      <c r="DP11" s="87">
        <f t="shared" si="41"/>
        <v>0</v>
      </c>
      <c r="DQ11" s="86" t="str">
        <f>IFERROR(IF(VLOOKUP(A11,tbMoveset!A2:B112,2,FALSE)="Sever",Backdoors!AY20/100,IF(VLOOKUP(A11,tbMoveset!A2:B112,2,FALSE)="Blunt",Backdoors!AZ20/100,Backdoors!BA20/100)),"")</f>
        <v/>
      </c>
      <c r="DR11" s="49">
        <f>IFERROR(IF(VLOOKUP(tbMoveset!A11,tbMoveset!A2:H112,8,FALSE)="Other",IF(VLOOKUP(tbMoveset!A11,tbMoveset!A2:I112,9,FALSE)="Fire",Backdoors!BB20,IF(VLOOKUP(tbMoveset!A11,tbMoveset!A2:I112,9,FALSE)="Water",Backdoors!BC20,IF(VLOOKUP(tbMoveset!A11,tbMoveset!A2:I112,9,FALSE)="Thunder",Backdoors!BD20,IF(VLOOKUP(tbMoveset!A11,tbMoveset!A2:I112,9,FALSE)="Ice",Backdoors!BE20,IF(VLOOKUP(tbMoveset!A11,tbMoveset!A2:I112,9,FALSE)="Dragon",Backdoors!BF20,Backdoors!BG20)))))/100,Backdoors!BG20/100),"")</f>
        <v>0</v>
      </c>
      <c r="DS11" s="49">
        <f>IFERROR(IF(VLOOKUP(A11,tbMoveset!A2:J112,10,FALSE)=TRUE,IF((Backdoors!AI12+IF(DQ11&gt;=0.45,VLOOKUP(Calculator!E23,tbSkills!DH3:DI6,2,FALSE)+IF(AND(Calculator!B8=TRUE,Backdoors!BI20=TRUE),VLOOKUP(Calculator!E23,tbSkills!DH3:DJ6,3,FALSE),0),0))&gt;=0,1+(Backdoors!AL2*(IF((Backdoors!AI12+IF(DQ11&gt;=0.45,VLOOKUP(Calculator!E23,tbSkills!DH3:DI6,2,FALSE)+IF(AND(Calculator!B8=TRUE,Backdoors!BI20=TRUE),VLOOKUP(Calculator!E23,tbSkills!DH3:DJ6,3,FALSE),0),0))&gt;=100,100,(Backdoors!AI12+IF(DQ11&gt;=0.45,VLOOKUP(Calculator!E23,tbSkills!DH3:DI6,2,FALSE)+IF(AND(Calculator!B8=TRUE,Backdoors!BI20=TRUE),VLOOKUP(Calculator!E23,tbSkills!DH3:DJ6,3,FALSE),0),0)))/100)),(1-(0.25*((-Backdoors!AI12-IF(DQ11&gt;=0.45,VLOOKUP(Calculator!E23,tbSkills!DH3:DI6,2,FALSE)+IF(AND(Calculator!B8=TRUE,Backdoors!BI20=TRUE),VLOOKUP(Calculator!E23,tbSkills!DH3:DJ6,3,FALSE),0),0))/100)))),1),"")</f>
        <v>1</v>
      </c>
      <c r="DT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Q11)*DS11)*(VLOOKUP(A11,tbMoveset!A2:C112,3,FALSE)/100)*IF(VLOOKUP(A11,tbMoveset!A2:B112,2,FALSE)="Projectile",Backdoors!N10,Backdoors!N9),0),"")</f>
        <v/>
      </c>
      <c r="DU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Q11&gt;=0.45,VLOOKUP(Calculator!E23,tbSkills!DH3:DI6,2,FALSE)+IF(AND(Calculator!B8=TRUE,Backdoors!BI20=TRUE),VLOOKUP(Calculator!E23,tbSkills!DH3:DJ6,3,FALSE),0),0))&gt;=100,100,(Backdoors!AI12+IF(DQ11&gt;=0.45,VLOOKUP(Calculator!E23,tbSkills!DH3:DI6,2,FALSE)+IF(AND(Calculator!B8=TRUE,Backdoors!BI20=TRUE),VLOOKUP(Calculator!E23,tbSkills!DH3:DJ6,3,FALSE),0),0)))/100)),1))*IF(VLOOKUP(A11,tbMoveset!A2:K112,11,FALSE)=TRUE,Backdoors!AC5,1))*DR11,0),"")</f>
        <v>0</v>
      </c>
      <c r="DV11" s="49">
        <f>VLOOKUP(A11,tbMoveset!A2:G112,7,FALSE)*IFERROR(IF(Backdoors!AI12&gt;=0,1+(IF(Calculator!E40&gt;0,VLOOKUP(Calculator!E40,tbSkills!AI3:AJ5,2,FALSE),Backdoors!AL4)*(IF((Backdoors!AI12+IF(DQ11&gt;=0.45,VLOOKUP(Calculator!E23,tbSkills!DH3:DI6,2,FALSE)+IF(AND(Calculator!B8=TRUE,Backdoors!BI20=TRUE),VLOOKUP(Calculator!E23,tbSkills!DH3:DJ6,3,FALSE),0),0))&gt;=100,100,(Backdoors!AI12+IF(DQ11&gt;=0.45,VLOOKUP(Calculator!E23,tbSkills!DH3:DI6,2,FALSE)+IF(AND(Calculator!B8=TRUE,Backdoors!BI20=TRUE),VLOOKUP(Calculator!E23,tbSkills!DH3:DJ6,3,FALSE),0),0)))/100)),1),1)</f>
        <v>0.4</v>
      </c>
      <c r="DW11" s="87">
        <f t="shared" si="10"/>
        <v>0</v>
      </c>
      <c r="DX11" s="86" t="str">
        <f>IFERROR(IF(VLOOKUP(A11,tbMoveset!A2:B112,2,FALSE)="Sever",Backdoors!AY21/100,IF(VLOOKUP(A11,tbMoveset!A2:B112,2,FALSE)="Blunt",Backdoors!AZ21/100,Backdoors!BA21/100)),"")</f>
        <v/>
      </c>
      <c r="DY11" s="49">
        <f>IFERROR(IF(VLOOKUP(tbMoveset!A11,tbMoveset!A2:H112,8,FALSE)="Other",IF(VLOOKUP(tbMoveset!A11,tbMoveset!A2:I112,9,FALSE)="Fire",Backdoors!BB21,IF(VLOOKUP(tbMoveset!A11,tbMoveset!A2:I112,9,FALSE)="Water",Backdoors!BC21,IF(VLOOKUP(tbMoveset!A11,tbMoveset!A2:I112,9,FALSE)="Thunder",Backdoors!BD21,IF(VLOOKUP(tbMoveset!A11,tbMoveset!A2:I112,9,FALSE)="Ice",Backdoors!BE21,IF(VLOOKUP(tbMoveset!A11,tbMoveset!A2:I112,9,FALSE)="Dragon",Backdoors!BF21,Backdoors!BG21)))))/100,Backdoors!BG21/100),"")</f>
        <v>0</v>
      </c>
      <c r="DZ11" s="49">
        <f>IFERROR(IF(VLOOKUP(A11,tbMoveset!A2:J112,10,FALSE)=TRUE,IF((Backdoors!AI12+IF(DX11&gt;=0.45,VLOOKUP(Calculator!E23,tbSkills!DH3:DI6,2,FALSE)+IF(AND(Calculator!B8=TRUE,Backdoors!BI21=TRUE),VLOOKUP(Calculator!E23,tbSkills!DH3:DJ6,3,FALSE),0),0))&gt;=0,1+(Backdoors!AL2*(IF((Backdoors!AI12+IF(DX11&gt;=0.45,VLOOKUP(Calculator!E23,tbSkills!DH3:DI6,2,FALSE)+IF(AND(Calculator!B8=TRUE,Backdoors!BI21=TRUE),VLOOKUP(Calculator!E23,tbSkills!DH3:DJ6,3,FALSE),0),0))&gt;=100,100,(Backdoors!AI12+IF(DX11&gt;=0.45,VLOOKUP(Calculator!E23,tbSkills!DH3:DI6,2,FALSE)+IF(AND(Calculator!B8=TRUE,Backdoors!BI21=TRUE),VLOOKUP(Calculator!E23,tbSkills!DH3:DJ6,3,FALSE),0),0)))/100)),(1-(0.25*((-Backdoors!AI12-IF(DX11&gt;=0.45,VLOOKUP(Calculator!E23,tbSkills!DH3:DI6,2,FALSE)+IF(AND(Calculator!B8=TRUE,Backdoors!BI21=TRUE),VLOOKUP(Calculator!E23,tbSkills!DH3:DJ6,3,FALSE),0),0))/100)))),1),"")</f>
        <v>1</v>
      </c>
      <c r="EA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X11)*DZ11)*(VLOOKUP(A11,tbMoveset!A2:C112,3,FALSE)/100)*IF(VLOOKUP(A11,tbMoveset!A2:B112,2,FALSE)="Projectile",Backdoors!N10,Backdoors!N9),0),"")</f>
        <v/>
      </c>
      <c r="EB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X11&gt;=0.45,VLOOKUP(Calculator!E23,tbSkills!DH3:DI6,2,FALSE)+IF(AND(Calculator!B8=TRUE,Backdoors!BI21=TRUE),VLOOKUP(Calculator!E23,tbSkills!DH3:DJ6,3,FALSE),0),0))&gt;=100,100,(Backdoors!AI12+IF(DX11&gt;=0.45,VLOOKUP(Calculator!E23,tbSkills!DH3:DI6,2,FALSE)+IF(AND(Calculator!B8=TRUE,Backdoors!BI21=TRUE),VLOOKUP(Calculator!E23,tbSkills!DH3:DJ6,3,FALSE),0),0)))/100)),1))*IF(VLOOKUP(A11,tbMoveset!A2:K112,11,FALSE)=TRUE,Backdoors!AC5,1))*DY11,0),"")</f>
        <v>0</v>
      </c>
      <c r="EC11" s="49">
        <f>VLOOKUP(A11,tbMoveset!A2:G112,7,FALSE)*IFERROR(IF(Backdoors!AI12&gt;=0,1+(IF(Calculator!E40&gt;0,VLOOKUP(Calculator!E40,tbSkills!AI3:AJ5,2,FALSE),Backdoors!AL4)*(IF((Backdoors!AI12+IF(DX11&gt;=0.45,VLOOKUP(Calculator!E23,tbSkills!DH3:DI6,2,FALSE)+IF(AND(Calculator!B8=TRUE,Backdoors!BI21=TRUE),VLOOKUP(Calculator!E23,tbSkills!DH3:DJ6,3,FALSE),0),0))&gt;=100,100,(Backdoors!AI12+IF(DX11&gt;=0.45,VLOOKUP(Calculator!E23,tbSkills!DH3:DI6,2,FALSE)+IF(AND(Calculator!B8=TRUE,Backdoors!BI21=TRUE),VLOOKUP(Calculator!E23,tbSkills!DH3:DJ6,3,FALSE),0),0)))/100)),1),1)</f>
        <v>0.4</v>
      </c>
      <c r="ED11" s="87">
        <f t="shared" si="11"/>
        <v>0</v>
      </c>
      <c r="EE11" s="86" t="str">
        <f>IFERROR(IF(VLOOKUP(A11,tbMoveset!A2:B112,2,FALSE)="Sever",Backdoors!AY22/100,IF(VLOOKUP(A11,tbMoveset!A2:B112,2,FALSE)="Blunt",Backdoors!AZ22/100,Backdoors!BA22/100)),"")</f>
        <v/>
      </c>
      <c r="EF11" s="49">
        <f>IFERROR(IF(VLOOKUP(tbMoveset!A11,tbMoveset!A2:H112,8,FALSE)="Other",IF(VLOOKUP(tbMoveset!A11,tbMoveset!A2:I112,9,FALSE)="Fire",Backdoors!BB22,IF(VLOOKUP(tbMoveset!A11,tbMoveset!A2:I112,9,FALSE)="Water",Backdoors!BC22,IF(VLOOKUP(tbMoveset!A11,tbMoveset!A2:I112,9,FALSE)="Thunder",Backdoors!BD22,IF(VLOOKUP(tbMoveset!A11,tbMoveset!A2:I112,9,FALSE)="Ice",Backdoors!BE22,IF(VLOOKUP(tbMoveset!A11,tbMoveset!A2:I112,9,FALSE)="Dragon",Backdoors!BF22,Backdoors!BG22)))))/100,Backdoors!BG22/100),"")</f>
        <v>0</v>
      </c>
      <c r="EG11" s="49">
        <f>IFERROR(IF(VLOOKUP(A11,tbMoveset!A2:J112,10,FALSE)=TRUE,IF((Backdoors!AI12+IF(EE11&gt;=0.45,VLOOKUP(Calculator!E23,tbSkills!DH3:DI6,2,FALSE)+IF(AND(Calculator!B8=TRUE,Backdoors!BI22=TRUE),VLOOKUP(Calculator!E23,tbSkills!DH3:DJ6,3,FALSE),0),0))&gt;=0,1+(Backdoors!AL2*(IF((Backdoors!AI12+IF(EE11&gt;=0.45,VLOOKUP(Calculator!E23,tbSkills!DH3:DI6,2,FALSE)+IF(AND(Calculator!B8=TRUE,Backdoors!BI22=TRUE),VLOOKUP(Calculator!E23,tbSkills!DH3:DJ6,3,FALSE),0),0))&gt;=100,100,(Backdoors!AI12+IF(EE11&gt;=0.45,VLOOKUP(Calculator!E23,tbSkills!DH3:DI6,2,FALSE)+IF(AND(Calculator!B8=TRUE,Backdoors!BI22=TRUE),VLOOKUP(Calculator!E23,tbSkills!DH3:DJ6,3,FALSE),0),0)))/100)),(1-(0.25*((-Backdoors!AI12-IF(EE11&gt;=0.45,VLOOKUP(Calculator!E23,tbSkills!DH3:DI6,2,FALSE)+IF(AND(Calculator!B8=TRUE,Backdoors!BI22=TRUE),VLOOKUP(Calculator!E23,tbSkills!DH3:DJ6,3,FALSE),0),0))/100)))),1),"")</f>
        <v>1</v>
      </c>
      <c r="EH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E11)*EG11)*(VLOOKUP(A11,tbMoveset!A2:C112,3,FALSE)/100)*IF(VLOOKUP(A11,tbMoveset!A2:B112,2,FALSE)="Projectile",Backdoors!N10,Backdoors!N9),0),"")</f>
        <v/>
      </c>
      <c r="EI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E11&gt;=0.45,VLOOKUP(Calculator!E23,tbSkills!DH3:DI6,2,FALSE)+IF(AND(Calculator!B8=TRUE,Backdoors!BI22=TRUE),VLOOKUP(Calculator!E23,tbSkills!DH3:DJ6,3,FALSE),0),0))&gt;=100,100,(Backdoors!AI12+IF(EE11&gt;=0.45,VLOOKUP(Calculator!E23,tbSkills!DH3:DI6,2,FALSE)+IF(AND(Calculator!B8=TRUE,Backdoors!BI22=TRUE),VLOOKUP(Calculator!E23,tbSkills!DH3:DJ6,3,FALSE),0),0)))/100)),1))*IF(VLOOKUP(A11,tbMoveset!A2:K112,11,FALSE)=TRUE,Backdoors!AC5,1))*EF11,0),"")</f>
        <v>0</v>
      </c>
      <c r="EJ11" s="49">
        <f>VLOOKUP(A11,tbMoveset!A2:G112,7,FALSE)*IFERROR(IF(Backdoors!AI12&gt;=0,1+(IF(Calculator!E40&gt;0,VLOOKUP(Calculator!E40,tbSkills!AI3:AJ5,2,FALSE),Backdoors!AL4)*(IF((Backdoors!AI12+IF(EE11&gt;=0.45,VLOOKUP(Calculator!E23,tbSkills!DH3:DI6,2,FALSE)+IF(AND(Calculator!B8=TRUE,Backdoors!BI22=TRUE),VLOOKUP(Calculator!E23,tbSkills!DH3:DJ6,3,FALSE),0),0))&gt;=100,100,(Backdoors!AI12+IF(EE11&gt;=0.45,VLOOKUP(Calculator!E23,tbSkills!DH3:DI6,2,FALSE)+IF(AND(Calculator!B8=TRUE,Backdoors!BI22=TRUE),VLOOKUP(Calculator!E23,tbSkills!DH3:DJ6,3,FALSE),0),0)))/100)),1),1)</f>
        <v>0.4</v>
      </c>
      <c r="EK11" s="87">
        <f t="shared" si="12"/>
        <v>0</v>
      </c>
      <c r="EL11" s="86" t="str">
        <f>IFERROR(IF(VLOOKUP(A11,tbMoveset!A2:B112,2,FALSE)="Sever",Backdoors!AY23/100,IF(VLOOKUP(A11,tbMoveset!A2:B112,2,FALSE)="Blunt",Backdoors!AZ23/100,Backdoors!BA23/100)),"")</f>
        <v/>
      </c>
      <c r="EM11" s="49">
        <f>IFERROR(IF(VLOOKUP(tbMoveset!A11,tbMoveset!A2:H112,8,FALSE)="Other",IF(VLOOKUP(tbMoveset!A11,tbMoveset!A2:I112,9,FALSE)="Fire",Backdoors!BB23,IF(VLOOKUP(tbMoveset!A11,tbMoveset!A2:I112,9,FALSE)="Water",Backdoors!BC23,IF(VLOOKUP(tbMoveset!A11,tbMoveset!A2:I112,9,FALSE)="Thunder",Backdoors!BD23,IF(VLOOKUP(tbMoveset!A11,tbMoveset!A2:I112,9,FALSE)="Ice",Backdoors!BE23,IF(VLOOKUP(tbMoveset!A11,tbMoveset!A2:I112,9,FALSE)="Dragon",Backdoors!BF23,Backdoors!BG23)))))/100,Backdoors!BG23/100),"")</f>
        <v>0</v>
      </c>
      <c r="EN11" s="49">
        <f>IFERROR(IF(VLOOKUP(A11,tbMoveset!A2:J112,10,FALSE)=TRUE,IF((Backdoors!AI12+IF(EL11&gt;=0.45,VLOOKUP(Calculator!E23,tbSkills!DH3:DI6,2,FALSE)+IF(AND(Calculator!B8=TRUE,Backdoors!BI23=TRUE),VLOOKUP(Calculator!E23,tbSkills!DH3:DJ6,3,FALSE),0),0))&gt;=0,1+(Backdoors!AL2*(IF((Backdoors!AI12+IF(EL11&gt;=0.45,VLOOKUP(Calculator!E23,tbSkills!DH3:DI6,2,FALSE)+IF(AND(Calculator!B8=TRUE,Backdoors!BI23=TRUE),VLOOKUP(Calculator!E23,tbSkills!DH3:DJ6,3,FALSE),0),0))&gt;=100,100,(Backdoors!AI12+IF(EL11&gt;=0.45,VLOOKUP(Calculator!E23,tbSkills!DH3:DI6,2,FALSE)+IF(AND(Calculator!B8=TRUE,Backdoors!BI23=TRUE),VLOOKUP(Calculator!E23,tbSkills!DH3:DJ6,3,FALSE),0),0)))/100)),(1-(0.25*((-Backdoors!AI12-IF(EL11&gt;=0.45,VLOOKUP(Calculator!E23,tbSkills!DH3:DI6,2,FALSE)+IF(AND(Calculator!B8=TRUE,Backdoors!BI23=TRUE),VLOOKUP(Calculator!E23,tbSkills!DH3:DJ6,3,FALSE),0),0))/100)))),1),"")</f>
        <v>1</v>
      </c>
      <c r="EO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L11)*EN11)*(VLOOKUP(A11,tbMoveset!A2:C112,3,FALSE)/100)*IF(VLOOKUP(A11,tbMoveset!A2:B112,2,FALSE)="Projectile",Backdoors!N10,Backdoors!N9),0),"")</f>
        <v/>
      </c>
      <c r="EP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L11&gt;=0.45,VLOOKUP(Calculator!E23,tbSkills!DH3:DI6,2,FALSE)+IF(AND(Calculator!B8=TRUE,Backdoors!BI23=TRUE),VLOOKUP(Calculator!E23,tbSkills!DH3:DJ6,3,FALSE),0),0))&gt;=100,100,(Backdoors!AI12+IF(EL11&gt;=0.45,VLOOKUP(Calculator!E23,tbSkills!DH3:DI6,2,FALSE)+IF(AND(Calculator!B8=TRUE,Backdoors!BI23=TRUE),VLOOKUP(Calculator!E23,tbSkills!DH3:DJ6,3,FALSE),0),0)))/100)),1))*IF(VLOOKUP(A11,tbMoveset!A2:K112,11,FALSE)=TRUE,Backdoors!AC5,1))*EM11,0),"")</f>
        <v>0</v>
      </c>
      <c r="EQ11" s="49">
        <f>VLOOKUP(A11,tbMoveset!A2:G112,7,FALSE)*IFERROR(IF(Backdoors!AI12&gt;=0,1+(IF(Calculator!E40&gt;0,VLOOKUP(Calculator!E40,tbSkills!AI3:AJ5,2,FALSE),Backdoors!AL4)*(IF((Backdoors!AI12+IF(EL11&gt;=0.45,VLOOKUP(Calculator!E23,tbSkills!DH3:DI6,2,FALSE)+IF(AND(Calculator!B8=TRUE,Backdoors!BI23=TRUE),VLOOKUP(Calculator!E23,tbSkills!DH3:DJ6,3,FALSE),0),0))&gt;=100,100,(Backdoors!AI12+IF(EL11&gt;=0.45,VLOOKUP(Calculator!E23,tbSkills!DH3:DI6,2,FALSE)+IF(AND(Calculator!B8=TRUE,Backdoors!BI23=TRUE),VLOOKUP(Calculator!E23,tbSkills!DH3:DJ6,3,FALSE),0),0)))/100)),1),1)</f>
        <v>0.4</v>
      </c>
      <c r="ER11" s="87">
        <f t="shared" si="13"/>
        <v>0</v>
      </c>
      <c r="ES11" s="86" t="str">
        <f>IFERROR(IF(VLOOKUP(A11,tbMoveset!A2:B112,2,FALSE)="Sever",Backdoors!AY24/100,IF(VLOOKUP(A11,tbMoveset!A2:B112,2,FALSE)="Blunt",Backdoors!AZ24/100,Backdoors!BA24/100)),"")</f>
        <v/>
      </c>
      <c r="ET11" s="49">
        <f>IFERROR(IF(VLOOKUP(tbMoveset!A11,tbMoveset!A2:H112,8,FALSE)="Other",IF(VLOOKUP(tbMoveset!A11,tbMoveset!A2:I112,9,FALSE)="Fire",Backdoors!BB24,IF(VLOOKUP(tbMoveset!A11,tbMoveset!A2:I112,9,FALSE)="Water",Backdoors!BC24,IF(VLOOKUP(tbMoveset!A11,tbMoveset!A2:I112,9,FALSE)="Thunder",Backdoors!BD24,IF(VLOOKUP(tbMoveset!A11,tbMoveset!A2:I112,9,FALSE)="Ice",Backdoors!BE24,IF(VLOOKUP(tbMoveset!A11,tbMoveset!A2:I112,9,FALSE)="Dragon",Backdoors!BF24,Backdoors!BG24)))))/100,Backdoors!BG24/100),"")</f>
        <v>0</v>
      </c>
      <c r="EU11" s="49">
        <f>IFERROR(IF(VLOOKUP(A11,tbMoveset!A2:J112,10,FALSE)=TRUE,IF((Backdoors!AI12+IF(ES11&gt;=0.45,VLOOKUP(Calculator!E23,tbSkills!DH3:DI6,2,FALSE)+IF(AND(Calculator!B8=TRUE,Backdoors!BI24=TRUE),VLOOKUP(Calculator!E23,tbSkills!DH3:DJ6,3,FALSE),0),0))&gt;=0,1+(Backdoors!AL2*(IF((Backdoors!AI12+IF(ES11&gt;=0.45,VLOOKUP(Calculator!E23,tbSkills!DH3:DI6,2,FALSE)+IF(AND(Calculator!B8=TRUE,Backdoors!BI24=TRUE),VLOOKUP(Calculator!E23,tbSkills!DH3:DJ6,3,FALSE),0),0))&gt;=100,100,(Backdoors!AI12+IF(ES11&gt;=0.45,VLOOKUP(Calculator!E23,tbSkills!DH3:DI6,2,FALSE)+IF(AND(Calculator!B8=TRUE,Backdoors!BI24=TRUE),VLOOKUP(Calculator!E23,tbSkills!DH3:DJ6,3,FALSE),0),0)))/100)),(1-(0.25*((-Backdoors!AI12-IF(ES11&gt;=0.45,VLOOKUP(Calculator!E23,tbSkills!DH3:DI6,2,FALSE)+IF(AND(Calculator!B8=TRUE,Backdoors!BI24=TRUE),VLOOKUP(Calculator!E23,tbSkills!DH3:DJ6,3,FALSE),0),0))/100)))),1),"")</f>
        <v>1</v>
      </c>
      <c r="EV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S11)*EU11)*(VLOOKUP(A11,tbMoveset!A2:C112,3,FALSE)/100)*IF(VLOOKUP(A11,tbMoveset!A2:B112,2,FALSE)="Projectile",Backdoors!N10,Backdoors!N9),0),"")</f>
        <v/>
      </c>
      <c r="EW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S11&gt;=0.45,VLOOKUP(Calculator!E23,tbSkills!DH3:DI6,2,FALSE)+IF(AND(Calculator!B8=TRUE,Backdoors!BI24=TRUE),VLOOKUP(Calculator!E23,tbSkills!DH3:DJ6,3,FALSE),0),0))&gt;=100,100,(Backdoors!AI12+IF(ES11&gt;=0.45,VLOOKUP(Calculator!E23,tbSkills!DH3:DI6,2,FALSE)+IF(AND(Calculator!B8=TRUE,Backdoors!BI24=TRUE),VLOOKUP(Calculator!E23,tbSkills!DH3:DJ6,3,FALSE),0),0)))/100)),1))*IF(VLOOKUP(A11,tbMoveset!A2:K112,11,FALSE)=TRUE,Backdoors!AC5,1))*ET11,0),"")</f>
        <v>0</v>
      </c>
      <c r="EX11" s="49">
        <f>VLOOKUP(A11,tbMoveset!A2:G112,7,FALSE)*IFERROR(IF(Backdoors!AI12&gt;=0,1+(IF(Calculator!E40&gt;0,VLOOKUP(Calculator!E40,tbSkills!AI3:AJ5,2,FALSE),Backdoors!AL4)*(IF((Backdoors!AI12+IF(ES11&gt;=0.45,VLOOKUP(Calculator!E23,tbSkills!DH3:DI6,2,FALSE)+IF(AND(Calculator!B8=TRUE,Backdoors!BI24=TRUE),VLOOKUP(Calculator!E23,tbSkills!DH3:DJ6,3,FALSE),0),0))&gt;=100,100,(Backdoors!AI12+IF(ES11&gt;=0.45,VLOOKUP(Calculator!E23,tbSkills!DH3:DI6,2,FALSE)+IF(AND(Calculator!B8=TRUE,Backdoors!BI24=TRUE),VLOOKUP(Calculator!E23,tbSkills!DH3:DJ6,3,FALSE),0),0)))/100)),1),1)</f>
        <v>0.4</v>
      </c>
      <c r="EY11" s="87">
        <f t="shared" si="14"/>
        <v>0</v>
      </c>
      <c r="EZ11" s="86" t="str">
        <f>IFERROR(IF(VLOOKUP(A11,tbMoveset!A2:B112,2,FALSE)="Sever",Backdoors!AY25/100,IF(VLOOKUP(A11,tbMoveset!A2:B112,2,FALSE)="Blunt",Backdoors!AZ25/100,Backdoors!BA25/100)),"")</f>
        <v/>
      </c>
      <c r="FA11" s="49">
        <f>IFERROR(IF(VLOOKUP(tbMoveset!A11,tbMoveset!A2:H112,8,FALSE)="Other",IF(VLOOKUP(tbMoveset!A11,tbMoveset!A2:I112,9,FALSE)="Fire",Backdoors!BB25,IF(VLOOKUP(tbMoveset!A11,tbMoveset!A2:I112,9,FALSE)="Water",Backdoors!BC25,IF(VLOOKUP(tbMoveset!A11,tbMoveset!A2:I112,9,FALSE)="Thunder",Backdoors!BD25,IF(VLOOKUP(tbMoveset!A11,tbMoveset!A2:I112,9,FALSE)="Ice",Backdoors!BE25,IF(VLOOKUP(tbMoveset!A11,tbMoveset!A2:I112,9,FALSE)="Dragon",Backdoors!BF25,Backdoors!BG25)))))/100,Backdoors!BG25/100),"")</f>
        <v>0</v>
      </c>
      <c r="FB11" s="49">
        <f>IFERROR(IF(VLOOKUP(A11,tbMoveset!A2:J112,10,FALSE)=TRUE,IF((Backdoors!AI12+IF(EZ11&gt;=0.45,VLOOKUP(Calculator!E23,tbSkills!DH3:DI6,2,FALSE)+IF(AND(Calculator!B8=TRUE,Backdoors!BI25=TRUE),VLOOKUP(Calculator!E23,tbSkills!DH3:DJ6,3,FALSE),0),0))&gt;=0,1+(Backdoors!AL2*(IF((Backdoors!AI12+IF(EZ11&gt;=0.45,VLOOKUP(Calculator!E23,tbSkills!DH3:DI6,2,FALSE)+IF(AND(Calculator!B8=TRUE,Backdoors!BI25=TRUE),VLOOKUP(Calculator!E23,tbSkills!DH3:DJ6,3,FALSE),0),0))&gt;=100,100,(Backdoors!AI12+IF(EZ11&gt;=0.45,VLOOKUP(Calculator!E23,tbSkills!DH3:DI6,2,FALSE)+IF(AND(Calculator!B8=TRUE,Backdoors!BI25=TRUE),VLOOKUP(Calculator!E23,tbSkills!DH3:DJ6,3,FALSE),0),0)))/100)),(1-(0.25*((-Backdoors!AI12-IF(EZ11&gt;=0.45,VLOOKUP(Calculator!E23,tbSkills!DH3:DI6,2,FALSE)+IF(AND(Calculator!B8=TRUE,Backdoors!BI25=TRUE),VLOOKUP(Calculator!E23,tbSkills!DH3:DJ6,3,FALSE),0),0))/100)))),1),"")</f>
        <v>1</v>
      </c>
      <c r="FC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Z11)*FB11)*(VLOOKUP(A11,tbMoveset!A2:C112,3,FALSE)/100)*IF(VLOOKUP(A11,tbMoveset!A2:B112,2,FALSE)="Projectile",Backdoors!N10,Backdoors!N9),0),"")</f>
        <v/>
      </c>
      <c r="FD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Z11&gt;=0.45,VLOOKUP(Calculator!E23,tbSkills!DH3:DI6,2,FALSE)+IF(AND(Calculator!B8=TRUE,Backdoors!BI25=TRUE),VLOOKUP(Calculator!E23,tbSkills!DH3:DJ6,3,FALSE),0),0))&gt;=100,100,(Backdoors!AI12+IF(EZ11&gt;=0.45,VLOOKUP(Calculator!E23,tbSkills!DH3:DI6,2,FALSE)+IF(AND(Calculator!B8=TRUE,Backdoors!BI25=TRUE),VLOOKUP(Calculator!E23,tbSkills!DH3:DJ6,3,FALSE),0),0)))/100)),1))*IF(VLOOKUP(A11,tbMoveset!A2:K112,11,FALSE)=TRUE,Backdoors!AC5,1))*FA11,0),"")</f>
        <v>0</v>
      </c>
      <c r="FE11" s="49">
        <f>VLOOKUP(A11,tbMoveset!A2:G112,7,FALSE)*IFERROR(IF(Backdoors!AI12&gt;=0,1+(IF(Calculator!E40&gt;0,VLOOKUP(Calculator!E40,tbSkills!AI3:AJ5,2,FALSE),Backdoors!AL4)*(IF((Backdoors!AI12+IF(EZ11&gt;=0.45,VLOOKUP(Calculator!E23,tbSkills!DH3:DI6,2,FALSE)+IF(AND(Calculator!B8=TRUE,Backdoors!BI25=TRUE),VLOOKUP(Calculator!E23,tbSkills!DH3:DJ6,3,FALSE),0),0))&gt;=100,100,(Backdoors!AI12+IF(EZ11&gt;=0.45,VLOOKUP(Calculator!E23,tbSkills!DH3:DI6,2,FALSE)+IF(AND(Calculator!B8=TRUE,Backdoors!BI25=TRUE),VLOOKUP(Calculator!E23,tbSkills!DH3:DJ6,3,FALSE),0),0)))/100)),1),1)</f>
        <v>0.4</v>
      </c>
      <c r="FF11" s="87">
        <f t="shared" si="15"/>
        <v>0</v>
      </c>
      <c r="FG11" s="86" t="str">
        <f>IFERROR(IF(VLOOKUP(A11,tbMoveset!A2:B112,2,FALSE)="Sever",Backdoors!AY26/100,IF(VLOOKUP(A11,tbMoveset!A2:B112,2,FALSE)="Blunt",Backdoors!AZ26/100,Backdoors!BA26/100)),"")</f>
        <v/>
      </c>
      <c r="FH11" s="49">
        <f>IFERROR(IF(VLOOKUP(tbMoveset!A11,tbMoveset!A2:H112,8,FALSE)="Other",IF(VLOOKUP(tbMoveset!A11,tbMoveset!A2:I112,9,FALSE)="Fire",Backdoors!BB26,IF(VLOOKUP(tbMoveset!A11,tbMoveset!A2:I112,9,FALSE)="Water",Backdoors!BC26,IF(VLOOKUP(tbMoveset!A11,tbMoveset!A2:I112,9,FALSE)="Thunder",Backdoors!BD26,IF(VLOOKUP(tbMoveset!A11,tbMoveset!A2:I112,9,FALSE)="Ice",Backdoors!BE26,IF(VLOOKUP(tbMoveset!A11,tbMoveset!A2:I112,9,FALSE)="Dragon",Backdoors!BF26,Backdoors!BG26)))))/100,Backdoors!BG26/100),"")</f>
        <v>0</v>
      </c>
      <c r="FI11" s="49">
        <f>IFERROR(IF(VLOOKUP(A11,tbMoveset!A2:J112,10,FALSE)=TRUE,IF((Backdoors!AI12+IF(FG11&gt;=0.45,VLOOKUP(Calculator!E23,tbSkills!DH3:DI6,2,FALSE)+IF(AND(Calculator!B8=TRUE,Backdoors!BI26=TRUE),VLOOKUP(Calculator!E23,tbSkills!DH3:DJ6,3,FALSE),0),0))&gt;=0,1+(Backdoors!AL2*(IF((Backdoors!AI12+IF(FG11&gt;=0.45,VLOOKUP(Calculator!E23,tbSkills!DH3:DI6,2,FALSE)+IF(AND(Calculator!B8=TRUE,Backdoors!BI26=TRUE),VLOOKUP(Calculator!E23,tbSkills!DH3:DJ6,3,FALSE),0),0))&gt;=100,100,(Backdoors!AI12+IF(FG11&gt;=0.45,VLOOKUP(Calculator!E23,tbSkills!DH3:DI6,2,FALSE)+IF(AND(Calculator!B8=TRUE,Backdoors!BI26=TRUE),VLOOKUP(Calculator!E23,tbSkills!DH3:DJ6,3,FALSE),0),0)))/100)),(1-(0.25*((-Backdoors!AI12-IF(FG11&gt;=0.45,VLOOKUP(Calculator!E23,tbSkills!DH3:DI6,2,FALSE)+IF(AND(Calculator!B8=TRUE,Backdoors!BI26=TRUE),VLOOKUP(Calculator!E23,tbSkills!DH3:DJ6,3,FALSE),0),0))/100)))),1),"")</f>
        <v>1</v>
      </c>
      <c r="FJ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FG11)*FI11)*(VLOOKUP(A11,tbMoveset!A2:C112,3,FALSE)/100)*IF(VLOOKUP(A11,tbMoveset!A2:B112,2,FALSE)="Projectile",Backdoors!N10,Backdoors!N9),0),"")</f>
        <v/>
      </c>
      <c r="FK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FG11&gt;=0.45,VLOOKUP(Calculator!E23,tbSkills!DH3:DI6,2,FALSE)+IF(AND(Calculator!B8=TRUE,Backdoors!BI26=TRUE),VLOOKUP(Calculator!E23,tbSkills!DH3:DJ6,3,FALSE),0),0))&gt;=100,100,(Backdoors!AI12+IF(FG11&gt;=0.45,VLOOKUP(Calculator!E23,tbSkills!DH3:DI6,2,FALSE)+IF(AND(Calculator!B8=TRUE,Backdoors!BI26=TRUE),VLOOKUP(Calculator!E23,tbSkills!DH3:DJ6,3,FALSE),0),0)))/100)),1))*IF(VLOOKUP(A11,tbMoveset!A2:K112,11,FALSE)=TRUE,Backdoors!AC5,1))*FH11,0),"")</f>
        <v>0</v>
      </c>
      <c r="FL11" s="49">
        <f>VLOOKUP(A11,tbMoveset!A2:G112,7,FALSE)*IFERROR(IF(Backdoors!AI12&gt;=0,1+(IF(Calculator!E40&gt;0,VLOOKUP(Calculator!E40,tbSkills!AI3:AJ5,2,FALSE),Backdoors!AL4)*(IF((Backdoors!AI12+IF(FG11&gt;=0.45,VLOOKUP(Calculator!E23,tbSkills!DH3:DI6,2,FALSE)+IF(AND(Calculator!B8=TRUE,Backdoors!BI26=TRUE),VLOOKUP(Calculator!E23,tbSkills!DH3:DJ6,3,FALSE),0),0))&gt;=100,100,(Backdoors!AI12+IF(FG11&gt;=0.45,VLOOKUP(Calculator!E23,tbSkills!DH3:DI6,2,FALSE)+IF(AND(Calculator!B8=TRUE,Backdoors!BI26=TRUE),VLOOKUP(Calculator!E23,tbSkills!DH3:DJ6,3,FALSE),0),0)))/100)),1),1)</f>
        <v>0.4</v>
      </c>
      <c r="FM11" s="87">
        <f t="shared" si="16"/>
        <v>0</v>
      </c>
      <c r="FN11" s="86" t="str">
        <f>IFERROR(IF(VLOOKUP(A11,tbMoveset!A2:B112,2,FALSE)="Sever",Backdoors!AY27/100,IF(VLOOKUP(A11,tbMoveset!A2:B112,2,FALSE)="Blunt",Backdoors!AZ27/100,Backdoors!BA27/100)),"")</f>
        <v/>
      </c>
      <c r="FO11" s="49">
        <f>IFERROR(IF(VLOOKUP(tbMoveset!A11,tbMoveset!A2:H112,8,FALSE)="Other",IF(VLOOKUP(tbMoveset!A11,tbMoveset!A2:I112,9,FALSE)="Fire",Backdoors!BB27,IF(VLOOKUP(tbMoveset!A11,tbMoveset!A2:I112,9,FALSE)="Water",Backdoors!BC27,IF(VLOOKUP(tbMoveset!A11,tbMoveset!A2:I112,9,FALSE)="Thunder",Backdoors!BD27,IF(VLOOKUP(tbMoveset!A11,tbMoveset!A2:I112,9,FALSE)="Ice",Backdoors!BE27,IF(VLOOKUP(tbMoveset!A11,tbMoveset!A2:I112,9,FALSE)="Dragon",Backdoors!BF27,Backdoors!BG27)))))/100,Backdoors!BG27/100),"")</f>
        <v>0</v>
      </c>
      <c r="FP11" s="49">
        <f>IFERROR(IF(VLOOKUP(A11,tbMoveset!A2:J112,10,FALSE)=TRUE,IF((Backdoors!AI12+IF(FN11&gt;=0.45,VLOOKUP(Calculator!E23,tbSkills!DH3:DI6,2,FALSE)+IF(AND(Calculator!B8=TRUE,Backdoors!BI27=TRUE),VLOOKUP(Calculator!E23,tbSkills!DH3:DJ6,3,FALSE),0),0))&gt;=0,1+(Backdoors!AL2*(IF((Backdoors!AI12+IF(FN11&gt;=0.45,VLOOKUP(Calculator!E23,tbSkills!DH3:DI6,2,FALSE)+IF(AND(Calculator!B8=TRUE,Backdoors!BI27=TRUE),VLOOKUP(Calculator!E23,tbSkills!DH3:DJ6,3,FALSE),0),0))&gt;=100,100,(Backdoors!AI12+IF(FN11&gt;=0.45,VLOOKUP(Calculator!E23,tbSkills!DH3:DI6,2,FALSE)+IF(AND(Calculator!B8=TRUE,Backdoors!BI27=TRUE),VLOOKUP(Calculator!E23,tbSkills!DH3:DJ6,3,FALSE),0),0)))/100)),(1-(0.25*((-Backdoors!AI12-IF(FN11&gt;=0.45,VLOOKUP(Calculator!E23,tbSkills!DH3:DI6,2,FALSE)+IF(AND(Calculator!B8=TRUE,Backdoors!BI27=TRUE),VLOOKUP(Calculator!E23,tbSkills!DH3:DJ6,3,FALSE),0),0))/100)))),1),"")</f>
        <v>1</v>
      </c>
      <c r="FQ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FN11)*FP11)*(VLOOKUP(A11,tbMoveset!A2:C112,3,FALSE)/100)*IF(VLOOKUP(A11,tbMoveset!A2:B112,2,FALSE)="Projectile",Backdoors!N10,Backdoors!N9),0),"")</f>
        <v/>
      </c>
      <c r="FR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FN11&gt;=0.45,VLOOKUP(Calculator!E23,tbSkills!DH3:DI6,2,FALSE)+IF(AND(Calculator!B8=TRUE,Backdoors!BI27=TRUE),VLOOKUP(Calculator!E23,tbSkills!DH3:DJ6,3,FALSE),0),0))&gt;=100,100,(Backdoors!AI12+IF(FN11&gt;=0.45,VLOOKUP(Calculator!E23,tbSkills!DH3:DI6,2,FALSE)+IF(AND(Calculator!B8=TRUE,Backdoors!BI27=TRUE),VLOOKUP(Calculator!E23,tbSkills!DH3:DJ6,3,FALSE),0),0)))/100)),1))*IF(VLOOKUP(A11,tbMoveset!A2:K112,11,FALSE)=TRUE,Backdoors!AC5,1))*FO11,0),"")</f>
        <v>0</v>
      </c>
      <c r="FS11" s="49">
        <f>VLOOKUP(A11,tbMoveset!A2:G112,7,FALSE)*IFERROR(IF(Backdoors!AI12&gt;=0,1+(IF(Calculator!E40&gt;0,VLOOKUP(Calculator!E40,tbSkills!AI3:AJ5,2,FALSE),Backdoors!AL4)*(IF((Backdoors!AI12+IF(FN11&gt;=0.45,VLOOKUP(Calculator!E23,tbSkills!DH3:DI6,2,FALSE)+IF(AND(Calculator!B8=TRUE,Backdoors!BI27=TRUE),VLOOKUP(Calculator!E23,tbSkills!DH3:DJ6,3,FALSE),0),0))&gt;=100,100,(Backdoors!AI12+IF(FN11&gt;=0.45,VLOOKUP(Calculator!E23,tbSkills!DH3:DI6,2,FALSE)+IF(AND(Calculator!B8=TRUE,Backdoors!BI27=TRUE),VLOOKUP(Calculator!E23,tbSkills!DH3:DJ6,3,FALSE),0),0)))/100)),1),1)</f>
        <v>0.4</v>
      </c>
      <c r="FT11" s="87">
        <f t="shared" si="17"/>
        <v>0</v>
      </c>
      <c r="FU11" s="86" t="str">
        <f>IFERROR(IF(VLOOKUP(A11,tbMoveset!A2:B112,2,FALSE)="Sever",Backdoors!AY28/100,IF(VLOOKUP(A11,tbMoveset!A2:B112,2,FALSE)="Blunt",Backdoors!AZ28/100,Backdoors!BA28/100)),"")</f>
        <v/>
      </c>
      <c r="FV11" s="49">
        <f>IFERROR(IF(VLOOKUP(tbMoveset!A11,tbMoveset!A2:H112,8,FALSE)="Other",IF(VLOOKUP(tbMoveset!A11,tbMoveset!A2:I112,9,FALSE)="Fire",Backdoors!BB28,IF(VLOOKUP(tbMoveset!A11,tbMoveset!A2:I112,9,FALSE)="Water",Backdoors!BC28,IF(VLOOKUP(tbMoveset!A11,tbMoveset!A2:I112,9,FALSE)="Thunder",Backdoors!BD28,IF(VLOOKUP(tbMoveset!A11,tbMoveset!A2:I112,9,FALSE)="Ice",Backdoors!BE28,IF(VLOOKUP(tbMoveset!A11,tbMoveset!A2:I112,9,FALSE)="Dragon",Backdoors!BF28,Backdoors!BG28)))))/100,Backdoors!BG28/100),"")</f>
        <v>0</v>
      </c>
      <c r="FW11" s="49">
        <f>IFERROR(IF(VLOOKUP(A11,tbMoveset!A2:J112,10,FALSE)=TRUE,IF((Backdoors!AI12+IF(FU11&gt;=0.45,VLOOKUP(Calculator!E23,tbSkills!DH3:DI6,2,FALSE)+IF(AND(Calculator!B8=TRUE,Backdoors!BI28=TRUE),VLOOKUP(Calculator!E23,tbSkills!DH3:DJ6,3,FALSE),0),0))&gt;=0,1+(Backdoors!AL2*(IF((Backdoors!AI12+IF(FU11&gt;=0.45,VLOOKUP(Calculator!E23,tbSkills!DH3:DI6,2,FALSE)+IF(AND(Calculator!B8=TRUE,Backdoors!BI28=TRUE),VLOOKUP(Calculator!E23,tbSkills!DH3:DJ6,3,FALSE),0),0))&gt;=100,100,(Backdoors!AI12+IF(FU11&gt;=0.45,VLOOKUP(Calculator!E23,tbSkills!DH3:DI6,2,FALSE)+IF(AND(Calculator!B8=TRUE,Backdoors!BI28=TRUE),VLOOKUP(Calculator!E23,tbSkills!DH3:DJ6,3,FALSE),0),0)))/100)),(1-(0.25*((-Backdoors!AI12-IF(FU11&gt;=0.45,VLOOKUP(Calculator!E23,tbSkills!DH3:DI6,2,FALSE)+IF(AND(Calculator!B8=TRUE,Backdoors!BI28=TRUE),VLOOKUP(Calculator!E23,tbSkills!DH3:DJ6,3,FALSE),0),0))/100)))),1),"")</f>
        <v>1</v>
      </c>
      <c r="FX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FU11)*FW11)*(VLOOKUP(A11,tbMoveset!A2:C112,3,FALSE)/100)*IF(VLOOKUP(A11,tbMoveset!A2:B112,2,FALSE)="Projectile",Backdoors!N10,Backdoors!N9),0),"")</f>
        <v/>
      </c>
      <c r="FY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FU11&gt;=0.45,VLOOKUP(Calculator!E23,tbSkills!DH3:DI6,2,FALSE)+IF(AND(Calculator!B8=TRUE,Backdoors!BI28=TRUE),VLOOKUP(Calculator!E23,tbSkills!DH3:DJ6,3,FALSE),0),0))&gt;=100,100,(Backdoors!AI12+IF(FU11&gt;=0.45,VLOOKUP(Calculator!E23,tbSkills!DH3:DI6,2,FALSE)+IF(AND(Calculator!B8=TRUE,Backdoors!BI28=TRUE),VLOOKUP(Calculator!E23,tbSkills!DH3:DJ6,3,FALSE),0),0)))/100)),1))*IF(VLOOKUP(A11,tbMoveset!A2:K112,11,FALSE)=TRUE,Backdoors!AC5,1))*FV11,0),"")</f>
        <v>0</v>
      </c>
      <c r="FZ11" s="49">
        <f>VLOOKUP(A11,tbMoveset!A2:G112,7,FALSE)*IFERROR(IF(Backdoors!AI12&gt;=0,1+(IF(Calculator!E40&gt;0,VLOOKUP(Calculator!E40,tbSkills!AI3:AJ5,2,FALSE),Backdoors!AL4)*(IF((Backdoors!AI12+IF(FU11&gt;=0.45,VLOOKUP(Calculator!E23,tbSkills!DH3:DI6,2,FALSE)+IF(AND(Calculator!B8=TRUE,Backdoors!BI28=TRUE),VLOOKUP(Calculator!E23,tbSkills!DH3:DJ6,3,FALSE),0),0))&gt;=100,100,(Backdoors!AI12+IF(FU11&gt;=0.45,VLOOKUP(Calculator!E23,tbSkills!DH3:DI6,2,FALSE)+IF(AND(Calculator!B8=TRUE,Backdoors!BI28=TRUE),VLOOKUP(Calculator!E23,tbSkills!DH3:DJ6,3,FALSE),0),0)))/100)),1),1)</f>
        <v>0.4</v>
      </c>
      <c r="GA11" s="87">
        <f t="shared" si="18"/>
        <v>0</v>
      </c>
      <c r="GB11" s="86" t="str">
        <f>IFERROR(IF(VLOOKUP(A11,tbMoveset!A2:B112,2,FALSE)="Sever",Backdoors!AY29/100,IF(VLOOKUP(A11,tbMoveset!A2:B112,2,FALSE)="Blunt",Backdoors!AZ29/100,Backdoors!BA29/100)),"")</f>
        <v/>
      </c>
      <c r="GC11" s="49">
        <f>IFERROR(IF(VLOOKUP(tbMoveset!A11,tbMoveset!A2:H112,8,FALSE)="Other",IF(VLOOKUP(tbMoveset!A11,tbMoveset!A2:I112,9,FALSE)="Fire",Backdoors!BB29,IF(VLOOKUP(tbMoveset!A11,tbMoveset!A2:I112,9,FALSE)="Water",Backdoors!BC29,IF(VLOOKUP(tbMoveset!A11,tbMoveset!A2:I112,9,FALSE)="Thunder",Backdoors!BD29,IF(VLOOKUP(tbMoveset!A11,tbMoveset!A2:I112,9,FALSE)="Ice",Backdoors!BE29,IF(VLOOKUP(tbMoveset!A11,tbMoveset!A2:I112,9,FALSE)="Dragon",Backdoors!BF29,Backdoors!BG29)))))/100,Backdoors!BG29/100),"")</f>
        <v>0</v>
      </c>
      <c r="GD11" s="49">
        <f>IFERROR(IF(VLOOKUP(A11,tbMoveset!A2:J112,10,FALSE)=TRUE,IF((Backdoors!AI12+IF(GB11&gt;=0.45,VLOOKUP(Calculator!E23,tbSkills!DH3:DI6,2,FALSE)+IF(AND(Calculator!B8=TRUE,Backdoors!BI29=TRUE),VLOOKUP(Calculator!E23,tbSkills!DH3:DJ6,3,FALSE),0),0))&gt;=0,1+(Backdoors!AL2*(IF((Backdoors!AI12+IF(GB11&gt;=0.45,VLOOKUP(Calculator!E23,tbSkills!DH3:DI6,2,FALSE)+IF(AND(Calculator!B8=TRUE,Backdoors!BI29=TRUE),VLOOKUP(Calculator!E23,tbSkills!DH3:DJ6,3,FALSE),0),0))&gt;=100,100,(Backdoors!AI12+IF(GB11&gt;=0.45,VLOOKUP(Calculator!E23,tbSkills!DH3:DI6,2,FALSE)+IF(AND(Calculator!B8=TRUE,Backdoors!BI29=TRUE),VLOOKUP(Calculator!E23,tbSkills!DH3:DJ6,3,FALSE),0),0)))/100)),(1-(0.25*((-Backdoors!AI12-IF(GB11&gt;=0.45,VLOOKUP(Calculator!E23,tbSkills!DH3:DI6,2,FALSE)+IF(AND(Calculator!B8=TRUE,Backdoors!BI29=TRUE),VLOOKUP(Calculator!E23,tbSkills!DH3:DJ6,3,FALSE),0),0))/100)))),1),"")</f>
        <v>1</v>
      </c>
      <c r="GE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B11)*GD11)*(VLOOKUP(A11,tbMoveset!A2:C112,3,FALSE)/100)*IF(VLOOKUP(A11,tbMoveset!A2:B112,2,FALSE)="Projectile",Backdoors!N10,Backdoors!N9),0),"")</f>
        <v/>
      </c>
      <c r="GF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B11&gt;=0.45,VLOOKUP(Calculator!E23,tbSkills!DH3:DI6,2,FALSE)+IF(AND(Calculator!B8=TRUE,Backdoors!BI29=TRUE),VLOOKUP(Calculator!E23,tbSkills!DH3:DJ6,3,FALSE),0),0))&gt;=100,100,(Backdoors!AI12+IF(GB11&gt;=0.45,VLOOKUP(Calculator!E23,tbSkills!DH3:DI6,2,FALSE)+IF(AND(Calculator!B8=TRUE,Backdoors!BI29=TRUE),VLOOKUP(Calculator!E23,tbSkills!DH3:DJ6,3,FALSE),0),0)))/100)),1))*IF(VLOOKUP(A11,tbMoveset!A2:K112,11,FALSE)=TRUE,Backdoors!AC5,1))*GC11,0),"")</f>
        <v>0</v>
      </c>
      <c r="GG11" s="49">
        <f>VLOOKUP(A11,tbMoveset!A2:G112,7,FALSE)*IFERROR(IF(Backdoors!AI12&gt;=0,1+(IF(Calculator!E40&gt;0,VLOOKUP(Calculator!E40,tbSkills!AI3:AJ5,2,FALSE),Backdoors!AL4)*(IF((Backdoors!AI12+IF(GB11&gt;=0.45,VLOOKUP(Calculator!E23,tbSkills!DH3:DI6,2,FALSE)+IF(AND(Calculator!B8=TRUE,Backdoors!BI29=TRUE),VLOOKUP(Calculator!E23,tbSkills!DH3:DJ6,3,FALSE),0),0))&gt;=100,100,(Backdoors!AI12+IF(GB11&gt;=0.45,VLOOKUP(Calculator!E23,tbSkills!DH3:DI6,2,FALSE)+IF(AND(Calculator!B8=TRUE,Backdoors!BI29=TRUE),VLOOKUP(Calculator!E23,tbSkills!DH3:DJ6,3,FALSE),0),0)))/100)),1),1)</f>
        <v>0.4</v>
      </c>
      <c r="GH11" s="87">
        <f t="shared" si="19"/>
        <v>0</v>
      </c>
      <c r="GI11" s="86" t="str">
        <f>IFERROR(IF(VLOOKUP(A11,tbMoveset!A2:B112,2,FALSE)="Sever",Backdoors!AY30/100,IF(VLOOKUP(A11,tbMoveset!A2:B112,2,FALSE)="Blunt",Backdoors!AZ30/100,Backdoors!BA30/100)),"")</f>
        <v/>
      </c>
      <c r="GJ11" s="49">
        <f>IFERROR(IF(VLOOKUP(tbMoveset!A11,tbMoveset!A2:H112,8,FALSE)="Other",IF(VLOOKUP(tbMoveset!A11,tbMoveset!A2:I112,9,FALSE)="Fire",Backdoors!BB30,IF(VLOOKUP(tbMoveset!A11,tbMoveset!A2:I112,9,FALSE)="Water",Backdoors!BC30,IF(VLOOKUP(tbMoveset!A11,tbMoveset!A2:I112,9,FALSE)="Thunder",Backdoors!BD30,IF(VLOOKUP(tbMoveset!A11,tbMoveset!A2:I112,9,FALSE)="Ice",Backdoors!BE30,IF(VLOOKUP(tbMoveset!A11,tbMoveset!A2:I112,9,FALSE)="Dragon",Backdoors!BF30,Backdoors!BG30)))))/100,Backdoors!BG30/100),"")</f>
        <v>0</v>
      </c>
      <c r="GK11" s="49">
        <f>IFERROR(IF(VLOOKUP(A11,tbMoveset!A2:J112,10,FALSE)=TRUE,IF((Backdoors!AI12+IF(GI11&gt;=0.45,VLOOKUP(Calculator!E23,tbSkills!DH3:DI6,2,FALSE)+IF(AND(Calculator!B8=TRUE,Backdoors!BI30=TRUE),VLOOKUP(Calculator!E23,tbSkills!DH3:DJ6,3,FALSE),0),0))&gt;=0,1+(Backdoors!AL2*(IF((Backdoors!AI12+IF(GI11&gt;=0.45,VLOOKUP(Calculator!E23,tbSkills!DH3:DI6,2,FALSE)+IF(AND(Calculator!B8=TRUE,Backdoors!BI30=TRUE),VLOOKUP(Calculator!E23,tbSkills!DH3:DJ6,3,FALSE),0),0))&gt;=100,100,(Backdoors!AI12+IF(GI11&gt;=0.45,VLOOKUP(Calculator!E23,tbSkills!DH3:DI6,2,FALSE)+IF(AND(Calculator!B8=TRUE,Backdoors!BI30=TRUE),VLOOKUP(Calculator!E23,tbSkills!DH3:DJ6,3,FALSE),0),0)))/100)),(1-(0.25*((-Backdoors!AI12-IF(GI11&gt;=0.45,VLOOKUP(Calculator!E23,tbSkills!DH3:DI6,2,FALSE)+IF(AND(Calculator!B8=TRUE,Backdoors!BI30=TRUE),VLOOKUP(Calculator!E23,tbSkills!DH3:DJ6,3,FALSE),0),0))/100)))),1),"")</f>
        <v>1</v>
      </c>
      <c r="GL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I11)*GK11)*(VLOOKUP(A11,tbMoveset!A2:C112,3,FALSE)/100)*IF(VLOOKUP(A11,tbMoveset!A2:B112,2,FALSE)="Projectile",Backdoors!N10,Backdoors!N9),0),"")</f>
        <v/>
      </c>
      <c r="GM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I11&gt;=0.45,VLOOKUP(Calculator!E23,tbSkills!DH3:DI6,2,FALSE)+IF(AND(Calculator!B8=TRUE,Backdoors!BI30=TRUE),VLOOKUP(Calculator!E23,tbSkills!DH3:DJ6,3,FALSE),0),0))&gt;=100,100,(Backdoors!AI12+IF(GI11&gt;=0.45,VLOOKUP(Calculator!E23,tbSkills!DH3:DI6,2,FALSE)+IF(AND(Calculator!B8=TRUE,Backdoors!BI30=TRUE),VLOOKUP(Calculator!E23,tbSkills!DH3:DJ6,3,FALSE),0),0)))/100)),1))*IF(VLOOKUP(A11,tbMoveset!A2:K112,11,FALSE)=TRUE,Backdoors!AC5,1))*GJ11,0),"")</f>
        <v>0</v>
      </c>
      <c r="GN11" s="49">
        <f>VLOOKUP(A11,tbMoveset!A2:G112,7,FALSE)*IFERROR(IF(Backdoors!AI12&gt;=0,1+(IF(Calculator!E40&gt;0,VLOOKUP(Calculator!E40,tbSkills!AI3:AJ5,2,FALSE),Backdoors!AL4)*(IF((Backdoors!AI12+IF(GI11&gt;=0.45,VLOOKUP(Calculator!E23,tbSkills!DH3:DI6,2,FALSE)+IF(AND(Calculator!B8=TRUE,Backdoors!BI30=TRUE),VLOOKUP(Calculator!E23,tbSkills!DH3:DJ6,3,FALSE),0),0))&gt;=100,100,(Backdoors!AI12+IF(GI11&gt;=0.45,VLOOKUP(Calculator!E23,tbSkills!DH3:DI6,2,FALSE)+IF(AND(Calculator!B8=TRUE,Backdoors!BI30=TRUE),VLOOKUP(Calculator!E23,tbSkills!DH3:DJ6,3,FALSE),0),0)))/100)),1),1)</f>
        <v>0.4</v>
      </c>
      <c r="GO11" s="87">
        <f t="shared" si="20"/>
        <v>0</v>
      </c>
      <c r="GP11" s="86" t="str">
        <f>IFERROR(IF(VLOOKUP(A11,tbMoveset!A2:B112,2,FALSE)="Sever",Backdoors!AY31/100,IF(VLOOKUP(A11,tbMoveset!A2:B112,2,FALSE)="Blunt",Backdoors!AZ31/100,Backdoors!BA31/100)),"")</f>
        <v/>
      </c>
      <c r="GQ11" s="49">
        <f>IFERROR(IF(VLOOKUP(tbMoveset!A11,tbMoveset!A2:H112,8,FALSE)="Other",IF(VLOOKUP(tbMoveset!A11,tbMoveset!A2:I112,9,FALSE)="Fire",Backdoors!BB31,IF(VLOOKUP(tbMoveset!A11,tbMoveset!A2:I112,9,FALSE)="Water",Backdoors!BC31,IF(VLOOKUP(tbMoveset!A11,tbMoveset!A2:I112,9,FALSE)="Thunder",Backdoors!BD31,IF(VLOOKUP(tbMoveset!A11,tbMoveset!A2:I112,9,FALSE)="Ice",Backdoors!BE31,IF(VLOOKUP(tbMoveset!A11,tbMoveset!A2:I112,9,FALSE)="Dragon",Backdoors!BF31,Backdoors!BG31)))))/100,Backdoors!BG31/100),"")</f>
        <v>0</v>
      </c>
      <c r="GR11" s="49">
        <f>IFERROR(IF(VLOOKUP(A11,tbMoveset!A2:J112,10,FALSE)=TRUE,IF((Backdoors!AI12+IF(GP11&gt;=0.45,VLOOKUP(Calculator!E23,tbSkills!DH3:DI6,2,FALSE)+IF(AND(Calculator!B8=TRUE,Backdoors!BI31=TRUE),VLOOKUP(Calculator!E23,tbSkills!DH3:DJ6,3,FALSE),0),0))&gt;=0,1+(Backdoors!AL2*(IF((Backdoors!AI12+IF(GP11&gt;=0.45,VLOOKUP(Calculator!E23,tbSkills!DH3:DI6,2,FALSE)+IF(AND(Calculator!B8=TRUE,Backdoors!BI31=TRUE),VLOOKUP(Calculator!E23,tbSkills!DH3:DJ6,3,FALSE),0),0))&gt;=100,100,(Backdoors!AI12+IF(GP11&gt;=0.45,VLOOKUP(Calculator!E23,tbSkills!DH3:DI6,2,FALSE)+IF(AND(Calculator!B8=TRUE,Backdoors!BI31=TRUE),VLOOKUP(Calculator!E23,tbSkills!DH3:DJ6,3,FALSE),0),0)))/100)),(1-(0.25*((-Backdoors!AI12-IF(GP11&gt;=0.45,VLOOKUP(Calculator!E23,tbSkills!DH3:DI6,2,FALSE)+IF(AND(Calculator!B8=TRUE,Backdoors!BI31=TRUE),VLOOKUP(Calculator!E23,tbSkills!DH3:DJ6,3,FALSE),0),0))/100)))),1),"")</f>
        <v>1</v>
      </c>
      <c r="GS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P11)*GR11)*(VLOOKUP(A11,tbMoveset!A2:C112,3,FALSE)/100)*IF(VLOOKUP(A11,tbMoveset!A2:B112,2,FALSE)="Projectile",Backdoors!N10,Backdoors!N9),0),"")</f>
        <v/>
      </c>
      <c r="GT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P11&gt;=0.45,VLOOKUP(Calculator!E23,tbSkills!DH3:DI6,2,FALSE)+IF(AND(Calculator!B8=TRUE,Backdoors!BI31=TRUE),VLOOKUP(Calculator!E23,tbSkills!DH3:DJ6,3,FALSE),0),0))&gt;=100,100,(Backdoors!AI12+IF(GP11&gt;=0.45,VLOOKUP(Calculator!E23,tbSkills!DH3:DI6,2,FALSE)+IF(AND(Calculator!B8=TRUE,Backdoors!BI31=TRUE),VLOOKUP(Calculator!E23,tbSkills!DH3:DJ6,3,FALSE),0),0)))/100)),1))*IF(VLOOKUP(A11,tbMoveset!A2:K112,11,FALSE)=TRUE,Backdoors!AC5,1))*GQ11,0),"")</f>
        <v>0</v>
      </c>
      <c r="GU11" s="49">
        <f>VLOOKUP(A11,tbMoveset!A2:G112,7,FALSE)*IFERROR(IF(Backdoors!AI12&gt;=0,1+(IF(Calculator!E40&gt;0,VLOOKUP(Calculator!E40,tbSkills!AI3:AJ5,2,FALSE),Backdoors!AL4)*(IF((Backdoors!AI12+IF(GP11&gt;=0.45,VLOOKUP(Calculator!E23,tbSkills!DH3:DI6,2,FALSE)+IF(AND(Calculator!B8=TRUE,Backdoors!BI31=TRUE),VLOOKUP(Calculator!E23,tbSkills!DH3:DJ6,3,FALSE),0),0))&gt;=100,100,(Backdoors!AI12+IF(GP11&gt;=0.45,VLOOKUP(Calculator!E23,tbSkills!DH3:DI6,2,FALSE)+IF(AND(Calculator!B8=TRUE,Backdoors!BI31=TRUE),VLOOKUP(Calculator!E23,tbSkills!DH3:DJ6,3,FALSE),0),0)))/100)),1),1)</f>
        <v>0.4</v>
      </c>
      <c r="GV11" s="87">
        <f t="shared" si="21"/>
        <v>0</v>
      </c>
      <c r="GW11" s="86" t="str">
        <f>IFERROR(IF(VLOOKUP(A11,tbMoveset!A2:B112,2,FALSE)="Sever",Backdoors!AY32/100,IF(VLOOKUP(A11,tbMoveset!A2:B112,2,FALSE)="Blunt",Backdoors!AZ32/100,Backdoors!BA32/100)),"")</f>
        <v/>
      </c>
      <c r="GX11" s="49">
        <f>IFERROR(IF(VLOOKUP(tbMoveset!A11,tbMoveset!A2:H112,8,FALSE)="Other",IF(VLOOKUP(tbMoveset!A11,tbMoveset!A2:I112,9,FALSE)="Fire",Backdoors!BB32,IF(VLOOKUP(tbMoveset!A11,tbMoveset!A2:I112,9,FALSE)="Water",Backdoors!BC32,IF(VLOOKUP(tbMoveset!A11,tbMoveset!A2:I112,9,FALSE)="Thunder",Backdoors!BD32,IF(VLOOKUP(tbMoveset!A11,tbMoveset!A2:I112,9,FALSE)="Ice",Backdoors!BE32,IF(VLOOKUP(tbMoveset!A11,tbMoveset!A2:I112,9,FALSE)="Dragon",Backdoors!BF32,Backdoors!BG32)))))/100,Backdoors!BG32/100),"")</f>
        <v>0</v>
      </c>
      <c r="GY11" s="49">
        <f>IFERROR(IF(VLOOKUP(A11,tbMoveset!A2:J112,10,FALSE)=TRUE,IF((Backdoors!AI12+IF(GW11&gt;=0.45,VLOOKUP(Calculator!E23,tbSkills!DH3:DI6,2,FALSE)+IF(AND(Calculator!B8=TRUE,Backdoors!BI32=TRUE),VLOOKUP(Calculator!E23,tbSkills!DH3:DJ6,3,FALSE),0),0))&gt;=0,1+(Backdoors!AL2*(IF((Backdoors!AI12+IF(GW11&gt;=0.45,VLOOKUP(Calculator!E23,tbSkills!DH3:DI6,2,FALSE)+IF(AND(Calculator!B8=TRUE,Backdoors!BI32=TRUE),VLOOKUP(Calculator!E23,tbSkills!DH3:DJ6,3,FALSE),0),0))&gt;=100,100,(Backdoors!AI12+IF(GW11&gt;=0.45,VLOOKUP(Calculator!E23,tbSkills!DH3:DI6,2,FALSE)+IF(AND(Calculator!B8=TRUE,Backdoors!BI32=TRUE),VLOOKUP(Calculator!E23,tbSkills!DH3:DJ6,3,FALSE),0),0)))/100)),(1-(0.25*((-Backdoors!AI12-IF(GW11&gt;=0.45,VLOOKUP(Calculator!E23,tbSkills!DH3:DI6,2,FALSE)+IF(AND(Calculator!B8=TRUE,Backdoors!BI32=TRUE),VLOOKUP(Calculator!E23,tbSkills!DH3:DJ6,3,FALSE),0),0))/100)))),1),"")</f>
        <v>1</v>
      </c>
      <c r="GZ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W11)*GY11)*(VLOOKUP(A11,tbMoveset!A2:C112,3,FALSE)/100)*IF(VLOOKUP(A11,tbMoveset!A2:B112,2,FALSE)="Projectile",Backdoors!N10,Backdoors!N9),0),"")</f>
        <v/>
      </c>
      <c r="HA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W11&gt;=0.45,VLOOKUP(Calculator!E23,tbSkills!DH3:DI6,2,FALSE)+IF(AND(Calculator!B8=TRUE,Backdoors!BI32=TRUE),VLOOKUP(Calculator!E23,tbSkills!DH3:DJ6,3,FALSE),0),0))&gt;=100,100,(Backdoors!AI12+IF(GW11&gt;=0.45,VLOOKUP(Calculator!E23,tbSkills!DH3:DI6,2,FALSE)+IF(AND(Calculator!B8=TRUE,Backdoors!BI32=TRUE),VLOOKUP(Calculator!E23,tbSkills!DH3:DJ6,3,FALSE),0),0)))/100)),1))*IF(VLOOKUP(A11,tbMoveset!A2:K112,11,FALSE)=TRUE,Backdoors!AC5,1))*GX11,0),"")</f>
        <v>0</v>
      </c>
      <c r="HB11" s="49">
        <f>VLOOKUP(A11,tbMoveset!A2:G112,7,FALSE)*IFERROR(IF(Backdoors!AI12&gt;=0,1+(IF(Calculator!E40&gt;0,VLOOKUP(Calculator!E40,tbSkills!AI3:AJ5,2,FALSE),Backdoors!AL4)*(IF((Backdoors!AI12+IF(GW11&gt;=0.45,VLOOKUP(Calculator!E23,tbSkills!DH3:DI6,2,FALSE)+IF(AND(Calculator!B8=TRUE,Backdoors!BI32=TRUE),VLOOKUP(Calculator!E23,tbSkills!DH3:DJ6,3,FALSE),0),0))&gt;=100,100,(Backdoors!AI12+IF(GW11&gt;=0.45,VLOOKUP(Calculator!E23,tbSkills!DH3:DI6,2,FALSE)+IF(AND(Calculator!B8=TRUE,Backdoors!BI32=TRUE),VLOOKUP(Calculator!E23,tbSkills!DH3:DJ6,3,FALSE),0),0)))/100)),1),1)</f>
        <v>0.4</v>
      </c>
      <c r="HC11" s="87">
        <f t="shared" si="22"/>
        <v>0</v>
      </c>
      <c r="HD11" s="86" t="str">
        <f>IFERROR(IF(VLOOKUP(A11,tbMoveset!A2:B112,2,FALSE)="Sever",Backdoors!AY33/100,IF(VLOOKUP(A11,tbMoveset!A2:B112,2,FALSE)="Blunt",Backdoors!AZ33/100,Backdoors!BA33/100)),"")</f>
        <v/>
      </c>
      <c r="HE11" s="49">
        <f>IFERROR(IF(VLOOKUP(tbMoveset!A11,tbMoveset!A2:H112,8,FALSE)="Other",IF(VLOOKUP(tbMoveset!A11,tbMoveset!A2:I112,9,FALSE)="Fire",Backdoors!BB33,IF(VLOOKUP(tbMoveset!A11,tbMoveset!A2:I112,9,FALSE)="Water",Backdoors!BC33,IF(VLOOKUP(tbMoveset!A11,tbMoveset!A2:I112,9,FALSE)="Thunder",Backdoors!BD33,IF(VLOOKUP(tbMoveset!A11,tbMoveset!A2:I112,9,FALSE)="Ice",Backdoors!BE33,IF(VLOOKUP(tbMoveset!A11,tbMoveset!A2:I112,9,FALSE)="Dragon",Backdoors!BF33,Backdoors!BG33)))))/100,Backdoors!BG33/100),"")</f>
        <v>0</v>
      </c>
      <c r="HF11" s="49">
        <f>IFERROR(IF(VLOOKUP(A11,tbMoveset!A2:J112,10,FALSE)=TRUE,IF((Backdoors!AI12+IF(HD11&gt;=0.45,VLOOKUP(Calculator!E23,tbSkills!DH3:DI6,2,FALSE)+IF(AND(Calculator!B8=TRUE,Backdoors!BI33=TRUE),VLOOKUP(Calculator!E23,tbSkills!DH3:DJ6,3,FALSE),0),0))&gt;=0,1+(Backdoors!AL2*(IF((Backdoors!AI12+IF(HD11&gt;=0.45,VLOOKUP(Calculator!E23,tbSkills!DH3:DI6,2,FALSE)+IF(AND(Calculator!B8=TRUE,Backdoors!BI33=TRUE),VLOOKUP(Calculator!E23,tbSkills!DH3:DJ6,3,FALSE),0),0))&gt;=100,100,(Backdoors!AI12+IF(HD11&gt;=0.45,VLOOKUP(Calculator!E23,tbSkills!DH3:DI6,2,FALSE)+IF(AND(Calculator!B8=TRUE,Backdoors!BI33=TRUE),VLOOKUP(Calculator!E23,tbSkills!DH3:DJ6,3,FALSE),0),0)))/100)),(1-(0.25*((-Backdoors!AI12-IF(HD11&gt;=0.45,VLOOKUP(Calculator!E23,tbSkills!DH3:DI6,2,FALSE)+IF(AND(Calculator!B8=TRUE,Backdoors!BI33=TRUE),VLOOKUP(Calculator!E23,tbSkills!DH3:DJ6,3,FALSE),0),0))/100)))),1),"")</f>
        <v>1</v>
      </c>
      <c r="HG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D11)*HF11)*(VLOOKUP(A11,tbMoveset!A2:C112,3,FALSE)/100)*IF(VLOOKUP(A11,tbMoveset!A2:B112,2,FALSE)="Projectile",Backdoors!N10,Backdoors!N9),0),"")</f>
        <v/>
      </c>
      <c r="HH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D11&gt;=0.45,VLOOKUP(Calculator!E23,tbSkills!DH3:DI6,2,FALSE)+IF(AND(Calculator!B8=TRUE,Backdoors!BI33=TRUE),VLOOKUP(Calculator!E23,tbSkills!DH3:DJ6,3,FALSE),0),0))&gt;=100,100,(Backdoors!AI12+IF(HD11&gt;=0.45,VLOOKUP(Calculator!E23,tbSkills!DH3:DI6,2,FALSE)+IF(AND(Calculator!B8=TRUE,Backdoors!BI33=TRUE),VLOOKUP(Calculator!E23,tbSkills!DH3:DJ6,3,FALSE),0),0)))/100)),1))*IF(VLOOKUP(A11,tbMoveset!A2:K112,11,FALSE)=TRUE,Backdoors!AC5,1))*HE11,0),"")</f>
        <v>0</v>
      </c>
      <c r="HI11" s="49">
        <f>VLOOKUP(A11,tbMoveset!A2:G112,7,FALSE)*IFERROR(IF(Backdoors!AI12&gt;=0,1+(IF(Calculator!E40&gt;0,VLOOKUP(Calculator!E40,tbSkills!AI3:AJ5,2,FALSE),Backdoors!AL4)*(IF((Backdoors!AI12+IF(HD11&gt;=0.45,VLOOKUP(Calculator!E23,tbSkills!DH3:DI6,2,FALSE)+IF(AND(Calculator!B8=TRUE,Backdoors!BI33=TRUE),VLOOKUP(Calculator!E23,tbSkills!DH3:DJ6,3,FALSE),0),0))&gt;=100,100,(Backdoors!AI12+IF(HD11&gt;=0.45,VLOOKUP(Calculator!E23,tbSkills!DH3:DI6,2,FALSE)+IF(AND(Calculator!B8=TRUE,Backdoors!BI33=TRUE),VLOOKUP(Calculator!E23,tbSkills!DH3:DJ6,3,FALSE),0),0)))/100)),1),1)</f>
        <v>0.4</v>
      </c>
      <c r="HJ11" s="87">
        <f t="shared" si="23"/>
        <v>0</v>
      </c>
      <c r="HK11" s="86" t="str">
        <f>IFERROR(IF(VLOOKUP(A11,tbMoveset!A2:B112,2,FALSE)="Sever",Backdoors!AY34/100,IF(VLOOKUP(A11,tbMoveset!A2:B112,2,FALSE)="Blunt",Backdoors!AZ34/100,Backdoors!BA34/100)),"")</f>
        <v/>
      </c>
      <c r="HL11" s="49">
        <f>IFERROR(IF(VLOOKUP(tbMoveset!A11,tbMoveset!A2:H112,8,FALSE)="Other",IF(VLOOKUP(tbMoveset!A11,tbMoveset!A2:I112,9,FALSE)="Fire",Backdoors!BB34,IF(VLOOKUP(tbMoveset!A11,tbMoveset!A2:I112,9,FALSE)="Water",Backdoors!BC34,IF(VLOOKUP(tbMoveset!A11,tbMoveset!A2:I112,9,FALSE)="Thunder",Backdoors!BD34,IF(VLOOKUP(tbMoveset!A11,tbMoveset!A2:I112,9,FALSE)="Ice",Backdoors!BE34,IF(VLOOKUP(tbMoveset!A11,tbMoveset!A2:I112,9,FALSE)="Dragon",Backdoors!BF34,Backdoors!BG34)))))/100,Backdoors!BG34/100),"")</f>
        <v>0</v>
      </c>
      <c r="HM11" s="49">
        <f>IFERROR(IF(VLOOKUP(A11,tbMoveset!A2:J112,10,FALSE)=TRUE,IF((Backdoors!AI12+IF(HK11&gt;=0.45,VLOOKUP(Calculator!E23,tbSkills!DH3:DI6,2,FALSE)+IF(AND(Calculator!B8=TRUE,Backdoors!BI34=TRUE),VLOOKUP(Calculator!E23,tbSkills!DH3:DJ6,3,FALSE),0),0))&gt;=0,1+(Backdoors!AL2*(IF((Backdoors!AI12+IF(HK11&gt;=0.45,VLOOKUP(Calculator!E23,tbSkills!DH3:DI6,2,FALSE)+IF(AND(Calculator!B8=TRUE,Backdoors!BI34=TRUE),VLOOKUP(Calculator!E23,tbSkills!DH3:DJ6,3,FALSE),0),0))&gt;=100,100,(Backdoors!AI12+IF(HK11&gt;=0.45,VLOOKUP(Calculator!E23,tbSkills!DH3:DI6,2,FALSE)+IF(AND(Calculator!B8=TRUE,Backdoors!BI34=TRUE),VLOOKUP(Calculator!E23,tbSkills!DH3:DJ6,3,FALSE),0),0)))/100)),(1-(0.25*((-Backdoors!AI12-IF(HK11&gt;=0.45,VLOOKUP(Calculator!E23,tbSkills!DH3:DI6,2,FALSE)+IF(AND(Calculator!B8=TRUE,Backdoors!BI34=TRUE),VLOOKUP(Calculator!E23,tbSkills!DH3:DJ6,3,FALSE),0),0))/100)))),1),"")</f>
        <v>1</v>
      </c>
      <c r="HN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K11)*HM11)*(VLOOKUP(A11,tbMoveset!A2:C112,3,FALSE)/100)*IF(VLOOKUP(A11,tbMoveset!A2:B112,2,FALSE)="Projectile",Backdoors!N10,Backdoors!N9),0),"")</f>
        <v/>
      </c>
      <c r="HO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K11&gt;=0.45,VLOOKUP(Calculator!E23,tbSkills!DH3:DI6,2,FALSE)+IF(AND(Calculator!B8=TRUE,Backdoors!BI34=TRUE),VLOOKUP(Calculator!E23,tbSkills!DH3:DJ6,3,FALSE),0),0))&gt;=100,100,(Backdoors!AI12+IF(HK11&gt;=0.45,VLOOKUP(Calculator!E23,tbSkills!DH3:DI6,2,FALSE)+IF(AND(Calculator!B8=TRUE,Backdoors!BI34=TRUE),VLOOKUP(Calculator!E23,tbSkills!DH3:DJ6,3,FALSE),0),0)))/100)),1))*IF(VLOOKUP(A11,tbMoveset!A2:K112,11,FALSE)=TRUE,Backdoors!AC5,1))*HL11,0),"")</f>
        <v>0</v>
      </c>
      <c r="HP11" s="49">
        <f>VLOOKUP(A11,tbMoveset!A2:G112,7,FALSE)*IFERROR(IF(Backdoors!AI12&gt;=0,1+(IF(Calculator!E40&gt;0,VLOOKUP(Calculator!E40,tbSkills!AI3:AJ5,2,FALSE),Backdoors!AL4)*(IF((Backdoors!AI12+IF(HK11&gt;=0.45,VLOOKUP(Calculator!E23,tbSkills!DH3:DI6,2,FALSE)+IF(AND(Calculator!B8=TRUE,Backdoors!BI34=TRUE),VLOOKUP(Calculator!E23,tbSkills!DH3:DJ6,3,FALSE),0),0))&gt;=100,100,(Backdoors!AI12+IF(HK11&gt;=0.45,VLOOKUP(Calculator!E23,tbSkills!DH3:DI6,2,FALSE)+IF(AND(Calculator!B8=TRUE,Backdoors!BI34=TRUE),VLOOKUP(Calculator!E23,tbSkills!DH3:DJ6,3,FALSE),0),0)))/100)),1),1)</f>
        <v>0.4</v>
      </c>
      <c r="HQ11" s="87">
        <f t="shared" si="24"/>
        <v>0</v>
      </c>
      <c r="HR11" s="86" t="str">
        <f>IFERROR(IF(VLOOKUP(A11,tbMoveset!A2:B112,2,FALSE)="Sever",Backdoors!AY35/100,IF(VLOOKUP(A11,tbMoveset!A2:B112,2,FALSE)="Blunt",Backdoors!AZ35/100,Backdoors!BA35/100)),"")</f>
        <v/>
      </c>
      <c r="HS11" s="49">
        <f>IFERROR(IF(VLOOKUP(tbMoveset!A11,tbMoveset!A2:H112,8,FALSE)="Other",IF(VLOOKUP(tbMoveset!A11,tbMoveset!A2:I112,9,FALSE)="Fire",Backdoors!BB35,IF(VLOOKUP(tbMoveset!A11,tbMoveset!A2:I112,9,FALSE)="Water",Backdoors!BC35,IF(VLOOKUP(tbMoveset!A11,tbMoveset!A2:I112,9,FALSE)="Thunder",Backdoors!BD35,IF(VLOOKUP(tbMoveset!A11,tbMoveset!A2:I112,9,FALSE)="Ice",Backdoors!BE35,IF(VLOOKUP(tbMoveset!A11,tbMoveset!A2:I112,9,FALSE)="Dragon",Backdoors!BF35,Backdoors!BG35)))))/100,Backdoors!BG35/100),"")</f>
        <v>0</v>
      </c>
      <c r="HT11" s="49">
        <f>IFERROR(IF(VLOOKUP(A11,tbMoveset!A2:J112,10,FALSE)=TRUE,IF((Backdoors!AI12+IF(HR11&gt;=0.45,VLOOKUP(Calculator!E23,tbSkills!DH3:DI6,2,FALSE)+IF(AND(Calculator!B8=TRUE,Backdoors!BI35=TRUE),VLOOKUP(Calculator!E23,tbSkills!DH3:DJ6,3,FALSE),0),0))&gt;=0,1+(Backdoors!AL2*(IF((Backdoors!AI12+IF(HR11&gt;=0.45,VLOOKUP(Calculator!E23,tbSkills!DH3:DI6,2,FALSE)+IF(AND(Calculator!B8=TRUE,Backdoors!BI35=TRUE),VLOOKUP(Calculator!E23,tbSkills!DH3:DJ6,3,FALSE),0),0))&gt;=100,100,(Backdoors!AI12+IF(HR11&gt;=0.45,VLOOKUP(Calculator!E23,tbSkills!DH3:DI6,2,FALSE)+IF(AND(Calculator!B8=TRUE,Backdoors!BI35=TRUE),VLOOKUP(Calculator!E23,tbSkills!DH3:DJ6,3,FALSE),0),0)))/100)),(1-(0.25*((-Backdoors!AI12-IF(HR11&gt;=0.45,VLOOKUP(Calculator!E23,tbSkills!DH3:DI6,2,FALSE)+IF(AND(Calculator!B8=TRUE,Backdoors!BI35=TRUE),VLOOKUP(Calculator!E23,tbSkills!DH3:DJ6,3,FALSE),0),0))/100)))),1),"")</f>
        <v>1</v>
      </c>
      <c r="HU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R11)*HT11)*(VLOOKUP(A11,tbMoveset!A2:C112,3,FALSE)/100)*IF(VLOOKUP(A11,tbMoveset!A2:B112,2,FALSE)="Projectile",Backdoors!N10,Backdoors!N9),0),"")</f>
        <v/>
      </c>
      <c r="HV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R11&gt;=0.45,VLOOKUP(Calculator!E23,tbSkills!DH3:DI6,2,FALSE)+IF(AND(Calculator!B8=TRUE,Backdoors!BI35=TRUE),VLOOKUP(Calculator!E23,tbSkills!DH3:DJ6,3,FALSE),0),0))&gt;=100,100,(Backdoors!AI12+IF(HR11&gt;=0.45,VLOOKUP(Calculator!E23,tbSkills!DH3:DI6,2,FALSE)+IF(AND(Calculator!B8=TRUE,Backdoors!BI35=TRUE),VLOOKUP(Calculator!E23,tbSkills!DH3:DJ6,3,FALSE),0),0)))/100)),1))*IF(VLOOKUP(A11,tbMoveset!A2:K112,11,FALSE)=TRUE,Backdoors!AC5,1))*HS11,0),"")</f>
        <v>0</v>
      </c>
      <c r="HW11" s="49">
        <f>VLOOKUP(A11,tbMoveset!A2:G112,7,FALSE)*IFERROR(IF(Backdoors!AI12&gt;=0,1+(IF(Calculator!E40&gt;0,VLOOKUP(Calculator!E40,tbSkills!AI3:AJ5,2,FALSE),Backdoors!AL4)*(IF((Backdoors!AI12+IF(HR11&gt;=0.45,VLOOKUP(Calculator!E23,tbSkills!DH3:DI6,2,FALSE)+IF(AND(Calculator!B8=TRUE,Backdoors!BI35=TRUE),VLOOKUP(Calculator!E23,tbSkills!DH3:DJ6,3,FALSE),0),0))&gt;=100,100,(Backdoors!AI12+IF(HR11&gt;=0.45,VLOOKUP(Calculator!E23,tbSkills!DH3:DI6,2,FALSE)+IF(AND(Calculator!B8=TRUE,Backdoors!BI35=TRUE),VLOOKUP(Calculator!E23,tbSkills!DH3:DJ6,3,FALSE),0),0)))/100)),1),1)</f>
        <v>0.4</v>
      </c>
      <c r="HX11" s="87">
        <f t="shared" si="25"/>
        <v>0</v>
      </c>
      <c r="HY11" s="86" t="str">
        <f>IFERROR(IF(VLOOKUP(A11,tbMoveset!A2:B112,2,FALSE)="Sever",Backdoors!AY36/100,IF(VLOOKUP(A11,tbMoveset!A2:B112,2,FALSE)="Blunt",Backdoors!AZ36/100,Backdoors!BA36/100)),"")</f>
        <v/>
      </c>
      <c r="HZ11" s="49">
        <f>IFERROR(IF(VLOOKUP(tbMoveset!A11,tbMoveset!A2:H112,8,FALSE)="Other",IF(VLOOKUP(tbMoveset!A11,tbMoveset!A2:I112,9,FALSE)="Fire",Backdoors!BB36,IF(VLOOKUP(tbMoveset!A11,tbMoveset!A2:I112,9,FALSE)="Water",Backdoors!BC36,IF(VLOOKUP(tbMoveset!A11,tbMoveset!A2:I112,9,FALSE)="Thunder",Backdoors!BD36,IF(VLOOKUP(tbMoveset!A11,tbMoveset!A2:I112,9,FALSE)="Ice",Backdoors!BE36,IF(VLOOKUP(tbMoveset!A11,tbMoveset!A2:I112,9,FALSE)="Dragon",Backdoors!BF36,Backdoors!BG36)))))/100,Backdoors!BG36/100),"")</f>
        <v>0</v>
      </c>
      <c r="IA11" s="49">
        <f>IFERROR(IF(VLOOKUP(A11,tbMoveset!A2:J112,10,FALSE)=TRUE,IF((Backdoors!AI12+IF(HY11&gt;=0.45,VLOOKUP(Calculator!E23,tbSkills!DH3:DI6,2,FALSE)+IF(AND(Calculator!B8=TRUE,Backdoors!BI36=TRUE),VLOOKUP(Calculator!E23,tbSkills!DH3:DJ6,3,FALSE),0),0))&gt;=0,1+(Backdoors!AL2*(IF((Backdoors!AI12+IF(HY11&gt;=0.45,VLOOKUP(Calculator!E23,tbSkills!DH3:DI6,2,FALSE)+IF(AND(Calculator!B8=TRUE,Backdoors!BI36=TRUE),VLOOKUP(Calculator!E23,tbSkills!DH3:DJ6,3,FALSE),0),0))&gt;=100,100,(Backdoors!AI12+IF(HY11&gt;=0.45,VLOOKUP(Calculator!E23,tbSkills!DH3:DI6,2,FALSE)+IF(AND(Calculator!B8=TRUE,Backdoors!BI36=TRUE),VLOOKUP(Calculator!E23,tbSkills!DH3:DJ6,3,FALSE),0),0)))/100)),(1-(0.25*((-Backdoors!AI12-IF(HY11&gt;=0.45,VLOOKUP(Calculator!E23,tbSkills!DH3:DI6,2,FALSE)+IF(AND(Calculator!B8=TRUE,Backdoors!BI36=TRUE),VLOOKUP(Calculator!E23,tbSkills!DH3:DJ6,3,FALSE),0),0))/100)))),1),"")</f>
        <v>1</v>
      </c>
      <c r="IB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Y11)*IA11)*(VLOOKUP(A11,tbMoveset!A2:C112,3,FALSE)/100)*IF(VLOOKUP(A11,tbMoveset!A2:B112,2,FALSE)="Projectile",Backdoors!N10,Backdoors!N9),0),"")</f>
        <v/>
      </c>
      <c r="IC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Y11&gt;=0.45,VLOOKUP(Calculator!E23,tbSkills!DH3:DI6,2,FALSE)+IF(AND(Calculator!B8=TRUE,Backdoors!BI36=TRUE),VLOOKUP(Calculator!E23,tbSkills!DH3:DJ6,3,FALSE),0),0))&gt;=100,100,(Backdoors!AI12+IF(HY11&gt;=0.45,VLOOKUP(Calculator!E23,tbSkills!DH3:DI6,2,FALSE)+IF(AND(Calculator!B8=TRUE,Backdoors!BI36=TRUE),VLOOKUP(Calculator!E23,tbSkills!DH3:DJ6,3,FALSE),0),0)))/100)),1))*IF(VLOOKUP(A11,tbMoveset!A2:K112,11,FALSE)=TRUE,Backdoors!AC5,1))*HZ11,0),"")</f>
        <v>0</v>
      </c>
      <c r="ID11" s="49">
        <f>VLOOKUP(A11,tbMoveset!A2:G112,7,FALSE)*IFERROR(IF(Backdoors!AI12&gt;=0,1+(IF(Calculator!E40&gt;0,VLOOKUP(Calculator!E40,tbSkills!AI3:AJ5,2,FALSE),Backdoors!AL4)*(IF((Backdoors!AI12+IF(HY11&gt;=0.45,VLOOKUP(Calculator!E23,tbSkills!DH3:DI6,2,FALSE)+IF(AND(Calculator!B8=TRUE,Backdoors!BI36=TRUE),VLOOKUP(Calculator!E23,tbSkills!DH3:DJ6,3,FALSE),0),0))&gt;=100,100,(Backdoors!AI12+IF(HY11&gt;=0.45,VLOOKUP(Calculator!E23,tbSkills!DH3:DI6,2,FALSE)+IF(AND(Calculator!B8=TRUE,Backdoors!BI36=TRUE),VLOOKUP(Calculator!E23,tbSkills!DH3:DJ6,3,FALSE),0),0)))/100)),1),1)</f>
        <v>0.4</v>
      </c>
      <c r="IE11" s="87">
        <f t="shared" si="26"/>
        <v>0</v>
      </c>
      <c r="IF11" s="86" t="str">
        <f>IFERROR(IF(VLOOKUP(A11,tbMoveset!A2:B112,2,FALSE)="Sever",Backdoors!AY37/100,IF(VLOOKUP(A11,tbMoveset!A2:B112,2,FALSE)="Blunt",Backdoors!AZ37/100,Backdoors!BA37/100)),"")</f>
        <v/>
      </c>
      <c r="IG11" s="49">
        <f>IFERROR(IF(VLOOKUP(tbMoveset!A11,tbMoveset!A2:H112,8,FALSE)="Other",IF(VLOOKUP(tbMoveset!A11,tbMoveset!A2:I112,9,FALSE)="Fire",Backdoors!BB37,IF(VLOOKUP(tbMoveset!A11,tbMoveset!A2:I112,9,FALSE)="Water",Backdoors!BC37,IF(VLOOKUP(tbMoveset!A11,tbMoveset!A2:I112,9,FALSE)="Thunder",Backdoors!BD37,IF(VLOOKUP(tbMoveset!A11,tbMoveset!A2:I112,9,FALSE)="Ice",Backdoors!BE37,IF(VLOOKUP(tbMoveset!A11,tbMoveset!A2:I112,9,FALSE)="Dragon",Backdoors!BF37,Backdoors!BG37)))))/100,Backdoors!BG37/100),"")</f>
        <v>0</v>
      </c>
      <c r="IH11" s="49">
        <f>IFERROR(IF(VLOOKUP(A11,tbMoveset!A2:J112,10,FALSE)=TRUE,IF((Backdoors!AI12+IF(IF11&gt;=0.45,VLOOKUP(Calculator!E23,tbSkills!DH3:DI6,2,FALSE)+IF(AND(Calculator!B8=TRUE,Backdoors!BI37=TRUE),VLOOKUP(Calculator!E23,tbSkills!DH3:DJ6,3,FALSE),0),0))&gt;=0,1+(Backdoors!AL2*(IF((Backdoors!AI12+IF(IF11&gt;=0.45,VLOOKUP(Calculator!E23,tbSkills!DH3:DI6,2,FALSE)+IF(AND(Calculator!B8=TRUE,Backdoors!BI37=TRUE),VLOOKUP(Calculator!E23,tbSkills!DH3:DJ6,3,FALSE),0),0))&gt;=100,100,(Backdoors!AI12+IF(IF11&gt;=0.45,VLOOKUP(Calculator!E23,tbSkills!DH3:DI6,2,FALSE)+IF(AND(Calculator!B8=TRUE,Backdoors!BI37=TRUE),VLOOKUP(Calculator!E23,tbSkills!DH3:DJ6,3,FALSE),0),0)))/100)),(1-(0.25*((-Backdoors!AI12-IF(IF11&gt;=0.45,VLOOKUP(Calculator!E23,tbSkills!DH3:DI6,2,FALSE)+IF(AND(Calculator!B8=TRUE,Backdoors!BI37=TRUE),VLOOKUP(Calculator!E23,tbSkills!DH3:DJ6,3,FALSE),0),0))/100)))),1),"")</f>
        <v>1</v>
      </c>
      <c r="II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F11)*IH11)*(VLOOKUP(A11,tbMoveset!A2:C112,3,FALSE)/100)*IF(VLOOKUP(A11,tbMoveset!A2:B112,2,FALSE)="Projectile",Backdoors!N10,Backdoors!N9),0),"")</f>
        <v/>
      </c>
      <c r="IJ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IF11&gt;=0.45,VLOOKUP(Calculator!E23,tbSkills!DH3:DI6,2,FALSE)+IF(AND(Calculator!B8=TRUE,Backdoors!BI37=TRUE),VLOOKUP(Calculator!E23,tbSkills!DH3:DJ6,3,FALSE),0),0))&gt;=100,100,(Backdoors!AI12+IF(IF11&gt;=0.45,VLOOKUP(Calculator!E23,tbSkills!DH3:DI6,2,FALSE)+IF(AND(Calculator!B8=TRUE,Backdoors!BI37=TRUE),VLOOKUP(Calculator!E23,tbSkills!DH3:DJ6,3,FALSE),0),0)))/100)),1))*IF(VLOOKUP(A11,tbMoveset!A2:K112,11,FALSE)=TRUE,Backdoors!AC5,1))*IG11,0),"")</f>
        <v>0</v>
      </c>
      <c r="IK11" s="49">
        <f>VLOOKUP(A11,tbMoveset!A2:G112,7,FALSE)*IFERROR(IF(Backdoors!AI12&gt;=0,1+(IF(Calculator!E40&gt;0,VLOOKUP(Calculator!E40,tbSkills!AI3:AJ5,2,FALSE),Backdoors!AL4)*(IF((Backdoors!AI12+IF(IF11&gt;=0.45,VLOOKUP(Calculator!E23,tbSkills!DH3:DI6,2,FALSE)+IF(AND(Calculator!B8=TRUE,Backdoors!BI37=TRUE),VLOOKUP(Calculator!E23,tbSkills!DH3:DJ6,3,FALSE),0),0))&gt;=100,100,(Backdoors!AI12+IF(IF11&gt;=0.45,VLOOKUP(Calculator!E23,tbSkills!DH3:DI6,2,FALSE)+IF(AND(Calculator!B8=TRUE,Backdoors!BI37=TRUE),VLOOKUP(Calculator!E23,tbSkills!DH3:DJ6,3,FALSE),0),0)))/100)),1),1)</f>
        <v>0.4</v>
      </c>
      <c r="IL11" s="87">
        <f t="shared" si="27"/>
        <v>0</v>
      </c>
      <c r="IM11" s="86" t="str">
        <f>IFERROR(IF(VLOOKUP(A11,tbMoveset!A2:B112,2,FALSE)="Sever",Backdoors!AY38/100,IF(VLOOKUP(A11,tbMoveset!A2:B112,2,FALSE)="Blunt",Backdoors!AZ38/100,Backdoors!BA38/100)),"")</f>
        <v/>
      </c>
      <c r="IN11" s="49">
        <f>IFERROR(IF(VLOOKUP(tbMoveset!A11,tbMoveset!A2:H112,8,FALSE)="Other",IF(VLOOKUP(tbMoveset!A11,tbMoveset!A2:I112,9,FALSE)="Fire",Backdoors!BB38,IF(VLOOKUP(tbMoveset!A11,tbMoveset!A2:I112,9,FALSE)="Water",Backdoors!BC38,IF(VLOOKUP(tbMoveset!A11,tbMoveset!A2:I112,9,FALSE)="Thunder",Backdoors!BD38,IF(VLOOKUP(tbMoveset!A11,tbMoveset!A2:I112,9,FALSE)="Ice",Backdoors!BE38,IF(VLOOKUP(tbMoveset!A11,tbMoveset!A2:I112,9,FALSE)="Dragon",Backdoors!BF38,Backdoors!BG38)))))/100,Backdoors!BG38/100),"")</f>
        <v>0</v>
      </c>
      <c r="IO11" s="49">
        <f>IFERROR(IF(VLOOKUP(A11,tbMoveset!A2:J112,10,FALSE)=TRUE,IF((Backdoors!AI12+IF(IM11&gt;=0.45,VLOOKUP(Calculator!E23,tbSkills!DH3:DI6,2,FALSE)+IF(AND(Calculator!B8=TRUE,Backdoors!BI38=TRUE),VLOOKUP(Calculator!E23,tbSkills!DH3:DJ6,3,FALSE),0),0))&gt;=0,1+(Backdoors!AL2*(IF((Backdoors!AI12+IF(IM11&gt;=0.45,VLOOKUP(Calculator!E23,tbSkills!DH3:DI6,2,FALSE)+IF(AND(Calculator!B8=TRUE,Backdoors!BI38=TRUE),VLOOKUP(Calculator!E23,tbSkills!DH3:DJ6,3,FALSE),0),0))&gt;=100,100,(Backdoors!AI12+IF(IM11&gt;=0.45,VLOOKUP(Calculator!E23,tbSkills!DH3:DI6,2,FALSE)+IF(AND(Calculator!B8=TRUE,Backdoors!BI38=TRUE),VLOOKUP(Calculator!E23,tbSkills!DH3:DJ6,3,FALSE),0),0)))/100)),(1-(0.25*((-Backdoors!AI12-IF(IM11&gt;=0.45,VLOOKUP(Calculator!E23,tbSkills!DH3:DI6,2,FALSE)+IF(AND(Calculator!B8=TRUE,Backdoors!BI38=TRUE),VLOOKUP(Calculator!E23,tbSkills!DH3:DJ6,3,FALSE),0),0))/100)))),1),"")</f>
        <v>1</v>
      </c>
      <c r="IP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M11)*IO11)*(VLOOKUP(A11,tbMoveset!A2:C112,3,FALSE)/100)*IF(VLOOKUP(A11,tbMoveset!A2:B112,2,FALSE)="Projectile",Backdoors!N10,Backdoors!N9),0),"")</f>
        <v/>
      </c>
      <c r="IQ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IM11&gt;=0.45,VLOOKUP(Calculator!E23,tbSkills!DH3:DI6,2,FALSE)+IF(AND(Calculator!B8=TRUE,Backdoors!BI38=TRUE),VLOOKUP(Calculator!E23,tbSkills!DH3:DJ6,3,FALSE),0),0))&gt;=100,100,(Backdoors!AI12+IF(IM11&gt;=0.45,VLOOKUP(Calculator!E23,tbSkills!DH3:DI6,2,FALSE)+IF(AND(Calculator!B8=TRUE,Backdoors!BI38=TRUE),VLOOKUP(Calculator!E23,tbSkills!DH3:DJ6,3,FALSE),0),0)))/100)),1))*IF(VLOOKUP(A11,tbMoveset!A2:K112,11,FALSE)=TRUE,Backdoors!AC5,1))*IN11,0),"")</f>
        <v>0</v>
      </c>
      <c r="IR11" s="49">
        <f>VLOOKUP(A11,tbMoveset!A2:G112,7,FALSE)*IFERROR(IF(Backdoors!AI12&gt;=0,1+(IF(Calculator!E40&gt;0,VLOOKUP(Calculator!E40,tbSkills!AI3:AJ5,2,FALSE),Backdoors!AL4)*(IF((Backdoors!AI12+IF(IM11&gt;=0.45,VLOOKUP(Calculator!E23,tbSkills!DH3:DI6,2,FALSE)+IF(AND(Calculator!B8=TRUE,Backdoors!BI38=TRUE),VLOOKUP(Calculator!E23,tbSkills!DH3:DJ6,3,FALSE),0),0))&gt;=100,100,(Backdoors!AI12+IF(IM11&gt;=0.45,VLOOKUP(Calculator!E23,tbSkills!DH3:DI6,2,FALSE)+IF(AND(Calculator!B8=TRUE,Backdoors!BI38=TRUE),VLOOKUP(Calculator!E23,tbSkills!DH3:DJ6,3,FALSE),0),0)))/100)),1),1)</f>
        <v>0.4</v>
      </c>
      <c r="IS11" s="87">
        <f t="shared" si="42"/>
        <v>0</v>
      </c>
      <c r="IT11" s="86" t="str">
        <f>IFERROR(IF(VLOOKUP(A11,tbMoveset!A2:B112,2,FALSE)="Sever",Backdoors!AY39/100,IF(VLOOKUP(A11,tbMoveset!A2:B112,2,FALSE)="Blunt",Backdoors!AZ39/100,Backdoors!BA39/100)),"")</f>
        <v/>
      </c>
      <c r="IU11" s="49">
        <f>IFERROR(IF(VLOOKUP(tbMoveset!A11,tbMoveset!A2:H112,8,FALSE)="Other",IF(VLOOKUP(tbMoveset!A11,tbMoveset!A2:I112,9,FALSE)="Fire",Backdoors!BB39,IF(VLOOKUP(tbMoveset!A11,tbMoveset!A2:I112,9,FALSE)="Water",Backdoors!BC39,IF(VLOOKUP(tbMoveset!A11,tbMoveset!A2:I112,9,FALSE)="Thunder",Backdoors!BD39,IF(VLOOKUP(tbMoveset!A11,tbMoveset!A2:I112,9,FALSE)="Ice",Backdoors!BE39,IF(VLOOKUP(tbMoveset!A11,tbMoveset!A2:I112,9,FALSE)="Dragon",Backdoors!BF39,Backdoors!BG39)))))/100,Backdoors!BG39/100),"")</f>
        <v>0</v>
      </c>
      <c r="IV11" s="49">
        <f>IFERROR(IF(VLOOKUP(A11,tbMoveset!A2:J112,10,FALSE)=TRUE,IF((Backdoors!AI12+IF(IT11&gt;=0.45,VLOOKUP(Calculator!E23,tbSkills!DH3:DI6,2,FALSE)+IF(AND(Calculator!B8=TRUE,Backdoors!BI39=TRUE),VLOOKUP(Calculator!E23,tbSkills!DH3:DJ6,3,FALSE),0),0))&gt;=0,1+(Backdoors!AL2*(IF((Backdoors!AI12+IF(IT11&gt;=0.45,VLOOKUP(Calculator!E23,tbSkills!DH3:DI6,2,FALSE)+IF(AND(Calculator!B8=TRUE,Backdoors!BI39=TRUE),VLOOKUP(Calculator!E23,tbSkills!DH3:DJ6,3,FALSE),0),0))&gt;=100,100,(Backdoors!AI12+IF(IT11&gt;=0.45,VLOOKUP(Calculator!E23,tbSkills!DH3:DI6,2,FALSE)+IF(AND(Calculator!B8=TRUE,Backdoors!BI39=TRUE),VLOOKUP(Calculator!E23,tbSkills!DH3:DJ6,3,FALSE),0),0)))/100)),(1-(0.25*((-Backdoors!AI12-IF(IT11&gt;=0.45,VLOOKUP(Calculator!E23,tbSkills!DH3:DI6,2,FALSE)+IF(AND(Calculator!B8=TRUE,Backdoors!BI39=TRUE),VLOOKUP(Calculator!E23,tbSkills!DH3:DJ6,3,FALSE),0),0))/100)))),1),"")</f>
        <v>1</v>
      </c>
      <c r="IW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T11)*IV11)*(VLOOKUP(A11,tbMoveset!A2:C112,3,FALSE)/100)*IF(VLOOKUP(A11,tbMoveset!A2:B112,2,FALSE)="Projectile",Backdoors!N10,Backdoors!N9),0),"")</f>
        <v/>
      </c>
      <c r="IX11" s="49">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40&gt;0,VLOOKUP(Calculator!E40,tbSkills!AC3:AD5,2,FALSE),Backdoors!AL3)*(IF((Backdoors!AI12+IF(IT11&gt;=0.45,VLOOKUP(Calculator!E23,tbSkills!DH3:DI6,2,FALSE)+IF(AND(Calculator!B8=TRUE,Backdoors!BI39=TRUE),VLOOKUP(Calculator!E23,tbSkills!DH3:DJ6,3,FALSE),0),0))&gt;=100,100,(Backdoors!AI12+IF(IT11&gt;=0.45,VLOOKUP(Calculator!E23,tbSkills!DH3:DI6,2,FALSE)+IF(AND(Calculator!B8=TRUE,Backdoors!BI39=TRUE),VLOOKUP(Calculator!E23,tbSkills!DH3:DJ6,3,FALSE),0),0)))/100)),1))*IF(VLOOKUP(A11,tbMoveset!A2:K112,11,FALSE)=TRUE,Backdoors!AC5,1))*IU11,0),"")</f>
        <v>0</v>
      </c>
      <c r="IY11" s="49">
        <f>VLOOKUP(A11,tbMoveset!A2:G112,7,FALSE)*IFERROR(IF(Backdoors!AI12&gt;=0,1+(IF(Calculator!E40&gt;0,VLOOKUP(Calculator!E40,tbSkills!AI3:AJ5,2,FALSE),Backdoors!AL4)*(IF((Backdoors!AI12+IF(IT11&gt;=0.45,VLOOKUP(Calculator!E23,tbSkills!DH3:DI6,2,FALSE)+IF(AND(Calculator!B8=TRUE,Backdoors!BI39=TRUE),VLOOKUP(Calculator!E23,tbSkills!DH3:DJ6,3,FALSE),0),0))&gt;=100,100,(Backdoors!AI12+IF(IT11&gt;=0.45,VLOOKUP(Calculator!E23,tbSkills!DH3:DI6,2,FALSE)+IF(AND(Calculator!B8=TRUE,Backdoors!BI39=TRUE),VLOOKUP(Calculator!E23,tbSkills!DH3:DJ6,3,FALSE),0),0)))/100)),1),1)</f>
        <v>0.4</v>
      </c>
      <c r="IZ11" s="87">
        <f t="shared" si="28"/>
        <v>0</v>
      </c>
      <c r="JA11" s="86" t="str">
        <f>IFERROR(IF(VLOOKUP(A11,tbMoveset!A2:B112,2,FALSE)="Sever",Backdoors!AY40/100,IF(VLOOKUP(A11,tbMoveset!A2:B112,2,FALSE)="Blunt",Backdoors!AZ40/100,Backdoors!BA40/100)),"")</f>
        <v/>
      </c>
      <c r="JB11" s="49">
        <f>IFERROR(IF(VLOOKUP(tbMoveset!A11,tbMoveset!A2:H112,8,FALSE)="Other",IF(VLOOKUP(tbMoveset!A11,tbMoveset!A2:I112,9,FALSE)="Fire",Backdoors!BB40,IF(VLOOKUP(tbMoveset!A11,tbMoveset!A2:I112,9,FALSE)="Water",Backdoors!BC40,IF(VLOOKUP(tbMoveset!A11,tbMoveset!A2:I112,9,FALSE)="Thunder",Backdoors!BD40,IF(VLOOKUP(tbMoveset!A11,tbMoveset!A2:I112,9,FALSE)="Ice",Backdoors!BE40,IF(VLOOKUP(tbMoveset!A11,tbMoveset!A2:I112,9,FALSE)="Dragon",Backdoors!BF40,Backdoors!BG40)))))/100,Backdoors!BG40/100),"")</f>
        <v>0</v>
      </c>
      <c r="JC11" s="49">
        <f>IFERROR(IF(VLOOKUP(A11,tbMoveset!A2:J112,10,FALSE)=TRUE,IF((Backdoors!AI12+IF(JA11&gt;=0.45,VLOOKUP(Calculator!E23,tbSkills!DH3:DI6,2,FALSE)+IF(AND(Calculator!B8=TRUE,Backdoors!BI40=TRUE),VLOOKUP(Calculator!E23,tbSkills!DH3:DJ6,3,FALSE),0),0))&gt;=0,1+(Backdoors!AL2*(IF((Backdoors!AI12+IF(JA11&gt;=0.45,VLOOKUP(Calculator!E23,tbSkills!DH3:DI6,2,FALSE)+IF(AND(Calculator!B8=TRUE,Backdoors!BI40=TRUE),VLOOKUP(Calculator!E23,tbSkills!DH3:DJ6,3,FALSE),0),0))&gt;=100,100,(Backdoors!AI12+IF(JA11&gt;=0.45,VLOOKUP(Calculator!E23,tbSkills!DH3:DI6,2,FALSE)+IF(AND(Calculator!B8=TRUE,Backdoors!BI40=TRUE),VLOOKUP(Calculator!E23,tbSkills!DH3:DJ6,3,FALSE),0),0)))/100)),(1-(0.25*((-Backdoors!AI12-IF(JA11&gt;=0.45,VLOOKUP(Calculator!E23,tbSkills!DH3:DI6,2,FALSE)+IF(AND(Calculator!B8=TRUE,Backdoors!BI40=TRUE),VLOOKUP(Calculator!E23,tbSkills!DH3:DJ6,3,FALSE),0),0))/100)))),1),"")</f>
        <v>1</v>
      </c>
      <c r="JD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A11)*JC11)*(VLOOKUP(A11,tbMoveset!A2:C112,3,FALSE)/100)*IF(VLOOKUP(A11,tbMoveset!A2:B112,2,FALSE)="Projectile",Backdoors!N10,Backdoors!N9),0),"")</f>
        <v/>
      </c>
      <c r="JE11" s="49">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42&gt;0,VLOOKUP(Calculator!E42,tbSkills!AC3:AD5,2,FALSE),Backdoors!AL3)*(IF((Backdoors!AI12+IF(JA11&gt;=0.45,VLOOKUP(Calculator!E23,tbSkills!DH3:DI6,2,FALSE)+IF(AND(Calculator!B8=TRUE,Backdoors!BI40=TRUE),VLOOKUP(Calculator!E23,tbSkills!DH3:DJ6,3,FALSE),0),0))&gt;=100,100,(Backdoors!AI12+IF(JA11&gt;=0.45,VLOOKUP(Calculator!E23,tbSkills!DH3:DI6,2,FALSE)+IF(AND(Calculator!B8=TRUE,Backdoors!BI40=TRUE),VLOOKUP(Calculator!E23,tbSkills!DH3:DJ6,3,FALSE),0),0)))/100)),1))*IF(VLOOKUP(A11,tbMoveset!A2:K112,11,FALSE)=TRUE,Backdoors!AC5,1))*JB11,0),"")</f>
        <v>0</v>
      </c>
      <c r="JF11" s="49">
        <f>VLOOKUP(A11,tbMoveset!A2:G112,7,FALSE)*IFERROR(IF(Backdoors!AI12&gt;=0,1+(IF(Calculator!E40&gt;0,VLOOKUP(Calculator!E40,tbSkills!AI3:AJ5,2,FALSE),Backdoors!AL4)*(IF((Backdoors!AI12+IF(JA11&gt;=0.45,VLOOKUP(Calculator!E23,tbSkills!DH3:DI6,2,FALSE)+IF(AND(Calculator!B8=TRUE,Backdoors!BI40=TRUE),VLOOKUP(Calculator!E23,tbSkills!DH3:DJ6,3,FALSE),0),0))&gt;=100,100,(Backdoors!AI12+IF(JA11&gt;=0.45,VLOOKUP(Calculator!E23,tbSkills!DH3:DI6,2,FALSE)+IF(AND(Calculator!B8=TRUE,Backdoors!BI40=TRUE),VLOOKUP(Calculator!E23,tbSkills!DH3:DJ6,3,FALSE),0),0)))/100)),1),1)</f>
        <v>0.4</v>
      </c>
      <c r="JG11" s="87">
        <f t="shared" si="29"/>
        <v>0</v>
      </c>
      <c r="JH11" s="86" t="str">
        <f>IFERROR(IF(VLOOKUP(A11,tbMoveset!A2:B112,2,FALSE)="Sever",Backdoors!AY41/100,IF(VLOOKUP(A11,tbMoveset!A2:B112,2,FALSE)="Blunt",Backdoors!AZ41/100,Backdoors!BA41/100)),"")</f>
        <v/>
      </c>
      <c r="JI11" s="49">
        <f>IFERROR(IF(VLOOKUP(tbMoveset!A11,tbMoveset!A2:H112,8,FALSE)="Other",IF(VLOOKUP(tbMoveset!A11,tbMoveset!A2:I112,9,FALSE)="Fire",Backdoors!BB41,IF(VLOOKUP(tbMoveset!A11,tbMoveset!A2:I112,9,FALSE)="Water",Backdoors!BC41,IF(VLOOKUP(tbMoveset!A11,tbMoveset!A2:I112,9,FALSE)="Thunder",Backdoors!BD41,IF(VLOOKUP(tbMoveset!A11,tbMoveset!A2:I112,9,FALSE)="Ice",Backdoors!BE41,IF(VLOOKUP(tbMoveset!A11,tbMoveset!A2:I112,9,FALSE)="Dragon",Backdoors!BF41,Backdoors!BG41)))))/100,Backdoors!BG41/100),"")</f>
        <v>0</v>
      </c>
      <c r="JJ11" s="49">
        <f>IFERROR(IF(VLOOKUP(A11,tbMoveset!A2:J112,10,FALSE)=TRUE,IF((Backdoors!AI12+IF(JH11&gt;=0.45,VLOOKUP(Calculator!E23,tbSkills!DH3:DI6,2,FALSE)+IF(AND(Calculator!B8=TRUE,Backdoors!BI41=TRUE),VLOOKUP(Calculator!E23,tbSkills!DH3:DJ6,3,FALSE),0),0))&gt;=0,1+(Backdoors!AL2*(IF((Backdoors!AI12+IF(JH11&gt;=0.45,VLOOKUP(Calculator!E23,tbSkills!DH3:DI6,2,FALSE)+IF(AND(Calculator!B8=TRUE,Backdoors!BI41=TRUE),VLOOKUP(Calculator!E23,tbSkills!DH3:DJ6,3,FALSE),0),0))&gt;=100,100,(Backdoors!AI12+IF(JH11&gt;=0.45,VLOOKUP(Calculator!E23,tbSkills!DH3:DI6,2,FALSE)+IF(AND(Calculator!B8=TRUE,Backdoors!BI41=TRUE),VLOOKUP(Calculator!E23,tbSkills!DH3:DJ6,3,FALSE),0),0)))/100)),(1-(0.25*((-Backdoors!AI12-IF(JH11&gt;=0.45,VLOOKUP(Calculator!E23,tbSkills!DH3:DI6,2,FALSE)+IF(AND(Calculator!B8=TRUE,Backdoors!BI41=TRUE),VLOOKUP(Calculator!E23,tbSkills!DH3:DJ6,3,FALSE),0),0))/100)))),1),"")</f>
        <v>1</v>
      </c>
      <c r="JK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H11)*JJ11)*(VLOOKUP(A11,tbMoveset!A2:C112,3,FALSE)/100)*IF(VLOOKUP(A11,tbMoveset!A2:B112,2,FALSE)="Projectile",Backdoors!N10,Backdoors!N9),0),"")</f>
        <v/>
      </c>
      <c r="JL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43&gt;0,VLOOKUP(Calculator!E43,tbSkills!AC3:AD5,2,FALSE),Backdoors!AL3)*(IF((Backdoors!AI12+IF(JH11&gt;=0.45,VLOOKUP(Calculator!E23,tbSkills!DH3:DI6,2,FALSE)+IF(AND(Calculator!B8=TRUE,Backdoors!BI41=TRUE),VLOOKUP(Calculator!E23,tbSkills!DH3:DJ6,3,FALSE),0),0))&gt;=100,100,(Backdoors!AI12+IF(JH11&gt;=0.45,VLOOKUP(Calculator!E23,tbSkills!DH3:DI6,2,FALSE)+IF(AND(Calculator!B8=TRUE,Backdoors!BI41=TRUE),VLOOKUP(Calculator!E23,tbSkills!DH3:DJ6,3,FALSE),0),0)))/100)),1))*IF(VLOOKUP(A11,tbMoveset!A2:K112,11,FALSE)=TRUE,Backdoors!AC5,1))*JI11,0),"")</f>
        <v/>
      </c>
      <c r="JM11" s="49">
        <f>VLOOKUP(A11,tbMoveset!A2:G112,7,FALSE)*IFERROR(IF(Backdoors!AI12&gt;=0,1+(IF(Calculator!E40&gt;0,VLOOKUP(Calculator!E40,tbSkills!AI3:AJ5,2,FALSE),Backdoors!AL4)*(IF((Backdoors!AI12+IF(JH11&gt;=0.45,VLOOKUP(Calculator!E23,tbSkills!DH3:DI6,2,FALSE)+IF(AND(Calculator!B8=TRUE,Backdoors!BI41=TRUE),VLOOKUP(Calculator!E23,tbSkills!DH3:DJ6,3,FALSE),0),0))&gt;=100,100,(Backdoors!AI12+IF(JH11&gt;=0.45,VLOOKUP(Calculator!E23,tbSkills!DH3:DI6,2,FALSE)+IF(AND(Calculator!B8=TRUE,Backdoors!BI41=TRUE),VLOOKUP(Calculator!E23,tbSkills!DH3:DJ6,3,FALSE),0),0)))/100)),1),1)</f>
        <v>0.4</v>
      </c>
      <c r="JN11" s="87">
        <f t="shared" si="30"/>
        <v>0</v>
      </c>
      <c r="JO11" s="86" t="str">
        <f>IFERROR(IF(VLOOKUP(A11,tbMoveset!A2:B112,2,FALSE)="Sever",Backdoors!AY42/100,IF(VLOOKUP(A11,tbMoveset!A2:B112,2,FALSE)="Blunt",Backdoors!AZ42/100,Backdoors!BA42/100)),"")</f>
        <v/>
      </c>
      <c r="JP11" s="49">
        <f>IFERROR(IF(VLOOKUP(tbMoveset!A11,tbMoveset!A2:H112,8,FALSE)="Other",IF(VLOOKUP(tbMoveset!A11,tbMoveset!A2:I112,9,FALSE)="Fire",Backdoors!BB42,IF(VLOOKUP(tbMoveset!A11,tbMoveset!A2:I112,9,FALSE)="Water",Backdoors!BC42,IF(VLOOKUP(tbMoveset!A11,tbMoveset!A2:I112,9,FALSE)="Thunder",Backdoors!BD42,IF(VLOOKUP(tbMoveset!A11,tbMoveset!A2:I112,9,FALSE)="Ice",Backdoors!BE42,IF(VLOOKUP(tbMoveset!A11,tbMoveset!A2:I112,9,FALSE)="Dragon",Backdoors!BF42,Backdoors!BG42)))))/100,Backdoors!BG42/100),"")</f>
        <v>0</v>
      </c>
      <c r="JQ11" s="49">
        <f>IFERROR(IF(VLOOKUP(A11,tbMoveset!A2:J112,10,FALSE)=TRUE,IF((Backdoors!AI12+IF(JO11&gt;=0.45,VLOOKUP(Calculator!E23,tbSkills!DH3:DI6,2,FALSE)+IF(AND(Calculator!B8=TRUE,Backdoors!BI42=TRUE),VLOOKUP(Calculator!E23,tbSkills!DH3:DJ6,3,FALSE),0),0))&gt;=0,1+(Backdoors!AL2*(IF((Backdoors!AI12+IF(JO11&gt;=0.45,VLOOKUP(Calculator!E23,tbSkills!DH3:DI6,2,FALSE)+IF(AND(Calculator!B8=TRUE,Backdoors!BI42=TRUE),VLOOKUP(Calculator!E23,tbSkills!DH3:DJ6,3,FALSE),0),0))&gt;=100,100,(Backdoors!AI12+IF(JO11&gt;=0.45,VLOOKUP(Calculator!E23,tbSkills!DH3:DI6,2,FALSE)+IF(AND(Calculator!B8=TRUE,Backdoors!BI42=TRUE),VLOOKUP(Calculator!E23,tbSkills!DH3:DJ6,3,FALSE),0),0)))/100)),(1-(0.25*((-Backdoors!AI12-IF(JO11&gt;=0.45,VLOOKUP(Calculator!E23,tbSkills!DH3:DI6,2,FALSE)+IF(AND(Calculator!B8=TRUE,Backdoors!BI42=TRUE),VLOOKUP(Calculator!E23,tbSkills!DH3:DJ6,3,FALSE),0),0))/100)))),1),"")</f>
        <v>1</v>
      </c>
      <c r="JR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O11)*JQ11)*(VLOOKUP(A11,tbMoveset!A2:C112,3,FALSE)/100)*IF(VLOOKUP(A11,tbMoveset!A2:B112,2,FALSE)="Projectile",Backdoors!N10,Backdoors!N9),0),"")</f>
        <v/>
      </c>
      <c r="JS11" s="49">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45&gt;0,VLOOKUP(Calculator!E45,tbSkills!AC3:AD5,2,FALSE),Backdoors!AL3)*(IF((Backdoors!AI12+IF(JO11&gt;=0.45,VLOOKUP(Calculator!E23,tbSkills!DH3:DI6,2,FALSE)+IF(AND(Calculator!B8=TRUE,Backdoors!BI42=TRUE),VLOOKUP(Calculator!E23,tbSkills!DH3:DJ6,3,FALSE),0),0))&gt;=100,100,(Backdoors!AI12+IF(JO11&gt;=0.45,VLOOKUP(Calculator!E23,tbSkills!DH3:DI6,2,FALSE)+IF(AND(Calculator!B8=TRUE,Backdoors!BI42=TRUE),VLOOKUP(Calculator!E23,tbSkills!DH3:DJ6,3,FALSE),0),0)))/100)),1))*IF(VLOOKUP(A11,tbMoveset!A2:K112,11,FALSE)=TRUE,Backdoors!AC5,1))*JP11,0),"")</f>
        <v>0</v>
      </c>
      <c r="JT11" s="49">
        <f>VLOOKUP(A11,tbMoveset!A2:G112,7,FALSE)*IFERROR(IF(Backdoors!AI12&gt;=0,1+(IF(Calculator!E40&gt;0,VLOOKUP(Calculator!E40,tbSkills!AI3:AJ5,2,FALSE),Backdoors!AL4)*(IF((Backdoors!AI12+IF(JO11&gt;=0.45,VLOOKUP(Calculator!E23,tbSkills!DH3:DI6,2,FALSE)+IF(AND(Calculator!B8=TRUE,Backdoors!BI42=TRUE),VLOOKUP(Calculator!E23,tbSkills!DH3:DJ6,3,FALSE),0),0))&gt;=100,100,(Backdoors!AI12+IF(JO11&gt;=0.45,VLOOKUP(Calculator!E23,tbSkills!DH3:DI6,2,FALSE)+IF(AND(Calculator!B8=TRUE,Backdoors!BI42=TRUE),VLOOKUP(Calculator!E23,tbSkills!DH3:DJ6,3,FALSE),0),0)))/100)),1),1)</f>
        <v>0.4</v>
      </c>
      <c r="JU11" s="87">
        <f t="shared" si="31"/>
        <v>0</v>
      </c>
      <c r="JV11" s="86" t="str">
        <f>IFERROR(IF(VLOOKUP(A11,tbMoveset!A2:B112,2,FALSE)="Sever",Backdoors!AY43/100,IF(VLOOKUP(A11,tbMoveset!A2:B112,2,FALSE)="Blunt",Backdoors!AZ43/100,Backdoors!BA43/100)),"")</f>
        <v/>
      </c>
      <c r="JW11" s="49">
        <f>IFERROR(IF(VLOOKUP(tbMoveset!A11,tbMoveset!A2:H112,8,FALSE)="Other",IF(VLOOKUP(tbMoveset!A11,tbMoveset!A2:I112,9,FALSE)="Fire",Backdoors!BB43,IF(VLOOKUP(tbMoveset!A11,tbMoveset!A2:I112,9,FALSE)="Water",Backdoors!BC43,IF(VLOOKUP(tbMoveset!A11,tbMoveset!A2:I112,9,FALSE)="Thunder",Backdoors!BD43,IF(VLOOKUP(tbMoveset!A11,tbMoveset!A2:I112,9,FALSE)="Ice",Backdoors!BE43,IF(VLOOKUP(tbMoveset!A11,tbMoveset!A2:I112,9,FALSE)="Dragon",Backdoors!BF43,Backdoors!BG43)))))/100,Backdoors!BG43/100),"")</f>
        <v>0</v>
      </c>
      <c r="JX11" s="49">
        <f>IFERROR(IF(VLOOKUP(A11,tbMoveset!A2:J112,10,FALSE)=TRUE,IF((Backdoors!AI12+IF(JV11&gt;=0.45,VLOOKUP(Calculator!E23,tbSkills!DH3:DI6,2,FALSE)+IF(AND(Calculator!B8=TRUE,Backdoors!BI43=TRUE),VLOOKUP(Calculator!E23,tbSkills!DH3:DJ6,3,FALSE),0),0))&gt;=0,1+(Backdoors!AL2*(IF((Backdoors!AI12+IF(JV11&gt;=0.45,VLOOKUP(Calculator!E23,tbSkills!DH3:DI6,2,FALSE)+IF(AND(Calculator!B8=TRUE,Backdoors!BI43=TRUE),VLOOKUP(Calculator!E23,tbSkills!DH3:DJ6,3,FALSE),0),0))&gt;=100,100,(Backdoors!AI12+IF(JV11&gt;=0.45,VLOOKUP(Calculator!E23,tbSkills!DH3:DI6,2,FALSE)+IF(AND(Calculator!B8=TRUE,Backdoors!BI43=TRUE),VLOOKUP(Calculator!E23,tbSkills!DH3:DJ6,3,FALSE),0),0)))/100)),(1-(0.25*((-Backdoors!AI12-IF(JV11&gt;=0.45,VLOOKUP(Calculator!E23,tbSkills!DH3:DI6,2,FALSE)+IF(AND(Calculator!B8=TRUE,Backdoors!BI43=TRUE),VLOOKUP(Calculator!E23,tbSkills!DH3:DJ6,3,FALSE),0),0))/100)))),1),"")</f>
        <v>1</v>
      </c>
      <c r="JY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V11)*JX11)*(VLOOKUP(A11,tbMoveset!A2:C112,3,FALSE)/100)*IF(VLOOKUP(A11,tbMoveset!A2:B112,2,FALSE)="Projectile",Backdoors!N10,Backdoors!N9),0),"")</f>
        <v/>
      </c>
      <c r="JZ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46&gt;0,VLOOKUP(Calculator!E46,tbSkills!AC3:AD5,2,FALSE),Backdoors!AL3)*(IF((Backdoors!AI12+IF(JV11&gt;=0.45,VLOOKUP(Calculator!E23,tbSkills!DH3:DI6,2,FALSE)+IF(AND(Calculator!B8=TRUE,Backdoors!BI43=TRUE),VLOOKUP(Calculator!E23,tbSkills!DH3:DJ6,3,FALSE),0),0))&gt;=100,100,(Backdoors!AI12+IF(JV11&gt;=0.45,VLOOKUP(Calculator!E23,tbSkills!DH3:DI6,2,FALSE)+IF(AND(Calculator!B8=TRUE,Backdoors!BI43=TRUE),VLOOKUP(Calculator!E23,tbSkills!DH3:DJ6,3,FALSE),0),0)))/100)),1))*IF(VLOOKUP(A11,tbMoveset!A2:K112,11,FALSE)=TRUE,Backdoors!AC5,1))*JW11,0),"")</f>
        <v/>
      </c>
      <c r="KA11" s="49">
        <f>VLOOKUP(A11,tbMoveset!A2:G112,7,FALSE)*IFERROR(IF(Backdoors!AI12&gt;=0,1+(IF(Calculator!E40&gt;0,VLOOKUP(Calculator!E40,tbSkills!AI3:AJ5,2,FALSE),Backdoors!AL4)*(IF((Backdoors!AI12+IF(JV11&gt;=0.45,VLOOKUP(Calculator!E23,tbSkills!DH3:DI6,2,FALSE)+IF(AND(Calculator!B8=TRUE,Backdoors!BI43=TRUE),VLOOKUP(Calculator!E23,tbSkills!DH3:DJ6,3,FALSE),0),0))&gt;=100,100,(Backdoors!AI12+IF(JV11&gt;=0.45,VLOOKUP(Calculator!E23,tbSkills!DH3:DI6,2,FALSE)+IF(AND(Calculator!B8=TRUE,Backdoors!BI43=TRUE),VLOOKUP(Calculator!E23,tbSkills!DH3:DJ6,3,FALSE),0),0)))/100)),1),1)</f>
        <v>0.4</v>
      </c>
      <c r="KB11" s="87">
        <f t="shared" si="32"/>
        <v>0</v>
      </c>
      <c r="KC11" s="86" t="str">
        <f>IFERROR(IF(VLOOKUP(A11,tbMoveset!A2:B112,2,FALSE)="Sever",Backdoors!AY44/100,IF(VLOOKUP(A11,tbMoveset!A2:B112,2,FALSE)="Blunt",Backdoors!AZ44/100,Backdoors!BA44/100)),"")</f>
        <v/>
      </c>
      <c r="KD11" s="49">
        <f>IFERROR(IF(VLOOKUP(tbMoveset!A11,tbMoveset!A2:H112,8,FALSE)="Other",IF(VLOOKUP(tbMoveset!A11,tbMoveset!A2:I112,9,FALSE)="Fire",Backdoors!BB44,IF(VLOOKUP(tbMoveset!A11,tbMoveset!A2:I112,9,FALSE)="Water",Backdoors!BC44,IF(VLOOKUP(tbMoveset!A11,tbMoveset!A2:I112,9,FALSE)="Thunder",Backdoors!BD44,IF(VLOOKUP(tbMoveset!A11,tbMoveset!A2:I112,9,FALSE)="Ice",Backdoors!BE44,IF(VLOOKUP(tbMoveset!A11,tbMoveset!A2:I112,9,FALSE)="Dragon",Backdoors!BF44,Backdoors!BG44)))))/100,Backdoors!BG44/100),"")</f>
        <v>0</v>
      </c>
      <c r="KE11" s="49">
        <f>IFERROR(IF(VLOOKUP(A11,tbMoveset!A2:J112,10,FALSE)=TRUE,IF((Backdoors!AI12+IF(KC11&gt;=0.45,VLOOKUP(Calculator!E23,tbSkills!DH3:DI6,2,FALSE)+IF(AND(Calculator!B8=TRUE,Backdoors!BI44=TRUE),VLOOKUP(Calculator!E23,tbSkills!DH3:DJ6,3,FALSE),0),0))&gt;=0,1+(Backdoors!AL2*(IF((Backdoors!AI12+IF(KC11&gt;=0.45,VLOOKUP(Calculator!E23,tbSkills!DH3:DI6,2,FALSE)+IF(AND(Calculator!B8=TRUE,Backdoors!BI44=TRUE),VLOOKUP(Calculator!E23,tbSkills!DH3:DJ6,3,FALSE),0),0))&gt;=100,100,(Backdoors!AI12+IF(KC11&gt;=0.45,VLOOKUP(Calculator!E23,tbSkills!DH3:DI6,2,FALSE)+IF(AND(Calculator!B8=TRUE,Backdoors!BI44=TRUE),VLOOKUP(Calculator!E23,tbSkills!DH3:DJ6,3,FALSE),0),0)))/100)),(1-(0.25*((-Backdoors!AI12-IF(KC11&gt;=0.45,VLOOKUP(Calculator!E23,tbSkills!DH3:DI6,2,FALSE)+IF(AND(Calculator!B8=TRUE,Backdoors!BI44=TRUE),VLOOKUP(Calculator!E23,tbSkills!DH3:DJ6,3,FALSE),0),0))/100)))),1),"")</f>
        <v>1</v>
      </c>
      <c r="KF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KC11)*KE11)*(VLOOKUP(A11,tbMoveset!A2:C112,3,FALSE)/100)*IF(VLOOKUP(A11,tbMoveset!A2:B112,2,FALSE)="Projectile",Backdoors!N10,Backdoors!N9),0),"")</f>
        <v/>
      </c>
      <c r="KG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REF!&gt;0,VLOOKUP(Calculator!#REF!,tbSkills!AC3:AD5,2,FALSE),Backdoors!AL3)*(IF((Backdoors!AI12+IF(KC11&gt;=0.45,VLOOKUP(Calculator!E23,tbSkills!DH3:DI6,2,FALSE)+IF(AND(Calculator!B8=TRUE,Backdoors!BI44=TRUE),VLOOKUP(Calculator!E23,tbSkills!DH3:DJ6,3,FALSE),0),0))&gt;=100,100,(Backdoors!AI12+IF(KC11&gt;=0.45,VLOOKUP(Calculator!E23,tbSkills!DH3:DI6,2,FALSE)+IF(AND(Calculator!B8=TRUE,Backdoors!BI44=TRUE),VLOOKUP(Calculator!E23,tbSkills!DH3:DJ6,3,FALSE),0),0)))/100)),1))*IF(VLOOKUP(A11,tbMoveset!A2:K112,11,FALSE)=TRUE,Backdoors!AC5,1))*KD11,0),"")</f>
        <v/>
      </c>
      <c r="KH11" s="49">
        <f>VLOOKUP(A11,tbMoveset!A2:G112,7,FALSE)*IFERROR(IF(Backdoors!AI12&gt;=0,1+(IF(Calculator!E40&gt;0,VLOOKUP(Calculator!E40,tbSkills!AI3:AJ5,2,FALSE),Backdoors!AL4)*(IF((Backdoors!AI12+IF(KC11&gt;=0.45,VLOOKUP(Calculator!E23,tbSkills!DH3:DI6,2,FALSE)+IF(AND(Calculator!B8=TRUE,Backdoors!BI44=TRUE),VLOOKUP(Calculator!E23,tbSkills!DH3:DJ6,3,FALSE),0),0))&gt;=100,100,(Backdoors!AI12+IF(KC11&gt;=0.45,VLOOKUP(Calculator!E23,tbSkills!DH3:DI6,2,FALSE)+IF(AND(Calculator!B8=TRUE,Backdoors!BI44=TRUE),VLOOKUP(Calculator!E23,tbSkills!DH3:DJ6,3,FALSE),0),0)))/100)),1),1)</f>
        <v>0.4</v>
      </c>
      <c r="KI11" s="87">
        <f t="shared" si="33"/>
        <v>0</v>
      </c>
      <c r="KJ11" s="86" t="str">
        <f>IFERROR(IF(VLOOKUP(A11,tbMoveset!A2:B112,2,FALSE)="Sever",Backdoors!AY45/100,IF(VLOOKUP(A11,tbMoveset!A2:B112,2,FALSE)="Blunt",Backdoors!AZ45/100,Backdoors!BA45/100)),"")</f>
        <v/>
      </c>
      <c r="KK11" s="49">
        <f>IFERROR(IF(VLOOKUP(tbMoveset!A11,tbMoveset!A2:H112,8,FALSE)="Other",IF(VLOOKUP(tbMoveset!A11,tbMoveset!A2:I112,9,FALSE)="Fire",Backdoors!BB45,IF(VLOOKUP(tbMoveset!A11,tbMoveset!A2:I112,9,FALSE)="Water",Backdoors!BC45,IF(VLOOKUP(tbMoveset!A11,tbMoveset!A2:I112,9,FALSE)="Thunder",Backdoors!BD45,IF(VLOOKUP(tbMoveset!A11,tbMoveset!A2:I112,9,FALSE)="Ice",Backdoors!BE45,IF(VLOOKUP(tbMoveset!A11,tbMoveset!A2:I112,9,FALSE)="Dragon",Backdoors!BF45,Backdoors!BG45)))))/100,Backdoors!BG45/100),"")</f>
        <v>0</v>
      </c>
      <c r="KL11" s="49">
        <f>IFERROR(IF(VLOOKUP(A11,tbMoveset!A2:J112,10,FALSE)=TRUE,IF((Backdoors!AI12+IF(KJ11&gt;=0.45,VLOOKUP(Calculator!E23,tbSkills!DH3:DI6,2,FALSE)+IF(AND(Calculator!B8=TRUE,Backdoors!BI45=TRUE),VLOOKUP(Calculator!E23,tbSkills!DH3:DJ6,3,FALSE),0),0))&gt;=0,1+(Backdoors!AL2*(IF((Backdoors!AI12+IF(KJ11&gt;=0.45,VLOOKUP(Calculator!E23,tbSkills!DH3:DI6,2,FALSE)+IF(AND(Calculator!B8=TRUE,Backdoors!BI45=TRUE),VLOOKUP(Calculator!E23,tbSkills!DH3:DJ6,3,FALSE),0),0))&gt;=100,100,(Backdoors!AI12+IF(KJ11&gt;=0.45,VLOOKUP(Calculator!E23,tbSkills!DH3:DI6,2,FALSE)+IF(AND(Calculator!B8=TRUE,Backdoors!BI45=TRUE),VLOOKUP(Calculator!E23,tbSkills!DH3:DJ6,3,FALSE),0),0)))/100)),(1-(0.25*((-Backdoors!AI12-IF(KJ11&gt;=0.45,VLOOKUP(Calculator!E23,tbSkills!DH3:DI6,2,FALSE)+IF(AND(Calculator!B8=TRUE,Backdoors!BI45=TRUE),VLOOKUP(Calculator!E23,tbSkills!DH3:DJ6,3,FALSE),0),0))/100)))),1),"")</f>
        <v>1</v>
      </c>
      <c r="KM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KJ11)*KL11)*(VLOOKUP(A11,tbMoveset!A2:C112,3,FALSE)/100)*IF(VLOOKUP(A11,tbMoveset!A2:B112,2,FALSE)="Projectile",Backdoors!N10,Backdoors!N9),0),"")</f>
        <v/>
      </c>
      <c r="KN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REF!&gt;0,VLOOKUP(Calculator!#REF!,tbSkills!AC3:AD5,2,FALSE),Backdoors!AL3)*(IF((Backdoors!AI12+IF(KJ11&gt;=0.45,VLOOKUP(Calculator!E23,tbSkills!DH3:DI6,2,FALSE)+IF(AND(Calculator!B8=TRUE,Backdoors!BI45=TRUE),VLOOKUP(Calculator!E23,tbSkills!DH3:DJ6,3,FALSE),0),0))&gt;=100,100,(Backdoors!AI12+IF(KJ11&gt;=0.45,VLOOKUP(Calculator!E23,tbSkills!DH3:DI6,2,FALSE)+IF(AND(Calculator!B8=TRUE,Backdoors!BI45=TRUE),VLOOKUP(Calculator!E23,tbSkills!DH3:DJ6,3,FALSE),0),0)))/100)),1))*IF(VLOOKUP(A11,tbMoveset!A2:K112,11,FALSE)=TRUE,Backdoors!AC5,1))*KK11,0),"")</f>
        <v/>
      </c>
      <c r="KO11" s="49">
        <f>VLOOKUP(A11,tbMoveset!A2:G112,7,FALSE)*IFERROR(IF(Backdoors!AI12&gt;=0,1+(IF(Calculator!E40&gt;0,VLOOKUP(Calculator!E40,tbSkills!AI3:AJ5,2,FALSE),Backdoors!AL4)*(IF((Backdoors!AI12+IF(KJ11&gt;=0.45,VLOOKUP(Calculator!E23,tbSkills!DH3:DI6,2,FALSE)+IF(AND(Calculator!B8=TRUE,Backdoors!BI45=TRUE),VLOOKUP(Calculator!E23,tbSkills!DH3:DJ6,3,FALSE),0),0))&gt;=100,100,(Backdoors!AI12+IF(KJ11&gt;=0.45,VLOOKUP(Calculator!E23,tbSkills!DH3:DI6,2,FALSE)+IF(AND(Calculator!B8=TRUE,Backdoors!BI45=TRUE),VLOOKUP(Calculator!E23,tbSkills!DH3:DJ6,3,FALSE),0),0)))/100)),1),1)</f>
        <v>0.4</v>
      </c>
      <c r="KP11" s="87">
        <f t="shared" si="34"/>
        <v>0</v>
      </c>
      <c r="KQ11" s="86" t="str">
        <f>IFERROR(IF(VLOOKUP(A11,tbMoveset!A2:B112,2,FALSE)="Sever",Backdoors!AY46/100,IF(VLOOKUP(A11,tbMoveset!A2:B112,2,FALSE)="Blunt",Backdoors!AZ46/100,Backdoors!BA46/100)),"")</f>
        <v/>
      </c>
      <c r="KR11" s="49">
        <f>IFERROR(IF(VLOOKUP(tbMoveset!A11,tbMoveset!A2:H112,8,FALSE)="Other",IF(VLOOKUP(tbMoveset!A11,tbMoveset!A2:I112,9,FALSE)="Fire",Backdoors!BB46,IF(VLOOKUP(tbMoveset!A11,tbMoveset!A2:I112,9,FALSE)="Water",Backdoors!BC46,IF(VLOOKUP(tbMoveset!A11,tbMoveset!A2:I112,9,FALSE)="Thunder",Backdoors!BD46,IF(VLOOKUP(tbMoveset!A11,tbMoveset!A2:I112,9,FALSE)="Ice",Backdoors!BE46,IF(VLOOKUP(tbMoveset!A11,tbMoveset!A2:I112,9,FALSE)="Dragon",Backdoors!BF46,Backdoors!BG46)))))/100,Backdoors!BG46/100),"")</f>
        <v>0</v>
      </c>
      <c r="KS11" s="49">
        <f>IFERROR(IF(VLOOKUP(A11,tbMoveset!A2:J112,10,FALSE)=TRUE,IF((Backdoors!AI12+IF(KQ11&gt;=0.45,VLOOKUP(Calculator!E23,tbSkills!DH3:DI6,2,FALSE)+IF(AND(Calculator!B8=TRUE,Backdoors!BI46=TRUE),VLOOKUP(Calculator!E23,tbSkills!DH3:DJ6,3,FALSE),0),0))&gt;=0,1+(Backdoors!AL2*(IF((Backdoors!AI12+IF(KQ11&gt;=0.45,VLOOKUP(Calculator!E23,tbSkills!DH3:DI6,2,FALSE)+IF(AND(Calculator!B8=TRUE,Backdoors!BI46=TRUE),VLOOKUP(Calculator!E23,tbSkills!DH3:DJ6,3,FALSE),0),0))&gt;=100,100,(Backdoors!AI12+IF(KQ11&gt;=0.45,VLOOKUP(Calculator!E23,tbSkills!DH3:DI6,2,FALSE)+IF(AND(Calculator!B8=TRUE,Backdoors!BI46=TRUE),VLOOKUP(Calculator!E23,tbSkills!DH3:DJ6,3,FALSE),0),0)))/100)),(1-(0.25*((-Backdoors!AI12-IF(KQ11&gt;=0.45,VLOOKUP(Calculator!E23,tbSkills!DH3:DI6,2,FALSE)+IF(AND(Calculator!B8=TRUE,Backdoors!BI46=TRUE),VLOOKUP(Calculator!E23,tbSkills!DH3:DJ6,3,FALSE),0),0))/100)))),1),"")</f>
        <v>1</v>
      </c>
      <c r="KT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KQ11)*KS11)*(VLOOKUP(A11,tbMoveset!A2:C112,3,FALSE)/100)*IF(VLOOKUP(A11,tbMoveset!A2:B112,2,FALSE)="Projectile",Backdoors!N10,Backdoors!N9),0),"")</f>
        <v/>
      </c>
      <c r="KU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REF!&gt;0,VLOOKUP(Calculator!#REF!,tbSkills!AC3:AD5,2,FALSE),Backdoors!AL3)*(IF((Backdoors!AI12+IF(KQ11&gt;=0.45,VLOOKUP(Calculator!E23,tbSkills!DH3:DI6,2,FALSE)+IF(AND(Calculator!B8=TRUE,Backdoors!BI46=TRUE),VLOOKUP(Calculator!E23,tbSkills!DH3:DJ6,3,FALSE),0),0))&gt;=100,100,(Backdoors!AI12+IF(KQ11&gt;=0.45,VLOOKUP(Calculator!E23,tbSkills!DH3:DI6,2,FALSE)+IF(AND(Calculator!B8=TRUE,Backdoors!BI46=TRUE),VLOOKUP(Calculator!E23,tbSkills!DH3:DJ6,3,FALSE),0),0)))/100)),1))*IF(VLOOKUP(A11,tbMoveset!A2:K112,11,FALSE)=TRUE,Backdoors!AC5,1))*KR11,0),"")</f>
        <v/>
      </c>
      <c r="KV11" s="49">
        <f>VLOOKUP(A11,tbMoveset!A2:G112,7,FALSE)*IFERROR(IF(Backdoors!AI12&gt;=0,1+(IF(Calculator!E40&gt;0,VLOOKUP(Calculator!E40,tbSkills!AI3:AJ5,2,FALSE),Backdoors!AL4)*(IF((Backdoors!AI12+IF(KQ11&gt;=0.45,VLOOKUP(Calculator!E23,tbSkills!DH3:DI6,2,FALSE)+IF(AND(Calculator!B8=TRUE,Backdoors!BI46=TRUE),VLOOKUP(Calculator!E23,tbSkills!DH3:DJ6,3,FALSE),0),0))&gt;=100,100,(Backdoors!AI12+IF(KQ11&gt;=0.45,VLOOKUP(Calculator!E23,tbSkills!DH3:DI6,2,FALSE)+IF(AND(Calculator!B8=TRUE,Backdoors!BI46=TRUE),VLOOKUP(Calculator!E23,tbSkills!DH3:DJ6,3,FALSE),0),0)))/100)),1),1)</f>
        <v>0.4</v>
      </c>
      <c r="KW11" s="87">
        <f t="shared" si="35"/>
        <v>0</v>
      </c>
    </row>
    <row r="12" spans="1:309" x14ac:dyDescent="0.25">
      <c r="A12" s="95" t="str">
        <f>tbMoveset!A12</f>
        <v>Lunging Strike (L2)</v>
      </c>
      <c r="B12" s="86">
        <f>IFERROR(IF(VLOOKUP(A12,tbMoveset!A2:B112,2,FALSE)="Sever",Backdoors!AY3/100,IF(VLOOKUP(A12,tbMoveset!A2:B112,2,FALSE)="Blunt",Backdoors!AZ3/100,Backdoors!BA3/100)),"")</f>
        <v>0.8</v>
      </c>
      <c r="C12" s="49">
        <f>IFERROR(IF(VLOOKUP(tbMoveset!A12,tbMoveset!A2:H112,8,FALSE)="Other",IF(VLOOKUP(tbMoveset!A12,tbMoveset!A2:I112,9,FALSE)="Fire",Backdoors!BB3,IF(VLOOKUP(tbMoveset!A12,tbMoveset!A2:I112,9,FALSE)="Water",Backdoors!BC3,IF(VLOOKUP(tbMoveset!A12,tbMoveset!A2:I112,9,FALSE)="Thunder",Backdoors!BD3,IF(VLOOKUP(tbMoveset!A12,tbMoveset!A2:I112,9,FALSE)="Ice",Backdoors!BE3,IF(VLOOKUP(tbMoveset!A12,tbMoveset!A2:I112,9,FALSE)="Dragon",Backdoors!BF3,Backdoors!BG3)))))/100,Backdoors!BG3/100),"")</f>
        <v>0</v>
      </c>
      <c r="D12" s="49">
        <f>IFERROR(IF(VLOOKUP(A12,tbMoveset!A2:J112,10,FALSE)=TRUE,IF((Backdoors!AI12+IF(B12&gt;=0.45,VLOOKUP(Calculator!E23,tbSkills!DH3:DI6,2,FALSE)+IF(AND(Calculator!B8=TRUE,Backdoors!BI3=TRUE),VLOOKUP(Calculator!E23,tbSkills!DH3:DJ6,3,FALSE),0),0))&gt;=0,1+(Backdoors!AL2*(IF((Backdoors!AI12+IF(B12&gt;=0.45,VLOOKUP(Calculator!E23,tbSkills!DH3:DI6,2,FALSE)+IF(AND(Calculator!B8=TRUE,Backdoors!BI3=TRUE),VLOOKUP(Calculator!E23,tbSkills!DH3:DJ6,3,FALSE),0),0))&gt;=100,100,(Backdoors!AI12+IF(B12&gt;=0.45,VLOOKUP(Calculator!E23,tbSkills!DH3:DI6,2,FALSE)+IF(AND(Calculator!B8=TRUE,Backdoors!BI3=TRUE),VLOOKUP(Calculator!E23,tbSkills!DH3:DJ6,3,FALSE),0),0)))/100)),(1-(0.25*((-Backdoors!AI12-IF(B12&gt;=0.45,VLOOKUP(Calculator!E23,tbSkills!DH3:DI6,2,FALSE)+IF(AND(Calculator!B8=TRUE,Backdoors!BI3=TRUE),VLOOKUP(Calculator!E23,tbSkills!DH3:DJ6,3,FALSE),0),0))/100)))),1),"")</f>
        <v>1</v>
      </c>
      <c r="E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12)*D12)*(VLOOKUP(A12,tbMoveset!A2:C112,3,FALSE)/100)*IF(VLOOKUP(A12,tbMoveset!A2:B112,2,FALSE)="Projectile",Backdoors!N10,Backdoors!N9),0),"")</f>
        <v>3</v>
      </c>
      <c r="F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12&gt;=0.45,VLOOKUP(Calculator!E23,tbSkills!DH3:DI6,2,FALSE)+IF(AND(Calculator!B8=TRUE,Backdoors!BI3=TRUE),VLOOKUP(Calculator!E23,tbSkills!DH3:DJ6,3,FALSE),0),0))&gt;=100,100,(Backdoors!AI12+IF(B12&gt;=0.45,VLOOKUP(Calculator!E23,tbSkills!DH3:DI6,2,FALSE)+IF(AND(Calculator!B8=TRUE,Backdoors!BI3=TRUE),VLOOKUP(Calculator!E23,tbSkills!DH3:DJ6,3,FALSE),0),0)))/100)),1))*IF(VLOOKUP(A12,tbMoveset!A2:K112,11,FALSE)=TRUE,Backdoors!AC5,1))*C12,0),"")</f>
        <v>0</v>
      </c>
      <c r="G12">
        <f>VLOOKUP(A12,tbMoveset!A2:G112,7,FALSE)*IFERROR(IF(Backdoors!AI12&gt;=0,1+(IF(Calculator!E40&gt;0,VLOOKUP(Calculator!E40,tbSkills!AI3:AJ5,2,FALSE),Backdoors!AL4)*(IF((Backdoors!AI12+IF(B12&gt;=0.45,VLOOKUP(Calculator!E23,tbSkills!DH3:DI6,2,FALSE)+IF(AND(Calculator!B8=TRUE,Backdoors!BI3=TRUE),VLOOKUP(Calculator!E23,tbSkills!DH3:DJ6,3,FALSE),0),0))&gt;=100,100,(Backdoors!AI12+IF(B12&gt;=0.45,VLOOKUP(Calculator!E23,tbSkills!DH3:DI6,2,FALSE)+IF(AND(Calculator!B8=TRUE,Backdoors!BI3=TRUE),VLOOKUP(Calculator!E23,tbSkills!DH3:DJ6,3,FALSE),0),0)))/100)),1),1)</f>
        <v>0.4</v>
      </c>
      <c r="H12" s="87">
        <f t="shared" si="43"/>
        <v>3</v>
      </c>
      <c r="I12" s="86">
        <f>IFERROR(IF(VLOOKUP(A12,tbMoveset!A2:B112,2,FALSE)="Sever",Backdoors!AY4/100,IF(VLOOKUP(A12,tbMoveset!A2:B112,2,FALSE)="Blunt",Backdoors!AZ4/100,Backdoors!BA4/100)),"")</f>
        <v>0.65</v>
      </c>
      <c r="J12" s="49">
        <f>IFERROR(IF(VLOOKUP(tbMoveset!A12,tbMoveset!A2:H112,8,FALSE)="Other",IF(VLOOKUP(tbMoveset!A12,tbMoveset!A2:I112,9,FALSE)="Fire",Backdoors!BB4,IF(VLOOKUP(tbMoveset!A12,tbMoveset!A2:I112,9,FALSE)="Water",Backdoors!BC4,IF(VLOOKUP(tbMoveset!A12,tbMoveset!A2:I112,9,FALSE)="Thunder",Backdoors!BD4,IF(VLOOKUP(tbMoveset!A12,tbMoveset!A2:I112,9,FALSE)="Ice",Backdoors!BE4,IF(VLOOKUP(tbMoveset!A12,tbMoveset!A2:I112,9,FALSE)="Dragon",Backdoors!BF4,Backdoors!BG4)))))/100,Backdoors!BG4/100),"")</f>
        <v>0</v>
      </c>
      <c r="K12" s="49">
        <f>IFERROR(IF(VLOOKUP(A12,tbMoveset!A2:J112,10,FALSE)=TRUE,IF((Backdoors!AI12+IF(I12&gt;=0.45,VLOOKUP(Calculator!E23,tbSkills!DH3:DI6,2,FALSE)+IF(AND(Calculator!B8=TRUE,Backdoors!BI4=TRUE),VLOOKUP(Calculator!E23,tbSkills!DH3:DJ6,3,FALSE),0),0))&gt;=0,1+(Backdoors!AL2*(IF((Backdoors!AI12+IF(I12&gt;=0.45,VLOOKUP(Calculator!E23,tbSkills!DH3:DI6,2,FALSE)+IF(AND(Calculator!B8=TRUE,Backdoors!BI4=TRUE),VLOOKUP(Calculator!E23,tbSkills!DH3:DJ6,3,FALSE),0),0))&gt;=100,100,(Backdoors!AI12+IF(I12&gt;=0.45,VLOOKUP(Calculator!E23,tbSkills!DH3:DI6,2,FALSE)+IF(AND(Calculator!B8=TRUE,Backdoors!BI4=TRUE),VLOOKUP(Calculator!E23,tbSkills!DH3:DJ6,3,FALSE),0),0)))/100)),(1-(0.25*((-Backdoors!AI12-IF(I12&gt;=0.45,VLOOKUP(Calculator!E23,tbSkills!DH3:DI6,2,FALSE)+IF(AND(Calculator!B8=TRUE,Backdoors!BI4=TRUE),VLOOKUP(Calculator!E23,tbSkills!DH3:DJ6,3,FALSE),0),0))/100)))),1),"")</f>
        <v>1</v>
      </c>
      <c r="L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12)*K12)*(VLOOKUP(A12,tbMoveset!A2:C112,3,FALSE)/100)*IF(VLOOKUP(A12,tbMoveset!A2:B112,2,FALSE)="Projectile",Backdoors!N10,Backdoors!N9),0),"")</f>
        <v>3</v>
      </c>
      <c r="M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I12&gt;=0.45,VLOOKUP(Calculator!E23,tbSkills!DH3:DI6,2,FALSE)+IF(AND(Calculator!B8=TRUE,Backdoors!BI4=TRUE),VLOOKUP(Calculator!E23,tbSkills!DH3:DJ6,3,FALSE),0),0))&gt;=100,100,(Backdoors!AI12+IF(I12&gt;=0.45,VLOOKUP(Calculator!E23,tbSkills!DH3:DI6,2,FALSE)+IF(AND(Calculator!B8=TRUE,Backdoors!BI4=TRUE),VLOOKUP(Calculator!E23,tbSkills!DH3:DJ6,3,FALSE),0),0)))/100)),1))*IF(VLOOKUP(A12,tbMoveset!A2:K112,11,FALSE)=TRUE,Backdoors!AC5,1))*J12,0),"")</f>
        <v>0</v>
      </c>
      <c r="N12" s="49">
        <f>VLOOKUP(A12,tbMoveset!A2:G112,7,FALSE)*IFERROR(IF(Backdoors!AI12&gt;=0,1+(IF(Calculator!E40&gt;0,VLOOKUP(Calculator!E40,tbSkills!AI3:AJ5,2,FALSE),Backdoors!AL4)*(IF((Backdoors!AI12+IF(I12&gt;=0.45,VLOOKUP(Calculator!E23,tbSkills!DH3:DI6,2,FALSE)+IF(AND(Calculator!B8=TRUE,Backdoors!BI4=TRUE),VLOOKUP(Calculator!E23,tbSkills!DH3:DJ6,3,FALSE),0),0))&gt;=100,100,(Backdoors!AI12+IF(I12&gt;=0.45,VLOOKUP(Calculator!E23,tbSkills!DH3:DI6,2,FALSE)+IF(AND(Calculator!B8=TRUE,Backdoors!BI4=TRUE),VLOOKUP(Calculator!E23,tbSkills!DH3:DJ6,3,FALSE),0),0)))/100)),1),1)</f>
        <v>0.4</v>
      </c>
      <c r="O12" s="87">
        <f t="shared" si="36"/>
        <v>3</v>
      </c>
      <c r="P12" s="86">
        <f>IFERROR(IF(VLOOKUP(A12,tbMoveset!A2:B112,2,FALSE)="Sever",Backdoors!AY5/100,IF(VLOOKUP(A12,tbMoveset!A2:B112,2,FALSE)="Blunt",Backdoors!AZ5/100,Backdoors!BA5/100)),"")</f>
        <v>0.5</v>
      </c>
      <c r="Q12" s="49">
        <f>IFERROR(IF(VLOOKUP(tbMoveset!A12,tbMoveset!A2:H112,8,FALSE)="Other",IF(VLOOKUP(tbMoveset!A12,tbMoveset!A2:I112,9,FALSE)="Fire",Backdoors!BB5,IF(VLOOKUP(tbMoveset!A12,tbMoveset!A2:I112,9,FALSE)="Water",Backdoors!BC5,IF(VLOOKUP(tbMoveset!A12,tbMoveset!A2:I112,9,FALSE)="Thunder",Backdoors!BD5,IF(VLOOKUP(tbMoveset!A12,tbMoveset!A2:I112,9,FALSE)="Ice",Backdoors!BE5,IF(VLOOKUP(tbMoveset!A12,tbMoveset!A2:I112,9,FALSE)="Dragon",Backdoors!BF5,Backdoors!BG5)))))/100,Backdoors!BG5/100),"")</f>
        <v>0</v>
      </c>
      <c r="R12" s="49">
        <f>IFERROR(IF(VLOOKUP(A12,tbMoveset!A2:J112,10,FALSE)=TRUE,IF((Backdoors!AI12+IF(P12&gt;=0.45,VLOOKUP(Calculator!E23,tbSkills!DH3:DI6,2,FALSE)+IF(AND(Calculator!B8=TRUE,Backdoors!BI5=TRUE),VLOOKUP(Calculator!E23,tbSkills!DH3:DJ6,3,FALSE),0),0))&gt;=0,1+(Backdoors!AL2*(IF((Backdoors!AI12+IF(P12&gt;=0.45,VLOOKUP(Calculator!E23,tbSkills!DH3:DI6,2,FALSE)+IF(AND(Calculator!B8=TRUE,Backdoors!BI5=TRUE),VLOOKUP(Calculator!E23,tbSkills!DH3:DJ6,3,FALSE),0),0))&gt;=100,100,(Backdoors!AI12+IF(P12&gt;=0.45,VLOOKUP(Calculator!E23,tbSkills!DH3:DI6,2,FALSE)+IF(AND(Calculator!B8=TRUE,Backdoors!BI5=TRUE),VLOOKUP(Calculator!E23,tbSkills!DH3:DJ6,3,FALSE),0),0)))/100)),(1-(0.25*((-Backdoors!AI12-IF(P12&gt;=0.45,VLOOKUP(Calculator!E23,tbSkills!DH3:DI6,2,FALSE)+IF(AND(Calculator!B8=TRUE,Backdoors!BI5=TRUE),VLOOKUP(Calculator!E23,tbSkills!DH3:DJ6,3,FALSE),0),0))/100)))),1),"")</f>
        <v>1</v>
      </c>
      <c r="S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P12)*R12)*(VLOOKUP(A12,tbMoveset!A2:C112,3,FALSE)/100)*IF(VLOOKUP(A12,tbMoveset!A2:B112,2,FALSE)="Projectile",Backdoors!N10,Backdoors!N9),0),"")</f>
        <v>2</v>
      </c>
      <c r="T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P12&gt;=0.45,VLOOKUP(Calculator!E23,tbSkills!DH3:DI6,2,FALSE)+IF(AND(Calculator!B8=TRUE,Backdoors!BI5=TRUE),VLOOKUP(Calculator!E23,tbSkills!DH3:DJ6,3,FALSE),0),0))&gt;=100,100,(Backdoors!AI12+IF(P12&gt;=0.45,VLOOKUP(Calculator!E23,tbSkills!DH3:DI6,2,FALSE)+IF(AND(Calculator!B8=TRUE,Backdoors!BI5=TRUE),VLOOKUP(Calculator!E23,tbSkills!DH3:DJ6,3,FALSE),0),0)))/100)),1))*IF(VLOOKUP(A12,tbMoveset!A2:K112,11,FALSE)=TRUE,Backdoors!AC5,1))*Q12,0),"")</f>
        <v>0</v>
      </c>
      <c r="U12" s="49">
        <f>VLOOKUP(A12,tbMoveset!A2:G112,7,FALSE)*IFERROR(IF(Backdoors!AI12&gt;=0,1+(IF(Calculator!E40&gt;0,VLOOKUP(Calculator!E40,tbSkills!AI3:AJ5,2,FALSE),Backdoors!AL4)*(IF((Backdoors!AI12+IF(P12&gt;=0.45,VLOOKUP(Calculator!E23,tbSkills!DH3:DI6,2,FALSE)+IF(AND(Calculator!B8=TRUE,Backdoors!BI5=TRUE),VLOOKUP(Calculator!E23,tbSkills!DH3:DJ6,3,FALSE),0),0))&gt;=100,100,(Backdoors!AI12+IF(P12&gt;=0.45,VLOOKUP(Calculator!E23,tbSkills!DH3:DI6,2,FALSE)+IF(AND(Calculator!B8=TRUE,Backdoors!BI5=TRUE),VLOOKUP(Calculator!E23,tbSkills!DH3:DJ6,3,FALSE),0),0)))/100)),1),1)</f>
        <v>0.4</v>
      </c>
      <c r="V12" s="87">
        <f t="shared" si="37"/>
        <v>2</v>
      </c>
      <c r="W12" s="86">
        <f>IFERROR(IF(VLOOKUP(A12,tbMoveset!A2:B112,2,FALSE)="Sever",Backdoors!AY6/100,IF(VLOOKUP(A12,tbMoveset!A2:B112,2,FALSE)="Blunt",Backdoors!AZ6/100,Backdoors!BA6/100)),"")</f>
        <v>0.45</v>
      </c>
      <c r="X12" s="49">
        <f>IFERROR(IF(VLOOKUP(tbMoveset!A12,tbMoveset!A2:H112,8,FALSE)="Other",IF(VLOOKUP(tbMoveset!A12,tbMoveset!A2:I112,9,FALSE)="Fire",Backdoors!BB6,IF(VLOOKUP(tbMoveset!A12,tbMoveset!A2:I112,9,FALSE)="Water",Backdoors!BC6,IF(VLOOKUP(tbMoveset!A12,tbMoveset!A2:I112,9,FALSE)="Thunder",Backdoors!BD6,IF(VLOOKUP(tbMoveset!A12,tbMoveset!A2:I112,9,FALSE)="Ice",Backdoors!BE6,IF(VLOOKUP(tbMoveset!A12,tbMoveset!A2:I112,9,FALSE)="Dragon",Backdoors!BF6,Backdoors!BG6)))))/100,Backdoors!BG6/100),"")</f>
        <v>0</v>
      </c>
      <c r="Y12" s="49">
        <f>IFERROR(IF(VLOOKUP(A12,tbMoveset!A2:J112,10,FALSE)=TRUE,IF((Backdoors!AI12+IF(W12&gt;=0.45,VLOOKUP(Calculator!E23,tbSkills!DH3:DI6,2,FALSE)+IF(AND(Calculator!B8=TRUE,Backdoors!BI6=TRUE),VLOOKUP(Calculator!E23,tbSkills!DH3:DJ6,3,FALSE),0),0))&gt;=0,1+(Backdoors!AL2*(IF((Backdoors!AI12+IF(W12&gt;=0.45,VLOOKUP(Calculator!E23,tbSkills!DH3:DI6,2,FALSE)+IF(AND(Calculator!B8=TRUE,Backdoors!BI6=TRUE),VLOOKUP(Calculator!E23,tbSkills!DH3:DJ6,3,FALSE),0),0))&gt;=100,100,(Backdoors!AI12+IF(W12&gt;=0.45,VLOOKUP(Calculator!E23,tbSkills!DH3:DI6,2,FALSE)+IF(AND(Calculator!B8=TRUE,Backdoors!BI6=TRUE),VLOOKUP(Calculator!E23,tbSkills!DH3:DJ6,3,FALSE),0),0)))/100)),(1-(0.25*((-Backdoors!AI12-IF(W12&gt;=0.45,VLOOKUP(Calculator!E23,tbSkills!DH3:DI6,2,FALSE)+IF(AND(Calculator!B8=TRUE,Backdoors!BI6=TRUE),VLOOKUP(Calculator!E23,tbSkills!DH3:DJ6,3,FALSE),0),0))/100)))),1),"")</f>
        <v>1</v>
      </c>
      <c r="Z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W12)*Y12)*(VLOOKUP(A12,tbMoveset!A2:C112,3,FALSE)/100)*IF(VLOOKUP(A12,tbMoveset!A2:B112,2,FALSE)="Projectile",Backdoors!N10,Backdoors!N9),0),"")</f>
        <v>2</v>
      </c>
      <c r="AA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W12&gt;=0.45,VLOOKUP(Calculator!E23,tbSkills!DH3:DI6,2,FALSE)+IF(AND(Calculator!B8=TRUE,Backdoors!BI6=TRUE),VLOOKUP(Calculator!E23,tbSkills!DH3:DJ6,3,FALSE),0),0))&gt;=100,100,(Backdoors!AI12+IF(W12&gt;=0.45,VLOOKUP(Calculator!E23,tbSkills!DH3:DI6,2,FALSE)+IF(AND(Calculator!B8=TRUE,Backdoors!BI6=TRUE),VLOOKUP(Calculator!E23,tbSkills!DH3:DJ6,3,FALSE),0),0)))/100)),1))*IF(VLOOKUP(A12,tbMoveset!A2:K112,11,FALSE)=TRUE,Backdoors!AC5,1))*X12,0),"")</f>
        <v>0</v>
      </c>
      <c r="AB12" s="49">
        <f>VLOOKUP(A12,tbMoveset!A2:G112,7,FALSE)*IFERROR(IF(Backdoors!AI12&gt;=0,1+(IF(Calculator!E40&gt;0,VLOOKUP(Calculator!E40,tbSkills!AI3:AJ5,2,FALSE),Backdoors!AL4)*(IF((Backdoors!AI12+IF(W12&gt;=0.45,VLOOKUP(Calculator!E23,tbSkills!DH3:DI6,2,FALSE)+IF(AND(Calculator!B8=TRUE,Backdoors!BI6=TRUE),VLOOKUP(Calculator!E23,tbSkills!DH3:DJ6,3,FALSE),0),0))&gt;=100,100,(Backdoors!AI12+IF(W12&gt;=0.45,VLOOKUP(Calculator!E23,tbSkills!DH3:DI6,2,FALSE)+IF(AND(Calculator!B8=TRUE,Backdoors!BI6=TRUE),VLOOKUP(Calculator!E23,tbSkills!DH3:DJ6,3,FALSE),0),0)))/100)),1),1)</f>
        <v>0.4</v>
      </c>
      <c r="AC12" s="87">
        <f t="shared" si="0"/>
        <v>2</v>
      </c>
      <c r="AD12" s="86">
        <f>IFERROR(IF(VLOOKUP(A12,tbMoveset!A2:B112,2,FALSE)="Sever",Backdoors!AY7/100,IF(VLOOKUP(A12,tbMoveset!A2:B112,2,FALSE)="Blunt",Backdoors!AZ7/100,Backdoors!BA7/100)),"")</f>
        <v>0.65</v>
      </c>
      <c r="AE12" s="49">
        <f>IFERROR(IF(VLOOKUP(tbMoveset!A12,tbMoveset!A2:H112,8,FALSE)="Other",IF(VLOOKUP(tbMoveset!A12,tbMoveset!A2:I112,9,FALSE)="Fire",Backdoors!BB7,IF(VLOOKUP(tbMoveset!A12,tbMoveset!A2:I112,9,FALSE)="Water",Backdoors!BC7,IF(VLOOKUP(tbMoveset!A12,tbMoveset!A2:I112,9,FALSE)="Thunder",Backdoors!BD7,IF(VLOOKUP(tbMoveset!A12,tbMoveset!A2:I112,9,FALSE)="Ice",Backdoors!BE7,IF(VLOOKUP(tbMoveset!A12,tbMoveset!A2:I112,9,FALSE)="Dragon",Backdoors!BF7,Backdoors!BG7)))))/100,Backdoors!BG7/100),"")</f>
        <v>0</v>
      </c>
      <c r="AF12" s="49">
        <f>IFERROR(IF(VLOOKUP(A12,tbMoveset!A2:J112,10,FALSE)=TRUE,IF((Backdoors!AI12+IF(AD12&gt;=0.45,VLOOKUP(Calculator!E23,tbSkills!DH3:DI6,2,FALSE)+IF(AND(Calculator!B8=TRUE,Backdoors!BI7=TRUE),VLOOKUP(Calculator!E23,tbSkills!DH3:DJ6,3,FALSE),0),0))&gt;=0,1+(Backdoors!AL2*(IF((Backdoors!AI12+IF(AD12&gt;=0.45,VLOOKUP(Calculator!E23,tbSkills!DH3:DI6,2,FALSE)+IF(AND(Calculator!B8=TRUE,Backdoors!BI7=TRUE),VLOOKUP(Calculator!E23,tbSkills!DH3:DJ6,3,FALSE),0),0))&gt;=100,100,(Backdoors!AI12+IF(AD12&gt;=0.45,VLOOKUP(Calculator!E23,tbSkills!DH3:DI6,2,FALSE)+IF(AND(Calculator!B8=TRUE,Backdoors!BI7=TRUE),VLOOKUP(Calculator!E23,tbSkills!DH3:DJ6,3,FALSE),0),0)))/100)),(1-(0.25*((-Backdoors!AI12-IF(AD12&gt;=0.45,VLOOKUP(Calculator!E23,tbSkills!DH3:DI6,2,FALSE)+IF(AND(Calculator!B8=TRUE,Backdoors!BI7=TRUE),VLOOKUP(Calculator!E23,tbSkills!DH3:DJ6,3,FALSE),0),0))/100)))),1),"")</f>
        <v>1</v>
      </c>
      <c r="AG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D12)*AF12)*(VLOOKUP(A12,tbMoveset!A2:C112,3,FALSE)/100)*IF(VLOOKUP(A12,tbMoveset!A2:B112,2,FALSE)="Projectile",Backdoors!N10,Backdoors!N9),0),"")</f>
        <v>3</v>
      </c>
      <c r="AH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D12&gt;=0.45,VLOOKUP(Calculator!E23,tbSkills!DH3:DI6,2,FALSE)+IF(AND(Calculator!B8=TRUE,Backdoors!BI7=TRUE),VLOOKUP(Calculator!E23,tbSkills!DH3:DJ6,3,FALSE),0),0))&gt;=100,100,(Backdoors!AI12+IF(AD12&gt;=0.45,VLOOKUP(Calculator!E23,tbSkills!DH3:DI6,2,FALSE)+IF(AND(Calculator!B8=TRUE,Backdoors!BI7=TRUE),VLOOKUP(Calculator!E23,tbSkills!DH3:DJ6,3,FALSE),0),0)))/100)),1))*IF(VLOOKUP(A12,tbMoveset!A2:K112,11,FALSE)=TRUE,Backdoors!AC5,1))*AE12,0),"")</f>
        <v>0</v>
      </c>
      <c r="AI12" s="49">
        <f>VLOOKUP(A12,tbMoveset!A2:G112,7,FALSE)*IFERROR(IF(Backdoors!AI12&gt;=0,1+(IF(Calculator!E40&gt;0,VLOOKUP(Calculator!E40,tbSkills!AI3:AJ5,2,FALSE),Backdoors!AL4)*(IF((Backdoors!AI12+IF(AD12&gt;=0.45,VLOOKUP(Calculator!E23,tbSkills!DH3:DI6,2,FALSE)+IF(AND(Calculator!B8=TRUE,Backdoors!BI7=TRUE),VLOOKUP(Calculator!E23,tbSkills!DH3:DJ6,3,FALSE),0),0))&gt;=100,100,(Backdoors!AI12+IF(AD12&gt;=0.45,VLOOKUP(Calculator!E23,tbSkills!DH3:DI6,2,FALSE)+IF(AND(Calculator!B8=TRUE,Backdoors!BI7=TRUE),VLOOKUP(Calculator!E23,tbSkills!DH3:DJ6,3,FALSE),0),0)))/100)),1),1)</f>
        <v>0.4</v>
      </c>
      <c r="AJ12" s="87">
        <f t="shared" si="1"/>
        <v>3</v>
      </c>
      <c r="AK12" s="91">
        <f>IFERROR(IF(VLOOKUP(A12,tbMoveset!A2:B112,2,FALSE)="Sever",Backdoors!AY8/100,IF(VLOOKUP(A12,tbMoveset!A2:B112,2,FALSE)="Blunt",Backdoors!AZ8/100,Backdoors!BA8/100)),"")</f>
        <v>0.45</v>
      </c>
      <c r="AL12" s="49">
        <f>IFERROR(IF(VLOOKUP(tbMoveset!A12,tbMoveset!A2:H112,8,FALSE)="Other",IF(VLOOKUP(tbMoveset!A12,tbMoveset!A2:I112,9,FALSE)="Fire",Backdoors!BB8,IF(VLOOKUP(tbMoveset!A12,tbMoveset!A2:I112,9,FALSE)="Water",Backdoors!BC8,IF(VLOOKUP(tbMoveset!A12,tbMoveset!A2:I112,9,FALSE)="Thunder",Backdoors!BD8,IF(VLOOKUP(tbMoveset!A12,tbMoveset!A2:I112,9,FALSE)="Ice",Backdoors!BE8,IF(VLOOKUP(tbMoveset!A12,tbMoveset!A2:I112,9,FALSE)="Dragon",Backdoors!BF8,Backdoors!BG8)))))/100,Backdoors!BG8/100),"")</f>
        <v>0</v>
      </c>
      <c r="AM12" s="49">
        <f>IFERROR(IF(VLOOKUP(A12,tbMoveset!A2:J112,10,FALSE)=TRUE,IF((Backdoors!AI12+IF(AK12&gt;=0.45,VLOOKUP(Calculator!E23,tbSkills!DH3:DI6,2,FALSE)+IF(AND(Calculator!B8=TRUE,Backdoors!BI8=TRUE),VLOOKUP(Calculator!E23,tbSkills!DH3:DJ6,3,FALSE),0),0))&gt;=0,1+(Backdoors!AL2*(IF((Backdoors!AI12+IF(AK12&gt;=0.45,VLOOKUP(Calculator!E23,tbSkills!DH3:DI6,2,FALSE)+IF(AND(Calculator!B8=TRUE,Backdoors!BI8=TRUE),VLOOKUP(Calculator!E23,tbSkills!DH3:DJ6,3,FALSE),0),0))&gt;=100,100,(Backdoors!AI12+IF(AK12&gt;=0.45,VLOOKUP(Calculator!E23,tbSkills!DH3:DI6,2,FALSE)+IF(AND(Calculator!B8=TRUE,Backdoors!BI8=TRUE),VLOOKUP(Calculator!E23,tbSkills!DH3:DJ6,3,FALSE),0),0)))/100)),(1-(0.25*((-Backdoors!AI12-IF(AK12&gt;=0.45,VLOOKUP(Calculator!E23,tbSkills!DH3:DI6,2,FALSE)+IF(AND(Calculator!B8=TRUE,Backdoors!BI8=TRUE),VLOOKUP(Calculator!E23,tbSkills!DH3:DJ6,3,FALSE),0),0))/100)))),1),"")</f>
        <v>1</v>
      </c>
      <c r="AN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K12)*AM12)*(VLOOKUP(A12,tbMoveset!A2:C112,3,FALSE)/100)*IF(VLOOKUP(A12,tbMoveset!A2:B112,2,FALSE)="Projectile",Backdoors!N10,Backdoors!N9),0),"")</f>
        <v>2</v>
      </c>
      <c r="AO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K12&gt;=0.45,VLOOKUP(Calculator!E23,tbSkills!DH3:DI6,2,FALSE)+IF(AND(Calculator!B8=TRUE,Backdoors!BI8=TRUE),VLOOKUP(Calculator!E23,tbSkills!DH3:DJ6,3,FALSE),0),0))&gt;=100,100,(Backdoors!AI12+IF(AK12&gt;=0.45,VLOOKUP(Calculator!E23,tbSkills!DH3:DI6,2,FALSE)+IF(AND(Calculator!B8=TRUE,Backdoors!BI8=TRUE),VLOOKUP(Calculator!E23,tbSkills!DH3:DJ6,3,FALSE),0),0)))/100)),1))*IF(VLOOKUP(A12,tbMoveset!A2:K112,11,FALSE)=TRUE,Backdoors!AC5,1))*AL12,0),"")</f>
        <v>0</v>
      </c>
      <c r="AP12" s="49">
        <f>VLOOKUP(A12,tbMoveset!A2:G112,7,FALSE)*IFERROR(IF(Backdoors!AI12&gt;=0,1+(IF(Calculator!E40&gt;0,VLOOKUP(Calculator!E40,tbSkills!AI3:AJ5,2,FALSE),Backdoors!AL4)*(IF((Backdoors!AI12+IF(AK12&gt;=0.45,VLOOKUP(Calculator!E23,tbSkills!DH3:DI6,2,FALSE)+IF(AND(Calculator!B8=TRUE,Backdoors!BI8=TRUE),VLOOKUP(Calculator!E23,tbSkills!DH3:DJ6,3,FALSE),0),0))&gt;=100,100,(Backdoors!AI12+IF(AK12&gt;=0.45,VLOOKUP(Calculator!E23,tbSkills!DH3:DI6,2,FALSE)+IF(AND(Calculator!B8=TRUE,Backdoors!BI8=TRUE),VLOOKUP(Calculator!E23,tbSkills!DH3:DJ6,3,FALSE),0),0)))/100)),1),1)</f>
        <v>0.4</v>
      </c>
      <c r="AQ12" s="87">
        <f t="shared" si="2"/>
        <v>2</v>
      </c>
      <c r="AR12" s="86">
        <f>IFERROR(IF(VLOOKUP(A12,tbMoveset!A2:B112,2,FALSE)="Sever",Backdoors!AY9/100,IF(VLOOKUP(A12,tbMoveset!A2:B112,2,FALSE)="Blunt",Backdoors!AZ9/100,Backdoors!BA9/100)),"")</f>
        <v>0.45</v>
      </c>
      <c r="AS12" s="49">
        <f>IFERROR(IF(VLOOKUP(tbMoveset!A12,tbMoveset!A2:H112,8,FALSE)="Other",IF(VLOOKUP(tbMoveset!A12,tbMoveset!A2:I112,9,FALSE)="Fire",Backdoors!BB9,IF(VLOOKUP(tbMoveset!A12,tbMoveset!A2:I112,9,FALSE)="Water",Backdoors!BC9,IF(VLOOKUP(tbMoveset!A12,tbMoveset!A2:I112,9,FALSE)="Thunder",Backdoors!BD9,IF(VLOOKUP(tbMoveset!A12,tbMoveset!A2:I112,9,FALSE)="Ice",Backdoors!BE9,IF(VLOOKUP(tbMoveset!A12,tbMoveset!A2:I112,9,FALSE)="Dragon",Backdoors!BF9,Backdoors!BG9)))))/100,Backdoors!BG9/100),"")</f>
        <v>0</v>
      </c>
      <c r="AT12" s="49">
        <f>IFERROR(IF(VLOOKUP(A12,tbMoveset!A2:J112,10,FALSE)=TRUE,IF((Backdoors!AI12+IF(AR12&gt;=0.45,VLOOKUP(Calculator!E23,tbSkills!DH3:DI6,2,FALSE)+IF(AND(Calculator!B8=TRUE,Backdoors!BI9=TRUE),VLOOKUP(Calculator!E23,tbSkills!DH3:DJ6,3,FALSE),0),0))&gt;=0,1+(Backdoors!AL2*(IF((Backdoors!AI12+IF(AR12&gt;=0.45,VLOOKUP(Calculator!E23,tbSkills!DH3:DI6,2,FALSE)+IF(AND(Calculator!B8=TRUE,Backdoors!BI9=TRUE),VLOOKUP(Calculator!E23,tbSkills!DH3:DJ6,3,FALSE),0),0))&gt;=100,100,(Backdoors!AI12+IF(AR12&gt;=0.45,VLOOKUP(Calculator!E23,tbSkills!DH3:DI6,2,FALSE)+IF(AND(Calculator!B8=TRUE,Backdoors!BI9=TRUE),VLOOKUP(Calculator!E23,tbSkills!DH3:DJ6,3,FALSE),0),0)))/100)),(1-(0.25*((-Backdoors!AI12-IF(AR12&gt;=0.45,VLOOKUP(Calculator!E23,tbSkills!DH3:DI6,2,FALSE)+IF(AND(Calculator!B8=TRUE,Backdoors!BI9=TRUE),VLOOKUP(Calculator!E23,tbSkills!DH3:DJ6,3,FALSE),0),0))/100)))),1),"")</f>
        <v>1</v>
      </c>
      <c r="AU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R12)*AT12)*(VLOOKUP(A12,tbMoveset!A2:C112,3,FALSE)/100)*IF(VLOOKUP(A12,tbMoveset!A2:B112,2,FALSE)="Projectile",Backdoors!N10,Backdoors!N9),0),"")</f>
        <v>2</v>
      </c>
      <c r="AV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R12&gt;=0.45,VLOOKUP(Calculator!E23,tbSkills!DH3:DI6,2,FALSE)+IF(AND(Calculator!B8=TRUE,Backdoors!BI9=TRUE),VLOOKUP(Calculator!E23,tbSkills!DH3:DJ6,3,FALSE),0),0))&gt;=100,100,(Backdoors!AI12+IF(AR12&gt;=0.45,VLOOKUP(Calculator!E23,tbSkills!DH3:DI6,2,FALSE)+IF(AND(Calculator!B8=TRUE,Backdoors!BI9=TRUE),VLOOKUP(Calculator!E23,tbSkills!DH3:DJ6,3,FALSE),0),0)))/100)),1))*IF(VLOOKUP(A12,tbMoveset!A2:K112,11,FALSE)=TRUE,Backdoors!AC5,1))*AS12,0),"")</f>
        <v>0</v>
      </c>
      <c r="AW12" s="49">
        <f>VLOOKUP(A12,tbMoveset!A2:G112,7,FALSE)*IFERROR(IF(Backdoors!AI12&gt;=0,1+(IF(Calculator!E40&gt;0,VLOOKUP(Calculator!E40,tbSkills!AI3:AJ5,2,FALSE),Backdoors!AL4)*(IF((Backdoors!AI12+IF(AR12&gt;=0.45,VLOOKUP(Calculator!E23,tbSkills!DH3:DI6,2,FALSE)+IF(AND(Calculator!B8=TRUE,Backdoors!BI9=TRUE),VLOOKUP(Calculator!E23,tbSkills!DH3:DJ6,3,FALSE),0),0))&gt;=100,100,(Backdoors!AI12+IF(AR12&gt;=0.45,VLOOKUP(Calculator!E23,tbSkills!DH3:DI6,2,FALSE)+IF(AND(Calculator!B8=TRUE,Backdoors!BI9=TRUE),VLOOKUP(Calculator!E23,tbSkills!DH3:DJ6,3,FALSE),0),0)))/100)),1),1)</f>
        <v>0.4</v>
      </c>
      <c r="AX12" s="87">
        <f t="shared" si="38"/>
        <v>2</v>
      </c>
      <c r="AY12" s="86">
        <f>IFERROR(IF(VLOOKUP(A12,tbMoveset!A2:B112,2,FALSE)="Sever",Backdoors!AY10/100,IF(VLOOKUP(A12,tbMoveset!A2:B112,2,FALSE)="Blunt",Backdoors!AZ10/100,Backdoors!BA10/100)),"")</f>
        <v>0.9</v>
      </c>
      <c r="AZ12" s="49">
        <f>IFERROR(IF(VLOOKUP(tbMoveset!A12,tbMoveset!A2:H112,8,FALSE)="Other",IF(VLOOKUP(tbMoveset!A12,tbMoveset!A2:I112,9,FALSE)="Fire",Backdoors!BB10,IF(VLOOKUP(tbMoveset!A12,tbMoveset!A2:I112,9,FALSE)="Water",Backdoors!BC10,IF(VLOOKUP(tbMoveset!A12,tbMoveset!A2:I112,9,FALSE)="Thunder",Backdoors!BD10,IF(VLOOKUP(tbMoveset!A12,tbMoveset!A2:I112,9,FALSE)="Ice",Backdoors!BE10,IF(VLOOKUP(tbMoveset!A12,tbMoveset!A2:I112,9,FALSE)="Dragon",Backdoors!BF10,Backdoors!BG10)))))/100,Backdoors!BG10/100),"")</f>
        <v>0</v>
      </c>
      <c r="BA12" s="49">
        <f>IFERROR(IF(VLOOKUP(A12,tbMoveset!A2:J112,10,FALSE)=TRUE,IF((Backdoors!AI12+IF(AY12&gt;=0.45,VLOOKUP(Calculator!E23,tbSkills!DH3:DI6,2,FALSE)+IF(AND(Calculator!B8=TRUE,Backdoors!BI10=TRUE),VLOOKUP(Calculator!E23,tbSkills!DH3:DJ6,3,FALSE),0),0))&gt;=0,1+(Backdoors!AL2*(IF((Backdoors!AI12+IF(AY12&gt;=0.45,VLOOKUP(Calculator!E23,tbSkills!DH3:DI6,2,FALSE)+IF(AND(Calculator!B8=TRUE,Backdoors!BI10=TRUE),VLOOKUP(Calculator!E23,tbSkills!DH3:DJ6,3,FALSE),0),0))&gt;=100,100,(Backdoors!AI12+IF(AY12&gt;=0.45,VLOOKUP(Calculator!E23,tbSkills!DH3:DI6,2,FALSE)+IF(AND(Calculator!B8=TRUE,Backdoors!BI10=TRUE),VLOOKUP(Calculator!E23,tbSkills!DH3:DJ6,3,FALSE),0),0)))/100)),(1-(0.25*((-Backdoors!AI12-IF(AY12&gt;=0.45,VLOOKUP(Calculator!E23,tbSkills!DH3:DI6,2,FALSE)+IF(AND(Calculator!B8=TRUE,Backdoors!BI10=TRUE),VLOOKUP(Calculator!E23,tbSkills!DH3:DJ6,3,FALSE),0),0))/100)))),1),"")</f>
        <v>1</v>
      </c>
      <c r="BB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Y12)*BA12)*(VLOOKUP(A12,tbMoveset!A2:C112,3,FALSE)/100)*IF(VLOOKUP(A12,tbMoveset!A2:B112,2,FALSE)="Projectile",Backdoors!N10,Backdoors!N9),0),"")</f>
        <v>4</v>
      </c>
      <c r="BC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Y12&gt;=0.45,VLOOKUP(Calculator!E23,tbSkills!DH3:DI6,2,FALSE)+IF(AND(Calculator!B8=TRUE,Backdoors!BI10=TRUE),VLOOKUP(Calculator!E23,tbSkills!DH3:DJ6,3,FALSE),0),0))&gt;=100,100,(Backdoors!AI12+IF(AY12&gt;=0.45,VLOOKUP(Calculator!E23,tbSkills!DH3:DI6,2,FALSE)+IF(AND(Calculator!B8=TRUE,Backdoors!BI10=TRUE),VLOOKUP(Calculator!E23,tbSkills!DH3:DJ6,3,FALSE),0),0)))/100)),1))*IF(VLOOKUP(A12,tbMoveset!A2:K112,11,FALSE)=TRUE,Backdoors!AC5,1))*AZ12,0),"")</f>
        <v>0</v>
      </c>
      <c r="BD12" s="49">
        <f>VLOOKUP(A12,tbMoveset!A2:G112,7,FALSE)*IFERROR(IF(Backdoors!AI12&gt;=0,1+(IF(Calculator!E40&gt;0,VLOOKUP(Calculator!E40,tbSkills!AI3:AJ5,2,FALSE),Backdoors!AL4)*(IF((Backdoors!AI12+IF(AY12&gt;=0.45,VLOOKUP(Calculator!E23,tbSkills!DH3:DI6,2,FALSE)+IF(AND(Calculator!B8=TRUE,Backdoors!BI10=TRUE),VLOOKUP(Calculator!E23,tbSkills!DH3:DJ6,3,FALSE),0),0))&gt;=100,100,(Backdoors!AI12+IF(AY12&gt;=0.45,VLOOKUP(Calculator!E23,tbSkills!DH3:DI6,2,FALSE)+IF(AND(Calculator!B8=TRUE,Backdoors!BI10=TRUE),VLOOKUP(Calculator!E23,tbSkills!DH3:DJ6,3,FALSE),0),0)))/100)),1),1)</f>
        <v>0.4</v>
      </c>
      <c r="BE12" s="87">
        <f t="shared" si="3"/>
        <v>4</v>
      </c>
      <c r="BF12" s="86" t="str">
        <f>IFERROR(IF(VLOOKUP(A12,tbMoveset!A2:B112,2,FALSE)="Sever",Backdoors!AY11/100,IF(VLOOKUP(A12,tbMoveset!A2:B112,2,FALSE)="Blunt",Backdoors!AZ11/100,Backdoors!BA11/100)),"")</f>
        <v/>
      </c>
      <c r="BG12" s="49">
        <f>IFERROR(IF(VLOOKUP(tbMoveset!A12,tbMoveset!A2:H112,8,FALSE)="Other",IF(VLOOKUP(tbMoveset!A12,tbMoveset!A2:I112,9,FALSE)="Fire",Backdoors!BB11,IF(VLOOKUP(tbMoveset!A12,tbMoveset!A2:I112,9,FALSE)="Water",Backdoors!BC11,IF(VLOOKUP(tbMoveset!A12,tbMoveset!A2:I112,9,FALSE)="Thunder",Backdoors!BD11,IF(VLOOKUP(tbMoveset!A12,tbMoveset!A2:I112,9,FALSE)="Ice",Backdoors!BE11,IF(VLOOKUP(tbMoveset!A12,tbMoveset!A2:I112,9,FALSE)="Dragon",Backdoors!BF11,Backdoors!BG11)))))/100,Backdoors!BG11/100),"")</f>
        <v>0</v>
      </c>
      <c r="BH12" s="49">
        <f>IFERROR(IF(VLOOKUP(A12,tbMoveset!A2:J112,10,FALSE)=TRUE,IF((Backdoors!AI12+IF(BF12&gt;=0.45,VLOOKUP(Calculator!E23,tbSkills!DH3:DI6,2,FALSE)+IF(AND(Calculator!B8=TRUE,Backdoors!BI11=TRUE),VLOOKUP(Calculator!E23,tbSkills!DH3:DJ6,3,FALSE),0),0))&gt;=0,1+(Backdoors!AL2*(IF((Backdoors!AI12+IF(BF12&gt;=0.45,VLOOKUP(Calculator!E23,tbSkills!DH3:DI6,2,FALSE)+IF(AND(Calculator!B8=TRUE,Backdoors!BI11=TRUE),VLOOKUP(Calculator!E23,tbSkills!DH3:DJ6,3,FALSE),0),0))&gt;=100,100,(Backdoors!AI12+IF(BF12&gt;=0.45,VLOOKUP(Calculator!E23,tbSkills!DH3:DI6,2,FALSE)+IF(AND(Calculator!B8=TRUE,Backdoors!BI11=TRUE),VLOOKUP(Calculator!E23,tbSkills!DH3:DJ6,3,FALSE),0),0)))/100)),(1-(0.25*((-Backdoors!AI12-IF(BF12&gt;=0.45,VLOOKUP(Calculator!E23,tbSkills!DH3:DI6,2,FALSE)+IF(AND(Calculator!B8=TRUE,Backdoors!BI11=TRUE),VLOOKUP(Calculator!E23,tbSkills!DH3:DJ6,3,FALSE),0),0))/100)))),1),"")</f>
        <v>1</v>
      </c>
      <c r="BI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F12)*BH12)*(VLOOKUP(A12,tbMoveset!A2:C112,3,FALSE)/100)*IF(VLOOKUP(A12,tbMoveset!A2:B112,2,FALSE)="Projectile",Backdoors!N10,Backdoors!N9),0),"")</f>
        <v/>
      </c>
      <c r="BJ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F12&gt;=0.45,VLOOKUP(Calculator!E23,tbSkills!DH3:DI6,2,FALSE)+IF(AND(Calculator!B8=TRUE,Backdoors!BI11=TRUE),VLOOKUP(Calculator!E23,tbSkills!DH3:DJ6,3,FALSE),0),0))&gt;=100,100,(Backdoors!AI12+IF(BF12&gt;=0.45,VLOOKUP(Calculator!E23,tbSkills!DH3:DI6,2,FALSE)+IF(AND(Calculator!B8=TRUE,Backdoors!BI11=TRUE),VLOOKUP(Calculator!E23,tbSkills!DH3:DJ6,3,FALSE),0),0)))/100)),1))*IF(VLOOKUP(A12,tbMoveset!A2:K112,11,FALSE)=TRUE,Backdoors!AC5,1))*BG12,0),"")</f>
        <v>0</v>
      </c>
      <c r="BK12" s="49">
        <f>VLOOKUP(A12,tbMoveset!A2:G112,7,FALSE)*IFERROR(IF(Backdoors!AI12&gt;=0,1+(IF(Calculator!E40&gt;0,VLOOKUP(Calculator!E40,tbSkills!AI3:AJ5,2,FALSE),Backdoors!AL4)*(IF((Backdoors!AI12+IF(BF12&gt;=0.45,VLOOKUP(Calculator!E23,tbSkills!DH3:DI6,2,FALSE)+IF(AND(Calculator!B8=TRUE,Backdoors!BI11=TRUE),VLOOKUP(Calculator!E23,tbSkills!DH3:DJ6,3,FALSE),0),0))&gt;=100,100,(Backdoors!AI12+IF(BF12&gt;=0.45,VLOOKUP(Calculator!E23,tbSkills!DH3:DI6,2,FALSE)+IF(AND(Calculator!B8=TRUE,Backdoors!BI11=TRUE),VLOOKUP(Calculator!E23,tbSkills!DH3:DJ6,3,FALSE),0),0)))/100)),1),1)</f>
        <v>0.4</v>
      </c>
      <c r="BL12" s="87">
        <f t="shared" si="4"/>
        <v>0</v>
      </c>
      <c r="BM12" s="86" t="str">
        <f>IFERROR(IF(VLOOKUP(A12,tbMoveset!A2:B112,2,FALSE)="Sever",Backdoors!AY12/100,IF(VLOOKUP(A12,tbMoveset!A2:B112,2,FALSE)="Blunt",Backdoors!AZ12/100,Backdoors!BA12/100)),"")</f>
        <v/>
      </c>
      <c r="BN12" s="49">
        <f>IFERROR(IF(VLOOKUP(tbMoveset!A12,tbMoveset!A2:H112,8,FALSE)="Other",IF(VLOOKUP(tbMoveset!A12,tbMoveset!A2:I112,9,FALSE)="Fire",Backdoors!BB12,IF(VLOOKUP(tbMoveset!A12,tbMoveset!A2:I112,9,FALSE)="Water",Backdoors!BC12,IF(VLOOKUP(tbMoveset!A12,tbMoveset!A2:I112,9,FALSE)="Thunder",Backdoors!BD12,IF(VLOOKUP(tbMoveset!A12,tbMoveset!A2:I112,9,FALSE)="Ice",Backdoors!BE12,IF(VLOOKUP(tbMoveset!A12,tbMoveset!A2:I112,9,FALSE)="Dragon",Backdoors!BF12,Backdoors!BG12)))))/100,Backdoors!BG12/100),"")</f>
        <v>0</v>
      </c>
      <c r="BO12" s="49">
        <f>IFERROR(IF(VLOOKUP(A12,tbMoveset!A2:J112,10,FALSE)=TRUE,IF((Backdoors!AI12+IF(BM12&gt;=0.45,VLOOKUP(Calculator!E23,tbSkills!DH3:DI6,2,FALSE)+IF(AND(Calculator!B8=TRUE,Backdoors!BI12=TRUE),VLOOKUP(Calculator!E23,tbSkills!DH3:DJ6,3,FALSE),0),0))&gt;=0,1+(Backdoors!AL2*(IF((Backdoors!AI12+IF(BM12&gt;=0.45,VLOOKUP(Calculator!E23,tbSkills!DH3:DI6,2,FALSE)+IF(AND(Calculator!B8=TRUE,Backdoors!BI12=TRUE),VLOOKUP(Calculator!E23,tbSkills!DH3:DJ6,3,FALSE),0),0))&gt;=100,100,(Backdoors!AI12+IF(BM12&gt;=0.45,VLOOKUP(Calculator!E23,tbSkills!DH3:DI6,2,FALSE)+IF(AND(Calculator!B8=TRUE,Backdoors!BI12=TRUE),VLOOKUP(Calculator!E23,tbSkills!DH3:DJ6,3,FALSE),0),0)))/100)),(1-(0.25*((-Backdoors!AI12-IF(BM12&gt;=0.45,VLOOKUP(Calculator!E23,tbSkills!DH3:DI6,2,FALSE)+IF(AND(Calculator!B8=TRUE,Backdoors!BI12=TRUE),VLOOKUP(Calculator!E23,tbSkills!DH3:DJ6,3,FALSE),0),0))/100)))),1),"")</f>
        <v>1</v>
      </c>
      <c r="BP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M12)*BO12)*(VLOOKUP(A12,tbMoveset!A2:C112,3,FALSE)/100)*IF(VLOOKUP(A12,tbMoveset!A2:B112,2,FALSE)="Projectile",Backdoors!N10,Backdoors!N9),0),"")</f>
        <v/>
      </c>
      <c r="BQ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M12&gt;=0.45,VLOOKUP(Calculator!E23,tbSkills!DH3:DI6,2,FALSE)+IF(AND(Calculator!B8=TRUE,Backdoors!BI12=TRUE),VLOOKUP(Calculator!E23,tbSkills!DH3:DJ6,3,FALSE),0),0))&gt;=100,100,(Backdoors!AI12+IF(BM12&gt;=0.45,VLOOKUP(Calculator!E23,tbSkills!DH3:DI6,2,FALSE)+IF(AND(Calculator!B8=TRUE,Backdoors!BI12=TRUE),VLOOKUP(Calculator!E23,tbSkills!DH3:DJ6,3,FALSE),0),0)))/100)),1))*IF(VLOOKUP(A12,tbMoveset!A2:K112,11,FALSE)=TRUE,Backdoors!AC5,1))*BN12,0),"")</f>
        <v>0</v>
      </c>
      <c r="BR12" s="49">
        <f>VLOOKUP(A12,tbMoveset!A2:G112,7,FALSE)*IFERROR(IF(Backdoors!AI12&gt;=0,1+(IF(Calculator!E40&gt;0,VLOOKUP(Calculator!E40,tbSkills!AI3:AJ5,2,FALSE),Backdoors!AL4)*(IF((Backdoors!AI12+IF(BM12&gt;=0.45,VLOOKUP(Calculator!E23,tbSkills!DH3:DI6,2,FALSE)+IF(AND(Calculator!B8=TRUE,Backdoors!BI12=TRUE),VLOOKUP(Calculator!E23,tbSkills!DH3:DJ6,3,FALSE),0),0))&gt;=100,100,(Backdoors!AI12+IF(BM12&gt;=0.45,VLOOKUP(Calculator!E23,tbSkills!DH3:DI6,2,FALSE)+IF(AND(Calculator!B8=TRUE,Backdoors!BI12=TRUE),VLOOKUP(Calculator!E23,tbSkills!DH3:DJ6,3,FALSE),0),0)))/100)),1),1)</f>
        <v>0.4</v>
      </c>
      <c r="BS12" s="87">
        <f t="shared" si="39"/>
        <v>0</v>
      </c>
      <c r="BT12" s="86" t="str">
        <f>IFERROR(IF(VLOOKUP(A12,tbMoveset!A2:B112,2,FALSE)="Sever",Backdoors!AY13/100,IF(VLOOKUP(A12,tbMoveset!A2:B112,2,FALSE)="Blunt",Backdoors!AZ13/100,Backdoors!BA13/100)),"")</f>
        <v/>
      </c>
      <c r="BU12" s="49">
        <f>IFERROR(IF(VLOOKUP(tbMoveset!A12,tbMoveset!A2:H112,8,FALSE)="Other",IF(VLOOKUP(tbMoveset!A12,tbMoveset!A2:I112,9,FALSE)="Fire",Backdoors!BB13,IF(VLOOKUP(tbMoveset!A12,tbMoveset!A2:I112,9,FALSE)="Water",Backdoors!BC13,IF(VLOOKUP(tbMoveset!A12,tbMoveset!A2:I112,9,FALSE)="Thunder",Backdoors!BD13,IF(VLOOKUP(tbMoveset!A12,tbMoveset!A2:I112,9,FALSE)="Ice",Backdoors!BE13,IF(VLOOKUP(tbMoveset!A12,tbMoveset!A2:I112,9,FALSE)="Dragon",Backdoors!BF13,Backdoors!BG13)))))/100,Backdoors!BG13/100),"")</f>
        <v>0</v>
      </c>
      <c r="BV12" s="49">
        <f>IFERROR(IF(VLOOKUP(A12,tbMoveset!A2:J112,10,FALSE)=TRUE,IF((Backdoors!AI12+IF(BT12&gt;=0.45,VLOOKUP(Calculator!E23,tbSkills!DH3:DI6,2,FALSE)+IF(AND(Calculator!B8=TRUE,Backdoors!BI13=TRUE),VLOOKUP(Calculator!E23,tbSkills!DH3:DJ6,3,FALSE),0),0))&gt;=0,1+(Backdoors!AL2*(IF((Backdoors!AI12+IF(BT12&gt;=0.45,VLOOKUP(Calculator!E23,tbSkills!DH3:DI6,2,FALSE)+IF(AND(Calculator!B8=TRUE,Backdoors!BI13=TRUE),VLOOKUP(Calculator!E23,tbSkills!DH3:DJ6,3,FALSE),0),0))&gt;=100,100,(Backdoors!AI12+IF(BT12&gt;=0.45,VLOOKUP(Calculator!E23,tbSkills!DH3:DI6,2,FALSE)+IF(AND(Calculator!B8=TRUE,Backdoors!BI13=TRUE),VLOOKUP(Calculator!E23,tbSkills!DH3:DJ6,3,FALSE),0),0)))/100)),(1-(0.25*((-Backdoors!AI12-IF(BT12&gt;=0.45,VLOOKUP(Calculator!E23,tbSkills!DH3:DI6,2,FALSE)+IF(AND(Calculator!B8=TRUE,Backdoors!BI13=TRUE),VLOOKUP(Calculator!E23,tbSkills!DH3:DJ6,3,FALSE),0),0))/100)))),1),"")</f>
        <v>1</v>
      </c>
      <c r="BW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T12)*BV12)*(VLOOKUP(A12,tbMoveset!A2:C112,3,FALSE)/100)*IF(VLOOKUP(A12,tbMoveset!A2:B112,2,FALSE)="Projectile",Backdoors!N10,Backdoors!N9),0),"")</f>
        <v/>
      </c>
      <c r="BX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T12&gt;=0.45,VLOOKUP(Calculator!E23,tbSkills!DH3:DI6,2,FALSE)+IF(AND(Calculator!B8=TRUE,Backdoors!BI13=TRUE),VLOOKUP(Calculator!E23,tbSkills!DH3:DJ6,3,FALSE),0),0))&gt;=100,100,(Backdoors!AI12+IF(BT12&gt;=0.45,VLOOKUP(Calculator!E23,tbSkills!DH3:DI6,2,FALSE)+IF(AND(Calculator!B8=TRUE,Backdoors!BI13=TRUE),VLOOKUP(Calculator!E23,tbSkills!DH3:DJ6,3,FALSE),0),0)))/100)),1))*IF(VLOOKUP(A12,tbMoveset!A2:K112,11,FALSE)=TRUE,Backdoors!AC5,1))*BU12,0),"")</f>
        <v>0</v>
      </c>
      <c r="BY12" s="49">
        <f>VLOOKUP(A12,tbMoveset!A2:G112,7,FALSE)*IFERROR(IF(Backdoors!AI12&gt;=0,1+(IF(Calculator!E40&gt;0,VLOOKUP(Calculator!E40,tbSkills!AI3:AJ5,2,FALSE),Backdoors!AL4)*(IF((Backdoors!AI12+IF(BT12&gt;=0.45,VLOOKUP(Calculator!E23,tbSkills!DH3:DI6,2,FALSE)+IF(AND(Calculator!B8=TRUE,Backdoors!BI13=TRUE),VLOOKUP(Calculator!E23,tbSkills!DH3:DJ6,3,FALSE),0),0))&gt;=100,100,(Backdoors!AI12+IF(BT12&gt;=0.45,VLOOKUP(Calculator!E23,tbSkills!DH3:DI6,2,FALSE)+IF(AND(Calculator!B8=TRUE,Backdoors!BI13=TRUE),VLOOKUP(Calculator!E23,tbSkills!DH3:DJ6,3,FALSE),0),0)))/100)),1),1)</f>
        <v>0.4</v>
      </c>
      <c r="BZ12" s="87">
        <f t="shared" si="5"/>
        <v>0</v>
      </c>
      <c r="CA12" s="86" t="str">
        <f>IFERROR(IF(VLOOKUP(A12,tbMoveset!A2:B112,2,FALSE)="Sever",Backdoors!AY14/100,IF(VLOOKUP(A12,tbMoveset!A2:B112,2,FALSE)="Blunt",Backdoors!AZ14/100,Backdoors!BA14/100)),"")</f>
        <v/>
      </c>
      <c r="CB12" s="49">
        <f>IFERROR(IF(VLOOKUP(tbMoveset!A12,tbMoveset!A2:H112,8,FALSE)="Other",IF(VLOOKUP(tbMoveset!A12,tbMoveset!A2:I112,9,FALSE)="Fire",Backdoors!BB14,IF(VLOOKUP(tbMoveset!A12,tbMoveset!A2:I112,9,FALSE)="Water",Backdoors!BC14,IF(VLOOKUP(tbMoveset!A12,tbMoveset!A2:I112,9,FALSE)="Thunder",Backdoors!BD14,IF(VLOOKUP(tbMoveset!A12,tbMoveset!A2:I112,9,FALSE)="Ice",Backdoors!BE14,IF(VLOOKUP(tbMoveset!A12,tbMoveset!A2:I112,9,FALSE)="Dragon",Backdoors!BF14,Backdoors!BG14)))))/100,Backdoors!BG14/100),"")</f>
        <v>0</v>
      </c>
      <c r="CC12" s="49">
        <f>IFERROR(IF(VLOOKUP(A12,tbMoveset!A2:J112,10,FALSE)=TRUE,IF((Backdoors!AI12+IF(CA12&gt;=0.45,VLOOKUP(Calculator!E23,tbSkills!DH3:DI6,2,FALSE)+IF(AND(Calculator!B8=TRUE,Backdoors!BI14=TRUE),VLOOKUP(Calculator!E23,tbSkills!DH3:DJ6,3,FALSE),0),0))&gt;=0,1+(Backdoors!AL2*(IF((Backdoors!AI12+IF(CA12&gt;=0.45,VLOOKUP(Calculator!E23,tbSkills!DH3:DI6,2,FALSE)+IF(AND(Calculator!B8=TRUE,Backdoors!BI14=TRUE),VLOOKUP(Calculator!E23,tbSkills!DH3:DJ6,3,FALSE),0),0))&gt;=100,100,(Backdoors!AI12+IF(CA12&gt;=0.45,VLOOKUP(Calculator!E23,tbSkills!DH3:DI6,2,FALSE)+IF(AND(Calculator!B8=TRUE,Backdoors!BI14=TRUE),VLOOKUP(Calculator!E23,tbSkills!DH3:DJ6,3,FALSE),0),0)))/100)),(1-(0.25*((-Backdoors!AI12-IF(CA12&gt;=0.45,VLOOKUP(Calculator!E23,tbSkills!DH3:DI6,2,FALSE)+IF(AND(Calculator!B8=TRUE,Backdoors!BI14=TRUE),VLOOKUP(Calculator!E23,tbSkills!DH3:DJ6,3,FALSE),0),0))/100)))),1),"")</f>
        <v>1</v>
      </c>
      <c r="CD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A12)*CC12)*(VLOOKUP(A12,tbMoveset!A2:C112,3,FALSE)/100)*IF(VLOOKUP(A12,tbMoveset!A2:B112,2,FALSE)="Projectile",Backdoors!N10,Backdoors!N9),0),"")</f>
        <v/>
      </c>
      <c r="CE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A12&gt;=0.45,VLOOKUP(Calculator!E23,tbSkills!DH3:DI6,2,FALSE)+IF(AND(Calculator!B8=TRUE,Backdoors!BI14=TRUE),VLOOKUP(Calculator!E23,tbSkills!DH3:DJ6,3,FALSE),0),0))&gt;=100,100,(Backdoors!AI12+IF(CA12&gt;=0.45,VLOOKUP(Calculator!E23,tbSkills!DH3:DI6,2,FALSE)+IF(AND(Calculator!B8=TRUE,Backdoors!BI14=TRUE),VLOOKUP(Calculator!E23,tbSkills!DH3:DJ6,3,FALSE),0),0)))/100)),1))*IF(VLOOKUP(A12,tbMoveset!A2:K112,11,FALSE)=TRUE,Backdoors!AC5,1))*CB12,0),"")</f>
        <v>0</v>
      </c>
      <c r="CF12" s="49">
        <f>VLOOKUP(A12,tbMoveset!A2:G112,7,FALSE)*IFERROR(IF(Backdoors!AI12&gt;=0,1+(IF(Calculator!E40&gt;0,VLOOKUP(Calculator!E40,tbSkills!AI3:AJ5,2,FALSE),Backdoors!AL4)*(IF((Backdoors!AI12+IF(CA12&gt;=0.45,VLOOKUP(Calculator!E23,tbSkills!DH3:DI6,2,FALSE)+IF(AND(Calculator!B8=TRUE,Backdoors!BI14=TRUE),VLOOKUP(Calculator!E23,tbSkills!DH3:DJ6,3,FALSE),0),0))&gt;=100,100,(Backdoors!AI12+IF(CA12&gt;=0.45,VLOOKUP(Calculator!E23,tbSkills!DH3:DI6,2,FALSE)+IF(AND(Calculator!B8=TRUE,Backdoors!BI14=TRUE),VLOOKUP(Calculator!E23,tbSkills!DH3:DJ6,3,FALSE),0),0)))/100)),1),1)</f>
        <v>0.4</v>
      </c>
      <c r="CG12" s="87">
        <f t="shared" si="6"/>
        <v>0</v>
      </c>
      <c r="CH12" s="86" t="str">
        <f>IFERROR(IF(VLOOKUP(A12,tbMoveset!A2:B112,2,FALSE)="Sever",Backdoors!AY15/100,IF(VLOOKUP(A12,tbMoveset!A2:B112,2,FALSE)="Blunt",Backdoors!AZ15/100,Backdoors!BA15/100)),"")</f>
        <v/>
      </c>
      <c r="CI12" s="49">
        <f>IFERROR(IF(VLOOKUP(tbMoveset!A12,tbMoveset!A2:H112,8,FALSE)="Other",IF(VLOOKUP(tbMoveset!A12,tbMoveset!A2:I112,9,FALSE)="Fire",Backdoors!BB15,IF(VLOOKUP(tbMoveset!A12,tbMoveset!A2:I112,9,FALSE)="Water",Backdoors!BC15,IF(VLOOKUP(tbMoveset!A12,tbMoveset!A2:I112,9,FALSE)="Thunder",Backdoors!BD15,IF(VLOOKUP(tbMoveset!A12,tbMoveset!A2:I112,9,FALSE)="Ice",Backdoors!BE15,IF(VLOOKUP(tbMoveset!A12,tbMoveset!A2:I112,9,FALSE)="Dragon",Backdoors!BF15,Backdoors!BG15)))))/100,Backdoors!BG15/100),"")</f>
        <v>0</v>
      </c>
      <c r="CJ12" s="49">
        <f>IFERROR(IF(VLOOKUP(A12,tbMoveset!A2:J112,10,FALSE)=TRUE,IF((Backdoors!AI12+IF(CH12&gt;=0.45,VLOOKUP(Calculator!E23,tbSkills!DH3:DI6,2,FALSE)+IF(AND(Calculator!B8=TRUE,Backdoors!BI15=TRUE),VLOOKUP(Calculator!E23,tbSkills!DH3:DJ6,3,FALSE),0),0))&gt;=0,1+(Backdoors!AL2*(IF((Backdoors!AI12+IF(CH12&gt;=0.45,VLOOKUP(Calculator!E23,tbSkills!DH3:DI6,2,FALSE)+IF(AND(Calculator!B8=TRUE,Backdoors!BI15=TRUE),VLOOKUP(Calculator!E23,tbSkills!DH3:DJ6,3,FALSE),0),0))&gt;=100,100,(Backdoors!AI12+IF(CH12&gt;=0.45,VLOOKUP(Calculator!E23,tbSkills!DH3:DI6,2,FALSE)+IF(AND(Calculator!B8=TRUE,Backdoors!BI15=TRUE),VLOOKUP(Calculator!E23,tbSkills!DH3:DJ6,3,FALSE),0),0)))/100)),(1-(0.25*((-Backdoors!AI12-IF(CH12&gt;=0.45,VLOOKUP(Calculator!E23,tbSkills!DH3:DI6,2,FALSE)+IF(AND(Calculator!B8=TRUE,Backdoors!BI15=TRUE),VLOOKUP(Calculator!E23,tbSkills!DH3:DJ6,3,FALSE),0),0))/100)))),1),"")</f>
        <v>1</v>
      </c>
      <c r="CK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H12)*CJ12)*(VLOOKUP(A12,tbMoveset!A2:C112,3,FALSE)/100)*IF(VLOOKUP(A12,tbMoveset!A2:B112,2,FALSE)="Projectile",Backdoors!N10,Backdoors!N9),0),"")</f>
        <v/>
      </c>
      <c r="CL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H12&gt;=0.45,VLOOKUP(Calculator!E23,tbSkills!DH3:DI6,2,FALSE)+IF(AND(Calculator!B8=TRUE,Backdoors!BI15=TRUE),VLOOKUP(Calculator!E23,tbSkills!DH3:DJ6,3,FALSE),0),0))&gt;=100,100,(Backdoors!AI12+IF(CH12&gt;=0.45,VLOOKUP(Calculator!E23,tbSkills!DH3:DI6,2,FALSE)+IF(AND(Calculator!B8=TRUE,Backdoors!BI15=TRUE),VLOOKUP(Calculator!E23,tbSkills!DH3:DJ6,3,FALSE),0),0)))/100)),1))*IF(VLOOKUP(A12,tbMoveset!A2:K112,11,FALSE)=TRUE,Backdoors!AC5,1))*CI12,0),"")</f>
        <v>0</v>
      </c>
      <c r="CM12" s="49">
        <f>VLOOKUP(A12,tbMoveset!A2:G112,7,FALSE)*IFERROR(IF(Backdoors!AI12&gt;=0,1+(IF(Calculator!E40&gt;0,VLOOKUP(Calculator!E40,tbSkills!AI3:AJ5,2,FALSE),Backdoors!AL4)*(IF((Backdoors!AI12+IF(CH12&gt;=0.45,VLOOKUP(Calculator!E23,tbSkills!DH3:DI6,2,FALSE)+IF(AND(Calculator!B8=TRUE,Backdoors!BI15=TRUE),VLOOKUP(Calculator!E23,tbSkills!DH3:DJ6,3,FALSE),0),0))&gt;=100,100,(Backdoors!AI12+IF(CH12&gt;=0.45,VLOOKUP(Calculator!E23,tbSkills!DH3:DI6,2,FALSE)+IF(AND(Calculator!B8=TRUE,Backdoors!BI15=TRUE),VLOOKUP(Calculator!E23,tbSkills!DH3:DJ6,3,FALSE),0),0)))/100)),1),1)</f>
        <v>0.4</v>
      </c>
      <c r="CN12" s="87">
        <f t="shared" si="7"/>
        <v>0</v>
      </c>
      <c r="CO12" s="86" t="str">
        <f>IFERROR(IF(VLOOKUP(A12,tbMoveset!A2:B112,2,FALSE)="Sever",Backdoors!AY16/100,IF(VLOOKUP(A12,tbMoveset!A2:B112,2,FALSE)="Blunt",Backdoors!AZ16/100,Backdoors!BA16/100)),"")</f>
        <v/>
      </c>
      <c r="CP12" s="49">
        <f>IFERROR(IF(VLOOKUP(tbMoveset!A12,tbMoveset!A2:H112,8,FALSE)="Other",IF(VLOOKUP(tbMoveset!A12,tbMoveset!A2:I112,9,FALSE)="Fire",Backdoors!BB16,IF(VLOOKUP(tbMoveset!A12,tbMoveset!A2:I112,9,FALSE)="Water",Backdoors!BC16,IF(VLOOKUP(tbMoveset!A12,tbMoveset!A2:I112,9,FALSE)="Thunder",Backdoors!BD16,IF(VLOOKUP(tbMoveset!A12,tbMoveset!A2:I112,9,FALSE)="Ice",Backdoors!BE16,IF(VLOOKUP(tbMoveset!A12,tbMoveset!A2:I112,9,FALSE)="Dragon",Backdoors!BF16,Backdoors!BG16)))))/100,Backdoors!BG16/100),"")</f>
        <v>0</v>
      </c>
      <c r="CQ12" s="49">
        <f>IFERROR(IF(VLOOKUP(A12,tbMoveset!A2:J112,10,FALSE)=TRUE,IF((Backdoors!AI12+IF(CO12&gt;=0.45,VLOOKUP(Calculator!E23,tbSkills!DH3:DI6,2,FALSE)+IF(AND(Calculator!B8=TRUE,Backdoors!BI16=TRUE),VLOOKUP(Calculator!E23,tbSkills!DH3:DJ6,3,FALSE),0),0))&gt;=0,1+(Backdoors!AL2*(IF((Backdoors!AI12+IF(CO12&gt;=0.45,VLOOKUP(Calculator!E23,tbSkills!DH3:DI6,2,FALSE)+IF(AND(Calculator!B8=TRUE,Backdoors!BI16=TRUE),VLOOKUP(Calculator!E23,tbSkills!DH3:DJ6,3,FALSE),0),0))&gt;=100,100,(Backdoors!AI12+IF(CO12&gt;=0.45,VLOOKUP(Calculator!E23,tbSkills!DH3:DI6,2,FALSE)+IF(AND(Calculator!B8=TRUE,Backdoors!BI16=TRUE),VLOOKUP(Calculator!E23,tbSkills!DH3:DJ6,3,FALSE),0),0)))/100)),(1-(0.25*((-Backdoors!AI12-IF(CO12&gt;=0.45,VLOOKUP(Calculator!E23,tbSkills!DH3:DI6,2,FALSE)+IF(AND(Calculator!B8=TRUE,Backdoors!BI16=TRUE),VLOOKUP(Calculator!E23,tbSkills!DH3:DJ6,3,FALSE),0),0))/100)))),1),"")</f>
        <v>1</v>
      </c>
      <c r="CR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O12)*CQ12)*(VLOOKUP(A12,tbMoveset!A2:C112,3,FALSE)/100)*IF(VLOOKUP(A12,tbMoveset!A2:B112,2,FALSE)="Projectile",Backdoors!N10,Backdoors!N9),0),"")</f>
        <v/>
      </c>
      <c r="CS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O12&gt;=0.45,VLOOKUP(Calculator!E23,tbSkills!DH3:DI6,2,FALSE)+IF(AND(Calculator!B8=TRUE,Backdoors!BI16=TRUE),VLOOKUP(Calculator!E23,tbSkills!DH3:DJ6,3,FALSE),0),0))&gt;=100,100,(Backdoors!AI12+IF(CO12&gt;=0.45,VLOOKUP(Calculator!E23,tbSkills!DH3:DI6,2,FALSE)+IF(AND(Calculator!B8=TRUE,Backdoors!BI16=TRUE),VLOOKUP(Calculator!E23,tbSkills!DH3:DJ6,3,FALSE),0),0)))/100)),1))*IF(VLOOKUP(A12,tbMoveset!A2:K112,11,FALSE)=TRUE,Backdoors!AC5,1))*CP12,0),"")</f>
        <v>0</v>
      </c>
      <c r="CT12" s="49">
        <f>VLOOKUP(A12,tbMoveset!A2:G112,7,FALSE)*IFERROR(IF(Backdoors!AI12&gt;=0,1+(IF(Calculator!E40&gt;0,VLOOKUP(Calculator!E40,tbSkills!AI3:AJ5,2,FALSE),Backdoors!AL4)*(IF((Backdoors!AI12+IF(CO12&gt;=0.45,VLOOKUP(Calculator!E23,tbSkills!DH3:DI6,2,FALSE)+IF(AND(Calculator!B8=TRUE,Backdoors!BI16=TRUE),VLOOKUP(Calculator!E23,tbSkills!DH3:DJ6,3,FALSE),0),0))&gt;=100,100,(Backdoors!AI12+IF(CO12&gt;=0.45,VLOOKUP(Calculator!E23,tbSkills!DH3:DI6,2,FALSE)+IF(AND(Calculator!B8=TRUE,Backdoors!BI16=TRUE),VLOOKUP(Calculator!E23,tbSkills!DH3:DJ6,3,FALSE),0),0)))/100)),1),1)</f>
        <v>0.4</v>
      </c>
      <c r="CU12" s="87">
        <f t="shared" si="40"/>
        <v>0</v>
      </c>
      <c r="CV12" s="86" t="str">
        <f>IFERROR(IF(VLOOKUP(A12,tbMoveset!A2:B112,2,FALSE)="Sever",Backdoors!AY17/100,IF(VLOOKUP(A12,tbMoveset!A2:B112,2,FALSE)="Blunt",Backdoors!AZ17/100,Backdoors!BA17/100)),"")</f>
        <v/>
      </c>
      <c r="CW12" s="49">
        <f>IFERROR(IF(VLOOKUP(tbMoveset!A12,tbMoveset!A2:H112,8,FALSE)="Other",IF(VLOOKUP(tbMoveset!A12,tbMoveset!A2:I112,9,FALSE)="Fire",Backdoors!BB17,IF(VLOOKUP(tbMoveset!A12,tbMoveset!A2:I112,9,FALSE)="Water",Backdoors!BC17,IF(VLOOKUP(tbMoveset!A12,tbMoveset!A2:I112,9,FALSE)="Thunder",Backdoors!BD17,IF(VLOOKUP(tbMoveset!A12,tbMoveset!A2:I112,9,FALSE)="Ice",Backdoors!BE17,IF(VLOOKUP(tbMoveset!A12,tbMoveset!A2:I112,9,FALSE)="Dragon",Backdoors!BF17,Backdoors!BG17)))))/100,Backdoors!BG17/100),"")</f>
        <v>0</v>
      </c>
      <c r="CX12" s="49">
        <f>IFERROR(IF(VLOOKUP(A12,tbMoveset!A2:J112,10,FALSE)=TRUE,IF((Backdoors!AI12+IF(CV12&gt;=0.45,VLOOKUP(Calculator!E23,tbSkills!DH3:DI6,2,FALSE)+IF(AND(Calculator!B8=TRUE,Backdoors!BI17=TRUE),VLOOKUP(Calculator!E23,tbSkills!DH3:DJ6,3,FALSE),0),0))&gt;=0,1+(Backdoors!AL2*(IF((Backdoors!AI12+IF(CV12&gt;=0.45,VLOOKUP(Calculator!E23,tbSkills!DH3:DI6,2,FALSE)+IF(AND(Calculator!B8=TRUE,Backdoors!BI17=TRUE),VLOOKUP(Calculator!E23,tbSkills!DH3:DJ6,3,FALSE),0),0))&gt;=100,100,(Backdoors!AI12+IF(CV12&gt;=0.45,VLOOKUP(Calculator!E23,tbSkills!DH3:DI6,2,FALSE)+IF(AND(Calculator!B8=TRUE,Backdoors!BI17=TRUE),VLOOKUP(Calculator!E23,tbSkills!DH3:DJ6,3,FALSE),0),0)))/100)),(1-(0.25*((-Backdoors!AI12-IF(CV12&gt;=0.45,VLOOKUP(Calculator!E23,tbSkills!DH3:DI6,2,FALSE)+IF(AND(Calculator!B8=TRUE,Backdoors!BI17=TRUE),VLOOKUP(Calculator!E23,tbSkills!DH3:DJ6,3,FALSE),0),0))/100)))),1),"")</f>
        <v>1</v>
      </c>
      <c r="CY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V12)*CX12)*(VLOOKUP(A12,tbMoveset!A2:C112,3,FALSE)/100)*IF(VLOOKUP(A12,tbMoveset!A2:B112,2,FALSE)="Projectile",Backdoors!N10,Backdoors!N9),0),"")</f>
        <v/>
      </c>
      <c r="CZ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V12&gt;=0.45,VLOOKUP(Calculator!E23,tbSkills!DH3:DI6,2,FALSE)+IF(AND(Calculator!B8=TRUE,Backdoors!BI17=TRUE),VLOOKUP(Calculator!E23,tbSkills!DH3:DJ6,3,FALSE),0),0))&gt;=100,100,(Backdoors!AI12+IF(CV12&gt;=0.45,VLOOKUP(Calculator!E23,tbSkills!DH3:DI6,2,FALSE)+IF(AND(Calculator!B8=TRUE,Backdoors!BI17=TRUE),VLOOKUP(Calculator!E23,tbSkills!DH3:DJ6,3,FALSE),0),0)))/100)),1))*IF(VLOOKUP(A12,tbMoveset!A2:K112,11,FALSE)=TRUE,Backdoors!AC5,1))*CW12,0),"")</f>
        <v>0</v>
      </c>
      <c r="DA12" s="49">
        <f>VLOOKUP(A12,tbMoveset!A2:G112,7,FALSE)*IFERROR(IF(Backdoors!AI12&gt;=0,1+(IF(Calculator!E40&gt;0,VLOOKUP(Calculator!E40,tbSkills!AI3:AJ5,2,FALSE),Backdoors!AL4)*(IF((Backdoors!AI12+IF(CV12&gt;=0.45,VLOOKUP(Calculator!E23,tbSkills!DH3:DI6,2,FALSE)+IF(AND(Calculator!B8=TRUE,Backdoors!BI17=TRUE),VLOOKUP(Calculator!E23,tbSkills!DH3:DJ6,3,FALSE),0),0))&gt;=100,100,(Backdoors!AI12+IF(CV12&gt;=0.45,VLOOKUP(Calculator!E23,tbSkills!DH3:DI6,2,FALSE)+IF(AND(Calculator!B8=TRUE,Backdoors!BI17=TRUE),VLOOKUP(Calculator!E23,tbSkills!DH3:DJ6,3,FALSE),0),0)))/100)),1),1)</f>
        <v>0.4</v>
      </c>
      <c r="DB12" s="87">
        <f t="shared" si="8"/>
        <v>0</v>
      </c>
      <c r="DC12" s="86" t="str">
        <f>IFERROR(IF(VLOOKUP(A12,tbMoveset!A2:B112,2,FALSE)="Sever",Backdoors!AY18/100,IF(VLOOKUP(A12,tbMoveset!A2:B112,2,FALSE)="Blunt",Backdoors!AZ18/100,Backdoors!BA18/100)),"")</f>
        <v/>
      </c>
      <c r="DD12" s="49">
        <f>IFERROR(IF(VLOOKUP(tbMoveset!A12,tbMoveset!A2:H112,8,FALSE)="Other",IF(VLOOKUP(tbMoveset!A12,tbMoveset!A2:I112,9,FALSE)="Fire",Backdoors!BB18,IF(VLOOKUP(tbMoveset!A12,tbMoveset!A2:I112,9,FALSE)="Water",Backdoors!BC18,IF(VLOOKUP(tbMoveset!A12,tbMoveset!A2:I112,9,FALSE)="Thunder",Backdoors!BD18,IF(VLOOKUP(tbMoveset!A12,tbMoveset!A2:I112,9,FALSE)="Ice",Backdoors!BE18,IF(VLOOKUP(tbMoveset!A12,tbMoveset!A2:I112,9,FALSE)="Dragon",Backdoors!BF18,Backdoors!BG18)))))/100,Backdoors!BG18/100),"")</f>
        <v>0</v>
      </c>
      <c r="DE12" s="49">
        <f>IFERROR(IF(VLOOKUP(A12,tbMoveset!A2:J112,10,FALSE)=TRUE,IF((Backdoors!AI12+IF(DC12&gt;=0.45,VLOOKUP(Calculator!E23,tbSkills!DH3:DI6,2,FALSE)+IF(AND(Calculator!B8=TRUE,Backdoors!BI18=TRUE),VLOOKUP(Calculator!E23,tbSkills!DH3:DJ6,3,FALSE),0),0))&gt;=0,1+(Backdoors!AL2*(IF((Backdoors!AI12+IF(DC12&gt;=0.45,VLOOKUP(Calculator!E23,tbSkills!DH3:DI6,2,FALSE)+IF(AND(Calculator!B8=TRUE,Backdoors!BI18=TRUE),VLOOKUP(Calculator!E23,tbSkills!DH3:DJ6,3,FALSE),0),0))&gt;=100,100,(Backdoors!AI12+IF(DC12&gt;=0.45,VLOOKUP(Calculator!E23,tbSkills!DH3:DI6,2,FALSE)+IF(AND(Calculator!B8=TRUE,Backdoors!BI18=TRUE),VLOOKUP(Calculator!E23,tbSkills!DH3:DJ6,3,FALSE),0),0)))/100)),(1-(0.25*((-Backdoors!AI12-IF(DC12&gt;=0.45,VLOOKUP(Calculator!E23,tbSkills!DH3:DI6,2,FALSE)+IF(AND(Calculator!B8=TRUE,Backdoors!BI18=TRUE),VLOOKUP(Calculator!E23,tbSkills!DH3:DJ6,3,FALSE),0),0))/100)))),1),"")</f>
        <v>1</v>
      </c>
      <c r="DF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C12)*DE12)*(VLOOKUP(A12,tbMoveset!A2:C112,3,FALSE)/100)*IF(VLOOKUP(A12,tbMoveset!A2:B112,2,FALSE)="Projectile",Backdoors!N10,Backdoors!N9),0),"")</f>
        <v/>
      </c>
      <c r="DG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C12&gt;=0.45,VLOOKUP(Calculator!E23,tbSkills!DH3:DI6,2,FALSE)+IF(AND(Calculator!B8=TRUE,Backdoors!BI18=TRUE),VLOOKUP(Calculator!E23,tbSkills!DH3:DJ6,3,FALSE),0),0))&gt;=100,100,(Backdoors!AI12+IF(DC12&gt;=0.45,VLOOKUP(Calculator!E23,tbSkills!DH3:DI6,2,FALSE)+IF(AND(Calculator!B8=TRUE,Backdoors!BI18=TRUE),VLOOKUP(Calculator!E23,tbSkills!DH3:DJ6,3,FALSE),0),0)))/100)),1))*IF(VLOOKUP(A12,tbMoveset!A2:K112,11,FALSE)=TRUE,Backdoors!AC5,1))*DD12,0),"")</f>
        <v>0</v>
      </c>
      <c r="DH12" s="49">
        <f>VLOOKUP(A12,tbMoveset!A2:G112,7,FALSE)*IFERROR(IF(Backdoors!AI12&gt;=0,1+(IF(Calculator!E40&gt;0,VLOOKUP(Calculator!E40,tbSkills!AI3:AJ5,2,FALSE),Backdoors!AL4)*(IF((Backdoors!AI12+IF(DC12&gt;=0.45,VLOOKUP(Calculator!E23,tbSkills!DH3:DI6,2,FALSE)+IF(AND(Calculator!B8=TRUE,Backdoors!BI18=TRUE),VLOOKUP(Calculator!E23,tbSkills!DH3:DJ6,3,FALSE),0),0))&gt;=100,100,(Backdoors!AI12+IF(DC12&gt;=0.45,VLOOKUP(Calculator!E23,tbSkills!DH3:DI6,2,FALSE)+IF(AND(Calculator!B8=TRUE,Backdoors!BI18=TRUE),VLOOKUP(Calculator!E23,tbSkills!DH3:DJ6,3,FALSE),0),0)))/100)),1),1)</f>
        <v>0.4</v>
      </c>
      <c r="DI12" s="87">
        <f t="shared" si="9"/>
        <v>0</v>
      </c>
      <c r="DJ12" s="86" t="str">
        <f>IFERROR(IF(VLOOKUP(A12,tbMoveset!A2:B112,2,FALSE)="Sever",Backdoors!AY19/100,IF(VLOOKUP(A12,tbMoveset!A2:B112,2,FALSE)="Blunt",Backdoors!AZ19/100,Backdoors!BA19/100)),"")</f>
        <v/>
      </c>
      <c r="DK12" s="49">
        <f>IFERROR(IF(VLOOKUP(tbMoveset!A12,tbMoveset!A2:H112,8,FALSE)="Other",IF(VLOOKUP(tbMoveset!A12,tbMoveset!A2:I112,9,FALSE)="Fire",Backdoors!BB19,IF(VLOOKUP(tbMoveset!A12,tbMoveset!A2:I112,9,FALSE)="Water",Backdoors!BC19,IF(VLOOKUP(tbMoveset!A12,tbMoveset!A2:I112,9,FALSE)="Thunder",Backdoors!BD19,IF(VLOOKUP(tbMoveset!A12,tbMoveset!A2:I112,9,FALSE)="Ice",Backdoors!BE19,IF(VLOOKUP(tbMoveset!A12,tbMoveset!A2:I112,9,FALSE)="Dragon",Backdoors!BF19,Backdoors!BG19)))))/100,Backdoors!BG19/100),"")</f>
        <v>0</v>
      </c>
      <c r="DL12" s="49">
        <f>IFERROR(IF(VLOOKUP(A12,tbMoveset!A2:J112,10,FALSE)=TRUE,IF((Backdoors!AI12+IF(DJ12&gt;=0.45,VLOOKUP(Calculator!E23,tbSkills!DH3:DI6,2,FALSE)+IF(AND(Calculator!B8=TRUE,Backdoors!BI19=TRUE),VLOOKUP(Calculator!E23,tbSkills!DH3:DJ6,3,FALSE),0),0))&gt;=0,1+(Backdoors!AL2*(IF((Backdoors!AI12+IF(DJ12&gt;=0.45,VLOOKUP(Calculator!E23,tbSkills!DH3:DI6,2,FALSE)+IF(AND(Calculator!B8=TRUE,Backdoors!BI19=TRUE),VLOOKUP(Calculator!E23,tbSkills!DH3:DJ6,3,FALSE),0),0))&gt;=100,100,(Backdoors!AI12+IF(DJ12&gt;=0.45,VLOOKUP(Calculator!E23,tbSkills!DH3:DI6,2,FALSE)+IF(AND(Calculator!B8=TRUE,Backdoors!BI19=TRUE),VLOOKUP(Calculator!E23,tbSkills!DH3:DJ6,3,FALSE),0),0)))/100)),(1-(0.25*((-Backdoors!AI12-IF(DJ12&gt;=0.45,VLOOKUP(Calculator!E23,tbSkills!DH3:DI6,2,FALSE)+IF(AND(Calculator!B8=TRUE,Backdoors!BI19=TRUE),VLOOKUP(Calculator!E23,tbSkills!DH3:DJ6,3,FALSE),0),0))/100)))),1),"")</f>
        <v>1</v>
      </c>
      <c r="DM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J12)*DL12)*(VLOOKUP(A12,tbMoveset!A2:C112,3,FALSE)/100)*IF(VLOOKUP(A12,tbMoveset!A2:B112,2,FALSE)="Projectile",Backdoors!N10,Backdoors!N9),0),"")</f>
        <v/>
      </c>
      <c r="DN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J12&gt;=0.45,VLOOKUP(Calculator!E23,tbSkills!DH3:DI6,2,FALSE)+IF(AND(Calculator!B8=TRUE,Backdoors!BI19=TRUE),VLOOKUP(Calculator!E23,tbSkills!DH3:DJ6,3,FALSE),0),0))&gt;=100,100,(Backdoors!AI12+IF(DJ12&gt;=0.45,VLOOKUP(Calculator!E23,tbSkills!DH3:DI6,2,FALSE)+IF(AND(Calculator!B8=TRUE,Backdoors!BI19=TRUE),VLOOKUP(Calculator!E23,tbSkills!DH3:DJ6,3,FALSE),0),0)))/100)),1))*IF(VLOOKUP(A12,tbMoveset!A2:K112,11,FALSE)=TRUE,Backdoors!AC5,1))*DK12,0),"")</f>
        <v>0</v>
      </c>
      <c r="DO12" s="49">
        <f>VLOOKUP(A12,tbMoveset!A2:G112,7,FALSE)*IFERROR(IF(Backdoors!AI12&gt;=0,1+(IF(Calculator!E40&gt;0,VLOOKUP(Calculator!E40,tbSkills!AI3:AJ5,2,FALSE),Backdoors!AL4)*(IF((Backdoors!AI12+IF(DJ12&gt;=0.45,VLOOKUP(Calculator!E23,tbSkills!DH3:DI6,2,FALSE)+IF(AND(Calculator!B8=TRUE,Backdoors!BI19=TRUE),VLOOKUP(Calculator!E23,tbSkills!DH3:DJ6,3,FALSE),0),0))&gt;=100,100,(Backdoors!AI12+IF(DJ12&gt;=0.45,VLOOKUP(Calculator!E23,tbSkills!DH3:DI6,2,FALSE)+IF(AND(Calculator!B8=TRUE,Backdoors!BI19=TRUE),VLOOKUP(Calculator!E23,tbSkills!DH3:DJ6,3,FALSE),0),0)))/100)),1),1)</f>
        <v>0.4</v>
      </c>
      <c r="DP12" s="87">
        <f t="shared" si="41"/>
        <v>0</v>
      </c>
      <c r="DQ12" s="86" t="str">
        <f>IFERROR(IF(VLOOKUP(A12,tbMoveset!A2:B112,2,FALSE)="Sever",Backdoors!AY20/100,IF(VLOOKUP(A12,tbMoveset!A2:B112,2,FALSE)="Blunt",Backdoors!AZ20/100,Backdoors!BA20/100)),"")</f>
        <v/>
      </c>
      <c r="DR12" s="49">
        <f>IFERROR(IF(VLOOKUP(tbMoveset!A12,tbMoveset!A2:H112,8,FALSE)="Other",IF(VLOOKUP(tbMoveset!A12,tbMoveset!A2:I112,9,FALSE)="Fire",Backdoors!BB20,IF(VLOOKUP(tbMoveset!A12,tbMoveset!A2:I112,9,FALSE)="Water",Backdoors!BC20,IF(VLOOKUP(tbMoveset!A12,tbMoveset!A2:I112,9,FALSE)="Thunder",Backdoors!BD20,IF(VLOOKUP(tbMoveset!A12,tbMoveset!A2:I112,9,FALSE)="Ice",Backdoors!BE20,IF(VLOOKUP(tbMoveset!A12,tbMoveset!A2:I112,9,FALSE)="Dragon",Backdoors!BF20,Backdoors!BG20)))))/100,Backdoors!BG20/100),"")</f>
        <v>0</v>
      </c>
      <c r="DS12" s="49">
        <f>IFERROR(IF(VLOOKUP(A12,tbMoveset!A2:J112,10,FALSE)=TRUE,IF((Backdoors!AI12+IF(DQ12&gt;=0.45,VLOOKUP(Calculator!E23,tbSkills!DH3:DI6,2,FALSE)+IF(AND(Calculator!B8=TRUE,Backdoors!BI20=TRUE),VLOOKUP(Calculator!E23,tbSkills!DH3:DJ6,3,FALSE),0),0))&gt;=0,1+(Backdoors!AL2*(IF((Backdoors!AI12+IF(DQ12&gt;=0.45,VLOOKUP(Calculator!E23,tbSkills!DH3:DI6,2,FALSE)+IF(AND(Calculator!B8=TRUE,Backdoors!BI20=TRUE),VLOOKUP(Calculator!E23,tbSkills!DH3:DJ6,3,FALSE),0),0))&gt;=100,100,(Backdoors!AI12+IF(DQ12&gt;=0.45,VLOOKUP(Calculator!E23,tbSkills!DH3:DI6,2,FALSE)+IF(AND(Calculator!B8=TRUE,Backdoors!BI20=TRUE),VLOOKUP(Calculator!E23,tbSkills!DH3:DJ6,3,FALSE),0),0)))/100)),(1-(0.25*((-Backdoors!AI12-IF(DQ12&gt;=0.45,VLOOKUP(Calculator!E23,tbSkills!DH3:DI6,2,FALSE)+IF(AND(Calculator!B8=TRUE,Backdoors!BI20=TRUE),VLOOKUP(Calculator!E23,tbSkills!DH3:DJ6,3,FALSE),0),0))/100)))),1),"")</f>
        <v>1</v>
      </c>
      <c r="DT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Q12)*DS12)*(VLOOKUP(A12,tbMoveset!A2:C112,3,FALSE)/100)*IF(VLOOKUP(A12,tbMoveset!A2:B112,2,FALSE)="Projectile",Backdoors!N10,Backdoors!N9),0),"")</f>
        <v/>
      </c>
      <c r="DU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Q12&gt;=0.45,VLOOKUP(Calculator!E23,tbSkills!DH3:DI6,2,FALSE)+IF(AND(Calculator!B8=TRUE,Backdoors!BI20=TRUE),VLOOKUP(Calculator!E23,tbSkills!DH3:DJ6,3,FALSE),0),0))&gt;=100,100,(Backdoors!AI12+IF(DQ12&gt;=0.45,VLOOKUP(Calculator!E23,tbSkills!DH3:DI6,2,FALSE)+IF(AND(Calculator!B8=TRUE,Backdoors!BI20=TRUE),VLOOKUP(Calculator!E23,tbSkills!DH3:DJ6,3,FALSE),0),0)))/100)),1))*IF(VLOOKUP(A12,tbMoveset!A2:K112,11,FALSE)=TRUE,Backdoors!AC5,1))*DR12,0),"")</f>
        <v>0</v>
      </c>
      <c r="DV12" s="49">
        <f>VLOOKUP(A12,tbMoveset!A2:G112,7,FALSE)*IFERROR(IF(Backdoors!AI12&gt;=0,1+(IF(Calculator!E40&gt;0,VLOOKUP(Calculator!E40,tbSkills!AI3:AJ5,2,FALSE),Backdoors!AL4)*(IF((Backdoors!AI12+IF(DQ12&gt;=0.45,VLOOKUP(Calculator!E23,tbSkills!DH3:DI6,2,FALSE)+IF(AND(Calculator!B8=TRUE,Backdoors!BI20=TRUE),VLOOKUP(Calculator!E23,tbSkills!DH3:DJ6,3,FALSE),0),0))&gt;=100,100,(Backdoors!AI12+IF(DQ12&gt;=0.45,VLOOKUP(Calculator!E23,tbSkills!DH3:DI6,2,FALSE)+IF(AND(Calculator!B8=TRUE,Backdoors!BI20=TRUE),VLOOKUP(Calculator!E23,tbSkills!DH3:DJ6,3,FALSE),0),0)))/100)),1),1)</f>
        <v>0.4</v>
      </c>
      <c r="DW12" s="87">
        <f t="shared" si="10"/>
        <v>0</v>
      </c>
      <c r="DX12" s="86" t="str">
        <f>IFERROR(IF(VLOOKUP(A12,tbMoveset!A2:B112,2,FALSE)="Sever",Backdoors!AY21/100,IF(VLOOKUP(A12,tbMoveset!A2:B112,2,FALSE)="Blunt",Backdoors!AZ21/100,Backdoors!BA21/100)),"")</f>
        <v/>
      </c>
      <c r="DY12" s="49">
        <f>IFERROR(IF(VLOOKUP(tbMoveset!A12,tbMoveset!A2:H112,8,FALSE)="Other",IF(VLOOKUP(tbMoveset!A12,tbMoveset!A2:I112,9,FALSE)="Fire",Backdoors!BB21,IF(VLOOKUP(tbMoveset!A12,tbMoveset!A2:I112,9,FALSE)="Water",Backdoors!BC21,IF(VLOOKUP(tbMoveset!A12,tbMoveset!A2:I112,9,FALSE)="Thunder",Backdoors!BD21,IF(VLOOKUP(tbMoveset!A12,tbMoveset!A2:I112,9,FALSE)="Ice",Backdoors!BE21,IF(VLOOKUP(tbMoveset!A12,tbMoveset!A2:I112,9,FALSE)="Dragon",Backdoors!BF21,Backdoors!BG21)))))/100,Backdoors!BG21/100),"")</f>
        <v>0</v>
      </c>
      <c r="DZ12" s="49">
        <f>IFERROR(IF(VLOOKUP(A12,tbMoveset!A2:J112,10,FALSE)=TRUE,IF((Backdoors!AI12+IF(DX12&gt;=0.45,VLOOKUP(Calculator!E23,tbSkills!DH3:DI6,2,FALSE)+IF(AND(Calculator!B8=TRUE,Backdoors!BI21=TRUE),VLOOKUP(Calculator!E23,tbSkills!DH3:DJ6,3,FALSE),0),0))&gt;=0,1+(Backdoors!AL2*(IF((Backdoors!AI12+IF(DX12&gt;=0.45,VLOOKUP(Calculator!E23,tbSkills!DH3:DI6,2,FALSE)+IF(AND(Calculator!B8=TRUE,Backdoors!BI21=TRUE),VLOOKUP(Calculator!E23,tbSkills!DH3:DJ6,3,FALSE),0),0))&gt;=100,100,(Backdoors!AI12+IF(DX12&gt;=0.45,VLOOKUP(Calculator!E23,tbSkills!DH3:DI6,2,FALSE)+IF(AND(Calculator!B8=TRUE,Backdoors!BI21=TRUE),VLOOKUP(Calculator!E23,tbSkills!DH3:DJ6,3,FALSE),0),0)))/100)),(1-(0.25*((-Backdoors!AI12-IF(DX12&gt;=0.45,VLOOKUP(Calculator!E23,tbSkills!DH3:DI6,2,FALSE)+IF(AND(Calculator!B8=TRUE,Backdoors!BI21=TRUE),VLOOKUP(Calculator!E23,tbSkills!DH3:DJ6,3,FALSE),0),0))/100)))),1),"")</f>
        <v>1</v>
      </c>
      <c r="EA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X12)*DZ12)*(VLOOKUP(A12,tbMoveset!A2:C112,3,FALSE)/100)*IF(VLOOKUP(A12,tbMoveset!A2:B112,2,FALSE)="Projectile",Backdoors!N10,Backdoors!N9),0),"")</f>
        <v/>
      </c>
      <c r="EB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X12&gt;=0.45,VLOOKUP(Calculator!E23,tbSkills!DH3:DI6,2,FALSE)+IF(AND(Calculator!B8=TRUE,Backdoors!BI21=TRUE),VLOOKUP(Calculator!E23,tbSkills!DH3:DJ6,3,FALSE),0),0))&gt;=100,100,(Backdoors!AI12+IF(DX12&gt;=0.45,VLOOKUP(Calculator!E23,tbSkills!DH3:DI6,2,FALSE)+IF(AND(Calculator!B8=TRUE,Backdoors!BI21=TRUE),VLOOKUP(Calculator!E23,tbSkills!DH3:DJ6,3,FALSE),0),0)))/100)),1))*IF(VLOOKUP(A12,tbMoveset!A2:K112,11,FALSE)=TRUE,Backdoors!AC5,1))*DY12,0),"")</f>
        <v>0</v>
      </c>
      <c r="EC12" s="49">
        <f>VLOOKUP(A12,tbMoveset!A2:G112,7,FALSE)*IFERROR(IF(Backdoors!AI12&gt;=0,1+(IF(Calculator!E40&gt;0,VLOOKUP(Calculator!E40,tbSkills!AI3:AJ5,2,FALSE),Backdoors!AL4)*(IF((Backdoors!AI12+IF(DX12&gt;=0.45,VLOOKUP(Calculator!E23,tbSkills!DH3:DI6,2,FALSE)+IF(AND(Calculator!B8=TRUE,Backdoors!BI21=TRUE),VLOOKUP(Calculator!E23,tbSkills!DH3:DJ6,3,FALSE),0),0))&gt;=100,100,(Backdoors!AI12+IF(DX12&gt;=0.45,VLOOKUP(Calculator!E23,tbSkills!DH3:DI6,2,FALSE)+IF(AND(Calculator!B8=TRUE,Backdoors!BI21=TRUE),VLOOKUP(Calculator!E23,tbSkills!DH3:DJ6,3,FALSE),0),0)))/100)),1),1)</f>
        <v>0.4</v>
      </c>
      <c r="ED12" s="87">
        <f t="shared" si="11"/>
        <v>0</v>
      </c>
      <c r="EE12" s="86" t="str">
        <f>IFERROR(IF(VLOOKUP(A12,tbMoveset!A2:B112,2,FALSE)="Sever",Backdoors!AY22/100,IF(VLOOKUP(A12,tbMoveset!A2:B112,2,FALSE)="Blunt",Backdoors!AZ22/100,Backdoors!BA22/100)),"")</f>
        <v/>
      </c>
      <c r="EF12" s="49">
        <f>IFERROR(IF(VLOOKUP(tbMoveset!A12,tbMoveset!A2:H112,8,FALSE)="Other",IF(VLOOKUP(tbMoveset!A12,tbMoveset!A2:I112,9,FALSE)="Fire",Backdoors!BB22,IF(VLOOKUP(tbMoveset!A12,tbMoveset!A2:I112,9,FALSE)="Water",Backdoors!BC22,IF(VLOOKUP(tbMoveset!A12,tbMoveset!A2:I112,9,FALSE)="Thunder",Backdoors!BD22,IF(VLOOKUP(tbMoveset!A12,tbMoveset!A2:I112,9,FALSE)="Ice",Backdoors!BE22,IF(VLOOKUP(tbMoveset!A12,tbMoveset!A2:I112,9,FALSE)="Dragon",Backdoors!BF22,Backdoors!BG22)))))/100,Backdoors!BG22/100),"")</f>
        <v>0</v>
      </c>
      <c r="EG12" s="49">
        <f>IFERROR(IF(VLOOKUP(A12,tbMoveset!A2:J112,10,FALSE)=TRUE,IF((Backdoors!AI12+IF(EE12&gt;=0.45,VLOOKUP(Calculator!E23,tbSkills!DH3:DI6,2,FALSE)+IF(AND(Calculator!B8=TRUE,Backdoors!BI22=TRUE),VLOOKUP(Calculator!E23,tbSkills!DH3:DJ6,3,FALSE),0),0))&gt;=0,1+(Backdoors!AL2*(IF((Backdoors!AI12+IF(EE12&gt;=0.45,VLOOKUP(Calculator!E23,tbSkills!DH3:DI6,2,FALSE)+IF(AND(Calculator!B8=TRUE,Backdoors!BI22=TRUE),VLOOKUP(Calculator!E23,tbSkills!DH3:DJ6,3,FALSE),0),0))&gt;=100,100,(Backdoors!AI12+IF(EE12&gt;=0.45,VLOOKUP(Calculator!E23,tbSkills!DH3:DI6,2,FALSE)+IF(AND(Calculator!B8=TRUE,Backdoors!BI22=TRUE),VLOOKUP(Calculator!E23,tbSkills!DH3:DJ6,3,FALSE),0),0)))/100)),(1-(0.25*((-Backdoors!AI12-IF(EE12&gt;=0.45,VLOOKUP(Calculator!E23,tbSkills!DH3:DI6,2,FALSE)+IF(AND(Calculator!B8=TRUE,Backdoors!BI22=TRUE),VLOOKUP(Calculator!E23,tbSkills!DH3:DJ6,3,FALSE),0),0))/100)))),1),"")</f>
        <v>1</v>
      </c>
      <c r="EH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E12)*EG12)*(VLOOKUP(A12,tbMoveset!A2:C112,3,FALSE)/100)*IF(VLOOKUP(A12,tbMoveset!A2:B112,2,FALSE)="Projectile",Backdoors!N10,Backdoors!N9),0),"")</f>
        <v/>
      </c>
      <c r="EI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E12&gt;=0.45,VLOOKUP(Calculator!E23,tbSkills!DH3:DI6,2,FALSE)+IF(AND(Calculator!B8=TRUE,Backdoors!BI22=TRUE),VLOOKUP(Calculator!E23,tbSkills!DH3:DJ6,3,FALSE),0),0))&gt;=100,100,(Backdoors!AI12+IF(EE12&gt;=0.45,VLOOKUP(Calculator!E23,tbSkills!DH3:DI6,2,FALSE)+IF(AND(Calculator!B8=TRUE,Backdoors!BI22=TRUE),VLOOKUP(Calculator!E23,tbSkills!DH3:DJ6,3,FALSE),0),0)))/100)),1))*IF(VLOOKUP(A12,tbMoveset!A2:K112,11,FALSE)=TRUE,Backdoors!AC5,1))*EF12,0),"")</f>
        <v>0</v>
      </c>
      <c r="EJ12" s="49">
        <f>VLOOKUP(A12,tbMoveset!A2:G112,7,FALSE)*IFERROR(IF(Backdoors!AI12&gt;=0,1+(IF(Calculator!E40&gt;0,VLOOKUP(Calculator!E40,tbSkills!AI3:AJ5,2,FALSE),Backdoors!AL4)*(IF((Backdoors!AI12+IF(EE12&gt;=0.45,VLOOKUP(Calculator!E23,tbSkills!DH3:DI6,2,FALSE)+IF(AND(Calculator!B8=TRUE,Backdoors!BI22=TRUE),VLOOKUP(Calculator!E23,tbSkills!DH3:DJ6,3,FALSE),0),0))&gt;=100,100,(Backdoors!AI12+IF(EE12&gt;=0.45,VLOOKUP(Calculator!E23,tbSkills!DH3:DI6,2,FALSE)+IF(AND(Calculator!B8=TRUE,Backdoors!BI22=TRUE),VLOOKUP(Calculator!E23,tbSkills!DH3:DJ6,3,FALSE),0),0)))/100)),1),1)</f>
        <v>0.4</v>
      </c>
      <c r="EK12" s="87">
        <f t="shared" si="12"/>
        <v>0</v>
      </c>
      <c r="EL12" s="86" t="str">
        <f>IFERROR(IF(VLOOKUP(A12,tbMoveset!A2:B112,2,FALSE)="Sever",Backdoors!AY23/100,IF(VLOOKUP(A12,tbMoveset!A2:B112,2,FALSE)="Blunt",Backdoors!AZ23/100,Backdoors!BA23/100)),"")</f>
        <v/>
      </c>
      <c r="EM12" s="49">
        <f>IFERROR(IF(VLOOKUP(tbMoveset!A12,tbMoveset!A2:H112,8,FALSE)="Other",IF(VLOOKUP(tbMoveset!A12,tbMoveset!A2:I112,9,FALSE)="Fire",Backdoors!BB23,IF(VLOOKUP(tbMoveset!A12,tbMoveset!A2:I112,9,FALSE)="Water",Backdoors!BC23,IF(VLOOKUP(tbMoveset!A12,tbMoveset!A2:I112,9,FALSE)="Thunder",Backdoors!BD23,IF(VLOOKUP(tbMoveset!A12,tbMoveset!A2:I112,9,FALSE)="Ice",Backdoors!BE23,IF(VLOOKUP(tbMoveset!A12,tbMoveset!A2:I112,9,FALSE)="Dragon",Backdoors!BF23,Backdoors!BG23)))))/100,Backdoors!BG23/100),"")</f>
        <v>0</v>
      </c>
      <c r="EN12" s="49">
        <f>IFERROR(IF(VLOOKUP(A12,tbMoveset!A2:J112,10,FALSE)=TRUE,IF((Backdoors!AI12+IF(EL12&gt;=0.45,VLOOKUP(Calculator!E23,tbSkills!DH3:DI6,2,FALSE)+IF(AND(Calculator!B8=TRUE,Backdoors!BI23=TRUE),VLOOKUP(Calculator!E23,tbSkills!DH3:DJ6,3,FALSE),0),0))&gt;=0,1+(Backdoors!AL2*(IF((Backdoors!AI12+IF(EL12&gt;=0.45,VLOOKUP(Calculator!E23,tbSkills!DH3:DI6,2,FALSE)+IF(AND(Calculator!B8=TRUE,Backdoors!BI23=TRUE),VLOOKUP(Calculator!E23,tbSkills!DH3:DJ6,3,FALSE),0),0))&gt;=100,100,(Backdoors!AI12+IF(EL12&gt;=0.45,VLOOKUP(Calculator!E23,tbSkills!DH3:DI6,2,FALSE)+IF(AND(Calculator!B8=TRUE,Backdoors!BI23=TRUE),VLOOKUP(Calculator!E23,tbSkills!DH3:DJ6,3,FALSE),0),0)))/100)),(1-(0.25*((-Backdoors!AI12-IF(EL12&gt;=0.45,VLOOKUP(Calculator!E23,tbSkills!DH3:DI6,2,FALSE)+IF(AND(Calculator!B8=TRUE,Backdoors!BI23=TRUE),VLOOKUP(Calculator!E23,tbSkills!DH3:DJ6,3,FALSE),0),0))/100)))),1),"")</f>
        <v>1</v>
      </c>
      <c r="EO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L12)*EN12)*(VLOOKUP(A12,tbMoveset!A2:C112,3,FALSE)/100)*IF(VLOOKUP(A12,tbMoveset!A2:B112,2,FALSE)="Projectile",Backdoors!N10,Backdoors!N9),0),"")</f>
        <v/>
      </c>
      <c r="EP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L12&gt;=0.45,VLOOKUP(Calculator!E23,tbSkills!DH3:DI6,2,FALSE)+IF(AND(Calculator!B8=TRUE,Backdoors!BI23=TRUE),VLOOKUP(Calculator!E23,tbSkills!DH3:DJ6,3,FALSE),0),0))&gt;=100,100,(Backdoors!AI12+IF(EL12&gt;=0.45,VLOOKUP(Calculator!E23,tbSkills!DH3:DI6,2,FALSE)+IF(AND(Calculator!B8=TRUE,Backdoors!BI23=TRUE),VLOOKUP(Calculator!E23,tbSkills!DH3:DJ6,3,FALSE),0),0)))/100)),1))*IF(VLOOKUP(A12,tbMoveset!A2:K112,11,FALSE)=TRUE,Backdoors!AC5,1))*EM12,0),"")</f>
        <v>0</v>
      </c>
      <c r="EQ12" s="49">
        <f>VLOOKUP(A12,tbMoveset!A2:G112,7,FALSE)*IFERROR(IF(Backdoors!AI12&gt;=0,1+(IF(Calculator!E40&gt;0,VLOOKUP(Calculator!E40,tbSkills!AI3:AJ5,2,FALSE),Backdoors!AL4)*(IF((Backdoors!AI12+IF(EL12&gt;=0.45,VLOOKUP(Calculator!E23,tbSkills!DH3:DI6,2,FALSE)+IF(AND(Calculator!B8=TRUE,Backdoors!BI23=TRUE),VLOOKUP(Calculator!E23,tbSkills!DH3:DJ6,3,FALSE),0),0))&gt;=100,100,(Backdoors!AI12+IF(EL12&gt;=0.45,VLOOKUP(Calculator!E23,tbSkills!DH3:DI6,2,FALSE)+IF(AND(Calculator!B8=TRUE,Backdoors!BI23=TRUE),VLOOKUP(Calculator!E23,tbSkills!DH3:DJ6,3,FALSE),0),0)))/100)),1),1)</f>
        <v>0.4</v>
      </c>
      <c r="ER12" s="87">
        <f t="shared" si="13"/>
        <v>0</v>
      </c>
      <c r="ES12" s="86" t="str">
        <f>IFERROR(IF(VLOOKUP(A12,tbMoveset!A2:B112,2,FALSE)="Sever",Backdoors!AY24/100,IF(VLOOKUP(A12,tbMoveset!A2:B112,2,FALSE)="Blunt",Backdoors!AZ24/100,Backdoors!BA24/100)),"")</f>
        <v/>
      </c>
      <c r="ET12" s="49">
        <f>IFERROR(IF(VLOOKUP(tbMoveset!A12,tbMoveset!A2:H112,8,FALSE)="Other",IF(VLOOKUP(tbMoveset!A12,tbMoveset!A2:I112,9,FALSE)="Fire",Backdoors!BB24,IF(VLOOKUP(tbMoveset!A12,tbMoveset!A2:I112,9,FALSE)="Water",Backdoors!BC24,IF(VLOOKUP(tbMoveset!A12,tbMoveset!A2:I112,9,FALSE)="Thunder",Backdoors!BD24,IF(VLOOKUP(tbMoveset!A12,tbMoveset!A2:I112,9,FALSE)="Ice",Backdoors!BE24,IF(VLOOKUP(tbMoveset!A12,tbMoveset!A2:I112,9,FALSE)="Dragon",Backdoors!BF24,Backdoors!BG24)))))/100,Backdoors!BG24/100),"")</f>
        <v>0</v>
      </c>
      <c r="EU12" s="49">
        <f>IFERROR(IF(VLOOKUP(A12,tbMoveset!A2:J112,10,FALSE)=TRUE,IF((Backdoors!AI12+IF(ES12&gt;=0.45,VLOOKUP(Calculator!E23,tbSkills!DH3:DI6,2,FALSE)+IF(AND(Calculator!B8=TRUE,Backdoors!BI24=TRUE),VLOOKUP(Calculator!E23,tbSkills!DH3:DJ6,3,FALSE),0),0))&gt;=0,1+(Backdoors!AL2*(IF((Backdoors!AI12+IF(ES12&gt;=0.45,VLOOKUP(Calculator!E23,tbSkills!DH3:DI6,2,FALSE)+IF(AND(Calculator!B8=TRUE,Backdoors!BI24=TRUE),VLOOKUP(Calculator!E23,tbSkills!DH3:DJ6,3,FALSE),0),0))&gt;=100,100,(Backdoors!AI12+IF(ES12&gt;=0.45,VLOOKUP(Calculator!E23,tbSkills!DH3:DI6,2,FALSE)+IF(AND(Calculator!B8=TRUE,Backdoors!BI24=TRUE),VLOOKUP(Calculator!E23,tbSkills!DH3:DJ6,3,FALSE),0),0)))/100)),(1-(0.25*((-Backdoors!AI12-IF(ES12&gt;=0.45,VLOOKUP(Calculator!E23,tbSkills!DH3:DI6,2,FALSE)+IF(AND(Calculator!B8=TRUE,Backdoors!BI24=TRUE),VLOOKUP(Calculator!E23,tbSkills!DH3:DJ6,3,FALSE),0),0))/100)))),1),"")</f>
        <v>1</v>
      </c>
      <c r="EV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S12)*EU12)*(VLOOKUP(A12,tbMoveset!A2:C112,3,FALSE)/100)*IF(VLOOKUP(A12,tbMoveset!A2:B112,2,FALSE)="Projectile",Backdoors!N10,Backdoors!N9),0),"")</f>
        <v/>
      </c>
      <c r="EW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S12&gt;=0.45,VLOOKUP(Calculator!E23,tbSkills!DH3:DI6,2,FALSE)+IF(AND(Calculator!B8=TRUE,Backdoors!BI24=TRUE),VLOOKUP(Calculator!E23,tbSkills!DH3:DJ6,3,FALSE),0),0))&gt;=100,100,(Backdoors!AI12+IF(ES12&gt;=0.45,VLOOKUP(Calculator!E23,tbSkills!DH3:DI6,2,FALSE)+IF(AND(Calculator!B8=TRUE,Backdoors!BI24=TRUE),VLOOKUP(Calculator!E23,tbSkills!DH3:DJ6,3,FALSE),0),0)))/100)),1))*IF(VLOOKUP(A12,tbMoveset!A2:K112,11,FALSE)=TRUE,Backdoors!AC5,1))*ET12,0),"")</f>
        <v>0</v>
      </c>
      <c r="EX12" s="49">
        <f>VLOOKUP(A12,tbMoveset!A2:G112,7,FALSE)*IFERROR(IF(Backdoors!AI12&gt;=0,1+(IF(Calculator!E40&gt;0,VLOOKUP(Calculator!E40,tbSkills!AI3:AJ5,2,FALSE),Backdoors!AL4)*(IF((Backdoors!AI12+IF(ES12&gt;=0.45,VLOOKUP(Calculator!E23,tbSkills!DH3:DI6,2,FALSE)+IF(AND(Calculator!B8=TRUE,Backdoors!BI24=TRUE),VLOOKUP(Calculator!E23,tbSkills!DH3:DJ6,3,FALSE),0),0))&gt;=100,100,(Backdoors!AI12+IF(ES12&gt;=0.45,VLOOKUP(Calculator!E23,tbSkills!DH3:DI6,2,FALSE)+IF(AND(Calculator!B8=TRUE,Backdoors!BI24=TRUE),VLOOKUP(Calculator!E23,tbSkills!DH3:DJ6,3,FALSE),0),0)))/100)),1),1)</f>
        <v>0.4</v>
      </c>
      <c r="EY12" s="87">
        <f t="shared" si="14"/>
        <v>0</v>
      </c>
      <c r="EZ12" s="86" t="str">
        <f>IFERROR(IF(VLOOKUP(A12,tbMoveset!A2:B112,2,FALSE)="Sever",Backdoors!AY25/100,IF(VLOOKUP(A12,tbMoveset!A2:B112,2,FALSE)="Blunt",Backdoors!AZ25/100,Backdoors!BA25/100)),"")</f>
        <v/>
      </c>
      <c r="FA12" s="49">
        <f>IFERROR(IF(VLOOKUP(tbMoveset!A12,tbMoveset!A2:H112,8,FALSE)="Other",IF(VLOOKUP(tbMoveset!A12,tbMoveset!A2:I112,9,FALSE)="Fire",Backdoors!BB25,IF(VLOOKUP(tbMoveset!A12,tbMoveset!A2:I112,9,FALSE)="Water",Backdoors!BC25,IF(VLOOKUP(tbMoveset!A12,tbMoveset!A2:I112,9,FALSE)="Thunder",Backdoors!BD25,IF(VLOOKUP(tbMoveset!A12,tbMoveset!A2:I112,9,FALSE)="Ice",Backdoors!BE25,IF(VLOOKUP(tbMoveset!A12,tbMoveset!A2:I112,9,FALSE)="Dragon",Backdoors!BF25,Backdoors!BG25)))))/100,Backdoors!BG25/100),"")</f>
        <v>0</v>
      </c>
      <c r="FB12" s="49">
        <f>IFERROR(IF(VLOOKUP(A12,tbMoveset!A2:J112,10,FALSE)=TRUE,IF((Backdoors!AI12+IF(EZ12&gt;=0.45,VLOOKUP(Calculator!E23,tbSkills!DH3:DI6,2,FALSE)+IF(AND(Calculator!B8=TRUE,Backdoors!BI25=TRUE),VLOOKUP(Calculator!E23,tbSkills!DH3:DJ6,3,FALSE),0),0))&gt;=0,1+(Backdoors!AL2*(IF((Backdoors!AI12+IF(EZ12&gt;=0.45,VLOOKUP(Calculator!E23,tbSkills!DH3:DI6,2,FALSE)+IF(AND(Calculator!B8=TRUE,Backdoors!BI25=TRUE),VLOOKUP(Calculator!E23,tbSkills!DH3:DJ6,3,FALSE),0),0))&gt;=100,100,(Backdoors!AI12+IF(EZ12&gt;=0.45,VLOOKUP(Calculator!E23,tbSkills!DH3:DI6,2,FALSE)+IF(AND(Calculator!B8=TRUE,Backdoors!BI25=TRUE),VLOOKUP(Calculator!E23,tbSkills!DH3:DJ6,3,FALSE),0),0)))/100)),(1-(0.25*((-Backdoors!AI12-IF(EZ12&gt;=0.45,VLOOKUP(Calculator!E23,tbSkills!DH3:DI6,2,FALSE)+IF(AND(Calculator!B8=TRUE,Backdoors!BI25=TRUE),VLOOKUP(Calculator!E23,tbSkills!DH3:DJ6,3,FALSE),0),0))/100)))),1),"")</f>
        <v>1</v>
      </c>
      <c r="FC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Z12)*FB12)*(VLOOKUP(A12,tbMoveset!A2:C112,3,FALSE)/100)*IF(VLOOKUP(A12,tbMoveset!A2:B112,2,FALSE)="Projectile",Backdoors!N10,Backdoors!N9),0),"")</f>
        <v/>
      </c>
      <c r="FD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Z12&gt;=0.45,VLOOKUP(Calculator!E23,tbSkills!DH3:DI6,2,FALSE)+IF(AND(Calculator!B8=TRUE,Backdoors!BI25=TRUE),VLOOKUP(Calculator!E23,tbSkills!DH3:DJ6,3,FALSE),0),0))&gt;=100,100,(Backdoors!AI12+IF(EZ12&gt;=0.45,VLOOKUP(Calculator!E23,tbSkills!DH3:DI6,2,FALSE)+IF(AND(Calculator!B8=TRUE,Backdoors!BI25=TRUE),VLOOKUP(Calculator!E23,tbSkills!DH3:DJ6,3,FALSE),0),0)))/100)),1))*IF(VLOOKUP(A12,tbMoveset!A2:K112,11,FALSE)=TRUE,Backdoors!AC5,1))*FA12,0),"")</f>
        <v>0</v>
      </c>
      <c r="FE12" s="49">
        <f>VLOOKUP(A12,tbMoveset!A2:G112,7,FALSE)*IFERROR(IF(Backdoors!AI12&gt;=0,1+(IF(Calculator!E40&gt;0,VLOOKUP(Calculator!E40,tbSkills!AI3:AJ5,2,FALSE),Backdoors!AL4)*(IF((Backdoors!AI12+IF(EZ12&gt;=0.45,VLOOKUP(Calculator!E23,tbSkills!DH3:DI6,2,FALSE)+IF(AND(Calculator!B8=TRUE,Backdoors!BI25=TRUE),VLOOKUP(Calculator!E23,tbSkills!DH3:DJ6,3,FALSE),0),0))&gt;=100,100,(Backdoors!AI12+IF(EZ12&gt;=0.45,VLOOKUP(Calculator!E23,tbSkills!DH3:DI6,2,FALSE)+IF(AND(Calculator!B8=TRUE,Backdoors!BI25=TRUE),VLOOKUP(Calculator!E23,tbSkills!DH3:DJ6,3,FALSE),0),0)))/100)),1),1)</f>
        <v>0.4</v>
      </c>
      <c r="FF12" s="87">
        <f t="shared" si="15"/>
        <v>0</v>
      </c>
      <c r="FG12" s="86" t="str">
        <f>IFERROR(IF(VLOOKUP(A12,tbMoveset!A2:B112,2,FALSE)="Sever",Backdoors!AY26/100,IF(VLOOKUP(A12,tbMoveset!A2:B112,2,FALSE)="Blunt",Backdoors!AZ26/100,Backdoors!BA26/100)),"")</f>
        <v/>
      </c>
      <c r="FH12" s="49">
        <f>IFERROR(IF(VLOOKUP(tbMoveset!A12,tbMoveset!A2:H112,8,FALSE)="Other",IF(VLOOKUP(tbMoveset!A12,tbMoveset!A2:I112,9,FALSE)="Fire",Backdoors!BB26,IF(VLOOKUP(tbMoveset!A12,tbMoveset!A2:I112,9,FALSE)="Water",Backdoors!BC26,IF(VLOOKUP(tbMoveset!A12,tbMoveset!A2:I112,9,FALSE)="Thunder",Backdoors!BD26,IF(VLOOKUP(tbMoveset!A12,tbMoveset!A2:I112,9,FALSE)="Ice",Backdoors!BE26,IF(VLOOKUP(tbMoveset!A12,tbMoveset!A2:I112,9,FALSE)="Dragon",Backdoors!BF26,Backdoors!BG26)))))/100,Backdoors!BG26/100),"")</f>
        <v>0</v>
      </c>
      <c r="FI12" s="49">
        <f>IFERROR(IF(VLOOKUP(A12,tbMoveset!A2:J112,10,FALSE)=TRUE,IF((Backdoors!AI12+IF(FG12&gt;=0.45,VLOOKUP(Calculator!E23,tbSkills!DH3:DI6,2,FALSE)+IF(AND(Calculator!B8=TRUE,Backdoors!BI26=TRUE),VLOOKUP(Calculator!E23,tbSkills!DH3:DJ6,3,FALSE),0),0))&gt;=0,1+(Backdoors!AL2*(IF((Backdoors!AI12+IF(FG12&gt;=0.45,VLOOKUP(Calculator!E23,tbSkills!DH3:DI6,2,FALSE)+IF(AND(Calculator!B8=TRUE,Backdoors!BI26=TRUE),VLOOKUP(Calculator!E23,tbSkills!DH3:DJ6,3,FALSE),0),0))&gt;=100,100,(Backdoors!AI12+IF(FG12&gt;=0.45,VLOOKUP(Calculator!E23,tbSkills!DH3:DI6,2,FALSE)+IF(AND(Calculator!B8=TRUE,Backdoors!BI26=TRUE),VLOOKUP(Calculator!E23,tbSkills!DH3:DJ6,3,FALSE),0),0)))/100)),(1-(0.25*((-Backdoors!AI12-IF(FG12&gt;=0.45,VLOOKUP(Calculator!E23,tbSkills!DH3:DI6,2,FALSE)+IF(AND(Calculator!B8=TRUE,Backdoors!BI26=TRUE),VLOOKUP(Calculator!E23,tbSkills!DH3:DJ6,3,FALSE),0),0))/100)))),1),"")</f>
        <v>1</v>
      </c>
      <c r="FJ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FG12)*FI12)*(VLOOKUP(A12,tbMoveset!A2:C112,3,FALSE)/100)*IF(VLOOKUP(A12,tbMoveset!A2:B112,2,FALSE)="Projectile",Backdoors!N10,Backdoors!N9),0),"")</f>
        <v/>
      </c>
      <c r="FK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FG12&gt;=0.45,VLOOKUP(Calculator!E23,tbSkills!DH3:DI6,2,FALSE)+IF(AND(Calculator!B8=TRUE,Backdoors!BI26=TRUE),VLOOKUP(Calculator!E23,tbSkills!DH3:DJ6,3,FALSE),0),0))&gt;=100,100,(Backdoors!AI12+IF(FG12&gt;=0.45,VLOOKUP(Calculator!E23,tbSkills!DH3:DI6,2,FALSE)+IF(AND(Calculator!B8=TRUE,Backdoors!BI26=TRUE),VLOOKUP(Calculator!E23,tbSkills!DH3:DJ6,3,FALSE),0),0)))/100)),1))*IF(VLOOKUP(A12,tbMoveset!A2:K112,11,FALSE)=TRUE,Backdoors!AC5,1))*FH12,0),"")</f>
        <v>0</v>
      </c>
      <c r="FL12" s="49">
        <f>VLOOKUP(A12,tbMoveset!A2:G112,7,FALSE)*IFERROR(IF(Backdoors!AI12&gt;=0,1+(IF(Calculator!E40&gt;0,VLOOKUP(Calculator!E40,tbSkills!AI3:AJ5,2,FALSE),Backdoors!AL4)*(IF((Backdoors!AI12+IF(FG12&gt;=0.45,VLOOKUP(Calculator!E23,tbSkills!DH3:DI6,2,FALSE)+IF(AND(Calculator!B8=TRUE,Backdoors!BI26=TRUE),VLOOKUP(Calculator!E23,tbSkills!DH3:DJ6,3,FALSE),0),0))&gt;=100,100,(Backdoors!AI12+IF(FG12&gt;=0.45,VLOOKUP(Calculator!E23,tbSkills!DH3:DI6,2,FALSE)+IF(AND(Calculator!B8=TRUE,Backdoors!BI26=TRUE),VLOOKUP(Calculator!E23,tbSkills!DH3:DJ6,3,FALSE),0),0)))/100)),1),1)</f>
        <v>0.4</v>
      </c>
      <c r="FM12" s="87">
        <f t="shared" si="16"/>
        <v>0</v>
      </c>
      <c r="FN12" s="86" t="str">
        <f>IFERROR(IF(VLOOKUP(A12,tbMoveset!A2:B112,2,FALSE)="Sever",Backdoors!AY27/100,IF(VLOOKUP(A12,tbMoveset!A2:B112,2,FALSE)="Blunt",Backdoors!AZ27/100,Backdoors!BA27/100)),"")</f>
        <v/>
      </c>
      <c r="FO12" s="49">
        <f>IFERROR(IF(VLOOKUP(tbMoveset!A12,tbMoveset!A2:H112,8,FALSE)="Other",IF(VLOOKUP(tbMoveset!A12,tbMoveset!A2:I112,9,FALSE)="Fire",Backdoors!BB27,IF(VLOOKUP(tbMoveset!A12,tbMoveset!A2:I112,9,FALSE)="Water",Backdoors!BC27,IF(VLOOKUP(tbMoveset!A12,tbMoveset!A2:I112,9,FALSE)="Thunder",Backdoors!BD27,IF(VLOOKUP(tbMoveset!A12,tbMoveset!A2:I112,9,FALSE)="Ice",Backdoors!BE27,IF(VLOOKUP(tbMoveset!A12,tbMoveset!A2:I112,9,FALSE)="Dragon",Backdoors!BF27,Backdoors!BG27)))))/100,Backdoors!BG27/100),"")</f>
        <v>0</v>
      </c>
      <c r="FP12" s="49">
        <f>IFERROR(IF(VLOOKUP(A12,tbMoveset!A2:J112,10,FALSE)=TRUE,IF((Backdoors!AI12+IF(FN12&gt;=0.45,VLOOKUP(Calculator!E23,tbSkills!DH3:DI6,2,FALSE)+IF(AND(Calculator!B8=TRUE,Backdoors!BI27=TRUE),VLOOKUP(Calculator!E23,tbSkills!DH3:DJ6,3,FALSE),0),0))&gt;=0,1+(Backdoors!AL2*(IF((Backdoors!AI12+IF(FN12&gt;=0.45,VLOOKUP(Calculator!E23,tbSkills!DH3:DI6,2,FALSE)+IF(AND(Calculator!B8=TRUE,Backdoors!BI27=TRUE),VLOOKUP(Calculator!E23,tbSkills!DH3:DJ6,3,FALSE),0),0))&gt;=100,100,(Backdoors!AI12+IF(FN12&gt;=0.45,VLOOKUP(Calculator!E23,tbSkills!DH3:DI6,2,FALSE)+IF(AND(Calculator!B8=TRUE,Backdoors!BI27=TRUE),VLOOKUP(Calculator!E23,tbSkills!DH3:DJ6,3,FALSE),0),0)))/100)),(1-(0.25*((-Backdoors!AI12-IF(FN12&gt;=0.45,VLOOKUP(Calculator!E23,tbSkills!DH3:DI6,2,FALSE)+IF(AND(Calculator!B8=TRUE,Backdoors!BI27=TRUE),VLOOKUP(Calculator!E23,tbSkills!DH3:DJ6,3,FALSE),0),0))/100)))),1),"")</f>
        <v>1</v>
      </c>
      <c r="FQ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FN12)*FP12)*(VLOOKUP(A12,tbMoveset!A2:C112,3,FALSE)/100)*IF(VLOOKUP(A12,tbMoveset!A2:B112,2,FALSE)="Projectile",Backdoors!N10,Backdoors!N9),0),"")</f>
        <v/>
      </c>
      <c r="FR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FN12&gt;=0.45,VLOOKUP(Calculator!E23,tbSkills!DH3:DI6,2,FALSE)+IF(AND(Calculator!B8=TRUE,Backdoors!BI27=TRUE),VLOOKUP(Calculator!E23,tbSkills!DH3:DJ6,3,FALSE),0),0))&gt;=100,100,(Backdoors!AI12+IF(FN12&gt;=0.45,VLOOKUP(Calculator!E23,tbSkills!DH3:DI6,2,FALSE)+IF(AND(Calculator!B8=TRUE,Backdoors!BI27=TRUE),VLOOKUP(Calculator!E23,tbSkills!DH3:DJ6,3,FALSE),0),0)))/100)),1))*IF(VLOOKUP(A12,tbMoveset!A2:K112,11,FALSE)=TRUE,Backdoors!AC5,1))*FO12,0),"")</f>
        <v>0</v>
      </c>
      <c r="FS12" s="49">
        <f>VLOOKUP(A12,tbMoveset!A2:G112,7,FALSE)*IFERROR(IF(Backdoors!AI12&gt;=0,1+(IF(Calculator!E40&gt;0,VLOOKUP(Calculator!E40,tbSkills!AI3:AJ5,2,FALSE),Backdoors!AL4)*(IF((Backdoors!AI12+IF(FN12&gt;=0.45,VLOOKUP(Calculator!E23,tbSkills!DH3:DI6,2,FALSE)+IF(AND(Calculator!B8=TRUE,Backdoors!BI27=TRUE),VLOOKUP(Calculator!E23,tbSkills!DH3:DJ6,3,FALSE),0),0))&gt;=100,100,(Backdoors!AI12+IF(FN12&gt;=0.45,VLOOKUP(Calculator!E23,tbSkills!DH3:DI6,2,FALSE)+IF(AND(Calculator!B8=TRUE,Backdoors!BI27=TRUE),VLOOKUP(Calculator!E23,tbSkills!DH3:DJ6,3,FALSE),0),0)))/100)),1),1)</f>
        <v>0.4</v>
      </c>
      <c r="FT12" s="87">
        <f t="shared" si="17"/>
        <v>0</v>
      </c>
      <c r="FU12" s="86" t="str">
        <f>IFERROR(IF(VLOOKUP(A12,tbMoveset!A2:B112,2,FALSE)="Sever",Backdoors!AY28/100,IF(VLOOKUP(A12,tbMoveset!A2:B112,2,FALSE)="Blunt",Backdoors!AZ28/100,Backdoors!BA28/100)),"")</f>
        <v/>
      </c>
      <c r="FV12" s="49">
        <f>IFERROR(IF(VLOOKUP(tbMoveset!A12,tbMoveset!A2:H112,8,FALSE)="Other",IF(VLOOKUP(tbMoveset!A12,tbMoveset!A2:I112,9,FALSE)="Fire",Backdoors!BB28,IF(VLOOKUP(tbMoveset!A12,tbMoveset!A2:I112,9,FALSE)="Water",Backdoors!BC28,IF(VLOOKUP(tbMoveset!A12,tbMoveset!A2:I112,9,FALSE)="Thunder",Backdoors!BD28,IF(VLOOKUP(tbMoveset!A12,tbMoveset!A2:I112,9,FALSE)="Ice",Backdoors!BE28,IF(VLOOKUP(tbMoveset!A12,tbMoveset!A2:I112,9,FALSE)="Dragon",Backdoors!BF28,Backdoors!BG28)))))/100,Backdoors!BG28/100),"")</f>
        <v>0</v>
      </c>
      <c r="FW12" s="49">
        <f>IFERROR(IF(VLOOKUP(A12,tbMoveset!A2:J112,10,FALSE)=TRUE,IF((Backdoors!AI12+IF(FU12&gt;=0.45,VLOOKUP(Calculator!E23,tbSkills!DH3:DI6,2,FALSE)+IF(AND(Calculator!B8=TRUE,Backdoors!BI28=TRUE),VLOOKUP(Calculator!E23,tbSkills!DH3:DJ6,3,FALSE),0),0))&gt;=0,1+(Backdoors!AL2*(IF((Backdoors!AI12+IF(FU12&gt;=0.45,VLOOKUP(Calculator!E23,tbSkills!DH3:DI6,2,FALSE)+IF(AND(Calculator!B8=TRUE,Backdoors!BI28=TRUE),VLOOKUP(Calculator!E23,tbSkills!DH3:DJ6,3,FALSE),0),0))&gt;=100,100,(Backdoors!AI12+IF(FU12&gt;=0.45,VLOOKUP(Calculator!E23,tbSkills!DH3:DI6,2,FALSE)+IF(AND(Calculator!B8=TRUE,Backdoors!BI28=TRUE),VLOOKUP(Calculator!E23,tbSkills!DH3:DJ6,3,FALSE),0),0)))/100)),(1-(0.25*((-Backdoors!AI12-IF(FU12&gt;=0.45,VLOOKUP(Calculator!E23,tbSkills!DH3:DI6,2,FALSE)+IF(AND(Calculator!B8=TRUE,Backdoors!BI28=TRUE),VLOOKUP(Calculator!E23,tbSkills!DH3:DJ6,3,FALSE),0),0))/100)))),1),"")</f>
        <v>1</v>
      </c>
      <c r="FX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FU12)*FW12)*(VLOOKUP(A12,tbMoveset!A2:C112,3,FALSE)/100)*IF(VLOOKUP(A12,tbMoveset!A2:B112,2,FALSE)="Projectile",Backdoors!N10,Backdoors!N9),0),"")</f>
        <v/>
      </c>
      <c r="FY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FU12&gt;=0.45,VLOOKUP(Calculator!E23,tbSkills!DH3:DI6,2,FALSE)+IF(AND(Calculator!B8=TRUE,Backdoors!BI28=TRUE),VLOOKUP(Calculator!E23,tbSkills!DH3:DJ6,3,FALSE),0),0))&gt;=100,100,(Backdoors!AI12+IF(FU12&gt;=0.45,VLOOKUP(Calculator!E23,tbSkills!DH3:DI6,2,FALSE)+IF(AND(Calculator!B8=TRUE,Backdoors!BI28=TRUE),VLOOKUP(Calculator!E23,tbSkills!DH3:DJ6,3,FALSE),0),0)))/100)),1))*IF(VLOOKUP(A12,tbMoveset!A2:K112,11,FALSE)=TRUE,Backdoors!AC5,1))*FV12,0),"")</f>
        <v>0</v>
      </c>
      <c r="FZ12" s="49">
        <f>VLOOKUP(A12,tbMoveset!A2:G112,7,FALSE)*IFERROR(IF(Backdoors!AI12&gt;=0,1+(IF(Calculator!E40&gt;0,VLOOKUP(Calculator!E40,tbSkills!AI3:AJ5,2,FALSE),Backdoors!AL4)*(IF((Backdoors!AI12+IF(FU12&gt;=0.45,VLOOKUP(Calculator!E23,tbSkills!DH3:DI6,2,FALSE)+IF(AND(Calculator!B8=TRUE,Backdoors!BI28=TRUE),VLOOKUP(Calculator!E23,tbSkills!DH3:DJ6,3,FALSE),0),0))&gt;=100,100,(Backdoors!AI12+IF(FU12&gt;=0.45,VLOOKUP(Calculator!E23,tbSkills!DH3:DI6,2,FALSE)+IF(AND(Calculator!B8=TRUE,Backdoors!BI28=TRUE),VLOOKUP(Calculator!E23,tbSkills!DH3:DJ6,3,FALSE),0),0)))/100)),1),1)</f>
        <v>0.4</v>
      </c>
      <c r="GA12" s="87">
        <f t="shared" si="18"/>
        <v>0</v>
      </c>
      <c r="GB12" s="86" t="str">
        <f>IFERROR(IF(VLOOKUP(A12,tbMoveset!A2:B112,2,FALSE)="Sever",Backdoors!AY29/100,IF(VLOOKUP(A12,tbMoveset!A2:B112,2,FALSE)="Blunt",Backdoors!AZ29/100,Backdoors!BA29/100)),"")</f>
        <v/>
      </c>
      <c r="GC12" s="49">
        <f>IFERROR(IF(VLOOKUP(tbMoveset!A12,tbMoveset!A2:H112,8,FALSE)="Other",IF(VLOOKUP(tbMoveset!A12,tbMoveset!A2:I112,9,FALSE)="Fire",Backdoors!BB29,IF(VLOOKUP(tbMoveset!A12,tbMoveset!A2:I112,9,FALSE)="Water",Backdoors!BC29,IF(VLOOKUP(tbMoveset!A12,tbMoveset!A2:I112,9,FALSE)="Thunder",Backdoors!BD29,IF(VLOOKUP(tbMoveset!A12,tbMoveset!A2:I112,9,FALSE)="Ice",Backdoors!BE29,IF(VLOOKUP(tbMoveset!A12,tbMoveset!A2:I112,9,FALSE)="Dragon",Backdoors!BF29,Backdoors!BG29)))))/100,Backdoors!BG29/100),"")</f>
        <v>0</v>
      </c>
      <c r="GD12" s="49">
        <f>IFERROR(IF(VLOOKUP(A12,tbMoveset!A2:J112,10,FALSE)=TRUE,IF((Backdoors!AI12+IF(GB12&gt;=0.45,VLOOKUP(Calculator!E23,tbSkills!DH3:DI6,2,FALSE)+IF(AND(Calculator!B8=TRUE,Backdoors!BI29=TRUE),VLOOKUP(Calculator!E23,tbSkills!DH3:DJ6,3,FALSE),0),0))&gt;=0,1+(Backdoors!AL2*(IF((Backdoors!AI12+IF(GB12&gt;=0.45,VLOOKUP(Calculator!E23,tbSkills!DH3:DI6,2,FALSE)+IF(AND(Calculator!B8=TRUE,Backdoors!BI29=TRUE),VLOOKUP(Calculator!E23,tbSkills!DH3:DJ6,3,FALSE),0),0))&gt;=100,100,(Backdoors!AI12+IF(GB12&gt;=0.45,VLOOKUP(Calculator!E23,tbSkills!DH3:DI6,2,FALSE)+IF(AND(Calculator!B8=TRUE,Backdoors!BI29=TRUE),VLOOKUP(Calculator!E23,tbSkills!DH3:DJ6,3,FALSE),0),0)))/100)),(1-(0.25*((-Backdoors!AI12-IF(GB12&gt;=0.45,VLOOKUP(Calculator!E23,tbSkills!DH3:DI6,2,FALSE)+IF(AND(Calculator!B8=TRUE,Backdoors!BI29=TRUE),VLOOKUP(Calculator!E23,tbSkills!DH3:DJ6,3,FALSE),0),0))/100)))),1),"")</f>
        <v>1</v>
      </c>
      <c r="GE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B12)*GD12)*(VLOOKUP(A12,tbMoveset!A2:C112,3,FALSE)/100)*IF(VLOOKUP(A12,tbMoveset!A2:B112,2,FALSE)="Projectile",Backdoors!N10,Backdoors!N9),0),"")</f>
        <v/>
      </c>
      <c r="GF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B12&gt;=0.45,VLOOKUP(Calculator!E23,tbSkills!DH3:DI6,2,FALSE)+IF(AND(Calculator!B8=TRUE,Backdoors!BI29=TRUE),VLOOKUP(Calculator!E23,tbSkills!DH3:DJ6,3,FALSE),0),0))&gt;=100,100,(Backdoors!AI12+IF(GB12&gt;=0.45,VLOOKUP(Calculator!E23,tbSkills!DH3:DI6,2,FALSE)+IF(AND(Calculator!B8=TRUE,Backdoors!BI29=TRUE),VLOOKUP(Calculator!E23,tbSkills!DH3:DJ6,3,FALSE),0),0)))/100)),1))*IF(VLOOKUP(A12,tbMoveset!A2:K112,11,FALSE)=TRUE,Backdoors!AC5,1))*GC12,0),"")</f>
        <v>0</v>
      </c>
      <c r="GG12" s="49">
        <f>VLOOKUP(A12,tbMoveset!A2:G112,7,FALSE)*IFERROR(IF(Backdoors!AI12&gt;=0,1+(IF(Calculator!E40&gt;0,VLOOKUP(Calculator!E40,tbSkills!AI3:AJ5,2,FALSE),Backdoors!AL4)*(IF((Backdoors!AI12+IF(GB12&gt;=0.45,VLOOKUP(Calculator!E23,tbSkills!DH3:DI6,2,FALSE)+IF(AND(Calculator!B8=TRUE,Backdoors!BI29=TRUE),VLOOKUP(Calculator!E23,tbSkills!DH3:DJ6,3,FALSE),0),0))&gt;=100,100,(Backdoors!AI12+IF(GB12&gt;=0.45,VLOOKUP(Calculator!E23,tbSkills!DH3:DI6,2,FALSE)+IF(AND(Calculator!B8=TRUE,Backdoors!BI29=TRUE),VLOOKUP(Calculator!E23,tbSkills!DH3:DJ6,3,FALSE),0),0)))/100)),1),1)</f>
        <v>0.4</v>
      </c>
      <c r="GH12" s="87">
        <f t="shared" si="19"/>
        <v>0</v>
      </c>
      <c r="GI12" s="86" t="str">
        <f>IFERROR(IF(VLOOKUP(A12,tbMoveset!A2:B112,2,FALSE)="Sever",Backdoors!AY30/100,IF(VLOOKUP(A12,tbMoveset!A2:B112,2,FALSE)="Blunt",Backdoors!AZ30/100,Backdoors!BA30/100)),"")</f>
        <v/>
      </c>
      <c r="GJ12" s="49">
        <f>IFERROR(IF(VLOOKUP(tbMoveset!A12,tbMoveset!A2:H112,8,FALSE)="Other",IF(VLOOKUP(tbMoveset!A12,tbMoveset!A2:I112,9,FALSE)="Fire",Backdoors!BB30,IF(VLOOKUP(tbMoveset!A12,tbMoveset!A2:I112,9,FALSE)="Water",Backdoors!BC30,IF(VLOOKUP(tbMoveset!A12,tbMoveset!A2:I112,9,FALSE)="Thunder",Backdoors!BD30,IF(VLOOKUP(tbMoveset!A12,tbMoveset!A2:I112,9,FALSE)="Ice",Backdoors!BE30,IF(VLOOKUP(tbMoveset!A12,tbMoveset!A2:I112,9,FALSE)="Dragon",Backdoors!BF30,Backdoors!BG30)))))/100,Backdoors!BG30/100),"")</f>
        <v>0</v>
      </c>
      <c r="GK12" s="49">
        <f>IFERROR(IF(VLOOKUP(A12,tbMoveset!A2:J112,10,FALSE)=TRUE,IF((Backdoors!AI12+IF(GI12&gt;=0.45,VLOOKUP(Calculator!E23,tbSkills!DH3:DI6,2,FALSE)+IF(AND(Calculator!B8=TRUE,Backdoors!BI30=TRUE),VLOOKUP(Calculator!E23,tbSkills!DH3:DJ6,3,FALSE),0),0))&gt;=0,1+(Backdoors!AL2*(IF((Backdoors!AI12+IF(GI12&gt;=0.45,VLOOKUP(Calculator!E23,tbSkills!DH3:DI6,2,FALSE)+IF(AND(Calculator!B8=TRUE,Backdoors!BI30=TRUE),VLOOKUP(Calculator!E23,tbSkills!DH3:DJ6,3,FALSE),0),0))&gt;=100,100,(Backdoors!AI12+IF(GI12&gt;=0.45,VLOOKUP(Calculator!E23,tbSkills!DH3:DI6,2,FALSE)+IF(AND(Calculator!B8=TRUE,Backdoors!BI30=TRUE),VLOOKUP(Calculator!E23,tbSkills!DH3:DJ6,3,FALSE),0),0)))/100)),(1-(0.25*((-Backdoors!AI12-IF(GI12&gt;=0.45,VLOOKUP(Calculator!E23,tbSkills!DH3:DI6,2,FALSE)+IF(AND(Calculator!B8=TRUE,Backdoors!BI30=TRUE),VLOOKUP(Calculator!E23,tbSkills!DH3:DJ6,3,FALSE),0),0))/100)))),1),"")</f>
        <v>1</v>
      </c>
      <c r="GL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I12)*GK12)*(VLOOKUP(A12,tbMoveset!A2:C112,3,FALSE)/100)*IF(VLOOKUP(A12,tbMoveset!A2:B112,2,FALSE)="Projectile",Backdoors!N10,Backdoors!N9),0),"")</f>
        <v/>
      </c>
      <c r="GM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I12&gt;=0.45,VLOOKUP(Calculator!E23,tbSkills!DH3:DI6,2,FALSE)+IF(AND(Calculator!B8=TRUE,Backdoors!BI30=TRUE),VLOOKUP(Calculator!E23,tbSkills!DH3:DJ6,3,FALSE),0),0))&gt;=100,100,(Backdoors!AI12+IF(GI12&gt;=0.45,VLOOKUP(Calculator!E23,tbSkills!DH3:DI6,2,FALSE)+IF(AND(Calculator!B8=TRUE,Backdoors!BI30=TRUE),VLOOKUP(Calculator!E23,tbSkills!DH3:DJ6,3,FALSE),0),0)))/100)),1))*IF(VLOOKUP(A12,tbMoveset!A2:K112,11,FALSE)=TRUE,Backdoors!AC5,1))*GJ12,0),"")</f>
        <v>0</v>
      </c>
      <c r="GN12" s="49">
        <f>VLOOKUP(A12,tbMoveset!A2:G112,7,FALSE)*IFERROR(IF(Backdoors!AI12&gt;=0,1+(IF(Calculator!E40&gt;0,VLOOKUP(Calculator!E40,tbSkills!AI3:AJ5,2,FALSE),Backdoors!AL4)*(IF((Backdoors!AI12+IF(GI12&gt;=0.45,VLOOKUP(Calculator!E23,tbSkills!DH3:DI6,2,FALSE)+IF(AND(Calculator!B8=TRUE,Backdoors!BI30=TRUE),VLOOKUP(Calculator!E23,tbSkills!DH3:DJ6,3,FALSE),0),0))&gt;=100,100,(Backdoors!AI12+IF(GI12&gt;=0.45,VLOOKUP(Calculator!E23,tbSkills!DH3:DI6,2,FALSE)+IF(AND(Calculator!B8=TRUE,Backdoors!BI30=TRUE),VLOOKUP(Calculator!E23,tbSkills!DH3:DJ6,3,FALSE),0),0)))/100)),1),1)</f>
        <v>0.4</v>
      </c>
      <c r="GO12" s="87">
        <f t="shared" si="20"/>
        <v>0</v>
      </c>
      <c r="GP12" s="86" t="str">
        <f>IFERROR(IF(VLOOKUP(A12,tbMoveset!A2:B112,2,FALSE)="Sever",Backdoors!AY31/100,IF(VLOOKUP(A12,tbMoveset!A2:B112,2,FALSE)="Blunt",Backdoors!AZ31/100,Backdoors!BA31/100)),"")</f>
        <v/>
      </c>
      <c r="GQ12" s="49">
        <f>IFERROR(IF(VLOOKUP(tbMoveset!A12,tbMoveset!A2:H112,8,FALSE)="Other",IF(VLOOKUP(tbMoveset!A12,tbMoveset!A2:I112,9,FALSE)="Fire",Backdoors!BB31,IF(VLOOKUP(tbMoveset!A12,tbMoveset!A2:I112,9,FALSE)="Water",Backdoors!BC31,IF(VLOOKUP(tbMoveset!A12,tbMoveset!A2:I112,9,FALSE)="Thunder",Backdoors!BD31,IF(VLOOKUP(tbMoveset!A12,tbMoveset!A2:I112,9,FALSE)="Ice",Backdoors!BE31,IF(VLOOKUP(tbMoveset!A12,tbMoveset!A2:I112,9,FALSE)="Dragon",Backdoors!BF31,Backdoors!BG31)))))/100,Backdoors!BG31/100),"")</f>
        <v>0</v>
      </c>
      <c r="GR12" s="49">
        <f>IFERROR(IF(VLOOKUP(A12,tbMoveset!A2:J112,10,FALSE)=TRUE,IF((Backdoors!AI12+IF(GP12&gt;=0.45,VLOOKUP(Calculator!E23,tbSkills!DH3:DI6,2,FALSE)+IF(AND(Calculator!B8=TRUE,Backdoors!BI31=TRUE),VLOOKUP(Calculator!E23,tbSkills!DH3:DJ6,3,FALSE),0),0))&gt;=0,1+(Backdoors!AL2*(IF((Backdoors!AI12+IF(GP12&gt;=0.45,VLOOKUP(Calculator!E23,tbSkills!DH3:DI6,2,FALSE)+IF(AND(Calculator!B8=TRUE,Backdoors!BI31=TRUE),VLOOKUP(Calculator!E23,tbSkills!DH3:DJ6,3,FALSE),0),0))&gt;=100,100,(Backdoors!AI12+IF(GP12&gt;=0.45,VLOOKUP(Calculator!E23,tbSkills!DH3:DI6,2,FALSE)+IF(AND(Calculator!B8=TRUE,Backdoors!BI31=TRUE),VLOOKUP(Calculator!E23,tbSkills!DH3:DJ6,3,FALSE),0),0)))/100)),(1-(0.25*((-Backdoors!AI12-IF(GP12&gt;=0.45,VLOOKUP(Calculator!E23,tbSkills!DH3:DI6,2,FALSE)+IF(AND(Calculator!B8=TRUE,Backdoors!BI31=TRUE),VLOOKUP(Calculator!E23,tbSkills!DH3:DJ6,3,FALSE),0),0))/100)))),1),"")</f>
        <v>1</v>
      </c>
      <c r="GS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P12)*GR12)*(VLOOKUP(A12,tbMoveset!A2:C112,3,FALSE)/100)*IF(VLOOKUP(A12,tbMoveset!A2:B112,2,FALSE)="Projectile",Backdoors!N10,Backdoors!N9),0),"")</f>
        <v/>
      </c>
      <c r="GT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P12&gt;=0.45,VLOOKUP(Calculator!E23,tbSkills!DH3:DI6,2,FALSE)+IF(AND(Calculator!B8=TRUE,Backdoors!BI31=TRUE),VLOOKUP(Calculator!E23,tbSkills!DH3:DJ6,3,FALSE),0),0))&gt;=100,100,(Backdoors!AI12+IF(GP12&gt;=0.45,VLOOKUP(Calculator!E23,tbSkills!DH3:DI6,2,FALSE)+IF(AND(Calculator!B8=TRUE,Backdoors!BI31=TRUE),VLOOKUP(Calculator!E23,tbSkills!DH3:DJ6,3,FALSE),0),0)))/100)),1))*IF(VLOOKUP(A12,tbMoveset!A2:K112,11,FALSE)=TRUE,Backdoors!AC5,1))*GQ12,0),"")</f>
        <v>0</v>
      </c>
      <c r="GU12" s="49">
        <f>VLOOKUP(A12,tbMoveset!A2:G112,7,FALSE)*IFERROR(IF(Backdoors!AI12&gt;=0,1+(IF(Calculator!E40&gt;0,VLOOKUP(Calculator!E40,tbSkills!AI3:AJ5,2,FALSE),Backdoors!AL4)*(IF((Backdoors!AI12+IF(GP12&gt;=0.45,VLOOKUP(Calculator!E23,tbSkills!DH3:DI6,2,FALSE)+IF(AND(Calculator!B8=TRUE,Backdoors!BI31=TRUE),VLOOKUP(Calculator!E23,tbSkills!DH3:DJ6,3,FALSE),0),0))&gt;=100,100,(Backdoors!AI12+IF(GP12&gt;=0.45,VLOOKUP(Calculator!E23,tbSkills!DH3:DI6,2,FALSE)+IF(AND(Calculator!B8=TRUE,Backdoors!BI31=TRUE),VLOOKUP(Calculator!E23,tbSkills!DH3:DJ6,3,FALSE),0),0)))/100)),1),1)</f>
        <v>0.4</v>
      </c>
      <c r="GV12" s="87">
        <f t="shared" si="21"/>
        <v>0</v>
      </c>
      <c r="GW12" s="86" t="str">
        <f>IFERROR(IF(VLOOKUP(A12,tbMoveset!A2:B112,2,FALSE)="Sever",Backdoors!AY32/100,IF(VLOOKUP(A12,tbMoveset!A2:B112,2,FALSE)="Blunt",Backdoors!AZ32/100,Backdoors!BA32/100)),"")</f>
        <v/>
      </c>
      <c r="GX12" s="49">
        <f>IFERROR(IF(VLOOKUP(tbMoveset!A12,tbMoveset!A2:H112,8,FALSE)="Other",IF(VLOOKUP(tbMoveset!A12,tbMoveset!A2:I112,9,FALSE)="Fire",Backdoors!BB32,IF(VLOOKUP(tbMoveset!A12,tbMoveset!A2:I112,9,FALSE)="Water",Backdoors!BC32,IF(VLOOKUP(tbMoveset!A12,tbMoveset!A2:I112,9,FALSE)="Thunder",Backdoors!BD32,IF(VLOOKUP(tbMoveset!A12,tbMoveset!A2:I112,9,FALSE)="Ice",Backdoors!BE32,IF(VLOOKUP(tbMoveset!A12,tbMoveset!A2:I112,9,FALSE)="Dragon",Backdoors!BF32,Backdoors!BG32)))))/100,Backdoors!BG32/100),"")</f>
        <v>0</v>
      </c>
      <c r="GY12" s="49">
        <f>IFERROR(IF(VLOOKUP(A12,tbMoveset!A2:J112,10,FALSE)=TRUE,IF((Backdoors!AI12+IF(GW12&gt;=0.45,VLOOKUP(Calculator!E23,tbSkills!DH3:DI6,2,FALSE)+IF(AND(Calculator!B8=TRUE,Backdoors!BI32=TRUE),VLOOKUP(Calculator!E23,tbSkills!DH3:DJ6,3,FALSE),0),0))&gt;=0,1+(Backdoors!AL2*(IF((Backdoors!AI12+IF(GW12&gt;=0.45,VLOOKUP(Calculator!E23,tbSkills!DH3:DI6,2,FALSE)+IF(AND(Calculator!B8=TRUE,Backdoors!BI32=TRUE),VLOOKUP(Calculator!E23,tbSkills!DH3:DJ6,3,FALSE),0),0))&gt;=100,100,(Backdoors!AI12+IF(GW12&gt;=0.45,VLOOKUP(Calculator!E23,tbSkills!DH3:DI6,2,FALSE)+IF(AND(Calculator!B8=TRUE,Backdoors!BI32=TRUE),VLOOKUP(Calculator!E23,tbSkills!DH3:DJ6,3,FALSE),0),0)))/100)),(1-(0.25*((-Backdoors!AI12-IF(GW12&gt;=0.45,VLOOKUP(Calculator!E23,tbSkills!DH3:DI6,2,FALSE)+IF(AND(Calculator!B8=TRUE,Backdoors!BI32=TRUE),VLOOKUP(Calculator!E23,tbSkills!DH3:DJ6,3,FALSE),0),0))/100)))),1),"")</f>
        <v>1</v>
      </c>
      <c r="GZ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W12)*GY12)*(VLOOKUP(A12,tbMoveset!A2:C112,3,FALSE)/100)*IF(VLOOKUP(A12,tbMoveset!A2:B112,2,FALSE)="Projectile",Backdoors!N10,Backdoors!N9),0),"")</f>
        <v/>
      </c>
      <c r="HA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W12&gt;=0.45,VLOOKUP(Calculator!E23,tbSkills!DH3:DI6,2,FALSE)+IF(AND(Calculator!B8=TRUE,Backdoors!BI32=TRUE),VLOOKUP(Calculator!E23,tbSkills!DH3:DJ6,3,FALSE),0),0))&gt;=100,100,(Backdoors!AI12+IF(GW12&gt;=0.45,VLOOKUP(Calculator!E23,tbSkills!DH3:DI6,2,FALSE)+IF(AND(Calculator!B8=TRUE,Backdoors!BI32=TRUE),VLOOKUP(Calculator!E23,tbSkills!DH3:DJ6,3,FALSE),0),0)))/100)),1))*IF(VLOOKUP(A12,tbMoveset!A2:K112,11,FALSE)=TRUE,Backdoors!AC5,1))*GX12,0),"")</f>
        <v>0</v>
      </c>
      <c r="HB12" s="49">
        <f>VLOOKUP(A12,tbMoveset!A2:G112,7,FALSE)*IFERROR(IF(Backdoors!AI12&gt;=0,1+(IF(Calculator!E40&gt;0,VLOOKUP(Calculator!E40,tbSkills!AI3:AJ5,2,FALSE),Backdoors!AL4)*(IF((Backdoors!AI12+IF(GW12&gt;=0.45,VLOOKUP(Calculator!E23,tbSkills!DH3:DI6,2,FALSE)+IF(AND(Calculator!B8=TRUE,Backdoors!BI32=TRUE),VLOOKUP(Calculator!E23,tbSkills!DH3:DJ6,3,FALSE),0),0))&gt;=100,100,(Backdoors!AI12+IF(GW12&gt;=0.45,VLOOKUP(Calculator!E23,tbSkills!DH3:DI6,2,FALSE)+IF(AND(Calculator!B8=TRUE,Backdoors!BI32=TRUE),VLOOKUP(Calculator!E23,tbSkills!DH3:DJ6,3,FALSE),0),0)))/100)),1),1)</f>
        <v>0.4</v>
      </c>
      <c r="HC12" s="87">
        <f t="shared" si="22"/>
        <v>0</v>
      </c>
      <c r="HD12" s="86" t="str">
        <f>IFERROR(IF(VLOOKUP(A12,tbMoveset!A2:B112,2,FALSE)="Sever",Backdoors!AY33/100,IF(VLOOKUP(A12,tbMoveset!A2:B112,2,FALSE)="Blunt",Backdoors!AZ33/100,Backdoors!BA33/100)),"")</f>
        <v/>
      </c>
      <c r="HE12" s="49">
        <f>IFERROR(IF(VLOOKUP(tbMoveset!A12,tbMoveset!A2:H112,8,FALSE)="Other",IF(VLOOKUP(tbMoveset!A12,tbMoveset!A2:I112,9,FALSE)="Fire",Backdoors!BB33,IF(VLOOKUP(tbMoveset!A12,tbMoveset!A2:I112,9,FALSE)="Water",Backdoors!BC33,IF(VLOOKUP(tbMoveset!A12,tbMoveset!A2:I112,9,FALSE)="Thunder",Backdoors!BD33,IF(VLOOKUP(tbMoveset!A12,tbMoveset!A2:I112,9,FALSE)="Ice",Backdoors!BE33,IF(VLOOKUP(tbMoveset!A12,tbMoveset!A2:I112,9,FALSE)="Dragon",Backdoors!BF33,Backdoors!BG33)))))/100,Backdoors!BG33/100),"")</f>
        <v>0</v>
      </c>
      <c r="HF12" s="49">
        <f>IFERROR(IF(VLOOKUP(A12,tbMoveset!A2:J112,10,FALSE)=TRUE,IF((Backdoors!AI12+IF(HD12&gt;=0.45,VLOOKUP(Calculator!E23,tbSkills!DH3:DI6,2,FALSE)+IF(AND(Calculator!B8=TRUE,Backdoors!BI33=TRUE),VLOOKUP(Calculator!E23,tbSkills!DH3:DJ6,3,FALSE),0),0))&gt;=0,1+(Backdoors!AL2*(IF((Backdoors!AI12+IF(HD12&gt;=0.45,VLOOKUP(Calculator!E23,tbSkills!DH3:DI6,2,FALSE)+IF(AND(Calculator!B8=TRUE,Backdoors!BI33=TRUE),VLOOKUP(Calculator!E23,tbSkills!DH3:DJ6,3,FALSE),0),0))&gt;=100,100,(Backdoors!AI12+IF(HD12&gt;=0.45,VLOOKUP(Calculator!E23,tbSkills!DH3:DI6,2,FALSE)+IF(AND(Calculator!B8=TRUE,Backdoors!BI33=TRUE),VLOOKUP(Calculator!E23,tbSkills!DH3:DJ6,3,FALSE),0),0)))/100)),(1-(0.25*((-Backdoors!AI12-IF(HD12&gt;=0.45,VLOOKUP(Calculator!E23,tbSkills!DH3:DI6,2,FALSE)+IF(AND(Calculator!B8=TRUE,Backdoors!BI33=TRUE),VLOOKUP(Calculator!E23,tbSkills!DH3:DJ6,3,FALSE),0),0))/100)))),1),"")</f>
        <v>1</v>
      </c>
      <c r="HG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D12)*HF12)*(VLOOKUP(A12,tbMoveset!A2:C112,3,FALSE)/100)*IF(VLOOKUP(A12,tbMoveset!A2:B112,2,FALSE)="Projectile",Backdoors!N10,Backdoors!N9),0),"")</f>
        <v/>
      </c>
      <c r="HH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D12&gt;=0.45,VLOOKUP(Calculator!E23,tbSkills!DH3:DI6,2,FALSE)+IF(AND(Calculator!B8=TRUE,Backdoors!BI33=TRUE),VLOOKUP(Calculator!E23,tbSkills!DH3:DJ6,3,FALSE),0),0))&gt;=100,100,(Backdoors!AI12+IF(HD12&gt;=0.45,VLOOKUP(Calculator!E23,tbSkills!DH3:DI6,2,FALSE)+IF(AND(Calculator!B8=TRUE,Backdoors!BI33=TRUE),VLOOKUP(Calculator!E23,tbSkills!DH3:DJ6,3,FALSE),0),0)))/100)),1))*IF(VLOOKUP(A12,tbMoveset!A2:K112,11,FALSE)=TRUE,Backdoors!AC5,1))*HE12,0),"")</f>
        <v>0</v>
      </c>
      <c r="HI12" s="49">
        <f>VLOOKUP(A12,tbMoveset!A2:G112,7,FALSE)*IFERROR(IF(Backdoors!AI12&gt;=0,1+(IF(Calculator!E40&gt;0,VLOOKUP(Calculator!E40,tbSkills!AI3:AJ5,2,FALSE),Backdoors!AL4)*(IF((Backdoors!AI12+IF(HD12&gt;=0.45,VLOOKUP(Calculator!E23,tbSkills!DH3:DI6,2,FALSE)+IF(AND(Calculator!B8=TRUE,Backdoors!BI33=TRUE),VLOOKUP(Calculator!E23,tbSkills!DH3:DJ6,3,FALSE),0),0))&gt;=100,100,(Backdoors!AI12+IF(HD12&gt;=0.45,VLOOKUP(Calculator!E23,tbSkills!DH3:DI6,2,FALSE)+IF(AND(Calculator!B8=TRUE,Backdoors!BI33=TRUE),VLOOKUP(Calculator!E23,tbSkills!DH3:DJ6,3,FALSE),0),0)))/100)),1),1)</f>
        <v>0.4</v>
      </c>
      <c r="HJ12" s="87">
        <f t="shared" si="23"/>
        <v>0</v>
      </c>
      <c r="HK12" s="86" t="str">
        <f>IFERROR(IF(VLOOKUP(A12,tbMoveset!A2:B112,2,FALSE)="Sever",Backdoors!AY34/100,IF(VLOOKUP(A12,tbMoveset!A2:B112,2,FALSE)="Blunt",Backdoors!AZ34/100,Backdoors!BA34/100)),"")</f>
        <v/>
      </c>
      <c r="HL12" s="49">
        <f>IFERROR(IF(VLOOKUP(tbMoveset!A12,tbMoveset!A2:H112,8,FALSE)="Other",IF(VLOOKUP(tbMoveset!A12,tbMoveset!A2:I112,9,FALSE)="Fire",Backdoors!BB34,IF(VLOOKUP(tbMoveset!A12,tbMoveset!A2:I112,9,FALSE)="Water",Backdoors!BC34,IF(VLOOKUP(tbMoveset!A12,tbMoveset!A2:I112,9,FALSE)="Thunder",Backdoors!BD34,IF(VLOOKUP(tbMoveset!A12,tbMoveset!A2:I112,9,FALSE)="Ice",Backdoors!BE34,IF(VLOOKUP(tbMoveset!A12,tbMoveset!A2:I112,9,FALSE)="Dragon",Backdoors!BF34,Backdoors!BG34)))))/100,Backdoors!BG34/100),"")</f>
        <v>0</v>
      </c>
      <c r="HM12" s="49">
        <f>IFERROR(IF(VLOOKUP(A12,tbMoveset!A2:J112,10,FALSE)=TRUE,IF((Backdoors!AI12+IF(HK12&gt;=0.45,VLOOKUP(Calculator!E23,tbSkills!DH3:DI6,2,FALSE)+IF(AND(Calculator!B8=TRUE,Backdoors!BI34=TRUE),VLOOKUP(Calculator!E23,tbSkills!DH3:DJ6,3,FALSE),0),0))&gt;=0,1+(Backdoors!AL2*(IF((Backdoors!AI12+IF(HK12&gt;=0.45,VLOOKUP(Calculator!E23,tbSkills!DH3:DI6,2,FALSE)+IF(AND(Calculator!B8=TRUE,Backdoors!BI34=TRUE),VLOOKUP(Calculator!E23,tbSkills!DH3:DJ6,3,FALSE),0),0))&gt;=100,100,(Backdoors!AI12+IF(HK12&gt;=0.45,VLOOKUP(Calculator!E23,tbSkills!DH3:DI6,2,FALSE)+IF(AND(Calculator!B8=TRUE,Backdoors!BI34=TRUE),VLOOKUP(Calculator!E23,tbSkills!DH3:DJ6,3,FALSE),0),0)))/100)),(1-(0.25*((-Backdoors!AI12-IF(HK12&gt;=0.45,VLOOKUP(Calculator!E23,tbSkills!DH3:DI6,2,FALSE)+IF(AND(Calculator!B8=TRUE,Backdoors!BI34=TRUE),VLOOKUP(Calculator!E23,tbSkills!DH3:DJ6,3,FALSE),0),0))/100)))),1),"")</f>
        <v>1</v>
      </c>
      <c r="HN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K12)*HM12)*(VLOOKUP(A12,tbMoveset!A2:C112,3,FALSE)/100)*IF(VLOOKUP(A12,tbMoveset!A2:B112,2,FALSE)="Projectile",Backdoors!N10,Backdoors!N9),0),"")</f>
        <v/>
      </c>
      <c r="HO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K12&gt;=0.45,VLOOKUP(Calculator!E23,tbSkills!DH3:DI6,2,FALSE)+IF(AND(Calculator!B8=TRUE,Backdoors!BI34=TRUE),VLOOKUP(Calculator!E23,tbSkills!DH3:DJ6,3,FALSE),0),0))&gt;=100,100,(Backdoors!AI12+IF(HK12&gt;=0.45,VLOOKUP(Calculator!E23,tbSkills!DH3:DI6,2,FALSE)+IF(AND(Calculator!B8=TRUE,Backdoors!BI34=TRUE),VLOOKUP(Calculator!E23,tbSkills!DH3:DJ6,3,FALSE),0),0)))/100)),1))*IF(VLOOKUP(A12,tbMoveset!A2:K112,11,FALSE)=TRUE,Backdoors!AC5,1))*HL12,0),"")</f>
        <v>0</v>
      </c>
      <c r="HP12" s="49">
        <f>VLOOKUP(A12,tbMoveset!A2:G112,7,FALSE)*IFERROR(IF(Backdoors!AI12&gt;=0,1+(IF(Calculator!E40&gt;0,VLOOKUP(Calculator!E40,tbSkills!AI3:AJ5,2,FALSE),Backdoors!AL4)*(IF((Backdoors!AI12+IF(HK12&gt;=0.45,VLOOKUP(Calculator!E23,tbSkills!DH3:DI6,2,FALSE)+IF(AND(Calculator!B8=TRUE,Backdoors!BI34=TRUE),VLOOKUP(Calculator!E23,tbSkills!DH3:DJ6,3,FALSE),0),0))&gt;=100,100,(Backdoors!AI12+IF(HK12&gt;=0.45,VLOOKUP(Calculator!E23,tbSkills!DH3:DI6,2,FALSE)+IF(AND(Calculator!B8=TRUE,Backdoors!BI34=TRUE),VLOOKUP(Calculator!E23,tbSkills!DH3:DJ6,3,FALSE),0),0)))/100)),1),1)</f>
        <v>0.4</v>
      </c>
      <c r="HQ12" s="87">
        <f t="shared" si="24"/>
        <v>0</v>
      </c>
      <c r="HR12" s="86" t="str">
        <f>IFERROR(IF(VLOOKUP(A12,tbMoveset!A2:B112,2,FALSE)="Sever",Backdoors!AY35/100,IF(VLOOKUP(A12,tbMoveset!A2:B112,2,FALSE)="Blunt",Backdoors!AZ35/100,Backdoors!BA35/100)),"")</f>
        <v/>
      </c>
      <c r="HS12" s="49">
        <f>IFERROR(IF(VLOOKUP(tbMoveset!A12,tbMoveset!A2:H112,8,FALSE)="Other",IF(VLOOKUP(tbMoveset!A12,tbMoveset!A2:I112,9,FALSE)="Fire",Backdoors!BB35,IF(VLOOKUP(tbMoveset!A12,tbMoveset!A2:I112,9,FALSE)="Water",Backdoors!BC35,IF(VLOOKUP(tbMoveset!A12,tbMoveset!A2:I112,9,FALSE)="Thunder",Backdoors!BD35,IF(VLOOKUP(tbMoveset!A12,tbMoveset!A2:I112,9,FALSE)="Ice",Backdoors!BE35,IF(VLOOKUP(tbMoveset!A12,tbMoveset!A2:I112,9,FALSE)="Dragon",Backdoors!BF35,Backdoors!BG35)))))/100,Backdoors!BG35/100),"")</f>
        <v>0</v>
      </c>
      <c r="HT12" s="49">
        <f>IFERROR(IF(VLOOKUP(A12,tbMoveset!A2:J112,10,FALSE)=TRUE,IF((Backdoors!AI12+IF(HR12&gt;=0.45,VLOOKUP(Calculator!E23,tbSkills!DH3:DI6,2,FALSE)+IF(AND(Calculator!B8=TRUE,Backdoors!BI35=TRUE),VLOOKUP(Calculator!E23,tbSkills!DH3:DJ6,3,FALSE),0),0))&gt;=0,1+(Backdoors!AL2*(IF((Backdoors!AI12+IF(HR12&gt;=0.45,VLOOKUP(Calculator!E23,tbSkills!DH3:DI6,2,FALSE)+IF(AND(Calculator!B8=TRUE,Backdoors!BI35=TRUE),VLOOKUP(Calculator!E23,tbSkills!DH3:DJ6,3,FALSE),0),0))&gt;=100,100,(Backdoors!AI12+IF(HR12&gt;=0.45,VLOOKUP(Calculator!E23,tbSkills!DH3:DI6,2,FALSE)+IF(AND(Calculator!B8=TRUE,Backdoors!BI35=TRUE),VLOOKUP(Calculator!E23,tbSkills!DH3:DJ6,3,FALSE),0),0)))/100)),(1-(0.25*((-Backdoors!AI12-IF(HR12&gt;=0.45,VLOOKUP(Calculator!E23,tbSkills!DH3:DI6,2,FALSE)+IF(AND(Calculator!B8=TRUE,Backdoors!BI35=TRUE),VLOOKUP(Calculator!E23,tbSkills!DH3:DJ6,3,FALSE),0),0))/100)))),1),"")</f>
        <v>1</v>
      </c>
      <c r="HU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R12)*HT12)*(VLOOKUP(A12,tbMoveset!A2:C112,3,FALSE)/100)*IF(VLOOKUP(A12,tbMoveset!A2:B112,2,FALSE)="Projectile",Backdoors!N10,Backdoors!N9),0),"")</f>
        <v/>
      </c>
      <c r="HV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R12&gt;=0.45,VLOOKUP(Calculator!E23,tbSkills!DH3:DI6,2,FALSE)+IF(AND(Calculator!B8=TRUE,Backdoors!BI35=TRUE),VLOOKUP(Calculator!E23,tbSkills!DH3:DJ6,3,FALSE),0),0))&gt;=100,100,(Backdoors!AI12+IF(HR12&gt;=0.45,VLOOKUP(Calculator!E23,tbSkills!DH3:DI6,2,FALSE)+IF(AND(Calculator!B8=TRUE,Backdoors!BI35=TRUE),VLOOKUP(Calculator!E23,tbSkills!DH3:DJ6,3,FALSE),0),0)))/100)),1))*IF(VLOOKUP(A12,tbMoveset!A2:K112,11,FALSE)=TRUE,Backdoors!AC5,1))*HS12,0),"")</f>
        <v>0</v>
      </c>
      <c r="HW12" s="49">
        <f>VLOOKUP(A12,tbMoveset!A2:G112,7,FALSE)*IFERROR(IF(Backdoors!AI12&gt;=0,1+(IF(Calculator!E40&gt;0,VLOOKUP(Calculator!E40,tbSkills!AI3:AJ5,2,FALSE),Backdoors!AL4)*(IF((Backdoors!AI12+IF(HR12&gt;=0.45,VLOOKUP(Calculator!E23,tbSkills!DH3:DI6,2,FALSE)+IF(AND(Calculator!B8=TRUE,Backdoors!BI35=TRUE),VLOOKUP(Calculator!E23,tbSkills!DH3:DJ6,3,FALSE),0),0))&gt;=100,100,(Backdoors!AI12+IF(HR12&gt;=0.45,VLOOKUP(Calculator!E23,tbSkills!DH3:DI6,2,FALSE)+IF(AND(Calculator!B8=TRUE,Backdoors!BI35=TRUE),VLOOKUP(Calculator!E23,tbSkills!DH3:DJ6,3,FALSE),0),0)))/100)),1),1)</f>
        <v>0.4</v>
      </c>
      <c r="HX12" s="87">
        <f t="shared" si="25"/>
        <v>0</v>
      </c>
      <c r="HY12" s="86" t="str">
        <f>IFERROR(IF(VLOOKUP(A12,tbMoveset!A2:B112,2,FALSE)="Sever",Backdoors!AY36/100,IF(VLOOKUP(A12,tbMoveset!A2:B112,2,FALSE)="Blunt",Backdoors!AZ36/100,Backdoors!BA36/100)),"")</f>
        <v/>
      </c>
      <c r="HZ12" s="49">
        <f>IFERROR(IF(VLOOKUP(tbMoveset!A12,tbMoveset!A2:H112,8,FALSE)="Other",IF(VLOOKUP(tbMoveset!A12,tbMoveset!A2:I112,9,FALSE)="Fire",Backdoors!BB36,IF(VLOOKUP(tbMoveset!A12,tbMoveset!A2:I112,9,FALSE)="Water",Backdoors!BC36,IF(VLOOKUP(tbMoveset!A12,tbMoveset!A2:I112,9,FALSE)="Thunder",Backdoors!BD36,IF(VLOOKUP(tbMoveset!A12,tbMoveset!A2:I112,9,FALSE)="Ice",Backdoors!BE36,IF(VLOOKUP(tbMoveset!A12,tbMoveset!A2:I112,9,FALSE)="Dragon",Backdoors!BF36,Backdoors!BG36)))))/100,Backdoors!BG36/100),"")</f>
        <v>0</v>
      </c>
      <c r="IA12" s="49">
        <f>IFERROR(IF(VLOOKUP(A12,tbMoveset!A2:J112,10,FALSE)=TRUE,IF((Backdoors!AI12+IF(HY12&gt;=0.45,VLOOKUP(Calculator!E23,tbSkills!DH3:DI6,2,FALSE)+IF(AND(Calculator!B8=TRUE,Backdoors!BI36=TRUE),VLOOKUP(Calculator!E23,tbSkills!DH3:DJ6,3,FALSE),0),0))&gt;=0,1+(Backdoors!AL2*(IF((Backdoors!AI12+IF(HY12&gt;=0.45,VLOOKUP(Calculator!E23,tbSkills!DH3:DI6,2,FALSE)+IF(AND(Calculator!B8=TRUE,Backdoors!BI36=TRUE),VLOOKUP(Calculator!E23,tbSkills!DH3:DJ6,3,FALSE),0),0))&gt;=100,100,(Backdoors!AI12+IF(HY12&gt;=0.45,VLOOKUP(Calculator!E23,tbSkills!DH3:DI6,2,FALSE)+IF(AND(Calculator!B8=TRUE,Backdoors!BI36=TRUE),VLOOKUP(Calculator!E23,tbSkills!DH3:DJ6,3,FALSE),0),0)))/100)),(1-(0.25*((-Backdoors!AI12-IF(HY12&gt;=0.45,VLOOKUP(Calculator!E23,tbSkills!DH3:DI6,2,FALSE)+IF(AND(Calculator!B8=TRUE,Backdoors!BI36=TRUE),VLOOKUP(Calculator!E23,tbSkills!DH3:DJ6,3,FALSE),0),0))/100)))),1),"")</f>
        <v>1</v>
      </c>
      <c r="IB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Y12)*IA12)*(VLOOKUP(A12,tbMoveset!A2:C112,3,FALSE)/100)*IF(VLOOKUP(A12,tbMoveset!A2:B112,2,FALSE)="Projectile",Backdoors!N10,Backdoors!N9),0),"")</f>
        <v/>
      </c>
      <c r="IC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Y12&gt;=0.45,VLOOKUP(Calculator!E23,tbSkills!DH3:DI6,2,FALSE)+IF(AND(Calculator!B8=TRUE,Backdoors!BI36=TRUE),VLOOKUP(Calculator!E23,tbSkills!DH3:DJ6,3,FALSE),0),0))&gt;=100,100,(Backdoors!AI12+IF(HY12&gt;=0.45,VLOOKUP(Calculator!E23,tbSkills!DH3:DI6,2,FALSE)+IF(AND(Calculator!B8=TRUE,Backdoors!BI36=TRUE),VLOOKUP(Calculator!E23,tbSkills!DH3:DJ6,3,FALSE),0),0)))/100)),1))*IF(VLOOKUP(A12,tbMoveset!A2:K112,11,FALSE)=TRUE,Backdoors!AC5,1))*HZ12,0),"")</f>
        <v>0</v>
      </c>
      <c r="ID12" s="49">
        <f>VLOOKUP(A12,tbMoveset!A2:G112,7,FALSE)*IFERROR(IF(Backdoors!AI12&gt;=0,1+(IF(Calculator!E40&gt;0,VLOOKUP(Calculator!E40,tbSkills!AI3:AJ5,2,FALSE),Backdoors!AL4)*(IF((Backdoors!AI12+IF(HY12&gt;=0.45,VLOOKUP(Calculator!E23,tbSkills!DH3:DI6,2,FALSE)+IF(AND(Calculator!B8=TRUE,Backdoors!BI36=TRUE),VLOOKUP(Calculator!E23,tbSkills!DH3:DJ6,3,FALSE),0),0))&gt;=100,100,(Backdoors!AI12+IF(HY12&gt;=0.45,VLOOKUP(Calculator!E23,tbSkills!DH3:DI6,2,FALSE)+IF(AND(Calculator!B8=TRUE,Backdoors!BI36=TRUE),VLOOKUP(Calculator!E23,tbSkills!DH3:DJ6,3,FALSE),0),0)))/100)),1),1)</f>
        <v>0.4</v>
      </c>
      <c r="IE12" s="87">
        <f t="shared" si="26"/>
        <v>0</v>
      </c>
      <c r="IF12" s="86" t="str">
        <f>IFERROR(IF(VLOOKUP(A12,tbMoveset!A2:B112,2,FALSE)="Sever",Backdoors!AY37/100,IF(VLOOKUP(A12,tbMoveset!A2:B112,2,FALSE)="Blunt",Backdoors!AZ37/100,Backdoors!BA37/100)),"")</f>
        <v/>
      </c>
      <c r="IG12" s="49">
        <f>IFERROR(IF(VLOOKUP(tbMoveset!A12,tbMoveset!A2:H112,8,FALSE)="Other",IF(VLOOKUP(tbMoveset!A12,tbMoveset!A2:I112,9,FALSE)="Fire",Backdoors!BB37,IF(VLOOKUP(tbMoveset!A12,tbMoveset!A2:I112,9,FALSE)="Water",Backdoors!BC37,IF(VLOOKUP(tbMoveset!A12,tbMoveset!A2:I112,9,FALSE)="Thunder",Backdoors!BD37,IF(VLOOKUP(tbMoveset!A12,tbMoveset!A2:I112,9,FALSE)="Ice",Backdoors!BE37,IF(VLOOKUP(tbMoveset!A12,tbMoveset!A2:I112,9,FALSE)="Dragon",Backdoors!BF37,Backdoors!BG37)))))/100,Backdoors!BG37/100),"")</f>
        <v>0</v>
      </c>
      <c r="IH12" s="49">
        <f>IFERROR(IF(VLOOKUP(A12,tbMoveset!A2:J112,10,FALSE)=TRUE,IF((Backdoors!AI12+IF(IF12&gt;=0.45,VLOOKUP(Calculator!E23,tbSkills!DH3:DI6,2,FALSE)+IF(AND(Calculator!B8=TRUE,Backdoors!BI37=TRUE),VLOOKUP(Calculator!E23,tbSkills!DH3:DJ6,3,FALSE),0),0))&gt;=0,1+(Backdoors!AL2*(IF((Backdoors!AI12+IF(IF12&gt;=0.45,VLOOKUP(Calculator!E23,tbSkills!DH3:DI6,2,FALSE)+IF(AND(Calculator!B8=TRUE,Backdoors!BI37=TRUE),VLOOKUP(Calculator!E23,tbSkills!DH3:DJ6,3,FALSE),0),0))&gt;=100,100,(Backdoors!AI12+IF(IF12&gt;=0.45,VLOOKUP(Calculator!E23,tbSkills!DH3:DI6,2,FALSE)+IF(AND(Calculator!B8=TRUE,Backdoors!BI37=TRUE),VLOOKUP(Calculator!E23,tbSkills!DH3:DJ6,3,FALSE),0),0)))/100)),(1-(0.25*((-Backdoors!AI12-IF(IF12&gt;=0.45,VLOOKUP(Calculator!E23,tbSkills!DH3:DI6,2,FALSE)+IF(AND(Calculator!B8=TRUE,Backdoors!BI37=TRUE),VLOOKUP(Calculator!E23,tbSkills!DH3:DJ6,3,FALSE),0),0))/100)))),1),"")</f>
        <v>1</v>
      </c>
      <c r="II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F12)*IH12)*(VLOOKUP(A12,tbMoveset!A2:C112,3,FALSE)/100)*IF(VLOOKUP(A12,tbMoveset!A2:B112,2,FALSE)="Projectile",Backdoors!N10,Backdoors!N9),0),"")</f>
        <v/>
      </c>
      <c r="IJ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IF12&gt;=0.45,VLOOKUP(Calculator!E23,tbSkills!DH3:DI6,2,FALSE)+IF(AND(Calculator!B8=TRUE,Backdoors!BI37=TRUE),VLOOKUP(Calculator!E23,tbSkills!DH3:DJ6,3,FALSE),0),0))&gt;=100,100,(Backdoors!AI12+IF(IF12&gt;=0.45,VLOOKUP(Calculator!E23,tbSkills!DH3:DI6,2,FALSE)+IF(AND(Calculator!B8=TRUE,Backdoors!BI37=TRUE),VLOOKUP(Calculator!E23,tbSkills!DH3:DJ6,3,FALSE),0),0)))/100)),1))*IF(VLOOKUP(A12,tbMoveset!A2:K112,11,FALSE)=TRUE,Backdoors!AC5,1))*IG12,0),"")</f>
        <v>0</v>
      </c>
      <c r="IK12" s="49">
        <f>VLOOKUP(A12,tbMoveset!A2:G112,7,FALSE)*IFERROR(IF(Backdoors!AI12&gt;=0,1+(IF(Calculator!E40&gt;0,VLOOKUP(Calculator!E40,tbSkills!AI3:AJ5,2,FALSE),Backdoors!AL4)*(IF((Backdoors!AI12+IF(IF12&gt;=0.45,VLOOKUP(Calculator!E23,tbSkills!DH3:DI6,2,FALSE)+IF(AND(Calculator!B8=TRUE,Backdoors!BI37=TRUE),VLOOKUP(Calculator!E23,tbSkills!DH3:DJ6,3,FALSE),0),0))&gt;=100,100,(Backdoors!AI12+IF(IF12&gt;=0.45,VLOOKUP(Calculator!E23,tbSkills!DH3:DI6,2,FALSE)+IF(AND(Calculator!B8=TRUE,Backdoors!BI37=TRUE),VLOOKUP(Calculator!E23,tbSkills!DH3:DJ6,3,FALSE),0),0)))/100)),1),1)</f>
        <v>0.4</v>
      </c>
      <c r="IL12" s="87">
        <f t="shared" si="27"/>
        <v>0</v>
      </c>
      <c r="IM12" s="86" t="str">
        <f>IFERROR(IF(VLOOKUP(A12,tbMoveset!A2:B112,2,FALSE)="Sever",Backdoors!AY38/100,IF(VLOOKUP(A12,tbMoveset!A2:B112,2,FALSE)="Blunt",Backdoors!AZ38/100,Backdoors!BA38/100)),"")</f>
        <v/>
      </c>
      <c r="IN12" s="49">
        <f>IFERROR(IF(VLOOKUP(tbMoveset!A12,tbMoveset!A2:H112,8,FALSE)="Other",IF(VLOOKUP(tbMoveset!A12,tbMoveset!A2:I112,9,FALSE)="Fire",Backdoors!BB38,IF(VLOOKUP(tbMoveset!A12,tbMoveset!A2:I112,9,FALSE)="Water",Backdoors!BC38,IF(VLOOKUP(tbMoveset!A12,tbMoveset!A2:I112,9,FALSE)="Thunder",Backdoors!BD38,IF(VLOOKUP(tbMoveset!A12,tbMoveset!A2:I112,9,FALSE)="Ice",Backdoors!BE38,IF(VLOOKUP(tbMoveset!A12,tbMoveset!A2:I112,9,FALSE)="Dragon",Backdoors!BF38,Backdoors!BG38)))))/100,Backdoors!BG38/100),"")</f>
        <v>0</v>
      </c>
      <c r="IO12" s="49">
        <f>IFERROR(IF(VLOOKUP(A12,tbMoveset!A2:J112,10,FALSE)=TRUE,IF((Backdoors!AI12+IF(IM12&gt;=0.45,VLOOKUP(Calculator!E23,tbSkills!DH3:DI6,2,FALSE)+IF(AND(Calculator!B8=TRUE,Backdoors!BI38=TRUE),VLOOKUP(Calculator!E23,tbSkills!DH3:DJ6,3,FALSE),0),0))&gt;=0,1+(Backdoors!AL2*(IF((Backdoors!AI12+IF(IM12&gt;=0.45,VLOOKUP(Calculator!E23,tbSkills!DH3:DI6,2,FALSE)+IF(AND(Calculator!B8=TRUE,Backdoors!BI38=TRUE),VLOOKUP(Calculator!E23,tbSkills!DH3:DJ6,3,FALSE),0),0))&gt;=100,100,(Backdoors!AI12+IF(IM12&gt;=0.45,VLOOKUP(Calculator!E23,tbSkills!DH3:DI6,2,FALSE)+IF(AND(Calculator!B8=TRUE,Backdoors!BI38=TRUE),VLOOKUP(Calculator!E23,tbSkills!DH3:DJ6,3,FALSE),0),0)))/100)),(1-(0.25*((-Backdoors!AI12-IF(IM12&gt;=0.45,VLOOKUP(Calculator!E23,tbSkills!DH3:DI6,2,FALSE)+IF(AND(Calculator!B8=TRUE,Backdoors!BI38=TRUE),VLOOKUP(Calculator!E23,tbSkills!DH3:DJ6,3,FALSE),0),0))/100)))),1),"")</f>
        <v>1</v>
      </c>
      <c r="IP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M12)*IO12)*(VLOOKUP(A12,tbMoveset!A2:C112,3,FALSE)/100)*IF(VLOOKUP(A12,tbMoveset!A2:B112,2,FALSE)="Projectile",Backdoors!N10,Backdoors!N9),0),"")</f>
        <v/>
      </c>
      <c r="IQ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IM12&gt;=0.45,VLOOKUP(Calculator!E23,tbSkills!DH3:DI6,2,FALSE)+IF(AND(Calculator!B8=TRUE,Backdoors!BI38=TRUE),VLOOKUP(Calculator!E23,tbSkills!DH3:DJ6,3,FALSE),0),0))&gt;=100,100,(Backdoors!AI12+IF(IM12&gt;=0.45,VLOOKUP(Calculator!E23,tbSkills!DH3:DI6,2,FALSE)+IF(AND(Calculator!B8=TRUE,Backdoors!BI38=TRUE),VLOOKUP(Calculator!E23,tbSkills!DH3:DJ6,3,FALSE),0),0)))/100)),1))*IF(VLOOKUP(A12,tbMoveset!A2:K112,11,FALSE)=TRUE,Backdoors!AC5,1))*IN12,0),"")</f>
        <v>0</v>
      </c>
      <c r="IR12" s="49">
        <f>VLOOKUP(A12,tbMoveset!A2:G112,7,FALSE)*IFERROR(IF(Backdoors!AI12&gt;=0,1+(IF(Calculator!E40&gt;0,VLOOKUP(Calculator!E40,tbSkills!AI3:AJ5,2,FALSE),Backdoors!AL4)*(IF((Backdoors!AI12+IF(IM12&gt;=0.45,VLOOKUP(Calculator!E23,tbSkills!DH3:DI6,2,FALSE)+IF(AND(Calculator!B8=TRUE,Backdoors!BI38=TRUE),VLOOKUP(Calculator!E23,tbSkills!DH3:DJ6,3,FALSE),0),0))&gt;=100,100,(Backdoors!AI12+IF(IM12&gt;=0.45,VLOOKUP(Calculator!E23,tbSkills!DH3:DI6,2,FALSE)+IF(AND(Calculator!B8=TRUE,Backdoors!BI38=TRUE),VLOOKUP(Calculator!E23,tbSkills!DH3:DJ6,3,FALSE),0),0)))/100)),1),1)</f>
        <v>0.4</v>
      </c>
      <c r="IS12" s="87">
        <f t="shared" si="42"/>
        <v>0</v>
      </c>
      <c r="IT12" s="86" t="str">
        <f>IFERROR(IF(VLOOKUP(A12,tbMoveset!A2:B112,2,FALSE)="Sever",Backdoors!AY39/100,IF(VLOOKUP(A12,tbMoveset!A2:B112,2,FALSE)="Blunt",Backdoors!AZ39/100,Backdoors!BA39/100)),"")</f>
        <v/>
      </c>
      <c r="IU12" s="49">
        <f>IFERROR(IF(VLOOKUP(tbMoveset!A12,tbMoveset!A2:H112,8,FALSE)="Other",IF(VLOOKUP(tbMoveset!A12,tbMoveset!A2:I112,9,FALSE)="Fire",Backdoors!BB39,IF(VLOOKUP(tbMoveset!A12,tbMoveset!A2:I112,9,FALSE)="Water",Backdoors!BC39,IF(VLOOKUP(tbMoveset!A12,tbMoveset!A2:I112,9,FALSE)="Thunder",Backdoors!BD39,IF(VLOOKUP(tbMoveset!A12,tbMoveset!A2:I112,9,FALSE)="Ice",Backdoors!BE39,IF(VLOOKUP(tbMoveset!A12,tbMoveset!A2:I112,9,FALSE)="Dragon",Backdoors!BF39,Backdoors!BG39)))))/100,Backdoors!BG39/100),"")</f>
        <v>0</v>
      </c>
      <c r="IV12" s="49">
        <f>IFERROR(IF(VLOOKUP(A12,tbMoveset!A2:J112,10,FALSE)=TRUE,IF((Backdoors!AI12+IF(IT12&gt;=0.45,VLOOKUP(Calculator!E23,tbSkills!DH3:DI6,2,FALSE)+IF(AND(Calculator!B8=TRUE,Backdoors!BI39=TRUE),VLOOKUP(Calculator!E23,tbSkills!DH3:DJ6,3,FALSE),0),0))&gt;=0,1+(Backdoors!AL2*(IF((Backdoors!AI12+IF(IT12&gt;=0.45,VLOOKUP(Calculator!E23,tbSkills!DH3:DI6,2,FALSE)+IF(AND(Calculator!B8=TRUE,Backdoors!BI39=TRUE),VLOOKUP(Calculator!E23,tbSkills!DH3:DJ6,3,FALSE),0),0))&gt;=100,100,(Backdoors!AI12+IF(IT12&gt;=0.45,VLOOKUP(Calculator!E23,tbSkills!DH3:DI6,2,FALSE)+IF(AND(Calculator!B8=TRUE,Backdoors!BI39=TRUE),VLOOKUP(Calculator!E23,tbSkills!DH3:DJ6,3,FALSE),0),0)))/100)),(1-(0.25*((-Backdoors!AI12-IF(IT12&gt;=0.45,VLOOKUP(Calculator!E23,tbSkills!DH3:DI6,2,FALSE)+IF(AND(Calculator!B8=TRUE,Backdoors!BI39=TRUE),VLOOKUP(Calculator!E23,tbSkills!DH3:DJ6,3,FALSE),0),0))/100)))),1),"")</f>
        <v>1</v>
      </c>
      <c r="IW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T12)*IV12)*(VLOOKUP(A12,tbMoveset!A2:C112,3,FALSE)/100)*IF(VLOOKUP(A12,tbMoveset!A2:B112,2,FALSE)="Projectile",Backdoors!N10,Backdoors!N9),0),"")</f>
        <v/>
      </c>
      <c r="IX12" s="49">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40&gt;0,VLOOKUP(Calculator!E40,tbSkills!AC3:AD5,2,FALSE),Backdoors!AL3)*(IF((Backdoors!AI12+IF(IT12&gt;=0.45,VLOOKUP(Calculator!E23,tbSkills!DH3:DI6,2,FALSE)+IF(AND(Calculator!B8=TRUE,Backdoors!BI39=TRUE),VLOOKUP(Calculator!E23,tbSkills!DH3:DJ6,3,FALSE),0),0))&gt;=100,100,(Backdoors!AI12+IF(IT12&gt;=0.45,VLOOKUP(Calculator!E23,tbSkills!DH3:DI6,2,FALSE)+IF(AND(Calculator!B8=TRUE,Backdoors!BI39=TRUE),VLOOKUP(Calculator!E23,tbSkills!DH3:DJ6,3,FALSE),0),0)))/100)),1))*IF(VLOOKUP(A12,tbMoveset!A2:K112,11,FALSE)=TRUE,Backdoors!AC5,1))*IU12,0),"")</f>
        <v>0</v>
      </c>
      <c r="IY12" s="49">
        <f>VLOOKUP(A12,tbMoveset!A2:G112,7,FALSE)*IFERROR(IF(Backdoors!AI12&gt;=0,1+(IF(Calculator!E40&gt;0,VLOOKUP(Calculator!E40,tbSkills!AI3:AJ5,2,FALSE),Backdoors!AL4)*(IF((Backdoors!AI12+IF(IT12&gt;=0.45,VLOOKUP(Calculator!E23,tbSkills!DH3:DI6,2,FALSE)+IF(AND(Calculator!B8=TRUE,Backdoors!BI39=TRUE),VLOOKUP(Calculator!E23,tbSkills!DH3:DJ6,3,FALSE),0),0))&gt;=100,100,(Backdoors!AI12+IF(IT12&gt;=0.45,VLOOKUP(Calculator!E23,tbSkills!DH3:DI6,2,FALSE)+IF(AND(Calculator!B8=TRUE,Backdoors!BI39=TRUE),VLOOKUP(Calculator!E23,tbSkills!DH3:DJ6,3,FALSE),0),0)))/100)),1),1)</f>
        <v>0.4</v>
      </c>
      <c r="IZ12" s="87">
        <f t="shared" si="28"/>
        <v>0</v>
      </c>
      <c r="JA12" s="86" t="str">
        <f>IFERROR(IF(VLOOKUP(A12,tbMoveset!A2:B112,2,FALSE)="Sever",Backdoors!AY40/100,IF(VLOOKUP(A12,tbMoveset!A2:B112,2,FALSE)="Blunt",Backdoors!AZ40/100,Backdoors!BA40/100)),"")</f>
        <v/>
      </c>
      <c r="JB12" s="49">
        <f>IFERROR(IF(VLOOKUP(tbMoveset!A12,tbMoveset!A2:H112,8,FALSE)="Other",IF(VLOOKUP(tbMoveset!A12,tbMoveset!A2:I112,9,FALSE)="Fire",Backdoors!BB40,IF(VLOOKUP(tbMoveset!A12,tbMoveset!A2:I112,9,FALSE)="Water",Backdoors!BC40,IF(VLOOKUP(tbMoveset!A12,tbMoveset!A2:I112,9,FALSE)="Thunder",Backdoors!BD40,IF(VLOOKUP(tbMoveset!A12,tbMoveset!A2:I112,9,FALSE)="Ice",Backdoors!BE40,IF(VLOOKUP(tbMoveset!A12,tbMoveset!A2:I112,9,FALSE)="Dragon",Backdoors!BF40,Backdoors!BG40)))))/100,Backdoors!BG40/100),"")</f>
        <v>0</v>
      </c>
      <c r="JC12" s="49">
        <f>IFERROR(IF(VLOOKUP(A12,tbMoveset!A2:J112,10,FALSE)=TRUE,IF((Backdoors!AI12+IF(JA12&gt;=0.45,VLOOKUP(Calculator!E23,tbSkills!DH3:DI6,2,FALSE)+IF(AND(Calculator!B8=TRUE,Backdoors!BI40=TRUE),VLOOKUP(Calculator!E23,tbSkills!DH3:DJ6,3,FALSE),0),0))&gt;=0,1+(Backdoors!AL2*(IF((Backdoors!AI12+IF(JA12&gt;=0.45,VLOOKUP(Calculator!E23,tbSkills!DH3:DI6,2,FALSE)+IF(AND(Calculator!B8=TRUE,Backdoors!BI40=TRUE),VLOOKUP(Calculator!E23,tbSkills!DH3:DJ6,3,FALSE),0),0))&gt;=100,100,(Backdoors!AI12+IF(JA12&gt;=0.45,VLOOKUP(Calculator!E23,tbSkills!DH3:DI6,2,FALSE)+IF(AND(Calculator!B8=TRUE,Backdoors!BI40=TRUE),VLOOKUP(Calculator!E23,tbSkills!DH3:DJ6,3,FALSE),0),0)))/100)),(1-(0.25*((-Backdoors!AI12-IF(JA12&gt;=0.45,VLOOKUP(Calculator!E23,tbSkills!DH3:DI6,2,FALSE)+IF(AND(Calculator!B8=TRUE,Backdoors!BI40=TRUE),VLOOKUP(Calculator!E23,tbSkills!DH3:DJ6,3,FALSE),0),0))/100)))),1),"")</f>
        <v>1</v>
      </c>
      <c r="JD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A12)*JC12)*(VLOOKUP(A12,tbMoveset!A2:C112,3,FALSE)/100)*IF(VLOOKUP(A12,tbMoveset!A2:B112,2,FALSE)="Projectile",Backdoors!N10,Backdoors!N9),0),"")</f>
        <v/>
      </c>
      <c r="JE12" s="49">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42&gt;0,VLOOKUP(Calculator!E42,tbSkills!AC3:AD5,2,FALSE),Backdoors!AL3)*(IF((Backdoors!AI12+IF(JA12&gt;=0.45,VLOOKUP(Calculator!E23,tbSkills!DH3:DI6,2,FALSE)+IF(AND(Calculator!B8=TRUE,Backdoors!BI40=TRUE),VLOOKUP(Calculator!E23,tbSkills!DH3:DJ6,3,FALSE),0),0))&gt;=100,100,(Backdoors!AI12+IF(JA12&gt;=0.45,VLOOKUP(Calculator!E23,tbSkills!DH3:DI6,2,FALSE)+IF(AND(Calculator!B8=TRUE,Backdoors!BI40=TRUE),VLOOKUP(Calculator!E23,tbSkills!DH3:DJ6,3,FALSE),0),0)))/100)),1))*IF(VLOOKUP(A12,tbMoveset!A2:K112,11,FALSE)=TRUE,Backdoors!AC5,1))*JB12,0),"")</f>
        <v>0</v>
      </c>
      <c r="JF12" s="49">
        <f>VLOOKUP(A12,tbMoveset!A2:G112,7,FALSE)*IFERROR(IF(Backdoors!AI12&gt;=0,1+(IF(Calculator!E40&gt;0,VLOOKUP(Calculator!E40,tbSkills!AI3:AJ5,2,FALSE),Backdoors!AL4)*(IF((Backdoors!AI12+IF(JA12&gt;=0.45,VLOOKUP(Calculator!E23,tbSkills!DH3:DI6,2,FALSE)+IF(AND(Calculator!B8=TRUE,Backdoors!BI40=TRUE),VLOOKUP(Calculator!E23,tbSkills!DH3:DJ6,3,FALSE),0),0))&gt;=100,100,(Backdoors!AI12+IF(JA12&gt;=0.45,VLOOKUP(Calculator!E23,tbSkills!DH3:DI6,2,FALSE)+IF(AND(Calculator!B8=TRUE,Backdoors!BI40=TRUE),VLOOKUP(Calculator!E23,tbSkills!DH3:DJ6,3,FALSE),0),0)))/100)),1),1)</f>
        <v>0.4</v>
      </c>
      <c r="JG12" s="87">
        <f t="shared" si="29"/>
        <v>0</v>
      </c>
      <c r="JH12" s="86" t="str">
        <f>IFERROR(IF(VLOOKUP(A12,tbMoveset!A2:B112,2,FALSE)="Sever",Backdoors!AY41/100,IF(VLOOKUP(A12,tbMoveset!A2:B112,2,FALSE)="Blunt",Backdoors!AZ41/100,Backdoors!BA41/100)),"")</f>
        <v/>
      </c>
      <c r="JI12" s="49">
        <f>IFERROR(IF(VLOOKUP(tbMoveset!A12,tbMoveset!A2:H112,8,FALSE)="Other",IF(VLOOKUP(tbMoveset!A12,tbMoveset!A2:I112,9,FALSE)="Fire",Backdoors!BB41,IF(VLOOKUP(tbMoveset!A12,tbMoveset!A2:I112,9,FALSE)="Water",Backdoors!BC41,IF(VLOOKUP(tbMoveset!A12,tbMoveset!A2:I112,9,FALSE)="Thunder",Backdoors!BD41,IF(VLOOKUP(tbMoveset!A12,tbMoveset!A2:I112,9,FALSE)="Ice",Backdoors!BE41,IF(VLOOKUP(tbMoveset!A12,tbMoveset!A2:I112,9,FALSE)="Dragon",Backdoors!BF41,Backdoors!BG41)))))/100,Backdoors!BG41/100),"")</f>
        <v>0</v>
      </c>
      <c r="JJ12" s="49">
        <f>IFERROR(IF(VLOOKUP(A12,tbMoveset!A2:J112,10,FALSE)=TRUE,IF((Backdoors!AI12+IF(JH12&gt;=0.45,VLOOKUP(Calculator!E23,tbSkills!DH3:DI6,2,FALSE)+IF(AND(Calculator!B8=TRUE,Backdoors!BI41=TRUE),VLOOKUP(Calculator!E23,tbSkills!DH3:DJ6,3,FALSE),0),0))&gt;=0,1+(Backdoors!AL2*(IF((Backdoors!AI12+IF(JH12&gt;=0.45,VLOOKUP(Calculator!E23,tbSkills!DH3:DI6,2,FALSE)+IF(AND(Calculator!B8=TRUE,Backdoors!BI41=TRUE),VLOOKUP(Calculator!E23,tbSkills!DH3:DJ6,3,FALSE),0),0))&gt;=100,100,(Backdoors!AI12+IF(JH12&gt;=0.45,VLOOKUP(Calculator!E23,tbSkills!DH3:DI6,2,FALSE)+IF(AND(Calculator!B8=TRUE,Backdoors!BI41=TRUE),VLOOKUP(Calculator!E23,tbSkills!DH3:DJ6,3,FALSE),0),0)))/100)),(1-(0.25*((-Backdoors!AI12-IF(JH12&gt;=0.45,VLOOKUP(Calculator!E23,tbSkills!DH3:DI6,2,FALSE)+IF(AND(Calculator!B8=TRUE,Backdoors!BI41=TRUE),VLOOKUP(Calculator!E23,tbSkills!DH3:DJ6,3,FALSE),0),0))/100)))),1),"")</f>
        <v>1</v>
      </c>
      <c r="JK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H12)*JJ12)*(VLOOKUP(A12,tbMoveset!A2:C112,3,FALSE)/100)*IF(VLOOKUP(A12,tbMoveset!A2:B112,2,FALSE)="Projectile",Backdoors!N10,Backdoors!N9),0),"")</f>
        <v/>
      </c>
      <c r="JL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43&gt;0,VLOOKUP(Calculator!E43,tbSkills!AC3:AD5,2,FALSE),Backdoors!AL3)*(IF((Backdoors!AI12+IF(JH12&gt;=0.45,VLOOKUP(Calculator!E23,tbSkills!DH3:DI6,2,FALSE)+IF(AND(Calculator!B8=TRUE,Backdoors!BI41=TRUE),VLOOKUP(Calculator!E23,tbSkills!DH3:DJ6,3,FALSE),0),0))&gt;=100,100,(Backdoors!AI12+IF(JH12&gt;=0.45,VLOOKUP(Calculator!E23,tbSkills!DH3:DI6,2,FALSE)+IF(AND(Calculator!B8=TRUE,Backdoors!BI41=TRUE),VLOOKUP(Calculator!E23,tbSkills!DH3:DJ6,3,FALSE),0),0)))/100)),1))*IF(VLOOKUP(A12,tbMoveset!A2:K112,11,FALSE)=TRUE,Backdoors!AC5,1))*JI12,0),"")</f>
        <v/>
      </c>
      <c r="JM12" s="49">
        <f>VLOOKUP(A12,tbMoveset!A2:G112,7,FALSE)*IFERROR(IF(Backdoors!AI12&gt;=0,1+(IF(Calculator!E40&gt;0,VLOOKUP(Calculator!E40,tbSkills!AI3:AJ5,2,FALSE),Backdoors!AL4)*(IF((Backdoors!AI12+IF(JH12&gt;=0.45,VLOOKUP(Calculator!E23,tbSkills!DH3:DI6,2,FALSE)+IF(AND(Calculator!B8=TRUE,Backdoors!BI41=TRUE),VLOOKUP(Calculator!E23,tbSkills!DH3:DJ6,3,FALSE),0),0))&gt;=100,100,(Backdoors!AI12+IF(JH12&gt;=0.45,VLOOKUP(Calculator!E23,tbSkills!DH3:DI6,2,FALSE)+IF(AND(Calculator!B8=TRUE,Backdoors!BI41=TRUE),VLOOKUP(Calculator!E23,tbSkills!DH3:DJ6,3,FALSE),0),0)))/100)),1),1)</f>
        <v>0.4</v>
      </c>
      <c r="JN12" s="87">
        <f t="shared" si="30"/>
        <v>0</v>
      </c>
      <c r="JO12" s="86" t="str">
        <f>IFERROR(IF(VLOOKUP(A12,tbMoveset!A2:B112,2,FALSE)="Sever",Backdoors!AY42/100,IF(VLOOKUP(A12,tbMoveset!A2:B112,2,FALSE)="Blunt",Backdoors!AZ42/100,Backdoors!BA42/100)),"")</f>
        <v/>
      </c>
      <c r="JP12" s="49">
        <f>IFERROR(IF(VLOOKUP(tbMoveset!A12,tbMoveset!A2:H112,8,FALSE)="Other",IF(VLOOKUP(tbMoveset!A12,tbMoveset!A2:I112,9,FALSE)="Fire",Backdoors!BB42,IF(VLOOKUP(tbMoveset!A12,tbMoveset!A2:I112,9,FALSE)="Water",Backdoors!BC42,IF(VLOOKUP(tbMoveset!A12,tbMoveset!A2:I112,9,FALSE)="Thunder",Backdoors!BD42,IF(VLOOKUP(tbMoveset!A12,tbMoveset!A2:I112,9,FALSE)="Ice",Backdoors!BE42,IF(VLOOKUP(tbMoveset!A12,tbMoveset!A2:I112,9,FALSE)="Dragon",Backdoors!BF42,Backdoors!BG42)))))/100,Backdoors!BG42/100),"")</f>
        <v>0</v>
      </c>
      <c r="JQ12" s="49">
        <f>IFERROR(IF(VLOOKUP(A12,tbMoveset!A2:J112,10,FALSE)=TRUE,IF((Backdoors!AI12+IF(JO12&gt;=0.45,VLOOKUP(Calculator!E23,tbSkills!DH3:DI6,2,FALSE)+IF(AND(Calculator!B8=TRUE,Backdoors!BI42=TRUE),VLOOKUP(Calculator!E23,tbSkills!DH3:DJ6,3,FALSE),0),0))&gt;=0,1+(Backdoors!AL2*(IF((Backdoors!AI12+IF(JO12&gt;=0.45,VLOOKUP(Calculator!E23,tbSkills!DH3:DI6,2,FALSE)+IF(AND(Calculator!B8=TRUE,Backdoors!BI42=TRUE),VLOOKUP(Calculator!E23,tbSkills!DH3:DJ6,3,FALSE),0),0))&gt;=100,100,(Backdoors!AI12+IF(JO12&gt;=0.45,VLOOKUP(Calculator!E23,tbSkills!DH3:DI6,2,FALSE)+IF(AND(Calculator!B8=TRUE,Backdoors!BI42=TRUE),VLOOKUP(Calculator!E23,tbSkills!DH3:DJ6,3,FALSE),0),0)))/100)),(1-(0.25*((-Backdoors!AI12-IF(JO12&gt;=0.45,VLOOKUP(Calculator!E23,tbSkills!DH3:DI6,2,FALSE)+IF(AND(Calculator!B8=TRUE,Backdoors!BI42=TRUE),VLOOKUP(Calculator!E23,tbSkills!DH3:DJ6,3,FALSE),0),0))/100)))),1),"")</f>
        <v>1</v>
      </c>
      <c r="JR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O12)*JQ12)*(VLOOKUP(A12,tbMoveset!A2:C112,3,FALSE)/100)*IF(VLOOKUP(A12,tbMoveset!A2:B112,2,FALSE)="Projectile",Backdoors!N10,Backdoors!N9),0),"")</f>
        <v/>
      </c>
      <c r="JS12" s="49">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45&gt;0,VLOOKUP(Calculator!E45,tbSkills!AC3:AD5,2,FALSE),Backdoors!AL3)*(IF((Backdoors!AI12+IF(JO12&gt;=0.45,VLOOKUP(Calculator!E23,tbSkills!DH3:DI6,2,FALSE)+IF(AND(Calculator!B8=TRUE,Backdoors!BI42=TRUE),VLOOKUP(Calculator!E23,tbSkills!DH3:DJ6,3,FALSE),0),0))&gt;=100,100,(Backdoors!AI12+IF(JO12&gt;=0.45,VLOOKUP(Calculator!E23,tbSkills!DH3:DI6,2,FALSE)+IF(AND(Calculator!B8=TRUE,Backdoors!BI42=TRUE),VLOOKUP(Calculator!E23,tbSkills!DH3:DJ6,3,FALSE),0),0)))/100)),1))*IF(VLOOKUP(A12,tbMoveset!A2:K112,11,FALSE)=TRUE,Backdoors!AC5,1))*JP12,0),"")</f>
        <v>0</v>
      </c>
      <c r="JT12" s="49">
        <f>VLOOKUP(A12,tbMoveset!A2:G112,7,FALSE)*IFERROR(IF(Backdoors!AI12&gt;=0,1+(IF(Calculator!E40&gt;0,VLOOKUP(Calculator!E40,tbSkills!AI3:AJ5,2,FALSE),Backdoors!AL4)*(IF((Backdoors!AI12+IF(JO12&gt;=0.45,VLOOKUP(Calculator!E23,tbSkills!DH3:DI6,2,FALSE)+IF(AND(Calculator!B8=TRUE,Backdoors!BI42=TRUE),VLOOKUP(Calculator!E23,tbSkills!DH3:DJ6,3,FALSE),0),0))&gt;=100,100,(Backdoors!AI12+IF(JO12&gt;=0.45,VLOOKUP(Calculator!E23,tbSkills!DH3:DI6,2,FALSE)+IF(AND(Calculator!B8=TRUE,Backdoors!BI42=TRUE),VLOOKUP(Calculator!E23,tbSkills!DH3:DJ6,3,FALSE),0),0)))/100)),1),1)</f>
        <v>0.4</v>
      </c>
      <c r="JU12" s="87">
        <f t="shared" si="31"/>
        <v>0</v>
      </c>
      <c r="JV12" s="86" t="str">
        <f>IFERROR(IF(VLOOKUP(A12,tbMoveset!A2:B112,2,FALSE)="Sever",Backdoors!AY43/100,IF(VLOOKUP(A12,tbMoveset!A2:B112,2,FALSE)="Blunt",Backdoors!AZ43/100,Backdoors!BA43/100)),"")</f>
        <v/>
      </c>
      <c r="JW12" s="49">
        <f>IFERROR(IF(VLOOKUP(tbMoveset!A12,tbMoveset!A2:H112,8,FALSE)="Other",IF(VLOOKUP(tbMoveset!A12,tbMoveset!A2:I112,9,FALSE)="Fire",Backdoors!BB43,IF(VLOOKUP(tbMoveset!A12,tbMoveset!A2:I112,9,FALSE)="Water",Backdoors!BC43,IF(VLOOKUP(tbMoveset!A12,tbMoveset!A2:I112,9,FALSE)="Thunder",Backdoors!BD43,IF(VLOOKUP(tbMoveset!A12,tbMoveset!A2:I112,9,FALSE)="Ice",Backdoors!BE43,IF(VLOOKUP(tbMoveset!A12,tbMoveset!A2:I112,9,FALSE)="Dragon",Backdoors!BF43,Backdoors!BG43)))))/100,Backdoors!BG43/100),"")</f>
        <v>0</v>
      </c>
      <c r="JX12" s="49">
        <f>IFERROR(IF(VLOOKUP(A12,tbMoveset!A2:J112,10,FALSE)=TRUE,IF((Backdoors!AI12+IF(JV12&gt;=0.45,VLOOKUP(Calculator!E23,tbSkills!DH3:DI6,2,FALSE)+IF(AND(Calculator!B8=TRUE,Backdoors!BI43=TRUE),VLOOKUP(Calculator!E23,tbSkills!DH3:DJ6,3,FALSE),0),0))&gt;=0,1+(Backdoors!AL2*(IF((Backdoors!AI12+IF(JV12&gt;=0.45,VLOOKUP(Calculator!E23,tbSkills!DH3:DI6,2,FALSE)+IF(AND(Calculator!B8=TRUE,Backdoors!BI43=TRUE),VLOOKUP(Calculator!E23,tbSkills!DH3:DJ6,3,FALSE),0),0))&gt;=100,100,(Backdoors!AI12+IF(JV12&gt;=0.45,VLOOKUP(Calculator!E23,tbSkills!DH3:DI6,2,FALSE)+IF(AND(Calculator!B8=TRUE,Backdoors!BI43=TRUE),VLOOKUP(Calculator!E23,tbSkills!DH3:DJ6,3,FALSE),0),0)))/100)),(1-(0.25*((-Backdoors!AI12-IF(JV12&gt;=0.45,VLOOKUP(Calculator!E23,tbSkills!DH3:DI6,2,FALSE)+IF(AND(Calculator!B8=TRUE,Backdoors!BI43=TRUE),VLOOKUP(Calculator!E23,tbSkills!DH3:DJ6,3,FALSE),0),0))/100)))),1),"")</f>
        <v>1</v>
      </c>
      <c r="JY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V12)*JX12)*(VLOOKUP(A12,tbMoveset!A2:C112,3,FALSE)/100)*IF(VLOOKUP(A12,tbMoveset!A2:B112,2,FALSE)="Projectile",Backdoors!N10,Backdoors!N9),0),"")</f>
        <v/>
      </c>
      <c r="JZ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46&gt;0,VLOOKUP(Calculator!E46,tbSkills!AC3:AD5,2,FALSE),Backdoors!AL3)*(IF((Backdoors!AI12+IF(JV12&gt;=0.45,VLOOKUP(Calculator!E23,tbSkills!DH3:DI6,2,FALSE)+IF(AND(Calculator!B8=TRUE,Backdoors!BI43=TRUE),VLOOKUP(Calculator!E23,tbSkills!DH3:DJ6,3,FALSE),0),0))&gt;=100,100,(Backdoors!AI12+IF(JV12&gt;=0.45,VLOOKUP(Calculator!E23,tbSkills!DH3:DI6,2,FALSE)+IF(AND(Calculator!B8=TRUE,Backdoors!BI43=TRUE),VLOOKUP(Calculator!E23,tbSkills!DH3:DJ6,3,FALSE),0),0)))/100)),1))*IF(VLOOKUP(A12,tbMoveset!A2:K112,11,FALSE)=TRUE,Backdoors!AC5,1))*JW12,0),"")</f>
        <v/>
      </c>
      <c r="KA12" s="49">
        <f>VLOOKUP(A12,tbMoveset!A2:G112,7,FALSE)*IFERROR(IF(Backdoors!AI12&gt;=0,1+(IF(Calculator!E40&gt;0,VLOOKUP(Calculator!E40,tbSkills!AI3:AJ5,2,FALSE),Backdoors!AL4)*(IF((Backdoors!AI12+IF(JV12&gt;=0.45,VLOOKUP(Calculator!E23,tbSkills!DH3:DI6,2,FALSE)+IF(AND(Calculator!B8=TRUE,Backdoors!BI43=TRUE),VLOOKUP(Calculator!E23,tbSkills!DH3:DJ6,3,FALSE),0),0))&gt;=100,100,(Backdoors!AI12+IF(JV12&gt;=0.45,VLOOKUP(Calculator!E23,tbSkills!DH3:DI6,2,FALSE)+IF(AND(Calculator!B8=TRUE,Backdoors!BI43=TRUE),VLOOKUP(Calculator!E23,tbSkills!DH3:DJ6,3,FALSE),0),0)))/100)),1),1)</f>
        <v>0.4</v>
      </c>
      <c r="KB12" s="87">
        <f t="shared" si="32"/>
        <v>0</v>
      </c>
      <c r="KC12" s="86" t="str">
        <f>IFERROR(IF(VLOOKUP(A12,tbMoveset!A2:B112,2,FALSE)="Sever",Backdoors!AY44/100,IF(VLOOKUP(A12,tbMoveset!A2:B112,2,FALSE)="Blunt",Backdoors!AZ44/100,Backdoors!BA44/100)),"")</f>
        <v/>
      </c>
      <c r="KD12" s="49">
        <f>IFERROR(IF(VLOOKUP(tbMoveset!A12,tbMoveset!A2:H112,8,FALSE)="Other",IF(VLOOKUP(tbMoveset!A12,tbMoveset!A2:I112,9,FALSE)="Fire",Backdoors!BB44,IF(VLOOKUP(tbMoveset!A12,tbMoveset!A2:I112,9,FALSE)="Water",Backdoors!BC44,IF(VLOOKUP(tbMoveset!A12,tbMoveset!A2:I112,9,FALSE)="Thunder",Backdoors!BD44,IF(VLOOKUP(tbMoveset!A12,tbMoveset!A2:I112,9,FALSE)="Ice",Backdoors!BE44,IF(VLOOKUP(tbMoveset!A12,tbMoveset!A2:I112,9,FALSE)="Dragon",Backdoors!BF44,Backdoors!BG44)))))/100,Backdoors!BG44/100),"")</f>
        <v>0</v>
      </c>
      <c r="KE12" s="49">
        <f>IFERROR(IF(VLOOKUP(A12,tbMoveset!A2:J112,10,FALSE)=TRUE,IF((Backdoors!AI12+IF(KC12&gt;=0.45,VLOOKUP(Calculator!E23,tbSkills!DH3:DI6,2,FALSE)+IF(AND(Calculator!B8=TRUE,Backdoors!BI44=TRUE),VLOOKUP(Calculator!E23,tbSkills!DH3:DJ6,3,FALSE),0),0))&gt;=0,1+(Backdoors!AL2*(IF((Backdoors!AI12+IF(KC12&gt;=0.45,VLOOKUP(Calculator!E23,tbSkills!DH3:DI6,2,FALSE)+IF(AND(Calculator!B8=TRUE,Backdoors!BI44=TRUE),VLOOKUP(Calculator!E23,tbSkills!DH3:DJ6,3,FALSE),0),0))&gt;=100,100,(Backdoors!AI12+IF(KC12&gt;=0.45,VLOOKUP(Calculator!E23,tbSkills!DH3:DI6,2,FALSE)+IF(AND(Calculator!B8=TRUE,Backdoors!BI44=TRUE),VLOOKUP(Calculator!E23,tbSkills!DH3:DJ6,3,FALSE),0),0)))/100)),(1-(0.25*((-Backdoors!AI12-IF(KC12&gt;=0.45,VLOOKUP(Calculator!E23,tbSkills!DH3:DI6,2,FALSE)+IF(AND(Calculator!B8=TRUE,Backdoors!BI44=TRUE),VLOOKUP(Calculator!E23,tbSkills!DH3:DJ6,3,FALSE),0),0))/100)))),1),"")</f>
        <v>1</v>
      </c>
      <c r="KF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KC12)*KE12)*(VLOOKUP(A12,tbMoveset!A2:C112,3,FALSE)/100)*IF(VLOOKUP(A12,tbMoveset!A2:B112,2,FALSE)="Projectile",Backdoors!N10,Backdoors!N9),0),"")</f>
        <v/>
      </c>
      <c r="KG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REF!&gt;0,VLOOKUP(Calculator!#REF!,tbSkills!AC3:AD5,2,FALSE),Backdoors!AL3)*(IF((Backdoors!AI12+IF(KC12&gt;=0.45,VLOOKUP(Calculator!E23,tbSkills!DH3:DI6,2,FALSE)+IF(AND(Calculator!B8=TRUE,Backdoors!BI44=TRUE),VLOOKUP(Calculator!E23,tbSkills!DH3:DJ6,3,FALSE),0),0))&gt;=100,100,(Backdoors!AI12+IF(KC12&gt;=0.45,VLOOKUP(Calculator!E23,tbSkills!DH3:DI6,2,FALSE)+IF(AND(Calculator!B8=TRUE,Backdoors!BI44=TRUE),VLOOKUP(Calculator!E23,tbSkills!DH3:DJ6,3,FALSE),0),0)))/100)),1))*IF(VLOOKUP(A12,tbMoveset!A2:K112,11,FALSE)=TRUE,Backdoors!AC5,1))*KD12,0),"")</f>
        <v/>
      </c>
      <c r="KH12" s="49">
        <f>VLOOKUP(A12,tbMoveset!A2:G112,7,FALSE)*IFERROR(IF(Backdoors!AI12&gt;=0,1+(IF(Calculator!E40&gt;0,VLOOKUP(Calculator!E40,tbSkills!AI3:AJ5,2,FALSE),Backdoors!AL4)*(IF((Backdoors!AI12+IF(KC12&gt;=0.45,VLOOKUP(Calculator!E23,tbSkills!DH3:DI6,2,FALSE)+IF(AND(Calculator!B8=TRUE,Backdoors!BI44=TRUE),VLOOKUP(Calculator!E23,tbSkills!DH3:DJ6,3,FALSE),0),0))&gt;=100,100,(Backdoors!AI12+IF(KC12&gt;=0.45,VLOOKUP(Calculator!E23,tbSkills!DH3:DI6,2,FALSE)+IF(AND(Calculator!B8=TRUE,Backdoors!BI44=TRUE),VLOOKUP(Calculator!E23,tbSkills!DH3:DJ6,3,FALSE),0),0)))/100)),1),1)</f>
        <v>0.4</v>
      </c>
      <c r="KI12" s="87">
        <f t="shared" si="33"/>
        <v>0</v>
      </c>
      <c r="KJ12" s="86" t="str">
        <f>IFERROR(IF(VLOOKUP(A12,tbMoveset!A2:B112,2,FALSE)="Sever",Backdoors!AY45/100,IF(VLOOKUP(A12,tbMoveset!A2:B112,2,FALSE)="Blunt",Backdoors!AZ45/100,Backdoors!BA45/100)),"")</f>
        <v/>
      </c>
      <c r="KK12" s="49">
        <f>IFERROR(IF(VLOOKUP(tbMoveset!A12,tbMoveset!A2:H112,8,FALSE)="Other",IF(VLOOKUP(tbMoveset!A12,tbMoveset!A2:I112,9,FALSE)="Fire",Backdoors!BB45,IF(VLOOKUP(tbMoveset!A12,tbMoveset!A2:I112,9,FALSE)="Water",Backdoors!BC45,IF(VLOOKUP(tbMoveset!A12,tbMoveset!A2:I112,9,FALSE)="Thunder",Backdoors!BD45,IF(VLOOKUP(tbMoveset!A12,tbMoveset!A2:I112,9,FALSE)="Ice",Backdoors!BE45,IF(VLOOKUP(tbMoveset!A12,tbMoveset!A2:I112,9,FALSE)="Dragon",Backdoors!BF45,Backdoors!BG45)))))/100,Backdoors!BG45/100),"")</f>
        <v>0</v>
      </c>
      <c r="KL12" s="49">
        <f>IFERROR(IF(VLOOKUP(A12,tbMoveset!A2:J112,10,FALSE)=TRUE,IF((Backdoors!AI12+IF(KJ12&gt;=0.45,VLOOKUP(Calculator!E23,tbSkills!DH3:DI6,2,FALSE)+IF(AND(Calculator!B8=TRUE,Backdoors!BI45=TRUE),VLOOKUP(Calculator!E23,tbSkills!DH3:DJ6,3,FALSE),0),0))&gt;=0,1+(Backdoors!AL2*(IF((Backdoors!AI12+IF(KJ12&gt;=0.45,VLOOKUP(Calculator!E23,tbSkills!DH3:DI6,2,FALSE)+IF(AND(Calculator!B8=TRUE,Backdoors!BI45=TRUE),VLOOKUP(Calculator!E23,tbSkills!DH3:DJ6,3,FALSE),0),0))&gt;=100,100,(Backdoors!AI12+IF(KJ12&gt;=0.45,VLOOKUP(Calculator!E23,tbSkills!DH3:DI6,2,FALSE)+IF(AND(Calculator!B8=TRUE,Backdoors!BI45=TRUE),VLOOKUP(Calculator!E23,tbSkills!DH3:DJ6,3,FALSE),0),0)))/100)),(1-(0.25*((-Backdoors!AI12-IF(KJ12&gt;=0.45,VLOOKUP(Calculator!E23,tbSkills!DH3:DI6,2,FALSE)+IF(AND(Calculator!B8=TRUE,Backdoors!BI45=TRUE),VLOOKUP(Calculator!E23,tbSkills!DH3:DJ6,3,FALSE),0),0))/100)))),1),"")</f>
        <v>1</v>
      </c>
      <c r="KM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KJ12)*KL12)*(VLOOKUP(A12,tbMoveset!A2:C112,3,FALSE)/100)*IF(VLOOKUP(A12,tbMoveset!A2:B112,2,FALSE)="Projectile",Backdoors!N10,Backdoors!N9),0),"")</f>
        <v/>
      </c>
      <c r="KN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REF!&gt;0,VLOOKUP(Calculator!#REF!,tbSkills!AC3:AD5,2,FALSE),Backdoors!AL3)*(IF((Backdoors!AI12+IF(KJ12&gt;=0.45,VLOOKUP(Calculator!E23,tbSkills!DH3:DI6,2,FALSE)+IF(AND(Calculator!B8=TRUE,Backdoors!BI45=TRUE),VLOOKUP(Calculator!E23,tbSkills!DH3:DJ6,3,FALSE),0),0))&gt;=100,100,(Backdoors!AI12+IF(KJ12&gt;=0.45,VLOOKUP(Calculator!E23,tbSkills!DH3:DI6,2,FALSE)+IF(AND(Calculator!B8=TRUE,Backdoors!BI45=TRUE),VLOOKUP(Calculator!E23,tbSkills!DH3:DJ6,3,FALSE),0),0)))/100)),1))*IF(VLOOKUP(A12,tbMoveset!A2:K112,11,FALSE)=TRUE,Backdoors!AC5,1))*KK12,0),"")</f>
        <v/>
      </c>
      <c r="KO12" s="49">
        <f>VLOOKUP(A12,tbMoveset!A2:G112,7,FALSE)*IFERROR(IF(Backdoors!AI12&gt;=0,1+(IF(Calculator!E40&gt;0,VLOOKUP(Calculator!E40,tbSkills!AI3:AJ5,2,FALSE),Backdoors!AL4)*(IF((Backdoors!AI12+IF(KJ12&gt;=0.45,VLOOKUP(Calculator!E23,tbSkills!DH3:DI6,2,FALSE)+IF(AND(Calculator!B8=TRUE,Backdoors!BI45=TRUE),VLOOKUP(Calculator!E23,tbSkills!DH3:DJ6,3,FALSE),0),0))&gt;=100,100,(Backdoors!AI12+IF(KJ12&gt;=0.45,VLOOKUP(Calculator!E23,tbSkills!DH3:DI6,2,FALSE)+IF(AND(Calculator!B8=TRUE,Backdoors!BI45=TRUE),VLOOKUP(Calculator!E23,tbSkills!DH3:DJ6,3,FALSE),0),0)))/100)),1),1)</f>
        <v>0.4</v>
      </c>
      <c r="KP12" s="87">
        <f t="shared" si="34"/>
        <v>0</v>
      </c>
      <c r="KQ12" s="86" t="str">
        <f>IFERROR(IF(VLOOKUP(A12,tbMoveset!A2:B112,2,FALSE)="Sever",Backdoors!AY46/100,IF(VLOOKUP(A12,tbMoveset!A2:B112,2,FALSE)="Blunt",Backdoors!AZ46/100,Backdoors!BA46/100)),"")</f>
        <v/>
      </c>
      <c r="KR12" s="49">
        <f>IFERROR(IF(VLOOKUP(tbMoveset!A12,tbMoveset!A2:H112,8,FALSE)="Other",IF(VLOOKUP(tbMoveset!A12,tbMoveset!A2:I112,9,FALSE)="Fire",Backdoors!BB46,IF(VLOOKUP(tbMoveset!A12,tbMoveset!A2:I112,9,FALSE)="Water",Backdoors!BC46,IF(VLOOKUP(tbMoveset!A12,tbMoveset!A2:I112,9,FALSE)="Thunder",Backdoors!BD46,IF(VLOOKUP(tbMoveset!A12,tbMoveset!A2:I112,9,FALSE)="Ice",Backdoors!BE46,IF(VLOOKUP(tbMoveset!A12,tbMoveset!A2:I112,9,FALSE)="Dragon",Backdoors!BF46,Backdoors!BG46)))))/100,Backdoors!BG46/100),"")</f>
        <v>0</v>
      </c>
      <c r="KS12" s="49">
        <f>IFERROR(IF(VLOOKUP(A12,tbMoveset!A2:J112,10,FALSE)=TRUE,IF((Backdoors!AI12+IF(KQ12&gt;=0.45,VLOOKUP(Calculator!E23,tbSkills!DH3:DI6,2,FALSE)+IF(AND(Calculator!B8=TRUE,Backdoors!BI46=TRUE),VLOOKUP(Calculator!E23,tbSkills!DH3:DJ6,3,FALSE),0),0))&gt;=0,1+(Backdoors!AL2*(IF((Backdoors!AI12+IF(KQ12&gt;=0.45,VLOOKUP(Calculator!E23,tbSkills!DH3:DI6,2,FALSE)+IF(AND(Calculator!B8=TRUE,Backdoors!BI46=TRUE),VLOOKUP(Calculator!E23,tbSkills!DH3:DJ6,3,FALSE),0),0))&gt;=100,100,(Backdoors!AI12+IF(KQ12&gt;=0.45,VLOOKUP(Calculator!E23,tbSkills!DH3:DI6,2,FALSE)+IF(AND(Calculator!B8=TRUE,Backdoors!BI46=TRUE),VLOOKUP(Calculator!E23,tbSkills!DH3:DJ6,3,FALSE),0),0)))/100)),(1-(0.25*((-Backdoors!AI12-IF(KQ12&gt;=0.45,VLOOKUP(Calculator!E23,tbSkills!DH3:DI6,2,FALSE)+IF(AND(Calculator!B8=TRUE,Backdoors!BI46=TRUE),VLOOKUP(Calculator!E23,tbSkills!DH3:DJ6,3,FALSE),0),0))/100)))),1),"")</f>
        <v>1</v>
      </c>
      <c r="KT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KQ12)*KS12)*(VLOOKUP(A12,tbMoveset!A2:C112,3,FALSE)/100)*IF(VLOOKUP(A12,tbMoveset!A2:B112,2,FALSE)="Projectile",Backdoors!N10,Backdoors!N9),0),"")</f>
        <v/>
      </c>
      <c r="KU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REF!&gt;0,VLOOKUP(Calculator!#REF!,tbSkills!AC3:AD5,2,FALSE),Backdoors!AL3)*(IF((Backdoors!AI12+IF(KQ12&gt;=0.45,VLOOKUP(Calculator!E23,tbSkills!DH3:DI6,2,FALSE)+IF(AND(Calculator!B8=TRUE,Backdoors!BI46=TRUE),VLOOKUP(Calculator!E23,tbSkills!DH3:DJ6,3,FALSE),0),0))&gt;=100,100,(Backdoors!AI12+IF(KQ12&gt;=0.45,VLOOKUP(Calculator!E23,tbSkills!DH3:DI6,2,FALSE)+IF(AND(Calculator!B8=TRUE,Backdoors!BI46=TRUE),VLOOKUP(Calculator!E23,tbSkills!DH3:DJ6,3,FALSE),0),0)))/100)),1))*IF(VLOOKUP(A12,tbMoveset!A2:K112,11,FALSE)=TRUE,Backdoors!AC5,1))*KR12,0),"")</f>
        <v/>
      </c>
      <c r="KV12" s="49">
        <f>VLOOKUP(A12,tbMoveset!A2:G112,7,FALSE)*IFERROR(IF(Backdoors!AI12&gt;=0,1+(IF(Calculator!E40&gt;0,VLOOKUP(Calculator!E40,tbSkills!AI3:AJ5,2,FALSE),Backdoors!AL4)*(IF((Backdoors!AI12+IF(KQ12&gt;=0.45,VLOOKUP(Calculator!E23,tbSkills!DH3:DI6,2,FALSE)+IF(AND(Calculator!B8=TRUE,Backdoors!BI46=TRUE),VLOOKUP(Calculator!E23,tbSkills!DH3:DJ6,3,FALSE),0),0))&gt;=100,100,(Backdoors!AI12+IF(KQ12&gt;=0.45,VLOOKUP(Calculator!E23,tbSkills!DH3:DI6,2,FALSE)+IF(AND(Calculator!B8=TRUE,Backdoors!BI46=TRUE),VLOOKUP(Calculator!E23,tbSkills!DH3:DJ6,3,FALSE),0),0)))/100)),1),1)</f>
        <v>0.4</v>
      </c>
      <c r="KW12" s="87">
        <f t="shared" si="35"/>
        <v>0</v>
      </c>
    </row>
    <row r="13" spans="1:309" x14ac:dyDescent="0.25">
      <c r="A13" s="95" t="str">
        <f>tbMoveset!A13</f>
        <v>Lunging Strike (R2)</v>
      </c>
      <c r="B13" s="86">
        <f>IFERROR(IF(VLOOKUP(A13,tbMoveset!A2:B112,2,FALSE)="Sever",Backdoors!AY3/100,IF(VLOOKUP(A13,tbMoveset!A2:B112,2,FALSE)="Blunt",Backdoors!AZ3/100,Backdoors!BA3/100)),"")</f>
        <v>0.8</v>
      </c>
      <c r="C13" s="49">
        <f>IFERROR(IF(VLOOKUP(tbMoveset!A13,tbMoveset!A2:H112,8,FALSE)="Other",IF(VLOOKUP(tbMoveset!A13,tbMoveset!A2:I112,9,FALSE)="Fire",Backdoors!BB3,IF(VLOOKUP(tbMoveset!A13,tbMoveset!A2:I112,9,FALSE)="Water",Backdoors!BC3,IF(VLOOKUP(tbMoveset!A13,tbMoveset!A2:I112,9,FALSE)="Thunder",Backdoors!BD3,IF(VLOOKUP(tbMoveset!A13,tbMoveset!A2:I112,9,FALSE)="Ice",Backdoors!BE3,IF(VLOOKUP(tbMoveset!A13,tbMoveset!A2:I112,9,FALSE)="Dragon",Backdoors!BF3,Backdoors!BG3)))))/100,Backdoors!BG3/100),"")</f>
        <v>0</v>
      </c>
      <c r="D13" s="49">
        <f>IFERROR(IF(VLOOKUP(A13,tbMoveset!A2:J112,10,FALSE)=TRUE,IF((Backdoors!AI12+IF(B13&gt;=0.45,VLOOKUP(Calculator!E23,tbSkills!DH3:DI6,2,FALSE)+IF(AND(Calculator!B8=TRUE,Backdoors!BI3=TRUE),VLOOKUP(Calculator!E23,tbSkills!DH3:DJ6,3,FALSE),0),0))&gt;=0,1+(Backdoors!AL2*(IF((Backdoors!AI12+IF(B13&gt;=0.45,VLOOKUP(Calculator!E23,tbSkills!DH3:DI6,2,FALSE)+IF(AND(Calculator!B8=TRUE,Backdoors!BI3=TRUE),VLOOKUP(Calculator!E23,tbSkills!DH3:DJ6,3,FALSE),0),0))&gt;=100,100,(Backdoors!AI12+IF(B13&gt;=0.45,VLOOKUP(Calculator!E23,tbSkills!DH3:DI6,2,FALSE)+IF(AND(Calculator!B8=TRUE,Backdoors!BI3=TRUE),VLOOKUP(Calculator!E23,tbSkills!DH3:DJ6,3,FALSE),0),0)))/100)),(1-(0.25*((-Backdoors!AI12-IF(B13&gt;=0.45,VLOOKUP(Calculator!E23,tbSkills!DH3:DI6,2,FALSE)+IF(AND(Calculator!B8=TRUE,Backdoors!BI3=TRUE),VLOOKUP(Calculator!E23,tbSkills!DH3:DJ6,3,FALSE),0),0))/100)))),1),"")</f>
        <v>1</v>
      </c>
      <c r="E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13)*D13)*(VLOOKUP(A13,tbMoveset!A2:C112,3,FALSE)/100)*IF(VLOOKUP(A13,tbMoveset!A2:B112,2,FALSE)="Projectile",Backdoors!N10,Backdoors!N9),0),"")</f>
        <v>3</v>
      </c>
      <c r="F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13&gt;=0.45,VLOOKUP(Calculator!E23,tbSkills!DH3:DI6,2,FALSE)+IF(AND(Calculator!B8=TRUE,Backdoors!BI3=TRUE),VLOOKUP(Calculator!E23,tbSkills!DH3:DJ6,3,FALSE),0),0))&gt;=100,100,(Backdoors!AI12+IF(B13&gt;=0.45,VLOOKUP(Calculator!E23,tbSkills!DH3:DI6,2,FALSE)+IF(AND(Calculator!B8=TRUE,Backdoors!BI3=TRUE),VLOOKUP(Calculator!E23,tbSkills!DH3:DJ6,3,FALSE),0),0)))/100)),1))*IF(VLOOKUP(A13,tbMoveset!A2:K112,11,FALSE)=TRUE,Backdoors!AC5,1))*C13,0),"")</f>
        <v>0</v>
      </c>
      <c r="G13">
        <f>VLOOKUP(A13,tbMoveset!A2:G112,7,FALSE)*IFERROR(IF(Backdoors!AI12&gt;=0,1+(IF(Calculator!E40&gt;0,VLOOKUP(Calculator!E40,tbSkills!AI3:AJ5,2,FALSE),Backdoors!AL4)*(IF((Backdoors!AI12+IF(B13&gt;=0.45,VLOOKUP(Calculator!E23,tbSkills!DH3:DI6,2,FALSE)+IF(AND(Calculator!B8=TRUE,Backdoors!BI3=TRUE),VLOOKUP(Calculator!E23,tbSkills!DH3:DJ6,3,FALSE),0),0))&gt;=100,100,(Backdoors!AI12+IF(B13&gt;=0.45,VLOOKUP(Calculator!E23,tbSkills!DH3:DI6,2,FALSE)+IF(AND(Calculator!B8=TRUE,Backdoors!BI3=TRUE),VLOOKUP(Calculator!E23,tbSkills!DH3:DJ6,3,FALSE),0),0)))/100)),1),1)</f>
        <v>0.4</v>
      </c>
      <c r="H13" s="87">
        <f t="shared" si="43"/>
        <v>3</v>
      </c>
      <c r="I13" s="86">
        <f>IFERROR(IF(VLOOKUP(A13,tbMoveset!A2:B112,2,FALSE)="Sever",Backdoors!AY4/100,IF(VLOOKUP(A13,tbMoveset!A2:B112,2,FALSE)="Blunt",Backdoors!AZ4/100,Backdoors!BA4/100)),"")</f>
        <v>0.65</v>
      </c>
      <c r="J13" s="49">
        <f>IFERROR(IF(VLOOKUP(tbMoveset!A13,tbMoveset!A2:H112,8,FALSE)="Other",IF(VLOOKUP(tbMoveset!A13,tbMoveset!A2:I112,9,FALSE)="Fire",Backdoors!BB4,IF(VLOOKUP(tbMoveset!A13,tbMoveset!A2:I112,9,FALSE)="Water",Backdoors!BC4,IF(VLOOKUP(tbMoveset!A13,tbMoveset!A2:I112,9,FALSE)="Thunder",Backdoors!BD4,IF(VLOOKUP(tbMoveset!A13,tbMoveset!A2:I112,9,FALSE)="Ice",Backdoors!BE4,IF(VLOOKUP(tbMoveset!A13,tbMoveset!A2:I112,9,FALSE)="Dragon",Backdoors!BF4,Backdoors!BG4)))))/100,Backdoors!BG4/100),"")</f>
        <v>0</v>
      </c>
      <c r="K13" s="49">
        <f>IFERROR(IF(VLOOKUP(A13,tbMoveset!A2:J112,10,FALSE)=TRUE,IF((Backdoors!AI12+IF(I13&gt;=0.45,VLOOKUP(Calculator!E23,tbSkills!DH3:DI6,2,FALSE)+IF(AND(Calculator!B8=TRUE,Backdoors!BI4=TRUE),VLOOKUP(Calculator!E23,tbSkills!DH3:DJ6,3,FALSE),0),0))&gt;=0,1+(Backdoors!AL2*(IF((Backdoors!AI12+IF(I13&gt;=0.45,VLOOKUP(Calculator!E23,tbSkills!DH3:DI6,2,FALSE)+IF(AND(Calculator!B8=TRUE,Backdoors!BI4=TRUE),VLOOKUP(Calculator!E23,tbSkills!DH3:DJ6,3,FALSE),0),0))&gt;=100,100,(Backdoors!AI12+IF(I13&gt;=0.45,VLOOKUP(Calculator!E23,tbSkills!DH3:DI6,2,FALSE)+IF(AND(Calculator!B8=TRUE,Backdoors!BI4=TRUE),VLOOKUP(Calculator!E23,tbSkills!DH3:DJ6,3,FALSE),0),0)))/100)),(1-(0.25*((-Backdoors!AI12-IF(I13&gt;=0.45,VLOOKUP(Calculator!E23,tbSkills!DH3:DI6,2,FALSE)+IF(AND(Calculator!B8=TRUE,Backdoors!BI4=TRUE),VLOOKUP(Calculator!E23,tbSkills!DH3:DJ6,3,FALSE),0),0))/100)))),1),"")</f>
        <v>1</v>
      </c>
      <c r="L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13)*K13)*(VLOOKUP(A13,tbMoveset!A2:C112,3,FALSE)/100)*IF(VLOOKUP(A13,tbMoveset!A2:B112,2,FALSE)="Projectile",Backdoors!N10,Backdoors!N9),0),"")</f>
        <v>3</v>
      </c>
      <c r="M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I13&gt;=0.45,VLOOKUP(Calculator!E23,tbSkills!DH3:DI6,2,FALSE)+IF(AND(Calculator!B8=TRUE,Backdoors!BI4=TRUE),VLOOKUP(Calculator!E23,tbSkills!DH3:DJ6,3,FALSE),0),0))&gt;=100,100,(Backdoors!AI12+IF(I13&gt;=0.45,VLOOKUP(Calculator!E23,tbSkills!DH3:DI6,2,FALSE)+IF(AND(Calculator!B8=TRUE,Backdoors!BI4=TRUE),VLOOKUP(Calculator!E23,tbSkills!DH3:DJ6,3,FALSE),0),0)))/100)),1))*IF(VLOOKUP(A13,tbMoveset!A2:K112,11,FALSE)=TRUE,Backdoors!AC5,1))*J13,0),"")</f>
        <v>0</v>
      </c>
      <c r="N13" s="49">
        <f>VLOOKUP(A13,tbMoveset!A2:G112,7,FALSE)*IFERROR(IF(Backdoors!AI12&gt;=0,1+(IF(Calculator!E40&gt;0,VLOOKUP(Calculator!E40,tbSkills!AI3:AJ5,2,FALSE),Backdoors!AL4)*(IF((Backdoors!AI12+IF(I13&gt;=0.45,VLOOKUP(Calculator!E23,tbSkills!DH3:DI6,2,FALSE)+IF(AND(Calculator!B8=TRUE,Backdoors!BI4=TRUE),VLOOKUP(Calculator!E23,tbSkills!DH3:DJ6,3,FALSE),0),0))&gt;=100,100,(Backdoors!AI12+IF(I13&gt;=0.45,VLOOKUP(Calculator!E23,tbSkills!DH3:DI6,2,FALSE)+IF(AND(Calculator!B8=TRUE,Backdoors!BI4=TRUE),VLOOKUP(Calculator!E23,tbSkills!DH3:DJ6,3,FALSE),0),0)))/100)),1),1)</f>
        <v>0.4</v>
      </c>
      <c r="O13" s="87">
        <f t="shared" si="36"/>
        <v>3</v>
      </c>
      <c r="P13" s="86">
        <f>IFERROR(IF(VLOOKUP(A13,tbMoveset!A2:B112,2,FALSE)="Sever",Backdoors!AY5/100,IF(VLOOKUP(A13,tbMoveset!A2:B112,2,FALSE)="Blunt",Backdoors!AZ5/100,Backdoors!BA5/100)),"")</f>
        <v>0.5</v>
      </c>
      <c r="Q13" s="49">
        <f>IFERROR(IF(VLOOKUP(tbMoveset!A13,tbMoveset!A2:H112,8,FALSE)="Other",IF(VLOOKUP(tbMoveset!A13,tbMoveset!A2:I112,9,FALSE)="Fire",Backdoors!BB5,IF(VLOOKUP(tbMoveset!A13,tbMoveset!A2:I112,9,FALSE)="Water",Backdoors!BC5,IF(VLOOKUP(tbMoveset!A13,tbMoveset!A2:I112,9,FALSE)="Thunder",Backdoors!BD5,IF(VLOOKUP(tbMoveset!A13,tbMoveset!A2:I112,9,FALSE)="Ice",Backdoors!BE5,IF(VLOOKUP(tbMoveset!A13,tbMoveset!A2:I112,9,FALSE)="Dragon",Backdoors!BF5,Backdoors!BG5)))))/100,Backdoors!BG5/100),"")</f>
        <v>0</v>
      </c>
      <c r="R13" s="49">
        <f>IFERROR(IF(VLOOKUP(A13,tbMoveset!A2:J112,10,FALSE)=TRUE,IF((Backdoors!AI12+IF(P13&gt;=0.45,VLOOKUP(Calculator!E23,tbSkills!DH3:DI6,2,FALSE)+IF(AND(Calculator!B8=TRUE,Backdoors!BI5=TRUE),VLOOKUP(Calculator!E23,tbSkills!DH3:DJ6,3,FALSE),0),0))&gt;=0,1+(Backdoors!AL2*(IF((Backdoors!AI12+IF(P13&gt;=0.45,VLOOKUP(Calculator!E23,tbSkills!DH3:DI6,2,FALSE)+IF(AND(Calculator!B8=TRUE,Backdoors!BI5=TRUE),VLOOKUP(Calculator!E23,tbSkills!DH3:DJ6,3,FALSE),0),0))&gt;=100,100,(Backdoors!AI12+IF(P13&gt;=0.45,VLOOKUP(Calculator!E23,tbSkills!DH3:DI6,2,FALSE)+IF(AND(Calculator!B8=TRUE,Backdoors!BI5=TRUE),VLOOKUP(Calculator!E23,tbSkills!DH3:DJ6,3,FALSE),0),0)))/100)),(1-(0.25*((-Backdoors!AI12-IF(P13&gt;=0.45,VLOOKUP(Calculator!E23,tbSkills!DH3:DI6,2,FALSE)+IF(AND(Calculator!B8=TRUE,Backdoors!BI5=TRUE),VLOOKUP(Calculator!E23,tbSkills!DH3:DJ6,3,FALSE),0),0))/100)))),1),"")</f>
        <v>1</v>
      </c>
      <c r="S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P13)*R13)*(VLOOKUP(A13,tbMoveset!A2:C112,3,FALSE)/100)*IF(VLOOKUP(A13,tbMoveset!A2:B112,2,FALSE)="Projectile",Backdoors!N10,Backdoors!N9),0),"")</f>
        <v>2</v>
      </c>
      <c r="T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P13&gt;=0.45,VLOOKUP(Calculator!E23,tbSkills!DH3:DI6,2,FALSE)+IF(AND(Calculator!B8=TRUE,Backdoors!BI5=TRUE),VLOOKUP(Calculator!E23,tbSkills!DH3:DJ6,3,FALSE),0),0))&gt;=100,100,(Backdoors!AI12+IF(P13&gt;=0.45,VLOOKUP(Calculator!E23,tbSkills!DH3:DI6,2,FALSE)+IF(AND(Calculator!B8=TRUE,Backdoors!BI5=TRUE),VLOOKUP(Calculator!E23,tbSkills!DH3:DJ6,3,FALSE),0),0)))/100)),1))*IF(VLOOKUP(A13,tbMoveset!A2:K112,11,FALSE)=TRUE,Backdoors!AC5,1))*Q13,0),"")</f>
        <v>0</v>
      </c>
      <c r="U13" s="49">
        <f>VLOOKUP(A13,tbMoveset!A2:G112,7,FALSE)*IFERROR(IF(Backdoors!AI12&gt;=0,1+(IF(Calculator!E40&gt;0,VLOOKUP(Calculator!E40,tbSkills!AI3:AJ5,2,FALSE),Backdoors!AL4)*(IF((Backdoors!AI12+IF(P13&gt;=0.45,VLOOKUP(Calculator!E23,tbSkills!DH3:DI6,2,FALSE)+IF(AND(Calculator!B8=TRUE,Backdoors!BI5=TRUE),VLOOKUP(Calculator!E23,tbSkills!DH3:DJ6,3,FALSE),0),0))&gt;=100,100,(Backdoors!AI12+IF(P13&gt;=0.45,VLOOKUP(Calculator!E23,tbSkills!DH3:DI6,2,FALSE)+IF(AND(Calculator!B8=TRUE,Backdoors!BI5=TRUE),VLOOKUP(Calculator!E23,tbSkills!DH3:DJ6,3,FALSE),0),0)))/100)),1),1)</f>
        <v>0.4</v>
      </c>
      <c r="V13" s="87">
        <f t="shared" si="37"/>
        <v>2</v>
      </c>
      <c r="W13" s="86">
        <f>IFERROR(IF(VLOOKUP(A13,tbMoveset!A2:B112,2,FALSE)="Sever",Backdoors!AY6/100,IF(VLOOKUP(A13,tbMoveset!A2:B112,2,FALSE)="Blunt",Backdoors!AZ6/100,Backdoors!BA6/100)),"")</f>
        <v>0.45</v>
      </c>
      <c r="X13" s="49">
        <f>IFERROR(IF(VLOOKUP(tbMoveset!A13,tbMoveset!A2:H112,8,FALSE)="Other",IF(VLOOKUP(tbMoveset!A13,tbMoveset!A2:I112,9,FALSE)="Fire",Backdoors!BB6,IF(VLOOKUP(tbMoveset!A13,tbMoveset!A2:I112,9,FALSE)="Water",Backdoors!BC6,IF(VLOOKUP(tbMoveset!A13,tbMoveset!A2:I112,9,FALSE)="Thunder",Backdoors!BD6,IF(VLOOKUP(tbMoveset!A13,tbMoveset!A2:I112,9,FALSE)="Ice",Backdoors!BE6,IF(VLOOKUP(tbMoveset!A13,tbMoveset!A2:I112,9,FALSE)="Dragon",Backdoors!BF6,Backdoors!BG6)))))/100,Backdoors!BG6/100),"")</f>
        <v>0</v>
      </c>
      <c r="Y13" s="49">
        <f>IFERROR(IF(VLOOKUP(A13,tbMoveset!A2:J112,10,FALSE)=TRUE,IF((Backdoors!AI12+IF(W13&gt;=0.45,VLOOKUP(Calculator!E23,tbSkills!DH3:DI6,2,FALSE)+IF(AND(Calculator!B8=TRUE,Backdoors!BI6=TRUE),VLOOKUP(Calculator!E23,tbSkills!DH3:DJ6,3,FALSE),0),0))&gt;=0,1+(Backdoors!AL2*(IF((Backdoors!AI12+IF(W13&gt;=0.45,VLOOKUP(Calculator!E23,tbSkills!DH3:DI6,2,FALSE)+IF(AND(Calculator!B8=TRUE,Backdoors!BI6=TRUE),VLOOKUP(Calculator!E23,tbSkills!DH3:DJ6,3,FALSE),0),0))&gt;=100,100,(Backdoors!AI12+IF(W13&gt;=0.45,VLOOKUP(Calculator!E23,tbSkills!DH3:DI6,2,FALSE)+IF(AND(Calculator!B8=TRUE,Backdoors!BI6=TRUE),VLOOKUP(Calculator!E23,tbSkills!DH3:DJ6,3,FALSE),0),0)))/100)),(1-(0.25*((-Backdoors!AI12-IF(W13&gt;=0.45,VLOOKUP(Calculator!E23,tbSkills!DH3:DI6,2,FALSE)+IF(AND(Calculator!B8=TRUE,Backdoors!BI6=TRUE),VLOOKUP(Calculator!E23,tbSkills!DH3:DJ6,3,FALSE),0),0))/100)))),1),"")</f>
        <v>1</v>
      </c>
      <c r="Z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W13)*Y13)*(VLOOKUP(A13,tbMoveset!A2:C112,3,FALSE)/100)*IF(VLOOKUP(A13,tbMoveset!A2:B112,2,FALSE)="Projectile",Backdoors!N10,Backdoors!N9),0),"")</f>
        <v>2</v>
      </c>
      <c r="AA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W13&gt;=0.45,VLOOKUP(Calculator!E23,tbSkills!DH3:DI6,2,FALSE)+IF(AND(Calculator!B8=TRUE,Backdoors!BI6=TRUE),VLOOKUP(Calculator!E23,tbSkills!DH3:DJ6,3,FALSE),0),0))&gt;=100,100,(Backdoors!AI12+IF(W13&gt;=0.45,VLOOKUP(Calculator!E23,tbSkills!DH3:DI6,2,FALSE)+IF(AND(Calculator!B8=TRUE,Backdoors!BI6=TRUE),VLOOKUP(Calculator!E23,tbSkills!DH3:DJ6,3,FALSE),0),0)))/100)),1))*IF(VLOOKUP(A13,tbMoveset!A2:K112,11,FALSE)=TRUE,Backdoors!AC5,1))*X13,0),"")</f>
        <v>0</v>
      </c>
      <c r="AB13" s="49">
        <f>VLOOKUP(A13,tbMoveset!A2:G112,7,FALSE)*IFERROR(IF(Backdoors!AI12&gt;=0,1+(IF(Calculator!E40&gt;0,VLOOKUP(Calculator!E40,tbSkills!AI3:AJ5,2,FALSE),Backdoors!AL4)*(IF((Backdoors!AI12+IF(W13&gt;=0.45,VLOOKUP(Calculator!E23,tbSkills!DH3:DI6,2,FALSE)+IF(AND(Calculator!B8=TRUE,Backdoors!BI6=TRUE),VLOOKUP(Calculator!E23,tbSkills!DH3:DJ6,3,FALSE),0),0))&gt;=100,100,(Backdoors!AI12+IF(W13&gt;=0.45,VLOOKUP(Calculator!E23,tbSkills!DH3:DI6,2,FALSE)+IF(AND(Calculator!B8=TRUE,Backdoors!BI6=TRUE),VLOOKUP(Calculator!E23,tbSkills!DH3:DJ6,3,FALSE),0),0)))/100)),1),1)</f>
        <v>0.4</v>
      </c>
      <c r="AC13" s="87">
        <f t="shared" si="0"/>
        <v>2</v>
      </c>
      <c r="AD13" s="86">
        <f>IFERROR(IF(VLOOKUP(A13,tbMoveset!A2:B112,2,FALSE)="Sever",Backdoors!AY7/100,IF(VLOOKUP(A13,tbMoveset!A2:B112,2,FALSE)="Blunt",Backdoors!AZ7/100,Backdoors!BA7/100)),"")</f>
        <v>0.65</v>
      </c>
      <c r="AE13" s="49">
        <f>IFERROR(IF(VLOOKUP(tbMoveset!A13,tbMoveset!A2:H112,8,FALSE)="Other",IF(VLOOKUP(tbMoveset!A13,tbMoveset!A2:I112,9,FALSE)="Fire",Backdoors!BB7,IF(VLOOKUP(tbMoveset!A13,tbMoveset!A2:I112,9,FALSE)="Water",Backdoors!BC7,IF(VLOOKUP(tbMoveset!A13,tbMoveset!A2:I112,9,FALSE)="Thunder",Backdoors!BD7,IF(VLOOKUP(tbMoveset!A13,tbMoveset!A2:I112,9,FALSE)="Ice",Backdoors!BE7,IF(VLOOKUP(tbMoveset!A13,tbMoveset!A2:I112,9,FALSE)="Dragon",Backdoors!BF7,Backdoors!BG7)))))/100,Backdoors!BG7/100),"")</f>
        <v>0</v>
      </c>
      <c r="AF13" s="49">
        <f>IFERROR(IF(VLOOKUP(A13,tbMoveset!A2:J112,10,FALSE)=TRUE,IF((Backdoors!AI12+IF(AD13&gt;=0.45,VLOOKUP(Calculator!E23,tbSkills!DH3:DI6,2,FALSE)+IF(AND(Calculator!B8=TRUE,Backdoors!BI7=TRUE),VLOOKUP(Calculator!E23,tbSkills!DH3:DJ6,3,FALSE),0),0))&gt;=0,1+(Backdoors!AL2*(IF((Backdoors!AI12+IF(AD13&gt;=0.45,VLOOKUP(Calculator!E23,tbSkills!DH3:DI6,2,FALSE)+IF(AND(Calculator!B8=TRUE,Backdoors!BI7=TRUE),VLOOKUP(Calculator!E23,tbSkills!DH3:DJ6,3,FALSE),0),0))&gt;=100,100,(Backdoors!AI12+IF(AD13&gt;=0.45,VLOOKUP(Calculator!E23,tbSkills!DH3:DI6,2,FALSE)+IF(AND(Calculator!B8=TRUE,Backdoors!BI7=TRUE),VLOOKUP(Calculator!E23,tbSkills!DH3:DJ6,3,FALSE),0),0)))/100)),(1-(0.25*((-Backdoors!AI12-IF(AD13&gt;=0.45,VLOOKUP(Calculator!E23,tbSkills!DH3:DI6,2,FALSE)+IF(AND(Calculator!B8=TRUE,Backdoors!BI7=TRUE),VLOOKUP(Calculator!E23,tbSkills!DH3:DJ6,3,FALSE),0),0))/100)))),1),"")</f>
        <v>1</v>
      </c>
      <c r="AG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D13)*AF13)*(VLOOKUP(A13,tbMoveset!A2:C112,3,FALSE)/100)*IF(VLOOKUP(A13,tbMoveset!A2:B112,2,FALSE)="Projectile",Backdoors!N10,Backdoors!N9),0),"")</f>
        <v>3</v>
      </c>
      <c r="AH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D13&gt;=0.45,VLOOKUP(Calculator!E23,tbSkills!DH3:DI6,2,FALSE)+IF(AND(Calculator!B8=TRUE,Backdoors!BI7=TRUE),VLOOKUP(Calculator!E23,tbSkills!DH3:DJ6,3,FALSE),0),0))&gt;=100,100,(Backdoors!AI12+IF(AD13&gt;=0.45,VLOOKUP(Calculator!E23,tbSkills!DH3:DI6,2,FALSE)+IF(AND(Calculator!B8=TRUE,Backdoors!BI7=TRUE),VLOOKUP(Calculator!E23,tbSkills!DH3:DJ6,3,FALSE),0),0)))/100)),1))*IF(VLOOKUP(A13,tbMoveset!A2:K112,11,FALSE)=TRUE,Backdoors!AC5,1))*AE13,0),"")</f>
        <v>0</v>
      </c>
      <c r="AI13" s="49">
        <f>VLOOKUP(A13,tbMoveset!A2:G112,7,FALSE)*IFERROR(IF(Backdoors!AI12&gt;=0,1+(IF(Calculator!E40&gt;0,VLOOKUP(Calculator!E40,tbSkills!AI3:AJ5,2,FALSE),Backdoors!AL4)*(IF((Backdoors!AI12+IF(AD13&gt;=0.45,VLOOKUP(Calculator!E23,tbSkills!DH3:DI6,2,FALSE)+IF(AND(Calculator!B8=TRUE,Backdoors!BI7=TRUE),VLOOKUP(Calculator!E23,tbSkills!DH3:DJ6,3,FALSE),0),0))&gt;=100,100,(Backdoors!AI12+IF(AD13&gt;=0.45,VLOOKUP(Calculator!E23,tbSkills!DH3:DI6,2,FALSE)+IF(AND(Calculator!B8=TRUE,Backdoors!BI7=TRUE),VLOOKUP(Calculator!E23,tbSkills!DH3:DJ6,3,FALSE),0),0)))/100)),1),1)</f>
        <v>0.4</v>
      </c>
      <c r="AJ13" s="87">
        <f t="shared" si="1"/>
        <v>3</v>
      </c>
      <c r="AK13" s="91">
        <f>IFERROR(IF(VLOOKUP(A13,tbMoveset!A2:B112,2,FALSE)="Sever",Backdoors!AY8/100,IF(VLOOKUP(A13,tbMoveset!A2:B112,2,FALSE)="Blunt",Backdoors!AZ8/100,Backdoors!BA8/100)),"")</f>
        <v>0.45</v>
      </c>
      <c r="AL13" s="49">
        <f>IFERROR(IF(VLOOKUP(tbMoveset!A13,tbMoveset!A2:H112,8,FALSE)="Other",IF(VLOOKUP(tbMoveset!A13,tbMoveset!A2:I112,9,FALSE)="Fire",Backdoors!BB8,IF(VLOOKUP(tbMoveset!A13,tbMoveset!A2:I112,9,FALSE)="Water",Backdoors!BC8,IF(VLOOKUP(tbMoveset!A13,tbMoveset!A2:I112,9,FALSE)="Thunder",Backdoors!BD8,IF(VLOOKUP(tbMoveset!A13,tbMoveset!A2:I112,9,FALSE)="Ice",Backdoors!BE8,IF(VLOOKUP(tbMoveset!A13,tbMoveset!A2:I112,9,FALSE)="Dragon",Backdoors!BF8,Backdoors!BG8)))))/100,Backdoors!BG8/100),"")</f>
        <v>0</v>
      </c>
      <c r="AM13" s="49">
        <f>IFERROR(IF(VLOOKUP(A13,tbMoveset!A2:J112,10,FALSE)=TRUE,IF((Backdoors!AI12+IF(AK13&gt;=0.45,VLOOKUP(Calculator!E23,tbSkills!DH3:DI6,2,FALSE)+IF(AND(Calculator!B8=TRUE,Backdoors!BI8=TRUE),VLOOKUP(Calculator!E23,tbSkills!DH3:DJ6,3,FALSE),0),0))&gt;=0,1+(Backdoors!AL2*(IF((Backdoors!AI12+IF(AK13&gt;=0.45,VLOOKUP(Calculator!E23,tbSkills!DH3:DI6,2,FALSE)+IF(AND(Calculator!B8=TRUE,Backdoors!BI8=TRUE),VLOOKUP(Calculator!E23,tbSkills!DH3:DJ6,3,FALSE),0),0))&gt;=100,100,(Backdoors!AI12+IF(AK13&gt;=0.45,VLOOKUP(Calculator!E23,tbSkills!DH3:DI6,2,FALSE)+IF(AND(Calculator!B8=TRUE,Backdoors!BI8=TRUE),VLOOKUP(Calculator!E23,tbSkills!DH3:DJ6,3,FALSE),0),0)))/100)),(1-(0.25*((-Backdoors!AI12-IF(AK13&gt;=0.45,VLOOKUP(Calculator!E23,tbSkills!DH3:DI6,2,FALSE)+IF(AND(Calculator!B8=TRUE,Backdoors!BI8=TRUE),VLOOKUP(Calculator!E23,tbSkills!DH3:DJ6,3,FALSE),0),0))/100)))),1),"")</f>
        <v>1</v>
      </c>
      <c r="AN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K13)*AM13)*(VLOOKUP(A13,tbMoveset!A2:C112,3,FALSE)/100)*IF(VLOOKUP(A13,tbMoveset!A2:B112,2,FALSE)="Projectile",Backdoors!N10,Backdoors!N9),0),"")</f>
        <v>2</v>
      </c>
      <c r="AO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K13&gt;=0.45,VLOOKUP(Calculator!E23,tbSkills!DH3:DI6,2,FALSE)+IF(AND(Calculator!B8=TRUE,Backdoors!BI8=TRUE),VLOOKUP(Calculator!E23,tbSkills!DH3:DJ6,3,FALSE),0),0))&gt;=100,100,(Backdoors!AI12+IF(AK13&gt;=0.45,VLOOKUP(Calculator!E23,tbSkills!DH3:DI6,2,FALSE)+IF(AND(Calculator!B8=TRUE,Backdoors!BI8=TRUE),VLOOKUP(Calculator!E23,tbSkills!DH3:DJ6,3,FALSE),0),0)))/100)),1))*IF(VLOOKUP(A13,tbMoveset!A2:K112,11,FALSE)=TRUE,Backdoors!AC5,1))*AL13,0),"")</f>
        <v>0</v>
      </c>
      <c r="AP13" s="49">
        <f>VLOOKUP(A13,tbMoveset!A2:G112,7,FALSE)*IFERROR(IF(Backdoors!AI12&gt;=0,1+(IF(Calculator!E40&gt;0,VLOOKUP(Calculator!E40,tbSkills!AI3:AJ5,2,FALSE),Backdoors!AL4)*(IF((Backdoors!AI12+IF(AK13&gt;=0.45,VLOOKUP(Calculator!E23,tbSkills!DH3:DI6,2,FALSE)+IF(AND(Calculator!B8=TRUE,Backdoors!BI8=TRUE),VLOOKUP(Calculator!E23,tbSkills!DH3:DJ6,3,FALSE),0),0))&gt;=100,100,(Backdoors!AI12+IF(AK13&gt;=0.45,VLOOKUP(Calculator!E23,tbSkills!DH3:DI6,2,FALSE)+IF(AND(Calculator!B8=TRUE,Backdoors!BI8=TRUE),VLOOKUP(Calculator!E23,tbSkills!DH3:DJ6,3,FALSE),0),0)))/100)),1),1)</f>
        <v>0.4</v>
      </c>
      <c r="AQ13" s="87">
        <f t="shared" si="2"/>
        <v>2</v>
      </c>
      <c r="AR13" s="86">
        <f>IFERROR(IF(VLOOKUP(A13,tbMoveset!A2:B112,2,FALSE)="Sever",Backdoors!AY9/100,IF(VLOOKUP(A13,tbMoveset!A2:B112,2,FALSE)="Blunt",Backdoors!AZ9/100,Backdoors!BA9/100)),"")</f>
        <v>0.45</v>
      </c>
      <c r="AS13" s="49">
        <f>IFERROR(IF(VLOOKUP(tbMoveset!A13,tbMoveset!A2:H112,8,FALSE)="Other",IF(VLOOKUP(tbMoveset!A13,tbMoveset!A2:I112,9,FALSE)="Fire",Backdoors!BB9,IF(VLOOKUP(tbMoveset!A13,tbMoveset!A2:I112,9,FALSE)="Water",Backdoors!BC9,IF(VLOOKUP(tbMoveset!A13,tbMoveset!A2:I112,9,FALSE)="Thunder",Backdoors!BD9,IF(VLOOKUP(tbMoveset!A13,tbMoveset!A2:I112,9,FALSE)="Ice",Backdoors!BE9,IF(VLOOKUP(tbMoveset!A13,tbMoveset!A2:I112,9,FALSE)="Dragon",Backdoors!BF9,Backdoors!BG9)))))/100,Backdoors!BG9/100),"")</f>
        <v>0</v>
      </c>
      <c r="AT13" s="49">
        <f>IFERROR(IF(VLOOKUP(A13,tbMoveset!A2:J112,10,FALSE)=TRUE,IF((Backdoors!AI12+IF(AR13&gt;=0.45,VLOOKUP(Calculator!E23,tbSkills!DH3:DI6,2,FALSE)+IF(AND(Calculator!B8=TRUE,Backdoors!BI9=TRUE),VLOOKUP(Calculator!E23,tbSkills!DH3:DJ6,3,FALSE),0),0))&gt;=0,1+(Backdoors!AL2*(IF((Backdoors!AI12+IF(AR13&gt;=0.45,VLOOKUP(Calculator!E23,tbSkills!DH3:DI6,2,FALSE)+IF(AND(Calculator!B8=TRUE,Backdoors!BI9=TRUE),VLOOKUP(Calculator!E23,tbSkills!DH3:DJ6,3,FALSE),0),0))&gt;=100,100,(Backdoors!AI12+IF(AR13&gt;=0.45,VLOOKUP(Calculator!E23,tbSkills!DH3:DI6,2,FALSE)+IF(AND(Calculator!B8=TRUE,Backdoors!BI9=TRUE),VLOOKUP(Calculator!E23,tbSkills!DH3:DJ6,3,FALSE),0),0)))/100)),(1-(0.25*((-Backdoors!AI12-IF(AR13&gt;=0.45,VLOOKUP(Calculator!E23,tbSkills!DH3:DI6,2,FALSE)+IF(AND(Calculator!B8=TRUE,Backdoors!BI9=TRUE),VLOOKUP(Calculator!E23,tbSkills!DH3:DJ6,3,FALSE),0),0))/100)))),1),"")</f>
        <v>1</v>
      </c>
      <c r="AU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R13)*AT13)*(VLOOKUP(A13,tbMoveset!A2:C112,3,FALSE)/100)*IF(VLOOKUP(A13,tbMoveset!A2:B112,2,FALSE)="Projectile",Backdoors!N10,Backdoors!N9),0),"")</f>
        <v>2</v>
      </c>
      <c r="AV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R13&gt;=0.45,VLOOKUP(Calculator!E23,tbSkills!DH3:DI6,2,FALSE)+IF(AND(Calculator!B8=TRUE,Backdoors!BI9=TRUE),VLOOKUP(Calculator!E23,tbSkills!DH3:DJ6,3,FALSE),0),0))&gt;=100,100,(Backdoors!AI12+IF(AR13&gt;=0.45,VLOOKUP(Calculator!E23,tbSkills!DH3:DI6,2,FALSE)+IF(AND(Calculator!B8=TRUE,Backdoors!BI9=TRUE),VLOOKUP(Calculator!E23,tbSkills!DH3:DJ6,3,FALSE),0),0)))/100)),1))*IF(VLOOKUP(A13,tbMoveset!A2:K112,11,FALSE)=TRUE,Backdoors!AC5,1))*AS13,0),"")</f>
        <v>0</v>
      </c>
      <c r="AW13" s="49">
        <f>VLOOKUP(A13,tbMoveset!A2:G112,7,FALSE)*IFERROR(IF(Backdoors!AI12&gt;=0,1+(IF(Calculator!E40&gt;0,VLOOKUP(Calculator!E40,tbSkills!AI3:AJ5,2,FALSE),Backdoors!AL4)*(IF((Backdoors!AI12+IF(AR13&gt;=0.45,VLOOKUP(Calculator!E23,tbSkills!DH3:DI6,2,FALSE)+IF(AND(Calculator!B8=TRUE,Backdoors!BI9=TRUE),VLOOKUP(Calculator!E23,tbSkills!DH3:DJ6,3,FALSE),0),0))&gt;=100,100,(Backdoors!AI12+IF(AR13&gt;=0.45,VLOOKUP(Calculator!E23,tbSkills!DH3:DI6,2,FALSE)+IF(AND(Calculator!B8=TRUE,Backdoors!BI9=TRUE),VLOOKUP(Calculator!E23,tbSkills!DH3:DJ6,3,FALSE),0),0)))/100)),1),1)</f>
        <v>0.4</v>
      </c>
      <c r="AX13" s="87">
        <f t="shared" si="38"/>
        <v>2</v>
      </c>
      <c r="AY13" s="86">
        <f>IFERROR(IF(VLOOKUP(A13,tbMoveset!A2:B112,2,FALSE)="Sever",Backdoors!AY10/100,IF(VLOOKUP(A13,tbMoveset!A2:B112,2,FALSE)="Blunt",Backdoors!AZ10/100,Backdoors!BA10/100)),"")</f>
        <v>0.9</v>
      </c>
      <c r="AZ13" s="49">
        <f>IFERROR(IF(VLOOKUP(tbMoveset!A13,tbMoveset!A2:H112,8,FALSE)="Other",IF(VLOOKUP(tbMoveset!A13,tbMoveset!A2:I112,9,FALSE)="Fire",Backdoors!BB10,IF(VLOOKUP(tbMoveset!A13,tbMoveset!A2:I112,9,FALSE)="Water",Backdoors!BC10,IF(VLOOKUP(tbMoveset!A13,tbMoveset!A2:I112,9,FALSE)="Thunder",Backdoors!BD10,IF(VLOOKUP(tbMoveset!A13,tbMoveset!A2:I112,9,FALSE)="Ice",Backdoors!BE10,IF(VLOOKUP(tbMoveset!A13,tbMoveset!A2:I112,9,FALSE)="Dragon",Backdoors!BF10,Backdoors!BG10)))))/100,Backdoors!BG10/100),"")</f>
        <v>0</v>
      </c>
      <c r="BA13" s="49">
        <f>IFERROR(IF(VLOOKUP(A13,tbMoveset!A2:J112,10,FALSE)=TRUE,IF((Backdoors!AI12+IF(AY13&gt;=0.45,VLOOKUP(Calculator!E23,tbSkills!DH3:DI6,2,FALSE)+IF(AND(Calculator!B8=TRUE,Backdoors!BI10=TRUE),VLOOKUP(Calculator!E23,tbSkills!DH3:DJ6,3,FALSE),0),0))&gt;=0,1+(Backdoors!AL2*(IF((Backdoors!AI12+IF(AY13&gt;=0.45,VLOOKUP(Calculator!E23,tbSkills!DH3:DI6,2,FALSE)+IF(AND(Calculator!B8=TRUE,Backdoors!BI10=TRUE),VLOOKUP(Calculator!E23,tbSkills!DH3:DJ6,3,FALSE),0),0))&gt;=100,100,(Backdoors!AI12+IF(AY13&gt;=0.45,VLOOKUP(Calculator!E23,tbSkills!DH3:DI6,2,FALSE)+IF(AND(Calculator!B8=TRUE,Backdoors!BI10=TRUE),VLOOKUP(Calculator!E23,tbSkills!DH3:DJ6,3,FALSE),0),0)))/100)),(1-(0.25*((-Backdoors!AI12-IF(AY13&gt;=0.45,VLOOKUP(Calculator!E23,tbSkills!DH3:DI6,2,FALSE)+IF(AND(Calculator!B8=TRUE,Backdoors!BI10=TRUE),VLOOKUP(Calculator!E23,tbSkills!DH3:DJ6,3,FALSE),0),0))/100)))),1),"")</f>
        <v>1</v>
      </c>
      <c r="BB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Y13)*BA13)*(VLOOKUP(A13,tbMoveset!A2:C112,3,FALSE)/100)*IF(VLOOKUP(A13,tbMoveset!A2:B112,2,FALSE)="Projectile",Backdoors!N10,Backdoors!N9),0),"")</f>
        <v>4</v>
      </c>
      <c r="BC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Y13&gt;=0.45,VLOOKUP(Calculator!E23,tbSkills!DH3:DI6,2,FALSE)+IF(AND(Calculator!B8=TRUE,Backdoors!BI10=TRUE),VLOOKUP(Calculator!E23,tbSkills!DH3:DJ6,3,FALSE),0),0))&gt;=100,100,(Backdoors!AI12+IF(AY13&gt;=0.45,VLOOKUP(Calculator!E23,tbSkills!DH3:DI6,2,FALSE)+IF(AND(Calculator!B8=TRUE,Backdoors!BI10=TRUE),VLOOKUP(Calculator!E23,tbSkills!DH3:DJ6,3,FALSE),0),0)))/100)),1))*IF(VLOOKUP(A13,tbMoveset!A2:K112,11,FALSE)=TRUE,Backdoors!AC5,1))*AZ13,0),"")</f>
        <v>0</v>
      </c>
      <c r="BD13" s="49">
        <f>VLOOKUP(A13,tbMoveset!A2:G112,7,FALSE)*IFERROR(IF(Backdoors!AI12&gt;=0,1+(IF(Calculator!E40&gt;0,VLOOKUP(Calculator!E40,tbSkills!AI3:AJ5,2,FALSE),Backdoors!AL4)*(IF((Backdoors!AI12+IF(AY13&gt;=0.45,VLOOKUP(Calculator!E23,tbSkills!DH3:DI6,2,FALSE)+IF(AND(Calculator!B8=TRUE,Backdoors!BI10=TRUE),VLOOKUP(Calculator!E23,tbSkills!DH3:DJ6,3,FALSE),0),0))&gt;=100,100,(Backdoors!AI12+IF(AY13&gt;=0.45,VLOOKUP(Calculator!E23,tbSkills!DH3:DI6,2,FALSE)+IF(AND(Calculator!B8=TRUE,Backdoors!BI10=TRUE),VLOOKUP(Calculator!E23,tbSkills!DH3:DJ6,3,FALSE),0),0)))/100)),1),1)</f>
        <v>0.4</v>
      </c>
      <c r="BE13" s="87">
        <f t="shared" si="3"/>
        <v>4</v>
      </c>
      <c r="BF13" s="86" t="str">
        <f>IFERROR(IF(VLOOKUP(A13,tbMoveset!A2:B112,2,FALSE)="Sever",Backdoors!AY11/100,IF(VLOOKUP(A13,tbMoveset!A2:B112,2,FALSE)="Blunt",Backdoors!AZ11/100,Backdoors!BA11/100)),"")</f>
        <v/>
      </c>
      <c r="BG13" s="49">
        <f>IFERROR(IF(VLOOKUP(tbMoveset!A13,tbMoveset!A2:H112,8,FALSE)="Other",IF(VLOOKUP(tbMoveset!A13,tbMoveset!A2:I112,9,FALSE)="Fire",Backdoors!BB11,IF(VLOOKUP(tbMoveset!A13,tbMoveset!A2:I112,9,FALSE)="Water",Backdoors!BC11,IF(VLOOKUP(tbMoveset!A13,tbMoveset!A2:I112,9,FALSE)="Thunder",Backdoors!BD11,IF(VLOOKUP(tbMoveset!A13,tbMoveset!A2:I112,9,FALSE)="Ice",Backdoors!BE11,IF(VLOOKUP(tbMoveset!A13,tbMoveset!A2:I112,9,FALSE)="Dragon",Backdoors!BF11,Backdoors!BG11)))))/100,Backdoors!BG11/100),"")</f>
        <v>0</v>
      </c>
      <c r="BH13" s="49">
        <f>IFERROR(IF(VLOOKUP(A13,tbMoveset!A2:J112,10,FALSE)=TRUE,IF((Backdoors!AI12+IF(BF13&gt;=0.45,VLOOKUP(Calculator!E23,tbSkills!DH3:DI6,2,FALSE)+IF(AND(Calculator!B8=TRUE,Backdoors!BI11=TRUE),VLOOKUP(Calculator!E23,tbSkills!DH3:DJ6,3,FALSE),0),0))&gt;=0,1+(Backdoors!AL2*(IF((Backdoors!AI12+IF(BF13&gt;=0.45,VLOOKUP(Calculator!E23,tbSkills!DH3:DI6,2,FALSE)+IF(AND(Calculator!B8=TRUE,Backdoors!BI11=TRUE),VLOOKUP(Calculator!E23,tbSkills!DH3:DJ6,3,FALSE),0),0))&gt;=100,100,(Backdoors!AI12+IF(BF13&gt;=0.45,VLOOKUP(Calculator!E23,tbSkills!DH3:DI6,2,FALSE)+IF(AND(Calculator!B8=TRUE,Backdoors!BI11=TRUE),VLOOKUP(Calculator!E23,tbSkills!DH3:DJ6,3,FALSE),0),0)))/100)),(1-(0.25*((-Backdoors!AI12-IF(BF13&gt;=0.45,VLOOKUP(Calculator!E23,tbSkills!DH3:DI6,2,FALSE)+IF(AND(Calculator!B8=TRUE,Backdoors!BI11=TRUE),VLOOKUP(Calculator!E23,tbSkills!DH3:DJ6,3,FALSE),0),0))/100)))),1),"")</f>
        <v>1</v>
      </c>
      <c r="BI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F13)*BH13)*(VLOOKUP(A13,tbMoveset!A2:C112,3,FALSE)/100)*IF(VLOOKUP(A13,tbMoveset!A2:B112,2,FALSE)="Projectile",Backdoors!N10,Backdoors!N9),0),"")</f>
        <v/>
      </c>
      <c r="BJ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F13&gt;=0.45,VLOOKUP(Calculator!E23,tbSkills!DH3:DI6,2,FALSE)+IF(AND(Calculator!B8=TRUE,Backdoors!BI11=TRUE),VLOOKUP(Calculator!E23,tbSkills!DH3:DJ6,3,FALSE),0),0))&gt;=100,100,(Backdoors!AI12+IF(BF13&gt;=0.45,VLOOKUP(Calculator!E23,tbSkills!DH3:DI6,2,FALSE)+IF(AND(Calculator!B8=TRUE,Backdoors!BI11=TRUE),VLOOKUP(Calculator!E23,tbSkills!DH3:DJ6,3,FALSE),0),0)))/100)),1))*IF(VLOOKUP(A13,tbMoveset!A2:K112,11,FALSE)=TRUE,Backdoors!AC5,1))*BG13,0),"")</f>
        <v>0</v>
      </c>
      <c r="BK13" s="49">
        <f>VLOOKUP(A13,tbMoveset!A2:G112,7,FALSE)*IFERROR(IF(Backdoors!AI12&gt;=0,1+(IF(Calculator!E40&gt;0,VLOOKUP(Calculator!E40,tbSkills!AI3:AJ5,2,FALSE),Backdoors!AL4)*(IF((Backdoors!AI12+IF(BF13&gt;=0.45,VLOOKUP(Calculator!E23,tbSkills!DH3:DI6,2,FALSE)+IF(AND(Calculator!B8=TRUE,Backdoors!BI11=TRUE),VLOOKUP(Calculator!E23,tbSkills!DH3:DJ6,3,FALSE),0),0))&gt;=100,100,(Backdoors!AI12+IF(BF13&gt;=0.45,VLOOKUP(Calculator!E23,tbSkills!DH3:DI6,2,FALSE)+IF(AND(Calculator!B8=TRUE,Backdoors!BI11=TRUE),VLOOKUP(Calculator!E23,tbSkills!DH3:DJ6,3,FALSE),0),0)))/100)),1),1)</f>
        <v>0.4</v>
      </c>
      <c r="BL13" s="87">
        <f t="shared" si="4"/>
        <v>0</v>
      </c>
      <c r="BM13" s="86" t="str">
        <f>IFERROR(IF(VLOOKUP(A13,tbMoveset!A2:B112,2,FALSE)="Sever",Backdoors!AY12/100,IF(VLOOKUP(A13,tbMoveset!A2:B112,2,FALSE)="Blunt",Backdoors!AZ12/100,Backdoors!BA12/100)),"")</f>
        <v/>
      </c>
      <c r="BN13" s="49">
        <f>IFERROR(IF(VLOOKUP(tbMoveset!A13,tbMoveset!A2:H112,8,FALSE)="Other",IF(VLOOKUP(tbMoveset!A13,tbMoveset!A2:I112,9,FALSE)="Fire",Backdoors!BB12,IF(VLOOKUP(tbMoveset!A13,tbMoveset!A2:I112,9,FALSE)="Water",Backdoors!BC12,IF(VLOOKUP(tbMoveset!A13,tbMoveset!A2:I112,9,FALSE)="Thunder",Backdoors!BD12,IF(VLOOKUP(tbMoveset!A13,tbMoveset!A2:I112,9,FALSE)="Ice",Backdoors!BE12,IF(VLOOKUP(tbMoveset!A13,tbMoveset!A2:I112,9,FALSE)="Dragon",Backdoors!BF12,Backdoors!BG12)))))/100,Backdoors!BG12/100),"")</f>
        <v>0</v>
      </c>
      <c r="BO13" s="49">
        <f>IFERROR(IF(VLOOKUP(A13,tbMoveset!A2:J112,10,FALSE)=TRUE,IF((Backdoors!AI12+IF(BM13&gt;=0.45,VLOOKUP(Calculator!E23,tbSkills!DH3:DI6,2,FALSE)+IF(AND(Calculator!B8=TRUE,Backdoors!BI12=TRUE),VLOOKUP(Calculator!E23,tbSkills!DH3:DJ6,3,FALSE),0),0))&gt;=0,1+(Backdoors!AL2*(IF((Backdoors!AI12+IF(BM13&gt;=0.45,VLOOKUP(Calculator!E23,tbSkills!DH3:DI6,2,FALSE)+IF(AND(Calculator!B8=TRUE,Backdoors!BI12=TRUE),VLOOKUP(Calculator!E23,tbSkills!DH3:DJ6,3,FALSE),0),0))&gt;=100,100,(Backdoors!AI12+IF(BM13&gt;=0.45,VLOOKUP(Calculator!E23,tbSkills!DH3:DI6,2,FALSE)+IF(AND(Calculator!B8=TRUE,Backdoors!BI12=TRUE),VLOOKUP(Calculator!E23,tbSkills!DH3:DJ6,3,FALSE),0),0)))/100)),(1-(0.25*((-Backdoors!AI12-IF(BM13&gt;=0.45,VLOOKUP(Calculator!E23,tbSkills!DH3:DI6,2,FALSE)+IF(AND(Calculator!B8=TRUE,Backdoors!BI12=TRUE),VLOOKUP(Calculator!E23,tbSkills!DH3:DJ6,3,FALSE),0),0))/100)))),1),"")</f>
        <v>1</v>
      </c>
      <c r="BP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M13)*BO13)*(VLOOKUP(A13,tbMoveset!A2:C112,3,FALSE)/100)*IF(VLOOKUP(A13,tbMoveset!A2:B112,2,FALSE)="Projectile",Backdoors!N10,Backdoors!N9),0),"")</f>
        <v/>
      </c>
      <c r="BQ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M13&gt;=0.45,VLOOKUP(Calculator!E23,tbSkills!DH3:DI6,2,FALSE)+IF(AND(Calculator!B8=TRUE,Backdoors!BI12=TRUE),VLOOKUP(Calculator!E23,tbSkills!DH3:DJ6,3,FALSE),0),0))&gt;=100,100,(Backdoors!AI12+IF(BM13&gt;=0.45,VLOOKUP(Calculator!E23,tbSkills!DH3:DI6,2,FALSE)+IF(AND(Calculator!B8=TRUE,Backdoors!BI12=TRUE),VLOOKUP(Calculator!E23,tbSkills!DH3:DJ6,3,FALSE),0),0)))/100)),1))*IF(VLOOKUP(A13,tbMoveset!A2:K112,11,FALSE)=TRUE,Backdoors!AC5,1))*BN13,0),"")</f>
        <v>0</v>
      </c>
      <c r="BR13" s="49">
        <f>VLOOKUP(A13,tbMoveset!A2:G112,7,FALSE)*IFERROR(IF(Backdoors!AI12&gt;=0,1+(IF(Calculator!E40&gt;0,VLOOKUP(Calculator!E40,tbSkills!AI3:AJ5,2,FALSE),Backdoors!AL4)*(IF((Backdoors!AI12+IF(BM13&gt;=0.45,VLOOKUP(Calculator!E23,tbSkills!DH3:DI6,2,FALSE)+IF(AND(Calculator!B8=TRUE,Backdoors!BI12=TRUE),VLOOKUP(Calculator!E23,tbSkills!DH3:DJ6,3,FALSE),0),0))&gt;=100,100,(Backdoors!AI12+IF(BM13&gt;=0.45,VLOOKUP(Calculator!E23,tbSkills!DH3:DI6,2,FALSE)+IF(AND(Calculator!B8=TRUE,Backdoors!BI12=TRUE),VLOOKUP(Calculator!E23,tbSkills!DH3:DJ6,3,FALSE),0),0)))/100)),1),1)</f>
        <v>0.4</v>
      </c>
      <c r="BS13" s="87">
        <f t="shared" si="39"/>
        <v>0</v>
      </c>
      <c r="BT13" s="86" t="str">
        <f>IFERROR(IF(VLOOKUP(A13,tbMoveset!A2:B112,2,FALSE)="Sever",Backdoors!AY13/100,IF(VLOOKUP(A13,tbMoveset!A2:B112,2,FALSE)="Blunt",Backdoors!AZ13/100,Backdoors!BA13/100)),"")</f>
        <v/>
      </c>
      <c r="BU13" s="49">
        <f>IFERROR(IF(VLOOKUP(tbMoveset!A13,tbMoveset!A2:H112,8,FALSE)="Other",IF(VLOOKUP(tbMoveset!A13,tbMoveset!A2:I112,9,FALSE)="Fire",Backdoors!BB13,IF(VLOOKUP(tbMoveset!A13,tbMoveset!A2:I112,9,FALSE)="Water",Backdoors!BC13,IF(VLOOKUP(tbMoveset!A13,tbMoveset!A2:I112,9,FALSE)="Thunder",Backdoors!BD13,IF(VLOOKUP(tbMoveset!A13,tbMoveset!A2:I112,9,FALSE)="Ice",Backdoors!BE13,IF(VLOOKUP(tbMoveset!A13,tbMoveset!A2:I112,9,FALSE)="Dragon",Backdoors!BF13,Backdoors!BG13)))))/100,Backdoors!BG13/100),"")</f>
        <v>0</v>
      </c>
      <c r="BV13" s="49">
        <f>IFERROR(IF(VLOOKUP(A13,tbMoveset!A2:J112,10,FALSE)=TRUE,IF((Backdoors!AI12+IF(BT13&gt;=0.45,VLOOKUP(Calculator!E23,tbSkills!DH3:DI6,2,FALSE)+IF(AND(Calculator!B8=TRUE,Backdoors!BI13=TRUE),VLOOKUP(Calculator!E23,tbSkills!DH3:DJ6,3,FALSE),0),0))&gt;=0,1+(Backdoors!AL2*(IF((Backdoors!AI12+IF(BT13&gt;=0.45,VLOOKUP(Calculator!E23,tbSkills!DH3:DI6,2,FALSE)+IF(AND(Calculator!B8=TRUE,Backdoors!BI13=TRUE),VLOOKUP(Calculator!E23,tbSkills!DH3:DJ6,3,FALSE),0),0))&gt;=100,100,(Backdoors!AI12+IF(BT13&gt;=0.45,VLOOKUP(Calculator!E23,tbSkills!DH3:DI6,2,FALSE)+IF(AND(Calculator!B8=TRUE,Backdoors!BI13=TRUE),VLOOKUP(Calculator!E23,tbSkills!DH3:DJ6,3,FALSE),0),0)))/100)),(1-(0.25*((-Backdoors!AI12-IF(BT13&gt;=0.45,VLOOKUP(Calculator!E23,tbSkills!DH3:DI6,2,FALSE)+IF(AND(Calculator!B8=TRUE,Backdoors!BI13=TRUE),VLOOKUP(Calculator!E23,tbSkills!DH3:DJ6,3,FALSE),0),0))/100)))),1),"")</f>
        <v>1</v>
      </c>
      <c r="BW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T13)*BV13)*(VLOOKUP(A13,tbMoveset!A2:C112,3,FALSE)/100)*IF(VLOOKUP(A13,tbMoveset!A2:B112,2,FALSE)="Projectile",Backdoors!N10,Backdoors!N9),0),"")</f>
        <v/>
      </c>
      <c r="BX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T13&gt;=0.45,VLOOKUP(Calculator!E23,tbSkills!DH3:DI6,2,FALSE)+IF(AND(Calculator!B8=TRUE,Backdoors!BI13=TRUE),VLOOKUP(Calculator!E23,tbSkills!DH3:DJ6,3,FALSE),0),0))&gt;=100,100,(Backdoors!AI12+IF(BT13&gt;=0.45,VLOOKUP(Calculator!E23,tbSkills!DH3:DI6,2,FALSE)+IF(AND(Calculator!B8=TRUE,Backdoors!BI13=TRUE),VLOOKUP(Calculator!E23,tbSkills!DH3:DJ6,3,FALSE),0),0)))/100)),1))*IF(VLOOKUP(A13,tbMoveset!A2:K112,11,FALSE)=TRUE,Backdoors!AC5,1))*BU13,0),"")</f>
        <v>0</v>
      </c>
      <c r="BY13" s="49">
        <f>VLOOKUP(A13,tbMoveset!A2:G112,7,FALSE)*IFERROR(IF(Backdoors!AI12&gt;=0,1+(IF(Calculator!E40&gt;0,VLOOKUP(Calculator!E40,tbSkills!AI3:AJ5,2,FALSE),Backdoors!AL4)*(IF((Backdoors!AI12+IF(BT13&gt;=0.45,VLOOKUP(Calculator!E23,tbSkills!DH3:DI6,2,FALSE)+IF(AND(Calculator!B8=TRUE,Backdoors!BI13=TRUE),VLOOKUP(Calculator!E23,tbSkills!DH3:DJ6,3,FALSE),0),0))&gt;=100,100,(Backdoors!AI12+IF(BT13&gt;=0.45,VLOOKUP(Calculator!E23,tbSkills!DH3:DI6,2,FALSE)+IF(AND(Calculator!B8=TRUE,Backdoors!BI13=TRUE),VLOOKUP(Calculator!E23,tbSkills!DH3:DJ6,3,FALSE),0),0)))/100)),1),1)</f>
        <v>0.4</v>
      </c>
      <c r="BZ13" s="87">
        <f t="shared" si="5"/>
        <v>0</v>
      </c>
      <c r="CA13" s="86" t="str">
        <f>IFERROR(IF(VLOOKUP(A13,tbMoveset!A2:B112,2,FALSE)="Sever",Backdoors!AY14/100,IF(VLOOKUP(A13,tbMoveset!A2:B112,2,FALSE)="Blunt",Backdoors!AZ14/100,Backdoors!BA14/100)),"")</f>
        <v/>
      </c>
      <c r="CB13" s="49">
        <f>IFERROR(IF(VLOOKUP(tbMoveset!A13,tbMoveset!A2:H112,8,FALSE)="Other",IF(VLOOKUP(tbMoveset!A13,tbMoveset!A2:I112,9,FALSE)="Fire",Backdoors!BB14,IF(VLOOKUP(tbMoveset!A13,tbMoveset!A2:I112,9,FALSE)="Water",Backdoors!BC14,IF(VLOOKUP(tbMoveset!A13,tbMoveset!A2:I112,9,FALSE)="Thunder",Backdoors!BD14,IF(VLOOKUP(tbMoveset!A13,tbMoveset!A2:I112,9,FALSE)="Ice",Backdoors!BE14,IF(VLOOKUP(tbMoveset!A13,tbMoveset!A2:I112,9,FALSE)="Dragon",Backdoors!BF14,Backdoors!BG14)))))/100,Backdoors!BG14/100),"")</f>
        <v>0</v>
      </c>
      <c r="CC13" s="49">
        <f>IFERROR(IF(VLOOKUP(A13,tbMoveset!A2:J112,10,FALSE)=TRUE,IF((Backdoors!AI12+IF(CA13&gt;=0.45,VLOOKUP(Calculator!E23,tbSkills!DH3:DI6,2,FALSE)+IF(AND(Calculator!B8=TRUE,Backdoors!BI14=TRUE),VLOOKUP(Calculator!E23,tbSkills!DH3:DJ6,3,FALSE),0),0))&gt;=0,1+(Backdoors!AL2*(IF((Backdoors!AI12+IF(CA13&gt;=0.45,VLOOKUP(Calculator!E23,tbSkills!DH3:DI6,2,FALSE)+IF(AND(Calculator!B8=TRUE,Backdoors!BI14=TRUE),VLOOKUP(Calculator!E23,tbSkills!DH3:DJ6,3,FALSE),0),0))&gt;=100,100,(Backdoors!AI12+IF(CA13&gt;=0.45,VLOOKUP(Calculator!E23,tbSkills!DH3:DI6,2,FALSE)+IF(AND(Calculator!B8=TRUE,Backdoors!BI14=TRUE),VLOOKUP(Calculator!E23,tbSkills!DH3:DJ6,3,FALSE),0),0)))/100)),(1-(0.25*((-Backdoors!AI12-IF(CA13&gt;=0.45,VLOOKUP(Calculator!E23,tbSkills!DH3:DI6,2,FALSE)+IF(AND(Calculator!B8=TRUE,Backdoors!BI14=TRUE),VLOOKUP(Calculator!E23,tbSkills!DH3:DJ6,3,FALSE),0),0))/100)))),1),"")</f>
        <v>1</v>
      </c>
      <c r="CD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A13)*CC13)*(VLOOKUP(A13,tbMoveset!A2:C112,3,FALSE)/100)*IF(VLOOKUP(A13,tbMoveset!A2:B112,2,FALSE)="Projectile",Backdoors!N10,Backdoors!N9),0),"")</f>
        <v/>
      </c>
      <c r="CE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A13&gt;=0.45,VLOOKUP(Calculator!E23,tbSkills!DH3:DI6,2,FALSE)+IF(AND(Calculator!B8=TRUE,Backdoors!BI14=TRUE),VLOOKUP(Calculator!E23,tbSkills!DH3:DJ6,3,FALSE),0),0))&gt;=100,100,(Backdoors!AI12+IF(CA13&gt;=0.45,VLOOKUP(Calculator!E23,tbSkills!DH3:DI6,2,FALSE)+IF(AND(Calculator!B8=TRUE,Backdoors!BI14=TRUE),VLOOKUP(Calculator!E23,tbSkills!DH3:DJ6,3,FALSE),0),0)))/100)),1))*IF(VLOOKUP(A13,tbMoveset!A2:K112,11,FALSE)=TRUE,Backdoors!AC5,1))*CB13,0),"")</f>
        <v>0</v>
      </c>
      <c r="CF13" s="49">
        <f>VLOOKUP(A13,tbMoveset!A2:G112,7,FALSE)*IFERROR(IF(Backdoors!AI12&gt;=0,1+(IF(Calculator!E40&gt;0,VLOOKUP(Calculator!E40,tbSkills!AI3:AJ5,2,FALSE),Backdoors!AL4)*(IF((Backdoors!AI12+IF(CA13&gt;=0.45,VLOOKUP(Calculator!E23,tbSkills!DH3:DI6,2,FALSE)+IF(AND(Calculator!B8=TRUE,Backdoors!BI14=TRUE),VLOOKUP(Calculator!E23,tbSkills!DH3:DJ6,3,FALSE),0),0))&gt;=100,100,(Backdoors!AI12+IF(CA13&gt;=0.45,VLOOKUP(Calculator!E23,tbSkills!DH3:DI6,2,FALSE)+IF(AND(Calculator!B8=TRUE,Backdoors!BI14=TRUE),VLOOKUP(Calculator!E23,tbSkills!DH3:DJ6,3,FALSE),0),0)))/100)),1),1)</f>
        <v>0.4</v>
      </c>
      <c r="CG13" s="87">
        <f t="shared" si="6"/>
        <v>0</v>
      </c>
      <c r="CH13" s="86" t="str">
        <f>IFERROR(IF(VLOOKUP(A13,tbMoveset!A2:B112,2,FALSE)="Sever",Backdoors!AY15/100,IF(VLOOKUP(A13,tbMoveset!A2:B112,2,FALSE)="Blunt",Backdoors!AZ15/100,Backdoors!BA15/100)),"")</f>
        <v/>
      </c>
      <c r="CI13" s="49">
        <f>IFERROR(IF(VLOOKUP(tbMoveset!A13,tbMoveset!A2:H112,8,FALSE)="Other",IF(VLOOKUP(tbMoveset!A13,tbMoveset!A2:I112,9,FALSE)="Fire",Backdoors!BB15,IF(VLOOKUP(tbMoveset!A13,tbMoveset!A2:I112,9,FALSE)="Water",Backdoors!BC15,IF(VLOOKUP(tbMoveset!A13,tbMoveset!A2:I112,9,FALSE)="Thunder",Backdoors!BD15,IF(VLOOKUP(tbMoveset!A13,tbMoveset!A2:I112,9,FALSE)="Ice",Backdoors!BE15,IF(VLOOKUP(tbMoveset!A13,tbMoveset!A2:I112,9,FALSE)="Dragon",Backdoors!BF15,Backdoors!BG15)))))/100,Backdoors!BG15/100),"")</f>
        <v>0</v>
      </c>
      <c r="CJ13" s="49">
        <f>IFERROR(IF(VLOOKUP(A13,tbMoveset!A2:J112,10,FALSE)=TRUE,IF((Backdoors!AI12+IF(CH13&gt;=0.45,VLOOKUP(Calculator!E23,tbSkills!DH3:DI6,2,FALSE)+IF(AND(Calculator!B8=TRUE,Backdoors!BI15=TRUE),VLOOKUP(Calculator!E23,tbSkills!DH3:DJ6,3,FALSE),0),0))&gt;=0,1+(Backdoors!AL2*(IF((Backdoors!AI12+IF(CH13&gt;=0.45,VLOOKUP(Calculator!E23,tbSkills!DH3:DI6,2,FALSE)+IF(AND(Calculator!B8=TRUE,Backdoors!BI15=TRUE),VLOOKUP(Calculator!E23,tbSkills!DH3:DJ6,3,FALSE),0),0))&gt;=100,100,(Backdoors!AI12+IF(CH13&gt;=0.45,VLOOKUP(Calculator!E23,tbSkills!DH3:DI6,2,FALSE)+IF(AND(Calculator!B8=TRUE,Backdoors!BI15=TRUE),VLOOKUP(Calculator!E23,tbSkills!DH3:DJ6,3,FALSE),0),0)))/100)),(1-(0.25*((-Backdoors!AI12-IF(CH13&gt;=0.45,VLOOKUP(Calculator!E23,tbSkills!DH3:DI6,2,FALSE)+IF(AND(Calculator!B8=TRUE,Backdoors!BI15=TRUE),VLOOKUP(Calculator!E23,tbSkills!DH3:DJ6,3,FALSE),0),0))/100)))),1),"")</f>
        <v>1</v>
      </c>
      <c r="CK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H13)*CJ13)*(VLOOKUP(A13,tbMoveset!A2:C112,3,FALSE)/100)*IF(VLOOKUP(A13,tbMoveset!A2:B112,2,FALSE)="Projectile",Backdoors!N10,Backdoors!N9),0),"")</f>
        <v/>
      </c>
      <c r="CL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H13&gt;=0.45,VLOOKUP(Calculator!E23,tbSkills!DH3:DI6,2,FALSE)+IF(AND(Calculator!B8=TRUE,Backdoors!BI15=TRUE),VLOOKUP(Calculator!E23,tbSkills!DH3:DJ6,3,FALSE),0),0))&gt;=100,100,(Backdoors!AI12+IF(CH13&gt;=0.45,VLOOKUP(Calculator!E23,tbSkills!DH3:DI6,2,FALSE)+IF(AND(Calculator!B8=TRUE,Backdoors!BI15=TRUE),VLOOKUP(Calculator!E23,tbSkills!DH3:DJ6,3,FALSE),0),0)))/100)),1))*IF(VLOOKUP(A13,tbMoveset!A2:K112,11,FALSE)=TRUE,Backdoors!AC5,1))*CI13,0),"")</f>
        <v>0</v>
      </c>
      <c r="CM13" s="49">
        <f>VLOOKUP(A13,tbMoveset!A2:G112,7,FALSE)*IFERROR(IF(Backdoors!AI12&gt;=0,1+(IF(Calculator!E40&gt;0,VLOOKUP(Calculator!E40,tbSkills!AI3:AJ5,2,FALSE),Backdoors!AL4)*(IF((Backdoors!AI12+IF(CH13&gt;=0.45,VLOOKUP(Calculator!E23,tbSkills!DH3:DI6,2,FALSE)+IF(AND(Calculator!B8=TRUE,Backdoors!BI15=TRUE),VLOOKUP(Calculator!E23,tbSkills!DH3:DJ6,3,FALSE),0),0))&gt;=100,100,(Backdoors!AI12+IF(CH13&gt;=0.45,VLOOKUP(Calculator!E23,tbSkills!DH3:DI6,2,FALSE)+IF(AND(Calculator!B8=TRUE,Backdoors!BI15=TRUE),VLOOKUP(Calculator!E23,tbSkills!DH3:DJ6,3,FALSE),0),0)))/100)),1),1)</f>
        <v>0.4</v>
      </c>
      <c r="CN13" s="87">
        <f t="shared" si="7"/>
        <v>0</v>
      </c>
      <c r="CO13" s="86" t="str">
        <f>IFERROR(IF(VLOOKUP(A13,tbMoveset!A2:B112,2,FALSE)="Sever",Backdoors!AY16/100,IF(VLOOKUP(A13,tbMoveset!A2:B112,2,FALSE)="Blunt",Backdoors!AZ16/100,Backdoors!BA16/100)),"")</f>
        <v/>
      </c>
      <c r="CP13" s="49">
        <f>IFERROR(IF(VLOOKUP(tbMoveset!A13,tbMoveset!A2:H112,8,FALSE)="Other",IF(VLOOKUP(tbMoveset!A13,tbMoveset!A2:I112,9,FALSE)="Fire",Backdoors!BB16,IF(VLOOKUP(tbMoveset!A13,tbMoveset!A2:I112,9,FALSE)="Water",Backdoors!BC16,IF(VLOOKUP(tbMoveset!A13,tbMoveset!A2:I112,9,FALSE)="Thunder",Backdoors!BD16,IF(VLOOKUP(tbMoveset!A13,tbMoveset!A2:I112,9,FALSE)="Ice",Backdoors!BE16,IF(VLOOKUP(tbMoveset!A13,tbMoveset!A2:I112,9,FALSE)="Dragon",Backdoors!BF16,Backdoors!BG16)))))/100,Backdoors!BG16/100),"")</f>
        <v>0</v>
      </c>
      <c r="CQ13" s="49">
        <f>IFERROR(IF(VLOOKUP(A13,tbMoveset!A2:J112,10,FALSE)=TRUE,IF((Backdoors!AI12+IF(CO13&gt;=0.45,VLOOKUP(Calculator!E23,tbSkills!DH3:DI6,2,FALSE)+IF(AND(Calculator!B8=TRUE,Backdoors!BI16=TRUE),VLOOKUP(Calculator!E23,tbSkills!DH3:DJ6,3,FALSE),0),0))&gt;=0,1+(Backdoors!AL2*(IF((Backdoors!AI12+IF(CO13&gt;=0.45,VLOOKUP(Calculator!E23,tbSkills!DH3:DI6,2,FALSE)+IF(AND(Calculator!B8=TRUE,Backdoors!BI16=TRUE),VLOOKUP(Calculator!E23,tbSkills!DH3:DJ6,3,FALSE),0),0))&gt;=100,100,(Backdoors!AI12+IF(CO13&gt;=0.45,VLOOKUP(Calculator!E23,tbSkills!DH3:DI6,2,FALSE)+IF(AND(Calculator!B8=TRUE,Backdoors!BI16=TRUE),VLOOKUP(Calculator!E23,tbSkills!DH3:DJ6,3,FALSE),0),0)))/100)),(1-(0.25*((-Backdoors!AI12-IF(CO13&gt;=0.45,VLOOKUP(Calculator!E23,tbSkills!DH3:DI6,2,FALSE)+IF(AND(Calculator!B8=TRUE,Backdoors!BI16=TRUE),VLOOKUP(Calculator!E23,tbSkills!DH3:DJ6,3,FALSE),0),0))/100)))),1),"")</f>
        <v>1</v>
      </c>
      <c r="CR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O13)*CQ13)*(VLOOKUP(A13,tbMoveset!A2:C112,3,FALSE)/100)*IF(VLOOKUP(A13,tbMoveset!A2:B112,2,FALSE)="Projectile",Backdoors!N10,Backdoors!N9),0),"")</f>
        <v/>
      </c>
      <c r="CS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O13&gt;=0.45,VLOOKUP(Calculator!E23,tbSkills!DH3:DI6,2,FALSE)+IF(AND(Calculator!B8=TRUE,Backdoors!BI16=TRUE),VLOOKUP(Calculator!E23,tbSkills!DH3:DJ6,3,FALSE),0),0))&gt;=100,100,(Backdoors!AI12+IF(CO13&gt;=0.45,VLOOKUP(Calculator!E23,tbSkills!DH3:DI6,2,FALSE)+IF(AND(Calculator!B8=TRUE,Backdoors!BI16=TRUE),VLOOKUP(Calculator!E23,tbSkills!DH3:DJ6,3,FALSE),0),0)))/100)),1))*IF(VLOOKUP(A13,tbMoveset!A2:K112,11,FALSE)=TRUE,Backdoors!AC5,1))*CP13,0),"")</f>
        <v>0</v>
      </c>
      <c r="CT13" s="49">
        <f>VLOOKUP(A13,tbMoveset!A2:G112,7,FALSE)*IFERROR(IF(Backdoors!AI12&gt;=0,1+(IF(Calculator!E40&gt;0,VLOOKUP(Calculator!E40,tbSkills!AI3:AJ5,2,FALSE),Backdoors!AL4)*(IF((Backdoors!AI12+IF(CO13&gt;=0.45,VLOOKUP(Calculator!E23,tbSkills!DH3:DI6,2,FALSE)+IF(AND(Calculator!B8=TRUE,Backdoors!BI16=TRUE),VLOOKUP(Calculator!E23,tbSkills!DH3:DJ6,3,FALSE),0),0))&gt;=100,100,(Backdoors!AI12+IF(CO13&gt;=0.45,VLOOKUP(Calculator!E23,tbSkills!DH3:DI6,2,FALSE)+IF(AND(Calculator!B8=TRUE,Backdoors!BI16=TRUE),VLOOKUP(Calculator!E23,tbSkills!DH3:DJ6,3,FALSE),0),0)))/100)),1),1)</f>
        <v>0.4</v>
      </c>
      <c r="CU13" s="87">
        <f t="shared" si="40"/>
        <v>0</v>
      </c>
      <c r="CV13" s="86" t="str">
        <f>IFERROR(IF(VLOOKUP(A13,tbMoveset!A2:B112,2,FALSE)="Sever",Backdoors!AY17/100,IF(VLOOKUP(A13,tbMoveset!A2:B112,2,FALSE)="Blunt",Backdoors!AZ17/100,Backdoors!BA17/100)),"")</f>
        <v/>
      </c>
      <c r="CW13" s="49">
        <f>IFERROR(IF(VLOOKUP(tbMoveset!A13,tbMoveset!A2:H112,8,FALSE)="Other",IF(VLOOKUP(tbMoveset!A13,tbMoveset!A2:I112,9,FALSE)="Fire",Backdoors!BB17,IF(VLOOKUP(tbMoveset!A13,tbMoveset!A2:I112,9,FALSE)="Water",Backdoors!BC17,IF(VLOOKUP(tbMoveset!A13,tbMoveset!A2:I112,9,FALSE)="Thunder",Backdoors!BD17,IF(VLOOKUP(tbMoveset!A13,tbMoveset!A2:I112,9,FALSE)="Ice",Backdoors!BE17,IF(VLOOKUP(tbMoveset!A13,tbMoveset!A2:I112,9,FALSE)="Dragon",Backdoors!BF17,Backdoors!BG17)))))/100,Backdoors!BG17/100),"")</f>
        <v>0</v>
      </c>
      <c r="CX13" s="49">
        <f>IFERROR(IF(VLOOKUP(A13,tbMoveset!A2:J112,10,FALSE)=TRUE,IF((Backdoors!AI12+IF(CV13&gt;=0.45,VLOOKUP(Calculator!E23,tbSkills!DH3:DI6,2,FALSE)+IF(AND(Calculator!B8=TRUE,Backdoors!BI17=TRUE),VLOOKUP(Calculator!E23,tbSkills!DH3:DJ6,3,FALSE),0),0))&gt;=0,1+(Backdoors!AL2*(IF((Backdoors!AI12+IF(CV13&gt;=0.45,VLOOKUP(Calculator!E23,tbSkills!DH3:DI6,2,FALSE)+IF(AND(Calculator!B8=TRUE,Backdoors!BI17=TRUE),VLOOKUP(Calculator!E23,tbSkills!DH3:DJ6,3,FALSE),0),0))&gt;=100,100,(Backdoors!AI12+IF(CV13&gt;=0.45,VLOOKUP(Calculator!E23,tbSkills!DH3:DI6,2,FALSE)+IF(AND(Calculator!B8=TRUE,Backdoors!BI17=TRUE),VLOOKUP(Calculator!E23,tbSkills!DH3:DJ6,3,FALSE),0),0)))/100)),(1-(0.25*((-Backdoors!AI12-IF(CV13&gt;=0.45,VLOOKUP(Calculator!E23,tbSkills!DH3:DI6,2,FALSE)+IF(AND(Calculator!B8=TRUE,Backdoors!BI17=TRUE),VLOOKUP(Calculator!E23,tbSkills!DH3:DJ6,3,FALSE),0),0))/100)))),1),"")</f>
        <v>1</v>
      </c>
      <c r="CY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V13)*CX13)*(VLOOKUP(A13,tbMoveset!A2:C112,3,FALSE)/100)*IF(VLOOKUP(A13,tbMoveset!A2:B112,2,FALSE)="Projectile",Backdoors!N10,Backdoors!N9),0),"")</f>
        <v/>
      </c>
      <c r="CZ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V13&gt;=0.45,VLOOKUP(Calculator!E23,tbSkills!DH3:DI6,2,FALSE)+IF(AND(Calculator!B8=TRUE,Backdoors!BI17=TRUE),VLOOKUP(Calculator!E23,tbSkills!DH3:DJ6,3,FALSE),0),0))&gt;=100,100,(Backdoors!AI12+IF(CV13&gt;=0.45,VLOOKUP(Calculator!E23,tbSkills!DH3:DI6,2,FALSE)+IF(AND(Calculator!B8=TRUE,Backdoors!BI17=TRUE),VLOOKUP(Calculator!E23,tbSkills!DH3:DJ6,3,FALSE),0),0)))/100)),1))*IF(VLOOKUP(A13,tbMoveset!A2:K112,11,FALSE)=TRUE,Backdoors!AC5,1))*CW13,0),"")</f>
        <v>0</v>
      </c>
      <c r="DA13" s="49">
        <f>VLOOKUP(A13,tbMoveset!A2:G112,7,FALSE)*IFERROR(IF(Backdoors!AI12&gt;=0,1+(IF(Calculator!E40&gt;0,VLOOKUP(Calculator!E40,tbSkills!AI3:AJ5,2,FALSE),Backdoors!AL4)*(IF((Backdoors!AI12+IF(CV13&gt;=0.45,VLOOKUP(Calculator!E23,tbSkills!DH3:DI6,2,FALSE)+IF(AND(Calculator!B8=TRUE,Backdoors!BI17=TRUE),VLOOKUP(Calculator!E23,tbSkills!DH3:DJ6,3,FALSE),0),0))&gt;=100,100,(Backdoors!AI12+IF(CV13&gt;=0.45,VLOOKUP(Calculator!E23,tbSkills!DH3:DI6,2,FALSE)+IF(AND(Calculator!B8=TRUE,Backdoors!BI17=TRUE),VLOOKUP(Calculator!E23,tbSkills!DH3:DJ6,3,FALSE),0),0)))/100)),1),1)</f>
        <v>0.4</v>
      </c>
      <c r="DB13" s="87">
        <f t="shared" si="8"/>
        <v>0</v>
      </c>
      <c r="DC13" s="86" t="str">
        <f>IFERROR(IF(VLOOKUP(A13,tbMoveset!A2:B112,2,FALSE)="Sever",Backdoors!AY18/100,IF(VLOOKUP(A13,tbMoveset!A2:B112,2,FALSE)="Blunt",Backdoors!AZ18/100,Backdoors!BA18/100)),"")</f>
        <v/>
      </c>
      <c r="DD13" s="49">
        <f>IFERROR(IF(VLOOKUP(tbMoveset!A13,tbMoveset!A2:H112,8,FALSE)="Other",IF(VLOOKUP(tbMoveset!A13,tbMoveset!A2:I112,9,FALSE)="Fire",Backdoors!BB18,IF(VLOOKUP(tbMoveset!A13,tbMoveset!A2:I112,9,FALSE)="Water",Backdoors!BC18,IF(VLOOKUP(tbMoveset!A13,tbMoveset!A2:I112,9,FALSE)="Thunder",Backdoors!BD18,IF(VLOOKUP(tbMoveset!A13,tbMoveset!A2:I112,9,FALSE)="Ice",Backdoors!BE18,IF(VLOOKUP(tbMoveset!A13,tbMoveset!A2:I112,9,FALSE)="Dragon",Backdoors!BF18,Backdoors!BG18)))))/100,Backdoors!BG18/100),"")</f>
        <v>0</v>
      </c>
      <c r="DE13" s="49">
        <f>IFERROR(IF(VLOOKUP(A13,tbMoveset!A2:J112,10,FALSE)=TRUE,IF((Backdoors!AI12+IF(DC13&gt;=0.45,VLOOKUP(Calculator!E23,tbSkills!DH3:DI6,2,FALSE)+IF(AND(Calculator!B8=TRUE,Backdoors!BI18=TRUE),VLOOKUP(Calculator!E23,tbSkills!DH3:DJ6,3,FALSE),0),0))&gt;=0,1+(Backdoors!AL2*(IF((Backdoors!AI12+IF(DC13&gt;=0.45,VLOOKUP(Calculator!E23,tbSkills!DH3:DI6,2,FALSE)+IF(AND(Calculator!B8=TRUE,Backdoors!BI18=TRUE),VLOOKUP(Calculator!E23,tbSkills!DH3:DJ6,3,FALSE),0),0))&gt;=100,100,(Backdoors!AI12+IF(DC13&gt;=0.45,VLOOKUP(Calculator!E23,tbSkills!DH3:DI6,2,FALSE)+IF(AND(Calculator!B8=TRUE,Backdoors!BI18=TRUE),VLOOKUP(Calculator!E23,tbSkills!DH3:DJ6,3,FALSE),0),0)))/100)),(1-(0.25*((-Backdoors!AI12-IF(DC13&gt;=0.45,VLOOKUP(Calculator!E23,tbSkills!DH3:DI6,2,FALSE)+IF(AND(Calculator!B8=TRUE,Backdoors!BI18=TRUE),VLOOKUP(Calculator!E23,tbSkills!DH3:DJ6,3,FALSE),0),0))/100)))),1),"")</f>
        <v>1</v>
      </c>
      <c r="DF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C13)*DE13)*(VLOOKUP(A13,tbMoveset!A2:C112,3,FALSE)/100)*IF(VLOOKUP(A13,tbMoveset!A2:B112,2,FALSE)="Projectile",Backdoors!N10,Backdoors!N9),0),"")</f>
        <v/>
      </c>
      <c r="DG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C13&gt;=0.45,VLOOKUP(Calculator!E23,tbSkills!DH3:DI6,2,FALSE)+IF(AND(Calculator!B8=TRUE,Backdoors!BI18=TRUE),VLOOKUP(Calculator!E23,tbSkills!DH3:DJ6,3,FALSE),0),0))&gt;=100,100,(Backdoors!AI12+IF(DC13&gt;=0.45,VLOOKUP(Calculator!E23,tbSkills!DH3:DI6,2,FALSE)+IF(AND(Calculator!B8=TRUE,Backdoors!BI18=TRUE),VLOOKUP(Calculator!E23,tbSkills!DH3:DJ6,3,FALSE),0),0)))/100)),1))*IF(VLOOKUP(A13,tbMoveset!A2:K112,11,FALSE)=TRUE,Backdoors!AC5,1))*DD13,0),"")</f>
        <v>0</v>
      </c>
      <c r="DH13" s="49">
        <f>VLOOKUP(A13,tbMoveset!A2:G112,7,FALSE)*IFERROR(IF(Backdoors!AI12&gt;=0,1+(IF(Calculator!E40&gt;0,VLOOKUP(Calculator!E40,tbSkills!AI3:AJ5,2,FALSE),Backdoors!AL4)*(IF((Backdoors!AI12+IF(DC13&gt;=0.45,VLOOKUP(Calculator!E23,tbSkills!DH3:DI6,2,FALSE)+IF(AND(Calculator!B8=TRUE,Backdoors!BI18=TRUE),VLOOKUP(Calculator!E23,tbSkills!DH3:DJ6,3,FALSE),0),0))&gt;=100,100,(Backdoors!AI12+IF(DC13&gt;=0.45,VLOOKUP(Calculator!E23,tbSkills!DH3:DI6,2,FALSE)+IF(AND(Calculator!B8=TRUE,Backdoors!BI18=TRUE),VLOOKUP(Calculator!E23,tbSkills!DH3:DJ6,3,FALSE),0),0)))/100)),1),1)</f>
        <v>0.4</v>
      </c>
      <c r="DI13" s="87">
        <f t="shared" si="9"/>
        <v>0</v>
      </c>
      <c r="DJ13" s="86" t="str">
        <f>IFERROR(IF(VLOOKUP(A13,tbMoveset!A2:B112,2,FALSE)="Sever",Backdoors!AY19/100,IF(VLOOKUP(A13,tbMoveset!A2:B112,2,FALSE)="Blunt",Backdoors!AZ19/100,Backdoors!BA19/100)),"")</f>
        <v/>
      </c>
      <c r="DK13" s="49">
        <f>IFERROR(IF(VLOOKUP(tbMoveset!A13,tbMoveset!A2:H112,8,FALSE)="Other",IF(VLOOKUP(tbMoveset!A13,tbMoveset!A2:I112,9,FALSE)="Fire",Backdoors!BB19,IF(VLOOKUP(tbMoveset!A13,tbMoveset!A2:I112,9,FALSE)="Water",Backdoors!BC19,IF(VLOOKUP(tbMoveset!A13,tbMoveset!A2:I112,9,FALSE)="Thunder",Backdoors!BD19,IF(VLOOKUP(tbMoveset!A13,tbMoveset!A2:I112,9,FALSE)="Ice",Backdoors!BE19,IF(VLOOKUP(tbMoveset!A13,tbMoveset!A2:I112,9,FALSE)="Dragon",Backdoors!BF19,Backdoors!BG19)))))/100,Backdoors!BG19/100),"")</f>
        <v>0</v>
      </c>
      <c r="DL13" s="49">
        <f>IFERROR(IF(VLOOKUP(A13,tbMoveset!A2:J112,10,FALSE)=TRUE,IF((Backdoors!AI12+IF(DJ13&gt;=0.45,VLOOKUP(Calculator!E23,tbSkills!DH3:DI6,2,FALSE)+IF(AND(Calculator!B8=TRUE,Backdoors!BI19=TRUE),VLOOKUP(Calculator!E23,tbSkills!DH3:DJ6,3,FALSE),0),0))&gt;=0,1+(Backdoors!AL2*(IF((Backdoors!AI12+IF(DJ13&gt;=0.45,VLOOKUP(Calculator!E23,tbSkills!DH3:DI6,2,FALSE)+IF(AND(Calculator!B8=TRUE,Backdoors!BI19=TRUE),VLOOKUP(Calculator!E23,tbSkills!DH3:DJ6,3,FALSE),0),0))&gt;=100,100,(Backdoors!AI12+IF(DJ13&gt;=0.45,VLOOKUP(Calculator!E23,tbSkills!DH3:DI6,2,FALSE)+IF(AND(Calculator!B8=TRUE,Backdoors!BI19=TRUE),VLOOKUP(Calculator!E23,tbSkills!DH3:DJ6,3,FALSE),0),0)))/100)),(1-(0.25*((-Backdoors!AI12-IF(DJ13&gt;=0.45,VLOOKUP(Calculator!E23,tbSkills!DH3:DI6,2,FALSE)+IF(AND(Calculator!B8=TRUE,Backdoors!BI19=TRUE),VLOOKUP(Calculator!E23,tbSkills!DH3:DJ6,3,FALSE),0),0))/100)))),1),"")</f>
        <v>1</v>
      </c>
      <c r="DM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J13)*DL13)*(VLOOKUP(A13,tbMoveset!A2:C112,3,FALSE)/100)*IF(VLOOKUP(A13,tbMoveset!A2:B112,2,FALSE)="Projectile",Backdoors!N10,Backdoors!N9),0),"")</f>
        <v/>
      </c>
      <c r="DN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J13&gt;=0.45,VLOOKUP(Calculator!E23,tbSkills!DH3:DI6,2,FALSE)+IF(AND(Calculator!B8=TRUE,Backdoors!BI19=TRUE),VLOOKUP(Calculator!E23,tbSkills!DH3:DJ6,3,FALSE),0),0))&gt;=100,100,(Backdoors!AI12+IF(DJ13&gt;=0.45,VLOOKUP(Calculator!E23,tbSkills!DH3:DI6,2,FALSE)+IF(AND(Calculator!B8=TRUE,Backdoors!BI19=TRUE),VLOOKUP(Calculator!E23,tbSkills!DH3:DJ6,3,FALSE),0),0)))/100)),1))*IF(VLOOKUP(A13,tbMoveset!A2:K112,11,FALSE)=TRUE,Backdoors!AC5,1))*DK13,0),"")</f>
        <v>0</v>
      </c>
      <c r="DO13" s="49">
        <f>VLOOKUP(A13,tbMoveset!A2:G112,7,FALSE)*IFERROR(IF(Backdoors!AI12&gt;=0,1+(IF(Calculator!E40&gt;0,VLOOKUP(Calculator!E40,tbSkills!AI3:AJ5,2,FALSE),Backdoors!AL4)*(IF((Backdoors!AI12+IF(DJ13&gt;=0.45,VLOOKUP(Calculator!E23,tbSkills!DH3:DI6,2,FALSE)+IF(AND(Calculator!B8=TRUE,Backdoors!BI19=TRUE),VLOOKUP(Calculator!E23,tbSkills!DH3:DJ6,3,FALSE),0),0))&gt;=100,100,(Backdoors!AI12+IF(DJ13&gt;=0.45,VLOOKUP(Calculator!E23,tbSkills!DH3:DI6,2,FALSE)+IF(AND(Calculator!B8=TRUE,Backdoors!BI19=TRUE),VLOOKUP(Calculator!E23,tbSkills!DH3:DJ6,3,FALSE),0),0)))/100)),1),1)</f>
        <v>0.4</v>
      </c>
      <c r="DP13" s="87">
        <f t="shared" si="41"/>
        <v>0</v>
      </c>
      <c r="DQ13" s="86" t="str">
        <f>IFERROR(IF(VLOOKUP(A13,tbMoveset!A2:B112,2,FALSE)="Sever",Backdoors!AY20/100,IF(VLOOKUP(A13,tbMoveset!A2:B112,2,FALSE)="Blunt",Backdoors!AZ20/100,Backdoors!BA20/100)),"")</f>
        <v/>
      </c>
      <c r="DR13" s="49">
        <f>IFERROR(IF(VLOOKUP(tbMoveset!A13,tbMoveset!A2:H112,8,FALSE)="Other",IF(VLOOKUP(tbMoveset!A13,tbMoveset!A2:I112,9,FALSE)="Fire",Backdoors!BB20,IF(VLOOKUP(tbMoveset!A13,tbMoveset!A2:I112,9,FALSE)="Water",Backdoors!BC20,IF(VLOOKUP(tbMoveset!A13,tbMoveset!A2:I112,9,FALSE)="Thunder",Backdoors!BD20,IF(VLOOKUP(tbMoveset!A13,tbMoveset!A2:I112,9,FALSE)="Ice",Backdoors!BE20,IF(VLOOKUP(tbMoveset!A13,tbMoveset!A2:I112,9,FALSE)="Dragon",Backdoors!BF20,Backdoors!BG20)))))/100,Backdoors!BG20/100),"")</f>
        <v>0</v>
      </c>
      <c r="DS13" s="49">
        <f>IFERROR(IF(VLOOKUP(A13,tbMoveset!A2:J112,10,FALSE)=TRUE,IF((Backdoors!AI12+IF(DQ13&gt;=0.45,VLOOKUP(Calculator!E23,tbSkills!DH3:DI6,2,FALSE)+IF(AND(Calculator!B8=TRUE,Backdoors!BI20=TRUE),VLOOKUP(Calculator!E23,tbSkills!DH3:DJ6,3,FALSE),0),0))&gt;=0,1+(Backdoors!AL2*(IF((Backdoors!AI12+IF(DQ13&gt;=0.45,VLOOKUP(Calculator!E23,tbSkills!DH3:DI6,2,FALSE)+IF(AND(Calculator!B8=TRUE,Backdoors!BI20=TRUE),VLOOKUP(Calculator!E23,tbSkills!DH3:DJ6,3,FALSE),0),0))&gt;=100,100,(Backdoors!AI12+IF(DQ13&gt;=0.45,VLOOKUP(Calculator!E23,tbSkills!DH3:DI6,2,FALSE)+IF(AND(Calculator!B8=TRUE,Backdoors!BI20=TRUE),VLOOKUP(Calculator!E23,tbSkills!DH3:DJ6,3,FALSE),0),0)))/100)),(1-(0.25*((-Backdoors!AI12-IF(DQ13&gt;=0.45,VLOOKUP(Calculator!E23,tbSkills!DH3:DI6,2,FALSE)+IF(AND(Calculator!B8=TRUE,Backdoors!BI20=TRUE),VLOOKUP(Calculator!E23,tbSkills!DH3:DJ6,3,FALSE),0),0))/100)))),1),"")</f>
        <v>1</v>
      </c>
      <c r="DT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Q13)*DS13)*(VLOOKUP(A13,tbMoveset!A2:C112,3,FALSE)/100)*IF(VLOOKUP(A13,tbMoveset!A2:B112,2,FALSE)="Projectile",Backdoors!N10,Backdoors!N9),0),"")</f>
        <v/>
      </c>
      <c r="DU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Q13&gt;=0.45,VLOOKUP(Calculator!E23,tbSkills!DH3:DI6,2,FALSE)+IF(AND(Calculator!B8=TRUE,Backdoors!BI20=TRUE),VLOOKUP(Calculator!E23,tbSkills!DH3:DJ6,3,FALSE),0),0))&gt;=100,100,(Backdoors!AI12+IF(DQ13&gt;=0.45,VLOOKUP(Calculator!E23,tbSkills!DH3:DI6,2,FALSE)+IF(AND(Calculator!B8=TRUE,Backdoors!BI20=TRUE),VLOOKUP(Calculator!E23,tbSkills!DH3:DJ6,3,FALSE),0),0)))/100)),1))*IF(VLOOKUP(A13,tbMoveset!A2:K112,11,FALSE)=TRUE,Backdoors!AC5,1))*DR13,0),"")</f>
        <v>0</v>
      </c>
      <c r="DV13" s="49">
        <f>VLOOKUP(A13,tbMoveset!A2:G112,7,FALSE)*IFERROR(IF(Backdoors!AI12&gt;=0,1+(IF(Calculator!E40&gt;0,VLOOKUP(Calculator!E40,tbSkills!AI3:AJ5,2,FALSE),Backdoors!AL4)*(IF((Backdoors!AI12+IF(DQ13&gt;=0.45,VLOOKUP(Calculator!E23,tbSkills!DH3:DI6,2,FALSE)+IF(AND(Calculator!B8=TRUE,Backdoors!BI20=TRUE),VLOOKUP(Calculator!E23,tbSkills!DH3:DJ6,3,FALSE),0),0))&gt;=100,100,(Backdoors!AI12+IF(DQ13&gt;=0.45,VLOOKUP(Calculator!E23,tbSkills!DH3:DI6,2,FALSE)+IF(AND(Calculator!B8=TRUE,Backdoors!BI20=TRUE),VLOOKUP(Calculator!E23,tbSkills!DH3:DJ6,3,FALSE),0),0)))/100)),1),1)</f>
        <v>0.4</v>
      </c>
      <c r="DW13" s="87">
        <f t="shared" si="10"/>
        <v>0</v>
      </c>
      <c r="DX13" s="86" t="str">
        <f>IFERROR(IF(VLOOKUP(A13,tbMoveset!A2:B112,2,FALSE)="Sever",Backdoors!AY21/100,IF(VLOOKUP(A13,tbMoveset!A2:B112,2,FALSE)="Blunt",Backdoors!AZ21/100,Backdoors!BA21/100)),"")</f>
        <v/>
      </c>
      <c r="DY13" s="49">
        <f>IFERROR(IF(VLOOKUP(tbMoveset!A13,tbMoveset!A2:H112,8,FALSE)="Other",IF(VLOOKUP(tbMoveset!A13,tbMoveset!A2:I112,9,FALSE)="Fire",Backdoors!BB21,IF(VLOOKUP(tbMoveset!A13,tbMoveset!A2:I112,9,FALSE)="Water",Backdoors!BC21,IF(VLOOKUP(tbMoveset!A13,tbMoveset!A2:I112,9,FALSE)="Thunder",Backdoors!BD21,IF(VLOOKUP(tbMoveset!A13,tbMoveset!A2:I112,9,FALSE)="Ice",Backdoors!BE21,IF(VLOOKUP(tbMoveset!A13,tbMoveset!A2:I112,9,FALSE)="Dragon",Backdoors!BF21,Backdoors!BG21)))))/100,Backdoors!BG21/100),"")</f>
        <v>0</v>
      </c>
      <c r="DZ13" s="49">
        <f>IFERROR(IF(VLOOKUP(A13,tbMoveset!A2:J112,10,FALSE)=TRUE,IF((Backdoors!AI12+IF(DX13&gt;=0.45,VLOOKUP(Calculator!E23,tbSkills!DH3:DI6,2,FALSE)+IF(AND(Calculator!B8=TRUE,Backdoors!BI21=TRUE),VLOOKUP(Calculator!E23,tbSkills!DH3:DJ6,3,FALSE),0),0))&gt;=0,1+(Backdoors!AL2*(IF((Backdoors!AI12+IF(DX13&gt;=0.45,VLOOKUP(Calculator!E23,tbSkills!DH3:DI6,2,FALSE)+IF(AND(Calculator!B8=TRUE,Backdoors!BI21=TRUE),VLOOKUP(Calculator!E23,tbSkills!DH3:DJ6,3,FALSE),0),0))&gt;=100,100,(Backdoors!AI12+IF(DX13&gt;=0.45,VLOOKUP(Calculator!E23,tbSkills!DH3:DI6,2,FALSE)+IF(AND(Calculator!B8=TRUE,Backdoors!BI21=TRUE),VLOOKUP(Calculator!E23,tbSkills!DH3:DJ6,3,FALSE),0),0)))/100)),(1-(0.25*((-Backdoors!AI12-IF(DX13&gt;=0.45,VLOOKUP(Calculator!E23,tbSkills!DH3:DI6,2,FALSE)+IF(AND(Calculator!B8=TRUE,Backdoors!BI21=TRUE),VLOOKUP(Calculator!E23,tbSkills!DH3:DJ6,3,FALSE),0),0))/100)))),1),"")</f>
        <v>1</v>
      </c>
      <c r="EA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X13)*DZ13)*(VLOOKUP(A13,tbMoveset!A2:C112,3,FALSE)/100)*IF(VLOOKUP(A13,tbMoveset!A2:B112,2,FALSE)="Projectile",Backdoors!N10,Backdoors!N9),0),"")</f>
        <v/>
      </c>
      <c r="EB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X13&gt;=0.45,VLOOKUP(Calculator!E23,tbSkills!DH3:DI6,2,FALSE)+IF(AND(Calculator!B8=TRUE,Backdoors!BI21=TRUE),VLOOKUP(Calculator!E23,tbSkills!DH3:DJ6,3,FALSE),0),0))&gt;=100,100,(Backdoors!AI12+IF(DX13&gt;=0.45,VLOOKUP(Calculator!E23,tbSkills!DH3:DI6,2,FALSE)+IF(AND(Calculator!B8=TRUE,Backdoors!BI21=TRUE),VLOOKUP(Calculator!E23,tbSkills!DH3:DJ6,3,FALSE),0),0)))/100)),1))*IF(VLOOKUP(A13,tbMoveset!A2:K112,11,FALSE)=TRUE,Backdoors!AC5,1))*DY13,0),"")</f>
        <v>0</v>
      </c>
      <c r="EC13" s="49">
        <f>VLOOKUP(A13,tbMoveset!A2:G112,7,FALSE)*IFERROR(IF(Backdoors!AI12&gt;=0,1+(IF(Calculator!E40&gt;0,VLOOKUP(Calculator!E40,tbSkills!AI3:AJ5,2,FALSE),Backdoors!AL4)*(IF((Backdoors!AI12+IF(DX13&gt;=0.45,VLOOKUP(Calculator!E23,tbSkills!DH3:DI6,2,FALSE)+IF(AND(Calculator!B8=TRUE,Backdoors!BI21=TRUE),VLOOKUP(Calculator!E23,tbSkills!DH3:DJ6,3,FALSE),0),0))&gt;=100,100,(Backdoors!AI12+IF(DX13&gt;=0.45,VLOOKUP(Calculator!E23,tbSkills!DH3:DI6,2,FALSE)+IF(AND(Calculator!B8=TRUE,Backdoors!BI21=TRUE),VLOOKUP(Calculator!E23,tbSkills!DH3:DJ6,3,FALSE),0),0)))/100)),1),1)</f>
        <v>0.4</v>
      </c>
      <c r="ED13" s="87">
        <f t="shared" si="11"/>
        <v>0</v>
      </c>
      <c r="EE13" s="86" t="str">
        <f>IFERROR(IF(VLOOKUP(A13,tbMoveset!A2:B112,2,FALSE)="Sever",Backdoors!AY22/100,IF(VLOOKUP(A13,tbMoveset!A2:B112,2,FALSE)="Blunt",Backdoors!AZ22/100,Backdoors!BA22/100)),"")</f>
        <v/>
      </c>
      <c r="EF13" s="49">
        <f>IFERROR(IF(VLOOKUP(tbMoveset!A13,tbMoveset!A2:H112,8,FALSE)="Other",IF(VLOOKUP(tbMoveset!A13,tbMoveset!A2:I112,9,FALSE)="Fire",Backdoors!BB22,IF(VLOOKUP(tbMoveset!A13,tbMoveset!A2:I112,9,FALSE)="Water",Backdoors!BC22,IF(VLOOKUP(tbMoveset!A13,tbMoveset!A2:I112,9,FALSE)="Thunder",Backdoors!BD22,IF(VLOOKUP(tbMoveset!A13,tbMoveset!A2:I112,9,FALSE)="Ice",Backdoors!BE22,IF(VLOOKUP(tbMoveset!A13,tbMoveset!A2:I112,9,FALSE)="Dragon",Backdoors!BF22,Backdoors!BG22)))))/100,Backdoors!BG22/100),"")</f>
        <v>0</v>
      </c>
      <c r="EG13" s="49">
        <f>IFERROR(IF(VLOOKUP(A13,tbMoveset!A2:J112,10,FALSE)=TRUE,IF((Backdoors!AI12+IF(EE13&gt;=0.45,VLOOKUP(Calculator!E23,tbSkills!DH3:DI6,2,FALSE)+IF(AND(Calculator!B8=TRUE,Backdoors!BI22=TRUE),VLOOKUP(Calculator!E23,tbSkills!DH3:DJ6,3,FALSE),0),0))&gt;=0,1+(Backdoors!AL2*(IF((Backdoors!AI12+IF(EE13&gt;=0.45,VLOOKUP(Calculator!E23,tbSkills!DH3:DI6,2,FALSE)+IF(AND(Calculator!B8=TRUE,Backdoors!BI22=TRUE),VLOOKUP(Calculator!E23,tbSkills!DH3:DJ6,3,FALSE),0),0))&gt;=100,100,(Backdoors!AI12+IF(EE13&gt;=0.45,VLOOKUP(Calculator!E23,tbSkills!DH3:DI6,2,FALSE)+IF(AND(Calculator!B8=TRUE,Backdoors!BI22=TRUE),VLOOKUP(Calculator!E23,tbSkills!DH3:DJ6,3,FALSE),0),0)))/100)),(1-(0.25*((-Backdoors!AI12-IF(EE13&gt;=0.45,VLOOKUP(Calculator!E23,tbSkills!DH3:DI6,2,FALSE)+IF(AND(Calculator!B8=TRUE,Backdoors!BI22=TRUE),VLOOKUP(Calculator!E23,tbSkills!DH3:DJ6,3,FALSE),0),0))/100)))),1),"")</f>
        <v>1</v>
      </c>
      <c r="EH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E13)*EG13)*(VLOOKUP(A13,tbMoveset!A2:C112,3,FALSE)/100)*IF(VLOOKUP(A13,tbMoveset!A2:B112,2,FALSE)="Projectile",Backdoors!N10,Backdoors!N9),0),"")</f>
        <v/>
      </c>
      <c r="EI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E13&gt;=0.45,VLOOKUP(Calculator!E23,tbSkills!DH3:DI6,2,FALSE)+IF(AND(Calculator!B8=TRUE,Backdoors!BI22=TRUE),VLOOKUP(Calculator!E23,tbSkills!DH3:DJ6,3,FALSE),0),0))&gt;=100,100,(Backdoors!AI12+IF(EE13&gt;=0.45,VLOOKUP(Calculator!E23,tbSkills!DH3:DI6,2,FALSE)+IF(AND(Calculator!B8=TRUE,Backdoors!BI22=TRUE),VLOOKUP(Calculator!E23,tbSkills!DH3:DJ6,3,FALSE),0),0)))/100)),1))*IF(VLOOKUP(A13,tbMoveset!A2:K112,11,FALSE)=TRUE,Backdoors!AC5,1))*EF13,0),"")</f>
        <v>0</v>
      </c>
      <c r="EJ13" s="49">
        <f>VLOOKUP(A13,tbMoveset!A2:G112,7,FALSE)*IFERROR(IF(Backdoors!AI12&gt;=0,1+(IF(Calculator!E40&gt;0,VLOOKUP(Calculator!E40,tbSkills!AI3:AJ5,2,FALSE),Backdoors!AL4)*(IF((Backdoors!AI12+IF(EE13&gt;=0.45,VLOOKUP(Calculator!E23,tbSkills!DH3:DI6,2,FALSE)+IF(AND(Calculator!B8=TRUE,Backdoors!BI22=TRUE),VLOOKUP(Calculator!E23,tbSkills!DH3:DJ6,3,FALSE),0),0))&gt;=100,100,(Backdoors!AI12+IF(EE13&gt;=0.45,VLOOKUP(Calculator!E23,tbSkills!DH3:DI6,2,FALSE)+IF(AND(Calculator!B8=TRUE,Backdoors!BI22=TRUE),VLOOKUP(Calculator!E23,tbSkills!DH3:DJ6,3,FALSE),0),0)))/100)),1),1)</f>
        <v>0.4</v>
      </c>
      <c r="EK13" s="87">
        <f t="shared" si="12"/>
        <v>0</v>
      </c>
      <c r="EL13" s="86" t="str">
        <f>IFERROR(IF(VLOOKUP(A13,tbMoveset!A2:B112,2,FALSE)="Sever",Backdoors!AY23/100,IF(VLOOKUP(A13,tbMoveset!A2:B112,2,FALSE)="Blunt",Backdoors!AZ23/100,Backdoors!BA23/100)),"")</f>
        <v/>
      </c>
      <c r="EM13" s="49">
        <f>IFERROR(IF(VLOOKUP(tbMoveset!A13,tbMoveset!A2:H112,8,FALSE)="Other",IF(VLOOKUP(tbMoveset!A13,tbMoveset!A2:I112,9,FALSE)="Fire",Backdoors!BB23,IF(VLOOKUP(tbMoveset!A13,tbMoveset!A2:I112,9,FALSE)="Water",Backdoors!BC23,IF(VLOOKUP(tbMoveset!A13,tbMoveset!A2:I112,9,FALSE)="Thunder",Backdoors!BD23,IF(VLOOKUP(tbMoveset!A13,tbMoveset!A2:I112,9,FALSE)="Ice",Backdoors!BE23,IF(VLOOKUP(tbMoveset!A13,tbMoveset!A2:I112,9,FALSE)="Dragon",Backdoors!BF23,Backdoors!BG23)))))/100,Backdoors!BG23/100),"")</f>
        <v>0</v>
      </c>
      <c r="EN13" s="49">
        <f>IFERROR(IF(VLOOKUP(A13,tbMoveset!A2:J112,10,FALSE)=TRUE,IF((Backdoors!AI12+IF(EL13&gt;=0.45,VLOOKUP(Calculator!E23,tbSkills!DH3:DI6,2,FALSE)+IF(AND(Calculator!B8=TRUE,Backdoors!BI23=TRUE),VLOOKUP(Calculator!E23,tbSkills!DH3:DJ6,3,FALSE),0),0))&gt;=0,1+(Backdoors!AL2*(IF((Backdoors!AI12+IF(EL13&gt;=0.45,VLOOKUP(Calculator!E23,tbSkills!DH3:DI6,2,FALSE)+IF(AND(Calculator!B8=TRUE,Backdoors!BI23=TRUE),VLOOKUP(Calculator!E23,tbSkills!DH3:DJ6,3,FALSE),0),0))&gt;=100,100,(Backdoors!AI12+IF(EL13&gt;=0.45,VLOOKUP(Calculator!E23,tbSkills!DH3:DI6,2,FALSE)+IF(AND(Calculator!B8=TRUE,Backdoors!BI23=TRUE),VLOOKUP(Calculator!E23,tbSkills!DH3:DJ6,3,FALSE),0),0)))/100)),(1-(0.25*((-Backdoors!AI12-IF(EL13&gt;=0.45,VLOOKUP(Calculator!E23,tbSkills!DH3:DI6,2,FALSE)+IF(AND(Calculator!B8=TRUE,Backdoors!BI23=TRUE),VLOOKUP(Calculator!E23,tbSkills!DH3:DJ6,3,FALSE),0),0))/100)))),1),"")</f>
        <v>1</v>
      </c>
      <c r="EO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L13)*EN13)*(VLOOKUP(A13,tbMoveset!A2:C112,3,FALSE)/100)*IF(VLOOKUP(A13,tbMoveset!A2:B112,2,FALSE)="Projectile",Backdoors!N10,Backdoors!N9),0),"")</f>
        <v/>
      </c>
      <c r="EP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L13&gt;=0.45,VLOOKUP(Calculator!E23,tbSkills!DH3:DI6,2,FALSE)+IF(AND(Calculator!B8=TRUE,Backdoors!BI23=TRUE),VLOOKUP(Calculator!E23,tbSkills!DH3:DJ6,3,FALSE),0),0))&gt;=100,100,(Backdoors!AI12+IF(EL13&gt;=0.45,VLOOKUP(Calculator!E23,tbSkills!DH3:DI6,2,FALSE)+IF(AND(Calculator!B8=TRUE,Backdoors!BI23=TRUE),VLOOKUP(Calculator!E23,tbSkills!DH3:DJ6,3,FALSE),0),0)))/100)),1))*IF(VLOOKUP(A13,tbMoveset!A2:K112,11,FALSE)=TRUE,Backdoors!AC5,1))*EM13,0),"")</f>
        <v>0</v>
      </c>
      <c r="EQ13" s="49">
        <f>VLOOKUP(A13,tbMoveset!A2:G112,7,FALSE)*IFERROR(IF(Backdoors!AI12&gt;=0,1+(IF(Calculator!E40&gt;0,VLOOKUP(Calculator!E40,tbSkills!AI3:AJ5,2,FALSE),Backdoors!AL4)*(IF((Backdoors!AI12+IF(EL13&gt;=0.45,VLOOKUP(Calculator!E23,tbSkills!DH3:DI6,2,FALSE)+IF(AND(Calculator!B8=TRUE,Backdoors!BI23=TRUE),VLOOKUP(Calculator!E23,tbSkills!DH3:DJ6,3,FALSE),0),0))&gt;=100,100,(Backdoors!AI12+IF(EL13&gt;=0.45,VLOOKUP(Calculator!E23,tbSkills!DH3:DI6,2,FALSE)+IF(AND(Calculator!B8=TRUE,Backdoors!BI23=TRUE),VLOOKUP(Calculator!E23,tbSkills!DH3:DJ6,3,FALSE),0),0)))/100)),1),1)</f>
        <v>0.4</v>
      </c>
      <c r="ER13" s="87">
        <f t="shared" si="13"/>
        <v>0</v>
      </c>
      <c r="ES13" s="86" t="str">
        <f>IFERROR(IF(VLOOKUP(A13,tbMoveset!A2:B112,2,FALSE)="Sever",Backdoors!AY24/100,IF(VLOOKUP(A13,tbMoveset!A2:B112,2,FALSE)="Blunt",Backdoors!AZ24/100,Backdoors!BA24/100)),"")</f>
        <v/>
      </c>
      <c r="ET13" s="49">
        <f>IFERROR(IF(VLOOKUP(tbMoveset!A13,tbMoveset!A2:H112,8,FALSE)="Other",IF(VLOOKUP(tbMoveset!A13,tbMoveset!A2:I112,9,FALSE)="Fire",Backdoors!BB24,IF(VLOOKUP(tbMoveset!A13,tbMoveset!A2:I112,9,FALSE)="Water",Backdoors!BC24,IF(VLOOKUP(tbMoveset!A13,tbMoveset!A2:I112,9,FALSE)="Thunder",Backdoors!BD24,IF(VLOOKUP(tbMoveset!A13,tbMoveset!A2:I112,9,FALSE)="Ice",Backdoors!BE24,IF(VLOOKUP(tbMoveset!A13,tbMoveset!A2:I112,9,FALSE)="Dragon",Backdoors!BF24,Backdoors!BG24)))))/100,Backdoors!BG24/100),"")</f>
        <v>0</v>
      </c>
      <c r="EU13" s="49">
        <f>IFERROR(IF(VLOOKUP(A13,tbMoveset!A2:J112,10,FALSE)=TRUE,IF((Backdoors!AI12+IF(ES13&gt;=0.45,VLOOKUP(Calculator!E23,tbSkills!DH3:DI6,2,FALSE)+IF(AND(Calculator!B8=TRUE,Backdoors!BI24=TRUE),VLOOKUP(Calculator!E23,tbSkills!DH3:DJ6,3,FALSE),0),0))&gt;=0,1+(Backdoors!AL2*(IF((Backdoors!AI12+IF(ES13&gt;=0.45,VLOOKUP(Calculator!E23,tbSkills!DH3:DI6,2,FALSE)+IF(AND(Calculator!B8=TRUE,Backdoors!BI24=TRUE),VLOOKUP(Calculator!E23,tbSkills!DH3:DJ6,3,FALSE),0),0))&gt;=100,100,(Backdoors!AI12+IF(ES13&gt;=0.45,VLOOKUP(Calculator!E23,tbSkills!DH3:DI6,2,FALSE)+IF(AND(Calculator!B8=TRUE,Backdoors!BI24=TRUE),VLOOKUP(Calculator!E23,tbSkills!DH3:DJ6,3,FALSE),0),0)))/100)),(1-(0.25*((-Backdoors!AI12-IF(ES13&gt;=0.45,VLOOKUP(Calculator!E23,tbSkills!DH3:DI6,2,FALSE)+IF(AND(Calculator!B8=TRUE,Backdoors!BI24=TRUE),VLOOKUP(Calculator!E23,tbSkills!DH3:DJ6,3,FALSE),0),0))/100)))),1),"")</f>
        <v>1</v>
      </c>
      <c r="EV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S13)*EU13)*(VLOOKUP(A13,tbMoveset!A2:C112,3,FALSE)/100)*IF(VLOOKUP(A13,tbMoveset!A2:B112,2,FALSE)="Projectile",Backdoors!N10,Backdoors!N9),0),"")</f>
        <v/>
      </c>
      <c r="EW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S13&gt;=0.45,VLOOKUP(Calculator!E23,tbSkills!DH3:DI6,2,FALSE)+IF(AND(Calculator!B8=TRUE,Backdoors!BI24=TRUE),VLOOKUP(Calculator!E23,tbSkills!DH3:DJ6,3,FALSE),0),0))&gt;=100,100,(Backdoors!AI12+IF(ES13&gt;=0.45,VLOOKUP(Calculator!E23,tbSkills!DH3:DI6,2,FALSE)+IF(AND(Calculator!B8=TRUE,Backdoors!BI24=TRUE),VLOOKUP(Calculator!E23,tbSkills!DH3:DJ6,3,FALSE),0),0)))/100)),1))*IF(VLOOKUP(A13,tbMoveset!A2:K112,11,FALSE)=TRUE,Backdoors!AC5,1))*ET13,0),"")</f>
        <v>0</v>
      </c>
      <c r="EX13" s="49">
        <f>VLOOKUP(A13,tbMoveset!A2:G112,7,FALSE)*IFERROR(IF(Backdoors!AI12&gt;=0,1+(IF(Calculator!E40&gt;0,VLOOKUP(Calculator!E40,tbSkills!AI3:AJ5,2,FALSE),Backdoors!AL4)*(IF((Backdoors!AI12+IF(ES13&gt;=0.45,VLOOKUP(Calculator!E23,tbSkills!DH3:DI6,2,FALSE)+IF(AND(Calculator!B8=TRUE,Backdoors!BI24=TRUE),VLOOKUP(Calculator!E23,tbSkills!DH3:DJ6,3,FALSE),0),0))&gt;=100,100,(Backdoors!AI12+IF(ES13&gt;=0.45,VLOOKUP(Calculator!E23,tbSkills!DH3:DI6,2,FALSE)+IF(AND(Calculator!B8=TRUE,Backdoors!BI24=TRUE),VLOOKUP(Calculator!E23,tbSkills!DH3:DJ6,3,FALSE),0),0)))/100)),1),1)</f>
        <v>0.4</v>
      </c>
      <c r="EY13" s="87">
        <f t="shared" si="14"/>
        <v>0</v>
      </c>
      <c r="EZ13" s="86" t="str">
        <f>IFERROR(IF(VLOOKUP(A13,tbMoveset!A2:B112,2,FALSE)="Sever",Backdoors!AY25/100,IF(VLOOKUP(A13,tbMoveset!A2:B112,2,FALSE)="Blunt",Backdoors!AZ25/100,Backdoors!BA25/100)),"")</f>
        <v/>
      </c>
      <c r="FA13" s="49">
        <f>IFERROR(IF(VLOOKUP(tbMoveset!A13,tbMoveset!A2:H112,8,FALSE)="Other",IF(VLOOKUP(tbMoveset!A13,tbMoveset!A2:I112,9,FALSE)="Fire",Backdoors!BB25,IF(VLOOKUP(tbMoveset!A13,tbMoveset!A2:I112,9,FALSE)="Water",Backdoors!BC25,IF(VLOOKUP(tbMoveset!A13,tbMoveset!A2:I112,9,FALSE)="Thunder",Backdoors!BD25,IF(VLOOKUP(tbMoveset!A13,tbMoveset!A2:I112,9,FALSE)="Ice",Backdoors!BE25,IF(VLOOKUP(tbMoveset!A13,tbMoveset!A2:I112,9,FALSE)="Dragon",Backdoors!BF25,Backdoors!BG25)))))/100,Backdoors!BG25/100),"")</f>
        <v>0</v>
      </c>
      <c r="FB13" s="49">
        <f>IFERROR(IF(VLOOKUP(A13,tbMoveset!A2:J112,10,FALSE)=TRUE,IF((Backdoors!AI12+IF(EZ13&gt;=0.45,VLOOKUP(Calculator!E23,tbSkills!DH3:DI6,2,FALSE)+IF(AND(Calculator!B8=TRUE,Backdoors!BI25=TRUE),VLOOKUP(Calculator!E23,tbSkills!DH3:DJ6,3,FALSE),0),0))&gt;=0,1+(Backdoors!AL2*(IF((Backdoors!AI12+IF(EZ13&gt;=0.45,VLOOKUP(Calculator!E23,tbSkills!DH3:DI6,2,FALSE)+IF(AND(Calculator!B8=TRUE,Backdoors!BI25=TRUE),VLOOKUP(Calculator!E23,tbSkills!DH3:DJ6,3,FALSE),0),0))&gt;=100,100,(Backdoors!AI12+IF(EZ13&gt;=0.45,VLOOKUP(Calculator!E23,tbSkills!DH3:DI6,2,FALSE)+IF(AND(Calculator!B8=TRUE,Backdoors!BI25=TRUE),VLOOKUP(Calculator!E23,tbSkills!DH3:DJ6,3,FALSE),0),0)))/100)),(1-(0.25*((-Backdoors!AI12-IF(EZ13&gt;=0.45,VLOOKUP(Calculator!E23,tbSkills!DH3:DI6,2,FALSE)+IF(AND(Calculator!B8=TRUE,Backdoors!BI25=TRUE),VLOOKUP(Calculator!E23,tbSkills!DH3:DJ6,3,FALSE),0),0))/100)))),1),"")</f>
        <v>1</v>
      </c>
      <c r="FC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Z13)*FB13)*(VLOOKUP(A13,tbMoveset!A2:C112,3,FALSE)/100)*IF(VLOOKUP(A13,tbMoveset!A2:B112,2,FALSE)="Projectile",Backdoors!N10,Backdoors!N9),0),"")</f>
        <v/>
      </c>
      <c r="FD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Z13&gt;=0.45,VLOOKUP(Calculator!E23,tbSkills!DH3:DI6,2,FALSE)+IF(AND(Calculator!B8=TRUE,Backdoors!BI25=TRUE),VLOOKUP(Calculator!E23,tbSkills!DH3:DJ6,3,FALSE),0),0))&gt;=100,100,(Backdoors!AI12+IF(EZ13&gt;=0.45,VLOOKUP(Calculator!E23,tbSkills!DH3:DI6,2,FALSE)+IF(AND(Calculator!B8=TRUE,Backdoors!BI25=TRUE),VLOOKUP(Calculator!E23,tbSkills!DH3:DJ6,3,FALSE),0),0)))/100)),1))*IF(VLOOKUP(A13,tbMoveset!A2:K112,11,FALSE)=TRUE,Backdoors!AC5,1))*FA13,0),"")</f>
        <v>0</v>
      </c>
      <c r="FE13" s="49">
        <f>VLOOKUP(A13,tbMoveset!A2:G112,7,FALSE)*IFERROR(IF(Backdoors!AI12&gt;=0,1+(IF(Calculator!E40&gt;0,VLOOKUP(Calculator!E40,tbSkills!AI3:AJ5,2,FALSE),Backdoors!AL4)*(IF((Backdoors!AI12+IF(EZ13&gt;=0.45,VLOOKUP(Calculator!E23,tbSkills!DH3:DI6,2,FALSE)+IF(AND(Calculator!B8=TRUE,Backdoors!BI25=TRUE),VLOOKUP(Calculator!E23,tbSkills!DH3:DJ6,3,FALSE),0),0))&gt;=100,100,(Backdoors!AI12+IF(EZ13&gt;=0.45,VLOOKUP(Calculator!E23,tbSkills!DH3:DI6,2,FALSE)+IF(AND(Calculator!B8=TRUE,Backdoors!BI25=TRUE),VLOOKUP(Calculator!E23,tbSkills!DH3:DJ6,3,FALSE),0),0)))/100)),1),1)</f>
        <v>0.4</v>
      </c>
      <c r="FF13" s="87">
        <f t="shared" si="15"/>
        <v>0</v>
      </c>
      <c r="FG13" s="86" t="str">
        <f>IFERROR(IF(VLOOKUP(A13,tbMoveset!A2:B112,2,FALSE)="Sever",Backdoors!AY26/100,IF(VLOOKUP(A13,tbMoveset!A2:B112,2,FALSE)="Blunt",Backdoors!AZ26/100,Backdoors!BA26/100)),"")</f>
        <v/>
      </c>
      <c r="FH13" s="49">
        <f>IFERROR(IF(VLOOKUP(tbMoveset!A13,tbMoveset!A2:H112,8,FALSE)="Other",IF(VLOOKUP(tbMoveset!A13,tbMoveset!A2:I112,9,FALSE)="Fire",Backdoors!BB26,IF(VLOOKUP(tbMoveset!A13,tbMoveset!A2:I112,9,FALSE)="Water",Backdoors!BC26,IF(VLOOKUP(tbMoveset!A13,tbMoveset!A2:I112,9,FALSE)="Thunder",Backdoors!BD26,IF(VLOOKUP(tbMoveset!A13,tbMoveset!A2:I112,9,FALSE)="Ice",Backdoors!BE26,IF(VLOOKUP(tbMoveset!A13,tbMoveset!A2:I112,9,FALSE)="Dragon",Backdoors!BF26,Backdoors!BG26)))))/100,Backdoors!BG26/100),"")</f>
        <v>0</v>
      </c>
      <c r="FI13" s="49">
        <f>IFERROR(IF(VLOOKUP(A13,tbMoveset!A2:J112,10,FALSE)=TRUE,IF((Backdoors!AI12+IF(FG13&gt;=0.45,VLOOKUP(Calculator!E23,tbSkills!DH3:DI6,2,FALSE)+IF(AND(Calculator!B8=TRUE,Backdoors!BI26=TRUE),VLOOKUP(Calculator!E23,tbSkills!DH3:DJ6,3,FALSE),0),0))&gt;=0,1+(Backdoors!AL2*(IF((Backdoors!AI12+IF(FG13&gt;=0.45,VLOOKUP(Calculator!E23,tbSkills!DH3:DI6,2,FALSE)+IF(AND(Calculator!B8=TRUE,Backdoors!BI26=TRUE),VLOOKUP(Calculator!E23,tbSkills!DH3:DJ6,3,FALSE),0),0))&gt;=100,100,(Backdoors!AI12+IF(FG13&gt;=0.45,VLOOKUP(Calculator!E23,tbSkills!DH3:DI6,2,FALSE)+IF(AND(Calculator!B8=TRUE,Backdoors!BI26=TRUE),VLOOKUP(Calculator!E23,tbSkills!DH3:DJ6,3,FALSE),0),0)))/100)),(1-(0.25*((-Backdoors!AI12-IF(FG13&gt;=0.45,VLOOKUP(Calculator!E23,tbSkills!DH3:DI6,2,FALSE)+IF(AND(Calculator!B8=TRUE,Backdoors!BI26=TRUE),VLOOKUP(Calculator!E23,tbSkills!DH3:DJ6,3,FALSE),0),0))/100)))),1),"")</f>
        <v>1</v>
      </c>
      <c r="FJ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FG13)*FI13)*(VLOOKUP(A13,tbMoveset!A2:C112,3,FALSE)/100)*IF(VLOOKUP(A13,tbMoveset!A2:B112,2,FALSE)="Projectile",Backdoors!N10,Backdoors!N9),0),"")</f>
        <v/>
      </c>
      <c r="FK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FG13&gt;=0.45,VLOOKUP(Calculator!E23,tbSkills!DH3:DI6,2,FALSE)+IF(AND(Calculator!B8=TRUE,Backdoors!BI26=TRUE),VLOOKUP(Calculator!E23,tbSkills!DH3:DJ6,3,FALSE),0),0))&gt;=100,100,(Backdoors!AI12+IF(FG13&gt;=0.45,VLOOKUP(Calculator!E23,tbSkills!DH3:DI6,2,FALSE)+IF(AND(Calculator!B8=TRUE,Backdoors!BI26=TRUE),VLOOKUP(Calculator!E23,tbSkills!DH3:DJ6,3,FALSE),0),0)))/100)),1))*IF(VLOOKUP(A13,tbMoveset!A2:K112,11,FALSE)=TRUE,Backdoors!AC5,1))*FH13,0),"")</f>
        <v>0</v>
      </c>
      <c r="FL13" s="49">
        <f>VLOOKUP(A13,tbMoveset!A2:G112,7,FALSE)*IFERROR(IF(Backdoors!AI12&gt;=0,1+(IF(Calculator!E40&gt;0,VLOOKUP(Calculator!E40,tbSkills!AI3:AJ5,2,FALSE),Backdoors!AL4)*(IF((Backdoors!AI12+IF(FG13&gt;=0.45,VLOOKUP(Calculator!E23,tbSkills!DH3:DI6,2,FALSE)+IF(AND(Calculator!B8=TRUE,Backdoors!BI26=TRUE),VLOOKUP(Calculator!E23,tbSkills!DH3:DJ6,3,FALSE),0),0))&gt;=100,100,(Backdoors!AI12+IF(FG13&gt;=0.45,VLOOKUP(Calculator!E23,tbSkills!DH3:DI6,2,FALSE)+IF(AND(Calculator!B8=TRUE,Backdoors!BI26=TRUE),VLOOKUP(Calculator!E23,tbSkills!DH3:DJ6,3,FALSE),0),0)))/100)),1),1)</f>
        <v>0.4</v>
      </c>
      <c r="FM13" s="87">
        <f t="shared" si="16"/>
        <v>0</v>
      </c>
      <c r="FN13" s="86" t="str">
        <f>IFERROR(IF(VLOOKUP(A13,tbMoveset!A2:B112,2,FALSE)="Sever",Backdoors!AY27/100,IF(VLOOKUP(A13,tbMoveset!A2:B112,2,FALSE)="Blunt",Backdoors!AZ27/100,Backdoors!BA27/100)),"")</f>
        <v/>
      </c>
      <c r="FO13" s="49">
        <f>IFERROR(IF(VLOOKUP(tbMoveset!A13,tbMoveset!A2:H112,8,FALSE)="Other",IF(VLOOKUP(tbMoveset!A13,tbMoveset!A2:I112,9,FALSE)="Fire",Backdoors!BB27,IF(VLOOKUP(tbMoveset!A13,tbMoveset!A2:I112,9,FALSE)="Water",Backdoors!BC27,IF(VLOOKUP(tbMoveset!A13,tbMoveset!A2:I112,9,FALSE)="Thunder",Backdoors!BD27,IF(VLOOKUP(tbMoveset!A13,tbMoveset!A2:I112,9,FALSE)="Ice",Backdoors!BE27,IF(VLOOKUP(tbMoveset!A13,tbMoveset!A2:I112,9,FALSE)="Dragon",Backdoors!BF27,Backdoors!BG27)))))/100,Backdoors!BG27/100),"")</f>
        <v>0</v>
      </c>
      <c r="FP13" s="49">
        <f>IFERROR(IF(VLOOKUP(A13,tbMoveset!A2:J112,10,FALSE)=TRUE,IF((Backdoors!AI12+IF(FN13&gt;=0.45,VLOOKUP(Calculator!E23,tbSkills!DH3:DI6,2,FALSE)+IF(AND(Calculator!B8=TRUE,Backdoors!BI27=TRUE),VLOOKUP(Calculator!E23,tbSkills!DH3:DJ6,3,FALSE),0),0))&gt;=0,1+(Backdoors!AL2*(IF((Backdoors!AI12+IF(FN13&gt;=0.45,VLOOKUP(Calculator!E23,tbSkills!DH3:DI6,2,FALSE)+IF(AND(Calculator!B8=TRUE,Backdoors!BI27=TRUE),VLOOKUP(Calculator!E23,tbSkills!DH3:DJ6,3,FALSE),0),0))&gt;=100,100,(Backdoors!AI12+IF(FN13&gt;=0.45,VLOOKUP(Calculator!E23,tbSkills!DH3:DI6,2,FALSE)+IF(AND(Calculator!B8=TRUE,Backdoors!BI27=TRUE),VLOOKUP(Calculator!E23,tbSkills!DH3:DJ6,3,FALSE),0),0)))/100)),(1-(0.25*((-Backdoors!AI12-IF(FN13&gt;=0.45,VLOOKUP(Calculator!E23,tbSkills!DH3:DI6,2,FALSE)+IF(AND(Calculator!B8=TRUE,Backdoors!BI27=TRUE),VLOOKUP(Calculator!E23,tbSkills!DH3:DJ6,3,FALSE),0),0))/100)))),1),"")</f>
        <v>1</v>
      </c>
      <c r="FQ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FN13)*FP13)*(VLOOKUP(A13,tbMoveset!A2:C112,3,FALSE)/100)*IF(VLOOKUP(A13,tbMoveset!A2:B112,2,FALSE)="Projectile",Backdoors!N10,Backdoors!N9),0),"")</f>
        <v/>
      </c>
      <c r="FR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FN13&gt;=0.45,VLOOKUP(Calculator!E23,tbSkills!DH3:DI6,2,FALSE)+IF(AND(Calculator!B8=TRUE,Backdoors!BI27=TRUE),VLOOKUP(Calculator!E23,tbSkills!DH3:DJ6,3,FALSE),0),0))&gt;=100,100,(Backdoors!AI12+IF(FN13&gt;=0.45,VLOOKUP(Calculator!E23,tbSkills!DH3:DI6,2,FALSE)+IF(AND(Calculator!B8=TRUE,Backdoors!BI27=TRUE),VLOOKUP(Calculator!E23,tbSkills!DH3:DJ6,3,FALSE),0),0)))/100)),1))*IF(VLOOKUP(A13,tbMoveset!A2:K112,11,FALSE)=TRUE,Backdoors!AC5,1))*FO13,0),"")</f>
        <v>0</v>
      </c>
      <c r="FS13" s="49">
        <f>VLOOKUP(A13,tbMoveset!A2:G112,7,FALSE)*IFERROR(IF(Backdoors!AI12&gt;=0,1+(IF(Calculator!E40&gt;0,VLOOKUP(Calculator!E40,tbSkills!AI3:AJ5,2,FALSE),Backdoors!AL4)*(IF((Backdoors!AI12+IF(FN13&gt;=0.45,VLOOKUP(Calculator!E23,tbSkills!DH3:DI6,2,FALSE)+IF(AND(Calculator!B8=TRUE,Backdoors!BI27=TRUE),VLOOKUP(Calculator!E23,tbSkills!DH3:DJ6,3,FALSE),0),0))&gt;=100,100,(Backdoors!AI12+IF(FN13&gt;=0.45,VLOOKUP(Calculator!E23,tbSkills!DH3:DI6,2,FALSE)+IF(AND(Calculator!B8=TRUE,Backdoors!BI27=TRUE),VLOOKUP(Calculator!E23,tbSkills!DH3:DJ6,3,FALSE),0),0)))/100)),1),1)</f>
        <v>0.4</v>
      </c>
      <c r="FT13" s="87">
        <f t="shared" si="17"/>
        <v>0</v>
      </c>
      <c r="FU13" s="86" t="str">
        <f>IFERROR(IF(VLOOKUP(A13,tbMoveset!A2:B112,2,FALSE)="Sever",Backdoors!AY28/100,IF(VLOOKUP(A13,tbMoveset!A2:B112,2,FALSE)="Blunt",Backdoors!AZ28/100,Backdoors!BA28/100)),"")</f>
        <v/>
      </c>
      <c r="FV13" s="49">
        <f>IFERROR(IF(VLOOKUP(tbMoveset!A13,tbMoveset!A2:H112,8,FALSE)="Other",IF(VLOOKUP(tbMoveset!A13,tbMoveset!A2:I112,9,FALSE)="Fire",Backdoors!BB28,IF(VLOOKUP(tbMoveset!A13,tbMoveset!A2:I112,9,FALSE)="Water",Backdoors!BC28,IF(VLOOKUP(tbMoveset!A13,tbMoveset!A2:I112,9,FALSE)="Thunder",Backdoors!BD28,IF(VLOOKUP(tbMoveset!A13,tbMoveset!A2:I112,9,FALSE)="Ice",Backdoors!BE28,IF(VLOOKUP(tbMoveset!A13,tbMoveset!A2:I112,9,FALSE)="Dragon",Backdoors!BF28,Backdoors!BG28)))))/100,Backdoors!BG28/100),"")</f>
        <v>0</v>
      </c>
      <c r="FW13" s="49">
        <f>IFERROR(IF(VLOOKUP(A13,tbMoveset!A2:J112,10,FALSE)=TRUE,IF((Backdoors!AI12+IF(FU13&gt;=0.45,VLOOKUP(Calculator!E23,tbSkills!DH3:DI6,2,FALSE)+IF(AND(Calculator!B8=TRUE,Backdoors!BI28=TRUE),VLOOKUP(Calculator!E23,tbSkills!DH3:DJ6,3,FALSE),0),0))&gt;=0,1+(Backdoors!AL2*(IF((Backdoors!AI12+IF(FU13&gt;=0.45,VLOOKUP(Calculator!E23,tbSkills!DH3:DI6,2,FALSE)+IF(AND(Calculator!B8=TRUE,Backdoors!BI28=TRUE),VLOOKUP(Calculator!E23,tbSkills!DH3:DJ6,3,FALSE),0),0))&gt;=100,100,(Backdoors!AI12+IF(FU13&gt;=0.45,VLOOKUP(Calculator!E23,tbSkills!DH3:DI6,2,FALSE)+IF(AND(Calculator!B8=TRUE,Backdoors!BI28=TRUE),VLOOKUP(Calculator!E23,tbSkills!DH3:DJ6,3,FALSE),0),0)))/100)),(1-(0.25*((-Backdoors!AI12-IF(FU13&gt;=0.45,VLOOKUP(Calculator!E23,tbSkills!DH3:DI6,2,FALSE)+IF(AND(Calculator!B8=TRUE,Backdoors!BI28=TRUE),VLOOKUP(Calculator!E23,tbSkills!DH3:DJ6,3,FALSE),0),0))/100)))),1),"")</f>
        <v>1</v>
      </c>
      <c r="FX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FU13)*FW13)*(VLOOKUP(A13,tbMoveset!A2:C112,3,FALSE)/100)*IF(VLOOKUP(A13,tbMoveset!A2:B112,2,FALSE)="Projectile",Backdoors!N10,Backdoors!N9),0),"")</f>
        <v/>
      </c>
      <c r="FY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FU13&gt;=0.45,VLOOKUP(Calculator!E23,tbSkills!DH3:DI6,2,FALSE)+IF(AND(Calculator!B8=TRUE,Backdoors!BI28=TRUE),VLOOKUP(Calculator!E23,tbSkills!DH3:DJ6,3,FALSE),0),0))&gt;=100,100,(Backdoors!AI12+IF(FU13&gt;=0.45,VLOOKUP(Calculator!E23,tbSkills!DH3:DI6,2,FALSE)+IF(AND(Calculator!B8=TRUE,Backdoors!BI28=TRUE),VLOOKUP(Calculator!E23,tbSkills!DH3:DJ6,3,FALSE),0),0)))/100)),1))*IF(VLOOKUP(A13,tbMoveset!A2:K112,11,FALSE)=TRUE,Backdoors!AC5,1))*FV13,0),"")</f>
        <v>0</v>
      </c>
      <c r="FZ13" s="49">
        <f>VLOOKUP(A13,tbMoveset!A2:G112,7,FALSE)*IFERROR(IF(Backdoors!AI12&gt;=0,1+(IF(Calculator!E40&gt;0,VLOOKUP(Calculator!E40,tbSkills!AI3:AJ5,2,FALSE),Backdoors!AL4)*(IF((Backdoors!AI12+IF(FU13&gt;=0.45,VLOOKUP(Calculator!E23,tbSkills!DH3:DI6,2,FALSE)+IF(AND(Calculator!B8=TRUE,Backdoors!BI28=TRUE),VLOOKUP(Calculator!E23,tbSkills!DH3:DJ6,3,FALSE),0),0))&gt;=100,100,(Backdoors!AI12+IF(FU13&gt;=0.45,VLOOKUP(Calculator!E23,tbSkills!DH3:DI6,2,FALSE)+IF(AND(Calculator!B8=TRUE,Backdoors!BI28=TRUE),VLOOKUP(Calculator!E23,tbSkills!DH3:DJ6,3,FALSE),0),0)))/100)),1),1)</f>
        <v>0.4</v>
      </c>
      <c r="GA13" s="87">
        <f t="shared" si="18"/>
        <v>0</v>
      </c>
      <c r="GB13" s="86" t="str">
        <f>IFERROR(IF(VLOOKUP(A13,tbMoveset!A2:B112,2,FALSE)="Sever",Backdoors!AY29/100,IF(VLOOKUP(A13,tbMoveset!A2:B112,2,FALSE)="Blunt",Backdoors!AZ29/100,Backdoors!BA29/100)),"")</f>
        <v/>
      </c>
      <c r="GC13" s="49">
        <f>IFERROR(IF(VLOOKUP(tbMoveset!A13,tbMoveset!A2:H112,8,FALSE)="Other",IF(VLOOKUP(tbMoveset!A13,tbMoveset!A2:I112,9,FALSE)="Fire",Backdoors!BB29,IF(VLOOKUP(tbMoveset!A13,tbMoveset!A2:I112,9,FALSE)="Water",Backdoors!BC29,IF(VLOOKUP(tbMoveset!A13,tbMoveset!A2:I112,9,FALSE)="Thunder",Backdoors!BD29,IF(VLOOKUP(tbMoveset!A13,tbMoveset!A2:I112,9,FALSE)="Ice",Backdoors!BE29,IF(VLOOKUP(tbMoveset!A13,tbMoveset!A2:I112,9,FALSE)="Dragon",Backdoors!BF29,Backdoors!BG29)))))/100,Backdoors!BG29/100),"")</f>
        <v>0</v>
      </c>
      <c r="GD13" s="49">
        <f>IFERROR(IF(VLOOKUP(A13,tbMoveset!A2:J112,10,FALSE)=TRUE,IF((Backdoors!AI12+IF(GB13&gt;=0.45,VLOOKUP(Calculator!E23,tbSkills!DH3:DI6,2,FALSE)+IF(AND(Calculator!B8=TRUE,Backdoors!BI29=TRUE),VLOOKUP(Calculator!E23,tbSkills!DH3:DJ6,3,FALSE),0),0))&gt;=0,1+(Backdoors!AL2*(IF((Backdoors!AI12+IF(GB13&gt;=0.45,VLOOKUP(Calculator!E23,tbSkills!DH3:DI6,2,FALSE)+IF(AND(Calculator!B8=TRUE,Backdoors!BI29=TRUE),VLOOKUP(Calculator!E23,tbSkills!DH3:DJ6,3,FALSE),0),0))&gt;=100,100,(Backdoors!AI12+IF(GB13&gt;=0.45,VLOOKUP(Calculator!E23,tbSkills!DH3:DI6,2,FALSE)+IF(AND(Calculator!B8=TRUE,Backdoors!BI29=TRUE),VLOOKUP(Calculator!E23,tbSkills!DH3:DJ6,3,FALSE),0),0)))/100)),(1-(0.25*((-Backdoors!AI12-IF(GB13&gt;=0.45,VLOOKUP(Calculator!E23,tbSkills!DH3:DI6,2,FALSE)+IF(AND(Calculator!B8=TRUE,Backdoors!BI29=TRUE),VLOOKUP(Calculator!E23,tbSkills!DH3:DJ6,3,FALSE),0),0))/100)))),1),"")</f>
        <v>1</v>
      </c>
      <c r="GE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B13)*GD13)*(VLOOKUP(A13,tbMoveset!A2:C112,3,FALSE)/100)*IF(VLOOKUP(A13,tbMoveset!A2:B112,2,FALSE)="Projectile",Backdoors!N10,Backdoors!N9),0),"")</f>
        <v/>
      </c>
      <c r="GF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B13&gt;=0.45,VLOOKUP(Calculator!E23,tbSkills!DH3:DI6,2,FALSE)+IF(AND(Calculator!B8=TRUE,Backdoors!BI29=TRUE),VLOOKUP(Calculator!E23,tbSkills!DH3:DJ6,3,FALSE),0),0))&gt;=100,100,(Backdoors!AI12+IF(GB13&gt;=0.45,VLOOKUP(Calculator!E23,tbSkills!DH3:DI6,2,FALSE)+IF(AND(Calculator!B8=TRUE,Backdoors!BI29=TRUE),VLOOKUP(Calculator!E23,tbSkills!DH3:DJ6,3,FALSE),0),0)))/100)),1))*IF(VLOOKUP(A13,tbMoveset!A2:K112,11,FALSE)=TRUE,Backdoors!AC5,1))*GC13,0),"")</f>
        <v>0</v>
      </c>
      <c r="GG13" s="49">
        <f>VLOOKUP(A13,tbMoveset!A2:G112,7,FALSE)*IFERROR(IF(Backdoors!AI12&gt;=0,1+(IF(Calculator!E40&gt;0,VLOOKUP(Calculator!E40,tbSkills!AI3:AJ5,2,FALSE),Backdoors!AL4)*(IF((Backdoors!AI12+IF(GB13&gt;=0.45,VLOOKUP(Calculator!E23,tbSkills!DH3:DI6,2,FALSE)+IF(AND(Calculator!B8=TRUE,Backdoors!BI29=TRUE),VLOOKUP(Calculator!E23,tbSkills!DH3:DJ6,3,FALSE),0),0))&gt;=100,100,(Backdoors!AI12+IF(GB13&gt;=0.45,VLOOKUP(Calculator!E23,tbSkills!DH3:DI6,2,FALSE)+IF(AND(Calculator!B8=TRUE,Backdoors!BI29=TRUE),VLOOKUP(Calculator!E23,tbSkills!DH3:DJ6,3,FALSE),0),0)))/100)),1),1)</f>
        <v>0.4</v>
      </c>
      <c r="GH13" s="87">
        <f t="shared" si="19"/>
        <v>0</v>
      </c>
      <c r="GI13" s="86" t="str">
        <f>IFERROR(IF(VLOOKUP(A13,tbMoveset!A2:B112,2,FALSE)="Sever",Backdoors!AY30/100,IF(VLOOKUP(A13,tbMoveset!A2:B112,2,FALSE)="Blunt",Backdoors!AZ30/100,Backdoors!BA30/100)),"")</f>
        <v/>
      </c>
      <c r="GJ13" s="49">
        <f>IFERROR(IF(VLOOKUP(tbMoveset!A13,tbMoveset!A2:H112,8,FALSE)="Other",IF(VLOOKUP(tbMoveset!A13,tbMoveset!A2:I112,9,FALSE)="Fire",Backdoors!BB30,IF(VLOOKUP(tbMoveset!A13,tbMoveset!A2:I112,9,FALSE)="Water",Backdoors!BC30,IF(VLOOKUP(tbMoveset!A13,tbMoveset!A2:I112,9,FALSE)="Thunder",Backdoors!BD30,IF(VLOOKUP(tbMoveset!A13,tbMoveset!A2:I112,9,FALSE)="Ice",Backdoors!BE30,IF(VLOOKUP(tbMoveset!A13,tbMoveset!A2:I112,9,FALSE)="Dragon",Backdoors!BF30,Backdoors!BG30)))))/100,Backdoors!BG30/100),"")</f>
        <v>0</v>
      </c>
      <c r="GK13" s="49">
        <f>IFERROR(IF(VLOOKUP(A13,tbMoveset!A2:J112,10,FALSE)=TRUE,IF((Backdoors!AI12+IF(GI13&gt;=0.45,VLOOKUP(Calculator!E23,tbSkills!DH3:DI6,2,FALSE)+IF(AND(Calculator!B8=TRUE,Backdoors!BI30=TRUE),VLOOKUP(Calculator!E23,tbSkills!DH3:DJ6,3,FALSE),0),0))&gt;=0,1+(Backdoors!AL2*(IF((Backdoors!AI12+IF(GI13&gt;=0.45,VLOOKUP(Calculator!E23,tbSkills!DH3:DI6,2,FALSE)+IF(AND(Calculator!B8=TRUE,Backdoors!BI30=TRUE),VLOOKUP(Calculator!E23,tbSkills!DH3:DJ6,3,FALSE),0),0))&gt;=100,100,(Backdoors!AI12+IF(GI13&gt;=0.45,VLOOKUP(Calculator!E23,tbSkills!DH3:DI6,2,FALSE)+IF(AND(Calculator!B8=TRUE,Backdoors!BI30=TRUE),VLOOKUP(Calculator!E23,tbSkills!DH3:DJ6,3,FALSE),0),0)))/100)),(1-(0.25*((-Backdoors!AI12-IF(GI13&gt;=0.45,VLOOKUP(Calculator!E23,tbSkills!DH3:DI6,2,FALSE)+IF(AND(Calculator!B8=TRUE,Backdoors!BI30=TRUE),VLOOKUP(Calculator!E23,tbSkills!DH3:DJ6,3,FALSE),0),0))/100)))),1),"")</f>
        <v>1</v>
      </c>
      <c r="GL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I13)*GK13)*(VLOOKUP(A13,tbMoveset!A2:C112,3,FALSE)/100)*IF(VLOOKUP(A13,tbMoveset!A2:B112,2,FALSE)="Projectile",Backdoors!N10,Backdoors!N9),0),"")</f>
        <v/>
      </c>
      <c r="GM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I13&gt;=0.45,VLOOKUP(Calculator!E23,tbSkills!DH3:DI6,2,FALSE)+IF(AND(Calculator!B8=TRUE,Backdoors!BI30=TRUE),VLOOKUP(Calculator!E23,tbSkills!DH3:DJ6,3,FALSE),0),0))&gt;=100,100,(Backdoors!AI12+IF(GI13&gt;=0.45,VLOOKUP(Calculator!E23,tbSkills!DH3:DI6,2,FALSE)+IF(AND(Calculator!B8=TRUE,Backdoors!BI30=TRUE),VLOOKUP(Calculator!E23,tbSkills!DH3:DJ6,3,FALSE),0),0)))/100)),1))*IF(VLOOKUP(A13,tbMoveset!A2:K112,11,FALSE)=TRUE,Backdoors!AC5,1))*GJ13,0),"")</f>
        <v>0</v>
      </c>
      <c r="GN13" s="49">
        <f>VLOOKUP(A13,tbMoveset!A2:G112,7,FALSE)*IFERROR(IF(Backdoors!AI12&gt;=0,1+(IF(Calculator!E40&gt;0,VLOOKUP(Calculator!E40,tbSkills!AI3:AJ5,2,FALSE),Backdoors!AL4)*(IF((Backdoors!AI12+IF(GI13&gt;=0.45,VLOOKUP(Calculator!E23,tbSkills!DH3:DI6,2,FALSE)+IF(AND(Calculator!B8=TRUE,Backdoors!BI30=TRUE),VLOOKUP(Calculator!E23,tbSkills!DH3:DJ6,3,FALSE),0),0))&gt;=100,100,(Backdoors!AI12+IF(GI13&gt;=0.45,VLOOKUP(Calculator!E23,tbSkills!DH3:DI6,2,FALSE)+IF(AND(Calculator!B8=TRUE,Backdoors!BI30=TRUE),VLOOKUP(Calculator!E23,tbSkills!DH3:DJ6,3,FALSE),0),0)))/100)),1),1)</f>
        <v>0.4</v>
      </c>
      <c r="GO13" s="87">
        <f t="shared" si="20"/>
        <v>0</v>
      </c>
      <c r="GP13" s="86" t="str">
        <f>IFERROR(IF(VLOOKUP(A13,tbMoveset!A2:B112,2,FALSE)="Sever",Backdoors!AY31/100,IF(VLOOKUP(A13,tbMoveset!A2:B112,2,FALSE)="Blunt",Backdoors!AZ31/100,Backdoors!BA31/100)),"")</f>
        <v/>
      </c>
      <c r="GQ13" s="49">
        <f>IFERROR(IF(VLOOKUP(tbMoveset!A13,tbMoveset!A2:H112,8,FALSE)="Other",IF(VLOOKUP(tbMoveset!A13,tbMoveset!A2:I112,9,FALSE)="Fire",Backdoors!BB31,IF(VLOOKUP(tbMoveset!A13,tbMoveset!A2:I112,9,FALSE)="Water",Backdoors!BC31,IF(VLOOKUP(tbMoveset!A13,tbMoveset!A2:I112,9,FALSE)="Thunder",Backdoors!BD31,IF(VLOOKUP(tbMoveset!A13,tbMoveset!A2:I112,9,FALSE)="Ice",Backdoors!BE31,IF(VLOOKUP(tbMoveset!A13,tbMoveset!A2:I112,9,FALSE)="Dragon",Backdoors!BF31,Backdoors!BG31)))))/100,Backdoors!BG31/100),"")</f>
        <v>0</v>
      </c>
      <c r="GR13" s="49">
        <f>IFERROR(IF(VLOOKUP(A13,tbMoveset!A2:J112,10,FALSE)=TRUE,IF((Backdoors!AI12+IF(GP13&gt;=0.45,VLOOKUP(Calculator!E23,tbSkills!DH3:DI6,2,FALSE)+IF(AND(Calculator!B8=TRUE,Backdoors!BI31=TRUE),VLOOKUP(Calculator!E23,tbSkills!DH3:DJ6,3,FALSE),0),0))&gt;=0,1+(Backdoors!AL2*(IF((Backdoors!AI12+IF(GP13&gt;=0.45,VLOOKUP(Calculator!E23,tbSkills!DH3:DI6,2,FALSE)+IF(AND(Calculator!B8=TRUE,Backdoors!BI31=TRUE),VLOOKUP(Calculator!E23,tbSkills!DH3:DJ6,3,FALSE),0),0))&gt;=100,100,(Backdoors!AI12+IF(GP13&gt;=0.45,VLOOKUP(Calculator!E23,tbSkills!DH3:DI6,2,FALSE)+IF(AND(Calculator!B8=TRUE,Backdoors!BI31=TRUE),VLOOKUP(Calculator!E23,tbSkills!DH3:DJ6,3,FALSE),0),0)))/100)),(1-(0.25*((-Backdoors!AI12-IF(GP13&gt;=0.45,VLOOKUP(Calculator!E23,tbSkills!DH3:DI6,2,FALSE)+IF(AND(Calculator!B8=TRUE,Backdoors!BI31=TRUE),VLOOKUP(Calculator!E23,tbSkills!DH3:DJ6,3,FALSE),0),0))/100)))),1),"")</f>
        <v>1</v>
      </c>
      <c r="GS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P13)*GR13)*(VLOOKUP(A13,tbMoveset!A2:C112,3,FALSE)/100)*IF(VLOOKUP(A13,tbMoveset!A2:B112,2,FALSE)="Projectile",Backdoors!N10,Backdoors!N9),0),"")</f>
        <v/>
      </c>
      <c r="GT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P13&gt;=0.45,VLOOKUP(Calculator!E23,tbSkills!DH3:DI6,2,FALSE)+IF(AND(Calculator!B8=TRUE,Backdoors!BI31=TRUE),VLOOKUP(Calculator!E23,tbSkills!DH3:DJ6,3,FALSE),0),0))&gt;=100,100,(Backdoors!AI12+IF(GP13&gt;=0.45,VLOOKUP(Calculator!E23,tbSkills!DH3:DI6,2,FALSE)+IF(AND(Calculator!B8=TRUE,Backdoors!BI31=TRUE),VLOOKUP(Calculator!E23,tbSkills!DH3:DJ6,3,FALSE),0),0)))/100)),1))*IF(VLOOKUP(A13,tbMoveset!A2:K112,11,FALSE)=TRUE,Backdoors!AC5,1))*GQ13,0),"")</f>
        <v>0</v>
      </c>
      <c r="GU13" s="49">
        <f>VLOOKUP(A13,tbMoveset!A2:G112,7,FALSE)*IFERROR(IF(Backdoors!AI12&gt;=0,1+(IF(Calculator!E40&gt;0,VLOOKUP(Calculator!E40,tbSkills!AI3:AJ5,2,FALSE),Backdoors!AL4)*(IF((Backdoors!AI12+IF(GP13&gt;=0.45,VLOOKUP(Calculator!E23,tbSkills!DH3:DI6,2,FALSE)+IF(AND(Calculator!B8=TRUE,Backdoors!BI31=TRUE),VLOOKUP(Calculator!E23,tbSkills!DH3:DJ6,3,FALSE),0),0))&gt;=100,100,(Backdoors!AI12+IF(GP13&gt;=0.45,VLOOKUP(Calculator!E23,tbSkills!DH3:DI6,2,FALSE)+IF(AND(Calculator!B8=TRUE,Backdoors!BI31=TRUE),VLOOKUP(Calculator!E23,tbSkills!DH3:DJ6,3,FALSE),0),0)))/100)),1),1)</f>
        <v>0.4</v>
      </c>
      <c r="GV13" s="87">
        <f t="shared" si="21"/>
        <v>0</v>
      </c>
      <c r="GW13" s="86" t="str">
        <f>IFERROR(IF(VLOOKUP(A13,tbMoveset!A2:B112,2,FALSE)="Sever",Backdoors!AY32/100,IF(VLOOKUP(A13,tbMoveset!A2:B112,2,FALSE)="Blunt",Backdoors!AZ32/100,Backdoors!BA32/100)),"")</f>
        <v/>
      </c>
      <c r="GX13" s="49">
        <f>IFERROR(IF(VLOOKUP(tbMoveset!A13,tbMoveset!A2:H112,8,FALSE)="Other",IF(VLOOKUP(tbMoveset!A13,tbMoveset!A2:I112,9,FALSE)="Fire",Backdoors!BB32,IF(VLOOKUP(tbMoveset!A13,tbMoveset!A2:I112,9,FALSE)="Water",Backdoors!BC32,IF(VLOOKUP(tbMoveset!A13,tbMoveset!A2:I112,9,FALSE)="Thunder",Backdoors!BD32,IF(VLOOKUP(tbMoveset!A13,tbMoveset!A2:I112,9,FALSE)="Ice",Backdoors!BE32,IF(VLOOKUP(tbMoveset!A13,tbMoveset!A2:I112,9,FALSE)="Dragon",Backdoors!BF32,Backdoors!BG32)))))/100,Backdoors!BG32/100),"")</f>
        <v>0</v>
      </c>
      <c r="GY13" s="49">
        <f>IFERROR(IF(VLOOKUP(A13,tbMoveset!A2:J112,10,FALSE)=TRUE,IF((Backdoors!AI12+IF(GW13&gt;=0.45,VLOOKUP(Calculator!E23,tbSkills!DH3:DI6,2,FALSE)+IF(AND(Calculator!B8=TRUE,Backdoors!BI32=TRUE),VLOOKUP(Calculator!E23,tbSkills!DH3:DJ6,3,FALSE),0),0))&gt;=0,1+(Backdoors!AL2*(IF((Backdoors!AI12+IF(GW13&gt;=0.45,VLOOKUP(Calculator!E23,tbSkills!DH3:DI6,2,FALSE)+IF(AND(Calculator!B8=TRUE,Backdoors!BI32=TRUE),VLOOKUP(Calculator!E23,tbSkills!DH3:DJ6,3,FALSE),0),0))&gt;=100,100,(Backdoors!AI12+IF(GW13&gt;=0.45,VLOOKUP(Calculator!E23,tbSkills!DH3:DI6,2,FALSE)+IF(AND(Calculator!B8=TRUE,Backdoors!BI32=TRUE),VLOOKUP(Calculator!E23,tbSkills!DH3:DJ6,3,FALSE),0),0)))/100)),(1-(0.25*((-Backdoors!AI12-IF(GW13&gt;=0.45,VLOOKUP(Calculator!E23,tbSkills!DH3:DI6,2,FALSE)+IF(AND(Calculator!B8=TRUE,Backdoors!BI32=TRUE),VLOOKUP(Calculator!E23,tbSkills!DH3:DJ6,3,FALSE),0),0))/100)))),1),"")</f>
        <v>1</v>
      </c>
      <c r="GZ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W13)*GY13)*(VLOOKUP(A13,tbMoveset!A2:C112,3,FALSE)/100)*IF(VLOOKUP(A13,tbMoveset!A2:B112,2,FALSE)="Projectile",Backdoors!N10,Backdoors!N9),0),"")</f>
        <v/>
      </c>
      <c r="HA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W13&gt;=0.45,VLOOKUP(Calculator!E23,tbSkills!DH3:DI6,2,FALSE)+IF(AND(Calculator!B8=TRUE,Backdoors!BI32=TRUE),VLOOKUP(Calculator!E23,tbSkills!DH3:DJ6,3,FALSE),0),0))&gt;=100,100,(Backdoors!AI12+IF(GW13&gt;=0.45,VLOOKUP(Calculator!E23,tbSkills!DH3:DI6,2,FALSE)+IF(AND(Calculator!B8=TRUE,Backdoors!BI32=TRUE),VLOOKUP(Calculator!E23,tbSkills!DH3:DJ6,3,FALSE),0),0)))/100)),1))*IF(VLOOKUP(A13,tbMoveset!A2:K112,11,FALSE)=TRUE,Backdoors!AC5,1))*GX13,0),"")</f>
        <v>0</v>
      </c>
      <c r="HB13" s="49">
        <f>VLOOKUP(A13,tbMoveset!A2:G112,7,FALSE)*IFERROR(IF(Backdoors!AI12&gt;=0,1+(IF(Calculator!E40&gt;0,VLOOKUP(Calculator!E40,tbSkills!AI3:AJ5,2,FALSE),Backdoors!AL4)*(IF((Backdoors!AI12+IF(GW13&gt;=0.45,VLOOKUP(Calculator!E23,tbSkills!DH3:DI6,2,FALSE)+IF(AND(Calculator!B8=TRUE,Backdoors!BI32=TRUE),VLOOKUP(Calculator!E23,tbSkills!DH3:DJ6,3,FALSE),0),0))&gt;=100,100,(Backdoors!AI12+IF(GW13&gt;=0.45,VLOOKUP(Calculator!E23,tbSkills!DH3:DI6,2,FALSE)+IF(AND(Calculator!B8=TRUE,Backdoors!BI32=TRUE),VLOOKUP(Calculator!E23,tbSkills!DH3:DJ6,3,FALSE),0),0)))/100)),1),1)</f>
        <v>0.4</v>
      </c>
      <c r="HC13" s="87">
        <f t="shared" si="22"/>
        <v>0</v>
      </c>
      <c r="HD13" s="86" t="str">
        <f>IFERROR(IF(VLOOKUP(A13,tbMoveset!A2:B112,2,FALSE)="Sever",Backdoors!AY33/100,IF(VLOOKUP(A13,tbMoveset!A2:B112,2,FALSE)="Blunt",Backdoors!AZ33/100,Backdoors!BA33/100)),"")</f>
        <v/>
      </c>
      <c r="HE13" s="49">
        <f>IFERROR(IF(VLOOKUP(tbMoveset!A13,tbMoveset!A2:H112,8,FALSE)="Other",IF(VLOOKUP(tbMoveset!A13,tbMoveset!A2:I112,9,FALSE)="Fire",Backdoors!BB33,IF(VLOOKUP(tbMoveset!A13,tbMoveset!A2:I112,9,FALSE)="Water",Backdoors!BC33,IF(VLOOKUP(tbMoveset!A13,tbMoveset!A2:I112,9,FALSE)="Thunder",Backdoors!BD33,IF(VLOOKUP(tbMoveset!A13,tbMoveset!A2:I112,9,FALSE)="Ice",Backdoors!BE33,IF(VLOOKUP(tbMoveset!A13,tbMoveset!A2:I112,9,FALSE)="Dragon",Backdoors!BF33,Backdoors!BG33)))))/100,Backdoors!BG33/100),"")</f>
        <v>0</v>
      </c>
      <c r="HF13" s="49">
        <f>IFERROR(IF(VLOOKUP(A13,tbMoveset!A2:J112,10,FALSE)=TRUE,IF((Backdoors!AI12+IF(HD13&gt;=0.45,VLOOKUP(Calculator!E23,tbSkills!DH3:DI6,2,FALSE)+IF(AND(Calculator!B8=TRUE,Backdoors!BI33=TRUE),VLOOKUP(Calculator!E23,tbSkills!DH3:DJ6,3,FALSE),0),0))&gt;=0,1+(Backdoors!AL2*(IF((Backdoors!AI12+IF(HD13&gt;=0.45,VLOOKUP(Calculator!E23,tbSkills!DH3:DI6,2,FALSE)+IF(AND(Calculator!B8=TRUE,Backdoors!BI33=TRUE),VLOOKUP(Calculator!E23,tbSkills!DH3:DJ6,3,FALSE),0),0))&gt;=100,100,(Backdoors!AI12+IF(HD13&gt;=0.45,VLOOKUP(Calculator!E23,tbSkills!DH3:DI6,2,FALSE)+IF(AND(Calculator!B8=TRUE,Backdoors!BI33=TRUE),VLOOKUP(Calculator!E23,tbSkills!DH3:DJ6,3,FALSE),0),0)))/100)),(1-(0.25*((-Backdoors!AI12-IF(HD13&gt;=0.45,VLOOKUP(Calculator!E23,tbSkills!DH3:DI6,2,FALSE)+IF(AND(Calculator!B8=TRUE,Backdoors!BI33=TRUE),VLOOKUP(Calculator!E23,tbSkills!DH3:DJ6,3,FALSE),0),0))/100)))),1),"")</f>
        <v>1</v>
      </c>
      <c r="HG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D13)*HF13)*(VLOOKUP(A13,tbMoveset!A2:C112,3,FALSE)/100)*IF(VLOOKUP(A13,tbMoveset!A2:B112,2,FALSE)="Projectile",Backdoors!N10,Backdoors!N9),0),"")</f>
        <v/>
      </c>
      <c r="HH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D13&gt;=0.45,VLOOKUP(Calculator!E23,tbSkills!DH3:DI6,2,FALSE)+IF(AND(Calculator!B8=TRUE,Backdoors!BI33=TRUE),VLOOKUP(Calculator!E23,tbSkills!DH3:DJ6,3,FALSE),0),0))&gt;=100,100,(Backdoors!AI12+IF(HD13&gt;=0.45,VLOOKUP(Calculator!E23,tbSkills!DH3:DI6,2,FALSE)+IF(AND(Calculator!B8=TRUE,Backdoors!BI33=TRUE),VLOOKUP(Calculator!E23,tbSkills!DH3:DJ6,3,FALSE),0),0)))/100)),1))*IF(VLOOKUP(A13,tbMoveset!A2:K112,11,FALSE)=TRUE,Backdoors!AC5,1))*HE13,0),"")</f>
        <v>0</v>
      </c>
      <c r="HI13" s="49">
        <f>VLOOKUP(A13,tbMoveset!A2:G112,7,FALSE)*IFERROR(IF(Backdoors!AI12&gt;=0,1+(IF(Calculator!E40&gt;0,VLOOKUP(Calculator!E40,tbSkills!AI3:AJ5,2,FALSE),Backdoors!AL4)*(IF((Backdoors!AI12+IF(HD13&gt;=0.45,VLOOKUP(Calculator!E23,tbSkills!DH3:DI6,2,FALSE)+IF(AND(Calculator!B8=TRUE,Backdoors!BI33=TRUE),VLOOKUP(Calculator!E23,tbSkills!DH3:DJ6,3,FALSE),0),0))&gt;=100,100,(Backdoors!AI12+IF(HD13&gt;=0.45,VLOOKUP(Calculator!E23,tbSkills!DH3:DI6,2,FALSE)+IF(AND(Calculator!B8=TRUE,Backdoors!BI33=TRUE),VLOOKUP(Calculator!E23,tbSkills!DH3:DJ6,3,FALSE),0),0)))/100)),1),1)</f>
        <v>0.4</v>
      </c>
      <c r="HJ13" s="87">
        <f t="shared" si="23"/>
        <v>0</v>
      </c>
      <c r="HK13" s="86" t="str">
        <f>IFERROR(IF(VLOOKUP(A13,tbMoveset!A2:B112,2,FALSE)="Sever",Backdoors!AY34/100,IF(VLOOKUP(A13,tbMoveset!A2:B112,2,FALSE)="Blunt",Backdoors!AZ34/100,Backdoors!BA34/100)),"")</f>
        <v/>
      </c>
      <c r="HL13" s="49">
        <f>IFERROR(IF(VLOOKUP(tbMoveset!A13,tbMoveset!A2:H112,8,FALSE)="Other",IF(VLOOKUP(tbMoveset!A13,tbMoveset!A2:I112,9,FALSE)="Fire",Backdoors!BB34,IF(VLOOKUP(tbMoveset!A13,tbMoveset!A2:I112,9,FALSE)="Water",Backdoors!BC34,IF(VLOOKUP(tbMoveset!A13,tbMoveset!A2:I112,9,FALSE)="Thunder",Backdoors!BD34,IF(VLOOKUP(tbMoveset!A13,tbMoveset!A2:I112,9,FALSE)="Ice",Backdoors!BE34,IF(VLOOKUP(tbMoveset!A13,tbMoveset!A2:I112,9,FALSE)="Dragon",Backdoors!BF34,Backdoors!BG34)))))/100,Backdoors!BG34/100),"")</f>
        <v>0</v>
      </c>
      <c r="HM13" s="49">
        <f>IFERROR(IF(VLOOKUP(A13,tbMoveset!A2:J112,10,FALSE)=TRUE,IF((Backdoors!AI12+IF(HK13&gt;=0.45,VLOOKUP(Calculator!E23,tbSkills!DH3:DI6,2,FALSE)+IF(AND(Calculator!B8=TRUE,Backdoors!BI34=TRUE),VLOOKUP(Calculator!E23,tbSkills!DH3:DJ6,3,FALSE),0),0))&gt;=0,1+(Backdoors!AL2*(IF((Backdoors!AI12+IF(HK13&gt;=0.45,VLOOKUP(Calculator!E23,tbSkills!DH3:DI6,2,FALSE)+IF(AND(Calculator!B8=TRUE,Backdoors!BI34=TRUE),VLOOKUP(Calculator!E23,tbSkills!DH3:DJ6,3,FALSE),0),0))&gt;=100,100,(Backdoors!AI12+IF(HK13&gt;=0.45,VLOOKUP(Calculator!E23,tbSkills!DH3:DI6,2,FALSE)+IF(AND(Calculator!B8=TRUE,Backdoors!BI34=TRUE),VLOOKUP(Calculator!E23,tbSkills!DH3:DJ6,3,FALSE),0),0)))/100)),(1-(0.25*((-Backdoors!AI12-IF(HK13&gt;=0.45,VLOOKUP(Calculator!E23,tbSkills!DH3:DI6,2,FALSE)+IF(AND(Calculator!B8=TRUE,Backdoors!BI34=TRUE),VLOOKUP(Calculator!E23,tbSkills!DH3:DJ6,3,FALSE),0),0))/100)))),1),"")</f>
        <v>1</v>
      </c>
      <c r="HN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K13)*HM13)*(VLOOKUP(A13,tbMoveset!A2:C112,3,FALSE)/100)*IF(VLOOKUP(A13,tbMoveset!A2:B112,2,FALSE)="Projectile",Backdoors!N10,Backdoors!N9),0),"")</f>
        <v/>
      </c>
      <c r="HO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K13&gt;=0.45,VLOOKUP(Calculator!E23,tbSkills!DH3:DI6,2,FALSE)+IF(AND(Calculator!B8=TRUE,Backdoors!BI34=TRUE),VLOOKUP(Calculator!E23,tbSkills!DH3:DJ6,3,FALSE),0),0))&gt;=100,100,(Backdoors!AI12+IF(HK13&gt;=0.45,VLOOKUP(Calculator!E23,tbSkills!DH3:DI6,2,FALSE)+IF(AND(Calculator!B8=TRUE,Backdoors!BI34=TRUE),VLOOKUP(Calculator!E23,tbSkills!DH3:DJ6,3,FALSE),0),0)))/100)),1))*IF(VLOOKUP(A13,tbMoveset!A2:K112,11,FALSE)=TRUE,Backdoors!AC5,1))*HL13,0),"")</f>
        <v>0</v>
      </c>
      <c r="HP13" s="49">
        <f>VLOOKUP(A13,tbMoveset!A2:G112,7,FALSE)*IFERROR(IF(Backdoors!AI12&gt;=0,1+(IF(Calculator!E40&gt;0,VLOOKUP(Calculator!E40,tbSkills!AI3:AJ5,2,FALSE),Backdoors!AL4)*(IF((Backdoors!AI12+IF(HK13&gt;=0.45,VLOOKUP(Calculator!E23,tbSkills!DH3:DI6,2,FALSE)+IF(AND(Calculator!B8=TRUE,Backdoors!BI34=TRUE),VLOOKUP(Calculator!E23,tbSkills!DH3:DJ6,3,FALSE),0),0))&gt;=100,100,(Backdoors!AI12+IF(HK13&gt;=0.45,VLOOKUP(Calculator!E23,tbSkills!DH3:DI6,2,FALSE)+IF(AND(Calculator!B8=TRUE,Backdoors!BI34=TRUE),VLOOKUP(Calculator!E23,tbSkills!DH3:DJ6,3,FALSE),0),0)))/100)),1),1)</f>
        <v>0.4</v>
      </c>
      <c r="HQ13" s="87">
        <f t="shared" si="24"/>
        <v>0</v>
      </c>
      <c r="HR13" s="86" t="str">
        <f>IFERROR(IF(VLOOKUP(A13,tbMoveset!A2:B112,2,FALSE)="Sever",Backdoors!AY35/100,IF(VLOOKUP(A13,tbMoveset!A2:B112,2,FALSE)="Blunt",Backdoors!AZ35/100,Backdoors!BA35/100)),"")</f>
        <v/>
      </c>
      <c r="HS13" s="49">
        <f>IFERROR(IF(VLOOKUP(tbMoveset!A13,tbMoveset!A2:H112,8,FALSE)="Other",IF(VLOOKUP(tbMoveset!A13,tbMoveset!A2:I112,9,FALSE)="Fire",Backdoors!BB35,IF(VLOOKUP(tbMoveset!A13,tbMoveset!A2:I112,9,FALSE)="Water",Backdoors!BC35,IF(VLOOKUP(tbMoveset!A13,tbMoveset!A2:I112,9,FALSE)="Thunder",Backdoors!BD35,IF(VLOOKUP(tbMoveset!A13,tbMoveset!A2:I112,9,FALSE)="Ice",Backdoors!BE35,IF(VLOOKUP(tbMoveset!A13,tbMoveset!A2:I112,9,FALSE)="Dragon",Backdoors!BF35,Backdoors!BG35)))))/100,Backdoors!BG35/100),"")</f>
        <v>0</v>
      </c>
      <c r="HT13" s="49">
        <f>IFERROR(IF(VLOOKUP(A13,tbMoveset!A2:J112,10,FALSE)=TRUE,IF((Backdoors!AI12+IF(HR13&gt;=0.45,VLOOKUP(Calculator!E23,tbSkills!DH3:DI6,2,FALSE)+IF(AND(Calculator!B8=TRUE,Backdoors!BI35=TRUE),VLOOKUP(Calculator!E23,tbSkills!DH3:DJ6,3,FALSE),0),0))&gt;=0,1+(Backdoors!AL2*(IF((Backdoors!AI12+IF(HR13&gt;=0.45,VLOOKUP(Calculator!E23,tbSkills!DH3:DI6,2,FALSE)+IF(AND(Calculator!B8=TRUE,Backdoors!BI35=TRUE),VLOOKUP(Calculator!E23,tbSkills!DH3:DJ6,3,FALSE),0),0))&gt;=100,100,(Backdoors!AI12+IF(HR13&gt;=0.45,VLOOKUP(Calculator!E23,tbSkills!DH3:DI6,2,FALSE)+IF(AND(Calculator!B8=TRUE,Backdoors!BI35=TRUE),VLOOKUP(Calculator!E23,tbSkills!DH3:DJ6,3,FALSE),0),0)))/100)),(1-(0.25*((-Backdoors!AI12-IF(HR13&gt;=0.45,VLOOKUP(Calculator!E23,tbSkills!DH3:DI6,2,FALSE)+IF(AND(Calculator!B8=TRUE,Backdoors!BI35=TRUE),VLOOKUP(Calculator!E23,tbSkills!DH3:DJ6,3,FALSE),0),0))/100)))),1),"")</f>
        <v>1</v>
      </c>
      <c r="HU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R13)*HT13)*(VLOOKUP(A13,tbMoveset!A2:C112,3,FALSE)/100)*IF(VLOOKUP(A13,tbMoveset!A2:B112,2,FALSE)="Projectile",Backdoors!N10,Backdoors!N9),0),"")</f>
        <v/>
      </c>
      <c r="HV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R13&gt;=0.45,VLOOKUP(Calculator!E23,tbSkills!DH3:DI6,2,FALSE)+IF(AND(Calculator!B8=TRUE,Backdoors!BI35=TRUE),VLOOKUP(Calculator!E23,tbSkills!DH3:DJ6,3,FALSE),0),0))&gt;=100,100,(Backdoors!AI12+IF(HR13&gt;=0.45,VLOOKUP(Calculator!E23,tbSkills!DH3:DI6,2,FALSE)+IF(AND(Calculator!B8=TRUE,Backdoors!BI35=TRUE),VLOOKUP(Calculator!E23,tbSkills!DH3:DJ6,3,FALSE),0),0)))/100)),1))*IF(VLOOKUP(A13,tbMoveset!A2:K112,11,FALSE)=TRUE,Backdoors!AC5,1))*HS13,0),"")</f>
        <v>0</v>
      </c>
      <c r="HW13" s="49">
        <f>VLOOKUP(A13,tbMoveset!A2:G112,7,FALSE)*IFERROR(IF(Backdoors!AI12&gt;=0,1+(IF(Calculator!E40&gt;0,VLOOKUP(Calculator!E40,tbSkills!AI3:AJ5,2,FALSE),Backdoors!AL4)*(IF((Backdoors!AI12+IF(HR13&gt;=0.45,VLOOKUP(Calculator!E23,tbSkills!DH3:DI6,2,FALSE)+IF(AND(Calculator!B8=TRUE,Backdoors!BI35=TRUE),VLOOKUP(Calculator!E23,tbSkills!DH3:DJ6,3,FALSE),0),0))&gt;=100,100,(Backdoors!AI12+IF(HR13&gt;=0.45,VLOOKUP(Calculator!E23,tbSkills!DH3:DI6,2,FALSE)+IF(AND(Calculator!B8=TRUE,Backdoors!BI35=TRUE),VLOOKUP(Calculator!E23,tbSkills!DH3:DJ6,3,FALSE),0),0)))/100)),1),1)</f>
        <v>0.4</v>
      </c>
      <c r="HX13" s="87">
        <f t="shared" si="25"/>
        <v>0</v>
      </c>
      <c r="HY13" s="86" t="str">
        <f>IFERROR(IF(VLOOKUP(A13,tbMoveset!A2:B112,2,FALSE)="Sever",Backdoors!AY36/100,IF(VLOOKUP(A13,tbMoveset!A2:B112,2,FALSE)="Blunt",Backdoors!AZ36/100,Backdoors!BA36/100)),"")</f>
        <v/>
      </c>
      <c r="HZ13" s="49">
        <f>IFERROR(IF(VLOOKUP(tbMoveset!A13,tbMoveset!A2:H112,8,FALSE)="Other",IF(VLOOKUP(tbMoveset!A13,tbMoveset!A2:I112,9,FALSE)="Fire",Backdoors!BB36,IF(VLOOKUP(tbMoveset!A13,tbMoveset!A2:I112,9,FALSE)="Water",Backdoors!BC36,IF(VLOOKUP(tbMoveset!A13,tbMoveset!A2:I112,9,FALSE)="Thunder",Backdoors!BD36,IF(VLOOKUP(tbMoveset!A13,tbMoveset!A2:I112,9,FALSE)="Ice",Backdoors!BE36,IF(VLOOKUP(tbMoveset!A13,tbMoveset!A2:I112,9,FALSE)="Dragon",Backdoors!BF36,Backdoors!BG36)))))/100,Backdoors!BG36/100),"")</f>
        <v>0</v>
      </c>
      <c r="IA13" s="49">
        <f>IFERROR(IF(VLOOKUP(A13,tbMoveset!A2:J112,10,FALSE)=TRUE,IF((Backdoors!AI12+IF(HY13&gt;=0.45,VLOOKUP(Calculator!E23,tbSkills!DH3:DI6,2,FALSE)+IF(AND(Calculator!B8=TRUE,Backdoors!BI36=TRUE),VLOOKUP(Calculator!E23,tbSkills!DH3:DJ6,3,FALSE),0),0))&gt;=0,1+(Backdoors!AL2*(IF((Backdoors!AI12+IF(HY13&gt;=0.45,VLOOKUP(Calculator!E23,tbSkills!DH3:DI6,2,FALSE)+IF(AND(Calculator!B8=TRUE,Backdoors!BI36=TRUE),VLOOKUP(Calculator!E23,tbSkills!DH3:DJ6,3,FALSE),0),0))&gt;=100,100,(Backdoors!AI12+IF(HY13&gt;=0.45,VLOOKUP(Calculator!E23,tbSkills!DH3:DI6,2,FALSE)+IF(AND(Calculator!B8=TRUE,Backdoors!BI36=TRUE),VLOOKUP(Calculator!E23,tbSkills!DH3:DJ6,3,FALSE),0),0)))/100)),(1-(0.25*((-Backdoors!AI12-IF(HY13&gt;=0.45,VLOOKUP(Calculator!E23,tbSkills!DH3:DI6,2,FALSE)+IF(AND(Calculator!B8=TRUE,Backdoors!BI36=TRUE),VLOOKUP(Calculator!E23,tbSkills!DH3:DJ6,3,FALSE),0),0))/100)))),1),"")</f>
        <v>1</v>
      </c>
      <c r="IB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Y13)*IA13)*(VLOOKUP(A13,tbMoveset!A2:C112,3,FALSE)/100)*IF(VLOOKUP(A13,tbMoveset!A2:B112,2,FALSE)="Projectile",Backdoors!N10,Backdoors!N9),0),"")</f>
        <v/>
      </c>
      <c r="IC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Y13&gt;=0.45,VLOOKUP(Calculator!E23,tbSkills!DH3:DI6,2,FALSE)+IF(AND(Calculator!B8=TRUE,Backdoors!BI36=TRUE),VLOOKUP(Calculator!E23,tbSkills!DH3:DJ6,3,FALSE),0),0))&gt;=100,100,(Backdoors!AI12+IF(HY13&gt;=0.45,VLOOKUP(Calculator!E23,tbSkills!DH3:DI6,2,FALSE)+IF(AND(Calculator!B8=TRUE,Backdoors!BI36=TRUE),VLOOKUP(Calculator!E23,tbSkills!DH3:DJ6,3,FALSE),0),0)))/100)),1))*IF(VLOOKUP(A13,tbMoveset!A2:K112,11,FALSE)=TRUE,Backdoors!AC5,1))*HZ13,0),"")</f>
        <v>0</v>
      </c>
      <c r="ID13" s="49">
        <f>VLOOKUP(A13,tbMoveset!A2:G112,7,FALSE)*IFERROR(IF(Backdoors!AI12&gt;=0,1+(IF(Calculator!E40&gt;0,VLOOKUP(Calculator!E40,tbSkills!AI3:AJ5,2,FALSE),Backdoors!AL4)*(IF((Backdoors!AI12+IF(HY13&gt;=0.45,VLOOKUP(Calculator!E23,tbSkills!DH3:DI6,2,FALSE)+IF(AND(Calculator!B8=TRUE,Backdoors!BI36=TRUE),VLOOKUP(Calculator!E23,tbSkills!DH3:DJ6,3,FALSE),0),0))&gt;=100,100,(Backdoors!AI12+IF(HY13&gt;=0.45,VLOOKUP(Calculator!E23,tbSkills!DH3:DI6,2,FALSE)+IF(AND(Calculator!B8=TRUE,Backdoors!BI36=TRUE),VLOOKUP(Calculator!E23,tbSkills!DH3:DJ6,3,FALSE),0),0)))/100)),1),1)</f>
        <v>0.4</v>
      </c>
      <c r="IE13" s="87">
        <f t="shared" si="26"/>
        <v>0</v>
      </c>
      <c r="IF13" s="86" t="str">
        <f>IFERROR(IF(VLOOKUP(A13,tbMoveset!A2:B112,2,FALSE)="Sever",Backdoors!AY37/100,IF(VLOOKUP(A13,tbMoveset!A2:B112,2,FALSE)="Blunt",Backdoors!AZ37/100,Backdoors!BA37/100)),"")</f>
        <v/>
      </c>
      <c r="IG13" s="49">
        <f>IFERROR(IF(VLOOKUP(tbMoveset!A13,tbMoveset!A2:H112,8,FALSE)="Other",IF(VLOOKUP(tbMoveset!A13,tbMoveset!A2:I112,9,FALSE)="Fire",Backdoors!BB37,IF(VLOOKUP(tbMoveset!A13,tbMoveset!A2:I112,9,FALSE)="Water",Backdoors!BC37,IF(VLOOKUP(tbMoveset!A13,tbMoveset!A2:I112,9,FALSE)="Thunder",Backdoors!BD37,IF(VLOOKUP(tbMoveset!A13,tbMoveset!A2:I112,9,FALSE)="Ice",Backdoors!BE37,IF(VLOOKUP(tbMoveset!A13,tbMoveset!A2:I112,9,FALSE)="Dragon",Backdoors!BF37,Backdoors!BG37)))))/100,Backdoors!BG37/100),"")</f>
        <v>0</v>
      </c>
      <c r="IH13" s="49">
        <f>IFERROR(IF(VLOOKUP(A13,tbMoveset!A2:J112,10,FALSE)=TRUE,IF((Backdoors!AI12+IF(IF13&gt;=0.45,VLOOKUP(Calculator!E23,tbSkills!DH3:DI6,2,FALSE)+IF(AND(Calculator!B8=TRUE,Backdoors!BI37=TRUE),VLOOKUP(Calculator!E23,tbSkills!DH3:DJ6,3,FALSE),0),0))&gt;=0,1+(Backdoors!AL2*(IF((Backdoors!AI12+IF(IF13&gt;=0.45,VLOOKUP(Calculator!E23,tbSkills!DH3:DI6,2,FALSE)+IF(AND(Calculator!B8=TRUE,Backdoors!BI37=TRUE),VLOOKUP(Calculator!E23,tbSkills!DH3:DJ6,3,FALSE),0),0))&gt;=100,100,(Backdoors!AI12+IF(IF13&gt;=0.45,VLOOKUP(Calculator!E23,tbSkills!DH3:DI6,2,FALSE)+IF(AND(Calculator!B8=TRUE,Backdoors!BI37=TRUE),VLOOKUP(Calculator!E23,tbSkills!DH3:DJ6,3,FALSE),0),0)))/100)),(1-(0.25*((-Backdoors!AI12-IF(IF13&gt;=0.45,VLOOKUP(Calculator!E23,tbSkills!DH3:DI6,2,FALSE)+IF(AND(Calculator!B8=TRUE,Backdoors!BI37=TRUE),VLOOKUP(Calculator!E23,tbSkills!DH3:DJ6,3,FALSE),0),0))/100)))),1),"")</f>
        <v>1</v>
      </c>
      <c r="II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F13)*IH13)*(VLOOKUP(A13,tbMoveset!A2:C112,3,FALSE)/100)*IF(VLOOKUP(A13,tbMoveset!A2:B112,2,FALSE)="Projectile",Backdoors!N10,Backdoors!N9),0),"")</f>
        <v/>
      </c>
      <c r="IJ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IF13&gt;=0.45,VLOOKUP(Calculator!E23,tbSkills!DH3:DI6,2,FALSE)+IF(AND(Calculator!B8=TRUE,Backdoors!BI37=TRUE),VLOOKUP(Calculator!E23,tbSkills!DH3:DJ6,3,FALSE),0),0))&gt;=100,100,(Backdoors!AI12+IF(IF13&gt;=0.45,VLOOKUP(Calculator!E23,tbSkills!DH3:DI6,2,FALSE)+IF(AND(Calculator!B8=TRUE,Backdoors!BI37=TRUE),VLOOKUP(Calculator!E23,tbSkills!DH3:DJ6,3,FALSE),0),0)))/100)),1))*IF(VLOOKUP(A13,tbMoveset!A2:K112,11,FALSE)=TRUE,Backdoors!AC5,1))*IG13,0),"")</f>
        <v>0</v>
      </c>
      <c r="IK13" s="49">
        <f>VLOOKUP(A13,tbMoveset!A2:G112,7,FALSE)*IFERROR(IF(Backdoors!AI12&gt;=0,1+(IF(Calculator!E40&gt;0,VLOOKUP(Calculator!E40,tbSkills!AI3:AJ5,2,FALSE),Backdoors!AL4)*(IF((Backdoors!AI12+IF(IF13&gt;=0.45,VLOOKUP(Calculator!E23,tbSkills!DH3:DI6,2,FALSE)+IF(AND(Calculator!B8=TRUE,Backdoors!BI37=TRUE),VLOOKUP(Calculator!E23,tbSkills!DH3:DJ6,3,FALSE),0),0))&gt;=100,100,(Backdoors!AI12+IF(IF13&gt;=0.45,VLOOKUP(Calculator!E23,tbSkills!DH3:DI6,2,FALSE)+IF(AND(Calculator!B8=TRUE,Backdoors!BI37=TRUE),VLOOKUP(Calculator!E23,tbSkills!DH3:DJ6,3,FALSE),0),0)))/100)),1),1)</f>
        <v>0.4</v>
      </c>
      <c r="IL13" s="87">
        <f t="shared" si="27"/>
        <v>0</v>
      </c>
      <c r="IM13" s="86" t="str">
        <f>IFERROR(IF(VLOOKUP(A13,tbMoveset!A2:B112,2,FALSE)="Sever",Backdoors!AY38/100,IF(VLOOKUP(A13,tbMoveset!A2:B112,2,FALSE)="Blunt",Backdoors!AZ38/100,Backdoors!BA38/100)),"")</f>
        <v/>
      </c>
      <c r="IN13" s="49">
        <f>IFERROR(IF(VLOOKUP(tbMoveset!A13,tbMoveset!A2:H112,8,FALSE)="Other",IF(VLOOKUP(tbMoveset!A13,tbMoveset!A2:I112,9,FALSE)="Fire",Backdoors!BB38,IF(VLOOKUP(tbMoveset!A13,tbMoveset!A2:I112,9,FALSE)="Water",Backdoors!BC38,IF(VLOOKUP(tbMoveset!A13,tbMoveset!A2:I112,9,FALSE)="Thunder",Backdoors!BD38,IF(VLOOKUP(tbMoveset!A13,tbMoveset!A2:I112,9,FALSE)="Ice",Backdoors!BE38,IF(VLOOKUP(tbMoveset!A13,tbMoveset!A2:I112,9,FALSE)="Dragon",Backdoors!BF38,Backdoors!BG38)))))/100,Backdoors!BG38/100),"")</f>
        <v>0</v>
      </c>
      <c r="IO13" s="49">
        <f>IFERROR(IF(VLOOKUP(A13,tbMoveset!A2:J112,10,FALSE)=TRUE,IF((Backdoors!AI12+IF(IM13&gt;=0.45,VLOOKUP(Calculator!E23,tbSkills!DH3:DI6,2,FALSE)+IF(AND(Calculator!B8=TRUE,Backdoors!BI38=TRUE),VLOOKUP(Calculator!E23,tbSkills!DH3:DJ6,3,FALSE),0),0))&gt;=0,1+(Backdoors!AL2*(IF((Backdoors!AI12+IF(IM13&gt;=0.45,VLOOKUP(Calculator!E23,tbSkills!DH3:DI6,2,FALSE)+IF(AND(Calculator!B8=TRUE,Backdoors!BI38=TRUE),VLOOKUP(Calculator!E23,tbSkills!DH3:DJ6,3,FALSE),0),0))&gt;=100,100,(Backdoors!AI12+IF(IM13&gt;=0.45,VLOOKUP(Calculator!E23,tbSkills!DH3:DI6,2,FALSE)+IF(AND(Calculator!B8=TRUE,Backdoors!BI38=TRUE),VLOOKUP(Calculator!E23,tbSkills!DH3:DJ6,3,FALSE),0),0)))/100)),(1-(0.25*((-Backdoors!AI12-IF(IM13&gt;=0.45,VLOOKUP(Calculator!E23,tbSkills!DH3:DI6,2,FALSE)+IF(AND(Calculator!B8=TRUE,Backdoors!BI38=TRUE),VLOOKUP(Calculator!E23,tbSkills!DH3:DJ6,3,FALSE),0),0))/100)))),1),"")</f>
        <v>1</v>
      </c>
      <c r="IP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M13)*IO13)*(VLOOKUP(A13,tbMoveset!A2:C112,3,FALSE)/100)*IF(VLOOKUP(A13,tbMoveset!A2:B112,2,FALSE)="Projectile",Backdoors!N10,Backdoors!N9),0),"")</f>
        <v/>
      </c>
      <c r="IQ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IM13&gt;=0.45,VLOOKUP(Calculator!E23,tbSkills!DH3:DI6,2,FALSE)+IF(AND(Calculator!B8=TRUE,Backdoors!BI38=TRUE),VLOOKUP(Calculator!E23,tbSkills!DH3:DJ6,3,FALSE),0),0))&gt;=100,100,(Backdoors!AI12+IF(IM13&gt;=0.45,VLOOKUP(Calculator!E23,tbSkills!DH3:DI6,2,FALSE)+IF(AND(Calculator!B8=TRUE,Backdoors!BI38=TRUE),VLOOKUP(Calculator!E23,tbSkills!DH3:DJ6,3,FALSE),0),0)))/100)),1))*IF(VLOOKUP(A13,tbMoveset!A2:K112,11,FALSE)=TRUE,Backdoors!AC5,1))*IN13,0),"")</f>
        <v>0</v>
      </c>
      <c r="IR13" s="49">
        <f>VLOOKUP(A13,tbMoveset!A2:G112,7,FALSE)*IFERROR(IF(Backdoors!AI12&gt;=0,1+(IF(Calculator!E40&gt;0,VLOOKUP(Calculator!E40,tbSkills!AI3:AJ5,2,FALSE),Backdoors!AL4)*(IF((Backdoors!AI12+IF(IM13&gt;=0.45,VLOOKUP(Calculator!E23,tbSkills!DH3:DI6,2,FALSE)+IF(AND(Calculator!B8=TRUE,Backdoors!BI38=TRUE),VLOOKUP(Calculator!E23,tbSkills!DH3:DJ6,3,FALSE),0),0))&gt;=100,100,(Backdoors!AI12+IF(IM13&gt;=0.45,VLOOKUP(Calculator!E23,tbSkills!DH3:DI6,2,FALSE)+IF(AND(Calculator!B8=TRUE,Backdoors!BI38=TRUE),VLOOKUP(Calculator!E23,tbSkills!DH3:DJ6,3,FALSE),0),0)))/100)),1),1)</f>
        <v>0.4</v>
      </c>
      <c r="IS13" s="87">
        <f t="shared" si="42"/>
        <v>0</v>
      </c>
      <c r="IT13" s="86" t="str">
        <f>IFERROR(IF(VLOOKUP(A13,tbMoveset!A2:B112,2,FALSE)="Sever",Backdoors!AY39/100,IF(VLOOKUP(A13,tbMoveset!A2:B112,2,FALSE)="Blunt",Backdoors!AZ39/100,Backdoors!BA39/100)),"")</f>
        <v/>
      </c>
      <c r="IU13" s="49">
        <f>IFERROR(IF(VLOOKUP(tbMoveset!A13,tbMoveset!A2:H112,8,FALSE)="Other",IF(VLOOKUP(tbMoveset!A13,tbMoveset!A2:I112,9,FALSE)="Fire",Backdoors!BB39,IF(VLOOKUP(tbMoveset!A13,tbMoveset!A2:I112,9,FALSE)="Water",Backdoors!BC39,IF(VLOOKUP(tbMoveset!A13,tbMoveset!A2:I112,9,FALSE)="Thunder",Backdoors!BD39,IF(VLOOKUP(tbMoveset!A13,tbMoveset!A2:I112,9,FALSE)="Ice",Backdoors!BE39,IF(VLOOKUP(tbMoveset!A13,tbMoveset!A2:I112,9,FALSE)="Dragon",Backdoors!BF39,Backdoors!BG39)))))/100,Backdoors!BG39/100),"")</f>
        <v>0</v>
      </c>
      <c r="IV13" s="49">
        <f>IFERROR(IF(VLOOKUP(A13,tbMoveset!A2:J112,10,FALSE)=TRUE,IF((Backdoors!AI12+IF(IT13&gt;=0.45,VLOOKUP(Calculator!E23,tbSkills!DH3:DI6,2,FALSE)+IF(AND(Calculator!B8=TRUE,Backdoors!BI39=TRUE),VLOOKUP(Calculator!E23,tbSkills!DH3:DJ6,3,FALSE),0),0))&gt;=0,1+(Backdoors!AL2*(IF((Backdoors!AI12+IF(IT13&gt;=0.45,VLOOKUP(Calculator!E23,tbSkills!DH3:DI6,2,FALSE)+IF(AND(Calculator!B8=TRUE,Backdoors!BI39=TRUE),VLOOKUP(Calculator!E23,tbSkills!DH3:DJ6,3,FALSE),0),0))&gt;=100,100,(Backdoors!AI12+IF(IT13&gt;=0.45,VLOOKUP(Calculator!E23,tbSkills!DH3:DI6,2,FALSE)+IF(AND(Calculator!B8=TRUE,Backdoors!BI39=TRUE),VLOOKUP(Calculator!E23,tbSkills!DH3:DJ6,3,FALSE),0),0)))/100)),(1-(0.25*((-Backdoors!AI12-IF(IT13&gt;=0.45,VLOOKUP(Calculator!E23,tbSkills!DH3:DI6,2,FALSE)+IF(AND(Calculator!B8=TRUE,Backdoors!BI39=TRUE),VLOOKUP(Calculator!E23,tbSkills!DH3:DJ6,3,FALSE),0),0))/100)))),1),"")</f>
        <v>1</v>
      </c>
      <c r="IW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T13)*IV13)*(VLOOKUP(A13,tbMoveset!A2:C112,3,FALSE)/100)*IF(VLOOKUP(A13,tbMoveset!A2:B112,2,FALSE)="Projectile",Backdoors!N10,Backdoors!N9),0),"")</f>
        <v/>
      </c>
      <c r="IX13" s="49">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40&gt;0,VLOOKUP(Calculator!E40,tbSkills!AC3:AD5,2,FALSE),Backdoors!AL3)*(IF((Backdoors!AI12+IF(IT13&gt;=0.45,VLOOKUP(Calculator!E23,tbSkills!DH3:DI6,2,FALSE)+IF(AND(Calculator!B8=TRUE,Backdoors!BI39=TRUE),VLOOKUP(Calculator!E23,tbSkills!DH3:DJ6,3,FALSE),0),0))&gt;=100,100,(Backdoors!AI12+IF(IT13&gt;=0.45,VLOOKUP(Calculator!E23,tbSkills!DH3:DI6,2,FALSE)+IF(AND(Calculator!B8=TRUE,Backdoors!BI39=TRUE),VLOOKUP(Calculator!E23,tbSkills!DH3:DJ6,3,FALSE),0),0)))/100)),1))*IF(VLOOKUP(A13,tbMoveset!A2:K112,11,FALSE)=TRUE,Backdoors!AC5,1))*IU13,0),"")</f>
        <v>0</v>
      </c>
      <c r="IY13" s="49">
        <f>VLOOKUP(A13,tbMoveset!A2:G112,7,FALSE)*IFERROR(IF(Backdoors!AI12&gt;=0,1+(IF(Calculator!E40&gt;0,VLOOKUP(Calculator!E40,tbSkills!AI3:AJ5,2,FALSE),Backdoors!AL4)*(IF((Backdoors!AI12+IF(IT13&gt;=0.45,VLOOKUP(Calculator!E23,tbSkills!DH3:DI6,2,FALSE)+IF(AND(Calculator!B8=TRUE,Backdoors!BI39=TRUE),VLOOKUP(Calculator!E23,tbSkills!DH3:DJ6,3,FALSE),0),0))&gt;=100,100,(Backdoors!AI12+IF(IT13&gt;=0.45,VLOOKUP(Calculator!E23,tbSkills!DH3:DI6,2,FALSE)+IF(AND(Calculator!B8=TRUE,Backdoors!BI39=TRUE),VLOOKUP(Calculator!E23,tbSkills!DH3:DJ6,3,FALSE),0),0)))/100)),1),1)</f>
        <v>0.4</v>
      </c>
      <c r="IZ13" s="87">
        <f t="shared" si="28"/>
        <v>0</v>
      </c>
      <c r="JA13" s="86" t="str">
        <f>IFERROR(IF(VLOOKUP(A13,tbMoveset!A2:B112,2,FALSE)="Sever",Backdoors!AY40/100,IF(VLOOKUP(A13,tbMoveset!A2:B112,2,FALSE)="Blunt",Backdoors!AZ40/100,Backdoors!BA40/100)),"")</f>
        <v/>
      </c>
      <c r="JB13" s="49">
        <f>IFERROR(IF(VLOOKUP(tbMoveset!A13,tbMoveset!A2:H112,8,FALSE)="Other",IF(VLOOKUP(tbMoveset!A13,tbMoveset!A2:I112,9,FALSE)="Fire",Backdoors!BB40,IF(VLOOKUP(tbMoveset!A13,tbMoveset!A2:I112,9,FALSE)="Water",Backdoors!BC40,IF(VLOOKUP(tbMoveset!A13,tbMoveset!A2:I112,9,FALSE)="Thunder",Backdoors!BD40,IF(VLOOKUP(tbMoveset!A13,tbMoveset!A2:I112,9,FALSE)="Ice",Backdoors!BE40,IF(VLOOKUP(tbMoveset!A13,tbMoveset!A2:I112,9,FALSE)="Dragon",Backdoors!BF40,Backdoors!BG40)))))/100,Backdoors!BG40/100),"")</f>
        <v>0</v>
      </c>
      <c r="JC13" s="49">
        <f>IFERROR(IF(VLOOKUP(A13,tbMoveset!A2:J112,10,FALSE)=TRUE,IF((Backdoors!AI12+IF(JA13&gt;=0.45,VLOOKUP(Calculator!E23,tbSkills!DH3:DI6,2,FALSE)+IF(AND(Calculator!B8=TRUE,Backdoors!BI40=TRUE),VLOOKUP(Calculator!E23,tbSkills!DH3:DJ6,3,FALSE),0),0))&gt;=0,1+(Backdoors!AL2*(IF((Backdoors!AI12+IF(JA13&gt;=0.45,VLOOKUP(Calculator!E23,tbSkills!DH3:DI6,2,FALSE)+IF(AND(Calculator!B8=TRUE,Backdoors!BI40=TRUE),VLOOKUP(Calculator!E23,tbSkills!DH3:DJ6,3,FALSE),0),0))&gt;=100,100,(Backdoors!AI12+IF(JA13&gt;=0.45,VLOOKUP(Calculator!E23,tbSkills!DH3:DI6,2,FALSE)+IF(AND(Calculator!B8=TRUE,Backdoors!BI40=TRUE),VLOOKUP(Calculator!E23,tbSkills!DH3:DJ6,3,FALSE),0),0)))/100)),(1-(0.25*((-Backdoors!AI12-IF(JA13&gt;=0.45,VLOOKUP(Calculator!E23,tbSkills!DH3:DI6,2,FALSE)+IF(AND(Calculator!B8=TRUE,Backdoors!BI40=TRUE),VLOOKUP(Calculator!E23,tbSkills!DH3:DJ6,3,FALSE),0),0))/100)))),1),"")</f>
        <v>1</v>
      </c>
      <c r="JD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A13)*JC13)*(VLOOKUP(A13,tbMoveset!A2:C112,3,FALSE)/100)*IF(VLOOKUP(A13,tbMoveset!A2:B112,2,FALSE)="Projectile",Backdoors!N10,Backdoors!N9),0),"")</f>
        <v/>
      </c>
      <c r="JE13" s="49">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42&gt;0,VLOOKUP(Calculator!E42,tbSkills!AC3:AD5,2,FALSE),Backdoors!AL3)*(IF((Backdoors!AI12+IF(JA13&gt;=0.45,VLOOKUP(Calculator!E23,tbSkills!DH3:DI6,2,FALSE)+IF(AND(Calculator!B8=TRUE,Backdoors!BI40=TRUE),VLOOKUP(Calculator!E23,tbSkills!DH3:DJ6,3,FALSE),0),0))&gt;=100,100,(Backdoors!AI12+IF(JA13&gt;=0.45,VLOOKUP(Calculator!E23,tbSkills!DH3:DI6,2,FALSE)+IF(AND(Calculator!B8=TRUE,Backdoors!BI40=TRUE),VLOOKUP(Calculator!E23,tbSkills!DH3:DJ6,3,FALSE),0),0)))/100)),1))*IF(VLOOKUP(A13,tbMoveset!A2:K112,11,FALSE)=TRUE,Backdoors!AC5,1))*JB13,0),"")</f>
        <v>0</v>
      </c>
      <c r="JF13" s="49">
        <f>VLOOKUP(A13,tbMoveset!A2:G112,7,FALSE)*IFERROR(IF(Backdoors!AI12&gt;=0,1+(IF(Calculator!E40&gt;0,VLOOKUP(Calculator!E40,tbSkills!AI3:AJ5,2,FALSE),Backdoors!AL4)*(IF((Backdoors!AI12+IF(JA13&gt;=0.45,VLOOKUP(Calculator!E23,tbSkills!DH3:DI6,2,FALSE)+IF(AND(Calculator!B8=TRUE,Backdoors!BI40=TRUE),VLOOKUP(Calculator!E23,tbSkills!DH3:DJ6,3,FALSE),0),0))&gt;=100,100,(Backdoors!AI12+IF(JA13&gt;=0.45,VLOOKUP(Calculator!E23,tbSkills!DH3:DI6,2,FALSE)+IF(AND(Calculator!B8=TRUE,Backdoors!BI40=TRUE),VLOOKUP(Calculator!E23,tbSkills!DH3:DJ6,3,FALSE),0),0)))/100)),1),1)</f>
        <v>0.4</v>
      </c>
      <c r="JG13" s="87">
        <f t="shared" si="29"/>
        <v>0</v>
      </c>
      <c r="JH13" s="86" t="str">
        <f>IFERROR(IF(VLOOKUP(A13,tbMoveset!A2:B112,2,FALSE)="Sever",Backdoors!AY41/100,IF(VLOOKUP(A13,tbMoveset!A2:B112,2,FALSE)="Blunt",Backdoors!AZ41/100,Backdoors!BA41/100)),"")</f>
        <v/>
      </c>
      <c r="JI13" s="49">
        <f>IFERROR(IF(VLOOKUP(tbMoveset!A13,tbMoveset!A2:H112,8,FALSE)="Other",IF(VLOOKUP(tbMoveset!A13,tbMoveset!A2:I112,9,FALSE)="Fire",Backdoors!BB41,IF(VLOOKUP(tbMoveset!A13,tbMoveset!A2:I112,9,FALSE)="Water",Backdoors!BC41,IF(VLOOKUP(tbMoveset!A13,tbMoveset!A2:I112,9,FALSE)="Thunder",Backdoors!BD41,IF(VLOOKUP(tbMoveset!A13,tbMoveset!A2:I112,9,FALSE)="Ice",Backdoors!BE41,IF(VLOOKUP(tbMoveset!A13,tbMoveset!A2:I112,9,FALSE)="Dragon",Backdoors!BF41,Backdoors!BG41)))))/100,Backdoors!BG41/100),"")</f>
        <v>0</v>
      </c>
      <c r="JJ13" s="49">
        <f>IFERROR(IF(VLOOKUP(A13,tbMoveset!A2:J112,10,FALSE)=TRUE,IF((Backdoors!AI12+IF(JH13&gt;=0.45,VLOOKUP(Calculator!E23,tbSkills!DH3:DI6,2,FALSE)+IF(AND(Calculator!B8=TRUE,Backdoors!BI41=TRUE),VLOOKUP(Calculator!E23,tbSkills!DH3:DJ6,3,FALSE),0),0))&gt;=0,1+(Backdoors!AL2*(IF((Backdoors!AI12+IF(JH13&gt;=0.45,VLOOKUP(Calculator!E23,tbSkills!DH3:DI6,2,FALSE)+IF(AND(Calculator!B8=TRUE,Backdoors!BI41=TRUE),VLOOKUP(Calculator!E23,tbSkills!DH3:DJ6,3,FALSE),0),0))&gt;=100,100,(Backdoors!AI12+IF(JH13&gt;=0.45,VLOOKUP(Calculator!E23,tbSkills!DH3:DI6,2,FALSE)+IF(AND(Calculator!B8=TRUE,Backdoors!BI41=TRUE),VLOOKUP(Calculator!E23,tbSkills!DH3:DJ6,3,FALSE),0),0)))/100)),(1-(0.25*((-Backdoors!AI12-IF(JH13&gt;=0.45,VLOOKUP(Calculator!E23,tbSkills!DH3:DI6,2,FALSE)+IF(AND(Calculator!B8=TRUE,Backdoors!BI41=TRUE),VLOOKUP(Calculator!E23,tbSkills!DH3:DJ6,3,FALSE),0),0))/100)))),1),"")</f>
        <v>1</v>
      </c>
      <c r="JK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H13)*JJ13)*(VLOOKUP(A13,tbMoveset!A2:C112,3,FALSE)/100)*IF(VLOOKUP(A13,tbMoveset!A2:B112,2,FALSE)="Projectile",Backdoors!N10,Backdoors!N9),0),"")</f>
        <v/>
      </c>
      <c r="JL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43&gt;0,VLOOKUP(Calculator!E43,tbSkills!AC3:AD5,2,FALSE),Backdoors!AL3)*(IF((Backdoors!AI12+IF(JH13&gt;=0.45,VLOOKUP(Calculator!E23,tbSkills!DH3:DI6,2,FALSE)+IF(AND(Calculator!B8=TRUE,Backdoors!BI41=TRUE),VLOOKUP(Calculator!E23,tbSkills!DH3:DJ6,3,FALSE),0),0))&gt;=100,100,(Backdoors!AI12+IF(JH13&gt;=0.45,VLOOKUP(Calculator!E23,tbSkills!DH3:DI6,2,FALSE)+IF(AND(Calculator!B8=TRUE,Backdoors!BI41=TRUE),VLOOKUP(Calculator!E23,tbSkills!DH3:DJ6,3,FALSE),0),0)))/100)),1))*IF(VLOOKUP(A13,tbMoveset!A2:K112,11,FALSE)=TRUE,Backdoors!AC5,1))*JI13,0),"")</f>
        <v/>
      </c>
      <c r="JM13" s="49">
        <f>VLOOKUP(A13,tbMoveset!A2:G112,7,FALSE)*IFERROR(IF(Backdoors!AI12&gt;=0,1+(IF(Calculator!E40&gt;0,VLOOKUP(Calculator!E40,tbSkills!AI3:AJ5,2,FALSE),Backdoors!AL4)*(IF((Backdoors!AI12+IF(JH13&gt;=0.45,VLOOKUP(Calculator!E23,tbSkills!DH3:DI6,2,FALSE)+IF(AND(Calculator!B8=TRUE,Backdoors!BI41=TRUE),VLOOKUP(Calculator!E23,tbSkills!DH3:DJ6,3,FALSE),0),0))&gt;=100,100,(Backdoors!AI12+IF(JH13&gt;=0.45,VLOOKUP(Calculator!E23,tbSkills!DH3:DI6,2,FALSE)+IF(AND(Calculator!B8=TRUE,Backdoors!BI41=TRUE),VLOOKUP(Calculator!E23,tbSkills!DH3:DJ6,3,FALSE),0),0)))/100)),1),1)</f>
        <v>0.4</v>
      </c>
      <c r="JN13" s="87">
        <f t="shared" si="30"/>
        <v>0</v>
      </c>
      <c r="JO13" s="86" t="str">
        <f>IFERROR(IF(VLOOKUP(A13,tbMoveset!A2:B112,2,FALSE)="Sever",Backdoors!AY42/100,IF(VLOOKUP(A13,tbMoveset!A2:B112,2,FALSE)="Blunt",Backdoors!AZ42/100,Backdoors!BA42/100)),"")</f>
        <v/>
      </c>
      <c r="JP13" s="49">
        <f>IFERROR(IF(VLOOKUP(tbMoveset!A13,tbMoveset!A2:H112,8,FALSE)="Other",IF(VLOOKUP(tbMoveset!A13,tbMoveset!A2:I112,9,FALSE)="Fire",Backdoors!BB42,IF(VLOOKUP(tbMoveset!A13,tbMoveset!A2:I112,9,FALSE)="Water",Backdoors!BC42,IF(VLOOKUP(tbMoveset!A13,tbMoveset!A2:I112,9,FALSE)="Thunder",Backdoors!BD42,IF(VLOOKUP(tbMoveset!A13,tbMoveset!A2:I112,9,FALSE)="Ice",Backdoors!BE42,IF(VLOOKUP(tbMoveset!A13,tbMoveset!A2:I112,9,FALSE)="Dragon",Backdoors!BF42,Backdoors!BG42)))))/100,Backdoors!BG42/100),"")</f>
        <v>0</v>
      </c>
      <c r="JQ13" s="49">
        <f>IFERROR(IF(VLOOKUP(A13,tbMoveset!A2:J112,10,FALSE)=TRUE,IF((Backdoors!AI12+IF(JO13&gt;=0.45,VLOOKUP(Calculator!E23,tbSkills!DH3:DI6,2,FALSE)+IF(AND(Calculator!B8=TRUE,Backdoors!BI42=TRUE),VLOOKUP(Calculator!E23,tbSkills!DH3:DJ6,3,FALSE),0),0))&gt;=0,1+(Backdoors!AL2*(IF((Backdoors!AI12+IF(JO13&gt;=0.45,VLOOKUP(Calculator!E23,tbSkills!DH3:DI6,2,FALSE)+IF(AND(Calculator!B8=TRUE,Backdoors!BI42=TRUE),VLOOKUP(Calculator!E23,tbSkills!DH3:DJ6,3,FALSE),0),0))&gt;=100,100,(Backdoors!AI12+IF(JO13&gt;=0.45,VLOOKUP(Calculator!E23,tbSkills!DH3:DI6,2,FALSE)+IF(AND(Calculator!B8=TRUE,Backdoors!BI42=TRUE),VLOOKUP(Calculator!E23,tbSkills!DH3:DJ6,3,FALSE),0),0)))/100)),(1-(0.25*((-Backdoors!AI12-IF(JO13&gt;=0.45,VLOOKUP(Calculator!E23,tbSkills!DH3:DI6,2,FALSE)+IF(AND(Calculator!B8=TRUE,Backdoors!BI42=TRUE),VLOOKUP(Calculator!E23,tbSkills!DH3:DJ6,3,FALSE),0),0))/100)))),1),"")</f>
        <v>1</v>
      </c>
      <c r="JR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O13)*JQ13)*(VLOOKUP(A13,tbMoveset!A2:C112,3,FALSE)/100)*IF(VLOOKUP(A13,tbMoveset!A2:B112,2,FALSE)="Projectile",Backdoors!N10,Backdoors!N9),0),"")</f>
        <v/>
      </c>
      <c r="JS13" s="49">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45&gt;0,VLOOKUP(Calculator!E45,tbSkills!AC3:AD5,2,FALSE),Backdoors!AL3)*(IF((Backdoors!AI12+IF(JO13&gt;=0.45,VLOOKUP(Calculator!E23,tbSkills!DH3:DI6,2,FALSE)+IF(AND(Calculator!B8=TRUE,Backdoors!BI42=TRUE),VLOOKUP(Calculator!E23,tbSkills!DH3:DJ6,3,FALSE),0),0))&gt;=100,100,(Backdoors!AI12+IF(JO13&gt;=0.45,VLOOKUP(Calculator!E23,tbSkills!DH3:DI6,2,FALSE)+IF(AND(Calculator!B8=TRUE,Backdoors!BI42=TRUE),VLOOKUP(Calculator!E23,tbSkills!DH3:DJ6,3,FALSE),0),0)))/100)),1))*IF(VLOOKUP(A13,tbMoveset!A2:K112,11,FALSE)=TRUE,Backdoors!AC5,1))*JP13,0),"")</f>
        <v>0</v>
      </c>
      <c r="JT13" s="49">
        <f>VLOOKUP(A13,tbMoveset!A2:G112,7,FALSE)*IFERROR(IF(Backdoors!AI12&gt;=0,1+(IF(Calculator!E40&gt;0,VLOOKUP(Calculator!E40,tbSkills!AI3:AJ5,2,FALSE),Backdoors!AL4)*(IF((Backdoors!AI12+IF(JO13&gt;=0.45,VLOOKUP(Calculator!E23,tbSkills!DH3:DI6,2,FALSE)+IF(AND(Calculator!B8=TRUE,Backdoors!BI42=TRUE),VLOOKUP(Calculator!E23,tbSkills!DH3:DJ6,3,FALSE),0),0))&gt;=100,100,(Backdoors!AI12+IF(JO13&gt;=0.45,VLOOKUP(Calculator!E23,tbSkills!DH3:DI6,2,FALSE)+IF(AND(Calculator!B8=TRUE,Backdoors!BI42=TRUE),VLOOKUP(Calculator!E23,tbSkills!DH3:DJ6,3,FALSE),0),0)))/100)),1),1)</f>
        <v>0.4</v>
      </c>
      <c r="JU13" s="87">
        <f t="shared" si="31"/>
        <v>0</v>
      </c>
      <c r="JV13" s="86" t="str">
        <f>IFERROR(IF(VLOOKUP(A13,tbMoveset!A2:B112,2,FALSE)="Sever",Backdoors!AY43/100,IF(VLOOKUP(A13,tbMoveset!A2:B112,2,FALSE)="Blunt",Backdoors!AZ43/100,Backdoors!BA43/100)),"")</f>
        <v/>
      </c>
      <c r="JW13" s="49">
        <f>IFERROR(IF(VLOOKUP(tbMoveset!A13,tbMoveset!A2:H112,8,FALSE)="Other",IF(VLOOKUP(tbMoveset!A13,tbMoveset!A2:I112,9,FALSE)="Fire",Backdoors!BB43,IF(VLOOKUP(tbMoveset!A13,tbMoveset!A2:I112,9,FALSE)="Water",Backdoors!BC43,IF(VLOOKUP(tbMoveset!A13,tbMoveset!A2:I112,9,FALSE)="Thunder",Backdoors!BD43,IF(VLOOKUP(tbMoveset!A13,tbMoveset!A2:I112,9,FALSE)="Ice",Backdoors!BE43,IF(VLOOKUP(tbMoveset!A13,tbMoveset!A2:I112,9,FALSE)="Dragon",Backdoors!BF43,Backdoors!BG43)))))/100,Backdoors!BG43/100),"")</f>
        <v>0</v>
      </c>
      <c r="JX13" s="49">
        <f>IFERROR(IF(VLOOKUP(A13,tbMoveset!A2:J112,10,FALSE)=TRUE,IF((Backdoors!AI12+IF(JV13&gt;=0.45,VLOOKUP(Calculator!E23,tbSkills!DH3:DI6,2,FALSE)+IF(AND(Calculator!B8=TRUE,Backdoors!BI43=TRUE),VLOOKUP(Calculator!E23,tbSkills!DH3:DJ6,3,FALSE),0),0))&gt;=0,1+(Backdoors!AL2*(IF((Backdoors!AI12+IF(JV13&gt;=0.45,VLOOKUP(Calculator!E23,tbSkills!DH3:DI6,2,FALSE)+IF(AND(Calculator!B8=TRUE,Backdoors!BI43=TRUE),VLOOKUP(Calculator!E23,tbSkills!DH3:DJ6,3,FALSE),0),0))&gt;=100,100,(Backdoors!AI12+IF(JV13&gt;=0.45,VLOOKUP(Calculator!E23,tbSkills!DH3:DI6,2,FALSE)+IF(AND(Calculator!B8=TRUE,Backdoors!BI43=TRUE),VLOOKUP(Calculator!E23,tbSkills!DH3:DJ6,3,FALSE),0),0)))/100)),(1-(0.25*((-Backdoors!AI12-IF(JV13&gt;=0.45,VLOOKUP(Calculator!E23,tbSkills!DH3:DI6,2,FALSE)+IF(AND(Calculator!B8=TRUE,Backdoors!BI43=TRUE),VLOOKUP(Calculator!E23,tbSkills!DH3:DJ6,3,FALSE),0),0))/100)))),1),"")</f>
        <v>1</v>
      </c>
      <c r="JY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V13)*JX13)*(VLOOKUP(A13,tbMoveset!A2:C112,3,FALSE)/100)*IF(VLOOKUP(A13,tbMoveset!A2:B112,2,FALSE)="Projectile",Backdoors!N10,Backdoors!N9),0),"")</f>
        <v/>
      </c>
      <c r="JZ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46&gt;0,VLOOKUP(Calculator!E46,tbSkills!AC3:AD5,2,FALSE),Backdoors!AL3)*(IF((Backdoors!AI12+IF(JV13&gt;=0.45,VLOOKUP(Calculator!E23,tbSkills!DH3:DI6,2,FALSE)+IF(AND(Calculator!B8=TRUE,Backdoors!BI43=TRUE),VLOOKUP(Calculator!E23,tbSkills!DH3:DJ6,3,FALSE),0),0))&gt;=100,100,(Backdoors!AI12+IF(JV13&gt;=0.45,VLOOKUP(Calculator!E23,tbSkills!DH3:DI6,2,FALSE)+IF(AND(Calculator!B8=TRUE,Backdoors!BI43=TRUE),VLOOKUP(Calculator!E23,tbSkills!DH3:DJ6,3,FALSE),0),0)))/100)),1))*IF(VLOOKUP(A13,tbMoveset!A2:K112,11,FALSE)=TRUE,Backdoors!AC5,1))*JW13,0),"")</f>
        <v/>
      </c>
      <c r="KA13" s="49">
        <f>VLOOKUP(A13,tbMoveset!A2:G112,7,FALSE)*IFERROR(IF(Backdoors!AI12&gt;=0,1+(IF(Calculator!E40&gt;0,VLOOKUP(Calculator!E40,tbSkills!AI3:AJ5,2,FALSE),Backdoors!AL4)*(IF((Backdoors!AI12+IF(JV13&gt;=0.45,VLOOKUP(Calculator!E23,tbSkills!DH3:DI6,2,FALSE)+IF(AND(Calculator!B8=TRUE,Backdoors!BI43=TRUE),VLOOKUP(Calculator!E23,tbSkills!DH3:DJ6,3,FALSE),0),0))&gt;=100,100,(Backdoors!AI12+IF(JV13&gt;=0.45,VLOOKUP(Calculator!E23,tbSkills!DH3:DI6,2,FALSE)+IF(AND(Calculator!B8=TRUE,Backdoors!BI43=TRUE),VLOOKUP(Calculator!E23,tbSkills!DH3:DJ6,3,FALSE),0),0)))/100)),1),1)</f>
        <v>0.4</v>
      </c>
      <c r="KB13" s="87">
        <f t="shared" si="32"/>
        <v>0</v>
      </c>
      <c r="KC13" s="86" t="str">
        <f>IFERROR(IF(VLOOKUP(A13,tbMoveset!A2:B112,2,FALSE)="Sever",Backdoors!AY44/100,IF(VLOOKUP(A13,tbMoveset!A2:B112,2,FALSE)="Blunt",Backdoors!AZ44/100,Backdoors!BA44/100)),"")</f>
        <v/>
      </c>
      <c r="KD13" s="49">
        <f>IFERROR(IF(VLOOKUP(tbMoveset!A13,tbMoveset!A2:H112,8,FALSE)="Other",IF(VLOOKUP(tbMoveset!A13,tbMoveset!A2:I112,9,FALSE)="Fire",Backdoors!BB44,IF(VLOOKUP(tbMoveset!A13,tbMoveset!A2:I112,9,FALSE)="Water",Backdoors!BC44,IF(VLOOKUP(tbMoveset!A13,tbMoveset!A2:I112,9,FALSE)="Thunder",Backdoors!BD44,IF(VLOOKUP(tbMoveset!A13,tbMoveset!A2:I112,9,FALSE)="Ice",Backdoors!BE44,IF(VLOOKUP(tbMoveset!A13,tbMoveset!A2:I112,9,FALSE)="Dragon",Backdoors!BF44,Backdoors!BG44)))))/100,Backdoors!BG44/100),"")</f>
        <v>0</v>
      </c>
      <c r="KE13" s="49">
        <f>IFERROR(IF(VLOOKUP(A13,tbMoveset!A2:J112,10,FALSE)=TRUE,IF((Backdoors!AI12+IF(KC13&gt;=0.45,VLOOKUP(Calculator!E23,tbSkills!DH3:DI6,2,FALSE)+IF(AND(Calculator!B8=TRUE,Backdoors!BI44=TRUE),VLOOKUP(Calculator!E23,tbSkills!DH3:DJ6,3,FALSE),0),0))&gt;=0,1+(Backdoors!AL2*(IF((Backdoors!AI12+IF(KC13&gt;=0.45,VLOOKUP(Calculator!E23,tbSkills!DH3:DI6,2,FALSE)+IF(AND(Calculator!B8=TRUE,Backdoors!BI44=TRUE),VLOOKUP(Calculator!E23,tbSkills!DH3:DJ6,3,FALSE),0),0))&gt;=100,100,(Backdoors!AI12+IF(KC13&gt;=0.45,VLOOKUP(Calculator!E23,tbSkills!DH3:DI6,2,FALSE)+IF(AND(Calculator!B8=TRUE,Backdoors!BI44=TRUE),VLOOKUP(Calculator!E23,tbSkills!DH3:DJ6,3,FALSE),0),0)))/100)),(1-(0.25*((-Backdoors!AI12-IF(KC13&gt;=0.45,VLOOKUP(Calculator!E23,tbSkills!DH3:DI6,2,FALSE)+IF(AND(Calculator!B8=TRUE,Backdoors!BI44=TRUE),VLOOKUP(Calculator!E23,tbSkills!DH3:DJ6,3,FALSE),0),0))/100)))),1),"")</f>
        <v>1</v>
      </c>
      <c r="KF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KC13)*KE13)*(VLOOKUP(A13,tbMoveset!A2:C112,3,FALSE)/100)*IF(VLOOKUP(A13,tbMoveset!A2:B112,2,FALSE)="Projectile",Backdoors!N10,Backdoors!N9),0),"")</f>
        <v/>
      </c>
      <c r="KG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REF!&gt;0,VLOOKUP(Calculator!#REF!,tbSkills!AC3:AD5,2,FALSE),Backdoors!AL3)*(IF((Backdoors!AI12+IF(KC13&gt;=0.45,VLOOKUP(Calculator!E23,tbSkills!DH3:DI6,2,FALSE)+IF(AND(Calculator!B8=TRUE,Backdoors!BI44=TRUE),VLOOKUP(Calculator!E23,tbSkills!DH3:DJ6,3,FALSE),0),0))&gt;=100,100,(Backdoors!AI12+IF(KC13&gt;=0.45,VLOOKUP(Calculator!E23,tbSkills!DH3:DI6,2,FALSE)+IF(AND(Calculator!B8=TRUE,Backdoors!BI44=TRUE),VLOOKUP(Calculator!E23,tbSkills!DH3:DJ6,3,FALSE),0),0)))/100)),1))*IF(VLOOKUP(A13,tbMoveset!A2:K112,11,FALSE)=TRUE,Backdoors!AC5,1))*KD13,0),"")</f>
        <v/>
      </c>
      <c r="KH13" s="49">
        <f>VLOOKUP(A13,tbMoveset!A2:G112,7,FALSE)*IFERROR(IF(Backdoors!AI12&gt;=0,1+(IF(Calculator!E40&gt;0,VLOOKUP(Calculator!E40,tbSkills!AI3:AJ5,2,FALSE),Backdoors!AL4)*(IF((Backdoors!AI12+IF(KC13&gt;=0.45,VLOOKUP(Calculator!E23,tbSkills!DH3:DI6,2,FALSE)+IF(AND(Calculator!B8=TRUE,Backdoors!BI44=TRUE),VLOOKUP(Calculator!E23,tbSkills!DH3:DJ6,3,FALSE),0),0))&gt;=100,100,(Backdoors!AI12+IF(KC13&gt;=0.45,VLOOKUP(Calculator!E23,tbSkills!DH3:DI6,2,FALSE)+IF(AND(Calculator!B8=TRUE,Backdoors!BI44=TRUE),VLOOKUP(Calculator!E23,tbSkills!DH3:DJ6,3,FALSE),0),0)))/100)),1),1)</f>
        <v>0.4</v>
      </c>
      <c r="KI13" s="87">
        <f t="shared" si="33"/>
        <v>0</v>
      </c>
      <c r="KJ13" s="86" t="str">
        <f>IFERROR(IF(VLOOKUP(A13,tbMoveset!A2:B112,2,FALSE)="Sever",Backdoors!AY45/100,IF(VLOOKUP(A13,tbMoveset!A2:B112,2,FALSE)="Blunt",Backdoors!AZ45/100,Backdoors!BA45/100)),"")</f>
        <v/>
      </c>
      <c r="KK13" s="49">
        <f>IFERROR(IF(VLOOKUP(tbMoveset!A13,tbMoveset!A2:H112,8,FALSE)="Other",IF(VLOOKUP(tbMoveset!A13,tbMoveset!A2:I112,9,FALSE)="Fire",Backdoors!BB45,IF(VLOOKUP(tbMoveset!A13,tbMoveset!A2:I112,9,FALSE)="Water",Backdoors!BC45,IF(VLOOKUP(tbMoveset!A13,tbMoveset!A2:I112,9,FALSE)="Thunder",Backdoors!BD45,IF(VLOOKUP(tbMoveset!A13,tbMoveset!A2:I112,9,FALSE)="Ice",Backdoors!BE45,IF(VLOOKUP(tbMoveset!A13,tbMoveset!A2:I112,9,FALSE)="Dragon",Backdoors!BF45,Backdoors!BG45)))))/100,Backdoors!BG45/100),"")</f>
        <v>0</v>
      </c>
      <c r="KL13" s="49">
        <f>IFERROR(IF(VLOOKUP(A13,tbMoveset!A2:J112,10,FALSE)=TRUE,IF((Backdoors!AI12+IF(KJ13&gt;=0.45,VLOOKUP(Calculator!E23,tbSkills!DH3:DI6,2,FALSE)+IF(AND(Calculator!B8=TRUE,Backdoors!BI45=TRUE),VLOOKUP(Calculator!E23,tbSkills!DH3:DJ6,3,FALSE),0),0))&gt;=0,1+(Backdoors!AL2*(IF((Backdoors!AI12+IF(KJ13&gt;=0.45,VLOOKUP(Calculator!E23,tbSkills!DH3:DI6,2,FALSE)+IF(AND(Calculator!B8=TRUE,Backdoors!BI45=TRUE),VLOOKUP(Calculator!E23,tbSkills!DH3:DJ6,3,FALSE),0),0))&gt;=100,100,(Backdoors!AI12+IF(KJ13&gt;=0.45,VLOOKUP(Calculator!E23,tbSkills!DH3:DI6,2,FALSE)+IF(AND(Calculator!B8=TRUE,Backdoors!BI45=TRUE),VLOOKUP(Calculator!E23,tbSkills!DH3:DJ6,3,FALSE),0),0)))/100)),(1-(0.25*((-Backdoors!AI12-IF(KJ13&gt;=0.45,VLOOKUP(Calculator!E23,tbSkills!DH3:DI6,2,FALSE)+IF(AND(Calculator!B8=TRUE,Backdoors!BI45=TRUE),VLOOKUP(Calculator!E23,tbSkills!DH3:DJ6,3,FALSE),0),0))/100)))),1),"")</f>
        <v>1</v>
      </c>
      <c r="KM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KJ13)*KL13)*(VLOOKUP(A13,tbMoveset!A2:C112,3,FALSE)/100)*IF(VLOOKUP(A13,tbMoveset!A2:B112,2,FALSE)="Projectile",Backdoors!N10,Backdoors!N9),0),"")</f>
        <v/>
      </c>
      <c r="KN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REF!&gt;0,VLOOKUP(Calculator!#REF!,tbSkills!AC3:AD5,2,FALSE),Backdoors!AL3)*(IF((Backdoors!AI12+IF(KJ13&gt;=0.45,VLOOKUP(Calculator!E23,tbSkills!DH3:DI6,2,FALSE)+IF(AND(Calculator!B8=TRUE,Backdoors!BI45=TRUE),VLOOKUP(Calculator!E23,tbSkills!DH3:DJ6,3,FALSE),0),0))&gt;=100,100,(Backdoors!AI12+IF(KJ13&gt;=0.45,VLOOKUP(Calculator!E23,tbSkills!DH3:DI6,2,FALSE)+IF(AND(Calculator!B8=TRUE,Backdoors!BI45=TRUE),VLOOKUP(Calculator!E23,tbSkills!DH3:DJ6,3,FALSE),0),0)))/100)),1))*IF(VLOOKUP(A13,tbMoveset!A2:K112,11,FALSE)=TRUE,Backdoors!AC5,1))*KK13,0),"")</f>
        <v/>
      </c>
      <c r="KO13" s="49">
        <f>VLOOKUP(A13,tbMoveset!A2:G112,7,FALSE)*IFERROR(IF(Backdoors!AI12&gt;=0,1+(IF(Calculator!E40&gt;0,VLOOKUP(Calculator!E40,tbSkills!AI3:AJ5,2,FALSE),Backdoors!AL4)*(IF((Backdoors!AI12+IF(KJ13&gt;=0.45,VLOOKUP(Calculator!E23,tbSkills!DH3:DI6,2,FALSE)+IF(AND(Calculator!B8=TRUE,Backdoors!BI45=TRUE),VLOOKUP(Calculator!E23,tbSkills!DH3:DJ6,3,FALSE),0),0))&gt;=100,100,(Backdoors!AI12+IF(KJ13&gt;=0.45,VLOOKUP(Calculator!E23,tbSkills!DH3:DI6,2,FALSE)+IF(AND(Calculator!B8=TRUE,Backdoors!BI45=TRUE),VLOOKUP(Calculator!E23,tbSkills!DH3:DJ6,3,FALSE),0),0)))/100)),1),1)</f>
        <v>0.4</v>
      </c>
      <c r="KP13" s="87">
        <f t="shared" si="34"/>
        <v>0</v>
      </c>
      <c r="KQ13" s="86" t="str">
        <f>IFERROR(IF(VLOOKUP(A13,tbMoveset!A2:B112,2,FALSE)="Sever",Backdoors!AY46/100,IF(VLOOKUP(A13,tbMoveset!A2:B112,2,FALSE)="Blunt",Backdoors!AZ46/100,Backdoors!BA46/100)),"")</f>
        <v/>
      </c>
      <c r="KR13" s="49">
        <f>IFERROR(IF(VLOOKUP(tbMoveset!A13,tbMoveset!A2:H112,8,FALSE)="Other",IF(VLOOKUP(tbMoveset!A13,tbMoveset!A2:I112,9,FALSE)="Fire",Backdoors!BB46,IF(VLOOKUP(tbMoveset!A13,tbMoveset!A2:I112,9,FALSE)="Water",Backdoors!BC46,IF(VLOOKUP(tbMoveset!A13,tbMoveset!A2:I112,9,FALSE)="Thunder",Backdoors!BD46,IF(VLOOKUP(tbMoveset!A13,tbMoveset!A2:I112,9,FALSE)="Ice",Backdoors!BE46,IF(VLOOKUP(tbMoveset!A13,tbMoveset!A2:I112,9,FALSE)="Dragon",Backdoors!BF46,Backdoors!BG46)))))/100,Backdoors!BG46/100),"")</f>
        <v>0</v>
      </c>
      <c r="KS13" s="49">
        <f>IFERROR(IF(VLOOKUP(A13,tbMoveset!A2:J112,10,FALSE)=TRUE,IF((Backdoors!AI12+IF(KQ13&gt;=0.45,VLOOKUP(Calculator!E23,tbSkills!DH3:DI6,2,FALSE)+IF(AND(Calculator!B8=TRUE,Backdoors!BI46=TRUE),VLOOKUP(Calculator!E23,tbSkills!DH3:DJ6,3,FALSE),0),0))&gt;=0,1+(Backdoors!AL2*(IF((Backdoors!AI12+IF(KQ13&gt;=0.45,VLOOKUP(Calculator!E23,tbSkills!DH3:DI6,2,FALSE)+IF(AND(Calculator!B8=TRUE,Backdoors!BI46=TRUE),VLOOKUP(Calculator!E23,tbSkills!DH3:DJ6,3,FALSE),0),0))&gt;=100,100,(Backdoors!AI12+IF(KQ13&gt;=0.45,VLOOKUP(Calculator!E23,tbSkills!DH3:DI6,2,FALSE)+IF(AND(Calculator!B8=TRUE,Backdoors!BI46=TRUE),VLOOKUP(Calculator!E23,tbSkills!DH3:DJ6,3,FALSE),0),0)))/100)),(1-(0.25*((-Backdoors!AI12-IF(KQ13&gt;=0.45,VLOOKUP(Calculator!E23,tbSkills!DH3:DI6,2,FALSE)+IF(AND(Calculator!B8=TRUE,Backdoors!BI46=TRUE),VLOOKUP(Calculator!E23,tbSkills!DH3:DJ6,3,FALSE),0),0))/100)))),1),"")</f>
        <v>1</v>
      </c>
      <c r="KT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KQ13)*KS13)*(VLOOKUP(A13,tbMoveset!A2:C112,3,FALSE)/100)*IF(VLOOKUP(A13,tbMoveset!A2:B112,2,FALSE)="Projectile",Backdoors!N10,Backdoors!N9),0),"")</f>
        <v/>
      </c>
      <c r="KU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REF!&gt;0,VLOOKUP(Calculator!#REF!,tbSkills!AC3:AD5,2,FALSE),Backdoors!AL3)*(IF((Backdoors!AI12+IF(KQ13&gt;=0.45,VLOOKUP(Calculator!E23,tbSkills!DH3:DI6,2,FALSE)+IF(AND(Calculator!B8=TRUE,Backdoors!BI46=TRUE),VLOOKUP(Calculator!E23,tbSkills!DH3:DJ6,3,FALSE),0),0))&gt;=100,100,(Backdoors!AI12+IF(KQ13&gt;=0.45,VLOOKUP(Calculator!E23,tbSkills!DH3:DI6,2,FALSE)+IF(AND(Calculator!B8=TRUE,Backdoors!BI46=TRUE),VLOOKUP(Calculator!E23,tbSkills!DH3:DJ6,3,FALSE),0),0)))/100)),1))*IF(VLOOKUP(A13,tbMoveset!A2:K112,11,FALSE)=TRUE,Backdoors!AC5,1))*KR13,0),"")</f>
        <v/>
      </c>
      <c r="KV13" s="49">
        <f>VLOOKUP(A13,tbMoveset!A2:G112,7,FALSE)*IFERROR(IF(Backdoors!AI12&gt;=0,1+(IF(Calculator!E40&gt;0,VLOOKUP(Calculator!E40,tbSkills!AI3:AJ5,2,FALSE),Backdoors!AL4)*(IF((Backdoors!AI12+IF(KQ13&gt;=0.45,VLOOKUP(Calculator!E23,tbSkills!DH3:DI6,2,FALSE)+IF(AND(Calculator!B8=TRUE,Backdoors!BI46=TRUE),VLOOKUP(Calculator!E23,tbSkills!DH3:DJ6,3,FALSE),0),0))&gt;=100,100,(Backdoors!AI12+IF(KQ13&gt;=0.45,VLOOKUP(Calculator!E23,tbSkills!DH3:DI6,2,FALSE)+IF(AND(Calculator!B8=TRUE,Backdoors!BI46=TRUE),VLOOKUP(Calculator!E23,tbSkills!DH3:DJ6,3,FALSE),0),0)))/100)),1),1)</f>
        <v>0.4</v>
      </c>
      <c r="KW13" s="87">
        <f t="shared" si="35"/>
        <v>0</v>
      </c>
    </row>
    <row r="14" spans="1:309" x14ac:dyDescent="0.25">
      <c r="A14" s="95" t="str">
        <f>tbMoveset!A14</f>
        <v>Rising Slash (After Lunging Strike)</v>
      </c>
      <c r="B14" s="86">
        <f>IFERROR(IF(VLOOKUP(A14,tbMoveset!A2:B112,2,FALSE)="Sever",Backdoors!AY3/100,IF(VLOOKUP(A14,tbMoveset!A2:B112,2,FALSE)="Blunt",Backdoors!AZ3/100,Backdoors!BA3/100)),"")</f>
        <v>0.8</v>
      </c>
      <c r="C14" s="49">
        <f>IFERROR(IF(VLOOKUP(tbMoveset!A14,tbMoveset!A2:H112,8,FALSE)="Other",IF(VLOOKUP(tbMoveset!A14,tbMoveset!A2:I112,9,FALSE)="Fire",Backdoors!BB3,IF(VLOOKUP(tbMoveset!A14,tbMoveset!A2:I112,9,FALSE)="Water",Backdoors!BC3,IF(VLOOKUP(tbMoveset!A14,tbMoveset!A2:I112,9,FALSE)="Thunder",Backdoors!BD3,IF(VLOOKUP(tbMoveset!A14,tbMoveset!A2:I112,9,FALSE)="Ice",Backdoors!BE3,IF(VLOOKUP(tbMoveset!A14,tbMoveset!A2:I112,9,FALSE)="Dragon",Backdoors!BF3,Backdoors!BG3)))))/100,Backdoors!BG3/100),"")</f>
        <v>0</v>
      </c>
      <c r="D14" s="49">
        <f>IFERROR(IF(VLOOKUP(A14,tbMoveset!A2:J112,10,FALSE)=TRUE,IF((Backdoors!AI12+IF(B14&gt;=0.45,VLOOKUP(Calculator!E23,tbSkills!DH3:DI6,2,FALSE)+IF(AND(Calculator!B8=TRUE,Backdoors!BI3=TRUE),VLOOKUP(Calculator!E23,tbSkills!DH3:DJ6,3,FALSE),0),0))&gt;=0,1+(Backdoors!AL2*(IF((Backdoors!AI12+IF(B14&gt;=0.45,VLOOKUP(Calculator!E23,tbSkills!DH3:DI6,2,FALSE)+IF(AND(Calculator!B8=TRUE,Backdoors!BI3=TRUE),VLOOKUP(Calculator!E23,tbSkills!DH3:DJ6,3,FALSE),0),0))&gt;=100,100,(Backdoors!AI12+IF(B14&gt;=0.45,VLOOKUP(Calculator!E23,tbSkills!DH3:DI6,2,FALSE)+IF(AND(Calculator!B8=TRUE,Backdoors!BI3=TRUE),VLOOKUP(Calculator!E23,tbSkills!DH3:DJ6,3,FALSE),0),0)))/100)),(1-(0.25*((-Backdoors!AI12-IF(B14&gt;=0.45,VLOOKUP(Calculator!E23,tbSkills!DH3:DI6,2,FALSE)+IF(AND(Calculator!B8=TRUE,Backdoors!BI3=TRUE),VLOOKUP(Calculator!E23,tbSkills!DH3:DJ6,3,FALSE),0),0))/100)))),1),"")</f>
        <v>1</v>
      </c>
      <c r="E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14)*D14)*(VLOOKUP(A14,tbMoveset!A2:C112,3,FALSE)/100)*IF(VLOOKUP(A14,tbMoveset!A2:B112,2,FALSE)="Projectile",Backdoors!N10,Backdoors!N9),0),"")</f>
        <v>5</v>
      </c>
      <c r="F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14&gt;=0.45,VLOOKUP(Calculator!E23,tbSkills!DH3:DI6,2,FALSE)+IF(AND(Calculator!B8=TRUE,Backdoors!BI3=TRUE),VLOOKUP(Calculator!E23,tbSkills!DH3:DJ6,3,FALSE),0),0))&gt;=100,100,(Backdoors!AI12+IF(B14&gt;=0.45,VLOOKUP(Calculator!E23,tbSkills!DH3:DI6,2,FALSE)+IF(AND(Calculator!B8=TRUE,Backdoors!BI3=TRUE),VLOOKUP(Calculator!E23,tbSkills!DH3:DJ6,3,FALSE),0),0)))/100)),1))*IF(VLOOKUP(A14,tbMoveset!A2:K112,11,FALSE)=TRUE,Backdoors!AC5,1))*C14,0),"")</f>
        <v>0</v>
      </c>
      <c r="G14">
        <f>VLOOKUP(A14,tbMoveset!A2:G112,7,FALSE)*IFERROR(IF(Backdoors!AI12&gt;=0,1+(IF(Calculator!E40&gt;0,VLOOKUP(Calculator!E40,tbSkills!AI3:AJ5,2,FALSE),Backdoors!AL4)*(IF((Backdoors!AI12+IF(B14&gt;=0.45,VLOOKUP(Calculator!E23,tbSkills!DH3:DI6,2,FALSE)+IF(AND(Calculator!B8=TRUE,Backdoors!BI3=TRUE),VLOOKUP(Calculator!E23,tbSkills!DH3:DJ6,3,FALSE),0),0))&gt;=100,100,(Backdoors!AI12+IF(B14&gt;=0.45,VLOOKUP(Calculator!E23,tbSkills!DH3:DI6,2,FALSE)+IF(AND(Calculator!B8=TRUE,Backdoors!BI3=TRUE),VLOOKUP(Calculator!E23,tbSkills!DH3:DJ6,3,FALSE),0),0)))/100)),1),1)</f>
        <v>0.4</v>
      </c>
      <c r="H14" s="87">
        <f t="shared" si="43"/>
        <v>5</v>
      </c>
      <c r="I14" s="86">
        <f>IFERROR(IF(VLOOKUP(A14,tbMoveset!A2:B112,2,FALSE)="Sever",Backdoors!AY4/100,IF(VLOOKUP(A14,tbMoveset!A2:B112,2,FALSE)="Blunt",Backdoors!AZ4/100,Backdoors!BA4/100)),"")</f>
        <v>0.65</v>
      </c>
      <c r="J14" s="49">
        <f>IFERROR(IF(VLOOKUP(tbMoveset!A14,tbMoveset!A2:H112,8,FALSE)="Other",IF(VLOOKUP(tbMoveset!A14,tbMoveset!A2:I112,9,FALSE)="Fire",Backdoors!BB4,IF(VLOOKUP(tbMoveset!A14,tbMoveset!A2:I112,9,FALSE)="Water",Backdoors!BC4,IF(VLOOKUP(tbMoveset!A14,tbMoveset!A2:I112,9,FALSE)="Thunder",Backdoors!BD4,IF(VLOOKUP(tbMoveset!A14,tbMoveset!A2:I112,9,FALSE)="Ice",Backdoors!BE4,IF(VLOOKUP(tbMoveset!A14,tbMoveset!A2:I112,9,FALSE)="Dragon",Backdoors!BF4,Backdoors!BG4)))))/100,Backdoors!BG4/100),"")</f>
        <v>0</v>
      </c>
      <c r="K14" s="49">
        <f>IFERROR(IF(VLOOKUP(A14,tbMoveset!A2:J112,10,FALSE)=TRUE,IF((Backdoors!AI12+IF(I14&gt;=0.45,VLOOKUP(Calculator!E23,tbSkills!DH3:DI6,2,FALSE)+IF(AND(Calculator!B8=TRUE,Backdoors!BI4=TRUE),VLOOKUP(Calculator!E23,tbSkills!DH3:DJ6,3,FALSE),0),0))&gt;=0,1+(Backdoors!AL2*(IF((Backdoors!AI12+IF(I14&gt;=0.45,VLOOKUP(Calculator!E23,tbSkills!DH3:DI6,2,FALSE)+IF(AND(Calculator!B8=TRUE,Backdoors!BI4=TRUE),VLOOKUP(Calculator!E23,tbSkills!DH3:DJ6,3,FALSE),0),0))&gt;=100,100,(Backdoors!AI12+IF(I14&gt;=0.45,VLOOKUP(Calculator!E23,tbSkills!DH3:DI6,2,FALSE)+IF(AND(Calculator!B8=TRUE,Backdoors!BI4=TRUE),VLOOKUP(Calculator!E23,tbSkills!DH3:DJ6,3,FALSE),0),0)))/100)),(1-(0.25*((-Backdoors!AI12-IF(I14&gt;=0.45,VLOOKUP(Calculator!E23,tbSkills!DH3:DI6,2,FALSE)+IF(AND(Calculator!B8=TRUE,Backdoors!BI4=TRUE),VLOOKUP(Calculator!E23,tbSkills!DH3:DJ6,3,FALSE),0),0))/100)))),1),"")</f>
        <v>1</v>
      </c>
      <c r="L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14)*K14)*(VLOOKUP(A14,tbMoveset!A2:C112,3,FALSE)/100)*IF(VLOOKUP(A14,tbMoveset!A2:B112,2,FALSE)="Projectile",Backdoors!N10,Backdoors!N9),0),"")</f>
        <v>4</v>
      </c>
      <c r="M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I14&gt;=0.45,VLOOKUP(Calculator!E23,tbSkills!DH3:DI6,2,FALSE)+IF(AND(Calculator!B8=TRUE,Backdoors!BI4=TRUE),VLOOKUP(Calculator!E23,tbSkills!DH3:DJ6,3,FALSE),0),0))&gt;=100,100,(Backdoors!AI12+IF(I14&gt;=0.45,VLOOKUP(Calculator!E23,tbSkills!DH3:DI6,2,FALSE)+IF(AND(Calculator!B8=TRUE,Backdoors!BI4=TRUE),VLOOKUP(Calculator!E23,tbSkills!DH3:DJ6,3,FALSE),0),0)))/100)),1))*IF(VLOOKUP(A14,tbMoveset!A2:K112,11,FALSE)=TRUE,Backdoors!AC5,1))*J14,0),"")</f>
        <v>0</v>
      </c>
      <c r="N14" s="49">
        <f>VLOOKUP(A14,tbMoveset!A2:G112,7,FALSE)*IFERROR(IF(Backdoors!AI12&gt;=0,1+(IF(Calculator!E40&gt;0,VLOOKUP(Calculator!E40,tbSkills!AI3:AJ5,2,FALSE),Backdoors!AL4)*(IF((Backdoors!AI12+IF(I14&gt;=0.45,VLOOKUP(Calculator!E23,tbSkills!DH3:DI6,2,FALSE)+IF(AND(Calculator!B8=TRUE,Backdoors!BI4=TRUE),VLOOKUP(Calculator!E23,tbSkills!DH3:DJ6,3,FALSE),0),0))&gt;=100,100,(Backdoors!AI12+IF(I14&gt;=0.45,VLOOKUP(Calculator!E23,tbSkills!DH3:DI6,2,FALSE)+IF(AND(Calculator!B8=TRUE,Backdoors!BI4=TRUE),VLOOKUP(Calculator!E23,tbSkills!DH3:DJ6,3,FALSE),0),0)))/100)),1),1)</f>
        <v>0.4</v>
      </c>
      <c r="O14" s="87">
        <f t="shared" si="36"/>
        <v>4</v>
      </c>
      <c r="P14" s="86">
        <f>IFERROR(IF(VLOOKUP(A14,tbMoveset!A2:B112,2,FALSE)="Sever",Backdoors!AY5/100,IF(VLOOKUP(A14,tbMoveset!A2:B112,2,FALSE)="Blunt",Backdoors!AZ5/100,Backdoors!BA5/100)),"")</f>
        <v>0.5</v>
      </c>
      <c r="Q14" s="49">
        <f>IFERROR(IF(VLOOKUP(tbMoveset!A14,tbMoveset!A2:H112,8,FALSE)="Other",IF(VLOOKUP(tbMoveset!A14,tbMoveset!A2:I112,9,FALSE)="Fire",Backdoors!BB5,IF(VLOOKUP(tbMoveset!A14,tbMoveset!A2:I112,9,FALSE)="Water",Backdoors!BC5,IF(VLOOKUP(tbMoveset!A14,tbMoveset!A2:I112,9,FALSE)="Thunder",Backdoors!BD5,IF(VLOOKUP(tbMoveset!A14,tbMoveset!A2:I112,9,FALSE)="Ice",Backdoors!BE5,IF(VLOOKUP(tbMoveset!A14,tbMoveset!A2:I112,9,FALSE)="Dragon",Backdoors!BF5,Backdoors!BG5)))))/100,Backdoors!BG5/100),"")</f>
        <v>0</v>
      </c>
      <c r="R14" s="49">
        <f>IFERROR(IF(VLOOKUP(A14,tbMoveset!A2:J112,10,FALSE)=TRUE,IF((Backdoors!AI12+IF(P14&gt;=0.45,VLOOKUP(Calculator!E23,tbSkills!DH3:DI6,2,FALSE)+IF(AND(Calculator!B8=TRUE,Backdoors!BI5=TRUE),VLOOKUP(Calculator!E23,tbSkills!DH3:DJ6,3,FALSE),0),0))&gt;=0,1+(Backdoors!AL2*(IF((Backdoors!AI12+IF(P14&gt;=0.45,VLOOKUP(Calculator!E23,tbSkills!DH3:DI6,2,FALSE)+IF(AND(Calculator!B8=TRUE,Backdoors!BI5=TRUE),VLOOKUP(Calculator!E23,tbSkills!DH3:DJ6,3,FALSE),0),0))&gt;=100,100,(Backdoors!AI12+IF(P14&gt;=0.45,VLOOKUP(Calculator!E23,tbSkills!DH3:DI6,2,FALSE)+IF(AND(Calculator!B8=TRUE,Backdoors!BI5=TRUE),VLOOKUP(Calculator!E23,tbSkills!DH3:DJ6,3,FALSE),0),0)))/100)),(1-(0.25*((-Backdoors!AI12-IF(P14&gt;=0.45,VLOOKUP(Calculator!E23,tbSkills!DH3:DI6,2,FALSE)+IF(AND(Calculator!B8=TRUE,Backdoors!BI5=TRUE),VLOOKUP(Calculator!E23,tbSkills!DH3:DJ6,3,FALSE),0),0))/100)))),1),"")</f>
        <v>1</v>
      </c>
      <c r="S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P14)*R14)*(VLOOKUP(A14,tbMoveset!A2:C112,3,FALSE)/100)*IF(VLOOKUP(A14,tbMoveset!A2:B112,2,FALSE)="Projectile",Backdoors!N10,Backdoors!N9),0),"")</f>
        <v>3</v>
      </c>
      <c r="T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P14&gt;=0.45,VLOOKUP(Calculator!E23,tbSkills!DH3:DI6,2,FALSE)+IF(AND(Calculator!B8=TRUE,Backdoors!BI5=TRUE),VLOOKUP(Calculator!E23,tbSkills!DH3:DJ6,3,FALSE),0),0))&gt;=100,100,(Backdoors!AI12+IF(P14&gt;=0.45,VLOOKUP(Calculator!E23,tbSkills!DH3:DI6,2,FALSE)+IF(AND(Calculator!B8=TRUE,Backdoors!BI5=TRUE),VLOOKUP(Calculator!E23,tbSkills!DH3:DJ6,3,FALSE),0),0)))/100)),1))*IF(VLOOKUP(A14,tbMoveset!A2:K112,11,FALSE)=TRUE,Backdoors!AC5,1))*Q14,0),"")</f>
        <v>0</v>
      </c>
      <c r="U14" s="49">
        <f>VLOOKUP(A14,tbMoveset!A2:G112,7,FALSE)*IFERROR(IF(Backdoors!AI12&gt;=0,1+(IF(Calculator!E40&gt;0,VLOOKUP(Calculator!E40,tbSkills!AI3:AJ5,2,FALSE),Backdoors!AL4)*(IF((Backdoors!AI12+IF(P14&gt;=0.45,VLOOKUP(Calculator!E23,tbSkills!DH3:DI6,2,FALSE)+IF(AND(Calculator!B8=TRUE,Backdoors!BI5=TRUE),VLOOKUP(Calculator!E23,tbSkills!DH3:DJ6,3,FALSE),0),0))&gt;=100,100,(Backdoors!AI12+IF(P14&gt;=0.45,VLOOKUP(Calculator!E23,tbSkills!DH3:DI6,2,FALSE)+IF(AND(Calculator!B8=TRUE,Backdoors!BI5=TRUE),VLOOKUP(Calculator!E23,tbSkills!DH3:DJ6,3,FALSE),0),0)))/100)),1),1)</f>
        <v>0.4</v>
      </c>
      <c r="V14" s="87">
        <f t="shared" si="37"/>
        <v>3</v>
      </c>
      <c r="W14" s="86">
        <f>IFERROR(IF(VLOOKUP(A14,tbMoveset!A2:B112,2,FALSE)="Sever",Backdoors!AY6/100,IF(VLOOKUP(A14,tbMoveset!A2:B112,2,FALSE)="Blunt",Backdoors!AZ6/100,Backdoors!BA6/100)),"")</f>
        <v>0.45</v>
      </c>
      <c r="X14" s="49">
        <f>IFERROR(IF(VLOOKUP(tbMoveset!A14,tbMoveset!A2:H112,8,FALSE)="Other",IF(VLOOKUP(tbMoveset!A14,tbMoveset!A2:I112,9,FALSE)="Fire",Backdoors!BB6,IF(VLOOKUP(tbMoveset!A14,tbMoveset!A2:I112,9,FALSE)="Water",Backdoors!BC6,IF(VLOOKUP(tbMoveset!A14,tbMoveset!A2:I112,9,FALSE)="Thunder",Backdoors!BD6,IF(VLOOKUP(tbMoveset!A14,tbMoveset!A2:I112,9,FALSE)="Ice",Backdoors!BE6,IF(VLOOKUP(tbMoveset!A14,tbMoveset!A2:I112,9,FALSE)="Dragon",Backdoors!BF6,Backdoors!BG6)))))/100,Backdoors!BG6/100),"")</f>
        <v>0</v>
      </c>
      <c r="Y14" s="49">
        <f>IFERROR(IF(VLOOKUP(A14,tbMoveset!A2:J112,10,FALSE)=TRUE,IF((Backdoors!AI12+IF(W14&gt;=0.45,VLOOKUP(Calculator!E23,tbSkills!DH3:DI6,2,FALSE)+IF(AND(Calculator!B8=TRUE,Backdoors!BI6=TRUE),VLOOKUP(Calculator!E23,tbSkills!DH3:DJ6,3,FALSE),0),0))&gt;=0,1+(Backdoors!AL2*(IF((Backdoors!AI12+IF(W14&gt;=0.45,VLOOKUP(Calculator!E23,tbSkills!DH3:DI6,2,FALSE)+IF(AND(Calculator!B8=TRUE,Backdoors!BI6=TRUE),VLOOKUP(Calculator!E23,tbSkills!DH3:DJ6,3,FALSE),0),0))&gt;=100,100,(Backdoors!AI12+IF(W14&gt;=0.45,VLOOKUP(Calculator!E23,tbSkills!DH3:DI6,2,FALSE)+IF(AND(Calculator!B8=TRUE,Backdoors!BI6=TRUE),VLOOKUP(Calculator!E23,tbSkills!DH3:DJ6,3,FALSE),0),0)))/100)),(1-(0.25*((-Backdoors!AI12-IF(W14&gt;=0.45,VLOOKUP(Calculator!E23,tbSkills!DH3:DI6,2,FALSE)+IF(AND(Calculator!B8=TRUE,Backdoors!BI6=TRUE),VLOOKUP(Calculator!E23,tbSkills!DH3:DJ6,3,FALSE),0),0))/100)))),1),"")</f>
        <v>1</v>
      </c>
      <c r="Z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W14)*Y14)*(VLOOKUP(A14,tbMoveset!A2:C112,3,FALSE)/100)*IF(VLOOKUP(A14,tbMoveset!A2:B112,2,FALSE)="Projectile",Backdoors!N10,Backdoors!N9),0),"")</f>
        <v>3</v>
      </c>
      <c r="AA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W14&gt;=0.45,VLOOKUP(Calculator!E23,tbSkills!DH3:DI6,2,FALSE)+IF(AND(Calculator!B8=TRUE,Backdoors!BI6=TRUE),VLOOKUP(Calculator!E23,tbSkills!DH3:DJ6,3,FALSE),0),0))&gt;=100,100,(Backdoors!AI12+IF(W14&gt;=0.45,VLOOKUP(Calculator!E23,tbSkills!DH3:DI6,2,FALSE)+IF(AND(Calculator!B8=TRUE,Backdoors!BI6=TRUE),VLOOKUP(Calculator!E23,tbSkills!DH3:DJ6,3,FALSE),0),0)))/100)),1))*IF(VLOOKUP(A14,tbMoveset!A2:K112,11,FALSE)=TRUE,Backdoors!AC5,1))*X14,0),"")</f>
        <v>0</v>
      </c>
      <c r="AB14" s="49">
        <f>VLOOKUP(A14,tbMoveset!A2:G112,7,FALSE)*IFERROR(IF(Backdoors!AI12&gt;=0,1+(IF(Calculator!E40&gt;0,VLOOKUP(Calculator!E40,tbSkills!AI3:AJ5,2,FALSE),Backdoors!AL4)*(IF((Backdoors!AI12+IF(W14&gt;=0.45,VLOOKUP(Calculator!E23,tbSkills!DH3:DI6,2,FALSE)+IF(AND(Calculator!B8=TRUE,Backdoors!BI6=TRUE),VLOOKUP(Calculator!E23,tbSkills!DH3:DJ6,3,FALSE),0),0))&gt;=100,100,(Backdoors!AI12+IF(W14&gt;=0.45,VLOOKUP(Calculator!E23,tbSkills!DH3:DI6,2,FALSE)+IF(AND(Calculator!B8=TRUE,Backdoors!BI6=TRUE),VLOOKUP(Calculator!E23,tbSkills!DH3:DJ6,3,FALSE),0),0)))/100)),1),1)</f>
        <v>0.4</v>
      </c>
      <c r="AC14" s="87">
        <f t="shared" si="0"/>
        <v>3</v>
      </c>
      <c r="AD14" s="86">
        <f>IFERROR(IF(VLOOKUP(A14,tbMoveset!A2:B112,2,FALSE)="Sever",Backdoors!AY7/100,IF(VLOOKUP(A14,tbMoveset!A2:B112,2,FALSE)="Blunt",Backdoors!AZ7/100,Backdoors!BA7/100)),"")</f>
        <v>0.65</v>
      </c>
      <c r="AE14" s="49">
        <f>IFERROR(IF(VLOOKUP(tbMoveset!A14,tbMoveset!A2:H112,8,FALSE)="Other",IF(VLOOKUP(tbMoveset!A14,tbMoveset!A2:I112,9,FALSE)="Fire",Backdoors!BB7,IF(VLOOKUP(tbMoveset!A14,tbMoveset!A2:I112,9,FALSE)="Water",Backdoors!BC7,IF(VLOOKUP(tbMoveset!A14,tbMoveset!A2:I112,9,FALSE)="Thunder",Backdoors!BD7,IF(VLOOKUP(tbMoveset!A14,tbMoveset!A2:I112,9,FALSE)="Ice",Backdoors!BE7,IF(VLOOKUP(tbMoveset!A14,tbMoveset!A2:I112,9,FALSE)="Dragon",Backdoors!BF7,Backdoors!BG7)))))/100,Backdoors!BG7/100),"")</f>
        <v>0</v>
      </c>
      <c r="AF14" s="49">
        <f>IFERROR(IF(VLOOKUP(A14,tbMoveset!A2:J112,10,FALSE)=TRUE,IF((Backdoors!AI12+IF(AD14&gt;=0.45,VLOOKUP(Calculator!E23,tbSkills!DH3:DI6,2,FALSE)+IF(AND(Calculator!B8=TRUE,Backdoors!BI7=TRUE),VLOOKUP(Calculator!E23,tbSkills!DH3:DJ6,3,FALSE),0),0))&gt;=0,1+(Backdoors!AL2*(IF((Backdoors!AI12+IF(AD14&gt;=0.45,VLOOKUP(Calculator!E23,tbSkills!DH3:DI6,2,FALSE)+IF(AND(Calculator!B8=TRUE,Backdoors!BI7=TRUE),VLOOKUP(Calculator!E23,tbSkills!DH3:DJ6,3,FALSE),0),0))&gt;=100,100,(Backdoors!AI12+IF(AD14&gt;=0.45,VLOOKUP(Calculator!E23,tbSkills!DH3:DI6,2,FALSE)+IF(AND(Calculator!B8=TRUE,Backdoors!BI7=TRUE),VLOOKUP(Calculator!E23,tbSkills!DH3:DJ6,3,FALSE),0),0)))/100)),(1-(0.25*((-Backdoors!AI12-IF(AD14&gt;=0.45,VLOOKUP(Calculator!E23,tbSkills!DH3:DI6,2,FALSE)+IF(AND(Calculator!B8=TRUE,Backdoors!BI7=TRUE),VLOOKUP(Calculator!E23,tbSkills!DH3:DJ6,3,FALSE),0),0))/100)))),1),"")</f>
        <v>1</v>
      </c>
      <c r="AG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D14)*AF14)*(VLOOKUP(A14,tbMoveset!A2:C112,3,FALSE)/100)*IF(VLOOKUP(A14,tbMoveset!A2:B112,2,FALSE)="Projectile",Backdoors!N10,Backdoors!N9),0),"")</f>
        <v>4</v>
      </c>
      <c r="AH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D14&gt;=0.45,VLOOKUP(Calculator!E23,tbSkills!DH3:DI6,2,FALSE)+IF(AND(Calculator!B8=TRUE,Backdoors!BI7=TRUE),VLOOKUP(Calculator!E23,tbSkills!DH3:DJ6,3,FALSE),0),0))&gt;=100,100,(Backdoors!AI12+IF(AD14&gt;=0.45,VLOOKUP(Calculator!E23,tbSkills!DH3:DI6,2,FALSE)+IF(AND(Calculator!B8=TRUE,Backdoors!BI7=TRUE),VLOOKUP(Calculator!E23,tbSkills!DH3:DJ6,3,FALSE),0),0)))/100)),1))*IF(VLOOKUP(A14,tbMoveset!A2:K112,11,FALSE)=TRUE,Backdoors!AC5,1))*AE14,0),"")</f>
        <v>0</v>
      </c>
      <c r="AI14" s="49">
        <f>VLOOKUP(A14,tbMoveset!A2:G112,7,FALSE)*IFERROR(IF(Backdoors!AI12&gt;=0,1+(IF(Calculator!E40&gt;0,VLOOKUP(Calculator!E40,tbSkills!AI3:AJ5,2,FALSE),Backdoors!AL4)*(IF((Backdoors!AI12+IF(AD14&gt;=0.45,VLOOKUP(Calculator!E23,tbSkills!DH3:DI6,2,FALSE)+IF(AND(Calculator!B8=TRUE,Backdoors!BI7=TRUE),VLOOKUP(Calculator!E23,tbSkills!DH3:DJ6,3,FALSE),0),0))&gt;=100,100,(Backdoors!AI12+IF(AD14&gt;=0.45,VLOOKUP(Calculator!E23,tbSkills!DH3:DI6,2,FALSE)+IF(AND(Calculator!B8=TRUE,Backdoors!BI7=TRUE),VLOOKUP(Calculator!E23,tbSkills!DH3:DJ6,3,FALSE),0),0)))/100)),1),1)</f>
        <v>0.4</v>
      </c>
      <c r="AJ14" s="87">
        <f t="shared" si="1"/>
        <v>4</v>
      </c>
      <c r="AK14" s="91">
        <f>IFERROR(IF(VLOOKUP(A14,tbMoveset!A2:B112,2,FALSE)="Sever",Backdoors!AY8/100,IF(VLOOKUP(A14,tbMoveset!A2:B112,2,FALSE)="Blunt",Backdoors!AZ8/100,Backdoors!BA8/100)),"")</f>
        <v>0.45</v>
      </c>
      <c r="AL14" s="49">
        <f>IFERROR(IF(VLOOKUP(tbMoveset!A14,tbMoveset!A2:H112,8,FALSE)="Other",IF(VLOOKUP(tbMoveset!A14,tbMoveset!A2:I112,9,FALSE)="Fire",Backdoors!BB8,IF(VLOOKUP(tbMoveset!A14,tbMoveset!A2:I112,9,FALSE)="Water",Backdoors!BC8,IF(VLOOKUP(tbMoveset!A14,tbMoveset!A2:I112,9,FALSE)="Thunder",Backdoors!BD8,IF(VLOOKUP(tbMoveset!A14,tbMoveset!A2:I112,9,FALSE)="Ice",Backdoors!BE8,IF(VLOOKUP(tbMoveset!A14,tbMoveset!A2:I112,9,FALSE)="Dragon",Backdoors!BF8,Backdoors!BG8)))))/100,Backdoors!BG8/100),"")</f>
        <v>0</v>
      </c>
      <c r="AM14" s="49">
        <f>IFERROR(IF(VLOOKUP(A14,tbMoveset!A2:J112,10,FALSE)=TRUE,IF((Backdoors!AI12+IF(AK14&gt;=0.45,VLOOKUP(Calculator!E23,tbSkills!DH3:DI6,2,FALSE)+IF(AND(Calculator!B8=TRUE,Backdoors!BI8=TRUE),VLOOKUP(Calculator!E23,tbSkills!DH3:DJ6,3,FALSE),0),0))&gt;=0,1+(Backdoors!AL2*(IF((Backdoors!AI12+IF(AK14&gt;=0.45,VLOOKUP(Calculator!E23,tbSkills!DH3:DI6,2,FALSE)+IF(AND(Calculator!B8=TRUE,Backdoors!BI8=TRUE),VLOOKUP(Calculator!E23,tbSkills!DH3:DJ6,3,FALSE),0),0))&gt;=100,100,(Backdoors!AI12+IF(AK14&gt;=0.45,VLOOKUP(Calculator!E23,tbSkills!DH3:DI6,2,FALSE)+IF(AND(Calculator!B8=TRUE,Backdoors!BI8=TRUE),VLOOKUP(Calculator!E23,tbSkills!DH3:DJ6,3,FALSE),0),0)))/100)),(1-(0.25*((-Backdoors!AI12-IF(AK14&gt;=0.45,VLOOKUP(Calculator!E23,tbSkills!DH3:DI6,2,FALSE)+IF(AND(Calculator!B8=TRUE,Backdoors!BI8=TRUE),VLOOKUP(Calculator!E23,tbSkills!DH3:DJ6,3,FALSE),0),0))/100)))),1),"")</f>
        <v>1</v>
      </c>
      <c r="AN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K14)*AM14)*(VLOOKUP(A14,tbMoveset!A2:C112,3,FALSE)/100)*IF(VLOOKUP(A14,tbMoveset!A2:B112,2,FALSE)="Projectile",Backdoors!N10,Backdoors!N9),0),"")</f>
        <v>3</v>
      </c>
      <c r="AO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K14&gt;=0.45,VLOOKUP(Calculator!E23,tbSkills!DH3:DI6,2,FALSE)+IF(AND(Calculator!B8=TRUE,Backdoors!BI8=TRUE),VLOOKUP(Calculator!E23,tbSkills!DH3:DJ6,3,FALSE),0),0))&gt;=100,100,(Backdoors!AI12+IF(AK14&gt;=0.45,VLOOKUP(Calculator!E23,tbSkills!DH3:DI6,2,FALSE)+IF(AND(Calculator!B8=TRUE,Backdoors!BI8=TRUE),VLOOKUP(Calculator!E23,tbSkills!DH3:DJ6,3,FALSE),0),0)))/100)),1))*IF(VLOOKUP(A14,tbMoveset!A2:K112,11,FALSE)=TRUE,Backdoors!AC5,1))*AL14,0),"")</f>
        <v>0</v>
      </c>
      <c r="AP14" s="49">
        <f>VLOOKUP(A14,tbMoveset!A2:G112,7,FALSE)*IFERROR(IF(Backdoors!AI12&gt;=0,1+(IF(Calculator!E40&gt;0,VLOOKUP(Calculator!E40,tbSkills!AI3:AJ5,2,FALSE),Backdoors!AL4)*(IF((Backdoors!AI12+IF(AK14&gt;=0.45,VLOOKUP(Calculator!E23,tbSkills!DH3:DI6,2,FALSE)+IF(AND(Calculator!B8=TRUE,Backdoors!BI8=TRUE),VLOOKUP(Calculator!E23,tbSkills!DH3:DJ6,3,FALSE),0),0))&gt;=100,100,(Backdoors!AI12+IF(AK14&gt;=0.45,VLOOKUP(Calculator!E23,tbSkills!DH3:DI6,2,FALSE)+IF(AND(Calculator!B8=TRUE,Backdoors!BI8=TRUE),VLOOKUP(Calculator!E23,tbSkills!DH3:DJ6,3,FALSE),0),0)))/100)),1),1)</f>
        <v>0.4</v>
      </c>
      <c r="AQ14" s="87">
        <f t="shared" si="2"/>
        <v>3</v>
      </c>
      <c r="AR14" s="86">
        <f>IFERROR(IF(VLOOKUP(A14,tbMoveset!A2:B112,2,FALSE)="Sever",Backdoors!AY9/100,IF(VLOOKUP(A14,tbMoveset!A2:B112,2,FALSE)="Blunt",Backdoors!AZ9/100,Backdoors!BA9/100)),"")</f>
        <v>0.45</v>
      </c>
      <c r="AS14" s="49">
        <f>IFERROR(IF(VLOOKUP(tbMoveset!A14,tbMoveset!A2:H112,8,FALSE)="Other",IF(VLOOKUP(tbMoveset!A14,tbMoveset!A2:I112,9,FALSE)="Fire",Backdoors!BB9,IF(VLOOKUP(tbMoveset!A14,tbMoveset!A2:I112,9,FALSE)="Water",Backdoors!BC9,IF(VLOOKUP(tbMoveset!A14,tbMoveset!A2:I112,9,FALSE)="Thunder",Backdoors!BD9,IF(VLOOKUP(tbMoveset!A14,tbMoveset!A2:I112,9,FALSE)="Ice",Backdoors!BE9,IF(VLOOKUP(tbMoveset!A14,tbMoveset!A2:I112,9,FALSE)="Dragon",Backdoors!BF9,Backdoors!BG9)))))/100,Backdoors!BG9/100),"")</f>
        <v>0</v>
      </c>
      <c r="AT14" s="49">
        <f>IFERROR(IF(VLOOKUP(A14,tbMoveset!A2:J112,10,FALSE)=TRUE,IF((Backdoors!AI12+IF(AR14&gt;=0.45,VLOOKUP(Calculator!E23,tbSkills!DH3:DI6,2,FALSE)+IF(AND(Calculator!B8=TRUE,Backdoors!BI9=TRUE),VLOOKUP(Calculator!E23,tbSkills!DH3:DJ6,3,FALSE),0),0))&gt;=0,1+(Backdoors!AL2*(IF((Backdoors!AI12+IF(AR14&gt;=0.45,VLOOKUP(Calculator!E23,tbSkills!DH3:DI6,2,FALSE)+IF(AND(Calculator!B8=TRUE,Backdoors!BI9=TRUE),VLOOKUP(Calculator!E23,tbSkills!DH3:DJ6,3,FALSE),0),0))&gt;=100,100,(Backdoors!AI12+IF(AR14&gt;=0.45,VLOOKUP(Calculator!E23,tbSkills!DH3:DI6,2,FALSE)+IF(AND(Calculator!B8=TRUE,Backdoors!BI9=TRUE),VLOOKUP(Calculator!E23,tbSkills!DH3:DJ6,3,FALSE),0),0)))/100)),(1-(0.25*((-Backdoors!AI12-IF(AR14&gt;=0.45,VLOOKUP(Calculator!E23,tbSkills!DH3:DI6,2,FALSE)+IF(AND(Calculator!B8=TRUE,Backdoors!BI9=TRUE),VLOOKUP(Calculator!E23,tbSkills!DH3:DJ6,3,FALSE),0),0))/100)))),1),"")</f>
        <v>1</v>
      </c>
      <c r="AU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R14)*AT14)*(VLOOKUP(A14,tbMoveset!A2:C112,3,FALSE)/100)*IF(VLOOKUP(A14,tbMoveset!A2:B112,2,FALSE)="Projectile",Backdoors!N10,Backdoors!N9),0),"")</f>
        <v>3</v>
      </c>
      <c r="AV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R14&gt;=0.45,VLOOKUP(Calculator!E23,tbSkills!DH3:DI6,2,FALSE)+IF(AND(Calculator!B8=TRUE,Backdoors!BI9=TRUE),VLOOKUP(Calculator!E23,tbSkills!DH3:DJ6,3,FALSE),0),0))&gt;=100,100,(Backdoors!AI12+IF(AR14&gt;=0.45,VLOOKUP(Calculator!E23,tbSkills!DH3:DI6,2,FALSE)+IF(AND(Calculator!B8=TRUE,Backdoors!BI9=TRUE),VLOOKUP(Calculator!E23,tbSkills!DH3:DJ6,3,FALSE),0),0)))/100)),1))*IF(VLOOKUP(A14,tbMoveset!A2:K112,11,FALSE)=TRUE,Backdoors!AC5,1))*AS14,0),"")</f>
        <v>0</v>
      </c>
      <c r="AW14" s="49">
        <f>VLOOKUP(A14,tbMoveset!A2:G112,7,FALSE)*IFERROR(IF(Backdoors!AI12&gt;=0,1+(IF(Calculator!E40&gt;0,VLOOKUP(Calculator!E40,tbSkills!AI3:AJ5,2,FALSE),Backdoors!AL4)*(IF((Backdoors!AI12+IF(AR14&gt;=0.45,VLOOKUP(Calculator!E23,tbSkills!DH3:DI6,2,FALSE)+IF(AND(Calculator!B8=TRUE,Backdoors!BI9=TRUE),VLOOKUP(Calculator!E23,tbSkills!DH3:DJ6,3,FALSE),0),0))&gt;=100,100,(Backdoors!AI12+IF(AR14&gt;=0.45,VLOOKUP(Calculator!E23,tbSkills!DH3:DI6,2,FALSE)+IF(AND(Calculator!B8=TRUE,Backdoors!BI9=TRUE),VLOOKUP(Calculator!E23,tbSkills!DH3:DJ6,3,FALSE),0),0)))/100)),1),1)</f>
        <v>0.4</v>
      </c>
      <c r="AX14" s="87">
        <f t="shared" si="38"/>
        <v>3</v>
      </c>
      <c r="AY14" s="86">
        <f>IFERROR(IF(VLOOKUP(A14,tbMoveset!A2:B112,2,FALSE)="Sever",Backdoors!AY10/100,IF(VLOOKUP(A14,tbMoveset!A2:B112,2,FALSE)="Blunt",Backdoors!AZ10/100,Backdoors!BA10/100)),"")</f>
        <v>0.9</v>
      </c>
      <c r="AZ14" s="49">
        <f>IFERROR(IF(VLOOKUP(tbMoveset!A14,tbMoveset!A2:H112,8,FALSE)="Other",IF(VLOOKUP(tbMoveset!A14,tbMoveset!A2:I112,9,FALSE)="Fire",Backdoors!BB10,IF(VLOOKUP(tbMoveset!A14,tbMoveset!A2:I112,9,FALSE)="Water",Backdoors!BC10,IF(VLOOKUP(tbMoveset!A14,tbMoveset!A2:I112,9,FALSE)="Thunder",Backdoors!BD10,IF(VLOOKUP(tbMoveset!A14,tbMoveset!A2:I112,9,FALSE)="Ice",Backdoors!BE10,IF(VLOOKUP(tbMoveset!A14,tbMoveset!A2:I112,9,FALSE)="Dragon",Backdoors!BF10,Backdoors!BG10)))))/100,Backdoors!BG10/100),"")</f>
        <v>0</v>
      </c>
      <c r="BA14" s="49">
        <f>IFERROR(IF(VLOOKUP(A14,tbMoveset!A2:J112,10,FALSE)=TRUE,IF((Backdoors!AI12+IF(AY14&gt;=0.45,VLOOKUP(Calculator!E23,tbSkills!DH3:DI6,2,FALSE)+IF(AND(Calculator!B8=TRUE,Backdoors!BI10=TRUE),VLOOKUP(Calculator!E23,tbSkills!DH3:DJ6,3,FALSE),0),0))&gt;=0,1+(Backdoors!AL2*(IF((Backdoors!AI12+IF(AY14&gt;=0.45,VLOOKUP(Calculator!E23,tbSkills!DH3:DI6,2,FALSE)+IF(AND(Calculator!B8=TRUE,Backdoors!BI10=TRUE),VLOOKUP(Calculator!E23,tbSkills!DH3:DJ6,3,FALSE),0),0))&gt;=100,100,(Backdoors!AI12+IF(AY14&gt;=0.45,VLOOKUP(Calculator!E23,tbSkills!DH3:DI6,2,FALSE)+IF(AND(Calculator!B8=TRUE,Backdoors!BI10=TRUE),VLOOKUP(Calculator!E23,tbSkills!DH3:DJ6,3,FALSE),0),0)))/100)),(1-(0.25*((-Backdoors!AI12-IF(AY14&gt;=0.45,VLOOKUP(Calculator!E23,tbSkills!DH3:DI6,2,FALSE)+IF(AND(Calculator!B8=TRUE,Backdoors!BI10=TRUE),VLOOKUP(Calculator!E23,tbSkills!DH3:DJ6,3,FALSE),0),0))/100)))),1),"")</f>
        <v>1</v>
      </c>
      <c r="BB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Y14)*BA14)*(VLOOKUP(A14,tbMoveset!A2:C112,3,FALSE)/100)*IF(VLOOKUP(A14,tbMoveset!A2:B112,2,FALSE)="Projectile",Backdoors!N10,Backdoors!N9),0),"")</f>
        <v>5</v>
      </c>
      <c r="BC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Y14&gt;=0.45,VLOOKUP(Calculator!E23,tbSkills!DH3:DI6,2,FALSE)+IF(AND(Calculator!B8=TRUE,Backdoors!BI10=TRUE),VLOOKUP(Calculator!E23,tbSkills!DH3:DJ6,3,FALSE),0),0))&gt;=100,100,(Backdoors!AI12+IF(AY14&gt;=0.45,VLOOKUP(Calculator!E23,tbSkills!DH3:DI6,2,FALSE)+IF(AND(Calculator!B8=TRUE,Backdoors!BI10=TRUE),VLOOKUP(Calculator!E23,tbSkills!DH3:DJ6,3,FALSE),0),0)))/100)),1))*IF(VLOOKUP(A14,tbMoveset!A2:K112,11,FALSE)=TRUE,Backdoors!AC5,1))*AZ14,0),"")</f>
        <v>0</v>
      </c>
      <c r="BD14" s="49">
        <f>VLOOKUP(A14,tbMoveset!A2:G112,7,FALSE)*IFERROR(IF(Backdoors!AI12&gt;=0,1+(IF(Calculator!E40&gt;0,VLOOKUP(Calculator!E40,tbSkills!AI3:AJ5,2,FALSE),Backdoors!AL4)*(IF((Backdoors!AI12+IF(AY14&gt;=0.45,VLOOKUP(Calculator!E23,tbSkills!DH3:DI6,2,FALSE)+IF(AND(Calculator!B8=TRUE,Backdoors!BI10=TRUE),VLOOKUP(Calculator!E23,tbSkills!DH3:DJ6,3,FALSE),0),0))&gt;=100,100,(Backdoors!AI12+IF(AY14&gt;=0.45,VLOOKUP(Calculator!E23,tbSkills!DH3:DI6,2,FALSE)+IF(AND(Calculator!B8=TRUE,Backdoors!BI10=TRUE),VLOOKUP(Calculator!E23,tbSkills!DH3:DJ6,3,FALSE),0),0)))/100)),1),1)</f>
        <v>0.4</v>
      </c>
      <c r="BE14" s="87">
        <f t="shared" si="3"/>
        <v>5</v>
      </c>
      <c r="BF14" s="86" t="str">
        <f>IFERROR(IF(VLOOKUP(A14,tbMoveset!A2:B112,2,FALSE)="Sever",Backdoors!AY11/100,IF(VLOOKUP(A14,tbMoveset!A2:B112,2,FALSE)="Blunt",Backdoors!AZ11/100,Backdoors!BA11/100)),"")</f>
        <v/>
      </c>
      <c r="BG14" s="49">
        <f>IFERROR(IF(VLOOKUP(tbMoveset!A14,tbMoveset!A2:H112,8,FALSE)="Other",IF(VLOOKUP(tbMoveset!A14,tbMoveset!A2:I112,9,FALSE)="Fire",Backdoors!BB11,IF(VLOOKUP(tbMoveset!A14,tbMoveset!A2:I112,9,FALSE)="Water",Backdoors!BC11,IF(VLOOKUP(tbMoveset!A14,tbMoveset!A2:I112,9,FALSE)="Thunder",Backdoors!BD11,IF(VLOOKUP(tbMoveset!A14,tbMoveset!A2:I112,9,FALSE)="Ice",Backdoors!BE11,IF(VLOOKUP(tbMoveset!A14,tbMoveset!A2:I112,9,FALSE)="Dragon",Backdoors!BF11,Backdoors!BG11)))))/100,Backdoors!BG11/100),"")</f>
        <v>0</v>
      </c>
      <c r="BH14" s="49">
        <f>IFERROR(IF(VLOOKUP(A14,tbMoveset!A2:J112,10,FALSE)=TRUE,IF((Backdoors!AI12+IF(BF14&gt;=0.45,VLOOKUP(Calculator!E23,tbSkills!DH3:DI6,2,FALSE)+IF(AND(Calculator!B8=TRUE,Backdoors!BI11=TRUE),VLOOKUP(Calculator!E23,tbSkills!DH3:DJ6,3,FALSE),0),0))&gt;=0,1+(Backdoors!AL2*(IF((Backdoors!AI12+IF(BF14&gt;=0.45,VLOOKUP(Calculator!E23,tbSkills!DH3:DI6,2,FALSE)+IF(AND(Calculator!B8=TRUE,Backdoors!BI11=TRUE),VLOOKUP(Calculator!E23,tbSkills!DH3:DJ6,3,FALSE),0),0))&gt;=100,100,(Backdoors!AI12+IF(BF14&gt;=0.45,VLOOKUP(Calculator!E23,tbSkills!DH3:DI6,2,FALSE)+IF(AND(Calculator!B8=TRUE,Backdoors!BI11=TRUE),VLOOKUP(Calculator!E23,tbSkills!DH3:DJ6,3,FALSE),0),0)))/100)),(1-(0.25*((-Backdoors!AI12-IF(BF14&gt;=0.45,VLOOKUP(Calculator!E23,tbSkills!DH3:DI6,2,FALSE)+IF(AND(Calculator!B8=TRUE,Backdoors!BI11=TRUE),VLOOKUP(Calculator!E23,tbSkills!DH3:DJ6,3,FALSE),0),0))/100)))),1),"")</f>
        <v>1</v>
      </c>
      <c r="BI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F14)*BH14)*(VLOOKUP(A14,tbMoveset!A2:C112,3,FALSE)/100)*IF(VLOOKUP(A14,tbMoveset!A2:B112,2,FALSE)="Projectile",Backdoors!N10,Backdoors!N9),0),"")</f>
        <v/>
      </c>
      <c r="BJ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F14&gt;=0.45,VLOOKUP(Calculator!E23,tbSkills!DH3:DI6,2,FALSE)+IF(AND(Calculator!B8=TRUE,Backdoors!BI11=TRUE),VLOOKUP(Calculator!E23,tbSkills!DH3:DJ6,3,FALSE),0),0))&gt;=100,100,(Backdoors!AI12+IF(BF14&gt;=0.45,VLOOKUP(Calculator!E23,tbSkills!DH3:DI6,2,FALSE)+IF(AND(Calculator!B8=TRUE,Backdoors!BI11=TRUE),VLOOKUP(Calculator!E23,tbSkills!DH3:DJ6,3,FALSE),0),0)))/100)),1))*IF(VLOOKUP(A14,tbMoveset!A2:K112,11,FALSE)=TRUE,Backdoors!AC5,1))*BG14,0),"")</f>
        <v>0</v>
      </c>
      <c r="BK14" s="49">
        <f>VLOOKUP(A14,tbMoveset!A2:G112,7,FALSE)*IFERROR(IF(Backdoors!AI12&gt;=0,1+(IF(Calculator!E40&gt;0,VLOOKUP(Calculator!E40,tbSkills!AI3:AJ5,2,FALSE),Backdoors!AL4)*(IF((Backdoors!AI12+IF(BF14&gt;=0.45,VLOOKUP(Calculator!E23,tbSkills!DH3:DI6,2,FALSE)+IF(AND(Calculator!B8=TRUE,Backdoors!BI11=TRUE),VLOOKUP(Calculator!E23,tbSkills!DH3:DJ6,3,FALSE),0),0))&gt;=100,100,(Backdoors!AI12+IF(BF14&gt;=0.45,VLOOKUP(Calculator!E23,tbSkills!DH3:DI6,2,FALSE)+IF(AND(Calculator!B8=TRUE,Backdoors!BI11=TRUE),VLOOKUP(Calculator!E23,tbSkills!DH3:DJ6,3,FALSE),0),0)))/100)),1),1)</f>
        <v>0.4</v>
      </c>
      <c r="BL14" s="87">
        <f t="shared" si="4"/>
        <v>0</v>
      </c>
      <c r="BM14" s="86" t="str">
        <f>IFERROR(IF(VLOOKUP(A14,tbMoveset!A2:B112,2,FALSE)="Sever",Backdoors!AY12/100,IF(VLOOKUP(A14,tbMoveset!A2:B112,2,FALSE)="Blunt",Backdoors!AZ12/100,Backdoors!BA12/100)),"")</f>
        <v/>
      </c>
      <c r="BN14" s="49">
        <f>IFERROR(IF(VLOOKUP(tbMoveset!A14,tbMoveset!A2:H112,8,FALSE)="Other",IF(VLOOKUP(tbMoveset!A14,tbMoveset!A2:I112,9,FALSE)="Fire",Backdoors!BB12,IF(VLOOKUP(tbMoveset!A14,tbMoveset!A2:I112,9,FALSE)="Water",Backdoors!BC12,IF(VLOOKUP(tbMoveset!A14,tbMoveset!A2:I112,9,FALSE)="Thunder",Backdoors!BD12,IF(VLOOKUP(tbMoveset!A14,tbMoveset!A2:I112,9,FALSE)="Ice",Backdoors!BE12,IF(VLOOKUP(tbMoveset!A14,tbMoveset!A2:I112,9,FALSE)="Dragon",Backdoors!BF12,Backdoors!BG12)))))/100,Backdoors!BG12/100),"")</f>
        <v>0</v>
      </c>
      <c r="BO14" s="49">
        <f>IFERROR(IF(VLOOKUP(A14,tbMoveset!A2:J112,10,FALSE)=TRUE,IF((Backdoors!AI12+IF(BM14&gt;=0.45,VLOOKUP(Calculator!E23,tbSkills!DH3:DI6,2,FALSE)+IF(AND(Calculator!B8=TRUE,Backdoors!BI12=TRUE),VLOOKUP(Calculator!E23,tbSkills!DH3:DJ6,3,FALSE),0),0))&gt;=0,1+(Backdoors!AL2*(IF((Backdoors!AI12+IF(BM14&gt;=0.45,VLOOKUP(Calculator!E23,tbSkills!DH3:DI6,2,FALSE)+IF(AND(Calculator!B8=TRUE,Backdoors!BI12=TRUE),VLOOKUP(Calculator!E23,tbSkills!DH3:DJ6,3,FALSE),0),0))&gt;=100,100,(Backdoors!AI12+IF(BM14&gt;=0.45,VLOOKUP(Calculator!E23,tbSkills!DH3:DI6,2,FALSE)+IF(AND(Calculator!B8=TRUE,Backdoors!BI12=TRUE),VLOOKUP(Calculator!E23,tbSkills!DH3:DJ6,3,FALSE),0),0)))/100)),(1-(0.25*((-Backdoors!AI12-IF(BM14&gt;=0.45,VLOOKUP(Calculator!E23,tbSkills!DH3:DI6,2,FALSE)+IF(AND(Calculator!B8=TRUE,Backdoors!BI12=TRUE),VLOOKUP(Calculator!E23,tbSkills!DH3:DJ6,3,FALSE),0),0))/100)))),1),"")</f>
        <v>1</v>
      </c>
      <c r="BP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M14)*BO14)*(VLOOKUP(A14,tbMoveset!A2:C112,3,FALSE)/100)*IF(VLOOKUP(A14,tbMoveset!A2:B112,2,FALSE)="Projectile",Backdoors!N10,Backdoors!N9),0),"")</f>
        <v/>
      </c>
      <c r="BQ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M14&gt;=0.45,VLOOKUP(Calculator!E23,tbSkills!DH3:DI6,2,FALSE)+IF(AND(Calculator!B8=TRUE,Backdoors!BI12=TRUE),VLOOKUP(Calculator!E23,tbSkills!DH3:DJ6,3,FALSE),0),0))&gt;=100,100,(Backdoors!AI12+IF(BM14&gt;=0.45,VLOOKUP(Calculator!E23,tbSkills!DH3:DI6,2,FALSE)+IF(AND(Calculator!B8=TRUE,Backdoors!BI12=TRUE),VLOOKUP(Calculator!E23,tbSkills!DH3:DJ6,3,FALSE),0),0)))/100)),1))*IF(VLOOKUP(A14,tbMoveset!A2:K112,11,FALSE)=TRUE,Backdoors!AC5,1))*BN14,0),"")</f>
        <v>0</v>
      </c>
      <c r="BR14" s="49">
        <f>VLOOKUP(A14,tbMoveset!A2:G112,7,FALSE)*IFERROR(IF(Backdoors!AI12&gt;=0,1+(IF(Calculator!E40&gt;0,VLOOKUP(Calculator!E40,tbSkills!AI3:AJ5,2,FALSE),Backdoors!AL4)*(IF((Backdoors!AI12+IF(BM14&gt;=0.45,VLOOKUP(Calculator!E23,tbSkills!DH3:DI6,2,FALSE)+IF(AND(Calculator!B8=TRUE,Backdoors!BI12=TRUE),VLOOKUP(Calculator!E23,tbSkills!DH3:DJ6,3,FALSE),0),0))&gt;=100,100,(Backdoors!AI12+IF(BM14&gt;=0.45,VLOOKUP(Calculator!E23,tbSkills!DH3:DI6,2,FALSE)+IF(AND(Calculator!B8=TRUE,Backdoors!BI12=TRUE),VLOOKUP(Calculator!E23,tbSkills!DH3:DJ6,3,FALSE),0),0)))/100)),1),1)</f>
        <v>0.4</v>
      </c>
      <c r="BS14" s="87">
        <f t="shared" si="39"/>
        <v>0</v>
      </c>
      <c r="BT14" s="86" t="str">
        <f>IFERROR(IF(VLOOKUP(A14,tbMoveset!A2:B112,2,FALSE)="Sever",Backdoors!AY13/100,IF(VLOOKUP(A14,tbMoveset!A2:B112,2,FALSE)="Blunt",Backdoors!AZ13/100,Backdoors!BA13/100)),"")</f>
        <v/>
      </c>
      <c r="BU14" s="49">
        <f>IFERROR(IF(VLOOKUP(tbMoveset!A14,tbMoveset!A2:H112,8,FALSE)="Other",IF(VLOOKUP(tbMoveset!A14,tbMoveset!A2:I112,9,FALSE)="Fire",Backdoors!BB13,IF(VLOOKUP(tbMoveset!A14,tbMoveset!A2:I112,9,FALSE)="Water",Backdoors!BC13,IF(VLOOKUP(tbMoveset!A14,tbMoveset!A2:I112,9,FALSE)="Thunder",Backdoors!BD13,IF(VLOOKUP(tbMoveset!A14,tbMoveset!A2:I112,9,FALSE)="Ice",Backdoors!BE13,IF(VLOOKUP(tbMoveset!A14,tbMoveset!A2:I112,9,FALSE)="Dragon",Backdoors!BF13,Backdoors!BG13)))))/100,Backdoors!BG13/100),"")</f>
        <v>0</v>
      </c>
      <c r="BV14" s="49">
        <f>IFERROR(IF(VLOOKUP(A14,tbMoveset!A2:J112,10,FALSE)=TRUE,IF((Backdoors!AI12+IF(BT14&gt;=0.45,VLOOKUP(Calculator!E23,tbSkills!DH3:DI6,2,FALSE)+IF(AND(Calculator!B8=TRUE,Backdoors!BI13=TRUE),VLOOKUP(Calculator!E23,tbSkills!DH3:DJ6,3,FALSE),0),0))&gt;=0,1+(Backdoors!AL2*(IF((Backdoors!AI12+IF(BT14&gt;=0.45,VLOOKUP(Calculator!E23,tbSkills!DH3:DI6,2,FALSE)+IF(AND(Calculator!B8=TRUE,Backdoors!BI13=TRUE),VLOOKUP(Calculator!E23,tbSkills!DH3:DJ6,3,FALSE),0),0))&gt;=100,100,(Backdoors!AI12+IF(BT14&gt;=0.45,VLOOKUP(Calculator!E23,tbSkills!DH3:DI6,2,FALSE)+IF(AND(Calculator!B8=TRUE,Backdoors!BI13=TRUE),VLOOKUP(Calculator!E23,tbSkills!DH3:DJ6,3,FALSE),0),0)))/100)),(1-(0.25*((-Backdoors!AI12-IF(BT14&gt;=0.45,VLOOKUP(Calculator!E23,tbSkills!DH3:DI6,2,FALSE)+IF(AND(Calculator!B8=TRUE,Backdoors!BI13=TRUE),VLOOKUP(Calculator!E23,tbSkills!DH3:DJ6,3,FALSE),0),0))/100)))),1),"")</f>
        <v>1</v>
      </c>
      <c r="BW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T14)*BV14)*(VLOOKUP(A14,tbMoveset!A2:C112,3,FALSE)/100)*IF(VLOOKUP(A14,tbMoveset!A2:B112,2,FALSE)="Projectile",Backdoors!N10,Backdoors!N9),0),"")</f>
        <v/>
      </c>
      <c r="BX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T14&gt;=0.45,VLOOKUP(Calculator!E23,tbSkills!DH3:DI6,2,FALSE)+IF(AND(Calculator!B8=TRUE,Backdoors!BI13=TRUE),VLOOKUP(Calculator!E23,tbSkills!DH3:DJ6,3,FALSE),0),0))&gt;=100,100,(Backdoors!AI12+IF(BT14&gt;=0.45,VLOOKUP(Calculator!E23,tbSkills!DH3:DI6,2,FALSE)+IF(AND(Calculator!B8=TRUE,Backdoors!BI13=TRUE),VLOOKUP(Calculator!E23,tbSkills!DH3:DJ6,3,FALSE),0),0)))/100)),1))*IF(VLOOKUP(A14,tbMoveset!A2:K112,11,FALSE)=TRUE,Backdoors!AC5,1))*BU14,0),"")</f>
        <v>0</v>
      </c>
      <c r="BY14" s="49">
        <f>VLOOKUP(A14,tbMoveset!A2:G112,7,FALSE)*IFERROR(IF(Backdoors!AI12&gt;=0,1+(IF(Calculator!E40&gt;0,VLOOKUP(Calculator!E40,tbSkills!AI3:AJ5,2,FALSE),Backdoors!AL4)*(IF((Backdoors!AI12+IF(BT14&gt;=0.45,VLOOKUP(Calculator!E23,tbSkills!DH3:DI6,2,FALSE)+IF(AND(Calculator!B8=TRUE,Backdoors!BI13=TRUE),VLOOKUP(Calculator!E23,tbSkills!DH3:DJ6,3,FALSE),0),0))&gt;=100,100,(Backdoors!AI12+IF(BT14&gt;=0.45,VLOOKUP(Calculator!E23,tbSkills!DH3:DI6,2,FALSE)+IF(AND(Calculator!B8=TRUE,Backdoors!BI13=TRUE),VLOOKUP(Calculator!E23,tbSkills!DH3:DJ6,3,FALSE),0),0)))/100)),1),1)</f>
        <v>0.4</v>
      </c>
      <c r="BZ14" s="87">
        <f t="shared" si="5"/>
        <v>0</v>
      </c>
      <c r="CA14" s="86" t="str">
        <f>IFERROR(IF(VLOOKUP(A14,tbMoveset!A2:B112,2,FALSE)="Sever",Backdoors!AY14/100,IF(VLOOKUP(A14,tbMoveset!A2:B112,2,FALSE)="Blunt",Backdoors!AZ14/100,Backdoors!BA14/100)),"")</f>
        <v/>
      </c>
      <c r="CB14" s="49">
        <f>IFERROR(IF(VLOOKUP(tbMoveset!A14,tbMoveset!A2:H112,8,FALSE)="Other",IF(VLOOKUP(tbMoveset!A14,tbMoveset!A2:I112,9,FALSE)="Fire",Backdoors!BB14,IF(VLOOKUP(tbMoveset!A14,tbMoveset!A2:I112,9,FALSE)="Water",Backdoors!BC14,IF(VLOOKUP(tbMoveset!A14,tbMoveset!A2:I112,9,FALSE)="Thunder",Backdoors!BD14,IF(VLOOKUP(tbMoveset!A14,tbMoveset!A2:I112,9,FALSE)="Ice",Backdoors!BE14,IF(VLOOKUP(tbMoveset!A14,tbMoveset!A2:I112,9,FALSE)="Dragon",Backdoors!BF14,Backdoors!BG14)))))/100,Backdoors!BG14/100),"")</f>
        <v>0</v>
      </c>
      <c r="CC14" s="49">
        <f>IFERROR(IF(VLOOKUP(A14,tbMoveset!A2:J112,10,FALSE)=TRUE,IF((Backdoors!AI12+IF(CA14&gt;=0.45,VLOOKUP(Calculator!E23,tbSkills!DH3:DI6,2,FALSE)+IF(AND(Calculator!B8=TRUE,Backdoors!BI14=TRUE),VLOOKUP(Calculator!E23,tbSkills!DH3:DJ6,3,FALSE),0),0))&gt;=0,1+(Backdoors!AL2*(IF((Backdoors!AI12+IF(CA14&gt;=0.45,VLOOKUP(Calculator!E23,tbSkills!DH3:DI6,2,FALSE)+IF(AND(Calculator!B8=TRUE,Backdoors!BI14=TRUE),VLOOKUP(Calculator!E23,tbSkills!DH3:DJ6,3,FALSE),0),0))&gt;=100,100,(Backdoors!AI12+IF(CA14&gt;=0.45,VLOOKUP(Calculator!E23,tbSkills!DH3:DI6,2,FALSE)+IF(AND(Calculator!B8=TRUE,Backdoors!BI14=TRUE),VLOOKUP(Calculator!E23,tbSkills!DH3:DJ6,3,FALSE),0),0)))/100)),(1-(0.25*((-Backdoors!AI12-IF(CA14&gt;=0.45,VLOOKUP(Calculator!E23,tbSkills!DH3:DI6,2,FALSE)+IF(AND(Calculator!B8=TRUE,Backdoors!BI14=TRUE),VLOOKUP(Calculator!E23,tbSkills!DH3:DJ6,3,FALSE),0),0))/100)))),1),"")</f>
        <v>1</v>
      </c>
      <c r="CD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A14)*CC14)*(VLOOKUP(A14,tbMoveset!A2:C112,3,FALSE)/100)*IF(VLOOKUP(A14,tbMoveset!A2:B112,2,FALSE)="Projectile",Backdoors!N10,Backdoors!N9),0),"")</f>
        <v/>
      </c>
      <c r="CE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A14&gt;=0.45,VLOOKUP(Calculator!E23,tbSkills!DH3:DI6,2,FALSE)+IF(AND(Calculator!B8=TRUE,Backdoors!BI14=TRUE),VLOOKUP(Calculator!E23,tbSkills!DH3:DJ6,3,FALSE),0),0))&gt;=100,100,(Backdoors!AI12+IF(CA14&gt;=0.45,VLOOKUP(Calculator!E23,tbSkills!DH3:DI6,2,FALSE)+IF(AND(Calculator!B8=TRUE,Backdoors!BI14=TRUE),VLOOKUP(Calculator!E23,tbSkills!DH3:DJ6,3,FALSE),0),0)))/100)),1))*IF(VLOOKUP(A14,tbMoveset!A2:K112,11,FALSE)=TRUE,Backdoors!AC5,1))*CB14,0),"")</f>
        <v>0</v>
      </c>
      <c r="CF14" s="49">
        <f>VLOOKUP(A14,tbMoveset!A2:G112,7,FALSE)*IFERROR(IF(Backdoors!AI12&gt;=0,1+(IF(Calculator!E40&gt;0,VLOOKUP(Calculator!E40,tbSkills!AI3:AJ5,2,FALSE),Backdoors!AL4)*(IF((Backdoors!AI12+IF(CA14&gt;=0.45,VLOOKUP(Calculator!E23,tbSkills!DH3:DI6,2,FALSE)+IF(AND(Calculator!B8=TRUE,Backdoors!BI14=TRUE),VLOOKUP(Calculator!E23,tbSkills!DH3:DJ6,3,FALSE),0),0))&gt;=100,100,(Backdoors!AI12+IF(CA14&gt;=0.45,VLOOKUP(Calculator!E23,tbSkills!DH3:DI6,2,FALSE)+IF(AND(Calculator!B8=TRUE,Backdoors!BI14=TRUE),VLOOKUP(Calculator!E23,tbSkills!DH3:DJ6,3,FALSE),0),0)))/100)),1),1)</f>
        <v>0.4</v>
      </c>
      <c r="CG14" s="87">
        <f t="shared" si="6"/>
        <v>0</v>
      </c>
      <c r="CH14" s="86" t="str">
        <f>IFERROR(IF(VLOOKUP(A14,tbMoveset!A2:B112,2,FALSE)="Sever",Backdoors!AY15/100,IF(VLOOKUP(A14,tbMoveset!A2:B112,2,FALSE)="Blunt",Backdoors!AZ15/100,Backdoors!BA15/100)),"")</f>
        <v/>
      </c>
      <c r="CI14" s="49">
        <f>IFERROR(IF(VLOOKUP(tbMoveset!A14,tbMoveset!A2:H112,8,FALSE)="Other",IF(VLOOKUP(tbMoveset!A14,tbMoveset!A2:I112,9,FALSE)="Fire",Backdoors!BB15,IF(VLOOKUP(tbMoveset!A14,tbMoveset!A2:I112,9,FALSE)="Water",Backdoors!BC15,IF(VLOOKUP(tbMoveset!A14,tbMoveset!A2:I112,9,FALSE)="Thunder",Backdoors!BD15,IF(VLOOKUP(tbMoveset!A14,tbMoveset!A2:I112,9,FALSE)="Ice",Backdoors!BE15,IF(VLOOKUP(tbMoveset!A14,tbMoveset!A2:I112,9,FALSE)="Dragon",Backdoors!BF15,Backdoors!BG15)))))/100,Backdoors!BG15/100),"")</f>
        <v>0</v>
      </c>
      <c r="CJ14" s="49">
        <f>IFERROR(IF(VLOOKUP(A14,tbMoveset!A2:J112,10,FALSE)=TRUE,IF((Backdoors!AI12+IF(CH14&gt;=0.45,VLOOKUP(Calculator!E23,tbSkills!DH3:DI6,2,FALSE)+IF(AND(Calculator!B8=TRUE,Backdoors!BI15=TRUE),VLOOKUP(Calculator!E23,tbSkills!DH3:DJ6,3,FALSE),0),0))&gt;=0,1+(Backdoors!AL2*(IF((Backdoors!AI12+IF(CH14&gt;=0.45,VLOOKUP(Calculator!E23,tbSkills!DH3:DI6,2,FALSE)+IF(AND(Calculator!B8=TRUE,Backdoors!BI15=TRUE),VLOOKUP(Calculator!E23,tbSkills!DH3:DJ6,3,FALSE),0),0))&gt;=100,100,(Backdoors!AI12+IF(CH14&gt;=0.45,VLOOKUP(Calculator!E23,tbSkills!DH3:DI6,2,FALSE)+IF(AND(Calculator!B8=TRUE,Backdoors!BI15=TRUE),VLOOKUP(Calculator!E23,tbSkills!DH3:DJ6,3,FALSE),0),0)))/100)),(1-(0.25*((-Backdoors!AI12-IF(CH14&gt;=0.45,VLOOKUP(Calculator!E23,tbSkills!DH3:DI6,2,FALSE)+IF(AND(Calculator!B8=TRUE,Backdoors!BI15=TRUE),VLOOKUP(Calculator!E23,tbSkills!DH3:DJ6,3,FALSE),0),0))/100)))),1),"")</f>
        <v>1</v>
      </c>
      <c r="CK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H14)*CJ14)*(VLOOKUP(A14,tbMoveset!A2:C112,3,FALSE)/100)*IF(VLOOKUP(A14,tbMoveset!A2:B112,2,FALSE)="Projectile",Backdoors!N10,Backdoors!N9),0),"")</f>
        <v/>
      </c>
      <c r="CL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H14&gt;=0.45,VLOOKUP(Calculator!E23,tbSkills!DH3:DI6,2,FALSE)+IF(AND(Calculator!B8=TRUE,Backdoors!BI15=TRUE),VLOOKUP(Calculator!E23,tbSkills!DH3:DJ6,3,FALSE),0),0))&gt;=100,100,(Backdoors!AI12+IF(CH14&gt;=0.45,VLOOKUP(Calculator!E23,tbSkills!DH3:DI6,2,FALSE)+IF(AND(Calculator!B8=TRUE,Backdoors!BI15=TRUE),VLOOKUP(Calculator!E23,tbSkills!DH3:DJ6,3,FALSE),0),0)))/100)),1))*IF(VLOOKUP(A14,tbMoveset!A2:K112,11,FALSE)=TRUE,Backdoors!AC5,1))*CI14,0),"")</f>
        <v>0</v>
      </c>
      <c r="CM14" s="49">
        <f>VLOOKUP(A14,tbMoveset!A2:G112,7,FALSE)*IFERROR(IF(Backdoors!AI12&gt;=0,1+(IF(Calculator!E40&gt;0,VLOOKUP(Calculator!E40,tbSkills!AI3:AJ5,2,FALSE),Backdoors!AL4)*(IF((Backdoors!AI12+IF(CH14&gt;=0.45,VLOOKUP(Calculator!E23,tbSkills!DH3:DI6,2,FALSE)+IF(AND(Calculator!B8=TRUE,Backdoors!BI15=TRUE),VLOOKUP(Calculator!E23,tbSkills!DH3:DJ6,3,FALSE),0),0))&gt;=100,100,(Backdoors!AI12+IF(CH14&gt;=0.45,VLOOKUP(Calculator!E23,tbSkills!DH3:DI6,2,FALSE)+IF(AND(Calculator!B8=TRUE,Backdoors!BI15=TRUE),VLOOKUP(Calculator!E23,tbSkills!DH3:DJ6,3,FALSE),0),0)))/100)),1),1)</f>
        <v>0.4</v>
      </c>
      <c r="CN14" s="87">
        <f t="shared" si="7"/>
        <v>0</v>
      </c>
      <c r="CO14" s="86" t="str">
        <f>IFERROR(IF(VLOOKUP(A14,tbMoveset!A2:B112,2,FALSE)="Sever",Backdoors!AY16/100,IF(VLOOKUP(A14,tbMoveset!A2:B112,2,FALSE)="Blunt",Backdoors!AZ16/100,Backdoors!BA16/100)),"")</f>
        <v/>
      </c>
      <c r="CP14" s="49">
        <f>IFERROR(IF(VLOOKUP(tbMoveset!A14,tbMoveset!A2:H112,8,FALSE)="Other",IF(VLOOKUP(tbMoveset!A14,tbMoveset!A2:I112,9,FALSE)="Fire",Backdoors!BB16,IF(VLOOKUP(tbMoveset!A14,tbMoveset!A2:I112,9,FALSE)="Water",Backdoors!BC16,IF(VLOOKUP(tbMoveset!A14,tbMoveset!A2:I112,9,FALSE)="Thunder",Backdoors!BD16,IF(VLOOKUP(tbMoveset!A14,tbMoveset!A2:I112,9,FALSE)="Ice",Backdoors!BE16,IF(VLOOKUP(tbMoveset!A14,tbMoveset!A2:I112,9,FALSE)="Dragon",Backdoors!BF16,Backdoors!BG16)))))/100,Backdoors!BG16/100),"")</f>
        <v>0</v>
      </c>
      <c r="CQ14" s="49">
        <f>IFERROR(IF(VLOOKUP(A14,tbMoveset!A2:J112,10,FALSE)=TRUE,IF((Backdoors!AI12+IF(CO14&gt;=0.45,VLOOKUP(Calculator!E23,tbSkills!DH3:DI6,2,FALSE)+IF(AND(Calculator!B8=TRUE,Backdoors!BI16=TRUE),VLOOKUP(Calculator!E23,tbSkills!DH3:DJ6,3,FALSE),0),0))&gt;=0,1+(Backdoors!AL2*(IF((Backdoors!AI12+IF(CO14&gt;=0.45,VLOOKUP(Calculator!E23,tbSkills!DH3:DI6,2,FALSE)+IF(AND(Calculator!B8=TRUE,Backdoors!BI16=TRUE),VLOOKUP(Calculator!E23,tbSkills!DH3:DJ6,3,FALSE),0),0))&gt;=100,100,(Backdoors!AI12+IF(CO14&gt;=0.45,VLOOKUP(Calculator!E23,tbSkills!DH3:DI6,2,FALSE)+IF(AND(Calculator!B8=TRUE,Backdoors!BI16=TRUE),VLOOKUP(Calculator!E23,tbSkills!DH3:DJ6,3,FALSE),0),0)))/100)),(1-(0.25*((-Backdoors!AI12-IF(CO14&gt;=0.45,VLOOKUP(Calculator!E23,tbSkills!DH3:DI6,2,FALSE)+IF(AND(Calculator!B8=TRUE,Backdoors!BI16=TRUE),VLOOKUP(Calculator!E23,tbSkills!DH3:DJ6,3,FALSE),0),0))/100)))),1),"")</f>
        <v>1</v>
      </c>
      <c r="CR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O14)*CQ14)*(VLOOKUP(A14,tbMoveset!A2:C112,3,FALSE)/100)*IF(VLOOKUP(A14,tbMoveset!A2:B112,2,FALSE)="Projectile",Backdoors!N10,Backdoors!N9),0),"")</f>
        <v/>
      </c>
      <c r="CS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O14&gt;=0.45,VLOOKUP(Calculator!E23,tbSkills!DH3:DI6,2,FALSE)+IF(AND(Calculator!B8=TRUE,Backdoors!BI16=TRUE),VLOOKUP(Calculator!E23,tbSkills!DH3:DJ6,3,FALSE),0),0))&gt;=100,100,(Backdoors!AI12+IF(CO14&gt;=0.45,VLOOKUP(Calculator!E23,tbSkills!DH3:DI6,2,FALSE)+IF(AND(Calculator!B8=TRUE,Backdoors!BI16=TRUE),VLOOKUP(Calculator!E23,tbSkills!DH3:DJ6,3,FALSE),0),0)))/100)),1))*IF(VLOOKUP(A14,tbMoveset!A2:K112,11,FALSE)=TRUE,Backdoors!AC5,1))*CP14,0),"")</f>
        <v>0</v>
      </c>
      <c r="CT14" s="49">
        <f>VLOOKUP(A14,tbMoveset!A2:G112,7,FALSE)*IFERROR(IF(Backdoors!AI12&gt;=0,1+(IF(Calculator!E40&gt;0,VLOOKUP(Calculator!E40,tbSkills!AI3:AJ5,2,FALSE),Backdoors!AL4)*(IF((Backdoors!AI12+IF(CO14&gt;=0.45,VLOOKUP(Calculator!E23,tbSkills!DH3:DI6,2,FALSE)+IF(AND(Calculator!B8=TRUE,Backdoors!BI16=TRUE),VLOOKUP(Calculator!E23,tbSkills!DH3:DJ6,3,FALSE),0),0))&gt;=100,100,(Backdoors!AI12+IF(CO14&gt;=0.45,VLOOKUP(Calculator!E23,tbSkills!DH3:DI6,2,FALSE)+IF(AND(Calculator!B8=TRUE,Backdoors!BI16=TRUE),VLOOKUP(Calculator!E23,tbSkills!DH3:DJ6,3,FALSE),0),0)))/100)),1),1)</f>
        <v>0.4</v>
      </c>
      <c r="CU14" s="87">
        <f t="shared" si="40"/>
        <v>0</v>
      </c>
      <c r="CV14" s="86" t="str">
        <f>IFERROR(IF(VLOOKUP(A14,tbMoveset!A2:B112,2,FALSE)="Sever",Backdoors!AY17/100,IF(VLOOKUP(A14,tbMoveset!A2:B112,2,FALSE)="Blunt",Backdoors!AZ17/100,Backdoors!BA17/100)),"")</f>
        <v/>
      </c>
      <c r="CW14" s="49">
        <f>IFERROR(IF(VLOOKUP(tbMoveset!A14,tbMoveset!A2:H112,8,FALSE)="Other",IF(VLOOKUP(tbMoveset!A14,tbMoveset!A2:I112,9,FALSE)="Fire",Backdoors!BB17,IF(VLOOKUP(tbMoveset!A14,tbMoveset!A2:I112,9,FALSE)="Water",Backdoors!BC17,IF(VLOOKUP(tbMoveset!A14,tbMoveset!A2:I112,9,FALSE)="Thunder",Backdoors!BD17,IF(VLOOKUP(tbMoveset!A14,tbMoveset!A2:I112,9,FALSE)="Ice",Backdoors!BE17,IF(VLOOKUP(tbMoveset!A14,tbMoveset!A2:I112,9,FALSE)="Dragon",Backdoors!BF17,Backdoors!BG17)))))/100,Backdoors!BG17/100),"")</f>
        <v>0</v>
      </c>
      <c r="CX14" s="49">
        <f>IFERROR(IF(VLOOKUP(A14,tbMoveset!A2:J112,10,FALSE)=TRUE,IF((Backdoors!AI12+IF(CV14&gt;=0.45,VLOOKUP(Calculator!E23,tbSkills!DH3:DI6,2,FALSE)+IF(AND(Calculator!B8=TRUE,Backdoors!BI17=TRUE),VLOOKUP(Calculator!E23,tbSkills!DH3:DJ6,3,FALSE),0),0))&gt;=0,1+(Backdoors!AL2*(IF((Backdoors!AI12+IF(CV14&gt;=0.45,VLOOKUP(Calculator!E23,tbSkills!DH3:DI6,2,FALSE)+IF(AND(Calculator!B8=TRUE,Backdoors!BI17=TRUE),VLOOKUP(Calculator!E23,tbSkills!DH3:DJ6,3,FALSE),0),0))&gt;=100,100,(Backdoors!AI12+IF(CV14&gt;=0.45,VLOOKUP(Calculator!E23,tbSkills!DH3:DI6,2,FALSE)+IF(AND(Calculator!B8=TRUE,Backdoors!BI17=TRUE),VLOOKUP(Calculator!E23,tbSkills!DH3:DJ6,3,FALSE),0),0)))/100)),(1-(0.25*((-Backdoors!AI12-IF(CV14&gt;=0.45,VLOOKUP(Calculator!E23,tbSkills!DH3:DI6,2,FALSE)+IF(AND(Calculator!B8=TRUE,Backdoors!BI17=TRUE),VLOOKUP(Calculator!E23,tbSkills!DH3:DJ6,3,FALSE),0),0))/100)))),1),"")</f>
        <v>1</v>
      </c>
      <c r="CY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V14)*CX14)*(VLOOKUP(A14,tbMoveset!A2:C112,3,FALSE)/100)*IF(VLOOKUP(A14,tbMoveset!A2:B112,2,FALSE)="Projectile",Backdoors!N10,Backdoors!N9),0),"")</f>
        <v/>
      </c>
      <c r="CZ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V14&gt;=0.45,VLOOKUP(Calculator!E23,tbSkills!DH3:DI6,2,FALSE)+IF(AND(Calculator!B8=TRUE,Backdoors!BI17=TRUE),VLOOKUP(Calculator!E23,tbSkills!DH3:DJ6,3,FALSE),0),0))&gt;=100,100,(Backdoors!AI12+IF(CV14&gt;=0.45,VLOOKUP(Calculator!E23,tbSkills!DH3:DI6,2,FALSE)+IF(AND(Calculator!B8=TRUE,Backdoors!BI17=TRUE),VLOOKUP(Calculator!E23,tbSkills!DH3:DJ6,3,FALSE),0),0)))/100)),1))*IF(VLOOKUP(A14,tbMoveset!A2:K112,11,FALSE)=TRUE,Backdoors!AC5,1))*CW14,0),"")</f>
        <v>0</v>
      </c>
      <c r="DA14" s="49">
        <f>VLOOKUP(A14,tbMoveset!A2:G112,7,FALSE)*IFERROR(IF(Backdoors!AI12&gt;=0,1+(IF(Calculator!E40&gt;0,VLOOKUP(Calculator!E40,tbSkills!AI3:AJ5,2,FALSE),Backdoors!AL4)*(IF((Backdoors!AI12+IF(CV14&gt;=0.45,VLOOKUP(Calculator!E23,tbSkills!DH3:DI6,2,FALSE)+IF(AND(Calculator!B8=TRUE,Backdoors!BI17=TRUE),VLOOKUP(Calculator!E23,tbSkills!DH3:DJ6,3,FALSE),0),0))&gt;=100,100,(Backdoors!AI12+IF(CV14&gt;=0.45,VLOOKUP(Calculator!E23,tbSkills!DH3:DI6,2,FALSE)+IF(AND(Calculator!B8=TRUE,Backdoors!BI17=TRUE),VLOOKUP(Calculator!E23,tbSkills!DH3:DJ6,3,FALSE),0),0)))/100)),1),1)</f>
        <v>0.4</v>
      </c>
      <c r="DB14" s="87">
        <f t="shared" si="8"/>
        <v>0</v>
      </c>
      <c r="DC14" s="86" t="str">
        <f>IFERROR(IF(VLOOKUP(A14,tbMoveset!A2:B112,2,FALSE)="Sever",Backdoors!AY18/100,IF(VLOOKUP(A14,tbMoveset!A2:B112,2,FALSE)="Blunt",Backdoors!AZ18/100,Backdoors!BA18/100)),"")</f>
        <v/>
      </c>
      <c r="DD14" s="49">
        <f>IFERROR(IF(VLOOKUP(tbMoveset!A14,tbMoveset!A2:H112,8,FALSE)="Other",IF(VLOOKUP(tbMoveset!A14,tbMoveset!A2:I112,9,FALSE)="Fire",Backdoors!BB18,IF(VLOOKUP(tbMoveset!A14,tbMoveset!A2:I112,9,FALSE)="Water",Backdoors!BC18,IF(VLOOKUP(tbMoveset!A14,tbMoveset!A2:I112,9,FALSE)="Thunder",Backdoors!BD18,IF(VLOOKUP(tbMoveset!A14,tbMoveset!A2:I112,9,FALSE)="Ice",Backdoors!BE18,IF(VLOOKUP(tbMoveset!A14,tbMoveset!A2:I112,9,FALSE)="Dragon",Backdoors!BF18,Backdoors!BG18)))))/100,Backdoors!BG18/100),"")</f>
        <v>0</v>
      </c>
      <c r="DE14" s="49">
        <f>IFERROR(IF(VLOOKUP(A14,tbMoveset!A2:J112,10,FALSE)=TRUE,IF((Backdoors!AI12+IF(DC14&gt;=0.45,VLOOKUP(Calculator!E23,tbSkills!DH3:DI6,2,FALSE)+IF(AND(Calculator!B8=TRUE,Backdoors!BI18=TRUE),VLOOKUP(Calculator!E23,tbSkills!DH3:DJ6,3,FALSE),0),0))&gt;=0,1+(Backdoors!AL2*(IF((Backdoors!AI12+IF(DC14&gt;=0.45,VLOOKUP(Calculator!E23,tbSkills!DH3:DI6,2,FALSE)+IF(AND(Calculator!B8=TRUE,Backdoors!BI18=TRUE),VLOOKUP(Calculator!E23,tbSkills!DH3:DJ6,3,FALSE),0),0))&gt;=100,100,(Backdoors!AI12+IF(DC14&gt;=0.45,VLOOKUP(Calculator!E23,tbSkills!DH3:DI6,2,FALSE)+IF(AND(Calculator!B8=TRUE,Backdoors!BI18=TRUE),VLOOKUP(Calculator!E23,tbSkills!DH3:DJ6,3,FALSE),0),0)))/100)),(1-(0.25*((-Backdoors!AI12-IF(DC14&gt;=0.45,VLOOKUP(Calculator!E23,tbSkills!DH3:DI6,2,FALSE)+IF(AND(Calculator!B8=TRUE,Backdoors!BI18=TRUE),VLOOKUP(Calculator!E23,tbSkills!DH3:DJ6,3,FALSE),0),0))/100)))),1),"")</f>
        <v>1</v>
      </c>
      <c r="DF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C14)*DE14)*(VLOOKUP(A14,tbMoveset!A2:C112,3,FALSE)/100)*IF(VLOOKUP(A14,tbMoveset!A2:B112,2,FALSE)="Projectile",Backdoors!N10,Backdoors!N9),0),"")</f>
        <v/>
      </c>
      <c r="DG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C14&gt;=0.45,VLOOKUP(Calculator!E23,tbSkills!DH3:DI6,2,FALSE)+IF(AND(Calculator!B8=TRUE,Backdoors!BI18=TRUE),VLOOKUP(Calculator!E23,tbSkills!DH3:DJ6,3,FALSE),0),0))&gt;=100,100,(Backdoors!AI12+IF(DC14&gt;=0.45,VLOOKUP(Calculator!E23,tbSkills!DH3:DI6,2,FALSE)+IF(AND(Calculator!B8=TRUE,Backdoors!BI18=TRUE),VLOOKUP(Calculator!E23,tbSkills!DH3:DJ6,3,FALSE),0),0)))/100)),1))*IF(VLOOKUP(A14,tbMoveset!A2:K112,11,FALSE)=TRUE,Backdoors!AC5,1))*DD14,0),"")</f>
        <v>0</v>
      </c>
      <c r="DH14" s="49">
        <f>VLOOKUP(A14,tbMoveset!A2:G112,7,FALSE)*IFERROR(IF(Backdoors!AI12&gt;=0,1+(IF(Calculator!E40&gt;0,VLOOKUP(Calculator!E40,tbSkills!AI3:AJ5,2,FALSE),Backdoors!AL4)*(IF((Backdoors!AI12+IF(DC14&gt;=0.45,VLOOKUP(Calculator!E23,tbSkills!DH3:DI6,2,FALSE)+IF(AND(Calculator!B8=TRUE,Backdoors!BI18=TRUE),VLOOKUP(Calculator!E23,tbSkills!DH3:DJ6,3,FALSE),0),0))&gt;=100,100,(Backdoors!AI12+IF(DC14&gt;=0.45,VLOOKUP(Calculator!E23,tbSkills!DH3:DI6,2,FALSE)+IF(AND(Calculator!B8=TRUE,Backdoors!BI18=TRUE),VLOOKUP(Calculator!E23,tbSkills!DH3:DJ6,3,FALSE),0),0)))/100)),1),1)</f>
        <v>0.4</v>
      </c>
      <c r="DI14" s="87">
        <f t="shared" si="9"/>
        <v>0</v>
      </c>
      <c r="DJ14" s="86" t="str">
        <f>IFERROR(IF(VLOOKUP(A14,tbMoveset!A2:B112,2,FALSE)="Sever",Backdoors!AY19/100,IF(VLOOKUP(A14,tbMoveset!A2:B112,2,FALSE)="Blunt",Backdoors!AZ19/100,Backdoors!BA19/100)),"")</f>
        <v/>
      </c>
      <c r="DK14" s="49">
        <f>IFERROR(IF(VLOOKUP(tbMoveset!A14,tbMoveset!A2:H112,8,FALSE)="Other",IF(VLOOKUP(tbMoveset!A14,tbMoveset!A2:I112,9,FALSE)="Fire",Backdoors!BB19,IF(VLOOKUP(tbMoveset!A14,tbMoveset!A2:I112,9,FALSE)="Water",Backdoors!BC19,IF(VLOOKUP(tbMoveset!A14,tbMoveset!A2:I112,9,FALSE)="Thunder",Backdoors!BD19,IF(VLOOKUP(tbMoveset!A14,tbMoveset!A2:I112,9,FALSE)="Ice",Backdoors!BE19,IF(VLOOKUP(tbMoveset!A14,tbMoveset!A2:I112,9,FALSE)="Dragon",Backdoors!BF19,Backdoors!BG19)))))/100,Backdoors!BG19/100),"")</f>
        <v>0</v>
      </c>
      <c r="DL14" s="49">
        <f>IFERROR(IF(VLOOKUP(A14,tbMoveset!A2:J112,10,FALSE)=TRUE,IF((Backdoors!AI12+IF(DJ14&gt;=0.45,VLOOKUP(Calculator!E23,tbSkills!DH3:DI6,2,FALSE)+IF(AND(Calculator!B8=TRUE,Backdoors!BI19=TRUE),VLOOKUP(Calculator!E23,tbSkills!DH3:DJ6,3,FALSE),0),0))&gt;=0,1+(Backdoors!AL2*(IF((Backdoors!AI12+IF(DJ14&gt;=0.45,VLOOKUP(Calculator!E23,tbSkills!DH3:DI6,2,FALSE)+IF(AND(Calculator!B8=TRUE,Backdoors!BI19=TRUE),VLOOKUP(Calculator!E23,tbSkills!DH3:DJ6,3,FALSE),0),0))&gt;=100,100,(Backdoors!AI12+IF(DJ14&gt;=0.45,VLOOKUP(Calculator!E23,tbSkills!DH3:DI6,2,FALSE)+IF(AND(Calculator!B8=TRUE,Backdoors!BI19=TRUE),VLOOKUP(Calculator!E23,tbSkills!DH3:DJ6,3,FALSE),0),0)))/100)),(1-(0.25*((-Backdoors!AI12-IF(DJ14&gt;=0.45,VLOOKUP(Calculator!E23,tbSkills!DH3:DI6,2,FALSE)+IF(AND(Calculator!B8=TRUE,Backdoors!BI19=TRUE),VLOOKUP(Calculator!E23,tbSkills!DH3:DJ6,3,FALSE),0),0))/100)))),1),"")</f>
        <v>1</v>
      </c>
      <c r="DM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J14)*DL14)*(VLOOKUP(A14,tbMoveset!A2:C112,3,FALSE)/100)*IF(VLOOKUP(A14,tbMoveset!A2:B112,2,FALSE)="Projectile",Backdoors!N10,Backdoors!N9),0),"")</f>
        <v/>
      </c>
      <c r="DN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J14&gt;=0.45,VLOOKUP(Calculator!E23,tbSkills!DH3:DI6,2,FALSE)+IF(AND(Calculator!B8=TRUE,Backdoors!BI19=TRUE),VLOOKUP(Calculator!E23,tbSkills!DH3:DJ6,3,FALSE),0),0))&gt;=100,100,(Backdoors!AI12+IF(DJ14&gt;=0.45,VLOOKUP(Calculator!E23,tbSkills!DH3:DI6,2,FALSE)+IF(AND(Calculator!B8=TRUE,Backdoors!BI19=TRUE),VLOOKUP(Calculator!E23,tbSkills!DH3:DJ6,3,FALSE),0),0)))/100)),1))*IF(VLOOKUP(A14,tbMoveset!A2:K112,11,FALSE)=TRUE,Backdoors!AC5,1))*DK14,0),"")</f>
        <v>0</v>
      </c>
      <c r="DO14" s="49">
        <f>VLOOKUP(A14,tbMoveset!A2:G112,7,FALSE)*IFERROR(IF(Backdoors!AI12&gt;=0,1+(IF(Calculator!E40&gt;0,VLOOKUP(Calculator!E40,tbSkills!AI3:AJ5,2,FALSE),Backdoors!AL4)*(IF((Backdoors!AI12+IF(DJ14&gt;=0.45,VLOOKUP(Calculator!E23,tbSkills!DH3:DI6,2,FALSE)+IF(AND(Calculator!B8=TRUE,Backdoors!BI19=TRUE),VLOOKUP(Calculator!E23,tbSkills!DH3:DJ6,3,FALSE),0),0))&gt;=100,100,(Backdoors!AI12+IF(DJ14&gt;=0.45,VLOOKUP(Calculator!E23,tbSkills!DH3:DI6,2,FALSE)+IF(AND(Calculator!B8=TRUE,Backdoors!BI19=TRUE),VLOOKUP(Calculator!E23,tbSkills!DH3:DJ6,3,FALSE),0),0)))/100)),1),1)</f>
        <v>0.4</v>
      </c>
      <c r="DP14" s="87">
        <f t="shared" si="41"/>
        <v>0</v>
      </c>
      <c r="DQ14" s="86" t="str">
        <f>IFERROR(IF(VLOOKUP(A14,tbMoveset!A2:B112,2,FALSE)="Sever",Backdoors!AY20/100,IF(VLOOKUP(A14,tbMoveset!A2:B112,2,FALSE)="Blunt",Backdoors!AZ20/100,Backdoors!BA20/100)),"")</f>
        <v/>
      </c>
      <c r="DR14" s="49">
        <f>IFERROR(IF(VLOOKUP(tbMoveset!A14,tbMoveset!A2:H112,8,FALSE)="Other",IF(VLOOKUP(tbMoveset!A14,tbMoveset!A2:I112,9,FALSE)="Fire",Backdoors!BB20,IF(VLOOKUP(tbMoveset!A14,tbMoveset!A2:I112,9,FALSE)="Water",Backdoors!BC20,IF(VLOOKUP(tbMoveset!A14,tbMoveset!A2:I112,9,FALSE)="Thunder",Backdoors!BD20,IF(VLOOKUP(tbMoveset!A14,tbMoveset!A2:I112,9,FALSE)="Ice",Backdoors!BE20,IF(VLOOKUP(tbMoveset!A14,tbMoveset!A2:I112,9,FALSE)="Dragon",Backdoors!BF20,Backdoors!BG20)))))/100,Backdoors!BG20/100),"")</f>
        <v>0</v>
      </c>
      <c r="DS14" s="49">
        <f>IFERROR(IF(VLOOKUP(A14,tbMoveset!A2:J112,10,FALSE)=TRUE,IF((Backdoors!AI12+IF(DQ14&gt;=0.45,VLOOKUP(Calculator!E23,tbSkills!DH3:DI6,2,FALSE)+IF(AND(Calculator!B8=TRUE,Backdoors!BI20=TRUE),VLOOKUP(Calculator!E23,tbSkills!DH3:DJ6,3,FALSE),0),0))&gt;=0,1+(Backdoors!AL2*(IF((Backdoors!AI12+IF(DQ14&gt;=0.45,VLOOKUP(Calculator!E23,tbSkills!DH3:DI6,2,FALSE)+IF(AND(Calculator!B8=TRUE,Backdoors!BI20=TRUE),VLOOKUP(Calculator!E23,tbSkills!DH3:DJ6,3,FALSE),0),0))&gt;=100,100,(Backdoors!AI12+IF(DQ14&gt;=0.45,VLOOKUP(Calculator!E23,tbSkills!DH3:DI6,2,FALSE)+IF(AND(Calculator!B8=TRUE,Backdoors!BI20=TRUE),VLOOKUP(Calculator!E23,tbSkills!DH3:DJ6,3,FALSE),0),0)))/100)),(1-(0.25*((-Backdoors!AI12-IF(DQ14&gt;=0.45,VLOOKUP(Calculator!E23,tbSkills!DH3:DI6,2,FALSE)+IF(AND(Calculator!B8=TRUE,Backdoors!BI20=TRUE),VLOOKUP(Calculator!E23,tbSkills!DH3:DJ6,3,FALSE),0),0))/100)))),1),"")</f>
        <v>1</v>
      </c>
      <c r="DT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Q14)*DS14)*(VLOOKUP(A14,tbMoveset!A2:C112,3,FALSE)/100)*IF(VLOOKUP(A14,tbMoveset!A2:B112,2,FALSE)="Projectile",Backdoors!N10,Backdoors!N9),0),"")</f>
        <v/>
      </c>
      <c r="DU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Q14&gt;=0.45,VLOOKUP(Calculator!E23,tbSkills!DH3:DI6,2,FALSE)+IF(AND(Calculator!B8=TRUE,Backdoors!BI20=TRUE),VLOOKUP(Calculator!E23,tbSkills!DH3:DJ6,3,FALSE),0),0))&gt;=100,100,(Backdoors!AI12+IF(DQ14&gt;=0.45,VLOOKUP(Calculator!E23,tbSkills!DH3:DI6,2,FALSE)+IF(AND(Calculator!B8=TRUE,Backdoors!BI20=TRUE),VLOOKUP(Calculator!E23,tbSkills!DH3:DJ6,3,FALSE),0),0)))/100)),1))*IF(VLOOKUP(A14,tbMoveset!A2:K112,11,FALSE)=TRUE,Backdoors!AC5,1))*DR14,0),"")</f>
        <v>0</v>
      </c>
      <c r="DV14" s="49">
        <f>VLOOKUP(A14,tbMoveset!A2:G112,7,FALSE)*IFERROR(IF(Backdoors!AI12&gt;=0,1+(IF(Calculator!E40&gt;0,VLOOKUP(Calculator!E40,tbSkills!AI3:AJ5,2,FALSE),Backdoors!AL4)*(IF((Backdoors!AI12+IF(DQ14&gt;=0.45,VLOOKUP(Calculator!E23,tbSkills!DH3:DI6,2,FALSE)+IF(AND(Calculator!B8=TRUE,Backdoors!BI20=TRUE),VLOOKUP(Calculator!E23,tbSkills!DH3:DJ6,3,FALSE),0),0))&gt;=100,100,(Backdoors!AI12+IF(DQ14&gt;=0.45,VLOOKUP(Calculator!E23,tbSkills!DH3:DI6,2,FALSE)+IF(AND(Calculator!B8=TRUE,Backdoors!BI20=TRUE),VLOOKUP(Calculator!E23,tbSkills!DH3:DJ6,3,FALSE),0),0)))/100)),1),1)</f>
        <v>0.4</v>
      </c>
      <c r="DW14" s="87">
        <f t="shared" si="10"/>
        <v>0</v>
      </c>
      <c r="DX14" s="86" t="str">
        <f>IFERROR(IF(VLOOKUP(A14,tbMoveset!A2:B112,2,FALSE)="Sever",Backdoors!AY21/100,IF(VLOOKUP(A14,tbMoveset!A2:B112,2,FALSE)="Blunt",Backdoors!AZ21/100,Backdoors!BA21/100)),"")</f>
        <v/>
      </c>
      <c r="DY14" s="49">
        <f>IFERROR(IF(VLOOKUP(tbMoveset!A14,tbMoveset!A2:H112,8,FALSE)="Other",IF(VLOOKUP(tbMoveset!A14,tbMoveset!A2:I112,9,FALSE)="Fire",Backdoors!BB21,IF(VLOOKUP(tbMoveset!A14,tbMoveset!A2:I112,9,FALSE)="Water",Backdoors!BC21,IF(VLOOKUP(tbMoveset!A14,tbMoveset!A2:I112,9,FALSE)="Thunder",Backdoors!BD21,IF(VLOOKUP(tbMoveset!A14,tbMoveset!A2:I112,9,FALSE)="Ice",Backdoors!BE21,IF(VLOOKUP(tbMoveset!A14,tbMoveset!A2:I112,9,FALSE)="Dragon",Backdoors!BF21,Backdoors!BG21)))))/100,Backdoors!BG21/100),"")</f>
        <v>0</v>
      </c>
      <c r="DZ14" s="49">
        <f>IFERROR(IF(VLOOKUP(A14,tbMoveset!A2:J112,10,FALSE)=TRUE,IF((Backdoors!AI12+IF(DX14&gt;=0.45,VLOOKUP(Calculator!E23,tbSkills!DH3:DI6,2,FALSE)+IF(AND(Calculator!B8=TRUE,Backdoors!BI21=TRUE),VLOOKUP(Calculator!E23,tbSkills!DH3:DJ6,3,FALSE),0),0))&gt;=0,1+(Backdoors!AL2*(IF((Backdoors!AI12+IF(DX14&gt;=0.45,VLOOKUP(Calculator!E23,tbSkills!DH3:DI6,2,FALSE)+IF(AND(Calculator!B8=TRUE,Backdoors!BI21=TRUE),VLOOKUP(Calculator!E23,tbSkills!DH3:DJ6,3,FALSE),0),0))&gt;=100,100,(Backdoors!AI12+IF(DX14&gt;=0.45,VLOOKUP(Calculator!E23,tbSkills!DH3:DI6,2,FALSE)+IF(AND(Calculator!B8=TRUE,Backdoors!BI21=TRUE),VLOOKUP(Calculator!E23,tbSkills!DH3:DJ6,3,FALSE),0),0)))/100)),(1-(0.25*((-Backdoors!AI12-IF(DX14&gt;=0.45,VLOOKUP(Calculator!E23,tbSkills!DH3:DI6,2,FALSE)+IF(AND(Calculator!B8=TRUE,Backdoors!BI21=TRUE),VLOOKUP(Calculator!E23,tbSkills!DH3:DJ6,3,FALSE),0),0))/100)))),1),"")</f>
        <v>1</v>
      </c>
      <c r="EA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X14)*DZ14)*(VLOOKUP(A14,tbMoveset!A2:C112,3,FALSE)/100)*IF(VLOOKUP(A14,tbMoveset!A2:B112,2,FALSE)="Projectile",Backdoors!N10,Backdoors!N9),0),"")</f>
        <v/>
      </c>
      <c r="EB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X14&gt;=0.45,VLOOKUP(Calculator!E23,tbSkills!DH3:DI6,2,FALSE)+IF(AND(Calculator!B8=TRUE,Backdoors!BI21=TRUE),VLOOKUP(Calculator!E23,tbSkills!DH3:DJ6,3,FALSE),0),0))&gt;=100,100,(Backdoors!AI12+IF(DX14&gt;=0.45,VLOOKUP(Calculator!E23,tbSkills!DH3:DI6,2,FALSE)+IF(AND(Calculator!B8=TRUE,Backdoors!BI21=TRUE),VLOOKUP(Calculator!E23,tbSkills!DH3:DJ6,3,FALSE),0),0)))/100)),1))*IF(VLOOKUP(A14,tbMoveset!A2:K112,11,FALSE)=TRUE,Backdoors!AC5,1))*DY14,0),"")</f>
        <v>0</v>
      </c>
      <c r="EC14" s="49">
        <f>VLOOKUP(A14,tbMoveset!A2:G112,7,FALSE)*IFERROR(IF(Backdoors!AI12&gt;=0,1+(IF(Calculator!E40&gt;0,VLOOKUP(Calculator!E40,tbSkills!AI3:AJ5,2,FALSE),Backdoors!AL4)*(IF((Backdoors!AI12+IF(DX14&gt;=0.45,VLOOKUP(Calculator!E23,tbSkills!DH3:DI6,2,FALSE)+IF(AND(Calculator!B8=TRUE,Backdoors!BI21=TRUE),VLOOKUP(Calculator!E23,tbSkills!DH3:DJ6,3,FALSE),0),0))&gt;=100,100,(Backdoors!AI12+IF(DX14&gt;=0.45,VLOOKUP(Calculator!E23,tbSkills!DH3:DI6,2,FALSE)+IF(AND(Calculator!B8=TRUE,Backdoors!BI21=TRUE),VLOOKUP(Calculator!E23,tbSkills!DH3:DJ6,3,FALSE),0),0)))/100)),1),1)</f>
        <v>0.4</v>
      </c>
      <c r="ED14" s="87">
        <f t="shared" si="11"/>
        <v>0</v>
      </c>
      <c r="EE14" s="86" t="str">
        <f>IFERROR(IF(VLOOKUP(A14,tbMoveset!A2:B112,2,FALSE)="Sever",Backdoors!AY22/100,IF(VLOOKUP(A14,tbMoveset!A2:B112,2,FALSE)="Blunt",Backdoors!AZ22/100,Backdoors!BA22/100)),"")</f>
        <v/>
      </c>
      <c r="EF14" s="49">
        <f>IFERROR(IF(VLOOKUP(tbMoveset!A14,tbMoveset!A2:H112,8,FALSE)="Other",IF(VLOOKUP(tbMoveset!A14,tbMoveset!A2:I112,9,FALSE)="Fire",Backdoors!BB22,IF(VLOOKUP(tbMoveset!A14,tbMoveset!A2:I112,9,FALSE)="Water",Backdoors!BC22,IF(VLOOKUP(tbMoveset!A14,tbMoveset!A2:I112,9,FALSE)="Thunder",Backdoors!BD22,IF(VLOOKUP(tbMoveset!A14,tbMoveset!A2:I112,9,FALSE)="Ice",Backdoors!BE22,IF(VLOOKUP(tbMoveset!A14,tbMoveset!A2:I112,9,FALSE)="Dragon",Backdoors!BF22,Backdoors!BG22)))))/100,Backdoors!BG22/100),"")</f>
        <v>0</v>
      </c>
      <c r="EG14" s="49">
        <f>IFERROR(IF(VLOOKUP(A14,tbMoveset!A2:J112,10,FALSE)=TRUE,IF((Backdoors!AI12+IF(EE14&gt;=0.45,VLOOKUP(Calculator!E23,tbSkills!DH3:DI6,2,FALSE)+IF(AND(Calculator!B8=TRUE,Backdoors!BI22=TRUE),VLOOKUP(Calculator!E23,tbSkills!DH3:DJ6,3,FALSE),0),0))&gt;=0,1+(Backdoors!AL2*(IF((Backdoors!AI12+IF(EE14&gt;=0.45,VLOOKUP(Calculator!E23,tbSkills!DH3:DI6,2,FALSE)+IF(AND(Calculator!B8=TRUE,Backdoors!BI22=TRUE),VLOOKUP(Calculator!E23,tbSkills!DH3:DJ6,3,FALSE),0),0))&gt;=100,100,(Backdoors!AI12+IF(EE14&gt;=0.45,VLOOKUP(Calculator!E23,tbSkills!DH3:DI6,2,FALSE)+IF(AND(Calculator!B8=TRUE,Backdoors!BI22=TRUE),VLOOKUP(Calculator!E23,tbSkills!DH3:DJ6,3,FALSE),0),0)))/100)),(1-(0.25*((-Backdoors!AI12-IF(EE14&gt;=0.45,VLOOKUP(Calculator!E23,tbSkills!DH3:DI6,2,FALSE)+IF(AND(Calculator!B8=TRUE,Backdoors!BI22=TRUE),VLOOKUP(Calculator!E23,tbSkills!DH3:DJ6,3,FALSE),0),0))/100)))),1),"")</f>
        <v>1</v>
      </c>
      <c r="EH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E14)*EG14)*(VLOOKUP(A14,tbMoveset!A2:C112,3,FALSE)/100)*IF(VLOOKUP(A14,tbMoveset!A2:B112,2,FALSE)="Projectile",Backdoors!N10,Backdoors!N9),0),"")</f>
        <v/>
      </c>
      <c r="EI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E14&gt;=0.45,VLOOKUP(Calculator!E23,tbSkills!DH3:DI6,2,FALSE)+IF(AND(Calculator!B8=TRUE,Backdoors!BI22=TRUE),VLOOKUP(Calculator!E23,tbSkills!DH3:DJ6,3,FALSE),0),0))&gt;=100,100,(Backdoors!AI12+IF(EE14&gt;=0.45,VLOOKUP(Calculator!E23,tbSkills!DH3:DI6,2,FALSE)+IF(AND(Calculator!B8=TRUE,Backdoors!BI22=TRUE),VLOOKUP(Calculator!E23,tbSkills!DH3:DJ6,3,FALSE),0),0)))/100)),1))*IF(VLOOKUP(A14,tbMoveset!A2:K112,11,FALSE)=TRUE,Backdoors!AC5,1))*EF14,0),"")</f>
        <v>0</v>
      </c>
      <c r="EJ14" s="49">
        <f>VLOOKUP(A14,tbMoveset!A2:G112,7,FALSE)*IFERROR(IF(Backdoors!AI12&gt;=0,1+(IF(Calculator!E40&gt;0,VLOOKUP(Calculator!E40,tbSkills!AI3:AJ5,2,FALSE),Backdoors!AL4)*(IF((Backdoors!AI12+IF(EE14&gt;=0.45,VLOOKUP(Calculator!E23,tbSkills!DH3:DI6,2,FALSE)+IF(AND(Calculator!B8=TRUE,Backdoors!BI22=TRUE),VLOOKUP(Calculator!E23,tbSkills!DH3:DJ6,3,FALSE),0),0))&gt;=100,100,(Backdoors!AI12+IF(EE14&gt;=0.45,VLOOKUP(Calculator!E23,tbSkills!DH3:DI6,2,FALSE)+IF(AND(Calculator!B8=TRUE,Backdoors!BI22=TRUE),VLOOKUP(Calculator!E23,tbSkills!DH3:DJ6,3,FALSE),0),0)))/100)),1),1)</f>
        <v>0.4</v>
      </c>
      <c r="EK14" s="87">
        <f t="shared" si="12"/>
        <v>0</v>
      </c>
      <c r="EL14" s="86" t="str">
        <f>IFERROR(IF(VLOOKUP(A14,tbMoveset!A2:B112,2,FALSE)="Sever",Backdoors!AY23/100,IF(VLOOKUP(A14,tbMoveset!A2:B112,2,FALSE)="Blunt",Backdoors!AZ23/100,Backdoors!BA23/100)),"")</f>
        <v/>
      </c>
      <c r="EM14" s="49">
        <f>IFERROR(IF(VLOOKUP(tbMoveset!A14,tbMoveset!A2:H112,8,FALSE)="Other",IF(VLOOKUP(tbMoveset!A14,tbMoveset!A2:I112,9,FALSE)="Fire",Backdoors!BB23,IF(VLOOKUP(tbMoveset!A14,tbMoveset!A2:I112,9,FALSE)="Water",Backdoors!BC23,IF(VLOOKUP(tbMoveset!A14,tbMoveset!A2:I112,9,FALSE)="Thunder",Backdoors!BD23,IF(VLOOKUP(tbMoveset!A14,tbMoveset!A2:I112,9,FALSE)="Ice",Backdoors!BE23,IF(VLOOKUP(tbMoveset!A14,tbMoveset!A2:I112,9,FALSE)="Dragon",Backdoors!BF23,Backdoors!BG23)))))/100,Backdoors!BG23/100),"")</f>
        <v>0</v>
      </c>
      <c r="EN14" s="49">
        <f>IFERROR(IF(VLOOKUP(A14,tbMoveset!A2:J112,10,FALSE)=TRUE,IF((Backdoors!AI12+IF(EL14&gt;=0.45,VLOOKUP(Calculator!E23,tbSkills!DH3:DI6,2,FALSE)+IF(AND(Calculator!B8=TRUE,Backdoors!BI23=TRUE),VLOOKUP(Calculator!E23,tbSkills!DH3:DJ6,3,FALSE),0),0))&gt;=0,1+(Backdoors!AL2*(IF((Backdoors!AI12+IF(EL14&gt;=0.45,VLOOKUP(Calculator!E23,tbSkills!DH3:DI6,2,FALSE)+IF(AND(Calculator!B8=TRUE,Backdoors!BI23=TRUE),VLOOKUP(Calculator!E23,tbSkills!DH3:DJ6,3,FALSE),0),0))&gt;=100,100,(Backdoors!AI12+IF(EL14&gt;=0.45,VLOOKUP(Calculator!E23,tbSkills!DH3:DI6,2,FALSE)+IF(AND(Calculator!B8=TRUE,Backdoors!BI23=TRUE),VLOOKUP(Calculator!E23,tbSkills!DH3:DJ6,3,FALSE),0),0)))/100)),(1-(0.25*((-Backdoors!AI12-IF(EL14&gt;=0.45,VLOOKUP(Calculator!E23,tbSkills!DH3:DI6,2,FALSE)+IF(AND(Calculator!B8=TRUE,Backdoors!BI23=TRUE),VLOOKUP(Calculator!E23,tbSkills!DH3:DJ6,3,FALSE),0),0))/100)))),1),"")</f>
        <v>1</v>
      </c>
      <c r="EO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L14)*EN14)*(VLOOKUP(A14,tbMoveset!A2:C112,3,FALSE)/100)*IF(VLOOKUP(A14,tbMoveset!A2:B112,2,FALSE)="Projectile",Backdoors!N10,Backdoors!N9),0),"")</f>
        <v/>
      </c>
      <c r="EP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L14&gt;=0.45,VLOOKUP(Calculator!E23,tbSkills!DH3:DI6,2,FALSE)+IF(AND(Calculator!B8=TRUE,Backdoors!BI23=TRUE),VLOOKUP(Calculator!E23,tbSkills!DH3:DJ6,3,FALSE),0),0))&gt;=100,100,(Backdoors!AI12+IF(EL14&gt;=0.45,VLOOKUP(Calculator!E23,tbSkills!DH3:DI6,2,FALSE)+IF(AND(Calculator!B8=TRUE,Backdoors!BI23=TRUE),VLOOKUP(Calculator!E23,tbSkills!DH3:DJ6,3,FALSE),0),0)))/100)),1))*IF(VLOOKUP(A14,tbMoveset!A2:K112,11,FALSE)=TRUE,Backdoors!AC5,1))*EM14,0),"")</f>
        <v>0</v>
      </c>
      <c r="EQ14" s="49">
        <f>VLOOKUP(A14,tbMoveset!A2:G112,7,FALSE)*IFERROR(IF(Backdoors!AI12&gt;=0,1+(IF(Calculator!E40&gt;0,VLOOKUP(Calculator!E40,tbSkills!AI3:AJ5,2,FALSE),Backdoors!AL4)*(IF((Backdoors!AI12+IF(EL14&gt;=0.45,VLOOKUP(Calculator!E23,tbSkills!DH3:DI6,2,FALSE)+IF(AND(Calculator!B8=TRUE,Backdoors!BI23=TRUE),VLOOKUP(Calculator!E23,tbSkills!DH3:DJ6,3,FALSE),0),0))&gt;=100,100,(Backdoors!AI12+IF(EL14&gt;=0.45,VLOOKUP(Calculator!E23,tbSkills!DH3:DI6,2,FALSE)+IF(AND(Calculator!B8=TRUE,Backdoors!BI23=TRUE),VLOOKUP(Calculator!E23,tbSkills!DH3:DJ6,3,FALSE),0),0)))/100)),1),1)</f>
        <v>0.4</v>
      </c>
      <c r="ER14" s="87">
        <f t="shared" si="13"/>
        <v>0</v>
      </c>
      <c r="ES14" s="86" t="str">
        <f>IFERROR(IF(VLOOKUP(A14,tbMoveset!A2:B112,2,FALSE)="Sever",Backdoors!AY24/100,IF(VLOOKUP(A14,tbMoveset!A2:B112,2,FALSE)="Blunt",Backdoors!AZ24/100,Backdoors!BA24/100)),"")</f>
        <v/>
      </c>
      <c r="ET14" s="49">
        <f>IFERROR(IF(VLOOKUP(tbMoveset!A14,tbMoveset!A2:H112,8,FALSE)="Other",IF(VLOOKUP(tbMoveset!A14,tbMoveset!A2:I112,9,FALSE)="Fire",Backdoors!BB24,IF(VLOOKUP(tbMoveset!A14,tbMoveset!A2:I112,9,FALSE)="Water",Backdoors!BC24,IF(VLOOKUP(tbMoveset!A14,tbMoveset!A2:I112,9,FALSE)="Thunder",Backdoors!BD24,IF(VLOOKUP(tbMoveset!A14,tbMoveset!A2:I112,9,FALSE)="Ice",Backdoors!BE24,IF(VLOOKUP(tbMoveset!A14,tbMoveset!A2:I112,9,FALSE)="Dragon",Backdoors!BF24,Backdoors!BG24)))))/100,Backdoors!BG24/100),"")</f>
        <v>0</v>
      </c>
      <c r="EU14" s="49">
        <f>IFERROR(IF(VLOOKUP(A14,tbMoveset!A2:J112,10,FALSE)=TRUE,IF((Backdoors!AI12+IF(ES14&gt;=0.45,VLOOKUP(Calculator!E23,tbSkills!DH3:DI6,2,FALSE)+IF(AND(Calculator!B8=TRUE,Backdoors!BI24=TRUE),VLOOKUP(Calculator!E23,tbSkills!DH3:DJ6,3,FALSE),0),0))&gt;=0,1+(Backdoors!AL2*(IF((Backdoors!AI12+IF(ES14&gt;=0.45,VLOOKUP(Calculator!E23,tbSkills!DH3:DI6,2,FALSE)+IF(AND(Calculator!B8=TRUE,Backdoors!BI24=TRUE),VLOOKUP(Calculator!E23,tbSkills!DH3:DJ6,3,FALSE),0),0))&gt;=100,100,(Backdoors!AI12+IF(ES14&gt;=0.45,VLOOKUP(Calculator!E23,tbSkills!DH3:DI6,2,FALSE)+IF(AND(Calculator!B8=TRUE,Backdoors!BI24=TRUE),VLOOKUP(Calculator!E23,tbSkills!DH3:DJ6,3,FALSE),0),0)))/100)),(1-(0.25*((-Backdoors!AI12-IF(ES14&gt;=0.45,VLOOKUP(Calculator!E23,tbSkills!DH3:DI6,2,FALSE)+IF(AND(Calculator!B8=TRUE,Backdoors!BI24=TRUE),VLOOKUP(Calculator!E23,tbSkills!DH3:DJ6,3,FALSE),0),0))/100)))),1),"")</f>
        <v>1</v>
      </c>
      <c r="EV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S14)*EU14)*(VLOOKUP(A14,tbMoveset!A2:C112,3,FALSE)/100)*IF(VLOOKUP(A14,tbMoveset!A2:B112,2,FALSE)="Projectile",Backdoors!N10,Backdoors!N9),0),"")</f>
        <v/>
      </c>
      <c r="EW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S14&gt;=0.45,VLOOKUP(Calculator!E23,tbSkills!DH3:DI6,2,FALSE)+IF(AND(Calculator!B8=TRUE,Backdoors!BI24=TRUE),VLOOKUP(Calculator!E23,tbSkills!DH3:DJ6,3,FALSE),0),0))&gt;=100,100,(Backdoors!AI12+IF(ES14&gt;=0.45,VLOOKUP(Calculator!E23,tbSkills!DH3:DI6,2,FALSE)+IF(AND(Calculator!B8=TRUE,Backdoors!BI24=TRUE),VLOOKUP(Calculator!E23,tbSkills!DH3:DJ6,3,FALSE),0),0)))/100)),1))*IF(VLOOKUP(A14,tbMoveset!A2:K112,11,FALSE)=TRUE,Backdoors!AC5,1))*ET14,0),"")</f>
        <v>0</v>
      </c>
      <c r="EX14" s="49">
        <f>VLOOKUP(A14,tbMoveset!A2:G112,7,FALSE)*IFERROR(IF(Backdoors!AI12&gt;=0,1+(IF(Calculator!E40&gt;0,VLOOKUP(Calculator!E40,tbSkills!AI3:AJ5,2,FALSE),Backdoors!AL4)*(IF((Backdoors!AI12+IF(ES14&gt;=0.45,VLOOKUP(Calculator!E23,tbSkills!DH3:DI6,2,FALSE)+IF(AND(Calculator!B8=TRUE,Backdoors!BI24=TRUE),VLOOKUP(Calculator!E23,tbSkills!DH3:DJ6,3,FALSE),0),0))&gt;=100,100,(Backdoors!AI12+IF(ES14&gt;=0.45,VLOOKUP(Calculator!E23,tbSkills!DH3:DI6,2,FALSE)+IF(AND(Calculator!B8=TRUE,Backdoors!BI24=TRUE),VLOOKUP(Calculator!E23,tbSkills!DH3:DJ6,3,FALSE),0),0)))/100)),1),1)</f>
        <v>0.4</v>
      </c>
      <c r="EY14" s="87">
        <f t="shared" si="14"/>
        <v>0</v>
      </c>
      <c r="EZ14" s="86" t="str">
        <f>IFERROR(IF(VLOOKUP(A14,tbMoveset!A2:B112,2,FALSE)="Sever",Backdoors!AY25/100,IF(VLOOKUP(A14,tbMoveset!A2:B112,2,FALSE)="Blunt",Backdoors!AZ25/100,Backdoors!BA25/100)),"")</f>
        <v/>
      </c>
      <c r="FA14" s="49">
        <f>IFERROR(IF(VLOOKUP(tbMoveset!A14,tbMoveset!A2:H112,8,FALSE)="Other",IF(VLOOKUP(tbMoveset!A14,tbMoveset!A2:I112,9,FALSE)="Fire",Backdoors!BB25,IF(VLOOKUP(tbMoveset!A14,tbMoveset!A2:I112,9,FALSE)="Water",Backdoors!BC25,IF(VLOOKUP(tbMoveset!A14,tbMoveset!A2:I112,9,FALSE)="Thunder",Backdoors!BD25,IF(VLOOKUP(tbMoveset!A14,tbMoveset!A2:I112,9,FALSE)="Ice",Backdoors!BE25,IF(VLOOKUP(tbMoveset!A14,tbMoveset!A2:I112,9,FALSE)="Dragon",Backdoors!BF25,Backdoors!BG25)))))/100,Backdoors!BG25/100),"")</f>
        <v>0</v>
      </c>
      <c r="FB14" s="49">
        <f>IFERROR(IF(VLOOKUP(A14,tbMoveset!A2:J112,10,FALSE)=TRUE,IF((Backdoors!AI12+IF(EZ14&gt;=0.45,VLOOKUP(Calculator!E23,tbSkills!DH3:DI6,2,FALSE)+IF(AND(Calculator!B8=TRUE,Backdoors!BI25=TRUE),VLOOKUP(Calculator!E23,tbSkills!DH3:DJ6,3,FALSE),0),0))&gt;=0,1+(Backdoors!AL2*(IF((Backdoors!AI12+IF(EZ14&gt;=0.45,VLOOKUP(Calculator!E23,tbSkills!DH3:DI6,2,FALSE)+IF(AND(Calculator!B8=TRUE,Backdoors!BI25=TRUE),VLOOKUP(Calculator!E23,tbSkills!DH3:DJ6,3,FALSE),0),0))&gt;=100,100,(Backdoors!AI12+IF(EZ14&gt;=0.45,VLOOKUP(Calculator!E23,tbSkills!DH3:DI6,2,FALSE)+IF(AND(Calculator!B8=TRUE,Backdoors!BI25=TRUE),VLOOKUP(Calculator!E23,tbSkills!DH3:DJ6,3,FALSE),0),0)))/100)),(1-(0.25*((-Backdoors!AI12-IF(EZ14&gt;=0.45,VLOOKUP(Calculator!E23,tbSkills!DH3:DI6,2,FALSE)+IF(AND(Calculator!B8=TRUE,Backdoors!BI25=TRUE),VLOOKUP(Calculator!E23,tbSkills!DH3:DJ6,3,FALSE),0),0))/100)))),1),"")</f>
        <v>1</v>
      </c>
      <c r="FC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Z14)*FB14)*(VLOOKUP(A14,tbMoveset!A2:C112,3,FALSE)/100)*IF(VLOOKUP(A14,tbMoveset!A2:B112,2,FALSE)="Projectile",Backdoors!N10,Backdoors!N9),0),"")</f>
        <v/>
      </c>
      <c r="FD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Z14&gt;=0.45,VLOOKUP(Calculator!E23,tbSkills!DH3:DI6,2,FALSE)+IF(AND(Calculator!B8=TRUE,Backdoors!BI25=TRUE),VLOOKUP(Calculator!E23,tbSkills!DH3:DJ6,3,FALSE),0),0))&gt;=100,100,(Backdoors!AI12+IF(EZ14&gt;=0.45,VLOOKUP(Calculator!E23,tbSkills!DH3:DI6,2,FALSE)+IF(AND(Calculator!B8=TRUE,Backdoors!BI25=TRUE),VLOOKUP(Calculator!E23,tbSkills!DH3:DJ6,3,FALSE),0),0)))/100)),1))*IF(VLOOKUP(A14,tbMoveset!A2:K112,11,FALSE)=TRUE,Backdoors!AC5,1))*FA14,0),"")</f>
        <v>0</v>
      </c>
      <c r="FE14" s="49">
        <f>VLOOKUP(A14,tbMoveset!A2:G112,7,FALSE)*IFERROR(IF(Backdoors!AI12&gt;=0,1+(IF(Calculator!E40&gt;0,VLOOKUP(Calculator!E40,tbSkills!AI3:AJ5,2,FALSE),Backdoors!AL4)*(IF((Backdoors!AI12+IF(EZ14&gt;=0.45,VLOOKUP(Calculator!E23,tbSkills!DH3:DI6,2,FALSE)+IF(AND(Calculator!B8=TRUE,Backdoors!BI25=TRUE),VLOOKUP(Calculator!E23,tbSkills!DH3:DJ6,3,FALSE),0),0))&gt;=100,100,(Backdoors!AI12+IF(EZ14&gt;=0.45,VLOOKUP(Calculator!E23,tbSkills!DH3:DI6,2,FALSE)+IF(AND(Calculator!B8=TRUE,Backdoors!BI25=TRUE),VLOOKUP(Calculator!E23,tbSkills!DH3:DJ6,3,FALSE),0),0)))/100)),1),1)</f>
        <v>0.4</v>
      </c>
      <c r="FF14" s="87">
        <f t="shared" si="15"/>
        <v>0</v>
      </c>
      <c r="FG14" s="86" t="str">
        <f>IFERROR(IF(VLOOKUP(A14,tbMoveset!A2:B112,2,FALSE)="Sever",Backdoors!AY26/100,IF(VLOOKUP(A14,tbMoveset!A2:B112,2,FALSE)="Blunt",Backdoors!AZ26/100,Backdoors!BA26/100)),"")</f>
        <v/>
      </c>
      <c r="FH14" s="49">
        <f>IFERROR(IF(VLOOKUP(tbMoveset!A14,tbMoveset!A2:H112,8,FALSE)="Other",IF(VLOOKUP(tbMoveset!A14,tbMoveset!A2:I112,9,FALSE)="Fire",Backdoors!BB26,IF(VLOOKUP(tbMoveset!A14,tbMoveset!A2:I112,9,FALSE)="Water",Backdoors!BC26,IF(VLOOKUP(tbMoveset!A14,tbMoveset!A2:I112,9,FALSE)="Thunder",Backdoors!BD26,IF(VLOOKUP(tbMoveset!A14,tbMoveset!A2:I112,9,FALSE)="Ice",Backdoors!BE26,IF(VLOOKUP(tbMoveset!A14,tbMoveset!A2:I112,9,FALSE)="Dragon",Backdoors!BF26,Backdoors!BG26)))))/100,Backdoors!BG26/100),"")</f>
        <v>0</v>
      </c>
      <c r="FI14" s="49">
        <f>IFERROR(IF(VLOOKUP(A14,tbMoveset!A2:J112,10,FALSE)=TRUE,IF((Backdoors!AI12+IF(FG14&gt;=0.45,VLOOKUP(Calculator!E23,tbSkills!DH3:DI6,2,FALSE)+IF(AND(Calculator!B8=TRUE,Backdoors!BI26=TRUE),VLOOKUP(Calculator!E23,tbSkills!DH3:DJ6,3,FALSE),0),0))&gt;=0,1+(Backdoors!AL2*(IF((Backdoors!AI12+IF(FG14&gt;=0.45,VLOOKUP(Calculator!E23,tbSkills!DH3:DI6,2,FALSE)+IF(AND(Calculator!B8=TRUE,Backdoors!BI26=TRUE),VLOOKUP(Calculator!E23,tbSkills!DH3:DJ6,3,FALSE),0),0))&gt;=100,100,(Backdoors!AI12+IF(FG14&gt;=0.45,VLOOKUP(Calculator!E23,tbSkills!DH3:DI6,2,FALSE)+IF(AND(Calculator!B8=TRUE,Backdoors!BI26=TRUE),VLOOKUP(Calculator!E23,tbSkills!DH3:DJ6,3,FALSE),0),0)))/100)),(1-(0.25*((-Backdoors!AI12-IF(FG14&gt;=0.45,VLOOKUP(Calculator!E23,tbSkills!DH3:DI6,2,FALSE)+IF(AND(Calculator!B8=TRUE,Backdoors!BI26=TRUE),VLOOKUP(Calculator!E23,tbSkills!DH3:DJ6,3,FALSE),0),0))/100)))),1),"")</f>
        <v>1</v>
      </c>
      <c r="FJ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FG14)*FI14)*(VLOOKUP(A14,tbMoveset!A2:C112,3,FALSE)/100)*IF(VLOOKUP(A14,tbMoveset!A2:B112,2,FALSE)="Projectile",Backdoors!N10,Backdoors!N9),0),"")</f>
        <v/>
      </c>
      <c r="FK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FG14&gt;=0.45,VLOOKUP(Calculator!E23,tbSkills!DH3:DI6,2,FALSE)+IF(AND(Calculator!B8=TRUE,Backdoors!BI26=TRUE),VLOOKUP(Calculator!E23,tbSkills!DH3:DJ6,3,FALSE),0),0))&gt;=100,100,(Backdoors!AI12+IF(FG14&gt;=0.45,VLOOKUP(Calculator!E23,tbSkills!DH3:DI6,2,FALSE)+IF(AND(Calculator!B8=TRUE,Backdoors!BI26=TRUE),VLOOKUP(Calculator!E23,tbSkills!DH3:DJ6,3,FALSE),0),0)))/100)),1))*IF(VLOOKUP(A14,tbMoveset!A2:K112,11,FALSE)=TRUE,Backdoors!AC5,1))*FH14,0),"")</f>
        <v>0</v>
      </c>
      <c r="FL14" s="49">
        <f>VLOOKUP(A14,tbMoveset!A2:G112,7,FALSE)*IFERROR(IF(Backdoors!AI12&gt;=0,1+(IF(Calculator!E40&gt;0,VLOOKUP(Calculator!E40,tbSkills!AI3:AJ5,2,FALSE),Backdoors!AL4)*(IF((Backdoors!AI12+IF(FG14&gt;=0.45,VLOOKUP(Calculator!E23,tbSkills!DH3:DI6,2,FALSE)+IF(AND(Calculator!B8=TRUE,Backdoors!BI26=TRUE),VLOOKUP(Calculator!E23,tbSkills!DH3:DJ6,3,FALSE),0),0))&gt;=100,100,(Backdoors!AI12+IF(FG14&gt;=0.45,VLOOKUP(Calculator!E23,tbSkills!DH3:DI6,2,FALSE)+IF(AND(Calculator!B8=TRUE,Backdoors!BI26=TRUE),VLOOKUP(Calculator!E23,tbSkills!DH3:DJ6,3,FALSE),0),0)))/100)),1),1)</f>
        <v>0.4</v>
      </c>
      <c r="FM14" s="87">
        <f t="shared" si="16"/>
        <v>0</v>
      </c>
      <c r="FN14" s="86" t="str">
        <f>IFERROR(IF(VLOOKUP(A14,tbMoveset!A2:B112,2,FALSE)="Sever",Backdoors!AY27/100,IF(VLOOKUP(A14,tbMoveset!A2:B112,2,FALSE)="Blunt",Backdoors!AZ27/100,Backdoors!BA27/100)),"")</f>
        <v/>
      </c>
      <c r="FO14" s="49">
        <f>IFERROR(IF(VLOOKUP(tbMoveset!A14,tbMoveset!A2:H112,8,FALSE)="Other",IF(VLOOKUP(tbMoveset!A14,tbMoveset!A2:I112,9,FALSE)="Fire",Backdoors!BB27,IF(VLOOKUP(tbMoveset!A14,tbMoveset!A2:I112,9,FALSE)="Water",Backdoors!BC27,IF(VLOOKUP(tbMoveset!A14,tbMoveset!A2:I112,9,FALSE)="Thunder",Backdoors!BD27,IF(VLOOKUP(tbMoveset!A14,tbMoveset!A2:I112,9,FALSE)="Ice",Backdoors!BE27,IF(VLOOKUP(tbMoveset!A14,tbMoveset!A2:I112,9,FALSE)="Dragon",Backdoors!BF27,Backdoors!BG27)))))/100,Backdoors!BG27/100),"")</f>
        <v>0</v>
      </c>
      <c r="FP14" s="49">
        <f>IFERROR(IF(VLOOKUP(A14,tbMoveset!A2:J112,10,FALSE)=TRUE,IF((Backdoors!AI12+IF(FN14&gt;=0.45,VLOOKUP(Calculator!E23,tbSkills!DH3:DI6,2,FALSE)+IF(AND(Calculator!B8=TRUE,Backdoors!BI27=TRUE),VLOOKUP(Calculator!E23,tbSkills!DH3:DJ6,3,FALSE),0),0))&gt;=0,1+(Backdoors!AL2*(IF((Backdoors!AI12+IF(FN14&gt;=0.45,VLOOKUP(Calculator!E23,tbSkills!DH3:DI6,2,FALSE)+IF(AND(Calculator!B8=TRUE,Backdoors!BI27=TRUE),VLOOKUP(Calculator!E23,tbSkills!DH3:DJ6,3,FALSE),0),0))&gt;=100,100,(Backdoors!AI12+IF(FN14&gt;=0.45,VLOOKUP(Calculator!E23,tbSkills!DH3:DI6,2,FALSE)+IF(AND(Calculator!B8=TRUE,Backdoors!BI27=TRUE),VLOOKUP(Calculator!E23,tbSkills!DH3:DJ6,3,FALSE),0),0)))/100)),(1-(0.25*((-Backdoors!AI12-IF(FN14&gt;=0.45,VLOOKUP(Calculator!E23,tbSkills!DH3:DI6,2,FALSE)+IF(AND(Calculator!B8=TRUE,Backdoors!BI27=TRUE),VLOOKUP(Calculator!E23,tbSkills!DH3:DJ6,3,FALSE),0),0))/100)))),1),"")</f>
        <v>1</v>
      </c>
      <c r="FQ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FN14)*FP14)*(VLOOKUP(A14,tbMoveset!A2:C112,3,FALSE)/100)*IF(VLOOKUP(A14,tbMoveset!A2:B112,2,FALSE)="Projectile",Backdoors!N10,Backdoors!N9),0),"")</f>
        <v/>
      </c>
      <c r="FR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FN14&gt;=0.45,VLOOKUP(Calculator!E23,tbSkills!DH3:DI6,2,FALSE)+IF(AND(Calculator!B8=TRUE,Backdoors!BI27=TRUE),VLOOKUP(Calculator!E23,tbSkills!DH3:DJ6,3,FALSE),0),0))&gt;=100,100,(Backdoors!AI12+IF(FN14&gt;=0.45,VLOOKUP(Calculator!E23,tbSkills!DH3:DI6,2,FALSE)+IF(AND(Calculator!B8=TRUE,Backdoors!BI27=TRUE),VLOOKUP(Calculator!E23,tbSkills!DH3:DJ6,3,FALSE),0),0)))/100)),1))*IF(VLOOKUP(A14,tbMoveset!A2:K112,11,FALSE)=TRUE,Backdoors!AC5,1))*FO14,0),"")</f>
        <v>0</v>
      </c>
      <c r="FS14" s="49">
        <f>VLOOKUP(A14,tbMoveset!A2:G112,7,FALSE)*IFERROR(IF(Backdoors!AI12&gt;=0,1+(IF(Calculator!E40&gt;0,VLOOKUP(Calculator!E40,tbSkills!AI3:AJ5,2,FALSE),Backdoors!AL4)*(IF((Backdoors!AI12+IF(FN14&gt;=0.45,VLOOKUP(Calculator!E23,tbSkills!DH3:DI6,2,FALSE)+IF(AND(Calculator!B8=TRUE,Backdoors!BI27=TRUE),VLOOKUP(Calculator!E23,tbSkills!DH3:DJ6,3,FALSE),0),0))&gt;=100,100,(Backdoors!AI12+IF(FN14&gt;=0.45,VLOOKUP(Calculator!E23,tbSkills!DH3:DI6,2,FALSE)+IF(AND(Calculator!B8=TRUE,Backdoors!BI27=TRUE),VLOOKUP(Calculator!E23,tbSkills!DH3:DJ6,3,FALSE),0),0)))/100)),1),1)</f>
        <v>0.4</v>
      </c>
      <c r="FT14" s="87">
        <f t="shared" si="17"/>
        <v>0</v>
      </c>
      <c r="FU14" s="86" t="str">
        <f>IFERROR(IF(VLOOKUP(A14,tbMoveset!A2:B112,2,FALSE)="Sever",Backdoors!AY28/100,IF(VLOOKUP(A14,tbMoveset!A2:B112,2,FALSE)="Blunt",Backdoors!AZ28/100,Backdoors!BA28/100)),"")</f>
        <v/>
      </c>
      <c r="FV14" s="49">
        <f>IFERROR(IF(VLOOKUP(tbMoveset!A14,tbMoveset!A2:H112,8,FALSE)="Other",IF(VLOOKUP(tbMoveset!A14,tbMoveset!A2:I112,9,FALSE)="Fire",Backdoors!BB28,IF(VLOOKUP(tbMoveset!A14,tbMoveset!A2:I112,9,FALSE)="Water",Backdoors!BC28,IF(VLOOKUP(tbMoveset!A14,tbMoveset!A2:I112,9,FALSE)="Thunder",Backdoors!BD28,IF(VLOOKUP(tbMoveset!A14,tbMoveset!A2:I112,9,FALSE)="Ice",Backdoors!BE28,IF(VLOOKUP(tbMoveset!A14,tbMoveset!A2:I112,9,FALSE)="Dragon",Backdoors!BF28,Backdoors!BG28)))))/100,Backdoors!BG28/100),"")</f>
        <v>0</v>
      </c>
      <c r="FW14" s="49">
        <f>IFERROR(IF(VLOOKUP(A14,tbMoveset!A2:J112,10,FALSE)=TRUE,IF((Backdoors!AI12+IF(FU14&gt;=0.45,VLOOKUP(Calculator!E23,tbSkills!DH3:DI6,2,FALSE)+IF(AND(Calculator!B8=TRUE,Backdoors!BI28=TRUE),VLOOKUP(Calculator!E23,tbSkills!DH3:DJ6,3,FALSE),0),0))&gt;=0,1+(Backdoors!AL2*(IF((Backdoors!AI12+IF(FU14&gt;=0.45,VLOOKUP(Calculator!E23,tbSkills!DH3:DI6,2,FALSE)+IF(AND(Calculator!B8=TRUE,Backdoors!BI28=TRUE),VLOOKUP(Calculator!E23,tbSkills!DH3:DJ6,3,FALSE),0),0))&gt;=100,100,(Backdoors!AI12+IF(FU14&gt;=0.45,VLOOKUP(Calculator!E23,tbSkills!DH3:DI6,2,FALSE)+IF(AND(Calculator!B8=TRUE,Backdoors!BI28=TRUE),VLOOKUP(Calculator!E23,tbSkills!DH3:DJ6,3,FALSE),0),0)))/100)),(1-(0.25*((-Backdoors!AI12-IF(FU14&gt;=0.45,VLOOKUP(Calculator!E23,tbSkills!DH3:DI6,2,FALSE)+IF(AND(Calculator!B8=TRUE,Backdoors!BI28=TRUE),VLOOKUP(Calculator!E23,tbSkills!DH3:DJ6,3,FALSE),0),0))/100)))),1),"")</f>
        <v>1</v>
      </c>
      <c r="FX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FU14)*FW14)*(VLOOKUP(A14,tbMoveset!A2:C112,3,FALSE)/100)*IF(VLOOKUP(A14,tbMoveset!A2:B112,2,FALSE)="Projectile",Backdoors!N10,Backdoors!N9),0),"")</f>
        <v/>
      </c>
      <c r="FY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FU14&gt;=0.45,VLOOKUP(Calculator!E23,tbSkills!DH3:DI6,2,FALSE)+IF(AND(Calculator!B8=TRUE,Backdoors!BI28=TRUE),VLOOKUP(Calculator!E23,tbSkills!DH3:DJ6,3,FALSE),0),0))&gt;=100,100,(Backdoors!AI12+IF(FU14&gt;=0.45,VLOOKUP(Calculator!E23,tbSkills!DH3:DI6,2,FALSE)+IF(AND(Calculator!B8=TRUE,Backdoors!BI28=TRUE),VLOOKUP(Calculator!E23,tbSkills!DH3:DJ6,3,FALSE),0),0)))/100)),1))*IF(VLOOKUP(A14,tbMoveset!A2:K112,11,FALSE)=TRUE,Backdoors!AC5,1))*FV14,0),"")</f>
        <v>0</v>
      </c>
      <c r="FZ14" s="49">
        <f>VLOOKUP(A14,tbMoveset!A2:G112,7,FALSE)*IFERROR(IF(Backdoors!AI12&gt;=0,1+(IF(Calculator!E40&gt;0,VLOOKUP(Calculator!E40,tbSkills!AI3:AJ5,2,FALSE),Backdoors!AL4)*(IF((Backdoors!AI12+IF(FU14&gt;=0.45,VLOOKUP(Calculator!E23,tbSkills!DH3:DI6,2,FALSE)+IF(AND(Calculator!B8=TRUE,Backdoors!BI28=TRUE),VLOOKUP(Calculator!E23,tbSkills!DH3:DJ6,3,FALSE),0),0))&gt;=100,100,(Backdoors!AI12+IF(FU14&gt;=0.45,VLOOKUP(Calculator!E23,tbSkills!DH3:DI6,2,FALSE)+IF(AND(Calculator!B8=TRUE,Backdoors!BI28=TRUE),VLOOKUP(Calculator!E23,tbSkills!DH3:DJ6,3,FALSE),0),0)))/100)),1),1)</f>
        <v>0.4</v>
      </c>
      <c r="GA14" s="87">
        <f t="shared" si="18"/>
        <v>0</v>
      </c>
      <c r="GB14" s="86" t="str">
        <f>IFERROR(IF(VLOOKUP(A14,tbMoveset!A2:B112,2,FALSE)="Sever",Backdoors!AY29/100,IF(VLOOKUP(A14,tbMoveset!A2:B112,2,FALSE)="Blunt",Backdoors!AZ29/100,Backdoors!BA29/100)),"")</f>
        <v/>
      </c>
      <c r="GC14" s="49">
        <f>IFERROR(IF(VLOOKUP(tbMoveset!A14,tbMoveset!A2:H112,8,FALSE)="Other",IF(VLOOKUP(tbMoveset!A14,tbMoveset!A2:I112,9,FALSE)="Fire",Backdoors!BB29,IF(VLOOKUP(tbMoveset!A14,tbMoveset!A2:I112,9,FALSE)="Water",Backdoors!BC29,IF(VLOOKUP(tbMoveset!A14,tbMoveset!A2:I112,9,FALSE)="Thunder",Backdoors!BD29,IF(VLOOKUP(tbMoveset!A14,tbMoveset!A2:I112,9,FALSE)="Ice",Backdoors!BE29,IF(VLOOKUP(tbMoveset!A14,tbMoveset!A2:I112,9,FALSE)="Dragon",Backdoors!BF29,Backdoors!BG29)))))/100,Backdoors!BG29/100),"")</f>
        <v>0</v>
      </c>
      <c r="GD14" s="49">
        <f>IFERROR(IF(VLOOKUP(A14,tbMoveset!A2:J112,10,FALSE)=TRUE,IF((Backdoors!AI12+IF(GB14&gt;=0.45,VLOOKUP(Calculator!E23,tbSkills!DH3:DI6,2,FALSE)+IF(AND(Calculator!B8=TRUE,Backdoors!BI29=TRUE),VLOOKUP(Calculator!E23,tbSkills!DH3:DJ6,3,FALSE),0),0))&gt;=0,1+(Backdoors!AL2*(IF((Backdoors!AI12+IF(GB14&gt;=0.45,VLOOKUP(Calculator!E23,tbSkills!DH3:DI6,2,FALSE)+IF(AND(Calculator!B8=TRUE,Backdoors!BI29=TRUE),VLOOKUP(Calculator!E23,tbSkills!DH3:DJ6,3,FALSE),0),0))&gt;=100,100,(Backdoors!AI12+IF(GB14&gt;=0.45,VLOOKUP(Calculator!E23,tbSkills!DH3:DI6,2,FALSE)+IF(AND(Calculator!B8=TRUE,Backdoors!BI29=TRUE),VLOOKUP(Calculator!E23,tbSkills!DH3:DJ6,3,FALSE),0),0)))/100)),(1-(0.25*((-Backdoors!AI12-IF(GB14&gt;=0.45,VLOOKUP(Calculator!E23,tbSkills!DH3:DI6,2,FALSE)+IF(AND(Calculator!B8=TRUE,Backdoors!BI29=TRUE),VLOOKUP(Calculator!E23,tbSkills!DH3:DJ6,3,FALSE),0),0))/100)))),1),"")</f>
        <v>1</v>
      </c>
      <c r="GE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B14)*GD14)*(VLOOKUP(A14,tbMoveset!A2:C112,3,FALSE)/100)*IF(VLOOKUP(A14,tbMoveset!A2:B112,2,FALSE)="Projectile",Backdoors!N10,Backdoors!N9),0),"")</f>
        <v/>
      </c>
      <c r="GF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B14&gt;=0.45,VLOOKUP(Calculator!E23,tbSkills!DH3:DI6,2,FALSE)+IF(AND(Calculator!B8=TRUE,Backdoors!BI29=TRUE),VLOOKUP(Calculator!E23,tbSkills!DH3:DJ6,3,FALSE),0),0))&gt;=100,100,(Backdoors!AI12+IF(GB14&gt;=0.45,VLOOKUP(Calculator!E23,tbSkills!DH3:DI6,2,FALSE)+IF(AND(Calculator!B8=TRUE,Backdoors!BI29=TRUE),VLOOKUP(Calculator!E23,tbSkills!DH3:DJ6,3,FALSE),0),0)))/100)),1))*IF(VLOOKUP(A14,tbMoveset!A2:K112,11,FALSE)=TRUE,Backdoors!AC5,1))*GC14,0),"")</f>
        <v>0</v>
      </c>
      <c r="GG14" s="49">
        <f>VLOOKUP(A14,tbMoveset!A2:G112,7,FALSE)*IFERROR(IF(Backdoors!AI12&gt;=0,1+(IF(Calculator!E40&gt;0,VLOOKUP(Calculator!E40,tbSkills!AI3:AJ5,2,FALSE),Backdoors!AL4)*(IF((Backdoors!AI12+IF(GB14&gt;=0.45,VLOOKUP(Calculator!E23,tbSkills!DH3:DI6,2,FALSE)+IF(AND(Calculator!B8=TRUE,Backdoors!BI29=TRUE),VLOOKUP(Calculator!E23,tbSkills!DH3:DJ6,3,FALSE),0),0))&gt;=100,100,(Backdoors!AI12+IF(GB14&gt;=0.45,VLOOKUP(Calculator!E23,tbSkills!DH3:DI6,2,FALSE)+IF(AND(Calculator!B8=TRUE,Backdoors!BI29=TRUE),VLOOKUP(Calculator!E23,tbSkills!DH3:DJ6,3,FALSE),0),0)))/100)),1),1)</f>
        <v>0.4</v>
      </c>
      <c r="GH14" s="87">
        <f t="shared" si="19"/>
        <v>0</v>
      </c>
      <c r="GI14" s="86" t="str">
        <f>IFERROR(IF(VLOOKUP(A14,tbMoveset!A2:B112,2,FALSE)="Sever",Backdoors!AY30/100,IF(VLOOKUP(A14,tbMoveset!A2:B112,2,FALSE)="Blunt",Backdoors!AZ30/100,Backdoors!BA30/100)),"")</f>
        <v/>
      </c>
      <c r="GJ14" s="49">
        <f>IFERROR(IF(VLOOKUP(tbMoveset!A14,tbMoveset!A2:H112,8,FALSE)="Other",IF(VLOOKUP(tbMoveset!A14,tbMoveset!A2:I112,9,FALSE)="Fire",Backdoors!BB30,IF(VLOOKUP(tbMoveset!A14,tbMoveset!A2:I112,9,FALSE)="Water",Backdoors!BC30,IF(VLOOKUP(tbMoveset!A14,tbMoveset!A2:I112,9,FALSE)="Thunder",Backdoors!BD30,IF(VLOOKUP(tbMoveset!A14,tbMoveset!A2:I112,9,FALSE)="Ice",Backdoors!BE30,IF(VLOOKUP(tbMoveset!A14,tbMoveset!A2:I112,9,FALSE)="Dragon",Backdoors!BF30,Backdoors!BG30)))))/100,Backdoors!BG30/100),"")</f>
        <v>0</v>
      </c>
      <c r="GK14" s="49">
        <f>IFERROR(IF(VLOOKUP(A14,tbMoveset!A2:J112,10,FALSE)=TRUE,IF((Backdoors!AI12+IF(GI14&gt;=0.45,VLOOKUP(Calculator!E23,tbSkills!DH3:DI6,2,FALSE)+IF(AND(Calculator!B8=TRUE,Backdoors!BI30=TRUE),VLOOKUP(Calculator!E23,tbSkills!DH3:DJ6,3,FALSE),0),0))&gt;=0,1+(Backdoors!AL2*(IF((Backdoors!AI12+IF(GI14&gt;=0.45,VLOOKUP(Calculator!E23,tbSkills!DH3:DI6,2,FALSE)+IF(AND(Calculator!B8=TRUE,Backdoors!BI30=TRUE),VLOOKUP(Calculator!E23,tbSkills!DH3:DJ6,3,FALSE),0),0))&gt;=100,100,(Backdoors!AI12+IF(GI14&gt;=0.45,VLOOKUP(Calculator!E23,tbSkills!DH3:DI6,2,FALSE)+IF(AND(Calculator!B8=TRUE,Backdoors!BI30=TRUE),VLOOKUP(Calculator!E23,tbSkills!DH3:DJ6,3,FALSE),0),0)))/100)),(1-(0.25*((-Backdoors!AI12-IF(GI14&gt;=0.45,VLOOKUP(Calculator!E23,tbSkills!DH3:DI6,2,FALSE)+IF(AND(Calculator!B8=TRUE,Backdoors!BI30=TRUE),VLOOKUP(Calculator!E23,tbSkills!DH3:DJ6,3,FALSE),0),0))/100)))),1),"")</f>
        <v>1</v>
      </c>
      <c r="GL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I14)*GK14)*(VLOOKUP(A14,tbMoveset!A2:C112,3,FALSE)/100)*IF(VLOOKUP(A14,tbMoveset!A2:B112,2,FALSE)="Projectile",Backdoors!N10,Backdoors!N9),0),"")</f>
        <v/>
      </c>
      <c r="GM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I14&gt;=0.45,VLOOKUP(Calculator!E23,tbSkills!DH3:DI6,2,FALSE)+IF(AND(Calculator!B8=TRUE,Backdoors!BI30=TRUE),VLOOKUP(Calculator!E23,tbSkills!DH3:DJ6,3,FALSE),0),0))&gt;=100,100,(Backdoors!AI12+IF(GI14&gt;=0.45,VLOOKUP(Calculator!E23,tbSkills!DH3:DI6,2,FALSE)+IF(AND(Calculator!B8=TRUE,Backdoors!BI30=TRUE),VLOOKUP(Calculator!E23,tbSkills!DH3:DJ6,3,FALSE),0),0)))/100)),1))*IF(VLOOKUP(A14,tbMoveset!A2:K112,11,FALSE)=TRUE,Backdoors!AC5,1))*GJ14,0),"")</f>
        <v>0</v>
      </c>
      <c r="GN14" s="49">
        <f>VLOOKUP(A14,tbMoveset!A2:G112,7,FALSE)*IFERROR(IF(Backdoors!AI12&gt;=0,1+(IF(Calculator!E40&gt;0,VLOOKUP(Calculator!E40,tbSkills!AI3:AJ5,2,FALSE),Backdoors!AL4)*(IF((Backdoors!AI12+IF(GI14&gt;=0.45,VLOOKUP(Calculator!E23,tbSkills!DH3:DI6,2,FALSE)+IF(AND(Calculator!B8=TRUE,Backdoors!BI30=TRUE),VLOOKUP(Calculator!E23,tbSkills!DH3:DJ6,3,FALSE),0),0))&gt;=100,100,(Backdoors!AI12+IF(GI14&gt;=0.45,VLOOKUP(Calculator!E23,tbSkills!DH3:DI6,2,FALSE)+IF(AND(Calculator!B8=TRUE,Backdoors!BI30=TRUE),VLOOKUP(Calculator!E23,tbSkills!DH3:DJ6,3,FALSE),0),0)))/100)),1),1)</f>
        <v>0.4</v>
      </c>
      <c r="GO14" s="87">
        <f t="shared" si="20"/>
        <v>0</v>
      </c>
      <c r="GP14" s="86" t="str">
        <f>IFERROR(IF(VLOOKUP(A14,tbMoveset!A2:B112,2,FALSE)="Sever",Backdoors!AY31/100,IF(VLOOKUP(A14,tbMoveset!A2:B112,2,FALSE)="Blunt",Backdoors!AZ31/100,Backdoors!BA31/100)),"")</f>
        <v/>
      </c>
      <c r="GQ14" s="49">
        <f>IFERROR(IF(VLOOKUP(tbMoveset!A14,tbMoveset!A2:H112,8,FALSE)="Other",IF(VLOOKUP(tbMoveset!A14,tbMoveset!A2:I112,9,FALSE)="Fire",Backdoors!BB31,IF(VLOOKUP(tbMoveset!A14,tbMoveset!A2:I112,9,FALSE)="Water",Backdoors!BC31,IF(VLOOKUP(tbMoveset!A14,tbMoveset!A2:I112,9,FALSE)="Thunder",Backdoors!BD31,IF(VLOOKUP(tbMoveset!A14,tbMoveset!A2:I112,9,FALSE)="Ice",Backdoors!BE31,IF(VLOOKUP(tbMoveset!A14,tbMoveset!A2:I112,9,FALSE)="Dragon",Backdoors!BF31,Backdoors!BG31)))))/100,Backdoors!BG31/100),"")</f>
        <v>0</v>
      </c>
      <c r="GR14" s="49">
        <f>IFERROR(IF(VLOOKUP(A14,tbMoveset!A2:J112,10,FALSE)=TRUE,IF((Backdoors!AI12+IF(GP14&gt;=0.45,VLOOKUP(Calculator!E23,tbSkills!DH3:DI6,2,FALSE)+IF(AND(Calculator!B8=TRUE,Backdoors!BI31=TRUE),VLOOKUP(Calculator!E23,tbSkills!DH3:DJ6,3,FALSE),0),0))&gt;=0,1+(Backdoors!AL2*(IF((Backdoors!AI12+IF(GP14&gt;=0.45,VLOOKUP(Calculator!E23,tbSkills!DH3:DI6,2,FALSE)+IF(AND(Calculator!B8=TRUE,Backdoors!BI31=TRUE),VLOOKUP(Calculator!E23,tbSkills!DH3:DJ6,3,FALSE),0),0))&gt;=100,100,(Backdoors!AI12+IF(GP14&gt;=0.45,VLOOKUP(Calculator!E23,tbSkills!DH3:DI6,2,FALSE)+IF(AND(Calculator!B8=TRUE,Backdoors!BI31=TRUE),VLOOKUP(Calculator!E23,tbSkills!DH3:DJ6,3,FALSE),0),0)))/100)),(1-(0.25*((-Backdoors!AI12-IF(GP14&gt;=0.45,VLOOKUP(Calculator!E23,tbSkills!DH3:DI6,2,FALSE)+IF(AND(Calculator!B8=TRUE,Backdoors!BI31=TRUE),VLOOKUP(Calculator!E23,tbSkills!DH3:DJ6,3,FALSE),0),0))/100)))),1),"")</f>
        <v>1</v>
      </c>
      <c r="GS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P14)*GR14)*(VLOOKUP(A14,tbMoveset!A2:C112,3,FALSE)/100)*IF(VLOOKUP(A14,tbMoveset!A2:B112,2,FALSE)="Projectile",Backdoors!N10,Backdoors!N9),0),"")</f>
        <v/>
      </c>
      <c r="GT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P14&gt;=0.45,VLOOKUP(Calculator!E23,tbSkills!DH3:DI6,2,FALSE)+IF(AND(Calculator!B8=TRUE,Backdoors!BI31=TRUE),VLOOKUP(Calculator!E23,tbSkills!DH3:DJ6,3,FALSE),0),0))&gt;=100,100,(Backdoors!AI12+IF(GP14&gt;=0.45,VLOOKUP(Calculator!E23,tbSkills!DH3:DI6,2,FALSE)+IF(AND(Calculator!B8=TRUE,Backdoors!BI31=TRUE),VLOOKUP(Calculator!E23,tbSkills!DH3:DJ6,3,FALSE),0),0)))/100)),1))*IF(VLOOKUP(A14,tbMoveset!A2:K112,11,FALSE)=TRUE,Backdoors!AC5,1))*GQ14,0),"")</f>
        <v>0</v>
      </c>
      <c r="GU14" s="49">
        <f>VLOOKUP(A14,tbMoveset!A2:G112,7,FALSE)*IFERROR(IF(Backdoors!AI12&gt;=0,1+(IF(Calculator!E40&gt;0,VLOOKUP(Calculator!E40,tbSkills!AI3:AJ5,2,FALSE),Backdoors!AL4)*(IF((Backdoors!AI12+IF(GP14&gt;=0.45,VLOOKUP(Calculator!E23,tbSkills!DH3:DI6,2,FALSE)+IF(AND(Calculator!B8=TRUE,Backdoors!BI31=TRUE),VLOOKUP(Calculator!E23,tbSkills!DH3:DJ6,3,FALSE),0),0))&gt;=100,100,(Backdoors!AI12+IF(GP14&gt;=0.45,VLOOKUP(Calculator!E23,tbSkills!DH3:DI6,2,FALSE)+IF(AND(Calculator!B8=TRUE,Backdoors!BI31=TRUE),VLOOKUP(Calculator!E23,tbSkills!DH3:DJ6,3,FALSE),0),0)))/100)),1),1)</f>
        <v>0.4</v>
      </c>
      <c r="GV14" s="87">
        <f t="shared" si="21"/>
        <v>0</v>
      </c>
      <c r="GW14" s="86" t="str">
        <f>IFERROR(IF(VLOOKUP(A14,tbMoveset!A2:B112,2,FALSE)="Sever",Backdoors!AY32/100,IF(VLOOKUP(A14,tbMoveset!A2:B112,2,FALSE)="Blunt",Backdoors!AZ32/100,Backdoors!BA32/100)),"")</f>
        <v/>
      </c>
      <c r="GX14" s="49">
        <f>IFERROR(IF(VLOOKUP(tbMoveset!A14,tbMoveset!A2:H112,8,FALSE)="Other",IF(VLOOKUP(tbMoveset!A14,tbMoveset!A2:I112,9,FALSE)="Fire",Backdoors!BB32,IF(VLOOKUP(tbMoveset!A14,tbMoveset!A2:I112,9,FALSE)="Water",Backdoors!BC32,IF(VLOOKUP(tbMoveset!A14,tbMoveset!A2:I112,9,FALSE)="Thunder",Backdoors!BD32,IF(VLOOKUP(tbMoveset!A14,tbMoveset!A2:I112,9,FALSE)="Ice",Backdoors!BE32,IF(VLOOKUP(tbMoveset!A14,tbMoveset!A2:I112,9,FALSE)="Dragon",Backdoors!BF32,Backdoors!BG32)))))/100,Backdoors!BG32/100),"")</f>
        <v>0</v>
      </c>
      <c r="GY14" s="49">
        <f>IFERROR(IF(VLOOKUP(A14,tbMoveset!A2:J112,10,FALSE)=TRUE,IF((Backdoors!AI12+IF(GW14&gt;=0.45,VLOOKUP(Calculator!E23,tbSkills!DH3:DI6,2,FALSE)+IF(AND(Calculator!B8=TRUE,Backdoors!BI32=TRUE),VLOOKUP(Calculator!E23,tbSkills!DH3:DJ6,3,FALSE),0),0))&gt;=0,1+(Backdoors!AL2*(IF((Backdoors!AI12+IF(GW14&gt;=0.45,VLOOKUP(Calculator!E23,tbSkills!DH3:DI6,2,FALSE)+IF(AND(Calculator!B8=TRUE,Backdoors!BI32=TRUE),VLOOKUP(Calculator!E23,tbSkills!DH3:DJ6,3,FALSE),0),0))&gt;=100,100,(Backdoors!AI12+IF(GW14&gt;=0.45,VLOOKUP(Calculator!E23,tbSkills!DH3:DI6,2,FALSE)+IF(AND(Calculator!B8=TRUE,Backdoors!BI32=TRUE),VLOOKUP(Calculator!E23,tbSkills!DH3:DJ6,3,FALSE),0),0)))/100)),(1-(0.25*((-Backdoors!AI12-IF(GW14&gt;=0.45,VLOOKUP(Calculator!E23,tbSkills!DH3:DI6,2,FALSE)+IF(AND(Calculator!B8=TRUE,Backdoors!BI32=TRUE),VLOOKUP(Calculator!E23,tbSkills!DH3:DJ6,3,FALSE),0),0))/100)))),1),"")</f>
        <v>1</v>
      </c>
      <c r="GZ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W14)*GY14)*(VLOOKUP(A14,tbMoveset!A2:C112,3,FALSE)/100)*IF(VLOOKUP(A14,tbMoveset!A2:B112,2,FALSE)="Projectile",Backdoors!N10,Backdoors!N9),0),"")</f>
        <v/>
      </c>
      <c r="HA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W14&gt;=0.45,VLOOKUP(Calculator!E23,tbSkills!DH3:DI6,2,FALSE)+IF(AND(Calculator!B8=TRUE,Backdoors!BI32=TRUE),VLOOKUP(Calculator!E23,tbSkills!DH3:DJ6,3,FALSE),0),0))&gt;=100,100,(Backdoors!AI12+IF(GW14&gt;=0.45,VLOOKUP(Calculator!E23,tbSkills!DH3:DI6,2,FALSE)+IF(AND(Calculator!B8=TRUE,Backdoors!BI32=TRUE),VLOOKUP(Calculator!E23,tbSkills!DH3:DJ6,3,FALSE),0),0)))/100)),1))*IF(VLOOKUP(A14,tbMoveset!A2:K112,11,FALSE)=TRUE,Backdoors!AC5,1))*GX14,0),"")</f>
        <v>0</v>
      </c>
      <c r="HB14" s="49">
        <f>VLOOKUP(A14,tbMoveset!A2:G112,7,FALSE)*IFERROR(IF(Backdoors!AI12&gt;=0,1+(IF(Calculator!E40&gt;0,VLOOKUP(Calculator!E40,tbSkills!AI3:AJ5,2,FALSE),Backdoors!AL4)*(IF((Backdoors!AI12+IF(GW14&gt;=0.45,VLOOKUP(Calculator!E23,tbSkills!DH3:DI6,2,FALSE)+IF(AND(Calculator!B8=TRUE,Backdoors!BI32=TRUE),VLOOKUP(Calculator!E23,tbSkills!DH3:DJ6,3,FALSE),0),0))&gt;=100,100,(Backdoors!AI12+IF(GW14&gt;=0.45,VLOOKUP(Calculator!E23,tbSkills!DH3:DI6,2,FALSE)+IF(AND(Calculator!B8=TRUE,Backdoors!BI32=TRUE),VLOOKUP(Calculator!E23,tbSkills!DH3:DJ6,3,FALSE),0),0)))/100)),1),1)</f>
        <v>0.4</v>
      </c>
      <c r="HC14" s="87">
        <f t="shared" si="22"/>
        <v>0</v>
      </c>
      <c r="HD14" s="86" t="str">
        <f>IFERROR(IF(VLOOKUP(A14,tbMoveset!A2:B112,2,FALSE)="Sever",Backdoors!AY33/100,IF(VLOOKUP(A14,tbMoveset!A2:B112,2,FALSE)="Blunt",Backdoors!AZ33/100,Backdoors!BA33/100)),"")</f>
        <v/>
      </c>
      <c r="HE14" s="49">
        <f>IFERROR(IF(VLOOKUP(tbMoveset!A14,tbMoveset!A2:H112,8,FALSE)="Other",IF(VLOOKUP(tbMoveset!A14,tbMoveset!A2:I112,9,FALSE)="Fire",Backdoors!BB33,IF(VLOOKUP(tbMoveset!A14,tbMoveset!A2:I112,9,FALSE)="Water",Backdoors!BC33,IF(VLOOKUP(tbMoveset!A14,tbMoveset!A2:I112,9,FALSE)="Thunder",Backdoors!BD33,IF(VLOOKUP(tbMoveset!A14,tbMoveset!A2:I112,9,FALSE)="Ice",Backdoors!BE33,IF(VLOOKUP(tbMoveset!A14,tbMoveset!A2:I112,9,FALSE)="Dragon",Backdoors!BF33,Backdoors!BG33)))))/100,Backdoors!BG33/100),"")</f>
        <v>0</v>
      </c>
      <c r="HF14" s="49">
        <f>IFERROR(IF(VLOOKUP(A14,tbMoveset!A2:J112,10,FALSE)=TRUE,IF((Backdoors!AI12+IF(HD14&gt;=0.45,VLOOKUP(Calculator!E23,tbSkills!DH3:DI6,2,FALSE)+IF(AND(Calculator!B8=TRUE,Backdoors!BI33=TRUE),VLOOKUP(Calculator!E23,tbSkills!DH3:DJ6,3,FALSE),0),0))&gt;=0,1+(Backdoors!AL2*(IF((Backdoors!AI12+IF(HD14&gt;=0.45,VLOOKUP(Calculator!E23,tbSkills!DH3:DI6,2,FALSE)+IF(AND(Calculator!B8=TRUE,Backdoors!BI33=TRUE),VLOOKUP(Calculator!E23,tbSkills!DH3:DJ6,3,FALSE),0),0))&gt;=100,100,(Backdoors!AI12+IF(HD14&gt;=0.45,VLOOKUP(Calculator!E23,tbSkills!DH3:DI6,2,FALSE)+IF(AND(Calculator!B8=TRUE,Backdoors!BI33=TRUE),VLOOKUP(Calculator!E23,tbSkills!DH3:DJ6,3,FALSE),0),0)))/100)),(1-(0.25*((-Backdoors!AI12-IF(HD14&gt;=0.45,VLOOKUP(Calculator!E23,tbSkills!DH3:DI6,2,FALSE)+IF(AND(Calculator!B8=TRUE,Backdoors!BI33=TRUE),VLOOKUP(Calculator!E23,tbSkills!DH3:DJ6,3,FALSE),0),0))/100)))),1),"")</f>
        <v>1</v>
      </c>
      <c r="HG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D14)*HF14)*(VLOOKUP(A14,tbMoveset!A2:C112,3,FALSE)/100)*IF(VLOOKUP(A14,tbMoveset!A2:B112,2,FALSE)="Projectile",Backdoors!N10,Backdoors!N9),0),"")</f>
        <v/>
      </c>
      <c r="HH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D14&gt;=0.45,VLOOKUP(Calculator!E23,tbSkills!DH3:DI6,2,FALSE)+IF(AND(Calculator!B8=TRUE,Backdoors!BI33=TRUE),VLOOKUP(Calculator!E23,tbSkills!DH3:DJ6,3,FALSE),0),0))&gt;=100,100,(Backdoors!AI12+IF(HD14&gt;=0.45,VLOOKUP(Calculator!E23,tbSkills!DH3:DI6,2,FALSE)+IF(AND(Calculator!B8=TRUE,Backdoors!BI33=TRUE),VLOOKUP(Calculator!E23,tbSkills!DH3:DJ6,3,FALSE),0),0)))/100)),1))*IF(VLOOKUP(A14,tbMoveset!A2:K112,11,FALSE)=TRUE,Backdoors!AC5,1))*HE14,0),"")</f>
        <v>0</v>
      </c>
      <c r="HI14" s="49">
        <f>VLOOKUP(A14,tbMoveset!A2:G112,7,FALSE)*IFERROR(IF(Backdoors!AI12&gt;=0,1+(IF(Calculator!E40&gt;0,VLOOKUP(Calculator!E40,tbSkills!AI3:AJ5,2,FALSE),Backdoors!AL4)*(IF((Backdoors!AI12+IF(HD14&gt;=0.45,VLOOKUP(Calculator!E23,tbSkills!DH3:DI6,2,FALSE)+IF(AND(Calculator!B8=TRUE,Backdoors!BI33=TRUE),VLOOKUP(Calculator!E23,tbSkills!DH3:DJ6,3,FALSE),0),0))&gt;=100,100,(Backdoors!AI12+IF(HD14&gt;=0.45,VLOOKUP(Calculator!E23,tbSkills!DH3:DI6,2,FALSE)+IF(AND(Calculator!B8=TRUE,Backdoors!BI33=TRUE),VLOOKUP(Calculator!E23,tbSkills!DH3:DJ6,3,FALSE),0),0)))/100)),1),1)</f>
        <v>0.4</v>
      </c>
      <c r="HJ14" s="87">
        <f t="shared" si="23"/>
        <v>0</v>
      </c>
      <c r="HK14" s="86" t="str">
        <f>IFERROR(IF(VLOOKUP(A14,tbMoveset!A2:B112,2,FALSE)="Sever",Backdoors!AY34/100,IF(VLOOKUP(A14,tbMoveset!A2:B112,2,FALSE)="Blunt",Backdoors!AZ34/100,Backdoors!BA34/100)),"")</f>
        <v/>
      </c>
      <c r="HL14" s="49">
        <f>IFERROR(IF(VLOOKUP(tbMoveset!A14,tbMoveset!A2:H112,8,FALSE)="Other",IF(VLOOKUP(tbMoveset!A14,tbMoveset!A2:I112,9,FALSE)="Fire",Backdoors!BB34,IF(VLOOKUP(tbMoveset!A14,tbMoveset!A2:I112,9,FALSE)="Water",Backdoors!BC34,IF(VLOOKUP(tbMoveset!A14,tbMoveset!A2:I112,9,FALSE)="Thunder",Backdoors!BD34,IF(VLOOKUP(tbMoveset!A14,tbMoveset!A2:I112,9,FALSE)="Ice",Backdoors!BE34,IF(VLOOKUP(tbMoveset!A14,tbMoveset!A2:I112,9,FALSE)="Dragon",Backdoors!BF34,Backdoors!BG34)))))/100,Backdoors!BG34/100),"")</f>
        <v>0</v>
      </c>
      <c r="HM14" s="49">
        <f>IFERROR(IF(VLOOKUP(A14,tbMoveset!A2:J112,10,FALSE)=TRUE,IF((Backdoors!AI12+IF(HK14&gt;=0.45,VLOOKUP(Calculator!E23,tbSkills!DH3:DI6,2,FALSE)+IF(AND(Calculator!B8=TRUE,Backdoors!BI34=TRUE),VLOOKUP(Calculator!E23,tbSkills!DH3:DJ6,3,FALSE),0),0))&gt;=0,1+(Backdoors!AL2*(IF((Backdoors!AI12+IF(HK14&gt;=0.45,VLOOKUP(Calculator!E23,tbSkills!DH3:DI6,2,FALSE)+IF(AND(Calculator!B8=TRUE,Backdoors!BI34=TRUE),VLOOKUP(Calculator!E23,tbSkills!DH3:DJ6,3,FALSE),0),0))&gt;=100,100,(Backdoors!AI12+IF(HK14&gt;=0.45,VLOOKUP(Calculator!E23,tbSkills!DH3:DI6,2,FALSE)+IF(AND(Calculator!B8=TRUE,Backdoors!BI34=TRUE),VLOOKUP(Calculator!E23,tbSkills!DH3:DJ6,3,FALSE),0),0)))/100)),(1-(0.25*((-Backdoors!AI12-IF(HK14&gt;=0.45,VLOOKUP(Calculator!E23,tbSkills!DH3:DI6,2,FALSE)+IF(AND(Calculator!B8=TRUE,Backdoors!BI34=TRUE),VLOOKUP(Calculator!E23,tbSkills!DH3:DJ6,3,FALSE),0),0))/100)))),1),"")</f>
        <v>1</v>
      </c>
      <c r="HN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K14)*HM14)*(VLOOKUP(A14,tbMoveset!A2:C112,3,FALSE)/100)*IF(VLOOKUP(A14,tbMoveset!A2:B112,2,FALSE)="Projectile",Backdoors!N10,Backdoors!N9),0),"")</f>
        <v/>
      </c>
      <c r="HO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K14&gt;=0.45,VLOOKUP(Calculator!E23,tbSkills!DH3:DI6,2,FALSE)+IF(AND(Calculator!B8=TRUE,Backdoors!BI34=TRUE),VLOOKUP(Calculator!E23,tbSkills!DH3:DJ6,3,FALSE),0),0))&gt;=100,100,(Backdoors!AI12+IF(HK14&gt;=0.45,VLOOKUP(Calculator!E23,tbSkills!DH3:DI6,2,FALSE)+IF(AND(Calculator!B8=TRUE,Backdoors!BI34=TRUE),VLOOKUP(Calculator!E23,tbSkills!DH3:DJ6,3,FALSE),0),0)))/100)),1))*IF(VLOOKUP(A14,tbMoveset!A2:K112,11,FALSE)=TRUE,Backdoors!AC5,1))*HL14,0),"")</f>
        <v>0</v>
      </c>
      <c r="HP14" s="49">
        <f>VLOOKUP(A14,tbMoveset!A2:G112,7,FALSE)*IFERROR(IF(Backdoors!AI12&gt;=0,1+(IF(Calculator!E40&gt;0,VLOOKUP(Calculator!E40,tbSkills!AI3:AJ5,2,FALSE),Backdoors!AL4)*(IF((Backdoors!AI12+IF(HK14&gt;=0.45,VLOOKUP(Calculator!E23,tbSkills!DH3:DI6,2,FALSE)+IF(AND(Calculator!B8=TRUE,Backdoors!BI34=TRUE),VLOOKUP(Calculator!E23,tbSkills!DH3:DJ6,3,FALSE),0),0))&gt;=100,100,(Backdoors!AI12+IF(HK14&gt;=0.45,VLOOKUP(Calculator!E23,tbSkills!DH3:DI6,2,FALSE)+IF(AND(Calculator!B8=TRUE,Backdoors!BI34=TRUE),VLOOKUP(Calculator!E23,tbSkills!DH3:DJ6,3,FALSE),0),0)))/100)),1),1)</f>
        <v>0.4</v>
      </c>
      <c r="HQ14" s="87">
        <f t="shared" si="24"/>
        <v>0</v>
      </c>
      <c r="HR14" s="86" t="str">
        <f>IFERROR(IF(VLOOKUP(A14,tbMoveset!A2:B112,2,FALSE)="Sever",Backdoors!AY35/100,IF(VLOOKUP(A14,tbMoveset!A2:B112,2,FALSE)="Blunt",Backdoors!AZ35/100,Backdoors!BA35/100)),"")</f>
        <v/>
      </c>
      <c r="HS14" s="49">
        <f>IFERROR(IF(VLOOKUP(tbMoveset!A14,tbMoveset!A2:H112,8,FALSE)="Other",IF(VLOOKUP(tbMoveset!A14,tbMoveset!A2:I112,9,FALSE)="Fire",Backdoors!BB35,IF(VLOOKUP(tbMoveset!A14,tbMoveset!A2:I112,9,FALSE)="Water",Backdoors!BC35,IF(VLOOKUP(tbMoveset!A14,tbMoveset!A2:I112,9,FALSE)="Thunder",Backdoors!BD35,IF(VLOOKUP(tbMoveset!A14,tbMoveset!A2:I112,9,FALSE)="Ice",Backdoors!BE35,IF(VLOOKUP(tbMoveset!A14,tbMoveset!A2:I112,9,FALSE)="Dragon",Backdoors!BF35,Backdoors!BG35)))))/100,Backdoors!BG35/100),"")</f>
        <v>0</v>
      </c>
      <c r="HT14" s="49">
        <f>IFERROR(IF(VLOOKUP(A14,tbMoveset!A2:J112,10,FALSE)=TRUE,IF((Backdoors!AI12+IF(HR14&gt;=0.45,VLOOKUP(Calculator!E23,tbSkills!DH3:DI6,2,FALSE)+IF(AND(Calculator!B8=TRUE,Backdoors!BI35=TRUE),VLOOKUP(Calculator!E23,tbSkills!DH3:DJ6,3,FALSE),0),0))&gt;=0,1+(Backdoors!AL2*(IF((Backdoors!AI12+IF(HR14&gt;=0.45,VLOOKUP(Calculator!E23,tbSkills!DH3:DI6,2,FALSE)+IF(AND(Calculator!B8=TRUE,Backdoors!BI35=TRUE),VLOOKUP(Calculator!E23,tbSkills!DH3:DJ6,3,FALSE),0),0))&gt;=100,100,(Backdoors!AI12+IF(HR14&gt;=0.45,VLOOKUP(Calculator!E23,tbSkills!DH3:DI6,2,FALSE)+IF(AND(Calculator!B8=TRUE,Backdoors!BI35=TRUE),VLOOKUP(Calculator!E23,tbSkills!DH3:DJ6,3,FALSE),0),0)))/100)),(1-(0.25*((-Backdoors!AI12-IF(HR14&gt;=0.45,VLOOKUP(Calculator!E23,tbSkills!DH3:DI6,2,FALSE)+IF(AND(Calculator!B8=TRUE,Backdoors!BI35=TRUE),VLOOKUP(Calculator!E23,tbSkills!DH3:DJ6,3,FALSE),0),0))/100)))),1),"")</f>
        <v>1</v>
      </c>
      <c r="HU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R14)*HT14)*(VLOOKUP(A14,tbMoveset!A2:C112,3,FALSE)/100)*IF(VLOOKUP(A14,tbMoveset!A2:B112,2,FALSE)="Projectile",Backdoors!N10,Backdoors!N9),0),"")</f>
        <v/>
      </c>
      <c r="HV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R14&gt;=0.45,VLOOKUP(Calculator!E23,tbSkills!DH3:DI6,2,FALSE)+IF(AND(Calculator!B8=TRUE,Backdoors!BI35=TRUE),VLOOKUP(Calculator!E23,tbSkills!DH3:DJ6,3,FALSE),0),0))&gt;=100,100,(Backdoors!AI12+IF(HR14&gt;=0.45,VLOOKUP(Calculator!E23,tbSkills!DH3:DI6,2,FALSE)+IF(AND(Calculator!B8=TRUE,Backdoors!BI35=TRUE),VLOOKUP(Calculator!E23,tbSkills!DH3:DJ6,3,FALSE),0),0)))/100)),1))*IF(VLOOKUP(A14,tbMoveset!A2:K112,11,FALSE)=TRUE,Backdoors!AC5,1))*HS14,0),"")</f>
        <v>0</v>
      </c>
      <c r="HW14" s="49">
        <f>VLOOKUP(A14,tbMoveset!A2:G112,7,FALSE)*IFERROR(IF(Backdoors!AI12&gt;=0,1+(IF(Calculator!E40&gt;0,VLOOKUP(Calculator!E40,tbSkills!AI3:AJ5,2,FALSE),Backdoors!AL4)*(IF((Backdoors!AI12+IF(HR14&gt;=0.45,VLOOKUP(Calculator!E23,tbSkills!DH3:DI6,2,FALSE)+IF(AND(Calculator!B8=TRUE,Backdoors!BI35=TRUE),VLOOKUP(Calculator!E23,tbSkills!DH3:DJ6,3,FALSE),0),0))&gt;=100,100,(Backdoors!AI12+IF(HR14&gt;=0.45,VLOOKUP(Calculator!E23,tbSkills!DH3:DI6,2,FALSE)+IF(AND(Calculator!B8=TRUE,Backdoors!BI35=TRUE),VLOOKUP(Calculator!E23,tbSkills!DH3:DJ6,3,FALSE),0),0)))/100)),1),1)</f>
        <v>0.4</v>
      </c>
      <c r="HX14" s="87">
        <f t="shared" si="25"/>
        <v>0</v>
      </c>
      <c r="HY14" s="86" t="str">
        <f>IFERROR(IF(VLOOKUP(A14,tbMoveset!A2:B112,2,FALSE)="Sever",Backdoors!AY36/100,IF(VLOOKUP(A14,tbMoveset!A2:B112,2,FALSE)="Blunt",Backdoors!AZ36/100,Backdoors!BA36/100)),"")</f>
        <v/>
      </c>
      <c r="HZ14" s="49">
        <f>IFERROR(IF(VLOOKUP(tbMoveset!A14,tbMoveset!A2:H112,8,FALSE)="Other",IF(VLOOKUP(tbMoveset!A14,tbMoveset!A2:I112,9,FALSE)="Fire",Backdoors!BB36,IF(VLOOKUP(tbMoveset!A14,tbMoveset!A2:I112,9,FALSE)="Water",Backdoors!BC36,IF(VLOOKUP(tbMoveset!A14,tbMoveset!A2:I112,9,FALSE)="Thunder",Backdoors!BD36,IF(VLOOKUP(tbMoveset!A14,tbMoveset!A2:I112,9,FALSE)="Ice",Backdoors!BE36,IF(VLOOKUP(tbMoveset!A14,tbMoveset!A2:I112,9,FALSE)="Dragon",Backdoors!BF36,Backdoors!BG36)))))/100,Backdoors!BG36/100),"")</f>
        <v>0</v>
      </c>
      <c r="IA14" s="49">
        <f>IFERROR(IF(VLOOKUP(A14,tbMoveset!A2:J112,10,FALSE)=TRUE,IF((Backdoors!AI12+IF(HY14&gt;=0.45,VLOOKUP(Calculator!E23,tbSkills!DH3:DI6,2,FALSE)+IF(AND(Calculator!B8=TRUE,Backdoors!BI36=TRUE),VLOOKUP(Calculator!E23,tbSkills!DH3:DJ6,3,FALSE),0),0))&gt;=0,1+(Backdoors!AL2*(IF((Backdoors!AI12+IF(HY14&gt;=0.45,VLOOKUP(Calculator!E23,tbSkills!DH3:DI6,2,FALSE)+IF(AND(Calculator!B8=TRUE,Backdoors!BI36=TRUE),VLOOKUP(Calculator!E23,tbSkills!DH3:DJ6,3,FALSE),0),0))&gt;=100,100,(Backdoors!AI12+IF(HY14&gt;=0.45,VLOOKUP(Calculator!E23,tbSkills!DH3:DI6,2,FALSE)+IF(AND(Calculator!B8=TRUE,Backdoors!BI36=TRUE),VLOOKUP(Calculator!E23,tbSkills!DH3:DJ6,3,FALSE),0),0)))/100)),(1-(0.25*((-Backdoors!AI12-IF(HY14&gt;=0.45,VLOOKUP(Calculator!E23,tbSkills!DH3:DI6,2,FALSE)+IF(AND(Calculator!B8=TRUE,Backdoors!BI36=TRUE),VLOOKUP(Calculator!E23,tbSkills!DH3:DJ6,3,FALSE),0),0))/100)))),1),"")</f>
        <v>1</v>
      </c>
      <c r="IB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Y14)*IA14)*(VLOOKUP(A14,tbMoveset!A2:C112,3,FALSE)/100)*IF(VLOOKUP(A14,tbMoveset!A2:B112,2,FALSE)="Projectile",Backdoors!N10,Backdoors!N9),0),"")</f>
        <v/>
      </c>
      <c r="IC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Y14&gt;=0.45,VLOOKUP(Calculator!E23,tbSkills!DH3:DI6,2,FALSE)+IF(AND(Calculator!B8=TRUE,Backdoors!BI36=TRUE),VLOOKUP(Calculator!E23,tbSkills!DH3:DJ6,3,FALSE),0),0))&gt;=100,100,(Backdoors!AI12+IF(HY14&gt;=0.45,VLOOKUP(Calculator!E23,tbSkills!DH3:DI6,2,FALSE)+IF(AND(Calculator!B8=TRUE,Backdoors!BI36=TRUE),VLOOKUP(Calculator!E23,tbSkills!DH3:DJ6,3,FALSE),0),0)))/100)),1))*IF(VLOOKUP(A14,tbMoveset!A2:K112,11,FALSE)=TRUE,Backdoors!AC5,1))*HZ14,0),"")</f>
        <v>0</v>
      </c>
      <c r="ID14" s="49">
        <f>VLOOKUP(A14,tbMoveset!A2:G112,7,FALSE)*IFERROR(IF(Backdoors!AI12&gt;=0,1+(IF(Calculator!E40&gt;0,VLOOKUP(Calculator!E40,tbSkills!AI3:AJ5,2,FALSE),Backdoors!AL4)*(IF((Backdoors!AI12+IF(HY14&gt;=0.45,VLOOKUP(Calculator!E23,tbSkills!DH3:DI6,2,FALSE)+IF(AND(Calculator!B8=TRUE,Backdoors!BI36=TRUE),VLOOKUP(Calculator!E23,tbSkills!DH3:DJ6,3,FALSE),0),0))&gt;=100,100,(Backdoors!AI12+IF(HY14&gt;=0.45,VLOOKUP(Calculator!E23,tbSkills!DH3:DI6,2,FALSE)+IF(AND(Calculator!B8=TRUE,Backdoors!BI36=TRUE),VLOOKUP(Calculator!E23,tbSkills!DH3:DJ6,3,FALSE),0),0)))/100)),1),1)</f>
        <v>0.4</v>
      </c>
      <c r="IE14" s="87">
        <f t="shared" si="26"/>
        <v>0</v>
      </c>
      <c r="IF14" s="86" t="str">
        <f>IFERROR(IF(VLOOKUP(A14,tbMoveset!A2:B112,2,FALSE)="Sever",Backdoors!AY37/100,IF(VLOOKUP(A14,tbMoveset!A2:B112,2,FALSE)="Blunt",Backdoors!AZ37/100,Backdoors!BA37/100)),"")</f>
        <v/>
      </c>
      <c r="IG14" s="49">
        <f>IFERROR(IF(VLOOKUP(tbMoveset!A14,tbMoveset!A2:H112,8,FALSE)="Other",IF(VLOOKUP(tbMoveset!A14,tbMoveset!A2:I112,9,FALSE)="Fire",Backdoors!BB37,IF(VLOOKUP(tbMoveset!A14,tbMoveset!A2:I112,9,FALSE)="Water",Backdoors!BC37,IF(VLOOKUP(tbMoveset!A14,tbMoveset!A2:I112,9,FALSE)="Thunder",Backdoors!BD37,IF(VLOOKUP(tbMoveset!A14,tbMoveset!A2:I112,9,FALSE)="Ice",Backdoors!BE37,IF(VLOOKUP(tbMoveset!A14,tbMoveset!A2:I112,9,FALSE)="Dragon",Backdoors!BF37,Backdoors!BG37)))))/100,Backdoors!BG37/100),"")</f>
        <v>0</v>
      </c>
      <c r="IH14" s="49">
        <f>IFERROR(IF(VLOOKUP(A14,tbMoveset!A2:J112,10,FALSE)=TRUE,IF((Backdoors!AI12+IF(IF14&gt;=0.45,VLOOKUP(Calculator!E23,tbSkills!DH3:DI6,2,FALSE)+IF(AND(Calculator!B8=TRUE,Backdoors!BI37=TRUE),VLOOKUP(Calculator!E23,tbSkills!DH3:DJ6,3,FALSE),0),0))&gt;=0,1+(Backdoors!AL2*(IF((Backdoors!AI12+IF(IF14&gt;=0.45,VLOOKUP(Calculator!E23,tbSkills!DH3:DI6,2,FALSE)+IF(AND(Calculator!B8=TRUE,Backdoors!BI37=TRUE),VLOOKUP(Calculator!E23,tbSkills!DH3:DJ6,3,FALSE),0),0))&gt;=100,100,(Backdoors!AI12+IF(IF14&gt;=0.45,VLOOKUP(Calculator!E23,tbSkills!DH3:DI6,2,FALSE)+IF(AND(Calculator!B8=TRUE,Backdoors!BI37=TRUE),VLOOKUP(Calculator!E23,tbSkills!DH3:DJ6,3,FALSE),0),0)))/100)),(1-(0.25*((-Backdoors!AI12-IF(IF14&gt;=0.45,VLOOKUP(Calculator!E23,tbSkills!DH3:DI6,2,FALSE)+IF(AND(Calculator!B8=TRUE,Backdoors!BI37=TRUE),VLOOKUP(Calculator!E23,tbSkills!DH3:DJ6,3,FALSE),0),0))/100)))),1),"")</f>
        <v>1</v>
      </c>
      <c r="II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F14)*IH14)*(VLOOKUP(A14,tbMoveset!A2:C112,3,FALSE)/100)*IF(VLOOKUP(A14,tbMoveset!A2:B112,2,FALSE)="Projectile",Backdoors!N10,Backdoors!N9),0),"")</f>
        <v/>
      </c>
      <c r="IJ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IF14&gt;=0.45,VLOOKUP(Calculator!E23,tbSkills!DH3:DI6,2,FALSE)+IF(AND(Calculator!B8=TRUE,Backdoors!BI37=TRUE),VLOOKUP(Calculator!E23,tbSkills!DH3:DJ6,3,FALSE),0),0))&gt;=100,100,(Backdoors!AI12+IF(IF14&gt;=0.45,VLOOKUP(Calculator!E23,tbSkills!DH3:DI6,2,FALSE)+IF(AND(Calculator!B8=TRUE,Backdoors!BI37=TRUE),VLOOKUP(Calculator!E23,tbSkills!DH3:DJ6,3,FALSE),0),0)))/100)),1))*IF(VLOOKUP(A14,tbMoveset!A2:K112,11,FALSE)=TRUE,Backdoors!AC5,1))*IG14,0),"")</f>
        <v>0</v>
      </c>
      <c r="IK14" s="49">
        <f>VLOOKUP(A14,tbMoveset!A2:G112,7,FALSE)*IFERROR(IF(Backdoors!AI12&gt;=0,1+(IF(Calculator!E40&gt;0,VLOOKUP(Calculator!E40,tbSkills!AI3:AJ5,2,FALSE),Backdoors!AL4)*(IF((Backdoors!AI12+IF(IF14&gt;=0.45,VLOOKUP(Calculator!E23,tbSkills!DH3:DI6,2,FALSE)+IF(AND(Calculator!B8=TRUE,Backdoors!BI37=TRUE),VLOOKUP(Calculator!E23,tbSkills!DH3:DJ6,3,FALSE),0),0))&gt;=100,100,(Backdoors!AI12+IF(IF14&gt;=0.45,VLOOKUP(Calculator!E23,tbSkills!DH3:DI6,2,FALSE)+IF(AND(Calculator!B8=TRUE,Backdoors!BI37=TRUE),VLOOKUP(Calculator!E23,tbSkills!DH3:DJ6,3,FALSE),0),0)))/100)),1),1)</f>
        <v>0.4</v>
      </c>
      <c r="IL14" s="87">
        <f t="shared" si="27"/>
        <v>0</v>
      </c>
      <c r="IM14" s="86" t="str">
        <f>IFERROR(IF(VLOOKUP(A14,tbMoveset!A2:B112,2,FALSE)="Sever",Backdoors!AY38/100,IF(VLOOKUP(A14,tbMoveset!A2:B112,2,FALSE)="Blunt",Backdoors!AZ38/100,Backdoors!BA38/100)),"")</f>
        <v/>
      </c>
      <c r="IN14" s="49">
        <f>IFERROR(IF(VLOOKUP(tbMoveset!A14,tbMoveset!A2:H112,8,FALSE)="Other",IF(VLOOKUP(tbMoveset!A14,tbMoveset!A2:I112,9,FALSE)="Fire",Backdoors!BB38,IF(VLOOKUP(tbMoveset!A14,tbMoveset!A2:I112,9,FALSE)="Water",Backdoors!BC38,IF(VLOOKUP(tbMoveset!A14,tbMoveset!A2:I112,9,FALSE)="Thunder",Backdoors!BD38,IF(VLOOKUP(tbMoveset!A14,tbMoveset!A2:I112,9,FALSE)="Ice",Backdoors!BE38,IF(VLOOKUP(tbMoveset!A14,tbMoveset!A2:I112,9,FALSE)="Dragon",Backdoors!BF38,Backdoors!BG38)))))/100,Backdoors!BG38/100),"")</f>
        <v>0</v>
      </c>
      <c r="IO14" s="49">
        <f>IFERROR(IF(VLOOKUP(A14,tbMoveset!A2:J112,10,FALSE)=TRUE,IF((Backdoors!AI12+IF(IM14&gt;=0.45,VLOOKUP(Calculator!E23,tbSkills!DH3:DI6,2,FALSE)+IF(AND(Calculator!B8=TRUE,Backdoors!BI38=TRUE),VLOOKUP(Calculator!E23,tbSkills!DH3:DJ6,3,FALSE),0),0))&gt;=0,1+(Backdoors!AL2*(IF((Backdoors!AI12+IF(IM14&gt;=0.45,VLOOKUP(Calculator!E23,tbSkills!DH3:DI6,2,FALSE)+IF(AND(Calculator!B8=TRUE,Backdoors!BI38=TRUE),VLOOKUP(Calculator!E23,tbSkills!DH3:DJ6,3,FALSE),0),0))&gt;=100,100,(Backdoors!AI12+IF(IM14&gt;=0.45,VLOOKUP(Calculator!E23,tbSkills!DH3:DI6,2,FALSE)+IF(AND(Calculator!B8=TRUE,Backdoors!BI38=TRUE),VLOOKUP(Calculator!E23,tbSkills!DH3:DJ6,3,FALSE),0),0)))/100)),(1-(0.25*((-Backdoors!AI12-IF(IM14&gt;=0.45,VLOOKUP(Calculator!E23,tbSkills!DH3:DI6,2,FALSE)+IF(AND(Calculator!B8=TRUE,Backdoors!BI38=TRUE),VLOOKUP(Calculator!E23,tbSkills!DH3:DJ6,3,FALSE),0),0))/100)))),1),"")</f>
        <v>1</v>
      </c>
      <c r="IP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M14)*IO14)*(VLOOKUP(A14,tbMoveset!A2:C112,3,FALSE)/100)*IF(VLOOKUP(A14,tbMoveset!A2:B112,2,FALSE)="Projectile",Backdoors!N10,Backdoors!N9),0),"")</f>
        <v/>
      </c>
      <c r="IQ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IM14&gt;=0.45,VLOOKUP(Calculator!E23,tbSkills!DH3:DI6,2,FALSE)+IF(AND(Calculator!B8=TRUE,Backdoors!BI38=TRUE),VLOOKUP(Calculator!E23,tbSkills!DH3:DJ6,3,FALSE),0),0))&gt;=100,100,(Backdoors!AI12+IF(IM14&gt;=0.45,VLOOKUP(Calculator!E23,tbSkills!DH3:DI6,2,FALSE)+IF(AND(Calculator!B8=TRUE,Backdoors!BI38=TRUE),VLOOKUP(Calculator!E23,tbSkills!DH3:DJ6,3,FALSE),0),0)))/100)),1))*IF(VLOOKUP(A14,tbMoveset!A2:K112,11,FALSE)=TRUE,Backdoors!AC5,1))*IN14,0),"")</f>
        <v>0</v>
      </c>
      <c r="IR14" s="49">
        <f>VLOOKUP(A14,tbMoveset!A2:G112,7,FALSE)*IFERROR(IF(Backdoors!AI12&gt;=0,1+(IF(Calculator!E40&gt;0,VLOOKUP(Calculator!E40,tbSkills!AI3:AJ5,2,FALSE),Backdoors!AL4)*(IF((Backdoors!AI12+IF(IM14&gt;=0.45,VLOOKUP(Calculator!E23,tbSkills!DH3:DI6,2,FALSE)+IF(AND(Calculator!B8=TRUE,Backdoors!BI38=TRUE),VLOOKUP(Calculator!E23,tbSkills!DH3:DJ6,3,FALSE),0),0))&gt;=100,100,(Backdoors!AI12+IF(IM14&gt;=0.45,VLOOKUP(Calculator!E23,tbSkills!DH3:DI6,2,FALSE)+IF(AND(Calculator!B8=TRUE,Backdoors!BI38=TRUE),VLOOKUP(Calculator!E23,tbSkills!DH3:DJ6,3,FALSE),0),0)))/100)),1),1)</f>
        <v>0.4</v>
      </c>
      <c r="IS14" s="87">
        <f t="shared" si="42"/>
        <v>0</v>
      </c>
      <c r="IT14" s="86" t="str">
        <f>IFERROR(IF(VLOOKUP(A14,tbMoveset!A2:B112,2,FALSE)="Sever",Backdoors!AY39/100,IF(VLOOKUP(A14,tbMoveset!A2:B112,2,FALSE)="Blunt",Backdoors!AZ39/100,Backdoors!BA39/100)),"")</f>
        <v/>
      </c>
      <c r="IU14" s="49">
        <f>IFERROR(IF(VLOOKUP(tbMoveset!A14,tbMoveset!A2:H112,8,FALSE)="Other",IF(VLOOKUP(tbMoveset!A14,tbMoveset!A2:I112,9,FALSE)="Fire",Backdoors!BB39,IF(VLOOKUP(tbMoveset!A14,tbMoveset!A2:I112,9,FALSE)="Water",Backdoors!BC39,IF(VLOOKUP(tbMoveset!A14,tbMoveset!A2:I112,9,FALSE)="Thunder",Backdoors!BD39,IF(VLOOKUP(tbMoveset!A14,tbMoveset!A2:I112,9,FALSE)="Ice",Backdoors!BE39,IF(VLOOKUP(tbMoveset!A14,tbMoveset!A2:I112,9,FALSE)="Dragon",Backdoors!BF39,Backdoors!BG39)))))/100,Backdoors!BG39/100),"")</f>
        <v>0</v>
      </c>
      <c r="IV14" s="49">
        <f>IFERROR(IF(VLOOKUP(A14,tbMoveset!A2:J112,10,FALSE)=TRUE,IF((Backdoors!AI12+IF(IT14&gt;=0.45,VLOOKUP(Calculator!E23,tbSkills!DH3:DI6,2,FALSE)+IF(AND(Calculator!B8=TRUE,Backdoors!BI39=TRUE),VLOOKUP(Calculator!E23,tbSkills!DH3:DJ6,3,FALSE),0),0))&gt;=0,1+(Backdoors!AL2*(IF((Backdoors!AI12+IF(IT14&gt;=0.45,VLOOKUP(Calculator!E23,tbSkills!DH3:DI6,2,FALSE)+IF(AND(Calculator!B8=TRUE,Backdoors!BI39=TRUE),VLOOKUP(Calculator!E23,tbSkills!DH3:DJ6,3,FALSE),0),0))&gt;=100,100,(Backdoors!AI12+IF(IT14&gt;=0.45,VLOOKUP(Calculator!E23,tbSkills!DH3:DI6,2,FALSE)+IF(AND(Calculator!B8=TRUE,Backdoors!BI39=TRUE),VLOOKUP(Calculator!E23,tbSkills!DH3:DJ6,3,FALSE),0),0)))/100)),(1-(0.25*((-Backdoors!AI12-IF(IT14&gt;=0.45,VLOOKUP(Calculator!E23,tbSkills!DH3:DI6,2,FALSE)+IF(AND(Calculator!B8=TRUE,Backdoors!BI39=TRUE),VLOOKUP(Calculator!E23,tbSkills!DH3:DJ6,3,FALSE),0),0))/100)))),1),"")</f>
        <v>1</v>
      </c>
      <c r="IW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T14)*IV14)*(VLOOKUP(A14,tbMoveset!A2:C112,3,FALSE)/100)*IF(VLOOKUP(A14,tbMoveset!A2:B112,2,FALSE)="Projectile",Backdoors!N10,Backdoors!N9),0),"")</f>
        <v/>
      </c>
      <c r="IX14" s="49">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40&gt;0,VLOOKUP(Calculator!E40,tbSkills!AC3:AD5,2,FALSE),Backdoors!AL3)*(IF((Backdoors!AI12+IF(IT14&gt;=0.45,VLOOKUP(Calculator!E23,tbSkills!DH3:DI6,2,FALSE)+IF(AND(Calculator!B8=TRUE,Backdoors!BI39=TRUE),VLOOKUP(Calculator!E23,tbSkills!DH3:DJ6,3,FALSE),0),0))&gt;=100,100,(Backdoors!AI12+IF(IT14&gt;=0.45,VLOOKUP(Calculator!E23,tbSkills!DH3:DI6,2,FALSE)+IF(AND(Calculator!B8=TRUE,Backdoors!BI39=TRUE),VLOOKUP(Calculator!E23,tbSkills!DH3:DJ6,3,FALSE),0),0)))/100)),1))*IF(VLOOKUP(A14,tbMoveset!A2:K112,11,FALSE)=TRUE,Backdoors!AC5,1))*IU14,0),"")</f>
        <v>0</v>
      </c>
      <c r="IY14" s="49">
        <f>VLOOKUP(A14,tbMoveset!A2:G112,7,FALSE)*IFERROR(IF(Backdoors!AI12&gt;=0,1+(IF(Calculator!E40&gt;0,VLOOKUP(Calculator!E40,tbSkills!AI3:AJ5,2,FALSE),Backdoors!AL4)*(IF((Backdoors!AI12+IF(IT14&gt;=0.45,VLOOKUP(Calculator!E23,tbSkills!DH3:DI6,2,FALSE)+IF(AND(Calculator!B8=TRUE,Backdoors!BI39=TRUE),VLOOKUP(Calculator!E23,tbSkills!DH3:DJ6,3,FALSE),0),0))&gt;=100,100,(Backdoors!AI12+IF(IT14&gt;=0.45,VLOOKUP(Calculator!E23,tbSkills!DH3:DI6,2,FALSE)+IF(AND(Calculator!B8=TRUE,Backdoors!BI39=TRUE),VLOOKUP(Calculator!E23,tbSkills!DH3:DJ6,3,FALSE),0),0)))/100)),1),1)</f>
        <v>0.4</v>
      </c>
      <c r="IZ14" s="87">
        <f t="shared" si="28"/>
        <v>0</v>
      </c>
      <c r="JA14" s="86" t="str">
        <f>IFERROR(IF(VLOOKUP(A14,tbMoveset!A2:B112,2,FALSE)="Sever",Backdoors!AY40/100,IF(VLOOKUP(A14,tbMoveset!A2:B112,2,FALSE)="Blunt",Backdoors!AZ40/100,Backdoors!BA40/100)),"")</f>
        <v/>
      </c>
      <c r="JB14" s="49">
        <f>IFERROR(IF(VLOOKUP(tbMoveset!A14,tbMoveset!A2:H112,8,FALSE)="Other",IF(VLOOKUP(tbMoveset!A14,tbMoveset!A2:I112,9,FALSE)="Fire",Backdoors!BB40,IF(VLOOKUP(tbMoveset!A14,tbMoveset!A2:I112,9,FALSE)="Water",Backdoors!BC40,IF(VLOOKUP(tbMoveset!A14,tbMoveset!A2:I112,9,FALSE)="Thunder",Backdoors!BD40,IF(VLOOKUP(tbMoveset!A14,tbMoveset!A2:I112,9,FALSE)="Ice",Backdoors!BE40,IF(VLOOKUP(tbMoveset!A14,tbMoveset!A2:I112,9,FALSE)="Dragon",Backdoors!BF40,Backdoors!BG40)))))/100,Backdoors!BG40/100),"")</f>
        <v>0</v>
      </c>
      <c r="JC14" s="49">
        <f>IFERROR(IF(VLOOKUP(A14,tbMoveset!A2:J112,10,FALSE)=TRUE,IF((Backdoors!AI12+IF(JA14&gt;=0.45,VLOOKUP(Calculator!E23,tbSkills!DH3:DI6,2,FALSE)+IF(AND(Calculator!B8=TRUE,Backdoors!BI40=TRUE),VLOOKUP(Calculator!E23,tbSkills!DH3:DJ6,3,FALSE),0),0))&gt;=0,1+(Backdoors!AL2*(IF((Backdoors!AI12+IF(JA14&gt;=0.45,VLOOKUP(Calculator!E23,tbSkills!DH3:DI6,2,FALSE)+IF(AND(Calculator!B8=TRUE,Backdoors!BI40=TRUE),VLOOKUP(Calculator!E23,tbSkills!DH3:DJ6,3,FALSE),0),0))&gt;=100,100,(Backdoors!AI12+IF(JA14&gt;=0.45,VLOOKUP(Calculator!E23,tbSkills!DH3:DI6,2,FALSE)+IF(AND(Calculator!B8=TRUE,Backdoors!BI40=TRUE),VLOOKUP(Calculator!E23,tbSkills!DH3:DJ6,3,FALSE),0),0)))/100)),(1-(0.25*((-Backdoors!AI12-IF(JA14&gt;=0.45,VLOOKUP(Calculator!E23,tbSkills!DH3:DI6,2,FALSE)+IF(AND(Calculator!B8=TRUE,Backdoors!BI40=TRUE),VLOOKUP(Calculator!E23,tbSkills!DH3:DJ6,3,FALSE),0),0))/100)))),1),"")</f>
        <v>1</v>
      </c>
      <c r="JD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A14)*JC14)*(VLOOKUP(A14,tbMoveset!A2:C112,3,FALSE)/100)*IF(VLOOKUP(A14,tbMoveset!A2:B112,2,FALSE)="Projectile",Backdoors!N10,Backdoors!N9),0),"")</f>
        <v/>
      </c>
      <c r="JE14" s="49">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42&gt;0,VLOOKUP(Calculator!E42,tbSkills!AC3:AD5,2,FALSE),Backdoors!AL3)*(IF((Backdoors!AI12+IF(JA14&gt;=0.45,VLOOKUP(Calculator!E23,tbSkills!DH3:DI6,2,FALSE)+IF(AND(Calculator!B8=TRUE,Backdoors!BI40=TRUE),VLOOKUP(Calculator!E23,tbSkills!DH3:DJ6,3,FALSE),0),0))&gt;=100,100,(Backdoors!AI12+IF(JA14&gt;=0.45,VLOOKUP(Calculator!E23,tbSkills!DH3:DI6,2,FALSE)+IF(AND(Calculator!B8=TRUE,Backdoors!BI40=TRUE),VLOOKUP(Calculator!E23,tbSkills!DH3:DJ6,3,FALSE),0),0)))/100)),1))*IF(VLOOKUP(A14,tbMoveset!A2:K112,11,FALSE)=TRUE,Backdoors!AC5,1))*JB14,0),"")</f>
        <v>0</v>
      </c>
      <c r="JF14" s="49">
        <f>VLOOKUP(A14,tbMoveset!A2:G112,7,FALSE)*IFERROR(IF(Backdoors!AI12&gt;=0,1+(IF(Calculator!E40&gt;0,VLOOKUP(Calculator!E40,tbSkills!AI3:AJ5,2,FALSE),Backdoors!AL4)*(IF((Backdoors!AI12+IF(JA14&gt;=0.45,VLOOKUP(Calculator!E23,tbSkills!DH3:DI6,2,FALSE)+IF(AND(Calculator!B8=TRUE,Backdoors!BI40=TRUE),VLOOKUP(Calculator!E23,tbSkills!DH3:DJ6,3,FALSE),0),0))&gt;=100,100,(Backdoors!AI12+IF(JA14&gt;=0.45,VLOOKUP(Calculator!E23,tbSkills!DH3:DI6,2,FALSE)+IF(AND(Calculator!B8=TRUE,Backdoors!BI40=TRUE),VLOOKUP(Calculator!E23,tbSkills!DH3:DJ6,3,FALSE),0),0)))/100)),1),1)</f>
        <v>0.4</v>
      </c>
      <c r="JG14" s="87">
        <f t="shared" si="29"/>
        <v>0</v>
      </c>
      <c r="JH14" s="86" t="str">
        <f>IFERROR(IF(VLOOKUP(A14,tbMoveset!A2:B112,2,FALSE)="Sever",Backdoors!AY41/100,IF(VLOOKUP(A14,tbMoveset!A2:B112,2,FALSE)="Blunt",Backdoors!AZ41/100,Backdoors!BA41/100)),"")</f>
        <v/>
      </c>
      <c r="JI14" s="49">
        <f>IFERROR(IF(VLOOKUP(tbMoveset!A14,tbMoveset!A2:H112,8,FALSE)="Other",IF(VLOOKUP(tbMoveset!A14,tbMoveset!A2:I112,9,FALSE)="Fire",Backdoors!BB41,IF(VLOOKUP(tbMoveset!A14,tbMoveset!A2:I112,9,FALSE)="Water",Backdoors!BC41,IF(VLOOKUP(tbMoveset!A14,tbMoveset!A2:I112,9,FALSE)="Thunder",Backdoors!BD41,IF(VLOOKUP(tbMoveset!A14,tbMoveset!A2:I112,9,FALSE)="Ice",Backdoors!BE41,IF(VLOOKUP(tbMoveset!A14,tbMoveset!A2:I112,9,FALSE)="Dragon",Backdoors!BF41,Backdoors!BG41)))))/100,Backdoors!BG41/100),"")</f>
        <v>0</v>
      </c>
      <c r="JJ14" s="49">
        <f>IFERROR(IF(VLOOKUP(A14,tbMoveset!A2:J112,10,FALSE)=TRUE,IF((Backdoors!AI12+IF(JH14&gt;=0.45,VLOOKUP(Calculator!E23,tbSkills!DH3:DI6,2,FALSE)+IF(AND(Calculator!B8=TRUE,Backdoors!BI41=TRUE),VLOOKUP(Calculator!E23,tbSkills!DH3:DJ6,3,FALSE),0),0))&gt;=0,1+(Backdoors!AL2*(IF((Backdoors!AI12+IF(JH14&gt;=0.45,VLOOKUP(Calculator!E23,tbSkills!DH3:DI6,2,FALSE)+IF(AND(Calculator!B8=TRUE,Backdoors!BI41=TRUE),VLOOKUP(Calculator!E23,tbSkills!DH3:DJ6,3,FALSE),0),0))&gt;=100,100,(Backdoors!AI12+IF(JH14&gt;=0.45,VLOOKUP(Calculator!E23,tbSkills!DH3:DI6,2,FALSE)+IF(AND(Calculator!B8=TRUE,Backdoors!BI41=TRUE),VLOOKUP(Calculator!E23,tbSkills!DH3:DJ6,3,FALSE),0),0)))/100)),(1-(0.25*((-Backdoors!AI12-IF(JH14&gt;=0.45,VLOOKUP(Calculator!E23,tbSkills!DH3:DI6,2,FALSE)+IF(AND(Calculator!B8=TRUE,Backdoors!BI41=TRUE),VLOOKUP(Calculator!E23,tbSkills!DH3:DJ6,3,FALSE),0),0))/100)))),1),"")</f>
        <v>1</v>
      </c>
      <c r="JK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H14)*JJ14)*(VLOOKUP(A14,tbMoveset!A2:C112,3,FALSE)/100)*IF(VLOOKUP(A14,tbMoveset!A2:B112,2,FALSE)="Projectile",Backdoors!N10,Backdoors!N9),0),"")</f>
        <v/>
      </c>
      <c r="JL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43&gt;0,VLOOKUP(Calculator!E43,tbSkills!AC3:AD5,2,FALSE),Backdoors!AL3)*(IF((Backdoors!AI12+IF(JH14&gt;=0.45,VLOOKUP(Calculator!E23,tbSkills!DH3:DI6,2,FALSE)+IF(AND(Calculator!B8=TRUE,Backdoors!BI41=TRUE),VLOOKUP(Calculator!E23,tbSkills!DH3:DJ6,3,FALSE),0),0))&gt;=100,100,(Backdoors!AI12+IF(JH14&gt;=0.45,VLOOKUP(Calculator!E23,tbSkills!DH3:DI6,2,FALSE)+IF(AND(Calculator!B8=TRUE,Backdoors!BI41=TRUE),VLOOKUP(Calculator!E23,tbSkills!DH3:DJ6,3,FALSE),0),0)))/100)),1))*IF(VLOOKUP(A14,tbMoveset!A2:K112,11,FALSE)=TRUE,Backdoors!AC5,1))*JI14,0),"")</f>
        <v/>
      </c>
      <c r="JM14" s="49">
        <f>VLOOKUP(A14,tbMoveset!A2:G112,7,FALSE)*IFERROR(IF(Backdoors!AI12&gt;=0,1+(IF(Calculator!E40&gt;0,VLOOKUP(Calculator!E40,tbSkills!AI3:AJ5,2,FALSE),Backdoors!AL4)*(IF((Backdoors!AI12+IF(JH14&gt;=0.45,VLOOKUP(Calculator!E23,tbSkills!DH3:DI6,2,FALSE)+IF(AND(Calculator!B8=TRUE,Backdoors!BI41=TRUE),VLOOKUP(Calculator!E23,tbSkills!DH3:DJ6,3,FALSE),0),0))&gt;=100,100,(Backdoors!AI12+IF(JH14&gt;=0.45,VLOOKUP(Calculator!E23,tbSkills!DH3:DI6,2,FALSE)+IF(AND(Calculator!B8=TRUE,Backdoors!BI41=TRUE),VLOOKUP(Calculator!E23,tbSkills!DH3:DJ6,3,FALSE),0),0)))/100)),1),1)</f>
        <v>0.4</v>
      </c>
      <c r="JN14" s="87">
        <f t="shared" si="30"/>
        <v>0</v>
      </c>
      <c r="JO14" s="86" t="str">
        <f>IFERROR(IF(VLOOKUP(A14,tbMoveset!A2:B112,2,FALSE)="Sever",Backdoors!AY42/100,IF(VLOOKUP(A14,tbMoveset!A2:B112,2,FALSE)="Blunt",Backdoors!AZ42/100,Backdoors!BA42/100)),"")</f>
        <v/>
      </c>
      <c r="JP14" s="49">
        <f>IFERROR(IF(VLOOKUP(tbMoveset!A14,tbMoveset!A2:H112,8,FALSE)="Other",IF(VLOOKUP(tbMoveset!A14,tbMoveset!A2:I112,9,FALSE)="Fire",Backdoors!BB42,IF(VLOOKUP(tbMoveset!A14,tbMoveset!A2:I112,9,FALSE)="Water",Backdoors!BC42,IF(VLOOKUP(tbMoveset!A14,tbMoveset!A2:I112,9,FALSE)="Thunder",Backdoors!BD42,IF(VLOOKUP(tbMoveset!A14,tbMoveset!A2:I112,9,FALSE)="Ice",Backdoors!BE42,IF(VLOOKUP(tbMoveset!A14,tbMoveset!A2:I112,9,FALSE)="Dragon",Backdoors!BF42,Backdoors!BG42)))))/100,Backdoors!BG42/100),"")</f>
        <v>0</v>
      </c>
      <c r="JQ14" s="49">
        <f>IFERROR(IF(VLOOKUP(A14,tbMoveset!A2:J112,10,FALSE)=TRUE,IF((Backdoors!AI12+IF(JO14&gt;=0.45,VLOOKUP(Calculator!E23,tbSkills!DH3:DI6,2,FALSE)+IF(AND(Calculator!B8=TRUE,Backdoors!BI42=TRUE),VLOOKUP(Calculator!E23,tbSkills!DH3:DJ6,3,FALSE),0),0))&gt;=0,1+(Backdoors!AL2*(IF((Backdoors!AI12+IF(JO14&gt;=0.45,VLOOKUP(Calculator!E23,tbSkills!DH3:DI6,2,FALSE)+IF(AND(Calculator!B8=TRUE,Backdoors!BI42=TRUE),VLOOKUP(Calculator!E23,tbSkills!DH3:DJ6,3,FALSE),0),0))&gt;=100,100,(Backdoors!AI12+IF(JO14&gt;=0.45,VLOOKUP(Calculator!E23,tbSkills!DH3:DI6,2,FALSE)+IF(AND(Calculator!B8=TRUE,Backdoors!BI42=TRUE),VLOOKUP(Calculator!E23,tbSkills!DH3:DJ6,3,FALSE),0),0)))/100)),(1-(0.25*((-Backdoors!AI12-IF(JO14&gt;=0.45,VLOOKUP(Calculator!E23,tbSkills!DH3:DI6,2,FALSE)+IF(AND(Calculator!B8=TRUE,Backdoors!BI42=TRUE),VLOOKUP(Calculator!E23,tbSkills!DH3:DJ6,3,FALSE),0),0))/100)))),1),"")</f>
        <v>1</v>
      </c>
      <c r="JR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O14)*JQ14)*(VLOOKUP(A14,tbMoveset!A2:C112,3,FALSE)/100)*IF(VLOOKUP(A14,tbMoveset!A2:B112,2,FALSE)="Projectile",Backdoors!N10,Backdoors!N9),0),"")</f>
        <v/>
      </c>
      <c r="JS14" s="49">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45&gt;0,VLOOKUP(Calculator!E45,tbSkills!AC3:AD5,2,FALSE),Backdoors!AL3)*(IF((Backdoors!AI12+IF(JO14&gt;=0.45,VLOOKUP(Calculator!E23,tbSkills!DH3:DI6,2,FALSE)+IF(AND(Calculator!B8=TRUE,Backdoors!BI42=TRUE),VLOOKUP(Calculator!E23,tbSkills!DH3:DJ6,3,FALSE),0),0))&gt;=100,100,(Backdoors!AI12+IF(JO14&gt;=0.45,VLOOKUP(Calculator!E23,tbSkills!DH3:DI6,2,FALSE)+IF(AND(Calculator!B8=TRUE,Backdoors!BI42=TRUE),VLOOKUP(Calculator!E23,tbSkills!DH3:DJ6,3,FALSE),0),0)))/100)),1))*IF(VLOOKUP(A14,tbMoveset!A2:K112,11,FALSE)=TRUE,Backdoors!AC5,1))*JP14,0),"")</f>
        <v>0</v>
      </c>
      <c r="JT14" s="49">
        <f>VLOOKUP(A14,tbMoveset!A2:G112,7,FALSE)*IFERROR(IF(Backdoors!AI12&gt;=0,1+(IF(Calculator!E40&gt;0,VLOOKUP(Calculator!E40,tbSkills!AI3:AJ5,2,FALSE),Backdoors!AL4)*(IF((Backdoors!AI12+IF(JO14&gt;=0.45,VLOOKUP(Calculator!E23,tbSkills!DH3:DI6,2,FALSE)+IF(AND(Calculator!B8=TRUE,Backdoors!BI42=TRUE),VLOOKUP(Calculator!E23,tbSkills!DH3:DJ6,3,FALSE),0),0))&gt;=100,100,(Backdoors!AI12+IF(JO14&gt;=0.45,VLOOKUP(Calculator!E23,tbSkills!DH3:DI6,2,FALSE)+IF(AND(Calculator!B8=TRUE,Backdoors!BI42=TRUE),VLOOKUP(Calculator!E23,tbSkills!DH3:DJ6,3,FALSE),0),0)))/100)),1),1)</f>
        <v>0.4</v>
      </c>
      <c r="JU14" s="87">
        <f t="shared" si="31"/>
        <v>0</v>
      </c>
      <c r="JV14" s="86" t="str">
        <f>IFERROR(IF(VLOOKUP(A14,tbMoveset!A2:B112,2,FALSE)="Sever",Backdoors!AY43/100,IF(VLOOKUP(A14,tbMoveset!A2:B112,2,FALSE)="Blunt",Backdoors!AZ43/100,Backdoors!BA43/100)),"")</f>
        <v/>
      </c>
      <c r="JW14" s="49">
        <f>IFERROR(IF(VLOOKUP(tbMoveset!A14,tbMoveset!A2:H112,8,FALSE)="Other",IF(VLOOKUP(tbMoveset!A14,tbMoveset!A2:I112,9,FALSE)="Fire",Backdoors!BB43,IF(VLOOKUP(tbMoveset!A14,tbMoveset!A2:I112,9,FALSE)="Water",Backdoors!BC43,IF(VLOOKUP(tbMoveset!A14,tbMoveset!A2:I112,9,FALSE)="Thunder",Backdoors!BD43,IF(VLOOKUP(tbMoveset!A14,tbMoveset!A2:I112,9,FALSE)="Ice",Backdoors!BE43,IF(VLOOKUP(tbMoveset!A14,tbMoveset!A2:I112,9,FALSE)="Dragon",Backdoors!BF43,Backdoors!BG43)))))/100,Backdoors!BG43/100),"")</f>
        <v>0</v>
      </c>
      <c r="JX14" s="49">
        <f>IFERROR(IF(VLOOKUP(A14,tbMoveset!A2:J112,10,FALSE)=TRUE,IF((Backdoors!AI12+IF(JV14&gt;=0.45,VLOOKUP(Calculator!E23,tbSkills!DH3:DI6,2,FALSE)+IF(AND(Calculator!B8=TRUE,Backdoors!BI43=TRUE),VLOOKUP(Calculator!E23,tbSkills!DH3:DJ6,3,FALSE),0),0))&gt;=0,1+(Backdoors!AL2*(IF((Backdoors!AI12+IF(JV14&gt;=0.45,VLOOKUP(Calculator!E23,tbSkills!DH3:DI6,2,FALSE)+IF(AND(Calculator!B8=TRUE,Backdoors!BI43=TRUE),VLOOKUP(Calculator!E23,tbSkills!DH3:DJ6,3,FALSE),0),0))&gt;=100,100,(Backdoors!AI12+IF(JV14&gt;=0.45,VLOOKUP(Calculator!E23,tbSkills!DH3:DI6,2,FALSE)+IF(AND(Calculator!B8=TRUE,Backdoors!BI43=TRUE),VLOOKUP(Calculator!E23,tbSkills!DH3:DJ6,3,FALSE),0),0)))/100)),(1-(0.25*((-Backdoors!AI12-IF(JV14&gt;=0.45,VLOOKUP(Calculator!E23,tbSkills!DH3:DI6,2,FALSE)+IF(AND(Calculator!B8=TRUE,Backdoors!BI43=TRUE),VLOOKUP(Calculator!E23,tbSkills!DH3:DJ6,3,FALSE),0),0))/100)))),1),"")</f>
        <v>1</v>
      </c>
      <c r="JY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V14)*JX14)*(VLOOKUP(A14,tbMoveset!A2:C112,3,FALSE)/100)*IF(VLOOKUP(A14,tbMoveset!A2:B112,2,FALSE)="Projectile",Backdoors!N10,Backdoors!N9),0),"")</f>
        <v/>
      </c>
      <c r="JZ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46&gt;0,VLOOKUP(Calculator!E46,tbSkills!AC3:AD5,2,FALSE),Backdoors!AL3)*(IF((Backdoors!AI12+IF(JV14&gt;=0.45,VLOOKUP(Calculator!E23,tbSkills!DH3:DI6,2,FALSE)+IF(AND(Calculator!B8=TRUE,Backdoors!BI43=TRUE),VLOOKUP(Calculator!E23,tbSkills!DH3:DJ6,3,FALSE),0),0))&gt;=100,100,(Backdoors!AI12+IF(JV14&gt;=0.45,VLOOKUP(Calculator!E23,tbSkills!DH3:DI6,2,FALSE)+IF(AND(Calculator!B8=TRUE,Backdoors!BI43=TRUE),VLOOKUP(Calculator!E23,tbSkills!DH3:DJ6,3,FALSE),0),0)))/100)),1))*IF(VLOOKUP(A14,tbMoveset!A2:K112,11,FALSE)=TRUE,Backdoors!AC5,1))*JW14,0),"")</f>
        <v/>
      </c>
      <c r="KA14" s="49">
        <f>VLOOKUP(A14,tbMoveset!A2:G112,7,FALSE)*IFERROR(IF(Backdoors!AI12&gt;=0,1+(IF(Calculator!E40&gt;0,VLOOKUP(Calculator!E40,tbSkills!AI3:AJ5,2,FALSE),Backdoors!AL4)*(IF((Backdoors!AI12+IF(JV14&gt;=0.45,VLOOKUP(Calculator!E23,tbSkills!DH3:DI6,2,FALSE)+IF(AND(Calculator!B8=TRUE,Backdoors!BI43=TRUE),VLOOKUP(Calculator!E23,tbSkills!DH3:DJ6,3,FALSE),0),0))&gt;=100,100,(Backdoors!AI12+IF(JV14&gt;=0.45,VLOOKUP(Calculator!E23,tbSkills!DH3:DI6,2,FALSE)+IF(AND(Calculator!B8=TRUE,Backdoors!BI43=TRUE),VLOOKUP(Calculator!E23,tbSkills!DH3:DJ6,3,FALSE),0),0)))/100)),1),1)</f>
        <v>0.4</v>
      </c>
      <c r="KB14" s="87">
        <f t="shared" si="32"/>
        <v>0</v>
      </c>
      <c r="KC14" s="86" t="str">
        <f>IFERROR(IF(VLOOKUP(A14,tbMoveset!A2:B112,2,FALSE)="Sever",Backdoors!AY44/100,IF(VLOOKUP(A14,tbMoveset!A2:B112,2,FALSE)="Blunt",Backdoors!AZ44/100,Backdoors!BA44/100)),"")</f>
        <v/>
      </c>
      <c r="KD14" s="49">
        <f>IFERROR(IF(VLOOKUP(tbMoveset!A14,tbMoveset!A2:H112,8,FALSE)="Other",IF(VLOOKUP(tbMoveset!A14,tbMoveset!A2:I112,9,FALSE)="Fire",Backdoors!BB44,IF(VLOOKUP(tbMoveset!A14,tbMoveset!A2:I112,9,FALSE)="Water",Backdoors!BC44,IF(VLOOKUP(tbMoveset!A14,tbMoveset!A2:I112,9,FALSE)="Thunder",Backdoors!BD44,IF(VLOOKUP(tbMoveset!A14,tbMoveset!A2:I112,9,FALSE)="Ice",Backdoors!BE44,IF(VLOOKUP(tbMoveset!A14,tbMoveset!A2:I112,9,FALSE)="Dragon",Backdoors!BF44,Backdoors!BG44)))))/100,Backdoors!BG44/100),"")</f>
        <v>0</v>
      </c>
      <c r="KE14" s="49">
        <f>IFERROR(IF(VLOOKUP(A14,tbMoveset!A2:J112,10,FALSE)=TRUE,IF((Backdoors!AI12+IF(KC14&gt;=0.45,VLOOKUP(Calculator!E23,tbSkills!DH3:DI6,2,FALSE)+IF(AND(Calculator!B8=TRUE,Backdoors!BI44=TRUE),VLOOKUP(Calculator!E23,tbSkills!DH3:DJ6,3,FALSE),0),0))&gt;=0,1+(Backdoors!AL2*(IF((Backdoors!AI12+IF(KC14&gt;=0.45,VLOOKUP(Calculator!E23,tbSkills!DH3:DI6,2,FALSE)+IF(AND(Calculator!B8=TRUE,Backdoors!BI44=TRUE),VLOOKUP(Calculator!E23,tbSkills!DH3:DJ6,3,FALSE),0),0))&gt;=100,100,(Backdoors!AI12+IF(KC14&gt;=0.45,VLOOKUP(Calculator!E23,tbSkills!DH3:DI6,2,FALSE)+IF(AND(Calculator!B8=TRUE,Backdoors!BI44=TRUE),VLOOKUP(Calculator!E23,tbSkills!DH3:DJ6,3,FALSE),0),0)))/100)),(1-(0.25*((-Backdoors!AI12-IF(KC14&gt;=0.45,VLOOKUP(Calculator!E23,tbSkills!DH3:DI6,2,FALSE)+IF(AND(Calculator!B8=TRUE,Backdoors!BI44=TRUE),VLOOKUP(Calculator!E23,tbSkills!DH3:DJ6,3,FALSE),0),0))/100)))),1),"")</f>
        <v>1</v>
      </c>
      <c r="KF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KC14)*KE14)*(VLOOKUP(A14,tbMoveset!A2:C112,3,FALSE)/100)*IF(VLOOKUP(A14,tbMoveset!A2:B112,2,FALSE)="Projectile",Backdoors!N10,Backdoors!N9),0),"")</f>
        <v/>
      </c>
      <c r="KG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REF!&gt;0,VLOOKUP(Calculator!#REF!,tbSkills!AC3:AD5,2,FALSE),Backdoors!AL3)*(IF((Backdoors!AI12+IF(KC14&gt;=0.45,VLOOKUP(Calculator!E23,tbSkills!DH3:DI6,2,FALSE)+IF(AND(Calculator!B8=TRUE,Backdoors!BI44=TRUE),VLOOKUP(Calculator!E23,tbSkills!DH3:DJ6,3,FALSE),0),0))&gt;=100,100,(Backdoors!AI12+IF(KC14&gt;=0.45,VLOOKUP(Calculator!E23,tbSkills!DH3:DI6,2,FALSE)+IF(AND(Calculator!B8=TRUE,Backdoors!BI44=TRUE),VLOOKUP(Calculator!E23,tbSkills!DH3:DJ6,3,FALSE),0),0)))/100)),1))*IF(VLOOKUP(A14,tbMoveset!A2:K112,11,FALSE)=TRUE,Backdoors!AC5,1))*KD14,0),"")</f>
        <v/>
      </c>
      <c r="KH14" s="49">
        <f>VLOOKUP(A14,tbMoveset!A2:G112,7,FALSE)*IFERROR(IF(Backdoors!AI12&gt;=0,1+(IF(Calculator!E40&gt;0,VLOOKUP(Calculator!E40,tbSkills!AI3:AJ5,2,FALSE),Backdoors!AL4)*(IF((Backdoors!AI12+IF(KC14&gt;=0.45,VLOOKUP(Calculator!E23,tbSkills!DH3:DI6,2,FALSE)+IF(AND(Calculator!B8=TRUE,Backdoors!BI44=TRUE),VLOOKUP(Calculator!E23,tbSkills!DH3:DJ6,3,FALSE),0),0))&gt;=100,100,(Backdoors!AI12+IF(KC14&gt;=0.45,VLOOKUP(Calculator!E23,tbSkills!DH3:DI6,2,FALSE)+IF(AND(Calculator!B8=TRUE,Backdoors!BI44=TRUE),VLOOKUP(Calculator!E23,tbSkills!DH3:DJ6,3,FALSE),0),0)))/100)),1),1)</f>
        <v>0.4</v>
      </c>
      <c r="KI14" s="87">
        <f t="shared" si="33"/>
        <v>0</v>
      </c>
      <c r="KJ14" s="86" t="str">
        <f>IFERROR(IF(VLOOKUP(A14,tbMoveset!A2:B112,2,FALSE)="Sever",Backdoors!AY45/100,IF(VLOOKUP(A14,tbMoveset!A2:B112,2,FALSE)="Blunt",Backdoors!AZ45/100,Backdoors!BA45/100)),"")</f>
        <v/>
      </c>
      <c r="KK14" s="49">
        <f>IFERROR(IF(VLOOKUP(tbMoveset!A14,tbMoveset!A2:H112,8,FALSE)="Other",IF(VLOOKUP(tbMoveset!A14,tbMoveset!A2:I112,9,FALSE)="Fire",Backdoors!BB45,IF(VLOOKUP(tbMoveset!A14,tbMoveset!A2:I112,9,FALSE)="Water",Backdoors!BC45,IF(VLOOKUP(tbMoveset!A14,tbMoveset!A2:I112,9,FALSE)="Thunder",Backdoors!BD45,IF(VLOOKUP(tbMoveset!A14,tbMoveset!A2:I112,9,FALSE)="Ice",Backdoors!BE45,IF(VLOOKUP(tbMoveset!A14,tbMoveset!A2:I112,9,FALSE)="Dragon",Backdoors!BF45,Backdoors!BG45)))))/100,Backdoors!BG45/100),"")</f>
        <v>0</v>
      </c>
      <c r="KL14" s="49">
        <f>IFERROR(IF(VLOOKUP(A14,tbMoveset!A2:J112,10,FALSE)=TRUE,IF((Backdoors!AI12+IF(KJ14&gt;=0.45,VLOOKUP(Calculator!E23,tbSkills!DH3:DI6,2,FALSE)+IF(AND(Calculator!B8=TRUE,Backdoors!BI45=TRUE),VLOOKUP(Calculator!E23,tbSkills!DH3:DJ6,3,FALSE),0),0))&gt;=0,1+(Backdoors!AL2*(IF((Backdoors!AI12+IF(KJ14&gt;=0.45,VLOOKUP(Calculator!E23,tbSkills!DH3:DI6,2,FALSE)+IF(AND(Calculator!B8=TRUE,Backdoors!BI45=TRUE),VLOOKUP(Calculator!E23,tbSkills!DH3:DJ6,3,FALSE),0),0))&gt;=100,100,(Backdoors!AI12+IF(KJ14&gt;=0.45,VLOOKUP(Calculator!E23,tbSkills!DH3:DI6,2,FALSE)+IF(AND(Calculator!B8=TRUE,Backdoors!BI45=TRUE),VLOOKUP(Calculator!E23,tbSkills!DH3:DJ6,3,FALSE),0),0)))/100)),(1-(0.25*((-Backdoors!AI12-IF(KJ14&gt;=0.45,VLOOKUP(Calculator!E23,tbSkills!DH3:DI6,2,FALSE)+IF(AND(Calculator!B8=TRUE,Backdoors!BI45=TRUE),VLOOKUP(Calculator!E23,tbSkills!DH3:DJ6,3,FALSE),0),0))/100)))),1),"")</f>
        <v>1</v>
      </c>
      <c r="KM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KJ14)*KL14)*(VLOOKUP(A14,tbMoveset!A2:C112,3,FALSE)/100)*IF(VLOOKUP(A14,tbMoveset!A2:B112,2,FALSE)="Projectile",Backdoors!N10,Backdoors!N9),0),"")</f>
        <v/>
      </c>
      <c r="KN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REF!&gt;0,VLOOKUP(Calculator!#REF!,tbSkills!AC3:AD5,2,FALSE),Backdoors!AL3)*(IF((Backdoors!AI12+IF(KJ14&gt;=0.45,VLOOKUP(Calculator!E23,tbSkills!DH3:DI6,2,FALSE)+IF(AND(Calculator!B8=TRUE,Backdoors!BI45=TRUE),VLOOKUP(Calculator!E23,tbSkills!DH3:DJ6,3,FALSE),0),0))&gt;=100,100,(Backdoors!AI12+IF(KJ14&gt;=0.45,VLOOKUP(Calculator!E23,tbSkills!DH3:DI6,2,FALSE)+IF(AND(Calculator!B8=TRUE,Backdoors!BI45=TRUE),VLOOKUP(Calculator!E23,tbSkills!DH3:DJ6,3,FALSE),0),0)))/100)),1))*IF(VLOOKUP(A14,tbMoveset!A2:K112,11,FALSE)=TRUE,Backdoors!AC5,1))*KK14,0),"")</f>
        <v/>
      </c>
      <c r="KO14" s="49">
        <f>VLOOKUP(A14,tbMoveset!A2:G112,7,FALSE)*IFERROR(IF(Backdoors!AI12&gt;=0,1+(IF(Calculator!E40&gt;0,VLOOKUP(Calculator!E40,tbSkills!AI3:AJ5,2,FALSE),Backdoors!AL4)*(IF((Backdoors!AI12+IF(KJ14&gt;=0.45,VLOOKUP(Calculator!E23,tbSkills!DH3:DI6,2,FALSE)+IF(AND(Calculator!B8=TRUE,Backdoors!BI45=TRUE),VLOOKUP(Calculator!E23,tbSkills!DH3:DJ6,3,FALSE),0),0))&gt;=100,100,(Backdoors!AI12+IF(KJ14&gt;=0.45,VLOOKUP(Calculator!E23,tbSkills!DH3:DI6,2,FALSE)+IF(AND(Calculator!B8=TRUE,Backdoors!BI45=TRUE),VLOOKUP(Calculator!E23,tbSkills!DH3:DJ6,3,FALSE),0),0)))/100)),1),1)</f>
        <v>0.4</v>
      </c>
      <c r="KP14" s="87">
        <f t="shared" si="34"/>
        <v>0</v>
      </c>
      <c r="KQ14" s="86" t="str">
        <f>IFERROR(IF(VLOOKUP(A14,tbMoveset!A2:B112,2,FALSE)="Sever",Backdoors!AY46/100,IF(VLOOKUP(A14,tbMoveset!A2:B112,2,FALSE)="Blunt",Backdoors!AZ46/100,Backdoors!BA46/100)),"")</f>
        <v/>
      </c>
      <c r="KR14" s="49">
        <f>IFERROR(IF(VLOOKUP(tbMoveset!A14,tbMoveset!A2:H112,8,FALSE)="Other",IF(VLOOKUP(tbMoveset!A14,tbMoveset!A2:I112,9,FALSE)="Fire",Backdoors!BB46,IF(VLOOKUP(tbMoveset!A14,tbMoveset!A2:I112,9,FALSE)="Water",Backdoors!BC46,IF(VLOOKUP(tbMoveset!A14,tbMoveset!A2:I112,9,FALSE)="Thunder",Backdoors!BD46,IF(VLOOKUP(tbMoveset!A14,tbMoveset!A2:I112,9,FALSE)="Ice",Backdoors!BE46,IF(VLOOKUP(tbMoveset!A14,tbMoveset!A2:I112,9,FALSE)="Dragon",Backdoors!BF46,Backdoors!BG46)))))/100,Backdoors!BG46/100),"")</f>
        <v>0</v>
      </c>
      <c r="KS14" s="49">
        <f>IFERROR(IF(VLOOKUP(A14,tbMoveset!A2:J112,10,FALSE)=TRUE,IF((Backdoors!AI12+IF(KQ14&gt;=0.45,VLOOKUP(Calculator!E23,tbSkills!DH3:DI6,2,FALSE)+IF(AND(Calculator!B8=TRUE,Backdoors!BI46=TRUE),VLOOKUP(Calculator!E23,tbSkills!DH3:DJ6,3,FALSE),0),0))&gt;=0,1+(Backdoors!AL2*(IF((Backdoors!AI12+IF(KQ14&gt;=0.45,VLOOKUP(Calculator!E23,tbSkills!DH3:DI6,2,FALSE)+IF(AND(Calculator!B8=TRUE,Backdoors!BI46=TRUE),VLOOKUP(Calculator!E23,tbSkills!DH3:DJ6,3,FALSE),0),0))&gt;=100,100,(Backdoors!AI12+IF(KQ14&gt;=0.45,VLOOKUP(Calculator!E23,tbSkills!DH3:DI6,2,FALSE)+IF(AND(Calculator!B8=TRUE,Backdoors!BI46=TRUE),VLOOKUP(Calculator!E23,tbSkills!DH3:DJ6,3,FALSE),0),0)))/100)),(1-(0.25*((-Backdoors!AI12-IF(KQ14&gt;=0.45,VLOOKUP(Calculator!E23,tbSkills!DH3:DI6,2,FALSE)+IF(AND(Calculator!B8=TRUE,Backdoors!BI46=TRUE),VLOOKUP(Calculator!E23,tbSkills!DH3:DJ6,3,FALSE),0),0))/100)))),1),"")</f>
        <v>1</v>
      </c>
      <c r="KT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KQ14)*KS14)*(VLOOKUP(A14,tbMoveset!A2:C112,3,FALSE)/100)*IF(VLOOKUP(A14,tbMoveset!A2:B112,2,FALSE)="Projectile",Backdoors!N10,Backdoors!N9),0),"")</f>
        <v/>
      </c>
      <c r="KU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REF!&gt;0,VLOOKUP(Calculator!#REF!,tbSkills!AC3:AD5,2,FALSE),Backdoors!AL3)*(IF((Backdoors!AI12+IF(KQ14&gt;=0.45,VLOOKUP(Calculator!E23,tbSkills!DH3:DI6,2,FALSE)+IF(AND(Calculator!B8=TRUE,Backdoors!BI46=TRUE),VLOOKUP(Calculator!E23,tbSkills!DH3:DJ6,3,FALSE),0),0))&gt;=100,100,(Backdoors!AI12+IF(KQ14&gt;=0.45,VLOOKUP(Calculator!E23,tbSkills!DH3:DI6,2,FALSE)+IF(AND(Calculator!B8=TRUE,Backdoors!BI46=TRUE),VLOOKUP(Calculator!E23,tbSkills!DH3:DJ6,3,FALSE),0),0)))/100)),1))*IF(VLOOKUP(A14,tbMoveset!A2:K112,11,FALSE)=TRUE,Backdoors!AC5,1))*KR14,0),"")</f>
        <v/>
      </c>
      <c r="KV14" s="49">
        <f>VLOOKUP(A14,tbMoveset!A2:G112,7,FALSE)*IFERROR(IF(Backdoors!AI12&gt;=0,1+(IF(Calculator!E40&gt;0,VLOOKUP(Calculator!E40,tbSkills!AI3:AJ5,2,FALSE),Backdoors!AL4)*(IF((Backdoors!AI12+IF(KQ14&gt;=0.45,VLOOKUP(Calculator!E23,tbSkills!DH3:DI6,2,FALSE)+IF(AND(Calculator!B8=TRUE,Backdoors!BI46=TRUE),VLOOKUP(Calculator!E23,tbSkills!DH3:DJ6,3,FALSE),0),0))&gt;=100,100,(Backdoors!AI12+IF(KQ14&gt;=0.45,VLOOKUP(Calculator!E23,tbSkills!DH3:DI6,2,FALSE)+IF(AND(Calculator!B8=TRUE,Backdoors!BI46=TRUE),VLOOKUP(Calculator!E23,tbSkills!DH3:DJ6,3,FALSE),0),0)))/100)),1),1)</f>
        <v>0.4</v>
      </c>
      <c r="KW14" s="87">
        <f t="shared" si="35"/>
        <v>0</v>
      </c>
    </row>
    <row r="15" spans="1:309" x14ac:dyDescent="0.25">
      <c r="A15" s="95" t="str">
        <f>tbMoveset!A15</f>
        <v>Turn Slash (L)</v>
      </c>
      <c r="B15" s="86">
        <f>IFERROR(IF(VLOOKUP(A15,tbMoveset!A2:B112,2,FALSE)="Sever",Backdoors!AY3/100,IF(VLOOKUP(A15,tbMoveset!A2:B112,2,FALSE)="Blunt",Backdoors!AZ3/100,Backdoors!BA3/100)),"")</f>
        <v>0.8</v>
      </c>
      <c r="C15" s="49">
        <f>IFERROR(IF(VLOOKUP(tbMoveset!A15,tbMoveset!A2:H112,8,FALSE)="Other",IF(VLOOKUP(tbMoveset!A15,tbMoveset!A2:I112,9,FALSE)="Fire",Backdoors!BB3,IF(VLOOKUP(tbMoveset!A15,tbMoveset!A2:I112,9,FALSE)="Water",Backdoors!BC3,IF(VLOOKUP(tbMoveset!A15,tbMoveset!A2:I112,9,FALSE)="Thunder",Backdoors!BD3,IF(VLOOKUP(tbMoveset!A15,tbMoveset!A2:I112,9,FALSE)="Ice",Backdoors!BE3,IF(VLOOKUP(tbMoveset!A15,tbMoveset!A2:I112,9,FALSE)="Dragon",Backdoors!BF3,Backdoors!BG3)))))/100,Backdoors!BG3/100),"")</f>
        <v>0</v>
      </c>
      <c r="D15" s="49">
        <f>IFERROR(IF(VLOOKUP(A15,tbMoveset!A2:J112,10,FALSE)=TRUE,IF((Backdoors!AI12+IF(B15&gt;=0.45,VLOOKUP(Calculator!E23,tbSkills!DH3:DI6,2,FALSE)+IF(AND(Calculator!B8=TRUE,Backdoors!BI3=TRUE),VLOOKUP(Calculator!E23,tbSkills!DH3:DJ6,3,FALSE),0),0))&gt;=0,1+(Backdoors!AL2*(IF((Backdoors!AI12+IF(B15&gt;=0.45,VLOOKUP(Calculator!E23,tbSkills!DH3:DI6,2,FALSE)+IF(AND(Calculator!B8=TRUE,Backdoors!BI3=TRUE),VLOOKUP(Calculator!E23,tbSkills!DH3:DJ6,3,FALSE),0),0))&gt;=100,100,(Backdoors!AI12+IF(B15&gt;=0.45,VLOOKUP(Calculator!E23,tbSkills!DH3:DI6,2,FALSE)+IF(AND(Calculator!B8=TRUE,Backdoors!BI3=TRUE),VLOOKUP(Calculator!E23,tbSkills!DH3:DJ6,3,FALSE),0),0)))/100)),(1-(0.25*((-Backdoors!AI12-IF(B15&gt;=0.45,VLOOKUP(Calculator!E23,tbSkills!DH3:DI6,2,FALSE)+IF(AND(Calculator!B8=TRUE,Backdoors!BI3=TRUE),VLOOKUP(Calculator!E23,tbSkills!DH3:DJ6,3,FALSE),0),0))/100)))),1),"")</f>
        <v>1</v>
      </c>
      <c r="E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15)*D15)*(VLOOKUP(A15,tbMoveset!A2:C112,3,FALSE)/100)*IF(VLOOKUP(A15,tbMoveset!A2:B112,2,FALSE)="Projectile",Backdoors!N10,Backdoors!N9),0),"")</f>
        <v>3</v>
      </c>
      <c r="F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15&gt;=0.45,VLOOKUP(Calculator!E23,tbSkills!DH3:DI6,2,FALSE)+IF(AND(Calculator!B8=TRUE,Backdoors!BI3=TRUE),VLOOKUP(Calculator!E23,tbSkills!DH3:DJ6,3,FALSE),0),0))&gt;=100,100,(Backdoors!AI12+IF(B15&gt;=0.45,VLOOKUP(Calculator!E23,tbSkills!DH3:DI6,2,FALSE)+IF(AND(Calculator!B8=TRUE,Backdoors!BI3=TRUE),VLOOKUP(Calculator!E23,tbSkills!DH3:DJ6,3,FALSE),0),0)))/100)),1))*IF(VLOOKUP(A15,tbMoveset!A2:K112,11,FALSE)=TRUE,Backdoors!AC5,1))*C15,0),"")</f>
        <v>0</v>
      </c>
      <c r="G15">
        <f>VLOOKUP(A15,tbMoveset!A2:G112,7,FALSE)*IFERROR(IF(Backdoors!AI12&gt;=0,1+(IF(Calculator!E40&gt;0,VLOOKUP(Calculator!E40,tbSkills!AI3:AJ5,2,FALSE),Backdoors!AL4)*(IF((Backdoors!AI12+IF(B15&gt;=0.45,VLOOKUP(Calculator!E23,tbSkills!DH3:DI6,2,FALSE)+IF(AND(Calculator!B8=TRUE,Backdoors!BI3=TRUE),VLOOKUP(Calculator!E23,tbSkills!DH3:DJ6,3,FALSE),0),0))&gt;=100,100,(Backdoors!AI12+IF(B15&gt;=0.45,VLOOKUP(Calculator!E23,tbSkills!DH3:DI6,2,FALSE)+IF(AND(Calculator!B8=TRUE,Backdoors!BI3=TRUE),VLOOKUP(Calculator!E23,tbSkills!DH3:DJ6,3,FALSE),0),0)))/100)),1),1)</f>
        <v>0.5</v>
      </c>
      <c r="H15" s="87">
        <f t="shared" si="43"/>
        <v>3</v>
      </c>
      <c r="I15" s="86">
        <f>IFERROR(IF(VLOOKUP(A15,tbMoveset!A2:B112,2,FALSE)="Sever",Backdoors!AY4/100,IF(VLOOKUP(A15,tbMoveset!A2:B112,2,FALSE)="Blunt",Backdoors!AZ4/100,Backdoors!BA4/100)),"")</f>
        <v>0.65</v>
      </c>
      <c r="J15" s="49">
        <f>IFERROR(IF(VLOOKUP(tbMoveset!A15,tbMoveset!A2:H112,8,FALSE)="Other",IF(VLOOKUP(tbMoveset!A15,tbMoveset!A2:I112,9,FALSE)="Fire",Backdoors!BB4,IF(VLOOKUP(tbMoveset!A15,tbMoveset!A2:I112,9,FALSE)="Water",Backdoors!BC4,IF(VLOOKUP(tbMoveset!A15,tbMoveset!A2:I112,9,FALSE)="Thunder",Backdoors!BD4,IF(VLOOKUP(tbMoveset!A15,tbMoveset!A2:I112,9,FALSE)="Ice",Backdoors!BE4,IF(VLOOKUP(tbMoveset!A15,tbMoveset!A2:I112,9,FALSE)="Dragon",Backdoors!BF4,Backdoors!BG4)))))/100,Backdoors!BG4/100),"")</f>
        <v>0</v>
      </c>
      <c r="K15" s="49">
        <f>IFERROR(IF(VLOOKUP(A15,tbMoveset!A2:J112,10,FALSE)=TRUE,IF((Backdoors!AI12+IF(I15&gt;=0.45,VLOOKUP(Calculator!E23,tbSkills!DH3:DI6,2,FALSE)+IF(AND(Calculator!B8=TRUE,Backdoors!BI4=TRUE),VLOOKUP(Calculator!E23,tbSkills!DH3:DJ6,3,FALSE),0),0))&gt;=0,1+(Backdoors!AL2*(IF((Backdoors!AI12+IF(I15&gt;=0.45,VLOOKUP(Calculator!E23,tbSkills!DH3:DI6,2,FALSE)+IF(AND(Calculator!B8=TRUE,Backdoors!BI4=TRUE),VLOOKUP(Calculator!E23,tbSkills!DH3:DJ6,3,FALSE),0),0))&gt;=100,100,(Backdoors!AI12+IF(I15&gt;=0.45,VLOOKUP(Calculator!E23,tbSkills!DH3:DI6,2,FALSE)+IF(AND(Calculator!B8=TRUE,Backdoors!BI4=TRUE),VLOOKUP(Calculator!E23,tbSkills!DH3:DJ6,3,FALSE),0),0)))/100)),(1-(0.25*((-Backdoors!AI12-IF(I15&gt;=0.45,VLOOKUP(Calculator!E23,tbSkills!DH3:DI6,2,FALSE)+IF(AND(Calculator!B8=TRUE,Backdoors!BI4=TRUE),VLOOKUP(Calculator!E23,tbSkills!DH3:DJ6,3,FALSE),0),0))/100)))),1),"")</f>
        <v>1</v>
      </c>
      <c r="L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15)*K15)*(VLOOKUP(A15,tbMoveset!A2:C112,3,FALSE)/100)*IF(VLOOKUP(A15,tbMoveset!A2:B112,2,FALSE)="Projectile",Backdoors!N10,Backdoors!N9),0),"")</f>
        <v>3</v>
      </c>
      <c r="M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I15&gt;=0.45,VLOOKUP(Calculator!E23,tbSkills!DH3:DI6,2,FALSE)+IF(AND(Calculator!B8=TRUE,Backdoors!BI4=TRUE),VLOOKUP(Calculator!E23,tbSkills!DH3:DJ6,3,FALSE),0),0))&gt;=100,100,(Backdoors!AI12+IF(I15&gt;=0.45,VLOOKUP(Calculator!E23,tbSkills!DH3:DI6,2,FALSE)+IF(AND(Calculator!B8=TRUE,Backdoors!BI4=TRUE),VLOOKUP(Calculator!E23,tbSkills!DH3:DJ6,3,FALSE),0),0)))/100)),1))*IF(VLOOKUP(A15,tbMoveset!A2:K112,11,FALSE)=TRUE,Backdoors!AC5,1))*J15,0),"")</f>
        <v>0</v>
      </c>
      <c r="N15" s="49">
        <f>VLOOKUP(A15,tbMoveset!A2:G112,7,FALSE)*IFERROR(IF(Backdoors!AI12&gt;=0,1+(IF(Calculator!E40&gt;0,VLOOKUP(Calculator!E40,tbSkills!AI3:AJ5,2,FALSE),Backdoors!AL4)*(IF((Backdoors!AI12+IF(I15&gt;=0.45,VLOOKUP(Calculator!E23,tbSkills!DH3:DI6,2,FALSE)+IF(AND(Calculator!B8=TRUE,Backdoors!BI4=TRUE),VLOOKUP(Calculator!E23,tbSkills!DH3:DJ6,3,FALSE),0),0))&gt;=100,100,(Backdoors!AI12+IF(I15&gt;=0.45,VLOOKUP(Calculator!E23,tbSkills!DH3:DI6,2,FALSE)+IF(AND(Calculator!B8=TRUE,Backdoors!BI4=TRUE),VLOOKUP(Calculator!E23,tbSkills!DH3:DJ6,3,FALSE),0),0)))/100)),1),1)</f>
        <v>0.5</v>
      </c>
      <c r="O15" s="87">
        <f t="shared" si="36"/>
        <v>3</v>
      </c>
      <c r="P15" s="86">
        <f>IFERROR(IF(VLOOKUP(A15,tbMoveset!A2:B112,2,FALSE)="Sever",Backdoors!AY5/100,IF(VLOOKUP(A15,tbMoveset!A2:B112,2,FALSE)="Blunt",Backdoors!AZ5/100,Backdoors!BA5/100)),"")</f>
        <v>0.5</v>
      </c>
      <c r="Q15" s="49">
        <f>IFERROR(IF(VLOOKUP(tbMoveset!A15,tbMoveset!A2:H112,8,FALSE)="Other",IF(VLOOKUP(tbMoveset!A15,tbMoveset!A2:I112,9,FALSE)="Fire",Backdoors!BB5,IF(VLOOKUP(tbMoveset!A15,tbMoveset!A2:I112,9,FALSE)="Water",Backdoors!BC5,IF(VLOOKUP(tbMoveset!A15,tbMoveset!A2:I112,9,FALSE)="Thunder",Backdoors!BD5,IF(VLOOKUP(tbMoveset!A15,tbMoveset!A2:I112,9,FALSE)="Ice",Backdoors!BE5,IF(VLOOKUP(tbMoveset!A15,tbMoveset!A2:I112,9,FALSE)="Dragon",Backdoors!BF5,Backdoors!BG5)))))/100,Backdoors!BG5/100),"")</f>
        <v>0</v>
      </c>
      <c r="R15" s="49">
        <f>IFERROR(IF(VLOOKUP(A15,tbMoveset!A2:J112,10,FALSE)=TRUE,IF((Backdoors!AI12+IF(P15&gt;=0.45,VLOOKUP(Calculator!E23,tbSkills!DH3:DI6,2,FALSE)+IF(AND(Calculator!B8=TRUE,Backdoors!BI5=TRUE),VLOOKUP(Calculator!E23,tbSkills!DH3:DJ6,3,FALSE),0),0))&gt;=0,1+(Backdoors!AL2*(IF((Backdoors!AI12+IF(P15&gt;=0.45,VLOOKUP(Calculator!E23,tbSkills!DH3:DI6,2,FALSE)+IF(AND(Calculator!B8=TRUE,Backdoors!BI5=TRUE),VLOOKUP(Calculator!E23,tbSkills!DH3:DJ6,3,FALSE),0),0))&gt;=100,100,(Backdoors!AI12+IF(P15&gt;=0.45,VLOOKUP(Calculator!E23,tbSkills!DH3:DI6,2,FALSE)+IF(AND(Calculator!B8=TRUE,Backdoors!BI5=TRUE),VLOOKUP(Calculator!E23,tbSkills!DH3:DJ6,3,FALSE),0),0)))/100)),(1-(0.25*((-Backdoors!AI12-IF(P15&gt;=0.45,VLOOKUP(Calculator!E23,tbSkills!DH3:DI6,2,FALSE)+IF(AND(Calculator!B8=TRUE,Backdoors!BI5=TRUE),VLOOKUP(Calculator!E23,tbSkills!DH3:DJ6,3,FALSE),0),0))/100)))),1),"")</f>
        <v>1</v>
      </c>
      <c r="S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P15)*R15)*(VLOOKUP(A15,tbMoveset!A2:C112,3,FALSE)/100)*IF(VLOOKUP(A15,tbMoveset!A2:B112,2,FALSE)="Projectile",Backdoors!N10,Backdoors!N9),0),"")</f>
        <v>2</v>
      </c>
      <c r="T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P15&gt;=0.45,VLOOKUP(Calculator!E23,tbSkills!DH3:DI6,2,FALSE)+IF(AND(Calculator!B8=TRUE,Backdoors!BI5=TRUE),VLOOKUP(Calculator!E23,tbSkills!DH3:DJ6,3,FALSE),0),0))&gt;=100,100,(Backdoors!AI12+IF(P15&gt;=0.45,VLOOKUP(Calculator!E23,tbSkills!DH3:DI6,2,FALSE)+IF(AND(Calculator!B8=TRUE,Backdoors!BI5=TRUE),VLOOKUP(Calculator!E23,tbSkills!DH3:DJ6,3,FALSE),0),0)))/100)),1))*IF(VLOOKUP(A15,tbMoveset!A2:K112,11,FALSE)=TRUE,Backdoors!AC5,1))*Q15,0),"")</f>
        <v>0</v>
      </c>
      <c r="U15" s="49">
        <f>VLOOKUP(A15,tbMoveset!A2:G112,7,FALSE)*IFERROR(IF(Backdoors!AI12&gt;=0,1+(IF(Calculator!E40&gt;0,VLOOKUP(Calculator!E40,tbSkills!AI3:AJ5,2,FALSE),Backdoors!AL4)*(IF((Backdoors!AI12+IF(P15&gt;=0.45,VLOOKUP(Calculator!E23,tbSkills!DH3:DI6,2,FALSE)+IF(AND(Calculator!B8=TRUE,Backdoors!BI5=TRUE),VLOOKUP(Calculator!E23,tbSkills!DH3:DJ6,3,FALSE),0),0))&gt;=100,100,(Backdoors!AI12+IF(P15&gt;=0.45,VLOOKUP(Calculator!E23,tbSkills!DH3:DI6,2,FALSE)+IF(AND(Calculator!B8=TRUE,Backdoors!BI5=TRUE),VLOOKUP(Calculator!E23,tbSkills!DH3:DJ6,3,FALSE),0),0)))/100)),1),1)</f>
        <v>0.5</v>
      </c>
      <c r="V15" s="87">
        <f t="shared" si="37"/>
        <v>2</v>
      </c>
      <c r="W15" s="86">
        <f>IFERROR(IF(VLOOKUP(A15,tbMoveset!A2:B112,2,FALSE)="Sever",Backdoors!AY6/100,IF(VLOOKUP(A15,tbMoveset!A2:B112,2,FALSE)="Blunt",Backdoors!AZ6/100,Backdoors!BA6/100)),"")</f>
        <v>0.45</v>
      </c>
      <c r="X15" s="49">
        <f>IFERROR(IF(VLOOKUP(tbMoveset!A15,tbMoveset!A2:H112,8,FALSE)="Other",IF(VLOOKUP(tbMoveset!A15,tbMoveset!A2:I112,9,FALSE)="Fire",Backdoors!BB6,IF(VLOOKUP(tbMoveset!A15,tbMoveset!A2:I112,9,FALSE)="Water",Backdoors!BC6,IF(VLOOKUP(tbMoveset!A15,tbMoveset!A2:I112,9,FALSE)="Thunder",Backdoors!BD6,IF(VLOOKUP(tbMoveset!A15,tbMoveset!A2:I112,9,FALSE)="Ice",Backdoors!BE6,IF(VLOOKUP(tbMoveset!A15,tbMoveset!A2:I112,9,FALSE)="Dragon",Backdoors!BF6,Backdoors!BG6)))))/100,Backdoors!BG6/100),"")</f>
        <v>0</v>
      </c>
      <c r="Y15" s="49">
        <f>IFERROR(IF(VLOOKUP(A15,tbMoveset!A2:J112,10,FALSE)=TRUE,IF((Backdoors!AI12+IF(W15&gt;=0.45,VLOOKUP(Calculator!E23,tbSkills!DH3:DI6,2,FALSE)+IF(AND(Calculator!B8=TRUE,Backdoors!BI6=TRUE),VLOOKUP(Calculator!E23,tbSkills!DH3:DJ6,3,FALSE),0),0))&gt;=0,1+(Backdoors!AL2*(IF((Backdoors!AI12+IF(W15&gt;=0.45,VLOOKUP(Calculator!E23,tbSkills!DH3:DI6,2,FALSE)+IF(AND(Calculator!B8=TRUE,Backdoors!BI6=TRUE),VLOOKUP(Calculator!E23,tbSkills!DH3:DJ6,3,FALSE),0),0))&gt;=100,100,(Backdoors!AI12+IF(W15&gt;=0.45,VLOOKUP(Calculator!E23,tbSkills!DH3:DI6,2,FALSE)+IF(AND(Calculator!B8=TRUE,Backdoors!BI6=TRUE),VLOOKUP(Calculator!E23,tbSkills!DH3:DJ6,3,FALSE),0),0)))/100)),(1-(0.25*((-Backdoors!AI12-IF(W15&gt;=0.45,VLOOKUP(Calculator!E23,tbSkills!DH3:DI6,2,FALSE)+IF(AND(Calculator!B8=TRUE,Backdoors!BI6=TRUE),VLOOKUP(Calculator!E23,tbSkills!DH3:DJ6,3,FALSE),0),0))/100)))),1),"")</f>
        <v>1</v>
      </c>
      <c r="Z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W15)*Y15)*(VLOOKUP(A15,tbMoveset!A2:C112,3,FALSE)/100)*IF(VLOOKUP(A15,tbMoveset!A2:B112,2,FALSE)="Projectile",Backdoors!N10,Backdoors!N9),0),"")</f>
        <v>2</v>
      </c>
      <c r="AA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W15&gt;=0.45,VLOOKUP(Calculator!E23,tbSkills!DH3:DI6,2,FALSE)+IF(AND(Calculator!B8=TRUE,Backdoors!BI6=TRUE),VLOOKUP(Calculator!E23,tbSkills!DH3:DJ6,3,FALSE),0),0))&gt;=100,100,(Backdoors!AI12+IF(W15&gt;=0.45,VLOOKUP(Calculator!E23,tbSkills!DH3:DI6,2,FALSE)+IF(AND(Calculator!B8=TRUE,Backdoors!BI6=TRUE),VLOOKUP(Calculator!E23,tbSkills!DH3:DJ6,3,FALSE),0),0)))/100)),1))*IF(VLOOKUP(A15,tbMoveset!A2:K112,11,FALSE)=TRUE,Backdoors!AC5,1))*X15,0),"")</f>
        <v>0</v>
      </c>
      <c r="AB15" s="49">
        <f>VLOOKUP(A15,tbMoveset!A2:G112,7,FALSE)*IFERROR(IF(Backdoors!AI12&gt;=0,1+(IF(Calculator!E40&gt;0,VLOOKUP(Calculator!E40,tbSkills!AI3:AJ5,2,FALSE),Backdoors!AL4)*(IF((Backdoors!AI12+IF(W15&gt;=0.45,VLOOKUP(Calculator!E23,tbSkills!DH3:DI6,2,FALSE)+IF(AND(Calculator!B8=TRUE,Backdoors!BI6=TRUE),VLOOKUP(Calculator!E23,tbSkills!DH3:DJ6,3,FALSE),0),0))&gt;=100,100,(Backdoors!AI12+IF(W15&gt;=0.45,VLOOKUP(Calculator!E23,tbSkills!DH3:DI6,2,FALSE)+IF(AND(Calculator!B8=TRUE,Backdoors!BI6=TRUE),VLOOKUP(Calculator!E23,tbSkills!DH3:DJ6,3,FALSE),0),0)))/100)),1),1)</f>
        <v>0.5</v>
      </c>
      <c r="AC15" s="87">
        <f t="shared" si="0"/>
        <v>2</v>
      </c>
      <c r="AD15" s="86">
        <f>IFERROR(IF(VLOOKUP(A15,tbMoveset!A2:B112,2,FALSE)="Sever",Backdoors!AY7/100,IF(VLOOKUP(A15,tbMoveset!A2:B112,2,FALSE)="Blunt",Backdoors!AZ7/100,Backdoors!BA7/100)),"")</f>
        <v>0.65</v>
      </c>
      <c r="AE15" s="49">
        <f>IFERROR(IF(VLOOKUP(tbMoveset!A15,tbMoveset!A2:H112,8,FALSE)="Other",IF(VLOOKUP(tbMoveset!A15,tbMoveset!A2:I112,9,FALSE)="Fire",Backdoors!BB7,IF(VLOOKUP(tbMoveset!A15,tbMoveset!A2:I112,9,FALSE)="Water",Backdoors!BC7,IF(VLOOKUP(tbMoveset!A15,tbMoveset!A2:I112,9,FALSE)="Thunder",Backdoors!BD7,IF(VLOOKUP(tbMoveset!A15,tbMoveset!A2:I112,9,FALSE)="Ice",Backdoors!BE7,IF(VLOOKUP(tbMoveset!A15,tbMoveset!A2:I112,9,FALSE)="Dragon",Backdoors!BF7,Backdoors!BG7)))))/100,Backdoors!BG7/100),"")</f>
        <v>0</v>
      </c>
      <c r="AF15" s="49">
        <f>IFERROR(IF(VLOOKUP(A15,tbMoveset!A2:J112,10,FALSE)=TRUE,IF((Backdoors!AI12+IF(AD15&gt;=0.45,VLOOKUP(Calculator!E23,tbSkills!DH3:DI6,2,FALSE)+IF(AND(Calculator!B8=TRUE,Backdoors!BI7=TRUE),VLOOKUP(Calculator!E23,tbSkills!DH3:DJ6,3,FALSE),0),0))&gt;=0,1+(Backdoors!AL2*(IF((Backdoors!AI12+IF(AD15&gt;=0.45,VLOOKUP(Calculator!E23,tbSkills!DH3:DI6,2,FALSE)+IF(AND(Calculator!B8=TRUE,Backdoors!BI7=TRUE),VLOOKUP(Calculator!E23,tbSkills!DH3:DJ6,3,FALSE),0),0))&gt;=100,100,(Backdoors!AI12+IF(AD15&gt;=0.45,VLOOKUP(Calculator!E23,tbSkills!DH3:DI6,2,FALSE)+IF(AND(Calculator!B8=TRUE,Backdoors!BI7=TRUE),VLOOKUP(Calculator!E23,tbSkills!DH3:DJ6,3,FALSE),0),0)))/100)),(1-(0.25*((-Backdoors!AI12-IF(AD15&gt;=0.45,VLOOKUP(Calculator!E23,tbSkills!DH3:DI6,2,FALSE)+IF(AND(Calculator!B8=TRUE,Backdoors!BI7=TRUE),VLOOKUP(Calculator!E23,tbSkills!DH3:DJ6,3,FALSE),0),0))/100)))),1),"")</f>
        <v>1</v>
      </c>
      <c r="AG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D15)*AF15)*(VLOOKUP(A15,tbMoveset!A2:C112,3,FALSE)/100)*IF(VLOOKUP(A15,tbMoveset!A2:B112,2,FALSE)="Projectile",Backdoors!N10,Backdoors!N9),0),"")</f>
        <v>3</v>
      </c>
      <c r="AH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D15&gt;=0.45,VLOOKUP(Calculator!E23,tbSkills!DH3:DI6,2,FALSE)+IF(AND(Calculator!B8=TRUE,Backdoors!BI7=TRUE),VLOOKUP(Calculator!E23,tbSkills!DH3:DJ6,3,FALSE),0),0))&gt;=100,100,(Backdoors!AI12+IF(AD15&gt;=0.45,VLOOKUP(Calculator!E23,tbSkills!DH3:DI6,2,FALSE)+IF(AND(Calculator!B8=TRUE,Backdoors!BI7=TRUE),VLOOKUP(Calculator!E23,tbSkills!DH3:DJ6,3,FALSE),0),0)))/100)),1))*IF(VLOOKUP(A15,tbMoveset!A2:K112,11,FALSE)=TRUE,Backdoors!AC5,1))*AE15,0),"")</f>
        <v>0</v>
      </c>
      <c r="AI15" s="49">
        <f>VLOOKUP(A15,tbMoveset!A2:G112,7,FALSE)*IFERROR(IF(Backdoors!AI12&gt;=0,1+(IF(Calculator!E40&gt;0,VLOOKUP(Calculator!E40,tbSkills!AI3:AJ5,2,FALSE),Backdoors!AL4)*(IF((Backdoors!AI12+IF(AD15&gt;=0.45,VLOOKUP(Calculator!E23,tbSkills!DH3:DI6,2,FALSE)+IF(AND(Calculator!B8=TRUE,Backdoors!BI7=TRUE),VLOOKUP(Calculator!E23,tbSkills!DH3:DJ6,3,FALSE),0),0))&gt;=100,100,(Backdoors!AI12+IF(AD15&gt;=0.45,VLOOKUP(Calculator!E23,tbSkills!DH3:DI6,2,FALSE)+IF(AND(Calculator!B8=TRUE,Backdoors!BI7=TRUE),VLOOKUP(Calculator!E23,tbSkills!DH3:DJ6,3,FALSE),0),0)))/100)),1),1)</f>
        <v>0.5</v>
      </c>
      <c r="AJ15" s="87">
        <f t="shared" si="1"/>
        <v>3</v>
      </c>
      <c r="AK15" s="91">
        <f>IFERROR(IF(VLOOKUP(A15,tbMoveset!A2:B112,2,FALSE)="Sever",Backdoors!AY8/100,IF(VLOOKUP(A15,tbMoveset!A2:B112,2,FALSE)="Blunt",Backdoors!AZ8/100,Backdoors!BA8/100)),"")</f>
        <v>0.45</v>
      </c>
      <c r="AL15" s="49">
        <f>IFERROR(IF(VLOOKUP(tbMoveset!A15,tbMoveset!A2:H112,8,FALSE)="Other",IF(VLOOKUP(tbMoveset!A15,tbMoveset!A2:I112,9,FALSE)="Fire",Backdoors!BB8,IF(VLOOKUP(tbMoveset!A15,tbMoveset!A2:I112,9,FALSE)="Water",Backdoors!BC8,IF(VLOOKUP(tbMoveset!A15,tbMoveset!A2:I112,9,FALSE)="Thunder",Backdoors!BD8,IF(VLOOKUP(tbMoveset!A15,tbMoveset!A2:I112,9,FALSE)="Ice",Backdoors!BE8,IF(VLOOKUP(tbMoveset!A15,tbMoveset!A2:I112,9,FALSE)="Dragon",Backdoors!BF8,Backdoors!BG8)))))/100,Backdoors!BG8/100),"")</f>
        <v>0</v>
      </c>
      <c r="AM15" s="49">
        <f>IFERROR(IF(VLOOKUP(A15,tbMoveset!A2:J112,10,FALSE)=TRUE,IF((Backdoors!AI12+IF(AK15&gt;=0.45,VLOOKUP(Calculator!E23,tbSkills!DH3:DI6,2,FALSE)+IF(AND(Calculator!B8=TRUE,Backdoors!BI8=TRUE),VLOOKUP(Calculator!E23,tbSkills!DH3:DJ6,3,FALSE),0),0))&gt;=0,1+(Backdoors!AL2*(IF((Backdoors!AI12+IF(AK15&gt;=0.45,VLOOKUP(Calculator!E23,tbSkills!DH3:DI6,2,FALSE)+IF(AND(Calculator!B8=TRUE,Backdoors!BI8=TRUE),VLOOKUP(Calculator!E23,tbSkills!DH3:DJ6,3,FALSE),0),0))&gt;=100,100,(Backdoors!AI12+IF(AK15&gt;=0.45,VLOOKUP(Calculator!E23,tbSkills!DH3:DI6,2,FALSE)+IF(AND(Calculator!B8=TRUE,Backdoors!BI8=TRUE),VLOOKUP(Calculator!E23,tbSkills!DH3:DJ6,3,FALSE),0),0)))/100)),(1-(0.25*((-Backdoors!AI12-IF(AK15&gt;=0.45,VLOOKUP(Calculator!E23,tbSkills!DH3:DI6,2,FALSE)+IF(AND(Calculator!B8=TRUE,Backdoors!BI8=TRUE),VLOOKUP(Calculator!E23,tbSkills!DH3:DJ6,3,FALSE),0),0))/100)))),1),"")</f>
        <v>1</v>
      </c>
      <c r="AN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K15)*AM15)*(VLOOKUP(A15,tbMoveset!A2:C112,3,FALSE)/100)*IF(VLOOKUP(A15,tbMoveset!A2:B112,2,FALSE)="Projectile",Backdoors!N10,Backdoors!N9),0),"")</f>
        <v>2</v>
      </c>
      <c r="AO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K15&gt;=0.45,VLOOKUP(Calculator!E23,tbSkills!DH3:DI6,2,FALSE)+IF(AND(Calculator!B8=TRUE,Backdoors!BI8=TRUE),VLOOKUP(Calculator!E23,tbSkills!DH3:DJ6,3,FALSE),0),0))&gt;=100,100,(Backdoors!AI12+IF(AK15&gt;=0.45,VLOOKUP(Calculator!E23,tbSkills!DH3:DI6,2,FALSE)+IF(AND(Calculator!B8=TRUE,Backdoors!BI8=TRUE),VLOOKUP(Calculator!E23,tbSkills!DH3:DJ6,3,FALSE),0),0)))/100)),1))*IF(VLOOKUP(A15,tbMoveset!A2:K112,11,FALSE)=TRUE,Backdoors!AC5,1))*AL15,0),"")</f>
        <v>0</v>
      </c>
      <c r="AP15" s="49">
        <f>VLOOKUP(A15,tbMoveset!A2:G112,7,FALSE)*IFERROR(IF(Backdoors!AI12&gt;=0,1+(IF(Calculator!E40&gt;0,VLOOKUP(Calculator!E40,tbSkills!AI3:AJ5,2,FALSE),Backdoors!AL4)*(IF((Backdoors!AI12+IF(AK15&gt;=0.45,VLOOKUP(Calculator!E23,tbSkills!DH3:DI6,2,FALSE)+IF(AND(Calculator!B8=TRUE,Backdoors!BI8=TRUE),VLOOKUP(Calculator!E23,tbSkills!DH3:DJ6,3,FALSE),0),0))&gt;=100,100,(Backdoors!AI12+IF(AK15&gt;=0.45,VLOOKUP(Calculator!E23,tbSkills!DH3:DI6,2,FALSE)+IF(AND(Calculator!B8=TRUE,Backdoors!BI8=TRUE),VLOOKUP(Calculator!E23,tbSkills!DH3:DJ6,3,FALSE),0),0)))/100)),1),1)</f>
        <v>0.5</v>
      </c>
      <c r="AQ15" s="87">
        <f t="shared" si="2"/>
        <v>2</v>
      </c>
      <c r="AR15" s="86">
        <f>IFERROR(IF(VLOOKUP(A15,tbMoveset!A2:B112,2,FALSE)="Sever",Backdoors!AY9/100,IF(VLOOKUP(A15,tbMoveset!A2:B112,2,FALSE)="Blunt",Backdoors!AZ9/100,Backdoors!BA9/100)),"")</f>
        <v>0.45</v>
      </c>
      <c r="AS15" s="49">
        <f>IFERROR(IF(VLOOKUP(tbMoveset!A15,tbMoveset!A2:H112,8,FALSE)="Other",IF(VLOOKUP(tbMoveset!A15,tbMoveset!A2:I112,9,FALSE)="Fire",Backdoors!BB9,IF(VLOOKUP(tbMoveset!A15,tbMoveset!A2:I112,9,FALSE)="Water",Backdoors!BC9,IF(VLOOKUP(tbMoveset!A15,tbMoveset!A2:I112,9,FALSE)="Thunder",Backdoors!BD9,IF(VLOOKUP(tbMoveset!A15,tbMoveset!A2:I112,9,FALSE)="Ice",Backdoors!BE9,IF(VLOOKUP(tbMoveset!A15,tbMoveset!A2:I112,9,FALSE)="Dragon",Backdoors!BF9,Backdoors!BG9)))))/100,Backdoors!BG9/100),"")</f>
        <v>0</v>
      </c>
      <c r="AT15" s="49">
        <f>IFERROR(IF(VLOOKUP(A15,tbMoveset!A2:J112,10,FALSE)=TRUE,IF((Backdoors!AI12+IF(AR15&gt;=0.45,VLOOKUP(Calculator!E23,tbSkills!DH3:DI6,2,FALSE)+IF(AND(Calculator!B8=TRUE,Backdoors!BI9=TRUE),VLOOKUP(Calculator!E23,tbSkills!DH3:DJ6,3,FALSE),0),0))&gt;=0,1+(Backdoors!AL2*(IF((Backdoors!AI12+IF(AR15&gt;=0.45,VLOOKUP(Calculator!E23,tbSkills!DH3:DI6,2,FALSE)+IF(AND(Calculator!B8=TRUE,Backdoors!BI9=TRUE),VLOOKUP(Calculator!E23,tbSkills!DH3:DJ6,3,FALSE),0),0))&gt;=100,100,(Backdoors!AI12+IF(AR15&gt;=0.45,VLOOKUP(Calculator!E23,tbSkills!DH3:DI6,2,FALSE)+IF(AND(Calculator!B8=TRUE,Backdoors!BI9=TRUE),VLOOKUP(Calculator!E23,tbSkills!DH3:DJ6,3,FALSE),0),0)))/100)),(1-(0.25*((-Backdoors!AI12-IF(AR15&gt;=0.45,VLOOKUP(Calculator!E23,tbSkills!DH3:DI6,2,FALSE)+IF(AND(Calculator!B8=TRUE,Backdoors!BI9=TRUE),VLOOKUP(Calculator!E23,tbSkills!DH3:DJ6,3,FALSE),0),0))/100)))),1),"")</f>
        <v>1</v>
      </c>
      <c r="AU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R15)*AT15)*(VLOOKUP(A15,tbMoveset!A2:C112,3,FALSE)/100)*IF(VLOOKUP(A15,tbMoveset!A2:B112,2,FALSE)="Projectile",Backdoors!N10,Backdoors!N9),0),"")</f>
        <v>2</v>
      </c>
      <c r="AV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R15&gt;=0.45,VLOOKUP(Calculator!E23,tbSkills!DH3:DI6,2,FALSE)+IF(AND(Calculator!B8=TRUE,Backdoors!BI9=TRUE),VLOOKUP(Calculator!E23,tbSkills!DH3:DJ6,3,FALSE),0),0))&gt;=100,100,(Backdoors!AI12+IF(AR15&gt;=0.45,VLOOKUP(Calculator!E23,tbSkills!DH3:DI6,2,FALSE)+IF(AND(Calculator!B8=TRUE,Backdoors!BI9=TRUE),VLOOKUP(Calculator!E23,tbSkills!DH3:DJ6,3,FALSE),0),0)))/100)),1))*IF(VLOOKUP(A15,tbMoveset!A2:K112,11,FALSE)=TRUE,Backdoors!AC5,1))*AS15,0),"")</f>
        <v>0</v>
      </c>
      <c r="AW15" s="49">
        <f>VLOOKUP(A15,tbMoveset!A2:G112,7,FALSE)*IFERROR(IF(Backdoors!AI12&gt;=0,1+(IF(Calculator!E40&gt;0,VLOOKUP(Calculator!E40,tbSkills!AI3:AJ5,2,FALSE),Backdoors!AL4)*(IF((Backdoors!AI12+IF(AR15&gt;=0.45,VLOOKUP(Calculator!E23,tbSkills!DH3:DI6,2,FALSE)+IF(AND(Calculator!B8=TRUE,Backdoors!BI9=TRUE),VLOOKUP(Calculator!E23,tbSkills!DH3:DJ6,3,FALSE),0),0))&gt;=100,100,(Backdoors!AI12+IF(AR15&gt;=0.45,VLOOKUP(Calculator!E23,tbSkills!DH3:DI6,2,FALSE)+IF(AND(Calculator!B8=TRUE,Backdoors!BI9=TRUE),VLOOKUP(Calculator!E23,tbSkills!DH3:DJ6,3,FALSE),0),0)))/100)),1),1)</f>
        <v>0.5</v>
      </c>
      <c r="AX15" s="87">
        <f t="shared" si="38"/>
        <v>2</v>
      </c>
      <c r="AY15" s="86">
        <f>IFERROR(IF(VLOOKUP(A15,tbMoveset!A2:B112,2,FALSE)="Sever",Backdoors!AY10/100,IF(VLOOKUP(A15,tbMoveset!A2:B112,2,FALSE)="Blunt",Backdoors!AZ10/100,Backdoors!BA10/100)),"")</f>
        <v>0.9</v>
      </c>
      <c r="AZ15" s="49">
        <f>IFERROR(IF(VLOOKUP(tbMoveset!A15,tbMoveset!A2:H112,8,FALSE)="Other",IF(VLOOKUP(tbMoveset!A15,tbMoveset!A2:I112,9,FALSE)="Fire",Backdoors!BB10,IF(VLOOKUP(tbMoveset!A15,tbMoveset!A2:I112,9,FALSE)="Water",Backdoors!BC10,IF(VLOOKUP(tbMoveset!A15,tbMoveset!A2:I112,9,FALSE)="Thunder",Backdoors!BD10,IF(VLOOKUP(tbMoveset!A15,tbMoveset!A2:I112,9,FALSE)="Ice",Backdoors!BE10,IF(VLOOKUP(tbMoveset!A15,tbMoveset!A2:I112,9,FALSE)="Dragon",Backdoors!BF10,Backdoors!BG10)))))/100,Backdoors!BG10/100),"")</f>
        <v>0</v>
      </c>
      <c r="BA15" s="49">
        <f>IFERROR(IF(VLOOKUP(A15,tbMoveset!A2:J112,10,FALSE)=TRUE,IF((Backdoors!AI12+IF(AY15&gt;=0.45,VLOOKUP(Calculator!E23,tbSkills!DH3:DI6,2,FALSE)+IF(AND(Calculator!B8=TRUE,Backdoors!BI10=TRUE),VLOOKUP(Calculator!E23,tbSkills!DH3:DJ6,3,FALSE),0),0))&gt;=0,1+(Backdoors!AL2*(IF((Backdoors!AI12+IF(AY15&gt;=0.45,VLOOKUP(Calculator!E23,tbSkills!DH3:DI6,2,FALSE)+IF(AND(Calculator!B8=TRUE,Backdoors!BI10=TRUE),VLOOKUP(Calculator!E23,tbSkills!DH3:DJ6,3,FALSE),0),0))&gt;=100,100,(Backdoors!AI12+IF(AY15&gt;=0.45,VLOOKUP(Calculator!E23,tbSkills!DH3:DI6,2,FALSE)+IF(AND(Calculator!B8=TRUE,Backdoors!BI10=TRUE),VLOOKUP(Calculator!E23,tbSkills!DH3:DJ6,3,FALSE),0),0)))/100)),(1-(0.25*((-Backdoors!AI12-IF(AY15&gt;=0.45,VLOOKUP(Calculator!E23,tbSkills!DH3:DI6,2,FALSE)+IF(AND(Calculator!B8=TRUE,Backdoors!BI10=TRUE),VLOOKUP(Calculator!E23,tbSkills!DH3:DJ6,3,FALSE),0),0))/100)))),1),"")</f>
        <v>1</v>
      </c>
      <c r="BB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Y15)*BA15)*(VLOOKUP(A15,tbMoveset!A2:C112,3,FALSE)/100)*IF(VLOOKUP(A15,tbMoveset!A2:B112,2,FALSE)="Projectile",Backdoors!N10,Backdoors!N9),0),"")</f>
        <v>4</v>
      </c>
      <c r="BC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Y15&gt;=0.45,VLOOKUP(Calculator!E23,tbSkills!DH3:DI6,2,FALSE)+IF(AND(Calculator!B8=TRUE,Backdoors!BI10=TRUE),VLOOKUP(Calculator!E23,tbSkills!DH3:DJ6,3,FALSE),0),0))&gt;=100,100,(Backdoors!AI12+IF(AY15&gt;=0.45,VLOOKUP(Calculator!E23,tbSkills!DH3:DI6,2,FALSE)+IF(AND(Calculator!B8=TRUE,Backdoors!BI10=TRUE),VLOOKUP(Calculator!E23,tbSkills!DH3:DJ6,3,FALSE),0),0)))/100)),1))*IF(VLOOKUP(A15,tbMoveset!A2:K112,11,FALSE)=TRUE,Backdoors!AC5,1))*AZ15,0),"")</f>
        <v>0</v>
      </c>
      <c r="BD15" s="49">
        <f>VLOOKUP(A15,tbMoveset!A2:G112,7,FALSE)*IFERROR(IF(Backdoors!AI12&gt;=0,1+(IF(Calculator!E40&gt;0,VLOOKUP(Calculator!E40,tbSkills!AI3:AJ5,2,FALSE),Backdoors!AL4)*(IF((Backdoors!AI12+IF(AY15&gt;=0.45,VLOOKUP(Calculator!E23,tbSkills!DH3:DI6,2,FALSE)+IF(AND(Calculator!B8=TRUE,Backdoors!BI10=TRUE),VLOOKUP(Calculator!E23,tbSkills!DH3:DJ6,3,FALSE),0),0))&gt;=100,100,(Backdoors!AI12+IF(AY15&gt;=0.45,VLOOKUP(Calculator!E23,tbSkills!DH3:DI6,2,FALSE)+IF(AND(Calculator!B8=TRUE,Backdoors!BI10=TRUE),VLOOKUP(Calculator!E23,tbSkills!DH3:DJ6,3,FALSE),0),0)))/100)),1),1)</f>
        <v>0.5</v>
      </c>
      <c r="BE15" s="87">
        <f t="shared" si="3"/>
        <v>4</v>
      </c>
      <c r="BF15" s="86" t="str">
        <f>IFERROR(IF(VLOOKUP(A15,tbMoveset!A2:B112,2,FALSE)="Sever",Backdoors!AY11/100,IF(VLOOKUP(A15,tbMoveset!A2:B112,2,FALSE)="Blunt",Backdoors!AZ11/100,Backdoors!BA11/100)),"")</f>
        <v/>
      </c>
      <c r="BG15" s="49">
        <f>IFERROR(IF(VLOOKUP(tbMoveset!A15,tbMoveset!A2:H112,8,FALSE)="Other",IF(VLOOKUP(tbMoveset!A15,tbMoveset!A2:I112,9,FALSE)="Fire",Backdoors!BB11,IF(VLOOKUP(tbMoveset!A15,tbMoveset!A2:I112,9,FALSE)="Water",Backdoors!BC11,IF(VLOOKUP(tbMoveset!A15,tbMoveset!A2:I112,9,FALSE)="Thunder",Backdoors!BD11,IF(VLOOKUP(tbMoveset!A15,tbMoveset!A2:I112,9,FALSE)="Ice",Backdoors!BE11,IF(VLOOKUP(tbMoveset!A15,tbMoveset!A2:I112,9,FALSE)="Dragon",Backdoors!BF11,Backdoors!BG11)))))/100,Backdoors!BG11/100),"")</f>
        <v>0</v>
      </c>
      <c r="BH15" s="49">
        <f>IFERROR(IF(VLOOKUP(A15,tbMoveset!A2:J112,10,FALSE)=TRUE,IF((Backdoors!AI12+IF(BF15&gt;=0.45,VLOOKUP(Calculator!E23,tbSkills!DH3:DI6,2,FALSE)+IF(AND(Calculator!B8=TRUE,Backdoors!BI11=TRUE),VLOOKUP(Calculator!E23,tbSkills!DH3:DJ6,3,FALSE),0),0))&gt;=0,1+(Backdoors!AL2*(IF((Backdoors!AI12+IF(BF15&gt;=0.45,VLOOKUP(Calculator!E23,tbSkills!DH3:DI6,2,FALSE)+IF(AND(Calculator!B8=TRUE,Backdoors!BI11=TRUE),VLOOKUP(Calculator!E23,tbSkills!DH3:DJ6,3,FALSE),0),0))&gt;=100,100,(Backdoors!AI12+IF(BF15&gt;=0.45,VLOOKUP(Calculator!E23,tbSkills!DH3:DI6,2,FALSE)+IF(AND(Calculator!B8=TRUE,Backdoors!BI11=TRUE),VLOOKUP(Calculator!E23,tbSkills!DH3:DJ6,3,FALSE),0),0)))/100)),(1-(0.25*((-Backdoors!AI12-IF(BF15&gt;=0.45,VLOOKUP(Calculator!E23,tbSkills!DH3:DI6,2,FALSE)+IF(AND(Calculator!B8=TRUE,Backdoors!BI11=TRUE),VLOOKUP(Calculator!E23,tbSkills!DH3:DJ6,3,FALSE),0),0))/100)))),1),"")</f>
        <v>1</v>
      </c>
      <c r="BI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F15)*BH15)*(VLOOKUP(A15,tbMoveset!A2:C112,3,FALSE)/100)*IF(VLOOKUP(A15,tbMoveset!A2:B112,2,FALSE)="Projectile",Backdoors!N10,Backdoors!N9),0),"")</f>
        <v/>
      </c>
      <c r="BJ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F15&gt;=0.45,VLOOKUP(Calculator!E23,tbSkills!DH3:DI6,2,FALSE)+IF(AND(Calculator!B8=TRUE,Backdoors!BI11=TRUE),VLOOKUP(Calculator!E23,tbSkills!DH3:DJ6,3,FALSE),0),0))&gt;=100,100,(Backdoors!AI12+IF(BF15&gt;=0.45,VLOOKUP(Calculator!E23,tbSkills!DH3:DI6,2,FALSE)+IF(AND(Calculator!B8=TRUE,Backdoors!BI11=TRUE),VLOOKUP(Calculator!E23,tbSkills!DH3:DJ6,3,FALSE),0),0)))/100)),1))*IF(VLOOKUP(A15,tbMoveset!A2:K112,11,FALSE)=TRUE,Backdoors!AC5,1))*BG15,0),"")</f>
        <v>0</v>
      </c>
      <c r="BK15" s="49">
        <f>VLOOKUP(A15,tbMoveset!A2:G112,7,FALSE)*IFERROR(IF(Backdoors!AI12&gt;=0,1+(IF(Calculator!E40&gt;0,VLOOKUP(Calculator!E40,tbSkills!AI3:AJ5,2,FALSE),Backdoors!AL4)*(IF((Backdoors!AI12+IF(BF15&gt;=0.45,VLOOKUP(Calculator!E23,tbSkills!DH3:DI6,2,FALSE)+IF(AND(Calculator!B8=TRUE,Backdoors!BI11=TRUE),VLOOKUP(Calculator!E23,tbSkills!DH3:DJ6,3,FALSE),0),0))&gt;=100,100,(Backdoors!AI12+IF(BF15&gt;=0.45,VLOOKUP(Calculator!E23,tbSkills!DH3:DI6,2,FALSE)+IF(AND(Calculator!B8=TRUE,Backdoors!BI11=TRUE),VLOOKUP(Calculator!E23,tbSkills!DH3:DJ6,3,FALSE),0),0)))/100)),1),1)</f>
        <v>0.5</v>
      </c>
      <c r="BL15" s="87">
        <f t="shared" si="4"/>
        <v>0</v>
      </c>
      <c r="BM15" s="86" t="str">
        <f>IFERROR(IF(VLOOKUP(A15,tbMoveset!A2:B112,2,FALSE)="Sever",Backdoors!AY12/100,IF(VLOOKUP(A15,tbMoveset!A2:B112,2,FALSE)="Blunt",Backdoors!AZ12/100,Backdoors!BA12/100)),"")</f>
        <v/>
      </c>
      <c r="BN15" s="49">
        <f>IFERROR(IF(VLOOKUP(tbMoveset!A15,tbMoveset!A2:H112,8,FALSE)="Other",IF(VLOOKUP(tbMoveset!A15,tbMoveset!A2:I112,9,FALSE)="Fire",Backdoors!BB12,IF(VLOOKUP(tbMoveset!A15,tbMoveset!A2:I112,9,FALSE)="Water",Backdoors!BC12,IF(VLOOKUP(tbMoveset!A15,tbMoveset!A2:I112,9,FALSE)="Thunder",Backdoors!BD12,IF(VLOOKUP(tbMoveset!A15,tbMoveset!A2:I112,9,FALSE)="Ice",Backdoors!BE12,IF(VLOOKUP(tbMoveset!A15,tbMoveset!A2:I112,9,FALSE)="Dragon",Backdoors!BF12,Backdoors!BG12)))))/100,Backdoors!BG12/100),"")</f>
        <v>0</v>
      </c>
      <c r="BO15" s="49">
        <f>IFERROR(IF(VLOOKUP(A15,tbMoveset!A2:J112,10,FALSE)=TRUE,IF((Backdoors!AI12+IF(BM15&gt;=0.45,VLOOKUP(Calculator!E23,tbSkills!DH3:DI6,2,FALSE)+IF(AND(Calculator!B8=TRUE,Backdoors!BI12=TRUE),VLOOKUP(Calculator!E23,tbSkills!DH3:DJ6,3,FALSE),0),0))&gt;=0,1+(Backdoors!AL2*(IF((Backdoors!AI12+IF(BM15&gt;=0.45,VLOOKUP(Calculator!E23,tbSkills!DH3:DI6,2,FALSE)+IF(AND(Calculator!B8=TRUE,Backdoors!BI12=TRUE),VLOOKUP(Calculator!E23,tbSkills!DH3:DJ6,3,FALSE),0),0))&gt;=100,100,(Backdoors!AI12+IF(BM15&gt;=0.45,VLOOKUP(Calculator!E23,tbSkills!DH3:DI6,2,FALSE)+IF(AND(Calculator!B8=TRUE,Backdoors!BI12=TRUE),VLOOKUP(Calculator!E23,tbSkills!DH3:DJ6,3,FALSE),0),0)))/100)),(1-(0.25*((-Backdoors!AI12-IF(BM15&gt;=0.45,VLOOKUP(Calculator!E23,tbSkills!DH3:DI6,2,FALSE)+IF(AND(Calculator!B8=TRUE,Backdoors!BI12=TRUE),VLOOKUP(Calculator!E23,tbSkills!DH3:DJ6,3,FALSE),0),0))/100)))),1),"")</f>
        <v>1</v>
      </c>
      <c r="BP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M15)*BO15)*(VLOOKUP(A15,tbMoveset!A2:C112,3,FALSE)/100)*IF(VLOOKUP(A15,tbMoveset!A2:B112,2,FALSE)="Projectile",Backdoors!N10,Backdoors!N9),0),"")</f>
        <v/>
      </c>
      <c r="BQ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M15&gt;=0.45,VLOOKUP(Calculator!E23,tbSkills!DH3:DI6,2,FALSE)+IF(AND(Calculator!B8=TRUE,Backdoors!BI12=TRUE),VLOOKUP(Calculator!E23,tbSkills!DH3:DJ6,3,FALSE),0),0))&gt;=100,100,(Backdoors!AI12+IF(BM15&gt;=0.45,VLOOKUP(Calculator!E23,tbSkills!DH3:DI6,2,FALSE)+IF(AND(Calculator!B8=TRUE,Backdoors!BI12=TRUE),VLOOKUP(Calculator!E23,tbSkills!DH3:DJ6,3,FALSE),0),0)))/100)),1))*IF(VLOOKUP(A15,tbMoveset!A2:K112,11,FALSE)=TRUE,Backdoors!AC5,1))*BN15,0),"")</f>
        <v>0</v>
      </c>
      <c r="BR15" s="49">
        <f>VLOOKUP(A15,tbMoveset!A2:G112,7,FALSE)*IFERROR(IF(Backdoors!AI12&gt;=0,1+(IF(Calculator!E40&gt;0,VLOOKUP(Calculator!E40,tbSkills!AI3:AJ5,2,FALSE),Backdoors!AL4)*(IF((Backdoors!AI12+IF(BM15&gt;=0.45,VLOOKUP(Calculator!E23,tbSkills!DH3:DI6,2,FALSE)+IF(AND(Calculator!B8=TRUE,Backdoors!BI12=TRUE),VLOOKUP(Calculator!E23,tbSkills!DH3:DJ6,3,FALSE),0),0))&gt;=100,100,(Backdoors!AI12+IF(BM15&gt;=0.45,VLOOKUP(Calculator!E23,tbSkills!DH3:DI6,2,FALSE)+IF(AND(Calculator!B8=TRUE,Backdoors!BI12=TRUE),VLOOKUP(Calculator!E23,tbSkills!DH3:DJ6,3,FALSE),0),0)))/100)),1),1)</f>
        <v>0.5</v>
      </c>
      <c r="BS15" s="87">
        <f t="shared" si="39"/>
        <v>0</v>
      </c>
      <c r="BT15" s="86" t="str">
        <f>IFERROR(IF(VLOOKUP(A15,tbMoveset!A2:B112,2,FALSE)="Sever",Backdoors!AY13/100,IF(VLOOKUP(A15,tbMoveset!A2:B112,2,FALSE)="Blunt",Backdoors!AZ13/100,Backdoors!BA13/100)),"")</f>
        <v/>
      </c>
      <c r="BU15" s="49">
        <f>IFERROR(IF(VLOOKUP(tbMoveset!A15,tbMoveset!A2:H112,8,FALSE)="Other",IF(VLOOKUP(tbMoveset!A15,tbMoveset!A2:I112,9,FALSE)="Fire",Backdoors!BB13,IF(VLOOKUP(tbMoveset!A15,tbMoveset!A2:I112,9,FALSE)="Water",Backdoors!BC13,IF(VLOOKUP(tbMoveset!A15,tbMoveset!A2:I112,9,FALSE)="Thunder",Backdoors!BD13,IF(VLOOKUP(tbMoveset!A15,tbMoveset!A2:I112,9,FALSE)="Ice",Backdoors!BE13,IF(VLOOKUP(tbMoveset!A15,tbMoveset!A2:I112,9,FALSE)="Dragon",Backdoors!BF13,Backdoors!BG13)))))/100,Backdoors!BG13/100),"")</f>
        <v>0</v>
      </c>
      <c r="BV15" s="49">
        <f>IFERROR(IF(VLOOKUP(A15,tbMoveset!A2:J112,10,FALSE)=TRUE,IF((Backdoors!AI12+IF(BT15&gt;=0.45,VLOOKUP(Calculator!E23,tbSkills!DH3:DI6,2,FALSE)+IF(AND(Calculator!B8=TRUE,Backdoors!BI13=TRUE),VLOOKUP(Calculator!E23,tbSkills!DH3:DJ6,3,FALSE),0),0))&gt;=0,1+(Backdoors!AL2*(IF((Backdoors!AI12+IF(BT15&gt;=0.45,VLOOKUP(Calculator!E23,tbSkills!DH3:DI6,2,FALSE)+IF(AND(Calculator!B8=TRUE,Backdoors!BI13=TRUE),VLOOKUP(Calculator!E23,tbSkills!DH3:DJ6,3,FALSE),0),0))&gt;=100,100,(Backdoors!AI12+IF(BT15&gt;=0.45,VLOOKUP(Calculator!E23,tbSkills!DH3:DI6,2,FALSE)+IF(AND(Calculator!B8=TRUE,Backdoors!BI13=TRUE),VLOOKUP(Calculator!E23,tbSkills!DH3:DJ6,3,FALSE),0),0)))/100)),(1-(0.25*((-Backdoors!AI12-IF(BT15&gt;=0.45,VLOOKUP(Calculator!E23,tbSkills!DH3:DI6,2,FALSE)+IF(AND(Calculator!B8=TRUE,Backdoors!BI13=TRUE),VLOOKUP(Calculator!E23,tbSkills!DH3:DJ6,3,FALSE),0),0))/100)))),1),"")</f>
        <v>1</v>
      </c>
      <c r="BW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T15)*BV15)*(VLOOKUP(A15,tbMoveset!A2:C112,3,FALSE)/100)*IF(VLOOKUP(A15,tbMoveset!A2:B112,2,FALSE)="Projectile",Backdoors!N10,Backdoors!N9),0),"")</f>
        <v/>
      </c>
      <c r="BX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T15&gt;=0.45,VLOOKUP(Calculator!E23,tbSkills!DH3:DI6,2,FALSE)+IF(AND(Calculator!B8=TRUE,Backdoors!BI13=TRUE),VLOOKUP(Calculator!E23,tbSkills!DH3:DJ6,3,FALSE),0),0))&gt;=100,100,(Backdoors!AI12+IF(BT15&gt;=0.45,VLOOKUP(Calculator!E23,tbSkills!DH3:DI6,2,FALSE)+IF(AND(Calculator!B8=TRUE,Backdoors!BI13=TRUE),VLOOKUP(Calculator!E23,tbSkills!DH3:DJ6,3,FALSE),0),0)))/100)),1))*IF(VLOOKUP(A15,tbMoveset!A2:K112,11,FALSE)=TRUE,Backdoors!AC5,1))*BU15,0),"")</f>
        <v>0</v>
      </c>
      <c r="BY15" s="49">
        <f>VLOOKUP(A15,tbMoveset!A2:G112,7,FALSE)*IFERROR(IF(Backdoors!AI12&gt;=0,1+(IF(Calculator!E40&gt;0,VLOOKUP(Calculator!E40,tbSkills!AI3:AJ5,2,FALSE),Backdoors!AL4)*(IF((Backdoors!AI12+IF(BT15&gt;=0.45,VLOOKUP(Calculator!E23,tbSkills!DH3:DI6,2,FALSE)+IF(AND(Calculator!B8=TRUE,Backdoors!BI13=TRUE),VLOOKUP(Calculator!E23,tbSkills!DH3:DJ6,3,FALSE),0),0))&gt;=100,100,(Backdoors!AI12+IF(BT15&gt;=0.45,VLOOKUP(Calculator!E23,tbSkills!DH3:DI6,2,FALSE)+IF(AND(Calculator!B8=TRUE,Backdoors!BI13=TRUE),VLOOKUP(Calculator!E23,tbSkills!DH3:DJ6,3,FALSE),0),0)))/100)),1),1)</f>
        <v>0.5</v>
      </c>
      <c r="BZ15" s="87">
        <f t="shared" si="5"/>
        <v>0</v>
      </c>
      <c r="CA15" s="86" t="str">
        <f>IFERROR(IF(VLOOKUP(A15,tbMoveset!A2:B112,2,FALSE)="Sever",Backdoors!AY14/100,IF(VLOOKUP(A15,tbMoveset!A2:B112,2,FALSE)="Blunt",Backdoors!AZ14/100,Backdoors!BA14/100)),"")</f>
        <v/>
      </c>
      <c r="CB15" s="49">
        <f>IFERROR(IF(VLOOKUP(tbMoveset!A15,tbMoveset!A2:H112,8,FALSE)="Other",IF(VLOOKUP(tbMoveset!A15,tbMoveset!A2:I112,9,FALSE)="Fire",Backdoors!BB14,IF(VLOOKUP(tbMoveset!A15,tbMoveset!A2:I112,9,FALSE)="Water",Backdoors!BC14,IF(VLOOKUP(tbMoveset!A15,tbMoveset!A2:I112,9,FALSE)="Thunder",Backdoors!BD14,IF(VLOOKUP(tbMoveset!A15,tbMoveset!A2:I112,9,FALSE)="Ice",Backdoors!BE14,IF(VLOOKUP(tbMoveset!A15,tbMoveset!A2:I112,9,FALSE)="Dragon",Backdoors!BF14,Backdoors!BG14)))))/100,Backdoors!BG14/100),"")</f>
        <v>0</v>
      </c>
      <c r="CC15" s="49">
        <f>IFERROR(IF(VLOOKUP(A15,tbMoveset!A2:J112,10,FALSE)=TRUE,IF((Backdoors!AI12+IF(CA15&gt;=0.45,VLOOKUP(Calculator!E23,tbSkills!DH3:DI6,2,FALSE)+IF(AND(Calculator!B8=TRUE,Backdoors!BI14=TRUE),VLOOKUP(Calculator!E23,tbSkills!DH3:DJ6,3,FALSE),0),0))&gt;=0,1+(Backdoors!AL2*(IF((Backdoors!AI12+IF(CA15&gt;=0.45,VLOOKUP(Calculator!E23,tbSkills!DH3:DI6,2,FALSE)+IF(AND(Calculator!B8=TRUE,Backdoors!BI14=TRUE),VLOOKUP(Calculator!E23,tbSkills!DH3:DJ6,3,FALSE),0),0))&gt;=100,100,(Backdoors!AI12+IF(CA15&gt;=0.45,VLOOKUP(Calculator!E23,tbSkills!DH3:DI6,2,FALSE)+IF(AND(Calculator!B8=TRUE,Backdoors!BI14=TRUE),VLOOKUP(Calculator!E23,tbSkills!DH3:DJ6,3,FALSE),0),0)))/100)),(1-(0.25*((-Backdoors!AI12-IF(CA15&gt;=0.45,VLOOKUP(Calculator!E23,tbSkills!DH3:DI6,2,FALSE)+IF(AND(Calculator!B8=TRUE,Backdoors!BI14=TRUE),VLOOKUP(Calculator!E23,tbSkills!DH3:DJ6,3,FALSE),0),0))/100)))),1),"")</f>
        <v>1</v>
      </c>
      <c r="CD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A15)*CC15)*(VLOOKUP(A15,tbMoveset!A2:C112,3,FALSE)/100)*IF(VLOOKUP(A15,tbMoveset!A2:B112,2,FALSE)="Projectile",Backdoors!N10,Backdoors!N9),0),"")</f>
        <v/>
      </c>
      <c r="CE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A15&gt;=0.45,VLOOKUP(Calculator!E23,tbSkills!DH3:DI6,2,FALSE)+IF(AND(Calculator!B8=TRUE,Backdoors!BI14=TRUE),VLOOKUP(Calculator!E23,tbSkills!DH3:DJ6,3,FALSE),0),0))&gt;=100,100,(Backdoors!AI12+IF(CA15&gt;=0.45,VLOOKUP(Calculator!E23,tbSkills!DH3:DI6,2,FALSE)+IF(AND(Calculator!B8=TRUE,Backdoors!BI14=TRUE),VLOOKUP(Calculator!E23,tbSkills!DH3:DJ6,3,FALSE),0),0)))/100)),1))*IF(VLOOKUP(A15,tbMoveset!A2:K112,11,FALSE)=TRUE,Backdoors!AC5,1))*CB15,0),"")</f>
        <v>0</v>
      </c>
      <c r="CF15" s="49">
        <f>VLOOKUP(A15,tbMoveset!A2:G112,7,FALSE)*IFERROR(IF(Backdoors!AI12&gt;=0,1+(IF(Calculator!E40&gt;0,VLOOKUP(Calculator!E40,tbSkills!AI3:AJ5,2,FALSE),Backdoors!AL4)*(IF((Backdoors!AI12+IF(CA15&gt;=0.45,VLOOKUP(Calculator!E23,tbSkills!DH3:DI6,2,FALSE)+IF(AND(Calculator!B8=TRUE,Backdoors!BI14=TRUE),VLOOKUP(Calculator!E23,tbSkills!DH3:DJ6,3,FALSE),0),0))&gt;=100,100,(Backdoors!AI12+IF(CA15&gt;=0.45,VLOOKUP(Calculator!E23,tbSkills!DH3:DI6,2,FALSE)+IF(AND(Calculator!B8=TRUE,Backdoors!BI14=TRUE),VLOOKUP(Calculator!E23,tbSkills!DH3:DJ6,3,FALSE),0),0)))/100)),1),1)</f>
        <v>0.5</v>
      </c>
      <c r="CG15" s="87">
        <f t="shared" si="6"/>
        <v>0</v>
      </c>
      <c r="CH15" s="86" t="str">
        <f>IFERROR(IF(VLOOKUP(A15,tbMoveset!A2:B112,2,FALSE)="Sever",Backdoors!AY15/100,IF(VLOOKUP(A15,tbMoveset!A2:B112,2,FALSE)="Blunt",Backdoors!AZ15/100,Backdoors!BA15/100)),"")</f>
        <v/>
      </c>
      <c r="CI15" s="49">
        <f>IFERROR(IF(VLOOKUP(tbMoveset!A15,tbMoveset!A2:H112,8,FALSE)="Other",IF(VLOOKUP(tbMoveset!A15,tbMoveset!A2:I112,9,FALSE)="Fire",Backdoors!BB15,IF(VLOOKUP(tbMoveset!A15,tbMoveset!A2:I112,9,FALSE)="Water",Backdoors!BC15,IF(VLOOKUP(tbMoveset!A15,tbMoveset!A2:I112,9,FALSE)="Thunder",Backdoors!BD15,IF(VLOOKUP(tbMoveset!A15,tbMoveset!A2:I112,9,FALSE)="Ice",Backdoors!BE15,IF(VLOOKUP(tbMoveset!A15,tbMoveset!A2:I112,9,FALSE)="Dragon",Backdoors!BF15,Backdoors!BG15)))))/100,Backdoors!BG15/100),"")</f>
        <v>0</v>
      </c>
      <c r="CJ15" s="49">
        <f>IFERROR(IF(VLOOKUP(A15,tbMoveset!A2:J112,10,FALSE)=TRUE,IF((Backdoors!AI12+IF(CH15&gt;=0.45,VLOOKUP(Calculator!E23,tbSkills!DH3:DI6,2,FALSE)+IF(AND(Calculator!B8=TRUE,Backdoors!BI15=TRUE),VLOOKUP(Calculator!E23,tbSkills!DH3:DJ6,3,FALSE),0),0))&gt;=0,1+(Backdoors!AL2*(IF((Backdoors!AI12+IF(CH15&gt;=0.45,VLOOKUP(Calculator!E23,tbSkills!DH3:DI6,2,FALSE)+IF(AND(Calculator!B8=TRUE,Backdoors!BI15=TRUE),VLOOKUP(Calculator!E23,tbSkills!DH3:DJ6,3,FALSE),0),0))&gt;=100,100,(Backdoors!AI12+IF(CH15&gt;=0.45,VLOOKUP(Calculator!E23,tbSkills!DH3:DI6,2,FALSE)+IF(AND(Calculator!B8=TRUE,Backdoors!BI15=TRUE),VLOOKUP(Calculator!E23,tbSkills!DH3:DJ6,3,FALSE),0),0)))/100)),(1-(0.25*((-Backdoors!AI12-IF(CH15&gt;=0.45,VLOOKUP(Calculator!E23,tbSkills!DH3:DI6,2,FALSE)+IF(AND(Calculator!B8=TRUE,Backdoors!BI15=TRUE),VLOOKUP(Calculator!E23,tbSkills!DH3:DJ6,3,FALSE),0),0))/100)))),1),"")</f>
        <v>1</v>
      </c>
      <c r="CK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H15)*CJ15)*(VLOOKUP(A15,tbMoveset!A2:C112,3,FALSE)/100)*IF(VLOOKUP(A15,tbMoveset!A2:B112,2,FALSE)="Projectile",Backdoors!N10,Backdoors!N9),0),"")</f>
        <v/>
      </c>
      <c r="CL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H15&gt;=0.45,VLOOKUP(Calculator!E23,tbSkills!DH3:DI6,2,FALSE)+IF(AND(Calculator!B8=TRUE,Backdoors!BI15=TRUE),VLOOKUP(Calculator!E23,tbSkills!DH3:DJ6,3,FALSE),0),0))&gt;=100,100,(Backdoors!AI12+IF(CH15&gt;=0.45,VLOOKUP(Calculator!E23,tbSkills!DH3:DI6,2,FALSE)+IF(AND(Calculator!B8=TRUE,Backdoors!BI15=TRUE),VLOOKUP(Calculator!E23,tbSkills!DH3:DJ6,3,FALSE),0),0)))/100)),1))*IF(VLOOKUP(A15,tbMoveset!A2:K112,11,FALSE)=TRUE,Backdoors!AC5,1))*CI15,0),"")</f>
        <v>0</v>
      </c>
      <c r="CM15" s="49">
        <f>VLOOKUP(A15,tbMoveset!A2:G112,7,FALSE)*IFERROR(IF(Backdoors!AI12&gt;=0,1+(IF(Calculator!E40&gt;0,VLOOKUP(Calculator!E40,tbSkills!AI3:AJ5,2,FALSE),Backdoors!AL4)*(IF((Backdoors!AI12+IF(CH15&gt;=0.45,VLOOKUP(Calculator!E23,tbSkills!DH3:DI6,2,FALSE)+IF(AND(Calculator!B8=TRUE,Backdoors!BI15=TRUE),VLOOKUP(Calculator!E23,tbSkills!DH3:DJ6,3,FALSE),0),0))&gt;=100,100,(Backdoors!AI12+IF(CH15&gt;=0.45,VLOOKUP(Calculator!E23,tbSkills!DH3:DI6,2,FALSE)+IF(AND(Calculator!B8=TRUE,Backdoors!BI15=TRUE),VLOOKUP(Calculator!E23,tbSkills!DH3:DJ6,3,FALSE),0),0)))/100)),1),1)</f>
        <v>0.5</v>
      </c>
      <c r="CN15" s="87">
        <f t="shared" si="7"/>
        <v>0</v>
      </c>
      <c r="CO15" s="86" t="str">
        <f>IFERROR(IF(VLOOKUP(A15,tbMoveset!A2:B112,2,FALSE)="Sever",Backdoors!AY16/100,IF(VLOOKUP(A15,tbMoveset!A2:B112,2,FALSE)="Blunt",Backdoors!AZ16/100,Backdoors!BA16/100)),"")</f>
        <v/>
      </c>
      <c r="CP15" s="49">
        <f>IFERROR(IF(VLOOKUP(tbMoveset!A15,tbMoveset!A2:H112,8,FALSE)="Other",IF(VLOOKUP(tbMoveset!A15,tbMoveset!A2:I112,9,FALSE)="Fire",Backdoors!BB16,IF(VLOOKUP(tbMoveset!A15,tbMoveset!A2:I112,9,FALSE)="Water",Backdoors!BC16,IF(VLOOKUP(tbMoveset!A15,tbMoveset!A2:I112,9,FALSE)="Thunder",Backdoors!BD16,IF(VLOOKUP(tbMoveset!A15,tbMoveset!A2:I112,9,FALSE)="Ice",Backdoors!BE16,IF(VLOOKUP(tbMoveset!A15,tbMoveset!A2:I112,9,FALSE)="Dragon",Backdoors!BF16,Backdoors!BG16)))))/100,Backdoors!BG16/100),"")</f>
        <v>0</v>
      </c>
      <c r="CQ15" s="49">
        <f>IFERROR(IF(VLOOKUP(A15,tbMoveset!A2:J112,10,FALSE)=TRUE,IF((Backdoors!AI12+IF(CO15&gt;=0.45,VLOOKUP(Calculator!E23,tbSkills!DH3:DI6,2,FALSE)+IF(AND(Calculator!B8=TRUE,Backdoors!BI16=TRUE),VLOOKUP(Calculator!E23,tbSkills!DH3:DJ6,3,FALSE),0),0))&gt;=0,1+(Backdoors!AL2*(IF((Backdoors!AI12+IF(CO15&gt;=0.45,VLOOKUP(Calculator!E23,tbSkills!DH3:DI6,2,FALSE)+IF(AND(Calculator!B8=TRUE,Backdoors!BI16=TRUE),VLOOKUP(Calculator!E23,tbSkills!DH3:DJ6,3,FALSE),0),0))&gt;=100,100,(Backdoors!AI12+IF(CO15&gt;=0.45,VLOOKUP(Calculator!E23,tbSkills!DH3:DI6,2,FALSE)+IF(AND(Calculator!B8=TRUE,Backdoors!BI16=TRUE),VLOOKUP(Calculator!E23,tbSkills!DH3:DJ6,3,FALSE),0),0)))/100)),(1-(0.25*((-Backdoors!AI12-IF(CO15&gt;=0.45,VLOOKUP(Calculator!E23,tbSkills!DH3:DI6,2,FALSE)+IF(AND(Calculator!B8=TRUE,Backdoors!BI16=TRUE),VLOOKUP(Calculator!E23,tbSkills!DH3:DJ6,3,FALSE),0),0))/100)))),1),"")</f>
        <v>1</v>
      </c>
      <c r="CR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O15)*CQ15)*(VLOOKUP(A15,tbMoveset!A2:C112,3,FALSE)/100)*IF(VLOOKUP(A15,tbMoveset!A2:B112,2,FALSE)="Projectile",Backdoors!N10,Backdoors!N9),0),"")</f>
        <v/>
      </c>
      <c r="CS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O15&gt;=0.45,VLOOKUP(Calculator!E23,tbSkills!DH3:DI6,2,FALSE)+IF(AND(Calculator!B8=TRUE,Backdoors!BI16=TRUE),VLOOKUP(Calculator!E23,tbSkills!DH3:DJ6,3,FALSE),0),0))&gt;=100,100,(Backdoors!AI12+IF(CO15&gt;=0.45,VLOOKUP(Calculator!E23,tbSkills!DH3:DI6,2,FALSE)+IF(AND(Calculator!B8=TRUE,Backdoors!BI16=TRUE),VLOOKUP(Calculator!E23,tbSkills!DH3:DJ6,3,FALSE),0),0)))/100)),1))*IF(VLOOKUP(A15,tbMoveset!A2:K112,11,FALSE)=TRUE,Backdoors!AC5,1))*CP15,0),"")</f>
        <v>0</v>
      </c>
      <c r="CT15" s="49">
        <f>VLOOKUP(A15,tbMoveset!A2:G112,7,FALSE)*IFERROR(IF(Backdoors!AI12&gt;=0,1+(IF(Calculator!E40&gt;0,VLOOKUP(Calculator!E40,tbSkills!AI3:AJ5,2,FALSE),Backdoors!AL4)*(IF((Backdoors!AI12+IF(CO15&gt;=0.45,VLOOKUP(Calculator!E23,tbSkills!DH3:DI6,2,FALSE)+IF(AND(Calculator!B8=TRUE,Backdoors!BI16=TRUE),VLOOKUP(Calculator!E23,tbSkills!DH3:DJ6,3,FALSE),0),0))&gt;=100,100,(Backdoors!AI12+IF(CO15&gt;=0.45,VLOOKUP(Calculator!E23,tbSkills!DH3:DI6,2,FALSE)+IF(AND(Calculator!B8=TRUE,Backdoors!BI16=TRUE),VLOOKUP(Calculator!E23,tbSkills!DH3:DJ6,3,FALSE),0),0)))/100)),1),1)</f>
        <v>0.5</v>
      </c>
      <c r="CU15" s="87">
        <f t="shared" si="40"/>
        <v>0</v>
      </c>
      <c r="CV15" s="86" t="str">
        <f>IFERROR(IF(VLOOKUP(A15,tbMoveset!A2:B112,2,FALSE)="Sever",Backdoors!AY17/100,IF(VLOOKUP(A15,tbMoveset!A2:B112,2,FALSE)="Blunt",Backdoors!AZ17/100,Backdoors!BA17/100)),"")</f>
        <v/>
      </c>
      <c r="CW15" s="49">
        <f>IFERROR(IF(VLOOKUP(tbMoveset!A15,tbMoveset!A2:H112,8,FALSE)="Other",IF(VLOOKUP(tbMoveset!A15,tbMoveset!A2:I112,9,FALSE)="Fire",Backdoors!BB17,IF(VLOOKUP(tbMoveset!A15,tbMoveset!A2:I112,9,FALSE)="Water",Backdoors!BC17,IF(VLOOKUP(tbMoveset!A15,tbMoveset!A2:I112,9,FALSE)="Thunder",Backdoors!BD17,IF(VLOOKUP(tbMoveset!A15,tbMoveset!A2:I112,9,FALSE)="Ice",Backdoors!BE17,IF(VLOOKUP(tbMoveset!A15,tbMoveset!A2:I112,9,FALSE)="Dragon",Backdoors!BF17,Backdoors!BG17)))))/100,Backdoors!BG17/100),"")</f>
        <v>0</v>
      </c>
      <c r="CX15" s="49">
        <f>IFERROR(IF(VLOOKUP(A15,tbMoveset!A2:J112,10,FALSE)=TRUE,IF((Backdoors!AI12+IF(CV15&gt;=0.45,VLOOKUP(Calculator!E23,tbSkills!DH3:DI6,2,FALSE)+IF(AND(Calculator!B8=TRUE,Backdoors!BI17=TRUE),VLOOKUP(Calculator!E23,tbSkills!DH3:DJ6,3,FALSE),0),0))&gt;=0,1+(Backdoors!AL2*(IF((Backdoors!AI12+IF(CV15&gt;=0.45,VLOOKUP(Calculator!E23,tbSkills!DH3:DI6,2,FALSE)+IF(AND(Calculator!B8=TRUE,Backdoors!BI17=TRUE),VLOOKUP(Calculator!E23,tbSkills!DH3:DJ6,3,FALSE),0),0))&gt;=100,100,(Backdoors!AI12+IF(CV15&gt;=0.45,VLOOKUP(Calculator!E23,tbSkills!DH3:DI6,2,FALSE)+IF(AND(Calculator!B8=TRUE,Backdoors!BI17=TRUE),VLOOKUP(Calculator!E23,tbSkills!DH3:DJ6,3,FALSE),0),0)))/100)),(1-(0.25*((-Backdoors!AI12-IF(CV15&gt;=0.45,VLOOKUP(Calculator!E23,tbSkills!DH3:DI6,2,FALSE)+IF(AND(Calculator!B8=TRUE,Backdoors!BI17=TRUE),VLOOKUP(Calculator!E23,tbSkills!DH3:DJ6,3,FALSE),0),0))/100)))),1),"")</f>
        <v>1</v>
      </c>
      <c r="CY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V15)*CX15)*(VLOOKUP(A15,tbMoveset!A2:C112,3,FALSE)/100)*IF(VLOOKUP(A15,tbMoveset!A2:B112,2,FALSE)="Projectile",Backdoors!N10,Backdoors!N9),0),"")</f>
        <v/>
      </c>
      <c r="CZ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V15&gt;=0.45,VLOOKUP(Calculator!E23,tbSkills!DH3:DI6,2,FALSE)+IF(AND(Calculator!B8=TRUE,Backdoors!BI17=TRUE),VLOOKUP(Calculator!E23,tbSkills!DH3:DJ6,3,FALSE),0),0))&gt;=100,100,(Backdoors!AI12+IF(CV15&gt;=0.45,VLOOKUP(Calculator!E23,tbSkills!DH3:DI6,2,FALSE)+IF(AND(Calculator!B8=TRUE,Backdoors!BI17=TRUE),VLOOKUP(Calculator!E23,tbSkills!DH3:DJ6,3,FALSE),0),0)))/100)),1))*IF(VLOOKUP(A15,tbMoveset!A2:K112,11,FALSE)=TRUE,Backdoors!AC5,1))*CW15,0),"")</f>
        <v>0</v>
      </c>
      <c r="DA15" s="49">
        <f>VLOOKUP(A15,tbMoveset!A2:G112,7,FALSE)*IFERROR(IF(Backdoors!AI12&gt;=0,1+(IF(Calculator!E40&gt;0,VLOOKUP(Calculator!E40,tbSkills!AI3:AJ5,2,FALSE),Backdoors!AL4)*(IF((Backdoors!AI12+IF(CV15&gt;=0.45,VLOOKUP(Calculator!E23,tbSkills!DH3:DI6,2,FALSE)+IF(AND(Calculator!B8=TRUE,Backdoors!BI17=TRUE),VLOOKUP(Calculator!E23,tbSkills!DH3:DJ6,3,FALSE),0),0))&gt;=100,100,(Backdoors!AI12+IF(CV15&gt;=0.45,VLOOKUP(Calculator!E23,tbSkills!DH3:DI6,2,FALSE)+IF(AND(Calculator!B8=TRUE,Backdoors!BI17=TRUE),VLOOKUP(Calculator!E23,tbSkills!DH3:DJ6,3,FALSE),0),0)))/100)),1),1)</f>
        <v>0.5</v>
      </c>
      <c r="DB15" s="87">
        <f t="shared" si="8"/>
        <v>0</v>
      </c>
      <c r="DC15" s="86" t="str">
        <f>IFERROR(IF(VLOOKUP(A15,tbMoveset!A2:B112,2,FALSE)="Sever",Backdoors!AY18/100,IF(VLOOKUP(A15,tbMoveset!A2:B112,2,FALSE)="Blunt",Backdoors!AZ18/100,Backdoors!BA18/100)),"")</f>
        <v/>
      </c>
      <c r="DD15" s="49">
        <f>IFERROR(IF(VLOOKUP(tbMoveset!A15,tbMoveset!A2:H112,8,FALSE)="Other",IF(VLOOKUP(tbMoveset!A15,tbMoveset!A2:I112,9,FALSE)="Fire",Backdoors!BB18,IF(VLOOKUP(tbMoveset!A15,tbMoveset!A2:I112,9,FALSE)="Water",Backdoors!BC18,IF(VLOOKUP(tbMoveset!A15,tbMoveset!A2:I112,9,FALSE)="Thunder",Backdoors!BD18,IF(VLOOKUP(tbMoveset!A15,tbMoveset!A2:I112,9,FALSE)="Ice",Backdoors!BE18,IF(VLOOKUP(tbMoveset!A15,tbMoveset!A2:I112,9,FALSE)="Dragon",Backdoors!BF18,Backdoors!BG18)))))/100,Backdoors!BG18/100),"")</f>
        <v>0</v>
      </c>
      <c r="DE15" s="49">
        <f>IFERROR(IF(VLOOKUP(A15,tbMoveset!A2:J112,10,FALSE)=TRUE,IF((Backdoors!AI12+IF(DC15&gt;=0.45,VLOOKUP(Calculator!E23,tbSkills!DH3:DI6,2,FALSE)+IF(AND(Calculator!B8=TRUE,Backdoors!BI18=TRUE),VLOOKUP(Calculator!E23,tbSkills!DH3:DJ6,3,FALSE),0),0))&gt;=0,1+(Backdoors!AL2*(IF((Backdoors!AI12+IF(DC15&gt;=0.45,VLOOKUP(Calculator!E23,tbSkills!DH3:DI6,2,FALSE)+IF(AND(Calculator!B8=TRUE,Backdoors!BI18=TRUE),VLOOKUP(Calculator!E23,tbSkills!DH3:DJ6,3,FALSE),0),0))&gt;=100,100,(Backdoors!AI12+IF(DC15&gt;=0.45,VLOOKUP(Calculator!E23,tbSkills!DH3:DI6,2,FALSE)+IF(AND(Calculator!B8=TRUE,Backdoors!BI18=TRUE),VLOOKUP(Calculator!E23,tbSkills!DH3:DJ6,3,FALSE),0),0)))/100)),(1-(0.25*((-Backdoors!AI12-IF(DC15&gt;=0.45,VLOOKUP(Calculator!E23,tbSkills!DH3:DI6,2,FALSE)+IF(AND(Calculator!B8=TRUE,Backdoors!BI18=TRUE),VLOOKUP(Calculator!E23,tbSkills!DH3:DJ6,3,FALSE),0),0))/100)))),1),"")</f>
        <v>1</v>
      </c>
      <c r="DF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C15)*DE15)*(VLOOKUP(A15,tbMoveset!A2:C112,3,FALSE)/100)*IF(VLOOKUP(A15,tbMoveset!A2:B112,2,FALSE)="Projectile",Backdoors!N10,Backdoors!N9),0),"")</f>
        <v/>
      </c>
      <c r="DG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C15&gt;=0.45,VLOOKUP(Calculator!E23,tbSkills!DH3:DI6,2,FALSE)+IF(AND(Calculator!B8=TRUE,Backdoors!BI18=TRUE),VLOOKUP(Calculator!E23,tbSkills!DH3:DJ6,3,FALSE),0),0))&gt;=100,100,(Backdoors!AI12+IF(DC15&gt;=0.45,VLOOKUP(Calculator!E23,tbSkills!DH3:DI6,2,FALSE)+IF(AND(Calculator!B8=TRUE,Backdoors!BI18=TRUE),VLOOKUP(Calculator!E23,tbSkills!DH3:DJ6,3,FALSE),0),0)))/100)),1))*IF(VLOOKUP(A15,tbMoveset!A2:K112,11,FALSE)=TRUE,Backdoors!AC5,1))*DD15,0),"")</f>
        <v>0</v>
      </c>
      <c r="DH15" s="49">
        <f>VLOOKUP(A15,tbMoveset!A2:G112,7,FALSE)*IFERROR(IF(Backdoors!AI12&gt;=0,1+(IF(Calculator!E40&gt;0,VLOOKUP(Calculator!E40,tbSkills!AI3:AJ5,2,FALSE),Backdoors!AL4)*(IF((Backdoors!AI12+IF(DC15&gt;=0.45,VLOOKUP(Calculator!E23,tbSkills!DH3:DI6,2,FALSE)+IF(AND(Calculator!B8=TRUE,Backdoors!BI18=TRUE),VLOOKUP(Calculator!E23,tbSkills!DH3:DJ6,3,FALSE),0),0))&gt;=100,100,(Backdoors!AI12+IF(DC15&gt;=0.45,VLOOKUP(Calculator!E23,tbSkills!DH3:DI6,2,FALSE)+IF(AND(Calculator!B8=TRUE,Backdoors!BI18=TRUE),VLOOKUP(Calculator!E23,tbSkills!DH3:DJ6,3,FALSE),0),0)))/100)),1),1)</f>
        <v>0.5</v>
      </c>
      <c r="DI15" s="87">
        <f t="shared" si="9"/>
        <v>0</v>
      </c>
      <c r="DJ15" s="86" t="str">
        <f>IFERROR(IF(VLOOKUP(A15,tbMoveset!A2:B112,2,FALSE)="Sever",Backdoors!AY19/100,IF(VLOOKUP(A15,tbMoveset!A2:B112,2,FALSE)="Blunt",Backdoors!AZ19/100,Backdoors!BA19/100)),"")</f>
        <v/>
      </c>
      <c r="DK15" s="49">
        <f>IFERROR(IF(VLOOKUP(tbMoveset!A15,tbMoveset!A2:H112,8,FALSE)="Other",IF(VLOOKUP(tbMoveset!A15,tbMoveset!A2:I112,9,FALSE)="Fire",Backdoors!BB19,IF(VLOOKUP(tbMoveset!A15,tbMoveset!A2:I112,9,FALSE)="Water",Backdoors!BC19,IF(VLOOKUP(tbMoveset!A15,tbMoveset!A2:I112,9,FALSE)="Thunder",Backdoors!BD19,IF(VLOOKUP(tbMoveset!A15,tbMoveset!A2:I112,9,FALSE)="Ice",Backdoors!BE19,IF(VLOOKUP(tbMoveset!A15,tbMoveset!A2:I112,9,FALSE)="Dragon",Backdoors!BF19,Backdoors!BG19)))))/100,Backdoors!BG19/100),"")</f>
        <v>0</v>
      </c>
      <c r="DL15" s="49">
        <f>IFERROR(IF(VLOOKUP(A15,tbMoveset!A2:J112,10,FALSE)=TRUE,IF((Backdoors!AI12+IF(DJ15&gt;=0.45,VLOOKUP(Calculator!E23,tbSkills!DH3:DI6,2,FALSE)+IF(AND(Calculator!B8=TRUE,Backdoors!BI19=TRUE),VLOOKUP(Calculator!E23,tbSkills!DH3:DJ6,3,FALSE),0),0))&gt;=0,1+(Backdoors!AL2*(IF((Backdoors!AI12+IF(DJ15&gt;=0.45,VLOOKUP(Calculator!E23,tbSkills!DH3:DI6,2,FALSE)+IF(AND(Calculator!B8=TRUE,Backdoors!BI19=TRUE),VLOOKUP(Calculator!E23,tbSkills!DH3:DJ6,3,FALSE),0),0))&gt;=100,100,(Backdoors!AI12+IF(DJ15&gt;=0.45,VLOOKUP(Calculator!E23,tbSkills!DH3:DI6,2,FALSE)+IF(AND(Calculator!B8=TRUE,Backdoors!BI19=TRUE),VLOOKUP(Calculator!E23,tbSkills!DH3:DJ6,3,FALSE),0),0)))/100)),(1-(0.25*((-Backdoors!AI12-IF(DJ15&gt;=0.45,VLOOKUP(Calculator!E23,tbSkills!DH3:DI6,2,FALSE)+IF(AND(Calculator!B8=TRUE,Backdoors!BI19=TRUE),VLOOKUP(Calculator!E23,tbSkills!DH3:DJ6,3,FALSE),0),0))/100)))),1),"")</f>
        <v>1</v>
      </c>
      <c r="DM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J15)*DL15)*(VLOOKUP(A15,tbMoveset!A2:C112,3,FALSE)/100)*IF(VLOOKUP(A15,tbMoveset!A2:B112,2,FALSE)="Projectile",Backdoors!N10,Backdoors!N9),0),"")</f>
        <v/>
      </c>
      <c r="DN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J15&gt;=0.45,VLOOKUP(Calculator!E23,tbSkills!DH3:DI6,2,FALSE)+IF(AND(Calculator!B8=TRUE,Backdoors!BI19=TRUE),VLOOKUP(Calculator!E23,tbSkills!DH3:DJ6,3,FALSE),0),0))&gt;=100,100,(Backdoors!AI12+IF(DJ15&gt;=0.45,VLOOKUP(Calculator!E23,tbSkills!DH3:DI6,2,FALSE)+IF(AND(Calculator!B8=TRUE,Backdoors!BI19=TRUE),VLOOKUP(Calculator!E23,tbSkills!DH3:DJ6,3,FALSE),0),0)))/100)),1))*IF(VLOOKUP(A15,tbMoveset!A2:K112,11,FALSE)=TRUE,Backdoors!AC5,1))*DK15,0),"")</f>
        <v>0</v>
      </c>
      <c r="DO15" s="49">
        <f>VLOOKUP(A15,tbMoveset!A2:G112,7,FALSE)*IFERROR(IF(Backdoors!AI12&gt;=0,1+(IF(Calculator!E40&gt;0,VLOOKUP(Calculator!E40,tbSkills!AI3:AJ5,2,FALSE),Backdoors!AL4)*(IF((Backdoors!AI12+IF(DJ15&gt;=0.45,VLOOKUP(Calculator!E23,tbSkills!DH3:DI6,2,FALSE)+IF(AND(Calculator!B8=TRUE,Backdoors!BI19=TRUE),VLOOKUP(Calculator!E23,tbSkills!DH3:DJ6,3,FALSE),0),0))&gt;=100,100,(Backdoors!AI12+IF(DJ15&gt;=0.45,VLOOKUP(Calculator!E23,tbSkills!DH3:DI6,2,FALSE)+IF(AND(Calculator!B8=TRUE,Backdoors!BI19=TRUE),VLOOKUP(Calculator!E23,tbSkills!DH3:DJ6,3,FALSE),0),0)))/100)),1),1)</f>
        <v>0.5</v>
      </c>
      <c r="DP15" s="87">
        <f t="shared" si="41"/>
        <v>0</v>
      </c>
      <c r="DQ15" s="86" t="str">
        <f>IFERROR(IF(VLOOKUP(A15,tbMoveset!A2:B112,2,FALSE)="Sever",Backdoors!AY20/100,IF(VLOOKUP(A15,tbMoveset!A2:B112,2,FALSE)="Blunt",Backdoors!AZ20/100,Backdoors!BA20/100)),"")</f>
        <v/>
      </c>
      <c r="DR15" s="49">
        <f>IFERROR(IF(VLOOKUP(tbMoveset!A15,tbMoveset!A2:H112,8,FALSE)="Other",IF(VLOOKUP(tbMoveset!A15,tbMoveset!A2:I112,9,FALSE)="Fire",Backdoors!BB20,IF(VLOOKUP(tbMoveset!A15,tbMoveset!A2:I112,9,FALSE)="Water",Backdoors!BC20,IF(VLOOKUP(tbMoveset!A15,tbMoveset!A2:I112,9,FALSE)="Thunder",Backdoors!BD20,IF(VLOOKUP(tbMoveset!A15,tbMoveset!A2:I112,9,FALSE)="Ice",Backdoors!BE20,IF(VLOOKUP(tbMoveset!A15,tbMoveset!A2:I112,9,FALSE)="Dragon",Backdoors!BF20,Backdoors!BG20)))))/100,Backdoors!BG20/100),"")</f>
        <v>0</v>
      </c>
      <c r="DS15" s="49">
        <f>IFERROR(IF(VLOOKUP(A15,tbMoveset!A2:J112,10,FALSE)=TRUE,IF((Backdoors!AI12+IF(DQ15&gt;=0.45,VLOOKUP(Calculator!E23,tbSkills!DH3:DI6,2,FALSE)+IF(AND(Calculator!B8=TRUE,Backdoors!BI20=TRUE),VLOOKUP(Calculator!E23,tbSkills!DH3:DJ6,3,FALSE),0),0))&gt;=0,1+(Backdoors!AL2*(IF((Backdoors!AI12+IF(DQ15&gt;=0.45,VLOOKUP(Calculator!E23,tbSkills!DH3:DI6,2,FALSE)+IF(AND(Calculator!B8=TRUE,Backdoors!BI20=TRUE),VLOOKUP(Calculator!E23,tbSkills!DH3:DJ6,3,FALSE),0),0))&gt;=100,100,(Backdoors!AI12+IF(DQ15&gt;=0.45,VLOOKUP(Calculator!E23,tbSkills!DH3:DI6,2,FALSE)+IF(AND(Calculator!B8=TRUE,Backdoors!BI20=TRUE),VLOOKUP(Calculator!E23,tbSkills!DH3:DJ6,3,FALSE),0),0)))/100)),(1-(0.25*((-Backdoors!AI12-IF(DQ15&gt;=0.45,VLOOKUP(Calculator!E23,tbSkills!DH3:DI6,2,FALSE)+IF(AND(Calculator!B8=TRUE,Backdoors!BI20=TRUE),VLOOKUP(Calculator!E23,tbSkills!DH3:DJ6,3,FALSE),0),0))/100)))),1),"")</f>
        <v>1</v>
      </c>
      <c r="DT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Q15)*DS15)*(VLOOKUP(A15,tbMoveset!A2:C112,3,FALSE)/100)*IF(VLOOKUP(A15,tbMoveset!A2:B112,2,FALSE)="Projectile",Backdoors!N10,Backdoors!N9),0),"")</f>
        <v/>
      </c>
      <c r="DU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Q15&gt;=0.45,VLOOKUP(Calculator!E23,tbSkills!DH3:DI6,2,FALSE)+IF(AND(Calculator!B8=TRUE,Backdoors!BI20=TRUE),VLOOKUP(Calculator!E23,tbSkills!DH3:DJ6,3,FALSE),0),0))&gt;=100,100,(Backdoors!AI12+IF(DQ15&gt;=0.45,VLOOKUP(Calculator!E23,tbSkills!DH3:DI6,2,FALSE)+IF(AND(Calculator!B8=TRUE,Backdoors!BI20=TRUE),VLOOKUP(Calculator!E23,tbSkills!DH3:DJ6,3,FALSE),0),0)))/100)),1))*IF(VLOOKUP(A15,tbMoveset!A2:K112,11,FALSE)=TRUE,Backdoors!AC5,1))*DR15,0),"")</f>
        <v>0</v>
      </c>
      <c r="DV15" s="49">
        <f>VLOOKUP(A15,tbMoveset!A2:G112,7,FALSE)*IFERROR(IF(Backdoors!AI12&gt;=0,1+(IF(Calculator!E40&gt;0,VLOOKUP(Calculator!E40,tbSkills!AI3:AJ5,2,FALSE),Backdoors!AL4)*(IF((Backdoors!AI12+IF(DQ15&gt;=0.45,VLOOKUP(Calculator!E23,tbSkills!DH3:DI6,2,FALSE)+IF(AND(Calculator!B8=TRUE,Backdoors!BI20=TRUE),VLOOKUP(Calculator!E23,tbSkills!DH3:DJ6,3,FALSE),0),0))&gt;=100,100,(Backdoors!AI12+IF(DQ15&gt;=0.45,VLOOKUP(Calculator!E23,tbSkills!DH3:DI6,2,FALSE)+IF(AND(Calculator!B8=TRUE,Backdoors!BI20=TRUE),VLOOKUP(Calculator!E23,tbSkills!DH3:DJ6,3,FALSE),0),0)))/100)),1),1)</f>
        <v>0.5</v>
      </c>
      <c r="DW15" s="87">
        <f t="shared" si="10"/>
        <v>0</v>
      </c>
      <c r="DX15" s="86" t="str">
        <f>IFERROR(IF(VLOOKUP(A15,tbMoveset!A2:B112,2,FALSE)="Sever",Backdoors!AY21/100,IF(VLOOKUP(A15,tbMoveset!A2:B112,2,FALSE)="Blunt",Backdoors!AZ21/100,Backdoors!BA21/100)),"")</f>
        <v/>
      </c>
      <c r="DY15" s="49">
        <f>IFERROR(IF(VLOOKUP(tbMoveset!A15,tbMoveset!A2:H112,8,FALSE)="Other",IF(VLOOKUP(tbMoveset!A15,tbMoveset!A2:I112,9,FALSE)="Fire",Backdoors!BB21,IF(VLOOKUP(tbMoveset!A15,tbMoveset!A2:I112,9,FALSE)="Water",Backdoors!BC21,IF(VLOOKUP(tbMoveset!A15,tbMoveset!A2:I112,9,FALSE)="Thunder",Backdoors!BD21,IF(VLOOKUP(tbMoveset!A15,tbMoveset!A2:I112,9,FALSE)="Ice",Backdoors!BE21,IF(VLOOKUP(tbMoveset!A15,tbMoveset!A2:I112,9,FALSE)="Dragon",Backdoors!BF21,Backdoors!BG21)))))/100,Backdoors!BG21/100),"")</f>
        <v>0</v>
      </c>
      <c r="DZ15" s="49">
        <f>IFERROR(IF(VLOOKUP(A15,tbMoveset!A2:J112,10,FALSE)=TRUE,IF((Backdoors!AI12+IF(DX15&gt;=0.45,VLOOKUP(Calculator!E23,tbSkills!DH3:DI6,2,FALSE)+IF(AND(Calculator!B8=TRUE,Backdoors!BI21=TRUE),VLOOKUP(Calculator!E23,tbSkills!DH3:DJ6,3,FALSE),0),0))&gt;=0,1+(Backdoors!AL2*(IF((Backdoors!AI12+IF(DX15&gt;=0.45,VLOOKUP(Calculator!E23,tbSkills!DH3:DI6,2,FALSE)+IF(AND(Calculator!B8=TRUE,Backdoors!BI21=TRUE),VLOOKUP(Calculator!E23,tbSkills!DH3:DJ6,3,FALSE),0),0))&gt;=100,100,(Backdoors!AI12+IF(DX15&gt;=0.45,VLOOKUP(Calculator!E23,tbSkills!DH3:DI6,2,FALSE)+IF(AND(Calculator!B8=TRUE,Backdoors!BI21=TRUE),VLOOKUP(Calculator!E23,tbSkills!DH3:DJ6,3,FALSE),0),0)))/100)),(1-(0.25*((-Backdoors!AI12-IF(DX15&gt;=0.45,VLOOKUP(Calculator!E23,tbSkills!DH3:DI6,2,FALSE)+IF(AND(Calculator!B8=TRUE,Backdoors!BI21=TRUE),VLOOKUP(Calculator!E23,tbSkills!DH3:DJ6,3,FALSE),0),0))/100)))),1),"")</f>
        <v>1</v>
      </c>
      <c r="EA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X15)*DZ15)*(VLOOKUP(A15,tbMoveset!A2:C112,3,FALSE)/100)*IF(VLOOKUP(A15,tbMoveset!A2:B112,2,FALSE)="Projectile",Backdoors!N10,Backdoors!N9),0),"")</f>
        <v/>
      </c>
      <c r="EB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X15&gt;=0.45,VLOOKUP(Calculator!E23,tbSkills!DH3:DI6,2,FALSE)+IF(AND(Calculator!B8=TRUE,Backdoors!BI21=TRUE),VLOOKUP(Calculator!E23,tbSkills!DH3:DJ6,3,FALSE),0),0))&gt;=100,100,(Backdoors!AI12+IF(DX15&gt;=0.45,VLOOKUP(Calculator!E23,tbSkills!DH3:DI6,2,FALSE)+IF(AND(Calculator!B8=TRUE,Backdoors!BI21=TRUE),VLOOKUP(Calculator!E23,tbSkills!DH3:DJ6,3,FALSE),0),0)))/100)),1))*IF(VLOOKUP(A15,tbMoveset!A2:K112,11,FALSE)=TRUE,Backdoors!AC5,1))*DY15,0),"")</f>
        <v>0</v>
      </c>
      <c r="EC15" s="49">
        <f>VLOOKUP(A15,tbMoveset!A2:G112,7,FALSE)*IFERROR(IF(Backdoors!AI12&gt;=0,1+(IF(Calculator!E40&gt;0,VLOOKUP(Calculator!E40,tbSkills!AI3:AJ5,2,FALSE),Backdoors!AL4)*(IF((Backdoors!AI12+IF(DX15&gt;=0.45,VLOOKUP(Calculator!E23,tbSkills!DH3:DI6,2,FALSE)+IF(AND(Calculator!B8=TRUE,Backdoors!BI21=TRUE),VLOOKUP(Calculator!E23,tbSkills!DH3:DJ6,3,FALSE),0),0))&gt;=100,100,(Backdoors!AI12+IF(DX15&gt;=0.45,VLOOKUP(Calculator!E23,tbSkills!DH3:DI6,2,FALSE)+IF(AND(Calculator!B8=TRUE,Backdoors!BI21=TRUE),VLOOKUP(Calculator!E23,tbSkills!DH3:DJ6,3,FALSE),0),0)))/100)),1),1)</f>
        <v>0.5</v>
      </c>
      <c r="ED15" s="87">
        <f t="shared" si="11"/>
        <v>0</v>
      </c>
      <c r="EE15" s="86" t="str">
        <f>IFERROR(IF(VLOOKUP(A15,tbMoveset!A2:B112,2,FALSE)="Sever",Backdoors!AY22/100,IF(VLOOKUP(A15,tbMoveset!A2:B112,2,FALSE)="Blunt",Backdoors!AZ22/100,Backdoors!BA22/100)),"")</f>
        <v/>
      </c>
      <c r="EF15" s="49">
        <f>IFERROR(IF(VLOOKUP(tbMoveset!A15,tbMoveset!A2:H112,8,FALSE)="Other",IF(VLOOKUP(tbMoveset!A15,tbMoveset!A2:I112,9,FALSE)="Fire",Backdoors!BB22,IF(VLOOKUP(tbMoveset!A15,tbMoveset!A2:I112,9,FALSE)="Water",Backdoors!BC22,IF(VLOOKUP(tbMoveset!A15,tbMoveset!A2:I112,9,FALSE)="Thunder",Backdoors!BD22,IF(VLOOKUP(tbMoveset!A15,tbMoveset!A2:I112,9,FALSE)="Ice",Backdoors!BE22,IF(VLOOKUP(tbMoveset!A15,tbMoveset!A2:I112,9,FALSE)="Dragon",Backdoors!BF22,Backdoors!BG22)))))/100,Backdoors!BG22/100),"")</f>
        <v>0</v>
      </c>
      <c r="EG15" s="49">
        <f>IFERROR(IF(VLOOKUP(A15,tbMoveset!A2:J112,10,FALSE)=TRUE,IF((Backdoors!AI12+IF(EE15&gt;=0.45,VLOOKUP(Calculator!E23,tbSkills!DH3:DI6,2,FALSE)+IF(AND(Calculator!B8=TRUE,Backdoors!BI22=TRUE),VLOOKUP(Calculator!E23,tbSkills!DH3:DJ6,3,FALSE),0),0))&gt;=0,1+(Backdoors!AL2*(IF((Backdoors!AI12+IF(EE15&gt;=0.45,VLOOKUP(Calculator!E23,tbSkills!DH3:DI6,2,FALSE)+IF(AND(Calculator!B8=TRUE,Backdoors!BI22=TRUE),VLOOKUP(Calculator!E23,tbSkills!DH3:DJ6,3,FALSE),0),0))&gt;=100,100,(Backdoors!AI12+IF(EE15&gt;=0.45,VLOOKUP(Calculator!E23,tbSkills!DH3:DI6,2,FALSE)+IF(AND(Calculator!B8=TRUE,Backdoors!BI22=TRUE),VLOOKUP(Calculator!E23,tbSkills!DH3:DJ6,3,FALSE),0),0)))/100)),(1-(0.25*((-Backdoors!AI12-IF(EE15&gt;=0.45,VLOOKUP(Calculator!E23,tbSkills!DH3:DI6,2,FALSE)+IF(AND(Calculator!B8=TRUE,Backdoors!BI22=TRUE),VLOOKUP(Calculator!E23,tbSkills!DH3:DJ6,3,FALSE),0),0))/100)))),1),"")</f>
        <v>1</v>
      </c>
      <c r="EH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E15)*EG15)*(VLOOKUP(A15,tbMoveset!A2:C112,3,FALSE)/100)*IF(VLOOKUP(A15,tbMoveset!A2:B112,2,FALSE)="Projectile",Backdoors!N10,Backdoors!N9),0),"")</f>
        <v/>
      </c>
      <c r="EI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E15&gt;=0.45,VLOOKUP(Calculator!E23,tbSkills!DH3:DI6,2,FALSE)+IF(AND(Calculator!B8=TRUE,Backdoors!BI22=TRUE),VLOOKUP(Calculator!E23,tbSkills!DH3:DJ6,3,FALSE),0),0))&gt;=100,100,(Backdoors!AI12+IF(EE15&gt;=0.45,VLOOKUP(Calculator!E23,tbSkills!DH3:DI6,2,FALSE)+IF(AND(Calculator!B8=TRUE,Backdoors!BI22=TRUE),VLOOKUP(Calculator!E23,tbSkills!DH3:DJ6,3,FALSE),0),0)))/100)),1))*IF(VLOOKUP(A15,tbMoveset!A2:K112,11,FALSE)=TRUE,Backdoors!AC5,1))*EF15,0),"")</f>
        <v>0</v>
      </c>
      <c r="EJ15" s="49">
        <f>VLOOKUP(A15,tbMoveset!A2:G112,7,FALSE)*IFERROR(IF(Backdoors!AI12&gt;=0,1+(IF(Calculator!E40&gt;0,VLOOKUP(Calculator!E40,tbSkills!AI3:AJ5,2,FALSE),Backdoors!AL4)*(IF((Backdoors!AI12+IF(EE15&gt;=0.45,VLOOKUP(Calculator!E23,tbSkills!DH3:DI6,2,FALSE)+IF(AND(Calculator!B8=TRUE,Backdoors!BI22=TRUE),VLOOKUP(Calculator!E23,tbSkills!DH3:DJ6,3,FALSE),0),0))&gt;=100,100,(Backdoors!AI12+IF(EE15&gt;=0.45,VLOOKUP(Calculator!E23,tbSkills!DH3:DI6,2,FALSE)+IF(AND(Calculator!B8=TRUE,Backdoors!BI22=TRUE),VLOOKUP(Calculator!E23,tbSkills!DH3:DJ6,3,FALSE),0),0)))/100)),1),1)</f>
        <v>0.5</v>
      </c>
      <c r="EK15" s="87">
        <f t="shared" si="12"/>
        <v>0</v>
      </c>
      <c r="EL15" s="86" t="str">
        <f>IFERROR(IF(VLOOKUP(A15,tbMoveset!A2:B112,2,FALSE)="Sever",Backdoors!AY23/100,IF(VLOOKUP(A15,tbMoveset!A2:B112,2,FALSE)="Blunt",Backdoors!AZ23/100,Backdoors!BA23/100)),"")</f>
        <v/>
      </c>
      <c r="EM15" s="49">
        <f>IFERROR(IF(VLOOKUP(tbMoveset!A15,tbMoveset!A2:H112,8,FALSE)="Other",IF(VLOOKUP(tbMoveset!A15,tbMoveset!A2:I112,9,FALSE)="Fire",Backdoors!BB23,IF(VLOOKUP(tbMoveset!A15,tbMoveset!A2:I112,9,FALSE)="Water",Backdoors!BC23,IF(VLOOKUP(tbMoveset!A15,tbMoveset!A2:I112,9,FALSE)="Thunder",Backdoors!BD23,IF(VLOOKUP(tbMoveset!A15,tbMoveset!A2:I112,9,FALSE)="Ice",Backdoors!BE23,IF(VLOOKUP(tbMoveset!A15,tbMoveset!A2:I112,9,FALSE)="Dragon",Backdoors!BF23,Backdoors!BG23)))))/100,Backdoors!BG23/100),"")</f>
        <v>0</v>
      </c>
      <c r="EN15" s="49">
        <f>IFERROR(IF(VLOOKUP(A15,tbMoveset!A2:J112,10,FALSE)=TRUE,IF((Backdoors!AI12+IF(EL15&gt;=0.45,VLOOKUP(Calculator!E23,tbSkills!DH3:DI6,2,FALSE)+IF(AND(Calculator!B8=TRUE,Backdoors!BI23=TRUE),VLOOKUP(Calculator!E23,tbSkills!DH3:DJ6,3,FALSE),0),0))&gt;=0,1+(Backdoors!AL2*(IF((Backdoors!AI12+IF(EL15&gt;=0.45,VLOOKUP(Calculator!E23,tbSkills!DH3:DI6,2,FALSE)+IF(AND(Calculator!B8=TRUE,Backdoors!BI23=TRUE),VLOOKUP(Calculator!E23,tbSkills!DH3:DJ6,3,FALSE),0),0))&gt;=100,100,(Backdoors!AI12+IF(EL15&gt;=0.45,VLOOKUP(Calculator!E23,tbSkills!DH3:DI6,2,FALSE)+IF(AND(Calculator!B8=TRUE,Backdoors!BI23=TRUE),VLOOKUP(Calculator!E23,tbSkills!DH3:DJ6,3,FALSE),0),0)))/100)),(1-(0.25*((-Backdoors!AI12-IF(EL15&gt;=0.45,VLOOKUP(Calculator!E23,tbSkills!DH3:DI6,2,FALSE)+IF(AND(Calculator!B8=TRUE,Backdoors!BI23=TRUE),VLOOKUP(Calculator!E23,tbSkills!DH3:DJ6,3,FALSE),0),0))/100)))),1),"")</f>
        <v>1</v>
      </c>
      <c r="EO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L15)*EN15)*(VLOOKUP(A15,tbMoveset!A2:C112,3,FALSE)/100)*IF(VLOOKUP(A15,tbMoveset!A2:B112,2,FALSE)="Projectile",Backdoors!N10,Backdoors!N9),0),"")</f>
        <v/>
      </c>
      <c r="EP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L15&gt;=0.45,VLOOKUP(Calculator!E23,tbSkills!DH3:DI6,2,FALSE)+IF(AND(Calculator!B8=TRUE,Backdoors!BI23=TRUE),VLOOKUP(Calculator!E23,tbSkills!DH3:DJ6,3,FALSE),0),0))&gt;=100,100,(Backdoors!AI12+IF(EL15&gt;=0.45,VLOOKUP(Calculator!E23,tbSkills!DH3:DI6,2,FALSE)+IF(AND(Calculator!B8=TRUE,Backdoors!BI23=TRUE),VLOOKUP(Calculator!E23,tbSkills!DH3:DJ6,3,FALSE),0),0)))/100)),1))*IF(VLOOKUP(A15,tbMoveset!A2:K112,11,FALSE)=TRUE,Backdoors!AC5,1))*EM15,0),"")</f>
        <v>0</v>
      </c>
      <c r="EQ15" s="49">
        <f>VLOOKUP(A15,tbMoveset!A2:G112,7,FALSE)*IFERROR(IF(Backdoors!AI12&gt;=0,1+(IF(Calculator!E40&gt;0,VLOOKUP(Calculator!E40,tbSkills!AI3:AJ5,2,FALSE),Backdoors!AL4)*(IF((Backdoors!AI12+IF(EL15&gt;=0.45,VLOOKUP(Calculator!E23,tbSkills!DH3:DI6,2,FALSE)+IF(AND(Calculator!B8=TRUE,Backdoors!BI23=TRUE),VLOOKUP(Calculator!E23,tbSkills!DH3:DJ6,3,FALSE),0),0))&gt;=100,100,(Backdoors!AI12+IF(EL15&gt;=0.45,VLOOKUP(Calculator!E23,tbSkills!DH3:DI6,2,FALSE)+IF(AND(Calculator!B8=TRUE,Backdoors!BI23=TRUE),VLOOKUP(Calculator!E23,tbSkills!DH3:DJ6,3,FALSE),0),0)))/100)),1),1)</f>
        <v>0.5</v>
      </c>
      <c r="ER15" s="87">
        <f t="shared" si="13"/>
        <v>0</v>
      </c>
      <c r="ES15" s="86" t="str">
        <f>IFERROR(IF(VLOOKUP(A15,tbMoveset!A2:B112,2,FALSE)="Sever",Backdoors!AY24/100,IF(VLOOKUP(A15,tbMoveset!A2:B112,2,FALSE)="Blunt",Backdoors!AZ24/100,Backdoors!BA24/100)),"")</f>
        <v/>
      </c>
      <c r="ET15" s="49">
        <f>IFERROR(IF(VLOOKUP(tbMoveset!A15,tbMoveset!A2:H112,8,FALSE)="Other",IF(VLOOKUP(tbMoveset!A15,tbMoveset!A2:I112,9,FALSE)="Fire",Backdoors!BB24,IF(VLOOKUP(tbMoveset!A15,tbMoveset!A2:I112,9,FALSE)="Water",Backdoors!BC24,IF(VLOOKUP(tbMoveset!A15,tbMoveset!A2:I112,9,FALSE)="Thunder",Backdoors!BD24,IF(VLOOKUP(tbMoveset!A15,tbMoveset!A2:I112,9,FALSE)="Ice",Backdoors!BE24,IF(VLOOKUP(tbMoveset!A15,tbMoveset!A2:I112,9,FALSE)="Dragon",Backdoors!BF24,Backdoors!BG24)))))/100,Backdoors!BG24/100),"")</f>
        <v>0</v>
      </c>
      <c r="EU15" s="49">
        <f>IFERROR(IF(VLOOKUP(A15,tbMoveset!A2:J112,10,FALSE)=TRUE,IF((Backdoors!AI12+IF(ES15&gt;=0.45,VLOOKUP(Calculator!E23,tbSkills!DH3:DI6,2,FALSE)+IF(AND(Calculator!B8=TRUE,Backdoors!BI24=TRUE),VLOOKUP(Calculator!E23,tbSkills!DH3:DJ6,3,FALSE),0),0))&gt;=0,1+(Backdoors!AL2*(IF((Backdoors!AI12+IF(ES15&gt;=0.45,VLOOKUP(Calculator!E23,tbSkills!DH3:DI6,2,FALSE)+IF(AND(Calculator!B8=TRUE,Backdoors!BI24=TRUE),VLOOKUP(Calculator!E23,tbSkills!DH3:DJ6,3,FALSE),0),0))&gt;=100,100,(Backdoors!AI12+IF(ES15&gt;=0.45,VLOOKUP(Calculator!E23,tbSkills!DH3:DI6,2,FALSE)+IF(AND(Calculator!B8=TRUE,Backdoors!BI24=TRUE),VLOOKUP(Calculator!E23,tbSkills!DH3:DJ6,3,FALSE),0),0)))/100)),(1-(0.25*((-Backdoors!AI12-IF(ES15&gt;=0.45,VLOOKUP(Calculator!E23,tbSkills!DH3:DI6,2,FALSE)+IF(AND(Calculator!B8=TRUE,Backdoors!BI24=TRUE),VLOOKUP(Calculator!E23,tbSkills!DH3:DJ6,3,FALSE),0),0))/100)))),1),"")</f>
        <v>1</v>
      </c>
      <c r="EV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S15)*EU15)*(VLOOKUP(A15,tbMoveset!A2:C112,3,FALSE)/100)*IF(VLOOKUP(A15,tbMoveset!A2:B112,2,FALSE)="Projectile",Backdoors!N10,Backdoors!N9),0),"")</f>
        <v/>
      </c>
      <c r="EW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S15&gt;=0.45,VLOOKUP(Calculator!E23,tbSkills!DH3:DI6,2,FALSE)+IF(AND(Calculator!B8=TRUE,Backdoors!BI24=TRUE),VLOOKUP(Calculator!E23,tbSkills!DH3:DJ6,3,FALSE),0),0))&gt;=100,100,(Backdoors!AI12+IF(ES15&gt;=0.45,VLOOKUP(Calculator!E23,tbSkills!DH3:DI6,2,FALSE)+IF(AND(Calculator!B8=TRUE,Backdoors!BI24=TRUE),VLOOKUP(Calculator!E23,tbSkills!DH3:DJ6,3,FALSE),0),0)))/100)),1))*IF(VLOOKUP(A15,tbMoveset!A2:K112,11,FALSE)=TRUE,Backdoors!AC5,1))*ET15,0),"")</f>
        <v>0</v>
      </c>
      <c r="EX15" s="49">
        <f>VLOOKUP(A15,tbMoveset!A2:G112,7,FALSE)*IFERROR(IF(Backdoors!AI12&gt;=0,1+(IF(Calculator!E40&gt;0,VLOOKUP(Calculator!E40,tbSkills!AI3:AJ5,2,FALSE),Backdoors!AL4)*(IF((Backdoors!AI12+IF(ES15&gt;=0.45,VLOOKUP(Calculator!E23,tbSkills!DH3:DI6,2,FALSE)+IF(AND(Calculator!B8=TRUE,Backdoors!BI24=TRUE),VLOOKUP(Calculator!E23,tbSkills!DH3:DJ6,3,FALSE),0),0))&gt;=100,100,(Backdoors!AI12+IF(ES15&gt;=0.45,VLOOKUP(Calculator!E23,tbSkills!DH3:DI6,2,FALSE)+IF(AND(Calculator!B8=TRUE,Backdoors!BI24=TRUE),VLOOKUP(Calculator!E23,tbSkills!DH3:DJ6,3,FALSE),0),0)))/100)),1),1)</f>
        <v>0.5</v>
      </c>
      <c r="EY15" s="87">
        <f t="shared" si="14"/>
        <v>0</v>
      </c>
      <c r="EZ15" s="86" t="str">
        <f>IFERROR(IF(VLOOKUP(A15,tbMoveset!A2:B112,2,FALSE)="Sever",Backdoors!AY25/100,IF(VLOOKUP(A15,tbMoveset!A2:B112,2,FALSE)="Blunt",Backdoors!AZ25/100,Backdoors!BA25/100)),"")</f>
        <v/>
      </c>
      <c r="FA15" s="49">
        <f>IFERROR(IF(VLOOKUP(tbMoveset!A15,tbMoveset!A2:H112,8,FALSE)="Other",IF(VLOOKUP(tbMoveset!A15,tbMoveset!A2:I112,9,FALSE)="Fire",Backdoors!BB25,IF(VLOOKUP(tbMoveset!A15,tbMoveset!A2:I112,9,FALSE)="Water",Backdoors!BC25,IF(VLOOKUP(tbMoveset!A15,tbMoveset!A2:I112,9,FALSE)="Thunder",Backdoors!BD25,IF(VLOOKUP(tbMoveset!A15,tbMoveset!A2:I112,9,FALSE)="Ice",Backdoors!BE25,IF(VLOOKUP(tbMoveset!A15,tbMoveset!A2:I112,9,FALSE)="Dragon",Backdoors!BF25,Backdoors!BG25)))))/100,Backdoors!BG25/100),"")</f>
        <v>0</v>
      </c>
      <c r="FB15" s="49">
        <f>IFERROR(IF(VLOOKUP(A15,tbMoveset!A2:J112,10,FALSE)=TRUE,IF((Backdoors!AI12+IF(EZ15&gt;=0.45,VLOOKUP(Calculator!E23,tbSkills!DH3:DI6,2,FALSE)+IF(AND(Calculator!B8=TRUE,Backdoors!BI25=TRUE),VLOOKUP(Calculator!E23,tbSkills!DH3:DJ6,3,FALSE),0),0))&gt;=0,1+(Backdoors!AL2*(IF((Backdoors!AI12+IF(EZ15&gt;=0.45,VLOOKUP(Calculator!E23,tbSkills!DH3:DI6,2,FALSE)+IF(AND(Calculator!B8=TRUE,Backdoors!BI25=TRUE),VLOOKUP(Calculator!E23,tbSkills!DH3:DJ6,3,FALSE),0),0))&gt;=100,100,(Backdoors!AI12+IF(EZ15&gt;=0.45,VLOOKUP(Calculator!E23,tbSkills!DH3:DI6,2,FALSE)+IF(AND(Calculator!B8=TRUE,Backdoors!BI25=TRUE),VLOOKUP(Calculator!E23,tbSkills!DH3:DJ6,3,FALSE),0),0)))/100)),(1-(0.25*((-Backdoors!AI12-IF(EZ15&gt;=0.45,VLOOKUP(Calculator!E23,tbSkills!DH3:DI6,2,FALSE)+IF(AND(Calculator!B8=TRUE,Backdoors!BI25=TRUE),VLOOKUP(Calculator!E23,tbSkills!DH3:DJ6,3,FALSE),0),0))/100)))),1),"")</f>
        <v>1</v>
      </c>
      <c r="FC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Z15)*FB15)*(VLOOKUP(A15,tbMoveset!A2:C112,3,FALSE)/100)*IF(VLOOKUP(A15,tbMoveset!A2:B112,2,FALSE)="Projectile",Backdoors!N10,Backdoors!N9),0),"")</f>
        <v/>
      </c>
      <c r="FD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Z15&gt;=0.45,VLOOKUP(Calculator!E23,tbSkills!DH3:DI6,2,FALSE)+IF(AND(Calculator!B8=TRUE,Backdoors!BI25=TRUE),VLOOKUP(Calculator!E23,tbSkills!DH3:DJ6,3,FALSE),0),0))&gt;=100,100,(Backdoors!AI12+IF(EZ15&gt;=0.45,VLOOKUP(Calculator!E23,tbSkills!DH3:DI6,2,FALSE)+IF(AND(Calculator!B8=TRUE,Backdoors!BI25=TRUE),VLOOKUP(Calculator!E23,tbSkills!DH3:DJ6,3,FALSE),0),0)))/100)),1))*IF(VLOOKUP(A15,tbMoveset!A2:K112,11,FALSE)=TRUE,Backdoors!AC5,1))*FA15,0),"")</f>
        <v>0</v>
      </c>
      <c r="FE15" s="49">
        <f>VLOOKUP(A15,tbMoveset!A2:G112,7,FALSE)*IFERROR(IF(Backdoors!AI12&gt;=0,1+(IF(Calculator!E40&gt;0,VLOOKUP(Calculator!E40,tbSkills!AI3:AJ5,2,FALSE),Backdoors!AL4)*(IF((Backdoors!AI12+IF(EZ15&gt;=0.45,VLOOKUP(Calculator!E23,tbSkills!DH3:DI6,2,FALSE)+IF(AND(Calculator!B8=TRUE,Backdoors!BI25=TRUE),VLOOKUP(Calculator!E23,tbSkills!DH3:DJ6,3,FALSE),0),0))&gt;=100,100,(Backdoors!AI12+IF(EZ15&gt;=0.45,VLOOKUP(Calculator!E23,tbSkills!DH3:DI6,2,FALSE)+IF(AND(Calculator!B8=TRUE,Backdoors!BI25=TRUE),VLOOKUP(Calculator!E23,tbSkills!DH3:DJ6,3,FALSE),0),0)))/100)),1),1)</f>
        <v>0.5</v>
      </c>
      <c r="FF15" s="87">
        <f t="shared" si="15"/>
        <v>0</v>
      </c>
      <c r="FG15" s="86" t="str">
        <f>IFERROR(IF(VLOOKUP(A15,tbMoveset!A2:B112,2,FALSE)="Sever",Backdoors!AY26/100,IF(VLOOKUP(A15,tbMoveset!A2:B112,2,FALSE)="Blunt",Backdoors!AZ26/100,Backdoors!BA26/100)),"")</f>
        <v/>
      </c>
      <c r="FH15" s="49">
        <f>IFERROR(IF(VLOOKUP(tbMoveset!A15,tbMoveset!A2:H112,8,FALSE)="Other",IF(VLOOKUP(tbMoveset!A15,tbMoveset!A2:I112,9,FALSE)="Fire",Backdoors!BB26,IF(VLOOKUP(tbMoveset!A15,tbMoveset!A2:I112,9,FALSE)="Water",Backdoors!BC26,IF(VLOOKUP(tbMoveset!A15,tbMoveset!A2:I112,9,FALSE)="Thunder",Backdoors!BD26,IF(VLOOKUP(tbMoveset!A15,tbMoveset!A2:I112,9,FALSE)="Ice",Backdoors!BE26,IF(VLOOKUP(tbMoveset!A15,tbMoveset!A2:I112,9,FALSE)="Dragon",Backdoors!BF26,Backdoors!BG26)))))/100,Backdoors!BG26/100),"")</f>
        <v>0</v>
      </c>
      <c r="FI15" s="49">
        <f>IFERROR(IF(VLOOKUP(A15,tbMoveset!A2:J112,10,FALSE)=TRUE,IF((Backdoors!AI12+IF(FG15&gt;=0.45,VLOOKUP(Calculator!E23,tbSkills!DH3:DI6,2,FALSE)+IF(AND(Calculator!B8=TRUE,Backdoors!BI26=TRUE),VLOOKUP(Calculator!E23,tbSkills!DH3:DJ6,3,FALSE),0),0))&gt;=0,1+(Backdoors!AL2*(IF((Backdoors!AI12+IF(FG15&gt;=0.45,VLOOKUP(Calculator!E23,tbSkills!DH3:DI6,2,FALSE)+IF(AND(Calculator!B8=TRUE,Backdoors!BI26=TRUE),VLOOKUP(Calculator!E23,tbSkills!DH3:DJ6,3,FALSE),0),0))&gt;=100,100,(Backdoors!AI12+IF(FG15&gt;=0.45,VLOOKUP(Calculator!E23,tbSkills!DH3:DI6,2,FALSE)+IF(AND(Calculator!B8=TRUE,Backdoors!BI26=TRUE),VLOOKUP(Calculator!E23,tbSkills!DH3:DJ6,3,FALSE),0),0)))/100)),(1-(0.25*((-Backdoors!AI12-IF(FG15&gt;=0.45,VLOOKUP(Calculator!E23,tbSkills!DH3:DI6,2,FALSE)+IF(AND(Calculator!B8=TRUE,Backdoors!BI26=TRUE),VLOOKUP(Calculator!E23,tbSkills!DH3:DJ6,3,FALSE),0),0))/100)))),1),"")</f>
        <v>1</v>
      </c>
      <c r="FJ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FG15)*FI15)*(VLOOKUP(A15,tbMoveset!A2:C112,3,FALSE)/100)*IF(VLOOKUP(A15,tbMoveset!A2:B112,2,FALSE)="Projectile",Backdoors!N10,Backdoors!N9),0),"")</f>
        <v/>
      </c>
      <c r="FK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FG15&gt;=0.45,VLOOKUP(Calculator!E23,tbSkills!DH3:DI6,2,FALSE)+IF(AND(Calculator!B8=TRUE,Backdoors!BI26=TRUE),VLOOKUP(Calculator!E23,tbSkills!DH3:DJ6,3,FALSE),0),0))&gt;=100,100,(Backdoors!AI12+IF(FG15&gt;=0.45,VLOOKUP(Calculator!E23,tbSkills!DH3:DI6,2,FALSE)+IF(AND(Calculator!B8=TRUE,Backdoors!BI26=TRUE),VLOOKUP(Calculator!E23,tbSkills!DH3:DJ6,3,FALSE),0),0)))/100)),1))*IF(VLOOKUP(A15,tbMoveset!A2:K112,11,FALSE)=TRUE,Backdoors!AC5,1))*FH15,0),"")</f>
        <v>0</v>
      </c>
      <c r="FL15" s="49">
        <f>VLOOKUP(A15,tbMoveset!A2:G112,7,FALSE)*IFERROR(IF(Backdoors!AI12&gt;=0,1+(IF(Calculator!E40&gt;0,VLOOKUP(Calculator!E40,tbSkills!AI3:AJ5,2,FALSE),Backdoors!AL4)*(IF((Backdoors!AI12+IF(FG15&gt;=0.45,VLOOKUP(Calculator!E23,tbSkills!DH3:DI6,2,FALSE)+IF(AND(Calculator!B8=TRUE,Backdoors!BI26=TRUE),VLOOKUP(Calculator!E23,tbSkills!DH3:DJ6,3,FALSE),0),0))&gt;=100,100,(Backdoors!AI12+IF(FG15&gt;=0.45,VLOOKUP(Calculator!E23,tbSkills!DH3:DI6,2,FALSE)+IF(AND(Calculator!B8=TRUE,Backdoors!BI26=TRUE),VLOOKUP(Calculator!E23,tbSkills!DH3:DJ6,3,FALSE),0),0)))/100)),1),1)</f>
        <v>0.5</v>
      </c>
      <c r="FM15" s="87">
        <f t="shared" si="16"/>
        <v>0</v>
      </c>
      <c r="FN15" s="86" t="str">
        <f>IFERROR(IF(VLOOKUP(A15,tbMoveset!A2:B112,2,FALSE)="Sever",Backdoors!AY27/100,IF(VLOOKUP(A15,tbMoveset!A2:B112,2,FALSE)="Blunt",Backdoors!AZ27/100,Backdoors!BA27/100)),"")</f>
        <v/>
      </c>
      <c r="FO15" s="49">
        <f>IFERROR(IF(VLOOKUP(tbMoveset!A15,tbMoveset!A2:H112,8,FALSE)="Other",IF(VLOOKUP(tbMoveset!A15,tbMoveset!A2:I112,9,FALSE)="Fire",Backdoors!BB27,IF(VLOOKUP(tbMoveset!A15,tbMoveset!A2:I112,9,FALSE)="Water",Backdoors!BC27,IF(VLOOKUP(tbMoveset!A15,tbMoveset!A2:I112,9,FALSE)="Thunder",Backdoors!BD27,IF(VLOOKUP(tbMoveset!A15,tbMoveset!A2:I112,9,FALSE)="Ice",Backdoors!BE27,IF(VLOOKUP(tbMoveset!A15,tbMoveset!A2:I112,9,FALSE)="Dragon",Backdoors!BF27,Backdoors!BG27)))))/100,Backdoors!BG27/100),"")</f>
        <v>0</v>
      </c>
      <c r="FP15" s="49">
        <f>IFERROR(IF(VLOOKUP(A15,tbMoveset!A2:J112,10,FALSE)=TRUE,IF((Backdoors!AI12+IF(FN15&gt;=0.45,VLOOKUP(Calculator!E23,tbSkills!DH3:DI6,2,FALSE)+IF(AND(Calculator!B8=TRUE,Backdoors!BI27=TRUE),VLOOKUP(Calculator!E23,tbSkills!DH3:DJ6,3,FALSE),0),0))&gt;=0,1+(Backdoors!AL2*(IF((Backdoors!AI12+IF(FN15&gt;=0.45,VLOOKUP(Calculator!E23,tbSkills!DH3:DI6,2,FALSE)+IF(AND(Calculator!B8=TRUE,Backdoors!BI27=TRUE),VLOOKUP(Calculator!E23,tbSkills!DH3:DJ6,3,FALSE),0),0))&gt;=100,100,(Backdoors!AI12+IF(FN15&gt;=0.45,VLOOKUP(Calculator!E23,tbSkills!DH3:DI6,2,FALSE)+IF(AND(Calculator!B8=TRUE,Backdoors!BI27=TRUE),VLOOKUP(Calculator!E23,tbSkills!DH3:DJ6,3,FALSE),0),0)))/100)),(1-(0.25*((-Backdoors!AI12-IF(FN15&gt;=0.45,VLOOKUP(Calculator!E23,tbSkills!DH3:DI6,2,FALSE)+IF(AND(Calculator!B8=TRUE,Backdoors!BI27=TRUE),VLOOKUP(Calculator!E23,tbSkills!DH3:DJ6,3,FALSE),0),0))/100)))),1),"")</f>
        <v>1</v>
      </c>
      <c r="FQ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FN15)*FP15)*(VLOOKUP(A15,tbMoveset!A2:C112,3,FALSE)/100)*IF(VLOOKUP(A15,tbMoveset!A2:B112,2,FALSE)="Projectile",Backdoors!N10,Backdoors!N9),0),"")</f>
        <v/>
      </c>
      <c r="FR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FN15&gt;=0.45,VLOOKUP(Calculator!E23,tbSkills!DH3:DI6,2,FALSE)+IF(AND(Calculator!B8=TRUE,Backdoors!BI27=TRUE),VLOOKUP(Calculator!E23,tbSkills!DH3:DJ6,3,FALSE),0),0))&gt;=100,100,(Backdoors!AI12+IF(FN15&gt;=0.45,VLOOKUP(Calculator!E23,tbSkills!DH3:DI6,2,FALSE)+IF(AND(Calculator!B8=TRUE,Backdoors!BI27=TRUE),VLOOKUP(Calculator!E23,tbSkills!DH3:DJ6,3,FALSE),0),0)))/100)),1))*IF(VLOOKUP(A15,tbMoveset!A2:K112,11,FALSE)=TRUE,Backdoors!AC5,1))*FO15,0),"")</f>
        <v>0</v>
      </c>
      <c r="FS15" s="49">
        <f>VLOOKUP(A15,tbMoveset!A2:G112,7,FALSE)*IFERROR(IF(Backdoors!AI12&gt;=0,1+(IF(Calculator!E40&gt;0,VLOOKUP(Calculator!E40,tbSkills!AI3:AJ5,2,FALSE),Backdoors!AL4)*(IF((Backdoors!AI12+IF(FN15&gt;=0.45,VLOOKUP(Calculator!E23,tbSkills!DH3:DI6,2,FALSE)+IF(AND(Calculator!B8=TRUE,Backdoors!BI27=TRUE),VLOOKUP(Calculator!E23,tbSkills!DH3:DJ6,3,FALSE),0),0))&gt;=100,100,(Backdoors!AI12+IF(FN15&gt;=0.45,VLOOKUP(Calculator!E23,tbSkills!DH3:DI6,2,FALSE)+IF(AND(Calculator!B8=TRUE,Backdoors!BI27=TRUE),VLOOKUP(Calculator!E23,tbSkills!DH3:DJ6,3,FALSE),0),0)))/100)),1),1)</f>
        <v>0.5</v>
      </c>
      <c r="FT15" s="87">
        <f t="shared" si="17"/>
        <v>0</v>
      </c>
      <c r="FU15" s="86" t="str">
        <f>IFERROR(IF(VLOOKUP(A15,tbMoveset!A2:B112,2,FALSE)="Sever",Backdoors!AY28/100,IF(VLOOKUP(A15,tbMoveset!A2:B112,2,FALSE)="Blunt",Backdoors!AZ28/100,Backdoors!BA28/100)),"")</f>
        <v/>
      </c>
      <c r="FV15" s="49">
        <f>IFERROR(IF(VLOOKUP(tbMoveset!A15,tbMoveset!A2:H112,8,FALSE)="Other",IF(VLOOKUP(tbMoveset!A15,tbMoveset!A2:I112,9,FALSE)="Fire",Backdoors!BB28,IF(VLOOKUP(tbMoveset!A15,tbMoveset!A2:I112,9,FALSE)="Water",Backdoors!BC28,IF(VLOOKUP(tbMoveset!A15,tbMoveset!A2:I112,9,FALSE)="Thunder",Backdoors!BD28,IF(VLOOKUP(tbMoveset!A15,tbMoveset!A2:I112,9,FALSE)="Ice",Backdoors!BE28,IF(VLOOKUP(tbMoveset!A15,tbMoveset!A2:I112,9,FALSE)="Dragon",Backdoors!BF28,Backdoors!BG28)))))/100,Backdoors!BG28/100),"")</f>
        <v>0</v>
      </c>
      <c r="FW15" s="49">
        <f>IFERROR(IF(VLOOKUP(A15,tbMoveset!A2:J112,10,FALSE)=TRUE,IF((Backdoors!AI12+IF(FU15&gt;=0.45,VLOOKUP(Calculator!E23,tbSkills!DH3:DI6,2,FALSE)+IF(AND(Calculator!B8=TRUE,Backdoors!BI28=TRUE),VLOOKUP(Calculator!E23,tbSkills!DH3:DJ6,3,FALSE),0),0))&gt;=0,1+(Backdoors!AL2*(IF((Backdoors!AI12+IF(FU15&gt;=0.45,VLOOKUP(Calculator!E23,tbSkills!DH3:DI6,2,FALSE)+IF(AND(Calculator!B8=TRUE,Backdoors!BI28=TRUE),VLOOKUP(Calculator!E23,tbSkills!DH3:DJ6,3,FALSE),0),0))&gt;=100,100,(Backdoors!AI12+IF(FU15&gt;=0.45,VLOOKUP(Calculator!E23,tbSkills!DH3:DI6,2,FALSE)+IF(AND(Calculator!B8=TRUE,Backdoors!BI28=TRUE),VLOOKUP(Calculator!E23,tbSkills!DH3:DJ6,3,FALSE),0),0)))/100)),(1-(0.25*((-Backdoors!AI12-IF(FU15&gt;=0.45,VLOOKUP(Calculator!E23,tbSkills!DH3:DI6,2,FALSE)+IF(AND(Calculator!B8=TRUE,Backdoors!BI28=TRUE),VLOOKUP(Calculator!E23,tbSkills!DH3:DJ6,3,FALSE),0),0))/100)))),1),"")</f>
        <v>1</v>
      </c>
      <c r="FX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FU15)*FW15)*(VLOOKUP(A15,tbMoveset!A2:C112,3,FALSE)/100)*IF(VLOOKUP(A15,tbMoveset!A2:B112,2,FALSE)="Projectile",Backdoors!N10,Backdoors!N9),0),"")</f>
        <v/>
      </c>
      <c r="FY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FU15&gt;=0.45,VLOOKUP(Calculator!E23,tbSkills!DH3:DI6,2,FALSE)+IF(AND(Calculator!B8=TRUE,Backdoors!BI28=TRUE),VLOOKUP(Calculator!E23,tbSkills!DH3:DJ6,3,FALSE),0),0))&gt;=100,100,(Backdoors!AI12+IF(FU15&gt;=0.45,VLOOKUP(Calculator!E23,tbSkills!DH3:DI6,2,FALSE)+IF(AND(Calculator!B8=TRUE,Backdoors!BI28=TRUE),VLOOKUP(Calculator!E23,tbSkills!DH3:DJ6,3,FALSE),0),0)))/100)),1))*IF(VLOOKUP(A15,tbMoveset!A2:K112,11,FALSE)=TRUE,Backdoors!AC5,1))*FV15,0),"")</f>
        <v>0</v>
      </c>
      <c r="FZ15" s="49">
        <f>VLOOKUP(A15,tbMoveset!A2:G112,7,FALSE)*IFERROR(IF(Backdoors!AI12&gt;=0,1+(IF(Calculator!E40&gt;0,VLOOKUP(Calculator!E40,tbSkills!AI3:AJ5,2,FALSE),Backdoors!AL4)*(IF((Backdoors!AI12+IF(FU15&gt;=0.45,VLOOKUP(Calculator!E23,tbSkills!DH3:DI6,2,FALSE)+IF(AND(Calculator!B8=TRUE,Backdoors!BI28=TRUE),VLOOKUP(Calculator!E23,tbSkills!DH3:DJ6,3,FALSE),0),0))&gt;=100,100,(Backdoors!AI12+IF(FU15&gt;=0.45,VLOOKUP(Calculator!E23,tbSkills!DH3:DI6,2,FALSE)+IF(AND(Calculator!B8=TRUE,Backdoors!BI28=TRUE),VLOOKUP(Calculator!E23,tbSkills!DH3:DJ6,3,FALSE),0),0)))/100)),1),1)</f>
        <v>0.5</v>
      </c>
      <c r="GA15" s="87">
        <f t="shared" si="18"/>
        <v>0</v>
      </c>
      <c r="GB15" s="86" t="str">
        <f>IFERROR(IF(VLOOKUP(A15,tbMoveset!A2:B112,2,FALSE)="Sever",Backdoors!AY29/100,IF(VLOOKUP(A15,tbMoveset!A2:B112,2,FALSE)="Blunt",Backdoors!AZ29/100,Backdoors!BA29/100)),"")</f>
        <v/>
      </c>
      <c r="GC15" s="49">
        <f>IFERROR(IF(VLOOKUP(tbMoveset!A15,tbMoveset!A2:H112,8,FALSE)="Other",IF(VLOOKUP(tbMoveset!A15,tbMoveset!A2:I112,9,FALSE)="Fire",Backdoors!BB29,IF(VLOOKUP(tbMoveset!A15,tbMoveset!A2:I112,9,FALSE)="Water",Backdoors!BC29,IF(VLOOKUP(tbMoveset!A15,tbMoveset!A2:I112,9,FALSE)="Thunder",Backdoors!BD29,IF(VLOOKUP(tbMoveset!A15,tbMoveset!A2:I112,9,FALSE)="Ice",Backdoors!BE29,IF(VLOOKUP(tbMoveset!A15,tbMoveset!A2:I112,9,FALSE)="Dragon",Backdoors!BF29,Backdoors!BG29)))))/100,Backdoors!BG29/100),"")</f>
        <v>0</v>
      </c>
      <c r="GD15" s="49">
        <f>IFERROR(IF(VLOOKUP(A15,tbMoveset!A2:J112,10,FALSE)=TRUE,IF((Backdoors!AI12+IF(GB15&gt;=0.45,VLOOKUP(Calculator!E23,tbSkills!DH3:DI6,2,FALSE)+IF(AND(Calculator!B8=TRUE,Backdoors!BI29=TRUE),VLOOKUP(Calculator!E23,tbSkills!DH3:DJ6,3,FALSE),0),0))&gt;=0,1+(Backdoors!AL2*(IF((Backdoors!AI12+IF(GB15&gt;=0.45,VLOOKUP(Calculator!E23,tbSkills!DH3:DI6,2,FALSE)+IF(AND(Calculator!B8=TRUE,Backdoors!BI29=TRUE),VLOOKUP(Calculator!E23,tbSkills!DH3:DJ6,3,FALSE),0),0))&gt;=100,100,(Backdoors!AI12+IF(GB15&gt;=0.45,VLOOKUP(Calculator!E23,tbSkills!DH3:DI6,2,FALSE)+IF(AND(Calculator!B8=TRUE,Backdoors!BI29=TRUE),VLOOKUP(Calculator!E23,tbSkills!DH3:DJ6,3,FALSE),0),0)))/100)),(1-(0.25*((-Backdoors!AI12-IF(GB15&gt;=0.45,VLOOKUP(Calculator!E23,tbSkills!DH3:DI6,2,FALSE)+IF(AND(Calculator!B8=TRUE,Backdoors!BI29=TRUE),VLOOKUP(Calculator!E23,tbSkills!DH3:DJ6,3,FALSE),0),0))/100)))),1),"")</f>
        <v>1</v>
      </c>
      <c r="GE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B15)*GD15)*(VLOOKUP(A15,tbMoveset!A2:C112,3,FALSE)/100)*IF(VLOOKUP(A15,tbMoveset!A2:B112,2,FALSE)="Projectile",Backdoors!N10,Backdoors!N9),0),"")</f>
        <v/>
      </c>
      <c r="GF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B15&gt;=0.45,VLOOKUP(Calculator!E23,tbSkills!DH3:DI6,2,FALSE)+IF(AND(Calculator!B8=TRUE,Backdoors!BI29=TRUE),VLOOKUP(Calculator!E23,tbSkills!DH3:DJ6,3,FALSE),0),0))&gt;=100,100,(Backdoors!AI12+IF(GB15&gt;=0.45,VLOOKUP(Calculator!E23,tbSkills!DH3:DI6,2,FALSE)+IF(AND(Calculator!B8=TRUE,Backdoors!BI29=TRUE),VLOOKUP(Calculator!E23,tbSkills!DH3:DJ6,3,FALSE),0),0)))/100)),1))*IF(VLOOKUP(A15,tbMoveset!A2:K112,11,FALSE)=TRUE,Backdoors!AC5,1))*GC15,0),"")</f>
        <v>0</v>
      </c>
      <c r="GG15" s="49">
        <f>VLOOKUP(A15,tbMoveset!A2:G112,7,FALSE)*IFERROR(IF(Backdoors!AI12&gt;=0,1+(IF(Calculator!E40&gt;0,VLOOKUP(Calculator!E40,tbSkills!AI3:AJ5,2,FALSE),Backdoors!AL4)*(IF((Backdoors!AI12+IF(GB15&gt;=0.45,VLOOKUP(Calculator!E23,tbSkills!DH3:DI6,2,FALSE)+IF(AND(Calculator!B8=TRUE,Backdoors!BI29=TRUE),VLOOKUP(Calculator!E23,tbSkills!DH3:DJ6,3,FALSE),0),0))&gt;=100,100,(Backdoors!AI12+IF(GB15&gt;=0.45,VLOOKUP(Calculator!E23,tbSkills!DH3:DI6,2,FALSE)+IF(AND(Calculator!B8=TRUE,Backdoors!BI29=TRUE),VLOOKUP(Calculator!E23,tbSkills!DH3:DJ6,3,FALSE),0),0)))/100)),1),1)</f>
        <v>0.5</v>
      </c>
      <c r="GH15" s="87">
        <f t="shared" si="19"/>
        <v>0</v>
      </c>
      <c r="GI15" s="86" t="str">
        <f>IFERROR(IF(VLOOKUP(A15,tbMoveset!A2:B112,2,FALSE)="Sever",Backdoors!AY30/100,IF(VLOOKUP(A15,tbMoveset!A2:B112,2,FALSE)="Blunt",Backdoors!AZ30/100,Backdoors!BA30/100)),"")</f>
        <v/>
      </c>
      <c r="GJ15" s="49">
        <f>IFERROR(IF(VLOOKUP(tbMoveset!A15,tbMoveset!A2:H112,8,FALSE)="Other",IF(VLOOKUP(tbMoveset!A15,tbMoveset!A2:I112,9,FALSE)="Fire",Backdoors!BB30,IF(VLOOKUP(tbMoveset!A15,tbMoveset!A2:I112,9,FALSE)="Water",Backdoors!BC30,IF(VLOOKUP(tbMoveset!A15,tbMoveset!A2:I112,9,FALSE)="Thunder",Backdoors!BD30,IF(VLOOKUP(tbMoveset!A15,tbMoveset!A2:I112,9,FALSE)="Ice",Backdoors!BE30,IF(VLOOKUP(tbMoveset!A15,tbMoveset!A2:I112,9,FALSE)="Dragon",Backdoors!BF30,Backdoors!BG30)))))/100,Backdoors!BG30/100),"")</f>
        <v>0</v>
      </c>
      <c r="GK15" s="49">
        <f>IFERROR(IF(VLOOKUP(A15,tbMoveset!A2:J112,10,FALSE)=TRUE,IF((Backdoors!AI12+IF(GI15&gt;=0.45,VLOOKUP(Calculator!E23,tbSkills!DH3:DI6,2,FALSE)+IF(AND(Calculator!B8=TRUE,Backdoors!BI30=TRUE),VLOOKUP(Calculator!E23,tbSkills!DH3:DJ6,3,FALSE),0),0))&gt;=0,1+(Backdoors!AL2*(IF((Backdoors!AI12+IF(GI15&gt;=0.45,VLOOKUP(Calculator!E23,tbSkills!DH3:DI6,2,FALSE)+IF(AND(Calculator!B8=TRUE,Backdoors!BI30=TRUE),VLOOKUP(Calculator!E23,tbSkills!DH3:DJ6,3,FALSE),0),0))&gt;=100,100,(Backdoors!AI12+IF(GI15&gt;=0.45,VLOOKUP(Calculator!E23,tbSkills!DH3:DI6,2,FALSE)+IF(AND(Calculator!B8=TRUE,Backdoors!BI30=TRUE),VLOOKUP(Calculator!E23,tbSkills!DH3:DJ6,3,FALSE),0),0)))/100)),(1-(0.25*((-Backdoors!AI12-IF(GI15&gt;=0.45,VLOOKUP(Calculator!E23,tbSkills!DH3:DI6,2,FALSE)+IF(AND(Calculator!B8=TRUE,Backdoors!BI30=TRUE),VLOOKUP(Calculator!E23,tbSkills!DH3:DJ6,3,FALSE),0),0))/100)))),1),"")</f>
        <v>1</v>
      </c>
      <c r="GL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I15)*GK15)*(VLOOKUP(A15,tbMoveset!A2:C112,3,FALSE)/100)*IF(VLOOKUP(A15,tbMoveset!A2:B112,2,FALSE)="Projectile",Backdoors!N10,Backdoors!N9),0),"")</f>
        <v/>
      </c>
      <c r="GM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I15&gt;=0.45,VLOOKUP(Calculator!E23,tbSkills!DH3:DI6,2,FALSE)+IF(AND(Calculator!B8=TRUE,Backdoors!BI30=TRUE),VLOOKUP(Calculator!E23,tbSkills!DH3:DJ6,3,FALSE),0),0))&gt;=100,100,(Backdoors!AI12+IF(GI15&gt;=0.45,VLOOKUP(Calculator!E23,tbSkills!DH3:DI6,2,FALSE)+IF(AND(Calculator!B8=TRUE,Backdoors!BI30=TRUE),VLOOKUP(Calculator!E23,tbSkills!DH3:DJ6,3,FALSE),0),0)))/100)),1))*IF(VLOOKUP(A15,tbMoveset!A2:K112,11,FALSE)=TRUE,Backdoors!AC5,1))*GJ15,0),"")</f>
        <v>0</v>
      </c>
      <c r="GN15" s="49">
        <f>VLOOKUP(A15,tbMoveset!A2:G112,7,FALSE)*IFERROR(IF(Backdoors!AI12&gt;=0,1+(IF(Calculator!E40&gt;0,VLOOKUP(Calculator!E40,tbSkills!AI3:AJ5,2,FALSE),Backdoors!AL4)*(IF((Backdoors!AI12+IF(GI15&gt;=0.45,VLOOKUP(Calculator!E23,tbSkills!DH3:DI6,2,FALSE)+IF(AND(Calculator!B8=TRUE,Backdoors!BI30=TRUE),VLOOKUP(Calculator!E23,tbSkills!DH3:DJ6,3,FALSE),0),0))&gt;=100,100,(Backdoors!AI12+IF(GI15&gt;=0.45,VLOOKUP(Calculator!E23,tbSkills!DH3:DI6,2,FALSE)+IF(AND(Calculator!B8=TRUE,Backdoors!BI30=TRUE),VLOOKUP(Calculator!E23,tbSkills!DH3:DJ6,3,FALSE),0),0)))/100)),1),1)</f>
        <v>0.5</v>
      </c>
      <c r="GO15" s="87">
        <f t="shared" si="20"/>
        <v>0</v>
      </c>
      <c r="GP15" s="86" t="str">
        <f>IFERROR(IF(VLOOKUP(A15,tbMoveset!A2:B112,2,FALSE)="Sever",Backdoors!AY31/100,IF(VLOOKUP(A15,tbMoveset!A2:B112,2,FALSE)="Blunt",Backdoors!AZ31/100,Backdoors!BA31/100)),"")</f>
        <v/>
      </c>
      <c r="GQ15" s="49">
        <f>IFERROR(IF(VLOOKUP(tbMoveset!A15,tbMoveset!A2:H112,8,FALSE)="Other",IF(VLOOKUP(tbMoveset!A15,tbMoveset!A2:I112,9,FALSE)="Fire",Backdoors!BB31,IF(VLOOKUP(tbMoveset!A15,tbMoveset!A2:I112,9,FALSE)="Water",Backdoors!BC31,IF(VLOOKUP(tbMoveset!A15,tbMoveset!A2:I112,9,FALSE)="Thunder",Backdoors!BD31,IF(VLOOKUP(tbMoveset!A15,tbMoveset!A2:I112,9,FALSE)="Ice",Backdoors!BE31,IF(VLOOKUP(tbMoveset!A15,tbMoveset!A2:I112,9,FALSE)="Dragon",Backdoors!BF31,Backdoors!BG31)))))/100,Backdoors!BG31/100),"")</f>
        <v>0</v>
      </c>
      <c r="GR15" s="49">
        <f>IFERROR(IF(VLOOKUP(A15,tbMoveset!A2:J112,10,FALSE)=TRUE,IF((Backdoors!AI12+IF(GP15&gt;=0.45,VLOOKUP(Calculator!E23,tbSkills!DH3:DI6,2,FALSE)+IF(AND(Calculator!B8=TRUE,Backdoors!BI31=TRUE),VLOOKUP(Calculator!E23,tbSkills!DH3:DJ6,3,FALSE),0),0))&gt;=0,1+(Backdoors!AL2*(IF((Backdoors!AI12+IF(GP15&gt;=0.45,VLOOKUP(Calculator!E23,tbSkills!DH3:DI6,2,FALSE)+IF(AND(Calculator!B8=TRUE,Backdoors!BI31=TRUE),VLOOKUP(Calculator!E23,tbSkills!DH3:DJ6,3,FALSE),0),0))&gt;=100,100,(Backdoors!AI12+IF(GP15&gt;=0.45,VLOOKUP(Calculator!E23,tbSkills!DH3:DI6,2,FALSE)+IF(AND(Calculator!B8=TRUE,Backdoors!BI31=TRUE),VLOOKUP(Calculator!E23,tbSkills!DH3:DJ6,3,FALSE),0),0)))/100)),(1-(0.25*((-Backdoors!AI12-IF(GP15&gt;=0.45,VLOOKUP(Calculator!E23,tbSkills!DH3:DI6,2,FALSE)+IF(AND(Calculator!B8=TRUE,Backdoors!BI31=TRUE),VLOOKUP(Calculator!E23,tbSkills!DH3:DJ6,3,FALSE),0),0))/100)))),1),"")</f>
        <v>1</v>
      </c>
      <c r="GS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P15)*GR15)*(VLOOKUP(A15,tbMoveset!A2:C112,3,FALSE)/100)*IF(VLOOKUP(A15,tbMoveset!A2:B112,2,FALSE)="Projectile",Backdoors!N10,Backdoors!N9),0),"")</f>
        <v/>
      </c>
      <c r="GT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P15&gt;=0.45,VLOOKUP(Calculator!E23,tbSkills!DH3:DI6,2,FALSE)+IF(AND(Calculator!B8=TRUE,Backdoors!BI31=TRUE),VLOOKUP(Calculator!E23,tbSkills!DH3:DJ6,3,FALSE),0),0))&gt;=100,100,(Backdoors!AI12+IF(GP15&gt;=0.45,VLOOKUP(Calculator!E23,tbSkills!DH3:DI6,2,FALSE)+IF(AND(Calculator!B8=TRUE,Backdoors!BI31=TRUE),VLOOKUP(Calculator!E23,tbSkills!DH3:DJ6,3,FALSE),0),0)))/100)),1))*IF(VLOOKUP(A15,tbMoveset!A2:K112,11,FALSE)=TRUE,Backdoors!AC5,1))*GQ15,0),"")</f>
        <v>0</v>
      </c>
      <c r="GU15" s="49">
        <f>VLOOKUP(A15,tbMoveset!A2:G112,7,FALSE)*IFERROR(IF(Backdoors!AI12&gt;=0,1+(IF(Calculator!E40&gt;0,VLOOKUP(Calculator!E40,tbSkills!AI3:AJ5,2,FALSE),Backdoors!AL4)*(IF((Backdoors!AI12+IF(GP15&gt;=0.45,VLOOKUP(Calculator!E23,tbSkills!DH3:DI6,2,FALSE)+IF(AND(Calculator!B8=TRUE,Backdoors!BI31=TRUE),VLOOKUP(Calculator!E23,tbSkills!DH3:DJ6,3,FALSE),0),0))&gt;=100,100,(Backdoors!AI12+IF(GP15&gt;=0.45,VLOOKUP(Calculator!E23,tbSkills!DH3:DI6,2,FALSE)+IF(AND(Calculator!B8=TRUE,Backdoors!BI31=TRUE),VLOOKUP(Calculator!E23,tbSkills!DH3:DJ6,3,FALSE),0),0)))/100)),1),1)</f>
        <v>0.5</v>
      </c>
      <c r="GV15" s="87">
        <f t="shared" si="21"/>
        <v>0</v>
      </c>
      <c r="GW15" s="86" t="str">
        <f>IFERROR(IF(VLOOKUP(A15,tbMoveset!A2:B112,2,FALSE)="Sever",Backdoors!AY32/100,IF(VLOOKUP(A15,tbMoveset!A2:B112,2,FALSE)="Blunt",Backdoors!AZ32/100,Backdoors!BA32/100)),"")</f>
        <v/>
      </c>
      <c r="GX15" s="49">
        <f>IFERROR(IF(VLOOKUP(tbMoveset!A15,tbMoveset!A2:H112,8,FALSE)="Other",IF(VLOOKUP(tbMoveset!A15,tbMoveset!A2:I112,9,FALSE)="Fire",Backdoors!BB32,IF(VLOOKUP(tbMoveset!A15,tbMoveset!A2:I112,9,FALSE)="Water",Backdoors!BC32,IF(VLOOKUP(tbMoveset!A15,tbMoveset!A2:I112,9,FALSE)="Thunder",Backdoors!BD32,IF(VLOOKUP(tbMoveset!A15,tbMoveset!A2:I112,9,FALSE)="Ice",Backdoors!BE32,IF(VLOOKUP(tbMoveset!A15,tbMoveset!A2:I112,9,FALSE)="Dragon",Backdoors!BF32,Backdoors!BG32)))))/100,Backdoors!BG32/100),"")</f>
        <v>0</v>
      </c>
      <c r="GY15" s="49">
        <f>IFERROR(IF(VLOOKUP(A15,tbMoveset!A2:J112,10,FALSE)=TRUE,IF((Backdoors!AI12+IF(GW15&gt;=0.45,VLOOKUP(Calculator!E23,tbSkills!DH3:DI6,2,FALSE)+IF(AND(Calculator!B8=TRUE,Backdoors!BI32=TRUE),VLOOKUP(Calculator!E23,tbSkills!DH3:DJ6,3,FALSE),0),0))&gt;=0,1+(Backdoors!AL2*(IF((Backdoors!AI12+IF(GW15&gt;=0.45,VLOOKUP(Calculator!E23,tbSkills!DH3:DI6,2,FALSE)+IF(AND(Calculator!B8=TRUE,Backdoors!BI32=TRUE),VLOOKUP(Calculator!E23,tbSkills!DH3:DJ6,3,FALSE),0),0))&gt;=100,100,(Backdoors!AI12+IF(GW15&gt;=0.45,VLOOKUP(Calculator!E23,tbSkills!DH3:DI6,2,FALSE)+IF(AND(Calculator!B8=TRUE,Backdoors!BI32=TRUE),VLOOKUP(Calculator!E23,tbSkills!DH3:DJ6,3,FALSE),0),0)))/100)),(1-(0.25*((-Backdoors!AI12-IF(GW15&gt;=0.45,VLOOKUP(Calculator!E23,tbSkills!DH3:DI6,2,FALSE)+IF(AND(Calculator!B8=TRUE,Backdoors!BI32=TRUE),VLOOKUP(Calculator!E23,tbSkills!DH3:DJ6,3,FALSE),0),0))/100)))),1),"")</f>
        <v>1</v>
      </c>
      <c r="GZ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W15)*GY15)*(VLOOKUP(A15,tbMoveset!A2:C112,3,FALSE)/100)*IF(VLOOKUP(A15,tbMoveset!A2:B112,2,FALSE)="Projectile",Backdoors!N10,Backdoors!N9),0),"")</f>
        <v/>
      </c>
      <c r="HA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W15&gt;=0.45,VLOOKUP(Calculator!E23,tbSkills!DH3:DI6,2,FALSE)+IF(AND(Calculator!B8=TRUE,Backdoors!BI32=TRUE),VLOOKUP(Calculator!E23,tbSkills!DH3:DJ6,3,FALSE),0),0))&gt;=100,100,(Backdoors!AI12+IF(GW15&gt;=0.45,VLOOKUP(Calculator!E23,tbSkills!DH3:DI6,2,FALSE)+IF(AND(Calculator!B8=TRUE,Backdoors!BI32=TRUE),VLOOKUP(Calculator!E23,tbSkills!DH3:DJ6,3,FALSE),0),0)))/100)),1))*IF(VLOOKUP(A15,tbMoveset!A2:K112,11,FALSE)=TRUE,Backdoors!AC5,1))*GX15,0),"")</f>
        <v>0</v>
      </c>
      <c r="HB15" s="49">
        <f>VLOOKUP(A15,tbMoveset!A2:G112,7,FALSE)*IFERROR(IF(Backdoors!AI12&gt;=0,1+(IF(Calculator!E40&gt;0,VLOOKUP(Calculator!E40,tbSkills!AI3:AJ5,2,FALSE),Backdoors!AL4)*(IF((Backdoors!AI12+IF(GW15&gt;=0.45,VLOOKUP(Calculator!E23,tbSkills!DH3:DI6,2,FALSE)+IF(AND(Calculator!B8=TRUE,Backdoors!BI32=TRUE),VLOOKUP(Calculator!E23,tbSkills!DH3:DJ6,3,FALSE),0),0))&gt;=100,100,(Backdoors!AI12+IF(GW15&gt;=0.45,VLOOKUP(Calculator!E23,tbSkills!DH3:DI6,2,FALSE)+IF(AND(Calculator!B8=TRUE,Backdoors!BI32=TRUE),VLOOKUP(Calculator!E23,tbSkills!DH3:DJ6,3,FALSE),0),0)))/100)),1),1)</f>
        <v>0.5</v>
      </c>
      <c r="HC15" s="87">
        <f t="shared" si="22"/>
        <v>0</v>
      </c>
      <c r="HD15" s="86" t="str">
        <f>IFERROR(IF(VLOOKUP(A15,tbMoveset!A2:B112,2,FALSE)="Sever",Backdoors!AY33/100,IF(VLOOKUP(A15,tbMoveset!A2:B112,2,FALSE)="Blunt",Backdoors!AZ33/100,Backdoors!BA33/100)),"")</f>
        <v/>
      </c>
      <c r="HE15" s="49">
        <f>IFERROR(IF(VLOOKUP(tbMoveset!A15,tbMoveset!A2:H112,8,FALSE)="Other",IF(VLOOKUP(tbMoveset!A15,tbMoveset!A2:I112,9,FALSE)="Fire",Backdoors!BB33,IF(VLOOKUP(tbMoveset!A15,tbMoveset!A2:I112,9,FALSE)="Water",Backdoors!BC33,IF(VLOOKUP(tbMoveset!A15,tbMoveset!A2:I112,9,FALSE)="Thunder",Backdoors!BD33,IF(VLOOKUP(tbMoveset!A15,tbMoveset!A2:I112,9,FALSE)="Ice",Backdoors!BE33,IF(VLOOKUP(tbMoveset!A15,tbMoveset!A2:I112,9,FALSE)="Dragon",Backdoors!BF33,Backdoors!BG33)))))/100,Backdoors!BG33/100),"")</f>
        <v>0</v>
      </c>
      <c r="HF15" s="49">
        <f>IFERROR(IF(VLOOKUP(A15,tbMoveset!A2:J112,10,FALSE)=TRUE,IF((Backdoors!AI12+IF(HD15&gt;=0.45,VLOOKUP(Calculator!E23,tbSkills!DH3:DI6,2,FALSE)+IF(AND(Calculator!B8=TRUE,Backdoors!BI33=TRUE),VLOOKUP(Calculator!E23,tbSkills!DH3:DJ6,3,FALSE),0),0))&gt;=0,1+(Backdoors!AL2*(IF((Backdoors!AI12+IF(HD15&gt;=0.45,VLOOKUP(Calculator!E23,tbSkills!DH3:DI6,2,FALSE)+IF(AND(Calculator!B8=TRUE,Backdoors!BI33=TRUE),VLOOKUP(Calculator!E23,tbSkills!DH3:DJ6,3,FALSE),0),0))&gt;=100,100,(Backdoors!AI12+IF(HD15&gt;=0.45,VLOOKUP(Calculator!E23,tbSkills!DH3:DI6,2,FALSE)+IF(AND(Calculator!B8=TRUE,Backdoors!BI33=TRUE),VLOOKUP(Calculator!E23,tbSkills!DH3:DJ6,3,FALSE),0),0)))/100)),(1-(0.25*((-Backdoors!AI12-IF(HD15&gt;=0.45,VLOOKUP(Calculator!E23,tbSkills!DH3:DI6,2,FALSE)+IF(AND(Calculator!B8=TRUE,Backdoors!BI33=TRUE),VLOOKUP(Calculator!E23,tbSkills!DH3:DJ6,3,FALSE),0),0))/100)))),1),"")</f>
        <v>1</v>
      </c>
      <c r="HG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D15)*HF15)*(VLOOKUP(A15,tbMoveset!A2:C112,3,FALSE)/100)*IF(VLOOKUP(A15,tbMoveset!A2:B112,2,FALSE)="Projectile",Backdoors!N10,Backdoors!N9),0),"")</f>
        <v/>
      </c>
      <c r="HH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D15&gt;=0.45,VLOOKUP(Calculator!E23,tbSkills!DH3:DI6,2,FALSE)+IF(AND(Calculator!B8=TRUE,Backdoors!BI33=TRUE),VLOOKUP(Calculator!E23,tbSkills!DH3:DJ6,3,FALSE),0),0))&gt;=100,100,(Backdoors!AI12+IF(HD15&gt;=0.45,VLOOKUP(Calculator!E23,tbSkills!DH3:DI6,2,FALSE)+IF(AND(Calculator!B8=TRUE,Backdoors!BI33=TRUE),VLOOKUP(Calculator!E23,tbSkills!DH3:DJ6,3,FALSE),0),0)))/100)),1))*IF(VLOOKUP(A15,tbMoveset!A2:K112,11,FALSE)=TRUE,Backdoors!AC5,1))*HE15,0),"")</f>
        <v>0</v>
      </c>
      <c r="HI15" s="49">
        <f>VLOOKUP(A15,tbMoveset!A2:G112,7,FALSE)*IFERROR(IF(Backdoors!AI12&gt;=0,1+(IF(Calculator!E40&gt;0,VLOOKUP(Calculator!E40,tbSkills!AI3:AJ5,2,FALSE),Backdoors!AL4)*(IF((Backdoors!AI12+IF(HD15&gt;=0.45,VLOOKUP(Calculator!E23,tbSkills!DH3:DI6,2,FALSE)+IF(AND(Calculator!B8=TRUE,Backdoors!BI33=TRUE),VLOOKUP(Calculator!E23,tbSkills!DH3:DJ6,3,FALSE),0),0))&gt;=100,100,(Backdoors!AI12+IF(HD15&gt;=0.45,VLOOKUP(Calculator!E23,tbSkills!DH3:DI6,2,FALSE)+IF(AND(Calculator!B8=TRUE,Backdoors!BI33=TRUE),VLOOKUP(Calculator!E23,tbSkills!DH3:DJ6,3,FALSE),0),0)))/100)),1),1)</f>
        <v>0.5</v>
      </c>
      <c r="HJ15" s="87">
        <f t="shared" si="23"/>
        <v>0</v>
      </c>
      <c r="HK15" s="86" t="str">
        <f>IFERROR(IF(VLOOKUP(A15,tbMoveset!A2:B112,2,FALSE)="Sever",Backdoors!AY34/100,IF(VLOOKUP(A15,tbMoveset!A2:B112,2,FALSE)="Blunt",Backdoors!AZ34/100,Backdoors!BA34/100)),"")</f>
        <v/>
      </c>
      <c r="HL15" s="49">
        <f>IFERROR(IF(VLOOKUP(tbMoveset!A15,tbMoveset!A2:H112,8,FALSE)="Other",IF(VLOOKUP(tbMoveset!A15,tbMoveset!A2:I112,9,FALSE)="Fire",Backdoors!BB34,IF(VLOOKUP(tbMoveset!A15,tbMoveset!A2:I112,9,FALSE)="Water",Backdoors!BC34,IF(VLOOKUP(tbMoveset!A15,tbMoveset!A2:I112,9,FALSE)="Thunder",Backdoors!BD34,IF(VLOOKUP(tbMoveset!A15,tbMoveset!A2:I112,9,FALSE)="Ice",Backdoors!BE34,IF(VLOOKUP(tbMoveset!A15,tbMoveset!A2:I112,9,FALSE)="Dragon",Backdoors!BF34,Backdoors!BG34)))))/100,Backdoors!BG34/100),"")</f>
        <v>0</v>
      </c>
      <c r="HM15" s="49">
        <f>IFERROR(IF(VLOOKUP(A15,tbMoveset!A2:J112,10,FALSE)=TRUE,IF((Backdoors!AI12+IF(HK15&gt;=0.45,VLOOKUP(Calculator!E23,tbSkills!DH3:DI6,2,FALSE)+IF(AND(Calculator!B8=TRUE,Backdoors!BI34=TRUE),VLOOKUP(Calculator!E23,tbSkills!DH3:DJ6,3,FALSE),0),0))&gt;=0,1+(Backdoors!AL2*(IF((Backdoors!AI12+IF(HK15&gt;=0.45,VLOOKUP(Calculator!E23,tbSkills!DH3:DI6,2,FALSE)+IF(AND(Calculator!B8=TRUE,Backdoors!BI34=TRUE),VLOOKUP(Calculator!E23,tbSkills!DH3:DJ6,3,FALSE),0),0))&gt;=100,100,(Backdoors!AI12+IF(HK15&gt;=0.45,VLOOKUP(Calculator!E23,tbSkills!DH3:DI6,2,FALSE)+IF(AND(Calculator!B8=TRUE,Backdoors!BI34=TRUE),VLOOKUP(Calculator!E23,tbSkills!DH3:DJ6,3,FALSE),0),0)))/100)),(1-(0.25*((-Backdoors!AI12-IF(HK15&gt;=0.45,VLOOKUP(Calculator!E23,tbSkills!DH3:DI6,2,FALSE)+IF(AND(Calculator!B8=TRUE,Backdoors!BI34=TRUE),VLOOKUP(Calculator!E23,tbSkills!DH3:DJ6,3,FALSE),0),0))/100)))),1),"")</f>
        <v>1</v>
      </c>
      <c r="HN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K15)*HM15)*(VLOOKUP(A15,tbMoveset!A2:C112,3,FALSE)/100)*IF(VLOOKUP(A15,tbMoveset!A2:B112,2,FALSE)="Projectile",Backdoors!N10,Backdoors!N9),0),"")</f>
        <v/>
      </c>
      <c r="HO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K15&gt;=0.45,VLOOKUP(Calculator!E23,tbSkills!DH3:DI6,2,FALSE)+IF(AND(Calculator!B8=TRUE,Backdoors!BI34=TRUE),VLOOKUP(Calculator!E23,tbSkills!DH3:DJ6,3,FALSE),0),0))&gt;=100,100,(Backdoors!AI12+IF(HK15&gt;=0.45,VLOOKUP(Calculator!E23,tbSkills!DH3:DI6,2,FALSE)+IF(AND(Calculator!B8=TRUE,Backdoors!BI34=TRUE),VLOOKUP(Calculator!E23,tbSkills!DH3:DJ6,3,FALSE),0),0)))/100)),1))*IF(VLOOKUP(A15,tbMoveset!A2:K112,11,FALSE)=TRUE,Backdoors!AC5,1))*HL15,0),"")</f>
        <v>0</v>
      </c>
      <c r="HP15" s="49">
        <f>VLOOKUP(A15,tbMoveset!A2:G112,7,FALSE)*IFERROR(IF(Backdoors!AI12&gt;=0,1+(IF(Calculator!E40&gt;0,VLOOKUP(Calculator!E40,tbSkills!AI3:AJ5,2,FALSE),Backdoors!AL4)*(IF((Backdoors!AI12+IF(HK15&gt;=0.45,VLOOKUP(Calculator!E23,tbSkills!DH3:DI6,2,FALSE)+IF(AND(Calculator!B8=TRUE,Backdoors!BI34=TRUE),VLOOKUP(Calculator!E23,tbSkills!DH3:DJ6,3,FALSE),0),0))&gt;=100,100,(Backdoors!AI12+IF(HK15&gt;=0.45,VLOOKUP(Calculator!E23,tbSkills!DH3:DI6,2,FALSE)+IF(AND(Calculator!B8=TRUE,Backdoors!BI34=TRUE),VLOOKUP(Calculator!E23,tbSkills!DH3:DJ6,3,FALSE),0),0)))/100)),1),1)</f>
        <v>0.5</v>
      </c>
      <c r="HQ15" s="87">
        <f t="shared" si="24"/>
        <v>0</v>
      </c>
      <c r="HR15" s="86" t="str">
        <f>IFERROR(IF(VLOOKUP(A15,tbMoveset!A2:B112,2,FALSE)="Sever",Backdoors!AY35/100,IF(VLOOKUP(A15,tbMoveset!A2:B112,2,FALSE)="Blunt",Backdoors!AZ35/100,Backdoors!BA35/100)),"")</f>
        <v/>
      </c>
      <c r="HS15" s="49">
        <f>IFERROR(IF(VLOOKUP(tbMoveset!A15,tbMoveset!A2:H112,8,FALSE)="Other",IF(VLOOKUP(tbMoveset!A15,tbMoveset!A2:I112,9,FALSE)="Fire",Backdoors!BB35,IF(VLOOKUP(tbMoveset!A15,tbMoveset!A2:I112,9,FALSE)="Water",Backdoors!BC35,IF(VLOOKUP(tbMoveset!A15,tbMoveset!A2:I112,9,FALSE)="Thunder",Backdoors!BD35,IF(VLOOKUP(tbMoveset!A15,tbMoveset!A2:I112,9,FALSE)="Ice",Backdoors!BE35,IF(VLOOKUP(tbMoveset!A15,tbMoveset!A2:I112,9,FALSE)="Dragon",Backdoors!BF35,Backdoors!BG35)))))/100,Backdoors!BG35/100),"")</f>
        <v>0</v>
      </c>
      <c r="HT15" s="49">
        <f>IFERROR(IF(VLOOKUP(A15,tbMoveset!A2:J112,10,FALSE)=TRUE,IF((Backdoors!AI12+IF(HR15&gt;=0.45,VLOOKUP(Calculator!E23,tbSkills!DH3:DI6,2,FALSE)+IF(AND(Calculator!B8=TRUE,Backdoors!BI35=TRUE),VLOOKUP(Calculator!E23,tbSkills!DH3:DJ6,3,FALSE),0),0))&gt;=0,1+(Backdoors!AL2*(IF((Backdoors!AI12+IF(HR15&gt;=0.45,VLOOKUP(Calculator!E23,tbSkills!DH3:DI6,2,FALSE)+IF(AND(Calculator!B8=TRUE,Backdoors!BI35=TRUE),VLOOKUP(Calculator!E23,tbSkills!DH3:DJ6,3,FALSE),0),0))&gt;=100,100,(Backdoors!AI12+IF(HR15&gt;=0.45,VLOOKUP(Calculator!E23,tbSkills!DH3:DI6,2,FALSE)+IF(AND(Calculator!B8=TRUE,Backdoors!BI35=TRUE),VLOOKUP(Calculator!E23,tbSkills!DH3:DJ6,3,FALSE),0),0)))/100)),(1-(0.25*((-Backdoors!AI12-IF(HR15&gt;=0.45,VLOOKUP(Calculator!E23,tbSkills!DH3:DI6,2,FALSE)+IF(AND(Calculator!B8=TRUE,Backdoors!BI35=TRUE),VLOOKUP(Calculator!E23,tbSkills!DH3:DJ6,3,FALSE),0),0))/100)))),1),"")</f>
        <v>1</v>
      </c>
      <c r="HU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R15)*HT15)*(VLOOKUP(A15,tbMoveset!A2:C112,3,FALSE)/100)*IF(VLOOKUP(A15,tbMoveset!A2:B112,2,FALSE)="Projectile",Backdoors!N10,Backdoors!N9),0),"")</f>
        <v/>
      </c>
      <c r="HV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R15&gt;=0.45,VLOOKUP(Calculator!E23,tbSkills!DH3:DI6,2,FALSE)+IF(AND(Calculator!B8=TRUE,Backdoors!BI35=TRUE),VLOOKUP(Calculator!E23,tbSkills!DH3:DJ6,3,FALSE),0),0))&gt;=100,100,(Backdoors!AI12+IF(HR15&gt;=0.45,VLOOKUP(Calculator!E23,tbSkills!DH3:DI6,2,FALSE)+IF(AND(Calculator!B8=TRUE,Backdoors!BI35=TRUE),VLOOKUP(Calculator!E23,tbSkills!DH3:DJ6,3,FALSE),0),0)))/100)),1))*IF(VLOOKUP(A15,tbMoveset!A2:K112,11,FALSE)=TRUE,Backdoors!AC5,1))*HS15,0),"")</f>
        <v>0</v>
      </c>
      <c r="HW15" s="49">
        <f>VLOOKUP(A15,tbMoveset!A2:G112,7,FALSE)*IFERROR(IF(Backdoors!AI12&gt;=0,1+(IF(Calculator!E40&gt;0,VLOOKUP(Calculator!E40,tbSkills!AI3:AJ5,2,FALSE),Backdoors!AL4)*(IF((Backdoors!AI12+IF(HR15&gt;=0.45,VLOOKUP(Calculator!E23,tbSkills!DH3:DI6,2,FALSE)+IF(AND(Calculator!B8=TRUE,Backdoors!BI35=TRUE),VLOOKUP(Calculator!E23,tbSkills!DH3:DJ6,3,FALSE),0),0))&gt;=100,100,(Backdoors!AI12+IF(HR15&gt;=0.45,VLOOKUP(Calculator!E23,tbSkills!DH3:DI6,2,FALSE)+IF(AND(Calculator!B8=TRUE,Backdoors!BI35=TRUE),VLOOKUP(Calculator!E23,tbSkills!DH3:DJ6,3,FALSE),0),0)))/100)),1),1)</f>
        <v>0.5</v>
      </c>
      <c r="HX15" s="87">
        <f t="shared" si="25"/>
        <v>0</v>
      </c>
      <c r="HY15" s="86" t="str">
        <f>IFERROR(IF(VLOOKUP(A15,tbMoveset!A2:B112,2,FALSE)="Sever",Backdoors!AY36/100,IF(VLOOKUP(A15,tbMoveset!A2:B112,2,FALSE)="Blunt",Backdoors!AZ36/100,Backdoors!BA36/100)),"")</f>
        <v/>
      </c>
      <c r="HZ15" s="49">
        <f>IFERROR(IF(VLOOKUP(tbMoveset!A15,tbMoveset!A2:H112,8,FALSE)="Other",IF(VLOOKUP(tbMoveset!A15,tbMoveset!A2:I112,9,FALSE)="Fire",Backdoors!BB36,IF(VLOOKUP(tbMoveset!A15,tbMoveset!A2:I112,9,FALSE)="Water",Backdoors!BC36,IF(VLOOKUP(tbMoveset!A15,tbMoveset!A2:I112,9,FALSE)="Thunder",Backdoors!BD36,IF(VLOOKUP(tbMoveset!A15,tbMoveset!A2:I112,9,FALSE)="Ice",Backdoors!BE36,IF(VLOOKUP(tbMoveset!A15,tbMoveset!A2:I112,9,FALSE)="Dragon",Backdoors!BF36,Backdoors!BG36)))))/100,Backdoors!BG36/100),"")</f>
        <v>0</v>
      </c>
      <c r="IA15" s="49">
        <f>IFERROR(IF(VLOOKUP(A15,tbMoveset!A2:J112,10,FALSE)=TRUE,IF((Backdoors!AI12+IF(HY15&gt;=0.45,VLOOKUP(Calculator!E23,tbSkills!DH3:DI6,2,FALSE)+IF(AND(Calculator!B8=TRUE,Backdoors!BI36=TRUE),VLOOKUP(Calculator!E23,tbSkills!DH3:DJ6,3,FALSE),0),0))&gt;=0,1+(Backdoors!AL2*(IF((Backdoors!AI12+IF(HY15&gt;=0.45,VLOOKUP(Calculator!E23,tbSkills!DH3:DI6,2,FALSE)+IF(AND(Calculator!B8=TRUE,Backdoors!BI36=TRUE),VLOOKUP(Calculator!E23,tbSkills!DH3:DJ6,3,FALSE),0),0))&gt;=100,100,(Backdoors!AI12+IF(HY15&gt;=0.45,VLOOKUP(Calculator!E23,tbSkills!DH3:DI6,2,FALSE)+IF(AND(Calculator!B8=TRUE,Backdoors!BI36=TRUE),VLOOKUP(Calculator!E23,tbSkills!DH3:DJ6,3,FALSE),0),0)))/100)),(1-(0.25*((-Backdoors!AI12-IF(HY15&gt;=0.45,VLOOKUP(Calculator!E23,tbSkills!DH3:DI6,2,FALSE)+IF(AND(Calculator!B8=TRUE,Backdoors!BI36=TRUE),VLOOKUP(Calculator!E23,tbSkills!DH3:DJ6,3,FALSE),0),0))/100)))),1),"")</f>
        <v>1</v>
      </c>
      <c r="IB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Y15)*IA15)*(VLOOKUP(A15,tbMoveset!A2:C112,3,FALSE)/100)*IF(VLOOKUP(A15,tbMoveset!A2:B112,2,FALSE)="Projectile",Backdoors!N10,Backdoors!N9),0),"")</f>
        <v/>
      </c>
      <c r="IC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Y15&gt;=0.45,VLOOKUP(Calculator!E23,tbSkills!DH3:DI6,2,FALSE)+IF(AND(Calculator!B8=TRUE,Backdoors!BI36=TRUE),VLOOKUP(Calculator!E23,tbSkills!DH3:DJ6,3,FALSE),0),0))&gt;=100,100,(Backdoors!AI12+IF(HY15&gt;=0.45,VLOOKUP(Calculator!E23,tbSkills!DH3:DI6,2,FALSE)+IF(AND(Calculator!B8=TRUE,Backdoors!BI36=TRUE),VLOOKUP(Calculator!E23,tbSkills!DH3:DJ6,3,FALSE),0),0)))/100)),1))*IF(VLOOKUP(A15,tbMoveset!A2:K112,11,FALSE)=TRUE,Backdoors!AC5,1))*HZ15,0),"")</f>
        <v>0</v>
      </c>
      <c r="ID15" s="49">
        <f>VLOOKUP(A15,tbMoveset!A2:G112,7,FALSE)*IFERROR(IF(Backdoors!AI12&gt;=0,1+(IF(Calculator!E40&gt;0,VLOOKUP(Calculator!E40,tbSkills!AI3:AJ5,2,FALSE),Backdoors!AL4)*(IF((Backdoors!AI12+IF(HY15&gt;=0.45,VLOOKUP(Calculator!E23,tbSkills!DH3:DI6,2,FALSE)+IF(AND(Calculator!B8=TRUE,Backdoors!BI36=TRUE),VLOOKUP(Calculator!E23,tbSkills!DH3:DJ6,3,FALSE),0),0))&gt;=100,100,(Backdoors!AI12+IF(HY15&gt;=0.45,VLOOKUP(Calculator!E23,tbSkills!DH3:DI6,2,FALSE)+IF(AND(Calculator!B8=TRUE,Backdoors!BI36=TRUE),VLOOKUP(Calculator!E23,tbSkills!DH3:DJ6,3,FALSE),0),0)))/100)),1),1)</f>
        <v>0.5</v>
      </c>
      <c r="IE15" s="87">
        <f t="shared" si="26"/>
        <v>0</v>
      </c>
      <c r="IF15" s="86" t="str">
        <f>IFERROR(IF(VLOOKUP(A15,tbMoveset!A2:B112,2,FALSE)="Sever",Backdoors!AY37/100,IF(VLOOKUP(A15,tbMoveset!A2:B112,2,FALSE)="Blunt",Backdoors!AZ37/100,Backdoors!BA37/100)),"")</f>
        <v/>
      </c>
      <c r="IG15" s="49">
        <f>IFERROR(IF(VLOOKUP(tbMoveset!A15,tbMoveset!A2:H112,8,FALSE)="Other",IF(VLOOKUP(tbMoveset!A15,tbMoveset!A2:I112,9,FALSE)="Fire",Backdoors!BB37,IF(VLOOKUP(tbMoveset!A15,tbMoveset!A2:I112,9,FALSE)="Water",Backdoors!BC37,IF(VLOOKUP(tbMoveset!A15,tbMoveset!A2:I112,9,FALSE)="Thunder",Backdoors!BD37,IF(VLOOKUP(tbMoveset!A15,tbMoveset!A2:I112,9,FALSE)="Ice",Backdoors!BE37,IF(VLOOKUP(tbMoveset!A15,tbMoveset!A2:I112,9,FALSE)="Dragon",Backdoors!BF37,Backdoors!BG37)))))/100,Backdoors!BG37/100),"")</f>
        <v>0</v>
      </c>
      <c r="IH15" s="49">
        <f>IFERROR(IF(VLOOKUP(A15,tbMoveset!A2:J112,10,FALSE)=TRUE,IF((Backdoors!AI12+IF(IF15&gt;=0.45,VLOOKUP(Calculator!E23,tbSkills!DH3:DI6,2,FALSE)+IF(AND(Calculator!B8=TRUE,Backdoors!BI37=TRUE),VLOOKUP(Calculator!E23,tbSkills!DH3:DJ6,3,FALSE),0),0))&gt;=0,1+(Backdoors!AL2*(IF((Backdoors!AI12+IF(IF15&gt;=0.45,VLOOKUP(Calculator!E23,tbSkills!DH3:DI6,2,FALSE)+IF(AND(Calculator!B8=TRUE,Backdoors!BI37=TRUE),VLOOKUP(Calculator!E23,tbSkills!DH3:DJ6,3,FALSE),0),0))&gt;=100,100,(Backdoors!AI12+IF(IF15&gt;=0.45,VLOOKUP(Calculator!E23,tbSkills!DH3:DI6,2,FALSE)+IF(AND(Calculator!B8=TRUE,Backdoors!BI37=TRUE),VLOOKUP(Calculator!E23,tbSkills!DH3:DJ6,3,FALSE),0),0)))/100)),(1-(0.25*((-Backdoors!AI12-IF(IF15&gt;=0.45,VLOOKUP(Calculator!E23,tbSkills!DH3:DI6,2,FALSE)+IF(AND(Calculator!B8=TRUE,Backdoors!BI37=TRUE),VLOOKUP(Calculator!E23,tbSkills!DH3:DJ6,3,FALSE),0),0))/100)))),1),"")</f>
        <v>1</v>
      </c>
      <c r="II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F15)*IH15)*(VLOOKUP(A15,tbMoveset!A2:C112,3,FALSE)/100)*IF(VLOOKUP(A15,tbMoveset!A2:B112,2,FALSE)="Projectile",Backdoors!N10,Backdoors!N9),0),"")</f>
        <v/>
      </c>
      <c r="IJ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IF15&gt;=0.45,VLOOKUP(Calculator!E23,tbSkills!DH3:DI6,2,FALSE)+IF(AND(Calculator!B8=TRUE,Backdoors!BI37=TRUE),VLOOKUP(Calculator!E23,tbSkills!DH3:DJ6,3,FALSE),0),0))&gt;=100,100,(Backdoors!AI12+IF(IF15&gt;=0.45,VLOOKUP(Calculator!E23,tbSkills!DH3:DI6,2,FALSE)+IF(AND(Calculator!B8=TRUE,Backdoors!BI37=TRUE),VLOOKUP(Calculator!E23,tbSkills!DH3:DJ6,3,FALSE),0),0)))/100)),1))*IF(VLOOKUP(A15,tbMoveset!A2:K112,11,FALSE)=TRUE,Backdoors!AC5,1))*IG15,0),"")</f>
        <v>0</v>
      </c>
      <c r="IK15" s="49">
        <f>VLOOKUP(A15,tbMoveset!A2:G112,7,FALSE)*IFERROR(IF(Backdoors!AI12&gt;=0,1+(IF(Calculator!E40&gt;0,VLOOKUP(Calculator!E40,tbSkills!AI3:AJ5,2,FALSE),Backdoors!AL4)*(IF((Backdoors!AI12+IF(IF15&gt;=0.45,VLOOKUP(Calculator!E23,tbSkills!DH3:DI6,2,FALSE)+IF(AND(Calculator!B8=TRUE,Backdoors!BI37=TRUE),VLOOKUP(Calculator!E23,tbSkills!DH3:DJ6,3,FALSE),0),0))&gt;=100,100,(Backdoors!AI12+IF(IF15&gt;=0.45,VLOOKUP(Calculator!E23,tbSkills!DH3:DI6,2,FALSE)+IF(AND(Calculator!B8=TRUE,Backdoors!BI37=TRUE),VLOOKUP(Calculator!E23,tbSkills!DH3:DJ6,3,FALSE),0),0)))/100)),1),1)</f>
        <v>0.5</v>
      </c>
      <c r="IL15" s="87">
        <f t="shared" si="27"/>
        <v>0</v>
      </c>
      <c r="IM15" s="86" t="str">
        <f>IFERROR(IF(VLOOKUP(A15,tbMoveset!A2:B112,2,FALSE)="Sever",Backdoors!AY38/100,IF(VLOOKUP(A15,tbMoveset!A2:B112,2,FALSE)="Blunt",Backdoors!AZ38/100,Backdoors!BA38/100)),"")</f>
        <v/>
      </c>
      <c r="IN15" s="49">
        <f>IFERROR(IF(VLOOKUP(tbMoveset!A15,tbMoveset!A2:H112,8,FALSE)="Other",IF(VLOOKUP(tbMoveset!A15,tbMoveset!A2:I112,9,FALSE)="Fire",Backdoors!BB38,IF(VLOOKUP(tbMoveset!A15,tbMoveset!A2:I112,9,FALSE)="Water",Backdoors!BC38,IF(VLOOKUP(tbMoveset!A15,tbMoveset!A2:I112,9,FALSE)="Thunder",Backdoors!BD38,IF(VLOOKUP(tbMoveset!A15,tbMoveset!A2:I112,9,FALSE)="Ice",Backdoors!BE38,IF(VLOOKUP(tbMoveset!A15,tbMoveset!A2:I112,9,FALSE)="Dragon",Backdoors!BF38,Backdoors!BG38)))))/100,Backdoors!BG38/100),"")</f>
        <v>0</v>
      </c>
      <c r="IO15" s="49">
        <f>IFERROR(IF(VLOOKUP(A15,tbMoveset!A2:J112,10,FALSE)=TRUE,IF((Backdoors!AI12+IF(IM15&gt;=0.45,VLOOKUP(Calculator!E23,tbSkills!DH3:DI6,2,FALSE)+IF(AND(Calculator!B8=TRUE,Backdoors!BI38=TRUE),VLOOKUP(Calculator!E23,tbSkills!DH3:DJ6,3,FALSE),0),0))&gt;=0,1+(Backdoors!AL2*(IF((Backdoors!AI12+IF(IM15&gt;=0.45,VLOOKUP(Calculator!E23,tbSkills!DH3:DI6,2,FALSE)+IF(AND(Calculator!B8=TRUE,Backdoors!BI38=TRUE),VLOOKUP(Calculator!E23,tbSkills!DH3:DJ6,3,FALSE),0),0))&gt;=100,100,(Backdoors!AI12+IF(IM15&gt;=0.45,VLOOKUP(Calculator!E23,tbSkills!DH3:DI6,2,FALSE)+IF(AND(Calculator!B8=TRUE,Backdoors!BI38=TRUE),VLOOKUP(Calculator!E23,tbSkills!DH3:DJ6,3,FALSE),0),0)))/100)),(1-(0.25*((-Backdoors!AI12-IF(IM15&gt;=0.45,VLOOKUP(Calculator!E23,tbSkills!DH3:DI6,2,FALSE)+IF(AND(Calculator!B8=TRUE,Backdoors!BI38=TRUE),VLOOKUP(Calculator!E23,tbSkills!DH3:DJ6,3,FALSE),0),0))/100)))),1),"")</f>
        <v>1</v>
      </c>
      <c r="IP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M15)*IO15)*(VLOOKUP(A15,tbMoveset!A2:C112,3,FALSE)/100)*IF(VLOOKUP(A15,tbMoveset!A2:B112,2,FALSE)="Projectile",Backdoors!N10,Backdoors!N9),0),"")</f>
        <v/>
      </c>
      <c r="IQ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IM15&gt;=0.45,VLOOKUP(Calculator!E23,tbSkills!DH3:DI6,2,FALSE)+IF(AND(Calculator!B8=TRUE,Backdoors!BI38=TRUE),VLOOKUP(Calculator!E23,tbSkills!DH3:DJ6,3,FALSE),0),0))&gt;=100,100,(Backdoors!AI12+IF(IM15&gt;=0.45,VLOOKUP(Calculator!E23,tbSkills!DH3:DI6,2,FALSE)+IF(AND(Calculator!B8=TRUE,Backdoors!BI38=TRUE),VLOOKUP(Calculator!E23,tbSkills!DH3:DJ6,3,FALSE),0),0)))/100)),1))*IF(VLOOKUP(A15,tbMoveset!A2:K112,11,FALSE)=TRUE,Backdoors!AC5,1))*IN15,0),"")</f>
        <v>0</v>
      </c>
      <c r="IR15" s="49">
        <f>VLOOKUP(A15,tbMoveset!A2:G112,7,FALSE)*IFERROR(IF(Backdoors!AI12&gt;=0,1+(IF(Calculator!E40&gt;0,VLOOKUP(Calculator!E40,tbSkills!AI3:AJ5,2,FALSE),Backdoors!AL4)*(IF((Backdoors!AI12+IF(IM15&gt;=0.45,VLOOKUP(Calculator!E23,tbSkills!DH3:DI6,2,FALSE)+IF(AND(Calculator!B8=TRUE,Backdoors!BI38=TRUE),VLOOKUP(Calculator!E23,tbSkills!DH3:DJ6,3,FALSE),0),0))&gt;=100,100,(Backdoors!AI12+IF(IM15&gt;=0.45,VLOOKUP(Calculator!E23,tbSkills!DH3:DI6,2,FALSE)+IF(AND(Calculator!B8=TRUE,Backdoors!BI38=TRUE),VLOOKUP(Calculator!E23,tbSkills!DH3:DJ6,3,FALSE),0),0)))/100)),1),1)</f>
        <v>0.5</v>
      </c>
      <c r="IS15" s="87">
        <f t="shared" si="42"/>
        <v>0</v>
      </c>
      <c r="IT15" s="86" t="str">
        <f>IFERROR(IF(VLOOKUP(A15,tbMoveset!A2:B112,2,FALSE)="Sever",Backdoors!AY39/100,IF(VLOOKUP(A15,tbMoveset!A2:B112,2,FALSE)="Blunt",Backdoors!AZ39/100,Backdoors!BA39/100)),"")</f>
        <v/>
      </c>
      <c r="IU15" s="49">
        <f>IFERROR(IF(VLOOKUP(tbMoveset!A15,tbMoveset!A2:H112,8,FALSE)="Other",IF(VLOOKUP(tbMoveset!A15,tbMoveset!A2:I112,9,FALSE)="Fire",Backdoors!BB39,IF(VLOOKUP(tbMoveset!A15,tbMoveset!A2:I112,9,FALSE)="Water",Backdoors!BC39,IF(VLOOKUP(tbMoveset!A15,tbMoveset!A2:I112,9,FALSE)="Thunder",Backdoors!BD39,IF(VLOOKUP(tbMoveset!A15,tbMoveset!A2:I112,9,FALSE)="Ice",Backdoors!BE39,IF(VLOOKUP(tbMoveset!A15,tbMoveset!A2:I112,9,FALSE)="Dragon",Backdoors!BF39,Backdoors!BG39)))))/100,Backdoors!BG39/100),"")</f>
        <v>0</v>
      </c>
      <c r="IV15" s="49">
        <f>IFERROR(IF(VLOOKUP(A15,tbMoveset!A2:J112,10,FALSE)=TRUE,IF((Backdoors!AI12+IF(IT15&gt;=0.45,VLOOKUP(Calculator!E23,tbSkills!DH3:DI6,2,FALSE)+IF(AND(Calculator!B8=TRUE,Backdoors!BI39=TRUE),VLOOKUP(Calculator!E23,tbSkills!DH3:DJ6,3,FALSE),0),0))&gt;=0,1+(Backdoors!AL2*(IF((Backdoors!AI12+IF(IT15&gt;=0.45,VLOOKUP(Calculator!E23,tbSkills!DH3:DI6,2,FALSE)+IF(AND(Calculator!B8=TRUE,Backdoors!BI39=TRUE),VLOOKUP(Calculator!E23,tbSkills!DH3:DJ6,3,FALSE),0),0))&gt;=100,100,(Backdoors!AI12+IF(IT15&gt;=0.45,VLOOKUP(Calculator!E23,tbSkills!DH3:DI6,2,FALSE)+IF(AND(Calculator!B8=TRUE,Backdoors!BI39=TRUE),VLOOKUP(Calculator!E23,tbSkills!DH3:DJ6,3,FALSE),0),0)))/100)),(1-(0.25*((-Backdoors!AI12-IF(IT15&gt;=0.45,VLOOKUP(Calculator!E23,tbSkills!DH3:DI6,2,FALSE)+IF(AND(Calculator!B8=TRUE,Backdoors!BI39=TRUE),VLOOKUP(Calculator!E23,tbSkills!DH3:DJ6,3,FALSE),0),0))/100)))),1),"")</f>
        <v>1</v>
      </c>
      <c r="IW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T15)*IV15)*(VLOOKUP(A15,tbMoveset!A2:C112,3,FALSE)/100)*IF(VLOOKUP(A15,tbMoveset!A2:B112,2,FALSE)="Projectile",Backdoors!N10,Backdoors!N9),0),"")</f>
        <v/>
      </c>
      <c r="IX15" s="49">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40&gt;0,VLOOKUP(Calculator!E40,tbSkills!AC3:AD5,2,FALSE),Backdoors!AL3)*(IF((Backdoors!AI12+IF(IT15&gt;=0.45,VLOOKUP(Calculator!E23,tbSkills!DH3:DI6,2,FALSE)+IF(AND(Calculator!B8=TRUE,Backdoors!BI39=TRUE),VLOOKUP(Calculator!E23,tbSkills!DH3:DJ6,3,FALSE),0),0))&gt;=100,100,(Backdoors!AI12+IF(IT15&gt;=0.45,VLOOKUP(Calculator!E23,tbSkills!DH3:DI6,2,FALSE)+IF(AND(Calculator!B8=TRUE,Backdoors!BI39=TRUE),VLOOKUP(Calculator!E23,tbSkills!DH3:DJ6,3,FALSE),0),0)))/100)),1))*IF(VLOOKUP(A15,tbMoveset!A2:K112,11,FALSE)=TRUE,Backdoors!AC5,1))*IU15,0),"")</f>
        <v>0</v>
      </c>
      <c r="IY15" s="49">
        <f>VLOOKUP(A15,tbMoveset!A2:G112,7,FALSE)*IFERROR(IF(Backdoors!AI12&gt;=0,1+(IF(Calculator!E40&gt;0,VLOOKUP(Calculator!E40,tbSkills!AI3:AJ5,2,FALSE),Backdoors!AL4)*(IF((Backdoors!AI12+IF(IT15&gt;=0.45,VLOOKUP(Calculator!E23,tbSkills!DH3:DI6,2,FALSE)+IF(AND(Calculator!B8=TRUE,Backdoors!BI39=TRUE),VLOOKUP(Calculator!E23,tbSkills!DH3:DJ6,3,FALSE),0),0))&gt;=100,100,(Backdoors!AI12+IF(IT15&gt;=0.45,VLOOKUP(Calculator!E23,tbSkills!DH3:DI6,2,FALSE)+IF(AND(Calculator!B8=TRUE,Backdoors!BI39=TRUE),VLOOKUP(Calculator!E23,tbSkills!DH3:DJ6,3,FALSE),0),0)))/100)),1),1)</f>
        <v>0.5</v>
      </c>
      <c r="IZ15" s="87">
        <f t="shared" si="28"/>
        <v>0</v>
      </c>
      <c r="JA15" s="86" t="str">
        <f>IFERROR(IF(VLOOKUP(A15,tbMoveset!A2:B112,2,FALSE)="Sever",Backdoors!AY40/100,IF(VLOOKUP(A15,tbMoveset!A2:B112,2,FALSE)="Blunt",Backdoors!AZ40/100,Backdoors!BA40/100)),"")</f>
        <v/>
      </c>
      <c r="JB15" s="49">
        <f>IFERROR(IF(VLOOKUP(tbMoveset!A15,tbMoveset!A2:H112,8,FALSE)="Other",IF(VLOOKUP(tbMoveset!A15,tbMoveset!A2:I112,9,FALSE)="Fire",Backdoors!BB40,IF(VLOOKUP(tbMoveset!A15,tbMoveset!A2:I112,9,FALSE)="Water",Backdoors!BC40,IF(VLOOKUP(tbMoveset!A15,tbMoveset!A2:I112,9,FALSE)="Thunder",Backdoors!BD40,IF(VLOOKUP(tbMoveset!A15,tbMoveset!A2:I112,9,FALSE)="Ice",Backdoors!BE40,IF(VLOOKUP(tbMoveset!A15,tbMoveset!A2:I112,9,FALSE)="Dragon",Backdoors!BF40,Backdoors!BG40)))))/100,Backdoors!BG40/100),"")</f>
        <v>0</v>
      </c>
      <c r="JC15" s="49">
        <f>IFERROR(IF(VLOOKUP(A15,tbMoveset!A2:J112,10,FALSE)=TRUE,IF((Backdoors!AI12+IF(JA15&gt;=0.45,VLOOKUP(Calculator!E23,tbSkills!DH3:DI6,2,FALSE)+IF(AND(Calculator!B8=TRUE,Backdoors!BI40=TRUE),VLOOKUP(Calculator!E23,tbSkills!DH3:DJ6,3,FALSE),0),0))&gt;=0,1+(Backdoors!AL2*(IF((Backdoors!AI12+IF(JA15&gt;=0.45,VLOOKUP(Calculator!E23,tbSkills!DH3:DI6,2,FALSE)+IF(AND(Calculator!B8=TRUE,Backdoors!BI40=TRUE),VLOOKUP(Calculator!E23,tbSkills!DH3:DJ6,3,FALSE),0),0))&gt;=100,100,(Backdoors!AI12+IF(JA15&gt;=0.45,VLOOKUP(Calculator!E23,tbSkills!DH3:DI6,2,FALSE)+IF(AND(Calculator!B8=TRUE,Backdoors!BI40=TRUE),VLOOKUP(Calculator!E23,tbSkills!DH3:DJ6,3,FALSE),0),0)))/100)),(1-(0.25*((-Backdoors!AI12-IF(JA15&gt;=0.45,VLOOKUP(Calculator!E23,tbSkills!DH3:DI6,2,FALSE)+IF(AND(Calculator!B8=TRUE,Backdoors!BI40=TRUE),VLOOKUP(Calculator!E23,tbSkills!DH3:DJ6,3,FALSE),0),0))/100)))),1),"")</f>
        <v>1</v>
      </c>
      <c r="JD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A15)*JC15)*(VLOOKUP(A15,tbMoveset!A2:C112,3,FALSE)/100)*IF(VLOOKUP(A15,tbMoveset!A2:B112,2,FALSE)="Projectile",Backdoors!N10,Backdoors!N9),0),"")</f>
        <v/>
      </c>
      <c r="JE15" s="49">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42&gt;0,VLOOKUP(Calculator!E42,tbSkills!AC3:AD5,2,FALSE),Backdoors!AL3)*(IF((Backdoors!AI12+IF(JA15&gt;=0.45,VLOOKUP(Calculator!E23,tbSkills!DH3:DI6,2,FALSE)+IF(AND(Calculator!B8=TRUE,Backdoors!BI40=TRUE),VLOOKUP(Calculator!E23,tbSkills!DH3:DJ6,3,FALSE),0),0))&gt;=100,100,(Backdoors!AI12+IF(JA15&gt;=0.45,VLOOKUP(Calculator!E23,tbSkills!DH3:DI6,2,FALSE)+IF(AND(Calculator!B8=TRUE,Backdoors!BI40=TRUE),VLOOKUP(Calculator!E23,tbSkills!DH3:DJ6,3,FALSE),0),0)))/100)),1))*IF(VLOOKUP(A15,tbMoveset!A2:K112,11,FALSE)=TRUE,Backdoors!AC5,1))*JB15,0),"")</f>
        <v>0</v>
      </c>
      <c r="JF15" s="49">
        <f>VLOOKUP(A15,tbMoveset!A2:G112,7,FALSE)*IFERROR(IF(Backdoors!AI12&gt;=0,1+(IF(Calculator!E40&gt;0,VLOOKUP(Calculator!E40,tbSkills!AI3:AJ5,2,FALSE),Backdoors!AL4)*(IF((Backdoors!AI12+IF(JA15&gt;=0.45,VLOOKUP(Calculator!E23,tbSkills!DH3:DI6,2,FALSE)+IF(AND(Calculator!B8=TRUE,Backdoors!BI40=TRUE),VLOOKUP(Calculator!E23,tbSkills!DH3:DJ6,3,FALSE),0),0))&gt;=100,100,(Backdoors!AI12+IF(JA15&gt;=0.45,VLOOKUP(Calculator!E23,tbSkills!DH3:DI6,2,FALSE)+IF(AND(Calculator!B8=TRUE,Backdoors!BI40=TRUE),VLOOKUP(Calculator!E23,tbSkills!DH3:DJ6,3,FALSE),0),0)))/100)),1),1)</f>
        <v>0.5</v>
      </c>
      <c r="JG15" s="87">
        <f t="shared" si="29"/>
        <v>0</v>
      </c>
      <c r="JH15" s="86" t="str">
        <f>IFERROR(IF(VLOOKUP(A15,tbMoveset!A2:B112,2,FALSE)="Sever",Backdoors!AY41/100,IF(VLOOKUP(A15,tbMoveset!A2:B112,2,FALSE)="Blunt",Backdoors!AZ41/100,Backdoors!BA41/100)),"")</f>
        <v/>
      </c>
      <c r="JI15" s="49">
        <f>IFERROR(IF(VLOOKUP(tbMoveset!A15,tbMoveset!A2:H112,8,FALSE)="Other",IF(VLOOKUP(tbMoveset!A15,tbMoveset!A2:I112,9,FALSE)="Fire",Backdoors!BB41,IF(VLOOKUP(tbMoveset!A15,tbMoveset!A2:I112,9,FALSE)="Water",Backdoors!BC41,IF(VLOOKUP(tbMoveset!A15,tbMoveset!A2:I112,9,FALSE)="Thunder",Backdoors!BD41,IF(VLOOKUP(tbMoveset!A15,tbMoveset!A2:I112,9,FALSE)="Ice",Backdoors!BE41,IF(VLOOKUP(tbMoveset!A15,tbMoveset!A2:I112,9,FALSE)="Dragon",Backdoors!BF41,Backdoors!BG41)))))/100,Backdoors!BG41/100),"")</f>
        <v>0</v>
      </c>
      <c r="JJ15" s="49">
        <f>IFERROR(IF(VLOOKUP(A15,tbMoveset!A2:J112,10,FALSE)=TRUE,IF((Backdoors!AI12+IF(JH15&gt;=0.45,VLOOKUP(Calculator!E23,tbSkills!DH3:DI6,2,FALSE)+IF(AND(Calculator!B8=TRUE,Backdoors!BI41=TRUE),VLOOKUP(Calculator!E23,tbSkills!DH3:DJ6,3,FALSE),0),0))&gt;=0,1+(Backdoors!AL2*(IF((Backdoors!AI12+IF(JH15&gt;=0.45,VLOOKUP(Calculator!E23,tbSkills!DH3:DI6,2,FALSE)+IF(AND(Calculator!B8=TRUE,Backdoors!BI41=TRUE),VLOOKUP(Calculator!E23,tbSkills!DH3:DJ6,3,FALSE),0),0))&gt;=100,100,(Backdoors!AI12+IF(JH15&gt;=0.45,VLOOKUP(Calculator!E23,tbSkills!DH3:DI6,2,FALSE)+IF(AND(Calculator!B8=TRUE,Backdoors!BI41=TRUE),VLOOKUP(Calculator!E23,tbSkills!DH3:DJ6,3,FALSE),0),0)))/100)),(1-(0.25*((-Backdoors!AI12-IF(JH15&gt;=0.45,VLOOKUP(Calculator!E23,tbSkills!DH3:DI6,2,FALSE)+IF(AND(Calculator!B8=TRUE,Backdoors!BI41=TRUE),VLOOKUP(Calculator!E23,tbSkills!DH3:DJ6,3,FALSE),0),0))/100)))),1),"")</f>
        <v>1</v>
      </c>
      <c r="JK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H15)*JJ15)*(VLOOKUP(A15,tbMoveset!A2:C112,3,FALSE)/100)*IF(VLOOKUP(A15,tbMoveset!A2:B112,2,FALSE)="Projectile",Backdoors!N10,Backdoors!N9),0),"")</f>
        <v/>
      </c>
      <c r="JL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43&gt;0,VLOOKUP(Calculator!E43,tbSkills!AC3:AD5,2,FALSE),Backdoors!AL3)*(IF((Backdoors!AI12+IF(JH15&gt;=0.45,VLOOKUP(Calculator!E23,tbSkills!DH3:DI6,2,FALSE)+IF(AND(Calculator!B8=TRUE,Backdoors!BI41=TRUE),VLOOKUP(Calculator!E23,tbSkills!DH3:DJ6,3,FALSE),0),0))&gt;=100,100,(Backdoors!AI12+IF(JH15&gt;=0.45,VLOOKUP(Calculator!E23,tbSkills!DH3:DI6,2,FALSE)+IF(AND(Calculator!B8=TRUE,Backdoors!BI41=TRUE),VLOOKUP(Calculator!E23,tbSkills!DH3:DJ6,3,FALSE),0),0)))/100)),1))*IF(VLOOKUP(A15,tbMoveset!A2:K112,11,FALSE)=TRUE,Backdoors!AC5,1))*JI15,0),"")</f>
        <v/>
      </c>
      <c r="JM15" s="49">
        <f>VLOOKUP(A15,tbMoveset!A2:G112,7,FALSE)*IFERROR(IF(Backdoors!AI12&gt;=0,1+(IF(Calculator!E40&gt;0,VLOOKUP(Calculator!E40,tbSkills!AI3:AJ5,2,FALSE),Backdoors!AL4)*(IF((Backdoors!AI12+IF(JH15&gt;=0.45,VLOOKUP(Calculator!E23,tbSkills!DH3:DI6,2,FALSE)+IF(AND(Calculator!B8=TRUE,Backdoors!BI41=TRUE),VLOOKUP(Calculator!E23,tbSkills!DH3:DJ6,3,FALSE),0),0))&gt;=100,100,(Backdoors!AI12+IF(JH15&gt;=0.45,VLOOKUP(Calculator!E23,tbSkills!DH3:DI6,2,FALSE)+IF(AND(Calculator!B8=TRUE,Backdoors!BI41=TRUE),VLOOKUP(Calculator!E23,tbSkills!DH3:DJ6,3,FALSE),0),0)))/100)),1),1)</f>
        <v>0.5</v>
      </c>
      <c r="JN15" s="87">
        <f t="shared" si="30"/>
        <v>0</v>
      </c>
      <c r="JO15" s="86" t="str">
        <f>IFERROR(IF(VLOOKUP(A15,tbMoveset!A2:B112,2,FALSE)="Sever",Backdoors!AY42/100,IF(VLOOKUP(A15,tbMoveset!A2:B112,2,FALSE)="Blunt",Backdoors!AZ42/100,Backdoors!BA42/100)),"")</f>
        <v/>
      </c>
      <c r="JP15" s="49">
        <f>IFERROR(IF(VLOOKUP(tbMoveset!A15,tbMoveset!A2:H112,8,FALSE)="Other",IF(VLOOKUP(tbMoveset!A15,tbMoveset!A2:I112,9,FALSE)="Fire",Backdoors!BB42,IF(VLOOKUP(tbMoveset!A15,tbMoveset!A2:I112,9,FALSE)="Water",Backdoors!BC42,IF(VLOOKUP(tbMoveset!A15,tbMoveset!A2:I112,9,FALSE)="Thunder",Backdoors!BD42,IF(VLOOKUP(tbMoveset!A15,tbMoveset!A2:I112,9,FALSE)="Ice",Backdoors!BE42,IF(VLOOKUP(tbMoveset!A15,tbMoveset!A2:I112,9,FALSE)="Dragon",Backdoors!BF42,Backdoors!BG42)))))/100,Backdoors!BG42/100),"")</f>
        <v>0</v>
      </c>
      <c r="JQ15" s="49">
        <f>IFERROR(IF(VLOOKUP(A15,tbMoveset!A2:J112,10,FALSE)=TRUE,IF((Backdoors!AI12+IF(JO15&gt;=0.45,VLOOKUP(Calculator!E23,tbSkills!DH3:DI6,2,FALSE)+IF(AND(Calculator!B8=TRUE,Backdoors!BI42=TRUE),VLOOKUP(Calculator!E23,tbSkills!DH3:DJ6,3,FALSE),0),0))&gt;=0,1+(Backdoors!AL2*(IF((Backdoors!AI12+IF(JO15&gt;=0.45,VLOOKUP(Calculator!E23,tbSkills!DH3:DI6,2,FALSE)+IF(AND(Calculator!B8=TRUE,Backdoors!BI42=TRUE),VLOOKUP(Calculator!E23,tbSkills!DH3:DJ6,3,FALSE),0),0))&gt;=100,100,(Backdoors!AI12+IF(JO15&gt;=0.45,VLOOKUP(Calculator!E23,tbSkills!DH3:DI6,2,FALSE)+IF(AND(Calculator!B8=TRUE,Backdoors!BI42=TRUE),VLOOKUP(Calculator!E23,tbSkills!DH3:DJ6,3,FALSE),0),0)))/100)),(1-(0.25*((-Backdoors!AI12-IF(JO15&gt;=0.45,VLOOKUP(Calculator!E23,tbSkills!DH3:DI6,2,FALSE)+IF(AND(Calculator!B8=TRUE,Backdoors!BI42=TRUE),VLOOKUP(Calculator!E23,tbSkills!DH3:DJ6,3,FALSE),0),0))/100)))),1),"")</f>
        <v>1</v>
      </c>
      <c r="JR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O15)*JQ15)*(VLOOKUP(A15,tbMoveset!A2:C112,3,FALSE)/100)*IF(VLOOKUP(A15,tbMoveset!A2:B112,2,FALSE)="Projectile",Backdoors!N10,Backdoors!N9),0),"")</f>
        <v/>
      </c>
      <c r="JS15" s="49">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45&gt;0,VLOOKUP(Calculator!E45,tbSkills!AC3:AD5,2,FALSE),Backdoors!AL3)*(IF((Backdoors!AI12+IF(JO15&gt;=0.45,VLOOKUP(Calculator!E23,tbSkills!DH3:DI6,2,FALSE)+IF(AND(Calculator!B8=TRUE,Backdoors!BI42=TRUE),VLOOKUP(Calculator!E23,tbSkills!DH3:DJ6,3,FALSE),0),0))&gt;=100,100,(Backdoors!AI12+IF(JO15&gt;=0.45,VLOOKUP(Calculator!E23,tbSkills!DH3:DI6,2,FALSE)+IF(AND(Calculator!B8=TRUE,Backdoors!BI42=TRUE),VLOOKUP(Calculator!E23,tbSkills!DH3:DJ6,3,FALSE),0),0)))/100)),1))*IF(VLOOKUP(A15,tbMoveset!A2:K112,11,FALSE)=TRUE,Backdoors!AC5,1))*JP15,0),"")</f>
        <v>0</v>
      </c>
      <c r="JT15" s="49">
        <f>VLOOKUP(A15,tbMoveset!A2:G112,7,FALSE)*IFERROR(IF(Backdoors!AI12&gt;=0,1+(IF(Calculator!E40&gt;0,VLOOKUP(Calculator!E40,tbSkills!AI3:AJ5,2,FALSE),Backdoors!AL4)*(IF((Backdoors!AI12+IF(JO15&gt;=0.45,VLOOKUP(Calculator!E23,tbSkills!DH3:DI6,2,FALSE)+IF(AND(Calculator!B8=TRUE,Backdoors!BI42=TRUE),VLOOKUP(Calculator!E23,tbSkills!DH3:DJ6,3,FALSE),0),0))&gt;=100,100,(Backdoors!AI12+IF(JO15&gt;=0.45,VLOOKUP(Calculator!E23,tbSkills!DH3:DI6,2,FALSE)+IF(AND(Calculator!B8=TRUE,Backdoors!BI42=TRUE),VLOOKUP(Calculator!E23,tbSkills!DH3:DJ6,3,FALSE),0),0)))/100)),1),1)</f>
        <v>0.5</v>
      </c>
      <c r="JU15" s="87">
        <f t="shared" si="31"/>
        <v>0</v>
      </c>
      <c r="JV15" s="86" t="str">
        <f>IFERROR(IF(VLOOKUP(A15,tbMoveset!A2:B112,2,FALSE)="Sever",Backdoors!AY43/100,IF(VLOOKUP(A15,tbMoveset!A2:B112,2,FALSE)="Blunt",Backdoors!AZ43/100,Backdoors!BA43/100)),"")</f>
        <v/>
      </c>
      <c r="JW15" s="49">
        <f>IFERROR(IF(VLOOKUP(tbMoveset!A15,tbMoveset!A2:H112,8,FALSE)="Other",IF(VLOOKUP(tbMoveset!A15,tbMoveset!A2:I112,9,FALSE)="Fire",Backdoors!BB43,IF(VLOOKUP(tbMoveset!A15,tbMoveset!A2:I112,9,FALSE)="Water",Backdoors!BC43,IF(VLOOKUP(tbMoveset!A15,tbMoveset!A2:I112,9,FALSE)="Thunder",Backdoors!BD43,IF(VLOOKUP(tbMoveset!A15,tbMoveset!A2:I112,9,FALSE)="Ice",Backdoors!BE43,IF(VLOOKUP(tbMoveset!A15,tbMoveset!A2:I112,9,FALSE)="Dragon",Backdoors!BF43,Backdoors!BG43)))))/100,Backdoors!BG43/100),"")</f>
        <v>0</v>
      </c>
      <c r="JX15" s="49">
        <f>IFERROR(IF(VLOOKUP(A15,tbMoveset!A2:J112,10,FALSE)=TRUE,IF((Backdoors!AI12+IF(JV15&gt;=0.45,VLOOKUP(Calculator!E23,tbSkills!DH3:DI6,2,FALSE)+IF(AND(Calculator!B8=TRUE,Backdoors!BI43=TRUE),VLOOKUP(Calculator!E23,tbSkills!DH3:DJ6,3,FALSE),0),0))&gt;=0,1+(Backdoors!AL2*(IF((Backdoors!AI12+IF(JV15&gt;=0.45,VLOOKUP(Calculator!E23,tbSkills!DH3:DI6,2,FALSE)+IF(AND(Calculator!B8=TRUE,Backdoors!BI43=TRUE),VLOOKUP(Calculator!E23,tbSkills!DH3:DJ6,3,FALSE),0),0))&gt;=100,100,(Backdoors!AI12+IF(JV15&gt;=0.45,VLOOKUP(Calculator!E23,tbSkills!DH3:DI6,2,FALSE)+IF(AND(Calculator!B8=TRUE,Backdoors!BI43=TRUE),VLOOKUP(Calculator!E23,tbSkills!DH3:DJ6,3,FALSE),0),0)))/100)),(1-(0.25*((-Backdoors!AI12-IF(JV15&gt;=0.45,VLOOKUP(Calculator!E23,tbSkills!DH3:DI6,2,FALSE)+IF(AND(Calculator!B8=TRUE,Backdoors!BI43=TRUE),VLOOKUP(Calculator!E23,tbSkills!DH3:DJ6,3,FALSE),0),0))/100)))),1),"")</f>
        <v>1</v>
      </c>
      <c r="JY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V15)*JX15)*(VLOOKUP(A15,tbMoveset!A2:C112,3,FALSE)/100)*IF(VLOOKUP(A15,tbMoveset!A2:B112,2,FALSE)="Projectile",Backdoors!N10,Backdoors!N9),0),"")</f>
        <v/>
      </c>
      <c r="JZ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46&gt;0,VLOOKUP(Calculator!E46,tbSkills!AC3:AD5,2,FALSE),Backdoors!AL3)*(IF((Backdoors!AI12+IF(JV15&gt;=0.45,VLOOKUP(Calculator!E23,tbSkills!DH3:DI6,2,FALSE)+IF(AND(Calculator!B8=TRUE,Backdoors!BI43=TRUE),VLOOKUP(Calculator!E23,tbSkills!DH3:DJ6,3,FALSE),0),0))&gt;=100,100,(Backdoors!AI12+IF(JV15&gt;=0.45,VLOOKUP(Calculator!E23,tbSkills!DH3:DI6,2,FALSE)+IF(AND(Calculator!B8=TRUE,Backdoors!BI43=TRUE),VLOOKUP(Calculator!E23,tbSkills!DH3:DJ6,3,FALSE),0),0)))/100)),1))*IF(VLOOKUP(A15,tbMoveset!A2:K112,11,FALSE)=TRUE,Backdoors!AC5,1))*JW15,0),"")</f>
        <v/>
      </c>
      <c r="KA15" s="49">
        <f>VLOOKUP(A15,tbMoveset!A2:G112,7,FALSE)*IFERROR(IF(Backdoors!AI12&gt;=0,1+(IF(Calculator!E40&gt;0,VLOOKUP(Calculator!E40,tbSkills!AI3:AJ5,2,FALSE),Backdoors!AL4)*(IF((Backdoors!AI12+IF(JV15&gt;=0.45,VLOOKUP(Calculator!E23,tbSkills!DH3:DI6,2,FALSE)+IF(AND(Calculator!B8=TRUE,Backdoors!BI43=TRUE),VLOOKUP(Calculator!E23,tbSkills!DH3:DJ6,3,FALSE),0),0))&gt;=100,100,(Backdoors!AI12+IF(JV15&gt;=0.45,VLOOKUP(Calculator!E23,tbSkills!DH3:DI6,2,FALSE)+IF(AND(Calculator!B8=TRUE,Backdoors!BI43=TRUE),VLOOKUP(Calculator!E23,tbSkills!DH3:DJ6,3,FALSE),0),0)))/100)),1),1)</f>
        <v>0.5</v>
      </c>
      <c r="KB15" s="87">
        <f t="shared" si="32"/>
        <v>0</v>
      </c>
      <c r="KC15" s="86" t="str">
        <f>IFERROR(IF(VLOOKUP(A15,tbMoveset!A2:B112,2,FALSE)="Sever",Backdoors!AY44/100,IF(VLOOKUP(A15,tbMoveset!A2:B112,2,FALSE)="Blunt",Backdoors!AZ44/100,Backdoors!BA44/100)),"")</f>
        <v/>
      </c>
      <c r="KD15" s="49">
        <f>IFERROR(IF(VLOOKUP(tbMoveset!A15,tbMoveset!A2:H112,8,FALSE)="Other",IF(VLOOKUP(tbMoveset!A15,tbMoveset!A2:I112,9,FALSE)="Fire",Backdoors!BB44,IF(VLOOKUP(tbMoveset!A15,tbMoveset!A2:I112,9,FALSE)="Water",Backdoors!BC44,IF(VLOOKUP(tbMoveset!A15,tbMoveset!A2:I112,9,FALSE)="Thunder",Backdoors!BD44,IF(VLOOKUP(tbMoveset!A15,tbMoveset!A2:I112,9,FALSE)="Ice",Backdoors!BE44,IF(VLOOKUP(tbMoveset!A15,tbMoveset!A2:I112,9,FALSE)="Dragon",Backdoors!BF44,Backdoors!BG44)))))/100,Backdoors!BG44/100),"")</f>
        <v>0</v>
      </c>
      <c r="KE15" s="49">
        <f>IFERROR(IF(VLOOKUP(A15,tbMoveset!A2:J112,10,FALSE)=TRUE,IF((Backdoors!AI12+IF(KC15&gt;=0.45,VLOOKUP(Calculator!E23,tbSkills!DH3:DI6,2,FALSE)+IF(AND(Calculator!B8=TRUE,Backdoors!BI44=TRUE),VLOOKUP(Calculator!E23,tbSkills!DH3:DJ6,3,FALSE),0),0))&gt;=0,1+(Backdoors!AL2*(IF((Backdoors!AI12+IF(KC15&gt;=0.45,VLOOKUP(Calculator!E23,tbSkills!DH3:DI6,2,FALSE)+IF(AND(Calculator!B8=TRUE,Backdoors!BI44=TRUE),VLOOKUP(Calculator!E23,tbSkills!DH3:DJ6,3,FALSE),0),0))&gt;=100,100,(Backdoors!AI12+IF(KC15&gt;=0.45,VLOOKUP(Calculator!E23,tbSkills!DH3:DI6,2,FALSE)+IF(AND(Calculator!B8=TRUE,Backdoors!BI44=TRUE),VLOOKUP(Calculator!E23,tbSkills!DH3:DJ6,3,FALSE),0),0)))/100)),(1-(0.25*((-Backdoors!AI12-IF(KC15&gt;=0.45,VLOOKUP(Calculator!E23,tbSkills!DH3:DI6,2,FALSE)+IF(AND(Calculator!B8=TRUE,Backdoors!BI44=TRUE),VLOOKUP(Calculator!E23,tbSkills!DH3:DJ6,3,FALSE),0),0))/100)))),1),"")</f>
        <v>1</v>
      </c>
      <c r="KF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KC15)*KE15)*(VLOOKUP(A15,tbMoveset!A2:C112,3,FALSE)/100)*IF(VLOOKUP(A15,tbMoveset!A2:B112,2,FALSE)="Projectile",Backdoors!N10,Backdoors!N9),0),"")</f>
        <v/>
      </c>
      <c r="KG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REF!&gt;0,VLOOKUP(Calculator!#REF!,tbSkills!AC3:AD5,2,FALSE),Backdoors!AL3)*(IF((Backdoors!AI12+IF(KC15&gt;=0.45,VLOOKUP(Calculator!E23,tbSkills!DH3:DI6,2,FALSE)+IF(AND(Calculator!B8=TRUE,Backdoors!BI44=TRUE),VLOOKUP(Calculator!E23,tbSkills!DH3:DJ6,3,FALSE),0),0))&gt;=100,100,(Backdoors!AI12+IF(KC15&gt;=0.45,VLOOKUP(Calculator!E23,tbSkills!DH3:DI6,2,FALSE)+IF(AND(Calculator!B8=TRUE,Backdoors!BI44=TRUE),VLOOKUP(Calculator!E23,tbSkills!DH3:DJ6,3,FALSE),0),0)))/100)),1))*IF(VLOOKUP(A15,tbMoveset!A2:K112,11,FALSE)=TRUE,Backdoors!AC5,1))*KD15,0),"")</f>
        <v/>
      </c>
      <c r="KH15" s="49">
        <f>VLOOKUP(A15,tbMoveset!A2:G112,7,FALSE)*IFERROR(IF(Backdoors!AI12&gt;=0,1+(IF(Calculator!E40&gt;0,VLOOKUP(Calculator!E40,tbSkills!AI3:AJ5,2,FALSE),Backdoors!AL4)*(IF((Backdoors!AI12+IF(KC15&gt;=0.45,VLOOKUP(Calculator!E23,tbSkills!DH3:DI6,2,FALSE)+IF(AND(Calculator!B8=TRUE,Backdoors!BI44=TRUE),VLOOKUP(Calculator!E23,tbSkills!DH3:DJ6,3,FALSE),0),0))&gt;=100,100,(Backdoors!AI12+IF(KC15&gt;=0.45,VLOOKUP(Calculator!E23,tbSkills!DH3:DI6,2,FALSE)+IF(AND(Calculator!B8=TRUE,Backdoors!BI44=TRUE),VLOOKUP(Calculator!E23,tbSkills!DH3:DJ6,3,FALSE),0),0)))/100)),1),1)</f>
        <v>0.5</v>
      </c>
      <c r="KI15" s="87">
        <f t="shared" si="33"/>
        <v>0</v>
      </c>
      <c r="KJ15" s="86" t="str">
        <f>IFERROR(IF(VLOOKUP(A15,tbMoveset!A2:B112,2,FALSE)="Sever",Backdoors!AY45/100,IF(VLOOKUP(A15,tbMoveset!A2:B112,2,FALSE)="Blunt",Backdoors!AZ45/100,Backdoors!BA45/100)),"")</f>
        <v/>
      </c>
      <c r="KK15" s="49">
        <f>IFERROR(IF(VLOOKUP(tbMoveset!A15,tbMoveset!A2:H112,8,FALSE)="Other",IF(VLOOKUP(tbMoveset!A15,tbMoveset!A2:I112,9,FALSE)="Fire",Backdoors!BB45,IF(VLOOKUP(tbMoveset!A15,tbMoveset!A2:I112,9,FALSE)="Water",Backdoors!BC45,IF(VLOOKUP(tbMoveset!A15,tbMoveset!A2:I112,9,FALSE)="Thunder",Backdoors!BD45,IF(VLOOKUP(tbMoveset!A15,tbMoveset!A2:I112,9,FALSE)="Ice",Backdoors!BE45,IF(VLOOKUP(tbMoveset!A15,tbMoveset!A2:I112,9,FALSE)="Dragon",Backdoors!BF45,Backdoors!BG45)))))/100,Backdoors!BG45/100),"")</f>
        <v>0</v>
      </c>
      <c r="KL15" s="49">
        <f>IFERROR(IF(VLOOKUP(A15,tbMoveset!A2:J112,10,FALSE)=TRUE,IF((Backdoors!AI12+IF(KJ15&gt;=0.45,VLOOKUP(Calculator!E23,tbSkills!DH3:DI6,2,FALSE)+IF(AND(Calculator!B8=TRUE,Backdoors!BI45=TRUE),VLOOKUP(Calculator!E23,tbSkills!DH3:DJ6,3,FALSE),0),0))&gt;=0,1+(Backdoors!AL2*(IF((Backdoors!AI12+IF(KJ15&gt;=0.45,VLOOKUP(Calculator!E23,tbSkills!DH3:DI6,2,FALSE)+IF(AND(Calculator!B8=TRUE,Backdoors!BI45=TRUE),VLOOKUP(Calculator!E23,tbSkills!DH3:DJ6,3,FALSE),0),0))&gt;=100,100,(Backdoors!AI12+IF(KJ15&gt;=0.45,VLOOKUP(Calculator!E23,tbSkills!DH3:DI6,2,FALSE)+IF(AND(Calculator!B8=TRUE,Backdoors!BI45=TRUE),VLOOKUP(Calculator!E23,tbSkills!DH3:DJ6,3,FALSE),0),0)))/100)),(1-(0.25*((-Backdoors!AI12-IF(KJ15&gt;=0.45,VLOOKUP(Calculator!E23,tbSkills!DH3:DI6,2,FALSE)+IF(AND(Calculator!B8=TRUE,Backdoors!BI45=TRUE),VLOOKUP(Calculator!E23,tbSkills!DH3:DJ6,3,FALSE),0),0))/100)))),1),"")</f>
        <v>1</v>
      </c>
      <c r="KM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KJ15)*KL15)*(VLOOKUP(A15,tbMoveset!A2:C112,3,FALSE)/100)*IF(VLOOKUP(A15,tbMoveset!A2:B112,2,FALSE)="Projectile",Backdoors!N10,Backdoors!N9),0),"")</f>
        <v/>
      </c>
      <c r="KN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REF!&gt;0,VLOOKUP(Calculator!#REF!,tbSkills!AC3:AD5,2,FALSE),Backdoors!AL3)*(IF((Backdoors!AI12+IF(KJ15&gt;=0.45,VLOOKUP(Calculator!E23,tbSkills!DH3:DI6,2,FALSE)+IF(AND(Calculator!B8=TRUE,Backdoors!BI45=TRUE),VLOOKUP(Calculator!E23,tbSkills!DH3:DJ6,3,FALSE),0),0))&gt;=100,100,(Backdoors!AI12+IF(KJ15&gt;=0.45,VLOOKUP(Calculator!E23,tbSkills!DH3:DI6,2,FALSE)+IF(AND(Calculator!B8=TRUE,Backdoors!BI45=TRUE),VLOOKUP(Calculator!E23,tbSkills!DH3:DJ6,3,FALSE),0),0)))/100)),1))*IF(VLOOKUP(A15,tbMoveset!A2:K112,11,FALSE)=TRUE,Backdoors!AC5,1))*KK15,0),"")</f>
        <v/>
      </c>
      <c r="KO15" s="49">
        <f>VLOOKUP(A15,tbMoveset!A2:G112,7,FALSE)*IFERROR(IF(Backdoors!AI12&gt;=0,1+(IF(Calculator!E40&gt;0,VLOOKUP(Calculator!E40,tbSkills!AI3:AJ5,2,FALSE),Backdoors!AL4)*(IF((Backdoors!AI12+IF(KJ15&gt;=0.45,VLOOKUP(Calculator!E23,tbSkills!DH3:DI6,2,FALSE)+IF(AND(Calculator!B8=TRUE,Backdoors!BI45=TRUE),VLOOKUP(Calculator!E23,tbSkills!DH3:DJ6,3,FALSE),0),0))&gt;=100,100,(Backdoors!AI12+IF(KJ15&gt;=0.45,VLOOKUP(Calculator!E23,tbSkills!DH3:DI6,2,FALSE)+IF(AND(Calculator!B8=TRUE,Backdoors!BI45=TRUE),VLOOKUP(Calculator!E23,tbSkills!DH3:DJ6,3,FALSE),0),0)))/100)),1),1)</f>
        <v>0.5</v>
      </c>
      <c r="KP15" s="87">
        <f t="shared" si="34"/>
        <v>0</v>
      </c>
      <c r="KQ15" s="86" t="str">
        <f>IFERROR(IF(VLOOKUP(A15,tbMoveset!A2:B112,2,FALSE)="Sever",Backdoors!AY46/100,IF(VLOOKUP(A15,tbMoveset!A2:B112,2,FALSE)="Blunt",Backdoors!AZ46/100,Backdoors!BA46/100)),"")</f>
        <v/>
      </c>
      <c r="KR15" s="49">
        <f>IFERROR(IF(VLOOKUP(tbMoveset!A15,tbMoveset!A2:H112,8,FALSE)="Other",IF(VLOOKUP(tbMoveset!A15,tbMoveset!A2:I112,9,FALSE)="Fire",Backdoors!BB46,IF(VLOOKUP(tbMoveset!A15,tbMoveset!A2:I112,9,FALSE)="Water",Backdoors!BC46,IF(VLOOKUP(tbMoveset!A15,tbMoveset!A2:I112,9,FALSE)="Thunder",Backdoors!BD46,IF(VLOOKUP(tbMoveset!A15,tbMoveset!A2:I112,9,FALSE)="Ice",Backdoors!BE46,IF(VLOOKUP(tbMoveset!A15,tbMoveset!A2:I112,9,FALSE)="Dragon",Backdoors!BF46,Backdoors!BG46)))))/100,Backdoors!BG46/100),"")</f>
        <v>0</v>
      </c>
      <c r="KS15" s="49">
        <f>IFERROR(IF(VLOOKUP(A15,tbMoveset!A2:J112,10,FALSE)=TRUE,IF((Backdoors!AI12+IF(KQ15&gt;=0.45,VLOOKUP(Calculator!E23,tbSkills!DH3:DI6,2,FALSE)+IF(AND(Calculator!B8=TRUE,Backdoors!BI46=TRUE),VLOOKUP(Calculator!E23,tbSkills!DH3:DJ6,3,FALSE),0),0))&gt;=0,1+(Backdoors!AL2*(IF((Backdoors!AI12+IF(KQ15&gt;=0.45,VLOOKUP(Calculator!E23,tbSkills!DH3:DI6,2,FALSE)+IF(AND(Calculator!B8=TRUE,Backdoors!BI46=TRUE),VLOOKUP(Calculator!E23,tbSkills!DH3:DJ6,3,FALSE),0),0))&gt;=100,100,(Backdoors!AI12+IF(KQ15&gt;=0.45,VLOOKUP(Calculator!E23,tbSkills!DH3:DI6,2,FALSE)+IF(AND(Calculator!B8=TRUE,Backdoors!BI46=TRUE),VLOOKUP(Calculator!E23,tbSkills!DH3:DJ6,3,FALSE),0),0)))/100)),(1-(0.25*((-Backdoors!AI12-IF(KQ15&gt;=0.45,VLOOKUP(Calculator!E23,tbSkills!DH3:DI6,2,FALSE)+IF(AND(Calculator!B8=TRUE,Backdoors!BI46=TRUE),VLOOKUP(Calculator!E23,tbSkills!DH3:DJ6,3,FALSE),0),0))/100)))),1),"")</f>
        <v>1</v>
      </c>
      <c r="KT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KQ15)*KS15)*(VLOOKUP(A15,tbMoveset!A2:C112,3,FALSE)/100)*IF(VLOOKUP(A15,tbMoveset!A2:B112,2,FALSE)="Projectile",Backdoors!N10,Backdoors!N9),0),"")</f>
        <v/>
      </c>
      <c r="KU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REF!&gt;0,VLOOKUP(Calculator!#REF!,tbSkills!AC3:AD5,2,FALSE),Backdoors!AL3)*(IF((Backdoors!AI12+IF(KQ15&gt;=0.45,VLOOKUP(Calculator!E23,tbSkills!DH3:DI6,2,FALSE)+IF(AND(Calculator!B8=TRUE,Backdoors!BI46=TRUE),VLOOKUP(Calculator!E23,tbSkills!DH3:DJ6,3,FALSE),0),0))&gt;=100,100,(Backdoors!AI12+IF(KQ15&gt;=0.45,VLOOKUP(Calculator!E23,tbSkills!DH3:DI6,2,FALSE)+IF(AND(Calculator!B8=TRUE,Backdoors!BI46=TRUE),VLOOKUP(Calculator!E23,tbSkills!DH3:DJ6,3,FALSE),0),0)))/100)),1))*IF(VLOOKUP(A15,tbMoveset!A2:K112,11,FALSE)=TRUE,Backdoors!AC5,1))*KR15,0),"")</f>
        <v/>
      </c>
      <c r="KV15" s="49">
        <f>VLOOKUP(A15,tbMoveset!A2:G112,7,FALSE)*IFERROR(IF(Backdoors!AI12&gt;=0,1+(IF(Calculator!E40&gt;0,VLOOKUP(Calculator!E40,tbSkills!AI3:AJ5,2,FALSE),Backdoors!AL4)*(IF((Backdoors!AI12+IF(KQ15&gt;=0.45,VLOOKUP(Calculator!E23,tbSkills!DH3:DI6,2,FALSE)+IF(AND(Calculator!B8=TRUE,Backdoors!BI46=TRUE),VLOOKUP(Calculator!E23,tbSkills!DH3:DJ6,3,FALSE),0),0))&gt;=100,100,(Backdoors!AI12+IF(KQ15&gt;=0.45,VLOOKUP(Calculator!E23,tbSkills!DH3:DI6,2,FALSE)+IF(AND(Calculator!B8=TRUE,Backdoors!BI46=TRUE),VLOOKUP(Calculator!E23,tbSkills!DH3:DJ6,3,FALSE),0),0)))/100)),1),1)</f>
        <v>0.5</v>
      </c>
      <c r="KW15" s="87">
        <f t="shared" si="35"/>
        <v>0</v>
      </c>
    </row>
    <row r="16" spans="1:309" x14ac:dyDescent="0.25">
      <c r="A16" s="95" t="str">
        <f>tbMoveset!A16</f>
        <v>Turn Slash (R)</v>
      </c>
      <c r="B16" s="86">
        <f>IFERROR(IF(VLOOKUP(A16,tbMoveset!A2:B112,2,FALSE)="Sever",Backdoors!AY3/100,IF(VLOOKUP(A16,tbMoveset!A2:B112,2,FALSE)="Blunt",Backdoors!AZ3/100,Backdoors!BA3/100)),"")</f>
        <v>0.8</v>
      </c>
      <c r="C16" s="49">
        <f>IFERROR(IF(VLOOKUP(tbMoveset!A16,tbMoveset!A2:H112,8,FALSE)="Other",IF(VLOOKUP(tbMoveset!A16,tbMoveset!A2:I112,9,FALSE)="Fire",Backdoors!BB3,IF(VLOOKUP(tbMoveset!A16,tbMoveset!A2:I112,9,FALSE)="Water",Backdoors!BC3,IF(VLOOKUP(tbMoveset!A16,tbMoveset!A2:I112,9,FALSE)="Thunder",Backdoors!BD3,IF(VLOOKUP(tbMoveset!A16,tbMoveset!A2:I112,9,FALSE)="Ice",Backdoors!BE3,IF(VLOOKUP(tbMoveset!A16,tbMoveset!A2:I112,9,FALSE)="Dragon",Backdoors!BF3,Backdoors!BG3)))))/100,Backdoors!BG3/100),"")</f>
        <v>0</v>
      </c>
      <c r="D16" s="49">
        <f>IFERROR(IF(VLOOKUP(A16,tbMoveset!A2:J112,10,FALSE)=TRUE,IF((Backdoors!AI12+IF(B16&gt;=0.45,VLOOKUP(Calculator!E23,tbSkills!DH3:DI6,2,FALSE)+IF(AND(Calculator!B8=TRUE,Backdoors!BI3=TRUE),VLOOKUP(Calculator!E23,tbSkills!DH3:DJ6,3,FALSE),0),0))&gt;=0,1+(Backdoors!AL2*(IF((Backdoors!AI12+IF(B16&gt;=0.45,VLOOKUP(Calculator!E23,tbSkills!DH3:DI6,2,FALSE)+IF(AND(Calculator!B8=TRUE,Backdoors!BI3=TRUE),VLOOKUP(Calculator!E23,tbSkills!DH3:DJ6,3,FALSE),0),0))&gt;=100,100,(Backdoors!AI12+IF(B16&gt;=0.45,VLOOKUP(Calculator!E23,tbSkills!DH3:DI6,2,FALSE)+IF(AND(Calculator!B8=TRUE,Backdoors!BI3=TRUE),VLOOKUP(Calculator!E23,tbSkills!DH3:DJ6,3,FALSE),0),0)))/100)),(1-(0.25*((-Backdoors!AI12-IF(B16&gt;=0.45,VLOOKUP(Calculator!E23,tbSkills!DH3:DI6,2,FALSE)+IF(AND(Calculator!B8=TRUE,Backdoors!BI3=TRUE),VLOOKUP(Calculator!E23,tbSkills!DH3:DJ6,3,FALSE),0),0))/100)))),1),"")</f>
        <v>1</v>
      </c>
      <c r="E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16)*D16)*(VLOOKUP(A16,tbMoveset!A2:C112,3,FALSE)/100)*IF(VLOOKUP(A16,tbMoveset!A2:B112,2,FALSE)="Projectile",Backdoors!N10,Backdoors!N9),0),"")</f>
        <v>3</v>
      </c>
      <c r="F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16&gt;=0.45,VLOOKUP(Calculator!E23,tbSkills!DH3:DI6,2,FALSE)+IF(AND(Calculator!B8=TRUE,Backdoors!BI3=TRUE),VLOOKUP(Calculator!E23,tbSkills!DH3:DJ6,3,FALSE),0),0))&gt;=100,100,(Backdoors!AI12+IF(B16&gt;=0.45,VLOOKUP(Calculator!E23,tbSkills!DH3:DI6,2,FALSE)+IF(AND(Calculator!B8=TRUE,Backdoors!BI3=TRUE),VLOOKUP(Calculator!E23,tbSkills!DH3:DJ6,3,FALSE),0),0)))/100)),1))*IF(VLOOKUP(A16,tbMoveset!A2:K112,11,FALSE)=TRUE,Backdoors!AC5,1))*C16,0),"")</f>
        <v>0</v>
      </c>
      <c r="G16">
        <f>VLOOKUP(A16,tbMoveset!A2:G112,7,FALSE)*IFERROR(IF(Backdoors!AI12&gt;=0,1+(IF(Calculator!E40&gt;0,VLOOKUP(Calculator!E40,tbSkills!AI3:AJ5,2,FALSE),Backdoors!AL4)*(IF((Backdoors!AI12+IF(B16&gt;=0.45,VLOOKUP(Calculator!E23,tbSkills!DH3:DI6,2,FALSE)+IF(AND(Calculator!B8=TRUE,Backdoors!BI3=TRUE),VLOOKUP(Calculator!E23,tbSkills!DH3:DJ6,3,FALSE),0),0))&gt;=100,100,(Backdoors!AI12+IF(B16&gt;=0.45,VLOOKUP(Calculator!E23,tbSkills!DH3:DI6,2,FALSE)+IF(AND(Calculator!B8=TRUE,Backdoors!BI3=TRUE),VLOOKUP(Calculator!E23,tbSkills!DH3:DJ6,3,FALSE),0),0)))/100)),1),1)</f>
        <v>0.5</v>
      </c>
      <c r="H16" s="87">
        <f t="shared" si="43"/>
        <v>3</v>
      </c>
      <c r="I16" s="86">
        <f>IFERROR(IF(VLOOKUP(A16,tbMoveset!A2:B112,2,FALSE)="Sever",Backdoors!AY4/100,IF(VLOOKUP(A16,tbMoveset!A2:B112,2,FALSE)="Blunt",Backdoors!AZ4/100,Backdoors!BA4/100)),"")</f>
        <v>0.65</v>
      </c>
      <c r="J16" s="49">
        <f>IFERROR(IF(VLOOKUP(tbMoveset!A16,tbMoveset!A2:H112,8,FALSE)="Other",IF(VLOOKUP(tbMoveset!A16,tbMoveset!A2:I112,9,FALSE)="Fire",Backdoors!BB4,IF(VLOOKUP(tbMoveset!A16,tbMoveset!A2:I112,9,FALSE)="Water",Backdoors!BC4,IF(VLOOKUP(tbMoveset!A16,tbMoveset!A2:I112,9,FALSE)="Thunder",Backdoors!BD4,IF(VLOOKUP(tbMoveset!A16,tbMoveset!A2:I112,9,FALSE)="Ice",Backdoors!BE4,IF(VLOOKUP(tbMoveset!A16,tbMoveset!A2:I112,9,FALSE)="Dragon",Backdoors!BF4,Backdoors!BG4)))))/100,Backdoors!BG4/100),"")</f>
        <v>0</v>
      </c>
      <c r="K16" s="49">
        <f>IFERROR(IF(VLOOKUP(A16,tbMoveset!A2:J112,10,FALSE)=TRUE,IF((Backdoors!AI12+IF(I16&gt;=0.45,VLOOKUP(Calculator!E23,tbSkills!DH3:DI6,2,FALSE)+IF(AND(Calculator!B8=TRUE,Backdoors!BI4=TRUE),VLOOKUP(Calculator!E23,tbSkills!DH3:DJ6,3,FALSE),0),0))&gt;=0,1+(Backdoors!AL2*(IF((Backdoors!AI12+IF(I16&gt;=0.45,VLOOKUP(Calculator!E23,tbSkills!DH3:DI6,2,FALSE)+IF(AND(Calculator!B8=TRUE,Backdoors!BI4=TRUE),VLOOKUP(Calculator!E23,tbSkills!DH3:DJ6,3,FALSE),0),0))&gt;=100,100,(Backdoors!AI12+IF(I16&gt;=0.45,VLOOKUP(Calculator!E23,tbSkills!DH3:DI6,2,FALSE)+IF(AND(Calculator!B8=TRUE,Backdoors!BI4=TRUE),VLOOKUP(Calculator!E23,tbSkills!DH3:DJ6,3,FALSE),0),0)))/100)),(1-(0.25*((-Backdoors!AI12-IF(I16&gt;=0.45,VLOOKUP(Calculator!E23,tbSkills!DH3:DI6,2,FALSE)+IF(AND(Calculator!B8=TRUE,Backdoors!BI4=TRUE),VLOOKUP(Calculator!E23,tbSkills!DH3:DJ6,3,FALSE),0),0))/100)))),1),"")</f>
        <v>1</v>
      </c>
      <c r="L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16)*K16)*(VLOOKUP(A16,tbMoveset!A2:C112,3,FALSE)/100)*IF(VLOOKUP(A16,tbMoveset!A2:B112,2,FALSE)="Projectile",Backdoors!N10,Backdoors!N9),0),"")</f>
        <v>3</v>
      </c>
      <c r="M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I16&gt;=0.45,VLOOKUP(Calculator!E23,tbSkills!DH3:DI6,2,FALSE)+IF(AND(Calculator!B8=TRUE,Backdoors!BI4=TRUE),VLOOKUP(Calculator!E23,tbSkills!DH3:DJ6,3,FALSE),0),0))&gt;=100,100,(Backdoors!AI12+IF(I16&gt;=0.45,VLOOKUP(Calculator!E23,tbSkills!DH3:DI6,2,FALSE)+IF(AND(Calculator!B8=TRUE,Backdoors!BI4=TRUE),VLOOKUP(Calculator!E23,tbSkills!DH3:DJ6,3,FALSE),0),0)))/100)),1))*IF(VLOOKUP(A16,tbMoveset!A2:K112,11,FALSE)=TRUE,Backdoors!AC5,1))*J16,0),"")</f>
        <v>0</v>
      </c>
      <c r="N16" s="49">
        <f>VLOOKUP(A16,tbMoveset!A2:G112,7,FALSE)*IFERROR(IF(Backdoors!AI12&gt;=0,1+(IF(Calculator!E40&gt;0,VLOOKUP(Calculator!E40,tbSkills!AI3:AJ5,2,FALSE),Backdoors!AL4)*(IF((Backdoors!AI12+IF(I16&gt;=0.45,VLOOKUP(Calculator!E23,tbSkills!DH3:DI6,2,FALSE)+IF(AND(Calculator!B8=TRUE,Backdoors!BI4=TRUE),VLOOKUP(Calculator!E23,tbSkills!DH3:DJ6,3,FALSE),0),0))&gt;=100,100,(Backdoors!AI12+IF(I16&gt;=0.45,VLOOKUP(Calculator!E23,tbSkills!DH3:DI6,2,FALSE)+IF(AND(Calculator!B8=TRUE,Backdoors!BI4=TRUE),VLOOKUP(Calculator!E23,tbSkills!DH3:DJ6,3,FALSE),0),0)))/100)),1),1)</f>
        <v>0.5</v>
      </c>
      <c r="O16" s="87">
        <f t="shared" si="36"/>
        <v>3</v>
      </c>
      <c r="P16" s="86">
        <f>IFERROR(IF(VLOOKUP(A16,tbMoveset!A2:B112,2,FALSE)="Sever",Backdoors!AY5/100,IF(VLOOKUP(A16,tbMoveset!A2:B112,2,FALSE)="Blunt",Backdoors!AZ5/100,Backdoors!BA5/100)),"")</f>
        <v>0.5</v>
      </c>
      <c r="Q16" s="49">
        <f>IFERROR(IF(VLOOKUP(tbMoveset!A16,tbMoveset!A2:H112,8,FALSE)="Other",IF(VLOOKUP(tbMoveset!A16,tbMoveset!A2:I112,9,FALSE)="Fire",Backdoors!BB5,IF(VLOOKUP(tbMoveset!A16,tbMoveset!A2:I112,9,FALSE)="Water",Backdoors!BC5,IF(VLOOKUP(tbMoveset!A16,tbMoveset!A2:I112,9,FALSE)="Thunder",Backdoors!BD5,IF(VLOOKUP(tbMoveset!A16,tbMoveset!A2:I112,9,FALSE)="Ice",Backdoors!BE5,IF(VLOOKUP(tbMoveset!A16,tbMoveset!A2:I112,9,FALSE)="Dragon",Backdoors!BF5,Backdoors!BG5)))))/100,Backdoors!BG5/100),"")</f>
        <v>0</v>
      </c>
      <c r="R16" s="49">
        <f>IFERROR(IF(VLOOKUP(A16,tbMoveset!A2:J112,10,FALSE)=TRUE,IF((Backdoors!AI12+IF(P16&gt;=0.45,VLOOKUP(Calculator!E23,tbSkills!DH3:DI6,2,FALSE)+IF(AND(Calculator!B8=TRUE,Backdoors!BI5=TRUE),VLOOKUP(Calculator!E23,tbSkills!DH3:DJ6,3,FALSE),0),0))&gt;=0,1+(Backdoors!AL2*(IF((Backdoors!AI12+IF(P16&gt;=0.45,VLOOKUP(Calculator!E23,tbSkills!DH3:DI6,2,FALSE)+IF(AND(Calculator!B8=TRUE,Backdoors!BI5=TRUE),VLOOKUP(Calculator!E23,tbSkills!DH3:DJ6,3,FALSE),0),0))&gt;=100,100,(Backdoors!AI12+IF(P16&gt;=0.45,VLOOKUP(Calculator!E23,tbSkills!DH3:DI6,2,FALSE)+IF(AND(Calculator!B8=TRUE,Backdoors!BI5=TRUE),VLOOKUP(Calculator!E23,tbSkills!DH3:DJ6,3,FALSE),0),0)))/100)),(1-(0.25*((-Backdoors!AI12-IF(P16&gt;=0.45,VLOOKUP(Calculator!E23,tbSkills!DH3:DI6,2,FALSE)+IF(AND(Calculator!B8=TRUE,Backdoors!BI5=TRUE),VLOOKUP(Calculator!E23,tbSkills!DH3:DJ6,3,FALSE),0),0))/100)))),1),"")</f>
        <v>1</v>
      </c>
      <c r="S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P16)*R16)*(VLOOKUP(A16,tbMoveset!A2:C112,3,FALSE)/100)*IF(VLOOKUP(A16,tbMoveset!A2:B112,2,FALSE)="Projectile",Backdoors!N10,Backdoors!N9),0),"")</f>
        <v>2</v>
      </c>
      <c r="T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P16&gt;=0.45,VLOOKUP(Calculator!E23,tbSkills!DH3:DI6,2,FALSE)+IF(AND(Calculator!B8=TRUE,Backdoors!BI5=TRUE),VLOOKUP(Calculator!E23,tbSkills!DH3:DJ6,3,FALSE),0),0))&gt;=100,100,(Backdoors!AI12+IF(P16&gt;=0.45,VLOOKUP(Calculator!E23,tbSkills!DH3:DI6,2,FALSE)+IF(AND(Calculator!B8=TRUE,Backdoors!BI5=TRUE),VLOOKUP(Calculator!E23,tbSkills!DH3:DJ6,3,FALSE),0),0)))/100)),1))*IF(VLOOKUP(A16,tbMoveset!A2:K112,11,FALSE)=TRUE,Backdoors!AC5,1))*Q16,0),"")</f>
        <v>0</v>
      </c>
      <c r="U16" s="49">
        <f>VLOOKUP(A16,tbMoveset!A2:G112,7,FALSE)*IFERROR(IF(Backdoors!AI12&gt;=0,1+(IF(Calculator!E40&gt;0,VLOOKUP(Calculator!E40,tbSkills!AI3:AJ5,2,FALSE),Backdoors!AL4)*(IF((Backdoors!AI12+IF(P16&gt;=0.45,VLOOKUP(Calculator!E23,tbSkills!DH3:DI6,2,FALSE)+IF(AND(Calculator!B8=TRUE,Backdoors!BI5=TRUE),VLOOKUP(Calculator!E23,tbSkills!DH3:DJ6,3,FALSE),0),0))&gt;=100,100,(Backdoors!AI12+IF(P16&gt;=0.45,VLOOKUP(Calculator!E23,tbSkills!DH3:DI6,2,FALSE)+IF(AND(Calculator!B8=TRUE,Backdoors!BI5=TRUE),VLOOKUP(Calculator!E23,tbSkills!DH3:DJ6,3,FALSE),0),0)))/100)),1),1)</f>
        <v>0.5</v>
      </c>
      <c r="V16" s="87">
        <f t="shared" si="37"/>
        <v>2</v>
      </c>
      <c r="W16" s="86">
        <f>IFERROR(IF(VLOOKUP(A16,tbMoveset!A2:B112,2,FALSE)="Sever",Backdoors!AY6/100,IF(VLOOKUP(A16,tbMoveset!A2:B112,2,FALSE)="Blunt",Backdoors!AZ6/100,Backdoors!BA6/100)),"")</f>
        <v>0.45</v>
      </c>
      <c r="X16" s="49">
        <f>IFERROR(IF(VLOOKUP(tbMoveset!A16,tbMoveset!A2:H112,8,FALSE)="Other",IF(VLOOKUP(tbMoveset!A16,tbMoveset!A2:I112,9,FALSE)="Fire",Backdoors!BB6,IF(VLOOKUP(tbMoveset!A16,tbMoveset!A2:I112,9,FALSE)="Water",Backdoors!BC6,IF(VLOOKUP(tbMoveset!A16,tbMoveset!A2:I112,9,FALSE)="Thunder",Backdoors!BD6,IF(VLOOKUP(tbMoveset!A16,tbMoveset!A2:I112,9,FALSE)="Ice",Backdoors!BE6,IF(VLOOKUP(tbMoveset!A16,tbMoveset!A2:I112,9,FALSE)="Dragon",Backdoors!BF6,Backdoors!BG6)))))/100,Backdoors!BG6/100),"")</f>
        <v>0</v>
      </c>
      <c r="Y16" s="49">
        <f>IFERROR(IF(VLOOKUP(A16,tbMoveset!A2:J112,10,FALSE)=TRUE,IF((Backdoors!AI12+IF(W16&gt;=0.45,VLOOKUP(Calculator!E23,tbSkills!DH3:DI6,2,FALSE)+IF(AND(Calculator!B8=TRUE,Backdoors!BI6=TRUE),VLOOKUP(Calculator!E23,tbSkills!DH3:DJ6,3,FALSE),0),0))&gt;=0,1+(Backdoors!AL2*(IF((Backdoors!AI12+IF(W16&gt;=0.45,VLOOKUP(Calculator!E23,tbSkills!DH3:DI6,2,FALSE)+IF(AND(Calculator!B8=TRUE,Backdoors!BI6=TRUE),VLOOKUP(Calculator!E23,tbSkills!DH3:DJ6,3,FALSE),0),0))&gt;=100,100,(Backdoors!AI12+IF(W16&gt;=0.45,VLOOKUP(Calculator!E23,tbSkills!DH3:DI6,2,FALSE)+IF(AND(Calculator!B8=TRUE,Backdoors!BI6=TRUE),VLOOKUP(Calculator!E23,tbSkills!DH3:DJ6,3,FALSE),0),0)))/100)),(1-(0.25*((-Backdoors!AI12-IF(W16&gt;=0.45,VLOOKUP(Calculator!E23,tbSkills!DH3:DI6,2,FALSE)+IF(AND(Calculator!B8=TRUE,Backdoors!BI6=TRUE),VLOOKUP(Calculator!E23,tbSkills!DH3:DJ6,3,FALSE),0),0))/100)))),1),"")</f>
        <v>1</v>
      </c>
      <c r="Z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W16)*Y16)*(VLOOKUP(A16,tbMoveset!A2:C112,3,FALSE)/100)*IF(VLOOKUP(A16,tbMoveset!A2:B112,2,FALSE)="Projectile",Backdoors!N10,Backdoors!N9),0),"")</f>
        <v>2</v>
      </c>
      <c r="AA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W16&gt;=0.45,VLOOKUP(Calculator!E23,tbSkills!DH3:DI6,2,FALSE)+IF(AND(Calculator!B8=TRUE,Backdoors!BI6=TRUE),VLOOKUP(Calculator!E23,tbSkills!DH3:DJ6,3,FALSE),0),0))&gt;=100,100,(Backdoors!AI12+IF(W16&gt;=0.45,VLOOKUP(Calculator!E23,tbSkills!DH3:DI6,2,FALSE)+IF(AND(Calculator!B8=TRUE,Backdoors!BI6=TRUE),VLOOKUP(Calculator!E23,tbSkills!DH3:DJ6,3,FALSE),0),0)))/100)),1))*IF(VLOOKUP(A16,tbMoveset!A2:K112,11,FALSE)=TRUE,Backdoors!AC5,1))*X16,0),"")</f>
        <v>0</v>
      </c>
      <c r="AB16" s="49">
        <f>VLOOKUP(A16,tbMoveset!A2:G112,7,FALSE)*IFERROR(IF(Backdoors!AI12&gt;=0,1+(IF(Calculator!E40&gt;0,VLOOKUP(Calculator!E40,tbSkills!AI3:AJ5,2,FALSE),Backdoors!AL4)*(IF((Backdoors!AI12+IF(W16&gt;=0.45,VLOOKUP(Calculator!E23,tbSkills!DH3:DI6,2,FALSE)+IF(AND(Calculator!B8=TRUE,Backdoors!BI6=TRUE),VLOOKUP(Calculator!E23,tbSkills!DH3:DJ6,3,FALSE),0),0))&gt;=100,100,(Backdoors!AI12+IF(W16&gt;=0.45,VLOOKUP(Calculator!E23,tbSkills!DH3:DI6,2,FALSE)+IF(AND(Calculator!B8=TRUE,Backdoors!BI6=TRUE),VLOOKUP(Calculator!E23,tbSkills!DH3:DJ6,3,FALSE),0),0)))/100)),1),1)</f>
        <v>0.5</v>
      </c>
      <c r="AC16" s="87">
        <f t="shared" si="0"/>
        <v>2</v>
      </c>
      <c r="AD16" s="86">
        <f>IFERROR(IF(VLOOKUP(A16,tbMoveset!A2:B112,2,FALSE)="Sever",Backdoors!AY7/100,IF(VLOOKUP(A16,tbMoveset!A2:B112,2,FALSE)="Blunt",Backdoors!AZ7/100,Backdoors!BA7/100)),"")</f>
        <v>0.65</v>
      </c>
      <c r="AE16" s="49">
        <f>IFERROR(IF(VLOOKUP(tbMoveset!A16,tbMoveset!A2:H112,8,FALSE)="Other",IF(VLOOKUP(tbMoveset!A16,tbMoveset!A2:I112,9,FALSE)="Fire",Backdoors!BB7,IF(VLOOKUP(tbMoveset!A16,tbMoveset!A2:I112,9,FALSE)="Water",Backdoors!BC7,IF(VLOOKUP(tbMoveset!A16,tbMoveset!A2:I112,9,FALSE)="Thunder",Backdoors!BD7,IF(VLOOKUP(tbMoveset!A16,tbMoveset!A2:I112,9,FALSE)="Ice",Backdoors!BE7,IF(VLOOKUP(tbMoveset!A16,tbMoveset!A2:I112,9,FALSE)="Dragon",Backdoors!BF7,Backdoors!BG7)))))/100,Backdoors!BG7/100),"")</f>
        <v>0</v>
      </c>
      <c r="AF16" s="49">
        <f>IFERROR(IF(VLOOKUP(A16,tbMoveset!A2:J112,10,FALSE)=TRUE,IF((Backdoors!AI12+IF(AD16&gt;=0.45,VLOOKUP(Calculator!E23,tbSkills!DH3:DI6,2,FALSE)+IF(AND(Calculator!B8=TRUE,Backdoors!BI7=TRUE),VLOOKUP(Calculator!E23,tbSkills!DH3:DJ6,3,FALSE),0),0))&gt;=0,1+(Backdoors!AL2*(IF((Backdoors!AI12+IF(AD16&gt;=0.45,VLOOKUP(Calculator!E23,tbSkills!DH3:DI6,2,FALSE)+IF(AND(Calculator!B8=TRUE,Backdoors!BI7=TRUE),VLOOKUP(Calculator!E23,tbSkills!DH3:DJ6,3,FALSE),0),0))&gt;=100,100,(Backdoors!AI12+IF(AD16&gt;=0.45,VLOOKUP(Calculator!E23,tbSkills!DH3:DI6,2,FALSE)+IF(AND(Calculator!B8=TRUE,Backdoors!BI7=TRUE),VLOOKUP(Calculator!E23,tbSkills!DH3:DJ6,3,FALSE),0),0)))/100)),(1-(0.25*((-Backdoors!AI12-IF(AD16&gt;=0.45,VLOOKUP(Calculator!E23,tbSkills!DH3:DI6,2,FALSE)+IF(AND(Calculator!B8=TRUE,Backdoors!BI7=TRUE),VLOOKUP(Calculator!E23,tbSkills!DH3:DJ6,3,FALSE),0),0))/100)))),1),"")</f>
        <v>1</v>
      </c>
      <c r="AG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D16)*AF16)*(VLOOKUP(A16,tbMoveset!A2:C112,3,FALSE)/100)*IF(VLOOKUP(A16,tbMoveset!A2:B112,2,FALSE)="Projectile",Backdoors!N10,Backdoors!N9),0),"")</f>
        <v>3</v>
      </c>
      <c r="AH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D16&gt;=0.45,VLOOKUP(Calculator!E23,tbSkills!DH3:DI6,2,FALSE)+IF(AND(Calculator!B8=TRUE,Backdoors!BI7=TRUE),VLOOKUP(Calculator!E23,tbSkills!DH3:DJ6,3,FALSE),0),0))&gt;=100,100,(Backdoors!AI12+IF(AD16&gt;=0.45,VLOOKUP(Calculator!E23,tbSkills!DH3:DI6,2,FALSE)+IF(AND(Calculator!B8=TRUE,Backdoors!BI7=TRUE),VLOOKUP(Calculator!E23,tbSkills!DH3:DJ6,3,FALSE),0),0)))/100)),1))*IF(VLOOKUP(A16,tbMoveset!A2:K112,11,FALSE)=TRUE,Backdoors!AC5,1))*AE16,0),"")</f>
        <v>0</v>
      </c>
      <c r="AI16" s="49">
        <f>VLOOKUP(A16,tbMoveset!A2:G112,7,FALSE)*IFERROR(IF(Backdoors!AI12&gt;=0,1+(IF(Calculator!E40&gt;0,VLOOKUP(Calculator!E40,tbSkills!AI3:AJ5,2,FALSE),Backdoors!AL4)*(IF((Backdoors!AI12+IF(AD16&gt;=0.45,VLOOKUP(Calculator!E23,tbSkills!DH3:DI6,2,FALSE)+IF(AND(Calculator!B8=TRUE,Backdoors!BI7=TRUE),VLOOKUP(Calculator!E23,tbSkills!DH3:DJ6,3,FALSE),0),0))&gt;=100,100,(Backdoors!AI12+IF(AD16&gt;=0.45,VLOOKUP(Calculator!E23,tbSkills!DH3:DI6,2,FALSE)+IF(AND(Calculator!B8=TRUE,Backdoors!BI7=TRUE),VLOOKUP(Calculator!E23,tbSkills!DH3:DJ6,3,FALSE),0),0)))/100)),1),1)</f>
        <v>0.5</v>
      </c>
      <c r="AJ16" s="87">
        <f t="shared" si="1"/>
        <v>3</v>
      </c>
      <c r="AK16" s="91">
        <f>IFERROR(IF(VLOOKUP(A16,tbMoveset!A2:B112,2,FALSE)="Sever",Backdoors!AY8/100,IF(VLOOKUP(A16,tbMoveset!A2:B112,2,FALSE)="Blunt",Backdoors!AZ8/100,Backdoors!BA8/100)),"")</f>
        <v>0.45</v>
      </c>
      <c r="AL16" s="49">
        <f>IFERROR(IF(VLOOKUP(tbMoveset!A16,tbMoveset!A2:H112,8,FALSE)="Other",IF(VLOOKUP(tbMoveset!A16,tbMoveset!A2:I112,9,FALSE)="Fire",Backdoors!BB8,IF(VLOOKUP(tbMoveset!A16,tbMoveset!A2:I112,9,FALSE)="Water",Backdoors!BC8,IF(VLOOKUP(tbMoveset!A16,tbMoveset!A2:I112,9,FALSE)="Thunder",Backdoors!BD8,IF(VLOOKUP(tbMoveset!A16,tbMoveset!A2:I112,9,FALSE)="Ice",Backdoors!BE8,IF(VLOOKUP(tbMoveset!A16,tbMoveset!A2:I112,9,FALSE)="Dragon",Backdoors!BF8,Backdoors!BG8)))))/100,Backdoors!BG8/100),"")</f>
        <v>0</v>
      </c>
      <c r="AM16" s="49">
        <f>IFERROR(IF(VLOOKUP(A16,tbMoveset!A2:J112,10,FALSE)=TRUE,IF((Backdoors!AI12+IF(AK16&gt;=0.45,VLOOKUP(Calculator!E23,tbSkills!DH3:DI6,2,FALSE)+IF(AND(Calculator!B8=TRUE,Backdoors!BI8=TRUE),VLOOKUP(Calculator!E23,tbSkills!DH3:DJ6,3,FALSE),0),0))&gt;=0,1+(Backdoors!AL2*(IF((Backdoors!AI12+IF(AK16&gt;=0.45,VLOOKUP(Calculator!E23,tbSkills!DH3:DI6,2,FALSE)+IF(AND(Calculator!B8=TRUE,Backdoors!BI8=TRUE),VLOOKUP(Calculator!E23,tbSkills!DH3:DJ6,3,FALSE),0),0))&gt;=100,100,(Backdoors!AI12+IF(AK16&gt;=0.45,VLOOKUP(Calculator!E23,tbSkills!DH3:DI6,2,FALSE)+IF(AND(Calculator!B8=TRUE,Backdoors!BI8=TRUE),VLOOKUP(Calculator!E23,tbSkills!DH3:DJ6,3,FALSE),0),0)))/100)),(1-(0.25*((-Backdoors!AI12-IF(AK16&gt;=0.45,VLOOKUP(Calculator!E23,tbSkills!DH3:DI6,2,FALSE)+IF(AND(Calculator!B8=TRUE,Backdoors!BI8=TRUE),VLOOKUP(Calculator!E23,tbSkills!DH3:DJ6,3,FALSE),0),0))/100)))),1),"")</f>
        <v>1</v>
      </c>
      <c r="AN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K16)*AM16)*(VLOOKUP(A16,tbMoveset!A2:C112,3,FALSE)/100)*IF(VLOOKUP(A16,tbMoveset!A2:B112,2,FALSE)="Projectile",Backdoors!N10,Backdoors!N9),0),"")</f>
        <v>2</v>
      </c>
      <c r="AO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K16&gt;=0.45,VLOOKUP(Calculator!E23,tbSkills!DH3:DI6,2,FALSE)+IF(AND(Calculator!B8=TRUE,Backdoors!BI8=TRUE),VLOOKUP(Calculator!E23,tbSkills!DH3:DJ6,3,FALSE),0),0))&gt;=100,100,(Backdoors!AI12+IF(AK16&gt;=0.45,VLOOKUP(Calculator!E23,tbSkills!DH3:DI6,2,FALSE)+IF(AND(Calculator!B8=TRUE,Backdoors!BI8=TRUE),VLOOKUP(Calculator!E23,tbSkills!DH3:DJ6,3,FALSE),0),0)))/100)),1))*IF(VLOOKUP(A16,tbMoveset!A2:K112,11,FALSE)=TRUE,Backdoors!AC5,1))*AL16,0),"")</f>
        <v>0</v>
      </c>
      <c r="AP16" s="49">
        <f>VLOOKUP(A16,tbMoveset!A2:G112,7,FALSE)*IFERROR(IF(Backdoors!AI12&gt;=0,1+(IF(Calculator!E40&gt;0,VLOOKUP(Calculator!E40,tbSkills!AI3:AJ5,2,FALSE),Backdoors!AL4)*(IF((Backdoors!AI12+IF(AK16&gt;=0.45,VLOOKUP(Calculator!E23,tbSkills!DH3:DI6,2,FALSE)+IF(AND(Calculator!B8=TRUE,Backdoors!BI8=TRUE),VLOOKUP(Calculator!E23,tbSkills!DH3:DJ6,3,FALSE),0),0))&gt;=100,100,(Backdoors!AI12+IF(AK16&gt;=0.45,VLOOKUP(Calculator!E23,tbSkills!DH3:DI6,2,FALSE)+IF(AND(Calculator!B8=TRUE,Backdoors!BI8=TRUE),VLOOKUP(Calculator!E23,tbSkills!DH3:DJ6,3,FALSE),0),0)))/100)),1),1)</f>
        <v>0.5</v>
      </c>
      <c r="AQ16" s="87">
        <f t="shared" si="2"/>
        <v>2</v>
      </c>
      <c r="AR16" s="86">
        <f>IFERROR(IF(VLOOKUP(A16,tbMoveset!A2:B112,2,FALSE)="Sever",Backdoors!AY9/100,IF(VLOOKUP(A16,tbMoveset!A2:B112,2,FALSE)="Blunt",Backdoors!AZ9/100,Backdoors!BA9/100)),"")</f>
        <v>0.45</v>
      </c>
      <c r="AS16" s="49">
        <f>IFERROR(IF(VLOOKUP(tbMoveset!A16,tbMoveset!A2:H112,8,FALSE)="Other",IF(VLOOKUP(tbMoveset!A16,tbMoveset!A2:I112,9,FALSE)="Fire",Backdoors!BB9,IF(VLOOKUP(tbMoveset!A16,tbMoveset!A2:I112,9,FALSE)="Water",Backdoors!BC9,IF(VLOOKUP(tbMoveset!A16,tbMoveset!A2:I112,9,FALSE)="Thunder",Backdoors!BD9,IF(VLOOKUP(tbMoveset!A16,tbMoveset!A2:I112,9,FALSE)="Ice",Backdoors!BE9,IF(VLOOKUP(tbMoveset!A16,tbMoveset!A2:I112,9,FALSE)="Dragon",Backdoors!BF9,Backdoors!BG9)))))/100,Backdoors!BG9/100),"")</f>
        <v>0</v>
      </c>
      <c r="AT16" s="49">
        <f>IFERROR(IF(VLOOKUP(A16,tbMoveset!A2:J112,10,FALSE)=TRUE,IF((Backdoors!AI12+IF(AR16&gt;=0.45,VLOOKUP(Calculator!E23,tbSkills!DH3:DI6,2,FALSE)+IF(AND(Calculator!B8=TRUE,Backdoors!BI9=TRUE),VLOOKUP(Calculator!E23,tbSkills!DH3:DJ6,3,FALSE),0),0))&gt;=0,1+(Backdoors!AL2*(IF((Backdoors!AI12+IF(AR16&gt;=0.45,VLOOKUP(Calculator!E23,tbSkills!DH3:DI6,2,FALSE)+IF(AND(Calculator!B8=TRUE,Backdoors!BI9=TRUE),VLOOKUP(Calculator!E23,tbSkills!DH3:DJ6,3,FALSE),0),0))&gt;=100,100,(Backdoors!AI12+IF(AR16&gt;=0.45,VLOOKUP(Calculator!E23,tbSkills!DH3:DI6,2,FALSE)+IF(AND(Calculator!B8=TRUE,Backdoors!BI9=TRUE),VLOOKUP(Calculator!E23,tbSkills!DH3:DJ6,3,FALSE),0),0)))/100)),(1-(0.25*((-Backdoors!AI12-IF(AR16&gt;=0.45,VLOOKUP(Calculator!E23,tbSkills!DH3:DI6,2,FALSE)+IF(AND(Calculator!B8=TRUE,Backdoors!BI9=TRUE),VLOOKUP(Calculator!E23,tbSkills!DH3:DJ6,3,FALSE),0),0))/100)))),1),"")</f>
        <v>1</v>
      </c>
      <c r="AU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R16)*AT16)*(VLOOKUP(A16,tbMoveset!A2:C112,3,FALSE)/100)*IF(VLOOKUP(A16,tbMoveset!A2:B112,2,FALSE)="Projectile",Backdoors!N10,Backdoors!N9),0),"")</f>
        <v>2</v>
      </c>
      <c r="AV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R16&gt;=0.45,VLOOKUP(Calculator!E23,tbSkills!DH3:DI6,2,FALSE)+IF(AND(Calculator!B8=TRUE,Backdoors!BI9=TRUE),VLOOKUP(Calculator!E23,tbSkills!DH3:DJ6,3,FALSE),0),0))&gt;=100,100,(Backdoors!AI12+IF(AR16&gt;=0.45,VLOOKUP(Calculator!E23,tbSkills!DH3:DI6,2,FALSE)+IF(AND(Calculator!B8=TRUE,Backdoors!BI9=TRUE),VLOOKUP(Calculator!E23,tbSkills!DH3:DJ6,3,FALSE),0),0)))/100)),1))*IF(VLOOKUP(A16,tbMoveset!A2:K112,11,FALSE)=TRUE,Backdoors!AC5,1))*AS16,0),"")</f>
        <v>0</v>
      </c>
      <c r="AW16" s="49">
        <f>VLOOKUP(A16,tbMoveset!A2:G112,7,FALSE)*IFERROR(IF(Backdoors!AI12&gt;=0,1+(IF(Calculator!E40&gt;0,VLOOKUP(Calculator!E40,tbSkills!AI3:AJ5,2,FALSE),Backdoors!AL4)*(IF((Backdoors!AI12+IF(AR16&gt;=0.45,VLOOKUP(Calculator!E23,tbSkills!DH3:DI6,2,FALSE)+IF(AND(Calculator!B8=TRUE,Backdoors!BI9=TRUE),VLOOKUP(Calculator!E23,tbSkills!DH3:DJ6,3,FALSE),0),0))&gt;=100,100,(Backdoors!AI12+IF(AR16&gt;=0.45,VLOOKUP(Calculator!E23,tbSkills!DH3:DI6,2,FALSE)+IF(AND(Calculator!B8=TRUE,Backdoors!BI9=TRUE),VLOOKUP(Calculator!E23,tbSkills!DH3:DJ6,3,FALSE),0),0)))/100)),1),1)</f>
        <v>0.5</v>
      </c>
      <c r="AX16" s="87">
        <f t="shared" si="38"/>
        <v>2</v>
      </c>
      <c r="AY16" s="86">
        <f>IFERROR(IF(VLOOKUP(A16,tbMoveset!A2:B112,2,FALSE)="Sever",Backdoors!AY10/100,IF(VLOOKUP(A16,tbMoveset!A2:B112,2,FALSE)="Blunt",Backdoors!AZ10/100,Backdoors!BA10/100)),"")</f>
        <v>0.9</v>
      </c>
      <c r="AZ16" s="49">
        <f>IFERROR(IF(VLOOKUP(tbMoveset!A16,tbMoveset!A2:H112,8,FALSE)="Other",IF(VLOOKUP(tbMoveset!A16,tbMoveset!A2:I112,9,FALSE)="Fire",Backdoors!BB10,IF(VLOOKUP(tbMoveset!A16,tbMoveset!A2:I112,9,FALSE)="Water",Backdoors!BC10,IF(VLOOKUP(tbMoveset!A16,tbMoveset!A2:I112,9,FALSE)="Thunder",Backdoors!BD10,IF(VLOOKUP(tbMoveset!A16,tbMoveset!A2:I112,9,FALSE)="Ice",Backdoors!BE10,IF(VLOOKUP(tbMoveset!A16,tbMoveset!A2:I112,9,FALSE)="Dragon",Backdoors!BF10,Backdoors!BG10)))))/100,Backdoors!BG10/100),"")</f>
        <v>0</v>
      </c>
      <c r="BA16" s="49">
        <f>IFERROR(IF(VLOOKUP(A16,tbMoveset!A2:J112,10,FALSE)=TRUE,IF((Backdoors!AI12+IF(AY16&gt;=0.45,VLOOKUP(Calculator!E23,tbSkills!DH3:DI6,2,FALSE)+IF(AND(Calculator!B8=TRUE,Backdoors!BI10=TRUE),VLOOKUP(Calculator!E23,tbSkills!DH3:DJ6,3,FALSE),0),0))&gt;=0,1+(Backdoors!AL2*(IF((Backdoors!AI12+IF(AY16&gt;=0.45,VLOOKUP(Calculator!E23,tbSkills!DH3:DI6,2,FALSE)+IF(AND(Calculator!B8=TRUE,Backdoors!BI10=TRUE),VLOOKUP(Calculator!E23,tbSkills!DH3:DJ6,3,FALSE),0),0))&gt;=100,100,(Backdoors!AI12+IF(AY16&gt;=0.45,VLOOKUP(Calculator!E23,tbSkills!DH3:DI6,2,FALSE)+IF(AND(Calculator!B8=TRUE,Backdoors!BI10=TRUE),VLOOKUP(Calculator!E23,tbSkills!DH3:DJ6,3,FALSE),0),0)))/100)),(1-(0.25*((-Backdoors!AI12-IF(AY16&gt;=0.45,VLOOKUP(Calculator!E23,tbSkills!DH3:DI6,2,FALSE)+IF(AND(Calculator!B8=TRUE,Backdoors!BI10=TRUE),VLOOKUP(Calculator!E23,tbSkills!DH3:DJ6,3,FALSE),0),0))/100)))),1),"")</f>
        <v>1</v>
      </c>
      <c r="BB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Y16)*BA16)*(VLOOKUP(A16,tbMoveset!A2:C112,3,FALSE)/100)*IF(VLOOKUP(A16,tbMoveset!A2:B112,2,FALSE)="Projectile",Backdoors!N10,Backdoors!N9),0),"")</f>
        <v>4</v>
      </c>
      <c r="BC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Y16&gt;=0.45,VLOOKUP(Calculator!E23,tbSkills!DH3:DI6,2,FALSE)+IF(AND(Calculator!B8=TRUE,Backdoors!BI10=TRUE),VLOOKUP(Calculator!E23,tbSkills!DH3:DJ6,3,FALSE),0),0))&gt;=100,100,(Backdoors!AI12+IF(AY16&gt;=0.45,VLOOKUP(Calculator!E23,tbSkills!DH3:DI6,2,FALSE)+IF(AND(Calculator!B8=TRUE,Backdoors!BI10=TRUE),VLOOKUP(Calculator!E23,tbSkills!DH3:DJ6,3,FALSE),0),0)))/100)),1))*IF(VLOOKUP(A16,tbMoveset!A2:K112,11,FALSE)=TRUE,Backdoors!AC5,1))*AZ16,0),"")</f>
        <v>0</v>
      </c>
      <c r="BD16" s="49">
        <f>VLOOKUP(A16,tbMoveset!A2:G112,7,FALSE)*IFERROR(IF(Backdoors!AI12&gt;=0,1+(IF(Calculator!E40&gt;0,VLOOKUP(Calculator!E40,tbSkills!AI3:AJ5,2,FALSE),Backdoors!AL4)*(IF((Backdoors!AI12+IF(AY16&gt;=0.45,VLOOKUP(Calculator!E23,tbSkills!DH3:DI6,2,FALSE)+IF(AND(Calculator!B8=TRUE,Backdoors!BI10=TRUE),VLOOKUP(Calculator!E23,tbSkills!DH3:DJ6,3,FALSE),0),0))&gt;=100,100,(Backdoors!AI12+IF(AY16&gt;=0.45,VLOOKUP(Calculator!E23,tbSkills!DH3:DI6,2,FALSE)+IF(AND(Calculator!B8=TRUE,Backdoors!BI10=TRUE),VLOOKUP(Calculator!E23,tbSkills!DH3:DJ6,3,FALSE),0),0)))/100)),1),1)</f>
        <v>0.5</v>
      </c>
      <c r="BE16" s="87">
        <f t="shared" si="3"/>
        <v>4</v>
      </c>
      <c r="BF16" s="86" t="str">
        <f>IFERROR(IF(VLOOKUP(A16,tbMoveset!A2:B112,2,FALSE)="Sever",Backdoors!AY11/100,IF(VLOOKUP(A16,tbMoveset!A2:B112,2,FALSE)="Blunt",Backdoors!AZ11/100,Backdoors!BA11/100)),"")</f>
        <v/>
      </c>
      <c r="BG16" s="49">
        <f>IFERROR(IF(VLOOKUP(tbMoveset!A16,tbMoveset!A2:H112,8,FALSE)="Other",IF(VLOOKUP(tbMoveset!A16,tbMoveset!A2:I112,9,FALSE)="Fire",Backdoors!BB11,IF(VLOOKUP(tbMoveset!A16,tbMoveset!A2:I112,9,FALSE)="Water",Backdoors!BC11,IF(VLOOKUP(tbMoveset!A16,tbMoveset!A2:I112,9,FALSE)="Thunder",Backdoors!BD11,IF(VLOOKUP(tbMoveset!A16,tbMoveset!A2:I112,9,FALSE)="Ice",Backdoors!BE11,IF(VLOOKUP(tbMoveset!A16,tbMoveset!A2:I112,9,FALSE)="Dragon",Backdoors!BF11,Backdoors!BG11)))))/100,Backdoors!BG11/100),"")</f>
        <v>0</v>
      </c>
      <c r="BH16" s="49">
        <f>IFERROR(IF(VLOOKUP(A16,tbMoveset!A2:J112,10,FALSE)=TRUE,IF((Backdoors!AI12+IF(BF16&gt;=0.45,VLOOKUP(Calculator!E23,tbSkills!DH3:DI6,2,FALSE)+IF(AND(Calculator!B8=TRUE,Backdoors!BI11=TRUE),VLOOKUP(Calculator!E23,tbSkills!DH3:DJ6,3,FALSE),0),0))&gt;=0,1+(Backdoors!AL2*(IF((Backdoors!AI12+IF(BF16&gt;=0.45,VLOOKUP(Calculator!E23,tbSkills!DH3:DI6,2,FALSE)+IF(AND(Calculator!B8=TRUE,Backdoors!BI11=TRUE),VLOOKUP(Calculator!E23,tbSkills!DH3:DJ6,3,FALSE),0),0))&gt;=100,100,(Backdoors!AI12+IF(BF16&gt;=0.45,VLOOKUP(Calculator!E23,tbSkills!DH3:DI6,2,FALSE)+IF(AND(Calculator!B8=TRUE,Backdoors!BI11=TRUE),VLOOKUP(Calculator!E23,tbSkills!DH3:DJ6,3,FALSE),0),0)))/100)),(1-(0.25*((-Backdoors!AI12-IF(BF16&gt;=0.45,VLOOKUP(Calculator!E23,tbSkills!DH3:DI6,2,FALSE)+IF(AND(Calculator!B8=TRUE,Backdoors!BI11=TRUE),VLOOKUP(Calculator!E23,tbSkills!DH3:DJ6,3,FALSE),0),0))/100)))),1),"")</f>
        <v>1</v>
      </c>
      <c r="BI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F16)*BH16)*(VLOOKUP(A16,tbMoveset!A2:C112,3,FALSE)/100)*IF(VLOOKUP(A16,tbMoveset!A2:B112,2,FALSE)="Projectile",Backdoors!N10,Backdoors!N9),0),"")</f>
        <v/>
      </c>
      <c r="BJ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F16&gt;=0.45,VLOOKUP(Calculator!E23,tbSkills!DH3:DI6,2,FALSE)+IF(AND(Calculator!B8=TRUE,Backdoors!BI11=TRUE),VLOOKUP(Calculator!E23,tbSkills!DH3:DJ6,3,FALSE),0),0))&gt;=100,100,(Backdoors!AI12+IF(BF16&gt;=0.45,VLOOKUP(Calculator!E23,tbSkills!DH3:DI6,2,FALSE)+IF(AND(Calculator!B8=TRUE,Backdoors!BI11=TRUE),VLOOKUP(Calculator!E23,tbSkills!DH3:DJ6,3,FALSE),0),0)))/100)),1))*IF(VLOOKUP(A16,tbMoveset!A2:K112,11,FALSE)=TRUE,Backdoors!AC5,1))*BG16,0),"")</f>
        <v>0</v>
      </c>
      <c r="BK16" s="49">
        <f>VLOOKUP(A16,tbMoveset!A2:G112,7,FALSE)*IFERROR(IF(Backdoors!AI12&gt;=0,1+(IF(Calculator!E40&gt;0,VLOOKUP(Calculator!E40,tbSkills!AI3:AJ5,2,FALSE),Backdoors!AL4)*(IF((Backdoors!AI12+IF(BF16&gt;=0.45,VLOOKUP(Calculator!E23,tbSkills!DH3:DI6,2,FALSE)+IF(AND(Calculator!B8=TRUE,Backdoors!BI11=TRUE),VLOOKUP(Calculator!E23,tbSkills!DH3:DJ6,3,FALSE),0),0))&gt;=100,100,(Backdoors!AI12+IF(BF16&gt;=0.45,VLOOKUP(Calculator!E23,tbSkills!DH3:DI6,2,FALSE)+IF(AND(Calculator!B8=TRUE,Backdoors!BI11=TRUE),VLOOKUP(Calculator!E23,tbSkills!DH3:DJ6,3,FALSE),0),0)))/100)),1),1)</f>
        <v>0.5</v>
      </c>
      <c r="BL16" s="87">
        <f t="shared" si="4"/>
        <v>0</v>
      </c>
      <c r="BM16" s="86" t="str">
        <f>IFERROR(IF(VLOOKUP(A16,tbMoveset!A2:B112,2,FALSE)="Sever",Backdoors!AY12/100,IF(VLOOKUP(A16,tbMoveset!A2:B112,2,FALSE)="Blunt",Backdoors!AZ12/100,Backdoors!BA12/100)),"")</f>
        <v/>
      </c>
      <c r="BN16" s="49">
        <f>IFERROR(IF(VLOOKUP(tbMoveset!A16,tbMoveset!A2:H112,8,FALSE)="Other",IF(VLOOKUP(tbMoveset!A16,tbMoveset!A2:I112,9,FALSE)="Fire",Backdoors!BB12,IF(VLOOKUP(tbMoveset!A16,tbMoveset!A2:I112,9,FALSE)="Water",Backdoors!BC12,IF(VLOOKUP(tbMoveset!A16,tbMoveset!A2:I112,9,FALSE)="Thunder",Backdoors!BD12,IF(VLOOKUP(tbMoveset!A16,tbMoveset!A2:I112,9,FALSE)="Ice",Backdoors!BE12,IF(VLOOKUP(tbMoveset!A16,tbMoveset!A2:I112,9,FALSE)="Dragon",Backdoors!BF12,Backdoors!BG12)))))/100,Backdoors!BG12/100),"")</f>
        <v>0</v>
      </c>
      <c r="BO16" s="49">
        <f>IFERROR(IF(VLOOKUP(A16,tbMoveset!A2:J112,10,FALSE)=TRUE,IF((Backdoors!AI12+IF(BM16&gt;=0.45,VLOOKUP(Calculator!E23,tbSkills!DH3:DI6,2,FALSE)+IF(AND(Calculator!B8=TRUE,Backdoors!BI12=TRUE),VLOOKUP(Calculator!E23,tbSkills!DH3:DJ6,3,FALSE),0),0))&gt;=0,1+(Backdoors!AL2*(IF((Backdoors!AI12+IF(BM16&gt;=0.45,VLOOKUP(Calculator!E23,tbSkills!DH3:DI6,2,FALSE)+IF(AND(Calculator!B8=TRUE,Backdoors!BI12=TRUE),VLOOKUP(Calculator!E23,tbSkills!DH3:DJ6,3,FALSE),0),0))&gt;=100,100,(Backdoors!AI12+IF(BM16&gt;=0.45,VLOOKUP(Calculator!E23,tbSkills!DH3:DI6,2,FALSE)+IF(AND(Calculator!B8=TRUE,Backdoors!BI12=TRUE),VLOOKUP(Calculator!E23,tbSkills!DH3:DJ6,3,FALSE),0),0)))/100)),(1-(0.25*((-Backdoors!AI12-IF(BM16&gt;=0.45,VLOOKUP(Calculator!E23,tbSkills!DH3:DI6,2,FALSE)+IF(AND(Calculator!B8=TRUE,Backdoors!BI12=TRUE),VLOOKUP(Calculator!E23,tbSkills!DH3:DJ6,3,FALSE),0),0))/100)))),1),"")</f>
        <v>1</v>
      </c>
      <c r="BP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M16)*BO16)*(VLOOKUP(A16,tbMoveset!A2:C112,3,FALSE)/100)*IF(VLOOKUP(A16,tbMoveset!A2:B112,2,FALSE)="Projectile",Backdoors!N10,Backdoors!N9),0),"")</f>
        <v/>
      </c>
      <c r="BQ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M16&gt;=0.45,VLOOKUP(Calculator!E23,tbSkills!DH3:DI6,2,FALSE)+IF(AND(Calculator!B8=TRUE,Backdoors!BI12=TRUE),VLOOKUP(Calculator!E23,tbSkills!DH3:DJ6,3,FALSE),0),0))&gt;=100,100,(Backdoors!AI12+IF(BM16&gt;=0.45,VLOOKUP(Calculator!E23,tbSkills!DH3:DI6,2,FALSE)+IF(AND(Calculator!B8=TRUE,Backdoors!BI12=TRUE),VLOOKUP(Calculator!E23,tbSkills!DH3:DJ6,3,FALSE),0),0)))/100)),1))*IF(VLOOKUP(A16,tbMoveset!A2:K112,11,FALSE)=TRUE,Backdoors!AC5,1))*BN16,0),"")</f>
        <v>0</v>
      </c>
      <c r="BR16" s="49">
        <f>VLOOKUP(A16,tbMoveset!A2:G112,7,FALSE)*IFERROR(IF(Backdoors!AI12&gt;=0,1+(IF(Calculator!E40&gt;0,VLOOKUP(Calculator!E40,tbSkills!AI3:AJ5,2,FALSE),Backdoors!AL4)*(IF((Backdoors!AI12+IF(BM16&gt;=0.45,VLOOKUP(Calculator!E23,tbSkills!DH3:DI6,2,FALSE)+IF(AND(Calculator!B8=TRUE,Backdoors!BI12=TRUE),VLOOKUP(Calculator!E23,tbSkills!DH3:DJ6,3,FALSE),0),0))&gt;=100,100,(Backdoors!AI12+IF(BM16&gt;=0.45,VLOOKUP(Calculator!E23,tbSkills!DH3:DI6,2,FALSE)+IF(AND(Calculator!B8=TRUE,Backdoors!BI12=TRUE),VLOOKUP(Calculator!E23,tbSkills!DH3:DJ6,3,FALSE),0),0)))/100)),1),1)</f>
        <v>0.5</v>
      </c>
      <c r="BS16" s="87">
        <f t="shared" si="39"/>
        <v>0</v>
      </c>
      <c r="BT16" s="86" t="str">
        <f>IFERROR(IF(VLOOKUP(A16,tbMoveset!A2:B112,2,FALSE)="Sever",Backdoors!AY13/100,IF(VLOOKUP(A16,tbMoveset!A2:B112,2,FALSE)="Blunt",Backdoors!AZ13/100,Backdoors!BA13/100)),"")</f>
        <v/>
      </c>
      <c r="BU16" s="49">
        <f>IFERROR(IF(VLOOKUP(tbMoveset!A16,tbMoveset!A2:H112,8,FALSE)="Other",IF(VLOOKUP(tbMoveset!A16,tbMoveset!A2:I112,9,FALSE)="Fire",Backdoors!BB13,IF(VLOOKUP(tbMoveset!A16,tbMoveset!A2:I112,9,FALSE)="Water",Backdoors!BC13,IF(VLOOKUP(tbMoveset!A16,tbMoveset!A2:I112,9,FALSE)="Thunder",Backdoors!BD13,IF(VLOOKUP(tbMoveset!A16,tbMoveset!A2:I112,9,FALSE)="Ice",Backdoors!BE13,IF(VLOOKUP(tbMoveset!A16,tbMoveset!A2:I112,9,FALSE)="Dragon",Backdoors!BF13,Backdoors!BG13)))))/100,Backdoors!BG13/100),"")</f>
        <v>0</v>
      </c>
      <c r="BV16" s="49">
        <f>IFERROR(IF(VLOOKUP(A16,tbMoveset!A2:J112,10,FALSE)=TRUE,IF((Backdoors!AI12+IF(BT16&gt;=0.45,VLOOKUP(Calculator!E23,tbSkills!DH3:DI6,2,FALSE)+IF(AND(Calculator!B8=TRUE,Backdoors!BI13=TRUE),VLOOKUP(Calculator!E23,tbSkills!DH3:DJ6,3,FALSE),0),0))&gt;=0,1+(Backdoors!AL2*(IF((Backdoors!AI12+IF(BT16&gt;=0.45,VLOOKUP(Calculator!E23,tbSkills!DH3:DI6,2,FALSE)+IF(AND(Calculator!B8=TRUE,Backdoors!BI13=TRUE),VLOOKUP(Calculator!E23,tbSkills!DH3:DJ6,3,FALSE),0),0))&gt;=100,100,(Backdoors!AI12+IF(BT16&gt;=0.45,VLOOKUP(Calculator!E23,tbSkills!DH3:DI6,2,FALSE)+IF(AND(Calculator!B8=TRUE,Backdoors!BI13=TRUE),VLOOKUP(Calculator!E23,tbSkills!DH3:DJ6,3,FALSE),0),0)))/100)),(1-(0.25*((-Backdoors!AI12-IF(BT16&gt;=0.45,VLOOKUP(Calculator!E23,tbSkills!DH3:DI6,2,FALSE)+IF(AND(Calculator!B8=TRUE,Backdoors!BI13=TRUE),VLOOKUP(Calculator!E23,tbSkills!DH3:DJ6,3,FALSE),0),0))/100)))),1),"")</f>
        <v>1</v>
      </c>
      <c r="BW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T16)*BV16)*(VLOOKUP(A16,tbMoveset!A2:C112,3,FALSE)/100)*IF(VLOOKUP(A16,tbMoveset!A2:B112,2,FALSE)="Projectile",Backdoors!N10,Backdoors!N9),0),"")</f>
        <v/>
      </c>
      <c r="BX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T16&gt;=0.45,VLOOKUP(Calculator!E23,tbSkills!DH3:DI6,2,FALSE)+IF(AND(Calculator!B8=TRUE,Backdoors!BI13=TRUE),VLOOKUP(Calculator!E23,tbSkills!DH3:DJ6,3,FALSE),0),0))&gt;=100,100,(Backdoors!AI12+IF(BT16&gt;=0.45,VLOOKUP(Calculator!E23,tbSkills!DH3:DI6,2,FALSE)+IF(AND(Calculator!B8=TRUE,Backdoors!BI13=TRUE),VLOOKUP(Calculator!E23,tbSkills!DH3:DJ6,3,FALSE),0),0)))/100)),1))*IF(VLOOKUP(A16,tbMoveset!A2:K112,11,FALSE)=TRUE,Backdoors!AC5,1))*BU16,0),"")</f>
        <v>0</v>
      </c>
      <c r="BY16" s="49">
        <f>VLOOKUP(A16,tbMoveset!A2:G112,7,FALSE)*IFERROR(IF(Backdoors!AI12&gt;=0,1+(IF(Calculator!E40&gt;0,VLOOKUP(Calculator!E40,tbSkills!AI3:AJ5,2,FALSE),Backdoors!AL4)*(IF((Backdoors!AI12+IF(BT16&gt;=0.45,VLOOKUP(Calculator!E23,tbSkills!DH3:DI6,2,FALSE)+IF(AND(Calculator!B8=TRUE,Backdoors!BI13=TRUE),VLOOKUP(Calculator!E23,tbSkills!DH3:DJ6,3,FALSE),0),0))&gt;=100,100,(Backdoors!AI12+IF(BT16&gt;=0.45,VLOOKUP(Calculator!E23,tbSkills!DH3:DI6,2,FALSE)+IF(AND(Calculator!B8=TRUE,Backdoors!BI13=TRUE),VLOOKUP(Calculator!E23,tbSkills!DH3:DJ6,3,FALSE),0),0)))/100)),1),1)</f>
        <v>0.5</v>
      </c>
      <c r="BZ16" s="87">
        <f t="shared" si="5"/>
        <v>0</v>
      </c>
      <c r="CA16" s="86" t="str">
        <f>IFERROR(IF(VLOOKUP(A16,tbMoveset!A2:B112,2,FALSE)="Sever",Backdoors!AY14/100,IF(VLOOKUP(A16,tbMoveset!A2:B112,2,FALSE)="Blunt",Backdoors!AZ14/100,Backdoors!BA14/100)),"")</f>
        <v/>
      </c>
      <c r="CB16" s="49">
        <f>IFERROR(IF(VLOOKUP(tbMoveset!A16,tbMoveset!A2:H112,8,FALSE)="Other",IF(VLOOKUP(tbMoveset!A16,tbMoveset!A2:I112,9,FALSE)="Fire",Backdoors!BB14,IF(VLOOKUP(tbMoveset!A16,tbMoveset!A2:I112,9,FALSE)="Water",Backdoors!BC14,IF(VLOOKUP(tbMoveset!A16,tbMoveset!A2:I112,9,FALSE)="Thunder",Backdoors!BD14,IF(VLOOKUP(tbMoveset!A16,tbMoveset!A2:I112,9,FALSE)="Ice",Backdoors!BE14,IF(VLOOKUP(tbMoveset!A16,tbMoveset!A2:I112,9,FALSE)="Dragon",Backdoors!BF14,Backdoors!BG14)))))/100,Backdoors!BG14/100),"")</f>
        <v>0</v>
      </c>
      <c r="CC16" s="49">
        <f>IFERROR(IF(VLOOKUP(A16,tbMoveset!A2:J112,10,FALSE)=TRUE,IF((Backdoors!AI12+IF(CA16&gt;=0.45,VLOOKUP(Calculator!E23,tbSkills!DH3:DI6,2,FALSE)+IF(AND(Calculator!B8=TRUE,Backdoors!BI14=TRUE),VLOOKUP(Calculator!E23,tbSkills!DH3:DJ6,3,FALSE),0),0))&gt;=0,1+(Backdoors!AL2*(IF((Backdoors!AI12+IF(CA16&gt;=0.45,VLOOKUP(Calculator!E23,tbSkills!DH3:DI6,2,FALSE)+IF(AND(Calculator!B8=TRUE,Backdoors!BI14=TRUE),VLOOKUP(Calculator!E23,tbSkills!DH3:DJ6,3,FALSE),0),0))&gt;=100,100,(Backdoors!AI12+IF(CA16&gt;=0.45,VLOOKUP(Calculator!E23,tbSkills!DH3:DI6,2,FALSE)+IF(AND(Calculator!B8=TRUE,Backdoors!BI14=TRUE),VLOOKUP(Calculator!E23,tbSkills!DH3:DJ6,3,FALSE),0),0)))/100)),(1-(0.25*((-Backdoors!AI12-IF(CA16&gt;=0.45,VLOOKUP(Calculator!E23,tbSkills!DH3:DI6,2,FALSE)+IF(AND(Calculator!B8=TRUE,Backdoors!BI14=TRUE),VLOOKUP(Calculator!E23,tbSkills!DH3:DJ6,3,FALSE),0),0))/100)))),1),"")</f>
        <v>1</v>
      </c>
      <c r="CD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A16)*CC16)*(VLOOKUP(A16,tbMoveset!A2:C112,3,FALSE)/100)*IF(VLOOKUP(A16,tbMoveset!A2:B112,2,FALSE)="Projectile",Backdoors!N10,Backdoors!N9),0),"")</f>
        <v/>
      </c>
      <c r="CE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A16&gt;=0.45,VLOOKUP(Calculator!E23,tbSkills!DH3:DI6,2,FALSE)+IF(AND(Calculator!B8=TRUE,Backdoors!BI14=TRUE),VLOOKUP(Calculator!E23,tbSkills!DH3:DJ6,3,FALSE),0),0))&gt;=100,100,(Backdoors!AI12+IF(CA16&gt;=0.45,VLOOKUP(Calculator!E23,tbSkills!DH3:DI6,2,FALSE)+IF(AND(Calculator!B8=TRUE,Backdoors!BI14=TRUE),VLOOKUP(Calculator!E23,tbSkills!DH3:DJ6,3,FALSE),0),0)))/100)),1))*IF(VLOOKUP(A16,tbMoveset!A2:K112,11,FALSE)=TRUE,Backdoors!AC5,1))*CB16,0),"")</f>
        <v>0</v>
      </c>
      <c r="CF16" s="49">
        <f>VLOOKUP(A16,tbMoveset!A2:G112,7,FALSE)*IFERROR(IF(Backdoors!AI12&gt;=0,1+(IF(Calculator!E40&gt;0,VLOOKUP(Calculator!E40,tbSkills!AI3:AJ5,2,FALSE),Backdoors!AL4)*(IF((Backdoors!AI12+IF(CA16&gt;=0.45,VLOOKUP(Calculator!E23,tbSkills!DH3:DI6,2,FALSE)+IF(AND(Calculator!B8=TRUE,Backdoors!BI14=TRUE),VLOOKUP(Calculator!E23,tbSkills!DH3:DJ6,3,FALSE),0),0))&gt;=100,100,(Backdoors!AI12+IF(CA16&gt;=0.45,VLOOKUP(Calculator!E23,tbSkills!DH3:DI6,2,FALSE)+IF(AND(Calculator!B8=TRUE,Backdoors!BI14=TRUE),VLOOKUP(Calculator!E23,tbSkills!DH3:DJ6,3,FALSE),0),0)))/100)),1),1)</f>
        <v>0.5</v>
      </c>
      <c r="CG16" s="87">
        <f t="shared" si="6"/>
        <v>0</v>
      </c>
      <c r="CH16" s="86" t="str">
        <f>IFERROR(IF(VLOOKUP(A16,tbMoveset!A2:B112,2,FALSE)="Sever",Backdoors!AY15/100,IF(VLOOKUP(A16,tbMoveset!A2:B112,2,FALSE)="Blunt",Backdoors!AZ15/100,Backdoors!BA15/100)),"")</f>
        <v/>
      </c>
      <c r="CI16" s="49">
        <f>IFERROR(IF(VLOOKUP(tbMoveset!A16,tbMoveset!A2:H112,8,FALSE)="Other",IF(VLOOKUP(tbMoveset!A16,tbMoveset!A2:I112,9,FALSE)="Fire",Backdoors!BB15,IF(VLOOKUP(tbMoveset!A16,tbMoveset!A2:I112,9,FALSE)="Water",Backdoors!BC15,IF(VLOOKUP(tbMoveset!A16,tbMoveset!A2:I112,9,FALSE)="Thunder",Backdoors!BD15,IF(VLOOKUP(tbMoveset!A16,tbMoveset!A2:I112,9,FALSE)="Ice",Backdoors!BE15,IF(VLOOKUP(tbMoveset!A16,tbMoveset!A2:I112,9,FALSE)="Dragon",Backdoors!BF15,Backdoors!BG15)))))/100,Backdoors!BG15/100),"")</f>
        <v>0</v>
      </c>
      <c r="CJ16" s="49">
        <f>IFERROR(IF(VLOOKUP(A16,tbMoveset!A2:J112,10,FALSE)=TRUE,IF((Backdoors!AI12+IF(CH16&gt;=0.45,VLOOKUP(Calculator!E23,tbSkills!DH3:DI6,2,FALSE)+IF(AND(Calculator!B8=TRUE,Backdoors!BI15=TRUE),VLOOKUP(Calculator!E23,tbSkills!DH3:DJ6,3,FALSE),0),0))&gt;=0,1+(Backdoors!AL2*(IF((Backdoors!AI12+IF(CH16&gt;=0.45,VLOOKUP(Calculator!E23,tbSkills!DH3:DI6,2,FALSE)+IF(AND(Calculator!B8=TRUE,Backdoors!BI15=TRUE),VLOOKUP(Calculator!E23,tbSkills!DH3:DJ6,3,FALSE),0),0))&gt;=100,100,(Backdoors!AI12+IF(CH16&gt;=0.45,VLOOKUP(Calculator!E23,tbSkills!DH3:DI6,2,FALSE)+IF(AND(Calculator!B8=TRUE,Backdoors!BI15=TRUE),VLOOKUP(Calculator!E23,tbSkills!DH3:DJ6,3,FALSE),0),0)))/100)),(1-(0.25*((-Backdoors!AI12-IF(CH16&gt;=0.45,VLOOKUP(Calculator!E23,tbSkills!DH3:DI6,2,FALSE)+IF(AND(Calculator!B8=TRUE,Backdoors!BI15=TRUE),VLOOKUP(Calculator!E23,tbSkills!DH3:DJ6,3,FALSE),0),0))/100)))),1),"")</f>
        <v>1</v>
      </c>
      <c r="CK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H16)*CJ16)*(VLOOKUP(A16,tbMoveset!A2:C112,3,FALSE)/100)*IF(VLOOKUP(A16,tbMoveset!A2:B112,2,FALSE)="Projectile",Backdoors!N10,Backdoors!N9),0),"")</f>
        <v/>
      </c>
      <c r="CL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H16&gt;=0.45,VLOOKUP(Calculator!E23,tbSkills!DH3:DI6,2,FALSE)+IF(AND(Calculator!B8=TRUE,Backdoors!BI15=TRUE),VLOOKUP(Calculator!E23,tbSkills!DH3:DJ6,3,FALSE),0),0))&gt;=100,100,(Backdoors!AI12+IF(CH16&gt;=0.45,VLOOKUP(Calculator!E23,tbSkills!DH3:DI6,2,FALSE)+IF(AND(Calculator!B8=TRUE,Backdoors!BI15=TRUE),VLOOKUP(Calculator!E23,tbSkills!DH3:DJ6,3,FALSE),0),0)))/100)),1))*IF(VLOOKUP(A16,tbMoveset!A2:K112,11,FALSE)=TRUE,Backdoors!AC5,1))*CI16,0),"")</f>
        <v>0</v>
      </c>
      <c r="CM16" s="49">
        <f>VLOOKUP(A16,tbMoveset!A2:G112,7,FALSE)*IFERROR(IF(Backdoors!AI12&gt;=0,1+(IF(Calculator!E40&gt;0,VLOOKUP(Calculator!E40,tbSkills!AI3:AJ5,2,FALSE),Backdoors!AL4)*(IF((Backdoors!AI12+IF(CH16&gt;=0.45,VLOOKUP(Calculator!E23,tbSkills!DH3:DI6,2,FALSE)+IF(AND(Calculator!B8=TRUE,Backdoors!BI15=TRUE),VLOOKUP(Calculator!E23,tbSkills!DH3:DJ6,3,FALSE),0),0))&gt;=100,100,(Backdoors!AI12+IF(CH16&gt;=0.45,VLOOKUP(Calculator!E23,tbSkills!DH3:DI6,2,FALSE)+IF(AND(Calculator!B8=TRUE,Backdoors!BI15=TRUE),VLOOKUP(Calculator!E23,tbSkills!DH3:DJ6,3,FALSE),0),0)))/100)),1),1)</f>
        <v>0.5</v>
      </c>
      <c r="CN16" s="87">
        <f t="shared" si="7"/>
        <v>0</v>
      </c>
      <c r="CO16" s="86" t="str">
        <f>IFERROR(IF(VLOOKUP(A16,tbMoveset!A2:B112,2,FALSE)="Sever",Backdoors!AY16/100,IF(VLOOKUP(A16,tbMoveset!A2:B112,2,FALSE)="Blunt",Backdoors!AZ16/100,Backdoors!BA16/100)),"")</f>
        <v/>
      </c>
      <c r="CP16" s="49">
        <f>IFERROR(IF(VLOOKUP(tbMoveset!A16,tbMoveset!A2:H112,8,FALSE)="Other",IF(VLOOKUP(tbMoveset!A16,tbMoveset!A2:I112,9,FALSE)="Fire",Backdoors!BB16,IF(VLOOKUP(tbMoveset!A16,tbMoveset!A2:I112,9,FALSE)="Water",Backdoors!BC16,IF(VLOOKUP(tbMoveset!A16,tbMoveset!A2:I112,9,FALSE)="Thunder",Backdoors!BD16,IF(VLOOKUP(tbMoveset!A16,tbMoveset!A2:I112,9,FALSE)="Ice",Backdoors!BE16,IF(VLOOKUP(tbMoveset!A16,tbMoveset!A2:I112,9,FALSE)="Dragon",Backdoors!BF16,Backdoors!BG16)))))/100,Backdoors!BG16/100),"")</f>
        <v>0</v>
      </c>
      <c r="CQ16" s="49">
        <f>IFERROR(IF(VLOOKUP(A16,tbMoveset!A2:J112,10,FALSE)=TRUE,IF((Backdoors!AI12+IF(CO16&gt;=0.45,VLOOKUP(Calculator!E23,tbSkills!DH3:DI6,2,FALSE)+IF(AND(Calculator!B8=TRUE,Backdoors!BI16=TRUE),VLOOKUP(Calculator!E23,tbSkills!DH3:DJ6,3,FALSE),0),0))&gt;=0,1+(Backdoors!AL2*(IF((Backdoors!AI12+IF(CO16&gt;=0.45,VLOOKUP(Calculator!E23,tbSkills!DH3:DI6,2,FALSE)+IF(AND(Calculator!B8=TRUE,Backdoors!BI16=TRUE),VLOOKUP(Calculator!E23,tbSkills!DH3:DJ6,3,FALSE),0),0))&gt;=100,100,(Backdoors!AI12+IF(CO16&gt;=0.45,VLOOKUP(Calculator!E23,tbSkills!DH3:DI6,2,FALSE)+IF(AND(Calculator!B8=TRUE,Backdoors!BI16=TRUE),VLOOKUP(Calculator!E23,tbSkills!DH3:DJ6,3,FALSE),0),0)))/100)),(1-(0.25*((-Backdoors!AI12-IF(CO16&gt;=0.45,VLOOKUP(Calculator!E23,tbSkills!DH3:DI6,2,FALSE)+IF(AND(Calculator!B8=TRUE,Backdoors!BI16=TRUE),VLOOKUP(Calculator!E23,tbSkills!DH3:DJ6,3,FALSE),0),0))/100)))),1),"")</f>
        <v>1</v>
      </c>
      <c r="CR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O16)*CQ16)*(VLOOKUP(A16,tbMoveset!A2:C112,3,FALSE)/100)*IF(VLOOKUP(A16,tbMoveset!A2:B112,2,FALSE)="Projectile",Backdoors!N10,Backdoors!N9),0),"")</f>
        <v/>
      </c>
      <c r="CS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O16&gt;=0.45,VLOOKUP(Calculator!E23,tbSkills!DH3:DI6,2,FALSE)+IF(AND(Calculator!B8=TRUE,Backdoors!BI16=TRUE),VLOOKUP(Calculator!E23,tbSkills!DH3:DJ6,3,FALSE),0),0))&gt;=100,100,(Backdoors!AI12+IF(CO16&gt;=0.45,VLOOKUP(Calculator!E23,tbSkills!DH3:DI6,2,FALSE)+IF(AND(Calculator!B8=TRUE,Backdoors!BI16=TRUE),VLOOKUP(Calculator!E23,tbSkills!DH3:DJ6,3,FALSE),0),0)))/100)),1))*IF(VLOOKUP(A16,tbMoveset!A2:K112,11,FALSE)=TRUE,Backdoors!AC5,1))*CP16,0),"")</f>
        <v>0</v>
      </c>
      <c r="CT16" s="49">
        <f>VLOOKUP(A16,tbMoveset!A2:G112,7,FALSE)*IFERROR(IF(Backdoors!AI12&gt;=0,1+(IF(Calculator!E40&gt;0,VLOOKUP(Calculator!E40,tbSkills!AI3:AJ5,2,FALSE),Backdoors!AL4)*(IF((Backdoors!AI12+IF(CO16&gt;=0.45,VLOOKUP(Calculator!E23,tbSkills!DH3:DI6,2,FALSE)+IF(AND(Calculator!B8=TRUE,Backdoors!BI16=TRUE),VLOOKUP(Calculator!E23,tbSkills!DH3:DJ6,3,FALSE),0),0))&gt;=100,100,(Backdoors!AI12+IF(CO16&gt;=0.45,VLOOKUP(Calculator!E23,tbSkills!DH3:DI6,2,FALSE)+IF(AND(Calculator!B8=TRUE,Backdoors!BI16=TRUE),VLOOKUP(Calculator!E23,tbSkills!DH3:DJ6,3,FALSE),0),0)))/100)),1),1)</f>
        <v>0.5</v>
      </c>
      <c r="CU16" s="87">
        <f t="shared" si="40"/>
        <v>0</v>
      </c>
      <c r="CV16" s="86" t="str">
        <f>IFERROR(IF(VLOOKUP(A16,tbMoveset!A2:B112,2,FALSE)="Sever",Backdoors!AY17/100,IF(VLOOKUP(A16,tbMoveset!A2:B112,2,FALSE)="Blunt",Backdoors!AZ17/100,Backdoors!BA17/100)),"")</f>
        <v/>
      </c>
      <c r="CW16" s="49">
        <f>IFERROR(IF(VLOOKUP(tbMoveset!A16,tbMoveset!A2:H112,8,FALSE)="Other",IF(VLOOKUP(tbMoveset!A16,tbMoveset!A2:I112,9,FALSE)="Fire",Backdoors!BB17,IF(VLOOKUP(tbMoveset!A16,tbMoveset!A2:I112,9,FALSE)="Water",Backdoors!BC17,IF(VLOOKUP(tbMoveset!A16,tbMoveset!A2:I112,9,FALSE)="Thunder",Backdoors!BD17,IF(VLOOKUP(tbMoveset!A16,tbMoveset!A2:I112,9,FALSE)="Ice",Backdoors!BE17,IF(VLOOKUP(tbMoveset!A16,tbMoveset!A2:I112,9,FALSE)="Dragon",Backdoors!BF17,Backdoors!BG17)))))/100,Backdoors!BG17/100),"")</f>
        <v>0</v>
      </c>
      <c r="CX16" s="49">
        <f>IFERROR(IF(VLOOKUP(A16,tbMoveset!A2:J112,10,FALSE)=TRUE,IF((Backdoors!AI12+IF(CV16&gt;=0.45,VLOOKUP(Calculator!E23,tbSkills!DH3:DI6,2,FALSE)+IF(AND(Calculator!B8=TRUE,Backdoors!BI17=TRUE),VLOOKUP(Calculator!E23,tbSkills!DH3:DJ6,3,FALSE),0),0))&gt;=0,1+(Backdoors!AL2*(IF((Backdoors!AI12+IF(CV16&gt;=0.45,VLOOKUP(Calculator!E23,tbSkills!DH3:DI6,2,FALSE)+IF(AND(Calculator!B8=TRUE,Backdoors!BI17=TRUE),VLOOKUP(Calculator!E23,tbSkills!DH3:DJ6,3,FALSE),0),0))&gt;=100,100,(Backdoors!AI12+IF(CV16&gt;=0.45,VLOOKUP(Calculator!E23,tbSkills!DH3:DI6,2,FALSE)+IF(AND(Calculator!B8=TRUE,Backdoors!BI17=TRUE),VLOOKUP(Calculator!E23,tbSkills!DH3:DJ6,3,FALSE),0),0)))/100)),(1-(0.25*((-Backdoors!AI12-IF(CV16&gt;=0.45,VLOOKUP(Calculator!E23,tbSkills!DH3:DI6,2,FALSE)+IF(AND(Calculator!B8=TRUE,Backdoors!BI17=TRUE),VLOOKUP(Calculator!E23,tbSkills!DH3:DJ6,3,FALSE),0),0))/100)))),1),"")</f>
        <v>1</v>
      </c>
      <c r="CY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V16)*CX16)*(VLOOKUP(A16,tbMoveset!A2:C112,3,FALSE)/100)*IF(VLOOKUP(A16,tbMoveset!A2:B112,2,FALSE)="Projectile",Backdoors!N10,Backdoors!N9),0),"")</f>
        <v/>
      </c>
      <c r="CZ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V16&gt;=0.45,VLOOKUP(Calculator!E23,tbSkills!DH3:DI6,2,FALSE)+IF(AND(Calculator!B8=TRUE,Backdoors!BI17=TRUE),VLOOKUP(Calculator!E23,tbSkills!DH3:DJ6,3,FALSE),0),0))&gt;=100,100,(Backdoors!AI12+IF(CV16&gt;=0.45,VLOOKUP(Calculator!E23,tbSkills!DH3:DI6,2,FALSE)+IF(AND(Calculator!B8=TRUE,Backdoors!BI17=TRUE),VLOOKUP(Calculator!E23,tbSkills!DH3:DJ6,3,FALSE),0),0)))/100)),1))*IF(VLOOKUP(A16,tbMoveset!A2:K112,11,FALSE)=TRUE,Backdoors!AC5,1))*CW16,0),"")</f>
        <v>0</v>
      </c>
      <c r="DA16" s="49">
        <f>VLOOKUP(A16,tbMoveset!A2:G112,7,FALSE)*IFERROR(IF(Backdoors!AI12&gt;=0,1+(IF(Calculator!E40&gt;0,VLOOKUP(Calculator!E40,tbSkills!AI3:AJ5,2,FALSE),Backdoors!AL4)*(IF((Backdoors!AI12+IF(CV16&gt;=0.45,VLOOKUP(Calculator!E23,tbSkills!DH3:DI6,2,FALSE)+IF(AND(Calculator!B8=TRUE,Backdoors!BI17=TRUE),VLOOKUP(Calculator!E23,tbSkills!DH3:DJ6,3,FALSE),0),0))&gt;=100,100,(Backdoors!AI12+IF(CV16&gt;=0.45,VLOOKUP(Calculator!E23,tbSkills!DH3:DI6,2,FALSE)+IF(AND(Calculator!B8=TRUE,Backdoors!BI17=TRUE),VLOOKUP(Calculator!E23,tbSkills!DH3:DJ6,3,FALSE),0),0)))/100)),1),1)</f>
        <v>0.5</v>
      </c>
      <c r="DB16" s="87">
        <f t="shared" si="8"/>
        <v>0</v>
      </c>
      <c r="DC16" s="86" t="str">
        <f>IFERROR(IF(VLOOKUP(A16,tbMoveset!A2:B112,2,FALSE)="Sever",Backdoors!AY18/100,IF(VLOOKUP(A16,tbMoveset!A2:B112,2,FALSE)="Blunt",Backdoors!AZ18/100,Backdoors!BA18/100)),"")</f>
        <v/>
      </c>
      <c r="DD16" s="49">
        <f>IFERROR(IF(VLOOKUP(tbMoveset!A16,tbMoveset!A2:H112,8,FALSE)="Other",IF(VLOOKUP(tbMoveset!A16,tbMoveset!A2:I112,9,FALSE)="Fire",Backdoors!BB18,IF(VLOOKUP(tbMoveset!A16,tbMoveset!A2:I112,9,FALSE)="Water",Backdoors!BC18,IF(VLOOKUP(tbMoveset!A16,tbMoveset!A2:I112,9,FALSE)="Thunder",Backdoors!BD18,IF(VLOOKUP(tbMoveset!A16,tbMoveset!A2:I112,9,FALSE)="Ice",Backdoors!BE18,IF(VLOOKUP(tbMoveset!A16,tbMoveset!A2:I112,9,FALSE)="Dragon",Backdoors!BF18,Backdoors!BG18)))))/100,Backdoors!BG18/100),"")</f>
        <v>0</v>
      </c>
      <c r="DE16" s="49">
        <f>IFERROR(IF(VLOOKUP(A16,tbMoveset!A2:J112,10,FALSE)=TRUE,IF((Backdoors!AI12+IF(DC16&gt;=0.45,VLOOKUP(Calculator!E23,tbSkills!DH3:DI6,2,FALSE)+IF(AND(Calculator!B8=TRUE,Backdoors!BI18=TRUE),VLOOKUP(Calculator!E23,tbSkills!DH3:DJ6,3,FALSE),0),0))&gt;=0,1+(Backdoors!AL2*(IF((Backdoors!AI12+IF(DC16&gt;=0.45,VLOOKUP(Calculator!E23,tbSkills!DH3:DI6,2,FALSE)+IF(AND(Calculator!B8=TRUE,Backdoors!BI18=TRUE),VLOOKUP(Calculator!E23,tbSkills!DH3:DJ6,3,FALSE),0),0))&gt;=100,100,(Backdoors!AI12+IF(DC16&gt;=0.45,VLOOKUP(Calculator!E23,tbSkills!DH3:DI6,2,FALSE)+IF(AND(Calculator!B8=TRUE,Backdoors!BI18=TRUE),VLOOKUP(Calculator!E23,tbSkills!DH3:DJ6,3,FALSE),0),0)))/100)),(1-(0.25*((-Backdoors!AI12-IF(DC16&gt;=0.45,VLOOKUP(Calculator!E23,tbSkills!DH3:DI6,2,FALSE)+IF(AND(Calculator!B8=TRUE,Backdoors!BI18=TRUE),VLOOKUP(Calculator!E23,tbSkills!DH3:DJ6,3,FALSE),0),0))/100)))),1),"")</f>
        <v>1</v>
      </c>
      <c r="DF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C16)*DE16)*(VLOOKUP(A16,tbMoveset!A2:C112,3,FALSE)/100)*IF(VLOOKUP(A16,tbMoveset!A2:B112,2,FALSE)="Projectile",Backdoors!N10,Backdoors!N9),0),"")</f>
        <v/>
      </c>
      <c r="DG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C16&gt;=0.45,VLOOKUP(Calculator!E23,tbSkills!DH3:DI6,2,FALSE)+IF(AND(Calculator!B8=TRUE,Backdoors!BI18=TRUE),VLOOKUP(Calculator!E23,tbSkills!DH3:DJ6,3,FALSE),0),0))&gt;=100,100,(Backdoors!AI12+IF(DC16&gt;=0.45,VLOOKUP(Calculator!E23,tbSkills!DH3:DI6,2,FALSE)+IF(AND(Calculator!B8=TRUE,Backdoors!BI18=TRUE),VLOOKUP(Calculator!E23,tbSkills!DH3:DJ6,3,FALSE),0),0)))/100)),1))*IF(VLOOKUP(A16,tbMoveset!A2:K112,11,FALSE)=TRUE,Backdoors!AC5,1))*DD16,0),"")</f>
        <v>0</v>
      </c>
      <c r="DH16" s="49">
        <f>VLOOKUP(A16,tbMoveset!A2:G112,7,FALSE)*IFERROR(IF(Backdoors!AI12&gt;=0,1+(IF(Calculator!E40&gt;0,VLOOKUP(Calculator!E40,tbSkills!AI3:AJ5,2,FALSE),Backdoors!AL4)*(IF((Backdoors!AI12+IF(DC16&gt;=0.45,VLOOKUP(Calculator!E23,tbSkills!DH3:DI6,2,FALSE)+IF(AND(Calculator!B8=TRUE,Backdoors!BI18=TRUE),VLOOKUP(Calculator!E23,tbSkills!DH3:DJ6,3,FALSE),0),0))&gt;=100,100,(Backdoors!AI12+IF(DC16&gt;=0.45,VLOOKUP(Calculator!E23,tbSkills!DH3:DI6,2,FALSE)+IF(AND(Calculator!B8=TRUE,Backdoors!BI18=TRUE),VLOOKUP(Calculator!E23,tbSkills!DH3:DJ6,3,FALSE),0),0)))/100)),1),1)</f>
        <v>0.5</v>
      </c>
      <c r="DI16" s="87">
        <f t="shared" si="9"/>
        <v>0</v>
      </c>
      <c r="DJ16" s="86" t="str">
        <f>IFERROR(IF(VLOOKUP(A16,tbMoveset!A2:B112,2,FALSE)="Sever",Backdoors!AY19/100,IF(VLOOKUP(A16,tbMoveset!A2:B112,2,FALSE)="Blunt",Backdoors!AZ19/100,Backdoors!BA19/100)),"")</f>
        <v/>
      </c>
      <c r="DK16" s="49">
        <f>IFERROR(IF(VLOOKUP(tbMoveset!A16,tbMoveset!A2:H112,8,FALSE)="Other",IF(VLOOKUP(tbMoveset!A16,tbMoveset!A2:I112,9,FALSE)="Fire",Backdoors!BB19,IF(VLOOKUP(tbMoveset!A16,tbMoveset!A2:I112,9,FALSE)="Water",Backdoors!BC19,IF(VLOOKUP(tbMoveset!A16,tbMoveset!A2:I112,9,FALSE)="Thunder",Backdoors!BD19,IF(VLOOKUP(tbMoveset!A16,tbMoveset!A2:I112,9,FALSE)="Ice",Backdoors!BE19,IF(VLOOKUP(tbMoveset!A16,tbMoveset!A2:I112,9,FALSE)="Dragon",Backdoors!BF19,Backdoors!BG19)))))/100,Backdoors!BG19/100),"")</f>
        <v>0</v>
      </c>
      <c r="DL16" s="49">
        <f>IFERROR(IF(VLOOKUP(A16,tbMoveset!A2:J112,10,FALSE)=TRUE,IF((Backdoors!AI12+IF(DJ16&gt;=0.45,VLOOKUP(Calculator!E23,tbSkills!DH3:DI6,2,FALSE)+IF(AND(Calculator!B8=TRUE,Backdoors!BI19=TRUE),VLOOKUP(Calculator!E23,tbSkills!DH3:DJ6,3,FALSE),0),0))&gt;=0,1+(Backdoors!AL2*(IF((Backdoors!AI12+IF(DJ16&gt;=0.45,VLOOKUP(Calculator!E23,tbSkills!DH3:DI6,2,FALSE)+IF(AND(Calculator!B8=TRUE,Backdoors!BI19=TRUE),VLOOKUP(Calculator!E23,tbSkills!DH3:DJ6,3,FALSE),0),0))&gt;=100,100,(Backdoors!AI12+IF(DJ16&gt;=0.45,VLOOKUP(Calculator!E23,tbSkills!DH3:DI6,2,FALSE)+IF(AND(Calculator!B8=TRUE,Backdoors!BI19=TRUE),VLOOKUP(Calculator!E23,tbSkills!DH3:DJ6,3,FALSE),0),0)))/100)),(1-(0.25*((-Backdoors!AI12-IF(DJ16&gt;=0.45,VLOOKUP(Calculator!E23,tbSkills!DH3:DI6,2,FALSE)+IF(AND(Calculator!B8=TRUE,Backdoors!BI19=TRUE),VLOOKUP(Calculator!E23,tbSkills!DH3:DJ6,3,FALSE),0),0))/100)))),1),"")</f>
        <v>1</v>
      </c>
      <c r="DM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J16)*DL16)*(VLOOKUP(A16,tbMoveset!A2:C112,3,FALSE)/100)*IF(VLOOKUP(A16,tbMoveset!A2:B112,2,FALSE)="Projectile",Backdoors!N10,Backdoors!N9),0),"")</f>
        <v/>
      </c>
      <c r="DN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J16&gt;=0.45,VLOOKUP(Calculator!E23,tbSkills!DH3:DI6,2,FALSE)+IF(AND(Calculator!B8=TRUE,Backdoors!BI19=TRUE),VLOOKUP(Calculator!E23,tbSkills!DH3:DJ6,3,FALSE),0),0))&gt;=100,100,(Backdoors!AI12+IF(DJ16&gt;=0.45,VLOOKUP(Calculator!E23,tbSkills!DH3:DI6,2,FALSE)+IF(AND(Calculator!B8=TRUE,Backdoors!BI19=TRUE),VLOOKUP(Calculator!E23,tbSkills!DH3:DJ6,3,FALSE),0),0)))/100)),1))*IF(VLOOKUP(A16,tbMoveset!A2:K112,11,FALSE)=TRUE,Backdoors!AC5,1))*DK16,0),"")</f>
        <v>0</v>
      </c>
      <c r="DO16" s="49">
        <f>VLOOKUP(A16,tbMoveset!A2:G112,7,FALSE)*IFERROR(IF(Backdoors!AI12&gt;=0,1+(IF(Calculator!E40&gt;0,VLOOKUP(Calculator!E40,tbSkills!AI3:AJ5,2,FALSE),Backdoors!AL4)*(IF((Backdoors!AI12+IF(DJ16&gt;=0.45,VLOOKUP(Calculator!E23,tbSkills!DH3:DI6,2,FALSE)+IF(AND(Calculator!B8=TRUE,Backdoors!BI19=TRUE),VLOOKUP(Calculator!E23,tbSkills!DH3:DJ6,3,FALSE),0),0))&gt;=100,100,(Backdoors!AI12+IF(DJ16&gt;=0.45,VLOOKUP(Calculator!E23,tbSkills!DH3:DI6,2,FALSE)+IF(AND(Calculator!B8=TRUE,Backdoors!BI19=TRUE),VLOOKUP(Calculator!E23,tbSkills!DH3:DJ6,3,FALSE),0),0)))/100)),1),1)</f>
        <v>0.5</v>
      </c>
      <c r="DP16" s="87">
        <f t="shared" si="41"/>
        <v>0</v>
      </c>
      <c r="DQ16" s="86" t="str">
        <f>IFERROR(IF(VLOOKUP(A16,tbMoveset!A2:B112,2,FALSE)="Sever",Backdoors!AY20/100,IF(VLOOKUP(A16,tbMoveset!A2:B112,2,FALSE)="Blunt",Backdoors!AZ20/100,Backdoors!BA20/100)),"")</f>
        <v/>
      </c>
      <c r="DR16" s="49">
        <f>IFERROR(IF(VLOOKUP(tbMoveset!A16,tbMoveset!A2:H112,8,FALSE)="Other",IF(VLOOKUP(tbMoveset!A16,tbMoveset!A2:I112,9,FALSE)="Fire",Backdoors!BB20,IF(VLOOKUP(tbMoveset!A16,tbMoveset!A2:I112,9,FALSE)="Water",Backdoors!BC20,IF(VLOOKUP(tbMoveset!A16,tbMoveset!A2:I112,9,FALSE)="Thunder",Backdoors!BD20,IF(VLOOKUP(tbMoveset!A16,tbMoveset!A2:I112,9,FALSE)="Ice",Backdoors!BE20,IF(VLOOKUP(tbMoveset!A16,tbMoveset!A2:I112,9,FALSE)="Dragon",Backdoors!BF20,Backdoors!BG20)))))/100,Backdoors!BG20/100),"")</f>
        <v>0</v>
      </c>
      <c r="DS16" s="49">
        <f>IFERROR(IF(VLOOKUP(A16,tbMoveset!A2:J112,10,FALSE)=TRUE,IF((Backdoors!AI12+IF(DQ16&gt;=0.45,VLOOKUP(Calculator!E23,tbSkills!DH3:DI6,2,FALSE)+IF(AND(Calculator!B8=TRUE,Backdoors!BI20=TRUE),VLOOKUP(Calculator!E23,tbSkills!DH3:DJ6,3,FALSE),0),0))&gt;=0,1+(Backdoors!AL2*(IF((Backdoors!AI12+IF(DQ16&gt;=0.45,VLOOKUP(Calculator!E23,tbSkills!DH3:DI6,2,FALSE)+IF(AND(Calculator!B8=TRUE,Backdoors!BI20=TRUE),VLOOKUP(Calculator!E23,tbSkills!DH3:DJ6,3,FALSE),0),0))&gt;=100,100,(Backdoors!AI12+IF(DQ16&gt;=0.45,VLOOKUP(Calculator!E23,tbSkills!DH3:DI6,2,FALSE)+IF(AND(Calculator!B8=TRUE,Backdoors!BI20=TRUE),VLOOKUP(Calculator!E23,tbSkills!DH3:DJ6,3,FALSE),0),0)))/100)),(1-(0.25*((-Backdoors!AI12-IF(DQ16&gt;=0.45,VLOOKUP(Calculator!E23,tbSkills!DH3:DI6,2,FALSE)+IF(AND(Calculator!B8=TRUE,Backdoors!BI20=TRUE),VLOOKUP(Calculator!E23,tbSkills!DH3:DJ6,3,FALSE),0),0))/100)))),1),"")</f>
        <v>1</v>
      </c>
      <c r="DT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Q16)*DS16)*(VLOOKUP(A16,tbMoveset!A2:C112,3,FALSE)/100)*IF(VLOOKUP(A16,tbMoveset!A2:B112,2,FALSE)="Projectile",Backdoors!N10,Backdoors!N9),0),"")</f>
        <v/>
      </c>
      <c r="DU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Q16&gt;=0.45,VLOOKUP(Calculator!E23,tbSkills!DH3:DI6,2,FALSE)+IF(AND(Calculator!B8=TRUE,Backdoors!BI20=TRUE),VLOOKUP(Calculator!E23,tbSkills!DH3:DJ6,3,FALSE),0),0))&gt;=100,100,(Backdoors!AI12+IF(DQ16&gt;=0.45,VLOOKUP(Calculator!E23,tbSkills!DH3:DI6,2,FALSE)+IF(AND(Calculator!B8=TRUE,Backdoors!BI20=TRUE),VLOOKUP(Calculator!E23,tbSkills!DH3:DJ6,3,FALSE),0),0)))/100)),1))*IF(VLOOKUP(A16,tbMoveset!A2:K112,11,FALSE)=TRUE,Backdoors!AC5,1))*DR16,0),"")</f>
        <v>0</v>
      </c>
      <c r="DV16" s="49">
        <f>VLOOKUP(A16,tbMoveset!A2:G112,7,FALSE)*IFERROR(IF(Backdoors!AI12&gt;=0,1+(IF(Calculator!E40&gt;0,VLOOKUP(Calculator!E40,tbSkills!AI3:AJ5,2,FALSE),Backdoors!AL4)*(IF((Backdoors!AI12+IF(DQ16&gt;=0.45,VLOOKUP(Calculator!E23,tbSkills!DH3:DI6,2,FALSE)+IF(AND(Calculator!B8=TRUE,Backdoors!BI20=TRUE),VLOOKUP(Calculator!E23,tbSkills!DH3:DJ6,3,FALSE),0),0))&gt;=100,100,(Backdoors!AI12+IF(DQ16&gt;=0.45,VLOOKUP(Calculator!E23,tbSkills!DH3:DI6,2,FALSE)+IF(AND(Calculator!B8=TRUE,Backdoors!BI20=TRUE),VLOOKUP(Calculator!E23,tbSkills!DH3:DJ6,3,FALSE),0),0)))/100)),1),1)</f>
        <v>0.5</v>
      </c>
      <c r="DW16" s="87">
        <f t="shared" si="10"/>
        <v>0</v>
      </c>
      <c r="DX16" s="86" t="str">
        <f>IFERROR(IF(VLOOKUP(A16,tbMoveset!A2:B112,2,FALSE)="Sever",Backdoors!AY21/100,IF(VLOOKUP(A16,tbMoveset!A2:B112,2,FALSE)="Blunt",Backdoors!AZ21/100,Backdoors!BA21/100)),"")</f>
        <v/>
      </c>
      <c r="DY16" s="49">
        <f>IFERROR(IF(VLOOKUP(tbMoveset!A16,tbMoveset!A2:H112,8,FALSE)="Other",IF(VLOOKUP(tbMoveset!A16,tbMoveset!A2:I112,9,FALSE)="Fire",Backdoors!BB21,IF(VLOOKUP(tbMoveset!A16,tbMoveset!A2:I112,9,FALSE)="Water",Backdoors!BC21,IF(VLOOKUP(tbMoveset!A16,tbMoveset!A2:I112,9,FALSE)="Thunder",Backdoors!BD21,IF(VLOOKUP(tbMoveset!A16,tbMoveset!A2:I112,9,FALSE)="Ice",Backdoors!BE21,IF(VLOOKUP(tbMoveset!A16,tbMoveset!A2:I112,9,FALSE)="Dragon",Backdoors!BF21,Backdoors!BG21)))))/100,Backdoors!BG21/100),"")</f>
        <v>0</v>
      </c>
      <c r="DZ16" s="49">
        <f>IFERROR(IF(VLOOKUP(A16,tbMoveset!A2:J112,10,FALSE)=TRUE,IF((Backdoors!AI12+IF(DX16&gt;=0.45,VLOOKUP(Calculator!E23,tbSkills!DH3:DI6,2,FALSE)+IF(AND(Calculator!B8=TRUE,Backdoors!BI21=TRUE),VLOOKUP(Calculator!E23,tbSkills!DH3:DJ6,3,FALSE),0),0))&gt;=0,1+(Backdoors!AL2*(IF((Backdoors!AI12+IF(DX16&gt;=0.45,VLOOKUP(Calculator!E23,tbSkills!DH3:DI6,2,FALSE)+IF(AND(Calculator!B8=TRUE,Backdoors!BI21=TRUE),VLOOKUP(Calculator!E23,tbSkills!DH3:DJ6,3,FALSE),0),0))&gt;=100,100,(Backdoors!AI12+IF(DX16&gt;=0.45,VLOOKUP(Calculator!E23,tbSkills!DH3:DI6,2,FALSE)+IF(AND(Calculator!B8=TRUE,Backdoors!BI21=TRUE),VLOOKUP(Calculator!E23,tbSkills!DH3:DJ6,3,FALSE),0),0)))/100)),(1-(0.25*((-Backdoors!AI12-IF(DX16&gt;=0.45,VLOOKUP(Calculator!E23,tbSkills!DH3:DI6,2,FALSE)+IF(AND(Calculator!B8=TRUE,Backdoors!BI21=TRUE),VLOOKUP(Calculator!E23,tbSkills!DH3:DJ6,3,FALSE),0),0))/100)))),1),"")</f>
        <v>1</v>
      </c>
      <c r="EA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X16)*DZ16)*(VLOOKUP(A16,tbMoveset!A2:C112,3,FALSE)/100)*IF(VLOOKUP(A16,tbMoveset!A2:B112,2,FALSE)="Projectile",Backdoors!N10,Backdoors!N9),0),"")</f>
        <v/>
      </c>
      <c r="EB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X16&gt;=0.45,VLOOKUP(Calculator!E23,tbSkills!DH3:DI6,2,FALSE)+IF(AND(Calculator!B8=TRUE,Backdoors!BI21=TRUE),VLOOKUP(Calculator!E23,tbSkills!DH3:DJ6,3,FALSE),0),0))&gt;=100,100,(Backdoors!AI12+IF(DX16&gt;=0.45,VLOOKUP(Calculator!E23,tbSkills!DH3:DI6,2,FALSE)+IF(AND(Calculator!B8=TRUE,Backdoors!BI21=TRUE),VLOOKUP(Calculator!E23,tbSkills!DH3:DJ6,3,FALSE),0),0)))/100)),1))*IF(VLOOKUP(A16,tbMoveset!A2:K112,11,FALSE)=TRUE,Backdoors!AC5,1))*DY16,0),"")</f>
        <v>0</v>
      </c>
      <c r="EC16" s="49">
        <f>VLOOKUP(A16,tbMoveset!A2:G112,7,FALSE)*IFERROR(IF(Backdoors!AI12&gt;=0,1+(IF(Calculator!E40&gt;0,VLOOKUP(Calculator!E40,tbSkills!AI3:AJ5,2,FALSE),Backdoors!AL4)*(IF((Backdoors!AI12+IF(DX16&gt;=0.45,VLOOKUP(Calculator!E23,tbSkills!DH3:DI6,2,FALSE)+IF(AND(Calculator!B8=TRUE,Backdoors!BI21=TRUE),VLOOKUP(Calculator!E23,tbSkills!DH3:DJ6,3,FALSE),0),0))&gt;=100,100,(Backdoors!AI12+IF(DX16&gt;=0.45,VLOOKUP(Calculator!E23,tbSkills!DH3:DI6,2,FALSE)+IF(AND(Calculator!B8=TRUE,Backdoors!BI21=TRUE),VLOOKUP(Calculator!E23,tbSkills!DH3:DJ6,3,FALSE),0),0)))/100)),1),1)</f>
        <v>0.5</v>
      </c>
      <c r="ED16" s="87">
        <f t="shared" si="11"/>
        <v>0</v>
      </c>
      <c r="EE16" s="86" t="str">
        <f>IFERROR(IF(VLOOKUP(A16,tbMoveset!A2:B112,2,FALSE)="Sever",Backdoors!AY22/100,IF(VLOOKUP(A16,tbMoveset!A2:B112,2,FALSE)="Blunt",Backdoors!AZ22/100,Backdoors!BA22/100)),"")</f>
        <v/>
      </c>
      <c r="EF16" s="49">
        <f>IFERROR(IF(VLOOKUP(tbMoveset!A16,tbMoveset!A2:H112,8,FALSE)="Other",IF(VLOOKUP(tbMoveset!A16,tbMoveset!A2:I112,9,FALSE)="Fire",Backdoors!BB22,IF(VLOOKUP(tbMoveset!A16,tbMoveset!A2:I112,9,FALSE)="Water",Backdoors!BC22,IF(VLOOKUP(tbMoveset!A16,tbMoveset!A2:I112,9,FALSE)="Thunder",Backdoors!BD22,IF(VLOOKUP(tbMoveset!A16,tbMoveset!A2:I112,9,FALSE)="Ice",Backdoors!BE22,IF(VLOOKUP(tbMoveset!A16,tbMoveset!A2:I112,9,FALSE)="Dragon",Backdoors!BF22,Backdoors!BG22)))))/100,Backdoors!BG22/100),"")</f>
        <v>0</v>
      </c>
      <c r="EG16" s="49">
        <f>IFERROR(IF(VLOOKUP(A16,tbMoveset!A2:J112,10,FALSE)=TRUE,IF((Backdoors!AI12+IF(EE16&gt;=0.45,VLOOKUP(Calculator!E23,tbSkills!DH3:DI6,2,FALSE)+IF(AND(Calculator!B8=TRUE,Backdoors!BI22=TRUE),VLOOKUP(Calculator!E23,tbSkills!DH3:DJ6,3,FALSE),0),0))&gt;=0,1+(Backdoors!AL2*(IF((Backdoors!AI12+IF(EE16&gt;=0.45,VLOOKUP(Calculator!E23,tbSkills!DH3:DI6,2,FALSE)+IF(AND(Calculator!B8=TRUE,Backdoors!BI22=TRUE),VLOOKUP(Calculator!E23,tbSkills!DH3:DJ6,3,FALSE),0),0))&gt;=100,100,(Backdoors!AI12+IF(EE16&gt;=0.45,VLOOKUP(Calculator!E23,tbSkills!DH3:DI6,2,FALSE)+IF(AND(Calculator!B8=TRUE,Backdoors!BI22=TRUE),VLOOKUP(Calculator!E23,tbSkills!DH3:DJ6,3,FALSE),0),0)))/100)),(1-(0.25*((-Backdoors!AI12-IF(EE16&gt;=0.45,VLOOKUP(Calculator!E23,tbSkills!DH3:DI6,2,FALSE)+IF(AND(Calculator!B8=TRUE,Backdoors!BI22=TRUE),VLOOKUP(Calculator!E23,tbSkills!DH3:DJ6,3,FALSE),0),0))/100)))),1),"")</f>
        <v>1</v>
      </c>
      <c r="EH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E16)*EG16)*(VLOOKUP(A16,tbMoveset!A2:C112,3,FALSE)/100)*IF(VLOOKUP(A16,tbMoveset!A2:B112,2,FALSE)="Projectile",Backdoors!N10,Backdoors!N9),0),"")</f>
        <v/>
      </c>
      <c r="EI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E16&gt;=0.45,VLOOKUP(Calculator!E23,tbSkills!DH3:DI6,2,FALSE)+IF(AND(Calculator!B8=TRUE,Backdoors!BI22=TRUE),VLOOKUP(Calculator!E23,tbSkills!DH3:DJ6,3,FALSE),0),0))&gt;=100,100,(Backdoors!AI12+IF(EE16&gt;=0.45,VLOOKUP(Calculator!E23,tbSkills!DH3:DI6,2,FALSE)+IF(AND(Calculator!B8=TRUE,Backdoors!BI22=TRUE),VLOOKUP(Calculator!E23,tbSkills!DH3:DJ6,3,FALSE),0),0)))/100)),1))*IF(VLOOKUP(A16,tbMoveset!A2:K112,11,FALSE)=TRUE,Backdoors!AC5,1))*EF16,0),"")</f>
        <v>0</v>
      </c>
      <c r="EJ16" s="49">
        <f>VLOOKUP(A16,tbMoveset!A2:G112,7,FALSE)*IFERROR(IF(Backdoors!AI12&gt;=0,1+(IF(Calculator!E40&gt;0,VLOOKUP(Calculator!E40,tbSkills!AI3:AJ5,2,FALSE),Backdoors!AL4)*(IF((Backdoors!AI12+IF(EE16&gt;=0.45,VLOOKUP(Calculator!E23,tbSkills!DH3:DI6,2,FALSE)+IF(AND(Calculator!B8=TRUE,Backdoors!BI22=TRUE),VLOOKUP(Calculator!E23,tbSkills!DH3:DJ6,3,FALSE),0),0))&gt;=100,100,(Backdoors!AI12+IF(EE16&gt;=0.45,VLOOKUP(Calculator!E23,tbSkills!DH3:DI6,2,FALSE)+IF(AND(Calculator!B8=TRUE,Backdoors!BI22=TRUE),VLOOKUP(Calculator!E23,tbSkills!DH3:DJ6,3,FALSE),0),0)))/100)),1),1)</f>
        <v>0.5</v>
      </c>
      <c r="EK16" s="87">
        <f t="shared" si="12"/>
        <v>0</v>
      </c>
      <c r="EL16" s="86" t="str">
        <f>IFERROR(IF(VLOOKUP(A16,tbMoveset!A2:B112,2,FALSE)="Sever",Backdoors!AY23/100,IF(VLOOKUP(A16,tbMoveset!A2:B112,2,FALSE)="Blunt",Backdoors!AZ23/100,Backdoors!BA23/100)),"")</f>
        <v/>
      </c>
      <c r="EM16" s="49">
        <f>IFERROR(IF(VLOOKUP(tbMoveset!A16,tbMoveset!A2:H112,8,FALSE)="Other",IF(VLOOKUP(tbMoveset!A16,tbMoveset!A2:I112,9,FALSE)="Fire",Backdoors!BB23,IF(VLOOKUP(tbMoveset!A16,tbMoveset!A2:I112,9,FALSE)="Water",Backdoors!BC23,IF(VLOOKUP(tbMoveset!A16,tbMoveset!A2:I112,9,FALSE)="Thunder",Backdoors!BD23,IF(VLOOKUP(tbMoveset!A16,tbMoveset!A2:I112,9,FALSE)="Ice",Backdoors!BE23,IF(VLOOKUP(tbMoveset!A16,tbMoveset!A2:I112,9,FALSE)="Dragon",Backdoors!BF23,Backdoors!BG23)))))/100,Backdoors!BG23/100),"")</f>
        <v>0</v>
      </c>
      <c r="EN16" s="49">
        <f>IFERROR(IF(VLOOKUP(A16,tbMoveset!A2:J112,10,FALSE)=TRUE,IF((Backdoors!AI12+IF(EL16&gt;=0.45,VLOOKUP(Calculator!E23,tbSkills!DH3:DI6,2,FALSE)+IF(AND(Calculator!B8=TRUE,Backdoors!BI23=TRUE),VLOOKUP(Calculator!E23,tbSkills!DH3:DJ6,3,FALSE),0),0))&gt;=0,1+(Backdoors!AL2*(IF((Backdoors!AI12+IF(EL16&gt;=0.45,VLOOKUP(Calculator!E23,tbSkills!DH3:DI6,2,FALSE)+IF(AND(Calculator!B8=TRUE,Backdoors!BI23=TRUE),VLOOKUP(Calculator!E23,tbSkills!DH3:DJ6,3,FALSE),0),0))&gt;=100,100,(Backdoors!AI12+IF(EL16&gt;=0.45,VLOOKUP(Calculator!E23,tbSkills!DH3:DI6,2,FALSE)+IF(AND(Calculator!B8=TRUE,Backdoors!BI23=TRUE),VLOOKUP(Calculator!E23,tbSkills!DH3:DJ6,3,FALSE),0),0)))/100)),(1-(0.25*((-Backdoors!AI12-IF(EL16&gt;=0.45,VLOOKUP(Calculator!E23,tbSkills!DH3:DI6,2,FALSE)+IF(AND(Calculator!B8=TRUE,Backdoors!BI23=TRUE),VLOOKUP(Calculator!E23,tbSkills!DH3:DJ6,3,FALSE),0),0))/100)))),1),"")</f>
        <v>1</v>
      </c>
      <c r="EO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L16)*EN16)*(VLOOKUP(A16,tbMoveset!A2:C112,3,FALSE)/100)*IF(VLOOKUP(A16,tbMoveset!A2:B112,2,FALSE)="Projectile",Backdoors!N10,Backdoors!N9),0),"")</f>
        <v/>
      </c>
      <c r="EP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L16&gt;=0.45,VLOOKUP(Calculator!E23,tbSkills!DH3:DI6,2,FALSE)+IF(AND(Calculator!B8=TRUE,Backdoors!BI23=TRUE),VLOOKUP(Calculator!E23,tbSkills!DH3:DJ6,3,FALSE),0),0))&gt;=100,100,(Backdoors!AI12+IF(EL16&gt;=0.45,VLOOKUP(Calculator!E23,tbSkills!DH3:DI6,2,FALSE)+IF(AND(Calculator!B8=TRUE,Backdoors!BI23=TRUE),VLOOKUP(Calculator!E23,tbSkills!DH3:DJ6,3,FALSE),0),0)))/100)),1))*IF(VLOOKUP(A16,tbMoveset!A2:K112,11,FALSE)=TRUE,Backdoors!AC5,1))*EM16,0),"")</f>
        <v>0</v>
      </c>
      <c r="EQ16" s="49">
        <f>VLOOKUP(A16,tbMoveset!A2:G112,7,FALSE)*IFERROR(IF(Backdoors!AI12&gt;=0,1+(IF(Calculator!E40&gt;0,VLOOKUP(Calculator!E40,tbSkills!AI3:AJ5,2,FALSE),Backdoors!AL4)*(IF((Backdoors!AI12+IF(EL16&gt;=0.45,VLOOKUP(Calculator!E23,tbSkills!DH3:DI6,2,FALSE)+IF(AND(Calculator!B8=TRUE,Backdoors!BI23=TRUE),VLOOKUP(Calculator!E23,tbSkills!DH3:DJ6,3,FALSE),0),0))&gt;=100,100,(Backdoors!AI12+IF(EL16&gt;=0.45,VLOOKUP(Calculator!E23,tbSkills!DH3:DI6,2,FALSE)+IF(AND(Calculator!B8=TRUE,Backdoors!BI23=TRUE),VLOOKUP(Calculator!E23,tbSkills!DH3:DJ6,3,FALSE),0),0)))/100)),1),1)</f>
        <v>0.5</v>
      </c>
      <c r="ER16" s="87">
        <f t="shared" si="13"/>
        <v>0</v>
      </c>
      <c r="ES16" s="86" t="str">
        <f>IFERROR(IF(VLOOKUP(A16,tbMoveset!A2:B112,2,FALSE)="Sever",Backdoors!AY24/100,IF(VLOOKUP(A16,tbMoveset!A2:B112,2,FALSE)="Blunt",Backdoors!AZ24/100,Backdoors!BA24/100)),"")</f>
        <v/>
      </c>
      <c r="ET16" s="49">
        <f>IFERROR(IF(VLOOKUP(tbMoveset!A16,tbMoveset!A2:H112,8,FALSE)="Other",IF(VLOOKUP(tbMoveset!A16,tbMoveset!A2:I112,9,FALSE)="Fire",Backdoors!BB24,IF(VLOOKUP(tbMoveset!A16,tbMoveset!A2:I112,9,FALSE)="Water",Backdoors!BC24,IF(VLOOKUP(tbMoveset!A16,tbMoveset!A2:I112,9,FALSE)="Thunder",Backdoors!BD24,IF(VLOOKUP(tbMoveset!A16,tbMoveset!A2:I112,9,FALSE)="Ice",Backdoors!BE24,IF(VLOOKUP(tbMoveset!A16,tbMoveset!A2:I112,9,FALSE)="Dragon",Backdoors!BF24,Backdoors!BG24)))))/100,Backdoors!BG24/100),"")</f>
        <v>0</v>
      </c>
      <c r="EU16" s="49">
        <f>IFERROR(IF(VLOOKUP(A16,tbMoveset!A2:J112,10,FALSE)=TRUE,IF((Backdoors!AI12+IF(ES16&gt;=0.45,VLOOKUP(Calculator!E23,tbSkills!DH3:DI6,2,FALSE)+IF(AND(Calculator!B8=TRUE,Backdoors!BI24=TRUE),VLOOKUP(Calculator!E23,tbSkills!DH3:DJ6,3,FALSE),0),0))&gt;=0,1+(Backdoors!AL2*(IF((Backdoors!AI12+IF(ES16&gt;=0.45,VLOOKUP(Calculator!E23,tbSkills!DH3:DI6,2,FALSE)+IF(AND(Calculator!B8=TRUE,Backdoors!BI24=TRUE),VLOOKUP(Calculator!E23,tbSkills!DH3:DJ6,3,FALSE),0),0))&gt;=100,100,(Backdoors!AI12+IF(ES16&gt;=0.45,VLOOKUP(Calculator!E23,tbSkills!DH3:DI6,2,FALSE)+IF(AND(Calculator!B8=TRUE,Backdoors!BI24=TRUE),VLOOKUP(Calculator!E23,tbSkills!DH3:DJ6,3,FALSE),0),0)))/100)),(1-(0.25*((-Backdoors!AI12-IF(ES16&gt;=0.45,VLOOKUP(Calculator!E23,tbSkills!DH3:DI6,2,FALSE)+IF(AND(Calculator!B8=TRUE,Backdoors!BI24=TRUE),VLOOKUP(Calculator!E23,tbSkills!DH3:DJ6,3,FALSE),0),0))/100)))),1),"")</f>
        <v>1</v>
      </c>
      <c r="EV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S16)*EU16)*(VLOOKUP(A16,tbMoveset!A2:C112,3,FALSE)/100)*IF(VLOOKUP(A16,tbMoveset!A2:B112,2,FALSE)="Projectile",Backdoors!N10,Backdoors!N9),0),"")</f>
        <v/>
      </c>
      <c r="EW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S16&gt;=0.45,VLOOKUP(Calculator!E23,tbSkills!DH3:DI6,2,FALSE)+IF(AND(Calculator!B8=TRUE,Backdoors!BI24=TRUE),VLOOKUP(Calculator!E23,tbSkills!DH3:DJ6,3,FALSE),0),0))&gt;=100,100,(Backdoors!AI12+IF(ES16&gt;=0.45,VLOOKUP(Calculator!E23,tbSkills!DH3:DI6,2,FALSE)+IF(AND(Calculator!B8=TRUE,Backdoors!BI24=TRUE),VLOOKUP(Calculator!E23,tbSkills!DH3:DJ6,3,FALSE),0),0)))/100)),1))*IF(VLOOKUP(A16,tbMoveset!A2:K112,11,FALSE)=TRUE,Backdoors!AC5,1))*ET16,0),"")</f>
        <v>0</v>
      </c>
      <c r="EX16" s="49">
        <f>VLOOKUP(A16,tbMoveset!A2:G112,7,FALSE)*IFERROR(IF(Backdoors!AI12&gt;=0,1+(IF(Calculator!E40&gt;0,VLOOKUP(Calculator!E40,tbSkills!AI3:AJ5,2,FALSE),Backdoors!AL4)*(IF((Backdoors!AI12+IF(ES16&gt;=0.45,VLOOKUP(Calculator!E23,tbSkills!DH3:DI6,2,FALSE)+IF(AND(Calculator!B8=TRUE,Backdoors!BI24=TRUE),VLOOKUP(Calculator!E23,tbSkills!DH3:DJ6,3,FALSE),0),0))&gt;=100,100,(Backdoors!AI12+IF(ES16&gt;=0.45,VLOOKUP(Calculator!E23,tbSkills!DH3:DI6,2,FALSE)+IF(AND(Calculator!B8=TRUE,Backdoors!BI24=TRUE),VLOOKUP(Calculator!E23,tbSkills!DH3:DJ6,3,FALSE),0),0)))/100)),1),1)</f>
        <v>0.5</v>
      </c>
      <c r="EY16" s="87">
        <f t="shared" si="14"/>
        <v>0</v>
      </c>
      <c r="EZ16" s="86" t="str">
        <f>IFERROR(IF(VLOOKUP(A16,tbMoveset!A2:B112,2,FALSE)="Sever",Backdoors!AY25/100,IF(VLOOKUP(A16,tbMoveset!A2:B112,2,FALSE)="Blunt",Backdoors!AZ25/100,Backdoors!BA25/100)),"")</f>
        <v/>
      </c>
      <c r="FA16" s="49">
        <f>IFERROR(IF(VLOOKUP(tbMoveset!A16,tbMoveset!A2:H112,8,FALSE)="Other",IF(VLOOKUP(tbMoveset!A16,tbMoveset!A2:I112,9,FALSE)="Fire",Backdoors!BB25,IF(VLOOKUP(tbMoveset!A16,tbMoveset!A2:I112,9,FALSE)="Water",Backdoors!BC25,IF(VLOOKUP(tbMoveset!A16,tbMoveset!A2:I112,9,FALSE)="Thunder",Backdoors!BD25,IF(VLOOKUP(tbMoveset!A16,tbMoveset!A2:I112,9,FALSE)="Ice",Backdoors!BE25,IF(VLOOKUP(tbMoveset!A16,tbMoveset!A2:I112,9,FALSE)="Dragon",Backdoors!BF25,Backdoors!BG25)))))/100,Backdoors!BG25/100),"")</f>
        <v>0</v>
      </c>
      <c r="FB16" s="49">
        <f>IFERROR(IF(VLOOKUP(A16,tbMoveset!A2:J112,10,FALSE)=TRUE,IF((Backdoors!AI12+IF(EZ16&gt;=0.45,VLOOKUP(Calculator!E23,tbSkills!DH3:DI6,2,FALSE)+IF(AND(Calculator!B8=TRUE,Backdoors!BI25=TRUE),VLOOKUP(Calculator!E23,tbSkills!DH3:DJ6,3,FALSE),0),0))&gt;=0,1+(Backdoors!AL2*(IF((Backdoors!AI12+IF(EZ16&gt;=0.45,VLOOKUP(Calculator!E23,tbSkills!DH3:DI6,2,FALSE)+IF(AND(Calculator!B8=TRUE,Backdoors!BI25=TRUE),VLOOKUP(Calculator!E23,tbSkills!DH3:DJ6,3,FALSE),0),0))&gt;=100,100,(Backdoors!AI12+IF(EZ16&gt;=0.45,VLOOKUP(Calculator!E23,tbSkills!DH3:DI6,2,FALSE)+IF(AND(Calculator!B8=TRUE,Backdoors!BI25=TRUE),VLOOKUP(Calculator!E23,tbSkills!DH3:DJ6,3,FALSE),0),0)))/100)),(1-(0.25*((-Backdoors!AI12-IF(EZ16&gt;=0.45,VLOOKUP(Calculator!E23,tbSkills!DH3:DI6,2,FALSE)+IF(AND(Calculator!B8=TRUE,Backdoors!BI25=TRUE),VLOOKUP(Calculator!E23,tbSkills!DH3:DJ6,3,FALSE),0),0))/100)))),1),"")</f>
        <v>1</v>
      </c>
      <c r="FC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Z16)*FB16)*(VLOOKUP(A16,tbMoveset!A2:C112,3,FALSE)/100)*IF(VLOOKUP(A16,tbMoveset!A2:B112,2,FALSE)="Projectile",Backdoors!N10,Backdoors!N9),0),"")</f>
        <v/>
      </c>
      <c r="FD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Z16&gt;=0.45,VLOOKUP(Calculator!E23,tbSkills!DH3:DI6,2,FALSE)+IF(AND(Calculator!B8=TRUE,Backdoors!BI25=TRUE),VLOOKUP(Calculator!E23,tbSkills!DH3:DJ6,3,FALSE),0),0))&gt;=100,100,(Backdoors!AI12+IF(EZ16&gt;=0.45,VLOOKUP(Calculator!E23,tbSkills!DH3:DI6,2,FALSE)+IF(AND(Calculator!B8=TRUE,Backdoors!BI25=TRUE),VLOOKUP(Calculator!E23,tbSkills!DH3:DJ6,3,FALSE),0),0)))/100)),1))*IF(VLOOKUP(A16,tbMoveset!A2:K112,11,FALSE)=TRUE,Backdoors!AC5,1))*FA16,0),"")</f>
        <v>0</v>
      </c>
      <c r="FE16" s="49">
        <f>VLOOKUP(A16,tbMoveset!A2:G112,7,FALSE)*IFERROR(IF(Backdoors!AI12&gt;=0,1+(IF(Calculator!E40&gt;0,VLOOKUP(Calculator!E40,tbSkills!AI3:AJ5,2,FALSE),Backdoors!AL4)*(IF((Backdoors!AI12+IF(EZ16&gt;=0.45,VLOOKUP(Calculator!E23,tbSkills!DH3:DI6,2,FALSE)+IF(AND(Calculator!B8=TRUE,Backdoors!BI25=TRUE),VLOOKUP(Calculator!E23,tbSkills!DH3:DJ6,3,FALSE),0),0))&gt;=100,100,(Backdoors!AI12+IF(EZ16&gt;=0.45,VLOOKUP(Calculator!E23,tbSkills!DH3:DI6,2,FALSE)+IF(AND(Calculator!B8=TRUE,Backdoors!BI25=TRUE),VLOOKUP(Calculator!E23,tbSkills!DH3:DJ6,3,FALSE),0),0)))/100)),1),1)</f>
        <v>0.5</v>
      </c>
      <c r="FF16" s="87">
        <f t="shared" si="15"/>
        <v>0</v>
      </c>
      <c r="FG16" s="86" t="str">
        <f>IFERROR(IF(VLOOKUP(A16,tbMoveset!A2:B112,2,FALSE)="Sever",Backdoors!AY26/100,IF(VLOOKUP(A16,tbMoveset!A2:B112,2,FALSE)="Blunt",Backdoors!AZ26/100,Backdoors!BA26/100)),"")</f>
        <v/>
      </c>
      <c r="FH16" s="49">
        <f>IFERROR(IF(VLOOKUP(tbMoveset!A16,tbMoveset!A2:H112,8,FALSE)="Other",IF(VLOOKUP(tbMoveset!A16,tbMoveset!A2:I112,9,FALSE)="Fire",Backdoors!BB26,IF(VLOOKUP(tbMoveset!A16,tbMoveset!A2:I112,9,FALSE)="Water",Backdoors!BC26,IF(VLOOKUP(tbMoveset!A16,tbMoveset!A2:I112,9,FALSE)="Thunder",Backdoors!BD26,IF(VLOOKUP(tbMoveset!A16,tbMoveset!A2:I112,9,FALSE)="Ice",Backdoors!BE26,IF(VLOOKUP(tbMoveset!A16,tbMoveset!A2:I112,9,FALSE)="Dragon",Backdoors!BF26,Backdoors!BG26)))))/100,Backdoors!BG26/100),"")</f>
        <v>0</v>
      </c>
      <c r="FI16" s="49">
        <f>IFERROR(IF(VLOOKUP(A16,tbMoveset!A2:J112,10,FALSE)=TRUE,IF((Backdoors!AI12+IF(FG16&gt;=0.45,VLOOKUP(Calculator!E23,tbSkills!DH3:DI6,2,FALSE)+IF(AND(Calculator!B8=TRUE,Backdoors!BI26=TRUE),VLOOKUP(Calculator!E23,tbSkills!DH3:DJ6,3,FALSE),0),0))&gt;=0,1+(Backdoors!AL2*(IF((Backdoors!AI12+IF(FG16&gt;=0.45,VLOOKUP(Calculator!E23,tbSkills!DH3:DI6,2,FALSE)+IF(AND(Calculator!B8=TRUE,Backdoors!BI26=TRUE),VLOOKUP(Calculator!E23,tbSkills!DH3:DJ6,3,FALSE),0),0))&gt;=100,100,(Backdoors!AI12+IF(FG16&gt;=0.45,VLOOKUP(Calculator!E23,tbSkills!DH3:DI6,2,FALSE)+IF(AND(Calculator!B8=TRUE,Backdoors!BI26=TRUE),VLOOKUP(Calculator!E23,tbSkills!DH3:DJ6,3,FALSE),0),0)))/100)),(1-(0.25*((-Backdoors!AI12-IF(FG16&gt;=0.45,VLOOKUP(Calculator!E23,tbSkills!DH3:DI6,2,FALSE)+IF(AND(Calculator!B8=TRUE,Backdoors!BI26=TRUE),VLOOKUP(Calculator!E23,tbSkills!DH3:DJ6,3,FALSE),0),0))/100)))),1),"")</f>
        <v>1</v>
      </c>
      <c r="FJ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FG16)*FI16)*(VLOOKUP(A16,tbMoveset!A2:C112,3,FALSE)/100)*IF(VLOOKUP(A16,tbMoveset!A2:B112,2,FALSE)="Projectile",Backdoors!N10,Backdoors!N9),0),"")</f>
        <v/>
      </c>
      <c r="FK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FG16&gt;=0.45,VLOOKUP(Calculator!E23,tbSkills!DH3:DI6,2,FALSE)+IF(AND(Calculator!B8=TRUE,Backdoors!BI26=TRUE),VLOOKUP(Calculator!E23,tbSkills!DH3:DJ6,3,FALSE),0),0))&gt;=100,100,(Backdoors!AI12+IF(FG16&gt;=0.45,VLOOKUP(Calculator!E23,tbSkills!DH3:DI6,2,FALSE)+IF(AND(Calculator!B8=TRUE,Backdoors!BI26=TRUE),VLOOKUP(Calculator!E23,tbSkills!DH3:DJ6,3,FALSE),0),0)))/100)),1))*IF(VLOOKUP(A16,tbMoveset!A2:K112,11,FALSE)=TRUE,Backdoors!AC5,1))*FH16,0),"")</f>
        <v>0</v>
      </c>
      <c r="FL16" s="49">
        <f>VLOOKUP(A16,tbMoveset!A2:G112,7,FALSE)*IFERROR(IF(Backdoors!AI12&gt;=0,1+(IF(Calculator!E40&gt;0,VLOOKUP(Calculator!E40,tbSkills!AI3:AJ5,2,FALSE),Backdoors!AL4)*(IF((Backdoors!AI12+IF(FG16&gt;=0.45,VLOOKUP(Calculator!E23,tbSkills!DH3:DI6,2,FALSE)+IF(AND(Calculator!B8=TRUE,Backdoors!BI26=TRUE),VLOOKUP(Calculator!E23,tbSkills!DH3:DJ6,3,FALSE),0),0))&gt;=100,100,(Backdoors!AI12+IF(FG16&gt;=0.45,VLOOKUP(Calculator!E23,tbSkills!DH3:DI6,2,FALSE)+IF(AND(Calculator!B8=TRUE,Backdoors!BI26=TRUE),VLOOKUP(Calculator!E23,tbSkills!DH3:DJ6,3,FALSE),0),0)))/100)),1),1)</f>
        <v>0.5</v>
      </c>
      <c r="FM16" s="87">
        <f t="shared" si="16"/>
        <v>0</v>
      </c>
      <c r="FN16" s="86" t="str">
        <f>IFERROR(IF(VLOOKUP(A16,tbMoveset!A2:B112,2,FALSE)="Sever",Backdoors!AY27/100,IF(VLOOKUP(A16,tbMoveset!A2:B112,2,FALSE)="Blunt",Backdoors!AZ27/100,Backdoors!BA27/100)),"")</f>
        <v/>
      </c>
      <c r="FO16" s="49">
        <f>IFERROR(IF(VLOOKUP(tbMoveset!A16,tbMoveset!A2:H112,8,FALSE)="Other",IF(VLOOKUP(tbMoveset!A16,tbMoveset!A2:I112,9,FALSE)="Fire",Backdoors!BB27,IF(VLOOKUP(tbMoveset!A16,tbMoveset!A2:I112,9,FALSE)="Water",Backdoors!BC27,IF(VLOOKUP(tbMoveset!A16,tbMoveset!A2:I112,9,FALSE)="Thunder",Backdoors!BD27,IF(VLOOKUP(tbMoveset!A16,tbMoveset!A2:I112,9,FALSE)="Ice",Backdoors!BE27,IF(VLOOKUP(tbMoveset!A16,tbMoveset!A2:I112,9,FALSE)="Dragon",Backdoors!BF27,Backdoors!BG27)))))/100,Backdoors!BG27/100),"")</f>
        <v>0</v>
      </c>
      <c r="FP16" s="49">
        <f>IFERROR(IF(VLOOKUP(A16,tbMoveset!A2:J112,10,FALSE)=TRUE,IF((Backdoors!AI12+IF(FN16&gt;=0.45,VLOOKUP(Calculator!E23,tbSkills!DH3:DI6,2,FALSE)+IF(AND(Calculator!B8=TRUE,Backdoors!BI27=TRUE),VLOOKUP(Calculator!E23,tbSkills!DH3:DJ6,3,FALSE),0),0))&gt;=0,1+(Backdoors!AL2*(IF((Backdoors!AI12+IF(FN16&gt;=0.45,VLOOKUP(Calculator!E23,tbSkills!DH3:DI6,2,FALSE)+IF(AND(Calculator!B8=TRUE,Backdoors!BI27=TRUE),VLOOKUP(Calculator!E23,tbSkills!DH3:DJ6,3,FALSE),0),0))&gt;=100,100,(Backdoors!AI12+IF(FN16&gt;=0.45,VLOOKUP(Calculator!E23,tbSkills!DH3:DI6,2,FALSE)+IF(AND(Calculator!B8=TRUE,Backdoors!BI27=TRUE),VLOOKUP(Calculator!E23,tbSkills!DH3:DJ6,3,FALSE),0),0)))/100)),(1-(0.25*((-Backdoors!AI12-IF(FN16&gt;=0.45,VLOOKUP(Calculator!E23,tbSkills!DH3:DI6,2,FALSE)+IF(AND(Calculator!B8=TRUE,Backdoors!BI27=TRUE),VLOOKUP(Calculator!E23,tbSkills!DH3:DJ6,3,FALSE),0),0))/100)))),1),"")</f>
        <v>1</v>
      </c>
      <c r="FQ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FN16)*FP16)*(VLOOKUP(A16,tbMoveset!A2:C112,3,FALSE)/100)*IF(VLOOKUP(A16,tbMoveset!A2:B112,2,FALSE)="Projectile",Backdoors!N10,Backdoors!N9),0),"")</f>
        <v/>
      </c>
      <c r="FR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FN16&gt;=0.45,VLOOKUP(Calculator!E23,tbSkills!DH3:DI6,2,FALSE)+IF(AND(Calculator!B8=TRUE,Backdoors!BI27=TRUE),VLOOKUP(Calculator!E23,tbSkills!DH3:DJ6,3,FALSE),0),0))&gt;=100,100,(Backdoors!AI12+IF(FN16&gt;=0.45,VLOOKUP(Calculator!E23,tbSkills!DH3:DI6,2,FALSE)+IF(AND(Calculator!B8=TRUE,Backdoors!BI27=TRUE),VLOOKUP(Calculator!E23,tbSkills!DH3:DJ6,3,FALSE),0),0)))/100)),1))*IF(VLOOKUP(A16,tbMoveset!A2:K112,11,FALSE)=TRUE,Backdoors!AC5,1))*FO16,0),"")</f>
        <v>0</v>
      </c>
      <c r="FS16" s="49">
        <f>VLOOKUP(A16,tbMoveset!A2:G112,7,FALSE)*IFERROR(IF(Backdoors!AI12&gt;=0,1+(IF(Calculator!E40&gt;0,VLOOKUP(Calculator!E40,tbSkills!AI3:AJ5,2,FALSE),Backdoors!AL4)*(IF((Backdoors!AI12+IF(FN16&gt;=0.45,VLOOKUP(Calculator!E23,tbSkills!DH3:DI6,2,FALSE)+IF(AND(Calculator!B8=TRUE,Backdoors!BI27=TRUE),VLOOKUP(Calculator!E23,tbSkills!DH3:DJ6,3,FALSE),0),0))&gt;=100,100,(Backdoors!AI12+IF(FN16&gt;=0.45,VLOOKUP(Calculator!E23,tbSkills!DH3:DI6,2,FALSE)+IF(AND(Calculator!B8=TRUE,Backdoors!BI27=TRUE),VLOOKUP(Calculator!E23,tbSkills!DH3:DJ6,3,FALSE),0),0)))/100)),1),1)</f>
        <v>0.5</v>
      </c>
      <c r="FT16" s="87">
        <f t="shared" si="17"/>
        <v>0</v>
      </c>
      <c r="FU16" s="86" t="str">
        <f>IFERROR(IF(VLOOKUP(A16,tbMoveset!A2:B112,2,FALSE)="Sever",Backdoors!AY28/100,IF(VLOOKUP(A16,tbMoveset!A2:B112,2,FALSE)="Blunt",Backdoors!AZ28/100,Backdoors!BA28/100)),"")</f>
        <v/>
      </c>
      <c r="FV16" s="49">
        <f>IFERROR(IF(VLOOKUP(tbMoveset!A16,tbMoveset!A2:H112,8,FALSE)="Other",IF(VLOOKUP(tbMoveset!A16,tbMoveset!A2:I112,9,FALSE)="Fire",Backdoors!BB28,IF(VLOOKUP(tbMoveset!A16,tbMoveset!A2:I112,9,FALSE)="Water",Backdoors!BC28,IF(VLOOKUP(tbMoveset!A16,tbMoveset!A2:I112,9,FALSE)="Thunder",Backdoors!BD28,IF(VLOOKUP(tbMoveset!A16,tbMoveset!A2:I112,9,FALSE)="Ice",Backdoors!BE28,IF(VLOOKUP(tbMoveset!A16,tbMoveset!A2:I112,9,FALSE)="Dragon",Backdoors!BF28,Backdoors!BG28)))))/100,Backdoors!BG28/100),"")</f>
        <v>0</v>
      </c>
      <c r="FW16" s="49">
        <f>IFERROR(IF(VLOOKUP(A16,tbMoveset!A2:J112,10,FALSE)=TRUE,IF((Backdoors!AI12+IF(FU16&gt;=0.45,VLOOKUP(Calculator!E23,tbSkills!DH3:DI6,2,FALSE)+IF(AND(Calculator!B8=TRUE,Backdoors!BI28=TRUE),VLOOKUP(Calculator!E23,tbSkills!DH3:DJ6,3,FALSE),0),0))&gt;=0,1+(Backdoors!AL2*(IF((Backdoors!AI12+IF(FU16&gt;=0.45,VLOOKUP(Calculator!E23,tbSkills!DH3:DI6,2,FALSE)+IF(AND(Calculator!B8=TRUE,Backdoors!BI28=TRUE),VLOOKUP(Calculator!E23,tbSkills!DH3:DJ6,3,FALSE),0),0))&gt;=100,100,(Backdoors!AI12+IF(FU16&gt;=0.45,VLOOKUP(Calculator!E23,tbSkills!DH3:DI6,2,FALSE)+IF(AND(Calculator!B8=TRUE,Backdoors!BI28=TRUE),VLOOKUP(Calculator!E23,tbSkills!DH3:DJ6,3,FALSE),0),0)))/100)),(1-(0.25*((-Backdoors!AI12-IF(FU16&gt;=0.45,VLOOKUP(Calculator!E23,tbSkills!DH3:DI6,2,FALSE)+IF(AND(Calculator!B8=TRUE,Backdoors!BI28=TRUE),VLOOKUP(Calculator!E23,tbSkills!DH3:DJ6,3,FALSE),0),0))/100)))),1),"")</f>
        <v>1</v>
      </c>
      <c r="FX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FU16)*FW16)*(VLOOKUP(A16,tbMoveset!A2:C112,3,FALSE)/100)*IF(VLOOKUP(A16,tbMoveset!A2:B112,2,FALSE)="Projectile",Backdoors!N10,Backdoors!N9),0),"")</f>
        <v/>
      </c>
      <c r="FY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FU16&gt;=0.45,VLOOKUP(Calculator!E23,tbSkills!DH3:DI6,2,FALSE)+IF(AND(Calculator!B8=TRUE,Backdoors!BI28=TRUE),VLOOKUP(Calculator!E23,tbSkills!DH3:DJ6,3,FALSE),0),0))&gt;=100,100,(Backdoors!AI12+IF(FU16&gt;=0.45,VLOOKUP(Calculator!E23,tbSkills!DH3:DI6,2,FALSE)+IF(AND(Calculator!B8=TRUE,Backdoors!BI28=TRUE),VLOOKUP(Calculator!E23,tbSkills!DH3:DJ6,3,FALSE),0),0)))/100)),1))*IF(VLOOKUP(A16,tbMoveset!A2:K112,11,FALSE)=TRUE,Backdoors!AC5,1))*FV16,0),"")</f>
        <v>0</v>
      </c>
      <c r="FZ16" s="49">
        <f>VLOOKUP(A16,tbMoveset!A2:G112,7,FALSE)*IFERROR(IF(Backdoors!AI12&gt;=0,1+(IF(Calculator!E40&gt;0,VLOOKUP(Calculator!E40,tbSkills!AI3:AJ5,2,FALSE),Backdoors!AL4)*(IF((Backdoors!AI12+IF(FU16&gt;=0.45,VLOOKUP(Calculator!E23,tbSkills!DH3:DI6,2,FALSE)+IF(AND(Calculator!B8=TRUE,Backdoors!BI28=TRUE),VLOOKUP(Calculator!E23,tbSkills!DH3:DJ6,3,FALSE),0),0))&gt;=100,100,(Backdoors!AI12+IF(FU16&gt;=0.45,VLOOKUP(Calculator!E23,tbSkills!DH3:DI6,2,FALSE)+IF(AND(Calculator!B8=TRUE,Backdoors!BI28=TRUE),VLOOKUP(Calculator!E23,tbSkills!DH3:DJ6,3,FALSE),0),0)))/100)),1),1)</f>
        <v>0.5</v>
      </c>
      <c r="GA16" s="87">
        <f t="shared" si="18"/>
        <v>0</v>
      </c>
      <c r="GB16" s="86" t="str">
        <f>IFERROR(IF(VLOOKUP(A16,tbMoveset!A2:B112,2,FALSE)="Sever",Backdoors!AY29/100,IF(VLOOKUP(A16,tbMoveset!A2:B112,2,FALSE)="Blunt",Backdoors!AZ29/100,Backdoors!BA29/100)),"")</f>
        <v/>
      </c>
      <c r="GC16" s="49">
        <f>IFERROR(IF(VLOOKUP(tbMoveset!A16,tbMoveset!A2:H112,8,FALSE)="Other",IF(VLOOKUP(tbMoveset!A16,tbMoveset!A2:I112,9,FALSE)="Fire",Backdoors!BB29,IF(VLOOKUP(tbMoveset!A16,tbMoveset!A2:I112,9,FALSE)="Water",Backdoors!BC29,IF(VLOOKUP(tbMoveset!A16,tbMoveset!A2:I112,9,FALSE)="Thunder",Backdoors!BD29,IF(VLOOKUP(tbMoveset!A16,tbMoveset!A2:I112,9,FALSE)="Ice",Backdoors!BE29,IF(VLOOKUP(tbMoveset!A16,tbMoveset!A2:I112,9,FALSE)="Dragon",Backdoors!BF29,Backdoors!BG29)))))/100,Backdoors!BG29/100),"")</f>
        <v>0</v>
      </c>
      <c r="GD16" s="49">
        <f>IFERROR(IF(VLOOKUP(A16,tbMoveset!A2:J112,10,FALSE)=TRUE,IF((Backdoors!AI12+IF(GB16&gt;=0.45,VLOOKUP(Calculator!E23,tbSkills!DH3:DI6,2,FALSE)+IF(AND(Calculator!B8=TRUE,Backdoors!BI29=TRUE),VLOOKUP(Calculator!E23,tbSkills!DH3:DJ6,3,FALSE),0),0))&gt;=0,1+(Backdoors!AL2*(IF((Backdoors!AI12+IF(GB16&gt;=0.45,VLOOKUP(Calculator!E23,tbSkills!DH3:DI6,2,FALSE)+IF(AND(Calculator!B8=TRUE,Backdoors!BI29=TRUE),VLOOKUP(Calculator!E23,tbSkills!DH3:DJ6,3,FALSE),0),0))&gt;=100,100,(Backdoors!AI12+IF(GB16&gt;=0.45,VLOOKUP(Calculator!E23,tbSkills!DH3:DI6,2,FALSE)+IF(AND(Calculator!B8=TRUE,Backdoors!BI29=TRUE),VLOOKUP(Calculator!E23,tbSkills!DH3:DJ6,3,FALSE),0),0)))/100)),(1-(0.25*((-Backdoors!AI12-IF(GB16&gt;=0.45,VLOOKUP(Calculator!E23,tbSkills!DH3:DI6,2,FALSE)+IF(AND(Calculator!B8=TRUE,Backdoors!BI29=TRUE),VLOOKUP(Calculator!E23,tbSkills!DH3:DJ6,3,FALSE),0),0))/100)))),1),"")</f>
        <v>1</v>
      </c>
      <c r="GE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B16)*GD16)*(VLOOKUP(A16,tbMoveset!A2:C112,3,FALSE)/100)*IF(VLOOKUP(A16,tbMoveset!A2:B112,2,FALSE)="Projectile",Backdoors!N10,Backdoors!N9),0),"")</f>
        <v/>
      </c>
      <c r="GF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B16&gt;=0.45,VLOOKUP(Calculator!E23,tbSkills!DH3:DI6,2,FALSE)+IF(AND(Calculator!B8=TRUE,Backdoors!BI29=TRUE),VLOOKUP(Calculator!E23,tbSkills!DH3:DJ6,3,FALSE),0),0))&gt;=100,100,(Backdoors!AI12+IF(GB16&gt;=0.45,VLOOKUP(Calculator!E23,tbSkills!DH3:DI6,2,FALSE)+IF(AND(Calculator!B8=TRUE,Backdoors!BI29=TRUE),VLOOKUP(Calculator!E23,tbSkills!DH3:DJ6,3,FALSE),0),0)))/100)),1))*IF(VLOOKUP(A16,tbMoveset!A2:K112,11,FALSE)=TRUE,Backdoors!AC5,1))*GC16,0),"")</f>
        <v>0</v>
      </c>
      <c r="GG16" s="49">
        <f>VLOOKUP(A16,tbMoveset!A2:G112,7,FALSE)*IFERROR(IF(Backdoors!AI12&gt;=0,1+(IF(Calculator!E40&gt;0,VLOOKUP(Calculator!E40,tbSkills!AI3:AJ5,2,FALSE),Backdoors!AL4)*(IF((Backdoors!AI12+IF(GB16&gt;=0.45,VLOOKUP(Calculator!E23,tbSkills!DH3:DI6,2,FALSE)+IF(AND(Calculator!B8=TRUE,Backdoors!BI29=TRUE),VLOOKUP(Calculator!E23,tbSkills!DH3:DJ6,3,FALSE),0),0))&gt;=100,100,(Backdoors!AI12+IF(GB16&gt;=0.45,VLOOKUP(Calculator!E23,tbSkills!DH3:DI6,2,FALSE)+IF(AND(Calculator!B8=TRUE,Backdoors!BI29=TRUE),VLOOKUP(Calculator!E23,tbSkills!DH3:DJ6,3,FALSE),0),0)))/100)),1),1)</f>
        <v>0.5</v>
      </c>
      <c r="GH16" s="87">
        <f t="shared" si="19"/>
        <v>0</v>
      </c>
      <c r="GI16" s="86" t="str">
        <f>IFERROR(IF(VLOOKUP(A16,tbMoveset!A2:B112,2,FALSE)="Sever",Backdoors!AY30/100,IF(VLOOKUP(A16,tbMoveset!A2:B112,2,FALSE)="Blunt",Backdoors!AZ30/100,Backdoors!BA30/100)),"")</f>
        <v/>
      </c>
      <c r="GJ16" s="49">
        <f>IFERROR(IF(VLOOKUP(tbMoveset!A16,tbMoveset!A2:H112,8,FALSE)="Other",IF(VLOOKUP(tbMoveset!A16,tbMoveset!A2:I112,9,FALSE)="Fire",Backdoors!BB30,IF(VLOOKUP(tbMoveset!A16,tbMoveset!A2:I112,9,FALSE)="Water",Backdoors!BC30,IF(VLOOKUP(tbMoveset!A16,tbMoveset!A2:I112,9,FALSE)="Thunder",Backdoors!BD30,IF(VLOOKUP(tbMoveset!A16,tbMoveset!A2:I112,9,FALSE)="Ice",Backdoors!BE30,IF(VLOOKUP(tbMoveset!A16,tbMoveset!A2:I112,9,FALSE)="Dragon",Backdoors!BF30,Backdoors!BG30)))))/100,Backdoors!BG30/100),"")</f>
        <v>0</v>
      </c>
      <c r="GK16" s="49">
        <f>IFERROR(IF(VLOOKUP(A16,tbMoveset!A2:J112,10,FALSE)=TRUE,IF((Backdoors!AI12+IF(GI16&gt;=0.45,VLOOKUP(Calculator!E23,tbSkills!DH3:DI6,2,FALSE)+IF(AND(Calculator!B8=TRUE,Backdoors!BI30=TRUE),VLOOKUP(Calculator!E23,tbSkills!DH3:DJ6,3,FALSE),0),0))&gt;=0,1+(Backdoors!AL2*(IF((Backdoors!AI12+IF(GI16&gt;=0.45,VLOOKUP(Calculator!E23,tbSkills!DH3:DI6,2,FALSE)+IF(AND(Calculator!B8=TRUE,Backdoors!BI30=TRUE),VLOOKUP(Calculator!E23,tbSkills!DH3:DJ6,3,FALSE),0),0))&gt;=100,100,(Backdoors!AI12+IF(GI16&gt;=0.45,VLOOKUP(Calculator!E23,tbSkills!DH3:DI6,2,FALSE)+IF(AND(Calculator!B8=TRUE,Backdoors!BI30=TRUE),VLOOKUP(Calculator!E23,tbSkills!DH3:DJ6,3,FALSE),0),0)))/100)),(1-(0.25*((-Backdoors!AI12-IF(GI16&gt;=0.45,VLOOKUP(Calculator!E23,tbSkills!DH3:DI6,2,FALSE)+IF(AND(Calculator!B8=TRUE,Backdoors!BI30=TRUE),VLOOKUP(Calculator!E23,tbSkills!DH3:DJ6,3,FALSE),0),0))/100)))),1),"")</f>
        <v>1</v>
      </c>
      <c r="GL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I16)*GK16)*(VLOOKUP(A16,tbMoveset!A2:C112,3,FALSE)/100)*IF(VLOOKUP(A16,tbMoveset!A2:B112,2,FALSE)="Projectile",Backdoors!N10,Backdoors!N9),0),"")</f>
        <v/>
      </c>
      <c r="GM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I16&gt;=0.45,VLOOKUP(Calculator!E23,tbSkills!DH3:DI6,2,FALSE)+IF(AND(Calculator!B8=TRUE,Backdoors!BI30=TRUE),VLOOKUP(Calculator!E23,tbSkills!DH3:DJ6,3,FALSE),0),0))&gt;=100,100,(Backdoors!AI12+IF(GI16&gt;=0.45,VLOOKUP(Calculator!E23,tbSkills!DH3:DI6,2,FALSE)+IF(AND(Calculator!B8=TRUE,Backdoors!BI30=TRUE),VLOOKUP(Calculator!E23,tbSkills!DH3:DJ6,3,FALSE),0),0)))/100)),1))*IF(VLOOKUP(A16,tbMoveset!A2:K112,11,FALSE)=TRUE,Backdoors!AC5,1))*GJ16,0),"")</f>
        <v>0</v>
      </c>
      <c r="GN16" s="49">
        <f>VLOOKUP(A16,tbMoveset!A2:G112,7,FALSE)*IFERROR(IF(Backdoors!AI12&gt;=0,1+(IF(Calculator!E40&gt;0,VLOOKUP(Calculator!E40,tbSkills!AI3:AJ5,2,FALSE),Backdoors!AL4)*(IF((Backdoors!AI12+IF(GI16&gt;=0.45,VLOOKUP(Calculator!E23,tbSkills!DH3:DI6,2,FALSE)+IF(AND(Calculator!B8=TRUE,Backdoors!BI30=TRUE),VLOOKUP(Calculator!E23,tbSkills!DH3:DJ6,3,FALSE),0),0))&gt;=100,100,(Backdoors!AI12+IF(GI16&gt;=0.45,VLOOKUP(Calculator!E23,tbSkills!DH3:DI6,2,FALSE)+IF(AND(Calculator!B8=TRUE,Backdoors!BI30=TRUE),VLOOKUP(Calculator!E23,tbSkills!DH3:DJ6,3,FALSE),0),0)))/100)),1),1)</f>
        <v>0.5</v>
      </c>
      <c r="GO16" s="87">
        <f t="shared" si="20"/>
        <v>0</v>
      </c>
      <c r="GP16" s="86" t="str">
        <f>IFERROR(IF(VLOOKUP(A16,tbMoveset!A2:B112,2,FALSE)="Sever",Backdoors!AY31/100,IF(VLOOKUP(A16,tbMoveset!A2:B112,2,FALSE)="Blunt",Backdoors!AZ31/100,Backdoors!BA31/100)),"")</f>
        <v/>
      </c>
      <c r="GQ16" s="49">
        <f>IFERROR(IF(VLOOKUP(tbMoveset!A16,tbMoveset!A2:H112,8,FALSE)="Other",IF(VLOOKUP(tbMoveset!A16,tbMoveset!A2:I112,9,FALSE)="Fire",Backdoors!BB31,IF(VLOOKUP(tbMoveset!A16,tbMoveset!A2:I112,9,FALSE)="Water",Backdoors!BC31,IF(VLOOKUP(tbMoveset!A16,tbMoveset!A2:I112,9,FALSE)="Thunder",Backdoors!BD31,IF(VLOOKUP(tbMoveset!A16,tbMoveset!A2:I112,9,FALSE)="Ice",Backdoors!BE31,IF(VLOOKUP(tbMoveset!A16,tbMoveset!A2:I112,9,FALSE)="Dragon",Backdoors!BF31,Backdoors!BG31)))))/100,Backdoors!BG31/100),"")</f>
        <v>0</v>
      </c>
      <c r="GR16" s="49">
        <f>IFERROR(IF(VLOOKUP(A16,tbMoveset!A2:J112,10,FALSE)=TRUE,IF((Backdoors!AI12+IF(GP16&gt;=0.45,VLOOKUP(Calculator!E23,tbSkills!DH3:DI6,2,FALSE)+IF(AND(Calculator!B8=TRUE,Backdoors!BI31=TRUE),VLOOKUP(Calculator!E23,tbSkills!DH3:DJ6,3,FALSE),0),0))&gt;=0,1+(Backdoors!AL2*(IF((Backdoors!AI12+IF(GP16&gt;=0.45,VLOOKUP(Calculator!E23,tbSkills!DH3:DI6,2,FALSE)+IF(AND(Calculator!B8=TRUE,Backdoors!BI31=TRUE),VLOOKUP(Calculator!E23,tbSkills!DH3:DJ6,3,FALSE),0),0))&gt;=100,100,(Backdoors!AI12+IF(GP16&gt;=0.45,VLOOKUP(Calculator!E23,tbSkills!DH3:DI6,2,FALSE)+IF(AND(Calculator!B8=TRUE,Backdoors!BI31=TRUE),VLOOKUP(Calculator!E23,tbSkills!DH3:DJ6,3,FALSE),0),0)))/100)),(1-(0.25*((-Backdoors!AI12-IF(GP16&gt;=0.45,VLOOKUP(Calculator!E23,tbSkills!DH3:DI6,2,FALSE)+IF(AND(Calculator!B8=TRUE,Backdoors!BI31=TRUE),VLOOKUP(Calculator!E23,tbSkills!DH3:DJ6,3,FALSE),0),0))/100)))),1),"")</f>
        <v>1</v>
      </c>
      <c r="GS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P16)*GR16)*(VLOOKUP(A16,tbMoveset!A2:C112,3,FALSE)/100)*IF(VLOOKUP(A16,tbMoveset!A2:B112,2,FALSE)="Projectile",Backdoors!N10,Backdoors!N9),0),"")</f>
        <v/>
      </c>
      <c r="GT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P16&gt;=0.45,VLOOKUP(Calculator!E23,tbSkills!DH3:DI6,2,FALSE)+IF(AND(Calculator!B8=TRUE,Backdoors!BI31=TRUE),VLOOKUP(Calculator!E23,tbSkills!DH3:DJ6,3,FALSE),0),0))&gt;=100,100,(Backdoors!AI12+IF(GP16&gt;=0.45,VLOOKUP(Calculator!E23,tbSkills!DH3:DI6,2,FALSE)+IF(AND(Calculator!B8=TRUE,Backdoors!BI31=TRUE),VLOOKUP(Calculator!E23,tbSkills!DH3:DJ6,3,FALSE),0),0)))/100)),1))*IF(VLOOKUP(A16,tbMoveset!A2:K112,11,FALSE)=TRUE,Backdoors!AC5,1))*GQ16,0),"")</f>
        <v>0</v>
      </c>
      <c r="GU16" s="49">
        <f>VLOOKUP(A16,tbMoveset!A2:G112,7,FALSE)*IFERROR(IF(Backdoors!AI12&gt;=0,1+(IF(Calculator!E40&gt;0,VLOOKUP(Calculator!E40,tbSkills!AI3:AJ5,2,FALSE),Backdoors!AL4)*(IF((Backdoors!AI12+IF(GP16&gt;=0.45,VLOOKUP(Calculator!E23,tbSkills!DH3:DI6,2,FALSE)+IF(AND(Calculator!B8=TRUE,Backdoors!BI31=TRUE),VLOOKUP(Calculator!E23,tbSkills!DH3:DJ6,3,FALSE),0),0))&gt;=100,100,(Backdoors!AI12+IF(GP16&gt;=0.45,VLOOKUP(Calculator!E23,tbSkills!DH3:DI6,2,FALSE)+IF(AND(Calculator!B8=TRUE,Backdoors!BI31=TRUE),VLOOKUP(Calculator!E23,tbSkills!DH3:DJ6,3,FALSE),0),0)))/100)),1),1)</f>
        <v>0.5</v>
      </c>
      <c r="GV16" s="87">
        <f t="shared" si="21"/>
        <v>0</v>
      </c>
      <c r="GW16" s="86" t="str">
        <f>IFERROR(IF(VLOOKUP(A16,tbMoveset!A2:B112,2,FALSE)="Sever",Backdoors!AY32/100,IF(VLOOKUP(A16,tbMoveset!A2:B112,2,FALSE)="Blunt",Backdoors!AZ32/100,Backdoors!BA32/100)),"")</f>
        <v/>
      </c>
      <c r="GX16" s="49">
        <f>IFERROR(IF(VLOOKUP(tbMoveset!A16,tbMoveset!A2:H112,8,FALSE)="Other",IF(VLOOKUP(tbMoveset!A16,tbMoveset!A2:I112,9,FALSE)="Fire",Backdoors!BB32,IF(VLOOKUP(tbMoveset!A16,tbMoveset!A2:I112,9,FALSE)="Water",Backdoors!BC32,IF(VLOOKUP(tbMoveset!A16,tbMoveset!A2:I112,9,FALSE)="Thunder",Backdoors!BD32,IF(VLOOKUP(tbMoveset!A16,tbMoveset!A2:I112,9,FALSE)="Ice",Backdoors!BE32,IF(VLOOKUP(tbMoveset!A16,tbMoveset!A2:I112,9,FALSE)="Dragon",Backdoors!BF32,Backdoors!BG32)))))/100,Backdoors!BG32/100),"")</f>
        <v>0</v>
      </c>
      <c r="GY16" s="49">
        <f>IFERROR(IF(VLOOKUP(A16,tbMoveset!A2:J112,10,FALSE)=TRUE,IF((Backdoors!AI12+IF(GW16&gt;=0.45,VLOOKUP(Calculator!E23,tbSkills!DH3:DI6,2,FALSE)+IF(AND(Calculator!B8=TRUE,Backdoors!BI32=TRUE),VLOOKUP(Calculator!E23,tbSkills!DH3:DJ6,3,FALSE),0),0))&gt;=0,1+(Backdoors!AL2*(IF((Backdoors!AI12+IF(GW16&gt;=0.45,VLOOKUP(Calculator!E23,tbSkills!DH3:DI6,2,FALSE)+IF(AND(Calculator!B8=TRUE,Backdoors!BI32=TRUE),VLOOKUP(Calculator!E23,tbSkills!DH3:DJ6,3,FALSE),0),0))&gt;=100,100,(Backdoors!AI12+IF(GW16&gt;=0.45,VLOOKUP(Calculator!E23,tbSkills!DH3:DI6,2,FALSE)+IF(AND(Calculator!B8=TRUE,Backdoors!BI32=TRUE),VLOOKUP(Calculator!E23,tbSkills!DH3:DJ6,3,FALSE),0),0)))/100)),(1-(0.25*((-Backdoors!AI12-IF(GW16&gt;=0.45,VLOOKUP(Calculator!E23,tbSkills!DH3:DI6,2,FALSE)+IF(AND(Calculator!B8=TRUE,Backdoors!BI32=TRUE),VLOOKUP(Calculator!E23,tbSkills!DH3:DJ6,3,FALSE),0),0))/100)))),1),"")</f>
        <v>1</v>
      </c>
      <c r="GZ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W16)*GY16)*(VLOOKUP(A16,tbMoveset!A2:C112,3,FALSE)/100)*IF(VLOOKUP(A16,tbMoveset!A2:B112,2,FALSE)="Projectile",Backdoors!N10,Backdoors!N9),0),"")</f>
        <v/>
      </c>
      <c r="HA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W16&gt;=0.45,VLOOKUP(Calculator!E23,tbSkills!DH3:DI6,2,FALSE)+IF(AND(Calculator!B8=TRUE,Backdoors!BI32=TRUE),VLOOKUP(Calculator!E23,tbSkills!DH3:DJ6,3,FALSE),0),0))&gt;=100,100,(Backdoors!AI12+IF(GW16&gt;=0.45,VLOOKUP(Calculator!E23,tbSkills!DH3:DI6,2,FALSE)+IF(AND(Calculator!B8=TRUE,Backdoors!BI32=TRUE),VLOOKUP(Calculator!E23,tbSkills!DH3:DJ6,3,FALSE),0),0)))/100)),1))*IF(VLOOKUP(A16,tbMoveset!A2:K112,11,FALSE)=TRUE,Backdoors!AC5,1))*GX16,0),"")</f>
        <v>0</v>
      </c>
      <c r="HB16" s="49">
        <f>VLOOKUP(A16,tbMoveset!A2:G112,7,FALSE)*IFERROR(IF(Backdoors!AI12&gt;=0,1+(IF(Calculator!E40&gt;0,VLOOKUP(Calculator!E40,tbSkills!AI3:AJ5,2,FALSE),Backdoors!AL4)*(IF((Backdoors!AI12+IF(GW16&gt;=0.45,VLOOKUP(Calculator!E23,tbSkills!DH3:DI6,2,FALSE)+IF(AND(Calculator!B8=TRUE,Backdoors!BI32=TRUE),VLOOKUP(Calculator!E23,tbSkills!DH3:DJ6,3,FALSE),0),0))&gt;=100,100,(Backdoors!AI12+IF(GW16&gt;=0.45,VLOOKUP(Calculator!E23,tbSkills!DH3:DI6,2,FALSE)+IF(AND(Calculator!B8=TRUE,Backdoors!BI32=TRUE),VLOOKUP(Calculator!E23,tbSkills!DH3:DJ6,3,FALSE),0),0)))/100)),1),1)</f>
        <v>0.5</v>
      </c>
      <c r="HC16" s="87">
        <f t="shared" si="22"/>
        <v>0</v>
      </c>
      <c r="HD16" s="86" t="str">
        <f>IFERROR(IF(VLOOKUP(A16,tbMoveset!A2:B112,2,FALSE)="Sever",Backdoors!AY33/100,IF(VLOOKUP(A16,tbMoveset!A2:B112,2,FALSE)="Blunt",Backdoors!AZ33/100,Backdoors!BA33/100)),"")</f>
        <v/>
      </c>
      <c r="HE16" s="49">
        <f>IFERROR(IF(VLOOKUP(tbMoveset!A16,tbMoveset!A2:H112,8,FALSE)="Other",IF(VLOOKUP(tbMoveset!A16,tbMoveset!A2:I112,9,FALSE)="Fire",Backdoors!BB33,IF(VLOOKUP(tbMoveset!A16,tbMoveset!A2:I112,9,FALSE)="Water",Backdoors!BC33,IF(VLOOKUP(tbMoveset!A16,tbMoveset!A2:I112,9,FALSE)="Thunder",Backdoors!BD33,IF(VLOOKUP(tbMoveset!A16,tbMoveset!A2:I112,9,FALSE)="Ice",Backdoors!BE33,IF(VLOOKUP(tbMoveset!A16,tbMoveset!A2:I112,9,FALSE)="Dragon",Backdoors!BF33,Backdoors!BG33)))))/100,Backdoors!BG33/100),"")</f>
        <v>0</v>
      </c>
      <c r="HF16" s="49">
        <f>IFERROR(IF(VLOOKUP(A16,tbMoveset!A2:J112,10,FALSE)=TRUE,IF((Backdoors!AI12+IF(HD16&gt;=0.45,VLOOKUP(Calculator!E23,tbSkills!DH3:DI6,2,FALSE)+IF(AND(Calculator!B8=TRUE,Backdoors!BI33=TRUE),VLOOKUP(Calculator!E23,tbSkills!DH3:DJ6,3,FALSE),0),0))&gt;=0,1+(Backdoors!AL2*(IF((Backdoors!AI12+IF(HD16&gt;=0.45,VLOOKUP(Calculator!E23,tbSkills!DH3:DI6,2,FALSE)+IF(AND(Calculator!B8=TRUE,Backdoors!BI33=TRUE),VLOOKUP(Calculator!E23,tbSkills!DH3:DJ6,3,FALSE),0),0))&gt;=100,100,(Backdoors!AI12+IF(HD16&gt;=0.45,VLOOKUP(Calculator!E23,tbSkills!DH3:DI6,2,FALSE)+IF(AND(Calculator!B8=TRUE,Backdoors!BI33=TRUE),VLOOKUP(Calculator!E23,tbSkills!DH3:DJ6,3,FALSE),0),0)))/100)),(1-(0.25*((-Backdoors!AI12-IF(HD16&gt;=0.45,VLOOKUP(Calculator!E23,tbSkills!DH3:DI6,2,FALSE)+IF(AND(Calculator!B8=TRUE,Backdoors!BI33=TRUE),VLOOKUP(Calculator!E23,tbSkills!DH3:DJ6,3,FALSE),0),0))/100)))),1),"")</f>
        <v>1</v>
      </c>
      <c r="HG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D16)*HF16)*(VLOOKUP(A16,tbMoveset!A2:C112,3,FALSE)/100)*IF(VLOOKUP(A16,tbMoveset!A2:B112,2,FALSE)="Projectile",Backdoors!N10,Backdoors!N9),0),"")</f>
        <v/>
      </c>
      <c r="HH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D16&gt;=0.45,VLOOKUP(Calculator!E23,tbSkills!DH3:DI6,2,FALSE)+IF(AND(Calculator!B8=TRUE,Backdoors!BI33=TRUE),VLOOKUP(Calculator!E23,tbSkills!DH3:DJ6,3,FALSE),0),0))&gt;=100,100,(Backdoors!AI12+IF(HD16&gt;=0.45,VLOOKUP(Calculator!E23,tbSkills!DH3:DI6,2,FALSE)+IF(AND(Calculator!B8=TRUE,Backdoors!BI33=TRUE),VLOOKUP(Calculator!E23,tbSkills!DH3:DJ6,3,FALSE),0),0)))/100)),1))*IF(VLOOKUP(A16,tbMoveset!A2:K112,11,FALSE)=TRUE,Backdoors!AC5,1))*HE16,0),"")</f>
        <v>0</v>
      </c>
      <c r="HI16" s="49">
        <f>VLOOKUP(A16,tbMoveset!A2:G112,7,FALSE)*IFERROR(IF(Backdoors!AI12&gt;=0,1+(IF(Calculator!E40&gt;0,VLOOKUP(Calculator!E40,tbSkills!AI3:AJ5,2,FALSE),Backdoors!AL4)*(IF((Backdoors!AI12+IF(HD16&gt;=0.45,VLOOKUP(Calculator!E23,tbSkills!DH3:DI6,2,FALSE)+IF(AND(Calculator!B8=TRUE,Backdoors!BI33=TRUE),VLOOKUP(Calculator!E23,tbSkills!DH3:DJ6,3,FALSE),0),0))&gt;=100,100,(Backdoors!AI12+IF(HD16&gt;=0.45,VLOOKUP(Calculator!E23,tbSkills!DH3:DI6,2,FALSE)+IF(AND(Calculator!B8=TRUE,Backdoors!BI33=TRUE),VLOOKUP(Calculator!E23,tbSkills!DH3:DJ6,3,FALSE),0),0)))/100)),1),1)</f>
        <v>0.5</v>
      </c>
      <c r="HJ16" s="87">
        <f t="shared" si="23"/>
        <v>0</v>
      </c>
      <c r="HK16" s="86" t="str">
        <f>IFERROR(IF(VLOOKUP(A16,tbMoveset!A2:B112,2,FALSE)="Sever",Backdoors!AY34/100,IF(VLOOKUP(A16,tbMoveset!A2:B112,2,FALSE)="Blunt",Backdoors!AZ34/100,Backdoors!BA34/100)),"")</f>
        <v/>
      </c>
      <c r="HL16" s="49">
        <f>IFERROR(IF(VLOOKUP(tbMoveset!A16,tbMoveset!A2:H112,8,FALSE)="Other",IF(VLOOKUP(tbMoveset!A16,tbMoveset!A2:I112,9,FALSE)="Fire",Backdoors!BB34,IF(VLOOKUP(tbMoveset!A16,tbMoveset!A2:I112,9,FALSE)="Water",Backdoors!BC34,IF(VLOOKUP(tbMoveset!A16,tbMoveset!A2:I112,9,FALSE)="Thunder",Backdoors!BD34,IF(VLOOKUP(tbMoveset!A16,tbMoveset!A2:I112,9,FALSE)="Ice",Backdoors!BE34,IF(VLOOKUP(tbMoveset!A16,tbMoveset!A2:I112,9,FALSE)="Dragon",Backdoors!BF34,Backdoors!BG34)))))/100,Backdoors!BG34/100),"")</f>
        <v>0</v>
      </c>
      <c r="HM16" s="49">
        <f>IFERROR(IF(VLOOKUP(A16,tbMoveset!A2:J112,10,FALSE)=TRUE,IF((Backdoors!AI12+IF(HK16&gt;=0.45,VLOOKUP(Calculator!E23,tbSkills!DH3:DI6,2,FALSE)+IF(AND(Calculator!B8=TRUE,Backdoors!BI34=TRUE),VLOOKUP(Calculator!E23,tbSkills!DH3:DJ6,3,FALSE),0),0))&gt;=0,1+(Backdoors!AL2*(IF((Backdoors!AI12+IF(HK16&gt;=0.45,VLOOKUP(Calculator!E23,tbSkills!DH3:DI6,2,FALSE)+IF(AND(Calculator!B8=TRUE,Backdoors!BI34=TRUE),VLOOKUP(Calculator!E23,tbSkills!DH3:DJ6,3,FALSE),0),0))&gt;=100,100,(Backdoors!AI12+IF(HK16&gt;=0.45,VLOOKUP(Calculator!E23,tbSkills!DH3:DI6,2,FALSE)+IF(AND(Calculator!B8=TRUE,Backdoors!BI34=TRUE),VLOOKUP(Calculator!E23,tbSkills!DH3:DJ6,3,FALSE),0),0)))/100)),(1-(0.25*((-Backdoors!AI12-IF(HK16&gt;=0.45,VLOOKUP(Calculator!E23,tbSkills!DH3:DI6,2,FALSE)+IF(AND(Calculator!B8=TRUE,Backdoors!BI34=TRUE),VLOOKUP(Calculator!E23,tbSkills!DH3:DJ6,3,FALSE),0),0))/100)))),1),"")</f>
        <v>1</v>
      </c>
      <c r="HN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K16)*HM16)*(VLOOKUP(A16,tbMoveset!A2:C112,3,FALSE)/100)*IF(VLOOKUP(A16,tbMoveset!A2:B112,2,FALSE)="Projectile",Backdoors!N10,Backdoors!N9),0),"")</f>
        <v/>
      </c>
      <c r="HO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K16&gt;=0.45,VLOOKUP(Calculator!E23,tbSkills!DH3:DI6,2,FALSE)+IF(AND(Calculator!B8=TRUE,Backdoors!BI34=TRUE),VLOOKUP(Calculator!E23,tbSkills!DH3:DJ6,3,FALSE),0),0))&gt;=100,100,(Backdoors!AI12+IF(HK16&gt;=0.45,VLOOKUP(Calculator!E23,tbSkills!DH3:DI6,2,FALSE)+IF(AND(Calculator!B8=TRUE,Backdoors!BI34=TRUE),VLOOKUP(Calculator!E23,tbSkills!DH3:DJ6,3,FALSE),0),0)))/100)),1))*IF(VLOOKUP(A16,tbMoveset!A2:K112,11,FALSE)=TRUE,Backdoors!AC5,1))*HL16,0),"")</f>
        <v>0</v>
      </c>
      <c r="HP16" s="49">
        <f>VLOOKUP(A16,tbMoveset!A2:G112,7,FALSE)*IFERROR(IF(Backdoors!AI12&gt;=0,1+(IF(Calculator!E40&gt;0,VLOOKUP(Calculator!E40,tbSkills!AI3:AJ5,2,FALSE),Backdoors!AL4)*(IF((Backdoors!AI12+IF(HK16&gt;=0.45,VLOOKUP(Calculator!E23,tbSkills!DH3:DI6,2,FALSE)+IF(AND(Calculator!B8=TRUE,Backdoors!BI34=TRUE),VLOOKUP(Calculator!E23,tbSkills!DH3:DJ6,3,FALSE),0),0))&gt;=100,100,(Backdoors!AI12+IF(HK16&gt;=0.45,VLOOKUP(Calculator!E23,tbSkills!DH3:DI6,2,FALSE)+IF(AND(Calculator!B8=TRUE,Backdoors!BI34=TRUE),VLOOKUP(Calculator!E23,tbSkills!DH3:DJ6,3,FALSE),0),0)))/100)),1),1)</f>
        <v>0.5</v>
      </c>
      <c r="HQ16" s="87">
        <f t="shared" si="24"/>
        <v>0</v>
      </c>
      <c r="HR16" s="86" t="str">
        <f>IFERROR(IF(VLOOKUP(A16,tbMoveset!A2:B112,2,FALSE)="Sever",Backdoors!AY35/100,IF(VLOOKUP(A16,tbMoveset!A2:B112,2,FALSE)="Blunt",Backdoors!AZ35/100,Backdoors!BA35/100)),"")</f>
        <v/>
      </c>
      <c r="HS16" s="49">
        <f>IFERROR(IF(VLOOKUP(tbMoveset!A16,tbMoveset!A2:H112,8,FALSE)="Other",IF(VLOOKUP(tbMoveset!A16,tbMoveset!A2:I112,9,FALSE)="Fire",Backdoors!BB35,IF(VLOOKUP(tbMoveset!A16,tbMoveset!A2:I112,9,FALSE)="Water",Backdoors!BC35,IF(VLOOKUP(tbMoveset!A16,tbMoveset!A2:I112,9,FALSE)="Thunder",Backdoors!BD35,IF(VLOOKUP(tbMoveset!A16,tbMoveset!A2:I112,9,FALSE)="Ice",Backdoors!BE35,IF(VLOOKUP(tbMoveset!A16,tbMoveset!A2:I112,9,FALSE)="Dragon",Backdoors!BF35,Backdoors!BG35)))))/100,Backdoors!BG35/100),"")</f>
        <v>0</v>
      </c>
      <c r="HT16" s="49">
        <f>IFERROR(IF(VLOOKUP(A16,tbMoveset!A2:J112,10,FALSE)=TRUE,IF((Backdoors!AI12+IF(HR16&gt;=0.45,VLOOKUP(Calculator!E23,tbSkills!DH3:DI6,2,FALSE)+IF(AND(Calculator!B8=TRUE,Backdoors!BI35=TRUE),VLOOKUP(Calculator!E23,tbSkills!DH3:DJ6,3,FALSE),0),0))&gt;=0,1+(Backdoors!AL2*(IF((Backdoors!AI12+IF(HR16&gt;=0.45,VLOOKUP(Calculator!E23,tbSkills!DH3:DI6,2,FALSE)+IF(AND(Calculator!B8=TRUE,Backdoors!BI35=TRUE),VLOOKUP(Calculator!E23,tbSkills!DH3:DJ6,3,FALSE),0),0))&gt;=100,100,(Backdoors!AI12+IF(HR16&gt;=0.45,VLOOKUP(Calculator!E23,tbSkills!DH3:DI6,2,FALSE)+IF(AND(Calculator!B8=TRUE,Backdoors!BI35=TRUE),VLOOKUP(Calculator!E23,tbSkills!DH3:DJ6,3,FALSE),0),0)))/100)),(1-(0.25*((-Backdoors!AI12-IF(HR16&gt;=0.45,VLOOKUP(Calculator!E23,tbSkills!DH3:DI6,2,FALSE)+IF(AND(Calculator!B8=TRUE,Backdoors!BI35=TRUE),VLOOKUP(Calculator!E23,tbSkills!DH3:DJ6,3,FALSE),0),0))/100)))),1),"")</f>
        <v>1</v>
      </c>
      <c r="HU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R16)*HT16)*(VLOOKUP(A16,tbMoveset!A2:C112,3,FALSE)/100)*IF(VLOOKUP(A16,tbMoveset!A2:B112,2,FALSE)="Projectile",Backdoors!N10,Backdoors!N9),0),"")</f>
        <v/>
      </c>
      <c r="HV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R16&gt;=0.45,VLOOKUP(Calculator!E23,tbSkills!DH3:DI6,2,FALSE)+IF(AND(Calculator!B8=TRUE,Backdoors!BI35=TRUE),VLOOKUP(Calculator!E23,tbSkills!DH3:DJ6,3,FALSE),0),0))&gt;=100,100,(Backdoors!AI12+IF(HR16&gt;=0.45,VLOOKUP(Calculator!E23,tbSkills!DH3:DI6,2,FALSE)+IF(AND(Calculator!B8=TRUE,Backdoors!BI35=TRUE),VLOOKUP(Calculator!E23,tbSkills!DH3:DJ6,3,FALSE),0),0)))/100)),1))*IF(VLOOKUP(A16,tbMoveset!A2:K112,11,FALSE)=TRUE,Backdoors!AC5,1))*HS16,0),"")</f>
        <v>0</v>
      </c>
      <c r="HW16" s="49">
        <f>VLOOKUP(A16,tbMoveset!A2:G112,7,FALSE)*IFERROR(IF(Backdoors!AI12&gt;=0,1+(IF(Calculator!E40&gt;0,VLOOKUP(Calculator!E40,tbSkills!AI3:AJ5,2,FALSE),Backdoors!AL4)*(IF((Backdoors!AI12+IF(HR16&gt;=0.45,VLOOKUP(Calculator!E23,tbSkills!DH3:DI6,2,FALSE)+IF(AND(Calculator!B8=TRUE,Backdoors!BI35=TRUE),VLOOKUP(Calculator!E23,tbSkills!DH3:DJ6,3,FALSE),0),0))&gt;=100,100,(Backdoors!AI12+IF(HR16&gt;=0.45,VLOOKUP(Calculator!E23,tbSkills!DH3:DI6,2,FALSE)+IF(AND(Calculator!B8=TRUE,Backdoors!BI35=TRUE),VLOOKUP(Calculator!E23,tbSkills!DH3:DJ6,3,FALSE),0),0)))/100)),1),1)</f>
        <v>0.5</v>
      </c>
      <c r="HX16" s="87">
        <f t="shared" si="25"/>
        <v>0</v>
      </c>
      <c r="HY16" s="86" t="str">
        <f>IFERROR(IF(VLOOKUP(A16,tbMoveset!A2:B112,2,FALSE)="Sever",Backdoors!AY36/100,IF(VLOOKUP(A16,tbMoveset!A2:B112,2,FALSE)="Blunt",Backdoors!AZ36/100,Backdoors!BA36/100)),"")</f>
        <v/>
      </c>
      <c r="HZ16" s="49">
        <f>IFERROR(IF(VLOOKUP(tbMoveset!A16,tbMoveset!A2:H112,8,FALSE)="Other",IF(VLOOKUP(tbMoveset!A16,tbMoveset!A2:I112,9,FALSE)="Fire",Backdoors!BB36,IF(VLOOKUP(tbMoveset!A16,tbMoveset!A2:I112,9,FALSE)="Water",Backdoors!BC36,IF(VLOOKUP(tbMoveset!A16,tbMoveset!A2:I112,9,FALSE)="Thunder",Backdoors!BD36,IF(VLOOKUP(tbMoveset!A16,tbMoveset!A2:I112,9,FALSE)="Ice",Backdoors!BE36,IF(VLOOKUP(tbMoveset!A16,tbMoveset!A2:I112,9,FALSE)="Dragon",Backdoors!BF36,Backdoors!BG36)))))/100,Backdoors!BG36/100),"")</f>
        <v>0</v>
      </c>
      <c r="IA16" s="49">
        <f>IFERROR(IF(VLOOKUP(A16,tbMoveset!A2:J112,10,FALSE)=TRUE,IF((Backdoors!AI12+IF(HY16&gt;=0.45,VLOOKUP(Calculator!E23,tbSkills!DH3:DI6,2,FALSE)+IF(AND(Calculator!B8=TRUE,Backdoors!BI36=TRUE),VLOOKUP(Calculator!E23,tbSkills!DH3:DJ6,3,FALSE),0),0))&gt;=0,1+(Backdoors!AL2*(IF((Backdoors!AI12+IF(HY16&gt;=0.45,VLOOKUP(Calculator!E23,tbSkills!DH3:DI6,2,FALSE)+IF(AND(Calculator!B8=TRUE,Backdoors!BI36=TRUE),VLOOKUP(Calculator!E23,tbSkills!DH3:DJ6,3,FALSE),0),0))&gt;=100,100,(Backdoors!AI12+IF(HY16&gt;=0.45,VLOOKUP(Calculator!E23,tbSkills!DH3:DI6,2,FALSE)+IF(AND(Calculator!B8=TRUE,Backdoors!BI36=TRUE),VLOOKUP(Calculator!E23,tbSkills!DH3:DJ6,3,FALSE),0),0)))/100)),(1-(0.25*((-Backdoors!AI12-IF(HY16&gt;=0.45,VLOOKUP(Calculator!E23,tbSkills!DH3:DI6,2,FALSE)+IF(AND(Calculator!B8=TRUE,Backdoors!BI36=TRUE),VLOOKUP(Calculator!E23,tbSkills!DH3:DJ6,3,FALSE),0),0))/100)))),1),"")</f>
        <v>1</v>
      </c>
      <c r="IB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Y16)*IA16)*(VLOOKUP(A16,tbMoveset!A2:C112,3,FALSE)/100)*IF(VLOOKUP(A16,tbMoveset!A2:B112,2,FALSE)="Projectile",Backdoors!N10,Backdoors!N9),0),"")</f>
        <v/>
      </c>
      <c r="IC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Y16&gt;=0.45,VLOOKUP(Calculator!E23,tbSkills!DH3:DI6,2,FALSE)+IF(AND(Calculator!B8=TRUE,Backdoors!BI36=TRUE),VLOOKUP(Calculator!E23,tbSkills!DH3:DJ6,3,FALSE),0),0))&gt;=100,100,(Backdoors!AI12+IF(HY16&gt;=0.45,VLOOKUP(Calculator!E23,tbSkills!DH3:DI6,2,FALSE)+IF(AND(Calculator!B8=TRUE,Backdoors!BI36=TRUE),VLOOKUP(Calculator!E23,tbSkills!DH3:DJ6,3,FALSE),0),0)))/100)),1))*IF(VLOOKUP(A16,tbMoveset!A2:K112,11,FALSE)=TRUE,Backdoors!AC5,1))*HZ16,0),"")</f>
        <v>0</v>
      </c>
      <c r="ID16" s="49">
        <f>VLOOKUP(A16,tbMoveset!A2:G112,7,FALSE)*IFERROR(IF(Backdoors!AI12&gt;=0,1+(IF(Calculator!E40&gt;0,VLOOKUP(Calculator!E40,tbSkills!AI3:AJ5,2,FALSE),Backdoors!AL4)*(IF((Backdoors!AI12+IF(HY16&gt;=0.45,VLOOKUP(Calculator!E23,tbSkills!DH3:DI6,2,FALSE)+IF(AND(Calculator!B8=TRUE,Backdoors!BI36=TRUE),VLOOKUP(Calculator!E23,tbSkills!DH3:DJ6,3,FALSE),0),0))&gt;=100,100,(Backdoors!AI12+IF(HY16&gt;=0.45,VLOOKUP(Calculator!E23,tbSkills!DH3:DI6,2,FALSE)+IF(AND(Calculator!B8=TRUE,Backdoors!BI36=TRUE),VLOOKUP(Calculator!E23,tbSkills!DH3:DJ6,3,FALSE),0),0)))/100)),1),1)</f>
        <v>0.5</v>
      </c>
      <c r="IE16" s="87">
        <f t="shared" si="26"/>
        <v>0</v>
      </c>
      <c r="IF16" s="86" t="str">
        <f>IFERROR(IF(VLOOKUP(A16,tbMoveset!A2:B112,2,FALSE)="Sever",Backdoors!AY37/100,IF(VLOOKUP(A16,tbMoveset!A2:B112,2,FALSE)="Blunt",Backdoors!AZ37/100,Backdoors!BA37/100)),"")</f>
        <v/>
      </c>
      <c r="IG16" s="49">
        <f>IFERROR(IF(VLOOKUP(tbMoveset!A16,tbMoveset!A2:H112,8,FALSE)="Other",IF(VLOOKUP(tbMoveset!A16,tbMoveset!A2:I112,9,FALSE)="Fire",Backdoors!BB37,IF(VLOOKUP(tbMoveset!A16,tbMoveset!A2:I112,9,FALSE)="Water",Backdoors!BC37,IF(VLOOKUP(tbMoveset!A16,tbMoveset!A2:I112,9,FALSE)="Thunder",Backdoors!BD37,IF(VLOOKUP(tbMoveset!A16,tbMoveset!A2:I112,9,FALSE)="Ice",Backdoors!BE37,IF(VLOOKUP(tbMoveset!A16,tbMoveset!A2:I112,9,FALSE)="Dragon",Backdoors!BF37,Backdoors!BG37)))))/100,Backdoors!BG37/100),"")</f>
        <v>0</v>
      </c>
      <c r="IH16" s="49">
        <f>IFERROR(IF(VLOOKUP(A16,tbMoveset!A2:J112,10,FALSE)=TRUE,IF((Backdoors!AI12+IF(IF16&gt;=0.45,VLOOKUP(Calculator!E23,tbSkills!DH3:DI6,2,FALSE)+IF(AND(Calculator!B8=TRUE,Backdoors!BI37=TRUE),VLOOKUP(Calculator!E23,tbSkills!DH3:DJ6,3,FALSE),0),0))&gt;=0,1+(Backdoors!AL2*(IF((Backdoors!AI12+IF(IF16&gt;=0.45,VLOOKUP(Calculator!E23,tbSkills!DH3:DI6,2,FALSE)+IF(AND(Calculator!B8=TRUE,Backdoors!BI37=TRUE),VLOOKUP(Calculator!E23,tbSkills!DH3:DJ6,3,FALSE),0),0))&gt;=100,100,(Backdoors!AI12+IF(IF16&gt;=0.45,VLOOKUP(Calculator!E23,tbSkills!DH3:DI6,2,FALSE)+IF(AND(Calculator!B8=TRUE,Backdoors!BI37=TRUE),VLOOKUP(Calculator!E23,tbSkills!DH3:DJ6,3,FALSE),0),0)))/100)),(1-(0.25*((-Backdoors!AI12-IF(IF16&gt;=0.45,VLOOKUP(Calculator!E23,tbSkills!DH3:DI6,2,FALSE)+IF(AND(Calculator!B8=TRUE,Backdoors!BI37=TRUE),VLOOKUP(Calculator!E23,tbSkills!DH3:DJ6,3,FALSE),0),0))/100)))),1),"")</f>
        <v>1</v>
      </c>
      <c r="II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F16)*IH16)*(VLOOKUP(A16,tbMoveset!A2:C112,3,FALSE)/100)*IF(VLOOKUP(A16,tbMoveset!A2:B112,2,FALSE)="Projectile",Backdoors!N10,Backdoors!N9),0),"")</f>
        <v/>
      </c>
      <c r="IJ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IF16&gt;=0.45,VLOOKUP(Calculator!E23,tbSkills!DH3:DI6,2,FALSE)+IF(AND(Calculator!B8=TRUE,Backdoors!BI37=TRUE),VLOOKUP(Calculator!E23,tbSkills!DH3:DJ6,3,FALSE),0),0))&gt;=100,100,(Backdoors!AI12+IF(IF16&gt;=0.45,VLOOKUP(Calculator!E23,tbSkills!DH3:DI6,2,FALSE)+IF(AND(Calculator!B8=TRUE,Backdoors!BI37=TRUE),VLOOKUP(Calculator!E23,tbSkills!DH3:DJ6,3,FALSE),0),0)))/100)),1))*IF(VLOOKUP(A16,tbMoveset!A2:K112,11,FALSE)=TRUE,Backdoors!AC5,1))*IG16,0),"")</f>
        <v>0</v>
      </c>
      <c r="IK16" s="49">
        <f>VLOOKUP(A16,tbMoveset!A2:G112,7,FALSE)*IFERROR(IF(Backdoors!AI12&gt;=0,1+(IF(Calculator!E40&gt;0,VLOOKUP(Calculator!E40,tbSkills!AI3:AJ5,2,FALSE),Backdoors!AL4)*(IF((Backdoors!AI12+IF(IF16&gt;=0.45,VLOOKUP(Calculator!E23,tbSkills!DH3:DI6,2,FALSE)+IF(AND(Calculator!B8=TRUE,Backdoors!BI37=TRUE),VLOOKUP(Calculator!E23,tbSkills!DH3:DJ6,3,FALSE),0),0))&gt;=100,100,(Backdoors!AI12+IF(IF16&gt;=0.45,VLOOKUP(Calculator!E23,tbSkills!DH3:DI6,2,FALSE)+IF(AND(Calculator!B8=TRUE,Backdoors!BI37=TRUE),VLOOKUP(Calculator!E23,tbSkills!DH3:DJ6,3,FALSE),0),0)))/100)),1),1)</f>
        <v>0.5</v>
      </c>
      <c r="IL16" s="87">
        <f t="shared" si="27"/>
        <v>0</v>
      </c>
      <c r="IM16" s="86" t="str">
        <f>IFERROR(IF(VLOOKUP(A16,tbMoveset!A2:B112,2,FALSE)="Sever",Backdoors!AY38/100,IF(VLOOKUP(A16,tbMoveset!A2:B112,2,FALSE)="Blunt",Backdoors!AZ38/100,Backdoors!BA38/100)),"")</f>
        <v/>
      </c>
      <c r="IN16" s="49">
        <f>IFERROR(IF(VLOOKUP(tbMoveset!A16,tbMoveset!A2:H112,8,FALSE)="Other",IF(VLOOKUP(tbMoveset!A16,tbMoveset!A2:I112,9,FALSE)="Fire",Backdoors!BB38,IF(VLOOKUP(tbMoveset!A16,tbMoveset!A2:I112,9,FALSE)="Water",Backdoors!BC38,IF(VLOOKUP(tbMoveset!A16,tbMoveset!A2:I112,9,FALSE)="Thunder",Backdoors!BD38,IF(VLOOKUP(tbMoveset!A16,tbMoveset!A2:I112,9,FALSE)="Ice",Backdoors!BE38,IF(VLOOKUP(tbMoveset!A16,tbMoveset!A2:I112,9,FALSE)="Dragon",Backdoors!BF38,Backdoors!BG38)))))/100,Backdoors!BG38/100),"")</f>
        <v>0</v>
      </c>
      <c r="IO16" s="49">
        <f>IFERROR(IF(VLOOKUP(A16,tbMoveset!A2:J112,10,FALSE)=TRUE,IF((Backdoors!AI12+IF(IM16&gt;=0.45,VLOOKUP(Calculator!E23,tbSkills!DH3:DI6,2,FALSE)+IF(AND(Calculator!B8=TRUE,Backdoors!BI38=TRUE),VLOOKUP(Calculator!E23,tbSkills!DH3:DJ6,3,FALSE),0),0))&gt;=0,1+(Backdoors!AL2*(IF((Backdoors!AI12+IF(IM16&gt;=0.45,VLOOKUP(Calculator!E23,tbSkills!DH3:DI6,2,FALSE)+IF(AND(Calculator!B8=TRUE,Backdoors!BI38=TRUE),VLOOKUP(Calculator!E23,tbSkills!DH3:DJ6,3,FALSE),0),0))&gt;=100,100,(Backdoors!AI12+IF(IM16&gt;=0.45,VLOOKUP(Calculator!E23,tbSkills!DH3:DI6,2,FALSE)+IF(AND(Calculator!B8=TRUE,Backdoors!BI38=TRUE),VLOOKUP(Calculator!E23,tbSkills!DH3:DJ6,3,FALSE),0),0)))/100)),(1-(0.25*((-Backdoors!AI12-IF(IM16&gt;=0.45,VLOOKUP(Calculator!E23,tbSkills!DH3:DI6,2,FALSE)+IF(AND(Calculator!B8=TRUE,Backdoors!BI38=TRUE),VLOOKUP(Calculator!E23,tbSkills!DH3:DJ6,3,FALSE),0),0))/100)))),1),"")</f>
        <v>1</v>
      </c>
      <c r="IP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M16)*IO16)*(VLOOKUP(A16,tbMoveset!A2:C112,3,FALSE)/100)*IF(VLOOKUP(A16,tbMoveset!A2:B112,2,FALSE)="Projectile",Backdoors!N10,Backdoors!N9),0),"")</f>
        <v/>
      </c>
      <c r="IQ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IM16&gt;=0.45,VLOOKUP(Calculator!E23,tbSkills!DH3:DI6,2,FALSE)+IF(AND(Calculator!B8=TRUE,Backdoors!BI38=TRUE),VLOOKUP(Calculator!E23,tbSkills!DH3:DJ6,3,FALSE),0),0))&gt;=100,100,(Backdoors!AI12+IF(IM16&gt;=0.45,VLOOKUP(Calculator!E23,tbSkills!DH3:DI6,2,FALSE)+IF(AND(Calculator!B8=TRUE,Backdoors!BI38=TRUE),VLOOKUP(Calculator!E23,tbSkills!DH3:DJ6,3,FALSE),0),0)))/100)),1))*IF(VLOOKUP(A16,tbMoveset!A2:K112,11,FALSE)=TRUE,Backdoors!AC5,1))*IN16,0),"")</f>
        <v>0</v>
      </c>
      <c r="IR16" s="49">
        <f>VLOOKUP(A16,tbMoveset!A2:G112,7,FALSE)*IFERROR(IF(Backdoors!AI12&gt;=0,1+(IF(Calculator!E40&gt;0,VLOOKUP(Calculator!E40,tbSkills!AI3:AJ5,2,FALSE),Backdoors!AL4)*(IF((Backdoors!AI12+IF(IM16&gt;=0.45,VLOOKUP(Calculator!E23,tbSkills!DH3:DI6,2,FALSE)+IF(AND(Calculator!B8=TRUE,Backdoors!BI38=TRUE),VLOOKUP(Calculator!E23,tbSkills!DH3:DJ6,3,FALSE),0),0))&gt;=100,100,(Backdoors!AI12+IF(IM16&gt;=0.45,VLOOKUP(Calculator!E23,tbSkills!DH3:DI6,2,FALSE)+IF(AND(Calculator!B8=TRUE,Backdoors!BI38=TRUE),VLOOKUP(Calculator!E23,tbSkills!DH3:DJ6,3,FALSE),0),0)))/100)),1),1)</f>
        <v>0.5</v>
      </c>
      <c r="IS16" s="87">
        <f t="shared" si="42"/>
        <v>0</v>
      </c>
      <c r="IT16" s="86" t="str">
        <f>IFERROR(IF(VLOOKUP(A16,tbMoveset!A2:B112,2,FALSE)="Sever",Backdoors!AY39/100,IF(VLOOKUP(A16,tbMoveset!A2:B112,2,FALSE)="Blunt",Backdoors!AZ39/100,Backdoors!BA39/100)),"")</f>
        <v/>
      </c>
      <c r="IU16" s="49">
        <f>IFERROR(IF(VLOOKUP(tbMoveset!A16,tbMoveset!A2:H112,8,FALSE)="Other",IF(VLOOKUP(tbMoveset!A16,tbMoveset!A2:I112,9,FALSE)="Fire",Backdoors!BB39,IF(VLOOKUP(tbMoveset!A16,tbMoveset!A2:I112,9,FALSE)="Water",Backdoors!BC39,IF(VLOOKUP(tbMoveset!A16,tbMoveset!A2:I112,9,FALSE)="Thunder",Backdoors!BD39,IF(VLOOKUP(tbMoveset!A16,tbMoveset!A2:I112,9,FALSE)="Ice",Backdoors!BE39,IF(VLOOKUP(tbMoveset!A16,tbMoveset!A2:I112,9,FALSE)="Dragon",Backdoors!BF39,Backdoors!BG39)))))/100,Backdoors!BG39/100),"")</f>
        <v>0</v>
      </c>
      <c r="IV16" s="49">
        <f>IFERROR(IF(VLOOKUP(A16,tbMoveset!A2:J112,10,FALSE)=TRUE,IF((Backdoors!AI12+IF(IT16&gt;=0.45,VLOOKUP(Calculator!E23,tbSkills!DH3:DI6,2,FALSE)+IF(AND(Calculator!B8=TRUE,Backdoors!BI39=TRUE),VLOOKUP(Calculator!E23,tbSkills!DH3:DJ6,3,FALSE),0),0))&gt;=0,1+(Backdoors!AL2*(IF((Backdoors!AI12+IF(IT16&gt;=0.45,VLOOKUP(Calculator!E23,tbSkills!DH3:DI6,2,FALSE)+IF(AND(Calculator!B8=TRUE,Backdoors!BI39=TRUE),VLOOKUP(Calculator!E23,tbSkills!DH3:DJ6,3,FALSE),0),0))&gt;=100,100,(Backdoors!AI12+IF(IT16&gt;=0.45,VLOOKUP(Calculator!E23,tbSkills!DH3:DI6,2,FALSE)+IF(AND(Calculator!B8=TRUE,Backdoors!BI39=TRUE),VLOOKUP(Calculator!E23,tbSkills!DH3:DJ6,3,FALSE),0),0)))/100)),(1-(0.25*((-Backdoors!AI12-IF(IT16&gt;=0.45,VLOOKUP(Calculator!E23,tbSkills!DH3:DI6,2,FALSE)+IF(AND(Calculator!B8=TRUE,Backdoors!BI39=TRUE),VLOOKUP(Calculator!E23,tbSkills!DH3:DJ6,3,FALSE),0),0))/100)))),1),"")</f>
        <v>1</v>
      </c>
      <c r="IW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T16)*IV16)*(VLOOKUP(A16,tbMoveset!A2:C112,3,FALSE)/100)*IF(VLOOKUP(A16,tbMoveset!A2:B112,2,FALSE)="Projectile",Backdoors!N10,Backdoors!N9),0),"")</f>
        <v/>
      </c>
      <c r="IX16" s="49">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40&gt;0,VLOOKUP(Calculator!E40,tbSkills!AC3:AD5,2,FALSE),Backdoors!AL3)*(IF((Backdoors!AI12+IF(IT16&gt;=0.45,VLOOKUP(Calculator!E23,tbSkills!DH3:DI6,2,FALSE)+IF(AND(Calculator!B8=TRUE,Backdoors!BI39=TRUE),VLOOKUP(Calculator!E23,tbSkills!DH3:DJ6,3,FALSE),0),0))&gt;=100,100,(Backdoors!AI12+IF(IT16&gt;=0.45,VLOOKUP(Calculator!E23,tbSkills!DH3:DI6,2,FALSE)+IF(AND(Calculator!B8=TRUE,Backdoors!BI39=TRUE),VLOOKUP(Calculator!E23,tbSkills!DH3:DJ6,3,FALSE),0),0)))/100)),1))*IF(VLOOKUP(A16,tbMoveset!A2:K112,11,FALSE)=TRUE,Backdoors!AC5,1))*IU16,0),"")</f>
        <v>0</v>
      </c>
      <c r="IY16" s="49">
        <f>VLOOKUP(A16,tbMoveset!A2:G112,7,FALSE)*IFERROR(IF(Backdoors!AI12&gt;=0,1+(IF(Calculator!E40&gt;0,VLOOKUP(Calculator!E40,tbSkills!AI3:AJ5,2,FALSE),Backdoors!AL4)*(IF((Backdoors!AI12+IF(IT16&gt;=0.45,VLOOKUP(Calculator!E23,tbSkills!DH3:DI6,2,FALSE)+IF(AND(Calculator!B8=TRUE,Backdoors!BI39=TRUE),VLOOKUP(Calculator!E23,tbSkills!DH3:DJ6,3,FALSE),0),0))&gt;=100,100,(Backdoors!AI12+IF(IT16&gt;=0.45,VLOOKUP(Calculator!E23,tbSkills!DH3:DI6,2,FALSE)+IF(AND(Calculator!B8=TRUE,Backdoors!BI39=TRUE),VLOOKUP(Calculator!E23,tbSkills!DH3:DJ6,3,FALSE),0),0)))/100)),1),1)</f>
        <v>0.5</v>
      </c>
      <c r="IZ16" s="87">
        <f t="shared" si="28"/>
        <v>0</v>
      </c>
      <c r="JA16" s="86" t="str">
        <f>IFERROR(IF(VLOOKUP(A16,tbMoveset!A2:B112,2,FALSE)="Sever",Backdoors!AY40/100,IF(VLOOKUP(A16,tbMoveset!A2:B112,2,FALSE)="Blunt",Backdoors!AZ40/100,Backdoors!BA40/100)),"")</f>
        <v/>
      </c>
      <c r="JB16" s="49">
        <f>IFERROR(IF(VLOOKUP(tbMoveset!A16,tbMoveset!A2:H112,8,FALSE)="Other",IF(VLOOKUP(tbMoveset!A16,tbMoveset!A2:I112,9,FALSE)="Fire",Backdoors!BB40,IF(VLOOKUP(tbMoveset!A16,tbMoveset!A2:I112,9,FALSE)="Water",Backdoors!BC40,IF(VLOOKUP(tbMoveset!A16,tbMoveset!A2:I112,9,FALSE)="Thunder",Backdoors!BD40,IF(VLOOKUP(tbMoveset!A16,tbMoveset!A2:I112,9,FALSE)="Ice",Backdoors!BE40,IF(VLOOKUP(tbMoveset!A16,tbMoveset!A2:I112,9,FALSE)="Dragon",Backdoors!BF40,Backdoors!BG40)))))/100,Backdoors!BG40/100),"")</f>
        <v>0</v>
      </c>
      <c r="JC16" s="49">
        <f>IFERROR(IF(VLOOKUP(A16,tbMoveset!A2:J112,10,FALSE)=TRUE,IF((Backdoors!AI12+IF(JA16&gt;=0.45,VLOOKUP(Calculator!E23,tbSkills!DH3:DI6,2,FALSE)+IF(AND(Calculator!B8=TRUE,Backdoors!BI40=TRUE),VLOOKUP(Calculator!E23,tbSkills!DH3:DJ6,3,FALSE),0),0))&gt;=0,1+(Backdoors!AL2*(IF((Backdoors!AI12+IF(JA16&gt;=0.45,VLOOKUP(Calculator!E23,tbSkills!DH3:DI6,2,FALSE)+IF(AND(Calculator!B8=TRUE,Backdoors!BI40=TRUE),VLOOKUP(Calculator!E23,tbSkills!DH3:DJ6,3,FALSE),0),0))&gt;=100,100,(Backdoors!AI12+IF(JA16&gt;=0.45,VLOOKUP(Calculator!E23,tbSkills!DH3:DI6,2,FALSE)+IF(AND(Calculator!B8=TRUE,Backdoors!BI40=TRUE),VLOOKUP(Calculator!E23,tbSkills!DH3:DJ6,3,FALSE),0),0)))/100)),(1-(0.25*((-Backdoors!AI12-IF(JA16&gt;=0.45,VLOOKUP(Calculator!E23,tbSkills!DH3:DI6,2,FALSE)+IF(AND(Calculator!B8=TRUE,Backdoors!BI40=TRUE),VLOOKUP(Calculator!E23,tbSkills!DH3:DJ6,3,FALSE),0),0))/100)))),1),"")</f>
        <v>1</v>
      </c>
      <c r="JD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A16)*JC16)*(VLOOKUP(A16,tbMoveset!A2:C112,3,FALSE)/100)*IF(VLOOKUP(A16,tbMoveset!A2:B112,2,FALSE)="Projectile",Backdoors!N10,Backdoors!N9),0),"")</f>
        <v/>
      </c>
      <c r="JE16" s="49">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42&gt;0,VLOOKUP(Calculator!E42,tbSkills!AC3:AD5,2,FALSE),Backdoors!AL3)*(IF((Backdoors!AI12+IF(JA16&gt;=0.45,VLOOKUP(Calculator!E23,tbSkills!DH3:DI6,2,FALSE)+IF(AND(Calculator!B8=TRUE,Backdoors!BI40=TRUE),VLOOKUP(Calculator!E23,tbSkills!DH3:DJ6,3,FALSE),0),0))&gt;=100,100,(Backdoors!AI12+IF(JA16&gt;=0.45,VLOOKUP(Calculator!E23,tbSkills!DH3:DI6,2,FALSE)+IF(AND(Calculator!B8=TRUE,Backdoors!BI40=TRUE),VLOOKUP(Calculator!E23,tbSkills!DH3:DJ6,3,FALSE),0),0)))/100)),1))*IF(VLOOKUP(A16,tbMoveset!A2:K112,11,FALSE)=TRUE,Backdoors!AC5,1))*JB16,0),"")</f>
        <v>0</v>
      </c>
      <c r="JF16" s="49">
        <f>VLOOKUP(A16,tbMoveset!A2:G112,7,FALSE)*IFERROR(IF(Backdoors!AI12&gt;=0,1+(IF(Calculator!E40&gt;0,VLOOKUP(Calculator!E40,tbSkills!AI3:AJ5,2,FALSE),Backdoors!AL4)*(IF((Backdoors!AI12+IF(JA16&gt;=0.45,VLOOKUP(Calculator!E23,tbSkills!DH3:DI6,2,FALSE)+IF(AND(Calculator!B8=TRUE,Backdoors!BI40=TRUE),VLOOKUP(Calculator!E23,tbSkills!DH3:DJ6,3,FALSE),0),0))&gt;=100,100,(Backdoors!AI12+IF(JA16&gt;=0.45,VLOOKUP(Calculator!E23,tbSkills!DH3:DI6,2,FALSE)+IF(AND(Calculator!B8=TRUE,Backdoors!BI40=TRUE),VLOOKUP(Calculator!E23,tbSkills!DH3:DJ6,3,FALSE),0),0)))/100)),1),1)</f>
        <v>0.5</v>
      </c>
      <c r="JG16" s="87">
        <f t="shared" si="29"/>
        <v>0</v>
      </c>
      <c r="JH16" s="86" t="str">
        <f>IFERROR(IF(VLOOKUP(A16,tbMoveset!A2:B112,2,FALSE)="Sever",Backdoors!AY41/100,IF(VLOOKUP(A16,tbMoveset!A2:B112,2,FALSE)="Blunt",Backdoors!AZ41/100,Backdoors!BA41/100)),"")</f>
        <v/>
      </c>
      <c r="JI16" s="49">
        <f>IFERROR(IF(VLOOKUP(tbMoveset!A16,tbMoveset!A2:H112,8,FALSE)="Other",IF(VLOOKUP(tbMoveset!A16,tbMoveset!A2:I112,9,FALSE)="Fire",Backdoors!BB41,IF(VLOOKUP(tbMoveset!A16,tbMoveset!A2:I112,9,FALSE)="Water",Backdoors!BC41,IF(VLOOKUP(tbMoveset!A16,tbMoveset!A2:I112,9,FALSE)="Thunder",Backdoors!BD41,IF(VLOOKUP(tbMoveset!A16,tbMoveset!A2:I112,9,FALSE)="Ice",Backdoors!BE41,IF(VLOOKUP(tbMoveset!A16,tbMoveset!A2:I112,9,FALSE)="Dragon",Backdoors!BF41,Backdoors!BG41)))))/100,Backdoors!BG41/100),"")</f>
        <v>0</v>
      </c>
      <c r="JJ16" s="49">
        <f>IFERROR(IF(VLOOKUP(A16,tbMoveset!A2:J112,10,FALSE)=TRUE,IF((Backdoors!AI12+IF(JH16&gt;=0.45,VLOOKUP(Calculator!E23,tbSkills!DH3:DI6,2,FALSE)+IF(AND(Calculator!B8=TRUE,Backdoors!BI41=TRUE),VLOOKUP(Calculator!E23,tbSkills!DH3:DJ6,3,FALSE),0),0))&gt;=0,1+(Backdoors!AL2*(IF((Backdoors!AI12+IF(JH16&gt;=0.45,VLOOKUP(Calculator!E23,tbSkills!DH3:DI6,2,FALSE)+IF(AND(Calculator!B8=TRUE,Backdoors!BI41=TRUE),VLOOKUP(Calculator!E23,tbSkills!DH3:DJ6,3,FALSE),0),0))&gt;=100,100,(Backdoors!AI12+IF(JH16&gt;=0.45,VLOOKUP(Calculator!E23,tbSkills!DH3:DI6,2,FALSE)+IF(AND(Calculator!B8=TRUE,Backdoors!BI41=TRUE),VLOOKUP(Calculator!E23,tbSkills!DH3:DJ6,3,FALSE),0),0)))/100)),(1-(0.25*((-Backdoors!AI12-IF(JH16&gt;=0.45,VLOOKUP(Calculator!E23,tbSkills!DH3:DI6,2,FALSE)+IF(AND(Calculator!B8=TRUE,Backdoors!BI41=TRUE),VLOOKUP(Calculator!E23,tbSkills!DH3:DJ6,3,FALSE),0),0))/100)))),1),"")</f>
        <v>1</v>
      </c>
      <c r="JK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H16)*JJ16)*(VLOOKUP(A16,tbMoveset!A2:C112,3,FALSE)/100)*IF(VLOOKUP(A16,tbMoveset!A2:B112,2,FALSE)="Projectile",Backdoors!N10,Backdoors!N9),0),"")</f>
        <v/>
      </c>
      <c r="JL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43&gt;0,VLOOKUP(Calculator!E43,tbSkills!AC3:AD5,2,FALSE),Backdoors!AL3)*(IF((Backdoors!AI12+IF(JH16&gt;=0.45,VLOOKUP(Calculator!E23,tbSkills!DH3:DI6,2,FALSE)+IF(AND(Calculator!B8=TRUE,Backdoors!BI41=TRUE),VLOOKUP(Calculator!E23,tbSkills!DH3:DJ6,3,FALSE),0),0))&gt;=100,100,(Backdoors!AI12+IF(JH16&gt;=0.45,VLOOKUP(Calculator!E23,tbSkills!DH3:DI6,2,FALSE)+IF(AND(Calculator!B8=TRUE,Backdoors!BI41=TRUE),VLOOKUP(Calculator!E23,tbSkills!DH3:DJ6,3,FALSE),0),0)))/100)),1))*IF(VLOOKUP(A16,tbMoveset!A2:K112,11,FALSE)=TRUE,Backdoors!AC5,1))*JI16,0),"")</f>
        <v/>
      </c>
      <c r="JM16" s="49">
        <f>VLOOKUP(A16,tbMoveset!A2:G112,7,FALSE)*IFERROR(IF(Backdoors!AI12&gt;=0,1+(IF(Calculator!E40&gt;0,VLOOKUP(Calculator!E40,tbSkills!AI3:AJ5,2,FALSE),Backdoors!AL4)*(IF((Backdoors!AI12+IF(JH16&gt;=0.45,VLOOKUP(Calculator!E23,tbSkills!DH3:DI6,2,FALSE)+IF(AND(Calculator!B8=TRUE,Backdoors!BI41=TRUE),VLOOKUP(Calculator!E23,tbSkills!DH3:DJ6,3,FALSE),0),0))&gt;=100,100,(Backdoors!AI12+IF(JH16&gt;=0.45,VLOOKUP(Calculator!E23,tbSkills!DH3:DI6,2,FALSE)+IF(AND(Calculator!B8=TRUE,Backdoors!BI41=TRUE),VLOOKUP(Calculator!E23,tbSkills!DH3:DJ6,3,FALSE),0),0)))/100)),1),1)</f>
        <v>0.5</v>
      </c>
      <c r="JN16" s="87">
        <f t="shared" si="30"/>
        <v>0</v>
      </c>
      <c r="JO16" s="86" t="str">
        <f>IFERROR(IF(VLOOKUP(A16,tbMoveset!A2:B112,2,FALSE)="Sever",Backdoors!AY42/100,IF(VLOOKUP(A16,tbMoveset!A2:B112,2,FALSE)="Blunt",Backdoors!AZ42/100,Backdoors!BA42/100)),"")</f>
        <v/>
      </c>
      <c r="JP16" s="49">
        <f>IFERROR(IF(VLOOKUP(tbMoveset!A16,tbMoveset!A2:H112,8,FALSE)="Other",IF(VLOOKUP(tbMoveset!A16,tbMoveset!A2:I112,9,FALSE)="Fire",Backdoors!BB42,IF(VLOOKUP(tbMoveset!A16,tbMoveset!A2:I112,9,FALSE)="Water",Backdoors!BC42,IF(VLOOKUP(tbMoveset!A16,tbMoveset!A2:I112,9,FALSE)="Thunder",Backdoors!BD42,IF(VLOOKUP(tbMoveset!A16,tbMoveset!A2:I112,9,FALSE)="Ice",Backdoors!BE42,IF(VLOOKUP(tbMoveset!A16,tbMoveset!A2:I112,9,FALSE)="Dragon",Backdoors!BF42,Backdoors!BG42)))))/100,Backdoors!BG42/100),"")</f>
        <v>0</v>
      </c>
      <c r="JQ16" s="49">
        <f>IFERROR(IF(VLOOKUP(A16,tbMoveset!A2:J112,10,FALSE)=TRUE,IF((Backdoors!AI12+IF(JO16&gt;=0.45,VLOOKUP(Calculator!E23,tbSkills!DH3:DI6,2,FALSE)+IF(AND(Calculator!B8=TRUE,Backdoors!BI42=TRUE),VLOOKUP(Calculator!E23,tbSkills!DH3:DJ6,3,FALSE),0),0))&gt;=0,1+(Backdoors!AL2*(IF((Backdoors!AI12+IF(JO16&gt;=0.45,VLOOKUP(Calculator!E23,tbSkills!DH3:DI6,2,FALSE)+IF(AND(Calculator!B8=TRUE,Backdoors!BI42=TRUE),VLOOKUP(Calculator!E23,tbSkills!DH3:DJ6,3,FALSE),0),0))&gt;=100,100,(Backdoors!AI12+IF(JO16&gt;=0.45,VLOOKUP(Calculator!E23,tbSkills!DH3:DI6,2,FALSE)+IF(AND(Calculator!B8=TRUE,Backdoors!BI42=TRUE),VLOOKUP(Calculator!E23,tbSkills!DH3:DJ6,3,FALSE),0),0)))/100)),(1-(0.25*((-Backdoors!AI12-IF(JO16&gt;=0.45,VLOOKUP(Calculator!E23,tbSkills!DH3:DI6,2,FALSE)+IF(AND(Calculator!B8=TRUE,Backdoors!BI42=TRUE),VLOOKUP(Calculator!E23,tbSkills!DH3:DJ6,3,FALSE),0),0))/100)))),1),"")</f>
        <v>1</v>
      </c>
      <c r="JR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O16)*JQ16)*(VLOOKUP(A16,tbMoveset!A2:C112,3,FALSE)/100)*IF(VLOOKUP(A16,tbMoveset!A2:B112,2,FALSE)="Projectile",Backdoors!N10,Backdoors!N9),0),"")</f>
        <v/>
      </c>
      <c r="JS16" s="49">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45&gt;0,VLOOKUP(Calculator!E45,tbSkills!AC3:AD5,2,FALSE),Backdoors!AL3)*(IF((Backdoors!AI12+IF(JO16&gt;=0.45,VLOOKUP(Calculator!E23,tbSkills!DH3:DI6,2,FALSE)+IF(AND(Calculator!B8=TRUE,Backdoors!BI42=TRUE),VLOOKUP(Calculator!E23,tbSkills!DH3:DJ6,3,FALSE),0),0))&gt;=100,100,(Backdoors!AI12+IF(JO16&gt;=0.45,VLOOKUP(Calculator!E23,tbSkills!DH3:DI6,2,FALSE)+IF(AND(Calculator!B8=TRUE,Backdoors!BI42=TRUE),VLOOKUP(Calculator!E23,tbSkills!DH3:DJ6,3,FALSE),0),0)))/100)),1))*IF(VLOOKUP(A16,tbMoveset!A2:K112,11,FALSE)=TRUE,Backdoors!AC5,1))*JP16,0),"")</f>
        <v>0</v>
      </c>
      <c r="JT16" s="49">
        <f>VLOOKUP(A16,tbMoveset!A2:G112,7,FALSE)*IFERROR(IF(Backdoors!AI12&gt;=0,1+(IF(Calculator!E40&gt;0,VLOOKUP(Calculator!E40,tbSkills!AI3:AJ5,2,FALSE),Backdoors!AL4)*(IF((Backdoors!AI12+IF(JO16&gt;=0.45,VLOOKUP(Calculator!E23,tbSkills!DH3:DI6,2,FALSE)+IF(AND(Calculator!B8=TRUE,Backdoors!BI42=TRUE),VLOOKUP(Calculator!E23,tbSkills!DH3:DJ6,3,FALSE),0),0))&gt;=100,100,(Backdoors!AI12+IF(JO16&gt;=0.45,VLOOKUP(Calculator!E23,tbSkills!DH3:DI6,2,FALSE)+IF(AND(Calculator!B8=TRUE,Backdoors!BI42=TRUE),VLOOKUP(Calculator!E23,tbSkills!DH3:DJ6,3,FALSE),0),0)))/100)),1),1)</f>
        <v>0.5</v>
      </c>
      <c r="JU16" s="87">
        <f t="shared" si="31"/>
        <v>0</v>
      </c>
      <c r="JV16" s="86" t="str">
        <f>IFERROR(IF(VLOOKUP(A16,tbMoveset!A2:B112,2,FALSE)="Sever",Backdoors!AY43/100,IF(VLOOKUP(A16,tbMoveset!A2:B112,2,FALSE)="Blunt",Backdoors!AZ43/100,Backdoors!BA43/100)),"")</f>
        <v/>
      </c>
      <c r="JW16" s="49">
        <f>IFERROR(IF(VLOOKUP(tbMoveset!A16,tbMoveset!A2:H112,8,FALSE)="Other",IF(VLOOKUP(tbMoveset!A16,tbMoveset!A2:I112,9,FALSE)="Fire",Backdoors!BB43,IF(VLOOKUP(tbMoveset!A16,tbMoveset!A2:I112,9,FALSE)="Water",Backdoors!BC43,IF(VLOOKUP(tbMoveset!A16,tbMoveset!A2:I112,9,FALSE)="Thunder",Backdoors!BD43,IF(VLOOKUP(tbMoveset!A16,tbMoveset!A2:I112,9,FALSE)="Ice",Backdoors!BE43,IF(VLOOKUP(tbMoveset!A16,tbMoveset!A2:I112,9,FALSE)="Dragon",Backdoors!BF43,Backdoors!BG43)))))/100,Backdoors!BG43/100),"")</f>
        <v>0</v>
      </c>
      <c r="JX16" s="49">
        <f>IFERROR(IF(VLOOKUP(A16,tbMoveset!A2:J112,10,FALSE)=TRUE,IF((Backdoors!AI12+IF(JV16&gt;=0.45,VLOOKUP(Calculator!E23,tbSkills!DH3:DI6,2,FALSE)+IF(AND(Calculator!B8=TRUE,Backdoors!BI43=TRUE),VLOOKUP(Calculator!E23,tbSkills!DH3:DJ6,3,FALSE),0),0))&gt;=0,1+(Backdoors!AL2*(IF((Backdoors!AI12+IF(JV16&gt;=0.45,VLOOKUP(Calculator!E23,tbSkills!DH3:DI6,2,FALSE)+IF(AND(Calculator!B8=TRUE,Backdoors!BI43=TRUE),VLOOKUP(Calculator!E23,tbSkills!DH3:DJ6,3,FALSE),0),0))&gt;=100,100,(Backdoors!AI12+IF(JV16&gt;=0.45,VLOOKUP(Calculator!E23,tbSkills!DH3:DI6,2,FALSE)+IF(AND(Calculator!B8=TRUE,Backdoors!BI43=TRUE),VLOOKUP(Calculator!E23,tbSkills!DH3:DJ6,3,FALSE),0),0)))/100)),(1-(0.25*((-Backdoors!AI12-IF(JV16&gt;=0.45,VLOOKUP(Calculator!E23,tbSkills!DH3:DI6,2,FALSE)+IF(AND(Calculator!B8=TRUE,Backdoors!BI43=TRUE),VLOOKUP(Calculator!E23,tbSkills!DH3:DJ6,3,FALSE),0),0))/100)))),1),"")</f>
        <v>1</v>
      </c>
      <c r="JY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V16)*JX16)*(VLOOKUP(A16,tbMoveset!A2:C112,3,FALSE)/100)*IF(VLOOKUP(A16,tbMoveset!A2:B112,2,FALSE)="Projectile",Backdoors!N10,Backdoors!N9),0),"")</f>
        <v/>
      </c>
      <c r="JZ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46&gt;0,VLOOKUP(Calculator!E46,tbSkills!AC3:AD5,2,FALSE),Backdoors!AL3)*(IF((Backdoors!AI12+IF(JV16&gt;=0.45,VLOOKUP(Calculator!E23,tbSkills!DH3:DI6,2,FALSE)+IF(AND(Calculator!B8=TRUE,Backdoors!BI43=TRUE),VLOOKUP(Calculator!E23,tbSkills!DH3:DJ6,3,FALSE),0),0))&gt;=100,100,(Backdoors!AI12+IF(JV16&gt;=0.45,VLOOKUP(Calculator!E23,tbSkills!DH3:DI6,2,FALSE)+IF(AND(Calculator!B8=TRUE,Backdoors!BI43=TRUE),VLOOKUP(Calculator!E23,tbSkills!DH3:DJ6,3,FALSE),0),0)))/100)),1))*IF(VLOOKUP(A16,tbMoveset!A2:K112,11,FALSE)=TRUE,Backdoors!AC5,1))*JW16,0),"")</f>
        <v/>
      </c>
      <c r="KA16" s="49">
        <f>VLOOKUP(A16,tbMoveset!A2:G112,7,FALSE)*IFERROR(IF(Backdoors!AI12&gt;=0,1+(IF(Calculator!E40&gt;0,VLOOKUP(Calculator!E40,tbSkills!AI3:AJ5,2,FALSE),Backdoors!AL4)*(IF((Backdoors!AI12+IF(JV16&gt;=0.45,VLOOKUP(Calculator!E23,tbSkills!DH3:DI6,2,FALSE)+IF(AND(Calculator!B8=TRUE,Backdoors!BI43=TRUE),VLOOKUP(Calculator!E23,tbSkills!DH3:DJ6,3,FALSE),0),0))&gt;=100,100,(Backdoors!AI12+IF(JV16&gt;=0.45,VLOOKUP(Calculator!E23,tbSkills!DH3:DI6,2,FALSE)+IF(AND(Calculator!B8=TRUE,Backdoors!BI43=TRUE),VLOOKUP(Calculator!E23,tbSkills!DH3:DJ6,3,FALSE),0),0)))/100)),1),1)</f>
        <v>0.5</v>
      </c>
      <c r="KB16" s="87">
        <f t="shared" si="32"/>
        <v>0</v>
      </c>
      <c r="KC16" s="86" t="str">
        <f>IFERROR(IF(VLOOKUP(A16,tbMoveset!A2:B112,2,FALSE)="Sever",Backdoors!AY44/100,IF(VLOOKUP(A16,tbMoveset!A2:B112,2,FALSE)="Blunt",Backdoors!AZ44/100,Backdoors!BA44/100)),"")</f>
        <v/>
      </c>
      <c r="KD16" s="49">
        <f>IFERROR(IF(VLOOKUP(tbMoveset!A16,tbMoveset!A2:H112,8,FALSE)="Other",IF(VLOOKUP(tbMoveset!A16,tbMoveset!A2:I112,9,FALSE)="Fire",Backdoors!BB44,IF(VLOOKUP(tbMoveset!A16,tbMoveset!A2:I112,9,FALSE)="Water",Backdoors!BC44,IF(VLOOKUP(tbMoveset!A16,tbMoveset!A2:I112,9,FALSE)="Thunder",Backdoors!BD44,IF(VLOOKUP(tbMoveset!A16,tbMoveset!A2:I112,9,FALSE)="Ice",Backdoors!BE44,IF(VLOOKUP(tbMoveset!A16,tbMoveset!A2:I112,9,FALSE)="Dragon",Backdoors!BF44,Backdoors!BG44)))))/100,Backdoors!BG44/100),"")</f>
        <v>0</v>
      </c>
      <c r="KE16" s="49">
        <f>IFERROR(IF(VLOOKUP(A16,tbMoveset!A2:J112,10,FALSE)=TRUE,IF((Backdoors!AI12+IF(KC16&gt;=0.45,VLOOKUP(Calculator!E23,tbSkills!DH3:DI6,2,FALSE)+IF(AND(Calculator!B8=TRUE,Backdoors!BI44=TRUE),VLOOKUP(Calculator!E23,tbSkills!DH3:DJ6,3,FALSE),0),0))&gt;=0,1+(Backdoors!AL2*(IF((Backdoors!AI12+IF(KC16&gt;=0.45,VLOOKUP(Calculator!E23,tbSkills!DH3:DI6,2,FALSE)+IF(AND(Calculator!B8=TRUE,Backdoors!BI44=TRUE),VLOOKUP(Calculator!E23,tbSkills!DH3:DJ6,3,FALSE),0),0))&gt;=100,100,(Backdoors!AI12+IF(KC16&gt;=0.45,VLOOKUP(Calculator!E23,tbSkills!DH3:DI6,2,FALSE)+IF(AND(Calculator!B8=TRUE,Backdoors!BI44=TRUE),VLOOKUP(Calculator!E23,tbSkills!DH3:DJ6,3,FALSE),0),0)))/100)),(1-(0.25*((-Backdoors!AI12-IF(KC16&gt;=0.45,VLOOKUP(Calculator!E23,tbSkills!DH3:DI6,2,FALSE)+IF(AND(Calculator!B8=TRUE,Backdoors!BI44=TRUE),VLOOKUP(Calculator!E23,tbSkills!DH3:DJ6,3,FALSE),0),0))/100)))),1),"")</f>
        <v>1</v>
      </c>
      <c r="KF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KC16)*KE16)*(VLOOKUP(A16,tbMoveset!A2:C112,3,FALSE)/100)*IF(VLOOKUP(A16,tbMoveset!A2:B112,2,FALSE)="Projectile",Backdoors!N10,Backdoors!N9),0),"")</f>
        <v/>
      </c>
      <c r="KG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REF!&gt;0,VLOOKUP(Calculator!#REF!,tbSkills!AC3:AD5,2,FALSE),Backdoors!AL3)*(IF((Backdoors!AI12+IF(KC16&gt;=0.45,VLOOKUP(Calculator!E23,tbSkills!DH3:DI6,2,FALSE)+IF(AND(Calculator!B8=TRUE,Backdoors!BI44=TRUE),VLOOKUP(Calculator!E23,tbSkills!DH3:DJ6,3,FALSE),0),0))&gt;=100,100,(Backdoors!AI12+IF(KC16&gt;=0.45,VLOOKUP(Calculator!E23,tbSkills!DH3:DI6,2,FALSE)+IF(AND(Calculator!B8=TRUE,Backdoors!BI44=TRUE),VLOOKUP(Calculator!E23,tbSkills!DH3:DJ6,3,FALSE),0),0)))/100)),1))*IF(VLOOKUP(A16,tbMoveset!A2:K112,11,FALSE)=TRUE,Backdoors!AC5,1))*KD16,0),"")</f>
        <v/>
      </c>
      <c r="KH16" s="49">
        <f>VLOOKUP(A16,tbMoveset!A2:G112,7,FALSE)*IFERROR(IF(Backdoors!AI12&gt;=0,1+(IF(Calculator!E40&gt;0,VLOOKUP(Calculator!E40,tbSkills!AI3:AJ5,2,FALSE),Backdoors!AL4)*(IF((Backdoors!AI12+IF(KC16&gt;=0.45,VLOOKUP(Calculator!E23,tbSkills!DH3:DI6,2,FALSE)+IF(AND(Calculator!B8=TRUE,Backdoors!BI44=TRUE),VLOOKUP(Calculator!E23,tbSkills!DH3:DJ6,3,FALSE),0),0))&gt;=100,100,(Backdoors!AI12+IF(KC16&gt;=0.45,VLOOKUP(Calculator!E23,tbSkills!DH3:DI6,2,FALSE)+IF(AND(Calculator!B8=TRUE,Backdoors!BI44=TRUE),VLOOKUP(Calculator!E23,tbSkills!DH3:DJ6,3,FALSE),0),0)))/100)),1),1)</f>
        <v>0.5</v>
      </c>
      <c r="KI16" s="87">
        <f t="shared" si="33"/>
        <v>0</v>
      </c>
      <c r="KJ16" s="86" t="str">
        <f>IFERROR(IF(VLOOKUP(A16,tbMoveset!A2:B112,2,FALSE)="Sever",Backdoors!AY45/100,IF(VLOOKUP(A16,tbMoveset!A2:B112,2,FALSE)="Blunt",Backdoors!AZ45/100,Backdoors!BA45/100)),"")</f>
        <v/>
      </c>
      <c r="KK16" s="49">
        <f>IFERROR(IF(VLOOKUP(tbMoveset!A16,tbMoveset!A2:H112,8,FALSE)="Other",IF(VLOOKUP(tbMoveset!A16,tbMoveset!A2:I112,9,FALSE)="Fire",Backdoors!BB45,IF(VLOOKUP(tbMoveset!A16,tbMoveset!A2:I112,9,FALSE)="Water",Backdoors!BC45,IF(VLOOKUP(tbMoveset!A16,tbMoveset!A2:I112,9,FALSE)="Thunder",Backdoors!BD45,IF(VLOOKUP(tbMoveset!A16,tbMoveset!A2:I112,9,FALSE)="Ice",Backdoors!BE45,IF(VLOOKUP(tbMoveset!A16,tbMoveset!A2:I112,9,FALSE)="Dragon",Backdoors!BF45,Backdoors!BG45)))))/100,Backdoors!BG45/100),"")</f>
        <v>0</v>
      </c>
      <c r="KL16" s="49">
        <f>IFERROR(IF(VLOOKUP(A16,tbMoveset!A2:J112,10,FALSE)=TRUE,IF((Backdoors!AI12+IF(KJ16&gt;=0.45,VLOOKUP(Calculator!E23,tbSkills!DH3:DI6,2,FALSE)+IF(AND(Calculator!B8=TRUE,Backdoors!BI45=TRUE),VLOOKUP(Calculator!E23,tbSkills!DH3:DJ6,3,FALSE),0),0))&gt;=0,1+(Backdoors!AL2*(IF((Backdoors!AI12+IF(KJ16&gt;=0.45,VLOOKUP(Calculator!E23,tbSkills!DH3:DI6,2,FALSE)+IF(AND(Calculator!B8=TRUE,Backdoors!BI45=TRUE),VLOOKUP(Calculator!E23,tbSkills!DH3:DJ6,3,FALSE),0),0))&gt;=100,100,(Backdoors!AI12+IF(KJ16&gt;=0.45,VLOOKUP(Calculator!E23,tbSkills!DH3:DI6,2,FALSE)+IF(AND(Calculator!B8=TRUE,Backdoors!BI45=TRUE),VLOOKUP(Calculator!E23,tbSkills!DH3:DJ6,3,FALSE),0),0)))/100)),(1-(0.25*((-Backdoors!AI12-IF(KJ16&gt;=0.45,VLOOKUP(Calculator!E23,tbSkills!DH3:DI6,2,FALSE)+IF(AND(Calculator!B8=TRUE,Backdoors!BI45=TRUE),VLOOKUP(Calculator!E23,tbSkills!DH3:DJ6,3,FALSE),0),0))/100)))),1),"")</f>
        <v>1</v>
      </c>
      <c r="KM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KJ16)*KL16)*(VLOOKUP(A16,tbMoveset!A2:C112,3,FALSE)/100)*IF(VLOOKUP(A16,tbMoveset!A2:B112,2,FALSE)="Projectile",Backdoors!N10,Backdoors!N9),0),"")</f>
        <v/>
      </c>
      <c r="KN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REF!&gt;0,VLOOKUP(Calculator!#REF!,tbSkills!AC3:AD5,2,FALSE),Backdoors!AL3)*(IF((Backdoors!AI12+IF(KJ16&gt;=0.45,VLOOKUP(Calculator!E23,tbSkills!DH3:DI6,2,FALSE)+IF(AND(Calculator!B8=TRUE,Backdoors!BI45=TRUE),VLOOKUP(Calculator!E23,tbSkills!DH3:DJ6,3,FALSE),0),0))&gt;=100,100,(Backdoors!AI12+IF(KJ16&gt;=0.45,VLOOKUP(Calculator!E23,tbSkills!DH3:DI6,2,FALSE)+IF(AND(Calculator!B8=TRUE,Backdoors!BI45=TRUE),VLOOKUP(Calculator!E23,tbSkills!DH3:DJ6,3,FALSE),0),0)))/100)),1))*IF(VLOOKUP(A16,tbMoveset!A2:K112,11,FALSE)=TRUE,Backdoors!AC5,1))*KK16,0),"")</f>
        <v/>
      </c>
      <c r="KO16" s="49">
        <f>VLOOKUP(A16,tbMoveset!A2:G112,7,FALSE)*IFERROR(IF(Backdoors!AI12&gt;=0,1+(IF(Calculator!E40&gt;0,VLOOKUP(Calculator!E40,tbSkills!AI3:AJ5,2,FALSE),Backdoors!AL4)*(IF((Backdoors!AI12+IF(KJ16&gt;=0.45,VLOOKUP(Calculator!E23,tbSkills!DH3:DI6,2,FALSE)+IF(AND(Calculator!B8=TRUE,Backdoors!BI45=TRUE),VLOOKUP(Calculator!E23,tbSkills!DH3:DJ6,3,FALSE),0),0))&gt;=100,100,(Backdoors!AI12+IF(KJ16&gt;=0.45,VLOOKUP(Calculator!E23,tbSkills!DH3:DI6,2,FALSE)+IF(AND(Calculator!B8=TRUE,Backdoors!BI45=TRUE),VLOOKUP(Calculator!E23,tbSkills!DH3:DJ6,3,FALSE),0),0)))/100)),1),1)</f>
        <v>0.5</v>
      </c>
      <c r="KP16" s="87">
        <f t="shared" si="34"/>
        <v>0</v>
      </c>
      <c r="KQ16" s="86" t="str">
        <f>IFERROR(IF(VLOOKUP(A16,tbMoveset!A2:B112,2,FALSE)="Sever",Backdoors!AY46/100,IF(VLOOKUP(A16,tbMoveset!A2:B112,2,FALSE)="Blunt",Backdoors!AZ46/100,Backdoors!BA46/100)),"")</f>
        <v/>
      </c>
      <c r="KR16" s="49">
        <f>IFERROR(IF(VLOOKUP(tbMoveset!A16,tbMoveset!A2:H112,8,FALSE)="Other",IF(VLOOKUP(tbMoveset!A16,tbMoveset!A2:I112,9,FALSE)="Fire",Backdoors!BB46,IF(VLOOKUP(tbMoveset!A16,tbMoveset!A2:I112,9,FALSE)="Water",Backdoors!BC46,IF(VLOOKUP(tbMoveset!A16,tbMoveset!A2:I112,9,FALSE)="Thunder",Backdoors!BD46,IF(VLOOKUP(tbMoveset!A16,tbMoveset!A2:I112,9,FALSE)="Ice",Backdoors!BE46,IF(VLOOKUP(tbMoveset!A16,tbMoveset!A2:I112,9,FALSE)="Dragon",Backdoors!BF46,Backdoors!BG46)))))/100,Backdoors!BG46/100),"")</f>
        <v>0</v>
      </c>
      <c r="KS16" s="49">
        <f>IFERROR(IF(VLOOKUP(A16,tbMoveset!A2:J112,10,FALSE)=TRUE,IF((Backdoors!AI12+IF(KQ16&gt;=0.45,VLOOKUP(Calculator!E23,tbSkills!DH3:DI6,2,FALSE)+IF(AND(Calculator!B8=TRUE,Backdoors!BI46=TRUE),VLOOKUP(Calculator!E23,tbSkills!DH3:DJ6,3,FALSE),0),0))&gt;=0,1+(Backdoors!AL2*(IF((Backdoors!AI12+IF(KQ16&gt;=0.45,VLOOKUP(Calculator!E23,tbSkills!DH3:DI6,2,FALSE)+IF(AND(Calculator!B8=TRUE,Backdoors!BI46=TRUE),VLOOKUP(Calculator!E23,tbSkills!DH3:DJ6,3,FALSE),0),0))&gt;=100,100,(Backdoors!AI12+IF(KQ16&gt;=0.45,VLOOKUP(Calculator!E23,tbSkills!DH3:DI6,2,FALSE)+IF(AND(Calculator!B8=TRUE,Backdoors!BI46=TRUE),VLOOKUP(Calculator!E23,tbSkills!DH3:DJ6,3,FALSE),0),0)))/100)),(1-(0.25*((-Backdoors!AI12-IF(KQ16&gt;=0.45,VLOOKUP(Calculator!E23,tbSkills!DH3:DI6,2,FALSE)+IF(AND(Calculator!B8=TRUE,Backdoors!BI46=TRUE),VLOOKUP(Calculator!E23,tbSkills!DH3:DJ6,3,FALSE),0),0))/100)))),1),"")</f>
        <v>1</v>
      </c>
      <c r="KT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KQ16)*KS16)*(VLOOKUP(A16,tbMoveset!A2:C112,3,FALSE)/100)*IF(VLOOKUP(A16,tbMoveset!A2:B112,2,FALSE)="Projectile",Backdoors!N10,Backdoors!N9),0),"")</f>
        <v/>
      </c>
      <c r="KU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REF!&gt;0,VLOOKUP(Calculator!#REF!,tbSkills!AC3:AD5,2,FALSE),Backdoors!AL3)*(IF((Backdoors!AI12+IF(KQ16&gt;=0.45,VLOOKUP(Calculator!E23,tbSkills!DH3:DI6,2,FALSE)+IF(AND(Calculator!B8=TRUE,Backdoors!BI46=TRUE),VLOOKUP(Calculator!E23,tbSkills!DH3:DJ6,3,FALSE),0),0))&gt;=100,100,(Backdoors!AI12+IF(KQ16&gt;=0.45,VLOOKUP(Calculator!E23,tbSkills!DH3:DI6,2,FALSE)+IF(AND(Calculator!B8=TRUE,Backdoors!BI46=TRUE),VLOOKUP(Calculator!E23,tbSkills!DH3:DJ6,3,FALSE),0),0)))/100)),1))*IF(VLOOKUP(A16,tbMoveset!A2:K112,11,FALSE)=TRUE,Backdoors!AC5,1))*KR16,0),"")</f>
        <v/>
      </c>
      <c r="KV16" s="49">
        <f>VLOOKUP(A16,tbMoveset!A2:G112,7,FALSE)*IFERROR(IF(Backdoors!AI12&gt;=0,1+(IF(Calculator!E40&gt;0,VLOOKUP(Calculator!E40,tbSkills!AI3:AJ5,2,FALSE),Backdoors!AL4)*(IF((Backdoors!AI12+IF(KQ16&gt;=0.45,VLOOKUP(Calculator!E23,tbSkills!DH3:DI6,2,FALSE)+IF(AND(Calculator!B8=TRUE,Backdoors!BI46=TRUE),VLOOKUP(Calculator!E23,tbSkills!DH3:DJ6,3,FALSE),0),0))&gt;=100,100,(Backdoors!AI12+IF(KQ16&gt;=0.45,VLOOKUP(Calculator!E23,tbSkills!DH3:DI6,2,FALSE)+IF(AND(Calculator!B8=TRUE,Backdoors!BI46=TRUE),VLOOKUP(Calculator!E23,tbSkills!DH3:DJ6,3,FALSE),0),0)))/100)),1),1)</f>
        <v>0.5</v>
      </c>
      <c r="KW16" s="87">
        <f t="shared" si="35"/>
        <v>0</v>
      </c>
    </row>
    <row r="17" spans="1:309" x14ac:dyDescent="0.25">
      <c r="A17" s="95" t="str">
        <f>tbMoveset!A17</f>
        <v>Left Roundslash (L1)</v>
      </c>
      <c r="B17" s="86">
        <f>IFERROR(IF(VLOOKUP(A17,tbMoveset!A2:B112,2,FALSE)="Sever",Backdoors!AY3/100,IF(VLOOKUP(A17,tbMoveset!A2:B112,2,FALSE)="Blunt",Backdoors!AZ3/100,Backdoors!BA3/100)),"")</f>
        <v>0.8</v>
      </c>
      <c r="C17" s="49">
        <f>IFERROR(IF(VLOOKUP(tbMoveset!A17,tbMoveset!A2:H112,8,FALSE)="Other",IF(VLOOKUP(tbMoveset!A17,tbMoveset!A2:I112,9,FALSE)="Fire",Backdoors!BB3,IF(VLOOKUP(tbMoveset!A17,tbMoveset!A2:I112,9,FALSE)="Water",Backdoors!BC3,IF(VLOOKUP(tbMoveset!A17,tbMoveset!A2:I112,9,FALSE)="Thunder",Backdoors!BD3,IF(VLOOKUP(tbMoveset!A17,tbMoveset!A2:I112,9,FALSE)="Ice",Backdoors!BE3,IF(VLOOKUP(tbMoveset!A17,tbMoveset!A2:I112,9,FALSE)="Dragon",Backdoors!BF3,Backdoors!BG3)))))/100,Backdoors!BG3/100),"")</f>
        <v>0</v>
      </c>
      <c r="D17" s="49">
        <f>IFERROR(IF(VLOOKUP(A17,tbMoveset!A2:J112,10,FALSE)=TRUE,IF((Backdoors!AI12+IF(B17&gt;=0.45,VLOOKUP(Calculator!E23,tbSkills!DH3:DI6,2,FALSE)+IF(AND(Calculator!B8=TRUE,Backdoors!BI3=TRUE),VLOOKUP(Calculator!E23,tbSkills!DH3:DJ6,3,FALSE),0),0))&gt;=0,1+(Backdoors!AL2*(IF((Backdoors!AI12+IF(B17&gt;=0.45,VLOOKUP(Calculator!E23,tbSkills!DH3:DI6,2,FALSE)+IF(AND(Calculator!B8=TRUE,Backdoors!BI3=TRUE),VLOOKUP(Calculator!E23,tbSkills!DH3:DJ6,3,FALSE),0),0))&gt;=100,100,(Backdoors!AI12+IF(B17&gt;=0.45,VLOOKUP(Calculator!E23,tbSkills!DH3:DI6,2,FALSE)+IF(AND(Calculator!B8=TRUE,Backdoors!BI3=TRUE),VLOOKUP(Calculator!E23,tbSkills!DH3:DJ6,3,FALSE),0),0)))/100)),(1-(0.25*((-Backdoors!AI12-IF(B17&gt;=0.45,VLOOKUP(Calculator!E23,tbSkills!DH3:DI6,2,FALSE)+IF(AND(Calculator!B8=TRUE,Backdoors!BI3=TRUE),VLOOKUP(Calculator!E23,tbSkills!DH3:DJ6,3,FALSE),0),0))/100)))),1),"")</f>
        <v>1</v>
      </c>
      <c r="E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17)*D17)*(VLOOKUP(A17,tbMoveset!A2:C112,3,FALSE)/100)*IF(VLOOKUP(A17,tbMoveset!A2:B112,2,FALSE)="Projectile",Backdoors!N10,Backdoors!N9),0),"")</f>
        <v>10</v>
      </c>
      <c r="F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17&gt;=0.45,VLOOKUP(Calculator!E23,tbSkills!DH3:DI6,2,FALSE)+IF(AND(Calculator!B8=TRUE,Backdoors!BI3=TRUE),VLOOKUP(Calculator!E23,tbSkills!DH3:DJ6,3,FALSE),0),0))&gt;=100,100,(Backdoors!AI12+IF(B17&gt;=0.45,VLOOKUP(Calculator!E23,tbSkills!DH3:DI6,2,FALSE)+IF(AND(Calculator!B8=TRUE,Backdoors!BI3=TRUE),VLOOKUP(Calculator!E23,tbSkills!DH3:DJ6,3,FALSE),0),0)))/100)),1))*IF(VLOOKUP(A17,tbMoveset!A2:K112,11,FALSE)=TRUE,Backdoors!AC5,1))*C17,0),"")</f>
        <v>0</v>
      </c>
      <c r="G17">
        <f>VLOOKUP(A17,tbMoveset!A2:G112,7,FALSE)*IFERROR(IF(Backdoors!AI12&gt;=0,1+(IF(Calculator!E40&gt;0,VLOOKUP(Calculator!E40,tbSkills!AI3:AJ5,2,FALSE),Backdoors!AL4)*(IF((Backdoors!AI12+IF(B17&gt;=0.45,VLOOKUP(Calculator!E23,tbSkills!DH3:DI6,2,FALSE)+IF(AND(Calculator!B8=TRUE,Backdoors!BI3=TRUE),VLOOKUP(Calculator!E23,tbSkills!DH3:DJ6,3,FALSE),0),0))&gt;=100,100,(Backdoors!AI12+IF(B17&gt;=0.45,VLOOKUP(Calculator!E23,tbSkills!DH3:DI6,2,FALSE)+IF(AND(Calculator!B8=TRUE,Backdoors!BI3=TRUE),VLOOKUP(Calculator!E23,tbSkills!DH3:DJ6,3,FALSE),0),0)))/100)),1),1)</f>
        <v>0.5</v>
      </c>
      <c r="H17" s="87">
        <f t="shared" si="43"/>
        <v>10</v>
      </c>
      <c r="I17" s="86">
        <f>IFERROR(IF(VLOOKUP(A17,tbMoveset!A2:B112,2,FALSE)="Sever",Backdoors!AY4/100,IF(VLOOKUP(A17,tbMoveset!A2:B112,2,FALSE)="Blunt",Backdoors!AZ4/100,Backdoors!BA4/100)),"")</f>
        <v>0.65</v>
      </c>
      <c r="J17" s="49">
        <f>IFERROR(IF(VLOOKUP(tbMoveset!A17,tbMoveset!A2:H112,8,FALSE)="Other",IF(VLOOKUP(tbMoveset!A17,tbMoveset!A2:I112,9,FALSE)="Fire",Backdoors!BB4,IF(VLOOKUP(tbMoveset!A17,tbMoveset!A2:I112,9,FALSE)="Water",Backdoors!BC4,IF(VLOOKUP(tbMoveset!A17,tbMoveset!A2:I112,9,FALSE)="Thunder",Backdoors!BD4,IF(VLOOKUP(tbMoveset!A17,tbMoveset!A2:I112,9,FALSE)="Ice",Backdoors!BE4,IF(VLOOKUP(tbMoveset!A17,tbMoveset!A2:I112,9,FALSE)="Dragon",Backdoors!BF4,Backdoors!BG4)))))/100,Backdoors!BG4/100),"")</f>
        <v>0</v>
      </c>
      <c r="K17" s="49">
        <f>IFERROR(IF(VLOOKUP(A17,tbMoveset!A2:J112,10,FALSE)=TRUE,IF((Backdoors!AI12+IF(I17&gt;=0.45,VLOOKUP(Calculator!E23,tbSkills!DH3:DI6,2,FALSE)+IF(AND(Calculator!B8=TRUE,Backdoors!BI4=TRUE),VLOOKUP(Calculator!E23,tbSkills!DH3:DJ6,3,FALSE),0),0))&gt;=0,1+(Backdoors!AL2*(IF((Backdoors!AI12+IF(I17&gt;=0.45,VLOOKUP(Calculator!E23,tbSkills!DH3:DI6,2,FALSE)+IF(AND(Calculator!B8=TRUE,Backdoors!BI4=TRUE),VLOOKUP(Calculator!E23,tbSkills!DH3:DJ6,3,FALSE),0),0))&gt;=100,100,(Backdoors!AI12+IF(I17&gt;=0.45,VLOOKUP(Calculator!E23,tbSkills!DH3:DI6,2,FALSE)+IF(AND(Calculator!B8=TRUE,Backdoors!BI4=TRUE),VLOOKUP(Calculator!E23,tbSkills!DH3:DJ6,3,FALSE),0),0)))/100)),(1-(0.25*((-Backdoors!AI12-IF(I17&gt;=0.45,VLOOKUP(Calculator!E23,tbSkills!DH3:DI6,2,FALSE)+IF(AND(Calculator!B8=TRUE,Backdoors!BI4=TRUE),VLOOKUP(Calculator!E23,tbSkills!DH3:DJ6,3,FALSE),0),0))/100)))),1),"")</f>
        <v>1</v>
      </c>
      <c r="L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17)*K17)*(VLOOKUP(A17,tbMoveset!A2:C112,3,FALSE)/100)*IF(VLOOKUP(A17,tbMoveset!A2:B112,2,FALSE)="Projectile",Backdoors!N10,Backdoors!N9),0),"")</f>
        <v>8</v>
      </c>
      <c r="M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I17&gt;=0.45,VLOOKUP(Calculator!E23,tbSkills!DH3:DI6,2,FALSE)+IF(AND(Calculator!B8=TRUE,Backdoors!BI4=TRUE),VLOOKUP(Calculator!E23,tbSkills!DH3:DJ6,3,FALSE),0),0))&gt;=100,100,(Backdoors!AI12+IF(I17&gt;=0.45,VLOOKUP(Calculator!E23,tbSkills!DH3:DI6,2,FALSE)+IF(AND(Calculator!B8=TRUE,Backdoors!BI4=TRUE),VLOOKUP(Calculator!E23,tbSkills!DH3:DJ6,3,FALSE),0),0)))/100)),1))*IF(VLOOKUP(A17,tbMoveset!A2:K112,11,FALSE)=TRUE,Backdoors!AC5,1))*J17,0),"")</f>
        <v>0</v>
      </c>
      <c r="N17" s="49">
        <f>VLOOKUP(A17,tbMoveset!A2:G112,7,FALSE)*IFERROR(IF(Backdoors!AI12&gt;=0,1+(IF(Calculator!E40&gt;0,VLOOKUP(Calculator!E40,tbSkills!AI3:AJ5,2,FALSE),Backdoors!AL4)*(IF((Backdoors!AI12+IF(I17&gt;=0.45,VLOOKUP(Calculator!E23,tbSkills!DH3:DI6,2,FALSE)+IF(AND(Calculator!B8=TRUE,Backdoors!BI4=TRUE),VLOOKUP(Calculator!E23,tbSkills!DH3:DJ6,3,FALSE),0),0))&gt;=100,100,(Backdoors!AI12+IF(I17&gt;=0.45,VLOOKUP(Calculator!E23,tbSkills!DH3:DI6,2,FALSE)+IF(AND(Calculator!B8=TRUE,Backdoors!BI4=TRUE),VLOOKUP(Calculator!E23,tbSkills!DH3:DJ6,3,FALSE),0),0)))/100)),1),1)</f>
        <v>0.5</v>
      </c>
      <c r="O17" s="87">
        <f t="shared" si="36"/>
        <v>8</v>
      </c>
      <c r="P17" s="86">
        <f>IFERROR(IF(VLOOKUP(A17,tbMoveset!A2:B112,2,FALSE)="Sever",Backdoors!AY5/100,IF(VLOOKUP(A17,tbMoveset!A2:B112,2,FALSE)="Blunt",Backdoors!AZ5/100,Backdoors!BA5/100)),"")</f>
        <v>0.5</v>
      </c>
      <c r="Q17" s="49">
        <f>IFERROR(IF(VLOOKUP(tbMoveset!A17,tbMoveset!A2:H112,8,FALSE)="Other",IF(VLOOKUP(tbMoveset!A17,tbMoveset!A2:I112,9,FALSE)="Fire",Backdoors!BB5,IF(VLOOKUP(tbMoveset!A17,tbMoveset!A2:I112,9,FALSE)="Water",Backdoors!BC5,IF(VLOOKUP(tbMoveset!A17,tbMoveset!A2:I112,9,FALSE)="Thunder",Backdoors!BD5,IF(VLOOKUP(tbMoveset!A17,tbMoveset!A2:I112,9,FALSE)="Ice",Backdoors!BE5,IF(VLOOKUP(tbMoveset!A17,tbMoveset!A2:I112,9,FALSE)="Dragon",Backdoors!BF5,Backdoors!BG5)))))/100,Backdoors!BG5/100),"")</f>
        <v>0</v>
      </c>
      <c r="R17" s="49">
        <f>IFERROR(IF(VLOOKUP(A17,tbMoveset!A2:J112,10,FALSE)=TRUE,IF((Backdoors!AI12+IF(P17&gt;=0.45,VLOOKUP(Calculator!E23,tbSkills!DH3:DI6,2,FALSE)+IF(AND(Calculator!B8=TRUE,Backdoors!BI5=TRUE),VLOOKUP(Calculator!E23,tbSkills!DH3:DJ6,3,FALSE),0),0))&gt;=0,1+(Backdoors!AL2*(IF((Backdoors!AI12+IF(P17&gt;=0.45,VLOOKUP(Calculator!E23,tbSkills!DH3:DI6,2,FALSE)+IF(AND(Calculator!B8=TRUE,Backdoors!BI5=TRUE),VLOOKUP(Calculator!E23,tbSkills!DH3:DJ6,3,FALSE),0),0))&gt;=100,100,(Backdoors!AI12+IF(P17&gt;=0.45,VLOOKUP(Calculator!E23,tbSkills!DH3:DI6,2,FALSE)+IF(AND(Calculator!B8=TRUE,Backdoors!BI5=TRUE),VLOOKUP(Calculator!E23,tbSkills!DH3:DJ6,3,FALSE),0),0)))/100)),(1-(0.25*((-Backdoors!AI12-IF(P17&gt;=0.45,VLOOKUP(Calculator!E23,tbSkills!DH3:DI6,2,FALSE)+IF(AND(Calculator!B8=TRUE,Backdoors!BI5=TRUE),VLOOKUP(Calculator!E23,tbSkills!DH3:DJ6,3,FALSE),0),0))/100)))),1),"")</f>
        <v>1</v>
      </c>
      <c r="S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P17)*R17)*(VLOOKUP(A17,tbMoveset!A2:C112,3,FALSE)/100)*IF(VLOOKUP(A17,tbMoveset!A2:B112,2,FALSE)="Projectile",Backdoors!N10,Backdoors!N9),0),"")</f>
        <v>6</v>
      </c>
      <c r="T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P17&gt;=0.45,VLOOKUP(Calculator!E23,tbSkills!DH3:DI6,2,FALSE)+IF(AND(Calculator!B8=TRUE,Backdoors!BI5=TRUE),VLOOKUP(Calculator!E23,tbSkills!DH3:DJ6,3,FALSE),0),0))&gt;=100,100,(Backdoors!AI12+IF(P17&gt;=0.45,VLOOKUP(Calculator!E23,tbSkills!DH3:DI6,2,FALSE)+IF(AND(Calculator!B8=TRUE,Backdoors!BI5=TRUE),VLOOKUP(Calculator!E23,tbSkills!DH3:DJ6,3,FALSE),0),0)))/100)),1))*IF(VLOOKUP(A17,tbMoveset!A2:K112,11,FALSE)=TRUE,Backdoors!AC5,1))*Q17,0),"")</f>
        <v>0</v>
      </c>
      <c r="U17" s="49">
        <f>VLOOKUP(A17,tbMoveset!A2:G112,7,FALSE)*IFERROR(IF(Backdoors!AI12&gt;=0,1+(IF(Calculator!E40&gt;0,VLOOKUP(Calculator!E40,tbSkills!AI3:AJ5,2,FALSE),Backdoors!AL4)*(IF((Backdoors!AI12+IF(P17&gt;=0.45,VLOOKUP(Calculator!E23,tbSkills!DH3:DI6,2,FALSE)+IF(AND(Calculator!B8=TRUE,Backdoors!BI5=TRUE),VLOOKUP(Calculator!E23,tbSkills!DH3:DJ6,3,FALSE),0),0))&gt;=100,100,(Backdoors!AI12+IF(P17&gt;=0.45,VLOOKUP(Calculator!E23,tbSkills!DH3:DI6,2,FALSE)+IF(AND(Calculator!B8=TRUE,Backdoors!BI5=TRUE),VLOOKUP(Calculator!E23,tbSkills!DH3:DJ6,3,FALSE),0),0)))/100)),1),1)</f>
        <v>0.5</v>
      </c>
      <c r="V17" s="87">
        <f t="shared" si="37"/>
        <v>6</v>
      </c>
      <c r="W17" s="86">
        <f>IFERROR(IF(VLOOKUP(A17,tbMoveset!A2:B112,2,FALSE)="Sever",Backdoors!AY6/100,IF(VLOOKUP(A17,tbMoveset!A2:B112,2,FALSE)="Blunt",Backdoors!AZ6/100,Backdoors!BA6/100)),"")</f>
        <v>0.45</v>
      </c>
      <c r="X17" s="49">
        <f>IFERROR(IF(VLOOKUP(tbMoveset!A17,tbMoveset!A2:H112,8,FALSE)="Other",IF(VLOOKUP(tbMoveset!A17,tbMoveset!A2:I112,9,FALSE)="Fire",Backdoors!BB6,IF(VLOOKUP(tbMoveset!A17,tbMoveset!A2:I112,9,FALSE)="Water",Backdoors!BC6,IF(VLOOKUP(tbMoveset!A17,tbMoveset!A2:I112,9,FALSE)="Thunder",Backdoors!BD6,IF(VLOOKUP(tbMoveset!A17,tbMoveset!A2:I112,9,FALSE)="Ice",Backdoors!BE6,IF(VLOOKUP(tbMoveset!A17,tbMoveset!A2:I112,9,FALSE)="Dragon",Backdoors!BF6,Backdoors!BG6)))))/100,Backdoors!BG6/100),"")</f>
        <v>0</v>
      </c>
      <c r="Y17" s="49">
        <f>IFERROR(IF(VLOOKUP(A17,tbMoveset!A2:J112,10,FALSE)=TRUE,IF((Backdoors!AI12+IF(W17&gt;=0.45,VLOOKUP(Calculator!E23,tbSkills!DH3:DI6,2,FALSE)+IF(AND(Calculator!B8=TRUE,Backdoors!BI6=TRUE),VLOOKUP(Calculator!E23,tbSkills!DH3:DJ6,3,FALSE),0),0))&gt;=0,1+(Backdoors!AL2*(IF((Backdoors!AI12+IF(W17&gt;=0.45,VLOOKUP(Calculator!E23,tbSkills!DH3:DI6,2,FALSE)+IF(AND(Calculator!B8=TRUE,Backdoors!BI6=TRUE),VLOOKUP(Calculator!E23,tbSkills!DH3:DJ6,3,FALSE),0),0))&gt;=100,100,(Backdoors!AI12+IF(W17&gt;=0.45,VLOOKUP(Calculator!E23,tbSkills!DH3:DI6,2,FALSE)+IF(AND(Calculator!B8=TRUE,Backdoors!BI6=TRUE),VLOOKUP(Calculator!E23,tbSkills!DH3:DJ6,3,FALSE),0),0)))/100)),(1-(0.25*((-Backdoors!AI12-IF(W17&gt;=0.45,VLOOKUP(Calculator!E23,tbSkills!DH3:DI6,2,FALSE)+IF(AND(Calculator!B8=TRUE,Backdoors!BI6=TRUE),VLOOKUP(Calculator!E23,tbSkills!DH3:DJ6,3,FALSE),0),0))/100)))),1),"")</f>
        <v>1</v>
      </c>
      <c r="Z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W17)*Y17)*(VLOOKUP(A17,tbMoveset!A2:C112,3,FALSE)/100)*IF(VLOOKUP(A17,tbMoveset!A2:B112,2,FALSE)="Projectile",Backdoors!N10,Backdoors!N9),0),"")</f>
        <v>6</v>
      </c>
      <c r="AA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W17&gt;=0.45,VLOOKUP(Calculator!E23,tbSkills!DH3:DI6,2,FALSE)+IF(AND(Calculator!B8=TRUE,Backdoors!BI6=TRUE),VLOOKUP(Calculator!E23,tbSkills!DH3:DJ6,3,FALSE),0),0))&gt;=100,100,(Backdoors!AI12+IF(W17&gt;=0.45,VLOOKUP(Calculator!E23,tbSkills!DH3:DI6,2,FALSE)+IF(AND(Calculator!B8=TRUE,Backdoors!BI6=TRUE),VLOOKUP(Calculator!E23,tbSkills!DH3:DJ6,3,FALSE),0),0)))/100)),1))*IF(VLOOKUP(A17,tbMoveset!A2:K112,11,FALSE)=TRUE,Backdoors!AC5,1))*X17,0),"")</f>
        <v>0</v>
      </c>
      <c r="AB17" s="49">
        <f>VLOOKUP(A17,tbMoveset!A2:G112,7,FALSE)*IFERROR(IF(Backdoors!AI12&gt;=0,1+(IF(Calculator!E40&gt;0,VLOOKUP(Calculator!E40,tbSkills!AI3:AJ5,2,FALSE),Backdoors!AL4)*(IF((Backdoors!AI12+IF(W17&gt;=0.45,VLOOKUP(Calculator!E23,tbSkills!DH3:DI6,2,FALSE)+IF(AND(Calculator!B8=TRUE,Backdoors!BI6=TRUE),VLOOKUP(Calculator!E23,tbSkills!DH3:DJ6,3,FALSE),0),0))&gt;=100,100,(Backdoors!AI12+IF(W17&gt;=0.45,VLOOKUP(Calculator!E23,tbSkills!DH3:DI6,2,FALSE)+IF(AND(Calculator!B8=TRUE,Backdoors!BI6=TRUE),VLOOKUP(Calculator!E23,tbSkills!DH3:DJ6,3,FALSE),0),0)))/100)),1),1)</f>
        <v>0.5</v>
      </c>
      <c r="AC17" s="87">
        <f t="shared" si="0"/>
        <v>6</v>
      </c>
      <c r="AD17" s="86">
        <f>IFERROR(IF(VLOOKUP(A17,tbMoveset!A2:B112,2,FALSE)="Sever",Backdoors!AY7/100,IF(VLOOKUP(A17,tbMoveset!A2:B112,2,FALSE)="Blunt",Backdoors!AZ7/100,Backdoors!BA7/100)),"")</f>
        <v>0.65</v>
      </c>
      <c r="AE17" s="49">
        <f>IFERROR(IF(VLOOKUP(tbMoveset!A17,tbMoveset!A2:H112,8,FALSE)="Other",IF(VLOOKUP(tbMoveset!A17,tbMoveset!A2:I112,9,FALSE)="Fire",Backdoors!BB7,IF(VLOOKUP(tbMoveset!A17,tbMoveset!A2:I112,9,FALSE)="Water",Backdoors!BC7,IF(VLOOKUP(tbMoveset!A17,tbMoveset!A2:I112,9,FALSE)="Thunder",Backdoors!BD7,IF(VLOOKUP(tbMoveset!A17,tbMoveset!A2:I112,9,FALSE)="Ice",Backdoors!BE7,IF(VLOOKUP(tbMoveset!A17,tbMoveset!A2:I112,9,FALSE)="Dragon",Backdoors!BF7,Backdoors!BG7)))))/100,Backdoors!BG7/100),"")</f>
        <v>0</v>
      </c>
      <c r="AF17" s="49">
        <f>IFERROR(IF(VLOOKUP(A17,tbMoveset!A2:J112,10,FALSE)=TRUE,IF((Backdoors!AI12+IF(AD17&gt;=0.45,VLOOKUP(Calculator!E23,tbSkills!DH3:DI6,2,FALSE)+IF(AND(Calculator!B8=TRUE,Backdoors!BI7=TRUE),VLOOKUP(Calculator!E23,tbSkills!DH3:DJ6,3,FALSE),0),0))&gt;=0,1+(Backdoors!AL2*(IF((Backdoors!AI12+IF(AD17&gt;=0.45,VLOOKUP(Calculator!E23,tbSkills!DH3:DI6,2,FALSE)+IF(AND(Calculator!B8=TRUE,Backdoors!BI7=TRUE),VLOOKUP(Calculator!E23,tbSkills!DH3:DJ6,3,FALSE),0),0))&gt;=100,100,(Backdoors!AI12+IF(AD17&gt;=0.45,VLOOKUP(Calculator!E23,tbSkills!DH3:DI6,2,FALSE)+IF(AND(Calculator!B8=TRUE,Backdoors!BI7=TRUE),VLOOKUP(Calculator!E23,tbSkills!DH3:DJ6,3,FALSE),0),0)))/100)),(1-(0.25*((-Backdoors!AI12-IF(AD17&gt;=0.45,VLOOKUP(Calculator!E23,tbSkills!DH3:DI6,2,FALSE)+IF(AND(Calculator!B8=TRUE,Backdoors!BI7=TRUE),VLOOKUP(Calculator!E23,tbSkills!DH3:DJ6,3,FALSE),0),0))/100)))),1),"")</f>
        <v>1</v>
      </c>
      <c r="AG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D17)*AF17)*(VLOOKUP(A17,tbMoveset!A2:C112,3,FALSE)/100)*IF(VLOOKUP(A17,tbMoveset!A2:B112,2,FALSE)="Projectile",Backdoors!N10,Backdoors!N9),0),"")</f>
        <v>8</v>
      </c>
      <c r="AH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D17&gt;=0.45,VLOOKUP(Calculator!E23,tbSkills!DH3:DI6,2,FALSE)+IF(AND(Calculator!B8=TRUE,Backdoors!BI7=TRUE),VLOOKUP(Calculator!E23,tbSkills!DH3:DJ6,3,FALSE),0),0))&gt;=100,100,(Backdoors!AI12+IF(AD17&gt;=0.45,VLOOKUP(Calculator!E23,tbSkills!DH3:DI6,2,FALSE)+IF(AND(Calculator!B8=TRUE,Backdoors!BI7=TRUE),VLOOKUP(Calculator!E23,tbSkills!DH3:DJ6,3,FALSE),0),0)))/100)),1))*IF(VLOOKUP(A17,tbMoveset!A2:K112,11,FALSE)=TRUE,Backdoors!AC5,1))*AE17,0),"")</f>
        <v>0</v>
      </c>
      <c r="AI17" s="49">
        <f>VLOOKUP(A17,tbMoveset!A2:G112,7,FALSE)*IFERROR(IF(Backdoors!AI12&gt;=0,1+(IF(Calculator!E40&gt;0,VLOOKUP(Calculator!E40,tbSkills!AI3:AJ5,2,FALSE),Backdoors!AL4)*(IF((Backdoors!AI12+IF(AD17&gt;=0.45,VLOOKUP(Calculator!E23,tbSkills!DH3:DI6,2,FALSE)+IF(AND(Calculator!B8=TRUE,Backdoors!BI7=TRUE),VLOOKUP(Calculator!E23,tbSkills!DH3:DJ6,3,FALSE),0),0))&gt;=100,100,(Backdoors!AI12+IF(AD17&gt;=0.45,VLOOKUP(Calculator!E23,tbSkills!DH3:DI6,2,FALSE)+IF(AND(Calculator!B8=TRUE,Backdoors!BI7=TRUE),VLOOKUP(Calculator!E23,tbSkills!DH3:DJ6,3,FALSE),0),0)))/100)),1),1)</f>
        <v>0.5</v>
      </c>
      <c r="AJ17" s="87">
        <f t="shared" si="1"/>
        <v>8</v>
      </c>
      <c r="AK17" s="91">
        <f>IFERROR(IF(VLOOKUP(A17,tbMoveset!A2:B112,2,FALSE)="Sever",Backdoors!AY8/100,IF(VLOOKUP(A17,tbMoveset!A2:B112,2,FALSE)="Blunt",Backdoors!AZ8/100,Backdoors!BA8/100)),"")</f>
        <v>0.45</v>
      </c>
      <c r="AL17" s="49">
        <f>IFERROR(IF(VLOOKUP(tbMoveset!A17,tbMoveset!A2:H112,8,FALSE)="Other",IF(VLOOKUP(tbMoveset!A17,tbMoveset!A2:I112,9,FALSE)="Fire",Backdoors!BB8,IF(VLOOKUP(tbMoveset!A17,tbMoveset!A2:I112,9,FALSE)="Water",Backdoors!BC8,IF(VLOOKUP(tbMoveset!A17,tbMoveset!A2:I112,9,FALSE)="Thunder",Backdoors!BD8,IF(VLOOKUP(tbMoveset!A17,tbMoveset!A2:I112,9,FALSE)="Ice",Backdoors!BE8,IF(VLOOKUP(tbMoveset!A17,tbMoveset!A2:I112,9,FALSE)="Dragon",Backdoors!BF8,Backdoors!BG8)))))/100,Backdoors!BG8/100),"")</f>
        <v>0</v>
      </c>
      <c r="AM17" s="49">
        <f>IFERROR(IF(VLOOKUP(A17,tbMoveset!A2:J112,10,FALSE)=TRUE,IF((Backdoors!AI12+IF(AK17&gt;=0.45,VLOOKUP(Calculator!E23,tbSkills!DH3:DI6,2,FALSE)+IF(AND(Calculator!B8=TRUE,Backdoors!BI8=TRUE),VLOOKUP(Calculator!E23,tbSkills!DH3:DJ6,3,FALSE),0),0))&gt;=0,1+(Backdoors!AL2*(IF((Backdoors!AI12+IF(AK17&gt;=0.45,VLOOKUP(Calculator!E23,tbSkills!DH3:DI6,2,FALSE)+IF(AND(Calculator!B8=TRUE,Backdoors!BI8=TRUE),VLOOKUP(Calculator!E23,tbSkills!DH3:DJ6,3,FALSE),0),0))&gt;=100,100,(Backdoors!AI12+IF(AK17&gt;=0.45,VLOOKUP(Calculator!E23,tbSkills!DH3:DI6,2,FALSE)+IF(AND(Calculator!B8=TRUE,Backdoors!BI8=TRUE),VLOOKUP(Calculator!E23,tbSkills!DH3:DJ6,3,FALSE),0),0)))/100)),(1-(0.25*((-Backdoors!AI12-IF(AK17&gt;=0.45,VLOOKUP(Calculator!E23,tbSkills!DH3:DI6,2,FALSE)+IF(AND(Calculator!B8=TRUE,Backdoors!BI8=TRUE),VLOOKUP(Calculator!E23,tbSkills!DH3:DJ6,3,FALSE),0),0))/100)))),1),"")</f>
        <v>1</v>
      </c>
      <c r="AN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K17)*AM17)*(VLOOKUP(A17,tbMoveset!A2:C112,3,FALSE)/100)*IF(VLOOKUP(A17,tbMoveset!A2:B112,2,FALSE)="Projectile",Backdoors!N10,Backdoors!N9),0),"")</f>
        <v>6</v>
      </c>
      <c r="AO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K17&gt;=0.45,VLOOKUP(Calculator!E23,tbSkills!DH3:DI6,2,FALSE)+IF(AND(Calculator!B8=TRUE,Backdoors!BI8=TRUE),VLOOKUP(Calculator!E23,tbSkills!DH3:DJ6,3,FALSE),0),0))&gt;=100,100,(Backdoors!AI12+IF(AK17&gt;=0.45,VLOOKUP(Calculator!E23,tbSkills!DH3:DI6,2,FALSE)+IF(AND(Calculator!B8=TRUE,Backdoors!BI8=TRUE),VLOOKUP(Calculator!E23,tbSkills!DH3:DJ6,3,FALSE),0),0)))/100)),1))*IF(VLOOKUP(A17,tbMoveset!A2:K112,11,FALSE)=TRUE,Backdoors!AC5,1))*AL17,0),"")</f>
        <v>0</v>
      </c>
      <c r="AP17" s="49">
        <f>VLOOKUP(A17,tbMoveset!A2:G112,7,FALSE)*IFERROR(IF(Backdoors!AI12&gt;=0,1+(IF(Calculator!E40&gt;0,VLOOKUP(Calculator!E40,tbSkills!AI3:AJ5,2,FALSE),Backdoors!AL4)*(IF((Backdoors!AI12+IF(AK17&gt;=0.45,VLOOKUP(Calculator!E23,tbSkills!DH3:DI6,2,FALSE)+IF(AND(Calculator!B8=TRUE,Backdoors!BI8=TRUE),VLOOKUP(Calculator!E23,tbSkills!DH3:DJ6,3,FALSE),0),0))&gt;=100,100,(Backdoors!AI12+IF(AK17&gt;=0.45,VLOOKUP(Calculator!E23,tbSkills!DH3:DI6,2,FALSE)+IF(AND(Calculator!B8=TRUE,Backdoors!BI8=TRUE),VLOOKUP(Calculator!E23,tbSkills!DH3:DJ6,3,FALSE),0),0)))/100)),1),1)</f>
        <v>0.5</v>
      </c>
      <c r="AQ17" s="87">
        <f t="shared" si="2"/>
        <v>6</v>
      </c>
      <c r="AR17" s="86">
        <f>IFERROR(IF(VLOOKUP(A17,tbMoveset!A2:B112,2,FALSE)="Sever",Backdoors!AY9/100,IF(VLOOKUP(A17,tbMoveset!A2:B112,2,FALSE)="Blunt",Backdoors!AZ9/100,Backdoors!BA9/100)),"")</f>
        <v>0.45</v>
      </c>
      <c r="AS17" s="49">
        <f>IFERROR(IF(VLOOKUP(tbMoveset!A17,tbMoveset!A2:H112,8,FALSE)="Other",IF(VLOOKUP(tbMoveset!A17,tbMoveset!A2:I112,9,FALSE)="Fire",Backdoors!BB9,IF(VLOOKUP(tbMoveset!A17,tbMoveset!A2:I112,9,FALSE)="Water",Backdoors!BC9,IF(VLOOKUP(tbMoveset!A17,tbMoveset!A2:I112,9,FALSE)="Thunder",Backdoors!BD9,IF(VLOOKUP(tbMoveset!A17,tbMoveset!A2:I112,9,FALSE)="Ice",Backdoors!BE9,IF(VLOOKUP(tbMoveset!A17,tbMoveset!A2:I112,9,FALSE)="Dragon",Backdoors!BF9,Backdoors!BG9)))))/100,Backdoors!BG9/100),"")</f>
        <v>0</v>
      </c>
      <c r="AT17" s="49">
        <f>IFERROR(IF(VLOOKUP(A17,tbMoveset!A2:J112,10,FALSE)=TRUE,IF((Backdoors!AI12+IF(AR17&gt;=0.45,VLOOKUP(Calculator!E23,tbSkills!DH3:DI6,2,FALSE)+IF(AND(Calculator!B8=TRUE,Backdoors!BI9=TRUE),VLOOKUP(Calculator!E23,tbSkills!DH3:DJ6,3,FALSE),0),0))&gt;=0,1+(Backdoors!AL2*(IF((Backdoors!AI12+IF(AR17&gt;=0.45,VLOOKUP(Calculator!E23,tbSkills!DH3:DI6,2,FALSE)+IF(AND(Calculator!B8=TRUE,Backdoors!BI9=TRUE),VLOOKUP(Calculator!E23,tbSkills!DH3:DJ6,3,FALSE),0),0))&gt;=100,100,(Backdoors!AI12+IF(AR17&gt;=0.45,VLOOKUP(Calculator!E23,tbSkills!DH3:DI6,2,FALSE)+IF(AND(Calculator!B8=TRUE,Backdoors!BI9=TRUE),VLOOKUP(Calculator!E23,tbSkills!DH3:DJ6,3,FALSE),0),0)))/100)),(1-(0.25*((-Backdoors!AI12-IF(AR17&gt;=0.45,VLOOKUP(Calculator!E23,tbSkills!DH3:DI6,2,FALSE)+IF(AND(Calculator!B8=TRUE,Backdoors!BI9=TRUE),VLOOKUP(Calculator!E23,tbSkills!DH3:DJ6,3,FALSE),0),0))/100)))),1),"")</f>
        <v>1</v>
      </c>
      <c r="AU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R17)*AT17)*(VLOOKUP(A17,tbMoveset!A2:C112,3,FALSE)/100)*IF(VLOOKUP(A17,tbMoveset!A2:B112,2,FALSE)="Projectile",Backdoors!N10,Backdoors!N9),0),"")</f>
        <v>6</v>
      </c>
      <c r="AV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R17&gt;=0.45,VLOOKUP(Calculator!E23,tbSkills!DH3:DI6,2,FALSE)+IF(AND(Calculator!B8=TRUE,Backdoors!BI9=TRUE),VLOOKUP(Calculator!E23,tbSkills!DH3:DJ6,3,FALSE),0),0))&gt;=100,100,(Backdoors!AI12+IF(AR17&gt;=0.45,VLOOKUP(Calculator!E23,tbSkills!DH3:DI6,2,FALSE)+IF(AND(Calculator!B8=TRUE,Backdoors!BI9=TRUE),VLOOKUP(Calculator!E23,tbSkills!DH3:DJ6,3,FALSE),0),0)))/100)),1))*IF(VLOOKUP(A17,tbMoveset!A2:K112,11,FALSE)=TRUE,Backdoors!AC5,1))*AS17,0),"")</f>
        <v>0</v>
      </c>
      <c r="AW17" s="49">
        <f>VLOOKUP(A17,tbMoveset!A2:G112,7,FALSE)*IFERROR(IF(Backdoors!AI12&gt;=0,1+(IF(Calculator!E40&gt;0,VLOOKUP(Calculator!E40,tbSkills!AI3:AJ5,2,FALSE),Backdoors!AL4)*(IF((Backdoors!AI12+IF(AR17&gt;=0.45,VLOOKUP(Calculator!E23,tbSkills!DH3:DI6,2,FALSE)+IF(AND(Calculator!B8=TRUE,Backdoors!BI9=TRUE),VLOOKUP(Calculator!E23,tbSkills!DH3:DJ6,3,FALSE),0),0))&gt;=100,100,(Backdoors!AI12+IF(AR17&gt;=0.45,VLOOKUP(Calculator!E23,tbSkills!DH3:DI6,2,FALSE)+IF(AND(Calculator!B8=TRUE,Backdoors!BI9=TRUE),VLOOKUP(Calculator!E23,tbSkills!DH3:DJ6,3,FALSE),0),0)))/100)),1),1)</f>
        <v>0.5</v>
      </c>
      <c r="AX17" s="87">
        <f t="shared" si="38"/>
        <v>6</v>
      </c>
      <c r="AY17" s="86">
        <f>IFERROR(IF(VLOOKUP(A17,tbMoveset!A2:B112,2,FALSE)="Sever",Backdoors!AY10/100,IF(VLOOKUP(A17,tbMoveset!A2:B112,2,FALSE)="Blunt",Backdoors!AZ10/100,Backdoors!BA10/100)),"")</f>
        <v>0.9</v>
      </c>
      <c r="AZ17" s="49">
        <f>IFERROR(IF(VLOOKUP(tbMoveset!A17,tbMoveset!A2:H112,8,FALSE)="Other",IF(VLOOKUP(tbMoveset!A17,tbMoveset!A2:I112,9,FALSE)="Fire",Backdoors!BB10,IF(VLOOKUP(tbMoveset!A17,tbMoveset!A2:I112,9,FALSE)="Water",Backdoors!BC10,IF(VLOOKUP(tbMoveset!A17,tbMoveset!A2:I112,9,FALSE)="Thunder",Backdoors!BD10,IF(VLOOKUP(tbMoveset!A17,tbMoveset!A2:I112,9,FALSE)="Ice",Backdoors!BE10,IF(VLOOKUP(tbMoveset!A17,tbMoveset!A2:I112,9,FALSE)="Dragon",Backdoors!BF10,Backdoors!BG10)))))/100,Backdoors!BG10/100),"")</f>
        <v>0</v>
      </c>
      <c r="BA17" s="49">
        <f>IFERROR(IF(VLOOKUP(A17,tbMoveset!A2:J112,10,FALSE)=TRUE,IF((Backdoors!AI12+IF(AY17&gt;=0.45,VLOOKUP(Calculator!E23,tbSkills!DH3:DI6,2,FALSE)+IF(AND(Calculator!B8=TRUE,Backdoors!BI10=TRUE),VLOOKUP(Calculator!E23,tbSkills!DH3:DJ6,3,FALSE),0),0))&gt;=0,1+(Backdoors!AL2*(IF((Backdoors!AI12+IF(AY17&gt;=0.45,VLOOKUP(Calculator!E23,tbSkills!DH3:DI6,2,FALSE)+IF(AND(Calculator!B8=TRUE,Backdoors!BI10=TRUE),VLOOKUP(Calculator!E23,tbSkills!DH3:DJ6,3,FALSE),0),0))&gt;=100,100,(Backdoors!AI12+IF(AY17&gt;=0.45,VLOOKUP(Calculator!E23,tbSkills!DH3:DI6,2,FALSE)+IF(AND(Calculator!B8=TRUE,Backdoors!BI10=TRUE),VLOOKUP(Calculator!E23,tbSkills!DH3:DJ6,3,FALSE),0),0)))/100)),(1-(0.25*((-Backdoors!AI12-IF(AY17&gt;=0.45,VLOOKUP(Calculator!E23,tbSkills!DH3:DI6,2,FALSE)+IF(AND(Calculator!B8=TRUE,Backdoors!BI10=TRUE),VLOOKUP(Calculator!E23,tbSkills!DH3:DJ6,3,FALSE),0),0))/100)))),1),"")</f>
        <v>1</v>
      </c>
      <c r="BB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Y17)*BA17)*(VLOOKUP(A17,tbMoveset!A2:C112,3,FALSE)/100)*IF(VLOOKUP(A17,tbMoveset!A2:B112,2,FALSE)="Projectile",Backdoors!N10,Backdoors!N9),0),"")</f>
        <v>11</v>
      </c>
      <c r="BC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Y17&gt;=0.45,VLOOKUP(Calculator!E23,tbSkills!DH3:DI6,2,FALSE)+IF(AND(Calculator!B8=TRUE,Backdoors!BI10=TRUE),VLOOKUP(Calculator!E23,tbSkills!DH3:DJ6,3,FALSE),0),0))&gt;=100,100,(Backdoors!AI12+IF(AY17&gt;=0.45,VLOOKUP(Calculator!E23,tbSkills!DH3:DI6,2,FALSE)+IF(AND(Calculator!B8=TRUE,Backdoors!BI10=TRUE),VLOOKUP(Calculator!E23,tbSkills!DH3:DJ6,3,FALSE),0),0)))/100)),1))*IF(VLOOKUP(A17,tbMoveset!A2:K112,11,FALSE)=TRUE,Backdoors!AC5,1))*AZ17,0),"")</f>
        <v>0</v>
      </c>
      <c r="BD17" s="49">
        <f>VLOOKUP(A17,tbMoveset!A2:G112,7,FALSE)*IFERROR(IF(Backdoors!AI12&gt;=0,1+(IF(Calculator!E40&gt;0,VLOOKUP(Calculator!E40,tbSkills!AI3:AJ5,2,FALSE),Backdoors!AL4)*(IF((Backdoors!AI12+IF(AY17&gt;=0.45,VLOOKUP(Calculator!E23,tbSkills!DH3:DI6,2,FALSE)+IF(AND(Calculator!B8=TRUE,Backdoors!BI10=TRUE),VLOOKUP(Calculator!E23,tbSkills!DH3:DJ6,3,FALSE),0),0))&gt;=100,100,(Backdoors!AI12+IF(AY17&gt;=0.45,VLOOKUP(Calculator!E23,tbSkills!DH3:DI6,2,FALSE)+IF(AND(Calculator!B8=TRUE,Backdoors!BI10=TRUE),VLOOKUP(Calculator!E23,tbSkills!DH3:DJ6,3,FALSE),0),0)))/100)),1),1)</f>
        <v>0.5</v>
      </c>
      <c r="BE17" s="87">
        <f t="shared" si="3"/>
        <v>11</v>
      </c>
      <c r="BF17" s="86" t="str">
        <f>IFERROR(IF(VLOOKUP(A17,tbMoveset!A2:B112,2,FALSE)="Sever",Backdoors!AY11/100,IF(VLOOKUP(A17,tbMoveset!A2:B112,2,FALSE)="Blunt",Backdoors!AZ11/100,Backdoors!BA11/100)),"")</f>
        <v/>
      </c>
      <c r="BG17" s="49">
        <f>IFERROR(IF(VLOOKUP(tbMoveset!A17,tbMoveset!A2:H112,8,FALSE)="Other",IF(VLOOKUP(tbMoveset!A17,tbMoveset!A2:I112,9,FALSE)="Fire",Backdoors!BB11,IF(VLOOKUP(tbMoveset!A17,tbMoveset!A2:I112,9,FALSE)="Water",Backdoors!BC11,IF(VLOOKUP(tbMoveset!A17,tbMoveset!A2:I112,9,FALSE)="Thunder",Backdoors!BD11,IF(VLOOKUP(tbMoveset!A17,tbMoveset!A2:I112,9,FALSE)="Ice",Backdoors!BE11,IF(VLOOKUP(tbMoveset!A17,tbMoveset!A2:I112,9,FALSE)="Dragon",Backdoors!BF11,Backdoors!BG11)))))/100,Backdoors!BG11/100),"")</f>
        <v>0</v>
      </c>
      <c r="BH17" s="49">
        <f>IFERROR(IF(VLOOKUP(A17,tbMoveset!A2:J112,10,FALSE)=TRUE,IF((Backdoors!AI12+IF(BF17&gt;=0.45,VLOOKUP(Calculator!E23,tbSkills!DH3:DI6,2,FALSE)+IF(AND(Calculator!B8=TRUE,Backdoors!BI11=TRUE),VLOOKUP(Calculator!E23,tbSkills!DH3:DJ6,3,FALSE),0),0))&gt;=0,1+(Backdoors!AL2*(IF((Backdoors!AI12+IF(BF17&gt;=0.45,VLOOKUP(Calculator!E23,tbSkills!DH3:DI6,2,FALSE)+IF(AND(Calculator!B8=TRUE,Backdoors!BI11=TRUE),VLOOKUP(Calculator!E23,tbSkills!DH3:DJ6,3,FALSE),0),0))&gt;=100,100,(Backdoors!AI12+IF(BF17&gt;=0.45,VLOOKUP(Calculator!E23,tbSkills!DH3:DI6,2,FALSE)+IF(AND(Calculator!B8=TRUE,Backdoors!BI11=TRUE),VLOOKUP(Calculator!E23,tbSkills!DH3:DJ6,3,FALSE),0),0)))/100)),(1-(0.25*((-Backdoors!AI12-IF(BF17&gt;=0.45,VLOOKUP(Calculator!E23,tbSkills!DH3:DI6,2,FALSE)+IF(AND(Calculator!B8=TRUE,Backdoors!BI11=TRUE),VLOOKUP(Calculator!E23,tbSkills!DH3:DJ6,3,FALSE),0),0))/100)))),1),"")</f>
        <v>1</v>
      </c>
      <c r="BI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F17)*BH17)*(VLOOKUP(A17,tbMoveset!A2:C112,3,FALSE)/100)*IF(VLOOKUP(A17,tbMoveset!A2:B112,2,FALSE)="Projectile",Backdoors!N10,Backdoors!N9),0),"")</f>
        <v/>
      </c>
      <c r="BJ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F17&gt;=0.45,VLOOKUP(Calculator!E23,tbSkills!DH3:DI6,2,FALSE)+IF(AND(Calculator!B8=TRUE,Backdoors!BI11=TRUE),VLOOKUP(Calculator!E23,tbSkills!DH3:DJ6,3,FALSE),0),0))&gt;=100,100,(Backdoors!AI12+IF(BF17&gt;=0.45,VLOOKUP(Calculator!E23,tbSkills!DH3:DI6,2,FALSE)+IF(AND(Calculator!B8=TRUE,Backdoors!BI11=TRUE),VLOOKUP(Calculator!E23,tbSkills!DH3:DJ6,3,FALSE),0),0)))/100)),1))*IF(VLOOKUP(A17,tbMoveset!A2:K112,11,FALSE)=TRUE,Backdoors!AC5,1))*BG17,0),"")</f>
        <v>0</v>
      </c>
      <c r="BK17" s="49">
        <f>VLOOKUP(A17,tbMoveset!A2:G112,7,FALSE)*IFERROR(IF(Backdoors!AI12&gt;=0,1+(IF(Calculator!E40&gt;0,VLOOKUP(Calculator!E40,tbSkills!AI3:AJ5,2,FALSE),Backdoors!AL4)*(IF((Backdoors!AI12+IF(BF17&gt;=0.45,VLOOKUP(Calculator!E23,tbSkills!DH3:DI6,2,FALSE)+IF(AND(Calculator!B8=TRUE,Backdoors!BI11=TRUE),VLOOKUP(Calculator!E23,tbSkills!DH3:DJ6,3,FALSE),0),0))&gt;=100,100,(Backdoors!AI12+IF(BF17&gt;=0.45,VLOOKUP(Calculator!E23,tbSkills!DH3:DI6,2,FALSE)+IF(AND(Calculator!B8=TRUE,Backdoors!BI11=TRUE),VLOOKUP(Calculator!E23,tbSkills!DH3:DJ6,3,FALSE),0),0)))/100)),1),1)</f>
        <v>0.5</v>
      </c>
      <c r="BL17" s="87">
        <f t="shared" si="4"/>
        <v>0</v>
      </c>
      <c r="BM17" s="86" t="str">
        <f>IFERROR(IF(VLOOKUP(A17,tbMoveset!A2:B112,2,FALSE)="Sever",Backdoors!AY12/100,IF(VLOOKUP(A17,tbMoveset!A2:B112,2,FALSE)="Blunt",Backdoors!AZ12/100,Backdoors!BA12/100)),"")</f>
        <v/>
      </c>
      <c r="BN17" s="49">
        <f>IFERROR(IF(VLOOKUP(tbMoveset!A17,tbMoveset!A2:H112,8,FALSE)="Other",IF(VLOOKUP(tbMoveset!A17,tbMoveset!A2:I112,9,FALSE)="Fire",Backdoors!BB12,IF(VLOOKUP(tbMoveset!A17,tbMoveset!A2:I112,9,FALSE)="Water",Backdoors!BC12,IF(VLOOKUP(tbMoveset!A17,tbMoveset!A2:I112,9,FALSE)="Thunder",Backdoors!BD12,IF(VLOOKUP(tbMoveset!A17,tbMoveset!A2:I112,9,FALSE)="Ice",Backdoors!BE12,IF(VLOOKUP(tbMoveset!A17,tbMoveset!A2:I112,9,FALSE)="Dragon",Backdoors!BF12,Backdoors!BG12)))))/100,Backdoors!BG12/100),"")</f>
        <v>0</v>
      </c>
      <c r="BO17" s="49">
        <f>IFERROR(IF(VLOOKUP(A17,tbMoveset!A2:J112,10,FALSE)=TRUE,IF((Backdoors!AI12+IF(BM17&gt;=0.45,VLOOKUP(Calculator!E23,tbSkills!DH3:DI6,2,FALSE)+IF(AND(Calculator!B8=TRUE,Backdoors!BI12=TRUE),VLOOKUP(Calculator!E23,tbSkills!DH3:DJ6,3,FALSE),0),0))&gt;=0,1+(Backdoors!AL2*(IF((Backdoors!AI12+IF(BM17&gt;=0.45,VLOOKUP(Calculator!E23,tbSkills!DH3:DI6,2,FALSE)+IF(AND(Calculator!B8=TRUE,Backdoors!BI12=TRUE),VLOOKUP(Calculator!E23,tbSkills!DH3:DJ6,3,FALSE),0),0))&gt;=100,100,(Backdoors!AI12+IF(BM17&gt;=0.45,VLOOKUP(Calculator!E23,tbSkills!DH3:DI6,2,FALSE)+IF(AND(Calculator!B8=TRUE,Backdoors!BI12=TRUE),VLOOKUP(Calculator!E23,tbSkills!DH3:DJ6,3,FALSE),0),0)))/100)),(1-(0.25*((-Backdoors!AI12-IF(BM17&gt;=0.45,VLOOKUP(Calculator!E23,tbSkills!DH3:DI6,2,FALSE)+IF(AND(Calculator!B8=TRUE,Backdoors!BI12=TRUE),VLOOKUP(Calculator!E23,tbSkills!DH3:DJ6,3,FALSE),0),0))/100)))),1),"")</f>
        <v>1</v>
      </c>
      <c r="BP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M17)*BO17)*(VLOOKUP(A17,tbMoveset!A2:C112,3,FALSE)/100)*IF(VLOOKUP(A17,tbMoveset!A2:B112,2,FALSE)="Projectile",Backdoors!N10,Backdoors!N9),0),"")</f>
        <v/>
      </c>
      <c r="BQ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M17&gt;=0.45,VLOOKUP(Calculator!E23,tbSkills!DH3:DI6,2,FALSE)+IF(AND(Calculator!B8=TRUE,Backdoors!BI12=TRUE),VLOOKUP(Calculator!E23,tbSkills!DH3:DJ6,3,FALSE),0),0))&gt;=100,100,(Backdoors!AI12+IF(BM17&gt;=0.45,VLOOKUP(Calculator!E23,tbSkills!DH3:DI6,2,FALSE)+IF(AND(Calculator!B8=TRUE,Backdoors!BI12=TRUE),VLOOKUP(Calculator!E23,tbSkills!DH3:DJ6,3,FALSE),0),0)))/100)),1))*IF(VLOOKUP(A17,tbMoveset!A2:K112,11,FALSE)=TRUE,Backdoors!AC5,1))*BN17,0),"")</f>
        <v>0</v>
      </c>
      <c r="BR17" s="49">
        <f>VLOOKUP(A17,tbMoveset!A2:G112,7,FALSE)*IFERROR(IF(Backdoors!AI12&gt;=0,1+(IF(Calculator!E40&gt;0,VLOOKUP(Calculator!E40,tbSkills!AI3:AJ5,2,FALSE),Backdoors!AL4)*(IF((Backdoors!AI12+IF(BM17&gt;=0.45,VLOOKUP(Calculator!E23,tbSkills!DH3:DI6,2,FALSE)+IF(AND(Calculator!B8=TRUE,Backdoors!BI12=TRUE),VLOOKUP(Calculator!E23,tbSkills!DH3:DJ6,3,FALSE),0),0))&gt;=100,100,(Backdoors!AI12+IF(BM17&gt;=0.45,VLOOKUP(Calculator!E23,tbSkills!DH3:DI6,2,FALSE)+IF(AND(Calculator!B8=TRUE,Backdoors!BI12=TRUE),VLOOKUP(Calculator!E23,tbSkills!DH3:DJ6,3,FALSE),0),0)))/100)),1),1)</f>
        <v>0.5</v>
      </c>
      <c r="BS17" s="87">
        <f t="shared" si="39"/>
        <v>0</v>
      </c>
      <c r="BT17" s="86" t="str">
        <f>IFERROR(IF(VLOOKUP(A17,tbMoveset!A2:B112,2,FALSE)="Sever",Backdoors!AY13/100,IF(VLOOKUP(A17,tbMoveset!A2:B112,2,FALSE)="Blunt",Backdoors!AZ13/100,Backdoors!BA13/100)),"")</f>
        <v/>
      </c>
      <c r="BU17" s="49">
        <f>IFERROR(IF(VLOOKUP(tbMoveset!A17,tbMoveset!A2:H112,8,FALSE)="Other",IF(VLOOKUP(tbMoveset!A17,tbMoveset!A2:I112,9,FALSE)="Fire",Backdoors!BB13,IF(VLOOKUP(tbMoveset!A17,tbMoveset!A2:I112,9,FALSE)="Water",Backdoors!BC13,IF(VLOOKUP(tbMoveset!A17,tbMoveset!A2:I112,9,FALSE)="Thunder",Backdoors!BD13,IF(VLOOKUP(tbMoveset!A17,tbMoveset!A2:I112,9,FALSE)="Ice",Backdoors!BE13,IF(VLOOKUP(tbMoveset!A17,tbMoveset!A2:I112,9,FALSE)="Dragon",Backdoors!BF13,Backdoors!BG13)))))/100,Backdoors!BG13/100),"")</f>
        <v>0</v>
      </c>
      <c r="BV17" s="49">
        <f>IFERROR(IF(VLOOKUP(A17,tbMoveset!A2:J112,10,FALSE)=TRUE,IF((Backdoors!AI12+IF(BT17&gt;=0.45,VLOOKUP(Calculator!E23,tbSkills!DH3:DI6,2,FALSE)+IF(AND(Calculator!B8=TRUE,Backdoors!BI13=TRUE),VLOOKUP(Calculator!E23,tbSkills!DH3:DJ6,3,FALSE),0),0))&gt;=0,1+(Backdoors!AL2*(IF((Backdoors!AI12+IF(BT17&gt;=0.45,VLOOKUP(Calculator!E23,tbSkills!DH3:DI6,2,FALSE)+IF(AND(Calculator!B8=TRUE,Backdoors!BI13=TRUE),VLOOKUP(Calculator!E23,tbSkills!DH3:DJ6,3,FALSE),0),0))&gt;=100,100,(Backdoors!AI12+IF(BT17&gt;=0.45,VLOOKUP(Calculator!E23,tbSkills!DH3:DI6,2,FALSE)+IF(AND(Calculator!B8=TRUE,Backdoors!BI13=TRUE),VLOOKUP(Calculator!E23,tbSkills!DH3:DJ6,3,FALSE),0),0)))/100)),(1-(0.25*((-Backdoors!AI12-IF(BT17&gt;=0.45,VLOOKUP(Calculator!E23,tbSkills!DH3:DI6,2,FALSE)+IF(AND(Calculator!B8=TRUE,Backdoors!BI13=TRUE),VLOOKUP(Calculator!E23,tbSkills!DH3:DJ6,3,FALSE),0),0))/100)))),1),"")</f>
        <v>1</v>
      </c>
      <c r="BW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T17)*BV17)*(VLOOKUP(A17,tbMoveset!A2:C112,3,FALSE)/100)*IF(VLOOKUP(A17,tbMoveset!A2:B112,2,FALSE)="Projectile",Backdoors!N10,Backdoors!N9),0),"")</f>
        <v/>
      </c>
      <c r="BX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T17&gt;=0.45,VLOOKUP(Calculator!E23,tbSkills!DH3:DI6,2,FALSE)+IF(AND(Calculator!B8=TRUE,Backdoors!BI13=TRUE),VLOOKUP(Calculator!E23,tbSkills!DH3:DJ6,3,FALSE),0),0))&gt;=100,100,(Backdoors!AI12+IF(BT17&gt;=0.45,VLOOKUP(Calculator!E23,tbSkills!DH3:DI6,2,FALSE)+IF(AND(Calculator!B8=TRUE,Backdoors!BI13=TRUE),VLOOKUP(Calculator!E23,tbSkills!DH3:DJ6,3,FALSE),0),0)))/100)),1))*IF(VLOOKUP(A17,tbMoveset!A2:K112,11,FALSE)=TRUE,Backdoors!AC5,1))*BU17,0),"")</f>
        <v>0</v>
      </c>
      <c r="BY17" s="49">
        <f>VLOOKUP(A17,tbMoveset!A2:G112,7,FALSE)*IFERROR(IF(Backdoors!AI12&gt;=0,1+(IF(Calculator!E40&gt;0,VLOOKUP(Calculator!E40,tbSkills!AI3:AJ5,2,FALSE),Backdoors!AL4)*(IF((Backdoors!AI12+IF(BT17&gt;=0.45,VLOOKUP(Calculator!E23,tbSkills!DH3:DI6,2,FALSE)+IF(AND(Calculator!B8=TRUE,Backdoors!BI13=TRUE),VLOOKUP(Calculator!E23,tbSkills!DH3:DJ6,3,FALSE),0),0))&gt;=100,100,(Backdoors!AI12+IF(BT17&gt;=0.45,VLOOKUP(Calculator!E23,tbSkills!DH3:DI6,2,FALSE)+IF(AND(Calculator!B8=TRUE,Backdoors!BI13=TRUE),VLOOKUP(Calculator!E23,tbSkills!DH3:DJ6,3,FALSE),0),0)))/100)),1),1)</f>
        <v>0.5</v>
      </c>
      <c r="BZ17" s="87">
        <f t="shared" si="5"/>
        <v>0</v>
      </c>
      <c r="CA17" s="86" t="str">
        <f>IFERROR(IF(VLOOKUP(A17,tbMoveset!A2:B112,2,FALSE)="Sever",Backdoors!AY14/100,IF(VLOOKUP(A17,tbMoveset!A2:B112,2,FALSE)="Blunt",Backdoors!AZ14/100,Backdoors!BA14/100)),"")</f>
        <v/>
      </c>
      <c r="CB17" s="49">
        <f>IFERROR(IF(VLOOKUP(tbMoveset!A17,tbMoveset!A2:H112,8,FALSE)="Other",IF(VLOOKUP(tbMoveset!A17,tbMoveset!A2:I112,9,FALSE)="Fire",Backdoors!BB14,IF(VLOOKUP(tbMoveset!A17,tbMoveset!A2:I112,9,FALSE)="Water",Backdoors!BC14,IF(VLOOKUP(tbMoveset!A17,tbMoveset!A2:I112,9,FALSE)="Thunder",Backdoors!BD14,IF(VLOOKUP(tbMoveset!A17,tbMoveset!A2:I112,9,FALSE)="Ice",Backdoors!BE14,IF(VLOOKUP(tbMoveset!A17,tbMoveset!A2:I112,9,FALSE)="Dragon",Backdoors!BF14,Backdoors!BG14)))))/100,Backdoors!BG14/100),"")</f>
        <v>0</v>
      </c>
      <c r="CC17" s="49">
        <f>IFERROR(IF(VLOOKUP(A17,tbMoveset!A2:J112,10,FALSE)=TRUE,IF((Backdoors!AI12+IF(CA17&gt;=0.45,VLOOKUP(Calculator!E23,tbSkills!DH3:DI6,2,FALSE)+IF(AND(Calculator!B8=TRUE,Backdoors!BI14=TRUE),VLOOKUP(Calculator!E23,tbSkills!DH3:DJ6,3,FALSE),0),0))&gt;=0,1+(Backdoors!AL2*(IF((Backdoors!AI12+IF(CA17&gt;=0.45,VLOOKUP(Calculator!E23,tbSkills!DH3:DI6,2,FALSE)+IF(AND(Calculator!B8=TRUE,Backdoors!BI14=TRUE),VLOOKUP(Calculator!E23,tbSkills!DH3:DJ6,3,FALSE),0),0))&gt;=100,100,(Backdoors!AI12+IF(CA17&gt;=0.45,VLOOKUP(Calculator!E23,tbSkills!DH3:DI6,2,FALSE)+IF(AND(Calculator!B8=TRUE,Backdoors!BI14=TRUE),VLOOKUP(Calculator!E23,tbSkills!DH3:DJ6,3,FALSE),0),0)))/100)),(1-(0.25*((-Backdoors!AI12-IF(CA17&gt;=0.45,VLOOKUP(Calculator!E23,tbSkills!DH3:DI6,2,FALSE)+IF(AND(Calculator!B8=TRUE,Backdoors!BI14=TRUE),VLOOKUP(Calculator!E23,tbSkills!DH3:DJ6,3,FALSE),0),0))/100)))),1),"")</f>
        <v>1</v>
      </c>
      <c r="CD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A17)*CC17)*(VLOOKUP(A17,tbMoveset!A2:C112,3,FALSE)/100)*IF(VLOOKUP(A17,tbMoveset!A2:B112,2,FALSE)="Projectile",Backdoors!N10,Backdoors!N9),0),"")</f>
        <v/>
      </c>
      <c r="CE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A17&gt;=0.45,VLOOKUP(Calculator!E23,tbSkills!DH3:DI6,2,FALSE)+IF(AND(Calculator!B8=TRUE,Backdoors!BI14=TRUE),VLOOKUP(Calculator!E23,tbSkills!DH3:DJ6,3,FALSE),0),0))&gt;=100,100,(Backdoors!AI12+IF(CA17&gt;=0.45,VLOOKUP(Calculator!E23,tbSkills!DH3:DI6,2,FALSE)+IF(AND(Calculator!B8=TRUE,Backdoors!BI14=TRUE),VLOOKUP(Calculator!E23,tbSkills!DH3:DJ6,3,FALSE),0),0)))/100)),1))*IF(VLOOKUP(A17,tbMoveset!A2:K112,11,FALSE)=TRUE,Backdoors!AC5,1))*CB17,0),"")</f>
        <v>0</v>
      </c>
      <c r="CF17" s="49">
        <f>VLOOKUP(A17,tbMoveset!A2:G112,7,FALSE)*IFERROR(IF(Backdoors!AI12&gt;=0,1+(IF(Calculator!E40&gt;0,VLOOKUP(Calculator!E40,tbSkills!AI3:AJ5,2,FALSE),Backdoors!AL4)*(IF((Backdoors!AI12+IF(CA17&gt;=0.45,VLOOKUP(Calculator!E23,tbSkills!DH3:DI6,2,FALSE)+IF(AND(Calculator!B8=TRUE,Backdoors!BI14=TRUE),VLOOKUP(Calculator!E23,tbSkills!DH3:DJ6,3,FALSE),0),0))&gt;=100,100,(Backdoors!AI12+IF(CA17&gt;=0.45,VLOOKUP(Calculator!E23,tbSkills!DH3:DI6,2,FALSE)+IF(AND(Calculator!B8=TRUE,Backdoors!BI14=TRUE),VLOOKUP(Calculator!E23,tbSkills!DH3:DJ6,3,FALSE),0),0)))/100)),1),1)</f>
        <v>0.5</v>
      </c>
      <c r="CG17" s="87">
        <f t="shared" si="6"/>
        <v>0</v>
      </c>
      <c r="CH17" s="86" t="str">
        <f>IFERROR(IF(VLOOKUP(A17,tbMoveset!A2:B112,2,FALSE)="Sever",Backdoors!AY15/100,IF(VLOOKUP(A17,tbMoveset!A2:B112,2,FALSE)="Blunt",Backdoors!AZ15/100,Backdoors!BA15/100)),"")</f>
        <v/>
      </c>
      <c r="CI17" s="49">
        <f>IFERROR(IF(VLOOKUP(tbMoveset!A17,tbMoveset!A2:H112,8,FALSE)="Other",IF(VLOOKUP(tbMoveset!A17,tbMoveset!A2:I112,9,FALSE)="Fire",Backdoors!BB15,IF(VLOOKUP(tbMoveset!A17,tbMoveset!A2:I112,9,FALSE)="Water",Backdoors!BC15,IF(VLOOKUP(tbMoveset!A17,tbMoveset!A2:I112,9,FALSE)="Thunder",Backdoors!BD15,IF(VLOOKUP(tbMoveset!A17,tbMoveset!A2:I112,9,FALSE)="Ice",Backdoors!BE15,IF(VLOOKUP(tbMoveset!A17,tbMoveset!A2:I112,9,FALSE)="Dragon",Backdoors!BF15,Backdoors!BG15)))))/100,Backdoors!BG15/100),"")</f>
        <v>0</v>
      </c>
      <c r="CJ17" s="49">
        <f>IFERROR(IF(VLOOKUP(A17,tbMoveset!A2:J112,10,FALSE)=TRUE,IF((Backdoors!AI12+IF(CH17&gt;=0.45,VLOOKUP(Calculator!E23,tbSkills!DH3:DI6,2,FALSE)+IF(AND(Calculator!B8=TRUE,Backdoors!BI15=TRUE),VLOOKUP(Calculator!E23,tbSkills!DH3:DJ6,3,FALSE),0),0))&gt;=0,1+(Backdoors!AL2*(IF((Backdoors!AI12+IF(CH17&gt;=0.45,VLOOKUP(Calculator!E23,tbSkills!DH3:DI6,2,FALSE)+IF(AND(Calculator!B8=TRUE,Backdoors!BI15=TRUE),VLOOKUP(Calculator!E23,tbSkills!DH3:DJ6,3,FALSE),0),0))&gt;=100,100,(Backdoors!AI12+IF(CH17&gt;=0.45,VLOOKUP(Calculator!E23,tbSkills!DH3:DI6,2,FALSE)+IF(AND(Calculator!B8=TRUE,Backdoors!BI15=TRUE),VLOOKUP(Calculator!E23,tbSkills!DH3:DJ6,3,FALSE),0),0)))/100)),(1-(0.25*((-Backdoors!AI12-IF(CH17&gt;=0.45,VLOOKUP(Calculator!E23,tbSkills!DH3:DI6,2,FALSE)+IF(AND(Calculator!B8=TRUE,Backdoors!BI15=TRUE),VLOOKUP(Calculator!E23,tbSkills!DH3:DJ6,3,FALSE),0),0))/100)))),1),"")</f>
        <v>1</v>
      </c>
      <c r="CK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H17)*CJ17)*(VLOOKUP(A17,tbMoveset!A2:C112,3,FALSE)/100)*IF(VLOOKUP(A17,tbMoveset!A2:B112,2,FALSE)="Projectile",Backdoors!N10,Backdoors!N9),0),"")</f>
        <v/>
      </c>
      <c r="CL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H17&gt;=0.45,VLOOKUP(Calculator!E23,tbSkills!DH3:DI6,2,FALSE)+IF(AND(Calculator!B8=TRUE,Backdoors!BI15=TRUE),VLOOKUP(Calculator!E23,tbSkills!DH3:DJ6,3,FALSE),0),0))&gt;=100,100,(Backdoors!AI12+IF(CH17&gt;=0.45,VLOOKUP(Calculator!E23,tbSkills!DH3:DI6,2,FALSE)+IF(AND(Calculator!B8=TRUE,Backdoors!BI15=TRUE),VLOOKUP(Calculator!E23,tbSkills!DH3:DJ6,3,FALSE),0),0)))/100)),1))*IF(VLOOKUP(A17,tbMoveset!A2:K112,11,FALSE)=TRUE,Backdoors!AC5,1))*CI17,0),"")</f>
        <v>0</v>
      </c>
      <c r="CM17" s="49">
        <f>VLOOKUP(A17,tbMoveset!A2:G112,7,FALSE)*IFERROR(IF(Backdoors!AI12&gt;=0,1+(IF(Calculator!E40&gt;0,VLOOKUP(Calculator!E40,tbSkills!AI3:AJ5,2,FALSE),Backdoors!AL4)*(IF((Backdoors!AI12+IF(CH17&gt;=0.45,VLOOKUP(Calculator!E23,tbSkills!DH3:DI6,2,FALSE)+IF(AND(Calculator!B8=TRUE,Backdoors!BI15=TRUE),VLOOKUP(Calculator!E23,tbSkills!DH3:DJ6,3,FALSE),0),0))&gt;=100,100,(Backdoors!AI12+IF(CH17&gt;=0.45,VLOOKUP(Calculator!E23,tbSkills!DH3:DI6,2,FALSE)+IF(AND(Calculator!B8=TRUE,Backdoors!BI15=TRUE),VLOOKUP(Calculator!E23,tbSkills!DH3:DJ6,3,FALSE),0),0)))/100)),1),1)</f>
        <v>0.5</v>
      </c>
      <c r="CN17" s="87">
        <f t="shared" si="7"/>
        <v>0</v>
      </c>
      <c r="CO17" s="86" t="str">
        <f>IFERROR(IF(VLOOKUP(A17,tbMoveset!A2:B112,2,FALSE)="Sever",Backdoors!AY16/100,IF(VLOOKUP(A17,tbMoveset!A2:B112,2,FALSE)="Blunt",Backdoors!AZ16/100,Backdoors!BA16/100)),"")</f>
        <v/>
      </c>
      <c r="CP17" s="49">
        <f>IFERROR(IF(VLOOKUP(tbMoveset!A17,tbMoveset!A2:H112,8,FALSE)="Other",IF(VLOOKUP(tbMoveset!A17,tbMoveset!A2:I112,9,FALSE)="Fire",Backdoors!BB16,IF(VLOOKUP(tbMoveset!A17,tbMoveset!A2:I112,9,FALSE)="Water",Backdoors!BC16,IF(VLOOKUP(tbMoveset!A17,tbMoveset!A2:I112,9,FALSE)="Thunder",Backdoors!BD16,IF(VLOOKUP(tbMoveset!A17,tbMoveset!A2:I112,9,FALSE)="Ice",Backdoors!BE16,IF(VLOOKUP(tbMoveset!A17,tbMoveset!A2:I112,9,FALSE)="Dragon",Backdoors!BF16,Backdoors!BG16)))))/100,Backdoors!BG16/100),"")</f>
        <v>0</v>
      </c>
      <c r="CQ17" s="49">
        <f>IFERROR(IF(VLOOKUP(A17,tbMoveset!A2:J112,10,FALSE)=TRUE,IF((Backdoors!AI12+IF(CO17&gt;=0.45,VLOOKUP(Calculator!E23,tbSkills!DH3:DI6,2,FALSE)+IF(AND(Calculator!B8=TRUE,Backdoors!BI16=TRUE),VLOOKUP(Calculator!E23,tbSkills!DH3:DJ6,3,FALSE),0),0))&gt;=0,1+(Backdoors!AL2*(IF((Backdoors!AI12+IF(CO17&gt;=0.45,VLOOKUP(Calculator!E23,tbSkills!DH3:DI6,2,FALSE)+IF(AND(Calculator!B8=TRUE,Backdoors!BI16=TRUE),VLOOKUP(Calculator!E23,tbSkills!DH3:DJ6,3,FALSE),0),0))&gt;=100,100,(Backdoors!AI12+IF(CO17&gt;=0.45,VLOOKUP(Calculator!E23,tbSkills!DH3:DI6,2,FALSE)+IF(AND(Calculator!B8=TRUE,Backdoors!BI16=TRUE),VLOOKUP(Calculator!E23,tbSkills!DH3:DJ6,3,FALSE),0),0)))/100)),(1-(0.25*((-Backdoors!AI12-IF(CO17&gt;=0.45,VLOOKUP(Calculator!E23,tbSkills!DH3:DI6,2,FALSE)+IF(AND(Calculator!B8=TRUE,Backdoors!BI16=TRUE),VLOOKUP(Calculator!E23,tbSkills!DH3:DJ6,3,FALSE),0),0))/100)))),1),"")</f>
        <v>1</v>
      </c>
      <c r="CR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O17)*CQ17)*(VLOOKUP(A17,tbMoveset!A2:C112,3,FALSE)/100)*IF(VLOOKUP(A17,tbMoveset!A2:B112,2,FALSE)="Projectile",Backdoors!N10,Backdoors!N9),0),"")</f>
        <v/>
      </c>
      <c r="CS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O17&gt;=0.45,VLOOKUP(Calculator!E23,tbSkills!DH3:DI6,2,FALSE)+IF(AND(Calculator!B8=TRUE,Backdoors!BI16=TRUE),VLOOKUP(Calculator!E23,tbSkills!DH3:DJ6,3,FALSE),0),0))&gt;=100,100,(Backdoors!AI12+IF(CO17&gt;=0.45,VLOOKUP(Calculator!E23,tbSkills!DH3:DI6,2,FALSE)+IF(AND(Calculator!B8=TRUE,Backdoors!BI16=TRUE),VLOOKUP(Calculator!E23,tbSkills!DH3:DJ6,3,FALSE),0),0)))/100)),1))*IF(VLOOKUP(A17,tbMoveset!A2:K112,11,FALSE)=TRUE,Backdoors!AC5,1))*CP17,0),"")</f>
        <v>0</v>
      </c>
      <c r="CT17" s="49">
        <f>VLOOKUP(A17,tbMoveset!A2:G112,7,FALSE)*IFERROR(IF(Backdoors!AI12&gt;=0,1+(IF(Calculator!E40&gt;0,VLOOKUP(Calculator!E40,tbSkills!AI3:AJ5,2,FALSE),Backdoors!AL4)*(IF((Backdoors!AI12+IF(CO17&gt;=0.45,VLOOKUP(Calculator!E23,tbSkills!DH3:DI6,2,FALSE)+IF(AND(Calculator!B8=TRUE,Backdoors!BI16=TRUE),VLOOKUP(Calculator!E23,tbSkills!DH3:DJ6,3,FALSE),0),0))&gt;=100,100,(Backdoors!AI12+IF(CO17&gt;=0.45,VLOOKUP(Calculator!E23,tbSkills!DH3:DI6,2,FALSE)+IF(AND(Calculator!B8=TRUE,Backdoors!BI16=TRUE),VLOOKUP(Calculator!E23,tbSkills!DH3:DJ6,3,FALSE),0),0)))/100)),1),1)</f>
        <v>0.5</v>
      </c>
      <c r="CU17" s="87">
        <f t="shared" si="40"/>
        <v>0</v>
      </c>
      <c r="CV17" s="86" t="str">
        <f>IFERROR(IF(VLOOKUP(A17,tbMoveset!A2:B112,2,FALSE)="Sever",Backdoors!AY17/100,IF(VLOOKUP(A17,tbMoveset!A2:B112,2,FALSE)="Blunt",Backdoors!AZ17/100,Backdoors!BA17/100)),"")</f>
        <v/>
      </c>
      <c r="CW17" s="49">
        <f>IFERROR(IF(VLOOKUP(tbMoveset!A17,tbMoveset!A2:H112,8,FALSE)="Other",IF(VLOOKUP(tbMoveset!A17,tbMoveset!A2:I112,9,FALSE)="Fire",Backdoors!BB17,IF(VLOOKUP(tbMoveset!A17,tbMoveset!A2:I112,9,FALSE)="Water",Backdoors!BC17,IF(VLOOKUP(tbMoveset!A17,tbMoveset!A2:I112,9,FALSE)="Thunder",Backdoors!BD17,IF(VLOOKUP(tbMoveset!A17,tbMoveset!A2:I112,9,FALSE)="Ice",Backdoors!BE17,IF(VLOOKUP(tbMoveset!A17,tbMoveset!A2:I112,9,FALSE)="Dragon",Backdoors!BF17,Backdoors!BG17)))))/100,Backdoors!BG17/100),"")</f>
        <v>0</v>
      </c>
      <c r="CX17" s="49">
        <f>IFERROR(IF(VLOOKUP(A17,tbMoveset!A2:J112,10,FALSE)=TRUE,IF((Backdoors!AI12+IF(CV17&gt;=0.45,VLOOKUP(Calculator!E23,tbSkills!DH3:DI6,2,FALSE)+IF(AND(Calculator!B8=TRUE,Backdoors!BI17=TRUE),VLOOKUP(Calculator!E23,tbSkills!DH3:DJ6,3,FALSE),0),0))&gt;=0,1+(Backdoors!AL2*(IF((Backdoors!AI12+IF(CV17&gt;=0.45,VLOOKUP(Calculator!E23,tbSkills!DH3:DI6,2,FALSE)+IF(AND(Calculator!B8=TRUE,Backdoors!BI17=TRUE),VLOOKUP(Calculator!E23,tbSkills!DH3:DJ6,3,FALSE),0),0))&gt;=100,100,(Backdoors!AI12+IF(CV17&gt;=0.45,VLOOKUP(Calculator!E23,tbSkills!DH3:DI6,2,FALSE)+IF(AND(Calculator!B8=TRUE,Backdoors!BI17=TRUE),VLOOKUP(Calculator!E23,tbSkills!DH3:DJ6,3,FALSE),0),0)))/100)),(1-(0.25*((-Backdoors!AI12-IF(CV17&gt;=0.45,VLOOKUP(Calculator!E23,tbSkills!DH3:DI6,2,FALSE)+IF(AND(Calculator!B8=TRUE,Backdoors!BI17=TRUE),VLOOKUP(Calculator!E23,tbSkills!DH3:DJ6,3,FALSE),0),0))/100)))),1),"")</f>
        <v>1</v>
      </c>
      <c r="CY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V17)*CX17)*(VLOOKUP(A17,tbMoveset!A2:C112,3,FALSE)/100)*IF(VLOOKUP(A17,tbMoveset!A2:B112,2,FALSE)="Projectile",Backdoors!N10,Backdoors!N9),0),"")</f>
        <v/>
      </c>
      <c r="CZ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V17&gt;=0.45,VLOOKUP(Calculator!E23,tbSkills!DH3:DI6,2,FALSE)+IF(AND(Calculator!B8=TRUE,Backdoors!BI17=TRUE),VLOOKUP(Calculator!E23,tbSkills!DH3:DJ6,3,FALSE),0),0))&gt;=100,100,(Backdoors!AI12+IF(CV17&gt;=0.45,VLOOKUP(Calculator!E23,tbSkills!DH3:DI6,2,FALSE)+IF(AND(Calculator!B8=TRUE,Backdoors!BI17=TRUE),VLOOKUP(Calculator!E23,tbSkills!DH3:DJ6,3,FALSE),0),0)))/100)),1))*IF(VLOOKUP(A17,tbMoveset!A2:K112,11,FALSE)=TRUE,Backdoors!AC5,1))*CW17,0),"")</f>
        <v>0</v>
      </c>
      <c r="DA17" s="49">
        <f>VLOOKUP(A17,tbMoveset!A2:G112,7,FALSE)*IFERROR(IF(Backdoors!AI12&gt;=0,1+(IF(Calculator!E40&gt;0,VLOOKUP(Calculator!E40,tbSkills!AI3:AJ5,2,FALSE),Backdoors!AL4)*(IF((Backdoors!AI12+IF(CV17&gt;=0.45,VLOOKUP(Calculator!E23,tbSkills!DH3:DI6,2,FALSE)+IF(AND(Calculator!B8=TRUE,Backdoors!BI17=TRUE),VLOOKUP(Calculator!E23,tbSkills!DH3:DJ6,3,FALSE),0),0))&gt;=100,100,(Backdoors!AI12+IF(CV17&gt;=0.45,VLOOKUP(Calculator!E23,tbSkills!DH3:DI6,2,FALSE)+IF(AND(Calculator!B8=TRUE,Backdoors!BI17=TRUE),VLOOKUP(Calculator!E23,tbSkills!DH3:DJ6,3,FALSE),0),0)))/100)),1),1)</f>
        <v>0.5</v>
      </c>
      <c r="DB17" s="87">
        <f t="shared" si="8"/>
        <v>0</v>
      </c>
      <c r="DC17" s="86" t="str">
        <f>IFERROR(IF(VLOOKUP(A17,tbMoveset!A2:B112,2,FALSE)="Sever",Backdoors!AY18/100,IF(VLOOKUP(A17,tbMoveset!A2:B112,2,FALSE)="Blunt",Backdoors!AZ18/100,Backdoors!BA18/100)),"")</f>
        <v/>
      </c>
      <c r="DD17" s="49">
        <f>IFERROR(IF(VLOOKUP(tbMoveset!A17,tbMoveset!A2:H112,8,FALSE)="Other",IF(VLOOKUP(tbMoveset!A17,tbMoveset!A2:I112,9,FALSE)="Fire",Backdoors!BB18,IF(VLOOKUP(tbMoveset!A17,tbMoveset!A2:I112,9,FALSE)="Water",Backdoors!BC18,IF(VLOOKUP(tbMoveset!A17,tbMoveset!A2:I112,9,FALSE)="Thunder",Backdoors!BD18,IF(VLOOKUP(tbMoveset!A17,tbMoveset!A2:I112,9,FALSE)="Ice",Backdoors!BE18,IF(VLOOKUP(tbMoveset!A17,tbMoveset!A2:I112,9,FALSE)="Dragon",Backdoors!BF18,Backdoors!BG18)))))/100,Backdoors!BG18/100),"")</f>
        <v>0</v>
      </c>
      <c r="DE17" s="49">
        <f>IFERROR(IF(VLOOKUP(A17,tbMoveset!A2:J112,10,FALSE)=TRUE,IF((Backdoors!AI12+IF(DC17&gt;=0.45,VLOOKUP(Calculator!E23,tbSkills!DH3:DI6,2,FALSE)+IF(AND(Calculator!B8=TRUE,Backdoors!BI18=TRUE),VLOOKUP(Calculator!E23,tbSkills!DH3:DJ6,3,FALSE),0),0))&gt;=0,1+(Backdoors!AL2*(IF((Backdoors!AI12+IF(DC17&gt;=0.45,VLOOKUP(Calculator!E23,tbSkills!DH3:DI6,2,FALSE)+IF(AND(Calculator!B8=TRUE,Backdoors!BI18=TRUE),VLOOKUP(Calculator!E23,tbSkills!DH3:DJ6,3,FALSE),0),0))&gt;=100,100,(Backdoors!AI12+IF(DC17&gt;=0.45,VLOOKUP(Calculator!E23,tbSkills!DH3:DI6,2,FALSE)+IF(AND(Calculator!B8=TRUE,Backdoors!BI18=TRUE),VLOOKUP(Calculator!E23,tbSkills!DH3:DJ6,3,FALSE),0),0)))/100)),(1-(0.25*((-Backdoors!AI12-IF(DC17&gt;=0.45,VLOOKUP(Calculator!E23,tbSkills!DH3:DI6,2,FALSE)+IF(AND(Calculator!B8=TRUE,Backdoors!BI18=TRUE),VLOOKUP(Calculator!E23,tbSkills!DH3:DJ6,3,FALSE),0),0))/100)))),1),"")</f>
        <v>1</v>
      </c>
      <c r="DF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C17)*DE17)*(VLOOKUP(A17,tbMoveset!A2:C112,3,FALSE)/100)*IF(VLOOKUP(A17,tbMoveset!A2:B112,2,FALSE)="Projectile",Backdoors!N10,Backdoors!N9),0),"")</f>
        <v/>
      </c>
      <c r="DG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C17&gt;=0.45,VLOOKUP(Calculator!E23,tbSkills!DH3:DI6,2,FALSE)+IF(AND(Calculator!B8=TRUE,Backdoors!BI18=TRUE),VLOOKUP(Calculator!E23,tbSkills!DH3:DJ6,3,FALSE),0),0))&gt;=100,100,(Backdoors!AI12+IF(DC17&gt;=0.45,VLOOKUP(Calculator!E23,tbSkills!DH3:DI6,2,FALSE)+IF(AND(Calculator!B8=TRUE,Backdoors!BI18=TRUE),VLOOKUP(Calculator!E23,tbSkills!DH3:DJ6,3,FALSE),0),0)))/100)),1))*IF(VLOOKUP(A17,tbMoveset!A2:K112,11,FALSE)=TRUE,Backdoors!AC5,1))*DD17,0),"")</f>
        <v>0</v>
      </c>
      <c r="DH17" s="49">
        <f>VLOOKUP(A17,tbMoveset!A2:G112,7,FALSE)*IFERROR(IF(Backdoors!AI12&gt;=0,1+(IF(Calculator!E40&gt;0,VLOOKUP(Calculator!E40,tbSkills!AI3:AJ5,2,FALSE),Backdoors!AL4)*(IF((Backdoors!AI12+IF(DC17&gt;=0.45,VLOOKUP(Calculator!E23,tbSkills!DH3:DI6,2,FALSE)+IF(AND(Calculator!B8=TRUE,Backdoors!BI18=TRUE),VLOOKUP(Calculator!E23,tbSkills!DH3:DJ6,3,FALSE),0),0))&gt;=100,100,(Backdoors!AI12+IF(DC17&gt;=0.45,VLOOKUP(Calculator!E23,tbSkills!DH3:DI6,2,FALSE)+IF(AND(Calculator!B8=TRUE,Backdoors!BI18=TRUE),VLOOKUP(Calculator!E23,tbSkills!DH3:DJ6,3,FALSE),0),0)))/100)),1),1)</f>
        <v>0.5</v>
      </c>
      <c r="DI17" s="87">
        <f t="shared" si="9"/>
        <v>0</v>
      </c>
      <c r="DJ17" s="86" t="str">
        <f>IFERROR(IF(VLOOKUP(A17,tbMoveset!A2:B112,2,FALSE)="Sever",Backdoors!AY19/100,IF(VLOOKUP(A17,tbMoveset!A2:B112,2,FALSE)="Blunt",Backdoors!AZ19/100,Backdoors!BA19/100)),"")</f>
        <v/>
      </c>
      <c r="DK17" s="49">
        <f>IFERROR(IF(VLOOKUP(tbMoveset!A17,tbMoveset!A2:H112,8,FALSE)="Other",IF(VLOOKUP(tbMoveset!A17,tbMoveset!A2:I112,9,FALSE)="Fire",Backdoors!BB19,IF(VLOOKUP(tbMoveset!A17,tbMoveset!A2:I112,9,FALSE)="Water",Backdoors!BC19,IF(VLOOKUP(tbMoveset!A17,tbMoveset!A2:I112,9,FALSE)="Thunder",Backdoors!BD19,IF(VLOOKUP(tbMoveset!A17,tbMoveset!A2:I112,9,FALSE)="Ice",Backdoors!BE19,IF(VLOOKUP(tbMoveset!A17,tbMoveset!A2:I112,9,FALSE)="Dragon",Backdoors!BF19,Backdoors!BG19)))))/100,Backdoors!BG19/100),"")</f>
        <v>0</v>
      </c>
      <c r="DL17" s="49">
        <f>IFERROR(IF(VLOOKUP(A17,tbMoveset!A2:J112,10,FALSE)=TRUE,IF((Backdoors!AI12+IF(DJ17&gt;=0.45,VLOOKUP(Calculator!E23,tbSkills!DH3:DI6,2,FALSE)+IF(AND(Calculator!B8=TRUE,Backdoors!BI19=TRUE),VLOOKUP(Calculator!E23,tbSkills!DH3:DJ6,3,FALSE),0),0))&gt;=0,1+(Backdoors!AL2*(IF((Backdoors!AI12+IF(DJ17&gt;=0.45,VLOOKUP(Calculator!E23,tbSkills!DH3:DI6,2,FALSE)+IF(AND(Calculator!B8=TRUE,Backdoors!BI19=TRUE),VLOOKUP(Calculator!E23,tbSkills!DH3:DJ6,3,FALSE),0),0))&gt;=100,100,(Backdoors!AI12+IF(DJ17&gt;=0.45,VLOOKUP(Calculator!E23,tbSkills!DH3:DI6,2,FALSE)+IF(AND(Calculator!B8=TRUE,Backdoors!BI19=TRUE),VLOOKUP(Calculator!E23,tbSkills!DH3:DJ6,3,FALSE),0),0)))/100)),(1-(0.25*((-Backdoors!AI12-IF(DJ17&gt;=0.45,VLOOKUP(Calculator!E23,tbSkills!DH3:DI6,2,FALSE)+IF(AND(Calculator!B8=TRUE,Backdoors!BI19=TRUE),VLOOKUP(Calculator!E23,tbSkills!DH3:DJ6,3,FALSE),0),0))/100)))),1),"")</f>
        <v>1</v>
      </c>
      <c r="DM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J17)*DL17)*(VLOOKUP(A17,tbMoveset!A2:C112,3,FALSE)/100)*IF(VLOOKUP(A17,tbMoveset!A2:B112,2,FALSE)="Projectile",Backdoors!N10,Backdoors!N9),0),"")</f>
        <v/>
      </c>
      <c r="DN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J17&gt;=0.45,VLOOKUP(Calculator!E23,tbSkills!DH3:DI6,2,FALSE)+IF(AND(Calculator!B8=TRUE,Backdoors!BI19=TRUE),VLOOKUP(Calculator!E23,tbSkills!DH3:DJ6,3,FALSE),0),0))&gt;=100,100,(Backdoors!AI12+IF(DJ17&gt;=0.45,VLOOKUP(Calculator!E23,tbSkills!DH3:DI6,2,FALSE)+IF(AND(Calculator!B8=TRUE,Backdoors!BI19=TRUE),VLOOKUP(Calculator!E23,tbSkills!DH3:DJ6,3,FALSE),0),0)))/100)),1))*IF(VLOOKUP(A17,tbMoveset!A2:K112,11,FALSE)=TRUE,Backdoors!AC5,1))*DK17,0),"")</f>
        <v>0</v>
      </c>
      <c r="DO17" s="49">
        <f>VLOOKUP(A17,tbMoveset!A2:G112,7,FALSE)*IFERROR(IF(Backdoors!AI12&gt;=0,1+(IF(Calculator!E40&gt;0,VLOOKUP(Calculator!E40,tbSkills!AI3:AJ5,2,FALSE),Backdoors!AL4)*(IF((Backdoors!AI12+IF(DJ17&gt;=0.45,VLOOKUP(Calculator!E23,tbSkills!DH3:DI6,2,FALSE)+IF(AND(Calculator!B8=TRUE,Backdoors!BI19=TRUE),VLOOKUP(Calculator!E23,tbSkills!DH3:DJ6,3,FALSE),0),0))&gt;=100,100,(Backdoors!AI12+IF(DJ17&gt;=0.45,VLOOKUP(Calculator!E23,tbSkills!DH3:DI6,2,FALSE)+IF(AND(Calculator!B8=TRUE,Backdoors!BI19=TRUE),VLOOKUP(Calculator!E23,tbSkills!DH3:DJ6,3,FALSE),0),0)))/100)),1),1)</f>
        <v>0.5</v>
      </c>
      <c r="DP17" s="87">
        <f t="shared" si="41"/>
        <v>0</v>
      </c>
      <c r="DQ17" s="86" t="str">
        <f>IFERROR(IF(VLOOKUP(A17,tbMoveset!A2:B112,2,FALSE)="Sever",Backdoors!AY20/100,IF(VLOOKUP(A17,tbMoveset!A2:B112,2,FALSE)="Blunt",Backdoors!AZ20/100,Backdoors!BA20/100)),"")</f>
        <v/>
      </c>
      <c r="DR17" s="49">
        <f>IFERROR(IF(VLOOKUP(tbMoveset!A17,tbMoveset!A2:H112,8,FALSE)="Other",IF(VLOOKUP(tbMoveset!A17,tbMoveset!A2:I112,9,FALSE)="Fire",Backdoors!BB20,IF(VLOOKUP(tbMoveset!A17,tbMoveset!A2:I112,9,FALSE)="Water",Backdoors!BC20,IF(VLOOKUP(tbMoveset!A17,tbMoveset!A2:I112,9,FALSE)="Thunder",Backdoors!BD20,IF(VLOOKUP(tbMoveset!A17,tbMoveset!A2:I112,9,FALSE)="Ice",Backdoors!BE20,IF(VLOOKUP(tbMoveset!A17,tbMoveset!A2:I112,9,FALSE)="Dragon",Backdoors!BF20,Backdoors!BG20)))))/100,Backdoors!BG20/100),"")</f>
        <v>0</v>
      </c>
      <c r="DS17" s="49">
        <f>IFERROR(IF(VLOOKUP(A17,tbMoveset!A2:J112,10,FALSE)=TRUE,IF((Backdoors!AI12+IF(DQ17&gt;=0.45,VLOOKUP(Calculator!E23,tbSkills!DH3:DI6,2,FALSE)+IF(AND(Calculator!B8=TRUE,Backdoors!BI20=TRUE),VLOOKUP(Calculator!E23,tbSkills!DH3:DJ6,3,FALSE),0),0))&gt;=0,1+(Backdoors!AL2*(IF((Backdoors!AI12+IF(DQ17&gt;=0.45,VLOOKUP(Calculator!E23,tbSkills!DH3:DI6,2,FALSE)+IF(AND(Calculator!B8=TRUE,Backdoors!BI20=TRUE),VLOOKUP(Calculator!E23,tbSkills!DH3:DJ6,3,FALSE),0),0))&gt;=100,100,(Backdoors!AI12+IF(DQ17&gt;=0.45,VLOOKUP(Calculator!E23,tbSkills!DH3:DI6,2,FALSE)+IF(AND(Calculator!B8=TRUE,Backdoors!BI20=TRUE),VLOOKUP(Calculator!E23,tbSkills!DH3:DJ6,3,FALSE),0),0)))/100)),(1-(0.25*((-Backdoors!AI12-IF(DQ17&gt;=0.45,VLOOKUP(Calculator!E23,tbSkills!DH3:DI6,2,FALSE)+IF(AND(Calculator!B8=TRUE,Backdoors!BI20=TRUE),VLOOKUP(Calculator!E23,tbSkills!DH3:DJ6,3,FALSE),0),0))/100)))),1),"")</f>
        <v>1</v>
      </c>
      <c r="DT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Q17)*DS17)*(VLOOKUP(A17,tbMoveset!A2:C112,3,FALSE)/100)*IF(VLOOKUP(A17,tbMoveset!A2:B112,2,FALSE)="Projectile",Backdoors!N10,Backdoors!N9),0),"")</f>
        <v/>
      </c>
      <c r="DU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Q17&gt;=0.45,VLOOKUP(Calculator!E23,tbSkills!DH3:DI6,2,FALSE)+IF(AND(Calculator!B8=TRUE,Backdoors!BI20=TRUE),VLOOKUP(Calculator!E23,tbSkills!DH3:DJ6,3,FALSE),0),0))&gt;=100,100,(Backdoors!AI12+IF(DQ17&gt;=0.45,VLOOKUP(Calculator!E23,tbSkills!DH3:DI6,2,FALSE)+IF(AND(Calculator!B8=TRUE,Backdoors!BI20=TRUE),VLOOKUP(Calculator!E23,tbSkills!DH3:DJ6,3,FALSE),0),0)))/100)),1))*IF(VLOOKUP(A17,tbMoveset!A2:K112,11,FALSE)=TRUE,Backdoors!AC5,1))*DR17,0),"")</f>
        <v>0</v>
      </c>
      <c r="DV17" s="49">
        <f>VLOOKUP(A17,tbMoveset!A2:G112,7,FALSE)*IFERROR(IF(Backdoors!AI12&gt;=0,1+(IF(Calculator!E40&gt;0,VLOOKUP(Calculator!E40,tbSkills!AI3:AJ5,2,FALSE),Backdoors!AL4)*(IF((Backdoors!AI12+IF(DQ17&gt;=0.45,VLOOKUP(Calculator!E23,tbSkills!DH3:DI6,2,FALSE)+IF(AND(Calculator!B8=TRUE,Backdoors!BI20=TRUE),VLOOKUP(Calculator!E23,tbSkills!DH3:DJ6,3,FALSE),0),0))&gt;=100,100,(Backdoors!AI12+IF(DQ17&gt;=0.45,VLOOKUP(Calculator!E23,tbSkills!DH3:DI6,2,FALSE)+IF(AND(Calculator!B8=TRUE,Backdoors!BI20=TRUE),VLOOKUP(Calculator!E23,tbSkills!DH3:DJ6,3,FALSE),0),0)))/100)),1),1)</f>
        <v>0.5</v>
      </c>
      <c r="DW17" s="87">
        <f t="shared" si="10"/>
        <v>0</v>
      </c>
      <c r="DX17" s="86" t="str">
        <f>IFERROR(IF(VLOOKUP(A17,tbMoveset!A2:B112,2,FALSE)="Sever",Backdoors!AY21/100,IF(VLOOKUP(A17,tbMoveset!A2:B112,2,FALSE)="Blunt",Backdoors!AZ21/100,Backdoors!BA21/100)),"")</f>
        <v/>
      </c>
      <c r="DY17" s="49">
        <f>IFERROR(IF(VLOOKUP(tbMoveset!A17,tbMoveset!A2:H112,8,FALSE)="Other",IF(VLOOKUP(tbMoveset!A17,tbMoveset!A2:I112,9,FALSE)="Fire",Backdoors!BB21,IF(VLOOKUP(tbMoveset!A17,tbMoveset!A2:I112,9,FALSE)="Water",Backdoors!BC21,IF(VLOOKUP(tbMoveset!A17,tbMoveset!A2:I112,9,FALSE)="Thunder",Backdoors!BD21,IF(VLOOKUP(tbMoveset!A17,tbMoveset!A2:I112,9,FALSE)="Ice",Backdoors!BE21,IF(VLOOKUP(tbMoveset!A17,tbMoveset!A2:I112,9,FALSE)="Dragon",Backdoors!BF21,Backdoors!BG21)))))/100,Backdoors!BG21/100),"")</f>
        <v>0</v>
      </c>
      <c r="DZ17" s="49">
        <f>IFERROR(IF(VLOOKUP(A17,tbMoveset!A2:J112,10,FALSE)=TRUE,IF((Backdoors!AI12+IF(DX17&gt;=0.45,VLOOKUP(Calculator!E23,tbSkills!DH3:DI6,2,FALSE)+IF(AND(Calculator!B8=TRUE,Backdoors!BI21=TRUE),VLOOKUP(Calculator!E23,tbSkills!DH3:DJ6,3,FALSE),0),0))&gt;=0,1+(Backdoors!AL2*(IF((Backdoors!AI12+IF(DX17&gt;=0.45,VLOOKUP(Calculator!E23,tbSkills!DH3:DI6,2,FALSE)+IF(AND(Calculator!B8=TRUE,Backdoors!BI21=TRUE),VLOOKUP(Calculator!E23,tbSkills!DH3:DJ6,3,FALSE),0),0))&gt;=100,100,(Backdoors!AI12+IF(DX17&gt;=0.45,VLOOKUP(Calculator!E23,tbSkills!DH3:DI6,2,FALSE)+IF(AND(Calculator!B8=TRUE,Backdoors!BI21=TRUE),VLOOKUP(Calculator!E23,tbSkills!DH3:DJ6,3,FALSE),0),0)))/100)),(1-(0.25*((-Backdoors!AI12-IF(DX17&gt;=0.45,VLOOKUP(Calculator!E23,tbSkills!DH3:DI6,2,FALSE)+IF(AND(Calculator!B8=TRUE,Backdoors!BI21=TRUE),VLOOKUP(Calculator!E23,tbSkills!DH3:DJ6,3,FALSE),0),0))/100)))),1),"")</f>
        <v>1</v>
      </c>
      <c r="EA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X17)*DZ17)*(VLOOKUP(A17,tbMoveset!A2:C112,3,FALSE)/100)*IF(VLOOKUP(A17,tbMoveset!A2:B112,2,FALSE)="Projectile",Backdoors!N10,Backdoors!N9),0),"")</f>
        <v/>
      </c>
      <c r="EB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X17&gt;=0.45,VLOOKUP(Calculator!E23,tbSkills!DH3:DI6,2,FALSE)+IF(AND(Calculator!B8=TRUE,Backdoors!BI21=TRUE),VLOOKUP(Calculator!E23,tbSkills!DH3:DJ6,3,FALSE),0),0))&gt;=100,100,(Backdoors!AI12+IF(DX17&gt;=0.45,VLOOKUP(Calculator!E23,tbSkills!DH3:DI6,2,FALSE)+IF(AND(Calculator!B8=TRUE,Backdoors!BI21=TRUE),VLOOKUP(Calculator!E23,tbSkills!DH3:DJ6,3,FALSE),0),0)))/100)),1))*IF(VLOOKUP(A17,tbMoveset!A2:K112,11,FALSE)=TRUE,Backdoors!AC5,1))*DY17,0),"")</f>
        <v>0</v>
      </c>
      <c r="EC17" s="49">
        <f>VLOOKUP(A17,tbMoveset!A2:G112,7,FALSE)*IFERROR(IF(Backdoors!AI12&gt;=0,1+(IF(Calculator!E40&gt;0,VLOOKUP(Calculator!E40,tbSkills!AI3:AJ5,2,FALSE),Backdoors!AL4)*(IF((Backdoors!AI12+IF(DX17&gt;=0.45,VLOOKUP(Calculator!E23,tbSkills!DH3:DI6,2,FALSE)+IF(AND(Calculator!B8=TRUE,Backdoors!BI21=TRUE),VLOOKUP(Calculator!E23,tbSkills!DH3:DJ6,3,FALSE),0),0))&gt;=100,100,(Backdoors!AI12+IF(DX17&gt;=0.45,VLOOKUP(Calculator!E23,tbSkills!DH3:DI6,2,FALSE)+IF(AND(Calculator!B8=TRUE,Backdoors!BI21=TRUE),VLOOKUP(Calculator!E23,tbSkills!DH3:DJ6,3,FALSE),0),0)))/100)),1),1)</f>
        <v>0.5</v>
      </c>
      <c r="ED17" s="87">
        <f t="shared" si="11"/>
        <v>0</v>
      </c>
      <c r="EE17" s="86" t="str">
        <f>IFERROR(IF(VLOOKUP(A17,tbMoveset!A2:B112,2,FALSE)="Sever",Backdoors!AY22/100,IF(VLOOKUP(A17,tbMoveset!A2:B112,2,FALSE)="Blunt",Backdoors!AZ22/100,Backdoors!BA22/100)),"")</f>
        <v/>
      </c>
      <c r="EF17" s="49">
        <f>IFERROR(IF(VLOOKUP(tbMoveset!A17,tbMoveset!A2:H112,8,FALSE)="Other",IF(VLOOKUP(tbMoveset!A17,tbMoveset!A2:I112,9,FALSE)="Fire",Backdoors!BB22,IF(VLOOKUP(tbMoveset!A17,tbMoveset!A2:I112,9,FALSE)="Water",Backdoors!BC22,IF(VLOOKUP(tbMoveset!A17,tbMoveset!A2:I112,9,FALSE)="Thunder",Backdoors!BD22,IF(VLOOKUP(tbMoveset!A17,tbMoveset!A2:I112,9,FALSE)="Ice",Backdoors!BE22,IF(VLOOKUP(tbMoveset!A17,tbMoveset!A2:I112,9,FALSE)="Dragon",Backdoors!BF22,Backdoors!BG22)))))/100,Backdoors!BG22/100),"")</f>
        <v>0</v>
      </c>
      <c r="EG17" s="49">
        <f>IFERROR(IF(VLOOKUP(A17,tbMoveset!A2:J112,10,FALSE)=TRUE,IF((Backdoors!AI12+IF(EE17&gt;=0.45,VLOOKUP(Calculator!E23,tbSkills!DH3:DI6,2,FALSE)+IF(AND(Calculator!B8=TRUE,Backdoors!BI22=TRUE),VLOOKUP(Calculator!E23,tbSkills!DH3:DJ6,3,FALSE),0),0))&gt;=0,1+(Backdoors!AL2*(IF((Backdoors!AI12+IF(EE17&gt;=0.45,VLOOKUP(Calculator!E23,tbSkills!DH3:DI6,2,FALSE)+IF(AND(Calculator!B8=TRUE,Backdoors!BI22=TRUE),VLOOKUP(Calculator!E23,tbSkills!DH3:DJ6,3,FALSE),0),0))&gt;=100,100,(Backdoors!AI12+IF(EE17&gt;=0.45,VLOOKUP(Calculator!E23,tbSkills!DH3:DI6,2,FALSE)+IF(AND(Calculator!B8=TRUE,Backdoors!BI22=TRUE),VLOOKUP(Calculator!E23,tbSkills!DH3:DJ6,3,FALSE),0),0)))/100)),(1-(0.25*((-Backdoors!AI12-IF(EE17&gt;=0.45,VLOOKUP(Calculator!E23,tbSkills!DH3:DI6,2,FALSE)+IF(AND(Calculator!B8=TRUE,Backdoors!BI22=TRUE),VLOOKUP(Calculator!E23,tbSkills!DH3:DJ6,3,FALSE),0),0))/100)))),1),"")</f>
        <v>1</v>
      </c>
      <c r="EH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E17)*EG17)*(VLOOKUP(A17,tbMoveset!A2:C112,3,FALSE)/100)*IF(VLOOKUP(A17,tbMoveset!A2:B112,2,FALSE)="Projectile",Backdoors!N10,Backdoors!N9),0),"")</f>
        <v/>
      </c>
      <c r="EI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E17&gt;=0.45,VLOOKUP(Calculator!E23,tbSkills!DH3:DI6,2,FALSE)+IF(AND(Calculator!B8=TRUE,Backdoors!BI22=TRUE),VLOOKUP(Calculator!E23,tbSkills!DH3:DJ6,3,FALSE),0),0))&gt;=100,100,(Backdoors!AI12+IF(EE17&gt;=0.45,VLOOKUP(Calculator!E23,tbSkills!DH3:DI6,2,FALSE)+IF(AND(Calculator!B8=TRUE,Backdoors!BI22=TRUE),VLOOKUP(Calculator!E23,tbSkills!DH3:DJ6,3,FALSE),0),0)))/100)),1))*IF(VLOOKUP(A17,tbMoveset!A2:K112,11,FALSE)=TRUE,Backdoors!AC5,1))*EF17,0),"")</f>
        <v>0</v>
      </c>
      <c r="EJ17" s="49">
        <f>VLOOKUP(A17,tbMoveset!A2:G112,7,FALSE)*IFERROR(IF(Backdoors!AI12&gt;=0,1+(IF(Calculator!E40&gt;0,VLOOKUP(Calculator!E40,tbSkills!AI3:AJ5,2,FALSE),Backdoors!AL4)*(IF((Backdoors!AI12+IF(EE17&gt;=0.45,VLOOKUP(Calculator!E23,tbSkills!DH3:DI6,2,FALSE)+IF(AND(Calculator!B8=TRUE,Backdoors!BI22=TRUE),VLOOKUP(Calculator!E23,tbSkills!DH3:DJ6,3,FALSE),0),0))&gt;=100,100,(Backdoors!AI12+IF(EE17&gt;=0.45,VLOOKUP(Calculator!E23,tbSkills!DH3:DI6,2,FALSE)+IF(AND(Calculator!B8=TRUE,Backdoors!BI22=TRUE),VLOOKUP(Calculator!E23,tbSkills!DH3:DJ6,3,FALSE),0),0)))/100)),1),1)</f>
        <v>0.5</v>
      </c>
      <c r="EK17" s="87">
        <f t="shared" si="12"/>
        <v>0</v>
      </c>
      <c r="EL17" s="86" t="str">
        <f>IFERROR(IF(VLOOKUP(A17,tbMoveset!A2:B112,2,FALSE)="Sever",Backdoors!AY23/100,IF(VLOOKUP(A17,tbMoveset!A2:B112,2,FALSE)="Blunt",Backdoors!AZ23/100,Backdoors!BA23/100)),"")</f>
        <v/>
      </c>
      <c r="EM17" s="49">
        <f>IFERROR(IF(VLOOKUP(tbMoveset!A17,tbMoveset!A2:H112,8,FALSE)="Other",IF(VLOOKUP(tbMoveset!A17,tbMoveset!A2:I112,9,FALSE)="Fire",Backdoors!BB23,IF(VLOOKUP(tbMoveset!A17,tbMoveset!A2:I112,9,FALSE)="Water",Backdoors!BC23,IF(VLOOKUP(tbMoveset!A17,tbMoveset!A2:I112,9,FALSE)="Thunder",Backdoors!BD23,IF(VLOOKUP(tbMoveset!A17,tbMoveset!A2:I112,9,FALSE)="Ice",Backdoors!BE23,IF(VLOOKUP(tbMoveset!A17,tbMoveset!A2:I112,9,FALSE)="Dragon",Backdoors!BF23,Backdoors!BG23)))))/100,Backdoors!BG23/100),"")</f>
        <v>0</v>
      </c>
      <c r="EN17" s="49">
        <f>IFERROR(IF(VLOOKUP(A17,tbMoveset!A2:J112,10,FALSE)=TRUE,IF((Backdoors!AI12+IF(EL17&gt;=0.45,VLOOKUP(Calculator!E23,tbSkills!DH3:DI6,2,FALSE)+IF(AND(Calculator!B8=TRUE,Backdoors!BI23=TRUE),VLOOKUP(Calculator!E23,tbSkills!DH3:DJ6,3,FALSE),0),0))&gt;=0,1+(Backdoors!AL2*(IF((Backdoors!AI12+IF(EL17&gt;=0.45,VLOOKUP(Calculator!E23,tbSkills!DH3:DI6,2,FALSE)+IF(AND(Calculator!B8=TRUE,Backdoors!BI23=TRUE),VLOOKUP(Calculator!E23,tbSkills!DH3:DJ6,3,FALSE),0),0))&gt;=100,100,(Backdoors!AI12+IF(EL17&gt;=0.45,VLOOKUP(Calculator!E23,tbSkills!DH3:DI6,2,FALSE)+IF(AND(Calculator!B8=TRUE,Backdoors!BI23=TRUE),VLOOKUP(Calculator!E23,tbSkills!DH3:DJ6,3,FALSE),0),0)))/100)),(1-(0.25*((-Backdoors!AI12-IF(EL17&gt;=0.45,VLOOKUP(Calculator!E23,tbSkills!DH3:DI6,2,FALSE)+IF(AND(Calculator!B8=TRUE,Backdoors!BI23=TRUE),VLOOKUP(Calculator!E23,tbSkills!DH3:DJ6,3,FALSE),0),0))/100)))),1),"")</f>
        <v>1</v>
      </c>
      <c r="EO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L17)*EN17)*(VLOOKUP(A17,tbMoveset!A2:C112,3,FALSE)/100)*IF(VLOOKUP(A17,tbMoveset!A2:B112,2,FALSE)="Projectile",Backdoors!N10,Backdoors!N9),0),"")</f>
        <v/>
      </c>
      <c r="EP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L17&gt;=0.45,VLOOKUP(Calculator!E23,tbSkills!DH3:DI6,2,FALSE)+IF(AND(Calculator!B8=TRUE,Backdoors!BI23=TRUE),VLOOKUP(Calculator!E23,tbSkills!DH3:DJ6,3,FALSE),0),0))&gt;=100,100,(Backdoors!AI12+IF(EL17&gt;=0.45,VLOOKUP(Calculator!E23,tbSkills!DH3:DI6,2,FALSE)+IF(AND(Calculator!B8=TRUE,Backdoors!BI23=TRUE),VLOOKUP(Calculator!E23,tbSkills!DH3:DJ6,3,FALSE),0),0)))/100)),1))*IF(VLOOKUP(A17,tbMoveset!A2:K112,11,FALSE)=TRUE,Backdoors!AC5,1))*EM17,0),"")</f>
        <v>0</v>
      </c>
      <c r="EQ17" s="49">
        <f>VLOOKUP(A17,tbMoveset!A2:G112,7,FALSE)*IFERROR(IF(Backdoors!AI12&gt;=0,1+(IF(Calculator!E40&gt;0,VLOOKUP(Calculator!E40,tbSkills!AI3:AJ5,2,FALSE),Backdoors!AL4)*(IF((Backdoors!AI12+IF(EL17&gt;=0.45,VLOOKUP(Calculator!E23,tbSkills!DH3:DI6,2,FALSE)+IF(AND(Calculator!B8=TRUE,Backdoors!BI23=TRUE),VLOOKUP(Calculator!E23,tbSkills!DH3:DJ6,3,FALSE),0),0))&gt;=100,100,(Backdoors!AI12+IF(EL17&gt;=0.45,VLOOKUP(Calculator!E23,tbSkills!DH3:DI6,2,FALSE)+IF(AND(Calculator!B8=TRUE,Backdoors!BI23=TRUE),VLOOKUP(Calculator!E23,tbSkills!DH3:DJ6,3,FALSE),0),0)))/100)),1),1)</f>
        <v>0.5</v>
      </c>
      <c r="ER17" s="87">
        <f t="shared" si="13"/>
        <v>0</v>
      </c>
      <c r="ES17" s="86" t="str">
        <f>IFERROR(IF(VLOOKUP(A17,tbMoveset!A2:B112,2,FALSE)="Sever",Backdoors!AY24/100,IF(VLOOKUP(A17,tbMoveset!A2:B112,2,FALSE)="Blunt",Backdoors!AZ24/100,Backdoors!BA24/100)),"")</f>
        <v/>
      </c>
      <c r="ET17" s="49">
        <f>IFERROR(IF(VLOOKUP(tbMoveset!A17,tbMoveset!A2:H112,8,FALSE)="Other",IF(VLOOKUP(tbMoveset!A17,tbMoveset!A2:I112,9,FALSE)="Fire",Backdoors!BB24,IF(VLOOKUP(tbMoveset!A17,tbMoveset!A2:I112,9,FALSE)="Water",Backdoors!BC24,IF(VLOOKUP(tbMoveset!A17,tbMoveset!A2:I112,9,FALSE)="Thunder",Backdoors!BD24,IF(VLOOKUP(tbMoveset!A17,tbMoveset!A2:I112,9,FALSE)="Ice",Backdoors!BE24,IF(VLOOKUP(tbMoveset!A17,tbMoveset!A2:I112,9,FALSE)="Dragon",Backdoors!BF24,Backdoors!BG24)))))/100,Backdoors!BG24/100),"")</f>
        <v>0</v>
      </c>
      <c r="EU17" s="49">
        <f>IFERROR(IF(VLOOKUP(A17,tbMoveset!A2:J112,10,FALSE)=TRUE,IF((Backdoors!AI12+IF(ES17&gt;=0.45,VLOOKUP(Calculator!E23,tbSkills!DH3:DI6,2,FALSE)+IF(AND(Calculator!B8=TRUE,Backdoors!BI24=TRUE),VLOOKUP(Calculator!E23,tbSkills!DH3:DJ6,3,FALSE),0),0))&gt;=0,1+(Backdoors!AL2*(IF((Backdoors!AI12+IF(ES17&gt;=0.45,VLOOKUP(Calculator!E23,tbSkills!DH3:DI6,2,FALSE)+IF(AND(Calculator!B8=TRUE,Backdoors!BI24=TRUE),VLOOKUP(Calculator!E23,tbSkills!DH3:DJ6,3,FALSE),0),0))&gt;=100,100,(Backdoors!AI12+IF(ES17&gt;=0.45,VLOOKUP(Calculator!E23,tbSkills!DH3:DI6,2,FALSE)+IF(AND(Calculator!B8=TRUE,Backdoors!BI24=TRUE),VLOOKUP(Calculator!E23,tbSkills!DH3:DJ6,3,FALSE),0),0)))/100)),(1-(0.25*((-Backdoors!AI12-IF(ES17&gt;=0.45,VLOOKUP(Calculator!E23,tbSkills!DH3:DI6,2,FALSE)+IF(AND(Calculator!B8=TRUE,Backdoors!BI24=TRUE),VLOOKUP(Calculator!E23,tbSkills!DH3:DJ6,3,FALSE),0),0))/100)))),1),"")</f>
        <v>1</v>
      </c>
      <c r="EV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S17)*EU17)*(VLOOKUP(A17,tbMoveset!A2:C112,3,FALSE)/100)*IF(VLOOKUP(A17,tbMoveset!A2:B112,2,FALSE)="Projectile",Backdoors!N10,Backdoors!N9),0),"")</f>
        <v/>
      </c>
      <c r="EW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S17&gt;=0.45,VLOOKUP(Calculator!E23,tbSkills!DH3:DI6,2,FALSE)+IF(AND(Calculator!B8=TRUE,Backdoors!BI24=TRUE),VLOOKUP(Calculator!E23,tbSkills!DH3:DJ6,3,FALSE),0),0))&gt;=100,100,(Backdoors!AI12+IF(ES17&gt;=0.45,VLOOKUP(Calculator!E23,tbSkills!DH3:DI6,2,FALSE)+IF(AND(Calculator!B8=TRUE,Backdoors!BI24=TRUE),VLOOKUP(Calculator!E23,tbSkills!DH3:DJ6,3,FALSE),0),0)))/100)),1))*IF(VLOOKUP(A17,tbMoveset!A2:K112,11,FALSE)=TRUE,Backdoors!AC5,1))*ET17,0),"")</f>
        <v>0</v>
      </c>
      <c r="EX17" s="49">
        <f>VLOOKUP(A17,tbMoveset!A2:G112,7,FALSE)*IFERROR(IF(Backdoors!AI12&gt;=0,1+(IF(Calculator!E40&gt;0,VLOOKUP(Calculator!E40,tbSkills!AI3:AJ5,2,FALSE),Backdoors!AL4)*(IF((Backdoors!AI12+IF(ES17&gt;=0.45,VLOOKUP(Calculator!E23,tbSkills!DH3:DI6,2,FALSE)+IF(AND(Calculator!B8=TRUE,Backdoors!BI24=TRUE),VLOOKUP(Calculator!E23,tbSkills!DH3:DJ6,3,FALSE),0),0))&gt;=100,100,(Backdoors!AI12+IF(ES17&gt;=0.45,VLOOKUP(Calculator!E23,tbSkills!DH3:DI6,2,FALSE)+IF(AND(Calculator!B8=TRUE,Backdoors!BI24=TRUE),VLOOKUP(Calculator!E23,tbSkills!DH3:DJ6,3,FALSE),0),0)))/100)),1),1)</f>
        <v>0.5</v>
      </c>
      <c r="EY17" s="87">
        <f t="shared" si="14"/>
        <v>0</v>
      </c>
      <c r="EZ17" s="86" t="str">
        <f>IFERROR(IF(VLOOKUP(A17,tbMoveset!A2:B112,2,FALSE)="Sever",Backdoors!AY25/100,IF(VLOOKUP(A17,tbMoveset!A2:B112,2,FALSE)="Blunt",Backdoors!AZ25/100,Backdoors!BA25/100)),"")</f>
        <v/>
      </c>
      <c r="FA17" s="49">
        <f>IFERROR(IF(VLOOKUP(tbMoveset!A17,tbMoveset!A2:H112,8,FALSE)="Other",IF(VLOOKUP(tbMoveset!A17,tbMoveset!A2:I112,9,FALSE)="Fire",Backdoors!BB25,IF(VLOOKUP(tbMoveset!A17,tbMoveset!A2:I112,9,FALSE)="Water",Backdoors!BC25,IF(VLOOKUP(tbMoveset!A17,tbMoveset!A2:I112,9,FALSE)="Thunder",Backdoors!BD25,IF(VLOOKUP(tbMoveset!A17,tbMoveset!A2:I112,9,FALSE)="Ice",Backdoors!BE25,IF(VLOOKUP(tbMoveset!A17,tbMoveset!A2:I112,9,FALSE)="Dragon",Backdoors!BF25,Backdoors!BG25)))))/100,Backdoors!BG25/100),"")</f>
        <v>0</v>
      </c>
      <c r="FB17" s="49">
        <f>IFERROR(IF(VLOOKUP(A17,tbMoveset!A2:J112,10,FALSE)=TRUE,IF((Backdoors!AI12+IF(EZ17&gt;=0.45,VLOOKUP(Calculator!E23,tbSkills!DH3:DI6,2,FALSE)+IF(AND(Calculator!B8=TRUE,Backdoors!BI25=TRUE),VLOOKUP(Calculator!E23,tbSkills!DH3:DJ6,3,FALSE),0),0))&gt;=0,1+(Backdoors!AL2*(IF((Backdoors!AI12+IF(EZ17&gt;=0.45,VLOOKUP(Calculator!E23,tbSkills!DH3:DI6,2,FALSE)+IF(AND(Calculator!B8=TRUE,Backdoors!BI25=TRUE),VLOOKUP(Calculator!E23,tbSkills!DH3:DJ6,3,FALSE),0),0))&gt;=100,100,(Backdoors!AI12+IF(EZ17&gt;=0.45,VLOOKUP(Calculator!E23,tbSkills!DH3:DI6,2,FALSE)+IF(AND(Calculator!B8=TRUE,Backdoors!BI25=TRUE),VLOOKUP(Calculator!E23,tbSkills!DH3:DJ6,3,FALSE),0),0)))/100)),(1-(0.25*((-Backdoors!AI12-IF(EZ17&gt;=0.45,VLOOKUP(Calculator!E23,tbSkills!DH3:DI6,2,FALSE)+IF(AND(Calculator!B8=TRUE,Backdoors!BI25=TRUE),VLOOKUP(Calculator!E23,tbSkills!DH3:DJ6,3,FALSE),0),0))/100)))),1),"")</f>
        <v>1</v>
      </c>
      <c r="FC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Z17)*FB17)*(VLOOKUP(A17,tbMoveset!A2:C112,3,FALSE)/100)*IF(VLOOKUP(A17,tbMoveset!A2:B112,2,FALSE)="Projectile",Backdoors!N10,Backdoors!N9),0),"")</f>
        <v/>
      </c>
      <c r="FD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Z17&gt;=0.45,VLOOKUP(Calculator!E23,tbSkills!DH3:DI6,2,FALSE)+IF(AND(Calculator!B8=TRUE,Backdoors!BI25=TRUE),VLOOKUP(Calculator!E23,tbSkills!DH3:DJ6,3,FALSE),0),0))&gt;=100,100,(Backdoors!AI12+IF(EZ17&gt;=0.45,VLOOKUP(Calculator!E23,tbSkills!DH3:DI6,2,FALSE)+IF(AND(Calculator!B8=TRUE,Backdoors!BI25=TRUE),VLOOKUP(Calculator!E23,tbSkills!DH3:DJ6,3,FALSE),0),0)))/100)),1))*IF(VLOOKUP(A17,tbMoveset!A2:K112,11,FALSE)=TRUE,Backdoors!AC5,1))*FA17,0),"")</f>
        <v>0</v>
      </c>
      <c r="FE17" s="49">
        <f>VLOOKUP(A17,tbMoveset!A2:G112,7,FALSE)*IFERROR(IF(Backdoors!AI12&gt;=0,1+(IF(Calculator!E40&gt;0,VLOOKUP(Calculator!E40,tbSkills!AI3:AJ5,2,FALSE),Backdoors!AL4)*(IF((Backdoors!AI12+IF(EZ17&gt;=0.45,VLOOKUP(Calculator!E23,tbSkills!DH3:DI6,2,FALSE)+IF(AND(Calculator!B8=TRUE,Backdoors!BI25=TRUE),VLOOKUP(Calculator!E23,tbSkills!DH3:DJ6,3,FALSE),0),0))&gt;=100,100,(Backdoors!AI12+IF(EZ17&gt;=0.45,VLOOKUP(Calculator!E23,tbSkills!DH3:DI6,2,FALSE)+IF(AND(Calculator!B8=TRUE,Backdoors!BI25=TRUE),VLOOKUP(Calculator!E23,tbSkills!DH3:DJ6,3,FALSE),0),0)))/100)),1),1)</f>
        <v>0.5</v>
      </c>
      <c r="FF17" s="87">
        <f t="shared" si="15"/>
        <v>0</v>
      </c>
      <c r="FG17" s="86" t="str">
        <f>IFERROR(IF(VLOOKUP(A17,tbMoveset!A2:B112,2,FALSE)="Sever",Backdoors!AY26/100,IF(VLOOKUP(A17,tbMoveset!A2:B112,2,FALSE)="Blunt",Backdoors!AZ26/100,Backdoors!BA26/100)),"")</f>
        <v/>
      </c>
      <c r="FH17" s="49">
        <f>IFERROR(IF(VLOOKUP(tbMoveset!A17,tbMoveset!A2:H112,8,FALSE)="Other",IF(VLOOKUP(tbMoveset!A17,tbMoveset!A2:I112,9,FALSE)="Fire",Backdoors!BB26,IF(VLOOKUP(tbMoveset!A17,tbMoveset!A2:I112,9,FALSE)="Water",Backdoors!BC26,IF(VLOOKUP(tbMoveset!A17,tbMoveset!A2:I112,9,FALSE)="Thunder",Backdoors!BD26,IF(VLOOKUP(tbMoveset!A17,tbMoveset!A2:I112,9,FALSE)="Ice",Backdoors!BE26,IF(VLOOKUP(tbMoveset!A17,tbMoveset!A2:I112,9,FALSE)="Dragon",Backdoors!BF26,Backdoors!BG26)))))/100,Backdoors!BG26/100),"")</f>
        <v>0</v>
      </c>
      <c r="FI17" s="49">
        <f>IFERROR(IF(VLOOKUP(A17,tbMoveset!A2:J112,10,FALSE)=TRUE,IF((Backdoors!AI12+IF(FG17&gt;=0.45,VLOOKUP(Calculator!E23,tbSkills!DH3:DI6,2,FALSE)+IF(AND(Calculator!B8=TRUE,Backdoors!BI26=TRUE),VLOOKUP(Calculator!E23,tbSkills!DH3:DJ6,3,FALSE),0),0))&gt;=0,1+(Backdoors!AL2*(IF((Backdoors!AI12+IF(FG17&gt;=0.45,VLOOKUP(Calculator!E23,tbSkills!DH3:DI6,2,FALSE)+IF(AND(Calculator!B8=TRUE,Backdoors!BI26=TRUE),VLOOKUP(Calculator!E23,tbSkills!DH3:DJ6,3,FALSE),0),0))&gt;=100,100,(Backdoors!AI12+IF(FG17&gt;=0.45,VLOOKUP(Calculator!E23,tbSkills!DH3:DI6,2,FALSE)+IF(AND(Calculator!B8=TRUE,Backdoors!BI26=TRUE),VLOOKUP(Calculator!E23,tbSkills!DH3:DJ6,3,FALSE),0),0)))/100)),(1-(0.25*((-Backdoors!AI12-IF(FG17&gt;=0.45,VLOOKUP(Calculator!E23,tbSkills!DH3:DI6,2,FALSE)+IF(AND(Calculator!B8=TRUE,Backdoors!BI26=TRUE),VLOOKUP(Calculator!E23,tbSkills!DH3:DJ6,3,FALSE),0),0))/100)))),1),"")</f>
        <v>1</v>
      </c>
      <c r="FJ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FG17)*FI17)*(VLOOKUP(A17,tbMoveset!A2:C112,3,FALSE)/100)*IF(VLOOKUP(A17,tbMoveset!A2:B112,2,FALSE)="Projectile",Backdoors!N10,Backdoors!N9),0),"")</f>
        <v/>
      </c>
      <c r="FK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FG17&gt;=0.45,VLOOKUP(Calculator!E23,tbSkills!DH3:DI6,2,FALSE)+IF(AND(Calculator!B8=TRUE,Backdoors!BI26=TRUE),VLOOKUP(Calculator!E23,tbSkills!DH3:DJ6,3,FALSE),0),0))&gt;=100,100,(Backdoors!AI12+IF(FG17&gt;=0.45,VLOOKUP(Calculator!E23,tbSkills!DH3:DI6,2,FALSE)+IF(AND(Calculator!B8=TRUE,Backdoors!BI26=TRUE),VLOOKUP(Calculator!E23,tbSkills!DH3:DJ6,3,FALSE),0),0)))/100)),1))*IF(VLOOKUP(A17,tbMoveset!A2:K112,11,FALSE)=TRUE,Backdoors!AC5,1))*FH17,0),"")</f>
        <v>0</v>
      </c>
      <c r="FL17" s="49">
        <f>VLOOKUP(A17,tbMoveset!A2:G112,7,FALSE)*IFERROR(IF(Backdoors!AI12&gt;=0,1+(IF(Calculator!E40&gt;0,VLOOKUP(Calculator!E40,tbSkills!AI3:AJ5,2,FALSE),Backdoors!AL4)*(IF((Backdoors!AI12+IF(FG17&gt;=0.45,VLOOKUP(Calculator!E23,tbSkills!DH3:DI6,2,FALSE)+IF(AND(Calculator!B8=TRUE,Backdoors!BI26=TRUE),VLOOKUP(Calculator!E23,tbSkills!DH3:DJ6,3,FALSE),0),0))&gt;=100,100,(Backdoors!AI12+IF(FG17&gt;=0.45,VLOOKUP(Calculator!E23,tbSkills!DH3:DI6,2,FALSE)+IF(AND(Calculator!B8=TRUE,Backdoors!BI26=TRUE),VLOOKUP(Calculator!E23,tbSkills!DH3:DJ6,3,FALSE),0),0)))/100)),1),1)</f>
        <v>0.5</v>
      </c>
      <c r="FM17" s="87">
        <f t="shared" si="16"/>
        <v>0</v>
      </c>
      <c r="FN17" s="86" t="str">
        <f>IFERROR(IF(VLOOKUP(A17,tbMoveset!A2:B112,2,FALSE)="Sever",Backdoors!AY27/100,IF(VLOOKUP(A17,tbMoveset!A2:B112,2,FALSE)="Blunt",Backdoors!AZ27/100,Backdoors!BA27/100)),"")</f>
        <v/>
      </c>
      <c r="FO17" s="49">
        <f>IFERROR(IF(VLOOKUP(tbMoveset!A17,tbMoveset!A2:H112,8,FALSE)="Other",IF(VLOOKUP(tbMoveset!A17,tbMoveset!A2:I112,9,FALSE)="Fire",Backdoors!BB27,IF(VLOOKUP(tbMoveset!A17,tbMoveset!A2:I112,9,FALSE)="Water",Backdoors!BC27,IF(VLOOKUP(tbMoveset!A17,tbMoveset!A2:I112,9,FALSE)="Thunder",Backdoors!BD27,IF(VLOOKUP(tbMoveset!A17,tbMoveset!A2:I112,9,FALSE)="Ice",Backdoors!BE27,IF(VLOOKUP(tbMoveset!A17,tbMoveset!A2:I112,9,FALSE)="Dragon",Backdoors!BF27,Backdoors!BG27)))))/100,Backdoors!BG27/100),"")</f>
        <v>0</v>
      </c>
      <c r="FP17" s="49">
        <f>IFERROR(IF(VLOOKUP(A17,tbMoveset!A2:J112,10,FALSE)=TRUE,IF((Backdoors!AI12+IF(FN17&gt;=0.45,VLOOKUP(Calculator!E23,tbSkills!DH3:DI6,2,FALSE)+IF(AND(Calculator!B8=TRUE,Backdoors!BI27=TRUE),VLOOKUP(Calculator!E23,tbSkills!DH3:DJ6,3,FALSE),0),0))&gt;=0,1+(Backdoors!AL2*(IF((Backdoors!AI12+IF(FN17&gt;=0.45,VLOOKUP(Calculator!E23,tbSkills!DH3:DI6,2,FALSE)+IF(AND(Calculator!B8=TRUE,Backdoors!BI27=TRUE),VLOOKUP(Calculator!E23,tbSkills!DH3:DJ6,3,FALSE),0),0))&gt;=100,100,(Backdoors!AI12+IF(FN17&gt;=0.45,VLOOKUP(Calculator!E23,tbSkills!DH3:DI6,2,FALSE)+IF(AND(Calculator!B8=TRUE,Backdoors!BI27=TRUE),VLOOKUP(Calculator!E23,tbSkills!DH3:DJ6,3,FALSE),0),0)))/100)),(1-(0.25*((-Backdoors!AI12-IF(FN17&gt;=0.45,VLOOKUP(Calculator!E23,tbSkills!DH3:DI6,2,FALSE)+IF(AND(Calculator!B8=TRUE,Backdoors!BI27=TRUE),VLOOKUP(Calculator!E23,tbSkills!DH3:DJ6,3,FALSE),0),0))/100)))),1),"")</f>
        <v>1</v>
      </c>
      <c r="FQ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FN17)*FP17)*(VLOOKUP(A17,tbMoveset!A2:C112,3,FALSE)/100)*IF(VLOOKUP(A17,tbMoveset!A2:B112,2,FALSE)="Projectile",Backdoors!N10,Backdoors!N9),0),"")</f>
        <v/>
      </c>
      <c r="FR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FN17&gt;=0.45,VLOOKUP(Calculator!E23,tbSkills!DH3:DI6,2,FALSE)+IF(AND(Calculator!B8=TRUE,Backdoors!BI27=TRUE),VLOOKUP(Calculator!E23,tbSkills!DH3:DJ6,3,FALSE),0),0))&gt;=100,100,(Backdoors!AI12+IF(FN17&gt;=0.45,VLOOKUP(Calculator!E23,tbSkills!DH3:DI6,2,FALSE)+IF(AND(Calculator!B8=TRUE,Backdoors!BI27=TRUE),VLOOKUP(Calculator!E23,tbSkills!DH3:DJ6,3,FALSE),0),0)))/100)),1))*IF(VLOOKUP(A17,tbMoveset!A2:K112,11,FALSE)=TRUE,Backdoors!AC5,1))*FO17,0),"")</f>
        <v>0</v>
      </c>
      <c r="FS17" s="49">
        <f>VLOOKUP(A17,tbMoveset!A2:G112,7,FALSE)*IFERROR(IF(Backdoors!AI12&gt;=0,1+(IF(Calculator!E40&gt;0,VLOOKUP(Calculator!E40,tbSkills!AI3:AJ5,2,FALSE),Backdoors!AL4)*(IF((Backdoors!AI12+IF(FN17&gt;=0.45,VLOOKUP(Calculator!E23,tbSkills!DH3:DI6,2,FALSE)+IF(AND(Calculator!B8=TRUE,Backdoors!BI27=TRUE),VLOOKUP(Calculator!E23,tbSkills!DH3:DJ6,3,FALSE),0),0))&gt;=100,100,(Backdoors!AI12+IF(FN17&gt;=0.45,VLOOKUP(Calculator!E23,tbSkills!DH3:DI6,2,FALSE)+IF(AND(Calculator!B8=TRUE,Backdoors!BI27=TRUE),VLOOKUP(Calculator!E23,tbSkills!DH3:DJ6,3,FALSE),0),0)))/100)),1),1)</f>
        <v>0.5</v>
      </c>
      <c r="FT17" s="87">
        <f t="shared" si="17"/>
        <v>0</v>
      </c>
      <c r="FU17" s="86" t="str">
        <f>IFERROR(IF(VLOOKUP(A17,tbMoveset!A2:B112,2,FALSE)="Sever",Backdoors!AY28/100,IF(VLOOKUP(A17,tbMoveset!A2:B112,2,FALSE)="Blunt",Backdoors!AZ28/100,Backdoors!BA28/100)),"")</f>
        <v/>
      </c>
      <c r="FV17" s="49">
        <f>IFERROR(IF(VLOOKUP(tbMoveset!A17,tbMoveset!A2:H112,8,FALSE)="Other",IF(VLOOKUP(tbMoveset!A17,tbMoveset!A2:I112,9,FALSE)="Fire",Backdoors!BB28,IF(VLOOKUP(tbMoveset!A17,tbMoveset!A2:I112,9,FALSE)="Water",Backdoors!BC28,IF(VLOOKUP(tbMoveset!A17,tbMoveset!A2:I112,9,FALSE)="Thunder",Backdoors!BD28,IF(VLOOKUP(tbMoveset!A17,tbMoveset!A2:I112,9,FALSE)="Ice",Backdoors!BE28,IF(VLOOKUP(tbMoveset!A17,tbMoveset!A2:I112,9,FALSE)="Dragon",Backdoors!BF28,Backdoors!BG28)))))/100,Backdoors!BG28/100),"")</f>
        <v>0</v>
      </c>
      <c r="FW17" s="49">
        <f>IFERROR(IF(VLOOKUP(A17,tbMoveset!A2:J112,10,FALSE)=TRUE,IF((Backdoors!AI12+IF(FU17&gt;=0.45,VLOOKUP(Calculator!E23,tbSkills!DH3:DI6,2,FALSE)+IF(AND(Calculator!B8=TRUE,Backdoors!BI28=TRUE),VLOOKUP(Calculator!E23,tbSkills!DH3:DJ6,3,FALSE),0),0))&gt;=0,1+(Backdoors!AL2*(IF((Backdoors!AI12+IF(FU17&gt;=0.45,VLOOKUP(Calculator!E23,tbSkills!DH3:DI6,2,FALSE)+IF(AND(Calculator!B8=TRUE,Backdoors!BI28=TRUE),VLOOKUP(Calculator!E23,tbSkills!DH3:DJ6,3,FALSE),0),0))&gt;=100,100,(Backdoors!AI12+IF(FU17&gt;=0.45,VLOOKUP(Calculator!E23,tbSkills!DH3:DI6,2,FALSE)+IF(AND(Calculator!B8=TRUE,Backdoors!BI28=TRUE),VLOOKUP(Calculator!E23,tbSkills!DH3:DJ6,3,FALSE),0),0)))/100)),(1-(0.25*((-Backdoors!AI12-IF(FU17&gt;=0.45,VLOOKUP(Calculator!E23,tbSkills!DH3:DI6,2,FALSE)+IF(AND(Calculator!B8=TRUE,Backdoors!BI28=TRUE),VLOOKUP(Calculator!E23,tbSkills!DH3:DJ6,3,FALSE),0),0))/100)))),1),"")</f>
        <v>1</v>
      </c>
      <c r="FX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FU17)*FW17)*(VLOOKUP(A17,tbMoveset!A2:C112,3,FALSE)/100)*IF(VLOOKUP(A17,tbMoveset!A2:B112,2,FALSE)="Projectile",Backdoors!N10,Backdoors!N9),0),"")</f>
        <v/>
      </c>
      <c r="FY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FU17&gt;=0.45,VLOOKUP(Calculator!E23,tbSkills!DH3:DI6,2,FALSE)+IF(AND(Calculator!B8=TRUE,Backdoors!BI28=TRUE),VLOOKUP(Calculator!E23,tbSkills!DH3:DJ6,3,FALSE),0),0))&gt;=100,100,(Backdoors!AI12+IF(FU17&gt;=0.45,VLOOKUP(Calculator!E23,tbSkills!DH3:DI6,2,FALSE)+IF(AND(Calculator!B8=TRUE,Backdoors!BI28=TRUE),VLOOKUP(Calculator!E23,tbSkills!DH3:DJ6,3,FALSE),0),0)))/100)),1))*IF(VLOOKUP(A17,tbMoveset!A2:K112,11,FALSE)=TRUE,Backdoors!AC5,1))*FV17,0),"")</f>
        <v>0</v>
      </c>
      <c r="FZ17" s="49">
        <f>VLOOKUP(A17,tbMoveset!A2:G112,7,FALSE)*IFERROR(IF(Backdoors!AI12&gt;=0,1+(IF(Calculator!E40&gt;0,VLOOKUP(Calculator!E40,tbSkills!AI3:AJ5,2,FALSE),Backdoors!AL4)*(IF((Backdoors!AI12+IF(FU17&gt;=0.45,VLOOKUP(Calculator!E23,tbSkills!DH3:DI6,2,FALSE)+IF(AND(Calculator!B8=TRUE,Backdoors!BI28=TRUE),VLOOKUP(Calculator!E23,tbSkills!DH3:DJ6,3,FALSE),0),0))&gt;=100,100,(Backdoors!AI12+IF(FU17&gt;=0.45,VLOOKUP(Calculator!E23,tbSkills!DH3:DI6,2,FALSE)+IF(AND(Calculator!B8=TRUE,Backdoors!BI28=TRUE),VLOOKUP(Calculator!E23,tbSkills!DH3:DJ6,3,FALSE),0),0)))/100)),1),1)</f>
        <v>0.5</v>
      </c>
      <c r="GA17" s="87">
        <f t="shared" si="18"/>
        <v>0</v>
      </c>
      <c r="GB17" s="86" t="str">
        <f>IFERROR(IF(VLOOKUP(A17,tbMoveset!A2:B112,2,FALSE)="Sever",Backdoors!AY29/100,IF(VLOOKUP(A17,tbMoveset!A2:B112,2,FALSE)="Blunt",Backdoors!AZ29/100,Backdoors!BA29/100)),"")</f>
        <v/>
      </c>
      <c r="GC17" s="49">
        <f>IFERROR(IF(VLOOKUP(tbMoveset!A17,tbMoveset!A2:H112,8,FALSE)="Other",IF(VLOOKUP(tbMoveset!A17,tbMoveset!A2:I112,9,FALSE)="Fire",Backdoors!BB29,IF(VLOOKUP(tbMoveset!A17,tbMoveset!A2:I112,9,FALSE)="Water",Backdoors!BC29,IF(VLOOKUP(tbMoveset!A17,tbMoveset!A2:I112,9,FALSE)="Thunder",Backdoors!BD29,IF(VLOOKUP(tbMoveset!A17,tbMoveset!A2:I112,9,FALSE)="Ice",Backdoors!BE29,IF(VLOOKUP(tbMoveset!A17,tbMoveset!A2:I112,9,FALSE)="Dragon",Backdoors!BF29,Backdoors!BG29)))))/100,Backdoors!BG29/100),"")</f>
        <v>0</v>
      </c>
      <c r="GD17" s="49">
        <f>IFERROR(IF(VLOOKUP(A17,tbMoveset!A2:J112,10,FALSE)=TRUE,IF((Backdoors!AI12+IF(GB17&gt;=0.45,VLOOKUP(Calculator!E23,tbSkills!DH3:DI6,2,FALSE)+IF(AND(Calculator!B8=TRUE,Backdoors!BI29=TRUE),VLOOKUP(Calculator!E23,tbSkills!DH3:DJ6,3,FALSE),0),0))&gt;=0,1+(Backdoors!AL2*(IF((Backdoors!AI12+IF(GB17&gt;=0.45,VLOOKUP(Calculator!E23,tbSkills!DH3:DI6,2,FALSE)+IF(AND(Calculator!B8=TRUE,Backdoors!BI29=TRUE),VLOOKUP(Calculator!E23,tbSkills!DH3:DJ6,3,FALSE),0),0))&gt;=100,100,(Backdoors!AI12+IF(GB17&gt;=0.45,VLOOKUP(Calculator!E23,tbSkills!DH3:DI6,2,FALSE)+IF(AND(Calculator!B8=TRUE,Backdoors!BI29=TRUE),VLOOKUP(Calculator!E23,tbSkills!DH3:DJ6,3,FALSE),0),0)))/100)),(1-(0.25*((-Backdoors!AI12-IF(GB17&gt;=0.45,VLOOKUP(Calculator!E23,tbSkills!DH3:DI6,2,FALSE)+IF(AND(Calculator!B8=TRUE,Backdoors!BI29=TRUE),VLOOKUP(Calculator!E23,tbSkills!DH3:DJ6,3,FALSE),0),0))/100)))),1),"")</f>
        <v>1</v>
      </c>
      <c r="GE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B17)*GD17)*(VLOOKUP(A17,tbMoveset!A2:C112,3,FALSE)/100)*IF(VLOOKUP(A17,tbMoveset!A2:B112,2,FALSE)="Projectile",Backdoors!N10,Backdoors!N9),0),"")</f>
        <v/>
      </c>
      <c r="GF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B17&gt;=0.45,VLOOKUP(Calculator!E23,tbSkills!DH3:DI6,2,FALSE)+IF(AND(Calculator!B8=TRUE,Backdoors!BI29=TRUE),VLOOKUP(Calculator!E23,tbSkills!DH3:DJ6,3,FALSE),0),0))&gt;=100,100,(Backdoors!AI12+IF(GB17&gt;=0.45,VLOOKUP(Calculator!E23,tbSkills!DH3:DI6,2,FALSE)+IF(AND(Calculator!B8=TRUE,Backdoors!BI29=TRUE),VLOOKUP(Calculator!E23,tbSkills!DH3:DJ6,3,FALSE),0),0)))/100)),1))*IF(VLOOKUP(A17,tbMoveset!A2:K112,11,FALSE)=TRUE,Backdoors!AC5,1))*GC17,0),"")</f>
        <v>0</v>
      </c>
      <c r="GG17" s="49">
        <f>VLOOKUP(A17,tbMoveset!A2:G112,7,FALSE)*IFERROR(IF(Backdoors!AI12&gt;=0,1+(IF(Calculator!E40&gt;0,VLOOKUP(Calculator!E40,tbSkills!AI3:AJ5,2,FALSE),Backdoors!AL4)*(IF((Backdoors!AI12+IF(GB17&gt;=0.45,VLOOKUP(Calculator!E23,tbSkills!DH3:DI6,2,FALSE)+IF(AND(Calculator!B8=TRUE,Backdoors!BI29=TRUE),VLOOKUP(Calculator!E23,tbSkills!DH3:DJ6,3,FALSE),0),0))&gt;=100,100,(Backdoors!AI12+IF(GB17&gt;=0.45,VLOOKUP(Calculator!E23,tbSkills!DH3:DI6,2,FALSE)+IF(AND(Calculator!B8=TRUE,Backdoors!BI29=TRUE),VLOOKUP(Calculator!E23,tbSkills!DH3:DJ6,3,FALSE),0),0)))/100)),1),1)</f>
        <v>0.5</v>
      </c>
      <c r="GH17" s="87">
        <f t="shared" si="19"/>
        <v>0</v>
      </c>
      <c r="GI17" s="86" t="str">
        <f>IFERROR(IF(VLOOKUP(A17,tbMoveset!A2:B112,2,FALSE)="Sever",Backdoors!AY30/100,IF(VLOOKUP(A17,tbMoveset!A2:B112,2,FALSE)="Blunt",Backdoors!AZ30/100,Backdoors!BA30/100)),"")</f>
        <v/>
      </c>
      <c r="GJ17" s="49">
        <f>IFERROR(IF(VLOOKUP(tbMoveset!A17,tbMoveset!A2:H112,8,FALSE)="Other",IF(VLOOKUP(tbMoveset!A17,tbMoveset!A2:I112,9,FALSE)="Fire",Backdoors!BB30,IF(VLOOKUP(tbMoveset!A17,tbMoveset!A2:I112,9,FALSE)="Water",Backdoors!BC30,IF(VLOOKUP(tbMoveset!A17,tbMoveset!A2:I112,9,FALSE)="Thunder",Backdoors!BD30,IF(VLOOKUP(tbMoveset!A17,tbMoveset!A2:I112,9,FALSE)="Ice",Backdoors!BE30,IF(VLOOKUP(tbMoveset!A17,tbMoveset!A2:I112,9,FALSE)="Dragon",Backdoors!BF30,Backdoors!BG30)))))/100,Backdoors!BG30/100),"")</f>
        <v>0</v>
      </c>
      <c r="GK17" s="49">
        <f>IFERROR(IF(VLOOKUP(A17,tbMoveset!A2:J112,10,FALSE)=TRUE,IF((Backdoors!AI12+IF(GI17&gt;=0.45,VLOOKUP(Calculator!E23,tbSkills!DH3:DI6,2,FALSE)+IF(AND(Calculator!B8=TRUE,Backdoors!BI30=TRUE),VLOOKUP(Calculator!E23,tbSkills!DH3:DJ6,3,FALSE),0),0))&gt;=0,1+(Backdoors!AL2*(IF((Backdoors!AI12+IF(GI17&gt;=0.45,VLOOKUP(Calculator!E23,tbSkills!DH3:DI6,2,FALSE)+IF(AND(Calculator!B8=TRUE,Backdoors!BI30=TRUE),VLOOKUP(Calculator!E23,tbSkills!DH3:DJ6,3,FALSE),0),0))&gt;=100,100,(Backdoors!AI12+IF(GI17&gt;=0.45,VLOOKUP(Calculator!E23,tbSkills!DH3:DI6,2,FALSE)+IF(AND(Calculator!B8=TRUE,Backdoors!BI30=TRUE),VLOOKUP(Calculator!E23,tbSkills!DH3:DJ6,3,FALSE),0),0)))/100)),(1-(0.25*((-Backdoors!AI12-IF(GI17&gt;=0.45,VLOOKUP(Calculator!E23,tbSkills!DH3:DI6,2,FALSE)+IF(AND(Calculator!B8=TRUE,Backdoors!BI30=TRUE),VLOOKUP(Calculator!E23,tbSkills!DH3:DJ6,3,FALSE),0),0))/100)))),1),"")</f>
        <v>1</v>
      </c>
      <c r="GL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I17)*GK17)*(VLOOKUP(A17,tbMoveset!A2:C112,3,FALSE)/100)*IF(VLOOKUP(A17,tbMoveset!A2:B112,2,FALSE)="Projectile",Backdoors!N10,Backdoors!N9),0),"")</f>
        <v/>
      </c>
      <c r="GM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I17&gt;=0.45,VLOOKUP(Calculator!E23,tbSkills!DH3:DI6,2,FALSE)+IF(AND(Calculator!B8=TRUE,Backdoors!BI30=TRUE),VLOOKUP(Calculator!E23,tbSkills!DH3:DJ6,3,FALSE),0),0))&gt;=100,100,(Backdoors!AI12+IF(GI17&gt;=0.45,VLOOKUP(Calculator!E23,tbSkills!DH3:DI6,2,FALSE)+IF(AND(Calculator!B8=TRUE,Backdoors!BI30=TRUE),VLOOKUP(Calculator!E23,tbSkills!DH3:DJ6,3,FALSE),0),0)))/100)),1))*IF(VLOOKUP(A17,tbMoveset!A2:K112,11,FALSE)=TRUE,Backdoors!AC5,1))*GJ17,0),"")</f>
        <v>0</v>
      </c>
      <c r="GN17" s="49">
        <f>VLOOKUP(A17,tbMoveset!A2:G112,7,FALSE)*IFERROR(IF(Backdoors!AI12&gt;=0,1+(IF(Calculator!E40&gt;0,VLOOKUP(Calculator!E40,tbSkills!AI3:AJ5,2,FALSE),Backdoors!AL4)*(IF((Backdoors!AI12+IF(GI17&gt;=0.45,VLOOKUP(Calculator!E23,tbSkills!DH3:DI6,2,FALSE)+IF(AND(Calculator!B8=TRUE,Backdoors!BI30=TRUE),VLOOKUP(Calculator!E23,tbSkills!DH3:DJ6,3,FALSE),0),0))&gt;=100,100,(Backdoors!AI12+IF(GI17&gt;=0.45,VLOOKUP(Calculator!E23,tbSkills!DH3:DI6,2,FALSE)+IF(AND(Calculator!B8=TRUE,Backdoors!BI30=TRUE),VLOOKUP(Calculator!E23,tbSkills!DH3:DJ6,3,FALSE),0),0)))/100)),1),1)</f>
        <v>0.5</v>
      </c>
      <c r="GO17" s="87">
        <f t="shared" si="20"/>
        <v>0</v>
      </c>
      <c r="GP17" s="86" t="str">
        <f>IFERROR(IF(VLOOKUP(A17,tbMoveset!A2:B112,2,FALSE)="Sever",Backdoors!AY31/100,IF(VLOOKUP(A17,tbMoveset!A2:B112,2,FALSE)="Blunt",Backdoors!AZ31/100,Backdoors!BA31/100)),"")</f>
        <v/>
      </c>
      <c r="GQ17" s="49">
        <f>IFERROR(IF(VLOOKUP(tbMoveset!A17,tbMoveset!A2:H112,8,FALSE)="Other",IF(VLOOKUP(tbMoveset!A17,tbMoveset!A2:I112,9,FALSE)="Fire",Backdoors!BB31,IF(VLOOKUP(tbMoveset!A17,tbMoveset!A2:I112,9,FALSE)="Water",Backdoors!BC31,IF(VLOOKUP(tbMoveset!A17,tbMoveset!A2:I112,9,FALSE)="Thunder",Backdoors!BD31,IF(VLOOKUP(tbMoveset!A17,tbMoveset!A2:I112,9,FALSE)="Ice",Backdoors!BE31,IF(VLOOKUP(tbMoveset!A17,tbMoveset!A2:I112,9,FALSE)="Dragon",Backdoors!BF31,Backdoors!BG31)))))/100,Backdoors!BG31/100),"")</f>
        <v>0</v>
      </c>
      <c r="GR17" s="49">
        <f>IFERROR(IF(VLOOKUP(A17,tbMoveset!A2:J112,10,FALSE)=TRUE,IF((Backdoors!AI12+IF(GP17&gt;=0.45,VLOOKUP(Calculator!E23,tbSkills!DH3:DI6,2,FALSE)+IF(AND(Calculator!B8=TRUE,Backdoors!BI31=TRUE),VLOOKUP(Calculator!E23,tbSkills!DH3:DJ6,3,FALSE),0),0))&gt;=0,1+(Backdoors!AL2*(IF((Backdoors!AI12+IF(GP17&gt;=0.45,VLOOKUP(Calculator!E23,tbSkills!DH3:DI6,2,FALSE)+IF(AND(Calculator!B8=TRUE,Backdoors!BI31=TRUE),VLOOKUP(Calculator!E23,tbSkills!DH3:DJ6,3,FALSE),0),0))&gt;=100,100,(Backdoors!AI12+IF(GP17&gt;=0.45,VLOOKUP(Calculator!E23,tbSkills!DH3:DI6,2,FALSE)+IF(AND(Calculator!B8=TRUE,Backdoors!BI31=TRUE),VLOOKUP(Calculator!E23,tbSkills!DH3:DJ6,3,FALSE),0),0)))/100)),(1-(0.25*((-Backdoors!AI12-IF(GP17&gt;=0.45,VLOOKUP(Calculator!E23,tbSkills!DH3:DI6,2,FALSE)+IF(AND(Calculator!B8=TRUE,Backdoors!BI31=TRUE),VLOOKUP(Calculator!E23,tbSkills!DH3:DJ6,3,FALSE),0),0))/100)))),1),"")</f>
        <v>1</v>
      </c>
      <c r="GS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P17)*GR17)*(VLOOKUP(A17,tbMoveset!A2:C112,3,FALSE)/100)*IF(VLOOKUP(A17,tbMoveset!A2:B112,2,FALSE)="Projectile",Backdoors!N10,Backdoors!N9),0),"")</f>
        <v/>
      </c>
      <c r="GT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P17&gt;=0.45,VLOOKUP(Calculator!E23,tbSkills!DH3:DI6,2,FALSE)+IF(AND(Calculator!B8=TRUE,Backdoors!BI31=TRUE),VLOOKUP(Calculator!E23,tbSkills!DH3:DJ6,3,FALSE),0),0))&gt;=100,100,(Backdoors!AI12+IF(GP17&gt;=0.45,VLOOKUP(Calculator!E23,tbSkills!DH3:DI6,2,FALSE)+IF(AND(Calculator!B8=TRUE,Backdoors!BI31=TRUE),VLOOKUP(Calculator!E23,tbSkills!DH3:DJ6,3,FALSE),0),0)))/100)),1))*IF(VLOOKUP(A17,tbMoveset!A2:K112,11,FALSE)=TRUE,Backdoors!AC5,1))*GQ17,0),"")</f>
        <v>0</v>
      </c>
      <c r="GU17" s="49">
        <f>VLOOKUP(A17,tbMoveset!A2:G112,7,FALSE)*IFERROR(IF(Backdoors!AI12&gt;=0,1+(IF(Calculator!E40&gt;0,VLOOKUP(Calculator!E40,tbSkills!AI3:AJ5,2,FALSE),Backdoors!AL4)*(IF((Backdoors!AI12+IF(GP17&gt;=0.45,VLOOKUP(Calculator!E23,tbSkills!DH3:DI6,2,FALSE)+IF(AND(Calculator!B8=TRUE,Backdoors!BI31=TRUE),VLOOKUP(Calculator!E23,tbSkills!DH3:DJ6,3,FALSE),0),0))&gt;=100,100,(Backdoors!AI12+IF(GP17&gt;=0.45,VLOOKUP(Calculator!E23,tbSkills!DH3:DI6,2,FALSE)+IF(AND(Calculator!B8=TRUE,Backdoors!BI31=TRUE),VLOOKUP(Calculator!E23,tbSkills!DH3:DJ6,3,FALSE),0),0)))/100)),1),1)</f>
        <v>0.5</v>
      </c>
      <c r="GV17" s="87">
        <f t="shared" si="21"/>
        <v>0</v>
      </c>
      <c r="GW17" s="86" t="str">
        <f>IFERROR(IF(VLOOKUP(A17,tbMoveset!A2:B112,2,FALSE)="Sever",Backdoors!AY32/100,IF(VLOOKUP(A17,tbMoveset!A2:B112,2,FALSE)="Blunt",Backdoors!AZ32/100,Backdoors!BA32/100)),"")</f>
        <v/>
      </c>
      <c r="GX17" s="49">
        <f>IFERROR(IF(VLOOKUP(tbMoveset!A17,tbMoveset!A2:H112,8,FALSE)="Other",IF(VLOOKUP(tbMoveset!A17,tbMoveset!A2:I112,9,FALSE)="Fire",Backdoors!BB32,IF(VLOOKUP(tbMoveset!A17,tbMoveset!A2:I112,9,FALSE)="Water",Backdoors!BC32,IF(VLOOKUP(tbMoveset!A17,tbMoveset!A2:I112,9,FALSE)="Thunder",Backdoors!BD32,IF(VLOOKUP(tbMoveset!A17,tbMoveset!A2:I112,9,FALSE)="Ice",Backdoors!BE32,IF(VLOOKUP(tbMoveset!A17,tbMoveset!A2:I112,9,FALSE)="Dragon",Backdoors!BF32,Backdoors!BG32)))))/100,Backdoors!BG32/100),"")</f>
        <v>0</v>
      </c>
      <c r="GY17" s="49">
        <f>IFERROR(IF(VLOOKUP(A17,tbMoveset!A2:J112,10,FALSE)=TRUE,IF((Backdoors!AI12+IF(GW17&gt;=0.45,VLOOKUP(Calculator!E23,tbSkills!DH3:DI6,2,FALSE)+IF(AND(Calculator!B8=TRUE,Backdoors!BI32=TRUE),VLOOKUP(Calculator!E23,tbSkills!DH3:DJ6,3,FALSE),0),0))&gt;=0,1+(Backdoors!AL2*(IF((Backdoors!AI12+IF(GW17&gt;=0.45,VLOOKUP(Calculator!E23,tbSkills!DH3:DI6,2,FALSE)+IF(AND(Calculator!B8=TRUE,Backdoors!BI32=TRUE),VLOOKUP(Calculator!E23,tbSkills!DH3:DJ6,3,FALSE),0),0))&gt;=100,100,(Backdoors!AI12+IF(GW17&gt;=0.45,VLOOKUP(Calculator!E23,tbSkills!DH3:DI6,2,FALSE)+IF(AND(Calculator!B8=TRUE,Backdoors!BI32=TRUE),VLOOKUP(Calculator!E23,tbSkills!DH3:DJ6,3,FALSE),0),0)))/100)),(1-(0.25*((-Backdoors!AI12-IF(GW17&gt;=0.45,VLOOKUP(Calculator!E23,tbSkills!DH3:DI6,2,FALSE)+IF(AND(Calculator!B8=TRUE,Backdoors!BI32=TRUE),VLOOKUP(Calculator!E23,tbSkills!DH3:DJ6,3,FALSE),0),0))/100)))),1),"")</f>
        <v>1</v>
      </c>
      <c r="GZ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W17)*GY17)*(VLOOKUP(A17,tbMoveset!A2:C112,3,FALSE)/100)*IF(VLOOKUP(A17,tbMoveset!A2:B112,2,FALSE)="Projectile",Backdoors!N10,Backdoors!N9),0),"")</f>
        <v/>
      </c>
      <c r="HA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W17&gt;=0.45,VLOOKUP(Calculator!E23,tbSkills!DH3:DI6,2,FALSE)+IF(AND(Calculator!B8=TRUE,Backdoors!BI32=TRUE),VLOOKUP(Calculator!E23,tbSkills!DH3:DJ6,3,FALSE),0),0))&gt;=100,100,(Backdoors!AI12+IF(GW17&gt;=0.45,VLOOKUP(Calculator!E23,tbSkills!DH3:DI6,2,FALSE)+IF(AND(Calculator!B8=TRUE,Backdoors!BI32=TRUE),VLOOKUP(Calculator!E23,tbSkills!DH3:DJ6,3,FALSE),0),0)))/100)),1))*IF(VLOOKUP(A17,tbMoveset!A2:K112,11,FALSE)=TRUE,Backdoors!AC5,1))*GX17,0),"")</f>
        <v>0</v>
      </c>
      <c r="HB17" s="49">
        <f>VLOOKUP(A17,tbMoveset!A2:G112,7,FALSE)*IFERROR(IF(Backdoors!AI12&gt;=0,1+(IF(Calculator!E40&gt;0,VLOOKUP(Calculator!E40,tbSkills!AI3:AJ5,2,FALSE),Backdoors!AL4)*(IF((Backdoors!AI12+IF(GW17&gt;=0.45,VLOOKUP(Calculator!E23,tbSkills!DH3:DI6,2,FALSE)+IF(AND(Calculator!B8=TRUE,Backdoors!BI32=TRUE),VLOOKUP(Calculator!E23,tbSkills!DH3:DJ6,3,FALSE),0),0))&gt;=100,100,(Backdoors!AI12+IF(GW17&gt;=0.45,VLOOKUP(Calculator!E23,tbSkills!DH3:DI6,2,FALSE)+IF(AND(Calculator!B8=TRUE,Backdoors!BI32=TRUE),VLOOKUP(Calculator!E23,tbSkills!DH3:DJ6,3,FALSE),0),0)))/100)),1),1)</f>
        <v>0.5</v>
      </c>
      <c r="HC17" s="87">
        <f t="shared" si="22"/>
        <v>0</v>
      </c>
      <c r="HD17" s="86" t="str">
        <f>IFERROR(IF(VLOOKUP(A17,tbMoveset!A2:B112,2,FALSE)="Sever",Backdoors!AY33/100,IF(VLOOKUP(A17,tbMoveset!A2:B112,2,FALSE)="Blunt",Backdoors!AZ33/100,Backdoors!BA33/100)),"")</f>
        <v/>
      </c>
      <c r="HE17" s="49">
        <f>IFERROR(IF(VLOOKUP(tbMoveset!A17,tbMoveset!A2:H112,8,FALSE)="Other",IF(VLOOKUP(tbMoveset!A17,tbMoveset!A2:I112,9,FALSE)="Fire",Backdoors!BB33,IF(VLOOKUP(tbMoveset!A17,tbMoveset!A2:I112,9,FALSE)="Water",Backdoors!BC33,IF(VLOOKUP(tbMoveset!A17,tbMoveset!A2:I112,9,FALSE)="Thunder",Backdoors!BD33,IF(VLOOKUP(tbMoveset!A17,tbMoveset!A2:I112,9,FALSE)="Ice",Backdoors!BE33,IF(VLOOKUP(tbMoveset!A17,tbMoveset!A2:I112,9,FALSE)="Dragon",Backdoors!BF33,Backdoors!BG33)))))/100,Backdoors!BG33/100),"")</f>
        <v>0</v>
      </c>
      <c r="HF17" s="49">
        <f>IFERROR(IF(VLOOKUP(A17,tbMoveset!A2:J112,10,FALSE)=TRUE,IF((Backdoors!AI12+IF(HD17&gt;=0.45,VLOOKUP(Calculator!E23,tbSkills!DH3:DI6,2,FALSE)+IF(AND(Calculator!B8=TRUE,Backdoors!BI33=TRUE),VLOOKUP(Calculator!E23,tbSkills!DH3:DJ6,3,FALSE),0),0))&gt;=0,1+(Backdoors!AL2*(IF((Backdoors!AI12+IF(HD17&gt;=0.45,VLOOKUP(Calculator!E23,tbSkills!DH3:DI6,2,FALSE)+IF(AND(Calculator!B8=TRUE,Backdoors!BI33=TRUE),VLOOKUP(Calculator!E23,tbSkills!DH3:DJ6,3,FALSE),0),0))&gt;=100,100,(Backdoors!AI12+IF(HD17&gt;=0.45,VLOOKUP(Calculator!E23,tbSkills!DH3:DI6,2,FALSE)+IF(AND(Calculator!B8=TRUE,Backdoors!BI33=TRUE),VLOOKUP(Calculator!E23,tbSkills!DH3:DJ6,3,FALSE),0),0)))/100)),(1-(0.25*((-Backdoors!AI12-IF(HD17&gt;=0.45,VLOOKUP(Calculator!E23,tbSkills!DH3:DI6,2,FALSE)+IF(AND(Calculator!B8=TRUE,Backdoors!BI33=TRUE),VLOOKUP(Calculator!E23,tbSkills!DH3:DJ6,3,FALSE),0),0))/100)))),1),"")</f>
        <v>1</v>
      </c>
      <c r="HG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D17)*HF17)*(VLOOKUP(A17,tbMoveset!A2:C112,3,FALSE)/100)*IF(VLOOKUP(A17,tbMoveset!A2:B112,2,FALSE)="Projectile",Backdoors!N10,Backdoors!N9),0),"")</f>
        <v/>
      </c>
      <c r="HH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D17&gt;=0.45,VLOOKUP(Calculator!E23,tbSkills!DH3:DI6,2,FALSE)+IF(AND(Calculator!B8=TRUE,Backdoors!BI33=TRUE),VLOOKUP(Calculator!E23,tbSkills!DH3:DJ6,3,FALSE),0),0))&gt;=100,100,(Backdoors!AI12+IF(HD17&gt;=0.45,VLOOKUP(Calculator!E23,tbSkills!DH3:DI6,2,FALSE)+IF(AND(Calculator!B8=TRUE,Backdoors!BI33=TRUE),VLOOKUP(Calculator!E23,tbSkills!DH3:DJ6,3,FALSE),0),0)))/100)),1))*IF(VLOOKUP(A17,tbMoveset!A2:K112,11,FALSE)=TRUE,Backdoors!AC5,1))*HE17,0),"")</f>
        <v>0</v>
      </c>
      <c r="HI17" s="49">
        <f>VLOOKUP(A17,tbMoveset!A2:G112,7,FALSE)*IFERROR(IF(Backdoors!AI12&gt;=0,1+(IF(Calculator!E40&gt;0,VLOOKUP(Calculator!E40,tbSkills!AI3:AJ5,2,FALSE),Backdoors!AL4)*(IF((Backdoors!AI12+IF(HD17&gt;=0.45,VLOOKUP(Calculator!E23,tbSkills!DH3:DI6,2,FALSE)+IF(AND(Calculator!B8=TRUE,Backdoors!BI33=TRUE),VLOOKUP(Calculator!E23,tbSkills!DH3:DJ6,3,FALSE),0),0))&gt;=100,100,(Backdoors!AI12+IF(HD17&gt;=0.45,VLOOKUP(Calculator!E23,tbSkills!DH3:DI6,2,FALSE)+IF(AND(Calculator!B8=TRUE,Backdoors!BI33=TRUE),VLOOKUP(Calculator!E23,tbSkills!DH3:DJ6,3,FALSE),0),0)))/100)),1),1)</f>
        <v>0.5</v>
      </c>
      <c r="HJ17" s="87">
        <f t="shared" si="23"/>
        <v>0</v>
      </c>
      <c r="HK17" s="86" t="str">
        <f>IFERROR(IF(VLOOKUP(A17,tbMoveset!A2:B112,2,FALSE)="Sever",Backdoors!AY34/100,IF(VLOOKUP(A17,tbMoveset!A2:B112,2,FALSE)="Blunt",Backdoors!AZ34/100,Backdoors!BA34/100)),"")</f>
        <v/>
      </c>
      <c r="HL17" s="49">
        <f>IFERROR(IF(VLOOKUP(tbMoveset!A17,tbMoveset!A2:H112,8,FALSE)="Other",IF(VLOOKUP(tbMoveset!A17,tbMoveset!A2:I112,9,FALSE)="Fire",Backdoors!BB34,IF(VLOOKUP(tbMoveset!A17,tbMoveset!A2:I112,9,FALSE)="Water",Backdoors!BC34,IF(VLOOKUP(tbMoveset!A17,tbMoveset!A2:I112,9,FALSE)="Thunder",Backdoors!BD34,IF(VLOOKUP(tbMoveset!A17,tbMoveset!A2:I112,9,FALSE)="Ice",Backdoors!BE34,IF(VLOOKUP(tbMoveset!A17,tbMoveset!A2:I112,9,FALSE)="Dragon",Backdoors!BF34,Backdoors!BG34)))))/100,Backdoors!BG34/100),"")</f>
        <v>0</v>
      </c>
      <c r="HM17" s="49">
        <f>IFERROR(IF(VLOOKUP(A17,tbMoveset!A2:J112,10,FALSE)=TRUE,IF((Backdoors!AI12+IF(HK17&gt;=0.45,VLOOKUP(Calculator!E23,tbSkills!DH3:DI6,2,FALSE)+IF(AND(Calculator!B8=TRUE,Backdoors!BI34=TRUE),VLOOKUP(Calculator!E23,tbSkills!DH3:DJ6,3,FALSE),0),0))&gt;=0,1+(Backdoors!AL2*(IF((Backdoors!AI12+IF(HK17&gt;=0.45,VLOOKUP(Calculator!E23,tbSkills!DH3:DI6,2,FALSE)+IF(AND(Calculator!B8=TRUE,Backdoors!BI34=TRUE),VLOOKUP(Calculator!E23,tbSkills!DH3:DJ6,3,FALSE),0),0))&gt;=100,100,(Backdoors!AI12+IF(HK17&gt;=0.45,VLOOKUP(Calculator!E23,tbSkills!DH3:DI6,2,FALSE)+IF(AND(Calculator!B8=TRUE,Backdoors!BI34=TRUE),VLOOKUP(Calculator!E23,tbSkills!DH3:DJ6,3,FALSE),0),0)))/100)),(1-(0.25*((-Backdoors!AI12-IF(HK17&gt;=0.45,VLOOKUP(Calculator!E23,tbSkills!DH3:DI6,2,FALSE)+IF(AND(Calculator!B8=TRUE,Backdoors!BI34=TRUE),VLOOKUP(Calculator!E23,tbSkills!DH3:DJ6,3,FALSE),0),0))/100)))),1),"")</f>
        <v>1</v>
      </c>
      <c r="HN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K17)*HM17)*(VLOOKUP(A17,tbMoveset!A2:C112,3,FALSE)/100)*IF(VLOOKUP(A17,tbMoveset!A2:B112,2,FALSE)="Projectile",Backdoors!N10,Backdoors!N9),0),"")</f>
        <v/>
      </c>
      <c r="HO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K17&gt;=0.45,VLOOKUP(Calculator!E23,tbSkills!DH3:DI6,2,FALSE)+IF(AND(Calculator!B8=TRUE,Backdoors!BI34=TRUE),VLOOKUP(Calculator!E23,tbSkills!DH3:DJ6,3,FALSE),0),0))&gt;=100,100,(Backdoors!AI12+IF(HK17&gt;=0.45,VLOOKUP(Calculator!E23,tbSkills!DH3:DI6,2,FALSE)+IF(AND(Calculator!B8=TRUE,Backdoors!BI34=TRUE),VLOOKUP(Calculator!E23,tbSkills!DH3:DJ6,3,FALSE),0),0)))/100)),1))*IF(VLOOKUP(A17,tbMoveset!A2:K112,11,FALSE)=TRUE,Backdoors!AC5,1))*HL17,0),"")</f>
        <v>0</v>
      </c>
      <c r="HP17" s="49">
        <f>VLOOKUP(A17,tbMoveset!A2:G112,7,FALSE)*IFERROR(IF(Backdoors!AI12&gt;=0,1+(IF(Calculator!E40&gt;0,VLOOKUP(Calculator!E40,tbSkills!AI3:AJ5,2,FALSE),Backdoors!AL4)*(IF((Backdoors!AI12+IF(HK17&gt;=0.45,VLOOKUP(Calculator!E23,tbSkills!DH3:DI6,2,FALSE)+IF(AND(Calculator!B8=TRUE,Backdoors!BI34=TRUE),VLOOKUP(Calculator!E23,tbSkills!DH3:DJ6,3,FALSE),0),0))&gt;=100,100,(Backdoors!AI12+IF(HK17&gt;=0.45,VLOOKUP(Calculator!E23,tbSkills!DH3:DI6,2,FALSE)+IF(AND(Calculator!B8=TRUE,Backdoors!BI34=TRUE),VLOOKUP(Calculator!E23,tbSkills!DH3:DJ6,3,FALSE),0),0)))/100)),1),1)</f>
        <v>0.5</v>
      </c>
      <c r="HQ17" s="87">
        <f t="shared" si="24"/>
        <v>0</v>
      </c>
      <c r="HR17" s="86" t="str">
        <f>IFERROR(IF(VLOOKUP(A17,tbMoveset!A2:B112,2,FALSE)="Sever",Backdoors!AY35/100,IF(VLOOKUP(A17,tbMoveset!A2:B112,2,FALSE)="Blunt",Backdoors!AZ35/100,Backdoors!BA35/100)),"")</f>
        <v/>
      </c>
      <c r="HS17" s="49">
        <f>IFERROR(IF(VLOOKUP(tbMoveset!A17,tbMoveset!A2:H112,8,FALSE)="Other",IF(VLOOKUP(tbMoveset!A17,tbMoveset!A2:I112,9,FALSE)="Fire",Backdoors!BB35,IF(VLOOKUP(tbMoveset!A17,tbMoveset!A2:I112,9,FALSE)="Water",Backdoors!BC35,IF(VLOOKUP(tbMoveset!A17,tbMoveset!A2:I112,9,FALSE)="Thunder",Backdoors!BD35,IF(VLOOKUP(tbMoveset!A17,tbMoveset!A2:I112,9,FALSE)="Ice",Backdoors!BE35,IF(VLOOKUP(tbMoveset!A17,tbMoveset!A2:I112,9,FALSE)="Dragon",Backdoors!BF35,Backdoors!BG35)))))/100,Backdoors!BG35/100),"")</f>
        <v>0</v>
      </c>
      <c r="HT17" s="49">
        <f>IFERROR(IF(VLOOKUP(A17,tbMoveset!A2:J112,10,FALSE)=TRUE,IF((Backdoors!AI12+IF(HR17&gt;=0.45,VLOOKUP(Calculator!E23,tbSkills!DH3:DI6,2,FALSE)+IF(AND(Calculator!B8=TRUE,Backdoors!BI35=TRUE),VLOOKUP(Calculator!E23,tbSkills!DH3:DJ6,3,FALSE),0),0))&gt;=0,1+(Backdoors!AL2*(IF((Backdoors!AI12+IF(HR17&gt;=0.45,VLOOKUP(Calculator!E23,tbSkills!DH3:DI6,2,FALSE)+IF(AND(Calculator!B8=TRUE,Backdoors!BI35=TRUE),VLOOKUP(Calculator!E23,tbSkills!DH3:DJ6,3,FALSE),0),0))&gt;=100,100,(Backdoors!AI12+IF(HR17&gt;=0.45,VLOOKUP(Calculator!E23,tbSkills!DH3:DI6,2,FALSE)+IF(AND(Calculator!B8=TRUE,Backdoors!BI35=TRUE),VLOOKUP(Calculator!E23,tbSkills!DH3:DJ6,3,FALSE),0),0)))/100)),(1-(0.25*((-Backdoors!AI12-IF(HR17&gt;=0.45,VLOOKUP(Calculator!E23,tbSkills!DH3:DI6,2,FALSE)+IF(AND(Calculator!B8=TRUE,Backdoors!BI35=TRUE),VLOOKUP(Calculator!E23,tbSkills!DH3:DJ6,3,FALSE),0),0))/100)))),1),"")</f>
        <v>1</v>
      </c>
      <c r="HU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R17)*HT17)*(VLOOKUP(A17,tbMoveset!A2:C112,3,FALSE)/100)*IF(VLOOKUP(A17,tbMoveset!A2:B112,2,FALSE)="Projectile",Backdoors!N10,Backdoors!N9),0),"")</f>
        <v/>
      </c>
      <c r="HV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R17&gt;=0.45,VLOOKUP(Calculator!E23,tbSkills!DH3:DI6,2,FALSE)+IF(AND(Calculator!B8=TRUE,Backdoors!BI35=TRUE),VLOOKUP(Calculator!E23,tbSkills!DH3:DJ6,3,FALSE),0),0))&gt;=100,100,(Backdoors!AI12+IF(HR17&gt;=0.45,VLOOKUP(Calculator!E23,tbSkills!DH3:DI6,2,FALSE)+IF(AND(Calculator!B8=TRUE,Backdoors!BI35=TRUE),VLOOKUP(Calculator!E23,tbSkills!DH3:DJ6,3,FALSE),0),0)))/100)),1))*IF(VLOOKUP(A17,tbMoveset!A2:K112,11,FALSE)=TRUE,Backdoors!AC5,1))*HS17,0),"")</f>
        <v>0</v>
      </c>
      <c r="HW17" s="49">
        <f>VLOOKUP(A17,tbMoveset!A2:G112,7,FALSE)*IFERROR(IF(Backdoors!AI12&gt;=0,1+(IF(Calculator!E40&gt;0,VLOOKUP(Calculator!E40,tbSkills!AI3:AJ5,2,FALSE),Backdoors!AL4)*(IF((Backdoors!AI12+IF(HR17&gt;=0.45,VLOOKUP(Calculator!E23,tbSkills!DH3:DI6,2,FALSE)+IF(AND(Calculator!B8=TRUE,Backdoors!BI35=TRUE),VLOOKUP(Calculator!E23,tbSkills!DH3:DJ6,3,FALSE),0),0))&gt;=100,100,(Backdoors!AI12+IF(HR17&gt;=0.45,VLOOKUP(Calculator!E23,tbSkills!DH3:DI6,2,FALSE)+IF(AND(Calculator!B8=TRUE,Backdoors!BI35=TRUE),VLOOKUP(Calculator!E23,tbSkills!DH3:DJ6,3,FALSE),0),0)))/100)),1),1)</f>
        <v>0.5</v>
      </c>
      <c r="HX17" s="87">
        <f t="shared" si="25"/>
        <v>0</v>
      </c>
      <c r="HY17" s="86" t="str">
        <f>IFERROR(IF(VLOOKUP(A17,tbMoveset!A2:B112,2,FALSE)="Sever",Backdoors!AY36/100,IF(VLOOKUP(A17,tbMoveset!A2:B112,2,FALSE)="Blunt",Backdoors!AZ36/100,Backdoors!BA36/100)),"")</f>
        <v/>
      </c>
      <c r="HZ17" s="49">
        <f>IFERROR(IF(VLOOKUP(tbMoveset!A17,tbMoveset!A2:H112,8,FALSE)="Other",IF(VLOOKUP(tbMoveset!A17,tbMoveset!A2:I112,9,FALSE)="Fire",Backdoors!BB36,IF(VLOOKUP(tbMoveset!A17,tbMoveset!A2:I112,9,FALSE)="Water",Backdoors!BC36,IF(VLOOKUP(tbMoveset!A17,tbMoveset!A2:I112,9,FALSE)="Thunder",Backdoors!BD36,IF(VLOOKUP(tbMoveset!A17,tbMoveset!A2:I112,9,FALSE)="Ice",Backdoors!BE36,IF(VLOOKUP(tbMoveset!A17,tbMoveset!A2:I112,9,FALSE)="Dragon",Backdoors!BF36,Backdoors!BG36)))))/100,Backdoors!BG36/100),"")</f>
        <v>0</v>
      </c>
      <c r="IA17" s="49">
        <f>IFERROR(IF(VLOOKUP(A17,tbMoveset!A2:J112,10,FALSE)=TRUE,IF((Backdoors!AI12+IF(HY17&gt;=0.45,VLOOKUP(Calculator!E23,tbSkills!DH3:DI6,2,FALSE)+IF(AND(Calculator!B8=TRUE,Backdoors!BI36=TRUE),VLOOKUP(Calculator!E23,tbSkills!DH3:DJ6,3,FALSE),0),0))&gt;=0,1+(Backdoors!AL2*(IF((Backdoors!AI12+IF(HY17&gt;=0.45,VLOOKUP(Calculator!E23,tbSkills!DH3:DI6,2,FALSE)+IF(AND(Calculator!B8=TRUE,Backdoors!BI36=TRUE),VLOOKUP(Calculator!E23,tbSkills!DH3:DJ6,3,FALSE),0),0))&gt;=100,100,(Backdoors!AI12+IF(HY17&gt;=0.45,VLOOKUP(Calculator!E23,tbSkills!DH3:DI6,2,FALSE)+IF(AND(Calculator!B8=TRUE,Backdoors!BI36=TRUE),VLOOKUP(Calculator!E23,tbSkills!DH3:DJ6,3,FALSE),0),0)))/100)),(1-(0.25*((-Backdoors!AI12-IF(HY17&gt;=0.45,VLOOKUP(Calculator!E23,tbSkills!DH3:DI6,2,FALSE)+IF(AND(Calculator!B8=TRUE,Backdoors!BI36=TRUE),VLOOKUP(Calculator!E23,tbSkills!DH3:DJ6,3,FALSE),0),0))/100)))),1),"")</f>
        <v>1</v>
      </c>
      <c r="IB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Y17)*IA17)*(VLOOKUP(A17,tbMoveset!A2:C112,3,FALSE)/100)*IF(VLOOKUP(A17,tbMoveset!A2:B112,2,FALSE)="Projectile",Backdoors!N10,Backdoors!N9),0),"")</f>
        <v/>
      </c>
      <c r="IC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Y17&gt;=0.45,VLOOKUP(Calculator!E23,tbSkills!DH3:DI6,2,FALSE)+IF(AND(Calculator!B8=TRUE,Backdoors!BI36=TRUE),VLOOKUP(Calculator!E23,tbSkills!DH3:DJ6,3,FALSE),0),0))&gt;=100,100,(Backdoors!AI12+IF(HY17&gt;=0.45,VLOOKUP(Calculator!E23,tbSkills!DH3:DI6,2,FALSE)+IF(AND(Calculator!B8=TRUE,Backdoors!BI36=TRUE),VLOOKUP(Calculator!E23,tbSkills!DH3:DJ6,3,FALSE),0),0)))/100)),1))*IF(VLOOKUP(A17,tbMoveset!A2:K112,11,FALSE)=TRUE,Backdoors!AC5,1))*HZ17,0),"")</f>
        <v>0</v>
      </c>
      <c r="ID17" s="49">
        <f>VLOOKUP(A17,tbMoveset!A2:G112,7,FALSE)*IFERROR(IF(Backdoors!AI12&gt;=0,1+(IF(Calculator!E40&gt;0,VLOOKUP(Calculator!E40,tbSkills!AI3:AJ5,2,FALSE),Backdoors!AL4)*(IF((Backdoors!AI12+IF(HY17&gt;=0.45,VLOOKUP(Calculator!E23,tbSkills!DH3:DI6,2,FALSE)+IF(AND(Calculator!B8=TRUE,Backdoors!BI36=TRUE),VLOOKUP(Calculator!E23,tbSkills!DH3:DJ6,3,FALSE),0),0))&gt;=100,100,(Backdoors!AI12+IF(HY17&gt;=0.45,VLOOKUP(Calculator!E23,tbSkills!DH3:DI6,2,FALSE)+IF(AND(Calculator!B8=TRUE,Backdoors!BI36=TRUE),VLOOKUP(Calculator!E23,tbSkills!DH3:DJ6,3,FALSE),0),0)))/100)),1),1)</f>
        <v>0.5</v>
      </c>
      <c r="IE17" s="87">
        <f t="shared" si="26"/>
        <v>0</v>
      </c>
      <c r="IF17" s="86" t="str">
        <f>IFERROR(IF(VLOOKUP(A17,tbMoveset!A2:B112,2,FALSE)="Sever",Backdoors!AY37/100,IF(VLOOKUP(A17,tbMoveset!A2:B112,2,FALSE)="Blunt",Backdoors!AZ37/100,Backdoors!BA37/100)),"")</f>
        <v/>
      </c>
      <c r="IG17" s="49">
        <f>IFERROR(IF(VLOOKUP(tbMoveset!A17,tbMoveset!A2:H112,8,FALSE)="Other",IF(VLOOKUP(tbMoveset!A17,tbMoveset!A2:I112,9,FALSE)="Fire",Backdoors!BB37,IF(VLOOKUP(tbMoveset!A17,tbMoveset!A2:I112,9,FALSE)="Water",Backdoors!BC37,IF(VLOOKUP(tbMoveset!A17,tbMoveset!A2:I112,9,FALSE)="Thunder",Backdoors!BD37,IF(VLOOKUP(tbMoveset!A17,tbMoveset!A2:I112,9,FALSE)="Ice",Backdoors!BE37,IF(VLOOKUP(tbMoveset!A17,tbMoveset!A2:I112,9,FALSE)="Dragon",Backdoors!BF37,Backdoors!BG37)))))/100,Backdoors!BG37/100),"")</f>
        <v>0</v>
      </c>
      <c r="IH17" s="49">
        <f>IFERROR(IF(VLOOKUP(A17,tbMoveset!A2:J112,10,FALSE)=TRUE,IF((Backdoors!AI12+IF(IF17&gt;=0.45,VLOOKUP(Calculator!E23,tbSkills!DH3:DI6,2,FALSE)+IF(AND(Calculator!B8=TRUE,Backdoors!BI37=TRUE),VLOOKUP(Calculator!E23,tbSkills!DH3:DJ6,3,FALSE),0),0))&gt;=0,1+(Backdoors!AL2*(IF((Backdoors!AI12+IF(IF17&gt;=0.45,VLOOKUP(Calculator!E23,tbSkills!DH3:DI6,2,FALSE)+IF(AND(Calculator!B8=TRUE,Backdoors!BI37=TRUE),VLOOKUP(Calculator!E23,tbSkills!DH3:DJ6,3,FALSE),0),0))&gt;=100,100,(Backdoors!AI12+IF(IF17&gt;=0.45,VLOOKUP(Calculator!E23,tbSkills!DH3:DI6,2,FALSE)+IF(AND(Calculator!B8=TRUE,Backdoors!BI37=TRUE),VLOOKUP(Calculator!E23,tbSkills!DH3:DJ6,3,FALSE),0),0)))/100)),(1-(0.25*((-Backdoors!AI12-IF(IF17&gt;=0.45,VLOOKUP(Calculator!E23,tbSkills!DH3:DI6,2,FALSE)+IF(AND(Calculator!B8=TRUE,Backdoors!BI37=TRUE),VLOOKUP(Calculator!E23,tbSkills!DH3:DJ6,3,FALSE),0),0))/100)))),1),"")</f>
        <v>1</v>
      </c>
      <c r="II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F17)*IH17)*(VLOOKUP(A17,tbMoveset!A2:C112,3,FALSE)/100)*IF(VLOOKUP(A17,tbMoveset!A2:B112,2,FALSE)="Projectile",Backdoors!N10,Backdoors!N9),0),"")</f>
        <v/>
      </c>
      <c r="IJ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IF17&gt;=0.45,VLOOKUP(Calculator!E23,tbSkills!DH3:DI6,2,FALSE)+IF(AND(Calculator!B8=TRUE,Backdoors!BI37=TRUE),VLOOKUP(Calculator!E23,tbSkills!DH3:DJ6,3,FALSE),0),0))&gt;=100,100,(Backdoors!AI12+IF(IF17&gt;=0.45,VLOOKUP(Calculator!E23,tbSkills!DH3:DI6,2,FALSE)+IF(AND(Calculator!B8=TRUE,Backdoors!BI37=TRUE),VLOOKUP(Calculator!E23,tbSkills!DH3:DJ6,3,FALSE),0),0)))/100)),1))*IF(VLOOKUP(A17,tbMoveset!A2:K112,11,FALSE)=TRUE,Backdoors!AC5,1))*IG17,0),"")</f>
        <v>0</v>
      </c>
      <c r="IK17" s="49">
        <f>VLOOKUP(A17,tbMoveset!A2:G112,7,FALSE)*IFERROR(IF(Backdoors!AI12&gt;=0,1+(IF(Calculator!E40&gt;0,VLOOKUP(Calculator!E40,tbSkills!AI3:AJ5,2,FALSE),Backdoors!AL4)*(IF((Backdoors!AI12+IF(IF17&gt;=0.45,VLOOKUP(Calculator!E23,tbSkills!DH3:DI6,2,FALSE)+IF(AND(Calculator!B8=TRUE,Backdoors!BI37=TRUE),VLOOKUP(Calculator!E23,tbSkills!DH3:DJ6,3,FALSE),0),0))&gt;=100,100,(Backdoors!AI12+IF(IF17&gt;=0.45,VLOOKUP(Calculator!E23,tbSkills!DH3:DI6,2,FALSE)+IF(AND(Calculator!B8=TRUE,Backdoors!BI37=TRUE),VLOOKUP(Calculator!E23,tbSkills!DH3:DJ6,3,FALSE),0),0)))/100)),1),1)</f>
        <v>0.5</v>
      </c>
      <c r="IL17" s="87">
        <f t="shared" si="27"/>
        <v>0</v>
      </c>
      <c r="IM17" s="86" t="str">
        <f>IFERROR(IF(VLOOKUP(A17,tbMoveset!A2:B112,2,FALSE)="Sever",Backdoors!AY38/100,IF(VLOOKUP(A17,tbMoveset!A2:B112,2,FALSE)="Blunt",Backdoors!AZ38/100,Backdoors!BA38/100)),"")</f>
        <v/>
      </c>
      <c r="IN17" s="49">
        <f>IFERROR(IF(VLOOKUP(tbMoveset!A17,tbMoveset!A2:H112,8,FALSE)="Other",IF(VLOOKUP(tbMoveset!A17,tbMoveset!A2:I112,9,FALSE)="Fire",Backdoors!BB38,IF(VLOOKUP(tbMoveset!A17,tbMoveset!A2:I112,9,FALSE)="Water",Backdoors!BC38,IF(VLOOKUP(tbMoveset!A17,tbMoveset!A2:I112,9,FALSE)="Thunder",Backdoors!BD38,IF(VLOOKUP(tbMoveset!A17,tbMoveset!A2:I112,9,FALSE)="Ice",Backdoors!BE38,IF(VLOOKUP(tbMoveset!A17,tbMoveset!A2:I112,9,FALSE)="Dragon",Backdoors!BF38,Backdoors!BG38)))))/100,Backdoors!BG38/100),"")</f>
        <v>0</v>
      </c>
      <c r="IO17" s="49">
        <f>IFERROR(IF(VLOOKUP(A17,tbMoveset!A2:J112,10,FALSE)=TRUE,IF((Backdoors!AI12+IF(IM17&gt;=0.45,VLOOKUP(Calculator!E23,tbSkills!DH3:DI6,2,FALSE)+IF(AND(Calculator!B8=TRUE,Backdoors!BI38=TRUE),VLOOKUP(Calculator!E23,tbSkills!DH3:DJ6,3,FALSE),0),0))&gt;=0,1+(Backdoors!AL2*(IF((Backdoors!AI12+IF(IM17&gt;=0.45,VLOOKUP(Calculator!E23,tbSkills!DH3:DI6,2,FALSE)+IF(AND(Calculator!B8=TRUE,Backdoors!BI38=TRUE),VLOOKUP(Calculator!E23,tbSkills!DH3:DJ6,3,FALSE),0),0))&gt;=100,100,(Backdoors!AI12+IF(IM17&gt;=0.45,VLOOKUP(Calculator!E23,tbSkills!DH3:DI6,2,FALSE)+IF(AND(Calculator!B8=TRUE,Backdoors!BI38=TRUE),VLOOKUP(Calculator!E23,tbSkills!DH3:DJ6,3,FALSE),0),0)))/100)),(1-(0.25*((-Backdoors!AI12-IF(IM17&gt;=0.45,VLOOKUP(Calculator!E23,tbSkills!DH3:DI6,2,FALSE)+IF(AND(Calculator!B8=TRUE,Backdoors!BI38=TRUE),VLOOKUP(Calculator!E23,tbSkills!DH3:DJ6,3,FALSE),0),0))/100)))),1),"")</f>
        <v>1</v>
      </c>
      <c r="IP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M17)*IO17)*(VLOOKUP(A17,tbMoveset!A2:C112,3,FALSE)/100)*IF(VLOOKUP(A17,tbMoveset!A2:B112,2,FALSE)="Projectile",Backdoors!N10,Backdoors!N9),0),"")</f>
        <v/>
      </c>
      <c r="IQ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IM17&gt;=0.45,VLOOKUP(Calculator!E23,tbSkills!DH3:DI6,2,FALSE)+IF(AND(Calculator!B8=TRUE,Backdoors!BI38=TRUE),VLOOKUP(Calculator!E23,tbSkills!DH3:DJ6,3,FALSE),0),0))&gt;=100,100,(Backdoors!AI12+IF(IM17&gt;=0.45,VLOOKUP(Calculator!E23,tbSkills!DH3:DI6,2,FALSE)+IF(AND(Calculator!B8=TRUE,Backdoors!BI38=TRUE),VLOOKUP(Calculator!E23,tbSkills!DH3:DJ6,3,FALSE),0),0)))/100)),1))*IF(VLOOKUP(A17,tbMoveset!A2:K112,11,FALSE)=TRUE,Backdoors!AC5,1))*IN17,0),"")</f>
        <v>0</v>
      </c>
      <c r="IR17" s="49">
        <f>VLOOKUP(A17,tbMoveset!A2:G112,7,FALSE)*IFERROR(IF(Backdoors!AI12&gt;=0,1+(IF(Calculator!E40&gt;0,VLOOKUP(Calculator!E40,tbSkills!AI3:AJ5,2,FALSE),Backdoors!AL4)*(IF((Backdoors!AI12+IF(IM17&gt;=0.45,VLOOKUP(Calculator!E23,tbSkills!DH3:DI6,2,FALSE)+IF(AND(Calculator!B8=TRUE,Backdoors!BI38=TRUE),VLOOKUP(Calculator!E23,tbSkills!DH3:DJ6,3,FALSE),0),0))&gt;=100,100,(Backdoors!AI12+IF(IM17&gt;=0.45,VLOOKUP(Calculator!E23,tbSkills!DH3:DI6,2,FALSE)+IF(AND(Calculator!B8=TRUE,Backdoors!BI38=TRUE),VLOOKUP(Calculator!E23,tbSkills!DH3:DJ6,3,FALSE),0),0)))/100)),1),1)</f>
        <v>0.5</v>
      </c>
      <c r="IS17" s="87">
        <f t="shared" si="42"/>
        <v>0</v>
      </c>
      <c r="IT17" s="86" t="str">
        <f>IFERROR(IF(VLOOKUP(A17,tbMoveset!A2:B112,2,FALSE)="Sever",Backdoors!AY39/100,IF(VLOOKUP(A17,tbMoveset!A2:B112,2,FALSE)="Blunt",Backdoors!AZ39/100,Backdoors!BA39/100)),"")</f>
        <v/>
      </c>
      <c r="IU17" s="49">
        <f>IFERROR(IF(VLOOKUP(tbMoveset!A17,tbMoveset!A2:H112,8,FALSE)="Other",IF(VLOOKUP(tbMoveset!A17,tbMoveset!A2:I112,9,FALSE)="Fire",Backdoors!BB39,IF(VLOOKUP(tbMoveset!A17,tbMoveset!A2:I112,9,FALSE)="Water",Backdoors!BC39,IF(VLOOKUP(tbMoveset!A17,tbMoveset!A2:I112,9,FALSE)="Thunder",Backdoors!BD39,IF(VLOOKUP(tbMoveset!A17,tbMoveset!A2:I112,9,FALSE)="Ice",Backdoors!BE39,IF(VLOOKUP(tbMoveset!A17,tbMoveset!A2:I112,9,FALSE)="Dragon",Backdoors!BF39,Backdoors!BG39)))))/100,Backdoors!BG39/100),"")</f>
        <v>0</v>
      </c>
      <c r="IV17" s="49">
        <f>IFERROR(IF(VLOOKUP(A17,tbMoveset!A2:J112,10,FALSE)=TRUE,IF((Backdoors!AI12+IF(IT17&gt;=0.45,VLOOKUP(Calculator!E23,tbSkills!DH3:DI6,2,FALSE)+IF(AND(Calculator!B8=TRUE,Backdoors!BI39=TRUE),VLOOKUP(Calculator!E23,tbSkills!DH3:DJ6,3,FALSE),0),0))&gt;=0,1+(Backdoors!AL2*(IF((Backdoors!AI12+IF(IT17&gt;=0.45,VLOOKUP(Calculator!E23,tbSkills!DH3:DI6,2,FALSE)+IF(AND(Calculator!B8=TRUE,Backdoors!BI39=TRUE),VLOOKUP(Calculator!E23,tbSkills!DH3:DJ6,3,FALSE),0),0))&gt;=100,100,(Backdoors!AI12+IF(IT17&gt;=0.45,VLOOKUP(Calculator!E23,tbSkills!DH3:DI6,2,FALSE)+IF(AND(Calculator!B8=TRUE,Backdoors!BI39=TRUE),VLOOKUP(Calculator!E23,tbSkills!DH3:DJ6,3,FALSE),0),0)))/100)),(1-(0.25*((-Backdoors!AI12-IF(IT17&gt;=0.45,VLOOKUP(Calculator!E23,tbSkills!DH3:DI6,2,FALSE)+IF(AND(Calculator!B8=TRUE,Backdoors!BI39=TRUE),VLOOKUP(Calculator!E23,tbSkills!DH3:DJ6,3,FALSE),0),0))/100)))),1),"")</f>
        <v>1</v>
      </c>
      <c r="IW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T17)*IV17)*(VLOOKUP(A17,tbMoveset!A2:C112,3,FALSE)/100)*IF(VLOOKUP(A17,tbMoveset!A2:B112,2,FALSE)="Projectile",Backdoors!N10,Backdoors!N9),0),"")</f>
        <v/>
      </c>
      <c r="IX17" s="49">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40&gt;0,VLOOKUP(Calculator!E40,tbSkills!AC3:AD5,2,FALSE),Backdoors!AL3)*(IF((Backdoors!AI12+IF(IT17&gt;=0.45,VLOOKUP(Calculator!E23,tbSkills!DH3:DI6,2,FALSE)+IF(AND(Calculator!B8=TRUE,Backdoors!BI39=TRUE),VLOOKUP(Calculator!E23,tbSkills!DH3:DJ6,3,FALSE),0),0))&gt;=100,100,(Backdoors!AI12+IF(IT17&gt;=0.45,VLOOKUP(Calculator!E23,tbSkills!DH3:DI6,2,FALSE)+IF(AND(Calculator!B8=TRUE,Backdoors!BI39=TRUE),VLOOKUP(Calculator!E23,tbSkills!DH3:DJ6,3,FALSE),0),0)))/100)),1))*IF(VLOOKUP(A17,tbMoveset!A2:K112,11,FALSE)=TRUE,Backdoors!AC5,1))*IU17,0),"")</f>
        <v>0</v>
      </c>
      <c r="IY17" s="49">
        <f>VLOOKUP(A17,tbMoveset!A2:G112,7,FALSE)*IFERROR(IF(Backdoors!AI12&gt;=0,1+(IF(Calculator!E40&gt;0,VLOOKUP(Calculator!E40,tbSkills!AI3:AJ5,2,FALSE),Backdoors!AL4)*(IF((Backdoors!AI12+IF(IT17&gt;=0.45,VLOOKUP(Calculator!E23,tbSkills!DH3:DI6,2,FALSE)+IF(AND(Calculator!B8=TRUE,Backdoors!BI39=TRUE),VLOOKUP(Calculator!E23,tbSkills!DH3:DJ6,3,FALSE),0),0))&gt;=100,100,(Backdoors!AI12+IF(IT17&gt;=0.45,VLOOKUP(Calculator!E23,tbSkills!DH3:DI6,2,FALSE)+IF(AND(Calculator!B8=TRUE,Backdoors!BI39=TRUE),VLOOKUP(Calculator!E23,tbSkills!DH3:DJ6,3,FALSE),0),0)))/100)),1),1)</f>
        <v>0.5</v>
      </c>
      <c r="IZ17" s="87">
        <f t="shared" si="28"/>
        <v>0</v>
      </c>
      <c r="JA17" s="86" t="str">
        <f>IFERROR(IF(VLOOKUP(A17,tbMoveset!A2:B112,2,FALSE)="Sever",Backdoors!AY40/100,IF(VLOOKUP(A17,tbMoveset!A2:B112,2,FALSE)="Blunt",Backdoors!AZ40/100,Backdoors!BA40/100)),"")</f>
        <v/>
      </c>
      <c r="JB17" s="49">
        <f>IFERROR(IF(VLOOKUP(tbMoveset!A17,tbMoveset!A2:H112,8,FALSE)="Other",IF(VLOOKUP(tbMoveset!A17,tbMoveset!A2:I112,9,FALSE)="Fire",Backdoors!BB40,IF(VLOOKUP(tbMoveset!A17,tbMoveset!A2:I112,9,FALSE)="Water",Backdoors!BC40,IF(VLOOKUP(tbMoveset!A17,tbMoveset!A2:I112,9,FALSE)="Thunder",Backdoors!BD40,IF(VLOOKUP(tbMoveset!A17,tbMoveset!A2:I112,9,FALSE)="Ice",Backdoors!BE40,IF(VLOOKUP(tbMoveset!A17,tbMoveset!A2:I112,9,FALSE)="Dragon",Backdoors!BF40,Backdoors!BG40)))))/100,Backdoors!BG40/100),"")</f>
        <v>0</v>
      </c>
      <c r="JC17" s="49">
        <f>IFERROR(IF(VLOOKUP(A17,tbMoveset!A2:J112,10,FALSE)=TRUE,IF((Backdoors!AI12+IF(JA17&gt;=0.45,VLOOKUP(Calculator!E23,tbSkills!DH3:DI6,2,FALSE)+IF(AND(Calculator!B8=TRUE,Backdoors!BI40=TRUE),VLOOKUP(Calculator!E23,tbSkills!DH3:DJ6,3,FALSE),0),0))&gt;=0,1+(Backdoors!AL2*(IF((Backdoors!AI12+IF(JA17&gt;=0.45,VLOOKUP(Calculator!E23,tbSkills!DH3:DI6,2,FALSE)+IF(AND(Calculator!B8=TRUE,Backdoors!BI40=TRUE),VLOOKUP(Calculator!E23,tbSkills!DH3:DJ6,3,FALSE),0),0))&gt;=100,100,(Backdoors!AI12+IF(JA17&gt;=0.45,VLOOKUP(Calculator!E23,tbSkills!DH3:DI6,2,FALSE)+IF(AND(Calculator!B8=TRUE,Backdoors!BI40=TRUE),VLOOKUP(Calculator!E23,tbSkills!DH3:DJ6,3,FALSE),0),0)))/100)),(1-(0.25*((-Backdoors!AI12-IF(JA17&gt;=0.45,VLOOKUP(Calculator!E23,tbSkills!DH3:DI6,2,FALSE)+IF(AND(Calculator!B8=TRUE,Backdoors!BI40=TRUE),VLOOKUP(Calculator!E23,tbSkills!DH3:DJ6,3,FALSE),0),0))/100)))),1),"")</f>
        <v>1</v>
      </c>
      <c r="JD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A17)*JC17)*(VLOOKUP(A17,tbMoveset!A2:C112,3,FALSE)/100)*IF(VLOOKUP(A17,tbMoveset!A2:B112,2,FALSE)="Projectile",Backdoors!N10,Backdoors!N9),0),"")</f>
        <v/>
      </c>
      <c r="JE17" s="49">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42&gt;0,VLOOKUP(Calculator!E42,tbSkills!AC3:AD5,2,FALSE),Backdoors!AL3)*(IF((Backdoors!AI12+IF(JA17&gt;=0.45,VLOOKUP(Calculator!E23,tbSkills!DH3:DI6,2,FALSE)+IF(AND(Calculator!B8=TRUE,Backdoors!BI40=TRUE),VLOOKUP(Calculator!E23,tbSkills!DH3:DJ6,3,FALSE),0),0))&gt;=100,100,(Backdoors!AI12+IF(JA17&gt;=0.45,VLOOKUP(Calculator!E23,tbSkills!DH3:DI6,2,FALSE)+IF(AND(Calculator!B8=TRUE,Backdoors!BI40=TRUE),VLOOKUP(Calculator!E23,tbSkills!DH3:DJ6,3,FALSE),0),0)))/100)),1))*IF(VLOOKUP(A17,tbMoveset!A2:K112,11,FALSE)=TRUE,Backdoors!AC5,1))*JB17,0),"")</f>
        <v>0</v>
      </c>
      <c r="JF17" s="49">
        <f>VLOOKUP(A17,tbMoveset!A2:G112,7,FALSE)*IFERROR(IF(Backdoors!AI12&gt;=0,1+(IF(Calculator!E40&gt;0,VLOOKUP(Calculator!E40,tbSkills!AI3:AJ5,2,FALSE),Backdoors!AL4)*(IF((Backdoors!AI12+IF(JA17&gt;=0.45,VLOOKUP(Calculator!E23,tbSkills!DH3:DI6,2,FALSE)+IF(AND(Calculator!B8=TRUE,Backdoors!BI40=TRUE),VLOOKUP(Calculator!E23,tbSkills!DH3:DJ6,3,FALSE),0),0))&gt;=100,100,(Backdoors!AI12+IF(JA17&gt;=0.45,VLOOKUP(Calculator!E23,tbSkills!DH3:DI6,2,FALSE)+IF(AND(Calculator!B8=TRUE,Backdoors!BI40=TRUE),VLOOKUP(Calculator!E23,tbSkills!DH3:DJ6,3,FALSE),0),0)))/100)),1),1)</f>
        <v>0.5</v>
      </c>
      <c r="JG17" s="87">
        <f t="shared" si="29"/>
        <v>0</v>
      </c>
      <c r="JH17" s="86" t="str">
        <f>IFERROR(IF(VLOOKUP(A17,tbMoveset!A2:B112,2,FALSE)="Sever",Backdoors!AY41/100,IF(VLOOKUP(A17,tbMoveset!A2:B112,2,FALSE)="Blunt",Backdoors!AZ41/100,Backdoors!BA41/100)),"")</f>
        <v/>
      </c>
      <c r="JI17" s="49">
        <f>IFERROR(IF(VLOOKUP(tbMoveset!A17,tbMoveset!A2:H112,8,FALSE)="Other",IF(VLOOKUP(tbMoveset!A17,tbMoveset!A2:I112,9,FALSE)="Fire",Backdoors!BB41,IF(VLOOKUP(tbMoveset!A17,tbMoveset!A2:I112,9,FALSE)="Water",Backdoors!BC41,IF(VLOOKUP(tbMoveset!A17,tbMoveset!A2:I112,9,FALSE)="Thunder",Backdoors!BD41,IF(VLOOKUP(tbMoveset!A17,tbMoveset!A2:I112,9,FALSE)="Ice",Backdoors!BE41,IF(VLOOKUP(tbMoveset!A17,tbMoveset!A2:I112,9,FALSE)="Dragon",Backdoors!BF41,Backdoors!BG41)))))/100,Backdoors!BG41/100),"")</f>
        <v>0</v>
      </c>
      <c r="JJ17" s="49">
        <f>IFERROR(IF(VLOOKUP(A17,tbMoveset!A2:J112,10,FALSE)=TRUE,IF((Backdoors!AI12+IF(JH17&gt;=0.45,VLOOKUP(Calculator!E23,tbSkills!DH3:DI6,2,FALSE)+IF(AND(Calculator!B8=TRUE,Backdoors!BI41=TRUE),VLOOKUP(Calculator!E23,tbSkills!DH3:DJ6,3,FALSE),0),0))&gt;=0,1+(Backdoors!AL2*(IF((Backdoors!AI12+IF(JH17&gt;=0.45,VLOOKUP(Calculator!E23,tbSkills!DH3:DI6,2,FALSE)+IF(AND(Calculator!B8=TRUE,Backdoors!BI41=TRUE),VLOOKUP(Calculator!E23,tbSkills!DH3:DJ6,3,FALSE),0),0))&gt;=100,100,(Backdoors!AI12+IF(JH17&gt;=0.45,VLOOKUP(Calculator!E23,tbSkills!DH3:DI6,2,FALSE)+IF(AND(Calculator!B8=TRUE,Backdoors!BI41=TRUE),VLOOKUP(Calculator!E23,tbSkills!DH3:DJ6,3,FALSE),0),0)))/100)),(1-(0.25*((-Backdoors!AI12-IF(JH17&gt;=0.45,VLOOKUP(Calculator!E23,tbSkills!DH3:DI6,2,FALSE)+IF(AND(Calculator!B8=TRUE,Backdoors!BI41=TRUE),VLOOKUP(Calculator!E23,tbSkills!DH3:DJ6,3,FALSE),0),0))/100)))),1),"")</f>
        <v>1</v>
      </c>
      <c r="JK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H17)*JJ17)*(VLOOKUP(A17,tbMoveset!A2:C112,3,FALSE)/100)*IF(VLOOKUP(A17,tbMoveset!A2:B112,2,FALSE)="Projectile",Backdoors!N10,Backdoors!N9),0),"")</f>
        <v/>
      </c>
      <c r="JL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43&gt;0,VLOOKUP(Calculator!E43,tbSkills!AC3:AD5,2,FALSE),Backdoors!AL3)*(IF((Backdoors!AI12+IF(JH17&gt;=0.45,VLOOKUP(Calculator!E23,tbSkills!DH3:DI6,2,FALSE)+IF(AND(Calculator!B8=TRUE,Backdoors!BI41=TRUE),VLOOKUP(Calculator!E23,tbSkills!DH3:DJ6,3,FALSE),0),0))&gt;=100,100,(Backdoors!AI12+IF(JH17&gt;=0.45,VLOOKUP(Calculator!E23,tbSkills!DH3:DI6,2,FALSE)+IF(AND(Calculator!B8=TRUE,Backdoors!BI41=TRUE),VLOOKUP(Calculator!E23,tbSkills!DH3:DJ6,3,FALSE),0),0)))/100)),1))*IF(VLOOKUP(A17,tbMoveset!A2:K112,11,FALSE)=TRUE,Backdoors!AC5,1))*JI17,0),"")</f>
        <v/>
      </c>
      <c r="JM17" s="49">
        <f>VLOOKUP(A17,tbMoveset!A2:G112,7,FALSE)*IFERROR(IF(Backdoors!AI12&gt;=0,1+(IF(Calculator!E40&gt;0,VLOOKUP(Calculator!E40,tbSkills!AI3:AJ5,2,FALSE),Backdoors!AL4)*(IF((Backdoors!AI12+IF(JH17&gt;=0.45,VLOOKUP(Calculator!E23,tbSkills!DH3:DI6,2,FALSE)+IF(AND(Calculator!B8=TRUE,Backdoors!BI41=TRUE),VLOOKUP(Calculator!E23,tbSkills!DH3:DJ6,3,FALSE),0),0))&gt;=100,100,(Backdoors!AI12+IF(JH17&gt;=0.45,VLOOKUP(Calculator!E23,tbSkills!DH3:DI6,2,FALSE)+IF(AND(Calculator!B8=TRUE,Backdoors!BI41=TRUE),VLOOKUP(Calculator!E23,tbSkills!DH3:DJ6,3,FALSE),0),0)))/100)),1),1)</f>
        <v>0.5</v>
      </c>
      <c r="JN17" s="87">
        <f t="shared" si="30"/>
        <v>0</v>
      </c>
      <c r="JO17" s="86" t="str">
        <f>IFERROR(IF(VLOOKUP(A17,tbMoveset!A2:B112,2,FALSE)="Sever",Backdoors!AY42/100,IF(VLOOKUP(A17,tbMoveset!A2:B112,2,FALSE)="Blunt",Backdoors!AZ42/100,Backdoors!BA42/100)),"")</f>
        <v/>
      </c>
      <c r="JP17" s="49">
        <f>IFERROR(IF(VLOOKUP(tbMoveset!A17,tbMoveset!A2:H112,8,FALSE)="Other",IF(VLOOKUP(tbMoveset!A17,tbMoveset!A2:I112,9,FALSE)="Fire",Backdoors!BB42,IF(VLOOKUP(tbMoveset!A17,tbMoveset!A2:I112,9,FALSE)="Water",Backdoors!BC42,IF(VLOOKUP(tbMoveset!A17,tbMoveset!A2:I112,9,FALSE)="Thunder",Backdoors!BD42,IF(VLOOKUP(tbMoveset!A17,tbMoveset!A2:I112,9,FALSE)="Ice",Backdoors!BE42,IF(VLOOKUP(tbMoveset!A17,tbMoveset!A2:I112,9,FALSE)="Dragon",Backdoors!BF42,Backdoors!BG42)))))/100,Backdoors!BG42/100),"")</f>
        <v>0</v>
      </c>
      <c r="JQ17" s="49">
        <f>IFERROR(IF(VLOOKUP(A17,tbMoveset!A2:J112,10,FALSE)=TRUE,IF((Backdoors!AI12+IF(JO17&gt;=0.45,VLOOKUP(Calculator!E23,tbSkills!DH3:DI6,2,FALSE)+IF(AND(Calculator!B8=TRUE,Backdoors!BI42=TRUE),VLOOKUP(Calculator!E23,tbSkills!DH3:DJ6,3,FALSE),0),0))&gt;=0,1+(Backdoors!AL2*(IF((Backdoors!AI12+IF(JO17&gt;=0.45,VLOOKUP(Calculator!E23,tbSkills!DH3:DI6,2,FALSE)+IF(AND(Calculator!B8=TRUE,Backdoors!BI42=TRUE),VLOOKUP(Calculator!E23,tbSkills!DH3:DJ6,3,FALSE),0),0))&gt;=100,100,(Backdoors!AI12+IF(JO17&gt;=0.45,VLOOKUP(Calculator!E23,tbSkills!DH3:DI6,2,FALSE)+IF(AND(Calculator!B8=TRUE,Backdoors!BI42=TRUE),VLOOKUP(Calculator!E23,tbSkills!DH3:DJ6,3,FALSE),0),0)))/100)),(1-(0.25*((-Backdoors!AI12-IF(JO17&gt;=0.45,VLOOKUP(Calculator!E23,tbSkills!DH3:DI6,2,FALSE)+IF(AND(Calculator!B8=TRUE,Backdoors!BI42=TRUE),VLOOKUP(Calculator!E23,tbSkills!DH3:DJ6,3,FALSE),0),0))/100)))),1),"")</f>
        <v>1</v>
      </c>
      <c r="JR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O17)*JQ17)*(VLOOKUP(A17,tbMoveset!A2:C112,3,FALSE)/100)*IF(VLOOKUP(A17,tbMoveset!A2:B112,2,FALSE)="Projectile",Backdoors!N10,Backdoors!N9),0),"")</f>
        <v/>
      </c>
      <c r="JS17" s="49">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45&gt;0,VLOOKUP(Calculator!E45,tbSkills!AC3:AD5,2,FALSE),Backdoors!AL3)*(IF((Backdoors!AI12+IF(JO17&gt;=0.45,VLOOKUP(Calculator!E23,tbSkills!DH3:DI6,2,FALSE)+IF(AND(Calculator!B8=TRUE,Backdoors!BI42=TRUE),VLOOKUP(Calculator!E23,tbSkills!DH3:DJ6,3,FALSE),0),0))&gt;=100,100,(Backdoors!AI12+IF(JO17&gt;=0.45,VLOOKUP(Calculator!E23,tbSkills!DH3:DI6,2,FALSE)+IF(AND(Calculator!B8=TRUE,Backdoors!BI42=TRUE),VLOOKUP(Calculator!E23,tbSkills!DH3:DJ6,3,FALSE),0),0)))/100)),1))*IF(VLOOKUP(A17,tbMoveset!A2:K112,11,FALSE)=TRUE,Backdoors!AC5,1))*JP17,0),"")</f>
        <v>0</v>
      </c>
      <c r="JT17" s="49">
        <f>VLOOKUP(A17,tbMoveset!A2:G112,7,FALSE)*IFERROR(IF(Backdoors!AI12&gt;=0,1+(IF(Calculator!E40&gt;0,VLOOKUP(Calculator!E40,tbSkills!AI3:AJ5,2,FALSE),Backdoors!AL4)*(IF((Backdoors!AI12+IF(JO17&gt;=0.45,VLOOKUP(Calculator!E23,tbSkills!DH3:DI6,2,FALSE)+IF(AND(Calculator!B8=TRUE,Backdoors!BI42=TRUE),VLOOKUP(Calculator!E23,tbSkills!DH3:DJ6,3,FALSE),0),0))&gt;=100,100,(Backdoors!AI12+IF(JO17&gt;=0.45,VLOOKUP(Calculator!E23,tbSkills!DH3:DI6,2,FALSE)+IF(AND(Calculator!B8=TRUE,Backdoors!BI42=TRUE),VLOOKUP(Calculator!E23,tbSkills!DH3:DJ6,3,FALSE),0),0)))/100)),1),1)</f>
        <v>0.5</v>
      </c>
      <c r="JU17" s="87">
        <f t="shared" si="31"/>
        <v>0</v>
      </c>
      <c r="JV17" s="86" t="str">
        <f>IFERROR(IF(VLOOKUP(A17,tbMoveset!A2:B112,2,FALSE)="Sever",Backdoors!AY43/100,IF(VLOOKUP(A17,tbMoveset!A2:B112,2,FALSE)="Blunt",Backdoors!AZ43/100,Backdoors!BA43/100)),"")</f>
        <v/>
      </c>
      <c r="JW17" s="49">
        <f>IFERROR(IF(VLOOKUP(tbMoveset!A17,tbMoveset!A2:H112,8,FALSE)="Other",IF(VLOOKUP(tbMoveset!A17,tbMoveset!A2:I112,9,FALSE)="Fire",Backdoors!BB43,IF(VLOOKUP(tbMoveset!A17,tbMoveset!A2:I112,9,FALSE)="Water",Backdoors!BC43,IF(VLOOKUP(tbMoveset!A17,tbMoveset!A2:I112,9,FALSE)="Thunder",Backdoors!BD43,IF(VLOOKUP(tbMoveset!A17,tbMoveset!A2:I112,9,FALSE)="Ice",Backdoors!BE43,IF(VLOOKUP(tbMoveset!A17,tbMoveset!A2:I112,9,FALSE)="Dragon",Backdoors!BF43,Backdoors!BG43)))))/100,Backdoors!BG43/100),"")</f>
        <v>0</v>
      </c>
      <c r="JX17" s="49">
        <f>IFERROR(IF(VLOOKUP(A17,tbMoveset!A2:J112,10,FALSE)=TRUE,IF((Backdoors!AI12+IF(JV17&gt;=0.45,VLOOKUP(Calculator!E23,tbSkills!DH3:DI6,2,FALSE)+IF(AND(Calculator!B8=TRUE,Backdoors!BI43=TRUE),VLOOKUP(Calculator!E23,tbSkills!DH3:DJ6,3,FALSE),0),0))&gt;=0,1+(Backdoors!AL2*(IF((Backdoors!AI12+IF(JV17&gt;=0.45,VLOOKUP(Calculator!E23,tbSkills!DH3:DI6,2,FALSE)+IF(AND(Calculator!B8=TRUE,Backdoors!BI43=TRUE),VLOOKUP(Calculator!E23,tbSkills!DH3:DJ6,3,FALSE),0),0))&gt;=100,100,(Backdoors!AI12+IF(JV17&gt;=0.45,VLOOKUP(Calculator!E23,tbSkills!DH3:DI6,2,FALSE)+IF(AND(Calculator!B8=TRUE,Backdoors!BI43=TRUE),VLOOKUP(Calculator!E23,tbSkills!DH3:DJ6,3,FALSE),0),0)))/100)),(1-(0.25*((-Backdoors!AI12-IF(JV17&gt;=0.45,VLOOKUP(Calculator!E23,tbSkills!DH3:DI6,2,FALSE)+IF(AND(Calculator!B8=TRUE,Backdoors!BI43=TRUE),VLOOKUP(Calculator!E23,tbSkills!DH3:DJ6,3,FALSE),0),0))/100)))),1),"")</f>
        <v>1</v>
      </c>
      <c r="JY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V17)*JX17)*(VLOOKUP(A17,tbMoveset!A2:C112,3,FALSE)/100)*IF(VLOOKUP(A17,tbMoveset!A2:B112,2,FALSE)="Projectile",Backdoors!N10,Backdoors!N9),0),"")</f>
        <v/>
      </c>
      <c r="JZ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46&gt;0,VLOOKUP(Calculator!E46,tbSkills!AC3:AD5,2,FALSE),Backdoors!AL3)*(IF((Backdoors!AI12+IF(JV17&gt;=0.45,VLOOKUP(Calculator!E23,tbSkills!DH3:DI6,2,FALSE)+IF(AND(Calculator!B8=TRUE,Backdoors!BI43=TRUE),VLOOKUP(Calculator!E23,tbSkills!DH3:DJ6,3,FALSE),0),0))&gt;=100,100,(Backdoors!AI12+IF(JV17&gt;=0.45,VLOOKUP(Calculator!E23,tbSkills!DH3:DI6,2,FALSE)+IF(AND(Calculator!B8=TRUE,Backdoors!BI43=TRUE),VLOOKUP(Calculator!E23,tbSkills!DH3:DJ6,3,FALSE),0),0)))/100)),1))*IF(VLOOKUP(A17,tbMoveset!A2:K112,11,FALSE)=TRUE,Backdoors!AC5,1))*JW17,0),"")</f>
        <v/>
      </c>
      <c r="KA17" s="49">
        <f>VLOOKUP(A17,tbMoveset!A2:G112,7,FALSE)*IFERROR(IF(Backdoors!AI12&gt;=0,1+(IF(Calculator!E40&gt;0,VLOOKUP(Calculator!E40,tbSkills!AI3:AJ5,2,FALSE),Backdoors!AL4)*(IF((Backdoors!AI12+IF(JV17&gt;=0.45,VLOOKUP(Calculator!E23,tbSkills!DH3:DI6,2,FALSE)+IF(AND(Calculator!B8=TRUE,Backdoors!BI43=TRUE),VLOOKUP(Calculator!E23,tbSkills!DH3:DJ6,3,FALSE),0),0))&gt;=100,100,(Backdoors!AI12+IF(JV17&gt;=0.45,VLOOKUP(Calculator!E23,tbSkills!DH3:DI6,2,FALSE)+IF(AND(Calculator!B8=TRUE,Backdoors!BI43=TRUE),VLOOKUP(Calculator!E23,tbSkills!DH3:DJ6,3,FALSE),0),0)))/100)),1),1)</f>
        <v>0.5</v>
      </c>
      <c r="KB17" s="87">
        <f t="shared" si="32"/>
        <v>0</v>
      </c>
      <c r="KC17" s="86" t="str">
        <f>IFERROR(IF(VLOOKUP(A17,tbMoveset!A2:B112,2,FALSE)="Sever",Backdoors!AY44/100,IF(VLOOKUP(A17,tbMoveset!A2:B112,2,FALSE)="Blunt",Backdoors!AZ44/100,Backdoors!BA44/100)),"")</f>
        <v/>
      </c>
      <c r="KD17" s="49">
        <f>IFERROR(IF(VLOOKUP(tbMoveset!A17,tbMoveset!A2:H112,8,FALSE)="Other",IF(VLOOKUP(tbMoveset!A17,tbMoveset!A2:I112,9,FALSE)="Fire",Backdoors!BB44,IF(VLOOKUP(tbMoveset!A17,tbMoveset!A2:I112,9,FALSE)="Water",Backdoors!BC44,IF(VLOOKUP(tbMoveset!A17,tbMoveset!A2:I112,9,FALSE)="Thunder",Backdoors!BD44,IF(VLOOKUP(tbMoveset!A17,tbMoveset!A2:I112,9,FALSE)="Ice",Backdoors!BE44,IF(VLOOKUP(tbMoveset!A17,tbMoveset!A2:I112,9,FALSE)="Dragon",Backdoors!BF44,Backdoors!BG44)))))/100,Backdoors!BG44/100),"")</f>
        <v>0</v>
      </c>
      <c r="KE17" s="49">
        <f>IFERROR(IF(VLOOKUP(A17,tbMoveset!A2:J112,10,FALSE)=TRUE,IF((Backdoors!AI12+IF(KC17&gt;=0.45,VLOOKUP(Calculator!E23,tbSkills!DH3:DI6,2,FALSE)+IF(AND(Calculator!B8=TRUE,Backdoors!BI44=TRUE),VLOOKUP(Calculator!E23,tbSkills!DH3:DJ6,3,FALSE),0),0))&gt;=0,1+(Backdoors!AL2*(IF((Backdoors!AI12+IF(KC17&gt;=0.45,VLOOKUP(Calculator!E23,tbSkills!DH3:DI6,2,FALSE)+IF(AND(Calculator!B8=TRUE,Backdoors!BI44=TRUE),VLOOKUP(Calculator!E23,tbSkills!DH3:DJ6,3,FALSE),0),0))&gt;=100,100,(Backdoors!AI12+IF(KC17&gt;=0.45,VLOOKUP(Calculator!E23,tbSkills!DH3:DI6,2,FALSE)+IF(AND(Calculator!B8=TRUE,Backdoors!BI44=TRUE),VLOOKUP(Calculator!E23,tbSkills!DH3:DJ6,3,FALSE),0),0)))/100)),(1-(0.25*((-Backdoors!AI12-IF(KC17&gt;=0.45,VLOOKUP(Calculator!E23,tbSkills!DH3:DI6,2,FALSE)+IF(AND(Calculator!B8=TRUE,Backdoors!BI44=TRUE),VLOOKUP(Calculator!E23,tbSkills!DH3:DJ6,3,FALSE),0),0))/100)))),1),"")</f>
        <v>1</v>
      </c>
      <c r="KF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KC17)*KE17)*(VLOOKUP(A17,tbMoveset!A2:C112,3,FALSE)/100)*IF(VLOOKUP(A17,tbMoveset!A2:B112,2,FALSE)="Projectile",Backdoors!N10,Backdoors!N9),0),"")</f>
        <v/>
      </c>
      <c r="KG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REF!&gt;0,VLOOKUP(Calculator!#REF!,tbSkills!AC3:AD5,2,FALSE),Backdoors!AL3)*(IF((Backdoors!AI12+IF(KC17&gt;=0.45,VLOOKUP(Calculator!E23,tbSkills!DH3:DI6,2,FALSE)+IF(AND(Calculator!B8=TRUE,Backdoors!BI44=TRUE),VLOOKUP(Calculator!E23,tbSkills!DH3:DJ6,3,FALSE),0),0))&gt;=100,100,(Backdoors!AI12+IF(KC17&gt;=0.45,VLOOKUP(Calculator!E23,tbSkills!DH3:DI6,2,FALSE)+IF(AND(Calculator!B8=TRUE,Backdoors!BI44=TRUE),VLOOKUP(Calculator!E23,tbSkills!DH3:DJ6,3,FALSE),0),0)))/100)),1))*IF(VLOOKUP(A17,tbMoveset!A2:K112,11,FALSE)=TRUE,Backdoors!AC5,1))*KD17,0),"")</f>
        <v/>
      </c>
      <c r="KH17" s="49">
        <f>VLOOKUP(A17,tbMoveset!A2:G112,7,FALSE)*IFERROR(IF(Backdoors!AI12&gt;=0,1+(IF(Calculator!E40&gt;0,VLOOKUP(Calculator!E40,tbSkills!AI3:AJ5,2,FALSE),Backdoors!AL4)*(IF((Backdoors!AI12+IF(KC17&gt;=0.45,VLOOKUP(Calculator!E23,tbSkills!DH3:DI6,2,FALSE)+IF(AND(Calculator!B8=TRUE,Backdoors!BI44=TRUE),VLOOKUP(Calculator!E23,tbSkills!DH3:DJ6,3,FALSE),0),0))&gt;=100,100,(Backdoors!AI12+IF(KC17&gt;=0.45,VLOOKUP(Calculator!E23,tbSkills!DH3:DI6,2,FALSE)+IF(AND(Calculator!B8=TRUE,Backdoors!BI44=TRUE),VLOOKUP(Calculator!E23,tbSkills!DH3:DJ6,3,FALSE),0),0)))/100)),1),1)</f>
        <v>0.5</v>
      </c>
      <c r="KI17" s="87">
        <f t="shared" si="33"/>
        <v>0</v>
      </c>
      <c r="KJ17" s="86" t="str">
        <f>IFERROR(IF(VLOOKUP(A17,tbMoveset!A2:B112,2,FALSE)="Sever",Backdoors!AY45/100,IF(VLOOKUP(A17,tbMoveset!A2:B112,2,FALSE)="Blunt",Backdoors!AZ45/100,Backdoors!BA45/100)),"")</f>
        <v/>
      </c>
      <c r="KK17" s="49">
        <f>IFERROR(IF(VLOOKUP(tbMoveset!A17,tbMoveset!A2:H112,8,FALSE)="Other",IF(VLOOKUP(tbMoveset!A17,tbMoveset!A2:I112,9,FALSE)="Fire",Backdoors!BB45,IF(VLOOKUP(tbMoveset!A17,tbMoveset!A2:I112,9,FALSE)="Water",Backdoors!BC45,IF(VLOOKUP(tbMoveset!A17,tbMoveset!A2:I112,9,FALSE)="Thunder",Backdoors!BD45,IF(VLOOKUP(tbMoveset!A17,tbMoveset!A2:I112,9,FALSE)="Ice",Backdoors!BE45,IF(VLOOKUP(tbMoveset!A17,tbMoveset!A2:I112,9,FALSE)="Dragon",Backdoors!BF45,Backdoors!BG45)))))/100,Backdoors!BG45/100),"")</f>
        <v>0</v>
      </c>
      <c r="KL17" s="49">
        <f>IFERROR(IF(VLOOKUP(A17,tbMoveset!A2:J112,10,FALSE)=TRUE,IF((Backdoors!AI12+IF(KJ17&gt;=0.45,VLOOKUP(Calculator!E23,tbSkills!DH3:DI6,2,FALSE)+IF(AND(Calculator!B8=TRUE,Backdoors!BI45=TRUE),VLOOKUP(Calculator!E23,tbSkills!DH3:DJ6,3,FALSE),0),0))&gt;=0,1+(Backdoors!AL2*(IF((Backdoors!AI12+IF(KJ17&gt;=0.45,VLOOKUP(Calculator!E23,tbSkills!DH3:DI6,2,FALSE)+IF(AND(Calculator!B8=TRUE,Backdoors!BI45=TRUE),VLOOKUP(Calculator!E23,tbSkills!DH3:DJ6,3,FALSE),0),0))&gt;=100,100,(Backdoors!AI12+IF(KJ17&gt;=0.45,VLOOKUP(Calculator!E23,tbSkills!DH3:DI6,2,FALSE)+IF(AND(Calculator!B8=TRUE,Backdoors!BI45=TRUE),VLOOKUP(Calculator!E23,tbSkills!DH3:DJ6,3,FALSE),0),0)))/100)),(1-(0.25*((-Backdoors!AI12-IF(KJ17&gt;=0.45,VLOOKUP(Calculator!E23,tbSkills!DH3:DI6,2,FALSE)+IF(AND(Calculator!B8=TRUE,Backdoors!BI45=TRUE),VLOOKUP(Calculator!E23,tbSkills!DH3:DJ6,3,FALSE),0),0))/100)))),1),"")</f>
        <v>1</v>
      </c>
      <c r="KM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KJ17)*KL17)*(VLOOKUP(A17,tbMoveset!A2:C112,3,FALSE)/100)*IF(VLOOKUP(A17,tbMoveset!A2:B112,2,FALSE)="Projectile",Backdoors!N10,Backdoors!N9),0),"")</f>
        <v/>
      </c>
      <c r="KN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REF!&gt;0,VLOOKUP(Calculator!#REF!,tbSkills!AC3:AD5,2,FALSE),Backdoors!AL3)*(IF((Backdoors!AI12+IF(KJ17&gt;=0.45,VLOOKUP(Calculator!E23,tbSkills!DH3:DI6,2,FALSE)+IF(AND(Calculator!B8=TRUE,Backdoors!BI45=TRUE),VLOOKUP(Calculator!E23,tbSkills!DH3:DJ6,3,FALSE),0),0))&gt;=100,100,(Backdoors!AI12+IF(KJ17&gt;=0.45,VLOOKUP(Calculator!E23,tbSkills!DH3:DI6,2,FALSE)+IF(AND(Calculator!B8=TRUE,Backdoors!BI45=TRUE),VLOOKUP(Calculator!E23,tbSkills!DH3:DJ6,3,FALSE),0),0)))/100)),1))*IF(VLOOKUP(A17,tbMoveset!A2:K112,11,FALSE)=TRUE,Backdoors!AC5,1))*KK17,0),"")</f>
        <v/>
      </c>
      <c r="KO17" s="49">
        <f>VLOOKUP(A17,tbMoveset!A2:G112,7,FALSE)*IFERROR(IF(Backdoors!AI12&gt;=0,1+(IF(Calculator!E40&gt;0,VLOOKUP(Calculator!E40,tbSkills!AI3:AJ5,2,FALSE),Backdoors!AL4)*(IF((Backdoors!AI12+IF(KJ17&gt;=0.45,VLOOKUP(Calculator!E23,tbSkills!DH3:DI6,2,FALSE)+IF(AND(Calculator!B8=TRUE,Backdoors!BI45=TRUE),VLOOKUP(Calculator!E23,tbSkills!DH3:DJ6,3,FALSE),0),0))&gt;=100,100,(Backdoors!AI12+IF(KJ17&gt;=0.45,VLOOKUP(Calculator!E23,tbSkills!DH3:DI6,2,FALSE)+IF(AND(Calculator!B8=TRUE,Backdoors!BI45=TRUE),VLOOKUP(Calculator!E23,tbSkills!DH3:DJ6,3,FALSE),0),0)))/100)),1),1)</f>
        <v>0.5</v>
      </c>
      <c r="KP17" s="87">
        <f t="shared" si="34"/>
        <v>0</v>
      </c>
      <c r="KQ17" s="86" t="str">
        <f>IFERROR(IF(VLOOKUP(A17,tbMoveset!A2:B112,2,FALSE)="Sever",Backdoors!AY46/100,IF(VLOOKUP(A17,tbMoveset!A2:B112,2,FALSE)="Blunt",Backdoors!AZ46/100,Backdoors!BA46/100)),"")</f>
        <v/>
      </c>
      <c r="KR17" s="49">
        <f>IFERROR(IF(VLOOKUP(tbMoveset!A17,tbMoveset!A2:H112,8,FALSE)="Other",IF(VLOOKUP(tbMoveset!A17,tbMoveset!A2:I112,9,FALSE)="Fire",Backdoors!BB46,IF(VLOOKUP(tbMoveset!A17,tbMoveset!A2:I112,9,FALSE)="Water",Backdoors!BC46,IF(VLOOKUP(tbMoveset!A17,tbMoveset!A2:I112,9,FALSE)="Thunder",Backdoors!BD46,IF(VLOOKUP(tbMoveset!A17,tbMoveset!A2:I112,9,FALSE)="Ice",Backdoors!BE46,IF(VLOOKUP(tbMoveset!A17,tbMoveset!A2:I112,9,FALSE)="Dragon",Backdoors!BF46,Backdoors!BG46)))))/100,Backdoors!BG46/100),"")</f>
        <v>0</v>
      </c>
      <c r="KS17" s="49">
        <f>IFERROR(IF(VLOOKUP(A17,tbMoveset!A2:J112,10,FALSE)=TRUE,IF((Backdoors!AI12+IF(KQ17&gt;=0.45,VLOOKUP(Calculator!E23,tbSkills!DH3:DI6,2,FALSE)+IF(AND(Calculator!B8=TRUE,Backdoors!BI46=TRUE),VLOOKUP(Calculator!E23,tbSkills!DH3:DJ6,3,FALSE),0),0))&gt;=0,1+(Backdoors!AL2*(IF((Backdoors!AI12+IF(KQ17&gt;=0.45,VLOOKUP(Calculator!E23,tbSkills!DH3:DI6,2,FALSE)+IF(AND(Calculator!B8=TRUE,Backdoors!BI46=TRUE),VLOOKUP(Calculator!E23,tbSkills!DH3:DJ6,3,FALSE),0),0))&gt;=100,100,(Backdoors!AI12+IF(KQ17&gt;=0.45,VLOOKUP(Calculator!E23,tbSkills!DH3:DI6,2,FALSE)+IF(AND(Calculator!B8=TRUE,Backdoors!BI46=TRUE),VLOOKUP(Calculator!E23,tbSkills!DH3:DJ6,3,FALSE),0),0)))/100)),(1-(0.25*((-Backdoors!AI12-IF(KQ17&gt;=0.45,VLOOKUP(Calculator!E23,tbSkills!DH3:DI6,2,FALSE)+IF(AND(Calculator!B8=TRUE,Backdoors!BI46=TRUE),VLOOKUP(Calculator!E23,tbSkills!DH3:DJ6,3,FALSE),0),0))/100)))),1),"")</f>
        <v>1</v>
      </c>
      <c r="KT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KQ17)*KS17)*(VLOOKUP(A17,tbMoveset!A2:C112,3,FALSE)/100)*IF(VLOOKUP(A17,tbMoveset!A2:B112,2,FALSE)="Projectile",Backdoors!N10,Backdoors!N9),0),"")</f>
        <v/>
      </c>
      <c r="KU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REF!&gt;0,VLOOKUP(Calculator!#REF!,tbSkills!AC3:AD5,2,FALSE),Backdoors!AL3)*(IF((Backdoors!AI12+IF(KQ17&gt;=0.45,VLOOKUP(Calculator!E23,tbSkills!DH3:DI6,2,FALSE)+IF(AND(Calculator!B8=TRUE,Backdoors!BI46=TRUE),VLOOKUP(Calculator!E23,tbSkills!DH3:DJ6,3,FALSE),0),0))&gt;=100,100,(Backdoors!AI12+IF(KQ17&gt;=0.45,VLOOKUP(Calculator!E23,tbSkills!DH3:DI6,2,FALSE)+IF(AND(Calculator!B8=TRUE,Backdoors!BI46=TRUE),VLOOKUP(Calculator!E23,tbSkills!DH3:DJ6,3,FALSE),0),0)))/100)),1))*IF(VLOOKUP(A17,tbMoveset!A2:K112,11,FALSE)=TRUE,Backdoors!AC5,1))*KR17,0),"")</f>
        <v/>
      </c>
      <c r="KV17" s="49">
        <f>VLOOKUP(A17,tbMoveset!A2:G112,7,FALSE)*IFERROR(IF(Backdoors!AI12&gt;=0,1+(IF(Calculator!E40&gt;0,VLOOKUP(Calculator!E40,tbSkills!AI3:AJ5,2,FALSE),Backdoors!AL4)*(IF((Backdoors!AI12+IF(KQ17&gt;=0.45,VLOOKUP(Calculator!E23,tbSkills!DH3:DI6,2,FALSE)+IF(AND(Calculator!B8=TRUE,Backdoors!BI46=TRUE),VLOOKUP(Calculator!E23,tbSkills!DH3:DJ6,3,FALSE),0),0))&gt;=100,100,(Backdoors!AI12+IF(KQ17&gt;=0.45,VLOOKUP(Calculator!E23,tbSkills!DH3:DI6,2,FALSE)+IF(AND(Calculator!B8=TRUE,Backdoors!BI46=TRUE),VLOOKUP(Calculator!E23,tbSkills!DH3:DJ6,3,FALSE),0),0)))/100)),1),1)</f>
        <v>0.5</v>
      </c>
      <c r="KW17" s="87">
        <f t="shared" si="35"/>
        <v>0</v>
      </c>
    </row>
    <row r="18" spans="1:309" x14ac:dyDescent="0.25">
      <c r="A18" s="95" t="str">
        <f>tbMoveset!A18</f>
        <v>Left Roundslash (R)</v>
      </c>
      <c r="B18" s="86">
        <f>IFERROR(IF(VLOOKUP(A18,tbMoveset!A2:B112,2,FALSE)="Sever",Backdoors!AY3/100,IF(VLOOKUP(A18,tbMoveset!A2:B112,2,FALSE)="Blunt",Backdoors!AZ3/100,Backdoors!BA3/100)),"")</f>
        <v>0.8</v>
      </c>
      <c r="C18" s="49">
        <f>IFERROR(IF(VLOOKUP(tbMoveset!A18,tbMoveset!A2:H112,8,FALSE)="Other",IF(VLOOKUP(tbMoveset!A18,tbMoveset!A2:I112,9,FALSE)="Fire",Backdoors!BB3,IF(VLOOKUP(tbMoveset!A18,tbMoveset!A2:I112,9,FALSE)="Water",Backdoors!BC3,IF(VLOOKUP(tbMoveset!A18,tbMoveset!A2:I112,9,FALSE)="Thunder",Backdoors!BD3,IF(VLOOKUP(tbMoveset!A18,tbMoveset!A2:I112,9,FALSE)="Ice",Backdoors!BE3,IF(VLOOKUP(tbMoveset!A18,tbMoveset!A2:I112,9,FALSE)="Dragon",Backdoors!BF3,Backdoors!BG3)))))/100,Backdoors!BG3/100),"")</f>
        <v>0</v>
      </c>
      <c r="D18" s="49">
        <f>IFERROR(IF(VLOOKUP(A18,tbMoveset!A2:J112,10,FALSE)=TRUE,IF((Backdoors!AI12+IF(B18&gt;=0.45,VLOOKUP(Calculator!E23,tbSkills!DH3:DI6,2,FALSE)+IF(AND(Calculator!B8=TRUE,Backdoors!BI3=TRUE),VLOOKUP(Calculator!E23,tbSkills!DH3:DJ6,3,FALSE),0),0))&gt;=0,1+(Backdoors!AL2*(IF((Backdoors!AI12+IF(B18&gt;=0.45,VLOOKUP(Calculator!E23,tbSkills!DH3:DI6,2,FALSE)+IF(AND(Calculator!B8=TRUE,Backdoors!BI3=TRUE),VLOOKUP(Calculator!E23,tbSkills!DH3:DJ6,3,FALSE),0),0))&gt;=100,100,(Backdoors!AI12+IF(B18&gt;=0.45,VLOOKUP(Calculator!E23,tbSkills!DH3:DI6,2,FALSE)+IF(AND(Calculator!B8=TRUE,Backdoors!BI3=TRUE),VLOOKUP(Calculator!E23,tbSkills!DH3:DJ6,3,FALSE),0),0)))/100)),(1-(0.25*((-Backdoors!AI12-IF(B18&gt;=0.45,VLOOKUP(Calculator!E23,tbSkills!DH3:DI6,2,FALSE)+IF(AND(Calculator!B8=TRUE,Backdoors!BI3=TRUE),VLOOKUP(Calculator!E23,tbSkills!DH3:DJ6,3,FALSE),0),0))/100)))),1),"")</f>
        <v>1</v>
      </c>
      <c r="E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18)*D18)*(VLOOKUP(A18,tbMoveset!A2:C112,3,FALSE)/100)*IF(VLOOKUP(A18,tbMoveset!A2:B112,2,FALSE)="Projectile",Backdoors!N10,Backdoors!N9),0),"")</f>
        <v>5</v>
      </c>
      <c r="F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18&gt;=0.45,VLOOKUP(Calculator!E23,tbSkills!DH3:DI6,2,FALSE)+IF(AND(Calculator!B8=TRUE,Backdoors!BI3=TRUE),VLOOKUP(Calculator!E23,tbSkills!DH3:DJ6,3,FALSE),0),0))&gt;=100,100,(Backdoors!AI12+IF(B18&gt;=0.45,VLOOKUP(Calculator!E23,tbSkills!DH3:DI6,2,FALSE)+IF(AND(Calculator!B8=TRUE,Backdoors!BI3=TRUE),VLOOKUP(Calculator!E23,tbSkills!DH3:DJ6,3,FALSE),0),0)))/100)),1))*IF(VLOOKUP(A18,tbMoveset!A2:K112,11,FALSE)=TRUE,Backdoors!AC5,1))*C18,0),"")</f>
        <v>0</v>
      </c>
      <c r="G18">
        <f>VLOOKUP(A18,tbMoveset!A2:G112,7,FALSE)*IFERROR(IF(Backdoors!AI12&gt;=0,1+(IF(Calculator!E40&gt;0,VLOOKUP(Calculator!E40,tbSkills!AI3:AJ5,2,FALSE),Backdoors!AL4)*(IF((Backdoors!AI12+IF(B18&gt;=0.45,VLOOKUP(Calculator!E23,tbSkills!DH3:DI6,2,FALSE)+IF(AND(Calculator!B8=TRUE,Backdoors!BI3=TRUE),VLOOKUP(Calculator!E23,tbSkills!DH3:DJ6,3,FALSE),0),0))&gt;=100,100,(Backdoors!AI12+IF(B18&gt;=0.45,VLOOKUP(Calculator!E23,tbSkills!DH3:DI6,2,FALSE)+IF(AND(Calculator!B8=TRUE,Backdoors!BI3=TRUE),VLOOKUP(Calculator!E23,tbSkills!DH3:DJ6,3,FALSE),0),0)))/100)),1),1)</f>
        <v>0.5</v>
      </c>
      <c r="H18" s="87">
        <f t="shared" si="43"/>
        <v>5</v>
      </c>
      <c r="I18" s="86">
        <f>IFERROR(IF(VLOOKUP(A18,tbMoveset!A2:B112,2,FALSE)="Sever",Backdoors!AY4/100,IF(VLOOKUP(A18,tbMoveset!A2:B112,2,FALSE)="Blunt",Backdoors!AZ4/100,Backdoors!BA4/100)),"")</f>
        <v>0.65</v>
      </c>
      <c r="J18" s="49">
        <f>IFERROR(IF(VLOOKUP(tbMoveset!A18,tbMoveset!A2:H112,8,FALSE)="Other",IF(VLOOKUP(tbMoveset!A18,tbMoveset!A2:I112,9,FALSE)="Fire",Backdoors!BB4,IF(VLOOKUP(tbMoveset!A18,tbMoveset!A2:I112,9,FALSE)="Water",Backdoors!BC4,IF(VLOOKUP(tbMoveset!A18,tbMoveset!A2:I112,9,FALSE)="Thunder",Backdoors!BD4,IF(VLOOKUP(tbMoveset!A18,tbMoveset!A2:I112,9,FALSE)="Ice",Backdoors!BE4,IF(VLOOKUP(tbMoveset!A18,tbMoveset!A2:I112,9,FALSE)="Dragon",Backdoors!BF4,Backdoors!BG4)))))/100,Backdoors!BG4/100),"")</f>
        <v>0</v>
      </c>
      <c r="K18" s="49">
        <f>IFERROR(IF(VLOOKUP(A18,tbMoveset!A2:J112,10,FALSE)=TRUE,IF((Backdoors!AI12+IF(I18&gt;=0.45,VLOOKUP(Calculator!E23,tbSkills!DH3:DI6,2,FALSE)+IF(AND(Calculator!B8=TRUE,Backdoors!BI4=TRUE),VLOOKUP(Calculator!E23,tbSkills!DH3:DJ6,3,FALSE),0),0))&gt;=0,1+(Backdoors!AL2*(IF((Backdoors!AI12+IF(I18&gt;=0.45,VLOOKUP(Calculator!E23,tbSkills!DH3:DI6,2,FALSE)+IF(AND(Calculator!B8=TRUE,Backdoors!BI4=TRUE),VLOOKUP(Calculator!E23,tbSkills!DH3:DJ6,3,FALSE),0),0))&gt;=100,100,(Backdoors!AI12+IF(I18&gt;=0.45,VLOOKUP(Calculator!E23,tbSkills!DH3:DI6,2,FALSE)+IF(AND(Calculator!B8=TRUE,Backdoors!BI4=TRUE),VLOOKUP(Calculator!E23,tbSkills!DH3:DJ6,3,FALSE),0),0)))/100)),(1-(0.25*((-Backdoors!AI12-IF(I18&gt;=0.45,VLOOKUP(Calculator!E23,tbSkills!DH3:DI6,2,FALSE)+IF(AND(Calculator!B8=TRUE,Backdoors!BI4=TRUE),VLOOKUP(Calculator!E23,tbSkills!DH3:DJ6,3,FALSE),0),0))/100)))),1),"")</f>
        <v>1</v>
      </c>
      <c r="L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18)*K18)*(VLOOKUP(A18,tbMoveset!A2:C112,3,FALSE)/100)*IF(VLOOKUP(A18,tbMoveset!A2:B112,2,FALSE)="Projectile",Backdoors!N10,Backdoors!N9),0),"")</f>
        <v>4</v>
      </c>
      <c r="M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I18&gt;=0.45,VLOOKUP(Calculator!E23,tbSkills!DH3:DI6,2,FALSE)+IF(AND(Calculator!B8=TRUE,Backdoors!BI4=TRUE),VLOOKUP(Calculator!E23,tbSkills!DH3:DJ6,3,FALSE),0),0))&gt;=100,100,(Backdoors!AI12+IF(I18&gt;=0.45,VLOOKUP(Calculator!E23,tbSkills!DH3:DI6,2,FALSE)+IF(AND(Calculator!B8=TRUE,Backdoors!BI4=TRUE),VLOOKUP(Calculator!E23,tbSkills!DH3:DJ6,3,FALSE),0),0)))/100)),1))*IF(VLOOKUP(A18,tbMoveset!A2:K112,11,FALSE)=TRUE,Backdoors!AC5,1))*J18,0),"")</f>
        <v>0</v>
      </c>
      <c r="N18" s="49">
        <f>VLOOKUP(A18,tbMoveset!A2:G112,7,FALSE)*IFERROR(IF(Backdoors!AI12&gt;=0,1+(IF(Calculator!E40&gt;0,VLOOKUP(Calculator!E40,tbSkills!AI3:AJ5,2,FALSE),Backdoors!AL4)*(IF((Backdoors!AI12+IF(I18&gt;=0.45,VLOOKUP(Calculator!E23,tbSkills!DH3:DI6,2,FALSE)+IF(AND(Calculator!B8=TRUE,Backdoors!BI4=TRUE),VLOOKUP(Calculator!E23,tbSkills!DH3:DJ6,3,FALSE),0),0))&gt;=100,100,(Backdoors!AI12+IF(I18&gt;=0.45,VLOOKUP(Calculator!E23,tbSkills!DH3:DI6,2,FALSE)+IF(AND(Calculator!B8=TRUE,Backdoors!BI4=TRUE),VLOOKUP(Calculator!E23,tbSkills!DH3:DJ6,3,FALSE),0),0)))/100)),1),1)</f>
        <v>0.5</v>
      </c>
      <c r="O18" s="87">
        <f t="shared" si="36"/>
        <v>4</v>
      </c>
      <c r="P18" s="86">
        <f>IFERROR(IF(VLOOKUP(A18,tbMoveset!A2:B112,2,FALSE)="Sever",Backdoors!AY5/100,IF(VLOOKUP(A18,tbMoveset!A2:B112,2,FALSE)="Blunt",Backdoors!AZ5/100,Backdoors!BA5/100)),"")</f>
        <v>0.5</v>
      </c>
      <c r="Q18" s="49">
        <f>IFERROR(IF(VLOOKUP(tbMoveset!A18,tbMoveset!A2:H112,8,FALSE)="Other",IF(VLOOKUP(tbMoveset!A18,tbMoveset!A2:I112,9,FALSE)="Fire",Backdoors!BB5,IF(VLOOKUP(tbMoveset!A18,tbMoveset!A2:I112,9,FALSE)="Water",Backdoors!BC5,IF(VLOOKUP(tbMoveset!A18,tbMoveset!A2:I112,9,FALSE)="Thunder",Backdoors!BD5,IF(VLOOKUP(tbMoveset!A18,tbMoveset!A2:I112,9,FALSE)="Ice",Backdoors!BE5,IF(VLOOKUP(tbMoveset!A18,tbMoveset!A2:I112,9,FALSE)="Dragon",Backdoors!BF5,Backdoors!BG5)))))/100,Backdoors!BG5/100),"")</f>
        <v>0</v>
      </c>
      <c r="R18" s="49">
        <f>IFERROR(IF(VLOOKUP(A18,tbMoveset!A2:J112,10,FALSE)=TRUE,IF((Backdoors!AI12+IF(P18&gt;=0.45,VLOOKUP(Calculator!E23,tbSkills!DH3:DI6,2,FALSE)+IF(AND(Calculator!B8=TRUE,Backdoors!BI5=TRUE),VLOOKUP(Calculator!E23,tbSkills!DH3:DJ6,3,FALSE),0),0))&gt;=0,1+(Backdoors!AL2*(IF((Backdoors!AI12+IF(P18&gt;=0.45,VLOOKUP(Calculator!E23,tbSkills!DH3:DI6,2,FALSE)+IF(AND(Calculator!B8=TRUE,Backdoors!BI5=TRUE),VLOOKUP(Calculator!E23,tbSkills!DH3:DJ6,3,FALSE),0),0))&gt;=100,100,(Backdoors!AI12+IF(P18&gt;=0.45,VLOOKUP(Calculator!E23,tbSkills!DH3:DI6,2,FALSE)+IF(AND(Calculator!B8=TRUE,Backdoors!BI5=TRUE),VLOOKUP(Calculator!E23,tbSkills!DH3:DJ6,3,FALSE),0),0)))/100)),(1-(0.25*((-Backdoors!AI12-IF(P18&gt;=0.45,VLOOKUP(Calculator!E23,tbSkills!DH3:DI6,2,FALSE)+IF(AND(Calculator!B8=TRUE,Backdoors!BI5=TRUE),VLOOKUP(Calculator!E23,tbSkills!DH3:DJ6,3,FALSE),0),0))/100)))),1),"")</f>
        <v>1</v>
      </c>
      <c r="S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P18)*R18)*(VLOOKUP(A18,tbMoveset!A2:C112,3,FALSE)/100)*IF(VLOOKUP(A18,tbMoveset!A2:B112,2,FALSE)="Projectile",Backdoors!N10,Backdoors!N9),0),"")</f>
        <v>3</v>
      </c>
      <c r="T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P18&gt;=0.45,VLOOKUP(Calculator!E23,tbSkills!DH3:DI6,2,FALSE)+IF(AND(Calculator!B8=TRUE,Backdoors!BI5=TRUE),VLOOKUP(Calculator!E23,tbSkills!DH3:DJ6,3,FALSE),0),0))&gt;=100,100,(Backdoors!AI12+IF(P18&gt;=0.45,VLOOKUP(Calculator!E23,tbSkills!DH3:DI6,2,FALSE)+IF(AND(Calculator!B8=TRUE,Backdoors!BI5=TRUE),VLOOKUP(Calculator!E23,tbSkills!DH3:DJ6,3,FALSE),0),0)))/100)),1))*IF(VLOOKUP(A18,tbMoveset!A2:K112,11,FALSE)=TRUE,Backdoors!AC5,1))*Q18,0),"")</f>
        <v>0</v>
      </c>
      <c r="U18" s="49">
        <f>VLOOKUP(A18,tbMoveset!A2:G112,7,FALSE)*IFERROR(IF(Backdoors!AI12&gt;=0,1+(IF(Calculator!E40&gt;0,VLOOKUP(Calculator!E40,tbSkills!AI3:AJ5,2,FALSE),Backdoors!AL4)*(IF((Backdoors!AI12+IF(P18&gt;=0.45,VLOOKUP(Calculator!E23,tbSkills!DH3:DI6,2,FALSE)+IF(AND(Calculator!B8=TRUE,Backdoors!BI5=TRUE),VLOOKUP(Calculator!E23,tbSkills!DH3:DJ6,3,FALSE),0),0))&gt;=100,100,(Backdoors!AI12+IF(P18&gt;=0.45,VLOOKUP(Calculator!E23,tbSkills!DH3:DI6,2,FALSE)+IF(AND(Calculator!B8=TRUE,Backdoors!BI5=TRUE),VLOOKUP(Calculator!E23,tbSkills!DH3:DJ6,3,FALSE),0),0)))/100)),1),1)</f>
        <v>0.5</v>
      </c>
      <c r="V18" s="87">
        <f t="shared" si="37"/>
        <v>3</v>
      </c>
      <c r="W18" s="86">
        <f>IFERROR(IF(VLOOKUP(A18,tbMoveset!A2:B112,2,FALSE)="Sever",Backdoors!AY6/100,IF(VLOOKUP(A18,tbMoveset!A2:B112,2,FALSE)="Blunt",Backdoors!AZ6/100,Backdoors!BA6/100)),"")</f>
        <v>0.45</v>
      </c>
      <c r="X18" s="49">
        <f>IFERROR(IF(VLOOKUP(tbMoveset!A18,tbMoveset!A2:H112,8,FALSE)="Other",IF(VLOOKUP(tbMoveset!A18,tbMoveset!A2:I112,9,FALSE)="Fire",Backdoors!BB6,IF(VLOOKUP(tbMoveset!A18,tbMoveset!A2:I112,9,FALSE)="Water",Backdoors!BC6,IF(VLOOKUP(tbMoveset!A18,tbMoveset!A2:I112,9,FALSE)="Thunder",Backdoors!BD6,IF(VLOOKUP(tbMoveset!A18,tbMoveset!A2:I112,9,FALSE)="Ice",Backdoors!BE6,IF(VLOOKUP(tbMoveset!A18,tbMoveset!A2:I112,9,FALSE)="Dragon",Backdoors!BF6,Backdoors!BG6)))))/100,Backdoors!BG6/100),"")</f>
        <v>0</v>
      </c>
      <c r="Y18" s="49">
        <f>IFERROR(IF(VLOOKUP(A18,tbMoveset!A2:J112,10,FALSE)=TRUE,IF((Backdoors!AI12+IF(W18&gt;=0.45,VLOOKUP(Calculator!E23,tbSkills!DH3:DI6,2,FALSE)+IF(AND(Calculator!B8=TRUE,Backdoors!BI6=TRUE),VLOOKUP(Calculator!E23,tbSkills!DH3:DJ6,3,FALSE),0),0))&gt;=0,1+(Backdoors!AL2*(IF((Backdoors!AI12+IF(W18&gt;=0.45,VLOOKUP(Calculator!E23,tbSkills!DH3:DI6,2,FALSE)+IF(AND(Calculator!B8=TRUE,Backdoors!BI6=TRUE),VLOOKUP(Calculator!E23,tbSkills!DH3:DJ6,3,FALSE),0),0))&gt;=100,100,(Backdoors!AI12+IF(W18&gt;=0.45,VLOOKUP(Calculator!E23,tbSkills!DH3:DI6,2,FALSE)+IF(AND(Calculator!B8=TRUE,Backdoors!BI6=TRUE),VLOOKUP(Calculator!E23,tbSkills!DH3:DJ6,3,FALSE),0),0)))/100)),(1-(0.25*((-Backdoors!AI12-IF(W18&gt;=0.45,VLOOKUP(Calculator!E23,tbSkills!DH3:DI6,2,FALSE)+IF(AND(Calculator!B8=TRUE,Backdoors!BI6=TRUE),VLOOKUP(Calculator!E23,tbSkills!DH3:DJ6,3,FALSE),0),0))/100)))),1),"")</f>
        <v>1</v>
      </c>
      <c r="Z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W18)*Y18)*(VLOOKUP(A18,tbMoveset!A2:C112,3,FALSE)/100)*IF(VLOOKUP(A18,tbMoveset!A2:B112,2,FALSE)="Projectile",Backdoors!N10,Backdoors!N9),0),"")</f>
        <v>3</v>
      </c>
      <c r="AA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W18&gt;=0.45,VLOOKUP(Calculator!E23,tbSkills!DH3:DI6,2,FALSE)+IF(AND(Calculator!B8=TRUE,Backdoors!BI6=TRUE),VLOOKUP(Calculator!E23,tbSkills!DH3:DJ6,3,FALSE),0),0))&gt;=100,100,(Backdoors!AI12+IF(W18&gt;=0.45,VLOOKUP(Calculator!E23,tbSkills!DH3:DI6,2,FALSE)+IF(AND(Calculator!B8=TRUE,Backdoors!BI6=TRUE),VLOOKUP(Calculator!E23,tbSkills!DH3:DJ6,3,FALSE),0),0)))/100)),1))*IF(VLOOKUP(A18,tbMoveset!A2:K112,11,FALSE)=TRUE,Backdoors!AC5,1))*X18,0),"")</f>
        <v>0</v>
      </c>
      <c r="AB18" s="49">
        <f>VLOOKUP(A18,tbMoveset!A2:G112,7,FALSE)*IFERROR(IF(Backdoors!AI12&gt;=0,1+(IF(Calculator!E40&gt;0,VLOOKUP(Calculator!E40,tbSkills!AI3:AJ5,2,FALSE),Backdoors!AL4)*(IF((Backdoors!AI12+IF(W18&gt;=0.45,VLOOKUP(Calculator!E23,tbSkills!DH3:DI6,2,FALSE)+IF(AND(Calculator!B8=TRUE,Backdoors!BI6=TRUE),VLOOKUP(Calculator!E23,tbSkills!DH3:DJ6,3,FALSE),0),0))&gt;=100,100,(Backdoors!AI12+IF(W18&gt;=0.45,VLOOKUP(Calculator!E23,tbSkills!DH3:DI6,2,FALSE)+IF(AND(Calculator!B8=TRUE,Backdoors!BI6=TRUE),VLOOKUP(Calculator!E23,tbSkills!DH3:DJ6,3,FALSE),0),0)))/100)),1),1)</f>
        <v>0.5</v>
      </c>
      <c r="AC18" s="87">
        <f t="shared" si="0"/>
        <v>3</v>
      </c>
      <c r="AD18" s="86">
        <f>IFERROR(IF(VLOOKUP(A18,tbMoveset!A2:B112,2,FALSE)="Sever",Backdoors!AY7/100,IF(VLOOKUP(A18,tbMoveset!A2:B112,2,FALSE)="Blunt",Backdoors!AZ7/100,Backdoors!BA7/100)),"")</f>
        <v>0.65</v>
      </c>
      <c r="AE18" s="49">
        <f>IFERROR(IF(VLOOKUP(tbMoveset!A18,tbMoveset!A2:H112,8,FALSE)="Other",IF(VLOOKUP(tbMoveset!A18,tbMoveset!A2:I112,9,FALSE)="Fire",Backdoors!BB7,IF(VLOOKUP(tbMoveset!A18,tbMoveset!A2:I112,9,FALSE)="Water",Backdoors!BC7,IF(VLOOKUP(tbMoveset!A18,tbMoveset!A2:I112,9,FALSE)="Thunder",Backdoors!BD7,IF(VLOOKUP(tbMoveset!A18,tbMoveset!A2:I112,9,FALSE)="Ice",Backdoors!BE7,IF(VLOOKUP(tbMoveset!A18,tbMoveset!A2:I112,9,FALSE)="Dragon",Backdoors!BF7,Backdoors!BG7)))))/100,Backdoors!BG7/100),"")</f>
        <v>0</v>
      </c>
      <c r="AF18" s="49">
        <f>IFERROR(IF(VLOOKUP(A18,tbMoveset!A2:J112,10,FALSE)=TRUE,IF((Backdoors!AI12+IF(AD18&gt;=0.45,VLOOKUP(Calculator!E23,tbSkills!DH3:DI6,2,FALSE)+IF(AND(Calculator!B8=TRUE,Backdoors!BI7=TRUE),VLOOKUP(Calculator!E23,tbSkills!DH3:DJ6,3,FALSE),0),0))&gt;=0,1+(Backdoors!AL2*(IF((Backdoors!AI12+IF(AD18&gt;=0.45,VLOOKUP(Calculator!E23,tbSkills!DH3:DI6,2,FALSE)+IF(AND(Calculator!B8=TRUE,Backdoors!BI7=TRUE),VLOOKUP(Calculator!E23,tbSkills!DH3:DJ6,3,FALSE),0),0))&gt;=100,100,(Backdoors!AI12+IF(AD18&gt;=0.45,VLOOKUP(Calculator!E23,tbSkills!DH3:DI6,2,FALSE)+IF(AND(Calculator!B8=TRUE,Backdoors!BI7=TRUE),VLOOKUP(Calculator!E23,tbSkills!DH3:DJ6,3,FALSE),0),0)))/100)),(1-(0.25*((-Backdoors!AI12-IF(AD18&gt;=0.45,VLOOKUP(Calculator!E23,tbSkills!DH3:DI6,2,FALSE)+IF(AND(Calculator!B8=TRUE,Backdoors!BI7=TRUE),VLOOKUP(Calculator!E23,tbSkills!DH3:DJ6,3,FALSE),0),0))/100)))),1),"")</f>
        <v>1</v>
      </c>
      <c r="AG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D18)*AF18)*(VLOOKUP(A18,tbMoveset!A2:C112,3,FALSE)/100)*IF(VLOOKUP(A18,tbMoveset!A2:B112,2,FALSE)="Projectile",Backdoors!N10,Backdoors!N9),0),"")</f>
        <v>4</v>
      </c>
      <c r="AH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D18&gt;=0.45,VLOOKUP(Calculator!E23,tbSkills!DH3:DI6,2,FALSE)+IF(AND(Calculator!B8=TRUE,Backdoors!BI7=TRUE),VLOOKUP(Calculator!E23,tbSkills!DH3:DJ6,3,FALSE),0),0))&gt;=100,100,(Backdoors!AI12+IF(AD18&gt;=0.45,VLOOKUP(Calculator!E23,tbSkills!DH3:DI6,2,FALSE)+IF(AND(Calculator!B8=TRUE,Backdoors!BI7=TRUE),VLOOKUP(Calculator!E23,tbSkills!DH3:DJ6,3,FALSE),0),0)))/100)),1))*IF(VLOOKUP(A18,tbMoveset!A2:K112,11,FALSE)=TRUE,Backdoors!AC5,1))*AE18,0),"")</f>
        <v>0</v>
      </c>
      <c r="AI18" s="49">
        <f>VLOOKUP(A18,tbMoveset!A2:G112,7,FALSE)*IFERROR(IF(Backdoors!AI12&gt;=0,1+(IF(Calculator!E40&gt;0,VLOOKUP(Calculator!E40,tbSkills!AI3:AJ5,2,FALSE),Backdoors!AL4)*(IF((Backdoors!AI12+IF(AD18&gt;=0.45,VLOOKUP(Calculator!E23,tbSkills!DH3:DI6,2,FALSE)+IF(AND(Calculator!B8=TRUE,Backdoors!BI7=TRUE),VLOOKUP(Calculator!E23,tbSkills!DH3:DJ6,3,FALSE),0),0))&gt;=100,100,(Backdoors!AI12+IF(AD18&gt;=0.45,VLOOKUP(Calculator!E23,tbSkills!DH3:DI6,2,FALSE)+IF(AND(Calculator!B8=TRUE,Backdoors!BI7=TRUE),VLOOKUP(Calculator!E23,tbSkills!DH3:DJ6,3,FALSE),0),0)))/100)),1),1)</f>
        <v>0.5</v>
      </c>
      <c r="AJ18" s="87">
        <f t="shared" si="1"/>
        <v>4</v>
      </c>
      <c r="AK18" s="91">
        <f>IFERROR(IF(VLOOKUP(A18,tbMoveset!A2:B112,2,FALSE)="Sever",Backdoors!AY8/100,IF(VLOOKUP(A18,tbMoveset!A2:B112,2,FALSE)="Blunt",Backdoors!AZ8/100,Backdoors!BA8/100)),"")</f>
        <v>0.45</v>
      </c>
      <c r="AL18" s="49">
        <f>IFERROR(IF(VLOOKUP(tbMoveset!A18,tbMoveset!A2:H112,8,FALSE)="Other",IF(VLOOKUP(tbMoveset!A18,tbMoveset!A2:I112,9,FALSE)="Fire",Backdoors!BB8,IF(VLOOKUP(tbMoveset!A18,tbMoveset!A2:I112,9,FALSE)="Water",Backdoors!BC8,IF(VLOOKUP(tbMoveset!A18,tbMoveset!A2:I112,9,FALSE)="Thunder",Backdoors!BD8,IF(VLOOKUP(tbMoveset!A18,tbMoveset!A2:I112,9,FALSE)="Ice",Backdoors!BE8,IF(VLOOKUP(tbMoveset!A18,tbMoveset!A2:I112,9,FALSE)="Dragon",Backdoors!BF8,Backdoors!BG8)))))/100,Backdoors!BG8/100),"")</f>
        <v>0</v>
      </c>
      <c r="AM18" s="49">
        <f>IFERROR(IF(VLOOKUP(A18,tbMoveset!A2:J112,10,FALSE)=TRUE,IF((Backdoors!AI12+IF(AK18&gt;=0.45,VLOOKUP(Calculator!E23,tbSkills!DH3:DI6,2,FALSE)+IF(AND(Calculator!B8=TRUE,Backdoors!BI8=TRUE),VLOOKUP(Calculator!E23,tbSkills!DH3:DJ6,3,FALSE),0),0))&gt;=0,1+(Backdoors!AL2*(IF((Backdoors!AI12+IF(AK18&gt;=0.45,VLOOKUP(Calculator!E23,tbSkills!DH3:DI6,2,FALSE)+IF(AND(Calculator!B8=TRUE,Backdoors!BI8=TRUE),VLOOKUP(Calculator!E23,tbSkills!DH3:DJ6,3,FALSE),0),0))&gt;=100,100,(Backdoors!AI12+IF(AK18&gt;=0.45,VLOOKUP(Calculator!E23,tbSkills!DH3:DI6,2,FALSE)+IF(AND(Calculator!B8=TRUE,Backdoors!BI8=TRUE),VLOOKUP(Calculator!E23,tbSkills!DH3:DJ6,3,FALSE),0),0)))/100)),(1-(0.25*((-Backdoors!AI12-IF(AK18&gt;=0.45,VLOOKUP(Calculator!E23,tbSkills!DH3:DI6,2,FALSE)+IF(AND(Calculator!B8=TRUE,Backdoors!BI8=TRUE),VLOOKUP(Calculator!E23,tbSkills!DH3:DJ6,3,FALSE),0),0))/100)))),1),"")</f>
        <v>1</v>
      </c>
      <c r="AN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K18)*AM18)*(VLOOKUP(A18,tbMoveset!A2:C112,3,FALSE)/100)*IF(VLOOKUP(A18,tbMoveset!A2:B112,2,FALSE)="Projectile",Backdoors!N10,Backdoors!N9),0),"")</f>
        <v>3</v>
      </c>
      <c r="AO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K18&gt;=0.45,VLOOKUP(Calculator!E23,tbSkills!DH3:DI6,2,FALSE)+IF(AND(Calculator!B8=TRUE,Backdoors!BI8=TRUE),VLOOKUP(Calculator!E23,tbSkills!DH3:DJ6,3,FALSE),0),0))&gt;=100,100,(Backdoors!AI12+IF(AK18&gt;=0.45,VLOOKUP(Calculator!E23,tbSkills!DH3:DI6,2,FALSE)+IF(AND(Calculator!B8=TRUE,Backdoors!BI8=TRUE),VLOOKUP(Calculator!E23,tbSkills!DH3:DJ6,3,FALSE),0),0)))/100)),1))*IF(VLOOKUP(A18,tbMoveset!A2:K112,11,FALSE)=TRUE,Backdoors!AC5,1))*AL18,0),"")</f>
        <v>0</v>
      </c>
      <c r="AP18" s="49">
        <f>VLOOKUP(A18,tbMoveset!A2:G112,7,FALSE)*IFERROR(IF(Backdoors!AI12&gt;=0,1+(IF(Calculator!E40&gt;0,VLOOKUP(Calculator!E40,tbSkills!AI3:AJ5,2,FALSE),Backdoors!AL4)*(IF((Backdoors!AI12+IF(AK18&gt;=0.45,VLOOKUP(Calculator!E23,tbSkills!DH3:DI6,2,FALSE)+IF(AND(Calculator!B8=TRUE,Backdoors!BI8=TRUE),VLOOKUP(Calculator!E23,tbSkills!DH3:DJ6,3,FALSE),0),0))&gt;=100,100,(Backdoors!AI12+IF(AK18&gt;=0.45,VLOOKUP(Calculator!E23,tbSkills!DH3:DI6,2,FALSE)+IF(AND(Calculator!B8=TRUE,Backdoors!BI8=TRUE),VLOOKUP(Calculator!E23,tbSkills!DH3:DJ6,3,FALSE),0),0)))/100)),1),1)</f>
        <v>0.5</v>
      </c>
      <c r="AQ18" s="87">
        <f t="shared" si="2"/>
        <v>3</v>
      </c>
      <c r="AR18" s="86">
        <f>IFERROR(IF(VLOOKUP(A18,tbMoveset!A2:B112,2,FALSE)="Sever",Backdoors!AY9/100,IF(VLOOKUP(A18,tbMoveset!A2:B112,2,FALSE)="Blunt",Backdoors!AZ9/100,Backdoors!BA9/100)),"")</f>
        <v>0.45</v>
      </c>
      <c r="AS18" s="49">
        <f>IFERROR(IF(VLOOKUP(tbMoveset!A18,tbMoveset!A2:H112,8,FALSE)="Other",IF(VLOOKUP(tbMoveset!A18,tbMoveset!A2:I112,9,FALSE)="Fire",Backdoors!BB9,IF(VLOOKUP(tbMoveset!A18,tbMoveset!A2:I112,9,FALSE)="Water",Backdoors!BC9,IF(VLOOKUP(tbMoveset!A18,tbMoveset!A2:I112,9,FALSE)="Thunder",Backdoors!BD9,IF(VLOOKUP(tbMoveset!A18,tbMoveset!A2:I112,9,FALSE)="Ice",Backdoors!BE9,IF(VLOOKUP(tbMoveset!A18,tbMoveset!A2:I112,9,FALSE)="Dragon",Backdoors!BF9,Backdoors!BG9)))))/100,Backdoors!BG9/100),"")</f>
        <v>0</v>
      </c>
      <c r="AT18" s="49">
        <f>IFERROR(IF(VLOOKUP(A18,tbMoveset!A2:J112,10,FALSE)=TRUE,IF((Backdoors!AI12+IF(AR18&gt;=0.45,VLOOKUP(Calculator!E23,tbSkills!DH3:DI6,2,FALSE)+IF(AND(Calculator!B8=TRUE,Backdoors!BI9=TRUE),VLOOKUP(Calculator!E23,tbSkills!DH3:DJ6,3,FALSE),0),0))&gt;=0,1+(Backdoors!AL2*(IF((Backdoors!AI12+IF(AR18&gt;=0.45,VLOOKUP(Calculator!E23,tbSkills!DH3:DI6,2,FALSE)+IF(AND(Calculator!B8=TRUE,Backdoors!BI9=TRUE),VLOOKUP(Calculator!E23,tbSkills!DH3:DJ6,3,FALSE),0),0))&gt;=100,100,(Backdoors!AI12+IF(AR18&gt;=0.45,VLOOKUP(Calculator!E23,tbSkills!DH3:DI6,2,FALSE)+IF(AND(Calculator!B8=TRUE,Backdoors!BI9=TRUE),VLOOKUP(Calculator!E23,tbSkills!DH3:DJ6,3,FALSE),0),0)))/100)),(1-(0.25*((-Backdoors!AI12-IF(AR18&gt;=0.45,VLOOKUP(Calculator!E23,tbSkills!DH3:DI6,2,FALSE)+IF(AND(Calculator!B8=TRUE,Backdoors!BI9=TRUE),VLOOKUP(Calculator!E23,tbSkills!DH3:DJ6,3,FALSE),0),0))/100)))),1),"")</f>
        <v>1</v>
      </c>
      <c r="AU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R18)*AT18)*(VLOOKUP(A18,tbMoveset!A2:C112,3,FALSE)/100)*IF(VLOOKUP(A18,tbMoveset!A2:B112,2,FALSE)="Projectile",Backdoors!N10,Backdoors!N9),0),"")</f>
        <v>3</v>
      </c>
      <c r="AV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R18&gt;=0.45,VLOOKUP(Calculator!E23,tbSkills!DH3:DI6,2,FALSE)+IF(AND(Calculator!B8=TRUE,Backdoors!BI9=TRUE),VLOOKUP(Calculator!E23,tbSkills!DH3:DJ6,3,FALSE),0),0))&gt;=100,100,(Backdoors!AI12+IF(AR18&gt;=0.45,VLOOKUP(Calculator!E23,tbSkills!DH3:DI6,2,FALSE)+IF(AND(Calculator!B8=TRUE,Backdoors!BI9=TRUE),VLOOKUP(Calculator!E23,tbSkills!DH3:DJ6,3,FALSE),0),0)))/100)),1))*IF(VLOOKUP(A18,tbMoveset!A2:K112,11,FALSE)=TRUE,Backdoors!AC5,1))*AS18,0),"")</f>
        <v>0</v>
      </c>
      <c r="AW18" s="49">
        <f>VLOOKUP(A18,tbMoveset!A2:G112,7,FALSE)*IFERROR(IF(Backdoors!AI12&gt;=0,1+(IF(Calculator!E40&gt;0,VLOOKUP(Calculator!E40,tbSkills!AI3:AJ5,2,FALSE),Backdoors!AL4)*(IF((Backdoors!AI12+IF(AR18&gt;=0.45,VLOOKUP(Calculator!E23,tbSkills!DH3:DI6,2,FALSE)+IF(AND(Calculator!B8=TRUE,Backdoors!BI9=TRUE),VLOOKUP(Calculator!E23,tbSkills!DH3:DJ6,3,FALSE),0),0))&gt;=100,100,(Backdoors!AI12+IF(AR18&gt;=0.45,VLOOKUP(Calculator!E23,tbSkills!DH3:DI6,2,FALSE)+IF(AND(Calculator!B8=TRUE,Backdoors!BI9=TRUE),VLOOKUP(Calculator!E23,tbSkills!DH3:DJ6,3,FALSE),0),0)))/100)),1),1)</f>
        <v>0.5</v>
      </c>
      <c r="AX18" s="87">
        <f t="shared" si="38"/>
        <v>3</v>
      </c>
      <c r="AY18" s="86">
        <f>IFERROR(IF(VLOOKUP(A18,tbMoveset!A2:B112,2,FALSE)="Sever",Backdoors!AY10/100,IF(VLOOKUP(A18,tbMoveset!A2:B112,2,FALSE)="Blunt",Backdoors!AZ10/100,Backdoors!BA10/100)),"")</f>
        <v>0.9</v>
      </c>
      <c r="AZ18" s="49">
        <f>IFERROR(IF(VLOOKUP(tbMoveset!A18,tbMoveset!A2:H112,8,FALSE)="Other",IF(VLOOKUP(tbMoveset!A18,tbMoveset!A2:I112,9,FALSE)="Fire",Backdoors!BB10,IF(VLOOKUP(tbMoveset!A18,tbMoveset!A2:I112,9,FALSE)="Water",Backdoors!BC10,IF(VLOOKUP(tbMoveset!A18,tbMoveset!A2:I112,9,FALSE)="Thunder",Backdoors!BD10,IF(VLOOKUP(tbMoveset!A18,tbMoveset!A2:I112,9,FALSE)="Ice",Backdoors!BE10,IF(VLOOKUP(tbMoveset!A18,tbMoveset!A2:I112,9,FALSE)="Dragon",Backdoors!BF10,Backdoors!BG10)))))/100,Backdoors!BG10/100),"")</f>
        <v>0</v>
      </c>
      <c r="BA18" s="49">
        <f>IFERROR(IF(VLOOKUP(A18,tbMoveset!A2:J112,10,FALSE)=TRUE,IF((Backdoors!AI12+IF(AY18&gt;=0.45,VLOOKUP(Calculator!E23,tbSkills!DH3:DI6,2,FALSE)+IF(AND(Calculator!B8=TRUE,Backdoors!BI10=TRUE),VLOOKUP(Calculator!E23,tbSkills!DH3:DJ6,3,FALSE),0),0))&gt;=0,1+(Backdoors!AL2*(IF((Backdoors!AI12+IF(AY18&gt;=0.45,VLOOKUP(Calculator!E23,tbSkills!DH3:DI6,2,FALSE)+IF(AND(Calculator!B8=TRUE,Backdoors!BI10=TRUE),VLOOKUP(Calculator!E23,tbSkills!DH3:DJ6,3,FALSE),0),0))&gt;=100,100,(Backdoors!AI12+IF(AY18&gt;=0.45,VLOOKUP(Calculator!E23,tbSkills!DH3:DI6,2,FALSE)+IF(AND(Calculator!B8=TRUE,Backdoors!BI10=TRUE),VLOOKUP(Calculator!E23,tbSkills!DH3:DJ6,3,FALSE),0),0)))/100)),(1-(0.25*((-Backdoors!AI12-IF(AY18&gt;=0.45,VLOOKUP(Calculator!E23,tbSkills!DH3:DI6,2,FALSE)+IF(AND(Calculator!B8=TRUE,Backdoors!BI10=TRUE),VLOOKUP(Calculator!E23,tbSkills!DH3:DJ6,3,FALSE),0),0))/100)))),1),"")</f>
        <v>1</v>
      </c>
      <c r="BB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Y18)*BA18)*(VLOOKUP(A18,tbMoveset!A2:C112,3,FALSE)/100)*IF(VLOOKUP(A18,tbMoveset!A2:B112,2,FALSE)="Projectile",Backdoors!N10,Backdoors!N9),0),"")</f>
        <v>5</v>
      </c>
      <c r="BC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Y18&gt;=0.45,VLOOKUP(Calculator!E23,tbSkills!DH3:DI6,2,FALSE)+IF(AND(Calculator!B8=TRUE,Backdoors!BI10=TRUE),VLOOKUP(Calculator!E23,tbSkills!DH3:DJ6,3,FALSE),0),0))&gt;=100,100,(Backdoors!AI12+IF(AY18&gt;=0.45,VLOOKUP(Calculator!E23,tbSkills!DH3:DI6,2,FALSE)+IF(AND(Calculator!B8=TRUE,Backdoors!BI10=TRUE),VLOOKUP(Calculator!E23,tbSkills!DH3:DJ6,3,FALSE),0),0)))/100)),1))*IF(VLOOKUP(A18,tbMoveset!A2:K112,11,FALSE)=TRUE,Backdoors!AC5,1))*AZ18,0),"")</f>
        <v>0</v>
      </c>
      <c r="BD18" s="49">
        <f>VLOOKUP(A18,tbMoveset!A2:G112,7,FALSE)*IFERROR(IF(Backdoors!AI12&gt;=0,1+(IF(Calculator!E40&gt;0,VLOOKUP(Calculator!E40,tbSkills!AI3:AJ5,2,FALSE),Backdoors!AL4)*(IF((Backdoors!AI12+IF(AY18&gt;=0.45,VLOOKUP(Calculator!E23,tbSkills!DH3:DI6,2,FALSE)+IF(AND(Calculator!B8=TRUE,Backdoors!BI10=TRUE),VLOOKUP(Calculator!E23,tbSkills!DH3:DJ6,3,FALSE),0),0))&gt;=100,100,(Backdoors!AI12+IF(AY18&gt;=0.45,VLOOKUP(Calculator!E23,tbSkills!DH3:DI6,2,FALSE)+IF(AND(Calculator!B8=TRUE,Backdoors!BI10=TRUE),VLOOKUP(Calculator!E23,tbSkills!DH3:DJ6,3,FALSE),0),0)))/100)),1),1)</f>
        <v>0.5</v>
      </c>
      <c r="BE18" s="87">
        <f t="shared" si="3"/>
        <v>5</v>
      </c>
      <c r="BF18" s="86" t="str">
        <f>IFERROR(IF(VLOOKUP(A18,tbMoveset!A2:B112,2,FALSE)="Sever",Backdoors!AY11/100,IF(VLOOKUP(A18,tbMoveset!A2:B112,2,FALSE)="Blunt",Backdoors!AZ11/100,Backdoors!BA11/100)),"")</f>
        <v/>
      </c>
      <c r="BG18" s="49">
        <f>IFERROR(IF(VLOOKUP(tbMoveset!A18,tbMoveset!A2:H112,8,FALSE)="Other",IF(VLOOKUP(tbMoveset!A18,tbMoveset!A2:I112,9,FALSE)="Fire",Backdoors!BB11,IF(VLOOKUP(tbMoveset!A18,tbMoveset!A2:I112,9,FALSE)="Water",Backdoors!BC11,IF(VLOOKUP(tbMoveset!A18,tbMoveset!A2:I112,9,FALSE)="Thunder",Backdoors!BD11,IF(VLOOKUP(tbMoveset!A18,tbMoveset!A2:I112,9,FALSE)="Ice",Backdoors!BE11,IF(VLOOKUP(tbMoveset!A18,tbMoveset!A2:I112,9,FALSE)="Dragon",Backdoors!BF11,Backdoors!BG11)))))/100,Backdoors!BG11/100),"")</f>
        <v>0</v>
      </c>
      <c r="BH18" s="49">
        <f>IFERROR(IF(VLOOKUP(A18,tbMoveset!A2:J112,10,FALSE)=TRUE,IF((Backdoors!AI12+IF(BF18&gt;=0.45,VLOOKUP(Calculator!E23,tbSkills!DH3:DI6,2,FALSE)+IF(AND(Calculator!B8=TRUE,Backdoors!BI11=TRUE),VLOOKUP(Calculator!E23,tbSkills!DH3:DJ6,3,FALSE),0),0))&gt;=0,1+(Backdoors!AL2*(IF((Backdoors!AI12+IF(BF18&gt;=0.45,VLOOKUP(Calculator!E23,tbSkills!DH3:DI6,2,FALSE)+IF(AND(Calculator!B8=TRUE,Backdoors!BI11=TRUE),VLOOKUP(Calculator!E23,tbSkills!DH3:DJ6,3,FALSE),0),0))&gt;=100,100,(Backdoors!AI12+IF(BF18&gt;=0.45,VLOOKUP(Calculator!E23,tbSkills!DH3:DI6,2,FALSE)+IF(AND(Calculator!B8=TRUE,Backdoors!BI11=TRUE),VLOOKUP(Calculator!E23,tbSkills!DH3:DJ6,3,FALSE),0),0)))/100)),(1-(0.25*((-Backdoors!AI12-IF(BF18&gt;=0.45,VLOOKUP(Calculator!E23,tbSkills!DH3:DI6,2,FALSE)+IF(AND(Calculator!B8=TRUE,Backdoors!BI11=TRUE),VLOOKUP(Calculator!E23,tbSkills!DH3:DJ6,3,FALSE),0),0))/100)))),1),"")</f>
        <v>1</v>
      </c>
      <c r="BI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F18)*BH18)*(VLOOKUP(A18,tbMoveset!A2:C112,3,FALSE)/100)*IF(VLOOKUP(A18,tbMoveset!A2:B112,2,FALSE)="Projectile",Backdoors!N10,Backdoors!N9),0),"")</f>
        <v/>
      </c>
      <c r="BJ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F18&gt;=0.45,VLOOKUP(Calculator!E23,tbSkills!DH3:DI6,2,FALSE)+IF(AND(Calculator!B8=TRUE,Backdoors!BI11=TRUE),VLOOKUP(Calculator!E23,tbSkills!DH3:DJ6,3,FALSE),0),0))&gt;=100,100,(Backdoors!AI12+IF(BF18&gt;=0.45,VLOOKUP(Calculator!E23,tbSkills!DH3:DI6,2,FALSE)+IF(AND(Calculator!B8=TRUE,Backdoors!BI11=TRUE),VLOOKUP(Calculator!E23,tbSkills!DH3:DJ6,3,FALSE),0),0)))/100)),1))*IF(VLOOKUP(A18,tbMoveset!A2:K112,11,FALSE)=TRUE,Backdoors!AC5,1))*BG18,0),"")</f>
        <v>0</v>
      </c>
      <c r="BK18" s="49">
        <f>VLOOKUP(A18,tbMoveset!A2:G112,7,FALSE)*IFERROR(IF(Backdoors!AI12&gt;=0,1+(IF(Calculator!E40&gt;0,VLOOKUP(Calculator!E40,tbSkills!AI3:AJ5,2,FALSE),Backdoors!AL4)*(IF((Backdoors!AI12+IF(BF18&gt;=0.45,VLOOKUP(Calculator!E23,tbSkills!DH3:DI6,2,FALSE)+IF(AND(Calculator!B8=TRUE,Backdoors!BI11=TRUE),VLOOKUP(Calculator!E23,tbSkills!DH3:DJ6,3,FALSE),0),0))&gt;=100,100,(Backdoors!AI12+IF(BF18&gt;=0.45,VLOOKUP(Calculator!E23,tbSkills!DH3:DI6,2,FALSE)+IF(AND(Calculator!B8=TRUE,Backdoors!BI11=TRUE),VLOOKUP(Calculator!E23,tbSkills!DH3:DJ6,3,FALSE),0),0)))/100)),1),1)</f>
        <v>0.5</v>
      </c>
      <c r="BL18" s="87">
        <f t="shared" si="4"/>
        <v>0</v>
      </c>
      <c r="BM18" s="86" t="str">
        <f>IFERROR(IF(VLOOKUP(A18,tbMoveset!A2:B112,2,FALSE)="Sever",Backdoors!AY12/100,IF(VLOOKUP(A18,tbMoveset!A2:B112,2,FALSE)="Blunt",Backdoors!AZ12/100,Backdoors!BA12/100)),"")</f>
        <v/>
      </c>
      <c r="BN18" s="49">
        <f>IFERROR(IF(VLOOKUP(tbMoveset!A18,tbMoveset!A2:H112,8,FALSE)="Other",IF(VLOOKUP(tbMoveset!A18,tbMoveset!A2:I112,9,FALSE)="Fire",Backdoors!BB12,IF(VLOOKUP(tbMoveset!A18,tbMoveset!A2:I112,9,FALSE)="Water",Backdoors!BC12,IF(VLOOKUP(tbMoveset!A18,tbMoveset!A2:I112,9,FALSE)="Thunder",Backdoors!BD12,IF(VLOOKUP(tbMoveset!A18,tbMoveset!A2:I112,9,FALSE)="Ice",Backdoors!BE12,IF(VLOOKUP(tbMoveset!A18,tbMoveset!A2:I112,9,FALSE)="Dragon",Backdoors!BF12,Backdoors!BG12)))))/100,Backdoors!BG12/100),"")</f>
        <v>0</v>
      </c>
      <c r="BO18" s="49">
        <f>IFERROR(IF(VLOOKUP(A18,tbMoveset!A2:J112,10,FALSE)=TRUE,IF((Backdoors!AI12+IF(BM18&gt;=0.45,VLOOKUP(Calculator!E23,tbSkills!DH3:DI6,2,FALSE)+IF(AND(Calculator!B8=TRUE,Backdoors!BI12=TRUE),VLOOKUP(Calculator!E23,tbSkills!DH3:DJ6,3,FALSE),0),0))&gt;=0,1+(Backdoors!AL2*(IF((Backdoors!AI12+IF(BM18&gt;=0.45,VLOOKUP(Calculator!E23,tbSkills!DH3:DI6,2,FALSE)+IF(AND(Calculator!B8=TRUE,Backdoors!BI12=TRUE),VLOOKUP(Calculator!E23,tbSkills!DH3:DJ6,3,FALSE),0),0))&gt;=100,100,(Backdoors!AI12+IF(BM18&gt;=0.45,VLOOKUP(Calculator!E23,tbSkills!DH3:DI6,2,FALSE)+IF(AND(Calculator!B8=TRUE,Backdoors!BI12=TRUE),VLOOKUP(Calculator!E23,tbSkills!DH3:DJ6,3,FALSE),0),0)))/100)),(1-(0.25*((-Backdoors!AI12-IF(BM18&gt;=0.45,VLOOKUP(Calculator!E23,tbSkills!DH3:DI6,2,FALSE)+IF(AND(Calculator!B8=TRUE,Backdoors!BI12=TRUE),VLOOKUP(Calculator!E23,tbSkills!DH3:DJ6,3,FALSE),0),0))/100)))),1),"")</f>
        <v>1</v>
      </c>
      <c r="BP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M18)*BO18)*(VLOOKUP(A18,tbMoveset!A2:C112,3,FALSE)/100)*IF(VLOOKUP(A18,tbMoveset!A2:B112,2,FALSE)="Projectile",Backdoors!N10,Backdoors!N9),0),"")</f>
        <v/>
      </c>
      <c r="BQ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M18&gt;=0.45,VLOOKUP(Calculator!E23,tbSkills!DH3:DI6,2,FALSE)+IF(AND(Calculator!B8=TRUE,Backdoors!BI12=TRUE),VLOOKUP(Calculator!E23,tbSkills!DH3:DJ6,3,FALSE),0),0))&gt;=100,100,(Backdoors!AI12+IF(BM18&gt;=0.45,VLOOKUP(Calculator!E23,tbSkills!DH3:DI6,2,FALSE)+IF(AND(Calculator!B8=TRUE,Backdoors!BI12=TRUE),VLOOKUP(Calculator!E23,tbSkills!DH3:DJ6,3,FALSE),0),0)))/100)),1))*IF(VLOOKUP(A18,tbMoveset!A2:K112,11,FALSE)=TRUE,Backdoors!AC5,1))*BN18,0),"")</f>
        <v>0</v>
      </c>
      <c r="BR18" s="49">
        <f>VLOOKUP(A18,tbMoveset!A2:G112,7,FALSE)*IFERROR(IF(Backdoors!AI12&gt;=0,1+(IF(Calculator!E40&gt;0,VLOOKUP(Calculator!E40,tbSkills!AI3:AJ5,2,FALSE),Backdoors!AL4)*(IF((Backdoors!AI12+IF(BM18&gt;=0.45,VLOOKUP(Calculator!E23,tbSkills!DH3:DI6,2,FALSE)+IF(AND(Calculator!B8=TRUE,Backdoors!BI12=TRUE),VLOOKUP(Calculator!E23,tbSkills!DH3:DJ6,3,FALSE),0),0))&gt;=100,100,(Backdoors!AI12+IF(BM18&gt;=0.45,VLOOKUP(Calculator!E23,tbSkills!DH3:DI6,2,FALSE)+IF(AND(Calculator!B8=TRUE,Backdoors!BI12=TRUE),VLOOKUP(Calculator!E23,tbSkills!DH3:DJ6,3,FALSE),0),0)))/100)),1),1)</f>
        <v>0.5</v>
      </c>
      <c r="BS18" s="87">
        <f t="shared" si="39"/>
        <v>0</v>
      </c>
      <c r="BT18" s="86" t="str">
        <f>IFERROR(IF(VLOOKUP(A18,tbMoveset!A2:B112,2,FALSE)="Sever",Backdoors!AY13/100,IF(VLOOKUP(A18,tbMoveset!A2:B112,2,FALSE)="Blunt",Backdoors!AZ13/100,Backdoors!BA13/100)),"")</f>
        <v/>
      </c>
      <c r="BU18" s="49">
        <f>IFERROR(IF(VLOOKUP(tbMoveset!A18,tbMoveset!A2:H112,8,FALSE)="Other",IF(VLOOKUP(tbMoveset!A18,tbMoveset!A2:I112,9,FALSE)="Fire",Backdoors!BB13,IF(VLOOKUP(tbMoveset!A18,tbMoveset!A2:I112,9,FALSE)="Water",Backdoors!BC13,IF(VLOOKUP(tbMoveset!A18,tbMoveset!A2:I112,9,FALSE)="Thunder",Backdoors!BD13,IF(VLOOKUP(tbMoveset!A18,tbMoveset!A2:I112,9,FALSE)="Ice",Backdoors!BE13,IF(VLOOKUP(tbMoveset!A18,tbMoveset!A2:I112,9,FALSE)="Dragon",Backdoors!BF13,Backdoors!BG13)))))/100,Backdoors!BG13/100),"")</f>
        <v>0</v>
      </c>
      <c r="BV18" s="49">
        <f>IFERROR(IF(VLOOKUP(A18,tbMoveset!A2:J112,10,FALSE)=TRUE,IF((Backdoors!AI12+IF(BT18&gt;=0.45,VLOOKUP(Calculator!E23,tbSkills!DH3:DI6,2,FALSE)+IF(AND(Calculator!B8=TRUE,Backdoors!BI13=TRUE),VLOOKUP(Calculator!E23,tbSkills!DH3:DJ6,3,FALSE),0),0))&gt;=0,1+(Backdoors!AL2*(IF((Backdoors!AI12+IF(BT18&gt;=0.45,VLOOKUP(Calculator!E23,tbSkills!DH3:DI6,2,FALSE)+IF(AND(Calculator!B8=TRUE,Backdoors!BI13=TRUE),VLOOKUP(Calculator!E23,tbSkills!DH3:DJ6,3,FALSE),0),0))&gt;=100,100,(Backdoors!AI12+IF(BT18&gt;=0.45,VLOOKUP(Calculator!E23,tbSkills!DH3:DI6,2,FALSE)+IF(AND(Calculator!B8=TRUE,Backdoors!BI13=TRUE),VLOOKUP(Calculator!E23,tbSkills!DH3:DJ6,3,FALSE),0),0)))/100)),(1-(0.25*((-Backdoors!AI12-IF(BT18&gt;=0.45,VLOOKUP(Calculator!E23,tbSkills!DH3:DI6,2,FALSE)+IF(AND(Calculator!B8=TRUE,Backdoors!BI13=TRUE),VLOOKUP(Calculator!E23,tbSkills!DH3:DJ6,3,FALSE),0),0))/100)))),1),"")</f>
        <v>1</v>
      </c>
      <c r="BW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T18)*BV18)*(VLOOKUP(A18,tbMoveset!A2:C112,3,FALSE)/100)*IF(VLOOKUP(A18,tbMoveset!A2:B112,2,FALSE)="Projectile",Backdoors!N10,Backdoors!N9),0),"")</f>
        <v/>
      </c>
      <c r="BX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T18&gt;=0.45,VLOOKUP(Calculator!E23,tbSkills!DH3:DI6,2,FALSE)+IF(AND(Calculator!B8=TRUE,Backdoors!BI13=TRUE),VLOOKUP(Calculator!E23,tbSkills!DH3:DJ6,3,FALSE),0),0))&gt;=100,100,(Backdoors!AI12+IF(BT18&gt;=0.45,VLOOKUP(Calculator!E23,tbSkills!DH3:DI6,2,FALSE)+IF(AND(Calculator!B8=TRUE,Backdoors!BI13=TRUE),VLOOKUP(Calculator!E23,tbSkills!DH3:DJ6,3,FALSE),0),0)))/100)),1))*IF(VLOOKUP(A18,tbMoveset!A2:K112,11,FALSE)=TRUE,Backdoors!AC5,1))*BU18,0),"")</f>
        <v>0</v>
      </c>
      <c r="BY18" s="49">
        <f>VLOOKUP(A18,tbMoveset!A2:G112,7,FALSE)*IFERROR(IF(Backdoors!AI12&gt;=0,1+(IF(Calculator!E40&gt;0,VLOOKUP(Calculator!E40,tbSkills!AI3:AJ5,2,FALSE),Backdoors!AL4)*(IF((Backdoors!AI12+IF(BT18&gt;=0.45,VLOOKUP(Calculator!E23,tbSkills!DH3:DI6,2,FALSE)+IF(AND(Calculator!B8=TRUE,Backdoors!BI13=TRUE),VLOOKUP(Calculator!E23,tbSkills!DH3:DJ6,3,FALSE),0),0))&gt;=100,100,(Backdoors!AI12+IF(BT18&gt;=0.45,VLOOKUP(Calculator!E23,tbSkills!DH3:DI6,2,FALSE)+IF(AND(Calculator!B8=TRUE,Backdoors!BI13=TRUE),VLOOKUP(Calculator!E23,tbSkills!DH3:DJ6,3,FALSE),0),0)))/100)),1),1)</f>
        <v>0.5</v>
      </c>
      <c r="BZ18" s="87">
        <f t="shared" si="5"/>
        <v>0</v>
      </c>
      <c r="CA18" s="86" t="str">
        <f>IFERROR(IF(VLOOKUP(A18,tbMoveset!A2:B112,2,FALSE)="Sever",Backdoors!AY14/100,IF(VLOOKUP(A18,tbMoveset!A2:B112,2,FALSE)="Blunt",Backdoors!AZ14/100,Backdoors!BA14/100)),"")</f>
        <v/>
      </c>
      <c r="CB18" s="49">
        <f>IFERROR(IF(VLOOKUP(tbMoveset!A18,tbMoveset!A2:H112,8,FALSE)="Other",IF(VLOOKUP(tbMoveset!A18,tbMoveset!A2:I112,9,FALSE)="Fire",Backdoors!BB14,IF(VLOOKUP(tbMoveset!A18,tbMoveset!A2:I112,9,FALSE)="Water",Backdoors!BC14,IF(VLOOKUP(tbMoveset!A18,tbMoveset!A2:I112,9,FALSE)="Thunder",Backdoors!BD14,IF(VLOOKUP(tbMoveset!A18,tbMoveset!A2:I112,9,FALSE)="Ice",Backdoors!BE14,IF(VLOOKUP(tbMoveset!A18,tbMoveset!A2:I112,9,FALSE)="Dragon",Backdoors!BF14,Backdoors!BG14)))))/100,Backdoors!BG14/100),"")</f>
        <v>0</v>
      </c>
      <c r="CC18" s="49">
        <f>IFERROR(IF(VLOOKUP(A18,tbMoveset!A2:J112,10,FALSE)=TRUE,IF((Backdoors!AI12+IF(CA18&gt;=0.45,VLOOKUP(Calculator!E23,tbSkills!DH3:DI6,2,FALSE)+IF(AND(Calculator!B8=TRUE,Backdoors!BI14=TRUE),VLOOKUP(Calculator!E23,tbSkills!DH3:DJ6,3,FALSE),0),0))&gt;=0,1+(Backdoors!AL2*(IF((Backdoors!AI12+IF(CA18&gt;=0.45,VLOOKUP(Calculator!E23,tbSkills!DH3:DI6,2,FALSE)+IF(AND(Calculator!B8=TRUE,Backdoors!BI14=TRUE),VLOOKUP(Calculator!E23,tbSkills!DH3:DJ6,3,FALSE),0),0))&gt;=100,100,(Backdoors!AI12+IF(CA18&gt;=0.45,VLOOKUP(Calculator!E23,tbSkills!DH3:DI6,2,FALSE)+IF(AND(Calculator!B8=TRUE,Backdoors!BI14=TRUE),VLOOKUP(Calculator!E23,tbSkills!DH3:DJ6,3,FALSE),0),0)))/100)),(1-(0.25*((-Backdoors!AI12-IF(CA18&gt;=0.45,VLOOKUP(Calculator!E23,tbSkills!DH3:DI6,2,FALSE)+IF(AND(Calculator!B8=TRUE,Backdoors!BI14=TRUE),VLOOKUP(Calculator!E23,tbSkills!DH3:DJ6,3,FALSE),0),0))/100)))),1),"")</f>
        <v>1</v>
      </c>
      <c r="CD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A18)*CC18)*(VLOOKUP(A18,tbMoveset!A2:C112,3,FALSE)/100)*IF(VLOOKUP(A18,tbMoveset!A2:B112,2,FALSE)="Projectile",Backdoors!N10,Backdoors!N9),0),"")</f>
        <v/>
      </c>
      <c r="CE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A18&gt;=0.45,VLOOKUP(Calculator!E23,tbSkills!DH3:DI6,2,FALSE)+IF(AND(Calculator!B8=TRUE,Backdoors!BI14=TRUE),VLOOKUP(Calculator!E23,tbSkills!DH3:DJ6,3,FALSE),0),0))&gt;=100,100,(Backdoors!AI12+IF(CA18&gt;=0.45,VLOOKUP(Calculator!E23,tbSkills!DH3:DI6,2,FALSE)+IF(AND(Calculator!B8=TRUE,Backdoors!BI14=TRUE),VLOOKUP(Calculator!E23,tbSkills!DH3:DJ6,3,FALSE),0),0)))/100)),1))*IF(VLOOKUP(A18,tbMoveset!A2:K112,11,FALSE)=TRUE,Backdoors!AC5,1))*CB18,0),"")</f>
        <v>0</v>
      </c>
      <c r="CF18" s="49">
        <f>VLOOKUP(A18,tbMoveset!A2:G112,7,FALSE)*IFERROR(IF(Backdoors!AI12&gt;=0,1+(IF(Calculator!E40&gt;0,VLOOKUP(Calculator!E40,tbSkills!AI3:AJ5,2,FALSE),Backdoors!AL4)*(IF((Backdoors!AI12+IF(CA18&gt;=0.45,VLOOKUP(Calculator!E23,tbSkills!DH3:DI6,2,FALSE)+IF(AND(Calculator!B8=TRUE,Backdoors!BI14=TRUE),VLOOKUP(Calculator!E23,tbSkills!DH3:DJ6,3,FALSE),0),0))&gt;=100,100,(Backdoors!AI12+IF(CA18&gt;=0.45,VLOOKUP(Calculator!E23,tbSkills!DH3:DI6,2,FALSE)+IF(AND(Calculator!B8=TRUE,Backdoors!BI14=TRUE),VLOOKUP(Calculator!E23,tbSkills!DH3:DJ6,3,FALSE),0),0)))/100)),1),1)</f>
        <v>0.5</v>
      </c>
      <c r="CG18" s="87">
        <f t="shared" si="6"/>
        <v>0</v>
      </c>
      <c r="CH18" s="86" t="str">
        <f>IFERROR(IF(VLOOKUP(A18,tbMoveset!A2:B112,2,FALSE)="Sever",Backdoors!AY15/100,IF(VLOOKUP(A18,tbMoveset!A2:B112,2,FALSE)="Blunt",Backdoors!AZ15/100,Backdoors!BA15/100)),"")</f>
        <v/>
      </c>
      <c r="CI18" s="49">
        <f>IFERROR(IF(VLOOKUP(tbMoveset!A18,tbMoveset!A2:H112,8,FALSE)="Other",IF(VLOOKUP(tbMoveset!A18,tbMoveset!A2:I112,9,FALSE)="Fire",Backdoors!BB15,IF(VLOOKUP(tbMoveset!A18,tbMoveset!A2:I112,9,FALSE)="Water",Backdoors!BC15,IF(VLOOKUP(tbMoveset!A18,tbMoveset!A2:I112,9,FALSE)="Thunder",Backdoors!BD15,IF(VLOOKUP(tbMoveset!A18,tbMoveset!A2:I112,9,FALSE)="Ice",Backdoors!BE15,IF(VLOOKUP(tbMoveset!A18,tbMoveset!A2:I112,9,FALSE)="Dragon",Backdoors!BF15,Backdoors!BG15)))))/100,Backdoors!BG15/100),"")</f>
        <v>0</v>
      </c>
      <c r="CJ18" s="49">
        <f>IFERROR(IF(VLOOKUP(A18,tbMoveset!A2:J112,10,FALSE)=TRUE,IF((Backdoors!AI12+IF(CH18&gt;=0.45,VLOOKUP(Calculator!E23,tbSkills!DH3:DI6,2,FALSE)+IF(AND(Calculator!B8=TRUE,Backdoors!BI15=TRUE),VLOOKUP(Calculator!E23,tbSkills!DH3:DJ6,3,FALSE),0),0))&gt;=0,1+(Backdoors!AL2*(IF((Backdoors!AI12+IF(CH18&gt;=0.45,VLOOKUP(Calculator!E23,tbSkills!DH3:DI6,2,FALSE)+IF(AND(Calculator!B8=TRUE,Backdoors!BI15=TRUE),VLOOKUP(Calculator!E23,tbSkills!DH3:DJ6,3,FALSE),0),0))&gt;=100,100,(Backdoors!AI12+IF(CH18&gt;=0.45,VLOOKUP(Calculator!E23,tbSkills!DH3:DI6,2,FALSE)+IF(AND(Calculator!B8=TRUE,Backdoors!BI15=TRUE),VLOOKUP(Calculator!E23,tbSkills!DH3:DJ6,3,FALSE),0),0)))/100)),(1-(0.25*((-Backdoors!AI12-IF(CH18&gt;=0.45,VLOOKUP(Calculator!E23,tbSkills!DH3:DI6,2,FALSE)+IF(AND(Calculator!B8=TRUE,Backdoors!BI15=TRUE),VLOOKUP(Calculator!E23,tbSkills!DH3:DJ6,3,FALSE),0),0))/100)))),1),"")</f>
        <v>1</v>
      </c>
      <c r="CK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H18)*CJ18)*(VLOOKUP(A18,tbMoveset!A2:C112,3,FALSE)/100)*IF(VLOOKUP(A18,tbMoveset!A2:B112,2,FALSE)="Projectile",Backdoors!N10,Backdoors!N9),0),"")</f>
        <v/>
      </c>
      <c r="CL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H18&gt;=0.45,VLOOKUP(Calculator!E23,tbSkills!DH3:DI6,2,FALSE)+IF(AND(Calculator!B8=TRUE,Backdoors!BI15=TRUE),VLOOKUP(Calculator!E23,tbSkills!DH3:DJ6,3,FALSE),0),0))&gt;=100,100,(Backdoors!AI12+IF(CH18&gt;=0.45,VLOOKUP(Calculator!E23,tbSkills!DH3:DI6,2,FALSE)+IF(AND(Calculator!B8=TRUE,Backdoors!BI15=TRUE),VLOOKUP(Calculator!E23,tbSkills!DH3:DJ6,3,FALSE),0),0)))/100)),1))*IF(VLOOKUP(A18,tbMoveset!A2:K112,11,FALSE)=TRUE,Backdoors!AC5,1))*CI18,0),"")</f>
        <v>0</v>
      </c>
      <c r="CM18" s="49">
        <f>VLOOKUP(A18,tbMoveset!A2:G112,7,FALSE)*IFERROR(IF(Backdoors!AI12&gt;=0,1+(IF(Calculator!E40&gt;0,VLOOKUP(Calculator!E40,tbSkills!AI3:AJ5,2,FALSE),Backdoors!AL4)*(IF((Backdoors!AI12+IF(CH18&gt;=0.45,VLOOKUP(Calculator!E23,tbSkills!DH3:DI6,2,FALSE)+IF(AND(Calculator!B8=TRUE,Backdoors!BI15=TRUE),VLOOKUP(Calculator!E23,tbSkills!DH3:DJ6,3,FALSE),0),0))&gt;=100,100,(Backdoors!AI12+IF(CH18&gt;=0.45,VLOOKUP(Calculator!E23,tbSkills!DH3:DI6,2,FALSE)+IF(AND(Calculator!B8=TRUE,Backdoors!BI15=TRUE),VLOOKUP(Calculator!E23,tbSkills!DH3:DJ6,3,FALSE),0),0)))/100)),1),1)</f>
        <v>0.5</v>
      </c>
      <c r="CN18" s="87">
        <f t="shared" si="7"/>
        <v>0</v>
      </c>
      <c r="CO18" s="86" t="str">
        <f>IFERROR(IF(VLOOKUP(A18,tbMoveset!A2:B112,2,FALSE)="Sever",Backdoors!AY16/100,IF(VLOOKUP(A18,tbMoveset!A2:B112,2,FALSE)="Blunt",Backdoors!AZ16/100,Backdoors!BA16/100)),"")</f>
        <v/>
      </c>
      <c r="CP18" s="49">
        <f>IFERROR(IF(VLOOKUP(tbMoveset!A18,tbMoveset!A2:H112,8,FALSE)="Other",IF(VLOOKUP(tbMoveset!A18,tbMoveset!A2:I112,9,FALSE)="Fire",Backdoors!BB16,IF(VLOOKUP(tbMoveset!A18,tbMoveset!A2:I112,9,FALSE)="Water",Backdoors!BC16,IF(VLOOKUP(tbMoveset!A18,tbMoveset!A2:I112,9,FALSE)="Thunder",Backdoors!BD16,IF(VLOOKUP(tbMoveset!A18,tbMoveset!A2:I112,9,FALSE)="Ice",Backdoors!BE16,IF(VLOOKUP(tbMoveset!A18,tbMoveset!A2:I112,9,FALSE)="Dragon",Backdoors!BF16,Backdoors!BG16)))))/100,Backdoors!BG16/100),"")</f>
        <v>0</v>
      </c>
      <c r="CQ18" s="49">
        <f>IFERROR(IF(VLOOKUP(A18,tbMoveset!A2:J112,10,FALSE)=TRUE,IF((Backdoors!AI12+IF(CO18&gt;=0.45,VLOOKUP(Calculator!E23,tbSkills!DH3:DI6,2,FALSE)+IF(AND(Calculator!B8=TRUE,Backdoors!BI16=TRUE),VLOOKUP(Calculator!E23,tbSkills!DH3:DJ6,3,FALSE),0),0))&gt;=0,1+(Backdoors!AL2*(IF((Backdoors!AI12+IF(CO18&gt;=0.45,VLOOKUP(Calculator!E23,tbSkills!DH3:DI6,2,FALSE)+IF(AND(Calculator!B8=TRUE,Backdoors!BI16=TRUE),VLOOKUP(Calculator!E23,tbSkills!DH3:DJ6,3,FALSE),0),0))&gt;=100,100,(Backdoors!AI12+IF(CO18&gt;=0.45,VLOOKUP(Calculator!E23,tbSkills!DH3:DI6,2,FALSE)+IF(AND(Calculator!B8=TRUE,Backdoors!BI16=TRUE),VLOOKUP(Calculator!E23,tbSkills!DH3:DJ6,3,FALSE),0),0)))/100)),(1-(0.25*((-Backdoors!AI12-IF(CO18&gt;=0.45,VLOOKUP(Calculator!E23,tbSkills!DH3:DI6,2,FALSE)+IF(AND(Calculator!B8=TRUE,Backdoors!BI16=TRUE),VLOOKUP(Calculator!E23,tbSkills!DH3:DJ6,3,FALSE),0),0))/100)))),1),"")</f>
        <v>1</v>
      </c>
      <c r="CR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O18)*CQ18)*(VLOOKUP(A18,tbMoveset!A2:C112,3,FALSE)/100)*IF(VLOOKUP(A18,tbMoveset!A2:B112,2,FALSE)="Projectile",Backdoors!N10,Backdoors!N9),0),"")</f>
        <v/>
      </c>
      <c r="CS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O18&gt;=0.45,VLOOKUP(Calculator!E23,tbSkills!DH3:DI6,2,FALSE)+IF(AND(Calculator!B8=TRUE,Backdoors!BI16=TRUE),VLOOKUP(Calculator!E23,tbSkills!DH3:DJ6,3,FALSE),0),0))&gt;=100,100,(Backdoors!AI12+IF(CO18&gt;=0.45,VLOOKUP(Calculator!E23,tbSkills!DH3:DI6,2,FALSE)+IF(AND(Calculator!B8=TRUE,Backdoors!BI16=TRUE),VLOOKUP(Calculator!E23,tbSkills!DH3:DJ6,3,FALSE),0),0)))/100)),1))*IF(VLOOKUP(A18,tbMoveset!A2:K112,11,FALSE)=TRUE,Backdoors!AC5,1))*CP18,0),"")</f>
        <v>0</v>
      </c>
      <c r="CT18" s="49">
        <f>VLOOKUP(A18,tbMoveset!A2:G112,7,FALSE)*IFERROR(IF(Backdoors!AI12&gt;=0,1+(IF(Calculator!E40&gt;0,VLOOKUP(Calculator!E40,tbSkills!AI3:AJ5,2,FALSE),Backdoors!AL4)*(IF((Backdoors!AI12+IF(CO18&gt;=0.45,VLOOKUP(Calculator!E23,tbSkills!DH3:DI6,2,FALSE)+IF(AND(Calculator!B8=TRUE,Backdoors!BI16=TRUE),VLOOKUP(Calculator!E23,tbSkills!DH3:DJ6,3,FALSE),0),0))&gt;=100,100,(Backdoors!AI12+IF(CO18&gt;=0.45,VLOOKUP(Calculator!E23,tbSkills!DH3:DI6,2,FALSE)+IF(AND(Calculator!B8=TRUE,Backdoors!BI16=TRUE),VLOOKUP(Calculator!E23,tbSkills!DH3:DJ6,3,FALSE),0),0)))/100)),1),1)</f>
        <v>0.5</v>
      </c>
      <c r="CU18" s="87">
        <f t="shared" si="40"/>
        <v>0</v>
      </c>
      <c r="CV18" s="86" t="str">
        <f>IFERROR(IF(VLOOKUP(A18,tbMoveset!A2:B112,2,FALSE)="Sever",Backdoors!AY17/100,IF(VLOOKUP(A18,tbMoveset!A2:B112,2,FALSE)="Blunt",Backdoors!AZ17/100,Backdoors!BA17/100)),"")</f>
        <v/>
      </c>
      <c r="CW18" s="49">
        <f>IFERROR(IF(VLOOKUP(tbMoveset!A18,tbMoveset!A2:H112,8,FALSE)="Other",IF(VLOOKUP(tbMoveset!A18,tbMoveset!A2:I112,9,FALSE)="Fire",Backdoors!BB17,IF(VLOOKUP(tbMoveset!A18,tbMoveset!A2:I112,9,FALSE)="Water",Backdoors!BC17,IF(VLOOKUP(tbMoveset!A18,tbMoveset!A2:I112,9,FALSE)="Thunder",Backdoors!BD17,IF(VLOOKUP(tbMoveset!A18,tbMoveset!A2:I112,9,FALSE)="Ice",Backdoors!BE17,IF(VLOOKUP(tbMoveset!A18,tbMoveset!A2:I112,9,FALSE)="Dragon",Backdoors!BF17,Backdoors!BG17)))))/100,Backdoors!BG17/100),"")</f>
        <v>0</v>
      </c>
      <c r="CX18" s="49">
        <f>IFERROR(IF(VLOOKUP(A18,tbMoveset!A2:J112,10,FALSE)=TRUE,IF((Backdoors!AI12+IF(CV18&gt;=0.45,VLOOKUP(Calculator!E23,tbSkills!DH3:DI6,2,FALSE)+IF(AND(Calculator!B8=TRUE,Backdoors!BI17=TRUE),VLOOKUP(Calculator!E23,tbSkills!DH3:DJ6,3,FALSE),0),0))&gt;=0,1+(Backdoors!AL2*(IF((Backdoors!AI12+IF(CV18&gt;=0.45,VLOOKUP(Calculator!E23,tbSkills!DH3:DI6,2,FALSE)+IF(AND(Calculator!B8=TRUE,Backdoors!BI17=TRUE),VLOOKUP(Calculator!E23,tbSkills!DH3:DJ6,3,FALSE),0),0))&gt;=100,100,(Backdoors!AI12+IF(CV18&gt;=0.45,VLOOKUP(Calculator!E23,tbSkills!DH3:DI6,2,FALSE)+IF(AND(Calculator!B8=TRUE,Backdoors!BI17=TRUE),VLOOKUP(Calculator!E23,tbSkills!DH3:DJ6,3,FALSE),0),0)))/100)),(1-(0.25*((-Backdoors!AI12-IF(CV18&gt;=0.45,VLOOKUP(Calculator!E23,tbSkills!DH3:DI6,2,FALSE)+IF(AND(Calculator!B8=TRUE,Backdoors!BI17=TRUE),VLOOKUP(Calculator!E23,tbSkills!DH3:DJ6,3,FALSE),0),0))/100)))),1),"")</f>
        <v>1</v>
      </c>
      <c r="CY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V18)*CX18)*(VLOOKUP(A18,tbMoveset!A2:C112,3,FALSE)/100)*IF(VLOOKUP(A18,tbMoveset!A2:B112,2,FALSE)="Projectile",Backdoors!N10,Backdoors!N9),0),"")</f>
        <v/>
      </c>
      <c r="CZ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V18&gt;=0.45,VLOOKUP(Calculator!E23,tbSkills!DH3:DI6,2,FALSE)+IF(AND(Calculator!B8=TRUE,Backdoors!BI17=TRUE),VLOOKUP(Calculator!E23,tbSkills!DH3:DJ6,3,FALSE),0),0))&gt;=100,100,(Backdoors!AI12+IF(CV18&gt;=0.45,VLOOKUP(Calculator!E23,tbSkills!DH3:DI6,2,FALSE)+IF(AND(Calculator!B8=TRUE,Backdoors!BI17=TRUE),VLOOKUP(Calculator!E23,tbSkills!DH3:DJ6,3,FALSE),0),0)))/100)),1))*IF(VLOOKUP(A18,tbMoveset!A2:K112,11,FALSE)=TRUE,Backdoors!AC5,1))*CW18,0),"")</f>
        <v>0</v>
      </c>
      <c r="DA18" s="49">
        <f>VLOOKUP(A18,tbMoveset!A2:G112,7,FALSE)*IFERROR(IF(Backdoors!AI12&gt;=0,1+(IF(Calculator!E40&gt;0,VLOOKUP(Calculator!E40,tbSkills!AI3:AJ5,2,FALSE),Backdoors!AL4)*(IF((Backdoors!AI12+IF(CV18&gt;=0.45,VLOOKUP(Calculator!E23,tbSkills!DH3:DI6,2,FALSE)+IF(AND(Calculator!B8=TRUE,Backdoors!BI17=TRUE),VLOOKUP(Calculator!E23,tbSkills!DH3:DJ6,3,FALSE),0),0))&gt;=100,100,(Backdoors!AI12+IF(CV18&gt;=0.45,VLOOKUP(Calculator!E23,tbSkills!DH3:DI6,2,FALSE)+IF(AND(Calculator!B8=TRUE,Backdoors!BI17=TRUE),VLOOKUP(Calculator!E23,tbSkills!DH3:DJ6,3,FALSE),0),0)))/100)),1),1)</f>
        <v>0.5</v>
      </c>
      <c r="DB18" s="87">
        <f t="shared" si="8"/>
        <v>0</v>
      </c>
      <c r="DC18" s="86" t="str">
        <f>IFERROR(IF(VLOOKUP(A18,tbMoveset!A2:B112,2,FALSE)="Sever",Backdoors!AY18/100,IF(VLOOKUP(A18,tbMoveset!A2:B112,2,FALSE)="Blunt",Backdoors!AZ18/100,Backdoors!BA18/100)),"")</f>
        <v/>
      </c>
      <c r="DD18" s="49">
        <f>IFERROR(IF(VLOOKUP(tbMoveset!A18,tbMoveset!A2:H112,8,FALSE)="Other",IF(VLOOKUP(tbMoveset!A18,tbMoveset!A2:I112,9,FALSE)="Fire",Backdoors!BB18,IF(VLOOKUP(tbMoveset!A18,tbMoveset!A2:I112,9,FALSE)="Water",Backdoors!BC18,IF(VLOOKUP(tbMoveset!A18,tbMoveset!A2:I112,9,FALSE)="Thunder",Backdoors!BD18,IF(VLOOKUP(tbMoveset!A18,tbMoveset!A2:I112,9,FALSE)="Ice",Backdoors!BE18,IF(VLOOKUP(tbMoveset!A18,tbMoveset!A2:I112,9,FALSE)="Dragon",Backdoors!BF18,Backdoors!BG18)))))/100,Backdoors!BG18/100),"")</f>
        <v>0</v>
      </c>
      <c r="DE18" s="49">
        <f>IFERROR(IF(VLOOKUP(A18,tbMoveset!A2:J112,10,FALSE)=TRUE,IF((Backdoors!AI12+IF(DC18&gt;=0.45,VLOOKUP(Calculator!E23,tbSkills!DH3:DI6,2,FALSE)+IF(AND(Calculator!B8=TRUE,Backdoors!BI18=TRUE),VLOOKUP(Calculator!E23,tbSkills!DH3:DJ6,3,FALSE),0),0))&gt;=0,1+(Backdoors!AL2*(IF((Backdoors!AI12+IF(DC18&gt;=0.45,VLOOKUP(Calculator!E23,tbSkills!DH3:DI6,2,FALSE)+IF(AND(Calculator!B8=TRUE,Backdoors!BI18=TRUE),VLOOKUP(Calculator!E23,tbSkills!DH3:DJ6,3,FALSE),0),0))&gt;=100,100,(Backdoors!AI12+IF(DC18&gt;=0.45,VLOOKUP(Calculator!E23,tbSkills!DH3:DI6,2,FALSE)+IF(AND(Calculator!B8=TRUE,Backdoors!BI18=TRUE),VLOOKUP(Calculator!E23,tbSkills!DH3:DJ6,3,FALSE),0),0)))/100)),(1-(0.25*((-Backdoors!AI12-IF(DC18&gt;=0.45,VLOOKUP(Calculator!E23,tbSkills!DH3:DI6,2,FALSE)+IF(AND(Calculator!B8=TRUE,Backdoors!BI18=TRUE),VLOOKUP(Calculator!E23,tbSkills!DH3:DJ6,3,FALSE),0),0))/100)))),1),"")</f>
        <v>1</v>
      </c>
      <c r="DF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C18)*DE18)*(VLOOKUP(A18,tbMoveset!A2:C112,3,FALSE)/100)*IF(VLOOKUP(A18,tbMoveset!A2:B112,2,FALSE)="Projectile",Backdoors!N10,Backdoors!N9),0),"")</f>
        <v/>
      </c>
      <c r="DG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C18&gt;=0.45,VLOOKUP(Calculator!E23,tbSkills!DH3:DI6,2,FALSE)+IF(AND(Calculator!B8=TRUE,Backdoors!BI18=TRUE),VLOOKUP(Calculator!E23,tbSkills!DH3:DJ6,3,FALSE),0),0))&gt;=100,100,(Backdoors!AI12+IF(DC18&gt;=0.45,VLOOKUP(Calculator!E23,tbSkills!DH3:DI6,2,FALSE)+IF(AND(Calculator!B8=TRUE,Backdoors!BI18=TRUE),VLOOKUP(Calculator!E23,tbSkills!DH3:DJ6,3,FALSE),0),0)))/100)),1))*IF(VLOOKUP(A18,tbMoveset!A2:K112,11,FALSE)=TRUE,Backdoors!AC5,1))*DD18,0),"")</f>
        <v>0</v>
      </c>
      <c r="DH18" s="49">
        <f>VLOOKUP(A18,tbMoveset!A2:G112,7,FALSE)*IFERROR(IF(Backdoors!AI12&gt;=0,1+(IF(Calculator!E40&gt;0,VLOOKUP(Calculator!E40,tbSkills!AI3:AJ5,2,FALSE),Backdoors!AL4)*(IF((Backdoors!AI12+IF(DC18&gt;=0.45,VLOOKUP(Calculator!E23,tbSkills!DH3:DI6,2,FALSE)+IF(AND(Calculator!B8=TRUE,Backdoors!BI18=TRUE),VLOOKUP(Calculator!E23,tbSkills!DH3:DJ6,3,FALSE),0),0))&gt;=100,100,(Backdoors!AI12+IF(DC18&gt;=0.45,VLOOKUP(Calculator!E23,tbSkills!DH3:DI6,2,FALSE)+IF(AND(Calculator!B8=TRUE,Backdoors!BI18=TRUE),VLOOKUP(Calculator!E23,tbSkills!DH3:DJ6,3,FALSE),0),0)))/100)),1),1)</f>
        <v>0.5</v>
      </c>
      <c r="DI18" s="87">
        <f t="shared" si="9"/>
        <v>0</v>
      </c>
      <c r="DJ18" s="86" t="str">
        <f>IFERROR(IF(VLOOKUP(A18,tbMoveset!A2:B112,2,FALSE)="Sever",Backdoors!AY19/100,IF(VLOOKUP(A18,tbMoveset!A2:B112,2,FALSE)="Blunt",Backdoors!AZ19/100,Backdoors!BA19/100)),"")</f>
        <v/>
      </c>
      <c r="DK18" s="49">
        <f>IFERROR(IF(VLOOKUP(tbMoveset!A18,tbMoveset!A2:H112,8,FALSE)="Other",IF(VLOOKUP(tbMoveset!A18,tbMoveset!A2:I112,9,FALSE)="Fire",Backdoors!BB19,IF(VLOOKUP(tbMoveset!A18,tbMoveset!A2:I112,9,FALSE)="Water",Backdoors!BC19,IF(VLOOKUP(tbMoveset!A18,tbMoveset!A2:I112,9,FALSE)="Thunder",Backdoors!BD19,IF(VLOOKUP(tbMoveset!A18,tbMoveset!A2:I112,9,FALSE)="Ice",Backdoors!BE19,IF(VLOOKUP(tbMoveset!A18,tbMoveset!A2:I112,9,FALSE)="Dragon",Backdoors!BF19,Backdoors!BG19)))))/100,Backdoors!BG19/100),"")</f>
        <v>0</v>
      </c>
      <c r="DL18" s="49">
        <f>IFERROR(IF(VLOOKUP(A18,tbMoveset!A2:J112,10,FALSE)=TRUE,IF((Backdoors!AI12+IF(DJ18&gt;=0.45,VLOOKUP(Calculator!E23,tbSkills!DH3:DI6,2,FALSE)+IF(AND(Calculator!B8=TRUE,Backdoors!BI19=TRUE),VLOOKUP(Calculator!E23,tbSkills!DH3:DJ6,3,FALSE),0),0))&gt;=0,1+(Backdoors!AL2*(IF((Backdoors!AI12+IF(DJ18&gt;=0.45,VLOOKUP(Calculator!E23,tbSkills!DH3:DI6,2,FALSE)+IF(AND(Calculator!B8=TRUE,Backdoors!BI19=TRUE),VLOOKUP(Calculator!E23,tbSkills!DH3:DJ6,3,FALSE),0),0))&gt;=100,100,(Backdoors!AI12+IF(DJ18&gt;=0.45,VLOOKUP(Calculator!E23,tbSkills!DH3:DI6,2,FALSE)+IF(AND(Calculator!B8=TRUE,Backdoors!BI19=TRUE),VLOOKUP(Calculator!E23,tbSkills!DH3:DJ6,3,FALSE),0),0)))/100)),(1-(0.25*((-Backdoors!AI12-IF(DJ18&gt;=0.45,VLOOKUP(Calculator!E23,tbSkills!DH3:DI6,2,FALSE)+IF(AND(Calculator!B8=TRUE,Backdoors!BI19=TRUE),VLOOKUP(Calculator!E23,tbSkills!DH3:DJ6,3,FALSE),0),0))/100)))),1),"")</f>
        <v>1</v>
      </c>
      <c r="DM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J18)*DL18)*(VLOOKUP(A18,tbMoveset!A2:C112,3,FALSE)/100)*IF(VLOOKUP(A18,tbMoveset!A2:B112,2,FALSE)="Projectile",Backdoors!N10,Backdoors!N9),0),"")</f>
        <v/>
      </c>
      <c r="DN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J18&gt;=0.45,VLOOKUP(Calculator!E23,tbSkills!DH3:DI6,2,FALSE)+IF(AND(Calculator!B8=TRUE,Backdoors!BI19=TRUE),VLOOKUP(Calculator!E23,tbSkills!DH3:DJ6,3,FALSE),0),0))&gt;=100,100,(Backdoors!AI12+IF(DJ18&gt;=0.45,VLOOKUP(Calculator!E23,tbSkills!DH3:DI6,2,FALSE)+IF(AND(Calculator!B8=TRUE,Backdoors!BI19=TRUE),VLOOKUP(Calculator!E23,tbSkills!DH3:DJ6,3,FALSE),0),0)))/100)),1))*IF(VLOOKUP(A18,tbMoveset!A2:K112,11,FALSE)=TRUE,Backdoors!AC5,1))*DK18,0),"")</f>
        <v>0</v>
      </c>
      <c r="DO18" s="49">
        <f>VLOOKUP(A18,tbMoveset!A2:G112,7,FALSE)*IFERROR(IF(Backdoors!AI12&gt;=0,1+(IF(Calculator!E40&gt;0,VLOOKUP(Calculator!E40,tbSkills!AI3:AJ5,2,FALSE),Backdoors!AL4)*(IF((Backdoors!AI12+IF(DJ18&gt;=0.45,VLOOKUP(Calculator!E23,tbSkills!DH3:DI6,2,FALSE)+IF(AND(Calculator!B8=TRUE,Backdoors!BI19=TRUE),VLOOKUP(Calculator!E23,tbSkills!DH3:DJ6,3,FALSE),0),0))&gt;=100,100,(Backdoors!AI12+IF(DJ18&gt;=0.45,VLOOKUP(Calculator!E23,tbSkills!DH3:DI6,2,FALSE)+IF(AND(Calculator!B8=TRUE,Backdoors!BI19=TRUE),VLOOKUP(Calculator!E23,tbSkills!DH3:DJ6,3,FALSE),0),0)))/100)),1),1)</f>
        <v>0.5</v>
      </c>
      <c r="DP18" s="87">
        <f t="shared" si="41"/>
        <v>0</v>
      </c>
      <c r="DQ18" s="86" t="str">
        <f>IFERROR(IF(VLOOKUP(A18,tbMoveset!A2:B112,2,FALSE)="Sever",Backdoors!AY20/100,IF(VLOOKUP(A18,tbMoveset!A2:B112,2,FALSE)="Blunt",Backdoors!AZ20/100,Backdoors!BA20/100)),"")</f>
        <v/>
      </c>
      <c r="DR18" s="49">
        <f>IFERROR(IF(VLOOKUP(tbMoveset!A18,tbMoveset!A2:H112,8,FALSE)="Other",IF(VLOOKUP(tbMoveset!A18,tbMoveset!A2:I112,9,FALSE)="Fire",Backdoors!BB20,IF(VLOOKUP(tbMoveset!A18,tbMoveset!A2:I112,9,FALSE)="Water",Backdoors!BC20,IF(VLOOKUP(tbMoveset!A18,tbMoveset!A2:I112,9,FALSE)="Thunder",Backdoors!BD20,IF(VLOOKUP(tbMoveset!A18,tbMoveset!A2:I112,9,FALSE)="Ice",Backdoors!BE20,IF(VLOOKUP(tbMoveset!A18,tbMoveset!A2:I112,9,FALSE)="Dragon",Backdoors!BF20,Backdoors!BG20)))))/100,Backdoors!BG20/100),"")</f>
        <v>0</v>
      </c>
      <c r="DS18" s="49">
        <f>IFERROR(IF(VLOOKUP(A18,tbMoveset!A2:J112,10,FALSE)=TRUE,IF((Backdoors!AI12+IF(DQ18&gt;=0.45,VLOOKUP(Calculator!E23,tbSkills!DH3:DI6,2,FALSE)+IF(AND(Calculator!B8=TRUE,Backdoors!BI20=TRUE),VLOOKUP(Calculator!E23,tbSkills!DH3:DJ6,3,FALSE),0),0))&gt;=0,1+(Backdoors!AL2*(IF((Backdoors!AI12+IF(DQ18&gt;=0.45,VLOOKUP(Calculator!E23,tbSkills!DH3:DI6,2,FALSE)+IF(AND(Calculator!B8=TRUE,Backdoors!BI20=TRUE),VLOOKUP(Calculator!E23,tbSkills!DH3:DJ6,3,FALSE),0),0))&gt;=100,100,(Backdoors!AI12+IF(DQ18&gt;=0.45,VLOOKUP(Calculator!E23,tbSkills!DH3:DI6,2,FALSE)+IF(AND(Calculator!B8=TRUE,Backdoors!BI20=TRUE),VLOOKUP(Calculator!E23,tbSkills!DH3:DJ6,3,FALSE),0),0)))/100)),(1-(0.25*((-Backdoors!AI12-IF(DQ18&gt;=0.45,VLOOKUP(Calculator!E23,tbSkills!DH3:DI6,2,FALSE)+IF(AND(Calculator!B8=TRUE,Backdoors!BI20=TRUE),VLOOKUP(Calculator!E23,tbSkills!DH3:DJ6,3,FALSE),0),0))/100)))),1),"")</f>
        <v>1</v>
      </c>
      <c r="DT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Q18)*DS18)*(VLOOKUP(A18,tbMoveset!A2:C112,3,FALSE)/100)*IF(VLOOKUP(A18,tbMoveset!A2:B112,2,FALSE)="Projectile",Backdoors!N10,Backdoors!N9),0),"")</f>
        <v/>
      </c>
      <c r="DU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Q18&gt;=0.45,VLOOKUP(Calculator!E23,tbSkills!DH3:DI6,2,FALSE)+IF(AND(Calculator!B8=TRUE,Backdoors!BI20=TRUE),VLOOKUP(Calculator!E23,tbSkills!DH3:DJ6,3,FALSE),0),0))&gt;=100,100,(Backdoors!AI12+IF(DQ18&gt;=0.45,VLOOKUP(Calculator!E23,tbSkills!DH3:DI6,2,FALSE)+IF(AND(Calculator!B8=TRUE,Backdoors!BI20=TRUE),VLOOKUP(Calculator!E23,tbSkills!DH3:DJ6,3,FALSE),0),0)))/100)),1))*IF(VLOOKUP(A18,tbMoveset!A2:K112,11,FALSE)=TRUE,Backdoors!AC5,1))*DR18,0),"")</f>
        <v>0</v>
      </c>
      <c r="DV18" s="49">
        <f>VLOOKUP(A18,tbMoveset!A2:G112,7,FALSE)*IFERROR(IF(Backdoors!AI12&gt;=0,1+(IF(Calculator!E40&gt;0,VLOOKUP(Calculator!E40,tbSkills!AI3:AJ5,2,FALSE),Backdoors!AL4)*(IF((Backdoors!AI12+IF(DQ18&gt;=0.45,VLOOKUP(Calculator!E23,tbSkills!DH3:DI6,2,FALSE)+IF(AND(Calculator!B8=TRUE,Backdoors!BI20=TRUE),VLOOKUP(Calculator!E23,tbSkills!DH3:DJ6,3,FALSE),0),0))&gt;=100,100,(Backdoors!AI12+IF(DQ18&gt;=0.45,VLOOKUP(Calculator!E23,tbSkills!DH3:DI6,2,FALSE)+IF(AND(Calculator!B8=TRUE,Backdoors!BI20=TRUE),VLOOKUP(Calculator!E23,tbSkills!DH3:DJ6,3,FALSE),0),0)))/100)),1),1)</f>
        <v>0.5</v>
      </c>
      <c r="DW18" s="87">
        <f t="shared" si="10"/>
        <v>0</v>
      </c>
      <c r="DX18" s="86" t="str">
        <f>IFERROR(IF(VLOOKUP(A18,tbMoveset!A2:B112,2,FALSE)="Sever",Backdoors!AY21/100,IF(VLOOKUP(A18,tbMoveset!A2:B112,2,FALSE)="Blunt",Backdoors!AZ21/100,Backdoors!BA21/100)),"")</f>
        <v/>
      </c>
      <c r="DY18" s="49">
        <f>IFERROR(IF(VLOOKUP(tbMoveset!A18,tbMoveset!A2:H112,8,FALSE)="Other",IF(VLOOKUP(tbMoveset!A18,tbMoveset!A2:I112,9,FALSE)="Fire",Backdoors!BB21,IF(VLOOKUP(tbMoveset!A18,tbMoveset!A2:I112,9,FALSE)="Water",Backdoors!BC21,IF(VLOOKUP(tbMoveset!A18,tbMoveset!A2:I112,9,FALSE)="Thunder",Backdoors!BD21,IF(VLOOKUP(tbMoveset!A18,tbMoveset!A2:I112,9,FALSE)="Ice",Backdoors!BE21,IF(VLOOKUP(tbMoveset!A18,tbMoveset!A2:I112,9,FALSE)="Dragon",Backdoors!BF21,Backdoors!BG21)))))/100,Backdoors!BG21/100),"")</f>
        <v>0</v>
      </c>
      <c r="DZ18" s="49">
        <f>IFERROR(IF(VLOOKUP(A18,tbMoveset!A2:J112,10,FALSE)=TRUE,IF((Backdoors!AI12+IF(DX18&gt;=0.45,VLOOKUP(Calculator!E23,tbSkills!DH3:DI6,2,FALSE)+IF(AND(Calculator!B8=TRUE,Backdoors!BI21=TRUE),VLOOKUP(Calculator!E23,tbSkills!DH3:DJ6,3,FALSE),0),0))&gt;=0,1+(Backdoors!AL2*(IF((Backdoors!AI12+IF(DX18&gt;=0.45,VLOOKUP(Calculator!E23,tbSkills!DH3:DI6,2,FALSE)+IF(AND(Calculator!B8=TRUE,Backdoors!BI21=TRUE),VLOOKUP(Calculator!E23,tbSkills!DH3:DJ6,3,FALSE),0),0))&gt;=100,100,(Backdoors!AI12+IF(DX18&gt;=0.45,VLOOKUP(Calculator!E23,tbSkills!DH3:DI6,2,FALSE)+IF(AND(Calculator!B8=TRUE,Backdoors!BI21=TRUE),VLOOKUP(Calculator!E23,tbSkills!DH3:DJ6,3,FALSE),0),0)))/100)),(1-(0.25*((-Backdoors!AI12-IF(DX18&gt;=0.45,VLOOKUP(Calculator!E23,tbSkills!DH3:DI6,2,FALSE)+IF(AND(Calculator!B8=TRUE,Backdoors!BI21=TRUE),VLOOKUP(Calculator!E23,tbSkills!DH3:DJ6,3,FALSE),0),0))/100)))),1),"")</f>
        <v>1</v>
      </c>
      <c r="EA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X18)*DZ18)*(VLOOKUP(A18,tbMoveset!A2:C112,3,FALSE)/100)*IF(VLOOKUP(A18,tbMoveset!A2:B112,2,FALSE)="Projectile",Backdoors!N10,Backdoors!N9),0),"")</f>
        <v/>
      </c>
      <c r="EB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X18&gt;=0.45,VLOOKUP(Calculator!E23,tbSkills!DH3:DI6,2,FALSE)+IF(AND(Calculator!B8=TRUE,Backdoors!BI21=TRUE),VLOOKUP(Calculator!E23,tbSkills!DH3:DJ6,3,FALSE),0),0))&gt;=100,100,(Backdoors!AI12+IF(DX18&gt;=0.45,VLOOKUP(Calculator!E23,tbSkills!DH3:DI6,2,FALSE)+IF(AND(Calculator!B8=TRUE,Backdoors!BI21=TRUE),VLOOKUP(Calculator!E23,tbSkills!DH3:DJ6,3,FALSE),0),0)))/100)),1))*IF(VLOOKUP(A18,tbMoveset!A2:K112,11,FALSE)=TRUE,Backdoors!AC5,1))*DY18,0),"")</f>
        <v>0</v>
      </c>
      <c r="EC18" s="49">
        <f>VLOOKUP(A18,tbMoveset!A2:G112,7,FALSE)*IFERROR(IF(Backdoors!AI12&gt;=0,1+(IF(Calculator!E40&gt;0,VLOOKUP(Calculator!E40,tbSkills!AI3:AJ5,2,FALSE),Backdoors!AL4)*(IF((Backdoors!AI12+IF(DX18&gt;=0.45,VLOOKUP(Calculator!E23,tbSkills!DH3:DI6,2,FALSE)+IF(AND(Calculator!B8=TRUE,Backdoors!BI21=TRUE),VLOOKUP(Calculator!E23,tbSkills!DH3:DJ6,3,FALSE),0),0))&gt;=100,100,(Backdoors!AI12+IF(DX18&gt;=0.45,VLOOKUP(Calculator!E23,tbSkills!DH3:DI6,2,FALSE)+IF(AND(Calculator!B8=TRUE,Backdoors!BI21=TRUE),VLOOKUP(Calculator!E23,tbSkills!DH3:DJ6,3,FALSE),0),0)))/100)),1),1)</f>
        <v>0.5</v>
      </c>
      <c r="ED18" s="87">
        <f t="shared" si="11"/>
        <v>0</v>
      </c>
      <c r="EE18" s="86" t="str">
        <f>IFERROR(IF(VLOOKUP(A18,tbMoveset!A2:B112,2,FALSE)="Sever",Backdoors!AY22/100,IF(VLOOKUP(A18,tbMoveset!A2:B112,2,FALSE)="Blunt",Backdoors!AZ22/100,Backdoors!BA22/100)),"")</f>
        <v/>
      </c>
      <c r="EF18" s="49">
        <f>IFERROR(IF(VLOOKUP(tbMoveset!A18,tbMoveset!A2:H112,8,FALSE)="Other",IF(VLOOKUP(tbMoveset!A18,tbMoveset!A2:I112,9,FALSE)="Fire",Backdoors!BB22,IF(VLOOKUP(tbMoveset!A18,tbMoveset!A2:I112,9,FALSE)="Water",Backdoors!BC22,IF(VLOOKUP(tbMoveset!A18,tbMoveset!A2:I112,9,FALSE)="Thunder",Backdoors!BD22,IF(VLOOKUP(tbMoveset!A18,tbMoveset!A2:I112,9,FALSE)="Ice",Backdoors!BE22,IF(VLOOKUP(tbMoveset!A18,tbMoveset!A2:I112,9,FALSE)="Dragon",Backdoors!BF22,Backdoors!BG22)))))/100,Backdoors!BG22/100),"")</f>
        <v>0</v>
      </c>
      <c r="EG18" s="49">
        <f>IFERROR(IF(VLOOKUP(A18,tbMoveset!A2:J112,10,FALSE)=TRUE,IF((Backdoors!AI12+IF(EE18&gt;=0.45,VLOOKUP(Calculator!E23,tbSkills!DH3:DI6,2,FALSE)+IF(AND(Calculator!B8=TRUE,Backdoors!BI22=TRUE),VLOOKUP(Calculator!E23,tbSkills!DH3:DJ6,3,FALSE),0),0))&gt;=0,1+(Backdoors!AL2*(IF((Backdoors!AI12+IF(EE18&gt;=0.45,VLOOKUP(Calculator!E23,tbSkills!DH3:DI6,2,FALSE)+IF(AND(Calculator!B8=TRUE,Backdoors!BI22=TRUE),VLOOKUP(Calculator!E23,tbSkills!DH3:DJ6,3,FALSE),0),0))&gt;=100,100,(Backdoors!AI12+IF(EE18&gt;=0.45,VLOOKUP(Calculator!E23,tbSkills!DH3:DI6,2,FALSE)+IF(AND(Calculator!B8=TRUE,Backdoors!BI22=TRUE),VLOOKUP(Calculator!E23,tbSkills!DH3:DJ6,3,FALSE),0),0)))/100)),(1-(0.25*((-Backdoors!AI12-IF(EE18&gt;=0.45,VLOOKUP(Calculator!E23,tbSkills!DH3:DI6,2,FALSE)+IF(AND(Calculator!B8=TRUE,Backdoors!BI22=TRUE),VLOOKUP(Calculator!E23,tbSkills!DH3:DJ6,3,FALSE),0),0))/100)))),1),"")</f>
        <v>1</v>
      </c>
      <c r="EH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E18)*EG18)*(VLOOKUP(A18,tbMoveset!A2:C112,3,FALSE)/100)*IF(VLOOKUP(A18,tbMoveset!A2:B112,2,FALSE)="Projectile",Backdoors!N10,Backdoors!N9),0),"")</f>
        <v/>
      </c>
      <c r="EI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E18&gt;=0.45,VLOOKUP(Calculator!E23,tbSkills!DH3:DI6,2,FALSE)+IF(AND(Calculator!B8=TRUE,Backdoors!BI22=TRUE),VLOOKUP(Calculator!E23,tbSkills!DH3:DJ6,3,FALSE),0),0))&gt;=100,100,(Backdoors!AI12+IF(EE18&gt;=0.45,VLOOKUP(Calculator!E23,tbSkills!DH3:DI6,2,FALSE)+IF(AND(Calculator!B8=TRUE,Backdoors!BI22=TRUE),VLOOKUP(Calculator!E23,tbSkills!DH3:DJ6,3,FALSE),0),0)))/100)),1))*IF(VLOOKUP(A18,tbMoveset!A2:K112,11,FALSE)=TRUE,Backdoors!AC5,1))*EF18,0),"")</f>
        <v>0</v>
      </c>
      <c r="EJ18" s="49">
        <f>VLOOKUP(A18,tbMoveset!A2:G112,7,FALSE)*IFERROR(IF(Backdoors!AI12&gt;=0,1+(IF(Calculator!E40&gt;0,VLOOKUP(Calculator!E40,tbSkills!AI3:AJ5,2,FALSE),Backdoors!AL4)*(IF((Backdoors!AI12+IF(EE18&gt;=0.45,VLOOKUP(Calculator!E23,tbSkills!DH3:DI6,2,FALSE)+IF(AND(Calculator!B8=TRUE,Backdoors!BI22=TRUE),VLOOKUP(Calculator!E23,tbSkills!DH3:DJ6,3,FALSE),0),0))&gt;=100,100,(Backdoors!AI12+IF(EE18&gt;=0.45,VLOOKUP(Calculator!E23,tbSkills!DH3:DI6,2,FALSE)+IF(AND(Calculator!B8=TRUE,Backdoors!BI22=TRUE),VLOOKUP(Calculator!E23,tbSkills!DH3:DJ6,3,FALSE),0),0)))/100)),1),1)</f>
        <v>0.5</v>
      </c>
      <c r="EK18" s="87">
        <f t="shared" si="12"/>
        <v>0</v>
      </c>
      <c r="EL18" s="86" t="str">
        <f>IFERROR(IF(VLOOKUP(A18,tbMoveset!A2:B112,2,FALSE)="Sever",Backdoors!AY23/100,IF(VLOOKUP(A18,tbMoveset!A2:B112,2,FALSE)="Blunt",Backdoors!AZ23/100,Backdoors!BA23/100)),"")</f>
        <v/>
      </c>
      <c r="EM18" s="49">
        <f>IFERROR(IF(VLOOKUP(tbMoveset!A18,tbMoveset!A2:H112,8,FALSE)="Other",IF(VLOOKUP(tbMoveset!A18,tbMoveset!A2:I112,9,FALSE)="Fire",Backdoors!BB23,IF(VLOOKUP(tbMoveset!A18,tbMoveset!A2:I112,9,FALSE)="Water",Backdoors!BC23,IF(VLOOKUP(tbMoveset!A18,tbMoveset!A2:I112,9,FALSE)="Thunder",Backdoors!BD23,IF(VLOOKUP(tbMoveset!A18,tbMoveset!A2:I112,9,FALSE)="Ice",Backdoors!BE23,IF(VLOOKUP(tbMoveset!A18,tbMoveset!A2:I112,9,FALSE)="Dragon",Backdoors!BF23,Backdoors!BG23)))))/100,Backdoors!BG23/100),"")</f>
        <v>0</v>
      </c>
      <c r="EN18" s="49">
        <f>IFERROR(IF(VLOOKUP(A18,tbMoveset!A2:J112,10,FALSE)=TRUE,IF((Backdoors!AI12+IF(EL18&gt;=0.45,VLOOKUP(Calculator!E23,tbSkills!DH3:DI6,2,FALSE)+IF(AND(Calculator!B8=TRUE,Backdoors!BI23=TRUE),VLOOKUP(Calculator!E23,tbSkills!DH3:DJ6,3,FALSE),0),0))&gt;=0,1+(Backdoors!AL2*(IF((Backdoors!AI12+IF(EL18&gt;=0.45,VLOOKUP(Calculator!E23,tbSkills!DH3:DI6,2,FALSE)+IF(AND(Calculator!B8=TRUE,Backdoors!BI23=TRUE),VLOOKUP(Calculator!E23,tbSkills!DH3:DJ6,3,FALSE),0),0))&gt;=100,100,(Backdoors!AI12+IF(EL18&gt;=0.45,VLOOKUP(Calculator!E23,tbSkills!DH3:DI6,2,FALSE)+IF(AND(Calculator!B8=TRUE,Backdoors!BI23=TRUE),VLOOKUP(Calculator!E23,tbSkills!DH3:DJ6,3,FALSE),0),0)))/100)),(1-(0.25*((-Backdoors!AI12-IF(EL18&gt;=0.45,VLOOKUP(Calculator!E23,tbSkills!DH3:DI6,2,FALSE)+IF(AND(Calculator!B8=TRUE,Backdoors!BI23=TRUE),VLOOKUP(Calculator!E23,tbSkills!DH3:DJ6,3,FALSE),0),0))/100)))),1),"")</f>
        <v>1</v>
      </c>
      <c r="EO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L18)*EN18)*(VLOOKUP(A18,tbMoveset!A2:C112,3,FALSE)/100)*IF(VLOOKUP(A18,tbMoveset!A2:B112,2,FALSE)="Projectile",Backdoors!N10,Backdoors!N9),0),"")</f>
        <v/>
      </c>
      <c r="EP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L18&gt;=0.45,VLOOKUP(Calculator!E23,tbSkills!DH3:DI6,2,FALSE)+IF(AND(Calculator!B8=TRUE,Backdoors!BI23=TRUE),VLOOKUP(Calculator!E23,tbSkills!DH3:DJ6,3,FALSE),0),0))&gt;=100,100,(Backdoors!AI12+IF(EL18&gt;=0.45,VLOOKUP(Calculator!E23,tbSkills!DH3:DI6,2,FALSE)+IF(AND(Calculator!B8=TRUE,Backdoors!BI23=TRUE),VLOOKUP(Calculator!E23,tbSkills!DH3:DJ6,3,FALSE),0),0)))/100)),1))*IF(VLOOKUP(A18,tbMoveset!A2:K112,11,FALSE)=TRUE,Backdoors!AC5,1))*EM18,0),"")</f>
        <v>0</v>
      </c>
      <c r="EQ18" s="49">
        <f>VLOOKUP(A18,tbMoveset!A2:G112,7,FALSE)*IFERROR(IF(Backdoors!AI12&gt;=0,1+(IF(Calculator!E40&gt;0,VLOOKUP(Calculator!E40,tbSkills!AI3:AJ5,2,FALSE),Backdoors!AL4)*(IF((Backdoors!AI12+IF(EL18&gt;=0.45,VLOOKUP(Calculator!E23,tbSkills!DH3:DI6,2,FALSE)+IF(AND(Calculator!B8=TRUE,Backdoors!BI23=TRUE),VLOOKUP(Calculator!E23,tbSkills!DH3:DJ6,3,FALSE),0),0))&gt;=100,100,(Backdoors!AI12+IF(EL18&gt;=0.45,VLOOKUP(Calculator!E23,tbSkills!DH3:DI6,2,FALSE)+IF(AND(Calculator!B8=TRUE,Backdoors!BI23=TRUE),VLOOKUP(Calculator!E23,tbSkills!DH3:DJ6,3,FALSE),0),0)))/100)),1),1)</f>
        <v>0.5</v>
      </c>
      <c r="ER18" s="87">
        <f t="shared" si="13"/>
        <v>0</v>
      </c>
      <c r="ES18" s="86" t="str">
        <f>IFERROR(IF(VLOOKUP(A18,tbMoveset!A2:B112,2,FALSE)="Sever",Backdoors!AY24/100,IF(VLOOKUP(A18,tbMoveset!A2:B112,2,FALSE)="Blunt",Backdoors!AZ24/100,Backdoors!BA24/100)),"")</f>
        <v/>
      </c>
      <c r="ET18" s="49">
        <f>IFERROR(IF(VLOOKUP(tbMoveset!A18,tbMoveset!A2:H112,8,FALSE)="Other",IF(VLOOKUP(tbMoveset!A18,tbMoveset!A2:I112,9,FALSE)="Fire",Backdoors!BB24,IF(VLOOKUP(tbMoveset!A18,tbMoveset!A2:I112,9,FALSE)="Water",Backdoors!BC24,IF(VLOOKUP(tbMoveset!A18,tbMoveset!A2:I112,9,FALSE)="Thunder",Backdoors!BD24,IF(VLOOKUP(tbMoveset!A18,tbMoveset!A2:I112,9,FALSE)="Ice",Backdoors!BE24,IF(VLOOKUP(tbMoveset!A18,tbMoveset!A2:I112,9,FALSE)="Dragon",Backdoors!BF24,Backdoors!BG24)))))/100,Backdoors!BG24/100),"")</f>
        <v>0</v>
      </c>
      <c r="EU18" s="49">
        <f>IFERROR(IF(VLOOKUP(A18,tbMoveset!A2:J112,10,FALSE)=TRUE,IF((Backdoors!AI12+IF(ES18&gt;=0.45,VLOOKUP(Calculator!E23,tbSkills!DH3:DI6,2,FALSE)+IF(AND(Calculator!B8=TRUE,Backdoors!BI24=TRUE),VLOOKUP(Calculator!E23,tbSkills!DH3:DJ6,3,FALSE),0),0))&gt;=0,1+(Backdoors!AL2*(IF((Backdoors!AI12+IF(ES18&gt;=0.45,VLOOKUP(Calculator!E23,tbSkills!DH3:DI6,2,FALSE)+IF(AND(Calculator!B8=TRUE,Backdoors!BI24=TRUE),VLOOKUP(Calculator!E23,tbSkills!DH3:DJ6,3,FALSE),0),0))&gt;=100,100,(Backdoors!AI12+IF(ES18&gt;=0.45,VLOOKUP(Calculator!E23,tbSkills!DH3:DI6,2,FALSE)+IF(AND(Calculator!B8=TRUE,Backdoors!BI24=TRUE),VLOOKUP(Calculator!E23,tbSkills!DH3:DJ6,3,FALSE),0),0)))/100)),(1-(0.25*((-Backdoors!AI12-IF(ES18&gt;=0.45,VLOOKUP(Calculator!E23,tbSkills!DH3:DI6,2,FALSE)+IF(AND(Calculator!B8=TRUE,Backdoors!BI24=TRUE),VLOOKUP(Calculator!E23,tbSkills!DH3:DJ6,3,FALSE),0),0))/100)))),1),"")</f>
        <v>1</v>
      </c>
      <c r="EV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S18)*EU18)*(VLOOKUP(A18,tbMoveset!A2:C112,3,FALSE)/100)*IF(VLOOKUP(A18,tbMoveset!A2:B112,2,FALSE)="Projectile",Backdoors!N10,Backdoors!N9),0),"")</f>
        <v/>
      </c>
      <c r="EW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S18&gt;=0.45,VLOOKUP(Calculator!E23,tbSkills!DH3:DI6,2,FALSE)+IF(AND(Calculator!B8=TRUE,Backdoors!BI24=TRUE),VLOOKUP(Calculator!E23,tbSkills!DH3:DJ6,3,FALSE),0),0))&gt;=100,100,(Backdoors!AI12+IF(ES18&gt;=0.45,VLOOKUP(Calculator!E23,tbSkills!DH3:DI6,2,FALSE)+IF(AND(Calculator!B8=TRUE,Backdoors!BI24=TRUE),VLOOKUP(Calculator!E23,tbSkills!DH3:DJ6,3,FALSE),0),0)))/100)),1))*IF(VLOOKUP(A18,tbMoveset!A2:K112,11,FALSE)=TRUE,Backdoors!AC5,1))*ET18,0),"")</f>
        <v>0</v>
      </c>
      <c r="EX18" s="49">
        <f>VLOOKUP(A18,tbMoveset!A2:G112,7,FALSE)*IFERROR(IF(Backdoors!AI12&gt;=0,1+(IF(Calculator!E40&gt;0,VLOOKUP(Calculator!E40,tbSkills!AI3:AJ5,2,FALSE),Backdoors!AL4)*(IF((Backdoors!AI12+IF(ES18&gt;=0.45,VLOOKUP(Calculator!E23,tbSkills!DH3:DI6,2,FALSE)+IF(AND(Calculator!B8=TRUE,Backdoors!BI24=TRUE),VLOOKUP(Calculator!E23,tbSkills!DH3:DJ6,3,FALSE),0),0))&gt;=100,100,(Backdoors!AI12+IF(ES18&gt;=0.45,VLOOKUP(Calculator!E23,tbSkills!DH3:DI6,2,FALSE)+IF(AND(Calculator!B8=TRUE,Backdoors!BI24=TRUE),VLOOKUP(Calculator!E23,tbSkills!DH3:DJ6,3,FALSE),0),0)))/100)),1),1)</f>
        <v>0.5</v>
      </c>
      <c r="EY18" s="87">
        <f t="shared" si="14"/>
        <v>0</v>
      </c>
      <c r="EZ18" s="86" t="str">
        <f>IFERROR(IF(VLOOKUP(A18,tbMoveset!A2:B112,2,FALSE)="Sever",Backdoors!AY25/100,IF(VLOOKUP(A18,tbMoveset!A2:B112,2,FALSE)="Blunt",Backdoors!AZ25/100,Backdoors!BA25/100)),"")</f>
        <v/>
      </c>
      <c r="FA18" s="49">
        <f>IFERROR(IF(VLOOKUP(tbMoveset!A18,tbMoveset!A2:H112,8,FALSE)="Other",IF(VLOOKUP(tbMoveset!A18,tbMoveset!A2:I112,9,FALSE)="Fire",Backdoors!BB25,IF(VLOOKUP(tbMoveset!A18,tbMoveset!A2:I112,9,FALSE)="Water",Backdoors!BC25,IF(VLOOKUP(tbMoveset!A18,tbMoveset!A2:I112,9,FALSE)="Thunder",Backdoors!BD25,IF(VLOOKUP(tbMoveset!A18,tbMoveset!A2:I112,9,FALSE)="Ice",Backdoors!BE25,IF(VLOOKUP(tbMoveset!A18,tbMoveset!A2:I112,9,FALSE)="Dragon",Backdoors!BF25,Backdoors!BG25)))))/100,Backdoors!BG25/100),"")</f>
        <v>0</v>
      </c>
      <c r="FB18" s="49">
        <f>IFERROR(IF(VLOOKUP(A18,tbMoveset!A2:J112,10,FALSE)=TRUE,IF((Backdoors!AI12+IF(EZ18&gt;=0.45,VLOOKUP(Calculator!E23,tbSkills!DH3:DI6,2,FALSE)+IF(AND(Calculator!B8=TRUE,Backdoors!BI25=TRUE),VLOOKUP(Calculator!E23,tbSkills!DH3:DJ6,3,FALSE),0),0))&gt;=0,1+(Backdoors!AL2*(IF((Backdoors!AI12+IF(EZ18&gt;=0.45,VLOOKUP(Calculator!E23,tbSkills!DH3:DI6,2,FALSE)+IF(AND(Calculator!B8=TRUE,Backdoors!BI25=TRUE),VLOOKUP(Calculator!E23,tbSkills!DH3:DJ6,3,FALSE),0),0))&gt;=100,100,(Backdoors!AI12+IF(EZ18&gt;=0.45,VLOOKUP(Calculator!E23,tbSkills!DH3:DI6,2,FALSE)+IF(AND(Calculator!B8=TRUE,Backdoors!BI25=TRUE),VLOOKUP(Calculator!E23,tbSkills!DH3:DJ6,3,FALSE),0),0)))/100)),(1-(0.25*((-Backdoors!AI12-IF(EZ18&gt;=0.45,VLOOKUP(Calculator!E23,tbSkills!DH3:DI6,2,FALSE)+IF(AND(Calculator!B8=TRUE,Backdoors!BI25=TRUE),VLOOKUP(Calculator!E23,tbSkills!DH3:DJ6,3,FALSE),0),0))/100)))),1),"")</f>
        <v>1</v>
      </c>
      <c r="FC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Z18)*FB18)*(VLOOKUP(A18,tbMoveset!A2:C112,3,FALSE)/100)*IF(VLOOKUP(A18,tbMoveset!A2:B112,2,FALSE)="Projectile",Backdoors!N10,Backdoors!N9),0),"")</f>
        <v/>
      </c>
      <c r="FD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Z18&gt;=0.45,VLOOKUP(Calculator!E23,tbSkills!DH3:DI6,2,FALSE)+IF(AND(Calculator!B8=TRUE,Backdoors!BI25=TRUE),VLOOKUP(Calculator!E23,tbSkills!DH3:DJ6,3,FALSE),0),0))&gt;=100,100,(Backdoors!AI12+IF(EZ18&gt;=0.45,VLOOKUP(Calculator!E23,tbSkills!DH3:DI6,2,FALSE)+IF(AND(Calculator!B8=TRUE,Backdoors!BI25=TRUE),VLOOKUP(Calculator!E23,tbSkills!DH3:DJ6,3,FALSE),0),0)))/100)),1))*IF(VLOOKUP(A18,tbMoveset!A2:K112,11,FALSE)=TRUE,Backdoors!AC5,1))*FA18,0),"")</f>
        <v>0</v>
      </c>
      <c r="FE18" s="49">
        <f>VLOOKUP(A18,tbMoveset!A2:G112,7,FALSE)*IFERROR(IF(Backdoors!AI12&gt;=0,1+(IF(Calculator!E40&gt;0,VLOOKUP(Calculator!E40,tbSkills!AI3:AJ5,2,FALSE),Backdoors!AL4)*(IF((Backdoors!AI12+IF(EZ18&gt;=0.45,VLOOKUP(Calculator!E23,tbSkills!DH3:DI6,2,FALSE)+IF(AND(Calculator!B8=TRUE,Backdoors!BI25=TRUE),VLOOKUP(Calculator!E23,tbSkills!DH3:DJ6,3,FALSE),0),0))&gt;=100,100,(Backdoors!AI12+IF(EZ18&gt;=0.45,VLOOKUP(Calculator!E23,tbSkills!DH3:DI6,2,FALSE)+IF(AND(Calculator!B8=TRUE,Backdoors!BI25=TRUE),VLOOKUP(Calculator!E23,tbSkills!DH3:DJ6,3,FALSE),0),0)))/100)),1),1)</f>
        <v>0.5</v>
      </c>
      <c r="FF18" s="87">
        <f t="shared" si="15"/>
        <v>0</v>
      </c>
      <c r="FG18" s="86" t="str">
        <f>IFERROR(IF(VLOOKUP(A18,tbMoveset!A2:B112,2,FALSE)="Sever",Backdoors!AY26/100,IF(VLOOKUP(A18,tbMoveset!A2:B112,2,FALSE)="Blunt",Backdoors!AZ26/100,Backdoors!BA26/100)),"")</f>
        <v/>
      </c>
      <c r="FH18" s="49">
        <f>IFERROR(IF(VLOOKUP(tbMoveset!A18,tbMoveset!A2:H112,8,FALSE)="Other",IF(VLOOKUP(tbMoveset!A18,tbMoveset!A2:I112,9,FALSE)="Fire",Backdoors!BB26,IF(VLOOKUP(tbMoveset!A18,tbMoveset!A2:I112,9,FALSE)="Water",Backdoors!BC26,IF(VLOOKUP(tbMoveset!A18,tbMoveset!A2:I112,9,FALSE)="Thunder",Backdoors!BD26,IF(VLOOKUP(tbMoveset!A18,tbMoveset!A2:I112,9,FALSE)="Ice",Backdoors!BE26,IF(VLOOKUP(tbMoveset!A18,tbMoveset!A2:I112,9,FALSE)="Dragon",Backdoors!BF26,Backdoors!BG26)))))/100,Backdoors!BG26/100),"")</f>
        <v>0</v>
      </c>
      <c r="FI18" s="49">
        <f>IFERROR(IF(VLOOKUP(A18,tbMoveset!A2:J112,10,FALSE)=TRUE,IF((Backdoors!AI12+IF(FG18&gt;=0.45,VLOOKUP(Calculator!E23,tbSkills!DH3:DI6,2,FALSE)+IF(AND(Calculator!B8=TRUE,Backdoors!BI26=TRUE),VLOOKUP(Calculator!E23,tbSkills!DH3:DJ6,3,FALSE),0),0))&gt;=0,1+(Backdoors!AL2*(IF((Backdoors!AI12+IF(FG18&gt;=0.45,VLOOKUP(Calculator!E23,tbSkills!DH3:DI6,2,FALSE)+IF(AND(Calculator!B8=TRUE,Backdoors!BI26=TRUE),VLOOKUP(Calculator!E23,tbSkills!DH3:DJ6,3,FALSE),0),0))&gt;=100,100,(Backdoors!AI12+IF(FG18&gt;=0.45,VLOOKUP(Calculator!E23,tbSkills!DH3:DI6,2,FALSE)+IF(AND(Calculator!B8=TRUE,Backdoors!BI26=TRUE),VLOOKUP(Calculator!E23,tbSkills!DH3:DJ6,3,FALSE),0),0)))/100)),(1-(0.25*((-Backdoors!AI12-IF(FG18&gt;=0.45,VLOOKUP(Calculator!E23,tbSkills!DH3:DI6,2,FALSE)+IF(AND(Calculator!B8=TRUE,Backdoors!BI26=TRUE),VLOOKUP(Calculator!E23,tbSkills!DH3:DJ6,3,FALSE),0),0))/100)))),1),"")</f>
        <v>1</v>
      </c>
      <c r="FJ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FG18)*FI18)*(VLOOKUP(A18,tbMoveset!A2:C112,3,FALSE)/100)*IF(VLOOKUP(A18,tbMoveset!A2:B112,2,FALSE)="Projectile",Backdoors!N10,Backdoors!N9),0),"")</f>
        <v/>
      </c>
      <c r="FK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FG18&gt;=0.45,VLOOKUP(Calculator!E23,tbSkills!DH3:DI6,2,FALSE)+IF(AND(Calculator!B8=TRUE,Backdoors!BI26=TRUE),VLOOKUP(Calculator!E23,tbSkills!DH3:DJ6,3,FALSE),0),0))&gt;=100,100,(Backdoors!AI12+IF(FG18&gt;=0.45,VLOOKUP(Calculator!E23,tbSkills!DH3:DI6,2,FALSE)+IF(AND(Calculator!B8=TRUE,Backdoors!BI26=TRUE),VLOOKUP(Calculator!E23,tbSkills!DH3:DJ6,3,FALSE),0),0)))/100)),1))*IF(VLOOKUP(A18,tbMoveset!A2:K112,11,FALSE)=TRUE,Backdoors!AC5,1))*FH18,0),"")</f>
        <v>0</v>
      </c>
      <c r="FL18" s="49">
        <f>VLOOKUP(A18,tbMoveset!A2:G112,7,FALSE)*IFERROR(IF(Backdoors!AI12&gt;=0,1+(IF(Calculator!E40&gt;0,VLOOKUP(Calculator!E40,tbSkills!AI3:AJ5,2,FALSE),Backdoors!AL4)*(IF((Backdoors!AI12+IF(FG18&gt;=0.45,VLOOKUP(Calculator!E23,tbSkills!DH3:DI6,2,FALSE)+IF(AND(Calculator!B8=TRUE,Backdoors!BI26=TRUE),VLOOKUP(Calculator!E23,tbSkills!DH3:DJ6,3,FALSE),0),0))&gt;=100,100,(Backdoors!AI12+IF(FG18&gt;=0.45,VLOOKUP(Calculator!E23,tbSkills!DH3:DI6,2,FALSE)+IF(AND(Calculator!B8=TRUE,Backdoors!BI26=TRUE),VLOOKUP(Calculator!E23,tbSkills!DH3:DJ6,3,FALSE),0),0)))/100)),1),1)</f>
        <v>0.5</v>
      </c>
      <c r="FM18" s="87">
        <f t="shared" si="16"/>
        <v>0</v>
      </c>
      <c r="FN18" s="86" t="str">
        <f>IFERROR(IF(VLOOKUP(A18,tbMoveset!A2:B112,2,FALSE)="Sever",Backdoors!AY27/100,IF(VLOOKUP(A18,tbMoveset!A2:B112,2,FALSE)="Blunt",Backdoors!AZ27/100,Backdoors!BA27/100)),"")</f>
        <v/>
      </c>
      <c r="FO18" s="49">
        <f>IFERROR(IF(VLOOKUP(tbMoveset!A18,tbMoveset!A2:H112,8,FALSE)="Other",IF(VLOOKUP(tbMoveset!A18,tbMoveset!A2:I112,9,FALSE)="Fire",Backdoors!BB27,IF(VLOOKUP(tbMoveset!A18,tbMoveset!A2:I112,9,FALSE)="Water",Backdoors!BC27,IF(VLOOKUP(tbMoveset!A18,tbMoveset!A2:I112,9,FALSE)="Thunder",Backdoors!BD27,IF(VLOOKUP(tbMoveset!A18,tbMoveset!A2:I112,9,FALSE)="Ice",Backdoors!BE27,IF(VLOOKUP(tbMoveset!A18,tbMoveset!A2:I112,9,FALSE)="Dragon",Backdoors!BF27,Backdoors!BG27)))))/100,Backdoors!BG27/100),"")</f>
        <v>0</v>
      </c>
      <c r="FP18" s="49">
        <f>IFERROR(IF(VLOOKUP(A18,tbMoveset!A2:J112,10,FALSE)=TRUE,IF((Backdoors!AI12+IF(FN18&gt;=0.45,VLOOKUP(Calculator!E23,tbSkills!DH3:DI6,2,FALSE)+IF(AND(Calculator!B8=TRUE,Backdoors!BI27=TRUE),VLOOKUP(Calculator!E23,tbSkills!DH3:DJ6,3,FALSE),0),0))&gt;=0,1+(Backdoors!AL2*(IF((Backdoors!AI12+IF(FN18&gt;=0.45,VLOOKUP(Calculator!E23,tbSkills!DH3:DI6,2,FALSE)+IF(AND(Calculator!B8=TRUE,Backdoors!BI27=TRUE),VLOOKUP(Calculator!E23,tbSkills!DH3:DJ6,3,FALSE),0),0))&gt;=100,100,(Backdoors!AI12+IF(FN18&gt;=0.45,VLOOKUP(Calculator!E23,tbSkills!DH3:DI6,2,FALSE)+IF(AND(Calculator!B8=TRUE,Backdoors!BI27=TRUE),VLOOKUP(Calculator!E23,tbSkills!DH3:DJ6,3,FALSE),0),0)))/100)),(1-(0.25*((-Backdoors!AI12-IF(FN18&gt;=0.45,VLOOKUP(Calculator!E23,tbSkills!DH3:DI6,2,FALSE)+IF(AND(Calculator!B8=TRUE,Backdoors!BI27=TRUE),VLOOKUP(Calculator!E23,tbSkills!DH3:DJ6,3,FALSE),0),0))/100)))),1),"")</f>
        <v>1</v>
      </c>
      <c r="FQ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FN18)*FP18)*(VLOOKUP(A18,tbMoveset!A2:C112,3,FALSE)/100)*IF(VLOOKUP(A18,tbMoveset!A2:B112,2,FALSE)="Projectile",Backdoors!N10,Backdoors!N9),0),"")</f>
        <v/>
      </c>
      <c r="FR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FN18&gt;=0.45,VLOOKUP(Calculator!E23,tbSkills!DH3:DI6,2,FALSE)+IF(AND(Calculator!B8=TRUE,Backdoors!BI27=TRUE),VLOOKUP(Calculator!E23,tbSkills!DH3:DJ6,3,FALSE),0),0))&gt;=100,100,(Backdoors!AI12+IF(FN18&gt;=0.45,VLOOKUP(Calculator!E23,tbSkills!DH3:DI6,2,FALSE)+IF(AND(Calculator!B8=TRUE,Backdoors!BI27=TRUE),VLOOKUP(Calculator!E23,tbSkills!DH3:DJ6,3,FALSE),0),0)))/100)),1))*IF(VLOOKUP(A18,tbMoveset!A2:K112,11,FALSE)=TRUE,Backdoors!AC5,1))*FO18,0),"")</f>
        <v>0</v>
      </c>
      <c r="FS18" s="49">
        <f>VLOOKUP(A18,tbMoveset!A2:G112,7,FALSE)*IFERROR(IF(Backdoors!AI12&gt;=0,1+(IF(Calculator!E40&gt;0,VLOOKUP(Calculator!E40,tbSkills!AI3:AJ5,2,FALSE),Backdoors!AL4)*(IF((Backdoors!AI12+IF(FN18&gt;=0.45,VLOOKUP(Calculator!E23,tbSkills!DH3:DI6,2,FALSE)+IF(AND(Calculator!B8=TRUE,Backdoors!BI27=TRUE),VLOOKUP(Calculator!E23,tbSkills!DH3:DJ6,3,FALSE),0),0))&gt;=100,100,(Backdoors!AI12+IF(FN18&gt;=0.45,VLOOKUP(Calculator!E23,tbSkills!DH3:DI6,2,FALSE)+IF(AND(Calculator!B8=TRUE,Backdoors!BI27=TRUE),VLOOKUP(Calculator!E23,tbSkills!DH3:DJ6,3,FALSE),0),0)))/100)),1),1)</f>
        <v>0.5</v>
      </c>
      <c r="FT18" s="87">
        <f t="shared" si="17"/>
        <v>0</v>
      </c>
      <c r="FU18" s="86" t="str">
        <f>IFERROR(IF(VLOOKUP(A18,tbMoveset!A2:B112,2,FALSE)="Sever",Backdoors!AY28/100,IF(VLOOKUP(A18,tbMoveset!A2:B112,2,FALSE)="Blunt",Backdoors!AZ28/100,Backdoors!BA28/100)),"")</f>
        <v/>
      </c>
      <c r="FV18" s="49">
        <f>IFERROR(IF(VLOOKUP(tbMoveset!A18,tbMoveset!A2:H112,8,FALSE)="Other",IF(VLOOKUP(tbMoveset!A18,tbMoveset!A2:I112,9,FALSE)="Fire",Backdoors!BB28,IF(VLOOKUP(tbMoveset!A18,tbMoveset!A2:I112,9,FALSE)="Water",Backdoors!BC28,IF(VLOOKUP(tbMoveset!A18,tbMoveset!A2:I112,9,FALSE)="Thunder",Backdoors!BD28,IF(VLOOKUP(tbMoveset!A18,tbMoveset!A2:I112,9,FALSE)="Ice",Backdoors!BE28,IF(VLOOKUP(tbMoveset!A18,tbMoveset!A2:I112,9,FALSE)="Dragon",Backdoors!BF28,Backdoors!BG28)))))/100,Backdoors!BG28/100),"")</f>
        <v>0</v>
      </c>
      <c r="FW18" s="49">
        <f>IFERROR(IF(VLOOKUP(A18,tbMoveset!A2:J112,10,FALSE)=TRUE,IF((Backdoors!AI12+IF(FU18&gt;=0.45,VLOOKUP(Calculator!E23,tbSkills!DH3:DI6,2,FALSE)+IF(AND(Calculator!B8=TRUE,Backdoors!BI28=TRUE),VLOOKUP(Calculator!E23,tbSkills!DH3:DJ6,3,FALSE),0),0))&gt;=0,1+(Backdoors!AL2*(IF((Backdoors!AI12+IF(FU18&gt;=0.45,VLOOKUP(Calculator!E23,tbSkills!DH3:DI6,2,FALSE)+IF(AND(Calculator!B8=TRUE,Backdoors!BI28=TRUE),VLOOKUP(Calculator!E23,tbSkills!DH3:DJ6,3,FALSE),0),0))&gt;=100,100,(Backdoors!AI12+IF(FU18&gt;=0.45,VLOOKUP(Calculator!E23,tbSkills!DH3:DI6,2,FALSE)+IF(AND(Calculator!B8=TRUE,Backdoors!BI28=TRUE),VLOOKUP(Calculator!E23,tbSkills!DH3:DJ6,3,FALSE),0),0)))/100)),(1-(0.25*((-Backdoors!AI12-IF(FU18&gt;=0.45,VLOOKUP(Calculator!E23,tbSkills!DH3:DI6,2,FALSE)+IF(AND(Calculator!B8=TRUE,Backdoors!BI28=TRUE),VLOOKUP(Calculator!E23,tbSkills!DH3:DJ6,3,FALSE),0),0))/100)))),1),"")</f>
        <v>1</v>
      </c>
      <c r="FX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FU18)*FW18)*(VLOOKUP(A18,tbMoveset!A2:C112,3,FALSE)/100)*IF(VLOOKUP(A18,tbMoveset!A2:B112,2,FALSE)="Projectile",Backdoors!N10,Backdoors!N9),0),"")</f>
        <v/>
      </c>
      <c r="FY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FU18&gt;=0.45,VLOOKUP(Calculator!E23,tbSkills!DH3:DI6,2,FALSE)+IF(AND(Calculator!B8=TRUE,Backdoors!BI28=TRUE),VLOOKUP(Calculator!E23,tbSkills!DH3:DJ6,3,FALSE),0),0))&gt;=100,100,(Backdoors!AI12+IF(FU18&gt;=0.45,VLOOKUP(Calculator!E23,tbSkills!DH3:DI6,2,FALSE)+IF(AND(Calculator!B8=TRUE,Backdoors!BI28=TRUE),VLOOKUP(Calculator!E23,tbSkills!DH3:DJ6,3,FALSE),0),0)))/100)),1))*IF(VLOOKUP(A18,tbMoveset!A2:K112,11,FALSE)=TRUE,Backdoors!AC5,1))*FV18,0),"")</f>
        <v>0</v>
      </c>
      <c r="FZ18" s="49">
        <f>VLOOKUP(A18,tbMoveset!A2:G112,7,FALSE)*IFERROR(IF(Backdoors!AI12&gt;=0,1+(IF(Calculator!E40&gt;0,VLOOKUP(Calculator!E40,tbSkills!AI3:AJ5,2,FALSE),Backdoors!AL4)*(IF((Backdoors!AI12+IF(FU18&gt;=0.45,VLOOKUP(Calculator!E23,tbSkills!DH3:DI6,2,FALSE)+IF(AND(Calculator!B8=TRUE,Backdoors!BI28=TRUE),VLOOKUP(Calculator!E23,tbSkills!DH3:DJ6,3,FALSE),0),0))&gt;=100,100,(Backdoors!AI12+IF(FU18&gt;=0.45,VLOOKUP(Calculator!E23,tbSkills!DH3:DI6,2,FALSE)+IF(AND(Calculator!B8=TRUE,Backdoors!BI28=TRUE),VLOOKUP(Calculator!E23,tbSkills!DH3:DJ6,3,FALSE),0),0)))/100)),1),1)</f>
        <v>0.5</v>
      </c>
      <c r="GA18" s="87">
        <f t="shared" si="18"/>
        <v>0</v>
      </c>
      <c r="GB18" s="86" t="str">
        <f>IFERROR(IF(VLOOKUP(A18,tbMoveset!A2:B112,2,FALSE)="Sever",Backdoors!AY29/100,IF(VLOOKUP(A18,tbMoveset!A2:B112,2,FALSE)="Blunt",Backdoors!AZ29/100,Backdoors!BA29/100)),"")</f>
        <v/>
      </c>
      <c r="GC18" s="49">
        <f>IFERROR(IF(VLOOKUP(tbMoveset!A18,tbMoveset!A2:H112,8,FALSE)="Other",IF(VLOOKUP(tbMoveset!A18,tbMoveset!A2:I112,9,FALSE)="Fire",Backdoors!BB29,IF(VLOOKUP(tbMoveset!A18,tbMoveset!A2:I112,9,FALSE)="Water",Backdoors!BC29,IF(VLOOKUP(tbMoveset!A18,tbMoveset!A2:I112,9,FALSE)="Thunder",Backdoors!BD29,IF(VLOOKUP(tbMoveset!A18,tbMoveset!A2:I112,9,FALSE)="Ice",Backdoors!BE29,IF(VLOOKUP(tbMoveset!A18,tbMoveset!A2:I112,9,FALSE)="Dragon",Backdoors!BF29,Backdoors!BG29)))))/100,Backdoors!BG29/100),"")</f>
        <v>0</v>
      </c>
      <c r="GD18" s="49">
        <f>IFERROR(IF(VLOOKUP(A18,tbMoveset!A2:J112,10,FALSE)=TRUE,IF((Backdoors!AI12+IF(GB18&gt;=0.45,VLOOKUP(Calculator!E23,tbSkills!DH3:DI6,2,FALSE)+IF(AND(Calculator!B8=TRUE,Backdoors!BI29=TRUE),VLOOKUP(Calculator!E23,tbSkills!DH3:DJ6,3,FALSE),0),0))&gt;=0,1+(Backdoors!AL2*(IF((Backdoors!AI12+IF(GB18&gt;=0.45,VLOOKUP(Calculator!E23,tbSkills!DH3:DI6,2,FALSE)+IF(AND(Calculator!B8=TRUE,Backdoors!BI29=TRUE),VLOOKUP(Calculator!E23,tbSkills!DH3:DJ6,3,FALSE),0),0))&gt;=100,100,(Backdoors!AI12+IF(GB18&gt;=0.45,VLOOKUP(Calculator!E23,tbSkills!DH3:DI6,2,FALSE)+IF(AND(Calculator!B8=TRUE,Backdoors!BI29=TRUE),VLOOKUP(Calculator!E23,tbSkills!DH3:DJ6,3,FALSE),0),0)))/100)),(1-(0.25*((-Backdoors!AI12-IF(GB18&gt;=0.45,VLOOKUP(Calculator!E23,tbSkills!DH3:DI6,2,FALSE)+IF(AND(Calculator!B8=TRUE,Backdoors!BI29=TRUE),VLOOKUP(Calculator!E23,tbSkills!DH3:DJ6,3,FALSE),0),0))/100)))),1),"")</f>
        <v>1</v>
      </c>
      <c r="GE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B18)*GD18)*(VLOOKUP(A18,tbMoveset!A2:C112,3,FALSE)/100)*IF(VLOOKUP(A18,tbMoveset!A2:B112,2,FALSE)="Projectile",Backdoors!N10,Backdoors!N9),0),"")</f>
        <v/>
      </c>
      <c r="GF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B18&gt;=0.45,VLOOKUP(Calculator!E23,tbSkills!DH3:DI6,2,FALSE)+IF(AND(Calculator!B8=TRUE,Backdoors!BI29=TRUE),VLOOKUP(Calculator!E23,tbSkills!DH3:DJ6,3,FALSE),0),0))&gt;=100,100,(Backdoors!AI12+IF(GB18&gt;=0.45,VLOOKUP(Calculator!E23,tbSkills!DH3:DI6,2,FALSE)+IF(AND(Calculator!B8=TRUE,Backdoors!BI29=TRUE),VLOOKUP(Calculator!E23,tbSkills!DH3:DJ6,3,FALSE),0),0)))/100)),1))*IF(VLOOKUP(A18,tbMoveset!A2:K112,11,FALSE)=TRUE,Backdoors!AC5,1))*GC18,0),"")</f>
        <v>0</v>
      </c>
      <c r="GG18" s="49">
        <f>VLOOKUP(A18,tbMoveset!A2:G112,7,FALSE)*IFERROR(IF(Backdoors!AI12&gt;=0,1+(IF(Calculator!E40&gt;0,VLOOKUP(Calculator!E40,tbSkills!AI3:AJ5,2,FALSE),Backdoors!AL4)*(IF((Backdoors!AI12+IF(GB18&gt;=0.45,VLOOKUP(Calculator!E23,tbSkills!DH3:DI6,2,FALSE)+IF(AND(Calculator!B8=TRUE,Backdoors!BI29=TRUE),VLOOKUP(Calculator!E23,tbSkills!DH3:DJ6,3,FALSE),0),0))&gt;=100,100,(Backdoors!AI12+IF(GB18&gt;=0.45,VLOOKUP(Calculator!E23,tbSkills!DH3:DI6,2,FALSE)+IF(AND(Calculator!B8=TRUE,Backdoors!BI29=TRUE),VLOOKUP(Calculator!E23,tbSkills!DH3:DJ6,3,FALSE),0),0)))/100)),1),1)</f>
        <v>0.5</v>
      </c>
      <c r="GH18" s="87">
        <f t="shared" si="19"/>
        <v>0</v>
      </c>
      <c r="GI18" s="86" t="str">
        <f>IFERROR(IF(VLOOKUP(A18,tbMoveset!A2:B112,2,FALSE)="Sever",Backdoors!AY30/100,IF(VLOOKUP(A18,tbMoveset!A2:B112,2,FALSE)="Blunt",Backdoors!AZ30/100,Backdoors!BA30/100)),"")</f>
        <v/>
      </c>
      <c r="GJ18" s="49">
        <f>IFERROR(IF(VLOOKUP(tbMoveset!A18,tbMoveset!A2:H112,8,FALSE)="Other",IF(VLOOKUP(tbMoveset!A18,tbMoveset!A2:I112,9,FALSE)="Fire",Backdoors!BB30,IF(VLOOKUP(tbMoveset!A18,tbMoveset!A2:I112,9,FALSE)="Water",Backdoors!BC30,IF(VLOOKUP(tbMoveset!A18,tbMoveset!A2:I112,9,FALSE)="Thunder",Backdoors!BD30,IF(VLOOKUP(tbMoveset!A18,tbMoveset!A2:I112,9,FALSE)="Ice",Backdoors!BE30,IF(VLOOKUP(tbMoveset!A18,tbMoveset!A2:I112,9,FALSE)="Dragon",Backdoors!BF30,Backdoors!BG30)))))/100,Backdoors!BG30/100),"")</f>
        <v>0</v>
      </c>
      <c r="GK18" s="49">
        <f>IFERROR(IF(VLOOKUP(A18,tbMoveset!A2:J112,10,FALSE)=TRUE,IF((Backdoors!AI12+IF(GI18&gt;=0.45,VLOOKUP(Calculator!E23,tbSkills!DH3:DI6,2,FALSE)+IF(AND(Calculator!B8=TRUE,Backdoors!BI30=TRUE),VLOOKUP(Calculator!E23,tbSkills!DH3:DJ6,3,FALSE),0),0))&gt;=0,1+(Backdoors!AL2*(IF((Backdoors!AI12+IF(GI18&gt;=0.45,VLOOKUP(Calculator!E23,tbSkills!DH3:DI6,2,FALSE)+IF(AND(Calculator!B8=TRUE,Backdoors!BI30=TRUE),VLOOKUP(Calculator!E23,tbSkills!DH3:DJ6,3,FALSE),0),0))&gt;=100,100,(Backdoors!AI12+IF(GI18&gt;=0.45,VLOOKUP(Calculator!E23,tbSkills!DH3:DI6,2,FALSE)+IF(AND(Calculator!B8=TRUE,Backdoors!BI30=TRUE),VLOOKUP(Calculator!E23,tbSkills!DH3:DJ6,3,FALSE),0),0)))/100)),(1-(0.25*((-Backdoors!AI12-IF(GI18&gt;=0.45,VLOOKUP(Calculator!E23,tbSkills!DH3:DI6,2,FALSE)+IF(AND(Calculator!B8=TRUE,Backdoors!BI30=TRUE),VLOOKUP(Calculator!E23,tbSkills!DH3:DJ6,3,FALSE),0),0))/100)))),1),"")</f>
        <v>1</v>
      </c>
      <c r="GL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I18)*GK18)*(VLOOKUP(A18,tbMoveset!A2:C112,3,FALSE)/100)*IF(VLOOKUP(A18,tbMoveset!A2:B112,2,FALSE)="Projectile",Backdoors!N10,Backdoors!N9),0),"")</f>
        <v/>
      </c>
      <c r="GM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I18&gt;=0.45,VLOOKUP(Calculator!E23,tbSkills!DH3:DI6,2,FALSE)+IF(AND(Calculator!B8=TRUE,Backdoors!BI30=TRUE),VLOOKUP(Calculator!E23,tbSkills!DH3:DJ6,3,FALSE),0),0))&gt;=100,100,(Backdoors!AI12+IF(GI18&gt;=0.45,VLOOKUP(Calculator!E23,tbSkills!DH3:DI6,2,FALSE)+IF(AND(Calculator!B8=TRUE,Backdoors!BI30=TRUE),VLOOKUP(Calculator!E23,tbSkills!DH3:DJ6,3,FALSE),0),0)))/100)),1))*IF(VLOOKUP(A18,tbMoveset!A2:K112,11,FALSE)=TRUE,Backdoors!AC5,1))*GJ18,0),"")</f>
        <v>0</v>
      </c>
      <c r="GN18" s="49">
        <f>VLOOKUP(A18,tbMoveset!A2:G112,7,FALSE)*IFERROR(IF(Backdoors!AI12&gt;=0,1+(IF(Calculator!E40&gt;0,VLOOKUP(Calculator!E40,tbSkills!AI3:AJ5,2,FALSE),Backdoors!AL4)*(IF((Backdoors!AI12+IF(GI18&gt;=0.45,VLOOKUP(Calculator!E23,tbSkills!DH3:DI6,2,FALSE)+IF(AND(Calculator!B8=TRUE,Backdoors!BI30=TRUE),VLOOKUP(Calculator!E23,tbSkills!DH3:DJ6,3,FALSE),0),0))&gt;=100,100,(Backdoors!AI12+IF(GI18&gt;=0.45,VLOOKUP(Calculator!E23,tbSkills!DH3:DI6,2,FALSE)+IF(AND(Calculator!B8=TRUE,Backdoors!BI30=TRUE),VLOOKUP(Calculator!E23,tbSkills!DH3:DJ6,3,FALSE),0),0)))/100)),1),1)</f>
        <v>0.5</v>
      </c>
      <c r="GO18" s="87">
        <f t="shared" si="20"/>
        <v>0</v>
      </c>
      <c r="GP18" s="86" t="str">
        <f>IFERROR(IF(VLOOKUP(A18,tbMoveset!A2:B112,2,FALSE)="Sever",Backdoors!AY31/100,IF(VLOOKUP(A18,tbMoveset!A2:B112,2,FALSE)="Blunt",Backdoors!AZ31/100,Backdoors!BA31/100)),"")</f>
        <v/>
      </c>
      <c r="GQ18" s="49">
        <f>IFERROR(IF(VLOOKUP(tbMoveset!A18,tbMoveset!A2:H112,8,FALSE)="Other",IF(VLOOKUP(tbMoveset!A18,tbMoveset!A2:I112,9,FALSE)="Fire",Backdoors!BB31,IF(VLOOKUP(tbMoveset!A18,tbMoveset!A2:I112,9,FALSE)="Water",Backdoors!BC31,IF(VLOOKUP(tbMoveset!A18,tbMoveset!A2:I112,9,FALSE)="Thunder",Backdoors!BD31,IF(VLOOKUP(tbMoveset!A18,tbMoveset!A2:I112,9,FALSE)="Ice",Backdoors!BE31,IF(VLOOKUP(tbMoveset!A18,tbMoveset!A2:I112,9,FALSE)="Dragon",Backdoors!BF31,Backdoors!BG31)))))/100,Backdoors!BG31/100),"")</f>
        <v>0</v>
      </c>
      <c r="GR18" s="49">
        <f>IFERROR(IF(VLOOKUP(A18,tbMoveset!A2:J112,10,FALSE)=TRUE,IF((Backdoors!AI12+IF(GP18&gt;=0.45,VLOOKUP(Calculator!E23,tbSkills!DH3:DI6,2,FALSE)+IF(AND(Calculator!B8=TRUE,Backdoors!BI31=TRUE),VLOOKUP(Calculator!E23,tbSkills!DH3:DJ6,3,FALSE),0),0))&gt;=0,1+(Backdoors!AL2*(IF((Backdoors!AI12+IF(GP18&gt;=0.45,VLOOKUP(Calculator!E23,tbSkills!DH3:DI6,2,FALSE)+IF(AND(Calculator!B8=TRUE,Backdoors!BI31=TRUE),VLOOKUP(Calculator!E23,tbSkills!DH3:DJ6,3,FALSE),0),0))&gt;=100,100,(Backdoors!AI12+IF(GP18&gt;=0.45,VLOOKUP(Calculator!E23,tbSkills!DH3:DI6,2,FALSE)+IF(AND(Calculator!B8=TRUE,Backdoors!BI31=TRUE),VLOOKUP(Calculator!E23,tbSkills!DH3:DJ6,3,FALSE),0),0)))/100)),(1-(0.25*((-Backdoors!AI12-IF(GP18&gt;=0.45,VLOOKUP(Calculator!E23,tbSkills!DH3:DI6,2,FALSE)+IF(AND(Calculator!B8=TRUE,Backdoors!BI31=TRUE),VLOOKUP(Calculator!E23,tbSkills!DH3:DJ6,3,FALSE),0),0))/100)))),1),"")</f>
        <v>1</v>
      </c>
      <c r="GS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P18)*GR18)*(VLOOKUP(A18,tbMoveset!A2:C112,3,FALSE)/100)*IF(VLOOKUP(A18,tbMoveset!A2:B112,2,FALSE)="Projectile",Backdoors!N10,Backdoors!N9),0),"")</f>
        <v/>
      </c>
      <c r="GT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P18&gt;=0.45,VLOOKUP(Calculator!E23,tbSkills!DH3:DI6,2,FALSE)+IF(AND(Calculator!B8=TRUE,Backdoors!BI31=TRUE),VLOOKUP(Calculator!E23,tbSkills!DH3:DJ6,3,FALSE),0),0))&gt;=100,100,(Backdoors!AI12+IF(GP18&gt;=0.45,VLOOKUP(Calculator!E23,tbSkills!DH3:DI6,2,FALSE)+IF(AND(Calculator!B8=TRUE,Backdoors!BI31=TRUE),VLOOKUP(Calculator!E23,tbSkills!DH3:DJ6,3,FALSE),0),0)))/100)),1))*IF(VLOOKUP(A18,tbMoveset!A2:K112,11,FALSE)=TRUE,Backdoors!AC5,1))*GQ18,0),"")</f>
        <v>0</v>
      </c>
      <c r="GU18" s="49">
        <f>VLOOKUP(A18,tbMoveset!A2:G112,7,FALSE)*IFERROR(IF(Backdoors!AI12&gt;=0,1+(IF(Calculator!E40&gt;0,VLOOKUP(Calculator!E40,tbSkills!AI3:AJ5,2,FALSE),Backdoors!AL4)*(IF((Backdoors!AI12+IF(GP18&gt;=0.45,VLOOKUP(Calculator!E23,tbSkills!DH3:DI6,2,FALSE)+IF(AND(Calculator!B8=TRUE,Backdoors!BI31=TRUE),VLOOKUP(Calculator!E23,tbSkills!DH3:DJ6,3,FALSE),0),0))&gt;=100,100,(Backdoors!AI12+IF(GP18&gt;=0.45,VLOOKUP(Calculator!E23,tbSkills!DH3:DI6,2,FALSE)+IF(AND(Calculator!B8=TRUE,Backdoors!BI31=TRUE),VLOOKUP(Calculator!E23,tbSkills!DH3:DJ6,3,FALSE),0),0)))/100)),1),1)</f>
        <v>0.5</v>
      </c>
      <c r="GV18" s="87">
        <f t="shared" si="21"/>
        <v>0</v>
      </c>
      <c r="GW18" s="86" t="str">
        <f>IFERROR(IF(VLOOKUP(A18,tbMoveset!A2:B112,2,FALSE)="Sever",Backdoors!AY32/100,IF(VLOOKUP(A18,tbMoveset!A2:B112,2,FALSE)="Blunt",Backdoors!AZ32/100,Backdoors!BA32/100)),"")</f>
        <v/>
      </c>
      <c r="GX18" s="49">
        <f>IFERROR(IF(VLOOKUP(tbMoveset!A18,tbMoveset!A2:H112,8,FALSE)="Other",IF(VLOOKUP(tbMoveset!A18,tbMoveset!A2:I112,9,FALSE)="Fire",Backdoors!BB32,IF(VLOOKUP(tbMoveset!A18,tbMoveset!A2:I112,9,FALSE)="Water",Backdoors!BC32,IF(VLOOKUP(tbMoveset!A18,tbMoveset!A2:I112,9,FALSE)="Thunder",Backdoors!BD32,IF(VLOOKUP(tbMoveset!A18,tbMoveset!A2:I112,9,FALSE)="Ice",Backdoors!BE32,IF(VLOOKUP(tbMoveset!A18,tbMoveset!A2:I112,9,FALSE)="Dragon",Backdoors!BF32,Backdoors!BG32)))))/100,Backdoors!BG32/100),"")</f>
        <v>0</v>
      </c>
      <c r="GY18" s="49">
        <f>IFERROR(IF(VLOOKUP(A18,tbMoveset!A2:J112,10,FALSE)=TRUE,IF((Backdoors!AI12+IF(GW18&gt;=0.45,VLOOKUP(Calculator!E23,tbSkills!DH3:DI6,2,FALSE)+IF(AND(Calculator!B8=TRUE,Backdoors!BI32=TRUE),VLOOKUP(Calculator!E23,tbSkills!DH3:DJ6,3,FALSE),0),0))&gt;=0,1+(Backdoors!AL2*(IF((Backdoors!AI12+IF(GW18&gt;=0.45,VLOOKUP(Calculator!E23,tbSkills!DH3:DI6,2,FALSE)+IF(AND(Calculator!B8=TRUE,Backdoors!BI32=TRUE),VLOOKUP(Calculator!E23,tbSkills!DH3:DJ6,3,FALSE),0),0))&gt;=100,100,(Backdoors!AI12+IF(GW18&gt;=0.45,VLOOKUP(Calculator!E23,tbSkills!DH3:DI6,2,FALSE)+IF(AND(Calculator!B8=TRUE,Backdoors!BI32=TRUE),VLOOKUP(Calculator!E23,tbSkills!DH3:DJ6,3,FALSE),0),0)))/100)),(1-(0.25*((-Backdoors!AI12-IF(GW18&gt;=0.45,VLOOKUP(Calculator!E23,tbSkills!DH3:DI6,2,FALSE)+IF(AND(Calculator!B8=TRUE,Backdoors!BI32=TRUE),VLOOKUP(Calculator!E23,tbSkills!DH3:DJ6,3,FALSE),0),0))/100)))),1),"")</f>
        <v>1</v>
      </c>
      <c r="GZ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W18)*GY18)*(VLOOKUP(A18,tbMoveset!A2:C112,3,FALSE)/100)*IF(VLOOKUP(A18,tbMoveset!A2:B112,2,FALSE)="Projectile",Backdoors!N10,Backdoors!N9),0),"")</f>
        <v/>
      </c>
      <c r="HA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W18&gt;=0.45,VLOOKUP(Calculator!E23,tbSkills!DH3:DI6,2,FALSE)+IF(AND(Calculator!B8=TRUE,Backdoors!BI32=TRUE),VLOOKUP(Calculator!E23,tbSkills!DH3:DJ6,3,FALSE),0),0))&gt;=100,100,(Backdoors!AI12+IF(GW18&gt;=0.45,VLOOKUP(Calculator!E23,tbSkills!DH3:DI6,2,FALSE)+IF(AND(Calculator!B8=TRUE,Backdoors!BI32=TRUE),VLOOKUP(Calculator!E23,tbSkills!DH3:DJ6,3,FALSE),0),0)))/100)),1))*IF(VLOOKUP(A18,tbMoveset!A2:K112,11,FALSE)=TRUE,Backdoors!AC5,1))*GX18,0),"")</f>
        <v>0</v>
      </c>
      <c r="HB18" s="49">
        <f>VLOOKUP(A18,tbMoveset!A2:G112,7,FALSE)*IFERROR(IF(Backdoors!AI12&gt;=0,1+(IF(Calculator!E40&gt;0,VLOOKUP(Calculator!E40,tbSkills!AI3:AJ5,2,FALSE),Backdoors!AL4)*(IF((Backdoors!AI12+IF(GW18&gt;=0.45,VLOOKUP(Calculator!E23,tbSkills!DH3:DI6,2,FALSE)+IF(AND(Calculator!B8=TRUE,Backdoors!BI32=TRUE),VLOOKUP(Calculator!E23,tbSkills!DH3:DJ6,3,FALSE),0),0))&gt;=100,100,(Backdoors!AI12+IF(GW18&gt;=0.45,VLOOKUP(Calculator!E23,tbSkills!DH3:DI6,2,FALSE)+IF(AND(Calculator!B8=TRUE,Backdoors!BI32=TRUE),VLOOKUP(Calculator!E23,tbSkills!DH3:DJ6,3,FALSE),0),0)))/100)),1),1)</f>
        <v>0.5</v>
      </c>
      <c r="HC18" s="87">
        <f t="shared" si="22"/>
        <v>0</v>
      </c>
      <c r="HD18" s="86" t="str">
        <f>IFERROR(IF(VLOOKUP(A18,tbMoveset!A2:B112,2,FALSE)="Sever",Backdoors!AY33/100,IF(VLOOKUP(A18,tbMoveset!A2:B112,2,FALSE)="Blunt",Backdoors!AZ33/100,Backdoors!BA33/100)),"")</f>
        <v/>
      </c>
      <c r="HE18" s="49">
        <f>IFERROR(IF(VLOOKUP(tbMoveset!A18,tbMoveset!A2:H112,8,FALSE)="Other",IF(VLOOKUP(tbMoveset!A18,tbMoveset!A2:I112,9,FALSE)="Fire",Backdoors!BB33,IF(VLOOKUP(tbMoveset!A18,tbMoveset!A2:I112,9,FALSE)="Water",Backdoors!BC33,IF(VLOOKUP(tbMoveset!A18,tbMoveset!A2:I112,9,FALSE)="Thunder",Backdoors!BD33,IF(VLOOKUP(tbMoveset!A18,tbMoveset!A2:I112,9,FALSE)="Ice",Backdoors!BE33,IF(VLOOKUP(tbMoveset!A18,tbMoveset!A2:I112,9,FALSE)="Dragon",Backdoors!BF33,Backdoors!BG33)))))/100,Backdoors!BG33/100),"")</f>
        <v>0</v>
      </c>
      <c r="HF18" s="49">
        <f>IFERROR(IF(VLOOKUP(A18,tbMoveset!A2:J112,10,FALSE)=TRUE,IF((Backdoors!AI12+IF(HD18&gt;=0.45,VLOOKUP(Calculator!E23,tbSkills!DH3:DI6,2,FALSE)+IF(AND(Calculator!B8=TRUE,Backdoors!BI33=TRUE),VLOOKUP(Calculator!E23,tbSkills!DH3:DJ6,3,FALSE),0),0))&gt;=0,1+(Backdoors!AL2*(IF((Backdoors!AI12+IF(HD18&gt;=0.45,VLOOKUP(Calculator!E23,tbSkills!DH3:DI6,2,FALSE)+IF(AND(Calculator!B8=TRUE,Backdoors!BI33=TRUE),VLOOKUP(Calculator!E23,tbSkills!DH3:DJ6,3,FALSE),0),0))&gt;=100,100,(Backdoors!AI12+IF(HD18&gt;=0.45,VLOOKUP(Calculator!E23,tbSkills!DH3:DI6,2,FALSE)+IF(AND(Calculator!B8=TRUE,Backdoors!BI33=TRUE),VLOOKUP(Calculator!E23,tbSkills!DH3:DJ6,3,FALSE),0),0)))/100)),(1-(0.25*((-Backdoors!AI12-IF(HD18&gt;=0.45,VLOOKUP(Calculator!E23,tbSkills!DH3:DI6,2,FALSE)+IF(AND(Calculator!B8=TRUE,Backdoors!BI33=TRUE),VLOOKUP(Calculator!E23,tbSkills!DH3:DJ6,3,FALSE),0),0))/100)))),1),"")</f>
        <v>1</v>
      </c>
      <c r="HG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D18)*HF18)*(VLOOKUP(A18,tbMoveset!A2:C112,3,FALSE)/100)*IF(VLOOKUP(A18,tbMoveset!A2:B112,2,FALSE)="Projectile",Backdoors!N10,Backdoors!N9),0),"")</f>
        <v/>
      </c>
      <c r="HH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D18&gt;=0.45,VLOOKUP(Calculator!E23,tbSkills!DH3:DI6,2,FALSE)+IF(AND(Calculator!B8=TRUE,Backdoors!BI33=TRUE),VLOOKUP(Calculator!E23,tbSkills!DH3:DJ6,3,FALSE),0),0))&gt;=100,100,(Backdoors!AI12+IF(HD18&gt;=0.45,VLOOKUP(Calculator!E23,tbSkills!DH3:DI6,2,FALSE)+IF(AND(Calculator!B8=TRUE,Backdoors!BI33=TRUE),VLOOKUP(Calculator!E23,tbSkills!DH3:DJ6,3,FALSE),0),0)))/100)),1))*IF(VLOOKUP(A18,tbMoveset!A2:K112,11,FALSE)=TRUE,Backdoors!AC5,1))*HE18,0),"")</f>
        <v>0</v>
      </c>
      <c r="HI18" s="49">
        <f>VLOOKUP(A18,tbMoveset!A2:G112,7,FALSE)*IFERROR(IF(Backdoors!AI12&gt;=0,1+(IF(Calculator!E40&gt;0,VLOOKUP(Calculator!E40,tbSkills!AI3:AJ5,2,FALSE),Backdoors!AL4)*(IF((Backdoors!AI12+IF(HD18&gt;=0.45,VLOOKUP(Calculator!E23,tbSkills!DH3:DI6,2,FALSE)+IF(AND(Calculator!B8=TRUE,Backdoors!BI33=TRUE),VLOOKUP(Calculator!E23,tbSkills!DH3:DJ6,3,FALSE),0),0))&gt;=100,100,(Backdoors!AI12+IF(HD18&gt;=0.45,VLOOKUP(Calculator!E23,tbSkills!DH3:DI6,2,FALSE)+IF(AND(Calculator!B8=TRUE,Backdoors!BI33=TRUE),VLOOKUP(Calculator!E23,tbSkills!DH3:DJ6,3,FALSE),0),0)))/100)),1),1)</f>
        <v>0.5</v>
      </c>
      <c r="HJ18" s="87">
        <f t="shared" si="23"/>
        <v>0</v>
      </c>
      <c r="HK18" s="86" t="str">
        <f>IFERROR(IF(VLOOKUP(A18,tbMoveset!A2:B112,2,FALSE)="Sever",Backdoors!AY34/100,IF(VLOOKUP(A18,tbMoveset!A2:B112,2,FALSE)="Blunt",Backdoors!AZ34/100,Backdoors!BA34/100)),"")</f>
        <v/>
      </c>
      <c r="HL18" s="49">
        <f>IFERROR(IF(VLOOKUP(tbMoveset!A18,tbMoveset!A2:H112,8,FALSE)="Other",IF(VLOOKUP(tbMoveset!A18,tbMoveset!A2:I112,9,FALSE)="Fire",Backdoors!BB34,IF(VLOOKUP(tbMoveset!A18,tbMoveset!A2:I112,9,FALSE)="Water",Backdoors!BC34,IF(VLOOKUP(tbMoveset!A18,tbMoveset!A2:I112,9,FALSE)="Thunder",Backdoors!BD34,IF(VLOOKUP(tbMoveset!A18,tbMoveset!A2:I112,9,FALSE)="Ice",Backdoors!BE34,IF(VLOOKUP(tbMoveset!A18,tbMoveset!A2:I112,9,FALSE)="Dragon",Backdoors!BF34,Backdoors!BG34)))))/100,Backdoors!BG34/100),"")</f>
        <v>0</v>
      </c>
      <c r="HM18" s="49">
        <f>IFERROR(IF(VLOOKUP(A18,tbMoveset!A2:J112,10,FALSE)=TRUE,IF((Backdoors!AI12+IF(HK18&gt;=0.45,VLOOKUP(Calculator!E23,tbSkills!DH3:DI6,2,FALSE)+IF(AND(Calculator!B8=TRUE,Backdoors!BI34=TRUE),VLOOKUP(Calculator!E23,tbSkills!DH3:DJ6,3,FALSE),0),0))&gt;=0,1+(Backdoors!AL2*(IF((Backdoors!AI12+IF(HK18&gt;=0.45,VLOOKUP(Calculator!E23,tbSkills!DH3:DI6,2,FALSE)+IF(AND(Calculator!B8=TRUE,Backdoors!BI34=TRUE),VLOOKUP(Calculator!E23,tbSkills!DH3:DJ6,3,FALSE),0),0))&gt;=100,100,(Backdoors!AI12+IF(HK18&gt;=0.45,VLOOKUP(Calculator!E23,tbSkills!DH3:DI6,2,FALSE)+IF(AND(Calculator!B8=TRUE,Backdoors!BI34=TRUE),VLOOKUP(Calculator!E23,tbSkills!DH3:DJ6,3,FALSE),0),0)))/100)),(1-(0.25*((-Backdoors!AI12-IF(HK18&gt;=0.45,VLOOKUP(Calculator!E23,tbSkills!DH3:DI6,2,FALSE)+IF(AND(Calculator!B8=TRUE,Backdoors!BI34=TRUE),VLOOKUP(Calculator!E23,tbSkills!DH3:DJ6,3,FALSE),0),0))/100)))),1),"")</f>
        <v>1</v>
      </c>
      <c r="HN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K18)*HM18)*(VLOOKUP(A18,tbMoveset!A2:C112,3,FALSE)/100)*IF(VLOOKUP(A18,tbMoveset!A2:B112,2,FALSE)="Projectile",Backdoors!N10,Backdoors!N9),0),"")</f>
        <v/>
      </c>
      <c r="HO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K18&gt;=0.45,VLOOKUP(Calculator!E23,tbSkills!DH3:DI6,2,FALSE)+IF(AND(Calculator!B8=TRUE,Backdoors!BI34=TRUE),VLOOKUP(Calculator!E23,tbSkills!DH3:DJ6,3,FALSE),0),0))&gt;=100,100,(Backdoors!AI12+IF(HK18&gt;=0.45,VLOOKUP(Calculator!E23,tbSkills!DH3:DI6,2,FALSE)+IF(AND(Calculator!B8=TRUE,Backdoors!BI34=TRUE),VLOOKUP(Calculator!E23,tbSkills!DH3:DJ6,3,FALSE),0),0)))/100)),1))*IF(VLOOKUP(A18,tbMoveset!A2:K112,11,FALSE)=TRUE,Backdoors!AC5,1))*HL18,0),"")</f>
        <v>0</v>
      </c>
      <c r="HP18" s="49">
        <f>VLOOKUP(A18,tbMoveset!A2:G112,7,FALSE)*IFERROR(IF(Backdoors!AI12&gt;=0,1+(IF(Calculator!E40&gt;0,VLOOKUP(Calculator!E40,tbSkills!AI3:AJ5,2,FALSE),Backdoors!AL4)*(IF((Backdoors!AI12+IF(HK18&gt;=0.45,VLOOKUP(Calculator!E23,tbSkills!DH3:DI6,2,FALSE)+IF(AND(Calculator!B8=TRUE,Backdoors!BI34=TRUE),VLOOKUP(Calculator!E23,tbSkills!DH3:DJ6,3,FALSE),0),0))&gt;=100,100,(Backdoors!AI12+IF(HK18&gt;=0.45,VLOOKUP(Calculator!E23,tbSkills!DH3:DI6,2,FALSE)+IF(AND(Calculator!B8=TRUE,Backdoors!BI34=TRUE),VLOOKUP(Calculator!E23,tbSkills!DH3:DJ6,3,FALSE),0),0)))/100)),1),1)</f>
        <v>0.5</v>
      </c>
      <c r="HQ18" s="87">
        <f t="shared" si="24"/>
        <v>0</v>
      </c>
      <c r="HR18" s="86" t="str">
        <f>IFERROR(IF(VLOOKUP(A18,tbMoveset!A2:B112,2,FALSE)="Sever",Backdoors!AY35/100,IF(VLOOKUP(A18,tbMoveset!A2:B112,2,FALSE)="Blunt",Backdoors!AZ35/100,Backdoors!BA35/100)),"")</f>
        <v/>
      </c>
      <c r="HS18" s="49">
        <f>IFERROR(IF(VLOOKUP(tbMoveset!A18,tbMoveset!A2:H112,8,FALSE)="Other",IF(VLOOKUP(tbMoveset!A18,tbMoveset!A2:I112,9,FALSE)="Fire",Backdoors!BB35,IF(VLOOKUP(tbMoveset!A18,tbMoveset!A2:I112,9,FALSE)="Water",Backdoors!BC35,IF(VLOOKUP(tbMoveset!A18,tbMoveset!A2:I112,9,FALSE)="Thunder",Backdoors!BD35,IF(VLOOKUP(tbMoveset!A18,tbMoveset!A2:I112,9,FALSE)="Ice",Backdoors!BE35,IF(VLOOKUP(tbMoveset!A18,tbMoveset!A2:I112,9,FALSE)="Dragon",Backdoors!BF35,Backdoors!BG35)))))/100,Backdoors!BG35/100),"")</f>
        <v>0</v>
      </c>
      <c r="HT18" s="49">
        <f>IFERROR(IF(VLOOKUP(A18,tbMoveset!A2:J112,10,FALSE)=TRUE,IF((Backdoors!AI12+IF(HR18&gt;=0.45,VLOOKUP(Calculator!E23,tbSkills!DH3:DI6,2,FALSE)+IF(AND(Calculator!B8=TRUE,Backdoors!BI35=TRUE),VLOOKUP(Calculator!E23,tbSkills!DH3:DJ6,3,FALSE),0),0))&gt;=0,1+(Backdoors!AL2*(IF((Backdoors!AI12+IF(HR18&gt;=0.45,VLOOKUP(Calculator!E23,tbSkills!DH3:DI6,2,FALSE)+IF(AND(Calculator!B8=TRUE,Backdoors!BI35=TRUE),VLOOKUP(Calculator!E23,tbSkills!DH3:DJ6,3,FALSE),0),0))&gt;=100,100,(Backdoors!AI12+IF(HR18&gt;=0.45,VLOOKUP(Calculator!E23,tbSkills!DH3:DI6,2,FALSE)+IF(AND(Calculator!B8=TRUE,Backdoors!BI35=TRUE),VLOOKUP(Calculator!E23,tbSkills!DH3:DJ6,3,FALSE),0),0)))/100)),(1-(0.25*((-Backdoors!AI12-IF(HR18&gt;=0.45,VLOOKUP(Calculator!E23,tbSkills!DH3:DI6,2,FALSE)+IF(AND(Calculator!B8=TRUE,Backdoors!BI35=TRUE),VLOOKUP(Calculator!E23,tbSkills!DH3:DJ6,3,FALSE),0),0))/100)))),1),"")</f>
        <v>1</v>
      </c>
      <c r="HU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R18)*HT18)*(VLOOKUP(A18,tbMoveset!A2:C112,3,FALSE)/100)*IF(VLOOKUP(A18,tbMoveset!A2:B112,2,FALSE)="Projectile",Backdoors!N10,Backdoors!N9),0),"")</f>
        <v/>
      </c>
      <c r="HV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R18&gt;=0.45,VLOOKUP(Calculator!E23,tbSkills!DH3:DI6,2,FALSE)+IF(AND(Calculator!B8=TRUE,Backdoors!BI35=TRUE),VLOOKUP(Calculator!E23,tbSkills!DH3:DJ6,3,FALSE),0),0))&gt;=100,100,(Backdoors!AI12+IF(HR18&gt;=0.45,VLOOKUP(Calculator!E23,tbSkills!DH3:DI6,2,FALSE)+IF(AND(Calculator!B8=TRUE,Backdoors!BI35=TRUE),VLOOKUP(Calculator!E23,tbSkills!DH3:DJ6,3,FALSE),0),0)))/100)),1))*IF(VLOOKUP(A18,tbMoveset!A2:K112,11,FALSE)=TRUE,Backdoors!AC5,1))*HS18,0),"")</f>
        <v>0</v>
      </c>
      <c r="HW18" s="49">
        <f>VLOOKUP(A18,tbMoveset!A2:G112,7,FALSE)*IFERROR(IF(Backdoors!AI12&gt;=0,1+(IF(Calculator!E40&gt;0,VLOOKUP(Calculator!E40,tbSkills!AI3:AJ5,2,FALSE),Backdoors!AL4)*(IF((Backdoors!AI12+IF(HR18&gt;=0.45,VLOOKUP(Calculator!E23,tbSkills!DH3:DI6,2,FALSE)+IF(AND(Calculator!B8=TRUE,Backdoors!BI35=TRUE),VLOOKUP(Calculator!E23,tbSkills!DH3:DJ6,3,FALSE),0),0))&gt;=100,100,(Backdoors!AI12+IF(HR18&gt;=0.45,VLOOKUP(Calculator!E23,tbSkills!DH3:DI6,2,FALSE)+IF(AND(Calculator!B8=TRUE,Backdoors!BI35=TRUE),VLOOKUP(Calculator!E23,tbSkills!DH3:DJ6,3,FALSE),0),0)))/100)),1),1)</f>
        <v>0.5</v>
      </c>
      <c r="HX18" s="87">
        <f t="shared" si="25"/>
        <v>0</v>
      </c>
      <c r="HY18" s="86" t="str">
        <f>IFERROR(IF(VLOOKUP(A18,tbMoveset!A2:B112,2,FALSE)="Sever",Backdoors!AY36/100,IF(VLOOKUP(A18,tbMoveset!A2:B112,2,FALSE)="Blunt",Backdoors!AZ36/100,Backdoors!BA36/100)),"")</f>
        <v/>
      </c>
      <c r="HZ18" s="49">
        <f>IFERROR(IF(VLOOKUP(tbMoveset!A18,tbMoveset!A2:H112,8,FALSE)="Other",IF(VLOOKUP(tbMoveset!A18,tbMoveset!A2:I112,9,FALSE)="Fire",Backdoors!BB36,IF(VLOOKUP(tbMoveset!A18,tbMoveset!A2:I112,9,FALSE)="Water",Backdoors!BC36,IF(VLOOKUP(tbMoveset!A18,tbMoveset!A2:I112,9,FALSE)="Thunder",Backdoors!BD36,IF(VLOOKUP(tbMoveset!A18,tbMoveset!A2:I112,9,FALSE)="Ice",Backdoors!BE36,IF(VLOOKUP(tbMoveset!A18,tbMoveset!A2:I112,9,FALSE)="Dragon",Backdoors!BF36,Backdoors!BG36)))))/100,Backdoors!BG36/100),"")</f>
        <v>0</v>
      </c>
      <c r="IA18" s="49">
        <f>IFERROR(IF(VLOOKUP(A18,tbMoveset!A2:J112,10,FALSE)=TRUE,IF((Backdoors!AI12+IF(HY18&gt;=0.45,VLOOKUP(Calculator!E23,tbSkills!DH3:DI6,2,FALSE)+IF(AND(Calculator!B8=TRUE,Backdoors!BI36=TRUE),VLOOKUP(Calculator!E23,tbSkills!DH3:DJ6,3,FALSE),0),0))&gt;=0,1+(Backdoors!AL2*(IF((Backdoors!AI12+IF(HY18&gt;=0.45,VLOOKUP(Calculator!E23,tbSkills!DH3:DI6,2,FALSE)+IF(AND(Calculator!B8=TRUE,Backdoors!BI36=TRUE),VLOOKUP(Calculator!E23,tbSkills!DH3:DJ6,3,FALSE),0),0))&gt;=100,100,(Backdoors!AI12+IF(HY18&gt;=0.45,VLOOKUP(Calculator!E23,tbSkills!DH3:DI6,2,FALSE)+IF(AND(Calculator!B8=TRUE,Backdoors!BI36=TRUE),VLOOKUP(Calculator!E23,tbSkills!DH3:DJ6,3,FALSE),0),0)))/100)),(1-(0.25*((-Backdoors!AI12-IF(HY18&gt;=0.45,VLOOKUP(Calculator!E23,tbSkills!DH3:DI6,2,FALSE)+IF(AND(Calculator!B8=TRUE,Backdoors!BI36=TRUE),VLOOKUP(Calculator!E23,tbSkills!DH3:DJ6,3,FALSE),0),0))/100)))),1),"")</f>
        <v>1</v>
      </c>
      <c r="IB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Y18)*IA18)*(VLOOKUP(A18,tbMoveset!A2:C112,3,FALSE)/100)*IF(VLOOKUP(A18,tbMoveset!A2:B112,2,FALSE)="Projectile",Backdoors!N10,Backdoors!N9),0),"")</f>
        <v/>
      </c>
      <c r="IC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Y18&gt;=0.45,VLOOKUP(Calculator!E23,tbSkills!DH3:DI6,2,FALSE)+IF(AND(Calculator!B8=TRUE,Backdoors!BI36=TRUE),VLOOKUP(Calculator!E23,tbSkills!DH3:DJ6,3,FALSE),0),0))&gt;=100,100,(Backdoors!AI12+IF(HY18&gt;=0.45,VLOOKUP(Calculator!E23,tbSkills!DH3:DI6,2,FALSE)+IF(AND(Calculator!B8=TRUE,Backdoors!BI36=TRUE),VLOOKUP(Calculator!E23,tbSkills!DH3:DJ6,3,FALSE),0),0)))/100)),1))*IF(VLOOKUP(A18,tbMoveset!A2:K112,11,FALSE)=TRUE,Backdoors!AC5,1))*HZ18,0),"")</f>
        <v>0</v>
      </c>
      <c r="ID18" s="49">
        <f>VLOOKUP(A18,tbMoveset!A2:G112,7,FALSE)*IFERROR(IF(Backdoors!AI12&gt;=0,1+(IF(Calculator!E40&gt;0,VLOOKUP(Calculator!E40,tbSkills!AI3:AJ5,2,FALSE),Backdoors!AL4)*(IF((Backdoors!AI12+IF(HY18&gt;=0.45,VLOOKUP(Calculator!E23,tbSkills!DH3:DI6,2,FALSE)+IF(AND(Calculator!B8=TRUE,Backdoors!BI36=TRUE),VLOOKUP(Calculator!E23,tbSkills!DH3:DJ6,3,FALSE),0),0))&gt;=100,100,(Backdoors!AI12+IF(HY18&gt;=0.45,VLOOKUP(Calculator!E23,tbSkills!DH3:DI6,2,FALSE)+IF(AND(Calculator!B8=TRUE,Backdoors!BI36=TRUE),VLOOKUP(Calculator!E23,tbSkills!DH3:DJ6,3,FALSE),0),0)))/100)),1),1)</f>
        <v>0.5</v>
      </c>
      <c r="IE18" s="87">
        <f t="shared" si="26"/>
        <v>0</v>
      </c>
      <c r="IF18" s="86" t="str">
        <f>IFERROR(IF(VLOOKUP(A18,tbMoveset!A2:B112,2,FALSE)="Sever",Backdoors!AY37/100,IF(VLOOKUP(A18,tbMoveset!A2:B112,2,FALSE)="Blunt",Backdoors!AZ37/100,Backdoors!BA37/100)),"")</f>
        <v/>
      </c>
      <c r="IG18" s="49">
        <f>IFERROR(IF(VLOOKUP(tbMoveset!A18,tbMoveset!A2:H112,8,FALSE)="Other",IF(VLOOKUP(tbMoveset!A18,tbMoveset!A2:I112,9,FALSE)="Fire",Backdoors!BB37,IF(VLOOKUP(tbMoveset!A18,tbMoveset!A2:I112,9,FALSE)="Water",Backdoors!BC37,IF(VLOOKUP(tbMoveset!A18,tbMoveset!A2:I112,9,FALSE)="Thunder",Backdoors!BD37,IF(VLOOKUP(tbMoveset!A18,tbMoveset!A2:I112,9,FALSE)="Ice",Backdoors!BE37,IF(VLOOKUP(tbMoveset!A18,tbMoveset!A2:I112,9,FALSE)="Dragon",Backdoors!BF37,Backdoors!BG37)))))/100,Backdoors!BG37/100),"")</f>
        <v>0</v>
      </c>
      <c r="IH18" s="49">
        <f>IFERROR(IF(VLOOKUP(A18,tbMoveset!A2:J112,10,FALSE)=TRUE,IF((Backdoors!AI12+IF(IF18&gt;=0.45,VLOOKUP(Calculator!E23,tbSkills!DH3:DI6,2,FALSE)+IF(AND(Calculator!B8=TRUE,Backdoors!BI37=TRUE),VLOOKUP(Calculator!E23,tbSkills!DH3:DJ6,3,FALSE),0),0))&gt;=0,1+(Backdoors!AL2*(IF((Backdoors!AI12+IF(IF18&gt;=0.45,VLOOKUP(Calculator!E23,tbSkills!DH3:DI6,2,FALSE)+IF(AND(Calculator!B8=TRUE,Backdoors!BI37=TRUE),VLOOKUP(Calculator!E23,tbSkills!DH3:DJ6,3,FALSE),0),0))&gt;=100,100,(Backdoors!AI12+IF(IF18&gt;=0.45,VLOOKUP(Calculator!E23,tbSkills!DH3:DI6,2,FALSE)+IF(AND(Calculator!B8=TRUE,Backdoors!BI37=TRUE),VLOOKUP(Calculator!E23,tbSkills!DH3:DJ6,3,FALSE),0),0)))/100)),(1-(0.25*((-Backdoors!AI12-IF(IF18&gt;=0.45,VLOOKUP(Calculator!E23,tbSkills!DH3:DI6,2,FALSE)+IF(AND(Calculator!B8=TRUE,Backdoors!BI37=TRUE),VLOOKUP(Calculator!E23,tbSkills!DH3:DJ6,3,FALSE),0),0))/100)))),1),"")</f>
        <v>1</v>
      </c>
      <c r="II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F18)*IH18)*(VLOOKUP(A18,tbMoveset!A2:C112,3,FALSE)/100)*IF(VLOOKUP(A18,tbMoveset!A2:B112,2,FALSE)="Projectile",Backdoors!N10,Backdoors!N9),0),"")</f>
        <v/>
      </c>
      <c r="IJ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IF18&gt;=0.45,VLOOKUP(Calculator!E23,tbSkills!DH3:DI6,2,FALSE)+IF(AND(Calculator!B8=TRUE,Backdoors!BI37=TRUE),VLOOKUP(Calculator!E23,tbSkills!DH3:DJ6,3,FALSE),0),0))&gt;=100,100,(Backdoors!AI12+IF(IF18&gt;=0.45,VLOOKUP(Calculator!E23,tbSkills!DH3:DI6,2,FALSE)+IF(AND(Calculator!B8=TRUE,Backdoors!BI37=TRUE),VLOOKUP(Calculator!E23,tbSkills!DH3:DJ6,3,FALSE),0),0)))/100)),1))*IF(VLOOKUP(A18,tbMoveset!A2:K112,11,FALSE)=TRUE,Backdoors!AC5,1))*IG18,0),"")</f>
        <v>0</v>
      </c>
      <c r="IK18" s="49">
        <f>VLOOKUP(A18,tbMoveset!A2:G112,7,FALSE)*IFERROR(IF(Backdoors!AI12&gt;=0,1+(IF(Calculator!E40&gt;0,VLOOKUP(Calculator!E40,tbSkills!AI3:AJ5,2,FALSE),Backdoors!AL4)*(IF((Backdoors!AI12+IF(IF18&gt;=0.45,VLOOKUP(Calculator!E23,tbSkills!DH3:DI6,2,FALSE)+IF(AND(Calculator!B8=TRUE,Backdoors!BI37=TRUE),VLOOKUP(Calculator!E23,tbSkills!DH3:DJ6,3,FALSE),0),0))&gt;=100,100,(Backdoors!AI12+IF(IF18&gt;=0.45,VLOOKUP(Calculator!E23,tbSkills!DH3:DI6,2,FALSE)+IF(AND(Calculator!B8=TRUE,Backdoors!BI37=TRUE),VLOOKUP(Calculator!E23,tbSkills!DH3:DJ6,3,FALSE),0),0)))/100)),1),1)</f>
        <v>0.5</v>
      </c>
      <c r="IL18" s="87">
        <f t="shared" si="27"/>
        <v>0</v>
      </c>
      <c r="IM18" s="86" t="str">
        <f>IFERROR(IF(VLOOKUP(A18,tbMoveset!A2:B112,2,FALSE)="Sever",Backdoors!AY38/100,IF(VLOOKUP(A18,tbMoveset!A2:B112,2,FALSE)="Blunt",Backdoors!AZ38/100,Backdoors!BA38/100)),"")</f>
        <v/>
      </c>
      <c r="IN18" s="49">
        <f>IFERROR(IF(VLOOKUP(tbMoveset!A18,tbMoveset!A2:H112,8,FALSE)="Other",IF(VLOOKUP(tbMoveset!A18,tbMoveset!A2:I112,9,FALSE)="Fire",Backdoors!BB38,IF(VLOOKUP(tbMoveset!A18,tbMoveset!A2:I112,9,FALSE)="Water",Backdoors!BC38,IF(VLOOKUP(tbMoveset!A18,tbMoveset!A2:I112,9,FALSE)="Thunder",Backdoors!BD38,IF(VLOOKUP(tbMoveset!A18,tbMoveset!A2:I112,9,FALSE)="Ice",Backdoors!BE38,IF(VLOOKUP(tbMoveset!A18,tbMoveset!A2:I112,9,FALSE)="Dragon",Backdoors!BF38,Backdoors!BG38)))))/100,Backdoors!BG38/100),"")</f>
        <v>0</v>
      </c>
      <c r="IO18" s="49">
        <f>IFERROR(IF(VLOOKUP(A18,tbMoveset!A2:J112,10,FALSE)=TRUE,IF((Backdoors!AI12+IF(IM18&gt;=0.45,VLOOKUP(Calculator!E23,tbSkills!DH3:DI6,2,FALSE)+IF(AND(Calculator!B8=TRUE,Backdoors!BI38=TRUE),VLOOKUP(Calculator!E23,tbSkills!DH3:DJ6,3,FALSE),0),0))&gt;=0,1+(Backdoors!AL2*(IF((Backdoors!AI12+IF(IM18&gt;=0.45,VLOOKUP(Calculator!E23,tbSkills!DH3:DI6,2,FALSE)+IF(AND(Calculator!B8=TRUE,Backdoors!BI38=TRUE),VLOOKUP(Calculator!E23,tbSkills!DH3:DJ6,3,FALSE),0),0))&gt;=100,100,(Backdoors!AI12+IF(IM18&gt;=0.45,VLOOKUP(Calculator!E23,tbSkills!DH3:DI6,2,FALSE)+IF(AND(Calculator!B8=TRUE,Backdoors!BI38=TRUE),VLOOKUP(Calculator!E23,tbSkills!DH3:DJ6,3,FALSE),0),0)))/100)),(1-(0.25*((-Backdoors!AI12-IF(IM18&gt;=0.45,VLOOKUP(Calculator!E23,tbSkills!DH3:DI6,2,FALSE)+IF(AND(Calculator!B8=TRUE,Backdoors!BI38=TRUE),VLOOKUP(Calculator!E23,tbSkills!DH3:DJ6,3,FALSE),0),0))/100)))),1),"")</f>
        <v>1</v>
      </c>
      <c r="IP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M18)*IO18)*(VLOOKUP(A18,tbMoveset!A2:C112,3,FALSE)/100)*IF(VLOOKUP(A18,tbMoveset!A2:B112,2,FALSE)="Projectile",Backdoors!N10,Backdoors!N9),0),"")</f>
        <v/>
      </c>
      <c r="IQ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IM18&gt;=0.45,VLOOKUP(Calculator!E23,tbSkills!DH3:DI6,2,FALSE)+IF(AND(Calculator!B8=TRUE,Backdoors!BI38=TRUE),VLOOKUP(Calculator!E23,tbSkills!DH3:DJ6,3,FALSE),0),0))&gt;=100,100,(Backdoors!AI12+IF(IM18&gt;=0.45,VLOOKUP(Calculator!E23,tbSkills!DH3:DI6,2,FALSE)+IF(AND(Calculator!B8=TRUE,Backdoors!BI38=TRUE),VLOOKUP(Calculator!E23,tbSkills!DH3:DJ6,3,FALSE),0),0)))/100)),1))*IF(VLOOKUP(A18,tbMoveset!A2:K112,11,FALSE)=TRUE,Backdoors!AC5,1))*IN18,0),"")</f>
        <v>0</v>
      </c>
      <c r="IR18" s="49">
        <f>VLOOKUP(A18,tbMoveset!A2:G112,7,FALSE)*IFERROR(IF(Backdoors!AI12&gt;=0,1+(IF(Calculator!E40&gt;0,VLOOKUP(Calculator!E40,tbSkills!AI3:AJ5,2,FALSE),Backdoors!AL4)*(IF((Backdoors!AI12+IF(IM18&gt;=0.45,VLOOKUP(Calculator!E23,tbSkills!DH3:DI6,2,FALSE)+IF(AND(Calculator!B8=TRUE,Backdoors!BI38=TRUE),VLOOKUP(Calculator!E23,tbSkills!DH3:DJ6,3,FALSE),0),0))&gt;=100,100,(Backdoors!AI12+IF(IM18&gt;=0.45,VLOOKUP(Calculator!E23,tbSkills!DH3:DI6,2,FALSE)+IF(AND(Calculator!B8=TRUE,Backdoors!BI38=TRUE),VLOOKUP(Calculator!E23,tbSkills!DH3:DJ6,3,FALSE),0),0)))/100)),1),1)</f>
        <v>0.5</v>
      </c>
      <c r="IS18" s="87">
        <f t="shared" si="42"/>
        <v>0</v>
      </c>
      <c r="IT18" s="86" t="str">
        <f>IFERROR(IF(VLOOKUP(A18,tbMoveset!A2:B112,2,FALSE)="Sever",Backdoors!AY39/100,IF(VLOOKUP(A18,tbMoveset!A2:B112,2,FALSE)="Blunt",Backdoors!AZ39/100,Backdoors!BA39/100)),"")</f>
        <v/>
      </c>
      <c r="IU18" s="49">
        <f>IFERROR(IF(VLOOKUP(tbMoveset!A18,tbMoveset!A2:H112,8,FALSE)="Other",IF(VLOOKUP(tbMoveset!A18,tbMoveset!A2:I112,9,FALSE)="Fire",Backdoors!BB39,IF(VLOOKUP(tbMoveset!A18,tbMoveset!A2:I112,9,FALSE)="Water",Backdoors!BC39,IF(VLOOKUP(tbMoveset!A18,tbMoveset!A2:I112,9,FALSE)="Thunder",Backdoors!BD39,IF(VLOOKUP(tbMoveset!A18,tbMoveset!A2:I112,9,FALSE)="Ice",Backdoors!BE39,IF(VLOOKUP(tbMoveset!A18,tbMoveset!A2:I112,9,FALSE)="Dragon",Backdoors!BF39,Backdoors!BG39)))))/100,Backdoors!BG39/100),"")</f>
        <v>0</v>
      </c>
      <c r="IV18" s="49">
        <f>IFERROR(IF(VLOOKUP(A18,tbMoveset!A2:J112,10,FALSE)=TRUE,IF((Backdoors!AI12+IF(IT18&gt;=0.45,VLOOKUP(Calculator!E23,tbSkills!DH3:DI6,2,FALSE)+IF(AND(Calculator!B8=TRUE,Backdoors!BI39=TRUE),VLOOKUP(Calculator!E23,tbSkills!DH3:DJ6,3,FALSE),0),0))&gt;=0,1+(Backdoors!AL2*(IF((Backdoors!AI12+IF(IT18&gt;=0.45,VLOOKUP(Calculator!E23,tbSkills!DH3:DI6,2,FALSE)+IF(AND(Calculator!B8=TRUE,Backdoors!BI39=TRUE),VLOOKUP(Calculator!E23,tbSkills!DH3:DJ6,3,FALSE),0),0))&gt;=100,100,(Backdoors!AI12+IF(IT18&gt;=0.45,VLOOKUP(Calculator!E23,tbSkills!DH3:DI6,2,FALSE)+IF(AND(Calculator!B8=TRUE,Backdoors!BI39=TRUE),VLOOKUP(Calculator!E23,tbSkills!DH3:DJ6,3,FALSE),0),0)))/100)),(1-(0.25*((-Backdoors!AI12-IF(IT18&gt;=0.45,VLOOKUP(Calculator!E23,tbSkills!DH3:DI6,2,FALSE)+IF(AND(Calculator!B8=TRUE,Backdoors!BI39=TRUE),VLOOKUP(Calculator!E23,tbSkills!DH3:DJ6,3,FALSE),0),0))/100)))),1),"")</f>
        <v>1</v>
      </c>
      <c r="IW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T18)*IV18)*(VLOOKUP(A18,tbMoveset!A2:C112,3,FALSE)/100)*IF(VLOOKUP(A18,tbMoveset!A2:B112,2,FALSE)="Projectile",Backdoors!N10,Backdoors!N9),0),"")</f>
        <v/>
      </c>
      <c r="IX18" s="49">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40&gt;0,VLOOKUP(Calculator!E40,tbSkills!AC3:AD5,2,FALSE),Backdoors!AL3)*(IF((Backdoors!AI12+IF(IT18&gt;=0.45,VLOOKUP(Calculator!E23,tbSkills!DH3:DI6,2,FALSE)+IF(AND(Calculator!B8=TRUE,Backdoors!BI39=TRUE),VLOOKUP(Calculator!E23,tbSkills!DH3:DJ6,3,FALSE),0),0))&gt;=100,100,(Backdoors!AI12+IF(IT18&gt;=0.45,VLOOKUP(Calculator!E23,tbSkills!DH3:DI6,2,FALSE)+IF(AND(Calculator!B8=TRUE,Backdoors!BI39=TRUE),VLOOKUP(Calculator!E23,tbSkills!DH3:DJ6,3,FALSE),0),0)))/100)),1))*IF(VLOOKUP(A18,tbMoveset!A2:K112,11,FALSE)=TRUE,Backdoors!AC5,1))*IU18,0),"")</f>
        <v>0</v>
      </c>
      <c r="IY18" s="49">
        <f>VLOOKUP(A18,tbMoveset!A2:G112,7,FALSE)*IFERROR(IF(Backdoors!AI12&gt;=0,1+(IF(Calculator!E40&gt;0,VLOOKUP(Calculator!E40,tbSkills!AI3:AJ5,2,FALSE),Backdoors!AL4)*(IF((Backdoors!AI12+IF(IT18&gt;=0.45,VLOOKUP(Calculator!E23,tbSkills!DH3:DI6,2,FALSE)+IF(AND(Calculator!B8=TRUE,Backdoors!BI39=TRUE),VLOOKUP(Calculator!E23,tbSkills!DH3:DJ6,3,FALSE),0),0))&gt;=100,100,(Backdoors!AI12+IF(IT18&gt;=0.45,VLOOKUP(Calculator!E23,tbSkills!DH3:DI6,2,FALSE)+IF(AND(Calculator!B8=TRUE,Backdoors!BI39=TRUE),VLOOKUP(Calculator!E23,tbSkills!DH3:DJ6,3,FALSE),0),0)))/100)),1),1)</f>
        <v>0.5</v>
      </c>
      <c r="IZ18" s="87">
        <f t="shared" si="28"/>
        <v>0</v>
      </c>
      <c r="JA18" s="86" t="str">
        <f>IFERROR(IF(VLOOKUP(A18,tbMoveset!A2:B112,2,FALSE)="Sever",Backdoors!AY40/100,IF(VLOOKUP(A18,tbMoveset!A2:B112,2,FALSE)="Blunt",Backdoors!AZ40/100,Backdoors!BA40/100)),"")</f>
        <v/>
      </c>
      <c r="JB18" s="49">
        <f>IFERROR(IF(VLOOKUP(tbMoveset!A18,tbMoveset!A2:H112,8,FALSE)="Other",IF(VLOOKUP(tbMoveset!A18,tbMoveset!A2:I112,9,FALSE)="Fire",Backdoors!BB40,IF(VLOOKUP(tbMoveset!A18,tbMoveset!A2:I112,9,FALSE)="Water",Backdoors!BC40,IF(VLOOKUP(tbMoveset!A18,tbMoveset!A2:I112,9,FALSE)="Thunder",Backdoors!BD40,IF(VLOOKUP(tbMoveset!A18,tbMoveset!A2:I112,9,FALSE)="Ice",Backdoors!BE40,IF(VLOOKUP(tbMoveset!A18,tbMoveset!A2:I112,9,FALSE)="Dragon",Backdoors!BF40,Backdoors!BG40)))))/100,Backdoors!BG40/100),"")</f>
        <v>0</v>
      </c>
      <c r="JC18" s="49">
        <f>IFERROR(IF(VLOOKUP(A18,tbMoveset!A2:J112,10,FALSE)=TRUE,IF((Backdoors!AI12+IF(JA18&gt;=0.45,VLOOKUP(Calculator!E23,tbSkills!DH3:DI6,2,FALSE)+IF(AND(Calculator!B8=TRUE,Backdoors!BI40=TRUE),VLOOKUP(Calculator!E23,tbSkills!DH3:DJ6,3,FALSE),0),0))&gt;=0,1+(Backdoors!AL2*(IF((Backdoors!AI12+IF(JA18&gt;=0.45,VLOOKUP(Calculator!E23,tbSkills!DH3:DI6,2,FALSE)+IF(AND(Calculator!B8=TRUE,Backdoors!BI40=TRUE),VLOOKUP(Calculator!E23,tbSkills!DH3:DJ6,3,FALSE),0),0))&gt;=100,100,(Backdoors!AI12+IF(JA18&gt;=0.45,VLOOKUP(Calculator!E23,tbSkills!DH3:DI6,2,FALSE)+IF(AND(Calculator!B8=TRUE,Backdoors!BI40=TRUE),VLOOKUP(Calculator!E23,tbSkills!DH3:DJ6,3,FALSE),0),0)))/100)),(1-(0.25*((-Backdoors!AI12-IF(JA18&gt;=0.45,VLOOKUP(Calculator!E23,tbSkills!DH3:DI6,2,FALSE)+IF(AND(Calculator!B8=TRUE,Backdoors!BI40=TRUE),VLOOKUP(Calculator!E23,tbSkills!DH3:DJ6,3,FALSE),0),0))/100)))),1),"")</f>
        <v>1</v>
      </c>
      <c r="JD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A18)*JC18)*(VLOOKUP(A18,tbMoveset!A2:C112,3,FALSE)/100)*IF(VLOOKUP(A18,tbMoveset!A2:B112,2,FALSE)="Projectile",Backdoors!N10,Backdoors!N9),0),"")</f>
        <v/>
      </c>
      <c r="JE18" s="49">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42&gt;0,VLOOKUP(Calculator!E42,tbSkills!AC3:AD5,2,FALSE),Backdoors!AL3)*(IF((Backdoors!AI12+IF(JA18&gt;=0.45,VLOOKUP(Calculator!E23,tbSkills!DH3:DI6,2,FALSE)+IF(AND(Calculator!B8=TRUE,Backdoors!BI40=TRUE),VLOOKUP(Calculator!E23,tbSkills!DH3:DJ6,3,FALSE),0),0))&gt;=100,100,(Backdoors!AI12+IF(JA18&gt;=0.45,VLOOKUP(Calculator!E23,tbSkills!DH3:DI6,2,FALSE)+IF(AND(Calculator!B8=TRUE,Backdoors!BI40=TRUE),VLOOKUP(Calculator!E23,tbSkills!DH3:DJ6,3,FALSE),0),0)))/100)),1))*IF(VLOOKUP(A18,tbMoveset!A2:K112,11,FALSE)=TRUE,Backdoors!AC5,1))*JB18,0),"")</f>
        <v>0</v>
      </c>
      <c r="JF18" s="49">
        <f>VLOOKUP(A18,tbMoveset!A2:G112,7,FALSE)*IFERROR(IF(Backdoors!AI12&gt;=0,1+(IF(Calculator!E40&gt;0,VLOOKUP(Calculator!E40,tbSkills!AI3:AJ5,2,FALSE),Backdoors!AL4)*(IF((Backdoors!AI12+IF(JA18&gt;=0.45,VLOOKUP(Calculator!E23,tbSkills!DH3:DI6,2,FALSE)+IF(AND(Calculator!B8=TRUE,Backdoors!BI40=TRUE),VLOOKUP(Calculator!E23,tbSkills!DH3:DJ6,3,FALSE),0),0))&gt;=100,100,(Backdoors!AI12+IF(JA18&gt;=0.45,VLOOKUP(Calculator!E23,tbSkills!DH3:DI6,2,FALSE)+IF(AND(Calculator!B8=TRUE,Backdoors!BI40=TRUE),VLOOKUP(Calculator!E23,tbSkills!DH3:DJ6,3,FALSE),0),0)))/100)),1),1)</f>
        <v>0.5</v>
      </c>
      <c r="JG18" s="87">
        <f t="shared" si="29"/>
        <v>0</v>
      </c>
      <c r="JH18" s="86" t="str">
        <f>IFERROR(IF(VLOOKUP(A18,tbMoveset!A2:B112,2,FALSE)="Sever",Backdoors!AY41/100,IF(VLOOKUP(A18,tbMoveset!A2:B112,2,FALSE)="Blunt",Backdoors!AZ41/100,Backdoors!BA41/100)),"")</f>
        <v/>
      </c>
      <c r="JI18" s="49">
        <f>IFERROR(IF(VLOOKUP(tbMoveset!A18,tbMoveset!A2:H112,8,FALSE)="Other",IF(VLOOKUP(tbMoveset!A18,tbMoveset!A2:I112,9,FALSE)="Fire",Backdoors!BB41,IF(VLOOKUP(tbMoveset!A18,tbMoveset!A2:I112,9,FALSE)="Water",Backdoors!BC41,IF(VLOOKUP(tbMoveset!A18,tbMoveset!A2:I112,9,FALSE)="Thunder",Backdoors!BD41,IF(VLOOKUP(tbMoveset!A18,tbMoveset!A2:I112,9,FALSE)="Ice",Backdoors!BE41,IF(VLOOKUP(tbMoveset!A18,tbMoveset!A2:I112,9,FALSE)="Dragon",Backdoors!BF41,Backdoors!BG41)))))/100,Backdoors!BG41/100),"")</f>
        <v>0</v>
      </c>
      <c r="JJ18" s="49">
        <f>IFERROR(IF(VLOOKUP(A18,tbMoveset!A2:J112,10,FALSE)=TRUE,IF((Backdoors!AI12+IF(JH18&gt;=0.45,VLOOKUP(Calculator!E23,tbSkills!DH3:DI6,2,FALSE)+IF(AND(Calculator!B8=TRUE,Backdoors!BI41=TRUE),VLOOKUP(Calculator!E23,tbSkills!DH3:DJ6,3,FALSE),0),0))&gt;=0,1+(Backdoors!AL2*(IF((Backdoors!AI12+IF(JH18&gt;=0.45,VLOOKUP(Calculator!E23,tbSkills!DH3:DI6,2,FALSE)+IF(AND(Calculator!B8=TRUE,Backdoors!BI41=TRUE),VLOOKUP(Calculator!E23,tbSkills!DH3:DJ6,3,FALSE),0),0))&gt;=100,100,(Backdoors!AI12+IF(JH18&gt;=0.45,VLOOKUP(Calculator!E23,tbSkills!DH3:DI6,2,FALSE)+IF(AND(Calculator!B8=TRUE,Backdoors!BI41=TRUE),VLOOKUP(Calculator!E23,tbSkills!DH3:DJ6,3,FALSE),0),0)))/100)),(1-(0.25*((-Backdoors!AI12-IF(JH18&gt;=0.45,VLOOKUP(Calculator!E23,tbSkills!DH3:DI6,2,FALSE)+IF(AND(Calculator!B8=TRUE,Backdoors!BI41=TRUE),VLOOKUP(Calculator!E23,tbSkills!DH3:DJ6,3,FALSE),0),0))/100)))),1),"")</f>
        <v>1</v>
      </c>
      <c r="JK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H18)*JJ18)*(VLOOKUP(A18,tbMoveset!A2:C112,3,FALSE)/100)*IF(VLOOKUP(A18,tbMoveset!A2:B112,2,FALSE)="Projectile",Backdoors!N10,Backdoors!N9),0),"")</f>
        <v/>
      </c>
      <c r="JL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43&gt;0,VLOOKUP(Calculator!E43,tbSkills!AC3:AD5,2,FALSE),Backdoors!AL3)*(IF((Backdoors!AI12+IF(JH18&gt;=0.45,VLOOKUP(Calculator!E23,tbSkills!DH3:DI6,2,FALSE)+IF(AND(Calculator!B8=TRUE,Backdoors!BI41=TRUE),VLOOKUP(Calculator!E23,tbSkills!DH3:DJ6,3,FALSE),0),0))&gt;=100,100,(Backdoors!AI12+IF(JH18&gt;=0.45,VLOOKUP(Calculator!E23,tbSkills!DH3:DI6,2,FALSE)+IF(AND(Calculator!B8=TRUE,Backdoors!BI41=TRUE),VLOOKUP(Calculator!E23,tbSkills!DH3:DJ6,3,FALSE),0),0)))/100)),1))*IF(VLOOKUP(A18,tbMoveset!A2:K112,11,FALSE)=TRUE,Backdoors!AC5,1))*JI18,0),"")</f>
        <v/>
      </c>
      <c r="JM18" s="49">
        <f>VLOOKUP(A18,tbMoveset!A2:G112,7,FALSE)*IFERROR(IF(Backdoors!AI12&gt;=0,1+(IF(Calculator!E40&gt;0,VLOOKUP(Calculator!E40,tbSkills!AI3:AJ5,2,FALSE),Backdoors!AL4)*(IF((Backdoors!AI12+IF(JH18&gt;=0.45,VLOOKUP(Calculator!E23,tbSkills!DH3:DI6,2,FALSE)+IF(AND(Calculator!B8=TRUE,Backdoors!BI41=TRUE),VLOOKUP(Calculator!E23,tbSkills!DH3:DJ6,3,FALSE),0),0))&gt;=100,100,(Backdoors!AI12+IF(JH18&gt;=0.45,VLOOKUP(Calculator!E23,tbSkills!DH3:DI6,2,FALSE)+IF(AND(Calculator!B8=TRUE,Backdoors!BI41=TRUE),VLOOKUP(Calculator!E23,tbSkills!DH3:DJ6,3,FALSE),0),0)))/100)),1),1)</f>
        <v>0.5</v>
      </c>
      <c r="JN18" s="87">
        <f t="shared" si="30"/>
        <v>0</v>
      </c>
      <c r="JO18" s="86" t="str">
        <f>IFERROR(IF(VLOOKUP(A18,tbMoveset!A2:B112,2,FALSE)="Sever",Backdoors!AY42/100,IF(VLOOKUP(A18,tbMoveset!A2:B112,2,FALSE)="Blunt",Backdoors!AZ42/100,Backdoors!BA42/100)),"")</f>
        <v/>
      </c>
      <c r="JP18" s="49">
        <f>IFERROR(IF(VLOOKUP(tbMoveset!A18,tbMoveset!A2:H112,8,FALSE)="Other",IF(VLOOKUP(tbMoveset!A18,tbMoveset!A2:I112,9,FALSE)="Fire",Backdoors!BB42,IF(VLOOKUP(tbMoveset!A18,tbMoveset!A2:I112,9,FALSE)="Water",Backdoors!BC42,IF(VLOOKUP(tbMoveset!A18,tbMoveset!A2:I112,9,FALSE)="Thunder",Backdoors!BD42,IF(VLOOKUP(tbMoveset!A18,tbMoveset!A2:I112,9,FALSE)="Ice",Backdoors!BE42,IF(VLOOKUP(tbMoveset!A18,tbMoveset!A2:I112,9,FALSE)="Dragon",Backdoors!BF42,Backdoors!BG42)))))/100,Backdoors!BG42/100),"")</f>
        <v>0</v>
      </c>
      <c r="JQ18" s="49">
        <f>IFERROR(IF(VLOOKUP(A18,tbMoveset!A2:J112,10,FALSE)=TRUE,IF((Backdoors!AI12+IF(JO18&gt;=0.45,VLOOKUP(Calculator!E23,tbSkills!DH3:DI6,2,FALSE)+IF(AND(Calculator!B8=TRUE,Backdoors!BI42=TRUE),VLOOKUP(Calculator!E23,tbSkills!DH3:DJ6,3,FALSE),0),0))&gt;=0,1+(Backdoors!AL2*(IF((Backdoors!AI12+IF(JO18&gt;=0.45,VLOOKUP(Calculator!E23,tbSkills!DH3:DI6,2,FALSE)+IF(AND(Calculator!B8=TRUE,Backdoors!BI42=TRUE),VLOOKUP(Calculator!E23,tbSkills!DH3:DJ6,3,FALSE),0),0))&gt;=100,100,(Backdoors!AI12+IF(JO18&gt;=0.45,VLOOKUP(Calculator!E23,tbSkills!DH3:DI6,2,FALSE)+IF(AND(Calculator!B8=TRUE,Backdoors!BI42=TRUE),VLOOKUP(Calculator!E23,tbSkills!DH3:DJ6,3,FALSE),0),0)))/100)),(1-(0.25*((-Backdoors!AI12-IF(JO18&gt;=0.45,VLOOKUP(Calculator!E23,tbSkills!DH3:DI6,2,FALSE)+IF(AND(Calculator!B8=TRUE,Backdoors!BI42=TRUE),VLOOKUP(Calculator!E23,tbSkills!DH3:DJ6,3,FALSE),0),0))/100)))),1),"")</f>
        <v>1</v>
      </c>
      <c r="JR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O18)*JQ18)*(VLOOKUP(A18,tbMoveset!A2:C112,3,FALSE)/100)*IF(VLOOKUP(A18,tbMoveset!A2:B112,2,FALSE)="Projectile",Backdoors!N10,Backdoors!N9),0),"")</f>
        <v/>
      </c>
      <c r="JS18" s="49">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45&gt;0,VLOOKUP(Calculator!E45,tbSkills!AC3:AD5,2,FALSE),Backdoors!AL3)*(IF((Backdoors!AI12+IF(JO18&gt;=0.45,VLOOKUP(Calculator!E23,tbSkills!DH3:DI6,2,FALSE)+IF(AND(Calculator!B8=TRUE,Backdoors!BI42=TRUE),VLOOKUP(Calculator!E23,tbSkills!DH3:DJ6,3,FALSE),0),0))&gt;=100,100,(Backdoors!AI12+IF(JO18&gt;=0.45,VLOOKUP(Calculator!E23,tbSkills!DH3:DI6,2,FALSE)+IF(AND(Calculator!B8=TRUE,Backdoors!BI42=TRUE),VLOOKUP(Calculator!E23,tbSkills!DH3:DJ6,3,FALSE),0),0)))/100)),1))*IF(VLOOKUP(A18,tbMoveset!A2:K112,11,FALSE)=TRUE,Backdoors!AC5,1))*JP18,0),"")</f>
        <v>0</v>
      </c>
      <c r="JT18" s="49">
        <f>VLOOKUP(A18,tbMoveset!A2:G112,7,FALSE)*IFERROR(IF(Backdoors!AI12&gt;=0,1+(IF(Calculator!E40&gt;0,VLOOKUP(Calculator!E40,tbSkills!AI3:AJ5,2,FALSE),Backdoors!AL4)*(IF((Backdoors!AI12+IF(JO18&gt;=0.45,VLOOKUP(Calculator!E23,tbSkills!DH3:DI6,2,FALSE)+IF(AND(Calculator!B8=TRUE,Backdoors!BI42=TRUE),VLOOKUP(Calculator!E23,tbSkills!DH3:DJ6,3,FALSE),0),0))&gt;=100,100,(Backdoors!AI12+IF(JO18&gt;=0.45,VLOOKUP(Calculator!E23,tbSkills!DH3:DI6,2,FALSE)+IF(AND(Calculator!B8=TRUE,Backdoors!BI42=TRUE),VLOOKUP(Calculator!E23,tbSkills!DH3:DJ6,3,FALSE),0),0)))/100)),1),1)</f>
        <v>0.5</v>
      </c>
      <c r="JU18" s="87">
        <f t="shared" si="31"/>
        <v>0</v>
      </c>
      <c r="JV18" s="86" t="str">
        <f>IFERROR(IF(VLOOKUP(A18,tbMoveset!A2:B112,2,FALSE)="Sever",Backdoors!AY43/100,IF(VLOOKUP(A18,tbMoveset!A2:B112,2,FALSE)="Blunt",Backdoors!AZ43/100,Backdoors!BA43/100)),"")</f>
        <v/>
      </c>
      <c r="JW18" s="49">
        <f>IFERROR(IF(VLOOKUP(tbMoveset!A18,tbMoveset!A2:H112,8,FALSE)="Other",IF(VLOOKUP(tbMoveset!A18,tbMoveset!A2:I112,9,FALSE)="Fire",Backdoors!BB43,IF(VLOOKUP(tbMoveset!A18,tbMoveset!A2:I112,9,FALSE)="Water",Backdoors!BC43,IF(VLOOKUP(tbMoveset!A18,tbMoveset!A2:I112,9,FALSE)="Thunder",Backdoors!BD43,IF(VLOOKUP(tbMoveset!A18,tbMoveset!A2:I112,9,FALSE)="Ice",Backdoors!BE43,IF(VLOOKUP(tbMoveset!A18,tbMoveset!A2:I112,9,FALSE)="Dragon",Backdoors!BF43,Backdoors!BG43)))))/100,Backdoors!BG43/100),"")</f>
        <v>0</v>
      </c>
      <c r="JX18" s="49">
        <f>IFERROR(IF(VLOOKUP(A18,tbMoveset!A2:J112,10,FALSE)=TRUE,IF((Backdoors!AI12+IF(JV18&gt;=0.45,VLOOKUP(Calculator!E23,tbSkills!DH3:DI6,2,FALSE)+IF(AND(Calculator!B8=TRUE,Backdoors!BI43=TRUE),VLOOKUP(Calculator!E23,tbSkills!DH3:DJ6,3,FALSE),0),0))&gt;=0,1+(Backdoors!AL2*(IF((Backdoors!AI12+IF(JV18&gt;=0.45,VLOOKUP(Calculator!E23,tbSkills!DH3:DI6,2,FALSE)+IF(AND(Calculator!B8=TRUE,Backdoors!BI43=TRUE),VLOOKUP(Calculator!E23,tbSkills!DH3:DJ6,3,FALSE),0),0))&gt;=100,100,(Backdoors!AI12+IF(JV18&gt;=0.45,VLOOKUP(Calculator!E23,tbSkills!DH3:DI6,2,FALSE)+IF(AND(Calculator!B8=TRUE,Backdoors!BI43=TRUE),VLOOKUP(Calculator!E23,tbSkills!DH3:DJ6,3,FALSE),0),0)))/100)),(1-(0.25*((-Backdoors!AI12-IF(JV18&gt;=0.45,VLOOKUP(Calculator!E23,tbSkills!DH3:DI6,2,FALSE)+IF(AND(Calculator!B8=TRUE,Backdoors!BI43=TRUE),VLOOKUP(Calculator!E23,tbSkills!DH3:DJ6,3,FALSE),0),0))/100)))),1),"")</f>
        <v>1</v>
      </c>
      <c r="JY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V18)*JX18)*(VLOOKUP(A18,tbMoveset!A2:C112,3,FALSE)/100)*IF(VLOOKUP(A18,tbMoveset!A2:B112,2,FALSE)="Projectile",Backdoors!N10,Backdoors!N9),0),"")</f>
        <v/>
      </c>
      <c r="JZ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46&gt;0,VLOOKUP(Calculator!E46,tbSkills!AC3:AD5,2,FALSE),Backdoors!AL3)*(IF((Backdoors!AI12+IF(JV18&gt;=0.45,VLOOKUP(Calculator!E23,tbSkills!DH3:DI6,2,FALSE)+IF(AND(Calculator!B8=TRUE,Backdoors!BI43=TRUE),VLOOKUP(Calculator!E23,tbSkills!DH3:DJ6,3,FALSE),0),0))&gt;=100,100,(Backdoors!AI12+IF(JV18&gt;=0.45,VLOOKUP(Calculator!E23,tbSkills!DH3:DI6,2,FALSE)+IF(AND(Calculator!B8=TRUE,Backdoors!BI43=TRUE),VLOOKUP(Calculator!E23,tbSkills!DH3:DJ6,3,FALSE),0),0)))/100)),1))*IF(VLOOKUP(A18,tbMoveset!A2:K112,11,FALSE)=TRUE,Backdoors!AC5,1))*JW18,0),"")</f>
        <v/>
      </c>
      <c r="KA18" s="49">
        <f>VLOOKUP(A18,tbMoveset!A2:G112,7,FALSE)*IFERROR(IF(Backdoors!AI12&gt;=0,1+(IF(Calculator!E40&gt;0,VLOOKUP(Calculator!E40,tbSkills!AI3:AJ5,2,FALSE),Backdoors!AL4)*(IF((Backdoors!AI12+IF(JV18&gt;=0.45,VLOOKUP(Calculator!E23,tbSkills!DH3:DI6,2,FALSE)+IF(AND(Calculator!B8=TRUE,Backdoors!BI43=TRUE),VLOOKUP(Calculator!E23,tbSkills!DH3:DJ6,3,FALSE),0),0))&gt;=100,100,(Backdoors!AI12+IF(JV18&gt;=0.45,VLOOKUP(Calculator!E23,tbSkills!DH3:DI6,2,FALSE)+IF(AND(Calculator!B8=TRUE,Backdoors!BI43=TRUE),VLOOKUP(Calculator!E23,tbSkills!DH3:DJ6,3,FALSE),0),0)))/100)),1),1)</f>
        <v>0.5</v>
      </c>
      <c r="KB18" s="87">
        <f t="shared" si="32"/>
        <v>0</v>
      </c>
      <c r="KC18" s="86" t="str">
        <f>IFERROR(IF(VLOOKUP(A18,tbMoveset!A2:B112,2,FALSE)="Sever",Backdoors!AY44/100,IF(VLOOKUP(A18,tbMoveset!A2:B112,2,FALSE)="Blunt",Backdoors!AZ44/100,Backdoors!BA44/100)),"")</f>
        <v/>
      </c>
      <c r="KD18" s="49">
        <f>IFERROR(IF(VLOOKUP(tbMoveset!A18,tbMoveset!A2:H112,8,FALSE)="Other",IF(VLOOKUP(tbMoveset!A18,tbMoveset!A2:I112,9,FALSE)="Fire",Backdoors!BB44,IF(VLOOKUP(tbMoveset!A18,tbMoveset!A2:I112,9,FALSE)="Water",Backdoors!BC44,IF(VLOOKUP(tbMoveset!A18,tbMoveset!A2:I112,9,FALSE)="Thunder",Backdoors!BD44,IF(VLOOKUP(tbMoveset!A18,tbMoveset!A2:I112,9,FALSE)="Ice",Backdoors!BE44,IF(VLOOKUP(tbMoveset!A18,tbMoveset!A2:I112,9,FALSE)="Dragon",Backdoors!BF44,Backdoors!BG44)))))/100,Backdoors!BG44/100),"")</f>
        <v>0</v>
      </c>
      <c r="KE18" s="49">
        <f>IFERROR(IF(VLOOKUP(A18,tbMoveset!A2:J112,10,FALSE)=TRUE,IF((Backdoors!AI12+IF(KC18&gt;=0.45,VLOOKUP(Calculator!E23,tbSkills!DH3:DI6,2,FALSE)+IF(AND(Calculator!B8=TRUE,Backdoors!BI44=TRUE),VLOOKUP(Calculator!E23,tbSkills!DH3:DJ6,3,FALSE),0),0))&gt;=0,1+(Backdoors!AL2*(IF((Backdoors!AI12+IF(KC18&gt;=0.45,VLOOKUP(Calculator!E23,tbSkills!DH3:DI6,2,FALSE)+IF(AND(Calculator!B8=TRUE,Backdoors!BI44=TRUE),VLOOKUP(Calculator!E23,tbSkills!DH3:DJ6,3,FALSE),0),0))&gt;=100,100,(Backdoors!AI12+IF(KC18&gt;=0.45,VLOOKUP(Calculator!E23,tbSkills!DH3:DI6,2,FALSE)+IF(AND(Calculator!B8=TRUE,Backdoors!BI44=TRUE),VLOOKUP(Calculator!E23,tbSkills!DH3:DJ6,3,FALSE),0),0)))/100)),(1-(0.25*((-Backdoors!AI12-IF(KC18&gt;=0.45,VLOOKUP(Calculator!E23,tbSkills!DH3:DI6,2,FALSE)+IF(AND(Calculator!B8=TRUE,Backdoors!BI44=TRUE),VLOOKUP(Calculator!E23,tbSkills!DH3:DJ6,3,FALSE),0),0))/100)))),1),"")</f>
        <v>1</v>
      </c>
      <c r="KF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KC18)*KE18)*(VLOOKUP(A18,tbMoveset!A2:C112,3,FALSE)/100)*IF(VLOOKUP(A18,tbMoveset!A2:B112,2,FALSE)="Projectile",Backdoors!N10,Backdoors!N9),0),"")</f>
        <v/>
      </c>
      <c r="KG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REF!&gt;0,VLOOKUP(Calculator!#REF!,tbSkills!AC3:AD5,2,FALSE),Backdoors!AL3)*(IF((Backdoors!AI12+IF(KC18&gt;=0.45,VLOOKUP(Calculator!E23,tbSkills!DH3:DI6,2,FALSE)+IF(AND(Calculator!B8=TRUE,Backdoors!BI44=TRUE),VLOOKUP(Calculator!E23,tbSkills!DH3:DJ6,3,FALSE),0),0))&gt;=100,100,(Backdoors!AI12+IF(KC18&gt;=0.45,VLOOKUP(Calculator!E23,tbSkills!DH3:DI6,2,FALSE)+IF(AND(Calculator!B8=TRUE,Backdoors!BI44=TRUE),VLOOKUP(Calculator!E23,tbSkills!DH3:DJ6,3,FALSE),0),0)))/100)),1))*IF(VLOOKUP(A18,tbMoveset!A2:K112,11,FALSE)=TRUE,Backdoors!AC5,1))*KD18,0),"")</f>
        <v/>
      </c>
      <c r="KH18" s="49">
        <f>VLOOKUP(A18,tbMoveset!A2:G112,7,FALSE)*IFERROR(IF(Backdoors!AI12&gt;=0,1+(IF(Calculator!E40&gt;0,VLOOKUP(Calculator!E40,tbSkills!AI3:AJ5,2,FALSE),Backdoors!AL4)*(IF((Backdoors!AI12+IF(KC18&gt;=0.45,VLOOKUP(Calculator!E23,tbSkills!DH3:DI6,2,FALSE)+IF(AND(Calculator!B8=TRUE,Backdoors!BI44=TRUE),VLOOKUP(Calculator!E23,tbSkills!DH3:DJ6,3,FALSE),0),0))&gt;=100,100,(Backdoors!AI12+IF(KC18&gt;=0.45,VLOOKUP(Calculator!E23,tbSkills!DH3:DI6,2,FALSE)+IF(AND(Calculator!B8=TRUE,Backdoors!BI44=TRUE),VLOOKUP(Calculator!E23,tbSkills!DH3:DJ6,3,FALSE),0),0)))/100)),1),1)</f>
        <v>0.5</v>
      </c>
      <c r="KI18" s="87">
        <f t="shared" si="33"/>
        <v>0</v>
      </c>
      <c r="KJ18" s="86" t="str">
        <f>IFERROR(IF(VLOOKUP(A18,tbMoveset!A2:B112,2,FALSE)="Sever",Backdoors!AY45/100,IF(VLOOKUP(A18,tbMoveset!A2:B112,2,FALSE)="Blunt",Backdoors!AZ45/100,Backdoors!BA45/100)),"")</f>
        <v/>
      </c>
      <c r="KK18" s="49">
        <f>IFERROR(IF(VLOOKUP(tbMoveset!A18,tbMoveset!A2:H112,8,FALSE)="Other",IF(VLOOKUP(tbMoveset!A18,tbMoveset!A2:I112,9,FALSE)="Fire",Backdoors!BB45,IF(VLOOKUP(tbMoveset!A18,tbMoveset!A2:I112,9,FALSE)="Water",Backdoors!BC45,IF(VLOOKUP(tbMoveset!A18,tbMoveset!A2:I112,9,FALSE)="Thunder",Backdoors!BD45,IF(VLOOKUP(tbMoveset!A18,tbMoveset!A2:I112,9,FALSE)="Ice",Backdoors!BE45,IF(VLOOKUP(tbMoveset!A18,tbMoveset!A2:I112,9,FALSE)="Dragon",Backdoors!BF45,Backdoors!BG45)))))/100,Backdoors!BG45/100),"")</f>
        <v>0</v>
      </c>
      <c r="KL18" s="49">
        <f>IFERROR(IF(VLOOKUP(A18,tbMoveset!A2:J112,10,FALSE)=TRUE,IF((Backdoors!AI12+IF(KJ18&gt;=0.45,VLOOKUP(Calculator!E23,tbSkills!DH3:DI6,2,FALSE)+IF(AND(Calculator!B8=TRUE,Backdoors!BI45=TRUE),VLOOKUP(Calculator!E23,tbSkills!DH3:DJ6,3,FALSE),0),0))&gt;=0,1+(Backdoors!AL2*(IF((Backdoors!AI12+IF(KJ18&gt;=0.45,VLOOKUP(Calculator!E23,tbSkills!DH3:DI6,2,FALSE)+IF(AND(Calculator!B8=TRUE,Backdoors!BI45=TRUE),VLOOKUP(Calculator!E23,tbSkills!DH3:DJ6,3,FALSE),0),0))&gt;=100,100,(Backdoors!AI12+IF(KJ18&gt;=0.45,VLOOKUP(Calculator!E23,tbSkills!DH3:DI6,2,FALSE)+IF(AND(Calculator!B8=TRUE,Backdoors!BI45=TRUE),VLOOKUP(Calculator!E23,tbSkills!DH3:DJ6,3,FALSE),0),0)))/100)),(1-(0.25*((-Backdoors!AI12-IF(KJ18&gt;=0.45,VLOOKUP(Calculator!E23,tbSkills!DH3:DI6,2,FALSE)+IF(AND(Calculator!B8=TRUE,Backdoors!BI45=TRUE),VLOOKUP(Calculator!E23,tbSkills!DH3:DJ6,3,FALSE),0),0))/100)))),1),"")</f>
        <v>1</v>
      </c>
      <c r="KM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KJ18)*KL18)*(VLOOKUP(A18,tbMoveset!A2:C112,3,FALSE)/100)*IF(VLOOKUP(A18,tbMoveset!A2:B112,2,FALSE)="Projectile",Backdoors!N10,Backdoors!N9),0),"")</f>
        <v/>
      </c>
      <c r="KN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REF!&gt;0,VLOOKUP(Calculator!#REF!,tbSkills!AC3:AD5,2,FALSE),Backdoors!AL3)*(IF((Backdoors!AI12+IF(KJ18&gt;=0.45,VLOOKUP(Calculator!E23,tbSkills!DH3:DI6,2,FALSE)+IF(AND(Calculator!B8=TRUE,Backdoors!BI45=TRUE),VLOOKUP(Calculator!E23,tbSkills!DH3:DJ6,3,FALSE),0),0))&gt;=100,100,(Backdoors!AI12+IF(KJ18&gt;=0.45,VLOOKUP(Calculator!E23,tbSkills!DH3:DI6,2,FALSE)+IF(AND(Calculator!B8=TRUE,Backdoors!BI45=TRUE),VLOOKUP(Calculator!E23,tbSkills!DH3:DJ6,3,FALSE),0),0)))/100)),1))*IF(VLOOKUP(A18,tbMoveset!A2:K112,11,FALSE)=TRUE,Backdoors!AC5,1))*KK18,0),"")</f>
        <v/>
      </c>
      <c r="KO18" s="49">
        <f>VLOOKUP(A18,tbMoveset!A2:G112,7,FALSE)*IFERROR(IF(Backdoors!AI12&gt;=0,1+(IF(Calculator!E40&gt;0,VLOOKUP(Calculator!E40,tbSkills!AI3:AJ5,2,FALSE),Backdoors!AL4)*(IF((Backdoors!AI12+IF(KJ18&gt;=0.45,VLOOKUP(Calculator!E23,tbSkills!DH3:DI6,2,FALSE)+IF(AND(Calculator!B8=TRUE,Backdoors!BI45=TRUE),VLOOKUP(Calculator!E23,tbSkills!DH3:DJ6,3,FALSE),0),0))&gt;=100,100,(Backdoors!AI12+IF(KJ18&gt;=0.45,VLOOKUP(Calculator!E23,tbSkills!DH3:DI6,2,FALSE)+IF(AND(Calculator!B8=TRUE,Backdoors!BI45=TRUE),VLOOKUP(Calculator!E23,tbSkills!DH3:DJ6,3,FALSE),0),0)))/100)),1),1)</f>
        <v>0.5</v>
      </c>
      <c r="KP18" s="87">
        <f t="shared" si="34"/>
        <v>0</v>
      </c>
      <c r="KQ18" s="86" t="str">
        <f>IFERROR(IF(VLOOKUP(A18,tbMoveset!A2:B112,2,FALSE)="Sever",Backdoors!AY46/100,IF(VLOOKUP(A18,tbMoveset!A2:B112,2,FALSE)="Blunt",Backdoors!AZ46/100,Backdoors!BA46/100)),"")</f>
        <v/>
      </c>
      <c r="KR18" s="49">
        <f>IFERROR(IF(VLOOKUP(tbMoveset!A18,tbMoveset!A2:H112,8,FALSE)="Other",IF(VLOOKUP(tbMoveset!A18,tbMoveset!A2:I112,9,FALSE)="Fire",Backdoors!BB46,IF(VLOOKUP(tbMoveset!A18,tbMoveset!A2:I112,9,FALSE)="Water",Backdoors!BC46,IF(VLOOKUP(tbMoveset!A18,tbMoveset!A2:I112,9,FALSE)="Thunder",Backdoors!BD46,IF(VLOOKUP(tbMoveset!A18,tbMoveset!A2:I112,9,FALSE)="Ice",Backdoors!BE46,IF(VLOOKUP(tbMoveset!A18,tbMoveset!A2:I112,9,FALSE)="Dragon",Backdoors!BF46,Backdoors!BG46)))))/100,Backdoors!BG46/100),"")</f>
        <v>0</v>
      </c>
      <c r="KS18" s="49">
        <f>IFERROR(IF(VLOOKUP(A18,tbMoveset!A2:J112,10,FALSE)=TRUE,IF((Backdoors!AI12+IF(KQ18&gt;=0.45,VLOOKUP(Calculator!E23,tbSkills!DH3:DI6,2,FALSE)+IF(AND(Calculator!B8=TRUE,Backdoors!BI46=TRUE),VLOOKUP(Calculator!E23,tbSkills!DH3:DJ6,3,FALSE),0),0))&gt;=0,1+(Backdoors!AL2*(IF((Backdoors!AI12+IF(KQ18&gt;=0.45,VLOOKUP(Calculator!E23,tbSkills!DH3:DI6,2,FALSE)+IF(AND(Calculator!B8=TRUE,Backdoors!BI46=TRUE),VLOOKUP(Calculator!E23,tbSkills!DH3:DJ6,3,FALSE),0),0))&gt;=100,100,(Backdoors!AI12+IF(KQ18&gt;=0.45,VLOOKUP(Calculator!E23,tbSkills!DH3:DI6,2,FALSE)+IF(AND(Calculator!B8=TRUE,Backdoors!BI46=TRUE),VLOOKUP(Calculator!E23,tbSkills!DH3:DJ6,3,FALSE),0),0)))/100)),(1-(0.25*((-Backdoors!AI12-IF(KQ18&gt;=0.45,VLOOKUP(Calculator!E23,tbSkills!DH3:DI6,2,FALSE)+IF(AND(Calculator!B8=TRUE,Backdoors!BI46=TRUE),VLOOKUP(Calculator!E23,tbSkills!DH3:DJ6,3,FALSE),0),0))/100)))),1),"")</f>
        <v>1</v>
      </c>
      <c r="KT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KQ18)*KS18)*(VLOOKUP(A18,tbMoveset!A2:C112,3,FALSE)/100)*IF(VLOOKUP(A18,tbMoveset!A2:B112,2,FALSE)="Projectile",Backdoors!N10,Backdoors!N9),0),"")</f>
        <v/>
      </c>
      <c r="KU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REF!&gt;0,VLOOKUP(Calculator!#REF!,tbSkills!AC3:AD5,2,FALSE),Backdoors!AL3)*(IF((Backdoors!AI12+IF(KQ18&gt;=0.45,VLOOKUP(Calculator!E23,tbSkills!DH3:DI6,2,FALSE)+IF(AND(Calculator!B8=TRUE,Backdoors!BI46=TRUE),VLOOKUP(Calculator!E23,tbSkills!DH3:DJ6,3,FALSE),0),0))&gt;=100,100,(Backdoors!AI12+IF(KQ18&gt;=0.45,VLOOKUP(Calculator!E23,tbSkills!DH3:DI6,2,FALSE)+IF(AND(Calculator!B8=TRUE,Backdoors!BI46=TRUE),VLOOKUP(Calculator!E23,tbSkills!DH3:DJ6,3,FALSE),0),0)))/100)),1))*IF(VLOOKUP(A18,tbMoveset!A2:K112,11,FALSE)=TRUE,Backdoors!AC5,1))*KR18,0),"")</f>
        <v/>
      </c>
      <c r="KV18" s="49">
        <f>VLOOKUP(A18,tbMoveset!A2:G112,7,FALSE)*IFERROR(IF(Backdoors!AI12&gt;=0,1+(IF(Calculator!E40&gt;0,VLOOKUP(Calculator!E40,tbSkills!AI3:AJ5,2,FALSE),Backdoors!AL4)*(IF((Backdoors!AI12+IF(KQ18&gt;=0.45,VLOOKUP(Calculator!E23,tbSkills!DH3:DI6,2,FALSE)+IF(AND(Calculator!B8=TRUE,Backdoors!BI46=TRUE),VLOOKUP(Calculator!E23,tbSkills!DH3:DJ6,3,FALSE),0),0))&gt;=100,100,(Backdoors!AI12+IF(KQ18&gt;=0.45,VLOOKUP(Calculator!E23,tbSkills!DH3:DI6,2,FALSE)+IF(AND(Calculator!B8=TRUE,Backdoors!BI46=TRUE),VLOOKUP(Calculator!E23,tbSkills!DH3:DJ6,3,FALSE),0),0)))/100)),1),1)</f>
        <v>0.5</v>
      </c>
      <c r="KW18" s="87">
        <f t="shared" si="35"/>
        <v>0</v>
      </c>
    </row>
    <row r="19" spans="1:309" x14ac:dyDescent="0.25">
      <c r="A19" s="95" t="str">
        <f>tbMoveset!A19</f>
        <v>Left Roundslash (L2)</v>
      </c>
      <c r="B19" s="86">
        <f>IFERROR(IF(VLOOKUP(A19,tbMoveset!A2:B112,2,FALSE)="Sever",Backdoors!AY3/100,IF(VLOOKUP(A19,tbMoveset!A2:B112,2,FALSE)="Blunt",Backdoors!AZ3/100,Backdoors!BA3/100)),"")</f>
        <v>0.8</v>
      </c>
      <c r="C19" s="49">
        <f>IFERROR(IF(VLOOKUP(tbMoveset!A19,tbMoveset!A2:H112,8,FALSE)="Other",IF(VLOOKUP(tbMoveset!A19,tbMoveset!A2:I112,9,FALSE)="Fire",Backdoors!BB3,IF(VLOOKUP(tbMoveset!A19,tbMoveset!A2:I112,9,FALSE)="Water",Backdoors!BC3,IF(VLOOKUP(tbMoveset!A19,tbMoveset!A2:I112,9,FALSE)="Thunder",Backdoors!BD3,IF(VLOOKUP(tbMoveset!A19,tbMoveset!A2:I112,9,FALSE)="Ice",Backdoors!BE3,IF(VLOOKUP(tbMoveset!A19,tbMoveset!A2:I112,9,FALSE)="Dragon",Backdoors!BF3,Backdoors!BG3)))))/100,Backdoors!BG3/100),"")</f>
        <v>0</v>
      </c>
      <c r="D19" s="49">
        <f>IFERROR(IF(VLOOKUP(A19,tbMoveset!A2:J112,10,FALSE)=TRUE,IF((Backdoors!AI12+IF(B19&gt;=0.45,VLOOKUP(Calculator!E23,tbSkills!DH3:DI6,2,FALSE)+IF(AND(Calculator!B8=TRUE,Backdoors!BI3=TRUE),VLOOKUP(Calculator!E23,tbSkills!DH3:DJ6,3,FALSE),0),0))&gt;=0,1+(Backdoors!AL2*(IF((Backdoors!AI12+IF(B19&gt;=0.45,VLOOKUP(Calculator!E23,tbSkills!DH3:DI6,2,FALSE)+IF(AND(Calculator!B8=TRUE,Backdoors!BI3=TRUE),VLOOKUP(Calculator!E23,tbSkills!DH3:DJ6,3,FALSE),0),0))&gt;=100,100,(Backdoors!AI12+IF(B19&gt;=0.45,VLOOKUP(Calculator!E23,tbSkills!DH3:DI6,2,FALSE)+IF(AND(Calculator!B8=TRUE,Backdoors!BI3=TRUE),VLOOKUP(Calculator!E23,tbSkills!DH3:DJ6,3,FALSE),0),0)))/100)),(1-(0.25*((-Backdoors!AI12-IF(B19&gt;=0.45,VLOOKUP(Calculator!E23,tbSkills!DH3:DI6,2,FALSE)+IF(AND(Calculator!B8=TRUE,Backdoors!BI3=TRUE),VLOOKUP(Calculator!E23,tbSkills!DH3:DJ6,3,FALSE),0),0))/100)))),1),"")</f>
        <v>1</v>
      </c>
      <c r="E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19)*D19)*(VLOOKUP(A19,tbMoveset!A2:C112,3,FALSE)/100)*IF(VLOOKUP(A19,tbMoveset!A2:B112,2,FALSE)="Projectile",Backdoors!N10,Backdoors!N9),0),"")</f>
        <v>3</v>
      </c>
      <c r="F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19&gt;=0.45,VLOOKUP(Calculator!E23,tbSkills!DH3:DI6,2,FALSE)+IF(AND(Calculator!B8=TRUE,Backdoors!BI3=TRUE),VLOOKUP(Calculator!E23,tbSkills!DH3:DJ6,3,FALSE),0),0))&gt;=100,100,(Backdoors!AI12+IF(B19&gt;=0.45,VLOOKUP(Calculator!E23,tbSkills!DH3:DI6,2,FALSE)+IF(AND(Calculator!B8=TRUE,Backdoors!BI3=TRUE),VLOOKUP(Calculator!E23,tbSkills!DH3:DJ6,3,FALSE),0),0)))/100)),1))*IF(VLOOKUP(A19,tbMoveset!A2:K112,11,FALSE)=TRUE,Backdoors!AC5,1))*C19,0),"")</f>
        <v>0</v>
      </c>
      <c r="G19">
        <f>VLOOKUP(A19,tbMoveset!A2:G112,7,FALSE)*IFERROR(IF(Backdoors!AI12&gt;=0,1+(IF(Calculator!E40&gt;0,VLOOKUP(Calculator!E40,tbSkills!AI3:AJ5,2,FALSE),Backdoors!AL4)*(IF((Backdoors!AI12+IF(B19&gt;=0.45,VLOOKUP(Calculator!E23,tbSkills!DH3:DI6,2,FALSE)+IF(AND(Calculator!B8=TRUE,Backdoors!BI3=TRUE),VLOOKUP(Calculator!E23,tbSkills!DH3:DJ6,3,FALSE),0),0))&gt;=100,100,(Backdoors!AI12+IF(B19&gt;=0.45,VLOOKUP(Calculator!E23,tbSkills!DH3:DI6,2,FALSE)+IF(AND(Calculator!B8=TRUE,Backdoors!BI3=TRUE),VLOOKUP(Calculator!E23,tbSkills!DH3:DJ6,3,FALSE),0),0)))/100)),1),1)</f>
        <v>0.5</v>
      </c>
      <c r="H19" s="87">
        <f t="shared" si="43"/>
        <v>3</v>
      </c>
      <c r="I19" s="86">
        <f>IFERROR(IF(VLOOKUP(A19,tbMoveset!A2:B112,2,FALSE)="Sever",Backdoors!AY4/100,IF(VLOOKUP(A19,tbMoveset!A2:B112,2,FALSE)="Blunt",Backdoors!AZ4/100,Backdoors!BA4/100)),"")</f>
        <v>0.65</v>
      </c>
      <c r="J19" s="49">
        <f>IFERROR(IF(VLOOKUP(tbMoveset!A19,tbMoveset!A2:H112,8,FALSE)="Other",IF(VLOOKUP(tbMoveset!A19,tbMoveset!A2:I112,9,FALSE)="Fire",Backdoors!BB4,IF(VLOOKUP(tbMoveset!A19,tbMoveset!A2:I112,9,FALSE)="Water",Backdoors!BC4,IF(VLOOKUP(tbMoveset!A19,tbMoveset!A2:I112,9,FALSE)="Thunder",Backdoors!BD4,IF(VLOOKUP(tbMoveset!A19,tbMoveset!A2:I112,9,FALSE)="Ice",Backdoors!BE4,IF(VLOOKUP(tbMoveset!A19,tbMoveset!A2:I112,9,FALSE)="Dragon",Backdoors!BF4,Backdoors!BG4)))))/100,Backdoors!BG4/100),"")</f>
        <v>0</v>
      </c>
      <c r="K19" s="49">
        <f>IFERROR(IF(VLOOKUP(A19,tbMoveset!A2:J112,10,FALSE)=TRUE,IF((Backdoors!AI12+IF(I19&gt;=0.45,VLOOKUP(Calculator!E23,tbSkills!DH3:DI6,2,FALSE)+IF(AND(Calculator!B8=TRUE,Backdoors!BI4=TRUE),VLOOKUP(Calculator!E23,tbSkills!DH3:DJ6,3,FALSE),0),0))&gt;=0,1+(Backdoors!AL2*(IF((Backdoors!AI12+IF(I19&gt;=0.45,VLOOKUP(Calculator!E23,tbSkills!DH3:DI6,2,FALSE)+IF(AND(Calculator!B8=TRUE,Backdoors!BI4=TRUE),VLOOKUP(Calculator!E23,tbSkills!DH3:DJ6,3,FALSE),0),0))&gt;=100,100,(Backdoors!AI12+IF(I19&gt;=0.45,VLOOKUP(Calculator!E23,tbSkills!DH3:DI6,2,FALSE)+IF(AND(Calculator!B8=TRUE,Backdoors!BI4=TRUE),VLOOKUP(Calculator!E23,tbSkills!DH3:DJ6,3,FALSE),0),0)))/100)),(1-(0.25*((-Backdoors!AI12-IF(I19&gt;=0.45,VLOOKUP(Calculator!E23,tbSkills!DH3:DI6,2,FALSE)+IF(AND(Calculator!B8=TRUE,Backdoors!BI4=TRUE),VLOOKUP(Calculator!E23,tbSkills!DH3:DJ6,3,FALSE),0),0))/100)))),1),"")</f>
        <v>1</v>
      </c>
      <c r="L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19)*K19)*(VLOOKUP(A19,tbMoveset!A2:C112,3,FALSE)/100)*IF(VLOOKUP(A19,tbMoveset!A2:B112,2,FALSE)="Projectile",Backdoors!N10,Backdoors!N9),0),"")</f>
        <v>3</v>
      </c>
      <c r="M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I19&gt;=0.45,VLOOKUP(Calculator!E23,tbSkills!DH3:DI6,2,FALSE)+IF(AND(Calculator!B8=TRUE,Backdoors!BI4=TRUE),VLOOKUP(Calculator!E23,tbSkills!DH3:DJ6,3,FALSE),0),0))&gt;=100,100,(Backdoors!AI12+IF(I19&gt;=0.45,VLOOKUP(Calculator!E23,tbSkills!DH3:DI6,2,FALSE)+IF(AND(Calculator!B8=TRUE,Backdoors!BI4=TRUE),VLOOKUP(Calculator!E23,tbSkills!DH3:DJ6,3,FALSE),0),0)))/100)),1))*IF(VLOOKUP(A19,tbMoveset!A2:K112,11,FALSE)=TRUE,Backdoors!AC5,1))*J19,0),"")</f>
        <v>0</v>
      </c>
      <c r="N19" s="49">
        <f>VLOOKUP(A19,tbMoveset!A2:G112,7,FALSE)*IFERROR(IF(Backdoors!AI12&gt;=0,1+(IF(Calculator!E40&gt;0,VLOOKUP(Calculator!E40,tbSkills!AI3:AJ5,2,FALSE),Backdoors!AL4)*(IF((Backdoors!AI12+IF(I19&gt;=0.45,VLOOKUP(Calculator!E23,tbSkills!DH3:DI6,2,FALSE)+IF(AND(Calculator!B8=TRUE,Backdoors!BI4=TRUE),VLOOKUP(Calculator!E23,tbSkills!DH3:DJ6,3,FALSE),0),0))&gt;=100,100,(Backdoors!AI12+IF(I19&gt;=0.45,VLOOKUP(Calculator!E23,tbSkills!DH3:DI6,2,FALSE)+IF(AND(Calculator!B8=TRUE,Backdoors!BI4=TRUE),VLOOKUP(Calculator!E23,tbSkills!DH3:DJ6,3,FALSE),0),0)))/100)),1),1)</f>
        <v>0.5</v>
      </c>
      <c r="O19" s="87">
        <f t="shared" si="36"/>
        <v>3</v>
      </c>
      <c r="P19" s="86">
        <f>IFERROR(IF(VLOOKUP(A19,tbMoveset!A2:B112,2,FALSE)="Sever",Backdoors!AY5/100,IF(VLOOKUP(A19,tbMoveset!A2:B112,2,FALSE)="Blunt",Backdoors!AZ5/100,Backdoors!BA5/100)),"")</f>
        <v>0.5</v>
      </c>
      <c r="Q19" s="49">
        <f>IFERROR(IF(VLOOKUP(tbMoveset!A19,tbMoveset!A2:H112,8,FALSE)="Other",IF(VLOOKUP(tbMoveset!A19,tbMoveset!A2:I112,9,FALSE)="Fire",Backdoors!BB5,IF(VLOOKUP(tbMoveset!A19,tbMoveset!A2:I112,9,FALSE)="Water",Backdoors!BC5,IF(VLOOKUP(tbMoveset!A19,tbMoveset!A2:I112,9,FALSE)="Thunder",Backdoors!BD5,IF(VLOOKUP(tbMoveset!A19,tbMoveset!A2:I112,9,FALSE)="Ice",Backdoors!BE5,IF(VLOOKUP(tbMoveset!A19,tbMoveset!A2:I112,9,FALSE)="Dragon",Backdoors!BF5,Backdoors!BG5)))))/100,Backdoors!BG5/100),"")</f>
        <v>0</v>
      </c>
      <c r="R19" s="49">
        <f>IFERROR(IF(VLOOKUP(A19,tbMoveset!A2:J112,10,FALSE)=TRUE,IF((Backdoors!AI12+IF(P19&gt;=0.45,VLOOKUP(Calculator!E23,tbSkills!DH3:DI6,2,FALSE)+IF(AND(Calculator!B8=TRUE,Backdoors!BI5=TRUE),VLOOKUP(Calculator!E23,tbSkills!DH3:DJ6,3,FALSE),0),0))&gt;=0,1+(Backdoors!AL2*(IF((Backdoors!AI12+IF(P19&gt;=0.45,VLOOKUP(Calculator!E23,tbSkills!DH3:DI6,2,FALSE)+IF(AND(Calculator!B8=TRUE,Backdoors!BI5=TRUE),VLOOKUP(Calculator!E23,tbSkills!DH3:DJ6,3,FALSE),0),0))&gt;=100,100,(Backdoors!AI12+IF(P19&gt;=0.45,VLOOKUP(Calculator!E23,tbSkills!DH3:DI6,2,FALSE)+IF(AND(Calculator!B8=TRUE,Backdoors!BI5=TRUE),VLOOKUP(Calculator!E23,tbSkills!DH3:DJ6,3,FALSE),0),0)))/100)),(1-(0.25*((-Backdoors!AI12-IF(P19&gt;=0.45,VLOOKUP(Calculator!E23,tbSkills!DH3:DI6,2,FALSE)+IF(AND(Calculator!B8=TRUE,Backdoors!BI5=TRUE),VLOOKUP(Calculator!E23,tbSkills!DH3:DJ6,3,FALSE),0),0))/100)))),1),"")</f>
        <v>1</v>
      </c>
      <c r="S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P19)*R19)*(VLOOKUP(A19,tbMoveset!A2:C112,3,FALSE)/100)*IF(VLOOKUP(A19,tbMoveset!A2:B112,2,FALSE)="Projectile",Backdoors!N10,Backdoors!N9),0),"")</f>
        <v>2</v>
      </c>
      <c r="T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P19&gt;=0.45,VLOOKUP(Calculator!E23,tbSkills!DH3:DI6,2,FALSE)+IF(AND(Calculator!B8=TRUE,Backdoors!BI5=TRUE),VLOOKUP(Calculator!E23,tbSkills!DH3:DJ6,3,FALSE),0),0))&gt;=100,100,(Backdoors!AI12+IF(P19&gt;=0.45,VLOOKUP(Calculator!E23,tbSkills!DH3:DI6,2,FALSE)+IF(AND(Calculator!B8=TRUE,Backdoors!BI5=TRUE),VLOOKUP(Calculator!E23,tbSkills!DH3:DJ6,3,FALSE),0),0)))/100)),1))*IF(VLOOKUP(A19,tbMoveset!A2:K112,11,FALSE)=TRUE,Backdoors!AC5,1))*Q19,0),"")</f>
        <v>0</v>
      </c>
      <c r="U19" s="49">
        <f>VLOOKUP(A19,tbMoveset!A2:G112,7,FALSE)*IFERROR(IF(Backdoors!AI12&gt;=0,1+(IF(Calculator!E40&gt;0,VLOOKUP(Calculator!E40,tbSkills!AI3:AJ5,2,FALSE),Backdoors!AL4)*(IF((Backdoors!AI12+IF(P19&gt;=0.45,VLOOKUP(Calculator!E23,tbSkills!DH3:DI6,2,FALSE)+IF(AND(Calculator!B8=TRUE,Backdoors!BI5=TRUE),VLOOKUP(Calculator!E23,tbSkills!DH3:DJ6,3,FALSE),0),0))&gt;=100,100,(Backdoors!AI12+IF(P19&gt;=0.45,VLOOKUP(Calculator!E23,tbSkills!DH3:DI6,2,FALSE)+IF(AND(Calculator!B8=TRUE,Backdoors!BI5=TRUE),VLOOKUP(Calculator!E23,tbSkills!DH3:DJ6,3,FALSE),0),0)))/100)),1),1)</f>
        <v>0.5</v>
      </c>
      <c r="V19" s="87">
        <f t="shared" si="37"/>
        <v>2</v>
      </c>
      <c r="W19" s="86">
        <f>IFERROR(IF(VLOOKUP(A19,tbMoveset!A2:B112,2,FALSE)="Sever",Backdoors!AY6/100,IF(VLOOKUP(A19,tbMoveset!A2:B112,2,FALSE)="Blunt",Backdoors!AZ6/100,Backdoors!BA6/100)),"")</f>
        <v>0.45</v>
      </c>
      <c r="X19" s="49">
        <f>IFERROR(IF(VLOOKUP(tbMoveset!A19,tbMoveset!A2:H112,8,FALSE)="Other",IF(VLOOKUP(tbMoveset!A19,tbMoveset!A2:I112,9,FALSE)="Fire",Backdoors!BB6,IF(VLOOKUP(tbMoveset!A19,tbMoveset!A2:I112,9,FALSE)="Water",Backdoors!BC6,IF(VLOOKUP(tbMoveset!A19,tbMoveset!A2:I112,9,FALSE)="Thunder",Backdoors!BD6,IF(VLOOKUP(tbMoveset!A19,tbMoveset!A2:I112,9,FALSE)="Ice",Backdoors!BE6,IF(VLOOKUP(tbMoveset!A19,tbMoveset!A2:I112,9,FALSE)="Dragon",Backdoors!BF6,Backdoors!BG6)))))/100,Backdoors!BG6/100),"")</f>
        <v>0</v>
      </c>
      <c r="Y19" s="49">
        <f>IFERROR(IF(VLOOKUP(A19,tbMoveset!A2:J112,10,FALSE)=TRUE,IF((Backdoors!AI12+IF(W19&gt;=0.45,VLOOKUP(Calculator!E23,tbSkills!DH3:DI6,2,FALSE)+IF(AND(Calculator!B8=TRUE,Backdoors!BI6=TRUE),VLOOKUP(Calculator!E23,tbSkills!DH3:DJ6,3,FALSE),0),0))&gt;=0,1+(Backdoors!AL2*(IF((Backdoors!AI12+IF(W19&gt;=0.45,VLOOKUP(Calculator!E23,tbSkills!DH3:DI6,2,FALSE)+IF(AND(Calculator!B8=TRUE,Backdoors!BI6=TRUE),VLOOKUP(Calculator!E23,tbSkills!DH3:DJ6,3,FALSE),0),0))&gt;=100,100,(Backdoors!AI12+IF(W19&gt;=0.45,VLOOKUP(Calculator!E23,tbSkills!DH3:DI6,2,FALSE)+IF(AND(Calculator!B8=TRUE,Backdoors!BI6=TRUE),VLOOKUP(Calculator!E23,tbSkills!DH3:DJ6,3,FALSE),0),0)))/100)),(1-(0.25*((-Backdoors!AI12-IF(W19&gt;=0.45,VLOOKUP(Calculator!E23,tbSkills!DH3:DI6,2,FALSE)+IF(AND(Calculator!B8=TRUE,Backdoors!BI6=TRUE),VLOOKUP(Calculator!E23,tbSkills!DH3:DJ6,3,FALSE),0),0))/100)))),1),"")</f>
        <v>1</v>
      </c>
      <c r="Z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W19)*Y19)*(VLOOKUP(A19,tbMoveset!A2:C112,3,FALSE)/100)*IF(VLOOKUP(A19,tbMoveset!A2:B112,2,FALSE)="Projectile",Backdoors!N10,Backdoors!N9),0),"")</f>
        <v>2</v>
      </c>
      <c r="AA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W19&gt;=0.45,VLOOKUP(Calculator!E23,tbSkills!DH3:DI6,2,FALSE)+IF(AND(Calculator!B8=TRUE,Backdoors!BI6=TRUE),VLOOKUP(Calculator!E23,tbSkills!DH3:DJ6,3,FALSE),0),0))&gt;=100,100,(Backdoors!AI12+IF(W19&gt;=0.45,VLOOKUP(Calculator!E23,tbSkills!DH3:DI6,2,FALSE)+IF(AND(Calculator!B8=TRUE,Backdoors!BI6=TRUE),VLOOKUP(Calculator!E23,tbSkills!DH3:DJ6,3,FALSE),0),0)))/100)),1))*IF(VLOOKUP(A19,tbMoveset!A2:K112,11,FALSE)=TRUE,Backdoors!AC5,1))*X19,0),"")</f>
        <v>0</v>
      </c>
      <c r="AB19" s="49">
        <f>VLOOKUP(A19,tbMoveset!A2:G112,7,FALSE)*IFERROR(IF(Backdoors!AI12&gt;=0,1+(IF(Calculator!E40&gt;0,VLOOKUP(Calculator!E40,tbSkills!AI3:AJ5,2,FALSE),Backdoors!AL4)*(IF((Backdoors!AI12+IF(W19&gt;=0.45,VLOOKUP(Calculator!E23,tbSkills!DH3:DI6,2,FALSE)+IF(AND(Calculator!B8=TRUE,Backdoors!BI6=TRUE),VLOOKUP(Calculator!E23,tbSkills!DH3:DJ6,3,FALSE),0),0))&gt;=100,100,(Backdoors!AI12+IF(W19&gt;=0.45,VLOOKUP(Calculator!E23,tbSkills!DH3:DI6,2,FALSE)+IF(AND(Calculator!B8=TRUE,Backdoors!BI6=TRUE),VLOOKUP(Calculator!E23,tbSkills!DH3:DJ6,3,FALSE),0),0)))/100)),1),1)</f>
        <v>0.5</v>
      </c>
      <c r="AC19" s="87">
        <f t="shared" si="0"/>
        <v>2</v>
      </c>
      <c r="AD19" s="86">
        <f>IFERROR(IF(VLOOKUP(A19,tbMoveset!A2:B112,2,FALSE)="Sever",Backdoors!AY7/100,IF(VLOOKUP(A19,tbMoveset!A2:B112,2,FALSE)="Blunt",Backdoors!AZ7/100,Backdoors!BA7/100)),"")</f>
        <v>0.65</v>
      </c>
      <c r="AE19" s="49">
        <f>IFERROR(IF(VLOOKUP(tbMoveset!A19,tbMoveset!A2:H112,8,FALSE)="Other",IF(VLOOKUP(tbMoveset!A19,tbMoveset!A2:I112,9,FALSE)="Fire",Backdoors!BB7,IF(VLOOKUP(tbMoveset!A19,tbMoveset!A2:I112,9,FALSE)="Water",Backdoors!BC7,IF(VLOOKUP(tbMoveset!A19,tbMoveset!A2:I112,9,FALSE)="Thunder",Backdoors!BD7,IF(VLOOKUP(tbMoveset!A19,tbMoveset!A2:I112,9,FALSE)="Ice",Backdoors!BE7,IF(VLOOKUP(tbMoveset!A19,tbMoveset!A2:I112,9,FALSE)="Dragon",Backdoors!BF7,Backdoors!BG7)))))/100,Backdoors!BG7/100),"")</f>
        <v>0</v>
      </c>
      <c r="AF19" s="49">
        <f>IFERROR(IF(VLOOKUP(A19,tbMoveset!A2:J112,10,FALSE)=TRUE,IF((Backdoors!AI12+IF(AD19&gt;=0.45,VLOOKUP(Calculator!E23,tbSkills!DH3:DI6,2,FALSE)+IF(AND(Calculator!B8=TRUE,Backdoors!BI7=TRUE),VLOOKUP(Calculator!E23,tbSkills!DH3:DJ6,3,FALSE),0),0))&gt;=0,1+(Backdoors!AL2*(IF((Backdoors!AI12+IF(AD19&gt;=0.45,VLOOKUP(Calculator!E23,tbSkills!DH3:DI6,2,FALSE)+IF(AND(Calculator!B8=TRUE,Backdoors!BI7=TRUE),VLOOKUP(Calculator!E23,tbSkills!DH3:DJ6,3,FALSE),0),0))&gt;=100,100,(Backdoors!AI12+IF(AD19&gt;=0.45,VLOOKUP(Calculator!E23,tbSkills!DH3:DI6,2,FALSE)+IF(AND(Calculator!B8=TRUE,Backdoors!BI7=TRUE),VLOOKUP(Calculator!E23,tbSkills!DH3:DJ6,3,FALSE),0),0)))/100)),(1-(0.25*((-Backdoors!AI12-IF(AD19&gt;=0.45,VLOOKUP(Calculator!E23,tbSkills!DH3:DI6,2,FALSE)+IF(AND(Calculator!B8=TRUE,Backdoors!BI7=TRUE),VLOOKUP(Calculator!E23,tbSkills!DH3:DJ6,3,FALSE),0),0))/100)))),1),"")</f>
        <v>1</v>
      </c>
      <c r="AG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D19)*AF19)*(VLOOKUP(A19,tbMoveset!A2:C112,3,FALSE)/100)*IF(VLOOKUP(A19,tbMoveset!A2:B112,2,FALSE)="Projectile",Backdoors!N10,Backdoors!N9),0),"")</f>
        <v>3</v>
      </c>
      <c r="AH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D19&gt;=0.45,VLOOKUP(Calculator!E23,tbSkills!DH3:DI6,2,FALSE)+IF(AND(Calculator!B8=TRUE,Backdoors!BI7=TRUE),VLOOKUP(Calculator!E23,tbSkills!DH3:DJ6,3,FALSE),0),0))&gt;=100,100,(Backdoors!AI12+IF(AD19&gt;=0.45,VLOOKUP(Calculator!E23,tbSkills!DH3:DI6,2,FALSE)+IF(AND(Calculator!B8=TRUE,Backdoors!BI7=TRUE),VLOOKUP(Calculator!E23,tbSkills!DH3:DJ6,3,FALSE),0),0)))/100)),1))*IF(VLOOKUP(A19,tbMoveset!A2:K112,11,FALSE)=TRUE,Backdoors!AC5,1))*AE19,0),"")</f>
        <v>0</v>
      </c>
      <c r="AI19" s="49">
        <f>VLOOKUP(A19,tbMoveset!A2:G112,7,FALSE)*IFERROR(IF(Backdoors!AI12&gt;=0,1+(IF(Calculator!E40&gt;0,VLOOKUP(Calculator!E40,tbSkills!AI3:AJ5,2,FALSE),Backdoors!AL4)*(IF((Backdoors!AI12+IF(AD19&gt;=0.45,VLOOKUP(Calculator!E23,tbSkills!DH3:DI6,2,FALSE)+IF(AND(Calculator!B8=TRUE,Backdoors!BI7=TRUE),VLOOKUP(Calculator!E23,tbSkills!DH3:DJ6,3,FALSE),0),0))&gt;=100,100,(Backdoors!AI12+IF(AD19&gt;=0.45,VLOOKUP(Calculator!E23,tbSkills!DH3:DI6,2,FALSE)+IF(AND(Calculator!B8=TRUE,Backdoors!BI7=TRUE),VLOOKUP(Calculator!E23,tbSkills!DH3:DJ6,3,FALSE),0),0)))/100)),1),1)</f>
        <v>0.5</v>
      </c>
      <c r="AJ19" s="87">
        <f t="shared" si="1"/>
        <v>3</v>
      </c>
      <c r="AK19" s="91">
        <f>IFERROR(IF(VLOOKUP(A19,tbMoveset!A2:B112,2,FALSE)="Sever",Backdoors!AY8/100,IF(VLOOKUP(A19,tbMoveset!A2:B112,2,FALSE)="Blunt",Backdoors!AZ8/100,Backdoors!BA8/100)),"")</f>
        <v>0.45</v>
      </c>
      <c r="AL19" s="49">
        <f>IFERROR(IF(VLOOKUP(tbMoveset!A19,tbMoveset!A2:H112,8,FALSE)="Other",IF(VLOOKUP(tbMoveset!A19,tbMoveset!A2:I112,9,FALSE)="Fire",Backdoors!BB8,IF(VLOOKUP(tbMoveset!A19,tbMoveset!A2:I112,9,FALSE)="Water",Backdoors!BC8,IF(VLOOKUP(tbMoveset!A19,tbMoveset!A2:I112,9,FALSE)="Thunder",Backdoors!BD8,IF(VLOOKUP(tbMoveset!A19,tbMoveset!A2:I112,9,FALSE)="Ice",Backdoors!BE8,IF(VLOOKUP(tbMoveset!A19,tbMoveset!A2:I112,9,FALSE)="Dragon",Backdoors!BF8,Backdoors!BG8)))))/100,Backdoors!BG8/100),"")</f>
        <v>0</v>
      </c>
      <c r="AM19" s="49">
        <f>IFERROR(IF(VLOOKUP(A19,tbMoveset!A2:J112,10,FALSE)=TRUE,IF((Backdoors!AI12+IF(AK19&gt;=0.45,VLOOKUP(Calculator!E23,tbSkills!DH3:DI6,2,FALSE)+IF(AND(Calculator!B8=TRUE,Backdoors!BI8=TRUE),VLOOKUP(Calculator!E23,tbSkills!DH3:DJ6,3,FALSE),0),0))&gt;=0,1+(Backdoors!AL2*(IF((Backdoors!AI12+IF(AK19&gt;=0.45,VLOOKUP(Calculator!E23,tbSkills!DH3:DI6,2,FALSE)+IF(AND(Calculator!B8=TRUE,Backdoors!BI8=TRUE),VLOOKUP(Calculator!E23,tbSkills!DH3:DJ6,3,FALSE),0),0))&gt;=100,100,(Backdoors!AI12+IF(AK19&gt;=0.45,VLOOKUP(Calculator!E23,tbSkills!DH3:DI6,2,FALSE)+IF(AND(Calculator!B8=TRUE,Backdoors!BI8=TRUE),VLOOKUP(Calculator!E23,tbSkills!DH3:DJ6,3,FALSE),0),0)))/100)),(1-(0.25*((-Backdoors!AI12-IF(AK19&gt;=0.45,VLOOKUP(Calculator!E23,tbSkills!DH3:DI6,2,FALSE)+IF(AND(Calculator!B8=TRUE,Backdoors!BI8=TRUE),VLOOKUP(Calculator!E23,tbSkills!DH3:DJ6,3,FALSE),0),0))/100)))),1),"")</f>
        <v>1</v>
      </c>
      <c r="AN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K19)*AM19)*(VLOOKUP(A19,tbMoveset!A2:C112,3,FALSE)/100)*IF(VLOOKUP(A19,tbMoveset!A2:B112,2,FALSE)="Projectile",Backdoors!N10,Backdoors!N9),0),"")</f>
        <v>2</v>
      </c>
      <c r="AO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K19&gt;=0.45,VLOOKUP(Calculator!E23,tbSkills!DH3:DI6,2,FALSE)+IF(AND(Calculator!B8=TRUE,Backdoors!BI8=TRUE),VLOOKUP(Calculator!E23,tbSkills!DH3:DJ6,3,FALSE),0),0))&gt;=100,100,(Backdoors!AI12+IF(AK19&gt;=0.45,VLOOKUP(Calculator!E23,tbSkills!DH3:DI6,2,FALSE)+IF(AND(Calculator!B8=TRUE,Backdoors!BI8=TRUE),VLOOKUP(Calculator!E23,tbSkills!DH3:DJ6,3,FALSE),0),0)))/100)),1))*IF(VLOOKUP(A19,tbMoveset!A2:K112,11,FALSE)=TRUE,Backdoors!AC5,1))*AL19,0),"")</f>
        <v>0</v>
      </c>
      <c r="AP19" s="49">
        <f>VLOOKUP(A19,tbMoveset!A2:G112,7,FALSE)*IFERROR(IF(Backdoors!AI12&gt;=0,1+(IF(Calculator!E40&gt;0,VLOOKUP(Calculator!E40,tbSkills!AI3:AJ5,2,FALSE),Backdoors!AL4)*(IF((Backdoors!AI12+IF(AK19&gt;=0.45,VLOOKUP(Calculator!E23,tbSkills!DH3:DI6,2,FALSE)+IF(AND(Calculator!B8=TRUE,Backdoors!BI8=TRUE),VLOOKUP(Calculator!E23,tbSkills!DH3:DJ6,3,FALSE),0),0))&gt;=100,100,(Backdoors!AI12+IF(AK19&gt;=0.45,VLOOKUP(Calculator!E23,tbSkills!DH3:DI6,2,FALSE)+IF(AND(Calculator!B8=TRUE,Backdoors!BI8=TRUE),VLOOKUP(Calculator!E23,tbSkills!DH3:DJ6,3,FALSE),0),0)))/100)),1),1)</f>
        <v>0.5</v>
      </c>
      <c r="AQ19" s="87">
        <f t="shared" si="2"/>
        <v>2</v>
      </c>
      <c r="AR19" s="86">
        <f>IFERROR(IF(VLOOKUP(A19,tbMoveset!A2:B112,2,FALSE)="Sever",Backdoors!AY9/100,IF(VLOOKUP(A19,tbMoveset!A2:B112,2,FALSE)="Blunt",Backdoors!AZ9/100,Backdoors!BA9/100)),"")</f>
        <v>0.45</v>
      </c>
      <c r="AS19" s="49">
        <f>IFERROR(IF(VLOOKUP(tbMoveset!A19,tbMoveset!A2:H112,8,FALSE)="Other",IF(VLOOKUP(tbMoveset!A19,tbMoveset!A2:I112,9,FALSE)="Fire",Backdoors!BB9,IF(VLOOKUP(tbMoveset!A19,tbMoveset!A2:I112,9,FALSE)="Water",Backdoors!BC9,IF(VLOOKUP(tbMoveset!A19,tbMoveset!A2:I112,9,FALSE)="Thunder",Backdoors!BD9,IF(VLOOKUP(tbMoveset!A19,tbMoveset!A2:I112,9,FALSE)="Ice",Backdoors!BE9,IF(VLOOKUP(tbMoveset!A19,tbMoveset!A2:I112,9,FALSE)="Dragon",Backdoors!BF9,Backdoors!BG9)))))/100,Backdoors!BG9/100),"")</f>
        <v>0</v>
      </c>
      <c r="AT19" s="49">
        <f>IFERROR(IF(VLOOKUP(A19,tbMoveset!A2:J112,10,FALSE)=TRUE,IF((Backdoors!AI12+IF(AR19&gt;=0.45,VLOOKUP(Calculator!E23,tbSkills!DH3:DI6,2,FALSE)+IF(AND(Calculator!B8=TRUE,Backdoors!BI9=TRUE),VLOOKUP(Calculator!E23,tbSkills!DH3:DJ6,3,FALSE),0),0))&gt;=0,1+(Backdoors!AL2*(IF((Backdoors!AI12+IF(AR19&gt;=0.45,VLOOKUP(Calculator!E23,tbSkills!DH3:DI6,2,FALSE)+IF(AND(Calculator!B8=TRUE,Backdoors!BI9=TRUE),VLOOKUP(Calculator!E23,tbSkills!DH3:DJ6,3,FALSE),0),0))&gt;=100,100,(Backdoors!AI12+IF(AR19&gt;=0.45,VLOOKUP(Calculator!E23,tbSkills!DH3:DI6,2,FALSE)+IF(AND(Calculator!B8=TRUE,Backdoors!BI9=TRUE),VLOOKUP(Calculator!E23,tbSkills!DH3:DJ6,3,FALSE),0),0)))/100)),(1-(0.25*((-Backdoors!AI12-IF(AR19&gt;=0.45,VLOOKUP(Calculator!E23,tbSkills!DH3:DI6,2,FALSE)+IF(AND(Calculator!B8=TRUE,Backdoors!BI9=TRUE),VLOOKUP(Calculator!E23,tbSkills!DH3:DJ6,3,FALSE),0),0))/100)))),1),"")</f>
        <v>1</v>
      </c>
      <c r="AU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R19)*AT19)*(VLOOKUP(A19,tbMoveset!A2:C112,3,FALSE)/100)*IF(VLOOKUP(A19,tbMoveset!A2:B112,2,FALSE)="Projectile",Backdoors!N10,Backdoors!N9),0),"")</f>
        <v>2</v>
      </c>
      <c r="AV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R19&gt;=0.45,VLOOKUP(Calculator!E23,tbSkills!DH3:DI6,2,FALSE)+IF(AND(Calculator!B8=TRUE,Backdoors!BI9=TRUE),VLOOKUP(Calculator!E23,tbSkills!DH3:DJ6,3,FALSE),0),0))&gt;=100,100,(Backdoors!AI12+IF(AR19&gt;=0.45,VLOOKUP(Calculator!E23,tbSkills!DH3:DI6,2,FALSE)+IF(AND(Calculator!B8=TRUE,Backdoors!BI9=TRUE),VLOOKUP(Calculator!E23,tbSkills!DH3:DJ6,3,FALSE),0),0)))/100)),1))*IF(VLOOKUP(A19,tbMoveset!A2:K112,11,FALSE)=TRUE,Backdoors!AC5,1))*AS19,0),"")</f>
        <v>0</v>
      </c>
      <c r="AW19" s="49">
        <f>VLOOKUP(A19,tbMoveset!A2:G112,7,FALSE)*IFERROR(IF(Backdoors!AI12&gt;=0,1+(IF(Calculator!E40&gt;0,VLOOKUP(Calculator!E40,tbSkills!AI3:AJ5,2,FALSE),Backdoors!AL4)*(IF((Backdoors!AI12+IF(AR19&gt;=0.45,VLOOKUP(Calculator!E23,tbSkills!DH3:DI6,2,FALSE)+IF(AND(Calculator!B8=TRUE,Backdoors!BI9=TRUE),VLOOKUP(Calculator!E23,tbSkills!DH3:DJ6,3,FALSE),0),0))&gt;=100,100,(Backdoors!AI12+IF(AR19&gt;=0.45,VLOOKUP(Calculator!E23,tbSkills!DH3:DI6,2,FALSE)+IF(AND(Calculator!B8=TRUE,Backdoors!BI9=TRUE),VLOOKUP(Calculator!E23,tbSkills!DH3:DJ6,3,FALSE),0),0)))/100)),1),1)</f>
        <v>0.5</v>
      </c>
      <c r="AX19" s="87">
        <f t="shared" si="38"/>
        <v>2</v>
      </c>
      <c r="AY19" s="86">
        <f>IFERROR(IF(VLOOKUP(A19,tbMoveset!A2:B112,2,FALSE)="Sever",Backdoors!AY10/100,IF(VLOOKUP(A19,tbMoveset!A2:B112,2,FALSE)="Blunt",Backdoors!AZ10/100,Backdoors!BA10/100)),"")</f>
        <v>0.9</v>
      </c>
      <c r="AZ19" s="49">
        <f>IFERROR(IF(VLOOKUP(tbMoveset!A19,tbMoveset!A2:H112,8,FALSE)="Other",IF(VLOOKUP(tbMoveset!A19,tbMoveset!A2:I112,9,FALSE)="Fire",Backdoors!BB10,IF(VLOOKUP(tbMoveset!A19,tbMoveset!A2:I112,9,FALSE)="Water",Backdoors!BC10,IF(VLOOKUP(tbMoveset!A19,tbMoveset!A2:I112,9,FALSE)="Thunder",Backdoors!BD10,IF(VLOOKUP(tbMoveset!A19,tbMoveset!A2:I112,9,FALSE)="Ice",Backdoors!BE10,IF(VLOOKUP(tbMoveset!A19,tbMoveset!A2:I112,9,FALSE)="Dragon",Backdoors!BF10,Backdoors!BG10)))))/100,Backdoors!BG10/100),"")</f>
        <v>0</v>
      </c>
      <c r="BA19" s="49">
        <f>IFERROR(IF(VLOOKUP(A19,tbMoveset!A2:J112,10,FALSE)=TRUE,IF((Backdoors!AI12+IF(AY19&gt;=0.45,VLOOKUP(Calculator!E23,tbSkills!DH3:DI6,2,FALSE)+IF(AND(Calculator!B8=TRUE,Backdoors!BI10=TRUE),VLOOKUP(Calculator!E23,tbSkills!DH3:DJ6,3,FALSE),0),0))&gt;=0,1+(Backdoors!AL2*(IF((Backdoors!AI12+IF(AY19&gt;=0.45,VLOOKUP(Calculator!E23,tbSkills!DH3:DI6,2,FALSE)+IF(AND(Calculator!B8=TRUE,Backdoors!BI10=TRUE),VLOOKUP(Calculator!E23,tbSkills!DH3:DJ6,3,FALSE),0),0))&gt;=100,100,(Backdoors!AI12+IF(AY19&gt;=0.45,VLOOKUP(Calculator!E23,tbSkills!DH3:DI6,2,FALSE)+IF(AND(Calculator!B8=TRUE,Backdoors!BI10=TRUE),VLOOKUP(Calculator!E23,tbSkills!DH3:DJ6,3,FALSE),0),0)))/100)),(1-(0.25*((-Backdoors!AI12-IF(AY19&gt;=0.45,VLOOKUP(Calculator!E23,tbSkills!DH3:DI6,2,FALSE)+IF(AND(Calculator!B8=TRUE,Backdoors!BI10=TRUE),VLOOKUP(Calculator!E23,tbSkills!DH3:DJ6,3,FALSE),0),0))/100)))),1),"")</f>
        <v>1</v>
      </c>
      <c r="BB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Y19)*BA19)*(VLOOKUP(A19,tbMoveset!A2:C112,3,FALSE)/100)*IF(VLOOKUP(A19,tbMoveset!A2:B112,2,FALSE)="Projectile",Backdoors!N10,Backdoors!N9),0),"")</f>
        <v>4</v>
      </c>
      <c r="BC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Y19&gt;=0.45,VLOOKUP(Calculator!E23,tbSkills!DH3:DI6,2,FALSE)+IF(AND(Calculator!B8=TRUE,Backdoors!BI10=TRUE),VLOOKUP(Calculator!E23,tbSkills!DH3:DJ6,3,FALSE),0),0))&gt;=100,100,(Backdoors!AI12+IF(AY19&gt;=0.45,VLOOKUP(Calculator!E23,tbSkills!DH3:DI6,2,FALSE)+IF(AND(Calculator!B8=TRUE,Backdoors!BI10=TRUE),VLOOKUP(Calculator!E23,tbSkills!DH3:DJ6,3,FALSE),0),0)))/100)),1))*IF(VLOOKUP(A19,tbMoveset!A2:K112,11,FALSE)=TRUE,Backdoors!AC5,1))*AZ19,0),"")</f>
        <v>0</v>
      </c>
      <c r="BD19" s="49">
        <f>VLOOKUP(A19,tbMoveset!A2:G112,7,FALSE)*IFERROR(IF(Backdoors!AI12&gt;=0,1+(IF(Calculator!E40&gt;0,VLOOKUP(Calculator!E40,tbSkills!AI3:AJ5,2,FALSE),Backdoors!AL4)*(IF((Backdoors!AI12+IF(AY19&gt;=0.45,VLOOKUP(Calculator!E23,tbSkills!DH3:DI6,2,FALSE)+IF(AND(Calculator!B8=TRUE,Backdoors!BI10=TRUE),VLOOKUP(Calculator!E23,tbSkills!DH3:DJ6,3,FALSE),0),0))&gt;=100,100,(Backdoors!AI12+IF(AY19&gt;=0.45,VLOOKUP(Calculator!E23,tbSkills!DH3:DI6,2,FALSE)+IF(AND(Calculator!B8=TRUE,Backdoors!BI10=TRUE),VLOOKUP(Calculator!E23,tbSkills!DH3:DJ6,3,FALSE),0),0)))/100)),1),1)</f>
        <v>0.5</v>
      </c>
      <c r="BE19" s="87">
        <f t="shared" si="3"/>
        <v>4</v>
      </c>
      <c r="BF19" s="86" t="str">
        <f>IFERROR(IF(VLOOKUP(A19,tbMoveset!A2:B112,2,FALSE)="Sever",Backdoors!AY11/100,IF(VLOOKUP(A19,tbMoveset!A2:B112,2,FALSE)="Blunt",Backdoors!AZ11/100,Backdoors!BA11/100)),"")</f>
        <v/>
      </c>
      <c r="BG19" s="49">
        <f>IFERROR(IF(VLOOKUP(tbMoveset!A19,tbMoveset!A2:H112,8,FALSE)="Other",IF(VLOOKUP(tbMoveset!A19,tbMoveset!A2:I112,9,FALSE)="Fire",Backdoors!BB11,IF(VLOOKUP(tbMoveset!A19,tbMoveset!A2:I112,9,FALSE)="Water",Backdoors!BC11,IF(VLOOKUP(tbMoveset!A19,tbMoveset!A2:I112,9,FALSE)="Thunder",Backdoors!BD11,IF(VLOOKUP(tbMoveset!A19,tbMoveset!A2:I112,9,FALSE)="Ice",Backdoors!BE11,IF(VLOOKUP(tbMoveset!A19,tbMoveset!A2:I112,9,FALSE)="Dragon",Backdoors!BF11,Backdoors!BG11)))))/100,Backdoors!BG11/100),"")</f>
        <v>0</v>
      </c>
      <c r="BH19" s="49">
        <f>IFERROR(IF(VLOOKUP(A19,tbMoveset!A2:J112,10,FALSE)=TRUE,IF((Backdoors!AI12+IF(BF19&gt;=0.45,VLOOKUP(Calculator!E23,tbSkills!DH3:DI6,2,FALSE)+IF(AND(Calculator!B8=TRUE,Backdoors!BI11=TRUE),VLOOKUP(Calculator!E23,tbSkills!DH3:DJ6,3,FALSE),0),0))&gt;=0,1+(Backdoors!AL2*(IF((Backdoors!AI12+IF(BF19&gt;=0.45,VLOOKUP(Calculator!E23,tbSkills!DH3:DI6,2,FALSE)+IF(AND(Calculator!B8=TRUE,Backdoors!BI11=TRUE),VLOOKUP(Calculator!E23,tbSkills!DH3:DJ6,3,FALSE),0),0))&gt;=100,100,(Backdoors!AI12+IF(BF19&gt;=0.45,VLOOKUP(Calculator!E23,tbSkills!DH3:DI6,2,FALSE)+IF(AND(Calculator!B8=TRUE,Backdoors!BI11=TRUE),VLOOKUP(Calculator!E23,tbSkills!DH3:DJ6,3,FALSE),0),0)))/100)),(1-(0.25*((-Backdoors!AI12-IF(BF19&gt;=0.45,VLOOKUP(Calculator!E23,tbSkills!DH3:DI6,2,FALSE)+IF(AND(Calculator!B8=TRUE,Backdoors!BI11=TRUE),VLOOKUP(Calculator!E23,tbSkills!DH3:DJ6,3,FALSE),0),0))/100)))),1),"")</f>
        <v>1</v>
      </c>
      <c r="BI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F19)*BH19)*(VLOOKUP(A19,tbMoveset!A2:C112,3,FALSE)/100)*IF(VLOOKUP(A19,tbMoveset!A2:B112,2,FALSE)="Projectile",Backdoors!N10,Backdoors!N9),0),"")</f>
        <v/>
      </c>
      <c r="BJ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F19&gt;=0.45,VLOOKUP(Calculator!E23,tbSkills!DH3:DI6,2,FALSE)+IF(AND(Calculator!B8=TRUE,Backdoors!BI11=TRUE),VLOOKUP(Calculator!E23,tbSkills!DH3:DJ6,3,FALSE),0),0))&gt;=100,100,(Backdoors!AI12+IF(BF19&gt;=0.45,VLOOKUP(Calculator!E23,tbSkills!DH3:DI6,2,FALSE)+IF(AND(Calculator!B8=TRUE,Backdoors!BI11=TRUE),VLOOKUP(Calculator!E23,tbSkills!DH3:DJ6,3,FALSE),0),0)))/100)),1))*IF(VLOOKUP(A19,tbMoveset!A2:K112,11,FALSE)=TRUE,Backdoors!AC5,1))*BG19,0),"")</f>
        <v>0</v>
      </c>
      <c r="BK19" s="49">
        <f>VLOOKUP(A19,tbMoveset!A2:G112,7,FALSE)*IFERROR(IF(Backdoors!AI12&gt;=0,1+(IF(Calculator!E40&gt;0,VLOOKUP(Calculator!E40,tbSkills!AI3:AJ5,2,FALSE),Backdoors!AL4)*(IF((Backdoors!AI12+IF(BF19&gt;=0.45,VLOOKUP(Calculator!E23,tbSkills!DH3:DI6,2,FALSE)+IF(AND(Calculator!B8=TRUE,Backdoors!BI11=TRUE),VLOOKUP(Calculator!E23,tbSkills!DH3:DJ6,3,FALSE),0),0))&gt;=100,100,(Backdoors!AI12+IF(BF19&gt;=0.45,VLOOKUP(Calculator!E23,tbSkills!DH3:DI6,2,FALSE)+IF(AND(Calculator!B8=TRUE,Backdoors!BI11=TRUE),VLOOKUP(Calculator!E23,tbSkills!DH3:DJ6,3,FALSE),0),0)))/100)),1),1)</f>
        <v>0.5</v>
      </c>
      <c r="BL19" s="87">
        <f t="shared" si="4"/>
        <v>0</v>
      </c>
      <c r="BM19" s="86" t="str">
        <f>IFERROR(IF(VLOOKUP(A19,tbMoveset!A2:B112,2,FALSE)="Sever",Backdoors!AY12/100,IF(VLOOKUP(A19,tbMoveset!A2:B112,2,FALSE)="Blunt",Backdoors!AZ12/100,Backdoors!BA12/100)),"")</f>
        <v/>
      </c>
      <c r="BN19" s="49">
        <f>IFERROR(IF(VLOOKUP(tbMoveset!A19,tbMoveset!A2:H112,8,FALSE)="Other",IF(VLOOKUP(tbMoveset!A19,tbMoveset!A2:I112,9,FALSE)="Fire",Backdoors!BB12,IF(VLOOKUP(tbMoveset!A19,tbMoveset!A2:I112,9,FALSE)="Water",Backdoors!BC12,IF(VLOOKUP(tbMoveset!A19,tbMoveset!A2:I112,9,FALSE)="Thunder",Backdoors!BD12,IF(VLOOKUP(tbMoveset!A19,tbMoveset!A2:I112,9,FALSE)="Ice",Backdoors!BE12,IF(VLOOKUP(tbMoveset!A19,tbMoveset!A2:I112,9,FALSE)="Dragon",Backdoors!BF12,Backdoors!BG12)))))/100,Backdoors!BG12/100),"")</f>
        <v>0</v>
      </c>
      <c r="BO19" s="49">
        <f>IFERROR(IF(VLOOKUP(A19,tbMoveset!A2:J112,10,FALSE)=TRUE,IF((Backdoors!AI12+IF(BM19&gt;=0.45,VLOOKUP(Calculator!E23,tbSkills!DH3:DI6,2,FALSE)+IF(AND(Calculator!B8=TRUE,Backdoors!BI12=TRUE),VLOOKUP(Calculator!E23,tbSkills!DH3:DJ6,3,FALSE),0),0))&gt;=0,1+(Backdoors!AL2*(IF((Backdoors!AI12+IF(BM19&gt;=0.45,VLOOKUP(Calculator!E23,tbSkills!DH3:DI6,2,FALSE)+IF(AND(Calculator!B8=TRUE,Backdoors!BI12=TRUE),VLOOKUP(Calculator!E23,tbSkills!DH3:DJ6,3,FALSE),0),0))&gt;=100,100,(Backdoors!AI12+IF(BM19&gt;=0.45,VLOOKUP(Calculator!E23,tbSkills!DH3:DI6,2,FALSE)+IF(AND(Calculator!B8=TRUE,Backdoors!BI12=TRUE),VLOOKUP(Calculator!E23,tbSkills!DH3:DJ6,3,FALSE),0),0)))/100)),(1-(0.25*((-Backdoors!AI12-IF(BM19&gt;=0.45,VLOOKUP(Calculator!E23,tbSkills!DH3:DI6,2,FALSE)+IF(AND(Calculator!B8=TRUE,Backdoors!BI12=TRUE),VLOOKUP(Calculator!E23,tbSkills!DH3:DJ6,3,FALSE),0),0))/100)))),1),"")</f>
        <v>1</v>
      </c>
      <c r="BP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M19)*BO19)*(VLOOKUP(A19,tbMoveset!A2:C112,3,FALSE)/100)*IF(VLOOKUP(A19,tbMoveset!A2:B112,2,FALSE)="Projectile",Backdoors!N10,Backdoors!N9),0),"")</f>
        <v/>
      </c>
      <c r="BQ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M19&gt;=0.45,VLOOKUP(Calculator!E23,tbSkills!DH3:DI6,2,FALSE)+IF(AND(Calculator!B8=TRUE,Backdoors!BI12=TRUE),VLOOKUP(Calculator!E23,tbSkills!DH3:DJ6,3,FALSE),0),0))&gt;=100,100,(Backdoors!AI12+IF(BM19&gt;=0.45,VLOOKUP(Calculator!E23,tbSkills!DH3:DI6,2,FALSE)+IF(AND(Calculator!B8=TRUE,Backdoors!BI12=TRUE),VLOOKUP(Calculator!E23,tbSkills!DH3:DJ6,3,FALSE),0),0)))/100)),1))*IF(VLOOKUP(A19,tbMoveset!A2:K112,11,FALSE)=TRUE,Backdoors!AC5,1))*BN19,0),"")</f>
        <v>0</v>
      </c>
      <c r="BR19" s="49">
        <f>VLOOKUP(A19,tbMoveset!A2:G112,7,FALSE)*IFERROR(IF(Backdoors!AI12&gt;=0,1+(IF(Calculator!E40&gt;0,VLOOKUP(Calculator!E40,tbSkills!AI3:AJ5,2,FALSE),Backdoors!AL4)*(IF((Backdoors!AI12+IF(BM19&gt;=0.45,VLOOKUP(Calculator!E23,tbSkills!DH3:DI6,2,FALSE)+IF(AND(Calculator!B8=TRUE,Backdoors!BI12=TRUE),VLOOKUP(Calculator!E23,tbSkills!DH3:DJ6,3,FALSE),0),0))&gt;=100,100,(Backdoors!AI12+IF(BM19&gt;=0.45,VLOOKUP(Calculator!E23,tbSkills!DH3:DI6,2,FALSE)+IF(AND(Calculator!B8=TRUE,Backdoors!BI12=TRUE),VLOOKUP(Calculator!E23,tbSkills!DH3:DJ6,3,FALSE),0),0)))/100)),1),1)</f>
        <v>0.5</v>
      </c>
      <c r="BS19" s="87">
        <f t="shared" si="39"/>
        <v>0</v>
      </c>
      <c r="BT19" s="86" t="str">
        <f>IFERROR(IF(VLOOKUP(A19,tbMoveset!A2:B112,2,FALSE)="Sever",Backdoors!AY13/100,IF(VLOOKUP(A19,tbMoveset!A2:B112,2,FALSE)="Blunt",Backdoors!AZ13/100,Backdoors!BA13/100)),"")</f>
        <v/>
      </c>
      <c r="BU19" s="49">
        <f>IFERROR(IF(VLOOKUP(tbMoveset!A19,tbMoveset!A2:H112,8,FALSE)="Other",IF(VLOOKUP(tbMoveset!A19,tbMoveset!A2:I112,9,FALSE)="Fire",Backdoors!BB13,IF(VLOOKUP(tbMoveset!A19,tbMoveset!A2:I112,9,FALSE)="Water",Backdoors!BC13,IF(VLOOKUP(tbMoveset!A19,tbMoveset!A2:I112,9,FALSE)="Thunder",Backdoors!BD13,IF(VLOOKUP(tbMoveset!A19,tbMoveset!A2:I112,9,FALSE)="Ice",Backdoors!BE13,IF(VLOOKUP(tbMoveset!A19,tbMoveset!A2:I112,9,FALSE)="Dragon",Backdoors!BF13,Backdoors!BG13)))))/100,Backdoors!BG13/100),"")</f>
        <v>0</v>
      </c>
      <c r="BV19" s="49">
        <f>IFERROR(IF(VLOOKUP(A19,tbMoveset!A2:J112,10,FALSE)=TRUE,IF((Backdoors!AI12+IF(BT19&gt;=0.45,VLOOKUP(Calculator!E23,tbSkills!DH3:DI6,2,FALSE)+IF(AND(Calculator!B8=TRUE,Backdoors!BI13=TRUE),VLOOKUP(Calculator!E23,tbSkills!DH3:DJ6,3,FALSE),0),0))&gt;=0,1+(Backdoors!AL2*(IF((Backdoors!AI12+IF(BT19&gt;=0.45,VLOOKUP(Calculator!E23,tbSkills!DH3:DI6,2,FALSE)+IF(AND(Calculator!B8=TRUE,Backdoors!BI13=TRUE),VLOOKUP(Calculator!E23,tbSkills!DH3:DJ6,3,FALSE),0),0))&gt;=100,100,(Backdoors!AI12+IF(BT19&gt;=0.45,VLOOKUP(Calculator!E23,tbSkills!DH3:DI6,2,FALSE)+IF(AND(Calculator!B8=TRUE,Backdoors!BI13=TRUE),VLOOKUP(Calculator!E23,tbSkills!DH3:DJ6,3,FALSE),0),0)))/100)),(1-(0.25*((-Backdoors!AI12-IF(BT19&gt;=0.45,VLOOKUP(Calculator!E23,tbSkills!DH3:DI6,2,FALSE)+IF(AND(Calculator!B8=TRUE,Backdoors!BI13=TRUE),VLOOKUP(Calculator!E23,tbSkills!DH3:DJ6,3,FALSE),0),0))/100)))),1),"")</f>
        <v>1</v>
      </c>
      <c r="BW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T19)*BV19)*(VLOOKUP(A19,tbMoveset!A2:C112,3,FALSE)/100)*IF(VLOOKUP(A19,tbMoveset!A2:B112,2,FALSE)="Projectile",Backdoors!N10,Backdoors!N9),0),"")</f>
        <v/>
      </c>
      <c r="BX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T19&gt;=0.45,VLOOKUP(Calculator!E23,tbSkills!DH3:DI6,2,FALSE)+IF(AND(Calculator!B8=TRUE,Backdoors!BI13=TRUE),VLOOKUP(Calculator!E23,tbSkills!DH3:DJ6,3,FALSE),0),0))&gt;=100,100,(Backdoors!AI12+IF(BT19&gt;=0.45,VLOOKUP(Calculator!E23,tbSkills!DH3:DI6,2,FALSE)+IF(AND(Calculator!B8=TRUE,Backdoors!BI13=TRUE),VLOOKUP(Calculator!E23,tbSkills!DH3:DJ6,3,FALSE),0),0)))/100)),1))*IF(VLOOKUP(A19,tbMoveset!A2:K112,11,FALSE)=TRUE,Backdoors!AC5,1))*BU19,0),"")</f>
        <v>0</v>
      </c>
      <c r="BY19" s="49">
        <f>VLOOKUP(A19,tbMoveset!A2:G112,7,FALSE)*IFERROR(IF(Backdoors!AI12&gt;=0,1+(IF(Calculator!E40&gt;0,VLOOKUP(Calculator!E40,tbSkills!AI3:AJ5,2,FALSE),Backdoors!AL4)*(IF((Backdoors!AI12+IF(BT19&gt;=0.45,VLOOKUP(Calculator!E23,tbSkills!DH3:DI6,2,FALSE)+IF(AND(Calculator!B8=TRUE,Backdoors!BI13=TRUE),VLOOKUP(Calculator!E23,tbSkills!DH3:DJ6,3,FALSE),0),0))&gt;=100,100,(Backdoors!AI12+IF(BT19&gt;=0.45,VLOOKUP(Calculator!E23,tbSkills!DH3:DI6,2,FALSE)+IF(AND(Calculator!B8=TRUE,Backdoors!BI13=TRUE),VLOOKUP(Calculator!E23,tbSkills!DH3:DJ6,3,FALSE),0),0)))/100)),1),1)</f>
        <v>0.5</v>
      </c>
      <c r="BZ19" s="87">
        <f t="shared" si="5"/>
        <v>0</v>
      </c>
      <c r="CA19" s="86" t="str">
        <f>IFERROR(IF(VLOOKUP(A19,tbMoveset!A2:B112,2,FALSE)="Sever",Backdoors!AY14/100,IF(VLOOKUP(A19,tbMoveset!A2:B112,2,FALSE)="Blunt",Backdoors!AZ14/100,Backdoors!BA14/100)),"")</f>
        <v/>
      </c>
      <c r="CB19" s="49">
        <f>IFERROR(IF(VLOOKUP(tbMoveset!A19,tbMoveset!A2:H112,8,FALSE)="Other",IF(VLOOKUP(tbMoveset!A19,tbMoveset!A2:I112,9,FALSE)="Fire",Backdoors!BB14,IF(VLOOKUP(tbMoveset!A19,tbMoveset!A2:I112,9,FALSE)="Water",Backdoors!BC14,IF(VLOOKUP(tbMoveset!A19,tbMoveset!A2:I112,9,FALSE)="Thunder",Backdoors!BD14,IF(VLOOKUP(tbMoveset!A19,tbMoveset!A2:I112,9,FALSE)="Ice",Backdoors!BE14,IF(VLOOKUP(tbMoveset!A19,tbMoveset!A2:I112,9,FALSE)="Dragon",Backdoors!BF14,Backdoors!BG14)))))/100,Backdoors!BG14/100),"")</f>
        <v>0</v>
      </c>
      <c r="CC19" s="49">
        <f>IFERROR(IF(VLOOKUP(A19,tbMoveset!A2:J112,10,FALSE)=TRUE,IF((Backdoors!AI12+IF(CA19&gt;=0.45,VLOOKUP(Calculator!E23,tbSkills!DH3:DI6,2,FALSE)+IF(AND(Calculator!B8=TRUE,Backdoors!BI14=TRUE),VLOOKUP(Calculator!E23,tbSkills!DH3:DJ6,3,FALSE),0),0))&gt;=0,1+(Backdoors!AL2*(IF((Backdoors!AI12+IF(CA19&gt;=0.45,VLOOKUP(Calculator!E23,tbSkills!DH3:DI6,2,FALSE)+IF(AND(Calculator!B8=TRUE,Backdoors!BI14=TRUE),VLOOKUP(Calculator!E23,tbSkills!DH3:DJ6,3,FALSE),0),0))&gt;=100,100,(Backdoors!AI12+IF(CA19&gt;=0.45,VLOOKUP(Calculator!E23,tbSkills!DH3:DI6,2,FALSE)+IF(AND(Calculator!B8=TRUE,Backdoors!BI14=TRUE),VLOOKUP(Calculator!E23,tbSkills!DH3:DJ6,3,FALSE),0),0)))/100)),(1-(0.25*((-Backdoors!AI12-IF(CA19&gt;=0.45,VLOOKUP(Calculator!E23,tbSkills!DH3:DI6,2,FALSE)+IF(AND(Calculator!B8=TRUE,Backdoors!BI14=TRUE),VLOOKUP(Calculator!E23,tbSkills!DH3:DJ6,3,FALSE),0),0))/100)))),1),"")</f>
        <v>1</v>
      </c>
      <c r="CD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A19)*CC19)*(VLOOKUP(A19,tbMoveset!A2:C112,3,FALSE)/100)*IF(VLOOKUP(A19,tbMoveset!A2:B112,2,FALSE)="Projectile",Backdoors!N10,Backdoors!N9),0),"")</f>
        <v/>
      </c>
      <c r="CE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A19&gt;=0.45,VLOOKUP(Calculator!E23,tbSkills!DH3:DI6,2,FALSE)+IF(AND(Calculator!B8=TRUE,Backdoors!BI14=TRUE),VLOOKUP(Calculator!E23,tbSkills!DH3:DJ6,3,FALSE),0),0))&gt;=100,100,(Backdoors!AI12+IF(CA19&gt;=0.45,VLOOKUP(Calculator!E23,tbSkills!DH3:DI6,2,FALSE)+IF(AND(Calculator!B8=TRUE,Backdoors!BI14=TRUE),VLOOKUP(Calculator!E23,tbSkills!DH3:DJ6,3,FALSE),0),0)))/100)),1))*IF(VLOOKUP(A19,tbMoveset!A2:K112,11,FALSE)=TRUE,Backdoors!AC5,1))*CB19,0),"")</f>
        <v>0</v>
      </c>
      <c r="CF19" s="49">
        <f>VLOOKUP(A19,tbMoveset!A2:G112,7,FALSE)*IFERROR(IF(Backdoors!AI12&gt;=0,1+(IF(Calculator!E40&gt;0,VLOOKUP(Calculator!E40,tbSkills!AI3:AJ5,2,FALSE),Backdoors!AL4)*(IF((Backdoors!AI12+IF(CA19&gt;=0.45,VLOOKUP(Calculator!E23,tbSkills!DH3:DI6,2,FALSE)+IF(AND(Calculator!B8=TRUE,Backdoors!BI14=TRUE),VLOOKUP(Calculator!E23,tbSkills!DH3:DJ6,3,FALSE),0),0))&gt;=100,100,(Backdoors!AI12+IF(CA19&gt;=0.45,VLOOKUP(Calculator!E23,tbSkills!DH3:DI6,2,FALSE)+IF(AND(Calculator!B8=TRUE,Backdoors!BI14=TRUE),VLOOKUP(Calculator!E23,tbSkills!DH3:DJ6,3,FALSE),0),0)))/100)),1),1)</f>
        <v>0.5</v>
      </c>
      <c r="CG19" s="87">
        <f t="shared" si="6"/>
        <v>0</v>
      </c>
      <c r="CH19" s="86" t="str">
        <f>IFERROR(IF(VLOOKUP(A19,tbMoveset!A2:B112,2,FALSE)="Sever",Backdoors!AY15/100,IF(VLOOKUP(A19,tbMoveset!A2:B112,2,FALSE)="Blunt",Backdoors!AZ15/100,Backdoors!BA15/100)),"")</f>
        <v/>
      </c>
      <c r="CI19" s="49">
        <f>IFERROR(IF(VLOOKUP(tbMoveset!A19,tbMoveset!A2:H112,8,FALSE)="Other",IF(VLOOKUP(tbMoveset!A19,tbMoveset!A2:I112,9,FALSE)="Fire",Backdoors!BB15,IF(VLOOKUP(tbMoveset!A19,tbMoveset!A2:I112,9,FALSE)="Water",Backdoors!BC15,IF(VLOOKUP(tbMoveset!A19,tbMoveset!A2:I112,9,FALSE)="Thunder",Backdoors!BD15,IF(VLOOKUP(tbMoveset!A19,tbMoveset!A2:I112,9,FALSE)="Ice",Backdoors!BE15,IF(VLOOKUP(tbMoveset!A19,tbMoveset!A2:I112,9,FALSE)="Dragon",Backdoors!BF15,Backdoors!BG15)))))/100,Backdoors!BG15/100),"")</f>
        <v>0</v>
      </c>
      <c r="CJ19" s="49">
        <f>IFERROR(IF(VLOOKUP(A19,tbMoveset!A2:J112,10,FALSE)=TRUE,IF((Backdoors!AI12+IF(CH19&gt;=0.45,VLOOKUP(Calculator!E23,tbSkills!DH3:DI6,2,FALSE)+IF(AND(Calculator!B8=TRUE,Backdoors!BI15=TRUE),VLOOKUP(Calculator!E23,tbSkills!DH3:DJ6,3,FALSE),0),0))&gt;=0,1+(Backdoors!AL2*(IF((Backdoors!AI12+IF(CH19&gt;=0.45,VLOOKUP(Calculator!E23,tbSkills!DH3:DI6,2,FALSE)+IF(AND(Calculator!B8=TRUE,Backdoors!BI15=TRUE),VLOOKUP(Calculator!E23,tbSkills!DH3:DJ6,3,FALSE),0),0))&gt;=100,100,(Backdoors!AI12+IF(CH19&gt;=0.45,VLOOKUP(Calculator!E23,tbSkills!DH3:DI6,2,FALSE)+IF(AND(Calculator!B8=TRUE,Backdoors!BI15=TRUE),VLOOKUP(Calculator!E23,tbSkills!DH3:DJ6,3,FALSE),0),0)))/100)),(1-(0.25*((-Backdoors!AI12-IF(CH19&gt;=0.45,VLOOKUP(Calculator!E23,tbSkills!DH3:DI6,2,FALSE)+IF(AND(Calculator!B8=TRUE,Backdoors!BI15=TRUE),VLOOKUP(Calculator!E23,tbSkills!DH3:DJ6,3,FALSE),0),0))/100)))),1),"")</f>
        <v>1</v>
      </c>
      <c r="CK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H19)*CJ19)*(VLOOKUP(A19,tbMoveset!A2:C112,3,FALSE)/100)*IF(VLOOKUP(A19,tbMoveset!A2:B112,2,FALSE)="Projectile",Backdoors!N10,Backdoors!N9),0),"")</f>
        <v/>
      </c>
      <c r="CL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H19&gt;=0.45,VLOOKUP(Calculator!E23,tbSkills!DH3:DI6,2,FALSE)+IF(AND(Calculator!B8=TRUE,Backdoors!BI15=TRUE),VLOOKUP(Calculator!E23,tbSkills!DH3:DJ6,3,FALSE),0),0))&gt;=100,100,(Backdoors!AI12+IF(CH19&gt;=0.45,VLOOKUP(Calculator!E23,tbSkills!DH3:DI6,2,FALSE)+IF(AND(Calculator!B8=TRUE,Backdoors!BI15=TRUE),VLOOKUP(Calculator!E23,tbSkills!DH3:DJ6,3,FALSE),0),0)))/100)),1))*IF(VLOOKUP(A19,tbMoveset!A2:K112,11,FALSE)=TRUE,Backdoors!AC5,1))*CI19,0),"")</f>
        <v>0</v>
      </c>
      <c r="CM19" s="49">
        <f>VLOOKUP(A19,tbMoveset!A2:G112,7,FALSE)*IFERROR(IF(Backdoors!AI12&gt;=0,1+(IF(Calculator!E40&gt;0,VLOOKUP(Calculator!E40,tbSkills!AI3:AJ5,2,FALSE),Backdoors!AL4)*(IF((Backdoors!AI12+IF(CH19&gt;=0.45,VLOOKUP(Calculator!E23,tbSkills!DH3:DI6,2,FALSE)+IF(AND(Calculator!B8=TRUE,Backdoors!BI15=TRUE),VLOOKUP(Calculator!E23,tbSkills!DH3:DJ6,3,FALSE),0),0))&gt;=100,100,(Backdoors!AI12+IF(CH19&gt;=0.45,VLOOKUP(Calculator!E23,tbSkills!DH3:DI6,2,FALSE)+IF(AND(Calculator!B8=TRUE,Backdoors!BI15=TRUE),VLOOKUP(Calculator!E23,tbSkills!DH3:DJ6,3,FALSE),0),0)))/100)),1),1)</f>
        <v>0.5</v>
      </c>
      <c r="CN19" s="87">
        <f t="shared" si="7"/>
        <v>0</v>
      </c>
      <c r="CO19" s="86" t="str">
        <f>IFERROR(IF(VLOOKUP(A19,tbMoveset!A2:B112,2,FALSE)="Sever",Backdoors!AY16/100,IF(VLOOKUP(A19,tbMoveset!A2:B112,2,FALSE)="Blunt",Backdoors!AZ16/100,Backdoors!BA16/100)),"")</f>
        <v/>
      </c>
      <c r="CP19" s="49">
        <f>IFERROR(IF(VLOOKUP(tbMoveset!A19,tbMoveset!A2:H112,8,FALSE)="Other",IF(VLOOKUP(tbMoveset!A19,tbMoveset!A2:I112,9,FALSE)="Fire",Backdoors!BB16,IF(VLOOKUP(tbMoveset!A19,tbMoveset!A2:I112,9,FALSE)="Water",Backdoors!BC16,IF(VLOOKUP(tbMoveset!A19,tbMoveset!A2:I112,9,FALSE)="Thunder",Backdoors!BD16,IF(VLOOKUP(tbMoveset!A19,tbMoveset!A2:I112,9,FALSE)="Ice",Backdoors!BE16,IF(VLOOKUP(tbMoveset!A19,tbMoveset!A2:I112,9,FALSE)="Dragon",Backdoors!BF16,Backdoors!BG16)))))/100,Backdoors!BG16/100),"")</f>
        <v>0</v>
      </c>
      <c r="CQ19" s="49">
        <f>IFERROR(IF(VLOOKUP(A19,tbMoveset!A2:J112,10,FALSE)=TRUE,IF((Backdoors!AI12+IF(CO19&gt;=0.45,VLOOKUP(Calculator!E23,tbSkills!DH3:DI6,2,FALSE)+IF(AND(Calculator!B8=TRUE,Backdoors!BI16=TRUE),VLOOKUP(Calculator!E23,tbSkills!DH3:DJ6,3,FALSE),0),0))&gt;=0,1+(Backdoors!AL2*(IF((Backdoors!AI12+IF(CO19&gt;=0.45,VLOOKUP(Calculator!E23,tbSkills!DH3:DI6,2,FALSE)+IF(AND(Calculator!B8=TRUE,Backdoors!BI16=TRUE),VLOOKUP(Calculator!E23,tbSkills!DH3:DJ6,3,FALSE),0),0))&gt;=100,100,(Backdoors!AI12+IF(CO19&gt;=0.45,VLOOKUP(Calculator!E23,tbSkills!DH3:DI6,2,FALSE)+IF(AND(Calculator!B8=TRUE,Backdoors!BI16=TRUE),VLOOKUP(Calculator!E23,tbSkills!DH3:DJ6,3,FALSE),0),0)))/100)),(1-(0.25*((-Backdoors!AI12-IF(CO19&gt;=0.45,VLOOKUP(Calculator!E23,tbSkills!DH3:DI6,2,FALSE)+IF(AND(Calculator!B8=TRUE,Backdoors!BI16=TRUE),VLOOKUP(Calculator!E23,tbSkills!DH3:DJ6,3,FALSE),0),0))/100)))),1),"")</f>
        <v>1</v>
      </c>
      <c r="CR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O19)*CQ19)*(VLOOKUP(A19,tbMoveset!A2:C112,3,FALSE)/100)*IF(VLOOKUP(A19,tbMoveset!A2:B112,2,FALSE)="Projectile",Backdoors!N10,Backdoors!N9),0),"")</f>
        <v/>
      </c>
      <c r="CS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O19&gt;=0.45,VLOOKUP(Calculator!E23,tbSkills!DH3:DI6,2,FALSE)+IF(AND(Calculator!B8=TRUE,Backdoors!BI16=TRUE),VLOOKUP(Calculator!E23,tbSkills!DH3:DJ6,3,FALSE),0),0))&gt;=100,100,(Backdoors!AI12+IF(CO19&gt;=0.45,VLOOKUP(Calculator!E23,tbSkills!DH3:DI6,2,FALSE)+IF(AND(Calculator!B8=TRUE,Backdoors!BI16=TRUE),VLOOKUP(Calculator!E23,tbSkills!DH3:DJ6,3,FALSE),0),0)))/100)),1))*IF(VLOOKUP(A19,tbMoveset!A2:K112,11,FALSE)=TRUE,Backdoors!AC5,1))*CP19,0),"")</f>
        <v>0</v>
      </c>
      <c r="CT19" s="49">
        <f>VLOOKUP(A19,tbMoveset!A2:G112,7,FALSE)*IFERROR(IF(Backdoors!AI12&gt;=0,1+(IF(Calculator!E40&gt;0,VLOOKUP(Calculator!E40,tbSkills!AI3:AJ5,2,FALSE),Backdoors!AL4)*(IF((Backdoors!AI12+IF(CO19&gt;=0.45,VLOOKUP(Calculator!E23,tbSkills!DH3:DI6,2,FALSE)+IF(AND(Calculator!B8=TRUE,Backdoors!BI16=TRUE),VLOOKUP(Calculator!E23,tbSkills!DH3:DJ6,3,FALSE),0),0))&gt;=100,100,(Backdoors!AI12+IF(CO19&gt;=0.45,VLOOKUP(Calculator!E23,tbSkills!DH3:DI6,2,FALSE)+IF(AND(Calculator!B8=TRUE,Backdoors!BI16=TRUE),VLOOKUP(Calculator!E23,tbSkills!DH3:DJ6,3,FALSE),0),0)))/100)),1),1)</f>
        <v>0.5</v>
      </c>
      <c r="CU19" s="87">
        <f t="shared" si="40"/>
        <v>0</v>
      </c>
      <c r="CV19" s="86" t="str">
        <f>IFERROR(IF(VLOOKUP(A19,tbMoveset!A2:B112,2,FALSE)="Sever",Backdoors!AY17/100,IF(VLOOKUP(A19,tbMoveset!A2:B112,2,FALSE)="Blunt",Backdoors!AZ17/100,Backdoors!BA17/100)),"")</f>
        <v/>
      </c>
      <c r="CW19" s="49">
        <f>IFERROR(IF(VLOOKUP(tbMoveset!A19,tbMoveset!A2:H112,8,FALSE)="Other",IF(VLOOKUP(tbMoveset!A19,tbMoveset!A2:I112,9,FALSE)="Fire",Backdoors!BB17,IF(VLOOKUP(tbMoveset!A19,tbMoveset!A2:I112,9,FALSE)="Water",Backdoors!BC17,IF(VLOOKUP(tbMoveset!A19,tbMoveset!A2:I112,9,FALSE)="Thunder",Backdoors!BD17,IF(VLOOKUP(tbMoveset!A19,tbMoveset!A2:I112,9,FALSE)="Ice",Backdoors!BE17,IF(VLOOKUP(tbMoveset!A19,tbMoveset!A2:I112,9,FALSE)="Dragon",Backdoors!BF17,Backdoors!BG17)))))/100,Backdoors!BG17/100),"")</f>
        <v>0</v>
      </c>
      <c r="CX19" s="49">
        <f>IFERROR(IF(VLOOKUP(A19,tbMoveset!A2:J112,10,FALSE)=TRUE,IF((Backdoors!AI12+IF(CV19&gt;=0.45,VLOOKUP(Calculator!E23,tbSkills!DH3:DI6,2,FALSE)+IF(AND(Calculator!B8=TRUE,Backdoors!BI17=TRUE),VLOOKUP(Calculator!E23,tbSkills!DH3:DJ6,3,FALSE),0),0))&gt;=0,1+(Backdoors!AL2*(IF((Backdoors!AI12+IF(CV19&gt;=0.45,VLOOKUP(Calculator!E23,tbSkills!DH3:DI6,2,FALSE)+IF(AND(Calculator!B8=TRUE,Backdoors!BI17=TRUE),VLOOKUP(Calculator!E23,tbSkills!DH3:DJ6,3,FALSE),0),0))&gt;=100,100,(Backdoors!AI12+IF(CV19&gt;=0.45,VLOOKUP(Calculator!E23,tbSkills!DH3:DI6,2,FALSE)+IF(AND(Calculator!B8=TRUE,Backdoors!BI17=TRUE),VLOOKUP(Calculator!E23,tbSkills!DH3:DJ6,3,FALSE),0),0)))/100)),(1-(0.25*((-Backdoors!AI12-IF(CV19&gt;=0.45,VLOOKUP(Calculator!E23,tbSkills!DH3:DI6,2,FALSE)+IF(AND(Calculator!B8=TRUE,Backdoors!BI17=TRUE),VLOOKUP(Calculator!E23,tbSkills!DH3:DJ6,3,FALSE),0),0))/100)))),1),"")</f>
        <v>1</v>
      </c>
      <c r="CY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V19)*CX19)*(VLOOKUP(A19,tbMoveset!A2:C112,3,FALSE)/100)*IF(VLOOKUP(A19,tbMoveset!A2:B112,2,FALSE)="Projectile",Backdoors!N10,Backdoors!N9),0),"")</f>
        <v/>
      </c>
      <c r="CZ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V19&gt;=0.45,VLOOKUP(Calculator!E23,tbSkills!DH3:DI6,2,FALSE)+IF(AND(Calculator!B8=TRUE,Backdoors!BI17=TRUE),VLOOKUP(Calculator!E23,tbSkills!DH3:DJ6,3,FALSE),0),0))&gt;=100,100,(Backdoors!AI12+IF(CV19&gt;=0.45,VLOOKUP(Calculator!E23,tbSkills!DH3:DI6,2,FALSE)+IF(AND(Calculator!B8=TRUE,Backdoors!BI17=TRUE),VLOOKUP(Calculator!E23,tbSkills!DH3:DJ6,3,FALSE),0),0)))/100)),1))*IF(VLOOKUP(A19,tbMoveset!A2:K112,11,FALSE)=TRUE,Backdoors!AC5,1))*CW19,0),"")</f>
        <v>0</v>
      </c>
      <c r="DA19" s="49">
        <f>VLOOKUP(A19,tbMoveset!A2:G112,7,FALSE)*IFERROR(IF(Backdoors!AI12&gt;=0,1+(IF(Calculator!E40&gt;0,VLOOKUP(Calculator!E40,tbSkills!AI3:AJ5,2,FALSE),Backdoors!AL4)*(IF((Backdoors!AI12+IF(CV19&gt;=0.45,VLOOKUP(Calculator!E23,tbSkills!DH3:DI6,2,FALSE)+IF(AND(Calculator!B8=TRUE,Backdoors!BI17=TRUE),VLOOKUP(Calculator!E23,tbSkills!DH3:DJ6,3,FALSE),0),0))&gt;=100,100,(Backdoors!AI12+IF(CV19&gt;=0.45,VLOOKUP(Calculator!E23,tbSkills!DH3:DI6,2,FALSE)+IF(AND(Calculator!B8=TRUE,Backdoors!BI17=TRUE),VLOOKUP(Calculator!E23,tbSkills!DH3:DJ6,3,FALSE),0),0)))/100)),1),1)</f>
        <v>0.5</v>
      </c>
      <c r="DB19" s="87">
        <f t="shared" si="8"/>
        <v>0</v>
      </c>
      <c r="DC19" s="86" t="str">
        <f>IFERROR(IF(VLOOKUP(A19,tbMoveset!A2:B112,2,FALSE)="Sever",Backdoors!AY18/100,IF(VLOOKUP(A19,tbMoveset!A2:B112,2,FALSE)="Blunt",Backdoors!AZ18/100,Backdoors!BA18/100)),"")</f>
        <v/>
      </c>
      <c r="DD19" s="49">
        <f>IFERROR(IF(VLOOKUP(tbMoveset!A19,tbMoveset!A2:H112,8,FALSE)="Other",IF(VLOOKUP(tbMoveset!A19,tbMoveset!A2:I112,9,FALSE)="Fire",Backdoors!BB18,IF(VLOOKUP(tbMoveset!A19,tbMoveset!A2:I112,9,FALSE)="Water",Backdoors!BC18,IF(VLOOKUP(tbMoveset!A19,tbMoveset!A2:I112,9,FALSE)="Thunder",Backdoors!BD18,IF(VLOOKUP(tbMoveset!A19,tbMoveset!A2:I112,9,FALSE)="Ice",Backdoors!BE18,IF(VLOOKUP(tbMoveset!A19,tbMoveset!A2:I112,9,FALSE)="Dragon",Backdoors!BF18,Backdoors!BG18)))))/100,Backdoors!BG18/100),"")</f>
        <v>0</v>
      </c>
      <c r="DE19" s="49">
        <f>IFERROR(IF(VLOOKUP(A19,tbMoveset!A2:J112,10,FALSE)=TRUE,IF((Backdoors!AI12+IF(DC19&gt;=0.45,VLOOKUP(Calculator!E23,tbSkills!DH3:DI6,2,FALSE)+IF(AND(Calculator!B8=TRUE,Backdoors!BI18=TRUE),VLOOKUP(Calculator!E23,tbSkills!DH3:DJ6,3,FALSE),0),0))&gt;=0,1+(Backdoors!AL2*(IF((Backdoors!AI12+IF(DC19&gt;=0.45,VLOOKUP(Calculator!E23,tbSkills!DH3:DI6,2,FALSE)+IF(AND(Calculator!B8=TRUE,Backdoors!BI18=TRUE),VLOOKUP(Calculator!E23,tbSkills!DH3:DJ6,3,FALSE),0),0))&gt;=100,100,(Backdoors!AI12+IF(DC19&gt;=0.45,VLOOKUP(Calculator!E23,tbSkills!DH3:DI6,2,FALSE)+IF(AND(Calculator!B8=TRUE,Backdoors!BI18=TRUE),VLOOKUP(Calculator!E23,tbSkills!DH3:DJ6,3,FALSE),0),0)))/100)),(1-(0.25*((-Backdoors!AI12-IF(DC19&gt;=0.45,VLOOKUP(Calculator!E23,tbSkills!DH3:DI6,2,FALSE)+IF(AND(Calculator!B8=TRUE,Backdoors!BI18=TRUE),VLOOKUP(Calculator!E23,tbSkills!DH3:DJ6,3,FALSE),0),0))/100)))),1),"")</f>
        <v>1</v>
      </c>
      <c r="DF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C19)*DE19)*(VLOOKUP(A19,tbMoveset!A2:C112,3,FALSE)/100)*IF(VLOOKUP(A19,tbMoveset!A2:B112,2,FALSE)="Projectile",Backdoors!N10,Backdoors!N9),0),"")</f>
        <v/>
      </c>
      <c r="DG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C19&gt;=0.45,VLOOKUP(Calculator!E23,tbSkills!DH3:DI6,2,FALSE)+IF(AND(Calculator!B8=TRUE,Backdoors!BI18=TRUE),VLOOKUP(Calculator!E23,tbSkills!DH3:DJ6,3,FALSE),0),0))&gt;=100,100,(Backdoors!AI12+IF(DC19&gt;=0.45,VLOOKUP(Calculator!E23,tbSkills!DH3:DI6,2,FALSE)+IF(AND(Calculator!B8=TRUE,Backdoors!BI18=TRUE),VLOOKUP(Calculator!E23,tbSkills!DH3:DJ6,3,FALSE),0),0)))/100)),1))*IF(VLOOKUP(A19,tbMoveset!A2:K112,11,FALSE)=TRUE,Backdoors!AC5,1))*DD19,0),"")</f>
        <v>0</v>
      </c>
      <c r="DH19" s="49">
        <f>VLOOKUP(A19,tbMoveset!A2:G112,7,FALSE)*IFERROR(IF(Backdoors!AI12&gt;=0,1+(IF(Calculator!E40&gt;0,VLOOKUP(Calculator!E40,tbSkills!AI3:AJ5,2,FALSE),Backdoors!AL4)*(IF((Backdoors!AI12+IF(DC19&gt;=0.45,VLOOKUP(Calculator!E23,tbSkills!DH3:DI6,2,FALSE)+IF(AND(Calculator!B8=TRUE,Backdoors!BI18=TRUE),VLOOKUP(Calculator!E23,tbSkills!DH3:DJ6,3,FALSE),0),0))&gt;=100,100,(Backdoors!AI12+IF(DC19&gt;=0.45,VLOOKUP(Calculator!E23,tbSkills!DH3:DI6,2,FALSE)+IF(AND(Calculator!B8=TRUE,Backdoors!BI18=TRUE),VLOOKUP(Calculator!E23,tbSkills!DH3:DJ6,3,FALSE),0),0)))/100)),1),1)</f>
        <v>0.5</v>
      </c>
      <c r="DI19" s="87">
        <f t="shared" si="9"/>
        <v>0</v>
      </c>
      <c r="DJ19" s="86" t="str">
        <f>IFERROR(IF(VLOOKUP(A19,tbMoveset!A2:B112,2,FALSE)="Sever",Backdoors!AY19/100,IF(VLOOKUP(A19,tbMoveset!A2:B112,2,FALSE)="Blunt",Backdoors!AZ19/100,Backdoors!BA19/100)),"")</f>
        <v/>
      </c>
      <c r="DK19" s="49">
        <f>IFERROR(IF(VLOOKUP(tbMoveset!A19,tbMoveset!A2:H112,8,FALSE)="Other",IF(VLOOKUP(tbMoveset!A19,tbMoveset!A2:I112,9,FALSE)="Fire",Backdoors!BB19,IF(VLOOKUP(tbMoveset!A19,tbMoveset!A2:I112,9,FALSE)="Water",Backdoors!BC19,IF(VLOOKUP(tbMoveset!A19,tbMoveset!A2:I112,9,FALSE)="Thunder",Backdoors!BD19,IF(VLOOKUP(tbMoveset!A19,tbMoveset!A2:I112,9,FALSE)="Ice",Backdoors!BE19,IF(VLOOKUP(tbMoveset!A19,tbMoveset!A2:I112,9,FALSE)="Dragon",Backdoors!BF19,Backdoors!BG19)))))/100,Backdoors!BG19/100),"")</f>
        <v>0</v>
      </c>
      <c r="DL19" s="49">
        <f>IFERROR(IF(VLOOKUP(A19,tbMoveset!A2:J112,10,FALSE)=TRUE,IF((Backdoors!AI12+IF(DJ19&gt;=0.45,VLOOKUP(Calculator!E23,tbSkills!DH3:DI6,2,FALSE)+IF(AND(Calculator!B8=TRUE,Backdoors!BI19=TRUE),VLOOKUP(Calculator!E23,tbSkills!DH3:DJ6,3,FALSE),0),0))&gt;=0,1+(Backdoors!AL2*(IF((Backdoors!AI12+IF(DJ19&gt;=0.45,VLOOKUP(Calculator!E23,tbSkills!DH3:DI6,2,FALSE)+IF(AND(Calculator!B8=TRUE,Backdoors!BI19=TRUE),VLOOKUP(Calculator!E23,tbSkills!DH3:DJ6,3,FALSE),0),0))&gt;=100,100,(Backdoors!AI12+IF(DJ19&gt;=0.45,VLOOKUP(Calculator!E23,tbSkills!DH3:DI6,2,FALSE)+IF(AND(Calculator!B8=TRUE,Backdoors!BI19=TRUE),VLOOKUP(Calculator!E23,tbSkills!DH3:DJ6,3,FALSE),0),0)))/100)),(1-(0.25*((-Backdoors!AI12-IF(DJ19&gt;=0.45,VLOOKUP(Calculator!E23,tbSkills!DH3:DI6,2,FALSE)+IF(AND(Calculator!B8=TRUE,Backdoors!BI19=TRUE),VLOOKUP(Calculator!E23,tbSkills!DH3:DJ6,3,FALSE),0),0))/100)))),1),"")</f>
        <v>1</v>
      </c>
      <c r="DM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J19)*DL19)*(VLOOKUP(A19,tbMoveset!A2:C112,3,FALSE)/100)*IF(VLOOKUP(A19,tbMoveset!A2:B112,2,FALSE)="Projectile",Backdoors!N10,Backdoors!N9),0),"")</f>
        <v/>
      </c>
      <c r="DN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J19&gt;=0.45,VLOOKUP(Calculator!E23,tbSkills!DH3:DI6,2,FALSE)+IF(AND(Calculator!B8=TRUE,Backdoors!BI19=TRUE),VLOOKUP(Calculator!E23,tbSkills!DH3:DJ6,3,FALSE),0),0))&gt;=100,100,(Backdoors!AI12+IF(DJ19&gt;=0.45,VLOOKUP(Calculator!E23,tbSkills!DH3:DI6,2,FALSE)+IF(AND(Calculator!B8=TRUE,Backdoors!BI19=TRUE),VLOOKUP(Calculator!E23,tbSkills!DH3:DJ6,3,FALSE),0),0)))/100)),1))*IF(VLOOKUP(A19,tbMoveset!A2:K112,11,FALSE)=TRUE,Backdoors!AC5,1))*DK19,0),"")</f>
        <v>0</v>
      </c>
      <c r="DO19" s="49">
        <f>VLOOKUP(A19,tbMoveset!A2:G112,7,FALSE)*IFERROR(IF(Backdoors!AI12&gt;=0,1+(IF(Calculator!E40&gt;0,VLOOKUP(Calculator!E40,tbSkills!AI3:AJ5,2,FALSE),Backdoors!AL4)*(IF((Backdoors!AI12+IF(DJ19&gt;=0.45,VLOOKUP(Calculator!E23,tbSkills!DH3:DI6,2,FALSE)+IF(AND(Calculator!B8=TRUE,Backdoors!BI19=TRUE),VLOOKUP(Calculator!E23,tbSkills!DH3:DJ6,3,FALSE),0),0))&gt;=100,100,(Backdoors!AI12+IF(DJ19&gt;=0.45,VLOOKUP(Calculator!E23,tbSkills!DH3:DI6,2,FALSE)+IF(AND(Calculator!B8=TRUE,Backdoors!BI19=TRUE),VLOOKUP(Calculator!E23,tbSkills!DH3:DJ6,3,FALSE),0),0)))/100)),1),1)</f>
        <v>0.5</v>
      </c>
      <c r="DP19" s="87">
        <f t="shared" si="41"/>
        <v>0</v>
      </c>
      <c r="DQ19" s="86" t="str">
        <f>IFERROR(IF(VLOOKUP(A19,tbMoveset!A2:B112,2,FALSE)="Sever",Backdoors!AY20/100,IF(VLOOKUP(A19,tbMoveset!A2:B112,2,FALSE)="Blunt",Backdoors!AZ20/100,Backdoors!BA20/100)),"")</f>
        <v/>
      </c>
      <c r="DR19" s="49">
        <f>IFERROR(IF(VLOOKUP(tbMoveset!A19,tbMoveset!A2:H112,8,FALSE)="Other",IF(VLOOKUP(tbMoveset!A19,tbMoveset!A2:I112,9,FALSE)="Fire",Backdoors!BB20,IF(VLOOKUP(tbMoveset!A19,tbMoveset!A2:I112,9,FALSE)="Water",Backdoors!BC20,IF(VLOOKUP(tbMoveset!A19,tbMoveset!A2:I112,9,FALSE)="Thunder",Backdoors!BD20,IF(VLOOKUP(tbMoveset!A19,tbMoveset!A2:I112,9,FALSE)="Ice",Backdoors!BE20,IF(VLOOKUP(tbMoveset!A19,tbMoveset!A2:I112,9,FALSE)="Dragon",Backdoors!BF20,Backdoors!BG20)))))/100,Backdoors!BG20/100),"")</f>
        <v>0</v>
      </c>
      <c r="DS19" s="49">
        <f>IFERROR(IF(VLOOKUP(A19,tbMoveset!A2:J112,10,FALSE)=TRUE,IF((Backdoors!AI12+IF(DQ19&gt;=0.45,VLOOKUP(Calculator!E23,tbSkills!DH3:DI6,2,FALSE)+IF(AND(Calculator!B8=TRUE,Backdoors!BI20=TRUE),VLOOKUP(Calculator!E23,tbSkills!DH3:DJ6,3,FALSE),0),0))&gt;=0,1+(Backdoors!AL2*(IF((Backdoors!AI12+IF(DQ19&gt;=0.45,VLOOKUP(Calculator!E23,tbSkills!DH3:DI6,2,FALSE)+IF(AND(Calculator!B8=TRUE,Backdoors!BI20=TRUE),VLOOKUP(Calculator!E23,tbSkills!DH3:DJ6,3,FALSE),0),0))&gt;=100,100,(Backdoors!AI12+IF(DQ19&gt;=0.45,VLOOKUP(Calculator!E23,tbSkills!DH3:DI6,2,FALSE)+IF(AND(Calculator!B8=TRUE,Backdoors!BI20=TRUE),VLOOKUP(Calculator!E23,tbSkills!DH3:DJ6,3,FALSE),0),0)))/100)),(1-(0.25*((-Backdoors!AI12-IF(DQ19&gt;=0.45,VLOOKUP(Calculator!E23,tbSkills!DH3:DI6,2,FALSE)+IF(AND(Calculator!B8=TRUE,Backdoors!BI20=TRUE),VLOOKUP(Calculator!E23,tbSkills!DH3:DJ6,3,FALSE),0),0))/100)))),1),"")</f>
        <v>1</v>
      </c>
      <c r="DT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Q19)*DS19)*(VLOOKUP(A19,tbMoveset!A2:C112,3,FALSE)/100)*IF(VLOOKUP(A19,tbMoveset!A2:B112,2,FALSE)="Projectile",Backdoors!N10,Backdoors!N9),0),"")</f>
        <v/>
      </c>
      <c r="DU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Q19&gt;=0.45,VLOOKUP(Calculator!E23,tbSkills!DH3:DI6,2,FALSE)+IF(AND(Calculator!B8=TRUE,Backdoors!BI20=TRUE),VLOOKUP(Calculator!E23,tbSkills!DH3:DJ6,3,FALSE),0),0))&gt;=100,100,(Backdoors!AI12+IF(DQ19&gt;=0.45,VLOOKUP(Calculator!E23,tbSkills!DH3:DI6,2,FALSE)+IF(AND(Calculator!B8=TRUE,Backdoors!BI20=TRUE),VLOOKUP(Calculator!E23,tbSkills!DH3:DJ6,3,FALSE),0),0)))/100)),1))*IF(VLOOKUP(A19,tbMoveset!A2:K112,11,FALSE)=TRUE,Backdoors!AC5,1))*DR19,0),"")</f>
        <v>0</v>
      </c>
      <c r="DV19" s="49">
        <f>VLOOKUP(A19,tbMoveset!A2:G112,7,FALSE)*IFERROR(IF(Backdoors!AI12&gt;=0,1+(IF(Calculator!E40&gt;0,VLOOKUP(Calculator!E40,tbSkills!AI3:AJ5,2,FALSE),Backdoors!AL4)*(IF((Backdoors!AI12+IF(DQ19&gt;=0.45,VLOOKUP(Calculator!E23,tbSkills!DH3:DI6,2,FALSE)+IF(AND(Calculator!B8=TRUE,Backdoors!BI20=TRUE),VLOOKUP(Calculator!E23,tbSkills!DH3:DJ6,3,FALSE),0),0))&gt;=100,100,(Backdoors!AI12+IF(DQ19&gt;=0.45,VLOOKUP(Calculator!E23,tbSkills!DH3:DI6,2,FALSE)+IF(AND(Calculator!B8=TRUE,Backdoors!BI20=TRUE),VLOOKUP(Calculator!E23,tbSkills!DH3:DJ6,3,FALSE),0),0)))/100)),1),1)</f>
        <v>0.5</v>
      </c>
      <c r="DW19" s="87">
        <f t="shared" si="10"/>
        <v>0</v>
      </c>
      <c r="DX19" s="86" t="str">
        <f>IFERROR(IF(VLOOKUP(A19,tbMoveset!A2:B112,2,FALSE)="Sever",Backdoors!AY21/100,IF(VLOOKUP(A19,tbMoveset!A2:B112,2,FALSE)="Blunt",Backdoors!AZ21/100,Backdoors!BA21/100)),"")</f>
        <v/>
      </c>
      <c r="DY19" s="49">
        <f>IFERROR(IF(VLOOKUP(tbMoveset!A19,tbMoveset!A2:H112,8,FALSE)="Other",IF(VLOOKUP(tbMoveset!A19,tbMoveset!A2:I112,9,FALSE)="Fire",Backdoors!BB21,IF(VLOOKUP(tbMoveset!A19,tbMoveset!A2:I112,9,FALSE)="Water",Backdoors!BC21,IF(VLOOKUP(tbMoveset!A19,tbMoveset!A2:I112,9,FALSE)="Thunder",Backdoors!BD21,IF(VLOOKUP(tbMoveset!A19,tbMoveset!A2:I112,9,FALSE)="Ice",Backdoors!BE21,IF(VLOOKUP(tbMoveset!A19,tbMoveset!A2:I112,9,FALSE)="Dragon",Backdoors!BF21,Backdoors!BG21)))))/100,Backdoors!BG21/100),"")</f>
        <v>0</v>
      </c>
      <c r="DZ19" s="49">
        <f>IFERROR(IF(VLOOKUP(A19,tbMoveset!A2:J112,10,FALSE)=TRUE,IF((Backdoors!AI12+IF(DX19&gt;=0.45,VLOOKUP(Calculator!E23,tbSkills!DH3:DI6,2,FALSE)+IF(AND(Calculator!B8=TRUE,Backdoors!BI21=TRUE),VLOOKUP(Calculator!E23,tbSkills!DH3:DJ6,3,FALSE),0),0))&gt;=0,1+(Backdoors!AL2*(IF((Backdoors!AI12+IF(DX19&gt;=0.45,VLOOKUP(Calculator!E23,tbSkills!DH3:DI6,2,FALSE)+IF(AND(Calculator!B8=TRUE,Backdoors!BI21=TRUE),VLOOKUP(Calculator!E23,tbSkills!DH3:DJ6,3,FALSE),0),0))&gt;=100,100,(Backdoors!AI12+IF(DX19&gt;=0.45,VLOOKUP(Calculator!E23,tbSkills!DH3:DI6,2,FALSE)+IF(AND(Calculator!B8=TRUE,Backdoors!BI21=TRUE),VLOOKUP(Calculator!E23,tbSkills!DH3:DJ6,3,FALSE),0),0)))/100)),(1-(0.25*((-Backdoors!AI12-IF(DX19&gt;=0.45,VLOOKUP(Calculator!E23,tbSkills!DH3:DI6,2,FALSE)+IF(AND(Calculator!B8=TRUE,Backdoors!BI21=TRUE),VLOOKUP(Calculator!E23,tbSkills!DH3:DJ6,3,FALSE),0),0))/100)))),1),"")</f>
        <v>1</v>
      </c>
      <c r="EA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X19)*DZ19)*(VLOOKUP(A19,tbMoveset!A2:C112,3,FALSE)/100)*IF(VLOOKUP(A19,tbMoveset!A2:B112,2,FALSE)="Projectile",Backdoors!N10,Backdoors!N9),0),"")</f>
        <v/>
      </c>
      <c r="EB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X19&gt;=0.45,VLOOKUP(Calculator!E23,tbSkills!DH3:DI6,2,FALSE)+IF(AND(Calculator!B8=TRUE,Backdoors!BI21=TRUE),VLOOKUP(Calculator!E23,tbSkills!DH3:DJ6,3,FALSE),0),0))&gt;=100,100,(Backdoors!AI12+IF(DX19&gt;=0.45,VLOOKUP(Calculator!E23,tbSkills!DH3:DI6,2,FALSE)+IF(AND(Calculator!B8=TRUE,Backdoors!BI21=TRUE),VLOOKUP(Calculator!E23,tbSkills!DH3:DJ6,3,FALSE),0),0)))/100)),1))*IF(VLOOKUP(A19,tbMoveset!A2:K112,11,FALSE)=TRUE,Backdoors!AC5,1))*DY19,0),"")</f>
        <v>0</v>
      </c>
      <c r="EC19" s="49">
        <f>VLOOKUP(A19,tbMoveset!A2:G112,7,FALSE)*IFERROR(IF(Backdoors!AI12&gt;=0,1+(IF(Calculator!E40&gt;0,VLOOKUP(Calculator!E40,tbSkills!AI3:AJ5,2,FALSE),Backdoors!AL4)*(IF((Backdoors!AI12+IF(DX19&gt;=0.45,VLOOKUP(Calculator!E23,tbSkills!DH3:DI6,2,FALSE)+IF(AND(Calculator!B8=TRUE,Backdoors!BI21=TRUE),VLOOKUP(Calculator!E23,tbSkills!DH3:DJ6,3,FALSE),0),0))&gt;=100,100,(Backdoors!AI12+IF(DX19&gt;=0.45,VLOOKUP(Calculator!E23,tbSkills!DH3:DI6,2,FALSE)+IF(AND(Calculator!B8=TRUE,Backdoors!BI21=TRUE),VLOOKUP(Calculator!E23,tbSkills!DH3:DJ6,3,FALSE),0),0)))/100)),1),1)</f>
        <v>0.5</v>
      </c>
      <c r="ED19" s="87">
        <f t="shared" si="11"/>
        <v>0</v>
      </c>
      <c r="EE19" s="86" t="str">
        <f>IFERROR(IF(VLOOKUP(A19,tbMoveset!A2:B112,2,FALSE)="Sever",Backdoors!AY22/100,IF(VLOOKUP(A19,tbMoveset!A2:B112,2,FALSE)="Blunt",Backdoors!AZ22/100,Backdoors!BA22/100)),"")</f>
        <v/>
      </c>
      <c r="EF19" s="49">
        <f>IFERROR(IF(VLOOKUP(tbMoveset!A19,tbMoveset!A2:H112,8,FALSE)="Other",IF(VLOOKUP(tbMoveset!A19,tbMoveset!A2:I112,9,FALSE)="Fire",Backdoors!BB22,IF(VLOOKUP(tbMoveset!A19,tbMoveset!A2:I112,9,FALSE)="Water",Backdoors!BC22,IF(VLOOKUP(tbMoveset!A19,tbMoveset!A2:I112,9,FALSE)="Thunder",Backdoors!BD22,IF(VLOOKUP(tbMoveset!A19,tbMoveset!A2:I112,9,FALSE)="Ice",Backdoors!BE22,IF(VLOOKUP(tbMoveset!A19,tbMoveset!A2:I112,9,FALSE)="Dragon",Backdoors!BF22,Backdoors!BG22)))))/100,Backdoors!BG22/100),"")</f>
        <v>0</v>
      </c>
      <c r="EG19" s="49">
        <f>IFERROR(IF(VLOOKUP(A19,tbMoveset!A2:J112,10,FALSE)=TRUE,IF((Backdoors!AI12+IF(EE19&gt;=0.45,VLOOKUP(Calculator!E23,tbSkills!DH3:DI6,2,FALSE)+IF(AND(Calculator!B8=TRUE,Backdoors!BI22=TRUE),VLOOKUP(Calculator!E23,tbSkills!DH3:DJ6,3,FALSE),0),0))&gt;=0,1+(Backdoors!AL2*(IF((Backdoors!AI12+IF(EE19&gt;=0.45,VLOOKUP(Calculator!E23,tbSkills!DH3:DI6,2,FALSE)+IF(AND(Calculator!B8=TRUE,Backdoors!BI22=TRUE),VLOOKUP(Calculator!E23,tbSkills!DH3:DJ6,3,FALSE),0),0))&gt;=100,100,(Backdoors!AI12+IF(EE19&gt;=0.45,VLOOKUP(Calculator!E23,tbSkills!DH3:DI6,2,FALSE)+IF(AND(Calculator!B8=TRUE,Backdoors!BI22=TRUE),VLOOKUP(Calculator!E23,tbSkills!DH3:DJ6,3,FALSE),0),0)))/100)),(1-(0.25*((-Backdoors!AI12-IF(EE19&gt;=0.45,VLOOKUP(Calculator!E23,tbSkills!DH3:DI6,2,FALSE)+IF(AND(Calculator!B8=TRUE,Backdoors!BI22=TRUE),VLOOKUP(Calculator!E23,tbSkills!DH3:DJ6,3,FALSE),0),0))/100)))),1),"")</f>
        <v>1</v>
      </c>
      <c r="EH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E19)*EG19)*(VLOOKUP(A19,tbMoveset!A2:C112,3,FALSE)/100)*IF(VLOOKUP(A19,tbMoveset!A2:B112,2,FALSE)="Projectile",Backdoors!N10,Backdoors!N9),0),"")</f>
        <v/>
      </c>
      <c r="EI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E19&gt;=0.45,VLOOKUP(Calculator!E23,tbSkills!DH3:DI6,2,FALSE)+IF(AND(Calculator!B8=TRUE,Backdoors!BI22=TRUE),VLOOKUP(Calculator!E23,tbSkills!DH3:DJ6,3,FALSE),0),0))&gt;=100,100,(Backdoors!AI12+IF(EE19&gt;=0.45,VLOOKUP(Calculator!E23,tbSkills!DH3:DI6,2,FALSE)+IF(AND(Calculator!B8=TRUE,Backdoors!BI22=TRUE),VLOOKUP(Calculator!E23,tbSkills!DH3:DJ6,3,FALSE),0),0)))/100)),1))*IF(VLOOKUP(A19,tbMoveset!A2:K112,11,FALSE)=TRUE,Backdoors!AC5,1))*EF19,0),"")</f>
        <v>0</v>
      </c>
      <c r="EJ19" s="49">
        <f>VLOOKUP(A19,tbMoveset!A2:G112,7,FALSE)*IFERROR(IF(Backdoors!AI12&gt;=0,1+(IF(Calculator!E40&gt;0,VLOOKUP(Calculator!E40,tbSkills!AI3:AJ5,2,FALSE),Backdoors!AL4)*(IF((Backdoors!AI12+IF(EE19&gt;=0.45,VLOOKUP(Calculator!E23,tbSkills!DH3:DI6,2,FALSE)+IF(AND(Calculator!B8=TRUE,Backdoors!BI22=TRUE),VLOOKUP(Calculator!E23,tbSkills!DH3:DJ6,3,FALSE),0),0))&gt;=100,100,(Backdoors!AI12+IF(EE19&gt;=0.45,VLOOKUP(Calculator!E23,tbSkills!DH3:DI6,2,FALSE)+IF(AND(Calculator!B8=TRUE,Backdoors!BI22=TRUE),VLOOKUP(Calculator!E23,tbSkills!DH3:DJ6,3,FALSE),0),0)))/100)),1),1)</f>
        <v>0.5</v>
      </c>
      <c r="EK19" s="87">
        <f t="shared" si="12"/>
        <v>0</v>
      </c>
      <c r="EL19" s="86" t="str">
        <f>IFERROR(IF(VLOOKUP(A19,tbMoveset!A2:B112,2,FALSE)="Sever",Backdoors!AY23/100,IF(VLOOKUP(A19,tbMoveset!A2:B112,2,FALSE)="Blunt",Backdoors!AZ23/100,Backdoors!BA23/100)),"")</f>
        <v/>
      </c>
      <c r="EM19" s="49">
        <f>IFERROR(IF(VLOOKUP(tbMoveset!A19,tbMoveset!A2:H112,8,FALSE)="Other",IF(VLOOKUP(tbMoveset!A19,tbMoveset!A2:I112,9,FALSE)="Fire",Backdoors!BB23,IF(VLOOKUP(tbMoveset!A19,tbMoveset!A2:I112,9,FALSE)="Water",Backdoors!BC23,IF(VLOOKUP(tbMoveset!A19,tbMoveset!A2:I112,9,FALSE)="Thunder",Backdoors!BD23,IF(VLOOKUP(tbMoveset!A19,tbMoveset!A2:I112,9,FALSE)="Ice",Backdoors!BE23,IF(VLOOKUP(tbMoveset!A19,tbMoveset!A2:I112,9,FALSE)="Dragon",Backdoors!BF23,Backdoors!BG23)))))/100,Backdoors!BG23/100),"")</f>
        <v>0</v>
      </c>
      <c r="EN19" s="49">
        <f>IFERROR(IF(VLOOKUP(A19,tbMoveset!A2:J112,10,FALSE)=TRUE,IF((Backdoors!AI12+IF(EL19&gt;=0.45,VLOOKUP(Calculator!E23,tbSkills!DH3:DI6,2,FALSE)+IF(AND(Calculator!B8=TRUE,Backdoors!BI23=TRUE),VLOOKUP(Calculator!E23,tbSkills!DH3:DJ6,3,FALSE),0),0))&gt;=0,1+(Backdoors!AL2*(IF((Backdoors!AI12+IF(EL19&gt;=0.45,VLOOKUP(Calculator!E23,tbSkills!DH3:DI6,2,FALSE)+IF(AND(Calculator!B8=TRUE,Backdoors!BI23=TRUE),VLOOKUP(Calculator!E23,tbSkills!DH3:DJ6,3,FALSE),0),0))&gt;=100,100,(Backdoors!AI12+IF(EL19&gt;=0.45,VLOOKUP(Calculator!E23,tbSkills!DH3:DI6,2,FALSE)+IF(AND(Calculator!B8=TRUE,Backdoors!BI23=TRUE),VLOOKUP(Calculator!E23,tbSkills!DH3:DJ6,3,FALSE),0),0)))/100)),(1-(0.25*((-Backdoors!AI12-IF(EL19&gt;=0.45,VLOOKUP(Calculator!E23,tbSkills!DH3:DI6,2,FALSE)+IF(AND(Calculator!B8=TRUE,Backdoors!BI23=TRUE),VLOOKUP(Calculator!E23,tbSkills!DH3:DJ6,3,FALSE),0),0))/100)))),1),"")</f>
        <v>1</v>
      </c>
      <c r="EO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L19)*EN19)*(VLOOKUP(A19,tbMoveset!A2:C112,3,FALSE)/100)*IF(VLOOKUP(A19,tbMoveset!A2:B112,2,FALSE)="Projectile",Backdoors!N10,Backdoors!N9),0),"")</f>
        <v/>
      </c>
      <c r="EP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L19&gt;=0.45,VLOOKUP(Calculator!E23,tbSkills!DH3:DI6,2,FALSE)+IF(AND(Calculator!B8=TRUE,Backdoors!BI23=TRUE),VLOOKUP(Calculator!E23,tbSkills!DH3:DJ6,3,FALSE),0),0))&gt;=100,100,(Backdoors!AI12+IF(EL19&gt;=0.45,VLOOKUP(Calculator!E23,tbSkills!DH3:DI6,2,FALSE)+IF(AND(Calculator!B8=TRUE,Backdoors!BI23=TRUE),VLOOKUP(Calculator!E23,tbSkills!DH3:DJ6,3,FALSE),0),0)))/100)),1))*IF(VLOOKUP(A19,tbMoveset!A2:K112,11,FALSE)=TRUE,Backdoors!AC5,1))*EM19,0),"")</f>
        <v>0</v>
      </c>
      <c r="EQ19" s="49">
        <f>VLOOKUP(A19,tbMoveset!A2:G112,7,FALSE)*IFERROR(IF(Backdoors!AI12&gt;=0,1+(IF(Calculator!E40&gt;0,VLOOKUP(Calculator!E40,tbSkills!AI3:AJ5,2,FALSE),Backdoors!AL4)*(IF((Backdoors!AI12+IF(EL19&gt;=0.45,VLOOKUP(Calculator!E23,tbSkills!DH3:DI6,2,FALSE)+IF(AND(Calculator!B8=TRUE,Backdoors!BI23=TRUE),VLOOKUP(Calculator!E23,tbSkills!DH3:DJ6,3,FALSE),0),0))&gt;=100,100,(Backdoors!AI12+IF(EL19&gt;=0.45,VLOOKUP(Calculator!E23,tbSkills!DH3:DI6,2,FALSE)+IF(AND(Calculator!B8=TRUE,Backdoors!BI23=TRUE),VLOOKUP(Calculator!E23,tbSkills!DH3:DJ6,3,FALSE),0),0)))/100)),1),1)</f>
        <v>0.5</v>
      </c>
      <c r="ER19" s="87">
        <f t="shared" si="13"/>
        <v>0</v>
      </c>
      <c r="ES19" s="86" t="str">
        <f>IFERROR(IF(VLOOKUP(A19,tbMoveset!A2:B112,2,FALSE)="Sever",Backdoors!AY24/100,IF(VLOOKUP(A19,tbMoveset!A2:B112,2,FALSE)="Blunt",Backdoors!AZ24/100,Backdoors!BA24/100)),"")</f>
        <v/>
      </c>
      <c r="ET19" s="49">
        <f>IFERROR(IF(VLOOKUP(tbMoveset!A19,tbMoveset!A2:H112,8,FALSE)="Other",IF(VLOOKUP(tbMoveset!A19,tbMoveset!A2:I112,9,FALSE)="Fire",Backdoors!BB24,IF(VLOOKUP(tbMoveset!A19,tbMoveset!A2:I112,9,FALSE)="Water",Backdoors!BC24,IF(VLOOKUP(tbMoveset!A19,tbMoveset!A2:I112,9,FALSE)="Thunder",Backdoors!BD24,IF(VLOOKUP(tbMoveset!A19,tbMoveset!A2:I112,9,FALSE)="Ice",Backdoors!BE24,IF(VLOOKUP(tbMoveset!A19,tbMoveset!A2:I112,9,FALSE)="Dragon",Backdoors!BF24,Backdoors!BG24)))))/100,Backdoors!BG24/100),"")</f>
        <v>0</v>
      </c>
      <c r="EU19" s="49">
        <f>IFERROR(IF(VLOOKUP(A19,tbMoveset!A2:J112,10,FALSE)=TRUE,IF((Backdoors!AI12+IF(ES19&gt;=0.45,VLOOKUP(Calculator!E23,tbSkills!DH3:DI6,2,FALSE)+IF(AND(Calculator!B8=TRUE,Backdoors!BI24=TRUE),VLOOKUP(Calculator!E23,tbSkills!DH3:DJ6,3,FALSE),0),0))&gt;=0,1+(Backdoors!AL2*(IF((Backdoors!AI12+IF(ES19&gt;=0.45,VLOOKUP(Calculator!E23,tbSkills!DH3:DI6,2,FALSE)+IF(AND(Calculator!B8=TRUE,Backdoors!BI24=TRUE),VLOOKUP(Calculator!E23,tbSkills!DH3:DJ6,3,FALSE),0),0))&gt;=100,100,(Backdoors!AI12+IF(ES19&gt;=0.45,VLOOKUP(Calculator!E23,tbSkills!DH3:DI6,2,FALSE)+IF(AND(Calculator!B8=TRUE,Backdoors!BI24=TRUE),VLOOKUP(Calculator!E23,tbSkills!DH3:DJ6,3,FALSE),0),0)))/100)),(1-(0.25*((-Backdoors!AI12-IF(ES19&gt;=0.45,VLOOKUP(Calculator!E23,tbSkills!DH3:DI6,2,FALSE)+IF(AND(Calculator!B8=TRUE,Backdoors!BI24=TRUE),VLOOKUP(Calculator!E23,tbSkills!DH3:DJ6,3,FALSE),0),0))/100)))),1),"")</f>
        <v>1</v>
      </c>
      <c r="EV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S19)*EU19)*(VLOOKUP(A19,tbMoveset!A2:C112,3,FALSE)/100)*IF(VLOOKUP(A19,tbMoveset!A2:B112,2,FALSE)="Projectile",Backdoors!N10,Backdoors!N9),0),"")</f>
        <v/>
      </c>
      <c r="EW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S19&gt;=0.45,VLOOKUP(Calculator!E23,tbSkills!DH3:DI6,2,FALSE)+IF(AND(Calculator!B8=TRUE,Backdoors!BI24=TRUE),VLOOKUP(Calculator!E23,tbSkills!DH3:DJ6,3,FALSE),0),0))&gt;=100,100,(Backdoors!AI12+IF(ES19&gt;=0.45,VLOOKUP(Calculator!E23,tbSkills!DH3:DI6,2,FALSE)+IF(AND(Calculator!B8=TRUE,Backdoors!BI24=TRUE),VLOOKUP(Calculator!E23,tbSkills!DH3:DJ6,3,FALSE),0),0)))/100)),1))*IF(VLOOKUP(A19,tbMoveset!A2:K112,11,FALSE)=TRUE,Backdoors!AC5,1))*ET19,0),"")</f>
        <v>0</v>
      </c>
      <c r="EX19" s="49">
        <f>VLOOKUP(A19,tbMoveset!A2:G112,7,FALSE)*IFERROR(IF(Backdoors!AI12&gt;=0,1+(IF(Calculator!E40&gt;0,VLOOKUP(Calculator!E40,tbSkills!AI3:AJ5,2,FALSE),Backdoors!AL4)*(IF((Backdoors!AI12+IF(ES19&gt;=0.45,VLOOKUP(Calculator!E23,tbSkills!DH3:DI6,2,FALSE)+IF(AND(Calculator!B8=TRUE,Backdoors!BI24=TRUE),VLOOKUP(Calculator!E23,tbSkills!DH3:DJ6,3,FALSE),0),0))&gt;=100,100,(Backdoors!AI12+IF(ES19&gt;=0.45,VLOOKUP(Calculator!E23,tbSkills!DH3:DI6,2,FALSE)+IF(AND(Calculator!B8=TRUE,Backdoors!BI24=TRUE),VLOOKUP(Calculator!E23,tbSkills!DH3:DJ6,3,FALSE),0),0)))/100)),1),1)</f>
        <v>0.5</v>
      </c>
      <c r="EY19" s="87">
        <f t="shared" si="14"/>
        <v>0</v>
      </c>
      <c r="EZ19" s="86" t="str">
        <f>IFERROR(IF(VLOOKUP(A19,tbMoveset!A2:B112,2,FALSE)="Sever",Backdoors!AY25/100,IF(VLOOKUP(A19,tbMoveset!A2:B112,2,FALSE)="Blunt",Backdoors!AZ25/100,Backdoors!BA25/100)),"")</f>
        <v/>
      </c>
      <c r="FA19" s="49">
        <f>IFERROR(IF(VLOOKUP(tbMoveset!A19,tbMoveset!A2:H112,8,FALSE)="Other",IF(VLOOKUP(tbMoveset!A19,tbMoveset!A2:I112,9,FALSE)="Fire",Backdoors!BB25,IF(VLOOKUP(tbMoveset!A19,tbMoveset!A2:I112,9,FALSE)="Water",Backdoors!BC25,IF(VLOOKUP(tbMoveset!A19,tbMoveset!A2:I112,9,FALSE)="Thunder",Backdoors!BD25,IF(VLOOKUP(tbMoveset!A19,tbMoveset!A2:I112,9,FALSE)="Ice",Backdoors!BE25,IF(VLOOKUP(tbMoveset!A19,tbMoveset!A2:I112,9,FALSE)="Dragon",Backdoors!BF25,Backdoors!BG25)))))/100,Backdoors!BG25/100),"")</f>
        <v>0</v>
      </c>
      <c r="FB19" s="49">
        <f>IFERROR(IF(VLOOKUP(A19,tbMoveset!A2:J112,10,FALSE)=TRUE,IF((Backdoors!AI12+IF(EZ19&gt;=0.45,VLOOKUP(Calculator!E23,tbSkills!DH3:DI6,2,FALSE)+IF(AND(Calculator!B8=TRUE,Backdoors!BI25=TRUE),VLOOKUP(Calculator!E23,tbSkills!DH3:DJ6,3,FALSE),0),0))&gt;=0,1+(Backdoors!AL2*(IF((Backdoors!AI12+IF(EZ19&gt;=0.45,VLOOKUP(Calculator!E23,tbSkills!DH3:DI6,2,FALSE)+IF(AND(Calculator!B8=TRUE,Backdoors!BI25=TRUE),VLOOKUP(Calculator!E23,tbSkills!DH3:DJ6,3,FALSE),0),0))&gt;=100,100,(Backdoors!AI12+IF(EZ19&gt;=0.45,VLOOKUP(Calculator!E23,tbSkills!DH3:DI6,2,FALSE)+IF(AND(Calculator!B8=TRUE,Backdoors!BI25=TRUE),VLOOKUP(Calculator!E23,tbSkills!DH3:DJ6,3,FALSE),0),0)))/100)),(1-(0.25*((-Backdoors!AI12-IF(EZ19&gt;=0.45,VLOOKUP(Calculator!E23,tbSkills!DH3:DI6,2,FALSE)+IF(AND(Calculator!B8=TRUE,Backdoors!BI25=TRUE),VLOOKUP(Calculator!E23,tbSkills!DH3:DJ6,3,FALSE),0),0))/100)))),1),"")</f>
        <v>1</v>
      </c>
      <c r="FC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Z19)*FB19)*(VLOOKUP(A19,tbMoveset!A2:C112,3,FALSE)/100)*IF(VLOOKUP(A19,tbMoveset!A2:B112,2,FALSE)="Projectile",Backdoors!N10,Backdoors!N9),0),"")</f>
        <v/>
      </c>
      <c r="FD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Z19&gt;=0.45,VLOOKUP(Calculator!E23,tbSkills!DH3:DI6,2,FALSE)+IF(AND(Calculator!B8=TRUE,Backdoors!BI25=TRUE),VLOOKUP(Calculator!E23,tbSkills!DH3:DJ6,3,FALSE),0),0))&gt;=100,100,(Backdoors!AI12+IF(EZ19&gt;=0.45,VLOOKUP(Calculator!E23,tbSkills!DH3:DI6,2,FALSE)+IF(AND(Calculator!B8=TRUE,Backdoors!BI25=TRUE),VLOOKUP(Calculator!E23,tbSkills!DH3:DJ6,3,FALSE),0),0)))/100)),1))*IF(VLOOKUP(A19,tbMoveset!A2:K112,11,FALSE)=TRUE,Backdoors!AC5,1))*FA19,0),"")</f>
        <v>0</v>
      </c>
      <c r="FE19" s="49">
        <f>VLOOKUP(A19,tbMoveset!A2:G112,7,FALSE)*IFERROR(IF(Backdoors!AI12&gt;=0,1+(IF(Calculator!E40&gt;0,VLOOKUP(Calculator!E40,tbSkills!AI3:AJ5,2,FALSE),Backdoors!AL4)*(IF((Backdoors!AI12+IF(EZ19&gt;=0.45,VLOOKUP(Calculator!E23,tbSkills!DH3:DI6,2,FALSE)+IF(AND(Calculator!B8=TRUE,Backdoors!BI25=TRUE),VLOOKUP(Calculator!E23,tbSkills!DH3:DJ6,3,FALSE),0),0))&gt;=100,100,(Backdoors!AI12+IF(EZ19&gt;=0.45,VLOOKUP(Calculator!E23,tbSkills!DH3:DI6,2,FALSE)+IF(AND(Calculator!B8=TRUE,Backdoors!BI25=TRUE),VLOOKUP(Calculator!E23,tbSkills!DH3:DJ6,3,FALSE),0),0)))/100)),1),1)</f>
        <v>0.5</v>
      </c>
      <c r="FF19" s="87">
        <f t="shared" si="15"/>
        <v>0</v>
      </c>
      <c r="FG19" s="86" t="str">
        <f>IFERROR(IF(VLOOKUP(A19,tbMoveset!A2:B112,2,FALSE)="Sever",Backdoors!AY26/100,IF(VLOOKUP(A19,tbMoveset!A2:B112,2,FALSE)="Blunt",Backdoors!AZ26/100,Backdoors!BA26/100)),"")</f>
        <v/>
      </c>
      <c r="FH19" s="49">
        <f>IFERROR(IF(VLOOKUP(tbMoveset!A19,tbMoveset!A2:H112,8,FALSE)="Other",IF(VLOOKUP(tbMoveset!A19,tbMoveset!A2:I112,9,FALSE)="Fire",Backdoors!BB26,IF(VLOOKUP(tbMoveset!A19,tbMoveset!A2:I112,9,FALSE)="Water",Backdoors!BC26,IF(VLOOKUP(tbMoveset!A19,tbMoveset!A2:I112,9,FALSE)="Thunder",Backdoors!BD26,IF(VLOOKUP(tbMoveset!A19,tbMoveset!A2:I112,9,FALSE)="Ice",Backdoors!BE26,IF(VLOOKUP(tbMoveset!A19,tbMoveset!A2:I112,9,FALSE)="Dragon",Backdoors!BF26,Backdoors!BG26)))))/100,Backdoors!BG26/100),"")</f>
        <v>0</v>
      </c>
      <c r="FI19" s="49">
        <f>IFERROR(IF(VLOOKUP(A19,tbMoveset!A2:J112,10,FALSE)=TRUE,IF((Backdoors!AI12+IF(FG19&gt;=0.45,VLOOKUP(Calculator!E23,tbSkills!DH3:DI6,2,FALSE)+IF(AND(Calculator!B8=TRUE,Backdoors!BI26=TRUE),VLOOKUP(Calculator!E23,tbSkills!DH3:DJ6,3,FALSE),0),0))&gt;=0,1+(Backdoors!AL2*(IF((Backdoors!AI12+IF(FG19&gt;=0.45,VLOOKUP(Calculator!E23,tbSkills!DH3:DI6,2,FALSE)+IF(AND(Calculator!B8=TRUE,Backdoors!BI26=TRUE),VLOOKUP(Calculator!E23,tbSkills!DH3:DJ6,3,FALSE),0),0))&gt;=100,100,(Backdoors!AI12+IF(FG19&gt;=0.45,VLOOKUP(Calculator!E23,tbSkills!DH3:DI6,2,FALSE)+IF(AND(Calculator!B8=TRUE,Backdoors!BI26=TRUE),VLOOKUP(Calculator!E23,tbSkills!DH3:DJ6,3,FALSE),0),0)))/100)),(1-(0.25*((-Backdoors!AI12-IF(FG19&gt;=0.45,VLOOKUP(Calculator!E23,tbSkills!DH3:DI6,2,FALSE)+IF(AND(Calculator!B8=TRUE,Backdoors!BI26=TRUE),VLOOKUP(Calculator!E23,tbSkills!DH3:DJ6,3,FALSE),0),0))/100)))),1),"")</f>
        <v>1</v>
      </c>
      <c r="FJ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FG19)*FI19)*(VLOOKUP(A19,tbMoveset!A2:C112,3,FALSE)/100)*IF(VLOOKUP(A19,tbMoveset!A2:B112,2,FALSE)="Projectile",Backdoors!N10,Backdoors!N9),0),"")</f>
        <v/>
      </c>
      <c r="FK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FG19&gt;=0.45,VLOOKUP(Calculator!E23,tbSkills!DH3:DI6,2,FALSE)+IF(AND(Calculator!B8=TRUE,Backdoors!BI26=TRUE),VLOOKUP(Calculator!E23,tbSkills!DH3:DJ6,3,FALSE),0),0))&gt;=100,100,(Backdoors!AI12+IF(FG19&gt;=0.45,VLOOKUP(Calculator!E23,tbSkills!DH3:DI6,2,FALSE)+IF(AND(Calculator!B8=TRUE,Backdoors!BI26=TRUE),VLOOKUP(Calculator!E23,tbSkills!DH3:DJ6,3,FALSE),0),0)))/100)),1))*IF(VLOOKUP(A19,tbMoveset!A2:K112,11,FALSE)=TRUE,Backdoors!AC5,1))*FH19,0),"")</f>
        <v>0</v>
      </c>
      <c r="FL19" s="49">
        <f>VLOOKUP(A19,tbMoveset!A2:G112,7,FALSE)*IFERROR(IF(Backdoors!AI12&gt;=0,1+(IF(Calculator!E40&gt;0,VLOOKUP(Calculator!E40,tbSkills!AI3:AJ5,2,FALSE),Backdoors!AL4)*(IF((Backdoors!AI12+IF(FG19&gt;=0.45,VLOOKUP(Calculator!E23,tbSkills!DH3:DI6,2,FALSE)+IF(AND(Calculator!B8=TRUE,Backdoors!BI26=TRUE),VLOOKUP(Calculator!E23,tbSkills!DH3:DJ6,3,FALSE),0),0))&gt;=100,100,(Backdoors!AI12+IF(FG19&gt;=0.45,VLOOKUP(Calculator!E23,tbSkills!DH3:DI6,2,FALSE)+IF(AND(Calculator!B8=TRUE,Backdoors!BI26=TRUE),VLOOKUP(Calculator!E23,tbSkills!DH3:DJ6,3,FALSE),0),0)))/100)),1),1)</f>
        <v>0.5</v>
      </c>
      <c r="FM19" s="87">
        <f t="shared" si="16"/>
        <v>0</v>
      </c>
      <c r="FN19" s="86" t="str">
        <f>IFERROR(IF(VLOOKUP(A19,tbMoveset!A2:B112,2,FALSE)="Sever",Backdoors!AY27/100,IF(VLOOKUP(A19,tbMoveset!A2:B112,2,FALSE)="Blunt",Backdoors!AZ27/100,Backdoors!BA27/100)),"")</f>
        <v/>
      </c>
      <c r="FO19" s="49">
        <f>IFERROR(IF(VLOOKUP(tbMoveset!A19,tbMoveset!A2:H112,8,FALSE)="Other",IF(VLOOKUP(tbMoveset!A19,tbMoveset!A2:I112,9,FALSE)="Fire",Backdoors!BB27,IF(VLOOKUP(tbMoveset!A19,tbMoveset!A2:I112,9,FALSE)="Water",Backdoors!BC27,IF(VLOOKUP(tbMoveset!A19,tbMoveset!A2:I112,9,FALSE)="Thunder",Backdoors!BD27,IF(VLOOKUP(tbMoveset!A19,tbMoveset!A2:I112,9,FALSE)="Ice",Backdoors!BE27,IF(VLOOKUP(tbMoveset!A19,tbMoveset!A2:I112,9,FALSE)="Dragon",Backdoors!BF27,Backdoors!BG27)))))/100,Backdoors!BG27/100),"")</f>
        <v>0</v>
      </c>
      <c r="FP19" s="49">
        <f>IFERROR(IF(VLOOKUP(A19,tbMoveset!A2:J112,10,FALSE)=TRUE,IF((Backdoors!AI12+IF(FN19&gt;=0.45,VLOOKUP(Calculator!E23,tbSkills!DH3:DI6,2,FALSE)+IF(AND(Calculator!B8=TRUE,Backdoors!BI27=TRUE),VLOOKUP(Calculator!E23,tbSkills!DH3:DJ6,3,FALSE),0),0))&gt;=0,1+(Backdoors!AL2*(IF((Backdoors!AI12+IF(FN19&gt;=0.45,VLOOKUP(Calculator!E23,tbSkills!DH3:DI6,2,FALSE)+IF(AND(Calculator!B8=TRUE,Backdoors!BI27=TRUE),VLOOKUP(Calculator!E23,tbSkills!DH3:DJ6,3,FALSE),0),0))&gt;=100,100,(Backdoors!AI12+IF(FN19&gt;=0.45,VLOOKUP(Calculator!E23,tbSkills!DH3:DI6,2,FALSE)+IF(AND(Calculator!B8=TRUE,Backdoors!BI27=TRUE),VLOOKUP(Calculator!E23,tbSkills!DH3:DJ6,3,FALSE),0),0)))/100)),(1-(0.25*((-Backdoors!AI12-IF(FN19&gt;=0.45,VLOOKUP(Calculator!E23,tbSkills!DH3:DI6,2,FALSE)+IF(AND(Calculator!B8=TRUE,Backdoors!BI27=TRUE),VLOOKUP(Calculator!E23,tbSkills!DH3:DJ6,3,FALSE),0),0))/100)))),1),"")</f>
        <v>1</v>
      </c>
      <c r="FQ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FN19)*FP19)*(VLOOKUP(A19,tbMoveset!A2:C112,3,FALSE)/100)*IF(VLOOKUP(A19,tbMoveset!A2:B112,2,FALSE)="Projectile",Backdoors!N10,Backdoors!N9),0),"")</f>
        <v/>
      </c>
      <c r="FR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FN19&gt;=0.45,VLOOKUP(Calculator!E23,tbSkills!DH3:DI6,2,FALSE)+IF(AND(Calculator!B8=TRUE,Backdoors!BI27=TRUE),VLOOKUP(Calculator!E23,tbSkills!DH3:DJ6,3,FALSE),0),0))&gt;=100,100,(Backdoors!AI12+IF(FN19&gt;=0.45,VLOOKUP(Calculator!E23,tbSkills!DH3:DI6,2,FALSE)+IF(AND(Calculator!B8=TRUE,Backdoors!BI27=TRUE),VLOOKUP(Calculator!E23,tbSkills!DH3:DJ6,3,FALSE),0),0)))/100)),1))*IF(VLOOKUP(A19,tbMoveset!A2:K112,11,FALSE)=TRUE,Backdoors!AC5,1))*FO19,0),"")</f>
        <v>0</v>
      </c>
      <c r="FS19" s="49">
        <f>VLOOKUP(A19,tbMoveset!A2:G112,7,FALSE)*IFERROR(IF(Backdoors!AI12&gt;=0,1+(IF(Calculator!E40&gt;0,VLOOKUP(Calculator!E40,tbSkills!AI3:AJ5,2,FALSE),Backdoors!AL4)*(IF((Backdoors!AI12+IF(FN19&gt;=0.45,VLOOKUP(Calculator!E23,tbSkills!DH3:DI6,2,FALSE)+IF(AND(Calculator!B8=TRUE,Backdoors!BI27=TRUE),VLOOKUP(Calculator!E23,tbSkills!DH3:DJ6,3,FALSE),0),0))&gt;=100,100,(Backdoors!AI12+IF(FN19&gt;=0.45,VLOOKUP(Calculator!E23,tbSkills!DH3:DI6,2,FALSE)+IF(AND(Calculator!B8=TRUE,Backdoors!BI27=TRUE),VLOOKUP(Calculator!E23,tbSkills!DH3:DJ6,3,FALSE),0),0)))/100)),1),1)</f>
        <v>0.5</v>
      </c>
      <c r="FT19" s="87">
        <f t="shared" si="17"/>
        <v>0</v>
      </c>
      <c r="FU19" s="86" t="str">
        <f>IFERROR(IF(VLOOKUP(A19,tbMoveset!A2:B112,2,FALSE)="Sever",Backdoors!AY28/100,IF(VLOOKUP(A19,tbMoveset!A2:B112,2,FALSE)="Blunt",Backdoors!AZ28/100,Backdoors!BA28/100)),"")</f>
        <v/>
      </c>
      <c r="FV19" s="49">
        <f>IFERROR(IF(VLOOKUP(tbMoveset!A19,tbMoveset!A2:H112,8,FALSE)="Other",IF(VLOOKUP(tbMoveset!A19,tbMoveset!A2:I112,9,FALSE)="Fire",Backdoors!BB28,IF(VLOOKUP(tbMoveset!A19,tbMoveset!A2:I112,9,FALSE)="Water",Backdoors!BC28,IF(VLOOKUP(tbMoveset!A19,tbMoveset!A2:I112,9,FALSE)="Thunder",Backdoors!BD28,IF(VLOOKUP(tbMoveset!A19,tbMoveset!A2:I112,9,FALSE)="Ice",Backdoors!BE28,IF(VLOOKUP(tbMoveset!A19,tbMoveset!A2:I112,9,FALSE)="Dragon",Backdoors!BF28,Backdoors!BG28)))))/100,Backdoors!BG28/100),"")</f>
        <v>0</v>
      </c>
      <c r="FW19" s="49">
        <f>IFERROR(IF(VLOOKUP(A19,tbMoveset!A2:J112,10,FALSE)=TRUE,IF((Backdoors!AI12+IF(FU19&gt;=0.45,VLOOKUP(Calculator!E23,tbSkills!DH3:DI6,2,FALSE)+IF(AND(Calculator!B8=TRUE,Backdoors!BI28=TRUE),VLOOKUP(Calculator!E23,tbSkills!DH3:DJ6,3,FALSE),0),0))&gt;=0,1+(Backdoors!AL2*(IF((Backdoors!AI12+IF(FU19&gt;=0.45,VLOOKUP(Calculator!E23,tbSkills!DH3:DI6,2,FALSE)+IF(AND(Calculator!B8=TRUE,Backdoors!BI28=TRUE),VLOOKUP(Calculator!E23,tbSkills!DH3:DJ6,3,FALSE),0),0))&gt;=100,100,(Backdoors!AI12+IF(FU19&gt;=0.45,VLOOKUP(Calculator!E23,tbSkills!DH3:DI6,2,FALSE)+IF(AND(Calculator!B8=TRUE,Backdoors!BI28=TRUE),VLOOKUP(Calculator!E23,tbSkills!DH3:DJ6,3,FALSE),0),0)))/100)),(1-(0.25*((-Backdoors!AI12-IF(FU19&gt;=0.45,VLOOKUP(Calculator!E23,tbSkills!DH3:DI6,2,FALSE)+IF(AND(Calculator!B8=TRUE,Backdoors!BI28=TRUE),VLOOKUP(Calculator!E23,tbSkills!DH3:DJ6,3,FALSE),0),0))/100)))),1),"")</f>
        <v>1</v>
      </c>
      <c r="FX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FU19)*FW19)*(VLOOKUP(A19,tbMoveset!A2:C112,3,FALSE)/100)*IF(VLOOKUP(A19,tbMoveset!A2:B112,2,FALSE)="Projectile",Backdoors!N10,Backdoors!N9),0),"")</f>
        <v/>
      </c>
      <c r="FY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FU19&gt;=0.45,VLOOKUP(Calculator!E23,tbSkills!DH3:DI6,2,FALSE)+IF(AND(Calculator!B8=TRUE,Backdoors!BI28=TRUE),VLOOKUP(Calculator!E23,tbSkills!DH3:DJ6,3,FALSE),0),0))&gt;=100,100,(Backdoors!AI12+IF(FU19&gt;=0.45,VLOOKUP(Calculator!E23,tbSkills!DH3:DI6,2,FALSE)+IF(AND(Calculator!B8=TRUE,Backdoors!BI28=TRUE),VLOOKUP(Calculator!E23,tbSkills!DH3:DJ6,3,FALSE),0),0)))/100)),1))*IF(VLOOKUP(A19,tbMoveset!A2:K112,11,FALSE)=TRUE,Backdoors!AC5,1))*FV19,0),"")</f>
        <v>0</v>
      </c>
      <c r="FZ19" s="49">
        <f>VLOOKUP(A19,tbMoveset!A2:G112,7,FALSE)*IFERROR(IF(Backdoors!AI12&gt;=0,1+(IF(Calculator!E40&gt;0,VLOOKUP(Calculator!E40,tbSkills!AI3:AJ5,2,FALSE),Backdoors!AL4)*(IF((Backdoors!AI12+IF(FU19&gt;=0.45,VLOOKUP(Calculator!E23,tbSkills!DH3:DI6,2,FALSE)+IF(AND(Calculator!B8=TRUE,Backdoors!BI28=TRUE),VLOOKUP(Calculator!E23,tbSkills!DH3:DJ6,3,FALSE),0),0))&gt;=100,100,(Backdoors!AI12+IF(FU19&gt;=0.45,VLOOKUP(Calculator!E23,tbSkills!DH3:DI6,2,FALSE)+IF(AND(Calculator!B8=TRUE,Backdoors!BI28=TRUE),VLOOKUP(Calculator!E23,tbSkills!DH3:DJ6,3,FALSE),0),0)))/100)),1),1)</f>
        <v>0.5</v>
      </c>
      <c r="GA19" s="87">
        <f t="shared" si="18"/>
        <v>0</v>
      </c>
      <c r="GB19" s="86" t="str">
        <f>IFERROR(IF(VLOOKUP(A19,tbMoveset!A2:B112,2,FALSE)="Sever",Backdoors!AY29/100,IF(VLOOKUP(A19,tbMoveset!A2:B112,2,FALSE)="Blunt",Backdoors!AZ29/100,Backdoors!BA29/100)),"")</f>
        <v/>
      </c>
      <c r="GC19" s="49">
        <f>IFERROR(IF(VLOOKUP(tbMoveset!A19,tbMoveset!A2:H112,8,FALSE)="Other",IF(VLOOKUP(tbMoveset!A19,tbMoveset!A2:I112,9,FALSE)="Fire",Backdoors!BB29,IF(VLOOKUP(tbMoveset!A19,tbMoveset!A2:I112,9,FALSE)="Water",Backdoors!BC29,IF(VLOOKUP(tbMoveset!A19,tbMoveset!A2:I112,9,FALSE)="Thunder",Backdoors!BD29,IF(VLOOKUP(tbMoveset!A19,tbMoveset!A2:I112,9,FALSE)="Ice",Backdoors!BE29,IF(VLOOKUP(tbMoveset!A19,tbMoveset!A2:I112,9,FALSE)="Dragon",Backdoors!BF29,Backdoors!BG29)))))/100,Backdoors!BG29/100),"")</f>
        <v>0</v>
      </c>
      <c r="GD19" s="49">
        <f>IFERROR(IF(VLOOKUP(A19,tbMoveset!A2:J112,10,FALSE)=TRUE,IF((Backdoors!AI12+IF(GB19&gt;=0.45,VLOOKUP(Calculator!E23,tbSkills!DH3:DI6,2,FALSE)+IF(AND(Calculator!B8=TRUE,Backdoors!BI29=TRUE),VLOOKUP(Calculator!E23,tbSkills!DH3:DJ6,3,FALSE),0),0))&gt;=0,1+(Backdoors!AL2*(IF((Backdoors!AI12+IF(GB19&gt;=0.45,VLOOKUP(Calculator!E23,tbSkills!DH3:DI6,2,FALSE)+IF(AND(Calculator!B8=TRUE,Backdoors!BI29=TRUE),VLOOKUP(Calculator!E23,tbSkills!DH3:DJ6,3,FALSE),0),0))&gt;=100,100,(Backdoors!AI12+IF(GB19&gt;=0.45,VLOOKUP(Calculator!E23,tbSkills!DH3:DI6,2,FALSE)+IF(AND(Calculator!B8=TRUE,Backdoors!BI29=TRUE),VLOOKUP(Calculator!E23,tbSkills!DH3:DJ6,3,FALSE),0),0)))/100)),(1-(0.25*((-Backdoors!AI12-IF(GB19&gt;=0.45,VLOOKUP(Calculator!E23,tbSkills!DH3:DI6,2,FALSE)+IF(AND(Calculator!B8=TRUE,Backdoors!BI29=TRUE),VLOOKUP(Calculator!E23,tbSkills!DH3:DJ6,3,FALSE),0),0))/100)))),1),"")</f>
        <v>1</v>
      </c>
      <c r="GE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B19)*GD19)*(VLOOKUP(A19,tbMoveset!A2:C112,3,FALSE)/100)*IF(VLOOKUP(A19,tbMoveset!A2:B112,2,FALSE)="Projectile",Backdoors!N10,Backdoors!N9),0),"")</f>
        <v/>
      </c>
      <c r="GF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B19&gt;=0.45,VLOOKUP(Calculator!E23,tbSkills!DH3:DI6,2,FALSE)+IF(AND(Calculator!B8=TRUE,Backdoors!BI29=TRUE),VLOOKUP(Calculator!E23,tbSkills!DH3:DJ6,3,FALSE),0),0))&gt;=100,100,(Backdoors!AI12+IF(GB19&gt;=0.45,VLOOKUP(Calculator!E23,tbSkills!DH3:DI6,2,FALSE)+IF(AND(Calculator!B8=TRUE,Backdoors!BI29=TRUE),VLOOKUP(Calculator!E23,tbSkills!DH3:DJ6,3,FALSE),0),0)))/100)),1))*IF(VLOOKUP(A19,tbMoveset!A2:K112,11,FALSE)=TRUE,Backdoors!AC5,1))*GC19,0),"")</f>
        <v>0</v>
      </c>
      <c r="GG19" s="49">
        <f>VLOOKUP(A19,tbMoveset!A2:G112,7,FALSE)*IFERROR(IF(Backdoors!AI12&gt;=0,1+(IF(Calculator!E40&gt;0,VLOOKUP(Calculator!E40,tbSkills!AI3:AJ5,2,FALSE),Backdoors!AL4)*(IF((Backdoors!AI12+IF(GB19&gt;=0.45,VLOOKUP(Calculator!E23,tbSkills!DH3:DI6,2,FALSE)+IF(AND(Calculator!B8=TRUE,Backdoors!BI29=TRUE),VLOOKUP(Calculator!E23,tbSkills!DH3:DJ6,3,FALSE),0),0))&gt;=100,100,(Backdoors!AI12+IF(GB19&gt;=0.45,VLOOKUP(Calculator!E23,tbSkills!DH3:DI6,2,FALSE)+IF(AND(Calculator!B8=TRUE,Backdoors!BI29=TRUE),VLOOKUP(Calculator!E23,tbSkills!DH3:DJ6,3,FALSE),0),0)))/100)),1),1)</f>
        <v>0.5</v>
      </c>
      <c r="GH19" s="87">
        <f t="shared" si="19"/>
        <v>0</v>
      </c>
      <c r="GI19" s="86" t="str">
        <f>IFERROR(IF(VLOOKUP(A19,tbMoveset!A2:B112,2,FALSE)="Sever",Backdoors!AY30/100,IF(VLOOKUP(A19,tbMoveset!A2:B112,2,FALSE)="Blunt",Backdoors!AZ30/100,Backdoors!BA30/100)),"")</f>
        <v/>
      </c>
      <c r="GJ19" s="49">
        <f>IFERROR(IF(VLOOKUP(tbMoveset!A19,tbMoveset!A2:H112,8,FALSE)="Other",IF(VLOOKUP(tbMoveset!A19,tbMoveset!A2:I112,9,FALSE)="Fire",Backdoors!BB30,IF(VLOOKUP(tbMoveset!A19,tbMoveset!A2:I112,9,FALSE)="Water",Backdoors!BC30,IF(VLOOKUP(tbMoveset!A19,tbMoveset!A2:I112,9,FALSE)="Thunder",Backdoors!BD30,IF(VLOOKUP(tbMoveset!A19,tbMoveset!A2:I112,9,FALSE)="Ice",Backdoors!BE30,IF(VLOOKUP(tbMoveset!A19,tbMoveset!A2:I112,9,FALSE)="Dragon",Backdoors!BF30,Backdoors!BG30)))))/100,Backdoors!BG30/100),"")</f>
        <v>0</v>
      </c>
      <c r="GK19" s="49">
        <f>IFERROR(IF(VLOOKUP(A19,tbMoveset!A2:J112,10,FALSE)=TRUE,IF((Backdoors!AI12+IF(GI19&gt;=0.45,VLOOKUP(Calculator!E23,tbSkills!DH3:DI6,2,FALSE)+IF(AND(Calculator!B8=TRUE,Backdoors!BI30=TRUE),VLOOKUP(Calculator!E23,tbSkills!DH3:DJ6,3,FALSE),0),0))&gt;=0,1+(Backdoors!AL2*(IF((Backdoors!AI12+IF(GI19&gt;=0.45,VLOOKUP(Calculator!E23,tbSkills!DH3:DI6,2,FALSE)+IF(AND(Calculator!B8=TRUE,Backdoors!BI30=TRUE),VLOOKUP(Calculator!E23,tbSkills!DH3:DJ6,3,FALSE),0),0))&gt;=100,100,(Backdoors!AI12+IF(GI19&gt;=0.45,VLOOKUP(Calculator!E23,tbSkills!DH3:DI6,2,FALSE)+IF(AND(Calculator!B8=TRUE,Backdoors!BI30=TRUE),VLOOKUP(Calculator!E23,tbSkills!DH3:DJ6,3,FALSE),0),0)))/100)),(1-(0.25*((-Backdoors!AI12-IF(GI19&gt;=0.45,VLOOKUP(Calculator!E23,tbSkills!DH3:DI6,2,FALSE)+IF(AND(Calculator!B8=TRUE,Backdoors!BI30=TRUE),VLOOKUP(Calculator!E23,tbSkills!DH3:DJ6,3,FALSE),0),0))/100)))),1),"")</f>
        <v>1</v>
      </c>
      <c r="GL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I19)*GK19)*(VLOOKUP(A19,tbMoveset!A2:C112,3,FALSE)/100)*IF(VLOOKUP(A19,tbMoveset!A2:B112,2,FALSE)="Projectile",Backdoors!N10,Backdoors!N9),0),"")</f>
        <v/>
      </c>
      <c r="GM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I19&gt;=0.45,VLOOKUP(Calculator!E23,tbSkills!DH3:DI6,2,FALSE)+IF(AND(Calculator!B8=TRUE,Backdoors!BI30=TRUE),VLOOKUP(Calculator!E23,tbSkills!DH3:DJ6,3,FALSE),0),0))&gt;=100,100,(Backdoors!AI12+IF(GI19&gt;=0.45,VLOOKUP(Calculator!E23,tbSkills!DH3:DI6,2,FALSE)+IF(AND(Calculator!B8=TRUE,Backdoors!BI30=TRUE),VLOOKUP(Calculator!E23,tbSkills!DH3:DJ6,3,FALSE),0),0)))/100)),1))*IF(VLOOKUP(A19,tbMoveset!A2:K112,11,FALSE)=TRUE,Backdoors!AC5,1))*GJ19,0),"")</f>
        <v>0</v>
      </c>
      <c r="GN19" s="49">
        <f>VLOOKUP(A19,tbMoveset!A2:G112,7,FALSE)*IFERROR(IF(Backdoors!AI12&gt;=0,1+(IF(Calculator!E40&gt;0,VLOOKUP(Calculator!E40,tbSkills!AI3:AJ5,2,FALSE),Backdoors!AL4)*(IF((Backdoors!AI12+IF(GI19&gt;=0.45,VLOOKUP(Calculator!E23,tbSkills!DH3:DI6,2,FALSE)+IF(AND(Calculator!B8=TRUE,Backdoors!BI30=TRUE),VLOOKUP(Calculator!E23,tbSkills!DH3:DJ6,3,FALSE),0),0))&gt;=100,100,(Backdoors!AI12+IF(GI19&gt;=0.45,VLOOKUP(Calculator!E23,tbSkills!DH3:DI6,2,FALSE)+IF(AND(Calculator!B8=TRUE,Backdoors!BI30=TRUE),VLOOKUP(Calculator!E23,tbSkills!DH3:DJ6,3,FALSE),0),0)))/100)),1),1)</f>
        <v>0.5</v>
      </c>
      <c r="GO19" s="87">
        <f t="shared" si="20"/>
        <v>0</v>
      </c>
      <c r="GP19" s="86" t="str">
        <f>IFERROR(IF(VLOOKUP(A19,tbMoveset!A2:B112,2,FALSE)="Sever",Backdoors!AY31/100,IF(VLOOKUP(A19,tbMoveset!A2:B112,2,FALSE)="Blunt",Backdoors!AZ31/100,Backdoors!BA31/100)),"")</f>
        <v/>
      </c>
      <c r="GQ19" s="49">
        <f>IFERROR(IF(VLOOKUP(tbMoveset!A19,tbMoveset!A2:H112,8,FALSE)="Other",IF(VLOOKUP(tbMoveset!A19,tbMoveset!A2:I112,9,FALSE)="Fire",Backdoors!BB31,IF(VLOOKUP(tbMoveset!A19,tbMoveset!A2:I112,9,FALSE)="Water",Backdoors!BC31,IF(VLOOKUP(tbMoveset!A19,tbMoveset!A2:I112,9,FALSE)="Thunder",Backdoors!BD31,IF(VLOOKUP(tbMoveset!A19,tbMoveset!A2:I112,9,FALSE)="Ice",Backdoors!BE31,IF(VLOOKUP(tbMoveset!A19,tbMoveset!A2:I112,9,FALSE)="Dragon",Backdoors!BF31,Backdoors!BG31)))))/100,Backdoors!BG31/100),"")</f>
        <v>0</v>
      </c>
      <c r="GR19" s="49">
        <f>IFERROR(IF(VLOOKUP(A19,tbMoveset!A2:J112,10,FALSE)=TRUE,IF((Backdoors!AI12+IF(GP19&gt;=0.45,VLOOKUP(Calculator!E23,tbSkills!DH3:DI6,2,FALSE)+IF(AND(Calculator!B8=TRUE,Backdoors!BI31=TRUE),VLOOKUP(Calculator!E23,tbSkills!DH3:DJ6,3,FALSE),0),0))&gt;=0,1+(Backdoors!AL2*(IF((Backdoors!AI12+IF(GP19&gt;=0.45,VLOOKUP(Calculator!E23,tbSkills!DH3:DI6,2,FALSE)+IF(AND(Calculator!B8=TRUE,Backdoors!BI31=TRUE),VLOOKUP(Calculator!E23,tbSkills!DH3:DJ6,3,FALSE),0),0))&gt;=100,100,(Backdoors!AI12+IF(GP19&gt;=0.45,VLOOKUP(Calculator!E23,tbSkills!DH3:DI6,2,FALSE)+IF(AND(Calculator!B8=TRUE,Backdoors!BI31=TRUE),VLOOKUP(Calculator!E23,tbSkills!DH3:DJ6,3,FALSE),0),0)))/100)),(1-(0.25*((-Backdoors!AI12-IF(GP19&gt;=0.45,VLOOKUP(Calculator!E23,tbSkills!DH3:DI6,2,FALSE)+IF(AND(Calculator!B8=TRUE,Backdoors!BI31=TRUE),VLOOKUP(Calculator!E23,tbSkills!DH3:DJ6,3,FALSE),0),0))/100)))),1),"")</f>
        <v>1</v>
      </c>
      <c r="GS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P19)*GR19)*(VLOOKUP(A19,tbMoveset!A2:C112,3,FALSE)/100)*IF(VLOOKUP(A19,tbMoveset!A2:B112,2,FALSE)="Projectile",Backdoors!N10,Backdoors!N9),0),"")</f>
        <v/>
      </c>
      <c r="GT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P19&gt;=0.45,VLOOKUP(Calculator!E23,tbSkills!DH3:DI6,2,FALSE)+IF(AND(Calculator!B8=TRUE,Backdoors!BI31=TRUE),VLOOKUP(Calculator!E23,tbSkills!DH3:DJ6,3,FALSE),0),0))&gt;=100,100,(Backdoors!AI12+IF(GP19&gt;=0.45,VLOOKUP(Calculator!E23,tbSkills!DH3:DI6,2,FALSE)+IF(AND(Calculator!B8=TRUE,Backdoors!BI31=TRUE),VLOOKUP(Calculator!E23,tbSkills!DH3:DJ6,3,FALSE),0),0)))/100)),1))*IF(VLOOKUP(A19,tbMoveset!A2:K112,11,FALSE)=TRUE,Backdoors!AC5,1))*GQ19,0),"")</f>
        <v>0</v>
      </c>
      <c r="GU19" s="49">
        <f>VLOOKUP(A19,tbMoveset!A2:G112,7,FALSE)*IFERROR(IF(Backdoors!AI12&gt;=0,1+(IF(Calculator!E40&gt;0,VLOOKUP(Calculator!E40,tbSkills!AI3:AJ5,2,FALSE),Backdoors!AL4)*(IF((Backdoors!AI12+IF(GP19&gt;=0.45,VLOOKUP(Calculator!E23,tbSkills!DH3:DI6,2,FALSE)+IF(AND(Calculator!B8=TRUE,Backdoors!BI31=TRUE),VLOOKUP(Calculator!E23,tbSkills!DH3:DJ6,3,FALSE),0),0))&gt;=100,100,(Backdoors!AI12+IF(GP19&gt;=0.45,VLOOKUP(Calculator!E23,tbSkills!DH3:DI6,2,FALSE)+IF(AND(Calculator!B8=TRUE,Backdoors!BI31=TRUE),VLOOKUP(Calculator!E23,tbSkills!DH3:DJ6,3,FALSE),0),0)))/100)),1),1)</f>
        <v>0.5</v>
      </c>
      <c r="GV19" s="87">
        <f t="shared" si="21"/>
        <v>0</v>
      </c>
      <c r="GW19" s="86" t="str">
        <f>IFERROR(IF(VLOOKUP(A19,tbMoveset!A2:B112,2,FALSE)="Sever",Backdoors!AY32/100,IF(VLOOKUP(A19,tbMoveset!A2:B112,2,FALSE)="Blunt",Backdoors!AZ32/100,Backdoors!BA32/100)),"")</f>
        <v/>
      </c>
      <c r="GX19" s="49">
        <f>IFERROR(IF(VLOOKUP(tbMoveset!A19,tbMoveset!A2:H112,8,FALSE)="Other",IF(VLOOKUP(tbMoveset!A19,tbMoveset!A2:I112,9,FALSE)="Fire",Backdoors!BB32,IF(VLOOKUP(tbMoveset!A19,tbMoveset!A2:I112,9,FALSE)="Water",Backdoors!BC32,IF(VLOOKUP(tbMoveset!A19,tbMoveset!A2:I112,9,FALSE)="Thunder",Backdoors!BD32,IF(VLOOKUP(tbMoveset!A19,tbMoveset!A2:I112,9,FALSE)="Ice",Backdoors!BE32,IF(VLOOKUP(tbMoveset!A19,tbMoveset!A2:I112,9,FALSE)="Dragon",Backdoors!BF32,Backdoors!BG32)))))/100,Backdoors!BG32/100),"")</f>
        <v>0</v>
      </c>
      <c r="GY19" s="49">
        <f>IFERROR(IF(VLOOKUP(A19,tbMoveset!A2:J112,10,FALSE)=TRUE,IF((Backdoors!AI12+IF(GW19&gt;=0.45,VLOOKUP(Calculator!E23,tbSkills!DH3:DI6,2,FALSE)+IF(AND(Calculator!B8=TRUE,Backdoors!BI32=TRUE),VLOOKUP(Calculator!E23,tbSkills!DH3:DJ6,3,FALSE),0),0))&gt;=0,1+(Backdoors!AL2*(IF((Backdoors!AI12+IF(GW19&gt;=0.45,VLOOKUP(Calculator!E23,tbSkills!DH3:DI6,2,FALSE)+IF(AND(Calculator!B8=TRUE,Backdoors!BI32=TRUE),VLOOKUP(Calculator!E23,tbSkills!DH3:DJ6,3,FALSE),0),0))&gt;=100,100,(Backdoors!AI12+IF(GW19&gt;=0.45,VLOOKUP(Calculator!E23,tbSkills!DH3:DI6,2,FALSE)+IF(AND(Calculator!B8=TRUE,Backdoors!BI32=TRUE),VLOOKUP(Calculator!E23,tbSkills!DH3:DJ6,3,FALSE),0),0)))/100)),(1-(0.25*((-Backdoors!AI12-IF(GW19&gt;=0.45,VLOOKUP(Calculator!E23,tbSkills!DH3:DI6,2,FALSE)+IF(AND(Calculator!B8=TRUE,Backdoors!BI32=TRUE),VLOOKUP(Calculator!E23,tbSkills!DH3:DJ6,3,FALSE),0),0))/100)))),1),"")</f>
        <v>1</v>
      </c>
      <c r="GZ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W19)*GY19)*(VLOOKUP(A19,tbMoveset!A2:C112,3,FALSE)/100)*IF(VLOOKUP(A19,tbMoveset!A2:B112,2,FALSE)="Projectile",Backdoors!N10,Backdoors!N9),0),"")</f>
        <v/>
      </c>
      <c r="HA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W19&gt;=0.45,VLOOKUP(Calculator!E23,tbSkills!DH3:DI6,2,FALSE)+IF(AND(Calculator!B8=TRUE,Backdoors!BI32=TRUE),VLOOKUP(Calculator!E23,tbSkills!DH3:DJ6,3,FALSE),0),0))&gt;=100,100,(Backdoors!AI12+IF(GW19&gt;=0.45,VLOOKUP(Calculator!E23,tbSkills!DH3:DI6,2,FALSE)+IF(AND(Calculator!B8=TRUE,Backdoors!BI32=TRUE),VLOOKUP(Calculator!E23,tbSkills!DH3:DJ6,3,FALSE),0),0)))/100)),1))*IF(VLOOKUP(A19,tbMoveset!A2:K112,11,FALSE)=TRUE,Backdoors!AC5,1))*GX19,0),"")</f>
        <v>0</v>
      </c>
      <c r="HB19" s="49">
        <f>VLOOKUP(A19,tbMoveset!A2:G112,7,FALSE)*IFERROR(IF(Backdoors!AI12&gt;=0,1+(IF(Calculator!E40&gt;0,VLOOKUP(Calculator!E40,tbSkills!AI3:AJ5,2,FALSE),Backdoors!AL4)*(IF((Backdoors!AI12+IF(GW19&gt;=0.45,VLOOKUP(Calculator!E23,tbSkills!DH3:DI6,2,FALSE)+IF(AND(Calculator!B8=TRUE,Backdoors!BI32=TRUE),VLOOKUP(Calculator!E23,tbSkills!DH3:DJ6,3,FALSE),0),0))&gt;=100,100,(Backdoors!AI12+IF(GW19&gt;=0.45,VLOOKUP(Calculator!E23,tbSkills!DH3:DI6,2,FALSE)+IF(AND(Calculator!B8=TRUE,Backdoors!BI32=TRUE),VLOOKUP(Calculator!E23,tbSkills!DH3:DJ6,3,FALSE),0),0)))/100)),1),1)</f>
        <v>0.5</v>
      </c>
      <c r="HC19" s="87">
        <f t="shared" si="22"/>
        <v>0</v>
      </c>
      <c r="HD19" s="86" t="str">
        <f>IFERROR(IF(VLOOKUP(A19,tbMoveset!A2:B112,2,FALSE)="Sever",Backdoors!AY33/100,IF(VLOOKUP(A19,tbMoveset!A2:B112,2,FALSE)="Blunt",Backdoors!AZ33/100,Backdoors!BA33/100)),"")</f>
        <v/>
      </c>
      <c r="HE19" s="49">
        <f>IFERROR(IF(VLOOKUP(tbMoveset!A19,tbMoveset!A2:H112,8,FALSE)="Other",IF(VLOOKUP(tbMoveset!A19,tbMoveset!A2:I112,9,FALSE)="Fire",Backdoors!BB33,IF(VLOOKUP(tbMoveset!A19,tbMoveset!A2:I112,9,FALSE)="Water",Backdoors!BC33,IF(VLOOKUP(tbMoveset!A19,tbMoveset!A2:I112,9,FALSE)="Thunder",Backdoors!BD33,IF(VLOOKUP(tbMoveset!A19,tbMoveset!A2:I112,9,FALSE)="Ice",Backdoors!BE33,IF(VLOOKUP(tbMoveset!A19,tbMoveset!A2:I112,9,FALSE)="Dragon",Backdoors!BF33,Backdoors!BG33)))))/100,Backdoors!BG33/100),"")</f>
        <v>0</v>
      </c>
      <c r="HF19" s="49">
        <f>IFERROR(IF(VLOOKUP(A19,tbMoveset!A2:J112,10,FALSE)=TRUE,IF((Backdoors!AI12+IF(HD19&gt;=0.45,VLOOKUP(Calculator!E23,tbSkills!DH3:DI6,2,FALSE)+IF(AND(Calculator!B8=TRUE,Backdoors!BI33=TRUE),VLOOKUP(Calculator!E23,tbSkills!DH3:DJ6,3,FALSE),0),0))&gt;=0,1+(Backdoors!AL2*(IF((Backdoors!AI12+IF(HD19&gt;=0.45,VLOOKUP(Calculator!E23,tbSkills!DH3:DI6,2,FALSE)+IF(AND(Calculator!B8=TRUE,Backdoors!BI33=TRUE),VLOOKUP(Calculator!E23,tbSkills!DH3:DJ6,3,FALSE),0),0))&gt;=100,100,(Backdoors!AI12+IF(HD19&gt;=0.45,VLOOKUP(Calculator!E23,tbSkills!DH3:DI6,2,FALSE)+IF(AND(Calculator!B8=TRUE,Backdoors!BI33=TRUE),VLOOKUP(Calculator!E23,tbSkills!DH3:DJ6,3,FALSE),0),0)))/100)),(1-(0.25*((-Backdoors!AI12-IF(HD19&gt;=0.45,VLOOKUP(Calculator!E23,tbSkills!DH3:DI6,2,FALSE)+IF(AND(Calculator!B8=TRUE,Backdoors!BI33=TRUE),VLOOKUP(Calculator!E23,tbSkills!DH3:DJ6,3,FALSE),0),0))/100)))),1),"")</f>
        <v>1</v>
      </c>
      <c r="HG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D19)*HF19)*(VLOOKUP(A19,tbMoveset!A2:C112,3,FALSE)/100)*IF(VLOOKUP(A19,tbMoveset!A2:B112,2,FALSE)="Projectile",Backdoors!N10,Backdoors!N9),0),"")</f>
        <v/>
      </c>
      <c r="HH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D19&gt;=0.45,VLOOKUP(Calculator!E23,tbSkills!DH3:DI6,2,FALSE)+IF(AND(Calculator!B8=TRUE,Backdoors!BI33=TRUE),VLOOKUP(Calculator!E23,tbSkills!DH3:DJ6,3,FALSE),0),0))&gt;=100,100,(Backdoors!AI12+IF(HD19&gt;=0.45,VLOOKUP(Calculator!E23,tbSkills!DH3:DI6,2,FALSE)+IF(AND(Calculator!B8=TRUE,Backdoors!BI33=TRUE),VLOOKUP(Calculator!E23,tbSkills!DH3:DJ6,3,FALSE),0),0)))/100)),1))*IF(VLOOKUP(A19,tbMoveset!A2:K112,11,FALSE)=TRUE,Backdoors!AC5,1))*HE19,0),"")</f>
        <v>0</v>
      </c>
      <c r="HI19" s="49">
        <f>VLOOKUP(A19,tbMoveset!A2:G112,7,FALSE)*IFERROR(IF(Backdoors!AI12&gt;=0,1+(IF(Calculator!E40&gt;0,VLOOKUP(Calculator!E40,tbSkills!AI3:AJ5,2,FALSE),Backdoors!AL4)*(IF((Backdoors!AI12+IF(HD19&gt;=0.45,VLOOKUP(Calculator!E23,tbSkills!DH3:DI6,2,FALSE)+IF(AND(Calculator!B8=TRUE,Backdoors!BI33=TRUE),VLOOKUP(Calculator!E23,tbSkills!DH3:DJ6,3,FALSE),0),0))&gt;=100,100,(Backdoors!AI12+IF(HD19&gt;=0.45,VLOOKUP(Calculator!E23,tbSkills!DH3:DI6,2,FALSE)+IF(AND(Calculator!B8=TRUE,Backdoors!BI33=TRUE),VLOOKUP(Calculator!E23,tbSkills!DH3:DJ6,3,FALSE),0),0)))/100)),1),1)</f>
        <v>0.5</v>
      </c>
      <c r="HJ19" s="87">
        <f t="shared" si="23"/>
        <v>0</v>
      </c>
      <c r="HK19" s="86" t="str">
        <f>IFERROR(IF(VLOOKUP(A19,tbMoveset!A2:B112,2,FALSE)="Sever",Backdoors!AY34/100,IF(VLOOKUP(A19,tbMoveset!A2:B112,2,FALSE)="Blunt",Backdoors!AZ34/100,Backdoors!BA34/100)),"")</f>
        <v/>
      </c>
      <c r="HL19" s="49">
        <f>IFERROR(IF(VLOOKUP(tbMoveset!A19,tbMoveset!A2:H112,8,FALSE)="Other",IF(VLOOKUP(tbMoveset!A19,tbMoveset!A2:I112,9,FALSE)="Fire",Backdoors!BB34,IF(VLOOKUP(tbMoveset!A19,tbMoveset!A2:I112,9,FALSE)="Water",Backdoors!BC34,IF(VLOOKUP(tbMoveset!A19,tbMoveset!A2:I112,9,FALSE)="Thunder",Backdoors!BD34,IF(VLOOKUP(tbMoveset!A19,tbMoveset!A2:I112,9,FALSE)="Ice",Backdoors!BE34,IF(VLOOKUP(tbMoveset!A19,tbMoveset!A2:I112,9,FALSE)="Dragon",Backdoors!BF34,Backdoors!BG34)))))/100,Backdoors!BG34/100),"")</f>
        <v>0</v>
      </c>
      <c r="HM19" s="49">
        <f>IFERROR(IF(VLOOKUP(A19,tbMoveset!A2:J112,10,FALSE)=TRUE,IF((Backdoors!AI12+IF(HK19&gt;=0.45,VLOOKUP(Calculator!E23,tbSkills!DH3:DI6,2,FALSE)+IF(AND(Calculator!B8=TRUE,Backdoors!BI34=TRUE),VLOOKUP(Calculator!E23,tbSkills!DH3:DJ6,3,FALSE),0),0))&gt;=0,1+(Backdoors!AL2*(IF((Backdoors!AI12+IF(HK19&gt;=0.45,VLOOKUP(Calculator!E23,tbSkills!DH3:DI6,2,FALSE)+IF(AND(Calculator!B8=TRUE,Backdoors!BI34=TRUE),VLOOKUP(Calculator!E23,tbSkills!DH3:DJ6,3,FALSE),0),0))&gt;=100,100,(Backdoors!AI12+IF(HK19&gt;=0.45,VLOOKUP(Calculator!E23,tbSkills!DH3:DI6,2,FALSE)+IF(AND(Calculator!B8=TRUE,Backdoors!BI34=TRUE),VLOOKUP(Calculator!E23,tbSkills!DH3:DJ6,3,FALSE),0),0)))/100)),(1-(0.25*((-Backdoors!AI12-IF(HK19&gt;=0.45,VLOOKUP(Calculator!E23,tbSkills!DH3:DI6,2,FALSE)+IF(AND(Calculator!B8=TRUE,Backdoors!BI34=TRUE),VLOOKUP(Calculator!E23,tbSkills!DH3:DJ6,3,FALSE),0),0))/100)))),1),"")</f>
        <v>1</v>
      </c>
      <c r="HN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K19)*HM19)*(VLOOKUP(A19,tbMoveset!A2:C112,3,FALSE)/100)*IF(VLOOKUP(A19,tbMoveset!A2:B112,2,FALSE)="Projectile",Backdoors!N10,Backdoors!N9),0),"")</f>
        <v/>
      </c>
      <c r="HO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K19&gt;=0.45,VLOOKUP(Calculator!E23,tbSkills!DH3:DI6,2,FALSE)+IF(AND(Calculator!B8=TRUE,Backdoors!BI34=TRUE),VLOOKUP(Calculator!E23,tbSkills!DH3:DJ6,3,FALSE),0),0))&gt;=100,100,(Backdoors!AI12+IF(HK19&gt;=0.45,VLOOKUP(Calculator!E23,tbSkills!DH3:DI6,2,FALSE)+IF(AND(Calculator!B8=TRUE,Backdoors!BI34=TRUE),VLOOKUP(Calculator!E23,tbSkills!DH3:DJ6,3,FALSE),0),0)))/100)),1))*IF(VLOOKUP(A19,tbMoveset!A2:K112,11,FALSE)=TRUE,Backdoors!AC5,1))*HL19,0),"")</f>
        <v>0</v>
      </c>
      <c r="HP19" s="49">
        <f>VLOOKUP(A19,tbMoveset!A2:G112,7,FALSE)*IFERROR(IF(Backdoors!AI12&gt;=0,1+(IF(Calculator!E40&gt;0,VLOOKUP(Calculator!E40,tbSkills!AI3:AJ5,2,FALSE),Backdoors!AL4)*(IF((Backdoors!AI12+IF(HK19&gt;=0.45,VLOOKUP(Calculator!E23,tbSkills!DH3:DI6,2,FALSE)+IF(AND(Calculator!B8=TRUE,Backdoors!BI34=TRUE),VLOOKUP(Calculator!E23,tbSkills!DH3:DJ6,3,FALSE),0),0))&gt;=100,100,(Backdoors!AI12+IF(HK19&gt;=0.45,VLOOKUP(Calculator!E23,tbSkills!DH3:DI6,2,FALSE)+IF(AND(Calculator!B8=TRUE,Backdoors!BI34=TRUE),VLOOKUP(Calculator!E23,tbSkills!DH3:DJ6,3,FALSE),0),0)))/100)),1),1)</f>
        <v>0.5</v>
      </c>
      <c r="HQ19" s="87">
        <f t="shared" si="24"/>
        <v>0</v>
      </c>
      <c r="HR19" s="86" t="str">
        <f>IFERROR(IF(VLOOKUP(A19,tbMoveset!A2:B112,2,FALSE)="Sever",Backdoors!AY35/100,IF(VLOOKUP(A19,tbMoveset!A2:B112,2,FALSE)="Blunt",Backdoors!AZ35/100,Backdoors!BA35/100)),"")</f>
        <v/>
      </c>
      <c r="HS19" s="49">
        <f>IFERROR(IF(VLOOKUP(tbMoveset!A19,tbMoveset!A2:H112,8,FALSE)="Other",IF(VLOOKUP(tbMoveset!A19,tbMoveset!A2:I112,9,FALSE)="Fire",Backdoors!BB35,IF(VLOOKUP(tbMoveset!A19,tbMoveset!A2:I112,9,FALSE)="Water",Backdoors!BC35,IF(VLOOKUP(tbMoveset!A19,tbMoveset!A2:I112,9,FALSE)="Thunder",Backdoors!BD35,IF(VLOOKUP(tbMoveset!A19,tbMoveset!A2:I112,9,FALSE)="Ice",Backdoors!BE35,IF(VLOOKUP(tbMoveset!A19,tbMoveset!A2:I112,9,FALSE)="Dragon",Backdoors!BF35,Backdoors!BG35)))))/100,Backdoors!BG35/100),"")</f>
        <v>0</v>
      </c>
      <c r="HT19" s="49">
        <f>IFERROR(IF(VLOOKUP(A19,tbMoveset!A2:J112,10,FALSE)=TRUE,IF((Backdoors!AI12+IF(HR19&gt;=0.45,VLOOKUP(Calculator!E23,tbSkills!DH3:DI6,2,FALSE)+IF(AND(Calculator!B8=TRUE,Backdoors!BI35=TRUE),VLOOKUP(Calculator!E23,tbSkills!DH3:DJ6,3,FALSE),0),0))&gt;=0,1+(Backdoors!AL2*(IF((Backdoors!AI12+IF(HR19&gt;=0.45,VLOOKUP(Calculator!E23,tbSkills!DH3:DI6,2,FALSE)+IF(AND(Calculator!B8=TRUE,Backdoors!BI35=TRUE),VLOOKUP(Calculator!E23,tbSkills!DH3:DJ6,3,FALSE),0),0))&gt;=100,100,(Backdoors!AI12+IF(HR19&gt;=0.45,VLOOKUP(Calculator!E23,tbSkills!DH3:DI6,2,FALSE)+IF(AND(Calculator!B8=TRUE,Backdoors!BI35=TRUE),VLOOKUP(Calculator!E23,tbSkills!DH3:DJ6,3,FALSE),0),0)))/100)),(1-(0.25*((-Backdoors!AI12-IF(HR19&gt;=0.45,VLOOKUP(Calculator!E23,tbSkills!DH3:DI6,2,FALSE)+IF(AND(Calculator!B8=TRUE,Backdoors!BI35=TRUE),VLOOKUP(Calculator!E23,tbSkills!DH3:DJ6,3,FALSE),0),0))/100)))),1),"")</f>
        <v>1</v>
      </c>
      <c r="HU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R19)*HT19)*(VLOOKUP(A19,tbMoveset!A2:C112,3,FALSE)/100)*IF(VLOOKUP(A19,tbMoveset!A2:B112,2,FALSE)="Projectile",Backdoors!N10,Backdoors!N9),0),"")</f>
        <v/>
      </c>
      <c r="HV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R19&gt;=0.45,VLOOKUP(Calculator!E23,tbSkills!DH3:DI6,2,FALSE)+IF(AND(Calculator!B8=TRUE,Backdoors!BI35=TRUE),VLOOKUP(Calculator!E23,tbSkills!DH3:DJ6,3,FALSE),0),0))&gt;=100,100,(Backdoors!AI12+IF(HR19&gt;=0.45,VLOOKUP(Calculator!E23,tbSkills!DH3:DI6,2,FALSE)+IF(AND(Calculator!B8=TRUE,Backdoors!BI35=TRUE),VLOOKUP(Calculator!E23,tbSkills!DH3:DJ6,3,FALSE),0),0)))/100)),1))*IF(VLOOKUP(A19,tbMoveset!A2:K112,11,FALSE)=TRUE,Backdoors!AC5,1))*HS19,0),"")</f>
        <v>0</v>
      </c>
      <c r="HW19" s="49">
        <f>VLOOKUP(A19,tbMoveset!A2:G112,7,FALSE)*IFERROR(IF(Backdoors!AI12&gt;=0,1+(IF(Calculator!E40&gt;0,VLOOKUP(Calculator!E40,tbSkills!AI3:AJ5,2,FALSE),Backdoors!AL4)*(IF((Backdoors!AI12+IF(HR19&gt;=0.45,VLOOKUP(Calculator!E23,tbSkills!DH3:DI6,2,FALSE)+IF(AND(Calculator!B8=TRUE,Backdoors!BI35=TRUE),VLOOKUP(Calculator!E23,tbSkills!DH3:DJ6,3,FALSE),0),0))&gt;=100,100,(Backdoors!AI12+IF(HR19&gt;=0.45,VLOOKUP(Calculator!E23,tbSkills!DH3:DI6,2,FALSE)+IF(AND(Calculator!B8=TRUE,Backdoors!BI35=TRUE),VLOOKUP(Calculator!E23,tbSkills!DH3:DJ6,3,FALSE),0),0)))/100)),1),1)</f>
        <v>0.5</v>
      </c>
      <c r="HX19" s="87">
        <f t="shared" si="25"/>
        <v>0</v>
      </c>
      <c r="HY19" s="86" t="str">
        <f>IFERROR(IF(VLOOKUP(A19,tbMoveset!A2:B112,2,FALSE)="Sever",Backdoors!AY36/100,IF(VLOOKUP(A19,tbMoveset!A2:B112,2,FALSE)="Blunt",Backdoors!AZ36/100,Backdoors!BA36/100)),"")</f>
        <v/>
      </c>
      <c r="HZ19" s="49">
        <f>IFERROR(IF(VLOOKUP(tbMoveset!A19,tbMoveset!A2:H112,8,FALSE)="Other",IF(VLOOKUP(tbMoveset!A19,tbMoveset!A2:I112,9,FALSE)="Fire",Backdoors!BB36,IF(VLOOKUP(tbMoveset!A19,tbMoveset!A2:I112,9,FALSE)="Water",Backdoors!BC36,IF(VLOOKUP(tbMoveset!A19,tbMoveset!A2:I112,9,FALSE)="Thunder",Backdoors!BD36,IF(VLOOKUP(tbMoveset!A19,tbMoveset!A2:I112,9,FALSE)="Ice",Backdoors!BE36,IF(VLOOKUP(tbMoveset!A19,tbMoveset!A2:I112,9,FALSE)="Dragon",Backdoors!BF36,Backdoors!BG36)))))/100,Backdoors!BG36/100),"")</f>
        <v>0</v>
      </c>
      <c r="IA19" s="49">
        <f>IFERROR(IF(VLOOKUP(A19,tbMoveset!A2:J112,10,FALSE)=TRUE,IF((Backdoors!AI12+IF(HY19&gt;=0.45,VLOOKUP(Calculator!E23,tbSkills!DH3:DI6,2,FALSE)+IF(AND(Calculator!B8=TRUE,Backdoors!BI36=TRUE),VLOOKUP(Calculator!E23,tbSkills!DH3:DJ6,3,FALSE),0),0))&gt;=0,1+(Backdoors!AL2*(IF((Backdoors!AI12+IF(HY19&gt;=0.45,VLOOKUP(Calculator!E23,tbSkills!DH3:DI6,2,FALSE)+IF(AND(Calculator!B8=TRUE,Backdoors!BI36=TRUE),VLOOKUP(Calculator!E23,tbSkills!DH3:DJ6,3,FALSE),0),0))&gt;=100,100,(Backdoors!AI12+IF(HY19&gt;=0.45,VLOOKUP(Calculator!E23,tbSkills!DH3:DI6,2,FALSE)+IF(AND(Calculator!B8=TRUE,Backdoors!BI36=TRUE),VLOOKUP(Calculator!E23,tbSkills!DH3:DJ6,3,FALSE),0),0)))/100)),(1-(0.25*((-Backdoors!AI12-IF(HY19&gt;=0.45,VLOOKUP(Calculator!E23,tbSkills!DH3:DI6,2,FALSE)+IF(AND(Calculator!B8=TRUE,Backdoors!BI36=TRUE),VLOOKUP(Calculator!E23,tbSkills!DH3:DJ6,3,FALSE),0),0))/100)))),1),"")</f>
        <v>1</v>
      </c>
      <c r="IB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Y19)*IA19)*(VLOOKUP(A19,tbMoveset!A2:C112,3,FALSE)/100)*IF(VLOOKUP(A19,tbMoveset!A2:B112,2,FALSE)="Projectile",Backdoors!N10,Backdoors!N9),0),"")</f>
        <v/>
      </c>
      <c r="IC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Y19&gt;=0.45,VLOOKUP(Calculator!E23,tbSkills!DH3:DI6,2,FALSE)+IF(AND(Calculator!B8=TRUE,Backdoors!BI36=TRUE),VLOOKUP(Calculator!E23,tbSkills!DH3:DJ6,3,FALSE),0),0))&gt;=100,100,(Backdoors!AI12+IF(HY19&gt;=0.45,VLOOKUP(Calculator!E23,tbSkills!DH3:DI6,2,FALSE)+IF(AND(Calculator!B8=TRUE,Backdoors!BI36=TRUE),VLOOKUP(Calculator!E23,tbSkills!DH3:DJ6,3,FALSE),0),0)))/100)),1))*IF(VLOOKUP(A19,tbMoveset!A2:K112,11,FALSE)=TRUE,Backdoors!AC5,1))*HZ19,0),"")</f>
        <v>0</v>
      </c>
      <c r="ID19" s="49">
        <f>VLOOKUP(A19,tbMoveset!A2:G112,7,FALSE)*IFERROR(IF(Backdoors!AI12&gt;=0,1+(IF(Calculator!E40&gt;0,VLOOKUP(Calculator!E40,tbSkills!AI3:AJ5,2,FALSE),Backdoors!AL4)*(IF((Backdoors!AI12+IF(HY19&gt;=0.45,VLOOKUP(Calculator!E23,tbSkills!DH3:DI6,2,FALSE)+IF(AND(Calculator!B8=TRUE,Backdoors!BI36=TRUE),VLOOKUP(Calculator!E23,tbSkills!DH3:DJ6,3,FALSE),0),0))&gt;=100,100,(Backdoors!AI12+IF(HY19&gt;=0.45,VLOOKUP(Calculator!E23,tbSkills!DH3:DI6,2,FALSE)+IF(AND(Calculator!B8=TRUE,Backdoors!BI36=TRUE),VLOOKUP(Calculator!E23,tbSkills!DH3:DJ6,3,FALSE),0),0)))/100)),1),1)</f>
        <v>0.5</v>
      </c>
      <c r="IE19" s="87">
        <f t="shared" si="26"/>
        <v>0</v>
      </c>
      <c r="IF19" s="86" t="str">
        <f>IFERROR(IF(VLOOKUP(A19,tbMoveset!A2:B112,2,FALSE)="Sever",Backdoors!AY37/100,IF(VLOOKUP(A19,tbMoveset!A2:B112,2,FALSE)="Blunt",Backdoors!AZ37/100,Backdoors!BA37/100)),"")</f>
        <v/>
      </c>
      <c r="IG19" s="49">
        <f>IFERROR(IF(VLOOKUP(tbMoveset!A19,tbMoveset!A2:H112,8,FALSE)="Other",IF(VLOOKUP(tbMoveset!A19,tbMoveset!A2:I112,9,FALSE)="Fire",Backdoors!BB37,IF(VLOOKUP(tbMoveset!A19,tbMoveset!A2:I112,9,FALSE)="Water",Backdoors!BC37,IF(VLOOKUP(tbMoveset!A19,tbMoveset!A2:I112,9,FALSE)="Thunder",Backdoors!BD37,IF(VLOOKUP(tbMoveset!A19,tbMoveset!A2:I112,9,FALSE)="Ice",Backdoors!BE37,IF(VLOOKUP(tbMoveset!A19,tbMoveset!A2:I112,9,FALSE)="Dragon",Backdoors!BF37,Backdoors!BG37)))))/100,Backdoors!BG37/100),"")</f>
        <v>0</v>
      </c>
      <c r="IH19" s="49">
        <f>IFERROR(IF(VLOOKUP(A19,tbMoveset!A2:J112,10,FALSE)=TRUE,IF((Backdoors!AI12+IF(IF19&gt;=0.45,VLOOKUP(Calculator!E23,tbSkills!DH3:DI6,2,FALSE)+IF(AND(Calculator!B8=TRUE,Backdoors!BI37=TRUE),VLOOKUP(Calculator!E23,tbSkills!DH3:DJ6,3,FALSE),0),0))&gt;=0,1+(Backdoors!AL2*(IF((Backdoors!AI12+IF(IF19&gt;=0.45,VLOOKUP(Calculator!E23,tbSkills!DH3:DI6,2,FALSE)+IF(AND(Calculator!B8=TRUE,Backdoors!BI37=TRUE),VLOOKUP(Calculator!E23,tbSkills!DH3:DJ6,3,FALSE),0),0))&gt;=100,100,(Backdoors!AI12+IF(IF19&gt;=0.45,VLOOKUP(Calculator!E23,tbSkills!DH3:DI6,2,FALSE)+IF(AND(Calculator!B8=TRUE,Backdoors!BI37=TRUE),VLOOKUP(Calculator!E23,tbSkills!DH3:DJ6,3,FALSE),0),0)))/100)),(1-(0.25*((-Backdoors!AI12-IF(IF19&gt;=0.45,VLOOKUP(Calculator!E23,tbSkills!DH3:DI6,2,FALSE)+IF(AND(Calculator!B8=TRUE,Backdoors!BI37=TRUE),VLOOKUP(Calculator!E23,tbSkills!DH3:DJ6,3,FALSE),0),0))/100)))),1),"")</f>
        <v>1</v>
      </c>
      <c r="II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F19)*IH19)*(VLOOKUP(A19,tbMoveset!A2:C112,3,FALSE)/100)*IF(VLOOKUP(A19,tbMoveset!A2:B112,2,FALSE)="Projectile",Backdoors!N10,Backdoors!N9),0),"")</f>
        <v/>
      </c>
      <c r="IJ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IF19&gt;=0.45,VLOOKUP(Calculator!E23,tbSkills!DH3:DI6,2,FALSE)+IF(AND(Calculator!B8=TRUE,Backdoors!BI37=TRUE),VLOOKUP(Calculator!E23,tbSkills!DH3:DJ6,3,FALSE),0),0))&gt;=100,100,(Backdoors!AI12+IF(IF19&gt;=0.45,VLOOKUP(Calculator!E23,tbSkills!DH3:DI6,2,FALSE)+IF(AND(Calculator!B8=TRUE,Backdoors!BI37=TRUE),VLOOKUP(Calculator!E23,tbSkills!DH3:DJ6,3,FALSE),0),0)))/100)),1))*IF(VLOOKUP(A19,tbMoveset!A2:K112,11,FALSE)=TRUE,Backdoors!AC5,1))*IG19,0),"")</f>
        <v>0</v>
      </c>
      <c r="IK19" s="49">
        <f>VLOOKUP(A19,tbMoveset!A2:G112,7,FALSE)*IFERROR(IF(Backdoors!AI12&gt;=0,1+(IF(Calculator!E40&gt;0,VLOOKUP(Calculator!E40,tbSkills!AI3:AJ5,2,FALSE),Backdoors!AL4)*(IF((Backdoors!AI12+IF(IF19&gt;=0.45,VLOOKUP(Calculator!E23,tbSkills!DH3:DI6,2,FALSE)+IF(AND(Calculator!B8=TRUE,Backdoors!BI37=TRUE),VLOOKUP(Calculator!E23,tbSkills!DH3:DJ6,3,FALSE),0),0))&gt;=100,100,(Backdoors!AI12+IF(IF19&gt;=0.45,VLOOKUP(Calculator!E23,tbSkills!DH3:DI6,2,FALSE)+IF(AND(Calculator!B8=TRUE,Backdoors!BI37=TRUE),VLOOKUP(Calculator!E23,tbSkills!DH3:DJ6,3,FALSE),0),0)))/100)),1),1)</f>
        <v>0.5</v>
      </c>
      <c r="IL19" s="87">
        <f t="shared" si="27"/>
        <v>0</v>
      </c>
      <c r="IM19" s="86" t="str">
        <f>IFERROR(IF(VLOOKUP(A19,tbMoveset!A2:B112,2,FALSE)="Sever",Backdoors!AY38/100,IF(VLOOKUP(A19,tbMoveset!A2:B112,2,FALSE)="Blunt",Backdoors!AZ38/100,Backdoors!BA38/100)),"")</f>
        <v/>
      </c>
      <c r="IN19" s="49">
        <f>IFERROR(IF(VLOOKUP(tbMoveset!A19,tbMoveset!A2:H112,8,FALSE)="Other",IF(VLOOKUP(tbMoveset!A19,tbMoveset!A2:I112,9,FALSE)="Fire",Backdoors!BB38,IF(VLOOKUP(tbMoveset!A19,tbMoveset!A2:I112,9,FALSE)="Water",Backdoors!BC38,IF(VLOOKUP(tbMoveset!A19,tbMoveset!A2:I112,9,FALSE)="Thunder",Backdoors!BD38,IF(VLOOKUP(tbMoveset!A19,tbMoveset!A2:I112,9,FALSE)="Ice",Backdoors!BE38,IF(VLOOKUP(tbMoveset!A19,tbMoveset!A2:I112,9,FALSE)="Dragon",Backdoors!BF38,Backdoors!BG38)))))/100,Backdoors!BG38/100),"")</f>
        <v>0</v>
      </c>
      <c r="IO19" s="49">
        <f>IFERROR(IF(VLOOKUP(A19,tbMoveset!A2:J112,10,FALSE)=TRUE,IF((Backdoors!AI12+IF(IM19&gt;=0.45,VLOOKUP(Calculator!E23,tbSkills!DH3:DI6,2,FALSE)+IF(AND(Calculator!B8=TRUE,Backdoors!BI38=TRUE),VLOOKUP(Calculator!E23,tbSkills!DH3:DJ6,3,FALSE),0),0))&gt;=0,1+(Backdoors!AL2*(IF((Backdoors!AI12+IF(IM19&gt;=0.45,VLOOKUP(Calculator!E23,tbSkills!DH3:DI6,2,FALSE)+IF(AND(Calculator!B8=TRUE,Backdoors!BI38=TRUE),VLOOKUP(Calculator!E23,tbSkills!DH3:DJ6,3,FALSE),0),0))&gt;=100,100,(Backdoors!AI12+IF(IM19&gt;=0.45,VLOOKUP(Calculator!E23,tbSkills!DH3:DI6,2,FALSE)+IF(AND(Calculator!B8=TRUE,Backdoors!BI38=TRUE),VLOOKUP(Calculator!E23,tbSkills!DH3:DJ6,3,FALSE),0),0)))/100)),(1-(0.25*((-Backdoors!AI12-IF(IM19&gt;=0.45,VLOOKUP(Calculator!E23,tbSkills!DH3:DI6,2,FALSE)+IF(AND(Calculator!B8=TRUE,Backdoors!BI38=TRUE),VLOOKUP(Calculator!E23,tbSkills!DH3:DJ6,3,FALSE),0),0))/100)))),1),"")</f>
        <v>1</v>
      </c>
      <c r="IP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M19)*IO19)*(VLOOKUP(A19,tbMoveset!A2:C112,3,FALSE)/100)*IF(VLOOKUP(A19,tbMoveset!A2:B112,2,FALSE)="Projectile",Backdoors!N10,Backdoors!N9),0),"")</f>
        <v/>
      </c>
      <c r="IQ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IM19&gt;=0.45,VLOOKUP(Calculator!E23,tbSkills!DH3:DI6,2,FALSE)+IF(AND(Calculator!B8=TRUE,Backdoors!BI38=TRUE),VLOOKUP(Calculator!E23,tbSkills!DH3:DJ6,3,FALSE),0),0))&gt;=100,100,(Backdoors!AI12+IF(IM19&gt;=0.45,VLOOKUP(Calculator!E23,tbSkills!DH3:DI6,2,FALSE)+IF(AND(Calculator!B8=TRUE,Backdoors!BI38=TRUE),VLOOKUP(Calculator!E23,tbSkills!DH3:DJ6,3,FALSE),0),0)))/100)),1))*IF(VLOOKUP(A19,tbMoveset!A2:K112,11,FALSE)=TRUE,Backdoors!AC5,1))*IN19,0),"")</f>
        <v>0</v>
      </c>
      <c r="IR19" s="49">
        <f>VLOOKUP(A19,tbMoveset!A2:G112,7,FALSE)*IFERROR(IF(Backdoors!AI12&gt;=0,1+(IF(Calculator!E40&gt;0,VLOOKUP(Calculator!E40,tbSkills!AI3:AJ5,2,FALSE),Backdoors!AL4)*(IF((Backdoors!AI12+IF(IM19&gt;=0.45,VLOOKUP(Calculator!E23,tbSkills!DH3:DI6,2,FALSE)+IF(AND(Calculator!B8=TRUE,Backdoors!BI38=TRUE),VLOOKUP(Calculator!E23,tbSkills!DH3:DJ6,3,FALSE),0),0))&gt;=100,100,(Backdoors!AI12+IF(IM19&gt;=0.45,VLOOKUP(Calculator!E23,tbSkills!DH3:DI6,2,FALSE)+IF(AND(Calculator!B8=TRUE,Backdoors!BI38=TRUE),VLOOKUP(Calculator!E23,tbSkills!DH3:DJ6,3,FALSE),0),0)))/100)),1),1)</f>
        <v>0.5</v>
      </c>
      <c r="IS19" s="87">
        <f t="shared" si="42"/>
        <v>0</v>
      </c>
      <c r="IT19" s="86" t="str">
        <f>IFERROR(IF(VLOOKUP(A19,tbMoveset!A2:B112,2,FALSE)="Sever",Backdoors!AY39/100,IF(VLOOKUP(A19,tbMoveset!A2:B112,2,FALSE)="Blunt",Backdoors!AZ39/100,Backdoors!BA39/100)),"")</f>
        <v/>
      </c>
      <c r="IU19" s="49">
        <f>IFERROR(IF(VLOOKUP(tbMoveset!A19,tbMoveset!A2:H112,8,FALSE)="Other",IF(VLOOKUP(tbMoveset!A19,tbMoveset!A2:I112,9,FALSE)="Fire",Backdoors!BB39,IF(VLOOKUP(tbMoveset!A19,tbMoveset!A2:I112,9,FALSE)="Water",Backdoors!BC39,IF(VLOOKUP(tbMoveset!A19,tbMoveset!A2:I112,9,FALSE)="Thunder",Backdoors!BD39,IF(VLOOKUP(tbMoveset!A19,tbMoveset!A2:I112,9,FALSE)="Ice",Backdoors!BE39,IF(VLOOKUP(tbMoveset!A19,tbMoveset!A2:I112,9,FALSE)="Dragon",Backdoors!BF39,Backdoors!BG39)))))/100,Backdoors!BG39/100),"")</f>
        <v>0</v>
      </c>
      <c r="IV19" s="49">
        <f>IFERROR(IF(VLOOKUP(A19,tbMoveset!A2:J112,10,FALSE)=TRUE,IF((Backdoors!AI12+IF(IT19&gt;=0.45,VLOOKUP(Calculator!E23,tbSkills!DH3:DI6,2,FALSE)+IF(AND(Calculator!B8=TRUE,Backdoors!BI39=TRUE),VLOOKUP(Calculator!E23,tbSkills!DH3:DJ6,3,FALSE),0),0))&gt;=0,1+(Backdoors!AL2*(IF((Backdoors!AI12+IF(IT19&gt;=0.45,VLOOKUP(Calculator!E23,tbSkills!DH3:DI6,2,FALSE)+IF(AND(Calculator!B8=TRUE,Backdoors!BI39=TRUE),VLOOKUP(Calculator!E23,tbSkills!DH3:DJ6,3,FALSE),0),0))&gt;=100,100,(Backdoors!AI12+IF(IT19&gt;=0.45,VLOOKUP(Calculator!E23,tbSkills!DH3:DI6,2,FALSE)+IF(AND(Calculator!B8=TRUE,Backdoors!BI39=TRUE),VLOOKUP(Calculator!E23,tbSkills!DH3:DJ6,3,FALSE),0),0)))/100)),(1-(0.25*((-Backdoors!AI12-IF(IT19&gt;=0.45,VLOOKUP(Calculator!E23,tbSkills!DH3:DI6,2,FALSE)+IF(AND(Calculator!B8=TRUE,Backdoors!BI39=TRUE),VLOOKUP(Calculator!E23,tbSkills!DH3:DJ6,3,FALSE),0),0))/100)))),1),"")</f>
        <v>1</v>
      </c>
      <c r="IW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T19)*IV19)*(VLOOKUP(A19,tbMoveset!A2:C112,3,FALSE)/100)*IF(VLOOKUP(A19,tbMoveset!A2:B112,2,FALSE)="Projectile",Backdoors!N10,Backdoors!N9),0),"")</f>
        <v/>
      </c>
      <c r="IX19" s="49">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40&gt;0,VLOOKUP(Calculator!E40,tbSkills!AC3:AD5,2,FALSE),Backdoors!AL3)*(IF((Backdoors!AI12+IF(IT19&gt;=0.45,VLOOKUP(Calculator!E23,tbSkills!DH3:DI6,2,FALSE)+IF(AND(Calculator!B8=TRUE,Backdoors!BI39=TRUE),VLOOKUP(Calculator!E23,tbSkills!DH3:DJ6,3,FALSE),0),0))&gt;=100,100,(Backdoors!AI12+IF(IT19&gt;=0.45,VLOOKUP(Calculator!E23,tbSkills!DH3:DI6,2,FALSE)+IF(AND(Calculator!B8=TRUE,Backdoors!BI39=TRUE),VLOOKUP(Calculator!E23,tbSkills!DH3:DJ6,3,FALSE),0),0)))/100)),1))*IF(VLOOKUP(A19,tbMoveset!A2:K112,11,FALSE)=TRUE,Backdoors!AC5,1))*IU19,0),"")</f>
        <v>0</v>
      </c>
      <c r="IY19" s="49">
        <f>VLOOKUP(A19,tbMoveset!A2:G112,7,FALSE)*IFERROR(IF(Backdoors!AI12&gt;=0,1+(IF(Calculator!E40&gt;0,VLOOKUP(Calculator!E40,tbSkills!AI3:AJ5,2,FALSE),Backdoors!AL4)*(IF((Backdoors!AI12+IF(IT19&gt;=0.45,VLOOKUP(Calculator!E23,tbSkills!DH3:DI6,2,FALSE)+IF(AND(Calculator!B8=TRUE,Backdoors!BI39=TRUE),VLOOKUP(Calculator!E23,tbSkills!DH3:DJ6,3,FALSE),0),0))&gt;=100,100,(Backdoors!AI12+IF(IT19&gt;=0.45,VLOOKUP(Calculator!E23,tbSkills!DH3:DI6,2,FALSE)+IF(AND(Calculator!B8=TRUE,Backdoors!BI39=TRUE),VLOOKUP(Calculator!E23,tbSkills!DH3:DJ6,3,FALSE),0),0)))/100)),1),1)</f>
        <v>0.5</v>
      </c>
      <c r="IZ19" s="87">
        <f t="shared" si="28"/>
        <v>0</v>
      </c>
      <c r="JA19" s="86" t="str">
        <f>IFERROR(IF(VLOOKUP(A19,tbMoveset!A2:B112,2,FALSE)="Sever",Backdoors!AY40/100,IF(VLOOKUP(A19,tbMoveset!A2:B112,2,FALSE)="Blunt",Backdoors!AZ40/100,Backdoors!BA40/100)),"")</f>
        <v/>
      </c>
      <c r="JB19" s="49">
        <f>IFERROR(IF(VLOOKUP(tbMoveset!A19,tbMoveset!A2:H112,8,FALSE)="Other",IF(VLOOKUP(tbMoveset!A19,tbMoveset!A2:I112,9,FALSE)="Fire",Backdoors!BB40,IF(VLOOKUP(tbMoveset!A19,tbMoveset!A2:I112,9,FALSE)="Water",Backdoors!BC40,IF(VLOOKUP(tbMoveset!A19,tbMoveset!A2:I112,9,FALSE)="Thunder",Backdoors!BD40,IF(VLOOKUP(tbMoveset!A19,tbMoveset!A2:I112,9,FALSE)="Ice",Backdoors!BE40,IF(VLOOKUP(tbMoveset!A19,tbMoveset!A2:I112,9,FALSE)="Dragon",Backdoors!BF40,Backdoors!BG40)))))/100,Backdoors!BG40/100),"")</f>
        <v>0</v>
      </c>
      <c r="JC19" s="49">
        <f>IFERROR(IF(VLOOKUP(A19,tbMoveset!A2:J112,10,FALSE)=TRUE,IF((Backdoors!AI12+IF(JA19&gt;=0.45,VLOOKUP(Calculator!E23,tbSkills!DH3:DI6,2,FALSE)+IF(AND(Calculator!B8=TRUE,Backdoors!BI40=TRUE),VLOOKUP(Calculator!E23,tbSkills!DH3:DJ6,3,FALSE),0),0))&gt;=0,1+(Backdoors!AL2*(IF((Backdoors!AI12+IF(JA19&gt;=0.45,VLOOKUP(Calculator!E23,tbSkills!DH3:DI6,2,FALSE)+IF(AND(Calculator!B8=TRUE,Backdoors!BI40=TRUE),VLOOKUP(Calculator!E23,tbSkills!DH3:DJ6,3,FALSE),0),0))&gt;=100,100,(Backdoors!AI12+IF(JA19&gt;=0.45,VLOOKUP(Calculator!E23,tbSkills!DH3:DI6,2,FALSE)+IF(AND(Calculator!B8=TRUE,Backdoors!BI40=TRUE),VLOOKUP(Calculator!E23,tbSkills!DH3:DJ6,3,FALSE),0),0)))/100)),(1-(0.25*((-Backdoors!AI12-IF(JA19&gt;=0.45,VLOOKUP(Calculator!E23,tbSkills!DH3:DI6,2,FALSE)+IF(AND(Calculator!B8=TRUE,Backdoors!BI40=TRUE),VLOOKUP(Calculator!E23,tbSkills!DH3:DJ6,3,FALSE),0),0))/100)))),1),"")</f>
        <v>1</v>
      </c>
      <c r="JD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A19)*JC19)*(VLOOKUP(A19,tbMoveset!A2:C112,3,FALSE)/100)*IF(VLOOKUP(A19,tbMoveset!A2:B112,2,FALSE)="Projectile",Backdoors!N10,Backdoors!N9),0),"")</f>
        <v/>
      </c>
      <c r="JE19" s="49">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42&gt;0,VLOOKUP(Calculator!E42,tbSkills!AC3:AD5,2,FALSE),Backdoors!AL3)*(IF((Backdoors!AI12+IF(JA19&gt;=0.45,VLOOKUP(Calculator!E23,tbSkills!DH3:DI6,2,FALSE)+IF(AND(Calculator!B8=TRUE,Backdoors!BI40=TRUE),VLOOKUP(Calculator!E23,tbSkills!DH3:DJ6,3,FALSE),0),0))&gt;=100,100,(Backdoors!AI12+IF(JA19&gt;=0.45,VLOOKUP(Calculator!E23,tbSkills!DH3:DI6,2,FALSE)+IF(AND(Calculator!B8=TRUE,Backdoors!BI40=TRUE),VLOOKUP(Calculator!E23,tbSkills!DH3:DJ6,3,FALSE),0),0)))/100)),1))*IF(VLOOKUP(A19,tbMoveset!A2:K112,11,FALSE)=TRUE,Backdoors!AC5,1))*JB19,0),"")</f>
        <v>0</v>
      </c>
      <c r="JF19" s="49">
        <f>VLOOKUP(A19,tbMoveset!A2:G112,7,FALSE)*IFERROR(IF(Backdoors!AI12&gt;=0,1+(IF(Calculator!E40&gt;0,VLOOKUP(Calculator!E40,tbSkills!AI3:AJ5,2,FALSE),Backdoors!AL4)*(IF((Backdoors!AI12+IF(JA19&gt;=0.45,VLOOKUP(Calculator!E23,tbSkills!DH3:DI6,2,FALSE)+IF(AND(Calculator!B8=TRUE,Backdoors!BI40=TRUE),VLOOKUP(Calculator!E23,tbSkills!DH3:DJ6,3,FALSE),0),0))&gt;=100,100,(Backdoors!AI12+IF(JA19&gt;=0.45,VLOOKUP(Calculator!E23,tbSkills!DH3:DI6,2,FALSE)+IF(AND(Calculator!B8=TRUE,Backdoors!BI40=TRUE),VLOOKUP(Calculator!E23,tbSkills!DH3:DJ6,3,FALSE),0),0)))/100)),1),1)</f>
        <v>0.5</v>
      </c>
      <c r="JG19" s="87">
        <f t="shared" si="29"/>
        <v>0</v>
      </c>
      <c r="JH19" s="86" t="str">
        <f>IFERROR(IF(VLOOKUP(A19,tbMoveset!A2:B112,2,FALSE)="Sever",Backdoors!AY41/100,IF(VLOOKUP(A19,tbMoveset!A2:B112,2,FALSE)="Blunt",Backdoors!AZ41/100,Backdoors!BA41/100)),"")</f>
        <v/>
      </c>
      <c r="JI19" s="49">
        <f>IFERROR(IF(VLOOKUP(tbMoveset!A19,tbMoveset!A2:H112,8,FALSE)="Other",IF(VLOOKUP(tbMoveset!A19,tbMoveset!A2:I112,9,FALSE)="Fire",Backdoors!BB41,IF(VLOOKUP(tbMoveset!A19,tbMoveset!A2:I112,9,FALSE)="Water",Backdoors!BC41,IF(VLOOKUP(tbMoveset!A19,tbMoveset!A2:I112,9,FALSE)="Thunder",Backdoors!BD41,IF(VLOOKUP(tbMoveset!A19,tbMoveset!A2:I112,9,FALSE)="Ice",Backdoors!BE41,IF(VLOOKUP(tbMoveset!A19,tbMoveset!A2:I112,9,FALSE)="Dragon",Backdoors!BF41,Backdoors!BG41)))))/100,Backdoors!BG41/100),"")</f>
        <v>0</v>
      </c>
      <c r="JJ19" s="49">
        <f>IFERROR(IF(VLOOKUP(A19,tbMoveset!A2:J112,10,FALSE)=TRUE,IF((Backdoors!AI12+IF(JH19&gt;=0.45,VLOOKUP(Calculator!E23,tbSkills!DH3:DI6,2,FALSE)+IF(AND(Calculator!B8=TRUE,Backdoors!BI41=TRUE),VLOOKUP(Calculator!E23,tbSkills!DH3:DJ6,3,FALSE),0),0))&gt;=0,1+(Backdoors!AL2*(IF((Backdoors!AI12+IF(JH19&gt;=0.45,VLOOKUP(Calculator!E23,tbSkills!DH3:DI6,2,FALSE)+IF(AND(Calculator!B8=TRUE,Backdoors!BI41=TRUE),VLOOKUP(Calculator!E23,tbSkills!DH3:DJ6,3,FALSE),0),0))&gt;=100,100,(Backdoors!AI12+IF(JH19&gt;=0.45,VLOOKUP(Calculator!E23,tbSkills!DH3:DI6,2,FALSE)+IF(AND(Calculator!B8=TRUE,Backdoors!BI41=TRUE),VLOOKUP(Calculator!E23,tbSkills!DH3:DJ6,3,FALSE),0),0)))/100)),(1-(0.25*((-Backdoors!AI12-IF(JH19&gt;=0.45,VLOOKUP(Calculator!E23,tbSkills!DH3:DI6,2,FALSE)+IF(AND(Calculator!B8=TRUE,Backdoors!BI41=TRUE),VLOOKUP(Calculator!E23,tbSkills!DH3:DJ6,3,FALSE),0),0))/100)))),1),"")</f>
        <v>1</v>
      </c>
      <c r="JK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H19)*JJ19)*(VLOOKUP(A19,tbMoveset!A2:C112,3,FALSE)/100)*IF(VLOOKUP(A19,tbMoveset!A2:B112,2,FALSE)="Projectile",Backdoors!N10,Backdoors!N9),0),"")</f>
        <v/>
      </c>
      <c r="JL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43&gt;0,VLOOKUP(Calculator!E43,tbSkills!AC3:AD5,2,FALSE),Backdoors!AL3)*(IF((Backdoors!AI12+IF(JH19&gt;=0.45,VLOOKUP(Calculator!E23,tbSkills!DH3:DI6,2,FALSE)+IF(AND(Calculator!B8=TRUE,Backdoors!BI41=TRUE),VLOOKUP(Calculator!E23,tbSkills!DH3:DJ6,3,FALSE),0),0))&gt;=100,100,(Backdoors!AI12+IF(JH19&gt;=0.45,VLOOKUP(Calculator!E23,tbSkills!DH3:DI6,2,FALSE)+IF(AND(Calculator!B8=TRUE,Backdoors!BI41=TRUE),VLOOKUP(Calculator!E23,tbSkills!DH3:DJ6,3,FALSE),0),0)))/100)),1))*IF(VLOOKUP(A19,tbMoveset!A2:K112,11,FALSE)=TRUE,Backdoors!AC5,1))*JI19,0),"")</f>
        <v/>
      </c>
      <c r="JM19" s="49">
        <f>VLOOKUP(A19,tbMoveset!A2:G112,7,FALSE)*IFERROR(IF(Backdoors!AI12&gt;=0,1+(IF(Calculator!E40&gt;0,VLOOKUP(Calculator!E40,tbSkills!AI3:AJ5,2,FALSE),Backdoors!AL4)*(IF((Backdoors!AI12+IF(JH19&gt;=0.45,VLOOKUP(Calculator!E23,tbSkills!DH3:DI6,2,FALSE)+IF(AND(Calculator!B8=TRUE,Backdoors!BI41=TRUE),VLOOKUP(Calculator!E23,tbSkills!DH3:DJ6,3,FALSE),0),0))&gt;=100,100,(Backdoors!AI12+IF(JH19&gt;=0.45,VLOOKUP(Calculator!E23,tbSkills!DH3:DI6,2,FALSE)+IF(AND(Calculator!B8=TRUE,Backdoors!BI41=TRUE),VLOOKUP(Calculator!E23,tbSkills!DH3:DJ6,3,FALSE),0),0)))/100)),1),1)</f>
        <v>0.5</v>
      </c>
      <c r="JN19" s="87">
        <f t="shared" si="30"/>
        <v>0</v>
      </c>
      <c r="JO19" s="86" t="str">
        <f>IFERROR(IF(VLOOKUP(A19,tbMoveset!A2:B112,2,FALSE)="Sever",Backdoors!AY42/100,IF(VLOOKUP(A19,tbMoveset!A2:B112,2,FALSE)="Blunt",Backdoors!AZ42/100,Backdoors!BA42/100)),"")</f>
        <v/>
      </c>
      <c r="JP19" s="49">
        <f>IFERROR(IF(VLOOKUP(tbMoveset!A19,tbMoveset!A2:H112,8,FALSE)="Other",IF(VLOOKUP(tbMoveset!A19,tbMoveset!A2:I112,9,FALSE)="Fire",Backdoors!BB42,IF(VLOOKUP(tbMoveset!A19,tbMoveset!A2:I112,9,FALSE)="Water",Backdoors!BC42,IF(VLOOKUP(tbMoveset!A19,tbMoveset!A2:I112,9,FALSE)="Thunder",Backdoors!BD42,IF(VLOOKUP(tbMoveset!A19,tbMoveset!A2:I112,9,FALSE)="Ice",Backdoors!BE42,IF(VLOOKUP(tbMoveset!A19,tbMoveset!A2:I112,9,FALSE)="Dragon",Backdoors!BF42,Backdoors!BG42)))))/100,Backdoors!BG42/100),"")</f>
        <v>0</v>
      </c>
      <c r="JQ19" s="49">
        <f>IFERROR(IF(VLOOKUP(A19,tbMoveset!A2:J112,10,FALSE)=TRUE,IF((Backdoors!AI12+IF(JO19&gt;=0.45,VLOOKUP(Calculator!E23,tbSkills!DH3:DI6,2,FALSE)+IF(AND(Calculator!B8=TRUE,Backdoors!BI42=TRUE),VLOOKUP(Calculator!E23,tbSkills!DH3:DJ6,3,FALSE),0),0))&gt;=0,1+(Backdoors!AL2*(IF((Backdoors!AI12+IF(JO19&gt;=0.45,VLOOKUP(Calculator!E23,tbSkills!DH3:DI6,2,FALSE)+IF(AND(Calculator!B8=TRUE,Backdoors!BI42=TRUE),VLOOKUP(Calculator!E23,tbSkills!DH3:DJ6,3,FALSE),0),0))&gt;=100,100,(Backdoors!AI12+IF(JO19&gt;=0.45,VLOOKUP(Calculator!E23,tbSkills!DH3:DI6,2,FALSE)+IF(AND(Calculator!B8=TRUE,Backdoors!BI42=TRUE),VLOOKUP(Calculator!E23,tbSkills!DH3:DJ6,3,FALSE),0),0)))/100)),(1-(0.25*((-Backdoors!AI12-IF(JO19&gt;=0.45,VLOOKUP(Calculator!E23,tbSkills!DH3:DI6,2,FALSE)+IF(AND(Calculator!B8=TRUE,Backdoors!BI42=TRUE),VLOOKUP(Calculator!E23,tbSkills!DH3:DJ6,3,FALSE),0),0))/100)))),1),"")</f>
        <v>1</v>
      </c>
      <c r="JR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O19)*JQ19)*(VLOOKUP(A19,tbMoveset!A2:C112,3,FALSE)/100)*IF(VLOOKUP(A19,tbMoveset!A2:B112,2,FALSE)="Projectile",Backdoors!N10,Backdoors!N9),0),"")</f>
        <v/>
      </c>
      <c r="JS19" s="49">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45&gt;0,VLOOKUP(Calculator!E45,tbSkills!AC3:AD5,2,FALSE),Backdoors!AL3)*(IF((Backdoors!AI12+IF(JO19&gt;=0.45,VLOOKUP(Calculator!E23,tbSkills!DH3:DI6,2,FALSE)+IF(AND(Calculator!B8=TRUE,Backdoors!BI42=TRUE),VLOOKUP(Calculator!E23,tbSkills!DH3:DJ6,3,FALSE),0),0))&gt;=100,100,(Backdoors!AI12+IF(JO19&gt;=0.45,VLOOKUP(Calculator!E23,tbSkills!DH3:DI6,2,FALSE)+IF(AND(Calculator!B8=TRUE,Backdoors!BI42=TRUE),VLOOKUP(Calculator!E23,tbSkills!DH3:DJ6,3,FALSE),0),0)))/100)),1))*IF(VLOOKUP(A19,tbMoveset!A2:K112,11,FALSE)=TRUE,Backdoors!AC5,1))*JP19,0),"")</f>
        <v>0</v>
      </c>
      <c r="JT19" s="49">
        <f>VLOOKUP(A19,tbMoveset!A2:G112,7,FALSE)*IFERROR(IF(Backdoors!AI12&gt;=0,1+(IF(Calculator!E40&gt;0,VLOOKUP(Calculator!E40,tbSkills!AI3:AJ5,2,FALSE),Backdoors!AL4)*(IF((Backdoors!AI12+IF(JO19&gt;=0.45,VLOOKUP(Calculator!E23,tbSkills!DH3:DI6,2,FALSE)+IF(AND(Calculator!B8=TRUE,Backdoors!BI42=TRUE),VLOOKUP(Calculator!E23,tbSkills!DH3:DJ6,3,FALSE),0),0))&gt;=100,100,(Backdoors!AI12+IF(JO19&gt;=0.45,VLOOKUP(Calculator!E23,tbSkills!DH3:DI6,2,FALSE)+IF(AND(Calculator!B8=TRUE,Backdoors!BI42=TRUE),VLOOKUP(Calculator!E23,tbSkills!DH3:DJ6,3,FALSE),0),0)))/100)),1),1)</f>
        <v>0.5</v>
      </c>
      <c r="JU19" s="87">
        <f t="shared" si="31"/>
        <v>0</v>
      </c>
      <c r="JV19" s="86" t="str">
        <f>IFERROR(IF(VLOOKUP(A19,tbMoveset!A2:B112,2,FALSE)="Sever",Backdoors!AY43/100,IF(VLOOKUP(A19,tbMoveset!A2:B112,2,FALSE)="Blunt",Backdoors!AZ43/100,Backdoors!BA43/100)),"")</f>
        <v/>
      </c>
      <c r="JW19" s="49">
        <f>IFERROR(IF(VLOOKUP(tbMoveset!A19,tbMoveset!A2:H112,8,FALSE)="Other",IF(VLOOKUP(tbMoveset!A19,tbMoveset!A2:I112,9,FALSE)="Fire",Backdoors!BB43,IF(VLOOKUP(tbMoveset!A19,tbMoveset!A2:I112,9,FALSE)="Water",Backdoors!BC43,IF(VLOOKUP(tbMoveset!A19,tbMoveset!A2:I112,9,FALSE)="Thunder",Backdoors!BD43,IF(VLOOKUP(tbMoveset!A19,tbMoveset!A2:I112,9,FALSE)="Ice",Backdoors!BE43,IF(VLOOKUP(tbMoveset!A19,tbMoveset!A2:I112,9,FALSE)="Dragon",Backdoors!BF43,Backdoors!BG43)))))/100,Backdoors!BG43/100),"")</f>
        <v>0</v>
      </c>
      <c r="JX19" s="49">
        <f>IFERROR(IF(VLOOKUP(A19,tbMoveset!A2:J112,10,FALSE)=TRUE,IF((Backdoors!AI12+IF(JV19&gt;=0.45,VLOOKUP(Calculator!E23,tbSkills!DH3:DI6,2,FALSE)+IF(AND(Calculator!B8=TRUE,Backdoors!BI43=TRUE),VLOOKUP(Calculator!E23,tbSkills!DH3:DJ6,3,FALSE),0),0))&gt;=0,1+(Backdoors!AL2*(IF((Backdoors!AI12+IF(JV19&gt;=0.45,VLOOKUP(Calculator!E23,tbSkills!DH3:DI6,2,FALSE)+IF(AND(Calculator!B8=TRUE,Backdoors!BI43=TRUE),VLOOKUP(Calculator!E23,tbSkills!DH3:DJ6,3,FALSE),0),0))&gt;=100,100,(Backdoors!AI12+IF(JV19&gt;=0.45,VLOOKUP(Calculator!E23,tbSkills!DH3:DI6,2,FALSE)+IF(AND(Calculator!B8=TRUE,Backdoors!BI43=TRUE),VLOOKUP(Calculator!E23,tbSkills!DH3:DJ6,3,FALSE),0),0)))/100)),(1-(0.25*((-Backdoors!AI12-IF(JV19&gt;=0.45,VLOOKUP(Calculator!E23,tbSkills!DH3:DI6,2,FALSE)+IF(AND(Calculator!B8=TRUE,Backdoors!BI43=TRUE),VLOOKUP(Calculator!E23,tbSkills!DH3:DJ6,3,FALSE),0),0))/100)))),1),"")</f>
        <v>1</v>
      </c>
      <c r="JY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V19)*JX19)*(VLOOKUP(A19,tbMoveset!A2:C112,3,FALSE)/100)*IF(VLOOKUP(A19,tbMoveset!A2:B112,2,FALSE)="Projectile",Backdoors!N10,Backdoors!N9),0),"")</f>
        <v/>
      </c>
      <c r="JZ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46&gt;0,VLOOKUP(Calculator!E46,tbSkills!AC3:AD5,2,FALSE),Backdoors!AL3)*(IF((Backdoors!AI12+IF(JV19&gt;=0.45,VLOOKUP(Calculator!E23,tbSkills!DH3:DI6,2,FALSE)+IF(AND(Calculator!B8=TRUE,Backdoors!BI43=TRUE),VLOOKUP(Calculator!E23,tbSkills!DH3:DJ6,3,FALSE),0),0))&gt;=100,100,(Backdoors!AI12+IF(JV19&gt;=0.45,VLOOKUP(Calculator!E23,tbSkills!DH3:DI6,2,FALSE)+IF(AND(Calculator!B8=TRUE,Backdoors!BI43=TRUE),VLOOKUP(Calculator!E23,tbSkills!DH3:DJ6,3,FALSE),0),0)))/100)),1))*IF(VLOOKUP(A19,tbMoveset!A2:K112,11,FALSE)=TRUE,Backdoors!AC5,1))*JW19,0),"")</f>
        <v/>
      </c>
      <c r="KA19" s="49">
        <f>VLOOKUP(A19,tbMoveset!A2:G112,7,FALSE)*IFERROR(IF(Backdoors!AI12&gt;=0,1+(IF(Calculator!E40&gt;0,VLOOKUP(Calculator!E40,tbSkills!AI3:AJ5,2,FALSE),Backdoors!AL4)*(IF((Backdoors!AI12+IF(JV19&gt;=0.45,VLOOKUP(Calculator!E23,tbSkills!DH3:DI6,2,FALSE)+IF(AND(Calculator!B8=TRUE,Backdoors!BI43=TRUE),VLOOKUP(Calculator!E23,tbSkills!DH3:DJ6,3,FALSE),0),0))&gt;=100,100,(Backdoors!AI12+IF(JV19&gt;=0.45,VLOOKUP(Calculator!E23,tbSkills!DH3:DI6,2,FALSE)+IF(AND(Calculator!B8=TRUE,Backdoors!BI43=TRUE),VLOOKUP(Calculator!E23,tbSkills!DH3:DJ6,3,FALSE),0),0)))/100)),1),1)</f>
        <v>0.5</v>
      </c>
      <c r="KB19" s="87">
        <f t="shared" si="32"/>
        <v>0</v>
      </c>
      <c r="KC19" s="86" t="str">
        <f>IFERROR(IF(VLOOKUP(A19,tbMoveset!A2:B112,2,FALSE)="Sever",Backdoors!AY44/100,IF(VLOOKUP(A19,tbMoveset!A2:B112,2,FALSE)="Blunt",Backdoors!AZ44/100,Backdoors!BA44/100)),"")</f>
        <v/>
      </c>
      <c r="KD19" s="49">
        <f>IFERROR(IF(VLOOKUP(tbMoveset!A19,tbMoveset!A2:H112,8,FALSE)="Other",IF(VLOOKUP(tbMoveset!A19,tbMoveset!A2:I112,9,FALSE)="Fire",Backdoors!BB44,IF(VLOOKUP(tbMoveset!A19,tbMoveset!A2:I112,9,FALSE)="Water",Backdoors!BC44,IF(VLOOKUP(tbMoveset!A19,tbMoveset!A2:I112,9,FALSE)="Thunder",Backdoors!BD44,IF(VLOOKUP(tbMoveset!A19,tbMoveset!A2:I112,9,FALSE)="Ice",Backdoors!BE44,IF(VLOOKUP(tbMoveset!A19,tbMoveset!A2:I112,9,FALSE)="Dragon",Backdoors!BF44,Backdoors!BG44)))))/100,Backdoors!BG44/100),"")</f>
        <v>0</v>
      </c>
      <c r="KE19" s="49">
        <f>IFERROR(IF(VLOOKUP(A19,tbMoveset!A2:J112,10,FALSE)=TRUE,IF((Backdoors!AI12+IF(KC19&gt;=0.45,VLOOKUP(Calculator!E23,tbSkills!DH3:DI6,2,FALSE)+IF(AND(Calculator!B8=TRUE,Backdoors!BI44=TRUE),VLOOKUP(Calculator!E23,tbSkills!DH3:DJ6,3,FALSE),0),0))&gt;=0,1+(Backdoors!AL2*(IF((Backdoors!AI12+IF(KC19&gt;=0.45,VLOOKUP(Calculator!E23,tbSkills!DH3:DI6,2,FALSE)+IF(AND(Calculator!B8=TRUE,Backdoors!BI44=TRUE),VLOOKUP(Calculator!E23,tbSkills!DH3:DJ6,3,FALSE),0),0))&gt;=100,100,(Backdoors!AI12+IF(KC19&gt;=0.45,VLOOKUP(Calculator!E23,tbSkills!DH3:DI6,2,FALSE)+IF(AND(Calculator!B8=TRUE,Backdoors!BI44=TRUE),VLOOKUP(Calculator!E23,tbSkills!DH3:DJ6,3,FALSE),0),0)))/100)),(1-(0.25*((-Backdoors!AI12-IF(KC19&gt;=0.45,VLOOKUP(Calculator!E23,tbSkills!DH3:DI6,2,FALSE)+IF(AND(Calculator!B8=TRUE,Backdoors!BI44=TRUE),VLOOKUP(Calculator!E23,tbSkills!DH3:DJ6,3,FALSE),0),0))/100)))),1),"")</f>
        <v>1</v>
      </c>
      <c r="KF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KC19)*KE19)*(VLOOKUP(A19,tbMoveset!A2:C112,3,FALSE)/100)*IF(VLOOKUP(A19,tbMoveset!A2:B112,2,FALSE)="Projectile",Backdoors!N10,Backdoors!N9),0),"")</f>
        <v/>
      </c>
      <c r="KG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REF!&gt;0,VLOOKUP(Calculator!#REF!,tbSkills!AC3:AD5,2,FALSE),Backdoors!AL3)*(IF((Backdoors!AI12+IF(KC19&gt;=0.45,VLOOKUP(Calculator!E23,tbSkills!DH3:DI6,2,FALSE)+IF(AND(Calculator!B8=TRUE,Backdoors!BI44=TRUE),VLOOKUP(Calculator!E23,tbSkills!DH3:DJ6,3,FALSE),0),0))&gt;=100,100,(Backdoors!AI12+IF(KC19&gt;=0.45,VLOOKUP(Calculator!E23,tbSkills!DH3:DI6,2,FALSE)+IF(AND(Calculator!B8=TRUE,Backdoors!BI44=TRUE),VLOOKUP(Calculator!E23,tbSkills!DH3:DJ6,3,FALSE),0),0)))/100)),1))*IF(VLOOKUP(A19,tbMoveset!A2:K112,11,FALSE)=TRUE,Backdoors!AC5,1))*KD19,0),"")</f>
        <v/>
      </c>
      <c r="KH19" s="49">
        <f>VLOOKUP(A19,tbMoveset!A2:G112,7,FALSE)*IFERROR(IF(Backdoors!AI12&gt;=0,1+(IF(Calculator!E40&gt;0,VLOOKUP(Calculator!E40,tbSkills!AI3:AJ5,2,FALSE),Backdoors!AL4)*(IF((Backdoors!AI12+IF(KC19&gt;=0.45,VLOOKUP(Calculator!E23,tbSkills!DH3:DI6,2,FALSE)+IF(AND(Calculator!B8=TRUE,Backdoors!BI44=TRUE),VLOOKUP(Calculator!E23,tbSkills!DH3:DJ6,3,FALSE),0),0))&gt;=100,100,(Backdoors!AI12+IF(KC19&gt;=0.45,VLOOKUP(Calculator!E23,tbSkills!DH3:DI6,2,FALSE)+IF(AND(Calculator!B8=TRUE,Backdoors!BI44=TRUE),VLOOKUP(Calculator!E23,tbSkills!DH3:DJ6,3,FALSE),0),0)))/100)),1),1)</f>
        <v>0.5</v>
      </c>
      <c r="KI19" s="87">
        <f t="shared" si="33"/>
        <v>0</v>
      </c>
      <c r="KJ19" s="86" t="str">
        <f>IFERROR(IF(VLOOKUP(A19,tbMoveset!A2:B112,2,FALSE)="Sever",Backdoors!AY45/100,IF(VLOOKUP(A19,tbMoveset!A2:B112,2,FALSE)="Blunt",Backdoors!AZ45/100,Backdoors!BA45/100)),"")</f>
        <v/>
      </c>
      <c r="KK19" s="49">
        <f>IFERROR(IF(VLOOKUP(tbMoveset!A19,tbMoveset!A2:H112,8,FALSE)="Other",IF(VLOOKUP(tbMoveset!A19,tbMoveset!A2:I112,9,FALSE)="Fire",Backdoors!BB45,IF(VLOOKUP(tbMoveset!A19,tbMoveset!A2:I112,9,FALSE)="Water",Backdoors!BC45,IF(VLOOKUP(tbMoveset!A19,tbMoveset!A2:I112,9,FALSE)="Thunder",Backdoors!BD45,IF(VLOOKUP(tbMoveset!A19,tbMoveset!A2:I112,9,FALSE)="Ice",Backdoors!BE45,IF(VLOOKUP(tbMoveset!A19,tbMoveset!A2:I112,9,FALSE)="Dragon",Backdoors!BF45,Backdoors!BG45)))))/100,Backdoors!BG45/100),"")</f>
        <v>0</v>
      </c>
      <c r="KL19" s="49">
        <f>IFERROR(IF(VLOOKUP(A19,tbMoveset!A2:J112,10,FALSE)=TRUE,IF((Backdoors!AI12+IF(KJ19&gt;=0.45,VLOOKUP(Calculator!E23,tbSkills!DH3:DI6,2,FALSE)+IF(AND(Calculator!B8=TRUE,Backdoors!BI45=TRUE),VLOOKUP(Calculator!E23,tbSkills!DH3:DJ6,3,FALSE),0),0))&gt;=0,1+(Backdoors!AL2*(IF((Backdoors!AI12+IF(KJ19&gt;=0.45,VLOOKUP(Calculator!E23,tbSkills!DH3:DI6,2,FALSE)+IF(AND(Calculator!B8=TRUE,Backdoors!BI45=TRUE),VLOOKUP(Calculator!E23,tbSkills!DH3:DJ6,3,FALSE),0),0))&gt;=100,100,(Backdoors!AI12+IF(KJ19&gt;=0.45,VLOOKUP(Calculator!E23,tbSkills!DH3:DI6,2,FALSE)+IF(AND(Calculator!B8=TRUE,Backdoors!BI45=TRUE),VLOOKUP(Calculator!E23,tbSkills!DH3:DJ6,3,FALSE),0),0)))/100)),(1-(0.25*((-Backdoors!AI12-IF(KJ19&gt;=0.45,VLOOKUP(Calculator!E23,tbSkills!DH3:DI6,2,FALSE)+IF(AND(Calculator!B8=TRUE,Backdoors!BI45=TRUE),VLOOKUP(Calculator!E23,tbSkills!DH3:DJ6,3,FALSE),0),0))/100)))),1),"")</f>
        <v>1</v>
      </c>
      <c r="KM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KJ19)*KL19)*(VLOOKUP(A19,tbMoveset!A2:C112,3,FALSE)/100)*IF(VLOOKUP(A19,tbMoveset!A2:B112,2,FALSE)="Projectile",Backdoors!N10,Backdoors!N9),0),"")</f>
        <v/>
      </c>
      <c r="KN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REF!&gt;0,VLOOKUP(Calculator!#REF!,tbSkills!AC3:AD5,2,FALSE),Backdoors!AL3)*(IF((Backdoors!AI12+IF(KJ19&gt;=0.45,VLOOKUP(Calculator!E23,tbSkills!DH3:DI6,2,FALSE)+IF(AND(Calculator!B8=TRUE,Backdoors!BI45=TRUE),VLOOKUP(Calculator!E23,tbSkills!DH3:DJ6,3,FALSE),0),0))&gt;=100,100,(Backdoors!AI12+IF(KJ19&gt;=0.45,VLOOKUP(Calculator!E23,tbSkills!DH3:DI6,2,FALSE)+IF(AND(Calculator!B8=TRUE,Backdoors!BI45=TRUE),VLOOKUP(Calculator!E23,tbSkills!DH3:DJ6,3,FALSE),0),0)))/100)),1))*IF(VLOOKUP(A19,tbMoveset!A2:K112,11,FALSE)=TRUE,Backdoors!AC5,1))*KK19,0),"")</f>
        <v/>
      </c>
      <c r="KO19" s="49">
        <f>VLOOKUP(A19,tbMoveset!A2:G112,7,FALSE)*IFERROR(IF(Backdoors!AI12&gt;=0,1+(IF(Calculator!E40&gt;0,VLOOKUP(Calculator!E40,tbSkills!AI3:AJ5,2,FALSE),Backdoors!AL4)*(IF((Backdoors!AI12+IF(KJ19&gt;=0.45,VLOOKUP(Calculator!E23,tbSkills!DH3:DI6,2,FALSE)+IF(AND(Calculator!B8=TRUE,Backdoors!BI45=TRUE),VLOOKUP(Calculator!E23,tbSkills!DH3:DJ6,3,FALSE),0),0))&gt;=100,100,(Backdoors!AI12+IF(KJ19&gt;=0.45,VLOOKUP(Calculator!E23,tbSkills!DH3:DI6,2,FALSE)+IF(AND(Calculator!B8=TRUE,Backdoors!BI45=TRUE),VLOOKUP(Calculator!E23,tbSkills!DH3:DJ6,3,FALSE),0),0)))/100)),1),1)</f>
        <v>0.5</v>
      </c>
      <c r="KP19" s="87">
        <f t="shared" si="34"/>
        <v>0</v>
      </c>
      <c r="KQ19" s="86" t="str">
        <f>IFERROR(IF(VLOOKUP(A19,tbMoveset!A2:B112,2,FALSE)="Sever",Backdoors!AY46/100,IF(VLOOKUP(A19,tbMoveset!A2:B112,2,FALSE)="Blunt",Backdoors!AZ46/100,Backdoors!BA46/100)),"")</f>
        <v/>
      </c>
      <c r="KR19" s="49">
        <f>IFERROR(IF(VLOOKUP(tbMoveset!A19,tbMoveset!A2:H112,8,FALSE)="Other",IF(VLOOKUP(tbMoveset!A19,tbMoveset!A2:I112,9,FALSE)="Fire",Backdoors!BB46,IF(VLOOKUP(tbMoveset!A19,tbMoveset!A2:I112,9,FALSE)="Water",Backdoors!BC46,IF(VLOOKUP(tbMoveset!A19,tbMoveset!A2:I112,9,FALSE)="Thunder",Backdoors!BD46,IF(VLOOKUP(tbMoveset!A19,tbMoveset!A2:I112,9,FALSE)="Ice",Backdoors!BE46,IF(VLOOKUP(tbMoveset!A19,tbMoveset!A2:I112,9,FALSE)="Dragon",Backdoors!BF46,Backdoors!BG46)))))/100,Backdoors!BG46/100),"")</f>
        <v>0</v>
      </c>
      <c r="KS19" s="49">
        <f>IFERROR(IF(VLOOKUP(A19,tbMoveset!A2:J112,10,FALSE)=TRUE,IF((Backdoors!AI12+IF(KQ19&gt;=0.45,VLOOKUP(Calculator!E23,tbSkills!DH3:DI6,2,FALSE)+IF(AND(Calculator!B8=TRUE,Backdoors!BI46=TRUE),VLOOKUP(Calculator!E23,tbSkills!DH3:DJ6,3,FALSE),0),0))&gt;=0,1+(Backdoors!AL2*(IF((Backdoors!AI12+IF(KQ19&gt;=0.45,VLOOKUP(Calculator!E23,tbSkills!DH3:DI6,2,FALSE)+IF(AND(Calculator!B8=TRUE,Backdoors!BI46=TRUE),VLOOKUP(Calculator!E23,tbSkills!DH3:DJ6,3,FALSE),0),0))&gt;=100,100,(Backdoors!AI12+IF(KQ19&gt;=0.45,VLOOKUP(Calculator!E23,tbSkills!DH3:DI6,2,FALSE)+IF(AND(Calculator!B8=TRUE,Backdoors!BI46=TRUE),VLOOKUP(Calculator!E23,tbSkills!DH3:DJ6,3,FALSE),0),0)))/100)),(1-(0.25*((-Backdoors!AI12-IF(KQ19&gt;=0.45,VLOOKUP(Calculator!E23,tbSkills!DH3:DI6,2,FALSE)+IF(AND(Calculator!B8=TRUE,Backdoors!BI46=TRUE),VLOOKUP(Calculator!E23,tbSkills!DH3:DJ6,3,FALSE),0),0))/100)))),1),"")</f>
        <v>1</v>
      </c>
      <c r="KT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KQ19)*KS19)*(VLOOKUP(A19,tbMoveset!A2:C112,3,FALSE)/100)*IF(VLOOKUP(A19,tbMoveset!A2:B112,2,FALSE)="Projectile",Backdoors!N10,Backdoors!N9),0),"")</f>
        <v/>
      </c>
      <c r="KU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REF!&gt;0,VLOOKUP(Calculator!#REF!,tbSkills!AC3:AD5,2,FALSE),Backdoors!AL3)*(IF((Backdoors!AI12+IF(KQ19&gt;=0.45,VLOOKUP(Calculator!E23,tbSkills!DH3:DI6,2,FALSE)+IF(AND(Calculator!B8=TRUE,Backdoors!BI46=TRUE),VLOOKUP(Calculator!E23,tbSkills!DH3:DJ6,3,FALSE),0),0))&gt;=100,100,(Backdoors!AI12+IF(KQ19&gt;=0.45,VLOOKUP(Calculator!E23,tbSkills!DH3:DI6,2,FALSE)+IF(AND(Calculator!B8=TRUE,Backdoors!BI46=TRUE),VLOOKUP(Calculator!E23,tbSkills!DH3:DJ6,3,FALSE),0),0)))/100)),1))*IF(VLOOKUP(A19,tbMoveset!A2:K112,11,FALSE)=TRUE,Backdoors!AC5,1))*KR19,0),"")</f>
        <v/>
      </c>
      <c r="KV19" s="49">
        <f>VLOOKUP(A19,tbMoveset!A2:G112,7,FALSE)*IFERROR(IF(Backdoors!AI12&gt;=0,1+(IF(Calculator!E40&gt;0,VLOOKUP(Calculator!E40,tbSkills!AI3:AJ5,2,FALSE),Backdoors!AL4)*(IF((Backdoors!AI12+IF(KQ19&gt;=0.45,VLOOKUP(Calculator!E23,tbSkills!DH3:DI6,2,FALSE)+IF(AND(Calculator!B8=TRUE,Backdoors!BI46=TRUE),VLOOKUP(Calculator!E23,tbSkills!DH3:DJ6,3,FALSE),0),0))&gt;=100,100,(Backdoors!AI12+IF(KQ19&gt;=0.45,VLOOKUP(Calculator!E23,tbSkills!DH3:DI6,2,FALSE)+IF(AND(Calculator!B8=TRUE,Backdoors!BI46=TRUE),VLOOKUP(Calculator!E23,tbSkills!DH3:DJ6,3,FALSE),0),0)))/100)),1),1)</f>
        <v>0.5</v>
      </c>
      <c r="KW19" s="87">
        <f t="shared" si="35"/>
        <v>0</v>
      </c>
    </row>
    <row r="20" spans="1:309" x14ac:dyDescent="0.25">
      <c r="A20" s="95" t="str">
        <f>tbMoveset!A20</f>
        <v>Right Roundslash (R1)</v>
      </c>
      <c r="B20" s="86">
        <f>IFERROR(IF(VLOOKUP(A20,tbMoveset!A2:B112,2,FALSE)="Sever",Backdoors!AY3/100,IF(VLOOKUP(A20,tbMoveset!A2:B112,2,FALSE)="Blunt",Backdoors!AZ3/100,Backdoors!BA3/100)),"")</f>
        <v>0.8</v>
      </c>
      <c r="C20" s="49">
        <f>IFERROR(IF(VLOOKUP(tbMoveset!A20,tbMoveset!A2:H112,8,FALSE)="Other",IF(VLOOKUP(tbMoveset!A20,tbMoveset!A2:I112,9,FALSE)="Fire",Backdoors!BB3,IF(VLOOKUP(tbMoveset!A20,tbMoveset!A2:I112,9,FALSE)="Water",Backdoors!BC3,IF(VLOOKUP(tbMoveset!A20,tbMoveset!A2:I112,9,FALSE)="Thunder",Backdoors!BD3,IF(VLOOKUP(tbMoveset!A20,tbMoveset!A2:I112,9,FALSE)="Ice",Backdoors!BE3,IF(VLOOKUP(tbMoveset!A20,tbMoveset!A2:I112,9,FALSE)="Dragon",Backdoors!BF3,Backdoors!BG3)))))/100,Backdoors!BG3/100),"")</f>
        <v>0</v>
      </c>
      <c r="D20" s="49">
        <f>IFERROR(IF(VLOOKUP(A20,tbMoveset!A2:J112,10,FALSE)=TRUE,IF((Backdoors!AI12+IF(B20&gt;=0.45,VLOOKUP(Calculator!E23,tbSkills!DH3:DI6,2,FALSE)+IF(AND(Calculator!B8=TRUE,Backdoors!BI3=TRUE),VLOOKUP(Calculator!E23,tbSkills!DH3:DJ6,3,FALSE),0),0))&gt;=0,1+(Backdoors!AL2*(IF((Backdoors!AI12+IF(B20&gt;=0.45,VLOOKUP(Calculator!E23,tbSkills!DH3:DI6,2,FALSE)+IF(AND(Calculator!B8=TRUE,Backdoors!BI3=TRUE),VLOOKUP(Calculator!E23,tbSkills!DH3:DJ6,3,FALSE),0),0))&gt;=100,100,(Backdoors!AI12+IF(B20&gt;=0.45,VLOOKUP(Calculator!E23,tbSkills!DH3:DI6,2,FALSE)+IF(AND(Calculator!B8=TRUE,Backdoors!BI3=TRUE),VLOOKUP(Calculator!E23,tbSkills!DH3:DJ6,3,FALSE),0),0)))/100)),(1-(0.25*((-Backdoors!AI12-IF(B20&gt;=0.45,VLOOKUP(Calculator!E23,tbSkills!DH3:DI6,2,FALSE)+IF(AND(Calculator!B8=TRUE,Backdoors!BI3=TRUE),VLOOKUP(Calculator!E23,tbSkills!DH3:DJ6,3,FALSE),0),0))/100)))),1),"")</f>
        <v>1</v>
      </c>
      <c r="E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20)*D20)*(VLOOKUP(A20,tbMoveset!A2:C112,3,FALSE)/100)*IF(VLOOKUP(A20,tbMoveset!A2:B112,2,FALSE)="Projectile",Backdoors!N10,Backdoors!N9),0),"")</f>
        <v>10</v>
      </c>
      <c r="F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20&gt;=0.45,VLOOKUP(Calculator!E23,tbSkills!DH3:DI6,2,FALSE)+IF(AND(Calculator!B8=TRUE,Backdoors!BI3=TRUE),VLOOKUP(Calculator!E23,tbSkills!DH3:DJ6,3,FALSE),0),0))&gt;=100,100,(Backdoors!AI12+IF(B20&gt;=0.45,VLOOKUP(Calculator!E23,tbSkills!DH3:DI6,2,FALSE)+IF(AND(Calculator!B8=TRUE,Backdoors!BI3=TRUE),VLOOKUP(Calculator!E23,tbSkills!DH3:DJ6,3,FALSE),0),0)))/100)),1))*IF(VLOOKUP(A20,tbMoveset!A2:K112,11,FALSE)=TRUE,Backdoors!AC5,1))*C20,0),"")</f>
        <v>0</v>
      </c>
      <c r="G20">
        <f>VLOOKUP(A20,tbMoveset!A2:G112,7,FALSE)*IFERROR(IF(Backdoors!AI12&gt;=0,1+(IF(Calculator!E40&gt;0,VLOOKUP(Calculator!E40,tbSkills!AI3:AJ5,2,FALSE),Backdoors!AL4)*(IF((Backdoors!AI12+IF(B20&gt;=0.45,VLOOKUP(Calculator!E23,tbSkills!DH3:DI6,2,FALSE)+IF(AND(Calculator!B8=TRUE,Backdoors!BI3=TRUE),VLOOKUP(Calculator!E23,tbSkills!DH3:DJ6,3,FALSE),0),0))&gt;=100,100,(Backdoors!AI12+IF(B20&gt;=0.45,VLOOKUP(Calculator!E23,tbSkills!DH3:DI6,2,FALSE)+IF(AND(Calculator!B8=TRUE,Backdoors!BI3=TRUE),VLOOKUP(Calculator!E23,tbSkills!DH3:DJ6,3,FALSE),0),0)))/100)),1),1)</f>
        <v>0.5</v>
      </c>
      <c r="H20" s="87">
        <f t="shared" si="43"/>
        <v>10</v>
      </c>
      <c r="I20" s="86">
        <f>IFERROR(IF(VLOOKUP(A20,tbMoveset!A2:B112,2,FALSE)="Sever",Backdoors!AY4/100,IF(VLOOKUP(A20,tbMoveset!A2:B112,2,FALSE)="Blunt",Backdoors!AZ4/100,Backdoors!BA4/100)),"")</f>
        <v>0.65</v>
      </c>
      <c r="J20" s="49">
        <f>IFERROR(IF(VLOOKUP(tbMoveset!A20,tbMoveset!A2:H112,8,FALSE)="Other",IF(VLOOKUP(tbMoveset!A20,tbMoveset!A2:I112,9,FALSE)="Fire",Backdoors!BB4,IF(VLOOKUP(tbMoveset!A20,tbMoveset!A2:I112,9,FALSE)="Water",Backdoors!BC4,IF(VLOOKUP(tbMoveset!A20,tbMoveset!A2:I112,9,FALSE)="Thunder",Backdoors!BD4,IF(VLOOKUP(tbMoveset!A20,tbMoveset!A2:I112,9,FALSE)="Ice",Backdoors!BE4,IF(VLOOKUP(tbMoveset!A20,tbMoveset!A2:I112,9,FALSE)="Dragon",Backdoors!BF4,Backdoors!BG4)))))/100,Backdoors!BG4/100),"")</f>
        <v>0</v>
      </c>
      <c r="K20" s="49">
        <f>IFERROR(IF(VLOOKUP(A20,tbMoveset!A2:J112,10,FALSE)=TRUE,IF((Backdoors!AI12+IF(I20&gt;=0.45,VLOOKUP(Calculator!E23,tbSkills!DH3:DI6,2,FALSE)+IF(AND(Calculator!B8=TRUE,Backdoors!BI4=TRUE),VLOOKUP(Calculator!E23,tbSkills!DH3:DJ6,3,FALSE),0),0))&gt;=0,1+(Backdoors!AL2*(IF((Backdoors!AI12+IF(I20&gt;=0.45,VLOOKUP(Calculator!E23,tbSkills!DH3:DI6,2,FALSE)+IF(AND(Calculator!B8=TRUE,Backdoors!BI4=TRUE),VLOOKUP(Calculator!E23,tbSkills!DH3:DJ6,3,FALSE),0),0))&gt;=100,100,(Backdoors!AI12+IF(I20&gt;=0.45,VLOOKUP(Calculator!E23,tbSkills!DH3:DI6,2,FALSE)+IF(AND(Calculator!B8=TRUE,Backdoors!BI4=TRUE),VLOOKUP(Calculator!E23,tbSkills!DH3:DJ6,3,FALSE),0),0)))/100)),(1-(0.25*((-Backdoors!AI12-IF(I20&gt;=0.45,VLOOKUP(Calculator!E23,tbSkills!DH3:DI6,2,FALSE)+IF(AND(Calculator!B8=TRUE,Backdoors!BI4=TRUE),VLOOKUP(Calculator!E23,tbSkills!DH3:DJ6,3,FALSE),0),0))/100)))),1),"")</f>
        <v>1</v>
      </c>
      <c r="L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20)*K20)*(VLOOKUP(A20,tbMoveset!A2:C112,3,FALSE)/100)*IF(VLOOKUP(A20,tbMoveset!A2:B112,2,FALSE)="Projectile",Backdoors!N10,Backdoors!N9),0),"")</f>
        <v>8</v>
      </c>
      <c r="M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I20&gt;=0.45,VLOOKUP(Calculator!E23,tbSkills!DH3:DI6,2,FALSE)+IF(AND(Calculator!B8=TRUE,Backdoors!BI4=TRUE),VLOOKUP(Calculator!E23,tbSkills!DH3:DJ6,3,FALSE),0),0))&gt;=100,100,(Backdoors!AI12+IF(I20&gt;=0.45,VLOOKUP(Calculator!E23,tbSkills!DH3:DI6,2,FALSE)+IF(AND(Calculator!B8=TRUE,Backdoors!BI4=TRUE),VLOOKUP(Calculator!E23,tbSkills!DH3:DJ6,3,FALSE),0),0)))/100)),1))*IF(VLOOKUP(A20,tbMoveset!A2:K112,11,FALSE)=TRUE,Backdoors!AC5,1))*J20,0),"")</f>
        <v>0</v>
      </c>
      <c r="N20" s="49">
        <f>VLOOKUP(A20,tbMoveset!A2:G112,7,FALSE)*IFERROR(IF(Backdoors!AI12&gt;=0,1+(IF(Calculator!E40&gt;0,VLOOKUP(Calculator!E40,tbSkills!AI3:AJ5,2,FALSE),Backdoors!AL4)*(IF((Backdoors!AI12+IF(I20&gt;=0.45,VLOOKUP(Calculator!E23,tbSkills!DH3:DI6,2,FALSE)+IF(AND(Calculator!B8=TRUE,Backdoors!BI4=TRUE),VLOOKUP(Calculator!E23,tbSkills!DH3:DJ6,3,FALSE),0),0))&gt;=100,100,(Backdoors!AI12+IF(I20&gt;=0.45,VLOOKUP(Calculator!E23,tbSkills!DH3:DI6,2,FALSE)+IF(AND(Calculator!B8=TRUE,Backdoors!BI4=TRUE),VLOOKUP(Calculator!E23,tbSkills!DH3:DJ6,3,FALSE),0),0)))/100)),1),1)</f>
        <v>0.5</v>
      </c>
      <c r="O20" s="87">
        <f t="shared" si="36"/>
        <v>8</v>
      </c>
      <c r="P20" s="86">
        <f>IFERROR(IF(VLOOKUP(A20,tbMoveset!A2:B112,2,FALSE)="Sever",Backdoors!AY5/100,IF(VLOOKUP(A20,tbMoveset!A2:B112,2,FALSE)="Blunt",Backdoors!AZ5/100,Backdoors!BA5/100)),"")</f>
        <v>0.5</v>
      </c>
      <c r="Q20" s="49">
        <f>IFERROR(IF(VLOOKUP(tbMoveset!A20,tbMoveset!A2:H112,8,FALSE)="Other",IF(VLOOKUP(tbMoveset!A20,tbMoveset!A2:I112,9,FALSE)="Fire",Backdoors!BB5,IF(VLOOKUP(tbMoveset!A20,tbMoveset!A2:I112,9,FALSE)="Water",Backdoors!BC5,IF(VLOOKUP(tbMoveset!A20,tbMoveset!A2:I112,9,FALSE)="Thunder",Backdoors!BD5,IF(VLOOKUP(tbMoveset!A20,tbMoveset!A2:I112,9,FALSE)="Ice",Backdoors!BE5,IF(VLOOKUP(tbMoveset!A20,tbMoveset!A2:I112,9,FALSE)="Dragon",Backdoors!BF5,Backdoors!BG5)))))/100,Backdoors!BG5/100),"")</f>
        <v>0</v>
      </c>
      <c r="R20" s="49">
        <f>IFERROR(IF(VLOOKUP(A20,tbMoveset!A2:J112,10,FALSE)=TRUE,IF((Backdoors!AI12+IF(P20&gt;=0.45,VLOOKUP(Calculator!E23,tbSkills!DH3:DI6,2,FALSE)+IF(AND(Calculator!B8=TRUE,Backdoors!BI5=TRUE),VLOOKUP(Calculator!E23,tbSkills!DH3:DJ6,3,FALSE),0),0))&gt;=0,1+(Backdoors!AL2*(IF((Backdoors!AI12+IF(P20&gt;=0.45,VLOOKUP(Calculator!E23,tbSkills!DH3:DI6,2,FALSE)+IF(AND(Calculator!B8=TRUE,Backdoors!BI5=TRUE),VLOOKUP(Calculator!E23,tbSkills!DH3:DJ6,3,FALSE),0),0))&gt;=100,100,(Backdoors!AI12+IF(P20&gt;=0.45,VLOOKUP(Calculator!E23,tbSkills!DH3:DI6,2,FALSE)+IF(AND(Calculator!B8=TRUE,Backdoors!BI5=TRUE),VLOOKUP(Calculator!E23,tbSkills!DH3:DJ6,3,FALSE),0),0)))/100)),(1-(0.25*((-Backdoors!AI12-IF(P20&gt;=0.45,VLOOKUP(Calculator!E23,tbSkills!DH3:DI6,2,FALSE)+IF(AND(Calculator!B8=TRUE,Backdoors!BI5=TRUE),VLOOKUP(Calculator!E23,tbSkills!DH3:DJ6,3,FALSE),0),0))/100)))),1),"")</f>
        <v>1</v>
      </c>
      <c r="S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P20)*R20)*(VLOOKUP(A20,tbMoveset!A2:C112,3,FALSE)/100)*IF(VLOOKUP(A20,tbMoveset!A2:B112,2,FALSE)="Projectile",Backdoors!N10,Backdoors!N9),0),"")</f>
        <v>6</v>
      </c>
      <c r="T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P20&gt;=0.45,VLOOKUP(Calculator!E23,tbSkills!DH3:DI6,2,FALSE)+IF(AND(Calculator!B8=TRUE,Backdoors!BI5=TRUE),VLOOKUP(Calculator!E23,tbSkills!DH3:DJ6,3,FALSE),0),0))&gt;=100,100,(Backdoors!AI12+IF(P20&gt;=0.45,VLOOKUP(Calculator!E23,tbSkills!DH3:DI6,2,FALSE)+IF(AND(Calculator!B8=TRUE,Backdoors!BI5=TRUE),VLOOKUP(Calculator!E23,tbSkills!DH3:DJ6,3,FALSE),0),0)))/100)),1))*IF(VLOOKUP(A20,tbMoveset!A2:K112,11,FALSE)=TRUE,Backdoors!AC5,1))*Q20,0),"")</f>
        <v>0</v>
      </c>
      <c r="U20" s="49">
        <f>VLOOKUP(A20,tbMoveset!A2:G112,7,FALSE)*IFERROR(IF(Backdoors!AI12&gt;=0,1+(IF(Calculator!E40&gt;0,VLOOKUP(Calculator!E40,tbSkills!AI3:AJ5,2,FALSE),Backdoors!AL4)*(IF((Backdoors!AI12+IF(P20&gt;=0.45,VLOOKUP(Calculator!E23,tbSkills!DH3:DI6,2,FALSE)+IF(AND(Calculator!B8=TRUE,Backdoors!BI5=TRUE),VLOOKUP(Calculator!E23,tbSkills!DH3:DJ6,3,FALSE),0),0))&gt;=100,100,(Backdoors!AI12+IF(P20&gt;=0.45,VLOOKUP(Calculator!E23,tbSkills!DH3:DI6,2,FALSE)+IF(AND(Calculator!B8=TRUE,Backdoors!BI5=TRUE),VLOOKUP(Calculator!E23,tbSkills!DH3:DJ6,3,FALSE),0),0)))/100)),1),1)</f>
        <v>0.5</v>
      </c>
      <c r="V20" s="87">
        <f t="shared" si="37"/>
        <v>6</v>
      </c>
      <c r="W20" s="86">
        <f>IFERROR(IF(VLOOKUP(A20,tbMoveset!A2:B112,2,FALSE)="Sever",Backdoors!AY6/100,IF(VLOOKUP(A20,tbMoveset!A2:B112,2,FALSE)="Blunt",Backdoors!AZ6/100,Backdoors!BA6/100)),"")</f>
        <v>0.45</v>
      </c>
      <c r="X20" s="49">
        <f>IFERROR(IF(VLOOKUP(tbMoveset!A20,tbMoveset!A2:H112,8,FALSE)="Other",IF(VLOOKUP(tbMoveset!A20,tbMoveset!A2:I112,9,FALSE)="Fire",Backdoors!BB6,IF(VLOOKUP(tbMoveset!A20,tbMoveset!A2:I112,9,FALSE)="Water",Backdoors!BC6,IF(VLOOKUP(tbMoveset!A20,tbMoveset!A2:I112,9,FALSE)="Thunder",Backdoors!BD6,IF(VLOOKUP(tbMoveset!A20,tbMoveset!A2:I112,9,FALSE)="Ice",Backdoors!BE6,IF(VLOOKUP(tbMoveset!A20,tbMoveset!A2:I112,9,FALSE)="Dragon",Backdoors!BF6,Backdoors!BG6)))))/100,Backdoors!BG6/100),"")</f>
        <v>0</v>
      </c>
      <c r="Y20" s="49">
        <f>IFERROR(IF(VLOOKUP(A20,tbMoveset!A2:J112,10,FALSE)=TRUE,IF((Backdoors!AI12+IF(W20&gt;=0.45,VLOOKUP(Calculator!E23,tbSkills!DH3:DI6,2,FALSE)+IF(AND(Calculator!B8=TRUE,Backdoors!BI6=TRUE),VLOOKUP(Calculator!E23,tbSkills!DH3:DJ6,3,FALSE),0),0))&gt;=0,1+(Backdoors!AL2*(IF((Backdoors!AI12+IF(W20&gt;=0.45,VLOOKUP(Calculator!E23,tbSkills!DH3:DI6,2,FALSE)+IF(AND(Calculator!B8=TRUE,Backdoors!BI6=TRUE),VLOOKUP(Calculator!E23,tbSkills!DH3:DJ6,3,FALSE),0),0))&gt;=100,100,(Backdoors!AI12+IF(W20&gt;=0.45,VLOOKUP(Calculator!E23,tbSkills!DH3:DI6,2,FALSE)+IF(AND(Calculator!B8=TRUE,Backdoors!BI6=TRUE),VLOOKUP(Calculator!E23,tbSkills!DH3:DJ6,3,FALSE),0),0)))/100)),(1-(0.25*((-Backdoors!AI12-IF(W20&gt;=0.45,VLOOKUP(Calculator!E23,tbSkills!DH3:DI6,2,FALSE)+IF(AND(Calculator!B8=TRUE,Backdoors!BI6=TRUE),VLOOKUP(Calculator!E23,tbSkills!DH3:DJ6,3,FALSE),0),0))/100)))),1),"")</f>
        <v>1</v>
      </c>
      <c r="Z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W20)*Y20)*(VLOOKUP(A20,tbMoveset!A2:C112,3,FALSE)/100)*IF(VLOOKUP(A20,tbMoveset!A2:B112,2,FALSE)="Projectile",Backdoors!N10,Backdoors!N9),0),"")</f>
        <v>6</v>
      </c>
      <c r="AA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W20&gt;=0.45,VLOOKUP(Calculator!E23,tbSkills!DH3:DI6,2,FALSE)+IF(AND(Calculator!B8=TRUE,Backdoors!BI6=TRUE),VLOOKUP(Calculator!E23,tbSkills!DH3:DJ6,3,FALSE),0),0))&gt;=100,100,(Backdoors!AI12+IF(W20&gt;=0.45,VLOOKUP(Calculator!E23,tbSkills!DH3:DI6,2,FALSE)+IF(AND(Calculator!B8=TRUE,Backdoors!BI6=TRUE),VLOOKUP(Calculator!E23,tbSkills!DH3:DJ6,3,FALSE),0),0)))/100)),1))*IF(VLOOKUP(A20,tbMoveset!A2:K112,11,FALSE)=TRUE,Backdoors!AC5,1))*X20,0),"")</f>
        <v>0</v>
      </c>
      <c r="AB20" s="49">
        <f>VLOOKUP(A20,tbMoveset!A2:G112,7,FALSE)*IFERROR(IF(Backdoors!AI12&gt;=0,1+(IF(Calculator!E40&gt;0,VLOOKUP(Calculator!E40,tbSkills!AI3:AJ5,2,FALSE),Backdoors!AL4)*(IF((Backdoors!AI12+IF(W20&gt;=0.45,VLOOKUP(Calculator!E23,tbSkills!DH3:DI6,2,FALSE)+IF(AND(Calculator!B8=TRUE,Backdoors!BI6=TRUE),VLOOKUP(Calculator!E23,tbSkills!DH3:DJ6,3,FALSE),0),0))&gt;=100,100,(Backdoors!AI12+IF(W20&gt;=0.45,VLOOKUP(Calculator!E23,tbSkills!DH3:DI6,2,FALSE)+IF(AND(Calculator!B8=TRUE,Backdoors!BI6=TRUE),VLOOKUP(Calculator!E23,tbSkills!DH3:DJ6,3,FALSE),0),0)))/100)),1),1)</f>
        <v>0.5</v>
      </c>
      <c r="AC20" s="87">
        <f t="shared" si="0"/>
        <v>6</v>
      </c>
      <c r="AD20" s="86">
        <f>IFERROR(IF(VLOOKUP(A20,tbMoveset!A2:B112,2,FALSE)="Sever",Backdoors!AY7/100,IF(VLOOKUP(A20,tbMoveset!A2:B112,2,FALSE)="Blunt",Backdoors!AZ7/100,Backdoors!BA7/100)),"")</f>
        <v>0.65</v>
      </c>
      <c r="AE20" s="49">
        <f>IFERROR(IF(VLOOKUP(tbMoveset!A20,tbMoveset!A2:H112,8,FALSE)="Other",IF(VLOOKUP(tbMoveset!A20,tbMoveset!A2:I112,9,FALSE)="Fire",Backdoors!BB7,IF(VLOOKUP(tbMoveset!A20,tbMoveset!A2:I112,9,FALSE)="Water",Backdoors!BC7,IF(VLOOKUP(tbMoveset!A20,tbMoveset!A2:I112,9,FALSE)="Thunder",Backdoors!BD7,IF(VLOOKUP(tbMoveset!A20,tbMoveset!A2:I112,9,FALSE)="Ice",Backdoors!BE7,IF(VLOOKUP(tbMoveset!A20,tbMoveset!A2:I112,9,FALSE)="Dragon",Backdoors!BF7,Backdoors!BG7)))))/100,Backdoors!BG7/100),"")</f>
        <v>0</v>
      </c>
      <c r="AF20" s="49">
        <f>IFERROR(IF(VLOOKUP(A20,tbMoveset!A2:J112,10,FALSE)=TRUE,IF((Backdoors!AI12+IF(AD20&gt;=0.45,VLOOKUP(Calculator!E23,tbSkills!DH3:DI6,2,FALSE)+IF(AND(Calculator!B8=TRUE,Backdoors!BI7=TRUE),VLOOKUP(Calculator!E23,tbSkills!DH3:DJ6,3,FALSE),0),0))&gt;=0,1+(Backdoors!AL2*(IF((Backdoors!AI12+IF(AD20&gt;=0.45,VLOOKUP(Calculator!E23,tbSkills!DH3:DI6,2,FALSE)+IF(AND(Calculator!B8=TRUE,Backdoors!BI7=TRUE),VLOOKUP(Calculator!E23,tbSkills!DH3:DJ6,3,FALSE),0),0))&gt;=100,100,(Backdoors!AI12+IF(AD20&gt;=0.45,VLOOKUP(Calculator!E23,tbSkills!DH3:DI6,2,FALSE)+IF(AND(Calculator!B8=TRUE,Backdoors!BI7=TRUE),VLOOKUP(Calculator!E23,tbSkills!DH3:DJ6,3,FALSE),0),0)))/100)),(1-(0.25*((-Backdoors!AI12-IF(AD20&gt;=0.45,VLOOKUP(Calculator!E23,tbSkills!DH3:DI6,2,FALSE)+IF(AND(Calculator!B8=TRUE,Backdoors!BI7=TRUE),VLOOKUP(Calculator!E23,tbSkills!DH3:DJ6,3,FALSE),0),0))/100)))),1),"")</f>
        <v>1</v>
      </c>
      <c r="AG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D20)*AF20)*(VLOOKUP(A20,tbMoveset!A2:C112,3,FALSE)/100)*IF(VLOOKUP(A20,tbMoveset!A2:B112,2,FALSE)="Projectile",Backdoors!N10,Backdoors!N9),0),"")</f>
        <v>8</v>
      </c>
      <c r="AH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D20&gt;=0.45,VLOOKUP(Calculator!E23,tbSkills!DH3:DI6,2,FALSE)+IF(AND(Calculator!B8=TRUE,Backdoors!BI7=TRUE),VLOOKUP(Calculator!E23,tbSkills!DH3:DJ6,3,FALSE),0),0))&gt;=100,100,(Backdoors!AI12+IF(AD20&gt;=0.45,VLOOKUP(Calculator!E23,tbSkills!DH3:DI6,2,FALSE)+IF(AND(Calculator!B8=TRUE,Backdoors!BI7=TRUE),VLOOKUP(Calculator!E23,tbSkills!DH3:DJ6,3,FALSE),0),0)))/100)),1))*IF(VLOOKUP(A20,tbMoveset!A2:K112,11,FALSE)=TRUE,Backdoors!AC5,1))*AE20,0),"")</f>
        <v>0</v>
      </c>
      <c r="AI20" s="49">
        <f>VLOOKUP(A20,tbMoveset!A2:G112,7,FALSE)*IFERROR(IF(Backdoors!AI12&gt;=0,1+(IF(Calculator!E40&gt;0,VLOOKUP(Calculator!E40,tbSkills!AI3:AJ5,2,FALSE),Backdoors!AL4)*(IF((Backdoors!AI12+IF(AD20&gt;=0.45,VLOOKUP(Calculator!E23,tbSkills!DH3:DI6,2,FALSE)+IF(AND(Calculator!B8=TRUE,Backdoors!BI7=TRUE),VLOOKUP(Calculator!E23,tbSkills!DH3:DJ6,3,FALSE),0),0))&gt;=100,100,(Backdoors!AI12+IF(AD20&gt;=0.45,VLOOKUP(Calculator!E23,tbSkills!DH3:DI6,2,FALSE)+IF(AND(Calculator!B8=TRUE,Backdoors!BI7=TRUE),VLOOKUP(Calculator!E23,tbSkills!DH3:DJ6,3,FALSE),0),0)))/100)),1),1)</f>
        <v>0.5</v>
      </c>
      <c r="AJ20" s="87">
        <f t="shared" si="1"/>
        <v>8</v>
      </c>
      <c r="AK20" s="91">
        <f>IFERROR(IF(VLOOKUP(A20,tbMoveset!A2:B112,2,FALSE)="Sever",Backdoors!AY8/100,IF(VLOOKUP(A20,tbMoveset!A2:B112,2,FALSE)="Blunt",Backdoors!AZ8/100,Backdoors!BA8/100)),"")</f>
        <v>0.45</v>
      </c>
      <c r="AL20" s="49">
        <f>IFERROR(IF(VLOOKUP(tbMoveset!A20,tbMoveset!A2:H112,8,FALSE)="Other",IF(VLOOKUP(tbMoveset!A20,tbMoveset!A2:I112,9,FALSE)="Fire",Backdoors!BB8,IF(VLOOKUP(tbMoveset!A20,tbMoveset!A2:I112,9,FALSE)="Water",Backdoors!BC8,IF(VLOOKUP(tbMoveset!A20,tbMoveset!A2:I112,9,FALSE)="Thunder",Backdoors!BD8,IF(VLOOKUP(tbMoveset!A20,tbMoveset!A2:I112,9,FALSE)="Ice",Backdoors!BE8,IF(VLOOKUP(tbMoveset!A20,tbMoveset!A2:I112,9,FALSE)="Dragon",Backdoors!BF8,Backdoors!BG8)))))/100,Backdoors!BG8/100),"")</f>
        <v>0</v>
      </c>
      <c r="AM20" s="49">
        <f>IFERROR(IF(VLOOKUP(A20,tbMoveset!A2:J112,10,FALSE)=TRUE,IF((Backdoors!AI12+IF(AK20&gt;=0.45,VLOOKUP(Calculator!E23,tbSkills!DH3:DI6,2,FALSE)+IF(AND(Calculator!B8=TRUE,Backdoors!BI8=TRUE),VLOOKUP(Calculator!E23,tbSkills!DH3:DJ6,3,FALSE),0),0))&gt;=0,1+(Backdoors!AL2*(IF((Backdoors!AI12+IF(AK20&gt;=0.45,VLOOKUP(Calculator!E23,tbSkills!DH3:DI6,2,FALSE)+IF(AND(Calculator!B8=TRUE,Backdoors!BI8=TRUE),VLOOKUP(Calculator!E23,tbSkills!DH3:DJ6,3,FALSE),0),0))&gt;=100,100,(Backdoors!AI12+IF(AK20&gt;=0.45,VLOOKUP(Calculator!E23,tbSkills!DH3:DI6,2,FALSE)+IF(AND(Calculator!B8=TRUE,Backdoors!BI8=TRUE),VLOOKUP(Calculator!E23,tbSkills!DH3:DJ6,3,FALSE),0),0)))/100)),(1-(0.25*((-Backdoors!AI12-IF(AK20&gt;=0.45,VLOOKUP(Calculator!E23,tbSkills!DH3:DI6,2,FALSE)+IF(AND(Calculator!B8=TRUE,Backdoors!BI8=TRUE),VLOOKUP(Calculator!E23,tbSkills!DH3:DJ6,3,FALSE),0),0))/100)))),1),"")</f>
        <v>1</v>
      </c>
      <c r="AN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K20)*AM20)*(VLOOKUP(A20,tbMoveset!A2:C112,3,FALSE)/100)*IF(VLOOKUP(A20,tbMoveset!A2:B112,2,FALSE)="Projectile",Backdoors!N10,Backdoors!N9),0),"")</f>
        <v>6</v>
      </c>
      <c r="AO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K20&gt;=0.45,VLOOKUP(Calculator!E23,tbSkills!DH3:DI6,2,FALSE)+IF(AND(Calculator!B8=TRUE,Backdoors!BI8=TRUE),VLOOKUP(Calculator!E23,tbSkills!DH3:DJ6,3,FALSE),0),0))&gt;=100,100,(Backdoors!AI12+IF(AK20&gt;=0.45,VLOOKUP(Calculator!E23,tbSkills!DH3:DI6,2,FALSE)+IF(AND(Calculator!B8=TRUE,Backdoors!BI8=TRUE),VLOOKUP(Calculator!E23,tbSkills!DH3:DJ6,3,FALSE),0),0)))/100)),1))*IF(VLOOKUP(A20,tbMoveset!A2:K112,11,FALSE)=TRUE,Backdoors!AC5,1))*AL20,0),"")</f>
        <v>0</v>
      </c>
      <c r="AP20" s="49">
        <f>VLOOKUP(A20,tbMoveset!A2:G112,7,FALSE)*IFERROR(IF(Backdoors!AI12&gt;=0,1+(IF(Calculator!E40&gt;0,VLOOKUP(Calculator!E40,tbSkills!AI3:AJ5,2,FALSE),Backdoors!AL4)*(IF((Backdoors!AI12+IF(AK20&gt;=0.45,VLOOKUP(Calculator!E23,tbSkills!DH3:DI6,2,FALSE)+IF(AND(Calculator!B8=TRUE,Backdoors!BI8=TRUE),VLOOKUP(Calculator!E23,tbSkills!DH3:DJ6,3,FALSE),0),0))&gt;=100,100,(Backdoors!AI12+IF(AK20&gt;=0.45,VLOOKUP(Calculator!E23,tbSkills!DH3:DI6,2,FALSE)+IF(AND(Calculator!B8=TRUE,Backdoors!BI8=TRUE),VLOOKUP(Calculator!E23,tbSkills!DH3:DJ6,3,FALSE),0),0)))/100)),1),1)</f>
        <v>0.5</v>
      </c>
      <c r="AQ20" s="87">
        <f t="shared" si="2"/>
        <v>6</v>
      </c>
      <c r="AR20" s="86">
        <f>IFERROR(IF(VLOOKUP(A20,tbMoveset!A2:B112,2,FALSE)="Sever",Backdoors!AY9/100,IF(VLOOKUP(A20,tbMoveset!A2:B112,2,FALSE)="Blunt",Backdoors!AZ9/100,Backdoors!BA9/100)),"")</f>
        <v>0.45</v>
      </c>
      <c r="AS20" s="49">
        <f>IFERROR(IF(VLOOKUP(tbMoveset!A20,tbMoveset!A2:H112,8,FALSE)="Other",IF(VLOOKUP(tbMoveset!A20,tbMoveset!A2:I112,9,FALSE)="Fire",Backdoors!BB9,IF(VLOOKUP(tbMoveset!A20,tbMoveset!A2:I112,9,FALSE)="Water",Backdoors!BC9,IF(VLOOKUP(tbMoveset!A20,tbMoveset!A2:I112,9,FALSE)="Thunder",Backdoors!BD9,IF(VLOOKUP(tbMoveset!A20,tbMoveset!A2:I112,9,FALSE)="Ice",Backdoors!BE9,IF(VLOOKUP(tbMoveset!A20,tbMoveset!A2:I112,9,FALSE)="Dragon",Backdoors!BF9,Backdoors!BG9)))))/100,Backdoors!BG9/100),"")</f>
        <v>0</v>
      </c>
      <c r="AT20" s="49">
        <f>IFERROR(IF(VLOOKUP(A20,tbMoveset!A2:J112,10,FALSE)=TRUE,IF((Backdoors!AI12+IF(AR20&gt;=0.45,VLOOKUP(Calculator!E23,tbSkills!DH3:DI6,2,FALSE)+IF(AND(Calculator!B8=TRUE,Backdoors!BI9=TRUE),VLOOKUP(Calculator!E23,tbSkills!DH3:DJ6,3,FALSE),0),0))&gt;=0,1+(Backdoors!AL2*(IF((Backdoors!AI12+IF(AR20&gt;=0.45,VLOOKUP(Calculator!E23,tbSkills!DH3:DI6,2,FALSE)+IF(AND(Calculator!B8=TRUE,Backdoors!BI9=TRUE),VLOOKUP(Calculator!E23,tbSkills!DH3:DJ6,3,FALSE),0),0))&gt;=100,100,(Backdoors!AI12+IF(AR20&gt;=0.45,VLOOKUP(Calculator!E23,tbSkills!DH3:DI6,2,FALSE)+IF(AND(Calculator!B8=TRUE,Backdoors!BI9=TRUE),VLOOKUP(Calculator!E23,tbSkills!DH3:DJ6,3,FALSE),0),0)))/100)),(1-(0.25*((-Backdoors!AI12-IF(AR20&gt;=0.45,VLOOKUP(Calculator!E23,tbSkills!DH3:DI6,2,FALSE)+IF(AND(Calculator!B8=TRUE,Backdoors!BI9=TRUE),VLOOKUP(Calculator!E23,tbSkills!DH3:DJ6,3,FALSE),0),0))/100)))),1),"")</f>
        <v>1</v>
      </c>
      <c r="AU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R20)*AT20)*(VLOOKUP(A20,tbMoveset!A2:C112,3,FALSE)/100)*IF(VLOOKUP(A20,tbMoveset!A2:B112,2,FALSE)="Projectile",Backdoors!N10,Backdoors!N9),0),"")</f>
        <v>6</v>
      </c>
      <c r="AV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R20&gt;=0.45,VLOOKUP(Calculator!E23,tbSkills!DH3:DI6,2,FALSE)+IF(AND(Calculator!B8=TRUE,Backdoors!BI9=TRUE),VLOOKUP(Calculator!E23,tbSkills!DH3:DJ6,3,FALSE),0),0))&gt;=100,100,(Backdoors!AI12+IF(AR20&gt;=0.45,VLOOKUP(Calculator!E23,tbSkills!DH3:DI6,2,FALSE)+IF(AND(Calculator!B8=TRUE,Backdoors!BI9=TRUE),VLOOKUP(Calculator!E23,tbSkills!DH3:DJ6,3,FALSE),0),0)))/100)),1))*IF(VLOOKUP(A20,tbMoveset!A2:K112,11,FALSE)=TRUE,Backdoors!AC5,1))*AS20,0),"")</f>
        <v>0</v>
      </c>
      <c r="AW20" s="49">
        <f>VLOOKUP(A20,tbMoveset!A2:G112,7,FALSE)*IFERROR(IF(Backdoors!AI12&gt;=0,1+(IF(Calculator!E40&gt;0,VLOOKUP(Calculator!E40,tbSkills!AI3:AJ5,2,FALSE),Backdoors!AL4)*(IF((Backdoors!AI12+IF(AR20&gt;=0.45,VLOOKUP(Calculator!E23,tbSkills!DH3:DI6,2,FALSE)+IF(AND(Calculator!B8=TRUE,Backdoors!BI9=TRUE),VLOOKUP(Calculator!E23,tbSkills!DH3:DJ6,3,FALSE),0),0))&gt;=100,100,(Backdoors!AI12+IF(AR20&gt;=0.45,VLOOKUP(Calculator!E23,tbSkills!DH3:DI6,2,FALSE)+IF(AND(Calculator!B8=TRUE,Backdoors!BI9=TRUE),VLOOKUP(Calculator!E23,tbSkills!DH3:DJ6,3,FALSE),0),0)))/100)),1),1)</f>
        <v>0.5</v>
      </c>
      <c r="AX20" s="87">
        <f t="shared" si="38"/>
        <v>6</v>
      </c>
      <c r="AY20" s="86">
        <f>IFERROR(IF(VLOOKUP(A20,tbMoveset!A2:B112,2,FALSE)="Sever",Backdoors!AY10/100,IF(VLOOKUP(A20,tbMoveset!A2:B112,2,FALSE)="Blunt",Backdoors!AZ10/100,Backdoors!BA10/100)),"")</f>
        <v>0.9</v>
      </c>
      <c r="AZ20" s="49">
        <f>IFERROR(IF(VLOOKUP(tbMoveset!A20,tbMoveset!A2:H112,8,FALSE)="Other",IF(VLOOKUP(tbMoveset!A20,tbMoveset!A2:I112,9,FALSE)="Fire",Backdoors!BB10,IF(VLOOKUP(tbMoveset!A20,tbMoveset!A2:I112,9,FALSE)="Water",Backdoors!BC10,IF(VLOOKUP(tbMoveset!A20,tbMoveset!A2:I112,9,FALSE)="Thunder",Backdoors!BD10,IF(VLOOKUP(tbMoveset!A20,tbMoveset!A2:I112,9,FALSE)="Ice",Backdoors!BE10,IF(VLOOKUP(tbMoveset!A20,tbMoveset!A2:I112,9,FALSE)="Dragon",Backdoors!BF10,Backdoors!BG10)))))/100,Backdoors!BG10/100),"")</f>
        <v>0</v>
      </c>
      <c r="BA20" s="49">
        <f>IFERROR(IF(VLOOKUP(A20,tbMoveset!A2:J112,10,FALSE)=TRUE,IF((Backdoors!AI12+IF(AY20&gt;=0.45,VLOOKUP(Calculator!E23,tbSkills!DH3:DI6,2,FALSE)+IF(AND(Calculator!B8=TRUE,Backdoors!BI10=TRUE),VLOOKUP(Calculator!E23,tbSkills!DH3:DJ6,3,FALSE),0),0))&gt;=0,1+(Backdoors!AL2*(IF((Backdoors!AI12+IF(AY20&gt;=0.45,VLOOKUP(Calculator!E23,tbSkills!DH3:DI6,2,FALSE)+IF(AND(Calculator!B8=TRUE,Backdoors!BI10=TRUE),VLOOKUP(Calculator!E23,tbSkills!DH3:DJ6,3,FALSE),0),0))&gt;=100,100,(Backdoors!AI12+IF(AY20&gt;=0.45,VLOOKUP(Calculator!E23,tbSkills!DH3:DI6,2,FALSE)+IF(AND(Calculator!B8=TRUE,Backdoors!BI10=TRUE),VLOOKUP(Calculator!E23,tbSkills!DH3:DJ6,3,FALSE),0),0)))/100)),(1-(0.25*((-Backdoors!AI12-IF(AY20&gt;=0.45,VLOOKUP(Calculator!E23,tbSkills!DH3:DI6,2,FALSE)+IF(AND(Calculator!B8=TRUE,Backdoors!BI10=TRUE),VLOOKUP(Calculator!E23,tbSkills!DH3:DJ6,3,FALSE),0),0))/100)))),1),"")</f>
        <v>1</v>
      </c>
      <c r="BB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Y20)*BA20)*(VLOOKUP(A20,tbMoveset!A2:C112,3,FALSE)/100)*IF(VLOOKUP(A20,tbMoveset!A2:B112,2,FALSE)="Projectile",Backdoors!N10,Backdoors!N9),0),"")</f>
        <v>11</v>
      </c>
      <c r="BC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Y20&gt;=0.45,VLOOKUP(Calculator!E23,tbSkills!DH3:DI6,2,FALSE)+IF(AND(Calculator!B8=TRUE,Backdoors!BI10=TRUE),VLOOKUP(Calculator!E23,tbSkills!DH3:DJ6,3,FALSE),0),0))&gt;=100,100,(Backdoors!AI12+IF(AY20&gt;=0.45,VLOOKUP(Calculator!E23,tbSkills!DH3:DI6,2,FALSE)+IF(AND(Calculator!B8=TRUE,Backdoors!BI10=TRUE),VLOOKUP(Calculator!E23,tbSkills!DH3:DJ6,3,FALSE),0),0)))/100)),1))*IF(VLOOKUP(A20,tbMoveset!A2:K112,11,FALSE)=TRUE,Backdoors!AC5,1))*AZ20,0),"")</f>
        <v>0</v>
      </c>
      <c r="BD20" s="49">
        <f>VLOOKUP(A20,tbMoveset!A2:G112,7,FALSE)*IFERROR(IF(Backdoors!AI12&gt;=0,1+(IF(Calculator!E40&gt;0,VLOOKUP(Calculator!E40,tbSkills!AI3:AJ5,2,FALSE),Backdoors!AL4)*(IF((Backdoors!AI12+IF(AY20&gt;=0.45,VLOOKUP(Calculator!E23,tbSkills!DH3:DI6,2,FALSE)+IF(AND(Calculator!B8=TRUE,Backdoors!BI10=TRUE),VLOOKUP(Calculator!E23,tbSkills!DH3:DJ6,3,FALSE),0),0))&gt;=100,100,(Backdoors!AI12+IF(AY20&gt;=0.45,VLOOKUP(Calculator!E23,tbSkills!DH3:DI6,2,FALSE)+IF(AND(Calculator!B8=TRUE,Backdoors!BI10=TRUE),VLOOKUP(Calculator!E23,tbSkills!DH3:DJ6,3,FALSE),0),0)))/100)),1),1)</f>
        <v>0.5</v>
      </c>
      <c r="BE20" s="87">
        <f t="shared" si="3"/>
        <v>11</v>
      </c>
      <c r="BF20" s="86" t="str">
        <f>IFERROR(IF(VLOOKUP(A20,tbMoveset!A2:B112,2,FALSE)="Sever",Backdoors!AY11/100,IF(VLOOKUP(A20,tbMoveset!A2:B112,2,FALSE)="Blunt",Backdoors!AZ11/100,Backdoors!BA11/100)),"")</f>
        <v/>
      </c>
      <c r="BG20" s="49">
        <f>IFERROR(IF(VLOOKUP(tbMoveset!A20,tbMoveset!A2:H112,8,FALSE)="Other",IF(VLOOKUP(tbMoveset!A20,tbMoveset!A2:I112,9,FALSE)="Fire",Backdoors!BB11,IF(VLOOKUP(tbMoveset!A20,tbMoveset!A2:I112,9,FALSE)="Water",Backdoors!BC11,IF(VLOOKUP(tbMoveset!A20,tbMoveset!A2:I112,9,FALSE)="Thunder",Backdoors!BD11,IF(VLOOKUP(tbMoveset!A20,tbMoveset!A2:I112,9,FALSE)="Ice",Backdoors!BE11,IF(VLOOKUP(tbMoveset!A20,tbMoveset!A2:I112,9,FALSE)="Dragon",Backdoors!BF11,Backdoors!BG11)))))/100,Backdoors!BG11/100),"")</f>
        <v>0</v>
      </c>
      <c r="BH20" s="49">
        <f>IFERROR(IF(VLOOKUP(A20,tbMoveset!A2:J112,10,FALSE)=TRUE,IF((Backdoors!AI12+IF(BF20&gt;=0.45,VLOOKUP(Calculator!E23,tbSkills!DH3:DI6,2,FALSE)+IF(AND(Calculator!B8=TRUE,Backdoors!BI11=TRUE),VLOOKUP(Calculator!E23,tbSkills!DH3:DJ6,3,FALSE),0),0))&gt;=0,1+(Backdoors!AL2*(IF((Backdoors!AI12+IF(BF20&gt;=0.45,VLOOKUP(Calculator!E23,tbSkills!DH3:DI6,2,FALSE)+IF(AND(Calculator!B8=TRUE,Backdoors!BI11=TRUE),VLOOKUP(Calculator!E23,tbSkills!DH3:DJ6,3,FALSE),0),0))&gt;=100,100,(Backdoors!AI12+IF(BF20&gt;=0.45,VLOOKUP(Calculator!E23,tbSkills!DH3:DI6,2,FALSE)+IF(AND(Calculator!B8=TRUE,Backdoors!BI11=TRUE),VLOOKUP(Calculator!E23,tbSkills!DH3:DJ6,3,FALSE),0),0)))/100)),(1-(0.25*((-Backdoors!AI12-IF(BF20&gt;=0.45,VLOOKUP(Calculator!E23,tbSkills!DH3:DI6,2,FALSE)+IF(AND(Calculator!B8=TRUE,Backdoors!BI11=TRUE),VLOOKUP(Calculator!E23,tbSkills!DH3:DJ6,3,FALSE),0),0))/100)))),1),"")</f>
        <v>1</v>
      </c>
      <c r="BI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F20)*BH20)*(VLOOKUP(A20,tbMoveset!A2:C112,3,FALSE)/100)*IF(VLOOKUP(A20,tbMoveset!A2:B112,2,FALSE)="Projectile",Backdoors!N10,Backdoors!N9),0),"")</f>
        <v/>
      </c>
      <c r="BJ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F20&gt;=0.45,VLOOKUP(Calculator!E23,tbSkills!DH3:DI6,2,FALSE)+IF(AND(Calculator!B8=TRUE,Backdoors!BI11=TRUE),VLOOKUP(Calculator!E23,tbSkills!DH3:DJ6,3,FALSE),0),0))&gt;=100,100,(Backdoors!AI12+IF(BF20&gt;=0.45,VLOOKUP(Calculator!E23,tbSkills!DH3:DI6,2,FALSE)+IF(AND(Calculator!B8=TRUE,Backdoors!BI11=TRUE),VLOOKUP(Calculator!E23,tbSkills!DH3:DJ6,3,FALSE),0),0)))/100)),1))*IF(VLOOKUP(A20,tbMoveset!A2:K112,11,FALSE)=TRUE,Backdoors!AC5,1))*BG20,0),"")</f>
        <v>0</v>
      </c>
      <c r="BK20" s="49">
        <f>VLOOKUP(A20,tbMoveset!A2:G112,7,FALSE)*IFERROR(IF(Backdoors!AI12&gt;=0,1+(IF(Calculator!E40&gt;0,VLOOKUP(Calculator!E40,tbSkills!AI3:AJ5,2,FALSE),Backdoors!AL4)*(IF((Backdoors!AI12+IF(BF20&gt;=0.45,VLOOKUP(Calculator!E23,tbSkills!DH3:DI6,2,FALSE)+IF(AND(Calculator!B8=TRUE,Backdoors!BI11=TRUE),VLOOKUP(Calculator!E23,tbSkills!DH3:DJ6,3,FALSE),0),0))&gt;=100,100,(Backdoors!AI12+IF(BF20&gt;=0.45,VLOOKUP(Calculator!E23,tbSkills!DH3:DI6,2,FALSE)+IF(AND(Calculator!B8=TRUE,Backdoors!BI11=TRUE),VLOOKUP(Calculator!E23,tbSkills!DH3:DJ6,3,FALSE),0),0)))/100)),1),1)</f>
        <v>0.5</v>
      </c>
      <c r="BL20" s="87">
        <f t="shared" si="4"/>
        <v>0</v>
      </c>
      <c r="BM20" s="86" t="str">
        <f>IFERROR(IF(VLOOKUP(A20,tbMoveset!A2:B112,2,FALSE)="Sever",Backdoors!AY12/100,IF(VLOOKUP(A20,tbMoveset!A2:B112,2,FALSE)="Blunt",Backdoors!AZ12/100,Backdoors!BA12/100)),"")</f>
        <v/>
      </c>
      <c r="BN20" s="49">
        <f>IFERROR(IF(VLOOKUP(tbMoveset!A20,tbMoveset!A2:H112,8,FALSE)="Other",IF(VLOOKUP(tbMoveset!A20,tbMoveset!A2:I112,9,FALSE)="Fire",Backdoors!BB12,IF(VLOOKUP(tbMoveset!A20,tbMoveset!A2:I112,9,FALSE)="Water",Backdoors!BC12,IF(VLOOKUP(tbMoveset!A20,tbMoveset!A2:I112,9,FALSE)="Thunder",Backdoors!BD12,IF(VLOOKUP(tbMoveset!A20,tbMoveset!A2:I112,9,FALSE)="Ice",Backdoors!BE12,IF(VLOOKUP(tbMoveset!A20,tbMoveset!A2:I112,9,FALSE)="Dragon",Backdoors!BF12,Backdoors!BG12)))))/100,Backdoors!BG12/100),"")</f>
        <v>0</v>
      </c>
      <c r="BO20" s="49">
        <f>IFERROR(IF(VLOOKUP(A20,tbMoveset!A2:J112,10,FALSE)=TRUE,IF((Backdoors!AI12+IF(BM20&gt;=0.45,VLOOKUP(Calculator!E23,tbSkills!DH3:DI6,2,FALSE)+IF(AND(Calculator!B8=TRUE,Backdoors!BI12=TRUE),VLOOKUP(Calculator!E23,tbSkills!DH3:DJ6,3,FALSE),0),0))&gt;=0,1+(Backdoors!AL2*(IF((Backdoors!AI12+IF(BM20&gt;=0.45,VLOOKUP(Calculator!E23,tbSkills!DH3:DI6,2,FALSE)+IF(AND(Calculator!B8=TRUE,Backdoors!BI12=TRUE),VLOOKUP(Calculator!E23,tbSkills!DH3:DJ6,3,FALSE),0),0))&gt;=100,100,(Backdoors!AI12+IF(BM20&gt;=0.45,VLOOKUP(Calculator!E23,tbSkills!DH3:DI6,2,FALSE)+IF(AND(Calculator!B8=TRUE,Backdoors!BI12=TRUE),VLOOKUP(Calculator!E23,tbSkills!DH3:DJ6,3,FALSE),0),0)))/100)),(1-(0.25*((-Backdoors!AI12-IF(BM20&gt;=0.45,VLOOKUP(Calculator!E23,tbSkills!DH3:DI6,2,FALSE)+IF(AND(Calculator!B8=TRUE,Backdoors!BI12=TRUE),VLOOKUP(Calculator!E23,tbSkills!DH3:DJ6,3,FALSE),0),0))/100)))),1),"")</f>
        <v>1</v>
      </c>
      <c r="BP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M20)*BO20)*(VLOOKUP(A20,tbMoveset!A2:C112,3,FALSE)/100)*IF(VLOOKUP(A20,tbMoveset!A2:B112,2,FALSE)="Projectile",Backdoors!N10,Backdoors!N9),0),"")</f>
        <v/>
      </c>
      <c r="BQ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M20&gt;=0.45,VLOOKUP(Calculator!E23,tbSkills!DH3:DI6,2,FALSE)+IF(AND(Calculator!B8=TRUE,Backdoors!BI12=TRUE),VLOOKUP(Calculator!E23,tbSkills!DH3:DJ6,3,FALSE),0),0))&gt;=100,100,(Backdoors!AI12+IF(BM20&gt;=0.45,VLOOKUP(Calculator!E23,tbSkills!DH3:DI6,2,FALSE)+IF(AND(Calculator!B8=TRUE,Backdoors!BI12=TRUE),VLOOKUP(Calculator!E23,tbSkills!DH3:DJ6,3,FALSE),0),0)))/100)),1))*IF(VLOOKUP(A20,tbMoveset!A2:K112,11,FALSE)=TRUE,Backdoors!AC5,1))*BN20,0),"")</f>
        <v>0</v>
      </c>
      <c r="BR20" s="49">
        <f>VLOOKUP(A20,tbMoveset!A2:G112,7,FALSE)*IFERROR(IF(Backdoors!AI12&gt;=0,1+(IF(Calculator!E40&gt;0,VLOOKUP(Calculator!E40,tbSkills!AI3:AJ5,2,FALSE),Backdoors!AL4)*(IF((Backdoors!AI12+IF(BM20&gt;=0.45,VLOOKUP(Calculator!E23,tbSkills!DH3:DI6,2,FALSE)+IF(AND(Calculator!B8=TRUE,Backdoors!BI12=TRUE),VLOOKUP(Calculator!E23,tbSkills!DH3:DJ6,3,FALSE),0),0))&gt;=100,100,(Backdoors!AI12+IF(BM20&gt;=0.45,VLOOKUP(Calculator!E23,tbSkills!DH3:DI6,2,FALSE)+IF(AND(Calculator!B8=TRUE,Backdoors!BI12=TRUE),VLOOKUP(Calculator!E23,tbSkills!DH3:DJ6,3,FALSE),0),0)))/100)),1),1)</f>
        <v>0.5</v>
      </c>
      <c r="BS20" s="87">
        <f t="shared" si="39"/>
        <v>0</v>
      </c>
      <c r="BT20" s="86" t="str">
        <f>IFERROR(IF(VLOOKUP(A20,tbMoveset!A2:B112,2,FALSE)="Sever",Backdoors!AY13/100,IF(VLOOKUP(A20,tbMoveset!A2:B112,2,FALSE)="Blunt",Backdoors!AZ13/100,Backdoors!BA13/100)),"")</f>
        <v/>
      </c>
      <c r="BU20" s="49">
        <f>IFERROR(IF(VLOOKUP(tbMoveset!A20,tbMoveset!A2:H112,8,FALSE)="Other",IF(VLOOKUP(tbMoveset!A20,tbMoveset!A2:I112,9,FALSE)="Fire",Backdoors!BB13,IF(VLOOKUP(tbMoveset!A20,tbMoveset!A2:I112,9,FALSE)="Water",Backdoors!BC13,IF(VLOOKUP(tbMoveset!A20,tbMoveset!A2:I112,9,FALSE)="Thunder",Backdoors!BD13,IF(VLOOKUP(tbMoveset!A20,tbMoveset!A2:I112,9,FALSE)="Ice",Backdoors!BE13,IF(VLOOKUP(tbMoveset!A20,tbMoveset!A2:I112,9,FALSE)="Dragon",Backdoors!BF13,Backdoors!BG13)))))/100,Backdoors!BG13/100),"")</f>
        <v>0</v>
      </c>
      <c r="BV20" s="49">
        <f>IFERROR(IF(VLOOKUP(A20,tbMoveset!A2:J112,10,FALSE)=TRUE,IF((Backdoors!AI12+IF(BT20&gt;=0.45,VLOOKUP(Calculator!E23,tbSkills!DH3:DI6,2,FALSE)+IF(AND(Calculator!B8=TRUE,Backdoors!BI13=TRUE),VLOOKUP(Calculator!E23,tbSkills!DH3:DJ6,3,FALSE),0),0))&gt;=0,1+(Backdoors!AL2*(IF((Backdoors!AI12+IF(BT20&gt;=0.45,VLOOKUP(Calculator!E23,tbSkills!DH3:DI6,2,FALSE)+IF(AND(Calculator!B8=TRUE,Backdoors!BI13=TRUE),VLOOKUP(Calculator!E23,tbSkills!DH3:DJ6,3,FALSE),0),0))&gt;=100,100,(Backdoors!AI12+IF(BT20&gt;=0.45,VLOOKUP(Calculator!E23,tbSkills!DH3:DI6,2,FALSE)+IF(AND(Calculator!B8=TRUE,Backdoors!BI13=TRUE),VLOOKUP(Calculator!E23,tbSkills!DH3:DJ6,3,FALSE),0),0)))/100)),(1-(0.25*((-Backdoors!AI12-IF(BT20&gt;=0.45,VLOOKUP(Calculator!E23,tbSkills!DH3:DI6,2,FALSE)+IF(AND(Calculator!B8=TRUE,Backdoors!BI13=TRUE),VLOOKUP(Calculator!E23,tbSkills!DH3:DJ6,3,FALSE),0),0))/100)))),1),"")</f>
        <v>1</v>
      </c>
      <c r="BW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T20)*BV20)*(VLOOKUP(A20,tbMoveset!A2:C112,3,FALSE)/100)*IF(VLOOKUP(A20,tbMoveset!A2:B112,2,FALSE)="Projectile",Backdoors!N10,Backdoors!N9),0),"")</f>
        <v/>
      </c>
      <c r="BX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T20&gt;=0.45,VLOOKUP(Calculator!E23,tbSkills!DH3:DI6,2,FALSE)+IF(AND(Calculator!B8=TRUE,Backdoors!BI13=TRUE),VLOOKUP(Calculator!E23,tbSkills!DH3:DJ6,3,FALSE),0),0))&gt;=100,100,(Backdoors!AI12+IF(BT20&gt;=0.45,VLOOKUP(Calculator!E23,tbSkills!DH3:DI6,2,FALSE)+IF(AND(Calculator!B8=TRUE,Backdoors!BI13=TRUE),VLOOKUP(Calculator!E23,tbSkills!DH3:DJ6,3,FALSE),0),0)))/100)),1))*IF(VLOOKUP(A20,tbMoveset!A2:K112,11,FALSE)=TRUE,Backdoors!AC5,1))*BU20,0),"")</f>
        <v>0</v>
      </c>
      <c r="BY20" s="49">
        <f>VLOOKUP(A20,tbMoveset!A2:G112,7,FALSE)*IFERROR(IF(Backdoors!AI12&gt;=0,1+(IF(Calculator!E40&gt;0,VLOOKUP(Calculator!E40,tbSkills!AI3:AJ5,2,FALSE),Backdoors!AL4)*(IF((Backdoors!AI12+IF(BT20&gt;=0.45,VLOOKUP(Calculator!E23,tbSkills!DH3:DI6,2,FALSE)+IF(AND(Calculator!B8=TRUE,Backdoors!BI13=TRUE),VLOOKUP(Calculator!E23,tbSkills!DH3:DJ6,3,FALSE),0),0))&gt;=100,100,(Backdoors!AI12+IF(BT20&gt;=0.45,VLOOKUP(Calculator!E23,tbSkills!DH3:DI6,2,FALSE)+IF(AND(Calculator!B8=TRUE,Backdoors!BI13=TRUE),VLOOKUP(Calculator!E23,tbSkills!DH3:DJ6,3,FALSE),0),0)))/100)),1),1)</f>
        <v>0.5</v>
      </c>
      <c r="BZ20" s="87">
        <f t="shared" si="5"/>
        <v>0</v>
      </c>
      <c r="CA20" s="86" t="str">
        <f>IFERROR(IF(VLOOKUP(A20,tbMoveset!A2:B112,2,FALSE)="Sever",Backdoors!AY14/100,IF(VLOOKUP(A20,tbMoveset!A2:B112,2,FALSE)="Blunt",Backdoors!AZ14/100,Backdoors!BA14/100)),"")</f>
        <v/>
      </c>
      <c r="CB20" s="49">
        <f>IFERROR(IF(VLOOKUP(tbMoveset!A20,tbMoveset!A2:H112,8,FALSE)="Other",IF(VLOOKUP(tbMoveset!A20,tbMoveset!A2:I112,9,FALSE)="Fire",Backdoors!BB14,IF(VLOOKUP(tbMoveset!A20,tbMoveset!A2:I112,9,FALSE)="Water",Backdoors!BC14,IF(VLOOKUP(tbMoveset!A20,tbMoveset!A2:I112,9,FALSE)="Thunder",Backdoors!BD14,IF(VLOOKUP(tbMoveset!A20,tbMoveset!A2:I112,9,FALSE)="Ice",Backdoors!BE14,IF(VLOOKUP(tbMoveset!A20,tbMoveset!A2:I112,9,FALSE)="Dragon",Backdoors!BF14,Backdoors!BG14)))))/100,Backdoors!BG14/100),"")</f>
        <v>0</v>
      </c>
      <c r="CC20" s="49">
        <f>IFERROR(IF(VLOOKUP(A20,tbMoveset!A2:J112,10,FALSE)=TRUE,IF((Backdoors!AI12+IF(CA20&gt;=0.45,VLOOKUP(Calculator!E23,tbSkills!DH3:DI6,2,FALSE)+IF(AND(Calculator!B8=TRUE,Backdoors!BI14=TRUE),VLOOKUP(Calculator!E23,tbSkills!DH3:DJ6,3,FALSE),0),0))&gt;=0,1+(Backdoors!AL2*(IF((Backdoors!AI12+IF(CA20&gt;=0.45,VLOOKUP(Calculator!E23,tbSkills!DH3:DI6,2,FALSE)+IF(AND(Calculator!B8=TRUE,Backdoors!BI14=TRUE),VLOOKUP(Calculator!E23,tbSkills!DH3:DJ6,3,FALSE),0),0))&gt;=100,100,(Backdoors!AI12+IF(CA20&gt;=0.45,VLOOKUP(Calculator!E23,tbSkills!DH3:DI6,2,FALSE)+IF(AND(Calculator!B8=TRUE,Backdoors!BI14=TRUE),VLOOKUP(Calculator!E23,tbSkills!DH3:DJ6,3,FALSE),0),0)))/100)),(1-(0.25*((-Backdoors!AI12-IF(CA20&gt;=0.45,VLOOKUP(Calculator!E23,tbSkills!DH3:DI6,2,FALSE)+IF(AND(Calculator!B8=TRUE,Backdoors!BI14=TRUE),VLOOKUP(Calculator!E23,tbSkills!DH3:DJ6,3,FALSE),0),0))/100)))),1),"")</f>
        <v>1</v>
      </c>
      <c r="CD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A20)*CC20)*(VLOOKUP(A20,tbMoveset!A2:C112,3,FALSE)/100)*IF(VLOOKUP(A20,tbMoveset!A2:B112,2,FALSE)="Projectile",Backdoors!N10,Backdoors!N9),0),"")</f>
        <v/>
      </c>
      <c r="CE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A20&gt;=0.45,VLOOKUP(Calculator!E23,tbSkills!DH3:DI6,2,FALSE)+IF(AND(Calculator!B8=TRUE,Backdoors!BI14=TRUE),VLOOKUP(Calculator!E23,tbSkills!DH3:DJ6,3,FALSE),0),0))&gt;=100,100,(Backdoors!AI12+IF(CA20&gt;=0.45,VLOOKUP(Calculator!E23,tbSkills!DH3:DI6,2,FALSE)+IF(AND(Calculator!B8=TRUE,Backdoors!BI14=TRUE),VLOOKUP(Calculator!E23,tbSkills!DH3:DJ6,3,FALSE),0),0)))/100)),1))*IF(VLOOKUP(A20,tbMoveset!A2:K112,11,FALSE)=TRUE,Backdoors!AC5,1))*CB20,0),"")</f>
        <v>0</v>
      </c>
      <c r="CF20" s="49">
        <f>VLOOKUP(A20,tbMoveset!A2:G112,7,FALSE)*IFERROR(IF(Backdoors!AI12&gt;=0,1+(IF(Calculator!E40&gt;0,VLOOKUP(Calculator!E40,tbSkills!AI3:AJ5,2,FALSE),Backdoors!AL4)*(IF((Backdoors!AI12+IF(CA20&gt;=0.45,VLOOKUP(Calculator!E23,tbSkills!DH3:DI6,2,FALSE)+IF(AND(Calculator!B8=TRUE,Backdoors!BI14=TRUE),VLOOKUP(Calculator!E23,tbSkills!DH3:DJ6,3,FALSE),0),0))&gt;=100,100,(Backdoors!AI12+IF(CA20&gt;=0.45,VLOOKUP(Calculator!E23,tbSkills!DH3:DI6,2,FALSE)+IF(AND(Calculator!B8=TRUE,Backdoors!BI14=TRUE),VLOOKUP(Calculator!E23,tbSkills!DH3:DJ6,3,FALSE),0),0)))/100)),1),1)</f>
        <v>0.5</v>
      </c>
      <c r="CG20" s="87">
        <f t="shared" si="6"/>
        <v>0</v>
      </c>
      <c r="CH20" s="86" t="str">
        <f>IFERROR(IF(VLOOKUP(A20,tbMoveset!A2:B112,2,FALSE)="Sever",Backdoors!AY15/100,IF(VLOOKUP(A20,tbMoveset!A2:B112,2,FALSE)="Blunt",Backdoors!AZ15/100,Backdoors!BA15/100)),"")</f>
        <v/>
      </c>
      <c r="CI20" s="49">
        <f>IFERROR(IF(VLOOKUP(tbMoveset!A20,tbMoveset!A2:H112,8,FALSE)="Other",IF(VLOOKUP(tbMoveset!A20,tbMoveset!A2:I112,9,FALSE)="Fire",Backdoors!BB15,IF(VLOOKUP(tbMoveset!A20,tbMoveset!A2:I112,9,FALSE)="Water",Backdoors!BC15,IF(VLOOKUP(tbMoveset!A20,tbMoveset!A2:I112,9,FALSE)="Thunder",Backdoors!BD15,IF(VLOOKUP(tbMoveset!A20,tbMoveset!A2:I112,9,FALSE)="Ice",Backdoors!BE15,IF(VLOOKUP(tbMoveset!A20,tbMoveset!A2:I112,9,FALSE)="Dragon",Backdoors!BF15,Backdoors!BG15)))))/100,Backdoors!BG15/100),"")</f>
        <v>0</v>
      </c>
      <c r="CJ20" s="49">
        <f>IFERROR(IF(VLOOKUP(A20,tbMoveset!A2:J112,10,FALSE)=TRUE,IF((Backdoors!AI12+IF(CH20&gt;=0.45,VLOOKUP(Calculator!E23,tbSkills!DH3:DI6,2,FALSE)+IF(AND(Calculator!B8=TRUE,Backdoors!BI15=TRUE),VLOOKUP(Calculator!E23,tbSkills!DH3:DJ6,3,FALSE),0),0))&gt;=0,1+(Backdoors!AL2*(IF((Backdoors!AI12+IF(CH20&gt;=0.45,VLOOKUP(Calculator!E23,tbSkills!DH3:DI6,2,FALSE)+IF(AND(Calculator!B8=TRUE,Backdoors!BI15=TRUE),VLOOKUP(Calculator!E23,tbSkills!DH3:DJ6,3,FALSE),0),0))&gt;=100,100,(Backdoors!AI12+IF(CH20&gt;=0.45,VLOOKUP(Calculator!E23,tbSkills!DH3:DI6,2,FALSE)+IF(AND(Calculator!B8=TRUE,Backdoors!BI15=TRUE),VLOOKUP(Calculator!E23,tbSkills!DH3:DJ6,3,FALSE),0),0)))/100)),(1-(0.25*((-Backdoors!AI12-IF(CH20&gt;=0.45,VLOOKUP(Calculator!E23,tbSkills!DH3:DI6,2,FALSE)+IF(AND(Calculator!B8=TRUE,Backdoors!BI15=TRUE),VLOOKUP(Calculator!E23,tbSkills!DH3:DJ6,3,FALSE),0),0))/100)))),1),"")</f>
        <v>1</v>
      </c>
      <c r="CK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H20)*CJ20)*(VLOOKUP(A20,tbMoveset!A2:C112,3,FALSE)/100)*IF(VLOOKUP(A20,tbMoveset!A2:B112,2,FALSE)="Projectile",Backdoors!N10,Backdoors!N9),0),"")</f>
        <v/>
      </c>
      <c r="CL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H20&gt;=0.45,VLOOKUP(Calculator!E23,tbSkills!DH3:DI6,2,FALSE)+IF(AND(Calculator!B8=TRUE,Backdoors!BI15=TRUE),VLOOKUP(Calculator!E23,tbSkills!DH3:DJ6,3,FALSE),0),0))&gt;=100,100,(Backdoors!AI12+IF(CH20&gt;=0.45,VLOOKUP(Calculator!E23,tbSkills!DH3:DI6,2,FALSE)+IF(AND(Calculator!B8=TRUE,Backdoors!BI15=TRUE),VLOOKUP(Calculator!E23,tbSkills!DH3:DJ6,3,FALSE),0),0)))/100)),1))*IF(VLOOKUP(A20,tbMoveset!A2:K112,11,FALSE)=TRUE,Backdoors!AC5,1))*CI20,0),"")</f>
        <v>0</v>
      </c>
      <c r="CM20" s="49">
        <f>VLOOKUP(A20,tbMoveset!A2:G112,7,FALSE)*IFERROR(IF(Backdoors!AI12&gt;=0,1+(IF(Calculator!E40&gt;0,VLOOKUP(Calculator!E40,tbSkills!AI3:AJ5,2,FALSE),Backdoors!AL4)*(IF((Backdoors!AI12+IF(CH20&gt;=0.45,VLOOKUP(Calculator!E23,tbSkills!DH3:DI6,2,FALSE)+IF(AND(Calculator!B8=TRUE,Backdoors!BI15=TRUE),VLOOKUP(Calculator!E23,tbSkills!DH3:DJ6,3,FALSE),0),0))&gt;=100,100,(Backdoors!AI12+IF(CH20&gt;=0.45,VLOOKUP(Calculator!E23,tbSkills!DH3:DI6,2,FALSE)+IF(AND(Calculator!B8=TRUE,Backdoors!BI15=TRUE),VLOOKUP(Calculator!E23,tbSkills!DH3:DJ6,3,FALSE),0),0)))/100)),1),1)</f>
        <v>0.5</v>
      </c>
      <c r="CN20" s="87">
        <f t="shared" si="7"/>
        <v>0</v>
      </c>
      <c r="CO20" s="86" t="str">
        <f>IFERROR(IF(VLOOKUP(A20,tbMoveset!A2:B112,2,FALSE)="Sever",Backdoors!AY16/100,IF(VLOOKUP(A20,tbMoveset!A2:B112,2,FALSE)="Blunt",Backdoors!AZ16/100,Backdoors!BA16/100)),"")</f>
        <v/>
      </c>
      <c r="CP20" s="49">
        <f>IFERROR(IF(VLOOKUP(tbMoveset!A20,tbMoveset!A2:H112,8,FALSE)="Other",IF(VLOOKUP(tbMoveset!A20,tbMoveset!A2:I112,9,FALSE)="Fire",Backdoors!BB16,IF(VLOOKUP(tbMoveset!A20,tbMoveset!A2:I112,9,FALSE)="Water",Backdoors!BC16,IF(VLOOKUP(tbMoveset!A20,tbMoveset!A2:I112,9,FALSE)="Thunder",Backdoors!BD16,IF(VLOOKUP(tbMoveset!A20,tbMoveset!A2:I112,9,FALSE)="Ice",Backdoors!BE16,IF(VLOOKUP(tbMoveset!A20,tbMoveset!A2:I112,9,FALSE)="Dragon",Backdoors!BF16,Backdoors!BG16)))))/100,Backdoors!BG16/100),"")</f>
        <v>0</v>
      </c>
      <c r="CQ20" s="49">
        <f>IFERROR(IF(VLOOKUP(A20,tbMoveset!A2:J112,10,FALSE)=TRUE,IF((Backdoors!AI12+IF(CO20&gt;=0.45,VLOOKUP(Calculator!E23,tbSkills!DH3:DI6,2,FALSE)+IF(AND(Calculator!B8=TRUE,Backdoors!BI16=TRUE),VLOOKUP(Calculator!E23,tbSkills!DH3:DJ6,3,FALSE),0),0))&gt;=0,1+(Backdoors!AL2*(IF((Backdoors!AI12+IF(CO20&gt;=0.45,VLOOKUP(Calculator!E23,tbSkills!DH3:DI6,2,FALSE)+IF(AND(Calculator!B8=TRUE,Backdoors!BI16=TRUE),VLOOKUP(Calculator!E23,tbSkills!DH3:DJ6,3,FALSE),0),0))&gt;=100,100,(Backdoors!AI12+IF(CO20&gt;=0.45,VLOOKUP(Calculator!E23,tbSkills!DH3:DI6,2,FALSE)+IF(AND(Calculator!B8=TRUE,Backdoors!BI16=TRUE),VLOOKUP(Calculator!E23,tbSkills!DH3:DJ6,3,FALSE),0),0)))/100)),(1-(0.25*((-Backdoors!AI12-IF(CO20&gt;=0.45,VLOOKUP(Calculator!E23,tbSkills!DH3:DI6,2,FALSE)+IF(AND(Calculator!B8=TRUE,Backdoors!BI16=TRUE),VLOOKUP(Calculator!E23,tbSkills!DH3:DJ6,3,FALSE),0),0))/100)))),1),"")</f>
        <v>1</v>
      </c>
      <c r="CR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O20)*CQ20)*(VLOOKUP(A20,tbMoveset!A2:C112,3,FALSE)/100)*IF(VLOOKUP(A20,tbMoveset!A2:B112,2,FALSE)="Projectile",Backdoors!N10,Backdoors!N9),0),"")</f>
        <v/>
      </c>
      <c r="CS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O20&gt;=0.45,VLOOKUP(Calculator!E23,tbSkills!DH3:DI6,2,FALSE)+IF(AND(Calculator!B8=TRUE,Backdoors!BI16=TRUE),VLOOKUP(Calculator!E23,tbSkills!DH3:DJ6,3,FALSE),0),0))&gt;=100,100,(Backdoors!AI12+IF(CO20&gt;=0.45,VLOOKUP(Calculator!E23,tbSkills!DH3:DI6,2,FALSE)+IF(AND(Calculator!B8=TRUE,Backdoors!BI16=TRUE),VLOOKUP(Calculator!E23,tbSkills!DH3:DJ6,3,FALSE),0),0)))/100)),1))*IF(VLOOKUP(A20,tbMoveset!A2:K112,11,FALSE)=TRUE,Backdoors!AC5,1))*CP20,0),"")</f>
        <v>0</v>
      </c>
      <c r="CT20" s="49">
        <f>VLOOKUP(A20,tbMoveset!A2:G112,7,FALSE)*IFERROR(IF(Backdoors!AI12&gt;=0,1+(IF(Calculator!E40&gt;0,VLOOKUP(Calculator!E40,tbSkills!AI3:AJ5,2,FALSE),Backdoors!AL4)*(IF((Backdoors!AI12+IF(CO20&gt;=0.45,VLOOKUP(Calculator!E23,tbSkills!DH3:DI6,2,FALSE)+IF(AND(Calculator!B8=TRUE,Backdoors!BI16=TRUE),VLOOKUP(Calculator!E23,tbSkills!DH3:DJ6,3,FALSE),0),0))&gt;=100,100,(Backdoors!AI12+IF(CO20&gt;=0.45,VLOOKUP(Calculator!E23,tbSkills!DH3:DI6,2,FALSE)+IF(AND(Calculator!B8=TRUE,Backdoors!BI16=TRUE),VLOOKUP(Calculator!E23,tbSkills!DH3:DJ6,3,FALSE),0),0)))/100)),1),1)</f>
        <v>0.5</v>
      </c>
      <c r="CU20" s="87">
        <f t="shared" si="40"/>
        <v>0</v>
      </c>
      <c r="CV20" s="86" t="str">
        <f>IFERROR(IF(VLOOKUP(A20,tbMoveset!A2:B112,2,FALSE)="Sever",Backdoors!AY17/100,IF(VLOOKUP(A20,tbMoveset!A2:B112,2,FALSE)="Blunt",Backdoors!AZ17/100,Backdoors!BA17/100)),"")</f>
        <v/>
      </c>
      <c r="CW20" s="49">
        <f>IFERROR(IF(VLOOKUP(tbMoveset!A20,tbMoveset!A2:H112,8,FALSE)="Other",IF(VLOOKUP(tbMoveset!A20,tbMoveset!A2:I112,9,FALSE)="Fire",Backdoors!BB17,IF(VLOOKUP(tbMoveset!A20,tbMoveset!A2:I112,9,FALSE)="Water",Backdoors!BC17,IF(VLOOKUP(tbMoveset!A20,tbMoveset!A2:I112,9,FALSE)="Thunder",Backdoors!BD17,IF(VLOOKUP(tbMoveset!A20,tbMoveset!A2:I112,9,FALSE)="Ice",Backdoors!BE17,IF(VLOOKUP(tbMoveset!A20,tbMoveset!A2:I112,9,FALSE)="Dragon",Backdoors!BF17,Backdoors!BG17)))))/100,Backdoors!BG17/100),"")</f>
        <v>0</v>
      </c>
      <c r="CX20" s="49">
        <f>IFERROR(IF(VLOOKUP(A20,tbMoveset!A2:J112,10,FALSE)=TRUE,IF((Backdoors!AI12+IF(CV20&gt;=0.45,VLOOKUP(Calculator!E23,tbSkills!DH3:DI6,2,FALSE)+IF(AND(Calculator!B8=TRUE,Backdoors!BI17=TRUE),VLOOKUP(Calculator!E23,tbSkills!DH3:DJ6,3,FALSE),0),0))&gt;=0,1+(Backdoors!AL2*(IF((Backdoors!AI12+IF(CV20&gt;=0.45,VLOOKUP(Calculator!E23,tbSkills!DH3:DI6,2,FALSE)+IF(AND(Calculator!B8=TRUE,Backdoors!BI17=TRUE),VLOOKUP(Calculator!E23,tbSkills!DH3:DJ6,3,FALSE),0),0))&gt;=100,100,(Backdoors!AI12+IF(CV20&gt;=0.45,VLOOKUP(Calculator!E23,tbSkills!DH3:DI6,2,FALSE)+IF(AND(Calculator!B8=TRUE,Backdoors!BI17=TRUE),VLOOKUP(Calculator!E23,tbSkills!DH3:DJ6,3,FALSE),0),0)))/100)),(1-(0.25*((-Backdoors!AI12-IF(CV20&gt;=0.45,VLOOKUP(Calculator!E23,tbSkills!DH3:DI6,2,FALSE)+IF(AND(Calculator!B8=TRUE,Backdoors!BI17=TRUE),VLOOKUP(Calculator!E23,tbSkills!DH3:DJ6,3,FALSE),0),0))/100)))),1),"")</f>
        <v>1</v>
      </c>
      <c r="CY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V20)*CX20)*(VLOOKUP(A20,tbMoveset!A2:C112,3,FALSE)/100)*IF(VLOOKUP(A20,tbMoveset!A2:B112,2,FALSE)="Projectile",Backdoors!N10,Backdoors!N9),0),"")</f>
        <v/>
      </c>
      <c r="CZ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V20&gt;=0.45,VLOOKUP(Calculator!E23,tbSkills!DH3:DI6,2,FALSE)+IF(AND(Calculator!B8=TRUE,Backdoors!BI17=TRUE),VLOOKUP(Calculator!E23,tbSkills!DH3:DJ6,3,FALSE),0),0))&gt;=100,100,(Backdoors!AI12+IF(CV20&gt;=0.45,VLOOKUP(Calculator!E23,tbSkills!DH3:DI6,2,FALSE)+IF(AND(Calculator!B8=TRUE,Backdoors!BI17=TRUE),VLOOKUP(Calculator!E23,tbSkills!DH3:DJ6,3,FALSE),0),0)))/100)),1))*IF(VLOOKUP(A20,tbMoveset!A2:K112,11,FALSE)=TRUE,Backdoors!AC5,1))*CW20,0),"")</f>
        <v>0</v>
      </c>
      <c r="DA20" s="49">
        <f>VLOOKUP(A20,tbMoveset!A2:G112,7,FALSE)*IFERROR(IF(Backdoors!AI12&gt;=0,1+(IF(Calculator!E40&gt;0,VLOOKUP(Calculator!E40,tbSkills!AI3:AJ5,2,FALSE),Backdoors!AL4)*(IF((Backdoors!AI12+IF(CV20&gt;=0.45,VLOOKUP(Calculator!E23,tbSkills!DH3:DI6,2,FALSE)+IF(AND(Calculator!B8=TRUE,Backdoors!BI17=TRUE),VLOOKUP(Calculator!E23,tbSkills!DH3:DJ6,3,FALSE),0),0))&gt;=100,100,(Backdoors!AI12+IF(CV20&gt;=0.45,VLOOKUP(Calculator!E23,tbSkills!DH3:DI6,2,FALSE)+IF(AND(Calculator!B8=TRUE,Backdoors!BI17=TRUE),VLOOKUP(Calculator!E23,tbSkills!DH3:DJ6,3,FALSE),0),0)))/100)),1),1)</f>
        <v>0.5</v>
      </c>
      <c r="DB20" s="87">
        <f t="shared" si="8"/>
        <v>0</v>
      </c>
      <c r="DC20" s="86" t="str">
        <f>IFERROR(IF(VLOOKUP(A20,tbMoveset!A2:B112,2,FALSE)="Sever",Backdoors!AY18/100,IF(VLOOKUP(A20,tbMoveset!A2:B112,2,FALSE)="Blunt",Backdoors!AZ18/100,Backdoors!BA18/100)),"")</f>
        <v/>
      </c>
      <c r="DD20" s="49">
        <f>IFERROR(IF(VLOOKUP(tbMoveset!A20,tbMoveset!A2:H112,8,FALSE)="Other",IF(VLOOKUP(tbMoveset!A20,tbMoveset!A2:I112,9,FALSE)="Fire",Backdoors!BB18,IF(VLOOKUP(tbMoveset!A20,tbMoveset!A2:I112,9,FALSE)="Water",Backdoors!BC18,IF(VLOOKUP(tbMoveset!A20,tbMoveset!A2:I112,9,FALSE)="Thunder",Backdoors!BD18,IF(VLOOKUP(tbMoveset!A20,tbMoveset!A2:I112,9,FALSE)="Ice",Backdoors!BE18,IF(VLOOKUP(tbMoveset!A20,tbMoveset!A2:I112,9,FALSE)="Dragon",Backdoors!BF18,Backdoors!BG18)))))/100,Backdoors!BG18/100),"")</f>
        <v>0</v>
      </c>
      <c r="DE20" s="49">
        <f>IFERROR(IF(VLOOKUP(A20,tbMoveset!A2:J112,10,FALSE)=TRUE,IF((Backdoors!AI12+IF(DC20&gt;=0.45,VLOOKUP(Calculator!E23,tbSkills!DH3:DI6,2,FALSE)+IF(AND(Calculator!B8=TRUE,Backdoors!BI18=TRUE),VLOOKUP(Calculator!E23,tbSkills!DH3:DJ6,3,FALSE),0),0))&gt;=0,1+(Backdoors!AL2*(IF((Backdoors!AI12+IF(DC20&gt;=0.45,VLOOKUP(Calculator!E23,tbSkills!DH3:DI6,2,FALSE)+IF(AND(Calculator!B8=TRUE,Backdoors!BI18=TRUE),VLOOKUP(Calculator!E23,tbSkills!DH3:DJ6,3,FALSE),0),0))&gt;=100,100,(Backdoors!AI12+IF(DC20&gt;=0.45,VLOOKUP(Calculator!E23,tbSkills!DH3:DI6,2,FALSE)+IF(AND(Calculator!B8=TRUE,Backdoors!BI18=TRUE),VLOOKUP(Calculator!E23,tbSkills!DH3:DJ6,3,FALSE),0),0)))/100)),(1-(0.25*((-Backdoors!AI12-IF(DC20&gt;=0.45,VLOOKUP(Calculator!E23,tbSkills!DH3:DI6,2,FALSE)+IF(AND(Calculator!B8=TRUE,Backdoors!BI18=TRUE),VLOOKUP(Calculator!E23,tbSkills!DH3:DJ6,3,FALSE),0),0))/100)))),1),"")</f>
        <v>1</v>
      </c>
      <c r="DF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C20)*DE20)*(VLOOKUP(A20,tbMoveset!A2:C112,3,FALSE)/100)*IF(VLOOKUP(A20,tbMoveset!A2:B112,2,FALSE)="Projectile",Backdoors!N10,Backdoors!N9),0),"")</f>
        <v/>
      </c>
      <c r="DG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C20&gt;=0.45,VLOOKUP(Calculator!E23,tbSkills!DH3:DI6,2,FALSE)+IF(AND(Calculator!B8=TRUE,Backdoors!BI18=TRUE),VLOOKUP(Calculator!E23,tbSkills!DH3:DJ6,3,FALSE),0),0))&gt;=100,100,(Backdoors!AI12+IF(DC20&gt;=0.45,VLOOKUP(Calculator!E23,tbSkills!DH3:DI6,2,FALSE)+IF(AND(Calculator!B8=TRUE,Backdoors!BI18=TRUE),VLOOKUP(Calculator!E23,tbSkills!DH3:DJ6,3,FALSE),0),0)))/100)),1))*IF(VLOOKUP(A20,tbMoveset!A2:K112,11,FALSE)=TRUE,Backdoors!AC5,1))*DD20,0),"")</f>
        <v>0</v>
      </c>
      <c r="DH20" s="49">
        <f>VLOOKUP(A20,tbMoveset!A2:G112,7,FALSE)*IFERROR(IF(Backdoors!AI12&gt;=0,1+(IF(Calculator!E40&gt;0,VLOOKUP(Calculator!E40,tbSkills!AI3:AJ5,2,FALSE),Backdoors!AL4)*(IF((Backdoors!AI12+IF(DC20&gt;=0.45,VLOOKUP(Calculator!E23,tbSkills!DH3:DI6,2,FALSE)+IF(AND(Calculator!B8=TRUE,Backdoors!BI18=TRUE),VLOOKUP(Calculator!E23,tbSkills!DH3:DJ6,3,FALSE),0),0))&gt;=100,100,(Backdoors!AI12+IF(DC20&gt;=0.45,VLOOKUP(Calculator!E23,tbSkills!DH3:DI6,2,FALSE)+IF(AND(Calculator!B8=TRUE,Backdoors!BI18=TRUE),VLOOKUP(Calculator!E23,tbSkills!DH3:DJ6,3,FALSE),0),0)))/100)),1),1)</f>
        <v>0.5</v>
      </c>
      <c r="DI20" s="87">
        <f t="shared" si="9"/>
        <v>0</v>
      </c>
      <c r="DJ20" s="86" t="str">
        <f>IFERROR(IF(VLOOKUP(A20,tbMoveset!A2:B112,2,FALSE)="Sever",Backdoors!AY19/100,IF(VLOOKUP(A20,tbMoveset!A2:B112,2,FALSE)="Blunt",Backdoors!AZ19/100,Backdoors!BA19/100)),"")</f>
        <v/>
      </c>
      <c r="DK20" s="49">
        <f>IFERROR(IF(VLOOKUP(tbMoveset!A20,tbMoveset!A2:H112,8,FALSE)="Other",IF(VLOOKUP(tbMoveset!A20,tbMoveset!A2:I112,9,FALSE)="Fire",Backdoors!BB19,IF(VLOOKUP(tbMoveset!A20,tbMoveset!A2:I112,9,FALSE)="Water",Backdoors!BC19,IF(VLOOKUP(tbMoveset!A20,tbMoveset!A2:I112,9,FALSE)="Thunder",Backdoors!BD19,IF(VLOOKUP(tbMoveset!A20,tbMoveset!A2:I112,9,FALSE)="Ice",Backdoors!BE19,IF(VLOOKUP(tbMoveset!A20,tbMoveset!A2:I112,9,FALSE)="Dragon",Backdoors!BF19,Backdoors!BG19)))))/100,Backdoors!BG19/100),"")</f>
        <v>0</v>
      </c>
      <c r="DL20" s="49">
        <f>IFERROR(IF(VLOOKUP(A20,tbMoveset!A2:J112,10,FALSE)=TRUE,IF((Backdoors!AI12+IF(DJ20&gt;=0.45,VLOOKUP(Calculator!E23,tbSkills!DH3:DI6,2,FALSE)+IF(AND(Calculator!B8=TRUE,Backdoors!BI19=TRUE),VLOOKUP(Calculator!E23,tbSkills!DH3:DJ6,3,FALSE),0),0))&gt;=0,1+(Backdoors!AL2*(IF((Backdoors!AI12+IF(DJ20&gt;=0.45,VLOOKUP(Calculator!E23,tbSkills!DH3:DI6,2,FALSE)+IF(AND(Calculator!B8=TRUE,Backdoors!BI19=TRUE),VLOOKUP(Calculator!E23,tbSkills!DH3:DJ6,3,FALSE),0),0))&gt;=100,100,(Backdoors!AI12+IF(DJ20&gt;=0.45,VLOOKUP(Calculator!E23,tbSkills!DH3:DI6,2,FALSE)+IF(AND(Calculator!B8=TRUE,Backdoors!BI19=TRUE),VLOOKUP(Calculator!E23,tbSkills!DH3:DJ6,3,FALSE),0),0)))/100)),(1-(0.25*((-Backdoors!AI12-IF(DJ20&gt;=0.45,VLOOKUP(Calculator!E23,tbSkills!DH3:DI6,2,FALSE)+IF(AND(Calculator!B8=TRUE,Backdoors!BI19=TRUE),VLOOKUP(Calculator!E23,tbSkills!DH3:DJ6,3,FALSE),0),0))/100)))),1),"")</f>
        <v>1</v>
      </c>
      <c r="DM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J20)*DL20)*(VLOOKUP(A20,tbMoveset!A2:C112,3,FALSE)/100)*IF(VLOOKUP(A20,tbMoveset!A2:B112,2,FALSE)="Projectile",Backdoors!N10,Backdoors!N9),0),"")</f>
        <v/>
      </c>
      <c r="DN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J20&gt;=0.45,VLOOKUP(Calculator!E23,tbSkills!DH3:DI6,2,FALSE)+IF(AND(Calculator!B8=TRUE,Backdoors!BI19=TRUE),VLOOKUP(Calculator!E23,tbSkills!DH3:DJ6,3,FALSE),0),0))&gt;=100,100,(Backdoors!AI12+IF(DJ20&gt;=0.45,VLOOKUP(Calculator!E23,tbSkills!DH3:DI6,2,FALSE)+IF(AND(Calculator!B8=TRUE,Backdoors!BI19=TRUE),VLOOKUP(Calculator!E23,tbSkills!DH3:DJ6,3,FALSE),0),0)))/100)),1))*IF(VLOOKUP(A20,tbMoveset!A2:K112,11,FALSE)=TRUE,Backdoors!AC5,1))*DK20,0),"")</f>
        <v>0</v>
      </c>
      <c r="DO20" s="49">
        <f>VLOOKUP(A20,tbMoveset!A2:G112,7,FALSE)*IFERROR(IF(Backdoors!AI12&gt;=0,1+(IF(Calculator!E40&gt;0,VLOOKUP(Calculator!E40,tbSkills!AI3:AJ5,2,FALSE),Backdoors!AL4)*(IF((Backdoors!AI12+IF(DJ20&gt;=0.45,VLOOKUP(Calculator!E23,tbSkills!DH3:DI6,2,FALSE)+IF(AND(Calculator!B8=TRUE,Backdoors!BI19=TRUE),VLOOKUP(Calculator!E23,tbSkills!DH3:DJ6,3,FALSE),0),0))&gt;=100,100,(Backdoors!AI12+IF(DJ20&gt;=0.45,VLOOKUP(Calculator!E23,tbSkills!DH3:DI6,2,FALSE)+IF(AND(Calculator!B8=TRUE,Backdoors!BI19=TRUE),VLOOKUP(Calculator!E23,tbSkills!DH3:DJ6,3,FALSE),0),0)))/100)),1),1)</f>
        <v>0.5</v>
      </c>
      <c r="DP20" s="87">
        <f t="shared" si="41"/>
        <v>0</v>
      </c>
      <c r="DQ20" s="86" t="str">
        <f>IFERROR(IF(VLOOKUP(A20,tbMoveset!A2:B112,2,FALSE)="Sever",Backdoors!AY20/100,IF(VLOOKUP(A20,tbMoveset!A2:B112,2,FALSE)="Blunt",Backdoors!AZ20/100,Backdoors!BA20/100)),"")</f>
        <v/>
      </c>
      <c r="DR20" s="49">
        <f>IFERROR(IF(VLOOKUP(tbMoveset!A20,tbMoveset!A2:H112,8,FALSE)="Other",IF(VLOOKUP(tbMoveset!A20,tbMoveset!A2:I112,9,FALSE)="Fire",Backdoors!BB20,IF(VLOOKUP(tbMoveset!A20,tbMoveset!A2:I112,9,FALSE)="Water",Backdoors!BC20,IF(VLOOKUP(tbMoveset!A20,tbMoveset!A2:I112,9,FALSE)="Thunder",Backdoors!BD20,IF(VLOOKUP(tbMoveset!A20,tbMoveset!A2:I112,9,FALSE)="Ice",Backdoors!BE20,IF(VLOOKUP(tbMoveset!A20,tbMoveset!A2:I112,9,FALSE)="Dragon",Backdoors!BF20,Backdoors!BG20)))))/100,Backdoors!BG20/100),"")</f>
        <v>0</v>
      </c>
      <c r="DS20" s="49">
        <f>IFERROR(IF(VLOOKUP(A20,tbMoveset!A2:J112,10,FALSE)=TRUE,IF((Backdoors!AI12+IF(DQ20&gt;=0.45,VLOOKUP(Calculator!E23,tbSkills!DH3:DI6,2,FALSE)+IF(AND(Calculator!B8=TRUE,Backdoors!BI20=TRUE),VLOOKUP(Calculator!E23,tbSkills!DH3:DJ6,3,FALSE),0),0))&gt;=0,1+(Backdoors!AL2*(IF((Backdoors!AI12+IF(DQ20&gt;=0.45,VLOOKUP(Calculator!E23,tbSkills!DH3:DI6,2,FALSE)+IF(AND(Calculator!B8=TRUE,Backdoors!BI20=TRUE),VLOOKUP(Calculator!E23,tbSkills!DH3:DJ6,3,FALSE),0),0))&gt;=100,100,(Backdoors!AI12+IF(DQ20&gt;=0.45,VLOOKUP(Calculator!E23,tbSkills!DH3:DI6,2,FALSE)+IF(AND(Calculator!B8=TRUE,Backdoors!BI20=TRUE),VLOOKUP(Calculator!E23,tbSkills!DH3:DJ6,3,FALSE),0),0)))/100)),(1-(0.25*((-Backdoors!AI12-IF(DQ20&gt;=0.45,VLOOKUP(Calculator!E23,tbSkills!DH3:DI6,2,FALSE)+IF(AND(Calculator!B8=TRUE,Backdoors!BI20=TRUE),VLOOKUP(Calculator!E23,tbSkills!DH3:DJ6,3,FALSE),0),0))/100)))),1),"")</f>
        <v>1</v>
      </c>
      <c r="DT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Q20)*DS20)*(VLOOKUP(A20,tbMoveset!A2:C112,3,FALSE)/100)*IF(VLOOKUP(A20,tbMoveset!A2:B112,2,FALSE)="Projectile",Backdoors!N10,Backdoors!N9),0),"")</f>
        <v/>
      </c>
      <c r="DU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Q20&gt;=0.45,VLOOKUP(Calculator!E23,tbSkills!DH3:DI6,2,FALSE)+IF(AND(Calculator!B8=TRUE,Backdoors!BI20=TRUE),VLOOKUP(Calculator!E23,tbSkills!DH3:DJ6,3,FALSE),0),0))&gt;=100,100,(Backdoors!AI12+IF(DQ20&gt;=0.45,VLOOKUP(Calculator!E23,tbSkills!DH3:DI6,2,FALSE)+IF(AND(Calculator!B8=TRUE,Backdoors!BI20=TRUE),VLOOKUP(Calculator!E23,tbSkills!DH3:DJ6,3,FALSE),0),0)))/100)),1))*IF(VLOOKUP(A20,tbMoveset!A2:K112,11,FALSE)=TRUE,Backdoors!AC5,1))*DR20,0),"")</f>
        <v>0</v>
      </c>
      <c r="DV20" s="49">
        <f>VLOOKUP(A20,tbMoveset!A2:G112,7,FALSE)*IFERROR(IF(Backdoors!AI12&gt;=0,1+(IF(Calculator!E40&gt;0,VLOOKUP(Calculator!E40,tbSkills!AI3:AJ5,2,FALSE),Backdoors!AL4)*(IF((Backdoors!AI12+IF(DQ20&gt;=0.45,VLOOKUP(Calculator!E23,tbSkills!DH3:DI6,2,FALSE)+IF(AND(Calculator!B8=TRUE,Backdoors!BI20=TRUE),VLOOKUP(Calculator!E23,tbSkills!DH3:DJ6,3,FALSE),0),0))&gt;=100,100,(Backdoors!AI12+IF(DQ20&gt;=0.45,VLOOKUP(Calculator!E23,tbSkills!DH3:DI6,2,FALSE)+IF(AND(Calculator!B8=TRUE,Backdoors!BI20=TRUE),VLOOKUP(Calculator!E23,tbSkills!DH3:DJ6,3,FALSE),0),0)))/100)),1),1)</f>
        <v>0.5</v>
      </c>
      <c r="DW20" s="87">
        <f t="shared" si="10"/>
        <v>0</v>
      </c>
      <c r="DX20" s="86" t="str">
        <f>IFERROR(IF(VLOOKUP(A20,tbMoveset!A2:B112,2,FALSE)="Sever",Backdoors!AY21/100,IF(VLOOKUP(A20,tbMoveset!A2:B112,2,FALSE)="Blunt",Backdoors!AZ21/100,Backdoors!BA21/100)),"")</f>
        <v/>
      </c>
      <c r="DY20" s="49">
        <f>IFERROR(IF(VLOOKUP(tbMoveset!A20,tbMoveset!A2:H112,8,FALSE)="Other",IF(VLOOKUP(tbMoveset!A20,tbMoveset!A2:I112,9,FALSE)="Fire",Backdoors!BB21,IF(VLOOKUP(tbMoveset!A20,tbMoveset!A2:I112,9,FALSE)="Water",Backdoors!BC21,IF(VLOOKUP(tbMoveset!A20,tbMoveset!A2:I112,9,FALSE)="Thunder",Backdoors!BD21,IF(VLOOKUP(tbMoveset!A20,tbMoveset!A2:I112,9,FALSE)="Ice",Backdoors!BE21,IF(VLOOKUP(tbMoveset!A20,tbMoveset!A2:I112,9,FALSE)="Dragon",Backdoors!BF21,Backdoors!BG21)))))/100,Backdoors!BG21/100),"")</f>
        <v>0</v>
      </c>
      <c r="DZ20" s="49">
        <f>IFERROR(IF(VLOOKUP(A20,tbMoveset!A2:J112,10,FALSE)=TRUE,IF((Backdoors!AI12+IF(DX20&gt;=0.45,VLOOKUP(Calculator!E23,tbSkills!DH3:DI6,2,FALSE)+IF(AND(Calculator!B8=TRUE,Backdoors!BI21=TRUE),VLOOKUP(Calculator!E23,tbSkills!DH3:DJ6,3,FALSE),0),0))&gt;=0,1+(Backdoors!AL2*(IF((Backdoors!AI12+IF(DX20&gt;=0.45,VLOOKUP(Calculator!E23,tbSkills!DH3:DI6,2,FALSE)+IF(AND(Calculator!B8=TRUE,Backdoors!BI21=TRUE),VLOOKUP(Calculator!E23,tbSkills!DH3:DJ6,3,FALSE),0),0))&gt;=100,100,(Backdoors!AI12+IF(DX20&gt;=0.45,VLOOKUP(Calculator!E23,tbSkills!DH3:DI6,2,FALSE)+IF(AND(Calculator!B8=TRUE,Backdoors!BI21=TRUE),VLOOKUP(Calculator!E23,tbSkills!DH3:DJ6,3,FALSE),0),0)))/100)),(1-(0.25*((-Backdoors!AI12-IF(DX20&gt;=0.45,VLOOKUP(Calculator!E23,tbSkills!DH3:DI6,2,FALSE)+IF(AND(Calculator!B8=TRUE,Backdoors!BI21=TRUE),VLOOKUP(Calculator!E23,tbSkills!DH3:DJ6,3,FALSE),0),0))/100)))),1),"")</f>
        <v>1</v>
      </c>
      <c r="EA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X20)*DZ20)*(VLOOKUP(A20,tbMoveset!A2:C112,3,FALSE)/100)*IF(VLOOKUP(A20,tbMoveset!A2:B112,2,FALSE)="Projectile",Backdoors!N10,Backdoors!N9),0),"")</f>
        <v/>
      </c>
      <c r="EB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X20&gt;=0.45,VLOOKUP(Calculator!E23,tbSkills!DH3:DI6,2,FALSE)+IF(AND(Calculator!B8=TRUE,Backdoors!BI21=TRUE),VLOOKUP(Calculator!E23,tbSkills!DH3:DJ6,3,FALSE),0),0))&gt;=100,100,(Backdoors!AI12+IF(DX20&gt;=0.45,VLOOKUP(Calculator!E23,tbSkills!DH3:DI6,2,FALSE)+IF(AND(Calculator!B8=TRUE,Backdoors!BI21=TRUE),VLOOKUP(Calculator!E23,tbSkills!DH3:DJ6,3,FALSE),0),0)))/100)),1))*IF(VLOOKUP(A20,tbMoveset!A2:K112,11,FALSE)=TRUE,Backdoors!AC5,1))*DY20,0),"")</f>
        <v>0</v>
      </c>
      <c r="EC20" s="49">
        <f>VLOOKUP(A20,tbMoveset!A2:G112,7,FALSE)*IFERROR(IF(Backdoors!AI12&gt;=0,1+(IF(Calculator!E40&gt;0,VLOOKUP(Calculator!E40,tbSkills!AI3:AJ5,2,FALSE),Backdoors!AL4)*(IF((Backdoors!AI12+IF(DX20&gt;=0.45,VLOOKUP(Calculator!E23,tbSkills!DH3:DI6,2,FALSE)+IF(AND(Calculator!B8=TRUE,Backdoors!BI21=TRUE),VLOOKUP(Calculator!E23,tbSkills!DH3:DJ6,3,FALSE),0),0))&gt;=100,100,(Backdoors!AI12+IF(DX20&gt;=0.45,VLOOKUP(Calculator!E23,tbSkills!DH3:DI6,2,FALSE)+IF(AND(Calculator!B8=TRUE,Backdoors!BI21=TRUE),VLOOKUP(Calculator!E23,tbSkills!DH3:DJ6,3,FALSE),0),0)))/100)),1),1)</f>
        <v>0.5</v>
      </c>
      <c r="ED20" s="87">
        <f t="shared" si="11"/>
        <v>0</v>
      </c>
      <c r="EE20" s="86" t="str">
        <f>IFERROR(IF(VLOOKUP(A20,tbMoveset!A2:B112,2,FALSE)="Sever",Backdoors!AY22/100,IF(VLOOKUP(A20,tbMoveset!A2:B112,2,FALSE)="Blunt",Backdoors!AZ22/100,Backdoors!BA22/100)),"")</f>
        <v/>
      </c>
      <c r="EF20" s="49">
        <f>IFERROR(IF(VLOOKUP(tbMoveset!A20,tbMoveset!A2:H112,8,FALSE)="Other",IF(VLOOKUP(tbMoveset!A20,tbMoveset!A2:I112,9,FALSE)="Fire",Backdoors!BB22,IF(VLOOKUP(tbMoveset!A20,tbMoveset!A2:I112,9,FALSE)="Water",Backdoors!BC22,IF(VLOOKUP(tbMoveset!A20,tbMoveset!A2:I112,9,FALSE)="Thunder",Backdoors!BD22,IF(VLOOKUP(tbMoveset!A20,tbMoveset!A2:I112,9,FALSE)="Ice",Backdoors!BE22,IF(VLOOKUP(tbMoveset!A20,tbMoveset!A2:I112,9,FALSE)="Dragon",Backdoors!BF22,Backdoors!BG22)))))/100,Backdoors!BG22/100),"")</f>
        <v>0</v>
      </c>
      <c r="EG20" s="49">
        <f>IFERROR(IF(VLOOKUP(A20,tbMoveset!A2:J112,10,FALSE)=TRUE,IF((Backdoors!AI12+IF(EE20&gt;=0.45,VLOOKUP(Calculator!E23,tbSkills!DH3:DI6,2,FALSE)+IF(AND(Calculator!B8=TRUE,Backdoors!BI22=TRUE),VLOOKUP(Calculator!E23,tbSkills!DH3:DJ6,3,FALSE),0),0))&gt;=0,1+(Backdoors!AL2*(IF((Backdoors!AI12+IF(EE20&gt;=0.45,VLOOKUP(Calculator!E23,tbSkills!DH3:DI6,2,FALSE)+IF(AND(Calculator!B8=TRUE,Backdoors!BI22=TRUE),VLOOKUP(Calculator!E23,tbSkills!DH3:DJ6,3,FALSE),0),0))&gt;=100,100,(Backdoors!AI12+IF(EE20&gt;=0.45,VLOOKUP(Calculator!E23,tbSkills!DH3:DI6,2,FALSE)+IF(AND(Calculator!B8=TRUE,Backdoors!BI22=TRUE),VLOOKUP(Calculator!E23,tbSkills!DH3:DJ6,3,FALSE),0),0)))/100)),(1-(0.25*((-Backdoors!AI12-IF(EE20&gt;=0.45,VLOOKUP(Calculator!E23,tbSkills!DH3:DI6,2,FALSE)+IF(AND(Calculator!B8=TRUE,Backdoors!BI22=TRUE),VLOOKUP(Calculator!E23,tbSkills!DH3:DJ6,3,FALSE),0),0))/100)))),1),"")</f>
        <v>1</v>
      </c>
      <c r="EH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E20)*EG20)*(VLOOKUP(A20,tbMoveset!A2:C112,3,FALSE)/100)*IF(VLOOKUP(A20,tbMoveset!A2:B112,2,FALSE)="Projectile",Backdoors!N10,Backdoors!N9),0),"")</f>
        <v/>
      </c>
      <c r="EI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E20&gt;=0.45,VLOOKUP(Calculator!E23,tbSkills!DH3:DI6,2,FALSE)+IF(AND(Calculator!B8=TRUE,Backdoors!BI22=TRUE),VLOOKUP(Calculator!E23,tbSkills!DH3:DJ6,3,FALSE),0),0))&gt;=100,100,(Backdoors!AI12+IF(EE20&gt;=0.45,VLOOKUP(Calculator!E23,tbSkills!DH3:DI6,2,FALSE)+IF(AND(Calculator!B8=TRUE,Backdoors!BI22=TRUE),VLOOKUP(Calculator!E23,tbSkills!DH3:DJ6,3,FALSE),0),0)))/100)),1))*IF(VLOOKUP(A20,tbMoveset!A2:K112,11,FALSE)=TRUE,Backdoors!AC5,1))*EF20,0),"")</f>
        <v>0</v>
      </c>
      <c r="EJ20" s="49">
        <f>VLOOKUP(A20,tbMoveset!A2:G112,7,FALSE)*IFERROR(IF(Backdoors!AI12&gt;=0,1+(IF(Calculator!E40&gt;0,VLOOKUP(Calculator!E40,tbSkills!AI3:AJ5,2,FALSE),Backdoors!AL4)*(IF((Backdoors!AI12+IF(EE20&gt;=0.45,VLOOKUP(Calculator!E23,tbSkills!DH3:DI6,2,FALSE)+IF(AND(Calculator!B8=TRUE,Backdoors!BI22=TRUE),VLOOKUP(Calculator!E23,tbSkills!DH3:DJ6,3,FALSE),0),0))&gt;=100,100,(Backdoors!AI12+IF(EE20&gt;=0.45,VLOOKUP(Calculator!E23,tbSkills!DH3:DI6,2,FALSE)+IF(AND(Calculator!B8=TRUE,Backdoors!BI22=TRUE),VLOOKUP(Calculator!E23,tbSkills!DH3:DJ6,3,FALSE),0),0)))/100)),1),1)</f>
        <v>0.5</v>
      </c>
      <c r="EK20" s="87">
        <f t="shared" si="12"/>
        <v>0</v>
      </c>
      <c r="EL20" s="86" t="str">
        <f>IFERROR(IF(VLOOKUP(A20,tbMoveset!A2:B112,2,FALSE)="Sever",Backdoors!AY23/100,IF(VLOOKUP(A20,tbMoveset!A2:B112,2,FALSE)="Blunt",Backdoors!AZ23/100,Backdoors!BA23/100)),"")</f>
        <v/>
      </c>
      <c r="EM20" s="49">
        <f>IFERROR(IF(VLOOKUP(tbMoveset!A20,tbMoveset!A2:H112,8,FALSE)="Other",IF(VLOOKUP(tbMoveset!A20,tbMoveset!A2:I112,9,FALSE)="Fire",Backdoors!BB23,IF(VLOOKUP(tbMoveset!A20,tbMoveset!A2:I112,9,FALSE)="Water",Backdoors!BC23,IF(VLOOKUP(tbMoveset!A20,tbMoveset!A2:I112,9,FALSE)="Thunder",Backdoors!BD23,IF(VLOOKUP(tbMoveset!A20,tbMoveset!A2:I112,9,FALSE)="Ice",Backdoors!BE23,IF(VLOOKUP(tbMoveset!A20,tbMoveset!A2:I112,9,FALSE)="Dragon",Backdoors!BF23,Backdoors!BG23)))))/100,Backdoors!BG23/100),"")</f>
        <v>0</v>
      </c>
      <c r="EN20" s="49">
        <f>IFERROR(IF(VLOOKUP(A20,tbMoveset!A2:J112,10,FALSE)=TRUE,IF((Backdoors!AI12+IF(EL20&gt;=0.45,VLOOKUP(Calculator!E23,tbSkills!DH3:DI6,2,FALSE)+IF(AND(Calculator!B8=TRUE,Backdoors!BI23=TRUE),VLOOKUP(Calculator!E23,tbSkills!DH3:DJ6,3,FALSE),0),0))&gt;=0,1+(Backdoors!AL2*(IF((Backdoors!AI12+IF(EL20&gt;=0.45,VLOOKUP(Calculator!E23,tbSkills!DH3:DI6,2,FALSE)+IF(AND(Calculator!B8=TRUE,Backdoors!BI23=TRUE),VLOOKUP(Calculator!E23,tbSkills!DH3:DJ6,3,FALSE),0),0))&gt;=100,100,(Backdoors!AI12+IF(EL20&gt;=0.45,VLOOKUP(Calculator!E23,tbSkills!DH3:DI6,2,FALSE)+IF(AND(Calculator!B8=TRUE,Backdoors!BI23=TRUE),VLOOKUP(Calculator!E23,tbSkills!DH3:DJ6,3,FALSE),0),0)))/100)),(1-(0.25*((-Backdoors!AI12-IF(EL20&gt;=0.45,VLOOKUP(Calculator!E23,tbSkills!DH3:DI6,2,FALSE)+IF(AND(Calculator!B8=TRUE,Backdoors!BI23=TRUE),VLOOKUP(Calculator!E23,tbSkills!DH3:DJ6,3,FALSE),0),0))/100)))),1),"")</f>
        <v>1</v>
      </c>
      <c r="EO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L20)*EN20)*(VLOOKUP(A20,tbMoveset!A2:C112,3,FALSE)/100)*IF(VLOOKUP(A20,tbMoveset!A2:B112,2,FALSE)="Projectile",Backdoors!N10,Backdoors!N9),0),"")</f>
        <v/>
      </c>
      <c r="EP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L20&gt;=0.45,VLOOKUP(Calculator!E23,tbSkills!DH3:DI6,2,FALSE)+IF(AND(Calculator!B8=TRUE,Backdoors!BI23=TRUE),VLOOKUP(Calculator!E23,tbSkills!DH3:DJ6,3,FALSE),0),0))&gt;=100,100,(Backdoors!AI12+IF(EL20&gt;=0.45,VLOOKUP(Calculator!E23,tbSkills!DH3:DI6,2,FALSE)+IF(AND(Calculator!B8=TRUE,Backdoors!BI23=TRUE),VLOOKUP(Calculator!E23,tbSkills!DH3:DJ6,3,FALSE),0),0)))/100)),1))*IF(VLOOKUP(A20,tbMoveset!A2:K112,11,FALSE)=TRUE,Backdoors!AC5,1))*EM20,0),"")</f>
        <v>0</v>
      </c>
      <c r="EQ20" s="49">
        <f>VLOOKUP(A20,tbMoveset!A2:G112,7,FALSE)*IFERROR(IF(Backdoors!AI12&gt;=0,1+(IF(Calculator!E40&gt;0,VLOOKUP(Calculator!E40,tbSkills!AI3:AJ5,2,FALSE),Backdoors!AL4)*(IF((Backdoors!AI12+IF(EL20&gt;=0.45,VLOOKUP(Calculator!E23,tbSkills!DH3:DI6,2,FALSE)+IF(AND(Calculator!B8=TRUE,Backdoors!BI23=TRUE),VLOOKUP(Calculator!E23,tbSkills!DH3:DJ6,3,FALSE),0),0))&gt;=100,100,(Backdoors!AI12+IF(EL20&gt;=0.45,VLOOKUP(Calculator!E23,tbSkills!DH3:DI6,2,FALSE)+IF(AND(Calculator!B8=TRUE,Backdoors!BI23=TRUE),VLOOKUP(Calculator!E23,tbSkills!DH3:DJ6,3,FALSE),0),0)))/100)),1),1)</f>
        <v>0.5</v>
      </c>
      <c r="ER20" s="87">
        <f t="shared" si="13"/>
        <v>0</v>
      </c>
      <c r="ES20" s="86" t="str">
        <f>IFERROR(IF(VLOOKUP(A20,tbMoveset!A2:B112,2,FALSE)="Sever",Backdoors!AY24/100,IF(VLOOKUP(A20,tbMoveset!A2:B112,2,FALSE)="Blunt",Backdoors!AZ24/100,Backdoors!BA24/100)),"")</f>
        <v/>
      </c>
      <c r="ET20" s="49">
        <f>IFERROR(IF(VLOOKUP(tbMoveset!A20,tbMoveset!A2:H112,8,FALSE)="Other",IF(VLOOKUP(tbMoveset!A20,tbMoveset!A2:I112,9,FALSE)="Fire",Backdoors!BB24,IF(VLOOKUP(tbMoveset!A20,tbMoveset!A2:I112,9,FALSE)="Water",Backdoors!BC24,IF(VLOOKUP(tbMoveset!A20,tbMoveset!A2:I112,9,FALSE)="Thunder",Backdoors!BD24,IF(VLOOKUP(tbMoveset!A20,tbMoveset!A2:I112,9,FALSE)="Ice",Backdoors!BE24,IF(VLOOKUP(tbMoveset!A20,tbMoveset!A2:I112,9,FALSE)="Dragon",Backdoors!BF24,Backdoors!BG24)))))/100,Backdoors!BG24/100),"")</f>
        <v>0</v>
      </c>
      <c r="EU20" s="49">
        <f>IFERROR(IF(VLOOKUP(A20,tbMoveset!A2:J112,10,FALSE)=TRUE,IF((Backdoors!AI12+IF(ES20&gt;=0.45,VLOOKUP(Calculator!E23,tbSkills!DH3:DI6,2,FALSE)+IF(AND(Calculator!B8=TRUE,Backdoors!BI24=TRUE),VLOOKUP(Calculator!E23,tbSkills!DH3:DJ6,3,FALSE),0),0))&gt;=0,1+(Backdoors!AL2*(IF((Backdoors!AI12+IF(ES20&gt;=0.45,VLOOKUP(Calculator!E23,tbSkills!DH3:DI6,2,FALSE)+IF(AND(Calculator!B8=TRUE,Backdoors!BI24=TRUE),VLOOKUP(Calculator!E23,tbSkills!DH3:DJ6,3,FALSE),0),0))&gt;=100,100,(Backdoors!AI12+IF(ES20&gt;=0.45,VLOOKUP(Calculator!E23,tbSkills!DH3:DI6,2,FALSE)+IF(AND(Calculator!B8=TRUE,Backdoors!BI24=TRUE),VLOOKUP(Calculator!E23,tbSkills!DH3:DJ6,3,FALSE),0),0)))/100)),(1-(0.25*((-Backdoors!AI12-IF(ES20&gt;=0.45,VLOOKUP(Calculator!E23,tbSkills!DH3:DI6,2,FALSE)+IF(AND(Calculator!B8=TRUE,Backdoors!BI24=TRUE),VLOOKUP(Calculator!E23,tbSkills!DH3:DJ6,3,FALSE),0),0))/100)))),1),"")</f>
        <v>1</v>
      </c>
      <c r="EV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S20)*EU20)*(VLOOKUP(A20,tbMoveset!A2:C112,3,FALSE)/100)*IF(VLOOKUP(A20,tbMoveset!A2:B112,2,FALSE)="Projectile",Backdoors!N10,Backdoors!N9),0),"")</f>
        <v/>
      </c>
      <c r="EW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S20&gt;=0.45,VLOOKUP(Calculator!E23,tbSkills!DH3:DI6,2,FALSE)+IF(AND(Calculator!B8=TRUE,Backdoors!BI24=TRUE),VLOOKUP(Calculator!E23,tbSkills!DH3:DJ6,3,FALSE),0),0))&gt;=100,100,(Backdoors!AI12+IF(ES20&gt;=0.45,VLOOKUP(Calculator!E23,tbSkills!DH3:DI6,2,FALSE)+IF(AND(Calculator!B8=TRUE,Backdoors!BI24=TRUE),VLOOKUP(Calculator!E23,tbSkills!DH3:DJ6,3,FALSE),0),0)))/100)),1))*IF(VLOOKUP(A20,tbMoveset!A2:K112,11,FALSE)=TRUE,Backdoors!AC5,1))*ET20,0),"")</f>
        <v>0</v>
      </c>
      <c r="EX20" s="49">
        <f>VLOOKUP(A20,tbMoveset!A2:G112,7,FALSE)*IFERROR(IF(Backdoors!AI12&gt;=0,1+(IF(Calculator!E40&gt;0,VLOOKUP(Calculator!E40,tbSkills!AI3:AJ5,2,FALSE),Backdoors!AL4)*(IF((Backdoors!AI12+IF(ES20&gt;=0.45,VLOOKUP(Calculator!E23,tbSkills!DH3:DI6,2,FALSE)+IF(AND(Calculator!B8=TRUE,Backdoors!BI24=TRUE),VLOOKUP(Calculator!E23,tbSkills!DH3:DJ6,3,FALSE),0),0))&gt;=100,100,(Backdoors!AI12+IF(ES20&gt;=0.45,VLOOKUP(Calculator!E23,tbSkills!DH3:DI6,2,FALSE)+IF(AND(Calculator!B8=TRUE,Backdoors!BI24=TRUE),VLOOKUP(Calculator!E23,tbSkills!DH3:DJ6,3,FALSE),0),0)))/100)),1),1)</f>
        <v>0.5</v>
      </c>
      <c r="EY20" s="87">
        <f t="shared" si="14"/>
        <v>0</v>
      </c>
      <c r="EZ20" s="86" t="str">
        <f>IFERROR(IF(VLOOKUP(A20,tbMoveset!A2:B112,2,FALSE)="Sever",Backdoors!AY25/100,IF(VLOOKUP(A20,tbMoveset!A2:B112,2,FALSE)="Blunt",Backdoors!AZ25/100,Backdoors!BA25/100)),"")</f>
        <v/>
      </c>
      <c r="FA20" s="49">
        <f>IFERROR(IF(VLOOKUP(tbMoveset!A20,tbMoveset!A2:H112,8,FALSE)="Other",IF(VLOOKUP(tbMoveset!A20,tbMoveset!A2:I112,9,FALSE)="Fire",Backdoors!BB25,IF(VLOOKUP(tbMoveset!A20,tbMoveset!A2:I112,9,FALSE)="Water",Backdoors!BC25,IF(VLOOKUP(tbMoveset!A20,tbMoveset!A2:I112,9,FALSE)="Thunder",Backdoors!BD25,IF(VLOOKUP(tbMoveset!A20,tbMoveset!A2:I112,9,FALSE)="Ice",Backdoors!BE25,IF(VLOOKUP(tbMoveset!A20,tbMoveset!A2:I112,9,FALSE)="Dragon",Backdoors!BF25,Backdoors!BG25)))))/100,Backdoors!BG25/100),"")</f>
        <v>0</v>
      </c>
      <c r="FB20" s="49">
        <f>IFERROR(IF(VLOOKUP(A20,tbMoveset!A2:J112,10,FALSE)=TRUE,IF((Backdoors!AI12+IF(EZ20&gt;=0.45,VLOOKUP(Calculator!E23,tbSkills!DH3:DI6,2,FALSE)+IF(AND(Calculator!B8=TRUE,Backdoors!BI25=TRUE),VLOOKUP(Calculator!E23,tbSkills!DH3:DJ6,3,FALSE),0),0))&gt;=0,1+(Backdoors!AL2*(IF((Backdoors!AI12+IF(EZ20&gt;=0.45,VLOOKUP(Calculator!E23,tbSkills!DH3:DI6,2,FALSE)+IF(AND(Calculator!B8=TRUE,Backdoors!BI25=TRUE),VLOOKUP(Calculator!E23,tbSkills!DH3:DJ6,3,FALSE),0),0))&gt;=100,100,(Backdoors!AI12+IF(EZ20&gt;=0.45,VLOOKUP(Calculator!E23,tbSkills!DH3:DI6,2,FALSE)+IF(AND(Calculator!B8=TRUE,Backdoors!BI25=TRUE),VLOOKUP(Calculator!E23,tbSkills!DH3:DJ6,3,FALSE),0),0)))/100)),(1-(0.25*((-Backdoors!AI12-IF(EZ20&gt;=0.45,VLOOKUP(Calculator!E23,tbSkills!DH3:DI6,2,FALSE)+IF(AND(Calculator!B8=TRUE,Backdoors!BI25=TRUE),VLOOKUP(Calculator!E23,tbSkills!DH3:DJ6,3,FALSE),0),0))/100)))),1),"")</f>
        <v>1</v>
      </c>
      <c r="FC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Z20)*FB20)*(VLOOKUP(A20,tbMoveset!A2:C112,3,FALSE)/100)*IF(VLOOKUP(A20,tbMoveset!A2:B112,2,FALSE)="Projectile",Backdoors!N10,Backdoors!N9),0),"")</f>
        <v/>
      </c>
      <c r="FD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Z20&gt;=0.45,VLOOKUP(Calculator!E23,tbSkills!DH3:DI6,2,FALSE)+IF(AND(Calculator!B8=TRUE,Backdoors!BI25=TRUE),VLOOKUP(Calculator!E23,tbSkills!DH3:DJ6,3,FALSE),0),0))&gt;=100,100,(Backdoors!AI12+IF(EZ20&gt;=0.45,VLOOKUP(Calculator!E23,tbSkills!DH3:DI6,2,FALSE)+IF(AND(Calculator!B8=TRUE,Backdoors!BI25=TRUE),VLOOKUP(Calculator!E23,tbSkills!DH3:DJ6,3,FALSE),0),0)))/100)),1))*IF(VLOOKUP(A20,tbMoveset!A2:K112,11,FALSE)=TRUE,Backdoors!AC5,1))*FA20,0),"")</f>
        <v>0</v>
      </c>
      <c r="FE20" s="49">
        <f>VLOOKUP(A20,tbMoveset!A2:G112,7,FALSE)*IFERROR(IF(Backdoors!AI12&gt;=0,1+(IF(Calculator!E40&gt;0,VLOOKUP(Calculator!E40,tbSkills!AI3:AJ5,2,FALSE),Backdoors!AL4)*(IF((Backdoors!AI12+IF(EZ20&gt;=0.45,VLOOKUP(Calculator!E23,tbSkills!DH3:DI6,2,FALSE)+IF(AND(Calculator!B8=TRUE,Backdoors!BI25=TRUE),VLOOKUP(Calculator!E23,tbSkills!DH3:DJ6,3,FALSE),0),0))&gt;=100,100,(Backdoors!AI12+IF(EZ20&gt;=0.45,VLOOKUP(Calculator!E23,tbSkills!DH3:DI6,2,FALSE)+IF(AND(Calculator!B8=TRUE,Backdoors!BI25=TRUE),VLOOKUP(Calculator!E23,tbSkills!DH3:DJ6,3,FALSE),0),0)))/100)),1),1)</f>
        <v>0.5</v>
      </c>
      <c r="FF20" s="87">
        <f t="shared" si="15"/>
        <v>0</v>
      </c>
      <c r="FG20" s="86" t="str">
        <f>IFERROR(IF(VLOOKUP(A20,tbMoveset!A2:B112,2,FALSE)="Sever",Backdoors!AY26/100,IF(VLOOKUP(A20,tbMoveset!A2:B112,2,FALSE)="Blunt",Backdoors!AZ26/100,Backdoors!BA26/100)),"")</f>
        <v/>
      </c>
      <c r="FH20" s="49">
        <f>IFERROR(IF(VLOOKUP(tbMoveset!A20,tbMoveset!A2:H112,8,FALSE)="Other",IF(VLOOKUP(tbMoveset!A20,tbMoveset!A2:I112,9,FALSE)="Fire",Backdoors!BB26,IF(VLOOKUP(tbMoveset!A20,tbMoveset!A2:I112,9,FALSE)="Water",Backdoors!BC26,IF(VLOOKUP(tbMoveset!A20,tbMoveset!A2:I112,9,FALSE)="Thunder",Backdoors!BD26,IF(VLOOKUP(tbMoveset!A20,tbMoveset!A2:I112,9,FALSE)="Ice",Backdoors!BE26,IF(VLOOKUP(tbMoveset!A20,tbMoveset!A2:I112,9,FALSE)="Dragon",Backdoors!BF26,Backdoors!BG26)))))/100,Backdoors!BG26/100),"")</f>
        <v>0</v>
      </c>
      <c r="FI20" s="49">
        <f>IFERROR(IF(VLOOKUP(A20,tbMoveset!A2:J112,10,FALSE)=TRUE,IF((Backdoors!AI12+IF(FG20&gt;=0.45,VLOOKUP(Calculator!E23,tbSkills!DH3:DI6,2,FALSE)+IF(AND(Calculator!B8=TRUE,Backdoors!BI26=TRUE),VLOOKUP(Calculator!E23,tbSkills!DH3:DJ6,3,FALSE),0),0))&gt;=0,1+(Backdoors!AL2*(IF((Backdoors!AI12+IF(FG20&gt;=0.45,VLOOKUP(Calculator!E23,tbSkills!DH3:DI6,2,FALSE)+IF(AND(Calculator!B8=TRUE,Backdoors!BI26=TRUE),VLOOKUP(Calculator!E23,tbSkills!DH3:DJ6,3,FALSE),0),0))&gt;=100,100,(Backdoors!AI12+IF(FG20&gt;=0.45,VLOOKUP(Calculator!E23,tbSkills!DH3:DI6,2,FALSE)+IF(AND(Calculator!B8=TRUE,Backdoors!BI26=TRUE),VLOOKUP(Calculator!E23,tbSkills!DH3:DJ6,3,FALSE),0),0)))/100)),(1-(0.25*((-Backdoors!AI12-IF(FG20&gt;=0.45,VLOOKUP(Calculator!E23,tbSkills!DH3:DI6,2,FALSE)+IF(AND(Calculator!B8=TRUE,Backdoors!BI26=TRUE),VLOOKUP(Calculator!E23,tbSkills!DH3:DJ6,3,FALSE),0),0))/100)))),1),"")</f>
        <v>1</v>
      </c>
      <c r="FJ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FG20)*FI20)*(VLOOKUP(A20,tbMoveset!A2:C112,3,FALSE)/100)*IF(VLOOKUP(A20,tbMoveset!A2:B112,2,FALSE)="Projectile",Backdoors!N10,Backdoors!N9),0),"")</f>
        <v/>
      </c>
      <c r="FK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FG20&gt;=0.45,VLOOKUP(Calculator!E23,tbSkills!DH3:DI6,2,FALSE)+IF(AND(Calculator!B8=TRUE,Backdoors!BI26=TRUE),VLOOKUP(Calculator!E23,tbSkills!DH3:DJ6,3,FALSE),0),0))&gt;=100,100,(Backdoors!AI12+IF(FG20&gt;=0.45,VLOOKUP(Calculator!E23,tbSkills!DH3:DI6,2,FALSE)+IF(AND(Calculator!B8=TRUE,Backdoors!BI26=TRUE),VLOOKUP(Calculator!E23,tbSkills!DH3:DJ6,3,FALSE),0),0)))/100)),1))*IF(VLOOKUP(A20,tbMoveset!A2:K112,11,FALSE)=TRUE,Backdoors!AC5,1))*FH20,0),"")</f>
        <v>0</v>
      </c>
      <c r="FL20" s="49">
        <f>VLOOKUP(A20,tbMoveset!A2:G112,7,FALSE)*IFERROR(IF(Backdoors!AI12&gt;=0,1+(IF(Calculator!E40&gt;0,VLOOKUP(Calculator!E40,tbSkills!AI3:AJ5,2,FALSE),Backdoors!AL4)*(IF((Backdoors!AI12+IF(FG20&gt;=0.45,VLOOKUP(Calculator!E23,tbSkills!DH3:DI6,2,FALSE)+IF(AND(Calculator!B8=TRUE,Backdoors!BI26=TRUE),VLOOKUP(Calculator!E23,tbSkills!DH3:DJ6,3,FALSE),0),0))&gt;=100,100,(Backdoors!AI12+IF(FG20&gt;=0.45,VLOOKUP(Calculator!E23,tbSkills!DH3:DI6,2,FALSE)+IF(AND(Calculator!B8=TRUE,Backdoors!BI26=TRUE),VLOOKUP(Calculator!E23,tbSkills!DH3:DJ6,3,FALSE),0),0)))/100)),1),1)</f>
        <v>0.5</v>
      </c>
      <c r="FM20" s="87">
        <f t="shared" si="16"/>
        <v>0</v>
      </c>
      <c r="FN20" s="86" t="str">
        <f>IFERROR(IF(VLOOKUP(A20,tbMoveset!A2:B112,2,FALSE)="Sever",Backdoors!AY27/100,IF(VLOOKUP(A20,tbMoveset!A2:B112,2,FALSE)="Blunt",Backdoors!AZ27/100,Backdoors!BA27/100)),"")</f>
        <v/>
      </c>
      <c r="FO20" s="49">
        <f>IFERROR(IF(VLOOKUP(tbMoveset!A20,tbMoveset!A2:H112,8,FALSE)="Other",IF(VLOOKUP(tbMoveset!A20,tbMoveset!A2:I112,9,FALSE)="Fire",Backdoors!BB27,IF(VLOOKUP(tbMoveset!A20,tbMoveset!A2:I112,9,FALSE)="Water",Backdoors!BC27,IF(VLOOKUP(tbMoveset!A20,tbMoveset!A2:I112,9,FALSE)="Thunder",Backdoors!BD27,IF(VLOOKUP(tbMoveset!A20,tbMoveset!A2:I112,9,FALSE)="Ice",Backdoors!BE27,IF(VLOOKUP(tbMoveset!A20,tbMoveset!A2:I112,9,FALSE)="Dragon",Backdoors!BF27,Backdoors!BG27)))))/100,Backdoors!BG27/100),"")</f>
        <v>0</v>
      </c>
      <c r="FP20" s="49">
        <f>IFERROR(IF(VLOOKUP(A20,tbMoveset!A2:J112,10,FALSE)=TRUE,IF((Backdoors!AI12+IF(FN20&gt;=0.45,VLOOKUP(Calculator!E23,tbSkills!DH3:DI6,2,FALSE)+IF(AND(Calculator!B8=TRUE,Backdoors!BI27=TRUE),VLOOKUP(Calculator!E23,tbSkills!DH3:DJ6,3,FALSE),0),0))&gt;=0,1+(Backdoors!AL2*(IF((Backdoors!AI12+IF(FN20&gt;=0.45,VLOOKUP(Calculator!E23,tbSkills!DH3:DI6,2,FALSE)+IF(AND(Calculator!B8=TRUE,Backdoors!BI27=TRUE),VLOOKUP(Calculator!E23,tbSkills!DH3:DJ6,3,FALSE),0),0))&gt;=100,100,(Backdoors!AI12+IF(FN20&gt;=0.45,VLOOKUP(Calculator!E23,tbSkills!DH3:DI6,2,FALSE)+IF(AND(Calculator!B8=TRUE,Backdoors!BI27=TRUE),VLOOKUP(Calculator!E23,tbSkills!DH3:DJ6,3,FALSE),0),0)))/100)),(1-(0.25*((-Backdoors!AI12-IF(FN20&gt;=0.45,VLOOKUP(Calculator!E23,tbSkills!DH3:DI6,2,FALSE)+IF(AND(Calculator!B8=TRUE,Backdoors!BI27=TRUE),VLOOKUP(Calculator!E23,tbSkills!DH3:DJ6,3,FALSE),0),0))/100)))),1),"")</f>
        <v>1</v>
      </c>
      <c r="FQ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FN20)*FP20)*(VLOOKUP(A20,tbMoveset!A2:C112,3,FALSE)/100)*IF(VLOOKUP(A20,tbMoveset!A2:B112,2,FALSE)="Projectile",Backdoors!N10,Backdoors!N9),0),"")</f>
        <v/>
      </c>
      <c r="FR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FN20&gt;=0.45,VLOOKUP(Calculator!E23,tbSkills!DH3:DI6,2,FALSE)+IF(AND(Calculator!B8=TRUE,Backdoors!BI27=TRUE),VLOOKUP(Calculator!E23,tbSkills!DH3:DJ6,3,FALSE),0),0))&gt;=100,100,(Backdoors!AI12+IF(FN20&gt;=0.45,VLOOKUP(Calculator!E23,tbSkills!DH3:DI6,2,FALSE)+IF(AND(Calculator!B8=TRUE,Backdoors!BI27=TRUE),VLOOKUP(Calculator!E23,tbSkills!DH3:DJ6,3,FALSE),0),0)))/100)),1))*IF(VLOOKUP(A20,tbMoveset!A2:K112,11,FALSE)=TRUE,Backdoors!AC5,1))*FO20,0),"")</f>
        <v>0</v>
      </c>
      <c r="FS20" s="49">
        <f>VLOOKUP(A20,tbMoveset!A2:G112,7,FALSE)*IFERROR(IF(Backdoors!AI12&gt;=0,1+(IF(Calculator!E40&gt;0,VLOOKUP(Calculator!E40,tbSkills!AI3:AJ5,2,FALSE),Backdoors!AL4)*(IF((Backdoors!AI12+IF(FN20&gt;=0.45,VLOOKUP(Calculator!E23,tbSkills!DH3:DI6,2,FALSE)+IF(AND(Calculator!B8=TRUE,Backdoors!BI27=TRUE),VLOOKUP(Calculator!E23,tbSkills!DH3:DJ6,3,FALSE),0),0))&gt;=100,100,(Backdoors!AI12+IF(FN20&gt;=0.45,VLOOKUP(Calculator!E23,tbSkills!DH3:DI6,2,FALSE)+IF(AND(Calculator!B8=TRUE,Backdoors!BI27=TRUE),VLOOKUP(Calculator!E23,tbSkills!DH3:DJ6,3,FALSE),0),0)))/100)),1),1)</f>
        <v>0.5</v>
      </c>
      <c r="FT20" s="87">
        <f t="shared" si="17"/>
        <v>0</v>
      </c>
      <c r="FU20" s="86" t="str">
        <f>IFERROR(IF(VLOOKUP(A20,tbMoveset!A2:B112,2,FALSE)="Sever",Backdoors!AY28/100,IF(VLOOKUP(A20,tbMoveset!A2:B112,2,FALSE)="Blunt",Backdoors!AZ28/100,Backdoors!BA28/100)),"")</f>
        <v/>
      </c>
      <c r="FV20" s="49">
        <f>IFERROR(IF(VLOOKUP(tbMoveset!A20,tbMoveset!A2:H112,8,FALSE)="Other",IF(VLOOKUP(tbMoveset!A20,tbMoveset!A2:I112,9,FALSE)="Fire",Backdoors!BB28,IF(VLOOKUP(tbMoveset!A20,tbMoveset!A2:I112,9,FALSE)="Water",Backdoors!BC28,IF(VLOOKUP(tbMoveset!A20,tbMoveset!A2:I112,9,FALSE)="Thunder",Backdoors!BD28,IF(VLOOKUP(tbMoveset!A20,tbMoveset!A2:I112,9,FALSE)="Ice",Backdoors!BE28,IF(VLOOKUP(tbMoveset!A20,tbMoveset!A2:I112,9,FALSE)="Dragon",Backdoors!BF28,Backdoors!BG28)))))/100,Backdoors!BG28/100),"")</f>
        <v>0</v>
      </c>
      <c r="FW20" s="49">
        <f>IFERROR(IF(VLOOKUP(A20,tbMoveset!A2:J112,10,FALSE)=TRUE,IF((Backdoors!AI12+IF(FU20&gt;=0.45,VLOOKUP(Calculator!E23,tbSkills!DH3:DI6,2,FALSE)+IF(AND(Calculator!B8=TRUE,Backdoors!BI28=TRUE),VLOOKUP(Calculator!E23,tbSkills!DH3:DJ6,3,FALSE),0),0))&gt;=0,1+(Backdoors!AL2*(IF((Backdoors!AI12+IF(FU20&gt;=0.45,VLOOKUP(Calculator!E23,tbSkills!DH3:DI6,2,FALSE)+IF(AND(Calculator!B8=TRUE,Backdoors!BI28=TRUE),VLOOKUP(Calculator!E23,tbSkills!DH3:DJ6,3,FALSE),0),0))&gt;=100,100,(Backdoors!AI12+IF(FU20&gt;=0.45,VLOOKUP(Calculator!E23,tbSkills!DH3:DI6,2,FALSE)+IF(AND(Calculator!B8=TRUE,Backdoors!BI28=TRUE),VLOOKUP(Calculator!E23,tbSkills!DH3:DJ6,3,FALSE),0),0)))/100)),(1-(0.25*((-Backdoors!AI12-IF(FU20&gt;=0.45,VLOOKUP(Calculator!E23,tbSkills!DH3:DI6,2,FALSE)+IF(AND(Calculator!B8=TRUE,Backdoors!BI28=TRUE),VLOOKUP(Calculator!E23,tbSkills!DH3:DJ6,3,FALSE),0),0))/100)))),1),"")</f>
        <v>1</v>
      </c>
      <c r="FX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FU20)*FW20)*(VLOOKUP(A20,tbMoveset!A2:C112,3,FALSE)/100)*IF(VLOOKUP(A20,tbMoveset!A2:B112,2,FALSE)="Projectile",Backdoors!N10,Backdoors!N9),0),"")</f>
        <v/>
      </c>
      <c r="FY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FU20&gt;=0.45,VLOOKUP(Calculator!E23,tbSkills!DH3:DI6,2,FALSE)+IF(AND(Calculator!B8=TRUE,Backdoors!BI28=TRUE),VLOOKUP(Calculator!E23,tbSkills!DH3:DJ6,3,FALSE),0),0))&gt;=100,100,(Backdoors!AI12+IF(FU20&gt;=0.45,VLOOKUP(Calculator!E23,tbSkills!DH3:DI6,2,FALSE)+IF(AND(Calculator!B8=TRUE,Backdoors!BI28=TRUE),VLOOKUP(Calculator!E23,tbSkills!DH3:DJ6,3,FALSE),0),0)))/100)),1))*IF(VLOOKUP(A20,tbMoveset!A2:K112,11,FALSE)=TRUE,Backdoors!AC5,1))*FV20,0),"")</f>
        <v>0</v>
      </c>
      <c r="FZ20" s="49">
        <f>VLOOKUP(A20,tbMoveset!A2:G112,7,FALSE)*IFERROR(IF(Backdoors!AI12&gt;=0,1+(IF(Calculator!E40&gt;0,VLOOKUP(Calculator!E40,tbSkills!AI3:AJ5,2,FALSE),Backdoors!AL4)*(IF((Backdoors!AI12+IF(FU20&gt;=0.45,VLOOKUP(Calculator!E23,tbSkills!DH3:DI6,2,FALSE)+IF(AND(Calculator!B8=TRUE,Backdoors!BI28=TRUE),VLOOKUP(Calculator!E23,tbSkills!DH3:DJ6,3,FALSE),0),0))&gt;=100,100,(Backdoors!AI12+IF(FU20&gt;=0.45,VLOOKUP(Calculator!E23,tbSkills!DH3:DI6,2,FALSE)+IF(AND(Calculator!B8=TRUE,Backdoors!BI28=TRUE),VLOOKUP(Calculator!E23,tbSkills!DH3:DJ6,3,FALSE),0),0)))/100)),1),1)</f>
        <v>0.5</v>
      </c>
      <c r="GA20" s="87">
        <f t="shared" si="18"/>
        <v>0</v>
      </c>
      <c r="GB20" s="86" t="str">
        <f>IFERROR(IF(VLOOKUP(A20,tbMoveset!A2:B112,2,FALSE)="Sever",Backdoors!AY29/100,IF(VLOOKUP(A20,tbMoveset!A2:B112,2,FALSE)="Blunt",Backdoors!AZ29/100,Backdoors!BA29/100)),"")</f>
        <v/>
      </c>
      <c r="GC20" s="49">
        <f>IFERROR(IF(VLOOKUP(tbMoveset!A20,tbMoveset!A2:H112,8,FALSE)="Other",IF(VLOOKUP(tbMoveset!A20,tbMoveset!A2:I112,9,FALSE)="Fire",Backdoors!BB29,IF(VLOOKUP(tbMoveset!A20,tbMoveset!A2:I112,9,FALSE)="Water",Backdoors!BC29,IF(VLOOKUP(tbMoveset!A20,tbMoveset!A2:I112,9,FALSE)="Thunder",Backdoors!BD29,IF(VLOOKUP(tbMoveset!A20,tbMoveset!A2:I112,9,FALSE)="Ice",Backdoors!BE29,IF(VLOOKUP(tbMoveset!A20,tbMoveset!A2:I112,9,FALSE)="Dragon",Backdoors!BF29,Backdoors!BG29)))))/100,Backdoors!BG29/100),"")</f>
        <v>0</v>
      </c>
      <c r="GD20" s="49">
        <f>IFERROR(IF(VLOOKUP(A20,tbMoveset!A2:J112,10,FALSE)=TRUE,IF((Backdoors!AI12+IF(GB20&gt;=0.45,VLOOKUP(Calculator!E23,tbSkills!DH3:DI6,2,FALSE)+IF(AND(Calculator!B8=TRUE,Backdoors!BI29=TRUE),VLOOKUP(Calculator!E23,tbSkills!DH3:DJ6,3,FALSE),0),0))&gt;=0,1+(Backdoors!AL2*(IF((Backdoors!AI12+IF(GB20&gt;=0.45,VLOOKUP(Calculator!E23,tbSkills!DH3:DI6,2,FALSE)+IF(AND(Calculator!B8=TRUE,Backdoors!BI29=TRUE),VLOOKUP(Calculator!E23,tbSkills!DH3:DJ6,3,FALSE),0),0))&gt;=100,100,(Backdoors!AI12+IF(GB20&gt;=0.45,VLOOKUP(Calculator!E23,tbSkills!DH3:DI6,2,FALSE)+IF(AND(Calculator!B8=TRUE,Backdoors!BI29=TRUE),VLOOKUP(Calculator!E23,tbSkills!DH3:DJ6,3,FALSE),0),0)))/100)),(1-(0.25*((-Backdoors!AI12-IF(GB20&gt;=0.45,VLOOKUP(Calculator!E23,tbSkills!DH3:DI6,2,FALSE)+IF(AND(Calculator!B8=TRUE,Backdoors!BI29=TRUE),VLOOKUP(Calculator!E23,tbSkills!DH3:DJ6,3,FALSE),0),0))/100)))),1),"")</f>
        <v>1</v>
      </c>
      <c r="GE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B20)*GD20)*(VLOOKUP(A20,tbMoveset!A2:C112,3,FALSE)/100)*IF(VLOOKUP(A20,tbMoveset!A2:B112,2,FALSE)="Projectile",Backdoors!N10,Backdoors!N9),0),"")</f>
        <v/>
      </c>
      <c r="GF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B20&gt;=0.45,VLOOKUP(Calculator!E23,tbSkills!DH3:DI6,2,FALSE)+IF(AND(Calculator!B8=TRUE,Backdoors!BI29=TRUE),VLOOKUP(Calculator!E23,tbSkills!DH3:DJ6,3,FALSE),0),0))&gt;=100,100,(Backdoors!AI12+IF(GB20&gt;=0.45,VLOOKUP(Calculator!E23,tbSkills!DH3:DI6,2,FALSE)+IF(AND(Calculator!B8=TRUE,Backdoors!BI29=TRUE),VLOOKUP(Calculator!E23,tbSkills!DH3:DJ6,3,FALSE),0),0)))/100)),1))*IF(VLOOKUP(A20,tbMoveset!A2:K112,11,FALSE)=TRUE,Backdoors!AC5,1))*GC20,0),"")</f>
        <v>0</v>
      </c>
      <c r="GG20" s="49">
        <f>VLOOKUP(A20,tbMoveset!A2:G112,7,FALSE)*IFERROR(IF(Backdoors!AI12&gt;=0,1+(IF(Calculator!E40&gt;0,VLOOKUP(Calculator!E40,tbSkills!AI3:AJ5,2,FALSE),Backdoors!AL4)*(IF((Backdoors!AI12+IF(GB20&gt;=0.45,VLOOKUP(Calculator!E23,tbSkills!DH3:DI6,2,FALSE)+IF(AND(Calculator!B8=TRUE,Backdoors!BI29=TRUE),VLOOKUP(Calculator!E23,tbSkills!DH3:DJ6,3,FALSE),0),0))&gt;=100,100,(Backdoors!AI12+IF(GB20&gt;=0.45,VLOOKUP(Calculator!E23,tbSkills!DH3:DI6,2,FALSE)+IF(AND(Calculator!B8=TRUE,Backdoors!BI29=TRUE),VLOOKUP(Calculator!E23,tbSkills!DH3:DJ6,3,FALSE),0),0)))/100)),1),1)</f>
        <v>0.5</v>
      </c>
      <c r="GH20" s="87">
        <f t="shared" si="19"/>
        <v>0</v>
      </c>
      <c r="GI20" s="86" t="str">
        <f>IFERROR(IF(VLOOKUP(A20,tbMoveset!A2:B112,2,FALSE)="Sever",Backdoors!AY30/100,IF(VLOOKUP(A20,tbMoveset!A2:B112,2,FALSE)="Blunt",Backdoors!AZ30/100,Backdoors!BA30/100)),"")</f>
        <v/>
      </c>
      <c r="GJ20" s="49">
        <f>IFERROR(IF(VLOOKUP(tbMoveset!A20,tbMoveset!A2:H112,8,FALSE)="Other",IF(VLOOKUP(tbMoveset!A20,tbMoveset!A2:I112,9,FALSE)="Fire",Backdoors!BB30,IF(VLOOKUP(tbMoveset!A20,tbMoveset!A2:I112,9,FALSE)="Water",Backdoors!BC30,IF(VLOOKUP(tbMoveset!A20,tbMoveset!A2:I112,9,FALSE)="Thunder",Backdoors!BD30,IF(VLOOKUP(tbMoveset!A20,tbMoveset!A2:I112,9,FALSE)="Ice",Backdoors!BE30,IF(VLOOKUP(tbMoveset!A20,tbMoveset!A2:I112,9,FALSE)="Dragon",Backdoors!BF30,Backdoors!BG30)))))/100,Backdoors!BG30/100),"")</f>
        <v>0</v>
      </c>
      <c r="GK20" s="49">
        <f>IFERROR(IF(VLOOKUP(A20,tbMoveset!A2:J112,10,FALSE)=TRUE,IF((Backdoors!AI12+IF(GI20&gt;=0.45,VLOOKUP(Calculator!E23,tbSkills!DH3:DI6,2,FALSE)+IF(AND(Calculator!B8=TRUE,Backdoors!BI30=TRUE),VLOOKUP(Calculator!E23,tbSkills!DH3:DJ6,3,FALSE),0),0))&gt;=0,1+(Backdoors!AL2*(IF((Backdoors!AI12+IF(GI20&gt;=0.45,VLOOKUP(Calculator!E23,tbSkills!DH3:DI6,2,FALSE)+IF(AND(Calculator!B8=TRUE,Backdoors!BI30=TRUE),VLOOKUP(Calculator!E23,tbSkills!DH3:DJ6,3,FALSE),0),0))&gt;=100,100,(Backdoors!AI12+IF(GI20&gt;=0.45,VLOOKUP(Calculator!E23,tbSkills!DH3:DI6,2,FALSE)+IF(AND(Calculator!B8=TRUE,Backdoors!BI30=TRUE),VLOOKUP(Calculator!E23,tbSkills!DH3:DJ6,3,FALSE),0),0)))/100)),(1-(0.25*((-Backdoors!AI12-IF(GI20&gt;=0.45,VLOOKUP(Calculator!E23,tbSkills!DH3:DI6,2,FALSE)+IF(AND(Calculator!B8=TRUE,Backdoors!BI30=TRUE),VLOOKUP(Calculator!E23,tbSkills!DH3:DJ6,3,FALSE),0),0))/100)))),1),"")</f>
        <v>1</v>
      </c>
      <c r="GL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I20)*GK20)*(VLOOKUP(A20,tbMoveset!A2:C112,3,FALSE)/100)*IF(VLOOKUP(A20,tbMoveset!A2:B112,2,FALSE)="Projectile",Backdoors!N10,Backdoors!N9),0),"")</f>
        <v/>
      </c>
      <c r="GM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I20&gt;=0.45,VLOOKUP(Calculator!E23,tbSkills!DH3:DI6,2,FALSE)+IF(AND(Calculator!B8=TRUE,Backdoors!BI30=TRUE),VLOOKUP(Calculator!E23,tbSkills!DH3:DJ6,3,FALSE),0),0))&gt;=100,100,(Backdoors!AI12+IF(GI20&gt;=0.45,VLOOKUP(Calculator!E23,tbSkills!DH3:DI6,2,FALSE)+IF(AND(Calculator!B8=TRUE,Backdoors!BI30=TRUE),VLOOKUP(Calculator!E23,tbSkills!DH3:DJ6,3,FALSE),0),0)))/100)),1))*IF(VLOOKUP(A20,tbMoveset!A2:K112,11,FALSE)=TRUE,Backdoors!AC5,1))*GJ20,0),"")</f>
        <v>0</v>
      </c>
      <c r="GN20" s="49">
        <f>VLOOKUP(A20,tbMoveset!A2:G112,7,FALSE)*IFERROR(IF(Backdoors!AI12&gt;=0,1+(IF(Calculator!E40&gt;0,VLOOKUP(Calculator!E40,tbSkills!AI3:AJ5,2,FALSE),Backdoors!AL4)*(IF((Backdoors!AI12+IF(GI20&gt;=0.45,VLOOKUP(Calculator!E23,tbSkills!DH3:DI6,2,FALSE)+IF(AND(Calculator!B8=TRUE,Backdoors!BI30=TRUE),VLOOKUP(Calculator!E23,tbSkills!DH3:DJ6,3,FALSE),0),0))&gt;=100,100,(Backdoors!AI12+IF(GI20&gt;=0.45,VLOOKUP(Calculator!E23,tbSkills!DH3:DI6,2,FALSE)+IF(AND(Calculator!B8=TRUE,Backdoors!BI30=TRUE),VLOOKUP(Calculator!E23,tbSkills!DH3:DJ6,3,FALSE),0),0)))/100)),1),1)</f>
        <v>0.5</v>
      </c>
      <c r="GO20" s="87">
        <f t="shared" si="20"/>
        <v>0</v>
      </c>
      <c r="GP20" s="86" t="str">
        <f>IFERROR(IF(VLOOKUP(A20,tbMoveset!A2:B112,2,FALSE)="Sever",Backdoors!AY31/100,IF(VLOOKUP(A20,tbMoveset!A2:B112,2,FALSE)="Blunt",Backdoors!AZ31/100,Backdoors!BA31/100)),"")</f>
        <v/>
      </c>
      <c r="GQ20" s="49">
        <f>IFERROR(IF(VLOOKUP(tbMoveset!A20,tbMoveset!A2:H112,8,FALSE)="Other",IF(VLOOKUP(tbMoveset!A20,tbMoveset!A2:I112,9,FALSE)="Fire",Backdoors!BB31,IF(VLOOKUP(tbMoveset!A20,tbMoveset!A2:I112,9,FALSE)="Water",Backdoors!BC31,IF(VLOOKUP(tbMoveset!A20,tbMoveset!A2:I112,9,FALSE)="Thunder",Backdoors!BD31,IF(VLOOKUP(tbMoveset!A20,tbMoveset!A2:I112,9,FALSE)="Ice",Backdoors!BE31,IF(VLOOKUP(tbMoveset!A20,tbMoveset!A2:I112,9,FALSE)="Dragon",Backdoors!BF31,Backdoors!BG31)))))/100,Backdoors!BG31/100),"")</f>
        <v>0</v>
      </c>
      <c r="GR20" s="49">
        <f>IFERROR(IF(VLOOKUP(A20,tbMoveset!A2:J112,10,FALSE)=TRUE,IF((Backdoors!AI12+IF(GP20&gt;=0.45,VLOOKUP(Calculator!E23,tbSkills!DH3:DI6,2,FALSE)+IF(AND(Calculator!B8=TRUE,Backdoors!BI31=TRUE),VLOOKUP(Calculator!E23,tbSkills!DH3:DJ6,3,FALSE),0),0))&gt;=0,1+(Backdoors!AL2*(IF((Backdoors!AI12+IF(GP20&gt;=0.45,VLOOKUP(Calculator!E23,tbSkills!DH3:DI6,2,FALSE)+IF(AND(Calculator!B8=TRUE,Backdoors!BI31=TRUE),VLOOKUP(Calculator!E23,tbSkills!DH3:DJ6,3,FALSE),0),0))&gt;=100,100,(Backdoors!AI12+IF(GP20&gt;=0.45,VLOOKUP(Calculator!E23,tbSkills!DH3:DI6,2,FALSE)+IF(AND(Calculator!B8=TRUE,Backdoors!BI31=TRUE),VLOOKUP(Calculator!E23,tbSkills!DH3:DJ6,3,FALSE),0),0)))/100)),(1-(0.25*((-Backdoors!AI12-IF(GP20&gt;=0.45,VLOOKUP(Calculator!E23,tbSkills!DH3:DI6,2,FALSE)+IF(AND(Calculator!B8=TRUE,Backdoors!BI31=TRUE),VLOOKUP(Calculator!E23,tbSkills!DH3:DJ6,3,FALSE),0),0))/100)))),1),"")</f>
        <v>1</v>
      </c>
      <c r="GS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P20)*GR20)*(VLOOKUP(A20,tbMoveset!A2:C112,3,FALSE)/100)*IF(VLOOKUP(A20,tbMoveset!A2:B112,2,FALSE)="Projectile",Backdoors!N10,Backdoors!N9),0),"")</f>
        <v/>
      </c>
      <c r="GT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P20&gt;=0.45,VLOOKUP(Calculator!E23,tbSkills!DH3:DI6,2,FALSE)+IF(AND(Calculator!B8=TRUE,Backdoors!BI31=TRUE),VLOOKUP(Calculator!E23,tbSkills!DH3:DJ6,3,FALSE),0),0))&gt;=100,100,(Backdoors!AI12+IF(GP20&gt;=0.45,VLOOKUP(Calculator!E23,tbSkills!DH3:DI6,2,FALSE)+IF(AND(Calculator!B8=TRUE,Backdoors!BI31=TRUE),VLOOKUP(Calculator!E23,tbSkills!DH3:DJ6,3,FALSE),0),0)))/100)),1))*IF(VLOOKUP(A20,tbMoveset!A2:K112,11,FALSE)=TRUE,Backdoors!AC5,1))*GQ20,0),"")</f>
        <v>0</v>
      </c>
      <c r="GU20" s="49">
        <f>VLOOKUP(A20,tbMoveset!A2:G112,7,FALSE)*IFERROR(IF(Backdoors!AI12&gt;=0,1+(IF(Calculator!E40&gt;0,VLOOKUP(Calculator!E40,tbSkills!AI3:AJ5,2,FALSE),Backdoors!AL4)*(IF((Backdoors!AI12+IF(GP20&gt;=0.45,VLOOKUP(Calculator!E23,tbSkills!DH3:DI6,2,FALSE)+IF(AND(Calculator!B8=TRUE,Backdoors!BI31=TRUE),VLOOKUP(Calculator!E23,tbSkills!DH3:DJ6,3,FALSE),0),0))&gt;=100,100,(Backdoors!AI12+IF(GP20&gt;=0.45,VLOOKUP(Calculator!E23,tbSkills!DH3:DI6,2,FALSE)+IF(AND(Calculator!B8=TRUE,Backdoors!BI31=TRUE),VLOOKUP(Calculator!E23,tbSkills!DH3:DJ6,3,FALSE),0),0)))/100)),1),1)</f>
        <v>0.5</v>
      </c>
      <c r="GV20" s="87">
        <f t="shared" si="21"/>
        <v>0</v>
      </c>
      <c r="GW20" s="86" t="str">
        <f>IFERROR(IF(VLOOKUP(A20,tbMoveset!A2:B112,2,FALSE)="Sever",Backdoors!AY32/100,IF(VLOOKUP(A20,tbMoveset!A2:B112,2,FALSE)="Blunt",Backdoors!AZ32/100,Backdoors!BA32/100)),"")</f>
        <v/>
      </c>
      <c r="GX20" s="49">
        <f>IFERROR(IF(VLOOKUP(tbMoveset!A20,tbMoveset!A2:H112,8,FALSE)="Other",IF(VLOOKUP(tbMoveset!A20,tbMoveset!A2:I112,9,FALSE)="Fire",Backdoors!BB32,IF(VLOOKUP(tbMoveset!A20,tbMoveset!A2:I112,9,FALSE)="Water",Backdoors!BC32,IF(VLOOKUP(tbMoveset!A20,tbMoveset!A2:I112,9,FALSE)="Thunder",Backdoors!BD32,IF(VLOOKUP(tbMoveset!A20,tbMoveset!A2:I112,9,FALSE)="Ice",Backdoors!BE32,IF(VLOOKUP(tbMoveset!A20,tbMoveset!A2:I112,9,FALSE)="Dragon",Backdoors!BF32,Backdoors!BG32)))))/100,Backdoors!BG32/100),"")</f>
        <v>0</v>
      </c>
      <c r="GY20" s="49">
        <f>IFERROR(IF(VLOOKUP(A20,tbMoveset!A2:J112,10,FALSE)=TRUE,IF((Backdoors!AI12+IF(GW20&gt;=0.45,VLOOKUP(Calculator!E23,tbSkills!DH3:DI6,2,FALSE)+IF(AND(Calculator!B8=TRUE,Backdoors!BI32=TRUE),VLOOKUP(Calculator!E23,tbSkills!DH3:DJ6,3,FALSE),0),0))&gt;=0,1+(Backdoors!AL2*(IF((Backdoors!AI12+IF(GW20&gt;=0.45,VLOOKUP(Calculator!E23,tbSkills!DH3:DI6,2,FALSE)+IF(AND(Calculator!B8=TRUE,Backdoors!BI32=TRUE),VLOOKUP(Calculator!E23,tbSkills!DH3:DJ6,3,FALSE),0),0))&gt;=100,100,(Backdoors!AI12+IF(GW20&gt;=0.45,VLOOKUP(Calculator!E23,tbSkills!DH3:DI6,2,FALSE)+IF(AND(Calculator!B8=TRUE,Backdoors!BI32=TRUE),VLOOKUP(Calculator!E23,tbSkills!DH3:DJ6,3,FALSE),0),0)))/100)),(1-(0.25*((-Backdoors!AI12-IF(GW20&gt;=0.45,VLOOKUP(Calculator!E23,tbSkills!DH3:DI6,2,FALSE)+IF(AND(Calculator!B8=TRUE,Backdoors!BI32=TRUE),VLOOKUP(Calculator!E23,tbSkills!DH3:DJ6,3,FALSE),0),0))/100)))),1),"")</f>
        <v>1</v>
      </c>
      <c r="GZ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W20)*GY20)*(VLOOKUP(A20,tbMoveset!A2:C112,3,FALSE)/100)*IF(VLOOKUP(A20,tbMoveset!A2:B112,2,FALSE)="Projectile",Backdoors!N10,Backdoors!N9),0),"")</f>
        <v/>
      </c>
      <c r="HA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W20&gt;=0.45,VLOOKUP(Calculator!E23,tbSkills!DH3:DI6,2,FALSE)+IF(AND(Calculator!B8=TRUE,Backdoors!BI32=TRUE),VLOOKUP(Calculator!E23,tbSkills!DH3:DJ6,3,FALSE),0),0))&gt;=100,100,(Backdoors!AI12+IF(GW20&gt;=0.45,VLOOKUP(Calculator!E23,tbSkills!DH3:DI6,2,FALSE)+IF(AND(Calculator!B8=TRUE,Backdoors!BI32=TRUE),VLOOKUP(Calculator!E23,tbSkills!DH3:DJ6,3,FALSE),0),0)))/100)),1))*IF(VLOOKUP(A20,tbMoveset!A2:K112,11,FALSE)=TRUE,Backdoors!AC5,1))*GX20,0),"")</f>
        <v>0</v>
      </c>
      <c r="HB20" s="49">
        <f>VLOOKUP(A20,tbMoveset!A2:G112,7,FALSE)*IFERROR(IF(Backdoors!AI12&gt;=0,1+(IF(Calculator!E40&gt;0,VLOOKUP(Calculator!E40,tbSkills!AI3:AJ5,2,FALSE),Backdoors!AL4)*(IF((Backdoors!AI12+IF(GW20&gt;=0.45,VLOOKUP(Calculator!E23,tbSkills!DH3:DI6,2,FALSE)+IF(AND(Calculator!B8=TRUE,Backdoors!BI32=TRUE),VLOOKUP(Calculator!E23,tbSkills!DH3:DJ6,3,FALSE),0),0))&gt;=100,100,(Backdoors!AI12+IF(GW20&gt;=0.45,VLOOKUP(Calculator!E23,tbSkills!DH3:DI6,2,FALSE)+IF(AND(Calculator!B8=TRUE,Backdoors!BI32=TRUE),VLOOKUP(Calculator!E23,tbSkills!DH3:DJ6,3,FALSE),0),0)))/100)),1),1)</f>
        <v>0.5</v>
      </c>
      <c r="HC20" s="87">
        <f t="shared" si="22"/>
        <v>0</v>
      </c>
      <c r="HD20" s="86" t="str">
        <f>IFERROR(IF(VLOOKUP(A20,tbMoveset!A2:B112,2,FALSE)="Sever",Backdoors!AY33/100,IF(VLOOKUP(A20,tbMoveset!A2:B112,2,FALSE)="Blunt",Backdoors!AZ33/100,Backdoors!BA33/100)),"")</f>
        <v/>
      </c>
      <c r="HE20" s="49">
        <f>IFERROR(IF(VLOOKUP(tbMoveset!A20,tbMoveset!A2:H112,8,FALSE)="Other",IF(VLOOKUP(tbMoveset!A20,tbMoveset!A2:I112,9,FALSE)="Fire",Backdoors!BB33,IF(VLOOKUP(tbMoveset!A20,tbMoveset!A2:I112,9,FALSE)="Water",Backdoors!BC33,IF(VLOOKUP(tbMoveset!A20,tbMoveset!A2:I112,9,FALSE)="Thunder",Backdoors!BD33,IF(VLOOKUP(tbMoveset!A20,tbMoveset!A2:I112,9,FALSE)="Ice",Backdoors!BE33,IF(VLOOKUP(tbMoveset!A20,tbMoveset!A2:I112,9,FALSE)="Dragon",Backdoors!BF33,Backdoors!BG33)))))/100,Backdoors!BG33/100),"")</f>
        <v>0</v>
      </c>
      <c r="HF20" s="49">
        <f>IFERROR(IF(VLOOKUP(A20,tbMoveset!A2:J112,10,FALSE)=TRUE,IF((Backdoors!AI12+IF(HD20&gt;=0.45,VLOOKUP(Calculator!E23,tbSkills!DH3:DI6,2,FALSE)+IF(AND(Calculator!B8=TRUE,Backdoors!BI33=TRUE),VLOOKUP(Calculator!E23,tbSkills!DH3:DJ6,3,FALSE),0),0))&gt;=0,1+(Backdoors!AL2*(IF((Backdoors!AI12+IF(HD20&gt;=0.45,VLOOKUP(Calculator!E23,tbSkills!DH3:DI6,2,FALSE)+IF(AND(Calculator!B8=TRUE,Backdoors!BI33=TRUE),VLOOKUP(Calculator!E23,tbSkills!DH3:DJ6,3,FALSE),0),0))&gt;=100,100,(Backdoors!AI12+IF(HD20&gt;=0.45,VLOOKUP(Calculator!E23,tbSkills!DH3:DI6,2,FALSE)+IF(AND(Calculator!B8=TRUE,Backdoors!BI33=TRUE),VLOOKUP(Calculator!E23,tbSkills!DH3:DJ6,3,FALSE),0),0)))/100)),(1-(0.25*((-Backdoors!AI12-IF(HD20&gt;=0.45,VLOOKUP(Calculator!E23,tbSkills!DH3:DI6,2,FALSE)+IF(AND(Calculator!B8=TRUE,Backdoors!BI33=TRUE),VLOOKUP(Calculator!E23,tbSkills!DH3:DJ6,3,FALSE),0),0))/100)))),1),"")</f>
        <v>1</v>
      </c>
      <c r="HG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D20)*HF20)*(VLOOKUP(A20,tbMoveset!A2:C112,3,FALSE)/100)*IF(VLOOKUP(A20,tbMoveset!A2:B112,2,FALSE)="Projectile",Backdoors!N10,Backdoors!N9),0),"")</f>
        <v/>
      </c>
      <c r="HH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D20&gt;=0.45,VLOOKUP(Calculator!E23,tbSkills!DH3:DI6,2,FALSE)+IF(AND(Calculator!B8=TRUE,Backdoors!BI33=TRUE),VLOOKUP(Calculator!E23,tbSkills!DH3:DJ6,3,FALSE),0),0))&gt;=100,100,(Backdoors!AI12+IF(HD20&gt;=0.45,VLOOKUP(Calculator!E23,tbSkills!DH3:DI6,2,FALSE)+IF(AND(Calculator!B8=TRUE,Backdoors!BI33=TRUE),VLOOKUP(Calculator!E23,tbSkills!DH3:DJ6,3,FALSE),0),0)))/100)),1))*IF(VLOOKUP(A20,tbMoveset!A2:K112,11,FALSE)=TRUE,Backdoors!AC5,1))*HE20,0),"")</f>
        <v>0</v>
      </c>
      <c r="HI20" s="49">
        <f>VLOOKUP(A20,tbMoveset!A2:G112,7,FALSE)*IFERROR(IF(Backdoors!AI12&gt;=0,1+(IF(Calculator!E40&gt;0,VLOOKUP(Calculator!E40,tbSkills!AI3:AJ5,2,FALSE),Backdoors!AL4)*(IF((Backdoors!AI12+IF(HD20&gt;=0.45,VLOOKUP(Calculator!E23,tbSkills!DH3:DI6,2,FALSE)+IF(AND(Calculator!B8=TRUE,Backdoors!BI33=TRUE),VLOOKUP(Calculator!E23,tbSkills!DH3:DJ6,3,FALSE),0),0))&gt;=100,100,(Backdoors!AI12+IF(HD20&gt;=0.45,VLOOKUP(Calculator!E23,tbSkills!DH3:DI6,2,FALSE)+IF(AND(Calculator!B8=TRUE,Backdoors!BI33=TRUE),VLOOKUP(Calculator!E23,tbSkills!DH3:DJ6,3,FALSE),0),0)))/100)),1),1)</f>
        <v>0.5</v>
      </c>
      <c r="HJ20" s="87">
        <f t="shared" si="23"/>
        <v>0</v>
      </c>
      <c r="HK20" s="86" t="str">
        <f>IFERROR(IF(VLOOKUP(A20,tbMoveset!A2:B112,2,FALSE)="Sever",Backdoors!AY34/100,IF(VLOOKUP(A20,tbMoveset!A2:B112,2,FALSE)="Blunt",Backdoors!AZ34/100,Backdoors!BA34/100)),"")</f>
        <v/>
      </c>
      <c r="HL20" s="49">
        <f>IFERROR(IF(VLOOKUP(tbMoveset!A20,tbMoveset!A2:H112,8,FALSE)="Other",IF(VLOOKUP(tbMoveset!A20,tbMoveset!A2:I112,9,FALSE)="Fire",Backdoors!BB34,IF(VLOOKUP(tbMoveset!A20,tbMoveset!A2:I112,9,FALSE)="Water",Backdoors!BC34,IF(VLOOKUP(tbMoveset!A20,tbMoveset!A2:I112,9,FALSE)="Thunder",Backdoors!BD34,IF(VLOOKUP(tbMoveset!A20,tbMoveset!A2:I112,9,FALSE)="Ice",Backdoors!BE34,IF(VLOOKUP(tbMoveset!A20,tbMoveset!A2:I112,9,FALSE)="Dragon",Backdoors!BF34,Backdoors!BG34)))))/100,Backdoors!BG34/100),"")</f>
        <v>0</v>
      </c>
      <c r="HM20" s="49">
        <f>IFERROR(IF(VLOOKUP(A20,tbMoveset!A2:J112,10,FALSE)=TRUE,IF((Backdoors!AI12+IF(HK20&gt;=0.45,VLOOKUP(Calculator!E23,tbSkills!DH3:DI6,2,FALSE)+IF(AND(Calculator!B8=TRUE,Backdoors!BI34=TRUE),VLOOKUP(Calculator!E23,tbSkills!DH3:DJ6,3,FALSE),0),0))&gt;=0,1+(Backdoors!AL2*(IF((Backdoors!AI12+IF(HK20&gt;=0.45,VLOOKUP(Calculator!E23,tbSkills!DH3:DI6,2,FALSE)+IF(AND(Calculator!B8=TRUE,Backdoors!BI34=TRUE),VLOOKUP(Calculator!E23,tbSkills!DH3:DJ6,3,FALSE),0),0))&gt;=100,100,(Backdoors!AI12+IF(HK20&gt;=0.45,VLOOKUP(Calculator!E23,tbSkills!DH3:DI6,2,FALSE)+IF(AND(Calculator!B8=TRUE,Backdoors!BI34=TRUE),VLOOKUP(Calculator!E23,tbSkills!DH3:DJ6,3,FALSE),0),0)))/100)),(1-(0.25*((-Backdoors!AI12-IF(HK20&gt;=0.45,VLOOKUP(Calculator!E23,tbSkills!DH3:DI6,2,FALSE)+IF(AND(Calculator!B8=TRUE,Backdoors!BI34=TRUE),VLOOKUP(Calculator!E23,tbSkills!DH3:DJ6,3,FALSE),0),0))/100)))),1),"")</f>
        <v>1</v>
      </c>
      <c r="HN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K20)*HM20)*(VLOOKUP(A20,tbMoveset!A2:C112,3,FALSE)/100)*IF(VLOOKUP(A20,tbMoveset!A2:B112,2,FALSE)="Projectile",Backdoors!N10,Backdoors!N9),0),"")</f>
        <v/>
      </c>
      <c r="HO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K20&gt;=0.45,VLOOKUP(Calculator!E23,tbSkills!DH3:DI6,2,FALSE)+IF(AND(Calculator!B8=TRUE,Backdoors!BI34=TRUE),VLOOKUP(Calculator!E23,tbSkills!DH3:DJ6,3,FALSE),0),0))&gt;=100,100,(Backdoors!AI12+IF(HK20&gt;=0.45,VLOOKUP(Calculator!E23,tbSkills!DH3:DI6,2,FALSE)+IF(AND(Calculator!B8=TRUE,Backdoors!BI34=TRUE),VLOOKUP(Calculator!E23,tbSkills!DH3:DJ6,3,FALSE),0),0)))/100)),1))*IF(VLOOKUP(A20,tbMoveset!A2:K112,11,FALSE)=TRUE,Backdoors!AC5,1))*HL20,0),"")</f>
        <v>0</v>
      </c>
      <c r="HP20" s="49">
        <f>VLOOKUP(A20,tbMoveset!A2:G112,7,FALSE)*IFERROR(IF(Backdoors!AI12&gt;=0,1+(IF(Calculator!E40&gt;0,VLOOKUP(Calculator!E40,tbSkills!AI3:AJ5,2,FALSE),Backdoors!AL4)*(IF((Backdoors!AI12+IF(HK20&gt;=0.45,VLOOKUP(Calculator!E23,tbSkills!DH3:DI6,2,FALSE)+IF(AND(Calculator!B8=TRUE,Backdoors!BI34=TRUE),VLOOKUP(Calculator!E23,tbSkills!DH3:DJ6,3,FALSE),0),0))&gt;=100,100,(Backdoors!AI12+IF(HK20&gt;=0.45,VLOOKUP(Calculator!E23,tbSkills!DH3:DI6,2,FALSE)+IF(AND(Calculator!B8=TRUE,Backdoors!BI34=TRUE),VLOOKUP(Calculator!E23,tbSkills!DH3:DJ6,3,FALSE),0),0)))/100)),1),1)</f>
        <v>0.5</v>
      </c>
      <c r="HQ20" s="87">
        <f t="shared" si="24"/>
        <v>0</v>
      </c>
      <c r="HR20" s="86" t="str">
        <f>IFERROR(IF(VLOOKUP(A20,tbMoveset!A2:B112,2,FALSE)="Sever",Backdoors!AY35/100,IF(VLOOKUP(A20,tbMoveset!A2:B112,2,FALSE)="Blunt",Backdoors!AZ35/100,Backdoors!BA35/100)),"")</f>
        <v/>
      </c>
      <c r="HS20" s="49">
        <f>IFERROR(IF(VLOOKUP(tbMoveset!A20,tbMoveset!A2:H112,8,FALSE)="Other",IF(VLOOKUP(tbMoveset!A20,tbMoveset!A2:I112,9,FALSE)="Fire",Backdoors!BB35,IF(VLOOKUP(tbMoveset!A20,tbMoveset!A2:I112,9,FALSE)="Water",Backdoors!BC35,IF(VLOOKUP(tbMoveset!A20,tbMoveset!A2:I112,9,FALSE)="Thunder",Backdoors!BD35,IF(VLOOKUP(tbMoveset!A20,tbMoveset!A2:I112,9,FALSE)="Ice",Backdoors!BE35,IF(VLOOKUP(tbMoveset!A20,tbMoveset!A2:I112,9,FALSE)="Dragon",Backdoors!BF35,Backdoors!BG35)))))/100,Backdoors!BG35/100),"")</f>
        <v>0</v>
      </c>
      <c r="HT20" s="49">
        <f>IFERROR(IF(VLOOKUP(A20,tbMoveset!A2:J112,10,FALSE)=TRUE,IF((Backdoors!AI12+IF(HR20&gt;=0.45,VLOOKUP(Calculator!E23,tbSkills!DH3:DI6,2,FALSE)+IF(AND(Calculator!B8=TRUE,Backdoors!BI35=TRUE),VLOOKUP(Calculator!E23,tbSkills!DH3:DJ6,3,FALSE),0),0))&gt;=0,1+(Backdoors!AL2*(IF((Backdoors!AI12+IF(HR20&gt;=0.45,VLOOKUP(Calculator!E23,tbSkills!DH3:DI6,2,FALSE)+IF(AND(Calculator!B8=TRUE,Backdoors!BI35=TRUE),VLOOKUP(Calculator!E23,tbSkills!DH3:DJ6,3,FALSE),0),0))&gt;=100,100,(Backdoors!AI12+IF(HR20&gt;=0.45,VLOOKUP(Calculator!E23,tbSkills!DH3:DI6,2,FALSE)+IF(AND(Calculator!B8=TRUE,Backdoors!BI35=TRUE),VLOOKUP(Calculator!E23,tbSkills!DH3:DJ6,3,FALSE),0),0)))/100)),(1-(0.25*((-Backdoors!AI12-IF(HR20&gt;=0.45,VLOOKUP(Calculator!E23,tbSkills!DH3:DI6,2,FALSE)+IF(AND(Calculator!B8=TRUE,Backdoors!BI35=TRUE),VLOOKUP(Calculator!E23,tbSkills!DH3:DJ6,3,FALSE),0),0))/100)))),1),"")</f>
        <v>1</v>
      </c>
      <c r="HU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R20)*HT20)*(VLOOKUP(A20,tbMoveset!A2:C112,3,FALSE)/100)*IF(VLOOKUP(A20,tbMoveset!A2:B112,2,FALSE)="Projectile",Backdoors!N10,Backdoors!N9),0),"")</f>
        <v/>
      </c>
      <c r="HV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R20&gt;=0.45,VLOOKUP(Calculator!E23,tbSkills!DH3:DI6,2,FALSE)+IF(AND(Calculator!B8=TRUE,Backdoors!BI35=TRUE),VLOOKUP(Calculator!E23,tbSkills!DH3:DJ6,3,FALSE),0),0))&gt;=100,100,(Backdoors!AI12+IF(HR20&gt;=0.45,VLOOKUP(Calculator!E23,tbSkills!DH3:DI6,2,FALSE)+IF(AND(Calculator!B8=TRUE,Backdoors!BI35=TRUE),VLOOKUP(Calculator!E23,tbSkills!DH3:DJ6,3,FALSE),0),0)))/100)),1))*IF(VLOOKUP(A20,tbMoveset!A2:K112,11,FALSE)=TRUE,Backdoors!AC5,1))*HS20,0),"")</f>
        <v>0</v>
      </c>
      <c r="HW20" s="49">
        <f>VLOOKUP(A20,tbMoveset!A2:G112,7,FALSE)*IFERROR(IF(Backdoors!AI12&gt;=0,1+(IF(Calculator!E40&gt;0,VLOOKUP(Calculator!E40,tbSkills!AI3:AJ5,2,FALSE),Backdoors!AL4)*(IF((Backdoors!AI12+IF(HR20&gt;=0.45,VLOOKUP(Calculator!E23,tbSkills!DH3:DI6,2,FALSE)+IF(AND(Calculator!B8=TRUE,Backdoors!BI35=TRUE),VLOOKUP(Calculator!E23,tbSkills!DH3:DJ6,3,FALSE),0),0))&gt;=100,100,(Backdoors!AI12+IF(HR20&gt;=0.45,VLOOKUP(Calculator!E23,tbSkills!DH3:DI6,2,FALSE)+IF(AND(Calculator!B8=TRUE,Backdoors!BI35=TRUE),VLOOKUP(Calculator!E23,tbSkills!DH3:DJ6,3,FALSE),0),0)))/100)),1),1)</f>
        <v>0.5</v>
      </c>
      <c r="HX20" s="87">
        <f t="shared" si="25"/>
        <v>0</v>
      </c>
      <c r="HY20" s="86" t="str">
        <f>IFERROR(IF(VLOOKUP(A20,tbMoveset!A2:B112,2,FALSE)="Sever",Backdoors!AY36/100,IF(VLOOKUP(A20,tbMoveset!A2:B112,2,FALSE)="Blunt",Backdoors!AZ36/100,Backdoors!BA36/100)),"")</f>
        <v/>
      </c>
      <c r="HZ20" s="49">
        <f>IFERROR(IF(VLOOKUP(tbMoveset!A20,tbMoveset!A2:H112,8,FALSE)="Other",IF(VLOOKUP(tbMoveset!A20,tbMoveset!A2:I112,9,FALSE)="Fire",Backdoors!BB36,IF(VLOOKUP(tbMoveset!A20,tbMoveset!A2:I112,9,FALSE)="Water",Backdoors!BC36,IF(VLOOKUP(tbMoveset!A20,tbMoveset!A2:I112,9,FALSE)="Thunder",Backdoors!BD36,IF(VLOOKUP(tbMoveset!A20,tbMoveset!A2:I112,9,FALSE)="Ice",Backdoors!BE36,IF(VLOOKUP(tbMoveset!A20,tbMoveset!A2:I112,9,FALSE)="Dragon",Backdoors!BF36,Backdoors!BG36)))))/100,Backdoors!BG36/100),"")</f>
        <v>0</v>
      </c>
      <c r="IA20" s="49">
        <f>IFERROR(IF(VLOOKUP(A20,tbMoveset!A2:J112,10,FALSE)=TRUE,IF((Backdoors!AI12+IF(HY20&gt;=0.45,VLOOKUP(Calculator!E23,tbSkills!DH3:DI6,2,FALSE)+IF(AND(Calculator!B8=TRUE,Backdoors!BI36=TRUE),VLOOKUP(Calculator!E23,tbSkills!DH3:DJ6,3,FALSE),0),0))&gt;=0,1+(Backdoors!AL2*(IF((Backdoors!AI12+IF(HY20&gt;=0.45,VLOOKUP(Calculator!E23,tbSkills!DH3:DI6,2,FALSE)+IF(AND(Calculator!B8=TRUE,Backdoors!BI36=TRUE),VLOOKUP(Calculator!E23,tbSkills!DH3:DJ6,3,FALSE),0),0))&gt;=100,100,(Backdoors!AI12+IF(HY20&gt;=0.45,VLOOKUP(Calculator!E23,tbSkills!DH3:DI6,2,FALSE)+IF(AND(Calculator!B8=TRUE,Backdoors!BI36=TRUE),VLOOKUP(Calculator!E23,tbSkills!DH3:DJ6,3,FALSE),0),0)))/100)),(1-(0.25*((-Backdoors!AI12-IF(HY20&gt;=0.45,VLOOKUP(Calculator!E23,tbSkills!DH3:DI6,2,FALSE)+IF(AND(Calculator!B8=TRUE,Backdoors!BI36=TRUE),VLOOKUP(Calculator!E23,tbSkills!DH3:DJ6,3,FALSE),0),0))/100)))),1),"")</f>
        <v>1</v>
      </c>
      <c r="IB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Y20)*IA20)*(VLOOKUP(A20,tbMoveset!A2:C112,3,FALSE)/100)*IF(VLOOKUP(A20,tbMoveset!A2:B112,2,FALSE)="Projectile",Backdoors!N10,Backdoors!N9),0),"")</f>
        <v/>
      </c>
      <c r="IC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Y20&gt;=0.45,VLOOKUP(Calculator!E23,tbSkills!DH3:DI6,2,FALSE)+IF(AND(Calculator!B8=TRUE,Backdoors!BI36=TRUE),VLOOKUP(Calculator!E23,tbSkills!DH3:DJ6,3,FALSE),0),0))&gt;=100,100,(Backdoors!AI12+IF(HY20&gt;=0.45,VLOOKUP(Calculator!E23,tbSkills!DH3:DI6,2,FALSE)+IF(AND(Calculator!B8=TRUE,Backdoors!BI36=TRUE),VLOOKUP(Calculator!E23,tbSkills!DH3:DJ6,3,FALSE),0),0)))/100)),1))*IF(VLOOKUP(A20,tbMoveset!A2:K112,11,FALSE)=TRUE,Backdoors!AC5,1))*HZ20,0),"")</f>
        <v>0</v>
      </c>
      <c r="ID20" s="49">
        <f>VLOOKUP(A20,tbMoveset!A2:G112,7,FALSE)*IFERROR(IF(Backdoors!AI12&gt;=0,1+(IF(Calculator!E40&gt;0,VLOOKUP(Calculator!E40,tbSkills!AI3:AJ5,2,FALSE),Backdoors!AL4)*(IF((Backdoors!AI12+IF(HY20&gt;=0.45,VLOOKUP(Calculator!E23,tbSkills!DH3:DI6,2,FALSE)+IF(AND(Calculator!B8=TRUE,Backdoors!BI36=TRUE),VLOOKUP(Calculator!E23,tbSkills!DH3:DJ6,3,FALSE),0),0))&gt;=100,100,(Backdoors!AI12+IF(HY20&gt;=0.45,VLOOKUP(Calculator!E23,tbSkills!DH3:DI6,2,FALSE)+IF(AND(Calculator!B8=TRUE,Backdoors!BI36=TRUE),VLOOKUP(Calculator!E23,tbSkills!DH3:DJ6,3,FALSE),0),0)))/100)),1),1)</f>
        <v>0.5</v>
      </c>
      <c r="IE20" s="87">
        <f t="shared" si="26"/>
        <v>0</v>
      </c>
      <c r="IF20" s="86" t="str">
        <f>IFERROR(IF(VLOOKUP(A20,tbMoveset!A2:B112,2,FALSE)="Sever",Backdoors!AY37/100,IF(VLOOKUP(A20,tbMoveset!A2:B112,2,FALSE)="Blunt",Backdoors!AZ37/100,Backdoors!BA37/100)),"")</f>
        <v/>
      </c>
      <c r="IG20" s="49">
        <f>IFERROR(IF(VLOOKUP(tbMoveset!A20,tbMoveset!A2:H112,8,FALSE)="Other",IF(VLOOKUP(tbMoveset!A20,tbMoveset!A2:I112,9,FALSE)="Fire",Backdoors!BB37,IF(VLOOKUP(tbMoveset!A20,tbMoveset!A2:I112,9,FALSE)="Water",Backdoors!BC37,IF(VLOOKUP(tbMoveset!A20,tbMoveset!A2:I112,9,FALSE)="Thunder",Backdoors!BD37,IF(VLOOKUP(tbMoveset!A20,tbMoveset!A2:I112,9,FALSE)="Ice",Backdoors!BE37,IF(VLOOKUP(tbMoveset!A20,tbMoveset!A2:I112,9,FALSE)="Dragon",Backdoors!BF37,Backdoors!BG37)))))/100,Backdoors!BG37/100),"")</f>
        <v>0</v>
      </c>
      <c r="IH20" s="49">
        <f>IFERROR(IF(VLOOKUP(A20,tbMoveset!A2:J112,10,FALSE)=TRUE,IF((Backdoors!AI12+IF(IF20&gt;=0.45,VLOOKUP(Calculator!E23,tbSkills!DH3:DI6,2,FALSE)+IF(AND(Calculator!B8=TRUE,Backdoors!BI37=TRUE),VLOOKUP(Calculator!E23,tbSkills!DH3:DJ6,3,FALSE),0),0))&gt;=0,1+(Backdoors!AL2*(IF((Backdoors!AI12+IF(IF20&gt;=0.45,VLOOKUP(Calculator!E23,tbSkills!DH3:DI6,2,FALSE)+IF(AND(Calculator!B8=TRUE,Backdoors!BI37=TRUE),VLOOKUP(Calculator!E23,tbSkills!DH3:DJ6,3,FALSE),0),0))&gt;=100,100,(Backdoors!AI12+IF(IF20&gt;=0.45,VLOOKUP(Calculator!E23,tbSkills!DH3:DI6,2,FALSE)+IF(AND(Calculator!B8=TRUE,Backdoors!BI37=TRUE),VLOOKUP(Calculator!E23,tbSkills!DH3:DJ6,3,FALSE),0),0)))/100)),(1-(0.25*((-Backdoors!AI12-IF(IF20&gt;=0.45,VLOOKUP(Calculator!E23,tbSkills!DH3:DI6,2,FALSE)+IF(AND(Calculator!B8=TRUE,Backdoors!BI37=TRUE),VLOOKUP(Calculator!E23,tbSkills!DH3:DJ6,3,FALSE),0),0))/100)))),1),"")</f>
        <v>1</v>
      </c>
      <c r="II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F20)*IH20)*(VLOOKUP(A20,tbMoveset!A2:C112,3,FALSE)/100)*IF(VLOOKUP(A20,tbMoveset!A2:B112,2,FALSE)="Projectile",Backdoors!N10,Backdoors!N9),0),"")</f>
        <v/>
      </c>
      <c r="IJ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IF20&gt;=0.45,VLOOKUP(Calculator!E23,tbSkills!DH3:DI6,2,FALSE)+IF(AND(Calculator!B8=TRUE,Backdoors!BI37=TRUE),VLOOKUP(Calculator!E23,tbSkills!DH3:DJ6,3,FALSE),0),0))&gt;=100,100,(Backdoors!AI12+IF(IF20&gt;=0.45,VLOOKUP(Calculator!E23,tbSkills!DH3:DI6,2,FALSE)+IF(AND(Calculator!B8=TRUE,Backdoors!BI37=TRUE),VLOOKUP(Calculator!E23,tbSkills!DH3:DJ6,3,FALSE),0),0)))/100)),1))*IF(VLOOKUP(A20,tbMoveset!A2:K112,11,FALSE)=TRUE,Backdoors!AC5,1))*IG20,0),"")</f>
        <v>0</v>
      </c>
      <c r="IK20" s="49">
        <f>VLOOKUP(A20,tbMoveset!A2:G112,7,FALSE)*IFERROR(IF(Backdoors!AI12&gt;=0,1+(IF(Calculator!E40&gt;0,VLOOKUP(Calculator!E40,tbSkills!AI3:AJ5,2,FALSE),Backdoors!AL4)*(IF((Backdoors!AI12+IF(IF20&gt;=0.45,VLOOKUP(Calculator!E23,tbSkills!DH3:DI6,2,FALSE)+IF(AND(Calculator!B8=TRUE,Backdoors!BI37=TRUE),VLOOKUP(Calculator!E23,tbSkills!DH3:DJ6,3,FALSE),0),0))&gt;=100,100,(Backdoors!AI12+IF(IF20&gt;=0.45,VLOOKUP(Calculator!E23,tbSkills!DH3:DI6,2,FALSE)+IF(AND(Calculator!B8=TRUE,Backdoors!BI37=TRUE),VLOOKUP(Calculator!E23,tbSkills!DH3:DJ6,3,FALSE),0),0)))/100)),1),1)</f>
        <v>0.5</v>
      </c>
      <c r="IL20" s="87">
        <f t="shared" si="27"/>
        <v>0</v>
      </c>
      <c r="IM20" s="86" t="str">
        <f>IFERROR(IF(VLOOKUP(A20,tbMoveset!A2:B112,2,FALSE)="Sever",Backdoors!AY38/100,IF(VLOOKUP(A20,tbMoveset!A2:B112,2,FALSE)="Blunt",Backdoors!AZ38/100,Backdoors!BA38/100)),"")</f>
        <v/>
      </c>
      <c r="IN20" s="49">
        <f>IFERROR(IF(VLOOKUP(tbMoveset!A20,tbMoveset!A2:H112,8,FALSE)="Other",IF(VLOOKUP(tbMoveset!A20,tbMoveset!A2:I112,9,FALSE)="Fire",Backdoors!BB38,IF(VLOOKUP(tbMoveset!A20,tbMoveset!A2:I112,9,FALSE)="Water",Backdoors!BC38,IF(VLOOKUP(tbMoveset!A20,tbMoveset!A2:I112,9,FALSE)="Thunder",Backdoors!BD38,IF(VLOOKUP(tbMoveset!A20,tbMoveset!A2:I112,9,FALSE)="Ice",Backdoors!BE38,IF(VLOOKUP(tbMoveset!A20,tbMoveset!A2:I112,9,FALSE)="Dragon",Backdoors!BF38,Backdoors!BG38)))))/100,Backdoors!BG38/100),"")</f>
        <v>0</v>
      </c>
      <c r="IO20" s="49">
        <f>IFERROR(IF(VLOOKUP(A20,tbMoveset!A2:J112,10,FALSE)=TRUE,IF((Backdoors!AI12+IF(IM20&gt;=0.45,VLOOKUP(Calculator!E23,tbSkills!DH3:DI6,2,FALSE)+IF(AND(Calculator!B8=TRUE,Backdoors!BI38=TRUE),VLOOKUP(Calculator!E23,tbSkills!DH3:DJ6,3,FALSE),0),0))&gt;=0,1+(Backdoors!AL2*(IF((Backdoors!AI12+IF(IM20&gt;=0.45,VLOOKUP(Calculator!E23,tbSkills!DH3:DI6,2,FALSE)+IF(AND(Calculator!B8=TRUE,Backdoors!BI38=TRUE),VLOOKUP(Calculator!E23,tbSkills!DH3:DJ6,3,FALSE),0),0))&gt;=100,100,(Backdoors!AI12+IF(IM20&gt;=0.45,VLOOKUP(Calculator!E23,tbSkills!DH3:DI6,2,FALSE)+IF(AND(Calculator!B8=TRUE,Backdoors!BI38=TRUE),VLOOKUP(Calculator!E23,tbSkills!DH3:DJ6,3,FALSE),0),0)))/100)),(1-(0.25*((-Backdoors!AI12-IF(IM20&gt;=0.45,VLOOKUP(Calculator!E23,tbSkills!DH3:DI6,2,FALSE)+IF(AND(Calculator!B8=TRUE,Backdoors!BI38=TRUE),VLOOKUP(Calculator!E23,tbSkills!DH3:DJ6,3,FALSE),0),0))/100)))),1),"")</f>
        <v>1</v>
      </c>
      <c r="IP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M20)*IO20)*(VLOOKUP(A20,tbMoveset!A2:C112,3,FALSE)/100)*IF(VLOOKUP(A20,tbMoveset!A2:B112,2,FALSE)="Projectile",Backdoors!N10,Backdoors!N9),0),"")</f>
        <v/>
      </c>
      <c r="IQ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IM20&gt;=0.45,VLOOKUP(Calculator!E23,tbSkills!DH3:DI6,2,FALSE)+IF(AND(Calculator!B8=TRUE,Backdoors!BI38=TRUE),VLOOKUP(Calculator!E23,tbSkills!DH3:DJ6,3,FALSE),0),0))&gt;=100,100,(Backdoors!AI12+IF(IM20&gt;=0.45,VLOOKUP(Calculator!E23,tbSkills!DH3:DI6,2,FALSE)+IF(AND(Calculator!B8=TRUE,Backdoors!BI38=TRUE),VLOOKUP(Calculator!E23,tbSkills!DH3:DJ6,3,FALSE),0),0)))/100)),1))*IF(VLOOKUP(A20,tbMoveset!A2:K112,11,FALSE)=TRUE,Backdoors!AC5,1))*IN20,0),"")</f>
        <v>0</v>
      </c>
      <c r="IR20" s="49">
        <f>VLOOKUP(A20,tbMoveset!A2:G112,7,FALSE)*IFERROR(IF(Backdoors!AI12&gt;=0,1+(IF(Calculator!E40&gt;0,VLOOKUP(Calculator!E40,tbSkills!AI3:AJ5,2,FALSE),Backdoors!AL4)*(IF((Backdoors!AI12+IF(IM20&gt;=0.45,VLOOKUP(Calculator!E23,tbSkills!DH3:DI6,2,FALSE)+IF(AND(Calculator!B8=TRUE,Backdoors!BI38=TRUE),VLOOKUP(Calculator!E23,tbSkills!DH3:DJ6,3,FALSE),0),0))&gt;=100,100,(Backdoors!AI12+IF(IM20&gt;=0.45,VLOOKUP(Calculator!E23,tbSkills!DH3:DI6,2,FALSE)+IF(AND(Calculator!B8=TRUE,Backdoors!BI38=TRUE),VLOOKUP(Calculator!E23,tbSkills!DH3:DJ6,3,FALSE),0),0)))/100)),1),1)</f>
        <v>0.5</v>
      </c>
      <c r="IS20" s="87">
        <f t="shared" si="42"/>
        <v>0</v>
      </c>
      <c r="IT20" s="86" t="str">
        <f>IFERROR(IF(VLOOKUP(A20,tbMoveset!A2:B112,2,FALSE)="Sever",Backdoors!AY39/100,IF(VLOOKUP(A20,tbMoveset!A2:B112,2,FALSE)="Blunt",Backdoors!AZ39/100,Backdoors!BA39/100)),"")</f>
        <v/>
      </c>
      <c r="IU20" s="49">
        <f>IFERROR(IF(VLOOKUP(tbMoveset!A20,tbMoveset!A2:H112,8,FALSE)="Other",IF(VLOOKUP(tbMoveset!A20,tbMoveset!A2:I112,9,FALSE)="Fire",Backdoors!BB39,IF(VLOOKUP(tbMoveset!A20,tbMoveset!A2:I112,9,FALSE)="Water",Backdoors!BC39,IF(VLOOKUP(tbMoveset!A20,tbMoveset!A2:I112,9,FALSE)="Thunder",Backdoors!BD39,IF(VLOOKUP(tbMoveset!A20,tbMoveset!A2:I112,9,FALSE)="Ice",Backdoors!BE39,IF(VLOOKUP(tbMoveset!A20,tbMoveset!A2:I112,9,FALSE)="Dragon",Backdoors!BF39,Backdoors!BG39)))))/100,Backdoors!BG39/100),"")</f>
        <v>0</v>
      </c>
      <c r="IV20" s="49">
        <f>IFERROR(IF(VLOOKUP(A20,tbMoveset!A2:J112,10,FALSE)=TRUE,IF((Backdoors!AI12+IF(IT20&gt;=0.45,VLOOKUP(Calculator!E23,tbSkills!DH3:DI6,2,FALSE)+IF(AND(Calculator!B8=TRUE,Backdoors!BI39=TRUE),VLOOKUP(Calculator!E23,tbSkills!DH3:DJ6,3,FALSE),0),0))&gt;=0,1+(Backdoors!AL2*(IF((Backdoors!AI12+IF(IT20&gt;=0.45,VLOOKUP(Calculator!E23,tbSkills!DH3:DI6,2,FALSE)+IF(AND(Calculator!B8=TRUE,Backdoors!BI39=TRUE),VLOOKUP(Calculator!E23,tbSkills!DH3:DJ6,3,FALSE),0),0))&gt;=100,100,(Backdoors!AI12+IF(IT20&gt;=0.45,VLOOKUP(Calculator!E23,tbSkills!DH3:DI6,2,FALSE)+IF(AND(Calculator!B8=TRUE,Backdoors!BI39=TRUE),VLOOKUP(Calculator!E23,tbSkills!DH3:DJ6,3,FALSE),0),0)))/100)),(1-(0.25*((-Backdoors!AI12-IF(IT20&gt;=0.45,VLOOKUP(Calculator!E23,tbSkills!DH3:DI6,2,FALSE)+IF(AND(Calculator!B8=TRUE,Backdoors!BI39=TRUE),VLOOKUP(Calculator!E23,tbSkills!DH3:DJ6,3,FALSE),0),0))/100)))),1),"")</f>
        <v>1</v>
      </c>
      <c r="IW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T20)*IV20)*(VLOOKUP(A20,tbMoveset!A2:C112,3,FALSE)/100)*IF(VLOOKUP(A20,tbMoveset!A2:B112,2,FALSE)="Projectile",Backdoors!N10,Backdoors!N9),0),"")</f>
        <v/>
      </c>
      <c r="IX20" s="49">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40&gt;0,VLOOKUP(Calculator!E40,tbSkills!AC3:AD5,2,FALSE),Backdoors!AL3)*(IF((Backdoors!AI12+IF(IT20&gt;=0.45,VLOOKUP(Calculator!E23,tbSkills!DH3:DI6,2,FALSE)+IF(AND(Calculator!B8=TRUE,Backdoors!BI39=TRUE),VLOOKUP(Calculator!E23,tbSkills!DH3:DJ6,3,FALSE),0),0))&gt;=100,100,(Backdoors!AI12+IF(IT20&gt;=0.45,VLOOKUP(Calculator!E23,tbSkills!DH3:DI6,2,FALSE)+IF(AND(Calculator!B8=TRUE,Backdoors!BI39=TRUE),VLOOKUP(Calculator!E23,tbSkills!DH3:DJ6,3,FALSE),0),0)))/100)),1))*IF(VLOOKUP(A20,tbMoveset!A2:K112,11,FALSE)=TRUE,Backdoors!AC5,1))*IU20,0),"")</f>
        <v>0</v>
      </c>
      <c r="IY20" s="49">
        <f>VLOOKUP(A20,tbMoveset!A2:G112,7,FALSE)*IFERROR(IF(Backdoors!AI12&gt;=0,1+(IF(Calculator!E40&gt;0,VLOOKUP(Calculator!E40,tbSkills!AI3:AJ5,2,FALSE),Backdoors!AL4)*(IF((Backdoors!AI12+IF(IT20&gt;=0.45,VLOOKUP(Calculator!E23,tbSkills!DH3:DI6,2,FALSE)+IF(AND(Calculator!B8=TRUE,Backdoors!BI39=TRUE),VLOOKUP(Calculator!E23,tbSkills!DH3:DJ6,3,FALSE),0),0))&gt;=100,100,(Backdoors!AI12+IF(IT20&gt;=0.45,VLOOKUP(Calculator!E23,tbSkills!DH3:DI6,2,FALSE)+IF(AND(Calculator!B8=TRUE,Backdoors!BI39=TRUE),VLOOKUP(Calculator!E23,tbSkills!DH3:DJ6,3,FALSE),0),0)))/100)),1),1)</f>
        <v>0.5</v>
      </c>
      <c r="IZ20" s="87">
        <f t="shared" si="28"/>
        <v>0</v>
      </c>
      <c r="JA20" s="86" t="str">
        <f>IFERROR(IF(VLOOKUP(A20,tbMoveset!A2:B112,2,FALSE)="Sever",Backdoors!AY40/100,IF(VLOOKUP(A20,tbMoveset!A2:B112,2,FALSE)="Blunt",Backdoors!AZ40/100,Backdoors!BA40/100)),"")</f>
        <v/>
      </c>
      <c r="JB20" s="49">
        <f>IFERROR(IF(VLOOKUP(tbMoveset!A20,tbMoveset!A2:H112,8,FALSE)="Other",IF(VLOOKUP(tbMoveset!A20,tbMoveset!A2:I112,9,FALSE)="Fire",Backdoors!BB40,IF(VLOOKUP(tbMoveset!A20,tbMoveset!A2:I112,9,FALSE)="Water",Backdoors!BC40,IF(VLOOKUP(tbMoveset!A20,tbMoveset!A2:I112,9,FALSE)="Thunder",Backdoors!BD40,IF(VLOOKUP(tbMoveset!A20,tbMoveset!A2:I112,9,FALSE)="Ice",Backdoors!BE40,IF(VLOOKUP(tbMoveset!A20,tbMoveset!A2:I112,9,FALSE)="Dragon",Backdoors!BF40,Backdoors!BG40)))))/100,Backdoors!BG40/100),"")</f>
        <v>0</v>
      </c>
      <c r="JC20" s="49">
        <f>IFERROR(IF(VLOOKUP(A20,tbMoveset!A2:J112,10,FALSE)=TRUE,IF((Backdoors!AI12+IF(JA20&gt;=0.45,VLOOKUP(Calculator!E23,tbSkills!DH3:DI6,2,FALSE)+IF(AND(Calculator!B8=TRUE,Backdoors!BI40=TRUE),VLOOKUP(Calculator!E23,tbSkills!DH3:DJ6,3,FALSE),0),0))&gt;=0,1+(Backdoors!AL2*(IF((Backdoors!AI12+IF(JA20&gt;=0.45,VLOOKUP(Calculator!E23,tbSkills!DH3:DI6,2,FALSE)+IF(AND(Calculator!B8=TRUE,Backdoors!BI40=TRUE),VLOOKUP(Calculator!E23,tbSkills!DH3:DJ6,3,FALSE),0),0))&gt;=100,100,(Backdoors!AI12+IF(JA20&gt;=0.45,VLOOKUP(Calculator!E23,tbSkills!DH3:DI6,2,FALSE)+IF(AND(Calculator!B8=TRUE,Backdoors!BI40=TRUE),VLOOKUP(Calculator!E23,tbSkills!DH3:DJ6,3,FALSE),0),0)))/100)),(1-(0.25*((-Backdoors!AI12-IF(JA20&gt;=0.45,VLOOKUP(Calculator!E23,tbSkills!DH3:DI6,2,FALSE)+IF(AND(Calculator!B8=TRUE,Backdoors!BI40=TRUE),VLOOKUP(Calculator!E23,tbSkills!DH3:DJ6,3,FALSE),0),0))/100)))),1),"")</f>
        <v>1</v>
      </c>
      <c r="JD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A20)*JC20)*(VLOOKUP(A20,tbMoveset!A2:C112,3,FALSE)/100)*IF(VLOOKUP(A20,tbMoveset!A2:B112,2,FALSE)="Projectile",Backdoors!N10,Backdoors!N9),0),"")</f>
        <v/>
      </c>
      <c r="JE20" s="49">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42&gt;0,VLOOKUP(Calculator!E42,tbSkills!AC3:AD5,2,FALSE),Backdoors!AL3)*(IF((Backdoors!AI12+IF(JA20&gt;=0.45,VLOOKUP(Calculator!E23,tbSkills!DH3:DI6,2,FALSE)+IF(AND(Calculator!B8=TRUE,Backdoors!BI40=TRUE),VLOOKUP(Calculator!E23,tbSkills!DH3:DJ6,3,FALSE),0),0))&gt;=100,100,(Backdoors!AI12+IF(JA20&gt;=0.45,VLOOKUP(Calculator!E23,tbSkills!DH3:DI6,2,FALSE)+IF(AND(Calculator!B8=TRUE,Backdoors!BI40=TRUE),VLOOKUP(Calculator!E23,tbSkills!DH3:DJ6,3,FALSE),0),0)))/100)),1))*IF(VLOOKUP(A20,tbMoveset!A2:K112,11,FALSE)=TRUE,Backdoors!AC5,1))*JB20,0),"")</f>
        <v>0</v>
      </c>
      <c r="JF20" s="49">
        <f>VLOOKUP(A20,tbMoveset!A2:G112,7,FALSE)*IFERROR(IF(Backdoors!AI12&gt;=0,1+(IF(Calculator!E40&gt;0,VLOOKUP(Calculator!E40,tbSkills!AI3:AJ5,2,FALSE),Backdoors!AL4)*(IF((Backdoors!AI12+IF(JA20&gt;=0.45,VLOOKUP(Calculator!E23,tbSkills!DH3:DI6,2,FALSE)+IF(AND(Calculator!B8=TRUE,Backdoors!BI40=TRUE),VLOOKUP(Calculator!E23,tbSkills!DH3:DJ6,3,FALSE),0),0))&gt;=100,100,(Backdoors!AI12+IF(JA20&gt;=0.45,VLOOKUP(Calculator!E23,tbSkills!DH3:DI6,2,FALSE)+IF(AND(Calculator!B8=TRUE,Backdoors!BI40=TRUE),VLOOKUP(Calculator!E23,tbSkills!DH3:DJ6,3,FALSE),0),0)))/100)),1),1)</f>
        <v>0.5</v>
      </c>
      <c r="JG20" s="87">
        <f t="shared" si="29"/>
        <v>0</v>
      </c>
      <c r="JH20" s="86" t="str">
        <f>IFERROR(IF(VLOOKUP(A20,tbMoveset!A2:B112,2,FALSE)="Sever",Backdoors!AY41/100,IF(VLOOKUP(A20,tbMoveset!A2:B112,2,FALSE)="Blunt",Backdoors!AZ41/100,Backdoors!BA41/100)),"")</f>
        <v/>
      </c>
      <c r="JI20" s="49">
        <f>IFERROR(IF(VLOOKUP(tbMoveset!A20,tbMoveset!A2:H112,8,FALSE)="Other",IF(VLOOKUP(tbMoveset!A20,tbMoveset!A2:I112,9,FALSE)="Fire",Backdoors!BB41,IF(VLOOKUP(tbMoveset!A20,tbMoveset!A2:I112,9,FALSE)="Water",Backdoors!BC41,IF(VLOOKUP(tbMoveset!A20,tbMoveset!A2:I112,9,FALSE)="Thunder",Backdoors!BD41,IF(VLOOKUP(tbMoveset!A20,tbMoveset!A2:I112,9,FALSE)="Ice",Backdoors!BE41,IF(VLOOKUP(tbMoveset!A20,tbMoveset!A2:I112,9,FALSE)="Dragon",Backdoors!BF41,Backdoors!BG41)))))/100,Backdoors!BG41/100),"")</f>
        <v>0</v>
      </c>
      <c r="JJ20" s="49">
        <f>IFERROR(IF(VLOOKUP(A20,tbMoveset!A2:J112,10,FALSE)=TRUE,IF((Backdoors!AI12+IF(JH20&gt;=0.45,VLOOKUP(Calculator!E23,tbSkills!DH3:DI6,2,FALSE)+IF(AND(Calculator!B8=TRUE,Backdoors!BI41=TRUE),VLOOKUP(Calculator!E23,tbSkills!DH3:DJ6,3,FALSE),0),0))&gt;=0,1+(Backdoors!AL2*(IF((Backdoors!AI12+IF(JH20&gt;=0.45,VLOOKUP(Calculator!E23,tbSkills!DH3:DI6,2,FALSE)+IF(AND(Calculator!B8=TRUE,Backdoors!BI41=TRUE),VLOOKUP(Calculator!E23,tbSkills!DH3:DJ6,3,FALSE),0),0))&gt;=100,100,(Backdoors!AI12+IF(JH20&gt;=0.45,VLOOKUP(Calculator!E23,tbSkills!DH3:DI6,2,FALSE)+IF(AND(Calculator!B8=TRUE,Backdoors!BI41=TRUE),VLOOKUP(Calculator!E23,tbSkills!DH3:DJ6,3,FALSE),0),0)))/100)),(1-(0.25*((-Backdoors!AI12-IF(JH20&gt;=0.45,VLOOKUP(Calculator!E23,tbSkills!DH3:DI6,2,FALSE)+IF(AND(Calculator!B8=TRUE,Backdoors!BI41=TRUE),VLOOKUP(Calculator!E23,tbSkills!DH3:DJ6,3,FALSE),0),0))/100)))),1),"")</f>
        <v>1</v>
      </c>
      <c r="JK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H20)*JJ20)*(VLOOKUP(A20,tbMoveset!A2:C112,3,FALSE)/100)*IF(VLOOKUP(A20,tbMoveset!A2:B112,2,FALSE)="Projectile",Backdoors!N10,Backdoors!N9),0),"")</f>
        <v/>
      </c>
      <c r="JL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43&gt;0,VLOOKUP(Calculator!E43,tbSkills!AC3:AD5,2,FALSE),Backdoors!AL3)*(IF((Backdoors!AI12+IF(JH20&gt;=0.45,VLOOKUP(Calculator!E23,tbSkills!DH3:DI6,2,FALSE)+IF(AND(Calculator!B8=TRUE,Backdoors!BI41=TRUE),VLOOKUP(Calculator!E23,tbSkills!DH3:DJ6,3,FALSE),0),0))&gt;=100,100,(Backdoors!AI12+IF(JH20&gt;=0.45,VLOOKUP(Calculator!E23,tbSkills!DH3:DI6,2,FALSE)+IF(AND(Calculator!B8=TRUE,Backdoors!BI41=TRUE),VLOOKUP(Calculator!E23,tbSkills!DH3:DJ6,3,FALSE),0),0)))/100)),1))*IF(VLOOKUP(A20,tbMoveset!A2:K112,11,FALSE)=TRUE,Backdoors!AC5,1))*JI20,0),"")</f>
        <v/>
      </c>
      <c r="JM20" s="49">
        <f>VLOOKUP(A20,tbMoveset!A2:G112,7,FALSE)*IFERROR(IF(Backdoors!AI12&gt;=0,1+(IF(Calculator!E40&gt;0,VLOOKUP(Calculator!E40,tbSkills!AI3:AJ5,2,FALSE),Backdoors!AL4)*(IF((Backdoors!AI12+IF(JH20&gt;=0.45,VLOOKUP(Calculator!E23,tbSkills!DH3:DI6,2,FALSE)+IF(AND(Calculator!B8=TRUE,Backdoors!BI41=TRUE),VLOOKUP(Calculator!E23,tbSkills!DH3:DJ6,3,FALSE),0),0))&gt;=100,100,(Backdoors!AI12+IF(JH20&gt;=0.45,VLOOKUP(Calculator!E23,tbSkills!DH3:DI6,2,FALSE)+IF(AND(Calculator!B8=TRUE,Backdoors!BI41=TRUE),VLOOKUP(Calculator!E23,tbSkills!DH3:DJ6,3,FALSE),0),0)))/100)),1),1)</f>
        <v>0.5</v>
      </c>
      <c r="JN20" s="87">
        <f t="shared" si="30"/>
        <v>0</v>
      </c>
      <c r="JO20" s="86" t="str">
        <f>IFERROR(IF(VLOOKUP(A20,tbMoveset!A2:B112,2,FALSE)="Sever",Backdoors!AY42/100,IF(VLOOKUP(A20,tbMoveset!A2:B112,2,FALSE)="Blunt",Backdoors!AZ42/100,Backdoors!BA42/100)),"")</f>
        <v/>
      </c>
      <c r="JP20" s="49">
        <f>IFERROR(IF(VLOOKUP(tbMoveset!A20,tbMoveset!A2:H112,8,FALSE)="Other",IF(VLOOKUP(tbMoveset!A20,tbMoveset!A2:I112,9,FALSE)="Fire",Backdoors!BB42,IF(VLOOKUP(tbMoveset!A20,tbMoveset!A2:I112,9,FALSE)="Water",Backdoors!BC42,IF(VLOOKUP(tbMoveset!A20,tbMoveset!A2:I112,9,FALSE)="Thunder",Backdoors!BD42,IF(VLOOKUP(tbMoveset!A20,tbMoveset!A2:I112,9,FALSE)="Ice",Backdoors!BE42,IF(VLOOKUP(tbMoveset!A20,tbMoveset!A2:I112,9,FALSE)="Dragon",Backdoors!BF42,Backdoors!BG42)))))/100,Backdoors!BG42/100),"")</f>
        <v>0</v>
      </c>
      <c r="JQ20" s="49">
        <f>IFERROR(IF(VLOOKUP(A20,tbMoveset!A2:J112,10,FALSE)=TRUE,IF((Backdoors!AI12+IF(JO20&gt;=0.45,VLOOKUP(Calculator!E23,tbSkills!DH3:DI6,2,FALSE)+IF(AND(Calculator!B8=TRUE,Backdoors!BI42=TRUE),VLOOKUP(Calculator!E23,tbSkills!DH3:DJ6,3,FALSE),0),0))&gt;=0,1+(Backdoors!AL2*(IF((Backdoors!AI12+IF(JO20&gt;=0.45,VLOOKUP(Calculator!E23,tbSkills!DH3:DI6,2,FALSE)+IF(AND(Calculator!B8=TRUE,Backdoors!BI42=TRUE),VLOOKUP(Calculator!E23,tbSkills!DH3:DJ6,3,FALSE),0),0))&gt;=100,100,(Backdoors!AI12+IF(JO20&gt;=0.45,VLOOKUP(Calculator!E23,tbSkills!DH3:DI6,2,FALSE)+IF(AND(Calculator!B8=TRUE,Backdoors!BI42=TRUE),VLOOKUP(Calculator!E23,tbSkills!DH3:DJ6,3,FALSE),0),0)))/100)),(1-(0.25*((-Backdoors!AI12-IF(JO20&gt;=0.45,VLOOKUP(Calculator!E23,tbSkills!DH3:DI6,2,FALSE)+IF(AND(Calculator!B8=TRUE,Backdoors!BI42=TRUE),VLOOKUP(Calculator!E23,tbSkills!DH3:DJ6,3,FALSE),0),0))/100)))),1),"")</f>
        <v>1</v>
      </c>
      <c r="JR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O20)*JQ20)*(VLOOKUP(A20,tbMoveset!A2:C112,3,FALSE)/100)*IF(VLOOKUP(A20,tbMoveset!A2:B112,2,FALSE)="Projectile",Backdoors!N10,Backdoors!N9),0),"")</f>
        <v/>
      </c>
      <c r="JS20" s="49">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45&gt;0,VLOOKUP(Calculator!E45,tbSkills!AC3:AD5,2,FALSE),Backdoors!AL3)*(IF((Backdoors!AI12+IF(JO20&gt;=0.45,VLOOKUP(Calculator!E23,tbSkills!DH3:DI6,2,FALSE)+IF(AND(Calculator!B8=TRUE,Backdoors!BI42=TRUE),VLOOKUP(Calculator!E23,tbSkills!DH3:DJ6,3,FALSE),0),0))&gt;=100,100,(Backdoors!AI12+IF(JO20&gt;=0.45,VLOOKUP(Calculator!E23,tbSkills!DH3:DI6,2,FALSE)+IF(AND(Calculator!B8=TRUE,Backdoors!BI42=TRUE),VLOOKUP(Calculator!E23,tbSkills!DH3:DJ6,3,FALSE),0),0)))/100)),1))*IF(VLOOKUP(A20,tbMoveset!A2:K112,11,FALSE)=TRUE,Backdoors!AC5,1))*JP20,0),"")</f>
        <v>0</v>
      </c>
      <c r="JT20" s="49">
        <f>VLOOKUP(A20,tbMoveset!A2:G112,7,FALSE)*IFERROR(IF(Backdoors!AI12&gt;=0,1+(IF(Calculator!E40&gt;0,VLOOKUP(Calculator!E40,tbSkills!AI3:AJ5,2,FALSE),Backdoors!AL4)*(IF((Backdoors!AI12+IF(JO20&gt;=0.45,VLOOKUP(Calculator!E23,tbSkills!DH3:DI6,2,FALSE)+IF(AND(Calculator!B8=TRUE,Backdoors!BI42=TRUE),VLOOKUP(Calculator!E23,tbSkills!DH3:DJ6,3,FALSE),0),0))&gt;=100,100,(Backdoors!AI12+IF(JO20&gt;=0.45,VLOOKUP(Calculator!E23,tbSkills!DH3:DI6,2,FALSE)+IF(AND(Calculator!B8=TRUE,Backdoors!BI42=TRUE),VLOOKUP(Calculator!E23,tbSkills!DH3:DJ6,3,FALSE),0),0)))/100)),1),1)</f>
        <v>0.5</v>
      </c>
      <c r="JU20" s="87">
        <f t="shared" si="31"/>
        <v>0</v>
      </c>
      <c r="JV20" s="86" t="str">
        <f>IFERROR(IF(VLOOKUP(A20,tbMoveset!A2:B112,2,FALSE)="Sever",Backdoors!AY43/100,IF(VLOOKUP(A20,tbMoveset!A2:B112,2,FALSE)="Blunt",Backdoors!AZ43/100,Backdoors!BA43/100)),"")</f>
        <v/>
      </c>
      <c r="JW20" s="49">
        <f>IFERROR(IF(VLOOKUP(tbMoveset!A20,tbMoveset!A2:H112,8,FALSE)="Other",IF(VLOOKUP(tbMoveset!A20,tbMoveset!A2:I112,9,FALSE)="Fire",Backdoors!BB43,IF(VLOOKUP(tbMoveset!A20,tbMoveset!A2:I112,9,FALSE)="Water",Backdoors!BC43,IF(VLOOKUP(tbMoveset!A20,tbMoveset!A2:I112,9,FALSE)="Thunder",Backdoors!BD43,IF(VLOOKUP(tbMoveset!A20,tbMoveset!A2:I112,9,FALSE)="Ice",Backdoors!BE43,IF(VLOOKUP(tbMoveset!A20,tbMoveset!A2:I112,9,FALSE)="Dragon",Backdoors!BF43,Backdoors!BG43)))))/100,Backdoors!BG43/100),"")</f>
        <v>0</v>
      </c>
      <c r="JX20" s="49">
        <f>IFERROR(IF(VLOOKUP(A20,tbMoveset!A2:J112,10,FALSE)=TRUE,IF((Backdoors!AI12+IF(JV20&gt;=0.45,VLOOKUP(Calculator!E23,tbSkills!DH3:DI6,2,FALSE)+IF(AND(Calculator!B8=TRUE,Backdoors!BI43=TRUE),VLOOKUP(Calculator!E23,tbSkills!DH3:DJ6,3,FALSE),0),0))&gt;=0,1+(Backdoors!AL2*(IF((Backdoors!AI12+IF(JV20&gt;=0.45,VLOOKUP(Calculator!E23,tbSkills!DH3:DI6,2,FALSE)+IF(AND(Calculator!B8=TRUE,Backdoors!BI43=TRUE),VLOOKUP(Calculator!E23,tbSkills!DH3:DJ6,3,FALSE),0),0))&gt;=100,100,(Backdoors!AI12+IF(JV20&gt;=0.45,VLOOKUP(Calculator!E23,tbSkills!DH3:DI6,2,FALSE)+IF(AND(Calculator!B8=TRUE,Backdoors!BI43=TRUE),VLOOKUP(Calculator!E23,tbSkills!DH3:DJ6,3,FALSE),0),0)))/100)),(1-(0.25*((-Backdoors!AI12-IF(JV20&gt;=0.45,VLOOKUP(Calculator!E23,tbSkills!DH3:DI6,2,FALSE)+IF(AND(Calculator!B8=TRUE,Backdoors!BI43=TRUE),VLOOKUP(Calculator!E23,tbSkills!DH3:DJ6,3,FALSE),0),0))/100)))),1),"")</f>
        <v>1</v>
      </c>
      <c r="JY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V20)*JX20)*(VLOOKUP(A20,tbMoveset!A2:C112,3,FALSE)/100)*IF(VLOOKUP(A20,tbMoveset!A2:B112,2,FALSE)="Projectile",Backdoors!N10,Backdoors!N9),0),"")</f>
        <v/>
      </c>
      <c r="JZ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46&gt;0,VLOOKUP(Calculator!E46,tbSkills!AC3:AD5,2,FALSE),Backdoors!AL3)*(IF((Backdoors!AI12+IF(JV20&gt;=0.45,VLOOKUP(Calculator!E23,tbSkills!DH3:DI6,2,FALSE)+IF(AND(Calculator!B8=TRUE,Backdoors!BI43=TRUE),VLOOKUP(Calculator!E23,tbSkills!DH3:DJ6,3,FALSE),0),0))&gt;=100,100,(Backdoors!AI12+IF(JV20&gt;=0.45,VLOOKUP(Calculator!E23,tbSkills!DH3:DI6,2,FALSE)+IF(AND(Calculator!B8=TRUE,Backdoors!BI43=TRUE),VLOOKUP(Calculator!E23,tbSkills!DH3:DJ6,3,FALSE),0),0)))/100)),1))*IF(VLOOKUP(A20,tbMoveset!A2:K112,11,FALSE)=TRUE,Backdoors!AC5,1))*JW20,0),"")</f>
        <v/>
      </c>
      <c r="KA20" s="49">
        <f>VLOOKUP(A20,tbMoveset!A2:G112,7,FALSE)*IFERROR(IF(Backdoors!AI12&gt;=0,1+(IF(Calculator!E40&gt;0,VLOOKUP(Calculator!E40,tbSkills!AI3:AJ5,2,FALSE),Backdoors!AL4)*(IF((Backdoors!AI12+IF(JV20&gt;=0.45,VLOOKUP(Calculator!E23,tbSkills!DH3:DI6,2,FALSE)+IF(AND(Calculator!B8=TRUE,Backdoors!BI43=TRUE),VLOOKUP(Calculator!E23,tbSkills!DH3:DJ6,3,FALSE),0),0))&gt;=100,100,(Backdoors!AI12+IF(JV20&gt;=0.45,VLOOKUP(Calculator!E23,tbSkills!DH3:DI6,2,FALSE)+IF(AND(Calculator!B8=TRUE,Backdoors!BI43=TRUE),VLOOKUP(Calculator!E23,tbSkills!DH3:DJ6,3,FALSE),0),0)))/100)),1),1)</f>
        <v>0.5</v>
      </c>
      <c r="KB20" s="87">
        <f t="shared" si="32"/>
        <v>0</v>
      </c>
      <c r="KC20" s="86" t="str">
        <f>IFERROR(IF(VLOOKUP(A20,tbMoveset!A2:B112,2,FALSE)="Sever",Backdoors!AY44/100,IF(VLOOKUP(A20,tbMoveset!A2:B112,2,FALSE)="Blunt",Backdoors!AZ44/100,Backdoors!BA44/100)),"")</f>
        <v/>
      </c>
      <c r="KD20" s="49">
        <f>IFERROR(IF(VLOOKUP(tbMoveset!A20,tbMoveset!A2:H112,8,FALSE)="Other",IF(VLOOKUP(tbMoveset!A20,tbMoveset!A2:I112,9,FALSE)="Fire",Backdoors!BB44,IF(VLOOKUP(tbMoveset!A20,tbMoveset!A2:I112,9,FALSE)="Water",Backdoors!BC44,IF(VLOOKUP(tbMoveset!A20,tbMoveset!A2:I112,9,FALSE)="Thunder",Backdoors!BD44,IF(VLOOKUP(tbMoveset!A20,tbMoveset!A2:I112,9,FALSE)="Ice",Backdoors!BE44,IF(VLOOKUP(tbMoveset!A20,tbMoveset!A2:I112,9,FALSE)="Dragon",Backdoors!BF44,Backdoors!BG44)))))/100,Backdoors!BG44/100),"")</f>
        <v>0</v>
      </c>
      <c r="KE20" s="49">
        <f>IFERROR(IF(VLOOKUP(A20,tbMoveset!A2:J112,10,FALSE)=TRUE,IF((Backdoors!AI12+IF(KC20&gt;=0.45,VLOOKUP(Calculator!E23,tbSkills!DH3:DI6,2,FALSE)+IF(AND(Calculator!B8=TRUE,Backdoors!BI44=TRUE),VLOOKUP(Calculator!E23,tbSkills!DH3:DJ6,3,FALSE),0),0))&gt;=0,1+(Backdoors!AL2*(IF((Backdoors!AI12+IF(KC20&gt;=0.45,VLOOKUP(Calculator!E23,tbSkills!DH3:DI6,2,FALSE)+IF(AND(Calculator!B8=TRUE,Backdoors!BI44=TRUE),VLOOKUP(Calculator!E23,tbSkills!DH3:DJ6,3,FALSE),0),0))&gt;=100,100,(Backdoors!AI12+IF(KC20&gt;=0.45,VLOOKUP(Calculator!E23,tbSkills!DH3:DI6,2,FALSE)+IF(AND(Calculator!B8=TRUE,Backdoors!BI44=TRUE),VLOOKUP(Calculator!E23,tbSkills!DH3:DJ6,3,FALSE),0),0)))/100)),(1-(0.25*((-Backdoors!AI12-IF(KC20&gt;=0.45,VLOOKUP(Calculator!E23,tbSkills!DH3:DI6,2,FALSE)+IF(AND(Calculator!B8=TRUE,Backdoors!BI44=TRUE),VLOOKUP(Calculator!E23,tbSkills!DH3:DJ6,3,FALSE),0),0))/100)))),1),"")</f>
        <v>1</v>
      </c>
      <c r="KF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KC20)*KE20)*(VLOOKUP(A20,tbMoveset!A2:C112,3,FALSE)/100)*IF(VLOOKUP(A20,tbMoveset!A2:B112,2,FALSE)="Projectile",Backdoors!N10,Backdoors!N9),0),"")</f>
        <v/>
      </c>
      <c r="KG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REF!&gt;0,VLOOKUP(Calculator!#REF!,tbSkills!AC3:AD5,2,FALSE),Backdoors!AL3)*(IF((Backdoors!AI12+IF(KC20&gt;=0.45,VLOOKUP(Calculator!E23,tbSkills!DH3:DI6,2,FALSE)+IF(AND(Calculator!B8=TRUE,Backdoors!BI44=TRUE),VLOOKUP(Calculator!E23,tbSkills!DH3:DJ6,3,FALSE),0),0))&gt;=100,100,(Backdoors!AI12+IF(KC20&gt;=0.45,VLOOKUP(Calculator!E23,tbSkills!DH3:DI6,2,FALSE)+IF(AND(Calculator!B8=TRUE,Backdoors!BI44=TRUE),VLOOKUP(Calculator!E23,tbSkills!DH3:DJ6,3,FALSE),0),0)))/100)),1))*IF(VLOOKUP(A20,tbMoveset!A2:K112,11,FALSE)=TRUE,Backdoors!AC5,1))*KD20,0),"")</f>
        <v/>
      </c>
      <c r="KH20" s="49">
        <f>VLOOKUP(A20,tbMoveset!A2:G112,7,FALSE)*IFERROR(IF(Backdoors!AI12&gt;=0,1+(IF(Calculator!E40&gt;0,VLOOKUP(Calculator!E40,tbSkills!AI3:AJ5,2,FALSE),Backdoors!AL4)*(IF((Backdoors!AI12+IF(KC20&gt;=0.45,VLOOKUP(Calculator!E23,tbSkills!DH3:DI6,2,FALSE)+IF(AND(Calculator!B8=TRUE,Backdoors!BI44=TRUE),VLOOKUP(Calculator!E23,tbSkills!DH3:DJ6,3,FALSE),0),0))&gt;=100,100,(Backdoors!AI12+IF(KC20&gt;=0.45,VLOOKUP(Calculator!E23,tbSkills!DH3:DI6,2,FALSE)+IF(AND(Calculator!B8=TRUE,Backdoors!BI44=TRUE),VLOOKUP(Calculator!E23,tbSkills!DH3:DJ6,3,FALSE),0),0)))/100)),1),1)</f>
        <v>0.5</v>
      </c>
      <c r="KI20" s="87">
        <f t="shared" si="33"/>
        <v>0</v>
      </c>
      <c r="KJ20" s="86" t="str">
        <f>IFERROR(IF(VLOOKUP(A20,tbMoveset!A2:B112,2,FALSE)="Sever",Backdoors!AY45/100,IF(VLOOKUP(A20,tbMoveset!A2:B112,2,FALSE)="Blunt",Backdoors!AZ45/100,Backdoors!BA45/100)),"")</f>
        <v/>
      </c>
      <c r="KK20" s="49">
        <f>IFERROR(IF(VLOOKUP(tbMoveset!A20,tbMoveset!A2:H112,8,FALSE)="Other",IF(VLOOKUP(tbMoveset!A20,tbMoveset!A2:I112,9,FALSE)="Fire",Backdoors!BB45,IF(VLOOKUP(tbMoveset!A20,tbMoveset!A2:I112,9,FALSE)="Water",Backdoors!BC45,IF(VLOOKUP(tbMoveset!A20,tbMoveset!A2:I112,9,FALSE)="Thunder",Backdoors!BD45,IF(VLOOKUP(tbMoveset!A20,tbMoveset!A2:I112,9,FALSE)="Ice",Backdoors!BE45,IF(VLOOKUP(tbMoveset!A20,tbMoveset!A2:I112,9,FALSE)="Dragon",Backdoors!BF45,Backdoors!BG45)))))/100,Backdoors!BG45/100),"")</f>
        <v>0</v>
      </c>
      <c r="KL20" s="49">
        <f>IFERROR(IF(VLOOKUP(A20,tbMoveset!A2:J112,10,FALSE)=TRUE,IF((Backdoors!AI12+IF(KJ20&gt;=0.45,VLOOKUP(Calculator!E23,tbSkills!DH3:DI6,2,FALSE)+IF(AND(Calculator!B8=TRUE,Backdoors!BI45=TRUE),VLOOKUP(Calculator!E23,tbSkills!DH3:DJ6,3,FALSE),0),0))&gt;=0,1+(Backdoors!AL2*(IF((Backdoors!AI12+IF(KJ20&gt;=0.45,VLOOKUP(Calculator!E23,tbSkills!DH3:DI6,2,FALSE)+IF(AND(Calculator!B8=TRUE,Backdoors!BI45=TRUE),VLOOKUP(Calculator!E23,tbSkills!DH3:DJ6,3,FALSE),0),0))&gt;=100,100,(Backdoors!AI12+IF(KJ20&gt;=0.45,VLOOKUP(Calculator!E23,tbSkills!DH3:DI6,2,FALSE)+IF(AND(Calculator!B8=TRUE,Backdoors!BI45=TRUE),VLOOKUP(Calculator!E23,tbSkills!DH3:DJ6,3,FALSE),0),0)))/100)),(1-(0.25*((-Backdoors!AI12-IF(KJ20&gt;=0.45,VLOOKUP(Calculator!E23,tbSkills!DH3:DI6,2,FALSE)+IF(AND(Calculator!B8=TRUE,Backdoors!BI45=TRUE),VLOOKUP(Calculator!E23,tbSkills!DH3:DJ6,3,FALSE),0),0))/100)))),1),"")</f>
        <v>1</v>
      </c>
      <c r="KM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KJ20)*KL20)*(VLOOKUP(A20,tbMoveset!A2:C112,3,FALSE)/100)*IF(VLOOKUP(A20,tbMoveset!A2:B112,2,FALSE)="Projectile",Backdoors!N10,Backdoors!N9),0),"")</f>
        <v/>
      </c>
      <c r="KN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REF!&gt;0,VLOOKUP(Calculator!#REF!,tbSkills!AC3:AD5,2,FALSE),Backdoors!AL3)*(IF((Backdoors!AI12+IF(KJ20&gt;=0.45,VLOOKUP(Calculator!E23,tbSkills!DH3:DI6,2,FALSE)+IF(AND(Calculator!B8=TRUE,Backdoors!BI45=TRUE),VLOOKUP(Calculator!E23,tbSkills!DH3:DJ6,3,FALSE),0),0))&gt;=100,100,(Backdoors!AI12+IF(KJ20&gt;=0.45,VLOOKUP(Calculator!E23,tbSkills!DH3:DI6,2,FALSE)+IF(AND(Calculator!B8=TRUE,Backdoors!BI45=TRUE),VLOOKUP(Calculator!E23,tbSkills!DH3:DJ6,3,FALSE),0),0)))/100)),1))*IF(VLOOKUP(A20,tbMoveset!A2:K112,11,FALSE)=TRUE,Backdoors!AC5,1))*KK20,0),"")</f>
        <v/>
      </c>
      <c r="KO20" s="49">
        <f>VLOOKUP(A20,tbMoveset!A2:G112,7,FALSE)*IFERROR(IF(Backdoors!AI12&gt;=0,1+(IF(Calculator!E40&gt;0,VLOOKUP(Calculator!E40,tbSkills!AI3:AJ5,2,FALSE),Backdoors!AL4)*(IF((Backdoors!AI12+IF(KJ20&gt;=0.45,VLOOKUP(Calculator!E23,tbSkills!DH3:DI6,2,FALSE)+IF(AND(Calculator!B8=TRUE,Backdoors!BI45=TRUE),VLOOKUP(Calculator!E23,tbSkills!DH3:DJ6,3,FALSE),0),0))&gt;=100,100,(Backdoors!AI12+IF(KJ20&gt;=0.45,VLOOKUP(Calculator!E23,tbSkills!DH3:DI6,2,FALSE)+IF(AND(Calculator!B8=TRUE,Backdoors!BI45=TRUE),VLOOKUP(Calculator!E23,tbSkills!DH3:DJ6,3,FALSE),0),0)))/100)),1),1)</f>
        <v>0.5</v>
      </c>
      <c r="KP20" s="87">
        <f t="shared" si="34"/>
        <v>0</v>
      </c>
      <c r="KQ20" s="86" t="str">
        <f>IFERROR(IF(VLOOKUP(A20,tbMoveset!A2:B112,2,FALSE)="Sever",Backdoors!AY46/100,IF(VLOOKUP(A20,tbMoveset!A2:B112,2,FALSE)="Blunt",Backdoors!AZ46/100,Backdoors!BA46/100)),"")</f>
        <v/>
      </c>
      <c r="KR20" s="49">
        <f>IFERROR(IF(VLOOKUP(tbMoveset!A20,tbMoveset!A2:H112,8,FALSE)="Other",IF(VLOOKUP(tbMoveset!A20,tbMoveset!A2:I112,9,FALSE)="Fire",Backdoors!BB46,IF(VLOOKUP(tbMoveset!A20,tbMoveset!A2:I112,9,FALSE)="Water",Backdoors!BC46,IF(VLOOKUP(tbMoveset!A20,tbMoveset!A2:I112,9,FALSE)="Thunder",Backdoors!BD46,IF(VLOOKUP(tbMoveset!A20,tbMoveset!A2:I112,9,FALSE)="Ice",Backdoors!BE46,IF(VLOOKUP(tbMoveset!A20,tbMoveset!A2:I112,9,FALSE)="Dragon",Backdoors!BF46,Backdoors!BG46)))))/100,Backdoors!BG46/100),"")</f>
        <v>0</v>
      </c>
      <c r="KS20" s="49">
        <f>IFERROR(IF(VLOOKUP(A20,tbMoveset!A2:J112,10,FALSE)=TRUE,IF((Backdoors!AI12+IF(KQ20&gt;=0.45,VLOOKUP(Calculator!E23,tbSkills!DH3:DI6,2,FALSE)+IF(AND(Calculator!B8=TRUE,Backdoors!BI46=TRUE),VLOOKUP(Calculator!E23,tbSkills!DH3:DJ6,3,FALSE),0),0))&gt;=0,1+(Backdoors!AL2*(IF((Backdoors!AI12+IF(KQ20&gt;=0.45,VLOOKUP(Calculator!E23,tbSkills!DH3:DI6,2,FALSE)+IF(AND(Calculator!B8=TRUE,Backdoors!BI46=TRUE),VLOOKUP(Calculator!E23,tbSkills!DH3:DJ6,3,FALSE),0),0))&gt;=100,100,(Backdoors!AI12+IF(KQ20&gt;=0.45,VLOOKUP(Calculator!E23,tbSkills!DH3:DI6,2,FALSE)+IF(AND(Calculator!B8=TRUE,Backdoors!BI46=TRUE),VLOOKUP(Calculator!E23,tbSkills!DH3:DJ6,3,FALSE),0),0)))/100)),(1-(0.25*((-Backdoors!AI12-IF(KQ20&gt;=0.45,VLOOKUP(Calculator!E23,tbSkills!DH3:DI6,2,FALSE)+IF(AND(Calculator!B8=TRUE,Backdoors!BI46=TRUE),VLOOKUP(Calculator!E23,tbSkills!DH3:DJ6,3,FALSE),0),0))/100)))),1),"")</f>
        <v>1</v>
      </c>
      <c r="KT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KQ20)*KS20)*(VLOOKUP(A20,tbMoveset!A2:C112,3,FALSE)/100)*IF(VLOOKUP(A20,tbMoveset!A2:B112,2,FALSE)="Projectile",Backdoors!N10,Backdoors!N9),0),"")</f>
        <v/>
      </c>
      <c r="KU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REF!&gt;0,VLOOKUP(Calculator!#REF!,tbSkills!AC3:AD5,2,FALSE),Backdoors!AL3)*(IF((Backdoors!AI12+IF(KQ20&gt;=0.45,VLOOKUP(Calculator!E23,tbSkills!DH3:DI6,2,FALSE)+IF(AND(Calculator!B8=TRUE,Backdoors!BI46=TRUE),VLOOKUP(Calculator!E23,tbSkills!DH3:DJ6,3,FALSE),0),0))&gt;=100,100,(Backdoors!AI12+IF(KQ20&gt;=0.45,VLOOKUP(Calculator!E23,tbSkills!DH3:DI6,2,FALSE)+IF(AND(Calculator!B8=TRUE,Backdoors!BI46=TRUE),VLOOKUP(Calculator!E23,tbSkills!DH3:DJ6,3,FALSE),0),0)))/100)),1))*IF(VLOOKUP(A20,tbMoveset!A2:K112,11,FALSE)=TRUE,Backdoors!AC5,1))*KR20,0),"")</f>
        <v/>
      </c>
      <c r="KV20" s="49">
        <f>VLOOKUP(A20,tbMoveset!A2:G112,7,FALSE)*IFERROR(IF(Backdoors!AI12&gt;=0,1+(IF(Calculator!E40&gt;0,VLOOKUP(Calculator!E40,tbSkills!AI3:AJ5,2,FALSE),Backdoors!AL4)*(IF((Backdoors!AI12+IF(KQ20&gt;=0.45,VLOOKUP(Calculator!E23,tbSkills!DH3:DI6,2,FALSE)+IF(AND(Calculator!B8=TRUE,Backdoors!BI46=TRUE),VLOOKUP(Calculator!E23,tbSkills!DH3:DJ6,3,FALSE),0),0))&gt;=100,100,(Backdoors!AI12+IF(KQ20&gt;=0.45,VLOOKUP(Calculator!E23,tbSkills!DH3:DI6,2,FALSE)+IF(AND(Calculator!B8=TRUE,Backdoors!BI46=TRUE),VLOOKUP(Calculator!E23,tbSkills!DH3:DJ6,3,FALSE),0),0)))/100)),1),1)</f>
        <v>0.5</v>
      </c>
      <c r="KW20" s="87">
        <f t="shared" si="35"/>
        <v>0</v>
      </c>
    </row>
    <row r="21" spans="1:309" x14ac:dyDescent="0.25">
      <c r="A21" s="95" t="str">
        <f>tbMoveset!A21</f>
        <v>Right Roundslash (L)</v>
      </c>
      <c r="B21" s="86">
        <f>IFERROR(IF(VLOOKUP(A21,tbMoveset!A2:B112,2,FALSE)="Sever",Backdoors!AY3/100,IF(VLOOKUP(A21,tbMoveset!A2:B112,2,FALSE)="Blunt",Backdoors!AZ3/100,Backdoors!BA3/100)),"")</f>
        <v>0.8</v>
      </c>
      <c r="C21" s="49">
        <f>IFERROR(IF(VLOOKUP(tbMoveset!A21,tbMoveset!A2:H112,8,FALSE)="Other",IF(VLOOKUP(tbMoveset!A21,tbMoveset!A2:I112,9,FALSE)="Fire",Backdoors!BB3,IF(VLOOKUP(tbMoveset!A21,tbMoveset!A2:I112,9,FALSE)="Water",Backdoors!BC3,IF(VLOOKUP(tbMoveset!A21,tbMoveset!A2:I112,9,FALSE)="Thunder",Backdoors!BD3,IF(VLOOKUP(tbMoveset!A21,tbMoveset!A2:I112,9,FALSE)="Ice",Backdoors!BE3,IF(VLOOKUP(tbMoveset!A21,tbMoveset!A2:I112,9,FALSE)="Dragon",Backdoors!BF3,Backdoors!BG3)))))/100,Backdoors!BG3/100),"")</f>
        <v>0</v>
      </c>
      <c r="D21" s="49">
        <f>IFERROR(IF(VLOOKUP(A21,tbMoveset!A2:J112,10,FALSE)=TRUE,IF((Backdoors!AI12+IF(B21&gt;=0.45,VLOOKUP(Calculator!E23,tbSkills!DH3:DI6,2,FALSE)+IF(AND(Calculator!B8=TRUE,Backdoors!BI3=TRUE),VLOOKUP(Calculator!E23,tbSkills!DH3:DJ6,3,FALSE),0),0))&gt;=0,1+(Backdoors!AL2*(IF((Backdoors!AI12+IF(B21&gt;=0.45,VLOOKUP(Calculator!E23,tbSkills!DH3:DI6,2,FALSE)+IF(AND(Calculator!B8=TRUE,Backdoors!BI3=TRUE),VLOOKUP(Calculator!E23,tbSkills!DH3:DJ6,3,FALSE),0),0))&gt;=100,100,(Backdoors!AI12+IF(B21&gt;=0.45,VLOOKUP(Calculator!E23,tbSkills!DH3:DI6,2,FALSE)+IF(AND(Calculator!B8=TRUE,Backdoors!BI3=TRUE),VLOOKUP(Calculator!E23,tbSkills!DH3:DJ6,3,FALSE),0),0)))/100)),(1-(0.25*((-Backdoors!AI12-IF(B21&gt;=0.45,VLOOKUP(Calculator!E23,tbSkills!DH3:DI6,2,FALSE)+IF(AND(Calculator!B8=TRUE,Backdoors!BI3=TRUE),VLOOKUP(Calculator!E23,tbSkills!DH3:DJ6,3,FALSE),0),0))/100)))),1),"")</f>
        <v>1</v>
      </c>
      <c r="E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21)*D21)*(VLOOKUP(A21,tbMoveset!A2:C112,3,FALSE)/100)*IF(VLOOKUP(A21,tbMoveset!A2:B112,2,FALSE)="Projectile",Backdoors!N10,Backdoors!N9),0),"")</f>
        <v>5</v>
      </c>
      <c r="F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21&gt;=0.45,VLOOKUP(Calculator!E23,tbSkills!DH3:DI6,2,FALSE)+IF(AND(Calculator!B8=TRUE,Backdoors!BI3=TRUE),VLOOKUP(Calculator!E23,tbSkills!DH3:DJ6,3,FALSE),0),0))&gt;=100,100,(Backdoors!AI12+IF(B21&gt;=0.45,VLOOKUP(Calculator!E23,tbSkills!DH3:DI6,2,FALSE)+IF(AND(Calculator!B8=TRUE,Backdoors!BI3=TRUE),VLOOKUP(Calculator!E23,tbSkills!DH3:DJ6,3,FALSE),0),0)))/100)),1))*IF(VLOOKUP(A21,tbMoveset!A2:K112,11,FALSE)=TRUE,Backdoors!AC5,1))*C21,0),"")</f>
        <v>0</v>
      </c>
      <c r="G21">
        <f>VLOOKUP(A21,tbMoveset!A2:G112,7,FALSE)*IFERROR(IF(Backdoors!AI12&gt;=0,1+(IF(Calculator!E40&gt;0,VLOOKUP(Calculator!E40,tbSkills!AI3:AJ5,2,FALSE),Backdoors!AL4)*(IF((Backdoors!AI12+IF(B21&gt;=0.45,VLOOKUP(Calculator!E23,tbSkills!DH3:DI6,2,FALSE)+IF(AND(Calculator!B8=TRUE,Backdoors!BI3=TRUE),VLOOKUP(Calculator!E23,tbSkills!DH3:DJ6,3,FALSE),0),0))&gt;=100,100,(Backdoors!AI12+IF(B21&gt;=0.45,VLOOKUP(Calculator!E23,tbSkills!DH3:DI6,2,FALSE)+IF(AND(Calculator!B8=TRUE,Backdoors!BI3=TRUE),VLOOKUP(Calculator!E23,tbSkills!DH3:DJ6,3,FALSE),0),0)))/100)),1),1)</f>
        <v>0.5</v>
      </c>
      <c r="H21" s="87">
        <f t="shared" si="43"/>
        <v>5</v>
      </c>
      <c r="I21" s="86">
        <f>IFERROR(IF(VLOOKUP(A21,tbMoveset!A2:B112,2,FALSE)="Sever",Backdoors!AY4/100,IF(VLOOKUP(A21,tbMoveset!A2:B112,2,FALSE)="Blunt",Backdoors!AZ4/100,Backdoors!BA4/100)),"")</f>
        <v>0.65</v>
      </c>
      <c r="J21" s="49">
        <f>IFERROR(IF(VLOOKUP(tbMoveset!A21,tbMoveset!A2:H112,8,FALSE)="Other",IF(VLOOKUP(tbMoveset!A21,tbMoveset!A2:I112,9,FALSE)="Fire",Backdoors!BB4,IF(VLOOKUP(tbMoveset!A21,tbMoveset!A2:I112,9,FALSE)="Water",Backdoors!BC4,IF(VLOOKUP(tbMoveset!A21,tbMoveset!A2:I112,9,FALSE)="Thunder",Backdoors!BD4,IF(VLOOKUP(tbMoveset!A21,tbMoveset!A2:I112,9,FALSE)="Ice",Backdoors!BE4,IF(VLOOKUP(tbMoveset!A21,tbMoveset!A2:I112,9,FALSE)="Dragon",Backdoors!BF4,Backdoors!BG4)))))/100,Backdoors!BG4/100),"")</f>
        <v>0</v>
      </c>
      <c r="K21" s="49">
        <f>IFERROR(IF(VLOOKUP(A21,tbMoveset!A2:J112,10,FALSE)=TRUE,IF((Backdoors!AI12+IF(I21&gt;=0.45,VLOOKUP(Calculator!E23,tbSkills!DH3:DI6,2,FALSE)+IF(AND(Calculator!B8=TRUE,Backdoors!BI4=TRUE),VLOOKUP(Calculator!E23,tbSkills!DH3:DJ6,3,FALSE),0),0))&gt;=0,1+(Backdoors!AL2*(IF((Backdoors!AI12+IF(I21&gt;=0.45,VLOOKUP(Calculator!E23,tbSkills!DH3:DI6,2,FALSE)+IF(AND(Calculator!B8=TRUE,Backdoors!BI4=TRUE),VLOOKUP(Calculator!E23,tbSkills!DH3:DJ6,3,FALSE),0),0))&gt;=100,100,(Backdoors!AI12+IF(I21&gt;=0.45,VLOOKUP(Calculator!E23,tbSkills!DH3:DI6,2,FALSE)+IF(AND(Calculator!B8=TRUE,Backdoors!BI4=TRUE),VLOOKUP(Calculator!E23,tbSkills!DH3:DJ6,3,FALSE),0),0)))/100)),(1-(0.25*((-Backdoors!AI12-IF(I21&gt;=0.45,VLOOKUP(Calculator!E23,tbSkills!DH3:DI6,2,FALSE)+IF(AND(Calculator!B8=TRUE,Backdoors!BI4=TRUE),VLOOKUP(Calculator!E23,tbSkills!DH3:DJ6,3,FALSE),0),0))/100)))),1),"")</f>
        <v>1</v>
      </c>
      <c r="L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21)*K21)*(VLOOKUP(A21,tbMoveset!A2:C112,3,FALSE)/100)*IF(VLOOKUP(A21,tbMoveset!A2:B112,2,FALSE)="Projectile",Backdoors!N10,Backdoors!N9),0),"")</f>
        <v>4</v>
      </c>
      <c r="M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I21&gt;=0.45,VLOOKUP(Calculator!E23,tbSkills!DH3:DI6,2,FALSE)+IF(AND(Calculator!B8=TRUE,Backdoors!BI4=TRUE),VLOOKUP(Calculator!E23,tbSkills!DH3:DJ6,3,FALSE),0),0))&gt;=100,100,(Backdoors!AI12+IF(I21&gt;=0.45,VLOOKUP(Calculator!E23,tbSkills!DH3:DI6,2,FALSE)+IF(AND(Calculator!B8=TRUE,Backdoors!BI4=TRUE),VLOOKUP(Calculator!E23,tbSkills!DH3:DJ6,3,FALSE),0),0)))/100)),1))*IF(VLOOKUP(A21,tbMoveset!A2:K112,11,FALSE)=TRUE,Backdoors!AC5,1))*J21,0),"")</f>
        <v>0</v>
      </c>
      <c r="N21" s="49">
        <f>VLOOKUP(A21,tbMoveset!A2:G112,7,FALSE)*IFERROR(IF(Backdoors!AI12&gt;=0,1+(IF(Calculator!E40&gt;0,VLOOKUP(Calculator!E40,tbSkills!AI3:AJ5,2,FALSE),Backdoors!AL4)*(IF((Backdoors!AI12+IF(I21&gt;=0.45,VLOOKUP(Calculator!E23,tbSkills!DH3:DI6,2,FALSE)+IF(AND(Calculator!B8=TRUE,Backdoors!BI4=TRUE),VLOOKUP(Calculator!E23,tbSkills!DH3:DJ6,3,FALSE),0),0))&gt;=100,100,(Backdoors!AI12+IF(I21&gt;=0.45,VLOOKUP(Calculator!E23,tbSkills!DH3:DI6,2,FALSE)+IF(AND(Calculator!B8=TRUE,Backdoors!BI4=TRUE),VLOOKUP(Calculator!E23,tbSkills!DH3:DJ6,3,FALSE),0),0)))/100)),1),1)</f>
        <v>0.5</v>
      </c>
      <c r="O21" s="87">
        <f t="shared" si="36"/>
        <v>4</v>
      </c>
      <c r="P21" s="86">
        <f>IFERROR(IF(VLOOKUP(A21,tbMoveset!A2:B112,2,FALSE)="Sever",Backdoors!AY5/100,IF(VLOOKUP(A21,tbMoveset!A2:B112,2,FALSE)="Blunt",Backdoors!AZ5/100,Backdoors!BA5/100)),"")</f>
        <v>0.5</v>
      </c>
      <c r="Q21" s="49">
        <f>IFERROR(IF(VLOOKUP(tbMoveset!A21,tbMoveset!A2:H112,8,FALSE)="Other",IF(VLOOKUP(tbMoveset!A21,tbMoveset!A2:I112,9,FALSE)="Fire",Backdoors!BB5,IF(VLOOKUP(tbMoveset!A21,tbMoveset!A2:I112,9,FALSE)="Water",Backdoors!BC5,IF(VLOOKUP(tbMoveset!A21,tbMoveset!A2:I112,9,FALSE)="Thunder",Backdoors!BD5,IF(VLOOKUP(tbMoveset!A21,tbMoveset!A2:I112,9,FALSE)="Ice",Backdoors!BE5,IF(VLOOKUP(tbMoveset!A21,tbMoveset!A2:I112,9,FALSE)="Dragon",Backdoors!BF5,Backdoors!BG5)))))/100,Backdoors!BG5/100),"")</f>
        <v>0</v>
      </c>
      <c r="R21" s="49">
        <f>IFERROR(IF(VLOOKUP(A21,tbMoveset!A2:J112,10,FALSE)=TRUE,IF((Backdoors!AI12+IF(P21&gt;=0.45,VLOOKUP(Calculator!E23,tbSkills!DH3:DI6,2,FALSE)+IF(AND(Calculator!B8=TRUE,Backdoors!BI5=TRUE),VLOOKUP(Calculator!E23,tbSkills!DH3:DJ6,3,FALSE),0),0))&gt;=0,1+(Backdoors!AL2*(IF((Backdoors!AI12+IF(P21&gt;=0.45,VLOOKUP(Calculator!E23,tbSkills!DH3:DI6,2,FALSE)+IF(AND(Calculator!B8=TRUE,Backdoors!BI5=TRUE),VLOOKUP(Calculator!E23,tbSkills!DH3:DJ6,3,FALSE),0),0))&gt;=100,100,(Backdoors!AI12+IF(P21&gt;=0.45,VLOOKUP(Calculator!E23,tbSkills!DH3:DI6,2,FALSE)+IF(AND(Calculator!B8=TRUE,Backdoors!BI5=TRUE),VLOOKUP(Calculator!E23,tbSkills!DH3:DJ6,3,FALSE),0),0)))/100)),(1-(0.25*((-Backdoors!AI12-IF(P21&gt;=0.45,VLOOKUP(Calculator!E23,tbSkills!DH3:DI6,2,FALSE)+IF(AND(Calculator!B8=TRUE,Backdoors!BI5=TRUE),VLOOKUP(Calculator!E23,tbSkills!DH3:DJ6,3,FALSE),0),0))/100)))),1),"")</f>
        <v>1</v>
      </c>
      <c r="S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P21)*R21)*(VLOOKUP(A21,tbMoveset!A2:C112,3,FALSE)/100)*IF(VLOOKUP(A21,tbMoveset!A2:B112,2,FALSE)="Projectile",Backdoors!N10,Backdoors!N9),0),"")</f>
        <v>3</v>
      </c>
      <c r="T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P21&gt;=0.45,VLOOKUP(Calculator!E23,tbSkills!DH3:DI6,2,FALSE)+IF(AND(Calculator!B8=TRUE,Backdoors!BI5=TRUE),VLOOKUP(Calculator!E23,tbSkills!DH3:DJ6,3,FALSE),0),0))&gt;=100,100,(Backdoors!AI12+IF(P21&gt;=0.45,VLOOKUP(Calculator!E23,tbSkills!DH3:DI6,2,FALSE)+IF(AND(Calculator!B8=TRUE,Backdoors!BI5=TRUE),VLOOKUP(Calculator!E23,tbSkills!DH3:DJ6,3,FALSE),0),0)))/100)),1))*IF(VLOOKUP(A21,tbMoveset!A2:K112,11,FALSE)=TRUE,Backdoors!AC5,1))*Q21,0),"")</f>
        <v>0</v>
      </c>
      <c r="U21" s="49">
        <f>VLOOKUP(A21,tbMoveset!A2:G112,7,FALSE)*IFERROR(IF(Backdoors!AI12&gt;=0,1+(IF(Calculator!E40&gt;0,VLOOKUP(Calculator!E40,tbSkills!AI3:AJ5,2,FALSE),Backdoors!AL4)*(IF((Backdoors!AI12+IF(P21&gt;=0.45,VLOOKUP(Calculator!E23,tbSkills!DH3:DI6,2,FALSE)+IF(AND(Calculator!B8=TRUE,Backdoors!BI5=TRUE),VLOOKUP(Calculator!E23,tbSkills!DH3:DJ6,3,FALSE),0),0))&gt;=100,100,(Backdoors!AI12+IF(P21&gt;=0.45,VLOOKUP(Calculator!E23,tbSkills!DH3:DI6,2,FALSE)+IF(AND(Calculator!B8=TRUE,Backdoors!BI5=TRUE),VLOOKUP(Calculator!E23,tbSkills!DH3:DJ6,3,FALSE),0),0)))/100)),1),1)</f>
        <v>0.5</v>
      </c>
      <c r="V21" s="87">
        <f t="shared" si="37"/>
        <v>3</v>
      </c>
      <c r="W21" s="86">
        <f>IFERROR(IF(VLOOKUP(A21,tbMoveset!A2:B112,2,FALSE)="Sever",Backdoors!AY6/100,IF(VLOOKUP(A21,tbMoveset!A2:B112,2,FALSE)="Blunt",Backdoors!AZ6/100,Backdoors!BA6/100)),"")</f>
        <v>0.45</v>
      </c>
      <c r="X21" s="49">
        <f>IFERROR(IF(VLOOKUP(tbMoveset!A21,tbMoveset!A2:H112,8,FALSE)="Other",IF(VLOOKUP(tbMoveset!A21,tbMoveset!A2:I112,9,FALSE)="Fire",Backdoors!BB6,IF(VLOOKUP(tbMoveset!A21,tbMoveset!A2:I112,9,FALSE)="Water",Backdoors!BC6,IF(VLOOKUP(tbMoveset!A21,tbMoveset!A2:I112,9,FALSE)="Thunder",Backdoors!BD6,IF(VLOOKUP(tbMoveset!A21,tbMoveset!A2:I112,9,FALSE)="Ice",Backdoors!BE6,IF(VLOOKUP(tbMoveset!A21,tbMoveset!A2:I112,9,FALSE)="Dragon",Backdoors!BF6,Backdoors!BG6)))))/100,Backdoors!BG6/100),"")</f>
        <v>0</v>
      </c>
      <c r="Y21" s="49">
        <f>IFERROR(IF(VLOOKUP(A21,tbMoveset!A2:J112,10,FALSE)=TRUE,IF((Backdoors!AI12+IF(W21&gt;=0.45,VLOOKUP(Calculator!E23,tbSkills!DH3:DI6,2,FALSE)+IF(AND(Calculator!B8=TRUE,Backdoors!BI6=TRUE),VLOOKUP(Calculator!E23,tbSkills!DH3:DJ6,3,FALSE),0),0))&gt;=0,1+(Backdoors!AL2*(IF((Backdoors!AI12+IF(W21&gt;=0.45,VLOOKUP(Calculator!E23,tbSkills!DH3:DI6,2,FALSE)+IF(AND(Calculator!B8=TRUE,Backdoors!BI6=TRUE),VLOOKUP(Calculator!E23,tbSkills!DH3:DJ6,3,FALSE),0),0))&gt;=100,100,(Backdoors!AI12+IF(W21&gt;=0.45,VLOOKUP(Calculator!E23,tbSkills!DH3:DI6,2,FALSE)+IF(AND(Calculator!B8=TRUE,Backdoors!BI6=TRUE),VLOOKUP(Calculator!E23,tbSkills!DH3:DJ6,3,FALSE),0),0)))/100)),(1-(0.25*((-Backdoors!AI12-IF(W21&gt;=0.45,VLOOKUP(Calculator!E23,tbSkills!DH3:DI6,2,FALSE)+IF(AND(Calculator!B8=TRUE,Backdoors!BI6=TRUE),VLOOKUP(Calculator!E23,tbSkills!DH3:DJ6,3,FALSE),0),0))/100)))),1),"")</f>
        <v>1</v>
      </c>
      <c r="Z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W21)*Y21)*(VLOOKUP(A21,tbMoveset!A2:C112,3,FALSE)/100)*IF(VLOOKUP(A21,tbMoveset!A2:B112,2,FALSE)="Projectile",Backdoors!N10,Backdoors!N9),0),"")</f>
        <v>3</v>
      </c>
      <c r="AA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W21&gt;=0.45,VLOOKUP(Calculator!E23,tbSkills!DH3:DI6,2,FALSE)+IF(AND(Calculator!B8=TRUE,Backdoors!BI6=TRUE),VLOOKUP(Calculator!E23,tbSkills!DH3:DJ6,3,FALSE),0),0))&gt;=100,100,(Backdoors!AI12+IF(W21&gt;=0.45,VLOOKUP(Calculator!E23,tbSkills!DH3:DI6,2,FALSE)+IF(AND(Calculator!B8=TRUE,Backdoors!BI6=TRUE),VLOOKUP(Calculator!E23,tbSkills!DH3:DJ6,3,FALSE),0),0)))/100)),1))*IF(VLOOKUP(A21,tbMoveset!A2:K112,11,FALSE)=TRUE,Backdoors!AC5,1))*X21,0),"")</f>
        <v>0</v>
      </c>
      <c r="AB21" s="49">
        <f>VLOOKUP(A21,tbMoveset!A2:G112,7,FALSE)*IFERROR(IF(Backdoors!AI12&gt;=0,1+(IF(Calculator!E40&gt;0,VLOOKUP(Calculator!E40,tbSkills!AI3:AJ5,2,FALSE),Backdoors!AL4)*(IF((Backdoors!AI12+IF(W21&gt;=0.45,VLOOKUP(Calculator!E23,tbSkills!DH3:DI6,2,FALSE)+IF(AND(Calculator!B8=TRUE,Backdoors!BI6=TRUE),VLOOKUP(Calculator!E23,tbSkills!DH3:DJ6,3,FALSE),0),0))&gt;=100,100,(Backdoors!AI12+IF(W21&gt;=0.45,VLOOKUP(Calculator!E23,tbSkills!DH3:DI6,2,FALSE)+IF(AND(Calculator!B8=TRUE,Backdoors!BI6=TRUE),VLOOKUP(Calculator!E23,tbSkills!DH3:DJ6,3,FALSE),0),0)))/100)),1),1)</f>
        <v>0.5</v>
      </c>
      <c r="AC21" s="87">
        <f t="shared" si="0"/>
        <v>3</v>
      </c>
      <c r="AD21" s="86">
        <f>IFERROR(IF(VLOOKUP(A21,tbMoveset!A2:B112,2,FALSE)="Sever",Backdoors!AY7/100,IF(VLOOKUP(A21,tbMoveset!A2:B112,2,FALSE)="Blunt",Backdoors!AZ7/100,Backdoors!BA7/100)),"")</f>
        <v>0.65</v>
      </c>
      <c r="AE21" s="49">
        <f>IFERROR(IF(VLOOKUP(tbMoveset!A21,tbMoveset!A2:H112,8,FALSE)="Other",IF(VLOOKUP(tbMoveset!A21,tbMoveset!A2:I112,9,FALSE)="Fire",Backdoors!BB7,IF(VLOOKUP(tbMoveset!A21,tbMoveset!A2:I112,9,FALSE)="Water",Backdoors!BC7,IF(VLOOKUP(tbMoveset!A21,tbMoveset!A2:I112,9,FALSE)="Thunder",Backdoors!BD7,IF(VLOOKUP(tbMoveset!A21,tbMoveset!A2:I112,9,FALSE)="Ice",Backdoors!BE7,IF(VLOOKUP(tbMoveset!A21,tbMoveset!A2:I112,9,FALSE)="Dragon",Backdoors!BF7,Backdoors!BG7)))))/100,Backdoors!BG7/100),"")</f>
        <v>0</v>
      </c>
      <c r="AF21" s="49">
        <f>IFERROR(IF(VLOOKUP(A21,tbMoveset!A2:J112,10,FALSE)=TRUE,IF((Backdoors!AI12+IF(AD21&gt;=0.45,VLOOKUP(Calculator!E23,tbSkills!DH3:DI6,2,FALSE)+IF(AND(Calculator!B8=TRUE,Backdoors!BI7=TRUE),VLOOKUP(Calculator!E23,tbSkills!DH3:DJ6,3,FALSE),0),0))&gt;=0,1+(Backdoors!AL2*(IF((Backdoors!AI12+IF(AD21&gt;=0.45,VLOOKUP(Calculator!E23,tbSkills!DH3:DI6,2,FALSE)+IF(AND(Calculator!B8=TRUE,Backdoors!BI7=TRUE),VLOOKUP(Calculator!E23,tbSkills!DH3:DJ6,3,FALSE),0),0))&gt;=100,100,(Backdoors!AI12+IF(AD21&gt;=0.45,VLOOKUP(Calculator!E23,tbSkills!DH3:DI6,2,FALSE)+IF(AND(Calculator!B8=TRUE,Backdoors!BI7=TRUE),VLOOKUP(Calculator!E23,tbSkills!DH3:DJ6,3,FALSE),0),0)))/100)),(1-(0.25*((-Backdoors!AI12-IF(AD21&gt;=0.45,VLOOKUP(Calculator!E23,tbSkills!DH3:DI6,2,FALSE)+IF(AND(Calculator!B8=TRUE,Backdoors!BI7=TRUE),VLOOKUP(Calculator!E23,tbSkills!DH3:DJ6,3,FALSE),0),0))/100)))),1),"")</f>
        <v>1</v>
      </c>
      <c r="AG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D21)*AF21)*(VLOOKUP(A21,tbMoveset!A2:C112,3,FALSE)/100)*IF(VLOOKUP(A21,tbMoveset!A2:B112,2,FALSE)="Projectile",Backdoors!N10,Backdoors!N9),0),"")</f>
        <v>4</v>
      </c>
      <c r="AH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D21&gt;=0.45,VLOOKUP(Calculator!E23,tbSkills!DH3:DI6,2,FALSE)+IF(AND(Calculator!B8=TRUE,Backdoors!BI7=TRUE),VLOOKUP(Calculator!E23,tbSkills!DH3:DJ6,3,FALSE),0),0))&gt;=100,100,(Backdoors!AI12+IF(AD21&gt;=0.45,VLOOKUP(Calculator!E23,tbSkills!DH3:DI6,2,FALSE)+IF(AND(Calculator!B8=TRUE,Backdoors!BI7=TRUE),VLOOKUP(Calculator!E23,tbSkills!DH3:DJ6,3,FALSE),0),0)))/100)),1))*IF(VLOOKUP(A21,tbMoveset!A2:K112,11,FALSE)=TRUE,Backdoors!AC5,1))*AE21,0),"")</f>
        <v>0</v>
      </c>
      <c r="AI21" s="49">
        <f>VLOOKUP(A21,tbMoveset!A2:G112,7,FALSE)*IFERROR(IF(Backdoors!AI12&gt;=0,1+(IF(Calculator!E40&gt;0,VLOOKUP(Calculator!E40,tbSkills!AI3:AJ5,2,FALSE),Backdoors!AL4)*(IF((Backdoors!AI12+IF(AD21&gt;=0.45,VLOOKUP(Calculator!E23,tbSkills!DH3:DI6,2,FALSE)+IF(AND(Calculator!B8=TRUE,Backdoors!BI7=TRUE),VLOOKUP(Calculator!E23,tbSkills!DH3:DJ6,3,FALSE),0),0))&gt;=100,100,(Backdoors!AI12+IF(AD21&gt;=0.45,VLOOKUP(Calculator!E23,tbSkills!DH3:DI6,2,FALSE)+IF(AND(Calculator!B8=TRUE,Backdoors!BI7=TRUE),VLOOKUP(Calculator!E23,tbSkills!DH3:DJ6,3,FALSE),0),0)))/100)),1),1)</f>
        <v>0.5</v>
      </c>
      <c r="AJ21" s="87">
        <f t="shared" si="1"/>
        <v>4</v>
      </c>
      <c r="AK21" s="91">
        <f>IFERROR(IF(VLOOKUP(A21,tbMoveset!A2:B112,2,FALSE)="Sever",Backdoors!AY8/100,IF(VLOOKUP(A21,tbMoveset!A2:B112,2,FALSE)="Blunt",Backdoors!AZ8/100,Backdoors!BA8/100)),"")</f>
        <v>0.45</v>
      </c>
      <c r="AL21" s="49">
        <f>IFERROR(IF(VLOOKUP(tbMoveset!A21,tbMoveset!A2:H112,8,FALSE)="Other",IF(VLOOKUP(tbMoveset!A21,tbMoveset!A2:I112,9,FALSE)="Fire",Backdoors!BB8,IF(VLOOKUP(tbMoveset!A21,tbMoveset!A2:I112,9,FALSE)="Water",Backdoors!BC8,IF(VLOOKUP(tbMoveset!A21,tbMoveset!A2:I112,9,FALSE)="Thunder",Backdoors!BD8,IF(VLOOKUP(tbMoveset!A21,tbMoveset!A2:I112,9,FALSE)="Ice",Backdoors!BE8,IF(VLOOKUP(tbMoveset!A21,tbMoveset!A2:I112,9,FALSE)="Dragon",Backdoors!BF8,Backdoors!BG8)))))/100,Backdoors!BG8/100),"")</f>
        <v>0</v>
      </c>
      <c r="AM21" s="49">
        <f>IFERROR(IF(VLOOKUP(A21,tbMoveset!A2:J112,10,FALSE)=TRUE,IF((Backdoors!AI12+IF(AK21&gt;=0.45,VLOOKUP(Calculator!E23,tbSkills!DH3:DI6,2,FALSE)+IF(AND(Calculator!B8=TRUE,Backdoors!BI8=TRUE),VLOOKUP(Calculator!E23,tbSkills!DH3:DJ6,3,FALSE),0),0))&gt;=0,1+(Backdoors!AL2*(IF((Backdoors!AI12+IF(AK21&gt;=0.45,VLOOKUP(Calculator!E23,tbSkills!DH3:DI6,2,FALSE)+IF(AND(Calculator!B8=TRUE,Backdoors!BI8=TRUE),VLOOKUP(Calculator!E23,tbSkills!DH3:DJ6,3,FALSE),0),0))&gt;=100,100,(Backdoors!AI12+IF(AK21&gt;=0.45,VLOOKUP(Calculator!E23,tbSkills!DH3:DI6,2,FALSE)+IF(AND(Calculator!B8=TRUE,Backdoors!BI8=TRUE),VLOOKUP(Calculator!E23,tbSkills!DH3:DJ6,3,FALSE),0),0)))/100)),(1-(0.25*((-Backdoors!AI12-IF(AK21&gt;=0.45,VLOOKUP(Calculator!E23,tbSkills!DH3:DI6,2,FALSE)+IF(AND(Calculator!B8=TRUE,Backdoors!BI8=TRUE),VLOOKUP(Calculator!E23,tbSkills!DH3:DJ6,3,FALSE),0),0))/100)))),1),"")</f>
        <v>1</v>
      </c>
      <c r="AN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K21)*AM21)*(VLOOKUP(A21,tbMoveset!A2:C112,3,FALSE)/100)*IF(VLOOKUP(A21,tbMoveset!A2:B112,2,FALSE)="Projectile",Backdoors!N10,Backdoors!N9),0),"")</f>
        <v>3</v>
      </c>
      <c r="AO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K21&gt;=0.45,VLOOKUP(Calculator!E23,tbSkills!DH3:DI6,2,FALSE)+IF(AND(Calculator!B8=TRUE,Backdoors!BI8=TRUE),VLOOKUP(Calculator!E23,tbSkills!DH3:DJ6,3,FALSE),0),0))&gt;=100,100,(Backdoors!AI12+IF(AK21&gt;=0.45,VLOOKUP(Calculator!E23,tbSkills!DH3:DI6,2,FALSE)+IF(AND(Calculator!B8=TRUE,Backdoors!BI8=TRUE),VLOOKUP(Calculator!E23,tbSkills!DH3:DJ6,3,FALSE),0),0)))/100)),1))*IF(VLOOKUP(A21,tbMoveset!A2:K112,11,FALSE)=TRUE,Backdoors!AC5,1))*AL21,0),"")</f>
        <v>0</v>
      </c>
      <c r="AP21" s="49">
        <f>VLOOKUP(A21,tbMoveset!A2:G112,7,FALSE)*IFERROR(IF(Backdoors!AI12&gt;=0,1+(IF(Calculator!E40&gt;0,VLOOKUP(Calculator!E40,tbSkills!AI3:AJ5,2,FALSE),Backdoors!AL4)*(IF((Backdoors!AI12+IF(AK21&gt;=0.45,VLOOKUP(Calculator!E23,tbSkills!DH3:DI6,2,FALSE)+IF(AND(Calculator!B8=TRUE,Backdoors!BI8=TRUE),VLOOKUP(Calculator!E23,tbSkills!DH3:DJ6,3,FALSE),0),0))&gt;=100,100,(Backdoors!AI12+IF(AK21&gt;=0.45,VLOOKUP(Calculator!E23,tbSkills!DH3:DI6,2,FALSE)+IF(AND(Calculator!B8=TRUE,Backdoors!BI8=TRUE),VLOOKUP(Calculator!E23,tbSkills!DH3:DJ6,3,FALSE),0),0)))/100)),1),1)</f>
        <v>0.5</v>
      </c>
      <c r="AQ21" s="87">
        <f t="shared" si="2"/>
        <v>3</v>
      </c>
      <c r="AR21" s="86">
        <f>IFERROR(IF(VLOOKUP(A21,tbMoveset!A2:B112,2,FALSE)="Sever",Backdoors!AY9/100,IF(VLOOKUP(A21,tbMoveset!A2:B112,2,FALSE)="Blunt",Backdoors!AZ9/100,Backdoors!BA9/100)),"")</f>
        <v>0.45</v>
      </c>
      <c r="AS21" s="49">
        <f>IFERROR(IF(VLOOKUP(tbMoveset!A21,tbMoveset!A2:H112,8,FALSE)="Other",IF(VLOOKUP(tbMoveset!A21,tbMoveset!A2:I112,9,FALSE)="Fire",Backdoors!BB9,IF(VLOOKUP(tbMoveset!A21,tbMoveset!A2:I112,9,FALSE)="Water",Backdoors!BC9,IF(VLOOKUP(tbMoveset!A21,tbMoveset!A2:I112,9,FALSE)="Thunder",Backdoors!BD9,IF(VLOOKUP(tbMoveset!A21,tbMoveset!A2:I112,9,FALSE)="Ice",Backdoors!BE9,IF(VLOOKUP(tbMoveset!A21,tbMoveset!A2:I112,9,FALSE)="Dragon",Backdoors!BF9,Backdoors!BG9)))))/100,Backdoors!BG9/100),"")</f>
        <v>0</v>
      </c>
      <c r="AT21" s="49">
        <f>IFERROR(IF(VLOOKUP(A21,tbMoveset!A2:J112,10,FALSE)=TRUE,IF((Backdoors!AI12+IF(AR21&gt;=0.45,VLOOKUP(Calculator!E23,tbSkills!DH3:DI6,2,FALSE)+IF(AND(Calculator!B8=TRUE,Backdoors!BI9=TRUE),VLOOKUP(Calculator!E23,tbSkills!DH3:DJ6,3,FALSE),0),0))&gt;=0,1+(Backdoors!AL2*(IF((Backdoors!AI12+IF(AR21&gt;=0.45,VLOOKUP(Calculator!E23,tbSkills!DH3:DI6,2,FALSE)+IF(AND(Calculator!B8=TRUE,Backdoors!BI9=TRUE),VLOOKUP(Calculator!E23,tbSkills!DH3:DJ6,3,FALSE),0),0))&gt;=100,100,(Backdoors!AI12+IF(AR21&gt;=0.45,VLOOKUP(Calculator!E23,tbSkills!DH3:DI6,2,FALSE)+IF(AND(Calculator!B8=TRUE,Backdoors!BI9=TRUE),VLOOKUP(Calculator!E23,tbSkills!DH3:DJ6,3,FALSE),0),0)))/100)),(1-(0.25*((-Backdoors!AI12-IF(AR21&gt;=0.45,VLOOKUP(Calculator!E23,tbSkills!DH3:DI6,2,FALSE)+IF(AND(Calculator!B8=TRUE,Backdoors!BI9=TRUE),VLOOKUP(Calculator!E23,tbSkills!DH3:DJ6,3,FALSE),0),0))/100)))),1),"")</f>
        <v>1</v>
      </c>
      <c r="AU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R21)*AT21)*(VLOOKUP(A21,tbMoveset!A2:C112,3,FALSE)/100)*IF(VLOOKUP(A21,tbMoveset!A2:B112,2,FALSE)="Projectile",Backdoors!N10,Backdoors!N9),0),"")</f>
        <v>3</v>
      </c>
      <c r="AV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R21&gt;=0.45,VLOOKUP(Calculator!E23,tbSkills!DH3:DI6,2,FALSE)+IF(AND(Calculator!B8=TRUE,Backdoors!BI9=TRUE),VLOOKUP(Calculator!E23,tbSkills!DH3:DJ6,3,FALSE),0),0))&gt;=100,100,(Backdoors!AI12+IF(AR21&gt;=0.45,VLOOKUP(Calculator!E23,tbSkills!DH3:DI6,2,FALSE)+IF(AND(Calculator!B8=TRUE,Backdoors!BI9=TRUE),VLOOKUP(Calculator!E23,tbSkills!DH3:DJ6,3,FALSE),0),0)))/100)),1))*IF(VLOOKUP(A21,tbMoveset!A2:K112,11,FALSE)=TRUE,Backdoors!AC5,1))*AS21,0),"")</f>
        <v>0</v>
      </c>
      <c r="AW21" s="49">
        <f>VLOOKUP(A21,tbMoveset!A2:G112,7,FALSE)*IFERROR(IF(Backdoors!AI12&gt;=0,1+(IF(Calculator!E40&gt;0,VLOOKUP(Calculator!E40,tbSkills!AI3:AJ5,2,FALSE),Backdoors!AL4)*(IF((Backdoors!AI12+IF(AR21&gt;=0.45,VLOOKUP(Calculator!E23,tbSkills!DH3:DI6,2,FALSE)+IF(AND(Calculator!B8=TRUE,Backdoors!BI9=TRUE),VLOOKUP(Calculator!E23,tbSkills!DH3:DJ6,3,FALSE),0),0))&gt;=100,100,(Backdoors!AI12+IF(AR21&gt;=0.45,VLOOKUP(Calculator!E23,tbSkills!DH3:DI6,2,FALSE)+IF(AND(Calculator!B8=TRUE,Backdoors!BI9=TRUE),VLOOKUP(Calculator!E23,tbSkills!DH3:DJ6,3,FALSE),0),0)))/100)),1),1)</f>
        <v>0.5</v>
      </c>
      <c r="AX21" s="87">
        <f t="shared" si="38"/>
        <v>3</v>
      </c>
      <c r="AY21" s="86">
        <f>IFERROR(IF(VLOOKUP(A21,tbMoveset!A2:B112,2,FALSE)="Sever",Backdoors!AY10/100,IF(VLOOKUP(A21,tbMoveset!A2:B112,2,FALSE)="Blunt",Backdoors!AZ10/100,Backdoors!BA10/100)),"")</f>
        <v>0.9</v>
      </c>
      <c r="AZ21" s="49">
        <f>IFERROR(IF(VLOOKUP(tbMoveset!A21,tbMoveset!A2:H112,8,FALSE)="Other",IF(VLOOKUP(tbMoveset!A21,tbMoveset!A2:I112,9,FALSE)="Fire",Backdoors!BB10,IF(VLOOKUP(tbMoveset!A21,tbMoveset!A2:I112,9,FALSE)="Water",Backdoors!BC10,IF(VLOOKUP(tbMoveset!A21,tbMoveset!A2:I112,9,FALSE)="Thunder",Backdoors!BD10,IF(VLOOKUP(tbMoveset!A21,tbMoveset!A2:I112,9,FALSE)="Ice",Backdoors!BE10,IF(VLOOKUP(tbMoveset!A21,tbMoveset!A2:I112,9,FALSE)="Dragon",Backdoors!BF10,Backdoors!BG10)))))/100,Backdoors!BG10/100),"")</f>
        <v>0</v>
      </c>
      <c r="BA21" s="49">
        <f>IFERROR(IF(VLOOKUP(A21,tbMoveset!A2:J112,10,FALSE)=TRUE,IF((Backdoors!AI12+IF(AY21&gt;=0.45,VLOOKUP(Calculator!E23,tbSkills!DH3:DI6,2,FALSE)+IF(AND(Calculator!B8=TRUE,Backdoors!BI10=TRUE),VLOOKUP(Calculator!E23,tbSkills!DH3:DJ6,3,FALSE),0),0))&gt;=0,1+(Backdoors!AL2*(IF((Backdoors!AI12+IF(AY21&gt;=0.45,VLOOKUP(Calculator!E23,tbSkills!DH3:DI6,2,FALSE)+IF(AND(Calculator!B8=TRUE,Backdoors!BI10=TRUE),VLOOKUP(Calculator!E23,tbSkills!DH3:DJ6,3,FALSE),0),0))&gt;=100,100,(Backdoors!AI12+IF(AY21&gt;=0.45,VLOOKUP(Calculator!E23,tbSkills!DH3:DI6,2,FALSE)+IF(AND(Calculator!B8=TRUE,Backdoors!BI10=TRUE),VLOOKUP(Calculator!E23,tbSkills!DH3:DJ6,3,FALSE),0),0)))/100)),(1-(0.25*((-Backdoors!AI12-IF(AY21&gt;=0.45,VLOOKUP(Calculator!E23,tbSkills!DH3:DI6,2,FALSE)+IF(AND(Calculator!B8=TRUE,Backdoors!BI10=TRUE),VLOOKUP(Calculator!E23,tbSkills!DH3:DJ6,3,FALSE),0),0))/100)))),1),"")</f>
        <v>1</v>
      </c>
      <c r="BB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Y21)*BA21)*(VLOOKUP(A21,tbMoveset!A2:C112,3,FALSE)/100)*IF(VLOOKUP(A21,tbMoveset!A2:B112,2,FALSE)="Projectile",Backdoors!N10,Backdoors!N9),0),"")</f>
        <v>5</v>
      </c>
      <c r="BC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Y21&gt;=0.45,VLOOKUP(Calculator!E23,tbSkills!DH3:DI6,2,FALSE)+IF(AND(Calculator!B8=TRUE,Backdoors!BI10=TRUE),VLOOKUP(Calculator!E23,tbSkills!DH3:DJ6,3,FALSE),0),0))&gt;=100,100,(Backdoors!AI12+IF(AY21&gt;=0.45,VLOOKUP(Calculator!E23,tbSkills!DH3:DI6,2,FALSE)+IF(AND(Calculator!B8=TRUE,Backdoors!BI10=TRUE),VLOOKUP(Calculator!E23,tbSkills!DH3:DJ6,3,FALSE),0),0)))/100)),1))*IF(VLOOKUP(A21,tbMoveset!A2:K112,11,FALSE)=TRUE,Backdoors!AC5,1))*AZ21,0),"")</f>
        <v>0</v>
      </c>
      <c r="BD21" s="49">
        <f>VLOOKUP(A21,tbMoveset!A2:G112,7,FALSE)*IFERROR(IF(Backdoors!AI12&gt;=0,1+(IF(Calculator!E40&gt;0,VLOOKUP(Calculator!E40,tbSkills!AI3:AJ5,2,FALSE),Backdoors!AL4)*(IF((Backdoors!AI12+IF(AY21&gt;=0.45,VLOOKUP(Calculator!E23,tbSkills!DH3:DI6,2,FALSE)+IF(AND(Calculator!B8=TRUE,Backdoors!BI10=TRUE),VLOOKUP(Calculator!E23,tbSkills!DH3:DJ6,3,FALSE),0),0))&gt;=100,100,(Backdoors!AI12+IF(AY21&gt;=0.45,VLOOKUP(Calculator!E23,tbSkills!DH3:DI6,2,FALSE)+IF(AND(Calculator!B8=TRUE,Backdoors!BI10=TRUE),VLOOKUP(Calculator!E23,tbSkills!DH3:DJ6,3,FALSE),0),0)))/100)),1),1)</f>
        <v>0.5</v>
      </c>
      <c r="BE21" s="87">
        <f t="shared" si="3"/>
        <v>5</v>
      </c>
      <c r="BF21" s="86" t="str">
        <f>IFERROR(IF(VLOOKUP(A21,tbMoveset!A2:B112,2,FALSE)="Sever",Backdoors!AY11/100,IF(VLOOKUP(A21,tbMoveset!A2:B112,2,FALSE)="Blunt",Backdoors!AZ11/100,Backdoors!BA11/100)),"")</f>
        <v/>
      </c>
      <c r="BG21" s="49">
        <f>IFERROR(IF(VLOOKUP(tbMoveset!A21,tbMoveset!A2:H112,8,FALSE)="Other",IF(VLOOKUP(tbMoveset!A21,tbMoveset!A2:I112,9,FALSE)="Fire",Backdoors!BB11,IF(VLOOKUP(tbMoveset!A21,tbMoveset!A2:I112,9,FALSE)="Water",Backdoors!BC11,IF(VLOOKUP(tbMoveset!A21,tbMoveset!A2:I112,9,FALSE)="Thunder",Backdoors!BD11,IF(VLOOKUP(tbMoveset!A21,tbMoveset!A2:I112,9,FALSE)="Ice",Backdoors!BE11,IF(VLOOKUP(tbMoveset!A21,tbMoveset!A2:I112,9,FALSE)="Dragon",Backdoors!BF11,Backdoors!BG11)))))/100,Backdoors!BG11/100),"")</f>
        <v>0</v>
      </c>
      <c r="BH21" s="49">
        <f>IFERROR(IF(VLOOKUP(A21,tbMoveset!A2:J112,10,FALSE)=TRUE,IF((Backdoors!AI12+IF(BF21&gt;=0.45,VLOOKUP(Calculator!E23,tbSkills!DH3:DI6,2,FALSE)+IF(AND(Calculator!B8=TRUE,Backdoors!BI11=TRUE),VLOOKUP(Calculator!E23,tbSkills!DH3:DJ6,3,FALSE),0),0))&gt;=0,1+(Backdoors!AL2*(IF((Backdoors!AI12+IF(BF21&gt;=0.45,VLOOKUP(Calculator!E23,tbSkills!DH3:DI6,2,FALSE)+IF(AND(Calculator!B8=TRUE,Backdoors!BI11=TRUE),VLOOKUP(Calculator!E23,tbSkills!DH3:DJ6,3,FALSE),0),0))&gt;=100,100,(Backdoors!AI12+IF(BF21&gt;=0.45,VLOOKUP(Calculator!E23,tbSkills!DH3:DI6,2,FALSE)+IF(AND(Calculator!B8=TRUE,Backdoors!BI11=TRUE),VLOOKUP(Calculator!E23,tbSkills!DH3:DJ6,3,FALSE),0),0)))/100)),(1-(0.25*((-Backdoors!AI12-IF(BF21&gt;=0.45,VLOOKUP(Calculator!E23,tbSkills!DH3:DI6,2,FALSE)+IF(AND(Calculator!B8=TRUE,Backdoors!BI11=TRUE),VLOOKUP(Calculator!E23,tbSkills!DH3:DJ6,3,FALSE),0),0))/100)))),1),"")</f>
        <v>1</v>
      </c>
      <c r="BI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F21)*BH21)*(VLOOKUP(A21,tbMoveset!A2:C112,3,FALSE)/100)*IF(VLOOKUP(A21,tbMoveset!A2:B112,2,FALSE)="Projectile",Backdoors!N10,Backdoors!N9),0),"")</f>
        <v/>
      </c>
      <c r="BJ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F21&gt;=0.45,VLOOKUP(Calculator!E23,tbSkills!DH3:DI6,2,FALSE)+IF(AND(Calculator!B8=TRUE,Backdoors!BI11=TRUE),VLOOKUP(Calculator!E23,tbSkills!DH3:DJ6,3,FALSE),0),0))&gt;=100,100,(Backdoors!AI12+IF(BF21&gt;=0.45,VLOOKUP(Calculator!E23,tbSkills!DH3:DI6,2,FALSE)+IF(AND(Calculator!B8=TRUE,Backdoors!BI11=TRUE),VLOOKUP(Calculator!E23,tbSkills!DH3:DJ6,3,FALSE),0),0)))/100)),1))*IF(VLOOKUP(A21,tbMoveset!A2:K112,11,FALSE)=TRUE,Backdoors!AC5,1))*BG21,0),"")</f>
        <v>0</v>
      </c>
      <c r="BK21" s="49">
        <f>VLOOKUP(A21,tbMoveset!A2:G112,7,FALSE)*IFERROR(IF(Backdoors!AI12&gt;=0,1+(IF(Calculator!E40&gt;0,VLOOKUP(Calculator!E40,tbSkills!AI3:AJ5,2,FALSE),Backdoors!AL4)*(IF((Backdoors!AI12+IF(BF21&gt;=0.45,VLOOKUP(Calculator!E23,tbSkills!DH3:DI6,2,FALSE)+IF(AND(Calculator!B8=TRUE,Backdoors!BI11=TRUE),VLOOKUP(Calculator!E23,tbSkills!DH3:DJ6,3,FALSE),0),0))&gt;=100,100,(Backdoors!AI12+IF(BF21&gt;=0.45,VLOOKUP(Calculator!E23,tbSkills!DH3:DI6,2,FALSE)+IF(AND(Calculator!B8=TRUE,Backdoors!BI11=TRUE),VLOOKUP(Calculator!E23,tbSkills!DH3:DJ6,3,FALSE),0),0)))/100)),1),1)</f>
        <v>0.5</v>
      </c>
      <c r="BL21" s="87">
        <f t="shared" si="4"/>
        <v>0</v>
      </c>
      <c r="BM21" s="86" t="str">
        <f>IFERROR(IF(VLOOKUP(A21,tbMoveset!A2:B112,2,FALSE)="Sever",Backdoors!AY12/100,IF(VLOOKUP(A21,tbMoveset!A2:B112,2,FALSE)="Blunt",Backdoors!AZ12/100,Backdoors!BA12/100)),"")</f>
        <v/>
      </c>
      <c r="BN21" s="49">
        <f>IFERROR(IF(VLOOKUP(tbMoveset!A21,tbMoveset!A2:H112,8,FALSE)="Other",IF(VLOOKUP(tbMoveset!A21,tbMoveset!A2:I112,9,FALSE)="Fire",Backdoors!BB12,IF(VLOOKUP(tbMoveset!A21,tbMoveset!A2:I112,9,FALSE)="Water",Backdoors!BC12,IF(VLOOKUP(tbMoveset!A21,tbMoveset!A2:I112,9,FALSE)="Thunder",Backdoors!BD12,IF(VLOOKUP(tbMoveset!A21,tbMoveset!A2:I112,9,FALSE)="Ice",Backdoors!BE12,IF(VLOOKUP(tbMoveset!A21,tbMoveset!A2:I112,9,FALSE)="Dragon",Backdoors!BF12,Backdoors!BG12)))))/100,Backdoors!BG12/100),"")</f>
        <v>0</v>
      </c>
      <c r="BO21" s="49">
        <f>IFERROR(IF(VLOOKUP(A21,tbMoveset!A2:J112,10,FALSE)=TRUE,IF((Backdoors!AI12+IF(BM21&gt;=0.45,VLOOKUP(Calculator!E23,tbSkills!DH3:DI6,2,FALSE)+IF(AND(Calculator!B8=TRUE,Backdoors!BI12=TRUE),VLOOKUP(Calculator!E23,tbSkills!DH3:DJ6,3,FALSE),0),0))&gt;=0,1+(Backdoors!AL2*(IF((Backdoors!AI12+IF(BM21&gt;=0.45,VLOOKUP(Calculator!E23,tbSkills!DH3:DI6,2,FALSE)+IF(AND(Calculator!B8=TRUE,Backdoors!BI12=TRUE),VLOOKUP(Calculator!E23,tbSkills!DH3:DJ6,3,FALSE),0),0))&gt;=100,100,(Backdoors!AI12+IF(BM21&gt;=0.45,VLOOKUP(Calculator!E23,tbSkills!DH3:DI6,2,FALSE)+IF(AND(Calculator!B8=TRUE,Backdoors!BI12=TRUE),VLOOKUP(Calculator!E23,tbSkills!DH3:DJ6,3,FALSE),0),0)))/100)),(1-(0.25*((-Backdoors!AI12-IF(BM21&gt;=0.45,VLOOKUP(Calculator!E23,tbSkills!DH3:DI6,2,FALSE)+IF(AND(Calculator!B8=TRUE,Backdoors!BI12=TRUE),VLOOKUP(Calculator!E23,tbSkills!DH3:DJ6,3,FALSE),0),0))/100)))),1),"")</f>
        <v>1</v>
      </c>
      <c r="BP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M21)*BO21)*(VLOOKUP(A21,tbMoveset!A2:C112,3,FALSE)/100)*IF(VLOOKUP(A21,tbMoveset!A2:B112,2,FALSE)="Projectile",Backdoors!N10,Backdoors!N9),0),"")</f>
        <v/>
      </c>
      <c r="BQ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M21&gt;=0.45,VLOOKUP(Calculator!E23,tbSkills!DH3:DI6,2,FALSE)+IF(AND(Calculator!B8=TRUE,Backdoors!BI12=TRUE),VLOOKUP(Calculator!E23,tbSkills!DH3:DJ6,3,FALSE),0),0))&gt;=100,100,(Backdoors!AI12+IF(BM21&gt;=0.45,VLOOKUP(Calculator!E23,tbSkills!DH3:DI6,2,FALSE)+IF(AND(Calculator!B8=TRUE,Backdoors!BI12=TRUE),VLOOKUP(Calculator!E23,tbSkills!DH3:DJ6,3,FALSE),0),0)))/100)),1))*IF(VLOOKUP(A21,tbMoveset!A2:K112,11,FALSE)=TRUE,Backdoors!AC5,1))*BN21,0),"")</f>
        <v>0</v>
      </c>
      <c r="BR21" s="49">
        <f>VLOOKUP(A21,tbMoveset!A2:G112,7,FALSE)*IFERROR(IF(Backdoors!AI12&gt;=0,1+(IF(Calculator!E40&gt;0,VLOOKUP(Calculator!E40,tbSkills!AI3:AJ5,2,FALSE),Backdoors!AL4)*(IF((Backdoors!AI12+IF(BM21&gt;=0.45,VLOOKUP(Calculator!E23,tbSkills!DH3:DI6,2,FALSE)+IF(AND(Calculator!B8=TRUE,Backdoors!BI12=TRUE),VLOOKUP(Calculator!E23,tbSkills!DH3:DJ6,3,FALSE),0),0))&gt;=100,100,(Backdoors!AI12+IF(BM21&gt;=0.45,VLOOKUP(Calculator!E23,tbSkills!DH3:DI6,2,FALSE)+IF(AND(Calculator!B8=TRUE,Backdoors!BI12=TRUE),VLOOKUP(Calculator!E23,tbSkills!DH3:DJ6,3,FALSE),0),0)))/100)),1),1)</f>
        <v>0.5</v>
      </c>
      <c r="BS21" s="87">
        <f t="shared" si="39"/>
        <v>0</v>
      </c>
      <c r="BT21" s="86" t="str">
        <f>IFERROR(IF(VLOOKUP(A21,tbMoveset!A2:B112,2,FALSE)="Sever",Backdoors!AY13/100,IF(VLOOKUP(A21,tbMoveset!A2:B112,2,FALSE)="Blunt",Backdoors!AZ13/100,Backdoors!BA13/100)),"")</f>
        <v/>
      </c>
      <c r="BU21" s="49">
        <f>IFERROR(IF(VLOOKUP(tbMoveset!A21,tbMoveset!A2:H112,8,FALSE)="Other",IF(VLOOKUP(tbMoveset!A21,tbMoveset!A2:I112,9,FALSE)="Fire",Backdoors!BB13,IF(VLOOKUP(tbMoveset!A21,tbMoveset!A2:I112,9,FALSE)="Water",Backdoors!BC13,IF(VLOOKUP(tbMoveset!A21,tbMoveset!A2:I112,9,FALSE)="Thunder",Backdoors!BD13,IF(VLOOKUP(tbMoveset!A21,tbMoveset!A2:I112,9,FALSE)="Ice",Backdoors!BE13,IF(VLOOKUP(tbMoveset!A21,tbMoveset!A2:I112,9,FALSE)="Dragon",Backdoors!BF13,Backdoors!BG13)))))/100,Backdoors!BG13/100),"")</f>
        <v>0</v>
      </c>
      <c r="BV21" s="49">
        <f>IFERROR(IF(VLOOKUP(A21,tbMoveset!A2:J112,10,FALSE)=TRUE,IF((Backdoors!AI12+IF(BT21&gt;=0.45,VLOOKUP(Calculator!E23,tbSkills!DH3:DI6,2,FALSE)+IF(AND(Calculator!B8=TRUE,Backdoors!BI13=TRUE),VLOOKUP(Calculator!E23,tbSkills!DH3:DJ6,3,FALSE),0),0))&gt;=0,1+(Backdoors!AL2*(IF((Backdoors!AI12+IF(BT21&gt;=0.45,VLOOKUP(Calculator!E23,tbSkills!DH3:DI6,2,FALSE)+IF(AND(Calculator!B8=TRUE,Backdoors!BI13=TRUE),VLOOKUP(Calculator!E23,tbSkills!DH3:DJ6,3,FALSE),0),0))&gt;=100,100,(Backdoors!AI12+IF(BT21&gt;=0.45,VLOOKUP(Calculator!E23,tbSkills!DH3:DI6,2,FALSE)+IF(AND(Calculator!B8=TRUE,Backdoors!BI13=TRUE),VLOOKUP(Calculator!E23,tbSkills!DH3:DJ6,3,FALSE),0),0)))/100)),(1-(0.25*((-Backdoors!AI12-IF(BT21&gt;=0.45,VLOOKUP(Calculator!E23,tbSkills!DH3:DI6,2,FALSE)+IF(AND(Calculator!B8=TRUE,Backdoors!BI13=TRUE),VLOOKUP(Calculator!E23,tbSkills!DH3:DJ6,3,FALSE),0),0))/100)))),1),"")</f>
        <v>1</v>
      </c>
      <c r="BW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T21)*BV21)*(VLOOKUP(A21,tbMoveset!A2:C112,3,FALSE)/100)*IF(VLOOKUP(A21,tbMoveset!A2:B112,2,FALSE)="Projectile",Backdoors!N10,Backdoors!N9),0),"")</f>
        <v/>
      </c>
      <c r="BX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T21&gt;=0.45,VLOOKUP(Calculator!E23,tbSkills!DH3:DI6,2,FALSE)+IF(AND(Calculator!B8=TRUE,Backdoors!BI13=TRUE),VLOOKUP(Calculator!E23,tbSkills!DH3:DJ6,3,FALSE),0),0))&gt;=100,100,(Backdoors!AI12+IF(BT21&gt;=0.45,VLOOKUP(Calculator!E23,tbSkills!DH3:DI6,2,FALSE)+IF(AND(Calculator!B8=TRUE,Backdoors!BI13=TRUE),VLOOKUP(Calculator!E23,tbSkills!DH3:DJ6,3,FALSE),0),0)))/100)),1))*IF(VLOOKUP(A21,tbMoveset!A2:K112,11,FALSE)=TRUE,Backdoors!AC5,1))*BU21,0),"")</f>
        <v>0</v>
      </c>
      <c r="BY21" s="49">
        <f>VLOOKUP(A21,tbMoveset!A2:G112,7,FALSE)*IFERROR(IF(Backdoors!AI12&gt;=0,1+(IF(Calculator!E40&gt;0,VLOOKUP(Calculator!E40,tbSkills!AI3:AJ5,2,FALSE),Backdoors!AL4)*(IF((Backdoors!AI12+IF(BT21&gt;=0.45,VLOOKUP(Calculator!E23,tbSkills!DH3:DI6,2,FALSE)+IF(AND(Calculator!B8=TRUE,Backdoors!BI13=TRUE),VLOOKUP(Calculator!E23,tbSkills!DH3:DJ6,3,FALSE),0),0))&gt;=100,100,(Backdoors!AI12+IF(BT21&gt;=0.45,VLOOKUP(Calculator!E23,tbSkills!DH3:DI6,2,FALSE)+IF(AND(Calculator!B8=TRUE,Backdoors!BI13=TRUE),VLOOKUP(Calculator!E23,tbSkills!DH3:DJ6,3,FALSE),0),0)))/100)),1),1)</f>
        <v>0.5</v>
      </c>
      <c r="BZ21" s="87">
        <f t="shared" si="5"/>
        <v>0</v>
      </c>
      <c r="CA21" s="86" t="str">
        <f>IFERROR(IF(VLOOKUP(A21,tbMoveset!A2:B112,2,FALSE)="Sever",Backdoors!AY14/100,IF(VLOOKUP(A21,tbMoveset!A2:B112,2,FALSE)="Blunt",Backdoors!AZ14/100,Backdoors!BA14/100)),"")</f>
        <v/>
      </c>
      <c r="CB21" s="49">
        <f>IFERROR(IF(VLOOKUP(tbMoveset!A21,tbMoveset!A2:H112,8,FALSE)="Other",IF(VLOOKUP(tbMoveset!A21,tbMoveset!A2:I112,9,FALSE)="Fire",Backdoors!BB14,IF(VLOOKUP(tbMoveset!A21,tbMoveset!A2:I112,9,FALSE)="Water",Backdoors!BC14,IF(VLOOKUP(tbMoveset!A21,tbMoveset!A2:I112,9,FALSE)="Thunder",Backdoors!BD14,IF(VLOOKUP(tbMoveset!A21,tbMoveset!A2:I112,9,FALSE)="Ice",Backdoors!BE14,IF(VLOOKUP(tbMoveset!A21,tbMoveset!A2:I112,9,FALSE)="Dragon",Backdoors!BF14,Backdoors!BG14)))))/100,Backdoors!BG14/100),"")</f>
        <v>0</v>
      </c>
      <c r="CC21" s="49">
        <f>IFERROR(IF(VLOOKUP(A21,tbMoveset!A2:J112,10,FALSE)=TRUE,IF((Backdoors!AI12+IF(CA21&gt;=0.45,VLOOKUP(Calculator!E23,tbSkills!DH3:DI6,2,FALSE)+IF(AND(Calculator!B8=TRUE,Backdoors!BI14=TRUE),VLOOKUP(Calculator!E23,tbSkills!DH3:DJ6,3,FALSE),0),0))&gt;=0,1+(Backdoors!AL2*(IF((Backdoors!AI12+IF(CA21&gt;=0.45,VLOOKUP(Calculator!E23,tbSkills!DH3:DI6,2,FALSE)+IF(AND(Calculator!B8=TRUE,Backdoors!BI14=TRUE),VLOOKUP(Calculator!E23,tbSkills!DH3:DJ6,3,FALSE),0),0))&gt;=100,100,(Backdoors!AI12+IF(CA21&gt;=0.45,VLOOKUP(Calculator!E23,tbSkills!DH3:DI6,2,FALSE)+IF(AND(Calculator!B8=TRUE,Backdoors!BI14=TRUE),VLOOKUP(Calculator!E23,tbSkills!DH3:DJ6,3,FALSE),0),0)))/100)),(1-(0.25*((-Backdoors!AI12-IF(CA21&gt;=0.45,VLOOKUP(Calculator!E23,tbSkills!DH3:DI6,2,FALSE)+IF(AND(Calculator!B8=TRUE,Backdoors!BI14=TRUE),VLOOKUP(Calculator!E23,tbSkills!DH3:DJ6,3,FALSE),0),0))/100)))),1),"")</f>
        <v>1</v>
      </c>
      <c r="CD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A21)*CC21)*(VLOOKUP(A21,tbMoveset!A2:C112,3,FALSE)/100)*IF(VLOOKUP(A21,tbMoveset!A2:B112,2,FALSE)="Projectile",Backdoors!N10,Backdoors!N9),0),"")</f>
        <v/>
      </c>
      <c r="CE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A21&gt;=0.45,VLOOKUP(Calculator!E23,tbSkills!DH3:DI6,2,FALSE)+IF(AND(Calculator!B8=TRUE,Backdoors!BI14=TRUE),VLOOKUP(Calculator!E23,tbSkills!DH3:DJ6,3,FALSE),0),0))&gt;=100,100,(Backdoors!AI12+IF(CA21&gt;=0.45,VLOOKUP(Calculator!E23,tbSkills!DH3:DI6,2,FALSE)+IF(AND(Calculator!B8=TRUE,Backdoors!BI14=TRUE),VLOOKUP(Calculator!E23,tbSkills!DH3:DJ6,3,FALSE),0),0)))/100)),1))*IF(VLOOKUP(A21,tbMoveset!A2:K112,11,FALSE)=TRUE,Backdoors!AC5,1))*CB21,0),"")</f>
        <v>0</v>
      </c>
      <c r="CF21" s="49">
        <f>VLOOKUP(A21,tbMoveset!A2:G112,7,FALSE)*IFERROR(IF(Backdoors!AI12&gt;=0,1+(IF(Calculator!E40&gt;0,VLOOKUP(Calculator!E40,tbSkills!AI3:AJ5,2,FALSE),Backdoors!AL4)*(IF((Backdoors!AI12+IF(CA21&gt;=0.45,VLOOKUP(Calculator!E23,tbSkills!DH3:DI6,2,FALSE)+IF(AND(Calculator!B8=TRUE,Backdoors!BI14=TRUE),VLOOKUP(Calculator!E23,tbSkills!DH3:DJ6,3,FALSE),0),0))&gt;=100,100,(Backdoors!AI12+IF(CA21&gt;=0.45,VLOOKUP(Calculator!E23,tbSkills!DH3:DI6,2,FALSE)+IF(AND(Calculator!B8=TRUE,Backdoors!BI14=TRUE),VLOOKUP(Calculator!E23,tbSkills!DH3:DJ6,3,FALSE),0),0)))/100)),1),1)</f>
        <v>0.5</v>
      </c>
      <c r="CG21" s="87">
        <f t="shared" si="6"/>
        <v>0</v>
      </c>
      <c r="CH21" s="86" t="str">
        <f>IFERROR(IF(VLOOKUP(A21,tbMoveset!A2:B112,2,FALSE)="Sever",Backdoors!AY15/100,IF(VLOOKUP(A21,tbMoveset!A2:B112,2,FALSE)="Blunt",Backdoors!AZ15/100,Backdoors!BA15/100)),"")</f>
        <v/>
      </c>
      <c r="CI21" s="49">
        <f>IFERROR(IF(VLOOKUP(tbMoveset!A21,tbMoveset!A2:H112,8,FALSE)="Other",IF(VLOOKUP(tbMoveset!A21,tbMoveset!A2:I112,9,FALSE)="Fire",Backdoors!BB15,IF(VLOOKUP(tbMoveset!A21,tbMoveset!A2:I112,9,FALSE)="Water",Backdoors!BC15,IF(VLOOKUP(tbMoveset!A21,tbMoveset!A2:I112,9,FALSE)="Thunder",Backdoors!BD15,IF(VLOOKUP(tbMoveset!A21,tbMoveset!A2:I112,9,FALSE)="Ice",Backdoors!BE15,IF(VLOOKUP(tbMoveset!A21,tbMoveset!A2:I112,9,FALSE)="Dragon",Backdoors!BF15,Backdoors!BG15)))))/100,Backdoors!BG15/100),"")</f>
        <v>0</v>
      </c>
      <c r="CJ21" s="49">
        <f>IFERROR(IF(VLOOKUP(A21,tbMoveset!A2:J112,10,FALSE)=TRUE,IF((Backdoors!AI12+IF(CH21&gt;=0.45,VLOOKUP(Calculator!E23,tbSkills!DH3:DI6,2,FALSE)+IF(AND(Calculator!B8=TRUE,Backdoors!BI15=TRUE),VLOOKUP(Calculator!E23,tbSkills!DH3:DJ6,3,FALSE),0),0))&gt;=0,1+(Backdoors!AL2*(IF((Backdoors!AI12+IF(CH21&gt;=0.45,VLOOKUP(Calculator!E23,tbSkills!DH3:DI6,2,FALSE)+IF(AND(Calculator!B8=TRUE,Backdoors!BI15=TRUE),VLOOKUP(Calculator!E23,tbSkills!DH3:DJ6,3,FALSE),0),0))&gt;=100,100,(Backdoors!AI12+IF(CH21&gt;=0.45,VLOOKUP(Calculator!E23,tbSkills!DH3:DI6,2,FALSE)+IF(AND(Calculator!B8=TRUE,Backdoors!BI15=TRUE),VLOOKUP(Calculator!E23,tbSkills!DH3:DJ6,3,FALSE),0),0)))/100)),(1-(0.25*((-Backdoors!AI12-IF(CH21&gt;=0.45,VLOOKUP(Calculator!E23,tbSkills!DH3:DI6,2,FALSE)+IF(AND(Calculator!B8=TRUE,Backdoors!BI15=TRUE),VLOOKUP(Calculator!E23,tbSkills!DH3:DJ6,3,FALSE),0),0))/100)))),1),"")</f>
        <v>1</v>
      </c>
      <c r="CK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H21)*CJ21)*(VLOOKUP(A21,tbMoveset!A2:C112,3,FALSE)/100)*IF(VLOOKUP(A21,tbMoveset!A2:B112,2,FALSE)="Projectile",Backdoors!N10,Backdoors!N9),0),"")</f>
        <v/>
      </c>
      <c r="CL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H21&gt;=0.45,VLOOKUP(Calculator!E23,tbSkills!DH3:DI6,2,FALSE)+IF(AND(Calculator!B8=TRUE,Backdoors!BI15=TRUE),VLOOKUP(Calculator!E23,tbSkills!DH3:DJ6,3,FALSE),0),0))&gt;=100,100,(Backdoors!AI12+IF(CH21&gt;=0.45,VLOOKUP(Calculator!E23,tbSkills!DH3:DI6,2,FALSE)+IF(AND(Calculator!B8=TRUE,Backdoors!BI15=TRUE),VLOOKUP(Calculator!E23,tbSkills!DH3:DJ6,3,FALSE),0),0)))/100)),1))*IF(VLOOKUP(A21,tbMoveset!A2:K112,11,FALSE)=TRUE,Backdoors!AC5,1))*CI21,0),"")</f>
        <v>0</v>
      </c>
      <c r="CM21" s="49">
        <f>VLOOKUP(A21,tbMoveset!A2:G112,7,FALSE)*IFERROR(IF(Backdoors!AI12&gt;=0,1+(IF(Calculator!E40&gt;0,VLOOKUP(Calculator!E40,tbSkills!AI3:AJ5,2,FALSE),Backdoors!AL4)*(IF((Backdoors!AI12+IF(CH21&gt;=0.45,VLOOKUP(Calculator!E23,tbSkills!DH3:DI6,2,FALSE)+IF(AND(Calculator!B8=TRUE,Backdoors!BI15=TRUE),VLOOKUP(Calculator!E23,tbSkills!DH3:DJ6,3,FALSE),0),0))&gt;=100,100,(Backdoors!AI12+IF(CH21&gt;=0.45,VLOOKUP(Calculator!E23,tbSkills!DH3:DI6,2,FALSE)+IF(AND(Calculator!B8=TRUE,Backdoors!BI15=TRUE),VLOOKUP(Calculator!E23,tbSkills!DH3:DJ6,3,FALSE),0),0)))/100)),1),1)</f>
        <v>0.5</v>
      </c>
      <c r="CN21" s="87">
        <f t="shared" si="7"/>
        <v>0</v>
      </c>
      <c r="CO21" s="86" t="str">
        <f>IFERROR(IF(VLOOKUP(A21,tbMoveset!A2:B112,2,FALSE)="Sever",Backdoors!AY16/100,IF(VLOOKUP(A21,tbMoveset!A2:B112,2,FALSE)="Blunt",Backdoors!AZ16/100,Backdoors!BA16/100)),"")</f>
        <v/>
      </c>
      <c r="CP21" s="49">
        <f>IFERROR(IF(VLOOKUP(tbMoveset!A21,tbMoveset!A2:H112,8,FALSE)="Other",IF(VLOOKUP(tbMoveset!A21,tbMoveset!A2:I112,9,FALSE)="Fire",Backdoors!BB16,IF(VLOOKUP(tbMoveset!A21,tbMoveset!A2:I112,9,FALSE)="Water",Backdoors!BC16,IF(VLOOKUP(tbMoveset!A21,tbMoveset!A2:I112,9,FALSE)="Thunder",Backdoors!BD16,IF(VLOOKUP(tbMoveset!A21,tbMoveset!A2:I112,9,FALSE)="Ice",Backdoors!BE16,IF(VLOOKUP(tbMoveset!A21,tbMoveset!A2:I112,9,FALSE)="Dragon",Backdoors!BF16,Backdoors!BG16)))))/100,Backdoors!BG16/100),"")</f>
        <v>0</v>
      </c>
      <c r="CQ21" s="49">
        <f>IFERROR(IF(VLOOKUP(A21,tbMoveset!A2:J112,10,FALSE)=TRUE,IF((Backdoors!AI12+IF(CO21&gt;=0.45,VLOOKUP(Calculator!E23,tbSkills!DH3:DI6,2,FALSE)+IF(AND(Calculator!B8=TRUE,Backdoors!BI16=TRUE),VLOOKUP(Calculator!E23,tbSkills!DH3:DJ6,3,FALSE),0),0))&gt;=0,1+(Backdoors!AL2*(IF((Backdoors!AI12+IF(CO21&gt;=0.45,VLOOKUP(Calculator!E23,tbSkills!DH3:DI6,2,FALSE)+IF(AND(Calculator!B8=TRUE,Backdoors!BI16=TRUE),VLOOKUP(Calculator!E23,tbSkills!DH3:DJ6,3,FALSE),0),0))&gt;=100,100,(Backdoors!AI12+IF(CO21&gt;=0.45,VLOOKUP(Calculator!E23,tbSkills!DH3:DI6,2,FALSE)+IF(AND(Calculator!B8=TRUE,Backdoors!BI16=TRUE),VLOOKUP(Calculator!E23,tbSkills!DH3:DJ6,3,FALSE),0),0)))/100)),(1-(0.25*((-Backdoors!AI12-IF(CO21&gt;=0.45,VLOOKUP(Calculator!E23,tbSkills!DH3:DI6,2,FALSE)+IF(AND(Calculator!B8=TRUE,Backdoors!BI16=TRUE),VLOOKUP(Calculator!E23,tbSkills!DH3:DJ6,3,FALSE),0),0))/100)))),1),"")</f>
        <v>1</v>
      </c>
      <c r="CR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O21)*CQ21)*(VLOOKUP(A21,tbMoveset!A2:C112,3,FALSE)/100)*IF(VLOOKUP(A21,tbMoveset!A2:B112,2,FALSE)="Projectile",Backdoors!N10,Backdoors!N9),0),"")</f>
        <v/>
      </c>
      <c r="CS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O21&gt;=0.45,VLOOKUP(Calculator!E23,tbSkills!DH3:DI6,2,FALSE)+IF(AND(Calculator!B8=TRUE,Backdoors!BI16=TRUE),VLOOKUP(Calculator!E23,tbSkills!DH3:DJ6,3,FALSE),0),0))&gt;=100,100,(Backdoors!AI12+IF(CO21&gt;=0.45,VLOOKUP(Calculator!E23,tbSkills!DH3:DI6,2,FALSE)+IF(AND(Calculator!B8=TRUE,Backdoors!BI16=TRUE),VLOOKUP(Calculator!E23,tbSkills!DH3:DJ6,3,FALSE),0),0)))/100)),1))*IF(VLOOKUP(A21,tbMoveset!A2:K112,11,FALSE)=TRUE,Backdoors!AC5,1))*CP21,0),"")</f>
        <v>0</v>
      </c>
      <c r="CT21" s="49">
        <f>VLOOKUP(A21,tbMoveset!A2:G112,7,FALSE)*IFERROR(IF(Backdoors!AI12&gt;=0,1+(IF(Calculator!E40&gt;0,VLOOKUP(Calculator!E40,tbSkills!AI3:AJ5,2,FALSE),Backdoors!AL4)*(IF((Backdoors!AI12+IF(CO21&gt;=0.45,VLOOKUP(Calculator!E23,tbSkills!DH3:DI6,2,FALSE)+IF(AND(Calculator!B8=TRUE,Backdoors!BI16=TRUE),VLOOKUP(Calculator!E23,tbSkills!DH3:DJ6,3,FALSE),0),0))&gt;=100,100,(Backdoors!AI12+IF(CO21&gt;=0.45,VLOOKUP(Calculator!E23,tbSkills!DH3:DI6,2,FALSE)+IF(AND(Calculator!B8=TRUE,Backdoors!BI16=TRUE),VLOOKUP(Calculator!E23,tbSkills!DH3:DJ6,3,FALSE),0),0)))/100)),1),1)</f>
        <v>0.5</v>
      </c>
      <c r="CU21" s="87">
        <f t="shared" si="40"/>
        <v>0</v>
      </c>
      <c r="CV21" s="86" t="str">
        <f>IFERROR(IF(VLOOKUP(A21,tbMoveset!A2:B112,2,FALSE)="Sever",Backdoors!AY17/100,IF(VLOOKUP(A21,tbMoveset!A2:B112,2,FALSE)="Blunt",Backdoors!AZ17/100,Backdoors!BA17/100)),"")</f>
        <v/>
      </c>
      <c r="CW21" s="49">
        <f>IFERROR(IF(VLOOKUP(tbMoveset!A21,tbMoveset!A2:H112,8,FALSE)="Other",IF(VLOOKUP(tbMoveset!A21,tbMoveset!A2:I112,9,FALSE)="Fire",Backdoors!BB17,IF(VLOOKUP(tbMoveset!A21,tbMoveset!A2:I112,9,FALSE)="Water",Backdoors!BC17,IF(VLOOKUP(tbMoveset!A21,tbMoveset!A2:I112,9,FALSE)="Thunder",Backdoors!BD17,IF(VLOOKUP(tbMoveset!A21,tbMoveset!A2:I112,9,FALSE)="Ice",Backdoors!BE17,IF(VLOOKUP(tbMoveset!A21,tbMoveset!A2:I112,9,FALSE)="Dragon",Backdoors!BF17,Backdoors!BG17)))))/100,Backdoors!BG17/100),"")</f>
        <v>0</v>
      </c>
      <c r="CX21" s="49">
        <f>IFERROR(IF(VLOOKUP(A21,tbMoveset!A2:J112,10,FALSE)=TRUE,IF((Backdoors!AI12+IF(CV21&gt;=0.45,VLOOKUP(Calculator!E23,tbSkills!DH3:DI6,2,FALSE)+IF(AND(Calculator!B8=TRUE,Backdoors!BI17=TRUE),VLOOKUP(Calculator!E23,tbSkills!DH3:DJ6,3,FALSE),0),0))&gt;=0,1+(Backdoors!AL2*(IF((Backdoors!AI12+IF(CV21&gt;=0.45,VLOOKUP(Calculator!E23,tbSkills!DH3:DI6,2,FALSE)+IF(AND(Calculator!B8=TRUE,Backdoors!BI17=TRUE),VLOOKUP(Calculator!E23,tbSkills!DH3:DJ6,3,FALSE),0),0))&gt;=100,100,(Backdoors!AI12+IF(CV21&gt;=0.45,VLOOKUP(Calculator!E23,tbSkills!DH3:DI6,2,FALSE)+IF(AND(Calculator!B8=TRUE,Backdoors!BI17=TRUE),VLOOKUP(Calculator!E23,tbSkills!DH3:DJ6,3,FALSE),0),0)))/100)),(1-(0.25*((-Backdoors!AI12-IF(CV21&gt;=0.45,VLOOKUP(Calculator!E23,tbSkills!DH3:DI6,2,FALSE)+IF(AND(Calculator!B8=TRUE,Backdoors!BI17=TRUE),VLOOKUP(Calculator!E23,tbSkills!DH3:DJ6,3,FALSE),0),0))/100)))),1),"")</f>
        <v>1</v>
      </c>
      <c r="CY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V21)*CX21)*(VLOOKUP(A21,tbMoveset!A2:C112,3,FALSE)/100)*IF(VLOOKUP(A21,tbMoveset!A2:B112,2,FALSE)="Projectile",Backdoors!N10,Backdoors!N9),0),"")</f>
        <v/>
      </c>
      <c r="CZ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V21&gt;=0.45,VLOOKUP(Calculator!E23,tbSkills!DH3:DI6,2,FALSE)+IF(AND(Calculator!B8=TRUE,Backdoors!BI17=TRUE),VLOOKUP(Calculator!E23,tbSkills!DH3:DJ6,3,FALSE),0),0))&gt;=100,100,(Backdoors!AI12+IF(CV21&gt;=0.45,VLOOKUP(Calculator!E23,tbSkills!DH3:DI6,2,FALSE)+IF(AND(Calculator!B8=TRUE,Backdoors!BI17=TRUE),VLOOKUP(Calculator!E23,tbSkills!DH3:DJ6,3,FALSE),0),0)))/100)),1))*IF(VLOOKUP(A21,tbMoveset!A2:K112,11,FALSE)=TRUE,Backdoors!AC5,1))*CW21,0),"")</f>
        <v>0</v>
      </c>
      <c r="DA21" s="49">
        <f>VLOOKUP(A21,tbMoveset!A2:G112,7,FALSE)*IFERROR(IF(Backdoors!AI12&gt;=0,1+(IF(Calculator!E40&gt;0,VLOOKUP(Calculator!E40,tbSkills!AI3:AJ5,2,FALSE),Backdoors!AL4)*(IF((Backdoors!AI12+IF(CV21&gt;=0.45,VLOOKUP(Calculator!E23,tbSkills!DH3:DI6,2,FALSE)+IF(AND(Calculator!B8=TRUE,Backdoors!BI17=TRUE),VLOOKUP(Calculator!E23,tbSkills!DH3:DJ6,3,FALSE),0),0))&gt;=100,100,(Backdoors!AI12+IF(CV21&gt;=0.45,VLOOKUP(Calculator!E23,tbSkills!DH3:DI6,2,FALSE)+IF(AND(Calculator!B8=TRUE,Backdoors!BI17=TRUE),VLOOKUP(Calculator!E23,tbSkills!DH3:DJ6,3,FALSE),0),0)))/100)),1),1)</f>
        <v>0.5</v>
      </c>
      <c r="DB21" s="87">
        <f t="shared" si="8"/>
        <v>0</v>
      </c>
      <c r="DC21" s="86" t="str">
        <f>IFERROR(IF(VLOOKUP(A21,tbMoveset!A2:B112,2,FALSE)="Sever",Backdoors!AY18/100,IF(VLOOKUP(A21,tbMoveset!A2:B112,2,FALSE)="Blunt",Backdoors!AZ18/100,Backdoors!BA18/100)),"")</f>
        <v/>
      </c>
      <c r="DD21" s="49">
        <f>IFERROR(IF(VLOOKUP(tbMoveset!A21,tbMoveset!A2:H112,8,FALSE)="Other",IF(VLOOKUP(tbMoveset!A21,tbMoveset!A2:I112,9,FALSE)="Fire",Backdoors!BB18,IF(VLOOKUP(tbMoveset!A21,tbMoveset!A2:I112,9,FALSE)="Water",Backdoors!BC18,IF(VLOOKUP(tbMoveset!A21,tbMoveset!A2:I112,9,FALSE)="Thunder",Backdoors!BD18,IF(VLOOKUP(tbMoveset!A21,tbMoveset!A2:I112,9,FALSE)="Ice",Backdoors!BE18,IF(VLOOKUP(tbMoveset!A21,tbMoveset!A2:I112,9,FALSE)="Dragon",Backdoors!BF18,Backdoors!BG18)))))/100,Backdoors!BG18/100),"")</f>
        <v>0</v>
      </c>
      <c r="DE21" s="49">
        <f>IFERROR(IF(VLOOKUP(A21,tbMoveset!A2:J112,10,FALSE)=TRUE,IF((Backdoors!AI12+IF(DC21&gt;=0.45,VLOOKUP(Calculator!E23,tbSkills!DH3:DI6,2,FALSE)+IF(AND(Calculator!B8=TRUE,Backdoors!BI18=TRUE),VLOOKUP(Calculator!E23,tbSkills!DH3:DJ6,3,FALSE),0),0))&gt;=0,1+(Backdoors!AL2*(IF((Backdoors!AI12+IF(DC21&gt;=0.45,VLOOKUP(Calculator!E23,tbSkills!DH3:DI6,2,FALSE)+IF(AND(Calculator!B8=TRUE,Backdoors!BI18=TRUE),VLOOKUP(Calculator!E23,tbSkills!DH3:DJ6,3,FALSE),0),0))&gt;=100,100,(Backdoors!AI12+IF(DC21&gt;=0.45,VLOOKUP(Calculator!E23,tbSkills!DH3:DI6,2,FALSE)+IF(AND(Calculator!B8=TRUE,Backdoors!BI18=TRUE),VLOOKUP(Calculator!E23,tbSkills!DH3:DJ6,3,FALSE),0),0)))/100)),(1-(0.25*((-Backdoors!AI12-IF(DC21&gt;=0.45,VLOOKUP(Calculator!E23,tbSkills!DH3:DI6,2,FALSE)+IF(AND(Calculator!B8=TRUE,Backdoors!BI18=TRUE),VLOOKUP(Calculator!E23,tbSkills!DH3:DJ6,3,FALSE),0),0))/100)))),1),"")</f>
        <v>1</v>
      </c>
      <c r="DF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C21)*DE21)*(VLOOKUP(A21,tbMoveset!A2:C112,3,FALSE)/100)*IF(VLOOKUP(A21,tbMoveset!A2:B112,2,FALSE)="Projectile",Backdoors!N10,Backdoors!N9),0),"")</f>
        <v/>
      </c>
      <c r="DG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C21&gt;=0.45,VLOOKUP(Calculator!E23,tbSkills!DH3:DI6,2,FALSE)+IF(AND(Calculator!B8=TRUE,Backdoors!BI18=TRUE),VLOOKUP(Calculator!E23,tbSkills!DH3:DJ6,3,FALSE),0),0))&gt;=100,100,(Backdoors!AI12+IF(DC21&gt;=0.45,VLOOKUP(Calculator!E23,tbSkills!DH3:DI6,2,FALSE)+IF(AND(Calculator!B8=TRUE,Backdoors!BI18=TRUE),VLOOKUP(Calculator!E23,tbSkills!DH3:DJ6,3,FALSE),0),0)))/100)),1))*IF(VLOOKUP(A21,tbMoveset!A2:K112,11,FALSE)=TRUE,Backdoors!AC5,1))*DD21,0),"")</f>
        <v>0</v>
      </c>
      <c r="DH21" s="49">
        <f>VLOOKUP(A21,tbMoveset!A2:G112,7,FALSE)*IFERROR(IF(Backdoors!AI12&gt;=0,1+(IF(Calculator!E40&gt;0,VLOOKUP(Calculator!E40,tbSkills!AI3:AJ5,2,FALSE),Backdoors!AL4)*(IF((Backdoors!AI12+IF(DC21&gt;=0.45,VLOOKUP(Calculator!E23,tbSkills!DH3:DI6,2,FALSE)+IF(AND(Calculator!B8=TRUE,Backdoors!BI18=TRUE),VLOOKUP(Calculator!E23,tbSkills!DH3:DJ6,3,FALSE),0),0))&gt;=100,100,(Backdoors!AI12+IF(DC21&gt;=0.45,VLOOKUP(Calculator!E23,tbSkills!DH3:DI6,2,FALSE)+IF(AND(Calculator!B8=TRUE,Backdoors!BI18=TRUE),VLOOKUP(Calculator!E23,tbSkills!DH3:DJ6,3,FALSE),0),0)))/100)),1),1)</f>
        <v>0.5</v>
      </c>
      <c r="DI21" s="87">
        <f t="shared" si="9"/>
        <v>0</v>
      </c>
      <c r="DJ21" s="86" t="str">
        <f>IFERROR(IF(VLOOKUP(A21,tbMoveset!A2:B112,2,FALSE)="Sever",Backdoors!AY19/100,IF(VLOOKUP(A21,tbMoveset!A2:B112,2,FALSE)="Blunt",Backdoors!AZ19/100,Backdoors!BA19/100)),"")</f>
        <v/>
      </c>
      <c r="DK21" s="49">
        <f>IFERROR(IF(VLOOKUP(tbMoveset!A21,tbMoveset!A2:H112,8,FALSE)="Other",IF(VLOOKUP(tbMoveset!A21,tbMoveset!A2:I112,9,FALSE)="Fire",Backdoors!BB19,IF(VLOOKUP(tbMoveset!A21,tbMoveset!A2:I112,9,FALSE)="Water",Backdoors!BC19,IF(VLOOKUP(tbMoveset!A21,tbMoveset!A2:I112,9,FALSE)="Thunder",Backdoors!BD19,IF(VLOOKUP(tbMoveset!A21,tbMoveset!A2:I112,9,FALSE)="Ice",Backdoors!BE19,IF(VLOOKUP(tbMoveset!A21,tbMoveset!A2:I112,9,FALSE)="Dragon",Backdoors!BF19,Backdoors!BG19)))))/100,Backdoors!BG19/100),"")</f>
        <v>0</v>
      </c>
      <c r="DL21" s="49">
        <f>IFERROR(IF(VLOOKUP(A21,tbMoveset!A2:J112,10,FALSE)=TRUE,IF((Backdoors!AI12+IF(DJ21&gt;=0.45,VLOOKUP(Calculator!E23,tbSkills!DH3:DI6,2,FALSE)+IF(AND(Calculator!B8=TRUE,Backdoors!BI19=TRUE),VLOOKUP(Calculator!E23,tbSkills!DH3:DJ6,3,FALSE),0),0))&gt;=0,1+(Backdoors!AL2*(IF((Backdoors!AI12+IF(DJ21&gt;=0.45,VLOOKUP(Calculator!E23,tbSkills!DH3:DI6,2,FALSE)+IF(AND(Calculator!B8=TRUE,Backdoors!BI19=TRUE),VLOOKUP(Calculator!E23,tbSkills!DH3:DJ6,3,FALSE),0),0))&gt;=100,100,(Backdoors!AI12+IF(DJ21&gt;=0.45,VLOOKUP(Calculator!E23,tbSkills!DH3:DI6,2,FALSE)+IF(AND(Calculator!B8=TRUE,Backdoors!BI19=TRUE),VLOOKUP(Calculator!E23,tbSkills!DH3:DJ6,3,FALSE),0),0)))/100)),(1-(0.25*((-Backdoors!AI12-IF(DJ21&gt;=0.45,VLOOKUP(Calculator!E23,tbSkills!DH3:DI6,2,FALSE)+IF(AND(Calculator!B8=TRUE,Backdoors!BI19=TRUE),VLOOKUP(Calculator!E23,tbSkills!DH3:DJ6,3,FALSE),0),0))/100)))),1),"")</f>
        <v>1</v>
      </c>
      <c r="DM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J21)*DL21)*(VLOOKUP(A21,tbMoveset!A2:C112,3,FALSE)/100)*IF(VLOOKUP(A21,tbMoveset!A2:B112,2,FALSE)="Projectile",Backdoors!N10,Backdoors!N9),0),"")</f>
        <v/>
      </c>
      <c r="DN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J21&gt;=0.45,VLOOKUP(Calculator!E23,tbSkills!DH3:DI6,2,FALSE)+IF(AND(Calculator!B8=TRUE,Backdoors!BI19=TRUE),VLOOKUP(Calculator!E23,tbSkills!DH3:DJ6,3,FALSE),0),0))&gt;=100,100,(Backdoors!AI12+IF(DJ21&gt;=0.45,VLOOKUP(Calculator!E23,tbSkills!DH3:DI6,2,FALSE)+IF(AND(Calculator!B8=TRUE,Backdoors!BI19=TRUE),VLOOKUP(Calculator!E23,tbSkills!DH3:DJ6,3,FALSE),0),0)))/100)),1))*IF(VLOOKUP(A21,tbMoveset!A2:K112,11,FALSE)=TRUE,Backdoors!AC5,1))*DK21,0),"")</f>
        <v>0</v>
      </c>
      <c r="DO21" s="49">
        <f>VLOOKUP(A21,tbMoveset!A2:G112,7,FALSE)*IFERROR(IF(Backdoors!AI12&gt;=0,1+(IF(Calculator!E40&gt;0,VLOOKUP(Calculator!E40,tbSkills!AI3:AJ5,2,FALSE),Backdoors!AL4)*(IF((Backdoors!AI12+IF(DJ21&gt;=0.45,VLOOKUP(Calculator!E23,tbSkills!DH3:DI6,2,FALSE)+IF(AND(Calculator!B8=TRUE,Backdoors!BI19=TRUE),VLOOKUP(Calculator!E23,tbSkills!DH3:DJ6,3,FALSE),0),0))&gt;=100,100,(Backdoors!AI12+IF(DJ21&gt;=0.45,VLOOKUP(Calculator!E23,tbSkills!DH3:DI6,2,FALSE)+IF(AND(Calculator!B8=TRUE,Backdoors!BI19=TRUE),VLOOKUP(Calculator!E23,tbSkills!DH3:DJ6,3,FALSE),0),0)))/100)),1),1)</f>
        <v>0.5</v>
      </c>
      <c r="DP21" s="87">
        <f t="shared" si="41"/>
        <v>0</v>
      </c>
      <c r="DQ21" s="86" t="str">
        <f>IFERROR(IF(VLOOKUP(A21,tbMoveset!A2:B112,2,FALSE)="Sever",Backdoors!AY20/100,IF(VLOOKUP(A21,tbMoveset!A2:B112,2,FALSE)="Blunt",Backdoors!AZ20/100,Backdoors!BA20/100)),"")</f>
        <v/>
      </c>
      <c r="DR21" s="49">
        <f>IFERROR(IF(VLOOKUP(tbMoveset!A21,tbMoveset!A2:H112,8,FALSE)="Other",IF(VLOOKUP(tbMoveset!A21,tbMoveset!A2:I112,9,FALSE)="Fire",Backdoors!BB20,IF(VLOOKUP(tbMoveset!A21,tbMoveset!A2:I112,9,FALSE)="Water",Backdoors!BC20,IF(VLOOKUP(tbMoveset!A21,tbMoveset!A2:I112,9,FALSE)="Thunder",Backdoors!BD20,IF(VLOOKUP(tbMoveset!A21,tbMoveset!A2:I112,9,FALSE)="Ice",Backdoors!BE20,IF(VLOOKUP(tbMoveset!A21,tbMoveset!A2:I112,9,FALSE)="Dragon",Backdoors!BF20,Backdoors!BG20)))))/100,Backdoors!BG20/100),"")</f>
        <v>0</v>
      </c>
      <c r="DS21" s="49">
        <f>IFERROR(IF(VLOOKUP(A21,tbMoveset!A2:J112,10,FALSE)=TRUE,IF((Backdoors!AI12+IF(DQ21&gt;=0.45,VLOOKUP(Calculator!E23,tbSkills!DH3:DI6,2,FALSE)+IF(AND(Calculator!B8=TRUE,Backdoors!BI20=TRUE),VLOOKUP(Calculator!E23,tbSkills!DH3:DJ6,3,FALSE),0),0))&gt;=0,1+(Backdoors!AL2*(IF((Backdoors!AI12+IF(DQ21&gt;=0.45,VLOOKUP(Calculator!E23,tbSkills!DH3:DI6,2,FALSE)+IF(AND(Calculator!B8=TRUE,Backdoors!BI20=TRUE),VLOOKUP(Calculator!E23,tbSkills!DH3:DJ6,3,FALSE),0),0))&gt;=100,100,(Backdoors!AI12+IF(DQ21&gt;=0.45,VLOOKUP(Calculator!E23,tbSkills!DH3:DI6,2,FALSE)+IF(AND(Calculator!B8=TRUE,Backdoors!BI20=TRUE),VLOOKUP(Calculator!E23,tbSkills!DH3:DJ6,3,FALSE),0),0)))/100)),(1-(0.25*((-Backdoors!AI12-IF(DQ21&gt;=0.45,VLOOKUP(Calculator!E23,tbSkills!DH3:DI6,2,FALSE)+IF(AND(Calculator!B8=TRUE,Backdoors!BI20=TRUE),VLOOKUP(Calculator!E23,tbSkills!DH3:DJ6,3,FALSE),0),0))/100)))),1),"")</f>
        <v>1</v>
      </c>
      <c r="DT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Q21)*DS21)*(VLOOKUP(A21,tbMoveset!A2:C112,3,FALSE)/100)*IF(VLOOKUP(A21,tbMoveset!A2:B112,2,FALSE)="Projectile",Backdoors!N10,Backdoors!N9),0),"")</f>
        <v/>
      </c>
      <c r="DU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Q21&gt;=0.45,VLOOKUP(Calculator!E23,tbSkills!DH3:DI6,2,FALSE)+IF(AND(Calculator!B8=TRUE,Backdoors!BI20=TRUE),VLOOKUP(Calculator!E23,tbSkills!DH3:DJ6,3,FALSE),0),0))&gt;=100,100,(Backdoors!AI12+IF(DQ21&gt;=0.45,VLOOKUP(Calculator!E23,tbSkills!DH3:DI6,2,FALSE)+IF(AND(Calculator!B8=TRUE,Backdoors!BI20=TRUE),VLOOKUP(Calculator!E23,tbSkills!DH3:DJ6,3,FALSE),0),0)))/100)),1))*IF(VLOOKUP(A21,tbMoveset!A2:K112,11,FALSE)=TRUE,Backdoors!AC5,1))*DR21,0),"")</f>
        <v>0</v>
      </c>
      <c r="DV21" s="49">
        <f>VLOOKUP(A21,tbMoveset!A2:G112,7,FALSE)*IFERROR(IF(Backdoors!AI12&gt;=0,1+(IF(Calculator!E40&gt;0,VLOOKUP(Calculator!E40,tbSkills!AI3:AJ5,2,FALSE),Backdoors!AL4)*(IF((Backdoors!AI12+IF(DQ21&gt;=0.45,VLOOKUP(Calculator!E23,tbSkills!DH3:DI6,2,FALSE)+IF(AND(Calculator!B8=TRUE,Backdoors!BI20=TRUE),VLOOKUP(Calculator!E23,tbSkills!DH3:DJ6,3,FALSE),0),0))&gt;=100,100,(Backdoors!AI12+IF(DQ21&gt;=0.45,VLOOKUP(Calculator!E23,tbSkills!DH3:DI6,2,FALSE)+IF(AND(Calculator!B8=TRUE,Backdoors!BI20=TRUE),VLOOKUP(Calculator!E23,tbSkills!DH3:DJ6,3,FALSE),0),0)))/100)),1),1)</f>
        <v>0.5</v>
      </c>
      <c r="DW21" s="87">
        <f t="shared" si="10"/>
        <v>0</v>
      </c>
      <c r="DX21" s="86" t="str">
        <f>IFERROR(IF(VLOOKUP(A21,tbMoveset!A2:B112,2,FALSE)="Sever",Backdoors!AY21/100,IF(VLOOKUP(A21,tbMoveset!A2:B112,2,FALSE)="Blunt",Backdoors!AZ21/100,Backdoors!BA21/100)),"")</f>
        <v/>
      </c>
      <c r="DY21" s="49">
        <f>IFERROR(IF(VLOOKUP(tbMoveset!A21,tbMoveset!A2:H112,8,FALSE)="Other",IF(VLOOKUP(tbMoveset!A21,tbMoveset!A2:I112,9,FALSE)="Fire",Backdoors!BB21,IF(VLOOKUP(tbMoveset!A21,tbMoveset!A2:I112,9,FALSE)="Water",Backdoors!BC21,IF(VLOOKUP(tbMoveset!A21,tbMoveset!A2:I112,9,FALSE)="Thunder",Backdoors!BD21,IF(VLOOKUP(tbMoveset!A21,tbMoveset!A2:I112,9,FALSE)="Ice",Backdoors!BE21,IF(VLOOKUP(tbMoveset!A21,tbMoveset!A2:I112,9,FALSE)="Dragon",Backdoors!BF21,Backdoors!BG21)))))/100,Backdoors!BG21/100),"")</f>
        <v>0</v>
      </c>
      <c r="DZ21" s="49">
        <f>IFERROR(IF(VLOOKUP(A21,tbMoveset!A2:J112,10,FALSE)=TRUE,IF((Backdoors!AI12+IF(DX21&gt;=0.45,VLOOKUP(Calculator!E23,tbSkills!DH3:DI6,2,FALSE)+IF(AND(Calculator!B8=TRUE,Backdoors!BI21=TRUE),VLOOKUP(Calculator!E23,tbSkills!DH3:DJ6,3,FALSE),0),0))&gt;=0,1+(Backdoors!AL2*(IF((Backdoors!AI12+IF(DX21&gt;=0.45,VLOOKUP(Calculator!E23,tbSkills!DH3:DI6,2,FALSE)+IF(AND(Calculator!B8=TRUE,Backdoors!BI21=TRUE),VLOOKUP(Calculator!E23,tbSkills!DH3:DJ6,3,FALSE),0),0))&gt;=100,100,(Backdoors!AI12+IF(DX21&gt;=0.45,VLOOKUP(Calculator!E23,tbSkills!DH3:DI6,2,FALSE)+IF(AND(Calculator!B8=TRUE,Backdoors!BI21=TRUE),VLOOKUP(Calculator!E23,tbSkills!DH3:DJ6,3,FALSE),0),0)))/100)),(1-(0.25*((-Backdoors!AI12-IF(DX21&gt;=0.45,VLOOKUP(Calculator!E23,tbSkills!DH3:DI6,2,FALSE)+IF(AND(Calculator!B8=TRUE,Backdoors!BI21=TRUE),VLOOKUP(Calculator!E23,tbSkills!DH3:DJ6,3,FALSE),0),0))/100)))),1),"")</f>
        <v>1</v>
      </c>
      <c r="EA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X21)*DZ21)*(VLOOKUP(A21,tbMoveset!A2:C112,3,FALSE)/100)*IF(VLOOKUP(A21,tbMoveset!A2:B112,2,FALSE)="Projectile",Backdoors!N10,Backdoors!N9),0),"")</f>
        <v/>
      </c>
      <c r="EB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X21&gt;=0.45,VLOOKUP(Calculator!E23,tbSkills!DH3:DI6,2,FALSE)+IF(AND(Calculator!B8=TRUE,Backdoors!BI21=TRUE),VLOOKUP(Calculator!E23,tbSkills!DH3:DJ6,3,FALSE),0),0))&gt;=100,100,(Backdoors!AI12+IF(DX21&gt;=0.45,VLOOKUP(Calculator!E23,tbSkills!DH3:DI6,2,FALSE)+IF(AND(Calculator!B8=TRUE,Backdoors!BI21=TRUE),VLOOKUP(Calculator!E23,tbSkills!DH3:DJ6,3,FALSE),0),0)))/100)),1))*IF(VLOOKUP(A21,tbMoveset!A2:K112,11,FALSE)=TRUE,Backdoors!AC5,1))*DY21,0),"")</f>
        <v>0</v>
      </c>
      <c r="EC21" s="49">
        <f>VLOOKUP(A21,tbMoveset!A2:G112,7,FALSE)*IFERROR(IF(Backdoors!AI12&gt;=0,1+(IF(Calculator!E40&gt;0,VLOOKUP(Calculator!E40,tbSkills!AI3:AJ5,2,FALSE),Backdoors!AL4)*(IF((Backdoors!AI12+IF(DX21&gt;=0.45,VLOOKUP(Calculator!E23,tbSkills!DH3:DI6,2,FALSE)+IF(AND(Calculator!B8=TRUE,Backdoors!BI21=TRUE),VLOOKUP(Calculator!E23,tbSkills!DH3:DJ6,3,FALSE),0),0))&gt;=100,100,(Backdoors!AI12+IF(DX21&gt;=0.45,VLOOKUP(Calculator!E23,tbSkills!DH3:DI6,2,FALSE)+IF(AND(Calculator!B8=TRUE,Backdoors!BI21=TRUE),VLOOKUP(Calculator!E23,tbSkills!DH3:DJ6,3,FALSE),0),0)))/100)),1),1)</f>
        <v>0.5</v>
      </c>
      <c r="ED21" s="87">
        <f t="shared" si="11"/>
        <v>0</v>
      </c>
      <c r="EE21" s="86" t="str">
        <f>IFERROR(IF(VLOOKUP(A21,tbMoveset!A2:B112,2,FALSE)="Sever",Backdoors!AY22/100,IF(VLOOKUP(A21,tbMoveset!A2:B112,2,FALSE)="Blunt",Backdoors!AZ22/100,Backdoors!BA22/100)),"")</f>
        <v/>
      </c>
      <c r="EF21" s="49">
        <f>IFERROR(IF(VLOOKUP(tbMoveset!A21,tbMoveset!A2:H112,8,FALSE)="Other",IF(VLOOKUP(tbMoveset!A21,tbMoveset!A2:I112,9,FALSE)="Fire",Backdoors!BB22,IF(VLOOKUP(tbMoveset!A21,tbMoveset!A2:I112,9,FALSE)="Water",Backdoors!BC22,IF(VLOOKUP(tbMoveset!A21,tbMoveset!A2:I112,9,FALSE)="Thunder",Backdoors!BD22,IF(VLOOKUP(tbMoveset!A21,tbMoveset!A2:I112,9,FALSE)="Ice",Backdoors!BE22,IF(VLOOKUP(tbMoveset!A21,tbMoveset!A2:I112,9,FALSE)="Dragon",Backdoors!BF22,Backdoors!BG22)))))/100,Backdoors!BG22/100),"")</f>
        <v>0</v>
      </c>
      <c r="EG21" s="49">
        <f>IFERROR(IF(VLOOKUP(A21,tbMoveset!A2:J112,10,FALSE)=TRUE,IF((Backdoors!AI12+IF(EE21&gt;=0.45,VLOOKUP(Calculator!E23,tbSkills!DH3:DI6,2,FALSE)+IF(AND(Calculator!B8=TRUE,Backdoors!BI22=TRUE),VLOOKUP(Calculator!E23,tbSkills!DH3:DJ6,3,FALSE),0),0))&gt;=0,1+(Backdoors!AL2*(IF((Backdoors!AI12+IF(EE21&gt;=0.45,VLOOKUP(Calculator!E23,tbSkills!DH3:DI6,2,FALSE)+IF(AND(Calculator!B8=TRUE,Backdoors!BI22=TRUE),VLOOKUP(Calculator!E23,tbSkills!DH3:DJ6,3,FALSE),0),0))&gt;=100,100,(Backdoors!AI12+IF(EE21&gt;=0.45,VLOOKUP(Calculator!E23,tbSkills!DH3:DI6,2,FALSE)+IF(AND(Calculator!B8=TRUE,Backdoors!BI22=TRUE),VLOOKUP(Calculator!E23,tbSkills!DH3:DJ6,3,FALSE),0),0)))/100)),(1-(0.25*((-Backdoors!AI12-IF(EE21&gt;=0.45,VLOOKUP(Calculator!E23,tbSkills!DH3:DI6,2,FALSE)+IF(AND(Calculator!B8=TRUE,Backdoors!BI22=TRUE),VLOOKUP(Calculator!E23,tbSkills!DH3:DJ6,3,FALSE),0),0))/100)))),1),"")</f>
        <v>1</v>
      </c>
      <c r="EH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E21)*EG21)*(VLOOKUP(A21,tbMoveset!A2:C112,3,FALSE)/100)*IF(VLOOKUP(A21,tbMoveset!A2:B112,2,FALSE)="Projectile",Backdoors!N10,Backdoors!N9),0),"")</f>
        <v/>
      </c>
      <c r="EI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E21&gt;=0.45,VLOOKUP(Calculator!E23,tbSkills!DH3:DI6,2,FALSE)+IF(AND(Calculator!B8=TRUE,Backdoors!BI22=TRUE),VLOOKUP(Calculator!E23,tbSkills!DH3:DJ6,3,FALSE),0),0))&gt;=100,100,(Backdoors!AI12+IF(EE21&gt;=0.45,VLOOKUP(Calculator!E23,tbSkills!DH3:DI6,2,FALSE)+IF(AND(Calculator!B8=TRUE,Backdoors!BI22=TRUE),VLOOKUP(Calculator!E23,tbSkills!DH3:DJ6,3,FALSE),0),0)))/100)),1))*IF(VLOOKUP(A21,tbMoveset!A2:K112,11,FALSE)=TRUE,Backdoors!AC5,1))*EF21,0),"")</f>
        <v>0</v>
      </c>
      <c r="EJ21" s="49">
        <f>VLOOKUP(A21,tbMoveset!A2:G112,7,FALSE)*IFERROR(IF(Backdoors!AI12&gt;=0,1+(IF(Calculator!E40&gt;0,VLOOKUP(Calculator!E40,tbSkills!AI3:AJ5,2,FALSE),Backdoors!AL4)*(IF((Backdoors!AI12+IF(EE21&gt;=0.45,VLOOKUP(Calculator!E23,tbSkills!DH3:DI6,2,FALSE)+IF(AND(Calculator!B8=TRUE,Backdoors!BI22=TRUE),VLOOKUP(Calculator!E23,tbSkills!DH3:DJ6,3,FALSE),0),0))&gt;=100,100,(Backdoors!AI12+IF(EE21&gt;=0.45,VLOOKUP(Calculator!E23,tbSkills!DH3:DI6,2,FALSE)+IF(AND(Calculator!B8=TRUE,Backdoors!BI22=TRUE),VLOOKUP(Calculator!E23,tbSkills!DH3:DJ6,3,FALSE),0),0)))/100)),1),1)</f>
        <v>0.5</v>
      </c>
      <c r="EK21" s="87">
        <f t="shared" si="12"/>
        <v>0</v>
      </c>
      <c r="EL21" s="86" t="str">
        <f>IFERROR(IF(VLOOKUP(A21,tbMoveset!A2:B112,2,FALSE)="Sever",Backdoors!AY23/100,IF(VLOOKUP(A21,tbMoveset!A2:B112,2,FALSE)="Blunt",Backdoors!AZ23/100,Backdoors!BA23/100)),"")</f>
        <v/>
      </c>
      <c r="EM21" s="49">
        <f>IFERROR(IF(VLOOKUP(tbMoveset!A21,tbMoveset!A2:H112,8,FALSE)="Other",IF(VLOOKUP(tbMoveset!A21,tbMoveset!A2:I112,9,FALSE)="Fire",Backdoors!BB23,IF(VLOOKUP(tbMoveset!A21,tbMoveset!A2:I112,9,FALSE)="Water",Backdoors!BC23,IF(VLOOKUP(tbMoveset!A21,tbMoveset!A2:I112,9,FALSE)="Thunder",Backdoors!BD23,IF(VLOOKUP(tbMoveset!A21,tbMoveset!A2:I112,9,FALSE)="Ice",Backdoors!BE23,IF(VLOOKUP(tbMoveset!A21,tbMoveset!A2:I112,9,FALSE)="Dragon",Backdoors!BF23,Backdoors!BG23)))))/100,Backdoors!BG23/100),"")</f>
        <v>0</v>
      </c>
      <c r="EN21" s="49">
        <f>IFERROR(IF(VLOOKUP(A21,tbMoveset!A2:J112,10,FALSE)=TRUE,IF((Backdoors!AI12+IF(EL21&gt;=0.45,VLOOKUP(Calculator!E23,tbSkills!DH3:DI6,2,FALSE)+IF(AND(Calculator!B8=TRUE,Backdoors!BI23=TRUE),VLOOKUP(Calculator!E23,tbSkills!DH3:DJ6,3,FALSE),0),0))&gt;=0,1+(Backdoors!AL2*(IF((Backdoors!AI12+IF(EL21&gt;=0.45,VLOOKUP(Calculator!E23,tbSkills!DH3:DI6,2,FALSE)+IF(AND(Calculator!B8=TRUE,Backdoors!BI23=TRUE),VLOOKUP(Calculator!E23,tbSkills!DH3:DJ6,3,FALSE),0),0))&gt;=100,100,(Backdoors!AI12+IF(EL21&gt;=0.45,VLOOKUP(Calculator!E23,tbSkills!DH3:DI6,2,FALSE)+IF(AND(Calculator!B8=TRUE,Backdoors!BI23=TRUE),VLOOKUP(Calculator!E23,tbSkills!DH3:DJ6,3,FALSE),0),0)))/100)),(1-(0.25*((-Backdoors!AI12-IF(EL21&gt;=0.45,VLOOKUP(Calculator!E23,tbSkills!DH3:DI6,2,FALSE)+IF(AND(Calculator!B8=TRUE,Backdoors!BI23=TRUE),VLOOKUP(Calculator!E23,tbSkills!DH3:DJ6,3,FALSE),0),0))/100)))),1),"")</f>
        <v>1</v>
      </c>
      <c r="EO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L21)*EN21)*(VLOOKUP(A21,tbMoveset!A2:C112,3,FALSE)/100)*IF(VLOOKUP(A21,tbMoveset!A2:B112,2,FALSE)="Projectile",Backdoors!N10,Backdoors!N9),0),"")</f>
        <v/>
      </c>
      <c r="EP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L21&gt;=0.45,VLOOKUP(Calculator!E23,tbSkills!DH3:DI6,2,FALSE)+IF(AND(Calculator!B8=TRUE,Backdoors!BI23=TRUE),VLOOKUP(Calculator!E23,tbSkills!DH3:DJ6,3,FALSE),0),0))&gt;=100,100,(Backdoors!AI12+IF(EL21&gt;=0.45,VLOOKUP(Calculator!E23,tbSkills!DH3:DI6,2,FALSE)+IF(AND(Calculator!B8=TRUE,Backdoors!BI23=TRUE),VLOOKUP(Calculator!E23,tbSkills!DH3:DJ6,3,FALSE),0),0)))/100)),1))*IF(VLOOKUP(A21,tbMoveset!A2:K112,11,FALSE)=TRUE,Backdoors!AC5,1))*EM21,0),"")</f>
        <v>0</v>
      </c>
      <c r="EQ21" s="49">
        <f>VLOOKUP(A21,tbMoveset!A2:G112,7,FALSE)*IFERROR(IF(Backdoors!AI12&gt;=0,1+(IF(Calculator!E40&gt;0,VLOOKUP(Calculator!E40,tbSkills!AI3:AJ5,2,FALSE),Backdoors!AL4)*(IF((Backdoors!AI12+IF(EL21&gt;=0.45,VLOOKUP(Calculator!E23,tbSkills!DH3:DI6,2,FALSE)+IF(AND(Calculator!B8=TRUE,Backdoors!BI23=TRUE),VLOOKUP(Calculator!E23,tbSkills!DH3:DJ6,3,FALSE),0),0))&gt;=100,100,(Backdoors!AI12+IF(EL21&gt;=0.45,VLOOKUP(Calculator!E23,tbSkills!DH3:DI6,2,FALSE)+IF(AND(Calculator!B8=TRUE,Backdoors!BI23=TRUE),VLOOKUP(Calculator!E23,tbSkills!DH3:DJ6,3,FALSE),0),0)))/100)),1),1)</f>
        <v>0.5</v>
      </c>
      <c r="ER21" s="87">
        <f t="shared" si="13"/>
        <v>0</v>
      </c>
      <c r="ES21" s="86" t="str">
        <f>IFERROR(IF(VLOOKUP(A21,tbMoveset!A2:B112,2,FALSE)="Sever",Backdoors!AY24/100,IF(VLOOKUP(A21,tbMoveset!A2:B112,2,FALSE)="Blunt",Backdoors!AZ24/100,Backdoors!BA24/100)),"")</f>
        <v/>
      </c>
      <c r="ET21" s="49">
        <f>IFERROR(IF(VLOOKUP(tbMoveset!A21,tbMoveset!A2:H112,8,FALSE)="Other",IF(VLOOKUP(tbMoveset!A21,tbMoveset!A2:I112,9,FALSE)="Fire",Backdoors!BB24,IF(VLOOKUP(tbMoveset!A21,tbMoveset!A2:I112,9,FALSE)="Water",Backdoors!BC24,IF(VLOOKUP(tbMoveset!A21,tbMoveset!A2:I112,9,FALSE)="Thunder",Backdoors!BD24,IF(VLOOKUP(tbMoveset!A21,tbMoveset!A2:I112,9,FALSE)="Ice",Backdoors!BE24,IF(VLOOKUP(tbMoveset!A21,tbMoveset!A2:I112,9,FALSE)="Dragon",Backdoors!BF24,Backdoors!BG24)))))/100,Backdoors!BG24/100),"")</f>
        <v>0</v>
      </c>
      <c r="EU21" s="49">
        <f>IFERROR(IF(VLOOKUP(A21,tbMoveset!A2:J112,10,FALSE)=TRUE,IF((Backdoors!AI12+IF(ES21&gt;=0.45,VLOOKUP(Calculator!E23,tbSkills!DH3:DI6,2,FALSE)+IF(AND(Calculator!B8=TRUE,Backdoors!BI24=TRUE),VLOOKUP(Calculator!E23,tbSkills!DH3:DJ6,3,FALSE),0),0))&gt;=0,1+(Backdoors!AL2*(IF((Backdoors!AI12+IF(ES21&gt;=0.45,VLOOKUP(Calculator!E23,tbSkills!DH3:DI6,2,FALSE)+IF(AND(Calculator!B8=TRUE,Backdoors!BI24=TRUE),VLOOKUP(Calculator!E23,tbSkills!DH3:DJ6,3,FALSE),0),0))&gt;=100,100,(Backdoors!AI12+IF(ES21&gt;=0.45,VLOOKUP(Calculator!E23,tbSkills!DH3:DI6,2,FALSE)+IF(AND(Calculator!B8=TRUE,Backdoors!BI24=TRUE),VLOOKUP(Calculator!E23,tbSkills!DH3:DJ6,3,FALSE),0),0)))/100)),(1-(0.25*((-Backdoors!AI12-IF(ES21&gt;=0.45,VLOOKUP(Calculator!E23,tbSkills!DH3:DI6,2,FALSE)+IF(AND(Calculator!B8=TRUE,Backdoors!BI24=TRUE),VLOOKUP(Calculator!E23,tbSkills!DH3:DJ6,3,FALSE),0),0))/100)))),1),"")</f>
        <v>1</v>
      </c>
      <c r="EV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S21)*EU21)*(VLOOKUP(A21,tbMoveset!A2:C112,3,FALSE)/100)*IF(VLOOKUP(A21,tbMoveset!A2:B112,2,FALSE)="Projectile",Backdoors!N10,Backdoors!N9),0),"")</f>
        <v/>
      </c>
      <c r="EW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S21&gt;=0.45,VLOOKUP(Calculator!E23,tbSkills!DH3:DI6,2,FALSE)+IF(AND(Calculator!B8=TRUE,Backdoors!BI24=TRUE),VLOOKUP(Calculator!E23,tbSkills!DH3:DJ6,3,FALSE),0),0))&gt;=100,100,(Backdoors!AI12+IF(ES21&gt;=0.45,VLOOKUP(Calculator!E23,tbSkills!DH3:DI6,2,FALSE)+IF(AND(Calculator!B8=TRUE,Backdoors!BI24=TRUE),VLOOKUP(Calculator!E23,tbSkills!DH3:DJ6,3,FALSE),0),0)))/100)),1))*IF(VLOOKUP(A21,tbMoveset!A2:K112,11,FALSE)=TRUE,Backdoors!AC5,1))*ET21,0),"")</f>
        <v>0</v>
      </c>
      <c r="EX21" s="49">
        <f>VLOOKUP(A21,tbMoveset!A2:G112,7,FALSE)*IFERROR(IF(Backdoors!AI12&gt;=0,1+(IF(Calculator!E40&gt;0,VLOOKUP(Calculator!E40,tbSkills!AI3:AJ5,2,FALSE),Backdoors!AL4)*(IF((Backdoors!AI12+IF(ES21&gt;=0.45,VLOOKUP(Calculator!E23,tbSkills!DH3:DI6,2,FALSE)+IF(AND(Calculator!B8=TRUE,Backdoors!BI24=TRUE),VLOOKUP(Calculator!E23,tbSkills!DH3:DJ6,3,FALSE),0),0))&gt;=100,100,(Backdoors!AI12+IF(ES21&gt;=0.45,VLOOKUP(Calculator!E23,tbSkills!DH3:DI6,2,FALSE)+IF(AND(Calculator!B8=TRUE,Backdoors!BI24=TRUE),VLOOKUP(Calculator!E23,tbSkills!DH3:DJ6,3,FALSE),0),0)))/100)),1),1)</f>
        <v>0.5</v>
      </c>
      <c r="EY21" s="87">
        <f t="shared" si="14"/>
        <v>0</v>
      </c>
      <c r="EZ21" s="86" t="str">
        <f>IFERROR(IF(VLOOKUP(A21,tbMoveset!A2:B112,2,FALSE)="Sever",Backdoors!AY25/100,IF(VLOOKUP(A21,tbMoveset!A2:B112,2,FALSE)="Blunt",Backdoors!AZ25/100,Backdoors!BA25/100)),"")</f>
        <v/>
      </c>
      <c r="FA21" s="49">
        <f>IFERROR(IF(VLOOKUP(tbMoveset!A21,tbMoveset!A2:H112,8,FALSE)="Other",IF(VLOOKUP(tbMoveset!A21,tbMoveset!A2:I112,9,FALSE)="Fire",Backdoors!BB25,IF(VLOOKUP(tbMoveset!A21,tbMoveset!A2:I112,9,FALSE)="Water",Backdoors!BC25,IF(VLOOKUP(tbMoveset!A21,tbMoveset!A2:I112,9,FALSE)="Thunder",Backdoors!BD25,IF(VLOOKUP(tbMoveset!A21,tbMoveset!A2:I112,9,FALSE)="Ice",Backdoors!BE25,IF(VLOOKUP(tbMoveset!A21,tbMoveset!A2:I112,9,FALSE)="Dragon",Backdoors!BF25,Backdoors!BG25)))))/100,Backdoors!BG25/100),"")</f>
        <v>0</v>
      </c>
      <c r="FB21" s="49">
        <f>IFERROR(IF(VLOOKUP(A21,tbMoveset!A2:J112,10,FALSE)=TRUE,IF((Backdoors!AI12+IF(EZ21&gt;=0.45,VLOOKUP(Calculator!E23,tbSkills!DH3:DI6,2,FALSE)+IF(AND(Calculator!B8=TRUE,Backdoors!BI25=TRUE),VLOOKUP(Calculator!E23,tbSkills!DH3:DJ6,3,FALSE),0),0))&gt;=0,1+(Backdoors!AL2*(IF((Backdoors!AI12+IF(EZ21&gt;=0.45,VLOOKUP(Calculator!E23,tbSkills!DH3:DI6,2,FALSE)+IF(AND(Calculator!B8=TRUE,Backdoors!BI25=TRUE),VLOOKUP(Calculator!E23,tbSkills!DH3:DJ6,3,FALSE),0),0))&gt;=100,100,(Backdoors!AI12+IF(EZ21&gt;=0.45,VLOOKUP(Calculator!E23,tbSkills!DH3:DI6,2,FALSE)+IF(AND(Calculator!B8=TRUE,Backdoors!BI25=TRUE),VLOOKUP(Calculator!E23,tbSkills!DH3:DJ6,3,FALSE),0),0)))/100)),(1-(0.25*((-Backdoors!AI12-IF(EZ21&gt;=0.45,VLOOKUP(Calculator!E23,tbSkills!DH3:DI6,2,FALSE)+IF(AND(Calculator!B8=TRUE,Backdoors!BI25=TRUE),VLOOKUP(Calculator!E23,tbSkills!DH3:DJ6,3,FALSE),0),0))/100)))),1),"")</f>
        <v>1</v>
      </c>
      <c r="FC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Z21)*FB21)*(VLOOKUP(A21,tbMoveset!A2:C112,3,FALSE)/100)*IF(VLOOKUP(A21,tbMoveset!A2:B112,2,FALSE)="Projectile",Backdoors!N10,Backdoors!N9),0),"")</f>
        <v/>
      </c>
      <c r="FD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Z21&gt;=0.45,VLOOKUP(Calculator!E23,tbSkills!DH3:DI6,2,FALSE)+IF(AND(Calculator!B8=TRUE,Backdoors!BI25=TRUE),VLOOKUP(Calculator!E23,tbSkills!DH3:DJ6,3,FALSE),0),0))&gt;=100,100,(Backdoors!AI12+IF(EZ21&gt;=0.45,VLOOKUP(Calculator!E23,tbSkills!DH3:DI6,2,FALSE)+IF(AND(Calculator!B8=TRUE,Backdoors!BI25=TRUE),VLOOKUP(Calculator!E23,tbSkills!DH3:DJ6,3,FALSE),0),0)))/100)),1))*IF(VLOOKUP(A21,tbMoveset!A2:K112,11,FALSE)=TRUE,Backdoors!AC5,1))*FA21,0),"")</f>
        <v>0</v>
      </c>
      <c r="FE21" s="49">
        <f>VLOOKUP(A21,tbMoveset!A2:G112,7,FALSE)*IFERROR(IF(Backdoors!AI12&gt;=0,1+(IF(Calculator!E40&gt;0,VLOOKUP(Calculator!E40,tbSkills!AI3:AJ5,2,FALSE),Backdoors!AL4)*(IF((Backdoors!AI12+IF(EZ21&gt;=0.45,VLOOKUP(Calculator!E23,tbSkills!DH3:DI6,2,FALSE)+IF(AND(Calculator!B8=TRUE,Backdoors!BI25=TRUE),VLOOKUP(Calculator!E23,tbSkills!DH3:DJ6,3,FALSE),0),0))&gt;=100,100,(Backdoors!AI12+IF(EZ21&gt;=0.45,VLOOKUP(Calculator!E23,tbSkills!DH3:DI6,2,FALSE)+IF(AND(Calculator!B8=TRUE,Backdoors!BI25=TRUE),VLOOKUP(Calculator!E23,tbSkills!DH3:DJ6,3,FALSE),0),0)))/100)),1),1)</f>
        <v>0.5</v>
      </c>
      <c r="FF21" s="87">
        <f t="shared" si="15"/>
        <v>0</v>
      </c>
      <c r="FG21" s="86" t="str">
        <f>IFERROR(IF(VLOOKUP(A21,tbMoveset!A2:B112,2,FALSE)="Sever",Backdoors!AY26/100,IF(VLOOKUP(A21,tbMoveset!A2:B112,2,FALSE)="Blunt",Backdoors!AZ26/100,Backdoors!BA26/100)),"")</f>
        <v/>
      </c>
      <c r="FH21" s="49">
        <f>IFERROR(IF(VLOOKUP(tbMoveset!A21,tbMoveset!A2:H112,8,FALSE)="Other",IF(VLOOKUP(tbMoveset!A21,tbMoveset!A2:I112,9,FALSE)="Fire",Backdoors!BB26,IF(VLOOKUP(tbMoveset!A21,tbMoveset!A2:I112,9,FALSE)="Water",Backdoors!BC26,IF(VLOOKUP(tbMoveset!A21,tbMoveset!A2:I112,9,FALSE)="Thunder",Backdoors!BD26,IF(VLOOKUP(tbMoveset!A21,tbMoveset!A2:I112,9,FALSE)="Ice",Backdoors!BE26,IF(VLOOKUP(tbMoveset!A21,tbMoveset!A2:I112,9,FALSE)="Dragon",Backdoors!BF26,Backdoors!BG26)))))/100,Backdoors!BG26/100),"")</f>
        <v>0</v>
      </c>
      <c r="FI21" s="49">
        <f>IFERROR(IF(VLOOKUP(A21,tbMoveset!A2:J112,10,FALSE)=TRUE,IF((Backdoors!AI12+IF(FG21&gt;=0.45,VLOOKUP(Calculator!E23,tbSkills!DH3:DI6,2,FALSE)+IF(AND(Calculator!B8=TRUE,Backdoors!BI26=TRUE),VLOOKUP(Calculator!E23,tbSkills!DH3:DJ6,3,FALSE),0),0))&gt;=0,1+(Backdoors!AL2*(IF((Backdoors!AI12+IF(FG21&gt;=0.45,VLOOKUP(Calculator!E23,tbSkills!DH3:DI6,2,FALSE)+IF(AND(Calculator!B8=TRUE,Backdoors!BI26=TRUE),VLOOKUP(Calculator!E23,tbSkills!DH3:DJ6,3,FALSE),0),0))&gt;=100,100,(Backdoors!AI12+IF(FG21&gt;=0.45,VLOOKUP(Calculator!E23,tbSkills!DH3:DI6,2,FALSE)+IF(AND(Calculator!B8=TRUE,Backdoors!BI26=TRUE),VLOOKUP(Calculator!E23,tbSkills!DH3:DJ6,3,FALSE),0),0)))/100)),(1-(0.25*((-Backdoors!AI12-IF(FG21&gt;=0.45,VLOOKUP(Calculator!E23,tbSkills!DH3:DI6,2,FALSE)+IF(AND(Calculator!B8=TRUE,Backdoors!BI26=TRUE),VLOOKUP(Calculator!E23,tbSkills!DH3:DJ6,3,FALSE),0),0))/100)))),1),"")</f>
        <v>1</v>
      </c>
      <c r="FJ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FG21)*FI21)*(VLOOKUP(A21,tbMoveset!A2:C112,3,FALSE)/100)*IF(VLOOKUP(A21,tbMoveset!A2:B112,2,FALSE)="Projectile",Backdoors!N10,Backdoors!N9),0),"")</f>
        <v/>
      </c>
      <c r="FK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FG21&gt;=0.45,VLOOKUP(Calculator!E23,tbSkills!DH3:DI6,2,FALSE)+IF(AND(Calculator!B8=TRUE,Backdoors!BI26=TRUE),VLOOKUP(Calculator!E23,tbSkills!DH3:DJ6,3,FALSE),0),0))&gt;=100,100,(Backdoors!AI12+IF(FG21&gt;=0.45,VLOOKUP(Calculator!E23,tbSkills!DH3:DI6,2,FALSE)+IF(AND(Calculator!B8=TRUE,Backdoors!BI26=TRUE),VLOOKUP(Calculator!E23,tbSkills!DH3:DJ6,3,FALSE),0),0)))/100)),1))*IF(VLOOKUP(A21,tbMoveset!A2:K112,11,FALSE)=TRUE,Backdoors!AC5,1))*FH21,0),"")</f>
        <v>0</v>
      </c>
      <c r="FL21" s="49">
        <f>VLOOKUP(A21,tbMoveset!A2:G112,7,FALSE)*IFERROR(IF(Backdoors!AI12&gt;=0,1+(IF(Calculator!E40&gt;0,VLOOKUP(Calculator!E40,tbSkills!AI3:AJ5,2,FALSE),Backdoors!AL4)*(IF((Backdoors!AI12+IF(FG21&gt;=0.45,VLOOKUP(Calculator!E23,tbSkills!DH3:DI6,2,FALSE)+IF(AND(Calculator!B8=TRUE,Backdoors!BI26=TRUE),VLOOKUP(Calculator!E23,tbSkills!DH3:DJ6,3,FALSE),0),0))&gt;=100,100,(Backdoors!AI12+IF(FG21&gt;=0.45,VLOOKUP(Calculator!E23,tbSkills!DH3:DI6,2,FALSE)+IF(AND(Calculator!B8=TRUE,Backdoors!BI26=TRUE),VLOOKUP(Calculator!E23,tbSkills!DH3:DJ6,3,FALSE),0),0)))/100)),1),1)</f>
        <v>0.5</v>
      </c>
      <c r="FM21" s="87">
        <f t="shared" si="16"/>
        <v>0</v>
      </c>
      <c r="FN21" s="86" t="str">
        <f>IFERROR(IF(VLOOKUP(A21,tbMoveset!A2:B112,2,FALSE)="Sever",Backdoors!AY27/100,IF(VLOOKUP(A21,tbMoveset!A2:B112,2,FALSE)="Blunt",Backdoors!AZ27/100,Backdoors!BA27/100)),"")</f>
        <v/>
      </c>
      <c r="FO21" s="49">
        <f>IFERROR(IF(VLOOKUP(tbMoveset!A21,tbMoveset!A2:H112,8,FALSE)="Other",IF(VLOOKUP(tbMoveset!A21,tbMoveset!A2:I112,9,FALSE)="Fire",Backdoors!BB27,IF(VLOOKUP(tbMoveset!A21,tbMoveset!A2:I112,9,FALSE)="Water",Backdoors!BC27,IF(VLOOKUP(tbMoveset!A21,tbMoveset!A2:I112,9,FALSE)="Thunder",Backdoors!BD27,IF(VLOOKUP(tbMoveset!A21,tbMoveset!A2:I112,9,FALSE)="Ice",Backdoors!BE27,IF(VLOOKUP(tbMoveset!A21,tbMoveset!A2:I112,9,FALSE)="Dragon",Backdoors!BF27,Backdoors!BG27)))))/100,Backdoors!BG27/100),"")</f>
        <v>0</v>
      </c>
      <c r="FP21" s="49">
        <f>IFERROR(IF(VLOOKUP(A21,tbMoveset!A2:J112,10,FALSE)=TRUE,IF((Backdoors!AI12+IF(FN21&gt;=0.45,VLOOKUP(Calculator!E23,tbSkills!DH3:DI6,2,FALSE)+IF(AND(Calculator!B8=TRUE,Backdoors!BI27=TRUE),VLOOKUP(Calculator!E23,tbSkills!DH3:DJ6,3,FALSE),0),0))&gt;=0,1+(Backdoors!AL2*(IF((Backdoors!AI12+IF(FN21&gt;=0.45,VLOOKUP(Calculator!E23,tbSkills!DH3:DI6,2,FALSE)+IF(AND(Calculator!B8=TRUE,Backdoors!BI27=TRUE),VLOOKUP(Calculator!E23,tbSkills!DH3:DJ6,3,FALSE),0),0))&gt;=100,100,(Backdoors!AI12+IF(FN21&gt;=0.45,VLOOKUP(Calculator!E23,tbSkills!DH3:DI6,2,FALSE)+IF(AND(Calculator!B8=TRUE,Backdoors!BI27=TRUE),VLOOKUP(Calculator!E23,tbSkills!DH3:DJ6,3,FALSE),0),0)))/100)),(1-(0.25*((-Backdoors!AI12-IF(FN21&gt;=0.45,VLOOKUP(Calculator!E23,tbSkills!DH3:DI6,2,FALSE)+IF(AND(Calculator!B8=TRUE,Backdoors!BI27=TRUE),VLOOKUP(Calculator!E23,tbSkills!DH3:DJ6,3,FALSE),0),0))/100)))),1),"")</f>
        <v>1</v>
      </c>
      <c r="FQ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FN21)*FP21)*(VLOOKUP(A21,tbMoveset!A2:C112,3,FALSE)/100)*IF(VLOOKUP(A21,tbMoveset!A2:B112,2,FALSE)="Projectile",Backdoors!N10,Backdoors!N9),0),"")</f>
        <v/>
      </c>
      <c r="FR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FN21&gt;=0.45,VLOOKUP(Calculator!E23,tbSkills!DH3:DI6,2,FALSE)+IF(AND(Calculator!B8=TRUE,Backdoors!BI27=TRUE),VLOOKUP(Calculator!E23,tbSkills!DH3:DJ6,3,FALSE),0),0))&gt;=100,100,(Backdoors!AI12+IF(FN21&gt;=0.45,VLOOKUP(Calculator!E23,tbSkills!DH3:DI6,2,FALSE)+IF(AND(Calculator!B8=TRUE,Backdoors!BI27=TRUE),VLOOKUP(Calculator!E23,tbSkills!DH3:DJ6,3,FALSE),0),0)))/100)),1))*IF(VLOOKUP(A21,tbMoveset!A2:K112,11,FALSE)=TRUE,Backdoors!AC5,1))*FO21,0),"")</f>
        <v>0</v>
      </c>
      <c r="FS21" s="49">
        <f>VLOOKUP(A21,tbMoveset!A2:G112,7,FALSE)*IFERROR(IF(Backdoors!AI12&gt;=0,1+(IF(Calculator!E40&gt;0,VLOOKUP(Calculator!E40,tbSkills!AI3:AJ5,2,FALSE),Backdoors!AL4)*(IF((Backdoors!AI12+IF(FN21&gt;=0.45,VLOOKUP(Calculator!E23,tbSkills!DH3:DI6,2,FALSE)+IF(AND(Calculator!B8=TRUE,Backdoors!BI27=TRUE),VLOOKUP(Calculator!E23,tbSkills!DH3:DJ6,3,FALSE),0),0))&gt;=100,100,(Backdoors!AI12+IF(FN21&gt;=0.45,VLOOKUP(Calculator!E23,tbSkills!DH3:DI6,2,FALSE)+IF(AND(Calculator!B8=TRUE,Backdoors!BI27=TRUE),VLOOKUP(Calculator!E23,tbSkills!DH3:DJ6,3,FALSE),0),0)))/100)),1),1)</f>
        <v>0.5</v>
      </c>
      <c r="FT21" s="87">
        <f t="shared" si="17"/>
        <v>0</v>
      </c>
      <c r="FU21" s="86" t="str">
        <f>IFERROR(IF(VLOOKUP(A21,tbMoveset!A2:B112,2,FALSE)="Sever",Backdoors!AY28/100,IF(VLOOKUP(A21,tbMoveset!A2:B112,2,FALSE)="Blunt",Backdoors!AZ28/100,Backdoors!BA28/100)),"")</f>
        <v/>
      </c>
      <c r="FV21" s="49">
        <f>IFERROR(IF(VLOOKUP(tbMoveset!A21,tbMoveset!A2:H112,8,FALSE)="Other",IF(VLOOKUP(tbMoveset!A21,tbMoveset!A2:I112,9,FALSE)="Fire",Backdoors!BB28,IF(VLOOKUP(tbMoveset!A21,tbMoveset!A2:I112,9,FALSE)="Water",Backdoors!BC28,IF(VLOOKUP(tbMoveset!A21,tbMoveset!A2:I112,9,FALSE)="Thunder",Backdoors!BD28,IF(VLOOKUP(tbMoveset!A21,tbMoveset!A2:I112,9,FALSE)="Ice",Backdoors!BE28,IF(VLOOKUP(tbMoveset!A21,tbMoveset!A2:I112,9,FALSE)="Dragon",Backdoors!BF28,Backdoors!BG28)))))/100,Backdoors!BG28/100),"")</f>
        <v>0</v>
      </c>
      <c r="FW21" s="49">
        <f>IFERROR(IF(VLOOKUP(A21,tbMoveset!A2:J112,10,FALSE)=TRUE,IF((Backdoors!AI12+IF(FU21&gt;=0.45,VLOOKUP(Calculator!E23,tbSkills!DH3:DI6,2,FALSE)+IF(AND(Calculator!B8=TRUE,Backdoors!BI28=TRUE),VLOOKUP(Calculator!E23,tbSkills!DH3:DJ6,3,FALSE),0),0))&gt;=0,1+(Backdoors!AL2*(IF((Backdoors!AI12+IF(FU21&gt;=0.45,VLOOKUP(Calculator!E23,tbSkills!DH3:DI6,2,FALSE)+IF(AND(Calculator!B8=TRUE,Backdoors!BI28=TRUE),VLOOKUP(Calculator!E23,tbSkills!DH3:DJ6,3,FALSE),0),0))&gt;=100,100,(Backdoors!AI12+IF(FU21&gt;=0.45,VLOOKUP(Calculator!E23,tbSkills!DH3:DI6,2,FALSE)+IF(AND(Calculator!B8=TRUE,Backdoors!BI28=TRUE),VLOOKUP(Calculator!E23,tbSkills!DH3:DJ6,3,FALSE),0),0)))/100)),(1-(0.25*((-Backdoors!AI12-IF(FU21&gt;=0.45,VLOOKUP(Calculator!E23,tbSkills!DH3:DI6,2,FALSE)+IF(AND(Calculator!B8=TRUE,Backdoors!BI28=TRUE),VLOOKUP(Calculator!E23,tbSkills!DH3:DJ6,3,FALSE),0),0))/100)))),1),"")</f>
        <v>1</v>
      </c>
      <c r="FX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FU21)*FW21)*(VLOOKUP(A21,tbMoveset!A2:C112,3,FALSE)/100)*IF(VLOOKUP(A21,tbMoveset!A2:B112,2,FALSE)="Projectile",Backdoors!N10,Backdoors!N9),0),"")</f>
        <v/>
      </c>
      <c r="FY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FU21&gt;=0.45,VLOOKUP(Calculator!E23,tbSkills!DH3:DI6,2,FALSE)+IF(AND(Calculator!B8=TRUE,Backdoors!BI28=TRUE),VLOOKUP(Calculator!E23,tbSkills!DH3:DJ6,3,FALSE),0),0))&gt;=100,100,(Backdoors!AI12+IF(FU21&gt;=0.45,VLOOKUP(Calculator!E23,tbSkills!DH3:DI6,2,FALSE)+IF(AND(Calculator!B8=TRUE,Backdoors!BI28=TRUE),VLOOKUP(Calculator!E23,tbSkills!DH3:DJ6,3,FALSE),0),0)))/100)),1))*IF(VLOOKUP(A21,tbMoveset!A2:K112,11,FALSE)=TRUE,Backdoors!AC5,1))*FV21,0),"")</f>
        <v>0</v>
      </c>
      <c r="FZ21" s="49">
        <f>VLOOKUP(A21,tbMoveset!A2:G112,7,FALSE)*IFERROR(IF(Backdoors!AI12&gt;=0,1+(IF(Calculator!E40&gt;0,VLOOKUP(Calculator!E40,tbSkills!AI3:AJ5,2,FALSE),Backdoors!AL4)*(IF((Backdoors!AI12+IF(FU21&gt;=0.45,VLOOKUP(Calculator!E23,tbSkills!DH3:DI6,2,FALSE)+IF(AND(Calculator!B8=TRUE,Backdoors!BI28=TRUE),VLOOKUP(Calculator!E23,tbSkills!DH3:DJ6,3,FALSE),0),0))&gt;=100,100,(Backdoors!AI12+IF(FU21&gt;=0.45,VLOOKUP(Calculator!E23,tbSkills!DH3:DI6,2,FALSE)+IF(AND(Calculator!B8=TRUE,Backdoors!BI28=TRUE),VLOOKUP(Calculator!E23,tbSkills!DH3:DJ6,3,FALSE),0),0)))/100)),1),1)</f>
        <v>0.5</v>
      </c>
      <c r="GA21" s="87">
        <f t="shared" si="18"/>
        <v>0</v>
      </c>
      <c r="GB21" s="86" t="str">
        <f>IFERROR(IF(VLOOKUP(A21,tbMoveset!A2:B112,2,FALSE)="Sever",Backdoors!AY29/100,IF(VLOOKUP(A21,tbMoveset!A2:B112,2,FALSE)="Blunt",Backdoors!AZ29/100,Backdoors!BA29/100)),"")</f>
        <v/>
      </c>
      <c r="GC21" s="49">
        <f>IFERROR(IF(VLOOKUP(tbMoveset!A21,tbMoveset!A2:H112,8,FALSE)="Other",IF(VLOOKUP(tbMoveset!A21,tbMoveset!A2:I112,9,FALSE)="Fire",Backdoors!BB29,IF(VLOOKUP(tbMoveset!A21,tbMoveset!A2:I112,9,FALSE)="Water",Backdoors!BC29,IF(VLOOKUP(tbMoveset!A21,tbMoveset!A2:I112,9,FALSE)="Thunder",Backdoors!BD29,IF(VLOOKUP(tbMoveset!A21,tbMoveset!A2:I112,9,FALSE)="Ice",Backdoors!BE29,IF(VLOOKUP(tbMoveset!A21,tbMoveset!A2:I112,9,FALSE)="Dragon",Backdoors!BF29,Backdoors!BG29)))))/100,Backdoors!BG29/100),"")</f>
        <v>0</v>
      </c>
      <c r="GD21" s="49">
        <f>IFERROR(IF(VLOOKUP(A21,tbMoveset!A2:J112,10,FALSE)=TRUE,IF((Backdoors!AI12+IF(GB21&gt;=0.45,VLOOKUP(Calculator!E23,tbSkills!DH3:DI6,2,FALSE)+IF(AND(Calculator!B8=TRUE,Backdoors!BI29=TRUE),VLOOKUP(Calculator!E23,tbSkills!DH3:DJ6,3,FALSE),0),0))&gt;=0,1+(Backdoors!AL2*(IF((Backdoors!AI12+IF(GB21&gt;=0.45,VLOOKUP(Calculator!E23,tbSkills!DH3:DI6,2,FALSE)+IF(AND(Calculator!B8=TRUE,Backdoors!BI29=TRUE),VLOOKUP(Calculator!E23,tbSkills!DH3:DJ6,3,FALSE),0),0))&gt;=100,100,(Backdoors!AI12+IF(GB21&gt;=0.45,VLOOKUP(Calculator!E23,tbSkills!DH3:DI6,2,FALSE)+IF(AND(Calculator!B8=TRUE,Backdoors!BI29=TRUE),VLOOKUP(Calculator!E23,tbSkills!DH3:DJ6,3,FALSE),0),0)))/100)),(1-(0.25*((-Backdoors!AI12-IF(GB21&gt;=0.45,VLOOKUP(Calculator!E23,tbSkills!DH3:DI6,2,FALSE)+IF(AND(Calculator!B8=TRUE,Backdoors!BI29=TRUE),VLOOKUP(Calculator!E23,tbSkills!DH3:DJ6,3,FALSE),0),0))/100)))),1),"")</f>
        <v>1</v>
      </c>
      <c r="GE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B21)*GD21)*(VLOOKUP(A21,tbMoveset!A2:C112,3,FALSE)/100)*IF(VLOOKUP(A21,tbMoveset!A2:B112,2,FALSE)="Projectile",Backdoors!N10,Backdoors!N9),0),"")</f>
        <v/>
      </c>
      <c r="GF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B21&gt;=0.45,VLOOKUP(Calculator!E23,tbSkills!DH3:DI6,2,FALSE)+IF(AND(Calculator!B8=TRUE,Backdoors!BI29=TRUE),VLOOKUP(Calculator!E23,tbSkills!DH3:DJ6,3,FALSE),0),0))&gt;=100,100,(Backdoors!AI12+IF(GB21&gt;=0.45,VLOOKUP(Calculator!E23,tbSkills!DH3:DI6,2,FALSE)+IF(AND(Calculator!B8=TRUE,Backdoors!BI29=TRUE),VLOOKUP(Calculator!E23,tbSkills!DH3:DJ6,3,FALSE),0),0)))/100)),1))*IF(VLOOKUP(A21,tbMoveset!A2:K112,11,FALSE)=TRUE,Backdoors!AC5,1))*GC21,0),"")</f>
        <v>0</v>
      </c>
      <c r="GG21" s="49">
        <f>VLOOKUP(A21,tbMoveset!A2:G112,7,FALSE)*IFERROR(IF(Backdoors!AI12&gt;=0,1+(IF(Calculator!E40&gt;0,VLOOKUP(Calculator!E40,tbSkills!AI3:AJ5,2,FALSE),Backdoors!AL4)*(IF((Backdoors!AI12+IF(GB21&gt;=0.45,VLOOKUP(Calculator!E23,tbSkills!DH3:DI6,2,FALSE)+IF(AND(Calculator!B8=TRUE,Backdoors!BI29=TRUE),VLOOKUP(Calculator!E23,tbSkills!DH3:DJ6,3,FALSE),0),0))&gt;=100,100,(Backdoors!AI12+IF(GB21&gt;=0.45,VLOOKUP(Calculator!E23,tbSkills!DH3:DI6,2,FALSE)+IF(AND(Calculator!B8=TRUE,Backdoors!BI29=TRUE),VLOOKUP(Calculator!E23,tbSkills!DH3:DJ6,3,FALSE),0),0)))/100)),1),1)</f>
        <v>0.5</v>
      </c>
      <c r="GH21" s="87">
        <f t="shared" si="19"/>
        <v>0</v>
      </c>
      <c r="GI21" s="86" t="str">
        <f>IFERROR(IF(VLOOKUP(A21,tbMoveset!A2:B112,2,FALSE)="Sever",Backdoors!AY30/100,IF(VLOOKUP(A21,tbMoveset!A2:B112,2,FALSE)="Blunt",Backdoors!AZ30/100,Backdoors!BA30/100)),"")</f>
        <v/>
      </c>
      <c r="GJ21" s="49">
        <f>IFERROR(IF(VLOOKUP(tbMoveset!A21,tbMoveset!A2:H112,8,FALSE)="Other",IF(VLOOKUP(tbMoveset!A21,tbMoveset!A2:I112,9,FALSE)="Fire",Backdoors!BB30,IF(VLOOKUP(tbMoveset!A21,tbMoveset!A2:I112,9,FALSE)="Water",Backdoors!BC30,IF(VLOOKUP(tbMoveset!A21,tbMoveset!A2:I112,9,FALSE)="Thunder",Backdoors!BD30,IF(VLOOKUP(tbMoveset!A21,tbMoveset!A2:I112,9,FALSE)="Ice",Backdoors!BE30,IF(VLOOKUP(tbMoveset!A21,tbMoveset!A2:I112,9,FALSE)="Dragon",Backdoors!BF30,Backdoors!BG30)))))/100,Backdoors!BG30/100),"")</f>
        <v>0</v>
      </c>
      <c r="GK21" s="49">
        <f>IFERROR(IF(VLOOKUP(A21,tbMoveset!A2:J112,10,FALSE)=TRUE,IF((Backdoors!AI12+IF(GI21&gt;=0.45,VLOOKUP(Calculator!E23,tbSkills!DH3:DI6,2,FALSE)+IF(AND(Calculator!B8=TRUE,Backdoors!BI30=TRUE),VLOOKUP(Calculator!E23,tbSkills!DH3:DJ6,3,FALSE),0),0))&gt;=0,1+(Backdoors!AL2*(IF((Backdoors!AI12+IF(GI21&gt;=0.45,VLOOKUP(Calculator!E23,tbSkills!DH3:DI6,2,FALSE)+IF(AND(Calculator!B8=TRUE,Backdoors!BI30=TRUE),VLOOKUP(Calculator!E23,tbSkills!DH3:DJ6,3,FALSE),0),0))&gt;=100,100,(Backdoors!AI12+IF(GI21&gt;=0.45,VLOOKUP(Calculator!E23,tbSkills!DH3:DI6,2,FALSE)+IF(AND(Calculator!B8=TRUE,Backdoors!BI30=TRUE),VLOOKUP(Calculator!E23,tbSkills!DH3:DJ6,3,FALSE),0),0)))/100)),(1-(0.25*((-Backdoors!AI12-IF(GI21&gt;=0.45,VLOOKUP(Calculator!E23,tbSkills!DH3:DI6,2,FALSE)+IF(AND(Calculator!B8=TRUE,Backdoors!BI30=TRUE),VLOOKUP(Calculator!E23,tbSkills!DH3:DJ6,3,FALSE),0),0))/100)))),1),"")</f>
        <v>1</v>
      </c>
      <c r="GL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I21)*GK21)*(VLOOKUP(A21,tbMoveset!A2:C112,3,FALSE)/100)*IF(VLOOKUP(A21,tbMoveset!A2:B112,2,FALSE)="Projectile",Backdoors!N10,Backdoors!N9),0),"")</f>
        <v/>
      </c>
      <c r="GM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I21&gt;=0.45,VLOOKUP(Calculator!E23,tbSkills!DH3:DI6,2,FALSE)+IF(AND(Calculator!B8=TRUE,Backdoors!BI30=TRUE),VLOOKUP(Calculator!E23,tbSkills!DH3:DJ6,3,FALSE),0),0))&gt;=100,100,(Backdoors!AI12+IF(GI21&gt;=0.45,VLOOKUP(Calculator!E23,tbSkills!DH3:DI6,2,FALSE)+IF(AND(Calculator!B8=TRUE,Backdoors!BI30=TRUE),VLOOKUP(Calculator!E23,tbSkills!DH3:DJ6,3,FALSE),0),0)))/100)),1))*IF(VLOOKUP(A21,tbMoveset!A2:K112,11,FALSE)=TRUE,Backdoors!AC5,1))*GJ21,0),"")</f>
        <v>0</v>
      </c>
      <c r="GN21" s="49">
        <f>VLOOKUP(A21,tbMoveset!A2:G112,7,FALSE)*IFERROR(IF(Backdoors!AI12&gt;=0,1+(IF(Calculator!E40&gt;0,VLOOKUP(Calculator!E40,tbSkills!AI3:AJ5,2,FALSE),Backdoors!AL4)*(IF((Backdoors!AI12+IF(GI21&gt;=0.45,VLOOKUP(Calculator!E23,tbSkills!DH3:DI6,2,FALSE)+IF(AND(Calculator!B8=TRUE,Backdoors!BI30=TRUE),VLOOKUP(Calculator!E23,tbSkills!DH3:DJ6,3,FALSE),0),0))&gt;=100,100,(Backdoors!AI12+IF(GI21&gt;=0.45,VLOOKUP(Calculator!E23,tbSkills!DH3:DI6,2,FALSE)+IF(AND(Calculator!B8=TRUE,Backdoors!BI30=TRUE),VLOOKUP(Calculator!E23,tbSkills!DH3:DJ6,3,FALSE),0),0)))/100)),1),1)</f>
        <v>0.5</v>
      </c>
      <c r="GO21" s="87">
        <f t="shared" si="20"/>
        <v>0</v>
      </c>
      <c r="GP21" s="86" t="str">
        <f>IFERROR(IF(VLOOKUP(A21,tbMoveset!A2:B112,2,FALSE)="Sever",Backdoors!AY31/100,IF(VLOOKUP(A21,tbMoveset!A2:B112,2,FALSE)="Blunt",Backdoors!AZ31/100,Backdoors!BA31/100)),"")</f>
        <v/>
      </c>
      <c r="GQ21" s="49">
        <f>IFERROR(IF(VLOOKUP(tbMoveset!A21,tbMoveset!A2:H112,8,FALSE)="Other",IF(VLOOKUP(tbMoveset!A21,tbMoveset!A2:I112,9,FALSE)="Fire",Backdoors!BB31,IF(VLOOKUP(tbMoveset!A21,tbMoveset!A2:I112,9,FALSE)="Water",Backdoors!BC31,IF(VLOOKUP(tbMoveset!A21,tbMoveset!A2:I112,9,FALSE)="Thunder",Backdoors!BD31,IF(VLOOKUP(tbMoveset!A21,tbMoveset!A2:I112,9,FALSE)="Ice",Backdoors!BE31,IF(VLOOKUP(tbMoveset!A21,tbMoveset!A2:I112,9,FALSE)="Dragon",Backdoors!BF31,Backdoors!BG31)))))/100,Backdoors!BG31/100),"")</f>
        <v>0</v>
      </c>
      <c r="GR21" s="49">
        <f>IFERROR(IF(VLOOKUP(A21,tbMoveset!A2:J112,10,FALSE)=TRUE,IF((Backdoors!AI12+IF(GP21&gt;=0.45,VLOOKUP(Calculator!E23,tbSkills!DH3:DI6,2,FALSE)+IF(AND(Calculator!B8=TRUE,Backdoors!BI31=TRUE),VLOOKUP(Calculator!E23,tbSkills!DH3:DJ6,3,FALSE),0),0))&gt;=0,1+(Backdoors!AL2*(IF((Backdoors!AI12+IF(GP21&gt;=0.45,VLOOKUP(Calculator!E23,tbSkills!DH3:DI6,2,FALSE)+IF(AND(Calculator!B8=TRUE,Backdoors!BI31=TRUE),VLOOKUP(Calculator!E23,tbSkills!DH3:DJ6,3,FALSE),0),0))&gt;=100,100,(Backdoors!AI12+IF(GP21&gt;=0.45,VLOOKUP(Calculator!E23,tbSkills!DH3:DI6,2,FALSE)+IF(AND(Calculator!B8=TRUE,Backdoors!BI31=TRUE),VLOOKUP(Calculator!E23,tbSkills!DH3:DJ6,3,FALSE),0),0)))/100)),(1-(0.25*((-Backdoors!AI12-IF(GP21&gt;=0.45,VLOOKUP(Calculator!E23,tbSkills!DH3:DI6,2,FALSE)+IF(AND(Calculator!B8=TRUE,Backdoors!BI31=TRUE),VLOOKUP(Calculator!E23,tbSkills!DH3:DJ6,3,FALSE),0),0))/100)))),1),"")</f>
        <v>1</v>
      </c>
      <c r="GS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P21)*GR21)*(VLOOKUP(A21,tbMoveset!A2:C112,3,FALSE)/100)*IF(VLOOKUP(A21,tbMoveset!A2:B112,2,FALSE)="Projectile",Backdoors!N10,Backdoors!N9),0),"")</f>
        <v/>
      </c>
      <c r="GT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P21&gt;=0.45,VLOOKUP(Calculator!E23,tbSkills!DH3:DI6,2,FALSE)+IF(AND(Calculator!B8=TRUE,Backdoors!BI31=TRUE),VLOOKUP(Calculator!E23,tbSkills!DH3:DJ6,3,FALSE),0),0))&gt;=100,100,(Backdoors!AI12+IF(GP21&gt;=0.45,VLOOKUP(Calculator!E23,tbSkills!DH3:DI6,2,FALSE)+IF(AND(Calculator!B8=TRUE,Backdoors!BI31=TRUE),VLOOKUP(Calculator!E23,tbSkills!DH3:DJ6,3,FALSE),0),0)))/100)),1))*IF(VLOOKUP(A21,tbMoveset!A2:K112,11,FALSE)=TRUE,Backdoors!AC5,1))*GQ21,0),"")</f>
        <v>0</v>
      </c>
      <c r="GU21" s="49">
        <f>VLOOKUP(A21,tbMoveset!A2:G112,7,FALSE)*IFERROR(IF(Backdoors!AI12&gt;=0,1+(IF(Calculator!E40&gt;0,VLOOKUP(Calculator!E40,tbSkills!AI3:AJ5,2,FALSE),Backdoors!AL4)*(IF((Backdoors!AI12+IF(GP21&gt;=0.45,VLOOKUP(Calculator!E23,tbSkills!DH3:DI6,2,FALSE)+IF(AND(Calculator!B8=TRUE,Backdoors!BI31=TRUE),VLOOKUP(Calculator!E23,tbSkills!DH3:DJ6,3,FALSE),0),0))&gt;=100,100,(Backdoors!AI12+IF(GP21&gt;=0.45,VLOOKUP(Calculator!E23,tbSkills!DH3:DI6,2,FALSE)+IF(AND(Calculator!B8=TRUE,Backdoors!BI31=TRUE),VLOOKUP(Calculator!E23,tbSkills!DH3:DJ6,3,FALSE),0),0)))/100)),1),1)</f>
        <v>0.5</v>
      </c>
      <c r="GV21" s="87">
        <f t="shared" si="21"/>
        <v>0</v>
      </c>
      <c r="GW21" s="86" t="str">
        <f>IFERROR(IF(VLOOKUP(A21,tbMoveset!A2:B112,2,FALSE)="Sever",Backdoors!AY32/100,IF(VLOOKUP(A21,tbMoveset!A2:B112,2,FALSE)="Blunt",Backdoors!AZ32/100,Backdoors!BA32/100)),"")</f>
        <v/>
      </c>
      <c r="GX21" s="49">
        <f>IFERROR(IF(VLOOKUP(tbMoveset!A21,tbMoveset!A2:H112,8,FALSE)="Other",IF(VLOOKUP(tbMoveset!A21,tbMoveset!A2:I112,9,FALSE)="Fire",Backdoors!BB32,IF(VLOOKUP(tbMoveset!A21,tbMoveset!A2:I112,9,FALSE)="Water",Backdoors!BC32,IF(VLOOKUP(tbMoveset!A21,tbMoveset!A2:I112,9,FALSE)="Thunder",Backdoors!BD32,IF(VLOOKUP(tbMoveset!A21,tbMoveset!A2:I112,9,FALSE)="Ice",Backdoors!BE32,IF(VLOOKUP(tbMoveset!A21,tbMoveset!A2:I112,9,FALSE)="Dragon",Backdoors!BF32,Backdoors!BG32)))))/100,Backdoors!BG32/100),"")</f>
        <v>0</v>
      </c>
      <c r="GY21" s="49">
        <f>IFERROR(IF(VLOOKUP(A21,tbMoveset!A2:J112,10,FALSE)=TRUE,IF((Backdoors!AI12+IF(GW21&gt;=0.45,VLOOKUP(Calculator!E23,tbSkills!DH3:DI6,2,FALSE)+IF(AND(Calculator!B8=TRUE,Backdoors!BI32=TRUE),VLOOKUP(Calculator!E23,tbSkills!DH3:DJ6,3,FALSE),0),0))&gt;=0,1+(Backdoors!AL2*(IF((Backdoors!AI12+IF(GW21&gt;=0.45,VLOOKUP(Calculator!E23,tbSkills!DH3:DI6,2,FALSE)+IF(AND(Calculator!B8=TRUE,Backdoors!BI32=TRUE),VLOOKUP(Calculator!E23,tbSkills!DH3:DJ6,3,FALSE),0),0))&gt;=100,100,(Backdoors!AI12+IF(GW21&gt;=0.45,VLOOKUP(Calculator!E23,tbSkills!DH3:DI6,2,FALSE)+IF(AND(Calculator!B8=TRUE,Backdoors!BI32=TRUE),VLOOKUP(Calculator!E23,tbSkills!DH3:DJ6,3,FALSE),0),0)))/100)),(1-(0.25*((-Backdoors!AI12-IF(GW21&gt;=0.45,VLOOKUP(Calculator!E23,tbSkills!DH3:DI6,2,FALSE)+IF(AND(Calculator!B8=TRUE,Backdoors!BI32=TRUE),VLOOKUP(Calculator!E23,tbSkills!DH3:DJ6,3,FALSE),0),0))/100)))),1),"")</f>
        <v>1</v>
      </c>
      <c r="GZ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W21)*GY21)*(VLOOKUP(A21,tbMoveset!A2:C112,3,FALSE)/100)*IF(VLOOKUP(A21,tbMoveset!A2:B112,2,FALSE)="Projectile",Backdoors!N10,Backdoors!N9),0),"")</f>
        <v/>
      </c>
      <c r="HA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W21&gt;=0.45,VLOOKUP(Calculator!E23,tbSkills!DH3:DI6,2,FALSE)+IF(AND(Calculator!B8=TRUE,Backdoors!BI32=TRUE),VLOOKUP(Calculator!E23,tbSkills!DH3:DJ6,3,FALSE),0),0))&gt;=100,100,(Backdoors!AI12+IF(GW21&gt;=0.45,VLOOKUP(Calculator!E23,tbSkills!DH3:DI6,2,FALSE)+IF(AND(Calculator!B8=TRUE,Backdoors!BI32=TRUE),VLOOKUP(Calculator!E23,tbSkills!DH3:DJ6,3,FALSE),0),0)))/100)),1))*IF(VLOOKUP(A21,tbMoveset!A2:K112,11,FALSE)=TRUE,Backdoors!AC5,1))*GX21,0),"")</f>
        <v>0</v>
      </c>
      <c r="HB21" s="49">
        <f>VLOOKUP(A21,tbMoveset!A2:G112,7,FALSE)*IFERROR(IF(Backdoors!AI12&gt;=0,1+(IF(Calculator!E40&gt;0,VLOOKUP(Calculator!E40,tbSkills!AI3:AJ5,2,FALSE),Backdoors!AL4)*(IF((Backdoors!AI12+IF(GW21&gt;=0.45,VLOOKUP(Calculator!E23,tbSkills!DH3:DI6,2,FALSE)+IF(AND(Calculator!B8=TRUE,Backdoors!BI32=TRUE),VLOOKUP(Calculator!E23,tbSkills!DH3:DJ6,3,FALSE),0),0))&gt;=100,100,(Backdoors!AI12+IF(GW21&gt;=0.45,VLOOKUP(Calculator!E23,tbSkills!DH3:DI6,2,FALSE)+IF(AND(Calculator!B8=TRUE,Backdoors!BI32=TRUE),VLOOKUP(Calculator!E23,tbSkills!DH3:DJ6,3,FALSE),0),0)))/100)),1),1)</f>
        <v>0.5</v>
      </c>
      <c r="HC21" s="87">
        <f t="shared" si="22"/>
        <v>0</v>
      </c>
      <c r="HD21" s="86" t="str">
        <f>IFERROR(IF(VLOOKUP(A21,tbMoveset!A2:B112,2,FALSE)="Sever",Backdoors!AY33/100,IF(VLOOKUP(A21,tbMoveset!A2:B112,2,FALSE)="Blunt",Backdoors!AZ33/100,Backdoors!BA33/100)),"")</f>
        <v/>
      </c>
      <c r="HE21" s="49">
        <f>IFERROR(IF(VLOOKUP(tbMoveset!A21,tbMoveset!A2:H112,8,FALSE)="Other",IF(VLOOKUP(tbMoveset!A21,tbMoveset!A2:I112,9,FALSE)="Fire",Backdoors!BB33,IF(VLOOKUP(tbMoveset!A21,tbMoveset!A2:I112,9,FALSE)="Water",Backdoors!BC33,IF(VLOOKUP(tbMoveset!A21,tbMoveset!A2:I112,9,FALSE)="Thunder",Backdoors!BD33,IF(VLOOKUP(tbMoveset!A21,tbMoveset!A2:I112,9,FALSE)="Ice",Backdoors!BE33,IF(VLOOKUP(tbMoveset!A21,tbMoveset!A2:I112,9,FALSE)="Dragon",Backdoors!BF33,Backdoors!BG33)))))/100,Backdoors!BG33/100),"")</f>
        <v>0</v>
      </c>
      <c r="HF21" s="49">
        <f>IFERROR(IF(VLOOKUP(A21,tbMoveset!A2:J112,10,FALSE)=TRUE,IF((Backdoors!AI12+IF(HD21&gt;=0.45,VLOOKUP(Calculator!E23,tbSkills!DH3:DI6,2,FALSE)+IF(AND(Calculator!B8=TRUE,Backdoors!BI33=TRUE),VLOOKUP(Calculator!E23,tbSkills!DH3:DJ6,3,FALSE),0),0))&gt;=0,1+(Backdoors!AL2*(IF((Backdoors!AI12+IF(HD21&gt;=0.45,VLOOKUP(Calculator!E23,tbSkills!DH3:DI6,2,FALSE)+IF(AND(Calculator!B8=TRUE,Backdoors!BI33=TRUE),VLOOKUP(Calculator!E23,tbSkills!DH3:DJ6,3,FALSE),0),0))&gt;=100,100,(Backdoors!AI12+IF(HD21&gt;=0.45,VLOOKUP(Calculator!E23,tbSkills!DH3:DI6,2,FALSE)+IF(AND(Calculator!B8=TRUE,Backdoors!BI33=TRUE),VLOOKUP(Calculator!E23,tbSkills!DH3:DJ6,3,FALSE),0),0)))/100)),(1-(0.25*((-Backdoors!AI12-IF(HD21&gt;=0.45,VLOOKUP(Calculator!E23,tbSkills!DH3:DI6,2,FALSE)+IF(AND(Calculator!B8=TRUE,Backdoors!BI33=TRUE),VLOOKUP(Calculator!E23,tbSkills!DH3:DJ6,3,FALSE),0),0))/100)))),1),"")</f>
        <v>1</v>
      </c>
      <c r="HG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D21)*HF21)*(VLOOKUP(A21,tbMoveset!A2:C112,3,FALSE)/100)*IF(VLOOKUP(A21,tbMoveset!A2:B112,2,FALSE)="Projectile",Backdoors!N10,Backdoors!N9),0),"")</f>
        <v/>
      </c>
      <c r="HH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D21&gt;=0.45,VLOOKUP(Calculator!E23,tbSkills!DH3:DI6,2,FALSE)+IF(AND(Calculator!B8=TRUE,Backdoors!BI33=TRUE),VLOOKUP(Calculator!E23,tbSkills!DH3:DJ6,3,FALSE),0),0))&gt;=100,100,(Backdoors!AI12+IF(HD21&gt;=0.45,VLOOKUP(Calculator!E23,tbSkills!DH3:DI6,2,FALSE)+IF(AND(Calculator!B8=TRUE,Backdoors!BI33=TRUE),VLOOKUP(Calculator!E23,tbSkills!DH3:DJ6,3,FALSE),0),0)))/100)),1))*IF(VLOOKUP(A21,tbMoveset!A2:K112,11,FALSE)=TRUE,Backdoors!AC5,1))*HE21,0),"")</f>
        <v>0</v>
      </c>
      <c r="HI21" s="49">
        <f>VLOOKUP(A21,tbMoveset!A2:G112,7,FALSE)*IFERROR(IF(Backdoors!AI12&gt;=0,1+(IF(Calculator!E40&gt;0,VLOOKUP(Calculator!E40,tbSkills!AI3:AJ5,2,FALSE),Backdoors!AL4)*(IF((Backdoors!AI12+IF(HD21&gt;=0.45,VLOOKUP(Calculator!E23,tbSkills!DH3:DI6,2,FALSE)+IF(AND(Calculator!B8=TRUE,Backdoors!BI33=TRUE),VLOOKUP(Calculator!E23,tbSkills!DH3:DJ6,3,FALSE),0),0))&gt;=100,100,(Backdoors!AI12+IF(HD21&gt;=0.45,VLOOKUP(Calculator!E23,tbSkills!DH3:DI6,2,FALSE)+IF(AND(Calculator!B8=TRUE,Backdoors!BI33=TRUE),VLOOKUP(Calculator!E23,tbSkills!DH3:DJ6,3,FALSE),0),0)))/100)),1),1)</f>
        <v>0.5</v>
      </c>
      <c r="HJ21" s="87">
        <f t="shared" si="23"/>
        <v>0</v>
      </c>
      <c r="HK21" s="86" t="str">
        <f>IFERROR(IF(VLOOKUP(A21,tbMoveset!A2:B112,2,FALSE)="Sever",Backdoors!AY34/100,IF(VLOOKUP(A21,tbMoveset!A2:B112,2,FALSE)="Blunt",Backdoors!AZ34/100,Backdoors!BA34/100)),"")</f>
        <v/>
      </c>
      <c r="HL21" s="49">
        <f>IFERROR(IF(VLOOKUP(tbMoveset!A21,tbMoveset!A2:H112,8,FALSE)="Other",IF(VLOOKUP(tbMoveset!A21,tbMoveset!A2:I112,9,FALSE)="Fire",Backdoors!BB34,IF(VLOOKUP(tbMoveset!A21,tbMoveset!A2:I112,9,FALSE)="Water",Backdoors!BC34,IF(VLOOKUP(tbMoveset!A21,tbMoveset!A2:I112,9,FALSE)="Thunder",Backdoors!BD34,IF(VLOOKUP(tbMoveset!A21,tbMoveset!A2:I112,9,FALSE)="Ice",Backdoors!BE34,IF(VLOOKUP(tbMoveset!A21,tbMoveset!A2:I112,9,FALSE)="Dragon",Backdoors!BF34,Backdoors!BG34)))))/100,Backdoors!BG34/100),"")</f>
        <v>0</v>
      </c>
      <c r="HM21" s="49">
        <f>IFERROR(IF(VLOOKUP(A21,tbMoveset!A2:J112,10,FALSE)=TRUE,IF((Backdoors!AI12+IF(HK21&gt;=0.45,VLOOKUP(Calculator!E23,tbSkills!DH3:DI6,2,FALSE)+IF(AND(Calculator!B8=TRUE,Backdoors!BI34=TRUE),VLOOKUP(Calculator!E23,tbSkills!DH3:DJ6,3,FALSE),0),0))&gt;=0,1+(Backdoors!AL2*(IF((Backdoors!AI12+IF(HK21&gt;=0.45,VLOOKUP(Calculator!E23,tbSkills!DH3:DI6,2,FALSE)+IF(AND(Calculator!B8=TRUE,Backdoors!BI34=TRUE),VLOOKUP(Calculator!E23,tbSkills!DH3:DJ6,3,FALSE),0),0))&gt;=100,100,(Backdoors!AI12+IF(HK21&gt;=0.45,VLOOKUP(Calculator!E23,tbSkills!DH3:DI6,2,FALSE)+IF(AND(Calculator!B8=TRUE,Backdoors!BI34=TRUE),VLOOKUP(Calculator!E23,tbSkills!DH3:DJ6,3,FALSE),0),0)))/100)),(1-(0.25*((-Backdoors!AI12-IF(HK21&gt;=0.45,VLOOKUP(Calculator!E23,tbSkills!DH3:DI6,2,FALSE)+IF(AND(Calculator!B8=TRUE,Backdoors!BI34=TRUE),VLOOKUP(Calculator!E23,tbSkills!DH3:DJ6,3,FALSE),0),0))/100)))),1),"")</f>
        <v>1</v>
      </c>
      <c r="HN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K21)*HM21)*(VLOOKUP(A21,tbMoveset!A2:C112,3,FALSE)/100)*IF(VLOOKUP(A21,tbMoveset!A2:B112,2,FALSE)="Projectile",Backdoors!N10,Backdoors!N9),0),"")</f>
        <v/>
      </c>
      <c r="HO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K21&gt;=0.45,VLOOKUP(Calculator!E23,tbSkills!DH3:DI6,2,FALSE)+IF(AND(Calculator!B8=TRUE,Backdoors!BI34=TRUE),VLOOKUP(Calculator!E23,tbSkills!DH3:DJ6,3,FALSE),0),0))&gt;=100,100,(Backdoors!AI12+IF(HK21&gt;=0.45,VLOOKUP(Calculator!E23,tbSkills!DH3:DI6,2,FALSE)+IF(AND(Calculator!B8=TRUE,Backdoors!BI34=TRUE),VLOOKUP(Calculator!E23,tbSkills!DH3:DJ6,3,FALSE),0),0)))/100)),1))*IF(VLOOKUP(A21,tbMoveset!A2:K112,11,FALSE)=TRUE,Backdoors!AC5,1))*HL21,0),"")</f>
        <v>0</v>
      </c>
      <c r="HP21" s="49">
        <f>VLOOKUP(A21,tbMoveset!A2:G112,7,FALSE)*IFERROR(IF(Backdoors!AI12&gt;=0,1+(IF(Calculator!E40&gt;0,VLOOKUP(Calculator!E40,tbSkills!AI3:AJ5,2,FALSE),Backdoors!AL4)*(IF((Backdoors!AI12+IF(HK21&gt;=0.45,VLOOKUP(Calculator!E23,tbSkills!DH3:DI6,2,FALSE)+IF(AND(Calculator!B8=TRUE,Backdoors!BI34=TRUE),VLOOKUP(Calculator!E23,tbSkills!DH3:DJ6,3,FALSE),0),0))&gt;=100,100,(Backdoors!AI12+IF(HK21&gt;=0.45,VLOOKUP(Calculator!E23,tbSkills!DH3:DI6,2,FALSE)+IF(AND(Calculator!B8=TRUE,Backdoors!BI34=TRUE),VLOOKUP(Calculator!E23,tbSkills!DH3:DJ6,3,FALSE),0),0)))/100)),1),1)</f>
        <v>0.5</v>
      </c>
      <c r="HQ21" s="87">
        <f t="shared" si="24"/>
        <v>0</v>
      </c>
      <c r="HR21" s="86" t="str">
        <f>IFERROR(IF(VLOOKUP(A21,tbMoveset!A2:B112,2,FALSE)="Sever",Backdoors!AY35/100,IF(VLOOKUP(A21,tbMoveset!A2:B112,2,FALSE)="Blunt",Backdoors!AZ35/100,Backdoors!BA35/100)),"")</f>
        <v/>
      </c>
      <c r="HS21" s="49">
        <f>IFERROR(IF(VLOOKUP(tbMoveset!A21,tbMoveset!A2:H112,8,FALSE)="Other",IF(VLOOKUP(tbMoveset!A21,tbMoveset!A2:I112,9,FALSE)="Fire",Backdoors!BB35,IF(VLOOKUP(tbMoveset!A21,tbMoveset!A2:I112,9,FALSE)="Water",Backdoors!BC35,IF(VLOOKUP(tbMoveset!A21,tbMoveset!A2:I112,9,FALSE)="Thunder",Backdoors!BD35,IF(VLOOKUP(tbMoveset!A21,tbMoveset!A2:I112,9,FALSE)="Ice",Backdoors!BE35,IF(VLOOKUP(tbMoveset!A21,tbMoveset!A2:I112,9,FALSE)="Dragon",Backdoors!BF35,Backdoors!BG35)))))/100,Backdoors!BG35/100),"")</f>
        <v>0</v>
      </c>
      <c r="HT21" s="49">
        <f>IFERROR(IF(VLOOKUP(A21,tbMoveset!A2:J112,10,FALSE)=TRUE,IF((Backdoors!AI12+IF(HR21&gt;=0.45,VLOOKUP(Calculator!E23,tbSkills!DH3:DI6,2,FALSE)+IF(AND(Calculator!B8=TRUE,Backdoors!BI35=TRUE),VLOOKUP(Calculator!E23,tbSkills!DH3:DJ6,3,FALSE),0),0))&gt;=0,1+(Backdoors!AL2*(IF((Backdoors!AI12+IF(HR21&gt;=0.45,VLOOKUP(Calculator!E23,tbSkills!DH3:DI6,2,FALSE)+IF(AND(Calculator!B8=TRUE,Backdoors!BI35=TRUE),VLOOKUP(Calculator!E23,tbSkills!DH3:DJ6,3,FALSE),0),0))&gt;=100,100,(Backdoors!AI12+IF(HR21&gt;=0.45,VLOOKUP(Calculator!E23,tbSkills!DH3:DI6,2,FALSE)+IF(AND(Calculator!B8=TRUE,Backdoors!BI35=TRUE),VLOOKUP(Calculator!E23,tbSkills!DH3:DJ6,3,FALSE),0),0)))/100)),(1-(0.25*((-Backdoors!AI12-IF(HR21&gt;=0.45,VLOOKUP(Calculator!E23,tbSkills!DH3:DI6,2,FALSE)+IF(AND(Calculator!B8=TRUE,Backdoors!BI35=TRUE),VLOOKUP(Calculator!E23,tbSkills!DH3:DJ6,3,FALSE),0),0))/100)))),1),"")</f>
        <v>1</v>
      </c>
      <c r="HU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R21)*HT21)*(VLOOKUP(A21,tbMoveset!A2:C112,3,FALSE)/100)*IF(VLOOKUP(A21,tbMoveset!A2:B112,2,FALSE)="Projectile",Backdoors!N10,Backdoors!N9),0),"")</f>
        <v/>
      </c>
      <c r="HV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R21&gt;=0.45,VLOOKUP(Calculator!E23,tbSkills!DH3:DI6,2,FALSE)+IF(AND(Calculator!B8=TRUE,Backdoors!BI35=TRUE),VLOOKUP(Calculator!E23,tbSkills!DH3:DJ6,3,FALSE),0),0))&gt;=100,100,(Backdoors!AI12+IF(HR21&gt;=0.45,VLOOKUP(Calculator!E23,tbSkills!DH3:DI6,2,FALSE)+IF(AND(Calculator!B8=TRUE,Backdoors!BI35=TRUE),VLOOKUP(Calculator!E23,tbSkills!DH3:DJ6,3,FALSE),0),0)))/100)),1))*IF(VLOOKUP(A21,tbMoveset!A2:K112,11,FALSE)=TRUE,Backdoors!AC5,1))*HS21,0),"")</f>
        <v>0</v>
      </c>
      <c r="HW21" s="49">
        <f>VLOOKUP(A21,tbMoveset!A2:G112,7,FALSE)*IFERROR(IF(Backdoors!AI12&gt;=0,1+(IF(Calculator!E40&gt;0,VLOOKUP(Calculator!E40,tbSkills!AI3:AJ5,2,FALSE),Backdoors!AL4)*(IF((Backdoors!AI12+IF(HR21&gt;=0.45,VLOOKUP(Calculator!E23,tbSkills!DH3:DI6,2,FALSE)+IF(AND(Calculator!B8=TRUE,Backdoors!BI35=TRUE),VLOOKUP(Calculator!E23,tbSkills!DH3:DJ6,3,FALSE),0),0))&gt;=100,100,(Backdoors!AI12+IF(HR21&gt;=0.45,VLOOKUP(Calculator!E23,tbSkills!DH3:DI6,2,FALSE)+IF(AND(Calculator!B8=TRUE,Backdoors!BI35=TRUE),VLOOKUP(Calculator!E23,tbSkills!DH3:DJ6,3,FALSE),0),0)))/100)),1),1)</f>
        <v>0.5</v>
      </c>
      <c r="HX21" s="87">
        <f t="shared" si="25"/>
        <v>0</v>
      </c>
      <c r="HY21" s="86" t="str">
        <f>IFERROR(IF(VLOOKUP(A21,tbMoveset!A2:B112,2,FALSE)="Sever",Backdoors!AY36/100,IF(VLOOKUP(A21,tbMoveset!A2:B112,2,FALSE)="Blunt",Backdoors!AZ36/100,Backdoors!BA36/100)),"")</f>
        <v/>
      </c>
      <c r="HZ21" s="49">
        <f>IFERROR(IF(VLOOKUP(tbMoveset!A21,tbMoveset!A2:H112,8,FALSE)="Other",IF(VLOOKUP(tbMoveset!A21,tbMoveset!A2:I112,9,FALSE)="Fire",Backdoors!BB36,IF(VLOOKUP(tbMoveset!A21,tbMoveset!A2:I112,9,FALSE)="Water",Backdoors!BC36,IF(VLOOKUP(tbMoveset!A21,tbMoveset!A2:I112,9,FALSE)="Thunder",Backdoors!BD36,IF(VLOOKUP(tbMoveset!A21,tbMoveset!A2:I112,9,FALSE)="Ice",Backdoors!BE36,IF(VLOOKUP(tbMoveset!A21,tbMoveset!A2:I112,9,FALSE)="Dragon",Backdoors!BF36,Backdoors!BG36)))))/100,Backdoors!BG36/100),"")</f>
        <v>0</v>
      </c>
      <c r="IA21" s="49">
        <f>IFERROR(IF(VLOOKUP(A21,tbMoveset!A2:J112,10,FALSE)=TRUE,IF((Backdoors!AI12+IF(HY21&gt;=0.45,VLOOKUP(Calculator!E23,tbSkills!DH3:DI6,2,FALSE)+IF(AND(Calculator!B8=TRUE,Backdoors!BI36=TRUE),VLOOKUP(Calculator!E23,tbSkills!DH3:DJ6,3,FALSE),0),0))&gt;=0,1+(Backdoors!AL2*(IF((Backdoors!AI12+IF(HY21&gt;=0.45,VLOOKUP(Calculator!E23,tbSkills!DH3:DI6,2,FALSE)+IF(AND(Calculator!B8=TRUE,Backdoors!BI36=TRUE),VLOOKUP(Calculator!E23,tbSkills!DH3:DJ6,3,FALSE),0),0))&gt;=100,100,(Backdoors!AI12+IF(HY21&gt;=0.45,VLOOKUP(Calculator!E23,tbSkills!DH3:DI6,2,FALSE)+IF(AND(Calculator!B8=TRUE,Backdoors!BI36=TRUE),VLOOKUP(Calculator!E23,tbSkills!DH3:DJ6,3,FALSE),0),0)))/100)),(1-(0.25*((-Backdoors!AI12-IF(HY21&gt;=0.45,VLOOKUP(Calculator!E23,tbSkills!DH3:DI6,2,FALSE)+IF(AND(Calculator!B8=TRUE,Backdoors!BI36=TRUE),VLOOKUP(Calculator!E23,tbSkills!DH3:DJ6,3,FALSE),0),0))/100)))),1),"")</f>
        <v>1</v>
      </c>
      <c r="IB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Y21)*IA21)*(VLOOKUP(A21,tbMoveset!A2:C112,3,FALSE)/100)*IF(VLOOKUP(A21,tbMoveset!A2:B112,2,FALSE)="Projectile",Backdoors!N10,Backdoors!N9),0),"")</f>
        <v/>
      </c>
      <c r="IC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Y21&gt;=0.45,VLOOKUP(Calculator!E23,tbSkills!DH3:DI6,2,FALSE)+IF(AND(Calculator!B8=TRUE,Backdoors!BI36=TRUE),VLOOKUP(Calculator!E23,tbSkills!DH3:DJ6,3,FALSE),0),0))&gt;=100,100,(Backdoors!AI12+IF(HY21&gt;=0.45,VLOOKUP(Calculator!E23,tbSkills!DH3:DI6,2,FALSE)+IF(AND(Calculator!B8=TRUE,Backdoors!BI36=TRUE),VLOOKUP(Calculator!E23,tbSkills!DH3:DJ6,3,FALSE),0),0)))/100)),1))*IF(VLOOKUP(A21,tbMoveset!A2:K112,11,FALSE)=TRUE,Backdoors!AC5,1))*HZ21,0),"")</f>
        <v>0</v>
      </c>
      <c r="ID21" s="49">
        <f>VLOOKUP(A21,tbMoveset!A2:G112,7,FALSE)*IFERROR(IF(Backdoors!AI12&gt;=0,1+(IF(Calculator!E40&gt;0,VLOOKUP(Calculator!E40,tbSkills!AI3:AJ5,2,FALSE),Backdoors!AL4)*(IF((Backdoors!AI12+IF(HY21&gt;=0.45,VLOOKUP(Calculator!E23,tbSkills!DH3:DI6,2,FALSE)+IF(AND(Calculator!B8=TRUE,Backdoors!BI36=TRUE),VLOOKUP(Calculator!E23,tbSkills!DH3:DJ6,3,FALSE),0),0))&gt;=100,100,(Backdoors!AI12+IF(HY21&gt;=0.45,VLOOKUP(Calculator!E23,tbSkills!DH3:DI6,2,FALSE)+IF(AND(Calculator!B8=TRUE,Backdoors!BI36=TRUE),VLOOKUP(Calculator!E23,tbSkills!DH3:DJ6,3,FALSE),0),0)))/100)),1),1)</f>
        <v>0.5</v>
      </c>
      <c r="IE21" s="87">
        <f t="shared" si="26"/>
        <v>0</v>
      </c>
      <c r="IF21" s="86" t="str">
        <f>IFERROR(IF(VLOOKUP(A21,tbMoveset!A2:B112,2,FALSE)="Sever",Backdoors!AY37/100,IF(VLOOKUP(A21,tbMoveset!A2:B112,2,FALSE)="Blunt",Backdoors!AZ37/100,Backdoors!BA37/100)),"")</f>
        <v/>
      </c>
      <c r="IG21" s="49">
        <f>IFERROR(IF(VLOOKUP(tbMoveset!A21,tbMoveset!A2:H112,8,FALSE)="Other",IF(VLOOKUP(tbMoveset!A21,tbMoveset!A2:I112,9,FALSE)="Fire",Backdoors!BB37,IF(VLOOKUP(tbMoveset!A21,tbMoveset!A2:I112,9,FALSE)="Water",Backdoors!BC37,IF(VLOOKUP(tbMoveset!A21,tbMoveset!A2:I112,9,FALSE)="Thunder",Backdoors!BD37,IF(VLOOKUP(tbMoveset!A21,tbMoveset!A2:I112,9,FALSE)="Ice",Backdoors!BE37,IF(VLOOKUP(tbMoveset!A21,tbMoveset!A2:I112,9,FALSE)="Dragon",Backdoors!BF37,Backdoors!BG37)))))/100,Backdoors!BG37/100),"")</f>
        <v>0</v>
      </c>
      <c r="IH21" s="49">
        <f>IFERROR(IF(VLOOKUP(A21,tbMoveset!A2:J112,10,FALSE)=TRUE,IF((Backdoors!AI12+IF(IF21&gt;=0.45,VLOOKUP(Calculator!E23,tbSkills!DH3:DI6,2,FALSE)+IF(AND(Calculator!B8=TRUE,Backdoors!BI37=TRUE),VLOOKUP(Calculator!E23,tbSkills!DH3:DJ6,3,FALSE),0),0))&gt;=0,1+(Backdoors!AL2*(IF((Backdoors!AI12+IF(IF21&gt;=0.45,VLOOKUP(Calculator!E23,tbSkills!DH3:DI6,2,FALSE)+IF(AND(Calculator!B8=TRUE,Backdoors!BI37=TRUE),VLOOKUP(Calculator!E23,tbSkills!DH3:DJ6,3,FALSE),0),0))&gt;=100,100,(Backdoors!AI12+IF(IF21&gt;=0.45,VLOOKUP(Calculator!E23,tbSkills!DH3:DI6,2,FALSE)+IF(AND(Calculator!B8=TRUE,Backdoors!BI37=TRUE),VLOOKUP(Calculator!E23,tbSkills!DH3:DJ6,3,FALSE),0),0)))/100)),(1-(0.25*((-Backdoors!AI12-IF(IF21&gt;=0.45,VLOOKUP(Calculator!E23,tbSkills!DH3:DI6,2,FALSE)+IF(AND(Calculator!B8=TRUE,Backdoors!BI37=TRUE),VLOOKUP(Calculator!E23,tbSkills!DH3:DJ6,3,FALSE),0),0))/100)))),1),"")</f>
        <v>1</v>
      </c>
      <c r="II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F21)*IH21)*(VLOOKUP(A21,tbMoveset!A2:C112,3,FALSE)/100)*IF(VLOOKUP(A21,tbMoveset!A2:B112,2,FALSE)="Projectile",Backdoors!N10,Backdoors!N9),0),"")</f>
        <v/>
      </c>
      <c r="IJ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IF21&gt;=0.45,VLOOKUP(Calculator!E23,tbSkills!DH3:DI6,2,FALSE)+IF(AND(Calculator!B8=TRUE,Backdoors!BI37=TRUE),VLOOKUP(Calculator!E23,tbSkills!DH3:DJ6,3,FALSE),0),0))&gt;=100,100,(Backdoors!AI12+IF(IF21&gt;=0.45,VLOOKUP(Calculator!E23,tbSkills!DH3:DI6,2,FALSE)+IF(AND(Calculator!B8=TRUE,Backdoors!BI37=TRUE),VLOOKUP(Calculator!E23,tbSkills!DH3:DJ6,3,FALSE),0),0)))/100)),1))*IF(VLOOKUP(A21,tbMoveset!A2:K112,11,FALSE)=TRUE,Backdoors!AC5,1))*IG21,0),"")</f>
        <v>0</v>
      </c>
      <c r="IK21" s="49">
        <f>VLOOKUP(A21,tbMoveset!A2:G112,7,FALSE)*IFERROR(IF(Backdoors!AI12&gt;=0,1+(IF(Calculator!E40&gt;0,VLOOKUP(Calculator!E40,tbSkills!AI3:AJ5,2,FALSE),Backdoors!AL4)*(IF((Backdoors!AI12+IF(IF21&gt;=0.45,VLOOKUP(Calculator!E23,tbSkills!DH3:DI6,2,FALSE)+IF(AND(Calculator!B8=TRUE,Backdoors!BI37=TRUE),VLOOKUP(Calculator!E23,tbSkills!DH3:DJ6,3,FALSE),0),0))&gt;=100,100,(Backdoors!AI12+IF(IF21&gt;=0.45,VLOOKUP(Calculator!E23,tbSkills!DH3:DI6,2,FALSE)+IF(AND(Calculator!B8=TRUE,Backdoors!BI37=TRUE),VLOOKUP(Calculator!E23,tbSkills!DH3:DJ6,3,FALSE),0),0)))/100)),1),1)</f>
        <v>0.5</v>
      </c>
      <c r="IL21" s="87">
        <f t="shared" si="27"/>
        <v>0</v>
      </c>
      <c r="IM21" s="86" t="str">
        <f>IFERROR(IF(VLOOKUP(A21,tbMoveset!A2:B112,2,FALSE)="Sever",Backdoors!AY38/100,IF(VLOOKUP(A21,tbMoveset!A2:B112,2,FALSE)="Blunt",Backdoors!AZ38/100,Backdoors!BA38/100)),"")</f>
        <v/>
      </c>
      <c r="IN21" s="49">
        <f>IFERROR(IF(VLOOKUP(tbMoveset!A21,tbMoveset!A2:H112,8,FALSE)="Other",IF(VLOOKUP(tbMoveset!A21,tbMoveset!A2:I112,9,FALSE)="Fire",Backdoors!BB38,IF(VLOOKUP(tbMoveset!A21,tbMoveset!A2:I112,9,FALSE)="Water",Backdoors!BC38,IF(VLOOKUP(tbMoveset!A21,tbMoveset!A2:I112,9,FALSE)="Thunder",Backdoors!BD38,IF(VLOOKUP(tbMoveset!A21,tbMoveset!A2:I112,9,FALSE)="Ice",Backdoors!BE38,IF(VLOOKUP(tbMoveset!A21,tbMoveset!A2:I112,9,FALSE)="Dragon",Backdoors!BF38,Backdoors!BG38)))))/100,Backdoors!BG38/100),"")</f>
        <v>0</v>
      </c>
      <c r="IO21" s="49">
        <f>IFERROR(IF(VLOOKUP(A21,tbMoveset!A2:J112,10,FALSE)=TRUE,IF((Backdoors!AI12+IF(IM21&gt;=0.45,VLOOKUP(Calculator!E23,tbSkills!DH3:DI6,2,FALSE)+IF(AND(Calculator!B8=TRUE,Backdoors!BI38=TRUE),VLOOKUP(Calculator!E23,tbSkills!DH3:DJ6,3,FALSE),0),0))&gt;=0,1+(Backdoors!AL2*(IF((Backdoors!AI12+IF(IM21&gt;=0.45,VLOOKUP(Calculator!E23,tbSkills!DH3:DI6,2,FALSE)+IF(AND(Calculator!B8=TRUE,Backdoors!BI38=TRUE),VLOOKUP(Calculator!E23,tbSkills!DH3:DJ6,3,FALSE),0),0))&gt;=100,100,(Backdoors!AI12+IF(IM21&gt;=0.45,VLOOKUP(Calculator!E23,tbSkills!DH3:DI6,2,FALSE)+IF(AND(Calculator!B8=TRUE,Backdoors!BI38=TRUE),VLOOKUP(Calculator!E23,tbSkills!DH3:DJ6,3,FALSE),0),0)))/100)),(1-(0.25*((-Backdoors!AI12-IF(IM21&gt;=0.45,VLOOKUP(Calculator!E23,tbSkills!DH3:DI6,2,FALSE)+IF(AND(Calculator!B8=TRUE,Backdoors!BI38=TRUE),VLOOKUP(Calculator!E23,tbSkills!DH3:DJ6,3,FALSE),0),0))/100)))),1),"")</f>
        <v>1</v>
      </c>
      <c r="IP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M21)*IO21)*(VLOOKUP(A21,tbMoveset!A2:C112,3,FALSE)/100)*IF(VLOOKUP(A21,tbMoveset!A2:B112,2,FALSE)="Projectile",Backdoors!N10,Backdoors!N9),0),"")</f>
        <v/>
      </c>
      <c r="IQ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IM21&gt;=0.45,VLOOKUP(Calculator!E23,tbSkills!DH3:DI6,2,FALSE)+IF(AND(Calculator!B8=TRUE,Backdoors!BI38=TRUE),VLOOKUP(Calculator!E23,tbSkills!DH3:DJ6,3,FALSE),0),0))&gt;=100,100,(Backdoors!AI12+IF(IM21&gt;=0.45,VLOOKUP(Calculator!E23,tbSkills!DH3:DI6,2,FALSE)+IF(AND(Calculator!B8=TRUE,Backdoors!BI38=TRUE),VLOOKUP(Calculator!E23,tbSkills!DH3:DJ6,3,FALSE),0),0)))/100)),1))*IF(VLOOKUP(A21,tbMoveset!A2:K112,11,FALSE)=TRUE,Backdoors!AC5,1))*IN21,0),"")</f>
        <v>0</v>
      </c>
      <c r="IR21" s="49">
        <f>VLOOKUP(A21,tbMoveset!A2:G112,7,FALSE)*IFERROR(IF(Backdoors!AI12&gt;=0,1+(IF(Calculator!E40&gt;0,VLOOKUP(Calculator!E40,tbSkills!AI3:AJ5,2,FALSE),Backdoors!AL4)*(IF((Backdoors!AI12+IF(IM21&gt;=0.45,VLOOKUP(Calculator!E23,tbSkills!DH3:DI6,2,FALSE)+IF(AND(Calculator!B8=TRUE,Backdoors!BI38=TRUE),VLOOKUP(Calculator!E23,tbSkills!DH3:DJ6,3,FALSE),0),0))&gt;=100,100,(Backdoors!AI12+IF(IM21&gt;=0.45,VLOOKUP(Calculator!E23,tbSkills!DH3:DI6,2,FALSE)+IF(AND(Calculator!B8=TRUE,Backdoors!BI38=TRUE),VLOOKUP(Calculator!E23,tbSkills!DH3:DJ6,3,FALSE),0),0)))/100)),1),1)</f>
        <v>0.5</v>
      </c>
      <c r="IS21" s="87">
        <f t="shared" si="42"/>
        <v>0</v>
      </c>
      <c r="IT21" s="86" t="str">
        <f>IFERROR(IF(VLOOKUP(A21,tbMoveset!A2:B112,2,FALSE)="Sever",Backdoors!AY39/100,IF(VLOOKUP(A21,tbMoveset!A2:B112,2,FALSE)="Blunt",Backdoors!AZ39/100,Backdoors!BA39/100)),"")</f>
        <v/>
      </c>
      <c r="IU21" s="49">
        <f>IFERROR(IF(VLOOKUP(tbMoveset!A21,tbMoveset!A2:H112,8,FALSE)="Other",IF(VLOOKUP(tbMoveset!A21,tbMoveset!A2:I112,9,FALSE)="Fire",Backdoors!BB39,IF(VLOOKUP(tbMoveset!A21,tbMoveset!A2:I112,9,FALSE)="Water",Backdoors!BC39,IF(VLOOKUP(tbMoveset!A21,tbMoveset!A2:I112,9,FALSE)="Thunder",Backdoors!BD39,IF(VLOOKUP(tbMoveset!A21,tbMoveset!A2:I112,9,FALSE)="Ice",Backdoors!BE39,IF(VLOOKUP(tbMoveset!A21,tbMoveset!A2:I112,9,FALSE)="Dragon",Backdoors!BF39,Backdoors!BG39)))))/100,Backdoors!BG39/100),"")</f>
        <v>0</v>
      </c>
      <c r="IV21" s="49">
        <f>IFERROR(IF(VLOOKUP(A21,tbMoveset!A2:J112,10,FALSE)=TRUE,IF((Backdoors!AI12+IF(IT21&gt;=0.45,VLOOKUP(Calculator!E23,tbSkills!DH3:DI6,2,FALSE)+IF(AND(Calculator!B8=TRUE,Backdoors!BI39=TRUE),VLOOKUP(Calculator!E23,tbSkills!DH3:DJ6,3,FALSE),0),0))&gt;=0,1+(Backdoors!AL2*(IF((Backdoors!AI12+IF(IT21&gt;=0.45,VLOOKUP(Calculator!E23,tbSkills!DH3:DI6,2,FALSE)+IF(AND(Calculator!B8=TRUE,Backdoors!BI39=TRUE),VLOOKUP(Calculator!E23,tbSkills!DH3:DJ6,3,FALSE),0),0))&gt;=100,100,(Backdoors!AI12+IF(IT21&gt;=0.45,VLOOKUP(Calculator!E23,tbSkills!DH3:DI6,2,FALSE)+IF(AND(Calculator!B8=TRUE,Backdoors!BI39=TRUE),VLOOKUP(Calculator!E23,tbSkills!DH3:DJ6,3,FALSE),0),0)))/100)),(1-(0.25*((-Backdoors!AI12-IF(IT21&gt;=0.45,VLOOKUP(Calculator!E23,tbSkills!DH3:DI6,2,FALSE)+IF(AND(Calculator!B8=TRUE,Backdoors!BI39=TRUE),VLOOKUP(Calculator!E23,tbSkills!DH3:DJ6,3,FALSE),0),0))/100)))),1),"")</f>
        <v>1</v>
      </c>
      <c r="IW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T21)*IV21)*(VLOOKUP(A21,tbMoveset!A2:C112,3,FALSE)/100)*IF(VLOOKUP(A21,tbMoveset!A2:B112,2,FALSE)="Projectile",Backdoors!N10,Backdoors!N9),0),"")</f>
        <v/>
      </c>
      <c r="IX21" s="49">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40&gt;0,VLOOKUP(Calculator!E40,tbSkills!AC3:AD5,2,FALSE),Backdoors!AL3)*(IF((Backdoors!AI12+IF(IT21&gt;=0.45,VLOOKUP(Calculator!E23,tbSkills!DH3:DI6,2,FALSE)+IF(AND(Calculator!B8=TRUE,Backdoors!BI39=TRUE),VLOOKUP(Calculator!E23,tbSkills!DH3:DJ6,3,FALSE),0),0))&gt;=100,100,(Backdoors!AI12+IF(IT21&gt;=0.45,VLOOKUP(Calculator!E23,tbSkills!DH3:DI6,2,FALSE)+IF(AND(Calculator!B8=TRUE,Backdoors!BI39=TRUE),VLOOKUP(Calculator!E23,tbSkills!DH3:DJ6,3,FALSE),0),0)))/100)),1))*IF(VLOOKUP(A21,tbMoveset!A2:K112,11,FALSE)=TRUE,Backdoors!AC5,1))*IU21,0),"")</f>
        <v>0</v>
      </c>
      <c r="IY21" s="49">
        <f>VLOOKUP(A21,tbMoveset!A2:G112,7,FALSE)*IFERROR(IF(Backdoors!AI12&gt;=0,1+(IF(Calculator!E40&gt;0,VLOOKUP(Calculator!E40,tbSkills!AI3:AJ5,2,FALSE),Backdoors!AL4)*(IF((Backdoors!AI12+IF(IT21&gt;=0.45,VLOOKUP(Calculator!E23,tbSkills!DH3:DI6,2,FALSE)+IF(AND(Calculator!B8=TRUE,Backdoors!BI39=TRUE),VLOOKUP(Calculator!E23,tbSkills!DH3:DJ6,3,FALSE),0),0))&gt;=100,100,(Backdoors!AI12+IF(IT21&gt;=0.45,VLOOKUP(Calculator!E23,tbSkills!DH3:DI6,2,FALSE)+IF(AND(Calculator!B8=TRUE,Backdoors!BI39=TRUE),VLOOKUP(Calculator!E23,tbSkills!DH3:DJ6,3,FALSE),0),0)))/100)),1),1)</f>
        <v>0.5</v>
      </c>
      <c r="IZ21" s="87">
        <f t="shared" si="28"/>
        <v>0</v>
      </c>
      <c r="JA21" s="86" t="str">
        <f>IFERROR(IF(VLOOKUP(A21,tbMoveset!A2:B112,2,FALSE)="Sever",Backdoors!AY40/100,IF(VLOOKUP(A21,tbMoveset!A2:B112,2,FALSE)="Blunt",Backdoors!AZ40/100,Backdoors!BA40/100)),"")</f>
        <v/>
      </c>
      <c r="JB21" s="49">
        <f>IFERROR(IF(VLOOKUP(tbMoveset!A21,tbMoveset!A2:H112,8,FALSE)="Other",IF(VLOOKUP(tbMoveset!A21,tbMoveset!A2:I112,9,FALSE)="Fire",Backdoors!BB40,IF(VLOOKUP(tbMoveset!A21,tbMoveset!A2:I112,9,FALSE)="Water",Backdoors!BC40,IF(VLOOKUP(tbMoveset!A21,tbMoveset!A2:I112,9,FALSE)="Thunder",Backdoors!BD40,IF(VLOOKUP(tbMoveset!A21,tbMoveset!A2:I112,9,FALSE)="Ice",Backdoors!BE40,IF(VLOOKUP(tbMoveset!A21,tbMoveset!A2:I112,9,FALSE)="Dragon",Backdoors!BF40,Backdoors!BG40)))))/100,Backdoors!BG40/100),"")</f>
        <v>0</v>
      </c>
      <c r="JC21" s="49">
        <f>IFERROR(IF(VLOOKUP(A21,tbMoveset!A2:J112,10,FALSE)=TRUE,IF((Backdoors!AI12+IF(JA21&gt;=0.45,VLOOKUP(Calculator!E23,tbSkills!DH3:DI6,2,FALSE)+IF(AND(Calculator!B8=TRUE,Backdoors!BI40=TRUE),VLOOKUP(Calculator!E23,tbSkills!DH3:DJ6,3,FALSE),0),0))&gt;=0,1+(Backdoors!AL2*(IF((Backdoors!AI12+IF(JA21&gt;=0.45,VLOOKUP(Calculator!E23,tbSkills!DH3:DI6,2,FALSE)+IF(AND(Calculator!B8=TRUE,Backdoors!BI40=TRUE),VLOOKUP(Calculator!E23,tbSkills!DH3:DJ6,3,FALSE),0),0))&gt;=100,100,(Backdoors!AI12+IF(JA21&gt;=0.45,VLOOKUP(Calculator!E23,tbSkills!DH3:DI6,2,FALSE)+IF(AND(Calculator!B8=TRUE,Backdoors!BI40=TRUE),VLOOKUP(Calculator!E23,tbSkills!DH3:DJ6,3,FALSE),0),0)))/100)),(1-(0.25*((-Backdoors!AI12-IF(JA21&gt;=0.45,VLOOKUP(Calculator!E23,tbSkills!DH3:DI6,2,FALSE)+IF(AND(Calculator!B8=TRUE,Backdoors!BI40=TRUE),VLOOKUP(Calculator!E23,tbSkills!DH3:DJ6,3,FALSE),0),0))/100)))),1),"")</f>
        <v>1</v>
      </c>
      <c r="JD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A21)*JC21)*(VLOOKUP(A21,tbMoveset!A2:C112,3,FALSE)/100)*IF(VLOOKUP(A21,tbMoveset!A2:B112,2,FALSE)="Projectile",Backdoors!N10,Backdoors!N9),0),"")</f>
        <v/>
      </c>
      <c r="JE21" s="49">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42&gt;0,VLOOKUP(Calculator!E42,tbSkills!AC3:AD5,2,FALSE),Backdoors!AL3)*(IF((Backdoors!AI12+IF(JA21&gt;=0.45,VLOOKUP(Calculator!E23,tbSkills!DH3:DI6,2,FALSE)+IF(AND(Calculator!B8=TRUE,Backdoors!BI40=TRUE),VLOOKUP(Calculator!E23,tbSkills!DH3:DJ6,3,FALSE),0),0))&gt;=100,100,(Backdoors!AI12+IF(JA21&gt;=0.45,VLOOKUP(Calculator!E23,tbSkills!DH3:DI6,2,FALSE)+IF(AND(Calculator!B8=TRUE,Backdoors!BI40=TRUE),VLOOKUP(Calculator!E23,tbSkills!DH3:DJ6,3,FALSE),0),0)))/100)),1))*IF(VLOOKUP(A21,tbMoveset!A2:K112,11,FALSE)=TRUE,Backdoors!AC5,1))*JB21,0),"")</f>
        <v>0</v>
      </c>
      <c r="JF21" s="49">
        <f>VLOOKUP(A21,tbMoveset!A2:G112,7,FALSE)*IFERROR(IF(Backdoors!AI12&gt;=0,1+(IF(Calculator!E40&gt;0,VLOOKUP(Calculator!E40,tbSkills!AI3:AJ5,2,FALSE),Backdoors!AL4)*(IF((Backdoors!AI12+IF(JA21&gt;=0.45,VLOOKUP(Calculator!E23,tbSkills!DH3:DI6,2,FALSE)+IF(AND(Calculator!B8=TRUE,Backdoors!BI40=TRUE),VLOOKUP(Calculator!E23,tbSkills!DH3:DJ6,3,FALSE),0),0))&gt;=100,100,(Backdoors!AI12+IF(JA21&gt;=0.45,VLOOKUP(Calculator!E23,tbSkills!DH3:DI6,2,FALSE)+IF(AND(Calculator!B8=TRUE,Backdoors!BI40=TRUE),VLOOKUP(Calculator!E23,tbSkills!DH3:DJ6,3,FALSE),0),0)))/100)),1),1)</f>
        <v>0.5</v>
      </c>
      <c r="JG21" s="87">
        <f t="shared" si="29"/>
        <v>0</v>
      </c>
      <c r="JH21" s="86" t="str">
        <f>IFERROR(IF(VLOOKUP(A21,tbMoveset!A2:B112,2,FALSE)="Sever",Backdoors!AY41/100,IF(VLOOKUP(A21,tbMoveset!A2:B112,2,FALSE)="Blunt",Backdoors!AZ41/100,Backdoors!BA41/100)),"")</f>
        <v/>
      </c>
      <c r="JI21" s="49">
        <f>IFERROR(IF(VLOOKUP(tbMoveset!A21,tbMoveset!A2:H112,8,FALSE)="Other",IF(VLOOKUP(tbMoveset!A21,tbMoveset!A2:I112,9,FALSE)="Fire",Backdoors!BB41,IF(VLOOKUP(tbMoveset!A21,tbMoveset!A2:I112,9,FALSE)="Water",Backdoors!BC41,IF(VLOOKUP(tbMoveset!A21,tbMoveset!A2:I112,9,FALSE)="Thunder",Backdoors!BD41,IF(VLOOKUP(tbMoveset!A21,tbMoveset!A2:I112,9,FALSE)="Ice",Backdoors!BE41,IF(VLOOKUP(tbMoveset!A21,tbMoveset!A2:I112,9,FALSE)="Dragon",Backdoors!BF41,Backdoors!BG41)))))/100,Backdoors!BG41/100),"")</f>
        <v>0</v>
      </c>
      <c r="JJ21" s="49">
        <f>IFERROR(IF(VLOOKUP(A21,tbMoveset!A2:J112,10,FALSE)=TRUE,IF((Backdoors!AI12+IF(JH21&gt;=0.45,VLOOKUP(Calculator!E23,tbSkills!DH3:DI6,2,FALSE)+IF(AND(Calculator!B8=TRUE,Backdoors!BI41=TRUE),VLOOKUP(Calculator!E23,tbSkills!DH3:DJ6,3,FALSE),0),0))&gt;=0,1+(Backdoors!AL2*(IF((Backdoors!AI12+IF(JH21&gt;=0.45,VLOOKUP(Calculator!E23,tbSkills!DH3:DI6,2,FALSE)+IF(AND(Calculator!B8=TRUE,Backdoors!BI41=TRUE),VLOOKUP(Calculator!E23,tbSkills!DH3:DJ6,3,FALSE),0),0))&gt;=100,100,(Backdoors!AI12+IF(JH21&gt;=0.45,VLOOKUP(Calculator!E23,tbSkills!DH3:DI6,2,FALSE)+IF(AND(Calculator!B8=TRUE,Backdoors!BI41=TRUE),VLOOKUP(Calculator!E23,tbSkills!DH3:DJ6,3,FALSE),0),0)))/100)),(1-(0.25*((-Backdoors!AI12-IF(JH21&gt;=0.45,VLOOKUP(Calculator!E23,tbSkills!DH3:DI6,2,FALSE)+IF(AND(Calculator!B8=TRUE,Backdoors!BI41=TRUE),VLOOKUP(Calculator!E23,tbSkills!DH3:DJ6,3,FALSE),0),0))/100)))),1),"")</f>
        <v>1</v>
      </c>
      <c r="JK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H21)*JJ21)*(VLOOKUP(A21,tbMoveset!A2:C112,3,FALSE)/100)*IF(VLOOKUP(A21,tbMoveset!A2:B112,2,FALSE)="Projectile",Backdoors!N10,Backdoors!N9),0),"")</f>
        <v/>
      </c>
      <c r="JL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43&gt;0,VLOOKUP(Calculator!E43,tbSkills!AC3:AD5,2,FALSE),Backdoors!AL3)*(IF((Backdoors!AI12+IF(JH21&gt;=0.45,VLOOKUP(Calculator!E23,tbSkills!DH3:DI6,2,FALSE)+IF(AND(Calculator!B8=TRUE,Backdoors!BI41=TRUE),VLOOKUP(Calculator!E23,tbSkills!DH3:DJ6,3,FALSE),0),0))&gt;=100,100,(Backdoors!AI12+IF(JH21&gt;=0.45,VLOOKUP(Calculator!E23,tbSkills!DH3:DI6,2,FALSE)+IF(AND(Calculator!B8=TRUE,Backdoors!BI41=TRUE),VLOOKUP(Calculator!E23,tbSkills!DH3:DJ6,3,FALSE),0),0)))/100)),1))*IF(VLOOKUP(A21,tbMoveset!A2:K112,11,FALSE)=TRUE,Backdoors!AC5,1))*JI21,0),"")</f>
        <v/>
      </c>
      <c r="JM21" s="49">
        <f>VLOOKUP(A21,tbMoveset!A2:G112,7,FALSE)*IFERROR(IF(Backdoors!AI12&gt;=0,1+(IF(Calculator!E40&gt;0,VLOOKUP(Calculator!E40,tbSkills!AI3:AJ5,2,FALSE),Backdoors!AL4)*(IF((Backdoors!AI12+IF(JH21&gt;=0.45,VLOOKUP(Calculator!E23,tbSkills!DH3:DI6,2,FALSE)+IF(AND(Calculator!B8=TRUE,Backdoors!BI41=TRUE),VLOOKUP(Calculator!E23,tbSkills!DH3:DJ6,3,FALSE),0),0))&gt;=100,100,(Backdoors!AI12+IF(JH21&gt;=0.45,VLOOKUP(Calculator!E23,tbSkills!DH3:DI6,2,FALSE)+IF(AND(Calculator!B8=TRUE,Backdoors!BI41=TRUE),VLOOKUP(Calculator!E23,tbSkills!DH3:DJ6,3,FALSE),0),0)))/100)),1),1)</f>
        <v>0.5</v>
      </c>
      <c r="JN21" s="87">
        <f t="shared" si="30"/>
        <v>0</v>
      </c>
      <c r="JO21" s="86" t="str">
        <f>IFERROR(IF(VLOOKUP(A21,tbMoveset!A2:B112,2,FALSE)="Sever",Backdoors!AY42/100,IF(VLOOKUP(A21,tbMoveset!A2:B112,2,FALSE)="Blunt",Backdoors!AZ42/100,Backdoors!BA42/100)),"")</f>
        <v/>
      </c>
      <c r="JP21" s="49">
        <f>IFERROR(IF(VLOOKUP(tbMoveset!A21,tbMoveset!A2:H112,8,FALSE)="Other",IF(VLOOKUP(tbMoveset!A21,tbMoveset!A2:I112,9,FALSE)="Fire",Backdoors!BB42,IF(VLOOKUP(tbMoveset!A21,tbMoveset!A2:I112,9,FALSE)="Water",Backdoors!BC42,IF(VLOOKUP(tbMoveset!A21,tbMoveset!A2:I112,9,FALSE)="Thunder",Backdoors!BD42,IF(VLOOKUP(tbMoveset!A21,tbMoveset!A2:I112,9,FALSE)="Ice",Backdoors!BE42,IF(VLOOKUP(tbMoveset!A21,tbMoveset!A2:I112,9,FALSE)="Dragon",Backdoors!BF42,Backdoors!BG42)))))/100,Backdoors!BG42/100),"")</f>
        <v>0</v>
      </c>
      <c r="JQ21" s="49">
        <f>IFERROR(IF(VLOOKUP(A21,tbMoveset!A2:J112,10,FALSE)=TRUE,IF((Backdoors!AI12+IF(JO21&gt;=0.45,VLOOKUP(Calculator!E23,tbSkills!DH3:DI6,2,FALSE)+IF(AND(Calculator!B8=TRUE,Backdoors!BI42=TRUE),VLOOKUP(Calculator!E23,tbSkills!DH3:DJ6,3,FALSE),0),0))&gt;=0,1+(Backdoors!AL2*(IF((Backdoors!AI12+IF(JO21&gt;=0.45,VLOOKUP(Calculator!E23,tbSkills!DH3:DI6,2,FALSE)+IF(AND(Calculator!B8=TRUE,Backdoors!BI42=TRUE),VLOOKUP(Calculator!E23,tbSkills!DH3:DJ6,3,FALSE),0),0))&gt;=100,100,(Backdoors!AI12+IF(JO21&gt;=0.45,VLOOKUP(Calculator!E23,tbSkills!DH3:DI6,2,FALSE)+IF(AND(Calculator!B8=TRUE,Backdoors!BI42=TRUE),VLOOKUP(Calculator!E23,tbSkills!DH3:DJ6,3,FALSE),0),0)))/100)),(1-(0.25*((-Backdoors!AI12-IF(JO21&gt;=0.45,VLOOKUP(Calculator!E23,tbSkills!DH3:DI6,2,FALSE)+IF(AND(Calculator!B8=TRUE,Backdoors!BI42=TRUE),VLOOKUP(Calculator!E23,tbSkills!DH3:DJ6,3,FALSE),0),0))/100)))),1),"")</f>
        <v>1</v>
      </c>
      <c r="JR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O21)*JQ21)*(VLOOKUP(A21,tbMoveset!A2:C112,3,FALSE)/100)*IF(VLOOKUP(A21,tbMoveset!A2:B112,2,FALSE)="Projectile",Backdoors!N10,Backdoors!N9),0),"")</f>
        <v/>
      </c>
      <c r="JS21" s="49">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45&gt;0,VLOOKUP(Calculator!E45,tbSkills!AC3:AD5,2,FALSE),Backdoors!AL3)*(IF((Backdoors!AI12+IF(JO21&gt;=0.45,VLOOKUP(Calculator!E23,tbSkills!DH3:DI6,2,FALSE)+IF(AND(Calculator!B8=TRUE,Backdoors!BI42=TRUE),VLOOKUP(Calculator!E23,tbSkills!DH3:DJ6,3,FALSE),0),0))&gt;=100,100,(Backdoors!AI12+IF(JO21&gt;=0.45,VLOOKUP(Calculator!E23,tbSkills!DH3:DI6,2,FALSE)+IF(AND(Calculator!B8=TRUE,Backdoors!BI42=TRUE),VLOOKUP(Calculator!E23,tbSkills!DH3:DJ6,3,FALSE),0),0)))/100)),1))*IF(VLOOKUP(A21,tbMoveset!A2:K112,11,FALSE)=TRUE,Backdoors!AC5,1))*JP21,0),"")</f>
        <v>0</v>
      </c>
      <c r="JT21" s="49">
        <f>VLOOKUP(A21,tbMoveset!A2:G112,7,FALSE)*IFERROR(IF(Backdoors!AI12&gt;=0,1+(IF(Calculator!E40&gt;0,VLOOKUP(Calculator!E40,tbSkills!AI3:AJ5,2,FALSE),Backdoors!AL4)*(IF((Backdoors!AI12+IF(JO21&gt;=0.45,VLOOKUP(Calculator!E23,tbSkills!DH3:DI6,2,FALSE)+IF(AND(Calculator!B8=TRUE,Backdoors!BI42=TRUE),VLOOKUP(Calculator!E23,tbSkills!DH3:DJ6,3,FALSE),0),0))&gt;=100,100,(Backdoors!AI12+IF(JO21&gt;=0.45,VLOOKUP(Calculator!E23,tbSkills!DH3:DI6,2,FALSE)+IF(AND(Calculator!B8=TRUE,Backdoors!BI42=TRUE),VLOOKUP(Calculator!E23,tbSkills!DH3:DJ6,3,FALSE),0),0)))/100)),1),1)</f>
        <v>0.5</v>
      </c>
      <c r="JU21" s="87">
        <f t="shared" si="31"/>
        <v>0</v>
      </c>
      <c r="JV21" s="86" t="str">
        <f>IFERROR(IF(VLOOKUP(A21,tbMoveset!A2:B112,2,FALSE)="Sever",Backdoors!AY43/100,IF(VLOOKUP(A21,tbMoveset!A2:B112,2,FALSE)="Blunt",Backdoors!AZ43/100,Backdoors!BA43/100)),"")</f>
        <v/>
      </c>
      <c r="JW21" s="49">
        <f>IFERROR(IF(VLOOKUP(tbMoveset!A21,tbMoveset!A2:H112,8,FALSE)="Other",IF(VLOOKUP(tbMoveset!A21,tbMoveset!A2:I112,9,FALSE)="Fire",Backdoors!BB43,IF(VLOOKUP(tbMoveset!A21,tbMoveset!A2:I112,9,FALSE)="Water",Backdoors!BC43,IF(VLOOKUP(tbMoveset!A21,tbMoveset!A2:I112,9,FALSE)="Thunder",Backdoors!BD43,IF(VLOOKUP(tbMoveset!A21,tbMoveset!A2:I112,9,FALSE)="Ice",Backdoors!BE43,IF(VLOOKUP(tbMoveset!A21,tbMoveset!A2:I112,9,FALSE)="Dragon",Backdoors!BF43,Backdoors!BG43)))))/100,Backdoors!BG43/100),"")</f>
        <v>0</v>
      </c>
      <c r="JX21" s="49">
        <f>IFERROR(IF(VLOOKUP(A21,tbMoveset!A2:J112,10,FALSE)=TRUE,IF((Backdoors!AI12+IF(JV21&gt;=0.45,VLOOKUP(Calculator!E23,tbSkills!DH3:DI6,2,FALSE)+IF(AND(Calculator!B8=TRUE,Backdoors!BI43=TRUE),VLOOKUP(Calculator!E23,tbSkills!DH3:DJ6,3,FALSE),0),0))&gt;=0,1+(Backdoors!AL2*(IF((Backdoors!AI12+IF(JV21&gt;=0.45,VLOOKUP(Calculator!E23,tbSkills!DH3:DI6,2,FALSE)+IF(AND(Calculator!B8=TRUE,Backdoors!BI43=TRUE),VLOOKUP(Calculator!E23,tbSkills!DH3:DJ6,3,FALSE),0),0))&gt;=100,100,(Backdoors!AI12+IF(JV21&gt;=0.45,VLOOKUP(Calculator!E23,tbSkills!DH3:DI6,2,FALSE)+IF(AND(Calculator!B8=TRUE,Backdoors!BI43=TRUE),VLOOKUP(Calculator!E23,tbSkills!DH3:DJ6,3,FALSE),0),0)))/100)),(1-(0.25*((-Backdoors!AI12-IF(JV21&gt;=0.45,VLOOKUP(Calculator!E23,tbSkills!DH3:DI6,2,FALSE)+IF(AND(Calculator!B8=TRUE,Backdoors!BI43=TRUE),VLOOKUP(Calculator!E23,tbSkills!DH3:DJ6,3,FALSE),0),0))/100)))),1),"")</f>
        <v>1</v>
      </c>
      <c r="JY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V21)*JX21)*(VLOOKUP(A21,tbMoveset!A2:C112,3,FALSE)/100)*IF(VLOOKUP(A21,tbMoveset!A2:B112,2,FALSE)="Projectile",Backdoors!N10,Backdoors!N9),0),"")</f>
        <v/>
      </c>
      <c r="JZ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46&gt;0,VLOOKUP(Calculator!E46,tbSkills!AC3:AD5,2,FALSE),Backdoors!AL3)*(IF((Backdoors!AI12+IF(JV21&gt;=0.45,VLOOKUP(Calculator!E23,tbSkills!DH3:DI6,2,FALSE)+IF(AND(Calculator!B8=TRUE,Backdoors!BI43=TRUE),VLOOKUP(Calculator!E23,tbSkills!DH3:DJ6,3,FALSE),0),0))&gt;=100,100,(Backdoors!AI12+IF(JV21&gt;=0.45,VLOOKUP(Calculator!E23,tbSkills!DH3:DI6,2,FALSE)+IF(AND(Calculator!B8=TRUE,Backdoors!BI43=TRUE),VLOOKUP(Calculator!E23,tbSkills!DH3:DJ6,3,FALSE),0),0)))/100)),1))*IF(VLOOKUP(A21,tbMoveset!A2:K112,11,FALSE)=TRUE,Backdoors!AC5,1))*JW21,0),"")</f>
        <v/>
      </c>
      <c r="KA21" s="49">
        <f>VLOOKUP(A21,tbMoveset!A2:G112,7,FALSE)*IFERROR(IF(Backdoors!AI12&gt;=0,1+(IF(Calculator!E40&gt;0,VLOOKUP(Calculator!E40,tbSkills!AI3:AJ5,2,FALSE),Backdoors!AL4)*(IF((Backdoors!AI12+IF(JV21&gt;=0.45,VLOOKUP(Calculator!E23,tbSkills!DH3:DI6,2,FALSE)+IF(AND(Calculator!B8=TRUE,Backdoors!BI43=TRUE),VLOOKUP(Calculator!E23,tbSkills!DH3:DJ6,3,FALSE),0),0))&gt;=100,100,(Backdoors!AI12+IF(JV21&gt;=0.45,VLOOKUP(Calculator!E23,tbSkills!DH3:DI6,2,FALSE)+IF(AND(Calculator!B8=TRUE,Backdoors!BI43=TRUE),VLOOKUP(Calculator!E23,tbSkills!DH3:DJ6,3,FALSE),0),0)))/100)),1),1)</f>
        <v>0.5</v>
      </c>
      <c r="KB21" s="87">
        <f t="shared" si="32"/>
        <v>0</v>
      </c>
      <c r="KC21" s="86" t="str">
        <f>IFERROR(IF(VLOOKUP(A21,tbMoveset!A2:B112,2,FALSE)="Sever",Backdoors!AY44/100,IF(VLOOKUP(A21,tbMoveset!A2:B112,2,FALSE)="Blunt",Backdoors!AZ44/100,Backdoors!BA44/100)),"")</f>
        <v/>
      </c>
      <c r="KD21" s="49">
        <f>IFERROR(IF(VLOOKUP(tbMoveset!A21,tbMoveset!A2:H112,8,FALSE)="Other",IF(VLOOKUP(tbMoveset!A21,tbMoveset!A2:I112,9,FALSE)="Fire",Backdoors!BB44,IF(VLOOKUP(tbMoveset!A21,tbMoveset!A2:I112,9,FALSE)="Water",Backdoors!BC44,IF(VLOOKUP(tbMoveset!A21,tbMoveset!A2:I112,9,FALSE)="Thunder",Backdoors!BD44,IF(VLOOKUP(tbMoveset!A21,tbMoveset!A2:I112,9,FALSE)="Ice",Backdoors!BE44,IF(VLOOKUP(tbMoveset!A21,tbMoveset!A2:I112,9,FALSE)="Dragon",Backdoors!BF44,Backdoors!BG44)))))/100,Backdoors!BG44/100),"")</f>
        <v>0</v>
      </c>
      <c r="KE21" s="49">
        <f>IFERROR(IF(VLOOKUP(A21,tbMoveset!A2:J112,10,FALSE)=TRUE,IF((Backdoors!AI12+IF(KC21&gt;=0.45,VLOOKUP(Calculator!E23,tbSkills!DH3:DI6,2,FALSE)+IF(AND(Calculator!B8=TRUE,Backdoors!BI44=TRUE),VLOOKUP(Calculator!E23,tbSkills!DH3:DJ6,3,FALSE),0),0))&gt;=0,1+(Backdoors!AL2*(IF((Backdoors!AI12+IF(KC21&gt;=0.45,VLOOKUP(Calculator!E23,tbSkills!DH3:DI6,2,FALSE)+IF(AND(Calculator!B8=TRUE,Backdoors!BI44=TRUE),VLOOKUP(Calculator!E23,tbSkills!DH3:DJ6,3,FALSE),0),0))&gt;=100,100,(Backdoors!AI12+IF(KC21&gt;=0.45,VLOOKUP(Calculator!E23,tbSkills!DH3:DI6,2,FALSE)+IF(AND(Calculator!B8=TRUE,Backdoors!BI44=TRUE),VLOOKUP(Calculator!E23,tbSkills!DH3:DJ6,3,FALSE),0),0)))/100)),(1-(0.25*((-Backdoors!AI12-IF(KC21&gt;=0.45,VLOOKUP(Calculator!E23,tbSkills!DH3:DI6,2,FALSE)+IF(AND(Calculator!B8=TRUE,Backdoors!BI44=TRUE),VLOOKUP(Calculator!E23,tbSkills!DH3:DJ6,3,FALSE),0),0))/100)))),1),"")</f>
        <v>1</v>
      </c>
      <c r="KF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KC21)*KE21)*(VLOOKUP(A21,tbMoveset!A2:C112,3,FALSE)/100)*IF(VLOOKUP(A21,tbMoveset!A2:B112,2,FALSE)="Projectile",Backdoors!N10,Backdoors!N9),0),"")</f>
        <v/>
      </c>
      <c r="KG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REF!&gt;0,VLOOKUP(Calculator!#REF!,tbSkills!AC3:AD5,2,FALSE),Backdoors!AL3)*(IF((Backdoors!AI12+IF(KC21&gt;=0.45,VLOOKUP(Calculator!E23,tbSkills!DH3:DI6,2,FALSE)+IF(AND(Calculator!B8=TRUE,Backdoors!BI44=TRUE),VLOOKUP(Calculator!E23,tbSkills!DH3:DJ6,3,FALSE),0),0))&gt;=100,100,(Backdoors!AI12+IF(KC21&gt;=0.45,VLOOKUP(Calculator!E23,tbSkills!DH3:DI6,2,FALSE)+IF(AND(Calculator!B8=TRUE,Backdoors!BI44=TRUE),VLOOKUP(Calculator!E23,tbSkills!DH3:DJ6,3,FALSE),0),0)))/100)),1))*IF(VLOOKUP(A21,tbMoveset!A2:K112,11,FALSE)=TRUE,Backdoors!AC5,1))*KD21,0),"")</f>
        <v/>
      </c>
      <c r="KH21" s="49">
        <f>VLOOKUP(A21,tbMoveset!A2:G112,7,FALSE)*IFERROR(IF(Backdoors!AI12&gt;=0,1+(IF(Calculator!E40&gt;0,VLOOKUP(Calculator!E40,tbSkills!AI3:AJ5,2,FALSE),Backdoors!AL4)*(IF((Backdoors!AI12+IF(KC21&gt;=0.45,VLOOKUP(Calculator!E23,tbSkills!DH3:DI6,2,FALSE)+IF(AND(Calculator!B8=TRUE,Backdoors!BI44=TRUE),VLOOKUP(Calculator!E23,tbSkills!DH3:DJ6,3,FALSE),0),0))&gt;=100,100,(Backdoors!AI12+IF(KC21&gt;=0.45,VLOOKUP(Calculator!E23,tbSkills!DH3:DI6,2,FALSE)+IF(AND(Calculator!B8=TRUE,Backdoors!BI44=TRUE),VLOOKUP(Calculator!E23,tbSkills!DH3:DJ6,3,FALSE),0),0)))/100)),1),1)</f>
        <v>0.5</v>
      </c>
      <c r="KI21" s="87">
        <f t="shared" si="33"/>
        <v>0</v>
      </c>
      <c r="KJ21" s="86" t="str">
        <f>IFERROR(IF(VLOOKUP(A21,tbMoveset!A2:B112,2,FALSE)="Sever",Backdoors!AY45/100,IF(VLOOKUP(A21,tbMoveset!A2:B112,2,FALSE)="Blunt",Backdoors!AZ45/100,Backdoors!BA45/100)),"")</f>
        <v/>
      </c>
      <c r="KK21" s="49">
        <f>IFERROR(IF(VLOOKUP(tbMoveset!A21,tbMoveset!A2:H112,8,FALSE)="Other",IF(VLOOKUP(tbMoveset!A21,tbMoveset!A2:I112,9,FALSE)="Fire",Backdoors!BB45,IF(VLOOKUP(tbMoveset!A21,tbMoveset!A2:I112,9,FALSE)="Water",Backdoors!BC45,IF(VLOOKUP(tbMoveset!A21,tbMoveset!A2:I112,9,FALSE)="Thunder",Backdoors!BD45,IF(VLOOKUP(tbMoveset!A21,tbMoveset!A2:I112,9,FALSE)="Ice",Backdoors!BE45,IF(VLOOKUP(tbMoveset!A21,tbMoveset!A2:I112,9,FALSE)="Dragon",Backdoors!BF45,Backdoors!BG45)))))/100,Backdoors!BG45/100),"")</f>
        <v>0</v>
      </c>
      <c r="KL21" s="49">
        <f>IFERROR(IF(VLOOKUP(A21,tbMoveset!A2:J112,10,FALSE)=TRUE,IF((Backdoors!AI12+IF(KJ21&gt;=0.45,VLOOKUP(Calculator!E23,tbSkills!DH3:DI6,2,FALSE)+IF(AND(Calculator!B8=TRUE,Backdoors!BI45=TRUE),VLOOKUP(Calculator!E23,tbSkills!DH3:DJ6,3,FALSE),0),0))&gt;=0,1+(Backdoors!AL2*(IF((Backdoors!AI12+IF(KJ21&gt;=0.45,VLOOKUP(Calculator!E23,tbSkills!DH3:DI6,2,FALSE)+IF(AND(Calculator!B8=TRUE,Backdoors!BI45=TRUE),VLOOKUP(Calculator!E23,tbSkills!DH3:DJ6,3,FALSE),0),0))&gt;=100,100,(Backdoors!AI12+IF(KJ21&gt;=0.45,VLOOKUP(Calculator!E23,tbSkills!DH3:DI6,2,FALSE)+IF(AND(Calculator!B8=TRUE,Backdoors!BI45=TRUE),VLOOKUP(Calculator!E23,tbSkills!DH3:DJ6,3,FALSE),0),0)))/100)),(1-(0.25*((-Backdoors!AI12-IF(KJ21&gt;=0.45,VLOOKUP(Calculator!E23,tbSkills!DH3:DI6,2,FALSE)+IF(AND(Calculator!B8=TRUE,Backdoors!BI45=TRUE),VLOOKUP(Calculator!E23,tbSkills!DH3:DJ6,3,FALSE),0),0))/100)))),1),"")</f>
        <v>1</v>
      </c>
      <c r="KM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KJ21)*KL21)*(VLOOKUP(A21,tbMoveset!A2:C112,3,FALSE)/100)*IF(VLOOKUP(A21,tbMoveset!A2:B112,2,FALSE)="Projectile",Backdoors!N10,Backdoors!N9),0),"")</f>
        <v/>
      </c>
      <c r="KN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REF!&gt;0,VLOOKUP(Calculator!#REF!,tbSkills!AC3:AD5,2,FALSE),Backdoors!AL3)*(IF((Backdoors!AI12+IF(KJ21&gt;=0.45,VLOOKUP(Calculator!E23,tbSkills!DH3:DI6,2,FALSE)+IF(AND(Calculator!B8=TRUE,Backdoors!BI45=TRUE),VLOOKUP(Calculator!E23,tbSkills!DH3:DJ6,3,FALSE),0),0))&gt;=100,100,(Backdoors!AI12+IF(KJ21&gt;=0.45,VLOOKUP(Calculator!E23,tbSkills!DH3:DI6,2,FALSE)+IF(AND(Calculator!B8=TRUE,Backdoors!BI45=TRUE),VLOOKUP(Calculator!E23,tbSkills!DH3:DJ6,3,FALSE),0),0)))/100)),1))*IF(VLOOKUP(A21,tbMoveset!A2:K112,11,FALSE)=TRUE,Backdoors!AC5,1))*KK21,0),"")</f>
        <v/>
      </c>
      <c r="KO21" s="49">
        <f>VLOOKUP(A21,tbMoveset!A2:G112,7,FALSE)*IFERROR(IF(Backdoors!AI12&gt;=0,1+(IF(Calculator!E40&gt;0,VLOOKUP(Calculator!E40,tbSkills!AI3:AJ5,2,FALSE),Backdoors!AL4)*(IF((Backdoors!AI12+IF(KJ21&gt;=0.45,VLOOKUP(Calculator!E23,tbSkills!DH3:DI6,2,FALSE)+IF(AND(Calculator!B8=TRUE,Backdoors!BI45=TRUE),VLOOKUP(Calculator!E23,tbSkills!DH3:DJ6,3,FALSE),0),0))&gt;=100,100,(Backdoors!AI12+IF(KJ21&gt;=0.45,VLOOKUP(Calculator!E23,tbSkills!DH3:DI6,2,FALSE)+IF(AND(Calculator!B8=TRUE,Backdoors!BI45=TRUE),VLOOKUP(Calculator!E23,tbSkills!DH3:DJ6,3,FALSE),0),0)))/100)),1),1)</f>
        <v>0.5</v>
      </c>
      <c r="KP21" s="87">
        <f t="shared" si="34"/>
        <v>0</v>
      </c>
      <c r="KQ21" s="86" t="str">
        <f>IFERROR(IF(VLOOKUP(A21,tbMoveset!A2:B112,2,FALSE)="Sever",Backdoors!AY46/100,IF(VLOOKUP(A21,tbMoveset!A2:B112,2,FALSE)="Blunt",Backdoors!AZ46/100,Backdoors!BA46/100)),"")</f>
        <v/>
      </c>
      <c r="KR21" s="49">
        <f>IFERROR(IF(VLOOKUP(tbMoveset!A21,tbMoveset!A2:H112,8,FALSE)="Other",IF(VLOOKUP(tbMoveset!A21,tbMoveset!A2:I112,9,FALSE)="Fire",Backdoors!BB46,IF(VLOOKUP(tbMoveset!A21,tbMoveset!A2:I112,9,FALSE)="Water",Backdoors!BC46,IF(VLOOKUP(tbMoveset!A21,tbMoveset!A2:I112,9,FALSE)="Thunder",Backdoors!BD46,IF(VLOOKUP(tbMoveset!A21,tbMoveset!A2:I112,9,FALSE)="Ice",Backdoors!BE46,IF(VLOOKUP(tbMoveset!A21,tbMoveset!A2:I112,9,FALSE)="Dragon",Backdoors!BF46,Backdoors!BG46)))))/100,Backdoors!BG46/100),"")</f>
        <v>0</v>
      </c>
      <c r="KS21" s="49">
        <f>IFERROR(IF(VLOOKUP(A21,tbMoveset!A2:J112,10,FALSE)=TRUE,IF((Backdoors!AI12+IF(KQ21&gt;=0.45,VLOOKUP(Calculator!E23,tbSkills!DH3:DI6,2,FALSE)+IF(AND(Calculator!B8=TRUE,Backdoors!BI46=TRUE),VLOOKUP(Calculator!E23,tbSkills!DH3:DJ6,3,FALSE),0),0))&gt;=0,1+(Backdoors!AL2*(IF((Backdoors!AI12+IF(KQ21&gt;=0.45,VLOOKUP(Calculator!E23,tbSkills!DH3:DI6,2,FALSE)+IF(AND(Calculator!B8=TRUE,Backdoors!BI46=TRUE),VLOOKUP(Calculator!E23,tbSkills!DH3:DJ6,3,FALSE),0),0))&gt;=100,100,(Backdoors!AI12+IF(KQ21&gt;=0.45,VLOOKUP(Calculator!E23,tbSkills!DH3:DI6,2,FALSE)+IF(AND(Calculator!B8=TRUE,Backdoors!BI46=TRUE),VLOOKUP(Calculator!E23,tbSkills!DH3:DJ6,3,FALSE),0),0)))/100)),(1-(0.25*((-Backdoors!AI12-IF(KQ21&gt;=0.45,VLOOKUP(Calculator!E23,tbSkills!DH3:DI6,2,FALSE)+IF(AND(Calculator!B8=TRUE,Backdoors!BI46=TRUE),VLOOKUP(Calculator!E23,tbSkills!DH3:DJ6,3,FALSE),0),0))/100)))),1),"")</f>
        <v>1</v>
      </c>
      <c r="KT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KQ21)*KS21)*(VLOOKUP(A21,tbMoveset!A2:C112,3,FALSE)/100)*IF(VLOOKUP(A21,tbMoveset!A2:B112,2,FALSE)="Projectile",Backdoors!N10,Backdoors!N9),0),"")</f>
        <v/>
      </c>
      <c r="KU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REF!&gt;0,VLOOKUP(Calculator!#REF!,tbSkills!AC3:AD5,2,FALSE),Backdoors!AL3)*(IF((Backdoors!AI12+IF(KQ21&gt;=0.45,VLOOKUP(Calculator!E23,tbSkills!DH3:DI6,2,FALSE)+IF(AND(Calculator!B8=TRUE,Backdoors!BI46=TRUE),VLOOKUP(Calculator!E23,tbSkills!DH3:DJ6,3,FALSE),0),0))&gt;=100,100,(Backdoors!AI12+IF(KQ21&gt;=0.45,VLOOKUP(Calculator!E23,tbSkills!DH3:DI6,2,FALSE)+IF(AND(Calculator!B8=TRUE,Backdoors!BI46=TRUE),VLOOKUP(Calculator!E23,tbSkills!DH3:DJ6,3,FALSE),0),0)))/100)),1))*IF(VLOOKUP(A21,tbMoveset!A2:K112,11,FALSE)=TRUE,Backdoors!AC5,1))*KR21,0),"")</f>
        <v/>
      </c>
      <c r="KV21" s="49">
        <f>VLOOKUP(A21,tbMoveset!A2:G112,7,FALSE)*IFERROR(IF(Backdoors!AI12&gt;=0,1+(IF(Calculator!E40&gt;0,VLOOKUP(Calculator!E40,tbSkills!AI3:AJ5,2,FALSE),Backdoors!AL4)*(IF((Backdoors!AI12+IF(KQ21&gt;=0.45,VLOOKUP(Calculator!E23,tbSkills!DH3:DI6,2,FALSE)+IF(AND(Calculator!B8=TRUE,Backdoors!BI46=TRUE),VLOOKUP(Calculator!E23,tbSkills!DH3:DJ6,3,FALSE),0),0))&gt;=100,100,(Backdoors!AI12+IF(KQ21&gt;=0.45,VLOOKUP(Calculator!E23,tbSkills!DH3:DI6,2,FALSE)+IF(AND(Calculator!B8=TRUE,Backdoors!BI46=TRUE),VLOOKUP(Calculator!E23,tbSkills!DH3:DJ6,3,FALSE),0),0)))/100)),1),1)</f>
        <v>0.5</v>
      </c>
      <c r="KW21" s="87">
        <f t="shared" si="35"/>
        <v>0</v>
      </c>
    </row>
    <row r="22" spans="1:309" x14ac:dyDescent="0.25">
      <c r="A22" s="95" t="str">
        <f>tbMoveset!A22</f>
        <v>Right Roundslash (R2)</v>
      </c>
      <c r="B22" s="86">
        <f>IFERROR(IF(VLOOKUP(A22,tbMoveset!A2:B112,2,FALSE)="Sever",Backdoors!AY3/100,IF(VLOOKUP(A22,tbMoveset!A2:B112,2,FALSE)="Blunt",Backdoors!AZ3/100,Backdoors!BA3/100)),"")</f>
        <v>0.8</v>
      </c>
      <c r="C22" s="49">
        <f>IFERROR(IF(VLOOKUP(tbMoveset!A22,tbMoveset!A2:H112,8,FALSE)="Other",IF(VLOOKUP(tbMoveset!A22,tbMoveset!A2:I112,9,FALSE)="Fire",Backdoors!BB3,IF(VLOOKUP(tbMoveset!A22,tbMoveset!A2:I112,9,FALSE)="Water",Backdoors!BC3,IF(VLOOKUP(tbMoveset!A22,tbMoveset!A2:I112,9,FALSE)="Thunder",Backdoors!BD3,IF(VLOOKUP(tbMoveset!A22,tbMoveset!A2:I112,9,FALSE)="Ice",Backdoors!BE3,IF(VLOOKUP(tbMoveset!A22,tbMoveset!A2:I112,9,FALSE)="Dragon",Backdoors!BF3,Backdoors!BG3)))))/100,Backdoors!BG3/100),"")</f>
        <v>0</v>
      </c>
      <c r="D22" s="49">
        <f>IFERROR(IF(VLOOKUP(A22,tbMoveset!A2:J112,10,FALSE)=TRUE,IF((Backdoors!AI12+IF(B22&gt;=0.45,VLOOKUP(Calculator!E23,tbSkills!DH3:DI6,2,FALSE)+IF(AND(Calculator!B8=TRUE,Backdoors!BI3=TRUE),VLOOKUP(Calculator!E23,tbSkills!DH3:DJ6,3,FALSE),0),0))&gt;=0,1+(Backdoors!AL2*(IF((Backdoors!AI12+IF(B22&gt;=0.45,VLOOKUP(Calculator!E23,tbSkills!DH3:DI6,2,FALSE)+IF(AND(Calculator!B8=TRUE,Backdoors!BI3=TRUE),VLOOKUP(Calculator!E23,tbSkills!DH3:DJ6,3,FALSE),0),0))&gt;=100,100,(Backdoors!AI12+IF(B22&gt;=0.45,VLOOKUP(Calculator!E23,tbSkills!DH3:DI6,2,FALSE)+IF(AND(Calculator!B8=TRUE,Backdoors!BI3=TRUE),VLOOKUP(Calculator!E23,tbSkills!DH3:DJ6,3,FALSE),0),0)))/100)),(1-(0.25*((-Backdoors!AI12-IF(B22&gt;=0.45,VLOOKUP(Calculator!E23,tbSkills!DH3:DI6,2,FALSE)+IF(AND(Calculator!B8=TRUE,Backdoors!BI3=TRUE),VLOOKUP(Calculator!E23,tbSkills!DH3:DJ6,3,FALSE),0),0))/100)))),1),"")</f>
        <v>1</v>
      </c>
      <c r="E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22)*D22)*(VLOOKUP(A22,tbMoveset!A2:C112,3,FALSE)/100)*IF(VLOOKUP(A22,tbMoveset!A2:B112,2,FALSE)="Projectile",Backdoors!N10,Backdoors!N9),0),"")</f>
        <v>3</v>
      </c>
      <c r="F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22&gt;=0.45,VLOOKUP(Calculator!E23,tbSkills!DH3:DI6,2,FALSE)+IF(AND(Calculator!B8=TRUE,Backdoors!BI3=TRUE),VLOOKUP(Calculator!E23,tbSkills!DH3:DJ6,3,FALSE),0),0))&gt;=100,100,(Backdoors!AI12+IF(B22&gt;=0.45,VLOOKUP(Calculator!E23,tbSkills!DH3:DI6,2,FALSE)+IF(AND(Calculator!B8=TRUE,Backdoors!BI3=TRUE),VLOOKUP(Calculator!E23,tbSkills!DH3:DJ6,3,FALSE),0),0)))/100)),1))*IF(VLOOKUP(A22,tbMoveset!A2:K112,11,FALSE)=TRUE,Backdoors!AC5,1))*C22,0),"")</f>
        <v>0</v>
      </c>
      <c r="G22">
        <f>VLOOKUP(A22,tbMoveset!A2:G112,7,FALSE)*IFERROR(IF(Backdoors!AI12&gt;=0,1+(IF(Calculator!E40&gt;0,VLOOKUP(Calculator!E40,tbSkills!AI3:AJ5,2,FALSE),Backdoors!AL4)*(IF((Backdoors!AI12+IF(B22&gt;=0.45,VLOOKUP(Calculator!E23,tbSkills!DH3:DI6,2,FALSE)+IF(AND(Calculator!B8=TRUE,Backdoors!BI3=TRUE),VLOOKUP(Calculator!E23,tbSkills!DH3:DJ6,3,FALSE),0),0))&gt;=100,100,(Backdoors!AI12+IF(B22&gt;=0.45,VLOOKUP(Calculator!E23,tbSkills!DH3:DI6,2,FALSE)+IF(AND(Calculator!B8=TRUE,Backdoors!BI3=TRUE),VLOOKUP(Calculator!E23,tbSkills!DH3:DJ6,3,FALSE),0),0)))/100)),1),1)</f>
        <v>0.5</v>
      </c>
      <c r="H22" s="87">
        <f t="shared" si="43"/>
        <v>3</v>
      </c>
      <c r="I22" s="86">
        <f>IFERROR(IF(VLOOKUP(A22,tbMoveset!A2:B112,2,FALSE)="Sever",Backdoors!AY4/100,IF(VLOOKUP(A22,tbMoveset!A2:B112,2,FALSE)="Blunt",Backdoors!AZ4/100,Backdoors!BA4/100)),"")</f>
        <v>0.65</v>
      </c>
      <c r="J22" s="49">
        <f>IFERROR(IF(VLOOKUP(tbMoveset!A22,tbMoveset!A2:H112,8,FALSE)="Other",IF(VLOOKUP(tbMoveset!A22,tbMoveset!A2:I112,9,FALSE)="Fire",Backdoors!BB4,IF(VLOOKUP(tbMoveset!A22,tbMoveset!A2:I112,9,FALSE)="Water",Backdoors!BC4,IF(VLOOKUP(tbMoveset!A22,tbMoveset!A2:I112,9,FALSE)="Thunder",Backdoors!BD4,IF(VLOOKUP(tbMoveset!A22,tbMoveset!A2:I112,9,FALSE)="Ice",Backdoors!BE4,IF(VLOOKUP(tbMoveset!A22,tbMoveset!A2:I112,9,FALSE)="Dragon",Backdoors!BF4,Backdoors!BG4)))))/100,Backdoors!BG4/100),"")</f>
        <v>0</v>
      </c>
      <c r="K22" s="49">
        <f>IFERROR(IF(VLOOKUP(A22,tbMoveset!A2:J112,10,FALSE)=TRUE,IF((Backdoors!AI12+IF(I22&gt;=0.45,VLOOKUP(Calculator!E23,tbSkills!DH3:DI6,2,FALSE)+IF(AND(Calculator!B8=TRUE,Backdoors!BI4=TRUE),VLOOKUP(Calculator!E23,tbSkills!DH3:DJ6,3,FALSE),0),0))&gt;=0,1+(Backdoors!AL2*(IF((Backdoors!AI12+IF(I22&gt;=0.45,VLOOKUP(Calculator!E23,tbSkills!DH3:DI6,2,FALSE)+IF(AND(Calculator!B8=TRUE,Backdoors!BI4=TRUE),VLOOKUP(Calculator!E23,tbSkills!DH3:DJ6,3,FALSE),0),0))&gt;=100,100,(Backdoors!AI12+IF(I22&gt;=0.45,VLOOKUP(Calculator!E23,tbSkills!DH3:DI6,2,FALSE)+IF(AND(Calculator!B8=TRUE,Backdoors!BI4=TRUE),VLOOKUP(Calculator!E23,tbSkills!DH3:DJ6,3,FALSE),0),0)))/100)),(1-(0.25*((-Backdoors!AI12-IF(I22&gt;=0.45,VLOOKUP(Calculator!E23,tbSkills!DH3:DI6,2,FALSE)+IF(AND(Calculator!B8=TRUE,Backdoors!BI4=TRUE),VLOOKUP(Calculator!E23,tbSkills!DH3:DJ6,3,FALSE),0),0))/100)))),1),"")</f>
        <v>1</v>
      </c>
      <c r="L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22)*K22)*(VLOOKUP(A22,tbMoveset!A2:C112,3,FALSE)/100)*IF(VLOOKUP(A22,tbMoveset!A2:B112,2,FALSE)="Projectile",Backdoors!N10,Backdoors!N9),0),"")</f>
        <v>3</v>
      </c>
      <c r="M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I22&gt;=0.45,VLOOKUP(Calculator!E23,tbSkills!DH3:DI6,2,FALSE)+IF(AND(Calculator!B8=TRUE,Backdoors!BI4=TRUE),VLOOKUP(Calculator!E23,tbSkills!DH3:DJ6,3,FALSE),0),0))&gt;=100,100,(Backdoors!AI12+IF(I22&gt;=0.45,VLOOKUP(Calculator!E23,tbSkills!DH3:DI6,2,FALSE)+IF(AND(Calculator!B8=TRUE,Backdoors!BI4=TRUE),VLOOKUP(Calculator!E23,tbSkills!DH3:DJ6,3,FALSE),0),0)))/100)),1))*IF(VLOOKUP(A22,tbMoveset!A2:K112,11,FALSE)=TRUE,Backdoors!AC5,1))*J22,0),"")</f>
        <v>0</v>
      </c>
      <c r="N22" s="49">
        <f>VLOOKUP(A22,tbMoveset!A2:G112,7,FALSE)*IFERROR(IF(Backdoors!AI12&gt;=0,1+(IF(Calculator!E40&gt;0,VLOOKUP(Calculator!E40,tbSkills!AI3:AJ5,2,FALSE),Backdoors!AL4)*(IF((Backdoors!AI12+IF(I22&gt;=0.45,VLOOKUP(Calculator!E23,tbSkills!DH3:DI6,2,FALSE)+IF(AND(Calculator!B8=TRUE,Backdoors!BI4=TRUE),VLOOKUP(Calculator!E23,tbSkills!DH3:DJ6,3,FALSE),0),0))&gt;=100,100,(Backdoors!AI12+IF(I22&gt;=0.45,VLOOKUP(Calculator!E23,tbSkills!DH3:DI6,2,FALSE)+IF(AND(Calculator!B8=TRUE,Backdoors!BI4=TRUE),VLOOKUP(Calculator!E23,tbSkills!DH3:DJ6,3,FALSE),0),0)))/100)),1),1)</f>
        <v>0.5</v>
      </c>
      <c r="O22" s="87">
        <f t="shared" si="36"/>
        <v>3</v>
      </c>
      <c r="P22" s="86">
        <f>IFERROR(IF(VLOOKUP(A22,tbMoveset!A2:B112,2,FALSE)="Sever",Backdoors!AY5/100,IF(VLOOKUP(A22,tbMoveset!A2:B112,2,FALSE)="Blunt",Backdoors!AZ5/100,Backdoors!BA5/100)),"")</f>
        <v>0.5</v>
      </c>
      <c r="Q22" s="49">
        <f>IFERROR(IF(VLOOKUP(tbMoveset!A22,tbMoveset!A2:H112,8,FALSE)="Other",IF(VLOOKUP(tbMoveset!A22,tbMoveset!A2:I112,9,FALSE)="Fire",Backdoors!BB5,IF(VLOOKUP(tbMoveset!A22,tbMoveset!A2:I112,9,FALSE)="Water",Backdoors!BC5,IF(VLOOKUP(tbMoveset!A22,tbMoveset!A2:I112,9,FALSE)="Thunder",Backdoors!BD5,IF(VLOOKUP(tbMoveset!A22,tbMoveset!A2:I112,9,FALSE)="Ice",Backdoors!BE5,IF(VLOOKUP(tbMoveset!A22,tbMoveset!A2:I112,9,FALSE)="Dragon",Backdoors!BF5,Backdoors!BG5)))))/100,Backdoors!BG5/100),"")</f>
        <v>0</v>
      </c>
      <c r="R22" s="49">
        <f>IFERROR(IF(VLOOKUP(A22,tbMoveset!A2:J112,10,FALSE)=TRUE,IF((Backdoors!AI12+IF(P22&gt;=0.45,VLOOKUP(Calculator!E23,tbSkills!DH3:DI6,2,FALSE)+IF(AND(Calculator!B8=TRUE,Backdoors!BI5=TRUE),VLOOKUP(Calculator!E23,tbSkills!DH3:DJ6,3,FALSE),0),0))&gt;=0,1+(Backdoors!AL2*(IF((Backdoors!AI12+IF(P22&gt;=0.45,VLOOKUP(Calculator!E23,tbSkills!DH3:DI6,2,FALSE)+IF(AND(Calculator!B8=TRUE,Backdoors!BI5=TRUE),VLOOKUP(Calculator!E23,tbSkills!DH3:DJ6,3,FALSE),0),0))&gt;=100,100,(Backdoors!AI12+IF(P22&gt;=0.45,VLOOKUP(Calculator!E23,tbSkills!DH3:DI6,2,FALSE)+IF(AND(Calculator!B8=TRUE,Backdoors!BI5=TRUE),VLOOKUP(Calculator!E23,tbSkills!DH3:DJ6,3,FALSE),0),0)))/100)),(1-(0.25*((-Backdoors!AI12-IF(P22&gt;=0.45,VLOOKUP(Calculator!E23,tbSkills!DH3:DI6,2,FALSE)+IF(AND(Calculator!B8=TRUE,Backdoors!BI5=TRUE),VLOOKUP(Calculator!E23,tbSkills!DH3:DJ6,3,FALSE),0),0))/100)))),1),"")</f>
        <v>1</v>
      </c>
      <c r="S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P22)*R22)*(VLOOKUP(A22,tbMoveset!A2:C112,3,FALSE)/100)*IF(VLOOKUP(A22,tbMoveset!A2:B112,2,FALSE)="Projectile",Backdoors!N10,Backdoors!N9),0),"")</f>
        <v>2</v>
      </c>
      <c r="T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P22&gt;=0.45,VLOOKUP(Calculator!E23,tbSkills!DH3:DI6,2,FALSE)+IF(AND(Calculator!B8=TRUE,Backdoors!BI5=TRUE),VLOOKUP(Calculator!E23,tbSkills!DH3:DJ6,3,FALSE),0),0))&gt;=100,100,(Backdoors!AI12+IF(P22&gt;=0.45,VLOOKUP(Calculator!E23,tbSkills!DH3:DI6,2,FALSE)+IF(AND(Calculator!B8=TRUE,Backdoors!BI5=TRUE),VLOOKUP(Calculator!E23,tbSkills!DH3:DJ6,3,FALSE),0),0)))/100)),1))*IF(VLOOKUP(A22,tbMoveset!A2:K112,11,FALSE)=TRUE,Backdoors!AC5,1))*Q22,0),"")</f>
        <v>0</v>
      </c>
      <c r="U22" s="49">
        <f>VLOOKUP(A22,tbMoveset!A2:G112,7,FALSE)*IFERROR(IF(Backdoors!AI12&gt;=0,1+(IF(Calculator!E40&gt;0,VLOOKUP(Calculator!E40,tbSkills!AI3:AJ5,2,FALSE),Backdoors!AL4)*(IF((Backdoors!AI12+IF(P22&gt;=0.45,VLOOKUP(Calculator!E23,tbSkills!DH3:DI6,2,FALSE)+IF(AND(Calculator!B8=TRUE,Backdoors!BI5=TRUE),VLOOKUP(Calculator!E23,tbSkills!DH3:DJ6,3,FALSE),0),0))&gt;=100,100,(Backdoors!AI12+IF(P22&gt;=0.45,VLOOKUP(Calculator!E23,tbSkills!DH3:DI6,2,FALSE)+IF(AND(Calculator!B8=TRUE,Backdoors!BI5=TRUE),VLOOKUP(Calculator!E23,tbSkills!DH3:DJ6,3,FALSE),0),0)))/100)),1),1)</f>
        <v>0.5</v>
      </c>
      <c r="V22" s="87">
        <f t="shared" si="37"/>
        <v>2</v>
      </c>
      <c r="W22" s="86">
        <f>IFERROR(IF(VLOOKUP(A22,tbMoveset!A2:B112,2,FALSE)="Sever",Backdoors!AY6/100,IF(VLOOKUP(A22,tbMoveset!A2:B112,2,FALSE)="Blunt",Backdoors!AZ6/100,Backdoors!BA6/100)),"")</f>
        <v>0.45</v>
      </c>
      <c r="X22" s="49">
        <f>IFERROR(IF(VLOOKUP(tbMoveset!A22,tbMoveset!A2:H112,8,FALSE)="Other",IF(VLOOKUP(tbMoveset!A22,tbMoveset!A2:I112,9,FALSE)="Fire",Backdoors!BB6,IF(VLOOKUP(tbMoveset!A22,tbMoveset!A2:I112,9,FALSE)="Water",Backdoors!BC6,IF(VLOOKUP(tbMoveset!A22,tbMoveset!A2:I112,9,FALSE)="Thunder",Backdoors!BD6,IF(VLOOKUP(tbMoveset!A22,tbMoveset!A2:I112,9,FALSE)="Ice",Backdoors!BE6,IF(VLOOKUP(tbMoveset!A22,tbMoveset!A2:I112,9,FALSE)="Dragon",Backdoors!BF6,Backdoors!BG6)))))/100,Backdoors!BG6/100),"")</f>
        <v>0</v>
      </c>
      <c r="Y22" s="49">
        <f>IFERROR(IF(VLOOKUP(A22,tbMoveset!A2:J112,10,FALSE)=TRUE,IF((Backdoors!AI12+IF(W22&gt;=0.45,VLOOKUP(Calculator!E23,tbSkills!DH3:DI6,2,FALSE)+IF(AND(Calculator!B8=TRUE,Backdoors!BI6=TRUE),VLOOKUP(Calculator!E23,tbSkills!DH3:DJ6,3,FALSE),0),0))&gt;=0,1+(Backdoors!AL2*(IF((Backdoors!AI12+IF(W22&gt;=0.45,VLOOKUP(Calculator!E23,tbSkills!DH3:DI6,2,FALSE)+IF(AND(Calculator!B8=TRUE,Backdoors!BI6=TRUE),VLOOKUP(Calculator!E23,tbSkills!DH3:DJ6,3,FALSE),0),0))&gt;=100,100,(Backdoors!AI12+IF(W22&gt;=0.45,VLOOKUP(Calculator!E23,tbSkills!DH3:DI6,2,FALSE)+IF(AND(Calculator!B8=TRUE,Backdoors!BI6=TRUE),VLOOKUP(Calculator!E23,tbSkills!DH3:DJ6,3,FALSE),0),0)))/100)),(1-(0.25*((-Backdoors!AI12-IF(W22&gt;=0.45,VLOOKUP(Calculator!E23,tbSkills!DH3:DI6,2,FALSE)+IF(AND(Calculator!B8=TRUE,Backdoors!BI6=TRUE),VLOOKUP(Calculator!E23,tbSkills!DH3:DJ6,3,FALSE),0),0))/100)))),1),"")</f>
        <v>1</v>
      </c>
      <c r="Z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W22)*Y22)*(VLOOKUP(A22,tbMoveset!A2:C112,3,FALSE)/100)*IF(VLOOKUP(A22,tbMoveset!A2:B112,2,FALSE)="Projectile",Backdoors!N10,Backdoors!N9),0),"")</f>
        <v>2</v>
      </c>
      <c r="AA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W22&gt;=0.45,VLOOKUP(Calculator!E23,tbSkills!DH3:DI6,2,FALSE)+IF(AND(Calculator!B8=TRUE,Backdoors!BI6=TRUE),VLOOKUP(Calculator!E23,tbSkills!DH3:DJ6,3,FALSE),0),0))&gt;=100,100,(Backdoors!AI12+IF(W22&gt;=0.45,VLOOKUP(Calculator!E23,tbSkills!DH3:DI6,2,FALSE)+IF(AND(Calculator!B8=TRUE,Backdoors!BI6=TRUE),VLOOKUP(Calculator!E23,tbSkills!DH3:DJ6,3,FALSE),0),0)))/100)),1))*IF(VLOOKUP(A22,tbMoveset!A2:K112,11,FALSE)=TRUE,Backdoors!AC5,1))*X22,0),"")</f>
        <v>0</v>
      </c>
      <c r="AB22" s="49">
        <f>VLOOKUP(A22,tbMoveset!A2:G112,7,FALSE)*IFERROR(IF(Backdoors!AI12&gt;=0,1+(IF(Calculator!E40&gt;0,VLOOKUP(Calculator!E40,tbSkills!AI3:AJ5,2,FALSE),Backdoors!AL4)*(IF((Backdoors!AI12+IF(W22&gt;=0.45,VLOOKUP(Calculator!E23,tbSkills!DH3:DI6,2,FALSE)+IF(AND(Calculator!B8=TRUE,Backdoors!BI6=TRUE),VLOOKUP(Calculator!E23,tbSkills!DH3:DJ6,3,FALSE),0),0))&gt;=100,100,(Backdoors!AI12+IF(W22&gt;=0.45,VLOOKUP(Calculator!E23,tbSkills!DH3:DI6,2,FALSE)+IF(AND(Calculator!B8=TRUE,Backdoors!BI6=TRUE),VLOOKUP(Calculator!E23,tbSkills!DH3:DJ6,3,FALSE),0),0)))/100)),1),1)</f>
        <v>0.5</v>
      </c>
      <c r="AC22" s="87">
        <f t="shared" si="0"/>
        <v>2</v>
      </c>
      <c r="AD22" s="86">
        <f>IFERROR(IF(VLOOKUP(A22,tbMoveset!A2:B112,2,FALSE)="Sever",Backdoors!AY7/100,IF(VLOOKUP(A22,tbMoveset!A2:B112,2,FALSE)="Blunt",Backdoors!AZ7/100,Backdoors!BA7/100)),"")</f>
        <v>0.65</v>
      </c>
      <c r="AE22" s="49">
        <f>IFERROR(IF(VLOOKUP(tbMoveset!A22,tbMoveset!A2:H112,8,FALSE)="Other",IF(VLOOKUP(tbMoveset!A22,tbMoveset!A2:I112,9,FALSE)="Fire",Backdoors!BB7,IF(VLOOKUP(tbMoveset!A22,tbMoveset!A2:I112,9,FALSE)="Water",Backdoors!BC7,IF(VLOOKUP(tbMoveset!A22,tbMoveset!A2:I112,9,FALSE)="Thunder",Backdoors!BD7,IF(VLOOKUP(tbMoveset!A22,tbMoveset!A2:I112,9,FALSE)="Ice",Backdoors!BE7,IF(VLOOKUP(tbMoveset!A22,tbMoveset!A2:I112,9,FALSE)="Dragon",Backdoors!BF7,Backdoors!BG7)))))/100,Backdoors!BG7/100),"")</f>
        <v>0</v>
      </c>
      <c r="AF22" s="49">
        <f>IFERROR(IF(VLOOKUP(A22,tbMoveset!A2:J112,10,FALSE)=TRUE,IF((Backdoors!AI12+IF(AD22&gt;=0.45,VLOOKUP(Calculator!E23,tbSkills!DH3:DI6,2,FALSE)+IF(AND(Calculator!B8=TRUE,Backdoors!BI7=TRUE),VLOOKUP(Calculator!E23,tbSkills!DH3:DJ6,3,FALSE),0),0))&gt;=0,1+(Backdoors!AL2*(IF((Backdoors!AI12+IF(AD22&gt;=0.45,VLOOKUP(Calculator!E23,tbSkills!DH3:DI6,2,FALSE)+IF(AND(Calculator!B8=TRUE,Backdoors!BI7=TRUE),VLOOKUP(Calculator!E23,tbSkills!DH3:DJ6,3,FALSE),0),0))&gt;=100,100,(Backdoors!AI12+IF(AD22&gt;=0.45,VLOOKUP(Calculator!E23,tbSkills!DH3:DI6,2,FALSE)+IF(AND(Calculator!B8=TRUE,Backdoors!BI7=TRUE),VLOOKUP(Calculator!E23,tbSkills!DH3:DJ6,3,FALSE),0),0)))/100)),(1-(0.25*((-Backdoors!AI12-IF(AD22&gt;=0.45,VLOOKUP(Calculator!E23,tbSkills!DH3:DI6,2,FALSE)+IF(AND(Calculator!B8=TRUE,Backdoors!BI7=TRUE),VLOOKUP(Calculator!E23,tbSkills!DH3:DJ6,3,FALSE),0),0))/100)))),1),"")</f>
        <v>1</v>
      </c>
      <c r="AG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D22)*AF22)*(VLOOKUP(A22,tbMoveset!A2:C112,3,FALSE)/100)*IF(VLOOKUP(A22,tbMoveset!A2:B112,2,FALSE)="Projectile",Backdoors!N10,Backdoors!N9),0),"")</f>
        <v>3</v>
      </c>
      <c r="AH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D22&gt;=0.45,VLOOKUP(Calculator!E23,tbSkills!DH3:DI6,2,FALSE)+IF(AND(Calculator!B8=TRUE,Backdoors!BI7=TRUE),VLOOKUP(Calculator!E23,tbSkills!DH3:DJ6,3,FALSE),0),0))&gt;=100,100,(Backdoors!AI12+IF(AD22&gt;=0.45,VLOOKUP(Calculator!E23,tbSkills!DH3:DI6,2,FALSE)+IF(AND(Calculator!B8=TRUE,Backdoors!BI7=TRUE),VLOOKUP(Calculator!E23,tbSkills!DH3:DJ6,3,FALSE),0),0)))/100)),1))*IF(VLOOKUP(A22,tbMoveset!A2:K112,11,FALSE)=TRUE,Backdoors!AC5,1))*AE22,0),"")</f>
        <v>0</v>
      </c>
      <c r="AI22" s="49">
        <f>VLOOKUP(A22,tbMoveset!A2:G112,7,FALSE)*IFERROR(IF(Backdoors!AI12&gt;=0,1+(IF(Calculator!E40&gt;0,VLOOKUP(Calculator!E40,tbSkills!AI3:AJ5,2,FALSE),Backdoors!AL4)*(IF((Backdoors!AI12+IF(AD22&gt;=0.45,VLOOKUP(Calculator!E23,tbSkills!DH3:DI6,2,FALSE)+IF(AND(Calculator!B8=TRUE,Backdoors!BI7=TRUE),VLOOKUP(Calculator!E23,tbSkills!DH3:DJ6,3,FALSE),0),0))&gt;=100,100,(Backdoors!AI12+IF(AD22&gt;=0.45,VLOOKUP(Calculator!E23,tbSkills!DH3:DI6,2,FALSE)+IF(AND(Calculator!B8=TRUE,Backdoors!BI7=TRUE),VLOOKUP(Calculator!E23,tbSkills!DH3:DJ6,3,FALSE),0),0)))/100)),1),1)</f>
        <v>0.5</v>
      </c>
      <c r="AJ22" s="87">
        <f t="shared" si="1"/>
        <v>3</v>
      </c>
      <c r="AK22" s="91">
        <f>IFERROR(IF(VLOOKUP(A22,tbMoveset!A2:B112,2,FALSE)="Sever",Backdoors!AY8/100,IF(VLOOKUP(A22,tbMoveset!A2:B112,2,FALSE)="Blunt",Backdoors!AZ8/100,Backdoors!BA8/100)),"")</f>
        <v>0.45</v>
      </c>
      <c r="AL22" s="49">
        <f>IFERROR(IF(VLOOKUP(tbMoveset!A22,tbMoveset!A2:H112,8,FALSE)="Other",IF(VLOOKUP(tbMoveset!A22,tbMoveset!A2:I112,9,FALSE)="Fire",Backdoors!BB8,IF(VLOOKUP(tbMoveset!A22,tbMoveset!A2:I112,9,FALSE)="Water",Backdoors!BC8,IF(VLOOKUP(tbMoveset!A22,tbMoveset!A2:I112,9,FALSE)="Thunder",Backdoors!BD8,IF(VLOOKUP(tbMoveset!A22,tbMoveset!A2:I112,9,FALSE)="Ice",Backdoors!BE8,IF(VLOOKUP(tbMoveset!A22,tbMoveset!A2:I112,9,FALSE)="Dragon",Backdoors!BF8,Backdoors!BG8)))))/100,Backdoors!BG8/100),"")</f>
        <v>0</v>
      </c>
      <c r="AM22" s="49">
        <f>IFERROR(IF(VLOOKUP(A22,tbMoveset!A2:J112,10,FALSE)=TRUE,IF((Backdoors!AI12+IF(AK22&gt;=0.45,VLOOKUP(Calculator!E23,tbSkills!DH3:DI6,2,FALSE)+IF(AND(Calculator!B8=TRUE,Backdoors!BI8=TRUE),VLOOKUP(Calculator!E23,tbSkills!DH3:DJ6,3,FALSE),0),0))&gt;=0,1+(Backdoors!AL2*(IF((Backdoors!AI12+IF(AK22&gt;=0.45,VLOOKUP(Calculator!E23,tbSkills!DH3:DI6,2,FALSE)+IF(AND(Calculator!B8=TRUE,Backdoors!BI8=TRUE),VLOOKUP(Calculator!E23,tbSkills!DH3:DJ6,3,FALSE),0),0))&gt;=100,100,(Backdoors!AI12+IF(AK22&gt;=0.45,VLOOKUP(Calculator!E23,tbSkills!DH3:DI6,2,FALSE)+IF(AND(Calculator!B8=TRUE,Backdoors!BI8=TRUE),VLOOKUP(Calculator!E23,tbSkills!DH3:DJ6,3,FALSE),0),0)))/100)),(1-(0.25*((-Backdoors!AI12-IF(AK22&gt;=0.45,VLOOKUP(Calculator!E23,tbSkills!DH3:DI6,2,FALSE)+IF(AND(Calculator!B8=TRUE,Backdoors!BI8=TRUE),VLOOKUP(Calculator!E23,tbSkills!DH3:DJ6,3,FALSE),0),0))/100)))),1),"")</f>
        <v>1</v>
      </c>
      <c r="AN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K22)*AM22)*(VLOOKUP(A22,tbMoveset!A2:C112,3,FALSE)/100)*IF(VLOOKUP(A22,tbMoveset!A2:B112,2,FALSE)="Projectile",Backdoors!N10,Backdoors!N9),0),"")</f>
        <v>2</v>
      </c>
      <c r="AO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K22&gt;=0.45,VLOOKUP(Calculator!E23,tbSkills!DH3:DI6,2,FALSE)+IF(AND(Calculator!B8=TRUE,Backdoors!BI8=TRUE),VLOOKUP(Calculator!E23,tbSkills!DH3:DJ6,3,FALSE),0),0))&gt;=100,100,(Backdoors!AI12+IF(AK22&gt;=0.45,VLOOKUP(Calculator!E23,tbSkills!DH3:DI6,2,FALSE)+IF(AND(Calculator!B8=TRUE,Backdoors!BI8=TRUE),VLOOKUP(Calculator!E23,tbSkills!DH3:DJ6,3,FALSE),0),0)))/100)),1))*IF(VLOOKUP(A22,tbMoveset!A2:K112,11,FALSE)=TRUE,Backdoors!AC5,1))*AL22,0),"")</f>
        <v>0</v>
      </c>
      <c r="AP22" s="49">
        <f>VLOOKUP(A22,tbMoveset!A2:G112,7,FALSE)*IFERROR(IF(Backdoors!AI12&gt;=0,1+(IF(Calculator!E40&gt;0,VLOOKUP(Calculator!E40,tbSkills!AI3:AJ5,2,FALSE),Backdoors!AL4)*(IF((Backdoors!AI12+IF(AK22&gt;=0.45,VLOOKUP(Calculator!E23,tbSkills!DH3:DI6,2,FALSE)+IF(AND(Calculator!B8=TRUE,Backdoors!BI8=TRUE),VLOOKUP(Calculator!E23,tbSkills!DH3:DJ6,3,FALSE),0),0))&gt;=100,100,(Backdoors!AI12+IF(AK22&gt;=0.45,VLOOKUP(Calculator!E23,tbSkills!DH3:DI6,2,FALSE)+IF(AND(Calculator!B8=TRUE,Backdoors!BI8=TRUE),VLOOKUP(Calculator!E23,tbSkills!DH3:DJ6,3,FALSE),0),0)))/100)),1),1)</f>
        <v>0.5</v>
      </c>
      <c r="AQ22" s="87">
        <f t="shared" si="2"/>
        <v>2</v>
      </c>
      <c r="AR22" s="86">
        <f>IFERROR(IF(VLOOKUP(A22,tbMoveset!A2:B112,2,FALSE)="Sever",Backdoors!AY9/100,IF(VLOOKUP(A22,tbMoveset!A2:B112,2,FALSE)="Blunt",Backdoors!AZ9/100,Backdoors!BA9/100)),"")</f>
        <v>0.45</v>
      </c>
      <c r="AS22" s="49">
        <f>IFERROR(IF(VLOOKUP(tbMoveset!A22,tbMoveset!A2:H112,8,FALSE)="Other",IF(VLOOKUP(tbMoveset!A22,tbMoveset!A2:I112,9,FALSE)="Fire",Backdoors!BB9,IF(VLOOKUP(tbMoveset!A22,tbMoveset!A2:I112,9,FALSE)="Water",Backdoors!BC9,IF(VLOOKUP(tbMoveset!A22,tbMoveset!A2:I112,9,FALSE)="Thunder",Backdoors!BD9,IF(VLOOKUP(tbMoveset!A22,tbMoveset!A2:I112,9,FALSE)="Ice",Backdoors!BE9,IF(VLOOKUP(tbMoveset!A22,tbMoveset!A2:I112,9,FALSE)="Dragon",Backdoors!BF9,Backdoors!BG9)))))/100,Backdoors!BG9/100),"")</f>
        <v>0</v>
      </c>
      <c r="AT22" s="49">
        <f>IFERROR(IF(VLOOKUP(A22,tbMoveset!A2:J112,10,FALSE)=TRUE,IF((Backdoors!AI12+IF(AR22&gt;=0.45,VLOOKUP(Calculator!E23,tbSkills!DH3:DI6,2,FALSE)+IF(AND(Calculator!B8=TRUE,Backdoors!BI9=TRUE),VLOOKUP(Calculator!E23,tbSkills!DH3:DJ6,3,FALSE),0),0))&gt;=0,1+(Backdoors!AL2*(IF((Backdoors!AI12+IF(AR22&gt;=0.45,VLOOKUP(Calculator!E23,tbSkills!DH3:DI6,2,FALSE)+IF(AND(Calculator!B8=TRUE,Backdoors!BI9=TRUE),VLOOKUP(Calculator!E23,tbSkills!DH3:DJ6,3,FALSE),0),0))&gt;=100,100,(Backdoors!AI12+IF(AR22&gt;=0.45,VLOOKUP(Calculator!E23,tbSkills!DH3:DI6,2,FALSE)+IF(AND(Calculator!B8=TRUE,Backdoors!BI9=TRUE),VLOOKUP(Calculator!E23,tbSkills!DH3:DJ6,3,FALSE),0),0)))/100)),(1-(0.25*((-Backdoors!AI12-IF(AR22&gt;=0.45,VLOOKUP(Calculator!E23,tbSkills!DH3:DI6,2,FALSE)+IF(AND(Calculator!B8=TRUE,Backdoors!BI9=TRUE),VLOOKUP(Calculator!E23,tbSkills!DH3:DJ6,3,FALSE),0),0))/100)))),1),"")</f>
        <v>1</v>
      </c>
      <c r="AU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R22)*AT22)*(VLOOKUP(A22,tbMoveset!A2:C112,3,FALSE)/100)*IF(VLOOKUP(A22,tbMoveset!A2:B112,2,FALSE)="Projectile",Backdoors!N10,Backdoors!N9),0),"")</f>
        <v>2</v>
      </c>
      <c r="AV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R22&gt;=0.45,VLOOKUP(Calculator!E23,tbSkills!DH3:DI6,2,FALSE)+IF(AND(Calculator!B8=TRUE,Backdoors!BI9=TRUE),VLOOKUP(Calculator!E23,tbSkills!DH3:DJ6,3,FALSE),0),0))&gt;=100,100,(Backdoors!AI12+IF(AR22&gt;=0.45,VLOOKUP(Calculator!E23,tbSkills!DH3:DI6,2,FALSE)+IF(AND(Calculator!B8=TRUE,Backdoors!BI9=TRUE),VLOOKUP(Calculator!E23,tbSkills!DH3:DJ6,3,FALSE),0),0)))/100)),1))*IF(VLOOKUP(A22,tbMoveset!A2:K112,11,FALSE)=TRUE,Backdoors!AC5,1))*AS22,0),"")</f>
        <v>0</v>
      </c>
      <c r="AW22" s="49">
        <f>VLOOKUP(A22,tbMoveset!A2:G112,7,FALSE)*IFERROR(IF(Backdoors!AI12&gt;=0,1+(IF(Calculator!E40&gt;0,VLOOKUP(Calculator!E40,tbSkills!AI3:AJ5,2,FALSE),Backdoors!AL4)*(IF((Backdoors!AI12+IF(AR22&gt;=0.45,VLOOKUP(Calculator!E23,tbSkills!DH3:DI6,2,FALSE)+IF(AND(Calculator!B8=TRUE,Backdoors!BI9=TRUE),VLOOKUP(Calculator!E23,tbSkills!DH3:DJ6,3,FALSE),0),0))&gt;=100,100,(Backdoors!AI12+IF(AR22&gt;=0.45,VLOOKUP(Calculator!E23,tbSkills!DH3:DI6,2,FALSE)+IF(AND(Calculator!B8=TRUE,Backdoors!BI9=TRUE),VLOOKUP(Calculator!E23,tbSkills!DH3:DJ6,3,FALSE),0),0)))/100)),1),1)</f>
        <v>0.5</v>
      </c>
      <c r="AX22" s="87">
        <f t="shared" si="38"/>
        <v>2</v>
      </c>
      <c r="AY22" s="86">
        <f>IFERROR(IF(VLOOKUP(A22,tbMoveset!A2:B112,2,FALSE)="Sever",Backdoors!AY10/100,IF(VLOOKUP(A22,tbMoveset!A2:B112,2,FALSE)="Blunt",Backdoors!AZ10/100,Backdoors!BA10/100)),"")</f>
        <v>0.9</v>
      </c>
      <c r="AZ22" s="49">
        <f>IFERROR(IF(VLOOKUP(tbMoveset!A22,tbMoveset!A2:H112,8,FALSE)="Other",IF(VLOOKUP(tbMoveset!A22,tbMoveset!A2:I112,9,FALSE)="Fire",Backdoors!BB10,IF(VLOOKUP(tbMoveset!A22,tbMoveset!A2:I112,9,FALSE)="Water",Backdoors!BC10,IF(VLOOKUP(tbMoveset!A22,tbMoveset!A2:I112,9,FALSE)="Thunder",Backdoors!BD10,IF(VLOOKUP(tbMoveset!A22,tbMoveset!A2:I112,9,FALSE)="Ice",Backdoors!BE10,IF(VLOOKUP(tbMoveset!A22,tbMoveset!A2:I112,9,FALSE)="Dragon",Backdoors!BF10,Backdoors!BG10)))))/100,Backdoors!BG10/100),"")</f>
        <v>0</v>
      </c>
      <c r="BA22" s="49">
        <f>IFERROR(IF(VLOOKUP(A22,tbMoveset!A2:J112,10,FALSE)=TRUE,IF((Backdoors!AI12+IF(AY22&gt;=0.45,VLOOKUP(Calculator!E23,tbSkills!DH3:DI6,2,FALSE)+IF(AND(Calculator!B8=TRUE,Backdoors!BI10=TRUE),VLOOKUP(Calculator!E23,tbSkills!DH3:DJ6,3,FALSE),0),0))&gt;=0,1+(Backdoors!AL2*(IF((Backdoors!AI12+IF(AY22&gt;=0.45,VLOOKUP(Calculator!E23,tbSkills!DH3:DI6,2,FALSE)+IF(AND(Calculator!B8=TRUE,Backdoors!BI10=TRUE),VLOOKUP(Calculator!E23,tbSkills!DH3:DJ6,3,FALSE),0),0))&gt;=100,100,(Backdoors!AI12+IF(AY22&gt;=0.45,VLOOKUP(Calculator!E23,tbSkills!DH3:DI6,2,FALSE)+IF(AND(Calculator!B8=TRUE,Backdoors!BI10=TRUE),VLOOKUP(Calculator!E23,tbSkills!DH3:DJ6,3,FALSE),0),0)))/100)),(1-(0.25*((-Backdoors!AI12-IF(AY22&gt;=0.45,VLOOKUP(Calculator!E23,tbSkills!DH3:DI6,2,FALSE)+IF(AND(Calculator!B8=TRUE,Backdoors!BI10=TRUE),VLOOKUP(Calculator!E23,tbSkills!DH3:DJ6,3,FALSE),0),0))/100)))),1),"")</f>
        <v>1</v>
      </c>
      <c r="BB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Y22)*BA22)*(VLOOKUP(A22,tbMoveset!A2:C112,3,FALSE)/100)*IF(VLOOKUP(A22,tbMoveset!A2:B112,2,FALSE)="Projectile",Backdoors!N10,Backdoors!N9),0),"")</f>
        <v>4</v>
      </c>
      <c r="BC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Y22&gt;=0.45,VLOOKUP(Calculator!E23,tbSkills!DH3:DI6,2,FALSE)+IF(AND(Calculator!B8=TRUE,Backdoors!BI10=TRUE),VLOOKUP(Calculator!E23,tbSkills!DH3:DJ6,3,FALSE),0),0))&gt;=100,100,(Backdoors!AI12+IF(AY22&gt;=0.45,VLOOKUP(Calculator!E23,tbSkills!DH3:DI6,2,FALSE)+IF(AND(Calculator!B8=TRUE,Backdoors!BI10=TRUE),VLOOKUP(Calculator!E23,tbSkills!DH3:DJ6,3,FALSE),0),0)))/100)),1))*IF(VLOOKUP(A22,tbMoveset!A2:K112,11,FALSE)=TRUE,Backdoors!AC5,1))*AZ22,0),"")</f>
        <v>0</v>
      </c>
      <c r="BD22" s="49">
        <f>VLOOKUP(A22,tbMoveset!A2:G112,7,FALSE)*IFERROR(IF(Backdoors!AI12&gt;=0,1+(IF(Calculator!E40&gt;0,VLOOKUP(Calculator!E40,tbSkills!AI3:AJ5,2,FALSE),Backdoors!AL4)*(IF((Backdoors!AI12+IF(AY22&gt;=0.45,VLOOKUP(Calculator!E23,tbSkills!DH3:DI6,2,FALSE)+IF(AND(Calculator!B8=TRUE,Backdoors!BI10=TRUE),VLOOKUP(Calculator!E23,tbSkills!DH3:DJ6,3,FALSE),0),0))&gt;=100,100,(Backdoors!AI12+IF(AY22&gt;=0.45,VLOOKUP(Calculator!E23,tbSkills!DH3:DI6,2,FALSE)+IF(AND(Calculator!B8=TRUE,Backdoors!BI10=TRUE),VLOOKUP(Calculator!E23,tbSkills!DH3:DJ6,3,FALSE),0),0)))/100)),1),1)</f>
        <v>0.5</v>
      </c>
      <c r="BE22" s="87">
        <f t="shared" si="3"/>
        <v>4</v>
      </c>
      <c r="BF22" s="86" t="str">
        <f>IFERROR(IF(VLOOKUP(A22,tbMoveset!A2:B112,2,FALSE)="Sever",Backdoors!AY11/100,IF(VLOOKUP(A22,tbMoveset!A2:B112,2,FALSE)="Blunt",Backdoors!AZ11/100,Backdoors!BA11/100)),"")</f>
        <v/>
      </c>
      <c r="BG22" s="49">
        <f>IFERROR(IF(VLOOKUP(tbMoveset!A22,tbMoveset!A2:H112,8,FALSE)="Other",IF(VLOOKUP(tbMoveset!A22,tbMoveset!A2:I112,9,FALSE)="Fire",Backdoors!BB11,IF(VLOOKUP(tbMoveset!A22,tbMoveset!A2:I112,9,FALSE)="Water",Backdoors!BC11,IF(VLOOKUP(tbMoveset!A22,tbMoveset!A2:I112,9,FALSE)="Thunder",Backdoors!BD11,IF(VLOOKUP(tbMoveset!A22,tbMoveset!A2:I112,9,FALSE)="Ice",Backdoors!BE11,IF(VLOOKUP(tbMoveset!A22,tbMoveset!A2:I112,9,FALSE)="Dragon",Backdoors!BF11,Backdoors!BG11)))))/100,Backdoors!BG11/100),"")</f>
        <v>0</v>
      </c>
      <c r="BH22" s="49">
        <f>IFERROR(IF(VLOOKUP(A22,tbMoveset!A2:J112,10,FALSE)=TRUE,IF((Backdoors!AI12+IF(BF22&gt;=0.45,VLOOKUP(Calculator!E23,tbSkills!DH3:DI6,2,FALSE)+IF(AND(Calculator!B8=TRUE,Backdoors!BI11=TRUE),VLOOKUP(Calculator!E23,tbSkills!DH3:DJ6,3,FALSE),0),0))&gt;=0,1+(Backdoors!AL2*(IF((Backdoors!AI12+IF(BF22&gt;=0.45,VLOOKUP(Calculator!E23,tbSkills!DH3:DI6,2,FALSE)+IF(AND(Calculator!B8=TRUE,Backdoors!BI11=TRUE),VLOOKUP(Calculator!E23,tbSkills!DH3:DJ6,3,FALSE),0),0))&gt;=100,100,(Backdoors!AI12+IF(BF22&gt;=0.45,VLOOKUP(Calculator!E23,tbSkills!DH3:DI6,2,FALSE)+IF(AND(Calculator!B8=TRUE,Backdoors!BI11=TRUE),VLOOKUP(Calculator!E23,tbSkills!DH3:DJ6,3,FALSE),0),0)))/100)),(1-(0.25*((-Backdoors!AI12-IF(BF22&gt;=0.45,VLOOKUP(Calculator!E23,tbSkills!DH3:DI6,2,FALSE)+IF(AND(Calculator!B8=TRUE,Backdoors!BI11=TRUE),VLOOKUP(Calculator!E23,tbSkills!DH3:DJ6,3,FALSE),0),0))/100)))),1),"")</f>
        <v>1</v>
      </c>
      <c r="BI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F22)*BH22)*(VLOOKUP(A22,tbMoveset!A2:C112,3,FALSE)/100)*IF(VLOOKUP(A22,tbMoveset!A2:B112,2,FALSE)="Projectile",Backdoors!N10,Backdoors!N9),0),"")</f>
        <v/>
      </c>
      <c r="BJ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F22&gt;=0.45,VLOOKUP(Calculator!E23,tbSkills!DH3:DI6,2,FALSE)+IF(AND(Calculator!B8=TRUE,Backdoors!BI11=TRUE),VLOOKUP(Calculator!E23,tbSkills!DH3:DJ6,3,FALSE),0),0))&gt;=100,100,(Backdoors!AI12+IF(BF22&gt;=0.45,VLOOKUP(Calculator!E23,tbSkills!DH3:DI6,2,FALSE)+IF(AND(Calculator!B8=TRUE,Backdoors!BI11=TRUE),VLOOKUP(Calculator!E23,tbSkills!DH3:DJ6,3,FALSE),0),0)))/100)),1))*IF(VLOOKUP(A22,tbMoveset!A2:K112,11,FALSE)=TRUE,Backdoors!AC5,1))*BG22,0),"")</f>
        <v>0</v>
      </c>
      <c r="BK22" s="49">
        <f>VLOOKUP(A22,tbMoveset!A2:G112,7,FALSE)*IFERROR(IF(Backdoors!AI12&gt;=0,1+(IF(Calculator!E40&gt;0,VLOOKUP(Calculator!E40,tbSkills!AI3:AJ5,2,FALSE),Backdoors!AL4)*(IF((Backdoors!AI12+IF(BF22&gt;=0.45,VLOOKUP(Calculator!E23,tbSkills!DH3:DI6,2,FALSE)+IF(AND(Calculator!B8=TRUE,Backdoors!BI11=TRUE),VLOOKUP(Calculator!E23,tbSkills!DH3:DJ6,3,FALSE),0),0))&gt;=100,100,(Backdoors!AI12+IF(BF22&gt;=0.45,VLOOKUP(Calculator!E23,tbSkills!DH3:DI6,2,FALSE)+IF(AND(Calculator!B8=TRUE,Backdoors!BI11=TRUE),VLOOKUP(Calculator!E23,tbSkills!DH3:DJ6,3,FALSE),0),0)))/100)),1),1)</f>
        <v>0.5</v>
      </c>
      <c r="BL22" s="87">
        <f t="shared" si="4"/>
        <v>0</v>
      </c>
      <c r="BM22" s="86" t="str">
        <f>IFERROR(IF(VLOOKUP(A22,tbMoveset!A2:B112,2,FALSE)="Sever",Backdoors!AY12/100,IF(VLOOKUP(A22,tbMoveset!A2:B112,2,FALSE)="Blunt",Backdoors!AZ12/100,Backdoors!BA12/100)),"")</f>
        <v/>
      </c>
      <c r="BN22" s="49">
        <f>IFERROR(IF(VLOOKUP(tbMoveset!A22,tbMoveset!A2:H112,8,FALSE)="Other",IF(VLOOKUP(tbMoveset!A22,tbMoveset!A2:I112,9,FALSE)="Fire",Backdoors!BB12,IF(VLOOKUP(tbMoveset!A22,tbMoveset!A2:I112,9,FALSE)="Water",Backdoors!BC12,IF(VLOOKUP(tbMoveset!A22,tbMoveset!A2:I112,9,FALSE)="Thunder",Backdoors!BD12,IF(VLOOKUP(tbMoveset!A22,tbMoveset!A2:I112,9,FALSE)="Ice",Backdoors!BE12,IF(VLOOKUP(tbMoveset!A22,tbMoveset!A2:I112,9,FALSE)="Dragon",Backdoors!BF12,Backdoors!BG12)))))/100,Backdoors!BG12/100),"")</f>
        <v>0</v>
      </c>
      <c r="BO22" s="49">
        <f>IFERROR(IF(VLOOKUP(A22,tbMoveset!A2:J112,10,FALSE)=TRUE,IF((Backdoors!AI12+IF(BM22&gt;=0.45,VLOOKUP(Calculator!E23,tbSkills!DH3:DI6,2,FALSE)+IF(AND(Calculator!B8=TRUE,Backdoors!BI12=TRUE),VLOOKUP(Calculator!E23,tbSkills!DH3:DJ6,3,FALSE),0),0))&gt;=0,1+(Backdoors!AL2*(IF((Backdoors!AI12+IF(BM22&gt;=0.45,VLOOKUP(Calculator!E23,tbSkills!DH3:DI6,2,FALSE)+IF(AND(Calculator!B8=TRUE,Backdoors!BI12=TRUE),VLOOKUP(Calculator!E23,tbSkills!DH3:DJ6,3,FALSE),0),0))&gt;=100,100,(Backdoors!AI12+IF(BM22&gt;=0.45,VLOOKUP(Calculator!E23,tbSkills!DH3:DI6,2,FALSE)+IF(AND(Calculator!B8=TRUE,Backdoors!BI12=TRUE),VLOOKUP(Calculator!E23,tbSkills!DH3:DJ6,3,FALSE),0),0)))/100)),(1-(0.25*((-Backdoors!AI12-IF(BM22&gt;=0.45,VLOOKUP(Calculator!E23,tbSkills!DH3:DI6,2,FALSE)+IF(AND(Calculator!B8=TRUE,Backdoors!BI12=TRUE),VLOOKUP(Calculator!E23,tbSkills!DH3:DJ6,3,FALSE),0),0))/100)))),1),"")</f>
        <v>1</v>
      </c>
      <c r="BP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M22)*BO22)*(VLOOKUP(A22,tbMoveset!A2:C112,3,FALSE)/100)*IF(VLOOKUP(A22,tbMoveset!A2:B112,2,FALSE)="Projectile",Backdoors!N10,Backdoors!N9),0),"")</f>
        <v/>
      </c>
      <c r="BQ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M22&gt;=0.45,VLOOKUP(Calculator!E23,tbSkills!DH3:DI6,2,FALSE)+IF(AND(Calculator!B8=TRUE,Backdoors!BI12=TRUE),VLOOKUP(Calculator!E23,tbSkills!DH3:DJ6,3,FALSE),0),0))&gt;=100,100,(Backdoors!AI12+IF(BM22&gt;=0.45,VLOOKUP(Calculator!E23,tbSkills!DH3:DI6,2,FALSE)+IF(AND(Calculator!B8=TRUE,Backdoors!BI12=TRUE),VLOOKUP(Calculator!E23,tbSkills!DH3:DJ6,3,FALSE),0),0)))/100)),1))*IF(VLOOKUP(A22,tbMoveset!A2:K112,11,FALSE)=TRUE,Backdoors!AC5,1))*BN22,0),"")</f>
        <v>0</v>
      </c>
      <c r="BR22" s="49">
        <f>VLOOKUP(A22,tbMoveset!A2:G112,7,FALSE)*IFERROR(IF(Backdoors!AI12&gt;=0,1+(IF(Calculator!E40&gt;0,VLOOKUP(Calculator!E40,tbSkills!AI3:AJ5,2,FALSE),Backdoors!AL4)*(IF((Backdoors!AI12+IF(BM22&gt;=0.45,VLOOKUP(Calculator!E23,tbSkills!DH3:DI6,2,FALSE)+IF(AND(Calculator!B8=TRUE,Backdoors!BI12=TRUE),VLOOKUP(Calculator!E23,tbSkills!DH3:DJ6,3,FALSE),0),0))&gt;=100,100,(Backdoors!AI12+IF(BM22&gt;=0.45,VLOOKUP(Calculator!E23,tbSkills!DH3:DI6,2,FALSE)+IF(AND(Calculator!B8=TRUE,Backdoors!BI12=TRUE),VLOOKUP(Calculator!E23,tbSkills!DH3:DJ6,3,FALSE),0),0)))/100)),1),1)</f>
        <v>0.5</v>
      </c>
      <c r="BS22" s="87">
        <f t="shared" si="39"/>
        <v>0</v>
      </c>
      <c r="BT22" s="86" t="str">
        <f>IFERROR(IF(VLOOKUP(A22,tbMoveset!A2:B112,2,FALSE)="Sever",Backdoors!AY13/100,IF(VLOOKUP(A22,tbMoveset!A2:B112,2,FALSE)="Blunt",Backdoors!AZ13/100,Backdoors!BA13/100)),"")</f>
        <v/>
      </c>
      <c r="BU22" s="49">
        <f>IFERROR(IF(VLOOKUP(tbMoveset!A22,tbMoveset!A2:H112,8,FALSE)="Other",IF(VLOOKUP(tbMoveset!A22,tbMoveset!A2:I112,9,FALSE)="Fire",Backdoors!BB13,IF(VLOOKUP(tbMoveset!A22,tbMoveset!A2:I112,9,FALSE)="Water",Backdoors!BC13,IF(VLOOKUP(tbMoveset!A22,tbMoveset!A2:I112,9,FALSE)="Thunder",Backdoors!BD13,IF(VLOOKUP(tbMoveset!A22,tbMoveset!A2:I112,9,FALSE)="Ice",Backdoors!BE13,IF(VLOOKUP(tbMoveset!A22,tbMoveset!A2:I112,9,FALSE)="Dragon",Backdoors!BF13,Backdoors!BG13)))))/100,Backdoors!BG13/100),"")</f>
        <v>0</v>
      </c>
      <c r="BV22" s="49">
        <f>IFERROR(IF(VLOOKUP(A22,tbMoveset!A2:J112,10,FALSE)=TRUE,IF((Backdoors!AI12+IF(BT22&gt;=0.45,VLOOKUP(Calculator!E23,tbSkills!DH3:DI6,2,FALSE)+IF(AND(Calculator!B8=TRUE,Backdoors!BI13=TRUE),VLOOKUP(Calculator!E23,tbSkills!DH3:DJ6,3,FALSE),0),0))&gt;=0,1+(Backdoors!AL2*(IF((Backdoors!AI12+IF(BT22&gt;=0.45,VLOOKUP(Calculator!E23,tbSkills!DH3:DI6,2,FALSE)+IF(AND(Calculator!B8=TRUE,Backdoors!BI13=TRUE),VLOOKUP(Calculator!E23,tbSkills!DH3:DJ6,3,FALSE),0),0))&gt;=100,100,(Backdoors!AI12+IF(BT22&gt;=0.45,VLOOKUP(Calculator!E23,tbSkills!DH3:DI6,2,FALSE)+IF(AND(Calculator!B8=TRUE,Backdoors!BI13=TRUE),VLOOKUP(Calculator!E23,tbSkills!DH3:DJ6,3,FALSE),0),0)))/100)),(1-(0.25*((-Backdoors!AI12-IF(BT22&gt;=0.45,VLOOKUP(Calculator!E23,tbSkills!DH3:DI6,2,FALSE)+IF(AND(Calculator!B8=TRUE,Backdoors!BI13=TRUE),VLOOKUP(Calculator!E23,tbSkills!DH3:DJ6,3,FALSE),0),0))/100)))),1),"")</f>
        <v>1</v>
      </c>
      <c r="BW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T22)*BV22)*(VLOOKUP(A22,tbMoveset!A2:C112,3,FALSE)/100)*IF(VLOOKUP(A22,tbMoveset!A2:B112,2,FALSE)="Projectile",Backdoors!N10,Backdoors!N9),0),"")</f>
        <v/>
      </c>
      <c r="BX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T22&gt;=0.45,VLOOKUP(Calculator!E23,tbSkills!DH3:DI6,2,FALSE)+IF(AND(Calculator!B8=TRUE,Backdoors!BI13=TRUE),VLOOKUP(Calculator!E23,tbSkills!DH3:DJ6,3,FALSE),0),0))&gt;=100,100,(Backdoors!AI12+IF(BT22&gt;=0.45,VLOOKUP(Calculator!E23,tbSkills!DH3:DI6,2,FALSE)+IF(AND(Calculator!B8=TRUE,Backdoors!BI13=TRUE),VLOOKUP(Calculator!E23,tbSkills!DH3:DJ6,3,FALSE),0),0)))/100)),1))*IF(VLOOKUP(A22,tbMoveset!A2:K112,11,FALSE)=TRUE,Backdoors!AC5,1))*BU22,0),"")</f>
        <v>0</v>
      </c>
      <c r="BY22" s="49">
        <f>VLOOKUP(A22,tbMoveset!A2:G112,7,FALSE)*IFERROR(IF(Backdoors!AI12&gt;=0,1+(IF(Calculator!E40&gt;0,VLOOKUP(Calculator!E40,tbSkills!AI3:AJ5,2,FALSE),Backdoors!AL4)*(IF((Backdoors!AI12+IF(BT22&gt;=0.45,VLOOKUP(Calculator!E23,tbSkills!DH3:DI6,2,FALSE)+IF(AND(Calculator!B8=TRUE,Backdoors!BI13=TRUE),VLOOKUP(Calculator!E23,tbSkills!DH3:DJ6,3,FALSE),0),0))&gt;=100,100,(Backdoors!AI12+IF(BT22&gt;=0.45,VLOOKUP(Calculator!E23,tbSkills!DH3:DI6,2,FALSE)+IF(AND(Calculator!B8=TRUE,Backdoors!BI13=TRUE),VLOOKUP(Calculator!E23,tbSkills!DH3:DJ6,3,FALSE),0),0)))/100)),1),1)</f>
        <v>0.5</v>
      </c>
      <c r="BZ22" s="87">
        <f t="shared" si="5"/>
        <v>0</v>
      </c>
      <c r="CA22" s="86" t="str">
        <f>IFERROR(IF(VLOOKUP(A22,tbMoveset!A2:B112,2,FALSE)="Sever",Backdoors!AY14/100,IF(VLOOKUP(A22,tbMoveset!A2:B112,2,FALSE)="Blunt",Backdoors!AZ14/100,Backdoors!BA14/100)),"")</f>
        <v/>
      </c>
      <c r="CB22" s="49">
        <f>IFERROR(IF(VLOOKUP(tbMoveset!A22,tbMoveset!A2:H112,8,FALSE)="Other",IF(VLOOKUP(tbMoveset!A22,tbMoveset!A2:I112,9,FALSE)="Fire",Backdoors!BB14,IF(VLOOKUP(tbMoveset!A22,tbMoveset!A2:I112,9,FALSE)="Water",Backdoors!BC14,IF(VLOOKUP(tbMoveset!A22,tbMoveset!A2:I112,9,FALSE)="Thunder",Backdoors!BD14,IF(VLOOKUP(tbMoveset!A22,tbMoveset!A2:I112,9,FALSE)="Ice",Backdoors!BE14,IF(VLOOKUP(tbMoveset!A22,tbMoveset!A2:I112,9,FALSE)="Dragon",Backdoors!BF14,Backdoors!BG14)))))/100,Backdoors!BG14/100),"")</f>
        <v>0</v>
      </c>
      <c r="CC22" s="49">
        <f>IFERROR(IF(VLOOKUP(A22,tbMoveset!A2:J112,10,FALSE)=TRUE,IF((Backdoors!AI12+IF(CA22&gt;=0.45,VLOOKUP(Calculator!E23,tbSkills!DH3:DI6,2,FALSE)+IF(AND(Calculator!B8=TRUE,Backdoors!BI14=TRUE),VLOOKUP(Calculator!E23,tbSkills!DH3:DJ6,3,FALSE),0),0))&gt;=0,1+(Backdoors!AL2*(IF((Backdoors!AI12+IF(CA22&gt;=0.45,VLOOKUP(Calculator!E23,tbSkills!DH3:DI6,2,FALSE)+IF(AND(Calculator!B8=TRUE,Backdoors!BI14=TRUE),VLOOKUP(Calculator!E23,tbSkills!DH3:DJ6,3,FALSE),0),0))&gt;=100,100,(Backdoors!AI12+IF(CA22&gt;=0.45,VLOOKUP(Calculator!E23,tbSkills!DH3:DI6,2,FALSE)+IF(AND(Calculator!B8=TRUE,Backdoors!BI14=TRUE),VLOOKUP(Calculator!E23,tbSkills!DH3:DJ6,3,FALSE),0),0)))/100)),(1-(0.25*((-Backdoors!AI12-IF(CA22&gt;=0.45,VLOOKUP(Calculator!E23,tbSkills!DH3:DI6,2,FALSE)+IF(AND(Calculator!B8=TRUE,Backdoors!BI14=TRUE),VLOOKUP(Calculator!E23,tbSkills!DH3:DJ6,3,FALSE),0),0))/100)))),1),"")</f>
        <v>1</v>
      </c>
      <c r="CD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A22)*CC22)*(VLOOKUP(A22,tbMoveset!A2:C112,3,FALSE)/100)*IF(VLOOKUP(A22,tbMoveset!A2:B112,2,FALSE)="Projectile",Backdoors!N10,Backdoors!N9),0),"")</f>
        <v/>
      </c>
      <c r="CE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A22&gt;=0.45,VLOOKUP(Calculator!E23,tbSkills!DH3:DI6,2,FALSE)+IF(AND(Calculator!B8=TRUE,Backdoors!BI14=TRUE),VLOOKUP(Calculator!E23,tbSkills!DH3:DJ6,3,FALSE),0),0))&gt;=100,100,(Backdoors!AI12+IF(CA22&gt;=0.45,VLOOKUP(Calculator!E23,tbSkills!DH3:DI6,2,FALSE)+IF(AND(Calculator!B8=TRUE,Backdoors!BI14=TRUE),VLOOKUP(Calculator!E23,tbSkills!DH3:DJ6,3,FALSE),0),0)))/100)),1))*IF(VLOOKUP(A22,tbMoveset!A2:K112,11,FALSE)=TRUE,Backdoors!AC5,1))*CB22,0),"")</f>
        <v>0</v>
      </c>
      <c r="CF22" s="49">
        <f>VLOOKUP(A22,tbMoveset!A2:G112,7,FALSE)*IFERROR(IF(Backdoors!AI12&gt;=0,1+(IF(Calculator!E40&gt;0,VLOOKUP(Calculator!E40,tbSkills!AI3:AJ5,2,FALSE),Backdoors!AL4)*(IF((Backdoors!AI12+IF(CA22&gt;=0.45,VLOOKUP(Calculator!E23,tbSkills!DH3:DI6,2,FALSE)+IF(AND(Calculator!B8=TRUE,Backdoors!BI14=TRUE),VLOOKUP(Calculator!E23,tbSkills!DH3:DJ6,3,FALSE),0),0))&gt;=100,100,(Backdoors!AI12+IF(CA22&gt;=0.45,VLOOKUP(Calculator!E23,tbSkills!DH3:DI6,2,FALSE)+IF(AND(Calculator!B8=TRUE,Backdoors!BI14=TRUE),VLOOKUP(Calculator!E23,tbSkills!DH3:DJ6,3,FALSE),0),0)))/100)),1),1)</f>
        <v>0.5</v>
      </c>
      <c r="CG22" s="87">
        <f t="shared" si="6"/>
        <v>0</v>
      </c>
      <c r="CH22" s="86" t="str">
        <f>IFERROR(IF(VLOOKUP(A22,tbMoveset!A2:B112,2,FALSE)="Sever",Backdoors!AY15/100,IF(VLOOKUP(A22,tbMoveset!A2:B112,2,FALSE)="Blunt",Backdoors!AZ15/100,Backdoors!BA15/100)),"")</f>
        <v/>
      </c>
      <c r="CI22" s="49">
        <f>IFERROR(IF(VLOOKUP(tbMoveset!A22,tbMoveset!A2:H112,8,FALSE)="Other",IF(VLOOKUP(tbMoveset!A22,tbMoveset!A2:I112,9,FALSE)="Fire",Backdoors!BB15,IF(VLOOKUP(tbMoveset!A22,tbMoveset!A2:I112,9,FALSE)="Water",Backdoors!BC15,IF(VLOOKUP(tbMoveset!A22,tbMoveset!A2:I112,9,FALSE)="Thunder",Backdoors!BD15,IF(VLOOKUP(tbMoveset!A22,tbMoveset!A2:I112,9,FALSE)="Ice",Backdoors!BE15,IF(VLOOKUP(tbMoveset!A22,tbMoveset!A2:I112,9,FALSE)="Dragon",Backdoors!BF15,Backdoors!BG15)))))/100,Backdoors!BG15/100),"")</f>
        <v>0</v>
      </c>
      <c r="CJ22" s="49">
        <f>IFERROR(IF(VLOOKUP(A22,tbMoveset!A2:J112,10,FALSE)=TRUE,IF((Backdoors!AI12+IF(CH22&gt;=0.45,VLOOKUP(Calculator!E23,tbSkills!DH3:DI6,2,FALSE)+IF(AND(Calculator!B8=TRUE,Backdoors!BI15=TRUE),VLOOKUP(Calculator!E23,tbSkills!DH3:DJ6,3,FALSE),0),0))&gt;=0,1+(Backdoors!AL2*(IF((Backdoors!AI12+IF(CH22&gt;=0.45,VLOOKUP(Calculator!E23,tbSkills!DH3:DI6,2,FALSE)+IF(AND(Calculator!B8=TRUE,Backdoors!BI15=TRUE),VLOOKUP(Calculator!E23,tbSkills!DH3:DJ6,3,FALSE),0),0))&gt;=100,100,(Backdoors!AI12+IF(CH22&gt;=0.45,VLOOKUP(Calculator!E23,tbSkills!DH3:DI6,2,FALSE)+IF(AND(Calculator!B8=TRUE,Backdoors!BI15=TRUE),VLOOKUP(Calculator!E23,tbSkills!DH3:DJ6,3,FALSE),0),0)))/100)),(1-(0.25*((-Backdoors!AI12-IF(CH22&gt;=0.45,VLOOKUP(Calculator!E23,tbSkills!DH3:DI6,2,FALSE)+IF(AND(Calculator!B8=TRUE,Backdoors!BI15=TRUE),VLOOKUP(Calculator!E23,tbSkills!DH3:DJ6,3,FALSE),0),0))/100)))),1),"")</f>
        <v>1</v>
      </c>
      <c r="CK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H22)*CJ22)*(VLOOKUP(A22,tbMoveset!A2:C112,3,FALSE)/100)*IF(VLOOKUP(A22,tbMoveset!A2:B112,2,FALSE)="Projectile",Backdoors!N10,Backdoors!N9),0),"")</f>
        <v/>
      </c>
      <c r="CL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H22&gt;=0.45,VLOOKUP(Calculator!E23,tbSkills!DH3:DI6,2,FALSE)+IF(AND(Calculator!B8=TRUE,Backdoors!BI15=TRUE),VLOOKUP(Calculator!E23,tbSkills!DH3:DJ6,3,FALSE),0),0))&gt;=100,100,(Backdoors!AI12+IF(CH22&gt;=0.45,VLOOKUP(Calculator!E23,tbSkills!DH3:DI6,2,FALSE)+IF(AND(Calculator!B8=TRUE,Backdoors!BI15=TRUE),VLOOKUP(Calculator!E23,tbSkills!DH3:DJ6,3,FALSE),0),0)))/100)),1))*IF(VLOOKUP(A22,tbMoveset!A2:K112,11,FALSE)=TRUE,Backdoors!AC5,1))*CI22,0),"")</f>
        <v>0</v>
      </c>
      <c r="CM22" s="49">
        <f>VLOOKUP(A22,tbMoveset!A2:G112,7,FALSE)*IFERROR(IF(Backdoors!AI12&gt;=0,1+(IF(Calculator!E40&gt;0,VLOOKUP(Calculator!E40,tbSkills!AI3:AJ5,2,FALSE),Backdoors!AL4)*(IF((Backdoors!AI12+IF(CH22&gt;=0.45,VLOOKUP(Calculator!E23,tbSkills!DH3:DI6,2,FALSE)+IF(AND(Calculator!B8=TRUE,Backdoors!BI15=TRUE),VLOOKUP(Calculator!E23,tbSkills!DH3:DJ6,3,FALSE),0),0))&gt;=100,100,(Backdoors!AI12+IF(CH22&gt;=0.45,VLOOKUP(Calculator!E23,tbSkills!DH3:DI6,2,FALSE)+IF(AND(Calculator!B8=TRUE,Backdoors!BI15=TRUE),VLOOKUP(Calculator!E23,tbSkills!DH3:DJ6,3,FALSE),0),0)))/100)),1),1)</f>
        <v>0.5</v>
      </c>
      <c r="CN22" s="87">
        <f t="shared" si="7"/>
        <v>0</v>
      </c>
      <c r="CO22" s="86" t="str">
        <f>IFERROR(IF(VLOOKUP(A22,tbMoveset!A2:B112,2,FALSE)="Sever",Backdoors!AY16/100,IF(VLOOKUP(A22,tbMoveset!A2:B112,2,FALSE)="Blunt",Backdoors!AZ16/100,Backdoors!BA16/100)),"")</f>
        <v/>
      </c>
      <c r="CP22" s="49">
        <f>IFERROR(IF(VLOOKUP(tbMoveset!A22,tbMoveset!A2:H112,8,FALSE)="Other",IF(VLOOKUP(tbMoveset!A22,tbMoveset!A2:I112,9,FALSE)="Fire",Backdoors!BB16,IF(VLOOKUP(tbMoveset!A22,tbMoveset!A2:I112,9,FALSE)="Water",Backdoors!BC16,IF(VLOOKUP(tbMoveset!A22,tbMoveset!A2:I112,9,FALSE)="Thunder",Backdoors!BD16,IF(VLOOKUP(tbMoveset!A22,tbMoveset!A2:I112,9,FALSE)="Ice",Backdoors!BE16,IF(VLOOKUP(tbMoveset!A22,tbMoveset!A2:I112,9,FALSE)="Dragon",Backdoors!BF16,Backdoors!BG16)))))/100,Backdoors!BG16/100),"")</f>
        <v>0</v>
      </c>
      <c r="CQ22" s="49">
        <f>IFERROR(IF(VLOOKUP(A22,tbMoveset!A2:J112,10,FALSE)=TRUE,IF((Backdoors!AI12+IF(CO22&gt;=0.45,VLOOKUP(Calculator!E23,tbSkills!DH3:DI6,2,FALSE)+IF(AND(Calculator!B8=TRUE,Backdoors!BI16=TRUE),VLOOKUP(Calculator!E23,tbSkills!DH3:DJ6,3,FALSE),0),0))&gt;=0,1+(Backdoors!AL2*(IF((Backdoors!AI12+IF(CO22&gt;=0.45,VLOOKUP(Calculator!E23,tbSkills!DH3:DI6,2,FALSE)+IF(AND(Calculator!B8=TRUE,Backdoors!BI16=TRUE),VLOOKUP(Calculator!E23,tbSkills!DH3:DJ6,3,FALSE),0),0))&gt;=100,100,(Backdoors!AI12+IF(CO22&gt;=0.45,VLOOKUP(Calculator!E23,tbSkills!DH3:DI6,2,FALSE)+IF(AND(Calculator!B8=TRUE,Backdoors!BI16=TRUE),VLOOKUP(Calculator!E23,tbSkills!DH3:DJ6,3,FALSE),0),0)))/100)),(1-(0.25*((-Backdoors!AI12-IF(CO22&gt;=0.45,VLOOKUP(Calculator!E23,tbSkills!DH3:DI6,2,FALSE)+IF(AND(Calculator!B8=TRUE,Backdoors!BI16=TRUE),VLOOKUP(Calculator!E23,tbSkills!DH3:DJ6,3,FALSE),0),0))/100)))),1),"")</f>
        <v>1</v>
      </c>
      <c r="CR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O22)*CQ22)*(VLOOKUP(A22,tbMoveset!A2:C112,3,FALSE)/100)*IF(VLOOKUP(A22,tbMoveset!A2:B112,2,FALSE)="Projectile",Backdoors!N10,Backdoors!N9),0),"")</f>
        <v/>
      </c>
      <c r="CS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O22&gt;=0.45,VLOOKUP(Calculator!E23,tbSkills!DH3:DI6,2,FALSE)+IF(AND(Calculator!B8=TRUE,Backdoors!BI16=TRUE),VLOOKUP(Calculator!E23,tbSkills!DH3:DJ6,3,FALSE),0),0))&gt;=100,100,(Backdoors!AI12+IF(CO22&gt;=0.45,VLOOKUP(Calculator!E23,tbSkills!DH3:DI6,2,FALSE)+IF(AND(Calculator!B8=TRUE,Backdoors!BI16=TRUE),VLOOKUP(Calculator!E23,tbSkills!DH3:DJ6,3,FALSE),0),0)))/100)),1))*IF(VLOOKUP(A22,tbMoveset!A2:K112,11,FALSE)=TRUE,Backdoors!AC5,1))*CP22,0),"")</f>
        <v>0</v>
      </c>
      <c r="CT22" s="49">
        <f>VLOOKUP(A22,tbMoveset!A2:G112,7,FALSE)*IFERROR(IF(Backdoors!AI12&gt;=0,1+(IF(Calculator!E40&gt;0,VLOOKUP(Calculator!E40,tbSkills!AI3:AJ5,2,FALSE),Backdoors!AL4)*(IF((Backdoors!AI12+IF(CO22&gt;=0.45,VLOOKUP(Calculator!E23,tbSkills!DH3:DI6,2,FALSE)+IF(AND(Calculator!B8=TRUE,Backdoors!BI16=TRUE),VLOOKUP(Calculator!E23,tbSkills!DH3:DJ6,3,FALSE),0),0))&gt;=100,100,(Backdoors!AI12+IF(CO22&gt;=0.45,VLOOKUP(Calculator!E23,tbSkills!DH3:DI6,2,FALSE)+IF(AND(Calculator!B8=TRUE,Backdoors!BI16=TRUE),VLOOKUP(Calculator!E23,tbSkills!DH3:DJ6,3,FALSE),0),0)))/100)),1),1)</f>
        <v>0.5</v>
      </c>
      <c r="CU22" s="87">
        <f t="shared" si="40"/>
        <v>0</v>
      </c>
      <c r="CV22" s="86" t="str">
        <f>IFERROR(IF(VLOOKUP(A22,tbMoveset!A2:B112,2,FALSE)="Sever",Backdoors!AY17/100,IF(VLOOKUP(A22,tbMoveset!A2:B112,2,FALSE)="Blunt",Backdoors!AZ17/100,Backdoors!BA17/100)),"")</f>
        <v/>
      </c>
      <c r="CW22" s="49">
        <f>IFERROR(IF(VLOOKUP(tbMoveset!A22,tbMoveset!A2:H112,8,FALSE)="Other",IF(VLOOKUP(tbMoveset!A22,tbMoveset!A2:I112,9,FALSE)="Fire",Backdoors!BB17,IF(VLOOKUP(tbMoveset!A22,tbMoveset!A2:I112,9,FALSE)="Water",Backdoors!BC17,IF(VLOOKUP(tbMoveset!A22,tbMoveset!A2:I112,9,FALSE)="Thunder",Backdoors!BD17,IF(VLOOKUP(tbMoveset!A22,tbMoveset!A2:I112,9,FALSE)="Ice",Backdoors!BE17,IF(VLOOKUP(tbMoveset!A22,tbMoveset!A2:I112,9,FALSE)="Dragon",Backdoors!BF17,Backdoors!BG17)))))/100,Backdoors!BG17/100),"")</f>
        <v>0</v>
      </c>
      <c r="CX22" s="49">
        <f>IFERROR(IF(VLOOKUP(A22,tbMoveset!A2:J112,10,FALSE)=TRUE,IF((Backdoors!AI12+IF(CV22&gt;=0.45,VLOOKUP(Calculator!E23,tbSkills!DH3:DI6,2,FALSE)+IF(AND(Calculator!B8=TRUE,Backdoors!BI17=TRUE),VLOOKUP(Calculator!E23,tbSkills!DH3:DJ6,3,FALSE),0),0))&gt;=0,1+(Backdoors!AL2*(IF((Backdoors!AI12+IF(CV22&gt;=0.45,VLOOKUP(Calculator!E23,tbSkills!DH3:DI6,2,FALSE)+IF(AND(Calculator!B8=TRUE,Backdoors!BI17=TRUE),VLOOKUP(Calculator!E23,tbSkills!DH3:DJ6,3,FALSE),0),0))&gt;=100,100,(Backdoors!AI12+IF(CV22&gt;=0.45,VLOOKUP(Calculator!E23,tbSkills!DH3:DI6,2,FALSE)+IF(AND(Calculator!B8=TRUE,Backdoors!BI17=TRUE),VLOOKUP(Calculator!E23,tbSkills!DH3:DJ6,3,FALSE),0),0)))/100)),(1-(0.25*((-Backdoors!AI12-IF(CV22&gt;=0.45,VLOOKUP(Calculator!E23,tbSkills!DH3:DI6,2,FALSE)+IF(AND(Calculator!B8=TRUE,Backdoors!BI17=TRUE),VLOOKUP(Calculator!E23,tbSkills!DH3:DJ6,3,FALSE),0),0))/100)))),1),"")</f>
        <v>1</v>
      </c>
      <c r="CY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V22)*CX22)*(VLOOKUP(A22,tbMoveset!A2:C112,3,FALSE)/100)*IF(VLOOKUP(A22,tbMoveset!A2:B112,2,FALSE)="Projectile",Backdoors!N10,Backdoors!N9),0),"")</f>
        <v/>
      </c>
      <c r="CZ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V22&gt;=0.45,VLOOKUP(Calculator!E23,tbSkills!DH3:DI6,2,FALSE)+IF(AND(Calculator!B8=TRUE,Backdoors!BI17=TRUE),VLOOKUP(Calculator!E23,tbSkills!DH3:DJ6,3,FALSE),0),0))&gt;=100,100,(Backdoors!AI12+IF(CV22&gt;=0.45,VLOOKUP(Calculator!E23,tbSkills!DH3:DI6,2,FALSE)+IF(AND(Calculator!B8=TRUE,Backdoors!BI17=TRUE),VLOOKUP(Calculator!E23,tbSkills!DH3:DJ6,3,FALSE),0),0)))/100)),1))*IF(VLOOKUP(A22,tbMoveset!A2:K112,11,FALSE)=TRUE,Backdoors!AC5,1))*CW22,0),"")</f>
        <v>0</v>
      </c>
      <c r="DA22" s="49">
        <f>VLOOKUP(A22,tbMoveset!A2:G112,7,FALSE)*IFERROR(IF(Backdoors!AI12&gt;=0,1+(IF(Calculator!E40&gt;0,VLOOKUP(Calculator!E40,tbSkills!AI3:AJ5,2,FALSE),Backdoors!AL4)*(IF((Backdoors!AI12+IF(CV22&gt;=0.45,VLOOKUP(Calculator!E23,tbSkills!DH3:DI6,2,FALSE)+IF(AND(Calculator!B8=TRUE,Backdoors!BI17=TRUE),VLOOKUP(Calculator!E23,tbSkills!DH3:DJ6,3,FALSE),0),0))&gt;=100,100,(Backdoors!AI12+IF(CV22&gt;=0.45,VLOOKUP(Calculator!E23,tbSkills!DH3:DI6,2,FALSE)+IF(AND(Calculator!B8=TRUE,Backdoors!BI17=TRUE),VLOOKUP(Calculator!E23,tbSkills!DH3:DJ6,3,FALSE),0),0)))/100)),1),1)</f>
        <v>0.5</v>
      </c>
      <c r="DB22" s="87">
        <f t="shared" si="8"/>
        <v>0</v>
      </c>
      <c r="DC22" s="86" t="str">
        <f>IFERROR(IF(VLOOKUP(A22,tbMoveset!A2:B112,2,FALSE)="Sever",Backdoors!AY18/100,IF(VLOOKUP(A22,tbMoveset!A2:B112,2,FALSE)="Blunt",Backdoors!AZ18/100,Backdoors!BA18/100)),"")</f>
        <v/>
      </c>
      <c r="DD22" s="49">
        <f>IFERROR(IF(VLOOKUP(tbMoveset!A22,tbMoveset!A2:H112,8,FALSE)="Other",IF(VLOOKUP(tbMoveset!A22,tbMoveset!A2:I112,9,FALSE)="Fire",Backdoors!BB18,IF(VLOOKUP(tbMoveset!A22,tbMoveset!A2:I112,9,FALSE)="Water",Backdoors!BC18,IF(VLOOKUP(tbMoveset!A22,tbMoveset!A2:I112,9,FALSE)="Thunder",Backdoors!BD18,IF(VLOOKUP(tbMoveset!A22,tbMoveset!A2:I112,9,FALSE)="Ice",Backdoors!BE18,IF(VLOOKUP(tbMoveset!A22,tbMoveset!A2:I112,9,FALSE)="Dragon",Backdoors!BF18,Backdoors!BG18)))))/100,Backdoors!BG18/100),"")</f>
        <v>0</v>
      </c>
      <c r="DE22" s="49">
        <f>IFERROR(IF(VLOOKUP(A22,tbMoveset!A2:J112,10,FALSE)=TRUE,IF((Backdoors!AI12+IF(DC22&gt;=0.45,VLOOKUP(Calculator!E23,tbSkills!DH3:DI6,2,FALSE)+IF(AND(Calculator!B8=TRUE,Backdoors!BI18=TRUE),VLOOKUP(Calculator!E23,tbSkills!DH3:DJ6,3,FALSE),0),0))&gt;=0,1+(Backdoors!AL2*(IF((Backdoors!AI12+IF(DC22&gt;=0.45,VLOOKUP(Calculator!E23,tbSkills!DH3:DI6,2,FALSE)+IF(AND(Calculator!B8=TRUE,Backdoors!BI18=TRUE),VLOOKUP(Calculator!E23,tbSkills!DH3:DJ6,3,FALSE),0),0))&gt;=100,100,(Backdoors!AI12+IF(DC22&gt;=0.45,VLOOKUP(Calculator!E23,tbSkills!DH3:DI6,2,FALSE)+IF(AND(Calculator!B8=TRUE,Backdoors!BI18=TRUE),VLOOKUP(Calculator!E23,tbSkills!DH3:DJ6,3,FALSE),0),0)))/100)),(1-(0.25*((-Backdoors!AI12-IF(DC22&gt;=0.45,VLOOKUP(Calculator!E23,tbSkills!DH3:DI6,2,FALSE)+IF(AND(Calculator!B8=TRUE,Backdoors!BI18=TRUE),VLOOKUP(Calculator!E23,tbSkills!DH3:DJ6,3,FALSE),0),0))/100)))),1),"")</f>
        <v>1</v>
      </c>
      <c r="DF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C22)*DE22)*(VLOOKUP(A22,tbMoveset!A2:C112,3,FALSE)/100)*IF(VLOOKUP(A22,tbMoveset!A2:B112,2,FALSE)="Projectile",Backdoors!N10,Backdoors!N9),0),"")</f>
        <v/>
      </c>
      <c r="DG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C22&gt;=0.45,VLOOKUP(Calculator!E23,tbSkills!DH3:DI6,2,FALSE)+IF(AND(Calculator!B8=TRUE,Backdoors!BI18=TRUE),VLOOKUP(Calculator!E23,tbSkills!DH3:DJ6,3,FALSE),0),0))&gt;=100,100,(Backdoors!AI12+IF(DC22&gt;=0.45,VLOOKUP(Calculator!E23,tbSkills!DH3:DI6,2,FALSE)+IF(AND(Calculator!B8=TRUE,Backdoors!BI18=TRUE),VLOOKUP(Calculator!E23,tbSkills!DH3:DJ6,3,FALSE),0),0)))/100)),1))*IF(VLOOKUP(A22,tbMoveset!A2:K112,11,FALSE)=TRUE,Backdoors!AC5,1))*DD22,0),"")</f>
        <v>0</v>
      </c>
      <c r="DH22" s="49">
        <f>VLOOKUP(A22,tbMoveset!A2:G112,7,FALSE)*IFERROR(IF(Backdoors!AI12&gt;=0,1+(IF(Calculator!E40&gt;0,VLOOKUP(Calculator!E40,tbSkills!AI3:AJ5,2,FALSE),Backdoors!AL4)*(IF((Backdoors!AI12+IF(DC22&gt;=0.45,VLOOKUP(Calculator!E23,tbSkills!DH3:DI6,2,FALSE)+IF(AND(Calculator!B8=TRUE,Backdoors!BI18=TRUE),VLOOKUP(Calculator!E23,tbSkills!DH3:DJ6,3,FALSE),0),0))&gt;=100,100,(Backdoors!AI12+IF(DC22&gt;=0.45,VLOOKUP(Calculator!E23,tbSkills!DH3:DI6,2,FALSE)+IF(AND(Calculator!B8=TRUE,Backdoors!BI18=TRUE),VLOOKUP(Calculator!E23,tbSkills!DH3:DJ6,3,FALSE),0),0)))/100)),1),1)</f>
        <v>0.5</v>
      </c>
      <c r="DI22" s="87">
        <f t="shared" si="9"/>
        <v>0</v>
      </c>
      <c r="DJ22" s="86" t="str">
        <f>IFERROR(IF(VLOOKUP(A22,tbMoveset!A2:B112,2,FALSE)="Sever",Backdoors!AY19/100,IF(VLOOKUP(A22,tbMoveset!A2:B112,2,FALSE)="Blunt",Backdoors!AZ19/100,Backdoors!BA19/100)),"")</f>
        <v/>
      </c>
      <c r="DK22" s="49">
        <f>IFERROR(IF(VLOOKUP(tbMoveset!A22,tbMoveset!A2:H112,8,FALSE)="Other",IF(VLOOKUP(tbMoveset!A22,tbMoveset!A2:I112,9,FALSE)="Fire",Backdoors!BB19,IF(VLOOKUP(tbMoveset!A22,tbMoveset!A2:I112,9,FALSE)="Water",Backdoors!BC19,IF(VLOOKUP(tbMoveset!A22,tbMoveset!A2:I112,9,FALSE)="Thunder",Backdoors!BD19,IF(VLOOKUP(tbMoveset!A22,tbMoveset!A2:I112,9,FALSE)="Ice",Backdoors!BE19,IF(VLOOKUP(tbMoveset!A22,tbMoveset!A2:I112,9,FALSE)="Dragon",Backdoors!BF19,Backdoors!BG19)))))/100,Backdoors!BG19/100),"")</f>
        <v>0</v>
      </c>
      <c r="DL22" s="49">
        <f>IFERROR(IF(VLOOKUP(A22,tbMoveset!A2:J112,10,FALSE)=TRUE,IF((Backdoors!AI12+IF(DJ22&gt;=0.45,VLOOKUP(Calculator!E23,tbSkills!DH3:DI6,2,FALSE)+IF(AND(Calculator!B8=TRUE,Backdoors!BI19=TRUE),VLOOKUP(Calculator!E23,tbSkills!DH3:DJ6,3,FALSE),0),0))&gt;=0,1+(Backdoors!AL2*(IF((Backdoors!AI12+IF(DJ22&gt;=0.45,VLOOKUP(Calculator!E23,tbSkills!DH3:DI6,2,FALSE)+IF(AND(Calculator!B8=TRUE,Backdoors!BI19=TRUE),VLOOKUP(Calculator!E23,tbSkills!DH3:DJ6,3,FALSE),0),0))&gt;=100,100,(Backdoors!AI12+IF(DJ22&gt;=0.45,VLOOKUP(Calculator!E23,tbSkills!DH3:DI6,2,FALSE)+IF(AND(Calculator!B8=TRUE,Backdoors!BI19=TRUE),VLOOKUP(Calculator!E23,tbSkills!DH3:DJ6,3,FALSE),0),0)))/100)),(1-(0.25*((-Backdoors!AI12-IF(DJ22&gt;=0.45,VLOOKUP(Calculator!E23,tbSkills!DH3:DI6,2,FALSE)+IF(AND(Calculator!B8=TRUE,Backdoors!BI19=TRUE),VLOOKUP(Calculator!E23,tbSkills!DH3:DJ6,3,FALSE),0),0))/100)))),1),"")</f>
        <v>1</v>
      </c>
      <c r="DM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J22)*DL22)*(VLOOKUP(A22,tbMoveset!A2:C112,3,FALSE)/100)*IF(VLOOKUP(A22,tbMoveset!A2:B112,2,FALSE)="Projectile",Backdoors!N10,Backdoors!N9),0),"")</f>
        <v/>
      </c>
      <c r="DN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J22&gt;=0.45,VLOOKUP(Calculator!E23,tbSkills!DH3:DI6,2,FALSE)+IF(AND(Calculator!B8=TRUE,Backdoors!BI19=TRUE),VLOOKUP(Calculator!E23,tbSkills!DH3:DJ6,3,FALSE),0),0))&gt;=100,100,(Backdoors!AI12+IF(DJ22&gt;=0.45,VLOOKUP(Calculator!E23,tbSkills!DH3:DI6,2,FALSE)+IF(AND(Calculator!B8=TRUE,Backdoors!BI19=TRUE),VLOOKUP(Calculator!E23,tbSkills!DH3:DJ6,3,FALSE),0),0)))/100)),1))*IF(VLOOKUP(A22,tbMoveset!A2:K112,11,FALSE)=TRUE,Backdoors!AC5,1))*DK22,0),"")</f>
        <v>0</v>
      </c>
      <c r="DO22" s="49">
        <f>VLOOKUP(A22,tbMoveset!A2:G112,7,FALSE)*IFERROR(IF(Backdoors!AI12&gt;=0,1+(IF(Calculator!E40&gt;0,VLOOKUP(Calculator!E40,tbSkills!AI3:AJ5,2,FALSE),Backdoors!AL4)*(IF((Backdoors!AI12+IF(DJ22&gt;=0.45,VLOOKUP(Calculator!E23,tbSkills!DH3:DI6,2,FALSE)+IF(AND(Calculator!B8=TRUE,Backdoors!BI19=TRUE),VLOOKUP(Calculator!E23,tbSkills!DH3:DJ6,3,FALSE),0),0))&gt;=100,100,(Backdoors!AI12+IF(DJ22&gt;=0.45,VLOOKUP(Calculator!E23,tbSkills!DH3:DI6,2,FALSE)+IF(AND(Calculator!B8=TRUE,Backdoors!BI19=TRUE),VLOOKUP(Calculator!E23,tbSkills!DH3:DJ6,3,FALSE),0),0)))/100)),1),1)</f>
        <v>0.5</v>
      </c>
      <c r="DP22" s="87">
        <f t="shared" si="41"/>
        <v>0</v>
      </c>
      <c r="DQ22" s="86" t="str">
        <f>IFERROR(IF(VLOOKUP(A22,tbMoveset!A2:B112,2,FALSE)="Sever",Backdoors!AY20/100,IF(VLOOKUP(A22,tbMoveset!A2:B112,2,FALSE)="Blunt",Backdoors!AZ20/100,Backdoors!BA20/100)),"")</f>
        <v/>
      </c>
      <c r="DR22" s="49">
        <f>IFERROR(IF(VLOOKUP(tbMoveset!A22,tbMoveset!A2:H112,8,FALSE)="Other",IF(VLOOKUP(tbMoveset!A22,tbMoveset!A2:I112,9,FALSE)="Fire",Backdoors!BB20,IF(VLOOKUP(tbMoveset!A22,tbMoveset!A2:I112,9,FALSE)="Water",Backdoors!BC20,IF(VLOOKUP(tbMoveset!A22,tbMoveset!A2:I112,9,FALSE)="Thunder",Backdoors!BD20,IF(VLOOKUP(tbMoveset!A22,tbMoveset!A2:I112,9,FALSE)="Ice",Backdoors!BE20,IF(VLOOKUP(tbMoveset!A22,tbMoveset!A2:I112,9,FALSE)="Dragon",Backdoors!BF20,Backdoors!BG20)))))/100,Backdoors!BG20/100),"")</f>
        <v>0</v>
      </c>
      <c r="DS22" s="49">
        <f>IFERROR(IF(VLOOKUP(A22,tbMoveset!A2:J112,10,FALSE)=TRUE,IF((Backdoors!AI12+IF(DQ22&gt;=0.45,VLOOKUP(Calculator!E23,tbSkills!DH3:DI6,2,FALSE)+IF(AND(Calculator!B8=TRUE,Backdoors!BI20=TRUE),VLOOKUP(Calculator!E23,tbSkills!DH3:DJ6,3,FALSE),0),0))&gt;=0,1+(Backdoors!AL2*(IF((Backdoors!AI12+IF(DQ22&gt;=0.45,VLOOKUP(Calculator!E23,tbSkills!DH3:DI6,2,FALSE)+IF(AND(Calculator!B8=TRUE,Backdoors!BI20=TRUE),VLOOKUP(Calculator!E23,tbSkills!DH3:DJ6,3,FALSE),0),0))&gt;=100,100,(Backdoors!AI12+IF(DQ22&gt;=0.45,VLOOKUP(Calculator!E23,tbSkills!DH3:DI6,2,FALSE)+IF(AND(Calculator!B8=TRUE,Backdoors!BI20=TRUE),VLOOKUP(Calculator!E23,tbSkills!DH3:DJ6,3,FALSE),0),0)))/100)),(1-(0.25*((-Backdoors!AI12-IF(DQ22&gt;=0.45,VLOOKUP(Calculator!E23,tbSkills!DH3:DI6,2,FALSE)+IF(AND(Calculator!B8=TRUE,Backdoors!BI20=TRUE),VLOOKUP(Calculator!E23,tbSkills!DH3:DJ6,3,FALSE),0),0))/100)))),1),"")</f>
        <v>1</v>
      </c>
      <c r="DT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Q22)*DS22)*(VLOOKUP(A22,tbMoveset!A2:C112,3,FALSE)/100)*IF(VLOOKUP(A22,tbMoveset!A2:B112,2,FALSE)="Projectile",Backdoors!N10,Backdoors!N9),0),"")</f>
        <v/>
      </c>
      <c r="DU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Q22&gt;=0.45,VLOOKUP(Calculator!E23,tbSkills!DH3:DI6,2,FALSE)+IF(AND(Calculator!B8=TRUE,Backdoors!BI20=TRUE),VLOOKUP(Calculator!E23,tbSkills!DH3:DJ6,3,FALSE),0),0))&gt;=100,100,(Backdoors!AI12+IF(DQ22&gt;=0.45,VLOOKUP(Calculator!E23,tbSkills!DH3:DI6,2,FALSE)+IF(AND(Calculator!B8=TRUE,Backdoors!BI20=TRUE),VLOOKUP(Calculator!E23,tbSkills!DH3:DJ6,3,FALSE),0),0)))/100)),1))*IF(VLOOKUP(A22,tbMoveset!A2:K112,11,FALSE)=TRUE,Backdoors!AC5,1))*DR22,0),"")</f>
        <v>0</v>
      </c>
      <c r="DV22" s="49">
        <f>VLOOKUP(A22,tbMoveset!A2:G112,7,FALSE)*IFERROR(IF(Backdoors!AI12&gt;=0,1+(IF(Calculator!E40&gt;0,VLOOKUP(Calculator!E40,tbSkills!AI3:AJ5,2,FALSE),Backdoors!AL4)*(IF((Backdoors!AI12+IF(DQ22&gt;=0.45,VLOOKUP(Calculator!E23,tbSkills!DH3:DI6,2,FALSE)+IF(AND(Calculator!B8=TRUE,Backdoors!BI20=TRUE),VLOOKUP(Calculator!E23,tbSkills!DH3:DJ6,3,FALSE),0),0))&gt;=100,100,(Backdoors!AI12+IF(DQ22&gt;=0.45,VLOOKUP(Calculator!E23,tbSkills!DH3:DI6,2,FALSE)+IF(AND(Calculator!B8=TRUE,Backdoors!BI20=TRUE),VLOOKUP(Calculator!E23,tbSkills!DH3:DJ6,3,FALSE),0),0)))/100)),1),1)</f>
        <v>0.5</v>
      </c>
      <c r="DW22" s="87">
        <f t="shared" si="10"/>
        <v>0</v>
      </c>
      <c r="DX22" s="86" t="str">
        <f>IFERROR(IF(VLOOKUP(A22,tbMoveset!A2:B112,2,FALSE)="Sever",Backdoors!AY21/100,IF(VLOOKUP(A22,tbMoveset!A2:B112,2,FALSE)="Blunt",Backdoors!AZ21/100,Backdoors!BA21/100)),"")</f>
        <v/>
      </c>
      <c r="DY22" s="49">
        <f>IFERROR(IF(VLOOKUP(tbMoveset!A22,tbMoveset!A2:H112,8,FALSE)="Other",IF(VLOOKUP(tbMoveset!A22,tbMoveset!A2:I112,9,FALSE)="Fire",Backdoors!BB21,IF(VLOOKUP(tbMoveset!A22,tbMoveset!A2:I112,9,FALSE)="Water",Backdoors!BC21,IF(VLOOKUP(tbMoveset!A22,tbMoveset!A2:I112,9,FALSE)="Thunder",Backdoors!BD21,IF(VLOOKUP(tbMoveset!A22,tbMoveset!A2:I112,9,FALSE)="Ice",Backdoors!BE21,IF(VLOOKUP(tbMoveset!A22,tbMoveset!A2:I112,9,FALSE)="Dragon",Backdoors!BF21,Backdoors!BG21)))))/100,Backdoors!BG21/100),"")</f>
        <v>0</v>
      </c>
      <c r="DZ22" s="49">
        <f>IFERROR(IF(VLOOKUP(A22,tbMoveset!A2:J112,10,FALSE)=TRUE,IF((Backdoors!AI12+IF(DX22&gt;=0.45,VLOOKUP(Calculator!E23,tbSkills!DH3:DI6,2,FALSE)+IF(AND(Calculator!B8=TRUE,Backdoors!BI21=TRUE),VLOOKUP(Calculator!E23,tbSkills!DH3:DJ6,3,FALSE),0),0))&gt;=0,1+(Backdoors!AL2*(IF((Backdoors!AI12+IF(DX22&gt;=0.45,VLOOKUP(Calculator!E23,tbSkills!DH3:DI6,2,FALSE)+IF(AND(Calculator!B8=TRUE,Backdoors!BI21=TRUE),VLOOKUP(Calculator!E23,tbSkills!DH3:DJ6,3,FALSE),0),0))&gt;=100,100,(Backdoors!AI12+IF(DX22&gt;=0.45,VLOOKUP(Calculator!E23,tbSkills!DH3:DI6,2,FALSE)+IF(AND(Calculator!B8=TRUE,Backdoors!BI21=TRUE),VLOOKUP(Calculator!E23,tbSkills!DH3:DJ6,3,FALSE),0),0)))/100)),(1-(0.25*((-Backdoors!AI12-IF(DX22&gt;=0.45,VLOOKUP(Calculator!E23,tbSkills!DH3:DI6,2,FALSE)+IF(AND(Calculator!B8=TRUE,Backdoors!BI21=TRUE),VLOOKUP(Calculator!E23,tbSkills!DH3:DJ6,3,FALSE),0),0))/100)))),1),"")</f>
        <v>1</v>
      </c>
      <c r="EA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X22)*DZ22)*(VLOOKUP(A22,tbMoveset!A2:C112,3,FALSE)/100)*IF(VLOOKUP(A22,tbMoveset!A2:B112,2,FALSE)="Projectile",Backdoors!N10,Backdoors!N9),0),"")</f>
        <v/>
      </c>
      <c r="EB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X22&gt;=0.45,VLOOKUP(Calculator!E23,tbSkills!DH3:DI6,2,FALSE)+IF(AND(Calculator!B8=TRUE,Backdoors!BI21=TRUE),VLOOKUP(Calculator!E23,tbSkills!DH3:DJ6,3,FALSE),0),0))&gt;=100,100,(Backdoors!AI12+IF(DX22&gt;=0.45,VLOOKUP(Calculator!E23,tbSkills!DH3:DI6,2,FALSE)+IF(AND(Calculator!B8=TRUE,Backdoors!BI21=TRUE),VLOOKUP(Calculator!E23,tbSkills!DH3:DJ6,3,FALSE),0),0)))/100)),1))*IF(VLOOKUP(A22,tbMoveset!A2:K112,11,FALSE)=TRUE,Backdoors!AC5,1))*DY22,0),"")</f>
        <v>0</v>
      </c>
      <c r="EC22" s="49">
        <f>VLOOKUP(A22,tbMoveset!A2:G112,7,FALSE)*IFERROR(IF(Backdoors!AI12&gt;=0,1+(IF(Calculator!E40&gt;0,VLOOKUP(Calculator!E40,tbSkills!AI3:AJ5,2,FALSE),Backdoors!AL4)*(IF((Backdoors!AI12+IF(DX22&gt;=0.45,VLOOKUP(Calculator!E23,tbSkills!DH3:DI6,2,FALSE)+IF(AND(Calculator!B8=TRUE,Backdoors!BI21=TRUE),VLOOKUP(Calculator!E23,tbSkills!DH3:DJ6,3,FALSE),0),0))&gt;=100,100,(Backdoors!AI12+IF(DX22&gt;=0.45,VLOOKUP(Calculator!E23,tbSkills!DH3:DI6,2,FALSE)+IF(AND(Calculator!B8=TRUE,Backdoors!BI21=TRUE),VLOOKUP(Calculator!E23,tbSkills!DH3:DJ6,3,FALSE),0),0)))/100)),1),1)</f>
        <v>0.5</v>
      </c>
      <c r="ED22" s="87">
        <f t="shared" si="11"/>
        <v>0</v>
      </c>
      <c r="EE22" s="86" t="str">
        <f>IFERROR(IF(VLOOKUP(A22,tbMoveset!A2:B112,2,FALSE)="Sever",Backdoors!AY22/100,IF(VLOOKUP(A22,tbMoveset!A2:B112,2,FALSE)="Blunt",Backdoors!AZ22/100,Backdoors!BA22/100)),"")</f>
        <v/>
      </c>
      <c r="EF22" s="49">
        <f>IFERROR(IF(VLOOKUP(tbMoveset!A22,tbMoveset!A2:H112,8,FALSE)="Other",IF(VLOOKUP(tbMoveset!A22,tbMoveset!A2:I112,9,FALSE)="Fire",Backdoors!BB22,IF(VLOOKUP(tbMoveset!A22,tbMoveset!A2:I112,9,FALSE)="Water",Backdoors!BC22,IF(VLOOKUP(tbMoveset!A22,tbMoveset!A2:I112,9,FALSE)="Thunder",Backdoors!BD22,IF(VLOOKUP(tbMoveset!A22,tbMoveset!A2:I112,9,FALSE)="Ice",Backdoors!BE22,IF(VLOOKUP(tbMoveset!A22,tbMoveset!A2:I112,9,FALSE)="Dragon",Backdoors!BF22,Backdoors!BG22)))))/100,Backdoors!BG22/100),"")</f>
        <v>0</v>
      </c>
      <c r="EG22" s="49">
        <f>IFERROR(IF(VLOOKUP(A22,tbMoveset!A2:J112,10,FALSE)=TRUE,IF((Backdoors!AI12+IF(EE22&gt;=0.45,VLOOKUP(Calculator!E23,tbSkills!DH3:DI6,2,FALSE)+IF(AND(Calculator!B8=TRUE,Backdoors!BI22=TRUE),VLOOKUP(Calculator!E23,tbSkills!DH3:DJ6,3,FALSE),0),0))&gt;=0,1+(Backdoors!AL2*(IF((Backdoors!AI12+IF(EE22&gt;=0.45,VLOOKUP(Calculator!E23,tbSkills!DH3:DI6,2,FALSE)+IF(AND(Calculator!B8=TRUE,Backdoors!BI22=TRUE),VLOOKUP(Calculator!E23,tbSkills!DH3:DJ6,3,FALSE),0),0))&gt;=100,100,(Backdoors!AI12+IF(EE22&gt;=0.45,VLOOKUP(Calculator!E23,tbSkills!DH3:DI6,2,FALSE)+IF(AND(Calculator!B8=TRUE,Backdoors!BI22=TRUE),VLOOKUP(Calculator!E23,tbSkills!DH3:DJ6,3,FALSE),0),0)))/100)),(1-(0.25*((-Backdoors!AI12-IF(EE22&gt;=0.45,VLOOKUP(Calculator!E23,tbSkills!DH3:DI6,2,FALSE)+IF(AND(Calculator!B8=TRUE,Backdoors!BI22=TRUE),VLOOKUP(Calculator!E23,tbSkills!DH3:DJ6,3,FALSE),0),0))/100)))),1),"")</f>
        <v>1</v>
      </c>
      <c r="EH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E22)*EG22)*(VLOOKUP(A22,tbMoveset!A2:C112,3,FALSE)/100)*IF(VLOOKUP(A22,tbMoveset!A2:B112,2,FALSE)="Projectile",Backdoors!N10,Backdoors!N9),0),"")</f>
        <v/>
      </c>
      <c r="EI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E22&gt;=0.45,VLOOKUP(Calculator!E23,tbSkills!DH3:DI6,2,FALSE)+IF(AND(Calculator!B8=TRUE,Backdoors!BI22=TRUE),VLOOKUP(Calculator!E23,tbSkills!DH3:DJ6,3,FALSE),0),0))&gt;=100,100,(Backdoors!AI12+IF(EE22&gt;=0.45,VLOOKUP(Calculator!E23,tbSkills!DH3:DI6,2,FALSE)+IF(AND(Calculator!B8=TRUE,Backdoors!BI22=TRUE),VLOOKUP(Calculator!E23,tbSkills!DH3:DJ6,3,FALSE),0),0)))/100)),1))*IF(VLOOKUP(A22,tbMoveset!A2:K112,11,FALSE)=TRUE,Backdoors!AC5,1))*EF22,0),"")</f>
        <v>0</v>
      </c>
      <c r="EJ22" s="49">
        <f>VLOOKUP(A22,tbMoveset!A2:G112,7,FALSE)*IFERROR(IF(Backdoors!AI12&gt;=0,1+(IF(Calculator!E40&gt;0,VLOOKUP(Calculator!E40,tbSkills!AI3:AJ5,2,FALSE),Backdoors!AL4)*(IF((Backdoors!AI12+IF(EE22&gt;=0.45,VLOOKUP(Calculator!E23,tbSkills!DH3:DI6,2,FALSE)+IF(AND(Calculator!B8=TRUE,Backdoors!BI22=TRUE),VLOOKUP(Calculator!E23,tbSkills!DH3:DJ6,3,FALSE),0),0))&gt;=100,100,(Backdoors!AI12+IF(EE22&gt;=0.45,VLOOKUP(Calculator!E23,tbSkills!DH3:DI6,2,FALSE)+IF(AND(Calculator!B8=TRUE,Backdoors!BI22=TRUE),VLOOKUP(Calculator!E23,tbSkills!DH3:DJ6,3,FALSE),0),0)))/100)),1),1)</f>
        <v>0.5</v>
      </c>
      <c r="EK22" s="87">
        <f t="shared" si="12"/>
        <v>0</v>
      </c>
      <c r="EL22" s="86" t="str">
        <f>IFERROR(IF(VLOOKUP(A22,tbMoveset!A2:B112,2,FALSE)="Sever",Backdoors!AY23/100,IF(VLOOKUP(A22,tbMoveset!A2:B112,2,FALSE)="Blunt",Backdoors!AZ23/100,Backdoors!BA23/100)),"")</f>
        <v/>
      </c>
      <c r="EM22" s="49">
        <f>IFERROR(IF(VLOOKUP(tbMoveset!A22,tbMoveset!A2:H112,8,FALSE)="Other",IF(VLOOKUP(tbMoveset!A22,tbMoveset!A2:I112,9,FALSE)="Fire",Backdoors!BB23,IF(VLOOKUP(tbMoveset!A22,tbMoveset!A2:I112,9,FALSE)="Water",Backdoors!BC23,IF(VLOOKUP(tbMoveset!A22,tbMoveset!A2:I112,9,FALSE)="Thunder",Backdoors!BD23,IF(VLOOKUP(tbMoveset!A22,tbMoveset!A2:I112,9,FALSE)="Ice",Backdoors!BE23,IF(VLOOKUP(tbMoveset!A22,tbMoveset!A2:I112,9,FALSE)="Dragon",Backdoors!BF23,Backdoors!BG23)))))/100,Backdoors!BG23/100),"")</f>
        <v>0</v>
      </c>
      <c r="EN22" s="49">
        <f>IFERROR(IF(VLOOKUP(A22,tbMoveset!A2:J112,10,FALSE)=TRUE,IF((Backdoors!AI12+IF(EL22&gt;=0.45,VLOOKUP(Calculator!E23,tbSkills!DH3:DI6,2,FALSE)+IF(AND(Calculator!B8=TRUE,Backdoors!BI23=TRUE),VLOOKUP(Calculator!E23,tbSkills!DH3:DJ6,3,FALSE),0),0))&gt;=0,1+(Backdoors!AL2*(IF((Backdoors!AI12+IF(EL22&gt;=0.45,VLOOKUP(Calculator!E23,tbSkills!DH3:DI6,2,FALSE)+IF(AND(Calculator!B8=TRUE,Backdoors!BI23=TRUE),VLOOKUP(Calculator!E23,tbSkills!DH3:DJ6,3,FALSE),0),0))&gt;=100,100,(Backdoors!AI12+IF(EL22&gt;=0.45,VLOOKUP(Calculator!E23,tbSkills!DH3:DI6,2,FALSE)+IF(AND(Calculator!B8=TRUE,Backdoors!BI23=TRUE),VLOOKUP(Calculator!E23,tbSkills!DH3:DJ6,3,FALSE),0),0)))/100)),(1-(0.25*((-Backdoors!AI12-IF(EL22&gt;=0.45,VLOOKUP(Calculator!E23,tbSkills!DH3:DI6,2,FALSE)+IF(AND(Calculator!B8=TRUE,Backdoors!BI23=TRUE),VLOOKUP(Calculator!E23,tbSkills!DH3:DJ6,3,FALSE),0),0))/100)))),1),"")</f>
        <v>1</v>
      </c>
      <c r="EO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L22)*EN22)*(VLOOKUP(A22,tbMoveset!A2:C112,3,FALSE)/100)*IF(VLOOKUP(A22,tbMoveset!A2:B112,2,FALSE)="Projectile",Backdoors!N10,Backdoors!N9),0),"")</f>
        <v/>
      </c>
      <c r="EP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L22&gt;=0.45,VLOOKUP(Calculator!E23,tbSkills!DH3:DI6,2,FALSE)+IF(AND(Calculator!B8=TRUE,Backdoors!BI23=TRUE),VLOOKUP(Calculator!E23,tbSkills!DH3:DJ6,3,FALSE),0),0))&gt;=100,100,(Backdoors!AI12+IF(EL22&gt;=0.45,VLOOKUP(Calculator!E23,tbSkills!DH3:DI6,2,FALSE)+IF(AND(Calculator!B8=TRUE,Backdoors!BI23=TRUE),VLOOKUP(Calculator!E23,tbSkills!DH3:DJ6,3,FALSE),0),0)))/100)),1))*IF(VLOOKUP(A22,tbMoveset!A2:K112,11,FALSE)=TRUE,Backdoors!AC5,1))*EM22,0),"")</f>
        <v>0</v>
      </c>
      <c r="EQ22" s="49">
        <f>VLOOKUP(A22,tbMoveset!A2:G112,7,FALSE)*IFERROR(IF(Backdoors!AI12&gt;=0,1+(IF(Calculator!E40&gt;0,VLOOKUP(Calculator!E40,tbSkills!AI3:AJ5,2,FALSE),Backdoors!AL4)*(IF((Backdoors!AI12+IF(EL22&gt;=0.45,VLOOKUP(Calculator!E23,tbSkills!DH3:DI6,2,FALSE)+IF(AND(Calculator!B8=TRUE,Backdoors!BI23=TRUE),VLOOKUP(Calculator!E23,tbSkills!DH3:DJ6,3,FALSE),0),0))&gt;=100,100,(Backdoors!AI12+IF(EL22&gt;=0.45,VLOOKUP(Calculator!E23,tbSkills!DH3:DI6,2,FALSE)+IF(AND(Calculator!B8=TRUE,Backdoors!BI23=TRUE),VLOOKUP(Calculator!E23,tbSkills!DH3:DJ6,3,FALSE),0),0)))/100)),1),1)</f>
        <v>0.5</v>
      </c>
      <c r="ER22" s="87">
        <f t="shared" si="13"/>
        <v>0</v>
      </c>
      <c r="ES22" s="86" t="str">
        <f>IFERROR(IF(VLOOKUP(A22,tbMoveset!A2:B112,2,FALSE)="Sever",Backdoors!AY24/100,IF(VLOOKUP(A22,tbMoveset!A2:B112,2,FALSE)="Blunt",Backdoors!AZ24/100,Backdoors!BA24/100)),"")</f>
        <v/>
      </c>
      <c r="ET22" s="49">
        <f>IFERROR(IF(VLOOKUP(tbMoveset!A22,tbMoveset!A2:H112,8,FALSE)="Other",IF(VLOOKUP(tbMoveset!A22,tbMoveset!A2:I112,9,FALSE)="Fire",Backdoors!BB24,IF(VLOOKUP(tbMoveset!A22,tbMoveset!A2:I112,9,FALSE)="Water",Backdoors!BC24,IF(VLOOKUP(tbMoveset!A22,tbMoveset!A2:I112,9,FALSE)="Thunder",Backdoors!BD24,IF(VLOOKUP(tbMoveset!A22,tbMoveset!A2:I112,9,FALSE)="Ice",Backdoors!BE24,IF(VLOOKUP(tbMoveset!A22,tbMoveset!A2:I112,9,FALSE)="Dragon",Backdoors!BF24,Backdoors!BG24)))))/100,Backdoors!BG24/100),"")</f>
        <v>0</v>
      </c>
      <c r="EU22" s="49">
        <f>IFERROR(IF(VLOOKUP(A22,tbMoveset!A2:J112,10,FALSE)=TRUE,IF((Backdoors!AI12+IF(ES22&gt;=0.45,VLOOKUP(Calculator!E23,tbSkills!DH3:DI6,2,FALSE)+IF(AND(Calculator!B8=TRUE,Backdoors!BI24=TRUE),VLOOKUP(Calculator!E23,tbSkills!DH3:DJ6,3,FALSE),0),0))&gt;=0,1+(Backdoors!AL2*(IF((Backdoors!AI12+IF(ES22&gt;=0.45,VLOOKUP(Calculator!E23,tbSkills!DH3:DI6,2,FALSE)+IF(AND(Calculator!B8=TRUE,Backdoors!BI24=TRUE),VLOOKUP(Calculator!E23,tbSkills!DH3:DJ6,3,FALSE),0),0))&gt;=100,100,(Backdoors!AI12+IF(ES22&gt;=0.45,VLOOKUP(Calculator!E23,tbSkills!DH3:DI6,2,FALSE)+IF(AND(Calculator!B8=TRUE,Backdoors!BI24=TRUE),VLOOKUP(Calculator!E23,tbSkills!DH3:DJ6,3,FALSE),0),0)))/100)),(1-(0.25*((-Backdoors!AI12-IF(ES22&gt;=0.45,VLOOKUP(Calculator!E23,tbSkills!DH3:DI6,2,FALSE)+IF(AND(Calculator!B8=TRUE,Backdoors!BI24=TRUE),VLOOKUP(Calculator!E23,tbSkills!DH3:DJ6,3,FALSE),0),0))/100)))),1),"")</f>
        <v>1</v>
      </c>
      <c r="EV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S22)*EU22)*(VLOOKUP(A22,tbMoveset!A2:C112,3,FALSE)/100)*IF(VLOOKUP(A22,tbMoveset!A2:B112,2,FALSE)="Projectile",Backdoors!N10,Backdoors!N9),0),"")</f>
        <v/>
      </c>
      <c r="EW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S22&gt;=0.45,VLOOKUP(Calculator!E23,tbSkills!DH3:DI6,2,FALSE)+IF(AND(Calculator!B8=TRUE,Backdoors!BI24=TRUE),VLOOKUP(Calculator!E23,tbSkills!DH3:DJ6,3,FALSE),0),0))&gt;=100,100,(Backdoors!AI12+IF(ES22&gt;=0.45,VLOOKUP(Calculator!E23,tbSkills!DH3:DI6,2,FALSE)+IF(AND(Calculator!B8=TRUE,Backdoors!BI24=TRUE),VLOOKUP(Calculator!E23,tbSkills!DH3:DJ6,3,FALSE),0),0)))/100)),1))*IF(VLOOKUP(A22,tbMoveset!A2:K112,11,FALSE)=TRUE,Backdoors!AC5,1))*ET22,0),"")</f>
        <v>0</v>
      </c>
      <c r="EX22" s="49">
        <f>VLOOKUP(A22,tbMoveset!A2:G112,7,FALSE)*IFERROR(IF(Backdoors!AI12&gt;=0,1+(IF(Calculator!E40&gt;0,VLOOKUP(Calculator!E40,tbSkills!AI3:AJ5,2,FALSE),Backdoors!AL4)*(IF((Backdoors!AI12+IF(ES22&gt;=0.45,VLOOKUP(Calculator!E23,tbSkills!DH3:DI6,2,FALSE)+IF(AND(Calculator!B8=TRUE,Backdoors!BI24=TRUE),VLOOKUP(Calculator!E23,tbSkills!DH3:DJ6,3,FALSE),0),0))&gt;=100,100,(Backdoors!AI12+IF(ES22&gt;=0.45,VLOOKUP(Calculator!E23,tbSkills!DH3:DI6,2,FALSE)+IF(AND(Calculator!B8=TRUE,Backdoors!BI24=TRUE),VLOOKUP(Calculator!E23,tbSkills!DH3:DJ6,3,FALSE),0),0)))/100)),1),1)</f>
        <v>0.5</v>
      </c>
      <c r="EY22" s="87">
        <f t="shared" si="14"/>
        <v>0</v>
      </c>
      <c r="EZ22" s="86" t="str">
        <f>IFERROR(IF(VLOOKUP(A22,tbMoveset!A2:B112,2,FALSE)="Sever",Backdoors!AY25/100,IF(VLOOKUP(A22,tbMoveset!A2:B112,2,FALSE)="Blunt",Backdoors!AZ25/100,Backdoors!BA25/100)),"")</f>
        <v/>
      </c>
      <c r="FA22" s="49">
        <f>IFERROR(IF(VLOOKUP(tbMoveset!A22,tbMoveset!A2:H112,8,FALSE)="Other",IF(VLOOKUP(tbMoveset!A22,tbMoveset!A2:I112,9,FALSE)="Fire",Backdoors!BB25,IF(VLOOKUP(tbMoveset!A22,tbMoveset!A2:I112,9,FALSE)="Water",Backdoors!BC25,IF(VLOOKUP(tbMoveset!A22,tbMoveset!A2:I112,9,FALSE)="Thunder",Backdoors!BD25,IF(VLOOKUP(tbMoveset!A22,tbMoveset!A2:I112,9,FALSE)="Ice",Backdoors!BE25,IF(VLOOKUP(tbMoveset!A22,tbMoveset!A2:I112,9,FALSE)="Dragon",Backdoors!BF25,Backdoors!BG25)))))/100,Backdoors!BG25/100),"")</f>
        <v>0</v>
      </c>
      <c r="FB22" s="49">
        <f>IFERROR(IF(VLOOKUP(A22,tbMoveset!A2:J112,10,FALSE)=TRUE,IF((Backdoors!AI12+IF(EZ22&gt;=0.45,VLOOKUP(Calculator!E23,tbSkills!DH3:DI6,2,FALSE)+IF(AND(Calculator!B8=TRUE,Backdoors!BI25=TRUE),VLOOKUP(Calculator!E23,tbSkills!DH3:DJ6,3,FALSE),0),0))&gt;=0,1+(Backdoors!AL2*(IF((Backdoors!AI12+IF(EZ22&gt;=0.45,VLOOKUP(Calculator!E23,tbSkills!DH3:DI6,2,FALSE)+IF(AND(Calculator!B8=TRUE,Backdoors!BI25=TRUE),VLOOKUP(Calculator!E23,tbSkills!DH3:DJ6,3,FALSE),0),0))&gt;=100,100,(Backdoors!AI12+IF(EZ22&gt;=0.45,VLOOKUP(Calculator!E23,tbSkills!DH3:DI6,2,FALSE)+IF(AND(Calculator!B8=TRUE,Backdoors!BI25=TRUE),VLOOKUP(Calculator!E23,tbSkills!DH3:DJ6,3,FALSE),0),0)))/100)),(1-(0.25*((-Backdoors!AI12-IF(EZ22&gt;=0.45,VLOOKUP(Calculator!E23,tbSkills!DH3:DI6,2,FALSE)+IF(AND(Calculator!B8=TRUE,Backdoors!BI25=TRUE),VLOOKUP(Calculator!E23,tbSkills!DH3:DJ6,3,FALSE),0),0))/100)))),1),"")</f>
        <v>1</v>
      </c>
      <c r="FC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Z22)*FB22)*(VLOOKUP(A22,tbMoveset!A2:C112,3,FALSE)/100)*IF(VLOOKUP(A22,tbMoveset!A2:B112,2,FALSE)="Projectile",Backdoors!N10,Backdoors!N9),0),"")</f>
        <v/>
      </c>
      <c r="FD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Z22&gt;=0.45,VLOOKUP(Calculator!E23,tbSkills!DH3:DI6,2,FALSE)+IF(AND(Calculator!B8=TRUE,Backdoors!BI25=TRUE),VLOOKUP(Calculator!E23,tbSkills!DH3:DJ6,3,FALSE),0),0))&gt;=100,100,(Backdoors!AI12+IF(EZ22&gt;=0.45,VLOOKUP(Calculator!E23,tbSkills!DH3:DI6,2,FALSE)+IF(AND(Calculator!B8=TRUE,Backdoors!BI25=TRUE),VLOOKUP(Calculator!E23,tbSkills!DH3:DJ6,3,FALSE),0),0)))/100)),1))*IF(VLOOKUP(A22,tbMoveset!A2:K112,11,FALSE)=TRUE,Backdoors!AC5,1))*FA22,0),"")</f>
        <v>0</v>
      </c>
      <c r="FE22" s="49">
        <f>VLOOKUP(A22,tbMoveset!A2:G112,7,FALSE)*IFERROR(IF(Backdoors!AI12&gt;=0,1+(IF(Calculator!E40&gt;0,VLOOKUP(Calculator!E40,tbSkills!AI3:AJ5,2,FALSE),Backdoors!AL4)*(IF((Backdoors!AI12+IF(EZ22&gt;=0.45,VLOOKUP(Calculator!E23,tbSkills!DH3:DI6,2,FALSE)+IF(AND(Calculator!B8=TRUE,Backdoors!BI25=TRUE),VLOOKUP(Calculator!E23,tbSkills!DH3:DJ6,3,FALSE),0),0))&gt;=100,100,(Backdoors!AI12+IF(EZ22&gt;=0.45,VLOOKUP(Calculator!E23,tbSkills!DH3:DI6,2,FALSE)+IF(AND(Calculator!B8=TRUE,Backdoors!BI25=TRUE),VLOOKUP(Calculator!E23,tbSkills!DH3:DJ6,3,FALSE),0),0)))/100)),1),1)</f>
        <v>0.5</v>
      </c>
      <c r="FF22" s="87">
        <f t="shared" si="15"/>
        <v>0</v>
      </c>
      <c r="FG22" s="86" t="str">
        <f>IFERROR(IF(VLOOKUP(A22,tbMoveset!A2:B112,2,FALSE)="Sever",Backdoors!AY26/100,IF(VLOOKUP(A22,tbMoveset!A2:B112,2,FALSE)="Blunt",Backdoors!AZ26/100,Backdoors!BA26/100)),"")</f>
        <v/>
      </c>
      <c r="FH22" s="49">
        <f>IFERROR(IF(VLOOKUP(tbMoveset!A22,tbMoveset!A2:H112,8,FALSE)="Other",IF(VLOOKUP(tbMoveset!A22,tbMoveset!A2:I112,9,FALSE)="Fire",Backdoors!BB26,IF(VLOOKUP(tbMoveset!A22,tbMoveset!A2:I112,9,FALSE)="Water",Backdoors!BC26,IF(VLOOKUP(tbMoveset!A22,tbMoveset!A2:I112,9,FALSE)="Thunder",Backdoors!BD26,IF(VLOOKUP(tbMoveset!A22,tbMoveset!A2:I112,9,FALSE)="Ice",Backdoors!BE26,IF(VLOOKUP(tbMoveset!A22,tbMoveset!A2:I112,9,FALSE)="Dragon",Backdoors!BF26,Backdoors!BG26)))))/100,Backdoors!BG26/100),"")</f>
        <v>0</v>
      </c>
      <c r="FI22" s="49">
        <f>IFERROR(IF(VLOOKUP(A22,tbMoveset!A2:J112,10,FALSE)=TRUE,IF((Backdoors!AI12+IF(FG22&gt;=0.45,VLOOKUP(Calculator!E23,tbSkills!DH3:DI6,2,FALSE)+IF(AND(Calculator!B8=TRUE,Backdoors!BI26=TRUE),VLOOKUP(Calculator!E23,tbSkills!DH3:DJ6,3,FALSE),0),0))&gt;=0,1+(Backdoors!AL2*(IF((Backdoors!AI12+IF(FG22&gt;=0.45,VLOOKUP(Calculator!E23,tbSkills!DH3:DI6,2,FALSE)+IF(AND(Calculator!B8=TRUE,Backdoors!BI26=TRUE),VLOOKUP(Calculator!E23,tbSkills!DH3:DJ6,3,FALSE),0),0))&gt;=100,100,(Backdoors!AI12+IF(FG22&gt;=0.45,VLOOKUP(Calculator!E23,tbSkills!DH3:DI6,2,FALSE)+IF(AND(Calculator!B8=TRUE,Backdoors!BI26=TRUE),VLOOKUP(Calculator!E23,tbSkills!DH3:DJ6,3,FALSE),0),0)))/100)),(1-(0.25*((-Backdoors!AI12-IF(FG22&gt;=0.45,VLOOKUP(Calculator!E23,tbSkills!DH3:DI6,2,FALSE)+IF(AND(Calculator!B8=TRUE,Backdoors!BI26=TRUE),VLOOKUP(Calculator!E23,tbSkills!DH3:DJ6,3,FALSE),0),0))/100)))),1),"")</f>
        <v>1</v>
      </c>
      <c r="FJ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FG22)*FI22)*(VLOOKUP(A22,tbMoveset!A2:C112,3,FALSE)/100)*IF(VLOOKUP(A22,tbMoveset!A2:B112,2,FALSE)="Projectile",Backdoors!N10,Backdoors!N9),0),"")</f>
        <v/>
      </c>
      <c r="FK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FG22&gt;=0.45,VLOOKUP(Calculator!E23,tbSkills!DH3:DI6,2,FALSE)+IF(AND(Calculator!B8=TRUE,Backdoors!BI26=TRUE),VLOOKUP(Calculator!E23,tbSkills!DH3:DJ6,3,FALSE),0),0))&gt;=100,100,(Backdoors!AI12+IF(FG22&gt;=0.45,VLOOKUP(Calculator!E23,tbSkills!DH3:DI6,2,FALSE)+IF(AND(Calculator!B8=TRUE,Backdoors!BI26=TRUE),VLOOKUP(Calculator!E23,tbSkills!DH3:DJ6,3,FALSE),0),0)))/100)),1))*IF(VLOOKUP(A22,tbMoveset!A2:K112,11,FALSE)=TRUE,Backdoors!AC5,1))*FH22,0),"")</f>
        <v>0</v>
      </c>
      <c r="FL22" s="49">
        <f>VLOOKUP(A22,tbMoveset!A2:G112,7,FALSE)*IFERROR(IF(Backdoors!AI12&gt;=0,1+(IF(Calculator!E40&gt;0,VLOOKUP(Calculator!E40,tbSkills!AI3:AJ5,2,FALSE),Backdoors!AL4)*(IF((Backdoors!AI12+IF(FG22&gt;=0.45,VLOOKUP(Calculator!E23,tbSkills!DH3:DI6,2,FALSE)+IF(AND(Calculator!B8=TRUE,Backdoors!BI26=TRUE),VLOOKUP(Calculator!E23,tbSkills!DH3:DJ6,3,FALSE),0),0))&gt;=100,100,(Backdoors!AI12+IF(FG22&gt;=0.45,VLOOKUP(Calculator!E23,tbSkills!DH3:DI6,2,FALSE)+IF(AND(Calculator!B8=TRUE,Backdoors!BI26=TRUE),VLOOKUP(Calculator!E23,tbSkills!DH3:DJ6,3,FALSE),0),0)))/100)),1),1)</f>
        <v>0.5</v>
      </c>
      <c r="FM22" s="87">
        <f t="shared" si="16"/>
        <v>0</v>
      </c>
      <c r="FN22" s="86" t="str">
        <f>IFERROR(IF(VLOOKUP(A22,tbMoveset!A2:B112,2,FALSE)="Sever",Backdoors!AY27/100,IF(VLOOKUP(A22,tbMoveset!A2:B112,2,FALSE)="Blunt",Backdoors!AZ27/100,Backdoors!BA27/100)),"")</f>
        <v/>
      </c>
      <c r="FO22" s="49">
        <f>IFERROR(IF(VLOOKUP(tbMoveset!A22,tbMoveset!A2:H112,8,FALSE)="Other",IF(VLOOKUP(tbMoveset!A22,tbMoveset!A2:I112,9,FALSE)="Fire",Backdoors!BB27,IF(VLOOKUP(tbMoveset!A22,tbMoveset!A2:I112,9,FALSE)="Water",Backdoors!BC27,IF(VLOOKUP(tbMoveset!A22,tbMoveset!A2:I112,9,FALSE)="Thunder",Backdoors!BD27,IF(VLOOKUP(tbMoveset!A22,tbMoveset!A2:I112,9,FALSE)="Ice",Backdoors!BE27,IF(VLOOKUP(tbMoveset!A22,tbMoveset!A2:I112,9,FALSE)="Dragon",Backdoors!BF27,Backdoors!BG27)))))/100,Backdoors!BG27/100),"")</f>
        <v>0</v>
      </c>
      <c r="FP22" s="49">
        <f>IFERROR(IF(VLOOKUP(A22,tbMoveset!A2:J112,10,FALSE)=TRUE,IF((Backdoors!AI12+IF(FN22&gt;=0.45,VLOOKUP(Calculator!E23,tbSkills!DH3:DI6,2,FALSE)+IF(AND(Calculator!B8=TRUE,Backdoors!BI27=TRUE),VLOOKUP(Calculator!E23,tbSkills!DH3:DJ6,3,FALSE),0),0))&gt;=0,1+(Backdoors!AL2*(IF((Backdoors!AI12+IF(FN22&gt;=0.45,VLOOKUP(Calculator!E23,tbSkills!DH3:DI6,2,FALSE)+IF(AND(Calculator!B8=TRUE,Backdoors!BI27=TRUE),VLOOKUP(Calculator!E23,tbSkills!DH3:DJ6,3,FALSE),0),0))&gt;=100,100,(Backdoors!AI12+IF(FN22&gt;=0.45,VLOOKUP(Calculator!E23,tbSkills!DH3:DI6,2,FALSE)+IF(AND(Calculator!B8=TRUE,Backdoors!BI27=TRUE),VLOOKUP(Calculator!E23,tbSkills!DH3:DJ6,3,FALSE),0),0)))/100)),(1-(0.25*((-Backdoors!AI12-IF(FN22&gt;=0.45,VLOOKUP(Calculator!E23,tbSkills!DH3:DI6,2,FALSE)+IF(AND(Calculator!B8=TRUE,Backdoors!BI27=TRUE),VLOOKUP(Calculator!E23,tbSkills!DH3:DJ6,3,FALSE),0),0))/100)))),1),"")</f>
        <v>1</v>
      </c>
      <c r="FQ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FN22)*FP22)*(VLOOKUP(A22,tbMoveset!A2:C112,3,FALSE)/100)*IF(VLOOKUP(A22,tbMoveset!A2:B112,2,FALSE)="Projectile",Backdoors!N10,Backdoors!N9),0),"")</f>
        <v/>
      </c>
      <c r="FR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FN22&gt;=0.45,VLOOKUP(Calculator!E23,tbSkills!DH3:DI6,2,FALSE)+IF(AND(Calculator!B8=TRUE,Backdoors!BI27=TRUE),VLOOKUP(Calculator!E23,tbSkills!DH3:DJ6,3,FALSE),0),0))&gt;=100,100,(Backdoors!AI12+IF(FN22&gt;=0.45,VLOOKUP(Calculator!E23,tbSkills!DH3:DI6,2,FALSE)+IF(AND(Calculator!B8=TRUE,Backdoors!BI27=TRUE),VLOOKUP(Calculator!E23,tbSkills!DH3:DJ6,3,FALSE),0),0)))/100)),1))*IF(VLOOKUP(A22,tbMoveset!A2:K112,11,FALSE)=TRUE,Backdoors!AC5,1))*FO22,0),"")</f>
        <v>0</v>
      </c>
      <c r="FS22" s="49">
        <f>VLOOKUP(A22,tbMoveset!A2:G112,7,FALSE)*IFERROR(IF(Backdoors!AI12&gt;=0,1+(IF(Calculator!E40&gt;0,VLOOKUP(Calculator!E40,tbSkills!AI3:AJ5,2,FALSE),Backdoors!AL4)*(IF((Backdoors!AI12+IF(FN22&gt;=0.45,VLOOKUP(Calculator!E23,tbSkills!DH3:DI6,2,FALSE)+IF(AND(Calculator!B8=TRUE,Backdoors!BI27=TRUE),VLOOKUP(Calculator!E23,tbSkills!DH3:DJ6,3,FALSE),0),0))&gt;=100,100,(Backdoors!AI12+IF(FN22&gt;=0.45,VLOOKUP(Calculator!E23,tbSkills!DH3:DI6,2,FALSE)+IF(AND(Calculator!B8=TRUE,Backdoors!BI27=TRUE),VLOOKUP(Calculator!E23,tbSkills!DH3:DJ6,3,FALSE),0),0)))/100)),1),1)</f>
        <v>0.5</v>
      </c>
      <c r="FT22" s="87">
        <f t="shared" si="17"/>
        <v>0</v>
      </c>
      <c r="FU22" s="86" t="str">
        <f>IFERROR(IF(VLOOKUP(A22,tbMoveset!A2:B112,2,FALSE)="Sever",Backdoors!AY28/100,IF(VLOOKUP(A22,tbMoveset!A2:B112,2,FALSE)="Blunt",Backdoors!AZ28/100,Backdoors!BA28/100)),"")</f>
        <v/>
      </c>
      <c r="FV22" s="49">
        <f>IFERROR(IF(VLOOKUP(tbMoveset!A22,tbMoveset!A2:H112,8,FALSE)="Other",IF(VLOOKUP(tbMoveset!A22,tbMoveset!A2:I112,9,FALSE)="Fire",Backdoors!BB28,IF(VLOOKUP(tbMoveset!A22,tbMoveset!A2:I112,9,FALSE)="Water",Backdoors!BC28,IF(VLOOKUP(tbMoveset!A22,tbMoveset!A2:I112,9,FALSE)="Thunder",Backdoors!BD28,IF(VLOOKUP(tbMoveset!A22,tbMoveset!A2:I112,9,FALSE)="Ice",Backdoors!BE28,IF(VLOOKUP(tbMoveset!A22,tbMoveset!A2:I112,9,FALSE)="Dragon",Backdoors!BF28,Backdoors!BG28)))))/100,Backdoors!BG28/100),"")</f>
        <v>0</v>
      </c>
      <c r="FW22" s="49">
        <f>IFERROR(IF(VLOOKUP(A22,tbMoveset!A2:J112,10,FALSE)=TRUE,IF((Backdoors!AI12+IF(FU22&gt;=0.45,VLOOKUP(Calculator!E23,tbSkills!DH3:DI6,2,FALSE)+IF(AND(Calculator!B8=TRUE,Backdoors!BI28=TRUE),VLOOKUP(Calculator!E23,tbSkills!DH3:DJ6,3,FALSE),0),0))&gt;=0,1+(Backdoors!AL2*(IF((Backdoors!AI12+IF(FU22&gt;=0.45,VLOOKUP(Calculator!E23,tbSkills!DH3:DI6,2,FALSE)+IF(AND(Calculator!B8=TRUE,Backdoors!BI28=TRUE),VLOOKUP(Calculator!E23,tbSkills!DH3:DJ6,3,FALSE),0),0))&gt;=100,100,(Backdoors!AI12+IF(FU22&gt;=0.45,VLOOKUP(Calculator!E23,tbSkills!DH3:DI6,2,FALSE)+IF(AND(Calculator!B8=TRUE,Backdoors!BI28=TRUE),VLOOKUP(Calculator!E23,tbSkills!DH3:DJ6,3,FALSE),0),0)))/100)),(1-(0.25*((-Backdoors!AI12-IF(FU22&gt;=0.45,VLOOKUP(Calculator!E23,tbSkills!DH3:DI6,2,FALSE)+IF(AND(Calculator!B8=TRUE,Backdoors!BI28=TRUE),VLOOKUP(Calculator!E23,tbSkills!DH3:DJ6,3,FALSE),0),0))/100)))),1),"")</f>
        <v>1</v>
      </c>
      <c r="FX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FU22)*FW22)*(VLOOKUP(A22,tbMoveset!A2:C112,3,FALSE)/100)*IF(VLOOKUP(A22,tbMoveset!A2:B112,2,FALSE)="Projectile",Backdoors!N10,Backdoors!N9),0),"")</f>
        <v/>
      </c>
      <c r="FY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FU22&gt;=0.45,VLOOKUP(Calculator!E23,tbSkills!DH3:DI6,2,FALSE)+IF(AND(Calculator!B8=TRUE,Backdoors!BI28=TRUE),VLOOKUP(Calculator!E23,tbSkills!DH3:DJ6,3,FALSE),0),0))&gt;=100,100,(Backdoors!AI12+IF(FU22&gt;=0.45,VLOOKUP(Calculator!E23,tbSkills!DH3:DI6,2,FALSE)+IF(AND(Calculator!B8=TRUE,Backdoors!BI28=TRUE),VLOOKUP(Calculator!E23,tbSkills!DH3:DJ6,3,FALSE),0),0)))/100)),1))*IF(VLOOKUP(A22,tbMoveset!A2:K112,11,FALSE)=TRUE,Backdoors!AC5,1))*FV22,0),"")</f>
        <v>0</v>
      </c>
      <c r="FZ22" s="49">
        <f>VLOOKUP(A22,tbMoveset!A2:G112,7,FALSE)*IFERROR(IF(Backdoors!AI12&gt;=0,1+(IF(Calculator!E40&gt;0,VLOOKUP(Calculator!E40,tbSkills!AI3:AJ5,2,FALSE),Backdoors!AL4)*(IF((Backdoors!AI12+IF(FU22&gt;=0.45,VLOOKUP(Calculator!E23,tbSkills!DH3:DI6,2,FALSE)+IF(AND(Calculator!B8=TRUE,Backdoors!BI28=TRUE),VLOOKUP(Calculator!E23,tbSkills!DH3:DJ6,3,FALSE),0),0))&gt;=100,100,(Backdoors!AI12+IF(FU22&gt;=0.45,VLOOKUP(Calculator!E23,tbSkills!DH3:DI6,2,FALSE)+IF(AND(Calculator!B8=TRUE,Backdoors!BI28=TRUE),VLOOKUP(Calculator!E23,tbSkills!DH3:DJ6,3,FALSE),0),0)))/100)),1),1)</f>
        <v>0.5</v>
      </c>
      <c r="GA22" s="87">
        <f t="shared" si="18"/>
        <v>0</v>
      </c>
      <c r="GB22" s="86" t="str">
        <f>IFERROR(IF(VLOOKUP(A22,tbMoveset!A2:B112,2,FALSE)="Sever",Backdoors!AY29/100,IF(VLOOKUP(A22,tbMoveset!A2:B112,2,FALSE)="Blunt",Backdoors!AZ29/100,Backdoors!BA29/100)),"")</f>
        <v/>
      </c>
      <c r="GC22" s="49">
        <f>IFERROR(IF(VLOOKUP(tbMoveset!A22,tbMoveset!A2:H112,8,FALSE)="Other",IF(VLOOKUP(tbMoveset!A22,tbMoveset!A2:I112,9,FALSE)="Fire",Backdoors!BB29,IF(VLOOKUP(tbMoveset!A22,tbMoveset!A2:I112,9,FALSE)="Water",Backdoors!BC29,IF(VLOOKUP(tbMoveset!A22,tbMoveset!A2:I112,9,FALSE)="Thunder",Backdoors!BD29,IF(VLOOKUP(tbMoveset!A22,tbMoveset!A2:I112,9,FALSE)="Ice",Backdoors!BE29,IF(VLOOKUP(tbMoveset!A22,tbMoveset!A2:I112,9,FALSE)="Dragon",Backdoors!BF29,Backdoors!BG29)))))/100,Backdoors!BG29/100),"")</f>
        <v>0</v>
      </c>
      <c r="GD22" s="49">
        <f>IFERROR(IF(VLOOKUP(A22,tbMoveset!A2:J112,10,FALSE)=TRUE,IF((Backdoors!AI12+IF(GB22&gt;=0.45,VLOOKUP(Calculator!E23,tbSkills!DH3:DI6,2,FALSE)+IF(AND(Calculator!B8=TRUE,Backdoors!BI29=TRUE),VLOOKUP(Calculator!E23,tbSkills!DH3:DJ6,3,FALSE),0),0))&gt;=0,1+(Backdoors!AL2*(IF((Backdoors!AI12+IF(GB22&gt;=0.45,VLOOKUP(Calculator!E23,tbSkills!DH3:DI6,2,FALSE)+IF(AND(Calculator!B8=TRUE,Backdoors!BI29=TRUE),VLOOKUP(Calculator!E23,tbSkills!DH3:DJ6,3,FALSE),0),0))&gt;=100,100,(Backdoors!AI12+IF(GB22&gt;=0.45,VLOOKUP(Calculator!E23,tbSkills!DH3:DI6,2,FALSE)+IF(AND(Calculator!B8=TRUE,Backdoors!BI29=TRUE),VLOOKUP(Calculator!E23,tbSkills!DH3:DJ6,3,FALSE),0),0)))/100)),(1-(0.25*((-Backdoors!AI12-IF(GB22&gt;=0.45,VLOOKUP(Calculator!E23,tbSkills!DH3:DI6,2,FALSE)+IF(AND(Calculator!B8=TRUE,Backdoors!BI29=TRUE),VLOOKUP(Calculator!E23,tbSkills!DH3:DJ6,3,FALSE),0),0))/100)))),1),"")</f>
        <v>1</v>
      </c>
      <c r="GE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B22)*GD22)*(VLOOKUP(A22,tbMoveset!A2:C112,3,FALSE)/100)*IF(VLOOKUP(A22,tbMoveset!A2:B112,2,FALSE)="Projectile",Backdoors!N10,Backdoors!N9),0),"")</f>
        <v/>
      </c>
      <c r="GF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B22&gt;=0.45,VLOOKUP(Calculator!E23,tbSkills!DH3:DI6,2,FALSE)+IF(AND(Calculator!B8=TRUE,Backdoors!BI29=TRUE),VLOOKUP(Calculator!E23,tbSkills!DH3:DJ6,3,FALSE),0),0))&gt;=100,100,(Backdoors!AI12+IF(GB22&gt;=0.45,VLOOKUP(Calculator!E23,tbSkills!DH3:DI6,2,FALSE)+IF(AND(Calculator!B8=TRUE,Backdoors!BI29=TRUE),VLOOKUP(Calculator!E23,tbSkills!DH3:DJ6,3,FALSE),0),0)))/100)),1))*IF(VLOOKUP(A22,tbMoveset!A2:K112,11,FALSE)=TRUE,Backdoors!AC5,1))*GC22,0),"")</f>
        <v>0</v>
      </c>
      <c r="GG22" s="49">
        <f>VLOOKUP(A22,tbMoveset!A2:G112,7,FALSE)*IFERROR(IF(Backdoors!AI12&gt;=0,1+(IF(Calculator!E40&gt;0,VLOOKUP(Calculator!E40,tbSkills!AI3:AJ5,2,FALSE),Backdoors!AL4)*(IF((Backdoors!AI12+IF(GB22&gt;=0.45,VLOOKUP(Calculator!E23,tbSkills!DH3:DI6,2,FALSE)+IF(AND(Calculator!B8=TRUE,Backdoors!BI29=TRUE),VLOOKUP(Calculator!E23,tbSkills!DH3:DJ6,3,FALSE),0),0))&gt;=100,100,(Backdoors!AI12+IF(GB22&gt;=0.45,VLOOKUP(Calculator!E23,tbSkills!DH3:DI6,2,FALSE)+IF(AND(Calculator!B8=TRUE,Backdoors!BI29=TRUE),VLOOKUP(Calculator!E23,tbSkills!DH3:DJ6,3,FALSE),0),0)))/100)),1),1)</f>
        <v>0.5</v>
      </c>
      <c r="GH22" s="87">
        <f t="shared" si="19"/>
        <v>0</v>
      </c>
      <c r="GI22" s="86" t="str">
        <f>IFERROR(IF(VLOOKUP(A22,tbMoveset!A2:B112,2,FALSE)="Sever",Backdoors!AY30/100,IF(VLOOKUP(A22,tbMoveset!A2:B112,2,FALSE)="Blunt",Backdoors!AZ30/100,Backdoors!BA30/100)),"")</f>
        <v/>
      </c>
      <c r="GJ22" s="49">
        <f>IFERROR(IF(VLOOKUP(tbMoveset!A22,tbMoveset!A2:H112,8,FALSE)="Other",IF(VLOOKUP(tbMoveset!A22,tbMoveset!A2:I112,9,FALSE)="Fire",Backdoors!BB30,IF(VLOOKUP(tbMoveset!A22,tbMoveset!A2:I112,9,FALSE)="Water",Backdoors!BC30,IF(VLOOKUP(tbMoveset!A22,tbMoveset!A2:I112,9,FALSE)="Thunder",Backdoors!BD30,IF(VLOOKUP(tbMoveset!A22,tbMoveset!A2:I112,9,FALSE)="Ice",Backdoors!BE30,IF(VLOOKUP(tbMoveset!A22,tbMoveset!A2:I112,9,FALSE)="Dragon",Backdoors!BF30,Backdoors!BG30)))))/100,Backdoors!BG30/100),"")</f>
        <v>0</v>
      </c>
      <c r="GK22" s="49">
        <f>IFERROR(IF(VLOOKUP(A22,tbMoveset!A2:J112,10,FALSE)=TRUE,IF((Backdoors!AI12+IF(GI22&gt;=0.45,VLOOKUP(Calculator!E23,tbSkills!DH3:DI6,2,FALSE)+IF(AND(Calculator!B8=TRUE,Backdoors!BI30=TRUE),VLOOKUP(Calculator!E23,tbSkills!DH3:DJ6,3,FALSE),0),0))&gt;=0,1+(Backdoors!AL2*(IF((Backdoors!AI12+IF(GI22&gt;=0.45,VLOOKUP(Calculator!E23,tbSkills!DH3:DI6,2,FALSE)+IF(AND(Calculator!B8=TRUE,Backdoors!BI30=TRUE),VLOOKUP(Calculator!E23,tbSkills!DH3:DJ6,3,FALSE),0),0))&gt;=100,100,(Backdoors!AI12+IF(GI22&gt;=0.45,VLOOKUP(Calculator!E23,tbSkills!DH3:DI6,2,FALSE)+IF(AND(Calculator!B8=TRUE,Backdoors!BI30=TRUE),VLOOKUP(Calculator!E23,tbSkills!DH3:DJ6,3,FALSE),0),0)))/100)),(1-(0.25*((-Backdoors!AI12-IF(GI22&gt;=0.45,VLOOKUP(Calculator!E23,tbSkills!DH3:DI6,2,FALSE)+IF(AND(Calculator!B8=TRUE,Backdoors!BI30=TRUE),VLOOKUP(Calculator!E23,tbSkills!DH3:DJ6,3,FALSE),0),0))/100)))),1),"")</f>
        <v>1</v>
      </c>
      <c r="GL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I22)*GK22)*(VLOOKUP(A22,tbMoveset!A2:C112,3,FALSE)/100)*IF(VLOOKUP(A22,tbMoveset!A2:B112,2,FALSE)="Projectile",Backdoors!N10,Backdoors!N9),0),"")</f>
        <v/>
      </c>
      <c r="GM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I22&gt;=0.45,VLOOKUP(Calculator!E23,tbSkills!DH3:DI6,2,FALSE)+IF(AND(Calculator!B8=TRUE,Backdoors!BI30=TRUE),VLOOKUP(Calculator!E23,tbSkills!DH3:DJ6,3,FALSE),0),0))&gt;=100,100,(Backdoors!AI12+IF(GI22&gt;=0.45,VLOOKUP(Calculator!E23,tbSkills!DH3:DI6,2,FALSE)+IF(AND(Calculator!B8=TRUE,Backdoors!BI30=TRUE),VLOOKUP(Calculator!E23,tbSkills!DH3:DJ6,3,FALSE),0),0)))/100)),1))*IF(VLOOKUP(A22,tbMoveset!A2:K112,11,FALSE)=TRUE,Backdoors!AC5,1))*GJ22,0),"")</f>
        <v>0</v>
      </c>
      <c r="GN22" s="49">
        <f>VLOOKUP(A22,tbMoveset!A2:G112,7,FALSE)*IFERROR(IF(Backdoors!AI12&gt;=0,1+(IF(Calculator!E40&gt;0,VLOOKUP(Calculator!E40,tbSkills!AI3:AJ5,2,FALSE),Backdoors!AL4)*(IF((Backdoors!AI12+IF(GI22&gt;=0.45,VLOOKUP(Calculator!E23,tbSkills!DH3:DI6,2,FALSE)+IF(AND(Calculator!B8=TRUE,Backdoors!BI30=TRUE),VLOOKUP(Calculator!E23,tbSkills!DH3:DJ6,3,FALSE),0),0))&gt;=100,100,(Backdoors!AI12+IF(GI22&gt;=0.45,VLOOKUP(Calculator!E23,tbSkills!DH3:DI6,2,FALSE)+IF(AND(Calculator!B8=TRUE,Backdoors!BI30=TRUE),VLOOKUP(Calculator!E23,tbSkills!DH3:DJ6,3,FALSE),0),0)))/100)),1),1)</f>
        <v>0.5</v>
      </c>
      <c r="GO22" s="87">
        <f t="shared" si="20"/>
        <v>0</v>
      </c>
      <c r="GP22" s="86" t="str">
        <f>IFERROR(IF(VLOOKUP(A22,tbMoveset!A2:B112,2,FALSE)="Sever",Backdoors!AY31/100,IF(VLOOKUP(A22,tbMoveset!A2:B112,2,FALSE)="Blunt",Backdoors!AZ31/100,Backdoors!BA31/100)),"")</f>
        <v/>
      </c>
      <c r="GQ22" s="49">
        <f>IFERROR(IF(VLOOKUP(tbMoveset!A22,tbMoveset!A2:H112,8,FALSE)="Other",IF(VLOOKUP(tbMoveset!A22,tbMoveset!A2:I112,9,FALSE)="Fire",Backdoors!BB31,IF(VLOOKUP(tbMoveset!A22,tbMoveset!A2:I112,9,FALSE)="Water",Backdoors!BC31,IF(VLOOKUP(tbMoveset!A22,tbMoveset!A2:I112,9,FALSE)="Thunder",Backdoors!BD31,IF(VLOOKUP(tbMoveset!A22,tbMoveset!A2:I112,9,FALSE)="Ice",Backdoors!BE31,IF(VLOOKUP(tbMoveset!A22,tbMoveset!A2:I112,9,FALSE)="Dragon",Backdoors!BF31,Backdoors!BG31)))))/100,Backdoors!BG31/100),"")</f>
        <v>0</v>
      </c>
      <c r="GR22" s="49">
        <f>IFERROR(IF(VLOOKUP(A22,tbMoveset!A2:J112,10,FALSE)=TRUE,IF((Backdoors!AI12+IF(GP22&gt;=0.45,VLOOKUP(Calculator!E23,tbSkills!DH3:DI6,2,FALSE)+IF(AND(Calculator!B8=TRUE,Backdoors!BI31=TRUE),VLOOKUP(Calculator!E23,tbSkills!DH3:DJ6,3,FALSE),0),0))&gt;=0,1+(Backdoors!AL2*(IF((Backdoors!AI12+IF(GP22&gt;=0.45,VLOOKUP(Calculator!E23,tbSkills!DH3:DI6,2,FALSE)+IF(AND(Calculator!B8=TRUE,Backdoors!BI31=TRUE),VLOOKUP(Calculator!E23,tbSkills!DH3:DJ6,3,FALSE),0),0))&gt;=100,100,(Backdoors!AI12+IF(GP22&gt;=0.45,VLOOKUP(Calculator!E23,tbSkills!DH3:DI6,2,FALSE)+IF(AND(Calculator!B8=TRUE,Backdoors!BI31=TRUE),VLOOKUP(Calculator!E23,tbSkills!DH3:DJ6,3,FALSE),0),0)))/100)),(1-(0.25*((-Backdoors!AI12-IF(GP22&gt;=0.45,VLOOKUP(Calculator!E23,tbSkills!DH3:DI6,2,FALSE)+IF(AND(Calculator!B8=TRUE,Backdoors!BI31=TRUE),VLOOKUP(Calculator!E23,tbSkills!DH3:DJ6,3,FALSE),0),0))/100)))),1),"")</f>
        <v>1</v>
      </c>
      <c r="GS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P22)*GR22)*(VLOOKUP(A22,tbMoveset!A2:C112,3,FALSE)/100)*IF(VLOOKUP(A22,tbMoveset!A2:B112,2,FALSE)="Projectile",Backdoors!N10,Backdoors!N9),0),"")</f>
        <v/>
      </c>
      <c r="GT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P22&gt;=0.45,VLOOKUP(Calculator!E23,tbSkills!DH3:DI6,2,FALSE)+IF(AND(Calculator!B8=TRUE,Backdoors!BI31=TRUE),VLOOKUP(Calculator!E23,tbSkills!DH3:DJ6,3,FALSE),0),0))&gt;=100,100,(Backdoors!AI12+IF(GP22&gt;=0.45,VLOOKUP(Calculator!E23,tbSkills!DH3:DI6,2,FALSE)+IF(AND(Calculator!B8=TRUE,Backdoors!BI31=TRUE),VLOOKUP(Calculator!E23,tbSkills!DH3:DJ6,3,FALSE),0),0)))/100)),1))*IF(VLOOKUP(A22,tbMoveset!A2:K112,11,FALSE)=TRUE,Backdoors!AC5,1))*GQ22,0),"")</f>
        <v>0</v>
      </c>
      <c r="GU22" s="49">
        <f>VLOOKUP(A22,tbMoveset!A2:G112,7,FALSE)*IFERROR(IF(Backdoors!AI12&gt;=0,1+(IF(Calculator!E40&gt;0,VLOOKUP(Calculator!E40,tbSkills!AI3:AJ5,2,FALSE),Backdoors!AL4)*(IF((Backdoors!AI12+IF(GP22&gt;=0.45,VLOOKUP(Calculator!E23,tbSkills!DH3:DI6,2,FALSE)+IF(AND(Calculator!B8=TRUE,Backdoors!BI31=TRUE),VLOOKUP(Calculator!E23,tbSkills!DH3:DJ6,3,FALSE),0),0))&gt;=100,100,(Backdoors!AI12+IF(GP22&gt;=0.45,VLOOKUP(Calculator!E23,tbSkills!DH3:DI6,2,FALSE)+IF(AND(Calculator!B8=TRUE,Backdoors!BI31=TRUE),VLOOKUP(Calculator!E23,tbSkills!DH3:DJ6,3,FALSE),0),0)))/100)),1),1)</f>
        <v>0.5</v>
      </c>
      <c r="GV22" s="87">
        <f t="shared" si="21"/>
        <v>0</v>
      </c>
      <c r="GW22" s="86" t="str">
        <f>IFERROR(IF(VLOOKUP(A22,tbMoveset!A2:B112,2,FALSE)="Sever",Backdoors!AY32/100,IF(VLOOKUP(A22,tbMoveset!A2:B112,2,FALSE)="Blunt",Backdoors!AZ32/100,Backdoors!BA32/100)),"")</f>
        <v/>
      </c>
      <c r="GX22" s="49">
        <f>IFERROR(IF(VLOOKUP(tbMoveset!A22,tbMoveset!A2:H112,8,FALSE)="Other",IF(VLOOKUP(tbMoveset!A22,tbMoveset!A2:I112,9,FALSE)="Fire",Backdoors!BB32,IF(VLOOKUP(tbMoveset!A22,tbMoveset!A2:I112,9,FALSE)="Water",Backdoors!BC32,IF(VLOOKUP(tbMoveset!A22,tbMoveset!A2:I112,9,FALSE)="Thunder",Backdoors!BD32,IF(VLOOKUP(tbMoveset!A22,tbMoveset!A2:I112,9,FALSE)="Ice",Backdoors!BE32,IF(VLOOKUP(tbMoveset!A22,tbMoveset!A2:I112,9,FALSE)="Dragon",Backdoors!BF32,Backdoors!BG32)))))/100,Backdoors!BG32/100),"")</f>
        <v>0</v>
      </c>
      <c r="GY22" s="49">
        <f>IFERROR(IF(VLOOKUP(A22,tbMoveset!A2:J112,10,FALSE)=TRUE,IF((Backdoors!AI12+IF(GW22&gt;=0.45,VLOOKUP(Calculator!E23,tbSkills!DH3:DI6,2,FALSE)+IF(AND(Calculator!B8=TRUE,Backdoors!BI32=TRUE),VLOOKUP(Calculator!E23,tbSkills!DH3:DJ6,3,FALSE),0),0))&gt;=0,1+(Backdoors!AL2*(IF((Backdoors!AI12+IF(GW22&gt;=0.45,VLOOKUP(Calculator!E23,tbSkills!DH3:DI6,2,FALSE)+IF(AND(Calculator!B8=TRUE,Backdoors!BI32=TRUE),VLOOKUP(Calculator!E23,tbSkills!DH3:DJ6,3,FALSE),0),0))&gt;=100,100,(Backdoors!AI12+IF(GW22&gt;=0.45,VLOOKUP(Calculator!E23,tbSkills!DH3:DI6,2,FALSE)+IF(AND(Calculator!B8=TRUE,Backdoors!BI32=TRUE),VLOOKUP(Calculator!E23,tbSkills!DH3:DJ6,3,FALSE),0),0)))/100)),(1-(0.25*((-Backdoors!AI12-IF(GW22&gt;=0.45,VLOOKUP(Calculator!E23,tbSkills!DH3:DI6,2,FALSE)+IF(AND(Calculator!B8=TRUE,Backdoors!BI32=TRUE),VLOOKUP(Calculator!E23,tbSkills!DH3:DJ6,3,FALSE),0),0))/100)))),1),"")</f>
        <v>1</v>
      </c>
      <c r="GZ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W22)*GY22)*(VLOOKUP(A22,tbMoveset!A2:C112,3,FALSE)/100)*IF(VLOOKUP(A22,tbMoveset!A2:B112,2,FALSE)="Projectile",Backdoors!N10,Backdoors!N9),0),"")</f>
        <v/>
      </c>
      <c r="HA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W22&gt;=0.45,VLOOKUP(Calculator!E23,tbSkills!DH3:DI6,2,FALSE)+IF(AND(Calculator!B8=TRUE,Backdoors!BI32=TRUE),VLOOKUP(Calculator!E23,tbSkills!DH3:DJ6,3,FALSE),0),0))&gt;=100,100,(Backdoors!AI12+IF(GW22&gt;=0.45,VLOOKUP(Calculator!E23,tbSkills!DH3:DI6,2,FALSE)+IF(AND(Calculator!B8=TRUE,Backdoors!BI32=TRUE),VLOOKUP(Calculator!E23,tbSkills!DH3:DJ6,3,FALSE),0),0)))/100)),1))*IF(VLOOKUP(A22,tbMoveset!A2:K112,11,FALSE)=TRUE,Backdoors!AC5,1))*GX22,0),"")</f>
        <v>0</v>
      </c>
      <c r="HB22" s="49">
        <f>VLOOKUP(A22,tbMoveset!A2:G112,7,FALSE)*IFERROR(IF(Backdoors!AI12&gt;=0,1+(IF(Calculator!E40&gt;0,VLOOKUP(Calculator!E40,tbSkills!AI3:AJ5,2,FALSE),Backdoors!AL4)*(IF((Backdoors!AI12+IF(GW22&gt;=0.45,VLOOKUP(Calculator!E23,tbSkills!DH3:DI6,2,FALSE)+IF(AND(Calculator!B8=TRUE,Backdoors!BI32=TRUE),VLOOKUP(Calculator!E23,tbSkills!DH3:DJ6,3,FALSE),0),0))&gt;=100,100,(Backdoors!AI12+IF(GW22&gt;=0.45,VLOOKUP(Calculator!E23,tbSkills!DH3:DI6,2,FALSE)+IF(AND(Calculator!B8=TRUE,Backdoors!BI32=TRUE),VLOOKUP(Calculator!E23,tbSkills!DH3:DJ6,3,FALSE),0),0)))/100)),1),1)</f>
        <v>0.5</v>
      </c>
      <c r="HC22" s="87">
        <f t="shared" si="22"/>
        <v>0</v>
      </c>
      <c r="HD22" s="86" t="str">
        <f>IFERROR(IF(VLOOKUP(A22,tbMoveset!A2:B112,2,FALSE)="Sever",Backdoors!AY33/100,IF(VLOOKUP(A22,tbMoveset!A2:B112,2,FALSE)="Blunt",Backdoors!AZ33/100,Backdoors!BA33/100)),"")</f>
        <v/>
      </c>
      <c r="HE22" s="49">
        <f>IFERROR(IF(VLOOKUP(tbMoveset!A22,tbMoveset!A2:H112,8,FALSE)="Other",IF(VLOOKUP(tbMoveset!A22,tbMoveset!A2:I112,9,FALSE)="Fire",Backdoors!BB33,IF(VLOOKUP(tbMoveset!A22,tbMoveset!A2:I112,9,FALSE)="Water",Backdoors!BC33,IF(VLOOKUP(tbMoveset!A22,tbMoveset!A2:I112,9,FALSE)="Thunder",Backdoors!BD33,IF(VLOOKUP(tbMoveset!A22,tbMoveset!A2:I112,9,FALSE)="Ice",Backdoors!BE33,IF(VLOOKUP(tbMoveset!A22,tbMoveset!A2:I112,9,FALSE)="Dragon",Backdoors!BF33,Backdoors!BG33)))))/100,Backdoors!BG33/100),"")</f>
        <v>0</v>
      </c>
      <c r="HF22" s="49">
        <f>IFERROR(IF(VLOOKUP(A22,tbMoveset!A2:J112,10,FALSE)=TRUE,IF((Backdoors!AI12+IF(HD22&gt;=0.45,VLOOKUP(Calculator!E23,tbSkills!DH3:DI6,2,FALSE)+IF(AND(Calculator!B8=TRUE,Backdoors!BI33=TRUE),VLOOKUP(Calculator!E23,tbSkills!DH3:DJ6,3,FALSE),0),0))&gt;=0,1+(Backdoors!AL2*(IF((Backdoors!AI12+IF(HD22&gt;=0.45,VLOOKUP(Calculator!E23,tbSkills!DH3:DI6,2,FALSE)+IF(AND(Calculator!B8=TRUE,Backdoors!BI33=TRUE),VLOOKUP(Calculator!E23,tbSkills!DH3:DJ6,3,FALSE),0),0))&gt;=100,100,(Backdoors!AI12+IF(HD22&gt;=0.45,VLOOKUP(Calculator!E23,tbSkills!DH3:DI6,2,FALSE)+IF(AND(Calculator!B8=TRUE,Backdoors!BI33=TRUE),VLOOKUP(Calculator!E23,tbSkills!DH3:DJ6,3,FALSE),0),0)))/100)),(1-(0.25*((-Backdoors!AI12-IF(HD22&gt;=0.45,VLOOKUP(Calculator!E23,tbSkills!DH3:DI6,2,FALSE)+IF(AND(Calculator!B8=TRUE,Backdoors!BI33=TRUE),VLOOKUP(Calculator!E23,tbSkills!DH3:DJ6,3,FALSE),0),0))/100)))),1),"")</f>
        <v>1</v>
      </c>
      <c r="HG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D22)*HF22)*(VLOOKUP(A22,tbMoveset!A2:C112,3,FALSE)/100)*IF(VLOOKUP(A22,tbMoveset!A2:B112,2,FALSE)="Projectile",Backdoors!N10,Backdoors!N9),0),"")</f>
        <v/>
      </c>
      <c r="HH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D22&gt;=0.45,VLOOKUP(Calculator!E23,tbSkills!DH3:DI6,2,FALSE)+IF(AND(Calculator!B8=TRUE,Backdoors!BI33=TRUE),VLOOKUP(Calculator!E23,tbSkills!DH3:DJ6,3,FALSE),0),0))&gt;=100,100,(Backdoors!AI12+IF(HD22&gt;=0.45,VLOOKUP(Calculator!E23,tbSkills!DH3:DI6,2,FALSE)+IF(AND(Calculator!B8=TRUE,Backdoors!BI33=TRUE),VLOOKUP(Calculator!E23,tbSkills!DH3:DJ6,3,FALSE),0),0)))/100)),1))*IF(VLOOKUP(A22,tbMoveset!A2:K112,11,FALSE)=TRUE,Backdoors!AC5,1))*HE22,0),"")</f>
        <v>0</v>
      </c>
      <c r="HI22" s="49">
        <f>VLOOKUP(A22,tbMoveset!A2:G112,7,FALSE)*IFERROR(IF(Backdoors!AI12&gt;=0,1+(IF(Calculator!E40&gt;0,VLOOKUP(Calculator!E40,tbSkills!AI3:AJ5,2,FALSE),Backdoors!AL4)*(IF((Backdoors!AI12+IF(HD22&gt;=0.45,VLOOKUP(Calculator!E23,tbSkills!DH3:DI6,2,FALSE)+IF(AND(Calculator!B8=TRUE,Backdoors!BI33=TRUE),VLOOKUP(Calculator!E23,tbSkills!DH3:DJ6,3,FALSE),0),0))&gt;=100,100,(Backdoors!AI12+IF(HD22&gt;=0.45,VLOOKUP(Calculator!E23,tbSkills!DH3:DI6,2,FALSE)+IF(AND(Calculator!B8=TRUE,Backdoors!BI33=TRUE),VLOOKUP(Calculator!E23,tbSkills!DH3:DJ6,3,FALSE),0),0)))/100)),1),1)</f>
        <v>0.5</v>
      </c>
      <c r="HJ22" s="87">
        <f t="shared" si="23"/>
        <v>0</v>
      </c>
      <c r="HK22" s="86" t="str">
        <f>IFERROR(IF(VLOOKUP(A22,tbMoveset!A2:B112,2,FALSE)="Sever",Backdoors!AY34/100,IF(VLOOKUP(A22,tbMoveset!A2:B112,2,FALSE)="Blunt",Backdoors!AZ34/100,Backdoors!BA34/100)),"")</f>
        <v/>
      </c>
      <c r="HL22" s="49">
        <f>IFERROR(IF(VLOOKUP(tbMoveset!A22,tbMoveset!A2:H112,8,FALSE)="Other",IF(VLOOKUP(tbMoveset!A22,tbMoveset!A2:I112,9,FALSE)="Fire",Backdoors!BB34,IF(VLOOKUP(tbMoveset!A22,tbMoveset!A2:I112,9,FALSE)="Water",Backdoors!BC34,IF(VLOOKUP(tbMoveset!A22,tbMoveset!A2:I112,9,FALSE)="Thunder",Backdoors!BD34,IF(VLOOKUP(tbMoveset!A22,tbMoveset!A2:I112,9,FALSE)="Ice",Backdoors!BE34,IF(VLOOKUP(tbMoveset!A22,tbMoveset!A2:I112,9,FALSE)="Dragon",Backdoors!BF34,Backdoors!BG34)))))/100,Backdoors!BG34/100),"")</f>
        <v>0</v>
      </c>
      <c r="HM22" s="49">
        <f>IFERROR(IF(VLOOKUP(A22,tbMoveset!A2:J112,10,FALSE)=TRUE,IF((Backdoors!AI12+IF(HK22&gt;=0.45,VLOOKUP(Calculator!E23,tbSkills!DH3:DI6,2,FALSE)+IF(AND(Calculator!B8=TRUE,Backdoors!BI34=TRUE),VLOOKUP(Calculator!E23,tbSkills!DH3:DJ6,3,FALSE),0),0))&gt;=0,1+(Backdoors!AL2*(IF((Backdoors!AI12+IF(HK22&gt;=0.45,VLOOKUP(Calculator!E23,tbSkills!DH3:DI6,2,FALSE)+IF(AND(Calculator!B8=TRUE,Backdoors!BI34=TRUE),VLOOKUP(Calculator!E23,tbSkills!DH3:DJ6,3,FALSE),0),0))&gt;=100,100,(Backdoors!AI12+IF(HK22&gt;=0.45,VLOOKUP(Calculator!E23,tbSkills!DH3:DI6,2,FALSE)+IF(AND(Calculator!B8=TRUE,Backdoors!BI34=TRUE),VLOOKUP(Calculator!E23,tbSkills!DH3:DJ6,3,FALSE),0),0)))/100)),(1-(0.25*((-Backdoors!AI12-IF(HK22&gt;=0.45,VLOOKUP(Calculator!E23,tbSkills!DH3:DI6,2,FALSE)+IF(AND(Calculator!B8=TRUE,Backdoors!BI34=TRUE),VLOOKUP(Calculator!E23,tbSkills!DH3:DJ6,3,FALSE),0),0))/100)))),1),"")</f>
        <v>1</v>
      </c>
      <c r="HN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K22)*HM22)*(VLOOKUP(A22,tbMoveset!A2:C112,3,FALSE)/100)*IF(VLOOKUP(A22,tbMoveset!A2:B112,2,FALSE)="Projectile",Backdoors!N10,Backdoors!N9),0),"")</f>
        <v/>
      </c>
      <c r="HO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K22&gt;=0.45,VLOOKUP(Calculator!E23,tbSkills!DH3:DI6,2,FALSE)+IF(AND(Calculator!B8=TRUE,Backdoors!BI34=TRUE),VLOOKUP(Calculator!E23,tbSkills!DH3:DJ6,3,FALSE),0),0))&gt;=100,100,(Backdoors!AI12+IF(HK22&gt;=0.45,VLOOKUP(Calculator!E23,tbSkills!DH3:DI6,2,FALSE)+IF(AND(Calculator!B8=TRUE,Backdoors!BI34=TRUE),VLOOKUP(Calculator!E23,tbSkills!DH3:DJ6,3,FALSE),0),0)))/100)),1))*IF(VLOOKUP(A22,tbMoveset!A2:K112,11,FALSE)=TRUE,Backdoors!AC5,1))*HL22,0),"")</f>
        <v>0</v>
      </c>
      <c r="HP22" s="49">
        <f>VLOOKUP(A22,tbMoveset!A2:G112,7,FALSE)*IFERROR(IF(Backdoors!AI12&gt;=0,1+(IF(Calculator!E40&gt;0,VLOOKUP(Calculator!E40,tbSkills!AI3:AJ5,2,FALSE),Backdoors!AL4)*(IF((Backdoors!AI12+IF(HK22&gt;=0.45,VLOOKUP(Calculator!E23,tbSkills!DH3:DI6,2,FALSE)+IF(AND(Calculator!B8=TRUE,Backdoors!BI34=TRUE),VLOOKUP(Calculator!E23,tbSkills!DH3:DJ6,3,FALSE),0),0))&gt;=100,100,(Backdoors!AI12+IF(HK22&gt;=0.45,VLOOKUP(Calculator!E23,tbSkills!DH3:DI6,2,FALSE)+IF(AND(Calculator!B8=TRUE,Backdoors!BI34=TRUE),VLOOKUP(Calculator!E23,tbSkills!DH3:DJ6,3,FALSE),0),0)))/100)),1),1)</f>
        <v>0.5</v>
      </c>
      <c r="HQ22" s="87">
        <f t="shared" si="24"/>
        <v>0</v>
      </c>
      <c r="HR22" s="86" t="str">
        <f>IFERROR(IF(VLOOKUP(A22,tbMoveset!A2:B112,2,FALSE)="Sever",Backdoors!AY35/100,IF(VLOOKUP(A22,tbMoveset!A2:B112,2,FALSE)="Blunt",Backdoors!AZ35/100,Backdoors!BA35/100)),"")</f>
        <v/>
      </c>
      <c r="HS22" s="49">
        <f>IFERROR(IF(VLOOKUP(tbMoveset!A22,tbMoveset!A2:H112,8,FALSE)="Other",IF(VLOOKUP(tbMoveset!A22,tbMoveset!A2:I112,9,FALSE)="Fire",Backdoors!BB35,IF(VLOOKUP(tbMoveset!A22,tbMoveset!A2:I112,9,FALSE)="Water",Backdoors!BC35,IF(VLOOKUP(tbMoveset!A22,tbMoveset!A2:I112,9,FALSE)="Thunder",Backdoors!BD35,IF(VLOOKUP(tbMoveset!A22,tbMoveset!A2:I112,9,FALSE)="Ice",Backdoors!BE35,IF(VLOOKUP(tbMoveset!A22,tbMoveset!A2:I112,9,FALSE)="Dragon",Backdoors!BF35,Backdoors!BG35)))))/100,Backdoors!BG35/100),"")</f>
        <v>0</v>
      </c>
      <c r="HT22" s="49">
        <f>IFERROR(IF(VLOOKUP(A22,tbMoveset!A2:J112,10,FALSE)=TRUE,IF((Backdoors!AI12+IF(HR22&gt;=0.45,VLOOKUP(Calculator!E23,tbSkills!DH3:DI6,2,FALSE)+IF(AND(Calculator!B8=TRUE,Backdoors!BI35=TRUE),VLOOKUP(Calculator!E23,tbSkills!DH3:DJ6,3,FALSE),0),0))&gt;=0,1+(Backdoors!AL2*(IF((Backdoors!AI12+IF(HR22&gt;=0.45,VLOOKUP(Calculator!E23,tbSkills!DH3:DI6,2,FALSE)+IF(AND(Calculator!B8=TRUE,Backdoors!BI35=TRUE),VLOOKUP(Calculator!E23,tbSkills!DH3:DJ6,3,FALSE),0),0))&gt;=100,100,(Backdoors!AI12+IF(HR22&gt;=0.45,VLOOKUP(Calculator!E23,tbSkills!DH3:DI6,2,FALSE)+IF(AND(Calculator!B8=TRUE,Backdoors!BI35=TRUE),VLOOKUP(Calculator!E23,tbSkills!DH3:DJ6,3,FALSE),0),0)))/100)),(1-(0.25*((-Backdoors!AI12-IF(HR22&gt;=0.45,VLOOKUP(Calculator!E23,tbSkills!DH3:DI6,2,FALSE)+IF(AND(Calculator!B8=TRUE,Backdoors!BI35=TRUE),VLOOKUP(Calculator!E23,tbSkills!DH3:DJ6,3,FALSE),0),0))/100)))),1),"")</f>
        <v>1</v>
      </c>
      <c r="HU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R22)*HT22)*(VLOOKUP(A22,tbMoveset!A2:C112,3,FALSE)/100)*IF(VLOOKUP(A22,tbMoveset!A2:B112,2,FALSE)="Projectile",Backdoors!N10,Backdoors!N9),0),"")</f>
        <v/>
      </c>
      <c r="HV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R22&gt;=0.45,VLOOKUP(Calculator!E23,tbSkills!DH3:DI6,2,FALSE)+IF(AND(Calculator!B8=TRUE,Backdoors!BI35=TRUE),VLOOKUP(Calculator!E23,tbSkills!DH3:DJ6,3,FALSE),0),0))&gt;=100,100,(Backdoors!AI12+IF(HR22&gt;=0.45,VLOOKUP(Calculator!E23,tbSkills!DH3:DI6,2,FALSE)+IF(AND(Calculator!B8=TRUE,Backdoors!BI35=TRUE),VLOOKUP(Calculator!E23,tbSkills!DH3:DJ6,3,FALSE),0),0)))/100)),1))*IF(VLOOKUP(A22,tbMoveset!A2:K112,11,FALSE)=TRUE,Backdoors!AC5,1))*HS22,0),"")</f>
        <v>0</v>
      </c>
      <c r="HW22" s="49">
        <f>VLOOKUP(A22,tbMoveset!A2:G112,7,FALSE)*IFERROR(IF(Backdoors!AI12&gt;=0,1+(IF(Calculator!E40&gt;0,VLOOKUP(Calculator!E40,tbSkills!AI3:AJ5,2,FALSE),Backdoors!AL4)*(IF((Backdoors!AI12+IF(HR22&gt;=0.45,VLOOKUP(Calculator!E23,tbSkills!DH3:DI6,2,FALSE)+IF(AND(Calculator!B8=TRUE,Backdoors!BI35=TRUE),VLOOKUP(Calculator!E23,tbSkills!DH3:DJ6,3,FALSE),0),0))&gt;=100,100,(Backdoors!AI12+IF(HR22&gt;=0.45,VLOOKUP(Calculator!E23,tbSkills!DH3:DI6,2,FALSE)+IF(AND(Calculator!B8=TRUE,Backdoors!BI35=TRUE),VLOOKUP(Calculator!E23,tbSkills!DH3:DJ6,3,FALSE),0),0)))/100)),1),1)</f>
        <v>0.5</v>
      </c>
      <c r="HX22" s="87">
        <f t="shared" si="25"/>
        <v>0</v>
      </c>
      <c r="HY22" s="86" t="str">
        <f>IFERROR(IF(VLOOKUP(A22,tbMoveset!A2:B112,2,FALSE)="Sever",Backdoors!AY36/100,IF(VLOOKUP(A22,tbMoveset!A2:B112,2,FALSE)="Blunt",Backdoors!AZ36/100,Backdoors!BA36/100)),"")</f>
        <v/>
      </c>
      <c r="HZ22" s="49">
        <f>IFERROR(IF(VLOOKUP(tbMoveset!A22,tbMoveset!A2:H112,8,FALSE)="Other",IF(VLOOKUP(tbMoveset!A22,tbMoveset!A2:I112,9,FALSE)="Fire",Backdoors!BB36,IF(VLOOKUP(tbMoveset!A22,tbMoveset!A2:I112,9,FALSE)="Water",Backdoors!BC36,IF(VLOOKUP(tbMoveset!A22,tbMoveset!A2:I112,9,FALSE)="Thunder",Backdoors!BD36,IF(VLOOKUP(tbMoveset!A22,tbMoveset!A2:I112,9,FALSE)="Ice",Backdoors!BE36,IF(VLOOKUP(tbMoveset!A22,tbMoveset!A2:I112,9,FALSE)="Dragon",Backdoors!BF36,Backdoors!BG36)))))/100,Backdoors!BG36/100),"")</f>
        <v>0</v>
      </c>
      <c r="IA22" s="49">
        <f>IFERROR(IF(VLOOKUP(A22,tbMoveset!A2:J112,10,FALSE)=TRUE,IF((Backdoors!AI12+IF(HY22&gt;=0.45,VLOOKUP(Calculator!E23,tbSkills!DH3:DI6,2,FALSE)+IF(AND(Calculator!B8=TRUE,Backdoors!BI36=TRUE),VLOOKUP(Calculator!E23,tbSkills!DH3:DJ6,3,FALSE),0),0))&gt;=0,1+(Backdoors!AL2*(IF((Backdoors!AI12+IF(HY22&gt;=0.45,VLOOKUP(Calculator!E23,tbSkills!DH3:DI6,2,FALSE)+IF(AND(Calculator!B8=TRUE,Backdoors!BI36=TRUE),VLOOKUP(Calculator!E23,tbSkills!DH3:DJ6,3,FALSE),0),0))&gt;=100,100,(Backdoors!AI12+IF(HY22&gt;=0.45,VLOOKUP(Calculator!E23,tbSkills!DH3:DI6,2,FALSE)+IF(AND(Calculator!B8=TRUE,Backdoors!BI36=TRUE),VLOOKUP(Calculator!E23,tbSkills!DH3:DJ6,3,FALSE),0),0)))/100)),(1-(0.25*((-Backdoors!AI12-IF(HY22&gt;=0.45,VLOOKUP(Calculator!E23,tbSkills!DH3:DI6,2,FALSE)+IF(AND(Calculator!B8=TRUE,Backdoors!BI36=TRUE),VLOOKUP(Calculator!E23,tbSkills!DH3:DJ6,3,FALSE),0),0))/100)))),1),"")</f>
        <v>1</v>
      </c>
      <c r="IB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Y22)*IA22)*(VLOOKUP(A22,tbMoveset!A2:C112,3,FALSE)/100)*IF(VLOOKUP(A22,tbMoveset!A2:B112,2,FALSE)="Projectile",Backdoors!N10,Backdoors!N9),0),"")</f>
        <v/>
      </c>
      <c r="IC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Y22&gt;=0.45,VLOOKUP(Calculator!E23,tbSkills!DH3:DI6,2,FALSE)+IF(AND(Calculator!B8=TRUE,Backdoors!BI36=TRUE),VLOOKUP(Calculator!E23,tbSkills!DH3:DJ6,3,FALSE),0),0))&gt;=100,100,(Backdoors!AI12+IF(HY22&gt;=0.45,VLOOKUP(Calculator!E23,tbSkills!DH3:DI6,2,FALSE)+IF(AND(Calculator!B8=TRUE,Backdoors!BI36=TRUE),VLOOKUP(Calculator!E23,tbSkills!DH3:DJ6,3,FALSE),0),0)))/100)),1))*IF(VLOOKUP(A22,tbMoveset!A2:K112,11,FALSE)=TRUE,Backdoors!AC5,1))*HZ22,0),"")</f>
        <v>0</v>
      </c>
      <c r="ID22" s="49">
        <f>VLOOKUP(A22,tbMoveset!A2:G112,7,FALSE)*IFERROR(IF(Backdoors!AI12&gt;=0,1+(IF(Calculator!E40&gt;0,VLOOKUP(Calculator!E40,tbSkills!AI3:AJ5,2,FALSE),Backdoors!AL4)*(IF((Backdoors!AI12+IF(HY22&gt;=0.45,VLOOKUP(Calculator!E23,tbSkills!DH3:DI6,2,FALSE)+IF(AND(Calculator!B8=TRUE,Backdoors!BI36=TRUE),VLOOKUP(Calculator!E23,tbSkills!DH3:DJ6,3,FALSE),0),0))&gt;=100,100,(Backdoors!AI12+IF(HY22&gt;=0.45,VLOOKUP(Calculator!E23,tbSkills!DH3:DI6,2,FALSE)+IF(AND(Calculator!B8=TRUE,Backdoors!BI36=TRUE),VLOOKUP(Calculator!E23,tbSkills!DH3:DJ6,3,FALSE),0),0)))/100)),1),1)</f>
        <v>0.5</v>
      </c>
      <c r="IE22" s="87">
        <f t="shared" si="26"/>
        <v>0</v>
      </c>
      <c r="IF22" s="86" t="str">
        <f>IFERROR(IF(VLOOKUP(A22,tbMoveset!A2:B112,2,FALSE)="Sever",Backdoors!AY37/100,IF(VLOOKUP(A22,tbMoveset!A2:B112,2,FALSE)="Blunt",Backdoors!AZ37/100,Backdoors!BA37/100)),"")</f>
        <v/>
      </c>
      <c r="IG22" s="49">
        <f>IFERROR(IF(VLOOKUP(tbMoveset!A22,tbMoveset!A2:H112,8,FALSE)="Other",IF(VLOOKUP(tbMoveset!A22,tbMoveset!A2:I112,9,FALSE)="Fire",Backdoors!BB37,IF(VLOOKUP(tbMoveset!A22,tbMoveset!A2:I112,9,FALSE)="Water",Backdoors!BC37,IF(VLOOKUP(tbMoveset!A22,tbMoveset!A2:I112,9,FALSE)="Thunder",Backdoors!BD37,IF(VLOOKUP(tbMoveset!A22,tbMoveset!A2:I112,9,FALSE)="Ice",Backdoors!BE37,IF(VLOOKUP(tbMoveset!A22,tbMoveset!A2:I112,9,FALSE)="Dragon",Backdoors!BF37,Backdoors!BG37)))))/100,Backdoors!BG37/100),"")</f>
        <v>0</v>
      </c>
      <c r="IH22" s="49">
        <f>IFERROR(IF(VLOOKUP(A22,tbMoveset!A2:J112,10,FALSE)=TRUE,IF((Backdoors!AI12+IF(IF22&gt;=0.45,VLOOKUP(Calculator!E23,tbSkills!DH3:DI6,2,FALSE)+IF(AND(Calculator!B8=TRUE,Backdoors!BI37=TRUE),VLOOKUP(Calculator!E23,tbSkills!DH3:DJ6,3,FALSE),0),0))&gt;=0,1+(Backdoors!AL2*(IF((Backdoors!AI12+IF(IF22&gt;=0.45,VLOOKUP(Calculator!E23,tbSkills!DH3:DI6,2,FALSE)+IF(AND(Calculator!B8=TRUE,Backdoors!BI37=TRUE),VLOOKUP(Calculator!E23,tbSkills!DH3:DJ6,3,FALSE),0),0))&gt;=100,100,(Backdoors!AI12+IF(IF22&gt;=0.45,VLOOKUP(Calculator!E23,tbSkills!DH3:DI6,2,FALSE)+IF(AND(Calculator!B8=TRUE,Backdoors!BI37=TRUE),VLOOKUP(Calculator!E23,tbSkills!DH3:DJ6,3,FALSE),0),0)))/100)),(1-(0.25*((-Backdoors!AI12-IF(IF22&gt;=0.45,VLOOKUP(Calculator!E23,tbSkills!DH3:DI6,2,FALSE)+IF(AND(Calculator!B8=TRUE,Backdoors!BI37=TRUE),VLOOKUP(Calculator!E23,tbSkills!DH3:DJ6,3,FALSE),0),0))/100)))),1),"")</f>
        <v>1</v>
      </c>
      <c r="II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F22)*IH22)*(VLOOKUP(A22,tbMoveset!A2:C112,3,FALSE)/100)*IF(VLOOKUP(A22,tbMoveset!A2:B112,2,FALSE)="Projectile",Backdoors!N10,Backdoors!N9),0),"")</f>
        <v/>
      </c>
      <c r="IJ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IF22&gt;=0.45,VLOOKUP(Calculator!E23,tbSkills!DH3:DI6,2,FALSE)+IF(AND(Calculator!B8=TRUE,Backdoors!BI37=TRUE),VLOOKUP(Calculator!E23,tbSkills!DH3:DJ6,3,FALSE),0),0))&gt;=100,100,(Backdoors!AI12+IF(IF22&gt;=0.45,VLOOKUP(Calculator!E23,tbSkills!DH3:DI6,2,FALSE)+IF(AND(Calculator!B8=TRUE,Backdoors!BI37=TRUE),VLOOKUP(Calculator!E23,tbSkills!DH3:DJ6,3,FALSE),0),0)))/100)),1))*IF(VLOOKUP(A22,tbMoveset!A2:K112,11,FALSE)=TRUE,Backdoors!AC5,1))*IG22,0),"")</f>
        <v>0</v>
      </c>
      <c r="IK22" s="49">
        <f>VLOOKUP(A22,tbMoveset!A2:G112,7,FALSE)*IFERROR(IF(Backdoors!AI12&gt;=0,1+(IF(Calculator!E40&gt;0,VLOOKUP(Calculator!E40,tbSkills!AI3:AJ5,2,FALSE),Backdoors!AL4)*(IF((Backdoors!AI12+IF(IF22&gt;=0.45,VLOOKUP(Calculator!E23,tbSkills!DH3:DI6,2,FALSE)+IF(AND(Calculator!B8=TRUE,Backdoors!BI37=TRUE),VLOOKUP(Calculator!E23,tbSkills!DH3:DJ6,3,FALSE),0),0))&gt;=100,100,(Backdoors!AI12+IF(IF22&gt;=0.45,VLOOKUP(Calculator!E23,tbSkills!DH3:DI6,2,FALSE)+IF(AND(Calculator!B8=TRUE,Backdoors!BI37=TRUE),VLOOKUP(Calculator!E23,tbSkills!DH3:DJ6,3,FALSE),0),0)))/100)),1),1)</f>
        <v>0.5</v>
      </c>
      <c r="IL22" s="87">
        <f t="shared" si="27"/>
        <v>0</v>
      </c>
      <c r="IM22" s="86" t="str">
        <f>IFERROR(IF(VLOOKUP(A22,tbMoveset!A2:B112,2,FALSE)="Sever",Backdoors!AY38/100,IF(VLOOKUP(A22,tbMoveset!A2:B112,2,FALSE)="Blunt",Backdoors!AZ38/100,Backdoors!BA38/100)),"")</f>
        <v/>
      </c>
      <c r="IN22" s="49">
        <f>IFERROR(IF(VLOOKUP(tbMoveset!A22,tbMoveset!A2:H112,8,FALSE)="Other",IF(VLOOKUP(tbMoveset!A22,tbMoveset!A2:I112,9,FALSE)="Fire",Backdoors!BB38,IF(VLOOKUP(tbMoveset!A22,tbMoveset!A2:I112,9,FALSE)="Water",Backdoors!BC38,IF(VLOOKUP(tbMoveset!A22,tbMoveset!A2:I112,9,FALSE)="Thunder",Backdoors!BD38,IF(VLOOKUP(tbMoveset!A22,tbMoveset!A2:I112,9,FALSE)="Ice",Backdoors!BE38,IF(VLOOKUP(tbMoveset!A22,tbMoveset!A2:I112,9,FALSE)="Dragon",Backdoors!BF38,Backdoors!BG38)))))/100,Backdoors!BG38/100),"")</f>
        <v>0</v>
      </c>
      <c r="IO22" s="49">
        <f>IFERROR(IF(VLOOKUP(A22,tbMoveset!A2:J112,10,FALSE)=TRUE,IF((Backdoors!AI12+IF(IM22&gt;=0.45,VLOOKUP(Calculator!E23,tbSkills!DH3:DI6,2,FALSE)+IF(AND(Calculator!B8=TRUE,Backdoors!BI38=TRUE),VLOOKUP(Calculator!E23,tbSkills!DH3:DJ6,3,FALSE),0),0))&gt;=0,1+(Backdoors!AL2*(IF((Backdoors!AI12+IF(IM22&gt;=0.45,VLOOKUP(Calculator!E23,tbSkills!DH3:DI6,2,FALSE)+IF(AND(Calculator!B8=TRUE,Backdoors!BI38=TRUE),VLOOKUP(Calculator!E23,tbSkills!DH3:DJ6,3,FALSE),0),0))&gt;=100,100,(Backdoors!AI12+IF(IM22&gt;=0.45,VLOOKUP(Calculator!E23,tbSkills!DH3:DI6,2,FALSE)+IF(AND(Calculator!B8=TRUE,Backdoors!BI38=TRUE),VLOOKUP(Calculator!E23,tbSkills!DH3:DJ6,3,FALSE),0),0)))/100)),(1-(0.25*((-Backdoors!AI12-IF(IM22&gt;=0.45,VLOOKUP(Calculator!E23,tbSkills!DH3:DI6,2,FALSE)+IF(AND(Calculator!B8=TRUE,Backdoors!BI38=TRUE),VLOOKUP(Calculator!E23,tbSkills!DH3:DJ6,3,FALSE),0),0))/100)))),1),"")</f>
        <v>1</v>
      </c>
      <c r="IP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M22)*IO22)*(VLOOKUP(A22,tbMoveset!A2:C112,3,FALSE)/100)*IF(VLOOKUP(A22,tbMoveset!A2:B112,2,FALSE)="Projectile",Backdoors!N10,Backdoors!N9),0),"")</f>
        <v/>
      </c>
      <c r="IQ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IM22&gt;=0.45,VLOOKUP(Calculator!E23,tbSkills!DH3:DI6,2,FALSE)+IF(AND(Calculator!B8=TRUE,Backdoors!BI38=TRUE),VLOOKUP(Calculator!E23,tbSkills!DH3:DJ6,3,FALSE),0),0))&gt;=100,100,(Backdoors!AI12+IF(IM22&gt;=0.45,VLOOKUP(Calculator!E23,tbSkills!DH3:DI6,2,FALSE)+IF(AND(Calculator!B8=TRUE,Backdoors!BI38=TRUE),VLOOKUP(Calculator!E23,tbSkills!DH3:DJ6,3,FALSE),0),0)))/100)),1))*IF(VLOOKUP(A22,tbMoveset!A2:K112,11,FALSE)=TRUE,Backdoors!AC5,1))*IN22,0),"")</f>
        <v>0</v>
      </c>
      <c r="IR22" s="49">
        <f>VLOOKUP(A22,tbMoveset!A2:G112,7,FALSE)*IFERROR(IF(Backdoors!AI12&gt;=0,1+(IF(Calculator!E40&gt;0,VLOOKUP(Calculator!E40,tbSkills!AI3:AJ5,2,FALSE),Backdoors!AL4)*(IF((Backdoors!AI12+IF(IM22&gt;=0.45,VLOOKUP(Calculator!E23,tbSkills!DH3:DI6,2,FALSE)+IF(AND(Calculator!B8=TRUE,Backdoors!BI38=TRUE),VLOOKUP(Calculator!E23,tbSkills!DH3:DJ6,3,FALSE),0),0))&gt;=100,100,(Backdoors!AI12+IF(IM22&gt;=0.45,VLOOKUP(Calculator!E23,tbSkills!DH3:DI6,2,FALSE)+IF(AND(Calculator!B8=TRUE,Backdoors!BI38=TRUE),VLOOKUP(Calculator!E23,tbSkills!DH3:DJ6,3,FALSE),0),0)))/100)),1),1)</f>
        <v>0.5</v>
      </c>
      <c r="IS22" s="87">
        <f t="shared" si="42"/>
        <v>0</v>
      </c>
      <c r="IT22" s="86" t="str">
        <f>IFERROR(IF(VLOOKUP(A22,tbMoveset!A2:B112,2,FALSE)="Sever",Backdoors!AY39/100,IF(VLOOKUP(A22,tbMoveset!A2:B112,2,FALSE)="Blunt",Backdoors!AZ39/100,Backdoors!BA39/100)),"")</f>
        <v/>
      </c>
      <c r="IU22" s="49">
        <f>IFERROR(IF(VLOOKUP(tbMoveset!A22,tbMoveset!A2:H112,8,FALSE)="Other",IF(VLOOKUP(tbMoveset!A22,tbMoveset!A2:I112,9,FALSE)="Fire",Backdoors!BB39,IF(VLOOKUP(tbMoveset!A22,tbMoveset!A2:I112,9,FALSE)="Water",Backdoors!BC39,IF(VLOOKUP(tbMoveset!A22,tbMoveset!A2:I112,9,FALSE)="Thunder",Backdoors!BD39,IF(VLOOKUP(tbMoveset!A22,tbMoveset!A2:I112,9,FALSE)="Ice",Backdoors!BE39,IF(VLOOKUP(tbMoveset!A22,tbMoveset!A2:I112,9,FALSE)="Dragon",Backdoors!BF39,Backdoors!BG39)))))/100,Backdoors!BG39/100),"")</f>
        <v>0</v>
      </c>
      <c r="IV22" s="49">
        <f>IFERROR(IF(VLOOKUP(A22,tbMoveset!A2:J112,10,FALSE)=TRUE,IF((Backdoors!AI12+IF(IT22&gt;=0.45,VLOOKUP(Calculator!E23,tbSkills!DH3:DI6,2,FALSE)+IF(AND(Calculator!B8=TRUE,Backdoors!BI39=TRUE),VLOOKUP(Calculator!E23,tbSkills!DH3:DJ6,3,FALSE),0),0))&gt;=0,1+(Backdoors!AL2*(IF((Backdoors!AI12+IF(IT22&gt;=0.45,VLOOKUP(Calculator!E23,tbSkills!DH3:DI6,2,FALSE)+IF(AND(Calculator!B8=TRUE,Backdoors!BI39=TRUE),VLOOKUP(Calculator!E23,tbSkills!DH3:DJ6,3,FALSE),0),0))&gt;=100,100,(Backdoors!AI12+IF(IT22&gt;=0.45,VLOOKUP(Calculator!E23,tbSkills!DH3:DI6,2,FALSE)+IF(AND(Calculator!B8=TRUE,Backdoors!BI39=TRUE),VLOOKUP(Calculator!E23,tbSkills!DH3:DJ6,3,FALSE),0),0)))/100)),(1-(0.25*((-Backdoors!AI12-IF(IT22&gt;=0.45,VLOOKUP(Calculator!E23,tbSkills!DH3:DI6,2,FALSE)+IF(AND(Calculator!B8=TRUE,Backdoors!BI39=TRUE),VLOOKUP(Calculator!E23,tbSkills!DH3:DJ6,3,FALSE),0),0))/100)))),1),"")</f>
        <v>1</v>
      </c>
      <c r="IW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T22)*IV22)*(VLOOKUP(A22,tbMoveset!A2:C112,3,FALSE)/100)*IF(VLOOKUP(A22,tbMoveset!A2:B112,2,FALSE)="Projectile",Backdoors!N10,Backdoors!N9),0),"")</f>
        <v/>
      </c>
      <c r="IX22" s="49">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40&gt;0,VLOOKUP(Calculator!E40,tbSkills!AC3:AD5,2,FALSE),Backdoors!AL3)*(IF((Backdoors!AI12+IF(IT22&gt;=0.45,VLOOKUP(Calculator!E23,tbSkills!DH3:DI6,2,FALSE)+IF(AND(Calculator!B8=TRUE,Backdoors!BI39=TRUE),VLOOKUP(Calculator!E23,tbSkills!DH3:DJ6,3,FALSE),0),0))&gt;=100,100,(Backdoors!AI12+IF(IT22&gt;=0.45,VLOOKUP(Calculator!E23,tbSkills!DH3:DI6,2,FALSE)+IF(AND(Calculator!B8=TRUE,Backdoors!BI39=TRUE),VLOOKUP(Calculator!E23,tbSkills!DH3:DJ6,3,FALSE),0),0)))/100)),1))*IF(VLOOKUP(A22,tbMoveset!A2:K112,11,FALSE)=TRUE,Backdoors!AC5,1))*IU22,0),"")</f>
        <v>0</v>
      </c>
      <c r="IY22" s="49">
        <f>VLOOKUP(A22,tbMoveset!A2:G112,7,FALSE)*IFERROR(IF(Backdoors!AI12&gt;=0,1+(IF(Calculator!E40&gt;0,VLOOKUP(Calculator!E40,tbSkills!AI3:AJ5,2,FALSE),Backdoors!AL4)*(IF((Backdoors!AI12+IF(IT22&gt;=0.45,VLOOKUP(Calculator!E23,tbSkills!DH3:DI6,2,FALSE)+IF(AND(Calculator!B8=TRUE,Backdoors!BI39=TRUE),VLOOKUP(Calculator!E23,tbSkills!DH3:DJ6,3,FALSE),0),0))&gt;=100,100,(Backdoors!AI12+IF(IT22&gt;=0.45,VLOOKUP(Calculator!E23,tbSkills!DH3:DI6,2,FALSE)+IF(AND(Calculator!B8=TRUE,Backdoors!BI39=TRUE),VLOOKUP(Calculator!E23,tbSkills!DH3:DJ6,3,FALSE),0),0)))/100)),1),1)</f>
        <v>0.5</v>
      </c>
      <c r="IZ22" s="87">
        <f t="shared" si="28"/>
        <v>0</v>
      </c>
      <c r="JA22" s="86" t="str">
        <f>IFERROR(IF(VLOOKUP(A22,tbMoveset!A2:B112,2,FALSE)="Sever",Backdoors!AY40/100,IF(VLOOKUP(A22,tbMoveset!A2:B112,2,FALSE)="Blunt",Backdoors!AZ40/100,Backdoors!BA40/100)),"")</f>
        <v/>
      </c>
      <c r="JB22" s="49">
        <f>IFERROR(IF(VLOOKUP(tbMoveset!A22,tbMoveset!A2:H112,8,FALSE)="Other",IF(VLOOKUP(tbMoveset!A22,tbMoveset!A2:I112,9,FALSE)="Fire",Backdoors!BB40,IF(VLOOKUP(tbMoveset!A22,tbMoveset!A2:I112,9,FALSE)="Water",Backdoors!BC40,IF(VLOOKUP(tbMoveset!A22,tbMoveset!A2:I112,9,FALSE)="Thunder",Backdoors!BD40,IF(VLOOKUP(tbMoveset!A22,tbMoveset!A2:I112,9,FALSE)="Ice",Backdoors!BE40,IF(VLOOKUP(tbMoveset!A22,tbMoveset!A2:I112,9,FALSE)="Dragon",Backdoors!BF40,Backdoors!BG40)))))/100,Backdoors!BG40/100),"")</f>
        <v>0</v>
      </c>
      <c r="JC22" s="49">
        <f>IFERROR(IF(VLOOKUP(A22,tbMoveset!A2:J112,10,FALSE)=TRUE,IF((Backdoors!AI12+IF(JA22&gt;=0.45,VLOOKUP(Calculator!E23,tbSkills!DH3:DI6,2,FALSE)+IF(AND(Calculator!B8=TRUE,Backdoors!BI40=TRUE),VLOOKUP(Calculator!E23,tbSkills!DH3:DJ6,3,FALSE),0),0))&gt;=0,1+(Backdoors!AL2*(IF((Backdoors!AI12+IF(JA22&gt;=0.45,VLOOKUP(Calculator!E23,tbSkills!DH3:DI6,2,FALSE)+IF(AND(Calculator!B8=TRUE,Backdoors!BI40=TRUE),VLOOKUP(Calculator!E23,tbSkills!DH3:DJ6,3,FALSE),0),0))&gt;=100,100,(Backdoors!AI12+IF(JA22&gt;=0.45,VLOOKUP(Calculator!E23,tbSkills!DH3:DI6,2,FALSE)+IF(AND(Calculator!B8=TRUE,Backdoors!BI40=TRUE),VLOOKUP(Calculator!E23,tbSkills!DH3:DJ6,3,FALSE),0),0)))/100)),(1-(0.25*((-Backdoors!AI12-IF(JA22&gt;=0.45,VLOOKUP(Calculator!E23,tbSkills!DH3:DI6,2,FALSE)+IF(AND(Calculator!B8=TRUE,Backdoors!BI40=TRUE),VLOOKUP(Calculator!E23,tbSkills!DH3:DJ6,3,FALSE),0),0))/100)))),1),"")</f>
        <v>1</v>
      </c>
      <c r="JD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A22)*JC22)*(VLOOKUP(A22,tbMoveset!A2:C112,3,FALSE)/100)*IF(VLOOKUP(A22,tbMoveset!A2:B112,2,FALSE)="Projectile",Backdoors!N10,Backdoors!N9),0),"")</f>
        <v/>
      </c>
      <c r="JE22" s="49">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42&gt;0,VLOOKUP(Calculator!E42,tbSkills!AC3:AD5,2,FALSE),Backdoors!AL3)*(IF((Backdoors!AI12+IF(JA22&gt;=0.45,VLOOKUP(Calculator!E23,tbSkills!DH3:DI6,2,FALSE)+IF(AND(Calculator!B8=TRUE,Backdoors!BI40=TRUE),VLOOKUP(Calculator!E23,tbSkills!DH3:DJ6,3,FALSE),0),0))&gt;=100,100,(Backdoors!AI12+IF(JA22&gt;=0.45,VLOOKUP(Calculator!E23,tbSkills!DH3:DI6,2,FALSE)+IF(AND(Calculator!B8=TRUE,Backdoors!BI40=TRUE),VLOOKUP(Calculator!E23,tbSkills!DH3:DJ6,3,FALSE),0),0)))/100)),1))*IF(VLOOKUP(A22,tbMoveset!A2:K112,11,FALSE)=TRUE,Backdoors!AC5,1))*JB22,0),"")</f>
        <v>0</v>
      </c>
      <c r="JF22" s="49">
        <f>VLOOKUP(A22,tbMoveset!A2:G112,7,FALSE)*IFERROR(IF(Backdoors!AI12&gt;=0,1+(IF(Calculator!E40&gt;0,VLOOKUP(Calculator!E40,tbSkills!AI3:AJ5,2,FALSE),Backdoors!AL4)*(IF((Backdoors!AI12+IF(JA22&gt;=0.45,VLOOKUP(Calculator!E23,tbSkills!DH3:DI6,2,FALSE)+IF(AND(Calculator!B8=TRUE,Backdoors!BI40=TRUE),VLOOKUP(Calculator!E23,tbSkills!DH3:DJ6,3,FALSE),0),0))&gt;=100,100,(Backdoors!AI12+IF(JA22&gt;=0.45,VLOOKUP(Calculator!E23,tbSkills!DH3:DI6,2,FALSE)+IF(AND(Calculator!B8=TRUE,Backdoors!BI40=TRUE),VLOOKUP(Calculator!E23,tbSkills!DH3:DJ6,3,FALSE),0),0)))/100)),1),1)</f>
        <v>0.5</v>
      </c>
      <c r="JG22" s="87">
        <f t="shared" si="29"/>
        <v>0</v>
      </c>
      <c r="JH22" s="86" t="str">
        <f>IFERROR(IF(VLOOKUP(A22,tbMoveset!A2:B112,2,FALSE)="Sever",Backdoors!AY41/100,IF(VLOOKUP(A22,tbMoveset!A2:B112,2,FALSE)="Blunt",Backdoors!AZ41/100,Backdoors!BA41/100)),"")</f>
        <v/>
      </c>
      <c r="JI22" s="49">
        <f>IFERROR(IF(VLOOKUP(tbMoveset!A22,tbMoveset!A2:H112,8,FALSE)="Other",IF(VLOOKUP(tbMoveset!A22,tbMoveset!A2:I112,9,FALSE)="Fire",Backdoors!BB41,IF(VLOOKUP(tbMoveset!A22,tbMoveset!A2:I112,9,FALSE)="Water",Backdoors!BC41,IF(VLOOKUP(tbMoveset!A22,tbMoveset!A2:I112,9,FALSE)="Thunder",Backdoors!BD41,IF(VLOOKUP(tbMoveset!A22,tbMoveset!A2:I112,9,FALSE)="Ice",Backdoors!BE41,IF(VLOOKUP(tbMoveset!A22,tbMoveset!A2:I112,9,FALSE)="Dragon",Backdoors!BF41,Backdoors!BG41)))))/100,Backdoors!BG41/100),"")</f>
        <v>0</v>
      </c>
      <c r="JJ22" s="49">
        <f>IFERROR(IF(VLOOKUP(A22,tbMoveset!A2:J112,10,FALSE)=TRUE,IF((Backdoors!AI12+IF(JH22&gt;=0.45,VLOOKUP(Calculator!E23,tbSkills!DH3:DI6,2,FALSE)+IF(AND(Calculator!B8=TRUE,Backdoors!BI41=TRUE),VLOOKUP(Calculator!E23,tbSkills!DH3:DJ6,3,FALSE),0),0))&gt;=0,1+(Backdoors!AL2*(IF((Backdoors!AI12+IF(JH22&gt;=0.45,VLOOKUP(Calculator!E23,tbSkills!DH3:DI6,2,FALSE)+IF(AND(Calculator!B8=TRUE,Backdoors!BI41=TRUE),VLOOKUP(Calculator!E23,tbSkills!DH3:DJ6,3,FALSE),0),0))&gt;=100,100,(Backdoors!AI12+IF(JH22&gt;=0.45,VLOOKUP(Calculator!E23,tbSkills!DH3:DI6,2,FALSE)+IF(AND(Calculator!B8=TRUE,Backdoors!BI41=TRUE),VLOOKUP(Calculator!E23,tbSkills!DH3:DJ6,3,FALSE),0),0)))/100)),(1-(0.25*((-Backdoors!AI12-IF(JH22&gt;=0.45,VLOOKUP(Calculator!E23,tbSkills!DH3:DI6,2,FALSE)+IF(AND(Calculator!B8=TRUE,Backdoors!BI41=TRUE),VLOOKUP(Calculator!E23,tbSkills!DH3:DJ6,3,FALSE),0),0))/100)))),1),"")</f>
        <v>1</v>
      </c>
      <c r="JK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H22)*JJ22)*(VLOOKUP(A22,tbMoveset!A2:C112,3,FALSE)/100)*IF(VLOOKUP(A22,tbMoveset!A2:B112,2,FALSE)="Projectile",Backdoors!N10,Backdoors!N9),0),"")</f>
        <v/>
      </c>
      <c r="JL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43&gt;0,VLOOKUP(Calculator!E43,tbSkills!AC3:AD5,2,FALSE),Backdoors!AL3)*(IF((Backdoors!AI12+IF(JH22&gt;=0.45,VLOOKUP(Calculator!E23,tbSkills!DH3:DI6,2,FALSE)+IF(AND(Calculator!B8=TRUE,Backdoors!BI41=TRUE),VLOOKUP(Calculator!E23,tbSkills!DH3:DJ6,3,FALSE),0),0))&gt;=100,100,(Backdoors!AI12+IF(JH22&gt;=0.45,VLOOKUP(Calculator!E23,tbSkills!DH3:DI6,2,FALSE)+IF(AND(Calculator!B8=TRUE,Backdoors!BI41=TRUE),VLOOKUP(Calculator!E23,tbSkills!DH3:DJ6,3,FALSE),0),0)))/100)),1))*IF(VLOOKUP(A22,tbMoveset!A2:K112,11,FALSE)=TRUE,Backdoors!AC5,1))*JI22,0),"")</f>
        <v/>
      </c>
      <c r="JM22" s="49">
        <f>VLOOKUP(A22,tbMoveset!A2:G112,7,FALSE)*IFERROR(IF(Backdoors!AI12&gt;=0,1+(IF(Calculator!E40&gt;0,VLOOKUP(Calculator!E40,tbSkills!AI3:AJ5,2,FALSE),Backdoors!AL4)*(IF((Backdoors!AI12+IF(JH22&gt;=0.45,VLOOKUP(Calculator!E23,tbSkills!DH3:DI6,2,FALSE)+IF(AND(Calculator!B8=TRUE,Backdoors!BI41=TRUE),VLOOKUP(Calculator!E23,tbSkills!DH3:DJ6,3,FALSE),0),0))&gt;=100,100,(Backdoors!AI12+IF(JH22&gt;=0.45,VLOOKUP(Calculator!E23,tbSkills!DH3:DI6,2,FALSE)+IF(AND(Calculator!B8=TRUE,Backdoors!BI41=TRUE),VLOOKUP(Calculator!E23,tbSkills!DH3:DJ6,3,FALSE),0),0)))/100)),1),1)</f>
        <v>0.5</v>
      </c>
      <c r="JN22" s="87">
        <f t="shared" si="30"/>
        <v>0</v>
      </c>
      <c r="JO22" s="86" t="str">
        <f>IFERROR(IF(VLOOKUP(A22,tbMoveset!A2:B112,2,FALSE)="Sever",Backdoors!AY42/100,IF(VLOOKUP(A22,tbMoveset!A2:B112,2,FALSE)="Blunt",Backdoors!AZ42/100,Backdoors!BA42/100)),"")</f>
        <v/>
      </c>
      <c r="JP22" s="49">
        <f>IFERROR(IF(VLOOKUP(tbMoveset!A22,tbMoveset!A2:H112,8,FALSE)="Other",IF(VLOOKUP(tbMoveset!A22,tbMoveset!A2:I112,9,FALSE)="Fire",Backdoors!BB42,IF(VLOOKUP(tbMoveset!A22,tbMoveset!A2:I112,9,FALSE)="Water",Backdoors!BC42,IF(VLOOKUP(tbMoveset!A22,tbMoveset!A2:I112,9,FALSE)="Thunder",Backdoors!BD42,IF(VLOOKUP(tbMoveset!A22,tbMoveset!A2:I112,9,FALSE)="Ice",Backdoors!BE42,IF(VLOOKUP(tbMoveset!A22,tbMoveset!A2:I112,9,FALSE)="Dragon",Backdoors!BF42,Backdoors!BG42)))))/100,Backdoors!BG42/100),"")</f>
        <v>0</v>
      </c>
      <c r="JQ22" s="49">
        <f>IFERROR(IF(VLOOKUP(A22,tbMoveset!A2:J112,10,FALSE)=TRUE,IF((Backdoors!AI12+IF(JO22&gt;=0.45,VLOOKUP(Calculator!E23,tbSkills!DH3:DI6,2,FALSE)+IF(AND(Calculator!B8=TRUE,Backdoors!BI42=TRUE),VLOOKUP(Calculator!E23,tbSkills!DH3:DJ6,3,FALSE),0),0))&gt;=0,1+(Backdoors!AL2*(IF((Backdoors!AI12+IF(JO22&gt;=0.45,VLOOKUP(Calculator!E23,tbSkills!DH3:DI6,2,FALSE)+IF(AND(Calculator!B8=TRUE,Backdoors!BI42=TRUE),VLOOKUP(Calculator!E23,tbSkills!DH3:DJ6,3,FALSE),0),0))&gt;=100,100,(Backdoors!AI12+IF(JO22&gt;=0.45,VLOOKUP(Calculator!E23,tbSkills!DH3:DI6,2,FALSE)+IF(AND(Calculator!B8=TRUE,Backdoors!BI42=TRUE),VLOOKUP(Calculator!E23,tbSkills!DH3:DJ6,3,FALSE),0),0)))/100)),(1-(0.25*((-Backdoors!AI12-IF(JO22&gt;=0.45,VLOOKUP(Calculator!E23,tbSkills!DH3:DI6,2,FALSE)+IF(AND(Calculator!B8=TRUE,Backdoors!BI42=TRUE),VLOOKUP(Calculator!E23,tbSkills!DH3:DJ6,3,FALSE),0),0))/100)))),1),"")</f>
        <v>1</v>
      </c>
      <c r="JR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O22)*JQ22)*(VLOOKUP(A22,tbMoveset!A2:C112,3,FALSE)/100)*IF(VLOOKUP(A22,tbMoveset!A2:B112,2,FALSE)="Projectile",Backdoors!N10,Backdoors!N9),0),"")</f>
        <v/>
      </c>
      <c r="JS22" s="49">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45&gt;0,VLOOKUP(Calculator!E45,tbSkills!AC3:AD5,2,FALSE),Backdoors!AL3)*(IF((Backdoors!AI12+IF(JO22&gt;=0.45,VLOOKUP(Calculator!E23,tbSkills!DH3:DI6,2,FALSE)+IF(AND(Calculator!B8=TRUE,Backdoors!BI42=TRUE),VLOOKUP(Calculator!E23,tbSkills!DH3:DJ6,3,FALSE),0),0))&gt;=100,100,(Backdoors!AI12+IF(JO22&gt;=0.45,VLOOKUP(Calculator!E23,tbSkills!DH3:DI6,2,FALSE)+IF(AND(Calculator!B8=TRUE,Backdoors!BI42=TRUE),VLOOKUP(Calculator!E23,tbSkills!DH3:DJ6,3,FALSE),0),0)))/100)),1))*IF(VLOOKUP(A22,tbMoveset!A2:K112,11,FALSE)=TRUE,Backdoors!AC5,1))*JP22,0),"")</f>
        <v>0</v>
      </c>
      <c r="JT22" s="49">
        <f>VLOOKUP(A22,tbMoveset!A2:G112,7,FALSE)*IFERROR(IF(Backdoors!AI12&gt;=0,1+(IF(Calculator!E40&gt;0,VLOOKUP(Calculator!E40,tbSkills!AI3:AJ5,2,FALSE),Backdoors!AL4)*(IF((Backdoors!AI12+IF(JO22&gt;=0.45,VLOOKUP(Calculator!E23,tbSkills!DH3:DI6,2,FALSE)+IF(AND(Calculator!B8=TRUE,Backdoors!BI42=TRUE),VLOOKUP(Calculator!E23,tbSkills!DH3:DJ6,3,FALSE),0),0))&gt;=100,100,(Backdoors!AI12+IF(JO22&gt;=0.45,VLOOKUP(Calculator!E23,tbSkills!DH3:DI6,2,FALSE)+IF(AND(Calculator!B8=TRUE,Backdoors!BI42=TRUE),VLOOKUP(Calculator!E23,tbSkills!DH3:DJ6,3,FALSE),0),0)))/100)),1),1)</f>
        <v>0.5</v>
      </c>
      <c r="JU22" s="87">
        <f t="shared" si="31"/>
        <v>0</v>
      </c>
      <c r="JV22" s="86" t="str">
        <f>IFERROR(IF(VLOOKUP(A22,tbMoveset!A2:B112,2,FALSE)="Sever",Backdoors!AY43/100,IF(VLOOKUP(A22,tbMoveset!A2:B112,2,FALSE)="Blunt",Backdoors!AZ43/100,Backdoors!BA43/100)),"")</f>
        <v/>
      </c>
      <c r="JW22" s="49">
        <f>IFERROR(IF(VLOOKUP(tbMoveset!A22,tbMoveset!A2:H112,8,FALSE)="Other",IF(VLOOKUP(tbMoveset!A22,tbMoveset!A2:I112,9,FALSE)="Fire",Backdoors!BB43,IF(VLOOKUP(tbMoveset!A22,tbMoveset!A2:I112,9,FALSE)="Water",Backdoors!BC43,IF(VLOOKUP(tbMoveset!A22,tbMoveset!A2:I112,9,FALSE)="Thunder",Backdoors!BD43,IF(VLOOKUP(tbMoveset!A22,tbMoveset!A2:I112,9,FALSE)="Ice",Backdoors!BE43,IF(VLOOKUP(tbMoveset!A22,tbMoveset!A2:I112,9,FALSE)="Dragon",Backdoors!BF43,Backdoors!BG43)))))/100,Backdoors!BG43/100),"")</f>
        <v>0</v>
      </c>
      <c r="JX22" s="49">
        <f>IFERROR(IF(VLOOKUP(A22,tbMoveset!A2:J112,10,FALSE)=TRUE,IF((Backdoors!AI12+IF(JV22&gt;=0.45,VLOOKUP(Calculator!E23,tbSkills!DH3:DI6,2,FALSE)+IF(AND(Calculator!B8=TRUE,Backdoors!BI43=TRUE),VLOOKUP(Calculator!E23,tbSkills!DH3:DJ6,3,FALSE),0),0))&gt;=0,1+(Backdoors!AL2*(IF((Backdoors!AI12+IF(JV22&gt;=0.45,VLOOKUP(Calculator!E23,tbSkills!DH3:DI6,2,FALSE)+IF(AND(Calculator!B8=TRUE,Backdoors!BI43=TRUE),VLOOKUP(Calculator!E23,tbSkills!DH3:DJ6,3,FALSE),0),0))&gt;=100,100,(Backdoors!AI12+IF(JV22&gt;=0.45,VLOOKUP(Calculator!E23,tbSkills!DH3:DI6,2,FALSE)+IF(AND(Calculator!B8=TRUE,Backdoors!BI43=TRUE),VLOOKUP(Calculator!E23,tbSkills!DH3:DJ6,3,FALSE),0),0)))/100)),(1-(0.25*((-Backdoors!AI12-IF(JV22&gt;=0.45,VLOOKUP(Calculator!E23,tbSkills!DH3:DI6,2,FALSE)+IF(AND(Calculator!B8=TRUE,Backdoors!BI43=TRUE),VLOOKUP(Calculator!E23,tbSkills!DH3:DJ6,3,FALSE),0),0))/100)))),1),"")</f>
        <v>1</v>
      </c>
      <c r="JY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V22)*JX22)*(VLOOKUP(A22,tbMoveset!A2:C112,3,FALSE)/100)*IF(VLOOKUP(A22,tbMoveset!A2:B112,2,FALSE)="Projectile",Backdoors!N10,Backdoors!N9),0),"")</f>
        <v/>
      </c>
      <c r="JZ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46&gt;0,VLOOKUP(Calculator!E46,tbSkills!AC3:AD5,2,FALSE),Backdoors!AL3)*(IF((Backdoors!AI12+IF(JV22&gt;=0.45,VLOOKUP(Calculator!E23,tbSkills!DH3:DI6,2,FALSE)+IF(AND(Calculator!B8=TRUE,Backdoors!BI43=TRUE),VLOOKUP(Calculator!E23,tbSkills!DH3:DJ6,3,FALSE),0),0))&gt;=100,100,(Backdoors!AI12+IF(JV22&gt;=0.45,VLOOKUP(Calculator!E23,tbSkills!DH3:DI6,2,FALSE)+IF(AND(Calculator!B8=TRUE,Backdoors!BI43=TRUE),VLOOKUP(Calculator!E23,tbSkills!DH3:DJ6,3,FALSE),0),0)))/100)),1))*IF(VLOOKUP(A22,tbMoveset!A2:K112,11,FALSE)=TRUE,Backdoors!AC5,1))*JW22,0),"")</f>
        <v/>
      </c>
      <c r="KA22" s="49">
        <f>VLOOKUP(A22,tbMoveset!A2:G112,7,FALSE)*IFERROR(IF(Backdoors!AI12&gt;=0,1+(IF(Calculator!E40&gt;0,VLOOKUP(Calculator!E40,tbSkills!AI3:AJ5,2,FALSE),Backdoors!AL4)*(IF((Backdoors!AI12+IF(JV22&gt;=0.45,VLOOKUP(Calculator!E23,tbSkills!DH3:DI6,2,FALSE)+IF(AND(Calculator!B8=TRUE,Backdoors!BI43=TRUE),VLOOKUP(Calculator!E23,tbSkills!DH3:DJ6,3,FALSE),0),0))&gt;=100,100,(Backdoors!AI12+IF(JV22&gt;=0.45,VLOOKUP(Calculator!E23,tbSkills!DH3:DI6,2,FALSE)+IF(AND(Calculator!B8=TRUE,Backdoors!BI43=TRUE),VLOOKUP(Calculator!E23,tbSkills!DH3:DJ6,3,FALSE),0),0)))/100)),1),1)</f>
        <v>0.5</v>
      </c>
      <c r="KB22" s="87">
        <f t="shared" si="32"/>
        <v>0</v>
      </c>
      <c r="KC22" s="86" t="str">
        <f>IFERROR(IF(VLOOKUP(A22,tbMoveset!A2:B112,2,FALSE)="Sever",Backdoors!AY44/100,IF(VLOOKUP(A22,tbMoveset!A2:B112,2,FALSE)="Blunt",Backdoors!AZ44/100,Backdoors!BA44/100)),"")</f>
        <v/>
      </c>
      <c r="KD22" s="49">
        <f>IFERROR(IF(VLOOKUP(tbMoveset!A22,tbMoveset!A2:H112,8,FALSE)="Other",IF(VLOOKUP(tbMoveset!A22,tbMoveset!A2:I112,9,FALSE)="Fire",Backdoors!BB44,IF(VLOOKUP(tbMoveset!A22,tbMoveset!A2:I112,9,FALSE)="Water",Backdoors!BC44,IF(VLOOKUP(tbMoveset!A22,tbMoveset!A2:I112,9,FALSE)="Thunder",Backdoors!BD44,IF(VLOOKUP(tbMoveset!A22,tbMoveset!A2:I112,9,FALSE)="Ice",Backdoors!BE44,IF(VLOOKUP(tbMoveset!A22,tbMoveset!A2:I112,9,FALSE)="Dragon",Backdoors!BF44,Backdoors!BG44)))))/100,Backdoors!BG44/100),"")</f>
        <v>0</v>
      </c>
      <c r="KE22" s="49">
        <f>IFERROR(IF(VLOOKUP(A22,tbMoveset!A2:J112,10,FALSE)=TRUE,IF((Backdoors!AI12+IF(KC22&gt;=0.45,VLOOKUP(Calculator!E23,tbSkills!DH3:DI6,2,FALSE)+IF(AND(Calculator!B8=TRUE,Backdoors!BI44=TRUE),VLOOKUP(Calculator!E23,tbSkills!DH3:DJ6,3,FALSE),0),0))&gt;=0,1+(Backdoors!AL2*(IF((Backdoors!AI12+IF(KC22&gt;=0.45,VLOOKUP(Calculator!E23,tbSkills!DH3:DI6,2,FALSE)+IF(AND(Calculator!B8=TRUE,Backdoors!BI44=TRUE),VLOOKUP(Calculator!E23,tbSkills!DH3:DJ6,3,FALSE),0),0))&gt;=100,100,(Backdoors!AI12+IF(KC22&gt;=0.45,VLOOKUP(Calculator!E23,tbSkills!DH3:DI6,2,FALSE)+IF(AND(Calculator!B8=TRUE,Backdoors!BI44=TRUE),VLOOKUP(Calculator!E23,tbSkills!DH3:DJ6,3,FALSE),0),0)))/100)),(1-(0.25*((-Backdoors!AI12-IF(KC22&gt;=0.45,VLOOKUP(Calculator!E23,tbSkills!DH3:DI6,2,FALSE)+IF(AND(Calculator!B8=TRUE,Backdoors!BI44=TRUE),VLOOKUP(Calculator!E23,tbSkills!DH3:DJ6,3,FALSE),0),0))/100)))),1),"")</f>
        <v>1</v>
      </c>
      <c r="KF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KC22)*KE22)*(VLOOKUP(A22,tbMoveset!A2:C112,3,FALSE)/100)*IF(VLOOKUP(A22,tbMoveset!A2:B112,2,FALSE)="Projectile",Backdoors!N10,Backdoors!N9),0),"")</f>
        <v/>
      </c>
      <c r="KG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REF!&gt;0,VLOOKUP(Calculator!#REF!,tbSkills!AC3:AD5,2,FALSE),Backdoors!AL3)*(IF((Backdoors!AI12+IF(KC22&gt;=0.45,VLOOKUP(Calculator!E23,tbSkills!DH3:DI6,2,FALSE)+IF(AND(Calculator!B8=TRUE,Backdoors!BI44=TRUE),VLOOKUP(Calculator!E23,tbSkills!DH3:DJ6,3,FALSE),0),0))&gt;=100,100,(Backdoors!AI12+IF(KC22&gt;=0.45,VLOOKUP(Calculator!E23,tbSkills!DH3:DI6,2,FALSE)+IF(AND(Calculator!B8=TRUE,Backdoors!BI44=TRUE),VLOOKUP(Calculator!E23,tbSkills!DH3:DJ6,3,FALSE),0),0)))/100)),1))*IF(VLOOKUP(A22,tbMoveset!A2:K112,11,FALSE)=TRUE,Backdoors!AC5,1))*KD22,0),"")</f>
        <v/>
      </c>
      <c r="KH22" s="49">
        <f>VLOOKUP(A22,tbMoveset!A2:G112,7,FALSE)*IFERROR(IF(Backdoors!AI12&gt;=0,1+(IF(Calculator!E40&gt;0,VLOOKUP(Calculator!E40,tbSkills!AI3:AJ5,2,FALSE),Backdoors!AL4)*(IF((Backdoors!AI12+IF(KC22&gt;=0.45,VLOOKUP(Calculator!E23,tbSkills!DH3:DI6,2,FALSE)+IF(AND(Calculator!B8=TRUE,Backdoors!BI44=TRUE),VLOOKUP(Calculator!E23,tbSkills!DH3:DJ6,3,FALSE),0),0))&gt;=100,100,(Backdoors!AI12+IF(KC22&gt;=0.45,VLOOKUP(Calculator!E23,tbSkills!DH3:DI6,2,FALSE)+IF(AND(Calculator!B8=TRUE,Backdoors!BI44=TRUE),VLOOKUP(Calculator!E23,tbSkills!DH3:DJ6,3,FALSE),0),0)))/100)),1),1)</f>
        <v>0.5</v>
      </c>
      <c r="KI22" s="87">
        <f t="shared" si="33"/>
        <v>0</v>
      </c>
      <c r="KJ22" s="86" t="str">
        <f>IFERROR(IF(VLOOKUP(A22,tbMoveset!A2:B112,2,FALSE)="Sever",Backdoors!AY45/100,IF(VLOOKUP(A22,tbMoveset!A2:B112,2,FALSE)="Blunt",Backdoors!AZ45/100,Backdoors!BA45/100)),"")</f>
        <v/>
      </c>
      <c r="KK22" s="49">
        <f>IFERROR(IF(VLOOKUP(tbMoveset!A22,tbMoveset!A2:H112,8,FALSE)="Other",IF(VLOOKUP(tbMoveset!A22,tbMoveset!A2:I112,9,FALSE)="Fire",Backdoors!BB45,IF(VLOOKUP(tbMoveset!A22,tbMoveset!A2:I112,9,FALSE)="Water",Backdoors!BC45,IF(VLOOKUP(tbMoveset!A22,tbMoveset!A2:I112,9,FALSE)="Thunder",Backdoors!BD45,IF(VLOOKUP(tbMoveset!A22,tbMoveset!A2:I112,9,FALSE)="Ice",Backdoors!BE45,IF(VLOOKUP(tbMoveset!A22,tbMoveset!A2:I112,9,FALSE)="Dragon",Backdoors!BF45,Backdoors!BG45)))))/100,Backdoors!BG45/100),"")</f>
        <v>0</v>
      </c>
      <c r="KL22" s="49">
        <f>IFERROR(IF(VLOOKUP(A22,tbMoveset!A2:J112,10,FALSE)=TRUE,IF((Backdoors!AI12+IF(KJ22&gt;=0.45,VLOOKUP(Calculator!E23,tbSkills!DH3:DI6,2,FALSE)+IF(AND(Calculator!B8=TRUE,Backdoors!BI45=TRUE),VLOOKUP(Calculator!E23,tbSkills!DH3:DJ6,3,FALSE),0),0))&gt;=0,1+(Backdoors!AL2*(IF((Backdoors!AI12+IF(KJ22&gt;=0.45,VLOOKUP(Calculator!E23,tbSkills!DH3:DI6,2,FALSE)+IF(AND(Calculator!B8=TRUE,Backdoors!BI45=TRUE),VLOOKUP(Calculator!E23,tbSkills!DH3:DJ6,3,FALSE),0),0))&gt;=100,100,(Backdoors!AI12+IF(KJ22&gt;=0.45,VLOOKUP(Calculator!E23,tbSkills!DH3:DI6,2,FALSE)+IF(AND(Calculator!B8=TRUE,Backdoors!BI45=TRUE),VLOOKUP(Calculator!E23,tbSkills!DH3:DJ6,3,FALSE),0),0)))/100)),(1-(0.25*((-Backdoors!AI12-IF(KJ22&gt;=0.45,VLOOKUP(Calculator!E23,tbSkills!DH3:DI6,2,FALSE)+IF(AND(Calculator!B8=TRUE,Backdoors!BI45=TRUE),VLOOKUP(Calculator!E23,tbSkills!DH3:DJ6,3,FALSE),0),0))/100)))),1),"")</f>
        <v>1</v>
      </c>
      <c r="KM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KJ22)*KL22)*(VLOOKUP(A22,tbMoveset!A2:C112,3,FALSE)/100)*IF(VLOOKUP(A22,tbMoveset!A2:B112,2,FALSE)="Projectile",Backdoors!N10,Backdoors!N9),0),"")</f>
        <v/>
      </c>
      <c r="KN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REF!&gt;0,VLOOKUP(Calculator!#REF!,tbSkills!AC3:AD5,2,FALSE),Backdoors!AL3)*(IF((Backdoors!AI12+IF(KJ22&gt;=0.45,VLOOKUP(Calculator!E23,tbSkills!DH3:DI6,2,FALSE)+IF(AND(Calculator!B8=TRUE,Backdoors!BI45=TRUE),VLOOKUP(Calculator!E23,tbSkills!DH3:DJ6,3,FALSE),0),0))&gt;=100,100,(Backdoors!AI12+IF(KJ22&gt;=0.45,VLOOKUP(Calculator!E23,tbSkills!DH3:DI6,2,FALSE)+IF(AND(Calculator!B8=TRUE,Backdoors!BI45=TRUE),VLOOKUP(Calculator!E23,tbSkills!DH3:DJ6,3,FALSE),0),0)))/100)),1))*IF(VLOOKUP(A22,tbMoveset!A2:K112,11,FALSE)=TRUE,Backdoors!AC5,1))*KK22,0),"")</f>
        <v/>
      </c>
      <c r="KO22" s="49">
        <f>VLOOKUP(A22,tbMoveset!A2:G112,7,FALSE)*IFERROR(IF(Backdoors!AI12&gt;=0,1+(IF(Calculator!E40&gt;0,VLOOKUP(Calculator!E40,tbSkills!AI3:AJ5,2,FALSE),Backdoors!AL4)*(IF((Backdoors!AI12+IF(KJ22&gt;=0.45,VLOOKUP(Calculator!E23,tbSkills!DH3:DI6,2,FALSE)+IF(AND(Calculator!B8=TRUE,Backdoors!BI45=TRUE),VLOOKUP(Calculator!E23,tbSkills!DH3:DJ6,3,FALSE),0),0))&gt;=100,100,(Backdoors!AI12+IF(KJ22&gt;=0.45,VLOOKUP(Calculator!E23,tbSkills!DH3:DI6,2,FALSE)+IF(AND(Calculator!B8=TRUE,Backdoors!BI45=TRUE),VLOOKUP(Calculator!E23,tbSkills!DH3:DJ6,3,FALSE),0),0)))/100)),1),1)</f>
        <v>0.5</v>
      </c>
      <c r="KP22" s="87">
        <f t="shared" si="34"/>
        <v>0</v>
      </c>
      <c r="KQ22" s="86" t="str">
        <f>IFERROR(IF(VLOOKUP(A22,tbMoveset!A2:B112,2,FALSE)="Sever",Backdoors!AY46/100,IF(VLOOKUP(A22,tbMoveset!A2:B112,2,FALSE)="Blunt",Backdoors!AZ46/100,Backdoors!BA46/100)),"")</f>
        <v/>
      </c>
      <c r="KR22" s="49">
        <f>IFERROR(IF(VLOOKUP(tbMoveset!A22,tbMoveset!A2:H112,8,FALSE)="Other",IF(VLOOKUP(tbMoveset!A22,tbMoveset!A2:I112,9,FALSE)="Fire",Backdoors!BB46,IF(VLOOKUP(tbMoveset!A22,tbMoveset!A2:I112,9,FALSE)="Water",Backdoors!BC46,IF(VLOOKUP(tbMoveset!A22,tbMoveset!A2:I112,9,FALSE)="Thunder",Backdoors!BD46,IF(VLOOKUP(tbMoveset!A22,tbMoveset!A2:I112,9,FALSE)="Ice",Backdoors!BE46,IF(VLOOKUP(tbMoveset!A22,tbMoveset!A2:I112,9,FALSE)="Dragon",Backdoors!BF46,Backdoors!BG46)))))/100,Backdoors!BG46/100),"")</f>
        <v>0</v>
      </c>
      <c r="KS22" s="49">
        <f>IFERROR(IF(VLOOKUP(A22,tbMoveset!A2:J112,10,FALSE)=TRUE,IF((Backdoors!AI12+IF(KQ22&gt;=0.45,VLOOKUP(Calculator!E23,tbSkills!DH3:DI6,2,FALSE)+IF(AND(Calculator!B8=TRUE,Backdoors!BI46=TRUE),VLOOKUP(Calculator!E23,tbSkills!DH3:DJ6,3,FALSE),0),0))&gt;=0,1+(Backdoors!AL2*(IF((Backdoors!AI12+IF(KQ22&gt;=0.45,VLOOKUP(Calculator!E23,tbSkills!DH3:DI6,2,FALSE)+IF(AND(Calculator!B8=TRUE,Backdoors!BI46=TRUE),VLOOKUP(Calculator!E23,tbSkills!DH3:DJ6,3,FALSE),0),0))&gt;=100,100,(Backdoors!AI12+IF(KQ22&gt;=0.45,VLOOKUP(Calculator!E23,tbSkills!DH3:DI6,2,FALSE)+IF(AND(Calculator!B8=TRUE,Backdoors!BI46=TRUE),VLOOKUP(Calculator!E23,tbSkills!DH3:DJ6,3,FALSE),0),0)))/100)),(1-(0.25*((-Backdoors!AI12-IF(KQ22&gt;=0.45,VLOOKUP(Calculator!E23,tbSkills!DH3:DI6,2,FALSE)+IF(AND(Calculator!B8=TRUE,Backdoors!BI46=TRUE),VLOOKUP(Calculator!E23,tbSkills!DH3:DJ6,3,FALSE),0),0))/100)))),1),"")</f>
        <v>1</v>
      </c>
      <c r="KT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KQ22)*KS22)*(VLOOKUP(A22,tbMoveset!A2:C112,3,FALSE)/100)*IF(VLOOKUP(A22,tbMoveset!A2:B112,2,FALSE)="Projectile",Backdoors!N10,Backdoors!N9),0),"")</f>
        <v/>
      </c>
      <c r="KU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REF!&gt;0,VLOOKUP(Calculator!#REF!,tbSkills!AC3:AD5,2,FALSE),Backdoors!AL3)*(IF((Backdoors!AI12+IF(KQ22&gt;=0.45,VLOOKUP(Calculator!E23,tbSkills!DH3:DI6,2,FALSE)+IF(AND(Calculator!B8=TRUE,Backdoors!BI46=TRUE),VLOOKUP(Calculator!E23,tbSkills!DH3:DJ6,3,FALSE),0),0))&gt;=100,100,(Backdoors!AI12+IF(KQ22&gt;=0.45,VLOOKUP(Calculator!E23,tbSkills!DH3:DI6,2,FALSE)+IF(AND(Calculator!B8=TRUE,Backdoors!BI46=TRUE),VLOOKUP(Calculator!E23,tbSkills!DH3:DJ6,3,FALSE),0),0)))/100)),1))*IF(VLOOKUP(A22,tbMoveset!A2:K112,11,FALSE)=TRUE,Backdoors!AC5,1))*KR22,0),"")</f>
        <v/>
      </c>
      <c r="KV22" s="49">
        <f>VLOOKUP(A22,tbMoveset!A2:G112,7,FALSE)*IFERROR(IF(Backdoors!AI12&gt;=0,1+(IF(Calculator!E40&gt;0,VLOOKUP(Calculator!E40,tbSkills!AI3:AJ5,2,FALSE),Backdoors!AL4)*(IF((Backdoors!AI12+IF(KQ22&gt;=0.45,VLOOKUP(Calculator!E23,tbSkills!DH3:DI6,2,FALSE)+IF(AND(Calculator!B8=TRUE,Backdoors!BI46=TRUE),VLOOKUP(Calculator!E23,tbSkills!DH3:DJ6,3,FALSE),0),0))&gt;=100,100,(Backdoors!AI12+IF(KQ22&gt;=0.45,VLOOKUP(Calculator!E23,tbSkills!DH3:DI6,2,FALSE)+IF(AND(Calculator!B8=TRUE,Backdoors!BI46=TRUE),VLOOKUP(Calculator!E23,tbSkills!DH3:DJ6,3,FALSE),0),0)))/100)),1),1)</f>
        <v>0.5</v>
      </c>
      <c r="KW22" s="87">
        <f t="shared" si="35"/>
        <v>0</v>
      </c>
    </row>
    <row r="23" spans="1:309" x14ac:dyDescent="0.25">
      <c r="A23" s="95" t="str">
        <f>tbMoveset!A23</f>
        <v>Left Double Roundslash (L1)</v>
      </c>
      <c r="B23" s="86">
        <f>IFERROR(IF(VLOOKUP(A23,tbMoveset!A2:B112,2,FALSE)="Sever",Backdoors!AY3/100,IF(VLOOKUP(A23,tbMoveset!A2:B112,2,FALSE)="Blunt",Backdoors!AZ3/100,Backdoors!BA3/100)),"")</f>
        <v>0.8</v>
      </c>
      <c r="C23" s="49">
        <f>IFERROR(IF(VLOOKUP(tbMoveset!A23,tbMoveset!A2:H112,8,FALSE)="Other",IF(VLOOKUP(tbMoveset!A23,tbMoveset!A2:I112,9,FALSE)="Fire",Backdoors!BB3,IF(VLOOKUP(tbMoveset!A23,tbMoveset!A2:I112,9,FALSE)="Water",Backdoors!BC3,IF(VLOOKUP(tbMoveset!A23,tbMoveset!A2:I112,9,FALSE)="Thunder",Backdoors!BD3,IF(VLOOKUP(tbMoveset!A23,tbMoveset!A2:I112,9,FALSE)="Ice",Backdoors!BE3,IF(VLOOKUP(tbMoveset!A23,tbMoveset!A2:I112,9,FALSE)="Dragon",Backdoors!BF3,Backdoors!BG3)))))/100,Backdoors!BG3/100),"")</f>
        <v>0</v>
      </c>
      <c r="D23" s="49">
        <f>IFERROR(IF(VLOOKUP(A23,tbMoveset!A2:J112,10,FALSE)=TRUE,IF((Backdoors!AI12+IF(B23&gt;=0.45,VLOOKUP(Calculator!E23,tbSkills!DH3:DI6,2,FALSE)+IF(AND(Calculator!B8=TRUE,Backdoors!BI3=TRUE),VLOOKUP(Calculator!E23,tbSkills!DH3:DJ6,3,FALSE),0),0))&gt;=0,1+(Backdoors!AL2*(IF((Backdoors!AI12+IF(B23&gt;=0.45,VLOOKUP(Calculator!E23,tbSkills!DH3:DI6,2,FALSE)+IF(AND(Calculator!B8=TRUE,Backdoors!BI3=TRUE),VLOOKUP(Calculator!E23,tbSkills!DH3:DJ6,3,FALSE),0),0))&gt;=100,100,(Backdoors!AI12+IF(B23&gt;=0.45,VLOOKUP(Calculator!E23,tbSkills!DH3:DI6,2,FALSE)+IF(AND(Calculator!B8=TRUE,Backdoors!BI3=TRUE),VLOOKUP(Calculator!E23,tbSkills!DH3:DJ6,3,FALSE),0),0)))/100)),(1-(0.25*((-Backdoors!AI12-IF(B23&gt;=0.45,VLOOKUP(Calculator!E23,tbSkills!DH3:DI6,2,FALSE)+IF(AND(Calculator!B8=TRUE,Backdoors!BI3=TRUE),VLOOKUP(Calculator!E23,tbSkills!DH3:DJ6,3,FALSE),0),0))/100)))),1),"")</f>
        <v>1</v>
      </c>
      <c r="E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23)*D23)*(VLOOKUP(A23,tbMoveset!A2:C112,3,FALSE)/100)*IF(VLOOKUP(A23,tbMoveset!A2:B112,2,FALSE)="Projectile",Backdoors!N10,Backdoors!N9),0),"")</f>
        <v>13</v>
      </c>
      <c r="F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23&gt;=0.45,VLOOKUP(Calculator!E23,tbSkills!DH3:DI6,2,FALSE)+IF(AND(Calculator!B8=TRUE,Backdoors!BI3=TRUE),VLOOKUP(Calculator!E23,tbSkills!DH3:DJ6,3,FALSE),0),0))&gt;=100,100,(Backdoors!AI12+IF(B23&gt;=0.45,VLOOKUP(Calculator!E23,tbSkills!DH3:DI6,2,FALSE)+IF(AND(Calculator!B8=TRUE,Backdoors!BI3=TRUE),VLOOKUP(Calculator!E23,tbSkills!DH3:DJ6,3,FALSE),0),0)))/100)),1))*IF(VLOOKUP(A23,tbMoveset!A2:K112,11,FALSE)=TRUE,Backdoors!AC5,1))*C23,0),"")</f>
        <v>0</v>
      </c>
      <c r="G23">
        <f>VLOOKUP(A23,tbMoveset!A2:G112,7,FALSE)*IFERROR(IF(Backdoors!AI12&gt;=0,1+(IF(Calculator!E40&gt;0,VLOOKUP(Calculator!E40,tbSkills!AI3:AJ5,2,FALSE),Backdoors!AL4)*(IF((Backdoors!AI12+IF(B23&gt;=0.45,VLOOKUP(Calculator!E23,tbSkills!DH3:DI6,2,FALSE)+IF(AND(Calculator!B8=TRUE,Backdoors!BI3=TRUE),VLOOKUP(Calculator!E23,tbSkills!DH3:DJ6,3,FALSE),0),0))&gt;=100,100,(Backdoors!AI12+IF(B23&gt;=0.45,VLOOKUP(Calculator!E23,tbSkills!DH3:DI6,2,FALSE)+IF(AND(Calculator!B8=TRUE,Backdoors!BI3=TRUE),VLOOKUP(Calculator!E23,tbSkills!DH3:DJ6,3,FALSE),0),0)))/100)),1),1)</f>
        <v>1</v>
      </c>
      <c r="H23" s="87">
        <f t="shared" si="43"/>
        <v>13</v>
      </c>
      <c r="I23" s="86">
        <f>IFERROR(IF(VLOOKUP(A23,tbMoveset!A2:B112,2,FALSE)="Sever",Backdoors!AY4/100,IF(VLOOKUP(A23,tbMoveset!A2:B112,2,FALSE)="Blunt",Backdoors!AZ4/100,Backdoors!BA4/100)),"")</f>
        <v>0.65</v>
      </c>
      <c r="J23" s="49">
        <f>IFERROR(IF(VLOOKUP(tbMoveset!A23,tbMoveset!A2:H112,8,FALSE)="Other",IF(VLOOKUP(tbMoveset!A23,tbMoveset!A2:I112,9,FALSE)="Fire",Backdoors!BB4,IF(VLOOKUP(tbMoveset!A23,tbMoveset!A2:I112,9,FALSE)="Water",Backdoors!BC4,IF(VLOOKUP(tbMoveset!A23,tbMoveset!A2:I112,9,FALSE)="Thunder",Backdoors!BD4,IF(VLOOKUP(tbMoveset!A23,tbMoveset!A2:I112,9,FALSE)="Ice",Backdoors!BE4,IF(VLOOKUP(tbMoveset!A23,tbMoveset!A2:I112,9,FALSE)="Dragon",Backdoors!BF4,Backdoors!BG4)))))/100,Backdoors!BG4/100),"")</f>
        <v>0</v>
      </c>
      <c r="K23" s="49">
        <f>IFERROR(IF(VLOOKUP(A23,tbMoveset!A2:J112,10,FALSE)=TRUE,IF((Backdoors!AI12+IF(I23&gt;=0.45,VLOOKUP(Calculator!E23,tbSkills!DH3:DI6,2,FALSE)+IF(AND(Calculator!B8=TRUE,Backdoors!BI4=TRUE),VLOOKUP(Calculator!E23,tbSkills!DH3:DJ6,3,FALSE),0),0))&gt;=0,1+(Backdoors!AL2*(IF((Backdoors!AI12+IF(I23&gt;=0.45,VLOOKUP(Calculator!E23,tbSkills!DH3:DI6,2,FALSE)+IF(AND(Calculator!B8=TRUE,Backdoors!BI4=TRUE),VLOOKUP(Calculator!E23,tbSkills!DH3:DJ6,3,FALSE),0),0))&gt;=100,100,(Backdoors!AI12+IF(I23&gt;=0.45,VLOOKUP(Calculator!E23,tbSkills!DH3:DI6,2,FALSE)+IF(AND(Calculator!B8=TRUE,Backdoors!BI4=TRUE),VLOOKUP(Calculator!E23,tbSkills!DH3:DJ6,3,FALSE),0),0)))/100)),(1-(0.25*((-Backdoors!AI12-IF(I23&gt;=0.45,VLOOKUP(Calculator!E23,tbSkills!DH3:DI6,2,FALSE)+IF(AND(Calculator!B8=TRUE,Backdoors!BI4=TRUE),VLOOKUP(Calculator!E23,tbSkills!DH3:DJ6,3,FALSE),0),0))/100)))),1),"")</f>
        <v>1</v>
      </c>
      <c r="L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23)*K23)*(VLOOKUP(A23,tbMoveset!A2:C112,3,FALSE)/100)*IF(VLOOKUP(A23,tbMoveset!A2:B112,2,FALSE)="Projectile",Backdoors!N10,Backdoors!N9),0),"")</f>
        <v>10</v>
      </c>
      <c r="M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I23&gt;=0.45,VLOOKUP(Calculator!E23,tbSkills!DH3:DI6,2,FALSE)+IF(AND(Calculator!B8=TRUE,Backdoors!BI4=TRUE),VLOOKUP(Calculator!E23,tbSkills!DH3:DJ6,3,FALSE),0),0))&gt;=100,100,(Backdoors!AI12+IF(I23&gt;=0.45,VLOOKUP(Calculator!E23,tbSkills!DH3:DI6,2,FALSE)+IF(AND(Calculator!B8=TRUE,Backdoors!BI4=TRUE),VLOOKUP(Calculator!E23,tbSkills!DH3:DJ6,3,FALSE),0),0)))/100)),1))*IF(VLOOKUP(A23,tbMoveset!A2:K112,11,FALSE)=TRUE,Backdoors!AC5,1))*J23,0),"")</f>
        <v>0</v>
      </c>
      <c r="N23" s="49">
        <f>VLOOKUP(A23,tbMoveset!A2:G112,7,FALSE)*IFERROR(IF(Backdoors!AI12&gt;=0,1+(IF(Calculator!E40&gt;0,VLOOKUP(Calculator!E40,tbSkills!AI3:AJ5,2,FALSE),Backdoors!AL4)*(IF((Backdoors!AI12+IF(I23&gt;=0.45,VLOOKUP(Calculator!E23,tbSkills!DH3:DI6,2,FALSE)+IF(AND(Calculator!B8=TRUE,Backdoors!BI4=TRUE),VLOOKUP(Calculator!E23,tbSkills!DH3:DJ6,3,FALSE),0),0))&gt;=100,100,(Backdoors!AI12+IF(I23&gt;=0.45,VLOOKUP(Calculator!E23,tbSkills!DH3:DI6,2,FALSE)+IF(AND(Calculator!B8=TRUE,Backdoors!BI4=TRUE),VLOOKUP(Calculator!E23,tbSkills!DH3:DJ6,3,FALSE),0),0)))/100)),1),1)</f>
        <v>1</v>
      </c>
      <c r="O23" s="87">
        <f t="shared" si="36"/>
        <v>10</v>
      </c>
      <c r="P23" s="86">
        <f>IFERROR(IF(VLOOKUP(A23,tbMoveset!A2:B112,2,FALSE)="Sever",Backdoors!AY5/100,IF(VLOOKUP(A23,tbMoveset!A2:B112,2,FALSE)="Blunt",Backdoors!AZ5/100,Backdoors!BA5/100)),"")</f>
        <v>0.5</v>
      </c>
      <c r="Q23" s="49">
        <f>IFERROR(IF(VLOOKUP(tbMoveset!A23,tbMoveset!A2:H112,8,FALSE)="Other",IF(VLOOKUP(tbMoveset!A23,tbMoveset!A2:I112,9,FALSE)="Fire",Backdoors!BB5,IF(VLOOKUP(tbMoveset!A23,tbMoveset!A2:I112,9,FALSE)="Water",Backdoors!BC5,IF(VLOOKUP(tbMoveset!A23,tbMoveset!A2:I112,9,FALSE)="Thunder",Backdoors!BD5,IF(VLOOKUP(tbMoveset!A23,tbMoveset!A2:I112,9,FALSE)="Ice",Backdoors!BE5,IF(VLOOKUP(tbMoveset!A23,tbMoveset!A2:I112,9,FALSE)="Dragon",Backdoors!BF5,Backdoors!BG5)))))/100,Backdoors!BG5/100),"")</f>
        <v>0</v>
      </c>
      <c r="R23" s="49">
        <f>IFERROR(IF(VLOOKUP(A23,tbMoveset!A2:J112,10,FALSE)=TRUE,IF((Backdoors!AI12+IF(P23&gt;=0.45,VLOOKUP(Calculator!E23,tbSkills!DH3:DI6,2,FALSE)+IF(AND(Calculator!B8=TRUE,Backdoors!BI5=TRUE),VLOOKUP(Calculator!E23,tbSkills!DH3:DJ6,3,FALSE),0),0))&gt;=0,1+(Backdoors!AL2*(IF((Backdoors!AI12+IF(P23&gt;=0.45,VLOOKUP(Calculator!E23,tbSkills!DH3:DI6,2,FALSE)+IF(AND(Calculator!B8=TRUE,Backdoors!BI5=TRUE),VLOOKUP(Calculator!E23,tbSkills!DH3:DJ6,3,FALSE),0),0))&gt;=100,100,(Backdoors!AI12+IF(P23&gt;=0.45,VLOOKUP(Calculator!E23,tbSkills!DH3:DI6,2,FALSE)+IF(AND(Calculator!B8=TRUE,Backdoors!BI5=TRUE),VLOOKUP(Calculator!E23,tbSkills!DH3:DJ6,3,FALSE),0),0)))/100)),(1-(0.25*((-Backdoors!AI12-IF(P23&gt;=0.45,VLOOKUP(Calculator!E23,tbSkills!DH3:DI6,2,FALSE)+IF(AND(Calculator!B8=TRUE,Backdoors!BI5=TRUE),VLOOKUP(Calculator!E23,tbSkills!DH3:DJ6,3,FALSE),0),0))/100)))),1),"")</f>
        <v>1</v>
      </c>
      <c r="S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P23)*R23)*(VLOOKUP(A23,tbMoveset!A2:C112,3,FALSE)/100)*IF(VLOOKUP(A23,tbMoveset!A2:B112,2,FALSE)="Projectile",Backdoors!N10,Backdoors!N9),0),"")</f>
        <v>8</v>
      </c>
      <c r="T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P23&gt;=0.45,VLOOKUP(Calculator!E23,tbSkills!DH3:DI6,2,FALSE)+IF(AND(Calculator!B8=TRUE,Backdoors!BI5=TRUE),VLOOKUP(Calculator!E23,tbSkills!DH3:DJ6,3,FALSE),0),0))&gt;=100,100,(Backdoors!AI12+IF(P23&gt;=0.45,VLOOKUP(Calculator!E23,tbSkills!DH3:DI6,2,FALSE)+IF(AND(Calculator!B8=TRUE,Backdoors!BI5=TRUE),VLOOKUP(Calculator!E23,tbSkills!DH3:DJ6,3,FALSE),0),0)))/100)),1))*IF(VLOOKUP(A23,tbMoveset!A2:K112,11,FALSE)=TRUE,Backdoors!AC5,1))*Q23,0),"")</f>
        <v>0</v>
      </c>
      <c r="U23" s="49">
        <f>VLOOKUP(A23,tbMoveset!A2:G112,7,FALSE)*IFERROR(IF(Backdoors!AI12&gt;=0,1+(IF(Calculator!E40&gt;0,VLOOKUP(Calculator!E40,tbSkills!AI3:AJ5,2,FALSE),Backdoors!AL4)*(IF((Backdoors!AI12+IF(P23&gt;=0.45,VLOOKUP(Calculator!E23,tbSkills!DH3:DI6,2,FALSE)+IF(AND(Calculator!B8=TRUE,Backdoors!BI5=TRUE),VLOOKUP(Calculator!E23,tbSkills!DH3:DJ6,3,FALSE),0),0))&gt;=100,100,(Backdoors!AI12+IF(P23&gt;=0.45,VLOOKUP(Calculator!E23,tbSkills!DH3:DI6,2,FALSE)+IF(AND(Calculator!B8=TRUE,Backdoors!BI5=TRUE),VLOOKUP(Calculator!E23,tbSkills!DH3:DJ6,3,FALSE),0),0)))/100)),1),1)</f>
        <v>1</v>
      </c>
      <c r="V23" s="87">
        <f t="shared" si="37"/>
        <v>8</v>
      </c>
      <c r="W23" s="86">
        <f>IFERROR(IF(VLOOKUP(A23,tbMoveset!A2:B112,2,FALSE)="Sever",Backdoors!AY6/100,IF(VLOOKUP(A23,tbMoveset!A2:B112,2,FALSE)="Blunt",Backdoors!AZ6/100,Backdoors!BA6/100)),"")</f>
        <v>0.45</v>
      </c>
      <c r="X23" s="49">
        <f>IFERROR(IF(VLOOKUP(tbMoveset!A23,tbMoveset!A2:H112,8,FALSE)="Other",IF(VLOOKUP(tbMoveset!A23,tbMoveset!A2:I112,9,FALSE)="Fire",Backdoors!BB6,IF(VLOOKUP(tbMoveset!A23,tbMoveset!A2:I112,9,FALSE)="Water",Backdoors!BC6,IF(VLOOKUP(tbMoveset!A23,tbMoveset!A2:I112,9,FALSE)="Thunder",Backdoors!BD6,IF(VLOOKUP(tbMoveset!A23,tbMoveset!A2:I112,9,FALSE)="Ice",Backdoors!BE6,IF(VLOOKUP(tbMoveset!A23,tbMoveset!A2:I112,9,FALSE)="Dragon",Backdoors!BF6,Backdoors!BG6)))))/100,Backdoors!BG6/100),"")</f>
        <v>0</v>
      </c>
      <c r="Y23" s="49">
        <f>IFERROR(IF(VLOOKUP(A23,tbMoveset!A2:J112,10,FALSE)=TRUE,IF((Backdoors!AI12+IF(W23&gt;=0.45,VLOOKUP(Calculator!E23,tbSkills!DH3:DI6,2,FALSE)+IF(AND(Calculator!B8=TRUE,Backdoors!BI6=TRUE),VLOOKUP(Calculator!E23,tbSkills!DH3:DJ6,3,FALSE),0),0))&gt;=0,1+(Backdoors!AL2*(IF((Backdoors!AI12+IF(W23&gt;=0.45,VLOOKUP(Calculator!E23,tbSkills!DH3:DI6,2,FALSE)+IF(AND(Calculator!B8=TRUE,Backdoors!BI6=TRUE),VLOOKUP(Calculator!E23,tbSkills!DH3:DJ6,3,FALSE),0),0))&gt;=100,100,(Backdoors!AI12+IF(W23&gt;=0.45,VLOOKUP(Calculator!E23,tbSkills!DH3:DI6,2,FALSE)+IF(AND(Calculator!B8=TRUE,Backdoors!BI6=TRUE),VLOOKUP(Calculator!E23,tbSkills!DH3:DJ6,3,FALSE),0),0)))/100)),(1-(0.25*((-Backdoors!AI12-IF(W23&gt;=0.45,VLOOKUP(Calculator!E23,tbSkills!DH3:DI6,2,FALSE)+IF(AND(Calculator!B8=TRUE,Backdoors!BI6=TRUE),VLOOKUP(Calculator!E23,tbSkills!DH3:DJ6,3,FALSE),0),0))/100)))),1),"")</f>
        <v>1</v>
      </c>
      <c r="Z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W23)*Y23)*(VLOOKUP(A23,tbMoveset!A2:C112,3,FALSE)/100)*IF(VLOOKUP(A23,tbMoveset!A2:B112,2,FALSE)="Projectile",Backdoors!N10,Backdoors!N9),0),"")</f>
        <v>7</v>
      </c>
      <c r="AA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W23&gt;=0.45,VLOOKUP(Calculator!E23,tbSkills!DH3:DI6,2,FALSE)+IF(AND(Calculator!B8=TRUE,Backdoors!BI6=TRUE),VLOOKUP(Calculator!E23,tbSkills!DH3:DJ6,3,FALSE),0),0))&gt;=100,100,(Backdoors!AI12+IF(W23&gt;=0.45,VLOOKUP(Calculator!E23,tbSkills!DH3:DI6,2,FALSE)+IF(AND(Calculator!B8=TRUE,Backdoors!BI6=TRUE),VLOOKUP(Calculator!E23,tbSkills!DH3:DJ6,3,FALSE),0),0)))/100)),1))*IF(VLOOKUP(A23,tbMoveset!A2:K112,11,FALSE)=TRUE,Backdoors!AC5,1))*X23,0),"")</f>
        <v>0</v>
      </c>
      <c r="AB23" s="49">
        <f>VLOOKUP(A23,tbMoveset!A2:G112,7,FALSE)*IFERROR(IF(Backdoors!AI12&gt;=0,1+(IF(Calculator!E40&gt;0,VLOOKUP(Calculator!E40,tbSkills!AI3:AJ5,2,FALSE),Backdoors!AL4)*(IF((Backdoors!AI12+IF(W23&gt;=0.45,VLOOKUP(Calculator!E23,tbSkills!DH3:DI6,2,FALSE)+IF(AND(Calculator!B8=TRUE,Backdoors!BI6=TRUE),VLOOKUP(Calculator!E23,tbSkills!DH3:DJ6,3,FALSE),0),0))&gt;=100,100,(Backdoors!AI12+IF(W23&gt;=0.45,VLOOKUP(Calculator!E23,tbSkills!DH3:DI6,2,FALSE)+IF(AND(Calculator!B8=TRUE,Backdoors!BI6=TRUE),VLOOKUP(Calculator!E23,tbSkills!DH3:DJ6,3,FALSE),0),0)))/100)),1),1)</f>
        <v>1</v>
      </c>
      <c r="AC23" s="87">
        <f t="shared" si="0"/>
        <v>7</v>
      </c>
      <c r="AD23" s="86">
        <f>IFERROR(IF(VLOOKUP(A23,tbMoveset!A2:B112,2,FALSE)="Sever",Backdoors!AY7/100,IF(VLOOKUP(A23,tbMoveset!A2:B112,2,FALSE)="Blunt",Backdoors!AZ7/100,Backdoors!BA7/100)),"")</f>
        <v>0.65</v>
      </c>
      <c r="AE23" s="49">
        <f>IFERROR(IF(VLOOKUP(tbMoveset!A23,tbMoveset!A2:H112,8,FALSE)="Other",IF(VLOOKUP(tbMoveset!A23,tbMoveset!A2:I112,9,FALSE)="Fire",Backdoors!BB7,IF(VLOOKUP(tbMoveset!A23,tbMoveset!A2:I112,9,FALSE)="Water",Backdoors!BC7,IF(VLOOKUP(tbMoveset!A23,tbMoveset!A2:I112,9,FALSE)="Thunder",Backdoors!BD7,IF(VLOOKUP(tbMoveset!A23,tbMoveset!A2:I112,9,FALSE)="Ice",Backdoors!BE7,IF(VLOOKUP(tbMoveset!A23,tbMoveset!A2:I112,9,FALSE)="Dragon",Backdoors!BF7,Backdoors!BG7)))))/100,Backdoors!BG7/100),"")</f>
        <v>0</v>
      </c>
      <c r="AF23" s="49">
        <f>IFERROR(IF(VLOOKUP(A23,tbMoveset!A2:J112,10,FALSE)=TRUE,IF((Backdoors!AI12+IF(AD23&gt;=0.45,VLOOKUP(Calculator!E23,tbSkills!DH3:DI6,2,FALSE)+IF(AND(Calculator!B8=TRUE,Backdoors!BI7=TRUE),VLOOKUP(Calculator!E23,tbSkills!DH3:DJ6,3,FALSE),0),0))&gt;=0,1+(Backdoors!AL2*(IF((Backdoors!AI12+IF(AD23&gt;=0.45,VLOOKUP(Calculator!E23,tbSkills!DH3:DI6,2,FALSE)+IF(AND(Calculator!B8=TRUE,Backdoors!BI7=TRUE),VLOOKUP(Calculator!E23,tbSkills!DH3:DJ6,3,FALSE),0),0))&gt;=100,100,(Backdoors!AI12+IF(AD23&gt;=0.45,VLOOKUP(Calculator!E23,tbSkills!DH3:DI6,2,FALSE)+IF(AND(Calculator!B8=TRUE,Backdoors!BI7=TRUE),VLOOKUP(Calculator!E23,tbSkills!DH3:DJ6,3,FALSE),0),0)))/100)),(1-(0.25*((-Backdoors!AI12-IF(AD23&gt;=0.45,VLOOKUP(Calculator!E23,tbSkills!DH3:DI6,2,FALSE)+IF(AND(Calculator!B8=TRUE,Backdoors!BI7=TRUE),VLOOKUP(Calculator!E23,tbSkills!DH3:DJ6,3,FALSE),0),0))/100)))),1),"")</f>
        <v>1</v>
      </c>
      <c r="AG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D23)*AF23)*(VLOOKUP(A23,tbMoveset!A2:C112,3,FALSE)/100)*IF(VLOOKUP(A23,tbMoveset!A2:B112,2,FALSE)="Projectile",Backdoors!N10,Backdoors!N9),0),"")</f>
        <v>10</v>
      </c>
      <c r="AH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D23&gt;=0.45,VLOOKUP(Calculator!E23,tbSkills!DH3:DI6,2,FALSE)+IF(AND(Calculator!B8=TRUE,Backdoors!BI7=TRUE),VLOOKUP(Calculator!E23,tbSkills!DH3:DJ6,3,FALSE),0),0))&gt;=100,100,(Backdoors!AI12+IF(AD23&gt;=0.45,VLOOKUP(Calculator!E23,tbSkills!DH3:DI6,2,FALSE)+IF(AND(Calculator!B8=TRUE,Backdoors!BI7=TRUE),VLOOKUP(Calculator!E23,tbSkills!DH3:DJ6,3,FALSE),0),0)))/100)),1))*IF(VLOOKUP(A23,tbMoveset!A2:K112,11,FALSE)=TRUE,Backdoors!AC5,1))*AE23,0),"")</f>
        <v>0</v>
      </c>
      <c r="AI23" s="49">
        <f>VLOOKUP(A23,tbMoveset!A2:G112,7,FALSE)*IFERROR(IF(Backdoors!AI12&gt;=0,1+(IF(Calculator!E40&gt;0,VLOOKUP(Calculator!E40,tbSkills!AI3:AJ5,2,FALSE),Backdoors!AL4)*(IF((Backdoors!AI12+IF(AD23&gt;=0.45,VLOOKUP(Calculator!E23,tbSkills!DH3:DI6,2,FALSE)+IF(AND(Calculator!B8=TRUE,Backdoors!BI7=TRUE),VLOOKUP(Calculator!E23,tbSkills!DH3:DJ6,3,FALSE),0),0))&gt;=100,100,(Backdoors!AI12+IF(AD23&gt;=0.45,VLOOKUP(Calculator!E23,tbSkills!DH3:DI6,2,FALSE)+IF(AND(Calculator!B8=TRUE,Backdoors!BI7=TRUE),VLOOKUP(Calculator!E23,tbSkills!DH3:DJ6,3,FALSE),0),0)))/100)),1),1)</f>
        <v>1</v>
      </c>
      <c r="AJ23" s="87">
        <f t="shared" si="1"/>
        <v>10</v>
      </c>
      <c r="AK23" s="91">
        <f>IFERROR(IF(VLOOKUP(A23,tbMoveset!A2:B112,2,FALSE)="Sever",Backdoors!AY8/100,IF(VLOOKUP(A23,tbMoveset!A2:B112,2,FALSE)="Blunt",Backdoors!AZ8/100,Backdoors!BA8/100)),"")</f>
        <v>0.45</v>
      </c>
      <c r="AL23" s="49">
        <f>IFERROR(IF(VLOOKUP(tbMoveset!A23,tbMoveset!A2:H112,8,FALSE)="Other",IF(VLOOKUP(tbMoveset!A23,tbMoveset!A2:I112,9,FALSE)="Fire",Backdoors!BB8,IF(VLOOKUP(tbMoveset!A23,tbMoveset!A2:I112,9,FALSE)="Water",Backdoors!BC8,IF(VLOOKUP(tbMoveset!A23,tbMoveset!A2:I112,9,FALSE)="Thunder",Backdoors!BD8,IF(VLOOKUP(tbMoveset!A23,tbMoveset!A2:I112,9,FALSE)="Ice",Backdoors!BE8,IF(VLOOKUP(tbMoveset!A23,tbMoveset!A2:I112,9,FALSE)="Dragon",Backdoors!BF8,Backdoors!BG8)))))/100,Backdoors!BG8/100),"")</f>
        <v>0</v>
      </c>
      <c r="AM23" s="49">
        <f>IFERROR(IF(VLOOKUP(A23,tbMoveset!A2:J112,10,FALSE)=TRUE,IF((Backdoors!AI12+IF(AK23&gt;=0.45,VLOOKUP(Calculator!E23,tbSkills!DH3:DI6,2,FALSE)+IF(AND(Calculator!B8=TRUE,Backdoors!BI8=TRUE),VLOOKUP(Calculator!E23,tbSkills!DH3:DJ6,3,FALSE),0),0))&gt;=0,1+(Backdoors!AL2*(IF((Backdoors!AI12+IF(AK23&gt;=0.45,VLOOKUP(Calculator!E23,tbSkills!DH3:DI6,2,FALSE)+IF(AND(Calculator!B8=TRUE,Backdoors!BI8=TRUE),VLOOKUP(Calculator!E23,tbSkills!DH3:DJ6,3,FALSE),0),0))&gt;=100,100,(Backdoors!AI12+IF(AK23&gt;=0.45,VLOOKUP(Calculator!E23,tbSkills!DH3:DI6,2,FALSE)+IF(AND(Calculator!B8=TRUE,Backdoors!BI8=TRUE),VLOOKUP(Calculator!E23,tbSkills!DH3:DJ6,3,FALSE),0),0)))/100)),(1-(0.25*((-Backdoors!AI12-IF(AK23&gt;=0.45,VLOOKUP(Calculator!E23,tbSkills!DH3:DI6,2,FALSE)+IF(AND(Calculator!B8=TRUE,Backdoors!BI8=TRUE),VLOOKUP(Calculator!E23,tbSkills!DH3:DJ6,3,FALSE),0),0))/100)))),1),"")</f>
        <v>1</v>
      </c>
      <c r="AN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K23)*AM23)*(VLOOKUP(A23,tbMoveset!A2:C112,3,FALSE)/100)*IF(VLOOKUP(A23,tbMoveset!A2:B112,2,FALSE)="Projectile",Backdoors!N10,Backdoors!N9),0),"")</f>
        <v>7</v>
      </c>
      <c r="AO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K23&gt;=0.45,VLOOKUP(Calculator!E23,tbSkills!DH3:DI6,2,FALSE)+IF(AND(Calculator!B8=TRUE,Backdoors!BI8=TRUE),VLOOKUP(Calculator!E23,tbSkills!DH3:DJ6,3,FALSE),0),0))&gt;=100,100,(Backdoors!AI12+IF(AK23&gt;=0.45,VLOOKUP(Calculator!E23,tbSkills!DH3:DI6,2,FALSE)+IF(AND(Calculator!B8=TRUE,Backdoors!BI8=TRUE),VLOOKUP(Calculator!E23,tbSkills!DH3:DJ6,3,FALSE),0),0)))/100)),1))*IF(VLOOKUP(A23,tbMoveset!A2:K112,11,FALSE)=TRUE,Backdoors!AC5,1))*AL23,0),"")</f>
        <v>0</v>
      </c>
      <c r="AP23" s="49">
        <f>VLOOKUP(A23,tbMoveset!A2:G112,7,FALSE)*IFERROR(IF(Backdoors!AI12&gt;=0,1+(IF(Calculator!E40&gt;0,VLOOKUP(Calculator!E40,tbSkills!AI3:AJ5,2,FALSE),Backdoors!AL4)*(IF((Backdoors!AI12+IF(AK23&gt;=0.45,VLOOKUP(Calculator!E23,tbSkills!DH3:DI6,2,FALSE)+IF(AND(Calculator!B8=TRUE,Backdoors!BI8=TRUE),VLOOKUP(Calculator!E23,tbSkills!DH3:DJ6,3,FALSE),0),0))&gt;=100,100,(Backdoors!AI12+IF(AK23&gt;=0.45,VLOOKUP(Calculator!E23,tbSkills!DH3:DI6,2,FALSE)+IF(AND(Calculator!B8=TRUE,Backdoors!BI8=TRUE),VLOOKUP(Calculator!E23,tbSkills!DH3:DJ6,3,FALSE),0),0)))/100)),1),1)</f>
        <v>1</v>
      </c>
      <c r="AQ23" s="87">
        <f t="shared" si="2"/>
        <v>7</v>
      </c>
      <c r="AR23" s="86">
        <f>IFERROR(IF(VLOOKUP(A23,tbMoveset!A2:B112,2,FALSE)="Sever",Backdoors!AY9/100,IF(VLOOKUP(A23,tbMoveset!A2:B112,2,FALSE)="Blunt",Backdoors!AZ9/100,Backdoors!BA9/100)),"")</f>
        <v>0.45</v>
      </c>
      <c r="AS23" s="49">
        <f>IFERROR(IF(VLOOKUP(tbMoveset!A23,tbMoveset!A2:H112,8,FALSE)="Other",IF(VLOOKUP(tbMoveset!A23,tbMoveset!A2:I112,9,FALSE)="Fire",Backdoors!BB9,IF(VLOOKUP(tbMoveset!A23,tbMoveset!A2:I112,9,FALSE)="Water",Backdoors!BC9,IF(VLOOKUP(tbMoveset!A23,tbMoveset!A2:I112,9,FALSE)="Thunder",Backdoors!BD9,IF(VLOOKUP(tbMoveset!A23,tbMoveset!A2:I112,9,FALSE)="Ice",Backdoors!BE9,IF(VLOOKUP(tbMoveset!A23,tbMoveset!A2:I112,9,FALSE)="Dragon",Backdoors!BF9,Backdoors!BG9)))))/100,Backdoors!BG9/100),"")</f>
        <v>0</v>
      </c>
      <c r="AT23" s="49">
        <f>IFERROR(IF(VLOOKUP(A23,tbMoveset!A2:J112,10,FALSE)=TRUE,IF((Backdoors!AI12+IF(AR23&gt;=0.45,VLOOKUP(Calculator!E23,tbSkills!DH3:DI6,2,FALSE)+IF(AND(Calculator!B8=TRUE,Backdoors!BI9=TRUE),VLOOKUP(Calculator!E23,tbSkills!DH3:DJ6,3,FALSE),0),0))&gt;=0,1+(Backdoors!AL2*(IF((Backdoors!AI12+IF(AR23&gt;=0.45,VLOOKUP(Calculator!E23,tbSkills!DH3:DI6,2,FALSE)+IF(AND(Calculator!B8=TRUE,Backdoors!BI9=TRUE),VLOOKUP(Calculator!E23,tbSkills!DH3:DJ6,3,FALSE),0),0))&gt;=100,100,(Backdoors!AI12+IF(AR23&gt;=0.45,VLOOKUP(Calculator!E23,tbSkills!DH3:DI6,2,FALSE)+IF(AND(Calculator!B8=TRUE,Backdoors!BI9=TRUE),VLOOKUP(Calculator!E23,tbSkills!DH3:DJ6,3,FALSE),0),0)))/100)),(1-(0.25*((-Backdoors!AI12-IF(AR23&gt;=0.45,VLOOKUP(Calculator!E23,tbSkills!DH3:DI6,2,FALSE)+IF(AND(Calculator!B8=TRUE,Backdoors!BI9=TRUE),VLOOKUP(Calculator!E23,tbSkills!DH3:DJ6,3,FALSE),0),0))/100)))),1),"")</f>
        <v>1</v>
      </c>
      <c r="AU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R23)*AT23)*(VLOOKUP(A23,tbMoveset!A2:C112,3,FALSE)/100)*IF(VLOOKUP(A23,tbMoveset!A2:B112,2,FALSE)="Projectile",Backdoors!N10,Backdoors!N9),0),"")</f>
        <v>7</v>
      </c>
      <c r="AV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R23&gt;=0.45,VLOOKUP(Calculator!E23,tbSkills!DH3:DI6,2,FALSE)+IF(AND(Calculator!B8=TRUE,Backdoors!BI9=TRUE),VLOOKUP(Calculator!E23,tbSkills!DH3:DJ6,3,FALSE),0),0))&gt;=100,100,(Backdoors!AI12+IF(AR23&gt;=0.45,VLOOKUP(Calculator!E23,tbSkills!DH3:DI6,2,FALSE)+IF(AND(Calculator!B8=TRUE,Backdoors!BI9=TRUE),VLOOKUP(Calculator!E23,tbSkills!DH3:DJ6,3,FALSE),0),0)))/100)),1))*IF(VLOOKUP(A23,tbMoveset!A2:K112,11,FALSE)=TRUE,Backdoors!AC5,1))*AS23,0),"")</f>
        <v>0</v>
      </c>
      <c r="AW23" s="49">
        <f>VLOOKUP(A23,tbMoveset!A2:G112,7,FALSE)*IFERROR(IF(Backdoors!AI12&gt;=0,1+(IF(Calculator!E40&gt;0,VLOOKUP(Calculator!E40,tbSkills!AI3:AJ5,2,FALSE),Backdoors!AL4)*(IF((Backdoors!AI12+IF(AR23&gt;=0.45,VLOOKUP(Calculator!E23,tbSkills!DH3:DI6,2,FALSE)+IF(AND(Calculator!B8=TRUE,Backdoors!BI9=TRUE),VLOOKUP(Calculator!E23,tbSkills!DH3:DJ6,3,FALSE),0),0))&gt;=100,100,(Backdoors!AI12+IF(AR23&gt;=0.45,VLOOKUP(Calculator!E23,tbSkills!DH3:DI6,2,FALSE)+IF(AND(Calculator!B8=TRUE,Backdoors!BI9=TRUE),VLOOKUP(Calculator!E23,tbSkills!DH3:DJ6,3,FALSE),0),0)))/100)),1),1)</f>
        <v>1</v>
      </c>
      <c r="AX23" s="87">
        <f t="shared" si="38"/>
        <v>7</v>
      </c>
      <c r="AY23" s="86">
        <f>IFERROR(IF(VLOOKUP(A23,tbMoveset!A2:B112,2,FALSE)="Sever",Backdoors!AY10/100,IF(VLOOKUP(A23,tbMoveset!A2:B112,2,FALSE)="Blunt",Backdoors!AZ10/100,Backdoors!BA10/100)),"")</f>
        <v>0.9</v>
      </c>
      <c r="AZ23" s="49">
        <f>IFERROR(IF(VLOOKUP(tbMoveset!A23,tbMoveset!A2:H112,8,FALSE)="Other",IF(VLOOKUP(tbMoveset!A23,tbMoveset!A2:I112,9,FALSE)="Fire",Backdoors!BB10,IF(VLOOKUP(tbMoveset!A23,tbMoveset!A2:I112,9,FALSE)="Water",Backdoors!BC10,IF(VLOOKUP(tbMoveset!A23,tbMoveset!A2:I112,9,FALSE)="Thunder",Backdoors!BD10,IF(VLOOKUP(tbMoveset!A23,tbMoveset!A2:I112,9,FALSE)="Ice",Backdoors!BE10,IF(VLOOKUP(tbMoveset!A23,tbMoveset!A2:I112,9,FALSE)="Dragon",Backdoors!BF10,Backdoors!BG10)))))/100,Backdoors!BG10/100),"")</f>
        <v>0</v>
      </c>
      <c r="BA23" s="49">
        <f>IFERROR(IF(VLOOKUP(A23,tbMoveset!A2:J112,10,FALSE)=TRUE,IF((Backdoors!AI12+IF(AY23&gt;=0.45,VLOOKUP(Calculator!E23,tbSkills!DH3:DI6,2,FALSE)+IF(AND(Calculator!B8=TRUE,Backdoors!BI10=TRUE),VLOOKUP(Calculator!E23,tbSkills!DH3:DJ6,3,FALSE),0),0))&gt;=0,1+(Backdoors!AL2*(IF((Backdoors!AI12+IF(AY23&gt;=0.45,VLOOKUP(Calculator!E23,tbSkills!DH3:DI6,2,FALSE)+IF(AND(Calculator!B8=TRUE,Backdoors!BI10=TRUE),VLOOKUP(Calculator!E23,tbSkills!DH3:DJ6,3,FALSE),0),0))&gt;=100,100,(Backdoors!AI12+IF(AY23&gt;=0.45,VLOOKUP(Calculator!E23,tbSkills!DH3:DI6,2,FALSE)+IF(AND(Calculator!B8=TRUE,Backdoors!BI10=TRUE),VLOOKUP(Calculator!E23,tbSkills!DH3:DJ6,3,FALSE),0),0)))/100)),(1-(0.25*((-Backdoors!AI12-IF(AY23&gt;=0.45,VLOOKUP(Calculator!E23,tbSkills!DH3:DI6,2,FALSE)+IF(AND(Calculator!B8=TRUE,Backdoors!BI10=TRUE),VLOOKUP(Calculator!E23,tbSkills!DH3:DJ6,3,FALSE),0),0))/100)))),1),"")</f>
        <v>1</v>
      </c>
      <c r="BB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Y23)*BA23)*(VLOOKUP(A23,tbMoveset!A2:C112,3,FALSE)/100)*IF(VLOOKUP(A23,tbMoveset!A2:B112,2,FALSE)="Projectile",Backdoors!N10,Backdoors!N9),0),"")</f>
        <v>14</v>
      </c>
      <c r="BC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Y23&gt;=0.45,VLOOKUP(Calculator!E23,tbSkills!DH3:DI6,2,FALSE)+IF(AND(Calculator!B8=TRUE,Backdoors!BI10=TRUE),VLOOKUP(Calculator!E23,tbSkills!DH3:DJ6,3,FALSE),0),0))&gt;=100,100,(Backdoors!AI12+IF(AY23&gt;=0.45,VLOOKUP(Calculator!E23,tbSkills!DH3:DI6,2,FALSE)+IF(AND(Calculator!B8=TRUE,Backdoors!BI10=TRUE),VLOOKUP(Calculator!E23,tbSkills!DH3:DJ6,3,FALSE),0),0)))/100)),1))*IF(VLOOKUP(A23,tbMoveset!A2:K112,11,FALSE)=TRUE,Backdoors!AC5,1))*AZ23,0),"")</f>
        <v>0</v>
      </c>
      <c r="BD23" s="49">
        <f>VLOOKUP(A23,tbMoveset!A2:G112,7,FALSE)*IFERROR(IF(Backdoors!AI12&gt;=0,1+(IF(Calculator!E40&gt;0,VLOOKUP(Calculator!E40,tbSkills!AI3:AJ5,2,FALSE),Backdoors!AL4)*(IF((Backdoors!AI12+IF(AY23&gt;=0.45,VLOOKUP(Calculator!E23,tbSkills!DH3:DI6,2,FALSE)+IF(AND(Calculator!B8=TRUE,Backdoors!BI10=TRUE),VLOOKUP(Calculator!E23,tbSkills!DH3:DJ6,3,FALSE),0),0))&gt;=100,100,(Backdoors!AI12+IF(AY23&gt;=0.45,VLOOKUP(Calculator!E23,tbSkills!DH3:DI6,2,FALSE)+IF(AND(Calculator!B8=TRUE,Backdoors!BI10=TRUE),VLOOKUP(Calculator!E23,tbSkills!DH3:DJ6,3,FALSE),0),0)))/100)),1),1)</f>
        <v>1</v>
      </c>
      <c r="BE23" s="87">
        <f t="shared" si="3"/>
        <v>14</v>
      </c>
      <c r="BF23" s="86" t="str">
        <f>IFERROR(IF(VLOOKUP(A23,tbMoveset!A2:B112,2,FALSE)="Sever",Backdoors!AY11/100,IF(VLOOKUP(A23,tbMoveset!A2:B112,2,FALSE)="Blunt",Backdoors!AZ11/100,Backdoors!BA11/100)),"")</f>
        <v/>
      </c>
      <c r="BG23" s="49">
        <f>IFERROR(IF(VLOOKUP(tbMoveset!A23,tbMoveset!A2:H112,8,FALSE)="Other",IF(VLOOKUP(tbMoveset!A23,tbMoveset!A2:I112,9,FALSE)="Fire",Backdoors!BB11,IF(VLOOKUP(tbMoveset!A23,tbMoveset!A2:I112,9,FALSE)="Water",Backdoors!BC11,IF(VLOOKUP(tbMoveset!A23,tbMoveset!A2:I112,9,FALSE)="Thunder",Backdoors!BD11,IF(VLOOKUP(tbMoveset!A23,tbMoveset!A2:I112,9,FALSE)="Ice",Backdoors!BE11,IF(VLOOKUP(tbMoveset!A23,tbMoveset!A2:I112,9,FALSE)="Dragon",Backdoors!BF11,Backdoors!BG11)))))/100,Backdoors!BG11/100),"")</f>
        <v>0</v>
      </c>
      <c r="BH23" s="49">
        <f>IFERROR(IF(VLOOKUP(A23,tbMoveset!A2:J112,10,FALSE)=TRUE,IF((Backdoors!AI12+IF(BF23&gt;=0.45,VLOOKUP(Calculator!E23,tbSkills!DH3:DI6,2,FALSE)+IF(AND(Calculator!B8=TRUE,Backdoors!BI11=TRUE),VLOOKUP(Calculator!E23,tbSkills!DH3:DJ6,3,FALSE),0),0))&gt;=0,1+(Backdoors!AL2*(IF((Backdoors!AI12+IF(BF23&gt;=0.45,VLOOKUP(Calculator!E23,tbSkills!DH3:DI6,2,FALSE)+IF(AND(Calculator!B8=TRUE,Backdoors!BI11=TRUE),VLOOKUP(Calculator!E23,tbSkills!DH3:DJ6,3,FALSE),0),0))&gt;=100,100,(Backdoors!AI12+IF(BF23&gt;=0.45,VLOOKUP(Calculator!E23,tbSkills!DH3:DI6,2,FALSE)+IF(AND(Calculator!B8=TRUE,Backdoors!BI11=TRUE),VLOOKUP(Calculator!E23,tbSkills!DH3:DJ6,3,FALSE),0),0)))/100)),(1-(0.25*((-Backdoors!AI12-IF(BF23&gt;=0.45,VLOOKUP(Calculator!E23,tbSkills!DH3:DI6,2,FALSE)+IF(AND(Calculator!B8=TRUE,Backdoors!BI11=TRUE),VLOOKUP(Calculator!E23,tbSkills!DH3:DJ6,3,FALSE),0),0))/100)))),1),"")</f>
        <v>1</v>
      </c>
      <c r="BI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F23)*BH23)*(VLOOKUP(A23,tbMoveset!A2:C112,3,FALSE)/100)*IF(VLOOKUP(A23,tbMoveset!A2:B112,2,FALSE)="Projectile",Backdoors!N10,Backdoors!N9),0),"")</f>
        <v/>
      </c>
      <c r="BJ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F23&gt;=0.45,VLOOKUP(Calculator!E23,tbSkills!DH3:DI6,2,FALSE)+IF(AND(Calculator!B8=TRUE,Backdoors!BI11=TRUE),VLOOKUP(Calculator!E23,tbSkills!DH3:DJ6,3,FALSE),0),0))&gt;=100,100,(Backdoors!AI12+IF(BF23&gt;=0.45,VLOOKUP(Calculator!E23,tbSkills!DH3:DI6,2,FALSE)+IF(AND(Calculator!B8=TRUE,Backdoors!BI11=TRUE),VLOOKUP(Calculator!E23,tbSkills!DH3:DJ6,3,FALSE),0),0)))/100)),1))*IF(VLOOKUP(A23,tbMoveset!A2:K112,11,FALSE)=TRUE,Backdoors!AC5,1))*BG23,0),"")</f>
        <v>0</v>
      </c>
      <c r="BK23" s="49">
        <f>VLOOKUP(A23,tbMoveset!A2:G112,7,FALSE)*IFERROR(IF(Backdoors!AI12&gt;=0,1+(IF(Calculator!E40&gt;0,VLOOKUP(Calculator!E40,tbSkills!AI3:AJ5,2,FALSE),Backdoors!AL4)*(IF((Backdoors!AI12+IF(BF23&gt;=0.45,VLOOKUP(Calculator!E23,tbSkills!DH3:DI6,2,FALSE)+IF(AND(Calculator!B8=TRUE,Backdoors!BI11=TRUE),VLOOKUP(Calculator!E23,tbSkills!DH3:DJ6,3,FALSE),0),0))&gt;=100,100,(Backdoors!AI12+IF(BF23&gt;=0.45,VLOOKUP(Calculator!E23,tbSkills!DH3:DI6,2,FALSE)+IF(AND(Calculator!B8=TRUE,Backdoors!BI11=TRUE),VLOOKUP(Calculator!E23,tbSkills!DH3:DJ6,3,FALSE),0),0)))/100)),1),1)</f>
        <v>1</v>
      </c>
      <c r="BL23" s="87">
        <f t="shared" si="4"/>
        <v>0</v>
      </c>
      <c r="BM23" s="86" t="str">
        <f>IFERROR(IF(VLOOKUP(A23,tbMoveset!A2:B112,2,FALSE)="Sever",Backdoors!AY12/100,IF(VLOOKUP(A23,tbMoveset!A2:B112,2,FALSE)="Blunt",Backdoors!AZ12/100,Backdoors!BA12/100)),"")</f>
        <v/>
      </c>
      <c r="BN23" s="49">
        <f>IFERROR(IF(VLOOKUP(tbMoveset!A23,tbMoveset!A2:H112,8,FALSE)="Other",IF(VLOOKUP(tbMoveset!A23,tbMoveset!A2:I112,9,FALSE)="Fire",Backdoors!BB12,IF(VLOOKUP(tbMoveset!A23,tbMoveset!A2:I112,9,FALSE)="Water",Backdoors!BC12,IF(VLOOKUP(tbMoveset!A23,tbMoveset!A2:I112,9,FALSE)="Thunder",Backdoors!BD12,IF(VLOOKUP(tbMoveset!A23,tbMoveset!A2:I112,9,FALSE)="Ice",Backdoors!BE12,IF(VLOOKUP(tbMoveset!A23,tbMoveset!A2:I112,9,FALSE)="Dragon",Backdoors!BF12,Backdoors!BG12)))))/100,Backdoors!BG12/100),"")</f>
        <v>0</v>
      </c>
      <c r="BO23" s="49">
        <f>IFERROR(IF(VLOOKUP(A23,tbMoveset!A2:J112,10,FALSE)=TRUE,IF((Backdoors!AI12+IF(BM23&gt;=0.45,VLOOKUP(Calculator!E23,tbSkills!DH3:DI6,2,FALSE)+IF(AND(Calculator!B8=TRUE,Backdoors!BI12=TRUE),VLOOKUP(Calculator!E23,tbSkills!DH3:DJ6,3,FALSE),0),0))&gt;=0,1+(Backdoors!AL2*(IF((Backdoors!AI12+IF(BM23&gt;=0.45,VLOOKUP(Calculator!E23,tbSkills!DH3:DI6,2,FALSE)+IF(AND(Calculator!B8=TRUE,Backdoors!BI12=TRUE),VLOOKUP(Calculator!E23,tbSkills!DH3:DJ6,3,FALSE),0),0))&gt;=100,100,(Backdoors!AI12+IF(BM23&gt;=0.45,VLOOKUP(Calculator!E23,tbSkills!DH3:DI6,2,FALSE)+IF(AND(Calculator!B8=TRUE,Backdoors!BI12=TRUE),VLOOKUP(Calculator!E23,tbSkills!DH3:DJ6,3,FALSE),0),0)))/100)),(1-(0.25*((-Backdoors!AI12-IF(BM23&gt;=0.45,VLOOKUP(Calculator!E23,tbSkills!DH3:DI6,2,FALSE)+IF(AND(Calculator!B8=TRUE,Backdoors!BI12=TRUE),VLOOKUP(Calculator!E23,tbSkills!DH3:DJ6,3,FALSE),0),0))/100)))),1),"")</f>
        <v>1</v>
      </c>
      <c r="BP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M23)*BO23)*(VLOOKUP(A23,tbMoveset!A2:C112,3,FALSE)/100)*IF(VLOOKUP(A23,tbMoveset!A2:B112,2,FALSE)="Projectile",Backdoors!N10,Backdoors!N9),0),"")</f>
        <v/>
      </c>
      <c r="BQ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M23&gt;=0.45,VLOOKUP(Calculator!E23,tbSkills!DH3:DI6,2,FALSE)+IF(AND(Calculator!B8=TRUE,Backdoors!BI12=TRUE),VLOOKUP(Calculator!E23,tbSkills!DH3:DJ6,3,FALSE),0),0))&gt;=100,100,(Backdoors!AI12+IF(BM23&gt;=0.45,VLOOKUP(Calculator!E23,tbSkills!DH3:DI6,2,FALSE)+IF(AND(Calculator!B8=TRUE,Backdoors!BI12=TRUE),VLOOKUP(Calculator!E23,tbSkills!DH3:DJ6,3,FALSE),0),0)))/100)),1))*IF(VLOOKUP(A23,tbMoveset!A2:K112,11,FALSE)=TRUE,Backdoors!AC5,1))*BN23,0),"")</f>
        <v>0</v>
      </c>
      <c r="BR23" s="49">
        <f>VLOOKUP(A23,tbMoveset!A2:G112,7,FALSE)*IFERROR(IF(Backdoors!AI12&gt;=0,1+(IF(Calculator!E40&gt;0,VLOOKUP(Calculator!E40,tbSkills!AI3:AJ5,2,FALSE),Backdoors!AL4)*(IF((Backdoors!AI12+IF(BM23&gt;=0.45,VLOOKUP(Calculator!E23,tbSkills!DH3:DI6,2,FALSE)+IF(AND(Calculator!B8=TRUE,Backdoors!BI12=TRUE),VLOOKUP(Calculator!E23,tbSkills!DH3:DJ6,3,FALSE),0),0))&gt;=100,100,(Backdoors!AI12+IF(BM23&gt;=0.45,VLOOKUP(Calculator!E23,tbSkills!DH3:DI6,2,FALSE)+IF(AND(Calculator!B8=TRUE,Backdoors!BI12=TRUE),VLOOKUP(Calculator!E23,tbSkills!DH3:DJ6,3,FALSE),0),0)))/100)),1),1)</f>
        <v>1</v>
      </c>
      <c r="BS23" s="87">
        <f t="shared" si="39"/>
        <v>0</v>
      </c>
      <c r="BT23" s="86" t="str">
        <f>IFERROR(IF(VLOOKUP(A23,tbMoveset!A2:B112,2,FALSE)="Sever",Backdoors!AY13/100,IF(VLOOKUP(A23,tbMoveset!A2:B112,2,FALSE)="Blunt",Backdoors!AZ13/100,Backdoors!BA13/100)),"")</f>
        <v/>
      </c>
      <c r="BU23" s="49">
        <f>IFERROR(IF(VLOOKUP(tbMoveset!A23,tbMoveset!A2:H112,8,FALSE)="Other",IF(VLOOKUP(tbMoveset!A23,tbMoveset!A2:I112,9,FALSE)="Fire",Backdoors!BB13,IF(VLOOKUP(tbMoveset!A23,tbMoveset!A2:I112,9,FALSE)="Water",Backdoors!BC13,IF(VLOOKUP(tbMoveset!A23,tbMoveset!A2:I112,9,FALSE)="Thunder",Backdoors!BD13,IF(VLOOKUP(tbMoveset!A23,tbMoveset!A2:I112,9,FALSE)="Ice",Backdoors!BE13,IF(VLOOKUP(tbMoveset!A23,tbMoveset!A2:I112,9,FALSE)="Dragon",Backdoors!BF13,Backdoors!BG13)))))/100,Backdoors!BG13/100),"")</f>
        <v>0</v>
      </c>
      <c r="BV23" s="49">
        <f>IFERROR(IF(VLOOKUP(A23,tbMoveset!A2:J112,10,FALSE)=TRUE,IF((Backdoors!AI12+IF(BT23&gt;=0.45,VLOOKUP(Calculator!E23,tbSkills!DH3:DI6,2,FALSE)+IF(AND(Calculator!B8=TRUE,Backdoors!BI13=TRUE),VLOOKUP(Calculator!E23,tbSkills!DH3:DJ6,3,FALSE),0),0))&gt;=0,1+(Backdoors!AL2*(IF((Backdoors!AI12+IF(BT23&gt;=0.45,VLOOKUP(Calculator!E23,tbSkills!DH3:DI6,2,FALSE)+IF(AND(Calculator!B8=TRUE,Backdoors!BI13=TRUE),VLOOKUP(Calculator!E23,tbSkills!DH3:DJ6,3,FALSE),0),0))&gt;=100,100,(Backdoors!AI12+IF(BT23&gt;=0.45,VLOOKUP(Calculator!E23,tbSkills!DH3:DI6,2,FALSE)+IF(AND(Calculator!B8=TRUE,Backdoors!BI13=TRUE),VLOOKUP(Calculator!E23,tbSkills!DH3:DJ6,3,FALSE),0),0)))/100)),(1-(0.25*((-Backdoors!AI12-IF(BT23&gt;=0.45,VLOOKUP(Calculator!E23,tbSkills!DH3:DI6,2,FALSE)+IF(AND(Calculator!B8=TRUE,Backdoors!BI13=TRUE),VLOOKUP(Calculator!E23,tbSkills!DH3:DJ6,3,FALSE),0),0))/100)))),1),"")</f>
        <v>1</v>
      </c>
      <c r="BW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T23)*BV23)*(VLOOKUP(A23,tbMoveset!A2:C112,3,FALSE)/100)*IF(VLOOKUP(A23,tbMoveset!A2:B112,2,FALSE)="Projectile",Backdoors!N10,Backdoors!N9),0),"")</f>
        <v/>
      </c>
      <c r="BX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T23&gt;=0.45,VLOOKUP(Calculator!E23,tbSkills!DH3:DI6,2,FALSE)+IF(AND(Calculator!B8=TRUE,Backdoors!BI13=TRUE),VLOOKUP(Calculator!E23,tbSkills!DH3:DJ6,3,FALSE),0),0))&gt;=100,100,(Backdoors!AI12+IF(BT23&gt;=0.45,VLOOKUP(Calculator!E23,tbSkills!DH3:DI6,2,FALSE)+IF(AND(Calculator!B8=TRUE,Backdoors!BI13=TRUE),VLOOKUP(Calculator!E23,tbSkills!DH3:DJ6,3,FALSE),0),0)))/100)),1))*IF(VLOOKUP(A23,tbMoveset!A2:K112,11,FALSE)=TRUE,Backdoors!AC5,1))*BU23,0),"")</f>
        <v>0</v>
      </c>
      <c r="BY23" s="49">
        <f>VLOOKUP(A23,tbMoveset!A2:G112,7,FALSE)*IFERROR(IF(Backdoors!AI12&gt;=0,1+(IF(Calculator!E40&gt;0,VLOOKUP(Calculator!E40,tbSkills!AI3:AJ5,2,FALSE),Backdoors!AL4)*(IF((Backdoors!AI12+IF(BT23&gt;=0.45,VLOOKUP(Calculator!E23,tbSkills!DH3:DI6,2,FALSE)+IF(AND(Calculator!B8=TRUE,Backdoors!BI13=TRUE),VLOOKUP(Calculator!E23,tbSkills!DH3:DJ6,3,FALSE),0),0))&gt;=100,100,(Backdoors!AI12+IF(BT23&gt;=0.45,VLOOKUP(Calculator!E23,tbSkills!DH3:DI6,2,FALSE)+IF(AND(Calculator!B8=TRUE,Backdoors!BI13=TRUE),VLOOKUP(Calculator!E23,tbSkills!DH3:DJ6,3,FALSE),0),0)))/100)),1),1)</f>
        <v>1</v>
      </c>
      <c r="BZ23" s="87">
        <f t="shared" si="5"/>
        <v>0</v>
      </c>
      <c r="CA23" s="86" t="str">
        <f>IFERROR(IF(VLOOKUP(A23,tbMoveset!A2:B112,2,FALSE)="Sever",Backdoors!AY14/100,IF(VLOOKUP(A23,tbMoveset!A2:B112,2,FALSE)="Blunt",Backdoors!AZ14/100,Backdoors!BA14/100)),"")</f>
        <v/>
      </c>
      <c r="CB23" s="49">
        <f>IFERROR(IF(VLOOKUP(tbMoveset!A23,tbMoveset!A2:H112,8,FALSE)="Other",IF(VLOOKUP(tbMoveset!A23,tbMoveset!A2:I112,9,FALSE)="Fire",Backdoors!BB14,IF(VLOOKUP(tbMoveset!A23,tbMoveset!A2:I112,9,FALSE)="Water",Backdoors!BC14,IF(VLOOKUP(tbMoveset!A23,tbMoveset!A2:I112,9,FALSE)="Thunder",Backdoors!BD14,IF(VLOOKUP(tbMoveset!A23,tbMoveset!A2:I112,9,FALSE)="Ice",Backdoors!BE14,IF(VLOOKUP(tbMoveset!A23,tbMoveset!A2:I112,9,FALSE)="Dragon",Backdoors!BF14,Backdoors!BG14)))))/100,Backdoors!BG14/100),"")</f>
        <v>0</v>
      </c>
      <c r="CC23" s="49">
        <f>IFERROR(IF(VLOOKUP(A23,tbMoveset!A2:J112,10,FALSE)=TRUE,IF((Backdoors!AI12+IF(CA23&gt;=0.45,VLOOKUP(Calculator!E23,tbSkills!DH3:DI6,2,FALSE)+IF(AND(Calculator!B8=TRUE,Backdoors!BI14=TRUE),VLOOKUP(Calculator!E23,tbSkills!DH3:DJ6,3,FALSE),0),0))&gt;=0,1+(Backdoors!AL2*(IF((Backdoors!AI12+IF(CA23&gt;=0.45,VLOOKUP(Calculator!E23,tbSkills!DH3:DI6,2,FALSE)+IF(AND(Calculator!B8=TRUE,Backdoors!BI14=TRUE),VLOOKUP(Calculator!E23,tbSkills!DH3:DJ6,3,FALSE),0),0))&gt;=100,100,(Backdoors!AI12+IF(CA23&gt;=0.45,VLOOKUP(Calculator!E23,tbSkills!DH3:DI6,2,FALSE)+IF(AND(Calculator!B8=TRUE,Backdoors!BI14=TRUE),VLOOKUP(Calculator!E23,tbSkills!DH3:DJ6,3,FALSE),0),0)))/100)),(1-(0.25*((-Backdoors!AI12-IF(CA23&gt;=0.45,VLOOKUP(Calculator!E23,tbSkills!DH3:DI6,2,FALSE)+IF(AND(Calculator!B8=TRUE,Backdoors!BI14=TRUE),VLOOKUP(Calculator!E23,tbSkills!DH3:DJ6,3,FALSE),0),0))/100)))),1),"")</f>
        <v>1</v>
      </c>
      <c r="CD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A23)*CC23)*(VLOOKUP(A23,tbMoveset!A2:C112,3,FALSE)/100)*IF(VLOOKUP(A23,tbMoveset!A2:B112,2,FALSE)="Projectile",Backdoors!N10,Backdoors!N9),0),"")</f>
        <v/>
      </c>
      <c r="CE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A23&gt;=0.45,VLOOKUP(Calculator!E23,tbSkills!DH3:DI6,2,FALSE)+IF(AND(Calculator!B8=TRUE,Backdoors!BI14=TRUE),VLOOKUP(Calculator!E23,tbSkills!DH3:DJ6,3,FALSE),0),0))&gt;=100,100,(Backdoors!AI12+IF(CA23&gt;=0.45,VLOOKUP(Calculator!E23,tbSkills!DH3:DI6,2,FALSE)+IF(AND(Calculator!B8=TRUE,Backdoors!BI14=TRUE),VLOOKUP(Calculator!E23,tbSkills!DH3:DJ6,3,FALSE),0),0)))/100)),1))*IF(VLOOKUP(A23,tbMoveset!A2:K112,11,FALSE)=TRUE,Backdoors!AC5,1))*CB23,0),"")</f>
        <v>0</v>
      </c>
      <c r="CF23" s="49">
        <f>VLOOKUP(A23,tbMoveset!A2:G112,7,FALSE)*IFERROR(IF(Backdoors!AI12&gt;=0,1+(IF(Calculator!E40&gt;0,VLOOKUP(Calculator!E40,tbSkills!AI3:AJ5,2,FALSE),Backdoors!AL4)*(IF((Backdoors!AI12+IF(CA23&gt;=0.45,VLOOKUP(Calculator!E23,tbSkills!DH3:DI6,2,FALSE)+IF(AND(Calculator!B8=TRUE,Backdoors!BI14=TRUE),VLOOKUP(Calculator!E23,tbSkills!DH3:DJ6,3,FALSE),0),0))&gt;=100,100,(Backdoors!AI12+IF(CA23&gt;=0.45,VLOOKUP(Calculator!E23,tbSkills!DH3:DI6,2,FALSE)+IF(AND(Calculator!B8=TRUE,Backdoors!BI14=TRUE),VLOOKUP(Calculator!E23,tbSkills!DH3:DJ6,3,FALSE),0),0)))/100)),1),1)</f>
        <v>1</v>
      </c>
      <c r="CG23" s="87">
        <f t="shared" si="6"/>
        <v>0</v>
      </c>
      <c r="CH23" s="86" t="str">
        <f>IFERROR(IF(VLOOKUP(A23,tbMoveset!A2:B112,2,FALSE)="Sever",Backdoors!AY15/100,IF(VLOOKUP(A23,tbMoveset!A2:B112,2,FALSE)="Blunt",Backdoors!AZ15/100,Backdoors!BA15/100)),"")</f>
        <v/>
      </c>
      <c r="CI23" s="49">
        <f>IFERROR(IF(VLOOKUP(tbMoveset!A23,tbMoveset!A2:H112,8,FALSE)="Other",IF(VLOOKUP(tbMoveset!A23,tbMoveset!A2:I112,9,FALSE)="Fire",Backdoors!BB15,IF(VLOOKUP(tbMoveset!A23,tbMoveset!A2:I112,9,FALSE)="Water",Backdoors!BC15,IF(VLOOKUP(tbMoveset!A23,tbMoveset!A2:I112,9,FALSE)="Thunder",Backdoors!BD15,IF(VLOOKUP(tbMoveset!A23,tbMoveset!A2:I112,9,FALSE)="Ice",Backdoors!BE15,IF(VLOOKUP(tbMoveset!A23,tbMoveset!A2:I112,9,FALSE)="Dragon",Backdoors!BF15,Backdoors!BG15)))))/100,Backdoors!BG15/100),"")</f>
        <v>0</v>
      </c>
      <c r="CJ23" s="49">
        <f>IFERROR(IF(VLOOKUP(A23,tbMoveset!A2:J112,10,FALSE)=TRUE,IF((Backdoors!AI12+IF(CH23&gt;=0.45,VLOOKUP(Calculator!E23,tbSkills!DH3:DI6,2,FALSE)+IF(AND(Calculator!B8=TRUE,Backdoors!BI15=TRUE),VLOOKUP(Calculator!E23,tbSkills!DH3:DJ6,3,FALSE),0),0))&gt;=0,1+(Backdoors!AL2*(IF((Backdoors!AI12+IF(CH23&gt;=0.45,VLOOKUP(Calculator!E23,tbSkills!DH3:DI6,2,FALSE)+IF(AND(Calculator!B8=TRUE,Backdoors!BI15=TRUE),VLOOKUP(Calculator!E23,tbSkills!DH3:DJ6,3,FALSE),0),0))&gt;=100,100,(Backdoors!AI12+IF(CH23&gt;=0.45,VLOOKUP(Calculator!E23,tbSkills!DH3:DI6,2,FALSE)+IF(AND(Calculator!B8=TRUE,Backdoors!BI15=TRUE),VLOOKUP(Calculator!E23,tbSkills!DH3:DJ6,3,FALSE),0),0)))/100)),(1-(0.25*((-Backdoors!AI12-IF(CH23&gt;=0.45,VLOOKUP(Calculator!E23,tbSkills!DH3:DI6,2,FALSE)+IF(AND(Calculator!B8=TRUE,Backdoors!BI15=TRUE),VLOOKUP(Calculator!E23,tbSkills!DH3:DJ6,3,FALSE),0),0))/100)))),1),"")</f>
        <v>1</v>
      </c>
      <c r="CK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H23)*CJ23)*(VLOOKUP(A23,tbMoveset!A2:C112,3,FALSE)/100)*IF(VLOOKUP(A23,tbMoveset!A2:B112,2,FALSE)="Projectile",Backdoors!N10,Backdoors!N9),0),"")</f>
        <v/>
      </c>
      <c r="CL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H23&gt;=0.45,VLOOKUP(Calculator!E23,tbSkills!DH3:DI6,2,FALSE)+IF(AND(Calculator!B8=TRUE,Backdoors!BI15=TRUE),VLOOKUP(Calculator!E23,tbSkills!DH3:DJ6,3,FALSE),0),0))&gt;=100,100,(Backdoors!AI12+IF(CH23&gt;=0.45,VLOOKUP(Calculator!E23,tbSkills!DH3:DI6,2,FALSE)+IF(AND(Calculator!B8=TRUE,Backdoors!BI15=TRUE),VLOOKUP(Calculator!E23,tbSkills!DH3:DJ6,3,FALSE),0),0)))/100)),1))*IF(VLOOKUP(A23,tbMoveset!A2:K112,11,FALSE)=TRUE,Backdoors!AC5,1))*CI23,0),"")</f>
        <v>0</v>
      </c>
      <c r="CM23" s="49">
        <f>VLOOKUP(A23,tbMoveset!A2:G112,7,FALSE)*IFERROR(IF(Backdoors!AI12&gt;=0,1+(IF(Calculator!E40&gt;0,VLOOKUP(Calculator!E40,tbSkills!AI3:AJ5,2,FALSE),Backdoors!AL4)*(IF((Backdoors!AI12+IF(CH23&gt;=0.45,VLOOKUP(Calculator!E23,tbSkills!DH3:DI6,2,FALSE)+IF(AND(Calculator!B8=TRUE,Backdoors!BI15=TRUE),VLOOKUP(Calculator!E23,tbSkills!DH3:DJ6,3,FALSE),0),0))&gt;=100,100,(Backdoors!AI12+IF(CH23&gt;=0.45,VLOOKUP(Calculator!E23,tbSkills!DH3:DI6,2,FALSE)+IF(AND(Calculator!B8=TRUE,Backdoors!BI15=TRUE),VLOOKUP(Calculator!E23,tbSkills!DH3:DJ6,3,FALSE),0),0)))/100)),1),1)</f>
        <v>1</v>
      </c>
      <c r="CN23" s="87">
        <f t="shared" si="7"/>
        <v>0</v>
      </c>
      <c r="CO23" s="86" t="str">
        <f>IFERROR(IF(VLOOKUP(A23,tbMoveset!A2:B112,2,FALSE)="Sever",Backdoors!AY16/100,IF(VLOOKUP(A23,tbMoveset!A2:B112,2,FALSE)="Blunt",Backdoors!AZ16/100,Backdoors!BA16/100)),"")</f>
        <v/>
      </c>
      <c r="CP23" s="49">
        <f>IFERROR(IF(VLOOKUP(tbMoveset!A23,tbMoveset!A2:H112,8,FALSE)="Other",IF(VLOOKUP(tbMoveset!A23,tbMoveset!A2:I112,9,FALSE)="Fire",Backdoors!BB16,IF(VLOOKUP(tbMoveset!A23,tbMoveset!A2:I112,9,FALSE)="Water",Backdoors!BC16,IF(VLOOKUP(tbMoveset!A23,tbMoveset!A2:I112,9,FALSE)="Thunder",Backdoors!BD16,IF(VLOOKUP(tbMoveset!A23,tbMoveset!A2:I112,9,FALSE)="Ice",Backdoors!BE16,IF(VLOOKUP(tbMoveset!A23,tbMoveset!A2:I112,9,FALSE)="Dragon",Backdoors!BF16,Backdoors!BG16)))))/100,Backdoors!BG16/100),"")</f>
        <v>0</v>
      </c>
      <c r="CQ23" s="49">
        <f>IFERROR(IF(VLOOKUP(A23,tbMoveset!A2:J112,10,FALSE)=TRUE,IF((Backdoors!AI12+IF(CO23&gt;=0.45,VLOOKUP(Calculator!E23,tbSkills!DH3:DI6,2,FALSE)+IF(AND(Calculator!B8=TRUE,Backdoors!BI16=TRUE),VLOOKUP(Calculator!E23,tbSkills!DH3:DJ6,3,FALSE),0),0))&gt;=0,1+(Backdoors!AL2*(IF((Backdoors!AI12+IF(CO23&gt;=0.45,VLOOKUP(Calculator!E23,tbSkills!DH3:DI6,2,FALSE)+IF(AND(Calculator!B8=TRUE,Backdoors!BI16=TRUE),VLOOKUP(Calculator!E23,tbSkills!DH3:DJ6,3,FALSE),0),0))&gt;=100,100,(Backdoors!AI12+IF(CO23&gt;=0.45,VLOOKUP(Calculator!E23,tbSkills!DH3:DI6,2,FALSE)+IF(AND(Calculator!B8=TRUE,Backdoors!BI16=TRUE),VLOOKUP(Calculator!E23,tbSkills!DH3:DJ6,3,FALSE),0),0)))/100)),(1-(0.25*((-Backdoors!AI12-IF(CO23&gt;=0.45,VLOOKUP(Calculator!E23,tbSkills!DH3:DI6,2,FALSE)+IF(AND(Calculator!B8=TRUE,Backdoors!BI16=TRUE),VLOOKUP(Calculator!E23,tbSkills!DH3:DJ6,3,FALSE),0),0))/100)))),1),"")</f>
        <v>1</v>
      </c>
      <c r="CR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O23)*CQ23)*(VLOOKUP(A23,tbMoveset!A2:C112,3,FALSE)/100)*IF(VLOOKUP(A23,tbMoveset!A2:B112,2,FALSE)="Projectile",Backdoors!N10,Backdoors!N9),0),"")</f>
        <v/>
      </c>
      <c r="CS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O23&gt;=0.45,VLOOKUP(Calculator!E23,tbSkills!DH3:DI6,2,FALSE)+IF(AND(Calculator!B8=TRUE,Backdoors!BI16=TRUE),VLOOKUP(Calculator!E23,tbSkills!DH3:DJ6,3,FALSE),0),0))&gt;=100,100,(Backdoors!AI12+IF(CO23&gt;=0.45,VLOOKUP(Calculator!E23,tbSkills!DH3:DI6,2,FALSE)+IF(AND(Calculator!B8=TRUE,Backdoors!BI16=TRUE),VLOOKUP(Calculator!E23,tbSkills!DH3:DJ6,3,FALSE),0),0)))/100)),1))*IF(VLOOKUP(A23,tbMoveset!A2:K112,11,FALSE)=TRUE,Backdoors!AC5,1))*CP23,0),"")</f>
        <v>0</v>
      </c>
      <c r="CT23" s="49">
        <f>VLOOKUP(A23,tbMoveset!A2:G112,7,FALSE)*IFERROR(IF(Backdoors!AI12&gt;=0,1+(IF(Calculator!E40&gt;0,VLOOKUP(Calculator!E40,tbSkills!AI3:AJ5,2,FALSE),Backdoors!AL4)*(IF((Backdoors!AI12+IF(CO23&gt;=0.45,VLOOKUP(Calculator!E23,tbSkills!DH3:DI6,2,FALSE)+IF(AND(Calculator!B8=TRUE,Backdoors!BI16=TRUE),VLOOKUP(Calculator!E23,tbSkills!DH3:DJ6,3,FALSE),0),0))&gt;=100,100,(Backdoors!AI12+IF(CO23&gt;=0.45,VLOOKUP(Calculator!E23,tbSkills!DH3:DI6,2,FALSE)+IF(AND(Calculator!B8=TRUE,Backdoors!BI16=TRUE),VLOOKUP(Calculator!E23,tbSkills!DH3:DJ6,3,FALSE),0),0)))/100)),1),1)</f>
        <v>1</v>
      </c>
      <c r="CU23" s="87">
        <f t="shared" si="40"/>
        <v>0</v>
      </c>
      <c r="CV23" s="86" t="str">
        <f>IFERROR(IF(VLOOKUP(A23,tbMoveset!A2:B112,2,FALSE)="Sever",Backdoors!AY17/100,IF(VLOOKUP(A23,tbMoveset!A2:B112,2,FALSE)="Blunt",Backdoors!AZ17/100,Backdoors!BA17/100)),"")</f>
        <v/>
      </c>
      <c r="CW23" s="49">
        <f>IFERROR(IF(VLOOKUP(tbMoveset!A23,tbMoveset!A2:H112,8,FALSE)="Other",IF(VLOOKUP(tbMoveset!A23,tbMoveset!A2:I112,9,FALSE)="Fire",Backdoors!BB17,IF(VLOOKUP(tbMoveset!A23,tbMoveset!A2:I112,9,FALSE)="Water",Backdoors!BC17,IF(VLOOKUP(tbMoveset!A23,tbMoveset!A2:I112,9,FALSE)="Thunder",Backdoors!BD17,IF(VLOOKUP(tbMoveset!A23,tbMoveset!A2:I112,9,FALSE)="Ice",Backdoors!BE17,IF(VLOOKUP(tbMoveset!A23,tbMoveset!A2:I112,9,FALSE)="Dragon",Backdoors!BF17,Backdoors!BG17)))))/100,Backdoors!BG17/100),"")</f>
        <v>0</v>
      </c>
      <c r="CX23" s="49">
        <f>IFERROR(IF(VLOOKUP(A23,tbMoveset!A2:J112,10,FALSE)=TRUE,IF((Backdoors!AI12+IF(CV23&gt;=0.45,VLOOKUP(Calculator!E23,tbSkills!DH3:DI6,2,FALSE)+IF(AND(Calculator!B8=TRUE,Backdoors!BI17=TRUE),VLOOKUP(Calculator!E23,tbSkills!DH3:DJ6,3,FALSE),0),0))&gt;=0,1+(Backdoors!AL2*(IF((Backdoors!AI12+IF(CV23&gt;=0.45,VLOOKUP(Calculator!E23,tbSkills!DH3:DI6,2,FALSE)+IF(AND(Calculator!B8=TRUE,Backdoors!BI17=TRUE),VLOOKUP(Calculator!E23,tbSkills!DH3:DJ6,3,FALSE),0),0))&gt;=100,100,(Backdoors!AI12+IF(CV23&gt;=0.45,VLOOKUP(Calculator!E23,tbSkills!DH3:DI6,2,FALSE)+IF(AND(Calculator!B8=TRUE,Backdoors!BI17=TRUE),VLOOKUP(Calculator!E23,tbSkills!DH3:DJ6,3,FALSE),0),0)))/100)),(1-(0.25*((-Backdoors!AI12-IF(CV23&gt;=0.45,VLOOKUP(Calculator!E23,tbSkills!DH3:DI6,2,FALSE)+IF(AND(Calculator!B8=TRUE,Backdoors!BI17=TRUE),VLOOKUP(Calculator!E23,tbSkills!DH3:DJ6,3,FALSE),0),0))/100)))),1),"")</f>
        <v>1</v>
      </c>
      <c r="CY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V23)*CX23)*(VLOOKUP(A23,tbMoveset!A2:C112,3,FALSE)/100)*IF(VLOOKUP(A23,tbMoveset!A2:B112,2,FALSE)="Projectile",Backdoors!N10,Backdoors!N9),0),"")</f>
        <v/>
      </c>
      <c r="CZ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V23&gt;=0.45,VLOOKUP(Calculator!E23,tbSkills!DH3:DI6,2,FALSE)+IF(AND(Calculator!B8=TRUE,Backdoors!BI17=TRUE),VLOOKUP(Calculator!E23,tbSkills!DH3:DJ6,3,FALSE),0),0))&gt;=100,100,(Backdoors!AI12+IF(CV23&gt;=0.45,VLOOKUP(Calculator!E23,tbSkills!DH3:DI6,2,FALSE)+IF(AND(Calculator!B8=TRUE,Backdoors!BI17=TRUE),VLOOKUP(Calculator!E23,tbSkills!DH3:DJ6,3,FALSE),0),0)))/100)),1))*IF(VLOOKUP(A23,tbMoveset!A2:K112,11,FALSE)=TRUE,Backdoors!AC5,1))*CW23,0),"")</f>
        <v>0</v>
      </c>
      <c r="DA23" s="49">
        <f>VLOOKUP(A23,tbMoveset!A2:G112,7,FALSE)*IFERROR(IF(Backdoors!AI12&gt;=0,1+(IF(Calculator!E40&gt;0,VLOOKUP(Calculator!E40,tbSkills!AI3:AJ5,2,FALSE),Backdoors!AL4)*(IF((Backdoors!AI12+IF(CV23&gt;=0.45,VLOOKUP(Calculator!E23,tbSkills!DH3:DI6,2,FALSE)+IF(AND(Calculator!B8=TRUE,Backdoors!BI17=TRUE),VLOOKUP(Calculator!E23,tbSkills!DH3:DJ6,3,FALSE),0),0))&gt;=100,100,(Backdoors!AI12+IF(CV23&gt;=0.45,VLOOKUP(Calculator!E23,tbSkills!DH3:DI6,2,FALSE)+IF(AND(Calculator!B8=TRUE,Backdoors!BI17=TRUE),VLOOKUP(Calculator!E23,tbSkills!DH3:DJ6,3,FALSE),0),0)))/100)),1),1)</f>
        <v>1</v>
      </c>
      <c r="DB23" s="87">
        <f t="shared" si="8"/>
        <v>0</v>
      </c>
      <c r="DC23" s="86" t="str">
        <f>IFERROR(IF(VLOOKUP(A23,tbMoveset!A2:B112,2,FALSE)="Sever",Backdoors!AY18/100,IF(VLOOKUP(A23,tbMoveset!A2:B112,2,FALSE)="Blunt",Backdoors!AZ18/100,Backdoors!BA18/100)),"")</f>
        <v/>
      </c>
      <c r="DD23" s="49">
        <f>IFERROR(IF(VLOOKUP(tbMoveset!A23,tbMoveset!A2:H112,8,FALSE)="Other",IF(VLOOKUP(tbMoveset!A23,tbMoveset!A2:I112,9,FALSE)="Fire",Backdoors!BB18,IF(VLOOKUP(tbMoveset!A23,tbMoveset!A2:I112,9,FALSE)="Water",Backdoors!BC18,IF(VLOOKUP(tbMoveset!A23,tbMoveset!A2:I112,9,FALSE)="Thunder",Backdoors!BD18,IF(VLOOKUP(tbMoveset!A23,tbMoveset!A2:I112,9,FALSE)="Ice",Backdoors!BE18,IF(VLOOKUP(tbMoveset!A23,tbMoveset!A2:I112,9,FALSE)="Dragon",Backdoors!BF18,Backdoors!BG18)))))/100,Backdoors!BG18/100),"")</f>
        <v>0</v>
      </c>
      <c r="DE23" s="49">
        <f>IFERROR(IF(VLOOKUP(A23,tbMoveset!A2:J112,10,FALSE)=TRUE,IF((Backdoors!AI12+IF(DC23&gt;=0.45,VLOOKUP(Calculator!E23,tbSkills!DH3:DI6,2,FALSE)+IF(AND(Calculator!B8=TRUE,Backdoors!BI18=TRUE),VLOOKUP(Calculator!E23,tbSkills!DH3:DJ6,3,FALSE),0),0))&gt;=0,1+(Backdoors!AL2*(IF((Backdoors!AI12+IF(DC23&gt;=0.45,VLOOKUP(Calculator!E23,tbSkills!DH3:DI6,2,FALSE)+IF(AND(Calculator!B8=TRUE,Backdoors!BI18=TRUE),VLOOKUP(Calculator!E23,tbSkills!DH3:DJ6,3,FALSE),0),0))&gt;=100,100,(Backdoors!AI12+IF(DC23&gt;=0.45,VLOOKUP(Calculator!E23,tbSkills!DH3:DI6,2,FALSE)+IF(AND(Calculator!B8=TRUE,Backdoors!BI18=TRUE),VLOOKUP(Calculator!E23,tbSkills!DH3:DJ6,3,FALSE),0),0)))/100)),(1-(0.25*((-Backdoors!AI12-IF(DC23&gt;=0.45,VLOOKUP(Calculator!E23,tbSkills!DH3:DI6,2,FALSE)+IF(AND(Calculator!B8=TRUE,Backdoors!BI18=TRUE),VLOOKUP(Calculator!E23,tbSkills!DH3:DJ6,3,FALSE),0),0))/100)))),1),"")</f>
        <v>1</v>
      </c>
      <c r="DF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C23)*DE23)*(VLOOKUP(A23,tbMoveset!A2:C112,3,FALSE)/100)*IF(VLOOKUP(A23,tbMoveset!A2:B112,2,FALSE)="Projectile",Backdoors!N10,Backdoors!N9),0),"")</f>
        <v/>
      </c>
      <c r="DG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C23&gt;=0.45,VLOOKUP(Calculator!E23,tbSkills!DH3:DI6,2,FALSE)+IF(AND(Calculator!B8=TRUE,Backdoors!BI18=TRUE),VLOOKUP(Calculator!E23,tbSkills!DH3:DJ6,3,FALSE),0),0))&gt;=100,100,(Backdoors!AI12+IF(DC23&gt;=0.45,VLOOKUP(Calculator!E23,tbSkills!DH3:DI6,2,FALSE)+IF(AND(Calculator!B8=TRUE,Backdoors!BI18=TRUE),VLOOKUP(Calculator!E23,tbSkills!DH3:DJ6,3,FALSE),0),0)))/100)),1))*IF(VLOOKUP(A23,tbMoveset!A2:K112,11,FALSE)=TRUE,Backdoors!AC5,1))*DD23,0),"")</f>
        <v>0</v>
      </c>
      <c r="DH23" s="49">
        <f>VLOOKUP(A23,tbMoveset!A2:G112,7,FALSE)*IFERROR(IF(Backdoors!AI12&gt;=0,1+(IF(Calculator!E40&gt;0,VLOOKUP(Calculator!E40,tbSkills!AI3:AJ5,2,FALSE),Backdoors!AL4)*(IF((Backdoors!AI12+IF(DC23&gt;=0.45,VLOOKUP(Calculator!E23,tbSkills!DH3:DI6,2,FALSE)+IF(AND(Calculator!B8=TRUE,Backdoors!BI18=TRUE),VLOOKUP(Calculator!E23,tbSkills!DH3:DJ6,3,FALSE),0),0))&gt;=100,100,(Backdoors!AI12+IF(DC23&gt;=0.45,VLOOKUP(Calculator!E23,tbSkills!DH3:DI6,2,FALSE)+IF(AND(Calculator!B8=TRUE,Backdoors!BI18=TRUE),VLOOKUP(Calculator!E23,tbSkills!DH3:DJ6,3,FALSE),0),0)))/100)),1),1)</f>
        <v>1</v>
      </c>
      <c r="DI23" s="87">
        <f t="shared" si="9"/>
        <v>0</v>
      </c>
      <c r="DJ23" s="86" t="str">
        <f>IFERROR(IF(VLOOKUP(A23,tbMoveset!A2:B112,2,FALSE)="Sever",Backdoors!AY19/100,IF(VLOOKUP(A23,tbMoveset!A2:B112,2,FALSE)="Blunt",Backdoors!AZ19/100,Backdoors!BA19/100)),"")</f>
        <v/>
      </c>
      <c r="DK23" s="49">
        <f>IFERROR(IF(VLOOKUP(tbMoveset!A23,tbMoveset!A2:H112,8,FALSE)="Other",IF(VLOOKUP(tbMoveset!A23,tbMoveset!A2:I112,9,FALSE)="Fire",Backdoors!BB19,IF(VLOOKUP(tbMoveset!A23,tbMoveset!A2:I112,9,FALSE)="Water",Backdoors!BC19,IF(VLOOKUP(tbMoveset!A23,tbMoveset!A2:I112,9,FALSE)="Thunder",Backdoors!BD19,IF(VLOOKUP(tbMoveset!A23,tbMoveset!A2:I112,9,FALSE)="Ice",Backdoors!BE19,IF(VLOOKUP(tbMoveset!A23,tbMoveset!A2:I112,9,FALSE)="Dragon",Backdoors!BF19,Backdoors!BG19)))))/100,Backdoors!BG19/100),"")</f>
        <v>0</v>
      </c>
      <c r="DL23" s="49">
        <f>IFERROR(IF(VLOOKUP(A23,tbMoveset!A2:J112,10,FALSE)=TRUE,IF((Backdoors!AI12+IF(DJ23&gt;=0.45,VLOOKUP(Calculator!E23,tbSkills!DH3:DI6,2,FALSE)+IF(AND(Calculator!B8=TRUE,Backdoors!BI19=TRUE),VLOOKUP(Calculator!E23,tbSkills!DH3:DJ6,3,FALSE),0),0))&gt;=0,1+(Backdoors!AL2*(IF((Backdoors!AI12+IF(DJ23&gt;=0.45,VLOOKUP(Calculator!E23,tbSkills!DH3:DI6,2,FALSE)+IF(AND(Calculator!B8=TRUE,Backdoors!BI19=TRUE),VLOOKUP(Calculator!E23,tbSkills!DH3:DJ6,3,FALSE),0),0))&gt;=100,100,(Backdoors!AI12+IF(DJ23&gt;=0.45,VLOOKUP(Calculator!E23,tbSkills!DH3:DI6,2,FALSE)+IF(AND(Calculator!B8=TRUE,Backdoors!BI19=TRUE),VLOOKUP(Calculator!E23,tbSkills!DH3:DJ6,3,FALSE),0),0)))/100)),(1-(0.25*((-Backdoors!AI12-IF(DJ23&gt;=0.45,VLOOKUP(Calculator!E23,tbSkills!DH3:DI6,2,FALSE)+IF(AND(Calculator!B8=TRUE,Backdoors!BI19=TRUE),VLOOKUP(Calculator!E23,tbSkills!DH3:DJ6,3,FALSE),0),0))/100)))),1),"")</f>
        <v>1</v>
      </c>
      <c r="DM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J23)*DL23)*(VLOOKUP(A23,tbMoveset!A2:C112,3,FALSE)/100)*IF(VLOOKUP(A23,tbMoveset!A2:B112,2,FALSE)="Projectile",Backdoors!N10,Backdoors!N9),0),"")</f>
        <v/>
      </c>
      <c r="DN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J23&gt;=0.45,VLOOKUP(Calculator!E23,tbSkills!DH3:DI6,2,FALSE)+IF(AND(Calculator!B8=TRUE,Backdoors!BI19=TRUE),VLOOKUP(Calculator!E23,tbSkills!DH3:DJ6,3,FALSE),0),0))&gt;=100,100,(Backdoors!AI12+IF(DJ23&gt;=0.45,VLOOKUP(Calculator!E23,tbSkills!DH3:DI6,2,FALSE)+IF(AND(Calculator!B8=TRUE,Backdoors!BI19=TRUE),VLOOKUP(Calculator!E23,tbSkills!DH3:DJ6,3,FALSE),0),0)))/100)),1))*IF(VLOOKUP(A23,tbMoveset!A2:K112,11,FALSE)=TRUE,Backdoors!AC5,1))*DK23,0),"")</f>
        <v>0</v>
      </c>
      <c r="DO23" s="49">
        <f>VLOOKUP(A23,tbMoveset!A2:G112,7,FALSE)*IFERROR(IF(Backdoors!AI12&gt;=0,1+(IF(Calculator!E40&gt;0,VLOOKUP(Calculator!E40,tbSkills!AI3:AJ5,2,FALSE),Backdoors!AL4)*(IF((Backdoors!AI12+IF(DJ23&gt;=0.45,VLOOKUP(Calculator!E23,tbSkills!DH3:DI6,2,FALSE)+IF(AND(Calculator!B8=TRUE,Backdoors!BI19=TRUE),VLOOKUP(Calculator!E23,tbSkills!DH3:DJ6,3,FALSE),0),0))&gt;=100,100,(Backdoors!AI12+IF(DJ23&gt;=0.45,VLOOKUP(Calculator!E23,tbSkills!DH3:DI6,2,FALSE)+IF(AND(Calculator!B8=TRUE,Backdoors!BI19=TRUE),VLOOKUP(Calculator!E23,tbSkills!DH3:DJ6,3,FALSE),0),0)))/100)),1),1)</f>
        <v>1</v>
      </c>
      <c r="DP23" s="87">
        <f t="shared" si="41"/>
        <v>0</v>
      </c>
      <c r="DQ23" s="86" t="str">
        <f>IFERROR(IF(VLOOKUP(A23,tbMoveset!A2:B112,2,FALSE)="Sever",Backdoors!AY20/100,IF(VLOOKUP(A23,tbMoveset!A2:B112,2,FALSE)="Blunt",Backdoors!AZ20/100,Backdoors!BA20/100)),"")</f>
        <v/>
      </c>
      <c r="DR23" s="49">
        <f>IFERROR(IF(VLOOKUP(tbMoveset!A23,tbMoveset!A2:H112,8,FALSE)="Other",IF(VLOOKUP(tbMoveset!A23,tbMoveset!A2:I112,9,FALSE)="Fire",Backdoors!BB20,IF(VLOOKUP(tbMoveset!A23,tbMoveset!A2:I112,9,FALSE)="Water",Backdoors!BC20,IF(VLOOKUP(tbMoveset!A23,tbMoveset!A2:I112,9,FALSE)="Thunder",Backdoors!BD20,IF(VLOOKUP(tbMoveset!A23,tbMoveset!A2:I112,9,FALSE)="Ice",Backdoors!BE20,IF(VLOOKUP(tbMoveset!A23,tbMoveset!A2:I112,9,FALSE)="Dragon",Backdoors!BF20,Backdoors!BG20)))))/100,Backdoors!BG20/100),"")</f>
        <v>0</v>
      </c>
      <c r="DS23" s="49">
        <f>IFERROR(IF(VLOOKUP(A23,tbMoveset!A2:J112,10,FALSE)=TRUE,IF((Backdoors!AI12+IF(DQ23&gt;=0.45,VLOOKUP(Calculator!E23,tbSkills!DH3:DI6,2,FALSE)+IF(AND(Calculator!B8=TRUE,Backdoors!BI20=TRUE),VLOOKUP(Calculator!E23,tbSkills!DH3:DJ6,3,FALSE),0),0))&gt;=0,1+(Backdoors!AL2*(IF((Backdoors!AI12+IF(DQ23&gt;=0.45,VLOOKUP(Calculator!E23,tbSkills!DH3:DI6,2,FALSE)+IF(AND(Calculator!B8=TRUE,Backdoors!BI20=TRUE),VLOOKUP(Calculator!E23,tbSkills!DH3:DJ6,3,FALSE),0),0))&gt;=100,100,(Backdoors!AI12+IF(DQ23&gt;=0.45,VLOOKUP(Calculator!E23,tbSkills!DH3:DI6,2,FALSE)+IF(AND(Calculator!B8=TRUE,Backdoors!BI20=TRUE),VLOOKUP(Calculator!E23,tbSkills!DH3:DJ6,3,FALSE),0),0)))/100)),(1-(0.25*((-Backdoors!AI12-IF(DQ23&gt;=0.45,VLOOKUP(Calculator!E23,tbSkills!DH3:DI6,2,FALSE)+IF(AND(Calculator!B8=TRUE,Backdoors!BI20=TRUE),VLOOKUP(Calculator!E23,tbSkills!DH3:DJ6,3,FALSE),0),0))/100)))),1),"")</f>
        <v>1</v>
      </c>
      <c r="DT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Q23)*DS23)*(VLOOKUP(A23,tbMoveset!A2:C112,3,FALSE)/100)*IF(VLOOKUP(A23,tbMoveset!A2:B112,2,FALSE)="Projectile",Backdoors!N10,Backdoors!N9),0),"")</f>
        <v/>
      </c>
      <c r="DU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Q23&gt;=0.45,VLOOKUP(Calculator!E23,tbSkills!DH3:DI6,2,FALSE)+IF(AND(Calculator!B8=TRUE,Backdoors!BI20=TRUE),VLOOKUP(Calculator!E23,tbSkills!DH3:DJ6,3,FALSE),0),0))&gt;=100,100,(Backdoors!AI12+IF(DQ23&gt;=0.45,VLOOKUP(Calculator!E23,tbSkills!DH3:DI6,2,FALSE)+IF(AND(Calculator!B8=TRUE,Backdoors!BI20=TRUE),VLOOKUP(Calculator!E23,tbSkills!DH3:DJ6,3,FALSE),0),0)))/100)),1))*IF(VLOOKUP(A23,tbMoveset!A2:K112,11,FALSE)=TRUE,Backdoors!AC5,1))*DR23,0),"")</f>
        <v>0</v>
      </c>
      <c r="DV23" s="49">
        <f>VLOOKUP(A23,tbMoveset!A2:G112,7,FALSE)*IFERROR(IF(Backdoors!AI12&gt;=0,1+(IF(Calculator!E40&gt;0,VLOOKUP(Calculator!E40,tbSkills!AI3:AJ5,2,FALSE),Backdoors!AL4)*(IF((Backdoors!AI12+IF(DQ23&gt;=0.45,VLOOKUP(Calculator!E23,tbSkills!DH3:DI6,2,FALSE)+IF(AND(Calculator!B8=TRUE,Backdoors!BI20=TRUE),VLOOKUP(Calculator!E23,tbSkills!DH3:DJ6,3,FALSE),0),0))&gt;=100,100,(Backdoors!AI12+IF(DQ23&gt;=0.45,VLOOKUP(Calculator!E23,tbSkills!DH3:DI6,2,FALSE)+IF(AND(Calculator!B8=TRUE,Backdoors!BI20=TRUE),VLOOKUP(Calculator!E23,tbSkills!DH3:DJ6,3,FALSE),0),0)))/100)),1),1)</f>
        <v>1</v>
      </c>
      <c r="DW23" s="87">
        <f t="shared" si="10"/>
        <v>0</v>
      </c>
      <c r="DX23" s="86" t="str">
        <f>IFERROR(IF(VLOOKUP(A23,tbMoveset!A2:B112,2,FALSE)="Sever",Backdoors!AY21/100,IF(VLOOKUP(A23,tbMoveset!A2:B112,2,FALSE)="Blunt",Backdoors!AZ21/100,Backdoors!BA21/100)),"")</f>
        <v/>
      </c>
      <c r="DY23" s="49">
        <f>IFERROR(IF(VLOOKUP(tbMoveset!A23,tbMoveset!A2:H112,8,FALSE)="Other",IF(VLOOKUP(tbMoveset!A23,tbMoveset!A2:I112,9,FALSE)="Fire",Backdoors!BB21,IF(VLOOKUP(tbMoveset!A23,tbMoveset!A2:I112,9,FALSE)="Water",Backdoors!BC21,IF(VLOOKUP(tbMoveset!A23,tbMoveset!A2:I112,9,FALSE)="Thunder",Backdoors!BD21,IF(VLOOKUP(tbMoveset!A23,tbMoveset!A2:I112,9,FALSE)="Ice",Backdoors!BE21,IF(VLOOKUP(tbMoveset!A23,tbMoveset!A2:I112,9,FALSE)="Dragon",Backdoors!BF21,Backdoors!BG21)))))/100,Backdoors!BG21/100),"")</f>
        <v>0</v>
      </c>
      <c r="DZ23" s="49">
        <f>IFERROR(IF(VLOOKUP(A23,tbMoveset!A2:J112,10,FALSE)=TRUE,IF((Backdoors!AI12+IF(DX23&gt;=0.45,VLOOKUP(Calculator!E23,tbSkills!DH3:DI6,2,FALSE)+IF(AND(Calculator!B8=TRUE,Backdoors!BI21=TRUE),VLOOKUP(Calculator!E23,tbSkills!DH3:DJ6,3,FALSE),0),0))&gt;=0,1+(Backdoors!AL2*(IF((Backdoors!AI12+IF(DX23&gt;=0.45,VLOOKUP(Calculator!E23,tbSkills!DH3:DI6,2,FALSE)+IF(AND(Calculator!B8=TRUE,Backdoors!BI21=TRUE),VLOOKUP(Calculator!E23,tbSkills!DH3:DJ6,3,FALSE),0),0))&gt;=100,100,(Backdoors!AI12+IF(DX23&gt;=0.45,VLOOKUP(Calculator!E23,tbSkills!DH3:DI6,2,FALSE)+IF(AND(Calculator!B8=TRUE,Backdoors!BI21=TRUE),VLOOKUP(Calculator!E23,tbSkills!DH3:DJ6,3,FALSE),0),0)))/100)),(1-(0.25*((-Backdoors!AI12-IF(DX23&gt;=0.45,VLOOKUP(Calculator!E23,tbSkills!DH3:DI6,2,FALSE)+IF(AND(Calculator!B8=TRUE,Backdoors!BI21=TRUE),VLOOKUP(Calculator!E23,tbSkills!DH3:DJ6,3,FALSE),0),0))/100)))),1),"")</f>
        <v>1</v>
      </c>
      <c r="EA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X23)*DZ23)*(VLOOKUP(A23,tbMoveset!A2:C112,3,FALSE)/100)*IF(VLOOKUP(A23,tbMoveset!A2:B112,2,FALSE)="Projectile",Backdoors!N10,Backdoors!N9),0),"")</f>
        <v/>
      </c>
      <c r="EB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X23&gt;=0.45,VLOOKUP(Calculator!E23,tbSkills!DH3:DI6,2,FALSE)+IF(AND(Calculator!B8=TRUE,Backdoors!BI21=TRUE),VLOOKUP(Calculator!E23,tbSkills!DH3:DJ6,3,FALSE),0),0))&gt;=100,100,(Backdoors!AI12+IF(DX23&gt;=0.45,VLOOKUP(Calculator!E23,tbSkills!DH3:DI6,2,FALSE)+IF(AND(Calculator!B8=TRUE,Backdoors!BI21=TRUE),VLOOKUP(Calculator!E23,tbSkills!DH3:DJ6,3,FALSE),0),0)))/100)),1))*IF(VLOOKUP(A23,tbMoveset!A2:K112,11,FALSE)=TRUE,Backdoors!AC5,1))*DY23,0),"")</f>
        <v>0</v>
      </c>
      <c r="EC23" s="49">
        <f>VLOOKUP(A23,tbMoveset!A2:G112,7,FALSE)*IFERROR(IF(Backdoors!AI12&gt;=0,1+(IF(Calculator!E40&gt;0,VLOOKUP(Calculator!E40,tbSkills!AI3:AJ5,2,FALSE),Backdoors!AL4)*(IF((Backdoors!AI12+IF(DX23&gt;=0.45,VLOOKUP(Calculator!E23,tbSkills!DH3:DI6,2,FALSE)+IF(AND(Calculator!B8=TRUE,Backdoors!BI21=TRUE),VLOOKUP(Calculator!E23,tbSkills!DH3:DJ6,3,FALSE),0),0))&gt;=100,100,(Backdoors!AI12+IF(DX23&gt;=0.45,VLOOKUP(Calculator!E23,tbSkills!DH3:DI6,2,FALSE)+IF(AND(Calculator!B8=TRUE,Backdoors!BI21=TRUE),VLOOKUP(Calculator!E23,tbSkills!DH3:DJ6,3,FALSE),0),0)))/100)),1),1)</f>
        <v>1</v>
      </c>
      <c r="ED23" s="87">
        <f t="shared" si="11"/>
        <v>0</v>
      </c>
      <c r="EE23" s="86" t="str">
        <f>IFERROR(IF(VLOOKUP(A23,tbMoveset!A2:B112,2,FALSE)="Sever",Backdoors!AY22/100,IF(VLOOKUP(A23,tbMoveset!A2:B112,2,FALSE)="Blunt",Backdoors!AZ22/100,Backdoors!BA22/100)),"")</f>
        <v/>
      </c>
      <c r="EF23" s="49">
        <f>IFERROR(IF(VLOOKUP(tbMoveset!A23,tbMoveset!A2:H112,8,FALSE)="Other",IF(VLOOKUP(tbMoveset!A23,tbMoveset!A2:I112,9,FALSE)="Fire",Backdoors!BB22,IF(VLOOKUP(tbMoveset!A23,tbMoveset!A2:I112,9,FALSE)="Water",Backdoors!BC22,IF(VLOOKUP(tbMoveset!A23,tbMoveset!A2:I112,9,FALSE)="Thunder",Backdoors!BD22,IF(VLOOKUP(tbMoveset!A23,tbMoveset!A2:I112,9,FALSE)="Ice",Backdoors!BE22,IF(VLOOKUP(tbMoveset!A23,tbMoveset!A2:I112,9,FALSE)="Dragon",Backdoors!BF22,Backdoors!BG22)))))/100,Backdoors!BG22/100),"")</f>
        <v>0</v>
      </c>
      <c r="EG23" s="49">
        <f>IFERROR(IF(VLOOKUP(A23,tbMoveset!A2:J112,10,FALSE)=TRUE,IF((Backdoors!AI12+IF(EE23&gt;=0.45,VLOOKUP(Calculator!E23,tbSkills!DH3:DI6,2,FALSE)+IF(AND(Calculator!B8=TRUE,Backdoors!BI22=TRUE),VLOOKUP(Calculator!E23,tbSkills!DH3:DJ6,3,FALSE),0),0))&gt;=0,1+(Backdoors!AL2*(IF((Backdoors!AI12+IF(EE23&gt;=0.45,VLOOKUP(Calculator!E23,tbSkills!DH3:DI6,2,FALSE)+IF(AND(Calculator!B8=TRUE,Backdoors!BI22=TRUE),VLOOKUP(Calculator!E23,tbSkills!DH3:DJ6,3,FALSE),0),0))&gt;=100,100,(Backdoors!AI12+IF(EE23&gt;=0.45,VLOOKUP(Calculator!E23,tbSkills!DH3:DI6,2,FALSE)+IF(AND(Calculator!B8=TRUE,Backdoors!BI22=TRUE),VLOOKUP(Calculator!E23,tbSkills!DH3:DJ6,3,FALSE),0),0)))/100)),(1-(0.25*((-Backdoors!AI12-IF(EE23&gt;=0.45,VLOOKUP(Calculator!E23,tbSkills!DH3:DI6,2,FALSE)+IF(AND(Calculator!B8=TRUE,Backdoors!BI22=TRUE),VLOOKUP(Calculator!E23,tbSkills!DH3:DJ6,3,FALSE),0),0))/100)))),1),"")</f>
        <v>1</v>
      </c>
      <c r="EH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E23)*EG23)*(VLOOKUP(A23,tbMoveset!A2:C112,3,FALSE)/100)*IF(VLOOKUP(A23,tbMoveset!A2:B112,2,FALSE)="Projectile",Backdoors!N10,Backdoors!N9),0),"")</f>
        <v/>
      </c>
      <c r="EI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E23&gt;=0.45,VLOOKUP(Calculator!E23,tbSkills!DH3:DI6,2,FALSE)+IF(AND(Calculator!B8=TRUE,Backdoors!BI22=TRUE),VLOOKUP(Calculator!E23,tbSkills!DH3:DJ6,3,FALSE),0),0))&gt;=100,100,(Backdoors!AI12+IF(EE23&gt;=0.45,VLOOKUP(Calculator!E23,tbSkills!DH3:DI6,2,FALSE)+IF(AND(Calculator!B8=TRUE,Backdoors!BI22=TRUE),VLOOKUP(Calculator!E23,tbSkills!DH3:DJ6,3,FALSE),0),0)))/100)),1))*IF(VLOOKUP(A23,tbMoveset!A2:K112,11,FALSE)=TRUE,Backdoors!AC5,1))*EF23,0),"")</f>
        <v>0</v>
      </c>
      <c r="EJ23" s="49">
        <f>VLOOKUP(A23,tbMoveset!A2:G112,7,FALSE)*IFERROR(IF(Backdoors!AI12&gt;=0,1+(IF(Calculator!E40&gt;0,VLOOKUP(Calculator!E40,tbSkills!AI3:AJ5,2,FALSE),Backdoors!AL4)*(IF((Backdoors!AI12+IF(EE23&gt;=0.45,VLOOKUP(Calculator!E23,tbSkills!DH3:DI6,2,FALSE)+IF(AND(Calculator!B8=TRUE,Backdoors!BI22=TRUE),VLOOKUP(Calculator!E23,tbSkills!DH3:DJ6,3,FALSE),0),0))&gt;=100,100,(Backdoors!AI12+IF(EE23&gt;=0.45,VLOOKUP(Calculator!E23,tbSkills!DH3:DI6,2,FALSE)+IF(AND(Calculator!B8=TRUE,Backdoors!BI22=TRUE),VLOOKUP(Calculator!E23,tbSkills!DH3:DJ6,3,FALSE),0),0)))/100)),1),1)</f>
        <v>1</v>
      </c>
      <c r="EK23" s="87">
        <f t="shared" si="12"/>
        <v>0</v>
      </c>
      <c r="EL23" s="86" t="str">
        <f>IFERROR(IF(VLOOKUP(A23,tbMoveset!A2:B112,2,FALSE)="Sever",Backdoors!AY23/100,IF(VLOOKUP(A23,tbMoveset!A2:B112,2,FALSE)="Blunt",Backdoors!AZ23/100,Backdoors!BA23/100)),"")</f>
        <v/>
      </c>
      <c r="EM23" s="49">
        <f>IFERROR(IF(VLOOKUP(tbMoveset!A23,tbMoveset!A2:H112,8,FALSE)="Other",IF(VLOOKUP(tbMoveset!A23,tbMoveset!A2:I112,9,FALSE)="Fire",Backdoors!BB23,IF(VLOOKUP(tbMoveset!A23,tbMoveset!A2:I112,9,FALSE)="Water",Backdoors!BC23,IF(VLOOKUP(tbMoveset!A23,tbMoveset!A2:I112,9,FALSE)="Thunder",Backdoors!BD23,IF(VLOOKUP(tbMoveset!A23,tbMoveset!A2:I112,9,FALSE)="Ice",Backdoors!BE23,IF(VLOOKUP(tbMoveset!A23,tbMoveset!A2:I112,9,FALSE)="Dragon",Backdoors!BF23,Backdoors!BG23)))))/100,Backdoors!BG23/100),"")</f>
        <v>0</v>
      </c>
      <c r="EN23" s="49">
        <f>IFERROR(IF(VLOOKUP(A23,tbMoveset!A2:J112,10,FALSE)=TRUE,IF((Backdoors!AI12+IF(EL23&gt;=0.45,VLOOKUP(Calculator!E23,tbSkills!DH3:DI6,2,FALSE)+IF(AND(Calculator!B8=TRUE,Backdoors!BI23=TRUE),VLOOKUP(Calculator!E23,tbSkills!DH3:DJ6,3,FALSE),0),0))&gt;=0,1+(Backdoors!AL2*(IF((Backdoors!AI12+IF(EL23&gt;=0.45,VLOOKUP(Calculator!E23,tbSkills!DH3:DI6,2,FALSE)+IF(AND(Calculator!B8=TRUE,Backdoors!BI23=TRUE),VLOOKUP(Calculator!E23,tbSkills!DH3:DJ6,3,FALSE),0),0))&gt;=100,100,(Backdoors!AI12+IF(EL23&gt;=0.45,VLOOKUP(Calculator!E23,tbSkills!DH3:DI6,2,FALSE)+IF(AND(Calculator!B8=TRUE,Backdoors!BI23=TRUE),VLOOKUP(Calculator!E23,tbSkills!DH3:DJ6,3,FALSE),0),0)))/100)),(1-(0.25*((-Backdoors!AI12-IF(EL23&gt;=0.45,VLOOKUP(Calculator!E23,tbSkills!DH3:DI6,2,FALSE)+IF(AND(Calculator!B8=TRUE,Backdoors!BI23=TRUE),VLOOKUP(Calculator!E23,tbSkills!DH3:DJ6,3,FALSE),0),0))/100)))),1),"")</f>
        <v>1</v>
      </c>
      <c r="EO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L23)*EN23)*(VLOOKUP(A23,tbMoveset!A2:C112,3,FALSE)/100)*IF(VLOOKUP(A23,tbMoveset!A2:B112,2,FALSE)="Projectile",Backdoors!N10,Backdoors!N9),0),"")</f>
        <v/>
      </c>
      <c r="EP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L23&gt;=0.45,VLOOKUP(Calculator!E23,tbSkills!DH3:DI6,2,FALSE)+IF(AND(Calculator!B8=TRUE,Backdoors!BI23=TRUE),VLOOKUP(Calculator!E23,tbSkills!DH3:DJ6,3,FALSE),0),0))&gt;=100,100,(Backdoors!AI12+IF(EL23&gt;=0.45,VLOOKUP(Calculator!E23,tbSkills!DH3:DI6,2,FALSE)+IF(AND(Calculator!B8=TRUE,Backdoors!BI23=TRUE),VLOOKUP(Calculator!E23,tbSkills!DH3:DJ6,3,FALSE),0),0)))/100)),1))*IF(VLOOKUP(A23,tbMoveset!A2:K112,11,FALSE)=TRUE,Backdoors!AC5,1))*EM23,0),"")</f>
        <v>0</v>
      </c>
      <c r="EQ23" s="49">
        <f>VLOOKUP(A23,tbMoveset!A2:G112,7,FALSE)*IFERROR(IF(Backdoors!AI12&gt;=0,1+(IF(Calculator!E40&gt;0,VLOOKUP(Calculator!E40,tbSkills!AI3:AJ5,2,FALSE),Backdoors!AL4)*(IF((Backdoors!AI12+IF(EL23&gt;=0.45,VLOOKUP(Calculator!E23,tbSkills!DH3:DI6,2,FALSE)+IF(AND(Calculator!B8=TRUE,Backdoors!BI23=TRUE),VLOOKUP(Calculator!E23,tbSkills!DH3:DJ6,3,FALSE),0),0))&gt;=100,100,(Backdoors!AI12+IF(EL23&gt;=0.45,VLOOKUP(Calculator!E23,tbSkills!DH3:DI6,2,FALSE)+IF(AND(Calculator!B8=TRUE,Backdoors!BI23=TRUE),VLOOKUP(Calculator!E23,tbSkills!DH3:DJ6,3,FALSE),0),0)))/100)),1),1)</f>
        <v>1</v>
      </c>
      <c r="ER23" s="87">
        <f t="shared" si="13"/>
        <v>0</v>
      </c>
      <c r="ES23" s="86" t="str">
        <f>IFERROR(IF(VLOOKUP(A23,tbMoveset!A2:B112,2,FALSE)="Sever",Backdoors!AY24/100,IF(VLOOKUP(A23,tbMoveset!A2:B112,2,FALSE)="Blunt",Backdoors!AZ24/100,Backdoors!BA24/100)),"")</f>
        <v/>
      </c>
      <c r="ET23" s="49">
        <f>IFERROR(IF(VLOOKUP(tbMoveset!A23,tbMoveset!A2:H112,8,FALSE)="Other",IF(VLOOKUP(tbMoveset!A23,tbMoveset!A2:I112,9,FALSE)="Fire",Backdoors!BB24,IF(VLOOKUP(tbMoveset!A23,tbMoveset!A2:I112,9,FALSE)="Water",Backdoors!BC24,IF(VLOOKUP(tbMoveset!A23,tbMoveset!A2:I112,9,FALSE)="Thunder",Backdoors!BD24,IF(VLOOKUP(tbMoveset!A23,tbMoveset!A2:I112,9,FALSE)="Ice",Backdoors!BE24,IF(VLOOKUP(tbMoveset!A23,tbMoveset!A2:I112,9,FALSE)="Dragon",Backdoors!BF24,Backdoors!BG24)))))/100,Backdoors!BG24/100),"")</f>
        <v>0</v>
      </c>
      <c r="EU23" s="49">
        <f>IFERROR(IF(VLOOKUP(A23,tbMoveset!A2:J112,10,FALSE)=TRUE,IF((Backdoors!AI12+IF(ES23&gt;=0.45,VLOOKUP(Calculator!E23,tbSkills!DH3:DI6,2,FALSE)+IF(AND(Calculator!B8=TRUE,Backdoors!BI24=TRUE),VLOOKUP(Calculator!E23,tbSkills!DH3:DJ6,3,FALSE),0),0))&gt;=0,1+(Backdoors!AL2*(IF((Backdoors!AI12+IF(ES23&gt;=0.45,VLOOKUP(Calculator!E23,tbSkills!DH3:DI6,2,FALSE)+IF(AND(Calculator!B8=TRUE,Backdoors!BI24=TRUE),VLOOKUP(Calculator!E23,tbSkills!DH3:DJ6,3,FALSE),0),0))&gt;=100,100,(Backdoors!AI12+IF(ES23&gt;=0.45,VLOOKUP(Calculator!E23,tbSkills!DH3:DI6,2,FALSE)+IF(AND(Calculator!B8=TRUE,Backdoors!BI24=TRUE),VLOOKUP(Calculator!E23,tbSkills!DH3:DJ6,3,FALSE),0),0)))/100)),(1-(0.25*((-Backdoors!AI12-IF(ES23&gt;=0.45,VLOOKUP(Calculator!E23,tbSkills!DH3:DI6,2,FALSE)+IF(AND(Calculator!B8=TRUE,Backdoors!BI24=TRUE),VLOOKUP(Calculator!E23,tbSkills!DH3:DJ6,3,FALSE),0),0))/100)))),1),"")</f>
        <v>1</v>
      </c>
      <c r="EV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S23)*EU23)*(VLOOKUP(A23,tbMoveset!A2:C112,3,FALSE)/100)*IF(VLOOKUP(A23,tbMoveset!A2:B112,2,FALSE)="Projectile",Backdoors!N10,Backdoors!N9),0),"")</f>
        <v/>
      </c>
      <c r="EW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S23&gt;=0.45,VLOOKUP(Calculator!E23,tbSkills!DH3:DI6,2,FALSE)+IF(AND(Calculator!B8=TRUE,Backdoors!BI24=TRUE),VLOOKUP(Calculator!E23,tbSkills!DH3:DJ6,3,FALSE),0),0))&gt;=100,100,(Backdoors!AI12+IF(ES23&gt;=0.45,VLOOKUP(Calculator!E23,tbSkills!DH3:DI6,2,FALSE)+IF(AND(Calculator!B8=TRUE,Backdoors!BI24=TRUE),VLOOKUP(Calculator!E23,tbSkills!DH3:DJ6,3,FALSE),0),0)))/100)),1))*IF(VLOOKUP(A23,tbMoveset!A2:K112,11,FALSE)=TRUE,Backdoors!AC5,1))*ET23,0),"")</f>
        <v>0</v>
      </c>
      <c r="EX23" s="49">
        <f>VLOOKUP(A23,tbMoveset!A2:G112,7,FALSE)*IFERROR(IF(Backdoors!AI12&gt;=0,1+(IF(Calculator!E40&gt;0,VLOOKUP(Calculator!E40,tbSkills!AI3:AJ5,2,FALSE),Backdoors!AL4)*(IF((Backdoors!AI12+IF(ES23&gt;=0.45,VLOOKUP(Calculator!E23,tbSkills!DH3:DI6,2,FALSE)+IF(AND(Calculator!B8=TRUE,Backdoors!BI24=TRUE),VLOOKUP(Calculator!E23,tbSkills!DH3:DJ6,3,FALSE),0),0))&gt;=100,100,(Backdoors!AI12+IF(ES23&gt;=0.45,VLOOKUP(Calculator!E23,tbSkills!DH3:DI6,2,FALSE)+IF(AND(Calculator!B8=TRUE,Backdoors!BI24=TRUE),VLOOKUP(Calculator!E23,tbSkills!DH3:DJ6,3,FALSE),0),0)))/100)),1),1)</f>
        <v>1</v>
      </c>
      <c r="EY23" s="87">
        <f t="shared" si="14"/>
        <v>0</v>
      </c>
      <c r="EZ23" s="86" t="str">
        <f>IFERROR(IF(VLOOKUP(A23,tbMoveset!A2:B112,2,FALSE)="Sever",Backdoors!AY25/100,IF(VLOOKUP(A23,tbMoveset!A2:B112,2,FALSE)="Blunt",Backdoors!AZ25/100,Backdoors!BA25/100)),"")</f>
        <v/>
      </c>
      <c r="FA23" s="49">
        <f>IFERROR(IF(VLOOKUP(tbMoveset!A23,tbMoveset!A2:H112,8,FALSE)="Other",IF(VLOOKUP(tbMoveset!A23,tbMoveset!A2:I112,9,FALSE)="Fire",Backdoors!BB25,IF(VLOOKUP(tbMoveset!A23,tbMoveset!A2:I112,9,FALSE)="Water",Backdoors!BC25,IF(VLOOKUP(tbMoveset!A23,tbMoveset!A2:I112,9,FALSE)="Thunder",Backdoors!BD25,IF(VLOOKUP(tbMoveset!A23,tbMoveset!A2:I112,9,FALSE)="Ice",Backdoors!BE25,IF(VLOOKUP(tbMoveset!A23,tbMoveset!A2:I112,9,FALSE)="Dragon",Backdoors!BF25,Backdoors!BG25)))))/100,Backdoors!BG25/100),"")</f>
        <v>0</v>
      </c>
      <c r="FB23" s="49">
        <f>IFERROR(IF(VLOOKUP(A23,tbMoveset!A2:J112,10,FALSE)=TRUE,IF((Backdoors!AI12+IF(EZ23&gt;=0.45,VLOOKUP(Calculator!E23,tbSkills!DH3:DI6,2,FALSE)+IF(AND(Calculator!B8=TRUE,Backdoors!BI25=TRUE),VLOOKUP(Calculator!E23,tbSkills!DH3:DJ6,3,FALSE),0),0))&gt;=0,1+(Backdoors!AL2*(IF((Backdoors!AI12+IF(EZ23&gt;=0.45,VLOOKUP(Calculator!E23,tbSkills!DH3:DI6,2,FALSE)+IF(AND(Calculator!B8=TRUE,Backdoors!BI25=TRUE),VLOOKUP(Calculator!E23,tbSkills!DH3:DJ6,3,FALSE),0),0))&gt;=100,100,(Backdoors!AI12+IF(EZ23&gt;=0.45,VLOOKUP(Calculator!E23,tbSkills!DH3:DI6,2,FALSE)+IF(AND(Calculator!B8=TRUE,Backdoors!BI25=TRUE),VLOOKUP(Calculator!E23,tbSkills!DH3:DJ6,3,FALSE),0),0)))/100)),(1-(0.25*((-Backdoors!AI12-IF(EZ23&gt;=0.45,VLOOKUP(Calculator!E23,tbSkills!DH3:DI6,2,FALSE)+IF(AND(Calculator!B8=TRUE,Backdoors!BI25=TRUE),VLOOKUP(Calculator!E23,tbSkills!DH3:DJ6,3,FALSE),0),0))/100)))),1),"")</f>
        <v>1</v>
      </c>
      <c r="FC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Z23)*FB23)*(VLOOKUP(A23,tbMoveset!A2:C112,3,FALSE)/100)*IF(VLOOKUP(A23,tbMoveset!A2:B112,2,FALSE)="Projectile",Backdoors!N10,Backdoors!N9),0),"")</f>
        <v/>
      </c>
      <c r="FD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Z23&gt;=0.45,VLOOKUP(Calculator!E23,tbSkills!DH3:DI6,2,FALSE)+IF(AND(Calculator!B8=TRUE,Backdoors!BI25=TRUE),VLOOKUP(Calculator!E23,tbSkills!DH3:DJ6,3,FALSE),0),0))&gt;=100,100,(Backdoors!AI12+IF(EZ23&gt;=0.45,VLOOKUP(Calculator!E23,tbSkills!DH3:DI6,2,FALSE)+IF(AND(Calculator!B8=TRUE,Backdoors!BI25=TRUE),VLOOKUP(Calculator!E23,tbSkills!DH3:DJ6,3,FALSE),0),0)))/100)),1))*IF(VLOOKUP(A23,tbMoveset!A2:K112,11,FALSE)=TRUE,Backdoors!AC5,1))*FA23,0),"")</f>
        <v>0</v>
      </c>
      <c r="FE23" s="49">
        <f>VLOOKUP(A23,tbMoveset!A2:G112,7,FALSE)*IFERROR(IF(Backdoors!AI12&gt;=0,1+(IF(Calculator!E40&gt;0,VLOOKUP(Calculator!E40,tbSkills!AI3:AJ5,2,FALSE),Backdoors!AL4)*(IF((Backdoors!AI12+IF(EZ23&gt;=0.45,VLOOKUP(Calculator!E23,tbSkills!DH3:DI6,2,FALSE)+IF(AND(Calculator!B8=TRUE,Backdoors!BI25=TRUE),VLOOKUP(Calculator!E23,tbSkills!DH3:DJ6,3,FALSE),0),0))&gt;=100,100,(Backdoors!AI12+IF(EZ23&gt;=0.45,VLOOKUP(Calculator!E23,tbSkills!DH3:DI6,2,FALSE)+IF(AND(Calculator!B8=TRUE,Backdoors!BI25=TRUE),VLOOKUP(Calculator!E23,tbSkills!DH3:DJ6,3,FALSE),0),0)))/100)),1),1)</f>
        <v>1</v>
      </c>
      <c r="FF23" s="87">
        <f t="shared" si="15"/>
        <v>0</v>
      </c>
      <c r="FG23" s="86" t="str">
        <f>IFERROR(IF(VLOOKUP(A23,tbMoveset!A2:B112,2,FALSE)="Sever",Backdoors!AY26/100,IF(VLOOKUP(A23,tbMoveset!A2:B112,2,FALSE)="Blunt",Backdoors!AZ26/100,Backdoors!BA26/100)),"")</f>
        <v/>
      </c>
      <c r="FH23" s="49">
        <f>IFERROR(IF(VLOOKUP(tbMoveset!A23,tbMoveset!A2:H112,8,FALSE)="Other",IF(VLOOKUP(tbMoveset!A23,tbMoveset!A2:I112,9,FALSE)="Fire",Backdoors!BB26,IF(VLOOKUP(tbMoveset!A23,tbMoveset!A2:I112,9,FALSE)="Water",Backdoors!BC26,IF(VLOOKUP(tbMoveset!A23,tbMoveset!A2:I112,9,FALSE)="Thunder",Backdoors!BD26,IF(VLOOKUP(tbMoveset!A23,tbMoveset!A2:I112,9,FALSE)="Ice",Backdoors!BE26,IF(VLOOKUP(tbMoveset!A23,tbMoveset!A2:I112,9,FALSE)="Dragon",Backdoors!BF26,Backdoors!BG26)))))/100,Backdoors!BG26/100),"")</f>
        <v>0</v>
      </c>
      <c r="FI23" s="49">
        <f>IFERROR(IF(VLOOKUP(A23,tbMoveset!A2:J112,10,FALSE)=TRUE,IF((Backdoors!AI12+IF(FG23&gt;=0.45,VLOOKUP(Calculator!E23,tbSkills!DH3:DI6,2,FALSE)+IF(AND(Calculator!B8=TRUE,Backdoors!BI26=TRUE),VLOOKUP(Calculator!E23,tbSkills!DH3:DJ6,3,FALSE),0),0))&gt;=0,1+(Backdoors!AL2*(IF((Backdoors!AI12+IF(FG23&gt;=0.45,VLOOKUP(Calculator!E23,tbSkills!DH3:DI6,2,FALSE)+IF(AND(Calculator!B8=TRUE,Backdoors!BI26=TRUE),VLOOKUP(Calculator!E23,tbSkills!DH3:DJ6,3,FALSE),0),0))&gt;=100,100,(Backdoors!AI12+IF(FG23&gt;=0.45,VLOOKUP(Calculator!E23,tbSkills!DH3:DI6,2,FALSE)+IF(AND(Calculator!B8=TRUE,Backdoors!BI26=TRUE),VLOOKUP(Calculator!E23,tbSkills!DH3:DJ6,3,FALSE),0),0)))/100)),(1-(0.25*((-Backdoors!AI12-IF(FG23&gt;=0.45,VLOOKUP(Calculator!E23,tbSkills!DH3:DI6,2,FALSE)+IF(AND(Calculator!B8=TRUE,Backdoors!BI26=TRUE),VLOOKUP(Calculator!E23,tbSkills!DH3:DJ6,3,FALSE),0),0))/100)))),1),"")</f>
        <v>1</v>
      </c>
      <c r="FJ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FG23)*FI23)*(VLOOKUP(A23,tbMoveset!A2:C112,3,FALSE)/100)*IF(VLOOKUP(A23,tbMoveset!A2:B112,2,FALSE)="Projectile",Backdoors!N10,Backdoors!N9),0),"")</f>
        <v/>
      </c>
      <c r="FK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FG23&gt;=0.45,VLOOKUP(Calculator!E23,tbSkills!DH3:DI6,2,FALSE)+IF(AND(Calculator!B8=TRUE,Backdoors!BI26=TRUE),VLOOKUP(Calculator!E23,tbSkills!DH3:DJ6,3,FALSE),0),0))&gt;=100,100,(Backdoors!AI12+IF(FG23&gt;=0.45,VLOOKUP(Calculator!E23,tbSkills!DH3:DI6,2,FALSE)+IF(AND(Calculator!B8=TRUE,Backdoors!BI26=TRUE),VLOOKUP(Calculator!E23,tbSkills!DH3:DJ6,3,FALSE),0),0)))/100)),1))*IF(VLOOKUP(A23,tbMoveset!A2:K112,11,FALSE)=TRUE,Backdoors!AC5,1))*FH23,0),"")</f>
        <v>0</v>
      </c>
      <c r="FL23" s="49">
        <f>VLOOKUP(A23,tbMoveset!A2:G112,7,FALSE)*IFERROR(IF(Backdoors!AI12&gt;=0,1+(IF(Calculator!E40&gt;0,VLOOKUP(Calculator!E40,tbSkills!AI3:AJ5,2,FALSE),Backdoors!AL4)*(IF((Backdoors!AI12+IF(FG23&gt;=0.45,VLOOKUP(Calculator!E23,tbSkills!DH3:DI6,2,FALSE)+IF(AND(Calculator!B8=TRUE,Backdoors!BI26=TRUE),VLOOKUP(Calculator!E23,tbSkills!DH3:DJ6,3,FALSE),0),0))&gt;=100,100,(Backdoors!AI12+IF(FG23&gt;=0.45,VLOOKUP(Calculator!E23,tbSkills!DH3:DI6,2,FALSE)+IF(AND(Calculator!B8=TRUE,Backdoors!BI26=TRUE),VLOOKUP(Calculator!E23,tbSkills!DH3:DJ6,3,FALSE),0),0)))/100)),1),1)</f>
        <v>1</v>
      </c>
      <c r="FM23" s="87">
        <f t="shared" si="16"/>
        <v>0</v>
      </c>
      <c r="FN23" s="86" t="str">
        <f>IFERROR(IF(VLOOKUP(A23,tbMoveset!A2:B112,2,FALSE)="Sever",Backdoors!AY27/100,IF(VLOOKUP(A23,tbMoveset!A2:B112,2,FALSE)="Blunt",Backdoors!AZ27/100,Backdoors!BA27/100)),"")</f>
        <v/>
      </c>
      <c r="FO23" s="49">
        <f>IFERROR(IF(VLOOKUP(tbMoveset!A23,tbMoveset!A2:H112,8,FALSE)="Other",IF(VLOOKUP(tbMoveset!A23,tbMoveset!A2:I112,9,FALSE)="Fire",Backdoors!BB27,IF(VLOOKUP(tbMoveset!A23,tbMoveset!A2:I112,9,FALSE)="Water",Backdoors!BC27,IF(VLOOKUP(tbMoveset!A23,tbMoveset!A2:I112,9,FALSE)="Thunder",Backdoors!BD27,IF(VLOOKUP(tbMoveset!A23,tbMoveset!A2:I112,9,FALSE)="Ice",Backdoors!BE27,IF(VLOOKUP(tbMoveset!A23,tbMoveset!A2:I112,9,FALSE)="Dragon",Backdoors!BF27,Backdoors!BG27)))))/100,Backdoors!BG27/100),"")</f>
        <v>0</v>
      </c>
      <c r="FP23" s="49">
        <f>IFERROR(IF(VLOOKUP(A23,tbMoveset!A2:J112,10,FALSE)=TRUE,IF((Backdoors!AI12+IF(FN23&gt;=0.45,VLOOKUP(Calculator!E23,tbSkills!DH3:DI6,2,FALSE)+IF(AND(Calculator!B8=TRUE,Backdoors!BI27=TRUE),VLOOKUP(Calculator!E23,tbSkills!DH3:DJ6,3,FALSE),0),0))&gt;=0,1+(Backdoors!AL2*(IF((Backdoors!AI12+IF(FN23&gt;=0.45,VLOOKUP(Calculator!E23,tbSkills!DH3:DI6,2,FALSE)+IF(AND(Calculator!B8=TRUE,Backdoors!BI27=TRUE),VLOOKUP(Calculator!E23,tbSkills!DH3:DJ6,3,FALSE),0),0))&gt;=100,100,(Backdoors!AI12+IF(FN23&gt;=0.45,VLOOKUP(Calculator!E23,tbSkills!DH3:DI6,2,FALSE)+IF(AND(Calculator!B8=TRUE,Backdoors!BI27=TRUE),VLOOKUP(Calculator!E23,tbSkills!DH3:DJ6,3,FALSE),0),0)))/100)),(1-(0.25*((-Backdoors!AI12-IF(FN23&gt;=0.45,VLOOKUP(Calculator!E23,tbSkills!DH3:DI6,2,FALSE)+IF(AND(Calculator!B8=TRUE,Backdoors!BI27=TRUE),VLOOKUP(Calculator!E23,tbSkills!DH3:DJ6,3,FALSE),0),0))/100)))),1),"")</f>
        <v>1</v>
      </c>
      <c r="FQ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FN23)*FP23)*(VLOOKUP(A23,tbMoveset!A2:C112,3,FALSE)/100)*IF(VLOOKUP(A23,tbMoveset!A2:B112,2,FALSE)="Projectile",Backdoors!N10,Backdoors!N9),0),"")</f>
        <v/>
      </c>
      <c r="FR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FN23&gt;=0.45,VLOOKUP(Calculator!E23,tbSkills!DH3:DI6,2,FALSE)+IF(AND(Calculator!B8=TRUE,Backdoors!BI27=TRUE),VLOOKUP(Calculator!E23,tbSkills!DH3:DJ6,3,FALSE),0),0))&gt;=100,100,(Backdoors!AI12+IF(FN23&gt;=0.45,VLOOKUP(Calculator!E23,tbSkills!DH3:DI6,2,FALSE)+IF(AND(Calculator!B8=TRUE,Backdoors!BI27=TRUE),VLOOKUP(Calculator!E23,tbSkills!DH3:DJ6,3,FALSE),0),0)))/100)),1))*IF(VLOOKUP(A23,tbMoveset!A2:K112,11,FALSE)=TRUE,Backdoors!AC5,1))*FO23,0),"")</f>
        <v>0</v>
      </c>
      <c r="FS23" s="49">
        <f>VLOOKUP(A23,tbMoveset!A2:G112,7,FALSE)*IFERROR(IF(Backdoors!AI12&gt;=0,1+(IF(Calculator!E40&gt;0,VLOOKUP(Calculator!E40,tbSkills!AI3:AJ5,2,FALSE),Backdoors!AL4)*(IF((Backdoors!AI12+IF(FN23&gt;=0.45,VLOOKUP(Calculator!E23,tbSkills!DH3:DI6,2,FALSE)+IF(AND(Calculator!B8=TRUE,Backdoors!BI27=TRUE),VLOOKUP(Calculator!E23,tbSkills!DH3:DJ6,3,FALSE),0),0))&gt;=100,100,(Backdoors!AI12+IF(FN23&gt;=0.45,VLOOKUP(Calculator!E23,tbSkills!DH3:DI6,2,FALSE)+IF(AND(Calculator!B8=TRUE,Backdoors!BI27=TRUE),VLOOKUP(Calculator!E23,tbSkills!DH3:DJ6,3,FALSE),0),0)))/100)),1),1)</f>
        <v>1</v>
      </c>
      <c r="FT23" s="87">
        <f t="shared" si="17"/>
        <v>0</v>
      </c>
      <c r="FU23" s="86" t="str">
        <f>IFERROR(IF(VLOOKUP(A23,tbMoveset!A2:B112,2,FALSE)="Sever",Backdoors!AY28/100,IF(VLOOKUP(A23,tbMoveset!A2:B112,2,FALSE)="Blunt",Backdoors!AZ28/100,Backdoors!BA28/100)),"")</f>
        <v/>
      </c>
      <c r="FV23" s="49">
        <f>IFERROR(IF(VLOOKUP(tbMoveset!A23,tbMoveset!A2:H112,8,FALSE)="Other",IF(VLOOKUP(tbMoveset!A23,tbMoveset!A2:I112,9,FALSE)="Fire",Backdoors!BB28,IF(VLOOKUP(tbMoveset!A23,tbMoveset!A2:I112,9,FALSE)="Water",Backdoors!BC28,IF(VLOOKUP(tbMoveset!A23,tbMoveset!A2:I112,9,FALSE)="Thunder",Backdoors!BD28,IF(VLOOKUP(tbMoveset!A23,tbMoveset!A2:I112,9,FALSE)="Ice",Backdoors!BE28,IF(VLOOKUP(tbMoveset!A23,tbMoveset!A2:I112,9,FALSE)="Dragon",Backdoors!BF28,Backdoors!BG28)))))/100,Backdoors!BG28/100),"")</f>
        <v>0</v>
      </c>
      <c r="FW23" s="49">
        <f>IFERROR(IF(VLOOKUP(A23,tbMoveset!A2:J112,10,FALSE)=TRUE,IF((Backdoors!AI12+IF(FU23&gt;=0.45,VLOOKUP(Calculator!E23,tbSkills!DH3:DI6,2,FALSE)+IF(AND(Calculator!B8=TRUE,Backdoors!BI28=TRUE),VLOOKUP(Calculator!E23,tbSkills!DH3:DJ6,3,FALSE),0),0))&gt;=0,1+(Backdoors!AL2*(IF((Backdoors!AI12+IF(FU23&gt;=0.45,VLOOKUP(Calculator!E23,tbSkills!DH3:DI6,2,FALSE)+IF(AND(Calculator!B8=TRUE,Backdoors!BI28=TRUE),VLOOKUP(Calculator!E23,tbSkills!DH3:DJ6,3,FALSE),0),0))&gt;=100,100,(Backdoors!AI12+IF(FU23&gt;=0.45,VLOOKUP(Calculator!E23,tbSkills!DH3:DI6,2,FALSE)+IF(AND(Calculator!B8=TRUE,Backdoors!BI28=TRUE),VLOOKUP(Calculator!E23,tbSkills!DH3:DJ6,3,FALSE),0),0)))/100)),(1-(0.25*((-Backdoors!AI12-IF(FU23&gt;=0.45,VLOOKUP(Calculator!E23,tbSkills!DH3:DI6,2,FALSE)+IF(AND(Calculator!B8=TRUE,Backdoors!BI28=TRUE),VLOOKUP(Calculator!E23,tbSkills!DH3:DJ6,3,FALSE),0),0))/100)))),1),"")</f>
        <v>1</v>
      </c>
      <c r="FX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FU23)*FW23)*(VLOOKUP(A23,tbMoveset!A2:C112,3,FALSE)/100)*IF(VLOOKUP(A23,tbMoveset!A2:B112,2,FALSE)="Projectile",Backdoors!N10,Backdoors!N9),0),"")</f>
        <v/>
      </c>
      <c r="FY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FU23&gt;=0.45,VLOOKUP(Calculator!E23,tbSkills!DH3:DI6,2,FALSE)+IF(AND(Calculator!B8=TRUE,Backdoors!BI28=TRUE),VLOOKUP(Calculator!E23,tbSkills!DH3:DJ6,3,FALSE),0),0))&gt;=100,100,(Backdoors!AI12+IF(FU23&gt;=0.45,VLOOKUP(Calculator!E23,tbSkills!DH3:DI6,2,FALSE)+IF(AND(Calculator!B8=TRUE,Backdoors!BI28=TRUE),VLOOKUP(Calculator!E23,tbSkills!DH3:DJ6,3,FALSE),0),0)))/100)),1))*IF(VLOOKUP(A23,tbMoveset!A2:K112,11,FALSE)=TRUE,Backdoors!AC5,1))*FV23,0),"")</f>
        <v>0</v>
      </c>
      <c r="FZ23" s="49">
        <f>VLOOKUP(A23,tbMoveset!A2:G112,7,FALSE)*IFERROR(IF(Backdoors!AI12&gt;=0,1+(IF(Calculator!E40&gt;0,VLOOKUP(Calculator!E40,tbSkills!AI3:AJ5,2,FALSE),Backdoors!AL4)*(IF((Backdoors!AI12+IF(FU23&gt;=0.45,VLOOKUP(Calculator!E23,tbSkills!DH3:DI6,2,FALSE)+IF(AND(Calculator!B8=TRUE,Backdoors!BI28=TRUE),VLOOKUP(Calculator!E23,tbSkills!DH3:DJ6,3,FALSE),0),0))&gt;=100,100,(Backdoors!AI12+IF(FU23&gt;=0.45,VLOOKUP(Calculator!E23,tbSkills!DH3:DI6,2,FALSE)+IF(AND(Calculator!B8=TRUE,Backdoors!BI28=TRUE),VLOOKUP(Calculator!E23,tbSkills!DH3:DJ6,3,FALSE),0),0)))/100)),1),1)</f>
        <v>1</v>
      </c>
      <c r="GA23" s="87">
        <f t="shared" si="18"/>
        <v>0</v>
      </c>
      <c r="GB23" s="86" t="str">
        <f>IFERROR(IF(VLOOKUP(A23,tbMoveset!A2:B112,2,FALSE)="Sever",Backdoors!AY29/100,IF(VLOOKUP(A23,tbMoveset!A2:B112,2,FALSE)="Blunt",Backdoors!AZ29/100,Backdoors!BA29/100)),"")</f>
        <v/>
      </c>
      <c r="GC23" s="49">
        <f>IFERROR(IF(VLOOKUP(tbMoveset!A23,tbMoveset!A2:H112,8,FALSE)="Other",IF(VLOOKUP(tbMoveset!A23,tbMoveset!A2:I112,9,FALSE)="Fire",Backdoors!BB29,IF(VLOOKUP(tbMoveset!A23,tbMoveset!A2:I112,9,FALSE)="Water",Backdoors!BC29,IF(VLOOKUP(tbMoveset!A23,tbMoveset!A2:I112,9,FALSE)="Thunder",Backdoors!BD29,IF(VLOOKUP(tbMoveset!A23,tbMoveset!A2:I112,9,FALSE)="Ice",Backdoors!BE29,IF(VLOOKUP(tbMoveset!A23,tbMoveset!A2:I112,9,FALSE)="Dragon",Backdoors!BF29,Backdoors!BG29)))))/100,Backdoors!BG29/100),"")</f>
        <v>0</v>
      </c>
      <c r="GD23" s="49">
        <f>IFERROR(IF(VLOOKUP(A23,tbMoveset!A2:J112,10,FALSE)=TRUE,IF((Backdoors!AI12+IF(GB23&gt;=0.45,VLOOKUP(Calculator!E23,tbSkills!DH3:DI6,2,FALSE)+IF(AND(Calculator!B8=TRUE,Backdoors!BI29=TRUE),VLOOKUP(Calculator!E23,tbSkills!DH3:DJ6,3,FALSE),0),0))&gt;=0,1+(Backdoors!AL2*(IF((Backdoors!AI12+IF(GB23&gt;=0.45,VLOOKUP(Calculator!E23,tbSkills!DH3:DI6,2,FALSE)+IF(AND(Calculator!B8=TRUE,Backdoors!BI29=TRUE),VLOOKUP(Calculator!E23,tbSkills!DH3:DJ6,3,FALSE),0),0))&gt;=100,100,(Backdoors!AI12+IF(GB23&gt;=0.45,VLOOKUP(Calculator!E23,tbSkills!DH3:DI6,2,FALSE)+IF(AND(Calculator!B8=TRUE,Backdoors!BI29=TRUE),VLOOKUP(Calculator!E23,tbSkills!DH3:DJ6,3,FALSE),0),0)))/100)),(1-(0.25*((-Backdoors!AI12-IF(GB23&gt;=0.45,VLOOKUP(Calculator!E23,tbSkills!DH3:DI6,2,FALSE)+IF(AND(Calculator!B8=TRUE,Backdoors!BI29=TRUE),VLOOKUP(Calculator!E23,tbSkills!DH3:DJ6,3,FALSE),0),0))/100)))),1),"")</f>
        <v>1</v>
      </c>
      <c r="GE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B23)*GD23)*(VLOOKUP(A23,tbMoveset!A2:C112,3,FALSE)/100)*IF(VLOOKUP(A23,tbMoveset!A2:B112,2,FALSE)="Projectile",Backdoors!N10,Backdoors!N9),0),"")</f>
        <v/>
      </c>
      <c r="GF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B23&gt;=0.45,VLOOKUP(Calculator!E23,tbSkills!DH3:DI6,2,FALSE)+IF(AND(Calculator!B8=TRUE,Backdoors!BI29=TRUE),VLOOKUP(Calculator!E23,tbSkills!DH3:DJ6,3,FALSE),0),0))&gt;=100,100,(Backdoors!AI12+IF(GB23&gt;=0.45,VLOOKUP(Calculator!E23,tbSkills!DH3:DI6,2,FALSE)+IF(AND(Calculator!B8=TRUE,Backdoors!BI29=TRUE),VLOOKUP(Calculator!E23,tbSkills!DH3:DJ6,3,FALSE),0),0)))/100)),1))*IF(VLOOKUP(A23,tbMoveset!A2:K112,11,FALSE)=TRUE,Backdoors!AC5,1))*GC23,0),"")</f>
        <v>0</v>
      </c>
      <c r="GG23" s="49">
        <f>VLOOKUP(A23,tbMoveset!A2:G112,7,FALSE)*IFERROR(IF(Backdoors!AI12&gt;=0,1+(IF(Calculator!E40&gt;0,VLOOKUP(Calculator!E40,tbSkills!AI3:AJ5,2,FALSE),Backdoors!AL4)*(IF((Backdoors!AI12+IF(GB23&gt;=0.45,VLOOKUP(Calculator!E23,tbSkills!DH3:DI6,2,FALSE)+IF(AND(Calculator!B8=TRUE,Backdoors!BI29=TRUE),VLOOKUP(Calculator!E23,tbSkills!DH3:DJ6,3,FALSE),0),0))&gt;=100,100,(Backdoors!AI12+IF(GB23&gt;=0.45,VLOOKUP(Calculator!E23,tbSkills!DH3:DI6,2,FALSE)+IF(AND(Calculator!B8=TRUE,Backdoors!BI29=TRUE),VLOOKUP(Calculator!E23,tbSkills!DH3:DJ6,3,FALSE),0),0)))/100)),1),1)</f>
        <v>1</v>
      </c>
      <c r="GH23" s="87">
        <f t="shared" si="19"/>
        <v>0</v>
      </c>
      <c r="GI23" s="86" t="str">
        <f>IFERROR(IF(VLOOKUP(A23,tbMoveset!A2:B112,2,FALSE)="Sever",Backdoors!AY30/100,IF(VLOOKUP(A23,tbMoveset!A2:B112,2,FALSE)="Blunt",Backdoors!AZ30/100,Backdoors!BA30/100)),"")</f>
        <v/>
      </c>
      <c r="GJ23" s="49">
        <f>IFERROR(IF(VLOOKUP(tbMoveset!A23,tbMoveset!A2:H112,8,FALSE)="Other",IF(VLOOKUP(tbMoveset!A23,tbMoveset!A2:I112,9,FALSE)="Fire",Backdoors!BB30,IF(VLOOKUP(tbMoveset!A23,tbMoveset!A2:I112,9,FALSE)="Water",Backdoors!BC30,IF(VLOOKUP(tbMoveset!A23,tbMoveset!A2:I112,9,FALSE)="Thunder",Backdoors!BD30,IF(VLOOKUP(tbMoveset!A23,tbMoveset!A2:I112,9,FALSE)="Ice",Backdoors!BE30,IF(VLOOKUP(tbMoveset!A23,tbMoveset!A2:I112,9,FALSE)="Dragon",Backdoors!BF30,Backdoors!BG30)))))/100,Backdoors!BG30/100),"")</f>
        <v>0</v>
      </c>
      <c r="GK23" s="49">
        <f>IFERROR(IF(VLOOKUP(A23,tbMoveset!A2:J112,10,FALSE)=TRUE,IF((Backdoors!AI12+IF(GI23&gt;=0.45,VLOOKUP(Calculator!E23,tbSkills!DH3:DI6,2,FALSE)+IF(AND(Calculator!B8=TRUE,Backdoors!BI30=TRUE),VLOOKUP(Calculator!E23,tbSkills!DH3:DJ6,3,FALSE),0),0))&gt;=0,1+(Backdoors!AL2*(IF((Backdoors!AI12+IF(GI23&gt;=0.45,VLOOKUP(Calculator!E23,tbSkills!DH3:DI6,2,FALSE)+IF(AND(Calculator!B8=TRUE,Backdoors!BI30=TRUE),VLOOKUP(Calculator!E23,tbSkills!DH3:DJ6,3,FALSE),0),0))&gt;=100,100,(Backdoors!AI12+IF(GI23&gt;=0.45,VLOOKUP(Calculator!E23,tbSkills!DH3:DI6,2,FALSE)+IF(AND(Calculator!B8=TRUE,Backdoors!BI30=TRUE),VLOOKUP(Calculator!E23,tbSkills!DH3:DJ6,3,FALSE),0),0)))/100)),(1-(0.25*((-Backdoors!AI12-IF(GI23&gt;=0.45,VLOOKUP(Calculator!E23,tbSkills!DH3:DI6,2,FALSE)+IF(AND(Calculator!B8=TRUE,Backdoors!BI30=TRUE),VLOOKUP(Calculator!E23,tbSkills!DH3:DJ6,3,FALSE),0),0))/100)))),1),"")</f>
        <v>1</v>
      </c>
      <c r="GL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I23)*GK23)*(VLOOKUP(A23,tbMoveset!A2:C112,3,FALSE)/100)*IF(VLOOKUP(A23,tbMoveset!A2:B112,2,FALSE)="Projectile",Backdoors!N10,Backdoors!N9),0),"")</f>
        <v/>
      </c>
      <c r="GM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I23&gt;=0.45,VLOOKUP(Calculator!E23,tbSkills!DH3:DI6,2,FALSE)+IF(AND(Calculator!B8=TRUE,Backdoors!BI30=TRUE),VLOOKUP(Calculator!E23,tbSkills!DH3:DJ6,3,FALSE),0),0))&gt;=100,100,(Backdoors!AI12+IF(GI23&gt;=0.45,VLOOKUP(Calculator!E23,tbSkills!DH3:DI6,2,FALSE)+IF(AND(Calculator!B8=TRUE,Backdoors!BI30=TRUE),VLOOKUP(Calculator!E23,tbSkills!DH3:DJ6,3,FALSE),0),0)))/100)),1))*IF(VLOOKUP(A23,tbMoveset!A2:K112,11,FALSE)=TRUE,Backdoors!AC5,1))*GJ23,0),"")</f>
        <v>0</v>
      </c>
      <c r="GN23" s="49">
        <f>VLOOKUP(A23,tbMoveset!A2:G112,7,FALSE)*IFERROR(IF(Backdoors!AI12&gt;=0,1+(IF(Calculator!E40&gt;0,VLOOKUP(Calculator!E40,tbSkills!AI3:AJ5,2,FALSE),Backdoors!AL4)*(IF((Backdoors!AI12+IF(GI23&gt;=0.45,VLOOKUP(Calculator!E23,tbSkills!DH3:DI6,2,FALSE)+IF(AND(Calculator!B8=TRUE,Backdoors!BI30=TRUE),VLOOKUP(Calculator!E23,tbSkills!DH3:DJ6,3,FALSE),0),0))&gt;=100,100,(Backdoors!AI12+IF(GI23&gt;=0.45,VLOOKUP(Calculator!E23,tbSkills!DH3:DI6,2,FALSE)+IF(AND(Calculator!B8=TRUE,Backdoors!BI30=TRUE),VLOOKUP(Calculator!E23,tbSkills!DH3:DJ6,3,FALSE),0),0)))/100)),1),1)</f>
        <v>1</v>
      </c>
      <c r="GO23" s="87">
        <f t="shared" si="20"/>
        <v>0</v>
      </c>
      <c r="GP23" s="86" t="str">
        <f>IFERROR(IF(VLOOKUP(A23,tbMoveset!A2:B112,2,FALSE)="Sever",Backdoors!AY31/100,IF(VLOOKUP(A23,tbMoveset!A2:B112,2,FALSE)="Blunt",Backdoors!AZ31/100,Backdoors!BA31/100)),"")</f>
        <v/>
      </c>
      <c r="GQ23" s="49">
        <f>IFERROR(IF(VLOOKUP(tbMoveset!A23,tbMoveset!A2:H112,8,FALSE)="Other",IF(VLOOKUP(tbMoveset!A23,tbMoveset!A2:I112,9,FALSE)="Fire",Backdoors!BB31,IF(VLOOKUP(tbMoveset!A23,tbMoveset!A2:I112,9,FALSE)="Water",Backdoors!BC31,IF(VLOOKUP(tbMoveset!A23,tbMoveset!A2:I112,9,FALSE)="Thunder",Backdoors!BD31,IF(VLOOKUP(tbMoveset!A23,tbMoveset!A2:I112,9,FALSE)="Ice",Backdoors!BE31,IF(VLOOKUP(tbMoveset!A23,tbMoveset!A2:I112,9,FALSE)="Dragon",Backdoors!BF31,Backdoors!BG31)))))/100,Backdoors!BG31/100),"")</f>
        <v>0</v>
      </c>
      <c r="GR23" s="49">
        <f>IFERROR(IF(VLOOKUP(A23,tbMoveset!A2:J112,10,FALSE)=TRUE,IF((Backdoors!AI12+IF(GP23&gt;=0.45,VLOOKUP(Calculator!E23,tbSkills!DH3:DI6,2,FALSE)+IF(AND(Calculator!B8=TRUE,Backdoors!BI31=TRUE),VLOOKUP(Calculator!E23,tbSkills!DH3:DJ6,3,FALSE),0),0))&gt;=0,1+(Backdoors!AL2*(IF((Backdoors!AI12+IF(GP23&gt;=0.45,VLOOKUP(Calculator!E23,tbSkills!DH3:DI6,2,FALSE)+IF(AND(Calculator!B8=TRUE,Backdoors!BI31=TRUE),VLOOKUP(Calculator!E23,tbSkills!DH3:DJ6,3,FALSE),0),0))&gt;=100,100,(Backdoors!AI12+IF(GP23&gt;=0.45,VLOOKUP(Calculator!E23,tbSkills!DH3:DI6,2,FALSE)+IF(AND(Calculator!B8=TRUE,Backdoors!BI31=TRUE),VLOOKUP(Calculator!E23,tbSkills!DH3:DJ6,3,FALSE),0),0)))/100)),(1-(0.25*((-Backdoors!AI12-IF(GP23&gt;=0.45,VLOOKUP(Calculator!E23,tbSkills!DH3:DI6,2,FALSE)+IF(AND(Calculator!B8=TRUE,Backdoors!BI31=TRUE),VLOOKUP(Calculator!E23,tbSkills!DH3:DJ6,3,FALSE),0),0))/100)))),1),"")</f>
        <v>1</v>
      </c>
      <c r="GS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P23)*GR23)*(VLOOKUP(A23,tbMoveset!A2:C112,3,FALSE)/100)*IF(VLOOKUP(A23,tbMoveset!A2:B112,2,FALSE)="Projectile",Backdoors!N10,Backdoors!N9),0),"")</f>
        <v/>
      </c>
      <c r="GT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P23&gt;=0.45,VLOOKUP(Calculator!E23,tbSkills!DH3:DI6,2,FALSE)+IF(AND(Calculator!B8=TRUE,Backdoors!BI31=TRUE),VLOOKUP(Calculator!E23,tbSkills!DH3:DJ6,3,FALSE),0),0))&gt;=100,100,(Backdoors!AI12+IF(GP23&gt;=0.45,VLOOKUP(Calculator!E23,tbSkills!DH3:DI6,2,FALSE)+IF(AND(Calculator!B8=TRUE,Backdoors!BI31=TRUE),VLOOKUP(Calculator!E23,tbSkills!DH3:DJ6,3,FALSE),0),0)))/100)),1))*IF(VLOOKUP(A23,tbMoveset!A2:K112,11,FALSE)=TRUE,Backdoors!AC5,1))*GQ23,0),"")</f>
        <v>0</v>
      </c>
      <c r="GU23" s="49">
        <f>VLOOKUP(A23,tbMoveset!A2:G112,7,FALSE)*IFERROR(IF(Backdoors!AI12&gt;=0,1+(IF(Calculator!E40&gt;0,VLOOKUP(Calculator!E40,tbSkills!AI3:AJ5,2,FALSE),Backdoors!AL4)*(IF((Backdoors!AI12+IF(GP23&gt;=0.45,VLOOKUP(Calculator!E23,tbSkills!DH3:DI6,2,FALSE)+IF(AND(Calculator!B8=TRUE,Backdoors!BI31=TRUE),VLOOKUP(Calculator!E23,tbSkills!DH3:DJ6,3,FALSE),0),0))&gt;=100,100,(Backdoors!AI12+IF(GP23&gt;=0.45,VLOOKUP(Calculator!E23,tbSkills!DH3:DI6,2,FALSE)+IF(AND(Calculator!B8=TRUE,Backdoors!BI31=TRUE),VLOOKUP(Calculator!E23,tbSkills!DH3:DJ6,3,FALSE),0),0)))/100)),1),1)</f>
        <v>1</v>
      </c>
      <c r="GV23" s="87">
        <f t="shared" si="21"/>
        <v>0</v>
      </c>
      <c r="GW23" s="86" t="str">
        <f>IFERROR(IF(VLOOKUP(A23,tbMoveset!A2:B112,2,FALSE)="Sever",Backdoors!AY32/100,IF(VLOOKUP(A23,tbMoveset!A2:B112,2,FALSE)="Blunt",Backdoors!AZ32/100,Backdoors!BA32/100)),"")</f>
        <v/>
      </c>
      <c r="GX23" s="49">
        <f>IFERROR(IF(VLOOKUP(tbMoveset!A23,tbMoveset!A2:H112,8,FALSE)="Other",IF(VLOOKUP(tbMoveset!A23,tbMoveset!A2:I112,9,FALSE)="Fire",Backdoors!BB32,IF(VLOOKUP(tbMoveset!A23,tbMoveset!A2:I112,9,FALSE)="Water",Backdoors!BC32,IF(VLOOKUP(tbMoveset!A23,tbMoveset!A2:I112,9,FALSE)="Thunder",Backdoors!BD32,IF(VLOOKUP(tbMoveset!A23,tbMoveset!A2:I112,9,FALSE)="Ice",Backdoors!BE32,IF(VLOOKUP(tbMoveset!A23,tbMoveset!A2:I112,9,FALSE)="Dragon",Backdoors!BF32,Backdoors!BG32)))))/100,Backdoors!BG32/100),"")</f>
        <v>0</v>
      </c>
      <c r="GY23" s="49">
        <f>IFERROR(IF(VLOOKUP(A23,tbMoveset!A2:J112,10,FALSE)=TRUE,IF((Backdoors!AI12+IF(GW23&gt;=0.45,VLOOKUP(Calculator!E23,tbSkills!DH3:DI6,2,FALSE)+IF(AND(Calculator!B8=TRUE,Backdoors!BI32=TRUE),VLOOKUP(Calculator!E23,tbSkills!DH3:DJ6,3,FALSE),0),0))&gt;=0,1+(Backdoors!AL2*(IF((Backdoors!AI12+IF(GW23&gt;=0.45,VLOOKUP(Calculator!E23,tbSkills!DH3:DI6,2,FALSE)+IF(AND(Calculator!B8=TRUE,Backdoors!BI32=TRUE),VLOOKUP(Calculator!E23,tbSkills!DH3:DJ6,3,FALSE),0),0))&gt;=100,100,(Backdoors!AI12+IF(GW23&gt;=0.45,VLOOKUP(Calculator!E23,tbSkills!DH3:DI6,2,FALSE)+IF(AND(Calculator!B8=TRUE,Backdoors!BI32=TRUE),VLOOKUP(Calculator!E23,tbSkills!DH3:DJ6,3,FALSE),0),0)))/100)),(1-(0.25*((-Backdoors!AI12-IF(GW23&gt;=0.45,VLOOKUP(Calculator!E23,tbSkills!DH3:DI6,2,FALSE)+IF(AND(Calculator!B8=TRUE,Backdoors!BI32=TRUE),VLOOKUP(Calculator!E23,tbSkills!DH3:DJ6,3,FALSE),0),0))/100)))),1),"")</f>
        <v>1</v>
      </c>
      <c r="GZ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W23)*GY23)*(VLOOKUP(A23,tbMoveset!A2:C112,3,FALSE)/100)*IF(VLOOKUP(A23,tbMoveset!A2:B112,2,FALSE)="Projectile",Backdoors!N10,Backdoors!N9),0),"")</f>
        <v/>
      </c>
      <c r="HA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W23&gt;=0.45,VLOOKUP(Calculator!E23,tbSkills!DH3:DI6,2,FALSE)+IF(AND(Calculator!B8=TRUE,Backdoors!BI32=TRUE),VLOOKUP(Calculator!E23,tbSkills!DH3:DJ6,3,FALSE),0),0))&gt;=100,100,(Backdoors!AI12+IF(GW23&gt;=0.45,VLOOKUP(Calculator!E23,tbSkills!DH3:DI6,2,FALSE)+IF(AND(Calculator!B8=TRUE,Backdoors!BI32=TRUE),VLOOKUP(Calculator!E23,tbSkills!DH3:DJ6,3,FALSE),0),0)))/100)),1))*IF(VLOOKUP(A23,tbMoveset!A2:K112,11,FALSE)=TRUE,Backdoors!AC5,1))*GX23,0),"")</f>
        <v>0</v>
      </c>
      <c r="HB23" s="49">
        <f>VLOOKUP(A23,tbMoveset!A2:G112,7,FALSE)*IFERROR(IF(Backdoors!AI12&gt;=0,1+(IF(Calculator!E40&gt;0,VLOOKUP(Calculator!E40,tbSkills!AI3:AJ5,2,FALSE),Backdoors!AL4)*(IF((Backdoors!AI12+IF(GW23&gt;=0.45,VLOOKUP(Calculator!E23,tbSkills!DH3:DI6,2,FALSE)+IF(AND(Calculator!B8=TRUE,Backdoors!BI32=TRUE),VLOOKUP(Calculator!E23,tbSkills!DH3:DJ6,3,FALSE),0),0))&gt;=100,100,(Backdoors!AI12+IF(GW23&gt;=0.45,VLOOKUP(Calculator!E23,tbSkills!DH3:DI6,2,FALSE)+IF(AND(Calculator!B8=TRUE,Backdoors!BI32=TRUE),VLOOKUP(Calculator!E23,tbSkills!DH3:DJ6,3,FALSE),0),0)))/100)),1),1)</f>
        <v>1</v>
      </c>
      <c r="HC23" s="87">
        <f t="shared" si="22"/>
        <v>0</v>
      </c>
      <c r="HD23" s="86" t="str">
        <f>IFERROR(IF(VLOOKUP(A23,tbMoveset!A2:B112,2,FALSE)="Sever",Backdoors!AY33/100,IF(VLOOKUP(A23,tbMoveset!A2:B112,2,FALSE)="Blunt",Backdoors!AZ33/100,Backdoors!BA33/100)),"")</f>
        <v/>
      </c>
      <c r="HE23" s="49">
        <f>IFERROR(IF(VLOOKUP(tbMoveset!A23,tbMoveset!A2:H112,8,FALSE)="Other",IF(VLOOKUP(tbMoveset!A23,tbMoveset!A2:I112,9,FALSE)="Fire",Backdoors!BB33,IF(VLOOKUP(tbMoveset!A23,tbMoveset!A2:I112,9,FALSE)="Water",Backdoors!BC33,IF(VLOOKUP(tbMoveset!A23,tbMoveset!A2:I112,9,FALSE)="Thunder",Backdoors!BD33,IF(VLOOKUP(tbMoveset!A23,tbMoveset!A2:I112,9,FALSE)="Ice",Backdoors!BE33,IF(VLOOKUP(tbMoveset!A23,tbMoveset!A2:I112,9,FALSE)="Dragon",Backdoors!BF33,Backdoors!BG33)))))/100,Backdoors!BG33/100),"")</f>
        <v>0</v>
      </c>
      <c r="HF23" s="49">
        <f>IFERROR(IF(VLOOKUP(A23,tbMoveset!A2:J112,10,FALSE)=TRUE,IF((Backdoors!AI12+IF(HD23&gt;=0.45,VLOOKUP(Calculator!E23,tbSkills!DH3:DI6,2,FALSE)+IF(AND(Calculator!B8=TRUE,Backdoors!BI33=TRUE),VLOOKUP(Calculator!E23,tbSkills!DH3:DJ6,3,FALSE),0),0))&gt;=0,1+(Backdoors!AL2*(IF((Backdoors!AI12+IF(HD23&gt;=0.45,VLOOKUP(Calculator!E23,tbSkills!DH3:DI6,2,FALSE)+IF(AND(Calculator!B8=TRUE,Backdoors!BI33=TRUE),VLOOKUP(Calculator!E23,tbSkills!DH3:DJ6,3,FALSE),0),0))&gt;=100,100,(Backdoors!AI12+IF(HD23&gt;=0.45,VLOOKUP(Calculator!E23,tbSkills!DH3:DI6,2,FALSE)+IF(AND(Calculator!B8=TRUE,Backdoors!BI33=TRUE),VLOOKUP(Calculator!E23,tbSkills!DH3:DJ6,3,FALSE),0),0)))/100)),(1-(0.25*((-Backdoors!AI12-IF(HD23&gt;=0.45,VLOOKUP(Calculator!E23,tbSkills!DH3:DI6,2,FALSE)+IF(AND(Calculator!B8=TRUE,Backdoors!BI33=TRUE),VLOOKUP(Calculator!E23,tbSkills!DH3:DJ6,3,FALSE),0),0))/100)))),1),"")</f>
        <v>1</v>
      </c>
      <c r="HG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D23)*HF23)*(VLOOKUP(A23,tbMoveset!A2:C112,3,FALSE)/100)*IF(VLOOKUP(A23,tbMoveset!A2:B112,2,FALSE)="Projectile",Backdoors!N10,Backdoors!N9),0),"")</f>
        <v/>
      </c>
      <c r="HH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D23&gt;=0.45,VLOOKUP(Calculator!E23,tbSkills!DH3:DI6,2,FALSE)+IF(AND(Calculator!B8=TRUE,Backdoors!BI33=TRUE),VLOOKUP(Calculator!E23,tbSkills!DH3:DJ6,3,FALSE),0),0))&gt;=100,100,(Backdoors!AI12+IF(HD23&gt;=0.45,VLOOKUP(Calculator!E23,tbSkills!DH3:DI6,2,FALSE)+IF(AND(Calculator!B8=TRUE,Backdoors!BI33=TRUE),VLOOKUP(Calculator!E23,tbSkills!DH3:DJ6,3,FALSE),0),0)))/100)),1))*IF(VLOOKUP(A23,tbMoveset!A2:K112,11,FALSE)=TRUE,Backdoors!AC5,1))*HE23,0),"")</f>
        <v>0</v>
      </c>
      <c r="HI23" s="49">
        <f>VLOOKUP(A23,tbMoveset!A2:G112,7,FALSE)*IFERROR(IF(Backdoors!AI12&gt;=0,1+(IF(Calculator!E40&gt;0,VLOOKUP(Calculator!E40,tbSkills!AI3:AJ5,2,FALSE),Backdoors!AL4)*(IF((Backdoors!AI12+IF(HD23&gt;=0.45,VLOOKUP(Calculator!E23,tbSkills!DH3:DI6,2,FALSE)+IF(AND(Calculator!B8=TRUE,Backdoors!BI33=TRUE),VLOOKUP(Calculator!E23,tbSkills!DH3:DJ6,3,FALSE),0),0))&gt;=100,100,(Backdoors!AI12+IF(HD23&gt;=0.45,VLOOKUP(Calculator!E23,tbSkills!DH3:DI6,2,FALSE)+IF(AND(Calculator!B8=TRUE,Backdoors!BI33=TRUE),VLOOKUP(Calculator!E23,tbSkills!DH3:DJ6,3,FALSE),0),0)))/100)),1),1)</f>
        <v>1</v>
      </c>
      <c r="HJ23" s="87">
        <f t="shared" si="23"/>
        <v>0</v>
      </c>
      <c r="HK23" s="86" t="str">
        <f>IFERROR(IF(VLOOKUP(A23,tbMoveset!A2:B112,2,FALSE)="Sever",Backdoors!AY34/100,IF(VLOOKUP(A23,tbMoveset!A2:B112,2,FALSE)="Blunt",Backdoors!AZ34/100,Backdoors!BA34/100)),"")</f>
        <v/>
      </c>
      <c r="HL23" s="49">
        <f>IFERROR(IF(VLOOKUP(tbMoveset!A23,tbMoveset!A2:H112,8,FALSE)="Other",IF(VLOOKUP(tbMoveset!A23,tbMoveset!A2:I112,9,FALSE)="Fire",Backdoors!BB34,IF(VLOOKUP(tbMoveset!A23,tbMoveset!A2:I112,9,FALSE)="Water",Backdoors!BC34,IF(VLOOKUP(tbMoveset!A23,tbMoveset!A2:I112,9,FALSE)="Thunder",Backdoors!BD34,IF(VLOOKUP(tbMoveset!A23,tbMoveset!A2:I112,9,FALSE)="Ice",Backdoors!BE34,IF(VLOOKUP(tbMoveset!A23,tbMoveset!A2:I112,9,FALSE)="Dragon",Backdoors!BF34,Backdoors!BG34)))))/100,Backdoors!BG34/100),"")</f>
        <v>0</v>
      </c>
      <c r="HM23" s="49">
        <f>IFERROR(IF(VLOOKUP(A23,tbMoveset!A2:J112,10,FALSE)=TRUE,IF((Backdoors!AI12+IF(HK23&gt;=0.45,VLOOKUP(Calculator!E23,tbSkills!DH3:DI6,2,FALSE)+IF(AND(Calculator!B8=TRUE,Backdoors!BI34=TRUE),VLOOKUP(Calculator!E23,tbSkills!DH3:DJ6,3,FALSE),0),0))&gt;=0,1+(Backdoors!AL2*(IF((Backdoors!AI12+IF(HK23&gt;=0.45,VLOOKUP(Calculator!E23,tbSkills!DH3:DI6,2,FALSE)+IF(AND(Calculator!B8=TRUE,Backdoors!BI34=TRUE),VLOOKUP(Calculator!E23,tbSkills!DH3:DJ6,3,FALSE),0),0))&gt;=100,100,(Backdoors!AI12+IF(HK23&gt;=0.45,VLOOKUP(Calculator!E23,tbSkills!DH3:DI6,2,FALSE)+IF(AND(Calculator!B8=TRUE,Backdoors!BI34=TRUE),VLOOKUP(Calculator!E23,tbSkills!DH3:DJ6,3,FALSE),0),0)))/100)),(1-(0.25*((-Backdoors!AI12-IF(HK23&gt;=0.45,VLOOKUP(Calculator!E23,tbSkills!DH3:DI6,2,FALSE)+IF(AND(Calculator!B8=TRUE,Backdoors!BI34=TRUE),VLOOKUP(Calculator!E23,tbSkills!DH3:DJ6,3,FALSE),0),0))/100)))),1),"")</f>
        <v>1</v>
      </c>
      <c r="HN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K23)*HM23)*(VLOOKUP(A23,tbMoveset!A2:C112,3,FALSE)/100)*IF(VLOOKUP(A23,tbMoveset!A2:B112,2,FALSE)="Projectile",Backdoors!N10,Backdoors!N9),0),"")</f>
        <v/>
      </c>
      <c r="HO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K23&gt;=0.45,VLOOKUP(Calculator!E23,tbSkills!DH3:DI6,2,FALSE)+IF(AND(Calculator!B8=TRUE,Backdoors!BI34=TRUE),VLOOKUP(Calculator!E23,tbSkills!DH3:DJ6,3,FALSE),0),0))&gt;=100,100,(Backdoors!AI12+IF(HK23&gt;=0.45,VLOOKUP(Calculator!E23,tbSkills!DH3:DI6,2,FALSE)+IF(AND(Calculator!B8=TRUE,Backdoors!BI34=TRUE),VLOOKUP(Calculator!E23,tbSkills!DH3:DJ6,3,FALSE),0),0)))/100)),1))*IF(VLOOKUP(A23,tbMoveset!A2:K112,11,FALSE)=TRUE,Backdoors!AC5,1))*HL23,0),"")</f>
        <v>0</v>
      </c>
      <c r="HP23" s="49">
        <f>VLOOKUP(A23,tbMoveset!A2:G112,7,FALSE)*IFERROR(IF(Backdoors!AI12&gt;=0,1+(IF(Calculator!E40&gt;0,VLOOKUP(Calculator!E40,tbSkills!AI3:AJ5,2,FALSE),Backdoors!AL4)*(IF((Backdoors!AI12+IF(HK23&gt;=0.45,VLOOKUP(Calculator!E23,tbSkills!DH3:DI6,2,FALSE)+IF(AND(Calculator!B8=TRUE,Backdoors!BI34=TRUE),VLOOKUP(Calculator!E23,tbSkills!DH3:DJ6,3,FALSE),0),0))&gt;=100,100,(Backdoors!AI12+IF(HK23&gt;=0.45,VLOOKUP(Calculator!E23,tbSkills!DH3:DI6,2,FALSE)+IF(AND(Calculator!B8=TRUE,Backdoors!BI34=TRUE),VLOOKUP(Calculator!E23,tbSkills!DH3:DJ6,3,FALSE),0),0)))/100)),1),1)</f>
        <v>1</v>
      </c>
      <c r="HQ23" s="87">
        <f t="shared" si="24"/>
        <v>0</v>
      </c>
      <c r="HR23" s="86" t="str">
        <f>IFERROR(IF(VLOOKUP(A23,tbMoveset!A2:B112,2,FALSE)="Sever",Backdoors!AY35/100,IF(VLOOKUP(A23,tbMoveset!A2:B112,2,FALSE)="Blunt",Backdoors!AZ35/100,Backdoors!BA35/100)),"")</f>
        <v/>
      </c>
      <c r="HS23" s="49">
        <f>IFERROR(IF(VLOOKUP(tbMoveset!A23,tbMoveset!A2:H112,8,FALSE)="Other",IF(VLOOKUP(tbMoveset!A23,tbMoveset!A2:I112,9,FALSE)="Fire",Backdoors!BB35,IF(VLOOKUP(tbMoveset!A23,tbMoveset!A2:I112,9,FALSE)="Water",Backdoors!BC35,IF(VLOOKUP(tbMoveset!A23,tbMoveset!A2:I112,9,FALSE)="Thunder",Backdoors!BD35,IF(VLOOKUP(tbMoveset!A23,tbMoveset!A2:I112,9,FALSE)="Ice",Backdoors!BE35,IF(VLOOKUP(tbMoveset!A23,tbMoveset!A2:I112,9,FALSE)="Dragon",Backdoors!BF35,Backdoors!BG35)))))/100,Backdoors!BG35/100),"")</f>
        <v>0</v>
      </c>
      <c r="HT23" s="49">
        <f>IFERROR(IF(VLOOKUP(A23,tbMoveset!A2:J112,10,FALSE)=TRUE,IF((Backdoors!AI12+IF(HR23&gt;=0.45,VLOOKUP(Calculator!E23,tbSkills!DH3:DI6,2,FALSE)+IF(AND(Calculator!B8=TRUE,Backdoors!BI35=TRUE),VLOOKUP(Calculator!E23,tbSkills!DH3:DJ6,3,FALSE),0),0))&gt;=0,1+(Backdoors!AL2*(IF((Backdoors!AI12+IF(HR23&gt;=0.45,VLOOKUP(Calculator!E23,tbSkills!DH3:DI6,2,FALSE)+IF(AND(Calculator!B8=TRUE,Backdoors!BI35=TRUE),VLOOKUP(Calculator!E23,tbSkills!DH3:DJ6,3,FALSE),0),0))&gt;=100,100,(Backdoors!AI12+IF(HR23&gt;=0.45,VLOOKUP(Calculator!E23,tbSkills!DH3:DI6,2,FALSE)+IF(AND(Calculator!B8=TRUE,Backdoors!BI35=TRUE),VLOOKUP(Calculator!E23,tbSkills!DH3:DJ6,3,FALSE),0),0)))/100)),(1-(0.25*((-Backdoors!AI12-IF(HR23&gt;=0.45,VLOOKUP(Calculator!E23,tbSkills!DH3:DI6,2,FALSE)+IF(AND(Calculator!B8=TRUE,Backdoors!BI35=TRUE),VLOOKUP(Calculator!E23,tbSkills!DH3:DJ6,3,FALSE),0),0))/100)))),1),"")</f>
        <v>1</v>
      </c>
      <c r="HU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R23)*HT23)*(VLOOKUP(A23,tbMoveset!A2:C112,3,FALSE)/100)*IF(VLOOKUP(A23,tbMoveset!A2:B112,2,FALSE)="Projectile",Backdoors!N10,Backdoors!N9),0),"")</f>
        <v/>
      </c>
      <c r="HV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R23&gt;=0.45,VLOOKUP(Calculator!E23,tbSkills!DH3:DI6,2,FALSE)+IF(AND(Calculator!B8=TRUE,Backdoors!BI35=TRUE),VLOOKUP(Calculator!E23,tbSkills!DH3:DJ6,3,FALSE),0),0))&gt;=100,100,(Backdoors!AI12+IF(HR23&gt;=0.45,VLOOKUP(Calculator!E23,tbSkills!DH3:DI6,2,FALSE)+IF(AND(Calculator!B8=TRUE,Backdoors!BI35=TRUE),VLOOKUP(Calculator!E23,tbSkills!DH3:DJ6,3,FALSE),0),0)))/100)),1))*IF(VLOOKUP(A23,tbMoveset!A2:K112,11,FALSE)=TRUE,Backdoors!AC5,1))*HS23,0),"")</f>
        <v>0</v>
      </c>
      <c r="HW23" s="49">
        <f>VLOOKUP(A23,tbMoveset!A2:G112,7,FALSE)*IFERROR(IF(Backdoors!AI12&gt;=0,1+(IF(Calculator!E40&gt;0,VLOOKUP(Calculator!E40,tbSkills!AI3:AJ5,2,FALSE),Backdoors!AL4)*(IF((Backdoors!AI12+IF(HR23&gt;=0.45,VLOOKUP(Calculator!E23,tbSkills!DH3:DI6,2,FALSE)+IF(AND(Calculator!B8=TRUE,Backdoors!BI35=TRUE),VLOOKUP(Calculator!E23,tbSkills!DH3:DJ6,3,FALSE),0),0))&gt;=100,100,(Backdoors!AI12+IF(HR23&gt;=0.45,VLOOKUP(Calculator!E23,tbSkills!DH3:DI6,2,FALSE)+IF(AND(Calculator!B8=TRUE,Backdoors!BI35=TRUE),VLOOKUP(Calculator!E23,tbSkills!DH3:DJ6,3,FALSE),0),0)))/100)),1),1)</f>
        <v>1</v>
      </c>
      <c r="HX23" s="87">
        <f t="shared" si="25"/>
        <v>0</v>
      </c>
      <c r="HY23" s="86" t="str">
        <f>IFERROR(IF(VLOOKUP(A23,tbMoveset!A2:B112,2,FALSE)="Sever",Backdoors!AY36/100,IF(VLOOKUP(A23,tbMoveset!A2:B112,2,FALSE)="Blunt",Backdoors!AZ36/100,Backdoors!BA36/100)),"")</f>
        <v/>
      </c>
      <c r="HZ23" s="49">
        <f>IFERROR(IF(VLOOKUP(tbMoveset!A23,tbMoveset!A2:H112,8,FALSE)="Other",IF(VLOOKUP(tbMoveset!A23,tbMoveset!A2:I112,9,FALSE)="Fire",Backdoors!BB36,IF(VLOOKUP(tbMoveset!A23,tbMoveset!A2:I112,9,FALSE)="Water",Backdoors!BC36,IF(VLOOKUP(tbMoveset!A23,tbMoveset!A2:I112,9,FALSE)="Thunder",Backdoors!BD36,IF(VLOOKUP(tbMoveset!A23,tbMoveset!A2:I112,9,FALSE)="Ice",Backdoors!BE36,IF(VLOOKUP(tbMoveset!A23,tbMoveset!A2:I112,9,FALSE)="Dragon",Backdoors!BF36,Backdoors!BG36)))))/100,Backdoors!BG36/100),"")</f>
        <v>0</v>
      </c>
      <c r="IA23" s="49">
        <f>IFERROR(IF(VLOOKUP(A23,tbMoveset!A2:J112,10,FALSE)=TRUE,IF((Backdoors!AI12+IF(HY23&gt;=0.45,VLOOKUP(Calculator!E23,tbSkills!DH3:DI6,2,FALSE)+IF(AND(Calculator!B8=TRUE,Backdoors!BI36=TRUE),VLOOKUP(Calculator!E23,tbSkills!DH3:DJ6,3,FALSE),0),0))&gt;=0,1+(Backdoors!AL2*(IF((Backdoors!AI12+IF(HY23&gt;=0.45,VLOOKUP(Calculator!E23,tbSkills!DH3:DI6,2,FALSE)+IF(AND(Calculator!B8=TRUE,Backdoors!BI36=TRUE),VLOOKUP(Calculator!E23,tbSkills!DH3:DJ6,3,FALSE),0),0))&gt;=100,100,(Backdoors!AI12+IF(HY23&gt;=0.45,VLOOKUP(Calculator!E23,tbSkills!DH3:DI6,2,FALSE)+IF(AND(Calculator!B8=TRUE,Backdoors!BI36=TRUE),VLOOKUP(Calculator!E23,tbSkills!DH3:DJ6,3,FALSE),0),0)))/100)),(1-(0.25*((-Backdoors!AI12-IF(HY23&gt;=0.45,VLOOKUP(Calculator!E23,tbSkills!DH3:DI6,2,FALSE)+IF(AND(Calculator!B8=TRUE,Backdoors!BI36=TRUE),VLOOKUP(Calculator!E23,tbSkills!DH3:DJ6,3,FALSE),0),0))/100)))),1),"")</f>
        <v>1</v>
      </c>
      <c r="IB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Y23)*IA23)*(VLOOKUP(A23,tbMoveset!A2:C112,3,FALSE)/100)*IF(VLOOKUP(A23,tbMoveset!A2:B112,2,FALSE)="Projectile",Backdoors!N10,Backdoors!N9),0),"")</f>
        <v/>
      </c>
      <c r="IC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Y23&gt;=0.45,VLOOKUP(Calculator!E23,tbSkills!DH3:DI6,2,FALSE)+IF(AND(Calculator!B8=TRUE,Backdoors!BI36=TRUE),VLOOKUP(Calculator!E23,tbSkills!DH3:DJ6,3,FALSE),0),0))&gt;=100,100,(Backdoors!AI12+IF(HY23&gt;=0.45,VLOOKUP(Calculator!E23,tbSkills!DH3:DI6,2,FALSE)+IF(AND(Calculator!B8=TRUE,Backdoors!BI36=TRUE),VLOOKUP(Calculator!E23,tbSkills!DH3:DJ6,3,FALSE),0),0)))/100)),1))*IF(VLOOKUP(A23,tbMoveset!A2:K112,11,FALSE)=TRUE,Backdoors!AC5,1))*HZ23,0),"")</f>
        <v>0</v>
      </c>
      <c r="ID23" s="49">
        <f>VLOOKUP(A23,tbMoveset!A2:G112,7,FALSE)*IFERROR(IF(Backdoors!AI12&gt;=0,1+(IF(Calculator!E40&gt;0,VLOOKUP(Calculator!E40,tbSkills!AI3:AJ5,2,FALSE),Backdoors!AL4)*(IF((Backdoors!AI12+IF(HY23&gt;=0.45,VLOOKUP(Calculator!E23,tbSkills!DH3:DI6,2,FALSE)+IF(AND(Calculator!B8=TRUE,Backdoors!BI36=TRUE),VLOOKUP(Calculator!E23,tbSkills!DH3:DJ6,3,FALSE),0),0))&gt;=100,100,(Backdoors!AI12+IF(HY23&gt;=0.45,VLOOKUP(Calculator!E23,tbSkills!DH3:DI6,2,FALSE)+IF(AND(Calculator!B8=TRUE,Backdoors!BI36=TRUE),VLOOKUP(Calculator!E23,tbSkills!DH3:DJ6,3,FALSE),0),0)))/100)),1),1)</f>
        <v>1</v>
      </c>
      <c r="IE23" s="87">
        <f t="shared" si="26"/>
        <v>0</v>
      </c>
      <c r="IF23" s="86" t="str">
        <f>IFERROR(IF(VLOOKUP(A23,tbMoveset!A2:B112,2,FALSE)="Sever",Backdoors!AY37/100,IF(VLOOKUP(A23,tbMoveset!A2:B112,2,FALSE)="Blunt",Backdoors!AZ37/100,Backdoors!BA37/100)),"")</f>
        <v/>
      </c>
      <c r="IG23" s="49">
        <f>IFERROR(IF(VLOOKUP(tbMoveset!A23,tbMoveset!A2:H112,8,FALSE)="Other",IF(VLOOKUP(tbMoveset!A23,tbMoveset!A2:I112,9,FALSE)="Fire",Backdoors!BB37,IF(VLOOKUP(tbMoveset!A23,tbMoveset!A2:I112,9,FALSE)="Water",Backdoors!BC37,IF(VLOOKUP(tbMoveset!A23,tbMoveset!A2:I112,9,FALSE)="Thunder",Backdoors!BD37,IF(VLOOKUP(tbMoveset!A23,tbMoveset!A2:I112,9,FALSE)="Ice",Backdoors!BE37,IF(VLOOKUP(tbMoveset!A23,tbMoveset!A2:I112,9,FALSE)="Dragon",Backdoors!BF37,Backdoors!BG37)))))/100,Backdoors!BG37/100),"")</f>
        <v>0</v>
      </c>
      <c r="IH23" s="49">
        <f>IFERROR(IF(VLOOKUP(A23,tbMoveset!A2:J112,10,FALSE)=TRUE,IF((Backdoors!AI12+IF(IF23&gt;=0.45,VLOOKUP(Calculator!E23,tbSkills!DH3:DI6,2,FALSE)+IF(AND(Calculator!B8=TRUE,Backdoors!BI37=TRUE),VLOOKUP(Calculator!E23,tbSkills!DH3:DJ6,3,FALSE),0),0))&gt;=0,1+(Backdoors!AL2*(IF((Backdoors!AI12+IF(IF23&gt;=0.45,VLOOKUP(Calculator!E23,tbSkills!DH3:DI6,2,FALSE)+IF(AND(Calculator!B8=TRUE,Backdoors!BI37=TRUE),VLOOKUP(Calculator!E23,tbSkills!DH3:DJ6,3,FALSE),0),0))&gt;=100,100,(Backdoors!AI12+IF(IF23&gt;=0.45,VLOOKUP(Calculator!E23,tbSkills!DH3:DI6,2,FALSE)+IF(AND(Calculator!B8=TRUE,Backdoors!BI37=TRUE),VLOOKUP(Calculator!E23,tbSkills!DH3:DJ6,3,FALSE),0),0)))/100)),(1-(0.25*((-Backdoors!AI12-IF(IF23&gt;=0.45,VLOOKUP(Calculator!E23,tbSkills!DH3:DI6,2,FALSE)+IF(AND(Calculator!B8=TRUE,Backdoors!BI37=TRUE),VLOOKUP(Calculator!E23,tbSkills!DH3:DJ6,3,FALSE),0),0))/100)))),1),"")</f>
        <v>1</v>
      </c>
      <c r="II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F23)*IH23)*(VLOOKUP(A23,tbMoveset!A2:C112,3,FALSE)/100)*IF(VLOOKUP(A23,tbMoveset!A2:B112,2,FALSE)="Projectile",Backdoors!N10,Backdoors!N9),0),"")</f>
        <v/>
      </c>
      <c r="IJ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IF23&gt;=0.45,VLOOKUP(Calculator!E23,tbSkills!DH3:DI6,2,FALSE)+IF(AND(Calculator!B8=TRUE,Backdoors!BI37=TRUE),VLOOKUP(Calculator!E23,tbSkills!DH3:DJ6,3,FALSE),0),0))&gt;=100,100,(Backdoors!AI12+IF(IF23&gt;=0.45,VLOOKUP(Calculator!E23,tbSkills!DH3:DI6,2,FALSE)+IF(AND(Calculator!B8=TRUE,Backdoors!BI37=TRUE),VLOOKUP(Calculator!E23,tbSkills!DH3:DJ6,3,FALSE),0),0)))/100)),1))*IF(VLOOKUP(A23,tbMoveset!A2:K112,11,FALSE)=TRUE,Backdoors!AC5,1))*IG23,0),"")</f>
        <v>0</v>
      </c>
      <c r="IK23" s="49">
        <f>VLOOKUP(A23,tbMoveset!A2:G112,7,FALSE)*IFERROR(IF(Backdoors!AI12&gt;=0,1+(IF(Calculator!E40&gt;0,VLOOKUP(Calculator!E40,tbSkills!AI3:AJ5,2,FALSE),Backdoors!AL4)*(IF((Backdoors!AI12+IF(IF23&gt;=0.45,VLOOKUP(Calculator!E23,tbSkills!DH3:DI6,2,FALSE)+IF(AND(Calculator!B8=TRUE,Backdoors!BI37=TRUE),VLOOKUP(Calculator!E23,tbSkills!DH3:DJ6,3,FALSE),0),0))&gt;=100,100,(Backdoors!AI12+IF(IF23&gt;=0.45,VLOOKUP(Calculator!E23,tbSkills!DH3:DI6,2,FALSE)+IF(AND(Calculator!B8=TRUE,Backdoors!BI37=TRUE),VLOOKUP(Calculator!E23,tbSkills!DH3:DJ6,3,FALSE),0),0)))/100)),1),1)</f>
        <v>1</v>
      </c>
      <c r="IL23" s="87">
        <f t="shared" si="27"/>
        <v>0</v>
      </c>
      <c r="IM23" s="86" t="str">
        <f>IFERROR(IF(VLOOKUP(A23,tbMoveset!A2:B112,2,FALSE)="Sever",Backdoors!AY38/100,IF(VLOOKUP(A23,tbMoveset!A2:B112,2,FALSE)="Blunt",Backdoors!AZ38/100,Backdoors!BA38/100)),"")</f>
        <v/>
      </c>
      <c r="IN23" s="49">
        <f>IFERROR(IF(VLOOKUP(tbMoveset!A23,tbMoveset!A2:H112,8,FALSE)="Other",IF(VLOOKUP(tbMoveset!A23,tbMoveset!A2:I112,9,FALSE)="Fire",Backdoors!BB38,IF(VLOOKUP(tbMoveset!A23,tbMoveset!A2:I112,9,FALSE)="Water",Backdoors!BC38,IF(VLOOKUP(tbMoveset!A23,tbMoveset!A2:I112,9,FALSE)="Thunder",Backdoors!BD38,IF(VLOOKUP(tbMoveset!A23,tbMoveset!A2:I112,9,FALSE)="Ice",Backdoors!BE38,IF(VLOOKUP(tbMoveset!A23,tbMoveset!A2:I112,9,FALSE)="Dragon",Backdoors!BF38,Backdoors!BG38)))))/100,Backdoors!BG38/100),"")</f>
        <v>0</v>
      </c>
      <c r="IO23" s="49">
        <f>IFERROR(IF(VLOOKUP(A23,tbMoveset!A2:J112,10,FALSE)=TRUE,IF((Backdoors!AI12+IF(IM23&gt;=0.45,VLOOKUP(Calculator!E23,tbSkills!DH3:DI6,2,FALSE)+IF(AND(Calculator!B8=TRUE,Backdoors!BI38=TRUE),VLOOKUP(Calculator!E23,tbSkills!DH3:DJ6,3,FALSE),0),0))&gt;=0,1+(Backdoors!AL2*(IF((Backdoors!AI12+IF(IM23&gt;=0.45,VLOOKUP(Calculator!E23,tbSkills!DH3:DI6,2,FALSE)+IF(AND(Calculator!B8=TRUE,Backdoors!BI38=TRUE),VLOOKUP(Calculator!E23,tbSkills!DH3:DJ6,3,FALSE),0),0))&gt;=100,100,(Backdoors!AI12+IF(IM23&gt;=0.45,VLOOKUP(Calculator!E23,tbSkills!DH3:DI6,2,FALSE)+IF(AND(Calculator!B8=TRUE,Backdoors!BI38=TRUE),VLOOKUP(Calculator!E23,tbSkills!DH3:DJ6,3,FALSE),0),0)))/100)),(1-(0.25*((-Backdoors!AI12-IF(IM23&gt;=0.45,VLOOKUP(Calculator!E23,tbSkills!DH3:DI6,2,FALSE)+IF(AND(Calculator!B8=TRUE,Backdoors!BI38=TRUE),VLOOKUP(Calculator!E23,tbSkills!DH3:DJ6,3,FALSE),0),0))/100)))),1),"")</f>
        <v>1</v>
      </c>
      <c r="IP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M23)*IO23)*(VLOOKUP(A23,tbMoveset!A2:C112,3,FALSE)/100)*IF(VLOOKUP(A23,tbMoveset!A2:B112,2,FALSE)="Projectile",Backdoors!N10,Backdoors!N9),0),"")</f>
        <v/>
      </c>
      <c r="IQ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IM23&gt;=0.45,VLOOKUP(Calculator!E23,tbSkills!DH3:DI6,2,FALSE)+IF(AND(Calculator!B8=TRUE,Backdoors!BI38=TRUE),VLOOKUP(Calculator!E23,tbSkills!DH3:DJ6,3,FALSE),0),0))&gt;=100,100,(Backdoors!AI12+IF(IM23&gt;=0.45,VLOOKUP(Calculator!E23,tbSkills!DH3:DI6,2,FALSE)+IF(AND(Calculator!B8=TRUE,Backdoors!BI38=TRUE),VLOOKUP(Calculator!E23,tbSkills!DH3:DJ6,3,FALSE),0),0)))/100)),1))*IF(VLOOKUP(A23,tbMoveset!A2:K112,11,FALSE)=TRUE,Backdoors!AC5,1))*IN23,0),"")</f>
        <v>0</v>
      </c>
      <c r="IR23" s="49">
        <f>VLOOKUP(A23,tbMoveset!A2:G112,7,FALSE)*IFERROR(IF(Backdoors!AI12&gt;=0,1+(IF(Calculator!E40&gt;0,VLOOKUP(Calculator!E40,tbSkills!AI3:AJ5,2,FALSE),Backdoors!AL4)*(IF((Backdoors!AI12+IF(IM23&gt;=0.45,VLOOKUP(Calculator!E23,tbSkills!DH3:DI6,2,FALSE)+IF(AND(Calculator!B8=TRUE,Backdoors!BI38=TRUE),VLOOKUP(Calculator!E23,tbSkills!DH3:DJ6,3,FALSE),0),0))&gt;=100,100,(Backdoors!AI12+IF(IM23&gt;=0.45,VLOOKUP(Calculator!E23,tbSkills!DH3:DI6,2,FALSE)+IF(AND(Calculator!B8=TRUE,Backdoors!BI38=TRUE),VLOOKUP(Calculator!E23,tbSkills!DH3:DJ6,3,FALSE),0),0)))/100)),1),1)</f>
        <v>1</v>
      </c>
      <c r="IS23" s="87">
        <f t="shared" si="42"/>
        <v>0</v>
      </c>
      <c r="IT23" s="86" t="str">
        <f>IFERROR(IF(VLOOKUP(A23,tbMoveset!A2:B112,2,FALSE)="Sever",Backdoors!AY39/100,IF(VLOOKUP(A23,tbMoveset!A2:B112,2,FALSE)="Blunt",Backdoors!AZ39/100,Backdoors!BA39/100)),"")</f>
        <v/>
      </c>
      <c r="IU23" s="49">
        <f>IFERROR(IF(VLOOKUP(tbMoveset!A23,tbMoveset!A2:H112,8,FALSE)="Other",IF(VLOOKUP(tbMoveset!A23,tbMoveset!A2:I112,9,FALSE)="Fire",Backdoors!BB39,IF(VLOOKUP(tbMoveset!A23,tbMoveset!A2:I112,9,FALSE)="Water",Backdoors!BC39,IF(VLOOKUP(tbMoveset!A23,tbMoveset!A2:I112,9,FALSE)="Thunder",Backdoors!BD39,IF(VLOOKUP(tbMoveset!A23,tbMoveset!A2:I112,9,FALSE)="Ice",Backdoors!BE39,IF(VLOOKUP(tbMoveset!A23,tbMoveset!A2:I112,9,FALSE)="Dragon",Backdoors!BF39,Backdoors!BG39)))))/100,Backdoors!BG39/100),"")</f>
        <v>0</v>
      </c>
      <c r="IV23" s="49">
        <f>IFERROR(IF(VLOOKUP(A23,tbMoveset!A2:J112,10,FALSE)=TRUE,IF((Backdoors!AI12+IF(IT23&gt;=0.45,VLOOKUP(Calculator!E23,tbSkills!DH3:DI6,2,FALSE)+IF(AND(Calculator!B8=TRUE,Backdoors!BI39=TRUE),VLOOKUP(Calculator!E23,tbSkills!DH3:DJ6,3,FALSE),0),0))&gt;=0,1+(Backdoors!AL2*(IF((Backdoors!AI12+IF(IT23&gt;=0.45,VLOOKUP(Calculator!E23,tbSkills!DH3:DI6,2,FALSE)+IF(AND(Calculator!B8=TRUE,Backdoors!BI39=TRUE),VLOOKUP(Calculator!E23,tbSkills!DH3:DJ6,3,FALSE),0),0))&gt;=100,100,(Backdoors!AI12+IF(IT23&gt;=0.45,VLOOKUP(Calculator!E23,tbSkills!DH3:DI6,2,FALSE)+IF(AND(Calculator!B8=TRUE,Backdoors!BI39=TRUE),VLOOKUP(Calculator!E23,tbSkills!DH3:DJ6,3,FALSE),0),0)))/100)),(1-(0.25*((-Backdoors!AI12-IF(IT23&gt;=0.45,VLOOKUP(Calculator!E23,tbSkills!DH3:DI6,2,FALSE)+IF(AND(Calculator!B8=TRUE,Backdoors!BI39=TRUE),VLOOKUP(Calculator!E23,tbSkills!DH3:DJ6,3,FALSE),0),0))/100)))),1),"")</f>
        <v>1</v>
      </c>
      <c r="IW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T23)*IV23)*(VLOOKUP(A23,tbMoveset!A2:C112,3,FALSE)/100)*IF(VLOOKUP(A23,tbMoveset!A2:B112,2,FALSE)="Projectile",Backdoors!N10,Backdoors!N9),0),"")</f>
        <v/>
      </c>
      <c r="IX23" s="49">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40&gt;0,VLOOKUP(Calculator!E40,tbSkills!AC3:AD5,2,FALSE),Backdoors!AL3)*(IF((Backdoors!AI12+IF(IT23&gt;=0.45,VLOOKUP(Calculator!E23,tbSkills!DH3:DI6,2,FALSE)+IF(AND(Calculator!B8=TRUE,Backdoors!BI39=TRUE),VLOOKUP(Calculator!E23,tbSkills!DH3:DJ6,3,FALSE),0),0))&gt;=100,100,(Backdoors!AI12+IF(IT23&gt;=0.45,VLOOKUP(Calculator!E23,tbSkills!DH3:DI6,2,FALSE)+IF(AND(Calculator!B8=TRUE,Backdoors!BI39=TRUE),VLOOKUP(Calculator!E23,tbSkills!DH3:DJ6,3,FALSE),0),0)))/100)),1))*IF(VLOOKUP(A23,tbMoveset!A2:K112,11,FALSE)=TRUE,Backdoors!AC5,1))*IU23,0),"")</f>
        <v>0</v>
      </c>
      <c r="IY23" s="49">
        <f>VLOOKUP(A23,tbMoveset!A2:G112,7,FALSE)*IFERROR(IF(Backdoors!AI12&gt;=0,1+(IF(Calculator!E40&gt;0,VLOOKUP(Calculator!E40,tbSkills!AI3:AJ5,2,FALSE),Backdoors!AL4)*(IF((Backdoors!AI12+IF(IT23&gt;=0.45,VLOOKUP(Calculator!E23,tbSkills!DH3:DI6,2,FALSE)+IF(AND(Calculator!B8=TRUE,Backdoors!BI39=TRUE),VLOOKUP(Calculator!E23,tbSkills!DH3:DJ6,3,FALSE),0),0))&gt;=100,100,(Backdoors!AI12+IF(IT23&gt;=0.45,VLOOKUP(Calculator!E23,tbSkills!DH3:DI6,2,FALSE)+IF(AND(Calculator!B8=TRUE,Backdoors!BI39=TRUE),VLOOKUP(Calculator!E23,tbSkills!DH3:DJ6,3,FALSE),0),0)))/100)),1),1)</f>
        <v>1</v>
      </c>
      <c r="IZ23" s="87">
        <f t="shared" si="28"/>
        <v>0</v>
      </c>
      <c r="JA23" s="86" t="str">
        <f>IFERROR(IF(VLOOKUP(A23,tbMoveset!A2:B112,2,FALSE)="Sever",Backdoors!AY40/100,IF(VLOOKUP(A23,tbMoveset!A2:B112,2,FALSE)="Blunt",Backdoors!AZ40/100,Backdoors!BA40/100)),"")</f>
        <v/>
      </c>
      <c r="JB23" s="49">
        <f>IFERROR(IF(VLOOKUP(tbMoveset!A23,tbMoveset!A2:H112,8,FALSE)="Other",IF(VLOOKUP(tbMoveset!A23,tbMoveset!A2:I112,9,FALSE)="Fire",Backdoors!BB40,IF(VLOOKUP(tbMoveset!A23,tbMoveset!A2:I112,9,FALSE)="Water",Backdoors!BC40,IF(VLOOKUP(tbMoveset!A23,tbMoveset!A2:I112,9,FALSE)="Thunder",Backdoors!BD40,IF(VLOOKUP(tbMoveset!A23,tbMoveset!A2:I112,9,FALSE)="Ice",Backdoors!BE40,IF(VLOOKUP(tbMoveset!A23,tbMoveset!A2:I112,9,FALSE)="Dragon",Backdoors!BF40,Backdoors!BG40)))))/100,Backdoors!BG40/100),"")</f>
        <v>0</v>
      </c>
      <c r="JC23" s="49">
        <f>IFERROR(IF(VLOOKUP(A23,tbMoveset!A2:J112,10,FALSE)=TRUE,IF((Backdoors!AI12+IF(JA23&gt;=0.45,VLOOKUP(Calculator!E23,tbSkills!DH3:DI6,2,FALSE)+IF(AND(Calculator!B8=TRUE,Backdoors!BI40=TRUE),VLOOKUP(Calculator!E23,tbSkills!DH3:DJ6,3,FALSE),0),0))&gt;=0,1+(Backdoors!AL2*(IF((Backdoors!AI12+IF(JA23&gt;=0.45,VLOOKUP(Calculator!E23,tbSkills!DH3:DI6,2,FALSE)+IF(AND(Calculator!B8=TRUE,Backdoors!BI40=TRUE),VLOOKUP(Calculator!E23,tbSkills!DH3:DJ6,3,FALSE),0),0))&gt;=100,100,(Backdoors!AI12+IF(JA23&gt;=0.45,VLOOKUP(Calculator!E23,tbSkills!DH3:DI6,2,FALSE)+IF(AND(Calculator!B8=TRUE,Backdoors!BI40=TRUE),VLOOKUP(Calculator!E23,tbSkills!DH3:DJ6,3,FALSE),0),0)))/100)),(1-(0.25*((-Backdoors!AI12-IF(JA23&gt;=0.45,VLOOKUP(Calculator!E23,tbSkills!DH3:DI6,2,FALSE)+IF(AND(Calculator!B8=TRUE,Backdoors!BI40=TRUE),VLOOKUP(Calculator!E23,tbSkills!DH3:DJ6,3,FALSE),0),0))/100)))),1),"")</f>
        <v>1</v>
      </c>
      <c r="JD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A23)*JC23)*(VLOOKUP(A23,tbMoveset!A2:C112,3,FALSE)/100)*IF(VLOOKUP(A23,tbMoveset!A2:B112,2,FALSE)="Projectile",Backdoors!N10,Backdoors!N9),0),"")</f>
        <v/>
      </c>
      <c r="JE23" s="49">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42&gt;0,VLOOKUP(Calculator!E42,tbSkills!AC3:AD5,2,FALSE),Backdoors!AL3)*(IF((Backdoors!AI12+IF(JA23&gt;=0.45,VLOOKUP(Calculator!E23,tbSkills!DH3:DI6,2,FALSE)+IF(AND(Calculator!B8=TRUE,Backdoors!BI40=TRUE),VLOOKUP(Calculator!E23,tbSkills!DH3:DJ6,3,FALSE),0),0))&gt;=100,100,(Backdoors!AI12+IF(JA23&gt;=0.45,VLOOKUP(Calculator!E23,tbSkills!DH3:DI6,2,FALSE)+IF(AND(Calculator!B8=TRUE,Backdoors!BI40=TRUE),VLOOKUP(Calculator!E23,tbSkills!DH3:DJ6,3,FALSE),0),0)))/100)),1))*IF(VLOOKUP(A23,tbMoveset!A2:K112,11,FALSE)=TRUE,Backdoors!AC5,1))*JB23,0),"")</f>
        <v>0</v>
      </c>
      <c r="JF23" s="49">
        <f>VLOOKUP(A23,tbMoveset!A2:G112,7,FALSE)*IFERROR(IF(Backdoors!AI12&gt;=0,1+(IF(Calculator!E40&gt;0,VLOOKUP(Calculator!E40,tbSkills!AI3:AJ5,2,FALSE),Backdoors!AL4)*(IF((Backdoors!AI12+IF(JA23&gt;=0.45,VLOOKUP(Calculator!E23,tbSkills!DH3:DI6,2,FALSE)+IF(AND(Calculator!B8=TRUE,Backdoors!BI40=TRUE),VLOOKUP(Calculator!E23,tbSkills!DH3:DJ6,3,FALSE),0),0))&gt;=100,100,(Backdoors!AI12+IF(JA23&gt;=0.45,VLOOKUP(Calculator!E23,tbSkills!DH3:DI6,2,FALSE)+IF(AND(Calculator!B8=TRUE,Backdoors!BI40=TRUE),VLOOKUP(Calculator!E23,tbSkills!DH3:DJ6,3,FALSE),0),0)))/100)),1),1)</f>
        <v>1</v>
      </c>
      <c r="JG23" s="87">
        <f t="shared" si="29"/>
        <v>0</v>
      </c>
      <c r="JH23" s="86" t="str">
        <f>IFERROR(IF(VLOOKUP(A23,tbMoveset!A2:B112,2,FALSE)="Sever",Backdoors!AY41/100,IF(VLOOKUP(A23,tbMoveset!A2:B112,2,FALSE)="Blunt",Backdoors!AZ41/100,Backdoors!BA41/100)),"")</f>
        <v/>
      </c>
      <c r="JI23" s="49">
        <f>IFERROR(IF(VLOOKUP(tbMoveset!A23,tbMoveset!A2:H112,8,FALSE)="Other",IF(VLOOKUP(tbMoveset!A23,tbMoveset!A2:I112,9,FALSE)="Fire",Backdoors!BB41,IF(VLOOKUP(tbMoveset!A23,tbMoveset!A2:I112,9,FALSE)="Water",Backdoors!BC41,IF(VLOOKUP(tbMoveset!A23,tbMoveset!A2:I112,9,FALSE)="Thunder",Backdoors!BD41,IF(VLOOKUP(tbMoveset!A23,tbMoveset!A2:I112,9,FALSE)="Ice",Backdoors!BE41,IF(VLOOKUP(tbMoveset!A23,tbMoveset!A2:I112,9,FALSE)="Dragon",Backdoors!BF41,Backdoors!BG41)))))/100,Backdoors!BG41/100),"")</f>
        <v>0</v>
      </c>
      <c r="JJ23" s="49">
        <f>IFERROR(IF(VLOOKUP(A23,tbMoveset!A2:J112,10,FALSE)=TRUE,IF((Backdoors!AI12+IF(JH23&gt;=0.45,VLOOKUP(Calculator!E23,tbSkills!DH3:DI6,2,FALSE)+IF(AND(Calculator!B8=TRUE,Backdoors!BI41=TRUE),VLOOKUP(Calculator!E23,tbSkills!DH3:DJ6,3,FALSE),0),0))&gt;=0,1+(Backdoors!AL2*(IF((Backdoors!AI12+IF(JH23&gt;=0.45,VLOOKUP(Calculator!E23,tbSkills!DH3:DI6,2,FALSE)+IF(AND(Calculator!B8=TRUE,Backdoors!BI41=TRUE),VLOOKUP(Calculator!E23,tbSkills!DH3:DJ6,3,FALSE),0),0))&gt;=100,100,(Backdoors!AI12+IF(JH23&gt;=0.45,VLOOKUP(Calculator!E23,tbSkills!DH3:DI6,2,FALSE)+IF(AND(Calculator!B8=TRUE,Backdoors!BI41=TRUE),VLOOKUP(Calculator!E23,tbSkills!DH3:DJ6,3,FALSE),0),0)))/100)),(1-(0.25*((-Backdoors!AI12-IF(JH23&gt;=0.45,VLOOKUP(Calculator!E23,tbSkills!DH3:DI6,2,FALSE)+IF(AND(Calculator!B8=TRUE,Backdoors!BI41=TRUE),VLOOKUP(Calculator!E23,tbSkills!DH3:DJ6,3,FALSE),0),0))/100)))),1),"")</f>
        <v>1</v>
      </c>
      <c r="JK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H23)*JJ23)*(VLOOKUP(A23,tbMoveset!A2:C112,3,FALSE)/100)*IF(VLOOKUP(A23,tbMoveset!A2:B112,2,FALSE)="Projectile",Backdoors!N10,Backdoors!N9),0),"")</f>
        <v/>
      </c>
      <c r="JL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43&gt;0,VLOOKUP(Calculator!E43,tbSkills!AC3:AD5,2,FALSE),Backdoors!AL3)*(IF((Backdoors!AI12+IF(JH23&gt;=0.45,VLOOKUP(Calculator!E23,tbSkills!DH3:DI6,2,FALSE)+IF(AND(Calculator!B8=TRUE,Backdoors!BI41=TRUE),VLOOKUP(Calculator!E23,tbSkills!DH3:DJ6,3,FALSE),0),0))&gt;=100,100,(Backdoors!AI12+IF(JH23&gt;=0.45,VLOOKUP(Calculator!E23,tbSkills!DH3:DI6,2,FALSE)+IF(AND(Calculator!B8=TRUE,Backdoors!BI41=TRUE),VLOOKUP(Calculator!E23,tbSkills!DH3:DJ6,3,FALSE),0),0)))/100)),1))*IF(VLOOKUP(A23,tbMoveset!A2:K112,11,FALSE)=TRUE,Backdoors!AC5,1))*JI23,0),"")</f>
        <v/>
      </c>
      <c r="JM23" s="49">
        <f>VLOOKUP(A23,tbMoveset!A2:G112,7,FALSE)*IFERROR(IF(Backdoors!AI12&gt;=0,1+(IF(Calculator!E40&gt;0,VLOOKUP(Calculator!E40,tbSkills!AI3:AJ5,2,FALSE),Backdoors!AL4)*(IF((Backdoors!AI12+IF(JH23&gt;=0.45,VLOOKUP(Calculator!E23,tbSkills!DH3:DI6,2,FALSE)+IF(AND(Calculator!B8=TRUE,Backdoors!BI41=TRUE),VLOOKUP(Calculator!E23,tbSkills!DH3:DJ6,3,FALSE),0),0))&gt;=100,100,(Backdoors!AI12+IF(JH23&gt;=0.45,VLOOKUP(Calculator!E23,tbSkills!DH3:DI6,2,FALSE)+IF(AND(Calculator!B8=TRUE,Backdoors!BI41=TRUE),VLOOKUP(Calculator!E23,tbSkills!DH3:DJ6,3,FALSE),0),0)))/100)),1),1)</f>
        <v>1</v>
      </c>
      <c r="JN23" s="87">
        <f t="shared" si="30"/>
        <v>0</v>
      </c>
      <c r="JO23" s="86" t="str">
        <f>IFERROR(IF(VLOOKUP(A23,tbMoveset!A2:B112,2,FALSE)="Sever",Backdoors!AY42/100,IF(VLOOKUP(A23,tbMoveset!A2:B112,2,FALSE)="Blunt",Backdoors!AZ42/100,Backdoors!BA42/100)),"")</f>
        <v/>
      </c>
      <c r="JP23" s="49">
        <f>IFERROR(IF(VLOOKUP(tbMoveset!A23,tbMoveset!A2:H112,8,FALSE)="Other",IF(VLOOKUP(tbMoveset!A23,tbMoveset!A2:I112,9,FALSE)="Fire",Backdoors!BB42,IF(VLOOKUP(tbMoveset!A23,tbMoveset!A2:I112,9,FALSE)="Water",Backdoors!BC42,IF(VLOOKUP(tbMoveset!A23,tbMoveset!A2:I112,9,FALSE)="Thunder",Backdoors!BD42,IF(VLOOKUP(tbMoveset!A23,tbMoveset!A2:I112,9,FALSE)="Ice",Backdoors!BE42,IF(VLOOKUP(tbMoveset!A23,tbMoveset!A2:I112,9,FALSE)="Dragon",Backdoors!BF42,Backdoors!BG42)))))/100,Backdoors!BG42/100),"")</f>
        <v>0</v>
      </c>
      <c r="JQ23" s="49">
        <f>IFERROR(IF(VLOOKUP(A23,tbMoveset!A2:J112,10,FALSE)=TRUE,IF((Backdoors!AI12+IF(JO23&gt;=0.45,VLOOKUP(Calculator!E23,tbSkills!DH3:DI6,2,FALSE)+IF(AND(Calculator!B8=TRUE,Backdoors!BI42=TRUE),VLOOKUP(Calculator!E23,tbSkills!DH3:DJ6,3,FALSE),0),0))&gt;=0,1+(Backdoors!AL2*(IF((Backdoors!AI12+IF(JO23&gt;=0.45,VLOOKUP(Calculator!E23,tbSkills!DH3:DI6,2,FALSE)+IF(AND(Calculator!B8=TRUE,Backdoors!BI42=TRUE),VLOOKUP(Calculator!E23,tbSkills!DH3:DJ6,3,FALSE),0),0))&gt;=100,100,(Backdoors!AI12+IF(JO23&gt;=0.45,VLOOKUP(Calculator!E23,tbSkills!DH3:DI6,2,FALSE)+IF(AND(Calculator!B8=TRUE,Backdoors!BI42=TRUE),VLOOKUP(Calculator!E23,tbSkills!DH3:DJ6,3,FALSE),0),0)))/100)),(1-(0.25*((-Backdoors!AI12-IF(JO23&gt;=0.45,VLOOKUP(Calculator!E23,tbSkills!DH3:DI6,2,FALSE)+IF(AND(Calculator!B8=TRUE,Backdoors!BI42=TRUE),VLOOKUP(Calculator!E23,tbSkills!DH3:DJ6,3,FALSE),0),0))/100)))),1),"")</f>
        <v>1</v>
      </c>
      <c r="JR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O23)*JQ23)*(VLOOKUP(A23,tbMoveset!A2:C112,3,FALSE)/100)*IF(VLOOKUP(A23,tbMoveset!A2:B112,2,FALSE)="Projectile",Backdoors!N10,Backdoors!N9),0),"")</f>
        <v/>
      </c>
      <c r="JS23" s="49">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45&gt;0,VLOOKUP(Calculator!E45,tbSkills!AC3:AD5,2,FALSE),Backdoors!AL3)*(IF((Backdoors!AI12+IF(JO23&gt;=0.45,VLOOKUP(Calculator!E23,tbSkills!DH3:DI6,2,FALSE)+IF(AND(Calculator!B8=TRUE,Backdoors!BI42=TRUE),VLOOKUP(Calculator!E23,tbSkills!DH3:DJ6,3,FALSE),0),0))&gt;=100,100,(Backdoors!AI12+IF(JO23&gt;=0.45,VLOOKUP(Calculator!E23,tbSkills!DH3:DI6,2,FALSE)+IF(AND(Calculator!B8=TRUE,Backdoors!BI42=TRUE),VLOOKUP(Calculator!E23,tbSkills!DH3:DJ6,3,FALSE),0),0)))/100)),1))*IF(VLOOKUP(A23,tbMoveset!A2:K112,11,FALSE)=TRUE,Backdoors!AC5,1))*JP23,0),"")</f>
        <v>0</v>
      </c>
      <c r="JT23" s="49">
        <f>VLOOKUP(A23,tbMoveset!A2:G112,7,FALSE)*IFERROR(IF(Backdoors!AI12&gt;=0,1+(IF(Calculator!E40&gt;0,VLOOKUP(Calculator!E40,tbSkills!AI3:AJ5,2,FALSE),Backdoors!AL4)*(IF((Backdoors!AI12+IF(JO23&gt;=0.45,VLOOKUP(Calculator!E23,tbSkills!DH3:DI6,2,FALSE)+IF(AND(Calculator!B8=TRUE,Backdoors!BI42=TRUE),VLOOKUP(Calculator!E23,tbSkills!DH3:DJ6,3,FALSE),0),0))&gt;=100,100,(Backdoors!AI12+IF(JO23&gt;=0.45,VLOOKUP(Calculator!E23,tbSkills!DH3:DI6,2,FALSE)+IF(AND(Calculator!B8=TRUE,Backdoors!BI42=TRUE),VLOOKUP(Calculator!E23,tbSkills!DH3:DJ6,3,FALSE),0),0)))/100)),1),1)</f>
        <v>1</v>
      </c>
      <c r="JU23" s="87">
        <f t="shared" si="31"/>
        <v>0</v>
      </c>
      <c r="JV23" s="86" t="str">
        <f>IFERROR(IF(VLOOKUP(A23,tbMoveset!A2:B112,2,FALSE)="Sever",Backdoors!AY43/100,IF(VLOOKUP(A23,tbMoveset!A2:B112,2,FALSE)="Blunt",Backdoors!AZ43/100,Backdoors!BA43/100)),"")</f>
        <v/>
      </c>
      <c r="JW23" s="49">
        <f>IFERROR(IF(VLOOKUP(tbMoveset!A23,tbMoveset!A2:H112,8,FALSE)="Other",IF(VLOOKUP(tbMoveset!A23,tbMoveset!A2:I112,9,FALSE)="Fire",Backdoors!BB43,IF(VLOOKUP(tbMoveset!A23,tbMoveset!A2:I112,9,FALSE)="Water",Backdoors!BC43,IF(VLOOKUP(tbMoveset!A23,tbMoveset!A2:I112,9,FALSE)="Thunder",Backdoors!BD43,IF(VLOOKUP(tbMoveset!A23,tbMoveset!A2:I112,9,FALSE)="Ice",Backdoors!BE43,IF(VLOOKUP(tbMoveset!A23,tbMoveset!A2:I112,9,FALSE)="Dragon",Backdoors!BF43,Backdoors!BG43)))))/100,Backdoors!BG43/100),"")</f>
        <v>0</v>
      </c>
      <c r="JX23" s="49">
        <f>IFERROR(IF(VLOOKUP(A23,tbMoveset!A2:J112,10,FALSE)=TRUE,IF((Backdoors!AI12+IF(JV23&gt;=0.45,VLOOKUP(Calculator!E23,tbSkills!DH3:DI6,2,FALSE)+IF(AND(Calculator!B8=TRUE,Backdoors!BI43=TRUE),VLOOKUP(Calculator!E23,tbSkills!DH3:DJ6,3,FALSE),0),0))&gt;=0,1+(Backdoors!AL2*(IF((Backdoors!AI12+IF(JV23&gt;=0.45,VLOOKUP(Calculator!E23,tbSkills!DH3:DI6,2,FALSE)+IF(AND(Calculator!B8=TRUE,Backdoors!BI43=TRUE),VLOOKUP(Calculator!E23,tbSkills!DH3:DJ6,3,FALSE),0),0))&gt;=100,100,(Backdoors!AI12+IF(JV23&gt;=0.45,VLOOKUP(Calculator!E23,tbSkills!DH3:DI6,2,FALSE)+IF(AND(Calculator!B8=TRUE,Backdoors!BI43=TRUE),VLOOKUP(Calculator!E23,tbSkills!DH3:DJ6,3,FALSE),0),0)))/100)),(1-(0.25*((-Backdoors!AI12-IF(JV23&gt;=0.45,VLOOKUP(Calculator!E23,tbSkills!DH3:DI6,2,FALSE)+IF(AND(Calculator!B8=TRUE,Backdoors!BI43=TRUE),VLOOKUP(Calculator!E23,tbSkills!DH3:DJ6,3,FALSE),0),0))/100)))),1),"")</f>
        <v>1</v>
      </c>
      <c r="JY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V23)*JX23)*(VLOOKUP(A23,tbMoveset!A2:C112,3,FALSE)/100)*IF(VLOOKUP(A23,tbMoveset!A2:B112,2,FALSE)="Projectile",Backdoors!N10,Backdoors!N9),0),"")</f>
        <v/>
      </c>
      <c r="JZ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46&gt;0,VLOOKUP(Calculator!E46,tbSkills!AC3:AD5,2,FALSE),Backdoors!AL3)*(IF((Backdoors!AI12+IF(JV23&gt;=0.45,VLOOKUP(Calculator!E23,tbSkills!DH3:DI6,2,FALSE)+IF(AND(Calculator!B8=TRUE,Backdoors!BI43=TRUE),VLOOKUP(Calculator!E23,tbSkills!DH3:DJ6,3,FALSE),0),0))&gt;=100,100,(Backdoors!AI12+IF(JV23&gt;=0.45,VLOOKUP(Calculator!E23,tbSkills!DH3:DI6,2,FALSE)+IF(AND(Calculator!B8=TRUE,Backdoors!BI43=TRUE),VLOOKUP(Calculator!E23,tbSkills!DH3:DJ6,3,FALSE),0),0)))/100)),1))*IF(VLOOKUP(A23,tbMoveset!A2:K112,11,FALSE)=TRUE,Backdoors!AC5,1))*JW23,0),"")</f>
        <v/>
      </c>
      <c r="KA23" s="49">
        <f>VLOOKUP(A23,tbMoveset!A2:G112,7,FALSE)*IFERROR(IF(Backdoors!AI12&gt;=0,1+(IF(Calculator!E40&gt;0,VLOOKUP(Calculator!E40,tbSkills!AI3:AJ5,2,FALSE),Backdoors!AL4)*(IF((Backdoors!AI12+IF(JV23&gt;=0.45,VLOOKUP(Calculator!E23,tbSkills!DH3:DI6,2,FALSE)+IF(AND(Calculator!B8=TRUE,Backdoors!BI43=TRUE),VLOOKUP(Calculator!E23,tbSkills!DH3:DJ6,3,FALSE),0),0))&gt;=100,100,(Backdoors!AI12+IF(JV23&gt;=0.45,VLOOKUP(Calculator!E23,tbSkills!DH3:DI6,2,FALSE)+IF(AND(Calculator!B8=TRUE,Backdoors!BI43=TRUE),VLOOKUP(Calculator!E23,tbSkills!DH3:DJ6,3,FALSE),0),0)))/100)),1),1)</f>
        <v>1</v>
      </c>
      <c r="KB23" s="87">
        <f t="shared" si="32"/>
        <v>0</v>
      </c>
      <c r="KC23" s="86" t="str">
        <f>IFERROR(IF(VLOOKUP(A23,tbMoveset!A2:B112,2,FALSE)="Sever",Backdoors!AY44/100,IF(VLOOKUP(A23,tbMoveset!A2:B112,2,FALSE)="Blunt",Backdoors!AZ44/100,Backdoors!BA44/100)),"")</f>
        <v/>
      </c>
      <c r="KD23" s="49">
        <f>IFERROR(IF(VLOOKUP(tbMoveset!A23,tbMoveset!A2:H112,8,FALSE)="Other",IF(VLOOKUP(tbMoveset!A23,tbMoveset!A2:I112,9,FALSE)="Fire",Backdoors!BB44,IF(VLOOKUP(tbMoveset!A23,tbMoveset!A2:I112,9,FALSE)="Water",Backdoors!BC44,IF(VLOOKUP(tbMoveset!A23,tbMoveset!A2:I112,9,FALSE)="Thunder",Backdoors!BD44,IF(VLOOKUP(tbMoveset!A23,tbMoveset!A2:I112,9,FALSE)="Ice",Backdoors!BE44,IF(VLOOKUP(tbMoveset!A23,tbMoveset!A2:I112,9,FALSE)="Dragon",Backdoors!BF44,Backdoors!BG44)))))/100,Backdoors!BG44/100),"")</f>
        <v>0</v>
      </c>
      <c r="KE23" s="49">
        <f>IFERROR(IF(VLOOKUP(A23,tbMoveset!A2:J112,10,FALSE)=TRUE,IF((Backdoors!AI12+IF(KC23&gt;=0.45,VLOOKUP(Calculator!E23,tbSkills!DH3:DI6,2,FALSE)+IF(AND(Calculator!B8=TRUE,Backdoors!BI44=TRUE),VLOOKUP(Calculator!E23,tbSkills!DH3:DJ6,3,FALSE),0),0))&gt;=0,1+(Backdoors!AL2*(IF((Backdoors!AI12+IF(KC23&gt;=0.45,VLOOKUP(Calculator!E23,tbSkills!DH3:DI6,2,FALSE)+IF(AND(Calculator!B8=TRUE,Backdoors!BI44=TRUE),VLOOKUP(Calculator!E23,tbSkills!DH3:DJ6,3,FALSE),0),0))&gt;=100,100,(Backdoors!AI12+IF(KC23&gt;=0.45,VLOOKUP(Calculator!E23,tbSkills!DH3:DI6,2,FALSE)+IF(AND(Calculator!B8=TRUE,Backdoors!BI44=TRUE),VLOOKUP(Calculator!E23,tbSkills!DH3:DJ6,3,FALSE),0),0)))/100)),(1-(0.25*((-Backdoors!AI12-IF(KC23&gt;=0.45,VLOOKUP(Calculator!E23,tbSkills!DH3:DI6,2,FALSE)+IF(AND(Calculator!B8=TRUE,Backdoors!BI44=TRUE),VLOOKUP(Calculator!E23,tbSkills!DH3:DJ6,3,FALSE),0),0))/100)))),1),"")</f>
        <v>1</v>
      </c>
      <c r="KF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KC23)*KE23)*(VLOOKUP(A23,tbMoveset!A2:C112,3,FALSE)/100)*IF(VLOOKUP(A23,tbMoveset!A2:B112,2,FALSE)="Projectile",Backdoors!N10,Backdoors!N9),0),"")</f>
        <v/>
      </c>
      <c r="KG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REF!&gt;0,VLOOKUP(Calculator!#REF!,tbSkills!AC3:AD5,2,FALSE),Backdoors!AL3)*(IF((Backdoors!AI12+IF(KC23&gt;=0.45,VLOOKUP(Calculator!E23,tbSkills!DH3:DI6,2,FALSE)+IF(AND(Calculator!B8=TRUE,Backdoors!BI44=TRUE),VLOOKUP(Calculator!E23,tbSkills!DH3:DJ6,3,FALSE),0),0))&gt;=100,100,(Backdoors!AI12+IF(KC23&gt;=0.45,VLOOKUP(Calculator!E23,tbSkills!DH3:DI6,2,FALSE)+IF(AND(Calculator!B8=TRUE,Backdoors!BI44=TRUE),VLOOKUP(Calculator!E23,tbSkills!DH3:DJ6,3,FALSE),0),0)))/100)),1))*IF(VLOOKUP(A23,tbMoveset!A2:K112,11,FALSE)=TRUE,Backdoors!AC5,1))*KD23,0),"")</f>
        <v/>
      </c>
      <c r="KH23" s="49">
        <f>VLOOKUP(A23,tbMoveset!A2:G112,7,FALSE)*IFERROR(IF(Backdoors!AI12&gt;=0,1+(IF(Calculator!E40&gt;0,VLOOKUP(Calculator!E40,tbSkills!AI3:AJ5,2,FALSE),Backdoors!AL4)*(IF((Backdoors!AI12+IF(KC23&gt;=0.45,VLOOKUP(Calculator!E23,tbSkills!DH3:DI6,2,FALSE)+IF(AND(Calculator!B8=TRUE,Backdoors!BI44=TRUE),VLOOKUP(Calculator!E23,tbSkills!DH3:DJ6,3,FALSE),0),0))&gt;=100,100,(Backdoors!AI12+IF(KC23&gt;=0.45,VLOOKUP(Calculator!E23,tbSkills!DH3:DI6,2,FALSE)+IF(AND(Calculator!B8=TRUE,Backdoors!BI44=TRUE),VLOOKUP(Calculator!E23,tbSkills!DH3:DJ6,3,FALSE),0),0)))/100)),1),1)</f>
        <v>1</v>
      </c>
      <c r="KI23" s="87">
        <f t="shared" si="33"/>
        <v>0</v>
      </c>
      <c r="KJ23" s="86" t="str">
        <f>IFERROR(IF(VLOOKUP(A23,tbMoveset!A2:B112,2,FALSE)="Sever",Backdoors!AY45/100,IF(VLOOKUP(A23,tbMoveset!A2:B112,2,FALSE)="Blunt",Backdoors!AZ45/100,Backdoors!BA45/100)),"")</f>
        <v/>
      </c>
      <c r="KK23" s="49">
        <f>IFERROR(IF(VLOOKUP(tbMoveset!A23,tbMoveset!A2:H112,8,FALSE)="Other",IF(VLOOKUP(tbMoveset!A23,tbMoveset!A2:I112,9,FALSE)="Fire",Backdoors!BB45,IF(VLOOKUP(tbMoveset!A23,tbMoveset!A2:I112,9,FALSE)="Water",Backdoors!BC45,IF(VLOOKUP(tbMoveset!A23,tbMoveset!A2:I112,9,FALSE)="Thunder",Backdoors!BD45,IF(VLOOKUP(tbMoveset!A23,tbMoveset!A2:I112,9,FALSE)="Ice",Backdoors!BE45,IF(VLOOKUP(tbMoveset!A23,tbMoveset!A2:I112,9,FALSE)="Dragon",Backdoors!BF45,Backdoors!BG45)))))/100,Backdoors!BG45/100),"")</f>
        <v>0</v>
      </c>
      <c r="KL23" s="49">
        <f>IFERROR(IF(VLOOKUP(A23,tbMoveset!A2:J112,10,FALSE)=TRUE,IF((Backdoors!AI12+IF(KJ23&gt;=0.45,VLOOKUP(Calculator!E23,tbSkills!DH3:DI6,2,FALSE)+IF(AND(Calculator!B8=TRUE,Backdoors!BI45=TRUE),VLOOKUP(Calculator!E23,tbSkills!DH3:DJ6,3,FALSE),0),0))&gt;=0,1+(Backdoors!AL2*(IF((Backdoors!AI12+IF(KJ23&gt;=0.45,VLOOKUP(Calculator!E23,tbSkills!DH3:DI6,2,FALSE)+IF(AND(Calculator!B8=TRUE,Backdoors!BI45=TRUE),VLOOKUP(Calculator!E23,tbSkills!DH3:DJ6,3,FALSE),0),0))&gt;=100,100,(Backdoors!AI12+IF(KJ23&gt;=0.45,VLOOKUP(Calculator!E23,tbSkills!DH3:DI6,2,FALSE)+IF(AND(Calculator!B8=TRUE,Backdoors!BI45=TRUE),VLOOKUP(Calculator!E23,tbSkills!DH3:DJ6,3,FALSE),0),0)))/100)),(1-(0.25*((-Backdoors!AI12-IF(KJ23&gt;=0.45,VLOOKUP(Calculator!E23,tbSkills!DH3:DI6,2,FALSE)+IF(AND(Calculator!B8=TRUE,Backdoors!BI45=TRUE),VLOOKUP(Calculator!E23,tbSkills!DH3:DJ6,3,FALSE),0),0))/100)))),1),"")</f>
        <v>1</v>
      </c>
      <c r="KM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KJ23)*KL23)*(VLOOKUP(A23,tbMoveset!A2:C112,3,FALSE)/100)*IF(VLOOKUP(A23,tbMoveset!A2:B112,2,FALSE)="Projectile",Backdoors!N10,Backdoors!N9),0),"")</f>
        <v/>
      </c>
      <c r="KN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REF!&gt;0,VLOOKUP(Calculator!#REF!,tbSkills!AC3:AD5,2,FALSE),Backdoors!AL3)*(IF((Backdoors!AI12+IF(KJ23&gt;=0.45,VLOOKUP(Calculator!E23,tbSkills!DH3:DI6,2,FALSE)+IF(AND(Calculator!B8=TRUE,Backdoors!BI45=TRUE),VLOOKUP(Calculator!E23,tbSkills!DH3:DJ6,3,FALSE),0),0))&gt;=100,100,(Backdoors!AI12+IF(KJ23&gt;=0.45,VLOOKUP(Calculator!E23,tbSkills!DH3:DI6,2,FALSE)+IF(AND(Calculator!B8=TRUE,Backdoors!BI45=TRUE),VLOOKUP(Calculator!E23,tbSkills!DH3:DJ6,3,FALSE),0),0)))/100)),1))*IF(VLOOKUP(A23,tbMoveset!A2:K112,11,FALSE)=TRUE,Backdoors!AC5,1))*KK23,0),"")</f>
        <v/>
      </c>
      <c r="KO23" s="49">
        <f>VLOOKUP(A23,tbMoveset!A2:G112,7,FALSE)*IFERROR(IF(Backdoors!AI12&gt;=0,1+(IF(Calculator!E40&gt;0,VLOOKUP(Calculator!E40,tbSkills!AI3:AJ5,2,FALSE),Backdoors!AL4)*(IF((Backdoors!AI12+IF(KJ23&gt;=0.45,VLOOKUP(Calculator!E23,tbSkills!DH3:DI6,2,FALSE)+IF(AND(Calculator!B8=TRUE,Backdoors!BI45=TRUE),VLOOKUP(Calculator!E23,tbSkills!DH3:DJ6,3,FALSE),0),0))&gt;=100,100,(Backdoors!AI12+IF(KJ23&gt;=0.45,VLOOKUP(Calculator!E23,tbSkills!DH3:DI6,2,FALSE)+IF(AND(Calculator!B8=TRUE,Backdoors!BI45=TRUE),VLOOKUP(Calculator!E23,tbSkills!DH3:DJ6,3,FALSE),0),0)))/100)),1),1)</f>
        <v>1</v>
      </c>
      <c r="KP23" s="87">
        <f t="shared" si="34"/>
        <v>0</v>
      </c>
      <c r="KQ23" s="86" t="str">
        <f>IFERROR(IF(VLOOKUP(A23,tbMoveset!A2:B112,2,FALSE)="Sever",Backdoors!AY46/100,IF(VLOOKUP(A23,tbMoveset!A2:B112,2,FALSE)="Blunt",Backdoors!AZ46/100,Backdoors!BA46/100)),"")</f>
        <v/>
      </c>
      <c r="KR23" s="49">
        <f>IFERROR(IF(VLOOKUP(tbMoveset!A23,tbMoveset!A2:H112,8,FALSE)="Other",IF(VLOOKUP(tbMoveset!A23,tbMoveset!A2:I112,9,FALSE)="Fire",Backdoors!BB46,IF(VLOOKUP(tbMoveset!A23,tbMoveset!A2:I112,9,FALSE)="Water",Backdoors!BC46,IF(VLOOKUP(tbMoveset!A23,tbMoveset!A2:I112,9,FALSE)="Thunder",Backdoors!BD46,IF(VLOOKUP(tbMoveset!A23,tbMoveset!A2:I112,9,FALSE)="Ice",Backdoors!BE46,IF(VLOOKUP(tbMoveset!A23,tbMoveset!A2:I112,9,FALSE)="Dragon",Backdoors!BF46,Backdoors!BG46)))))/100,Backdoors!BG46/100),"")</f>
        <v>0</v>
      </c>
      <c r="KS23" s="49">
        <f>IFERROR(IF(VLOOKUP(A23,tbMoveset!A2:J112,10,FALSE)=TRUE,IF((Backdoors!AI12+IF(KQ23&gt;=0.45,VLOOKUP(Calculator!E23,tbSkills!DH3:DI6,2,FALSE)+IF(AND(Calculator!B8=TRUE,Backdoors!BI46=TRUE),VLOOKUP(Calculator!E23,tbSkills!DH3:DJ6,3,FALSE),0),0))&gt;=0,1+(Backdoors!AL2*(IF((Backdoors!AI12+IF(KQ23&gt;=0.45,VLOOKUP(Calculator!E23,tbSkills!DH3:DI6,2,FALSE)+IF(AND(Calculator!B8=TRUE,Backdoors!BI46=TRUE),VLOOKUP(Calculator!E23,tbSkills!DH3:DJ6,3,FALSE),0),0))&gt;=100,100,(Backdoors!AI12+IF(KQ23&gt;=0.45,VLOOKUP(Calculator!E23,tbSkills!DH3:DI6,2,FALSE)+IF(AND(Calculator!B8=TRUE,Backdoors!BI46=TRUE),VLOOKUP(Calculator!E23,tbSkills!DH3:DJ6,3,FALSE),0),0)))/100)),(1-(0.25*((-Backdoors!AI12-IF(KQ23&gt;=0.45,VLOOKUP(Calculator!E23,tbSkills!DH3:DI6,2,FALSE)+IF(AND(Calculator!B8=TRUE,Backdoors!BI46=TRUE),VLOOKUP(Calculator!E23,tbSkills!DH3:DJ6,3,FALSE),0),0))/100)))),1),"")</f>
        <v>1</v>
      </c>
      <c r="KT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KQ23)*KS23)*(VLOOKUP(A23,tbMoveset!A2:C112,3,FALSE)/100)*IF(VLOOKUP(A23,tbMoveset!A2:B112,2,FALSE)="Projectile",Backdoors!N10,Backdoors!N9),0),"")</f>
        <v/>
      </c>
      <c r="KU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REF!&gt;0,VLOOKUP(Calculator!#REF!,tbSkills!AC3:AD5,2,FALSE),Backdoors!AL3)*(IF((Backdoors!AI12+IF(KQ23&gt;=0.45,VLOOKUP(Calculator!E23,tbSkills!DH3:DI6,2,FALSE)+IF(AND(Calculator!B8=TRUE,Backdoors!BI46=TRUE),VLOOKUP(Calculator!E23,tbSkills!DH3:DJ6,3,FALSE),0),0))&gt;=100,100,(Backdoors!AI12+IF(KQ23&gt;=0.45,VLOOKUP(Calculator!E23,tbSkills!DH3:DI6,2,FALSE)+IF(AND(Calculator!B8=TRUE,Backdoors!BI46=TRUE),VLOOKUP(Calculator!E23,tbSkills!DH3:DJ6,3,FALSE),0),0)))/100)),1))*IF(VLOOKUP(A23,tbMoveset!A2:K112,11,FALSE)=TRUE,Backdoors!AC5,1))*KR23,0),"")</f>
        <v/>
      </c>
      <c r="KV23" s="49">
        <f>VLOOKUP(A23,tbMoveset!A2:G112,7,FALSE)*IFERROR(IF(Backdoors!AI12&gt;=0,1+(IF(Calculator!E40&gt;0,VLOOKUP(Calculator!E40,tbSkills!AI3:AJ5,2,FALSE),Backdoors!AL4)*(IF((Backdoors!AI12+IF(KQ23&gt;=0.45,VLOOKUP(Calculator!E23,tbSkills!DH3:DI6,2,FALSE)+IF(AND(Calculator!B8=TRUE,Backdoors!BI46=TRUE),VLOOKUP(Calculator!E23,tbSkills!DH3:DJ6,3,FALSE),0),0))&gt;=100,100,(Backdoors!AI12+IF(KQ23&gt;=0.45,VLOOKUP(Calculator!E23,tbSkills!DH3:DI6,2,FALSE)+IF(AND(Calculator!B8=TRUE,Backdoors!BI46=TRUE),VLOOKUP(Calculator!E23,tbSkills!DH3:DJ6,3,FALSE),0),0)))/100)),1),1)</f>
        <v>1</v>
      </c>
      <c r="KW23" s="87">
        <f t="shared" si="35"/>
        <v>0</v>
      </c>
    </row>
    <row r="24" spans="1:309" x14ac:dyDescent="0.25">
      <c r="A24" s="95" t="str">
        <f>tbMoveset!A24</f>
        <v>Left Double Roundslash (R)</v>
      </c>
      <c r="B24" s="86">
        <f>IFERROR(IF(VLOOKUP(A24,tbMoveset!A2:B112,2,FALSE)="Sever",Backdoors!AY3/100,IF(VLOOKUP(A24,tbMoveset!A2:B112,2,FALSE)="Blunt",Backdoors!AZ3/100,Backdoors!BA3/100)),"")</f>
        <v>0.8</v>
      </c>
      <c r="C24" s="49">
        <f>IFERROR(IF(VLOOKUP(tbMoveset!A24,tbMoveset!A2:H112,8,FALSE)="Other",IF(VLOOKUP(tbMoveset!A24,tbMoveset!A2:I112,9,FALSE)="Fire",Backdoors!BB3,IF(VLOOKUP(tbMoveset!A24,tbMoveset!A2:I112,9,FALSE)="Water",Backdoors!BC3,IF(VLOOKUP(tbMoveset!A24,tbMoveset!A2:I112,9,FALSE)="Thunder",Backdoors!BD3,IF(VLOOKUP(tbMoveset!A24,tbMoveset!A2:I112,9,FALSE)="Ice",Backdoors!BE3,IF(VLOOKUP(tbMoveset!A24,tbMoveset!A2:I112,9,FALSE)="Dragon",Backdoors!BF3,Backdoors!BG3)))))/100,Backdoors!BG3/100),"")</f>
        <v>0</v>
      </c>
      <c r="D24" s="49">
        <f>IFERROR(IF(VLOOKUP(A24,tbMoveset!A2:J112,10,FALSE)=TRUE,IF((Backdoors!AI12+IF(B24&gt;=0.45,VLOOKUP(Calculator!E23,tbSkills!DH3:DI6,2,FALSE)+IF(AND(Calculator!B8=TRUE,Backdoors!BI3=TRUE),VLOOKUP(Calculator!E23,tbSkills!DH3:DJ6,3,FALSE),0),0))&gt;=0,1+(Backdoors!AL2*(IF((Backdoors!AI12+IF(B24&gt;=0.45,VLOOKUP(Calculator!E23,tbSkills!DH3:DI6,2,FALSE)+IF(AND(Calculator!B8=TRUE,Backdoors!BI3=TRUE),VLOOKUP(Calculator!E23,tbSkills!DH3:DJ6,3,FALSE),0),0))&gt;=100,100,(Backdoors!AI12+IF(B24&gt;=0.45,VLOOKUP(Calculator!E23,tbSkills!DH3:DI6,2,FALSE)+IF(AND(Calculator!B8=TRUE,Backdoors!BI3=TRUE),VLOOKUP(Calculator!E23,tbSkills!DH3:DJ6,3,FALSE),0),0)))/100)),(1-(0.25*((-Backdoors!AI12-IF(B24&gt;=0.45,VLOOKUP(Calculator!E23,tbSkills!DH3:DI6,2,FALSE)+IF(AND(Calculator!B8=TRUE,Backdoors!BI3=TRUE),VLOOKUP(Calculator!E23,tbSkills!DH3:DJ6,3,FALSE),0),0))/100)))),1),"")</f>
        <v>1</v>
      </c>
      <c r="E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24)*D24)*(VLOOKUP(A24,tbMoveset!A2:C112,3,FALSE)/100)*IF(VLOOKUP(A24,tbMoveset!A2:B112,2,FALSE)="Projectile",Backdoors!N10,Backdoors!N9),0),"")</f>
        <v>7</v>
      </c>
      <c r="F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24&gt;=0.45,VLOOKUP(Calculator!E23,tbSkills!DH3:DI6,2,FALSE)+IF(AND(Calculator!B8=TRUE,Backdoors!BI3=TRUE),VLOOKUP(Calculator!E23,tbSkills!DH3:DJ6,3,FALSE),0),0))&gt;=100,100,(Backdoors!AI12+IF(B24&gt;=0.45,VLOOKUP(Calculator!E23,tbSkills!DH3:DI6,2,FALSE)+IF(AND(Calculator!B8=TRUE,Backdoors!BI3=TRUE),VLOOKUP(Calculator!E23,tbSkills!DH3:DJ6,3,FALSE),0),0)))/100)),1))*IF(VLOOKUP(A24,tbMoveset!A2:K112,11,FALSE)=TRUE,Backdoors!AC5,1))*C24,0),"")</f>
        <v>0</v>
      </c>
      <c r="G24">
        <f>VLOOKUP(A24,tbMoveset!A2:G112,7,FALSE)*IFERROR(IF(Backdoors!AI12&gt;=0,1+(IF(Calculator!E40&gt;0,VLOOKUP(Calculator!E40,tbSkills!AI3:AJ5,2,FALSE),Backdoors!AL4)*(IF((Backdoors!AI12+IF(B24&gt;=0.45,VLOOKUP(Calculator!E23,tbSkills!DH3:DI6,2,FALSE)+IF(AND(Calculator!B8=TRUE,Backdoors!BI3=TRUE),VLOOKUP(Calculator!E23,tbSkills!DH3:DJ6,3,FALSE),0),0))&gt;=100,100,(Backdoors!AI12+IF(B24&gt;=0.45,VLOOKUP(Calculator!E23,tbSkills!DH3:DI6,2,FALSE)+IF(AND(Calculator!B8=TRUE,Backdoors!BI3=TRUE),VLOOKUP(Calculator!E23,tbSkills!DH3:DJ6,3,FALSE),0),0)))/100)),1),1)</f>
        <v>1</v>
      </c>
      <c r="H24" s="87">
        <f t="shared" si="43"/>
        <v>7</v>
      </c>
      <c r="I24" s="86">
        <f>IFERROR(IF(VLOOKUP(A24,tbMoveset!A2:B112,2,FALSE)="Sever",Backdoors!AY4/100,IF(VLOOKUP(A24,tbMoveset!A2:B112,2,FALSE)="Blunt",Backdoors!AZ4/100,Backdoors!BA4/100)),"")</f>
        <v>0.65</v>
      </c>
      <c r="J24" s="49">
        <f>IFERROR(IF(VLOOKUP(tbMoveset!A24,tbMoveset!A2:H112,8,FALSE)="Other",IF(VLOOKUP(tbMoveset!A24,tbMoveset!A2:I112,9,FALSE)="Fire",Backdoors!BB4,IF(VLOOKUP(tbMoveset!A24,tbMoveset!A2:I112,9,FALSE)="Water",Backdoors!BC4,IF(VLOOKUP(tbMoveset!A24,tbMoveset!A2:I112,9,FALSE)="Thunder",Backdoors!BD4,IF(VLOOKUP(tbMoveset!A24,tbMoveset!A2:I112,9,FALSE)="Ice",Backdoors!BE4,IF(VLOOKUP(tbMoveset!A24,tbMoveset!A2:I112,9,FALSE)="Dragon",Backdoors!BF4,Backdoors!BG4)))))/100,Backdoors!BG4/100),"")</f>
        <v>0</v>
      </c>
      <c r="K24" s="49">
        <f>IFERROR(IF(VLOOKUP(A24,tbMoveset!A2:J112,10,FALSE)=TRUE,IF((Backdoors!AI12+IF(I24&gt;=0.45,VLOOKUP(Calculator!E23,tbSkills!DH3:DI6,2,FALSE)+IF(AND(Calculator!B8=TRUE,Backdoors!BI4=TRUE),VLOOKUP(Calculator!E23,tbSkills!DH3:DJ6,3,FALSE),0),0))&gt;=0,1+(Backdoors!AL2*(IF((Backdoors!AI12+IF(I24&gt;=0.45,VLOOKUP(Calculator!E23,tbSkills!DH3:DI6,2,FALSE)+IF(AND(Calculator!B8=TRUE,Backdoors!BI4=TRUE),VLOOKUP(Calculator!E23,tbSkills!DH3:DJ6,3,FALSE),0),0))&gt;=100,100,(Backdoors!AI12+IF(I24&gt;=0.45,VLOOKUP(Calculator!E23,tbSkills!DH3:DI6,2,FALSE)+IF(AND(Calculator!B8=TRUE,Backdoors!BI4=TRUE),VLOOKUP(Calculator!E23,tbSkills!DH3:DJ6,3,FALSE),0),0)))/100)),(1-(0.25*((-Backdoors!AI12-IF(I24&gt;=0.45,VLOOKUP(Calculator!E23,tbSkills!DH3:DI6,2,FALSE)+IF(AND(Calculator!B8=TRUE,Backdoors!BI4=TRUE),VLOOKUP(Calculator!E23,tbSkills!DH3:DJ6,3,FALSE),0),0))/100)))),1),"")</f>
        <v>1</v>
      </c>
      <c r="L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24)*K24)*(VLOOKUP(A24,tbMoveset!A2:C112,3,FALSE)/100)*IF(VLOOKUP(A24,tbMoveset!A2:B112,2,FALSE)="Projectile",Backdoors!N10,Backdoors!N9),0),"")</f>
        <v>6</v>
      </c>
      <c r="M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I24&gt;=0.45,VLOOKUP(Calculator!E23,tbSkills!DH3:DI6,2,FALSE)+IF(AND(Calculator!B8=TRUE,Backdoors!BI4=TRUE),VLOOKUP(Calculator!E23,tbSkills!DH3:DJ6,3,FALSE),0),0))&gt;=100,100,(Backdoors!AI12+IF(I24&gt;=0.45,VLOOKUP(Calculator!E23,tbSkills!DH3:DI6,2,FALSE)+IF(AND(Calculator!B8=TRUE,Backdoors!BI4=TRUE),VLOOKUP(Calculator!E23,tbSkills!DH3:DJ6,3,FALSE),0),0)))/100)),1))*IF(VLOOKUP(A24,tbMoveset!A2:K112,11,FALSE)=TRUE,Backdoors!AC5,1))*J24,0),"")</f>
        <v>0</v>
      </c>
      <c r="N24" s="49">
        <f>VLOOKUP(A24,tbMoveset!A2:G112,7,FALSE)*IFERROR(IF(Backdoors!AI12&gt;=0,1+(IF(Calculator!E40&gt;0,VLOOKUP(Calculator!E40,tbSkills!AI3:AJ5,2,FALSE),Backdoors!AL4)*(IF((Backdoors!AI12+IF(I24&gt;=0.45,VLOOKUP(Calculator!E23,tbSkills!DH3:DI6,2,FALSE)+IF(AND(Calculator!B8=TRUE,Backdoors!BI4=TRUE),VLOOKUP(Calculator!E23,tbSkills!DH3:DJ6,3,FALSE),0),0))&gt;=100,100,(Backdoors!AI12+IF(I24&gt;=0.45,VLOOKUP(Calculator!E23,tbSkills!DH3:DI6,2,FALSE)+IF(AND(Calculator!B8=TRUE,Backdoors!BI4=TRUE),VLOOKUP(Calculator!E23,tbSkills!DH3:DJ6,3,FALSE),0),0)))/100)),1),1)</f>
        <v>1</v>
      </c>
      <c r="O24" s="87">
        <f t="shared" si="36"/>
        <v>6</v>
      </c>
      <c r="P24" s="86">
        <f>IFERROR(IF(VLOOKUP(A24,tbMoveset!A2:B112,2,FALSE)="Sever",Backdoors!AY5/100,IF(VLOOKUP(A24,tbMoveset!A2:B112,2,FALSE)="Blunt",Backdoors!AZ5/100,Backdoors!BA5/100)),"")</f>
        <v>0.5</v>
      </c>
      <c r="Q24" s="49">
        <f>IFERROR(IF(VLOOKUP(tbMoveset!A24,tbMoveset!A2:H112,8,FALSE)="Other",IF(VLOOKUP(tbMoveset!A24,tbMoveset!A2:I112,9,FALSE)="Fire",Backdoors!BB5,IF(VLOOKUP(tbMoveset!A24,tbMoveset!A2:I112,9,FALSE)="Water",Backdoors!BC5,IF(VLOOKUP(tbMoveset!A24,tbMoveset!A2:I112,9,FALSE)="Thunder",Backdoors!BD5,IF(VLOOKUP(tbMoveset!A24,tbMoveset!A2:I112,9,FALSE)="Ice",Backdoors!BE5,IF(VLOOKUP(tbMoveset!A24,tbMoveset!A2:I112,9,FALSE)="Dragon",Backdoors!BF5,Backdoors!BG5)))))/100,Backdoors!BG5/100),"")</f>
        <v>0</v>
      </c>
      <c r="R24" s="49">
        <f>IFERROR(IF(VLOOKUP(A24,tbMoveset!A2:J112,10,FALSE)=TRUE,IF((Backdoors!AI12+IF(P24&gt;=0.45,VLOOKUP(Calculator!E23,tbSkills!DH3:DI6,2,FALSE)+IF(AND(Calculator!B8=TRUE,Backdoors!BI5=TRUE),VLOOKUP(Calculator!E23,tbSkills!DH3:DJ6,3,FALSE),0),0))&gt;=0,1+(Backdoors!AL2*(IF((Backdoors!AI12+IF(P24&gt;=0.45,VLOOKUP(Calculator!E23,tbSkills!DH3:DI6,2,FALSE)+IF(AND(Calculator!B8=TRUE,Backdoors!BI5=TRUE),VLOOKUP(Calculator!E23,tbSkills!DH3:DJ6,3,FALSE),0),0))&gt;=100,100,(Backdoors!AI12+IF(P24&gt;=0.45,VLOOKUP(Calculator!E23,tbSkills!DH3:DI6,2,FALSE)+IF(AND(Calculator!B8=TRUE,Backdoors!BI5=TRUE),VLOOKUP(Calculator!E23,tbSkills!DH3:DJ6,3,FALSE),0),0)))/100)),(1-(0.25*((-Backdoors!AI12-IF(P24&gt;=0.45,VLOOKUP(Calculator!E23,tbSkills!DH3:DI6,2,FALSE)+IF(AND(Calculator!B8=TRUE,Backdoors!BI5=TRUE),VLOOKUP(Calculator!E23,tbSkills!DH3:DJ6,3,FALSE),0),0))/100)))),1),"")</f>
        <v>1</v>
      </c>
      <c r="S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P24)*R24)*(VLOOKUP(A24,tbMoveset!A2:C112,3,FALSE)/100)*IF(VLOOKUP(A24,tbMoveset!A2:B112,2,FALSE)="Projectile",Backdoors!N10,Backdoors!N9),0),"")</f>
        <v>5</v>
      </c>
      <c r="T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P24&gt;=0.45,VLOOKUP(Calculator!E23,tbSkills!DH3:DI6,2,FALSE)+IF(AND(Calculator!B8=TRUE,Backdoors!BI5=TRUE),VLOOKUP(Calculator!E23,tbSkills!DH3:DJ6,3,FALSE),0),0))&gt;=100,100,(Backdoors!AI12+IF(P24&gt;=0.45,VLOOKUP(Calculator!E23,tbSkills!DH3:DI6,2,FALSE)+IF(AND(Calculator!B8=TRUE,Backdoors!BI5=TRUE),VLOOKUP(Calculator!E23,tbSkills!DH3:DJ6,3,FALSE),0),0)))/100)),1))*IF(VLOOKUP(A24,tbMoveset!A2:K112,11,FALSE)=TRUE,Backdoors!AC5,1))*Q24,0),"")</f>
        <v>0</v>
      </c>
      <c r="U24" s="49">
        <f>VLOOKUP(A24,tbMoveset!A2:G112,7,FALSE)*IFERROR(IF(Backdoors!AI12&gt;=0,1+(IF(Calculator!E40&gt;0,VLOOKUP(Calculator!E40,tbSkills!AI3:AJ5,2,FALSE),Backdoors!AL4)*(IF((Backdoors!AI12+IF(P24&gt;=0.45,VLOOKUP(Calculator!E23,tbSkills!DH3:DI6,2,FALSE)+IF(AND(Calculator!B8=TRUE,Backdoors!BI5=TRUE),VLOOKUP(Calculator!E23,tbSkills!DH3:DJ6,3,FALSE),0),0))&gt;=100,100,(Backdoors!AI12+IF(P24&gt;=0.45,VLOOKUP(Calculator!E23,tbSkills!DH3:DI6,2,FALSE)+IF(AND(Calculator!B8=TRUE,Backdoors!BI5=TRUE),VLOOKUP(Calculator!E23,tbSkills!DH3:DJ6,3,FALSE),0),0)))/100)),1),1)</f>
        <v>1</v>
      </c>
      <c r="V24" s="87">
        <f t="shared" si="37"/>
        <v>5</v>
      </c>
      <c r="W24" s="86">
        <f>IFERROR(IF(VLOOKUP(A24,tbMoveset!A2:B112,2,FALSE)="Sever",Backdoors!AY6/100,IF(VLOOKUP(A24,tbMoveset!A2:B112,2,FALSE)="Blunt",Backdoors!AZ6/100,Backdoors!BA6/100)),"")</f>
        <v>0.45</v>
      </c>
      <c r="X24" s="49">
        <f>IFERROR(IF(VLOOKUP(tbMoveset!A24,tbMoveset!A2:H112,8,FALSE)="Other",IF(VLOOKUP(tbMoveset!A24,tbMoveset!A2:I112,9,FALSE)="Fire",Backdoors!BB6,IF(VLOOKUP(tbMoveset!A24,tbMoveset!A2:I112,9,FALSE)="Water",Backdoors!BC6,IF(VLOOKUP(tbMoveset!A24,tbMoveset!A2:I112,9,FALSE)="Thunder",Backdoors!BD6,IF(VLOOKUP(tbMoveset!A24,tbMoveset!A2:I112,9,FALSE)="Ice",Backdoors!BE6,IF(VLOOKUP(tbMoveset!A24,tbMoveset!A2:I112,9,FALSE)="Dragon",Backdoors!BF6,Backdoors!BG6)))))/100,Backdoors!BG6/100),"")</f>
        <v>0</v>
      </c>
      <c r="Y24" s="49">
        <f>IFERROR(IF(VLOOKUP(A24,tbMoveset!A2:J112,10,FALSE)=TRUE,IF((Backdoors!AI12+IF(W24&gt;=0.45,VLOOKUP(Calculator!E23,tbSkills!DH3:DI6,2,FALSE)+IF(AND(Calculator!B8=TRUE,Backdoors!BI6=TRUE),VLOOKUP(Calculator!E23,tbSkills!DH3:DJ6,3,FALSE),0),0))&gt;=0,1+(Backdoors!AL2*(IF((Backdoors!AI12+IF(W24&gt;=0.45,VLOOKUP(Calculator!E23,tbSkills!DH3:DI6,2,FALSE)+IF(AND(Calculator!B8=TRUE,Backdoors!BI6=TRUE),VLOOKUP(Calculator!E23,tbSkills!DH3:DJ6,3,FALSE),0),0))&gt;=100,100,(Backdoors!AI12+IF(W24&gt;=0.45,VLOOKUP(Calculator!E23,tbSkills!DH3:DI6,2,FALSE)+IF(AND(Calculator!B8=TRUE,Backdoors!BI6=TRUE),VLOOKUP(Calculator!E23,tbSkills!DH3:DJ6,3,FALSE),0),0)))/100)),(1-(0.25*((-Backdoors!AI12-IF(W24&gt;=0.45,VLOOKUP(Calculator!E23,tbSkills!DH3:DI6,2,FALSE)+IF(AND(Calculator!B8=TRUE,Backdoors!BI6=TRUE),VLOOKUP(Calculator!E23,tbSkills!DH3:DJ6,3,FALSE),0),0))/100)))),1),"")</f>
        <v>1</v>
      </c>
      <c r="Z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W24)*Y24)*(VLOOKUP(A24,tbMoveset!A2:C112,3,FALSE)/100)*IF(VLOOKUP(A24,tbMoveset!A2:B112,2,FALSE)="Projectile",Backdoors!N10,Backdoors!N9),0),"")</f>
        <v>4</v>
      </c>
      <c r="AA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W24&gt;=0.45,VLOOKUP(Calculator!E23,tbSkills!DH3:DI6,2,FALSE)+IF(AND(Calculator!B8=TRUE,Backdoors!BI6=TRUE),VLOOKUP(Calculator!E23,tbSkills!DH3:DJ6,3,FALSE),0),0))&gt;=100,100,(Backdoors!AI12+IF(W24&gt;=0.45,VLOOKUP(Calculator!E23,tbSkills!DH3:DI6,2,FALSE)+IF(AND(Calculator!B8=TRUE,Backdoors!BI6=TRUE),VLOOKUP(Calculator!E23,tbSkills!DH3:DJ6,3,FALSE),0),0)))/100)),1))*IF(VLOOKUP(A24,tbMoveset!A2:K112,11,FALSE)=TRUE,Backdoors!AC5,1))*X24,0),"")</f>
        <v>0</v>
      </c>
      <c r="AB24" s="49">
        <f>VLOOKUP(A24,tbMoveset!A2:G112,7,FALSE)*IFERROR(IF(Backdoors!AI12&gt;=0,1+(IF(Calculator!E40&gt;0,VLOOKUP(Calculator!E40,tbSkills!AI3:AJ5,2,FALSE),Backdoors!AL4)*(IF((Backdoors!AI12+IF(W24&gt;=0.45,VLOOKUP(Calculator!E23,tbSkills!DH3:DI6,2,FALSE)+IF(AND(Calculator!B8=TRUE,Backdoors!BI6=TRUE),VLOOKUP(Calculator!E23,tbSkills!DH3:DJ6,3,FALSE),0),0))&gt;=100,100,(Backdoors!AI12+IF(W24&gt;=0.45,VLOOKUP(Calculator!E23,tbSkills!DH3:DI6,2,FALSE)+IF(AND(Calculator!B8=TRUE,Backdoors!BI6=TRUE),VLOOKUP(Calculator!E23,tbSkills!DH3:DJ6,3,FALSE),0),0)))/100)),1),1)</f>
        <v>1</v>
      </c>
      <c r="AC24" s="87">
        <f t="shared" si="0"/>
        <v>4</v>
      </c>
      <c r="AD24" s="86">
        <f>IFERROR(IF(VLOOKUP(A24,tbMoveset!A2:B112,2,FALSE)="Sever",Backdoors!AY7/100,IF(VLOOKUP(A24,tbMoveset!A2:B112,2,FALSE)="Blunt",Backdoors!AZ7/100,Backdoors!BA7/100)),"")</f>
        <v>0.65</v>
      </c>
      <c r="AE24" s="49">
        <f>IFERROR(IF(VLOOKUP(tbMoveset!A24,tbMoveset!A2:H112,8,FALSE)="Other",IF(VLOOKUP(tbMoveset!A24,tbMoveset!A2:I112,9,FALSE)="Fire",Backdoors!BB7,IF(VLOOKUP(tbMoveset!A24,tbMoveset!A2:I112,9,FALSE)="Water",Backdoors!BC7,IF(VLOOKUP(tbMoveset!A24,tbMoveset!A2:I112,9,FALSE)="Thunder",Backdoors!BD7,IF(VLOOKUP(tbMoveset!A24,tbMoveset!A2:I112,9,FALSE)="Ice",Backdoors!BE7,IF(VLOOKUP(tbMoveset!A24,tbMoveset!A2:I112,9,FALSE)="Dragon",Backdoors!BF7,Backdoors!BG7)))))/100,Backdoors!BG7/100),"")</f>
        <v>0</v>
      </c>
      <c r="AF24" s="49">
        <f>IFERROR(IF(VLOOKUP(A24,tbMoveset!A2:J112,10,FALSE)=TRUE,IF((Backdoors!AI12+IF(AD24&gt;=0.45,VLOOKUP(Calculator!E23,tbSkills!DH3:DI6,2,FALSE)+IF(AND(Calculator!B8=TRUE,Backdoors!BI7=TRUE),VLOOKUP(Calculator!E23,tbSkills!DH3:DJ6,3,FALSE),0),0))&gt;=0,1+(Backdoors!AL2*(IF((Backdoors!AI12+IF(AD24&gt;=0.45,VLOOKUP(Calculator!E23,tbSkills!DH3:DI6,2,FALSE)+IF(AND(Calculator!B8=TRUE,Backdoors!BI7=TRUE),VLOOKUP(Calculator!E23,tbSkills!DH3:DJ6,3,FALSE),0),0))&gt;=100,100,(Backdoors!AI12+IF(AD24&gt;=0.45,VLOOKUP(Calculator!E23,tbSkills!DH3:DI6,2,FALSE)+IF(AND(Calculator!B8=TRUE,Backdoors!BI7=TRUE),VLOOKUP(Calculator!E23,tbSkills!DH3:DJ6,3,FALSE),0),0)))/100)),(1-(0.25*((-Backdoors!AI12-IF(AD24&gt;=0.45,VLOOKUP(Calculator!E23,tbSkills!DH3:DI6,2,FALSE)+IF(AND(Calculator!B8=TRUE,Backdoors!BI7=TRUE),VLOOKUP(Calculator!E23,tbSkills!DH3:DJ6,3,FALSE),0),0))/100)))),1),"")</f>
        <v>1</v>
      </c>
      <c r="AG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D24)*AF24)*(VLOOKUP(A24,tbMoveset!A2:C112,3,FALSE)/100)*IF(VLOOKUP(A24,tbMoveset!A2:B112,2,FALSE)="Projectile",Backdoors!N10,Backdoors!N9),0),"")</f>
        <v>6</v>
      </c>
      <c r="AH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D24&gt;=0.45,VLOOKUP(Calculator!E23,tbSkills!DH3:DI6,2,FALSE)+IF(AND(Calculator!B8=TRUE,Backdoors!BI7=TRUE),VLOOKUP(Calculator!E23,tbSkills!DH3:DJ6,3,FALSE),0),0))&gt;=100,100,(Backdoors!AI12+IF(AD24&gt;=0.45,VLOOKUP(Calculator!E23,tbSkills!DH3:DI6,2,FALSE)+IF(AND(Calculator!B8=TRUE,Backdoors!BI7=TRUE),VLOOKUP(Calculator!E23,tbSkills!DH3:DJ6,3,FALSE),0),0)))/100)),1))*IF(VLOOKUP(A24,tbMoveset!A2:K112,11,FALSE)=TRUE,Backdoors!AC5,1))*AE24,0),"")</f>
        <v>0</v>
      </c>
      <c r="AI24" s="49">
        <f>VLOOKUP(A24,tbMoveset!A2:G112,7,FALSE)*IFERROR(IF(Backdoors!AI12&gt;=0,1+(IF(Calculator!E40&gt;0,VLOOKUP(Calculator!E40,tbSkills!AI3:AJ5,2,FALSE),Backdoors!AL4)*(IF((Backdoors!AI12+IF(AD24&gt;=0.45,VLOOKUP(Calculator!E23,tbSkills!DH3:DI6,2,FALSE)+IF(AND(Calculator!B8=TRUE,Backdoors!BI7=TRUE),VLOOKUP(Calculator!E23,tbSkills!DH3:DJ6,3,FALSE),0),0))&gt;=100,100,(Backdoors!AI12+IF(AD24&gt;=0.45,VLOOKUP(Calculator!E23,tbSkills!DH3:DI6,2,FALSE)+IF(AND(Calculator!B8=TRUE,Backdoors!BI7=TRUE),VLOOKUP(Calculator!E23,tbSkills!DH3:DJ6,3,FALSE),0),0)))/100)),1),1)</f>
        <v>1</v>
      </c>
      <c r="AJ24" s="87">
        <f t="shared" si="1"/>
        <v>6</v>
      </c>
      <c r="AK24" s="91">
        <f>IFERROR(IF(VLOOKUP(A24,tbMoveset!A2:B112,2,FALSE)="Sever",Backdoors!AY8/100,IF(VLOOKUP(A24,tbMoveset!A2:B112,2,FALSE)="Blunt",Backdoors!AZ8/100,Backdoors!BA8/100)),"")</f>
        <v>0.45</v>
      </c>
      <c r="AL24" s="49">
        <f>IFERROR(IF(VLOOKUP(tbMoveset!A24,tbMoveset!A2:H112,8,FALSE)="Other",IF(VLOOKUP(tbMoveset!A24,tbMoveset!A2:I112,9,FALSE)="Fire",Backdoors!BB8,IF(VLOOKUP(tbMoveset!A24,tbMoveset!A2:I112,9,FALSE)="Water",Backdoors!BC8,IF(VLOOKUP(tbMoveset!A24,tbMoveset!A2:I112,9,FALSE)="Thunder",Backdoors!BD8,IF(VLOOKUP(tbMoveset!A24,tbMoveset!A2:I112,9,FALSE)="Ice",Backdoors!BE8,IF(VLOOKUP(tbMoveset!A24,tbMoveset!A2:I112,9,FALSE)="Dragon",Backdoors!BF8,Backdoors!BG8)))))/100,Backdoors!BG8/100),"")</f>
        <v>0</v>
      </c>
      <c r="AM24" s="49">
        <f>IFERROR(IF(VLOOKUP(A24,tbMoveset!A2:J112,10,FALSE)=TRUE,IF((Backdoors!AI12+IF(AK24&gt;=0.45,VLOOKUP(Calculator!E23,tbSkills!DH3:DI6,2,FALSE)+IF(AND(Calculator!B8=TRUE,Backdoors!BI8=TRUE),VLOOKUP(Calculator!E23,tbSkills!DH3:DJ6,3,FALSE),0),0))&gt;=0,1+(Backdoors!AL2*(IF((Backdoors!AI12+IF(AK24&gt;=0.45,VLOOKUP(Calculator!E23,tbSkills!DH3:DI6,2,FALSE)+IF(AND(Calculator!B8=TRUE,Backdoors!BI8=TRUE),VLOOKUP(Calculator!E23,tbSkills!DH3:DJ6,3,FALSE),0),0))&gt;=100,100,(Backdoors!AI12+IF(AK24&gt;=0.45,VLOOKUP(Calculator!E23,tbSkills!DH3:DI6,2,FALSE)+IF(AND(Calculator!B8=TRUE,Backdoors!BI8=TRUE),VLOOKUP(Calculator!E23,tbSkills!DH3:DJ6,3,FALSE),0),0)))/100)),(1-(0.25*((-Backdoors!AI12-IF(AK24&gt;=0.45,VLOOKUP(Calculator!E23,tbSkills!DH3:DI6,2,FALSE)+IF(AND(Calculator!B8=TRUE,Backdoors!BI8=TRUE),VLOOKUP(Calculator!E23,tbSkills!DH3:DJ6,3,FALSE),0),0))/100)))),1),"")</f>
        <v>1</v>
      </c>
      <c r="AN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K24)*AM24)*(VLOOKUP(A24,tbMoveset!A2:C112,3,FALSE)/100)*IF(VLOOKUP(A24,tbMoveset!A2:B112,2,FALSE)="Projectile",Backdoors!N10,Backdoors!N9),0),"")</f>
        <v>4</v>
      </c>
      <c r="AO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K24&gt;=0.45,VLOOKUP(Calculator!E23,tbSkills!DH3:DI6,2,FALSE)+IF(AND(Calculator!B8=TRUE,Backdoors!BI8=TRUE),VLOOKUP(Calculator!E23,tbSkills!DH3:DJ6,3,FALSE),0),0))&gt;=100,100,(Backdoors!AI12+IF(AK24&gt;=0.45,VLOOKUP(Calculator!E23,tbSkills!DH3:DI6,2,FALSE)+IF(AND(Calculator!B8=TRUE,Backdoors!BI8=TRUE),VLOOKUP(Calculator!E23,tbSkills!DH3:DJ6,3,FALSE),0),0)))/100)),1))*IF(VLOOKUP(A24,tbMoveset!A2:K112,11,FALSE)=TRUE,Backdoors!AC5,1))*AL24,0),"")</f>
        <v>0</v>
      </c>
      <c r="AP24" s="49">
        <f>VLOOKUP(A24,tbMoveset!A2:G112,7,FALSE)*IFERROR(IF(Backdoors!AI12&gt;=0,1+(IF(Calculator!E40&gt;0,VLOOKUP(Calculator!E40,tbSkills!AI3:AJ5,2,FALSE),Backdoors!AL4)*(IF((Backdoors!AI12+IF(AK24&gt;=0.45,VLOOKUP(Calculator!E23,tbSkills!DH3:DI6,2,FALSE)+IF(AND(Calculator!B8=TRUE,Backdoors!BI8=TRUE),VLOOKUP(Calculator!E23,tbSkills!DH3:DJ6,3,FALSE),0),0))&gt;=100,100,(Backdoors!AI12+IF(AK24&gt;=0.45,VLOOKUP(Calculator!E23,tbSkills!DH3:DI6,2,FALSE)+IF(AND(Calculator!B8=TRUE,Backdoors!BI8=TRUE),VLOOKUP(Calculator!E23,tbSkills!DH3:DJ6,3,FALSE),0),0)))/100)),1),1)</f>
        <v>1</v>
      </c>
      <c r="AQ24" s="87">
        <f t="shared" si="2"/>
        <v>4</v>
      </c>
      <c r="AR24" s="86">
        <f>IFERROR(IF(VLOOKUP(A24,tbMoveset!A2:B112,2,FALSE)="Sever",Backdoors!AY9/100,IF(VLOOKUP(A24,tbMoveset!A2:B112,2,FALSE)="Blunt",Backdoors!AZ9/100,Backdoors!BA9/100)),"")</f>
        <v>0.45</v>
      </c>
      <c r="AS24" s="49">
        <f>IFERROR(IF(VLOOKUP(tbMoveset!A24,tbMoveset!A2:H112,8,FALSE)="Other",IF(VLOOKUP(tbMoveset!A24,tbMoveset!A2:I112,9,FALSE)="Fire",Backdoors!BB9,IF(VLOOKUP(tbMoveset!A24,tbMoveset!A2:I112,9,FALSE)="Water",Backdoors!BC9,IF(VLOOKUP(tbMoveset!A24,tbMoveset!A2:I112,9,FALSE)="Thunder",Backdoors!BD9,IF(VLOOKUP(tbMoveset!A24,tbMoveset!A2:I112,9,FALSE)="Ice",Backdoors!BE9,IF(VLOOKUP(tbMoveset!A24,tbMoveset!A2:I112,9,FALSE)="Dragon",Backdoors!BF9,Backdoors!BG9)))))/100,Backdoors!BG9/100),"")</f>
        <v>0</v>
      </c>
      <c r="AT24" s="49">
        <f>IFERROR(IF(VLOOKUP(A24,tbMoveset!A2:J112,10,FALSE)=TRUE,IF((Backdoors!AI12+IF(AR24&gt;=0.45,VLOOKUP(Calculator!E23,tbSkills!DH3:DI6,2,FALSE)+IF(AND(Calculator!B8=TRUE,Backdoors!BI9=TRUE),VLOOKUP(Calculator!E23,tbSkills!DH3:DJ6,3,FALSE),0),0))&gt;=0,1+(Backdoors!AL2*(IF((Backdoors!AI12+IF(AR24&gt;=0.45,VLOOKUP(Calculator!E23,tbSkills!DH3:DI6,2,FALSE)+IF(AND(Calculator!B8=TRUE,Backdoors!BI9=TRUE),VLOOKUP(Calculator!E23,tbSkills!DH3:DJ6,3,FALSE),0),0))&gt;=100,100,(Backdoors!AI12+IF(AR24&gt;=0.45,VLOOKUP(Calculator!E23,tbSkills!DH3:DI6,2,FALSE)+IF(AND(Calculator!B8=TRUE,Backdoors!BI9=TRUE),VLOOKUP(Calculator!E23,tbSkills!DH3:DJ6,3,FALSE),0),0)))/100)),(1-(0.25*((-Backdoors!AI12-IF(AR24&gt;=0.45,VLOOKUP(Calculator!E23,tbSkills!DH3:DI6,2,FALSE)+IF(AND(Calculator!B8=TRUE,Backdoors!BI9=TRUE),VLOOKUP(Calculator!E23,tbSkills!DH3:DJ6,3,FALSE),0),0))/100)))),1),"")</f>
        <v>1</v>
      </c>
      <c r="AU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R24)*AT24)*(VLOOKUP(A24,tbMoveset!A2:C112,3,FALSE)/100)*IF(VLOOKUP(A24,tbMoveset!A2:B112,2,FALSE)="Projectile",Backdoors!N10,Backdoors!N9),0),"")</f>
        <v>4</v>
      </c>
      <c r="AV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R24&gt;=0.45,VLOOKUP(Calculator!E23,tbSkills!DH3:DI6,2,FALSE)+IF(AND(Calculator!B8=TRUE,Backdoors!BI9=TRUE),VLOOKUP(Calculator!E23,tbSkills!DH3:DJ6,3,FALSE),0),0))&gt;=100,100,(Backdoors!AI12+IF(AR24&gt;=0.45,VLOOKUP(Calculator!E23,tbSkills!DH3:DI6,2,FALSE)+IF(AND(Calculator!B8=TRUE,Backdoors!BI9=TRUE),VLOOKUP(Calculator!E23,tbSkills!DH3:DJ6,3,FALSE),0),0)))/100)),1))*IF(VLOOKUP(A24,tbMoveset!A2:K112,11,FALSE)=TRUE,Backdoors!AC5,1))*AS24,0),"")</f>
        <v>0</v>
      </c>
      <c r="AW24" s="49">
        <f>VLOOKUP(A24,tbMoveset!A2:G112,7,FALSE)*IFERROR(IF(Backdoors!AI12&gt;=0,1+(IF(Calculator!E40&gt;0,VLOOKUP(Calculator!E40,tbSkills!AI3:AJ5,2,FALSE),Backdoors!AL4)*(IF((Backdoors!AI12+IF(AR24&gt;=0.45,VLOOKUP(Calculator!E23,tbSkills!DH3:DI6,2,FALSE)+IF(AND(Calculator!B8=TRUE,Backdoors!BI9=TRUE),VLOOKUP(Calculator!E23,tbSkills!DH3:DJ6,3,FALSE),0),0))&gt;=100,100,(Backdoors!AI12+IF(AR24&gt;=0.45,VLOOKUP(Calculator!E23,tbSkills!DH3:DI6,2,FALSE)+IF(AND(Calculator!B8=TRUE,Backdoors!BI9=TRUE),VLOOKUP(Calculator!E23,tbSkills!DH3:DJ6,3,FALSE),0),0)))/100)),1),1)</f>
        <v>1</v>
      </c>
      <c r="AX24" s="87">
        <f t="shared" si="38"/>
        <v>4</v>
      </c>
      <c r="AY24" s="86">
        <f>IFERROR(IF(VLOOKUP(A24,tbMoveset!A2:B112,2,FALSE)="Sever",Backdoors!AY10/100,IF(VLOOKUP(A24,tbMoveset!A2:B112,2,FALSE)="Blunt",Backdoors!AZ10/100,Backdoors!BA10/100)),"")</f>
        <v>0.9</v>
      </c>
      <c r="AZ24" s="49">
        <f>IFERROR(IF(VLOOKUP(tbMoveset!A24,tbMoveset!A2:H112,8,FALSE)="Other",IF(VLOOKUP(tbMoveset!A24,tbMoveset!A2:I112,9,FALSE)="Fire",Backdoors!BB10,IF(VLOOKUP(tbMoveset!A24,tbMoveset!A2:I112,9,FALSE)="Water",Backdoors!BC10,IF(VLOOKUP(tbMoveset!A24,tbMoveset!A2:I112,9,FALSE)="Thunder",Backdoors!BD10,IF(VLOOKUP(tbMoveset!A24,tbMoveset!A2:I112,9,FALSE)="Ice",Backdoors!BE10,IF(VLOOKUP(tbMoveset!A24,tbMoveset!A2:I112,9,FALSE)="Dragon",Backdoors!BF10,Backdoors!BG10)))))/100,Backdoors!BG10/100),"")</f>
        <v>0</v>
      </c>
      <c r="BA24" s="49">
        <f>IFERROR(IF(VLOOKUP(A24,tbMoveset!A2:J112,10,FALSE)=TRUE,IF((Backdoors!AI12+IF(AY24&gt;=0.45,VLOOKUP(Calculator!E23,tbSkills!DH3:DI6,2,FALSE)+IF(AND(Calculator!B8=TRUE,Backdoors!BI10=TRUE),VLOOKUP(Calculator!E23,tbSkills!DH3:DJ6,3,FALSE),0),0))&gt;=0,1+(Backdoors!AL2*(IF((Backdoors!AI12+IF(AY24&gt;=0.45,VLOOKUP(Calculator!E23,tbSkills!DH3:DI6,2,FALSE)+IF(AND(Calculator!B8=TRUE,Backdoors!BI10=TRUE),VLOOKUP(Calculator!E23,tbSkills!DH3:DJ6,3,FALSE),0),0))&gt;=100,100,(Backdoors!AI12+IF(AY24&gt;=0.45,VLOOKUP(Calculator!E23,tbSkills!DH3:DI6,2,FALSE)+IF(AND(Calculator!B8=TRUE,Backdoors!BI10=TRUE),VLOOKUP(Calculator!E23,tbSkills!DH3:DJ6,3,FALSE),0),0)))/100)),(1-(0.25*((-Backdoors!AI12-IF(AY24&gt;=0.45,VLOOKUP(Calculator!E23,tbSkills!DH3:DI6,2,FALSE)+IF(AND(Calculator!B8=TRUE,Backdoors!BI10=TRUE),VLOOKUP(Calculator!E23,tbSkills!DH3:DJ6,3,FALSE),0),0))/100)))),1),"")</f>
        <v>1</v>
      </c>
      <c r="BB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Y24)*BA24)*(VLOOKUP(A24,tbMoveset!A2:C112,3,FALSE)/100)*IF(VLOOKUP(A24,tbMoveset!A2:B112,2,FALSE)="Projectile",Backdoors!N10,Backdoors!N9),0),"")</f>
        <v>8</v>
      </c>
      <c r="BC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Y24&gt;=0.45,VLOOKUP(Calculator!E23,tbSkills!DH3:DI6,2,FALSE)+IF(AND(Calculator!B8=TRUE,Backdoors!BI10=TRUE),VLOOKUP(Calculator!E23,tbSkills!DH3:DJ6,3,FALSE),0),0))&gt;=100,100,(Backdoors!AI12+IF(AY24&gt;=0.45,VLOOKUP(Calculator!E23,tbSkills!DH3:DI6,2,FALSE)+IF(AND(Calculator!B8=TRUE,Backdoors!BI10=TRUE),VLOOKUP(Calculator!E23,tbSkills!DH3:DJ6,3,FALSE),0),0)))/100)),1))*IF(VLOOKUP(A24,tbMoveset!A2:K112,11,FALSE)=TRUE,Backdoors!AC5,1))*AZ24,0),"")</f>
        <v>0</v>
      </c>
      <c r="BD24" s="49">
        <f>VLOOKUP(A24,tbMoveset!A2:G112,7,FALSE)*IFERROR(IF(Backdoors!AI12&gt;=0,1+(IF(Calculator!E40&gt;0,VLOOKUP(Calculator!E40,tbSkills!AI3:AJ5,2,FALSE),Backdoors!AL4)*(IF((Backdoors!AI12+IF(AY24&gt;=0.45,VLOOKUP(Calculator!E23,tbSkills!DH3:DI6,2,FALSE)+IF(AND(Calculator!B8=TRUE,Backdoors!BI10=TRUE),VLOOKUP(Calculator!E23,tbSkills!DH3:DJ6,3,FALSE),0),0))&gt;=100,100,(Backdoors!AI12+IF(AY24&gt;=0.45,VLOOKUP(Calculator!E23,tbSkills!DH3:DI6,2,FALSE)+IF(AND(Calculator!B8=TRUE,Backdoors!BI10=TRUE),VLOOKUP(Calculator!E23,tbSkills!DH3:DJ6,3,FALSE),0),0)))/100)),1),1)</f>
        <v>1</v>
      </c>
      <c r="BE24" s="87">
        <f t="shared" si="3"/>
        <v>8</v>
      </c>
      <c r="BF24" s="86" t="str">
        <f>IFERROR(IF(VLOOKUP(A24,tbMoveset!A2:B112,2,FALSE)="Sever",Backdoors!AY11/100,IF(VLOOKUP(A24,tbMoveset!A2:B112,2,FALSE)="Blunt",Backdoors!AZ11/100,Backdoors!BA11/100)),"")</f>
        <v/>
      </c>
      <c r="BG24" s="49">
        <f>IFERROR(IF(VLOOKUP(tbMoveset!A24,tbMoveset!A2:H112,8,FALSE)="Other",IF(VLOOKUP(tbMoveset!A24,tbMoveset!A2:I112,9,FALSE)="Fire",Backdoors!BB11,IF(VLOOKUP(tbMoveset!A24,tbMoveset!A2:I112,9,FALSE)="Water",Backdoors!BC11,IF(VLOOKUP(tbMoveset!A24,tbMoveset!A2:I112,9,FALSE)="Thunder",Backdoors!BD11,IF(VLOOKUP(tbMoveset!A24,tbMoveset!A2:I112,9,FALSE)="Ice",Backdoors!BE11,IF(VLOOKUP(tbMoveset!A24,tbMoveset!A2:I112,9,FALSE)="Dragon",Backdoors!BF11,Backdoors!BG11)))))/100,Backdoors!BG11/100),"")</f>
        <v>0</v>
      </c>
      <c r="BH24" s="49">
        <f>IFERROR(IF(VLOOKUP(A24,tbMoveset!A2:J112,10,FALSE)=TRUE,IF((Backdoors!AI12+IF(BF24&gt;=0.45,VLOOKUP(Calculator!E23,tbSkills!DH3:DI6,2,FALSE)+IF(AND(Calculator!B8=TRUE,Backdoors!BI11=TRUE),VLOOKUP(Calculator!E23,tbSkills!DH3:DJ6,3,FALSE),0),0))&gt;=0,1+(Backdoors!AL2*(IF((Backdoors!AI12+IF(BF24&gt;=0.45,VLOOKUP(Calculator!E23,tbSkills!DH3:DI6,2,FALSE)+IF(AND(Calculator!B8=TRUE,Backdoors!BI11=TRUE),VLOOKUP(Calculator!E23,tbSkills!DH3:DJ6,3,FALSE),0),0))&gt;=100,100,(Backdoors!AI12+IF(BF24&gt;=0.45,VLOOKUP(Calculator!E23,tbSkills!DH3:DI6,2,FALSE)+IF(AND(Calculator!B8=TRUE,Backdoors!BI11=TRUE),VLOOKUP(Calculator!E23,tbSkills!DH3:DJ6,3,FALSE),0),0)))/100)),(1-(0.25*((-Backdoors!AI12-IF(BF24&gt;=0.45,VLOOKUP(Calculator!E23,tbSkills!DH3:DI6,2,FALSE)+IF(AND(Calculator!B8=TRUE,Backdoors!BI11=TRUE),VLOOKUP(Calculator!E23,tbSkills!DH3:DJ6,3,FALSE),0),0))/100)))),1),"")</f>
        <v>1</v>
      </c>
      <c r="BI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F24)*BH24)*(VLOOKUP(A24,tbMoveset!A2:C112,3,FALSE)/100)*IF(VLOOKUP(A24,tbMoveset!A2:B112,2,FALSE)="Projectile",Backdoors!N10,Backdoors!N9),0),"")</f>
        <v/>
      </c>
      <c r="BJ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F24&gt;=0.45,VLOOKUP(Calculator!E23,tbSkills!DH3:DI6,2,FALSE)+IF(AND(Calculator!B8=TRUE,Backdoors!BI11=TRUE),VLOOKUP(Calculator!E23,tbSkills!DH3:DJ6,3,FALSE),0),0))&gt;=100,100,(Backdoors!AI12+IF(BF24&gt;=0.45,VLOOKUP(Calculator!E23,tbSkills!DH3:DI6,2,FALSE)+IF(AND(Calculator!B8=TRUE,Backdoors!BI11=TRUE),VLOOKUP(Calculator!E23,tbSkills!DH3:DJ6,3,FALSE),0),0)))/100)),1))*IF(VLOOKUP(A24,tbMoveset!A2:K112,11,FALSE)=TRUE,Backdoors!AC5,1))*BG24,0),"")</f>
        <v>0</v>
      </c>
      <c r="BK24" s="49">
        <f>VLOOKUP(A24,tbMoveset!A2:G112,7,FALSE)*IFERROR(IF(Backdoors!AI12&gt;=0,1+(IF(Calculator!E40&gt;0,VLOOKUP(Calculator!E40,tbSkills!AI3:AJ5,2,FALSE),Backdoors!AL4)*(IF((Backdoors!AI12+IF(BF24&gt;=0.45,VLOOKUP(Calculator!E23,tbSkills!DH3:DI6,2,FALSE)+IF(AND(Calculator!B8=TRUE,Backdoors!BI11=TRUE),VLOOKUP(Calculator!E23,tbSkills!DH3:DJ6,3,FALSE),0),0))&gt;=100,100,(Backdoors!AI12+IF(BF24&gt;=0.45,VLOOKUP(Calculator!E23,tbSkills!DH3:DI6,2,FALSE)+IF(AND(Calculator!B8=TRUE,Backdoors!BI11=TRUE),VLOOKUP(Calculator!E23,tbSkills!DH3:DJ6,3,FALSE),0),0)))/100)),1),1)</f>
        <v>1</v>
      </c>
      <c r="BL24" s="87">
        <f t="shared" si="4"/>
        <v>0</v>
      </c>
      <c r="BM24" s="86" t="str">
        <f>IFERROR(IF(VLOOKUP(A24,tbMoveset!A2:B112,2,FALSE)="Sever",Backdoors!AY12/100,IF(VLOOKUP(A24,tbMoveset!A2:B112,2,FALSE)="Blunt",Backdoors!AZ12/100,Backdoors!BA12/100)),"")</f>
        <v/>
      </c>
      <c r="BN24" s="49">
        <f>IFERROR(IF(VLOOKUP(tbMoveset!A24,tbMoveset!A2:H112,8,FALSE)="Other",IF(VLOOKUP(tbMoveset!A24,tbMoveset!A2:I112,9,FALSE)="Fire",Backdoors!BB12,IF(VLOOKUP(tbMoveset!A24,tbMoveset!A2:I112,9,FALSE)="Water",Backdoors!BC12,IF(VLOOKUP(tbMoveset!A24,tbMoveset!A2:I112,9,FALSE)="Thunder",Backdoors!BD12,IF(VLOOKUP(tbMoveset!A24,tbMoveset!A2:I112,9,FALSE)="Ice",Backdoors!BE12,IF(VLOOKUP(tbMoveset!A24,tbMoveset!A2:I112,9,FALSE)="Dragon",Backdoors!BF12,Backdoors!BG12)))))/100,Backdoors!BG12/100),"")</f>
        <v>0</v>
      </c>
      <c r="BO24" s="49">
        <f>IFERROR(IF(VLOOKUP(A24,tbMoveset!A2:J112,10,FALSE)=TRUE,IF((Backdoors!AI12+IF(BM24&gt;=0.45,VLOOKUP(Calculator!E23,tbSkills!DH3:DI6,2,FALSE)+IF(AND(Calculator!B8=TRUE,Backdoors!BI12=TRUE),VLOOKUP(Calculator!E23,tbSkills!DH3:DJ6,3,FALSE),0),0))&gt;=0,1+(Backdoors!AL2*(IF((Backdoors!AI12+IF(BM24&gt;=0.45,VLOOKUP(Calculator!E23,tbSkills!DH3:DI6,2,FALSE)+IF(AND(Calculator!B8=TRUE,Backdoors!BI12=TRUE),VLOOKUP(Calculator!E23,tbSkills!DH3:DJ6,3,FALSE),0),0))&gt;=100,100,(Backdoors!AI12+IF(BM24&gt;=0.45,VLOOKUP(Calculator!E23,tbSkills!DH3:DI6,2,FALSE)+IF(AND(Calculator!B8=TRUE,Backdoors!BI12=TRUE),VLOOKUP(Calculator!E23,tbSkills!DH3:DJ6,3,FALSE),0),0)))/100)),(1-(0.25*((-Backdoors!AI12-IF(BM24&gt;=0.45,VLOOKUP(Calculator!E23,tbSkills!DH3:DI6,2,FALSE)+IF(AND(Calculator!B8=TRUE,Backdoors!BI12=TRUE),VLOOKUP(Calculator!E23,tbSkills!DH3:DJ6,3,FALSE),0),0))/100)))),1),"")</f>
        <v>1</v>
      </c>
      <c r="BP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M24)*BO24)*(VLOOKUP(A24,tbMoveset!A2:C112,3,FALSE)/100)*IF(VLOOKUP(A24,tbMoveset!A2:B112,2,FALSE)="Projectile",Backdoors!N10,Backdoors!N9),0),"")</f>
        <v/>
      </c>
      <c r="BQ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M24&gt;=0.45,VLOOKUP(Calculator!E23,tbSkills!DH3:DI6,2,FALSE)+IF(AND(Calculator!B8=TRUE,Backdoors!BI12=TRUE),VLOOKUP(Calculator!E23,tbSkills!DH3:DJ6,3,FALSE),0),0))&gt;=100,100,(Backdoors!AI12+IF(BM24&gt;=0.45,VLOOKUP(Calculator!E23,tbSkills!DH3:DI6,2,FALSE)+IF(AND(Calculator!B8=TRUE,Backdoors!BI12=TRUE),VLOOKUP(Calculator!E23,tbSkills!DH3:DJ6,3,FALSE),0),0)))/100)),1))*IF(VLOOKUP(A24,tbMoveset!A2:K112,11,FALSE)=TRUE,Backdoors!AC5,1))*BN24,0),"")</f>
        <v>0</v>
      </c>
      <c r="BR24" s="49">
        <f>VLOOKUP(A24,tbMoveset!A2:G112,7,FALSE)*IFERROR(IF(Backdoors!AI12&gt;=0,1+(IF(Calculator!E40&gt;0,VLOOKUP(Calculator!E40,tbSkills!AI3:AJ5,2,FALSE),Backdoors!AL4)*(IF((Backdoors!AI12+IF(BM24&gt;=0.45,VLOOKUP(Calculator!E23,tbSkills!DH3:DI6,2,FALSE)+IF(AND(Calculator!B8=TRUE,Backdoors!BI12=TRUE),VLOOKUP(Calculator!E23,tbSkills!DH3:DJ6,3,FALSE),0),0))&gt;=100,100,(Backdoors!AI12+IF(BM24&gt;=0.45,VLOOKUP(Calculator!E23,tbSkills!DH3:DI6,2,FALSE)+IF(AND(Calculator!B8=TRUE,Backdoors!BI12=TRUE),VLOOKUP(Calculator!E23,tbSkills!DH3:DJ6,3,FALSE),0),0)))/100)),1),1)</f>
        <v>1</v>
      </c>
      <c r="BS24" s="87">
        <f t="shared" si="39"/>
        <v>0</v>
      </c>
      <c r="BT24" s="86" t="str">
        <f>IFERROR(IF(VLOOKUP(A24,tbMoveset!A2:B112,2,FALSE)="Sever",Backdoors!AY13/100,IF(VLOOKUP(A24,tbMoveset!A2:B112,2,FALSE)="Blunt",Backdoors!AZ13/100,Backdoors!BA13/100)),"")</f>
        <v/>
      </c>
      <c r="BU24" s="49">
        <f>IFERROR(IF(VLOOKUP(tbMoveset!A24,tbMoveset!A2:H112,8,FALSE)="Other",IF(VLOOKUP(tbMoveset!A24,tbMoveset!A2:I112,9,FALSE)="Fire",Backdoors!BB13,IF(VLOOKUP(tbMoveset!A24,tbMoveset!A2:I112,9,FALSE)="Water",Backdoors!BC13,IF(VLOOKUP(tbMoveset!A24,tbMoveset!A2:I112,9,FALSE)="Thunder",Backdoors!BD13,IF(VLOOKUP(tbMoveset!A24,tbMoveset!A2:I112,9,FALSE)="Ice",Backdoors!BE13,IF(VLOOKUP(tbMoveset!A24,tbMoveset!A2:I112,9,FALSE)="Dragon",Backdoors!BF13,Backdoors!BG13)))))/100,Backdoors!BG13/100),"")</f>
        <v>0</v>
      </c>
      <c r="BV24" s="49">
        <f>IFERROR(IF(VLOOKUP(A24,tbMoveset!A2:J112,10,FALSE)=TRUE,IF((Backdoors!AI12+IF(BT24&gt;=0.45,VLOOKUP(Calculator!E23,tbSkills!DH3:DI6,2,FALSE)+IF(AND(Calculator!B8=TRUE,Backdoors!BI13=TRUE),VLOOKUP(Calculator!E23,tbSkills!DH3:DJ6,3,FALSE),0),0))&gt;=0,1+(Backdoors!AL2*(IF((Backdoors!AI12+IF(BT24&gt;=0.45,VLOOKUP(Calculator!E23,tbSkills!DH3:DI6,2,FALSE)+IF(AND(Calculator!B8=TRUE,Backdoors!BI13=TRUE),VLOOKUP(Calculator!E23,tbSkills!DH3:DJ6,3,FALSE),0),0))&gt;=100,100,(Backdoors!AI12+IF(BT24&gt;=0.45,VLOOKUP(Calculator!E23,tbSkills!DH3:DI6,2,FALSE)+IF(AND(Calculator!B8=TRUE,Backdoors!BI13=TRUE),VLOOKUP(Calculator!E23,tbSkills!DH3:DJ6,3,FALSE),0),0)))/100)),(1-(0.25*((-Backdoors!AI12-IF(BT24&gt;=0.45,VLOOKUP(Calculator!E23,tbSkills!DH3:DI6,2,FALSE)+IF(AND(Calculator!B8=TRUE,Backdoors!BI13=TRUE),VLOOKUP(Calculator!E23,tbSkills!DH3:DJ6,3,FALSE),0),0))/100)))),1),"")</f>
        <v>1</v>
      </c>
      <c r="BW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T24)*BV24)*(VLOOKUP(A24,tbMoveset!A2:C112,3,FALSE)/100)*IF(VLOOKUP(A24,tbMoveset!A2:B112,2,FALSE)="Projectile",Backdoors!N10,Backdoors!N9),0),"")</f>
        <v/>
      </c>
      <c r="BX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T24&gt;=0.45,VLOOKUP(Calculator!E23,tbSkills!DH3:DI6,2,FALSE)+IF(AND(Calculator!B8=TRUE,Backdoors!BI13=TRUE),VLOOKUP(Calculator!E23,tbSkills!DH3:DJ6,3,FALSE),0),0))&gt;=100,100,(Backdoors!AI12+IF(BT24&gt;=0.45,VLOOKUP(Calculator!E23,tbSkills!DH3:DI6,2,FALSE)+IF(AND(Calculator!B8=TRUE,Backdoors!BI13=TRUE),VLOOKUP(Calculator!E23,tbSkills!DH3:DJ6,3,FALSE),0),0)))/100)),1))*IF(VLOOKUP(A24,tbMoveset!A2:K112,11,FALSE)=TRUE,Backdoors!AC5,1))*BU24,0),"")</f>
        <v>0</v>
      </c>
      <c r="BY24" s="49">
        <f>VLOOKUP(A24,tbMoveset!A2:G112,7,FALSE)*IFERROR(IF(Backdoors!AI12&gt;=0,1+(IF(Calculator!E40&gt;0,VLOOKUP(Calculator!E40,tbSkills!AI3:AJ5,2,FALSE),Backdoors!AL4)*(IF((Backdoors!AI12+IF(BT24&gt;=0.45,VLOOKUP(Calculator!E23,tbSkills!DH3:DI6,2,FALSE)+IF(AND(Calculator!B8=TRUE,Backdoors!BI13=TRUE),VLOOKUP(Calculator!E23,tbSkills!DH3:DJ6,3,FALSE),0),0))&gt;=100,100,(Backdoors!AI12+IF(BT24&gt;=0.45,VLOOKUP(Calculator!E23,tbSkills!DH3:DI6,2,FALSE)+IF(AND(Calculator!B8=TRUE,Backdoors!BI13=TRUE),VLOOKUP(Calculator!E23,tbSkills!DH3:DJ6,3,FALSE),0),0)))/100)),1),1)</f>
        <v>1</v>
      </c>
      <c r="BZ24" s="87">
        <f t="shared" si="5"/>
        <v>0</v>
      </c>
      <c r="CA24" s="86" t="str">
        <f>IFERROR(IF(VLOOKUP(A24,tbMoveset!A2:B112,2,FALSE)="Sever",Backdoors!AY14/100,IF(VLOOKUP(A24,tbMoveset!A2:B112,2,FALSE)="Blunt",Backdoors!AZ14/100,Backdoors!BA14/100)),"")</f>
        <v/>
      </c>
      <c r="CB24" s="49">
        <f>IFERROR(IF(VLOOKUP(tbMoveset!A24,tbMoveset!A2:H112,8,FALSE)="Other",IF(VLOOKUP(tbMoveset!A24,tbMoveset!A2:I112,9,FALSE)="Fire",Backdoors!BB14,IF(VLOOKUP(tbMoveset!A24,tbMoveset!A2:I112,9,FALSE)="Water",Backdoors!BC14,IF(VLOOKUP(tbMoveset!A24,tbMoveset!A2:I112,9,FALSE)="Thunder",Backdoors!BD14,IF(VLOOKUP(tbMoveset!A24,tbMoveset!A2:I112,9,FALSE)="Ice",Backdoors!BE14,IF(VLOOKUP(tbMoveset!A24,tbMoveset!A2:I112,9,FALSE)="Dragon",Backdoors!BF14,Backdoors!BG14)))))/100,Backdoors!BG14/100),"")</f>
        <v>0</v>
      </c>
      <c r="CC24" s="49">
        <f>IFERROR(IF(VLOOKUP(A24,tbMoveset!A2:J112,10,FALSE)=TRUE,IF((Backdoors!AI12+IF(CA24&gt;=0.45,VLOOKUP(Calculator!E23,tbSkills!DH3:DI6,2,FALSE)+IF(AND(Calculator!B8=TRUE,Backdoors!BI14=TRUE),VLOOKUP(Calculator!E23,tbSkills!DH3:DJ6,3,FALSE),0),0))&gt;=0,1+(Backdoors!AL2*(IF((Backdoors!AI12+IF(CA24&gt;=0.45,VLOOKUP(Calculator!E23,tbSkills!DH3:DI6,2,FALSE)+IF(AND(Calculator!B8=TRUE,Backdoors!BI14=TRUE),VLOOKUP(Calculator!E23,tbSkills!DH3:DJ6,3,FALSE),0),0))&gt;=100,100,(Backdoors!AI12+IF(CA24&gt;=0.45,VLOOKUP(Calculator!E23,tbSkills!DH3:DI6,2,FALSE)+IF(AND(Calculator!B8=TRUE,Backdoors!BI14=TRUE),VLOOKUP(Calculator!E23,tbSkills!DH3:DJ6,3,FALSE),0),0)))/100)),(1-(0.25*((-Backdoors!AI12-IF(CA24&gt;=0.45,VLOOKUP(Calculator!E23,tbSkills!DH3:DI6,2,FALSE)+IF(AND(Calculator!B8=TRUE,Backdoors!BI14=TRUE),VLOOKUP(Calculator!E23,tbSkills!DH3:DJ6,3,FALSE),0),0))/100)))),1),"")</f>
        <v>1</v>
      </c>
      <c r="CD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A24)*CC24)*(VLOOKUP(A24,tbMoveset!A2:C112,3,FALSE)/100)*IF(VLOOKUP(A24,tbMoveset!A2:B112,2,FALSE)="Projectile",Backdoors!N10,Backdoors!N9),0),"")</f>
        <v/>
      </c>
      <c r="CE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A24&gt;=0.45,VLOOKUP(Calculator!E23,tbSkills!DH3:DI6,2,FALSE)+IF(AND(Calculator!B8=TRUE,Backdoors!BI14=TRUE),VLOOKUP(Calculator!E23,tbSkills!DH3:DJ6,3,FALSE),0),0))&gt;=100,100,(Backdoors!AI12+IF(CA24&gt;=0.45,VLOOKUP(Calculator!E23,tbSkills!DH3:DI6,2,FALSE)+IF(AND(Calculator!B8=TRUE,Backdoors!BI14=TRUE),VLOOKUP(Calculator!E23,tbSkills!DH3:DJ6,3,FALSE),0),0)))/100)),1))*IF(VLOOKUP(A24,tbMoveset!A2:K112,11,FALSE)=TRUE,Backdoors!AC5,1))*CB24,0),"")</f>
        <v>0</v>
      </c>
      <c r="CF24" s="49">
        <f>VLOOKUP(A24,tbMoveset!A2:G112,7,FALSE)*IFERROR(IF(Backdoors!AI12&gt;=0,1+(IF(Calculator!E40&gt;0,VLOOKUP(Calculator!E40,tbSkills!AI3:AJ5,2,FALSE),Backdoors!AL4)*(IF((Backdoors!AI12+IF(CA24&gt;=0.45,VLOOKUP(Calculator!E23,tbSkills!DH3:DI6,2,FALSE)+IF(AND(Calculator!B8=TRUE,Backdoors!BI14=TRUE),VLOOKUP(Calculator!E23,tbSkills!DH3:DJ6,3,FALSE),0),0))&gt;=100,100,(Backdoors!AI12+IF(CA24&gt;=0.45,VLOOKUP(Calculator!E23,tbSkills!DH3:DI6,2,FALSE)+IF(AND(Calculator!B8=TRUE,Backdoors!BI14=TRUE),VLOOKUP(Calculator!E23,tbSkills!DH3:DJ6,3,FALSE),0),0)))/100)),1),1)</f>
        <v>1</v>
      </c>
      <c r="CG24" s="87">
        <f t="shared" si="6"/>
        <v>0</v>
      </c>
      <c r="CH24" s="86" t="str">
        <f>IFERROR(IF(VLOOKUP(A24,tbMoveset!A2:B112,2,FALSE)="Sever",Backdoors!AY15/100,IF(VLOOKUP(A24,tbMoveset!A2:B112,2,FALSE)="Blunt",Backdoors!AZ15/100,Backdoors!BA15/100)),"")</f>
        <v/>
      </c>
      <c r="CI24" s="49">
        <f>IFERROR(IF(VLOOKUP(tbMoveset!A24,tbMoveset!A2:H112,8,FALSE)="Other",IF(VLOOKUP(tbMoveset!A24,tbMoveset!A2:I112,9,FALSE)="Fire",Backdoors!BB15,IF(VLOOKUP(tbMoveset!A24,tbMoveset!A2:I112,9,FALSE)="Water",Backdoors!BC15,IF(VLOOKUP(tbMoveset!A24,tbMoveset!A2:I112,9,FALSE)="Thunder",Backdoors!BD15,IF(VLOOKUP(tbMoveset!A24,tbMoveset!A2:I112,9,FALSE)="Ice",Backdoors!BE15,IF(VLOOKUP(tbMoveset!A24,tbMoveset!A2:I112,9,FALSE)="Dragon",Backdoors!BF15,Backdoors!BG15)))))/100,Backdoors!BG15/100),"")</f>
        <v>0</v>
      </c>
      <c r="CJ24" s="49">
        <f>IFERROR(IF(VLOOKUP(A24,tbMoveset!A2:J112,10,FALSE)=TRUE,IF((Backdoors!AI12+IF(CH24&gt;=0.45,VLOOKUP(Calculator!E23,tbSkills!DH3:DI6,2,FALSE)+IF(AND(Calculator!B8=TRUE,Backdoors!BI15=TRUE),VLOOKUP(Calculator!E23,tbSkills!DH3:DJ6,3,FALSE),0),0))&gt;=0,1+(Backdoors!AL2*(IF((Backdoors!AI12+IF(CH24&gt;=0.45,VLOOKUP(Calculator!E23,tbSkills!DH3:DI6,2,FALSE)+IF(AND(Calculator!B8=TRUE,Backdoors!BI15=TRUE),VLOOKUP(Calculator!E23,tbSkills!DH3:DJ6,3,FALSE),0),0))&gt;=100,100,(Backdoors!AI12+IF(CH24&gt;=0.45,VLOOKUP(Calculator!E23,tbSkills!DH3:DI6,2,FALSE)+IF(AND(Calculator!B8=TRUE,Backdoors!BI15=TRUE),VLOOKUP(Calculator!E23,tbSkills!DH3:DJ6,3,FALSE),0),0)))/100)),(1-(0.25*((-Backdoors!AI12-IF(CH24&gt;=0.45,VLOOKUP(Calculator!E23,tbSkills!DH3:DI6,2,FALSE)+IF(AND(Calculator!B8=TRUE,Backdoors!BI15=TRUE),VLOOKUP(Calculator!E23,tbSkills!DH3:DJ6,3,FALSE),0),0))/100)))),1),"")</f>
        <v>1</v>
      </c>
      <c r="CK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H24)*CJ24)*(VLOOKUP(A24,tbMoveset!A2:C112,3,FALSE)/100)*IF(VLOOKUP(A24,tbMoveset!A2:B112,2,FALSE)="Projectile",Backdoors!N10,Backdoors!N9),0),"")</f>
        <v/>
      </c>
      <c r="CL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H24&gt;=0.45,VLOOKUP(Calculator!E23,tbSkills!DH3:DI6,2,FALSE)+IF(AND(Calculator!B8=TRUE,Backdoors!BI15=TRUE),VLOOKUP(Calculator!E23,tbSkills!DH3:DJ6,3,FALSE),0),0))&gt;=100,100,(Backdoors!AI12+IF(CH24&gt;=0.45,VLOOKUP(Calculator!E23,tbSkills!DH3:DI6,2,FALSE)+IF(AND(Calculator!B8=TRUE,Backdoors!BI15=TRUE),VLOOKUP(Calculator!E23,tbSkills!DH3:DJ6,3,FALSE),0),0)))/100)),1))*IF(VLOOKUP(A24,tbMoveset!A2:K112,11,FALSE)=TRUE,Backdoors!AC5,1))*CI24,0),"")</f>
        <v>0</v>
      </c>
      <c r="CM24" s="49">
        <f>VLOOKUP(A24,tbMoveset!A2:G112,7,FALSE)*IFERROR(IF(Backdoors!AI12&gt;=0,1+(IF(Calculator!E40&gt;0,VLOOKUP(Calculator!E40,tbSkills!AI3:AJ5,2,FALSE),Backdoors!AL4)*(IF((Backdoors!AI12+IF(CH24&gt;=0.45,VLOOKUP(Calculator!E23,tbSkills!DH3:DI6,2,FALSE)+IF(AND(Calculator!B8=TRUE,Backdoors!BI15=TRUE),VLOOKUP(Calculator!E23,tbSkills!DH3:DJ6,3,FALSE),0),0))&gt;=100,100,(Backdoors!AI12+IF(CH24&gt;=0.45,VLOOKUP(Calculator!E23,tbSkills!DH3:DI6,2,FALSE)+IF(AND(Calculator!B8=TRUE,Backdoors!BI15=TRUE),VLOOKUP(Calculator!E23,tbSkills!DH3:DJ6,3,FALSE),0),0)))/100)),1),1)</f>
        <v>1</v>
      </c>
      <c r="CN24" s="87">
        <f t="shared" si="7"/>
        <v>0</v>
      </c>
      <c r="CO24" s="86" t="str">
        <f>IFERROR(IF(VLOOKUP(A24,tbMoveset!A2:B112,2,FALSE)="Sever",Backdoors!AY16/100,IF(VLOOKUP(A24,tbMoveset!A2:B112,2,FALSE)="Blunt",Backdoors!AZ16/100,Backdoors!BA16/100)),"")</f>
        <v/>
      </c>
      <c r="CP24" s="49">
        <f>IFERROR(IF(VLOOKUP(tbMoveset!A24,tbMoveset!A2:H112,8,FALSE)="Other",IF(VLOOKUP(tbMoveset!A24,tbMoveset!A2:I112,9,FALSE)="Fire",Backdoors!BB16,IF(VLOOKUP(tbMoveset!A24,tbMoveset!A2:I112,9,FALSE)="Water",Backdoors!BC16,IF(VLOOKUP(tbMoveset!A24,tbMoveset!A2:I112,9,FALSE)="Thunder",Backdoors!BD16,IF(VLOOKUP(tbMoveset!A24,tbMoveset!A2:I112,9,FALSE)="Ice",Backdoors!BE16,IF(VLOOKUP(tbMoveset!A24,tbMoveset!A2:I112,9,FALSE)="Dragon",Backdoors!BF16,Backdoors!BG16)))))/100,Backdoors!BG16/100),"")</f>
        <v>0</v>
      </c>
      <c r="CQ24" s="49">
        <f>IFERROR(IF(VLOOKUP(A24,tbMoveset!A2:J112,10,FALSE)=TRUE,IF((Backdoors!AI12+IF(CO24&gt;=0.45,VLOOKUP(Calculator!E23,tbSkills!DH3:DI6,2,FALSE)+IF(AND(Calculator!B8=TRUE,Backdoors!BI16=TRUE),VLOOKUP(Calculator!E23,tbSkills!DH3:DJ6,3,FALSE),0),0))&gt;=0,1+(Backdoors!AL2*(IF((Backdoors!AI12+IF(CO24&gt;=0.45,VLOOKUP(Calculator!E23,tbSkills!DH3:DI6,2,FALSE)+IF(AND(Calculator!B8=TRUE,Backdoors!BI16=TRUE),VLOOKUP(Calculator!E23,tbSkills!DH3:DJ6,3,FALSE),0),0))&gt;=100,100,(Backdoors!AI12+IF(CO24&gt;=0.45,VLOOKUP(Calculator!E23,tbSkills!DH3:DI6,2,FALSE)+IF(AND(Calculator!B8=TRUE,Backdoors!BI16=TRUE),VLOOKUP(Calculator!E23,tbSkills!DH3:DJ6,3,FALSE),0),0)))/100)),(1-(0.25*((-Backdoors!AI12-IF(CO24&gt;=0.45,VLOOKUP(Calculator!E23,tbSkills!DH3:DI6,2,FALSE)+IF(AND(Calculator!B8=TRUE,Backdoors!BI16=TRUE),VLOOKUP(Calculator!E23,tbSkills!DH3:DJ6,3,FALSE),0),0))/100)))),1),"")</f>
        <v>1</v>
      </c>
      <c r="CR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O24)*CQ24)*(VLOOKUP(A24,tbMoveset!A2:C112,3,FALSE)/100)*IF(VLOOKUP(A24,tbMoveset!A2:B112,2,FALSE)="Projectile",Backdoors!N10,Backdoors!N9),0),"")</f>
        <v/>
      </c>
      <c r="CS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O24&gt;=0.45,VLOOKUP(Calculator!E23,tbSkills!DH3:DI6,2,FALSE)+IF(AND(Calculator!B8=TRUE,Backdoors!BI16=TRUE),VLOOKUP(Calculator!E23,tbSkills!DH3:DJ6,3,FALSE),0),0))&gt;=100,100,(Backdoors!AI12+IF(CO24&gt;=0.45,VLOOKUP(Calculator!E23,tbSkills!DH3:DI6,2,FALSE)+IF(AND(Calculator!B8=TRUE,Backdoors!BI16=TRUE),VLOOKUP(Calculator!E23,tbSkills!DH3:DJ6,3,FALSE),0),0)))/100)),1))*IF(VLOOKUP(A24,tbMoveset!A2:K112,11,FALSE)=TRUE,Backdoors!AC5,1))*CP24,0),"")</f>
        <v>0</v>
      </c>
      <c r="CT24" s="49">
        <f>VLOOKUP(A24,tbMoveset!A2:G112,7,FALSE)*IFERROR(IF(Backdoors!AI12&gt;=0,1+(IF(Calculator!E40&gt;0,VLOOKUP(Calculator!E40,tbSkills!AI3:AJ5,2,FALSE),Backdoors!AL4)*(IF((Backdoors!AI12+IF(CO24&gt;=0.45,VLOOKUP(Calculator!E23,tbSkills!DH3:DI6,2,FALSE)+IF(AND(Calculator!B8=TRUE,Backdoors!BI16=TRUE),VLOOKUP(Calculator!E23,tbSkills!DH3:DJ6,3,FALSE),0),0))&gt;=100,100,(Backdoors!AI12+IF(CO24&gt;=0.45,VLOOKUP(Calculator!E23,tbSkills!DH3:DI6,2,FALSE)+IF(AND(Calculator!B8=TRUE,Backdoors!BI16=TRUE),VLOOKUP(Calculator!E23,tbSkills!DH3:DJ6,3,FALSE),0),0)))/100)),1),1)</f>
        <v>1</v>
      </c>
      <c r="CU24" s="87">
        <f t="shared" si="40"/>
        <v>0</v>
      </c>
      <c r="CV24" s="86" t="str">
        <f>IFERROR(IF(VLOOKUP(A24,tbMoveset!A2:B112,2,FALSE)="Sever",Backdoors!AY17/100,IF(VLOOKUP(A24,tbMoveset!A2:B112,2,FALSE)="Blunt",Backdoors!AZ17/100,Backdoors!BA17/100)),"")</f>
        <v/>
      </c>
      <c r="CW24" s="49">
        <f>IFERROR(IF(VLOOKUP(tbMoveset!A24,tbMoveset!A2:H112,8,FALSE)="Other",IF(VLOOKUP(tbMoveset!A24,tbMoveset!A2:I112,9,FALSE)="Fire",Backdoors!BB17,IF(VLOOKUP(tbMoveset!A24,tbMoveset!A2:I112,9,FALSE)="Water",Backdoors!BC17,IF(VLOOKUP(tbMoveset!A24,tbMoveset!A2:I112,9,FALSE)="Thunder",Backdoors!BD17,IF(VLOOKUP(tbMoveset!A24,tbMoveset!A2:I112,9,FALSE)="Ice",Backdoors!BE17,IF(VLOOKUP(tbMoveset!A24,tbMoveset!A2:I112,9,FALSE)="Dragon",Backdoors!BF17,Backdoors!BG17)))))/100,Backdoors!BG17/100),"")</f>
        <v>0</v>
      </c>
      <c r="CX24" s="49">
        <f>IFERROR(IF(VLOOKUP(A24,tbMoveset!A2:J112,10,FALSE)=TRUE,IF((Backdoors!AI12+IF(CV24&gt;=0.45,VLOOKUP(Calculator!E23,tbSkills!DH3:DI6,2,FALSE)+IF(AND(Calculator!B8=TRUE,Backdoors!BI17=TRUE),VLOOKUP(Calculator!E23,tbSkills!DH3:DJ6,3,FALSE),0),0))&gt;=0,1+(Backdoors!AL2*(IF((Backdoors!AI12+IF(CV24&gt;=0.45,VLOOKUP(Calculator!E23,tbSkills!DH3:DI6,2,FALSE)+IF(AND(Calculator!B8=TRUE,Backdoors!BI17=TRUE),VLOOKUP(Calculator!E23,tbSkills!DH3:DJ6,3,FALSE),0),0))&gt;=100,100,(Backdoors!AI12+IF(CV24&gt;=0.45,VLOOKUP(Calculator!E23,tbSkills!DH3:DI6,2,FALSE)+IF(AND(Calculator!B8=TRUE,Backdoors!BI17=TRUE),VLOOKUP(Calculator!E23,tbSkills!DH3:DJ6,3,FALSE),0),0)))/100)),(1-(0.25*((-Backdoors!AI12-IF(CV24&gt;=0.45,VLOOKUP(Calculator!E23,tbSkills!DH3:DI6,2,FALSE)+IF(AND(Calculator!B8=TRUE,Backdoors!BI17=TRUE),VLOOKUP(Calculator!E23,tbSkills!DH3:DJ6,3,FALSE),0),0))/100)))),1),"")</f>
        <v>1</v>
      </c>
      <c r="CY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V24)*CX24)*(VLOOKUP(A24,tbMoveset!A2:C112,3,FALSE)/100)*IF(VLOOKUP(A24,tbMoveset!A2:B112,2,FALSE)="Projectile",Backdoors!N10,Backdoors!N9),0),"")</f>
        <v/>
      </c>
      <c r="CZ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V24&gt;=0.45,VLOOKUP(Calculator!E23,tbSkills!DH3:DI6,2,FALSE)+IF(AND(Calculator!B8=TRUE,Backdoors!BI17=TRUE),VLOOKUP(Calculator!E23,tbSkills!DH3:DJ6,3,FALSE),0),0))&gt;=100,100,(Backdoors!AI12+IF(CV24&gt;=0.45,VLOOKUP(Calculator!E23,tbSkills!DH3:DI6,2,FALSE)+IF(AND(Calculator!B8=TRUE,Backdoors!BI17=TRUE),VLOOKUP(Calculator!E23,tbSkills!DH3:DJ6,3,FALSE),0),0)))/100)),1))*IF(VLOOKUP(A24,tbMoveset!A2:K112,11,FALSE)=TRUE,Backdoors!AC5,1))*CW24,0),"")</f>
        <v>0</v>
      </c>
      <c r="DA24" s="49">
        <f>VLOOKUP(A24,tbMoveset!A2:G112,7,FALSE)*IFERROR(IF(Backdoors!AI12&gt;=0,1+(IF(Calculator!E40&gt;0,VLOOKUP(Calculator!E40,tbSkills!AI3:AJ5,2,FALSE),Backdoors!AL4)*(IF((Backdoors!AI12+IF(CV24&gt;=0.45,VLOOKUP(Calculator!E23,tbSkills!DH3:DI6,2,FALSE)+IF(AND(Calculator!B8=TRUE,Backdoors!BI17=TRUE),VLOOKUP(Calculator!E23,tbSkills!DH3:DJ6,3,FALSE),0),0))&gt;=100,100,(Backdoors!AI12+IF(CV24&gt;=0.45,VLOOKUP(Calculator!E23,tbSkills!DH3:DI6,2,FALSE)+IF(AND(Calculator!B8=TRUE,Backdoors!BI17=TRUE),VLOOKUP(Calculator!E23,tbSkills!DH3:DJ6,3,FALSE),0),0)))/100)),1),1)</f>
        <v>1</v>
      </c>
      <c r="DB24" s="87">
        <f t="shared" si="8"/>
        <v>0</v>
      </c>
      <c r="DC24" s="86" t="str">
        <f>IFERROR(IF(VLOOKUP(A24,tbMoveset!A2:B112,2,FALSE)="Sever",Backdoors!AY18/100,IF(VLOOKUP(A24,tbMoveset!A2:B112,2,FALSE)="Blunt",Backdoors!AZ18/100,Backdoors!BA18/100)),"")</f>
        <v/>
      </c>
      <c r="DD24" s="49">
        <f>IFERROR(IF(VLOOKUP(tbMoveset!A24,tbMoveset!A2:H112,8,FALSE)="Other",IF(VLOOKUP(tbMoveset!A24,tbMoveset!A2:I112,9,FALSE)="Fire",Backdoors!BB18,IF(VLOOKUP(tbMoveset!A24,tbMoveset!A2:I112,9,FALSE)="Water",Backdoors!BC18,IF(VLOOKUP(tbMoveset!A24,tbMoveset!A2:I112,9,FALSE)="Thunder",Backdoors!BD18,IF(VLOOKUP(tbMoveset!A24,tbMoveset!A2:I112,9,FALSE)="Ice",Backdoors!BE18,IF(VLOOKUP(tbMoveset!A24,tbMoveset!A2:I112,9,FALSE)="Dragon",Backdoors!BF18,Backdoors!BG18)))))/100,Backdoors!BG18/100),"")</f>
        <v>0</v>
      </c>
      <c r="DE24" s="49">
        <f>IFERROR(IF(VLOOKUP(A24,tbMoveset!A2:J112,10,FALSE)=TRUE,IF((Backdoors!AI12+IF(DC24&gt;=0.45,VLOOKUP(Calculator!E23,tbSkills!DH3:DI6,2,FALSE)+IF(AND(Calculator!B8=TRUE,Backdoors!BI18=TRUE),VLOOKUP(Calculator!E23,tbSkills!DH3:DJ6,3,FALSE),0),0))&gt;=0,1+(Backdoors!AL2*(IF((Backdoors!AI12+IF(DC24&gt;=0.45,VLOOKUP(Calculator!E23,tbSkills!DH3:DI6,2,FALSE)+IF(AND(Calculator!B8=TRUE,Backdoors!BI18=TRUE),VLOOKUP(Calculator!E23,tbSkills!DH3:DJ6,3,FALSE),0),0))&gt;=100,100,(Backdoors!AI12+IF(DC24&gt;=0.45,VLOOKUP(Calculator!E23,tbSkills!DH3:DI6,2,FALSE)+IF(AND(Calculator!B8=TRUE,Backdoors!BI18=TRUE),VLOOKUP(Calculator!E23,tbSkills!DH3:DJ6,3,FALSE),0),0)))/100)),(1-(0.25*((-Backdoors!AI12-IF(DC24&gt;=0.45,VLOOKUP(Calculator!E23,tbSkills!DH3:DI6,2,FALSE)+IF(AND(Calculator!B8=TRUE,Backdoors!BI18=TRUE),VLOOKUP(Calculator!E23,tbSkills!DH3:DJ6,3,FALSE),0),0))/100)))),1),"")</f>
        <v>1</v>
      </c>
      <c r="DF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C24)*DE24)*(VLOOKUP(A24,tbMoveset!A2:C112,3,FALSE)/100)*IF(VLOOKUP(A24,tbMoveset!A2:B112,2,FALSE)="Projectile",Backdoors!N10,Backdoors!N9),0),"")</f>
        <v/>
      </c>
      <c r="DG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C24&gt;=0.45,VLOOKUP(Calculator!E23,tbSkills!DH3:DI6,2,FALSE)+IF(AND(Calculator!B8=TRUE,Backdoors!BI18=TRUE),VLOOKUP(Calculator!E23,tbSkills!DH3:DJ6,3,FALSE),0),0))&gt;=100,100,(Backdoors!AI12+IF(DC24&gt;=0.45,VLOOKUP(Calculator!E23,tbSkills!DH3:DI6,2,FALSE)+IF(AND(Calculator!B8=TRUE,Backdoors!BI18=TRUE),VLOOKUP(Calculator!E23,tbSkills!DH3:DJ6,3,FALSE),0),0)))/100)),1))*IF(VLOOKUP(A24,tbMoveset!A2:K112,11,FALSE)=TRUE,Backdoors!AC5,1))*DD24,0),"")</f>
        <v>0</v>
      </c>
      <c r="DH24" s="49">
        <f>VLOOKUP(A24,tbMoveset!A2:G112,7,FALSE)*IFERROR(IF(Backdoors!AI12&gt;=0,1+(IF(Calculator!E40&gt;0,VLOOKUP(Calculator!E40,tbSkills!AI3:AJ5,2,FALSE),Backdoors!AL4)*(IF((Backdoors!AI12+IF(DC24&gt;=0.45,VLOOKUP(Calculator!E23,tbSkills!DH3:DI6,2,FALSE)+IF(AND(Calculator!B8=TRUE,Backdoors!BI18=TRUE),VLOOKUP(Calculator!E23,tbSkills!DH3:DJ6,3,FALSE),0),0))&gt;=100,100,(Backdoors!AI12+IF(DC24&gt;=0.45,VLOOKUP(Calculator!E23,tbSkills!DH3:DI6,2,FALSE)+IF(AND(Calculator!B8=TRUE,Backdoors!BI18=TRUE),VLOOKUP(Calculator!E23,tbSkills!DH3:DJ6,3,FALSE),0),0)))/100)),1),1)</f>
        <v>1</v>
      </c>
      <c r="DI24" s="87">
        <f t="shared" si="9"/>
        <v>0</v>
      </c>
      <c r="DJ24" s="86" t="str">
        <f>IFERROR(IF(VLOOKUP(A24,tbMoveset!A2:B112,2,FALSE)="Sever",Backdoors!AY19/100,IF(VLOOKUP(A24,tbMoveset!A2:B112,2,FALSE)="Blunt",Backdoors!AZ19/100,Backdoors!BA19/100)),"")</f>
        <v/>
      </c>
      <c r="DK24" s="49">
        <f>IFERROR(IF(VLOOKUP(tbMoveset!A24,tbMoveset!A2:H112,8,FALSE)="Other",IF(VLOOKUP(tbMoveset!A24,tbMoveset!A2:I112,9,FALSE)="Fire",Backdoors!BB19,IF(VLOOKUP(tbMoveset!A24,tbMoveset!A2:I112,9,FALSE)="Water",Backdoors!BC19,IF(VLOOKUP(tbMoveset!A24,tbMoveset!A2:I112,9,FALSE)="Thunder",Backdoors!BD19,IF(VLOOKUP(tbMoveset!A24,tbMoveset!A2:I112,9,FALSE)="Ice",Backdoors!BE19,IF(VLOOKUP(tbMoveset!A24,tbMoveset!A2:I112,9,FALSE)="Dragon",Backdoors!BF19,Backdoors!BG19)))))/100,Backdoors!BG19/100),"")</f>
        <v>0</v>
      </c>
      <c r="DL24" s="49">
        <f>IFERROR(IF(VLOOKUP(A24,tbMoveset!A2:J112,10,FALSE)=TRUE,IF((Backdoors!AI12+IF(DJ24&gt;=0.45,VLOOKUP(Calculator!E23,tbSkills!DH3:DI6,2,FALSE)+IF(AND(Calculator!B8=TRUE,Backdoors!BI19=TRUE),VLOOKUP(Calculator!E23,tbSkills!DH3:DJ6,3,FALSE),0),0))&gt;=0,1+(Backdoors!AL2*(IF((Backdoors!AI12+IF(DJ24&gt;=0.45,VLOOKUP(Calculator!E23,tbSkills!DH3:DI6,2,FALSE)+IF(AND(Calculator!B8=TRUE,Backdoors!BI19=TRUE),VLOOKUP(Calculator!E23,tbSkills!DH3:DJ6,3,FALSE),0),0))&gt;=100,100,(Backdoors!AI12+IF(DJ24&gt;=0.45,VLOOKUP(Calculator!E23,tbSkills!DH3:DI6,2,FALSE)+IF(AND(Calculator!B8=TRUE,Backdoors!BI19=TRUE),VLOOKUP(Calculator!E23,tbSkills!DH3:DJ6,3,FALSE),0),0)))/100)),(1-(0.25*((-Backdoors!AI12-IF(DJ24&gt;=0.45,VLOOKUP(Calculator!E23,tbSkills!DH3:DI6,2,FALSE)+IF(AND(Calculator!B8=TRUE,Backdoors!BI19=TRUE),VLOOKUP(Calculator!E23,tbSkills!DH3:DJ6,3,FALSE),0),0))/100)))),1),"")</f>
        <v>1</v>
      </c>
      <c r="DM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J24)*DL24)*(VLOOKUP(A24,tbMoveset!A2:C112,3,FALSE)/100)*IF(VLOOKUP(A24,tbMoveset!A2:B112,2,FALSE)="Projectile",Backdoors!N10,Backdoors!N9),0),"")</f>
        <v/>
      </c>
      <c r="DN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J24&gt;=0.45,VLOOKUP(Calculator!E23,tbSkills!DH3:DI6,2,FALSE)+IF(AND(Calculator!B8=TRUE,Backdoors!BI19=TRUE),VLOOKUP(Calculator!E23,tbSkills!DH3:DJ6,3,FALSE),0),0))&gt;=100,100,(Backdoors!AI12+IF(DJ24&gt;=0.45,VLOOKUP(Calculator!E23,tbSkills!DH3:DI6,2,FALSE)+IF(AND(Calculator!B8=TRUE,Backdoors!BI19=TRUE),VLOOKUP(Calculator!E23,tbSkills!DH3:DJ6,3,FALSE),0),0)))/100)),1))*IF(VLOOKUP(A24,tbMoveset!A2:K112,11,FALSE)=TRUE,Backdoors!AC5,1))*DK24,0),"")</f>
        <v>0</v>
      </c>
      <c r="DO24" s="49">
        <f>VLOOKUP(A24,tbMoveset!A2:G112,7,FALSE)*IFERROR(IF(Backdoors!AI12&gt;=0,1+(IF(Calculator!E40&gt;0,VLOOKUP(Calculator!E40,tbSkills!AI3:AJ5,2,FALSE),Backdoors!AL4)*(IF((Backdoors!AI12+IF(DJ24&gt;=0.45,VLOOKUP(Calculator!E23,tbSkills!DH3:DI6,2,FALSE)+IF(AND(Calculator!B8=TRUE,Backdoors!BI19=TRUE),VLOOKUP(Calculator!E23,tbSkills!DH3:DJ6,3,FALSE),0),0))&gt;=100,100,(Backdoors!AI12+IF(DJ24&gt;=0.45,VLOOKUP(Calculator!E23,tbSkills!DH3:DI6,2,FALSE)+IF(AND(Calculator!B8=TRUE,Backdoors!BI19=TRUE),VLOOKUP(Calculator!E23,tbSkills!DH3:DJ6,3,FALSE),0),0)))/100)),1),1)</f>
        <v>1</v>
      </c>
      <c r="DP24" s="87">
        <f t="shared" si="41"/>
        <v>0</v>
      </c>
      <c r="DQ24" s="86" t="str">
        <f>IFERROR(IF(VLOOKUP(A24,tbMoveset!A2:B112,2,FALSE)="Sever",Backdoors!AY20/100,IF(VLOOKUP(A24,tbMoveset!A2:B112,2,FALSE)="Blunt",Backdoors!AZ20/100,Backdoors!BA20/100)),"")</f>
        <v/>
      </c>
      <c r="DR24" s="49">
        <f>IFERROR(IF(VLOOKUP(tbMoveset!A24,tbMoveset!A2:H112,8,FALSE)="Other",IF(VLOOKUP(tbMoveset!A24,tbMoveset!A2:I112,9,FALSE)="Fire",Backdoors!BB20,IF(VLOOKUP(tbMoveset!A24,tbMoveset!A2:I112,9,FALSE)="Water",Backdoors!BC20,IF(VLOOKUP(tbMoveset!A24,tbMoveset!A2:I112,9,FALSE)="Thunder",Backdoors!BD20,IF(VLOOKUP(tbMoveset!A24,tbMoveset!A2:I112,9,FALSE)="Ice",Backdoors!BE20,IF(VLOOKUP(tbMoveset!A24,tbMoveset!A2:I112,9,FALSE)="Dragon",Backdoors!BF20,Backdoors!BG20)))))/100,Backdoors!BG20/100),"")</f>
        <v>0</v>
      </c>
      <c r="DS24" s="49">
        <f>IFERROR(IF(VLOOKUP(A24,tbMoveset!A2:J112,10,FALSE)=TRUE,IF((Backdoors!AI12+IF(DQ24&gt;=0.45,VLOOKUP(Calculator!E23,tbSkills!DH3:DI6,2,FALSE)+IF(AND(Calculator!B8=TRUE,Backdoors!BI20=TRUE),VLOOKUP(Calculator!E23,tbSkills!DH3:DJ6,3,FALSE),0),0))&gt;=0,1+(Backdoors!AL2*(IF((Backdoors!AI12+IF(DQ24&gt;=0.45,VLOOKUP(Calculator!E23,tbSkills!DH3:DI6,2,FALSE)+IF(AND(Calculator!B8=TRUE,Backdoors!BI20=TRUE),VLOOKUP(Calculator!E23,tbSkills!DH3:DJ6,3,FALSE),0),0))&gt;=100,100,(Backdoors!AI12+IF(DQ24&gt;=0.45,VLOOKUP(Calculator!E23,tbSkills!DH3:DI6,2,FALSE)+IF(AND(Calculator!B8=TRUE,Backdoors!BI20=TRUE),VLOOKUP(Calculator!E23,tbSkills!DH3:DJ6,3,FALSE),0),0)))/100)),(1-(0.25*((-Backdoors!AI12-IF(DQ24&gt;=0.45,VLOOKUP(Calculator!E23,tbSkills!DH3:DI6,2,FALSE)+IF(AND(Calculator!B8=TRUE,Backdoors!BI20=TRUE),VLOOKUP(Calculator!E23,tbSkills!DH3:DJ6,3,FALSE),0),0))/100)))),1),"")</f>
        <v>1</v>
      </c>
      <c r="DT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Q24)*DS24)*(VLOOKUP(A24,tbMoveset!A2:C112,3,FALSE)/100)*IF(VLOOKUP(A24,tbMoveset!A2:B112,2,FALSE)="Projectile",Backdoors!N10,Backdoors!N9),0),"")</f>
        <v/>
      </c>
      <c r="DU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Q24&gt;=0.45,VLOOKUP(Calculator!E23,tbSkills!DH3:DI6,2,FALSE)+IF(AND(Calculator!B8=TRUE,Backdoors!BI20=TRUE),VLOOKUP(Calculator!E23,tbSkills!DH3:DJ6,3,FALSE),0),0))&gt;=100,100,(Backdoors!AI12+IF(DQ24&gt;=0.45,VLOOKUP(Calculator!E23,tbSkills!DH3:DI6,2,FALSE)+IF(AND(Calculator!B8=TRUE,Backdoors!BI20=TRUE),VLOOKUP(Calculator!E23,tbSkills!DH3:DJ6,3,FALSE),0),0)))/100)),1))*IF(VLOOKUP(A24,tbMoveset!A2:K112,11,FALSE)=TRUE,Backdoors!AC5,1))*DR24,0),"")</f>
        <v>0</v>
      </c>
      <c r="DV24" s="49">
        <f>VLOOKUP(A24,tbMoveset!A2:G112,7,FALSE)*IFERROR(IF(Backdoors!AI12&gt;=0,1+(IF(Calculator!E40&gt;0,VLOOKUP(Calculator!E40,tbSkills!AI3:AJ5,2,FALSE),Backdoors!AL4)*(IF((Backdoors!AI12+IF(DQ24&gt;=0.45,VLOOKUP(Calculator!E23,tbSkills!DH3:DI6,2,FALSE)+IF(AND(Calculator!B8=TRUE,Backdoors!BI20=TRUE),VLOOKUP(Calculator!E23,tbSkills!DH3:DJ6,3,FALSE),0),0))&gt;=100,100,(Backdoors!AI12+IF(DQ24&gt;=0.45,VLOOKUP(Calculator!E23,tbSkills!DH3:DI6,2,FALSE)+IF(AND(Calculator!B8=TRUE,Backdoors!BI20=TRUE),VLOOKUP(Calculator!E23,tbSkills!DH3:DJ6,3,FALSE),0),0)))/100)),1),1)</f>
        <v>1</v>
      </c>
      <c r="DW24" s="87">
        <f t="shared" si="10"/>
        <v>0</v>
      </c>
      <c r="DX24" s="86" t="str">
        <f>IFERROR(IF(VLOOKUP(A24,tbMoveset!A2:B112,2,FALSE)="Sever",Backdoors!AY21/100,IF(VLOOKUP(A24,tbMoveset!A2:B112,2,FALSE)="Blunt",Backdoors!AZ21/100,Backdoors!BA21/100)),"")</f>
        <v/>
      </c>
      <c r="DY24" s="49">
        <f>IFERROR(IF(VLOOKUP(tbMoveset!A24,tbMoveset!A2:H112,8,FALSE)="Other",IF(VLOOKUP(tbMoveset!A24,tbMoveset!A2:I112,9,FALSE)="Fire",Backdoors!BB21,IF(VLOOKUP(tbMoveset!A24,tbMoveset!A2:I112,9,FALSE)="Water",Backdoors!BC21,IF(VLOOKUP(tbMoveset!A24,tbMoveset!A2:I112,9,FALSE)="Thunder",Backdoors!BD21,IF(VLOOKUP(tbMoveset!A24,tbMoveset!A2:I112,9,FALSE)="Ice",Backdoors!BE21,IF(VLOOKUP(tbMoveset!A24,tbMoveset!A2:I112,9,FALSE)="Dragon",Backdoors!BF21,Backdoors!BG21)))))/100,Backdoors!BG21/100),"")</f>
        <v>0</v>
      </c>
      <c r="DZ24" s="49">
        <f>IFERROR(IF(VLOOKUP(A24,tbMoveset!A2:J112,10,FALSE)=TRUE,IF((Backdoors!AI12+IF(DX24&gt;=0.45,VLOOKUP(Calculator!E23,tbSkills!DH3:DI6,2,FALSE)+IF(AND(Calculator!B8=TRUE,Backdoors!BI21=TRUE),VLOOKUP(Calculator!E23,tbSkills!DH3:DJ6,3,FALSE),0),0))&gt;=0,1+(Backdoors!AL2*(IF((Backdoors!AI12+IF(DX24&gt;=0.45,VLOOKUP(Calculator!E23,tbSkills!DH3:DI6,2,FALSE)+IF(AND(Calculator!B8=TRUE,Backdoors!BI21=TRUE),VLOOKUP(Calculator!E23,tbSkills!DH3:DJ6,3,FALSE),0),0))&gt;=100,100,(Backdoors!AI12+IF(DX24&gt;=0.45,VLOOKUP(Calculator!E23,tbSkills!DH3:DI6,2,FALSE)+IF(AND(Calculator!B8=TRUE,Backdoors!BI21=TRUE),VLOOKUP(Calculator!E23,tbSkills!DH3:DJ6,3,FALSE),0),0)))/100)),(1-(0.25*((-Backdoors!AI12-IF(DX24&gt;=0.45,VLOOKUP(Calculator!E23,tbSkills!DH3:DI6,2,FALSE)+IF(AND(Calculator!B8=TRUE,Backdoors!BI21=TRUE),VLOOKUP(Calculator!E23,tbSkills!DH3:DJ6,3,FALSE),0),0))/100)))),1),"")</f>
        <v>1</v>
      </c>
      <c r="EA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X24)*DZ24)*(VLOOKUP(A24,tbMoveset!A2:C112,3,FALSE)/100)*IF(VLOOKUP(A24,tbMoveset!A2:B112,2,FALSE)="Projectile",Backdoors!N10,Backdoors!N9),0),"")</f>
        <v/>
      </c>
      <c r="EB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X24&gt;=0.45,VLOOKUP(Calculator!E23,tbSkills!DH3:DI6,2,FALSE)+IF(AND(Calculator!B8=TRUE,Backdoors!BI21=TRUE),VLOOKUP(Calculator!E23,tbSkills!DH3:DJ6,3,FALSE),0),0))&gt;=100,100,(Backdoors!AI12+IF(DX24&gt;=0.45,VLOOKUP(Calculator!E23,tbSkills!DH3:DI6,2,FALSE)+IF(AND(Calculator!B8=TRUE,Backdoors!BI21=TRUE),VLOOKUP(Calculator!E23,tbSkills!DH3:DJ6,3,FALSE),0),0)))/100)),1))*IF(VLOOKUP(A24,tbMoveset!A2:K112,11,FALSE)=TRUE,Backdoors!AC5,1))*DY24,0),"")</f>
        <v>0</v>
      </c>
      <c r="EC24" s="49">
        <f>VLOOKUP(A24,tbMoveset!A2:G112,7,FALSE)*IFERROR(IF(Backdoors!AI12&gt;=0,1+(IF(Calculator!E40&gt;0,VLOOKUP(Calculator!E40,tbSkills!AI3:AJ5,2,FALSE),Backdoors!AL4)*(IF((Backdoors!AI12+IF(DX24&gt;=0.45,VLOOKUP(Calculator!E23,tbSkills!DH3:DI6,2,FALSE)+IF(AND(Calculator!B8=TRUE,Backdoors!BI21=TRUE),VLOOKUP(Calculator!E23,tbSkills!DH3:DJ6,3,FALSE),0),0))&gt;=100,100,(Backdoors!AI12+IF(DX24&gt;=0.45,VLOOKUP(Calculator!E23,tbSkills!DH3:DI6,2,FALSE)+IF(AND(Calculator!B8=TRUE,Backdoors!BI21=TRUE),VLOOKUP(Calculator!E23,tbSkills!DH3:DJ6,3,FALSE),0),0)))/100)),1),1)</f>
        <v>1</v>
      </c>
      <c r="ED24" s="87">
        <f t="shared" si="11"/>
        <v>0</v>
      </c>
      <c r="EE24" s="86" t="str">
        <f>IFERROR(IF(VLOOKUP(A24,tbMoveset!A2:B112,2,FALSE)="Sever",Backdoors!AY22/100,IF(VLOOKUP(A24,tbMoveset!A2:B112,2,FALSE)="Blunt",Backdoors!AZ22/100,Backdoors!BA22/100)),"")</f>
        <v/>
      </c>
      <c r="EF24" s="49">
        <f>IFERROR(IF(VLOOKUP(tbMoveset!A24,tbMoveset!A2:H112,8,FALSE)="Other",IF(VLOOKUP(tbMoveset!A24,tbMoveset!A2:I112,9,FALSE)="Fire",Backdoors!BB22,IF(VLOOKUP(tbMoveset!A24,tbMoveset!A2:I112,9,FALSE)="Water",Backdoors!BC22,IF(VLOOKUP(tbMoveset!A24,tbMoveset!A2:I112,9,FALSE)="Thunder",Backdoors!BD22,IF(VLOOKUP(tbMoveset!A24,tbMoveset!A2:I112,9,FALSE)="Ice",Backdoors!BE22,IF(VLOOKUP(tbMoveset!A24,tbMoveset!A2:I112,9,FALSE)="Dragon",Backdoors!BF22,Backdoors!BG22)))))/100,Backdoors!BG22/100),"")</f>
        <v>0</v>
      </c>
      <c r="EG24" s="49">
        <f>IFERROR(IF(VLOOKUP(A24,tbMoveset!A2:J112,10,FALSE)=TRUE,IF((Backdoors!AI12+IF(EE24&gt;=0.45,VLOOKUP(Calculator!E23,tbSkills!DH3:DI6,2,FALSE)+IF(AND(Calculator!B8=TRUE,Backdoors!BI22=TRUE),VLOOKUP(Calculator!E23,tbSkills!DH3:DJ6,3,FALSE),0),0))&gt;=0,1+(Backdoors!AL2*(IF((Backdoors!AI12+IF(EE24&gt;=0.45,VLOOKUP(Calculator!E23,tbSkills!DH3:DI6,2,FALSE)+IF(AND(Calculator!B8=TRUE,Backdoors!BI22=TRUE),VLOOKUP(Calculator!E23,tbSkills!DH3:DJ6,3,FALSE),0),0))&gt;=100,100,(Backdoors!AI12+IF(EE24&gt;=0.45,VLOOKUP(Calculator!E23,tbSkills!DH3:DI6,2,FALSE)+IF(AND(Calculator!B8=TRUE,Backdoors!BI22=TRUE),VLOOKUP(Calculator!E23,tbSkills!DH3:DJ6,3,FALSE),0),0)))/100)),(1-(0.25*((-Backdoors!AI12-IF(EE24&gt;=0.45,VLOOKUP(Calculator!E23,tbSkills!DH3:DI6,2,FALSE)+IF(AND(Calculator!B8=TRUE,Backdoors!BI22=TRUE),VLOOKUP(Calculator!E23,tbSkills!DH3:DJ6,3,FALSE),0),0))/100)))),1),"")</f>
        <v>1</v>
      </c>
      <c r="EH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E24)*EG24)*(VLOOKUP(A24,tbMoveset!A2:C112,3,FALSE)/100)*IF(VLOOKUP(A24,tbMoveset!A2:B112,2,FALSE)="Projectile",Backdoors!N10,Backdoors!N9),0),"")</f>
        <v/>
      </c>
      <c r="EI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E24&gt;=0.45,VLOOKUP(Calculator!E23,tbSkills!DH3:DI6,2,FALSE)+IF(AND(Calculator!B8=TRUE,Backdoors!BI22=TRUE),VLOOKUP(Calculator!E23,tbSkills!DH3:DJ6,3,FALSE),0),0))&gt;=100,100,(Backdoors!AI12+IF(EE24&gt;=0.45,VLOOKUP(Calculator!E23,tbSkills!DH3:DI6,2,FALSE)+IF(AND(Calculator!B8=TRUE,Backdoors!BI22=TRUE),VLOOKUP(Calculator!E23,tbSkills!DH3:DJ6,3,FALSE),0),0)))/100)),1))*IF(VLOOKUP(A24,tbMoveset!A2:K112,11,FALSE)=TRUE,Backdoors!AC5,1))*EF24,0),"")</f>
        <v>0</v>
      </c>
      <c r="EJ24" s="49">
        <f>VLOOKUP(A24,tbMoveset!A2:G112,7,FALSE)*IFERROR(IF(Backdoors!AI12&gt;=0,1+(IF(Calculator!E40&gt;0,VLOOKUP(Calculator!E40,tbSkills!AI3:AJ5,2,FALSE),Backdoors!AL4)*(IF((Backdoors!AI12+IF(EE24&gt;=0.45,VLOOKUP(Calculator!E23,tbSkills!DH3:DI6,2,FALSE)+IF(AND(Calculator!B8=TRUE,Backdoors!BI22=TRUE),VLOOKUP(Calculator!E23,tbSkills!DH3:DJ6,3,FALSE),0),0))&gt;=100,100,(Backdoors!AI12+IF(EE24&gt;=0.45,VLOOKUP(Calculator!E23,tbSkills!DH3:DI6,2,FALSE)+IF(AND(Calculator!B8=TRUE,Backdoors!BI22=TRUE),VLOOKUP(Calculator!E23,tbSkills!DH3:DJ6,3,FALSE),0),0)))/100)),1),1)</f>
        <v>1</v>
      </c>
      <c r="EK24" s="87">
        <f t="shared" si="12"/>
        <v>0</v>
      </c>
      <c r="EL24" s="86" t="str">
        <f>IFERROR(IF(VLOOKUP(A24,tbMoveset!A2:B112,2,FALSE)="Sever",Backdoors!AY23/100,IF(VLOOKUP(A24,tbMoveset!A2:B112,2,FALSE)="Blunt",Backdoors!AZ23/100,Backdoors!BA23/100)),"")</f>
        <v/>
      </c>
      <c r="EM24" s="49">
        <f>IFERROR(IF(VLOOKUP(tbMoveset!A24,tbMoveset!A2:H112,8,FALSE)="Other",IF(VLOOKUP(tbMoveset!A24,tbMoveset!A2:I112,9,FALSE)="Fire",Backdoors!BB23,IF(VLOOKUP(tbMoveset!A24,tbMoveset!A2:I112,9,FALSE)="Water",Backdoors!BC23,IF(VLOOKUP(tbMoveset!A24,tbMoveset!A2:I112,9,FALSE)="Thunder",Backdoors!BD23,IF(VLOOKUP(tbMoveset!A24,tbMoveset!A2:I112,9,FALSE)="Ice",Backdoors!BE23,IF(VLOOKUP(tbMoveset!A24,tbMoveset!A2:I112,9,FALSE)="Dragon",Backdoors!BF23,Backdoors!BG23)))))/100,Backdoors!BG23/100),"")</f>
        <v>0</v>
      </c>
      <c r="EN24" s="49">
        <f>IFERROR(IF(VLOOKUP(A24,tbMoveset!A2:J112,10,FALSE)=TRUE,IF((Backdoors!AI12+IF(EL24&gt;=0.45,VLOOKUP(Calculator!E23,tbSkills!DH3:DI6,2,FALSE)+IF(AND(Calculator!B8=TRUE,Backdoors!BI23=TRUE),VLOOKUP(Calculator!E23,tbSkills!DH3:DJ6,3,FALSE),0),0))&gt;=0,1+(Backdoors!AL2*(IF((Backdoors!AI12+IF(EL24&gt;=0.45,VLOOKUP(Calculator!E23,tbSkills!DH3:DI6,2,FALSE)+IF(AND(Calculator!B8=TRUE,Backdoors!BI23=TRUE),VLOOKUP(Calculator!E23,tbSkills!DH3:DJ6,3,FALSE),0),0))&gt;=100,100,(Backdoors!AI12+IF(EL24&gt;=0.45,VLOOKUP(Calculator!E23,tbSkills!DH3:DI6,2,FALSE)+IF(AND(Calculator!B8=TRUE,Backdoors!BI23=TRUE),VLOOKUP(Calculator!E23,tbSkills!DH3:DJ6,3,FALSE),0),0)))/100)),(1-(0.25*((-Backdoors!AI12-IF(EL24&gt;=0.45,VLOOKUP(Calculator!E23,tbSkills!DH3:DI6,2,FALSE)+IF(AND(Calculator!B8=TRUE,Backdoors!BI23=TRUE),VLOOKUP(Calculator!E23,tbSkills!DH3:DJ6,3,FALSE),0),0))/100)))),1),"")</f>
        <v>1</v>
      </c>
      <c r="EO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L24)*EN24)*(VLOOKUP(A24,tbMoveset!A2:C112,3,FALSE)/100)*IF(VLOOKUP(A24,tbMoveset!A2:B112,2,FALSE)="Projectile",Backdoors!N10,Backdoors!N9),0),"")</f>
        <v/>
      </c>
      <c r="EP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L24&gt;=0.45,VLOOKUP(Calculator!E23,tbSkills!DH3:DI6,2,FALSE)+IF(AND(Calculator!B8=TRUE,Backdoors!BI23=TRUE),VLOOKUP(Calculator!E23,tbSkills!DH3:DJ6,3,FALSE),0),0))&gt;=100,100,(Backdoors!AI12+IF(EL24&gt;=0.45,VLOOKUP(Calculator!E23,tbSkills!DH3:DI6,2,FALSE)+IF(AND(Calculator!B8=TRUE,Backdoors!BI23=TRUE),VLOOKUP(Calculator!E23,tbSkills!DH3:DJ6,3,FALSE),0),0)))/100)),1))*IF(VLOOKUP(A24,tbMoveset!A2:K112,11,FALSE)=TRUE,Backdoors!AC5,1))*EM24,0),"")</f>
        <v>0</v>
      </c>
      <c r="EQ24" s="49">
        <f>VLOOKUP(A24,tbMoveset!A2:G112,7,FALSE)*IFERROR(IF(Backdoors!AI12&gt;=0,1+(IF(Calculator!E40&gt;0,VLOOKUP(Calculator!E40,tbSkills!AI3:AJ5,2,FALSE),Backdoors!AL4)*(IF((Backdoors!AI12+IF(EL24&gt;=0.45,VLOOKUP(Calculator!E23,tbSkills!DH3:DI6,2,FALSE)+IF(AND(Calculator!B8=TRUE,Backdoors!BI23=TRUE),VLOOKUP(Calculator!E23,tbSkills!DH3:DJ6,3,FALSE),0),0))&gt;=100,100,(Backdoors!AI12+IF(EL24&gt;=0.45,VLOOKUP(Calculator!E23,tbSkills!DH3:DI6,2,FALSE)+IF(AND(Calculator!B8=TRUE,Backdoors!BI23=TRUE),VLOOKUP(Calculator!E23,tbSkills!DH3:DJ6,3,FALSE),0),0)))/100)),1),1)</f>
        <v>1</v>
      </c>
      <c r="ER24" s="87">
        <f t="shared" si="13"/>
        <v>0</v>
      </c>
      <c r="ES24" s="86" t="str">
        <f>IFERROR(IF(VLOOKUP(A24,tbMoveset!A2:B112,2,FALSE)="Sever",Backdoors!AY24/100,IF(VLOOKUP(A24,tbMoveset!A2:B112,2,FALSE)="Blunt",Backdoors!AZ24/100,Backdoors!BA24/100)),"")</f>
        <v/>
      </c>
      <c r="ET24" s="49">
        <f>IFERROR(IF(VLOOKUP(tbMoveset!A24,tbMoveset!A2:H112,8,FALSE)="Other",IF(VLOOKUP(tbMoveset!A24,tbMoveset!A2:I112,9,FALSE)="Fire",Backdoors!BB24,IF(VLOOKUP(tbMoveset!A24,tbMoveset!A2:I112,9,FALSE)="Water",Backdoors!BC24,IF(VLOOKUP(tbMoveset!A24,tbMoveset!A2:I112,9,FALSE)="Thunder",Backdoors!BD24,IF(VLOOKUP(tbMoveset!A24,tbMoveset!A2:I112,9,FALSE)="Ice",Backdoors!BE24,IF(VLOOKUP(tbMoveset!A24,tbMoveset!A2:I112,9,FALSE)="Dragon",Backdoors!BF24,Backdoors!BG24)))))/100,Backdoors!BG24/100),"")</f>
        <v>0</v>
      </c>
      <c r="EU24" s="49">
        <f>IFERROR(IF(VLOOKUP(A24,tbMoveset!A2:J112,10,FALSE)=TRUE,IF((Backdoors!AI12+IF(ES24&gt;=0.45,VLOOKUP(Calculator!E23,tbSkills!DH3:DI6,2,FALSE)+IF(AND(Calculator!B8=TRUE,Backdoors!BI24=TRUE),VLOOKUP(Calculator!E23,tbSkills!DH3:DJ6,3,FALSE),0),0))&gt;=0,1+(Backdoors!AL2*(IF((Backdoors!AI12+IF(ES24&gt;=0.45,VLOOKUP(Calculator!E23,tbSkills!DH3:DI6,2,FALSE)+IF(AND(Calculator!B8=TRUE,Backdoors!BI24=TRUE),VLOOKUP(Calculator!E23,tbSkills!DH3:DJ6,3,FALSE),0),0))&gt;=100,100,(Backdoors!AI12+IF(ES24&gt;=0.45,VLOOKUP(Calculator!E23,tbSkills!DH3:DI6,2,FALSE)+IF(AND(Calculator!B8=TRUE,Backdoors!BI24=TRUE),VLOOKUP(Calculator!E23,tbSkills!DH3:DJ6,3,FALSE),0),0)))/100)),(1-(0.25*((-Backdoors!AI12-IF(ES24&gt;=0.45,VLOOKUP(Calculator!E23,tbSkills!DH3:DI6,2,FALSE)+IF(AND(Calculator!B8=TRUE,Backdoors!BI24=TRUE),VLOOKUP(Calculator!E23,tbSkills!DH3:DJ6,3,FALSE),0),0))/100)))),1),"")</f>
        <v>1</v>
      </c>
      <c r="EV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S24)*EU24)*(VLOOKUP(A24,tbMoveset!A2:C112,3,FALSE)/100)*IF(VLOOKUP(A24,tbMoveset!A2:B112,2,FALSE)="Projectile",Backdoors!N10,Backdoors!N9),0),"")</f>
        <v/>
      </c>
      <c r="EW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S24&gt;=0.45,VLOOKUP(Calculator!E23,tbSkills!DH3:DI6,2,FALSE)+IF(AND(Calculator!B8=TRUE,Backdoors!BI24=TRUE),VLOOKUP(Calculator!E23,tbSkills!DH3:DJ6,3,FALSE),0),0))&gt;=100,100,(Backdoors!AI12+IF(ES24&gt;=0.45,VLOOKUP(Calculator!E23,tbSkills!DH3:DI6,2,FALSE)+IF(AND(Calculator!B8=TRUE,Backdoors!BI24=TRUE),VLOOKUP(Calculator!E23,tbSkills!DH3:DJ6,3,FALSE),0),0)))/100)),1))*IF(VLOOKUP(A24,tbMoveset!A2:K112,11,FALSE)=TRUE,Backdoors!AC5,1))*ET24,0),"")</f>
        <v>0</v>
      </c>
      <c r="EX24" s="49">
        <f>VLOOKUP(A24,tbMoveset!A2:G112,7,FALSE)*IFERROR(IF(Backdoors!AI12&gt;=0,1+(IF(Calculator!E40&gt;0,VLOOKUP(Calculator!E40,tbSkills!AI3:AJ5,2,FALSE),Backdoors!AL4)*(IF((Backdoors!AI12+IF(ES24&gt;=0.45,VLOOKUP(Calculator!E23,tbSkills!DH3:DI6,2,FALSE)+IF(AND(Calculator!B8=TRUE,Backdoors!BI24=TRUE),VLOOKUP(Calculator!E23,tbSkills!DH3:DJ6,3,FALSE),0),0))&gt;=100,100,(Backdoors!AI12+IF(ES24&gt;=0.45,VLOOKUP(Calculator!E23,tbSkills!DH3:DI6,2,FALSE)+IF(AND(Calculator!B8=TRUE,Backdoors!BI24=TRUE),VLOOKUP(Calculator!E23,tbSkills!DH3:DJ6,3,FALSE),0),0)))/100)),1),1)</f>
        <v>1</v>
      </c>
      <c r="EY24" s="87">
        <f t="shared" si="14"/>
        <v>0</v>
      </c>
      <c r="EZ24" s="86" t="str">
        <f>IFERROR(IF(VLOOKUP(A24,tbMoveset!A2:B112,2,FALSE)="Sever",Backdoors!AY25/100,IF(VLOOKUP(A24,tbMoveset!A2:B112,2,FALSE)="Blunt",Backdoors!AZ25/100,Backdoors!BA25/100)),"")</f>
        <v/>
      </c>
      <c r="FA24" s="49">
        <f>IFERROR(IF(VLOOKUP(tbMoveset!A24,tbMoveset!A2:H112,8,FALSE)="Other",IF(VLOOKUP(tbMoveset!A24,tbMoveset!A2:I112,9,FALSE)="Fire",Backdoors!BB25,IF(VLOOKUP(tbMoveset!A24,tbMoveset!A2:I112,9,FALSE)="Water",Backdoors!BC25,IF(VLOOKUP(tbMoveset!A24,tbMoveset!A2:I112,9,FALSE)="Thunder",Backdoors!BD25,IF(VLOOKUP(tbMoveset!A24,tbMoveset!A2:I112,9,FALSE)="Ice",Backdoors!BE25,IF(VLOOKUP(tbMoveset!A24,tbMoveset!A2:I112,9,FALSE)="Dragon",Backdoors!BF25,Backdoors!BG25)))))/100,Backdoors!BG25/100),"")</f>
        <v>0</v>
      </c>
      <c r="FB24" s="49">
        <f>IFERROR(IF(VLOOKUP(A24,tbMoveset!A2:J112,10,FALSE)=TRUE,IF((Backdoors!AI12+IF(EZ24&gt;=0.45,VLOOKUP(Calculator!E23,tbSkills!DH3:DI6,2,FALSE)+IF(AND(Calculator!B8=TRUE,Backdoors!BI25=TRUE),VLOOKUP(Calculator!E23,tbSkills!DH3:DJ6,3,FALSE),0),0))&gt;=0,1+(Backdoors!AL2*(IF((Backdoors!AI12+IF(EZ24&gt;=0.45,VLOOKUP(Calculator!E23,tbSkills!DH3:DI6,2,FALSE)+IF(AND(Calculator!B8=TRUE,Backdoors!BI25=TRUE),VLOOKUP(Calculator!E23,tbSkills!DH3:DJ6,3,FALSE),0),0))&gt;=100,100,(Backdoors!AI12+IF(EZ24&gt;=0.45,VLOOKUP(Calculator!E23,tbSkills!DH3:DI6,2,FALSE)+IF(AND(Calculator!B8=TRUE,Backdoors!BI25=TRUE),VLOOKUP(Calculator!E23,tbSkills!DH3:DJ6,3,FALSE),0),0)))/100)),(1-(0.25*((-Backdoors!AI12-IF(EZ24&gt;=0.45,VLOOKUP(Calculator!E23,tbSkills!DH3:DI6,2,FALSE)+IF(AND(Calculator!B8=TRUE,Backdoors!BI25=TRUE),VLOOKUP(Calculator!E23,tbSkills!DH3:DJ6,3,FALSE),0),0))/100)))),1),"")</f>
        <v>1</v>
      </c>
      <c r="FC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Z24)*FB24)*(VLOOKUP(A24,tbMoveset!A2:C112,3,FALSE)/100)*IF(VLOOKUP(A24,tbMoveset!A2:B112,2,FALSE)="Projectile",Backdoors!N10,Backdoors!N9),0),"")</f>
        <v/>
      </c>
      <c r="FD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Z24&gt;=0.45,VLOOKUP(Calculator!E23,tbSkills!DH3:DI6,2,FALSE)+IF(AND(Calculator!B8=TRUE,Backdoors!BI25=TRUE),VLOOKUP(Calculator!E23,tbSkills!DH3:DJ6,3,FALSE),0),0))&gt;=100,100,(Backdoors!AI12+IF(EZ24&gt;=0.45,VLOOKUP(Calculator!E23,tbSkills!DH3:DI6,2,FALSE)+IF(AND(Calculator!B8=TRUE,Backdoors!BI25=TRUE),VLOOKUP(Calculator!E23,tbSkills!DH3:DJ6,3,FALSE),0),0)))/100)),1))*IF(VLOOKUP(A24,tbMoveset!A2:K112,11,FALSE)=TRUE,Backdoors!AC5,1))*FA24,0),"")</f>
        <v>0</v>
      </c>
      <c r="FE24" s="49">
        <f>VLOOKUP(A24,tbMoveset!A2:G112,7,FALSE)*IFERROR(IF(Backdoors!AI12&gt;=0,1+(IF(Calculator!E40&gt;0,VLOOKUP(Calculator!E40,tbSkills!AI3:AJ5,2,FALSE),Backdoors!AL4)*(IF((Backdoors!AI12+IF(EZ24&gt;=0.45,VLOOKUP(Calculator!E23,tbSkills!DH3:DI6,2,FALSE)+IF(AND(Calculator!B8=TRUE,Backdoors!BI25=TRUE),VLOOKUP(Calculator!E23,tbSkills!DH3:DJ6,3,FALSE),0),0))&gt;=100,100,(Backdoors!AI12+IF(EZ24&gt;=0.45,VLOOKUP(Calculator!E23,tbSkills!DH3:DI6,2,FALSE)+IF(AND(Calculator!B8=TRUE,Backdoors!BI25=TRUE),VLOOKUP(Calculator!E23,tbSkills!DH3:DJ6,3,FALSE),0),0)))/100)),1),1)</f>
        <v>1</v>
      </c>
      <c r="FF24" s="87">
        <f t="shared" si="15"/>
        <v>0</v>
      </c>
      <c r="FG24" s="86" t="str">
        <f>IFERROR(IF(VLOOKUP(A24,tbMoveset!A2:B112,2,FALSE)="Sever",Backdoors!AY26/100,IF(VLOOKUP(A24,tbMoveset!A2:B112,2,FALSE)="Blunt",Backdoors!AZ26/100,Backdoors!BA26/100)),"")</f>
        <v/>
      </c>
      <c r="FH24" s="49">
        <f>IFERROR(IF(VLOOKUP(tbMoveset!A24,tbMoveset!A2:H112,8,FALSE)="Other",IF(VLOOKUP(tbMoveset!A24,tbMoveset!A2:I112,9,FALSE)="Fire",Backdoors!BB26,IF(VLOOKUP(tbMoveset!A24,tbMoveset!A2:I112,9,FALSE)="Water",Backdoors!BC26,IF(VLOOKUP(tbMoveset!A24,tbMoveset!A2:I112,9,FALSE)="Thunder",Backdoors!BD26,IF(VLOOKUP(tbMoveset!A24,tbMoveset!A2:I112,9,FALSE)="Ice",Backdoors!BE26,IF(VLOOKUP(tbMoveset!A24,tbMoveset!A2:I112,9,FALSE)="Dragon",Backdoors!BF26,Backdoors!BG26)))))/100,Backdoors!BG26/100),"")</f>
        <v>0</v>
      </c>
      <c r="FI24" s="49">
        <f>IFERROR(IF(VLOOKUP(A24,tbMoveset!A2:J112,10,FALSE)=TRUE,IF((Backdoors!AI12+IF(FG24&gt;=0.45,VLOOKUP(Calculator!E23,tbSkills!DH3:DI6,2,FALSE)+IF(AND(Calculator!B8=TRUE,Backdoors!BI26=TRUE),VLOOKUP(Calculator!E23,tbSkills!DH3:DJ6,3,FALSE),0),0))&gt;=0,1+(Backdoors!AL2*(IF((Backdoors!AI12+IF(FG24&gt;=0.45,VLOOKUP(Calculator!E23,tbSkills!DH3:DI6,2,FALSE)+IF(AND(Calculator!B8=TRUE,Backdoors!BI26=TRUE),VLOOKUP(Calculator!E23,tbSkills!DH3:DJ6,3,FALSE),0),0))&gt;=100,100,(Backdoors!AI12+IF(FG24&gt;=0.45,VLOOKUP(Calculator!E23,tbSkills!DH3:DI6,2,FALSE)+IF(AND(Calculator!B8=TRUE,Backdoors!BI26=TRUE),VLOOKUP(Calculator!E23,tbSkills!DH3:DJ6,3,FALSE),0),0)))/100)),(1-(0.25*((-Backdoors!AI12-IF(FG24&gt;=0.45,VLOOKUP(Calculator!E23,tbSkills!DH3:DI6,2,FALSE)+IF(AND(Calculator!B8=TRUE,Backdoors!BI26=TRUE),VLOOKUP(Calculator!E23,tbSkills!DH3:DJ6,3,FALSE),0),0))/100)))),1),"")</f>
        <v>1</v>
      </c>
      <c r="FJ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FG24)*FI24)*(VLOOKUP(A24,tbMoveset!A2:C112,3,FALSE)/100)*IF(VLOOKUP(A24,tbMoveset!A2:B112,2,FALSE)="Projectile",Backdoors!N10,Backdoors!N9),0),"")</f>
        <v/>
      </c>
      <c r="FK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FG24&gt;=0.45,VLOOKUP(Calculator!E23,tbSkills!DH3:DI6,2,FALSE)+IF(AND(Calculator!B8=TRUE,Backdoors!BI26=TRUE),VLOOKUP(Calculator!E23,tbSkills!DH3:DJ6,3,FALSE),0),0))&gt;=100,100,(Backdoors!AI12+IF(FG24&gt;=0.45,VLOOKUP(Calculator!E23,tbSkills!DH3:DI6,2,FALSE)+IF(AND(Calculator!B8=TRUE,Backdoors!BI26=TRUE),VLOOKUP(Calculator!E23,tbSkills!DH3:DJ6,3,FALSE),0),0)))/100)),1))*IF(VLOOKUP(A24,tbMoveset!A2:K112,11,FALSE)=TRUE,Backdoors!AC5,1))*FH24,0),"")</f>
        <v>0</v>
      </c>
      <c r="FL24" s="49">
        <f>VLOOKUP(A24,tbMoveset!A2:G112,7,FALSE)*IFERROR(IF(Backdoors!AI12&gt;=0,1+(IF(Calculator!E40&gt;0,VLOOKUP(Calculator!E40,tbSkills!AI3:AJ5,2,FALSE),Backdoors!AL4)*(IF((Backdoors!AI12+IF(FG24&gt;=0.45,VLOOKUP(Calculator!E23,tbSkills!DH3:DI6,2,FALSE)+IF(AND(Calculator!B8=TRUE,Backdoors!BI26=TRUE),VLOOKUP(Calculator!E23,tbSkills!DH3:DJ6,3,FALSE),0),0))&gt;=100,100,(Backdoors!AI12+IF(FG24&gt;=0.45,VLOOKUP(Calculator!E23,tbSkills!DH3:DI6,2,FALSE)+IF(AND(Calculator!B8=TRUE,Backdoors!BI26=TRUE),VLOOKUP(Calculator!E23,tbSkills!DH3:DJ6,3,FALSE),0),0)))/100)),1),1)</f>
        <v>1</v>
      </c>
      <c r="FM24" s="87">
        <f t="shared" si="16"/>
        <v>0</v>
      </c>
      <c r="FN24" s="86" t="str">
        <f>IFERROR(IF(VLOOKUP(A24,tbMoveset!A2:B112,2,FALSE)="Sever",Backdoors!AY27/100,IF(VLOOKUP(A24,tbMoveset!A2:B112,2,FALSE)="Blunt",Backdoors!AZ27/100,Backdoors!BA27/100)),"")</f>
        <v/>
      </c>
      <c r="FO24" s="49">
        <f>IFERROR(IF(VLOOKUP(tbMoveset!A24,tbMoveset!A2:H112,8,FALSE)="Other",IF(VLOOKUP(tbMoveset!A24,tbMoveset!A2:I112,9,FALSE)="Fire",Backdoors!BB27,IF(VLOOKUP(tbMoveset!A24,tbMoveset!A2:I112,9,FALSE)="Water",Backdoors!BC27,IF(VLOOKUP(tbMoveset!A24,tbMoveset!A2:I112,9,FALSE)="Thunder",Backdoors!BD27,IF(VLOOKUP(tbMoveset!A24,tbMoveset!A2:I112,9,FALSE)="Ice",Backdoors!BE27,IF(VLOOKUP(tbMoveset!A24,tbMoveset!A2:I112,9,FALSE)="Dragon",Backdoors!BF27,Backdoors!BG27)))))/100,Backdoors!BG27/100),"")</f>
        <v>0</v>
      </c>
      <c r="FP24" s="49">
        <f>IFERROR(IF(VLOOKUP(A24,tbMoveset!A2:J112,10,FALSE)=TRUE,IF((Backdoors!AI12+IF(FN24&gt;=0.45,VLOOKUP(Calculator!E23,tbSkills!DH3:DI6,2,FALSE)+IF(AND(Calculator!B8=TRUE,Backdoors!BI27=TRUE),VLOOKUP(Calculator!E23,tbSkills!DH3:DJ6,3,FALSE),0),0))&gt;=0,1+(Backdoors!AL2*(IF((Backdoors!AI12+IF(FN24&gt;=0.45,VLOOKUP(Calculator!E23,tbSkills!DH3:DI6,2,FALSE)+IF(AND(Calculator!B8=TRUE,Backdoors!BI27=TRUE),VLOOKUP(Calculator!E23,tbSkills!DH3:DJ6,3,FALSE),0),0))&gt;=100,100,(Backdoors!AI12+IF(FN24&gt;=0.45,VLOOKUP(Calculator!E23,tbSkills!DH3:DI6,2,FALSE)+IF(AND(Calculator!B8=TRUE,Backdoors!BI27=TRUE),VLOOKUP(Calculator!E23,tbSkills!DH3:DJ6,3,FALSE),0),0)))/100)),(1-(0.25*((-Backdoors!AI12-IF(FN24&gt;=0.45,VLOOKUP(Calculator!E23,tbSkills!DH3:DI6,2,FALSE)+IF(AND(Calculator!B8=TRUE,Backdoors!BI27=TRUE),VLOOKUP(Calculator!E23,tbSkills!DH3:DJ6,3,FALSE),0),0))/100)))),1),"")</f>
        <v>1</v>
      </c>
      <c r="FQ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FN24)*FP24)*(VLOOKUP(A24,tbMoveset!A2:C112,3,FALSE)/100)*IF(VLOOKUP(A24,tbMoveset!A2:B112,2,FALSE)="Projectile",Backdoors!N10,Backdoors!N9),0),"")</f>
        <v/>
      </c>
      <c r="FR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FN24&gt;=0.45,VLOOKUP(Calculator!E23,tbSkills!DH3:DI6,2,FALSE)+IF(AND(Calculator!B8=TRUE,Backdoors!BI27=TRUE),VLOOKUP(Calculator!E23,tbSkills!DH3:DJ6,3,FALSE),0),0))&gt;=100,100,(Backdoors!AI12+IF(FN24&gt;=0.45,VLOOKUP(Calculator!E23,tbSkills!DH3:DI6,2,FALSE)+IF(AND(Calculator!B8=TRUE,Backdoors!BI27=TRUE),VLOOKUP(Calculator!E23,tbSkills!DH3:DJ6,3,FALSE),0),0)))/100)),1))*IF(VLOOKUP(A24,tbMoveset!A2:K112,11,FALSE)=TRUE,Backdoors!AC5,1))*FO24,0),"")</f>
        <v>0</v>
      </c>
      <c r="FS24" s="49">
        <f>VLOOKUP(A24,tbMoveset!A2:G112,7,FALSE)*IFERROR(IF(Backdoors!AI12&gt;=0,1+(IF(Calculator!E40&gt;0,VLOOKUP(Calculator!E40,tbSkills!AI3:AJ5,2,FALSE),Backdoors!AL4)*(IF((Backdoors!AI12+IF(FN24&gt;=0.45,VLOOKUP(Calculator!E23,tbSkills!DH3:DI6,2,FALSE)+IF(AND(Calculator!B8=TRUE,Backdoors!BI27=TRUE),VLOOKUP(Calculator!E23,tbSkills!DH3:DJ6,3,FALSE),0),0))&gt;=100,100,(Backdoors!AI12+IF(FN24&gt;=0.45,VLOOKUP(Calculator!E23,tbSkills!DH3:DI6,2,FALSE)+IF(AND(Calculator!B8=TRUE,Backdoors!BI27=TRUE),VLOOKUP(Calculator!E23,tbSkills!DH3:DJ6,3,FALSE),0),0)))/100)),1),1)</f>
        <v>1</v>
      </c>
      <c r="FT24" s="87">
        <f t="shared" si="17"/>
        <v>0</v>
      </c>
      <c r="FU24" s="86" t="str">
        <f>IFERROR(IF(VLOOKUP(A24,tbMoveset!A2:B112,2,FALSE)="Sever",Backdoors!AY28/100,IF(VLOOKUP(A24,tbMoveset!A2:B112,2,FALSE)="Blunt",Backdoors!AZ28/100,Backdoors!BA28/100)),"")</f>
        <v/>
      </c>
      <c r="FV24" s="49">
        <f>IFERROR(IF(VLOOKUP(tbMoveset!A24,tbMoveset!A2:H112,8,FALSE)="Other",IF(VLOOKUP(tbMoveset!A24,tbMoveset!A2:I112,9,FALSE)="Fire",Backdoors!BB28,IF(VLOOKUP(tbMoveset!A24,tbMoveset!A2:I112,9,FALSE)="Water",Backdoors!BC28,IF(VLOOKUP(tbMoveset!A24,tbMoveset!A2:I112,9,FALSE)="Thunder",Backdoors!BD28,IF(VLOOKUP(tbMoveset!A24,tbMoveset!A2:I112,9,FALSE)="Ice",Backdoors!BE28,IF(VLOOKUP(tbMoveset!A24,tbMoveset!A2:I112,9,FALSE)="Dragon",Backdoors!BF28,Backdoors!BG28)))))/100,Backdoors!BG28/100),"")</f>
        <v>0</v>
      </c>
      <c r="FW24" s="49">
        <f>IFERROR(IF(VLOOKUP(A24,tbMoveset!A2:J112,10,FALSE)=TRUE,IF((Backdoors!AI12+IF(FU24&gt;=0.45,VLOOKUP(Calculator!E23,tbSkills!DH3:DI6,2,FALSE)+IF(AND(Calculator!B8=TRUE,Backdoors!BI28=TRUE),VLOOKUP(Calculator!E23,tbSkills!DH3:DJ6,3,FALSE),0),0))&gt;=0,1+(Backdoors!AL2*(IF((Backdoors!AI12+IF(FU24&gt;=0.45,VLOOKUP(Calculator!E23,tbSkills!DH3:DI6,2,FALSE)+IF(AND(Calculator!B8=TRUE,Backdoors!BI28=TRUE),VLOOKUP(Calculator!E23,tbSkills!DH3:DJ6,3,FALSE),0),0))&gt;=100,100,(Backdoors!AI12+IF(FU24&gt;=0.45,VLOOKUP(Calculator!E23,tbSkills!DH3:DI6,2,FALSE)+IF(AND(Calculator!B8=TRUE,Backdoors!BI28=TRUE),VLOOKUP(Calculator!E23,tbSkills!DH3:DJ6,3,FALSE),0),0)))/100)),(1-(0.25*((-Backdoors!AI12-IF(FU24&gt;=0.45,VLOOKUP(Calculator!E23,tbSkills!DH3:DI6,2,FALSE)+IF(AND(Calculator!B8=TRUE,Backdoors!BI28=TRUE),VLOOKUP(Calculator!E23,tbSkills!DH3:DJ6,3,FALSE),0),0))/100)))),1),"")</f>
        <v>1</v>
      </c>
      <c r="FX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FU24)*FW24)*(VLOOKUP(A24,tbMoveset!A2:C112,3,FALSE)/100)*IF(VLOOKUP(A24,tbMoveset!A2:B112,2,FALSE)="Projectile",Backdoors!N10,Backdoors!N9),0),"")</f>
        <v/>
      </c>
      <c r="FY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FU24&gt;=0.45,VLOOKUP(Calculator!E23,tbSkills!DH3:DI6,2,FALSE)+IF(AND(Calculator!B8=TRUE,Backdoors!BI28=TRUE),VLOOKUP(Calculator!E23,tbSkills!DH3:DJ6,3,FALSE),0),0))&gt;=100,100,(Backdoors!AI12+IF(FU24&gt;=0.45,VLOOKUP(Calculator!E23,tbSkills!DH3:DI6,2,FALSE)+IF(AND(Calculator!B8=TRUE,Backdoors!BI28=TRUE),VLOOKUP(Calculator!E23,tbSkills!DH3:DJ6,3,FALSE),0),0)))/100)),1))*IF(VLOOKUP(A24,tbMoveset!A2:K112,11,FALSE)=TRUE,Backdoors!AC5,1))*FV24,0),"")</f>
        <v>0</v>
      </c>
      <c r="FZ24" s="49">
        <f>VLOOKUP(A24,tbMoveset!A2:G112,7,FALSE)*IFERROR(IF(Backdoors!AI12&gt;=0,1+(IF(Calculator!E40&gt;0,VLOOKUP(Calculator!E40,tbSkills!AI3:AJ5,2,FALSE),Backdoors!AL4)*(IF((Backdoors!AI12+IF(FU24&gt;=0.45,VLOOKUP(Calculator!E23,tbSkills!DH3:DI6,2,FALSE)+IF(AND(Calculator!B8=TRUE,Backdoors!BI28=TRUE),VLOOKUP(Calculator!E23,tbSkills!DH3:DJ6,3,FALSE),0),0))&gt;=100,100,(Backdoors!AI12+IF(FU24&gt;=0.45,VLOOKUP(Calculator!E23,tbSkills!DH3:DI6,2,FALSE)+IF(AND(Calculator!B8=TRUE,Backdoors!BI28=TRUE),VLOOKUP(Calculator!E23,tbSkills!DH3:DJ6,3,FALSE),0),0)))/100)),1),1)</f>
        <v>1</v>
      </c>
      <c r="GA24" s="87">
        <f t="shared" si="18"/>
        <v>0</v>
      </c>
      <c r="GB24" s="86" t="str">
        <f>IFERROR(IF(VLOOKUP(A24,tbMoveset!A2:B112,2,FALSE)="Sever",Backdoors!AY29/100,IF(VLOOKUP(A24,tbMoveset!A2:B112,2,FALSE)="Blunt",Backdoors!AZ29/100,Backdoors!BA29/100)),"")</f>
        <v/>
      </c>
      <c r="GC24" s="49">
        <f>IFERROR(IF(VLOOKUP(tbMoveset!A24,tbMoveset!A2:H112,8,FALSE)="Other",IF(VLOOKUP(tbMoveset!A24,tbMoveset!A2:I112,9,FALSE)="Fire",Backdoors!BB29,IF(VLOOKUP(tbMoveset!A24,tbMoveset!A2:I112,9,FALSE)="Water",Backdoors!BC29,IF(VLOOKUP(tbMoveset!A24,tbMoveset!A2:I112,9,FALSE)="Thunder",Backdoors!BD29,IF(VLOOKUP(tbMoveset!A24,tbMoveset!A2:I112,9,FALSE)="Ice",Backdoors!BE29,IF(VLOOKUP(tbMoveset!A24,tbMoveset!A2:I112,9,FALSE)="Dragon",Backdoors!BF29,Backdoors!BG29)))))/100,Backdoors!BG29/100),"")</f>
        <v>0</v>
      </c>
      <c r="GD24" s="49">
        <f>IFERROR(IF(VLOOKUP(A24,tbMoveset!A2:J112,10,FALSE)=TRUE,IF((Backdoors!AI12+IF(GB24&gt;=0.45,VLOOKUP(Calculator!E23,tbSkills!DH3:DI6,2,FALSE)+IF(AND(Calculator!B8=TRUE,Backdoors!BI29=TRUE),VLOOKUP(Calculator!E23,tbSkills!DH3:DJ6,3,FALSE),0),0))&gt;=0,1+(Backdoors!AL2*(IF((Backdoors!AI12+IF(GB24&gt;=0.45,VLOOKUP(Calculator!E23,tbSkills!DH3:DI6,2,FALSE)+IF(AND(Calculator!B8=TRUE,Backdoors!BI29=TRUE),VLOOKUP(Calculator!E23,tbSkills!DH3:DJ6,3,FALSE),0),0))&gt;=100,100,(Backdoors!AI12+IF(GB24&gt;=0.45,VLOOKUP(Calculator!E23,tbSkills!DH3:DI6,2,FALSE)+IF(AND(Calculator!B8=TRUE,Backdoors!BI29=TRUE),VLOOKUP(Calculator!E23,tbSkills!DH3:DJ6,3,FALSE),0),0)))/100)),(1-(0.25*((-Backdoors!AI12-IF(GB24&gt;=0.45,VLOOKUP(Calculator!E23,tbSkills!DH3:DI6,2,FALSE)+IF(AND(Calculator!B8=TRUE,Backdoors!BI29=TRUE),VLOOKUP(Calculator!E23,tbSkills!DH3:DJ6,3,FALSE),0),0))/100)))),1),"")</f>
        <v>1</v>
      </c>
      <c r="GE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B24)*GD24)*(VLOOKUP(A24,tbMoveset!A2:C112,3,FALSE)/100)*IF(VLOOKUP(A24,tbMoveset!A2:B112,2,FALSE)="Projectile",Backdoors!N10,Backdoors!N9),0),"")</f>
        <v/>
      </c>
      <c r="GF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B24&gt;=0.45,VLOOKUP(Calculator!E23,tbSkills!DH3:DI6,2,FALSE)+IF(AND(Calculator!B8=TRUE,Backdoors!BI29=TRUE),VLOOKUP(Calculator!E23,tbSkills!DH3:DJ6,3,FALSE),0),0))&gt;=100,100,(Backdoors!AI12+IF(GB24&gt;=0.45,VLOOKUP(Calculator!E23,tbSkills!DH3:DI6,2,FALSE)+IF(AND(Calculator!B8=TRUE,Backdoors!BI29=TRUE),VLOOKUP(Calculator!E23,tbSkills!DH3:DJ6,3,FALSE),0),0)))/100)),1))*IF(VLOOKUP(A24,tbMoveset!A2:K112,11,FALSE)=TRUE,Backdoors!AC5,1))*GC24,0),"")</f>
        <v>0</v>
      </c>
      <c r="GG24" s="49">
        <f>VLOOKUP(A24,tbMoveset!A2:G112,7,FALSE)*IFERROR(IF(Backdoors!AI12&gt;=0,1+(IF(Calculator!E40&gt;0,VLOOKUP(Calculator!E40,tbSkills!AI3:AJ5,2,FALSE),Backdoors!AL4)*(IF((Backdoors!AI12+IF(GB24&gt;=0.45,VLOOKUP(Calculator!E23,tbSkills!DH3:DI6,2,FALSE)+IF(AND(Calculator!B8=TRUE,Backdoors!BI29=TRUE),VLOOKUP(Calculator!E23,tbSkills!DH3:DJ6,3,FALSE),0),0))&gt;=100,100,(Backdoors!AI12+IF(GB24&gt;=0.45,VLOOKUP(Calculator!E23,tbSkills!DH3:DI6,2,FALSE)+IF(AND(Calculator!B8=TRUE,Backdoors!BI29=TRUE),VLOOKUP(Calculator!E23,tbSkills!DH3:DJ6,3,FALSE),0),0)))/100)),1),1)</f>
        <v>1</v>
      </c>
      <c r="GH24" s="87">
        <f t="shared" si="19"/>
        <v>0</v>
      </c>
      <c r="GI24" s="86" t="str">
        <f>IFERROR(IF(VLOOKUP(A24,tbMoveset!A2:B112,2,FALSE)="Sever",Backdoors!AY30/100,IF(VLOOKUP(A24,tbMoveset!A2:B112,2,FALSE)="Blunt",Backdoors!AZ30/100,Backdoors!BA30/100)),"")</f>
        <v/>
      </c>
      <c r="GJ24" s="49">
        <f>IFERROR(IF(VLOOKUP(tbMoveset!A24,tbMoveset!A2:H112,8,FALSE)="Other",IF(VLOOKUP(tbMoveset!A24,tbMoveset!A2:I112,9,FALSE)="Fire",Backdoors!BB30,IF(VLOOKUP(tbMoveset!A24,tbMoveset!A2:I112,9,FALSE)="Water",Backdoors!BC30,IF(VLOOKUP(tbMoveset!A24,tbMoveset!A2:I112,9,FALSE)="Thunder",Backdoors!BD30,IF(VLOOKUP(tbMoveset!A24,tbMoveset!A2:I112,9,FALSE)="Ice",Backdoors!BE30,IF(VLOOKUP(tbMoveset!A24,tbMoveset!A2:I112,9,FALSE)="Dragon",Backdoors!BF30,Backdoors!BG30)))))/100,Backdoors!BG30/100),"")</f>
        <v>0</v>
      </c>
      <c r="GK24" s="49">
        <f>IFERROR(IF(VLOOKUP(A24,tbMoveset!A2:J112,10,FALSE)=TRUE,IF((Backdoors!AI12+IF(GI24&gt;=0.45,VLOOKUP(Calculator!E23,tbSkills!DH3:DI6,2,FALSE)+IF(AND(Calculator!B8=TRUE,Backdoors!BI30=TRUE),VLOOKUP(Calculator!E23,tbSkills!DH3:DJ6,3,FALSE),0),0))&gt;=0,1+(Backdoors!AL2*(IF((Backdoors!AI12+IF(GI24&gt;=0.45,VLOOKUP(Calculator!E23,tbSkills!DH3:DI6,2,FALSE)+IF(AND(Calculator!B8=TRUE,Backdoors!BI30=TRUE),VLOOKUP(Calculator!E23,tbSkills!DH3:DJ6,3,FALSE),0),0))&gt;=100,100,(Backdoors!AI12+IF(GI24&gt;=0.45,VLOOKUP(Calculator!E23,tbSkills!DH3:DI6,2,FALSE)+IF(AND(Calculator!B8=TRUE,Backdoors!BI30=TRUE),VLOOKUP(Calculator!E23,tbSkills!DH3:DJ6,3,FALSE),0),0)))/100)),(1-(0.25*((-Backdoors!AI12-IF(GI24&gt;=0.45,VLOOKUP(Calculator!E23,tbSkills!DH3:DI6,2,FALSE)+IF(AND(Calculator!B8=TRUE,Backdoors!BI30=TRUE),VLOOKUP(Calculator!E23,tbSkills!DH3:DJ6,3,FALSE),0),0))/100)))),1),"")</f>
        <v>1</v>
      </c>
      <c r="GL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I24)*GK24)*(VLOOKUP(A24,tbMoveset!A2:C112,3,FALSE)/100)*IF(VLOOKUP(A24,tbMoveset!A2:B112,2,FALSE)="Projectile",Backdoors!N10,Backdoors!N9),0),"")</f>
        <v/>
      </c>
      <c r="GM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I24&gt;=0.45,VLOOKUP(Calculator!E23,tbSkills!DH3:DI6,2,FALSE)+IF(AND(Calculator!B8=TRUE,Backdoors!BI30=TRUE),VLOOKUP(Calculator!E23,tbSkills!DH3:DJ6,3,FALSE),0),0))&gt;=100,100,(Backdoors!AI12+IF(GI24&gt;=0.45,VLOOKUP(Calculator!E23,tbSkills!DH3:DI6,2,FALSE)+IF(AND(Calculator!B8=TRUE,Backdoors!BI30=TRUE),VLOOKUP(Calculator!E23,tbSkills!DH3:DJ6,3,FALSE),0),0)))/100)),1))*IF(VLOOKUP(A24,tbMoveset!A2:K112,11,FALSE)=TRUE,Backdoors!AC5,1))*GJ24,0),"")</f>
        <v>0</v>
      </c>
      <c r="GN24" s="49">
        <f>VLOOKUP(A24,tbMoveset!A2:G112,7,FALSE)*IFERROR(IF(Backdoors!AI12&gt;=0,1+(IF(Calculator!E40&gt;0,VLOOKUP(Calculator!E40,tbSkills!AI3:AJ5,2,FALSE),Backdoors!AL4)*(IF((Backdoors!AI12+IF(GI24&gt;=0.45,VLOOKUP(Calculator!E23,tbSkills!DH3:DI6,2,FALSE)+IF(AND(Calculator!B8=TRUE,Backdoors!BI30=TRUE),VLOOKUP(Calculator!E23,tbSkills!DH3:DJ6,3,FALSE),0),0))&gt;=100,100,(Backdoors!AI12+IF(GI24&gt;=0.45,VLOOKUP(Calculator!E23,tbSkills!DH3:DI6,2,FALSE)+IF(AND(Calculator!B8=TRUE,Backdoors!BI30=TRUE),VLOOKUP(Calculator!E23,tbSkills!DH3:DJ6,3,FALSE),0),0)))/100)),1),1)</f>
        <v>1</v>
      </c>
      <c r="GO24" s="87">
        <f t="shared" si="20"/>
        <v>0</v>
      </c>
      <c r="GP24" s="86" t="str">
        <f>IFERROR(IF(VLOOKUP(A24,tbMoveset!A2:B112,2,FALSE)="Sever",Backdoors!AY31/100,IF(VLOOKUP(A24,tbMoveset!A2:B112,2,FALSE)="Blunt",Backdoors!AZ31/100,Backdoors!BA31/100)),"")</f>
        <v/>
      </c>
      <c r="GQ24" s="49">
        <f>IFERROR(IF(VLOOKUP(tbMoveset!A24,tbMoveset!A2:H112,8,FALSE)="Other",IF(VLOOKUP(tbMoveset!A24,tbMoveset!A2:I112,9,FALSE)="Fire",Backdoors!BB31,IF(VLOOKUP(tbMoveset!A24,tbMoveset!A2:I112,9,FALSE)="Water",Backdoors!BC31,IF(VLOOKUP(tbMoveset!A24,tbMoveset!A2:I112,9,FALSE)="Thunder",Backdoors!BD31,IF(VLOOKUP(tbMoveset!A24,tbMoveset!A2:I112,9,FALSE)="Ice",Backdoors!BE31,IF(VLOOKUP(tbMoveset!A24,tbMoveset!A2:I112,9,FALSE)="Dragon",Backdoors!BF31,Backdoors!BG31)))))/100,Backdoors!BG31/100),"")</f>
        <v>0</v>
      </c>
      <c r="GR24" s="49">
        <f>IFERROR(IF(VLOOKUP(A24,tbMoveset!A2:J112,10,FALSE)=TRUE,IF((Backdoors!AI12+IF(GP24&gt;=0.45,VLOOKUP(Calculator!E23,tbSkills!DH3:DI6,2,FALSE)+IF(AND(Calculator!B8=TRUE,Backdoors!BI31=TRUE),VLOOKUP(Calculator!E23,tbSkills!DH3:DJ6,3,FALSE),0),0))&gt;=0,1+(Backdoors!AL2*(IF((Backdoors!AI12+IF(GP24&gt;=0.45,VLOOKUP(Calculator!E23,tbSkills!DH3:DI6,2,FALSE)+IF(AND(Calculator!B8=TRUE,Backdoors!BI31=TRUE),VLOOKUP(Calculator!E23,tbSkills!DH3:DJ6,3,FALSE),0),0))&gt;=100,100,(Backdoors!AI12+IF(GP24&gt;=0.45,VLOOKUP(Calculator!E23,tbSkills!DH3:DI6,2,FALSE)+IF(AND(Calculator!B8=TRUE,Backdoors!BI31=TRUE),VLOOKUP(Calculator!E23,tbSkills!DH3:DJ6,3,FALSE),0),0)))/100)),(1-(0.25*((-Backdoors!AI12-IF(GP24&gt;=0.45,VLOOKUP(Calculator!E23,tbSkills!DH3:DI6,2,FALSE)+IF(AND(Calculator!B8=TRUE,Backdoors!BI31=TRUE),VLOOKUP(Calculator!E23,tbSkills!DH3:DJ6,3,FALSE),0),0))/100)))),1),"")</f>
        <v>1</v>
      </c>
      <c r="GS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P24)*GR24)*(VLOOKUP(A24,tbMoveset!A2:C112,3,FALSE)/100)*IF(VLOOKUP(A24,tbMoveset!A2:B112,2,FALSE)="Projectile",Backdoors!N10,Backdoors!N9),0),"")</f>
        <v/>
      </c>
      <c r="GT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P24&gt;=0.45,VLOOKUP(Calculator!E23,tbSkills!DH3:DI6,2,FALSE)+IF(AND(Calculator!B8=TRUE,Backdoors!BI31=TRUE),VLOOKUP(Calculator!E23,tbSkills!DH3:DJ6,3,FALSE),0),0))&gt;=100,100,(Backdoors!AI12+IF(GP24&gt;=0.45,VLOOKUP(Calculator!E23,tbSkills!DH3:DI6,2,FALSE)+IF(AND(Calculator!B8=TRUE,Backdoors!BI31=TRUE),VLOOKUP(Calculator!E23,tbSkills!DH3:DJ6,3,FALSE),0),0)))/100)),1))*IF(VLOOKUP(A24,tbMoveset!A2:K112,11,FALSE)=TRUE,Backdoors!AC5,1))*GQ24,0),"")</f>
        <v>0</v>
      </c>
      <c r="GU24" s="49">
        <f>VLOOKUP(A24,tbMoveset!A2:G112,7,FALSE)*IFERROR(IF(Backdoors!AI12&gt;=0,1+(IF(Calculator!E40&gt;0,VLOOKUP(Calculator!E40,tbSkills!AI3:AJ5,2,FALSE),Backdoors!AL4)*(IF((Backdoors!AI12+IF(GP24&gt;=0.45,VLOOKUP(Calculator!E23,tbSkills!DH3:DI6,2,FALSE)+IF(AND(Calculator!B8=TRUE,Backdoors!BI31=TRUE),VLOOKUP(Calculator!E23,tbSkills!DH3:DJ6,3,FALSE),0),0))&gt;=100,100,(Backdoors!AI12+IF(GP24&gt;=0.45,VLOOKUP(Calculator!E23,tbSkills!DH3:DI6,2,FALSE)+IF(AND(Calculator!B8=TRUE,Backdoors!BI31=TRUE),VLOOKUP(Calculator!E23,tbSkills!DH3:DJ6,3,FALSE),0),0)))/100)),1),1)</f>
        <v>1</v>
      </c>
      <c r="GV24" s="87">
        <f t="shared" si="21"/>
        <v>0</v>
      </c>
      <c r="GW24" s="86" t="str">
        <f>IFERROR(IF(VLOOKUP(A24,tbMoveset!A2:B112,2,FALSE)="Sever",Backdoors!AY32/100,IF(VLOOKUP(A24,tbMoveset!A2:B112,2,FALSE)="Blunt",Backdoors!AZ32/100,Backdoors!BA32/100)),"")</f>
        <v/>
      </c>
      <c r="GX24" s="49">
        <f>IFERROR(IF(VLOOKUP(tbMoveset!A24,tbMoveset!A2:H112,8,FALSE)="Other",IF(VLOOKUP(tbMoveset!A24,tbMoveset!A2:I112,9,FALSE)="Fire",Backdoors!BB32,IF(VLOOKUP(tbMoveset!A24,tbMoveset!A2:I112,9,FALSE)="Water",Backdoors!BC32,IF(VLOOKUP(tbMoveset!A24,tbMoveset!A2:I112,9,FALSE)="Thunder",Backdoors!BD32,IF(VLOOKUP(tbMoveset!A24,tbMoveset!A2:I112,9,FALSE)="Ice",Backdoors!BE32,IF(VLOOKUP(tbMoveset!A24,tbMoveset!A2:I112,9,FALSE)="Dragon",Backdoors!BF32,Backdoors!BG32)))))/100,Backdoors!BG32/100),"")</f>
        <v>0</v>
      </c>
      <c r="GY24" s="49">
        <f>IFERROR(IF(VLOOKUP(A24,tbMoveset!A2:J112,10,FALSE)=TRUE,IF((Backdoors!AI12+IF(GW24&gt;=0.45,VLOOKUP(Calculator!E23,tbSkills!DH3:DI6,2,FALSE)+IF(AND(Calculator!B8=TRUE,Backdoors!BI32=TRUE),VLOOKUP(Calculator!E23,tbSkills!DH3:DJ6,3,FALSE),0),0))&gt;=0,1+(Backdoors!AL2*(IF((Backdoors!AI12+IF(GW24&gt;=0.45,VLOOKUP(Calculator!E23,tbSkills!DH3:DI6,2,FALSE)+IF(AND(Calculator!B8=TRUE,Backdoors!BI32=TRUE),VLOOKUP(Calculator!E23,tbSkills!DH3:DJ6,3,FALSE),0),0))&gt;=100,100,(Backdoors!AI12+IF(GW24&gt;=0.45,VLOOKUP(Calculator!E23,tbSkills!DH3:DI6,2,FALSE)+IF(AND(Calculator!B8=TRUE,Backdoors!BI32=TRUE),VLOOKUP(Calculator!E23,tbSkills!DH3:DJ6,3,FALSE),0),0)))/100)),(1-(0.25*((-Backdoors!AI12-IF(GW24&gt;=0.45,VLOOKUP(Calculator!E23,tbSkills!DH3:DI6,2,FALSE)+IF(AND(Calculator!B8=TRUE,Backdoors!BI32=TRUE),VLOOKUP(Calculator!E23,tbSkills!DH3:DJ6,3,FALSE),0),0))/100)))),1),"")</f>
        <v>1</v>
      </c>
      <c r="GZ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W24)*GY24)*(VLOOKUP(A24,tbMoveset!A2:C112,3,FALSE)/100)*IF(VLOOKUP(A24,tbMoveset!A2:B112,2,FALSE)="Projectile",Backdoors!N10,Backdoors!N9),0),"")</f>
        <v/>
      </c>
      <c r="HA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W24&gt;=0.45,VLOOKUP(Calculator!E23,tbSkills!DH3:DI6,2,FALSE)+IF(AND(Calculator!B8=TRUE,Backdoors!BI32=TRUE),VLOOKUP(Calculator!E23,tbSkills!DH3:DJ6,3,FALSE),0),0))&gt;=100,100,(Backdoors!AI12+IF(GW24&gt;=0.45,VLOOKUP(Calculator!E23,tbSkills!DH3:DI6,2,FALSE)+IF(AND(Calculator!B8=TRUE,Backdoors!BI32=TRUE),VLOOKUP(Calculator!E23,tbSkills!DH3:DJ6,3,FALSE),0),0)))/100)),1))*IF(VLOOKUP(A24,tbMoveset!A2:K112,11,FALSE)=TRUE,Backdoors!AC5,1))*GX24,0),"")</f>
        <v>0</v>
      </c>
      <c r="HB24" s="49">
        <f>VLOOKUP(A24,tbMoveset!A2:G112,7,FALSE)*IFERROR(IF(Backdoors!AI12&gt;=0,1+(IF(Calculator!E40&gt;0,VLOOKUP(Calculator!E40,tbSkills!AI3:AJ5,2,FALSE),Backdoors!AL4)*(IF((Backdoors!AI12+IF(GW24&gt;=0.45,VLOOKUP(Calculator!E23,tbSkills!DH3:DI6,2,FALSE)+IF(AND(Calculator!B8=TRUE,Backdoors!BI32=TRUE),VLOOKUP(Calculator!E23,tbSkills!DH3:DJ6,3,FALSE),0),0))&gt;=100,100,(Backdoors!AI12+IF(GW24&gt;=0.45,VLOOKUP(Calculator!E23,tbSkills!DH3:DI6,2,FALSE)+IF(AND(Calculator!B8=TRUE,Backdoors!BI32=TRUE),VLOOKUP(Calculator!E23,tbSkills!DH3:DJ6,3,FALSE),0),0)))/100)),1),1)</f>
        <v>1</v>
      </c>
      <c r="HC24" s="87">
        <f t="shared" si="22"/>
        <v>0</v>
      </c>
      <c r="HD24" s="86" t="str">
        <f>IFERROR(IF(VLOOKUP(A24,tbMoveset!A2:B112,2,FALSE)="Sever",Backdoors!AY33/100,IF(VLOOKUP(A24,tbMoveset!A2:B112,2,FALSE)="Blunt",Backdoors!AZ33/100,Backdoors!BA33/100)),"")</f>
        <v/>
      </c>
      <c r="HE24" s="49">
        <f>IFERROR(IF(VLOOKUP(tbMoveset!A24,tbMoveset!A2:H112,8,FALSE)="Other",IF(VLOOKUP(tbMoveset!A24,tbMoveset!A2:I112,9,FALSE)="Fire",Backdoors!BB33,IF(VLOOKUP(tbMoveset!A24,tbMoveset!A2:I112,9,FALSE)="Water",Backdoors!BC33,IF(VLOOKUP(tbMoveset!A24,tbMoveset!A2:I112,9,FALSE)="Thunder",Backdoors!BD33,IF(VLOOKUP(tbMoveset!A24,tbMoveset!A2:I112,9,FALSE)="Ice",Backdoors!BE33,IF(VLOOKUP(tbMoveset!A24,tbMoveset!A2:I112,9,FALSE)="Dragon",Backdoors!BF33,Backdoors!BG33)))))/100,Backdoors!BG33/100),"")</f>
        <v>0</v>
      </c>
      <c r="HF24" s="49">
        <f>IFERROR(IF(VLOOKUP(A24,tbMoveset!A2:J112,10,FALSE)=TRUE,IF((Backdoors!AI12+IF(HD24&gt;=0.45,VLOOKUP(Calculator!E23,tbSkills!DH3:DI6,2,FALSE)+IF(AND(Calculator!B8=TRUE,Backdoors!BI33=TRUE),VLOOKUP(Calculator!E23,tbSkills!DH3:DJ6,3,FALSE),0),0))&gt;=0,1+(Backdoors!AL2*(IF((Backdoors!AI12+IF(HD24&gt;=0.45,VLOOKUP(Calculator!E23,tbSkills!DH3:DI6,2,FALSE)+IF(AND(Calculator!B8=TRUE,Backdoors!BI33=TRUE),VLOOKUP(Calculator!E23,tbSkills!DH3:DJ6,3,FALSE),0),0))&gt;=100,100,(Backdoors!AI12+IF(HD24&gt;=0.45,VLOOKUP(Calculator!E23,tbSkills!DH3:DI6,2,FALSE)+IF(AND(Calculator!B8=TRUE,Backdoors!BI33=TRUE),VLOOKUP(Calculator!E23,tbSkills!DH3:DJ6,3,FALSE),0),0)))/100)),(1-(0.25*((-Backdoors!AI12-IF(HD24&gt;=0.45,VLOOKUP(Calculator!E23,tbSkills!DH3:DI6,2,FALSE)+IF(AND(Calculator!B8=TRUE,Backdoors!BI33=TRUE),VLOOKUP(Calculator!E23,tbSkills!DH3:DJ6,3,FALSE),0),0))/100)))),1),"")</f>
        <v>1</v>
      </c>
      <c r="HG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D24)*HF24)*(VLOOKUP(A24,tbMoveset!A2:C112,3,FALSE)/100)*IF(VLOOKUP(A24,tbMoveset!A2:B112,2,FALSE)="Projectile",Backdoors!N10,Backdoors!N9),0),"")</f>
        <v/>
      </c>
      <c r="HH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D24&gt;=0.45,VLOOKUP(Calculator!E23,tbSkills!DH3:DI6,2,FALSE)+IF(AND(Calculator!B8=TRUE,Backdoors!BI33=TRUE),VLOOKUP(Calculator!E23,tbSkills!DH3:DJ6,3,FALSE),0),0))&gt;=100,100,(Backdoors!AI12+IF(HD24&gt;=0.45,VLOOKUP(Calculator!E23,tbSkills!DH3:DI6,2,FALSE)+IF(AND(Calculator!B8=TRUE,Backdoors!BI33=TRUE),VLOOKUP(Calculator!E23,tbSkills!DH3:DJ6,3,FALSE),0),0)))/100)),1))*IF(VLOOKUP(A24,tbMoveset!A2:K112,11,FALSE)=TRUE,Backdoors!AC5,1))*HE24,0),"")</f>
        <v>0</v>
      </c>
      <c r="HI24" s="49">
        <f>VLOOKUP(A24,tbMoveset!A2:G112,7,FALSE)*IFERROR(IF(Backdoors!AI12&gt;=0,1+(IF(Calculator!E40&gt;0,VLOOKUP(Calculator!E40,tbSkills!AI3:AJ5,2,FALSE),Backdoors!AL4)*(IF((Backdoors!AI12+IF(HD24&gt;=0.45,VLOOKUP(Calculator!E23,tbSkills!DH3:DI6,2,FALSE)+IF(AND(Calculator!B8=TRUE,Backdoors!BI33=TRUE),VLOOKUP(Calculator!E23,tbSkills!DH3:DJ6,3,FALSE),0),0))&gt;=100,100,(Backdoors!AI12+IF(HD24&gt;=0.45,VLOOKUP(Calculator!E23,tbSkills!DH3:DI6,2,FALSE)+IF(AND(Calculator!B8=TRUE,Backdoors!BI33=TRUE),VLOOKUP(Calculator!E23,tbSkills!DH3:DJ6,3,FALSE),0),0)))/100)),1),1)</f>
        <v>1</v>
      </c>
      <c r="HJ24" s="87">
        <f t="shared" si="23"/>
        <v>0</v>
      </c>
      <c r="HK24" s="86" t="str">
        <f>IFERROR(IF(VLOOKUP(A24,tbMoveset!A2:B112,2,FALSE)="Sever",Backdoors!AY34/100,IF(VLOOKUP(A24,tbMoveset!A2:B112,2,FALSE)="Blunt",Backdoors!AZ34/100,Backdoors!BA34/100)),"")</f>
        <v/>
      </c>
      <c r="HL24" s="49">
        <f>IFERROR(IF(VLOOKUP(tbMoveset!A24,tbMoveset!A2:H112,8,FALSE)="Other",IF(VLOOKUP(tbMoveset!A24,tbMoveset!A2:I112,9,FALSE)="Fire",Backdoors!BB34,IF(VLOOKUP(tbMoveset!A24,tbMoveset!A2:I112,9,FALSE)="Water",Backdoors!BC34,IF(VLOOKUP(tbMoveset!A24,tbMoveset!A2:I112,9,FALSE)="Thunder",Backdoors!BD34,IF(VLOOKUP(tbMoveset!A24,tbMoveset!A2:I112,9,FALSE)="Ice",Backdoors!BE34,IF(VLOOKUP(tbMoveset!A24,tbMoveset!A2:I112,9,FALSE)="Dragon",Backdoors!BF34,Backdoors!BG34)))))/100,Backdoors!BG34/100),"")</f>
        <v>0</v>
      </c>
      <c r="HM24" s="49">
        <f>IFERROR(IF(VLOOKUP(A24,tbMoveset!A2:J112,10,FALSE)=TRUE,IF((Backdoors!AI12+IF(HK24&gt;=0.45,VLOOKUP(Calculator!E23,tbSkills!DH3:DI6,2,FALSE)+IF(AND(Calculator!B8=TRUE,Backdoors!BI34=TRUE),VLOOKUP(Calculator!E23,tbSkills!DH3:DJ6,3,FALSE),0),0))&gt;=0,1+(Backdoors!AL2*(IF((Backdoors!AI12+IF(HK24&gt;=0.45,VLOOKUP(Calculator!E23,tbSkills!DH3:DI6,2,FALSE)+IF(AND(Calculator!B8=TRUE,Backdoors!BI34=TRUE),VLOOKUP(Calculator!E23,tbSkills!DH3:DJ6,3,FALSE),0),0))&gt;=100,100,(Backdoors!AI12+IF(HK24&gt;=0.45,VLOOKUP(Calculator!E23,tbSkills!DH3:DI6,2,FALSE)+IF(AND(Calculator!B8=TRUE,Backdoors!BI34=TRUE),VLOOKUP(Calculator!E23,tbSkills!DH3:DJ6,3,FALSE),0),0)))/100)),(1-(0.25*((-Backdoors!AI12-IF(HK24&gt;=0.45,VLOOKUP(Calculator!E23,tbSkills!DH3:DI6,2,FALSE)+IF(AND(Calculator!B8=TRUE,Backdoors!BI34=TRUE),VLOOKUP(Calculator!E23,tbSkills!DH3:DJ6,3,FALSE),0),0))/100)))),1),"")</f>
        <v>1</v>
      </c>
      <c r="HN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K24)*HM24)*(VLOOKUP(A24,tbMoveset!A2:C112,3,FALSE)/100)*IF(VLOOKUP(A24,tbMoveset!A2:B112,2,FALSE)="Projectile",Backdoors!N10,Backdoors!N9),0),"")</f>
        <v/>
      </c>
      <c r="HO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K24&gt;=0.45,VLOOKUP(Calculator!E23,tbSkills!DH3:DI6,2,FALSE)+IF(AND(Calculator!B8=TRUE,Backdoors!BI34=TRUE),VLOOKUP(Calculator!E23,tbSkills!DH3:DJ6,3,FALSE),0),0))&gt;=100,100,(Backdoors!AI12+IF(HK24&gt;=0.45,VLOOKUP(Calculator!E23,tbSkills!DH3:DI6,2,FALSE)+IF(AND(Calculator!B8=TRUE,Backdoors!BI34=TRUE),VLOOKUP(Calculator!E23,tbSkills!DH3:DJ6,3,FALSE),0),0)))/100)),1))*IF(VLOOKUP(A24,tbMoveset!A2:K112,11,FALSE)=TRUE,Backdoors!AC5,1))*HL24,0),"")</f>
        <v>0</v>
      </c>
      <c r="HP24" s="49">
        <f>VLOOKUP(A24,tbMoveset!A2:G112,7,FALSE)*IFERROR(IF(Backdoors!AI12&gt;=0,1+(IF(Calculator!E40&gt;0,VLOOKUP(Calculator!E40,tbSkills!AI3:AJ5,2,FALSE),Backdoors!AL4)*(IF((Backdoors!AI12+IF(HK24&gt;=0.45,VLOOKUP(Calculator!E23,tbSkills!DH3:DI6,2,FALSE)+IF(AND(Calculator!B8=TRUE,Backdoors!BI34=TRUE),VLOOKUP(Calculator!E23,tbSkills!DH3:DJ6,3,FALSE),0),0))&gt;=100,100,(Backdoors!AI12+IF(HK24&gt;=0.45,VLOOKUP(Calculator!E23,tbSkills!DH3:DI6,2,FALSE)+IF(AND(Calculator!B8=TRUE,Backdoors!BI34=TRUE),VLOOKUP(Calculator!E23,tbSkills!DH3:DJ6,3,FALSE),0),0)))/100)),1),1)</f>
        <v>1</v>
      </c>
      <c r="HQ24" s="87">
        <f t="shared" si="24"/>
        <v>0</v>
      </c>
      <c r="HR24" s="86" t="str">
        <f>IFERROR(IF(VLOOKUP(A24,tbMoveset!A2:B112,2,FALSE)="Sever",Backdoors!AY35/100,IF(VLOOKUP(A24,tbMoveset!A2:B112,2,FALSE)="Blunt",Backdoors!AZ35/100,Backdoors!BA35/100)),"")</f>
        <v/>
      </c>
      <c r="HS24" s="49">
        <f>IFERROR(IF(VLOOKUP(tbMoveset!A24,tbMoveset!A2:H112,8,FALSE)="Other",IF(VLOOKUP(tbMoveset!A24,tbMoveset!A2:I112,9,FALSE)="Fire",Backdoors!BB35,IF(VLOOKUP(tbMoveset!A24,tbMoveset!A2:I112,9,FALSE)="Water",Backdoors!BC35,IF(VLOOKUP(tbMoveset!A24,tbMoveset!A2:I112,9,FALSE)="Thunder",Backdoors!BD35,IF(VLOOKUP(tbMoveset!A24,tbMoveset!A2:I112,9,FALSE)="Ice",Backdoors!BE35,IF(VLOOKUP(tbMoveset!A24,tbMoveset!A2:I112,9,FALSE)="Dragon",Backdoors!BF35,Backdoors!BG35)))))/100,Backdoors!BG35/100),"")</f>
        <v>0</v>
      </c>
      <c r="HT24" s="49">
        <f>IFERROR(IF(VLOOKUP(A24,tbMoveset!A2:J112,10,FALSE)=TRUE,IF((Backdoors!AI12+IF(HR24&gt;=0.45,VLOOKUP(Calculator!E23,tbSkills!DH3:DI6,2,FALSE)+IF(AND(Calculator!B8=TRUE,Backdoors!BI35=TRUE),VLOOKUP(Calculator!E23,tbSkills!DH3:DJ6,3,FALSE),0),0))&gt;=0,1+(Backdoors!AL2*(IF((Backdoors!AI12+IF(HR24&gt;=0.45,VLOOKUP(Calculator!E23,tbSkills!DH3:DI6,2,FALSE)+IF(AND(Calculator!B8=TRUE,Backdoors!BI35=TRUE),VLOOKUP(Calculator!E23,tbSkills!DH3:DJ6,3,FALSE),0),0))&gt;=100,100,(Backdoors!AI12+IF(HR24&gt;=0.45,VLOOKUP(Calculator!E23,tbSkills!DH3:DI6,2,FALSE)+IF(AND(Calculator!B8=TRUE,Backdoors!BI35=TRUE),VLOOKUP(Calculator!E23,tbSkills!DH3:DJ6,3,FALSE),0),0)))/100)),(1-(0.25*((-Backdoors!AI12-IF(HR24&gt;=0.45,VLOOKUP(Calculator!E23,tbSkills!DH3:DI6,2,FALSE)+IF(AND(Calculator!B8=TRUE,Backdoors!BI35=TRUE),VLOOKUP(Calculator!E23,tbSkills!DH3:DJ6,3,FALSE),0),0))/100)))),1),"")</f>
        <v>1</v>
      </c>
      <c r="HU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R24)*HT24)*(VLOOKUP(A24,tbMoveset!A2:C112,3,FALSE)/100)*IF(VLOOKUP(A24,tbMoveset!A2:B112,2,FALSE)="Projectile",Backdoors!N10,Backdoors!N9),0),"")</f>
        <v/>
      </c>
      <c r="HV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R24&gt;=0.45,VLOOKUP(Calculator!E23,tbSkills!DH3:DI6,2,FALSE)+IF(AND(Calculator!B8=TRUE,Backdoors!BI35=TRUE),VLOOKUP(Calculator!E23,tbSkills!DH3:DJ6,3,FALSE),0),0))&gt;=100,100,(Backdoors!AI12+IF(HR24&gt;=0.45,VLOOKUP(Calculator!E23,tbSkills!DH3:DI6,2,FALSE)+IF(AND(Calculator!B8=TRUE,Backdoors!BI35=TRUE),VLOOKUP(Calculator!E23,tbSkills!DH3:DJ6,3,FALSE),0),0)))/100)),1))*IF(VLOOKUP(A24,tbMoveset!A2:K112,11,FALSE)=TRUE,Backdoors!AC5,1))*HS24,0),"")</f>
        <v>0</v>
      </c>
      <c r="HW24" s="49">
        <f>VLOOKUP(A24,tbMoveset!A2:G112,7,FALSE)*IFERROR(IF(Backdoors!AI12&gt;=0,1+(IF(Calculator!E40&gt;0,VLOOKUP(Calculator!E40,tbSkills!AI3:AJ5,2,FALSE),Backdoors!AL4)*(IF((Backdoors!AI12+IF(HR24&gt;=0.45,VLOOKUP(Calculator!E23,tbSkills!DH3:DI6,2,FALSE)+IF(AND(Calculator!B8=TRUE,Backdoors!BI35=TRUE),VLOOKUP(Calculator!E23,tbSkills!DH3:DJ6,3,FALSE),0),0))&gt;=100,100,(Backdoors!AI12+IF(HR24&gt;=0.45,VLOOKUP(Calculator!E23,tbSkills!DH3:DI6,2,FALSE)+IF(AND(Calculator!B8=TRUE,Backdoors!BI35=TRUE),VLOOKUP(Calculator!E23,tbSkills!DH3:DJ6,3,FALSE),0),0)))/100)),1),1)</f>
        <v>1</v>
      </c>
      <c r="HX24" s="87">
        <f t="shared" si="25"/>
        <v>0</v>
      </c>
      <c r="HY24" s="86" t="str">
        <f>IFERROR(IF(VLOOKUP(A24,tbMoveset!A2:B112,2,FALSE)="Sever",Backdoors!AY36/100,IF(VLOOKUP(A24,tbMoveset!A2:B112,2,FALSE)="Blunt",Backdoors!AZ36/100,Backdoors!BA36/100)),"")</f>
        <v/>
      </c>
      <c r="HZ24" s="49">
        <f>IFERROR(IF(VLOOKUP(tbMoveset!A24,tbMoveset!A2:H112,8,FALSE)="Other",IF(VLOOKUP(tbMoveset!A24,tbMoveset!A2:I112,9,FALSE)="Fire",Backdoors!BB36,IF(VLOOKUP(tbMoveset!A24,tbMoveset!A2:I112,9,FALSE)="Water",Backdoors!BC36,IF(VLOOKUP(tbMoveset!A24,tbMoveset!A2:I112,9,FALSE)="Thunder",Backdoors!BD36,IF(VLOOKUP(tbMoveset!A24,tbMoveset!A2:I112,9,FALSE)="Ice",Backdoors!BE36,IF(VLOOKUP(tbMoveset!A24,tbMoveset!A2:I112,9,FALSE)="Dragon",Backdoors!BF36,Backdoors!BG36)))))/100,Backdoors!BG36/100),"")</f>
        <v>0</v>
      </c>
      <c r="IA24" s="49">
        <f>IFERROR(IF(VLOOKUP(A24,tbMoveset!A2:J112,10,FALSE)=TRUE,IF((Backdoors!AI12+IF(HY24&gt;=0.45,VLOOKUP(Calculator!E23,tbSkills!DH3:DI6,2,FALSE)+IF(AND(Calculator!B8=TRUE,Backdoors!BI36=TRUE),VLOOKUP(Calculator!E23,tbSkills!DH3:DJ6,3,FALSE),0),0))&gt;=0,1+(Backdoors!AL2*(IF((Backdoors!AI12+IF(HY24&gt;=0.45,VLOOKUP(Calculator!E23,tbSkills!DH3:DI6,2,FALSE)+IF(AND(Calculator!B8=TRUE,Backdoors!BI36=TRUE),VLOOKUP(Calculator!E23,tbSkills!DH3:DJ6,3,FALSE),0),0))&gt;=100,100,(Backdoors!AI12+IF(HY24&gt;=0.45,VLOOKUP(Calculator!E23,tbSkills!DH3:DI6,2,FALSE)+IF(AND(Calculator!B8=TRUE,Backdoors!BI36=TRUE),VLOOKUP(Calculator!E23,tbSkills!DH3:DJ6,3,FALSE),0),0)))/100)),(1-(0.25*((-Backdoors!AI12-IF(HY24&gt;=0.45,VLOOKUP(Calculator!E23,tbSkills!DH3:DI6,2,FALSE)+IF(AND(Calculator!B8=TRUE,Backdoors!BI36=TRUE),VLOOKUP(Calculator!E23,tbSkills!DH3:DJ6,3,FALSE),0),0))/100)))),1),"")</f>
        <v>1</v>
      </c>
      <c r="IB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Y24)*IA24)*(VLOOKUP(A24,tbMoveset!A2:C112,3,FALSE)/100)*IF(VLOOKUP(A24,tbMoveset!A2:B112,2,FALSE)="Projectile",Backdoors!N10,Backdoors!N9),0),"")</f>
        <v/>
      </c>
      <c r="IC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Y24&gt;=0.45,VLOOKUP(Calculator!E23,tbSkills!DH3:DI6,2,FALSE)+IF(AND(Calculator!B8=TRUE,Backdoors!BI36=TRUE),VLOOKUP(Calculator!E23,tbSkills!DH3:DJ6,3,FALSE),0),0))&gt;=100,100,(Backdoors!AI12+IF(HY24&gt;=0.45,VLOOKUP(Calculator!E23,tbSkills!DH3:DI6,2,FALSE)+IF(AND(Calculator!B8=TRUE,Backdoors!BI36=TRUE),VLOOKUP(Calculator!E23,tbSkills!DH3:DJ6,3,FALSE),0),0)))/100)),1))*IF(VLOOKUP(A24,tbMoveset!A2:K112,11,FALSE)=TRUE,Backdoors!AC5,1))*HZ24,0),"")</f>
        <v>0</v>
      </c>
      <c r="ID24" s="49">
        <f>VLOOKUP(A24,tbMoveset!A2:G112,7,FALSE)*IFERROR(IF(Backdoors!AI12&gt;=0,1+(IF(Calculator!E40&gt;0,VLOOKUP(Calculator!E40,tbSkills!AI3:AJ5,2,FALSE),Backdoors!AL4)*(IF((Backdoors!AI12+IF(HY24&gt;=0.45,VLOOKUP(Calculator!E23,tbSkills!DH3:DI6,2,FALSE)+IF(AND(Calculator!B8=TRUE,Backdoors!BI36=TRUE),VLOOKUP(Calculator!E23,tbSkills!DH3:DJ6,3,FALSE),0),0))&gt;=100,100,(Backdoors!AI12+IF(HY24&gt;=0.45,VLOOKUP(Calculator!E23,tbSkills!DH3:DI6,2,FALSE)+IF(AND(Calculator!B8=TRUE,Backdoors!BI36=TRUE),VLOOKUP(Calculator!E23,tbSkills!DH3:DJ6,3,FALSE),0),0)))/100)),1),1)</f>
        <v>1</v>
      </c>
      <c r="IE24" s="87">
        <f t="shared" si="26"/>
        <v>0</v>
      </c>
      <c r="IF24" s="86" t="str">
        <f>IFERROR(IF(VLOOKUP(A24,tbMoveset!A2:B112,2,FALSE)="Sever",Backdoors!AY37/100,IF(VLOOKUP(A24,tbMoveset!A2:B112,2,FALSE)="Blunt",Backdoors!AZ37/100,Backdoors!BA37/100)),"")</f>
        <v/>
      </c>
      <c r="IG24" s="49">
        <f>IFERROR(IF(VLOOKUP(tbMoveset!A24,tbMoveset!A2:H112,8,FALSE)="Other",IF(VLOOKUP(tbMoveset!A24,tbMoveset!A2:I112,9,FALSE)="Fire",Backdoors!BB37,IF(VLOOKUP(tbMoveset!A24,tbMoveset!A2:I112,9,FALSE)="Water",Backdoors!BC37,IF(VLOOKUP(tbMoveset!A24,tbMoveset!A2:I112,9,FALSE)="Thunder",Backdoors!BD37,IF(VLOOKUP(tbMoveset!A24,tbMoveset!A2:I112,9,FALSE)="Ice",Backdoors!BE37,IF(VLOOKUP(tbMoveset!A24,tbMoveset!A2:I112,9,FALSE)="Dragon",Backdoors!BF37,Backdoors!BG37)))))/100,Backdoors!BG37/100),"")</f>
        <v>0</v>
      </c>
      <c r="IH24" s="49">
        <f>IFERROR(IF(VLOOKUP(A24,tbMoveset!A2:J112,10,FALSE)=TRUE,IF((Backdoors!AI12+IF(IF24&gt;=0.45,VLOOKUP(Calculator!E23,tbSkills!DH3:DI6,2,FALSE)+IF(AND(Calculator!B8=TRUE,Backdoors!BI37=TRUE),VLOOKUP(Calculator!E23,tbSkills!DH3:DJ6,3,FALSE),0),0))&gt;=0,1+(Backdoors!AL2*(IF((Backdoors!AI12+IF(IF24&gt;=0.45,VLOOKUP(Calculator!E23,tbSkills!DH3:DI6,2,FALSE)+IF(AND(Calculator!B8=TRUE,Backdoors!BI37=TRUE),VLOOKUP(Calculator!E23,tbSkills!DH3:DJ6,3,FALSE),0),0))&gt;=100,100,(Backdoors!AI12+IF(IF24&gt;=0.45,VLOOKUP(Calculator!E23,tbSkills!DH3:DI6,2,FALSE)+IF(AND(Calculator!B8=TRUE,Backdoors!BI37=TRUE),VLOOKUP(Calculator!E23,tbSkills!DH3:DJ6,3,FALSE),0),0)))/100)),(1-(0.25*((-Backdoors!AI12-IF(IF24&gt;=0.45,VLOOKUP(Calculator!E23,tbSkills!DH3:DI6,2,FALSE)+IF(AND(Calculator!B8=TRUE,Backdoors!BI37=TRUE),VLOOKUP(Calculator!E23,tbSkills!DH3:DJ6,3,FALSE),0),0))/100)))),1),"")</f>
        <v>1</v>
      </c>
      <c r="II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F24)*IH24)*(VLOOKUP(A24,tbMoveset!A2:C112,3,FALSE)/100)*IF(VLOOKUP(A24,tbMoveset!A2:B112,2,FALSE)="Projectile",Backdoors!N10,Backdoors!N9),0),"")</f>
        <v/>
      </c>
      <c r="IJ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IF24&gt;=0.45,VLOOKUP(Calculator!E23,tbSkills!DH3:DI6,2,FALSE)+IF(AND(Calculator!B8=TRUE,Backdoors!BI37=TRUE),VLOOKUP(Calculator!E23,tbSkills!DH3:DJ6,3,FALSE),0),0))&gt;=100,100,(Backdoors!AI12+IF(IF24&gt;=0.45,VLOOKUP(Calculator!E23,tbSkills!DH3:DI6,2,FALSE)+IF(AND(Calculator!B8=TRUE,Backdoors!BI37=TRUE),VLOOKUP(Calculator!E23,tbSkills!DH3:DJ6,3,FALSE),0),0)))/100)),1))*IF(VLOOKUP(A24,tbMoveset!A2:K112,11,FALSE)=TRUE,Backdoors!AC5,1))*IG24,0),"")</f>
        <v>0</v>
      </c>
      <c r="IK24" s="49">
        <f>VLOOKUP(A24,tbMoveset!A2:G112,7,FALSE)*IFERROR(IF(Backdoors!AI12&gt;=0,1+(IF(Calculator!E40&gt;0,VLOOKUP(Calculator!E40,tbSkills!AI3:AJ5,2,FALSE),Backdoors!AL4)*(IF((Backdoors!AI12+IF(IF24&gt;=0.45,VLOOKUP(Calculator!E23,tbSkills!DH3:DI6,2,FALSE)+IF(AND(Calculator!B8=TRUE,Backdoors!BI37=TRUE),VLOOKUP(Calculator!E23,tbSkills!DH3:DJ6,3,FALSE),0),0))&gt;=100,100,(Backdoors!AI12+IF(IF24&gt;=0.45,VLOOKUP(Calculator!E23,tbSkills!DH3:DI6,2,FALSE)+IF(AND(Calculator!B8=TRUE,Backdoors!BI37=TRUE),VLOOKUP(Calculator!E23,tbSkills!DH3:DJ6,3,FALSE),0),0)))/100)),1),1)</f>
        <v>1</v>
      </c>
      <c r="IL24" s="87">
        <f t="shared" si="27"/>
        <v>0</v>
      </c>
      <c r="IM24" s="86" t="str">
        <f>IFERROR(IF(VLOOKUP(A24,tbMoveset!A2:B112,2,FALSE)="Sever",Backdoors!AY38/100,IF(VLOOKUP(A24,tbMoveset!A2:B112,2,FALSE)="Blunt",Backdoors!AZ38/100,Backdoors!BA38/100)),"")</f>
        <v/>
      </c>
      <c r="IN24" s="49">
        <f>IFERROR(IF(VLOOKUP(tbMoveset!A24,tbMoveset!A2:H112,8,FALSE)="Other",IF(VLOOKUP(tbMoveset!A24,tbMoveset!A2:I112,9,FALSE)="Fire",Backdoors!BB38,IF(VLOOKUP(tbMoveset!A24,tbMoveset!A2:I112,9,FALSE)="Water",Backdoors!BC38,IF(VLOOKUP(tbMoveset!A24,tbMoveset!A2:I112,9,FALSE)="Thunder",Backdoors!BD38,IF(VLOOKUP(tbMoveset!A24,tbMoveset!A2:I112,9,FALSE)="Ice",Backdoors!BE38,IF(VLOOKUP(tbMoveset!A24,tbMoveset!A2:I112,9,FALSE)="Dragon",Backdoors!BF38,Backdoors!BG38)))))/100,Backdoors!BG38/100),"")</f>
        <v>0</v>
      </c>
      <c r="IO24" s="49">
        <f>IFERROR(IF(VLOOKUP(A24,tbMoveset!A2:J112,10,FALSE)=TRUE,IF((Backdoors!AI12+IF(IM24&gt;=0.45,VLOOKUP(Calculator!E23,tbSkills!DH3:DI6,2,FALSE)+IF(AND(Calculator!B8=TRUE,Backdoors!BI38=TRUE),VLOOKUP(Calculator!E23,tbSkills!DH3:DJ6,3,FALSE),0),0))&gt;=0,1+(Backdoors!AL2*(IF((Backdoors!AI12+IF(IM24&gt;=0.45,VLOOKUP(Calculator!E23,tbSkills!DH3:DI6,2,FALSE)+IF(AND(Calculator!B8=TRUE,Backdoors!BI38=TRUE),VLOOKUP(Calculator!E23,tbSkills!DH3:DJ6,3,FALSE),0),0))&gt;=100,100,(Backdoors!AI12+IF(IM24&gt;=0.45,VLOOKUP(Calculator!E23,tbSkills!DH3:DI6,2,FALSE)+IF(AND(Calculator!B8=TRUE,Backdoors!BI38=TRUE),VLOOKUP(Calculator!E23,tbSkills!DH3:DJ6,3,FALSE),0),0)))/100)),(1-(0.25*((-Backdoors!AI12-IF(IM24&gt;=0.45,VLOOKUP(Calculator!E23,tbSkills!DH3:DI6,2,FALSE)+IF(AND(Calculator!B8=TRUE,Backdoors!BI38=TRUE),VLOOKUP(Calculator!E23,tbSkills!DH3:DJ6,3,FALSE),0),0))/100)))),1),"")</f>
        <v>1</v>
      </c>
      <c r="IP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M24)*IO24)*(VLOOKUP(A24,tbMoveset!A2:C112,3,FALSE)/100)*IF(VLOOKUP(A24,tbMoveset!A2:B112,2,FALSE)="Projectile",Backdoors!N10,Backdoors!N9),0),"")</f>
        <v/>
      </c>
      <c r="IQ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IM24&gt;=0.45,VLOOKUP(Calculator!E23,tbSkills!DH3:DI6,2,FALSE)+IF(AND(Calculator!B8=TRUE,Backdoors!BI38=TRUE),VLOOKUP(Calculator!E23,tbSkills!DH3:DJ6,3,FALSE),0),0))&gt;=100,100,(Backdoors!AI12+IF(IM24&gt;=0.45,VLOOKUP(Calculator!E23,tbSkills!DH3:DI6,2,FALSE)+IF(AND(Calculator!B8=TRUE,Backdoors!BI38=TRUE),VLOOKUP(Calculator!E23,tbSkills!DH3:DJ6,3,FALSE),0),0)))/100)),1))*IF(VLOOKUP(A24,tbMoveset!A2:K112,11,FALSE)=TRUE,Backdoors!AC5,1))*IN24,0),"")</f>
        <v>0</v>
      </c>
      <c r="IR24" s="49">
        <f>VLOOKUP(A24,tbMoveset!A2:G112,7,FALSE)*IFERROR(IF(Backdoors!AI12&gt;=0,1+(IF(Calculator!E40&gt;0,VLOOKUP(Calculator!E40,tbSkills!AI3:AJ5,2,FALSE),Backdoors!AL4)*(IF((Backdoors!AI12+IF(IM24&gt;=0.45,VLOOKUP(Calculator!E23,tbSkills!DH3:DI6,2,FALSE)+IF(AND(Calculator!B8=TRUE,Backdoors!BI38=TRUE),VLOOKUP(Calculator!E23,tbSkills!DH3:DJ6,3,FALSE),0),0))&gt;=100,100,(Backdoors!AI12+IF(IM24&gt;=0.45,VLOOKUP(Calculator!E23,tbSkills!DH3:DI6,2,FALSE)+IF(AND(Calculator!B8=TRUE,Backdoors!BI38=TRUE),VLOOKUP(Calculator!E23,tbSkills!DH3:DJ6,3,FALSE),0),0)))/100)),1),1)</f>
        <v>1</v>
      </c>
      <c r="IS24" s="87">
        <f t="shared" si="42"/>
        <v>0</v>
      </c>
      <c r="IT24" s="86" t="str">
        <f>IFERROR(IF(VLOOKUP(A24,tbMoveset!A2:B112,2,FALSE)="Sever",Backdoors!AY39/100,IF(VLOOKUP(A24,tbMoveset!A2:B112,2,FALSE)="Blunt",Backdoors!AZ39/100,Backdoors!BA39/100)),"")</f>
        <v/>
      </c>
      <c r="IU24" s="49">
        <f>IFERROR(IF(VLOOKUP(tbMoveset!A24,tbMoveset!A2:H112,8,FALSE)="Other",IF(VLOOKUP(tbMoveset!A24,tbMoveset!A2:I112,9,FALSE)="Fire",Backdoors!BB39,IF(VLOOKUP(tbMoveset!A24,tbMoveset!A2:I112,9,FALSE)="Water",Backdoors!BC39,IF(VLOOKUP(tbMoveset!A24,tbMoveset!A2:I112,9,FALSE)="Thunder",Backdoors!BD39,IF(VLOOKUP(tbMoveset!A24,tbMoveset!A2:I112,9,FALSE)="Ice",Backdoors!BE39,IF(VLOOKUP(tbMoveset!A24,tbMoveset!A2:I112,9,FALSE)="Dragon",Backdoors!BF39,Backdoors!BG39)))))/100,Backdoors!BG39/100),"")</f>
        <v>0</v>
      </c>
      <c r="IV24" s="49">
        <f>IFERROR(IF(VLOOKUP(A24,tbMoveset!A2:J112,10,FALSE)=TRUE,IF((Backdoors!AI12+IF(IT24&gt;=0.45,VLOOKUP(Calculator!E23,tbSkills!DH3:DI6,2,FALSE)+IF(AND(Calculator!B8=TRUE,Backdoors!BI39=TRUE),VLOOKUP(Calculator!E23,tbSkills!DH3:DJ6,3,FALSE),0),0))&gt;=0,1+(Backdoors!AL2*(IF((Backdoors!AI12+IF(IT24&gt;=0.45,VLOOKUP(Calculator!E23,tbSkills!DH3:DI6,2,FALSE)+IF(AND(Calculator!B8=TRUE,Backdoors!BI39=TRUE),VLOOKUP(Calculator!E23,tbSkills!DH3:DJ6,3,FALSE),0),0))&gt;=100,100,(Backdoors!AI12+IF(IT24&gt;=0.45,VLOOKUP(Calculator!E23,tbSkills!DH3:DI6,2,FALSE)+IF(AND(Calculator!B8=TRUE,Backdoors!BI39=TRUE),VLOOKUP(Calculator!E23,tbSkills!DH3:DJ6,3,FALSE),0),0)))/100)),(1-(0.25*((-Backdoors!AI12-IF(IT24&gt;=0.45,VLOOKUP(Calculator!E23,tbSkills!DH3:DI6,2,FALSE)+IF(AND(Calculator!B8=TRUE,Backdoors!BI39=TRUE),VLOOKUP(Calculator!E23,tbSkills!DH3:DJ6,3,FALSE),0),0))/100)))),1),"")</f>
        <v>1</v>
      </c>
      <c r="IW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T24)*IV24)*(VLOOKUP(A24,tbMoveset!A2:C112,3,FALSE)/100)*IF(VLOOKUP(A24,tbMoveset!A2:B112,2,FALSE)="Projectile",Backdoors!N10,Backdoors!N9),0),"")</f>
        <v/>
      </c>
      <c r="IX24" s="49">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40&gt;0,VLOOKUP(Calculator!E40,tbSkills!AC3:AD5,2,FALSE),Backdoors!AL3)*(IF((Backdoors!AI12+IF(IT24&gt;=0.45,VLOOKUP(Calculator!E23,tbSkills!DH3:DI6,2,FALSE)+IF(AND(Calculator!B8=TRUE,Backdoors!BI39=TRUE),VLOOKUP(Calculator!E23,tbSkills!DH3:DJ6,3,FALSE),0),0))&gt;=100,100,(Backdoors!AI12+IF(IT24&gt;=0.45,VLOOKUP(Calculator!E23,tbSkills!DH3:DI6,2,FALSE)+IF(AND(Calculator!B8=TRUE,Backdoors!BI39=TRUE),VLOOKUP(Calculator!E23,tbSkills!DH3:DJ6,3,FALSE),0),0)))/100)),1))*IF(VLOOKUP(A24,tbMoveset!A2:K112,11,FALSE)=TRUE,Backdoors!AC5,1))*IU24,0),"")</f>
        <v>0</v>
      </c>
      <c r="IY24" s="49">
        <f>VLOOKUP(A24,tbMoveset!A2:G112,7,FALSE)*IFERROR(IF(Backdoors!AI12&gt;=0,1+(IF(Calculator!E40&gt;0,VLOOKUP(Calculator!E40,tbSkills!AI3:AJ5,2,FALSE),Backdoors!AL4)*(IF((Backdoors!AI12+IF(IT24&gt;=0.45,VLOOKUP(Calculator!E23,tbSkills!DH3:DI6,2,FALSE)+IF(AND(Calculator!B8=TRUE,Backdoors!BI39=TRUE),VLOOKUP(Calculator!E23,tbSkills!DH3:DJ6,3,FALSE),0),0))&gt;=100,100,(Backdoors!AI12+IF(IT24&gt;=0.45,VLOOKUP(Calculator!E23,tbSkills!DH3:DI6,2,FALSE)+IF(AND(Calculator!B8=TRUE,Backdoors!BI39=TRUE),VLOOKUP(Calculator!E23,tbSkills!DH3:DJ6,3,FALSE),0),0)))/100)),1),1)</f>
        <v>1</v>
      </c>
      <c r="IZ24" s="87">
        <f t="shared" si="28"/>
        <v>0</v>
      </c>
      <c r="JA24" s="86" t="str">
        <f>IFERROR(IF(VLOOKUP(A24,tbMoveset!A2:B112,2,FALSE)="Sever",Backdoors!AY40/100,IF(VLOOKUP(A24,tbMoveset!A2:B112,2,FALSE)="Blunt",Backdoors!AZ40/100,Backdoors!BA40/100)),"")</f>
        <v/>
      </c>
      <c r="JB24" s="49">
        <f>IFERROR(IF(VLOOKUP(tbMoveset!A24,tbMoveset!A2:H112,8,FALSE)="Other",IF(VLOOKUP(tbMoveset!A24,tbMoveset!A2:I112,9,FALSE)="Fire",Backdoors!BB40,IF(VLOOKUP(tbMoveset!A24,tbMoveset!A2:I112,9,FALSE)="Water",Backdoors!BC40,IF(VLOOKUP(tbMoveset!A24,tbMoveset!A2:I112,9,FALSE)="Thunder",Backdoors!BD40,IF(VLOOKUP(tbMoveset!A24,tbMoveset!A2:I112,9,FALSE)="Ice",Backdoors!BE40,IF(VLOOKUP(tbMoveset!A24,tbMoveset!A2:I112,9,FALSE)="Dragon",Backdoors!BF40,Backdoors!BG40)))))/100,Backdoors!BG40/100),"")</f>
        <v>0</v>
      </c>
      <c r="JC24" s="49">
        <f>IFERROR(IF(VLOOKUP(A24,tbMoveset!A2:J112,10,FALSE)=TRUE,IF((Backdoors!AI12+IF(JA24&gt;=0.45,VLOOKUP(Calculator!E23,tbSkills!DH3:DI6,2,FALSE)+IF(AND(Calculator!B8=TRUE,Backdoors!BI40=TRUE),VLOOKUP(Calculator!E23,tbSkills!DH3:DJ6,3,FALSE),0),0))&gt;=0,1+(Backdoors!AL2*(IF((Backdoors!AI12+IF(JA24&gt;=0.45,VLOOKUP(Calculator!E23,tbSkills!DH3:DI6,2,FALSE)+IF(AND(Calculator!B8=TRUE,Backdoors!BI40=TRUE),VLOOKUP(Calculator!E23,tbSkills!DH3:DJ6,3,FALSE),0),0))&gt;=100,100,(Backdoors!AI12+IF(JA24&gt;=0.45,VLOOKUP(Calculator!E23,tbSkills!DH3:DI6,2,FALSE)+IF(AND(Calculator!B8=TRUE,Backdoors!BI40=TRUE),VLOOKUP(Calculator!E23,tbSkills!DH3:DJ6,3,FALSE),0),0)))/100)),(1-(0.25*((-Backdoors!AI12-IF(JA24&gt;=0.45,VLOOKUP(Calculator!E23,tbSkills!DH3:DI6,2,FALSE)+IF(AND(Calculator!B8=TRUE,Backdoors!BI40=TRUE),VLOOKUP(Calculator!E23,tbSkills!DH3:DJ6,3,FALSE),0),0))/100)))),1),"")</f>
        <v>1</v>
      </c>
      <c r="JD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A24)*JC24)*(VLOOKUP(A24,tbMoveset!A2:C112,3,FALSE)/100)*IF(VLOOKUP(A24,tbMoveset!A2:B112,2,FALSE)="Projectile",Backdoors!N10,Backdoors!N9),0),"")</f>
        <v/>
      </c>
      <c r="JE24" s="49">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42&gt;0,VLOOKUP(Calculator!E42,tbSkills!AC3:AD5,2,FALSE),Backdoors!AL3)*(IF((Backdoors!AI12+IF(JA24&gt;=0.45,VLOOKUP(Calculator!E23,tbSkills!DH3:DI6,2,FALSE)+IF(AND(Calculator!B8=TRUE,Backdoors!BI40=TRUE),VLOOKUP(Calculator!E23,tbSkills!DH3:DJ6,3,FALSE),0),0))&gt;=100,100,(Backdoors!AI12+IF(JA24&gt;=0.45,VLOOKUP(Calculator!E23,tbSkills!DH3:DI6,2,FALSE)+IF(AND(Calculator!B8=TRUE,Backdoors!BI40=TRUE),VLOOKUP(Calculator!E23,tbSkills!DH3:DJ6,3,FALSE),0),0)))/100)),1))*IF(VLOOKUP(A24,tbMoveset!A2:K112,11,FALSE)=TRUE,Backdoors!AC5,1))*JB24,0),"")</f>
        <v>0</v>
      </c>
      <c r="JF24" s="49">
        <f>VLOOKUP(A24,tbMoveset!A2:G112,7,FALSE)*IFERROR(IF(Backdoors!AI12&gt;=0,1+(IF(Calculator!E40&gt;0,VLOOKUP(Calculator!E40,tbSkills!AI3:AJ5,2,FALSE),Backdoors!AL4)*(IF((Backdoors!AI12+IF(JA24&gt;=0.45,VLOOKUP(Calculator!E23,tbSkills!DH3:DI6,2,FALSE)+IF(AND(Calculator!B8=TRUE,Backdoors!BI40=TRUE),VLOOKUP(Calculator!E23,tbSkills!DH3:DJ6,3,FALSE),0),0))&gt;=100,100,(Backdoors!AI12+IF(JA24&gt;=0.45,VLOOKUP(Calculator!E23,tbSkills!DH3:DI6,2,FALSE)+IF(AND(Calculator!B8=TRUE,Backdoors!BI40=TRUE),VLOOKUP(Calculator!E23,tbSkills!DH3:DJ6,3,FALSE),0),0)))/100)),1),1)</f>
        <v>1</v>
      </c>
      <c r="JG24" s="87">
        <f t="shared" si="29"/>
        <v>0</v>
      </c>
      <c r="JH24" s="86" t="str">
        <f>IFERROR(IF(VLOOKUP(A24,tbMoveset!A2:B112,2,FALSE)="Sever",Backdoors!AY41/100,IF(VLOOKUP(A24,tbMoveset!A2:B112,2,FALSE)="Blunt",Backdoors!AZ41/100,Backdoors!BA41/100)),"")</f>
        <v/>
      </c>
      <c r="JI24" s="49">
        <f>IFERROR(IF(VLOOKUP(tbMoveset!A24,tbMoveset!A2:H112,8,FALSE)="Other",IF(VLOOKUP(tbMoveset!A24,tbMoveset!A2:I112,9,FALSE)="Fire",Backdoors!BB41,IF(VLOOKUP(tbMoveset!A24,tbMoveset!A2:I112,9,FALSE)="Water",Backdoors!BC41,IF(VLOOKUP(tbMoveset!A24,tbMoveset!A2:I112,9,FALSE)="Thunder",Backdoors!BD41,IF(VLOOKUP(tbMoveset!A24,tbMoveset!A2:I112,9,FALSE)="Ice",Backdoors!BE41,IF(VLOOKUP(tbMoveset!A24,tbMoveset!A2:I112,9,FALSE)="Dragon",Backdoors!BF41,Backdoors!BG41)))))/100,Backdoors!BG41/100),"")</f>
        <v>0</v>
      </c>
      <c r="JJ24" s="49">
        <f>IFERROR(IF(VLOOKUP(A24,tbMoveset!A2:J112,10,FALSE)=TRUE,IF((Backdoors!AI12+IF(JH24&gt;=0.45,VLOOKUP(Calculator!E23,tbSkills!DH3:DI6,2,FALSE)+IF(AND(Calculator!B8=TRUE,Backdoors!BI41=TRUE),VLOOKUP(Calculator!E23,tbSkills!DH3:DJ6,3,FALSE),0),0))&gt;=0,1+(Backdoors!AL2*(IF((Backdoors!AI12+IF(JH24&gt;=0.45,VLOOKUP(Calculator!E23,tbSkills!DH3:DI6,2,FALSE)+IF(AND(Calculator!B8=TRUE,Backdoors!BI41=TRUE),VLOOKUP(Calculator!E23,tbSkills!DH3:DJ6,3,FALSE),0),0))&gt;=100,100,(Backdoors!AI12+IF(JH24&gt;=0.45,VLOOKUP(Calculator!E23,tbSkills!DH3:DI6,2,FALSE)+IF(AND(Calculator!B8=TRUE,Backdoors!BI41=TRUE),VLOOKUP(Calculator!E23,tbSkills!DH3:DJ6,3,FALSE),0),0)))/100)),(1-(0.25*((-Backdoors!AI12-IF(JH24&gt;=0.45,VLOOKUP(Calculator!E23,tbSkills!DH3:DI6,2,FALSE)+IF(AND(Calculator!B8=TRUE,Backdoors!BI41=TRUE),VLOOKUP(Calculator!E23,tbSkills!DH3:DJ6,3,FALSE),0),0))/100)))),1),"")</f>
        <v>1</v>
      </c>
      <c r="JK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H24)*JJ24)*(VLOOKUP(A24,tbMoveset!A2:C112,3,FALSE)/100)*IF(VLOOKUP(A24,tbMoveset!A2:B112,2,FALSE)="Projectile",Backdoors!N10,Backdoors!N9),0),"")</f>
        <v/>
      </c>
      <c r="JL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43&gt;0,VLOOKUP(Calculator!E43,tbSkills!AC3:AD5,2,FALSE),Backdoors!AL3)*(IF((Backdoors!AI12+IF(JH24&gt;=0.45,VLOOKUP(Calculator!E23,tbSkills!DH3:DI6,2,FALSE)+IF(AND(Calculator!B8=TRUE,Backdoors!BI41=TRUE),VLOOKUP(Calculator!E23,tbSkills!DH3:DJ6,3,FALSE),0),0))&gt;=100,100,(Backdoors!AI12+IF(JH24&gt;=0.45,VLOOKUP(Calculator!E23,tbSkills!DH3:DI6,2,FALSE)+IF(AND(Calculator!B8=TRUE,Backdoors!BI41=TRUE),VLOOKUP(Calculator!E23,tbSkills!DH3:DJ6,3,FALSE),0),0)))/100)),1))*IF(VLOOKUP(A24,tbMoveset!A2:K112,11,FALSE)=TRUE,Backdoors!AC5,1))*JI24,0),"")</f>
        <v/>
      </c>
      <c r="JM24" s="49">
        <f>VLOOKUP(A24,tbMoveset!A2:G112,7,FALSE)*IFERROR(IF(Backdoors!AI12&gt;=0,1+(IF(Calculator!E40&gt;0,VLOOKUP(Calculator!E40,tbSkills!AI3:AJ5,2,FALSE),Backdoors!AL4)*(IF((Backdoors!AI12+IF(JH24&gt;=0.45,VLOOKUP(Calculator!E23,tbSkills!DH3:DI6,2,FALSE)+IF(AND(Calculator!B8=TRUE,Backdoors!BI41=TRUE),VLOOKUP(Calculator!E23,tbSkills!DH3:DJ6,3,FALSE),0),0))&gt;=100,100,(Backdoors!AI12+IF(JH24&gt;=0.45,VLOOKUP(Calculator!E23,tbSkills!DH3:DI6,2,FALSE)+IF(AND(Calculator!B8=TRUE,Backdoors!BI41=TRUE),VLOOKUP(Calculator!E23,tbSkills!DH3:DJ6,3,FALSE),0),0)))/100)),1),1)</f>
        <v>1</v>
      </c>
      <c r="JN24" s="87">
        <f t="shared" si="30"/>
        <v>0</v>
      </c>
      <c r="JO24" s="86" t="str">
        <f>IFERROR(IF(VLOOKUP(A24,tbMoveset!A2:B112,2,FALSE)="Sever",Backdoors!AY42/100,IF(VLOOKUP(A24,tbMoveset!A2:B112,2,FALSE)="Blunt",Backdoors!AZ42/100,Backdoors!BA42/100)),"")</f>
        <v/>
      </c>
      <c r="JP24" s="49">
        <f>IFERROR(IF(VLOOKUP(tbMoveset!A24,tbMoveset!A2:H112,8,FALSE)="Other",IF(VLOOKUP(tbMoveset!A24,tbMoveset!A2:I112,9,FALSE)="Fire",Backdoors!BB42,IF(VLOOKUP(tbMoveset!A24,tbMoveset!A2:I112,9,FALSE)="Water",Backdoors!BC42,IF(VLOOKUP(tbMoveset!A24,tbMoveset!A2:I112,9,FALSE)="Thunder",Backdoors!BD42,IF(VLOOKUP(tbMoveset!A24,tbMoveset!A2:I112,9,FALSE)="Ice",Backdoors!BE42,IF(VLOOKUP(tbMoveset!A24,tbMoveset!A2:I112,9,FALSE)="Dragon",Backdoors!BF42,Backdoors!BG42)))))/100,Backdoors!BG42/100),"")</f>
        <v>0</v>
      </c>
      <c r="JQ24" s="49">
        <f>IFERROR(IF(VLOOKUP(A24,tbMoveset!A2:J112,10,FALSE)=TRUE,IF((Backdoors!AI12+IF(JO24&gt;=0.45,VLOOKUP(Calculator!E23,tbSkills!DH3:DI6,2,FALSE)+IF(AND(Calculator!B8=TRUE,Backdoors!BI42=TRUE),VLOOKUP(Calculator!E23,tbSkills!DH3:DJ6,3,FALSE),0),0))&gt;=0,1+(Backdoors!AL2*(IF((Backdoors!AI12+IF(JO24&gt;=0.45,VLOOKUP(Calculator!E23,tbSkills!DH3:DI6,2,FALSE)+IF(AND(Calculator!B8=TRUE,Backdoors!BI42=TRUE),VLOOKUP(Calculator!E23,tbSkills!DH3:DJ6,3,FALSE),0),0))&gt;=100,100,(Backdoors!AI12+IF(JO24&gt;=0.45,VLOOKUP(Calculator!E23,tbSkills!DH3:DI6,2,FALSE)+IF(AND(Calculator!B8=TRUE,Backdoors!BI42=TRUE),VLOOKUP(Calculator!E23,tbSkills!DH3:DJ6,3,FALSE),0),0)))/100)),(1-(0.25*((-Backdoors!AI12-IF(JO24&gt;=0.45,VLOOKUP(Calculator!E23,tbSkills!DH3:DI6,2,FALSE)+IF(AND(Calculator!B8=TRUE,Backdoors!BI42=TRUE),VLOOKUP(Calculator!E23,tbSkills!DH3:DJ6,3,FALSE),0),0))/100)))),1),"")</f>
        <v>1</v>
      </c>
      <c r="JR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O24)*JQ24)*(VLOOKUP(A24,tbMoveset!A2:C112,3,FALSE)/100)*IF(VLOOKUP(A24,tbMoveset!A2:B112,2,FALSE)="Projectile",Backdoors!N10,Backdoors!N9),0),"")</f>
        <v/>
      </c>
      <c r="JS24" s="49">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45&gt;0,VLOOKUP(Calculator!E45,tbSkills!AC3:AD5,2,FALSE),Backdoors!AL3)*(IF((Backdoors!AI12+IF(JO24&gt;=0.45,VLOOKUP(Calculator!E23,tbSkills!DH3:DI6,2,FALSE)+IF(AND(Calculator!B8=TRUE,Backdoors!BI42=TRUE),VLOOKUP(Calculator!E23,tbSkills!DH3:DJ6,3,FALSE),0),0))&gt;=100,100,(Backdoors!AI12+IF(JO24&gt;=0.45,VLOOKUP(Calculator!E23,tbSkills!DH3:DI6,2,FALSE)+IF(AND(Calculator!B8=TRUE,Backdoors!BI42=TRUE),VLOOKUP(Calculator!E23,tbSkills!DH3:DJ6,3,FALSE),0),0)))/100)),1))*IF(VLOOKUP(A24,tbMoveset!A2:K112,11,FALSE)=TRUE,Backdoors!AC5,1))*JP24,0),"")</f>
        <v>0</v>
      </c>
      <c r="JT24" s="49">
        <f>VLOOKUP(A24,tbMoveset!A2:G112,7,FALSE)*IFERROR(IF(Backdoors!AI12&gt;=0,1+(IF(Calculator!E40&gt;0,VLOOKUP(Calculator!E40,tbSkills!AI3:AJ5,2,FALSE),Backdoors!AL4)*(IF((Backdoors!AI12+IF(JO24&gt;=0.45,VLOOKUP(Calculator!E23,tbSkills!DH3:DI6,2,FALSE)+IF(AND(Calculator!B8=TRUE,Backdoors!BI42=TRUE),VLOOKUP(Calculator!E23,tbSkills!DH3:DJ6,3,FALSE),0),0))&gt;=100,100,(Backdoors!AI12+IF(JO24&gt;=0.45,VLOOKUP(Calculator!E23,tbSkills!DH3:DI6,2,FALSE)+IF(AND(Calculator!B8=TRUE,Backdoors!BI42=TRUE),VLOOKUP(Calculator!E23,tbSkills!DH3:DJ6,3,FALSE),0),0)))/100)),1),1)</f>
        <v>1</v>
      </c>
      <c r="JU24" s="87">
        <f t="shared" si="31"/>
        <v>0</v>
      </c>
      <c r="JV24" s="86" t="str">
        <f>IFERROR(IF(VLOOKUP(A24,tbMoveset!A2:B112,2,FALSE)="Sever",Backdoors!AY43/100,IF(VLOOKUP(A24,tbMoveset!A2:B112,2,FALSE)="Blunt",Backdoors!AZ43/100,Backdoors!BA43/100)),"")</f>
        <v/>
      </c>
      <c r="JW24" s="49">
        <f>IFERROR(IF(VLOOKUP(tbMoveset!A24,tbMoveset!A2:H112,8,FALSE)="Other",IF(VLOOKUP(tbMoveset!A24,tbMoveset!A2:I112,9,FALSE)="Fire",Backdoors!BB43,IF(VLOOKUP(tbMoveset!A24,tbMoveset!A2:I112,9,FALSE)="Water",Backdoors!BC43,IF(VLOOKUP(tbMoveset!A24,tbMoveset!A2:I112,9,FALSE)="Thunder",Backdoors!BD43,IF(VLOOKUP(tbMoveset!A24,tbMoveset!A2:I112,9,FALSE)="Ice",Backdoors!BE43,IF(VLOOKUP(tbMoveset!A24,tbMoveset!A2:I112,9,FALSE)="Dragon",Backdoors!BF43,Backdoors!BG43)))))/100,Backdoors!BG43/100),"")</f>
        <v>0</v>
      </c>
      <c r="JX24" s="49">
        <f>IFERROR(IF(VLOOKUP(A24,tbMoveset!A2:J112,10,FALSE)=TRUE,IF((Backdoors!AI12+IF(JV24&gt;=0.45,VLOOKUP(Calculator!E23,tbSkills!DH3:DI6,2,FALSE)+IF(AND(Calculator!B8=TRUE,Backdoors!BI43=TRUE),VLOOKUP(Calculator!E23,tbSkills!DH3:DJ6,3,FALSE),0),0))&gt;=0,1+(Backdoors!AL2*(IF((Backdoors!AI12+IF(JV24&gt;=0.45,VLOOKUP(Calculator!E23,tbSkills!DH3:DI6,2,FALSE)+IF(AND(Calculator!B8=TRUE,Backdoors!BI43=TRUE),VLOOKUP(Calculator!E23,tbSkills!DH3:DJ6,3,FALSE),0),0))&gt;=100,100,(Backdoors!AI12+IF(JV24&gt;=0.45,VLOOKUP(Calculator!E23,tbSkills!DH3:DI6,2,FALSE)+IF(AND(Calculator!B8=TRUE,Backdoors!BI43=TRUE),VLOOKUP(Calculator!E23,tbSkills!DH3:DJ6,3,FALSE),0),0)))/100)),(1-(0.25*((-Backdoors!AI12-IF(JV24&gt;=0.45,VLOOKUP(Calculator!E23,tbSkills!DH3:DI6,2,FALSE)+IF(AND(Calculator!B8=TRUE,Backdoors!BI43=TRUE),VLOOKUP(Calculator!E23,tbSkills!DH3:DJ6,3,FALSE),0),0))/100)))),1),"")</f>
        <v>1</v>
      </c>
      <c r="JY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V24)*JX24)*(VLOOKUP(A24,tbMoveset!A2:C112,3,FALSE)/100)*IF(VLOOKUP(A24,tbMoveset!A2:B112,2,FALSE)="Projectile",Backdoors!N10,Backdoors!N9),0),"")</f>
        <v/>
      </c>
      <c r="JZ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46&gt;0,VLOOKUP(Calculator!E46,tbSkills!AC3:AD5,2,FALSE),Backdoors!AL3)*(IF((Backdoors!AI12+IF(JV24&gt;=0.45,VLOOKUP(Calculator!E23,tbSkills!DH3:DI6,2,FALSE)+IF(AND(Calculator!B8=TRUE,Backdoors!BI43=TRUE),VLOOKUP(Calculator!E23,tbSkills!DH3:DJ6,3,FALSE),0),0))&gt;=100,100,(Backdoors!AI12+IF(JV24&gt;=0.45,VLOOKUP(Calculator!E23,tbSkills!DH3:DI6,2,FALSE)+IF(AND(Calculator!B8=TRUE,Backdoors!BI43=TRUE),VLOOKUP(Calculator!E23,tbSkills!DH3:DJ6,3,FALSE),0),0)))/100)),1))*IF(VLOOKUP(A24,tbMoveset!A2:K112,11,FALSE)=TRUE,Backdoors!AC5,1))*JW24,0),"")</f>
        <v/>
      </c>
      <c r="KA24" s="49">
        <f>VLOOKUP(A24,tbMoveset!A2:G112,7,FALSE)*IFERROR(IF(Backdoors!AI12&gt;=0,1+(IF(Calculator!E40&gt;0,VLOOKUP(Calculator!E40,tbSkills!AI3:AJ5,2,FALSE),Backdoors!AL4)*(IF((Backdoors!AI12+IF(JV24&gt;=0.45,VLOOKUP(Calculator!E23,tbSkills!DH3:DI6,2,FALSE)+IF(AND(Calculator!B8=TRUE,Backdoors!BI43=TRUE),VLOOKUP(Calculator!E23,tbSkills!DH3:DJ6,3,FALSE),0),0))&gt;=100,100,(Backdoors!AI12+IF(JV24&gt;=0.45,VLOOKUP(Calculator!E23,tbSkills!DH3:DI6,2,FALSE)+IF(AND(Calculator!B8=TRUE,Backdoors!BI43=TRUE),VLOOKUP(Calculator!E23,tbSkills!DH3:DJ6,3,FALSE),0),0)))/100)),1),1)</f>
        <v>1</v>
      </c>
      <c r="KB24" s="87">
        <f t="shared" si="32"/>
        <v>0</v>
      </c>
      <c r="KC24" s="86" t="str">
        <f>IFERROR(IF(VLOOKUP(A24,tbMoveset!A2:B112,2,FALSE)="Sever",Backdoors!AY44/100,IF(VLOOKUP(A24,tbMoveset!A2:B112,2,FALSE)="Blunt",Backdoors!AZ44/100,Backdoors!BA44/100)),"")</f>
        <v/>
      </c>
      <c r="KD24" s="49">
        <f>IFERROR(IF(VLOOKUP(tbMoveset!A24,tbMoveset!A2:H112,8,FALSE)="Other",IF(VLOOKUP(tbMoveset!A24,tbMoveset!A2:I112,9,FALSE)="Fire",Backdoors!BB44,IF(VLOOKUP(tbMoveset!A24,tbMoveset!A2:I112,9,FALSE)="Water",Backdoors!BC44,IF(VLOOKUP(tbMoveset!A24,tbMoveset!A2:I112,9,FALSE)="Thunder",Backdoors!BD44,IF(VLOOKUP(tbMoveset!A24,tbMoveset!A2:I112,9,FALSE)="Ice",Backdoors!BE44,IF(VLOOKUP(tbMoveset!A24,tbMoveset!A2:I112,9,FALSE)="Dragon",Backdoors!BF44,Backdoors!BG44)))))/100,Backdoors!BG44/100),"")</f>
        <v>0</v>
      </c>
      <c r="KE24" s="49">
        <f>IFERROR(IF(VLOOKUP(A24,tbMoveset!A2:J112,10,FALSE)=TRUE,IF((Backdoors!AI12+IF(KC24&gt;=0.45,VLOOKUP(Calculator!E23,tbSkills!DH3:DI6,2,FALSE)+IF(AND(Calculator!B8=TRUE,Backdoors!BI44=TRUE),VLOOKUP(Calculator!E23,tbSkills!DH3:DJ6,3,FALSE),0),0))&gt;=0,1+(Backdoors!AL2*(IF((Backdoors!AI12+IF(KC24&gt;=0.45,VLOOKUP(Calculator!E23,tbSkills!DH3:DI6,2,FALSE)+IF(AND(Calculator!B8=TRUE,Backdoors!BI44=TRUE),VLOOKUP(Calculator!E23,tbSkills!DH3:DJ6,3,FALSE),0),0))&gt;=100,100,(Backdoors!AI12+IF(KC24&gt;=0.45,VLOOKUP(Calculator!E23,tbSkills!DH3:DI6,2,FALSE)+IF(AND(Calculator!B8=TRUE,Backdoors!BI44=TRUE),VLOOKUP(Calculator!E23,tbSkills!DH3:DJ6,3,FALSE),0),0)))/100)),(1-(0.25*((-Backdoors!AI12-IF(KC24&gt;=0.45,VLOOKUP(Calculator!E23,tbSkills!DH3:DI6,2,FALSE)+IF(AND(Calculator!B8=TRUE,Backdoors!BI44=TRUE),VLOOKUP(Calculator!E23,tbSkills!DH3:DJ6,3,FALSE),0),0))/100)))),1),"")</f>
        <v>1</v>
      </c>
      <c r="KF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KC24)*KE24)*(VLOOKUP(A24,tbMoveset!A2:C112,3,FALSE)/100)*IF(VLOOKUP(A24,tbMoveset!A2:B112,2,FALSE)="Projectile",Backdoors!N10,Backdoors!N9),0),"")</f>
        <v/>
      </c>
      <c r="KG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REF!&gt;0,VLOOKUP(Calculator!#REF!,tbSkills!AC3:AD5,2,FALSE),Backdoors!AL3)*(IF((Backdoors!AI12+IF(KC24&gt;=0.45,VLOOKUP(Calculator!E23,tbSkills!DH3:DI6,2,FALSE)+IF(AND(Calculator!B8=TRUE,Backdoors!BI44=TRUE),VLOOKUP(Calculator!E23,tbSkills!DH3:DJ6,3,FALSE),0),0))&gt;=100,100,(Backdoors!AI12+IF(KC24&gt;=0.45,VLOOKUP(Calculator!E23,tbSkills!DH3:DI6,2,FALSE)+IF(AND(Calculator!B8=TRUE,Backdoors!BI44=TRUE),VLOOKUP(Calculator!E23,tbSkills!DH3:DJ6,3,FALSE),0),0)))/100)),1))*IF(VLOOKUP(A24,tbMoveset!A2:K112,11,FALSE)=TRUE,Backdoors!AC5,1))*KD24,0),"")</f>
        <v/>
      </c>
      <c r="KH24" s="49">
        <f>VLOOKUP(A24,tbMoveset!A2:G112,7,FALSE)*IFERROR(IF(Backdoors!AI12&gt;=0,1+(IF(Calculator!E40&gt;0,VLOOKUP(Calculator!E40,tbSkills!AI3:AJ5,2,FALSE),Backdoors!AL4)*(IF((Backdoors!AI12+IF(KC24&gt;=0.45,VLOOKUP(Calculator!E23,tbSkills!DH3:DI6,2,FALSE)+IF(AND(Calculator!B8=TRUE,Backdoors!BI44=TRUE),VLOOKUP(Calculator!E23,tbSkills!DH3:DJ6,3,FALSE),0),0))&gt;=100,100,(Backdoors!AI12+IF(KC24&gt;=0.45,VLOOKUP(Calculator!E23,tbSkills!DH3:DI6,2,FALSE)+IF(AND(Calculator!B8=TRUE,Backdoors!BI44=TRUE),VLOOKUP(Calculator!E23,tbSkills!DH3:DJ6,3,FALSE),0),0)))/100)),1),1)</f>
        <v>1</v>
      </c>
      <c r="KI24" s="87">
        <f t="shared" si="33"/>
        <v>0</v>
      </c>
      <c r="KJ24" s="86" t="str">
        <f>IFERROR(IF(VLOOKUP(A24,tbMoveset!A2:B112,2,FALSE)="Sever",Backdoors!AY45/100,IF(VLOOKUP(A24,tbMoveset!A2:B112,2,FALSE)="Blunt",Backdoors!AZ45/100,Backdoors!BA45/100)),"")</f>
        <v/>
      </c>
      <c r="KK24" s="49">
        <f>IFERROR(IF(VLOOKUP(tbMoveset!A24,tbMoveset!A2:H112,8,FALSE)="Other",IF(VLOOKUP(tbMoveset!A24,tbMoveset!A2:I112,9,FALSE)="Fire",Backdoors!BB45,IF(VLOOKUP(tbMoveset!A24,tbMoveset!A2:I112,9,FALSE)="Water",Backdoors!BC45,IF(VLOOKUP(tbMoveset!A24,tbMoveset!A2:I112,9,FALSE)="Thunder",Backdoors!BD45,IF(VLOOKUP(tbMoveset!A24,tbMoveset!A2:I112,9,FALSE)="Ice",Backdoors!BE45,IF(VLOOKUP(tbMoveset!A24,tbMoveset!A2:I112,9,FALSE)="Dragon",Backdoors!BF45,Backdoors!BG45)))))/100,Backdoors!BG45/100),"")</f>
        <v>0</v>
      </c>
      <c r="KL24" s="49">
        <f>IFERROR(IF(VLOOKUP(A24,tbMoveset!A2:J112,10,FALSE)=TRUE,IF((Backdoors!AI12+IF(KJ24&gt;=0.45,VLOOKUP(Calculator!E23,tbSkills!DH3:DI6,2,FALSE)+IF(AND(Calculator!B8=TRUE,Backdoors!BI45=TRUE),VLOOKUP(Calculator!E23,tbSkills!DH3:DJ6,3,FALSE),0),0))&gt;=0,1+(Backdoors!AL2*(IF((Backdoors!AI12+IF(KJ24&gt;=0.45,VLOOKUP(Calculator!E23,tbSkills!DH3:DI6,2,FALSE)+IF(AND(Calculator!B8=TRUE,Backdoors!BI45=TRUE),VLOOKUP(Calculator!E23,tbSkills!DH3:DJ6,3,FALSE),0),0))&gt;=100,100,(Backdoors!AI12+IF(KJ24&gt;=0.45,VLOOKUP(Calculator!E23,tbSkills!DH3:DI6,2,FALSE)+IF(AND(Calculator!B8=TRUE,Backdoors!BI45=TRUE),VLOOKUP(Calculator!E23,tbSkills!DH3:DJ6,3,FALSE),0),0)))/100)),(1-(0.25*((-Backdoors!AI12-IF(KJ24&gt;=0.45,VLOOKUP(Calculator!E23,tbSkills!DH3:DI6,2,FALSE)+IF(AND(Calculator!B8=TRUE,Backdoors!BI45=TRUE),VLOOKUP(Calculator!E23,tbSkills!DH3:DJ6,3,FALSE),0),0))/100)))),1),"")</f>
        <v>1</v>
      </c>
      <c r="KM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KJ24)*KL24)*(VLOOKUP(A24,tbMoveset!A2:C112,3,FALSE)/100)*IF(VLOOKUP(A24,tbMoveset!A2:B112,2,FALSE)="Projectile",Backdoors!N10,Backdoors!N9),0),"")</f>
        <v/>
      </c>
      <c r="KN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REF!&gt;0,VLOOKUP(Calculator!#REF!,tbSkills!AC3:AD5,2,FALSE),Backdoors!AL3)*(IF((Backdoors!AI12+IF(KJ24&gt;=0.45,VLOOKUP(Calculator!E23,tbSkills!DH3:DI6,2,FALSE)+IF(AND(Calculator!B8=TRUE,Backdoors!BI45=TRUE),VLOOKUP(Calculator!E23,tbSkills!DH3:DJ6,3,FALSE),0),0))&gt;=100,100,(Backdoors!AI12+IF(KJ24&gt;=0.45,VLOOKUP(Calculator!E23,tbSkills!DH3:DI6,2,FALSE)+IF(AND(Calculator!B8=TRUE,Backdoors!BI45=TRUE),VLOOKUP(Calculator!E23,tbSkills!DH3:DJ6,3,FALSE),0),0)))/100)),1))*IF(VLOOKUP(A24,tbMoveset!A2:K112,11,FALSE)=TRUE,Backdoors!AC5,1))*KK24,0),"")</f>
        <v/>
      </c>
      <c r="KO24" s="49">
        <f>VLOOKUP(A24,tbMoveset!A2:G112,7,FALSE)*IFERROR(IF(Backdoors!AI12&gt;=0,1+(IF(Calculator!E40&gt;0,VLOOKUP(Calculator!E40,tbSkills!AI3:AJ5,2,FALSE),Backdoors!AL4)*(IF((Backdoors!AI12+IF(KJ24&gt;=0.45,VLOOKUP(Calculator!E23,tbSkills!DH3:DI6,2,FALSE)+IF(AND(Calculator!B8=TRUE,Backdoors!BI45=TRUE),VLOOKUP(Calculator!E23,tbSkills!DH3:DJ6,3,FALSE),0),0))&gt;=100,100,(Backdoors!AI12+IF(KJ24&gt;=0.45,VLOOKUP(Calculator!E23,tbSkills!DH3:DI6,2,FALSE)+IF(AND(Calculator!B8=TRUE,Backdoors!BI45=TRUE),VLOOKUP(Calculator!E23,tbSkills!DH3:DJ6,3,FALSE),0),0)))/100)),1),1)</f>
        <v>1</v>
      </c>
      <c r="KP24" s="87">
        <f t="shared" si="34"/>
        <v>0</v>
      </c>
      <c r="KQ24" s="86" t="str">
        <f>IFERROR(IF(VLOOKUP(A24,tbMoveset!A2:B112,2,FALSE)="Sever",Backdoors!AY46/100,IF(VLOOKUP(A24,tbMoveset!A2:B112,2,FALSE)="Blunt",Backdoors!AZ46/100,Backdoors!BA46/100)),"")</f>
        <v/>
      </c>
      <c r="KR24" s="49">
        <f>IFERROR(IF(VLOOKUP(tbMoveset!A24,tbMoveset!A2:H112,8,FALSE)="Other",IF(VLOOKUP(tbMoveset!A24,tbMoveset!A2:I112,9,FALSE)="Fire",Backdoors!BB46,IF(VLOOKUP(tbMoveset!A24,tbMoveset!A2:I112,9,FALSE)="Water",Backdoors!BC46,IF(VLOOKUP(tbMoveset!A24,tbMoveset!A2:I112,9,FALSE)="Thunder",Backdoors!BD46,IF(VLOOKUP(tbMoveset!A24,tbMoveset!A2:I112,9,FALSE)="Ice",Backdoors!BE46,IF(VLOOKUP(tbMoveset!A24,tbMoveset!A2:I112,9,FALSE)="Dragon",Backdoors!BF46,Backdoors!BG46)))))/100,Backdoors!BG46/100),"")</f>
        <v>0</v>
      </c>
      <c r="KS24" s="49">
        <f>IFERROR(IF(VLOOKUP(A24,tbMoveset!A2:J112,10,FALSE)=TRUE,IF((Backdoors!AI12+IF(KQ24&gt;=0.45,VLOOKUP(Calculator!E23,tbSkills!DH3:DI6,2,FALSE)+IF(AND(Calculator!B8=TRUE,Backdoors!BI46=TRUE),VLOOKUP(Calculator!E23,tbSkills!DH3:DJ6,3,FALSE),0),0))&gt;=0,1+(Backdoors!AL2*(IF((Backdoors!AI12+IF(KQ24&gt;=0.45,VLOOKUP(Calculator!E23,tbSkills!DH3:DI6,2,FALSE)+IF(AND(Calculator!B8=TRUE,Backdoors!BI46=TRUE),VLOOKUP(Calculator!E23,tbSkills!DH3:DJ6,3,FALSE),0),0))&gt;=100,100,(Backdoors!AI12+IF(KQ24&gt;=0.45,VLOOKUP(Calculator!E23,tbSkills!DH3:DI6,2,FALSE)+IF(AND(Calculator!B8=TRUE,Backdoors!BI46=TRUE),VLOOKUP(Calculator!E23,tbSkills!DH3:DJ6,3,FALSE),0),0)))/100)),(1-(0.25*((-Backdoors!AI12-IF(KQ24&gt;=0.45,VLOOKUP(Calculator!E23,tbSkills!DH3:DI6,2,FALSE)+IF(AND(Calculator!B8=TRUE,Backdoors!BI46=TRUE),VLOOKUP(Calculator!E23,tbSkills!DH3:DJ6,3,FALSE),0),0))/100)))),1),"")</f>
        <v>1</v>
      </c>
      <c r="KT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KQ24)*KS24)*(VLOOKUP(A24,tbMoveset!A2:C112,3,FALSE)/100)*IF(VLOOKUP(A24,tbMoveset!A2:B112,2,FALSE)="Projectile",Backdoors!N10,Backdoors!N9),0),"")</f>
        <v/>
      </c>
      <c r="KU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REF!&gt;0,VLOOKUP(Calculator!#REF!,tbSkills!AC3:AD5,2,FALSE),Backdoors!AL3)*(IF((Backdoors!AI12+IF(KQ24&gt;=0.45,VLOOKUP(Calculator!E23,tbSkills!DH3:DI6,2,FALSE)+IF(AND(Calculator!B8=TRUE,Backdoors!BI46=TRUE),VLOOKUP(Calculator!E23,tbSkills!DH3:DJ6,3,FALSE),0),0))&gt;=100,100,(Backdoors!AI12+IF(KQ24&gt;=0.45,VLOOKUP(Calculator!E23,tbSkills!DH3:DI6,2,FALSE)+IF(AND(Calculator!B8=TRUE,Backdoors!BI46=TRUE),VLOOKUP(Calculator!E23,tbSkills!DH3:DJ6,3,FALSE),0),0)))/100)),1))*IF(VLOOKUP(A24,tbMoveset!A2:K112,11,FALSE)=TRUE,Backdoors!AC5,1))*KR24,0),"")</f>
        <v/>
      </c>
      <c r="KV24" s="49">
        <f>VLOOKUP(A24,tbMoveset!A2:G112,7,FALSE)*IFERROR(IF(Backdoors!AI12&gt;=0,1+(IF(Calculator!E40&gt;0,VLOOKUP(Calculator!E40,tbSkills!AI3:AJ5,2,FALSE),Backdoors!AL4)*(IF((Backdoors!AI12+IF(KQ24&gt;=0.45,VLOOKUP(Calculator!E23,tbSkills!DH3:DI6,2,FALSE)+IF(AND(Calculator!B8=TRUE,Backdoors!BI46=TRUE),VLOOKUP(Calculator!E23,tbSkills!DH3:DJ6,3,FALSE),0),0))&gt;=100,100,(Backdoors!AI12+IF(KQ24&gt;=0.45,VLOOKUP(Calculator!E23,tbSkills!DH3:DI6,2,FALSE)+IF(AND(Calculator!B8=TRUE,Backdoors!BI46=TRUE),VLOOKUP(Calculator!E23,tbSkills!DH3:DJ6,3,FALSE),0),0)))/100)),1),1)</f>
        <v>1</v>
      </c>
      <c r="KW24" s="87">
        <f t="shared" si="35"/>
        <v>0</v>
      </c>
    </row>
    <row r="25" spans="1:309" x14ac:dyDescent="0.25">
      <c r="A25" s="95" t="str">
        <f>tbMoveset!A25</f>
        <v>Left Double Roundslash (L2)</v>
      </c>
      <c r="B25" s="86">
        <f>IFERROR(IF(VLOOKUP(A25,tbMoveset!A2:B112,2,FALSE)="Sever",Backdoors!AY3/100,IF(VLOOKUP(A25,tbMoveset!A2:B112,2,FALSE)="Blunt",Backdoors!AZ3/100,Backdoors!BA3/100)),"")</f>
        <v>0.8</v>
      </c>
      <c r="C25" s="49">
        <f>IFERROR(IF(VLOOKUP(tbMoveset!A25,tbMoveset!A2:H112,8,FALSE)="Other",IF(VLOOKUP(tbMoveset!A25,tbMoveset!A2:I112,9,FALSE)="Fire",Backdoors!BB3,IF(VLOOKUP(tbMoveset!A25,tbMoveset!A2:I112,9,FALSE)="Water",Backdoors!BC3,IF(VLOOKUP(tbMoveset!A25,tbMoveset!A2:I112,9,FALSE)="Thunder",Backdoors!BD3,IF(VLOOKUP(tbMoveset!A25,tbMoveset!A2:I112,9,FALSE)="Ice",Backdoors!BE3,IF(VLOOKUP(tbMoveset!A25,tbMoveset!A2:I112,9,FALSE)="Dragon",Backdoors!BF3,Backdoors!BG3)))))/100,Backdoors!BG3/100),"")</f>
        <v>0</v>
      </c>
      <c r="D25" s="49">
        <f>IFERROR(IF(VLOOKUP(A25,tbMoveset!A2:J112,10,FALSE)=TRUE,IF((Backdoors!AI12+IF(B25&gt;=0.45,VLOOKUP(Calculator!E23,tbSkills!DH3:DI6,2,FALSE)+IF(AND(Calculator!B8=TRUE,Backdoors!BI3=TRUE),VLOOKUP(Calculator!E23,tbSkills!DH3:DJ6,3,FALSE),0),0))&gt;=0,1+(Backdoors!AL2*(IF((Backdoors!AI12+IF(B25&gt;=0.45,VLOOKUP(Calculator!E23,tbSkills!DH3:DI6,2,FALSE)+IF(AND(Calculator!B8=TRUE,Backdoors!BI3=TRUE),VLOOKUP(Calculator!E23,tbSkills!DH3:DJ6,3,FALSE),0),0))&gt;=100,100,(Backdoors!AI12+IF(B25&gt;=0.45,VLOOKUP(Calculator!E23,tbSkills!DH3:DI6,2,FALSE)+IF(AND(Calculator!B8=TRUE,Backdoors!BI3=TRUE),VLOOKUP(Calculator!E23,tbSkills!DH3:DJ6,3,FALSE),0),0)))/100)),(1-(0.25*((-Backdoors!AI12-IF(B25&gt;=0.45,VLOOKUP(Calculator!E23,tbSkills!DH3:DI6,2,FALSE)+IF(AND(Calculator!B8=TRUE,Backdoors!BI3=TRUE),VLOOKUP(Calculator!E23,tbSkills!DH3:DJ6,3,FALSE),0),0))/100)))),1),"")</f>
        <v>1</v>
      </c>
      <c r="E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25)*D25)*(VLOOKUP(A25,tbMoveset!A2:C112,3,FALSE)/100)*IF(VLOOKUP(A25,tbMoveset!A2:B112,2,FALSE)="Projectile",Backdoors!N10,Backdoors!N9),0),"")</f>
        <v>5</v>
      </c>
      <c r="F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25&gt;=0.45,VLOOKUP(Calculator!E23,tbSkills!DH3:DI6,2,FALSE)+IF(AND(Calculator!B8=TRUE,Backdoors!BI3=TRUE),VLOOKUP(Calculator!E23,tbSkills!DH3:DJ6,3,FALSE),0),0))&gt;=100,100,(Backdoors!AI12+IF(B25&gt;=0.45,VLOOKUP(Calculator!E23,tbSkills!DH3:DI6,2,FALSE)+IF(AND(Calculator!B8=TRUE,Backdoors!BI3=TRUE),VLOOKUP(Calculator!E23,tbSkills!DH3:DJ6,3,FALSE),0),0)))/100)),1))*IF(VLOOKUP(A25,tbMoveset!A2:K112,11,FALSE)=TRUE,Backdoors!AC5,1))*C25,0),"")</f>
        <v>0</v>
      </c>
      <c r="G25">
        <f>VLOOKUP(A25,tbMoveset!A2:G112,7,FALSE)*IFERROR(IF(Backdoors!AI12&gt;=0,1+(IF(Calculator!E40&gt;0,VLOOKUP(Calculator!E40,tbSkills!AI3:AJ5,2,FALSE),Backdoors!AL4)*(IF((Backdoors!AI12+IF(B25&gt;=0.45,VLOOKUP(Calculator!E23,tbSkills!DH3:DI6,2,FALSE)+IF(AND(Calculator!B8=TRUE,Backdoors!BI3=TRUE),VLOOKUP(Calculator!E23,tbSkills!DH3:DJ6,3,FALSE),0),0))&gt;=100,100,(Backdoors!AI12+IF(B25&gt;=0.45,VLOOKUP(Calculator!E23,tbSkills!DH3:DI6,2,FALSE)+IF(AND(Calculator!B8=TRUE,Backdoors!BI3=TRUE),VLOOKUP(Calculator!E23,tbSkills!DH3:DJ6,3,FALSE),0),0)))/100)),1),1)</f>
        <v>1</v>
      </c>
      <c r="H25" s="87">
        <f t="shared" si="43"/>
        <v>5</v>
      </c>
      <c r="I25" s="86">
        <f>IFERROR(IF(VLOOKUP(A25,tbMoveset!A2:B112,2,FALSE)="Sever",Backdoors!AY4/100,IF(VLOOKUP(A25,tbMoveset!A2:B112,2,FALSE)="Blunt",Backdoors!AZ4/100,Backdoors!BA4/100)),"")</f>
        <v>0.65</v>
      </c>
      <c r="J25" s="49">
        <f>IFERROR(IF(VLOOKUP(tbMoveset!A25,tbMoveset!A2:H112,8,FALSE)="Other",IF(VLOOKUP(tbMoveset!A25,tbMoveset!A2:I112,9,FALSE)="Fire",Backdoors!BB4,IF(VLOOKUP(tbMoveset!A25,tbMoveset!A2:I112,9,FALSE)="Water",Backdoors!BC4,IF(VLOOKUP(tbMoveset!A25,tbMoveset!A2:I112,9,FALSE)="Thunder",Backdoors!BD4,IF(VLOOKUP(tbMoveset!A25,tbMoveset!A2:I112,9,FALSE)="Ice",Backdoors!BE4,IF(VLOOKUP(tbMoveset!A25,tbMoveset!A2:I112,9,FALSE)="Dragon",Backdoors!BF4,Backdoors!BG4)))))/100,Backdoors!BG4/100),"")</f>
        <v>0</v>
      </c>
      <c r="K25" s="49">
        <f>IFERROR(IF(VLOOKUP(A25,tbMoveset!A2:J112,10,FALSE)=TRUE,IF((Backdoors!AI12+IF(I25&gt;=0.45,VLOOKUP(Calculator!E23,tbSkills!DH3:DI6,2,FALSE)+IF(AND(Calculator!B8=TRUE,Backdoors!BI4=TRUE),VLOOKUP(Calculator!E23,tbSkills!DH3:DJ6,3,FALSE),0),0))&gt;=0,1+(Backdoors!AL2*(IF((Backdoors!AI12+IF(I25&gt;=0.45,VLOOKUP(Calculator!E23,tbSkills!DH3:DI6,2,FALSE)+IF(AND(Calculator!B8=TRUE,Backdoors!BI4=TRUE),VLOOKUP(Calculator!E23,tbSkills!DH3:DJ6,3,FALSE),0),0))&gt;=100,100,(Backdoors!AI12+IF(I25&gt;=0.45,VLOOKUP(Calculator!E23,tbSkills!DH3:DI6,2,FALSE)+IF(AND(Calculator!B8=TRUE,Backdoors!BI4=TRUE),VLOOKUP(Calculator!E23,tbSkills!DH3:DJ6,3,FALSE),0),0)))/100)),(1-(0.25*((-Backdoors!AI12-IF(I25&gt;=0.45,VLOOKUP(Calculator!E23,tbSkills!DH3:DI6,2,FALSE)+IF(AND(Calculator!B8=TRUE,Backdoors!BI4=TRUE),VLOOKUP(Calculator!E23,tbSkills!DH3:DJ6,3,FALSE),0),0))/100)))),1),"")</f>
        <v>1</v>
      </c>
      <c r="L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25)*K25)*(VLOOKUP(A25,tbMoveset!A2:C112,3,FALSE)/100)*IF(VLOOKUP(A25,tbMoveset!A2:B112,2,FALSE)="Projectile",Backdoors!N10,Backdoors!N9),0),"")</f>
        <v>4</v>
      </c>
      <c r="M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I25&gt;=0.45,VLOOKUP(Calculator!E23,tbSkills!DH3:DI6,2,FALSE)+IF(AND(Calculator!B8=TRUE,Backdoors!BI4=TRUE),VLOOKUP(Calculator!E23,tbSkills!DH3:DJ6,3,FALSE),0),0))&gt;=100,100,(Backdoors!AI12+IF(I25&gt;=0.45,VLOOKUP(Calculator!E23,tbSkills!DH3:DI6,2,FALSE)+IF(AND(Calculator!B8=TRUE,Backdoors!BI4=TRUE),VLOOKUP(Calculator!E23,tbSkills!DH3:DJ6,3,FALSE),0),0)))/100)),1))*IF(VLOOKUP(A25,tbMoveset!A2:K112,11,FALSE)=TRUE,Backdoors!AC5,1))*J25,0),"")</f>
        <v>0</v>
      </c>
      <c r="N25" s="49">
        <f>VLOOKUP(A25,tbMoveset!A2:G112,7,FALSE)*IFERROR(IF(Backdoors!AI12&gt;=0,1+(IF(Calculator!E40&gt;0,VLOOKUP(Calculator!E40,tbSkills!AI3:AJ5,2,FALSE),Backdoors!AL4)*(IF((Backdoors!AI12+IF(I25&gt;=0.45,VLOOKUP(Calculator!E23,tbSkills!DH3:DI6,2,FALSE)+IF(AND(Calculator!B8=TRUE,Backdoors!BI4=TRUE),VLOOKUP(Calculator!E23,tbSkills!DH3:DJ6,3,FALSE),0),0))&gt;=100,100,(Backdoors!AI12+IF(I25&gt;=0.45,VLOOKUP(Calculator!E23,tbSkills!DH3:DI6,2,FALSE)+IF(AND(Calculator!B8=TRUE,Backdoors!BI4=TRUE),VLOOKUP(Calculator!E23,tbSkills!DH3:DJ6,3,FALSE),0),0)))/100)),1),1)</f>
        <v>1</v>
      </c>
      <c r="O25" s="87">
        <f t="shared" si="36"/>
        <v>4</v>
      </c>
      <c r="P25" s="86">
        <f>IFERROR(IF(VLOOKUP(A25,tbMoveset!A2:B112,2,FALSE)="Sever",Backdoors!AY5/100,IF(VLOOKUP(A25,tbMoveset!A2:B112,2,FALSE)="Blunt",Backdoors!AZ5/100,Backdoors!BA5/100)),"")</f>
        <v>0.5</v>
      </c>
      <c r="Q25" s="49">
        <f>IFERROR(IF(VLOOKUP(tbMoveset!A25,tbMoveset!A2:H112,8,FALSE)="Other",IF(VLOOKUP(tbMoveset!A25,tbMoveset!A2:I112,9,FALSE)="Fire",Backdoors!BB5,IF(VLOOKUP(tbMoveset!A25,tbMoveset!A2:I112,9,FALSE)="Water",Backdoors!BC5,IF(VLOOKUP(tbMoveset!A25,tbMoveset!A2:I112,9,FALSE)="Thunder",Backdoors!BD5,IF(VLOOKUP(tbMoveset!A25,tbMoveset!A2:I112,9,FALSE)="Ice",Backdoors!BE5,IF(VLOOKUP(tbMoveset!A25,tbMoveset!A2:I112,9,FALSE)="Dragon",Backdoors!BF5,Backdoors!BG5)))))/100,Backdoors!BG5/100),"")</f>
        <v>0</v>
      </c>
      <c r="R25" s="49">
        <f>IFERROR(IF(VLOOKUP(A25,tbMoveset!A2:J112,10,FALSE)=TRUE,IF((Backdoors!AI12+IF(P25&gt;=0.45,VLOOKUP(Calculator!E23,tbSkills!DH3:DI6,2,FALSE)+IF(AND(Calculator!B8=TRUE,Backdoors!BI5=TRUE),VLOOKUP(Calculator!E23,tbSkills!DH3:DJ6,3,FALSE),0),0))&gt;=0,1+(Backdoors!AL2*(IF((Backdoors!AI12+IF(P25&gt;=0.45,VLOOKUP(Calculator!E23,tbSkills!DH3:DI6,2,FALSE)+IF(AND(Calculator!B8=TRUE,Backdoors!BI5=TRUE),VLOOKUP(Calculator!E23,tbSkills!DH3:DJ6,3,FALSE),0),0))&gt;=100,100,(Backdoors!AI12+IF(P25&gt;=0.45,VLOOKUP(Calculator!E23,tbSkills!DH3:DI6,2,FALSE)+IF(AND(Calculator!B8=TRUE,Backdoors!BI5=TRUE),VLOOKUP(Calculator!E23,tbSkills!DH3:DJ6,3,FALSE),0),0)))/100)),(1-(0.25*((-Backdoors!AI12-IF(P25&gt;=0.45,VLOOKUP(Calculator!E23,tbSkills!DH3:DI6,2,FALSE)+IF(AND(Calculator!B8=TRUE,Backdoors!BI5=TRUE),VLOOKUP(Calculator!E23,tbSkills!DH3:DJ6,3,FALSE),0),0))/100)))),1),"")</f>
        <v>1</v>
      </c>
      <c r="S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P25)*R25)*(VLOOKUP(A25,tbMoveset!A2:C112,3,FALSE)/100)*IF(VLOOKUP(A25,tbMoveset!A2:B112,2,FALSE)="Projectile",Backdoors!N10,Backdoors!N9),0),"")</f>
        <v>3</v>
      </c>
      <c r="T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P25&gt;=0.45,VLOOKUP(Calculator!E23,tbSkills!DH3:DI6,2,FALSE)+IF(AND(Calculator!B8=TRUE,Backdoors!BI5=TRUE),VLOOKUP(Calculator!E23,tbSkills!DH3:DJ6,3,FALSE),0),0))&gt;=100,100,(Backdoors!AI12+IF(P25&gt;=0.45,VLOOKUP(Calculator!E23,tbSkills!DH3:DI6,2,FALSE)+IF(AND(Calculator!B8=TRUE,Backdoors!BI5=TRUE),VLOOKUP(Calculator!E23,tbSkills!DH3:DJ6,3,FALSE),0),0)))/100)),1))*IF(VLOOKUP(A25,tbMoveset!A2:K112,11,FALSE)=TRUE,Backdoors!AC5,1))*Q25,0),"")</f>
        <v>0</v>
      </c>
      <c r="U25" s="49">
        <f>VLOOKUP(A25,tbMoveset!A2:G112,7,FALSE)*IFERROR(IF(Backdoors!AI12&gt;=0,1+(IF(Calculator!E40&gt;0,VLOOKUP(Calculator!E40,tbSkills!AI3:AJ5,2,FALSE),Backdoors!AL4)*(IF((Backdoors!AI12+IF(P25&gt;=0.45,VLOOKUP(Calculator!E23,tbSkills!DH3:DI6,2,FALSE)+IF(AND(Calculator!B8=TRUE,Backdoors!BI5=TRUE),VLOOKUP(Calculator!E23,tbSkills!DH3:DJ6,3,FALSE),0),0))&gt;=100,100,(Backdoors!AI12+IF(P25&gt;=0.45,VLOOKUP(Calculator!E23,tbSkills!DH3:DI6,2,FALSE)+IF(AND(Calculator!B8=TRUE,Backdoors!BI5=TRUE),VLOOKUP(Calculator!E23,tbSkills!DH3:DJ6,3,FALSE),0),0)))/100)),1),1)</f>
        <v>1</v>
      </c>
      <c r="V25" s="87">
        <f t="shared" si="37"/>
        <v>3</v>
      </c>
      <c r="W25" s="86">
        <f>IFERROR(IF(VLOOKUP(A25,tbMoveset!A2:B112,2,FALSE)="Sever",Backdoors!AY6/100,IF(VLOOKUP(A25,tbMoveset!A2:B112,2,FALSE)="Blunt",Backdoors!AZ6/100,Backdoors!BA6/100)),"")</f>
        <v>0.45</v>
      </c>
      <c r="X25" s="49">
        <f>IFERROR(IF(VLOOKUP(tbMoveset!A25,tbMoveset!A2:H112,8,FALSE)="Other",IF(VLOOKUP(tbMoveset!A25,tbMoveset!A2:I112,9,FALSE)="Fire",Backdoors!BB6,IF(VLOOKUP(tbMoveset!A25,tbMoveset!A2:I112,9,FALSE)="Water",Backdoors!BC6,IF(VLOOKUP(tbMoveset!A25,tbMoveset!A2:I112,9,FALSE)="Thunder",Backdoors!BD6,IF(VLOOKUP(tbMoveset!A25,tbMoveset!A2:I112,9,FALSE)="Ice",Backdoors!BE6,IF(VLOOKUP(tbMoveset!A25,tbMoveset!A2:I112,9,FALSE)="Dragon",Backdoors!BF6,Backdoors!BG6)))))/100,Backdoors!BG6/100),"")</f>
        <v>0</v>
      </c>
      <c r="Y25" s="49">
        <f>IFERROR(IF(VLOOKUP(A25,tbMoveset!A2:J112,10,FALSE)=TRUE,IF((Backdoors!AI12+IF(W25&gt;=0.45,VLOOKUP(Calculator!E23,tbSkills!DH3:DI6,2,FALSE)+IF(AND(Calculator!B8=TRUE,Backdoors!BI6=TRUE),VLOOKUP(Calculator!E23,tbSkills!DH3:DJ6,3,FALSE),0),0))&gt;=0,1+(Backdoors!AL2*(IF((Backdoors!AI12+IF(W25&gt;=0.45,VLOOKUP(Calculator!E23,tbSkills!DH3:DI6,2,FALSE)+IF(AND(Calculator!B8=TRUE,Backdoors!BI6=TRUE),VLOOKUP(Calculator!E23,tbSkills!DH3:DJ6,3,FALSE),0),0))&gt;=100,100,(Backdoors!AI12+IF(W25&gt;=0.45,VLOOKUP(Calculator!E23,tbSkills!DH3:DI6,2,FALSE)+IF(AND(Calculator!B8=TRUE,Backdoors!BI6=TRUE),VLOOKUP(Calculator!E23,tbSkills!DH3:DJ6,3,FALSE),0),0)))/100)),(1-(0.25*((-Backdoors!AI12-IF(W25&gt;=0.45,VLOOKUP(Calculator!E23,tbSkills!DH3:DI6,2,FALSE)+IF(AND(Calculator!B8=TRUE,Backdoors!BI6=TRUE),VLOOKUP(Calculator!E23,tbSkills!DH3:DJ6,3,FALSE),0),0))/100)))),1),"")</f>
        <v>1</v>
      </c>
      <c r="Z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W25)*Y25)*(VLOOKUP(A25,tbMoveset!A2:C112,3,FALSE)/100)*IF(VLOOKUP(A25,tbMoveset!A2:B112,2,FALSE)="Projectile",Backdoors!N10,Backdoors!N9),0),"")</f>
        <v>3</v>
      </c>
      <c r="AA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W25&gt;=0.45,VLOOKUP(Calculator!E23,tbSkills!DH3:DI6,2,FALSE)+IF(AND(Calculator!B8=TRUE,Backdoors!BI6=TRUE),VLOOKUP(Calculator!E23,tbSkills!DH3:DJ6,3,FALSE),0),0))&gt;=100,100,(Backdoors!AI12+IF(W25&gt;=0.45,VLOOKUP(Calculator!E23,tbSkills!DH3:DI6,2,FALSE)+IF(AND(Calculator!B8=TRUE,Backdoors!BI6=TRUE),VLOOKUP(Calculator!E23,tbSkills!DH3:DJ6,3,FALSE),0),0)))/100)),1))*IF(VLOOKUP(A25,tbMoveset!A2:K112,11,FALSE)=TRUE,Backdoors!AC5,1))*X25,0),"")</f>
        <v>0</v>
      </c>
      <c r="AB25" s="49">
        <f>VLOOKUP(A25,tbMoveset!A2:G112,7,FALSE)*IFERROR(IF(Backdoors!AI12&gt;=0,1+(IF(Calculator!E40&gt;0,VLOOKUP(Calculator!E40,tbSkills!AI3:AJ5,2,FALSE),Backdoors!AL4)*(IF((Backdoors!AI12+IF(W25&gt;=0.45,VLOOKUP(Calculator!E23,tbSkills!DH3:DI6,2,FALSE)+IF(AND(Calculator!B8=TRUE,Backdoors!BI6=TRUE),VLOOKUP(Calculator!E23,tbSkills!DH3:DJ6,3,FALSE),0),0))&gt;=100,100,(Backdoors!AI12+IF(W25&gt;=0.45,VLOOKUP(Calculator!E23,tbSkills!DH3:DI6,2,FALSE)+IF(AND(Calculator!B8=TRUE,Backdoors!BI6=TRUE),VLOOKUP(Calculator!E23,tbSkills!DH3:DJ6,3,FALSE),0),0)))/100)),1),1)</f>
        <v>1</v>
      </c>
      <c r="AC25" s="87">
        <f t="shared" si="0"/>
        <v>3</v>
      </c>
      <c r="AD25" s="86">
        <f>IFERROR(IF(VLOOKUP(A25,tbMoveset!A2:B112,2,FALSE)="Sever",Backdoors!AY7/100,IF(VLOOKUP(A25,tbMoveset!A2:B112,2,FALSE)="Blunt",Backdoors!AZ7/100,Backdoors!BA7/100)),"")</f>
        <v>0.65</v>
      </c>
      <c r="AE25" s="49">
        <f>IFERROR(IF(VLOOKUP(tbMoveset!A25,tbMoveset!A2:H112,8,FALSE)="Other",IF(VLOOKUP(tbMoveset!A25,tbMoveset!A2:I112,9,FALSE)="Fire",Backdoors!BB7,IF(VLOOKUP(tbMoveset!A25,tbMoveset!A2:I112,9,FALSE)="Water",Backdoors!BC7,IF(VLOOKUP(tbMoveset!A25,tbMoveset!A2:I112,9,FALSE)="Thunder",Backdoors!BD7,IF(VLOOKUP(tbMoveset!A25,tbMoveset!A2:I112,9,FALSE)="Ice",Backdoors!BE7,IF(VLOOKUP(tbMoveset!A25,tbMoveset!A2:I112,9,FALSE)="Dragon",Backdoors!BF7,Backdoors!BG7)))))/100,Backdoors!BG7/100),"")</f>
        <v>0</v>
      </c>
      <c r="AF25" s="49">
        <f>IFERROR(IF(VLOOKUP(A25,tbMoveset!A2:J112,10,FALSE)=TRUE,IF((Backdoors!AI12+IF(AD25&gt;=0.45,VLOOKUP(Calculator!E23,tbSkills!DH3:DI6,2,FALSE)+IF(AND(Calculator!B8=TRUE,Backdoors!BI7=TRUE),VLOOKUP(Calculator!E23,tbSkills!DH3:DJ6,3,FALSE),0),0))&gt;=0,1+(Backdoors!AL2*(IF((Backdoors!AI12+IF(AD25&gt;=0.45,VLOOKUP(Calculator!E23,tbSkills!DH3:DI6,2,FALSE)+IF(AND(Calculator!B8=TRUE,Backdoors!BI7=TRUE),VLOOKUP(Calculator!E23,tbSkills!DH3:DJ6,3,FALSE),0),0))&gt;=100,100,(Backdoors!AI12+IF(AD25&gt;=0.45,VLOOKUP(Calculator!E23,tbSkills!DH3:DI6,2,FALSE)+IF(AND(Calculator!B8=TRUE,Backdoors!BI7=TRUE),VLOOKUP(Calculator!E23,tbSkills!DH3:DJ6,3,FALSE),0),0)))/100)),(1-(0.25*((-Backdoors!AI12-IF(AD25&gt;=0.45,VLOOKUP(Calculator!E23,tbSkills!DH3:DI6,2,FALSE)+IF(AND(Calculator!B8=TRUE,Backdoors!BI7=TRUE),VLOOKUP(Calculator!E23,tbSkills!DH3:DJ6,3,FALSE),0),0))/100)))),1),"")</f>
        <v>1</v>
      </c>
      <c r="AG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D25)*AF25)*(VLOOKUP(A25,tbMoveset!A2:C112,3,FALSE)/100)*IF(VLOOKUP(A25,tbMoveset!A2:B112,2,FALSE)="Projectile",Backdoors!N10,Backdoors!N9),0),"")</f>
        <v>4</v>
      </c>
      <c r="AH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D25&gt;=0.45,VLOOKUP(Calculator!E23,tbSkills!DH3:DI6,2,FALSE)+IF(AND(Calculator!B8=TRUE,Backdoors!BI7=TRUE),VLOOKUP(Calculator!E23,tbSkills!DH3:DJ6,3,FALSE),0),0))&gt;=100,100,(Backdoors!AI12+IF(AD25&gt;=0.45,VLOOKUP(Calculator!E23,tbSkills!DH3:DI6,2,FALSE)+IF(AND(Calculator!B8=TRUE,Backdoors!BI7=TRUE),VLOOKUP(Calculator!E23,tbSkills!DH3:DJ6,3,FALSE),0),0)))/100)),1))*IF(VLOOKUP(A25,tbMoveset!A2:K112,11,FALSE)=TRUE,Backdoors!AC5,1))*AE25,0),"")</f>
        <v>0</v>
      </c>
      <c r="AI25" s="49">
        <f>VLOOKUP(A25,tbMoveset!A2:G112,7,FALSE)*IFERROR(IF(Backdoors!AI12&gt;=0,1+(IF(Calculator!E40&gt;0,VLOOKUP(Calculator!E40,tbSkills!AI3:AJ5,2,FALSE),Backdoors!AL4)*(IF((Backdoors!AI12+IF(AD25&gt;=0.45,VLOOKUP(Calculator!E23,tbSkills!DH3:DI6,2,FALSE)+IF(AND(Calculator!B8=TRUE,Backdoors!BI7=TRUE),VLOOKUP(Calculator!E23,tbSkills!DH3:DJ6,3,FALSE),0),0))&gt;=100,100,(Backdoors!AI12+IF(AD25&gt;=0.45,VLOOKUP(Calculator!E23,tbSkills!DH3:DI6,2,FALSE)+IF(AND(Calculator!B8=TRUE,Backdoors!BI7=TRUE),VLOOKUP(Calculator!E23,tbSkills!DH3:DJ6,3,FALSE),0),0)))/100)),1),1)</f>
        <v>1</v>
      </c>
      <c r="AJ25" s="87">
        <f t="shared" si="1"/>
        <v>4</v>
      </c>
      <c r="AK25" s="91">
        <f>IFERROR(IF(VLOOKUP(A25,tbMoveset!A2:B112,2,FALSE)="Sever",Backdoors!AY8/100,IF(VLOOKUP(A25,tbMoveset!A2:B112,2,FALSE)="Blunt",Backdoors!AZ8/100,Backdoors!BA8/100)),"")</f>
        <v>0.45</v>
      </c>
      <c r="AL25" s="49">
        <f>IFERROR(IF(VLOOKUP(tbMoveset!A25,tbMoveset!A2:H112,8,FALSE)="Other",IF(VLOOKUP(tbMoveset!A25,tbMoveset!A2:I112,9,FALSE)="Fire",Backdoors!BB8,IF(VLOOKUP(tbMoveset!A25,tbMoveset!A2:I112,9,FALSE)="Water",Backdoors!BC8,IF(VLOOKUP(tbMoveset!A25,tbMoveset!A2:I112,9,FALSE)="Thunder",Backdoors!BD8,IF(VLOOKUP(tbMoveset!A25,tbMoveset!A2:I112,9,FALSE)="Ice",Backdoors!BE8,IF(VLOOKUP(tbMoveset!A25,tbMoveset!A2:I112,9,FALSE)="Dragon",Backdoors!BF8,Backdoors!BG8)))))/100,Backdoors!BG8/100),"")</f>
        <v>0</v>
      </c>
      <c r="AM25" s="49">
        <f>IFERROR(IF(VLOOKUP(A25,tbMoveset!A2:J112,10,FALSE)=TRUE,IF((Backdoors!AI12+IF(AK25&gt;=0.45,VLOOKUP(Calculator!E23,tbSkills!DH3:DI6,2,FALSE)+IF(AND(Calculator!B8=TRUE,Backdoors!BI8=TRUE),VLOOKUP(Calculator!E23,tbSkills!DH3:DJ6,3,FALSE),0),0))&gt;=0,1+(Backdoors!AL2*(IF((Backdoors!AI12+IF(AK25&gt;=0.45,VLOOKUP(Calculator!E23,tbSkills!DH3:DI6,2,FALSE)+IF(AND(Calculator!B8=TRUE,Backdoors!BI8=TRUE),VLOOKUP(Calculator!E23,tbSkills!DH3:DJ6,3,FALSE),0),0))&gt;=100,100,(Backdoors!AI12+IF(AK25&gt;=0.45,VLOOKUP(Calculator!E23,tbSkills!DH3:DI6,2,FALSE)+IF(AND(Calculator!B8=TRUE,Backdoors!BI8=TRUE),VLOOKUP(Calculator!E23,tbSkills!DH3:DJ6,3,FALSE),0),0)))/100)),(1-(0.25*((-Backdoors!AI12-IF(AK25&gt;=0.45,VLOOKUP(Calculator!E23,tbSkills!DH3:DI6,2,FALSE)+IF(AND(Calculator!B8=TRUE,Backdoors!BI8=TRUE),VLOOKUP(Calculator!E23,tbSkills!DH3:DJ6,3,FALSE),0),0))/100)))),1),"")</f>
        <v>1</v>
      </c>
      <c r="AN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K25)*AM25)*(VLOOKUP(A25,tbMoveset!A2:C112,3,FALSE)/100)*IF(VLOOKUP(A25,tbMoveset!A2:B112,2,FALSE)="Projectile",Backdoors!N10,Backdoors!N9),0),"")</f>
        <v>3</v>
      </c>
      <c r="AO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K25&gt;=0.45,VLOOKUP(Calculator!E23,tbSkills!DH3:DI6,2,FALSE)+IF(AND(Calculator!B8=TRUE,Backdoors!BI8=TRUE),VLOOKUP(Calculator!E23,tbSkills!DH3:DJ6,3,FALSE),0),0))&gt;=100,100,(Backdoors!AI12+IF(AK25&gt;=0.45,VLOOKUP(Calculator!E23,tbSkills!DH3:DI6,2,FALSE)+IF(AND(Calculator!B8=TRUE,Backdoors!BI8=TRUE),VLOOKUP(Calculator!E23,tbSkills!DH3:DJ6,3,FALSE),0),0)))/100)),1))*IF(VLOOKUP(A25,tbMoveset!A2:K112,11,FALSE)=TRUE,Backdoors!AC5,1))*AL25,0),"")</f>
        <v>0</v>
      </c>
      <c r="AP25" s="49">
        <f>VLOOKUP(A25,tbMoveset!A2:G112,7,FALSE)*IFERROR(IF(Backdoors!AI12&gt;=0,1+(IF(Calculator!E40&gt;0,VLOOKUP(Calculator!E40,tbSkills!AI3:AJ5,2,FALSE),Backdoors!AL4)*(IF((Backdoors!AI12+IF(AK25&gt;=0.45,VLOOKUP(Calculator!E23,tbSkills!DH3:DI6,2,FALSE)+IF(AND(Calculator!B8=TRUE,Backdoors!BI8=TRUE),VLOOKUP(Calculator!E23,tbSkills!DH3:DJ6,3,FALSE),0),0))&gt;=100,100,(Backdoors!AI12+IF(AK25&gt;=0.45,VLOOKUP(Calculator!E23,tbSkills!DH3:DI6,2,FALSE)+IF(AND(Calculator!B8=TRUE,Backdoors!BI8=TRUE),VLOOKUP(Calculator!E23,tbSkills!DH3:DJ6,3,FALSE),0),0)))/100)),1),1)</f>
        <v>1</v>
      </c>
      <c r="AQ25" s="87">
        <f t="shared" si="2"/>
        <v>3</v>
      </c>
      <c r="AR25" s="86">
        <f>IFERROR(IF(VLOOKUP(A25,tbMoveset!A2:B112,2,FALSE)="Sever",Backdoors!AY9/100,IF(VLOOKUP(A25,tbMoveset!A2:B112,2,FALSE)="Blunt",Backdoors!AZ9/100,Backdoors!BA9/100)),"")</f>
        <v>0.45</v>
      </c>
      <c r="AS25" s="49">
        <f>IFERROR(IF(VLOOKUP(tbMoveset!A25,tbMoveset!A2:H112,8,FALSE)="Other",IF(VLOOKUP(tbMoveset!A25,tbMoveset!A2:I112,9,FALSE)="Fire",Backdoors!BB9,IF(VLOOKUP(tbMoveset!A25,tbMoveset!A2:I112,9,FALSE)="Water",Backdoors!BC9,IF(VLOOKUP(tbMoveset!A25,tbMoveset!A2:I112,9,FALSE)="Thunder",Backdoors!BD9,IF(VLOOKUP(tbMoveset!A25,tbMoveset!A2:I112,9,FALSE)="Ice",Backdoors!BE9,IF(VLOOKUP(tbMoveset!A25,tbMoveset!A2:I112,9,FALSE)="Dragon",Backdoors!BF9,Backdoors!BG9)))))/100,Backdoors!BG9/100),"")</f>
        <v>0</v>
      </c>
      <c r="AT25" s="49">
        <f>IFERROR(IF(VLOOKUP(A25,tbMoveset!A2:J112,10,FALSE)=TRUE,IF((Backdoors!AI12+IF(AR25&gt;=0.45,VLOOKUP(Calculator!E23,tbSkills!DH3:DI6,2,FALSE)+IF(AND(Calculator!B8=TRUE,Backdoors!BI9=TRUE),VLOOKUP(Calculator!E23,tbSkills!DH3:DJ6,3,FALSE),0),0))&gt;=0,1+(Backdoors!AL2*(IF((Backdoors!AI12+IF(AR25&gt;=0.45,VLOOKUP(Calculator!E23,tbSkills!DH3:DI6,2,FALSE)+IF(AND(Calculator!B8=TRUE,Backdoors!BI9=TRUE),VLOOKUP(Calculator!E23,tbSkills!DH3:DJ6,3,FALSE),0),0))&gt;=100,100,(Backdoors!AI12+IF(AR25&gt;=0.45,VLOOKUP(Calculator!E23,tbSkills!DH3:DI6,2,FALSE)+IF(AND(Calculator!B8=TRUE,Backdoors!BI9=TRUE),VLOOKUP(Calculator!E23,tbSkills!DH3:DJ6,3,FALSE),0),0)))/100)),(1-(0.25*((-Backdoors!AI12-IF(AR25&gt;=0.45,VLOOKUP(Calculator!E23,tbSkills!DH3:DI6,2,FALSE)+IF(AND(Calculator!B8=TRUE,Backdoors!BI9=TRUE),VLOOKUP(Calculator!E23,tbSkills!DH3:DJ6,3,FALSE),0),0))/100)))),1),"")</f>
        <v>1</v>
      </c>
      <c r="AU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R25)*AT25)*(VLOOKUP(A25,tbMoveset!A2:C112,3,FALSE)/100)*IF(VLOOKUP(A25,tbMoveset!A2:B112,2,FALSE)="Projectile",Backdoors!N10,Backdoors!N9),0),"")</f>
        <v>3</v>
      </c>
      <c r="AV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R25&gt;=0.45,VLOOKUP(Calculator!E23,tbSkills!DH3:DI6,2,FALSE)+IF(AND(Calculator!B8=TRUE,Backdoors!BI9=TRUE),VLOOKUP(Calculator!E23,tbSkills!DH3:DJ6,3,FALSE),0),0))&gt;=100,100,(Backdoors!AI12+IF(AR25&gt;=0.45,VLOOKUP(Calculator!E23,tbSkills!DH3:DI6,2,FALSE)+IF(AND(Calculator!B8=TRUE,Backdoors!BI9=TRUE),VLOOKUP(Calculator!E23,tbSkills!DH3:DJ6,3,FALSE),0),0)))/100)),1))*IF(VLOOKUP(A25,tbMoveset!A2:K112,11,FALSE)=TRUE,Backdoors!AC5,1))*AS25,0),"")</f>
        <v>0</v>
      </c>
      <c r="AW25" s="49">
        <f>VLOOKUP(A25,tbMoveset!A2:G112,7,FALSE)*IFERROR(IF(Backdoors!AI12&gt;=0,1+(IF(Calculator!E40&gt;0,VLOOKUP(Calculator!E40,tbSkills!AI3:AJ5,2,FALSE),Backdoors!AL4)*(IF((Backdoors!AI12+IF(AR25&gt;=0.45,VLOOKUP(Calculator!E23,tbSkills!DH3:DI6,2,FALSE)+IF(AND(Calculator!B8=TRUE,Backdoors!BI9=TRUE),VLOOKUP(Calculator!E23,tbSkills!DH3:DJ6,3,FALSE),0),0))&gt;=100,100,(Backdoors!AI12+IF(AR25&gt;=0.45,VLOOKUP(Calculator!E23,tbSkills!DH3:DI6,2,FALSE)+IF(AND(Calculator!B8=TRUE,Backdoors!BI9=TRUE),VLOOKUP(Calculator!E23,tbSkills!DH3:DJ6,3,FALSE),0),0)))/100)),1),1)</f>
        <v>1</v>
      </c>
      <c r="AX25" s="87">
        <f t="shared" si="38"/>
        <v>3</v>
      </c>
      <c r="AY25" s="86">
        <f>IFERROR(IF(VLOOKUP(A25,tbMoveset!A2:B112,2,FALSE)="Sever",Backdoors!AY10/100,IF(VLOOKUP(A25,tbMoveset!A2:B112,2,FALSE)="Blunt",Backdoors!AZ10/100,Backdoors!BA10/100)),"")</f>
        <v>0.9</v>
      </c>
      <c r="AZ25" s="49">
        <f>IFERROR(IF(VLOOKUP(tbMoveset!A25,tbMoveset!A2:H112,8,FALSE)="Other",IF(VLOOKUP(tbMoveset!A25,tbMoveset!A2:I112,9,FALSE)="Fire",Backdoors!BB10,IF(VLOOKUP(tbMoveset!A25,tbMoveset!A2:I112,9,FALSE)="Water",Backdoors!BC10,IF(VLOOKUP(tbMoveset!A25,tbMoveset!A2:I112,9,FALSE)="Thunder",Backdoors!BD10,IF(VLOOKUP(tbMoveset!A25,tbMoveset!A2:I112,9,FALSE)="Ice",Backdoors!BE10,IF(VLOOKUP(tbMoveset!A25,tbMoveset!A2:I112,9,FALSE)="Dragon",Backdoors!BF10,Backdoors!BG10)))))/100,Backdoors!BG10/100),"")</f>
        <v>0</v>
      </c>
      <c r="BA25" s="49">
        <f>IFERROR(IF(VLOOKUP(A25,tbMoveset!A2:J112,10,FALSE)=TRUE,IF((Backdoors!AI12+IF(AY25&gt;=0.45,VLOOKUP(Calculator!E23,tbSkills!DH3:DI6,2,FALSE)+IF(AND(Calculator!B8=TRUE,Backdoors!BI10=TRUE),VLOOKUP(Calculator!E23,tbSkills!DH3:DJ6,3,FALSE),0),0))&gt;=0,1+(Backdoors!AL2*(IF((Backdoors!AI12+IF(AY25&gt;=0.45,VLOOKUP(Calculator!E23,tbSkills!DH3:DI6,2,FALSE)+IF(AND(Calculator!B8=TRUE,Backdoors!BI10=TRUE),VLOOKUP(Calculator!E23,tbSkills!DH3:DJ6,3,FALSE),0),0))&gt;=100,100,(Backdoors!AI12+IF(AY25&gt;=0.45,VLOOKUP(Calculator!E23,tbSkills!DH3:DI6,2,FALSE)+IF(AND(Calculator!B8=TRUE,Backdoors!BI10=TRUE),VLOOKUP(Calculator!E23,tbSkills!DH3:DJ6,3,FALSE),0),0)))/100)),(1-(0.25*((-Backdoors!AI12-IF(AY25&gt;=0.45,VLOOKUP(Calculator!E23,tbSkills!DH3:DI6,2,FALSE)+IF(AND(Calculator!B8=TRUE,Backdoors!BI10=TRUE),VLOOKUP(Calculator!E23,tbSkills!DH3:DJ6,3,FALSE),0),0))/100)))),1),"")</f>
        <v>1</v>
      </c>
      <c r="BB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Y25)*BA25)*(VLOOKUP(A25,tbMoveset!A2:C112,3,FALSE)/100)*IF(VLOOKUP(A25,tbMoveset!A2:B112,2,FALSE)="Projectile",Backdoors!N10,Backdoors!N9),0),"")</f>
        <v>5</v>
      </c>
      <c r="BC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Y25&gt;=0.45,VLOOKUP(Calculator!E23,tbSkills!DH3:DI6,2,FALSE)+IF(AND(Calculator!B8=TRUE,Backdoors!BI10=TRUE),VLOOKUP(Calculator!E23,tbSkills!DH3:DJ6,3,FALSE),0),0))&gt;=100,100,(Backdoors!AI12+IF(AY25&gt;=0.45,VLOOKUP(Calculator!E23,tbSkills!DH3:DI6,2,FALSE)+IF(AND(Calculator!B8=TRUE,Backdoors!BI10=TRUE),VLOOKUP(Calculator!E23,tbSkills!DH3:DJ6,3,FALSE),0),0)))/100)),1))*IF(VLOOKUP(A25,tbMoveset!A2:K112,11,FALSE)=TRUE,Backdoors!AC5,1))*AZ25,0),"")</f>
        <v>0</v>
      </c>
      <c r="BD25" s="49">
        <f>VLOOKUP(A25,tbMoveset!A2:G112,7,FALSE)*IFERROR(IF(Backdoors!AI12&gt;=0,1+(IF(Calculator!E40&gt;0,VLOOKUP(Calculator!E40,tbSkills!AI3:AJ5,2,FALSE),Backdoors!AL4)*(IF((Backdoors!AI12+IF(AY25&gt;=0.45,VLOOKUP(Calculator!E23,tbSkills!DH3:DI6,2,FALSE)+IF(AND(Calculator!B8=TRUE,Backdoors!BI10=TRUE),VLOOKUP(Calculator!E23,tbSkills!DH3:DJ6,3,FALSE),0),0))&gt;=100,100,(Backdoors!AI12+IF(AY25&gt;=0.45,VLOOKUP(Calculator!E23,tbSkills!DH3:DI6,2,FALSE)+IF(AND(Calculator!B8=TRUE,Backdoors!BI10=TRUE),VLOOKUP(Calculator!E23,tbSkills!DH3:DJ6,3,FALSE),0),0)))/100)),1),1)</f>
        <v>1</v>
      </c>
      <c r="BE25" s="87">
        <f t="shared" si="3"/>
        <v>5</v>
      </c>
      <c r="BF25" s="86" t="str">
        <f>IFERROR(IF(VLOOKUP(A25,tbMoveset!A2:B112,2,FALSE)="Sever",Backdoors!AY11/100,IF(VLOOKUP(A25,tbMoveset!A2:B112,2,FALSE)="Blunt",Backdoors!AZ11/100,Backdoors!BA11/100)),"")</f>
        <v/>
      </c>
      <c r="BG25" s="49">
        <f>IFERROR(IF(VLOOKUP(tbMoveset!A25,tbMoveset!A2:H112,8,FALSE)="Other",IF(VLOOKUP(tbMoveset!A25,tbMoveset!A2:I112,9,FALSE)="Fire",Backdoors!BB11,IF(VLOOKUP(tbMoveset!A25,tbMoveset!A2:I112,9,FALSE)="Water",Backdoors!BC11,IF(VLOOKUP(tbMoveset!A25,tbMoveset!A2:I112,9,FALSE)="Thunder",Backdoors!BD11,IF(VLOOKUP(tbMoveset!A25,tbMoveset!A2:I112,9,FALSE)="Ice",Backdoors!BE11,IF(VLOOKUP(tbMoveset!A25,tbMoveset!A2:I112,9,FALSE)="Dragon",Backdoors!BF11,Backdoors!BG11)))))/100,Backdoors!BG11/100),"")</f>
        <v>0</v>
      </c>
      <c r="BH25" s="49">
        <f>IFERROR(IF(VLOOKUP(A25,tbMoveset!A2:J112,10,FALSE)=TRUE,IF((Backdoors!AI12+IF(BF25&gt;=0.45,VLOOKUP(Calculator!E23,tbSkills!DH3:DI6,2,FALSE)+IF(AND(Calculator!B8=TRUE,Backdoors!BI11=TRUE),VLOOKUP(Calculator!E23,tbSkills!DH3:DJ6,3,FALSE),0),0))&gt;=0,1+(Backdoors!AL2*(IF((Backdoors!AI12+IF(BF25&gt;=0.45,VLOOKUP(Calculator!E23,tbSkills!DH3:DI6,2,FALSE)+IF(AND(Calculator!B8=TRUE,Backdoors!BI11=TRUE),VLOOKUP(Calculator!E23,tbSkills!DH3:DJ6,3,FALSE),0),0))&gt;=100,100,(Backdoors!AI12+IF(BF25&gt;=0.45,VLOOKUP(Calculator!E23,tbSkills!DH3:DI6,2,FALSE)+IF(AND(Calculator!B8=TRUE,Backdoors!BI11=TRUE),VLOOKUP(Calculator!E23,tbSkills!DH3:DJ6,3,FALSE),0),0)))/100)),(1-(0.25*((-Backdoors!AI12-IF(BF25&gt;=0.45,VLOOKUP(Calculator!E23,tbSkills!DH3:DI6,2,FALSE)+IF(AND(Calculator!B8=TRUE,Backdoors!BI11=TRUE),VLOOKUP(Calculator!E23,tbSkills!DH3:DJ6,3,FALSE),0),0))/100)))),1),"")</f>
        <v>1</v>
      </c>
      <c r="BI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F25)*BH25)*(VLOOKUP(A25,tbMoveset!A2:C112,3,FALSE)/100)*IF(VLOOKUP(A25,tbMoveset!A2:B112,2,FALSE)="Projectile",Backdoors!N10,Backdoors!N9),0),"")</f>
        <v/>
      </c>
      <c r="BJ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F25&gt;=0.45,VLOOKUP(Calculator!E23,tbSkills!DH3:DI6,2,FALSE)+IF(AND(Calculator!B8=TRUE,Backdoors!BI11=TRUE),VLOOKUP(Calculator!E23,tbSkills!DH3:DJ6,3,FALSE),0),0))&gt;=100,100,(Backdoors!AI12+IF(BF25&gt;=0.45,VLOOKUP(Calculator!E23,tbSkills!DH3:DI6,2,FALSE)+IF(AND(Calculator!B8=TRUE,Backdoors!BI11=TRUE),VLOOKUP(Calculator!E23,tbSkills!DH3:DJ6,3,FALSE),0),0)))/100)),1))*IF(VLOOKUP(A25,tbMoveset!A2:K112,11,FALSE)=TRUE,Backdoors!AC5,1))*BG25,0),"")</f>
        <v>0</v>
      </c>
      <c r="BK25" s="49">
        <f>VLOOKUP(A25,tbMoveset!A2:G112,7,FALSE)*IFERROR(IF(Backdoors!AI12&gt;=0,1+(IF(Calculator!E40&gt;0,VLOOKUP(Calculator!E40,tbSkills!AI3:AJ5,2,FALSE),Backdoors!AL4)*(IF((Backdoors!AI12+IF(BF25&gt;=0.45,VLOOKUP(Calculator!E23,tbSkills!DH3:DI6,2,FALSE)+IF(AND(Calculator!B8=TRUE,Backdoors!BI11=TRUE),VLOOKUP(Calculator!E23,tbSkills!DH3:DJ6,3,FALSE),0),0))&gt;=100,100,(Backdoors!AI12+IF(BF25&gt;=0.45,VLOOKUP(Calculator!E23,tbSkills!DH3:DI6,2,FALSE)+IF(AND(Calculator!B8=TRUE,Backdoors!BI11=TRUE),VLOOKUP(Calculator!E23,tbSkills!DH3:DJ6,3,FALSE),0),0)))/100)),1),1)</f>
        <v>1</v>
      </c>
      <c r="BL25" s="87">
        <f t="shared" si="4"/>
        <v>0</v>
      </c>
      <c r="BM25" s="86" t="str">
        <f>IFERROR(IF(VLOOKUP(A25,tbMoveset!A2:B112,2,FALSE)="Sever",Backdoors!AY12/100,IF(VLOOKUP(A25,tbMoveset!A2:B112,2,FALSE)="Blunt",Backdoors!AZ12/100,Backdoors!BA12/100)),"")</f>
        <v/>
      </c>
      <c r="BN25" s="49">
        <f>IFERROR(IF(VLOOKUP(tbMoveset!A25,tbMoveset!A2:H112,8,FALSE)="Other",IF(VLOOKUP(tbMoveset!A25,tbMoveset!A2:I112,9,FALSE)="Fire",Backdoors!BB12,IF(VLOOKUP(tbMoveset!A25,tbMoveset!A2:I112,9,FALSE)="Water",Backdoors!BC12,IF(VLOOKUP(tbMoveset!A25,tbMoveset!A2:I112,9,FALSE)="Thunder",Backdoors!BD12,IF(VLOOKUP(tbMoveset!A25,tbMoveset!A2:I112,9,FALSE)="Ice",Backdoors!BE12,IF(VLOOKUP(tbMoveset!A25,tbMoveset!A2:I112,9,FALSE)="Dragon",Backdoors!BF12,Backdoors!BG12)))))/100,Backdoors!BG12/100),"")</f>
        <v>0</v>
      </c>
      <c r="BO25" s="49">
        <f>IFERROR(IF(VLOOKUP(A25,tbMoveset!A2:J112,10,FALSE)=TRUE,IF((Backdoors!AI12+IF(BM25&gt;=0.45,VLOOKUP(Calculator!E23,tbSkills!DH3:DI6,2,FALSE)+IF(AND(Calculator!B8=TRUE,Backdoors!BI12=TRUE),VLOOKUP(Calculator!E23,tbSkills!DH3:DJ6,3,FALSE),0),0))&gt;=0,1+(Backdoors!AL2*(IF((Backdoors!AI12+IF(BM25&gt;=0.45,VLOOKUP(Calculator!E23,tbSkills!DH3:DI6,2,FALSE)+IF(AND(Calculator!B8=TRUE,Backdoors!BI12=TRUE),VLOOKUP(Calculator!E23,tbSkills!DH3:DJ6,3,FALSE),0),0))&gt;=100,100,(Backdoors!AI12+IF(BM25&gt;=0.45,VLOOKUP(Calculator!E23,tbSkills!DH3:DI6,2,FALSE)+IF(AND(Calculator!B8=TRUE,Backdoors!BI12=TRUE),VLOOKUP(Calculator!E23,tbSkills!DH3:DJ6,3,FALSE),0),0)))/100)),(1-(0.25*((-Backdoors!AI12-IF(BM25&gt;=0.45,VLOOKUP(Calculator!E23,tbSkills!DH3:DI6,2,FALSE)+IF(AND(Calculator!B8=TRUE,Backdoors!BI12=TRUE),VLOOKUP(Calculator!E23,tbSkills!DH3:DJ6,3,FALSE),0),0))/100)))),1),"")</f>
        <v>1</v>
      </c>
      <c r="BP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M25)*BO25)*(VLOOKUP(A25,tbMoveset!A2:C112,3,FALSE)/100)*IF(VLOOKUP(A25,tbMoveset!A2:B112,2,FALSE)="Projectile",Backdoors!N10,Backdoors!N9),0),"")</f>
        <v/>
      </c>
      <c r="BQ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M25&gt;=0.45,VLOOKUP(Calculator!E23,tbSkills!DH3:DI6,2,FALSE)+IF(AND(Calculator!B8=TRUE,Backdoors!BI12=TRUE),VLOOKUP(Calculator!E23,tbSkills!DH3:DJ6,3,FALSE),0),0))&gt;=100,100,(Backdoors!AI12+IF(BM25&gt;=0.45,VLOOKUP(Calculator!E23,tbSkills!DH3:DI6,2,FALSE)+IF(AND(Calculator!B8=TRUE,Backdoors!BI12=TRUE),VLOOKUP(Calculator!E23,tbSkills!DH3:DJ6,3,FALSE),0),0)))/100)),1))*IF(VLOOKUP(A25,tbMoveset!A2:K112,11,FALSE)=TRUE,Backdoors!AC5,1))*BN25,0),"")</f>
        <v>0</v>
      </c>
      <c r="BR25" s="49">
        <f>VLOOKUP(A25,tbMoveset!A2:G112,7,FALSE)*IFERROR(IF(Backdoors!AI12&gt;=0,1+(IF(Calculator!E40&gt;0,VLOOKUP(Calculator!E40,tbSkills!AI3:AJ5,2,FALSE),Backdoors!AL4)*(IF((Backdoors!AI12+IF(BM25&gt;=0.45,VLOOKUP(Calculator!E23,tbSkills!DH3:DI6,2,FALSE)+IF(AND(Calculator!B8=TRUE,Backdoors!BI12=TRUE),VLOOKUP(Calculator!E23,tbSkills!DH3:DJ6,3,FALSE),0),0))&gt;=100,100,(Backdoors!AI12+IF(BM25&gt;=0.45,VLOOKUP(Calculator!E23,tbSkills!DH3:DI6,2,FALSE)+IF(AND(Calculator!B8=TRUE,Backdoors!BI12=TRUE),VLOOKUP(Calculator!E23,tbSkills!DH3:DJ6,3,FALSE),0),0)))/100)),1),1)</f>
        <v>1</v>
      </c>
      <c r="BS25" s="87">
        <f t="shared" si="39"/>
        <v>0</v>
      </c>
      <c r="BT25" s="86" t="str">
        <f>IFERROR(IF(VLOOKUP(A25,tbMoveset!A2:B112,2,FALSE)="Sever",Backdoors!AY13/100,IF(VLOOKUP(A25,tbMoveset!A2:B112,2,FALSE)="Blunt",Backdoors!AZ13/100,Backdoors!BA13/100)),"")</f>
        <v/>
      </c>
      <c r="BU25" s="49">
        <f>IFERROR(IF(VLOOKUP(tbMoveset!A25,tbMoveset!A2:H112,8,FALSE)="Other",IF(VLOOKUP(tbMoveset!A25,tbMoveset!A2:I112,9,FALSE)="Fire",Backdoors!BB13,IF(VLOOKUP(tbMoveset!A25,tbMoveset!A2:I112,9,FALSE)="Water",Backdoors!BC13,IF(VLOOKUP(tbMoveset!A25,tbMoveset!A2:I112,9,FALSE)="Thunder",Backdoors!BD13,IF(VLOOKUP(tbMoveset!A25,tbMoveset!A2:I112,9,FALSE)="Ice",Backdoors!BE13,IF(VLOOKUP(tbMoveset!A25,tbMoveset!A2:I112,9,FALSE)="Dragon",Backdoors!BF13,Backdoors!BG13)))))/100,Backdoors!BG13/100),"")</f>
        <v>0</v>
      </c>
      <c r="BV25" s="49">
        <f>IFERROR(IF(VLOOKUP(A25,tbMoveset!A2:J112,10,FALSE)=TRUE,IF((Backdoors!AI12+IF(BT25&gt;=0.45,VLOOKUP(Calculator!E23,tbSkills!DH3:DI6,2,FALSE)+IF(AND(Calculator!B8=TRUE,Backdoors!BI13=TRUE),VLOOKUP(Calculator!E23,tbSkills!DH3:DJ6,3,FALSE),0),0))&gt;=0,1+(Backdoors!AL2*(IF((Backdoors!AI12+IF(BT25&gt;=0.45,VLOOKUP(Calculator!E23,tbSkills!DH3:DI6,2,FALSE)+IF(AND(Calculator!B8=TRUE,Backdoors!BI13=TRUE),VLOOKUP(Calculator!E23,tbSkills!DH3:DJ6,3,FALSE),0),0))&gt;=100,100,(Backdoors!AI12+IF(BT25&gt;=0.45,VLOOKUP(Calculator!E23,tbSkills!DH3:DI6,2,FALSE)+IF(AND(Calculator!B8=TRUE,Backdoors!BI13=TRUE),VLOOKUP(Calculator!E23,tbSkills!DH3:DJ6,3,FALSE),0),0)))/100)),(1-(0.25*((-Backdoors!AI12-IF(BT25&gt;=0.45,VLOOKUP(Calculator!E23,tbSkills!DH3:DI6,2,FALSE)+IF(AND(Calculator!B8=TRUE,Backdoors!BI13=TRUE),VLOOKUP(Calculator!E23,tbSkills!DH3:DJ6,3,FALSE),0),0))/100)))),1),"")</f>
        <v>1</v>
      </c>
      <c r="BW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T25)*BV25)*(VLOOKUP(A25,tbMoveset!A2:C112,3,FALSE)/100)*IF(VLOOKUP(A25,tbMoveset!A2:B112,2,FALSE)="Projectile",Backdoors!N10,Backdoors!N9),0),"")</f>
        <v/>
      </c>
      <c r="BX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T25&gt;=0.45,VLOOKUP(Calculator!E23,tbSkills!DH3:DI6,2,FALSE)+IF(AND(Calculator!B8=TRUE,Backdoors!BI13=TRUE),VLOOKUP(Calculator!E23,tbSkills!DH3:DJ6,3,FALSE),0),0))&gt;=100,100,(Backdoors!AI12+IF(BT25&gt;=0.45,VLOOKUP(Calculator!E23,tbSkills!DH3:DI6,2,FALSE)+IF(AND(Calculator!B8=TRUE,Backdoors!BI13=TRUE),VLOOKUP(Calculator!E23,tbSkills!DH3:DJ6,3,FALSE),0),0)))/100)),1))*IF(VLOOKUP(A25,tbMoveset!A2:K112,11,FALSE)=TRUE,Backdoors!AC5,1))*BU25,0),"")</f>
        <v>0</v>
      </c>
      <c r="BY25" s="49">
        <f>VLOOKUP(A25,tbMoveset!A2:G112,7,FALSE)*IFERROR(IF(Backdoors!AI12&gt;=0,1+(IF(Calculator!E40&gt;0,VLOOKUP(Calculator!E40,tbSkills!AI3:AJ5,2,FALSE),Backdoors!AL4)*(IF((Backdoors!AI12+IF(BT25&gt;=0.45,VLOOKUP(Calculator!E23,tbSkills!DH3:DI6,2,FALSE)+IF(AND(Calculator!B8=TRUE,Backdoors!BI13=TRUE),VLOOKUP(Calculator!E23,tbSkills!DH3:DJ6,3,FALSE),0),0))&gt;=100,100,(Backdoors!AI12+IF(BT25&gt;=0.45,VLOOKUP(Calculator!E23,tbSkills!DH3:DI6,2,FALSE)+IF(AND(Calculator!B8=TRUE,Backdoors!BI13=TRUE),VLOOKUP(Calculator!E23,tbSkills!DH3:DJ6,3,FALSE),0),0)))/100)),1),1)</f>
        <v>1</v>
      </c>
      <c r="BZ25" s="87">
        <f t="shared" si="5"/>
        <v>0</v>
      </c>
      <c r="CA25" s="86" t="str">
        <f>IFERROR(IF(VLOOKUP(A25,tbMoveset!A2:B112,2,FALSE)="Sever",Backdoors!AY14/100,IF(VLOOKUP(A25,tbMoveset!A2:B112,2,FALSE)="Blunt",Backdoors!AZ14/100,Backdoors!BA14/100)),"")</f>
        <v/>
      </c>
      <c r="CB25" s="49">
        <f>IFERROR(IF(VLOOKUP(tbMoveset!A25,tbMoveset!A2:H112,8,FALSE)="Other",IF(VLOOKUP(tbMoveset!A25,tbMoveset!A2:I112,9,FALSE)="Fire",Backdoors!BB14,IF(VLOOKUP(tbMoveset!A25,tbMoveset!A2:I112,9,FALSE)="Water",Backdoors!BC14,IF(VLOOKUP(tbMoveset!A25,tbMoveset!A2:I112,9,FALSE)="Thunder",Backdoors!BD14,IF(VLOOKUP(tbMoveset!A25,tbMoveset!A2:I112,9,FALSE)="Ice",Backdoors!BE14,IF(VLOOKUP(tbMoveset!A25,tbMoveset!A2:I112,9,FALSE)="Dragon",Backdoors!BF14,Backdoors!BG14)))))/100,Backdoors!BG14/100),"")</f>
        <v>0</v>
      </c>
      <c r="CC25" s="49">
        <f>IFERROR(IF(VLOOKUP(A25,tbMoveset!A2:J112,10,FALSE)=TRUE,IF((Backdoors!AI12+IF(CA25&gt;=0.45,VLOOKUP(Calculator!E23,tbSkills!DH3:DI6,2,FALSE)+IF(AND(Calculator!B8=TRUE,Backdoors!BI14=TRUE),VLOOKUP(Calculator!E23,tbSkills!DH3:DJ6,3,FALSE),0),0))&gt;=0,1+(Backdoors!AL2*(IF((Backdoors!AI12+IF(CA25&gt;=0.45,VLOOKUP(Calculator!E23,tbSkills!DH3:DI6,2,FALSE)+IF(AND(Calculator!B8=TRUE,Backdoors!BI14=TRUE),VLOOKUP(Calculator!E23,tbSkills!DH3:DJ6,3,FALSE),0),0))&gt;=100,100,(Backdoors!AI12+IF(CA25&gt;=0.45,VLOOKUP(Calculator!E23,tbSkills!DH3:DI6,2,FALSE)+IF(AND(Calculator!B8=TRUE,Backdoors!BI14=TRUE),VLOOKUP(Calculator!E23,tbSkills!DH3:DJ6,3,FALSE),0),0)))/100)),(1-(0.25*((-Backdoors!AI12-IF(CA25&gt;=0.45,VLOOKUP(Calculator!E23,tbSkills!DH3:DI6,2,FALSE)+IF(AND(Calculator!B8=TRUE,Backdoors!BI14=TRUE),VLOOKUP(Calculator!E23,tbSkills!DH3:DJ6,3,FALSE),0),0))/100)))),1),"")</f>
        <v>1</v>
      </c>
      <c r="CD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A25)*CC25)*(VLOOKUP(A25,tbMoveset!A2:C112,3,FALSE)/100)*IF(VLOOKUP(A25,tbMoveset!A2:B112,2,FALSE)="Projectile",Backdoors!N10,Backdoors!N9),0),"")</f>
        <v/>
      </c>
      <c r="CE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A25&gt;=0.45,VLOOKUP(Calculator!E23,tbSkills!DH3:DI6,2,FALSE)+IF(AND(Calculator!B8=TRUE,Backdoors!BI14=TRUE),VLOOKUP(Calculator!E23,tbSkills!DH3:DJ6,3,FALSE),0),0))&gt;=100,100,(Backdoors!AI12+IF(CA25&gt;=0.45,VLOOKUP(Calculator!E23,tbSkills!DH3:DI6,2,FALSE)+IF(AND(Calculator!B8=TRUE,Backdoors!BI14=TRUE),VLOOKUP(Calculator!E23,tbSkills!DH3:DJ6,3,FALSE),0),0)))/100)),1))*IF(VLOOKUP(A25,tbMoveset!A2:K112,11,FALSE)=TRUE,Backdoors!AC5,1))*CB25,0),"")</f>
        <v>0</v>
      </c>
      <c r="CF25" s="49">
        <f>VLOOKUP(A25,tbMoveset!A2:G112,7,FALSE)*IFERROR(IF(Backdoors!AI12&gt;=0,1+(IF(Calculator!E40&gt;0,VLOOKUP(Calculator!E40,tbSkills!AI3:AJ5,2,FALSE),Backdoors!AL4)*(IF((Backdoors!AI12+IF(CA25&gt;=0.45,VLOOKUP(Calculator!E23,tbSkills!DH3:DI6,2,FALSE)+IF(AND(Calculator!B8=TRUE,Backdoors!BI14=TRUE),VLOOKUP(Calculator!E23,tbSkills!DH3:DJ6,3,FALSE),0),0))&gt;=100,100,(Backdoors!AI12+IF(CA25&gt;=0.45,VLOOKUP(Calculator!E23,tbSkills!DH3:DI6,2,FALSE)+IF(AND(Calculator!B8=TRUE,Backdoors!BI14=TRUE),VLOOKUP(Calculator!E23,tbSkills!DH3:DJ6,3,FALSE),0),0)))/100)),1),1)</f>
        <v>1</v>
      </c>
      <c r="CG25" s="87">
        <f t="shared" si="6"/>
        <v>0</v>
      </c>
      <c r="CH25" s="86" t="str">
        <f>IFERROR(IF(VLOOKUP(A25,tbMoveset!A2:B112,2,FALSE)="Sever",Backdoors!AY15/100,IF(VLOOKUP(A25,tbMoveset!A2:B112,2,FALSE)="Blunt",Backdoors!AZ15/100,Backdoors!BA15/100)),"")</f>
        <v/>
      </c>
      <c r="CI25" s="49">
        <f>IFERROR(IF(VLOOKUP(tbMoveset!A25,tbMoveset!A2:H112,8,FALSE)="Other",IF(VLOOKUP(tbMoveset!A25,tbMoveset!A2:I112,9,FALSE)="Fire",Backdoors!BB15,IF(VLOOKUP(tbMoveset!A25,tbMoveset!A2:I112,9,FALSE)="Water",Backdoors!BC15,IF(VLOOKUP(tbMoveset!A25,tbMoveset!A2:I112,9,FALSE)="Thunder",Backdoors!BD15,IF(VLOOKUP(tbMoveset!A25,tbMoveset!A2:I112,9,FALSE)="Ice",Backdoors!BE15,IF(VLOOKUP(tbMoveset!A25,tbMoveset!A2:I112,9,FALSE)="Dragon",Backdoors!BF15,Backdoors!BG15)))))/100,Backdoors!BG15/100),"")</f>
        <v>0</v>
      </c>
      <c r="CJ25" s="49">
        <f>IFERROR(IF(VLOOKUP(A25,tbMoveset!A2:J112,10,FALSE)=TRUE,IF((Backdoors!AI12+IF(CH25&gt;=0.45,VLOOKUP(Calculator!E23,tbSkills!DH3:DI6,2,FALSE)+IF(AND(Calculator!B8=TRUE,Backdoors!BI15=TRUE),VLOOKUP(Calculator!E23,tbSkills!DH3:DJ6,3,FALSE),0),0))&gt;=0,1+(Backdoors!AL2*(IF((Backdoors!AI12+IF(CH25&gt;=0.45,VLOOKUP(Calculator!E23,tbSkills!DH3:DI6,2,FALSE)+IF(AND(Calculator!B8=TRUE,Backdoors!BI15=TRUE),VLOOKUP(Calculator!E23,tbSkills!DH3:DJ6,3,FALSE),0),0))&gt;=100,100,(Backdoors!AI12+IF(CH25&gt;=0.45,VLOOKUP(Calculator!E23,tbSkills!DH3:DI6,2,FALSE)+IF(AND(Calculator!B8=TRUE,Backdoors!BI15=TRUE),VLOOKUP(Calculator!E23,tbSkills!DH3:DJ6,3,FALSE),0),0)))/100)),(1-(0.25*((-Backdoors!AI12-IF(CH25&gt;=0.45,VLOOKUP(Calculator!E23,tbSkills!DH3:DI6,2,FALSE)+IF(AND(Calculator!B8=TRUE,Backdoors!BI15=TRUE),VLOOKUP(Calculator!E23,tbSkills!DH3:DJ6,3,FALSE),0),0))/100)))),1),"")</f>
        <v>1</v>
      </c>
      <c r="CK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H25)*CJ25)*(VLOOKUP(A25,tbMoveset!A2:C112,3,FALSE)/100)*IF(VLOOKUP(A25,tbMoveset!A2:B112,2,FALSE)="Projectile",Backdoors!N10,Backdoors!N9),0),"")</f>
        <v/>
      </c>
      <c r="CL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H25&gt;=0.45,VLOOKUP(Calculator!E23,tbSkills!DH3:DI6,2,FALSE)+IF(AND(Calculator!B8=TRUE,Backdoors!BI15=TRUE),VLOOKUP(Calculator!E23,tbSkills!DH3:DJ6,3,FALSE),0),0))&gt;=100,100,(Backdoors!AI12+IF(CH25&gt;=0.45,VLOOKUP(Calculator!E23,tbSkills!DH3:DI6,2,FALSE)+IF(AND(Calculator!B8=TRUE,Backdoors!BI15=TRUE),VLOOKUP(Calculator!E23,tbSkills!DH3:DJ6,3,FALSE),0),0)))/100)),1))*IF(VLOOKUP(A25,tbMoveset!A2:K112,11,FALSE)=TRUE,Backdoors!AC5,1))*CI25,0),"")</f>
        <v>0</v>
      </c>
      <c r="CM25" s="49">
        <f>VLOOKUP(A25,tbMoveset!A2:G112,7,FALSE)*IFERROR(IF(Backdoors!AI12&gt;=0,1+(IF(Calculator!E40&gt;0,VLOOKUP(Calculator!E40,tbSkills!AI3:AJ5,2,FALSE),Backdoors!AL4)*(IF((Backdoors!AI12+IF(CH25&gt;=0.45,VLOOKUP(Calculator!E23,tbSkills!DH3:DI6,2,FALSE)+IF(AND(Calculator!B8=TRUE,Backdoors!BI15=TRUE),VLOOKUP(Calculator!E23,tbSkills!DH3:DJ6,3,FALSE),0),0))&gt;=100,100,(Backdoors!AI12+IF(CH25&gt;=0.45,VLOOKUP(Calculator!E23,tbSkills!DH3:DI6,2,FALSE)+IF(AND(Calculator!B8=TRUE,Backdoors!BI15=TRUE),VLOOKUP(Calculator!E23,tbSkills!DH3:DJ6,3,FALSE),0),0)))/100)),1),1)</f>
        <v>1</v>
      </c>
      <c r="CN25" s="87">
        <f t="shared" si="7"/>
        <v>0</v>
      </c>
      <c r="CO25" s="86" t="str">
        <f>IFERROR(IF(VLOOKUP(A25,tbMoveset!A2:B112,2,FALSE)="Sever",Backdoors!AY16/100,IF(VLOOKUP(A25,tbMoveset!A2:B112,2,FALSE)="Blunt",Backdoors!AZ16/100,Backdoors!BA16/100)),"")</f>
        <v/>
      </c>
      <c r="CP25" s="49">
        <f>IFERROR(IF(VLOOKUP(tbMoveset!A25,tbMoveset!A2:H112,8,FALSE)="Other",IF(VLOOKUP(tbMoveset!A25,tbMoveset!A2:I112,9,FALSE)="Fire",Backdoors!BB16,IF(VLOOKUP(tbMoveset!A25,tbMoveset!A2:I112,9,FALSE)="Water",Backdoors!BC16,IF(VLOOKUP(tbMoveset!A25,tbMoveset!A2:I112,9,FALSE)="Thunder",Backdoors!BD16,IF(VLOOKUP(tbMoveset!A25,tbMoveset!A2:I112,9,FALSE)="Ice",Backdoors!BE16,IF(VLOOKUP(tbMoveset!A25,tbMoveset!A2:I112,9,FALSE)="Dragon",Backdoors!BF16,Backdoors!BG16)))))/100,Backdoors!BG16/100),"")</f>
        <v>0</v>
      </c>
      <c r="CQ25" s="49">
        <f>IFERROR(IF(VLOOKUP(A25,tbMoveset!A2:J112,10,FALSE)=TRUE,IF((Backdoors!AI12+IF(CO25&gt;=0.45,VLOOKUP(Calculator!E23,tbSkills!DH3:DI6,2,FALSE)+IF(AND(Calculator!B8=TRUE,Backdoors!BI16=TRUE),VLOOKUP(Calculator!E23,tbSkills!DH3:DJ6,3,FALSE),0),0))&gt;=0,1+(Backdoors!AL2*(IF((Backdoors!AI12+IF(CO25&gt;=0.45,VLOOKUP(Calculator!E23,tbSkills!DH3:DI6,2,FALSE)+IF(AND(Calculator!B8=TRUE,Backdoors!BI16=TRUE),VLOOKUP(Calculator!E23,tbSkills!DH3:DJ6,3,FALSE),0),0))&gt;=100,100,(Backdoors!AI12+IF(CO25&gt;=0.45,VLOOKUP(Calculator!E23,tbSkills!DH3:DI6,2,FALSE)+IF(AND(Calculator!B8=TRUE,Backdoors!BI16=TRUE),VLOOKUP(Calculator!E23,tbSkills!DH3:DJ6,3,FALSE),0),0)))/100)),(1-(0.25*((-Backdoors!AI12-IF(CO25&gt;=0.45,VLOOKUP(Calculator!E23,tbSkills!DH3:DI6,2,FALSE)+IF(AND(Calculator!B8=TRUE,Backdoors!BI16=TRUE),VLOOKUP(Calculator!E23,tbSkills!DH3:DJ6,3,FALSE),0),0))/100)))),1),"")</f>
        <v>1</v>
      </c>
      <c r="CR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O25)*CQ25)*(VLOOKUP(A25,tbMoveset!A2:C112,3,FALSE)/100)*IF(VLOOKUP(A25,tbMoveset!A2:B112,2,FALSE)="Projectile",Backdoors!N10,Backdoors!N9),0),"")</f>
        <v/>
      </c>
      <c r="CS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O25&gt;=0.45,VLOOKUP(Calculator!E23,tbSkills!DH3:DI6,2,FALSE)+IF(AND(Calculator!B8=TRUE,Backdoors!BI16=TRUE),VLOOKUP(Calculator!E23,tbSkills!DH3:DJ6,3,FALSE),0),0))&gt;=100,100,(Backdoors!AI12+IF(CO25&gt;=0.45,VLOOKUP(Calculator!E23,tbSkills!DH3:DI6,2,FALSE)+IF(AND(Calculator!B8=TRUE,Backdoors!BI16=TRUE),VLOOKUP(Calculator!E23,tbSkills!DH3:DJ6,3,FALSE),0),0)))/100)),1))*IF(VLOOKUP(A25,tbMoveset!A2:K112,11,FALSE)=TRUE,Backdoors!AC5,1))*CP25,0),"")</f>
        <v>0</v>
      </c>
      <c r="CT25" s="49">
        <f>VLOOKUP(A25,tbMoveset!A2:G112,7,FALSE)*IFERROR(IF(Backdoors!AI12&gt;=0,1+(IF(Calculator!E40&gt;0,VLOOKUP(Calculator!E40,tbSkills!AI3:AJ5,2,FALSE),Backdoors!AL4)*(IF((Backdoors!AI12+IF(CO25&gt;=0.45,VLOOKUP(Calculator!E23,tbSkills!DH3:DI6,2,FALSE)+IF(AND(Calculator!B8=TRUE,Backdoors!BI16=TRUE),VLOOKUP(Calculator!E23,tbSkills!DH3:DJ6,3,FALSE),0),0))&gt;=100,100,(Backdoors!AI12+IF(CO25&gt;=0.45,VLOOKUP(Calculator!E23,tbSkills!DH3:DI6,2,FALSE)+IF(AND(Calculator!B8=TRUE,Backdoors!BI16=TRUE),VLOOKUP(Calculator!E23,tbSkills!DH3:DJ6,3,FALSE),0),0)))/100)),1),1)</f>
        <v>1</v>
      </c>
      <c r="CU25" s="87">
        <f t="shared" si="40"/>
        <v>0</v>
      </c>
      <c r="CV25" s="86" t="str">
        <f>IFERROR(IF(VLOOKUP(A25,tbMoveset!A2:B112,2,FALSE)="Sever",Backdoors!AY17/100,IF(VLOOKUP(A25,tbMoveset!A2:B112,2,FALSE)="Blunt",Backdoors!AZ17/100,Backdoors!BA17/100)),"")</f>
        <v/>
      </c>
      <c r="CW25" s="49">
        <f>IFERROR(IF(VLOOKUP(tbMoveset!A25,tbMoveset!A2:H112,8,FALSE)="Other",IF(VLOOKUP(tbMoveset!A25,tbMoveset!A2:I112,9,FALSE)="Fire",Backdoors!BB17,IF(VLOOKUP(tbMoveset!A25,tbMoveset!A2:I112,9,FALSE)="Water",Backdoors!BC17,IF(VLOOKUP(tbMoveset!A25,tbMoveset!A2:I112,9,FALSE)="Thunder",Backdoors!BD17,IF(VLOOKUP(tbMoveset!A25,tbMoveset!A2:I112,9,FALSE)="Ice",Backdoors!BE17,IF(VLOOKUP(tbMoveset!A25,tbMoveset!A2:I112,9,FALSE)="Dragon",Backdoors!BF17,Backdoors!BG17)))))/100,Backdoors!BG17/100),"")</f>
        <v>0</v>
      </c>
      <c r="CX25" s="49">
        <f>IFERROR(IF(VLOOKUP(A25,tbMoveset!A2:J112,10,FALSE)=TRUE,IF((Backdoors!AI12+IF(CV25&gt;=0.45,VLOOKUP(Calculator!E23,tbSkills!DH3:DI6,2,FALSE)+IF(AND(Calculator!B8=TRUE,Backdoors!BI17=TRUE),VLOOKUP(Calculator!E23,tbSkills!DH3:DJ6,3,FALSE),0),0))&gt;=0,1+(Backdoors!AL2*(IF((Backdoors!AI12+IF(CV25&gt;=0.45,VLOOKUP(Calculator!E23,tbSkills!DH3:DI6,2,FALSE)+IF(AND(Calculator!B8=TRUE,Backdoors!BI17=TRUE),VLOOKUP(Calculator!E23,tbSkills!DH3:DJ6,3,FALSE),0),0))&gt;=100,100,(Backdoors!AI12+IF(CV25&gt;=0.45,VLOOKUP(Calculator!E23,tbSkills!DH3:DI6,2,FALSE)+IF(AND(Calculator!B8=TRUE,Backdoors!BI17=TRUE),VLOOKUP(Calculator!E23,tbSkills!DH3:DJ6,3,FALSE),0),0)))/100)),(1-(0.25*((-Backdoors!AI12-IF(CV25&gt;=0.45,VLOOKUP(Calculator!E23,tbSkills!DH3:DI6,2,FALSE)+IF(AND(Calculator!B8=TRUE,Backdoors!BI17=TRUE),VLOOKUP(Calculator!E23,tbSkills!DH3:DJ6,3,FALSE),0),0))/100)))),1),"")</f>
        <v>1</v>
      </c>
      <c r="CY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V25)*CX25)*(VLOOKUP(A25,tbMoveset!A2:C112,3,FALSE)/100)*IF(VLOOKUP(A25,tbMoveset!A2:B112,2,FALSE)="Projectile",Backdoors!N10,Backdoors!N9),0),"")</f>
        <v/>
      </c>
      <c r="CZ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V25&gt;=0.45,VLOOKUP(Calculator!E23,tbSkills!DH3:DI6,2,FALSE)+IF(AND(Calculator!B8=TRUE,Backdoors!BI17=TRUE),VLOOKUP(Calculator!E23,tbSkills!DH3:DJ6,3,FALSE),0),0))&gt;=100,100,(Backdoors!AI12+IF(CV25&gt;=0.45,VLOOKUP(Calculator!E23,tbSkills!DH3:DI6,2,FALSE)+IF(AND(Calculator!B8=TRUE,Backdoors!BI17=TRUE),VLOOKUP(Calculator!E23,tbSkills!DH3:DJ6,3,FALSE),0),0)))/100)),1))*IF(VLOOKUP(A25,tbMoveset!A2:K112,11,FALSE)=TRUE,Backdoors!AC5,1))*CW25,0),"")</f>
        <v>0</v>
      </c>
      <c r="DA25" s="49">
        <f>VLOOKUP(A25,tbMoveset!A2:G112,7,FALSE)*IFERROR(IF(Backdoors!AI12&gt;=0,1+(IF(Calculator!E40&gt;0,VLOOKUP(Calculator!E40,tbSkills!AI3:AJ5,2,FALSE),Backdoors!AL4)*(IF((Backdoors!AI12+IF(CV25&gt;=0.45,VLOOKUP(Calculator!E23,tbSkills!DH3:DI6,2,FALSE)+IF(AND(Calculator!B8=TRUE,Backdoors!BI17=TRUE),VLOOKUP(Calculator!E23,tbSkills!DH3:DJ6,3,FALSE),0),0))&gt;=100,100,(Backdoors!AI12+IF(CV25&gt;=0.45,VLOOKUP(Calculator!E23,tbSkills!DH3:DI6,2,FALSE)+IF(AND(Calculator!B8=TRUE,Backdoors!BI17=TRUE),VLOOKUP(Calculator!E23,tbSkills!DH3:DJ6,3,FALSE),0),0)))/100)),1),1)</f>
        <v>1</v>
      </c>
      <c r="DB25" s="87">
        <f t="shared" si="8"/>
        <v>0</v>
      </c>
      <c r="DC25" s="86" t="str">
        <f>IFERROR(IF(VLOOKUP(A25,tbMoveset!A2:B112,2,FALSE)="Sever",Backdoors!AY18/100,IF(VLOOKUP(A25,tbMoveset!A2:B112,2,FALSE)="Blunt",Backdoors!AZ18/100,Backdoors!BA18/100)),"")</f>
        <v/>
      </c>
      <c r="DD25" s="49">
        <f>IFERROR(IF(VLOOKUP(tbMoveset!A25,tbMoveset!A2:H112,8,FALSE)="Other",IF(VLOOKUP(tbMoveset!A25,tbMoveset!A2:I112,9,FALSE)="Fire",Backdoors!BB18,IF(VLOOKUP(tbMoveset!A25,tbMoveset!A2:I112,9,FALSE)="Water",Backdoors!BC18,IF(VLOOKUP(tbMoveset!A25,tbMoveset!A2:I112,9,FALSE)="Thunder",Backdoors!BD18,IF(VLOOKUP(tbMoveset!A25,tbMoveset!A2:I112,9,FALSE)="Ice",Backdoors!BE18,IF(VLOOKUP(tbMoveset!A25,tbMoveset!A2:I112,9,FALSE)="Dragon",Backdoors!BF18,Backdoors!BG18)))))/100,Backdoors!BG18/100),"")</f>
        <v>0</v>
      </c>
      <c r="DE25" s="49">
        <f>IFERROR(IF(VLOOKUP(A25,tbMoveset!A2:J112,10,FALSE)=TRUE,IF((Backdoors!AI12+IF(DC25&gt;=0.45,VLOOKUP(Calculator!E23,tbSkills!DH3:DI6,2,FALSE)+IF(AND(Calculator!B8=TRUE,Backdoors!BI18=TRUE),VLOOKUP(Calculator!E23,tbSkills!DH3:DJ6,3,FALSE),0),0))&gt;=0,1+(Backdoors!AL2*(IF((Backdoors!AI12+IF(DC25&gt;=0.45,VLOOKUP(Calculator!E23,tbSkills!DH3:DI6,2,FALSE)+IF(AND(Calculator!B8=TRUE,Backdoors!BI18=TRUE),VLOOKUP(Calculator!E23,tbSkills!DH3:DJ6,3,FALSE),0),0))&gt;=100,100,(Backdoors!AI12+IF(DC25&gt;=0.45,VLOOKUP(Calculator!E23,tbSkills!DH3:DI6,2,FALSE)+IF(AND(Calculator!B8=TRUE,Backdoors!BI18=TRUE),VLOOKUP(Calculator!E23,tbSkills!DH3:DJ6,3,FALSE),0),0)))/100)),(1-(0.25*((-Backdoors!AI12-IF(DC25&gt;=0.45,VLOOKUP(Calculator!E23,tbSkills!DH3:DI6,2,FALSE)+IF(AND(Calculator!B8=TRUE,Backdoors!BI18=TRUE),VLOOKUP(Calculator!E23,tbSkills!DH3:DJ6,3,FALSE),0),0))/100)))),1),"")</f>
        <v>1</v>
      </c>
      <c r="DF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C25)*DE25)*(VLOOKUP(A25,tbMoveset!A2:C112,3,FALSE)/100)*IF(VLOOKUP(A25,tbMoveset!A2:B112,2,FALSE)="Projectile",Backdoors!N10,Backdoors!N9),0),"")</f>
        <v/>
      </c>
      <c r="DG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C25&gt;=0.45,VLOOKUP(Calculator!E23,tbSkills!DH3:DI6,2,FALSE)+IF(AND(Calculator!B8=TRUE,Backdoors!BI18=TRUE),VLOOKUP(Calculator!E23,tbSkills!DH3:DJ6,3,FALSE),0),0))&gt;=100,100,(Backdoors!AI12+IF(DC25&gt;=0.45,VLOOKUP(Calculator!E23,tbSkills!DH3:DI6,2,FALSE)+IF(AND(Calculator!B8=TRUE,Backdoors!BI18=TRUE),VLOOKUP(Calculator!E23,tbSkills!DH3:DJ6,3,FALSE),0),0)))/100)),1))*IF(VLOOKUP(A25,tbMoveset!A2:K112,11,FALSE)=TRUE,Backdoors!AC5,1))*DD25,0),"")</f>
        <v>0</v>
      </c>
      <c r="DH25" s="49">
        <f>VLOOKUP(A25,tbMoveset!A2:G112,7,FALSE)*IFERROR(IF(Backdoors!AI12&gt;=0,1+(IF(Calculator!E40&gt;0,VLOOKUP(Calculator!E40,tbSkills!AI3:AJ5,2,FALSE),Backdoors!AL4)*(IF((Backdoors!AI12+IF(DC25&gt;=0.45,VLOOKUP(Calculator!E23,tbSkills!DH3:DI6,2,FALSE)+IF(AND(Calculator!B8=TRUE,Backdoors!BI18=TRUE),VLOOKUP(Calculator!E23,tbSkills!DH3:DJ6,3,FALSE),0),0))&gt;=100,100,(Backdoors!AI12+IF(DC25&gt;=0.45,VLOOKUP(Calculator!E23,tbSkills!DH3:DI6,2,FALSE)+IF(AND(Calculator!B8=TRUE,Backdoors!BI18=TRUE),VLOOKUP(Calculator!E23,tbSkills!DH3:DJ6,3,FALSE),0),0)))/100)),1),1)</f>
        <v>1</v>
      </c>
      <c r="DI25" s="87">
        <f t="shared" si="9"/>
        <v>0</v>
      </c>
      <c r="DJ25" s="86" t="str">
        <f>IFERROR(IF(VLOOKUP(A25,tbMoveset!A2:B112,2,FALSE)="Sever",Backdoors!AY19/100,IF(VLOOKUP(A25,tbMoveset!A2:B112,2,FALSE)="Blunt",Backdoors!AZ19/100,Backdoors!BA19/100)),"")</f>
        <v/>
      </c>
      <c r="DK25" s="49">
        <f>IFERROR(IF(VLOOKUP(tbMoveset!A25,tbMoveset!A2:H112,8,FALSE)="Other",IF(VLOOKUP(tbMoveset!A25,tbMoveset!A2:I112,9,FALSE)="Fire",Backdoors!BB19,IF(VLOOKUP(tbMoveset!A25,tbMoveset!A2:I112,9,FALSE)="Water",Backdoors!BC19,IF(VLOOKUP(tbMoveset!A25,tbMoveset!A2:I112,9,FALSE)="Thunder",Backdoors!BD19,IF(VLOOKUP(tbMoveset!A25,tbMoveset!A2:I112,9,FALSE)="Ice",Backdoors!BE19,IF(VLOOKUP(tbMoveset!A25,tbMoveset!A2:I112,9,FALSE)="Dragon",Backdoors!BF19,Backdoors!BG19)))))/100,Backdoors!BG19/100),"")</f>
        <v>0</v>
      </c>
      <c r="DL25" s="49">
        <f>IFERROR(IF(VLOOKUP(A25,tbMoveset!A2:J112,10,FALSE)=TRUE,IF((Backdoors!AI12+IF(DJ25&gt;=0.45,VLOOKUP(Calculator!E23,tbSkills!DH3:DI6,2,FALSE)+IF(AND(Calculator!B8=TRUE,Backdoors!BI19=TRUE),VLOOKUP(Calculator!E23,tbSkills!DH3:DJ6,3,FALSE),0),0))&gt;=0,1+(Backdoors!AL2*(IF((Backdoors!AI12+IF(DJ25&gt;=0.45,VLOOKUP(Calculator!E23,tbSkills!DH3:DI6,2,FALSE)+IF(AND(Calculator!B8=TRUE,Backdoors!BI19=TRUE),VLOOKUP(Calculator!E23,tbSkills!DH3:DJ6,3,FALSE),0),0))&gt;=100,100,(Backdoors!AI12+IF(DJ25&gt;=0.45,VLOOKUP(Calculator!E23,tbSkills!DH3:DI6,2,FALSE)+IF(AND(Calculator!B8=TRUE,Backdoors!BI19=TRUE),VLOOKUP(Calculator!E23,tbSkills!DH3:DJ6,3,FALSE),0),0)))/100)),(1-(0.25*((-Backdoors!AI12-IF(DJ25&gt;=0.45,VLOOKUP(Calculator!E23,tbSkills!DH3:DI6,2,FALSE)+IF(AND(Calculator!B8=TRUE,Backdoors!BI19=TRUE),VLOOKUP(Calculator!E23,tbSkills!DH3:DJ6,3,FALSE),0),0))/100)))),1),"")</f>
        <v>1</v>
      </c>
      <c r="DM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J25)*DL25)*(VLOOKUP(A25,tbMoveset!A2:C112,3,FALSE)/100)*IF(VLOOKUP(A25,tbMoveset!A2:B112,2,FALSE)="Projectile",Backdoors!N10,Backdoors!N9),0),"")</f>
        <v/>
      </c>
      <c r="DN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J25&gt;=0.45,VLOOKUP(Calculator!E23,tbSkills!DH3:DI6,2,FALSE)+IF(AND(Calculator!B8=TRUE,Backdoors!BI19=TRUE),VLOOKUP(Calculator!E23,tbSkills!DH3:DJ6,3,FALSE),0),0))&gt;=100,100,(Backdoors!AI12+IF(DJ25&gt;=0.45,VLOOKUP(Calculator!E23,tbSkills!DH3:DI6,2,FALSE)+IF(AND(Calculator!B8=TRUE,Backdoors!BI19=TRUE),VLOOKUP(Calculator!E23,tbSkills!DH3:DJ6,3,FALSE),0),0)))/100)),1))*IF(VLOOKUP(A25,tbMoveset!A2:K112,11,FALSE)=TRUE,Backdoors!AC5,1))*DK25,0),"")</f>
        <v>0</v>
      </c>
      <c r="DO25" s="49">
        <f>VLOOKUP(A25,tbMoveset!A2:G112,7,FALSE)*IFERROR(IF(Backdoors!AI12&gt;=0,1+(IF(Calculator!E40&gt;0,VLOOKUP(Calculator!E40,tbSkills!AI3:AJ5,2,FALSE),Backdoors!AL4)*(IF((Backdoors!AI12+IF(DJ25&gt;=0.45,VLOOKUP(Calculator!E23,tbSkills!DH3:DI6,2,FALSE)+IF(AND(Calculator!B8=TRUE,Backdoors!BI19=TRUE),VLOOKUP(Calculator!E23,tbSkills!DH3:DJ6,3,FALSE),0),0))&gt;=100,100,(Backdoors!AI12+IF(DJ25&gt;=0.45,VLOOKUP(Calculator!E23,tbSkills!DH3:DI6,2,FALSE)+IF(AND(Calculator!B8=TRUE,Backdoors!BI19=TRUE),VLOOKUP(Calculator!E23,tbSkills!DH3:DJ6,3,FALSE),0),0)))/100)),1),1)</f>
        <v>1</v>
      </c>
      <c r="DP25" s="87">
        <f t="shared" si="41"/>
        <v>0</v>
      </c>
      <c r="DQ25" s="86" t="str">
        <f>IFERROR(IF(VLOOKUP(A25,tbMoveset!A2:B112,2,FALSE)="Sever",Backdoors!AY20/100,IF(VLOOKUP(A25,tbMoveset!A2:B112,2,FALSE)="Blunt",Backdoors!AZ20/100,Backdoors!BA20/100)),"")</f>
        <v/>
      </c>
      <c r="DR25" s="49">
        <f>IFERROR(IF(VLOOKUP(tbMoveset!A25,tbMoveset!A2:H112,8,FALSE)="Other",IF(VLOOKUP(tbMoveset!A25,tbMoveset!A2:I112,9,FALSE)="Fire",Backdoors!BB20,IF(VLOOKUP(tbMoveset!A25,tbMoveset!A2:I112,9,FALSE)="Water",Backdoors!BC20,IF(VLOOKUP(tbMoveset!A25,tbMoveset!A2:I112,9,FALSE)="Thunder",Backdoors!BD20,IF(VLOOKUP(tbMoveset!A25,tbMoveset!A2:I112,9,FALSE)="Ice",Backdoors!BE20,IF(VLOOKUP(tbMoveset!A25,tbMoveset!A2:I112,9,FALSE)="Dragon",Backdoors!BF20,Backdoors!BG20)))))/100,Backdoors!BG20/100),"")</f>
        <v>0</v>
      </c>
      <c r="DS25" s="49">
        <f>IFERROR(IF(VLOOKUP(A25,tbMoveset!A2:J112,10,FALSE)=TRUE,IF((Backdoors!AI12+IF(DQ25&gt;=0.45,VLOOKUP(Calculator!E23,tbSkills!DH3:DI6,2,FALSE)+IF(AND(Calculator!B8=TRUE,Backdoors!BI20=TRUE),VLOOKUP(Calculator!E23,tbSkills!DH3:DJ6,3,FALSE),0),0))&gt;=0,1+(Backdoors!AL2*(IF((Backdoors!AI12+IF(DQ25&gt;=0.45,VLOOKUP(Calculator!E23,tbSkills!DH3:DI6,2,FALSE)+IF(AND(Calculator!B8=TRUE,Backdoors!BI20=TRUE),VLOOKUP(Calculator!E23,tbSkills!DH3:DJ6,3,FALSE),0),0))&gt;=100,100,(Backdoors!AI12+IF(DQ25&gt;=0.45,VLOOKUP(Calculator!E23,tbSkills!DH3:DI6,2,FALSE)+IF(AND(Calculator!B8=TRUE,Backdoors!BI20=TRUE),VLOOKUP(Calculator!E23,tbSkills!DH3:DJ6,3,FALSE),0),0)))/100)),(1-(0.25*((-Backdoors!AI12-IF(DQ25&gt;=0.45,VLOOKUP(Calculator!E23,tbSkills!DH3:DI6,2,FALSE)+IF(AND(Calculator!B8=TRUE,Backdoors!BI20=TRUE),VLOOKUP(Calculator!E23,tbSkills!DH3:DJ6,3,FALSE),0),0))/100)))),1),"")</f>
        <v>1</v>
      </c>
      <c r="DT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Q25)*DS25)*(VLOOKUP(A25,tbMoveset!A2:C112,3,FALSE)/100)*IF(VLOOKUP(A25,tbMoveset!A2:B112,2,FALSE)="Projectile",Backdoors!N10,Backdoors!N9),0),"")</f>
        <v/>
      </c>
      <c r="DU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Q25&gt;=0.45,VLOOKUP(Calculator!E23,tbSkills!DH3:DI6,2,FALSE)+IF(AND(Calculator!B8=TRUE,Backdoors!BI20=TRUE),VLOOKUP(Calculator!E23,tbSkills!DH3:DJ6,3,FALSE),0),0))&gt;=100,100,(Backdoors!AI12+IF(DQ25&gt;=0.45,VLOOKUP(Calculator!E23,tbSkills!DH3:DI6,2,FALSE)+IF(AND(Calculator!B8=TRUE,Backdoors!BI20=TRUE),VLOOKUP(Calculator!E23,tbSkills!DH3:DJ6,3,FALSE),0),0)))/100)),1))*IF(VLOOKUP(A25,tbMoveset!A2:K112,11,FALSE)=TRUE,Backdoors!AC5,1))*DR25,0),"")</f>
        <v>0</v>
      </c>
      <c r="DV25" s="49">
        <f>VLOOKUP(A25,tbMoveset!A2:G112,7,FALSE)*IFERROR(IF(Backdoors!AI12&gt;=0,1+(IF(Calculator!E40&gt;0,VLOOKUP(Calculator!E40,tbSkills!AI3:AJ5,2,FALSE),Backdoors!AL4)*(IF((Backdoors!AI12+IF(DQ25&gt;=0.45,VLOOKUP(Calculator!E23,tbSkills!DH3:DI6,2,FALSE)+IF(AND(Calculator!B8=TRUE,Backdoors!BI20=TRUE),VLOOKUP(Calculator!E23,tbSkills!DH3:DJ6,3,FALSE),0),0))&gt;=100,100,(Backdoors!AI12+IF(DQ25&gt;=0.45,VLOOKUP(Calculator!E23,tbSkills!DH3:DI6,2,FALSE)+IF(AND(Calculator!B8=TRUE,Backdoors!BI20=TRUE),VLOOKUP(Calculator!E23,tbSkills!DH3:DJ6,3,FALSE),0),0)))/100)),1),1)</f>
        <v>1</v>
      </c>
      <c r="DW25" s="87">
        <f t="shared" si="10"/>
        <v>0</v>
      </c>
      <c r="DX25" s="86" t="str">
        <f>IFERROR(IF(VLOOKUP(A25,tbMoveset!A2:B112,2,FALSE)="Sever",Backdoors!AY21/100,IF(VLOOKUP(A25,tbMoveset!A2:B112,2,FALSE)="Blunt",Backdoors!AZ21/100,Backdoors!BA21/100)),"")</f>
        <v/>
      </c>
      <c r="DY25" s="49">
        <f>IFERROR(IF(VLOOKUP(tbMoveset!A25,tbMoveset!A2:H112,8,FALSE)="Other",IF(VLOOKUP(tbMoveset!A25,tbMoveset!A2:I112,9,FALSE)="Fire",Backdoors!BB21,IF(VLOOKUP(tbMoveset!A25,tbMoveset!A2:I112,9,FALSE)="Water",Backdoors!BC21,IF(VLOOKUP(tbMoveset!A25,tbMoveset!A2:I112,9,FALSE)="Thunder",Backdoors!BD21,IF(VLOOKUP(tbMoveset!A25,tbMoveset!A2:I112,9,FALSE)="Ice",Backdoors!BE21,IF(VLOOKUP(tbMoveset!A25,tbMoveset!A2:I112,9,FALSE)="Dragon",Backdoors!BF21,Backdoors!BG21)))))/100,Backdoors!BG21/100),"")</f>
        <v>0</v>
      </c>
      <c r="DZ25" s="49">
        <f>IFERROR(IF(VLOOKUP(A25,tbMoveset!A2:J112,10,FALSE)=TRUE,IF((Backdoors!AI12+IF(DX25&gt;=0.45,VLOOKUP(Calculator!E23,tbSkills!DH3:DI6,2,FALSE)+IF(AND(Calculator!B8=TRUE,Backdoors!BI21=TRUE),VLOOKUP(Calculator!E23,tbSkills!DH3:DJ6,3,FALSE),0),0))&gt;=0,1+(Backdoors!AL2*(IF((Backdoors!AI12+IF(DX25&gt;=0.45,VLOOKUP(Calculator!E23,tbSkills!DH3:DI6,2,FALSE)+IF(AND(Calculator!B8=TRUE,Backdoors!BI21=TRUE),VLOOKUP(Calculator!E23,tbSkills!DH3:DJ6,3,FALSE),0),0))&gt;=100,100,(Backdoors!AI12+IF(DX25&gt;=0.45,VLOOKUP(Calculator!E23,tbSkills!DH3:DI6,2,FALSE)+IF(AND(Calculator!B8=TRUE,Backdoors!BI21=TRUE),VLOOKUP(Calculator!E23,tbSkills!DH3:DJ6,3,FALSE),0),0)))/100)),(1-(0.25*((-Backdoors!AI12-IF(DX25&gt;=0.45,VLOOKUP(Calculator!E23,tbSkills!DH3:DI6,2,FALSE)+IF(AND(Calculator!B8=TRUE,Backdoors!BI21=TRUE),VLOOKUP(Calculator!E23,tbSkills!DH3:DJ6,3,FALSE),0),0))/100)))),1),"")</f>
        <v>1</v>
      </c>
      <c r="EA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X25)*DZ25)*(VLOOKUP(A25,tbMoveset!A2:C112,3,FALSE)/100)*IF(VLOOKUP(A25,tbMoveset!A2:B112,2,FALSE)="Projectile",Backdoors!N10,Backdoors!N9),0),"")</f>
        <v/>
      </c>
      <c r="EB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X25&gt;=0.45,VLOOKUP(Calculator!E23,tbSkills!DH3:DI6,2,FALSE)+IF(AND(Calculator!B8=TRUE,Backdoors!BI21=TRUE),VLOOKUP(Calculator!E23,tbSkills!DH3:DJ6,3,FALSE),0),0))&gt;=100,100,(Backdoors!AI12+IF(DX25&gt;=0.45,VLOOKUP(Calculator!E23,tbSkills!DH3:DI6,2,FALSE)+IF(AND(Calculator!B8=TRUE,Backdoors!BI21=TRUE),VLOOKUP(Calculator!E23,tbSkills!DH3:DJ6,3,FALSE),0),0)))/100)),1))*IF(VLOOKUP(A25,tbMoveset!A2:K112,11,FALSE)=TRUE,Backdoors!AC5,1))*DY25,0),"")</f>
        <v>0</v>
      </c>
      <c r="EC25" s="49">
        <f>VLOOKUP(A25,tbMoveset!A2:G112,7,FALSE)*IFERROR(IF(Backdoors!AI12&gt;=0,1+(IF(Calculator!E40&gt;0,VLOOKUP(Calculator!E40,tbSkills!AI3:AJ5,2,FALSE),Backdoors!AL4)*(IF((Backdoors!AI12+IF(DX25&gt;=0.45,VLOOKUP(Calculator!E23,tbSkills!DH3:DI6,2,FALSE)+IF(AND(Calculator!B8=TRUE,Backdoors!BI21=TRUE),VLOOKUP(Calculator!E23,tbSkills!DH3:DJ6,3,FALSE),0),0))&gt;=100,100,(Backdoors!AI12+IF(DX25&gt;=0.45,VLOOKUP(Calculator!E23,tbSkills!DH3:DI6,2,FALSE)+IF(AND(Calculator!B8=TRUE,Backdoors!BI21=TRUE),VLOOKUP(Calculator!E23,tbSkills!DH3:DJ6,3,FALSE),0),0)))/100)),1),1)</f>
        <v>1</v>
      </c>
      <c r="ED25" s="87">
        <f t="shared" si="11"/>
        <v>0</v>
      </c>
      <c r="EE25" s="86" t="str">
        <f>IFERROR(IF(VLOOKUP(A25,tbMoveset!A2:B112,2,FALSE)="Sever",Backdoors!AY22/100,IF(VLOOKUP(A25,tbMoveset!A2:B112,2,FALSE)="Blunt",Backdoors!AZ22/100,Backdoors!BA22/100)),"")</f>
        <v/>
      </c>
      <c r="EF25" s="49">
        <f>IFERROR(IF(VLOOKUP(tbMoveset!A25,tbMoveset!A2:H112,8,FALSE)="Other",IF(VLOOKUP(tbMoveset!A25,tbMoveset!A2:I112,9,FALSE)="Fire",Backdoors!BB22,IF(VLOOKUP(tbMoveset!A25,tbMoveset!A2:I112,9,FALSE)="Water",Backdoors!BC22,IF(VLOOKUP(tbMoveset!A25,tbMoveset!A2:I112,9,FALSE)="Thunder",Backdoors!BD22,IF(VLOOKUP(tbMoveset!A25,tbMoveset!A2:I112,9,FALSE)="Ice",Backdoors!BE22,IF(VLOOKUP(tbMoveset!A25,tbMoveset!A2:I112,9,FALSE)="Dragon",Backdoors!BF22,Backdoors!BG22)))))/100,Backdoors!BG22/100),"")</f>
        <v>0</v>
      </c>
      <c r="EG25" s="49">
        <f>IFERROR(IF(VLOOKUP(A25,tbMoveset!A2:J112,10,FALSE)=TRUE,IF((Backdoors!AI12+IF(EE25&gt;=0.45,VLOOKUP(Calculator!E23,tbSkills!DH3:DI6,2,FALSE)+IF(AND(Calculator!B8=TRUE,Backdoors!BI22=TRUE),VLOOKUP(Calculator!E23,tbSkills!DH3:DJ6,3,FALSE),0),0))&gt;=0,1+(Backdoors!AL2*(IF((Backdoors!AI12+IF(EE25&gt;=0.45,VLOOKUP(Calculator!E23,tbSkills!DH3:DI6,2,FALSE)+IF(AND(Calculator!B8=TRUE,Backdoors!BI22=TRUE),VLOOKUP(Calculator!E23,tbSkills!DH3:DJ6,3,FALSE),0),0))&gt;=100,100,(Backdoors!AI12+IF(EE25&gt;=0.45,VLOOKUP(Calculator!E23,tbSkills!DH3:DI6,2,FALSE)+IF(AND(Calculator!B8=TRUE,Backdoors!BI22=TRUE),VLOOKUP(Calculator!E23,tbSkills!DH3:DJ6,3,FALSE),0),0)))/100)),(1-(0.25*((-Backdoors!AI12-IF(EE25&gt;=0.45,VLOOKUP(Calculator!E23,tbSkills!DH3:DI6,2,FALSE)+IF(AND(Calculator!B8=TRUE,Backdoors!BI22=TRUE),VLOOKUP(Calculator!E23,tbSkills!DH3:DJ6,3,FALSE),0),0))/100)))),1),"")</f>
        <v>1</v>
      </c>
      <c r="EH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E25)*EG25)*(VLOOKUP(A25,tbMoveset!A2:C112,3,FALSE)/100)*IF(VLOOKUP(A25,tbMoveset!A2:B112,2,FALSE)="Projectile",Backdoors!N10,Backdoors!N9),0),"")</f>
        <v/>
      </c>
      <c r="EI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E25&gt;=0.45,VLOOKUP(Calculator!E23,tbSkills!DH3:DI6,2,FALSE)+IF(AND(Calculator!B8=TRUE,Backdoors!BI22=TRUE),VLOOKUP(Calculator!E23,tbSkills!DH3:DJ6,3,FALSE),0),0))&gt;=100,100,(Backdoors!AI12+IF(EE25&gt;=0.45,VLOOKUP(Calculator!E23,tbSkills!DH3:DI6,2,FALSE)+IF(AND(Calculator!B8=TRUE,Backdoors!BI22=TRUE),VLOOKUP(Calculator!E23,tbSkills!DH3:DJ6,3,FALSE),0),0)))/100)),1))*IF(VLOOKUP(A25,tbMoveset!A2:K112,11,FALSE)=TRUE,Backdoors!AC5,1))*EF25,0),"")</f>
        <v>0</v>
      </c>
      <c r="EJ25" s="49">
        <f>VLOOKUP(A25,tbMoveset!A2:G112,7,FALSE)*IFERROR(IF(Backdoors!AI12&gt;=0,1+(IF(Calculator!E40&gt;0,VLOOKUP(Calculator!E40,tbSkills!AI3:AJ5,2,FALSE),Backdoors!AL4)*(IF((Backdoors!AI12+IF(EE25&gt;=0.45,VLOOKUP(Calculator!E23,tbSkills!DH3:DI6,2,FALSE)+IF(AND(Calculator!B8=TRUE,Backdoors!BI22=TRUE),VLOOKUP(Calculator!E23,tbSkills!DH3:DJ6,3,FALSE),0),0))&gt;=100,100,(Backdoors!AI12+IF(EE25&gt;=0.45,VLOOKUP(Calculator!E23,tbSkills!DH3:DI6,2,FALSE)+IF(AND(Calculator!B8=TRUE,Backdoors!BI22=TRUE),VLOOKUP(Calculator!E23,tbSkills!DH3:DJ6,3,FALSE),0),0)))/100)),1),1)</f>
        <v>1</v>
      </c>
      <c r="EK25" s="87">
        <f t="shared" si="12"/>
        <v>0</v>
      </c>
      <c r="EL25" s="86" t="str">
        <f>IFERROR(IF(VLOOKUP(A25,tbMoveset!A2:B112,2,FALSE)="Sever",Backdoors!AY23/100,IF(VLOOKUP(A25,tbMoveset!A2:B112,2,FALSE)="Blunt",Backdoors!AZ23/100,Backdoors!BA23/100)),"")</f>
        <v/>
      </c>
      <c r="EM25" s="49">
        <f>IFERROR(IF(VLOOKUP(tbMoveset!A25,tbMoveset!A2:H112,8,FALSE)="Other",IF(VLOOKUP(tbMoveset!A25,tbMoveset!A2:I112,9,FALSE)="Fire",Backdoors!BB23,IF(VLOOKUP(tbMoveset!A25,tbMoveset!A2:I112,9,FALSE)="Water",Backdoors!BC23,IF(VLOOKUP(tbMoveset!A25,tbMoveset!A2:I112,9,FALSE)="Thunder",Backdoors!BD23,IF(VLOOKUP(tbMoveset!A25,tbMoveset!A2:I112,9,FALSE)="Ice",Backdoors!BE23,IF(VLOOKUP(tbMoveset!A25,tbMoveset!A2:I112,9,FALSE)="Dragon",Backdoors!BF23,Backdoors!BG23)))))/100,Backdoors!BG23/100),"")</f>
        <v>0</v>
      </c>
      <c r="EN25" s="49">
        <f>IFERROR(IF(VLOOKUP(A25,tbMoveset!A2:J112,10,FALSE)=TRUE,IF((Backdoors!AI12+IF(EL25&gt;=0.45,VLOOKUP(Calculator!E23,tbSkills!DH3:DI6,2,FALSE)+IF(AND(Calculator!B8=TRUE,Backdoors!BI23=TRUE),VLOOKUP(Calculator!E23,tbSkills!DH3:DJ6,3,FALSE),0),0))&gt;=0,1+(Backdoors!AL2*(IF((Backdoors!AI12+IF(EL25&gt;=0.45,VLOOKUP(Calculator!E23,tbSkills!DH3:DI6,2,FALSE)+IF(AND(Calculator!B8=TRUE,Backdoors!BI23=TRUE),VLOOKUP(Calculator!E23,tbSkills!DH3:DJ6,3,FALSE),0),0))&gt;=100,100,(Backdoors!AI12+IF(EL25&gt;=0.45,VLOOKUP(Calculator!E23,tbSkills!DH3:DI6,2,FALSE)+IF(AND(Calculator!B8=TRUE,Backdoors!BI23=TRUE),VLOOKUP(Calculator!E23,tbSkills!DH3:DJ6,3,FALSE),0),0)))/100)),(1-(0.25*((-Backdoors!AI12-IF(EL25&gt;=0.45,VLOOKUP(Calculator!E23,tbSkills!DH3:DI6,2,FALSE)+IF(AND(Calculator!B8=TRUE,Backdoors!BI23=TRUE),VLOOKUP(Calculator!E23,tbSkills!DH3:DJ6,3,FALSE),0),0))/100)))),1),"")</f>
        <v>1</v>
      </c>
      <c r="EO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L25)*EN25)*(VLOOKUP(A25,tbMoveset!A2:C112,3,FALSE)/100)*IF(VLOOKUP(A25,tbMoveset!A2:B112,2,FALSE)="Projectile",Backdoors!N10,Backdoors!N9),0),"")</f>
        <v/>
      </c>
      <c r="EP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L25&gt;=0.45,VLOOKUP(Calculator!E23,tbSkills!DH3:DI6,2,FALSE)+IF(AND(Calculator!B8=TRUE,Backdoors!BI23=TRUE),VLOOKUP(Calculator!E23,tbSkills!DH3:DJ6,3,FALSE),0),0))&gt;=100,100,(Backdoors!AI12+IF(EL25&gt;=0.45,VLOOKUP(Calculator!E23,tbSkills!DH3:DI6,2,FALSE)+IF(AND(Calculator!B8=TRUE,Backdoors!BI23=TRUE),VLOOKUP(Calculator!E23,tbSkills!DH3:DJ6,3,FALSE),0),0)))/100)),1))*IF(VLOOKUP(A25,tbMoveset!A2:K112,11,FALSE)=TRUE,Backdoors!AC5,1))*EM25,0),"")</f>
        <v>0</v>
      </c>
      <c r="EQ25" s="49">
        <f>VLOOKUP(A25,tbMoveset!A2:G112,7,FALSE)*IFERROR(IF(Backdoors!AI12&gt;=0,1+(IF(Calculator!E40&gt;0,VLOOKUP(Calculator!E40,tbSkills!AI3:AJ5,2,FALSE),Backdoors!AL4)*(IF((Backdoors!AI12+IF(EL25&gt;=0.45,VLOOKUP(Calculator!E23,tbSkills!DH3:DI6,2,FALSE)+IF(AND(Calculator!B8=TRUE,Backdoors!BI23=TRUE),VLOOKUP(Calculator!E23,tbSkills!DH3:DJ6,3,FALSE),0),0))&gt;=100,100,(Backdoors!AI12+IF(EL25&gt;=0.45,VLOOKUP(Calculator!E23,tbSkills!DH3:DI6,2,FALSE)+IF(AND(Calculator!B8=TRUE,Backdoors!BI23=TRUE),VLOOKUP(Calculator!E23,tbSkills!DH3:DJ6,3,FALSE),0),0)))/100)),1),1)</f>
        <v>1</v>
      </c>
      <c r="ER25" s="87">
        <f t="shared" si="13"/>
        <v>0</v>
      </c>
      <c r="ES25" s="86" t="str">
        <f>IFERROR(IF(VLOOKUP(A25,tbMoveset!A2:B112,2,FALSE)="Sever",Backdoors!AY24/100,IF(VLOOKUP(A25,tbMoveset!A2:B112,2,FALSE)="Blunt",Backdoors!AZ24/100,Backdoors!BA24/100)),"")</f>
        <v/>
      </c>
      <c r="ET25" s="49">
        <f>IFERROR(IF(VLOOKUP(tbMoveset!A25,tbMoveset!A2:H112,8,FALSE)="Other",IF(VLOOKUP(tbMoveset!A25,tbMoveset!A2:I112,9,FALSE)="Fire",Backdoors!BB24,IF(VLOOKUP(tbMoveset!A25,tbMoveset!A2:I112,9,FALSE)="Water",Backdoors!BC24,IF(VLOOKUP(tbMoveset!A25,tbMoveset!A2:I112,9,FALSE)="Thunder",Backdoors!BD24,IF(VLOOKUP(tbMoveset!A25,tbMoveset!A2:I112,9,FALSE)="Ice",Backdoors!BE24,IF(VLOOKUP(tbMoveset!A25,tbMoveset!A2:I112,9,FALSE)="Dragon",Backdoors!BF24,Backdoors!BG24)))))/100,Backdoors!BG24/100),"")</f>
        <v>0</v>
      </c>
      <c r="EU25" s="49">
        <f>IFERROR(IF(VLOOKUP(A25,tbMoveset!A2:J112,10,FALSE)=TRUE,IF((Backdoors!AI12+IF(ES25&gt;=0.45,VLOOKUP(Calculator!E23,tbSkills!DH3:DI6,2,FALSE)+IF(AND(Calculator!B8=TRUE,Backdoors!BI24=TRUE),VLOOKUP(Calculator!E23,tbSkills!DH3:DJ6,3,FALSE),0),0))&gt;=0,1+(Backdoors!AL2*(IF((Backdoors!AI12+IF(ES25&gt;=0.45,VLOOKUP(Calculator!E23,tbSkills!DH3:DI6,2,FALSE)+IF(AND(Calculator!B8=TRUE,Backdoors!BI24=TRUE),VLOOKUP(Calculator!E23,tbSkills!DH3:DJ6,3,FALSE),0),0))&gt;=100,100,(Backdoors!AI12+IF(ES25&gt;=0.45,VLOOKUP(Calculator!E23,tbSkills!DH3:DI6,2,FALSE)+IF(AND(Calculator!B8=TRUE,Backdoors!BI24=TRUE),VLOOKUP(Calculator!E23,tbSkills!DH3:DJ6,3,FALSE),0),0)))/100)),(1-(0.25*((-Backdoors!AI12-IF(ES25&gt;=0.45,VLOOKUP(Calculator!E23,tbSkills!DH3:DI6,2,FALSE)+IF(AND(Calculator!B8=TRUE,Backdoors!BI24=TRUE),VLOOKUP(Calculator!E23,tbSkills!DH3:DJ6,3,FALSE),0),0))/100)))),1),"")</f>
        <v>1</v>
      </c>
      <c r="EV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S25)*EU25)*(VLOOKUP(A25,tbMoveset!A2:C112,3,FALSE)/100)*IF(VLOOKUP(A25,tbMoveset!A2:B112,2,FALSE)="Projectile",Backdoors!N10,Backdoors!N9),0),"")</f>
        <v/>
      </c>
      <c r="EW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S25&gt;=0.45,VLOOKUP(Calculator!E23,tbSkills!DH3:DI6,2,FALSE)+IF(AND(Calculator!B8=TRUE,Backdoors!BI24=TRUE),VLOOKUP(Calculator!E23,tbSkills!DH3:DJ6,3,FALSE),0),0))&gt;=100,100,(Backdoors!AI12+IF(ES25&gt;=0.45,VLOOKUP(Calculator!E23,tbSkills!DH3:DI6,2,FALSE)+IF(AND(Calculator!B8=TRUE,Backdoors!BI24=TRUE),VLOOKUP(Calculator!E23,tbSkills!DH3:DJ6,3,FALSE),0),0)))/100)),1))*IF(VLOOKUP(A25,tbMoveset!A2:K112,11,FALSE)=TRUE,Backdoors!AC5,1))*ET25,0),"")</f>
        <v>0</v>
      </c>
      <c r="EX25" s="49">
        <f>VLOOKUP(A25,tbMoveset!A2:G112,7,FALSE)*IFERROR(IF(Backdoors!AI12&gt;=0,1+(IF(Calculator!E40&gt;0,VLOOKUP(Calculator!E40,tbSkills!AI3:AJ5,2,FALSE),Backdoors!AL4)*(IF((Backdoors!AI12+IF(ES25&gt;=0.45,VLOOKUP(Calculator!E23,tbSkills!DH3:DI6,2,FALSE)+IF(AND(Calculator!B8=TRUE,Backdoors!BI24=TRUE),VLOOKUP(Calculator!E23,tbSkills!DH3:DJ6,3,FALSE),0),0))&gt;=100,100,(Backdoors!AI12+IF(ES25&gt;=0.45,VLOOKUP(Calculator!E23,tbSkills!DH3:DI6,2,FALSE)+IF(AND(Calculator!B8=TRUE,Backdoors!BI24=TRUE),VLOOKUP(Calculator!E23,tbSkills!DH3:DJ6,3,FALSE),0),0)))/100)),1),1)</f>
        <v>1</v>
      </c>
      <c r="EY25" s="87">
        <f t="shared" si="14"/>
        <v>0</v>
      </c>
      <c r="EZ25" s="86" t="str">
        <f>IFERROR(IF(VLOOKUP(A25,tbMoveset!A2:B112,2,FALSE)="Sever",Backdoors!AY25/100,IF(VLOOKUP(A25,tbMoveset!A2:B112,2,FALSE)="Blunt",Backdoors!AZ25/100,Backdoors!BA25/100)),"")</f>
        <v/>
      </c>
      <c r="FA25" s="49">
        <f>IFERROR(IF(VLOOKUP(tbMoveset!A25,tbMoveset!A2:H112,8,FALSE)="Other",IF(VLOOKUP(tbMoveset!A25,tbMoveset!A2:I112,9,FALSE)="Fire",Backdoors!BB25,IF(VLOOKUP(tbMoveset!A25,tbMoveset!A2:I112,9,FALSE)="Water",Backdoors!BC25,IF(VLOOKUP(tbMoveset!A25,tbMoveset!A2:I112,9,FALSE)="Thunder",Backdoors!BD25,IF(VLOOKUP(tbMoveset!A25,tbMoveset!A2:I112,9,FALSE)="Ice",Backdoors!BE25,IF(VLOOKUP(tbMoveset!A25,tbMoveset!A2:I112,9,FALSE)="Dragon",Backdoors!BF25,Backdoors!BG25)))))/100,Backdoors!BG25/100),"")</f>
        <v>0</v>
      </c>
      <c r="FB25" s="49">
        <f>IFERROR(IF(VLOOKUP(A25,tbMoveset!A2:J112,10,FALSE)=TRUE,IF((Backdoors!AI12+IF(EZ25&gt;=0.45,VLOOKUP(Calculator!E23,tbSkills!DH3:DI6,2,FALSE)+IF(AND(Calculator!B8=TRUE,Backdoors!BI25=TRUE),VLOOKUP(Calculator!E23,tbSkills!DH3:DJ6,3,FALSE),0),0))&gt;=0,1+(Backdoors!AL2*(IF((Backdoors!AI12+IF(EZ25&gt;=0.45,VLOOKUP(Calculator!E23,tbSkills!DH3:DI6,2,FALSE)+IF(AND(Calculator!B8=TRUE,Backdoors!BI25=TRUE),VLOOKUP(Calculator!E23,tbSkills!DH3:DJ6,3,FALSE),0),0))&gt;=100,100,(Backdoors!AI12+IF(EZ25&gt;=0.45,VLOOKUP(Calculator!E23,tbSkills!DH3:DI6,2,FALSE)+IF(AND(Calculator!B8=TRUE,Backdoors!BI25=TRUE),VLOOKUP(Calculator!E23,tbSkills!DH3:DJ6,3,FALSE),0),0)))/100)),(1-(0.25*((-Backdoors!AI12-IF(EZ25&gt;=0.45,VLOOKUP(Calculator!E23,tbSkills!DH3:DI6,2,FALSE)+IF(AND(Calculator!B8=TRUE,Backdoors!BI25=TRUE),VLOOKUP(Calculator!E23,tbSkills!DH3:DJ6,3,FALSE),0),0))/100)))),1),"")</f>
        <v>1</v>
      </c>
      <c r="FC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Z25)*FB25)*(VLOOKUP(A25,tbMoveset!A2:C112,3,FALSE)/100)*IF(VLOOKUP(A25,tbMoveset!A2:B112,2,FALSE)="Projectile",Backdoors!N10,Backdoors!N9),0),"")</f>
        <v/>
      </c>
      <c r="FD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Z25&gt;=0.45,VLOOKUP(Calculator!E23,tbSkills!DH3:DI6,2,FALSE)+IF(AND(Calculator!B8=TRUE,Backdoors!BI25=TRUE),VLOOKUP(Calculator!E23,tbSkills!DH3:DJ6,3,FALSE),0),0))&gt;=100,100,(Backdoors!AI12+IF(EZ25&gt;=0.45,VLOOKUP(Calculator!E23,tbSkills!DH3:DI6,2,FALSE)+IF(AND(Calculator!B8=TRUE,Backdoors!BI25=TRUE),VLOOKUP(Calculator!E23,tbSkills!DH3:DJ6,3,FALSE),0),0)))/100)),1))*IF(VLOOKUP(A25,tbMoveset!A2:K112,11,FALSE)=TRUE,Backdoors!AC5,1))*FA25,0),"")</f>
        <v>0</v>
      </c>
      <c r="FE25" s="49">
        <f>VLOOKUP(A25,tbMoveset!A2:G112,7,FALSE)*IFERROR(IF(Backdoors!AI12&gt;=0,1+(IF(Calculator!E40&gt;0,VLOOKUP(Calculator!E40,tbSkills!AI3:AJ5,2,FALSE),Backdoors!AL4)*(IF((Backdoors!AI12+IF(EZ25&gt;=0.45,VLOOKUP(Calculator!E23,tbSkills!DH3:DI6,2,FALSE)+IF(AND(Calculator!B8=TRUE,Backdoors!BI25=TRUE),VLOOKUP(Calculator!E23,tbSkills!DH3:DJ6,3,FALSE),0),0))&gt;=100,100,(Backdoors!AI12+IF(EZ25&gt;=0.45,VLOOKUP(Calculator!E23,tbSkills!DH3:DI6,2,FALSE)+IF(AND(Calculator!B8=TRUE,Backdoors!BI25=TRUE),VLOOKUP(Calculator!E23,tbSkills!DH3:DJ6,3,FALSE),0),0)))/100)),1),1)</f>
        <v>1</v>
      </c>
      <c r="FF25" s="87">
        <f t="shared" si="15"/>
        <v>0</v>
      </c>
      <c r="FG25" s="86" t="str">
        <f>IFERROR(IF(VLOOKUP(A25,tbMoveset!A2:B112,2,FALSE)="Sever",Backdoors!AY26/100,IF(VLOOKUP(A25,tbMoveset!A2:B112,2,FALSE)="Blunt",Backdoors!AZ26/100,Backdoors!BA26/100)),"")</f>
        <v/>
      </c>
      <c r="FH25" s="49">
        <f>IFERROR(IF(VLOOKUP(tbMoveset!A25,tbMoveset!A2:H112,8,FALSE)="Other",IF(VLOOKUP(tbMoveset!A25,tbMoveset!A2:I112,9,FALSE)="Fire",Backdoors!BB26,IF(VLOOKUP(tbMoveset!A25,tbMoveset!A2:I112,9,FALSE)="Water",Backdoors!BC26,IF(VLOOKUP(tbMoveset!A25,tbMoveset!A2:I112,9,FALSE)="Thunder",Backdoors!BD26,IF(VLOOKUP(tbMoveset!A25,tbMoveset!A2:I112,9,FALSE)="Ice",Backdoors!BE26,IF(VLOOKUP(tbMoveset!A25,tbMoveset!A2:I112,9,FALSE)="Dragon",Backdoors!BF26,Backdoors!BG26)))))/100,Backdoors!BG26/100),"")</f>
        <v>0</v>
      </c>
      <c r="FI25" s="49">
        <f>IFERROR(IF(VLOOKUP(A25,tbMoveset!A2:J112,10,FALSE)=TRUE,IF((Backdoors!AI12+IF(FG25&gt;=0.45,VLOOKUP(Calculator!E23,tbSkills!DH3:DI6,2,FALSE)+IF(AND(Calculator!B8=TRUE,Backdoors!BI26=TRUE),VLOOKUP(Calculator!E23,tbSkills!DH3:DJ6,3,FALSE),0),0))&gt;=0,1+(Backdoors!AL2*(IF((Backdoors!AI12+IF(FG25&gt;=0.45,VLOOKUP(Calculator!E23,tbSkills!DH3:DI6,2,FALSE)+IF(AND(Calculator!B8=TRUE,Backdoors!BI26=TRUE),VLOOKUP(Calculator!E23,tbSkills!DH3:DJ6,3,FALSE),0),0))&gt;=100,100,(Backdoors!AI12+IF(FG25&gt;=0.45,VLOOKUP(Calculator!E23,tbSkills!DH3:DI6,2,FALSE)+IF(AND(Calculator!B8=TRUE,Backdoors!BI26=TRUE),VLOOKUP(Calculator!E23,tbSkills!DH3:DJ6,3,FALSE),0),0)))/100)),(1-(0.25*((-Backdoors!AI12-IF(FG25&gt;=0.45,VLOOKUP(Calculator!E23,tbSkills!DH3:DI6,2,FALSE)+IF(AND(Calculator!B8=TRUE,Backdoors!BI26=TRUE),VLOOKUP(Calculator!E23,tbSkills!DH3:DJ6,3,FALSE),0),0))/100)))),1),"")</f>
        <v>1</v>
      </c>
      <c r="FJ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FG25)*FI25)*(VLOOKUP(A25,tbMoveset!A2:C112,3,FALSE)/100)*IF(VLOOKUP(A25,tbMoveset!A2:B112,2,FALSE)="Projectile",Backdoors!N10,Backdoors!N9),0),"")</f>
        <v/>
      </c>
      <c r="FK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FG25&gt;=0.45,VLOOKUP(Calculator!E23,tbSkills!DH3:DI6,2,FALSE)+IF(AND(Calculator!B8=TRUE,Backdoors!BI26=TRUE),VLOOKUP(Calculator!E23,tbSkills!DH3:DJ6,3,FALSE),0),0))&gt;=100,100,(Backdoors!AI12+IF(FG25&gt;=0.45,VLOOKUP(Calculator!E23,tbSkills!DH3:DI6,2,FALSE)+IF(AND(Calculator!B8=TRUE,Backdoors!BI26=TRUE),VLOOKUP(Calculator!E23,tbSkills!DH3:DJ6,3,FALSE),0),0)))/100)),1))*IF(VLOOKUP(A25,tbMoveset!A2:K112,11,FALSE)=TRUE,Backdoors!AC5,1))*FH25,0),"")</f>
        <v>0</v>
      </c>
      <c r="FL25" s="49">
        <f>VLOOKUP(A25,tbMoveset!A2:G112,7,FALSE)*IFERROR(IF(Backdoors!AI12&gt;=0,1+(IF(Calculator!E40&gt;0,VLOOKUP(Calculator!E40,tbSkills!AI3:AJ5,2,FALSE),Backdoors!AL4)*(IF((Backdoors!AI12+IF(FG25&gt;=0.45,VLOOKUP(Calculator!E23,tbSkills!DH3:DI6,2,FALSE)+IF(AND(Calculator!B8=TRUE,Backdoors!BI26=TRUE),VLOOKUP(Calculator!E23,tbSkills!DH3:DJ6,3,FALSE),0),0))&gt;=100,100,(Backdoors!AI12+IF(FG25&gt;=0.45,VLOOKUP(Calculator!E23,tbSkills!DH3:DI6,2,FALSE)+IF(AND(Calculator!B8=TRUE,Backdoors!BI26=TRUE),VLOOKUP(Calculator!E23,tbSkills!DH3:DJ6,3,FALSE),0),0)))/100)),1),1)</f>
        <v>1</v>
      </c>
      <c r="FM25" s="87">
        <f t="shared" si="16"/>
        <v>0</v>
      </c>
      <c r="FN25" s="86" t="str">
        <f>IFERROR(IF(VLOOKUP(A25,tbMoveset!A2:B112,2,FALSE)="Sever",Backdoors!AY27/100,IF(VLOOKUP(A25,tbMoveset!A2:B112,2,FALSE)="Blunt",Backdoors!AZ27/100,Backdoors!BA27/100)),"")</f>
        <v/>
      </c>
      <c r="FO25" s="49">
        <f>IFERROR(IF(VLOOKUP(tbMoveset!A25,tbMoveset!A2:H112,8,FALSE)="Other",IF(VLOOKUP(tbMoveset!A25,tbMoveset!A2:I112,9,FALSE)="Fire",Backdoors!BB27,IF(VLOOKUP(tbMoveset!A25,tbMoveset!A2:I112,9,FALSE)="Water",Backdoors!BC27,IF(VLOOKUP(tbMoveset!A25,tbMoveset!A2:I112,9,FALSE)="Thunder",Backdoors!BD27,IF(VLOOKUP(tbMoveset!A25,tbMoveset!A2:I112,9,FALSE)="Ice",Backdoors!BE27,IF(VLOOKUP(tbMoveset!A25,tbMoveset!A2:I112,9,FALSE)="Dragon",Backdoors!BF27,Backdoors!BG27)))))/100,Backdoors!BG27/100),"")</f>
        <v>0</v>
      </c>
      <c r="FP25" s="49">
        <f>IFERROR(IF(VLOOKUP(A25,tbMoveset!A2:J112,10,FALSE)=TRUE,IF((Backdoors!AI12+IF(FN25&gt;=0.45,VLOOKUP(Calculator!E23,tbSkills!DH3:DI6,2,FALSE)+IF(AND(Calculator!B8=TRUE,Backdoors!BI27=TRUE),VLOOKUP(Calculator!E23,tbSkills!DH3:DJ6,3,FALSE),0),0))&gt;=0,1+(Backdoors!AL2*(IF((Backdoors!AI12+IF(FN25&gt;=0.45,VLOOKUP(Calculator!E23,tbSkills!DH3:DI6,2,FALSE)+IF(AND(Calculator!B8=TRUE,Backdoors!BI27=TRUE),VLOOKUP(Calculator!E23,tbSkills!DH3:DJ6,3,FALSE),0),0))&gt;=100,100,(Backdoors!AI12+IF(FN25&gt;=0.45,VLOOKUP(Calculator!E23,tbSkills!DH3:DI6,2,FALSE)+IF(AND(Calculator!B8=TRUE,Backdoors!BI27=TRUE),VLOOKUP(Calculator!E23,tbSkills!DH3:DJ6,3,FALSE),0),0)))/100)),(1-(0.25*((-Backdoors!AI12-IF(FN25&gt;=0.45,VLOOKUP(Calculator!E23,tbSkills!DH3:DI6,2,FALSE)+IF(AND(Calculator!B8=TRUE,Backdoors!BI27=TRUE),VLOOKUP(Calculator!E23,tbSkills!DH3:DJ6,3,FALSE),0),0))/100)))),1),"")</f>
        <v>1</v>
      </c>
      <c r="FQ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FN25)*FP25)*(VLOOKUP(A25,tbMoveset!A2:C112,3,FALSE)/100)*IF(VLOOKUP(A25,tbMoveset!A2:B112,2,FALSE)="Projectile",Backdoors!N10,Backdoors!N9),0),"")</f>
        <v/>
      </c>
      <c r="FR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FN25&gt;=0.45,VLOOKUP(Calculator!E23,tbSkills!DH3:DI6,2,FALSE)+IF(AND(Calculator!B8=TRUE,Backdoors!BI27=TRUE),VLOOKUP(Calculator!E23,tbSkills!DH3:DJ6,3,FALSE),0),0))&gt;=100,100,(Backdoors!AI12+IF(FN25&gt;=0.45,VLOOKUP(Calculator!E23,tbSkills!DH3:DI6,2,FALSE)+IF(AND(Calculator!B8=TRUE,Backdoors!BI27=TRUE),VLOOKUP(Calculator!E23,tbSkills!DH3:DJ6,3,FALSE),0),0)))/100)),1))*IF(VLOOKUP(A25,tbMoveset!A2:K112,11,FALSE)=TRUE,Backdoors!AC5,1))*FO25,0),"")</f>
        <v>0</v>
      </c>
      <c r="FS25" s="49">
        <f>VLOOKUP(A25,tbMoveset!A2:G112,7,FALSE)*IFERROR(IF(Backdoors!AI12&gt;=0,1+(IF(Calculator!E40&gt;0,VLOOKUP(Calculator!E40,tbSkills!AI3:AJ5,2,FALSE),Backdoors!AL4)*(IF((Backdoors!AI12+IF(FN25&gt;=0.45,VLOOKUP(Calculator!E23,tbSkills!DH3:DI6,2,FALSE)+IF(AND(Calculator!B8=TRUE,Backdoors!BI27=TRUE),VLOOKUP(Calculator!E23,tbSkills!DH3:DJ6,3,FALSE),0),0))&gt;=100,100,(Backdoors!AI12+IF(FN25&gt;=0.45,VLOOKUP(Calculator!E23,tbSkills!DH3:DI6,2,FALSE)+IF(AND(Calculator!B8=TRUE,Backdoors!BI27=TRUE),VLOOKUP(Calculator!E23,tbSkills!DH3:DJ6,3,FALSE),0),0)))/100)),1),1)</f>
        <v>1</v>
      </c>
      <c r="FT25" s="87">
        <f t="shared" si="17"/>
        <v>0</v>
      </c>
      <c r="FU25" s="86" t="str">
        <f>IFERROR(IF(VLOOKUP(A25,tbMoveset!A2:B112,2,FALSE)="Sever",Backdoors!AY28/100,IF(VLOOKUP(A25,tbMoveset!A2:B112,2,FALSE)="Blunt",Backdoors!AZ28/100,Backdoors!BA28/100)),"")</f>
        <v/>
      </c>
      <c r="FV25" s="49">
        <f>IFERROR(IF(VLOOKUP(tbMoveset!A25,tbMoveset!A2:H112,8,FALSE)="Other",IF(VLOOKUP(tbMoveset!A25,tbMoveset!A2:I112,9,FALSE)="Fire",Backdoors!BB28,IF(VLOOKUP(tbMoveset!A25,tbMoveset!A2:I112,9,FALSE)="Water",Backdoors!BC28,IF(VLOOKUP(tbMoveset!A25,tbMoveset!A2:I112,9,FALSE)="Thunder",Backdoors!BD28,IF(VLOOKUP(tbMoveset!A25,tbMoveset!A2:I112,9,FALSE)="Ice",Backdoors!BE28,IF(VLOOKUP(tbMoveset!A25,tbMoveset!A2:I112,9,FALSE)="Dragon",Backdoors!BF28,Backdoors!BG28)))))/100,Backdoors!BG28/100),"")</f>
        <v>0</v>
      </c>
      <c r="FW25" s="49">
        <f>IFERROR(IF(VLOOKUP(A25,tbMoveset!A2:J112,10,FALSE)=TRUE,IF((Backdoors!AI12+IF(FU25&gt;=0.45,VLOOKUP(Calculator!E23,tbSkills!DH3:DI6,2,FALSE)+IF(AND(Calculator!B8=TRUE,Backdoors!BI28=TRUE),VLOOKUP(Calculator!E23,tbSkills!DH3:DJ6,3,FALSE),0),0))&gt;=0,1+(Backdoors!AL2*(IF((Backdoors!AI12+IF(FU25&gt;=0.45,VLOOKUP(Calculator!E23,tbSkills!DH3:DI6,2,FALSE)+IF(AND(Calculator!B8=TRUE,Backdoors!BI28=TRUE),VLOOKUP(Calculator!E23,tbSkills!DH3:DJ6,3,FALSE),0),0))&gt;=100,100,(Backdoors!AI12+IF(FU25&gt;=0.45,VLOOKUP(Calculator!E23,tbSkills!DH3:DI6,2,FALSE)+IF(AND(Calculator!B8=TRUE,Backdoors!BI28=TRUE),VLOOKUP(Calculator!E23,tbSkills!DH3:DJ6,3,FALSE),0),0)))/100)),(1-(0.25*((-Backdoors!AI12-IF(FU25&gt;=0.45,VLOOKUP(Calculator!E23,tbSkills!DH3:DI6,2,FALSE)+IF(AND(Calculator!B8=TRUE,Backdoors!BI28=TRUE),VLOOKUP(Calculator!E23,tbSkills!DH3:DJ6,3,FALSE),0),0))/100)))),1),"")</f>
        <v>1</v>
      </c>
      <c r="FX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FU25)*FW25)*(VLOOKUP(A25,tbMoveset!A2:C112,3,FALSE)/100)*IF(VLOOKUP(A25,tbMoveset!A2:B112,2,FALSE)="Projectile",Backdoors!N10,Backdoors!N9),0),"")</f>
        <v/>
      </c>
      <c r="FY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FU25&gt;=0.45,VLOOKUP(Calculator!E23,tbSkills!DH3:DI6,2,FALSE)+IF(AND(Calculator!B8=TRUE,Backdoors!BI28=TRUE),VLOOKUP(Calculator!E23,tbSkills!DH3:DJ6,3,FALSE),0),0))&gt;=100,100,(Backdoors!AI12+IF(FU25&gt;=0.45,VLOOKUP(Calculator!E23,tbSkills!DH3:DI6,2,FALSE)+IF(AND(Calculator!B8=TRUE,Backdoors!BI28=TRUE),VLOOKUP(Calculator!E23,tbSkills!DH3:DJ6,3,FALSE),0),0)))/100)),1))*IF(VLOOKUP(A25,tbMoveset!A2:K112,11,FALSE)=TRUE,Backdoors!AC5,1))*FV25,0),"")</f>
        <v>0</v>
      </c>
      <c r="FZ25" s="49">
        <f>VLOOKUP(A25,tbMoveset!A2:G112,7,FALSE)*IFERROR(IF(Backdoors!AI12&gt;=0,1+(IF(Calculator!E40&gt;0,VLOOKUP(Calculator!E40,tbSkills!AI3:AJ5,2,FALSE),Backdoors!AL4)*(IF((Backdoors!AI12+IF(FU25&gt;=0.45,VLOOKUP(Calculator!E23,tbSkills!DH3:DI6,2,FALSE)+IF(AND(Calculator!B8=TRUE,Backdoors!BI28=TRUE),VLOOKUP(Calculator!E23,tbSkills!DH3:DJ6,3,FALSE),0),0))&gt;=100,100,(Backdoors!AI12+IF(FU25&gt;=0.45,VLOOKUP(Calculator!E23,tbSkills!DH3:DI6,2,FALSE)+IF(AND(Calculator!B8=TRUE,Backdoors!BI28=TRUE),VLOOKUP(Calculator!E23,tbSkills!DH3:DJ6,3,FALSE),0),0)))/100)),1),1)</f>
        <v>1</v>
      </c>
      <c r="GA25" s="87">
        <f t="shared" si="18"/>
        <v>0</v>
      </c>
      <c r="GB25" s="86" t="str">
        <f>IFERROR(IF(VLOOKUP(A25,tbMoveset!A2:B112,2,FALSE)="Sever",Backdoors!AY29/100,IF(VLOOKUP(A25,tbMoveset!A2:B112,2,FALSE)="Blunt",Backdoors!AZ29/100,Backdoors!BA29/100)),"")</f>
        <v/>
      </c>
      <c r="GC25" s="49">
        <f>IFERROR(IF(VLOOKUP(tbMoveset!A25,tbMoveset!A2:H112,8,FALSE)="Other",IF(VLOOKUP(tbMoveset!A25,tbMoveset!A2:I112,9,FALSE)="Fire",Backdoors!BB29,IF(VLOOKUP(tbMoveset!A25,tbMoveset!A2:I112,9,FALSE)="Water",Backdoors!BC29,IF(VLOOKUP(tbMoveset!A25,tbMoveset!A2:I112,9,FALSE)="Thunder",Backdoors!BD29,IF(VLOOKUP(tbMoveset!A25,tbMoveset!A2:I112,9,FALSE)="Ice",Backdoors!BE29,IF(VLOOKUP(tbMoveset!A25,tbMoveset!A2:I112,9,FALSE)="Dragon",Backdoors!BF29,Backdoors!BG29)))))/100,Backdoors!BG29/100),"")</f>
        <v>0</v>
      </c>
      <c r="GD25" s="49">
        <f>IFERROR(IF(VLOOKUP(A25,tbMoveset!A2:J112,10,FALSE)=TRUE,IF((Backdoors!AI12+IF(GB25&gt;=0.45,VLOOKUP(Calculator!E23,tbSkills!DH3:DI6,2,FALSE)+IF(AND(Calculator!B8=TRUE,Backdoors!BI29=TRUE),VLOOKUP(Calculator!E23,tbSkills!DH3:DJ6,3,FALSE),0),0))&gt;=0,1+(Backdoors!AL2*(IF((Backdoors!AI12+IF(GB25&gt;=0.45,VLOOKUP(Calculator!E23,tbSkills!DH3:DI6,2,FALSE)+IF(AND(Calculator!B8=TRUE,Backdoors!BI29=TRUE),VLOOKUP(Calculator!E23,tbSkills!DH3:DJ6,3,FALSE),0),0))&gt;=100,100,(Backdoors!AI12+IF(GB25&gt;=0.45,VLOOKUP(Calculator!E23,tbSkills!DH3:DI6,2,FALSE)+IF(AND(Calculator!B8=TRUE,Backdoors!BI29=TRUE),VLOOKUP(Calculator!E23,tbSkills!DH3:DJ6,3,FALSE),0),0)))/100)),(1-(0.25*((-Backdoors!AI12-IF(GB25&gt;=0.45,VLOOKUP(Calculator!E23,tbSkills!DH3:DI6,2,FALSE)+IF(AND(Calculator!B8=TRUE,Backdoors!BI29=TRUE),VLOOKUP(Calculator!E23,tbSkills!DH3:DJ6,3,FALSE),0),0))/100)))),1),"")</f>
        <v>1</v>
      </c>
      <c r="GE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B25)*GD25)*(VLOOKUP(A25,tbMoveset!A2:C112,3,FALSE)/100)*IF(VLOOKUP(A25,tbMoveset!A2:B112,2,FALSE)="Projectile",Backdoors!N10,Backdoors!N9),0),"")</f>
        <v/>
      </c>
      <c r="GF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B25&gt;=0.45,VLOOKUP(Calculator!E23,tbSkills!DH3:DI6,2,FALSE)+IF(AND(Calculator!B8=TRUE,Backdoors!BI29=TRUE),VLOOKUP(Calculator!E23,tbSkills!DH3:DJ6,3,FALSE),0),0))&gt;=100,100,(Backdoors!AI12+IF(GB25&gt;=0.45,VLOOKUP(Calculator!E23,tbSkills!DH3:DI6,2,FALSE)+IF(AND(Calculator!B8=TRUE,Backdoors!BI29=TRUE),VLOOKUP(Calculator!E23,tbSkills!DH3:DJ6,3,FALSE),0),0)))/100)),1))*IF(VLOOKUP(A25,tbMoveset!A2:K112,11,FALSE)=TRUE,Backdoors!AC5,1))*GC25,0),"")</f>
        <v>0</v>
      </c>
      <c r="GG25" s="49">
        <f>VLOOKUP(A25,tbMoveset!A2:G112,7,FALSE)*IFERROR(IF(Backdoors!AI12&gt;=0,1+(IF(Calculator!E40&gt;0,VLOOKUP(Calculator!E40,tbSkills!AI3:AJ5,2,FALSE),Backdoors!AL4)*(IF((Backdoors!AI12+IF(GB25&gt;=0.45,VLOOKUP(Calculator!E23,tbSkills!DH3:DI6,2,FALSE)+IF(AND(Calculator!B8=TRUE,Backdoors!BI29=TRUE),VLOOKUP(Calculator!E23,tbSkills!DH3:DJ6,3,FALSE),0),0))&gt;=100,100,(Backdoors!AI12+IF(GB25&gt;=0.45,VLOOKUP(Calculator!E23,tbSkills!DH3:DI6,2,FALSE)+IF(AND(Calculator!B8=TRUE,Backdoors!BI29=TRUE),VLOOKUP(Calculator!E23,tbSkills!DH3:DJ6,3,FALSE),0),0)))/100)),1),1)</f>
        <v>1</v>
      </c>
      <c r="GH25" s="87">
        <f t="shared" si="19"/>
        <v>0</v>
      </c>
      <c r="GI25" s="86" t="str">
        <f>IFERROR(IF(VLOOKUP(A25,tbMoveset!A2:B112,2,FALSE)="Sever",Backdoors!AY30/100,IF(VLOOKUP(A25,tbMoveset!A2:B112,2,FALSE)="Blunt",Backdoors!AZ30/100,Backdoors!BA30/100)),"")</f>
        <v/>
      </c>
      <c r="GJ25" s="49">
        <f>IFERROR(IF(VLOOKUP(tbMoveset!A25,tbMoveset!A2:H112,8,FALSE)="Other",IF(VLOOKUP(tbMoveset!A25,tbMoveset!A2:I112,9,FALSE)="Fire",Backdoors!BB30,IF(VLOOKUP(tbMoveset!A25,tbMoveset!A2:I112,9,FALSE)="Water",Backdoors!BC30,IF(VLOOKUP(tbMoveset!A25,tbMoveset!A2:I112,9,FALSE)="Thunder",Backdoors!BD30,IF(VLOOKUP(tbMoveset!A25,tbMoveset!A2:I112,9,FALSE)="Ice",Backdoors!BE30,IF(VLOOKUP(tbMoveset!A25,tbMoveset!A2:I112,9,FALSE)="Dragon",Backdoors!BF30,Backdoors!BG30)))))/100,Backdoors!BG30/100),"")</f>
        <v>0</v>
      </c>
      <c r="GK25" s="49">
        <f>IFERROR(IF(VLOOKUP(A25,tbMoveset!A2:J112,10,FALSE)=TRUE,IF((Backdoors!AI12+IF(GI25&gt;=0.45,VLOOKUP(Calculator!E23,tbSkills!DH3:DI6,2,FALSE)+IF(AND(Calculator!B8=TRUE,Backdoors!BI30=TRUE),VLOOKUP(Calculator!E23,tbSkills!DH3:DJ6,3,FALSE),0),0))&gt;=0,1+(Backdoors!AL2*(IF((Backdoors!AI12+IF(GI25&gt;=0.45,VLOOKUP(Calculator!E23,tbSkills!DH3:DI6,2,FALSE)+IF(AND(Calculator!B8=TRUE,Backdoors!BI30=TRUE),VLOOKUP(Calculator!E23,tbSkills!DH3:DJ6,3,FALSE),0),0))&gt;=100,100,(Backdoors!AI12+IF(GI25&gt;=0.45,VLOOKUP(Calculator!E23,tbSkills!DH3:DI6,2,FALSE)+IF(AND(Calculator!B8=TRUE,Backdoors!BI30=TRUE),VLOOKUP(Calculator!E23,tbSkills!DH3:DJ6,3,FALSE),0),0)))/100)),(1-(0.25*((-Backdoors!AI12-IF(GI25&gt;=0.45,VLOOKUP(Calculator!E23,tbSkills!DH3:DI6,2,FALSE)+IF(AND(Calculator!B8=TRUE,Backdoors!BI30=TRUE),VLOOKUP(Calculator!E23,tbSkills!DH3:DJ6,3,FALSE),0),0))/100)))),1),"")</f>
        <v>1</v>
      </c>
      <c r="GL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I25)*GK25)*(VLOOKUP(A25,tbMoveset!A2:C112,3,FALSE)/100)*IF(VLOOKUP(A25,tbMoveset!A2:B112,2,FALSE)="Projectile",Backdoors!N10,Backdoors!N9),0),"")</f>
        <v/>
      </c>
      <c r="GM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I25&gt;=0.45,VLOOKUP(Calculator!E23,tbSkills!DH3:DI6,2,FALSE)+IF(AND(Calculator!B8=TRUE,Backdoors!BI30=TRUE),VLOOKUP(Calculator!E23,tbSkills!DH3:DJ6,3,FALSE),0),0))&gt;=100,100,(Backdoors!AI12+IF(GI25&gt;=0.45,VLOOKUP(Calculator!E23,tbSkills!DH3:DI6,2,FALSE)+IF(AND(Calculator!B8=TRUE,Backdoors!BI30=TRUE),VLOOKUP(Calculator!E23,tbSkills!DH3:DJ6,3,FALSE),0),0)))/100)),1))*IF(VLOOKUP(A25,tbMoveset!A2:K112,11,FALSE)=TRUE,Backdoors!AC5,1))*GJ25,0),"")</f>
        <v>0</v>
      </c>
      <c r="GN25" s="49">
        <f>VLOOKUP(A25,tbMoveset!A2:G112,7,FALSE)*IFERROR(IF(Backdoors!AI12&gt;=0,1+(IF(Calculator!E40&gt;0,VLOOKUP(Calculator!E40,tbSkills!AI3:AJ5,2,FALSE),Backdoors!AL4)*(IF((Backdoors!AI12+IF(GI25&gt;=0.45,VLOOKUP(Calculator!E23,tbSkills!DH3:DI6,2,FALSE)+IF(AND(Calculator!B8=TRUE,Backdoors!BI30=TRUE),VLOOKUP(Calculator!E23,tbSkills!DH3:DJ6,3,FALSE),0),0))&gt;=100,100,(Backdoors!AI12+IF(GI25&gt;=0.45,VLOOKUP(Calculator!E23,tbSkills!DH3:DI6,2,FALSE)+IF(AND(Calculator!B8=TRUE,Backdoors!BI30=TRUE),VLOOKUP(Calculator!E23,tbSkills!DH3:DJ6,3,FALSE),0),0)))/100)),1),1)</f>
        <v>1</v>
      </c>
      <c r="GO25" s="87">
        <f t="shared" si="20"/>
        <v>0</v>
      </c>
      <c r="GP25" s="86" t="str">
        <f>IFERROR(IF(VLOOKUP(A25,tbMoveset!A2:B112,2,FALSE)="Sever",Backdoors!AY31/100,IF(VLOOKUP(A25,tbMoveset!A2:B112,2,FALSE)="Blunt",Backdoors!AZ31/100,Backdoors!BA31/100)),"")</f>
        <v/>
      </c>
      <c r="GQ25" s="49">
        <f>IFERROR(IF(VLOOKUP(tbMoveset!A25,tbMoveset!A2:H112,8,FALSE)="Other",IF(VLOOKUP(tbMoveset!A25,tbMoveset!A2:I112,9,FALSE)="Fire",Backdoors!BB31,IF(VLOOKUP(tbMoveset!A25,tbMoveset!A2:I112,9,FALSE)="Water",Backdoors!BC31,IF(VLOOKUP(tbMoveset!A25,tbMoveset!A2:I112,9,FALSE)="Thunder",Backdoors!BD31,IF(VLOOKUP(tbMoveset!A25,tbMoveset!A2:I112,9,FALSE)="Ice",Backdoors!BE31,IF(VLOOKUP(tbMoveset!A25,tbMoveset!A2:I112,9,FALSE)="Dragon",Backdoors!BF31,Backdoors!BG31)))))/100,Backdoors!BG31/100),"")</f>
        <v>0</v>
      </c>
      <c r="GR25" s="49">
        <f>IFERROR(IF(VLOOKUP(A25,tbMoveset!A2:J112,10,FALSE)=TRUE,IF((Backdoors!AI12+IF(GP25&gt;=0.45,VLOOKUP(Calculator!E23,tbSkills!DH3:DI6,2,FALSE)+IF(AND(Calculator!B8=TRUE,Backdoors!BI31=TRUE),VLOOKUP(Calculator!E23,tbSkills!DH3:DJ6,3,FALSE),0),0))&gt;=0,1+(Backdoors!AL2*(IF((Backdoors!AI12+IF(GP25&gt;=0.45,VLOOKUP(Calculator!E23,tbSkills!DH3:DI6,2,FALSE)+IF(AND(Calculator!B8=TRUE,Backdoors!BI31=TRUE),VLOOKUP(Calculator!E23,tbSkills!DH3:DJ6,3,FALSE),0),0))&gt;=100,100,(Backdoors!AI12+IF(GP25&gt;=0.45,VLOOKUP(Calculator!E23,tbSkills!DH3:DI6,2,FALSE)+IF(AND(Calculator!B8=TRUE,Backdoors!BI31=TRUE),VLOOKUP(Calculator!E23,tbSkills!DH3:DJ6,3,FALSE),0),0)))/100)),(1-(0.25*((-Backdoors!AI12-IF(GP25&gt;=0.45,VLOOKUP(Calculator!E23,tbSkills!DH3:DI6,2,FALSE)+IF(AND(Calculator!B8=TRUE,Backdoors!BI31=TRUE),VLOOKUP(Calculator!E23,tbSkills!DH3:DJ6,3,FALSE),0),0))/100)))),1),"")</f>
        <v>1</v>
      </c>
      <c r="GS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P25)*GR25)*(VLOOKUP(A25,tbMoveset!A2:C112,3,FALSE)/100)*IF(VLOOKUP(A25,tbMoveset!A2:B112,2,FALSE)="Projectile",Backdoors!N10,Backdoors!N9),0),"")</f>
        <v/>
      </c>
      <c r="GT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P25&gt;=0.45,VLOOKUP(Calculator!E23,tbSkills!DH3:DI6,2,FALSE)+IF(AND(Calculator!B8=TRUE,Backdoors!BI31=TRUE),VLOOKUP(Calculator!E23,tbSkills!DH3:DJ6,3,FALSE),0),0))&gt;=100,100,(Backdoors!AI12+IF(GP25&gt;=0.45,VLOOKUP(Calculator!E23,tbSkills!DH3:DI6,2,FALSE)+IF(AND(Calculator!B8=TRUE,Backdoors!BI31=TRUE),VLOOKUP(Calculator!E23,tbSkills!DH3:DJ6,3,FALSE),0),0)))/100)),1))*IF(VLOOKUP(A25,tbMoveset!A2:K112,11,FALSE)=TRUE,Backdoors!AC5,1))*GQ25,0),"")</f>
        <v>0</v>
      </c>
      <c r="GU25" s="49">
        <f>VLOOKUP(A25,tbMoveset!A2:G112,7,FALSE)*IFERROR(IF(Backdoors!AI12&gt;=0,1+(IF(Calculator!E40&gt;0,VLOOKUP(Calculator!E40,tbSkills!AI3:AJ5,2,FALSE),Backdoors!AL4)*(IF((Backdoors!AI12+IF(GP25&gt;=0.45,VLOOKUP(Calculator!E23,tbSkills!DH3:DI6,2,FALSE)+IF(AND(Calculator!B8=TRUE,Backdoors!BI31=TRUE),VLOOKUP(Calculator!E23,tbSkills!DH3:DJ6,3,FALSE),0),0))&gt;=100,100,(Backdoors!AI12+IF(GP25&gt;=0.45,VLOOKUP(Calculator!E23,tbSkills!DH3:DI6,2,FALSE)+IF(AND(Calculator!B8=TRUE,Backdoors!BI31=TRUE),VLOOKUP(Calculator!E23,tbSkills!DH3:DJ6,3,FALSE),0),0)))/100)),1),1)</f>
        <v>1</v>
      </c>
      <c r="GV25" s="87">
        <f t="shared" si="21"/>
        <v>0</v>
      </c>
      <c r="GW25" s="86" t="str">
        <f>IFERROR(IF(VLOOKUP(A25,tbMoveset!A2:B112,2,FALSE)="Sever",Backdoors!AY32/100,IF(VLOOKUP(A25,tbMoveset!A2:B112,2,FALSE)="Blunt",Backdoors!AZ32/100,Backdoors!BA32/100)),"")</f>
        <v/>
      </c>
      <c r="GX25" s="49">
        <f>IFERROR(IF(VLOOKUP(tbMoveset!A25,tbMoveset!A2:H112,8,FALSE)="Other",IF(VLOOKUP(tbMoveset!A25,tbMoveset!A2:I112,9,FALSE)="Fire",Backdoors!BB32,IF(VLOOKUP(tbMoveset!A25,tbMoveset!A2:I112,9,FALSE)="Water",Backdoors!BC32,IF(VLOOKUP(tbMoveset!A25,tbMoveset!A2:I112,9,FALSE)="Thunder",Backdoors!BD32,IF(VLOOKUP(tbMoveset!A25,tbMoveset!A2:I112,9,FALSE)="Ice",Backdoors!BE32,IF(VLOOKUP(tbMoveset!A25,tbMoveset!A2:I112,9,FALSE)="Dragon",Backdoors!BF32,Backdoors!BG32)))))/100,Backdoors!BG32/100),"")</f>
        <v>0</v>
      </c>
      <c r="GY25" s="49">
        <f>IFERROR(IF(VLOOKUP(A25,tbMoveset!A2:J112,10,FALSE)=TRUE,IF((Backdoors!AI12+IF(GW25&gt;=0.45,VLOOKUP(Calculator!E23,tbSkills!DH3:DI6,2,FALSE)+IF(AND(Calculator!B8=TRUE,Backdoors!BI32=TRUE),VLOOKUP(Calculator!E23,tbSkills!DH3:DJ6,3,FALSE),0),0))&gt;=0,1+(Backdoors!AL2*(IF((Backdoors!AI12+IF(GW25&gt;=0.45,VLOOKUP(Calculator!E23,tbSkills!DH3:DI6,2,FALSE)+IF(AND(Calculator!B8=TRUE,Backdoors!BI32=TRUE),VLOOKUP(Calculator!E23,tbSkills!DH3:DJ6,3,FALSE),0),0))&gt;=100,100,(Backdoors!AI12+IF(GW25&gt;=0.45,VLOOKUP(Calculator!E23,tbSkills!DH3:DI6,2,FALSE)+IF(AND(Calculator!B8=TRUE,Backdoors!BI32=TRUE),VLOOKUP(Calculator!E23,tbSkills!DH3:DJ6,3,FALSE),0),0)))/100)),(1-(0.25*((-Backdoors!AI12-IF(GW25&gt;=0.45,VLOOKUP(Calculator!E23,tbSkills!DH3:DI6,2,FALSE)+IF(AND(Calculator!B8=TRUE,Backdoors!BI32=TRUE),VLOOKUP(Calculator!E23,tbSkills!DH3:DJ6,3,FALSE),0),0))/100)))),1),"")</f>
        <v>1</v>
      </c>
      <c r="GZ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W25)*GY25)*(VLOOKUP(A25,tbMoveset!A2:C112,3,FALSE)/100)*IF(VLOOKUP(A25,tbMoveset!A2:B112,2,FALSE)="Projectile",Backdoors!N10,Backdoors!N9),0),"")</f>
        <v/>
      </c>
      <c r="HA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W25&gt;=0.45,VLOOKUP(Calculator!E23,tbSkills!DH3:DI6,2,FALSE)+IF(AND(Calculator!B8=TRUE,Backdoors!BI32=TRUE),VLOOKUP(Calculator!E23,tbSkills!DH3:DJ6,3,FALSE),0),0))&gt;=100,100,(Backdoors!AI12+IF(GW25&gt;=0.45,VLOOKUP(Calculator!E23,tbSkills!DH3:DI6,2,FALSE)+IF(AND(Calculator!B8=TRUE,Backdoors!BI32=TRUE),VLOOKUP(Calculator!E23,tbSkills!DH3:DJ6,3,FALSE),0),0)))/100)),1))*IF(VLOOKUP(A25,tbMoveset!A2:K112,11,FALSE)=TRUE,Backdoors!AC5,1))*GX25,0),"")</f>
        <v>0</v>
      </c>
      <c r="HB25" s="49">
        <f>VLOOKUP(A25,tbMoveset!A2:G112,7,FALSE)*IFERROR(IF(Backdoors!AI12&gt;=0,1+(IF(Calculator!E40&gt;0,VLOOKUP(Calculator!E40,tbSkills!AI3:AJ5,2,FALSE),Backdoors!AL4)*(IF((Backdoors!AI12+IF(GW25&gt;=0.45,VLOOKUP(Calculator!E23,tbSkills!DH3:DI6,2,FALSE)+IF(AND(Calculator!B8=TRUE,Backdoors!BI32=TRUE),VLOOKUP(Calculator!E23,tbSkills!DH3:DJ6,3,FALSE),0),0))&gt;=100,100,(Backdoors!AI12+IF(GW25&gt;=0.45,VLOOKUP(Calculator!E23,tbSkills!DH3:DI6,2,FALSE)+IF(AND(Calculator!B8=TRUE,Backdoors!BI32=TRUE),VLOOKUP(Calculator!E23,tbSkills!DH3:DJ6,3,FALSE),0),0)))/100)),1),1)</f>
        <v>1</v>
      </c>
      <c r="HC25" s="87">
        <f t="shared" si="22"/>
        <v>0</v>
      </c>
      <c r="HD25" s="86" t="str">
        <f>IFERROR(IF(VLOOKUP(A25,tbMoveset!A2:B112,2,FALSE)="Sever",Backdoors!AY33/100,IF(VLOOKUP(A25,tbMoveset!A2:B112,2,FALSE)="Blunt",Backdoors!AZ33/100,Backdoors!BA33/100)),"")</f>
        <v/>
      </c>
      <c r="HE25" s="49">
        <f>IFERROR(IF(VLOOKUP(tbMoveset!A25,tbMoveset!A2:H112,8,FALSE)="Other",IF(VLOOKUP(tbMoveset!A25,tbMoveset!A2:I112,9,FALSE)="Fire",Backdoors!BB33,IF(VLOOKUP(tbMoveset!A25,tbMoveset!A2:I112,9,FALSE)="Water",Backdoors!BC33,IF(VLOOKUP(tbMoveset!A25,tbMoveset!A2:I112,9,FALSE)="Thunder",Backdoors!BD33,IF(VLOOKUP(tbMoveset!A25,tbMoveset!A2:I112,9,FALSE)="Ice",Backdoors!BE33,IF(VLOOKUP(tbMoveset!A25,tbMoveset!A2:I112,9,FALSE)="Dragon",Backdoors!BF33,Backdoors!BG33)))))/100,Backdoors!BG33/100),"")</f>
        <v>0</v>
      </c>
      <c r="HF25" s="49">
        <f>IFERROR(IF(VLOOKUP(A25,tbMoveset!A2:J112,10,FALSE)=TRUE,IF((Backdoors!AI12+IF(HD25&gt;=0.45,VLOOKUP(Calculator!E23,tbSkills!DH3:DI6,2,FALSE)+IF(AND(Calculator!B8=TRUE,Backdoors!BI33=TRUE),VLOOKUP(Calculator!E23,tbSkills!DH3:DJ6,3,FALSE),0),0))&gt;=0,1+(Backdoors!AL2*(IF((Backdoors!AI12+IF(HD25&gt;=0.45,VLOOKUP(Calculator!E23,tbSkills!DH3:DI6,2,FALSE)+IF(AND(Calculator!B8=TRUE,Backdoors!BI33=TRUE),VLOOKUP(Calculator!E23,tbSkills!DH3:DJ6,3,FALSE),0),0))&gt;=100,100,(Backdoors!AI12+IF(HD25&gt;=0.45,VLOOKUP(Calculator!E23,tbSkills!DH3:DI6,2,FALSE)+IF(AND(Calculator!B8=TRUE,Backdoors!BI33=TRUE),VLOOKUP(Calculator!E23,tbSkills!DH3:DJ6,3,FALSE),0),0)))/100)),(1-(0.25*((-Backdoors!AI12-IF(HD25&gt;=0.45,VLOOKUP(Calculator!E23,tbSkills!DH3:DI6,2,FALSE)+IF(AND(Calculator!B8=TRUE,Backdoors!BI33=TRUE),VLOOKUP(Calculator!E23,tbSkills!DH3:DJ6,3,FALSE),0),0))/100)))),1),"")</f>
        <v>1</v>
      </c>
      <c r="HG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D25)*HF25)*(VLOOKUP(A25,tbMoveset!A2:C112,3,FALSE)/100)*IF(VLOOKUP(A25,tbMoveset!A2:B112,2,FALSE)="Projectile",Backdoors!N10,Backdoors!N9),0),"")</f>
        <v/>
      </c>
      <c r="HH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D25&gt;=0.45,VLOOKUP(Calculator!E23,tbSkills!DH3:DI6,2,FALSE)+IF(AND(Calculator!B8=TRUE,Backdoors!BI33=TRUE),VLOOKUP(Calculator!E23,tbSkills!DH3:DJ6,3,FALSE),0),0))&gt;=100,100,(Backdoors!AI12+IF(HD25&gt;=0.45,VLOOKUP(Calculator!E23,tbSkills!DH3:DI6,2,FALSE)+IF(AND(Calculator!B8=TRUE,Backdoors!BI33=TRUE),VLOOKUP(Calculator!E23,tbSkills!DH3:DJ6,3,FALSE),0),0)))/100)),1))*IF(VLOOKUP(A25,tbMoveset!A2:K112,11,FALSE)=TRUE,Backdoors!AC5,1))*HE25,0),"")</f>
        <v>0</v>
      </c>
      <c r="HI25" s="49">
        <f>VLOOKUP(A25,tbMoveset!A2:G112,7,FALSE)*IFERROR(IF(Backdoors!AI12&gt;=0,1+(IF(Calculator!E40&gt;0,VLOOKUP(Calculator!E40,tbSkills!AI3:AJ5,2,FALSE),Backdoors!AL4)*(IF((Backdoors!AI12+IF(HD25&gt;=0.45,VLOOKUP(Calculator!E23,tbSkills!DH3:DI6,2,FALSE)+IF(AND(Calculator!B8=TRUE,Backdoors!BI33=TRUE),VLOOKUP(Calculator!E23,tbSkills!DH3:DJ6,3,FALSE),0),0))&gt;=100,100,(Backdoors!AI12+IF(HD25&gt;=0.45,VLOOKUP(Calculator!E23,tbSkills!DH3:DI6,2,FALSE)+IF(AND(Calculator!B8=TRUE,Backdoors!BI33=TRUE),VLOOKUP(Calculator!E23,tbSkills!DH3:DJ6,3,FALSE),0),0)))/100)),1),1)</f>
        <v>1</v>
      </c>
      <c r="HJ25" s="87">
        <f t="shared" si="23"/>
        <v>0</v>
      </c>
      <c r="HK25" s="86" t="str">
        <f>IFERROR(IF(VLOOKUP(A25,tbMoveset!A2:B112,2,FALSE)="Sever",Backdoors!AY34/100,IF(VLOOKUP(A25,tbMoveset!A2:B112,2,FALSE)="Blunt",Backdoors!AZ34/100,Backdoors!BA34/100)),"")</f>
        <v/>
      </c>
      <c r="HL25" s="49">
        <f>IFERROR(IF(VLOOKUP(tbMoveset!A25,tbMoveset!A2:H112,8,FALSE)="Other",IF(VLOOKUP(tbMoveset!A25,tbMoveset!A2:I112,9,FALSE)="Fire",Backdoors!BB34,IF(VLOOKUP(tbMoveset!A25,tbMoveset!A2:I112,9,FALSE)="Water",Backdoors!BC34,IF(VLOOKUP(tbMoveset!A25,tbMoveset!A2:I112,9,FALSE)="Thunder",Backdoors!BD34,IF(VLOOKUP(tbMoveset!A25,tbMoveset!A2:I112,9,FALSE)="Ice",Backdoors!BE34,IF(VLOOKUP(tbMoveset!A25,tbMoveset!A2:I112,9,FALSE)="Dragon",Backdoors!BF34,Backdoors!BG34)))))/100,Backdoors!BG34/100),"")</f>
        <v>0</v>
      </c>
      <c r="HM25" s="49">
        <f>IFERROR(IF(VLOOKUP(A25,tbMoveset!A2:J112,10,FALSE)=TRUE,IF((Backdoors!AI12+IF(HK25&gt;=0.45,VLOOKUP(Calculator!E23,tbSkills!DH3:DI6,2,FALSE)+IF(AND(Calculator!B8=TRUE,Backdoors!BI34=TRUE),VLOOKUP(Calculator!E23,tbSkills!DH3:DJ6,3,FALSE),0),0))&gt;=0,1+(Backdoors!AL2*(IF((Backdoors!AI12+IF(HK25&gt;=0.45,VLOOKUP(Calculator!E23,tbSkills!DH3:DI6,2,FALSE)+IF(AND(Calculator!B8=TRUE,Backdoors!BI34=TRUE),VLOOKUP(Calculator!E23,tbSkills!DH3:DJ6,3,FALSE),0),0))&gt;=100,100,(Backdoors!AI12+IF(HK25&gt;=0.45,VLOOKUP(Calculator!E23,tbSkills!DH3:DI6,2,FALSE)+IF(AND(Calculator!B8=TRUE,Backdoors!BI34=TRUE),VLOOKUP(Calculator!E23,tbSkills!DH3:DJ6,3,FALSE),0),0)))/100)),(1-(0.25*((-Backdoors!AI12-IF(HK25&gt;=0.45,VLOOKUP(Calculator!E23,tbSkills!DH3:DI6,2,FALSE)+IF(AND(Calculator!B8=TRUE,Backdoors!BI34=TRUE),VLOOKUP(Calculator!E23,tbSkills!DH3:DJ6,3,FALSE),0),0))/100)))),1),"")</f>
        <v>1</v>
      </c>
      <c r="HN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K25)*HM25)*(VLOOKUP(A25,tbMoveset!A2:C112,3,FALSE)/100)*IF(VLOOKUP(A25,tbMoveset!A2:B112,2,FALSE)="Projectile",Backdoors!N10,Backdoors!N9),0),"")</f>
        <v/>
      </c>
      <c r="HO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K25&gt;=0.45,VLOOKUP(Calculator!E23,tbSkills!DH3:DI6,2,FALSE)+IF(AND(Calculator!B8=TRUE,Backdoors!BI34=TRUE),VLOOKUP(Calculator!E23,tbSkills!DH3:DJ6,3,FALSE),0),0))&gt;=100,100,(Backdoors!AI12+IF(HK25&gt;=0.45,VLOOKUP(Calculator!E23,tbSkills!DH3:DI6,2,FALSE)+IF(AND(Calculator!B8=TRUE,Backdoors!BI34=TRUE),VLOOKUP(Calculator!E23,tbSkills!DH3:DJ6,3,FALSE),0),0)))/100)),1))*IF(VLOOKUP(A25,tbMoveset!A2:K112,11,FALSE)=TRUE,Backdoors!AC5,1))*HL25,0),"")</f>
        <v>0</v>
      </c>
      <c r="HP25" s="49">
        <f>VLOOKUP(A25,tbMoveset!A2:G112,7,FALSE)*IFERROR(IF(Backdoors!AI12&gt;=0,1+(IF(Calculator!E40&gt;0,VLOOKUP(Calculator!E40,tbSkills!AI3:AJ5,2,FALSE),Backdoors!AL4)*(IF((Backdoors!AI12+IF(HK25&gt;=0.45,VLOOKUP(Calculator!E23,tbSkills!DH3:DI6,2,FALSE)+IF(AND(Calculator!B8=TRUE,Backdoors!BI34=TRUE),VLOOKUP(Calculator!E23,tbSkills!DH3:DJ6,3,FALSE),0),0))&gt;=100,100,(Backdoors!AI12+IF(HK25&gt;=0.45,VLOOKUP(Calculator!E23,tbSkills!DH3:DI6,2,FALSE)+IF(AND(Calculator!B8=TRUE,Backdoors!BI34=TRUE),VLOOKUP(Calculator!E23,tbSkills!DH3:DJ6,3,FALSE),0),0)))/100)),1),1)</f>
        <v>1</v>
      </c>
      <c r="HQ25" s="87">
        <f t="shared" si="24"/>
        <v>0</v>
      </c>
      <c r="HR25" s="86" t="str">
        <f>IFERROR(IF(VLOOKUP(A25,tbMoveset!A2:B112,2,FALSE)="Sever",Backdoors!AY35/100,IF(VLOOKUP(A25,tbMoveset!A2:B112,2,FALSE)="Blunt",Backdoors!AZ35/100,Backdoors!BA35/100)),"")</f>
        <v/>
      </c>
      <c r="HS25" s="49">
        <f>IFERROR(IF(VLOOKUP(tbMoveset!A25,tbMoveset!A2:H112,8,FALSE)="Other",IF(VLOOKUP(tbMoveset!A25,tbMoveset!A2:I112,9,FALSE)="Fire",Backdoors!BB35,IF(VLOOKUP(tbMoveset!A25,tbMoveset!A2:I112,9,FALSE)="Water",Backdoors!BC35,IF(VLOOKUP(tbMoveset!A25,tbMoveset!A2:I112,9,FALSE)="Thunder",Backdoors!BD35,IF(VLOOKUP(tbMoveset!A25,tbMoveset!A2:I112,9,FALSE)="Ice",Backdoors!BE35,IF(VLOOKUP(tbMoveset!A25,tbMoveset!A2:I112,9,FALSE)="Dragon",Backdoors!BF35,Backdoors!BG35)))))/100,Backdoors!BG35/100),"")</f>
        <v>0</v>
      </c>
      <c r="HT25" s="49">
        <f>IFERROR(IF(VLOOKUP(A25,tbMoveset!A2:J112,10,FALSE)=TRUE,IF((Backdoors!AI12+IF(HR25&gt;=0.45,VLOOKUP(Calculator!E23,tbSkills!DH3:DI6,2,FALSE)+IF(AND(Calculator!B8=TRUE,Backdoors!BI35=TRUE),VLOOKUP(Calculator!E23,tbSkills!DH3:DJ6,3,FALSE),0),0))&gt;=0,1+(Backdoors!AL2*(IF((Backdoors!AI12+IF(HR25&gt;=0.45,VLOOKUP(Calculator!E23,tbSkills!DH3:DI6,2,FALSE)+IF(AND(Calculator!B8=TRUE,Backdoors!BI35=TRUE),VLOOKUP(Calculator!E23,tbSkills!DH3:DJ6,3,FALSE),0),0))&gt;=100,100,(Backdoors!AI12+IF(HR25&gt;=0.45,VLOOKUP(Calculator!E23,tbSkills!DH3:DI6,2,FALSE)+IF(AND(Calculator!B8=TRUE,Backdoors!BI35=TRUE),VLOOKUP(Calculator!E23,tbSkills!DH3:DJ6,3,FALSE),0),0)))/100)),(1-(0.25*((-Backdoors!AI12-IF(HR25&gt;=0.45,VLOOKUP(Calculator!E23,tbSkills!DH3:DI6,2,FALSE)+IF(AND(Calculator!B8=TRUE,Backdoors!BI35=TRUE),VLOOKUP(Calculator!E23,tbSkills!DH3:DJ6,3,FALSE),0),0))/100)))),1),"")</f>
        <v>1</v>
      </c>
      <c r="HU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R25)*HT25)*(VLOOKUP(A25,tbMoveset!A2:C112,3,FALSE)/100)*IF(VLOOKUP(A25,tbMoveset!A2:B112,2,FALSE)="Projectile",Backdoors!N10,Backdoors!N9),0),"")</f>
        <v/>
      </c>
      <c r="HV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R25&gt;=0.45,VLOOKUP(Calculator!E23,tbSkills!DH3:DI6,2,FALSE)+IF(AND(Calculator!B8=TRUE,Backdoors!BI35=TRUE),VLOOKUP(Calculator!E23,tbSkills!DH3:DJ6,3,FALSE),0),0))&gt;=100,100,(Backdoors!AI12+IF(HR25&gt;=0.45,VLOOKUP(Calculator!E23,tbSkills!DH3:DI6,2,FALSE)+IF(AND(Calculator!B8=TRUE,Backdoors!BI35=TRUE),VLOOKUP(Calculator!E23,tbSkills!DH3:DJ6,3,FALSE),0),0)))/100)),1))*IF(VLOOKUP(A25,tbMoveset!A2:K112,11,FALSE)=TRUE,Backdoors!AC5,1))*HS25,0),"")</f>
        <v>0</v>
      </c>
      <c r="HW25" s="49">
        <f>VLOOKUP(A25,tbMoveset!A2:G112,7,FALSE)*IFERROR(IF(Backdoors!AI12&gt;=0,1+(IF(Calculator!E40&gt;0,VLOOKUP(Calculator!E40,tbSkills!AI3:AJ5,2,FALSE),Backdoors!AL4)*(IF((Backdoors!AI12+IF(HR25&gt;=0.45,VLOOKUP(Calculator!E23,tbSkills!DH3:DI6,2,FALSE)+IF(AND(Calculator!B8=TRUE,Backdoors!BI35=TRUE),VLOOKUP(Calculator!E23,tbSkills!DH3:DJ6,3,FALSE),0),0))&gt;=100,100,(Backdoors!AI12+IF(HR25&gt;=0.45,VLOOKUP(Calculator!E23,tbSkills!DH3:DI6,2,FALSE)+IF(AND(Calculator!B8=TRUE,Backdoors!BI35=TRUE),VLOOKUP(Calculator!E23,tbSkills!DH3:DJ6,3,FALSE),0),0)))/100)),1),1)</f>
        <v>1</v>
      </c>
      <c r="HX25" s="87">
        <f t="shared" si="25"/>
        <v>0</v>
      </c>
      <c r="HY25" s="86" t="str">
        <f>IFERROR(IF(VLOOKUP(A25,tbMoveset!A2:B112,2,FALSE)="Sever",Backdoors!AY36/100,IF(VLOOKUP(A25,tbMoveset!A2:B112,2,FALSE)="Blunt",Backdoors!AZ36/100,Backdoors!BA36/100)),"")</f>
        <v/>
      </c>
      <c r="HZ25" s="49">
        <f>IFERROR(IF(VLOOKUP(tbMoveset!A25,tbMoveset!A2:H112,8,FALSE)="Other",IF(VLOOKUP(tbMoveset!A25,tbMoveset!A2:I112,9,FALSE)="Fire",Backdoors!BB36,IF(VLOOKUP(tbMoveset!A25,tbMoveset!A2:I112,9,FALSE)="Water",Backdoors!BC36,IF(VLOOKUP(tbMoveset!A25,tbMoveset!A2:I112,9,FALSE)="Thunder",Backdoors!BD36,IF(VLOOKUP(tbMoveset!A25,tbMoveset!A2:I112,9,FALSE)="Ice",Backdoors!BE36,IF(VLOOKUP(tbMoveset!A25,tbMoveset!A2:I112,9,FALSE)="Dragon",Backdoors!BF36,Backdoors!BG36)))))/100,Backdoors!BG36/100),"")</f>
        <v>0</v>
      </c>
      <c r="IA25" s="49">
        <f>IFERROR(IF(VLOOKUP(A25,tbMoveset!A2:J112,10,FALSE)=TRUE,IF((Backdoors!AI12+IF(HY25&gt;=0.45,VLOOKUP(Calculator!E23,tbSkills!DH3:DI6,2,FALSE)+IF(AND(Calculator!B8=TRUE,Backdoors!BI36=TRUE),VLOOKUP(Calculator!E23,tbSkills!DH3:DJ6,3,FALSE),0),0))&gt;=0,1+(Backdoors!AL2*(IF((Backdoors!AI12+IF(HY25&gt;=0.45,VLOOKUP(Calculator!E23,tbSkills!DH3:DI6,2,FALSE)+IF(AND(Calculator!B8=TRUE,Backdoors!BI36=TRUE),VLOOKUP(Calculator!E23,tbSkills!DH3:DJ6,3,FALSE),0),0))&gt;=100,100,(Backdoors!AI12+IF(HY25&gt;=0.45,VLOOKUP(Calculator!E23,tbSkills!DH3:DI6,2,FALSE)+IF(AND(Calculator!B8=TRUE,Backdoors!BI36=TRUE),VLOOKUP(Calculator!E23,tbSkills!DH3:DJ6,3,FALSE),0),0)))/100)),(1-(0.25*((-Backdoors!AI12-IF(HY25&gt;=0.45,VLOOKUP(Calculator!E23,tbSkills!DH3:DI6,2,FALSE)+IF(AND(Calculator!B8=TRUE,Backdoors!BI36=TRUE),VLOOKUP(Calculator!E23,tbSkills!DH3:DJ6,3,FALSE),0),0))/100)))),1),"")</f>
        <v>1</v>
      </c>
      <c r="IB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Y25)*IA25)*(VLOOKUP(A25,tbMoveset!A2:C112,3,FALSE)/100)*IF(VLOOKUP(A25,tbMoveset!A2:B112,2,FALSE)="Projectile",Backdoors!N10,Backdoors!N9),0),"")</f>
        <v/>
      </c>
      <c r="IC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Y25&gt;=0.45,VLOOKUP(Calculator!E23,tbSkills!DH3:DI6,2,FALSE)+IF(AND(Calculator!B8=TRUE,Backdoors!BI36=TRUE),VLOOKUP(Calculator!E23,tbSkills!DH3:DJ6,3,FALSE),0),0))&gt;=100,100,(Backdoors!AI12+IF(HY25&gt;=0.45,VLOOKUP(Calculator!E23,tbSkills!DH3:DI6,2,FALSE)+IF(AND(Calculator!B8=TRUE,Backdoors!BI36=TRUE),VLOOKUP(Calculator!E23,tbSkills!DH3:DJ6,3,FALSE),0),0)))/100)),1))*IF(VLOOKUP(A25,tbMoveset!A2:K112,11,FALSE)=TRUE,Backdoors!AC5,1))*HZ25,0),"")</f>
        <v>0</v>
      </c>
      <c r="ID25" s="49">
        <f>VLOOKUP(A25,tbMoveset!A2:G112,7,FALSE)*IFERROR(IF(Backdoors!AI12&gt;=0,1+(IF(Calculator!E40&gt;0,VLOOKUP(Calculator!E40,tbSkills!AI3:AJ5,2,FALSE),Backdoors!AL4)*(IF((Backdoors!AI12+IF(HY25&gt;=0.45,VLOOKUP(Calculator!E23,tbSkills!DH3:DI6,2,FALSE)+IF(AND(Calculator!B8=TRUE,Backdoors!BI36=TRUE),VLOOKUP(Calculator!E23,tbSkills!DH3:DJ6,3,FALSE),0),0))&gt;=100,100,(Backdoors!AI12+IF(HY25&gt;=0.45,VLOOKUP(Calculator!E23,tbSkills!DH3:DI6,2,FALSE)+IF(AND(Calculator!B8=TRUE,Backdoors!BI36=TRUE),VLOOKUP(Calculator!E23,tbSkills!DH3:DJ6,3,FALSE),0),0)))/100)),1),1)</f>
        <v>1</v>
      </c>
      <c r="IE25" s="87">
        <f t="shared" si="26"/>
        <v>0</v>
      </c>
      <c r="IF25" s="86" t="str">
        <f>IFERROR(IF(VLOOKUP(A25,tbMoveset!A2:B112,2,FALSE)="Sever",Backdoors!AY37/100,IF(VLOOKUP(A25,tbMoveset!A2:B112,2,FALSE)="Blunt",Backdoors!AZ37/100,Backdoors!BA37/100)),"")</f>
        <v/>
      </c>
      <c r="IG25" s="49">
        <f>IFERROR(IF(VLOOKUP(tbMoveset!A25,tbMoveset!A2:H112,8,FALSE)="Other",IF(VLOOKUP(tbMoveset!A25,tbMoveset!A2:I112,9,FALSE)="Fire",Backdoors!BB37,IF(VLOOKUP(tbMoveset!A25,tbMoveset!A2:I112,9,FALSE)="Water",Backdoors!BC37,IF(VLOOKUP(tbMoveset!A25,tbMoveset!A2:I112,9,FALSE)="Thunder",Backdoors!BD37,IF(VLOOKUP(tbMoveset!A25,tbMoveset!A2:I112,9,FALSE)="Ice",Backdoors!BE37,IF(VLOOKUP(tbMoveset!A25,tbMoveset!A2:I112,9,FALSE)="Dragon",Backdoors!BF37,Backdoors!BG37)))))/100,Backdoors!BG37/100),"")</f>
        <v>0</v>
      </c>
      <c r="IH25" s="49">
        <f>IFERROR(IF(VLOOKUP(A25,tbMoveset!A2:J112,10,FALSE)=TRUE,IF((Backdoors!AI12+IF(IF25&gt;=0.45,VLOOKUP(Calculator!E23,tbSkills!DH3:DI6,2,FALSE)+IF(AND(Calculator!B8=TRUE,Backdoors!BI37=TRUE),VLOOKUP(Calculator!E23,tbSkills!DH3:DJ6,3,FALSE),0),0))&gt;=0,1+(Backdoors!AL2*(IF((Backdoors!AI12+IF(IF25&gt;=0.45,VLOOKUP(Calculator!E23,tbSkills!DH3:DI6,2,FALSE)+IF(AND(Calculator!B8=TRUE,Backdoors!BI37=TRUE),VLOOKUP(Calculator!E23,tbSkills!DH3:DJ6,3,FALSE),0),0))&gt;=100,100,(Backdoors!AI12+IF(IF25&gt;=0.45,VLOOKUP(Calculator!E23,tbSkills!DH3:DI6,2,FALSE)+IF(AND(Calculator!B8=TRUE,Backdoors!BI37=TRUE),VLOOKUP(Calculator!E23,tbSkills!DH3:DJ6,3,FALSE),0),0)))/100)),(1-(0.25*((-Backdoors!AI12-IF(IF25&gt;=0.45,VLOOKUP(Calculator!E23,tbSkills!DH3:DI6,2,FALSE)+IF(AND(Calculator!B8=TRUE,Backdoors!BI37=TRUE),VLOOKUP(Calculator!E23,tbSkills!DH3:DJ6,3,FALSE),0),0))/100)))),1),"")</f>
        <v>1</v>
      </c>
      <c r="II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F25)*IH25)*(VLOOKUP(A25,tbMoveset!A2:C112,3,FALSE)/100)*IF(VLOOKUP(A25,tbMoveset!A2:B112,2,FALSE)="Projectile",Backdoors!N10,Backdoors!N9),0),"")</f>
        <v/>
      </c>
      <c r="IJ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IF25&gt;=0.45,VLOOKUP(Calculator!E23,tbSkills!DH3:DI6,2,FALSE)+IF(AND(Calculator!B8=TRUE,Backdoors!BI37=TRUE),VLOOKUP(Calculator!E23,tbSkills!DH3:DJ6,3,FALSE),0),0))&gt;=100,100,(Backdoors!AI12+IF(IF25&gt;=0.45,VLOOKUP(Calculator!E23,tbSkills!DH3:DI6,2,FALSE)+IF(AND(Calculator!B8=TRUE,Backdoors!BI37=TRUE),VLOOKUP(Calculator!E23,tbSkills!DH3:DJ6,3,FALSE),0),0)))/100)),1))*IF(VLOOKUP(A25,tbMoveset!A2:K112,11,FALSE)=TRUE,Backdoors!AC5,1))*IG25,0),"")</f>
        <v>0</v>
      </c>
      <c r="IK25" s="49">
        <f>VLOOKUP(A25,tbMoveset!A2:G112,7,FALSE)*IFERROR(IF(Backdoors!AI12&gt;=0,1+(IF(Calculator!E40&gt;0,VLOOKUP(Calculator!E40,tbSkills!AI3:AJ5,2,FALSE),Backdoors!AL4)*(IF((Backdoors!AI12+IF(IF25&gt;=0.45,VLOOKUP(Calculator!E23,tbSkills!DH3:DI6,2,FALSE)+IF(AND(Calculator!B8=TRUE,Backdoors!BI37=TRUE),VLOOKUP(Calculator!E23,tbSkills!DH3:DJ6,3,FALSE),0),0))&gt;=100,100,(Backdoors!AI12+IF(IF25&gt;=0.45,VLOOKUP(Calculator!E23,tbSkills!DH3:DI6,2,FALSE)+IF(AND(Calculator!B8=TRUE,Backdoors!BI37=TRUE),VLOOKUP(Calculator!E23,tbSkills!DH3:DJ6,3,FALSE),0),0)))/100)),1),1)</f>
        <v>1</v>
      </c>
      <c r="IL25" s="87">
        <f t="shared" si="27"/>
        <v>0</v>
      </c>
      <c r="IM25" s="86" t="str">
        <f>IFERROR(IF(VLOOKUP(A25,tbMoveset!A2:B112,2,FALSE)="Sever",Backdoors!AY38/100,IF(VLOOKUP(A25,tbMoveset!A2:B112,2,FALSE)="Blunt",Backdoors!AZ38/100,Backdoors!BA38/100)),"")</f>
        <v/>
      </c>
      <c r="IN25" s="49">
        <f>IFERROR(IF(VLOOKUP(tbMoveset!A25,tbMoveset!A2:H112,8,FALSE)="Other",IF(VLOOKUP(tbMoveset!A25,tbMoveset!A2:I112,9,FALSE)="Fire",Backdoors!BB38,IF(VLOOKUP(tbMoveset!A25,tbMoveset!A2:I112,9,FALSE)="Water",Backdoors!BC38,IF(VLOOKUP(tbMoveset!A25,tbMoveset!A2:I112,9,FALSE)="Thunder",Backdoors!BD38,IF(VLOOKUP(tbMoveset!A25,tbMoveset!A2:I112,9,FALSE)="Ice",Backdoors!BE38,IF(VLOOKUP(tbMoveset!A25,tbMoveset!A2:I112,9,FALSE)="Dragon",Backdoors!BF38,Backdoors!BG38)))))/100,Backdoors!BG38/100),"")</f>
        <v>0</v>
      </c>
      <c r="IO25" s="49">
        <f>IFERROR(IF(VLOOKUP(A25,tbMoveset!A2:J112,10,FALSE)=TRUE,IF((Backdoors!AI12+IF(IM25&gt;=0.45,VLOOKUP(Calculator!E23,tbSkills!DH3:DI6,2,FALSE)+IF(AND(Calculator!B8=TRUE,Backdoors!BI38=TRUE),VLOOKUP(Calculator!E23,tbSkills!DH3:DJ6,3,FALSE),0),0))&gt;=0,1+(Backdoors!AL2*(IF((Backdoors!AI12+IF(IM25&gt;=0.45,VLOOKUP(Calculator!E23,tbSkills!DH3:DI6,2,FALSE)+IF(AND(Calculator!B8=TRUE,Backdoors!BI38=TRUE),VLOOKUP(Calculator!E23,tbSkills!DH3:DJ6,3,FALSE),0),0))&gt;=100,100,(Backdoors!AI12+IF(IM25&gt;=0.45,VLOOKUP(Calculator!E23,tbSkills!DH3:DI6,2,FALSE)+IF(AND(Calculator!B8=TRUE,Backdoors!BI38=TRUE),VLOOKUP(Calculator!E23,tbSkills!DH3:DJ6,3,FALSE),0),0)))/100)),(1-(0.25*((-Backdoors!AI12-IF(IM25&gt;=0.45,VLOOKUP(Calculator!E23,tbSkills!DH3:DI6,2,FALSE)+IF(AND(Calculator!B8=TRUE,Backdoors!BI38=TRUE),VLOOKUP(Calculator!E23,tbSkills!DH3:DJ6,3,FALSE),0),0))/100)))),1),"")</f>
        <v>1</v>
      </c>
      <c r="IP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M25)*IO25)*(VLOOKUP(A25,tbMoveset!A2:C112,3,FALSE)/100)*IF(VLOOKUP(A25,tbMoveset!A2:B112,2,FALSE)="Projectile",Backdoors!N10,Backdoors!N9),0),"")</f>
        <v/>
      </c>
      <c r="IQ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IM25&gt;=0.45,VLOOKUP(Calculator!E23,tbSkills!DH3:DI6,2,FALSE)+IF(AND(Calculator!B8=TRUE,Backdoors!BI38=TRUE),VLOOKUP(Calculator!E23,tbSkills!DH3:DJ6,3,FALSE),0),0))&gt;=100,100,(Backdoors!AI12+IF(IM25&gt;=0.45,VLOOKUP(Calculator!E23,tbSkills!DH3:DI6,2,FALSE)+IF(AND(Calculator!B8=TRUE,Backdoors!BI38=TRUE),VLOOKUP(Calculator!E23,tbSkills!DH3:DJ6,3,FALSE),0),0)))/100)),1))*IF(VLOOKUP(A25,tbMoveset!A2:K112,11,FALSE)=TRUE,Backdoors!AC5,1))*IN25,0),"")</f>
        <v>0</v>
      </c>
      <c r="IR25" s="49">
        <f>VLOOKUP(A25,tbMoveset!A2:G112,7,FALSE)*IFERROR(IF(Backdoors!AI12&gt;=0,1+(IF(Calculator!E40&gt;0,VLOOKUP(Calculator!E40,tbSkills!AI3:AJ5,2,FALSE),Backdoors!AL4)*(IF((Backdoors!AI12+IF(IM25&gt;=0.45,VLOOKUP(Calculator!E23,tbSkills!DH3:DI6,2,FALSE)+IF(AND(Calculator!B8=TRUE,Backdoors!BI38=TRUE),VLOOKUP(Calculator!E23,tbSkills!DH3:DJ6,3,FALSE),0),0))&gt;=100,100,(Backdoors!AI12+IF(IM25&gt;=0.45,VLOOKUP(Calculator!E23,tbSkills!DH3:DI6,2,FALSE)+IF(AND(Calculator!B8=TRUE,Backdoors!BI38=TRUE),VLOOKUP(Calculator!E23,tbSkills!DH3:DJ6,3,FALSE),0),0)))/100)),1),1)</f>
        <v>1</v>
      </c>
      <c r="IS25" s="87">
        <f t="shared" si="42"/>
        <v>0</v>
      </c>
      <c r="IT25" s="86" t="str">
        <f>IFERROR(IF(VLOOKUP(A25,tbMoveset!A2:B112,2,FALSE)="Sever",Backdoors!AY39/100,IF(VLOOKUP(A25,tbMoveset!A2:B112,2,FALSE)="Blunt",Backdoors!AZ39/100,Backdoors!BA39/100)),"")</f>
        <v/>
      </c>
      <c r="IU25" s="49">
        <f>IFERROR(IF(VLOOKUP(tbMoveset!A25,tbMoveset!A2:H112,8,FALSE)="Other",IF(VLOOKUP(tbMoveset!A25,tbMoveset!A2:I112,9,FALSE)="Fire",Backdoors!BB39,IF(VLOOKUP(tbMoveset!A25,tbMoveset!A2:I112,9,FALSE)="Water",Backdoors!BC39,IF(VLOOKUP(tbMoveset!A25,tbMoveset!A2:I112,9,FALSE)="Thunder",Backdoors!BD39,IF(VLOOKUP(tbMoveset!A25,tbMoveset!A2:I112,9,FALSE)="Ice",Backdoors!BE39,IF(VLOOKUP(tbMoveset!A25,tbMoveset!A2:I112,9,FALSE)="Dragon",Backdoors!BF39,Backdoors!BG39)))))/100,Backdoors!BG39/100),"")</f>
        <v>0</v>
      </c>
      <c r="IV25" s="49">
        <f>IFERROR(IF(VLOOKUP(A25,tbMoveset!A2:J112,10,FALSE)=TRUE,IF((Backdoors!AI12+IF(IT25&gt;=0.45,VLOOKUP(Calculator!E23,tbSkills!DH3:DI6,2,FALSE)+IF(AND(Calculator!B8=TRUE,Backdoors!BI39=TRUE),VLOOKUP(Calculator!E23,tbSkills!DH3:DJ6,3,FALSE),0),0))&gt;=0,1+(Backdoors!AL2*(IF((Backdoors!AI12+IF(IT25&gt;=0.45,VLOOKUP(Calculator!E23,tbSkills!DH3:DI6,2,FALSE)+IF(AND(Calculator!B8=TRUE,Backdoors!BI39=TRUE),VLOOKUP(Calculator!E23,tbSkills!DH3:DJ6,3,FALSE),0),0))&gt;=100,100,(Backdoors!AI12+IF(IT25&gt;=0.45,VLOOKUP(Calculator!E23,tbSkills!DH3:DI6,2,FALSE)+IF(AND(Calculator!B8=TRUE,Backdoors!BI39=TRUE),VLOOKUP(Calculator!E23,tbSkills!DH3:DJ6,3,FALSE),0),0)))/100)),(1-(0.25*((-Backdoors!AI12-IF(IT25&gt;=0.45,VLOOKUP(Calculator!E23,tbSkills!DH3:DI6,2,FALSE)+IF(AND(Calculator!B8=TRUE,Backdoors!BI39=TRUE),VLOOKUP(Calculator!E23,tbSkills!DH3:DJ6,3,FALSE),0),0))/100)))),1),"")</f>
        <v>1</v>
      </c>
      <c r="IW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T25)*IV25)*(VLOOKUP(A25,tbMoveset!A2:C112,3,FALSE)/100)*IF(VLOOKUP(A25,tbMoveset!A2:B112,2,FALSE)="Projectile",Backdoors!N10,Backdoors!N9),0),"")</f>
        <v/>
      </c>
      <c r="IX25" s="49">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40&gt;0,VLOOKUP(Calculator!E40,tbSkills!AC3:AD5,2,FALSE),Backdoors!AL3)*(IF((Backdoors!AI12+IF(IT25&gt;=0.45,VLOOKUP(Calculator!E23,tbSkills!DH3:DI6,2,FALSE)+IF(AND(Calculator!B8=TRUE,Backdoors!BI39=TRUE),VLOOKUP(Calculator!E23,tbSkills!DH3:DJ6,3,FALSE),0),0))&gt;=100,100,(Backdoors!AI12+IF(IT25&gt;=0.45,VLOOKUP(Calculator!E23,tbSkills!DH3:DI6,2,FALSE)+IF(AND(Calculator!B8=TRUE,Backdoors!BI39=TRUE),VLOOKUP(Calculator!E23,tbSkills!DH3:DJ6,3,FALSE),0),0)))/100)),1))*IF(VLOOKUP(A25,tbMoveset!A2:K112,11,FALSE)=TRUE,Backdoors!AC5,1))*IU25,0),"")</f>
        <v>0</v>
      </c>
      <c r="IY25" s="49">
        <f>VLOOKUP(A25,tbMoveset!A2:G112,7,FALSE)*IFERROR(IF(Backdoors!AI12&gt;=0,1+(IF(Calculator!E40&gt;0,VLOOKUP(Calculator!E40,tbSkills!AI3:AJ5,2,FALSE),Backdoors!AL4)*(IF((Backdoors!AI12+IF(IT25&gt;=0.45,VLOOKUP(Calculator!E23,tbSkills!DH3:DI6,2,FALSE)+IF(AND(Calculator!B8=TRUE,Backdoors!BI39=TRUE),VLOOKUP(Calculator!E23,tbSkills!DH3:DJ6,3,FALSE),0),0))&gt;=100,100,(Backdoors!AI12+IF(IT25&gt;=0.45,VLOOKUP(Calculator!E23,tbSkills!DH3:DI6,2,FALSE)+IF(AND(Calculator!B8=TRUE,Backdoors!BI39=TRUE),VLOOKUP(Calculator!E23,tbSkills!DH3:DJ6,3,FALSE),0),0)))/100)),1),1)</f>
        <v>1</v>
      </c>
      <c r="IZ25" s="87">
        <f t="shared" si="28"/>
        <v>0</v>
      </c>
      <c r="JA25" s="86" t="str">
        <f>IFERROR(IF(VLOOKUP(A25,tbMoveset!A2:B112,2,FALSE)="Sever",Backdoors!AY40/100,IF(VLOOKUP(A25,tbMoveset!A2:B112,2,FALSE)="Blunt",Backdoors!AZ40/100,Backdoors!BA40/100)),"")</f>
        <v/>
      </c>
      <c r="JB25" s="49">
        <f>IFERROR(IF(VLOOKUP(tbMoveset!A25,tbMoveset!A2:H112,8,FALSE)="Other",IF(VLOOKUP(tbMoveset!A25,tbMoveset!A2:I112,9,FALSE)="Fire",Backdoors!BB40,IF(VLOOKUP(tbMoveset!A25,tbMoveset!A2:I112,9,FALSE)="Water",Backdoors!BC40,IF(VLOOKUP(tbMoveset!A25,tbMoveset!A2:I112,9,FALSE)="Thunder",Backdoors!BD40,IF(VLOOKUP(tbMoveset!A25,tbMoveset!A2:I112,9,FALSE)="Ice",Backdoors!BE40,IF(VLOOKUP(tbMoveset!A25,tbMoveset!A2:I112,9,FALSE)="Dragon",Backdoors!BF40,Backdoors!BG40)))))/100,Backdoors!BG40/100),"")</f>
        <v>0</v>
      </c>
      <c r="JC25" s="49">
        <f>IFERROR(IF(VLOOKUP(A25,tbMoveset!A2:J112,10,FALSE)=TRUE,IF((Backdoors!AI12+IF(JA25&gt;=0.45,VLOOKUP(Calculator!E23,tbSkills!DH3:DI6,2,FALSE)+IF(AND(Calculator!B8=TRUE,Backdoors!BI40=TRUE),VLOOKUP(Calculator!E23,tbSkills!DH3:DJ6,3,FALSE),0),0))&gt;=0,1+(Backdoors!AL2*(IF((Backdoors!AI12+IF(JA25&gt;=0.45,VLOOKUP(Calculator!E23,tbSkills!DH3:DI6,2,FALSE)+IF(AND(Calculator!B8=TRUE,Backdoors!BI40=TRUE),VLOOKUP(Calculator!E23,tbSkills!DH3:DJ6,3,FALSE),0),0))&gt;=100,100,(Backdoors!AI12+IF(JA25&gt;=0.45,VLOOKUP(Calculator!E23,tbSkills!DH3:DI6,2,FALSE)+IF(AND(Calculator!B8=TRUE,Backdoors!BI40=TRUE),VLOOKUP(Calculator!E23,tbSkills!DH3:DJ6,3,FALSE),0),0)))/100)),(1-(0.25*((-Backdoors!AI12-IF(JA25&gt;=0.45,VLOOKUP(Calculator!E23,tbSkills!DH3:DI6,2,FALSE)+IF(AND(Calculator!B8=TRUE,Backdoors!BI40=TRUE),VLOOKUP(Calculator!E23,tbSkills!DH3:DJ6,3,FALSE),0),0))/100)))),1),"")</f>
        <v>1</v>
      </c>
      <c r="JD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A25)*JC25)*(VLOOKUP(A25,tbMoveset!A2:C112,3,FALSE)/100)*IF(VLOOKUP(A25,tbMoveset!A2:B112,2,FALSE)="Projectile",Backdoors!N10,Backdoors!N9),0),"")</f>
        <v/>
      </c>
      <c r="JE25" s="49">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42&gt;0,VLOOKUP(Calculator!E42,tbSkills!AC3:AD5,2,FALSE),Backdoors!AL3)*(IF((Backdoors!AI12+IF(JA25&gt;=0.45,VLOOKUP(Calculator!E23,tbSkills!DH3:DI6,2,FALSE)+IF(AND(Calculator!B8=TRUE,Backdoors!BI40=TRUE),VLOOKUP(Calculator!E23,tbSkills!DH3:DJ6,3,FALSE),0),0))&gt;=100,100,(Backdoors!AI12+IF(JA25&gt;=0.45,VLOOKUP(Calculator!E23,tbSkills!DH3:DI6,2,FALSE)+IF(AND(Calculator!B8=TRUE,Backdoors!BI40=TRUE),VLOOKUP(Calculator!E23,tbSkills!DH3:DJ6,3,FALSE),0),0)))/100)),1))*IF(VLOOKUP(A25,tbMoveset!A2:K112,11,FALSE)=TRUE,Backdoors!AC5,1))*JB25,0),"")</f>
        <v>0</v>
      </c>
      <c r="JF25" s="49">
        <f>VLOOKUP(A25,tbMoveset!A2:G112,7,FALSE)*IFERROR(IF(Backdoors!AI12&gt;=0,1+(IF(Calculator!E40&gt;0,VLOOKUP(Calculator!E40,tbSkills!AI3:AJ5,2,FALSE),Backdoors!AL4)*(IF((Backdoors!AI12+IF(JA25&gt;=0.45,VLOOKUP(Calculator!E23,tbSkills!DH3:DI6,2,FALSE)+IF(AND(Calculator!B8=TRUE,Backdoors!BI40=TRUE),VLOOKUP(Calculator!E23,tbSkills!DH3:DJ6,3,FALSE),0),0))&gt;=100,100,(Backdoors!AI12+IF(JA25&gt;=0.45,VLOOKUP(Calculator!E23,tbSkills!DH3:DI6,2,FALSE)+IF(AND(Calculator!B8=TRUE,Backdoors!BI40=TRUE),VLOOKUP(Calculator!E23,tbSkills!DH3:DJ6,3,FALSE),0),0)))/100)),1),1)</f>
        <v>1</v>
      </c>
      <c r="JG25" s="87">
        <f t="shared" si="29"/>
        <v>0</v>
      </c>
      <c r="JH25" s="86" t="str">
        <f>IFERROR(IF(VLOOKUP(A25,tbMoveset!A2:B112,2,FALSE)="Sever",Backdoors!AY41/100,IF(VLOOKUP(A25,tbMoveset!A2:B112,2,FALSE)="Blunt",Backdoors!AZ41/100,Backdoors!BA41/100)),"")</f>
        <v/>
      </c>
      <c r="JI25" s="49">
        <f>IFERROR(IF(VLOOKUP(tbMoveset!A25,tbMoveset!A2:H112,8,FALSE)="Other",IF(VLOOKUP(tbMoveset!A25,tbMoveset!A2:I112,9,FALSE)="Fire",Backdoors!BB41,IF(VLOOKUP(tbMoveset!A25,tbMoveset!A2:I112,9,FALSE)="Water",Backdoors!BC41,IF(VLOOKUP(tbMoveset!A25,tbMoveset!A2:I112,9,FALSE)="Thunder",Backdoors!BD41,IF(VLOOKUP(tbMoveset!A25,tbMoveset!A2:I112,9,FALSE)="Ice",Backdoors!BE41,IF(VLOOKUP(tbMoveset!A25,tbMoveset!A2:I112,9,FALSE)="Dragon",Backdoors!BF41,Backdoors!BG41)))))/100,Backdoors!BG41/100),"")</f>
        <v>0</v>
      </c>
      <c r="JJ25" s="49">
        <f>IFERROR(IF(VLOOKUP(A25,tbMoveset!A2:J112,10,FALSE)=TRUE,IF((Backdoors!AI12+IF(JH25&gt;=0.45,VLOOKUP(Calculator!E23,tbSkills!DH3:DI6,2,FALSE)+IF(AND(Calculator!B8=TRUE,Backdoors!BI41=TRUE),VLOOKUP(Calculator!E23,tbSkills!DH3:DJ6,3,FALSE),0),0))&gt;=0,1+(Backdoors!AL2*(IF((Backdoors!AI12+IF(JH25&gt;=0.45,VLOOKUP(Calculator!E23,tbSkills!DH3:DI6,2,FALSE)+IF(AND(Calculator!B8=TRUE,Backdoors!BI41=TRUE),VLOOKUP(Calculator!E23,tbSkills!DH3:DJ6,3,FALSE),0),0))&gt;=100,100,(Backdoors!AI12+IF(JH25&gt;=0.45,VLOOKUP(Calculator!E23,tbSkills!DH3:DI6,2,FALSE)+IF(AND(Calculator!B8=TRUE,Backdoors!BI41=TRUE),VLOOKUP(Calculator!E23,tbSkills!DH3:DJ6,3,FALSE),0),0)))/100)),(1-(0.25*((-Backdoors!AI12-IF(JH25&gt;=0.45,VLOOKUP(Calculator!E23,tbSkills!DH3:DI6,2,FALSE)+IF(AND(Calculator!B8=TRUE,Backdoors!BI41=TRUE),VLOOKUP(Calculator!E23,tbSkills!DH3:DJ6,3,FALSE),0),0))/100)))),1),"")</f>
        <v>1</v>
      </c>
      <c r="JK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H25)*JJ25)*(VLOOKUP(A25,tbMoveset!A2:C112,3,FALSE)/100)*IF(VLOOKUP(A25,tbMoveset!A2:B112,2,FALSE)="Projectile",Backdoors!N10,Backdoors!N9),0),"")</f>
        <v/>
      </c>
      <c r="JL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43&gt;0,VLOOKUP(Calculator!E43,tbSkills!AC3:AD5,2,FALSE),Backdoors!AL3)*(IF((Backdoors!AI12+IF(JH25&gt;=0.45,VLOOKUP(Calculator!E23,tbSkills!DH3:DI6,2,FALSE)+IF(AND(Calculator!B8=TRUE,Backdoors!BI41=TRUE),VLOOKUP(Calculator!E23,tbSkills!DH3:DJ6,3,FALSE),0),0))&gt;=100,100,(Backdoors!AI12+IF(JH25&gt;=0.45,VLOOKUP(Calculator!E23,tbSkills!DH3:DI6,2,FALSE)+IF(AND(Calculator!B8=TRUE,Backdoors!BI41=TRUE),VLOOKUP(Calculator!E23,tbSkills!DH3:DJ6,3,FALSE),0),0)))/100)),1))*IF(VLOOKUP(A25,tbMoveset!A2:K112,11,FALSE)=TRUE,Backdoors!AC5,1))*JI25,0),"")</f>
        <v/>
      </c>
      <c r="JM25" s="49">
        <f>VLOOKUP(A25,tbMoveset!A2:G112,7,FALSE)*IFERROR(IF(Backdoors!AI12&gt;=0,1+(IF(Calculator!E40&gt;0,VLOOKUP(Calculator!E40,tbSkills!AI3:AJ5,2,FALSE),Backdoors!AL4)*(IF((Backdoors!AI12+IF(JH25&gt;=0.45,VLOOKUP(Calculator!E23,tbSkills!DH3:DI6,2,FALSE)+IF(AND(Calculator!B8=TRUE,Backdoors!BI41=TRUE),VLOOKUP(Calculator!E23,tbSkills!DH3:DJ6,3,FALSE),0),0))&gt;=100,100,(Backdoors!AI12+IF(JH25&gt;=0.45,VLOOKUP(Calculator!E23,tbSkills!DH3:DI6,2,FALSE)+IF(AND(Calculator!B8=TRUE,Backdoors!BI41=TRUE),VLOOKUP(Calculator!E23,tbSkills!DH3:DJ6,3,FALSE),0),0)))/100)),1),1)</f>
        <v>1</v>
      </c>
      <c r="JN25" s="87">
        <f t="shared" si="30"/>
        <v>0</v>
      </c>
      <c r="JO25" s="86" t="str">
        <f>IFERROR(IF(VLOOKUP(A25,tbMoveset!A2:B112,2,FALSE)="Sever",Backdoors!AY42/100,IF(VLOOKUP(A25,tbMoveset!A2:B112,2,FALSE)="Blunt",Backdoors!AZ42/100,Backdoors!BA42/100)),"")</f>
        <v/>
      </c>
      <c r="JP25" s="49">
        <f>IFERROR(IF(VLOOKUP(tbMoveset!A25,tbMoveset!A2:H112,8,FALSE)="Other",IF(VLOOKUP(tbMoveset!A25,tbMoveset!A2:I112,9,FALSE)="Fire",Backdoors!BB42,IF(VLOOKUP(tbMoveset!A25,tbMoveset!A2:I112,9,FALSE)="Water",Backdoors!BC42,IF(VLOOKUP(tbMoveset!A25,tbMoveset!A2:I112,9,FALSE)="Thunder",Backdoors!BD42,IF(VLOOKUP(tbMoveset!A25,tbMoveset!A2:I112,9,FALSE)="Ice",Backdoors!BE42,IF(VLOOKUP(tbMoveset!A25,tbMoveset!A2:I112,9,FALSE)="Dragon",Backdoors!BF42,Backdoors!BG42)))))/100,Backdoors!BG42/100),"")</f>
        <v>0</v>
      </c>
      <c r="JQ25" s="49">
        <f>IFERROR(IF(VLOOKUP(A25,tbMoveset!A2:J112,10,FALSE)=TRUE,IF((Backdoors!AI12+IF(JO25&gt;=0.45,VLOOKUP(Calculator!E23,tbSkills!DH3:DI6,2,FALSE)+IF(AND(Calculator!B8=TRUE,Backdoors!BI42=TRUE),VLOOKUP(Calculator!E23,tbSkills!DH3:DJ6,3,FALSE),0),0))&gt;=0,1+(Backdoors!AL2*(IF((Backdoors!AI12+IF(JO25&gt;=0.45,VLOOKUP(Calculator!E23,tbSkills!DH3:DI6,2,FALSE)+IF(AND(Calculator!B8=TRUE,Backdoors!BI42=TRUE),VLOOKUP(Calculator!E23,tbSkills!DH3:DJ6,3,FALSE),0),0))&gt;=100,100,(Backdoors!AI12+IF(JO25&gt;=0.45,VLOOKUP(Calculator!E23,tbSkills!DH3:DI6,2,FALSE)+IF(AND(Calculator!B8=TRUE,Backdoors!BI42=TRUE),VLOOKUP(Calculator!E23,tbSkills!DH3:DJ6,3,FALSE),0),0)))/100)),(1-(0.25*((-Backdoors!AI12-IF(JO25&gt;=0.45,VLOOKUP(Calculator!E23,tbSkills!DH3:DI6,2,FALSE)+IF(AND(Calculator!B8=TRUE,Backdoors!BI42=TRUE),VLOOKUP(Calculator!E23,tbSkills!DH3:DJ6,3,FALSE),0),0))/100)))),1),"")</f>
        <v>1</v>
      </c>
      <c r="JR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O25)*JQ25)*(VLOOKUP(A25,tbMoveset!A2:C112,3,FALSE)/100)*IF(VLOOKUP(A25,tbMoveset!A2:B112,2,FALSE)="Projectile",Backdoors!N10,Backdoors!N9),0),"")</f>
        <v/>
      </c>
      <c r="JS25" s="49">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45&gt;0,VLOOKUP(Calculator!E45,tbSkills!AC3:AD5,2,FALSE),Backdoors!AL3)*(IF((Backdoors!AI12+IF(JO25&gt;=0.45,VLOOKUP(Calculator!E23,tbSkills!DH3:DI6,2,FALSE)+IF(AND(Calculator!B8=TRUE,Backdoors!BI42=TRUE),VLOOKUP(Calculator!E23,tbSkills!DH3:DJ6,3,FALSE),0),0))&gt;=100,100,(Backdoors!AI12+IF(JO25&gt;=0.45,VLOOKUP(Calculator!E23,tbSkills!DH3:DI6,2,FALSE)+IF(AND(Calculator!B8=TRUE,Backdoors!BI42=TRUE),VLOOKUP(Calculator!E23,tbSkills!DH3:DJ6,3,FALSE),0),0)))/100)),1))*IF(VLOOKUP(A25,tbMoveset!A2:K112,11,FALSE)=TRUE,Backdoors!AC5,1))*JP25,0),"")</f>
        <v>0</v>
      </c>
      <c r="JT25" s="49">
        <f>VLOOKUP(A25,tbMoveset!A2:G112,7,FALSE)*IFERROR(IF(Backdoors!AI12&gt;=0,1+(IF(Calculator!E40&gt;0,VLOOKUP(Calculator!E40,tbSkills!AI3:AJ5,2,FALSE),Backdoors!AL4)*(IF((Backdoors!AI12+IF(JO25&gt;=0.45,VLOOKUP(Calculator!E23,tbSkills!DH3:DI6,2,FALSE)+IF(AND(Calculator!B8=TRUE,Backdoors!BI42=TRUE),VLOOKUP(Calculator!E23,tbSkills!DH3:DJ6,3,FALSE),0),0))&gt;=100,100,(Backdoors!AI12+IF(JO25&gt;=0.45,VLOOKUP(Calculator!E23,tbSkills!DH3:DI6,2,FALSE)+IF(AND(Calculator!B8=TRUE,Backdoors!BI42=TRUE),VLOOKUP(Calculator!E23,tbSkills!DH3:DJ6,3,FALSE),0),0)))/100)),1),1)</f>
        <v>1</v>
      </c>
      <c r="JU25" s="87">
        <f t="shared" si="31"/>
        <v>0</v>
      </c>
      <c r="JV25" s="86" t="str">
        <f>IFERROR(IF(VLOOKUP(A25,tbMoveset!A2:B112,2,FALSE)="Sever",Backdoors!AY43/100,IF(VLOOKUP(A25,tbMoveset!A2:B112,2,FALSE)="Blunt",Backdoors!AZ43/100,Backdoors!BA43/100)),"")</f>
        <v/>
      </c>
      <c r="JW25" s="49">
        <f>IFERROR(IF(VLOOKUP(tbMoveset!A25,tbMoveset!A2:H112,8,FALSE)="Other",IF(VLOOKUP(tbMoveset!A25,tbMoveset!A2:I112,9,FALSE)="Fire",Backdoors!BB43,IF(VLOOKUP(tbMoveset!A25,tbMoveset!A2:I112,9,FALSE)="Water",Backdoors!BC43,IF(VLOOKUP(tbMoveset!A25,tbMoveset!A2:I112,9,FALSE)="Thunder",Backdoors!BD43,IF(VLOOKUP(tbMoveset!A25,tbMoveset!A2:I112,9,FALSE)="Ice",Backdoors!BE43,IF(VLOOKUP(tbMoveset!A25,tbMoveset!A2:I112,9,FALSE)="Dragon",Backdoors!BF43,Backdoors!BG43)))))/100,Backdoors!BG43/100),"")</f>
        <v>0</v>
      </c>
      <c r="JX25" s="49">
        <f>IFERROR(IF(VLOOKUP(A25,tbMoveset!A2:J112,10,FALSE)=TRUE,IF((Backdoors!AI12+IF(JV25&gt;=0.45,VLOOKUP(Calculator!E23,tbSkills!DH3:DI6,2,FALSE)+IF(AND(Calculator!B8=TRUE,Backdoors!BI43=TRUE),VLOOKUP(Calculator!E23,tbSkills!DH3:DJ6,3,FALSE),0),0))&gt;=0,1+(Backdoors!AL2*(IF((Backdoors!AI12+IF(JV25&gt;=0.45,VLOOKUP(Calculator!E23,tbSkills!DH3:DI6,2,FALSE)+IF(AND(Calculator!B8=TRUE,Backdoors!BI43=TRUE),VLOOKUP(Calculator!E23,tbSkills!DH3:DJ6,3,FALSE),0),0))&gt;=100,100,(Backdoors!AI12+IF(JV25&gt;=0.45,VLOOKUP(Calculator!E23,tbSkills!DH3:DI6,2,FALSE)+IF(AND(Calculator!B8=TRUE,Backdoors!BI43=TRUE),VLOOKUP(Calculator!E23,tbSkills!DH3:DJ6,3,FALSE),0),0)))/100)),(1-(0.25*((-Backdoors!AI12-IF(JV25&gt;=0.45,VLOOKUP(Calculator!E23,tbSkills!DH3:DI6,2,FALSE)+IF(AND(Calculator!B8=TRUE,Backdoors!BI43=TRUE),VLOOKUP(Calculator!E23,tbSkills!DH3:DJ6,3,FALSE),0),0))/100)))),1),"")</f>
        <v>1</v>
      </c>
      <c r="JY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V25)*JX25)*(VLOOKUP(A25,tbMoveset!A2:C112,3,FALSE)/100)*IF(VLOOKUP(A25,tbMoveset!A2:B112,2,FALSE)="Projectile",Backdoors!N10,Backdoors!N9),0),"")</f>
        <v/>
      </c>
      <c r="JZ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46&gt;0,VLOOKUP(Calculator!E46,tbSkills!AC3:AD5,2,FALSE),Backdoors!AL3)*(IF((Backdoors!AI12+IF(JV25&gt;=0.45,VLOOKUP(Calculator!E23,tbSkills!DH3:DI6,2,FALSE)+IF(AND(Calculator!B8=TRUE,Backdoors!BI43=TRUE),VLOOKUP(Calculator!E23,tbSkills!DH3:DJ6,3,FALSE),0),0))&gt;=100,100,(Backdoors!AI12+IF(JV25&gt;=0.45,VLOOKUP(Calculator!E23,tbSkills!DH3:DI6,2,FALSE)+IF(AND(Calculator!B8=TRUE,Backdoors!BI43=TRUE),VLOOKUP(Calculator!E23,tbSkills!DH3:DJ6,3,FALSE),0),0)))/100)),1))*IF(VLOOKUP(A25,tbMoveset!A2:K112,11,FALSE)=TRUE,Backdoors!AC5,1))*JW25,0),"")</f>
        <v/>
      </c>
      <c r="KA25" s="49">
        <f>VLOOKUP(A25,tbMoveset!A2:G112,7,FALSE)*IFERROR(IF(Backdoors!AI12&gt;=0,1+(IF(Calculator!E40&gt;0,VLOOKUP(Calculator!E40,tbSkills!AI3:AJ5,2,FALSE),Backdoors!AL4)*(IF((Backdoors!AI12+IF(JV25&gt;=0.45,VLOOKUP(Calculator!E23,tbSkills!DH3:DI6,2,FALSE)+IF(AND(Calculator!B8=TRUE,Backdoors!BI43=TRUE),VLOOKUP(Calculator!E23,tbSkills!DH3:DJ6,3,FALSE),0),0))&gt;=100,100,(Backdoors!AI12+IF(JV25&gt;=0.45,VLOOKUP(Calculator!E23,tbSkills!DH3:DI6,2,FALSE)+IF(AND(Calculator!B8=TRUE,Backdoors!BI43=TRUE),VLOOKUP(Calculator!E23,tbSkills!DH3:DJ6,3,FALSE),0),0)))/100)),1),1)</f>
        <v>1</v>
      </c>
      <c r="KB25" s="87">
        <f t="shared" si="32"/>
        <v>0</v>
      </c>
      <c r="KC25" s="86" t="str">
        <f>IFERROR(IF(VLOOKUP(A25,tbMoveset!A2:B112,2,FALSE)="Sever",Backdoors!AY44/100,IF(VLOOKUP(A25,tbMoveset!A2:B112,2,FALSE)="Blunt",Backdoors!AZ44/100,Backdoors!BA44/100)),"")</f>
        <v/>
      </c>
      <c r="KD25" s="49">
        <f>IFERROR(IF(VLOOKUP(tbMoveset!A25,tbMoveset!A2:H112,8,FALSE)="Other",IF(VLOOKUP(tbMoveset!A25,tbMoveset!A2:I112,9,FALSE)="Fire",Backdoors!BB44,IF(VLOOKUP(tbMoveset!A25,tbMoveset!A2:I112,9,FALSE)="Water",Backdoors!BC44,IF(VLOOKUP(tbMoveset!A25,tbMoveset!A2:I112,9,FALSE)="Thunder",Backdoors!BD44,IF(VLOOKUP(tbMoveset!A25,tbMoveset!A2:I112,9,FALSE)="Ice",Backdoors!BE44,IF(VLOOKUP(tbMoveset!A25,tbMoveset!A2:I112,9,FALSE)="Dragon",Backdoors!BF44,Backdoors!BG44)))))/100,Backdoors!BG44/100),"")</f>
        <v>0</v>
      </c>
      <c r="KE25" s="49">
        <f>IFERROR(IF(VLOOKUP(A25,tbMoveset!A2:J112,10,FALSE)=TRUE,IF((Backdoors!AI12+IF(KC25&gt;=0.45,VLOOKUP(Calculator!E23,tbSkills!DH3:DI6,2,FALSE)+IF(AND(Calculator!B8=TRUE,Backdoors!BI44=TRUE),VLOOKUP(Calculator!E23,tbSkills!DH3:DJ6,3,FALSE),0),0))&gt;=0,1+(Backdoors!AL2*(IF((Backdoors!AI12+IF(KC25&gt;=0.45,VLOOKUP(Calculator!E23,tbSkills!DH3:DI6,2,FALSE)+IF(AND(Calculator!B8=TRUE,Backdoors!BI44=TRUE),VLOOKUP(Calculator!E23,tbSkills!DH3:DJ6,3,FALSE),0),0))&gt;=100,100,(Backdoors!AI12+IF(KC25&gt;=0.45,VLOOKUP(Calculator!E23,tbSkills!DH3:DI6,2,FALSE)+IF(AND(Calculator!B8=TRUE,Backdoors!BI44=TRUE),VLOOKUP(Calculator!E23,tbSkills!DH3:DJ6,3,FALSE),0),0)))/100)),(1-(0.25*((-Backdoors!AI12-IF(KC25&gt;=0.45,VLOOKUP(Calculator!E23,tbSkills!DH3:DI6,2,FALSE)+IF(AND(Calculator!B8=TRUE,Backdoors!BI44=TRUE),VLOOKUP(Calculator!E23,tbSkills!DH3:DJ6,3,FALSE),0),0))/100)))),1),"")</f>
        <v>1</v>
      </c>
      <c r="KF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KC25)*KE25)*(VLOOKUP(A25,tbMoveset!A2:C112,3,FALSE)/100)*IF(VLOOKUP(A25,tbMoveset!A2:B112,2,FALSE)="Projectile",Backdoors!N10,Backdoors!N9),0),"")</f>
        <v/>
      </c>
      <c r="KG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REF!&gt;0,VLOOKUP(Calculator!#REF!,tbSkills!AC3:AD5,2,FALSE),Backdoors!AL3)*(IF((Backdoors!AI12+IF(KC25&gt;=0.45,VLOOKUP(Calculator!E23,tbSkills!DH3:DI6,2,FALSE)+IF(AND(Calculator!B8=TRUE,Backdoors!BI44=TRUE),VLOOKUP(Calculator!E23,tbSkills!DH3:DJ6,3,FALSE),0),0))&gt;=100,100,(Backdoors!AI12+IF(KC25&gt;=0.45,VLOOKUP(Calculator!E23,tbSkills!DH3:DI6,2,FALSE)+IF(AND(Calculator!B8=TRUE,Backdoors!BI44=TRUE),VLOOKUP(Calculator!E23,tbSkills!DH3:DJ6,3,FALSE),0),0)))/100)),1))*IF(VLOOKUP(A25,tbMoveset!A2:K112,11,FALSE)=TRUE,Backdoors!AC5,1))*KD25,0),"")</f>
        <v/>
      </c>
      <c r="KH25" s="49">
        <f>VLOOKUP(A25,tbMoveset!A2:G112,7,FALSE)*IFERROR(IF(Backdoors!AI12&gt;=0,1+(IF(Calculator!E40&gt;0,VLOOKUP(Calculator!E40,tbSkills!AI3:AJ5,2,FALSE),Backdoors!AL4)*(IF((Backdoors!AI12+IF(KC25&gt;=0.45,VLOOKUP(Calculator!E23,tbSkills!DH3:DI6,2,FALSE)+IF(AND(Calculator!B8=TRUE,Backdoors!BI44=TRUE),VLOOKUP(Calculator!E23,tbSkills!DH3:DJ6,3,FALSE),0),0))&gt;=100,100,(Backdoors!AI12+IF(KC25&gt;=0.45,VLOOKUP(Calculator!E23,tbSkills!DH3:DI6,2,FALSE)+IF(AND(Calculator!B8=TRUE,Backdoors!BI44=TRUE),VLOOKUP(Calculator!E23,tbSkills!DH3:DJ6,3,FALSE),0),0)))/100)),1),1)</f>
        <v>1</v>
      </c>
      <c r="KI25" s="87">
        <f t="shared" si="33"/>
        <v>0</v>
      </c>
      <c r="KJ25" s="86" t="str">
        <f>IFERROR(IF(VLOOKUP(A25,tbMoveset!A2:B112,2,FALSE)="Sever",Backdoors!AY45/100,IF(VLOOKUP(A25,tbMoveset!A2:B112,2,FALSE)="Blunt",Backdoors!AZ45/100,Backdoors!BA45/100)),"")</f>
        <v/>
      </c>
      <c r="KK25" s="49">
        <f>IFERROR(IF(VLOOKUP(tbMoveset!A25,tbMoveset!A2:H112,8,FALSE)="Other",IF(VLOOKUP(tbMoveset!A25,tbMoveset!A2:I112,9,FALSE)="Fire",Backdoors!BB45,IF(VLOOKUP(tbMoveset!A25,tbMoveset!A2:I112,9,FALSE)="Water",Backdoors!BC45,IF(VLOOKUP(tbMoveset!A25,tbMoveset!A2:I112,9,FALSE)="Thunder",Backdoors!BD45,IF(VLOOKUP(tbMoveset!A25,tbMoveset!A2:I112,9,FALSE)="Ice",Backdoors!BE45,IF(VLOOKUP(tbMoveset!A25,tbMoveset!A2:I112,9,FALSE)="Dragon",Backdoors!BF45,Backdoors!BG45)))))/100,Backdoors!BG45/100),"")</f>
        <v>0</v>
      </c>
      <c r="KL25" s="49">
        <f>IFERROR(IF(VLOOKUP(A25,tbMoveset!A2:J112,10,FALSE)=TRUE,IF((Backdoors!AI12+IF(KJ25&gt;=0.45,VLOOKUP(Calculator!E23,tbSkills!DH3:DI6,2,FALSE)+IF(AND(Calculator!B8=TRUE,Backdoors!BI45=TRUE),VLOOKUP(Calculator!E23,tbSkills!DH3:DJ6,3,FALSE),0),0))&gt;=0,1+(Backdoors!AL2*(IF((Backdoors!AI12+IF(KJ25&gt;=0.45,VLOOKUP(Calculator!E23,tbSkills!DH3:DI6,2,FALSE)+IF(AND(Calculator!B8=TRUE,Backdoors!BI45=TRUE),VLOOKUP(Calculator!E23,tbSkills!DH3:DJ6,3,FALSE),0),0))&gt;=100,100,(Backdoors!AI12+IF(KJ25&gt;=0.45,VLOOKUP(Calculator!E23,tbSkills!DH3:DI6,2,FALSE)+IF(AND(Calculator!B8=TRUE,Backdoors!BI45=TRUE),VLOOKUP(Calculator!E23,tbSkills!DH3:DJ6,3,FALSE),0),0)))/100)),(1-(0.25*((-Backdoors!AI12-IF(KJ25&gt;=0.45,VLOOKUP(Calculator!E23,tbSkills!DH3:DI6,2,FALSE)+IF(AND(Calculator!B8=TRUE,Backdoors!BI45=TRUE),VLOOKUP(Calculator!E23,tbSkills!DH3:DJ6,3,FALSE),0),0))/100)))),1),"")</f>
        <v>1</v>
      </c>
      <c r="KM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KJ25)*KL25)*(VLOOKUP(A25,tbMoveset!A2:C112,3,FALSE)/100)*IF(VLOOKUP(A25,tbMoveset!A2:B112,2,FALSE)="Projectile",Backdoors!N10,Backdoors!N9),0),"")</f>
        <v/>
      </c>
      <c r="KN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REF!&gt;0,VLOOKUP(Calculator!#REF!,tbSkills!AC3:AD5,2,FALSE),Backdoors!AL3)*(IF((Backdoors!AI12+IF(KJ25&gt;=0.45,VLOOKUP(Calculator!E23,tbSkills!DH3:DI6,2,FALSE)+IF(AND(Calculator!B8=TRUE,Backdoors!BI45=TRUE),VLOOKUP(Calculator!E23,tbSkills!DH3:DJ6,3,FALSE),0),0))&gt;=100,100,(Backdoors!AI12+IF(KJ25&gt;=0.45,VLOOKUP(Calculator!E23,tbSkills!DH3:DI6,2,FALSE)+IF(AND(Calculator!B8=TRUE,Backdoors!BI45=TRUE),VLOOKUP(Calculator!E23,tbSkills!DH3:DJ6,3,FALSE),0),0)))/100)),1))*IF(VLOOKUP(A25,tbMoveset!A2:K112,11,FALSE)=TRUE,Backdoors!AC5,1))*KK25,0),"")</f>
        <v/>
      </c>
      <c r="KO25" s="49">
        <f>VLOOKUP(A25,tbMoveset!A2:G112,7,FALSE)*IFERROR(IF(Backdoors!AI12&gt;=0,1+(IF(Calculator!E40&gt;0,VLOOKUP(Calculator!E40,tbSkills!AI3:AJ5,2,FALSE),Backdoors!AL4)*(IF((Backdoors!AI12+IF(KJ25&gt;=0.45,VLOOKUP(Calculator!E23,tbSkills!DH3:DI6,2,FALSE)+IF(AND(Calculator!B8=TRUE,Backdoors!BI45=TRUE),VLOOKUP(Calculator!E23,tbSkills!DH3:DJ6,3,FALSE),0),0))&gt;=100,100,(Backdoors!AI12+IF(KJ25&gt;=0.45,VLOOKUP(Calculator!E23,tbSkills!DH3:DI6,2,FALSE)+IF(AND(Calculator!B8=TRUE,Backdoors!BI45=TRUE),VLOOKUP(Calculator!E23,tbSkills!DH3:DJ6,3,FALSE),0),0)))/100)),1),1)</f>
        <v>1</v>
      </c>
      <c r="KP25" s="87">
        <f t="shared" si="34"/>
        <v>0</v>
      </c>
      <c r="KQ25" s="86" t="str">
        <f>IFERROR(IF(VLOOKUP(A25,tbMoveset!A2:B112,2,FALSE)="Sever",Backdoors!AY46/100,IF(VLOOKUP(A25,tbMoveset!A2:B112,2,FALSE)="Blunt",Backdoors!AZ46/100,Backdoors!BA46/100)),"")</f>
        <v/>
      </c>
      <c r="KR25" s="49">
        <f>IFERROR(IF(VLOOKUP(tbMoveset!A25,tbMoveset!A2:H112,8,FALSE)="Other",IF(VLOOKUP(tbMoveset!A25,tbMoveset!A2:I112,9,FALSE)="Fire",Backdoors!BB46,IF(VLOOKUP(tbMoveset!A25,tbMoveset!A2:I112,9,FALSE)="Water",Backdoors!BC46,IF(VLOOKUP(tbMoveset!A25,tbMoveset!A2:I112,9,FALSE)="Thunder",Backdoors!BD46,IF(VLOOKUP(tbMoveset!A25,tbMoveset!A2:I112,9,FALSE)="Ice",Backdoors!BE46,IF(VLOOKUP(tbMoveset!A25,tbMoveset!A2:I112,9,FALSE)="Dragon",Backdoors!BF46,Backdoors!BG46)))))/100,Backdoors!BG46/100),"")</f>
        <v>0</v>
      </c>
      <c r="KS25" s="49">
        <f>IFERROR(IF(VLOOKUP(A25,tbMoveset!A2:J112,10,FALSE)=TRUE,IF((Backdoors!AI12+IF(KQ25&gt;=0.45,VLOOKUP(Calculator!E23,tbSkills!DH3:DI6,2,FALSE)+IF(AND(Calculator!B8=TRUE,Backdoors!BI46=TRUE),VLOOKUP(Calculator!E23,tbSkills!DH3:DJ6,3,FALSE),0),0))&gt;=0,1+(Backdoors!AL2*(IF((Backdoors!AI12+IF(KQ25&gt;=0.45,VLOOKUP(Calculator!E23,tbSkills!DH3:DI6,2,FALSE)+IF(AND(Calculator!B8=TRUE,Backdoors!BI46=TRUE),VLOOKUP(Calculator!E23,tbSkills!DH3:DJ6,3,FALSE),0),0))&gt;=100,100,(Backdoors!AI12+IF(KQ25&gt;=0.45,VLOOKUP(Calculator!E23,tbSkills!DH3:DI6,2,FALSE)+IF(AND(Calculator!B8=TRUE,Backdoors!BI46=TRUE),VLOOKUP(Calculator!E23,tbSkills!DH3:DJ6,3,FALSE),0),0)))/100)),(1-(0.25*((-Backdoors!AI12-IF(KQ25&gt;=0.45,VLOOKUP(Calculator!E23,tbSkills!DH3:DI6,2,FALSE)+IF(AND(Calculator!B8=TRUE,Backdoors!BI46=TRUE),VLOOKUP(Calculator!E23,tbSkills!DH3:DJ6,3,FALSE),0),0))/100)))),1),"")</f>
        <v>1</v>
      </c>
      <c r="KT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KQ25)*KS25)*(VLOOKUP(A25,tbMoveset!A2:C112,3,FALSE)/100)*IF(VLOOKUP(A25,tbMoveset!A2:B112,2,FALSE)="Projectile",Backdoors!N10,Backdoors!N9),0),"")</f>
        <v/>
      </c>
      <c r="KU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REF!&gt;0,VLOOKUP(Calculator!#REF!,tbSkills!AC3:AD5,2,FALSE),Backdoors!AL3)*(IF((Backdoors!AI12+IF(KQ25&gt;=0.45,VLOOKUP(Calculator!E23,tbSkills!DH3:DI6,2,FALSE)+IF(AND(Calculator!B8=TRUE,Backdoors!BI46=TRUE),VLOOKUP(Calculator!E23,tbSkills!DH3:DJ6,3,FALSE),0),0))&gt;=100,100,(Backdoors!AI12+IF(KQ25&gt;=0.45,VLOOKUP(Calculator!E23,tbSkills!DH3:DI6,2,FALSE)+IF(AND(Calculator!B8=TRUE,Backdoors!BI46=TRUE),VLOOKUP(Calculator!E23,tbSkills!DH3:DJ6,3,FALSE),0),0)))/100)),1))*IF(VLOOKUP(A25,tbMoveset!A2:K112,11,FALSE)=TRUE,Backdoors!AC5,1))*KR25,0),"")</f>
        <v/>
      </c>
      <c r="KV25" s="49">
        <f>VLOOKUP(A25,tbMoveset!A2:G112,7,FALSE)*IFERROR(IF(Backdoors!AI12&gt;=0,1+(IF(Calculator!E40&gt;0,VLOOKUP(Calculator!E40,tbSkills!AI3:AJ5,2,FALSE),Backdoors!AL4)*(IF((Backdoors!AI12+IF(KQ25&gt;=0.45,VLOOKUP(Calculator!E23,tbSkills!DH3:DI6,2,FALSE)+IF(AND(Calculator!B8=TRUE,Backdoors!BI46=TRUE),VLOOKUP(Calculator!E23,tbSkills!DH3:DJ6,3,FALSE),0),0))&gt;=100,100,(Backdoors!AI12+IF(KQ25&gt;=0.45,VLOOKUP(Calculator!E23,tbSkills!DH3:DI6,2,FALSE)+IF(AND(Calculator!B8=TRUE,Backdoors!BI46=TRUE),VLOOKUP(Calculator!E23,tbSkills!DH3:DJ6,3,FALSE),0),0)))/100)),1),1)</f>
        <v>1</v>
      </c>
      <c r="KW25" s="87">
        <f t="shared" si="35"/>
        <v>0</v>
      </c>
    </row>
    <row r="26" spans="1:309" x14ac:dyDescent="0.25">
      <c r="A26" s="95" t="str">
        <f>tbMoveset!A26</f>
        <v>Right Double Roundslash (R1)</v>
      </c>
      <c r="B26" s="86">
        <f>IFERROR(IF(VLOOKUP(A26,tbMoveset!A2:B112,2,FALSE)="Sever",Backdoors!AY3/100,IF(VLOOKUP(A26,tbMoveset!A2:B112,2,FALSE)="Blunt",Backdoors!AZ3/100,Backdoors!BA3/100)),"")</f>
        <v>0.8</v>
      </c>
      <c r="C26" s="49">
        <f>IFERROR(IF(VLOOKUP(tbMoveset!A26,tbMoveset!A2:H112,8,FALSE)="Other",IF(VLOOKUP(tbMoveset!A26,tbMoveset!A2:I112,9,FALSE)="Fire",Backdoors!BB3,IF(VLOOKUP(tbMoveset!A26,tbMoveset!A2:I112,9,FALSE)="Water",Backdoors!BC3,IF(VLOOKUP(tbMoveset!A26,tbMoveset!A2:I112,9,FALSE)="Thunder",Backdoors!BD3,IF(VLOOKUP(tbMoveset!A26,tbMoveset!A2:I112,9,FALSE)="Ice",Backdoors!BE3,IF(VLOOKUP(tbMoveset!A26,tbMoveset!A2:I112,9,FALSE)="Dragon",Backdoors!BF3,Backdoors!BG3)))))/100,Backdoors!BG3/100),"")</f>
        <v>0</v>
      </c>
      <c r="D26" s="49">
        <f>IFERROR(IF(VLOOKUP(A26,tbMoveset!A2:J112,10,FALSE)=TRUE,IF((Backdoors!AI12+IF(B26&gt;=0.45,VLOOKUP(Calculator!E23,tbSkills!DH3:DI6,2,FALSE)+IF(AND(Calculator!B8=TRUE,Backdoors!BI3=TRUE),VLOOKUP(Calculator!E23,tbSkills!DH3:DJ6,3,FALSE),0),0))&gt;=0,1+(Backdoors!AL2*(IF((Backdoors!AI12+IF(B26&gt;=0.45,VLOOKUP(Calculator!E23,tbSkills!DH3:DI6,2,FALSE)+IF(AND(Calculator!B8=TRUE,Backdoors!BI3=TRUE),VLOOKUP(Calculator!E23,tbSkills!DH3:DJ6,3,FALSE),0),0))&gt;=100,100,(Backdoors!AI12+IF(B26&gt;=0.45,VLOOKUP(Calculator!E23,tbSkills!DH3:DI6,2,FALSE)+IF(AND(Calculator!B8=TRUE,Backdoors!BI3=TRUE),VLOOKUP(Calculator!E23,tbSkills!DH3:DJ6,3,FALSE),0),0)))/100)),(1-(0.25*((-Backdoors!AI12-IF(B26&gt;=0.45,VLOOKUP(Calculator!E23,tbSkills!DH3:DI6,2,FALSE)+IF(AND(Calculator!B8=TRUE,Backdoors!BI3=TRUE),VLOOKUP(Calculator!E23,tbSkills!DH3:DJ6,3,FALSE),0),0))/100)))),1),"")</f>
        <v>1</v>
      </c>
      <c r="E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26)*D26)*(VLOOKUP(A26,tbMoveset!A2:C112,3,FALSE)/100)*IF(VLOOKUP(A26,tbMoveset!A2:B112,2,FALSE)="Projectile",Backdoors!N10,Backdoors!N9),0),"")</f>
        <v>13</v>
      </c>
      <c r="F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26&gt;=0.45,VLOOKUP(Calculator!E23,tbSkills!DH3:DI6,2,FALSE)+IF(AND(Calculator!B8=TRUE,Backdoors!BI3=TRUE),VLOOKUP(Calculator!E23,tbSkills!DH3:DJ6,3,FALSE),0),0))&gt;=100,100,(Backdoors!AI12+IF(B26&gt;=0.45,VLOOKUP(Calculator!E23,tbSkills!DH3:DI6,2,FALSE)+IF(AND(Calculator!B8=TRUE,Backdoors!BI3=TRUE),VLOOKUP(Calculator!E23,tbSkills!DH3:DJ6,3,FALSE),0),0)))/100)),1))*IF(VLOOKUP(A26,tbMoveset!A2:K112,11,FALSE)=TRUE,Backdoors!AC5,1))*C26,0),"")</f>
        <v>0</v>
      </c>
      <c r="G26">
        <f>VLOOKUP(A26,tbMoveset!A2:G112,7,FALSE)*IFERROR(IF(Backdoors!AI12&gt;=0,1+(IF(Calculator!E40&gt;0,VLOOKUP(Calculator!E40,tbSkills!AI3:AJ5,2,FALSE),Backdoors!AL4)*(IF((Backdoors!AI12+IF(B26&gt;=0.45,VLOOKUP(Calculator!E23,tbSkills!DH3:DI6,2,FALSE)+IF(AND(Calculator!B8=TRUE,Backdoors!BI3=TRUE),VLOOKUP(Calculator!E23,tbSkills!DH3:DJ6,3,FALSE),0),0))&gt;=100,100,(Backdoors!AI12+IF(B26&gt;=0.45,VLOOKUP(Calculator!E23,tbSkills!DH3:DI6,2,FALSE)+IF(AND(Calculator!B8=TRUE,Backdoors!BI3=TRUE),VLOOKUP(Calculator!E23,tbSkills!DH3:DJ6,3,FALSE),0),0)))/100)),1),1)</f>
        <v>1</v>
      </c>
      <c r="H26" s="87">
        <f t="shared" si="43"/>
        <v>13</v>
      </c>
      <c r="I26" s="86">
        <f>IFERROR(IF(VLOOKUP(A26,tbMoveset!A2:B112,2,FALSE)="Sever",Backdoors!AY4/100,IF(VLOOKUP(A26,tbMoveset!A2:B112,2,FALSE)="Blunt",Backdoors!AZ4/100,Backdoors!BA4/100)),"")</f>
        <v>0.65</v>
      </c>
      <c r="J26" s="49">
        <f>IFERROR(IF(VLOOKUP(tbMoveset!A26,tbMoveset!A2:H112,8,FALSE)="Other",IF(VLOOKUP(tbMoveset!A26,tbMoveset!A2:I112,9,FALSE)="Fire",Backdoors!BB4,IF(VLOOKUP(tbMoveset!A26,tbMoveset!A2:I112,9,FALSE)="Water",Backdoors!BC4,IF(VLOOKUP(tbMoveset!A26,tbMoveset!A2:I112,9,FALSE)="Thunder",Backdoors!BD4,IF(VLOOKUP(tbMoveset!A26,tbMoveset!A2:I112,9,FALSE)="Ice",Backdoors!BE4,IF(VLOOKUP(tbMoveset!A26,tbMoveset!A2:I112,9,FALSE)="Dragon",Backdoors!BF4,Backdoors!BG4)))))/100,Backdoors!BG4/100),"")</f>
        <v>0</v>
      </c>
      <c r="K26" s="49">
        <f>IFERROR(IF(VLOOKUP(A26,tbMoveset!A2:J112,10,FALSE)=TRUE,IF((Backdoors!AI12+IF(I26&gt;=0.45,VLOOKUP(Calculator!E23,tbSkills!DH3:DI6,2,FALSE)+IF(AND(Calculator!B8=TRUE,Backdoors!BI4=TRUE),VLOOKUP(Calculator!E23,tbSkills!DH3:DJ6,3,FALSE),0),0))&gt;=0,1+(Backdoors!AL2*(IF((Backdoors!AI12+IF(I26&gt;=0.45,VLOOKUP(Calculator!E23,tbSkills!DH3:DI6,2,FALSE)+IF(AND(Calculator!B8=TRUE,Backdoors!BI4=TRUE),VLOOKUP(Calculator!E23,tbSkills!DH3:DJ6,3,FALSE),0),0))&gt;=100,100,(Backdoors!AI12+IF(I26&gt;=0.45,VLOOKUP(Calculator!E23,tbSkills!DH3:DI6,2,FALSE)+IF(AND(Calculator!B8=TRUE,Backdoors!BI4=TRUE),VLOOKUP(Calculator!E23,tbSkills!DH3:DJ6,3,FALSE),0),0)))/100)),(1-(0.25*((-Backdoors!AI12-IF(I26&gt;=0.45,VLOOKUP(Calculator!E23,tbSkills!DH3:DI6,2,FALSE)+IF(AND(Calculator!B8=TRUE,Backdoors!BI4=TRUE),VLOOKUP(Calculator!E23,tbSkills!DH3:DJ6,3,FALSE),0),0))/100)))),1),"")</f>
        <v>1</v>
      </c>
      <c r="L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26)*K26)*(VLOOKUP(A26,tbMoveset!A2:C112,3,FALSE)/100)*IF(VLOOKUP(A26,tbMoveset!A2:B112,2,FALSE)="Projectile",Backdoors!N10,Backdoors!N9),0),"")</f>
        <v>10</v>
      </c>
      <c r="M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I26&gt;=0.45,VLOOKUP(Calculator!E23,tbSkills!DH3:DI6,2,FALSE)+IF(AND(Calculator!B8=TRUE,Backdoors!BI4=TRUE),VLOOKUP(Calculator!E23,tbSkills!DH3:DJ6,3,FALSE),0),0))&gt;=100,100,(Backdoors!AI12+IF(I26&gt;=0.45,VLOOKUP(Calculator!E23,tbSkills!DH3:DI6,2,FALSE)+IF(AND(Calculator!B8=TRUE,Backdoors!BI4=TRUE),VLOOKUP(Calculator!E23,tbSkills!DH3:DJ6,3,FALSE),0),0)))/100)),1))*IF(VLOOKUP(A26,tbMoveset!A2:K112,11,FALSE)=TRUE,Backdoors!AC5,1))*J26,0),"")</f>
        <v>0</v>
      </c>
      <c r="N26" s="49">
        <f>VLOOKUP(A26,tbMoveset!A2:G112,7,FALSE)*IFERROR(IF(Backdoors!AI12&gt;=0,1+(IF(Calculator!E40&gt;0,VLOOKUP(Calculator!E40,tbSkills!AI3:AJ5,2,FALSE),Backdoors!AL4)*(IF((Backdoors!AI12+IF(I26&gt;=0.45,VLOOKUP(Calculator!E23,tbSkills!DH3:DI6,2,FALSE)+IF(AND(Calculator!B8=TRUE,Backdoors!BI4=TRUE),VLOOKUP(Calculator!E23,tbSkills!DH3:DJ6,3,FALSE),0),0))&gt;=100,100,(Backdoors!AI12+IF(I26&gt;=0.45,VLOOKUP(Calculator!E23,tbSkills!DH3:DI6,2,FALSE)+IF(AND(Calculator!B8=TRUE,Backdoors!BI4=TRUE),VLOOKUP(Calculator!E23,tbSkills!DH3:DJ6,3,FALSE),0),0)))/100)),1),1)</f>
        <v>1</v>
      </c>
      <c r="O26" s="87">
        <f t="shared" si="36"/>
        <v>10</v>
      </c>
      <c r="P26" s="86">
        <f>IFERROR(IF(VLOOKUP(A26,tbMoveset!A2:B112,2,FALSE)="Sever",Backdoors!AY5/100,IF(VLOOKUP(A26,tbMoveset!A2:B112,2,FALSE)="Blunt",Backdoors!AZ5/100,Backdoors!BA5/100)),"")</f>
        <v>0.5</v>
      </c>
      <c r="Q26" s="49">
        <f>IFERROR(IF(VLOOKUP(tbMoveset!A26,tbMoveset!A2:H112,8,FALSE)="Other",IF(VLOOKUP(tbMoveset!A26,tbMoveset!A2:I112,9,FALSE)="Fire",Backdoors!BB5,IF(VLOOKUP(tbMoveset!A26,tbMoveset!A2:I112,9,FALSE)="Water",Backdoors!BC5,IF(VLOOKUP(tbMoveset!A26,tbMoveset!A2:I112,9,FALSE)="Thunder",Backdoors!BD5,IF(VLOOKUP(tbMoveset!A26,tbMoveset!A2:I112,9,FALSE)="Ice",Backdoors!BE5,IF(VLOOKUP(tbMoveset!A26,tbMoveset!A2:I112,9,FALSE)="Dragon",Backdoors!BF5,Backdoors!BG5)))))/100,Backdoors!BG5/100),"")</f>
        <v>0</v>
      </c>
      <c r="R26" s="49">
        <f>IFERROR(IF(VLOOKUP(A26,tbMoveset!A2:J112,10,FALSE)=TRUE,IF((Backdoors!AI12+IF(P26&gt;=0.45,VLOOKUP(Calculator!E23,tbSkills!DH3:DI6,2,FALSE)+IF(AND(Calculator!B8=TRUE,Backdoors!BI5=TRUE),VLOOKUP(Calculator!E23,tbSkills!DH3:DJ6,3,FALSE),0),0))&gt;=0,1+(Backdoors!AL2*(IF((Backdoors!AI12+IF(P26&gt;=0.45,VLOOKUP(Calculator!E23,tbSkills!DH3:DI6,2,FALSE)+IF(AND(Calculator!B8=TRUE,Backdoors!BI5=TRUE),VLOOKUP(Calculator!E23,tbSkills!DH3:DJ6,3,FALSE),0),0))&gt;=100,100,(Backdoors!AI12+IF(P26&gt;=0.45,VLOOKUP(Calculator!E23,tbSkills!DH3:DI6,2,FALSE)+IF(AND(Calculator!B8=TRUE,Backdoors!BI5=TRUE),VLOOKUP(Calculator!E23,tbSkills!DH3:DJ6,3,FALSE),0),0)))/100)),(1-(0.25*((-Backdoors!AI12-IF(P26&gt;=0.45,VLOOKUP(Calculator!E23,tbSkills!DH3:DI6,2,FALSE)+IF(AND(Calculator!B8=TRUE,Backdoors!BI5=TRUE),VLOOKUP(Calculator!E23,tbSkills!DH3:DJ6,3,FALSE),0),0))/100)))),1),"")</f>
        <v>1</v>
      </c>
      <c r="S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P26)*R26)*(VLOOKUP(A26,tbMoveset!A2:C112,3,FALSE)/100)*IF(VLOOKUP(A26,tbMoveset!A2:B112,2,FALSE)="Projectile",Backdoors!N10,Backdoors!N9),0),"")</f>
        <v>8</v>
      </c>
      <c r="T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P26&gt;=0.45,VLOOKUP(Calculator!E23,tbSkills!DH3:DI6,2,FALSE)+IF(AND(Calculator!B8=TRUE,Backdoors!BI5=TRUE),VLOOKUP(Calculator!E23,tbSkills!DH3:DJ6,3,FALSE),0),0))&gt;=100,100,(Backdoors!AI12+IF(P26&gt;=0.45,VLOOKUP(Calculator!E23,tbSkills!DH3:DI6,2,FALSE)+IF(AND(Calculator!B8=TRUE,Backdoors!BI5=TRUE),VLOOKUP(Calculator!E23,tbSkills!DH3:DJ6,3,FALSE),0),0)))/100)),1))*IF(VLOOKUP(A26,tbMoveset!A2:K112,11,FALSE)=TRUE,Backdoors!AC5,1))*Q26,0),"")</f>
        <v>0</v>
      </c>
      <c r="U26" s="49">
        <f>VLOOKUP(A26,tbMoveset!A2:G112,7,FALSE)*IFERROR(IF(Backdoors!AI12&gt;=0,1+(IF(Calculator!E40&gt;0,VLOOKUP(Calculator!E40,tbSkills!AI3:AJ5,2,FALSE),Backdoors!AL4)*(IF((Backdoors!AI12+IF(P26&gt;=0.45,VLOOKUP(Calculator!E23,tbSkills!DH3:DI6,2,FALSE)+IF(AND(Calculator!B8=TRUE,Backdoors!BI5=TRUE),VLOOKUP(Calculator!E23,tbSkills!DH3:DJ6,3,FALSE),0),0))&gt;=100,100,(Backdoors!AI12+IF(P26&gt;=0.45,VLOOKUP(Calculator!E23,tbSkills!DH3:DI6,2,FALSE)+IF(AND(Calculator!B8=TRUE,Backdoors!BI5=TRUE),VLOOKUP(Calculator!E23,tbSkills!DH3:DJ6,3,FALSE),0),0)))/100)),1),1)</f>
        <v>1</v>
      </c>
      <c r="V26" s="87">
        <f t="shared" si="37"/>
        <v>8</v>
      </c>
      <c r="W26" s="86">
        <f>IFERROR(IF(VLOOKUP(A26,tbMoveset!A2:B112,2,FALSE)="Sever",Backdoors!AY6/100,IF(VLOOKUP(A26,tbMoveset!A2:B112,2,FALSE)="Blunt",Backdoors!AZ6/100,Backdoors!BA6/100)),"")</f>
        <v>0.45</v>
      </c>
      <c r="X26" s="49">
        <f>IFERROR(IF(VLOOKUP(tbMoveset!A26,tbMoveset!A2:H112,8,FALSE)="Other",IF(VLOOKUP(tbMoveset!A26,tbMoveset!A2:I112,9,FALSE)="Fire",Backdoors!BB6,IF(VLOOKUP(tbMoveset!A26,tbMoveset!A2:I112,9,FALSE)="Water",Backdoors!BC6,IF(VLOOKUP(tbMoveset!A26,tbMoveset!A2:I112,9,FALSE)="Thunder",Backdoors!BD6,IF(VLOOKUP(tbMoveset!A26,tbMoveset!A2:I112,9,FALSE)="Ice",Backdoors!BE6,IF(VLOOKUP(tbMoveset!A26,tbMoveset!A2:I112,9,FALSE)="Dragon",Backdoors!BF6,Backdoors!BG6)))))/100,Backdoors!BG6/100),"")</f>
        <v>0</v>
      </c>
      <c r="Y26" s="49">
        <f>IFERROR(IF(VLOOKUP(A26,tbMoveset!A2:J112,10,FALSE)=TRUE,IF((Backdoors!AI12+IF(W26&gt;=0.45,VLOOKUP(Calculator!E23,tbSkills!DH3:DI6,2,FALSE)+IF(AND(Calculator!B8=TRUE,Backdoors!BI6=TRUE),VLOOKUP(Calculator!E23,tbSkills!DH3:DJ6,3,FALSE),0),0))&gt;=0,1+(Backdoors!AL2*(IF((Backdoors!AI12+IF(W26&gt;=0.45,VLOOKUP(Calculator!E23,tbSkills!DH3:DI6,2,FALSE)+IF(AND(Calculator!B8=TRUE,Backdoors!BI6=TRUE),VLOOKUP(Calculator!E23,tbSkills!DH3:DJ6,3,FALSE),0),0))&gt;=100,100,(Backdoors!AI12+IF(W26&gt;=0.45,VLOOKUP(Calculator!E23,tbSkills!DH3:DI6,2,FALSE)+IF(AND(Calculator!B8=TRUE,Backdoors!BI6=TRUE),VLOOKUP(Calculator!E23,tbSkills!DH3:DJ6,3,FALSE),0),0)))/100)),(1-(0.25*((-Backdoors!AI12-IF(W26&gt;=0.45,VLOOKUP(Calculator!E23,tbSkills!DH3:DI6,2,FALSE)+IF(AND(Calculator!B8=TRUE,Backdoors!BI6=TRUE),VLOOKUP(Calculator!E23,tbSkills!DH3:DJ6,3,FALSE),0),0))/100)))),1),"")</f>
        <v>1</v>
      </c>
      <c r="Z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W26)*Y26)*(VLOOKUP(A26,tbMoveset!A2:C112,3,FALSE)/100)*IF(VLOOKUP(A26,tbMoveset!A2:B112,2,FALSE)="Projectile",Backdoors!N10,Backdoors!N9),0),"")</f>
        <v>7</v>
      </c>
      <c r="AA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W26&gt;=0.45,VLOOKUP(Calculator!E23,tbSkills!DH3:DI6,2,FALSE)+IF(AND(Calculator!B8=TRUE,Backdoors!BI6=TRUE),VLOOKUP(Calculator!E23,tbSkills!DH3:DJ6,3,FALSE),0),0))&gt;=100,100,(Backdoors!AI12+IF(W26&gt;=0.45,VLOOKUP(Calculator!E23,tbSkills!DH3:DI6,2,FALSE)+IF(AND(Calculator!B8=TRUE,Backdoors!BI6=TRUE),VLOOKUP(Calculator!E23,tbSkills!DH3:DJ6,3,FALSE),0),0)))/100)),1))*IF(VLOOKUP(A26,tbMoveset!A2:K112,11,FALSE)=TRUE,Backdoors!AC5,1))*X26,0),"")</f>
        <v>0</v>
      </c>
      <c r="AB26" s="49">
        <f>VLOOKUP(A26,tbMoveset!A2:G112,7,FALSE)*IFERROR(IF(Backdoors!AI12&gt;=0,1+(IF(Calculator!E40&gt;0,VLOOKUP(Calculator!E40,tbSkills!AI3:AJ5,2,FALSE),Backdoors!AL4)*(IF((Backdoors!AI12+IF(W26&gt;=0.45,VLOOKUP(Calculator!E23,tbSkills!DH3:DI6,2,FALSE)+IF(AND(Calculator!B8=TRUE,Backdoors!BI6=TRUE),VLOOKUP(Calculator!E23,tbSkills!DH3:DJ6,3,FALSE),0),0))&gt;=100,100,(Backdoors!AI12+IF(W26&gt;=0.45,VLOOKUP(Calculator!E23,tbSkills!DH3:DI6,2,FALSE)+IF(AND(Calculator!B8=TRUE,Backdoors!BI6=TRUE),VLOOKUP(Calculator!E23,tbSkills!DH3:DJ6,3,FALSE),0),0)))/100)),1),1)</f>
        <v>1</v>
      </c>
      <c r="AC26" s="87">
        <f t="shared" si="0"/>
        <v>7</v>
      </c>
      <c r="AD26" s="86">
        <f>IFERROR(IF(VLOOKUP(A26,tbMoveset!A2:B112,2,FALSE)="Sever",Backdoors!AY7/100,IF(VLOOKUP(A26,tbMoveset!A2:B112,2,FALSE)="Blunt",Backdoors!AZ7/100,Backdoors!BA7/100)),"")</f>
        <v>0.65</v>
      </c>
      <c r="AE26" s="49">
        <f>IFERROR(IF(VLOOKUP(tbMoveset!A26,tbMoveset!A2:H112,8,FALSE)="Other",IF(VLOOKUP(tbMoveset!A26,tbMoveset!A2:I112,9,FALSE)="Fire",Backdoors!BB7,IF(VLOOKUP(tbMoveset!A26,tbMoveset!A2:I112,9,FALSE)="Water",Backdoors!BC7,IF(VLOOKUP(tbMoveset!A26,tbMoveset!A2:I112,9,FALSE)="Thunder",Backdoors!BD7,IF(VLOOKUP(tbMoveset!A26,tbMoveset!A2:I112,9,FALSE)="Ice",Backdoors!BE7,IF(VLOOKUP(tbMoveset!A26,tbMoveset!A2:I112,9,FALSE)="Dragon",Backdoors!BF7,Backdoors!BG7)))))/100,Backdoors!BG7/100),"")</f>
        <v>0</v>
      </c>
      <c r="AF26" s="49">
        <f>IFERROR(IF(VLOOKUP(A26,tbMoveset!A2:J112,10,FALSE)=TRUE,IF((Backdoors!AI12+IF(AD26&gt;=0.45,VLOOKUP(Calculator!E23,tbSkills!DH3:DI6,2,FALSE)+IF(AND(Calculator!B8=TRUE,Backdoors!BI7=TRUE),VLOOKUP(Calculator!E23,tbSkills!DH3:DJ6,3,FALSE),0),0))&gt;=0,1+(Backdoors!AL2*(IF((Backdoors!AI12+IF(AD26&gt;=0.45,VLOOKUP(Calculator!E23,tbSkills!DH3:DI6,2,FALSE)+IF(AND(Calculator!B8=TRUE,Backdoors!BI7=TRUE),VLOOKUP(Calculator!E23,tbSkills!DH3:DJ6,3,FALSE),0),0))&gt;=100,100,(Backdoors!AI12+IF(AD26&gt;=0.45,VLOOKUP(Calculator!E23,tbSkills!DH3:DI6,2,FALSE)+IF(AND(Calculator!B8=TRUE,Backdoors!BI7=TRUE),VLOOKUP(Calculator!E23,tbSkills!DH3:DJ6,3,FALSE),0),0)))/100)),(1-(0.25*((-Backdoors!AI12-IF(AD26&gt;=0.45,VLOOKUP(Calculator!E23,tbSkills!DH3:DI6,2,FALSE)+IF(AND(Calculator!B8=TRUE,Backdoors!BI7=TRUE),VLOOKUP(Calculator!E23,tbSkills!DH3:DJ6,3,FALSE),0),0))/100)))),1),"")</f>
        <v>1</v>
      </c>
      <c r="AG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D26)*AF26)*(VLOOKUP(A26,tbMoveset!A2:C112,3,FALSE)/100)*IF(VLOOKUP(A26,tbMoveset!A2:B112,2,FALSE)="Projectile",Backdoors!N10,Backdoors!N9),0),"")</f>
        <v>10</v>
      </c>
      <c r="AH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D26&gt;=0.45,VLOOKUP(Calculator!E23,tbSkills!DH3:DI6,2,FALSE)+IF(AND(Calculator!B8=TRUE,Backdoors!BI7=TRUE),VLOOKUP(Calculator!E23,tbSkills!DH3:DJ6,3,FALSE),0),0))&gt;=100,100,(Backdoors!AI12+IF(AD26&gt;=0.45,VLOOKUP(Calculator!E23,tbSkills!DH3:DI6,2,FALSE)+IF(AND(Calculator!B8=TRUE,Backdoors!BI7=TRUE),VLOOKUP(Calculator!E23,tbSkills!DH3:DJ6,3,FALSE),0),0)))/100)),1))*IF(VLOOKUP(A26,tbMoveset!A2:K112,11,FALSE)=TRUE,Backdoors!AC5,1))*AE26,0),"")</f>
        <v>0</v>
      </c>
      <c r="AI26" s="49">
        <f>VLOOKUP(A26,tbMoveset!A2:G112,7,FALSE)*IFERROR(IF(Backdoors!AI12&gt;=0,1+(IF(Calculator!E40&gt;0,VLOOKUP(Calculator!E40,tbSkills!AI3:AJ5,2,FALSE),Backdoors!AL4)*(IF((Backdoors!AI12+IF(AD26&gt;=0.45,VLOOKUP(Calculator!E23,tbSkills!DH3:DI6,2,FALSE)+IF(AND(Calculator!B8=TRUE,Backdoors!BI7=TRUE),VLOOKUP(Calculator!E23,tbSkills!DH3:DJ6,3,FALSE),0),0))&gt;=100,100,(Backdoors!AI12+IF(AD26&gt;=0.45,VLOOKUP(Calculator!E23,tbSkills!DH3:DI6,2,FALSE)+IF(AND(Calculator!B8=TRUE,Backdoors!BI7=TRUE),VLOOKUP(Calculator!E23,tbSkills!DH3:DJ6,3,FALSE),0),0)))/100)),1),1)</f>
        <v>1</v>
      </c>
      <c r="AJ26" s="87">
        <f t="shared" si="1"/>
        <v>10</v>
      </c>
      <c r="AK26" s="91">
        <f>IFERROR(IF(VLOOKUP(A26,tbMoveset!A2:B112,2,FALSE)="Sever",Backdoors!AY8/100,IF(VLOOKUP(A26,tbMoveset!A2:B112,2,FALSE)="Blunt",Backdoors!AZ8/100,Backdoors!BA8/100)),"")</f>
        <v>0.45</v>
      </c>
      <c r="AL26" s="49">
        <f>IFERROR(IF(VLOOKUP(tbMoveset!A26,tbMoveset!A2:H112,8,FALSE)="Other",IF(VLOOKUP(tbMoveset!A26,tbMoveset!A2:I112,9,FALSE)="Fire",Backdoors!BB8,IF(VLOOKUP(tbMoveset!A26,tbMoveset!A2:I112,9,FALSE)="Water",Backdoors!BC8,IF(VLOOKUP(tbMoveset!A26,tbMoveset!A2:I112,9,FALSE)="Thunder",Backdoors!BD8,IF(VLOOKUP(tbMoveset!A26,tbMoveset!A2:I112,9,FALSE)="Ice",Backdoors!BE8,IF(VLOOKUP(tbMoveset!A26,tbMoveset!A2:I112,9,FALSE)="Dragon",Backdoors!BF8,Backdoors!BG8)))))/100,Backdoors!BG8/100),"")</f>
        <v>0</v>
      </c>
      <c r="AM26" s="49">
        <f>IFERROR(IF(VLOOKUP(A26,tbMoveset!A2:J112,10,FALSE)=TRUE,IF((Backdoors!AI12+IF(AK26&gt;=0.45,VLOOKUP(Calculator!E23,tbSkills!DH3:DI6,2,FALSE)+IF(AND(Calculator!B8=TRUE,Backdoors!BI8=TRUE),VLOOKUP(Calculator!E23,tbSkills!DH3:DJ6,3,FALSE),0),0))&gt;=0,1+(Backdoors!AL2*(IF((Backdoors!AI12+IF(AK26&gt;=0.45,VLOOKUP(Calculator!E23,tbSkills!DH3:DI6,2,FALSE)+IF(AND(Calculator!B8=TRUE,Backdoors!BI8=TRUE),VLOOKUP(Calculator!E23,tbSkills!DH3:DJ6,3,FALSE),0),0))&gt;=100,100,(Backdoors!AI12+IF(AK26&gt;=0.45,VLOOKUP(Calculator!E23,tbSkills!DH3:DI6,2,FALSE)+IF(AND(Calculator!B8=TRUE,Backdoors!BI8=TRUE),VLOOKUP(Calculator!E23,tbSkills!DH3:DJ6,3,FALSE),0),0)))/100)),(1-(0.25*((-Backdoors!AI12-IF(AK26&gt;=0.45,VLOOKUP(Calculator!E23,tbSkills!DH3:DI6,2,FALSE)+IF(AND(Calculator!B8=TRUE,Backdoors!BI8=TRUE),VLOOKUP(Calculator!E23,tbSkills!DH3:DJ6,3,FALSE),0),0))/100)))),1),"")</f>
        <v>1</v>
      </c>
      <c r="AN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K26)*AM26)*(VLOOKUP(A26,tbMoveset!A2:C112,3,FALSE)/100)*IF(VLOOKUP(A26,tbMoveset!A2:B112,2,FALSE)="Projectile",Backdoors!N10,Backdoors!N9),0),"")</f>
        <v>7</v>
      </c>
      <c r="AO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K26&gt;=0.45,VLOOKUP(Calculator!E23,tbSkills!DH3:DI6,2,FALSE)+IF(AND(Calculator!B8=TRUE,Backdoors!BI8=TRUE),VLOOKUP(Calculator!E23,tbSkills!DH3:DJ6,3,FALSE),0),0))&gt;=100,100,(Backdoors!AI12+IF(AK26&gt;=0.45,VLOOKUP(Calculator!E23,tbSkills!DH3:DI6,2,FALSE)+IF(AND(Calculator!B8=TRUE,Backdoors!BI8=TRUE),VLOOKUP(Calculator!E23,tbSkills!DH3:DJ6,3,FALSE),0),0)))/100)),1))*IF(VLOOKUP(A26,tbMoveset!A2:K112,11,FALSE)=TRUE,Backdoors!AC5,1))*AL26,0),"")</f>
        <v>0</v>
      </c>
      <c r="AP26" s="49">
        <f>VLOOKUP(A26,tbMoveset!A2:G112,7,FALSE)*IFERROR(IF(Backdoors!AI12&gt;=0,1+(IF(Calculator!E40&gt;0,VLOOKUP(Calculator!E40,tbSkills!AI3:AJ5,2,FALSE),Backdoors!AL4)*(IF((Backdoors!AI12+IF(AK26&gt;=0.45,VLOOKUP(Calculator!E23,tbSkills!DH3:DI6,2,FALSE)+IF(AND(Calculator!B8=TRUE,Backdoors!BI8=TRUE),VLOOKUP(Calculator!E23,tbSkills!DH3:DJ6,3,FALSE),0),0))&gt;=100,100,(Backdoors!AI12+IF(AK26&gt;=0.45,VLOOKUP(Calculator!E23,tbSkills!DH3:DI6,2,FALSE)+IF(AND(Calculator!B8=TRUE,Backdoors!BI8=TRUE),VLOOKUP(Calculator!E23,tbSkills!DH3:DJ6,3,FALSE),0),0)))/100)),1),1)</f>
        <v>1</v>
      </c>
      <c r="AQ26" s="87">
        <f t="shared" si="2"/>
        <v>7</v>
      </c>
      <c r="AR26" s="86">
        <f>IFERROR(IF(VLOOKUP(A26,tbMoveset!A2:B112,2,FALSE)="Sever",Backdoors!AY9/100,IF(VLOOKUP(A26,tbMoveset!A2:B112,2,FALSE)="Blunt",Backdoors!AZ9/100,Backdoors!BA9/100)),"")</f>
        <v>0.45</v>
      </c>
      <c r="AS26" s="49">
        <f>IFERROR(IF(VLOOKUP(tbMoveset!A26,tbMoveset!A2:H112,8,FALSE)="Other",IF(VLOOKUP(tbMoveset!A26,tbMoveset!A2:I112,9,FALSE)="Fire",Backdoors!BB9,IF(VLOOKUP(tbMoveset!A26,tbMoveset!A2:I112,9,FALSE)="Water",Backdoors!BC9,IF(VLOOKUP(tbMoveset!A26,tbMoveset!A2:I112,9,FALSE)="Thunder",Backdoors!BD9,IF(VLOOKUP(tbMoveset!A26,tbMoveset!A2:I112,9,FALSE)="Ice",Backdoors!BE9,IF(VLOOKUP(tbMoveset!A26,tbMoveset!A2:I112,9,FALSE)="Dragon",Backdoors!BF9,Backdoors!BG9)))))/100,Backdoors!BG9/100),"")</f>
        <v>0</v>
      </c>
      <c r="AT26" s="49">
        <f>IFERROR(IF(VLOOKUP(A26,tbMoveset!A2:J112,10,FALSE)=TRUE,IF((Backdoors!AI12+IF(AR26&gt;=0.45,VLOOKUP(Calculator!E23,tbSkills!DH3:DI6,2,FALSE)+IF(AND(Calculator!B8=TRUE,Backdoors!BI9=TRUE),VLOOKUP(Calculator!E23,tbSkills!DH3:DJ6,3,FALSE),0),0))&gt;=0,1+(Backdoors!AL2*(IF((Backdoors!AI12+IF(AR26&gt;=0.45,VLOOKUP(Calculator!E23,tbSkills!DH3:DI6,2,FALSE)+IF(AND(Calculator!B8=TRUE,Backdoors!BI9=TRUE),VLOOKUP(Calculator!E23,tbSkills!DH3:DJ6,3,FALSE),0),0))&gt;=100,100,(Backdoors!AI12+IF(AR26&gt;=0.45,VLOOKUP(Calculator!E23,tbSkills!DH3:DI6,2,FALSE)+IF(AND(Calculator!B8=TRUE,Backdoors!BI9=TRUE),VLOOKUP(Calculator!E23,tbSkills!DH3:DJ6,3,FALSE),0),0)))/100)),(1-(0.25*((-Backdoors!AI12-IF(AR26&gt;=0.45,VLOOKUP(Calculator!E23,tbSkills!DH3:DI6,2,FALSE)+IF(AND(Calculator!B8=TRUE,Backdoors!BI9=TRUE),VLOOKUP(Calculator!E23,tbSkills!DH3:DJ6,3,FALSE),0),0))/100)))),1),"")</f>
        <v>1</v>
      </c>
      <c r="AU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R26)*AT26)*(VLOOKUP(A26,tbMoveset!A2:C112,3,FALSE)/100)*IF(VLOOKUP(A26,tbMoveset!A2:B112,2,FALSE)="Projectile",Backdoors!N10,Backdoors!N9),0),"")</f>
        <v>7</v>
      </c>
      <c r="AV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R26&gt;=0.45,VLOOKUP(Calculator!E23,tbSkills!DH3:DI6,2,FALSE)+IF(AND(Calculator!B8=TRUE,Backdoors!BI9=TRUE),VLOOKUP(Calculator!E23,tbSkills!DH3:DJ6,3,FALSE),0),0))&gt;=100,100,(Backdoors!AI12+IF(AR26&gt;=0.45,VLOOKUP(Calculator!E23,tbSkills!DH3:DI6,2,FALSE)+IF(AND(Calculator!B8=TRUE,Backdoors!BI9=TRUE),VLOOKUP(Calculator!E23,tbSkills!DH3:DJ6,3,FALSE),0),0)))/100)),1))*IF(VLOOKUP(A26,tbMoveset!A2:K112,11,FALSE)=TRUE,Backdoors!AC5,1))*AS26,0),"")</f>
        <v>0</v>
      </c>
      <c r="AW26" s="49">
        <f>VLOOKUP(A26,tbMoveset!A2:G112,7,FALSE)*IFERROR(IF(Backdoors!AI12&gt;=0,1+(IF(Calculator!E40&gt;0,VLOOKUP(Calculator!E40,tbSkills!AI3:AJ5,2,FALSE),Backdoors!AL4)*(IF((Backdoors!AI12+IF(AR26&gt;=0.45,VLOOKUP(Calculator!E23,tbSkills!DH3:DI6,2,FALSE)+IF(AND(Calculator!B8=TRUE,Backdoors!BI9=TRUE),VLOOKUP(Calculator!E23,tbSkills!DH3:DJ6,3,FALSE),0),0))&gt;=100,100,(Backdoors!AI12+IF(AR26&gt;=0.45,VLOOKUP(Calculator!E23,tbSkills!DH3:DI6,2,FALSE)+IF(AND(Calculator!B8=TRUE,Backdoors!BI9=TRUE),VLOOKUP(Calculator!E23,tbSkills!DH3:DJ6,3,FALSE),0),0)))/100)),1),1)</f>
        <v>1</v>
      </c>
      <c r="AX26" s="87">
        <f t="shared" si="38"/>
        <v>7</v>
      </c>
      <c r="AY26" s="86">
        <f>IFERROR(IF(VLOOKUP(A26,tbMoveset!A2:B112,2,FALSE)="Sever",Backdoors!AY10/100,IF(VLOOKUP(A26,tbMoveset!A2:B112,2,FALSE)="Blunt",Backdoors!AZ10/100,Backdoors!BA10/100)),"")</f>
        <v>0.9</v>
      </c>
      <c r="AZ26" s="49">
        <f>IFERROR(IF(VLOOKUP(tbMoveset!A26,tbMoveset!A2:H112,8,FALSE)="Other",IF(VLOOKUP(tbMoveset!A26,tbMoveset!A2:I112,9,FALSE)="Fire",Backdoors!BB10,IF(VLOOKUP(tbMoveset!A26,tbMoveset!A2:I112,9,FALSE)="Water",Backdoors!BC10,IF(VLOOKUP(tbMoveset!A26,tbMoveset!A2:I112,9,FALSE)="Thunder",Backdoors!BD10,IF(VLOOKUP(tbMoveset!A26,tbMoveset!A2:I112,9,FALSE)="Ice",Backdoors!BE10,IF(VLOOKUP(tbMoveset!A26,tbMoveset!A2:I112,9,FALSE)="Dragon",Backdoors!BF10,Backdoors!BG10)))))/100,Backdoors!BG10/100),"")</f>
        <v>0</v>
      </c>
      <c r="BA26" s="49">
        <f>IFERROR(IF(VLOOKUP(A26,tbMoveset!A2:J112,10,FALSE)=TRUE,IF((Backdoors!AI12+IF(AY26&gt;=0.45,VLOOKUP(Calculator!E23,tbSkills!DH3:DI6,2,FALSE)+IF(AND(Calculator!B8=TRUE,Backdoors!BI10=TRUE),VLOOKUP(Calculator!E23,tbSkills!DH3:DJ6,3,FALSE),0),0))&gt;=0,1+(Backdoors!AL2*(IF((Backdoors!AI12+IF(AY26&gt;=0.45,VLOOKUP(Calculator!E23,tbSkills!DH3:DI6,2,FALSE)+IF(AND(Calculator!B8=TRUE,Backdoors!BI10=TRUE),VLOOKUP(Calculator!E23,tbSkills!DH3:DJ6,3,FALSE),0),0))&gt;=100,100,(Backdoors!AI12+IF(AY26&gt;=0.45,VLOOKUP(Calculator!E23,tbSkills!DH3:DI6,2,FALSE)+IF(AND(Calculator!B8=TRUE,Backdoors!BI10=TRUE),VLOOKUP(Calculator!E23,tbSkills!DH3:DJ6,3,FALSE),0),0)))/100)),(1-(0.25*((-Backdoors!AI12-IF(AY26&gt;=0.45,VLOOKUP(Calculator!E23,tbSkills!DH3:DI6,2,FALSE)+IF(AND(Calculator!B8=TRUE,Backdoors!BI10=TRUE),VLOOKUP(Calculator!E23,tbSkills!DH3:DJ6,3,FALSE),0),0))/100)))),1),"")</f>
        <v>1</v>
      </c>
      <c r="BB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Y26)*BA26)*(VLOOKUP(A26,tbMoveset!A2:C112,3,FALSE)/100)*IF(VLOOKUP(A26,tbMoveset!A2:B112,2,FALSE)="Projectile",Backdoors!N10,Backdoors!N9),0),"")</f>
        <v>14</v>
      </c>
      <c r="BC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Y26&gt;=0.45,VLOOKUP(Calculator!E23,tbSkills!DH3:DI6,2,FALSE)+IF(AND(Calculator!B8=TRUE,Backdoors!BI10=TRUE),VLOOKUP(Calculator!E23,tbSkills!DH3:DJ6,3,FALSE),0),0))&gt;=100,100,(Backdoors!AI12+IF(AY26&gt;=0.45,VLOOKUP(Calculator!E23,tbSkills!DH3:DI6,2,FALSE)+IF(AND(Calculator!B8=TRUE,Backdoors!BI10=TRUE),VLOOKUP(Calculator!E23,tbSkills!DH3:DJ6,3,FALSE),0),0)))/100)),1))*IF(VLOOKUP(A26,tbMoveset!A2:K112,11,FALSE)=TRUE,Backdoors!AC5,1))*AZ26,0),"")</f>
        <v>0</v>
      </c>
      <c r="BD26" s="49">
        <f>VLOOKUP(A26,tbMoveset!A2:G112,7,FALSE)*IFERROR(IF(Backdoors!AI12&gt;=0,1+(IF(Calculator!E40&gt;0,VLOOKUP(Calculator!E40,tbSkills!AI3:AJ5,2,FALSE),Backdoors!AL4)*(IF((Backdoors!AI12+IF(AY26&gt;=0.45,VLOOKUP(Calculator!E23,tbSkills!DH3:DI6,2,FALSE)+IF(AND(Calculator!B8=TRUE,Backdoors!BI10=TRUE),VLOOKUP(Calculator!E23,tbSkills!DH3:DJ6,3,FALSE),0),0))&gt;=100,100,(Backdoors!AI12+IF(AY26&gt;=0.45,VLOOKUP(Calculator!E23,tbSkills!DH3:DI6,2,FALSE)+IF(AND(Calculator!B8=TRUE,Backdoors!BI10=TRUE),VLOOKUP(Calculator!E23,tbSkills!DH3:DJ6,3,FALSE),0),0)))/100)),1),1)</f>
        <v>1</v>
      </c>
      <c r="BE26" s="87">
        <f t="shared" si="3"/>
        <v>14</v>
      </c>
      <c r="BF26" s="86" t="str">
        <f>IFERROR(IF(VLOOKUP(A26,tbMoveset!A2:B112,2,FALSE)="Sever",Backdoors!AY11/100,IF(VLOOKUP(A26,tbMoveset!A2:B112,2,FALSE)="Blunt",Backdoors!AZ11/100,Backdoors!BA11/100)),"")</f>
        <v/>
      </c>
      <c r="BG26" s="49">
        <f>IFERROR(IF(VLOOKUP(tbMoveset!A26,tbMoveset!A2:H112,8,FALSE)="Other",IF(VLOOKUP(tbMoveset!A26,tbMoveset!A2:I112,9,FALSE)="Fire",Backdoors!BB11,IF(VLOOKUP(tbMoveset!A26,tbMoveset!A2:I112,9,FALSE)="Water",Backdoors!BC11,IF(VLOOKUP(tbMoveset!A26,tbMoveset!A2:I112,9,FALSE)="Thunder",Backdoors!BD11,IF(VLOOKUP(tbMoveset!A26,tbMoveset!A2:I112,9,FALSE)="Ice",Backdoors!BE11,IF(VLOOKUP(tbMoveset!A26,tbMoveset!A2:I112,9,FALSE)="Dragon",Backdoors!BF11,Backdoors!BG11)))))/100,Backdoors!BG11/100),"")</f>
        <v>0</v>
      </c>
      <c r="BH26" s="49">
        <f>IFERROR(IF(VLOOKUP(A26,tbMoveset!A2:J112,10,FALSE)=TRUE,IF((Backdoors!AI12+IF(BF26&gt;=0.45,VLOOKUP(Calculator!E23,tbSkills!DH3:DI6,2,FALSE)+IF(AND(Calculator!B8=TRUE,Backdoors!BI11=TRUE),VLOOKUP(Calculator!E23,tbSkills!DH3:DJ6,3,FALSE),0),0))&gt;=0,1+(Backdoors!AL2*(IF((Backdoors!AI12+IF(BF26&gt;=0.45,VLOOKUP(Calculator!E23,tbSkills!DH3:DI6,2,FALSE)+IF(AND(Calculator!B8=TRUE,Backdoors!BI11=TRUE),VLOOKUP(Calculator!E23,tbSkills!DH3:DJ6,3,FALSE),0),0))&gt;=100,100,(Backdoors!AI12+IF(BF26&gt;=0.45,VLOOKUP(Calculator!E23,tbSkills!DH3:DI6,2,FALSE)+IF(AND(Calculator!B8=TRUE,Backdoors!BI11=TRUE),VLOOKUP(Calculator!E23,tbSkills!DH3:DJ6,3,FALSE),0),0)))/100)),(1-(0.25*((-Backdoors!AI12-IF(BF26&gt;=0.45,VLOOKUP(Calculator!E23,tbSkills!DH3:DI6,2,FALSE)+IF(AND(Calculator!B8=TRUE,Backdoors!BI11=TRUE),VLOOKUP(Calculator!E23,tbSkills!DH3:DJ6,3,FALSE),0),0))/100)))),1),"")</f>
        <v>1</v>
      </c>
      <c r="BI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F26)*BH26)*(VLOOKUP(A26,tbMoveset!A2:C112,3,FALSE)/100)*IF(VLOOKUP(A26,tbMoveset!A2:B112,2,FALSE)="Projectile",Backdoors!N10,Backdoors!N9),0),"")</f>
        <v/>
      </c>
      <c r="BJ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F26&gt;=0.45,VLOOKUP(Calculator!E23,tbSkills!DH3:DI6,2,FALSE)+IF(AND(Calculator!B8=TRUE,Backdoors!BI11=TRUE),VLOOKUP(Calculator!E23,tbSkills!DH3:DJ6,3,FALSE),0),0))&gt;=100,100,(Backdoors!AI12+IF(BF26&gt;=0.45,VLOOKUP(Calculator!E23,tbSkills!DH3:DI6,2,FALSE)+IF(AND(Calculator!B8=TRUE,Backdoors!BI11=TRUE),VLOOKUP(Calculator!E23,tbSkills!DH3:DJ6,3,FALSE),0),0)))/100)),1))*IF(VLOOKUP(A26,tbMoveset!A2:K112,11,FALSE)=TRUE,Backdoors!AC5,1))*BG26,0),"")</f>
        <v>0</v>
      </c>
      <c r="BK26" s="49">
        <f>VLOOKUP(A26,tbMoveset!A2:G112,7,FALSE)*IFERROR(IF(Backdoors!AI12&gt;=0,1+(IF(Calculator!E40&gt;0,VLOOKUP(Calculator!E40,tbSkills!AI3:AJ5,2,FALSE),Backdoors!AL4)*(IF((Backdoors!AI12+IF(BF26&gt;=0.45,VLOOKUP(Calculator!E23,tbSkills!DH3:DI6,2,FALSE)+IF(AND(Calculator!B8=TRUE,Backdoors!BI11=TRUE),VLOOKUP(Calculator!E23,tbSkills!DH3:DJ6,3,FALSE),0),0))&gt;=100,100,(Backdoors!AI12+IF(BF26&gt;=0.45,VLOOKUP(Calculator!E23,tbSkills!DH3:DI6,2,FALSE)+IF(AND(Calculator!B8=TRUE,Backdoors!BI11=TRUE),VLOOKUP(Calculator!E23,tbSkills!DH3:DJ6,3,FALSE),0),0)))/100)),1),1)</f>
        <v>1</v>
      </c>
      <c r="BL26" s="87">
        <f t="shared" si="4"/>
        <v>0</v>
      </c>
      <c r="BM26" s="86" t="str">
        <f>IFERROR(IF(VLOOKUP(A26,tbMoveset!A2:B112,2,FALSE)="Sever",Backdoors!AY12/100,IF(VLOOKUP(A26,tbMoveset!A2:B112,2,FALSE)="Blunt",Backdoors!AZ12/100,Backdoors!BA12/100)),"")</f>
        <v/>
      </c>
      <c r="BN26" s="49">
        <f>IFERROR(IF(VLOOKUP(tbMoveset!A26,tbMoveset!A2:H112,8,FALSE)="Other",IF(VLOOKUP(tbMoveset!A26,tbMoveset!A2:I112,9,FALSE)="Fire",Backdoors!BB12,IF(VLOOKUP(tbMoveset!A26,tbMoveset!A2:I112,9,FALSE)="Water",Backdoors!BC12,IF(VLOOKUP(tbMoveset!A26,tbMoveset!A2:I112,9,FALSE)="Thunder",Backdoors!BD12,IF(VLOOKUP(tbMoveset!A26,tbMoveset!A2:I112,9,FALSE)="Ice",Backdoors!BE12,IF(VLOOKUP(tbMoveset!A26,tbMoveset!A2:I112,9,FALSE)="Dragon",Backdoors!BF12,Backdoors!BG12)))))/100,Backdoors!BG12/100),"")</f>
        <v>0</v>
      </c>
      <c r="BO26" s="49">
        <f>IFERROR(IF(VLOOKUP(A26,tbMoveset!A2:J112,10,FALSE)=TRUE,IF((Backdoors!AI12+IF(BM26&gt;=0.45,VLOOKUP(Calculator!E23,tbSkills!DH3:DI6,2,FALSE)+IF(AND(Calculator!B8=TRUE,Backdoors!BI12=TRUE),VLOOKUP(Calculator!E23,tbSkills!DH3:DJ6,3,FALSE),0),0))&gt;=0,1+(Backdoors!AL2*(IF((Backdoors!AI12+IF(BM26&gt;=0.45,VLOOKUP(Calculator!E23,tbSkills!DH3:DI6,2,FALSE)+IF(AND(Calculator!B8=TRUE,Backdoors!BI12=TRUE),VLOOKUP(Calculator!E23,tbSkills!DH3:DJ6,3,FALSE),0),0))&gt;=100,100,(Backdoors!AI12+IF(BM26&gt;=0.45,VLOOKUP(Calculator!E23,tbSkills!DH3:DI6,2,FALSE)+IF(AND(Calculator!B8=TRUE,Backdoors!BI12=TRUE),VLOOKUP(Calculator!E23,tbSkills!DH3:DJ6,3,FALSE),0),0)))/100)),(1-(0.25*((-Backdoors!AI12-IF(BM26&gt;=0.45,VLOOKUP(Calculator!E23,tbSkills!DH3:DI6,2,FALSE)+IF(AND(Calculator!B8=TRUE,Backdoors!BI12=TRUE),VLOOKUP(Calculator!E23,tbSkills!DH3:DJ6,3,FALSE),0),0))/100)))),1),"")</f>
        <v>1</v>
      </c>
      <c r="BP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M26)*BO26)*(VLOOKUP(A26,tbMoveset!A2:C112,3,FALSE)/100)*IF(VLOOKUP(A26,tbMoveset!A2:B112,2,FALSE)="Projectile",Backdoors!N10,Backdoors!N9),0),"")</f>
        <v/>
      </c>
      <c r="BQ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M26&gt;=0.45,VLOOKUP(Calculator!E23,tbSkills!DH3:DI6,2,FALSE)+IF(AND(Calculator!B8=TRUE,Backdoors!BI12=TRUE),VLOOKUP(Calculator!E23,tbSkills!DH3:DJ6,3,FALSE),0),0))&gt;=100,100,(Backdoors!AI12+IF(BM26&gt;=0.45,VLOOKUP(Calculator!E23,tbSkills!DH3:DI6,2,FALSE)+IF(AND(Calculator!B8=TRUE,Backdoors!BI12=TRUE),VLOOKUP(Calculator!E23,tbSkills!DH3:DJ6,3,FALSE),0),0)))/100)),1))*IF(VLOOKUP(A26,tbMoveset!A2:K112,11,FALSE)=TRUE,Backdoors!AC5,1))*BN26,0),"")</f>
        <v>0</v>
      </c>
      <c r="BR26" s="49">
        <f>VLOOKUP(A26,tbMoveset!A2:G112,7,FALSE)*IFERROR(IF(Backdoors!AI12&gt;=0,1+(IF(Calculator!E40&gt;0,VLOOKUP(Calculator!E40,tbSkills!AI3:AJ5,2,FALSE),Backdoors!AL4)*(IF((Backdoors!AI12+IF(BM26&gt;=0.45,VLOOKUP(Calculator!E23,tbSkills!DH3:DI6,2,FALSE)+IF(AND(Calculator!B8=TRUE,Backdoors!BI12=TRUE),VLOOKUP(Calculator!E23,tbSkills!DH3:DJ6,3,FALSE),0),0))&gt;=100,100,(Backdoors!AI12+IF(BM26&gt;=0.45,VLOOKUP(Calculator!E23,tbSkills!DH3:DI6,2,FALSE)+IF(AND(Calculator!B8=TRUE,Backdoors!BI12=TRUE),VLOOKUP(Calculator!E23,tbSkills!DH3:DJ6,3,FALSE),0),0)))/100)),1),1)</f>
        <v>1</v>
      </c>
      <c r="BS26" s="87">
        <f t="shared" si="39"/>
        <v>0</v>
      </c>
      <c r="BT26" s="86" t="str">
        <f>IFERROR(IF(VLOOKUP(A26,tbMoveset!A2:B112,2,FALSE)="Sever",Backdoors!AY13/100,IF(VLOOKUP(A26,tbMoveset!A2:B112,2,FALSE)="Blunt",Backdoors!AZ13/100,Backdoors!BA13/100)),"")</f>
        <v/>
      </c>
      <c r="BU26" s="49">
        <f>IFERROR(IF(VLOOKUP(tbMoveset!A26,tbMoveset!A2:H112,8,FALSE)="Other",IF(VLOOKUP(tbMoveset!A26,tbMoveset!A2:I112,9,FALSE)="Fire",Backdoors!BB13,IF(VLOOKUP(tbMoveset!A26,tbMoveset!A2:I112,9,FALSE)="Water",Backdoors!BC13,IF(VLOOKUP(tbMoveset!A26,tbMoveset!A2:I112,9,FALSE)="Thunder",Backdoors!BD13,IF(VLOOKUP(tbMoveset!A26,tbMoveset!A2:I112,9,FALSE)="Ice",Backdoors!BE13,IF(VLOOKUP(tbMoveset!A26,tbMoveset!A2:I112,9,FALSE)="Dragon",Backdoors!BF13,Backdoors!BG13)))))/100,Backdoors!BG13/100),"")</f>
        <v>0</v>
      </c>
      <c r="BV26" s="49">
        <f>IFERROR(IF(VLOOKUP(A26,tbMoveset!A2:J112,10,FALSE)=TRUE,IF((Backdoors!AI12+IF(BT26&gt;=0.45,VLOOKUP(Calculator!E23,tbSkills!DH3:DI6,2,FALSE)+IF(AND(Calculator!B8=TRUE,Backdoors!BI13=TRUE),VLOOKUP(Calculator!E23,tbSkills!DH3:DJ6,3,FALSE),0),0))&gt;=0,1+(Backdoors!AL2*(IF((Backdoors!AI12+IF(BT26&gt;=0.45,VLOOKUP(Calculator!E23,tbSkills!DH3:DI6,2,FALSE)+IF(AND(Calculator!B8=TRUE,Backdoors!BI13=TRUE),VLOOKUP(Calculator!E23,tbSkills!DH3:DJ6,3,FALSE),0),0))&gt;=100,100,(Backdoors!AI12+IF(BT26&gt;=0.45,VLOOKUP(Calculator!E23,tbSkills!DH3:DI6,2,FALSE)+IF(AND(Calculator!B8=TRUE,Backdoors!BI13=TRUE),VLOOKUP(Calculator!E23,tbSkills!DH3:DJ6,3,FALSE),0),0)))/100)),(1-(0.25*((-Backdoors!AI12-IF(BT26&gt;=0.45,VLOOKUP(Calculator!E23,tbSkills!DH3:DI6,2,FALSE)+IF(AND(Calculator!B8=TRUE,Backdoors!BI13=TRUE),VLOOKUP(Calculator!E23,tbSkills!DH3:DJ6,3,FALSE),0),0))/100)))),1),"")</f>
        <v>1</v>
      </c>
      <c r="BW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T26)*BV26)*(VLOOKUP(A26,tbMoveset!A2:C112,3,FALSE)/100)*IF(VLOOKUP(A26,tbMoveset!A2:B112,2,FALSE)="Projectile",Backdoors!N10,Backdoors!N9),0),"")</f>
        <v/>
      </c>
      <c r="BX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T26&gt;=0.45,VLOOKUP(Calculator!E23,tbSkills!DH3:DI6,2,FALSE)+IF(AND(Calculator!B8=TRUE,Backdoors!BI13=TRUE),VLOOKUP(Calculator!E23,tbSkills!DH3:DJ6,3,FALSE),0),0))&gt;=100,100,(Backdoors!AI12+IF(BT26&gt;=0.45,VLOOKUP(Calculator!E23,tbSkills!DH3:DI6,2,FALSE)+IF(AND(Calculator!B8=TRUE,Backdoors!BI13=TRUE),VLOOKUP(Calculator!E23,tbSkills!DH3:DJ6,3,FALSE),0),0)))/100)),1))*IF(VLOOKUP(A26,tbMoveset!A2:K112,11,FALSE)=TRUE,Backdoors!AC5,1))*BU26,0),"")</f>
        <v>0</v>
      </c>
      <c r="BY26" s="49">
        <f>VLOOKUP(A26,tbMoveset!A2:G112,7,FALSE)*IFERROR(IF(Backdoors!AI12&gt;=0,1+(IF(Calculator!E40&gt;0,VLOOKUP(Calculator!E40,tbSkills!AI3:AJ5,2,FALSE),Backdoors!AL4)*(IF((Backdoors!AI12+IF(BT26&gt;=0.45,VLOOKUP(Calculator!E23,tbSkills!DH3:DI6,2,FALSE)+IF(AND(Calculator!B8=TRUE,Backdoors!BI13=TRUE),VLOOKUP(Calculator!E23,tbSkills!DH3:DJ6,3,FALSE),0),0))&gt;=100,100,(Backdoors!AI12+IF(BT26&gt;=0.45,VLOOKUP(Calculator!E23,tbSkills!DH3:DI6,2,FALSE)+IF(AND(Calculator!B8=TRUE,Backdoors!BI13=TRUE),VLOOKUP(Calculator!E23,tbSkills!DH3:DJ6,3,FALSE),0),0)))/100)),1),1)</f>
        <v>1</v>
      </c>
      <c r="BZ26" s="87">
        <f t="shared" si="5"/>
        <v>0</v>
      </c>
      <c r="CA26" s="86" t="str">
        <f>IFERROR(IF(VLOOKUP(A26,tbMoveset!A2:B112,2,FALSE)="Sever",Backdoors!AY14/100,IF(VLOOKUP(A26,tbMoveset!A2:B112,2,FALSE)="Blunt",Backdoors!AZ14/100,Backdoors!BA14/100)),"")</f>
        <v/>
      </c>
      <c r="CB26" s="49">
        <f>IFERROR(IF(VLOOKUP(tbMoveset!A26,tbMoveset!A2:H112,8,FALSE)="Other",IF(VLOOKUP(tbMoveset!A26,tbMoveset!A2:I112,9,FALSE)="Fire",Backdoors!BB14,IF(VLOOKUP(tbMoveset!A26,tbMoveset!A2:I112,9,FALSE)="Water",Backdoors!BC14,IF(VLOOKUP(tbMoveset!A26,tbMoveset!A2:I112,9,FALSE)="Thunder",Backdoors!BD14,IF(VLOOKUP(tbMoveset!A26,tbMoveset!A2:I112,9,FALSE)="Ice",Backdoors!BE14,IF(VLOOKUP(tbMoveset!A26,tbMoveset!A2:I112,9,FALSE)="Dragon",Backdoors!BF14,Backdoors!BG14)))))/100,Backdoors!BG14/100),"")</f>
        <v>0</v>
      </c>
      <c r="CC26" s="49">
        <f>IFERROR(IF(VLOOKUP(A26,tbMoveset!A2:J112,10,FALSE)=TRUE,IF((Backdoors!AI12+IF(CA26&gt;=0.45,VLOOKUP(Calculator!E23,tbSkills!DH3:DI6,2,FALSE)+IF(AND(Calculator!B8=TRUE,Backdoors!BI14=TRUE),VLOOKUP(Calculator!E23,tbSkills!DH3:DJ6,3,FALSE),0),0))&gt;=0,1+(Backdoors!AL2*(IF((Backdoors!AI12+IF(CA26&gt;=0.45,VLOOKUP(Calculator!E23,tbSkills!DH3:DI6,2,FALSE)+IF(AND(Calculator!B8=TRUE,Backdoors!BI14=TRUE),VLOOKUP(Calculator!E23,tbSkills!DH3:DJ6,3,FALSE),0),0))&gt;=100,100,(Backdoors!AI12+IF(CA26&gt;=0.45,VLOOKUP(Calculator!E23,tbSkills!DH3:DI6,2,FALSE)+IF(AND(Calculator!B8=TRUE,Backdoors!BI14=TRUE),VLOOKUP(Calculator!E23,tbSkills!DH3:DJ6,3,FALSE),0),0)))/100)),(1-(0.25*((-Backdoors!AI12-IF(CA26&gt;=0.45,VLOOKUP(Calculator!E23,tbSkills!DH3:DI6,2,FALSE)+IF(AND(Calculator!B8=TRUE,Backdoors!BI14=TRUE),VLOOKUP(Calculator!E23,tbSkills!DH3:DJ6,3,FALSE),0),0))/100)))),1),"")</f>
        <v>1</v>
      </c>
      <c r="CD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A26)*CC26)*(VLOOKUP(A26,tbMoveset!A2:C112,3,FALSE)/100)*IF(VLOOKUP(A26,tbMoveset!A2:B112,2,FALSE)="Projectile",Backdoors!N10,Backdoors!N9),0),"")</f>
        <v/>
      </c>
      <c r="CE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A26&gt;=0.45,VLOOKUP(Calculator!E23,tbSkills!DH3:DI6,2,FALSE)+IF(AND(Calculator!B8=TRUE,Backdoors!BI14=TRUE),VLOOKUP(Calculator!E23,tbSkills!DH3:DJ6,3,FALSE),0),0))&gt;=100,100,(Backdoors!AI12+IF(CA26&gt;=0.45,VLOOKUP(Calculator!E23,tbSkills!DH3:DI6,2,FALSE)+IF(AND(Calculator!B8=TRUE,Backdoors!BI14=TRUE),VLOOKUP(Calculator!E23,tbSkills!DH3:DJ6,3,FALSE),0),0)))/100)),1))*IF(VLOOKUP(A26,tbMoveset!A2:K112,11,FALSE)=TRUE,Backdoors!AC5,1))*CB26,0),"")</f>
        <v>0</v>
      </c>
      <c r="CF26" s="49">
        <f>VLOOKUP(A26,tbMoveset!A2:G112,7,FALSE)*IFERROR(IF(Backdoors!AI12&gt;=0,1+(IF(Calculator!E40&gt;0,VLOOKUP(Calculator!E40,tbSkills!AI3:AJ5,2,FALSE),Backdoors!AL4)*(IF((Backdoors!AI12+IF(CA26&gt;=0.45,VLOOKUP(Calculator!E23,tbSkills!DH3:DI6,2,FALSE)+IF(AND(Calculator!B8=TRUE,Backdoors!BI14=TRUE),VLOOKUP(Calculator!E23,tbSkills!DH3:DJ6,3,FALSE),0),0))&gt;=100,100,(Backdoors!AI12+IF(CA26&gt;=0.45,VLOOKUP(Calculator!E23,tbSkills!DH3:DI6,2,FALSE)+IF(AND(Calculator!B8=TRUE,Backdoors!BI14=TRUE),VLOOKUP(Calculator!E23,tbSkills!DH3:DJ6,3,FALSE),0),0)))/100)),1),1)</f>
        <v>1</v>
      </c>
      <c r="CG26" s="87">
        <f t="shared" si="6"/>
        <v>0</v>
      </c>
      <c r="CH26" s="86" t="str">
        <f>IFERROR(IF(VLOOKUP(A26,tbMoveset!A2:B112,2,FALSE)="Sever",Backdoors!AY15/100,IF(VLOOKUP(A26,tbMoveset!A2:B112,2,FALSE)="Blunt",Backdoors!AZ15/100,Backdoors!BA15/100)),"")</f>
        <v/>
      </c>
      <c r="CI26" s="49">
        <f>IFERROR(IF(VLOOKUP(tbMoveset!A26,tbMoveset!A2:H112,8,FALSE)="Other",IF(VLOOKUP(tbMoveset!A26,tbMoveset!A2:I112,9,FALSE)="Fire",Backdoors!BB15,IF(VLOOKUP(tbMoveset!A26,tbMoveset!A2:I112,9,FALSE)="Water",Backdoors!BC15,IF(VLOOKUP(tbMoveset!A26,tbMoveset!A2:I112,9,FALSE)="Thunder",Backdoors!BD15,IF(VLOOKUP(tbMoveset!A26,tbMoveset!A2:I112,9,FALSE)="Ice",Backdoors!BE15,IF(VLOOKUP(tbMoveset!A26,tbMoveset!A2:I112,9,FALSE)="Dragon",Backdoors!BF15,Backdoors!BG15)))))/100,Backdoors!BG15/100),"")</f>
        <v>0</v>
      </c>
      <c r="CJ26" s="49">
        <f>IFERROR(IF(VLOOKUP(A26,tbMoveset!A2:J112,10,FALSE)=TRUE,IF((Backdoors!AI12+IF(CH26&gt;=0.45,VLOOKUP(Calculator!E23,tbSkills!DH3:DI6,2,FALSE)+IF(AND(Calculator!B8=TRUE,Backdoors!BI15=TRUE),VLOOKUP(Calculator!E23,tbSkills!DH3:DJ6,3,FALSE),0),0))&gt;=0,1+(Backdoors!AL2*(IF((Backdoors!AI12+IF(CH26&gt;=0.45,VLOOKUP(Calculator!E23,tbSkills!DH3:DI6,2,FALSE)+IF(AND(Calculator!B8=TRUE,Backdoors!BI15=TRUE),VLOOKUP(Calculator!E23,tbSkills!DH3:DJ6,3,FALSE),0),0))&gt;=100,100,(Backdoors!AI12+IF(CH26&gt;=0.45,VLOOKUP(Calculator!E23,tbSkills!DH3:DI6,2,FALSE)+IF(AND(Calculator!B8=TRUE,Backdoors!BI15=TRUE),VLOOKUP(Calculator!E23,tbSkills!DH3:DJ6,3,FALSE),0),0)))/100)),(1-(0.25*((-Backdoors!AI12-IF(CH26&gt;=0.45,VLOOKUP(Calculator!E23,tbSkills!DH3:DI6,2,FALSE)+IF(AND(Calculator!B8=TRUE,Backdoors!BI15=TRUE),VLOOKUP(Calculator!E23,tbSkills!DH3:DJ6,3,FALSE),0),0))/100)))),1),"")</f>
        <v>1</v>
      </c>
      <c r="CK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H26)*CJ26)*(VLOOKUP(A26,tbMoveset!A2:C112,3,FALSE)/100)*IF(VLOOKUP(A26,tbMoveset!A2:B112,2,FALSE)="Projectile",Backdoors!N10,Backdoors!N9),0),"")</f>
        <v/>
      </c>
      <c r="CL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H26&gt;=0.45,VLOOKUP(Calculator!E23,tbSkills!DH3:DI6,2,FALSE)+IF(AND(Calculator!B8=TRUE,Backdoors!BI15=TRUE),VLOOKUP(Calculator!E23,tbSkills!DH3:DJ6,3,FALSE),0),0))&gt;=100,100,(Backdoors!AI12+IF(CH26&gt;=0.45,VLOOKUP(Calculator!E23,tbSkills!DH3:DI6,2,FALSE)+IF(AND(Calculator!B8=TRUE,Backdoors!BI15=TRUE),VLOOKUP(Calculator!E23,tbSkills!DH3:DJ6,3,FALSE),0),0)))/100)),1))*IF(VLOOKUP(A26,tbMoveset!A2:K112,11,FALSE)=TRUE,Backdoors!AC5,1))*CI26,0),"")</f>
        <v>0</v>
      </c>
      <c r="CM26" s="49">
        <f>VLOOKUP(A26,tbMoveset!A2:G112,7,FALSE)*IFERROR(IF(Backdoors!AI12&gt;=0,1+(IF(Calculator!E40&gt;0,VLOOKUP(Calculator!E40,tbSkills!AI3:AJ5,2,FALSE),Backdoors!AL4)*(IF((Backdoors!AI12+IF(CH26&gt;=0.45,VLOOKUP(Calculator!E23,tbSkills!DH3:DI6,2,FALSE)+IF(AND(Calculator!B8=TRUE,Backdoors!BI15=TRUE),VLOOKUP(Calculator!E23,tbSkills!DH3:DJ6,3,FALSE),0),0))&gt;=100,100,(Backdoors!AI12+IF(CH26&gt;=0.45,VLOOKUP(Calculator!E23,tbSkills!DH3:DI6,2,FALSE)+IF(AND(Calculator!B8=TRUE,Backdoors!BI15=TRUE),VLOOKUP(Calculator!E23,tbSkills!DH3:DJ6,3,FALSE),0),0)))/100)),1),1)</f>
        <v>1</v>
      </c>
      <c r="CN26" s="87">
        <f t="shared" si="7"/>
        <v>0</v>
      </c>
      <c r="CO26" s="86" t="str">
        <f>IFERROR(IF(VLOOKUP(A26,tbMoveset!A2:B112,2,FALSE)="Sever",Backdoors!AY16/100,IF(VLOOKUP(A26,tbMoveset!A2:B112,2,FALSE)="Blunt",Backdoors!AZ16/100,Backdoors!BA16/100)),"")</f>
        <v/>
      </c>
      <c r="CP26" s="49">
        <f>IFERROR(IF(VLOOKUP(tbMoveset!A26,tbMoveset!A2:H112,8,FALSE)="Other",IF(VLOOKUP(tbMoveset!A26,tbMoveset!A2:I112,9,FALSE)="Fire",Backdoors!BB16,IF(VLOOKUP(tbMoveset!A26,tbMoveset!A2:I112,9,FALSE)="Water",Backdoors!BC16,IF(VLOOKUP(tbMoveset!A26,tbMoveset!A2:I112,9,FALSE)="Thunder",Backdoors!BD16,IF(VLOOKUP(tbMoveset!A26,tbMoveset!A2:I112,9,FALSE)="Ice",Backdoors!BE16,IF(VLOOKUP(tbMoveset!A26,tbMoveset!A2:I112,9,FALSE)="Dragon",Backdoors!BF16,Backdoors!BG16)))))/100,Backdoors!BG16/100),"")</f>
        <v>0</v>
      </c>
      <c r="CQ26" s="49">
        <f>IFERROR(IF(VLOOKUP(A26,tbMoveset!A2:J112,10,FALSE)=TRUE,IF((Backdoors!AI12+IF(CO26&gt;=0.45,VLOOKUP(Calculator!E23,tbSkills!DH3:DI6,2,FALSE)+IF(AND(Calculator!B8=TRUE,Backdoors!BI16=TRUE),VLOOKUP(Calculator!E23,tbSkills!DH3:DJ6,3,FALSE),0),0))&gt;=0,1+(Backdoors!AL2*(IF((Backdoors!AI12+IF(CO26&gt;=0.45,VLOOKUP(Calculator!E23,tbSkills!DH3:DI6,2,FALSE)+IF(AND(Calculator!B8=TRUE,Backdoors!BI16=TRUE),VLOOKUP(Calculator!E23,tbSkills!DH3:DJ6,3,FALSE),0),0))&gt;=100,100,(Backdoors!AI12+IF(CO26&gt;=0.45,VLOOKUP(Calculator!E23,tbSkills!DH3:DI6,2,FALSE)+IF(AND(Calculator!B8=TRUE,Backdoors!BI16=TRUE),VLOOKUP(Calculator!E23,tbSkills!DH3:DJ6,3,FALSE),0),0)))/100)),(1-(0.25*((-Backdoors!AI12-IF(CO26&gt;=0.45,VLOOKUP(Calculator!E23,tbSkills!DH3:DI6,2,FALSE)+IF(AND(Calculator!B8=TRUE,Backdoors!BI16=TRUE),VLOOKUP(Calculator!E23,tbSkills!DH3:DJ6,3,FALSE),0),0))/100)))),1),"")</f>
        <v>1</v>
      </c>
      <c r="CR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O26)*CQ26)*(VLOOKUP(A26,tbMoveset!A2:C112,3,FALSE)/100)*IF(VLOOKUP(A26,tbMoveset!A2:B112,2,FALSE)="Projectile",Backdoors!N10,Backdoors!N9),0),"")</f>
        <v/>
      </c>
      <c r="CS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O26&gt;=0.45,VLOOKUP(Calculator!E23,tbSkills!DH3:DI6,2,FALSE)+IF(AND(Calculator!B8=TRUE,Backdoors!BI16=TRUE),VLOOKUP(Calculator!E23,tbSkills!DH3:DJ6,3,FALSE),0),0))&gt;=100,100,(Backdoors!AI12+IF(CO26&gt;=0.45,VLOOKUP(Calculator!E23,tbSkills!DH3:DI6,2,FALSE)+IF(AND(Calculator!B8=TRUE,Backdoors!BI16=TRUE),VLOOKUP(Calculator!E23,tbSkills!DH3:DJ6,3,FALSE),0),0)))/100)),1))*IF(VLOOKUP(A26,tbMoveset!A2:K112,11,FALSE)=TRUE,Backdoors!AC5,1))*CP26,0),"")</f>
        <v>0</v>
      </c>
      <c r="CT26" s="49">
        <f>VLOOKUP(A26,tbMoveset!A2:G112,7,FALSE)*IFERROR(IF(Backdoors!AI12&gt;=0,1+(IF(Calculator!E40&gt;0,VLOOKUP(Calculator!E40,tbSkills!AI3:AJ5,2,FALSE),Backdoors!AL4)*(IF((Backdoors!AI12+IF(CO26&gt;=0.45,VLOOKUP(Calculator!E23,tbSkills!DH3:DI6,2,FALSE)+IF(AND(Calculator!B8=TRUE,Backdoors!BI16=TRUE),VLOOKUP(Calculator!E23,tbSkills!DH3:DJ6,3,FALSE),0),0))&gt;=100,100,(Backdoors!AI12+IF(CO26&gt;=0.45,VLOOKUP(Calculator!E23,tbSkills!DH3:DI6,2,FALSE)+IF(AND(Calculator!B8=TRUE,Backdoors!BI16=TRUE),VLOOKUP(Calculator!E23,tbSkills!DH3:DJ6,3,FALSE),0),0)))/100)),1),1)</f>
        <v>1</v>
      </c>
      <c r="CU26" s="87">
        <f t="shared" si="40"/>
        <v>0</v>
      </c>
      <c r="CV26" s="86" t="str">
        <f>IFERROR(IF(VLOOKUP(A26,tbMoveset!A2:B112,2,FALSE)="Sever",Backdoors!AY17/100,IF(VLOOKUP(A26,tbMoveset!A2:B112,2,FALSE)="Blunt",Backdoors!AZ17/100,Backdoors!BA17/100)),"")</f>
        <v/>
      </c>
      <c r="CW26" s="49">
        <f>IFERROR(IF(VLOOKUP(tbMoveset!A26,tbMoveset!A2:H112,8,FALSE)="Other",IF(VLOOKUP(tbMoveset!A26,tbMoveset!A2:I112,9,FALSE)="Fire",Backdoors!BB17,IF(VLOOKUP(tbMoveset!A26,tbMoveset!A2:I112,9,FALSE)="Water",Backdoors!BC17,IF(VLOOKUP(tbMoveset!A26,tbMoveset!A2:I112,9,FALSE)="Thunder",Backdoors!BD17,IF(VLOOKUP(tbMoveset!A26,tbMoveset!A2:I112,9,FALSE)="Ice",Backdoors!BE17,IF(VLOOKUP(tbMoveset!A26,tbMoveset!A2:I112,9,FALSE)="Dragon",Backdoors!BF17,Backdoors!BG17)))))/100,Backdoors!BG17/100),"")</f>
        <v>0</v>
      </c>
      <c r="CX26" s="49">
        <f>IFERROR(IF(VLOOKUP(A26,tbMoveset!A2:J112,10,FALSE)=TRUE,IF((Backdoors!AI12+IF(CV26&gt;=0.45,VLOOKUP(Calculator!E23,tbSkills!DH3:DI6,2,FALSE)+IF(AND(Calculator!B8=TRUE,Backdoors!BI17=TRUE),VLOOKUP(Calculator!E23,tbSkills!DH3:DJ6,3,FALSE),0),0))&gt;=0,1+(Backdoors!AL2*(IF((Backdoors!AI12+IF(CV26&gt;=0.45,VLOOKUP(Calculator!E23,tbSkills!DH3:DI6,2,FALSE)+IF(AND(Calculator!B8=TRUE,Backdoors!BI17=TRUE),VLOOKUP(Calculator!E23,tbSkills!DH3:DJ6,3,FALSE),0),0))&gt;=100,100,(Backdoors!AI12+IF(CV26&gt;=0.45,VLOOKUP(Calculator!E23,tbSkills!DH3:DI6,2,FALSE)+IF(AND(Calculator!B8=TRUE,Backdoors!BI17=TRUE),VLOOKUP(Calculator!E23,tbSkills!DH3:DJ6,3,FALSE),0),0)))/100)),(1-(0.25*((-Backdoors!AI12-IF(CV26&gt;=0.45,VLOOKUP(Calculator!E23,tbSkills!DH3:DI6,2,FALSE)+IF(AND(Calculator!B8=TRUE,Backdoors!BI17=TRUE),VLOOKUP(Calculator!E23,tbSkills!DH3:DJ6,3,FALSE),0),0))/100)))),1),"")</f>
        <v>1</v>
      </c>
      <c r="CY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V26)*CX26)*(VLOOKUP(A26,tbMoveset!A2:C112,3,FALSE)/100)*IF(VLOOKUP(A26,tbMoveset!A2:B112,2,FALSE)="Projectile",Backdoors!N10,Backdoors!N9),0),"")</f>
        <v/>
      </c>
      <c r="CZ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V26&gt;=0.45,VLOOKUP(Calculator!E23,tbSkills!DH3:DI6,2,FALSE)+IF(AND(Calculator!B8=TRUE,Backdoors!BI17=TRUE),VLOOKUP(Calculator!E23,tbSkills!DH3:DJ6,3,FALSE),0),0))&gt;=100,100,(Backdoors!AI12+IF(CV26&gt;=0.45,VLOOKUP(Calculator!E23,tbSkills!DH3:DI6,2,FALSE)+IF(AND(Calculator!B8=TRUE,Backdoors!BI17=TRUE),VLOOKUP(Calculator!E23,tbSkills!DH3:DJ6,3,FALSE),0),0)))/100)),1))*IF(VLOOKUP(A26,tbMoveset!A2:K112,11,FALSE)=TRUE,Backdoors!AC5,1))*CW26,0),"")</f>
        <v>0</v>
      </c>
      <c r="DA26" s="49">
        <f>VLOOKUP(A26,tbMoveset!A2:G112,7,FALSE)*IFERROR(IF(Backdoors!AI12&gt;=0,1+(IF(Calculator!E40&gt;0,VLOOKUP(Calculator!E40,tbSkills!AI3:AJ5,2,FALSE),Backdoors!AL4)*(IF((Backdoors!AI12+IF(CV26&gt;=0.45,VLOOKUP(Calculator!E23,tbSkills!DH3:DI6,2,FALSE)+IF(AND(Calculator!B8=TRUE,Backdoors!BI17=TRUE),VLOOKUP(Calculator!E23,tbSkills!DH3:DJ6,3,FALSE),0),0))&gt;=100,100,(Backdoors!AI12+IF(CV26&gt;=0.45,VLOOKUP(Calculator!E23,tbSkills!DH3:DI6,2,FALSE)+IF(AND(Calculator!B8=TRUE,Backdoors!BI17=TRUE),VLOOKUP(Calculator!E23,tbSkills!DH3:DJ6,3,FALSE),0),0)))/100)),1),1)</f>
        <v>1</v>
      </c>
      <c r="DB26" s="87">
        <f t="shared" si="8"/>
        <v>0</v>
      </c>
      <c r="DC26" s="86" t="str">
        <f>IFERROR(IF(VLOOKUP(A26,tbMoveset!A2:B112,2,FALSE)="Sever",Backdoors!AY18/100,IF(VLOOKUP(A26,tbMoveset!A2:B112,2,FALSE)="Blunt",Backdoors!AZ18/100,Backdoors!BA18/100)),"")</f>
        <v/>
      </c>
      <c r="DD26" s="49">
        <f>IFERROR(IF(VLOOKUP(tbMoveset!A26,tbMoveset!A2:H112,8,FALSE)="Other",IF(VLOOKUP(tbMoveset!A26,tbMoveset!A2:I112,9,FALSE)="Fire",Backdoors!BB18,IF(VLOOKUP(tbMoveset!A26,tbMoveset!A2:I112,9,FALSE)="Water",Backdoors!BC18,IF(VLOOKUP(tbMoveset!A26,tbMoveset!A2:I112,9,FALSE)="Thunder",Backdoors!BD18,IF(VLOOKUP(tbMoveset!A26,tbMoveset!A2:I112,9,FALSE)="Ice",Backdoors!BE18,IF(VLOOKUP(tbMoveset!A26,tbMoveset!A2:I112,9,FALSE)="Dragon",Backdoors!BF18,Backdoors!BG18)))))/100,Backdoors!BG18/100),"")</f>
        <v>0</v>
      </c>
      <c r="DE26" s="49">
        <f>IFERROR(IF(VLOOKUP(A26,tbMoveset!A2:J112,10,FALSE)=TRUE,IF((Backdoors!AI12+IF(DC26&gt;=0.45,VLOOKUP(Calculator!E23,tbSkills!DH3:DI6,2,FALSE)+IF(AND(Calculator!B8=TRUE,Backdoors!BI18=TRUE),VLOOKUP(Calculator!E23,tbSkills!DH3:DJ6,3,FALSE),0),0))&gt;=0,1+(Backdoors!AL2*(IF((Backdoors!AI12+IF(DC26&gt;=0.45,VLOOKUP(Calculator!E23,tbSkills!DH3:DI6,2,FALSE)+IF(AND(Calculator!B8=TRUE,Backdoors!BI18=TRUE),VLOOKUP(Calculator!E23,tbSkills!DH3:DJ6,3,FALSE),0),0))&gt;=100,100,(Backdoors!AI12+IF(DC26&gt;=0.45,VLOOKUP(Calculator!E23,tbSkills!DH3:DI6,2,FALSE)+IF(AND(Calculator!B8=TRUE,Backdoors!BI18=TRUE),VLOOKUP(Calculator!E23,tbSkills!DH3:DJ6,3,FALSE),0),0)))/100)),(1-(0.25*((-Backdoors!AI12-IF(DC26&gt;=0.45,VLOOKUP(Calculator!E23,tbSkills!DH3:DI6,2,FALSE)+IF(AND(Calculator!B8=TRUE,Backdoors!BI18=TRUE),VLOOKUP(Calculator!E23,tbSkills!DH3:DJ6,3,FALSE),0),0))/100)))),1),"")</f>
        <v>1</v>
      </c>
      <c r="DF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C26)*DE26)*(VLOOKUP(A26,tbMoveset!A2:C112,3,FALSE)/100)*IF(VLOOKUP(A26,tbMoveset!A2:B112,2,FALSE)="Projectile",Backdoors!N10,Backdoors!N9),0),"")</f>
        <v/>
      </c>
      <c r="DG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C26&gt;=0.45,VLOOKUP(Calculator!E23,tbSkills!DH3:DI6,2,FALSE)+IF(AND(Calculator!B8=TRUE,Backdoors!BI18=TRUE),VLOOKUP(Calculator!E23,tbSkills!DH3:DJ6,3,FALSE),0),0))&gt;=100,100,(Backdoors!AI12+IF(DC26&gt;=0.45,VLOOKUP(Calculator!E23,tbSkills!DH3:DI6,2,FALSE)+IF(AND(Calculator!B8=TRUE,Backdoors!BI18=TRUE),VLOOKUP(Calculator!E23,tbSkills!DH3:DJ6,3,FALSE),0),0)))/100)),1))*IF(VLOOKUP(A26,tbMoveset!A2:K112,11,FALSE)=TRUE,Backdoors!AC5,1))*DD26,0),"")</f>
        <v>0</v>
      </c>
      <c r="DH26" s="49">
        <f>VLOOKUP(A26,tbMoveset!A2:G112,7,FALSE)*IFERROR(IF(Backdoors!AI12&gt;=0,1+(IF(Calculator!E40&gt;0,VLOOKUP(Calculator!E40,tbSkills!AI3:AJ5,2,FALSE),Backdoors!AL4)*(IF((Backdoors!AI12+IF(DC26&gt;=0.45,VLOOKUP(Calculator!E23,tbSkills!DH3:DI6,2,FALSE)+IF(AND(Calculator!B8=TRUE,Backdoors!BI18=TRUE),VLOOKUP(Calculator!E23,tbSkills!DH3:DJ6,3,FALSE),0),0))&gt;=100,100,(Backdoors!AI12+IF(DC26&gt;=0.45,VLOOKUP(Calculator!E23,tbSkills!DH3:DI6,2,FALSE)+IF(AND(Calculator!B8=TRUE,Backdoors!BI18=TRUE),VLOOKUP(Calculator!E23,tbSkills!DH3:DJ6,3,FALSE),0),0)))/100)),1),1)</f>
        <v>1</v>
      </c>
      <c r="DI26" s="87">
        <f t="shared" si="9"/>
        <v>0</v>
      </c>
      <c r="DJ26" s="86" t="str">
        <f>IFERROR(IF(VLOOKUP(A26,tbMoveset!A2:B112,2,FALSE)="Sever",Backdoors!AY19/100,IF(VLOOKUP(A26,tbMoveset!A2:B112,2,FALSE)="Blunt",Backdoors!AZ19/100,Backdoors!BA19/100)),"")</f>
        <v/>
      </c>
      <c r="DK26" s="49">
        <f>IFERROR(IF(VLOOKUP(tbMoveset!A26,tbMoveset!A2:H112,8,FALSE)="Other",IF(VLOOKUP(tbMoveset!A26,tbMoveset!A2:I112,9,FALSE)="Fire",Backdoors!BB19,IF(VLOOKUP(tbMoveset!A26,tbMoveset!A2:I112,9,FALSE)="Water",Backdoors!BC19,IF(VLOOKUP(tbMoveset!A26,tbMoveset!A2:I112,9,FALSE)="Thunder",Backdoors!BD19,IF(VLOOKUP(tbMoveset!A26,tbMoveset!A2:I112,9,FALSE)="Ice",Backdoors!BE19,IF(VLOOKUP(tbMoveset!A26,tbMoveset!A2:I112,9,FALSE)="Dragon",Backdoors!BF19,Backdoors!BG19)))))/100,Backdoors!BG19/100),"")</f>
        <v>0</v>
      </c>
      <c r="DL26" s="49">
        <f>IFERROR(IF(VLOOKUP(A26,tbMoveset!A2:J112,10,FALSE)=TRUE,IF((Backdoors!AI12+IF(DJ26&gt;=0.45,VLOOKUP(Calculator!E23,tbSkills!DH3:DI6,2,FALSE)+IF(AND(Calculator!B8=TRUE,Backdoors!BI19=TRUE),VLOOKUP(Calculator!E23,tbSkills!DH3:DJ6,3,FALSE),0),0))&gt;=0,1+(Backdoors!AL2*(IF((Backdoors!AI12+IF(DJ26&gt;=0.45,VLOOKUP(Calculator!E23,tbSkills!DH3:DI6,2,FALSE)+IF(AND(Calculator!B8=TRUE,Backdoors!BI19=TRUE),VLOOKUP(Calculator!E23,tbSkills!DH3:DJ6,3,FALSE),0),0))&gt;=100,100,(Backdoors!AI12+IF(DJ26&gt;=0.45,VLOOKUP(Calculator!E23,tbSkills!DH3:DI6,2,FALSE)+IF(AND(Calculator!B8=TRUE,Backdoors!BI19=TRUE),VLOOKUP(Calculator!E23,tbSkills!DH3:DJ6,3,FALSE),0),0)))/100)),(1-(0.25*((-Backdoors!AI12-IF(DJ26&gt;=0.45,VLOOKUP(Calculator!E23,tbSkills!DH3:DI6,2,FALSE)+IF(AND(Calculator!B8=TRUE,Backdoors!BI19=TRUE),VLOOKUP(Calculator!E23,tbSkills!DH3:DJ6,3,FALSE),0),0))/100)))),1),"")</f>
        <v>1</v>
      </c>
      <c r="DM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J26)*DL26)*(VLOOKUP(A26,tbMoveset!A2:C112,3,FALSE)/100)*IF(VLOOKUP(A26,tbMoveset!A2:B112,2,FALSE)="Projectile",Backdoors!N10,Backdoors!N9),0),"")</f>
        <v/>
      </c>
      <c r="DN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J26&gt;=0.45,VLOOKUP(Calculator!E23,tbSkills!DH3:DI6,2,FALSE)+IF(AND(Calculator!B8=TRUE,Backdoors!BI19=TRUE),VLOOKUP(Calculator!E23,tbSkills!DH3:DJ6,3,FALSE),0),0))&gt;=100,100,(Backdoors!AI12+IF(DJ26&gt;=0.45,VLOOKUP(Calculator!E23,tbSkills!DH3:DI6,2,FALSE)+IF(AND(Calculator!B8=TRUE,Backdoors!BI19=TRUE),VLOOKUP(Calculator!E23,tbSkills!DH3:DJ6,3,FALSE),0),0)))/100)),1))*IF(VLOOKUP(A26,tbMoveset!A2:K112,11,FALSE)=TRUE,Backdoors!AC5,1))*DK26,0),"")</f>
        <v>0</v>
      </c>
      <c r="DO26" s="49">
        <f>VLOOKUP(A26,tbMoveset!A2:G112,7,FALSE)*IFERROR(IF(Backdoors!AI12&gt;=0,1+(IF(Calculator!E40&gt;0,VLOOKUP(Calculator!E40,tbSkills!AI3:AJ5,2,FALSE),Backdoors!AL4)*(IF((Backdoors!AI12+IF(DJ26&gt;=0.45,VLOOKUP(Calculator!E23,tbSkills!DH3:DI6,2,FALSE)+IF(AND(Calculator!B8=TRUE,Backdoors!BI19=TRUE),VLOOKUP(Calculator!E23,tbSkills!DH3:DJ6,3,FALSE),0),0))&gt;=100,100,(Backdoors!AI12+IF(DJ26&gt;=0.45,VLOOKUP(Calculator!E23,tbSkills!DH3:DI6,2,FALSE)+IF(AND(Calculator!B8=TRUE,Backdoors!BI19=TRUE),VLOOKUP(Calculator!E23,tbSkills!DH3:DJ6,3,FALSE),0),0)))/100)),1),1)</f>
        <v>1</v>
      </c>
      <c r="DP26" s="87">
        <f t="shared" si="41"/>
        <v>0</v>
      </c>
      <c r="DQ26" s="86" t="str">
        <f>IFERROR(IF(VLOOKUP(A26,tbMoveset!A2:B112,2,FALSE)="Sever",Backdoors!AY20/100,IF(VLOOKUP(A26,tbMoveset!A2:B112,2,FALSE)="Blunt",Backdoors!AZ20/100,Backdoors!BA20/100)),"")</f>
        <v/>
      </c>
      <c r="DR26" s="49">
        <f>IFERROR(IF(VLOOKUP(tbMoveset!A26,tbMoveset!A2:H112,8,FALSE)="Other",IF(VLOOKUP(tbMoveset!A26,tbMoveset!A2:I112,9,FALSE)="Fire",Backdoors!BB20,IF(VLOOKUP(tbMoveset!A26,tbMoveset!A2:I112,9,FALSE)="Water",Backdoors!BC20,IF(VLOOKUP(tbMoveset!A26,tbMoveset!A2:I112,9,FALSE)="Thunder",Backdoors!BD20,IF(VLOOKUP(tbMoveset!A26,tbMoveset!A2:I112,9,FALSE)="Ice",Backdoors!BE20,IF(VLOOKUP(tbMoveset!A26,tbMoveset!A2:I112,9,FALSE)="Dragon",Backdoors!BF20,Backdoors!BG20)))))/100,Backdoors!BG20/100),"")</f>
        <v>0</v>
      </c>
      <c r="DS26" s="49">
        <f>IFERROR(IF(VLOOKUP(A26,tbMoveset!A2:J112,10,FALSE)=TRUE,IF((Backdoors!AI12+IF(DQ26&gt;=0.45,VLOOKUP(Calculator!E23,tbSkills!DH3:DI6,2,FALSE)+IF(AND(Calculator!B8=TRUE,Backdoors!BI20=TRUE),VLOOKUP(Calculator!E23,tbSkills!DH3:DJ6,3,FALSE),0),0))&gt;=0,1+(Backdoors!AL2*(IF((Backdoors!AI12+IF(DQ26&gt;=0.45,VLOOKUP(Calculator!E23,tbSkills!DH3:DI6,2,FALSE)+IF(AND(Calculator!B8=TRUE,Backdoors!BI20=TRUE),VLOOKUP(Calculator!E23,tbSkills!DH3:DJ6,3,FALSE),0),0))&gt;=100,100,(Backdoors!AI12+IF(DQ26&gt;=0.45,VLOOKUP(Calculator!E23,tbSkills!DH3:DI6,2,FALSE)+IF(AND(Calculator!B8=TRUE,Backdoors!BI20=TRUE),VLOOKUP(Calculator!E23,tbSkills!DH3:DJ6,3,FALSE),0),0)))/100)),(1-(0.25*((-Backdoors!AI12-IF(DQ26&gt;=0.45,VLOOKUP(Calculator!E23,tbSkills!DH3:DI6,2,FALSE)+IF(AND(Calculator!B8=TRUE,Backdoors!BI20=TRUE),VLOOKUP(Calculator!E23,tbSkills!DH3:DJ6,3,FALSE),0),0))/100)))),1),"")</f>
        <v>1</v>
      </c>
      <c r="DT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Q26)*DS26)*(VLOOKUP(A26,tbMoveset!A2:C112,3,FALSE)/100)*IF(VLOOKUP(A26,tbMoveset!A2:B112,2,FALSE)="Projectile",Backdoors!N10,Backdoors!N9),0),"")</f>
        <v/>
      </c>
      <c r="DU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Q26&gt;=0.45,VLOOKUP(Calculator!E23,tbSkills!DH3:DI6,2,FALSE)+IF(AND(Calculator!B8=TRUE,Backdoors!BI20=TRUE),VLOOKUP(Calculator!E23,tbSkills!DH3:DJ6,3,FALSE),0),0))&gt;=100,100,(Backdoors!AI12+IF(DQ26&gt;=0.45,VLOOKUP(Calculator!E23,tbSkills!DH3:DI6,2,FALSE)+IF(AND(Calculator!B8=TRUE,Backdoors!BI20=TRUE),VLOOKUP(Calculator!E23,tbSkills!DH3:DJ6,3,FALSE),0),0)))/100)),1))*IF(VLOOKUP(A26,tbMoveset!A2:K112,11,FALSE)=TRUE,Backdoors!AC5,1))*DR26,0),"")</f>
        <v>0</v>
      </c>
      <c r="DV26" s="49">
        <f>VLOOKUP(A26,tbMoveset!A2:G112,7,FALSE)*IFERROR(IF(Backdoors!AI12&gt;=0,1+(IF(Calculator!E40&gt;0,VLOOKUP(Calculator!E40,tbSkills!AI3:AJ5,2,FALSE),Backdoors!AL4)*(IF((Backdoors!AI12+IF(DQ26&gt;=0.45,VLOOKUP(Calculator!E23,tbSkills!DH3:DI6,2,FALSE)+IF(AND(Calculator!B8=TRUE,Backdoors!BI20=TRUE),VLOOKUP(Calculator!E23,tbSkills!DH3:DJ6,3,FALSE),0),0))&gt;=100,100,(Backdoors!AI12+IF(DQ26&gt;=0.45,VLOOKUP(Calculator!E23,tbSkills!DH3:DI6,2,FALSE)+IF(AND(Calculator!B8=TRUE,Backdoors!BI20=TRUE),VLOOKUP(Calculator!E23,tbSkills!DH3:DJ6,3,FALSE),0),0)))/100)),1),1)</f>
        <v>1</v>
      </c>
      <c r="DW26" s="87">
        <f t="shared" si="10"/>
        <v>0</v>
      </c>
      <c r="DX26" s="86" t="str">
        <f>IFERROR(IF(VLOOKUP(A26,tbMoveset!A2:B112,2,FALSE)="Sever",Backdoors!AY21/100,IF(VLOOKUP(A26,tbMoveset!A2:B112,2,FALSE)="Blunt",Backdoors!AZ21/100,Backdoors!BA21/100)),"")</f>
        <v/>
      </c>
      <c r="DY26" s="49">
        <f>IFERROR(IF(VLOOKUP(tbMoveset!A26,tbMoveset!A2:H112,8,FALSE)="Other",IF(VLOOKUP(tbMoveset!A26,tbMoveset!A2:I112,9,FALSE)="Fire",Backdoors!BB21,IF(VLOOKUP(tbMoveset!A26,tbMoveset!A2:I112,9,FALSE)="Water",Backdoors!BC21,IF(VLOOKUP(tbMoveset!A26,tbMoveset!A2:I112,9,FALSE)="Thunder",Backdoors!BD21,IF(VLOOKUP(tbMoveset!A26,tbMoveset!A2:I112,9,FALSE)="Ice",Backdoors!BE21,IF(VLOOKUP(tbMoveset!A26,tbMoveset!A2:I112,9,FALSE)="Dragon",Backdoors!BF21,Backdoors!BG21)))))/100,Backdoors!BG21/100),"")</f>
        <v>0</v>
      </c>
      <c r="DZ26" s="49">
        <f>IFERROR(IF(VLOOKUP(A26,tbMoveset!A2:J112,10,FALSE)=TRUE,IF((Backdoors!AI12+IF(DX26&gt;=0.45,VLOOKUP(Calculator!E23,tbSkills!DH3:DI6,2,FALSE)+IF(AND(Calculator!B8=TRUE,Backdoors!BI21=TRUE),VLOOKUP(Calculator!E23,tbSkills!DH3:DJ6,3,FALSE),0),0))&gt;=0,1+(Backdoors!AL2*(IF((Backdoors!AI12+IF(DX26&gt;=0.45,VLOOKUP(Calculator!E23,tbSkills!DH3:DI6,2,FALSE)+IF(AND(Calculator!B8=TRUE,Backdoors!BI21=TRUE),VLOOKUP(Calculator!E23,tbSkills!DH3:DJ6,3,FALSE),0),0))&gt;=100,100,(Backdoors!AI12+IF(DX26&gt;=0.45,VLOOKUP(Calculator!E23,tbSkills!DH3:DI6,2,FALSE)+IF(AND(Calculator!B8=TRUE,Backdoors!BI21=TRUE),VLOOKUP(Calculator!E23,tbSkills!DH3:DJ6,3,FALSE),0),0)))/100)),(1-(0.25*((-Backdoors!AI12-IF(DX26&gt;=0.45,VLOOKUP(Calculator!E23,tbSkills!DH3:DI6,2,FALSE)+IF(AND(Calculator!B8=TRUE,Backdoors!BI21=TRUE),VLOOKUP(Calculator!E23,tbSkills!DH3:DJ6,3,FALSE),0),0))/100)))),1),"")</f>
        <v>1</v>
      </c>
      <c r="EA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X26)*DZ26)*(VLOOKUP(A26,tbMoveset!A2:C112,3,FALSE)/100)*IF(VLOOKUP(A26,tbMoveset!A2:B112,2,FALSE)="Projectile",Backdoors!N10,Backdoors!N9),0),"")</f>
        <v/>
      </c>
      <c r="EB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X26&gt;=0.45,VLOOKUP(Calculator!E23,tbSkills!DH3:DI6,2,FALSE)+IF(AND(Calculator!B8=TRUE,Backdoors!BI21=TRUE),VLOOKUP(Calculator!E23,tbSkills!DH3:DJ6,3,FALSE),0),0))&gt;=100,100,(Backdoors!AI12+IF(DX26&gt;=0.45,VLOOKUP(Calculator!E23,tbSkills!DH3:DI6,2,FALSE)+IF(AND(Calculator!B8=TRUE,Backdoors!BI21=TRUE),VLOOKUP(Calculator!E23,tbSkills!DH3:DJ6,3,FALSE),0),0)))/100)),1))*IF(VLOOKUP(A26,tbMoveset!A2:K112,11,FALSE)=TRUE,Backdoors!AC5,1))*DY26,0),"")</f>
        <v>0</v>
      </c>
      <c r="EC26" s="49">
        <f>VLOOKUP(A26,tbMoveset!A2:G112,7,FALSE)*IFERROR(IF(Backdoors!AI12&gt;=0,1+(IF(Calculator!E40&gt;0,VLOOKUP(Calculator!E40,tbSkills!AI3:AJ5,2,FALSE),Backdoors!AL4)*(IF((Backdoors!AI12+IF(DX26&gt;=0.45,VLOOKUP(Calculator!E23,tbSkills!DH3:DI6,2,FALSE)+IF(AND(Calculator!B8=TRUE,Backdoors!BI21=TRUE),VLOOKUP(Calculator!E23,tbSkills!DH3:DJ6,3,FALSE),0),0))&gt;=100,100,(Backdoors!AI12+IF(DX26&gt;=0.45,VLOOKUP(Calculator!E23,tbSkills!DH3:DI6,2,FALSE)+IF(AND(Calculator!B8=TRUE,Backdoors!BI21=TRUE),VLOOKUP(Calculator!E23,tbSkills!DH3:DJ6,3,FALSE),0),0)))/100)),1),1)</f>
        <v>1</v>
      </c>
      <c r="ED26" s="87">
        <f t="shared" si="11"/>
        <v>0</v>
      </c>
      <c r="EE26" s="86" t="str">
        <f>IFERROR(IF(VLOOKUP(A26,tbMoveset!A2:B112,2,FALSE)="Sever",Backdoors!AY22/100,IF(VLOOKUP(A26,tbMoveset!A2:B112,2,FALSE)="Blunt",Backdoors!AZ22/100,Backdoors!BA22/100)),"")</f>
        <v/>
      </c>
      <c r="EF26" s="49">
        <f>IFERROR(IF(VLOOKUP(tbMoveset!A26,tbMoveset!A2:H112,8,FALSE)="Other",IF(VLOOKUP(tbMoveset!A26,tbMoveset!A2:I112,9,FALSE)="Fire",Backdoors!BB22,IF(VLOOKUP(tbMoveset!A26,tbMoveset!A2:I112,9,FALSE)="Water",Backdoors!BC22,IF(VLOOKUP(tbMoveset!A26,tbMoveset!A2:I112,9,FALSE)="Thunder",Backdoors!BD22,IF(VLOOKUP(tbMoveset!A26,tbMoveset!A2:I112,9,FALSE)="Ice",Backdoors!BE22,IF(VLOOKUP(tbMoveset!A26,tbMoveset!A2:I112,9,FALSE)="Dragon",Backdoors!BF22,Backdoors!BG22)))))/100,Backdoors!BG22/100),"")</f>
        <v>0</v>
      </c>
      <c r="EG26" s="49">
        <f>IFERROR(IF(VLOOKUP(A26,tbMoveset!A2:J112,10,FALSE)=TRUE,IF((Backdoors!AI12+IF(EE26&gt;=0.45,VLOOKUP(Calculator!E23,tbSkills!DH3:DI6,2,FALSE)+IF(AND(Calculator!B8=TRUE,Backdoors!BI22=TRUE),VLOOKUP(Calculator!E23,tbSkills!DH3:DJ6,3,FALSE),0),0))&gt;=0,1+(Backdoors!AL2*(IF((Backdoors!AI12+IF(EE26&gt;=0.45,VLOOKUP(Calculator!E23,tbSkills!DH3:DI6,2,FALSE)+IF(AND(Calculator!B8=TRUE,Backdoors!BI22=TRUE),VLOOKUP(Calculator!E23,tbSkills!DH3:DJ6,3,FALSE),0),0))&gt;=100,100,(Backdoors!AI12+IF(EE26&gt;=0.45,VLOOKUP(Calculator!E23,tbSkills!DH3:DI6,2,FALSE)+IF(AND(Calculator!B8=TRUE,Backdoors!BI22=TRUE),VLOOKUP(Calculator!E23,tbSkills!DH3:DJ6,3,FALSE),0),0)))/100)),(1-(0.25*((-Backdoors!AI12-IF(EE26&gt;=0.45,VLOOKUP(Calculator!E23,tbSkills!DH3:DI6,2,FALSE)+IF(AND(Calculator!B8=TRUE,Backdoors!BI22=TRUE),VLOOKUP(Calculator!E23,tbSkills!DH3:DJ6,3,FALSE),0),0))/100)))),1),"")</f>
        <v>1</v>
      </c>
      <c r="EH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E26)*EG26)*(VLOOKUP(A26,tbMoveset!A2:C112,3,FALSE)/100)*IF(VLOOKUP(A26,tbMoveset!A2:B112,2,FALSE)="Projectile",Backdoors!N10,Backdoors!N9),0),"")</f>
        <v/>
      </c>
      <c r="EI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E26&gt;=0.45,VLOOKUP(Calculator!E23,tbSkills!DH3:DI6,2,FALSE)+IF(AND(Calculator!B8=TRUE,Backdoors!BI22=TRUE),VLOOKUP(Calculator!E23,tbSkills!DH3:DJ6,3,FALSE),0),0))&gt;=100,100,(Backdoors!AI12+IF(EE26&gt;=0.45,VLOOKUP(Calculator!E23,tbSkills!DH3:DI6,2,FALSE)+IF(AND(Calculator!B8=TRUE,Backdoors!BI22=TRUE),VLOOKUP(Calculator!E23,tbSkills!DH3:DJ6,3,FALSE),0),0)))/100)),1))*IF(VLOOKUP(A26,tbMoveset!A2:K112,11,FALSE)=TRUE,Backdoors!AC5,1))*EF26,0),"")</f>
        <v>0</v>
      </c>
      <c r="EJ26" s="49">
        <f>VLOOKUP(A26,tbMoveset!A2:G112,7,FALSE)*IFERROR(IF(Backdoors!AI12&gt;=0,1+(IF(Calculator!E40&gt;0,VLOOKUP(Calculator!E40,tbSkills!AI3:AJ5,2,FALSE),Backdoors!AL4)*(IF((Backdoors!AI12+IF(EE26&gt;=0.45,VLOOKUP(Calculator!E23,tbSkills!DH3:DI6,2,FALSE)+IF(AND(Calculator!B8=TRUE,Backdoors!BI22=TRUE),VLOOKUP(Calculator!E23,tbSkills!DH3:DJ6,3,FALSE),0),0))&gt;=100,100,(Backdoors!AI12+IF(EE26&gt;=0.45,VLOOKUP(Calculator!E23,tbSkills!DH3:DI6,2,FALSE)+IF(AND(Calculator!B8=TRUE,Backdoors!BI22=TRUE),VLOOKUP(Calculator!E23,tbSkills!DH3:DJ6,3,FALSE),0),0)))/100)),1),1)</f>
        <v>1</v>
      </c>
      <c r="EK26" s="87">
        <f t="shared" si="12"/>
        <v>0</v>
      </c>
      <c r="EL26" s="86" t="str">
        <f>IFERROR(IF(VLOOKUP(A26,tbMoveset!A2:B112,2,FALSE)="Sever",Backdoors!AY23/100,IF(VLOOKUP(A26,tbMoveset!A2:B112,2,FALSE)="Blunt",Backdoors!AZ23/100,Backdoors!BA23/100)),"")</f>
        <v/>
      </c>
      <c r="EM26" s="49">
        <f>IFERROR(IF(VLOOKUP(tbMoveset!A26,tbMoveset!A2:H112,8,FALSE)="Other",IF(VLOOKUP(tbMoveset!A26,tbMoveset!A2:I112,9,FALSE)="Fire",Backdoors!BB23,IF(VLOOKUP(tbMoveset!A26,tbMoveset!A2:I112,9,FALSE)="Water",Backdoors!BC23,IF(VLOOKUP(tbMoveset!A26,tbMoveset!A2:I112,9,FALSE)="Thunder",Backdoors!BD23,IF(VLOOKUP(tbMoveset!A26,tbMoveset!A2:I112,9,FALSE)="Ice",Backdoors!BE23,IF(VLOOKUP(tbMoveset!A26,tbMoveset!A2:I112,9,FALSE)="Dragon",Backdoors!BF23,Backdoors!BG23)))))/100,Backdoors!BG23/100),"")</f>
        <v>0</v>
      </c>
      <c r="EN26" s="49">
        <f>IFERROR(IF(VLOOKUP(A26,tbMoveset!A2:J112,10,FALSE)=TRUE,IF((Backdoors!AI12+IF(EL26&gt;=0.45,VLOOKUP(Calculator!E23,tbSkills!DH3:DI6,2,FALSE)+IF(AND(Calculator!B8=TRUE,Backdoors!BI23=TRUE),VLOOKUP(Calculator!E23,tbSkills!DH3:DJ6,3,FALSE),0),0))&gt;=0,1+(Backdoors!AL2*(IF((Backdoors!AI12+IF(EL26&gt;=0.45,VLOOKUP(Calculator!E23,tbSkills!DH3:DI6,2,FALSE)+IF(AND(Calculator!B8=TRUE,Backdoors!BI23=TRUE),VLOOKUP(Calculator!E23,tbSkills!DH3:DJ6,3,FALSE),0),0))&gt;=100,100,(Backdoors!AI12+IF(EL26&gt;=0.45,VLOOKUP(Calculator!E23,tbSkills!DH3:DI6,2,FALSE)+IF(AND(Calculator!B8=TRUE,Backdoors!BI23=TRUE),VLOOKUP(Calculator!E23,tbSkills!DH3:DJ6,3,FALSE),0),0)))/100)),(1-(0.25*((-Backdoors!AI12-IF(EL26&gt;=0.45,VLOOKUP(Calculator!E23,tbSkills!DH3:DI6,2,FALSE)+IF(AND(Calculator!B8=TRUE,Backdoors!BI23=TRUE),VLOOKUP(Calculator!E23,tbSkills!DH3:DJ6,3,FALSE),0),0))/100)))),1),"")</f>
        <v>1</v>
      </c>
      <c r="EO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L26)*EN26)*(VLOOKUP(A26,tbMoveset!A2:C112,3,FALSE)/100)*IF(VLOOKUP(A26,tbMoveset!A2:B112,2,FALSE)="Projectile",Backdoors!N10,Backdoors!N9),0),"")</f>
        <v/>
      </c>
      <c r="EP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L26&gt;=0.45,VLOOKUP(Calculator!E23,tbSkills!DH3:DI6,2,FALSE)+IF(AND(Calculator!B8=TRUE,Backdoors!BI23=TRUE),VLOOKUP(Calculator!E23,tbSkills!DH3:DJ6,3,FALSE),0),0))&gt;=100,100,(Backdoors!AI12+IF(EL26&gt;=0.45,VLOOKUP(Calculator!E23,tbSkills!DH3:DI6,2,FALSE)+IF(AND(Calculator!B8=TRUE,Backdoors!BI23=TRUE),VLOOKUP(Calculator!E23,tbSkills!DH3:DJ6,3,FALSE),0),0)))/100)),1))*IF(VLOOKUP(A26,tbMoveset!A2:K112,11,FALSE)=TRUE,Backdoors!AC5,1))*EM26,0),"")</f>
        <v>0</v>
      </c>
      <c r="EQ26" s="49">
        <f>VLOOKUP(A26,tbMoveset!A2:G112,7,FALSE)*IFERROR(IF(Backdoors!AI12&gt;=0,1+(IF(Calculator!E40&gt;0,VLOOKUP(Calculator!E40,tbSkills!AI3:AJ5,2,FALSE),Backdoors!AL4)*(IF((Backdoors!AI12+IF(EL26&gt;=0.45,VLOOKUP(Calculator!E23,tbSkills!DH3:DI6,2,FALSE)+IF(AND(Calculator!B8=TRUE,Backdoors!BI23=TRUE),VLOOKUP(Calculator!E23,tbSkills!DH3:DJ6,3,FALSE),0),0))&gt;=100,100,(Backdoors!AI12+IF(EL26&gt;=0.45,VLOOKUP(Calculator!E23,tbSkills!DH3:DI6,2,FALSE)+IF(AND(Calculator!B8=TRUE,Backdoors!BI23=TRUE),VLOOKUP(Calculator!E23,tbSkills!DH3:DJ6,3,FALSE),0),0)))/100)),1),1)</f>
        <v>1</v>
      </c>
      <c r="ER26" s="87">
        <f t="shared" si="13"/>
        <v>0</v>
      </c>
      <c r="ES26" s="86" t="str">
        <f>IFERROR(IF(VLOOKUP(A26,tbMoveset!A2:B112,2,FALSE)="Sever",Backdoors!AY24/100,IF(VLOOKUP(A26,tbMoveset!A2:B112,2,FALSE)="Blunt",Backdoors!AZ24/100,Backdoors!BA24/100)),"")</f>
        <v/>
      </c>
      <c r="ET26" s="49">
        <f>IFERROR(IF(VLOOKUP(tbMoveset!A26,tbMoveset!A2:H112,8,FALSE)="Other",IF(VLOOKUP(tbMoveset!A26,tbMoveset!A2:I112,9,FALSE)="Fire",Backdoors!BB24,IF(VLOOKUP(tbMoveset!A26,tbMoveset!A2:I112,9,FALSE)="Water",Backdoors!BC24,IF(VLOOKUP(tbMoveset!A26,tbMoveset!A2:I112,9,FALSE)="Thunder",Backdoors!BD24,IF(VLOOKUP(tbMoveset!A26,tbMoveset!A2:I112,9,FALSE)="Ice",Backdoors!BE24,IF(VLOOKUP(tbMoveset!A26,tbMoveset!A2:I112,9,FALSE)="Dragon",Backdoors!BF24,Backdoors!BG24)))))/100,Backdoors!BG24/100),"")</f>
        <v>0</v>
      </c>
      <c r="EU26" s="49">
        <f>IFERROR(IF(VLOOKUP(A26,tbMoveset!A2:J112,10,FALSE)=TRUE,IF((Backdoors!AI12+IF(ES26&gt;=0.45,VLOOKUP(Calculator!E23,tbSkills!DH3:DI6,2,FALSE)+IF(AND(Calculator!B8=TRUE,Backdoors!BI24=TRUE),VLOOKUP(Calculator!E23,tbSkills!DH3:DJ6,3,FALSE),0),0))&gt;=0,1+(Backdoors!AL2*(IF((Backdoors!AI12+IF(ES26&gt;=0.45,VLOOKUP(Calculator!E23,tbSkills!DH3:DI6,2,FALSE)+IF(AND(Calculator!B8=TRUE,Backdoors!BI24=TRUE),VLOOKUP(Calculator!E23,tbSkills!DH3:DJ6,3,FALSE),0),0))&gt;=100,100,(Backdoors!AI12+IF(ES26&gt;=0.45,VLOOKUP(Calculator!E23,tbSkills!DH3:DI6,2,FALSE)+IF(AND(Calculator!B8=TRUE,Backdoors!BI24=TRUE),VLOOKUP(Calculator!E23,tbSkills!DH3:DJ6,3,FALSE),0),0)))/100)),(1-(0.25*((-Backdoors!AI12-IF(ES26&gt;=0.45,VLOOKUP(Calculator!E23,tbSkills!DH3:DI6,2,FALSE)+IF(AND(Calculator!B8=TRUE,Backdoors!BI24=TRUE),VLOOKUP(Calculator!E23,tbSkills!DH3:DJ6,3,FALSE),0),0))/100)))),1),"")</f>
        <v>1</v>
      </c>
      <c r="EV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S26)*EU26)*(VLOOKUP(A26,tbMoveset!A2:C112,3,FALSE)/100)*IF(VLOOKUP(A26,tbMoveset!A2:B112,2,FALSE)="Projectile",Backdoors!N10,Backdoors!N9),0),"")</f>
        <v/>
      </c>
      <c r="EW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S26&gt;=0.45,VLOOKUP(Calculator!E23,tbSkills!DH3:DI6,2,FALSE)+IF(AND(Calculator!B8=TRUE,Backdoors!BI24=TRUE),VLOOKUP(Calculator!E23,tbSkills!DH3:DJ6,3,FALSE),0),0))&gt;=100,100,(Backdoors!AI12+IF(ES26&gt;=0.45,VLOOKUP(Calculator!E23,tbSkills!DH3:DI6,2,FALSE)+IF(AND(Calculator!B8=TRUE,Backdoors!BI24=TRUE),VLOOKUP(Calculator!E23,tbSkills!DH3:DJ6,3,FALSE),0),0)))/100)),1))*IF(VLOOKUP(A26,tbMoveset!A2:K112,11,FALSE)=TRUE,Backdoors!AC5,1))*ET26,0),"")</f>
        <v>0</v>
      </c>
      <c r="EX26" s="49">
        <f>VLOOKUP(A26,tbMoveset!A2:G112,7,FALSE)*IFERROR(IF(Backdoors!AI12&gt;=0,1+(IF(Calculator!E40&gt;0,VLOOKUP(Calculator!E40,tbSkills!AI3:AJ5,2,FALSE),Backdoors!AL4)*(IF((Backdoors!AI12+IF(ES26&gt;=0.45,VLOOKUP(Calculator!E23,tbSkills!DH3:DI6,2,FALSE)+IF(AND(Calculator!B8=TRUE,Backdoors!BI24=TRUE),VLOOKUP(Calculator!E23,tbSkills!DH3:DJ6,3,FALSE),0),0))&gt;=100,100,(Backdoors!AI12+IF(ES26&gt;=0.45,VLOOKUP(Calculator!E23,tbSkills!DH3:DI6,2,FALSE)+IF(AND(Calculator!B8=TRUE,Backdoors!BI24=TRUE),VLOOKUP(Calculator!E23,tbSkills!DH3:DJ6,3,FALSE),0),0)))/100)),1),1)</f>
        <v>1</v>
      </c>
      <c r="EY26" s="87">
        <f t="shared" si="14"/>
        <v>0</v>
      </c>
      <c r="EZ26" s="86" t="str">
        <f>IFERROR(IF(VLOOKUP(A26,tbMoveset!A2:B112,2,FALSE)="Sever",Backdoors!AY25/100,IF(VLOOKUP(A26,tbMoveset!A2:B112,2,FALSE)="Blunt",Backdoors!AZ25/100,Backdoors!BA25/100)),"")</f>
        <v/>
      </c>
      <c r="FA26" s="49">
        <f>IFERROR(IF(VLOOKUP(tbMoveset!A26,tbMoveset!A2:H112,8,FALSE)="Other",IF(VLOOKUP(tbMoveset!A26,tbMoveset!A2:I112,9,FALSE)="Fire",Backdoors!BB25,IF(VLOOKUP(tbMoveset!A26,tbMoveset!A2:I112,9,FALSE)="Water",Backdoors!BC25,IF(VLOOKUP(tbMoveset!A26,tbMoveset!A2:I112,9,FALSE)="Thunder",Backdoors!BD25,IF(VLOOKUP(tbMoveset!A26,tbMoveset!A2:I112,9,FALSE)="Ice",Backdoors!BE25,IF(VLOOKUP(tbMoveset!A26,tbMoveset!A2:I112,9,FALSE)="Dragon",Backdoors!BF25,Backdoors!BG25)))))/100,Backdoors!BG25/100),"")</f>
        <v>0</v>
      </c>
      <c r="FB26" s="49">
        <f>IFERROR(IF(VLOOKUP(A26,tbMoveset!A2:J112,10,FALSE)=TRUE,IF((Backdoors!AI12+IF(EZ26&gt;=0.45,VLOOKUP(Calculator!E23,tbSkills!DH3:DI6,2,FALSE)+IF(AND(Calculator!B8=TRUE,Backdoors!BI25=TRUE),VLOOKUP(Calculator!E23,tbSkills!DH3:DJ6,3,FALSE),0),0))&gt;=0,1+(Backdoors!AL2*(IF((Backdoors!AI12+IF(EZ26&gt;=0.45,VLOOKUP(Calculator!E23,tbSkills!DH3:DI6,2,FALSE)+IF(AND(Calculator!B8=TRUE,Backdoors!BI25=TRUE),VLOOKUP(Calculator!E23,tbSkills!DH3:DJ6,3,FALSE),0),0))&gt;=100,100,(Backdoors!AI12+IF(EZ26&gt;=0.45,VLOOKUP(Calculator!E23,tbSkills!DH3:DI6,2,FALSE)+IF(AND(Calculator!B8=TRUE,Backdoors!BI25=TRUE),VLOOKUP(Calculator!E23,tbSkills!DH3:DJ6,3,FALSE),0),0)))/100)),(1-(0.25*((-Backdoors!AI12-IF(EZ26&gt;=0.45,VLOOKUP(Calculator!E23,tbSkills!DH3:DI6,2,FALSE)+IF(AND(Calculator!B8=TRUE,Backdoors!BI25=TRUE),VLOOKUP(Calculator!E23,tbSkills!DH3:DJ6,3,FALSE),0),0))/100)))),1),"")</f>
        <v>1</v>
      </c>
      <c r="FC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Z26)*FB26)*(VLOOKUP(A26,tbMoveset!A2:C112,3,FALSE)/100)*IF(VLOOKUP(A26,tbMoveset!A2:B112,2,FALSE)="Projectile",Backdoors!N10,Backdoors!N9),0),"")</f>
        <v/>
      </c>
      <c r="FD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Z26&gt;=0.45,VLOOKUP(Calculator!E23,tbSkills!DH3:DI6,2,FALSE)+IF(AND(Calculator!B8=TRUE,Backdoors!BI25=TRUE),VLOOKUP(Calculator!E23,tbSkills!DH3:DJ6,3,FALSE),0),0))&gt;=100,100,(Backdoors!AI12+IF(EZ26&gt;=0.45,VLOOKUP(Calculator!E23,tbSkills!DH3:DI6,2,FALSE)+IF(AND(Calculator!B8=TRUE,Backdoors!BI25=TRUE),VLOOKUP(Calculator!E23,tbSkills!DH3:DJ6,3,FALSE),0),0)))/100)),1))*IF(VLOOKUP(A26,tbMoveset!A2:K112,11,FALSE)=TRUE,Backdoors!AC5,1))*FA26,0),"")</f>
        <v>0</v>
      </c>
      <c r="FE26" s="49">
        <f>VLOOKUP(A26,tbMoveset!A2:G112,7,FALSE)*IFERROR(IF(Backdoors!AI12&gt;=0,1+(IF(Calculator!E40&gt;0,VLOOKUP(Calculator!E40,tbSkills!AI3:AJ5,2,FALSE),Backdoors!AL4)*(IF((Backdoors!AI12+IF(EZ26&gt;=0.45,VLOOKUP(Calculator!E23,tbSkills!DH3:DI6,2,FALSE)+IF(AND(Calculator!B8=TRUE,Backdoors!BI25=TRUE),VLOOKUP(Calculator!E23,tbSkills!DH3:DJ6,3,FALSE),0),0))&gt;=100,100,(Backdoors!AI12+IF(EZ26&gt;=0.45,VLOOKUP(Calculator!E23,tbSkills!DH3:DI6,2,FALSE)+IF(AND(Calculator!B8=TRUE,Backdoors!BI25=TRUE),VLOOKUP(Calculator!E23,tbSkills!DH3:DJ6,3,FALSE),0),0)))/100)),1),1)</f>
        <v>1</v>
      </c>
      <c r="FF26" s="87">
        <f t="shared" si="15"/>
        <v>0</v>
      </c>
      <c r="FG26" s="86" t="str">
        <f>IFERROR(IF(VLOOKUP(A26,tbMoveset!A2:B112,2,FALSE)="Sever",Backdoors!AY26/100,IF(VLOOKUP(A26,tbMoveset!A2:B112,2,FALSE)="Blunt",Backdoors!AZ26/100,Backdoors!BA26/100)),"")</f>
        <v/>
      </c>
      <c r="FH26" s="49">
        <f>IFERROR(IF(VLOOKUP(tbMoveset!A26,tbMoveset!A2:H112,8,FALSE)="Other",IF(VLOOKUP(tbMoveset!A26,tbMoveset!A2:I112,9,FALSE)="Fire",Backdoors!BB26,IF(VLOOKUP(tbMoveset!A26,tbMoveset!A2:I112,9,FALSE)="Water",Backdoors!BC26,IF(VLOOKUP(tbMoveset!A26,tbMoveset!A2:I112,9,FALSE)="Thunder",Backdoors!BD26,IF(VLOOKUP(tbMoveset!A26,tbMoveset!A2:I112,9,FALSE)="Ice",Backdoors!BE26,IF(VLOOKUP(tbMoveset!A26,tbMoveset!A2:I112,9,FALSE)="Dragon",Backdoors!BF26,Backdoors!BG26)))))/100,Backdoors!BG26/100),"")</f>
        <v>0</v>
      </c>
      <c r="FI26" s="49">
        <f>IFERROR(IF(VLOOKUP(A26,tbMoveset!A2:J112,10,FALSE)=TRUE,IF((Backdoors!AI12+IF(FG26&gt;=0.45,VLOOKUP(Calculator!E23,tbSkills!DH3:DI6,2,FALSE)+IF(AND(Calculator!B8=TRUE,Backdoors!BI26=TRUE),VLOOKUP(Calculator!E23,tbSkills!DH3:DJ6,3,FALSE),0),0))&gt;=0,1+(Backdoors!AL2*(IF((Backdoors!AI12+IF(FG26&gt;=0.45,VLOOKUP(Calculator!E23,tbSkills!DH3:DI6,2,FALSE)+IF(AND(Calculator!B8=TRUE,Backdoors!BI26=TRUE),VLOOKUP(Calculator!E23,tbSkills!DH3:DJ6,3,FALSE),0),0))&gt;=100,100,(Backdoors!AI12+IF(FG26&gt;=0.45,VLOOKUP(Calculator!E23,tbSkills!DH3:DI6,2,FALSE)+IF(AND(Calculator!B8=TRUE,Backdoors!BI26=TRUE),VLOOKUP(Calculator!E23,tbSkills!DH3:DJ6,3,FALSE),0),0)))/100)),(1-(0.25*((-Backdoors!AI12-IF(FG26&gt;=0.45,VLOOKUP(Calculator!E23,tbSkills!DH3:DI6,2,FALSE)+IF(AND(Calculator!B8=TRUE,Backdoors!BI26=TRUE),VLOOKUP(Calculator!E23,tbSkills!DH3:DJ6,3,FALSE),0),0))/100)))),1),"")</f>
        <v>1</v>
      </c>
      <c r="FJ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FG26)*FI26)*(VLOOKUP(A26,tbMoveset!A2:C112,3,FALSE)/100)*IF(VLOOKUP(A26,tbMoveset!A2:B112,2,FALSE)="Projectile",Backdoors!N10,Backdoors!N9),0),"")</f>
        <v/>
      </c>
      <c r="FK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FG26&gt;=0.45,VLOOKUP(Calculator!E23,tbSkills!DH3:DI6,2,FALSE)+IF(AND(Calculator!B8=TRUE,Backdoors!BI26=TRUE),VLOOKUP(Calculator!E23,tbSkills!DH3:DJ6,3,FALSE),0),0))&gt;=100,100,(Backdoors!AI12+IF(FG26&gt;=0.45,VLOOKUP(Calculator!E23,tbSkills!DH3:DI6,2,FALSE)+IF(AND(Calculator!B8=TRUE,Backdoors!BI26=TRUE),VLOOKUP(Calculator!E23,tbSkills!DH3:DJ6,3,FALSE),0),0)))/100)),1))*IF(VLOOKUP(A26,tbMoveset!A2:K112,11,FALSE)=TRUE,Backdoors!AC5,1))*FH26,0),"")</f>
        <v>0</v>
      </c>
      <c r="FL26" s="49">
        <f>VLOOKUP(A26,tbMoveset!A2:G112,7,FALSE)*IFERROR(IF(Backdoors!AI12&gt;=0,1+(IF(Calculator!E40&gt;0,VLOOKUP(Calculator!E40,tbSkills!AI3:AJ5,2,FALSE),Backdoors!AL4)*(IF((Backdoors!AI12+IF(FG26&gt;=0.45,VLOOKUP(Calculator!E23,tbSkills!DH3:DI6,2,FALSE)+IF(AND(Calculator!B8=TRUE,Backdoors!BI26=TRUE),VLOOKUP(Calculator!E23,tbSkills!DH3:DJ6,3,FALSE),0),0))&gt;=100,100,(Backdoors!AI12+IF(FG26&gt;=0.45,VLOOKUP(Calculator!E23,tbSkills!DH3:DI6,2,FALSE)+IF(AND(Calculator!B8=TRUE,Backdoors!BI26=TRUE),VLOOKUP(Calculator!E23,tbSkills!DH3:DJ6,3,FALSE),0),0)))/100)),1),1)</f>
        <v>1</v>
      </c>
      <c r="FM26" s="87">
        <f t="shared" si="16"/>
        <v>0</v>
      </c>
      <c r="FN26" s="86" t="str">
        <f>IFERROR(IF(VLOOKUP(A26,tbMoveset!A2:B112,2,FALSE)="Sever",Backdoors!AY27/100,IF(VLOOKUP(A26,tbMoveset!A2:B112,2,FALSE)="Blunt",Backdoors!AZ27/100,Backdoors!BA27/100)),"")</f>
        <v/>
      </c>
      <c r="FO26" s="49">
        <f>IFERROR(IF(VLOOKUP(tbMoveset!A26,tbMoveset!A2:H112,8,FALSE)="Other",IF(VLOOKUP(tbMoveset!A26,tbMoveset!A2:I112,9,FALSE)="Fire",Backdoors!BB27,IF(VLOOKUP(tbMoveset!A26,tbMoveset!A2:I112,9,FALSE)="Water",Backdoors!BC27,IF(VLOOKUP(tbMoveset!A26,tbMoveset!A2:I112,9,FALSE)="Thunder",Backdoors!BD27,IF(VLOOKUP(tbMoveset!A26,tbMoveset!A2:I112,9,FALSE)="Ice",Backdoors!BE27,IF(VLOOKUP(tbMoveset!A26,tbMoveset!A2:I112,9,FALSE)="Dragon",Backdoors!BF27,Backdoors!BG27)))))/100,Backdoors!BG27/100),"")</f>
        <v>0</v>
      </c>
      <c r="FP26" s="49">
        <f>IFERROR(IF(VLOOKUP(A26,tbMoveset!A2:J112,10,FALSE)=TRUE,IF((Backdoors!AI12+IF(FN26&gt;=0.45,VLOOKUP(Calculator!E23,tbSkills!DH3:DI6,2,FALSE)+IF(AND(Calculator!B8=TRUE,Backdoors!BI27=TRUE),VLOOKUP(Calculator!E23,tbSkills!DH3:DJ6,3,FALSE),0),0))&gt;=0,1+(Backdoors!AL2*(IF((Backdoors!AI12+IF(FN26&gt;=0.45,VLOOKUP(Calculator!E23,tbSkills!DH3:DI6,2,FALSE)+IF(AND(Calculator!B8=TRUE,Backdoors!BI27=TRUE),VLOOKUP(Calculator!E23,tbSkills!DH3:DJ6,3,FALSE),0),0))&gt;=100,100,(Backdoors!AI12+IF(FN26&gt;=0.45,VLOOKUP(Calculator!E23,tbSkills!DH3:DI6,2,FALSE)+IF(AND(Calculator!B8=TRUE,Backdoors!BI27=TRUE),VLOOKUP(Calculator!E23,tbSkills!DH3:DJ6,3,FALSE),0),0)))/100)),(1-(0.25*((-Backdoors!AI12-IF(FN26&gt;=0.45,VLOOKUP(Calculator!E23,tbSkills!DH3:DI6,2,FALSE)+IF(AND(Calculator!B8=TRUE,Backdoors!BI27=TRUE),VLOOKUP(Calculator!E23,tbSkills!DH3:DJ6,3,FALSE),0),0))/100)))),1),"")</f>
        <v>1</v>
      </c>
      <c r="FQ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FN26)*FP26)*(VLOOKUP(A26,tbMoveset!A2:C112,3,FALSE)/100)*IF(VLOOKUP(A26,tbMoveset!A2:B112,2,FALSE)="Projectile",Backdoors!N10,Backdoors!N9),0),"")</f>
        <v/>
      </c>
      <c r="FR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FN26&gt;=0.45,VLOOKUP(Calculator!E23,tbSkills!DH3:DI6,2,FALSE)+IF(AND(Calculator!B8=TRUE,Backdoors!BI27=TRUE),VLOOKUP(Calculator!E23,tbSkills!DH3:DJ6,3,FALSE),0),0))&gt;=100,100,(Backdoors!AI12+IF(FN26&gt;=0.45,VLOOKUP(Calculator!E23,tbSkills!DH3:DI6,2,FALSE)+IF(AND(Calculator!B8=TRUE,Backdoors!BI27=TRUE),VLOOKUP(Calculator!E23,tbSkills!DH3:DJ6,3,FALSE),0),0)))/100)),1))*IF(VLOOKUP(A26,tbMoveset!A2:K112,11,FALSE)=TRUE,Backdoors!AC5,1))*FO26,0),"")</f>
        <v>0</v>
      </c>
      <c r="FS26" s="49">
        <f>VLOOKUP(A26,tbMoveset!A2:G112,7,FALSE)*IFERROR(IF(Backdoors!AI12&gt;=0,1+(IF(Calculator!E40&gt;0,VLOOKUP(Calculator!E40,tbSkills!AI3:AJ5,2,FALSE),Backdoors!AL4)*(IF((Backdoors!AI12+IF(FN26&gt;=0.45,VLOOKUP(Calculator!E23,tbSkills!DH3:DI6,2,FALSE)+IF(AND(Calculator!B8=TRUE,Backdoors!BI27=TRUE),VLOOKUP(Calculator!E23,tbSkills!DH3:DJ6,3,FALSE),0),0))&gt;=100,100,(Backdoors!AI12+IF(FN26&gt;=0.45,VLOOKUP(Calculator!E23,tbSkills!DH3:DI6,2,FALSE)+IF(AND(Calculator!B8=TRUE,Backdoors!BI27=TRUE),VLOOKUP(Calculator!E23,tbSkills!DH3:DJ6,3,FALSE),0),0)))/100)),1),1)</f>
        <v>1</v>
      </c>
      <c r="FT26" s="87">
        <f t="shared" si="17"/>
        <v>0</v>
      </c>
      <c r="FU26" s="86" t="str">
        <f>IFERROR(IF(VLOOKUP(A26,tbMoveset!A2:B112,2,FALSE)="Sever",Backdoors!AY28/100,IF(VLOOKUP(A26,tbMoveset!A2:B112,2,FALSE)="Blunt",Backdoors!AZ28/100,Backdoors!BA28/100)),"")</f>
        <v/>
      </c>
      <c r="FV26" s="49">
        <f>IFERROR(IF(VLOOKUP(tbMoveset!A26,tbMoveset!A2:H112,8,FALSE)="Other",IF(VLOOKUP(tbMoveset!A26,tbMoveset!A2:I112,9,FALSE)="Fire",Backdoors!BB28,IF(VLOOKUP(tbMoveset!A26,tbMoveset!A2:I112,9,FALSE)="Water",Backdoors!BC28,IF(VLOOKUP(tbMoveset!A26,tbMoveset!A2:I112,9,FALSE)="Thunder",Backdoors!BD28,IF(VLOOKUP(tbMoveset!A26,tbMoveset!A2:I112,9,FALSE)="Ice",Backdoors!BE28,IF(VLOOKUP(tbMoveset!A26,tbMoveset!A2:I112,9,FALSE)="Dragon",Backdoors!BF28,Backdoors!BG28)))))/100,Backdoors!BG28/100),"")</f>
        <v>0</v>
      </c>
      <c r="FW26" s="49">
        <f>IFERROR(IF(VLOOKUP(A26,tbMoveset!A2:J112,10,FALSE)=TRUE,IF((Backdoors!AI12+IF(FU26&gt;=0.45,VLOOKUP(Calculator!E23,tbSkills!DH3:DI6,2,FALSE)+IF(AND(Calculator!B8=TRUE,Backdoors!BI28=TRUE),VLOOKUP(Calculator!E23,tbSkills!DH3:DJ6,3,FALSE),0),0))&gt;=0,1+(Backdoors!AL2*(IF((Backdoors!AI12+IF(FU26&gt;=0.45,VLOOKUP(Calculator!E23,tbSkills!DH3:DI6,2,FALSE)+IF(AND(Calculator!B8=TRUE,Backdoors!BI28=TRUE),VLOOKUP(Calculator!E23,tbSkills!DH3:DJ6,3,FALSE),0),0))&gt;=100,100,(Backdoors!AI12+IF(FU26&gt;=0.45,VLOOKUP(Calculator!E23,tbSkills!DH3:DI6,2,FALSE)+IF(AND(Calculator!B8=TRUE,Backdoors!BI28=TRUE),VLOOKUP(Calculator!E23,tbSkills!DH3:DJ6,3,FALSE),0),0)))/100)),(1-(0.25*((-Backdoors!AI12-IF(FU26&gt;=0.45,VLOOKUP(Calculator!E23,tbSkills!DH3:DI6,2,FALSE)+IF(AND(Calculator!B8=TRUE,Backdoors!BI28=TRUE),VLOOKUP(Calculator!E23,tbSkills!DH3:DJ6,3,FALSE),0),0))/100)))),1),"")</f>
        <v>1</v>
      </c>
      <c r="FX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FU26)*FW26)*(VLOOKUP(A26,tbMoveset!A2:C112,3,FALSE)/100)*IF(VLOOKUP(A26,tbMoveset!A2:B112,2,FALSE)="Projectile",Backdoors!N10,Backdoors!N9),0),"")</f>
        <v/>
      </c>
      <c r="FY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FU26&gt;=0.45,VLOOKUP(Calculator!E23,tbSkills!DH3:DI6,2,FALSE)+IF(AND(Calculator!B8=TRUE,Backdoors!BI28=TRUE),VLOOKUP(Calculator!E23,tbSkills!DH3:DJ6,3,FALSE),0),0))&gt;=100,100,(Backdoors!AI12+IF(FU26&gt;=0.45,VLOOKUP(Calculator!E23,tbSkills!DH3:DI6,2,FALSE)+IF(AND(Calculator!B8=TRUE,Backdoors!BI28=TRUE),VLOOKUP(Calculator!E23,tbSkills!DH3:DJ6,3,FALSE),0),0)))/100)),1))*IF(VLOOKUP(A26,tbMoveset!A2:K112,11,FALSE)=TRUE,Backdoors!AC5,1))*FV26,0),"")</f>
        <v>0</v>
      </c>
      <c r="FZ26" s="49">
        <f>VLOOKUP(A26,tbMoveset!A2:G112,7,FALSE)*IFERROR(IF(Backdoors!AI12&gt;=0,1+(IF(Calculator!E40&gt;0,VLOOKUP(Calculator!E40,tbSkills!AI3:AJ5,2,FALSE),Backdoors!AL4)*(IF((Backdoors!AI12+IF(FU26&gt;=0.45,VLOOKUP(Calculator!E23,tbSkills!DH3:DI6,2,FALSE)+IF(AND(Calculator!B8=TRUE,Backdoors!BI28=TRUE),VLOOKUP(Calculator!E23,tbSkills!DH3:DJ6,3,FALSE),0),0))&gt;=100,100,(Backdoors!AI12+IF(FU26&gt;=0.45,VLOOKUP(Calculator!E23,tbSkills!DH3:DI6,2,FALSE)+IF(AND(Calculator!B8=TRUE,Backdoors!BI28=TRUE),VLOOKUP(Calculator!E23,tbSkills!DH3:DJ6,3,FALSE),0),0)))/100)),1),1)</f>
        <v>1</v>
      </c>
      <c r="GA26" s="87">
        <f t="shared" si="18"/>
        <v>0</v>
      </c>
      <c r="GB26" s="86" t="str">
        <f>IFERROR(IF(VLOOKUP(A26,tbMoveset!A2:B112,2,FALSE)="Sever",Backdoors!AY29/100,IF(VLOOKUP(A26,tbMoveset!A2:B112,2,FALSE)="Blunt",Backdoors!AZ29/100,Backdoors!BA29/100)),"")</f>
        <v/>
      </c>
      <c r="GC26" s="49">
        <f>IFERROR(IF(VLOOKUP(tbMoveset!A26,tbMoveset!A2:H112,8,FALSE)="Other",IF(VLOOKUP(tbMoveset!A26,tbMoveset!A2:I112,9,FALSE)="Fire",Backdoors!BB29,IF(VLOOKUP(tbMoveset!A26,tbMoveset!A2:I112,9,FALSE)="Water",Backdoors!BC29,IF(VLOOKUP(tbMoveset!A26,tbMoveset!A2:I112,9,FALSE)="Thunder",Backdoors!BD29,IF(VLOOKUP(tbMoveset!A26,tbMoveset!A2:I112,9,FALSE)="Ice",Backdoors!BE29,IF(VLOOKUP(tbMoveset!A26,tbMoveset!A2:I112,9,FALSE)="Dragon",Backdoors!BF29,Backdoors!BG29)))))/100,Backdoors!BG29/100),"")</f>
        <v>0</v>
      </c>
      <c r="GD26" s="49">
        <f>IFERROR(IF(VLOOKUP(A26,tbMoveset!A2:J112,10,FALSE)=TRUE,IF((Backdoors!AI12+IF(GB26&gt;=0.45,VLOOKUP(Calculator!E23,tbSkills!DH3:DI6,2,FALSE)+IF(AND(Calculator!B8=TRUE,Backdoors!BI29=TRUE),VLOOKUP(Calculator!E23,tbSkills!DH3:DJ6,3,FALSE),0),0))&gt;=0,1+(Backdoors!AL2*(IF((Backdoors!AI12+IF(GB26&gt;=0.45,VLOOKUP(Calculator!E23,tbSkills!DH3:DI6,2,FALSE)+IF(AND(Calculator!B8=TRUE,Backdoors!BI29=TRUE),VLOOKUP(Calculator!E23,tbSkills!DH3:DJ6,3,FALSE),0),0))&gt;=100,100,(Backdoors!AI12+IF(GB26&gt;=0.45,VLOOKUP(Calculator!E23,tbSkills!DH3:DI6,2,FALSE)+IF(AND(Calculator!B8=TRUE,Backdoors!BI29=TRUE),VLOOKUP(Calculator!E23,tbSkills!DH3:DJ6,3,FALSE),0),0)))/100)),(1-(0.25*((-Backdoors!AI12-IF(GB26&gt;=0.45,VLOOKUP(Calculator!E23,tbSkills!DH3:DI6,2,FALSE)+IF(AND(Calculator!B8=TRUE,Backdoors!BI29=TRUE),VLOOKUP(Calculator!E23,tbSkills!DH3:DJ6,3,FALSE),0),0))/100)))),1),"")</f>
        <v>1</v>
      </c>
      <c r="GE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B26)*GD26)*(VLOOKUP(A26,tbMoveset!A2:C112,3,FALSE)/100)*IF(VLOOKUP(A26,tbMoveset!A2:B112,2,FALSE)="Projectile",Backdoors!N10,Backdoors!N9),0),"")</f>
        <v/>
      </c>
      <c r="GF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B26&gt;=0.45,VLOOKUP(Calculator!E23,tbSkills!DH3:DI6,2,FALSE)+IF(AND(Calculator!B8=TRUE,Backdoors!BI29=TRUE),VLOOKUP(Calculator!E23,tbSkills!DH3:DJ6,3,FALSE),0),0))&gt;=100,100,(Backdoors!AI12+IF(GB26&gt;=0.45,VLOOKUP(Calculator!E23,tbSkills!DH3:DI6,2,FALSE)+IF(AND(Calculator!B8=TRUE,Backdoors!BI29=TRUE),VLOOKUP(Calculator!E23,tbSkills!DH3:DJ6,3,FALSE),0),0)))/100)),1))*IF(VLOOKUP(A26,tbMoveset!A2:K112,11,FALSE)=TRUE,Backdoors!AC5,1))*GC26,0),"")</f>
        <v>0</v>
      </c>
      <c r="GG26" s="49">
        <f>VLOOKUP(A26,tbMoveset!A2:G112,7,FALSE)*IFERROR(IF(Backdoors!AI12&gt;=0,1+(IF(Calculator!E40&gt;0,VLOOKUP(Calculator!E40,tbSkills!AI3:AJ5,2,FALSE),Backdoors!AL4)*(IF((Backdoors!AI12+IF(GB26&gt;=0.45,VLOOKUP(Calculator!E23,tbSkills!DH3:DI6,2,FALSE)+IF(AND(Calculator!B8=TRUE,Backdoors!BI29=TRUE),VLOOKUP(Calculator!E23,tbSkills!DH3:DJ6,3,FALSE),0),0))&gt;=100,100,(Backdoors!AI12+IF(GB26&gt;=0.45,VLOOKUP(Calculator!E23,tbSkills!DH3:DI6,2,FALSE)+IF(AND(Calculator!B8=TRUE,Backdoors!BI29=TRUE),VLOOKUP(Calculator!E23,tbSkills!DH3:DJ6,3,FALSE),0),0)))/100)),1),1)</f>
        <v>1</v>
      </c>
      <c r="GH26" s="87">
        <f t="shared" si="19"/>
        <v>0</v>
      </c>
      <c r="GI26" s="86" t="str">
        <f>IFERROR(IF(VLOOKUP(A26,tbMoveset!A2:B112,2,FALSE)="Sever",Backdoors!AY30/100,IF(VLOOKUP(A26,tbMoveset!A2:B112,2,FALSE)="Blunt",Backdoors!AZ30/100,Backdoors!BA30/100)),"")</f>
        <v/>
      </c>
      <c r="GJ26" s="49">
        <f>IFERROR(IF(VLOOKUP(tbMoveset!A26,tbMoveset!A2:H112,8,FALSE)="Other",IF(VLOOKUP(tbMoveset!A26,tbMoveset!A2:I112,9,FALSE)="Fire",Backdoors!BB30,IF(VLOOKUP(tbMoveset!A26,tbMoveset!A2:I112,9,FALSE)="Water",Backdoors!BC30,IF(VLOOKUP(tbMoveset!A26,tbMoveset!A2:I112,9,FALSE)="Thunder",Backdoors!BD30,IF(VLOOKUP(tbMoveset!A26,tbMoveset!A2:I112,9,FALSE)="Ice",Backdoors!BE30,IF(VLOOKUP(tbMoveset!A26,tbMoveset!A2:I112,9,FALSE)="Dragon",Backdoors!BF30,Backdoors!BG30)))))/100,Backdoors!BG30/100),"")</f>
        <v>0</v>
      </c>
      <c r="GK26" s="49">
        <f>IFERROR(IF(VLOOKUP(A26,tbMoveset!A2:J112,10,FALSE)=TRUE,IF((Backdoors!AI12+IF(GI26&gt;=0.45,VLOOKUP(Calculator!E23,tbSkills!DH3:DI6,2,FALSE)+IF(AND(Calculator!B8=TRUE,Backdoors!BI30=TRUE),VLOOKUP(Calculator!E23,tbSkills!DH3:DJ6,3,FALSE),0),0))&gt;=0,1+(Backdoors!AL2*(IF((Backdoors!AI12+IF(GI26&gt;=0.45,VLOOKUP(Calculator!E23,tbSkills!DH3:DI6,2,FALSE)+IF(AND(Calculator!B8=TRUE,Backdoors!BI30=TRUE),VLOOKUP(Calculator!E23,tbSkills!DH3:DJ6,3,FALSE),0),0))&gt;=100,100,(Backdoors!AI12+IF(GI26&gt;=0.45,VLOOKUP(Calculator!E23,tbSkills!DH3:DI6,2,FALSE)+IF(AND(Calculator!B8=TRUE,Backdoors!BI30=TRUE),VLOOKUP(Calculator!E23,tbSkills!DH3:DJ6,3,FALSE),0),0)))/100)),(1-(0.25*((-Backdoors!AI12-IF(GI26&gt;=0.45,VLOOKUP(Calculator!E23,tbSkills!DH3:DI6,2,FALSE)+IF(AND(Calculator!B8=TRUE,Backdoors!BI30=TRUE),VLOOKUP(Calculator!E23,tbSkills!DH3:DJ6,3,FALSE),0),0))/100)))),1),"")</f>
        <v>1</v>
      </c>
      <c r="GL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I26)*GK26)*(VLOOKUP(A26,tbMoveset!A2:C112,3,FALSE)/100)*IF(VLOOKUP(A26,tbMoveset!A2:B112,2,FALSE)="Projectile",Backdoors!N10,Backdoors!N9),0),"")</f>
        <v/>
      </c>
      <c r="GM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I26&gt;=0.45,VLOOKUP(Calculator!E23,tbSkills!DH3:DI6,2,FALSE)+IF(AND(Calculator!B8=TRUE,Backdoors!BI30=TRUE),VLOOKUP(Calculator!E23,tbSkills!DH3:DJ6,3,FALSE),0),0))&gt;=100,100,(Backdoors!AI12+IF(GI26&gt;=0.45,VLOOKUP(Calculator!E23,tbSkills!DH3:DI6,2,FALSE)+IF(AND(Calculator!B8=TRUE,Backdoors!BI30=TRUE),VLOOKUP(Calculator!E23,tbSkills!DH3:DJ6,3,FALSE),0),0)))/100)),1))*IF(VLOOKUP(A26,tbMoveset!A2:K112,11,FALSE)=TRUE,Backdoors!AC5,1))*GJ26,0),"")</f>
        <v>0</v>
      </c>
      <c r="GN26" s="49">
        <f>VLOOKUP(A26,tbMoveset!A2:G112,7,FALSE)*IFERROR(IF(Backdoors!AI12&gt;=0,1+(IF(Calculator!E40&gt;0,VLOOKUP(Calculator!E40,tbSkills!AI3:AJ5,2,FALSE),Backdoors!AL4)*(IF((Backdoors!AI12+IF(GI26&gt;=0.45,VLOOKUP(Calculator!E23,tbSkills!DH3:DI6,2,FALSE)+IF(AND(Calculator!B8=TRUE,Backdoors!BI30=TRUE),VLOOKUP(Calculator!E23,tbSkills!DH3:DJ6,3,FALSE),0),0))&gt;=100,100,(Backdoors!AI12+IF(GI26&gt;=0.45,VLOOKUP(Calculator!E23,tbSkills!DH3:DI6,2,FALSE)+IF(AND(Calculator!B8=TRUE,Backdoors!BI30=TRUE),VLOOKUP(Calculator!E23,tbSkills!DH3:DJ6,3,FALSE),0),0)))/100)),1),1)</f>
        <v>1</v>
      </c>
      <c r="GO26" s="87">
        <f t="shared" si="20"/>
        <v>0</v>
      </c>
      <c r="GP26" s="86" t="str">
        <f>IFERROR(IF(VLOOKUP(A26,tbMoveset!A2:B112,2,FALSE)="Sever",Backdoors!AY31/100,IF(VLOOKUP(A26,tbMoveset!A2:B112,2,FALSE)="Blunt",Backdoors!AZ31/100,Backdoors!BA31/100)),"")</f>
        <v/>
      </c>
      <c r="GQ26" s="49">
        <f>IFERROR(IF(VLOOKUP(tbMoveset!A26,tbMoveset!A2:H112,8,FALSE)="Other",IF(VLOOKUP(tbMoveset!A26,tbMoveset!A2:I112,9,FALSE)="Fire",Backdoors!BB31,IF(VLOOKUP(tbMoveset!A26,tbMoveset!A2:I112,9,FALSE)="Water",Backdoors!BC31,IF(VLOOKUP(tbMoveset!A26,tbMoveset!A2:I112,9,FALSE)="Thunder",Backdoors!BD31,IF(VLOOKUP(tbMoveset!A26,tbMoveset!A2:I112,9,FALSE)="Ice",Backdoors!BE31,IF(VLOOKUP(tbMoveset!A26,tbMoveset!A2:I112,9,FALSE)="Dragon",Backdoors!BF31,Backdoors!BG31)))))/100,Backdoors!BG31/100),"")</f>
        <v>0</v>
      </c>
      <c r="GR26" s="49">
        <f>IFERROR(IF(VLOOKUP(A26,tbMoveset!A2:J112,10,FALSE)=TRUE,IF((Backdoors!AI12+IF(GP26&gt;=0.45,VLOOKUP(Calculator!E23,tbSkills!DH3:DI6,2,FALSE)+IF(AND(Calculator!B8=TRUE,Backdoors!BI31=TRUE),VLOOKUP(Calculator!E23,tbSkills!DH3:DJ6,3,FALSE),0),0))&gt;=0,1+(Backdoors!AL2*(IF((Backdoors!AI12+IF(GP26&gt;=0.45,VLOOKUP(Calculator!E23,tbSkills!DH3:DI6,2,FALSE)+IF(AND(Calculator!B8=TRUE,Backdoors!BI31=TRUE),VLOOKUP(Calculator!E23,tbSkills!DH3:DJ6,3,FALSE),0),0))&gt;=100,100,(Backdoors!AI12+IF(GP26&gt;=0.45,VLOOKUP(Calculator!E23,tbSkills!DH3:DI6,2,FALSE)+IF(AND(Calculator!B8=TRUE,Backdoors!BI31=TRUE),VLOOKUP(Calculator!E23,tbSkills!DH3:DJ6,3,FALSE),0),0)))/100)),(1-(0.25*((-Backdoors!AI12-IF(GP26&gt;=0.45,VLOOKUP(Calculator!E23,tbSkills!DH3:DI6,2,FALSE)+IF(AND(Calculator!B8=TRUE,Backdoors!BI31=TRUE),VLOOKUP(Calculator!E23,tbSkills!DH3:DJ6,3,FALSE),0),0))/100)))),1),"")</f>
        <v>1</v>
      </c>
      <c r="GS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P26)*GR26)*(VLOOKUP(A26,tbMoveset!A2:C112,3,FALSE)/100)*IF(VLOOKUP(A26,tbMoveset!A2:B112,2,FALSE)="Projectile",Backdoors!N10,Backdoors!N9),0),"")</f>
        <v/>
      </c>
      <c r="GT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P26&gt;=0.45,VLOOKUP(Calculator!E23,tbSkills!DH3:DI6,2,FALSE)+IF(AND(Calculator!B8=TRUE,Backdoors!BI31=TRUE),VLOOKUP(Calculator!E23,tbSkills!DH3:DJ6,3,FALSE),0),0))&gt;=100,100,(Backdoors!AI12+IF(GP26&gt;=0.45,VLOOKUP(Calculator!E23,tbSkills!DH3:DI6,2,FALSE)+IF(AND(Calculator!B8=TRUE,Backdoors!BI31=TRUE),VLOOKUP(Calculator!E23,tbSkills!DH3:DJ6,3,FALSE),0),0)))/100)),1))*IF(VLOOKUP(A26,tbMoveset!A2:K112,11,FALSE)=TRUE,Backdoors!AC5,1))*GQ26,0),"")</f>
        <v>0</v>
      </c>
      <c r="GU26" s="49">
        <f>VLOOKUP(A26,tbMoveset!A2:G112,7,FALSE)*IFERROR(IF(Backdoors!AI12&gt;=0,1+(IF(Calculator!E40&gt;0,VLOOKUP(Calculator!E40,tbSkills!AI3:AJ5,2,FALSE),Backdoors!AL4)*(IF((Backdoors!AI12+IF(GP26&gt;=0.45,VLOOKUP(Calculator!E23,tbSkills!DH3:DI6,2,FALSE)+IF(AND(Calculator!B8=TRUE,Backdoors!BI31=TRUE),VLOOKUP(Calculator!E23,tbSkills!DH3:DJ6,3,FALSE),0),0))&gt;=100,100,(Backdoors!AI12+IF(GP26&gt;=0.45,VLOOKUP(Calculator!E23,tbSkills!DH3:DI6,2,FALSE)+IF(AND(Calculator!B8=TRUE,Backdoors!BI31=TRUE),VLOOKUP(Calculator!E23,tbSkills!DH3:DJ6,3,FALSE),0),0)))/100)),1),1)</f>
        <v>1</v>
      </c>
      <c r="GV26" s="87">
        <f t="shared" si="21"/>
        <v>0</v>
      </c>
      <c r="GW26" s="86" t="str">
        <f>IFERROR(IF(VLOOKUP(A26,tbMoveset!A2:B112,2,FALSE)="Sever",Backdoors!AY32/100,IF(VLOOKUP(A26,tbMoveset!A2:B112,2,FALSE)="Blunt",Backdoors!AZ32/100,Backdoors!BA32/100)),"")</f>
        <v/>
      </c>
      <c r="GX26" s="49">
        <f>IFERROR(IF(VLOOKUP(tbMoveset!A26,tbMoveset!A2:H112,8,FALSE)="Other",IF(VLOOKUP(tbMoveset!A26,tbMoveset!A2:I112,9,FALSE)="Fire",Backdoors!BB32,IF(VLOOKUP(tbMoveset!A26,tbMoveset!A2:I112,9,FALSE)="Water",Backdoors!BC32,IF(VLOOKUP(tbMoveset!A26,tbMoveset!A2:I112,9,FALSE)="Thunder",Backdoors!BD32,IF(VLOOKUP(tbMoveset!A26,tbMoveset!A2:I112,9,FALSE)="Ice",Backdoors!BE32,IF(VLOOKUP(tbMoveset!A26,tbMoveset!A2:I112,9,FALSE)="Dragon",Backdoors!BF32,Backdoors!BG32)))))/100,Backdoors!BG32/100),"")</f>
        <v>0</v>
      </c>
      <c r="GY26" s="49">
        <f>IFERROR(IF(VLOOKUP(A26,tbMoveset!A2:J112,10,FALSE)=TRUE,IF((Backdoors!AI12+IF(GW26&gt;=0.45,VLOOKUP(Calculator!E23,tbSkills!DH3:DI6,2,FALSE)+IF(AND(Calculator!B8=TRUE,Backdoors!BI32=TRUE),VLOOKUP(Calculator!E23,tbSkills!DH3:DJ6,3,FALSE),0),0))&gt;=0,1+(Backdoors!AL2*(IF((Backdoors!AI12+IF(GW26&gt;=0.45,VLOOKUP(Calculator!E23,tbSkills!DH3:DI6,2,FALSE)+IF(AND(Calculator!B8=TRUE,Backdoors!BI32=TRUE),VLOOKUP(Calculator!E23,tbSkills!DH3:DJ6,3,FALSE),0),0))&gt;=100,100,(Backdoors!AI12+IF(GW26&gt;=0.45,VLOOKUP(Calculator!E23,tbSkills!DH3:DI6,2,FALSE)+IF(AND(Calculator!B8=TRUE,Backdoors!BI32=TRUE),VLOOKUP(Calculator!E23,tbSkills!DH3:DJ6,3,FALSE),0),0)))/100)),(1-(0.25*((-Backdoors!AI12-IF(GW26&gt;=0.45,VLOOKUP(Calculator!E23,tbSkills!DH3:DI6,2,FALSE)+IF(AND(Calculator!B8=TRUE,Backdoors!BI32=TRUE),VLOOKUP(Calculator!E23,tbSkills!DH3:DJ6,3,FALSE),0),0))/100)))),1),"")</f>
        <v>1</v>
      </c>
      <c r="GZ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W26)*GY26)*(VLOOKUP(A26,tbMoveset!A2:C112,3,FALSE)/100)*IF(VLOOKUP(A26,tbMoveset!A2:B112,2,FALSE)="Projectile",Backdoors!N10,Backdoors!N9),0),"")</f>
        <v/>
      </c>
      <c r="HA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W26&gt;=0.45,VLOOKUP(Calculator!E23,tbSkills!DH3:DI6,2,FALSE)+IF(AND(Calculator!B8=TRUE,Backdoors!BI32=TRUE),VLOOKUP(Calculator!E23,tbSkills!DH3:DJ6,3,FALSE),0),0))&gt;=100,100,(Backdoors!AI12+IF(GW26&gt;=0.45,VLOOKUP(Calculator!E23,tbSkills!DH3:DI6,2,FALSE)+IF(AND(Calculator!B8=TRUE,Backdoors!BI32=TRUE),VLOOKUP(Calculator!E23,tbSkills!DH3:DJ6,3,FALSE),0),0)))/100)),1))*IF(VLOOKUP(A26,tbMoveset!A2:K112,11,FALSE)=TRUE,Backdoors!AC5,1))*GX26,0),"")</f>
        <v>0</v>
      </c>
      <c r="HB26" s="49">
        <f>VLOOKUP(A26,tbMoveset!A2:G112,7,FALSE)*IFERROR(IF(Backdoors!AI12&gt;=0,1+(IF(Calculator!E40&gt;0,VLOOKUP(Calculator!E40,tbSkills!AI3:AJ5,2,FALSE),Backdoors!AL4)*(IF((Backdoors!AI12+IF(GW26&gt;=0.45,VLOOKUP(Calculator!E23,tbSkills!DH3:DI6,2,FALSE)+IF(AND(Calculator!B8=TRUE,Backdoors!BI32=TRUE),VLOOKUP(Calculator!E23,tbSkills!DH3:DJ6,3,FALSE),0),0))&gt;=100,100,(Backdoors!AI12+IF(GW26&gt;=0.45,VLOOKUP(Calculator!E23,tbSkills!DH3:DI6,2,FALSE)+IF(AND(Calculator!B8=TRUE,Backdoors!BI32=TRUE),VLOOKUP(Calculator!E23,tbSkills!DH3:DJ6,3,FALSE),0),0)))/100)),1),1)</f>
        <v>1</v>
      </c>
      <c r="HC26" s="87">
        <f t="shared" si="22"/>
        <v>0</v>
      </c>
      <c r="HD26" s="86" t="str">
        <f>IFERROR(IF(VLOOKUP(A26,tbMoveset!A2:B112,2,FALSE)="Sever",Backdoors!AY33/100,IF(VLOOKUP(A26,tbMoveset!A2:B112,2,FALSE)="Blunt",Backdoors!AZ33/100,Backdoors!BA33/100)),"")</f>
        <v/>
      </c>
      <c r="HE26" s="49">
        <f>IFERROR(IF(VLOOKUP(tbMoveset!A26,tbMoveset!A2:H112,8,FALSE)="Other",IF(VLOOKUP(tbMoveset!A26,tbMoveset!A2:I112,9,FALSE)="Fire",Backdoors!BB33,IF(VLOOKUP(tbMoveset!A26,tbMoveset!A2:I112,9,FALSE)="Water",Backdoors!BC33,IF(VLOOKUP(tbMoveset!A26,tbMoveset!A2:I112,9,FALSE)="Thunder",Backdoors!BD33,IF(VLOOKUP(tbMoveset!A26,tbMoveset!A2:I112,9,FALSE)="Ice",Backdoors!BE33,IF(VLOOKUP(tbMoveset!A26,tbMoveset!A2:I112,9,FALSE)="Dragon",Backdoors!BF33,Backdoors!BG33)))))/100,Backdoors!BG33/100),"")</f>
        <v>0</v>
      </c>
      <c r="HF26" s="49">
        <f>IFERROR(IF(VLOOKUP(A26,tbMoveset!A2:J112,10,FALSE)=TRUE,IF((Backdoors!AI12+IF(HD26&gt;=0.45,VLOOKUP(Calculator!E23,tbSkills!DH3:DI6,2,FALSE)+IF(AND(Calculator!B8=TRUE,Backdoors!BI33=TRUE),VLOOKUP(Calculator!E23,tbSkills!DH3:DJ6,3,FALSE),0),0))&gt;=0,1+(Backdoors!AL2*(IF((Backdoors!AI12+IF(HD26&gt;=0.45,VLOOKUP(Calculator!E23,tbSkills!DH3:DI6,2,FALSE)+IF(AND(Calculator!B8=TRUE,Backdoors!BI33=TRUE),VLOOKUP(Calculator!E23,tbSkills!DH3:DJ6,3,FALSE),0),0))&gt;=100,100,(Backdoors!AI12+IF(HD26&gt;=0.45,VLOOKUP(Calculator!E23,tbSkills!DH3:DI6,2,FALSE)+IF(AND(Calculator!B8=TRUE,Backdoors!BI33=TRUE),VLOOKUP(Calculator!E23,tbSkills!DH3:DJ6,3,FALSE),0),0)))/100)),(1-(0.25*((-Backdoors!AI12-IF(HD26&gt;=0.45,VLOOKUP(Calculator!E23,tbSkills!DH3:DI6,2,FALSE)+IF(AND(Calculator!B8=TRUE,Backdoors!BI33=TRUE),VLOOKUP(Calculator!E23,tbSkills!DH3:DJ6,3,FALSE),0),0))/100)))),1),"")</f>
        <v>1</v>
      </c>
      <c r="HG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D26)*HF26)*(VLOOKUP(A26,tbMoveset!A2:C112,3,FALSE)/100)*IF(VLOOKUP(A26,tbMoveset!A2:B112,2,FALSE)="Projectile",Backdoors!N10,Backdoors!N9),0),"")</f>
        <v/>
      </c>
      <c r="HH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D26&gt;=0.45,VLOOKUP(Calculator!E23,tbSkills!DH3:DI6,2,FALSE)+IF(AND(Calculator!B8=TRUE,Backdoors!BI33=TRUE),VLOOKUP(Calculator!E23,tbSkills!DH3:DJ6,3,FALSE),0),0))&gt;=100,100,(Backdoors!AI12+IF(HD26&gt;=0.45,VLOOKUP(Calculator!E23,tbSkills!DH3:DI6,2,FALSE)+IF(AND(Calculator!B8=TRUE,Backdoors!BI33=TRUE),VLOOKUP(Calculator!E23,tbSkills!DH3:DJ6,3,FALSE),0),0)))/100)),1))*IF(VLOOKUP(A26,tbMoveset!A2:K112,11,FALSE)=TRUE,Backdoors!AC5,1))*HE26,0),"")</f>
        <v>0</v>
      </c>
      <c r="HI26" s="49">
        <f>VLOOKUP(A26,tbMoveset!A2:G112,7,FALSE)*IFERROR(IF(Backdoors!AI12&gt;=0,1+(IF(Calculator!E40&gt;0,VLOOKUP(Calculator!E40,tbSkills!AI3:AJ5,2,FALSE),Backdoors!AL4)*(IF((Backdoors!AI12+IF(HD26&gt;=0.45,VLOOKUP(Calculator!E23,tbSkills!DH3:DI6,2,FALSE)+IF(AND(Calculator!B8=TRUE,Backdoors!BI33=TRUE),VLOOKUP(Calculator!E23,tbSkills!DH3:DJ6,3,FALSE),0),0))&gt;=100,100,(Backdoors!AI12+IF(HD26&gt;=0.45,VLOOKUP(Calculator!E23,tbSkills!DH3:DI6,2,FALSE)+IF(AND(Calculator!B8=TRUE,Backdoors!BI33=TRUE),VLOOKUP(Calculator!E23,tbSkills!DH3:DJ6,3,FALSE),0),0)))/100)),1),1)</f>
        <v>1</v>
      </c>
      <c r="HJ26" s="87">
        <f t="shared" si="23"/>
        <v>0</v>
      </c>
      <c r="HK26" s="86" t="str">
        <f>IFERROR(IF(VLOOKUP(A26,tbMoveset!A2:B112,2,FALSE)="Sever",Backdoors!AY34/100,IF(VLOOKUP(A26,tbMoveset!A2:B112,2,FALSE)="Blunt",Backdoors!AZ34/100,Backdoors!BA34/100)),"")</f>
        <v/>
      </c>
      <c r="HL26" s="49">
        <f>IFERROR(IF(VLOOKUP(tbMoveset!A26,tbMoveset!A2:H112,8,FALSE)="Other",IF(VLOOKUP(tbMoveset!A26,tbMoveset!A2:I112,9,FALSE)="Fire",Backdoors!BB34,IF(VLOOKUP(tbMoveset!A26,tbMoveset!A2:I112,9,FALSE)="Water",Backdoors!BC34,IF(VLOOKUP(tbMoveset!A26,tbMoveset!A2:I112,9,FALSE)="Thunder",Backdoors!BD34,IF(VLOOKUP(tbMoveset!A26,tbMoveset!A2:I112,9,FALSE)="Ice",Backdoors!BE34,IF(VLOOKUP(tbMoveset!A26,tbMoveset!A2:I112,9,FALSE)="Dragon",Backdoors!BF34,Backdoors!BG34)))))/100,Backdoors!BG34/100),"")</f>
        <v>0</v>
      </c>
      <c r="HM26" s="49">
        <f>IFERROR(IF(VLOOKUP(A26,tbMoveset!A2:J112,10,FALSE)=TRUE,IF((Backdoors!AI12+IF(HK26&gt;=0.45,VLOOKUP(Calculator!E23,tbSkills!DH3:DI6,2,FALSE)+IF(AND(Calculator!B8=TRUE,Backdoors!BI34=TRUE),VLOOKUP(Calculator!E23,tbSkills!DH3:DJ6,3,FALSE),0),0))&gt;=0,1+(Backdoors!AL2*(IF((Backdoors!AI12+IF(HK26&gt;=0.45,VLOOKUP(Calculator!E23,tbSkills!DH3:DI6,2,FALSE)+IF(AND(Calculator!B8=TRUE,Backdoors!BI34=TRUE),VLOOKUP(Calculator!E23,tbSkills!DH3:DJ6,3,FALSE),0),0))&gt;=100,100,(Backdoors!AI12+IF(HK26&gt;=0.45,VLOOKUP(Calculator!E23,tbSkills!DH3:DI6,2,FALSE)+IF(AND(Calculator!B8=TRUE,Backdoors!BI34=TRUE),VLOOKUP(Calculator!E23,tbSkills!DH3:DJ6,3,FALSE),0),0)))/100)),(1-(0.25*((-Backdoors!AI12-IF(HK26&gt;=0.45,VLOOKUP(Calculator!E23,tbSkills!DH3:DI6,2,FALSE)+IF(AND(Calculator!B8=TRUE,Backdoors!BI34=TRUE),VLOOKUP(Calculator!E23,tbSkills!DH3:DJ6,3,FALSE),0),0))/100)))),1),"")</f>
        <v>1</v>
      </c>
      <c r="HN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K26)*HM26)*(VLOOKUP(A26,tbMoveset!A2:C112,3,FALSE)/100)*IF(VLOOKUP(A26,tbMoveset!A2:B112,2,FALSE)="Projectile",Backdoors!N10,Backdoors!N9),0),"")</f>
        <v/>
      </c>
      <c r="HO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K26&gt;=0.45,VLOOKUP(Calculator!E23,tbSkills!DH3:DI6,2,FALSE)+IF(AND(Calculator!B8=TRUE,Backdoors!BI34=TRUE),VLOOKUP(Calculator!E23,tbSkills!DH3:DJ6,3,FALSE),0),0))&gt;=100,100,(Backdoors!AI12+IF(HK26&gt;=0.45,VLOOKUP(Calculator!E23,tbSkills!DH3:DI6,2,FALSE)+IF(AND(Calculator!B8=TRUE,Backdoors!BI34=TRUE),VLOOKUP(Calculator!E23,tbSkills!DH3:DJ6,3,FALSE),0),0)))/100)),1))*IF(VLOOKUP(A26,tbMoveset!A2:K112,11,FALSE)=TRUE,Backdoors!AC5,1))*HL26,0),"")</f>
        <v>0</v>
      </c>
      <c r="HP26" s="49">
        <f>VLOOKUP(A26,tbMoveset!A2:G112,7,FALSE)*IFERROR(IF(Backdoors!AI12&gt;=0,1+(IF(Calculator!E40&gt;0,VLOOKUP(Calculator!E40,tbSkills!AI3:AJ5,2,FALSE),Backdoors!AL4)*(IF((Backdoors!AI12+IF(HK26&gt;=0.45,VLOOKUP(Calculator!E23,tbSkills!DH3:DI6,2,FALSE)+IF(AND(Calculator!B8=TRUE,Backdoors!BI34=TRUE),VLOOKUP(Calculator!E23,tbSkills!DH3:DJ6,3,FALSE),0),0))&gt;=100,100,(Backdoors!AI12+IF(HK26&gt;=0.45,VLOOKUP(Calculator!E23,tbSkills!DH3:DI6,2,FALSE)+IF(AND(Calculator!B8=TRUE,Backdoors!BI34=TRUE),VLOOKUP(Calculator!E23,tbSkills!DH3:DJ6,3,FALSE),0),0)))/100)),1),1)</f>
        <v>1</v>
      </c>
      <c r="HQ26" s="87">
        <f t="shared" si="24"/>
        <v>0</v>
      </c>
      <c r="HR26" s="86" t="str">
        <f>IFERROR(IF(VLOOKUP(A26,tbMoveset!A2:B112,2,FALSE)="Sever",Backdoors!AY35/100,IF(VLOOKUP(A26,tbMoveset!A2:B112,2,FALSE)="Blunt",Backdoors!AZ35/100,Backdoors!BA35/100)),"")</f>
        <v/>
      </c>
      <c r="HS26" s="49">
        <f>IFERROR(IF(VLOOKUP(tbMoveset!A26,tbMoveset!A2:H112,8,FALSE)="Other",IF(VLOOKUP(tbMoveset!A26,tbMoveset!A2:I112,9,FALSE)="Fire",Backdoors!BB35,IF(VLOOKUP(tbMoveset!A26,tbMoveset!A2:I112,9,FALSE)="Water",Backdoors!BC35,IF(VLOOKUP(tbMoveset!A26,tbMoveset!A2:I112,9,FALSE)="Thunder",Backdoors!BD35,IF(VLOOKUP(tbMoveset!A26,tbMoveset!A2:I112,9,FALSE)="Ice",Backdoors!BE35,IF(VLOOKUP(tbMoveset!A26,tbMoveset!A2:I112,9,FALSE)="Dragon",Backdoors!BF35,Backdoors!BG35)))))/100,Backdoors!BG35/100),"")</f>
        <v>0</v>
      </c>
      <c r="HT26" s="49">
        <f>IFERROR(IF(VLOOKUP(A26,tbMoveset!A2:J112,10,FALSE)=TRUE,IF((Backdoors!AI12+IF(HR26&gt;=0.45,VLOOKUP(Calculator!E23,tbSkills!DH3:DI6,2,FALSE)+IF(AND(Calculator!B8=TRUE,Backdoors!BI35=TRUE),VLOOKUP(Calculator!E23,tbSkills!DH3:DJ6,3,FALSE),0),0))&gt;=0,1+(Backdoors!AL2*(IF((Backdoors!AI12+IF(HR26&gt;=0.45,VLOOKUP(Calculator!E23,tbSkills!DH3:DI6,2,FALSE)+IF(AND(Calculator!B8=TRUE,Backdoors!BI35=TRUE),VLOOKUP(Calculator!E23,tbSkills!DH3:DJ6,3,FALSE),0),0))&gt;=100,100,(Backdoors!AI12+IF(HR26&gt;=0.45,VLOOKUP(Calculator!E23,tbSkills!DH3:DI6,2,FALSE)+IF(AND(Calculator!B8=TRUE,Backdoors!BI35=TRUE),VLOOKUP(Calculator!E23,tbSkills!DH3:DJ6,3,FALSE),0),0)))/100)),(1-(0.25*((-Backdoors!AI12-IF(HR26&gt;=0.45,VLOOKUP(Calculator!E23,tbSkills!DH3:DI6,2,FALSE)+IF(AND(Calculator!B8=TRUE,Backdoors!BI35=TRUE),VLOOKUP(Calculator!E23,tbSkills!DH3:DJ6,3,FALSE),0),0))/100)))),1),"")</f>
        <v>1</v>
      </c>
      <c r="HU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R26)*HT26)*(VLOOKUP(A26,tbMoveset!A2:C112,3,FALSE)/100)*IF(VLOOKUP(A26,tbMoveset!A2:B112,2,FALSE)="Projectile",Backdoors!N10,Backdoors!N9),0),"")</f>
        <v/>
      </c>
      <c r="HV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R26&gt;=0.45,VLOOKUP(Calculator!E23,tbSkills!DH3:DI6,2,FALSE)+IF(AND(Calculator!B8=TRUE,Backdoors!BI35=TRUE),VLOOKUP(Calculator!E23,tbSkills!DH3:DJ6,3,FALSE),0),0))&gt;=100,100,(Backdoors!AI12+IF(HR26&gt;=0.45,VLOOKUP(Calculator!E23,tbSkills!DH3:DI6,2,FALSE)+IF(AND(Calculator!B8=TRUE,Backdoors!BI35=TRUE),VLOOKUP(Calculator!E23,tbSkills!DH3:DJ6,3,FALSE),0),0)))/100)),1))*IF(VLOOKUP(A26,tbMoveset!A2:K112,11,FALSE)=TRUE,Backdoors!AC5,1))*HS26,0),"")</f>
        <v>0</v>
      </c>
      <c r="HW26" s="49">
        <f>VLOOKUP(A26,tbMoveset!A2:G112,7,FALSE)*IFERROR(IF(Backdoors!AI12&gt;=0,1+(IF(Calculator!E40&gt;0,VLOOKUP(Calculator!E40,tbSkills!AI3:AJ5,2,FALSE),Backdoors!AL4)*(IF((Backdoors!AI12+IF(HR26&gt;=0.45,VLOOKUP(Calculator!E23,tbSkills!DH3:DI6,2,FALSE)+IF(AND(Calculator!B8=TRUE,Backdoors!BI35=TRUE),VLOOKUP(Calculator!E23,tbSkills!DH3:DJ6,3,FALSE),0),0))&gt;=100,100,(Backdoors!AI12+IF(HR26&gt;=0.45,VLOOKUP(Calculator!E23,tbSkills!DH3:DI6,2,FALSE)+IF(AND(Calculator!B8=TRUE,Backdoors!BI35=TRUE),VLOOKUP(Calculator!E23,tbSkills!DH3:DJ6,3,FALSE),0),0)))/100)),1),1)</f>
        <v>1</v>
      </c>
      <c r="HX26" s="87">
        <f t="shared" si="25"/>
        <v>0</v>
      </c>
      <c r="HY26" s="86" t="str">
        <f>IFERROR(IF(VLOOKUP(A26,tbMoveset!A2:B112,2,FALSE)="Sever",Backdoors!AY36/100,IF(VLOOKUP(A26,tbMoveset!A2:B112,2,FALSE)="Blunt",Backdoors!AZ36/100,Backdoors!BA36/100)),"")</f>
        <v/>
      </c>
      <c r="HZ26" s="49">
        <f>IFERROR(IF(VLOOKUP(tbMoveset!A26,tbMoveset!A2:H112,8,FALSE)="Other",IF(VLOOKUP(tbMoveset!A26,tbMoveset!A2:I112,9,FALSE)="Fire",Backdoors!BB36,IF(VLOOKUP(tbMoveset!A26,tbMoveset!A2:I112,9,FALSE)="Water",Backdoors!BC36,IF(VLOOKUP(tbMoveset!A26,tbMoveset!A2:I112,9,FALSE)="Thunder",Backdoors!BD36,IF(VLOOKUP(tbMoveset!A26,tbMoveset!A2:I112,9,FALSE)="Ice",Backdoors!BE36,IF(VLOOKUP(tbMoveset!A26,tbMoveset!A2:I112,9,FALSE)="Dragon",Backdoors!BF36,Backdoors!BG36)))))/100,Backdoors!BG36/100),"")</f>
        <v>0</v>
      </c>
      <c r="IA26" s="49">
        <f>IFERROR(IF(VLOOKUP(A26,tbMoveset!A2:J112,10,FALSE)=TRUE,IF((Backdoors!AI12+IF(HY26&gt;=0.45,VLOOKUP(Calculator!E23,tbSkills!DH3:DI6,2,FALSE)+IF(AND(Calculator!B8=TRUE,Backdoors!BI36=TRUE),VLOOKUP(Calculator!E23,tbSkills!DH3:DJ6,3,FALSE),0),0))&gt;=0,1+(Backdoors!AL2*(IF((Backdoors!AI12+IF(HY26&gt;=0.45,VLOOKUP(Calculator!E23,tbSkills!DH3:DI6,2,FALSE)+IF(AND(Calculator!B8=TRUE,Backdoors!BI36=TRUE),VLOOKUP(Calculator!E23,tbSkills!DH3:DJ6,3,FALSE),0),0))&gt;=100,100,(Backdoors!AI12+IF(HY26&gt;=0.45,VLOOKUP(Calculator!E23,tbSkills!DH3:DI6,2,FALSE)+IF(AND(Calculator!B8=TRUE,Backdoors!BI36=TRUE),VLOOKUP(Calculator!E23,tbSkills!DH3:DJ6,3,FALSE),0),0)))/100)),(1-(0.25*((-Backdoors!AI12-IF(HY26&gt;=0.45,VLOOKUP(Calculator!E23,tbSkills!DH3:DI6,2,FALSE)+IF(AND(Calculator!B8=TRUE,Backdoors!BI36=TRUE),VLOOKUP(Calculator!E23,tbSkills!DH3:DJ6,3,FALSE),0),0))/100)))),1),"")</f>
        <v>1</v>
      </c>
      <c r="IB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Y26)*IA26)*(VLOOKUP(A26,tbMoveset!A2:C112,3,FALSE)/100)*IF(VLOOKUP(A26,tbMoveset!A2:B112,2,FALSE)="Projectile",Backdoors!N10,Backdoors!N9),0),"")</f>
        <v/>
      </c>
      <c r="IC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Y26&gt;=0.45,VLOOKUP(Calculator!E23,tbSkills!DH3:DI6,2,FALSE)+IF(AND(Calculator!B8=TRUE,Backdoors!BI36=TRUE),VLOOKUP(Calculator!E23,tbSkills!DH3:DJ6,3,FALSE),0),0))&gt;=100,100,(Backdoors!AI12+IF(HY26&gt;=0.45,VLOOKUP(Calculator!E23,tbSkills!DH3:DI6,2,FALSE)+IF(AND(Calculator!B8=TRUE,Backdoors!BI36=TRUE),VLOOKUP(Calculator!E23,tbSkills!DH3:DJ6,3,FALSE),0),0)))/100)),1))*IF(VLOOKUP(A26,tbMoveset!A2:K112,11,FALSE)=TRUE,Backdoors!AC5,1))*HZ26,0),"")</f>
        <v>0</v>
      </c>
      <c r="ID26" s="49">
        <f>VLOOKUP(A26,tbMoveset!A2:G112,7,FALSE)*IFERROR(IF(Backdoors!AI12&gt;=0,1+(IF(Calculator!E40&gt;0,VLOOKUP(Calculator!E40,tbSkills!AI3:AJ5,2,FALSE),Backdoors!AL4)*(IF((Backdoors!AI12+IF(HY26&gt;=0.45,VLOOKUP(Calculator!E23,tbSkills!DH3:DI6,2,FALSE)+IF(AND(Calculator!B8=TRUE,Backdoors!BI36=TRUE),VLOOKUP(Calculator!E23,tbSkills!DH3:DJ6,3,FALSE),0),0))&gt;=100,100,(Backdoors!AI12+IF(HY26&gt;=0.45,VLOOKUP(Calculator!E23,tbSkills!DH3:DI6,2,FALSE)+IF(AND(Calculator!B8=TRUE,Backdoors!BI36=TRUE),VLOOKUP(Calculator!E23,tbSkills!DH3:DJ6,3,FALSE),0),0)))/100)),1),1)</f>
        <v>1</v>
      </c>
      <c r="IE26" s="87">
        <f t="shared" si="26"/>
        <v>0</v>
      </c>
      <c r="IF26" s="86" t="str">
        <f>IFERROR(IF(VLOOKUP(A26,tbMoveset!A2:B112,2,FALSE)="Sever",Backdoors!AY37/100,IF(VLOOKUP(A26,tbMoveset!A2:B112,2,FALSE)="Blunt",Backdoors!AZ37/100,Backdoors!BA37/100)),"")</f>
        <v/>
      </c>
      <c r="IG26" s="49">
        <f>IFERROR(IF(VLOOKUP(tbMoveset!A26,tbMoveset!A2:H112,8,FALSE)="Other",IF(VLOOKUP(tbMoveset!A26,tbMoveset!A2:I112,9,FALSE)="Fire",Backdoors!BB37,IF(VLOOKUP(tbMoveset!A26,tbMoveset!A2:I112,9,FALSE)="Water",Backdoors!BC37,IF(VLOOKUP(tbMoveset!A26,tbMoveset!A2:I112,9,FALSE)="Thunder",Backdoors!BD37,IF(VLOOKUP(tbMoveset!A26,tbMoveset!A2:I112,9,FALSE)="Ice",Backdoors!BE37,IF(VLOOKUP(tbMoveset!A26,tbMoveset!A2:I112,9,FALSE)="Dragon",Backdoors!BF37,Backdoors!BG37)))))/100,Backdoors!BG37/100),"")</f>
        <v>0</v>
      </c>
      <c r="IH26" s="49">
        <f>IFERROR(IF(VLOOKUP(A26,tbMoveset!A2:J112,10,FALSE)=TRUE,IF((Backdoors!AI12+IF(IF26&gt;=0.45,VLOOKUP(Calculator!E23,tbSkills!DH3:DI6,2,FALSE)+IF(AND(Calculator!B8=TRUE,Backdoors!BI37=TRUE),VLOOKUP(Calculator!E23,tbSkills!DH3:DJ6,3,FALSE),0),0))&gt;=0,1+(Backdoors!AL2*(IF((Backdoors!AI12+IF(IF26&gt;=0.45,VLOOKUP(Calculator!E23,tbSkills!DH3:DI6,2,FALSE)+IF(AND(Calculator!B8=TRUE,Backdoors!BI37=TRUE),VLOOKUP(Calculator!E23,tbSkills!DH3:DJ6,3,FALSE),0),0))&gt;=100,100,(Backdoors!AI12+IF(IF26&gt;=0.45,VLOOKUP(Calculator!E23,tbSkills!DH3:DI6,2,FALSE)+IF(AND(Calculator!B8=TRUE,Backdoors!BI37=TRUE),VLOOKUP(Calculator!E23,tbSkills!DH3:DJ6,3,FALSE),0),0)))/100)),(1-(0.25*((-Backdoors!AI12-IF(IF26&gt;=0.45,VLOOKUP(Calculator!E23,tbSkills!DH3:DI6,2,FALSE)+IF(AND(Calculator!B8=TRUE,Backdoors!BI37=TRUE),VLOOKUP(Calculator!E23,tbSkills!DH3:DJ6,3,FALSE),0),0))/100)))),1),"")</f>
        <v>1</v>
      </c>
      <c r="II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F26)*IH26)*(VLOOKUP(A26,tbMoveset!A2:C112,3,FALSE)/100)*IF(VLOOKUP(A26,tbMoveset!A2:B112,2,FALSE)="Projectile",Backdoors!N10,Backdoors!N9),0),"")</f>
        <v/>
      </c>
      <c r="IJ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IF26&gt;=0.45,VLOOKUP(Calculator!E23,tbSkills!DH3:DI6,2,FALSE)+IF(AND(Calculator!B8=TRUE,Backdoors!BI37=TRUE),VLOOKUP(Calculator!E23,tbSkills!DH3:DJ6,3,FALSE),0),0))&gt;=100,100,(Backdoors!AI12+IF(IF26&gt;=0.45,VLOOKUP(Calculator!E23,tbSkills!DH3:DI6,2,FALSE)+IF(AND(Calculator!B8=TRUE,Backdoors!BI37=TRUE),VLOOKUP(Calculator!E23,tbSkills!DH3:DJ6,3,FALSE),0),0)))/100)),1))*IF(VLOOKUP(A26,tbMoveset!A2:K112,11,FALSE)=TRUE,Backdoors!AC5,1))*IG26,0),"")</f>
        <v>0</v>
      </c>
      <c r="IK26" s="49">
        <f>VLOOKUP(A26,tbMoveset!A2:G112,7,FALSE)*IFERROR(IF(Backdoors!AI12&gt;=0,1+(IF(Calculator!E40&gt;0,VLOOKUP(Calculator!E40,tbSkills!AI3:AJ5,2,FALSE),Backdoors!AL4)*(IF((Backdoors!AI12+IF(IF26&gt;=0.45,VLOOKUP(Calculator!E23,tbSkills!DH3:DI6,2,FALSE)+IF(AND(Calculator!B8=TRUE,Backdoors!BI37=TRUE),VLOOKUP(Calculator!E23,tbSkills!DH3:DJ6,3,FALSE),0),0))&gt;=100,100,(Backdoors!AI12+IF(IF26&gt;=0.45,VLOOKUP(Calculator!E23,tbSkills!DH3:DI6,2,FALSE)+IF(AND(Calculator!B8=TRUE,Backdoors!BI37=TRUE),VLOOKUP(Calculator!E23,tbSkills!DH3:DJ6,3,FALSE),0),0)))/100)),1),1)</f>
        <v>1</v>
      </c>
      <c r="IL26" s="87">
        <f t="shared" si="27"/>
        <v>0</v>
      </c>
      <c r="IM26" s="86" t="str">
        <f>IFERROR(IF(VLOOKUP(A26,tbMoveset!A2:B112,2,FALSE)="Sever",Backdoors!AY38/100,IF(VLOOKUP(A26,tbMoveset!A2:B112,2,FALSE)="Blunt",Backdoors!AZ38/100,Backdoors!BA38/100)),"")</f>
        <v/>
      </c>
      <c r="IN26" s="49">
        <f>IFERROR(IF(VLOOKUP(tbMoveset!A26,tbMoveset!A2:H112,8,FALSE)="Other",IF(VLOOKUP(tbMoveset!A26,tbMoveset!A2:I112,9,FALSE)="Fire",Backdoors!BB38,IF(VLOOKUP(tbMoveset!A26,tbMoveset!A2:I112,9,FALSE)="Water",Backdoors!BC38,IF(VLOOKUP(tbMoveset!A26,tbMoveset!A2:I112,9,FALSE)="Thunder",Backdoors!BD38,IF(VLOOKUP(tbMoveset!A26,tbMoveset!A2:I112,9,FALSE)="Ice",Backdoors!BE38,IF(VLOOKUP(tbMoveset!A26,tbMoveset!A2:I112,9,FALSE)="Dragon",Backdoors!BF38,Backdoors!BG38)))))/100,Backdoors!BG38/100),"")</f>
        <v>0</v>
      </c>
      <c r="IO26" s="49">
        <f>IFERROR(IF(VLOOKUP(A26,tbMoveset!A2:J112,10,FALSE)=TRUE,IF((Backdoors!AI12+IF(IM26&gt;=0.45,VLOOKUP(Calculator!E23,tbSkills!DH3:DI6,2,FALSE)+IF(AND(Calculator!B8=TRUE,Backdoors!BI38=TRUE),VLOOKUP(Calculator!E23,tbSkills!DH3:DJ6,3,FALSE),0),0))&gt;=0,1+(Backdoors!AL2*(IF((Backdoors!AI12+IF(IM26&gt;=0.45,VLOOKUP(Calculator!E23,tbSkills!DH3:DI6,2,FALSE)+IF(AND(Calculator!B8=TRUE,Backdoors!BI38=TRUE),VLOOKUP(Calculator!E23,tbSkills!DH3:DJ6,3,FALSE),0),0))&gt;=100,100,(Backdoors!AI12+IF(IM26&gt;=0.45,VLOOKUP(Calculator!E23,tbSkills!DH3:DI6,2,FALSE)+IF(AND(Calculator!B8=TRUE,Backdoors!BI38=TRUE),VLOOKUP(Calculator!E23,tbSkills!DH3:DJ6,3,FALSE),0),0)))/100)),(1-(0.25*((-Backdoors!AI12-IF(IM26&gt;=0.45,VLOOKUP(Calculator!E23,tbSkills!DH3:DI6,2,FALSE)+IF(AND(Calculator!B8=TRUE,Backdoors!BI38=TRUE),VLOOKUP(Calculator!E23,tbSkills!DH3:DJ6,3,FALSE),0),0))/100)))),1),"")</f>
        <v>1</v>
      </c>
      <c r="IP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M26)*IO26)*(VLOOKUP(A26,tbMoveset!A2:C112,3,FALSE)/100)*IF(VLOOKUP(A26,tbMoveset!A2:B112,2,FALSE)="Projectile",Backdoors!N10,Backdoors!N9),0),"")</f>
        <v/>
      </c>
      <c r="IQ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IM26&gt;=0.45,VLOOKUP(Calculator!E23,tbSkills!DH3:DI6,2,FALSE)+IF(AND(Calculator!B8=TRUE,Backdoors!BI38=TRUE),VLOOKUP(Calculator!E23,tbSkills!DH3:DJ6,3,FALSE),0),0))&gt;=100,100,(Backdoors!AI12+IF(IM26&gt;=0.45,VLOOKUP(Calculator!E23,tbSkills!DH3:DI6,2,FALSE)+IF(AND(Calculator!B8=TRUE,Backdoors!BI38=TRUE),VLOOKUP(Calculator!E23,tbSkills!DH3:DJ6,3,FALSE),0),0)))/100)),1))*IF(VLOOKUP(A26,tbMoveset!A2:K112,11,FALSE)=TRUE,Backdoors!AC5,1))*IN26,0),"")</f>
        <v>0</v>
      </c>
      <c r="IR26" s="49">
        <f>VLOOKUP(A26,tbMoveset!A2:G112,7,FALSE)*IFERROR(IF(Backdoors!AI12&gt;=0,1+(IF(Calculator!E40&gt;0,VLOOKUP(Calculator!E40,tbSkills!AI3:AJ5,2,FALSE),Backdoors!AL4)*(IF((Backdoors!AI12+IF(IM26&gt;=0.45,VLOOKUP(Calculator!E23,tbSkills!DH3:DI6,2,FALSE)+IF(AND(Calculator!B8=TRUE,Backdoors!BI38=TRUE),VLOOKUP(Calculator!E23,tbSkills!DH3:DJ6,3,FALSE),0),0))&gt;=100,100,(Backdoors!AI12+IF(IM26&gt;=0.45,VLOOKUP(Calculator!E23,tbSkills!DH3:DI6,2,FALSE)+IF(AND(Calculator!B8=TRUE,Backdoors!BI38=TRUE),VLOOKUP(Calculator!E23,tbSkills!DH3:DJ6,3,FALSE),0),0)))/100)),1),1)</f>
        <v>1</v>
      </c>
      <c r="IS26" s="87">
        <f t="shared" si="42"/>
        <v>0</v>
      </c>
      <c r="IT26" s="86" t="str">
        <f>IFERROR(IF(VLOOKUP(A26,tbMoveset!A2:B112,2,FALSE)="Sever",Backdoors!AY39/100,IF(VLOOKUP(A26,tbMoveset!A2:B112,2,FALSE)="Blunt",Backdoors!AZ39/100,Backdoors!BA39/100)),"")</f>
        <v/>
      </c>
      <c r="IU26" s="49">
        <f>IFERROR(IF(VLOOKUP(tbMoveset!A26,tbMoveset!A2:H112,8,FALSE)="Other",IF(VLOOKUP(tbMoveset!A26,tbMoveset!A2:I112,9,FALSE)="Fire",Backdoors!BB39,IF(VLOOKUP(tbMoveset!A26,tbMoveset!A2:I112,9,FALSE)="Water",Backdoors!BC39,IF(VLOOKUP(tbMoveset!A26,tbMoveset!A2:I112,9,FALSE)="Thunder",Backdoors!BD39,IF(VLOOKUP(tbMoveset!A26,tbMoveset!A2:I112,9,FALSE)="Ice",Backdoors!BE39,IF(VLOOKUP(tbMoveset!A26,tbMoveset!A2:I112,9,FALSE)="Dragon",Backdoors!BF39,Backdoors!BG39)))))/100,Backdoors!BG39/100),"")</f>
        <v>0</v>
      </c>
      <c r="IV26" s="49">
        <f>IFERROR(IF(VLOOKUP(A26,tbMoveset!A2:J112,10,FALSE)=TRUE,IF((Backdoors!AI12+IF(IT26&gt;=0.45,VLOOKUP(Calculator!E23,tbSkills!DH3:DI6,2,FALSE)+IF(AND(Calculator!B8=TRUE,Backdoors!BI39=TRUE),VLOOKUP(Calculator!E23,tbSkills!DH3:DJ6,3,FALSE),0),0))&gt;=0,1+(Backdoors!AL2*(IF((Backdoors!AI12+IF(IT26&gt;=0.45,VLOOKUP(Calculator!E23,tbSkills!DH3:DI6,2,FALSE)+IF(AND(Calculator!B8=TRUE,Backdoors!BI39=TRUE),VLOOKUP(Calculator!E23,tbSkills!DH3:DJ6,3,FALSE),0),0))&gt;=100,100,(Backdoors!AI12+IF(IT26&gt;=0.45,VLOOKUP(Calculator!E23,tbSkills!DH3:DI6,2,FALSE)+IF(AND(Calculator!B8=TRUE,Backdoors!BI39=TRUE),VLOOKUP(Calculator!E23,tbSkills!DH3:DJ6,3,FALSE),0),0)))/100)),(1-(0.25*((-Backdoors!AI12-IF(IT26&gt;=0.45,VLOOKUP(Calculator!E23,tbSkills!DH3:DI6,2,FALSE)+IF(AND(Calculator!B8=TRUE,Backdoors!BI39=TRUE),VLOOKUP(Calculator!E23,tbSkills!DH3:DJ6,3,FALSE),0),0))/100)))),1),"")</f>
        <v>1</v>
      </c>
      <c r="IW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T26)*IV26)*(VLOOKUP(A26,tbMoveset!A2:C112,3,FALSE)/100)*IF(VLOOKUP(A26,tbMoveset!A2:B112,2,FALSE)="Projectile",Backdoors!N10,Backdoors!N9),0),"")</f>
        <v/>
      </c>
      <c r="IX26" s="49">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40&gt;0,VLOOKUP(Calculator!E40,tbSkills!AC3:AD5,2,FALSE),Backdoors!AL3)*(IF((Backdoors!AI12+IF(IT26&gt;=0.45,VLOOKUP(Calculator!E23,tbSkills!DH3:DI6,2,FALSE)+IF(AND(Calculator!B8=TRUE,Backdoors!BI39=TRUE),VLOOKUP(Calculator!E23,tbSkills!DH3:DJ6,3,FALSE),0),0))&gt;=100,100,(Backdoors!AI12+IF(IT26&gt;=0.45,VLOOKUP(Calculator!E23,tbSkills!DH3:DI6,2,FALSE)+IF(AND(Calculator!B8=TRUE,Backdoors!BI39=TRUE),VLOOKUP(Calculator!E23,tbSkills!DH3:DJ6,3,FALSE),0),0)))/100)),1))*IF(VLOOKUP(A26,tbMoveset!A2:K112,11,FALSE)=TRUE,Backdoors!AC5,1))*IU26,0),"")</f>
        <v>0</v>
      </c>
      <c r="IY26" s="49">
        <f>VLOOKUP(A26,tbMoveset!A2:G112,7,FALSE)*IFERROR(IF(Backdoors!AI12&gt;=0,1+(IF(Calculator!E40&gt;0,VLOOKUP(Calculator!E40,tbSkills!AI3:AJ5,2,FALSE),Backdoors!AL4)*(IF((Backdoors!AI12+IF(IT26&gt;=0.45,VLOOKUP(Calculator!E23,tbSkills!DH3:DI6,2,FALSE)+IF(AND(Calculator!B8=TRUE,Backdoors!BI39=TRUE),VLOOKUP(Calculator!E23,tbSkills!DH3:DJ6,3,FALSE),0),0))&gt;=100,100,(Backdoors!AI12+IF(IT26&gt;=0.45,VLOOKUP(Calculator!E23,tbSkills!DH3:DI6,2,FALSE)+IF(AND(Calculator!B8=TRUE,Backdoors!BI39=TRUE),VLOOKUP(Calculator!E23,tbSkills!DH3:DJ6,3,FALSE),0),0)))/100)),1),1)</f>
        <v>1</v>
      </c>
      <c r="IZ26" s="87">
        <f t="shared" si="28"/>
        <v>0</v>
      </c>
      <c r="JA26" s="86" t="str">
        <f>IFERROR(IF(VLOOKUP(A26,tbMoveset!A2:B112,2,FALSE)="Sever",Backdoors!AY40/100,IF(VLOOKUP(A26,tbMoveset!A2:B112,2,FALSE)="Blunt",Backdoors!AZ40/100,Backdoors!BA40/100)),"")</f>
        <v/>
      </c>
      <c r="JB26" s="49">
        <f>IFERROR(IF(VLOOKUP(tbMoveset!A26,tbMoveset!A2:H112,8,FALSE)="Other",IF(VLOOKUP(tbMoveset!A26,tbMoveset!A2:I112,9,FALSE)="Fire",Backdoors!BB40,IF(VLOOKUP(tbMoveset!A26,tbMoveset!A2:I112,9,FALSE)="Water",Backdoors!BC40,IF(VLOOKUP(tbMoveset!A26,tbMoveset!A2:I112,9,FALSE)="Thunder",Backdoors!BD40,IF(VLOOKUP(tbMoveset!A26,tbMoveset!A2:I112,9,FALSE)="Ice",Backdoors!BE40,IF(VLOOKUP(tbMoveset!A26,tbMoveset!A2:I112,9,FALSE)="Dragon",Backdoors!BF40,Backdoors!BG40)))))/100,Backdoors!BG40/100),"")</f>
        <v>0</v>
      </c>
      <c r="JC26" s="49">
        <f>IFERROR(IF(VLOOKUP(A26,tbMoveset!A2:J112,10,FALSE)=TRUE,IF((Backdoors!AI12+IF(JA26&gt;=0.45,VLOOKUP(Calculator!E23,tbSkills!DH3:DI6,2,FALSE)+IF(AND(Calculator!B8=TRUE,Backdoors!BI40=TRUE),VLOOKUP(Calculator!E23,tbSkills!DH3:DJ6,3,FALSE),0),0))&gt;=0,1+(Backdoors!AL2*(IF((Backdoors!AI12+IF(JA26&gt;=0.45,VLOOKUP(Calculator!E23,tbSkills!DH3:DI6,2,FALSE)+IF(AND(Calculator!B8=TRUE,Backdoors!BI40=TRUE),VLOOKUP(Calculator!E23,tbSkills!DH3:DJ6,3,FALSE),0),0))&gt;=100,100,(Backdoors!AI12+IF(JA26&gt;=0.45,VLOOKUP(Calculator!E23,tbSkills!DH3:DI6,2,FALSE)+IF(AND(Calculator!B8=TRUE,Backdoors!BI40=TRUE),VLOOKUP(Calculator!E23,tbSkills!DH3:DJ6,3,FALSE),0),0)))/100)),(1-(0.25*((-Backdoors!AI12-IF(JA26&gt;=0.45,VLOOKUP(Calculator!E23,tbSkills!DH3:DI6,2,FALSE)+IF(AND(Calculator!B8=TRUE,Backdoors!BI40=TRUE),VLOOKUP(Calculator!E23,tbSkills!DH3:DJ6,3,FALSE),0),0))/100)))),1),"")</f>
        <v>1</v>
      </c>
      <c r="JD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A26)*JC26)*(VLOOKUP(A26,tbMoveset!A2:C112,3,FALSE)/100)*IF(VLOOKUP(A26,tbMoveset!A2:B112,2,FALSE)="Projectile",Backdoors!N10,Backdoors!N9),0),"")</f>
        <v/>
      </c>
      <c r="JE26" s="49">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42&gt;0,VLOOKUP(Calculator!E42,tbSkills!AC3:AD5,2,FALSE),Backdoors!AL3)*(IF((Backdoors!AI12+IF(JA26&gt;=0.45,VLOOKUP(Calculator!E23,tbSkills!DH3:DI6,2,FALSE)+IF(AND(Calculator!B8=TRUE,Backdoors!BI40=TRUE),VLOOKUP(Calculator!E23,tbSkills!DH3:DJ6,3,FALSE),0),0))&gt;=100,100,(Backdoors!AI12+IF(JA26&gt;=0.45,VLOOKUP(Calculator!E23,tbSkills!DH3:DI6,2,FALSE)+IF(AND(Calculator!B8=TRUE,Backdoors!BI40=TRUE),VLOOKUP(Calculator!E23,tbSkills!DH3:DJ6,3,FALSE),0),0)))/100)),1))*IF(VLOOKUP(A26,tbMoveset!A2:K112,11,FALSE)=TRUE,Backdoors!AC5,1))*JB26,0),"")</f>
        <v>0</v>
      </c>
      <c r="JF26" s="49">
        <f>VLOOKUP(A26,tbMoveset!A2:G112,7,FALSE)*IFERROR(IF(Backdoors!AI12&gt;=0,1+(IF(Calculator!E40&gt;0,VLOOKUP(Calculator!E40,tbSkills!AI3:AJ5,2,FALSE),Backdoors!AL4)*(IF((Backdoors!AI12+IF(JA26&gt;=0.45,VLOOKUP(Calculator!E23,tbSkills!DH3:DI6,2,FALSE)+IF(AND(Calculator!B8=TRUE,Backdoors!BI40=TRUE),VLOOKUP(Calculator!E23,tbSkills!DH3:DJ6,3,FALSE),0),0))&gt;=100,100,(Backdoors!AI12+IF(JA26&gt;=0.45,VLOOKUP(Calculator!E23,tbSkills!DH3:DI6,2,FALSE)+IF(AND(Calculator!B8=TRUE,Backdoors!BI40=TRUE),VLOOKUP(Calculator!E23,tbSkills!DH3:DJ6,3,FALSE),0),0)))/100)),1),1)</f>
        <v>1</v>
      </c>
      <c r="JG26" s="87">
        <f t="shared" si="29"/>
        <v>0</v>
      </c>
      <c r="JH26" s="86" t="str">
        <f>IFERROR(IF(VLOOKUP(A26,tbMoveset!A2:B112,2,FALSE)="Sever",Backdoors!AY41/100,IF(VLOOKUP(A26,tbMoveset!A2:B112,2,FALSE)="Blunt",Backdoors!AZ41/100,Backdoors!BA41/100)),"")</f>
        <v/>
      </c>
      <c r="JI26" s="49">
        <f>IFERROR(IF(VLOOKUP(tbMoveset!A26,tbMoveset!A2:H112,8,FALSE)="Other",IF(VLOOKUP(tbMoveset!A26,tbMoveset!A2:I112,9,FALSE)="Fire",Backdoors!BB41,IF(VLOOKUP(tbMoveset!A26,tbMoveset!A2:I112,9,FALSE)="Water",Backdoors!BC41,IF(VLOOKUP(tbMoveset!A26,tbMoveset!A2:I112,9,FALSE)="Thunder",Backdoors!BD41,IF(VLOOKUP(tbMoveset!A26,tbMoveset!A2:I112,9,FALSE)="Ice",Backdoors!BE41,IF(VLOOKUP(tbMoveset!A26,tbMoveset!A2:I112,9,FALSE)="Dragon",Backdoors!BF41,Backdoors!BG41)))))/100,Backdoors!BG41/100),"")</f>
        <v>0</v>
      </c>
      <c r="JJ26" s="49">
        <f>IFERROR(IF(VLOOKUP(A26,tbMoveset!A2:J112,10,FALSE)=TRUE,IF((Backdoors!AI12+IF(JH26&gt;=0.45,VLOOKUP(Calculator!E23,tbSkills!DH3:DI6,2,FALSE)+IF(AND(Calculator!B8=TRUE,Backdoors!BI41=TRUE),VLOOKUP(Calculator!E23,tbSkills!DH3:DJ6,3,FALSE),0),0))&gt;=0,1+(Backdoors!AL2*(IF((Backdoors!AI12+IF(JH26&gt;=0.45,VLOOKUP(Calculator!E23,tbSkills!DH3:DI6,2,FALSE)+IF(AND(Calculator!B8=TRUE,Backdoors!BI41=TRUE),VLOOKUP(Calculator!E23,tbSkills!DH3:DJ6,3,FALSE),0),0))&gt;=100,100,(Backdoors!AI12+IF(JH26&gt;=0.45,VLOOKUP(Calculator!E23,tbSkills!DH3:DI6,2,FALSE)+IF(AND(Calculator!B8=TRUE,Backdoors!BI41=TRUE),VLOOKUP(Calculator!E23,tbSkills!DH3:DJ6,3,FALSE),0),0)))/100)),(1-(0.25*((-Backdoors!AI12-IF(JH26&gt;=0.45,VLOOKUP(Calculator!E23,tbSkills!DH3:DI6,2,FALSE)+IF(AND(Calculator!B8=TRUE,Backdoors!BI41=TRUE),VLOOKUP(Calculator!E23,tbSkills!DH3:DJ6,3,FALSE),0),0))/100)))),1),"")</f>
        <v>1</v>
      </c>
      <c r="JK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H26)*JJ26)*(VLOOKUP(A26,tbMoveset!A2:C112,3,FALSE)/100)*IF(VLOOKUP(A26,tbMoveset!A2:B112,2,FALSE)="Projectile",Backdoors!N10,Backdoors!N9),0),"")</f>
        <v/>
      </c>
      <c r="JL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43&gt;0,VLOOKUP(Calculator!E43,tbSkills!AC3:AD5,2,FALSE),Backdoors!AL3)*(IF((Backdoors!AI12+IF(JH26&gt;=0.45,VLOOKUP(Calculator!E23,tbSkills!DH3:DI6,2,FALSE)+IF(AND(Calculator!B8=TRUE,Backdoors!BI41=TRUE),VLOOKUP(Calculator!E23,tbSkills!DH3:DJ6,3,FALSE),0),0))&gt;=100,100,(Backdoors!AI12+IF(JH26&gt;=0.45,VLOOKUP(Calculator!E23,tbSkills!DH3:DI6,2,FALSE)+IF(AND(Calculator!B8=TRUE,Backdoors!BI41=TRUE),VLOOKUP(Calculator!E23,tbSkills!DH3:DJ6,3,FALSE),0),0)))/100)),1))*IF(VLOOKUP(A26,tbMoveset!A2:K112,11,FALSE)=TRUE,Backdoors!AC5,1))*JI26,0),"")</f>
        <v/>
      </c>
      <c r="JM26" s="49">
        <f>VLOOKUP(A26,tbMoveset!A2:G112,7,FALSE)*IFERROR(IF(Backdoors!AI12&gt;=0,1+(IF(Calculator!E40&gt;0,VLOOKUP(Calculator!E40,tbSkills!AI3:AJ5,2,FALSE),Backdoors!AL4)*(IF((Backdoors!AI12+IF(JH26&gt;=0.45,VLOOKUP(Calculator!E23,tbSkills!DH3:DI6,2,FALSE)+IF(AND(Calculator!B8=TRUE,Backdoors!BI41=TRUE),VLOOKUP(Calculator!E23,tbSkills!DH3:DJ6,3,FALSE),0),0))&gt;=100,100,(Backdoors!AI12+IF(JH26&gt;=0.45,VLOOKUP(Calculator!E23,tbSkills!DH3:DI6,2,FALSE)+IF(AND(Calculator!B8=TRUE,Backdoors!BI41=TRUE),VLOOKUP(Calculator!E23,tbSkills!DH3:DJ6,3,FALSE),0),0)))/100)),1),1)</f>
        <v>1</v>
      </c>
      <c r="JN26" s="87">
        <f t="shared" si="30"/>
        <v>0</v>
      </c>
      <c r="JO26" s="86" t="str">
        <f>IFERROR(IF(VLOOKUP(A26,tbMoveset!A2:B112,2,FALSE)="Sever",Backdoors!AY42/100,IF(VLOOKUP(A26,tbMoveset!A2:B112,2,FALSE)="Blunt",Backdoors!AZ42/100,Backdoors!BA42/100)),"")</f>
        <v/>
      </c>
      <c r="JP26" s="49">
        <f>IFERROR(IF(VLOOKUP(tbMoveset!A26,tbMoveset!A2:H112,8,FALSE)="Other",IF(VLOOKUP(tbMoveset!A26,tbMoveset!A2:I112,9,FALSE)="Fire",Backdoors!BB42,IF(VLOOKUP(tbMoveset!A26,tbMoveset!A2:I112,9,FALSE)="Water",Backdoors!BC42,IF(VLOOKUP(tbMoveset!A26,tbMoveset!A2:I112,9,FALSE)="Thunder",Backdoors!BD42,IF(VLOOKUP(tbMoveset!A26,tbMoveset!A2:I112,9,FALSE)="Ice",Backdoors!BE42,IF(VLOOKUP(tbMoveset!A26,tbMoveset!A2:I112,9,FALSE)="Dragon",Backdoors!BF42,Backdoors!BG42)))))/100,Backdoors!BG42/100),"")</f>
        <v>0</v>
      </c>
      <c r="JQ26" s="49">
        <f>IFERROR(IF(VLOOKUP(A26,tbMoveset!A2:J112,10,FALSE)=TRUE,IF((Backdoors!AI12+IF(JO26&gt;=0.45,VLOOKUP(Calculator!E23,tbSkills!DH3:DI6,2,FALSE)+IF(AND(Calculator!B8=TRUE,Backdoors!BI42=TRUE),VLOOKUP(Calculator!E23,tbSkills!DH3:DJ6,3,FALSE),0),0))&gt;=0,1+(Backdoors!AL2*(IF((Backdoors!AI12+IF(JO26&gt;=0.45,VLOOKUP(Calculator!E23,tbSkills!DH3:DI6,2,FALSE)+IF(AND(Calculator!B8=TRUE,Backdoors!BI42=TRUE),VLOOKUP(Calculator!E23,tbSkills!DH3:DJ6,3,FALSE),0),0))&gt;=100,100,(Backdoors!AI12+IF(JO26&gt;=0.45,VLOOKUP(Calculator!E23,tbSkills!DH3:DI6,2,FALSE)+IF(AND(Calculator!B8=TRUE,Backdoors!BI42=TRUE),VLOOKUP(Calculator!E23,tbSkills!DH3:DJ6,3,FALSE),0),0)))/100)),(1-(0.25*((-Backdoors!AI12-IF(JO26&gt;=0.45,VLOOKUP(Calculator!E23,tbSkills!DH3:DI6,2,FALSE)+IF(AND(Calculator!B8=TRUE,Backdoors!BI42=TRUE),VLOOKUP(Calculator!E23,tbSkills!DH3:DJ6,3,FALSE),0),0))/100)))),1),"")</f>
        <v>1</v>
      </c>
      <c r="JR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O26)*JQ26)*(VLOOKUP(A26,tbMoveset!A2:C112,3,FALSE)/100)*IF(VLOOKUP(A26,tbMoveset!A2:B112,2,FALSE)="Projectile",Backdoors!N10,Backdoors!N9),0),"")</f>
        <v/>
      </c>
      <c r="JS26" s="49">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45&gt;0,VLOOKUP(Calculator!E45,tbSkills!AC3:AD5,2,FALSE),Backdoors!AL3)*(IF((Backdoors!AI12+IF(JO26&gt;=0.45,VLOOKUP(Calculator!E23,tbSkills!DH3:DI6,2,FALSE)+IF(AND(Calculator!B8=TRUE,Backdoors!BI42=TRUE),VLOOKUP(Calculator!E23,tbSkills!DH3:DJ6,3,FALSE),0),0))&gt;=100,100,(Backdoors!AI12+IF(JO26&gt;=0.45,VLOOKUP(Calculator!E23,tbSkills!DH3:DI6,2,FALSE)+IF(AND(Calculator!B8=TRUE,Backdoors!BI42=TRUE),VLOOKUP(Calculator!E23,tbSkills!DH3:DJ6,3,FALSE),0),0)))/100)),1))*IF(VLOOKUP(A26,tbMoveset!A2:K112,11,FALSE)=TRUE,Backdoors!AC5,1))*JP26,0),"")</f>
        <v>0</v>
      </c>
      <c r="JT26" s="49">
        <f>VLOOKUP(A26,tbMoveset!A2:G112,7,FALSE)*IFERROR(IF(Backdoors!AI12&gt;=0,1+(IF(Calculator!E40&gt;0,VLOOKUP(Calculator!E40,tbSkills!AI3:AJ5,2,FALSE),Backdoors!AL4)*(IF((Backdoors!AI12+IF(JO26&gt;=0.45,VLOOKUP(Calculator!E23,tbSkills!DH3:DI6,2,FALSE)+IF(AND(Calculator!B8=TRUE,Backdoors!BI42=TRUE),VLOOKUP(Calculator!E23,tbSkills!DH3:DJ6,3,FALSE),0),0))&gt;=100,100,(Backdoors!AI12+IF(JO26&gt;=0.45,VLOOKUP(Calculator!E23,tbSkills!DH3:DI6,2,FALSE)+IF(AND(Calculator!B8=TRUE,Backdoors!BI42=TRUE),VLOOKUP(Calculator!E23,tbSkills!DH3:DJ6,3,FALSE),0),0)))/100)),1),1)</f>
        <v>1</v>
      </c>
      <c r="JU26" s="87">
        <f t="shared" si="31"/>
        <v>0</v>
      </c>
      <c r="JV26" s="86" t="str">
        <f>IFERROR(IF(VLOOKUP(A26,tbMoveset!A2:B112,2,FALSE)="Sever",Backdoors!AY43/100,IF(VLOOKUP(A26,tbMoveset!A2:B112,2,FALSE)="Blunt",Backdoors!AZ43/100,Backdoors!BA43/100)),"")</f>
        <v/>
      </c>
      <c r="JW26" s="49">
        <f>IFERROR(IF(VLOOKUP(tbMoveset!A26,tbMoveset!A2:H112,8,FALSE)="Other",IF(VLOOKUP(tbMoveset!A26,tbMoveset!A2:I112,9,FALSE)="Fire",Backdoors!BB43,IF(VLOOKUP(tbMoveset!A26,tbMoveset!A2:I112,9,FALSE)="Water",Backdoors!BC43,IF(VLOOKUP(tbMoveset!A26,tbMoveset!A2:I112,9,FALSE)="Thunder",Backdoors!BD43,IF(VLOOKUP(tbMoveset!A26,tbMoveset!A2:I112,9,FALSE)="Ice",Backdoors!BE43,IF(VLOOKUP(tbMoveset!A26,tbMoveset!A2:I112,9,FALSE)="Dragon",Backdoors!BF43,Backdoors!BG43)))))/100,Backdoors!BG43/100),"")</f>
        <v>0</v>
      </c>
      <c r="JX26" s="49">
        <f>IFERROR(IF(VLOOKUP(A26,tbMoveset!A2:J112,10,FALSE)=TRUE,IF((Backdoors!AI12+IF(JV26&gt;=0.45,VLOOKUP(Calculator!E23,tbSkills!DH3:DI6,2,FALSE)+IF(AND(Calculator!B8=TRUE,Backdoors!BI43=TRUE),VLOOKUP(Calculator!E23,tbSkills!DH3:DJ6,3,FALSE),0),0))&gt;=0,1+(Backdoors!AL2*(IF((Backdoors!AI12+IF(JV26&gt;=0.45,VLOOKUP(Calculator!E23,tbSkills!DH3:DI6,2,FALSE)+IF(AND(Calculator!B8=TRUE,Backdoors!BI43=TRUE),VLOOKUP(Calculator!E23,tbSkills!DH3:DJ6,3,FALSE),0),0))&gt;=100,100,(Backdoors!AI12+IF(JV26&gt;=0.45,VLOOKUP(Calculator!E23,tbSkills!DH3:DI6,2,FALSE)+IF(AND(Calculator!B8=TRUE,Backdoors!BI43=TRUE),VLOOKUP(Calculator!E23,tbSkills!DH3:DJ6,3,FALSE),0),0)))/100)),(1-(0.25*((-Backdoors!AI12-IF(JV26&gt;=0.45,VLOOKUP(Calculator!E23,tbSkills!DH3:DI6,2,FALSE)+IF(AND(Calculator!B8=TRUE,Backdoors!BI43=TRUE),VLOOKUP(Calculator!E23,tbSkills!DH3:DJ6,3,FALSE),0),0))/100)))),1),"")</f>
        <v>1</v>
      </c>
      <c r="JY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V26)*JX26)*(VLOOKUP(A26,tbMoveset!A2:C112,3,FALSE)/100)*IF(VLOOKUP(A26,tbMoveset!A2:B112,2,FALSE)="Projectile",Backdoors!N10,Backdoors!N9),0),"")</f>
        <v/>
      </c>
      <c r="JZ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46&gt;0,VLOOKUP(Calculator!E46,tbSkills!AC3:AD5,2,FALSE),Backdoors!AL3)*(IF((Backdoors!AI12+IF(JV26&gt;=0.45,VLOOKUP(Calculator!E23,tbSkills!DH3:DI6,2,FALSE)+IF(AND(Calculator!B8=TRUE,Backdoors!BI43=TRUE),VLOOKUP(Calculator!E23,tbSkills!DH3:DJ6,3,FALSE),0),0))&gt;=100,100,(Backdoors!AI12+IF(JV26&gt;=0.45,VLOOKUP(Calculator!E23,tbSkills!DH3:DI6,2,FALSE)+IF(AND(Calculator!B8=TRUE,Backdoors!BI43=TRUE),VLOOKUP(Calculator!E23,tbSkills!DH3:DJ6,3,FALSE),0),0)))/100)),1))*IF(VLOOKUP(A26,tbMoveset!A2:K112,11,FALSE)=TRUE,Backdoors!AC5,1))*JW26,0),"")</f>
        <v/>
      </c>
      <c r="KA26" s="49">
        <f>VLOOKUP(A26,tbMoveset!A2:G112,7,FALSE)*IFERROR(IF(Backdoors!AI12&gt;=0,1+(IF(Calculator!E40&gt;0,VLOOKUP(Calculator!E40,tbSkills!AI3:AJ5,2,FALSE),Backdoors!AL4)*(IF((Backdoors!AI12+IF(JV26&gt;=0.45,VLOOKUP(Calculator!E23,tbSkills!DH3:DI6,2,FALSE)+IF(AND(Calculator!B8=TRUE,Backdoors!BI43=TRUE),VLOOKUP(Calculator!E23,tbSkills!DH3:DJ6,3,FALSE),0),0))&gt;=100,100,(Backdoors!AI12+IF(JV26&gt;=0.45,VLOOKUP(Calculator!E23,tbSkills!DH3:DI6,2,FALSE)+IF(AND(Calculator!B8=TRUE,Backdoors!BI43=TRUE),VLOOKUP(Calculator!E23,tbSkills!DH3:DJ6,3,FALSE),0),0)))/100)),1),1)</f>
        <v>1</v>
      </c>
      <c r="KB26" s="87">
        <f t="shared" si="32"/>
        <v>0</v>
      </c>
      <c r="KC26" s="86" t="str">
        <f>IFERROR(IF(VLOOKUP(A26,tbMoveset!A2:B112,2,FALSE)="Sever",Backdoors!AY44/100,IF(VLOOKUP(A26,tbMoveset!A2:B112,2,FALSE)="Blunt",Backdoors!AZ44/100,Backdoors!BA44/100)),"")</f>
        <v/>
      </c>
      <c r="KD26" s="49">
        <f>IFERROR(IF(VLOOKUP(tbMoveset!A26,tbMoveset!A2:H112,8,FALSE)="Other",IF(VLOOKUP(tbMoveset!A26,tbMoveset!A2:I112,9,FALSE)="Fire",Backdoors!BB44,IF(VLOOKUP(tbMoveset!A26,tbMoveset!A2:I112,9,FALSE)="Water",Backdoors!BC44,IF(VLOOKUP(tbMoveset!A26,tbMoveset!A2:I112,9,FALSE)="Thunder",Backdoors!BD44,IF(VLOOKUP(tbMoveset!A26,tbMoveset!A2:I112,9,FALSE)="Ice",Backdoors!BE44,IF(VLOOKUP(tbMoveset!A26,tbMoveset!A2:I112,9,FALSE)="Dragon",Backdoors!BF44,Backdoors!BG44)))))/100,Backdoors!BG44/100),"")</f>
        <v>0</v>
      </c>
      <c r="KE26" s="49">
        <f>IFERROR(IF(VLOOKUP(A26,tbMoveset!A2:J112,10,FALSE)=TRUE,IF((Backdoors!AI12+IF(KC26&gt;=0.45,VLOOKUP(Calculator!E23,tbSkills!DH3:DI6,2,FALSE)+IF(AND(Calculator!B8=TRUE,Backdoors!BI44=TRUE),VLOOKUP(Calculator!E23,tbSkills!DH3:DJ6,3,FALSE),0),0))&gt;=0,1+(Backdoors!AL2*(IF((Backdoors!AI12+IF(KC26&gt;=0.45,VLOOKUP(Calculator!E23,tbSkills!DH3:DI6,2,FALSE)+IF(AND(Calculator!B8=TRUE,Backdoors!BI44=TRUE),VLOOKUP(Calculator!E23,tbSkills!DH3:DJ6,3,FALSE),0),0))&gt;=100,100,(Backdoors!AI12+IF(KC26&gt;=0.45,VLOOKUP(Calculator!E23,tbSkills!DH3:DI6,2,FALSE)+IF(AND(Calculator!B8=TRUE,Backdoors!BI44=TRUE),VLOOKUP(Calculator!E23,tbSkills!DH3:DJ6,3,FALSE),0),0)))/100)),(1-(0.25*((-Backdoors!AI12-IF(KC26&gt;=0.45,VLOOKUP(Calculator!E23,tbSkills!DH3:DI6,2,FALSE)+IF(AND(Calculator!B8=TRUE,Backdoors!BI44=TRUE),VLOOKUP(Calculator!E23,tbSkills!DH3:DJ6,3,FALSE),0),0))/100)))),1),"")</f>
        <v>1</v>
      </c>
      <c r="KF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KC26)*KE26)*(VLOOKUP(A26,tbMoveset!A2:C112,3,FALSE)/100)*IF(VLOOKUP(A26,tbMoveset!A2:B112,2,FALSE)="Projectile",Backdoors!N10,Backdoors!N9),0),"")</f>
        <v/>
      </c>
      <c r="KG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REF!&gt;0,VLOOKUP(Calculator!#REF!,tbSkills!AC3:AD5,2,FALSE),Backdoors!AL3)*(IF((Backdoors!AI12+IF(KC26&gt;=0.45,VLOOKUP(Calculator!E23,tbSkills!DH3:DI6,2,FALSE)+IF(AND(Calculator!B8=TRUE,Backdoors!BI44=TRUE),VLOOKUP(Calculator!E23,tbSkills!DH3:DJ6,3,FALSE),0),0))&gt;=100,100,(Backdoors!AI12+IF(KC26&gt;=0.45,VLOOKUP(Calculator!E23,tbSkills!DH3:DI6,2,FALSE)+IF(AND(Calculator!B8=TRUE,Backdoors!BI44=TRUE),VLOOKUP(Calculator!E23,tbSkills!DH3:DJ6,3,FALSE),0),0)))/100)),1))*IF(VLOOKUP(A26,tbMoveset!A2:K112,11,FALSE)=TRUE,Backdoors!AC5,1))*KD26,0),"")</f>
        <v/>
      </c>
      <c r="KH26" s="49">
        <f>VLOOKUP(A26,tbMoveset!A2:G112,7,FALSE)*IFERROR(IF(Backdoors!AI12&gt;=0,1+(IF(Calculator!E40&gt;0,VLOOKUP(Calculator!E40,tbSkills!AI3:AJ5,2,FALSE),Backdoors!AL4)*(IF((Backdoors!AI12+IF(KC26&gt;=0.45,VLOOKUP(Calculator!E23,tbSkills!DH3:DI6,2,FALSE)+IF(AND(Calculator!B8=TRUE,Backdoors!BI44=TRUE),VLOOKUP(Calculator!E23,tbSkills!DH3:DJ6,3,FALSE),0),0))&gt;=100,100,(Backdoors!AI12+IF(KC26&gt;=0.45,VLOOKUP(Calculator!E23,tbSkills!DH3:DI6,2,FALSE)+IF(AND(Calculator!B8=TRUE,Backdoors!BI44=TRUE),VLOOKUP(Calculator!E23,tbSkills!DH3:DJ6,3,FALSE),0),0)))/100)),1),1)</f>
        <v>1</v>
      </c>
      <c r="KI26" s="87">
        <f t="shared" si="33"/>
        <v>0</v>
      </c>
      <c r="KJ26" s="86" t="str">
        <f>IFERROR(IF(VLOOKUP(A26,tbMoveset!A2:B112,2,FALSE)="Sever",Backdoors!AY45/100,IF(VLOOKUP(A26,tbMoveset!A2:B112,2,FALSE)="Blunt",Backdoors!AZ45/100,Backdoors!BA45/100)),"")</f>
        <v/>
      </c>
      <c r="KK26" s="49">
        <f>IFERROR(IF(VLOOKUP(tbMoveset!A26,tbMoveset!A2:H112,8,FALSE)="Other",IF(VLOOKUP(tbMoveset!A26,tbMoveset!A2:I112,9,FALSE)="Fire",Backdoors!BB45,IF(VLOOKUP(tbMoveset!A26,tbMoveset!A2:I112,9,FALSE)="Water",Backdoors!BC45,IF(VLOOKUP(tbMoveset!A26,tbMoveset!A2:I112,9,FALSE)="Thunder",Backdoors!BD45,IF(VLOOKUP(tbMoveset!A26,tbMoveset!A2:I112,9,FALSE)="Ice",Backdoors!BE45,IF(VLOOKUP(tbMoveset!A26,tbMoveset!A2:I112,9,FALSE)="Dragon",Backdoors!BF45,Backdoors!BG45)))))/100,Backdoors!BG45/100),"")</f>
        <v>0</v>
      </c>
      <c r="KL26" s="49">
        <f>IFERROR(IF(VLOOKUP(A26,tbMoveset!A2:J112,10,FALSE)=TRUE,IF((Backdoors!AI12+IF(KJ26&gt;=0.45,VLOOKUP(Calculator!E23,tbSkills!DH3:DI6,2,FALSE)+IF(AND(Calculator!B8=TRUE,Backdoors!BI45=TRUE),VLOOKUP(Calculator!E23,tbSkills!DH3:DJ6,3,FALSE),0),0))&gt;=0,1+(Backdoors!AL2*(IF((Backdoors!AI12+IF(KJ26&gt;=0.45,VLOOKUP(Calculator!E23,tbSkills!DH3:DI6,2,FALSE)+IF(AND(Calculator!B8=TRUE,Backdoors!BI45=TRUE),VLOOKUP(Calculator!E23,tbSkills!DH3:DJ6,3,FALSE),0),0))&gt;=100,100,(Backdoors!AI12+IF(KJ26&gt;=0.45,VLOOKUP(Calculator!E23,tbSkills!DH3:DI6,2,FALSE)+IF(AND(Calculator!B8=TRUE,Backdoors!BI45=TRUE),VLOOKUP(Calculator!E23,tbSkills!DH3:DJ6,3,FALSE),0),0)))/100)),(1-(0.25*((-Backdoors!AI12-IF(KJ26&gt;=0.45,VLOOKUP(Calculator!E23,tbSkills!DH3:DI6,2,FALSE)+IF(AND(Calculator!B8=TRUE,Backdoors!BI45=TRUE),VLOOKUP(Calculator!E23,tbSkills!DH3:DJ6,3,FALSE),0),0))/100)))),1),"")</f>
        <v>1</v>
      </c>
      <c r="KM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KJ26)*KL26)*(VLOOKUP(A26,tbMoveset!A2:C112,3,FALSE)/100)*IF(VLOOKUP(A26,tbMoveset!A2:B112,2,FALSE)="Projectile",Backdoors!N10,Backdoors!N9),0),"")</f>
        <v/>
      </c>
      <c r="KN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REF!&gt;0,VLOOKUP(Calculator!#REF!,tbSkills!AC3:AD5,2,FALSE),Backdoors!AL3)*(IF((Backdoors!AI12+IF(KJ26&gt;=0.45,VLOOKUP(Calculator!E23,tbSkills!DH3:DI6,2,FALSE)+IF(AND(Calculator!B8=TRUE,Backdoors!BI45=TRUE),VLOOKUP(Calculator!E23,tbSkills!DH3:DJ6,3,FALSE),0),0))&gt;=100,100,(Backdoors!AI12+IF(KJ26&gt;=0.45,VLOOKUP(Calculator!E23,tbSkills!DH3:DI6,2,FALSE)+IF(AND(Calculator!B8=TRUE,Backdoors!BI45=TRUE),VLOOKUP(Calculator!E23,tbSkills!DH3:DJ6,3,FALSE),0),0)))/100)),1))*IF(VLOOKUP(A26,tbMoveset!A2:K112,11,FALSE)=TRUE,Backdoors!AC5,1))*KK26,0),"")</f>
        <v/>
      </c>
      <c r="KO26" s="49">
        <f>VLOOKUP(A26,tbMoveset!A2:G112,7,FALSE)*IFERROR(IF(Backdoors!AI12&gt;=0,1+(IF(Calculator!E40&gt;0,VLOOKUP(Calculator!E40,tbSkills!AI3:AJ5,2,FALSE),Backdoors!AL4)*(IF((Backdoors!AI12+IF(KJ26&gt;=0.45,VLOOKUP(Calculator!E23,tbSkills!DH3:DI6,2,FALSE)+IF(AND(Calculator!B8=TRUE,Backdoors!BI45=TRUE),VLOOKUP(Calculator!E23,tbSkills!DH3:DJ6,3,FALSE),0),0))&gt;=100,100,(Backdoors!AI12+IF(KJ26&gt;=0.45,VLOOKUP(Calculator!E23,tbSkills!DH3:DI6,2,FALSE)+IF(AND(Calculator!B8=TRUE,Backdoors!BI45=TRUE),VLOOKUP(Calculator!E23,tbSkills!DH3:DJ6,3,FALSE),0),0)))/100)),1),1)</f>
        <v>1</v>
      </c>
      <c r="KP26" s="87">
        <f t="shared" si="34"/>
        <v>0</v>
      </c>
      <c r="KQ26" s="86" t="str">
        <f>IFERROR(IF(VLOOKUP(A26,tbMoveset!A2:B112,2,FALSE)="Sever",Backdoors!AY46/100,IF(VLOOKUP(A26,tbMoveset!A2:B112,2,FALSE)="Blunt",Backdoors!AZ46/100,Backdoors!BA46/100)),"")</f>
        <v/>
      </c>
      <c r="KR26" s="49">
        <f>IFERROR(IF(VLOOKUP(tbMoveset!A26,tbMoveset!A2:H112,8,FALSE)="Other",IF(VLOOKUP(tbMoveset!A26,tbMoveset!A2:I112,9,FALSE)="Fire",Backdoors!BB46,IF(VLOOKUP(tbMoveset!A26,tbMoveset!A2:I112,9,FALSE)="Water",Backdoors!BC46,IF(VLOOKUP(tbMoveset!A26,tbMoveset!A2:I112,9,FALSE)="Thunder",Backdoors!BD46,IF(VLOOKUP(tbMoveset!A26,tbMoveset!A2:I112,9,FALSE)="Ice",Backdoors!BE46,IF(VLOOKUP(tbMoveset!A26,tbMoveset!A2:I112,9,FALSE)="Dragon",Backdoors!BF46,Backdoors!BG46)))))/100,Backdoors!BG46/100),"")</f>
        <v>0</v>
      </c>
      <c r="KS26" s="49">
        <f>IFERROR(IF(VLOOKUP(A26,tbMoveset!A2:J112,10,FALSE)=TRUE,IF((Backdoors!AI12+IF(KQ26&gt;=0.45,VLOOKUP(Calculator!E23,tbSkills!DH3:DI6,2,FALSE)+IF(AND(Calculator!B8=TRUE,Backdoors!BI46=TRUE),VLOOKUP(Calculator!E23,tbSkills!DH3:DJ6,3,FALSE),0),0))&gt;=0,1+(Backdoors!AL2*(IF((Backdoors!AI12+IF(KQ26&gt;=0.45,VLOOKUP(Calculator!E23,tbSkills!DH3:DI6,2,FALSE)+IF(AND(Calculator!B8=TRUE,Backdoors!BI46=TRUE),VLOOKUP(Calculator!E23,tbSkills!DH3:DJ6,3,FALSE),0),0))&gt;=100,100,(Backdoors!AI12+IF(KQ26&gt;=0.45,VLOOKUP(Calculator!E23,tbSkills!DH3:DI6,2,FALSE)+IF(AND(Calculator!B8=TRUE,Backdoors!BI46=TRUE),VLOOKUP(Calculator!E23,tbSkills!DH3:DJ6,3,FALSE),0),0)))/100)),(1-(0.25*((-Backdoors!AI12-IF(KQ26&gt;=0.45,VLOOKUP(Calculator!E23,tbSkills!DH3:DI6,2,FALSE)+IF(AND(Calculator!B8=TRUE,Backdoors!BI46=TRUE),VLOOKUP(Calculator!E23,tbSkills!DH3:DJ6,3,FALSE),0),0))/100)))),1),"")</f>
        <v>1</v>
      </c>
      <c r="KT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KQ26)*KS26)*(VLOOKUP(A26,tbMoveset!A2:C112,3,FALSE)/100)*IF(VLOOKUP(A26,tbMoveset!A2:B112,2,FALSE)="Projectile",Backdoors!N10,Backdoors!N9),0),"")</f>
        <v/>
      </c>
      <c r="KU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REF!&gt;0,VLOOKUP(Calculator!#REF!,tbSkills!AC3:AD5,2,FALSE),Backdoors!AL3)*(IF((Backdoors!AI12+IF(KQ26&gt;=0.45,VLOOKUP(Calculator!E23,tbSkills!DH3:DI6,2,FALSE)+IF(AND(Calculator!B8=TRUE,Backdoors!BI46=TRUE),VLOOKUP(Calculator!E23,tbSkills!DH3:DJ6,3,FALSE),0),0))&gt;=100,100,(Backdoors!AI12+IF(KQ26&gt;=0.45,VLOOKUP(Calculator!E23,tbSkills!DH3:DI6,2,FALSE)+IF(AND(Calculator!B8=TRUE,Backdoors!BI46=TRUE),VLOOKUP(Calculator!E23,tbSkills!DH3:DJ6,3,FALSE),0),0)))/100)),1))*IF(VLOOKUP(A26,tbMoveset!A2:K112,11,FALSE)=TRUE,Backdoors!AC5,1))*KR26,0),"")</f>
        <v/>
      </c>
      <c r="KV26" s="49">
        <f>VLOOKUP(A26,tbMoveset!A2:G112,7,FALSE)*IFERROR(IF(Backdoors!AI12&gt;=0,1+(IF(Calculator!E40&gt;0,VLOOKUP(Calculator!E40,tbSkills!AI3:AJ5,2,FALSE),Backdoors!AL4)*(IF((Backdoors!AI12+IF(KQ26&gt;=0.45,VLOOKUP(Calculator!E23,tbSkills!DH3:DI6,2,FALSE)+IF(AND(Calculator!B8=TRUE,Backdoors!BI46=TRUE),VLOOKUP(Calculator!E23,tbSkills!DH3:DJ6,3,FALSE),0),0))&gt;=100,100,(Backdoors!AI12+IF(KQ26&gt;=0.45,VLOOKUP(Calculator!E23,tbSkills!DH3:DI6,2,FALSE)+IF(AND(Calculator!B8=TRUE,Backdoors!BI46=TRUE),VLOOKUP(Calculator!E23,tbSkills!DH3:DJ6,3,FALSE),0),0)))/100)),1),1)</f>
        <v>1</v>
      </c>
      <c r="KW26" s="87">
        <f t="shared" si="35"/>
        <v>0</v>
      </c>
    </row>
    <row r="27" spans="1:309" x14ac:dyDescent="0.25">
      <c r="A27" s="95" t="str">
        <f>tbMoveset!A27</f>
        <v>Right Double Roundslash (L)</v>
      </c>
      <c r="B27" s="86">
        <f>IFERROR(IF(VLOOKUP(A27,tbMoveset!A2:B112,2,FALSE)="Sever",Backdoors!AY3/100,IF(VLOOKUP(A27,tbMoveset!A2:B112,2,FALSE)="Blunt",Backdoors!AZ3/100,Backdoors!BA3/100)),"")</f>
        <v>0.8</v>
      </c>
      <c r="C27" s="49">
        <f>IFERROR(IF(VLOOKUP(tbMoveset!A27,tbMoveset!A2:H112,8,FALSE)="Other",IF(VLOOKUP(tbMoveset!A27,tbMoveset!A2:I112,9,FALSE)="Fire",Backdoors!BB3,IF(VLOOKUP(tbMoveset!A27,tbMoveset!A2:I112,9,FALSE)="Water",Backdoors!BC3,IF(VLOOKUP(tbMoveset!A27,tbMoveset!A2:I112,9,FALSE)="Thunder",Backdoors!BD3,IF(VLOOKUP(tbMoveset!A27,tbMoveset!A2:I112,9,FALSE)="Ice",Backdoors!BE3,IF(VLOOKUP(tbMoveset!A27,tbMoveset!A2:I112,9,FALSE)="Dragon",Backdoors!BF3,Backdoors!BG3)))))/100,Backdoors!BG3/100),"")</f>
        <v>0</v>
      </c>
      <c r="D27" s="49">
        <f>IFERROR(IF(VLOOKUP(A27,tbMoveset!A2:J112,10,FALSE)=TRUE,IF((Backdoors!AI12+IF(B27&gt;=0.45,VLOOKUP(Calculator!E23,tbSkills!DH3:DI6,2,FALSE)+IF(AND(Calculator!B8=TRUE,Backdoors!BI3=TRUE),VLOOKUP(Calculator!E23,tbSkills!DH3:DJ6,3,FALSE),0),0))&gt;=0,1+(Backdoors!AL2*(IF((Backdoors!AI12+IF(B27&gt;=0.45,VLOOKUP(Calculator!E23,tbSkills!DH3:DI6,2,FALSE)+IF(AND(Calculator!B8=TRUE,Backdoors!BI3=TRUE),VLOOKUP(Calculator!E23,tbSkills!DH3:DJ6,3,FALSE),0),0))&gt;=100,100,(Backdoors!AI12+IF(B27&gt;=0.45,VLOOKUP(Calculator!E23,tbSkills!DH3:DI6,2,FALSE)+IF(AND(Calculator!B8=TRUE,Backdoors!BI3=TRUE),VLOOKUP(Calculator!E23,tbSkills!DH3:DJ6,3,FALSE),0),0)))/100)),(1-(0.25*((-Backdoors!AI12-IF(B27&gt;=0.45,VLOOKUP(Calculator!E23,tbSkills!DH3:DI6,2,FALSE)+IF(AND(Calculator!B8=TRUE,Backdoors!BI3=TRUE),VLOOKUP(Calculator!E23,tbSkills!DH3:DJ6,3,FALSE),0),0))/100)))),1),"")</f>
        <v>1</v>
      </c>
      <c r="E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27)*D27)*(VLOOKUP(A27,tbMoveset!A2:C112,3,FALSE)/100)*IF(VLOOKUP(A27,tbMoveset!A2:B112,2,FALSE)="Projectile",Backdoors!N10,Backdoors!N9),0),"")</f>
        <v>7</v>
      </c>
      <c r="F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27&gt;=0.45,VLOOKUP(Calculator!E23,tbSkills!DH3:DI6,2,FALSE)+IF(AND(Calculator!B8=TRUE,Backdoors!BI3=TRUE),VLOOKUP(Calculator!E23,tbSkills!DH3:DJ6,3,FALSE),0),0))&gt;=100,100,(Backdoors!AI12+IF(B27&gt;=0.45,VLOOKUP(Calculator!E23,tbSkills!DH3:DI6,2,FALSE)+IF(AND(Calculator!B8=TRUE,Backdoors!BI3=TRUE),VLOOKUP(Calculator!E23,tbSkills!DH3:DJ6,3,FALSE),0),0)))/100)),1))*IF(VLOOKUP(A27,tbMoveset!A2:K112,11,FALSE)=TRUE,Backdoors!AC5,1))*C27,0),"")</f>
        <v>0</v>
      </c>
      <c r="G27">
        <f>VLOOKUP(A27,tbMoveset!A2:G112,7,FALSE)*IFERROR(IF(Backdoors!AI12&gt;=0,1+(IF(Calculator!E40&gt;0,VLOOKUP(Calculator!E40,tbSkills!AI3:AJ5,2,FALSE),Backdoors!AL4)*(IF((Backdoors!AI12+IF(B27&gt;=0.45,VLOOKUP(Calculator!E23,tbSkills!DH3:DI6,2,FALSE)+IF(AND(Calculator!B8=TRUE,Backdoors!BI3=TRUE),VLOOKUP(Calculator!E23,tbSkills!DH3:DJ6,3,FALSE),0),0))&gt;=100,100,(Backdoors!AI12+IF(B27&gt;=0.45,VLOOKUP(Calculator!E23,tbSkills!DH3:DI6,2,FALSE)+IF(AND(Calculator!B8=TRUE,Backdoors!BI3=TRUE),VLOOKUP(Calculator!E23,tbSkills!DH3:DJ6,3,FALSE),0),0)))/100)),1),1)</f>
        <v>1</v>
      </c>
      <c r="H27" s="87">
        <f t="shared" si="43"/>
        <v>7</v>
      </c>
      <c r="I27" s="86">
        <f>IFERROR(IF(VLOOKUP(A27,tbMoveset!A2:B112,2,FALSE)="Sever",Backdoors!AY4/100,IF(VLOOKUP(A27,tbMoveset!A2:B112,2,FALSE)="Blunt",Backdoors!AZ4/100,Backdoors!BA4/100)),"")</f>
        <v>0.65</v>
      </c>
      <c r="J27" s="49">
        <f>IFERROR(IF(VLOOKUP(tbMoveset!A27,tbMoveset!A2:H112,8,FALSE)="Other",IF(VLOOKUP(tbMoveset!A27,tbMoveset!A2:I112,9,FALSE)="Fire",Backdoors!BB4,IF(VLOOKUP(tbMoveset!A27,tbMoveset!A2:I112,9,FALSE)="Water",Backdoors!BC4,IF(VLOOKUP(tbMoveset!A27,tbMoveset!A2:I112,9,FALSE)="Thunder",Backdoors!BD4,IF(VLOOKUP(tbMoveset!A27,tbMoveset!A2:I112,9,FALSE)="Ice",Backdoors!BE4,IF(VLOOKUP(tbMoveset!A27,tbMoveset!A2:I112,9,FALSE)="Dragon",Backdoors!BF4,Backdoors!BG4)))))/100,Backdoors!BG4/100),"")</f>
        <v>0</v>
      </c>
      <c r="K27" s="49">
        <f>IFERROR(IF(VLOOKUP(A27,tbMoveset!A2:J112,10,FALSE)=TRUE,IF((Backdoors!AI12+IF(I27&gt;=0.45,VLOOKUP(Calculator!E23,tbSkills!DH3:DI6,2,FALSE)+IF(AND(Calculator!B8=TRUE,Backdoors!BI4=TRUE),VLOOKUP(Calculator!E23,tbSkills!DH3:DJ6,3,FALSE),0),0))&gt;=0,1+(Backdoors!AL2*(IF((Backdoors!AI12+IF(I27&gt;=0.45,VLOOKUP(Calculator!E23,tbSkills!DH3:DI6,2,FALSE)+IF(AND(Calculator!B8=TRUE,Backdoors!BI4=TRUE),VLOOKUP(Calculator!E23,tbSkills!DH3:DJ6,3,FALSE),0),0))&gt;=100,100,(Backdoors!AI12+IF(I27&gt;=0.45,VLOOKUP(Calculator!E23,tbSkills!DH3:DI6,2,FALSE)+IF(AND(Calculator!B8=TRUE,Backdoors!BI4=TRUE),VLOOKUP(Calculator!E23,tbSkills!DH3:DJ6,3,FALSE),0),0)))/100)),(1-(0.25*((-Backdoors!AI12-IF(I27&gt;=0.45,VLOOKUP(Calculator!E23,tbSkills!DH3:DI6,2,FALSE)+IF(AND(Calculator!B8=TRUE,Backdoors!BI4=TRUE),VLOOKUP(Calculator!E23,tbSkills!DH3:DJ6,3,FALSE),0),0))/100)))),1),"")</f>
        <v>1</v>
      </c>
      <c r="L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27)*K27)*(VLOOKUP(A27,tbMoveset!A2:C112,3,FALSE)/100)*IF(VLOOKUP(A27,tbMoveset!A2:B112,2,FALSE)="Projectile",Backdoors!N10,Backdoors!N9),0),"")</f>
        <v>6</v>
      </c>
      <c r="M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I27&gt;=0.45,VLOOKUP(Calculator!E23,tbSkills!DH3:DI6,2,FALSE)+IF(AND(Calculator!B8=TRUE,Backdoors!BI4=TRUE),VLOOKUP(Calculator!E23,tbSkills!DH3:DJ6,3,FALSE),0),0))&gt;=100,100,(Backdoors!AI12+IF(I27&gt;=0.45,VLOOKUP(Calculator!E23,tbSkills!DH3:DI6,2,FALSE)+IF(AND(Calculator!B8=TRUE,Backdoors!BI4=TRUE),VLOOKUP(Calculator!E23,tbSkills!DH3:DJ6,3,FALSE),0),0)))/100)),1))*IF(VLOOKUP(A27,tbMoveset!A2:K112,11,FALSE)=TRUE,Backdoors!AC5,1))*J27,0),"")</f>
        <v>0</v>
      </c>
      <c r="N27" s="49">
        <f>VLOOKUP(A27,tbMoveset!A2:G112,7,FALSE)*IFERROR(IF(Backdoors!AI12&gt;=0,1+(IF(Calculator!E40&gt;0,VLOOKUP(Calculator!E40,tbSkills!AI3:AJ5,2,FALSE),Backdoors!AL4)*(IF((Backdoors!AI12+IF(I27&gt;=0.45,VLOOKUP(Calculator!E23,tbSkills!DH3:DI6,2,FALSE)+IF(AND(Calculator!B8=TRUE,Backdoors!BI4=TRUE),VLOOKUP(Calculator!E23,tbSkills!DH3:DJ6,3,FALSE),0),0))&gt;=100,100,(Backdoors!AI12+IF(I27&gt;=0.45,VLOOKUP(Calculator!E23,tbSkills!DH3:DI6,2,FALSE)+IF(AND(Calculator!B8=TRUE,Backdoors!BI4=TRUE),VLOOKUP(Calculator!E23,tbSkills!DH3:DJ6,3,FALSE),0),0)))/100)),1),1)</f>
        <v>1</v>
      </c>
      <c r="O27" s="87">
        <f t="shared" si="36"/>
        <v>6</v>
      </c>
      <c r="P27" s="86">
        <f>IFERROR(IF(VLOOKUP(A27,tbMoveset!A2:B112,2,FALSE)="Sever",Backdoors!AY5/100,IF(VLOOKUP(A27,tbMoveset!A2:B112,2,FALSE)="Blunt",Backdoors!AZ5/100,Backdoors!BA5/100)),"")</f>
        <v>0.5</v>
      </c>
      <c r="Q27" s="49">
        <f>IFERROR(IF(VLOOKUP(tbMoveset!A27,tbMoveset!A2:H112,8,FALSE)="Other",IF(VLOOKUP(tbMoveset!A27,tbMoveset!A2:I112,9,FALSE)="Fire",Backdoors!BB5,IF(VLOOKUP(tbMoveset!A27,tbMoveset!A2:I112,9,FALSE)="Water",Backdoors!BC5,IF(VLOOKUP(tbMoveset!A27,tbMoveset!A2:I112,9,FALSE)="Thunder",Backdoors!BD5,IF(VLOOKUP(tbMoveset!A27,tbMoveset!A2:I112,9,FALSE)="Ice",Backdoors!BE5,IF(VLOOKUP(tbMoveset!A27,tbMoveset!A2:I112,9,FALSE)="Dragon",Backdoors!BF5,Backdoors!BG5)))))/100,Backdoors!BG5/100),"")</f>
        <v>0</v>
      </c>
      <c r="R27" s="49">
        <f>IFERROR(IF(VLOOKUP(A27,tbMoveset!A2:J112,10,FALSE)=TRUE,IF((Backdoors!AI12+IF(P27&gt;=0.45,VLOOKUP(Calculator!E23,tbSkills!DH3:DI6,2,FALSE)+IF(AND(Calculator!B8=TRUE,Backdoors!BI5=TRUE),VLOOKUP(Calculator!E23,tbSkills!DH3:DJ6,3,FALSE),0),0))&gt;=0,1+(Backdoors!AL2*(IF((Backdoors!AI12+IF(P27&gt;=0.45,VLOOKUP(Calculator!E23,tbSkills!DH3:DI6,2,FALSE)+IF(AND(Calculator!B8=TRUE,Backdoors!BI5=TRUE),VLOOKUP(Calculator!E23,tbSkills!DH3:DJ6,3,FALSE),0),0))&gt;=100,100,(Backdoors!AI12+IF(P27&gt;=0.45,VLOOKUP(Calculator!E23,tbSkills!DH3:DI6,2,FALSE)+IF(AND(Calculator!B8=TRUE,Backdoors!BI5=TRUE),VLOOKUP(Calculator!E23,tbSkills!DH3:DJ6,3,FALSE),0),0)))/100)),(1-(0.25*((-Backdoors!AI12-IF(P27&gt;=0.45,VLOOKUP(Calculator!E23,tbSkills!DH3:DI6,2,FALSE)+IF(AND(Calculator!B8=TRUE,Backdoors!BI5=TRUE),VLOOKUP(Calculator!E23,tbSkills!DH3:DJ6,3,FALSE),0),0))/100)))),1),"")</f>
        <v>1</v>
      </c>
      <c r="S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P27)*R27)*(VLOOKUP(A27,tbMoveset!A2:C112,3,FALSE)/100)*IF(VLOOKUP(A27,tbMoveset!A2:B112,2,FALSE)="Projectile",Backdoors!N10,Backdoors!N9),0),"")</f>
        <v>5</v>
      </c>
      <c r="T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P27&gt;=0.45,VLOOKUP(Calculator!E23,tbSkills!DH3:DI6,2,FALSE)+IF(AND(Calculator!B8=TRUE,Backdoors!BI5=TRUE),VLOOKUP(Calculator!E23,tbSkills!DH3:DJ6,3,FALSE),0),0))&gt;=100,100,(Backdoors!AI12+IF(P27&gt;=0.45,VLOOKUP(Calculator!E23,tbSkills!DH3:DI6,2,FALSE)+IF(AND(Calculator!B8=TRUE,Backdoors!BI5=TRUE),VLOOKUP(Calculator!E23,tbSkills!DH3:DJ6,3,FALSE),0),0)))/100)),1))*IF(VLOOKUP(A27,tbMoveset!A2:K112,11,FALSE)=TRUE,Backdoors!AC5,1))*Q27,0),"")</f>
        <v>0</v>
      </c>
      <c r="U27" s="49">
        <f>VLOOKUP(A27,tbMoveset!A2:G112,7,FALSE)*IFERROR(IF(Backdoors!AI12&gt;=0,1+(IF(Calculator!E40&gt;0,VLOOKUP(Calculator!E40,tbSkills!AI3:AJ5,2,FALSE),Backdoors!AL4)*(IF((Backdoors!AI12+IF(P27&gt;=0.45,VLOOKUP(Calculator!E23,tbSkills!DH3:DI6,2,FALSE)+IF(AND(Calculator!B8=TRUE,Backdoors!BI5=TRUE),VLOOKUP(Calculator!E23,tbSkills!DH3:DJ6,3,FALSE),0),0))&gt;=100,100,(Backdoors!AI12+IF(P27&gt;=0.45,VLOOKUP(Calculator!E23,tbSkills!DH3:DI6,2,FALSE)+IF(AND(Calculator!B8=TRUE,Backdoors!BI5=TRUE),VLOOKUP(Calculator!E23,tbSkills!DH3:DJ6,3,FALSE),0),0)))/100)),1),1)</f>
        <v>1</v>
      </c>
      <c r="V27" s="87">
        <f t="shared" si="37"/>
        <v>5</v>
      </c>
      <c r="W27" s="86">
        <f>IFERROR(IF(VLOOKUP(A27,tbMoveset!A2:B112,2,FALSE)="Sever",Backdoors!AY6/100,IF(VLOOKUP(A27,tbMoveset!A2:B112,2,FALSE)="Blunt",Backdoors!AZ6/100,Backdoors!BA6/100)),"")</f>
        <v>0.45</v>
      </c>
      <c r="X27" s="49">
        <f>IFERROR(IF(VLOOKUP(tbMoveset!A27,tbMoveset!A2:H112,8,FALSE)="Other",IF(VLOOKUP(tbMoveset!A27,tbMoveset!A2:I112,9,FALSE)="Fire",Backdoors!BB6,IF(VLOOKUP(tbMoveset!A27,tbMoveset!A2:I112,9,FALSE)="Water",Backdoors!BC6,IF(VLOOKUP(tbMoveset!A27,tbMoveset!A2:I112,9,FALSE)="Thunder",Backdoors!BD6,IF(VLOOKUP(tbMoveset!A27,tbMoveset!A2:I112,9,FALSE)="Ice",Backdoors!BE6,IF(VLOOKUP(tbMoveset!A27,tbMoveset!A2:I112,9,FALSE)="Dragon",Backdoors!BF6,Backdoors!BG6)))))/100,Backdoors!BG6/100),"")</f>
        <v>0</v>
      </c>
      <c r="Y27" s="49">
        <f>IFERROR(IF(VLOOKUP(A27,tbMoveset!A2:J112,10,FALSE)=TRUE,IF((Backdoors!AI12+IF(W27&gt;=0.45,VLOOKUP(Calculator!E23,tbSkills!DH3:DI6,2,FALSE)+IF(AND(Calculator!B8=TRUE,Backdoors!BI6=TRUE),VLOOKUP(Calculator!E23,tbSkills!DH3:DJ6,3,FALSE),0),0))&gt;=0,1+(Backdoors!AL2*(IF((Backdoors!AI12+IF(W27&gt;=0.45,VLOOKUP(Calculator!E23,tbSkills!DH3:DI6,2,FALSE)+IF(AND(Calculator!B8=TRUE,Backdoors!BI6=TRUE),VLOOKUP(Calculator!E23,tbSkills!DH3:DJ6,3,FALSE),0),0))&gt;=100,100,(Backdoors!AI12+IF(W27&gt;=0.45,VLOOKUP(Calculator!E23,tbSkills!DH3:DI6,2,FALSE)+IF(AND(Calculator!B8=TRUE,Backdoors!BI6=TRUE),VLOOKUP(Calculator!E23,tbSkills!DH3:DJ6,3,FALSE),0),0)))/100)),(1-(0.25*((-Backdoors!AI12-IF(W27&gt;=0.45,VLOOKUP(Calculator!E23,tbSkills!DH3:DI6,2,FALSE)+IF(AND(Calculator!B8=TRUE,Backdoors!BI6=TRUE),VLOOKUP(Calculator!E23,tbSkills!DH3:DJ6,3,FALSE),0),0))/100)))),1),"")</f>
        <v>1</v>
      </c>
      <c r="Z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W27)*Y27)*(VLOOKUP(A27,tbMoveset!A2:C112,3,FALSE)/100)*IF(VLOOKUP(A27,tbMoveset!A2:B112,2,FALSE)="Projectile",Backdoors!N10,Backdoors!N9),0),"")</f>
        <v>4</v>
      </c>
      <c r="AA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W27&gt;=0.45,VLOOKUP(Calculator!E23,tbSkills!DH3:DI6,2,FALSE)+IF(AND(Calculator!B8=TRUE,Backdoors!BI6=TRUE),VLOOKUP(Calculator!E23,tbSkills!DH3:DJ6,3,FALSE),0),0))&gt;=100,100,(Backdoors!AI12+IF(W27&gt;=0.45,VLOOKUP(Calculator!E23,tbSkills!DH3:DI6,2,FALSE)+IF(AND(Calculator!B8=TRUE,Backdoors!BI6=TRUE),VLOOKUP(Calculator!E23,tbSkills!DH3:DJ6,3,FALSE),0),0)))/100)),1))*IF(VLOOKUP(A27,tbMoveset!A2:K112,11,FALSE)=TRUE,Backdoors!AC5,1))*X27,0),"")</f>
        <v>0</v>
      </c>
      <c r="AB27" s="49">
        <f>VLOOKUP(A27,tbMoveset!A2:G112,7,FALSE)*IFERROR(IF(Backdoors!AI12&gt;=0,1+(IF(Calculator!E40&gt;0,VLOOKUP(Calculator!E40,tbSkills!AI3:AJ5,2,FALSE),Backdoors!AL4)*(IF((Backdoors!AI12+IF(W27&gt;=0.45,VLOOKUP(Calculator!E23,tbSkills!DH3:DI6,2,FALSE)+IF(AND(Calculator!B8=TRUE,Backdoors!BI6=TRUE),VLOOKUP(Calculator!E23,tbSkills!DH3:DJ6,3,FALSE),0),0))&gt;=100,100,(Backdoors!AI12+IF(W27&gt;=0.45,VLOOKUP(Calculator!E23,tbSkills!DH3:DI6,2,FALSE)+IF(AND(Calculator!B8=TRUE,Backdoors!BI6=TRUE),VLOOKUP(Calculator!E23,tbSkills!DH3:DJ6,3,FALSE),0),0)))/100)),1),1)</f>
        <v>1</v>
      </c>
      <c r="AC27" s="87">
        <f t="shared" si="0"/>
        <v>4</v>
      </c>
      <c r="AD27" s="86">
        <f>IFERROR(IF(VLOOKUP(A27,tbMoveset!A2:B112,2,FALSE)="Sever",Backdoors!AY7/100,IF(VLOOKUP(A27,tbMoveset!A2:B112,2,FALSE)="Blunt",Backdoors!AZ7/100,Backdoors!BA7/100)),"")</f>
        <v>0.65</v>
      </c>
      <c r="AE27" s="49">
        <f>IFERROR(IF(VLOOKUP(tbMoveset!A27,tbMoveset!A2:H112,8,FALSE)="Other",IF(VLOOKUP(tbMoveset!A27,tbMoveset!A2:I112,9,FALSE)="Fire",Backdoors!BB7,IF(VLOOKUP(tbMoveset!A27,tbMoveset!A2:I112,9,FALSE)="Water",Backdoors!BC7,IF(VLOOKUP(tbMoveset!A27,tbMoveset!A2:I112,9,FALSE)="Thunder",Backdoors!BD7,IF(VLOOKUP(tbMoveset!A27,tbMoveset!A2:I112,9,FALSE)="Ice",Backdoors!BE7,IF(VLOOKUP(tbMoveset!A27,tbMoveset!A2:I112,9,FALSE)="Dragon",Backdoors!BF7,Backdoors!BG7)))))/100,Backdoors!BG7/100),"")</f>
        <v>0</v>
      </c>
      <c r="AF27" s="49">
        <f>IFERROR(IF(VLOOKUP(A27,tbMoveset!A2:J112,10,FALSE)=TRUE,IF((Backdoors!AI12+IF(AD27&gt;=0.45,VLOOKUP(Calculator!E23,tbSkills!DH3:DI6,2,FALSE)+IF(AND(Calculator!B8=TRUE,Backdoors!BI7=TRUE),VLOOKUP(Calculator!E23,tbSkills!DH3:DJ6,3,FALSE),0),0))&gt;=0,1+(Backdoors!AL2*(IF((Backdoors!AI12+IF(AD27&gt;=0.45,VLOOKUP(Calculator!E23,tbSkills!DH3:DI6,2,FALSE)+IF(AND(Calculator!B8=TRUE,Backdoors!BI7=TRUE),VLOOKUP(Calculator!E23,tbSkills!DH3:DJ6,3,FALSE),0),0))&gt;=100,100,(Backdoors!AI12+IF(AD27&gt;=0.45,VLOOKUP(Calculator!E23,tbSkills!DH3:DI6,2,FALSE)+IF(AND(Calculator!B8=TRUE,Backdoors!BI7=TRUE),VLOOKUP(Calculator!E23,tbSkills!DH3:DJ6,3,FALSE),0),0)))/100)),(1-(0.25*((-Backdoors!AI12-IF(AD27&gt;=0.45,VLOOKUP(Calculator!E23,tbSkills!DH3:DI6,2,FALSE)+IF(AND(Calculator!B8=TRUE,Backdoors!BI7=TRUE),VLOOKUP(Calculator!E23,tbSkills!DH3:DJ6,3,FALSE),0),0))/100)))),1),"")</f>
        <v>1</v>
      </c>
      <c r="AG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D27)*AF27)*(VLOOKUP(A27,tbMoveset!A2:C112,3,FALSE)/100)*IF(VLOOKUP(A27,tbMoveset!A2:B112,2,FALSE)="Projectile",Backdoors!N10,Backdoors!N9),0),"")</f>
        <v>6</v>
      </c>
      <c r="AH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D27&gt;=0.45,VLOOKUP(Calculator!E23,tbSkills!DH3:DI6,2,FALSE)+IF(AND(Calculator!B8=TRUE,Backdoors!BI7=TRUE),VLOOKUP(Calculator!E23,tbSkills!DH3:DJ6,3,FALSE),0),0))&gt;=100,100,(Backdoors!AI12+IF(AD27&gt;=0.45,VLOOKUP(Calculator!E23,tbSkills!DH3:DI6,2,FALSE)+IF(AND(Calculator!B8=TRUE,Backdoors!BI7=TRUE),VLOOKUP(Calculator!E23,tbSkills!DH3:DJ6,3,FALSE),0),0)))/100)),1))*IF(VLOOKUP(A27,tbMoveset!A2:K112,11,FALSE)=TRUE,Backdoors!AC5,1))*AE27,0),"")</f>
        <v>0</v>
      </c>
      <c r="AI27" s="49">
        <f>VLOOKUP(A27,tbMoveset!A2:G112,7,FALSE)*IFERROR(IF(Backdoors!AI12&gt;=0,1+(IF(Calculator!E40&gt;0,VLOOKUP(Calculator!E40,tbSkills!AI3:AJ5,2,FALSE),Backdoors!AL4)*(IF((Backdoors!AI12+IF(AD27&gt;=0.45,VLOOKUP(Calculator!E23,tbSkills!DH3:DI6,2,FALSE)+IF(AND(Calculator!B8=TRUE,Backdoors!BI7=TRUE),VLOOKUP(Calculator!E23,tbSkills!DH3:DJ6,3,FALSE),0),0))&gt;=100,100,(Backdoors!AI12+IF(AD27&gt;=0.45,VLOOKUP(Calculator!E23,tbSkills!DH3:DI6,2,FALSE)+IF(AND(Calculator!B8=TRUE,Backdoors!BI7=TRUE),VLOOKUP(Calculator!E23,tbSkills!DH3:DJ6,3,FALSE),0),0)))/100)),1),1)</f>
        <v>1</v>
      </c>
      <c r="AJ27" s="87">
        <f t="shared" si="1"/>
        <v>6</v>
      </c>
      <c r="AK27" s="91">
        <f>IFERROR(IF(VLOOKUP(A27,tbMoveset!A2:B112,2,FALSE)="Sever",Backdoors!AY8/100,IF(VLOOKUP(A27,tbMoveset!A2:B112,2,FALSE)="Blunt",Backdoors!AZ8/100,Backdoors!BA8/100)),"")</f>
        <v>0.45</v>
      </c>
      <c r="AL27" s="49">
        <f>IFERROR(IF(VLOOKUP(tbMoveset!A27,tbMoveset!A2:H112,8,FALSE)="Other",IF(VLOOKUP(tbMoveset!A27,tbMoveset!A2:I112,9,FALSE)="Fire",Backdoors!BB8,IF(VLOOKUP(tbMoveset!A27,tbMoveset!A2:I112,9,FALSE)="Water",Backdoors!BC8,IF(VLOOKUP(tbMoveset!A27,tbMoveset!A2:I112,9,FALSE)="Thunder",Backdoors!BD8,IF(VLOOKUP(tbMoveset!A27,tbMoveset!A2:I112,9,FALSE)="Ice",Backdoors!BE8,IF(VLOOKUP(tbMoveset!A27,tbMoveset!A2:I112,9,FALSE)="Dragon",Backdoors!BF8,Backdoors!BG8)))))/100,Backdoors!BG8/100),"")</f>
        <v>0</v>
      </c>
      <c r="AM27" s="49">
        <f>IFERROR(IF(VLOOKUP(A27,tbMoveset!A2:J112,10,FALSE)=TRUE,IF((Backdoors!AI12+IF(AK27&gt;=0.45,VLOOKUP(Calculator!E23,tbSkills!DH3:DI6,2,FALSE)+IF(AND(Calculator!B8=TRUE,Backdoors!BI8=TRUE),VLOOKUP(Calculator!E23,tbSkills!DH3:DJ6,3,FALSE),0),0))&gt;=0,1+(Backdoors!AL2*(IF((Backdoors!AI12+IF(AK27&gt;=0.45,VLOOKUP(Calculator!E23,tbSkills!DH3:DI6,2,FALSE)+IF(AND(Calculator!B8=TRUE,Backdoors!BI8=TRUE),VLOOKUP(Calculator!E23,tbSkills!DH3:DJ6,3,FALSE),0),0))&gt;=100,100,(Backdoors!AI12+IF(AK27&gt;=0.45,VLOOKUP(Calculator!E23,tbSkills!DH3:DI6,2,FALSE)+IF(AND(Calculator!B8=TRUE,Backdoors!BI8=TRUE),VLOOKUP(Calculator!E23,tbSkills!DH3:DJ6,3,FALSE),0),0)))/100)),(1-(0.25*((-Backdoors!AI12-IF(AK27&gt;=0.45,VLOOKUP(Calculator!E23,tbSkills!DH3:DI6,2,FALSE)+IF(AND(Calculator!B8=TRUE,Backdoors!BI8=TRUE),VLOOKUP(Calculator!E23,tbSkills!DH3:DJ6,3,FALSE),0),0))/100)))),1),"")</f>
        <v>1</v>
      </c>
      <c r="AN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K27)*AM27)*(VLOOKUP(A27,tbMoveset!A2:C112,3,FALSE)/100)*IF(VLOOKUP(A27,tbMoveset!A2:B112,2,FALSE)="Projectile",Backdoors!N10,Backdoors!N9),0),"")</f>
        <v>4</v>
      </c>
      <c r="AO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K27&gt;=0.45,VLOOKUP(Calculator!E23,tbSkills!DH3:DI6,2,FALSE)+IF(AND(Calculator!B8=TRUE,Backdoors!BI8=TRUE),VLOOKUP(Calculator!E23,tbSkills!DH3:DJ6,3,FALSE),0),0))&gt;=100,100,(Backdoors!AI12+IF(AK27&gt;=0.45,VLOOKUP(Calculator!E23,tbSkills!DH3:DI6,2,FALSE)+IF(AND(Calculator!B8=TRUE,Backdoors!BI8=TRUE),VLOOKUP(Calculator!E23,tbSkills!DH3:DJ6,3,FALSE),0),0)))/100)),1))*IF(VLOOKUP(A27,tbMoveset!A2:K112,11,FALSE)=TRUE,Backdoors!AC5,1))*AL27,0),"")</f>
        <v>0</v>
      </c>
      <c r="AP27" s="49">
        <f>VLOOKUP(A27,tbMoveset!A2:G112,7,FALSE)*IFERROR(IF(Backdoors!AI12&gt;=0,1+(IF(Calculator!E40&gt;0,VLOOKUP(Calculator!E40,tbSkills!AI3:AJ5,2,FALSE),Backdoors!AL4)*(IF((Backdoors!AI12+IF(AK27&gt;=0.45,VLOOKUP(Calculator!E23,tbSkills!DH3:DI6,2,FALSE)+IF(AND(Calculator!B8=TRUE,Backdoors!BI8=TRUE),VLOOKUP(Calculator!E23,tbSkills!DH3:DJ6,3,FALSE),0),0))&gt;=100,100,(Backdoors!AI12+IF(AK27&gt;=0.45,VLOOKUP(Calculator!E23,tbSkills!DH3:DI6,2,FALSE)+IF(AND(Calculator!B8=TRUE,Backdoors!BI8=TRUE),VLOOKUP(Calculator!E23,tbSkills!DH3:DJ6,3,FALSE),0),0)))/100)),1),1)</f>
        <v>1</v>
      </c>
      <c r="AQ27" s="87">
        <f t="shared" si="2"/>
        <v>4</v>
      </c>
      <c r="AR27" s="86">
        <f>IFERROR(IF(VLOOKUP(A27,tbMoveset!A2:B112,2,FALSE)="Sever",Backdoors!AY9/100,IF(VLOOKUP(A27,tbMoveset!A2:B112,2,FALSE)="Blunt",Backdoors!AZ9/100,Backdoors!BA9/100)),"")</f>
        <v>0.45</v>
      </c>
      <c r="AS27" s="49">
        <f>IFERROR(IF(VLOOKUP(tbMoveset!A27,tbMoveset!A2:H112,8,FALSE)="Other",IF(VLOOKUP(tbMoveset!A27,tbMoveset!A2:I112,9,FALSE)="Fire",Backdoors!BB9,IF(VLOOKUP(tbMoveset!A27,tbMoveset!A2:I112,9,FALSE)="Water",Backdoors!BC9,IF(VLOOKUP(tbMoveset!A27,tbMoveset!A2:I112,9,FALSE)="Thunder",Backdoors!BD9,IF(VLOOKUP(tbMoveset!A27,tbMoveset!A2:I112,9,FALSE)="Ice",Backdoors!BE9,IF(VLOOKUP(tbMoveset!A27,tbMoveset!A2:I112,9,FALSE)="Dragon",Backdoors!BF9,Backdoors!BG9)))))/100,Backdoors!BG9/100),"")</f>
        <v>0</v>
      </c>
      <c r="AT27" s="49">
        <f>IFERROR(IF(VLOOKUP(A27,tbMoveset!A2:J112,10,FALSE)=TRUE,IF((Backdoors!AI12+IF(AR27&gt;=0.45,VLOOKUP(Calculator!E23,tbSkills!DH3:DI6,2,FALSE)+IF(AND(Calculator!B8=TRUE,Backdoors!BI9=TRUE),VLOOKUP(Calculator!E23,tbSkills!DH3:DJ6,3,FALSE),0),0))&gt;=0,1+(Backdoors!AL2*(IF((Backdoors!AI12+IF(AR27&gt;=0.45,VLOOKUP(Calculator!E23,tbSkills!DH3:DI6,2,FALSE)+IF(AND(Calculator!B8=TRUE,Backdoors!BI9=TRUE),VLOOKUP(Calculator!E23,tbSkills!DH3:DJ6,3,FALSE),0),0))&gt;=100,100,(Backdoors!AI12+IF(AR27&gt;=0.45,VLOOKUP(Calculator!E23,tbSkills!DH3:DI6,2,FALSE)+IF(AND(Calculator!B8=TRUE,Backdoors!BI9=TRUE),VLOOKUP(Calculator!E23,tbSkills!DH3:DJ6,3,FALSE),0),0)))/100)),(1-(0.25*((-Backdoors!AI12-IF(AR27&gt;=0.45,VLOOKUP(Calculator!E23,tbSkills!DH3:DI6,2,FALSE)+IF(AND(Calculator!B8=TRUE,Backdoors!BI9=TRUE),VLOOKUP(Calculator!E23,tbSkills!DH3:DJ6,3,FALSE),0),0))/100)))),1),"")</f>
        <v>1</v>
      </c>
      <c r="AU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R27)*AT27)*(VLOOKUP(A27,tbMoveset!A2:C112,3,FALSE)/100)*IF(VLOOKUP(A27,tbMoveset!A2:B112,2,FALSE)="Projectile",Backdoors!N10,Backdoors!N9),0),"")</f>
        <v>4</v>
      </c>
      <c r="AV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R27&gt;=0.45,VLOOKUP(Calculator!E23,tbSkills!DH3:DI6,2,FALSE)+IF(AND(Calculator!B8=TRUE,Backdoors!BI9=TRUE),VLOOKUP(Calculator!E23,tbSkills!DH3:DJ6,3,FALSE),0),0))&gt;=100,100,(Backdoors!AI12+IF(AR27&gt;=0.45,VLOOKUP(Calculator!E23,tbSkills!DH3:DI6,2,FALSE)+IF(AND(Calculator!B8=TRUE,Backdoors!BI9=TRUE),VLOOKUP(Calculator!E23,tbSkills!DH3:DJ6,3,FALSE),0),0)))/100)),1))*IF(VLOOKUP(A27,tbMoveset!A2:K112,11,FALSE)=TRUE,Backdoors!AC5,1))*AS27,0),"")</f>
        <v>0</v>
      </c>
      <c r="AW27" s="49">
        <f>VLOOKUP(A27,tbMoveset!A2:G112,7,FALSE)*IFERROR(IF(Backdoors!AI12&gt;=0,1+(IF(Calculator!E40&gt;0,VLOOKUP(Calculator!E40,tbSkills!AI3:AJ5,2,FALSE),Backdoors!AL4)*(IF((Backdoors!AI12+IF(AR27&gt;=0.45,VLOOKUP(Calculator!E23,tbSkills!DH3:DI6,2,FALSE)+IF(AND(Calculator!B8=TRUE,Backdoors!BI9=TRUE),VLOOKUP(Calculator!E23,tbSkills!DH3:DJ6,3,FALSE),0),0))&gt;=100,100,(Backdoors!AI12+IF(AR27&gt;=0.45,VLOOKUP(Calculator!E23,tbSkills!DH3:DI6,2,FALSE)+IF(AND(Calculator!B8=TRUE,Backdoors!BI9=TRUE),VLOOKUP(Calculator!E23,tbSkills!DH3:DJ6,3,FALSE),0),0)))/100)),1),1)</f>
        <v>1</v>
      </c>
      <c r="AX27" s="87">
        <f t="shared" si="38"/>
        <v>4</v>
      </c>
      <c r="AY27" s="86">
        <f>IFERROR(IF(VLOOKUP(A27,tbMoveset!A2:B112,2,FALSE)="Sever",Backdoors!AY10/100,IF(VLOOKUP(A27,tbMoveset!A2:B112,2,FALSE)="Blunt",Backdoors!AZ10/100,Backdoors!BA10/100)),"")</f>
        <v>0.9</v>
      </c>
      <c r="AZ27" s="49">
        <f>IFERROR(IF(VLOOKUP(tbMoveset!A27,tbMoveset!A2:H112,8,FALSE)="Other",IF(VLOOKUP(tbMoveset!A27,tbMoveset!A2:I112,9,FALSE)="Fire",Backdoors!BB10,IF(VLOOKUP(tbMoveset!A27,tbMoveset!A2:I112,9,FALSE)="Water",Backdoors!BC10,IF(VLOOKUP(tbMoveset!A27,tbMoveset!A2:I112,9,FALSE)="Thunder",Backdoors!BD10,IF(VLOOKUP(tbMoveset!A27,tbMoveset!A2:I112,9,FALSE)="Ice",Backdoors!BE10,IF(VLOOKUP(tbMoveset!A27,tbMoveset!A2:I112,9,FALSE)="Dragon",Backdoors!BF10,Backdoors!BG10)))))/100,Backdoors!BG10/100),"")</f>
        <v>0</v>
      </c>
      <c r="BA27" s="49">
        <f>IFERROR(IF(VLOOKUP(A27,tbMoveset!A2:J112,10,FALSE)=TRUE,IF((Backdoors!AI12+IF(AY27&gt;=0.45,VLOOKUP(Calculator!E23,tbSkills!DH3:DI6,2,FALSE)+IF(AND(Calculator!B8=TRUE,Backdoors!BI10=TRUE),VLOOKUP(Calculator!E23,tbSkills!DH3:DJ6,3,FALSE),0),0))&gt;=0,1+(Backdoors!AL2*(IF((Backdoors!AI12+IF(AY27&gt;=0.45,VLOOKUP(Calculator!E23,tbSkills!DH3:DI6,2,FALSE)+IF(AND(Calculator!B8=TRUE,Backdoors!BI10=TRUE),VLOOKUP(Calculator!E23,tbSkills!DH3:DJ6,3,FALSE),0),0))&gt;=100,100,(Backdoors!AI12+IF(AY27&gt;=0.45,VLOOKUP(Calculator!E23,tbSkills!DH3:DI6,2,FALSE)+IF(AND(Calculator!B8=TRUE,Backdoors!BI10=TRUE),VLOOKUP(Calculator!E23,tbSkills!DH3:DJ6,3,FALSE),0),0)))/100)),(1-(0.25*((-Backdoors!AI12-IF(AY27&gt;=0.45,VLOOKUP(Calculator!E23,tbSkills!DH3:DI6,2,FALSE)+IF(AND(Calculator!B8=TRUE,Backdoors!BI10=TRUE),VLOOKUP(Calculator!E23,tbSkills!DH3:DJ6,3,FALSE),0),0))/100)))),1),"")</f>
        <v>1</v>
      </c>
      <c r="BB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Y27)*BA27)*(VLOOKUP(A27,tbMoveset!A2:C112,3,FALSE)/100)*IF(VLOOKUP(A27,tbMoveset!A2:B112,2,FALSE)="Projectile",Backdoors!N10,Backdoors!N9),0),"")</f>
        <v>8</v>
      </c>
      <c r="BC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Y27&gt;=0.45,VLOOKUP(Calculator!E23,tbSkills!DH3:DI6,2,FALSE)+IF(AND(Calculator!B8=TRUE,Backdoors!BI10=TRUE),VLOOKUP(Calculator!E23,tbSkills!DH3:DJ6,3,FALSE),0),0))&gt;=100,100,(Backdoors!AI12+IF(AY27&gt;=0.45,VLOOKUP(Calculator!E23,tbSkills!DH3:DI6,2,FALSE)+IF(AND(Calculator!B8=TRUE,Backdoors!BI10=TRUE),VLOOKUP(Calculator!E23,tbSkills!DH3:DJ6,3,FALSE),0),0)))/100)),1))*IF(VLOOKUP(A27,tbMoveset!A2:K112,11,FALSE)=TRUE,Backdoors!AC5,1))*AZ27,0),"")</f>
        <v>0</v>
      </c>
      <c r="BD27" s="49">
        <f>VLOOKUP(A27,tbMoveset!A2:G112,7,FALSE)*IFERROR(IF(Backdoors!AI12&gt;=0,1+(IF(Calculator!E40&gt;0,VLOOKUP(Calculator!E40,tbSkills!AI3:AJ5,2,FALSE),Backdoors!AL4)*(IF((Backdoors!AI12+IF(AY27&gt;=0.45,VLOOKUP(Calculator!E23,tbSkills!DH3:DI6,2,FALSE)+IF(AND(Calculator!B8=TRUE,Backdoors!BI10=TRUE),VLOOKUP(Calculator!E23,tbSkills!DH3:DJ6,3,FALSE),0),0))&gt;=100,100,(Backdoors!AI12+IF(AY27&gt;=0.45,VLOOKUP(Calculator!E23,tbSkills!DH3:DI6,2,FALSE)+IF(AND(Calculator!B8=TRUE,Backdoors!BI10=TRUE),VLOOKUP(Calculator!E23,tbSkills!DH3:DJ6,3,FALSE),0),0)))/100)),1),1)</f>
        <v>1</v>
      </c>
      <c r="BE27" s="87">
        <f t="shared" si="3"/>
        <v>8</v>
      </c>
      <c r="BF27" s="86" t="str">
        <f>IFERROR(IF(VLOOKUP(A27,tbMoveset!A2:B112,2,FALSE)="Sever",Backdoors!AY11/100,IF(VLOOKUP(A27,tbMoveset!A2:B112,2,FALSE)="Blunt",Backdoors!AZ11/100,Backdoors!BA11/100)),"")</f>
        <v/>
      </c>
      <c r="BG27" s="49">
        <f>IFERROR(IF(VLOOKUP(tbMoveset!A27,tbMoveset!A2:H112,8,FALSE)="Other",IF(VLOOKUP(tbMoveset!A27,tbMoveset!A2:I112,9,FALSE)="Fire",Backdoors!BB11,IF(VLOOKUP(tbMoveset!A27,tbMoveset!A2:I112,9,FALSE)="Water",Backdoors!BC11,IF(VLOOKUP(tbMoveset!A27,tbMoveset!A2:I112,9,FALSE)="Thunder",Backdoors!BD11,IF(VLOOKUP(tbMoveset!A27,tbMoveset!A2:I112,9,FALSE)="Ice",Backdoors!BE11,IF(VLOOKUP(tbMoveset!A27,tbMoveset!A2:I112,9,FALSE)="Dragon",Backdoors!BF11,Backdoors!BG11)))))/100,Backdoors!BG11/100),"")</f>
        <v>0</v>
      </c>
      <c r="BH27" s="49">
        <f>IFERROR(IF(VLOOKUP(A27,tbMoveset!A2:J112,10,FALSE)=TRUE,IF((Backdoors!AI12+IF(BF27&gt;=0.45,VLOOKUP(Calculator!E23,tbSkills!DH3:DI6,2,FALSE)+IF(AND(Calculator!B8=TRUE,Backdoors!BI11=TRUE),VLOOKUP(Calculator!E23,tbSkills!DH3:DJ6,3,FALSE),0),0))&gt;=0,1+(Backdoors!AL2*(IF((Backdoors!AI12+IF(BF27&gt;=0.45,VLOOKUP(Calculator!E23,tbSkills!DH3:DI6,2,FALSE)+IF(AND(Calculator!B8=TRUE,Backdoors!BI11=TRUE),VLOOKUP(Calculator!E23,tbSkills!DH3:DJ6,3,FALSE),0),0))&gt;=100,100,(Backdoors!AI12+IF(BF27&gt;=0.45,VLOOKUP(Calculator!E23,tbSkills!DH3:DI6,2,FALSE)+IF(AND(Calculator!B8=TRUE,Backdoors!BI11=TRUE),VLOOKUP(Calculator!E23,tbSkills!DH3:DJ6,3,FALSE),0),0)))/100)),(1-(0.25*((-Backdoors!AI12-IF(BF27&gt;=0.45,VLOOKUP(Calculator!E23,tbSkills!DH3:DI6,2,FALSE)+IF(AND(Calculator!B8=TRUE,Backdoors!BI11=TRUE),VLOOKUP(Calculator!E23,tbSkills!DH3:DJ6,3,FALSE),0),0))/100)))),1),"")</f>
        <v>1</v>
      </c>
      <c r="BI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F27)*BH27)*(VLOOKUP(A27,tbMoveset!A2:C112,3,FALSE)/100)*IF(VLOOKUP(A27,tbMoveset!A2:B112,2,FALSE)="Projectile",Backdoors!N10,Backdoors!N9),0),"")</f>
        <v/>
      </c>
      <c r="BJ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F27&gt;=0.45,VLOOKUP(Calculator!E23,tbSkills!DH3:DI6,2,FALSE)+IF(AND(Calculator!B8=TRUE,Backdoors!BI11=TRUE),VLOOKUP(Calculator!E23,tbSkills!DH3:DJ6,3,FALSE),0),0))&gt;=100,100,(Backdoors!AI12+IF(BF27&gt;=0.45,VLOOKUP(Calculator!E23,tbSkills!DH3:DI6,2,FALSE)+IF(AND(Calculator!B8=TRUE,Backdoors!BI11=TRUE),VLOOKUP(Calculator!E23,tbSkills!DH3:DJ6,3,FALSE),0),0)))/100)),1))*IF(VLOOKUP(A27,tbMoveset!A2:K112,11,FALSE)=TRUE,Backdoors!AC5,1))*BG27,0),"")</f>
        <v>0</v>
      </c>
      <c r="BK27" s="49">
        <f>VLOOKUP(A27,tbMoveset!A2:G112,7,FALSE)*IFERROR(IF(Backdoors!AI12&gt;=0,1+(IF(Calculator!E40&gt;0,VLOOKUP(Calculator!E40,tbSkills!AI3:AJ5,2,FALSE),Backdoors!AL4)*(IF((Backdoors!AI12+IF(BF27&gt;=0.45,VLOOKUP(Calculator!E23,tbSkills!DH3:DI6,2,FALSE)+IF(AND(Calculator!B8=TRUE,Backdoors!BI11=TRUE),VLOOKUP(Calculator!E23,tbSkills!DH3:DJ6,3,FALSE),0),0))&gt;=100,100,(Backdoors!AI12+IF(BF27&gt;=0.45,VLOOKUP(Calculator!E23,tbSkills!DH3:DI6,2,FALSE)+IF(AND(Calculator!B8=TRUE,Backdoors!BI11=TRUE),VLOOKUP(Calculator!E23,tbSkills!DH3:DJ6,3,FALSE),0),0)))/100)),1),1)</f>
        <v>1</v>
      </c>
      <c r="BL27" s="87">
        <f t="shared" si="4"/>
        <v>0</v>
      </c>
      <c r="BM27" s="86" t="str">
        <f>IFERROR(IF(VLOOKUP(A27,tbMoveset!A2:B112,2,FALSE)="Sever",Backdoors!AY12/100,IF(VLOOKUP(A27,tbMoveset!A2:B112,2,FALSE)="Blunt",Backdoors!AZ12/100,Backdoors!BA12/100)),"")</f>
        <v/>
      </c>
      <c r="BN27" s="49">
        <f>IFERROR(IF(VLOOKUP(tbMoveset!A27,tbMoveset!A2:H112,8,FALSE)="Other",IF(VLOOKUP(tbMoveset!A27,tbMoveset!A2:I112,9,FALSE)="Fire",Backdoors!BB12,IF(VLOOKUP(tbMoveset!A27,tbMoveset!A2:I112,9,FALSE)="Water",Backdoors!BC12,IF(VLOOKUP(tbMoveset!A27,tbMoveset!A2:I112,9,FALSE)="Thunder",Backdoors!BD12,IF(VLOOKUP(tbMoveset!A27,tbMoveset!A2:I112,9,FALSE)="Ice",Backdoors!BE12,IF(VLOOKUP(tbMoveset!A27,tbMoveset!A2:I112,9,FALSE)="Dragon",Backdoors!BF12,Backdoors!BG12)))))/100,Backdoors!BG12/100),"")</f>
        <v>0</v>
      </c>
      <c r="BO27" s="49">
        <f>IFERROR(IF(VLOOKUP(A27,tbMoveset!A2:J112,10,FALSE)=TRUE,IF((Backdoors!AI12+IF(BM27&gt;=0.45,VLOOKUP(Calculator!E23,tbSkills!DH3:DI6,2,FALSE)+IF(AND(Calculator!B8=TRUE,Backdoors!BI12=TRUE),VLOOKUP(Calculator!E23,tbSkills!DH3:DJ6,3,FALSE),0),0))&gt;=0,1+(Backdoors!AL2*(IF((Backdoors!AI12+IF(BM27&gt;=0.45,VLOOKUP(Calculator!E23,tbSkills!DH3:DI6,2,FALSE)+IF(AND(Calculator!B8=TRUE,Backdoors!BI12=TRUE),VLOOKUP(Calculator!E23,tbSkills!DH3:DJ6,3,FALSE),0),0))&gt;=100,100,(Backdoors!AI12+IF(BM27&gt;=0.45,VLOOKUP(Calculator!E23,tbSkills!DH3:DI6,2,FALSE)+IF(AND(Calculator!B8=TRUE,Backdoors!BI12=TRUE),VLOOKUP(Calculator!E23,tbSkills!DH3:DJ6,3,FALSE),0),0)))/100)),(1-(0.25*((-Backdoors!AI12-IF(BM27&gt;=0.45,VLOOKUP(Calculator!E23,tbSkills!DH3:DI6,2,FALSE)+IF(AND(Calculator!B8=TRUE,Backdoors!BI12=TRUE),VLOOKUP(Calculator!E23,tbSkills!DH3:DJ6,3,FALSE),0),0))/100)))),1),"")</f>
        <v>1</v>
      </c>
      <c r="BP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M27)*BO27)*(VLOOKUP(A27,tbMoveset!A2:C112,3,FALSE)/100)*IF(VLOOKUP(A27,tbMoveset!A2:B112,2,FALSE)="Projectile",Backdoors!N10,Backdoors!N9),0),"")</f>
        <v/>
      </c>
      <c r="BQ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M27&gt;=0.45,VLOOKUP(Calculator!E23,tbSkills!DH3:DI6,2,FALSE)+IF(AND(Calculator!B8=TRUE,Backdoors!BI12=TRUE),VLOOKUP(Calculator!E23,tbSkills!DH3:DJ6,3,FALSE),0),0))&gt;=100,100,(Backdoors!AI12+IF(BM27&gt;=0.45,VLOOKUP(Calculator!E23,tbSkills!DH3:DI6,2,FALSE)+IF(AND(Calculator!B8=TRUE,Backdoors!BI12=TRUE),VLOOKUP(Calculator!E23,tbSkills!DH3:DJ6,3,FALSE),0),0)))/100)),1))*IF(VLOOKUP(A27,tbMoveset!A2:K112,11,FALSE)=TRUE,Backdoors!AC5,1))*BN27,0),"")</f>
        <v>0</v>
      </c>
      <c r="BR27" s="49">
        <f>VLOOKUP(A27,tbMoveset!A2:G112,7,FALSE)*IFERROR(IF(Backdoors!AI12&gt;=0,1+(IF(Calculator!E40&gt;0,VLOOKUP(Calculator!E40,tbSkills!AI3:AJ5,2,FALSE),Backdoors!AL4)*(IF((Backdoors!AI12+IF(BM27&gt;=0.45,VLOOKUP(Calculator!E23,tbSkills!DH3:DI6,2,FALSE)+IF(AND(Calculator!B8=TRUE,Backdoors!BI12=TRUE),VLOOKUP(Calculator!E23,tbSkills!DH3:DJ6,3,FALSE),0),0))&gt;=100,100,(Backdoors!AI12+IF(BM27&gt;=0.45,VLOOKUP(Calculator!E23,tbSkills!DH3:DI6,2,FALSE)+IF(AND(Calculator!B8=TRUE,Backdoors!BI12=TRUE),VLOOKUP(Calculator!E23,tbSkills!DH3:DJ6,3,FALSE),0),0)))/100)),1),1)</f>
        <v>1</v>
      </c>
      <c r="BS27" s="87">
        <f t="shared" si="39"/>
        <v>0</v>
      </c>
      <c r="BT27" s="86" t="str">
        <f>IFERROR(IF(VLOOKUP(A27,tbMoveset!A2:B112,2,FALSE)="Sever",Backdoors!AY13/100,IF(VLOOKUP(A27,tbMoveset!A2:B112,2,FALSE)="Blunt",Backdoors!AZ13/100,Backdoors!BA13/100)),"")</f>
        <v/>
      </c>
      <c r="BU27" s="49">
        <f>IFERROR(IF(VLOOKUP(tbMoveset!A27,tbMoveset!A2:H112,8,FALSE)="Other",IF(VLOOKUP(tbMoveset!A27,tbMoveset!A2:I112,9,FALSE)="Fire",Backdoors!BB13,IF(VLOOKUP(tbMoveset!A27,tbMoveset!A2:I112,9,FALSE)="Water",Backdoors!BC13,IF(VLOOKUP(tbMoveset!A27,tbMoveset!A2:I112,9,FALSE)="Thunder",Backdoors!BD13,IF(VLOOKUP(tbMoveset!A27,tbMoveset!A2:I112,9,FALSE)="Ice",Backdoors!BE13,IF(VLOOKUP(tbMoveset!A27,tbMoveset!A2:I112,9,FALSE)="Dragon",Backdoors!BF13,Backdoors!BG13)))))/100,Backdoors!BG13/100),"")</f>
        <v>0</v>
      </c>
      <c r="BV27" s="49">
        <f>IFERROR(IF(VLOOKUP(A27,tbMoveset!A2:J112,10,FALSE)=TRUE,IF((Backdoors!AI12+IF(BT27&gt;=0.45,VLOOKUP(Calculator!E23,tbSkills!DH3:DI6,2,FALSE)+IF(AND(Calculator!B8=TRUE,Backdoors!BI13=TRUE),VLOOKUP(Calculator!E23,tbSkills!DH3:DJ6,3,FALSE),0),0))&gt;=0,1+(Backdoors!AL2*(IF((Backdoors!AI12+IF(BT27&gt;=0.45,VLOOKUP(Calculator!E23,tbSkills!DH3:DI6,2,FALSE)+IF(AND(Calculator!B8=TRUE,Backdoors!BI13=TRUE),VLOOKUP(Calculator!E23,tbSkills!DH3:DJ6,3,FALSE),0),0))&gt;=100,100,(Backdoors!AI12+IF(BT27&gt;=0.45,VLOOKUP(Calculator!E23,tbSkills!DH3:DI6,2,FALSE)+IF(AND(Calculator!B8=TRUE,Backdoors!BI13=TRUE),VLOOKUP(Calculator!E23,tbSkills!DH3:DJ6,3,FALSE),0),0)))/100)),(1-(0.25*((-Backdoors!AI12-IF(BT27&gt;=0.45,VLOOKUP(Calculator!E23,tbSkills!DH3:DI6,2,FALSE)+IF(AND(Calculator!B8=TRUE,Backdoors!BI13=TRUE),VLOOKUP(Calculator!E23,tbSkills!DH3:DJ6,3,FALSE),0),0))/100)))),1),"")</f>
        <v>1</v>
      </c>
      <c r="BW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T27)*BV27)*(VLOOKUP(A27,tbMoveset!A2:C112,3,FALSE)/100)*IF(VLOOKUP(A27,tbMoveset!A2:B112,2,FALSE)="Projectile",Backdoors!N10,Backdoors!N9),0),"")</f>
        <v/>
      </c>
      <c r="BX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T27&gt;=0.45,VLOOKUP(Calculator!E23,tbSkills!DH3:DI6,2,FALSE)+IF(AND(Calculator!B8=TRUE,Backdoors!BI13=TRUE),VLOOKUP(Calculator!E23,tbSkills!DH3:DJ6,3,FALSE),0),0))&gt;=100,100,(Backdoors!AI12+IF(BT27&gt;=0.45,VLOOKUP(Calculator!E23,tbSkills!DH3:DI6,2,FALSE)+IF(AND(Calculator!B8=TRUE,Backdoors!BI13=TRUE),VLOOKUP(Calculator!E23,tbSkills!DH3:DJ6,3,FALSE),0),0)))/100)),1))*IF(VLOOKUP(A27,tbMoveset!A2:K112,11,FALSE)=TRUE,Backdoors!AC5,1))*BU27,0),"")</f>
        <v>0</v>
      </c>
      <c r="BY27" s="49">
        <f>VLOOKUP(A27,tbMoveset!A2:G112,7,FALSE)*IFERROR(IF(Backdoors!AI12&gt;=0,1+(IF(Calculator!E40&gt;0,VLOOKUP(Calculator!E40,tbSkills!AI3:AJ5,2,FALSE),Backdoors!AL4)*(IF((Backdoors!AI12+IF(BT27&gt;=0.45,VLOOKUP(Calculator!E23,tbSkills!DH3:DI6,2,FALSE)+IF(AND(Calculator!B8=TRUE,Backdoors!BI13=TRUE),VLOOKUP(Calculator!E23,tbSkills!DH3:DJ6,3,FALSE),0),0))&gt;=100,100,(Backdoors!AI12+IF(BT27&gt;=0.45,VLOOKUP(Calculator!E23,tbSkills!DH3:DI6,2,FALSE)+IF(AND(Calculator!B8=TRUE,Backdoors!BI13=TRUE),VLOOKUP(Calculator!E23,tbSkills!DH3:DJ6,3,FALSE),0),0)))/100)),1),1)</f>
        <v>1</v>
      </c>
      <c r="BZ27" s="87">
        <f t="shared" si="5"/>
        <v>0</v>
      </c>
      <c r="CA27" s="86" t="str">
        <f>IFERROR(IF(VLOOKUP(A27,tbMoveset!A2:B112,2,FALSE)="Sever",Backdoors!AY14/100,IF(VLOOKUP(A27,tbMoveset!A2:B112,2,FALSE)="Blunt",Backdoors!AZ14/100,Backdoors!BA14/100)),"")</f>
        <v/>
      </c>
      <c r="CB27" s="49">
        <f>IFERROR(IF(VLOOKUP(tbMoveset!A27,tbMoveset!A2:H112,8,FALSE)="Other",IF(VLOOKUP(tbMoveset!A27,tbMoveset!A2:I112,9,FALSE)="Fire",Backdoors!BB14,IF(VLOOKUP(tbMoveset!A27,tbMoveset!A2:I112,9,FALSE)="Water",Backdoors!BC14,IF(VLOOKUP(tbMoveset!A27,tbMoveset!A2:I112,9,FALSE)="Thunder",Backdoors!BD14,IF(VLOOKUP(tbMoveset!A27,tbMoveset!A2:I112,9,FALSE)="Ice",Backdoors!BE14,IF(VLOOKUP(tbMoveset!A27,tbMoveset!A2:I112,9,FALSE)="Dragon",Backdoors!BF14,Backdoors!BG14)))))/100,Backdoors!BG14/100),"")</f>
        <v>0</v>
      </c>
      <c r="CC27" s="49">
        <f>IFERROR(IF(VLOOKUP(A27,tbMoveset!A2:J112,10,FALSE)=TRUE,IF((Backdoors!AI12+IF(CA27&gt;=0.45,VLOOKUP(Calculator!E23,tbSkills!DH3:DI6,2,FALSE)+IF(AND(Calculator!B8=TRUE,Backdoors!BI14=TRUE),VLOOKUP(Calculator!E23,tbSkills!DH3:DJ6,3,FALSE),0),0))&gt;=0,1+(Backdoors!AL2*(IF((Backdoors!AI12+IF(CA27&gt;=0.45,VLOOKUP(Calculator!E23,tbSkills!DH3:DI6,2,FALSE)+IF(AND(Calculator!B8=TRUE,Backdoors!BI14=TRUE),VLOOKUP(Calculator!E23,tbSkills!DH3:DJ6,3,FALSE),0),0))&gt;=100,100,(Backdoors!AI12+IF(CA27&gt;=0.45,VLOOKUP(Calculator!E23,tbSkills!DH3:DI6,2,FALSE)+IF(AND(Calculator!B8=TRUE,Backdoors!BI14=TRUE),VLOOKUP(Calculator!E23,tbSkills!DH3:DJ6,3,FALSE),0),0)))/100)),(1-(0.25*((-Backdoors!AI12-IF(CA27&gt;=0.45,VLOOKUP(Calculator!E23,tbSkills!DH3:DI6,2,FALSE)+IF(AND(Calculator!B8=TRUE,Backdoors!BI14=TRUE),VLOOKUP(Calculator!E23,tbSkills!DH3:DJ6,3,FALSE),0),0))/100)))),1),"")</f>
        <v>1</v>
      </c>
      <c r="CD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A27)*CC27)*(VLOOKUP(A27,tbMoveset!A2:C112,3,FALSE)/100)*IF(VLOOKUP(A27,tbMoveset!A2:B112,2,FALSE)="Projectile",Backdoors!N10,Backdoors!N9),0),"")</f>
        <v/>
      </c>
      <c r="CE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A27&gt;=0.45,VLOOKUP(Calculator!E23,tbSkills!DH3:DI6,2,FALSE)+IF(AND(Calculator!B8=TRUE,Backdoors!BI14=TRUE),VLOOKUP(Calculator!E23,tbSkills!DH3:DJ6,3,FALSE),0),0))&gt;=100,100,(Backdoors!AI12+IF(CA27&gt;=0.45,VLOOKUP(Calculator!E23,tbSkills!DH3:DI6,2,FALSE)+IF(AND(Calculator!B8=TRUE,Backdoors!BI14=TRUE),VLOOKUP(Calculator!E23,tbSkills!DH3:DJ6,3,FALSE),0),0)))/100)),1))*IF(VLOOKUP(A27,tbMoveset!A2:K112,11,FALSE)=TRUE,Backdoors!AC5,1))*CB27,0),"")</f>
        <v>0</v>
      </c>
      <c r="CF27" s="49">
        <f>VLOOKUP(A27,tbMoveset!A2:G112,7,FALSE)*IFERROR(IF(Backdoors!AI12&gt;=0,1+(IF(Calculator!E40&gt;0,VLOOKUP(Calculator!E40,tbSkills!AI3:AJ5,2,FALSE),Backdoors!AL4)*(IF((Backdoors!AI12+IF(CA27&gt;=0.45,VLOOKUP(Calculator!E23,tbSkills!DH3:DI6,2,FALSE)+IF(AND(Calculator!B8=TRUE,Backdoors!BI14=TRUE),VLOOKUP(Calculator!E23,tbSkills!DH3:DJ6,3,FALSE),0),0))&gt;=100,100,(Backdoors!AI12+IF(CA27&gt;=0.45,VLOOKUP(Calculator!E23,tbSkills!DH3:DI6,2,FALSE)+IF(AND(Calculator!B8=TRUE,Backdoors!BI14=TRUE),VLOOKUP(Calculator!E23,tbSkills!DH3:DJ6,3,FALSE),0),0)))/100)),1),1)</f>
        <v>1</v>
      </c>
      <c r="CG27" s="87">
        <f t="shared" si="6"/>
        <v>0</v>
      </c>
      <c r="CH27" s="86" t="str">
        <f>IFERROR(IF(VLOOKUP(A27,tbMoveset!A2:B112,2,FALSE)="Sever",Backdoors!AY15/100,IF(VLOOKUP(A27,tbMoveset!A2:B112,2,FALSE)="Blunt",Backdoors!AZ15/100,Backdoors!BA15/100)),"")</f>
        <v/>
      </c>
      <c r="CI27" s="49">
        <f>IFERROR(IF(VLOOKUP(tbMoveset!A27,tbMoveset!A2:H112,8,FALSE)="Other",IF(VLOOKUP(tbMoveset!A27,tbMoveset!A2:I112,9,FALSE)="Fire",Backdoors!BB15,IF(VLOOKUP(tbMoveset!A27,tbMoveset!A2:I112,9,FALSE)="Water",Backdoors!BC15,IF(VLOOKUP(tbMoveset!A27,tbMoveset!A2:I112,9,FALSE)="Thunder",Backdoors!BD15,IF(VLOOKUP(tbMoveset!A27,tbMoveset!A2:I112,9,FALSE)="Ice",Backdoors!BE15,IF(VLOOKUP(tbMoveset!A27,tbMoveset!A2:I112,9,FALSE)="Dragon",Backdoors!BF15,Backdoors!BG15)))))/100,Backdoors!BG15/100),"")</f>
        <v>0</v>
      </c>
      <c r="CJ27" s="49">
        <f>IFERROR(IF(VLOOKUP(A27,tbMoveset!A2:J112,10,FALSE)=TRUE,IF((Backdoors!AI12+IF(CH27&gt;=0.45,VLOOKUP(Calculator!E23,tbSkills!DH3:DI6,2,FALSE)+IF(AND(Calculator!B8=TRUE,Backdoors!BI15=TRUE),VLOOKUP(Calculator!E23,tbSkills!DH3:DJ6,3,FALSE),0),0))&gt;=0,1+(Backdoors!AL2*(IF((Backdoors!AI12+IF(CH27&gt;=0.45,VLOOKUP(Calculator!E23,tbSkills!DH3:DI6,2,FALSE)+IF(AND(Calculator!B8=TRUE,Backdoors!BI15=TRUE),VLOOKUP(Calculator!E23,tbSkills!DH3:DJ6,3,FALSE),0),0))&gt;=100,100,(Backdoors!AI12+IF(CH27&gt;=0.45,VLOOKUP(Calculator!E23,tbSkills!DH3:DI6,2,FALSE)+IF(AND(Calculator!B8=TRUE,Backdoors!BI15=TRUE),VLOOKUP(Calculator!E23,tbSkills!DH3:DJ6,3,FALSE),0),0)))/100)),(1-(0.25*((-Backdoors!AI12-IF(CH27&gt;=0.45,VLOOKUP(Calculator!E23,tbSkills!DH3:DI6,2,FALSE)+IF(AND(Calculator!B8=TRUE,Backdoors!BI15=TRUE),VLOOKUP(Calculator!E23,tbSkills!DH3:DJ6,3,FALSE),0),0))/100)))),1),"")</f>
        <v>1</v>
      </c>
      <c r="CK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H27)*CJ27)*(VLOOKUP(A27,tbMoveset!A2:C112,3,FALSE)/100)*IF(VLOOKUP(A27,tbMoveset!A2:B112,2,FALSE)="Projectile",Backdoors!N10,Backdoors!N9),0),"")</f>
        <v/>
      </c>
      <c r="CL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H27&gt;=0.45,VLOOKUP(Calculator!E23,tbSkills!DH3:DI6,2,FALSE)+IF(AND(Calculator!B8=TRUE,Backdoors!BI15=TRUE),VLOOKUP(Calculator!E23,tbSkills!DH3:DJ6,3,FALSE),0),0))&gt;=100,100,(Backdoors!AI12+IF(CH27&gt;=0.45,VLOOKUP(Calculator!E23,tbSkills!DH3:DI6,2,FALSE)+IF(AND(Calculator!B8=TRUE,Backdoors!BI15=TRUE),VLOOKUP(Calculator!E23,tbSkills!DH3:DJ6,3,FALSE),0),0)))/100)),1))*IF(VLOOKUP(A27,tbMoveset!A2:K112,11,FALSE)=TRUE,Backdoors!AC5,1))*CI27,0),"")</f>
        <v>0</v>
      </c>
      <c r="CM27" s="49">
        <f>VLOOKUP(A27,tbMoveset!A2:G112,7,FALSE)*IFERROR(IF(Backdoors!AI12&gt;=0,1+(IF(Calculator!E40&gt;0,VLOOKUP(Calculator!E40,tbSkills!AI3:AJ5,2,FALSE),Backdoors!AL4)*(IF((Backdoors!AI12+IF(CH27&gt;=0.45,VLOOKUP(Calculator!E23,tbSkills!DH3:DI6,2,FALSE)+IF(AND(Calculator!B8=TRUE,Backdoors!BI15=TRUE),VLOOKUP(Calculator!E23,tbSkills!DH3:DJ6,3,FALSE),0),0))&gt;=100,100,(Backdoors!AI12+IF(CH27&gt;=0.45,VLOOKUP(Calculator!E23,tbSkills!DH3:DI6,2,FALSE)+IF(AND(Calculator!B8=TRUE,Backdoors!BI15=TRUE),VLOOKUP(Calculator!E23,tbSkills!DH3:DJ6,3,FALSE),0),0)))/100)),1),1)</f>
        <v>1</v>
      </c>
      <c r="CN27" s="87">
        <f t="shared" si="7"/>
        <v>0</v>
      </c>
      <c r="CO27" s="86" t="str">
        <f>IFERROR(IF(VLOOKUP(A27,tbMoveset!A2:B112,2,FALSE)="Sever",Backdoors!AY16/100,IF(VLOOKUP(A27,tbMoveset!A2:B112,2,FALSE)="Blunt",Backdoors!AZ16/100,Backdoors!BA16/100)),"")</f>
        <v/>
      </c>
      <c r="CP27" s="49">
        <f>IFERROR(IF(VLOOKUP(tbMoveset!A27,tbMoveset!A2:H112,8,FALSE)="Other",IF(VLOOKUP(tbMoveset!A27,tbMoveset!A2:I112,9,FALSE)="Fire",Backdoors!BB16,IF(VLOOKUP(tbMoveset!A27,tbMoveset!A2:I112,9,FALSE)="Water",Backdoors!BC16,IF(VLOOKUP(tbMoveset!A27,tbMoveset!A2:I112,9,FALSE)="Thunder",Backdoors!BD16,IF(VLOOKUP(tbMoveset!A27,tbMoveset!A2:I112,9,FALSE)="Ice",Backdoors!BE16,IF(VLOOKUP(tbMoveset!A27,tbMoveset!A2:I112,9,FALSE)="Dragon",Backdoors!BF16,Backdoors!BG16)))))/100,Backdoors!BG16/100),"")</f>
        <v>0</v>
      </c>
      <c r="CQ27" s="49">
        <f>IFERROR(IF(VLOOKUP(A27,tbMoveset!A2:J112,10,FALSE)=TRUE,IF((Backdoors!AI12+IF(CO27&gt;=0.45,VLOOKUP(Calculator!E23,tbSkills!DH3:DI6,2,FALSE)+IF(AND(Calculator!B8=TRUE,Backdoors!BI16=TRUE),VLOOKUP(Calculator!E23,tbSkills!DH3:DJ6,3,FALSE),0),0))&gt;=0,1+(Backdoors!AL2*(IF((Backdoors!AI12+IF(CO27&gt;=0.45,VLOOKUP(Calculator!E23,tbSkills!DH3:DI6,2,FALSE)+IF(AND(Calculator!B8=TRUE,Backdoors!BI16=TRUE),VLOOKUP(Calculator!E23,tbSkills!DH3:DJ6,3,FALSE),0),0))&gt;=100,100,(Backdoors!AI12+IF(CO27&gt;=0.45,VLOOKUP(Calculator!E23,tbSkills!DH3:DI6,2,FALSE)+IF(AND(Calculator!B8=TRUE,Backdoors!BI16=TRUE),VLOOKUP(Calculator!E23,tbSkills!DH3:DJ6,3,FALSE),0),0)))/100)),(1-(0.25*((-Backdoors!AI12-IF(CO27&gt;=0.45,VLOOKUP(Calculator!E23,tbSkills!DH3:DI6,2,FALSE)+IF(AND(Calculator!B8=TRUE,Backdoors!BI16=TRUE),VLOOKUP(Calculator!E23,tbSkills!DH3:DJ6,3,FALSE),0),0))/100)))),1),"")</f>
        <v>1</v>
      </c>
      <c r="CR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O27)*CQ27)*(VLOOKUP(A27,tbMoveset!A2:C112,3,FALSE)/100)*IF(VLOOKUP(A27,tbMoveset!A2:B112,2,FALSE)="Projectile",Backdoors!N10,Backdoors!N9),0),"")</f>
        <v/>
      </c>
      <c r="CS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O27&gt;=0.45,VLOOKUP(Calculator!E23,tbSkills!DH3:DI6,2,FALSE)+IF(AND(Calculator!B8=TRUE,Backdoors!BI16=TRUE),VLOOKUP(Calculator!E23,tbSkills!DH3:DJ6,3,FALSE),0),0))&gt;=100,100,(Backdoors!AI12+IF(CO27&gt;=0.45,VLOOKUP(Calculator!E23,tbSkills!DH3:DI6,2,FALSE)+IF(AND(Calculator!B8=TRUE,Backdoors!BI16=TRUE),VLOOKUP(Calculator!E23,tbSkills!DH3:DJ6,3,FALSE),0),0)))/100)),1))*IF(VLOOKUP(A27,tbMoveset!A2:K112,11,FALSE)=TRUE,Backdoors!AC5,1))*CP27,0),"")</f>
        <v>0</v>
      </c>
      <c r="CT27" s="49">
        <f>VLOOKUP(A27,tbMoveset!A2:G112,7,FALSE)*IFERROR(IF(Backdoors!AI12&gt;=0,1+(IF(Calculator!E40&gt;0,VLOOKUP(Calculator!E40,tbSkills!AI3:AJ5,2,FALSE),Backdoors!AL4)*(IF((Backdoors!AI12+IF(CO27&gt;=0.45,VLOOKUP(Calculator!E23,tbSkills!DH3:DI6,2,FALSE)+IF(AND(Calculator!B8=TRUE,Backdoors!BI16=TRUE),VLOOKUP(Calculator!E23,tbSkills!DH3:DJ6,3,FALSE),0),0))&gt;=100,100,(Backdoors!AI12+IF(CO27&gt;=0.45,VLOOKUP(Calculator!E23,tbSkills!DH3:DI6,2,FALSE)+IF(AND(Calculator!B8=TRUE,Backdoors!BI16=TRUE),VLOOKUP(Calculator!E23,tbSkills!DH3:DJ6,3,FALSE),0),0)))/100)),1),1)</f>
        <v>1</v>
      </c>
      <c r="CU27" s="87">
        <f t="shared" si="40"/>
        <v>0</v>
      </c>
      <c r="CV27" s="86" t="str">
        <f>IFERROR(IF(VLOOKUP(A27,tbMoveset!A2:B112,2,FALSE)="Sever",Backdoors!AY17/100,IF(VLOOKUP(A27,tbMoveset!A2:B112,2,FALSE)="Blunt",Backdoors!AZ17/100,Backdoors!BA17/100)),"")</f>
        <v/>
      </c>
      <c r="CW27" s="49">
        <f>IFERROR(IF(VLOOKUP(tbMoveset!A27,tbMoveset!A2:H112,8,FALSE)="Other",IF(VLOOKUP(tbMoveset!A27,tbMoveset!A2:I112,9,FALSE)="Fire",Backdoors!BB17,IF(VLOOKUP(tbMoveset!A27,tbMoveset!A2:I112,9,FALSE)="Water",Backdoors!BC17,IF(VLOOKUP(tbMoveset!A27,tbMoveset!A2:I112,9,FALSE)="Thunder",Backdoors!BD17,IF(VLOOKUP(tbMoveset!A27,tbMoveset!A2:I112,9,FALSE)="Ice",Backdoors!BE17,IF(VLOOKUP(tbMoveset!A27,tbMoveset!A2:I112,9,FALSE)="Dragon",Backdoors!BF17,Backdoors!BG17)))))/100,Backdoors!BG17/100),"")</f>
        <v>0</v>
      </c>
      <c r="CX27" s="49">
        <f>IFERROR(IF(VLOOKUP(A27,tbMoveset!A2:J112,10,FALSE)=TRUE,IF((Backdoors!AI12+IF(CV27&gt;=0.45,VLOOKUP(Calculator!E23,tbSkills!DH3:DI6,2,FALSE)+IF(AND(Calculator!B8=TRUE,Backdoors!BI17=TRUE),VLOOKUP(Calculator!E23,tbSkills!DH3:DJ6,3,FALSE),0),0))&gt;=0,1+(Backdoors!AL2*(IF((Backdoors!AI12+IF(CV27&gt;=0.45,VLOOKUP(Calculator!E23,tbSkills!DH3:DI6,2,FALSE)+IF(AND(Calculator!B8=TRUE,Backdoors!BI17=TRUE),VLOOKUP(Calculator!E23,tbSkills!DH3:DJ6,3,FALSE),0),0))&gt;=100,100,(Backdoors!AI12+IF(CV27&gt;=0.45,VLOOKUP(Calculator!E23,tbSkills!DH3:DI6,2,FALSE)+IF(AND(Calculator!B8=TRUE,Backdoors!BI17=TRUE),VLOOKUP(Calculator!E23,tbSkills!DH3:DJ6,3,FALSE),0),0)))/100)),(1-(0.25*((-Backdoors!AI12-IF(CV27&gt;=0.45,VLOOKUP(Calculator!E23,tbSkills!DH3:DI6,2,FALSE)+IF(AND(Calculator!B8=TRUE,Backdoors!BI17=TRUE),VLOOKUP(Calculator!E23,tbSkills!DH3:DJ6,3,FALSE),0),0))/100)))),1),"")</f>
        <v>1</v>
      </c>
      <c r="CY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V27)*CX27)*(VLOOKUP(A27,tbMoveset!A2:C112,3,FALSE)/100)*IF(VLOOKUP(A27,tbMoveset!A2:B112,2,FALSE)="Projectile",Backdoors!N10,Backdoors!N9),0),"")</f>
        <v/>
      </c>
      <c r="CZ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V27&gt;=0.45,VLOOKUP(Calculator!E23,tbSkills!DH3:DI6,2,FALSE)+IF(AND(Calculator!B8=TRUE,Backdoors!BI17=TRUE),VLOOKUP(Calculator!E23,tbSkills!DH3:DJ6,3,FALSE),0),0))&gt;=100,100,(Backdoors!AI12+IF(CV27&gt;=0.45,VLOOKUP(Calculator!E23,tbSkills!DH3:DI6,2,FALSE)+IF(AND(Calculator!B8=TRUE,Backdoors!BI17=TRUE),VLOOKUP(Calculator!E23,tbSkills!DH3:DJ6,3,FALSE),0),0)))/100)),1))*IF(VLOOKUP(A27,tbMoveset!A2:K112,11,FALSE)=TRUE,Backdoors!AC5,1))*CW27,0),"")</f>
        <v>0</v>
      </c>
      <c r="DA27" s="49">
        <f>VLOOKUP(A27,tbMoveset!A2:G112,7,FALSE)*IFERROR(IF(Backdoors!AI12&gt;=0,1+(IF(Calculator!E40&gt;0,VLOOKUP(Calculator!E40,tbSkills!AI3:AJ5,2,FALSE),Backdoors!AL4)*(IF((Backdoors!AI12+IF(CV27&gt;=0.45,VLOOKUP(Calculator!E23,tbSkills!DH3:DI6,2,FALSE)+IF(AND(Calculator!B8=TRUE,Backdoors!BI17=TRUE),VLOOKUP(Calculator!E23,tbSkills!DH3:DJ6,3,FALSE),0),0))&gt;=100,100,(Backdoors!AI12+IF(CV27&gt;=0.45,VLOOKUP(Calculator!E23,tbSkills!DH3:DI6,2,FALSE)+IF(AND(Calculator!B8=TRUE,Backdoors!BI17=TRUE),VLOOKUP(Calculator!E23,tbSkills!DH3:DJ6,3,FALSE),0),0)))/100)),1),1)</f>
        <v>1</v>
      </c>
      <c r="DB27" s="87">
        <f t="shared" si="8"/>
        <v>0</v>
      </c>
      <c r="DC27" s="86" t="str">
        <f>IFERROR(IF(VLOOKUP(A27,tbMoveset!A2:B112,2,FALSE)="Sever",Backdoors!AY18/100,IF(VLOOKUP(A27,tbMoveset!A2:B112,2,FALSE)="Blunt",Backdoors!AZ18/100,Backdoors!BA18/100)),"")</f>
        <v/>
      </c>
      <c r="DD27" s="49">
        <f>IFERROR(IF(VLOOKUP(tbMoveset!A27,tbMoveset!A2:H112,8,FALSE)="Other",IF(VLOOKUP(tbMoveset!A27,tbMoveset!A2:I112,9,FALSE)="Fire",Backdoors!BB18,IF(VLOOKUP(tbMoveset!A27,tbMoveset!A2:I112,9,FALSE)="Water",Backdoors!BC18,IF(VLOOKUP(tbMoveset!A27,tbMoveset!A2:I112,9,FALSE)="Thunder",Backdoors!BD18,IF(VLOOKUP(tbMoveset!A27,tbMoveset!A2:I112,9,FALSE)="Ice",Backdoors!BE18,IF(VLOOKUP(tbMoveset!A27,tbMoveset!A2:I112,9,FALSE)="Dragon",Backdoors!BF18,Backdoors!BG18)))))/100,Backdoors!BG18/100),"")</f>
        <v>0</v>
      </c>
      <c r="DE27" s="49">
        <f>IFERROR(IF(VLOOKUP(A27,tbMoveset!A2:J112,10,FALSE)=TRUE,IF((Backdoors!AI12+IF(DC27&gt;=0.45,VLOOKUP(Calculator!E23,tbSkills!DH3:DI6,2,FALSE)+IF(AND(Calculator!B8=TRUE,Backdoors!BI18=TRUE),VLOOKUP(Calculator!E23,tbSkills!DH3:DJ6,3,FALSE),0),0))&gt;=0,1+(Backdoors!AL2*(IF((Backdoors!AI12+IF(DC27&gt;=0.45,VLOOKUP(Calculator!E23,tbSkills!DH3:DI6,2,FALSE)+IF(AND(Calculator!B8=TRUE,Backdoors!BI18=TRUE),VLOOKUP(Calculator!E23,tbSkills!DH3:DJ6,3,FALSE),0),0))&gt;=100,100,(Backdoors!AI12+IF(DC27&gt;=0.45,VLOOKUP(Calculator!E23,tbSkills!DH3:DI6,2,FALSE)+IF(AND(Calculator!B8=TRUE,Backdoors!BI18=TRUE),VLOOKUP(Calculator!E23,tbSkills!DH3:DJ6,3,FALSE),0),0)))/100)),(1-(0.25*((-Backdoors!AI12-IF(DC27&gt;=0.45,VLOOKUP(Calculator!E23,tbSkills!DH3:DI6,2,FALSE)+IF(AND(Calculator!B8=TRUE,Backdoors!BI18=TRUE),VLOOKUP(Calculator!E23,tbSkills!DH3:DJ6,3,FALSE),0),0))/100)))),1),"")</f>
        <v>1</v>
      </c>
      <c r="DF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C27)*DE27)*(VLOOKUP(A27,tbMoveset!A2:C112,3,FALSE)/100)*IF(VLOOKUP(A27,tbMoveset!A2:B112,2,FALSE)="Projectile",Backdoors!N10,Backdoors!N9),0),"")</f>
        <v/>
      </c>
      <c r="DG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C27&gt;=0.45,VLOOKUP(Calculator!E23,tbSkills!DH3:DI6,2,FALSE)+IF(AND(Calculator!B8=TRUE,Backdoors!BI18=TRUE),VLOOKUP(Calculator!E23,tbSkills!DH3:DJ6,3,FALSE),0),0))&gt;=100,100,(Backdoors!AI12+IF(DC27&gt;=0.45,VLOOKUP(Calculator!E23,tbSkills!DH3:DI6,2,FALSE)+IF(AND(Calculator!B8=TRUE,Backdoors!BI18=TRUE),VLOOKUP(Calculator!E23,tbSkills!DH3:DJ6,3,FALSE),0),0)))/100)),1))*IF(VLOOKUP(A27,tbMoveset!A2:K112,11,FALSE)=TRUE,Backdoors!AC5,1))*DD27,0),"")</f>
        <v>0</v>
      </c>
      <c r="DH27" s="49">
        <f>VLOOKUP(A27,tbMoveset!A2:G112,7,FALSE)*IFERROR(IF(Backdoors!AI12&gt;=0,1+(IF(Calculator!E40&gt;0,VLOOKUP(Calculator!E40,tbSkills!AI3:AJ5,2,FALSE),Backdoors!AL4)*(IF((Backdoors!AI12+IF(DC27&gt;=0.45,VLOOKUP(Calculator!E23,tbSkills!DH3:DI6,2,FALSE)+IF(AND(Calculator!B8=TRUE,Backdoors!BI18=TRUE),VLOOKUP(Calculator!E23,tbSkills!DH3:DJ6,3,FALSE),0),0))&gt;=100,100,(Backdoors!AI12+IF(DC27&gt;=0.45,VLOOKUP(Calculator!E23,tbSkills!DH3:DI6,2,FALSE)+IF(AND(Calculator!B8=TRUE,Backdoors!BI18=TRUE),VLOOKUP(Calculator!E23,tbSkills!DH3:DJ6,3,FALSE),0),0)))/100)),1),1)</f>
        <v>1</v>
      </c>
      <c r="DI27" s="87">
        <f t="shared" si="9"/>
        <v>0</v>
      </c>
      <c r="DJ27" s="86" t="str">
        <f>IFERROR(IF(VLOOKUP(A27,tbMoveset!A2:B112,2,FALSE)="Sever",Backdoors!AY19/100,IF(VLOOKUP(A27,tbMoveset!A2:B112,2,FALSE)="Blunt",Backdoors!AZ19/100,Backdoors!BA19/100)),"")</f>
        <v/>
      </c>
      <c r="DK27" s="49">
        <f>IFERROR(IF(VLOOKUP(tbMoveset!A27,tbMoveset!A2:H112,8,FALSE)="Other",IF(VLOOKUP(tbMoveset!A27,tbMoveset!A2:I112,9,FALSE)="Fire",Backdoors!BB19,IF(VLOOKUP(tbMoveset!A27,tbMoveset!A2:I112,9,FALSE)="Water",Backdoors!BC19,IF(VLOOKUP(tbMoveset!A27,tbMoveset!A2:I112,9,FALSE)="Thunder",Backdoors!BD19,IF(VLOOKUP(tbMoveset!A27,tbMoveset!A2:I112,9,FALSE)="Ice",Backdoors!BE19,IF(VLOOKUP(tbMoveset!A27,tbMoveset!A2:I112,9,FALSE)="Dragon",Backdoors!BF19,Backdoors!BG19)))))/100,Backdoors!BG19/100),"")</f>
        <v>0</v>
      </c>
      <c r="DL27" s="49">
        <f>IFERROR(IF(VLOOKUP(A27,tbMoveset!A2:J112,10,FALSE)=TRUE,IF((Backdoors!AI12+IF(DJ27&gt;=0.45,VLOOKUP(Calculator!E23,tbSkills!DH3:DI6,2,FALSE)+IF(AND(Calculator!B8=TRUE,Backdoors!BI19=TRUE),VLOOKUP(Calculator!E23,tbSkills!DH3:DJ6,3,FALSE),0),0))&gt;=0,1+(Backdoors!AL2*(IF((Backdoors!AI12+IF(DJ27&gt;=0.45,VLOOKUP(Calculator!E23,tbSkills!DH3:DI6,2,FALSE)+IF(AND(Calculator!B8=TRUE,Backdoors!BI19=TRUE),VLOOKUP(Calculator!E23,tbSkills!DH3:DJ6,3,FALSE),0),0))&gt;=100,100,(Backdoors!AI12+IF(DJ27&gt;=0.45,VLOOKUP(Calculator!E23,tbSkills!DH3:DI6,2,FALSE)+IF(AND(Calculator!B8=TRUE,Backdoors!BI19=TRUE),VLOOKUP(Calculator!E23,tbSkills!DH3:DJ6,3,FALSE),0),0)))/100)),(1-(0.25*((-Backdoors!AI12-IF(DJ27&gt;=0.45,VLOOKUP(Calculator!E23,tbSkills!DH3:DI6,2,FALSE)+IF(AND(Calculator!B8=TRUE,Backdoors!BI19=TRUE),VLOOKUP(Calculator!E23,tbSkills!DH3:DJ6,3,FALSE),0),0))/100)))),1),"")</f>
        <v>1</v>
      </c>
      <c r="DM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J27)*DL27)*(VLOOKUP(A27,tbMoveset!A2:C112,3,FALSE)/100)*IF(VLOOKUP(A27,tbMoveset!A2:B112,2,FALSE)="Projectile",Backdoors!N10,Backdoors!N9),0),"")</f>
        <v/>
      </c>
      <c r="DN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J27&gt;=0.45,VLOOKUP(Calculator!E23,tbSkills!DH3:DI6,2,FALSE)+IF(AND(Calculator!B8=TRUE,Backdoors!BI19=TRUE),VLOOKUP(Calculator!E23,tbSkills!DH3:DJ6,3,FALSE),0),0))&gt;=100,100,(Backdoors!AI12+IF(DJ27&gt;=0.45,VLOOKUP(Calculator!E23,tbSkills!DH3:DI6,2,FALSE)+IF(AND(Calculator!B8=TRUE,Backdoors!BI19=TRUE),VLOOKUP(Calculator!E23,tbSkills!DH3:DJ6,3,FALSE),0),0)))/100)),1))*IF(VLOOKUP(A27,tbMoveset!A2:K112,11,FALSE)=TRUE,Backdoors!AC5,1))*DK27,0),"")</f>
        <v>0</v>
      </c>
      <c r="DO27" s="49">
        <f>VLOOKUP(A27,tbMoveset!A2:G112,7,FALSE)*IFERROR(IF(Backdoors!AI12&gt;=0,1+(IF(Calculator!E40&gt;0,VLOOKUP(Calculator!E40,tbSkills!AI3:AJ5,2,FALSE),Backdoors!AL4)*(IF((Backdoors!AI12+IF(DJ27&gt;=0.45,VLOOKUP(Calculator!E23,tbSkills!DH3:DI6,2,FALSE)+IF(AND(Calculator!B8=TRUE,Backdoors!BI19=TRUE),VLOOKUP(Calculator!E23,tbSkills!DH3:DJ6,3,FALSE),0),0))&gt;=100,100,(Backdoors!AI12+IF(DJ27&gt;=0.45,VLOOKUP(Calculator!E23,tbSkills!DH3:DI6,2,FALSE)+IF(AND(Calculator!B8=TRUE,Backdoors!BI19=TRUE),VLOOKUP(Calculator!E23,tbSkills!DH3:DJ6,3,FALSE),0),0)))/100)),1),1)</f>
        <v>1</v>
      </c>
      <c r="DP27" s="87">
        <f t="shared" si="41"/>
        <v>0</v>
      </c>
      <c r="DQ27" s="86" t="str">
        <f>IFERROR(IF(VLOOKUP(A27,tbMoveset!A2:B112,2,FALSE)="Sever",Backdoors!AY20/100,IF(VLOOKUP(A27,tbMoveset!A2:B112,2,FALSE)="Blunt",Backdoors!AZ20/100,Backdoors!BA20/100)),"")</f>
        <v/>
      </c>
      <c r="DR27" s="49">
        <f>IFERROR(IF(VLOOKUP(tbMoveset!A27,tbMoveset!A2:H112,8,FALSE)="Other",IF(VLOOKUP(tbMoveset!A27,tbMoveset!A2:I112,9,FALSE)="Fire",Backdoors!BB20,IF(VLOOKUP(tbMoveset!A27,tbMoveset!A2:I112,9,FALSE)="Water",Backdoors!BC20,IF(VLOOKUP(tbMoveset!A27,tbMoveset!A2:I112,9,FALSE)="Thunder",Backdoors!BD20,IF(VLOOKUP(tbMoveset!A27,tbMoveset!A2:I112,9,FALSE)="Ice",Backdoors!BE20,IF(VLOOKUP(tbMoveset!A27,tbMoveset!A2:I112,9,FALSE)="Dragon",Backdoors!BF20,Backdoors!BG20)))))/100,Backdoors!BG20/100),"")</f>
        <v>0</v>
      </c>
      <c r="DS27" s="49">
        <f>IFERROR(IF(VLOOKUP(A27,tbMoveset!A2:J112,10,FALSE)=TRUE,IF((Backdoors!AI12+IF(DQ27&gt;=0.45,VLOOKUP(Calculator!E23,tbSkills!DH3:DI6,2,FALSE)+IF(AND(Calculator!B8=TRUE,Backdoors!BI20=TRUE),VLOOKUP(Calculator!E23,tbSkills!DH3:DJ6,3,FALSE),0),0))&gt;=0,1+(Backdoors!AL2*(IF((Backdoors!AI12+IF(DQ27&gt;=0.45,VLOOKUP(Calculator!E23,tbSkills!DH3:DI6,2,FALSE)+IF(AND(Calculator!B8=TRUE,Backdoors!BI20=TRUE),VLOOKUP(Calculator!E23,tbSkills!DH3:DJ6,3,FALSE),0),0))&gt;=100,100,(Backdoors!AI12+IF(DQ27&gt;=0.45,VLOOKUP(Calculator!E23,tbSkills!DH3:DI6,2,FALSE)+IF(AND(Calculator!B8=TRUE,Backdoors!BI20=TRUE),VLOOKUP(Calculator!E23,tbSkills!DH3:DJ6,3,FALSE),0),0)))/100)),(1-(0.25*((-Backdoors!AI12-IF(DQ27&gt;=0.45,VLOOKUP(Calculator!E23,tbSkills!DH3:DI6,2,FALSE)+IF(AND(Calculator!B8=TRUE,Backdoors!BI20=TRUE),VLOOKUP(Calculator!E23,tbSkills!DH3:DJ6,3,FALSE),0),0))/100)))),1),"")</f>
        <v>1</v>
      </c>
      <c r="DT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Q27)*DS27)*(VLOOKUP(A27,tbMoveset!A2:C112,3,FALSE)/100)*IF(VLOOKUP(A27,tbMoveset!A2:B112,2,FALSE)="Projectile",Backdoors!N10,Backdoors!N9),0),"")</f>
        <v/>
      </c>
      <c r="DU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Q27&gt;=0.45,VLOOKUP(Calculator!E23,tbSkills!DH3:DI6,2,FALSE)+IF(AND(Calculator!B8=TRUE,Backdoors!BI20=TRUE),VLOOKUP(Calculator!E23,tbSkills!DH3:DJ6,3,FALSE),0),0))&gt;=100,100,(Backdoors!AI12+IF(DQ27&gt;=0.45,VLOOKUP(Calculator!E23,tbSkills!DH3:DI6,2,FALSE)+IF(AND(Calculator!B8=TRUE,Backdoors!BI20=TRUE),VLOOKUP(Calculator!E23,tbSkills!DH3:DJ6,3,FALSE),0),0)))/100)),1))*IF(VLOOKUP(A27,tbMoveset!A2:K112,11,FALSE)=TRUE,Backdoors!AC5,1))*DR27,0),"")</f>
        <v>0</v>
      </c>
      <c r="DV27" s="49">
        <f>VLOOKUP(A27,tbMoveset!A2:G112,7,FALSE)*IFERROR(IF(Backdoors!AI12&gt;=0,1+(IF(Calculator!E40&gt;0,VLOOKUP(Calculator!E40,tbSkills!AI3:AJ5,2,FALSE),Backdoors!AL4)*(IF((Backdoors!AI12+IF(DQ27&gt;=0.45,VLOOKUP(Calculator!E23,tbSkills!DH3:DI6,2,FALSE)+IF(AND(Calculator!B8=TRUE,Backdoors!BI20=TRUE),VLOOKUP(Calculator!E23,tbSkills!DH3:DJ6,3,FALSE),0),0))&gt;=100,100,(Backdoors!AI12+IF(DQ27&gt;=0.45,VLOOKUP(Calculator!E23,tbSkills!DH3:DI6,2,FALSE)+IF(AND(Calculator!B8=TRUE,Backdoors!BI20=TRUE),VLOOKUP(Calculator!E23,tbSkills!DH3:DJ6,3,FALSE),0),0)))/100)),1),1)</f>
        <v>1</v>
      </c>
      <c r="DW27" s="87">
        <f t="shared" si="10"/>
        <v>0</v>
      </c>
      <c r="DX27" s="86" t="str">
        <f>IFERROR(IF(VLOOKUP(A27,tbMoveset!A2:B112,2,FALSE)="Sever",Backdoors!AY21/100,IF(VLOOKUP(A27,tbMoveset!A2:B112,2,FALSE)="Blunt",Backdoors!AZ21/100,Backdoors!BA21/100)),"")</f>
        <v/>
      </c>
      <c r="DY27" s="49">
        <f>IFERROR(IF(VLOOKUP(tbMoveset!A27,tbMoveset!A2:H112,8,FALSE)="Other",IF(VLOOKUP(tbMoveset!A27,tbMoveset!A2:I112,9,FALSE)="Fire",Backdoors!BB21,IF(VLOOKUP(tbMoveset!A27,tbMoveset!A2:I112,9,FALSE)="Water",Backdoors!BC21,IF(VLOOKUP(tbMoveset!A27,tbMoveset!A2:I112,9,FALSE)="Thunder",Backdoors!BD21,IF(VLOOKUP(tbMoveset!A27,tbMoveset!A2:I112,9,FALSE)="Ice",Backdoors!BE21,IF(VLOOKUP(tbMoveset!A27,tbMoveset!A2:I112,9,FALSE)="Dragon",Backdoors!BF21,Backdoors!BG21)))))/100,Backdoors!BG21/100),"")</f>
        <v>0</v>
      </c>
      <c r="DZ27" s="49">
        <f>IFERROR(IF(VLOOKUP(A27,tbMoveset!A2:J112,10,FALSE)=TRUE,IF((Backdoors!AI12+IF(DX27&gt;=0.45,VLOOKUP(Calculator!E23,tbSkills!DH3:DI6,2,FALSE)+IF(AND(Calculator!B8=TRUE,Backdoors!BI21=TRUE),VLOOKUP(Calculator!E23,tbSkills!DH3:DJ6,3,FALSE),0),0))&gt;=0,1+(Backdoors!AL2*(IF((Backdoors!AI12+IF(DX27&gt;=0.45,VLOOKUP(Calculator!E23,tbSkills!DH3:DI6,2,FALSE)+IF(AND(Calculator!B8=TRUE,Backdoors!BI21=TRUE),VLOOKUP(Calculator!E23,tbSkills!DH3:DJ6,3,FALSE),0),0))&gt;=100,100,(Backdoors!AI12+IF(DX27&gt;=0.45,VLOOKUP(Calculator!E23,tbSkills!DH3:DI6,2,FALSE)+IF(AND(Calculator!B8=TRUE,Backdoors!BI21=TRUE),VLOOKUP(Calculator!E23,tbSkills!DH3:DJ6,3,FALSE),0),0)))/100)),(1-(0.25*((-Backdoors!AI12-IF(DX27&gt;=0.45,VLOOKUP(Calculator!E23,tbSkills!DH3:DI6,2,FALSE)+IF(AND(Calculator!B8=TRUE,Backdoors!BI21=TRUE),VLOOKUP(Calculator!E23,tbSkills!DH3:DJ6,3,FALSE),0),0))/100)))),1),"")</f>
        <v>1</v>
      </c>
      <c r="EA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X27)*DZ27)*(VLOOKUP(A27,tbMoveset!A2:C112,3,FALSE)/100)*IF(VLOOKUP(A27,tbMoveset!A2:B112,2,FALSE)="Projectile",Backdoors!N10,Backdoors!N9),0),"")</f>
        <v/>
      </c>
      <c r="EB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X27&gt;=0.45,VLOOKUP(Calculator!E23,tbSkills!DH3:DI6,2,FALSE)+IF(AND(Calculator!B8=TRUE,Backdoors!BI21=TRUE),VLOOKUP(Calculator!E23,tbSkills!DH3:DJ6,3,FALSE),0),0))&gt;=100,100,(Backdoors!AI12+IF(DX27&gt;=0.45,VLOOKUP(Calculator!E23,tbSkills!DH3:DI6,2,FALSE)+IF(AND(Calculator!B8=TRUE,Backdoors!BI21=TRUE),VLOOKUP(Calculator!E23,tbSkills!DH3:DJ6,3,FALSE),0),0)))/100)),1))*IF(VLOOKUP(A27,tbMoveset!A2:K112,11,FALSE)=TRUE,Backdoors!AC5,1))*DY27,0),"")</f>
        <v>0</v>
      </c>
      <c r="EC27" s="49">
        <f>VLOOKUP(A27,tbMoveset!A2:G112,7,FALSE)*IFERROR(IF(Backdoors!AI12&gt;=0,1+(IF(Calculator!E40&gt;0,VLOOKUP(Calculator!E40,tbSkills!AI3:AJ5,2,FALSE),Backdoors!AL4)*(IF((Backdoors!AI12+IF(DX27&gt;=0.45,VLOOKUP(Calculator!E23,tbSkills!DH3:DI6,2,FALSE)+IF(AND(Calculator!B8=TRUE,Backdoors!BI21=TRUE),VLOOKUP(Calculator!E23,tbSkills!DH3:DJ6,3,FALSE),0),0))&gt;=100,100,(Backdoors!AI12+IF(DX27&gt;=0.45,VLOOKUP(Calculator!E23,tbSkills!DH3:DI6,2,FALSE)+IF(AND(Calculator!B8=TRUE,Backdoors!BI21=TRUE),VLOOKUP(Calculator!E23,tbSkills!DH3:DJ6,3,FALSE),0),0)))/100)),1),1)</f>
        <v>1</v>
      </c>
      <c r="ED27" s="87">
        <f t="shared" si="11"/>
        <v>0</v>
      </c>
      <c r="EE27" s="86" t="str">
        <f>IFERROR(IF(VLOOKUP(A27,tbMoveset!A2:B112,2,FALSE)="Sever",Backdoors!AY22/100,IF(VLOOKUP(A27,tbMoveset!A2:B112,2,FALSE)="Blunt",Backdoors!AZ22/100,Backdoors!BA22/100)),"")</f>
        <v/>
      </c>
      <c r="EF27" s="49">
        <f>IFERROR(IF(VLOOKUP(tbMoveset!A27,tbMoveset!A2:H112,8,FALSE)="Other",IF(VLOOKUP(tbMoveset!A27,tbMoveset!A2:I112,9,FALSE)="Fire",Backdoors!BB22,IF(VLOOKUP(tbMoveset!A27,tbMoveset!A2:I112,9,FALSE)="Water",Backdoors!BC22,IF(VLOOKUP(tbMoveset!A27,tbMoveset!A2:I112,9,FALSE)="Thunder",Backdoors!BD22,IF(VLOOKUP(tbMoveset!A27,tbMoveset!A2:I112,9,FALSE)="Ice",Backdoors!BE22,IF(VLOOKUP(tbMoveset!A27,tbMoveset!A2:I112,9,FALSE)="Dragon",Backdoors!BF22,Backdoors!BG22)))))/100,Backdoors!BG22/100),"")</f>
        <v>0</v>
      </c>
      <c r="EG27" s="49">
        <f>IFERROR(IF(VLOOKUP(A27,tbMoveset!A2:J112,10,FALSE)=TRUE,IF((Backdoors!AI12+IF(EE27&gt;=0.45,VLOOKUP(Calculator!E23,tbSkills!DH3:DI6,2,FALSE)+IF(AND(Calculator!B8=TRUE,Backdoors!BI22=TRUE),VLOOKUP(Calculator!E23,tbSkills!DH3:DJ6,3,FALSE),0),0))&gt;=0,1+(Backdoors!AL2*(IF((Backdoors!AI12+IF(EE27&gt;=0.45,VLOOKUP(Calculator!E23,tbSkills!DH3:DI6,2,FALSE)+IF(AND(Calculator!B8=TRUE,Backdoors!BI22=TRUE),VLOOKUP(Calculator!E23,tbSkills!DH3:DJ6,3,FALSE),0),0))&gt;=100,100,(Backdoors!AI12+IF(EE27&gt;=0.45,VLOOKUP(Calculator!E23,tbSkills!DH3:DI6,2,FALSE)+IF(AND(Calculator!B8=TRUE,Backdoors!BI22=TRUE),VLOOKUP(Calculator!E23,tbSkills!DH3:DJ6,3,FALSE),0),0)))/100)),(1-(0.25*((-Backdoors!AI12-IF(EE27&gt;=0.45,VLOOKUP(Calculator!E23,tbSkills!DH3:DI6,2,FALSE)+IF(AND(Calculator!B8=TRUE,Backdoors!BI22=TRUE),VLOOKUP(Calculator!E23,tbSkills!DH3:DJ6,3,FALSE),0),0))/100)))),1),"")</f>
        <v>1</v>
      </c>
      <c r="EH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E27)*EG27)*(VLOOKUP(A27,tbMoveset!A2:C112,3,FALSE)/100)*IF(VLOOKUP(A27,tbMoveset!A2:B112,2,FALSE)="Projectile",Backdoors!N10,Backdoors!N9),0),"")</f>
        <v/>
      </c>
      <c r="EI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E27&gt;=0.45,VLOOKUP(Calculator!E23,tbSkills!DH3:DI6,2,FALSE)+IF(AND(Calculator!B8=TRUE,Backdoors!BI22=TRUE),VLOOKUP(Calculator!E23,tbSkills!DH3:DJ6,3,FALSE),0),0))&gt;=100,100,(Backdoors!AI12+IF(EE27&gt;=0.45,VLOOKUP(Calculator!E23,tbSkills!DH3:DI6,2,FALSE)+IF(AND(Calculator!B8=TRUE,Backdoors!BI22=TRUE),VLOOKUP(Calculator!E23,tbSkills!DH3:DJ6,3,FALSE),0),0)))/100)),1))*IF(VLOOKUP(A27,tbMoveset!A2:K112,11,FALSE)=TRUE,Backdoors!AC5,1))*EF27,0),"")</f>
        <v>0</v>
      </c>
      <c r="EJ27" s="49">
        <f>VLOOKUP(A27,tbMoveset!A2:G112,7,FALSE)*IFERROR(IF(Backdoors!AI12&gt;=0,1+(IF(Calculator!E40&gt;0,VLOOKUP(Calculator!E40,tbSkills!AI3:AJ5,2,FALSE),Backdoors!AL4)*(IF((Backdoors!AI12+IF(EE27&gt;=0.45,VLOOKUP(Calculator!E23,tbSkills!DH3:DI6,2,FALSE)+IF(AND(Calculator!B8=TRUE,Backdoors!BI22=TRUE),VLOOKUP(Calculator!E23,tbSkills!DH3:DJ6,3,FALSE),0),0))&gt;=100,100,(Backdoors!AI12+IF(EE27&gt;=0.45,VLOOKUP(Calculator!E23,tbSkills!DH3:DI6,2,FALSE)+IF(AND(Calculator!B8=TRUE,Backdoors!BI22=TRUE),VLOOKUP(Calculator!E23,tbSkills!DH3:DJ6,3,FALSE),0),0)))/100)),1),1)</f>
        <v>1</v>
      </c>
      <c r="EK27" s="87">
        <f t="shared" si="12"/>
        <v>0</v>
      </c>
      <c r="EL27" s="86" t="str">
        <f>IFERROR(IF(VLOOKUP(A27,tbMoveset!A2:B112,2,FALSE)="Sever",Backdoors!AY23/100,IF(VLOOKUP(A27,tbMoveset!A2:B112,2,FALSE)="Blunt",Backdoors!AZ23/100,Backdoors!BA23/100)),"")</f>
        <v/>
      </c>
      <c r="EM27" s="49">
        <f>IFERROR(IF(VLOOKUP(tbMoveset!A27,tbMoveset!A2:H112,8,FALSE)="Other",IF(VLOOKUP(tbMoveset!A27,tbMoveset!A2:I112,9,FALSE)="Fire",Backdoors!BB23,IF(VLOOKUP(tbMoveset!A27,tbMoveset!A2:I112,9,FALSE)="Water",Backdoors!BC23,IF(VLOOKUP(tbMoveset!A27,tbMoveset!A2:I112,9,FALSE)="Thunder",Backdoors!BD23,IF(VLOOKUP(tbMoveset!A27,tbMoveset!A2:I112,9,FALSE)="Ice",Backdoors!BE23,IF(VLOOKUP(tbMoveset!A27,tbMoveset!A2:I112,9,FALSE)="Dragon",Backdoors!BF23,Backdoors!BG23)))))/100,Backdoors!BG23/100),"")</f>
        <v>0</v>
      </c>
      <c r="EN27" s="49">
        <f>IFERROR(IF(VLOOKUP(A27,tbMoveset!A2:J112,10,FALSE)=TRUE,IF((Backdoors!AI12+IF(EL27&gt;=0.45,VLOOKUP(Calculator!E23,tbSkills!DH3:DI6,2,FALSE)+IF(AND(Calculator!B8=TRUE,Backdoors!BI23=TRUE),VLOOKUP(Calculator!E23,tbSkills!DH3:DJ6,3,FALSE),0),0))&gt;=0,1+(Backdoors!AL2*(IF((Backdoors!AI12+IF(EL27&gt;=0.45,VLOOKUP(Calculator!E23,tbSkills!DH3:DI6,2,FALSE)+IF(AND(Calculator!B8=TRUE,Backdoors!BI23=TRUE),VLOOKUP(Calculator!E23,tbSkills!DH3:DJ6,3,FALSE),0),0))&gt;=100,100,(Backdoors!AI12+IF(EL27&gt;=0.45,VLOOKUP(Calculator!E23,tbSkills!DH3:DI6,2,FALSE)+IF(AND(Calculator!B8=TRUE,Backdoors!BI23=TRUE),VLOOKUP(Calculator!E23,tbSkills!DH3:DJ6,3,FALSE),0),0)))/100)),(1-(0.25*((-Backdoors!AI12-IF(EL27&gt;=0.45,VLOOKUP(Calculator!E23,tbSkills!DH3:DI6,2,FALSE)+IF(AND(Calculator!B8=TRUE,Backdoors!BI23=TRUE),VLOOKUP(Calculator!E23,tbSkills!DH3:DJ6,3,FALSE),0),0))/100)))),1),"")</f>
        <v>1</v>
      </c>
      <c r="EO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L27)*EN27)*(VLOOKUP(A27,tbMoveset!A2:C112,3,FALSE)/100)*IF(VLOOKUP(A27,tbMoveset!A2:B112,2,FALSE)="Projectile",Backdoors!N10,Backdoors!N9),0),"")</f>
        <v/>
      </c>
      <c r="EP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L27&gt;=0.45,VLOOKUP(Calculator!E23,tbSkills!DH3:DI6,2,FALSE)+IF(AND(Calculator!B8=TRUE,Backdoors!BI23=TRUE),VLOOKUP(Calculator!E23,tbSkills!DH3:DJ6,3,FALSE),0),0))&gt;=100,100,(Backdoors!AI12+IF(EL27&gt;=0.45,VLOOKUP(Calculator!E23,tbSkills!DH3:DI6,2,FALSE)+IF(AND(Calculator!B8=TRUE,Backdoors!BI23=TRUE),VLOOKUP(Calculator!E23,tbSkills!DH3:DJ6,3,FALSE),0),0)))/100)),1))*IF(VLOOKUP(A27,tbMoveset!A2:K112,11,FALSE)=TRUE,Backdoors!AC5,1))*EM27,0),"")</f>
        <v>0</v>
      </c>
      <c r="EQ27" s="49">
        <f>VLOOKUP(A27,tbMoveset!A2:G112,7,FALSE)*IFERROR(IF(Backdoors!AI12&gt;=0,1+(IF(Calculator!E40&gt;0,VLOOKUP(Calculator!E40,tbSkills!AI3:AJ5,2,FALSE),Backdoors!AL4)*(IF((Backdoors!AI12+IF(EL27&gt;=0.45,VLOOKUP(Calculator!E23,tbSkills!DH3:DI6,2,FALSE)+IF(AND(Calculator!B8=TRUE,Backdoors!BI23=TRUE),VLOOKUP(Calculator!E23,tbSkills!DH3:DJ6,3,FALSE),0),0))&gt;=100,100,(Backdoors!AI12+IF(EL27&gt;=0.45,VLOOKUP(Calculator!E23,tbSkills!DH3:DI6,2,FALSE)+IF(AND(Calculator!B8=TRUE,Backdoors!BI23=TRUE),VLOOKUP(Calculator!E23,tbSkills!DH3:DJ6,3,FALSE),0),0)))/100)),1),1)</f>
        <v>1</v>
      </c>
      <c r="ER27" s="87">
        <f t="shared" si="13"/>
        <v>0</v>
      </c>
      <c r="ES27" s="86" t="str">
        <f>IFERROR(IF(VLOOKUP(A27,tbMoveset!A2:B112,2,FALSE)="Sever",Backdoors!AY24/100,IF(VLOOKUP(A27,tbMoveset!A2:B112,2,FALSE)="Blunt",Backdoors!AZ24/100,Backdoors!BA24/100)),"")</f>
        <v/>
      </c>
      <c r="ET27" s="49">
        <f>IFERROR(IF(VLOOKUP(tbMoveset!A27,tbMoveset!A2:H112,8,FALSE)="Other",IF(VLOOKUP(tbMoveset!A27,tbMoveset!A2:I112,9,FALSE)="Fire",Backdoors!BB24,IF(VLOOKUP(tbMoveset!A27,tbMoveset!A2:I112,9,FALSE)="Water",Backdoors!BC24,IF(VLOOKUP(tbMoveset!A27,tbMoveset!A2:I112,9,FALSE)="Thunder",Backdoors!BD24,IF(VLOOKUP(tbMoveset!A27,tbMoveset!A2:I112,9,FALSE)="Ice",Backdoors!BE24,IF(VLOOKUP(tbMoveset!A27,tbMoveset!A2:I112,9,FALSE)="Dragon",Backdoors!BF24,Backdoors!BG24)))))/100,Backdoors!BG24/100),"")</f>
        <v>0</v>
      </c>
      <c r="EU27" s="49">
        <f>IFERROR(IF(VLOOKUP(A27,tbMoveset!A2:J112,10,FALSE)=TRUE,IF((Backdoors!AI12+IF(ES27&gt;=0.45,VLOOKUP(Calculator!E23,tbSkills!DH3:DI6,2,FALSE)+IF(AND(Calculator!B8=TRUE,Backdoors!BI24=TRUE),VLOOKUP(Calculator!E23,tbSkills!DH3:DJ6,3,FALSE),0),0))&gt;=0,1+(Backdoors!AL2*(IF((Backdoors!AI12+IF(ES27&gt;=0.45,VLOOKUP(Calculator!E23,tbSkills!DH3:DI6,2,FALSE)+IF(AND(Calculator!B8=TRUE,Backdoors!BI24=TRUE),VLOOKUP(Calculator!E23,tbSkills!DH3:DJ6,3,FALSE),0),0))&gt;=100,100,(Backdoors!AI12+IF(ES27&gt;=0.45,VLOOKUP(Calculator!E23,tbSkills!DH3:DI6,2,FALSE)+IF(AND(Calculator!B8=TRUE,Backdoors!BI24=TRUE),VLOOKUP(Calculator!E23,tbSkills!DH3:DJ6,3,FALSE),0),0)))/100)),(1-(0.25*((-Backdoors!AI12-IF(ES27&gt;=0.45,VLOOKUP(Calculator!E23,tbSkills!DH3:DI6,2,FALSE)+IF(AND(Calculator!B8=TRUE,Backdoors!BI24=TRUE),VLOOKUP(Calculator!E23,tbSkills!DH3:DJ6,3,FALSE),0),0))/100)))),1),"")</f>
        <v>1</v>
      </c>
      <c r="EV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S27)*EU27)*(VLOOKUP(A27,tbMoveset!A2:C112,3,FALSE)/100)*IF(VLOOKUP(A27,tbMoveset!A2:B112,2,FALSE)="Projectile",Backdoors!N10,Backdoors!N9),0),"")</f>
        <v/>
      </c>
      <c r="EW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S27&gt;=0.45,VLOOKUP(Calculator!E23,tbSkills!DH3:DI6,2,FALSE)+IF(AND(Calculator!B8=TRUE,Backdoors!BI24=TRUE),VLOOKUP(Calculator!E23,tbSkills!DH3:DJ6,3,FALSE),0),0))&gt;=100,100,(Backdoors!AI12+IF(ES27&gt;=0.45,VLOOKUP(Calculator!E23,tbSkills!DH3:DI6,2,FALSE)+IF(AND(Calculator!B8=TRUE,Backdoors!BI24=TRUE),VLOOKUP(Calculator!E23,tbSkills!DH3:DJ6,3,FALSE),0),0)))/100)),1))*IF(VLOOKUP(A27,tbMoveset!A2:K112,11,FALSE)=TRUE,Backdoors!AC5,1))*ET27,0),"")</f>
        <v>0</v>
      </c>
      <c r="EX27" s="49">
        <f>VLOOKUP(A27,tbMoveset!A2:G112,7,FALSE)*IFERROR(IF(Backdoors!AI12&gt;=0,1+(IF(Calculator!E40&gt;0,VLOOKUP(Calculator!E40,tbSkills!AI3:AJ5,2,FALSE),Backdoors!AL4)*(IF((Backdoors!AI12+IF(ES27&gt;=0.45,VLOOKUP(Calculator!E23,tbSkills!DH3:DI6,2,FALSE)+IF(AND(Calculator!B8=TRUE,Backdoors!BI24=TRUE),VLOOKUP(Calculator!E23,tbSkills!DH3:DJ6,3,FALSE),0),0))&gt;=100,100,(Backdoors!AI12+IF(ES27&gt;=0.45,VLOOKUP(Calculator!E23,tbSkills!DH3:DI6,2,FALSE)+IF(AND(Calculator!B8=TRUE,Backdoors!BI24=TRUE),VLOOKUP(Calculator!E23,tbSkills!DH3:DJ6,3,FALSE),0),0)))/100)),1),1)</f>
        <v>1</v>
      </c>
      <c r="EY27" s="87">
        <f t="shared" si="14"/>
        <v>0</v>
      </c>
      <c r="EZ27" s="86" t="str">
        <f>IFERROR(IF(VLOOKUP(A27,tbMoveset!A2:B112,2,FALSE)="Sever",Backdoors!AY25/100,IF(VLOOKUP(A27,tbMoveset!A2:B112,2,FALSE)="Blunt",Backdoors!AZ25/100,Backdoors!BA25/100)),"")</f>
        <v/>
      </c>
      <c r="FA27" s="49">
        <f>IFERROR(IF(VLOOKUP(tbMoveset!A27,tbMoveset!A2:H112,8,FALSE)="Other",IF(VLOOKUP(tbMoveset!A27,tbMoveset!A2:I112,9,FALSE)="Fire",Backdoors!BB25,IF(VLOOKUP(tbMoveset!A27,tbMoveset!A2:I112,9,FALSE)="Water",Backdoors!BC25,IF(VLOOKUP(tbMoveset!A27,tbMoveset!A2:I112,9,FALSE)="Thunder",Backdoors!BD25,IF(VLOOKUP(tbMoveset!A27,tbMoveset!A2:I112,9,FALSE)="Ice",Backdoors!BE25,IF(VLOOKUP(tbMoveset!A27,tbMoveset!A2:I112,9,FALSE)="Dragon",Backdoors!BF25,Backdoors!BG25)))))/100,Backdoors!BG25/100),"")</f>
        <v>0</v>
      </c>
      <c r="FB27" s="49">
        <f>IFERROR(IF(VLOOKUP(A27,tbMoveset!A2:J112,10,FALSE)=TRUE,IF((Backdoors!AI12+IF(EZ27&gt;=0.45,VLOOKUP(Calculator!E23,tbSkills!DH3:DI6,2,FALSE)+IF(AND(Calculator!B8=TRUE,Backdoors!BI25=TRUE),VLOOKUP(Calculator!E23,tbSkills!DH3:DJ6,3,FALSE),0),0))&gt;=0,1+(Backdoors!AL2*(IF((Backdoors!AI12+IF(EZ27&gt;=0.45,VLOOKUP(Calculator!E23,tbSkills!DH3:DI6,2,FALSE)+IF(AND(Calculator!B8=TRUE,Backdoors!BI25=TRUE),VLOOKUP(Calculator!E23,tbSkills!DH3:DJ6,3,FALSE),0),0))&gt;=100,100,(Backdoors!AI12+IF(EZ27&gt;=0.45,VLOOKUP(Calculator!E23,tbSkills!DH3:DI6,2,FALSE)+IF(AND(Calculator!B8=TRUE,Backdoors!BI25=TRUE),VLOOKUP(Calculator!E23,tbSkills!DH3:DJ6,3,FALSE),0),0)))/100)),(1-(0.25*((-Backdoors!AI12-IF(EZ27&gt;=0.45,VLOOKUP(Calculator!E23,tbSkills!DH3:DI6,2,FALSE)+IF(AND(Calculator!B8=TRUE,Backdoors!BI25=TRUE),VLOOKUP(Calculator!E23,tbSkills!DH3:DJ6,3,FALSE),0),0))/100)))),1),"")</f>
        <v>1</v>
      </c>
      <c r="FC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Z27)*FB27)*(VLOOKUP(A27,tbMoveset!A2:C112,3,FALSE)/100)*IF(VLOOKUP(A27,tbMoveset!A2:B112,2,FALSE)="Projectile",Backdoors!N10,Backdoors!N9),0),"")</f>
        <v/>
      </c>
      <c r="FD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Z27&gt;=0.45,VLOOKUP(Calculator!E23,tbSkills!DH3:DI6,2,FALSE)+IF(AND(Calculator!B8=TRUE,Backdoors!BI25=TRUE),VLOOKUP(Calculator!E23,tbSkills!DH3:DJ6,3,FALSE),0),0))&gt;=100,100,(Backdoors!AI12+IF(EZ27&gt;=0.45,VLOOKUP(Calculator!E23,tbSkills!DH3:DI6,2,FALSE)+IF(AND(Calculator!B8=TRUE,Backdoors!BI25=TRUE),VLOOKUP(Calculator!E23,tbSkills!DH3:DJ6,3,FALSE),0),0)))/100)),1))*IF(VLOOKUP(A27,tbMoveset!A2:K112,11,FALSE)=TRUE,Backdoors!AC5,1))*FA27,0),"")</f>
        <v>0</v>
      </c>
      <c r="FE27" s="49">
        <f>VLOOKUP(A27,tbMoveset!A2:G112,7,FALSE)*IFERROR(IF(Backdoors!AI12&gt;=0,1+(IF(Calculator!E40&gt;0,VLOOKUP(Calculator!E40,tbSkills!AI3:AJ5,2,FALSE),Backdoors!AL4)*(IF((Backdoors!AI12+IF(EZ27&gt;=0.45,VLOOKUP(Calculator!E23,tbSkills!DH3:DI6,2,FALSE)+IF(AND(Calculator!B8=TRUE,Backdoors!BI25=TRUE),VLOOKUP(Calculator!E23,tbSkills!DH3:DJ6,3,FALSE),0),0))&gt;=100,100,(Backdoors!AI12+IF(EZ27&gt;=0.45,VLOOKUP(Calculator!E23,tbSkills!DH3:DI6,2,FALSE)+IF(AND(Calculator!B8=TRUE,Backdoors!BI25=TRUE),VLOOKUP(Calculator!E23,tbSkills!DH3:DJ6,3,FALSE),0),0)))/100)),1),1)</f>
        <v>1</v>
      </c>
      <c r="FF27" s="87">
        <f t="shared" si="15"/>
        <v>0</v>
      </c>
      <c r="FG27" s="86" t="str">
        <f>IFERROR(IF(VLOOKUP(A27,tbMoveset!A2:B112,2,FALSE)="Sever",Backdoors!AY26/100,IF(VLOOKUP(A27,tbMoveset!A2:B112,2,FALSE)="Blunt",Backdoors!AZ26/100,Backdoors!BA26/100)),"")</f>
        <v/>
      </c>
      <c r="FH27" s="49">
        <f>IFERROR(IF(VLOOKUP(tbMoveset!A27,tbMoveset!A2:H112,8,FALSE)="Other",IF(VLOOKUP(tbMoveset!A27,tbMoveset!A2:I112,9,FALSE)="Fire",Backdoors!BB26,IF(VLOOKUP(tbMoveset!A27,tbMoveset!A2:I112,9,FALSE)="Water",Backdoors!BC26,IF(VLOOKUP(tbMoveset!A27,tbMoveset!A2:I112,9,FALSE)="Thunder",Backdoors!BD26,IF(VLOOKUP(tbMoveset!A27,tbMoveset!A2:I112,9,FALSE)="Ice",Backdoors!BE26,IF(VLOOKUP(tbMoveset!A27,tbMoveset!A2:I112,9,FALSE)="Dragon",Backdoors!BF26,Backdoors!BG26)))))/100,Backdoors!BG26/100),"")</f>
        <v>0</v>
      </c>
      <c r="FI27" s="49">
        <f>IFERROR(IF(VLOOKUP(A27,tbMoveset!A2:J112,10,FALSE)=TRUE,IF((Backdoors!AI12+IF(FG27&gt;=0.45,VLOOKUP(Calculator!E23,tbSkills!DH3:DI6,2,FALSE)+IF(AND(Calculator!B8=TRUE,Backdoors!BI26=TRUE),VLOOKUP(Calculator!E23,tbSkills!DH3:DJ6,3,FALSE),0),0))&gt;=0,1+(Backdoors!AL2*(IF((Backdoors!AI12+IF(FG27&gt;=0.45,VLOOKUP(Calculator!E23,tbSkills!DH3:DI6,2,FALSE)+IF(AND(Calculator!B8=TRUE,Backdoors!BI26=TRUE),VLOOKUP(Calculator!E23,tbSkills!DH3:DJ6,3,FALSE),0),0))&gt;=100,100,(Backdoors!AI12+IF(FG27&gt;=0.45,VLOOKUP(Calculator!E23,tbSkills!DH3:DI6,2,FALSE)+IF(AND(Calculator!B8=TRUE,Backdoors!BI26=TRUE),VLOOKUP(Calculator!E23,tbSkills!DH3:DJ6,3,FALSE),0),0)))/100)),(1-(0.25*((-Backdoors!AI12-IF(FG27&gt;=0.45,VLOOKUP(Calculator!E23,tbSkills!DH3:DI6,2,FALSE)+IF(AND(Calculator!B8=TRUE,Backdoors!BI26=TRUE),VLOOKUP(Calculator!E23,tbSkills!DH3:DJ6,3,FALSE),0),0))/100)))),1),"")</f>
        <v>1</v>
      </c>
      <c r="FJ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FG27)*FI27)*(VLOOKUP(A27,tbMoveset!A2:C112,3,FALSE)/100)*IF(VLOOKUP(A27,tbMoveset!A2:B112,2,FALSE)="Projectile",Backdoors!N10,Backdoors!N9),0),"")</f>
        <v/>
      </c>
      <c r="FK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FG27&gt;=0.45,VLOOKUP(Calculator!E23,tbSkills!DH3:DI6,2,FALSE)+IF(AND(Calculator!B8=TRUE,Backdoors!BI26=TRUE),VLOOKUP(Calculator!E23,tbSkills!DH3:DJ6,3,FALSE),0),0))&gt;=100,100,(Backdoors!AI12+IF(FG27&gt;=0.45,VLOOKUP(Calculator!E23,tbSkills!DH3:DI6,2,FALSE)+IF(AND(Calculator!B8=TRUE,Backdoors!BI26=TRUE),VLOOKUP(Calculator!E23,tbSkills!DH3:DJ6,3,FALSE),0),0)))/100)),1))*IF(VLOOKUP(A27,tbMoveset!A2:K112,11,FALSE)=TRUE,Backdoors!AC5,1))*FH27,0),"")</f>
        <v>0</v>
      </c>
      <c r="FL27" s="49">
        <f>VLOOKUP(A27,tbMoveset!A2:G112,7,FALSE)*IFERROR(IF(Backdoors!AI12&gt;=0,1+(IF(Calculator!E40&gt;0,VLOOKUP(Calculator!E40,tbSkills!AI3:AJ5,2,FALSE),Backdoors!AL4)*(IF((Backdoors!AI12+IF(FG27&gt;=0.45,VLOOKUP(Calculator!E23,tbSkills!DH3:DI6,2,FALSE)+IF(AND(Calculator!B8=TRUE,Backdoors!BI26=TRUE),VLOOKUP(Calculator!E23,tbSkills!DH3:DJ6,3,FALSE),0),0))&gt;=100,100,(Backdoors!AI12+IF(FG27&gt;=0.45,VLOOKUP(Calculator!E23,tbSkills!DH3:DI6,2,FALSE)+IF(AND(Calculator!B8=TRUE,Backdoors!BI26=TRUE),VLOOKUP(Calculator!E23,tbSkills!DH3:DJ6,3,FALSE),0),0)))/100)),1),1)</f>
        <v>1</v>
      </c>
      <c r="FM27" s="87">
        <f t="shared" si="16"/>
        <v>0</v>
      </c>
      <c r="FN27" s="86" t="str">
        <f>IFERROR(IF(VLOOKUP(A27,tbMoveset!A2:B112,2,FALSE)="Sever",Backdoors!AY27/100,IF(VLOOKUP(A27,tbMoveset!A2:B112,2,FALSE)="Blunt",Backdoors!AZ27/100,Backdoors!BA27/100)),"")</f>
        <v/>
      </c>
      <c r="FO27" s="49">
        <f>IFERROR(IF(VLOOKUP(tbMoveset!A27,tbMoveset!A2:H112,8,FALSE)="Other",IF(VLOOKUP(tbMoveset!A27,tbMoveset!A2:I112,9,FALSE)="Fire",Backdoors!BB27,IF(VLOOKUP(tbMoveset!A27,tbMoveset!A2:I112,9,FALSE)="Water",Backdoors!BC27,IF(VLOOKUP(tbMoveset!A27,tbMoveset!A2:I112,9,FALSE)="Thunder",Backdoors!BD27,IF(VLOOKUP(tbMoveset!A27,tbMoveset!A2:I112,9,FALSE)="Ice",Backdoors!BE27,IF(VLOOKUP(tbMoveset!A27,tbMoveset!A2:I112,9,FALSE)="Dragon",Backdoors!BF27,Backdoors!BG27)))))/100,Backdoors!BG27/100),"")</f>
        <v>0</v>
      </c>
      <c r="FP27" s="49">
        <f>IFERROR(IF(VLOOKUP(A27,tbMoveset!A2:J112,10,FALSE)=TRUE,IF((Backdoors!AI12+IF(FN27&gt;=0.45,VLOOKUP(Calculator!E23,tbSkills!DH3:DI6,2,FALSE)+IF(AND(Calculator!B8=TRUE,Backdoors!BI27=TRUE),VLOOKUP(Calculator!E23,tbSkills!DH3:DJ6,3,FALSE),0),0))&gt;=0,1+(Backdoors!AL2*(IF((Backdoors!AI12+IF(FN27&gt;=0.45,VLOOKUP(Calculator!E23,tbSkills!DH3:DI6,2,FALSE)+IF(AND(Calculator!B8=TRUE,Backdoors!BI27=TRUE),VLOOKUP(Calculator!E23,tbSkills!DH3:DJ6,3,FALSE),0),0))&gt;=100,100,(Backdoors!AI12+IF(FN27&gt;=0.45,VLOOKUP(Calculator!E23,tbSkills!DH3:DI6,2,FALSE)+IF(AND(Calculator!B8=TRUE,Backdoors!BI27=TRUE),VLOOKUP(Calculator!E23,tbSkills!DH3:DJ6,3,FALSE),0),0)))/100)),(1-(0.25*((-Backdoors!AI12-IF(FN27&gt;=0.45,VLOOKUP(Calculator!E23,tbSkills!DH3:DI6,2,FALSE)+IF(AND(Calculator!B8=TRUE,Backdoors!BI27=TRUE),VLOOKUP(Calculator!E23,tbSkills!DH3:DJ6,3,FALSE),0),0))/100)))),1),"")</f>
        <v>1</v>
      </c>
      <c r="FQ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FN27)*FP27)*(VLOOKUP(A27,tbMoveset!A2:C112,3,FALSE)/100)*IF(VLOOKUP(A27,tbMoveset!A2:B112,2,FALSE)="Projectile",Backdoors!N10,Backdoors!N9),0),"")</f>
        <v/>
      </c>
      <c r="FR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FN27&gt;=0.45,VLOOKUP(Calculator!E23,tbSkills!DH3:DI6,2,FALSE)+IF(AND(Calculator!B8=TRUE,Backdoors!BI27=TRUE),VLOOKUP(Calculator!E23,tbSkills!DH3:DJ6,3,FALSE),0),0))&gt;=100,100,(Backdoors!AI12+IF(FN27&gt;=0.45,VLOOKUP(Calculator!E23,tbSkills!DH3:DI6,2,FALSE)+IF(AND(Calculator!B8=TRUE,Backdoors!BI27=TRUE),VLOOKUP(Calculator!E23,tbSkills!DH3:DJ6,3,FALSE),0),0)))/100)),1))*IF(VLOOKUP(A27,tbMoveset!A2:K112,11,FALSE)=TRUE,Backdoors!AC5,1))*FO27,0),"")</f>
        <v>0</v>
      </c>
      <c r="FS27" s="49">
        <f>VLOOKUP(A27,tbMoveset!A2:G112,7,FALSE)*IFERROR(IF(Backdoors!AI12&gt;=0,1+(IF(Calculator!E40&gt;0,VLOOKUP(Calculator!E40,tbSkills!AI3:AJ5,2,FALSE),Backdoors!AL4)*(IF((Backdoors!AI12+IF(FN27&gt;=0.45,VLOOKUP(Calculator!E23,tbSkills!DH3:DI6,2,FALSE)+IF(AND(Calculator!B8=TRUE,Backdoors!BI27=TRUE),VLOOKUP(Calculator!E23,tbSkills!DH3:DJ6,3,FALSE),0),0))&gt;=100,100,(Backdoors!AI12+IF(FN27&gt;=0.45,VLOOKUP(Calculator!E23,tbSkills!DH3:DI6,2,FALSE)+IF(AND(Calculator!B8=TRUE,Backdoors!BI27=TRUE),VLOOKUP(Calculator!E23,tbSkills!DH3:DJ6,3,FALSE),0),0)))/100)),1),1)</f>
        <v>1</v>
      </c>
      <c r="FT27" s="87">
        <f t="shared" si="17"/>
        <v>0</v>
      </c>
      <c r="FU27" s="86" t="str">
        <f>IFERROR(IF(VLOOKUP(A27,tbMoveset!A2:B112,2,FALSE)="Sever",Backdoors!AY28/100,IF(VLOOKUP(A27,tbMoveset!A2:B112,2,FALSE)="Blunt",Backdoors!AZ28/100,Backdoors!BA28/100)),"")</f>
        <v/>
      </c>
      <c r="FV27" s="49">
        <f>IFERROR(IF(VLOOKUP(tbMoveset!A27,tbMoveset!A2:H112,8,FALSE)="Other",IF(VLOOKUP(tbMoveset!A27,tbMoveset!A2:I112,9,FALSE)="Fire",Backdoors!BB28,IF(VLOOKUP(tbMoveset!A27,tbMoveset!A2:I112,9,FALSE)="Water",Backdoors!BC28,IF(VLOOKUP(tbMoveset!A27,tbMoveset!A2:I112,9,FALSE)="Thunder",Backdoors!BD28,IF(VLOOKUP(tbMoveset!A27,tbMoveset!A2:I112,9,FALSE)="Ice",Backdoors!BE28,IF(VLOOKUP(tbMoveset!A27,tbMoveset!A2:I112,9,FALSE)="Dragon",Backdoors!BF28,Backdoors!BG28)))))/100,Backdoors!BG28/100),"")</f>
        <v>0</v>
      </c>
      <c r="FW27" s="49">
        <f>IFERROR(IF(VLOOKUP(A27,tbMoveset!A2:J112,10,FALSE)=TRUE,IF((Backdoors!AI12+IF(FU27&gt;=0.45,VLOOKUP(Calculator!E23,tbSkills!DH3:DI6,2,FALSE)+IF(AND(Calculator!B8=TRUE,Backdoors!BI28=TRUE),VLOOKUP(Calculator!E23,tbSkills!DH3:DJ6,3,FALSE),0),0))&gt;=0,1+(Backdoors!AL2*(IF((Backdoors!AI12+IF(FU27&gt;=0.45,VLOOKUP(Calculator!E23,tbSkills!DH3:DI6,2,FALSE)+IF(AND(Calculator!B8=TRUE,Backdoors!BI28=TRUE),VLOOKUP(Calculator!E23,tbSkills!DH3:DJ6,3,FALSE),0),0))&gt;=100,100,(Backdoors!AI12+IF(FU27&gt;=0.45,VLOOKUP(Calculator!E23,tbSkills!DH3:DI6,2,FALSE)+IF(AND(Calculator!B8=TRUE,Backdoors!BI28=TRUE),VLOOKUP(Calculator!E23,tbSkills!DH3:DJ6,3,FALSE),0),0)))/100)),(1-(0.25*((-Backdoors!AI12-IF(FU27&gt;=0.45,VLOOKUP(Calculator!E23,tbSkills!DH3:DI6,2,FALSE)+IF(AND(Calculator!B8=TRUE,Backdoors!BI28=TRUE),VLOOKUP(Calculator!E23,tbSkills!DH3:DJ6,3,FALSE),0),0))/100)))),1),"")</f>
        <v>1</v>
      </c>
      <c r="FX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FU27)*FW27)*(VLOOKUP(A27,tbMoveset!A2:C112,3,FALSE)/100)*IF(VLOOKUP(A27,tbMoveset!A2:B112,2,FALSE)="Projectile",Backdoors!N10,Backdoors!N9),0),"")</f>
        <v/>
      </c>
      <c r="FY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FU27&gt;=0.45,VLOOKUP(Calculator!E23,tbSkills!DH3:DI6,2,FALSE)+IF(AND(Calculator!B8=TRUE,Backdoors!BI28=TRUE),VLOOKUP(Calculator!E23,tbSkills!DH3:DJ6,3,FALSE),0),0))&gt;=100,100,(Backdoors!AI12+IF(FU27&gt;=0.45,VLOOKUP(Calculator!E23,tbSkills!DH3:DI6,2,FALSE)+IF(AND(Calculator!B8=TRUE,Backdoors!BI28=TRUE),VLOOKUP(Calculator!E23,tbSkills!DH3:DJ6,3,FALSE),0),0)))/100)),1))*IF(VLOOKUP(A27,tbMoveset!A2:K112,11,FALSE)=TRUE,Backdoors!AC5,1))*FV27,0),"")</f>
        <v>0</v>
      </c>
      <c r="FZ27" s="49">
        <f>VLOOKUP(A27,tbMoveset!A2:G112,7,FALSE)*IFERROR(IF(Backdoors!AI12&gt;=0,1+(IF(Calculator!E40&gt;0,VLOOKUP(Calculator!E40,tbSkills!AI3:AJ5,2,FALSE),Backdoors!AL4)*(IF((Backdoors!AI12+IF(FU27&gt;=0.45,VLOOKUP(Calculator!E23,tbSkills!DH3:DI6,2,FALSE)+IF(AND(Calculator!B8=TRUE,Backdoors!BI28=TRUE),VLOOKUP(Calculator!E23,tbSkills!DH3:DJ6,3,FALSE),0),0))&gt;=100,100,(Backdoors!AI12+IF(FU27&gt;=0.45,VLOOKUP(Calculator!E23,tbSkills!DH3:DI6,2,FALSE)+IF(AND(Calculator!B8=TRUE,Backdoors!BI28=TRUE),VLOOKUP(Calculator!E23,tbSkills!DH3:DJ6,3,FALSE),0),0)))/100)),1),1)</f>
        <v>1</v>
      </c>
      <c r="GA27" s="87">
        <f t="shared" si="18"/>
        <v>0</v>
      </c>
      <c r="GB27" s="86" t="str">
        <f>IFERROR(IF(VLOOKUP(A27,tbMoveset!A2:B112,2,FALSE)="Sever",Backdoors!AY29/100,IF(VLOOKUP(A27,tbMoveset!A2:B112,2,FALSE)="Blunt",Backdoors!AZ29/100,Backdoors!BA29/100)),"")</f>
        <v/>
      </c>
      <c r="GC27" s="49">
        <f>IFERROR(IF(VLOOKUP(tbMoveset!A27,tbMoveset!A2:H112,8,FALSE)="Other",IF(VLOOKUP(tbMoveset!A27,tbMoveset!A2:I112,9,FALSE)="Fire",Backdoors!BB29,IF(VLOOKUP(tbMoveset!A27,tbMoveset!A2:I112,9,FALSE)="Water",Backdoors!BC29,IF(VLOOKUP(tbMoveset!A27,tbMoveset!A2:I112,9,FALSE)="Thunder",Backdoors!BD29,IF(VLOOKUP(tbMoveset!A27,tbMoveset!A2:I112,9,FALSE)="Ice",Backdoors!BE29,IF(VLOOKUP(tbMoveset!A27,tbMoveset!A2:I112,9,FALSE)="Dragon",Backdoors!BF29,Backdoors!BG29)))))/100,Backdoors!BG29/100),"")</f>
        <v>0</v>
      </c>
      <c r="GD27" s="49">
        <f>IFERROR(IF(VLOOKUP(A27,tbMoveset!A2:J112,10,FALSE)=TRUE,IF((Backdoors!AI12+IF(GB27&gt;=0.45,VLOOKUP(Calculator!E23,tbSkills!DH3:DI6,2,FALSE)+IF(AND(Calculator!B8=TRUE,Backdoors!BI29=TRUE),VLOOKUP(Calculator!E23,tbSkills!DH3:DJ6,3,FALSE),0),0))&gt;=0,1+(Backdoors!AL2*(IF((Backdoors!AI12+IF(GB27&gt;=0.45,VLOOKUP(Calculator!E23,tbSkills!DH3:DI6,2,FALSE)+IF(AND(Calculator!B8=TRUE,Backdoors!BI29=TRUE),VLOOKUP(Calculator!E23,tbSkills!DH3:DJ6,3,FALSE),0),0))&gt;=100,100,(Backdoors!AI12+IF(GB27&gt;=0.45,VLOOKUP(Calculator!E23,tbSkills!DH3:DI6,2,FALSE)+IF(AND(Calculator!B8=TRUE,Backdoors!BI29=TRUE),VLOOKUP(Calculator!E23,tbSkills!DH3:DJ6,3,FALSE),0),0)))/100)),(1-(0.25*((-Backdoors!AI12-IF(GB27&gt;=0.45,VLOOKUP(Calculator!E23,tbSkills!DH3:DI6,2,FALSE)+IF(AND(Calculator!B8=TRUE,Backdoors!BI29=TRUE),VLOOKUP(Calculator!E23,tbSkills!DH3:DJ6,3,FALSE),0),0))/100)))),1),"")</f>
        <v>1</v>
      </c>
      <c r="GE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B27)*GD27)*(VLOOKUP(A27,tbMoveset!A2:C112,3,FALSE)/100)*IF(VLOOKUP(A27,tbMoveset!A2:B112,2,FALSE)="Projectile",Backdoors!N10,Backdoors!N9),0),"")</f>
        <v/>
      </c>
      <c r="GF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B27&gt;=0.45,VLOOKUP(Calculator!E23,tbSkills!DH3:DI6,2,FALSE)+IF(AND(Calculator!B8=TRUE,Backdoors!BI29=TRUE),VLOOKUP(Calculator!E23,tbSkills!DH3:DJ6,3,FALSE),0),0))&gt;=100,100,(Backdoors!AI12+IF(GB27&gt;=0.45,VLOOKUP(Calculator!E23,tbSkills!DH3:DI6,2,FALSE)+IF(AND(Calculator!B8=TRUE,Backdoors!BI29=TRUE),VLOOKUP(Calculator!E23,tbSkills!DH3:DJ6,3,FALSE),0),0)))/100)),1))*IF(VLOOKUP(A27,tbMoveset!A2:K112,11,FALSE)=TRUE,Backdoors!AC5,1))*GC27,0),"")</f>
        <v>0</v>
      </c>
      <c r="GG27" s="49">
        <f>VLOOKUP(A27,tbMoveset!A2:G112,7,FALSE)*IFERROR(IF(Backdoors!AI12&gt;=0,1+(IF(Calculator!E40&gt;0,VLOOKUP(Calculator!E40,tbSkills!AI3:AJ5,2,FALSE),Backdoors!AL4)*(IF((Backdoors!AI12+IF(GB27&gt;=0.45,VLOOKUP(Calculator!E23,tbSkills!DH3:DI6,2,FALSE)+IF(AND(Calculator!B8=TRUE,Backdoors!BI29=TRUE),VLOOKUP(Calculator!E23,tbSkills!DH3:DJ6,3,FALSE),0),0))&gt;=100,100,(Backdoors!AI12+IF(GB27&gt;=0.45,VLOOKUP(Calculator!E23,tbSkills!DH3:DI6,2,FALSE)+IF(AND(Calculator!B8=TRUE,Backdoors!BI29=TRUE),VLOOKUP(Calculator!E23,tbSkills!DH3:DJ6,3,FALSE),0),0)))/100)),1),1)</f>
        <v>1</v>
      </c>
      <c r="GH27" s="87">
        <f t="shared" si="19"/>
        <v>0</v>
      </c>
      <c r="GI27" s="86" t="str">
        <f>IFERROR(IF(VLOOKUP(A27,tbMoveset!A2:B112,2,FALSE)="Sever",Backdoors!AY30/100,IF(VLOOKUP(A27,tbMoveset!A2:B112,2,FALSE)="Blunt",Backdoors!AZ30/100,Backdoors!BA30/100)),"")</f>
        <v/>
      </c>
      <c r="GJ27" s="49">
        <f>IFERROR(IF(VLOOKUP(tbMoveset!A27,tbMoveset!A2:H112,8,FALSE)="Other",IF(VLOOKUP(tbMoveset!A27,tbMoveset!A2:I112,9,FALSE)="Fire",Backdoors!BB30,IF(VLOOKUP(tbMoveset!A27,tbMoveset!A2:I112,9,FALSE)="Water",Backdoors!BC30,IF(VLOOKUP(tbMoveset!A27,tbMoveset!A2:I112,9,FALSE)="Thunder",Backdoors!BD30,IF(VLOOKUP(tbMoveset!A27,tbMoveset!A2:I112,9,FALSE)="Ice",Backdoors!BE30,IF(VLOOKUP(tbMoveset!A27,tbMoveset!A2:I112,9,FALSE)="Dragon",Backdoors!BF30,Backdoors!BG30)))))/100,Backdoors!BG30/100),"")</f>
        <v>0</v>
      </c>
      <c r="GK27" s="49">
        <f>IFERROR(IF(VLOOKUP(A27,tbMoveset!A2:J112,10,FALSE)=TRUE,IF((Backdoors!AI12+IF(GI27&gt;=0.45,VLOOKUP(Calculator!E23,tbSkills!DH3:DI6,2,FALSE)+IF(AND(Calculator!B8=TRUE,Backdoors!BI30=TRUE),VLOOKUP(Calculator!E23,tbSkills!DH3:DJ6,3,FALSE),0),0))&gt;=0,1+(Backdoors!AL2*(IF((Backdoors!AI12+IF(GI27&gt;=0.45,VLOOKUP(Calculator!E23,tbSkills!DH3:DI6,2,FALSE)+IF(AND(Calculator!B8=TRUE,Backdoors!BI30=TRUE),VLOOKUP(Calculator!E23,tbSkills!DH3:DJ6,3,FALSE),0),0))&gt;=100,100,(Backdoors!AI12+IF(GI27&gt;=0.45,VLOOKUP(Calculator!E23,tbSkills!DH3:DI6,2,FALSE)+IF(AND(Calculator!B8=TRUE,Backdoors!BI30=TRUE),VLOOKUP(Calculator!E23,tbSkills!DH3:DJ6,3,FALSE),0),0)))/100)),(1-(0.25*((-Backdoors!AI12-IF(GI27&gt;=0.45,VLOOKUP(Calculator!E23,tbSkills!DH3:DI6,2,FALSE)+IF(AND(Calculator!B8=TRUE,Backdoors!BI30=TRUE),VLOOKUP(Calculator!E23,tbSkills!DH3:DJ6,3,FALSE),0),0))/100)))),1),"")</f>
        <v>1</v>
      </c>
      <c r="GL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I27)*GK27)*(VLOOKUP(A27,tbMoveset!A2:C112,3,FALSE)/100)*IF(VLOOKUP(A27,tbMoveset!A2:B112,2,FALSE)="Projectile",Backdoors!N10,Backdoors!N9),0),"")</f>
        <v/>
      </c>
      <c r="GM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I27&gt;=0.45,VLOOKUP(Calculator!E23,tbSkills!DH3:DI6,2,FALSE)+IF(AND(Calculator!B8=TRUE,Backdoors!BI30=TRUE),VLOOKUP(Calculator!E23,tbSkills!DH3:DJ6,3,FALSE),0),0))&gt;=100,100,(Backdoors!AI12+IF(GI27&gt;=0.45,VLOOKUP(Calculator!E23,tbSkills!DH3:DI6,2,FALSE)+IF(AND(Calculator!B8=TRUE,Backdoors!BI30=TRUE),VLOOKUP(Calculator!E23,tbSkills!DH3:DJ6,3,FALSE),0),0)))/100)),1))*IF(VLOOKUP(A27,tbMoveset!A2:K112,11,FALSE)=TRUE,Backdoors!AC5,1))*GJ27,0),"")</f>
        <v>0</v>
      </c>
      <c r="GN27" s="49">
        <f>VLOOKUP(A27,tbMoveset!A2:G112,7,FALSE)*IFERROR(IF(Backdoors!AI12&gt;=0,1+(IF(Calculator!E40&gt;0,VLOOKUP(Calculator!E40,tbSkills!AI3:AJ5,2,FALSE),Backdoors!AL4)*(IF((Backdoors!AI12+IF(GI27&gt;=0.45,VLOOKUP(Calculator!E23,tbSkills!DH3:DI6,2,FALSE)+IF(AND(Calculator!B8=TRUE,Backdoors!BI30=TRUE),VLOOKUP(Calculator!E23,tbSkills!DH3:DJ6,3,FALSE),0),0))&gt;=100,100,(Backdoors!AI12+IF(GI27&gt;=0.45,VLOOKUP(Calculator!E23,tbSkills!DH3:DI6,2,FALSE)+IF(AND(Calculator!B8=TRUE,Backdoors!BI30=TRUE),VLOOKUP(Calculator!E23,tbSkills!DH3:DJ6,3,FALSE),0),0)))/100)),1),1)</f>
        <v>1</v>
      </c>
      <c r="GO27" s="87">
        <f t="shared" si="20"/>
        <v>0</v>
      </c>
      <c r="GP27" s="86" t="str">
        <f>IFERROR(IF(VLOOKUP(A27,tbMoveset!A2:B112,2,FALSE)="Sever",Backdoors!AY31/100,IF(VLOOKUP(A27,tbMoveset!A2:B112,2,FALSE)="Blunt",Backdoors!AZ31/100,Backdoors!BA31/100)),"")</f>
        <v/>
      </c>
      <c r="GQ27" s="49">
        <f>IFERROR(IF(VLOOKUP(tbMoveset!A27,tbMoveset!A2:H112,8,FALSE)="Other",IF(VLOOKUP(tbMoveset!A27,tbMoveset!A2:I112,9,FALSE)="Fire",Backdoors!BB31,IF(VLOOKUP(tbMoveset!A27,tbMoveset!A2:I112,9,FALSE)="Water",Backdoors!BC31,IF(VLOOKUP(tbMoveset!A27,tbMoveset!A2:I112,9,FALSE)="Thunder",Backdoors!BD31,IF(VLOOKUP(tbMoveset!A27,tbMoveset!A2:I112,9,FALSE)="Ice",Backdoors!BE31,IF(VLOOKUP(tbMoveset!A27,tbMoveset!A2:I112,9,FALSE)="Dragon",Backdoors!BF31,Backdoors!BG31)))))/100,Backdoors!BG31/100),"")</f>
        <v>0</v>
      </c>
      <c r="GR27" s="49">
        <f>IFERROR(IF(VLOOKUP(A27,tbMoveset!A2:J112,10,FALSE)=TRUE,IF((Backdoors!AI12+IF(GP27&gt;=0.45,VLOOKUP(Calculator!E23,tbSkills!DH3:DI6,2,FALSE)+IF(AND(Calculator!B8=TRUE,Backdoors!BI31=TRUE),VLOOKUP(Calculator!E23,tbSkills!DH3:DJ6,3,FALSE),0),0))&gt;=0,1+(Backdoors!AL2*(IF((Backdoors!AI12+IF(GP27&gt;=0.45,VLOOKUP(Calculator!E23,tbSkills!DH3:DI6,2,FALSE)+IF(AND(Calculator!B8=TRUE,Backdoors!BI31=TRUE),VLOOKUP(Calculator!E23,tbSkills!DH3:DJ6,3,FALSE),0),0))&gt;=100,100,(Backdoors!AI12+IF(GP27&gt;=0.45,VLOOKUP(Calculator!E23,tbSkills!DH3:DI6,2,FALSE)+IF(AND(Calculator!B8=TRUE,Backdoors!BI31=TRUE),VLOOKUP(Calculator!E23,tbSkills!DH3:DJ6,3,FALSE),0),0)))/100)),(1-(0.25*((-Backdoors!AI12-IF(GP27&gt;=0.45,VLOOKUP(Calculator!E23,tbSkills!DH3:DI6,2,FALSE)+IF(AND(Calculator!B8=TRUE,Backdoors!BI31=TRUE),VLOOKUP(Calculator!E23,tbSkills!DH3:DJ6,3,FALSE),0),0))/100)))),1),"")</f>
        <v>1</v>
      </c>
      <c r="GS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P27)*GR27)*(VLOOKUP(A27,tbMoveset!A2:C112,3,FALSE)/100)*IF(VLOOKUP(A27,tbMoveset!A2:B112,2,FALSE)="Projectile",Backdoors!N10,Backdoors!N9),0),"")</f>
        <v/>
      </c>
      <c r="GT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P27&gt;=0.45,VLOOKUP(Calculator!E23,tbSkills!DH3:DI6,2,FALSE)+IF(AND(Calculator!B8=TRUE,Backdoors!BI31=TRUE),VLOOKUP(Calculator!E23,tbSkills!DH3:DJ6,3,FALSE),0),0))&gt;=100,100,(Backdoors!AI12+IF(GP27&gt;=0.45,VLOOKUP(Calculator!E23,tbSkills!DH3:DI6,2,FALSE)+IF(AND(Calculator!B8=TRUE,Backdoors!BI31=TRUE),VLOOKUP(Calculator!E23,tbSkills!DH3:DJ6,3,FALSE),0),0)))/100)),1))*IF(VLOOKUP(A27,tbMoveset!A2:K112,11,FALSE)=TRUE,Backdoors!AC5,1))*GQ27,0),"")</f>
        <v>0</v>
      </c>
      <c r="GU27" s="49">
        <f>VLOOKUP(A27,tbMoveset!A2:G112,7,FALSE)*IFERROR(IF(Backdoors!AI12&gt;=0,1+(IF(Calculator!E40&gt;0,VLOOKUP(Calculator!E40,tbSkills!AI3:AJ5,2,FALSE),Backdoors!AL4)*(IF((Backdoors!AI12+IF(GP27&gt;=0.45,VLOOKUP(Calculator!E23,tbSkills!DH3:DI6,2,FALSE)+IF(AND(Calculator!B8=TRUE,Backdoors!BI31=TRUE),VLOOKUP(Calculator!E23,tbSkills!DH3:DJ6,3,FALSE),0),0))&gt;=100,100,(Backdoors!AI12+IF(GP27&gt;=0.45,VLOOKUP(Calculator!E23,tbSkills!DH3:DI6,2,FALSE)+IF(AND(Calculator!B8=TRUE,Backdoors!BI31=TRUE),VLOOKUP(Calculator!E23,tbSkills!DH3:DJ6,3,FALSE),0),0)))/100)),1),1)</f>
        <v>1</v>
      </c>
      <c r="GV27" s="87">
        <f t="shared" si="21"/>
        <v>0</v>
      </c>
      <c r="GW27" s="86" t="str">
        <f>IFERROR(IF(VLOOKUP(A27,tbMoveset!A2:B112,2,FALSE)="Sever",Backdoors!AY32/100,IF(VLOOKUP(A27,tbMoveset!A2:B112,2,FALSE)="Blunt",Backdoors!AZ32/100,Backdoors!BA32/100)),"")</f>
        <v/>
      </c>
      <c r="GX27" s="49">
        <f>IFERROR(IF(VLOOKUP(tbMoveset!A27,tbMoveset!A2:H112,8,FALSE)="Other",IF(VLOOKUP(tbMoveset!A27,tbMoveset!A2:I112,9,FALSE)="Fire",Backdoors!BB32,IF(VLOOKUP(tbMoveset!A27,tbMoveset!A2:I112,9,FALSE)="Water",Backdoors!BC32,IF(VLOOKUP(tbMoveset!A27,tbMoveset!A2:I112,9,FALSE)="Thunder",Backdoors!BD32,IF(VLOOKUP(tbMoveset!A27,tbMoveset!A2:I112,9,FALSE)="Ice",Backdoors!BE32,IF(VLOOKUP(tbMoveset!A27,tbMoveset!A2:I112,9,FALSE)="Dragon",Backdoors!BF32,Backdoors!BG32)))))/100,Backdoors!BG32/100),"")</f>
        <v>0</v>
      </c>
      <c r="GY27" s="49">
        <f>IFERROR(IF(VLOOKUP(A27,tbMoveset!A2:J112,10,FALSE)=TRUE,IF((Backdoors!AI12+IF(GW27&gt;=0.45,VLOOKUP(Calculator!E23,tbSkills!DH3:DI6,2,FALSE)+IF(AND(Calculator!B8=TRUE,Backdoors!BI32=TRUE),VLOOKUP(Calculator!E23,tbSkills!DH3:DJ6,3,FALSE),0),0))&gt;=0,1+(Backdoors!AL2*(IF((Backdoors!AI12+IF(GW27&gt;=0.45,VLOOKUP(Calculator!E23,tbSkills!DH3:DI6,2,FALSE)+IF(AND(Calculator!B8=TRUE,Backdoors!BI32=TRUE),VLOOKUP(Calculator!E23,tbSkills!DH3:DJ6,3,FALSE),0),0))&gt;=100,100,(Backdoors!AI12+IF(GW27&gt;=0.45,VLOOKUP(Calculator!E23,tbSkills!DH3:DI6,2,FALSE)+IF(AND(Calculator!B8=TRUE,Backdoors!BI32=TRUE),VLOOKUP(Calculator!E23,tbSkills!DH3:DJ6,3,FALSE),0),0)))/100)),(1-(0.25*((-Backdoors!AI12-IF(GW27&gt;=0.45,VLOOKUP(Calculator!E23,tbSkills!DH3:DI6,2,FALSE)+IF(AND(Calculator!B8=TRUE,Backdoors!BI32=TRUE),VLOOKUP(Calculator!E23,tbSkills!DH3:DJ6,3,FALSE),0),0))/100)))),1),"")</f>
        <v>1</v>
      </c>
      <c r="GZ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W27)*GY27)*(VLOOKUP(A27,tbMoveset!A2:C112,3,FALSE)/100)*IF(VLOOKUP(A27,tbMoveset!A2:B112,2,FALSE)="Projectile",Backdoors!N10,Backdoors!N9),0),"")</f>
        <v/>
      </c>
      <c r="HA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W27&gt;=0.45,VLOOKUP(Calculator!E23,tbSkills!DH3:DI6,2,FALSE)+IF(AND(Calculator!B8=TRUE,Backdoors!BI32=TRUE),VLOOKUP(Calculator!E23,tbSkills!DH3:DJ6,3,FALSE),0),0))&gt;=100,100,(Backdoors!AI12+IF(GW27&gt;=0.45,VLOOKUP(Calculator!E23,tbSkills!DH3:DI6,2,FALSE)+IF(AND(Calculator!B8=TRUE,Backdoors!BI32=TRUE),VLOOKUP(Calculator!E23,tbSkills!DH3:DJ6,3,FALSE),0),0)))/100)),1))*IF(VLOOKUP(A27,tbMoveset!A2:K112,11,FALSE)=TRUE,Backdoors!AC5,1))*GX27,0),"")</f>
        <v>0</v>
      </c>
      <c r="HB27" s="49">
        <f>VLOOKUP(A27,tbMoveset!A2:G112,7,FALSE)*IFERROR(IF(Backdoors!AI12&gt;=0,1+(IF(Calculator!E40&gt;0,VLOOKUP(Calculator!E40,tbSkills!AI3:AJ5,2,FALSE),Backdoors!AL4)*(IF((Backdoors!AI12+IF(GW27&gt;=0.45,VLOOKUP(Calculator!E23,tbSkills!DH3:DI6,2,FALSE)+IF(AND(Calculator!B8=TRUE,Backdoors!BI32=TRUE),VLOOKUP(Calculator!E23,tbSkills!DH3:DJ6,3,FALSE),0),0))&gt;=100,100,(Backdoors!AI12+IF(GW27&gt;=0.45,VLOOKUP(Calculator!E23,tbSkills!DH3:DI6,2,FALSE)+IF(AND(Calculator!B8=TRUE,Backdoors!BI32=TRUE),VLOOKUP(Calculator!E23,tbSkills!DH3:DJ6,3,FALSE),0),0)))/100)),1),1)</f>
        <v>1</v>
      </c>
      <c r="HC27" s="87">
        <f t="shared" si="22"/>
        <v>0</v>
      </c>
      <c r="HD27" s="86" t="str">
        <f>IFERROR(IF(VLOOKUP(A27,tbMoveset!A2:B112,2,FALSE)="Sever",Backdoors!AY33/100,IF(VLOOKUP(A27,tbMoveset!A2:B112,2,FALSE)="Blunt",Backdoors!AZ33/100,Backdoors!BA33/100)),"")</f>
        <v/>
      </c>
      <c r="HE27" s="49">
        <f>IFERROR(IF(VLOOKUP(tbMoveset!A27,tbMoveset!A2:H112,8,FALSE)="Other",IF(VLOOKUP(tbMoveset!A27,tbMoveset!A2:I112,9,FALSE)="Fire",Backdoors!BB33,IF(VLOOKUP(tbMoveset!A27,tbMoveset!A2:I112,9,FALSE)="Water",Backdoors!BC33,IF(VLOOKUP(tbMoveset!A27,tbMoveset!A2:I112,9,FALSE)="Thunder",Backdoors!BD33,IF(VLOOKUP(tbMoveset!A27,tbMoveset!A2:I112,9,FALSE)="Ice",Backdoors!BE33,IF(VLOOKUP(tbMoveset!A27,tbMoveset!A2:I112,9,FALSE)="Dragon",Backdoors!BF33,Backdoors!BG33)))))/100,Backdoors!BG33/100),"")</f>
        <v>0</v>
      </c>
      <c r="HF27" s="49">
        <f>IFERROR(IF(VLOOKUP(A27,tbMoveset!A2:J112,10,FALSE)=TRUE,IF((Backdoors!AI12+IF(HD27&gt;=0.45,VLOOKUP(Calculator!E23,tbSkills!DH3:DI6,2,FALSE)+IF(AND(Calculator!B8=TRUE,Backdoors!BI33=TRUE),VLOOKUP(Calculator!E23,tbSkills!DH3:DJ6,3,FALSE),0),0))&gt;=0,1+(Backdoors!AL2*(IF((Backdoors!AI12+IF(HD27&gt;=0.45,VLOOKUP(Calculator!E23,tbSkills!DH3:DI6,2,FALSE)+IF(AND(Calculator!B8=TRUE,Backdoors!BI33=TRUE),VLOOKUP(Calculator!E23,tbSkills!DH3:DJ6,3,FALSE),0),0))&gt;=100,100,(Backdoors!AI12+IF(HD27&gt;=0.45,VLOOKUP(Calculator!E23,tbSkills!DH3:DI6,2,FALSE)+IF(AND(Calculator!B8=TRUE,Backdoors!BI33=TRUE),VLOOKUP(Calculator!E23,tbSkills!DH3:DJ6,3,FALSE),0),0)))/100)),(1-(0.25*((-Backdoors!AI12-IF(HD27&gt;=0.45,VLOOKUP(Calculator!E23,tbSkills!DH3:DI6,2,FALSE)+IF(AND(Calculator!B8=TRUE,Backdoors!BI33=TRUE),VLOOKUP(Calculator!E23,tbSkills!DH3:DJ6,3,FALSE),0),0))/100)))),1),"")</f>
        <v>1</v>
      </c>
      <c r="HG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D27)*HF27)*(VLOOKUP(A27,tbMoveset!A2:C112,3,FALSE)/100)*IF(VLOOKUP(A27,tbMoveset!A2:B112,2,FALSE)="Projectile",Backdoors!N10,Backdoors!N9),0),"")</f>
        <v/>
      </c>
      <c r="HH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D27&gt;=0.45,VLOOKUP(Calculator!E23,tbSkills!DH3:DI6,2,FALSE)+IF(AND(Calculator!B8=TRUE,Backdoors!BI33=TRUE),VLOOKUP(Calculator!E23,tbSkills!DH3:DJ6,3,FALSE),0),0))&gt;=100,100,(Backdoors!AI12+IF(HD27&gt;=0.45,VLOOKUP(Calculator!E23,tbSkills!DH3:DI6,2,FALSE)+IF(AND(Calculator!B8=TRUE,Backdoors!BI33=TRUE),VLOOKUP(Calculator!E23,tbSkills!DH3:DJ6,3,FALSE),0),0)))/100)),1))*IF(VLOOKUP(A27,tbMoveset!A2:K112,11,FALSE)=TRUE,Backdoors!AC5,1))*HE27,0),"")</f>
        <v>0</v>
      </c>
      <c r="HI27" s="49">
        <f>VLOOKUP(A27,tbMoveset!A2:G112,7,FALSE)*IFERROR(IF(Backdoors!AI12&gt;=0,1+(IF(Calculator!E40&gt;0,VLOOKUP(Calculator!E40,tbSkills!AI3:AJ5,2,FALSE),Backdoors!AL4)*(IF((Backdoors!AI12+IF(HD27&gt;=0.45,VLOOKUP(Calculator!E23,tbSkills!DH3:DI6,2,FALSE)+IF(AND(Calculator!B8=TRUE,Backdoors!BI33=TRUE),VLOOKUP(Calculator!E23,tbSkills!DH3:DJ6,3,FALSE),0),0))&gt;=100,100,(Backdoors!AI12+IF(HD27&gt;=0.45,VLOOKUP(Calculator!E23,tbSkills!DH3:DI6,2,FALSE)+IF(AND(Calculator!B8=TRUE,Backdoors!BI33=TRUE),VLOOKUP(Calculator!E23,tbSkills!DH3:DJ6,3,FALSE),0),0)))/100)),1),1)</f>
        <v>1</v>
      </c>
      <c r="HJ27" s="87">
        <f t="shared" si="23"/>
        <v>0</v>
      </c>
      <c r="HK27" s="86" t="str">
        <f>IFERROR(IF(VLOOKUP(A27,tbMoveset!A2:B112,2,FALSE)="Sever",Backdoors!AY34/100,IF(VLOOKUP(A27,tbMoveset!A2:B112,2,FALSE)="Blunt",Backdoors!AZ34/100,Backdoors!BA34/100)),"")</f>
        <v/>
      </c>
      <c r="HL27" s="49">
        <f>IFERROR(IF(VLOOKUP(tbMoveset!A27,tbMoveset!A2:H112,8,FALSE)="Other",IF(VLOOKUP(tbMoveset!A27,tbMoveset!A2:I112,9,FALSE)="Fire",Backdoors!BB34,IF(VLOOKUP(tbMoveset!A27,tbMoveset!A2:I112,9,FALSE)="Water",Backdoors!BC34,IF(VLOOKUP(tbMoveset!A27,tbMoveset!A2:I112,9,FALSE)="Thunder",Backdoors!BD34,IF(VLOOKUP(tbMoveset!A27,tbMoveset!A2:I112,9,FALSE)="Ice",Backdoors!BE34,IF(VLOOKUP(tbMoveset!A27,tbMoveset!A2:I112,9,FALSE)="Dragon",Backdoors!BF34,Backdoors!BG34)))))/100,Backdoors!BG34/100),"")</f>
        <v>0</v>
      </c>
      <c r="HM27" s="49">
        <f>IFERROR(IF(VLOOKUP(A27,tbMoveset!A2:J112,10,FALSE)=TRUE,IF((Backdoors!AI12+IF(HK27&gt;=0.45,VLOOKUP(Calculator!E23,tbSkills!DH3:DI6,2,FALSE)+IF(AND(Calculator!B8=TRUE,Backdoors!BI34=TRUE),VLOOKUP(Calculator!E23,tbSkills!DH3:DJ6,3,FALSE),0),0))&gt;=0,1+(Backdoors!AL2*(IF((Backdoors!AI12+IF(HK27&gt;=0.45,VLOOKUP(Calculator!E23,tbSkills!DH3:DI6,2,FALSE)+IF(AND(Calculator!B8=TRUE,Backdoors!BI34=TRUE),VLOOKUP(Calculator!E23,tbSkills!DH3:DJ6,3,FALSE),0),0))&gt;=100,100,(Backdoors!AI12+IF(HK27&gt;=0.45,VLOOKUP(Calculator!E23,tbSkills!DH3:DI6,2,FALSE)+IF(AND(Calculator!B8=TRUE,Backdoors!BI34=TRUE),VLOOKUP(Calculator!E23,tbSkills!DH3:DJ6,3,FALSE),0),0)))/100)),(1-(0.25*((-Backdoors!AI12-IF(HK27&gt;=0.45,VLOOKUP(Calculator!E23,tbSkills!DH3:DI6,2,FALSE)+IF(AND(Calculator!B8=TRUE,Backdoors!BI34=TRUE),VLOOKUP(Calculator!E23,tbSkills!DH3:DJ6,3,FALSE),0),0))/100)))),1),"")</f>
        <v>1</v>
      </c>
      <c r="HN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K27)*HM27)*(VLOOKUP(A27,tbMoveset!A2:C112,3,FALSE)/100)*IF(VLOOKUP(A27,tbMoveset!A2:B112,2,FALSE)="Projectile",Backdoors!N10,Backdoors!N9),0),"")</f>
        <v/>
      </c>
      <c r="HO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K27&gt;=0.45,VLOOKUP(Calculator!E23,tbSkills!DH3:DI6,2,FALSE)+IF(AND(Calculator!B8=TRUE,Backdoors!BI34=TRUE),VLOOKUP(Calculator!E23,tbSkills!DH3:DJ6,3,FALSE),0),0))&gt;=100,100,(Backdoors!AI12+IF(HK27&gt;=0.45,VLOOKUP(Calculator!E23,tbSkills!DH3:DI6,2,FALSE)+IF(AND(Calculator!B8=TRUE,Backdoors!BI34=TRUE),VLOOKUP(Calculator!E23,tbSkills!DH3:DJ6,3,FALSE),0),0)))/100)),1))*IF(VLOOKUP(A27,tbMoveset!A2:K112,11,FALSE)=TRUE,Backdoors!AC5,1))*HL27,0),"")</f>
        <v>0</v>
      </c>
      <c r="HP27" s="49">
        <f>VLOOKUP(A27,tbMoveset!A2:G112,7,FALSE)*IFERROR(IF(Backdoors!AI12&gt;=0,1+(IF(Calculator!E40&gt;0,VLOOKUP(Calculator!E40,tbSkills!AI3:AJ5,2,FALSE),Backdoors!AL4)*(IF((Backdoors!AI12+IF(HK27&gt;=0.45,VLOOKUP(Calculator!E23,tbSkills!DH3:DI6,2,FALSE)+IF(AND(Calculator!B8=TRUE,Backdoors!BI34=TRUE),VLOOKUP(Calculator!E23,tbSkills!DH3:DJ6,3,FALSE),0),0))&gt;=100,100,(Backdoors!AI12+IF(HK27&gt;=0.45,VLOOKUP(Calculator!E23,tbSkills!DH3:DI6,2,FALSE)+IF(AND(Calculator!B8=TRUE,Backdoors!BI34=TRUE),VLOOKUP(Calculator!E23,tbSkills!DH3:DJ6,3,FALSE),0),0)))/100)),1),1)</f>
        <v>1</v>
      </c>
      <c r="HQ27" s="87">
        <f t="shared" si="24"/>
        <v>0</v>
      </c>
      <c r="HR27" s="86" t="str">
        <f>IFERROR(IF(VLOOKUP(A27,tbMoveset!A2:B112,2,FALSE)="Sever",Backdoors!AY35/100,IF(VLOOKUP(A27,tbMoveset!A2:B112,2,FALSE)="Blunt",Backdoors!AZ35/100,Backdoors!BA35/100)),"")</f>
        <v/>
      </c>
      <c r="HS27" s="49">
        <f>IFERROR(IF(VLOOKUP(tbMoveset!A27,tbMoveset!A2:H112,8,FALSE)="Other",IF(VLOOKUP(tbMoveset!A27,tbMoveset!A2:I112,9,FALSE)="Fire",Backdoors!BB35,IF(VLOOKUP(tbMoveset!A27,tbMoveset!A2:I112,9,FALSE)="Water",Backdoors!BC35,IF(VLOOKUP(tbMoveset!A27,tbMoveset!A2:I112,9,FALSE)="Thunder",Backdoors!BD35,IF(VLOOKUP(tbMoveset!A27,tbMoveset!A2:I112,9,FALSE)="Ice",Backdoors!BE35,IF(VLOOKUP(tbMoveset!A27,tbMoveset!A2:I112,9,FALSE)="Dragon",Backdoors!BF35,Backdoors!BG35)))))/100,Backdoors!BG35/100),"")</f>
        <v>0</v>
      </c>
      <c r="HT27" s="49">
        <f>IFERROR(IF(VLOOKUP(A27,tbMoveset!A2:J112,10,FALSE)=TRUE,IF((Backdoors!AI12+IF(HR27&gt;=0.45,VLOOKUP(Calculator!E23,tbSkills!DH3:DI6,2,FALSE)+IF(AND(Calculator!B8=TRUE,Backdoors!BI35=TRUE),VLOOKUP(Calculator!E23,tbSkills!DH3:DJ6,3,FALSE),0),0))&gt;=0,1+(Backdoors!AL2*(IF((Backdoors!AI12+IF(HR27&gt;=0.45,VLOOKUP(Calculator!E23,tbSkills!DH3:DI6,2,FALSE)+IF(AND(Calculator!B8=TRUE,Backdoors!BI35=TRUE),VLOOKUP(Calculator!E23,tbSkills!DH3:DJ6,3,FALSE),0),0))&gt;=100,100,(Backdoors!AI12+IF(HR27&gt;=0.45,VLOOKUP(Calculator!E23,tbSkills!DH3:DI6,2,FALSE)+IF(AND(Calculator!B8=TRUE,Backdoors!BI35=TRUE),VLOOKUP(Calculator!E23,tbSkills!DH3:DJ6,3,FALSE),0),0)))/100)),(1-(0.25*((-Backdoors!AI12-IF(HR27&gt;=0.45,VLOOKUP(Calculator!E23,tbSkills!DH3:DI6,2,FALSE)+IF(AND(Calculator!B8=TRUE,Backdoors!BI35=TRUE),VLOOKUP(Calculator!E23,tbSkills!DH3:DJ6,3,FALSE),0),0))/100)))),1),"")</f>
        <v>1</v>
      </c>
      <c r="HU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R27)*HT27)*(VLOOKUP(A27,tbMoveset!A2:C112,3,FALSE)/100)*IF(VLOOKUP(A27,tbMoveset!A2:B112,2,FALSE)="Projectile",Backdoors!N10,Backdoors!N9),0),"")</f>
        <v/>
      </c>
      <c r="HV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R27&gt;=0.45,VLOOKUP(Calculator!E23,tbSkills!DH3:DI6,2,FALSE)+IF(AND(Calculator!B8=TRUE,Backdoors!BI35=TRUE),VLOOKUP(Calculator!E23,tbSkills!DH3:DJ6,3,FALSE),0),0))&gt;=100,100,(Backdoors!AI12+IF(HR27&gt;=0.45,VLOOKUP(Calculator!E23,tbSkills!DH3:DI6,2,FALSE)+IF(AND(Calculator!B8=TRUE,Backdoors!BI35=TRUE),VLOOKUP(Calculator!E23,tbSkills!DH3:DJ6,3,FALSE),0),0)))/100)),1))*IF(VLOOKUP(A27,tbMoveset!A2:K112,11,FALSE)=TRUE,Backdoors!AC5,1))*HS27,0),"")</f>
        <v>0</v>
      </c>
      <c r="HW27" s="49">
        <f>VLOOKUP(A27,tbMoveset!A2:G112,7,FALSE)*IFERROR(IF(Backdoors!AI12&gt;=0,1+(IF(Calculator!E40&gt;0,VLOOKUP(Calculator!E40,tbSkills!AI3:AJ5,2,FALSE),Backdoors!AL4)*(IF((Backdoors!AI12+IF(HR27&gt;=0.45,VLOOKUP(Calculator!E23,tbSkills!DH3:DI6,2,FALSE)+IF(AND(Calculator!B8=TRUE,Backdoors!BI35=TRUE),VLOOKUP(Calculator!E23,tbSkills!DH3:DJ6,3,FALSE),0),0))&gt;=100,100,(Backdoors!AI12+IF(HR27&gt;=0.45,VLOOKUP(Calculator!E23,tbSkills!DH3:DI6,2,FALSE)+IF(AND(Calculator!B8=TRUE,Backdoors!BI35=TRUE),VLOOKUP(Calculator!E23,tbSkills!DH3:DJ6,3,FALSE),0),0)))/100)),1),1)</f>
        <v>1</v>
      </c>
      <c r="HX27" s="87">
        <f t="shared" si="25"/>
        <v>0</v>
      </c>
      <c r="HY27" s="86" t="str">
        <f>IFERROR(IF(VLOOKUP(A27,tbMoveset!A2:B112,2,FALSE)="Sever",Backdoors!AY36/100,IF(VLOOKUP(A27,tbMoveset!A2:B112,2,FALSE)="Blunt",Backdoors!AZ36/100,Backdoors!BA36/100)),"")</f>
        <v/>
      </c>
      <c r="HZ27" s="49">
        <f>IFERROR(IF(VLOOKUP(tbMoveset!A27,tbMoveset!A2:H112,8,FALSE)="Other",IF(VLOOKUP(tbMoveset!A27,tbMoveset!A2:I112,9,FALSE)="Fire",Backdoors!BB36,IF(VLOOKUP(tbMoveset!A27,tbMoveset!A2:I112,9,FALSE)="Water",Backdoors!BC36,IF(VLOOKUP(tbMoveset!A27,tbMoveset!A2:I112,9,FALSE)="Thunder",Backdoors!BD36,IF(VLOOKUP(tbMoveset!A27,tbMoveset!A2:I112,9,FALSE)="Ice",Backdoors!BE36,IF(VLOOKUP(tbMoveset!A27,tbMoveset!A2:I112,9,FALSE)="Dragon",Backdoors!BF36,Backdoors!BG36)))))/100,Backdoors!BG36/100),"")</f>
        <v>0</v>
      </c>
      <c r="IA27" s="49">
        <f>IFERROR(IF(VLOOKUP(A27,tbMoveset!A2:J112,10,FALSE)=TRUE,IF((Backdoors!AI12+IF(HY27&gt;=0.45,VLOOKUP(Calculator!E23,tbSkills!DH3:DI6,2,FALSE)+IF(AND(Calculator!B8=TRUE,Backdoors!BI36=TRUE),VLOOKUP(Calculator!E23,tbSkills!DH3:DJ6,3,FALSE),0),0))&gt;=0,1+(Backdoors!AL2*(IF((Backdoors!AI12+IF(HY27&gt;=0.45,VLOOKUP(Calculator!E23,tbSkills!DH3:DI6,2,FALSE)+IF(AND(Calculator!B8=TRUE,Backdoors!BI36=TRUE),VLOOKUP(Calculator!E23,tbSkills!DH3:DJ6,3,FALSE),0),0))&gt;=100,100,(Backdoors!AI12+IF(HY27&gt;=0.45,VLOOKUP(Calculator!E23,tbSkills!DH3:DI6,2,FALSE)+IF(AND(Calculator!B8=TRUE,Backdoors!BI36=TRUE),VLOOKUP(Calculator!E23,tbSkills!DH3:DJ6,3,FALSE),0),0)))/100)),(1-(0.25*((-Backdoors!AI12-IF(HY27&gt;=0.45,VLOOKUP(Calculator!E23,tbSkills!DH3:DI6,2,FALSE)+IF(AND(Calculator!B8=TRUE,Backdoors!BI36=TRUE),VLOOKUP(Calculator!E23,tbSkills!DH3:DJ6,3,FALSE),0),0))/100)))),1),"")</f>
        <v>1</v>
      </c>
      <c r="IB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Y27)*IA27)*(VLOOKUP(A27,tbMoveset!A2:C112,3,FALSE)/100)*IF(VLOOKUP(A27,tbMoveset!A2:B112,2,FALSE)="Projectile",Backdoors!N10,Backdoors!N9),0),"")</f>
        <v/>
      </c>
      <c r="IC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Y27&gt;=0.45,VLOOKUP(Calculator!E23,tbSkills!DH3:DI6,2,FALSE)+IF(AND(Calculator!B8=TRUE,Backdoors!BI36=TRUE),VLOOKUP(Calculator!E23,tbSkills!DH3:DJ6,3,FALSE),0),0))&gt;=100,100,(Backdoors!AI12+IF(HY27&gt;=0.45,VLOOKUP(Calculator!E23,tbSkills!DH3:DI6,2,FALSE)+IF(AND(Calculator!B8=TRUE,Backdoors!BI36=TRUE),VLOOKUP(Calculator!E23,tbSkills!DH3:DJ6,3,FALSE),0),0)))/100)),1))*IF(VLOOKUP(A27,tbMoveset!A2:K112,11,FALSE)=TRUE,Backdoors!AC5,1))*HZ27,0),"")</f>
        <v>0</v>
      </c>
      <c r="ID27" s="49">
        <f>VLOOKUP(A27,tbMoveset!A2:G112,7,FALSE)*IFERROR(IF(Backdoors!AI12&gt;=0,1+(IF(Calculator!E40&gt;0,VLOOKUP(Calculator!E40,tbSkills!AI3:AJ5,2,FALSE),Backdoors!AL4)*(IF((Backdoors!AI12+IF(HY27&gt;=0.45,VLOOKUP(Calculator!E23,tbSkills!DH3:DI6,2,FALSE)+IF(AND(Calculator!B8=TRUE,Backdoors!BI36=TRUE),VLOOKUP(Calculator!E23,tbSkills!DH3:DJ6,3,FALSE),0),0))&gt;=100,100,(Backdoors!AI12+IF(HY27&gt;=0.45,VLOOKUP(Calculator!E23,tbSkills!DH3:DI6,2,FALSE)+IF(AND(Calculator!B8=TRUE,Backdoors!BI36=TRUE),VLOOKUP(Calculator!E23,tbSkills!DH3:DJ6,3,FALSE),0),0)))/100)),1),1)</f>
        <v>1</v>
      </c>
      <c r="IE27" s="87">
        <f t="shared" si="26"/>
        <v>0</v>
      </c>
      <c r="IF27" s="86" t="str">
        <f>IFERROR(IF(VLOOKUP(A27,tbMoveset!A2:B112,2,FALSE)="Sever",Backdoors!AY37/100,IF(VLOOKUP(A27,tbMoveset!A2:B112,2,FALSE)="Blunt",Backdoors!AZ37/100,Backdoors!BA37/100)),"")</f>
        <v/>
      </c>
      <c r="IG27" s="49">
        <f>IFERROR(IF(VLOOKUP(tbMoveset!A27,tbMoveset!A2:H112,8,FALSE)="Other",IF(VLOOKUP(tbMoveset!A27,tbMoveset!A2:I112,9,FALSE)="Fire",Backdoors!BB37,IF(VLOOKUP(tbMoveset!A27,tbMoveset!A2:I112,9,FALSE)="Water",Backdoors!BC37,IF(VLOOKUP(tbMoveset!A27,tbMoveset!A2:I112,9,FALSE)="Thunder",Backdoors!BD37,IF(VLOOKUP(tbMoveset!A27,tbMoveset!A2:I112,9,FALSE)="Ice",Backdoors!BE37,IF(VLOOKUP(tbMoveset!A27,tbMoveset!A2:I112,9,FALSE)="Dragon",Backdoors!BF37,Backdoors!BG37)))))/100,Backdoors!BG37/100),"")</f>
        <v>0</v>
      </c>
      <c r="IH27" s="49">
        <f>IFERROR(IF(VLOOKUP(A27,tbMoveset!A2:J112,10,FALSE)=TRUE,IF((Backdoors!AI12+IF(IF27&gt;=0.45,VLOOKUP(Calculator!E23,tbSkills!DH3:DI6,2,FALSE)+IF(AND(Calculator!B8=TRUE,Backdoors!BI37=TRUE),VLOOKUP(Calculator!E23,tbSkills!DH3:DJ6,3,FALSE),0),0))&gt;=0,1+(Backdoors!AL2*(IF((Backdoors!AI12+IF(IF27&gt;=0.45,VLOOKUP(Calculator!E23,tbSkills!DH3:DI6,2,FALSE)+IF(AND(Calculator!B8=TRUE,Backdoors!BI37=TRUE),VLOOKUP(Calculator!E23,tbSkills!DH3:DJ6,3,FALSE),0),0))&gt;=100,100,(Backdoors!AI12+IF(IF27&gt;=0.45,VLOOKUP(Calculator!E23,tbSkills!DH3:DI6,2,FALSE)+IF(AND(Calculator!B8=TRUE,Backdoors!BI37=TRUE),VLOOKUP(Calculator!E23,tbSkills!DH3:DJ6,3,FALSE),0),0)))/100)),(1-(0.25*((-Backdoors!AI12-IF(IF27&gt;=0.45,VLOOKUP(Calculator!E23,tbSkills!DH3:DI6,2,FALSE)+IF(AND(Calculator!B8=TRUE,Backdoors!BI37=TRUE),VLOOKUP(Calculator!E23,tbSkills!DH3:DJ6,3,FALSE),0),0))/100)))),1),"")</f>
        <v>1</v>
      </c>
      <c r="II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F27)*IH27)*(VLOOKUP(A27,tbMoveset!A2:C112,3,FALSE)/100)*IF(VLOOKUP(A27,tbMoveset!A2:B112,2,FALSE)="Projectile",Backdoors!N10,Backdoors!N9),0),"")</f>
        <v/>
      </c>
      <c r="IJ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IF27&gt;=0.45,VLOOKUP(Calculator!E23,tbSkills!DH3:DI6,2,FALSE)+IF(AND(Calculator!B8=TRUE,Backdoors!BI37=TRUE),VLOOKUP(Calculator!E23,tbSkills!DH3:DJ6,3,FALSE),0),0))&gt;=100,100,(Backdoors!AI12+IF(IF27&gt;=0.45,VLOOKUP(Calculator!E23,tbSkills!DH3:DI6,2,FALSE)+IF(AND(Calculator!B8=TRUE,Backdoors!BI37=TRUE),VLOOKUP(Calculator!E23,tbSkills!DH3:DJ6,3,FALSE),0),0)))/100)),1))*IF(VLOOKUP(A27,tbMoveset!A2:K112,11,FALSE)=TRUE,Backdoors!AC5,1))*IG27,0),"")</f>
        <v>0</v>
      </c>
      <c r="IK27" s="49">
        <f>VLOOKUP(A27,tbMoveset!A2:G112,7,FALSE)*IFERROR(IF(Backdoors!AI12&gt;=0,1+(IF(Calculator!E40&gt;0,VLOOKUP(Calculator!E40,tbSkills!AI3:AJ5,2,FALSE),Backdoors!AL4)*(IF((Backdoors!AI12+IF(IF27&gt;=0.45,VLOOKUP(Calculator!E23,tbSkills!DH3:DI6,2,FALSE)+IF(AND(Calculator!B8=TRUE,Backdoors!BI37=TRUE),VLOOKUP(Calculator!E23,tbSkills!DH3:DJ6,3,FALSE),0),0))&gt;=100,100,(Backdoors!AI12+IF(IF27&gt;=0.45,VLOOKUP(Calculator!E23,tbSkills!DH3:DI6,2,FALSE)+IF(AND(Calculator!B8=TRUE,Backdoors!BI37=TRUE),VLOOKUP(Calculator!E23,tbSkills!DH3:DJ6,3,FALSE),0),0)))/100)),1),1)</f>
        <v>1</v>
      </c>
      <c r="IL27" s="87">
        <f t="shared" si="27"/>
        <v>0</v>
      </c>
      <c r="IM27" s="86" t="str">
        <f>IFERROR(IF(VLOOKUP(A27,tbMoveset!A2:B112,2,FALSE)="Sever",Backdoors!AY38/100,IF(VLOOKUP(A27,tbMoveset!A2:B112,2,FALSE)="Blunt",Backdoors!AZ38/100,Backdoors!BA38/100)),"")</f>
        <v/>
      </c>
      <c r="IN27" s="49">
        <f>IFERROR(IF(VLOOKUP(tbMoveset!A27,tbMoveset!A2:H112,8,FALSE)="Other",IF(VLOOKUP(tbMoveset!A27,tbMoveset!A2:I112,9,FALSE)="Fire",Backdoors!BB38,IF(VLOOKUP(tbMoveset!A27,tbMoveset!A2:I112,9,FALSE)="Water",Backdoors!BC38,IF(VLOOKUP(tbMoveset!A27,tbMoveset!A2:I112,9,FALSE)="Thunder",Backdoors!BD38,IF(VLOOKUP(tbMoveset!A27,tbMoveset!A2:I112,9,FALSE)="Ice",Backdoors!BE38,IF(VLOOKUP(tbMoveset!A27,tbMoveset!A2:I112,9,FALSE)="Dragon",Backdoors!BF38,Backdoors!BG38)))))/100,Backdoors!BG38/100),"")</f>
        <v>0</v>
      </c>
      <c r="IO27" s="49">
        <f>IFERROR(IF(VLOOKUP(A27,tbMoveset!A2:J112,10,FALSE)=TRUE,IF((Backdoors!AI12+IF(IM27&gt;=0.45,VLOOKUP(Calculator!E23,tbSkills!DH3:DI6,2,FALSE)+IF(AND(Calculator!B8=TRUE,Backdoors!BI38=TRUE),VLOOKUP(Calculator!E23,tbSkills!DH3:DJ6,3,FALSE),0),0))&gt;=0,1+(Backdoors!AL2*(IF((Backdoors!AI12+IF(IM27&gt;=0.45,VLOOKUP(Calculator!E23,tbSkills!DH3:DI6,2,FALSE)+IF(AND(Calculator!B8=TRUE,Backdoors!BI38=TRUE),VLOOKUP(Calculator!E23,tbSkills!DH3:DJ6,3,FALSE),0),0))&gt;=100,100,(Backdoors!AI12+IF(IM27&gt;=0.45,VLOOKUP(Calculator!E23,tbSkills!DH3:DI6,2,FALSE)+IF(AND(Calculator!B8=TRUE,Backdoors!BI38=TRUE),VLOOKUP(Calculator!E23,tbSkills!DH3:DJ6,3,FALSE),0),0)))/100)),(1-(0.25*((-Backdoors!AI12-IF(IM27&gt;=0.45,VLOOKUP(Calculator!E23,tbSkills!DH3:DI6,2,FALSE)+IF(AND(Calculator!B8=TRUE,Backdoors!BI38=TRUE),VLOOKUP(Calculator!E23,tbSkills!DH3:DJ6,3,FALSE),0),0))/100)))),1),"")</f>
        <v>1</v>
      </c>
      <c r="IP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M27)*IO27)*(VLOOKUP(A27,tbMoveset!A2:C112,3,FALSE)/100)*IF(VLOOKUP(A27,tbMoveset!A2:B112,2,FALSE)="Projectile",Backdoors!N10,Backdoors!N9),0),"")</f>
        <v/>
      </c>
      <c r="IQ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IM27&gt;=0.45,VLOOKUP(Calculator!E23,tbSkills!DH3:DI6,2,FALSE)+IF(AND(Calculator!B8=TRUE,Backdoors!BI38=TRUE),VLOOKUP(Calculator!E23,tbSkills!DH3:DJ6,3,FALSE),0),0))&gt;=100,100,(Backdoors!AI12+IF(IM27&gt;=0.45,VLOOKUP(Calculator!E23,tbSkills!DH3:DI6,2,FALSE)+IF(AND(Calculator!B8=TRUE,Backdoors!BI38=TRUE),VLOOKUP(Calculator!E23,tbSkills!DH3:DJ6,3,FALSE),0),0)))/100)),1))*IF(VLOOKUP(A27,tbMoveset!A2:K112,11,FALSE)=TRUE,Backdoors!AC5,1))*IN27,0),"")</f>
        <v>0</v>
      </c>
      <c r="IR27" s="49">
        <f>VLOOKUP(A27,tbMoveset!A2:G112,7,FALSE)*IFERROR(IF(Backdoors!AI12&gt;=0,1+(IF(Calculator!E40&gt;0,VLOOKUP(Calculator!E40,tbSkills!AI3:AJ5,2,FALSE),Backdoors!AL4)*(IF((Backdoors!AI12+IF(IM27&gt;=0.45,VLOOKUP(Calculator!E23,tbSkills!DH3:DI6,2,FALSE)+IF(AND(Calculator!B8=TRUE,Backdoors!BI38=TRUE),VLOOKUP(Calculator!E23,tbSkills!DH3:DJ6,3,FALSE),0),0))&gt;=100,100,(Backdoors!AI12+IF(IM27&gt;=0.45,VLOOKUP(Calculator!E23,tbSkills!DH3:DI6,2,FALSE)+IF(AND(Calculator!B8=TRUE,Backdoors!BI38=TRUE),VLOOKUP(Calculator!E23,tbSkills!DH3:DJ6,3,FALSE),0),0)))/100)),1),1)</f>
        <v>1</v>
      </c>
      <c r="IS27" s="87">
        <f t="shared" si="42"/>
        <v>0</v>
      </c>
      <c r="IT27" s="86" t="str">
        <f>IFERROR(IF(VLOOKUP(A27,tbMoveset!A2:B112,2,FALSE)="Sever",Backdoors!AY39/100,IF(VLOOKUP(A27,tbMoveset!A2:B112,2,FALSE)="Blunt",Backdoors!AZ39/100,Backdoors!BA39/100)),"")</f>
        <v/>
      </c>
      <c r="IU27" s="49">
        <f>IFERROR(IF(VLOOKUP(tbMoveset!A27,tbMoveset!A2:H112,8,FALSE)="Other",IF(VLOOKUP(tbMoveset!A27,tbMoveset!A2:I112,9,FALSE)="Fire",Backdoors!BB39,IF(VLOOKUP(tbMoveset!A27,tbMoveset!A2:I112,9,FALSE)="Water",Backdoors!BC39,IF(VLOOKUP(tbMoveset!A27,tbMoveset!A2:I112,9,FALSE)="Thunder",Backdoors!BD39,IF(VLOOKUP(tbMoveset!A27,tbMoveset!A2:I112,9,FALSE)="Ice",Backdoors!BE39,IF(VLOOKUP(tbMoveset!A27,tbMoveset!A2:I112,9,FALSE)="Dragon",Backdoors!BF39,Backdoors!BG39)))))/100,Backdoors!BG39/100),"")</f>
        <v>0</v>
      </c>
      <c r="IV27" s="49">
        <f>IFERROR(IF(VLOOKUP(A27,tbMoveset!A2:J112,10,FALSE)=TRUE,IF((Backdoors!AI12+IF(IT27&gt;=0.45,VLOOKUP(Calculator!E23,tbSkills!DH3:DI6,2,FALSE)+IF(AND(Calculator!B8=TRUE,Backdoors!BI39=TRUE),VLOOKUP(Calculator!E23,tbSkills!DH3:DJ6,3,FALSE),0),0))&gt;=0,1+(Backdoors!AL2*(IF((Backdoors!AI12+IF(IT27&gt;=0.45,VLOOKUP(Calculator!E23,tbSkills!DH3:DI6,2,FALSE)+IF(AND(Calculator!B8=TRUE,Backdoors!BI39=TRUE),VLOOKUP(Calculator!E23,tbSkills!DH3:DJ6,3,FALSE),0),0))&gt;=100,100,(Backdoors!AI12+IF(IT27&gt;=0.45,VLOOKUP(Calculator!E23,tbSkills!DH3:DI6,2,FALSE)+IF(AND(Calculator!B8=TRUE,Backdoors!BI39=TRUE),VLOOKUP(Calculator!E23,tbSkills!DH3:DJ6,3,FALSE),0),0)))/100)),(1-(0.25*((-Backdoors!AI12-IF(IT27&gt;=0.45,VLOOKUP(Calculator!E23,tbSkills!DH3:DI6,2,FALSE)+IF(AND(Calculator!B8=TRUE,Backdoors!BI39=TRUE),VLOOKUP(Calculator!E23,tbSkills!DH3:DJ6,3,FALSE),0),0))/100)))),1),"")</f>
        <v>1</v>
      </c>
      <c r="IW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T27)*IV27)*(VLOOKUP(A27,tbMoveset!A2:C112,3,FALSE)/100)*IF(VLOOKUP(A27,tbMoveset!A2:B112,2,FALSE)="Projectile",Backdoors!N10,Backdoors!N9),0),"")</f>
        <v/>
      </c>
      <c r="IX27" s="49">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40&gt;0,VLOOKUP(Calculator!E40,tbSkills!AC3:AD5,2,FALSE),Backdoors!AL3)*(IF((Backdoors!AI12+IF(IT27&gt;=0.45,VLOOKUP(Calculator!E23,tbSkills!DH3:DI6,2,FALSE)+IF(AND(Calculator!B8=TRUE,Backdoors!BI39=TRUE),VLOOKUP(Calculator!E23,tbSkills!DH3:DJ6,3,FALSE),0),0))&gt;=100,100,(Backdoors!AI12+IF(IT27&gt;=0.45,VLOOKUP(Calculator!E23,tbSkills!DH3:DI6,2,FALSE)+IF(AND(Calculator!B8=TRUE,Backdoors!BI39=TRUE),VLOOKUP(Calculator!E23,tbSkills!DH3:DJ6,3,FALSE),0),0)))/100)),1))*IF(VLOOKUP(A27,tbMoveset!A2:K112,11,FALSE)=TRUE,Backdoors!AC5,1))*IU27,0),"")</f>
        <v>0</v>
      </c>
      <c r="IY27" s="49">
        <f>VLOOKUP(A27,tbMoveset!A2:G112,7,FALSE)*IFERROR(IF(Backdoors!AI12&gt;=0,1+(IF(Calculator!E40&gt;0,VLOOKUP(Calculator!E40,tbSkills!AI3:AJ5,2,FALSE),Backdoors!AL4)*(IF((Backdoors!AI12+IF(IT27&gt;=0.45,VLOOKUP(Calculator!E23,tbSkills!DH3:DI6,2,FALSE)+IF(AND(Calculator!B8=TRUE,Backdoors!BI39=TRUE),VLOOKUP(Calculator!E23,tbSkills!DH3:DJ6,3,FALSE),0),0))&gt;=100,100,(Backdoors!AI12+IF(IT27&gt;=0.45,VLOOKUP(Calculator!E23,tbSkills!DH3:DI6,2,FALSE)+IF(AND(Calculator!B8=TRUE,Backdoors!BI39=TRUE),VLOOKUP(Calculator!E23,tbSkills!DH3:DJ6,3,FALSE),0),0)))/100)),1),1)</f>
        <v>1</v>
      </c>
      <c r="IZ27" s="87">
        <f t="shared" si="28"/>
        <v>0</v>
      </c>
      <c r="JA27" s="86" t="str">
        <f>IFERROR(IF(VLOOKUP(A27,tbMoveset!A2:B112,2,FALSE)="Sever",Backdoors!AY40/100,IF(VLOOKUP(A27,tbMoveset!A2:B112,2,FALSE)="Blunt",Backdoors!AZ40/100,Backdoors!BA40/100)),"")</f>
        <v/>
      </c>
      <c r="JB27" s="49">
        <f>IFERROR(IF(VLOOKUP(tbMoveset!A27,tbMoveset!A2:H112,8,FALSE)="Other",IF(VLOOKUP(tbMoveset!A27,tbMoveset!A2:I112,9,FALSE)="Fire",Backdoors!BB40,IF(VLOOKUP(tbMoveset!A27,tbMoveset!A2:I112,9,FALSE)="Water",Backdoors!BC40,IF(VLOOKUP(tbMoveset!A27,tbMoveset!A2:I112,9,FALSE)="Thunder",Backdoors!BD40,IF(VLOOKUP(tbMoveset!A27,tbMoveset!A2:I112,9,FALSE)="Ice",Backdoors!BE40,IF(VLOOKUP(tbMoveset!A27,tbMoveset!A2:I112,9,FALSE)="Dragon",Backdoors!BF40,Backdoors!BG40)))))/100,Backdoors!BG40/100),"")</f>
        <v>0</v>
      </c>
      <c r="JC27" s="49">
        <f>IFERROR(IF(VLOOKUP(A27,tbMoveset!A2:J112,10,FALSE)=TRUE,IF((Backdoors!AI12+IF(JA27&gt;=0.45,VLOOKUP(Calculator!E23,tbSkills!DH3:DI6,2,FALSE)+IF(AND(Calculator!B8=TRUE,Backdoors!BI40=TRUE),VLOOKUP(Calculator!E23,tbSkills!DH3:DJ6,3,FALSE),0),0))&gt;=0,1+(Backdoors!AL2*(IF((Backdoors!AI12+IF(JA27&gt;=0.45,VLOOKUP(Calculator!E23,tbSkills!DH3:DI6,2,FALSE)+IF(AND(Calculator!B8=TRUE,Backdoors!BI40=TRUE),VLOOKUP(Calculator!E23,tbSkills!DH3:DJ6,3,FALSE),0),0))&gt;=100,100,(Backdoors!AI12+IF(JA27&gt;=0.45,VLOOKUP(Calculator!E23,tbSkills!DH3:DI6,2,FALSE)+IF(AND(Calculator!B8=TRUE,Backdoors!BI40=TRUE),VLOOKUP(Calculator!E23,tbSkills!DH3:DJ6,3,FALSE),0),0)))/100)),(1-(0.25*((-Backdoors!AI12-IF(JA27&gt;=0.45,VLOOKUP(Calculator!E23,tbSkills!DH3:DI6,2,FALSE)+IF(AND(Calculator!B8=TRUE,Backdoors!BI40=TRUE),VLOOKUP(Calculator!E23,tbSkills!DH3:DJ6,3,FALSE),0),0))/100)))),1),"")</f>
        <v>1</v>
      </c>
      <c r="JD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A27)*JC27)*(VLOOKUP(A27,tbMoveset!A2:C112,3,FALSE)/100)*IF(VLOOKUP(A27,tbMoveset!A2:B112,2,FALSE)="Projectile",Backdoors!N10,Backdoors!N9),0),"")</f>
        <v/>
      </c>
      <c r="JE27" s="49">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42&gt;0,VLOOKUP(Calculator!E42,tbSkills!AC3:AD5,2,FALSE),Backdoors!AL3)*(IF((Backdoors!AI12+IF(JA27&gt;=0.45,VLOOKUP(Calculator!E23,tbSkills!DH3:DI6,2,FALSE)+IF(AND(Calculator!B8=TRUE,Backdoors!BI40=TRUE),VLOOKUP(Calculator!E23,tbSkills!DH3:DJ6,3,FALSE),0),0))&gt;=100,100,(Backdoors!AI12+IF(JA27&gt;=0.45,VLOOKUP(Calculator!E23,tbSkills!DH3:DI6,2,FALSE)+IF(AND(Calculator!B8=TRUE,Backdoors!BI40=TRUE),VLOOKUP(Calculator!E23,tbSkills!DH3:DJ6,3,FALSE),0),0)))/100)),1))*IF(VLOOKUP(A27,tbMoveset!A2:K112,11,FALSE)=TRUE,Backdoors!AC5,1))*JB27,0),"")</f>
        <v>0</v>
      </c>
      <c r="JF27" s="49">
        <f>VLOOKUP(A27,tbMoveset!A2:G112,7,FALSE)*IFERROR(IF(Backdoors!AI12&gt;=0,1+(IF(Calculator!E40&gt;0,VLOOKUP(Calculator!E40,tbSkills!AI3:AJ5,2,FALSE),Backdoors!AL4)*(IF((Backdoors!AI12+IF(JA27&gt;=0.45,VLOOKUP(Calculator!E23,tbSkills!DH3:DI6,2,FALSE)+IF(AND(Calculator!B8=TRUE,Backdoors!BI40=TRUE),VLOOKUP(Calculator!E23,tbSkills!DH3:DJ6,3,FALSE),0),0))&gt;=100,100,(Backdoors!AI12+IF(JA27&gt;=0.45,VLOOKUP(Calculator!E23,tbSkills!DH3:DI6,2,FALSE)+IF(AND(Calculator!B8=TRUE,Backdoors!BI40=TRUE),VLOOKUP(Calculator!E23,tbSkills!DH3:DJ6,3,FALSE),0),0)))/100)),1),1)</f>
        <v>1</v>
      </c>
      <c r="JG27" s="87">
        <f t="shared" si="29"/>
        <v>0</v>
      </c>
      <c r="JH27" s="86" t="str">
        <f>IFERROR(IF(VLOOKUP(A27,tbMoveset!A2:B112,2,FALSE)="Sever",Backdoors!AY41/100,IF(VLOOKUP(A27,tbMoveset!A2:B112,2,FALSE)="Blunt",Backdoors!AZ41/100,Backdoors!BA41/100)),"")</f>
        <v/>
      </c>
      <c r="JI27" s="49">
        <f>IFERROR(IF(VLOOKUP(tbMoveset!A27,tbMoveset!A2:H112,8,FALSE)="Other",IF(VLOOKUP(tbMoveset!A27,tbMoveset!A2:I112,9,FALSE)="Fire",Backdoors!BB41,IF(VLOOKUP(tbMoveset!A27,tbMoveset!A2:I112,9,FALSE)="Water",Backdoors!BC41,IF(VLOOKUP(tbMoveset!A27,tbMoveset!A2:I112,9,FALSE)="Thunder",Backdoors!BD41,IF(VLOOKUP(tbMoveset!A27,tbMoveset!A2:I112,9,FALSE)="Ice",Backdoors!BE41,IF(VLOOKUP(tbMoveset!A27,tbMoveset!A2:I112,9,FALSE)="Dragon",Backdoors!BF41,Backdoors!BG41)))))/100,Backdoors!BG41/100),"")</f>
        <v>0</v>
      </c>
      <c r="JJ27" s="49">
        <f>IFERROR(IF(VLOOKUP(A27,tbMoveset!A2:J112,10,FALSE)=TRUE,IF((Backdoors!AI12+IF(JH27&gt;=0.45,VLOOKUP(Calculator!E23,tbSkills!DH3:DI6,2,FALSE)+IF(AND(Calculator!B8=TRUE,Backdoors!BI41=TRUE),VLOOKUP(Calculator!E23,tbSkills!DH3:DJ6,3,FALSE),0),0))&gt;=0,1+(Backdoors!AL2*(IF((Backdoors!AI12+IF(JH27&gt;=0.45,VLOOKUP(Calculator!E23,tbSkills!DH3:DI6,2,FALSE)+IF(AND(Calculator!B8=TRUE,Backdoors!BI41=TRUE),VLOOKUP(Calculator!E23,tbSkills!DH3:DJ6,3,FALSE),0),0))&gt;=100,100,(Backdoors!AI12+IF(JH27&gt;=0.45,VLOOKUP(Calculator!E23,tbSkills!DH3:DI6,2,FALSE)+IF(AND(Calculator!B8=TRUE,Backdoors!BI41=TRUE),VLOOKUP(Calculator!E23,tbSkills!DH3:DJ6,3,FALSE),0),0)))/100)),(1-(0.25*((-Backdoors!AI12-IF(JH27&gt;=0.45,VLOOKUP(Calculator!E23,tbSkills!DH3:DI6,2,FALSE)+IF(AND(Calculator!B8=TRUE,Backdoors!BI41=TRUE),VLOOKUP(Calculator!E23,tbSkills!DH3:DJ6,3,FALSE),0),0))/100)))),1),"")</f>
        <v>1</v>
      </c>
      <c r="JK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H27)*JJ27)*(VLOOKUP(A27,tbMoveset!A2:C112,3,FALSE)/100)*IF(VLOOKUP(A27,tbMoveset!A2:B112,2,FALSE)="Projectile",Backdoors!N10,Backdoors!N9),0),"")</f>
        <v/>
      </c>
      <c r="JL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43&gt;0,VLOOKUP(Calculator!E43,tbSkills!AC3:AD5,2,FALSE),Backdoors!AL3)*(IF((Backdoors!AI12+IF(JH27&gt;=0.45,VLOOKUP(Calculator!E23,tbSkills!DH3:DI6,2,FALSE)+IF(AND(Calculator!B8=TRUE,Backdoors!BI41=TRUE),VLOOKUP(Calculator!E23,tbSkills!DH3:DJ6,3,FALSE),0),0))&gt;=100,100,(Backdoors!AI12+IF(JH27&gt;=0.45,VLOOKUP(Calculator!E23,tbSkills!DH3:DI6,2,FALSE)+IF(AND(Calculator!B8=TRUE,Backdoors!BI41=TRUE),VLOOKUP(Calculator!E23,tbSkills!DH3:DJ6,3,FALSE),0),0)))/100)),1))*IF(VLOOKUP(A27,tbMoveset!A2:K112,11,FALSE)=TRUE,Backdoors!AC5,1))*JI27,0),"")</f>
        <v/>
      </c>
      <c r="JM27" s="49">
        <f>VLOOKUP(A27,tbMoveset!A2:G112,7,FALSE)*IFERROR(IF(Backdoors!AI12&gt;=0,1+(IF(Calculator!E40&gt;0,VLOOKUP(Calculator!E40,tbSkills!AI3:AJ5,2,FALSE),Backdoors!AL4)*(IF((Backdoors!AI12+IF(JH27&gt;=0.45,VLOOKUP(Calculator!E23,tbSkills!DH3:DI6,2,FALSE)+IF(AND(Calculator!B8=TRUE,Backdoors!BI41=TRUE),VLOOKUP(Calculator!E23,tbSkills!DH3:DJ6,3,FALSE),0),0))&gt;=100,100,(Backdoors!AI12+IF(JH27&gt;=0.45,VLOOKUP(Calculator!E23,tbSkills!DH3:DI6,2,FALSE)+IF(AND(Calculator!B8=TRUE,Backdoors!BI41=TRUE),VLOOKUP(Calculator!E23,tbSkills!DH3:DJ6,3,FALSE),0),0)))/100)),1),1)</f>
        <v>1</v>
      </c>
      <c r="JN27" s="87">
        <f t="shared" si="30"/>
        <v>0</v>
      </c>
      <c r="JO27" s="86" t="str">
        <f>IFERROR(IF(VLOOKUP(A27,tbMoveset!A2:B112,2,FALSE)="Sever",Backdoors!AY42/100,IF(VLOOKUP(A27,tbMoveset!A2:B112,2,FALSE)="Blunt",Backdoors!AZ42/100,Backdoors!BA42/100)),"")</f>
        <v/>
      </c>
      <c r="JP27" s="49">
        <f>IFERROR(IF(VLOOKUP(tbMoveset!A27,tbMoveset!A2:H112,8,FALSE)="Other",IF(VLOOKUP(tbMoveset!A27,tbMoveset!A2:I112,9,FALSE)="Fire",Backdoors!BB42,IF(VLOOKUP(tbMoveset!A27,tbMoveset!A2:I112,9,FALSE)="Water",Backdoors!BC42,IF(VLOOKUP(tbMoveset!A27,tbMoveset!A2:I112,9,FALSE)="Thunder",Backdoors!BD42,IF(VLOOKUP(tbMoveset!A27,tbMoveset!A2:I112,9,FALSE)="Ice",Backdoors!BE42,IF(VLOOKUP(tbMoveset!A27,tbMoveset!A2:I112,9,FALSE)="Dragon",Backdoors!BF42,Backdoors!BG42)))))/100,Backdoors!BG42/100),"")</f>
        <v>0</v>
      </c>
      <c r="JQ27" s="49">
        <f>IFERROR(IF(VLOOKUP(A27,tbMoveset!A2:J112,10,FALSE)=TRUE,IF((Backdoors!AI12+IF(JO27&gt;=0.45,VLOOKUP(Calculator!E23,tbSkills!DH3:DI6,2,FALSE)+IF(AND(Calculator!B8=TRUE,Backdoors!BI42=TRUE),VLOOKUP(Calculator!E23,tbSkills!DH3:DJ6,3,FALSE),0),0))&gt;=0,1+(Backdoors!AL2*(IF((Backdoors!AI12+IF(JO27&gt;=0.45,VLOOKUP(Calculator!E23,tbSkills!DH3:DI6,2,FALSE)+IF(AND(Calculator!B8=TRUE,Backdoors!BI42=TRUE),VLOOKUP(Calculator!E23,tbSkills!DH3:DJ6,3,FALSE),0),0))&gt;=100,100,(Backdoors!AI12+IF(JO27&gt;=0.45,VLOOKUP(Calculator!E23,tbSkills!DH3:DI6,2,FALSE)+IF(AND(Calculator!B8=TRUE,Backdoors!BI42=TRUE),VLOOKUP(Calculator!E23,tbSkills!DH3:DJ6,3,FALSE),0),0)))/100)),(1-(0.25*((-Backdoors!AI12-IF(JO27&gt;=0.45,VLOOKUP(Calculator!E23,tbSkills!DH3:DI6,2,FALSE)+IF(AND(Calculator!B8=TRUE,Backdoors!BI42=TRUE),VLOOKUP(Calculator!E23,tbSkills!DH3:DJ6,3,FALSE),0),0))/100)))),1),"")</f>
        <v>1</v>
      </c>
      <c r="JR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O27)*JQ27)*(VLOOKUP(A27,tbMoveset!A2:C112,3,FALSE)/100)*IF(VLOOKUP(A27,tbMoveset!A2:B112,2,FALSE)="Projectile",Backdoors!N10,Backdoors!N9),0),"")</f>
        <v/>
      </c>
      <c r="JS27" s="49">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45&gt;0,VLOOKUP(Calculator!E45,tbSkills!AC3:AD5,2,FALSE),Backdoors!AL3)*(IF((Backdoors!AI12+IF(JO27&gt;=0.45,VLOOKUP(Calculator!E23,tbSkills!DH3:DI6,2,FALSE)+IF(AND(Calculator!B8=TRUE,Backdoors!BI42=TRUE),VLOOKUP(Calculator!E23,tbSkills!DH3:DJ6,3,FALSE),0),0))&gt;=100,100,(Backdoors!AI12+IF(JO27&gt;=0.45,VLOOKUP(Calculator!E23,tbSkills!DH3:DI6,2,FALSE)+IF(AND(Calculator!B8=TRUE,Backdoors!BI42=TRUE),VLOOKUP(Calculator!E23,tbSkills!DH3:DJ6,3,FALSE),0),0)))/100)),1))*IF(VLOOKUP(A27,tbMoveset!A2:K112,11,FALSE)=TRUE,Backdoors!AC5,1))*JP27,0),"")</f>
        <v>0</v>
      </c>
      <c r="JT27" s="49">
        <f>VLOOKUP(A27,tbMoveset!A2:G112,7,FALSE)*IFERROR(IF(Backdoors!AI12&gt;=0,1+(IF(Calculator!E40&gt;0,VLOOKUP(Calculator!E40,tbSkills!AI3:AJ5,2,FALSE),Backdoors!AL4)*(IF((Backdoors!AI12+IF(JO27&gt;=0.45,VLOOKUP(Calculator!E23,tbSkills!DH3:DI6,2,FALSE)+IF(AND(Calculator!B8=TRUE,Backdoors!BI42=TRUE),VLOOKUP(Calculator!E23,tbSkills!DH3:DJ6,3,FALSE),0),0))&gt;=100,100,(Backdoors!AI12+IF(JO27&gt;=0.45,VLOOKUP(Calculator!E23,tbSkills!DH3:DI6,2,FALSE)+IF(AND(Calculator!B8=TRUE,Backdoors!BI42=TRUE),VLOOKUP(Calculator!E23,tbSkills!DH3:DJ6,3,FALSE),0),0)))/100)),1),1)</f>
        <v>1</v>
      </c>
      <c r="JU27" s="87">
        <f t="shared" si="31"/>
        <v>0</v>
      </c>
      <c r="JV27" s="86" t="str">
        <f>IFERROR(IF(VLOOKUP(A27,tbMoveset!A2:B112,2,FALSE)="Sever",Backdoors!AY43/100,IF(VLOOKUP(A27,tbMoveset!A2:B112,2,FALSE)="Blunt",Backdoors!AZ43/100,Backdoors!BA43/100)),"")</f>
        <v/>
      </c>
      <c r="JW27" s="49">
        <f>IFERROR(IF(VLOOKUP(tbMoveset!A27,tbMoveset!A2:H112,8,FALSE)="Other",IF(VLOOKUP(tbMoveset!A27,tbMoveset!A2:I112,9,FALSE)="Fire",Backdoors!BB43,IF(VLOOKUP(tbMoveset!A27,tbMoveset!A2:I112,9,FALSE)="Water",Backdoors!BC43,IF(VLOOKUP(tbMoveset!A27,tbMoveset!A2:I112,9,FALSE)="Thunder",Backdoors!BD43,IF(VLOOKUP(tbMoveset!A27,tbMoveset!A2:I112,9,FALSE)="Ice",Backdoors!BE43,IF(VLOOKUP(tbMoveset!A27,tbMoveset!A2:I112,9,FALSE)="Dragon",Backdoors!BF43,Backdoors!BG43)))))/100,Backdoors!BG43/100),"")</f>
        <v>0</v>
      </c>
      <c r="JX27" s="49">
        <f>IFERROR(IF(VLOOKUP(A27,tbMoveset!A2:J112,10,FALSE)=TRUE,IF((Backdoors!AI12+IF(JV27&gt;=0.45,VLOOKUP(Calculator!E23,tbSkills!DH3:DI6,2,FALSE)+IF(AND(Calculator!B8=TRUE,Backdoors!BI43=TRUE),VLOOKUP(Calculator!E23,tbSkills!DH3:DJ6,3,FALSE),0),0))&gt;=0,1+(Backdoors!AL2*(IF((Backdoors!AI12+IF(JV27&gt;=0.45,VLOOKUP(Calculator!E23,tbSkills!DH3:DI6,2,FALSE)+IF(AND(Calculator!B8=TRUE,Backdoors!BI43=TRUE),VLOOKUP(Calculator!E23,tbSkills!DH3:DJ6,3,FALSE),0),0))&gt;=100,100,(Backdoors!AI12+IF(JV27&gt;=0.45,VLOOKUP(Calculator!E23,tbSkills!DH3:DI6,2,FALSE)+IF(AND(Calculator!B8=TRUE,Backdoors!BI43=TRUE),VLOOKUP(Calculator!E23,tbSkills!DH3:DJ6,3,FALSE),0),0)))/100)),(1-(0.25*((-Backdoors!AI12-IF(JV27&gt;=0.45,VLOOKUP(Calculator!E23,tbSkills!DH3:DI6,2,FALSE)+IF(AND(Calculator!B8=TRUE,Backdoors!BI43=TRUE),VLOOKUP(Calculator!E23,tbSkills!DH3:DJ6,3,FALSE),0),0))/100)))),1),"")</f>
        <v>1</v>
      </c>
      <c r="JY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V27)*JX27)*(VLOOKUP(A27,tbMoveset!A2:C112,3,FALSE)/100)*IF(VLOOKUP(A27,tbMoveset!A2:B112,2,FALSE)="Projectile",Backdoors!N10,Backdoors!N9),0),"")</f>
        <v/>
      </c>
      <c r="JZ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46&gt;0,VLOOKUP(Calculator!E46,tbSkills!AC3:AD5,2,FALSE),Backdoors!AL3)*(IF((Backdoors!AI12+IF(JV27&gt;=0.45,VLOOKUP(Calculator!E23,tbSkills!DH3:DI6,2,FALSE)+IF(AND(Calculator!B8=TRUE,Backdoors!BI43=TRUE),VLOOKUP(Calculator!E23,tbSkills!DH3:DJ6,3,FALSE),0),0))&gt;=100,100,(Backdoors!AI12+IF(JV27&gt;=0.45,VLOOKUP(Calculator!E23,tbSkills!DH3:DI6,2,FALSE)+IF(AND(Calculator!B8=TRUE,Backdoors!BI43=TRUE),VLOOKUP(Calculator!E23,tbSkills!DH3:DJ6,3,FALSE),0),0)))/100)),1))*IF(VLOOKUP(A27,tbMoveset!A2:K112,11,FALSE)=TRUE,Backdoors!AC5,1))*JW27,0),"")</f>
        <v/>
      </c>
      <c r="KA27" s="49">
        <f>VLOOKUP(A27,tbMoveset!A2:G112,7,FALSE)*IFERROR(IF(Backdoors!AI12&gt;=0,1+(IF(Calculator!E40&gt;0,VLOOKUP(Calculator!E40,tbSkills!AI3:AJ5,2,FALSE),Backdoors!AL4)*(IF((Backdoors!AI12+IF(JV27&gt;=0.45,VLOOKUP(Calculator!E23,tbSkills!DH3:DI6,2,FALSE)+IF(AND(Calculator!B8=TRUE,Backdoors!BI43=TRUE),VLOOKUP(Calculator!E23,tbSkills!DH3:DJ6,3,FALSE),0),0))&gt;=100,100,(Backdoors!AI12+IF(JV27&gt;=0.45,VLOOKUP(Calculator!E23,tbSkills!DH3:DI6,2,FALSE)+IF(AND(Calculator!B8=TRUE,Backdoors!BI43=TRUE),VLOOKUP(Calculator!E23,tbSkills!DH3:DJ6,3,FALSE),0),0)))/100)),1),1)</f>
        <v>1</v>
      </c>
      <c r="KB27" s="87">
        <f t="shared" si="32"/>
        <v>0</v>
      </c>
      <c r="KC27" s="86" t="str">
        <f>IFERROR(IF(VLOOKUP(A27,tbMoveset!A2:B112,2,FALSE)="Sever",Backdoors!AY44/100,IF(VLOOKUP(A27,tbMoveset!A2:B112,2,FALSE)="Blunt",Backdoors!AZ44/100,Backdoors!BA44/100)),"")</f>
        <v/>
      </c>
      <c r="KD27" s="49">
        <f>IFERROR(IF(VLOOKUP(tbMoveset!A27,tbMoveset!A2:H112,8,FALSE)="Other",IF(VLOOKUP(tbMoveset!A27,tbMoveset!A2:I112,9,FALSE)="Fire",Backdoors!BB44,IF(VLOOKUP(tbMoveset!A27,tbMoveset!A2:I112,9,FALSE)="Water",Backdoors!BC44,IF(VLOOKUP(tbMoveset!A27,tbMoveset!A2:I112,9,FALSE)="Thunder",Backdoors!BD44,IF(VLOOKUP(tbMoveset!A27,tbMoveset!A2:I112,9,FALSE)="Ice",Backdoors!BE44,IF(VLOOKUP(tbMoveset!A27,tbMoveset!A2:I112,9,FALSE)="Dragon",Backdoors!BF44,Backdoors!BG44)))))/100,Backdoors!BG44/100),"")</f>
        <v>0</v>
      </c>
      <c r="KE27" s="49">
        <f>IFERROR(IF(VLOOKUP(A27,tbMoveset!A2:J112,10,FALSE)=TRUE,IF((Backdoors!AI12+IF(KC27&gt;=0.45,VLOOKUP(Calculator!E23,tbSkills!DH3:DI6,2,FALSE)+IF(AND(Calculator!B8=TRUE,Backdoors!BI44=TRUE),VLOOKUP(Calculator!E23,tbSkills!DH3:DJ6,3,FALSE),0),0))&gt;=0,1+(Backdoors!AL2*(IF((Backdoors!AI12+IF(KC27&gt;=0.45,VLOOKUP(Calculator!E23,tbSkills!DH3:DI6,2,FALSE)+IF(AND(Calculator!B8=TRUE,Backdoors!BI44=TRUE),VLOOKUP(Calculator!E23,tbSkills!DH3:DJ6,3,FALSE),0),0))&gt;=100,100,(Backdoors!AI12+IF(KC27&gt;=0.45,VLOOKUP(Calculator!E23,tbSkills!DH3:DI6,2,FALSE)+IF(AND(Calculator!B8=TRUE,Backdoors!BI44=TRUE),VLOOKUP(Calculator!E23,tbSkills!DH3:DJ6,3,FALSE),0),0)))/100)),(1-(0.25*((-Backdoors!AI12-IF(KC27&gt;=0.45,VLOOKUP(Calculator!E23,tbSkills!DH3:DI6,2,FALSE)+IF(AND(Calculator!B8=TRUE,Backdoors!BI44=TRUE),VLOOKUP(Calculator!E23,tbSkills!DH3:DJ6,3,FALSE),0),0))/100)))),1),"")</f>
        <v>1</v>
      </c>
      <c r="KF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KC27)*KE27)*(VLOOKUP(A27,tbMoveset!A2:C112,3,FALSE)/100)*IF(VLOOKUP(A27,tbMoveset!A2:B112,2,FALSE)="Projectile",Backdoors!N10,Backdoors!N9),0),"")</f>
        <v/>
      </c>
      <c r="KG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REF!&gt;0,VLOOKUP(Calculator!#REF!,tbSkills!AC3:AD5,2,FALSE),Backdoors!AL3)*(IF((Backdoors!AI12+IF(KC27&gt;=0.45,VLOOKUP(Calculator!E23,tbSkills!DH3:DI6,2,FALSE)+IF(AND(Calculator!B8=TRUE,Backdoors!BI44=TRUE),VLOOKUP(Calculator!E23,tbSkills!DH3:DJ6,3,FALSE),0),0))&gt;=100,100,(Backdoors!AI12+IF(KC27&gt;=0.45,VLOOKUP(Calculator!E23,tbSkills!DH3:DI6,2,FALSE)+IF(AND(Calculator!B8=TRUE,Backdoors!BI44=TRUE),VLOOKUP(Calculator!E23,tbSkills!DH3:DJ6,3,FALSE),0),0)))/100)),1))*IF(VLOOKUP(A27,tbMoveset!A2:K112,11,FALSE)=TRUE,Backdoors!AC5,1))*KD27,0),"")</f>
        <v/>
      </c>
      <c r="KH27" s="49">
        <f>VLOOKUP(A27,tbMoveset!A2:G112,7,FALSE)*IFERROR(IF(Backdoors!AI12&gt;=0,1+(IF(Calculator!E40&gt;0,VLOOKUP(Calculator!E40,tbSkills!AI3:AJ5,2,FALSE),Backdoors!AL4)*(IF((Backdoors!AI12+IF(KC27&gt;=0.45,VLOOKUP(Calculator!E23,tbSkills!DH3:DI6,2,FALSE)+IF(AND(Calculator!B8=TRUE,Backdoors!BI44=TRUE),VLOOKUP(Calculator!E23,tbSkills!DH3:DJ6,3,FALSE),0),0))&gt;=100,100,(Backdoors!AI12+IF(KC27&gt;=0.45,VLOOKUP(Calculator!E23,tbSkills!DH3:DI6,2,FALSE)+IF(AND(Calculator!B8=TRUE,Backdoors!BI44=TRUE),VLOOKUP(Calculator!E23,tbSkills!DH3:DJ6,3,FALSE),0),0)))/100)),1),1)</f>
        <v>1</v>
      </c>
      <c r="KI27" s="87">
        <f t="shared" si="33"/>
        <v>0</v>
      </c>
      <c r="KJ27" s="86" t="str">
        <f>IFERROR(IF(VLOOKUP(A27,tbMoveset!A2:B112,2,FALSE)="Sever",Backdoors!AY45/100,IF(VLOOKUP(A27,tbMoveset!A2:B112,2,FALSE)="Blunt",Backdoors!AZ45/100,Backdoors!BA45/100)),"")</f>
        <v/>
      </c>
      <c r="KK27" s="49">
        <f>IFERROR(IF(VLOOKUP(tbMoveset!A27,tbMoveset!A2:H112,8,FALSE)="Other",IF(VLOOKUP(tbMoveset!A27,tbMoveset!A2:I112,9,FALSE)="Fire",Backdoors!BB45,IF(VLOOKUP(tbMoveset!A27,tbMoveset!A2:I112,9,FALSE)="Water",Backdoors!BC45,IF(VLOOKUP(tbMoveset!A27,tbMoveset!A2:I112,9,FALSE)="Thunder",Backdoors!BD45,IF(VLOOKUP(tbMoveset!A27,tbMoveset!A2:I112,9,FALSE)="Ice",Backdoors!BE45,IF(VLOOKUP(tbMoveset!A27,tbMoveset!A2:I112,9,FALSE)="Dragon",Backdoors!BF45,Backdoors!BG45)))))/100,Backdoors!BG45/100),"")</f>
        <v>0</v>
      </c>
      <c r="KL27" s="49">
        <f>IFERROR(IF(VLOOKUP(A27,tbMoveset!A2:J112,10,FALSE)=TRUE,IF((Backdoors!AI12+IF(KJ27&gt;=0.45,VLOOKUP(Calculator!E23,tbSkills!DH3:DI6,2,FALSE)+IF(AND(Calculator!B8=TRUE,Backdoors!BI45=TRUE),VLOOKUP(Calculator!E23,tbSkills!DH3:DJ6,3,FALSE),0),0))&gt;=0,1+(Backdoors!AL2*(IF((Backdoors!AI12+IF(KJ27&gt;=0.45,VLOOKUP(Calculator!E23,tbSkills!DH3:DI6,2,FALSE)+IF(AND(Calculator!B8=TRUE,Backdoors!BI45=TRUE),VLOOKUP(Calculator!E23,tbSkills!DH3:DJ6,3,FALSE),0),0))&gt;=100,100,(Backdoors!AI12+IF(KJ27&gt;=0.45,VLOOKUP(Calculator!E23,tbSkills!DH3:DI6,2,FALSE)+IF(AND(Calculator!B8=TRUE,Backdoors!BI45=TRUE),VLOOKUP(Calculator!E23,tbSkills!DH3:DJ6,3,FALSE),0),0)))/100)),(1-(0.25*((-Backdoors!AI12-IF(KJ27&gt;=0.45,VLOOKUP(Calculator!E23,tbSkills!DH3:DI6,2,FALSE)+IF(AND(Calculator!B8=TRUE,Backdoors!BI45=TRUE),VLOOKUP(Calculator!E23,tbSkills!DH3:DJ6,3,FALSE),0),0))/100)))),1),"")</f>
        <v>1</v>
      </c>
      <c r="KM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KJ27)*KL27)*(VLOOKUP(A27,tbMoveset!A2:C112,3,FALSE)/100)*IF(VLOOKUP(A27,tbMoveset!A2:B112,2,FALSE)="Projectile",Backdoors!N10,Backdoors!N9),0),"")</f>
        <v/>
      </c>
      <c r="KN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REF!&gt;0,VLOOKUP(Calculator!#REF!,tbSkills!AC3:AD5,2,FALSE),Backdoors!AL3)*(IF((Backdoors!AI12+IF(KJ27&gt;=0.45,VLOOKUP(Calculator!E23,tbSkills!DH3:DI6,2,FALSE)+IF(AND(Calculator!B8=TRUE,Backdoors!BI45=TRUE),VLOOKUP(Calculator!E23,tbSkills!DH3:DJ6,3,FALSE),0),0))&gt;=100,100,(Backdoors!AI12+IF(KJ27&gt;=0.45,VLOOKUP(Calculator!E23,tbSkills!DH3:DI6,2,FALSE)+IF(AND(Calculator!B8=TRUE,Backdoors!BI45=TRUE),VLOOKUP(Calculator!E23,tbSkills!DH3:DJ6,3,FALSE),0),0)))/100)),1))*IF(VLOOKUP(A27,tbMoveset!A2:K112,11,FALSE)=TRUE,Backdoors!AC5,1))*KK27,0),"")</f>
        <v/>
      </c>
      <c r="KO27" s="49">
        <f>VLOOKUP(A27,tbMoveset!A2:G112,7,FALSE)*IFERROR(IF(Backdoors!AI12&gt;=0,1+(IF(Calculator!E40&gt;0,VLOOKUP(Calculator!E40,tbSkills!AI3:AJ5,2,FALSE),Backdoors!AL4)*(IF((Backdoors!AI12+IF(KJ27&gt;=0.45,VLOOKUP(Calculator!E23,tbSkills!DH3:DI6,2,FALSE)+IF(AND(Calculator!B8=TRUE,Backdoors!BI45=TRUE),VLOOKUP(Calculator!E23,tbSkills!DH3:DJ6,3,FALSE),0),0))&gt;=100,100,(Backdoors!AI12+IF(KJ27&gt;=0.45,VLOOKUP(Calculator!E23,tbSkills!DH3:DI6,2,FALSE)+IF(AND(Calculator!B8=TRUE,Backdoors!BI45=TRUE),VLOOKUP(Calculator!E23,tbSkills!DH3:DJ6,3,FALSE),0),0)))/100)),1),1)</f>
        <v>1</v>
      </c>
      <c r="KP27" s="87">
        <f t="shared" si="34"/>
        <v>0</v>
      </c>
      <c r="KQ27" s="86" t="str">
        <f>IFERROR(IF(VLOOKUP(A27,tbMoveset!A2:B112,2,FALSE)="Sever",Backdoors!AY46/100,IF(VLOOKUP(A27,tbMoveset!A2:B112,2,FALSE)="Blunt",Backdoors!AZ46/100,Backdoors!BA46/100)),"")</f>
        <v/>
      </c>
      <c r="KR27" s="49">
        <f>IFERROR(IF(VLOOKUP(tbMoveset!A27,tbMoveset!A2:H112,8,FALSE)="Other",IF(VLOOKUP(tbMoveset!A27,tbMoveset!A2:I112,9,FALSE)="Fire",Backdoors!BB46,IF(VLOOKUP(tbMoveset!A27,tbMoveset!A2:I112,9,FALSE)="Water",Backdoors!BC46,IF(VLOOKUP(tbMoveset!A27,tbMoveset!A2:I112,9,FALSE)="Thunder",Backdoors!BD46,IF(VLOOKUP(tbMoveset!A27,tbMoveset!A2:I112,9,FALSE)="Ice",Backdoors!BE46,IF(VLOOKUP(tbMoveset!A27,tbMoveset!A2:I112,9,FALSE)="Dragon",Backdoors!BF46,Backdoors!BG46)))))/100,Backdoors!BG46/100),"")</f>
        <v>0</v>
      </c>
      <c r="KS27" s="49">
        <f>IFERROR(IF(VLOOKUP(A27,tbMoveset!A2:J112,10,FALSE)=TRUE,IF((Backdoors!AI12+IF(KQ27&gt;=0.45,VLOOKUP(Calculator!E23,tbSkills!DH3:DI6,2,FALSE)+IF(AND(Calculator!B8=TRUE,Backdoors!BI46=TRUE),VLOOKUP(Calculator!E23,tbSkills!DH3:DJ6,3,FALSE),0),0))&gt;=0,1+(Backdoors!AL2*(IF((Backdoors!AI12+IF(KQ27&gt;=0.45,VLOOKUP(Calculator!E23,tbSkills!DH3:DI6,2,FALSE)+IF(AND(Calculator!B8=TRUE,Backdoors!BI46=TRUE),VLOOKUP(Calculator!E23,tbSkills!DH3:DJ6,3,FALSE),0),0))&gt;=100,100,(Backdoors!AI12+IF(KQ27&gt;=0.45,VLOOKUP(Calculator!E23,tbSkills!DH3:DI6,2,FALSE)+IF(AND(Calculator!B8=TRUE,Backdoors!BI46=TRUE),VLOOKUP(Calculator!E23,tbSkills!DH3:DJ6,3,FALSE),0),0)))/100)),(1-(0.25*((-Backdoors!AI12-IF(KQ27&gt;=0.45,VLOOKUP(Calculator!E23,tbSkills!DH3:DI6,2,FALSE)+IF(AND(Calculator!B8=TRUE,Backdoors!BI46=TRUE),VLOOKUP(Calculator!E23,tbSkills!DH3:DJ6,3,FALSE),0),0))/100)))),1),"")</f>
        <v>1</v>
      </c>
      <c r="KT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KQ27)*KS27)*(VLOOKUP(A27,tbMoveset!A2:C112,3,FALSE)/100)*IF(VLOOKUP(A27,tbMoveset!A2:B112,2,FALSE)="Projectile",Backdoors!N10,Backdoors!N9),0),"")</f>
        <v/>
      </c>
      <c r="KU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REF!&gt;0,VLOOKUP(Calculator!#REF!,tbSkills!AC3:AD5,2,FALSE),Backdoors!AL3)*(IF((Backdoors!AI12+IF(KQ27&gt;=0.45,VLOOKUP(Calculator!E23,tbSkills!DH3:DI6,2,FALSE)+IF(AND(Calculator!B8=TRUE,Backdoors!BI46=TRUE),VLOOKUP(Calculator!E23,tbSkills!DH3:DJ6,3,FALSE),0),0))&gt;=100,100,(Backdoors!AI12+IF(KQ27&gt;=0.45,VLOOKUP(Calculator!E23,tbSkills!DH3:DI6,2,FALSE)+IF(AND(Calculator!B8=TRUE,Backdoors!BI46=TRUE),VLOOKUP(Calculator!E23,tbSkills!DH3:DJ6,3,FALSE),0),0)))/100)),1))*IF(VLOOKUP(A27,tbMoveset!A2:K112,11,FALSE)=TRUE,Backdoors!AC5,1))*KR27,0),"")</f>
        <v/>
      </c>
      <c r="KV27" s="49">
        <f>VLOOKUP(A27,tbMoveset!A2:G112,7,FALSE)*IFERROR(IF(Backdoors!AI12&gt;=0,1+(IF(Calculator!E40&gt;0,VLOOKUP(Calculator!E40,tbSkills!AI3:AJ5,2,FALSE),Backdoors!AL4)*(IF((Backdoors!AI12+IF(KQ27&gt;=0.45,VLOOKUP(Calculator!E23,tbSkills!DH3:DI6,2,FALSE)+IF(AND(Calculator!B8=TRUE,Backdoors!BI46=TRUE),VLOOKUP(Calculator!E23,tbSkills!DH3:DJ6,3,FALSE),0),0))&gt;=100,100,(Backdoors!AI12+IF(KQ27&gt;=0.45,VLOOKUP(Calculator!E23,tbSkills!DH3:DI6,2,FALSE)+IF(AND(Calculator!B8=TRUE,Backdoors!BI46=TRUE),VLOOKUP(Calculator!E23,tbSkills!DH3:DJ6,3,FALSE),0),0)))/100)),1),1)</f>
        <v>1</v>
      </c>
      <c r="KW27" s="87">
        <f t="shared" si="35"/>
        <v>0</v>
      </c>
    </row>
    <row r="28" spans="1:309" x14ac:dyDescent="0.25">
      <c r="A28" s="95" t="str">
        <f>tbMoveset!A28</f>
        <v>Right Double Roundslash (R2)</v>
      </c>
      <c r="B28" s="86">
        <f>IFERROR(IF(VLOOKUP(A28,tbMoveset!A2:B112,2,FALSE)="Sever",Backdoors!AY3/100,IF(VLOOKUP(A28,tbMoveset!A2:B112,2,FALSE)="Blunt",Backdoors!AZ3/100,Backdoors!BA3/100)),"")</f>
        <v>0.8</v>
      </c>
      <c r="C28" s="49">
        <f>IFERROR(IF(VLOOKUP(tbMoveset!A28,tbMoveset!A2:H112,8,FALSE)="Other",IF(VLOOKUP(tbMoveset!A28,tbMoveset!A2:I112,9,FALSE)="Fire",Backdoors!BB3,IF(VLOOKUP(tbMoveset!A28,tbMoveset!A2:I112,9,FALSE)="Water",Backdoors!BC3,IF(VLOOKUP(tbMoveset!A28,tbMoveset!A2:I112,9,FALSE)="Thunder",Backdoors!BD3,IF(VLOOKUP(tbMoveset!A28,tbMoveset!A2:I112,9,FALSE)="Ice",Backdoors!BE3,IF(VLOOKUP(tbMoveset!A28,tbMoveset!A2:I112,9,FALSE)="Dragon",Backdoors!BF3,Backdoors!BG3)))))/100,Backdoors!BG3/100),"")</f>
        <v>0</v>
      </c>
      <c r="D28" s="49">
        <f>IFERROR(IF(VLOOKUP(A28,tbMoveset!A2:J112,10,FALSE)=TRUE,IF((Backdoors!AI12+IF(B28&gt;=0.45,VLOOKUP(Calculator!E23,tbSkills!DH3:DI6,2,FALSE)+IF(AND(Calculator!B8=TRUE,Backdoors!BI3=TRUE),VLOOKUP(Calculator!E23,tbSkills!DH3:DJ6,3,FALSE),0),0))&gt;=0,1+(Backdoors!AL2*(IF((Backdoors!AI12+IF(B28&gt;=0.45,VLOOKUP(Calculator!E23,tbSkills!DH3:DI6,2,FALSE)+IF(AND(Calculator!B8=TRUE,Backdoors!BI3=TRUE),VLOOKUP(Calculator!E23,tbSkills!DH3:DJ6,3,FALSE),0),0))&gt;=100,100,(Backdoors!AI12+IF(B28&gt;=0.45,VLOOKUP(Calculator!E23,tbSkills!DH3:DI6,2,FALSE)+IF(AND(Calculator!B8=TRUE,Backdoors!BI3=TRUE),VLOOKUP(Calculator!E23,tbSkills!DH3:DJ6,3,FALSE),0),0)))/100)),(1-(0.25*((-Backdoors!AI12-IF(B28&gt;=0.45,VLOOKUP(Calculator!E23,tbSkills!DH3:DI6,2,FALSE)+IF(AND(Calculator!B8=TRUE,Backdoors!BI3=TRUE),VLOOKUP(Calculator!E23,tbSkills!DH3:DJ6,3,FALSE),0),0))/100)))),1),"")</f>
        <v>1</v>
      </c>
      <c r="E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28)*D28)*(VLOOKUP(A28,tbMoveset!A2:C112,3,FALSE)/100)*IF(VLOOKUP(A28,tbMoveset!A2:B112,2,FALSE)="Projectile",Backdoors!N10,Backdoors!N9),0),"")</f>
        <v>5</v>
      </c>
      <c r="F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28&gt;=0.45,VLOOKUP(Calculator!E23,tbSkills!DH3:DI6,2,FALSE)+IF(AND(Calculator!B8=TRUE,Backdoors!BI3=TRUE),VLOOKUP(Calculator!E23,tbSkills!DH3:DJ6,3,FALSE),0),0))&gt;=100,100,(Backdoors!AI12+IF(B28&gt;=0.45,VLOOKUP(Calculator!E23,tbSkills!DH3:DI6,2,FALSE)+IF(AND(Calculator!B8=TRUE,Backdoors!BI3=TRUE),VLOOKUP(Calculator!E23,tbSkills!DH3:DJ6,3,FALSE),0),0)))/100)),1))*IF(VLOOKUP(A28,tbMoveset!A2:K112,11,FALSE)=TRUE,Backdoors!AC5,1))*C28,0),"")</f>
        <v>0</v>
      </c>
      <c r="G28">
        <f>VLOOKUP(A28,tbMoveset!A2:G112,7,FALSE)*IFERROR(IF(Backdoors!AI12&gt;=0,1+(IF(Calculator!E40&gt;0,VLOOKUP(Calculator!E40,tbSkills!AI3:AJ5,2,FALSE),Backdoors!AL4)*(IF((Backdoors!AI12+IF(B28&gt;=0.45,VLOOKUP(Calculator!E23,tbSkills!DH3:DI6,2,FALSE)+IF(AND(Calculator!B8=TRUE,Backdoors!BI3=TRUE),VLOOKUP(Calculator!E23,tbSkills!DH3:DJ6,3,FALSE),0),0))&gt;=100,100,(Backdoors!AI12+IF(B28&gt;=0.45,VLOOKUP(Calculator!E23,tbSkills!DH3:DI6,2,FALSE)+IF(AND(Calculator!B8=TRUE,Backdoors!BI3=TRUE),VLOOKUP(Calculator!E23,tbSkills!DH3:DJ6,3,FALSE),0),0)))/100)),1),1)</f>
        <v>1</v>
      </c>
      <c r="H28" s="87">
        <f t="shared" si="43"/>
        <v>5</v>
      </c>
      <c r="I28" s="86">
        <f>IFERROR(IF(VLOOKUP(A28,tbMoveset!A2:B112,2,FALSE)="Sever",Backdoors!AY4/100,IF(VLOOKUP(A28,tbMoveset!A2:B112,2,FALSE)="Blunt",Backdoors!AZ4/100,Backdoors!BA4/100)),"")</f>
        <v>0.65</v>
      </c>
      <c r="J28" s="49">
        <f>IFERROR(IF(VLOOKUP(tbMoveset!A28,tbMoveset!A2:H112,8,FALSE)="Other",IF(VLOOKUP(tbMoveset!A28,tbMoveset!A2:I112,9,FALSE)="Fire",Backdoors!BB4,IF(VLOOKUP(tbMoveset!A28,tbMoveset!A2:I112,9,FALSE)="Water",Backdoors!BC4,IF(VLOOKUP(tbMoveset!A28,tbMoveset!A2:I112,9,FALSE)="Thunder",Backdoors!BD4,IF(VLOOKUP(tbMoveset!A28,tbMoveset!A2:I112,9,FALSE)="Ice",Backdoors!BE4,IF(VLOOKUP(tbMoveset!A28,tbMoveset!A2:I112,9,FALSE)="Dragon",Backdoors!BF4,Backdoors!BG4)))))/100,Backdoors!BG4/100),"")</f>
        <v>0</v>
      </c>
      <c r="K28" s="49">
        <f>IFERROR(IF(VLOOKUP(A28,tbMoveset!A2:J112,10,FALSE)=TRUE,IF((Backdoors!AI12+IF(I28&gt;=0.45,VLOOKUP(Calculator!E23,tbSkills!DH3:DI6,2,FALSE)+IF(AND(Calculator!B8=TRUE,Backdoors!BI4=TRUE),VLOOKUP(Calculator!E23,tbSkills!DH3:DJ6,3,FALSE),0),0))&gt;=0,1+(Backdoors!AL2*(IF((Backdoors!AI12+IF(I28&gt;=0.45,VLOOKUP(Calculator!E23,tbSkills!DH3:DI6,2,FALSE)+IF(AND(Calculator!B8=TRUE,Backdoors!BI4=TRUE),VLOOKUP(Calculator!E23,tbSkills!DH3:DJ6,3,FALSE),0),0))&gt;=100,100,(Backdoors!AI12+IF(I28&gt;=0.45,VLOOKUP(Calculator!E23,tbSkills!DH3:DI6,2,FALSE)+IF(AND(Calculator!B8=TRUE,Backdoors!BI4=TRUE),VLOOKUP(Calculator!E23,tbSkills!DH3:DJ6,3,FALSE),0),0)))/100)),(1-(0.25*((-Backdoors!AI12-IF(I28&gt;=0.45,VLOOKUP(Calculator!E23,tbSkills!DH3:DI6,2,FALSE)+IF(AND(Calculator!B8=TRUE,Backdoors!BI4=TRUE),VLOOKUP(Calculator!E23,tbSkills!DH3:DJ6,3,FALSE),0),0))/100)))),1),"")</f>
        <v>1</v>
      </c>
      <c r="L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28)*K28)*(VLOOKUP(A28,tbMoveset!A2:C112,3,FALSE)/100)*IF(VLOOKUP(A28,tbMoveset!A2:B112,2,FALSE)="Projectile",Backdoors!N10,Backdoors!N9),0),"")</f>
        <v>4</v>
      </c>
      <c r="M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I28&gt;=0.45,VLOOKUP(Calculator!E23,tbSkills!DH3:DI6,2,FALSE)+IF(AND(Calculator!B8=TRUE,Backdoors!BI4=TRUE),VLOOKUP(Calculator!E23,tbSkills!DH3:DJ6,3,FALSE),0),0))&gt;=100,100,(Backdoors!AI12+IF(I28&gt;=0.45,VLOOKUP(Calculator!E23,tbSkills!DH3:DI6,2,FALSE)+IF(AND(Calculator!B8=TRUE,Backdoors!BI4=TRUE),VLOOKUP(Calculator!E23,tbSkills!DH3:DJ6,3,FALSE),0),0)))/100)),1))*IF(VLOOKUP(A28,tbMoveset!A2:K112,11,FALSE)=TRUE,Backdoors!AC5,1))*J28,0),"")</f>
        <v>0</v>
      </c>
      <c r="N28" s="49">
        <f>VLOOKUP(A28,tbMoveset!A2:G112,7,FALSE)*IFERROR(IF(Backdoors!AI12&gt;=0,1+(IF(Calculator!E40&gt;0,VLOOKUP(Calculator!E40,tbSkills!AI3:AJ5,2,FALSE),Backdoors!AL4)*(IF((Backdoors!AI12+IF(I28&gt;=0.45,VLOOKUP(Calculator!E23,tbSkills!DH3:DI6,2,FALSE)+IF(AND(Calculator!B8=TRUE,Backdoors!BI4=TRUE),VLOOKUP(Calculator!E23,tbSkills!DH3:DJ6,3,FALSE),0),0))&gt;=100,100,(Backdoors!AI12+IF(I28&gt;=0.45,VLOOKUP(Calculator!E23,tbSkills!DH3:DI6,2,FALSE)+IF(AND(Calculator!B8=TRUE,Backdoors!BI4=TRUE),VLOOKUP(Calculator!E23,tbSkills!DH3:DJ6,3,FALSE),0),0)))/100)),1),1)</f>
        <v>1</v>
      </c>
      <c r="O28" s="87">
        <f t="shared" si="36"/>
        <v>4</v>
      </c>
      <c r="P28" s="86">
        <f>IFERROR(IF(VLOOKUP(A28,tbMoveset!A2:B112,2,FALSE)="Sever",Backdoors!AY5/100,IF(VLOOKUP(A28,tbMoveset!A2:B112,2,FALSE)="Blunt",Backdoors!AZ5/100,Backdoors!BA5/100)),"")</f>
        <v>0.5</v>
      </c>
      <c r="Q28" s="49">
        <f>IFERROR(IF(VLOOKUP(tbMoveset!A28,tbMoveset!A2:H112,8,FALSE)="Other",IF(VLOOKUP(tbMoveset!A28,tbMoveset!A2:I112,9,FALSE)="Fire",Backdoors!BB5,IF(VLOOKUP(tbMoveset!A28,tbMoveset!A2:I112,9,FALSE)="Water",Backdoors!BC5,IF(VLOOKUP(tbMoveset!A28,tbMoveset!A2:I112,9,FALSE)="Thunder",Backdoors!BD5,IF(VLOOKUP(tbMoveset!A28,tbMoveset!A2:I112,9,FALSE)="Ice",Backdoors!BE5,IF(VLOOKUP(tbMoveset!A28,tbMoveset!A2:I112,9,FALSE)="Dragon",Backdoors!BF5,Backdoors!BG5)))))/100,Backdoors!BG5/100),"")</f>
        <v>0</v>
      </c>
      <c r="R28" s="49">
        <f>IFERROR(IF(VLOOKUP(A28,tbMoveset!A2:J112,10,FALSE)=TRUE,IF((Backdoors!AI12+IF(P28&gt;=0.45,VLOOKUP(Calculator!E23,tbSkills!DH3:DI6,2,FALSE)+IF(AND(Calculator!B8=TRUE,Backdoors!BI5=TRUE),VLOOKUP(Calculator!E23,tbSkills!DH3:DJ6,3,FALSE),0),0))&gt;=0,1+(Backdoors!AL2*(IF((Backdoors!AI12+IF(P28&gt;=0.45,VLOOKUP(Calculator!E23,tbSkills!DH3:DI6,2,FALSE)+IF(AND(Calculator!B8=TRUE,Backdoors!BI5=TRUE),VLOOKUP(Calculator!E23,tbSkills!DH3:DJ6,3,FALSE),0),0))&gt;=100,100,(Backdoors!AI12+IF(P28&gt;=0.45,VLOOKUP(Calculator!E23,tbSkills!DH3:DI6,2,FALSE)+IF(AND(Calculator!B8=TRUE,Backdoors!BI5=TRUE),VLOOKUP(Calculator!E23,tbSkills!DH3:DJ6,3,FALSE),0),0)))/100)),(1-(0.25*((-Backdoors!AI12-IF(P28&gt;=0.45,VLOOKUP(Calculator!E23,tbSkills!DH3:DI6,2,FALSE)+IF(AND(Calculator!B8=TRUE,Backdoors!BI5=TRUE),VLOOKUP(Calculator!E23,tbSkills!DH3:DJ6,3,FALSE),0),0))/100)))),1),"")</f>
        <v>1</v>
      </c>
      <c r="S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P28)*R28)*(VLOOKUP(A28,tbMoveset!A2:C112,3,FALSE)/100)*IF(VLOOKUP(A28,tbMoveset!A2:B112,2,FALSE)="Projectile",Backdoors!N10,Backdoors!N9),0),"")</f>
        <v>3</v>
      </c>
      <c r="T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P28&gt;=0.45,VLOOKUP(Calculator!E23,tbSkills!DH3:DI6,2,FALSE)+IF(AND(Calculator!B8=TRUE,Backdoors!BI5=TRUE),VLOOKUP(Calculator!E23,tbSkills!DH3:DJ6,3,FALSE),0),0))&gt;=100,100,(Backdoors!AI12+IF(P28&gt;=0.45,VLOOKUP(Calculator!E23,tbSkills!DH3:DI6,2,FALSE)+IF(AND(Calculator!B8=TRUE,Backdoors!BI5=TRUE),VLOOKUP(Calculator!E23,tbSkills!DH3:DJ6,3,FALSE),0),0)))/100)),1))*IF(VLOOKUP(A28,tbMoveset!A2:K112,11,FALSE)=TRUE,Backdoors!AC5,1))*Q28,0),"")</f>
        <v>0</v>
      </c>
      <c r="U28" s="49">
        <f>VLOOKUP(A28,tbMoveset!A2:G112,7,FALSE)*IFERROR(IF(Backdoors!AI12&gt;=0,1+(IF(Calculator!E40&gt;0,VLOOKUP(Calculator!E40,tbSkills!AI3:AJ5,2,FALSE),Backdoors!AL4)*(IF((Backdoors!AI12+IF(P28&gt;=0.45,VLOOKUP(Calculator!E23,tbSkills!DH3:DI6,2,FALSE)+IF(AND(Calculator!B8=TRUE,Backdoors!BI5=TRUE),VLOOKUP(Calculator!E23,tbSkills!DH3:DJ6,3,FALSE),0),0))&gt;=100,100,(Backdoors!AI12+IF(P28&gt;=0.45,VLOOKUP(Calculator!E23,tbSkills!DH3:DI6,2,FALSE)+IF(AND(Calculator!B8=TRUE,Backdoors!BI5=TRUE),VLOOKUP(Calculator!E23,tbSkills!DH3:DJ6,3,FALSE),0),0)))/100)),1),1)</f>
        <v>1</v>
      </c>
      <c r="V28" s="87">
        <f t="shared" si="37"/>
        <v>3</v>
      </c>
      <c r="W28" s="86">
        <f>IFERROR(IF(VLOOKUP(A28,tbMoveset!A2:B112,2,FALSE)="Sever",Backdoors!AY6/100,IF(VLOOKUP(A28,tbMoveset!A2:B112,2,FALSE)="Blunt",Backdoors!AZ6/100,Backdoors!BA6/100)),"")</f>
        <v>0.45</v>
      </c>
      <c r="X28" s="49">
        <f>IFERROR(IF(VLOOKUP(tbMoveset!A28,tbMoveset!A2:H112,8,FALSE)="Other",IF(VLOOKUP(tbMoveset!A28,tbMoveset!A2:I112,9,FALSE)="Fire",Backdoors!BB6,IF(VLOOKUP(tbMoveset!A28,tbMoveset!A2:I112,9,FALSE)="Water",Backdoors!BC6,IF(VLOOKUP(tbMoveset!A28,tbMoveset!A2:I112,9,FALSE)="Thunder",Backdoors!BD6,IF(VLOOKUP(tbMoveset!A28,tbMoveset!A2:I112,9,FALSE)="Ice",Backdoors!BE6,IF(VLOOKUP(tbMoveset!A28,tbMoveset!A2:I112,9,FALSE)="Dragon",Backdoors!BF6,Backdoors!BG6)))))/100,Backdoors!BG6/100),"")</f>
        <v>0</v>
      </c>
      <c r="Y28" s="49">
        <f>IFERROR(IF(VLOOKUP(A28,tbMoveset!A2:J112,10,FALSE)=TRUE,IF((Backdoors!AI12+IF(W28&gt;=0.45,VLOOKUP(Calculator!E23,tbSkills!DH3:DI6,2,FALSE)+IF(AND(Calculator!B8=TRUE,Backdoors!BI6=TRUE),VLOOKUP(Calculator!E23,tbSkills!DH3:DJ6,3,FALSE),0),0))&gt;=0,1+(Backdoors!AL2*(IF((Backdoors!AI12+IF(W28&gt;=0.45,VLOOKUP(Calculator!E23,tbSkills!DH3:DI6,2,FALSE)+IF(AND(Calculator!B8=TRUE,Backdoors!BI6=TRUE),VLOOKUP(Calculator!E23,tbSkills!DH3:DJ6,3,FALSE),0),0))&gt;=100,100,(Backdoors!AI12+IF(W28&gt;=0.45,VLOOKUP(Calculator!E23,tbSkills!DH3:DI6,2,FALSE)+IF(AND(Calculator!B8=TRUE,Backdoors!BI6=TRUE),VLOOKUP(Calculator!E23,tbSkills!DH3:DJ6,3,FALSE),0),0)))/100)),(1-(0.25*((-Backdoors!AI12-IF(W28&gt;=0.45,VLOOKUP(Calculator!E23,tbSkills!DH3:DI6,2,FALSE)+IF(AND(Calculator!B8=TRUE,Backdoors!BI6=TRUE),VLOOKUP(Calculator!E23,tbSkills!DH3:DJ6,3,FALSE),0),0))/100)))),1),"")</f>
        <v>1</v>
      </c>
      <c r="Z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W28)*Y28)*(VLOOKUP(A28,tbMoveset!A2:C112,3,FALSE)/100)*IF(VLOOKUP(A28,tbMoveset!A2:B112,2,FALSE)="Projectile",Backdoors!N10,Backdoors!N9),0),"")</f>
        <v>3</v>
      </c>
      <c r="AA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W28&gt;=0.45,VLOOKUP(Calculator!E23,tbSkills!DH3:DI6,2,FALSE)+IF(AND(Calculator!B8=TRUE,Backdoors!BI6=TRUE),VLOOKUP(Calculator!E23,tbSkills!DH3:DJ6,3,FALSE),0),0))&gt;=100,100,(Backdoors!AI12+IF(W28&gt;=0.45,VLOOKUP(Calculator!E23,tbSkills!DH3:DI6,2,FALSE)+IF(AND(Calculator!B8=TRUE,Backdoors!BI6=TRUE),VLOOKUP(Calculator!E23,tbSkills!DH3:DJ6,3,FALSE),0),0)))/100)),1))*IF(VLOOKUP(A28,tbMoveset!A2:K112,11,FALSE)=TRUE,Backdoors!AC5,1))*X28,0),"")</f>
        <v>0</v>
      </c>
      <c r="AB28" s="49">
        <f>VLOOKUP(A28,tbMoveset!A2:G112,7,FALSE)*IFERROR(IF(Backdoors!AI12&gt;=0,1+(IF(Calculator!E40&gt;0,VLOOKUP(Calculator!E40,tbSkills!AI3:AJ5,2,FALSE),Backdoors!AL4)*(IF((Backdoors!AI12+IF(W28&gt;=0.45,VLOOKUP(Calculator!E23,tbSkills!DH3:DI6,2,FALSE)+IF(AND(Calculator!B8=TRUE,Backdoors!BI6=TRUE),VLOOKUP(Calculator!E23,tbSkills!DH3:DJ6,3,FALSE),0),0))&gt;=100,100,(Backdoors!AI12+IF(W28&gt;=0.45,VLOOKUP(Calculator!E23,tbSkills!DH3:DI6,2,FALSE)+IF(AND(Calculator!B8=TRUE,Backdoors!BI6=TRUE),VLOOKUP(Calculator!E23,tbSkills!DH3:DJ6,3,FALSE),0),0)))/100)),1),1)</f>
        <v>1</v>
      </c>
      <c r="AC28" s="87">
        <f t="shared" si="0"/>
        <v>3</v>
      </c>
      <c r="AD28" s="86">
        <f>IFERROR(IF(VLOOKUP(A28,tbMoveset!A2:B112,2,FALSE)="Sever",Backdoors!AY7/100,IF(VLOOKUP(A28,tbMoveset!A2:B112,2,FALSE)="Blunt",Backdoors!AZ7/100,Backdoors!BA7/100)),"")</f>
        <v>0.65</v>
      </c>
      <c r="AE28" s="49">
        <f>IFERROR(IF(VLOOKUP(tbMoveset!A28,tbMoveset!A2:H112,8,FALSE)="Other",IF(VLOOKUP(tbMoveset!A28,tbMoveset!A2:I112,9,FALSE)="Fire",Backdoors!BB7,IF(VLOOKUP(tbMoveset!A28,tbMoveset!A2:I112,9,FALSE)="Water",Backdoors!BC7,IF(VLOOKUP(tbMoveset!A28,tbMoveset!A2:I112,9,FALSE)="Thunder",Backdoors!BD7,IF(VLOOKUP(tbMoveset!A28,tbMoveset!A2:I112,9,FALSE)="Ice",Backdoors!BE7,IF(VLOOKUP(tbMoveset!A28,tbMoveset!A2:I112,9,FALSE)="Dragon",Backdoors!BF7,Backdoors!BG7)))))/100,Backdoors!BG7/100),"")</f>
        <v>0</v>
      </c>
      <c r="AF28" s="49">
        <f>IFERROR(IF(VLOOKUP(A28,tbMoveset!A2:J112,10,FALSE)=TRUE,IF((Backdoors!AI12+IF(AD28&gt;=0.45,VLOOKUP(Calculator!E23,tbSkills!DH3:DI6,2,FALSE)+IF(AND(Calculator!B8=TRUE,Backdoors!BI7=TRUE),VLOOKUP(Calculator!E23,tbSkills!DH3:DJ6,3,FALSE),0),0))&gt;=0,1+(Backdoors!AL2*(IF((Backdoors!AI12+IF(AD28&gt;=0.45,VLOOKUP(Calculator!E23,tbSkills!DH3:DI6,2,FALSE)+IF(AND(Calculator!B8=TRUE,Backdoors!BI7=TRUE),VLOOKUP(Calculator!E23,tbSkills!DH3:DJ6,3,FALSE),0),0))&gt;=100,100,(Backdoors!AI12+IF(AD28&gt;=0.45,VLOOKUP(Calculator!E23,tbSkills!DH3:DI6,2,FALSE)+IF(AND(Calculator!B8=TRUE,Backdoors!BI7=TRUE),VLOOKUP(Calculator!E23,tbSkills!DH3:DJ6,3,FALSE),0),0)))/100)),(1-(0.25*((-Backdoors!AI12-IF(AD28&gt;=0.45,VLOOKUP(Calculator!E23,tbSkills!DH3:DI6,2,FALSE)+IF(AND(Calculator!B8=TRUE,Backdoors!BI7=TRUE),VLOOKUP(Calculator!E23,tbSkills!DH3:DJ6,3,FALSE),0),0))/100)))),1),"")</f>
        <v>1</v>
      </c>
      <c r="AG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D28)*AF28)*(VLOOKUP(A28,tbMoveset!A2:C112,3,FALSE)/100)*IF(VLOOKUP(A28,tbMoveset!A2:B112,2,FALSE)="Projectile",Backdoors!N10,Backdoors!N9),0),"")</f>
        <v>4</v>
      </c>
      <c r="AH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D28&gt;=0.45,VLOOKUP(Calculator!E23,tbSkills!DH3:DI6,2,FALSE)+IF(AND(Calculator!B8=TRUE,Backdoors!BI7=TRUE),VLOOKUP(Calculator!E23,tbSkills!DH3:DJ6,3,FALSE),0),0))&gt;=100,100,(Backdoors!AI12+IF(AD28&gt;=0.45,VLOOKUP(Calculator!E23,tbSkills!DH3:DI6,2,FALSE)+IF(AND(Calculator!B8=TRUE,Backdoors!BI7=TRUE),VLOOKUP(Calculator!E23,tbSkills!DH3:DJ6,3,FALSE),0),0)))/100)),1))*IF(VLOOKUP(A28,tbMoveset!A2:K112,11,FALSE)=TRUE,Backdoors!AC5,1))*AE28,0),"")</f>
        <v>0</v>
      </c>
      <c r="AI28" s="49">
        <f>VLOOKUP(A28,tbMoveset!A2:G112,7,FALSE)*IFERROR(IF(Backdoors!AI12&gt;=0,1+(IF(Calculator!E40&gt;0,VLOOKUP(Calculator!E40,tbSkills!AI3:AJ5,2,FALSE),Backdoors!AL4)*(IF((Backdoors!AI12+IF(AD28&gt;=0.45,VLOOKUP(Calculator!E23,tbSkills!DH3:DI6,2,FALSE)+IF(AND(Calculator!B8=TRUE,Backdoors!BI7=TRUE),VLOOKUP(Calculator!E23,tbSkills!DH3:DJ6,3,FALSE),0),0))&gt;=100,100,(Backdoors!AI12+IF(AD28&gt;=0.45,VLOOKUP(Calculator!E23,tbSkills!DH3:DI6,2,FALSE)+IF(AND(Calculator!B8=TRUE,Backdoors!BI7=TRUE),VLOOKUP(Calculator!E23,tbSkills!DH3:DJ6,3,FALSE),0),0)))/100)),1),1)</f>
        <v>1</v>
      </c>
      <c r="AJ28" s="87">
        <f t="shared" si="1"/>
        <v>4</v>
      </c>
      <c r="AK28" s="91">
        <f>IFERROR(IF(VLOOKUP(A28,tbMoveset!A2:B112,2,FALSE)="Sever",Backdoors!AY8/100,IF(VLOOKUP(A28,tbMoveset!A2:B112,2,FALSE)="Blunt",Backdoors!AZ8/100,Backdoors!BA8/100)),"")</f>
        <v>0.45</v>
      </c>
      <c r="AL28" s="49">
        <f>IFERROR(IF(VLOOKUP(tbMoveset!A28,tbMoveset!A2:H112,8,FALSE)="Other",IF(VLOOKUP(tbMoveset!A28,tbMoveset!A2:I112,9,FALSE)="Fire",Backdoors!BB8,IF(VLOOKUP(tbMoveset!A28,tbMoveset!A2:I112,9,FALSE)="Water",Backdoors!BC8,IF(VLOOKUP(tbMoveset!A28,tbMoveset!A2:I112,9,FALSE)="Thunder",Backdoors!BD8,IF(VLOOKUP(tbMoveset!A28,tbMoveset!A2:I112,9,FALSE)="Ice",Backdoors!BE8,IF(VLOOKUP(tbMoveset!A28,tbMoveset!A2:I112,9,FALSE)="Dragon",Backdoors!BF8,Backdoors!BG8)))))/100,Backdoors!BG8/100),"")</f>
        <v>0</v>
      </c>
      <c r="AM28" s="49">
        <f>IFERROR(IF(VLOOKUP(A28,tbMoveset!A2:J112,10,FALSE)=TRUE,IF((Backdoors!AI12+IF(AK28&gt;=0.45,VLOOKUP(Calculator!E23,tbSkills!DH3:DI6,2,FALSE)+IF(AND(Calculator!B8=TRUE,Backdoors!BI8=TRUE),VLOOKUP(Calculator!E23,tbSkills!DH3:DJ6,3,FALSE),0),0))&gt;=0,1+(Backdoors!AL2*(IF((Backdoors!AI12+IF(AK28&gt;=0.45,VLOOKUP(Calculator!E23,tbSkills!DH3:DI6,2,FALSE)+IF(AND(Calculator!B8=TRUE,Backdoors!BI8=TRUE),VLOOKUP(Calculator!E23,tbSkills!DH3:DJ6,3,FALSE),0),0))&gt;=100,100,(Backdoors!AI12+IF(AK28&gt;=0.45,VLOOKUP(Calculator!E23,tbSkills!DH3:DI6,2,FALSE)+IF(AND(Calculator!B8=TRUE,Backdoors!BI8=TRUE),VLOOKUP(Calculator!E23,tbSkills!DH3:DJ6,3,FALSE),0),0)))/100)),(1-(0.25*((-Backdoors!AI12-IF(AK28&gt;=0.45,VLOOKUP(Calculator!E23,tbSkills!DH3:DI6,2,FALSE)+IF(AND(Calculator!B8=TRUE,Backdoors!BI8=TRUE),VLOOKUP(Calculator!E23,tbSkills!DH3:DJ6,3,FALSE),0),0))/100)))),1),"")</f>
        <v>1</v>
      </c>
      <c r="AN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K28)*AM28)*(VLOOKUP(A28,tbMoveset!A2:C112,3,FALSE)/100)*IF(VLOOKUP(A28,tbMoveset!A2:B112,2,FALSE)="Projectile",Backdoors!N10,Backdoors!N9),0),"")</f>
        <v>3</v>
      </c>
      <c r="AO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K28&gt;=0.45,VLOOKUP(Calculator!E23,tbSkills!DH3:DI6,2,FALSE)+IF(AND(Calculator!B8=TRUE,Backdoors!BI8=TRUE),VLOOKUP(Calculator!E23,tbSkills!DH3:DJ6,3,FALSE),0),0))&gt;=100,100,(Backdoors!AI12+IF(AK28&gt;=0.45,VLOOKUP(Calculator!E23,tbSkills!DH3:DI6,2,FALSE)+IF(AND(Calculator!B8=TRUE,Backdoors!BI8=TRUE),VLOOKUP(Calculator!E23,tbSkills!DH3:DJ6,3,FALSE),0),0)))/100)),1))*IF(VLOOKUP(A28,tbMoveset!A2:K112,11,FALSE)=TRUE,Backdoors!AC5,1))*AL28,0),"")</f>
        <v>0</v>
      </c>
      <c r="AP28" s="49">
        <f>VLOOKUP(A28,tbMoveset!A2:G112,7,FALSE)*IFERROR(IF(Backdoors!AI12&gt;=0,1+(IF(Calculator!E40&gt;0,VLOOKUP(Calculator!E40,tbSkills!AI3:AJ5,2,FALSE),Backdoors!AL4)*(IF((Backdoors!AI12+IF(AK28&gt;=0.45,VLOOKUP(Calculator!E23,tbSkills!DH3:DI6,2,FALSE)+IF(AND(Calculator!B8=TRUE,Backdoors!BI8=TRUE),VLOOKUP(Calculator!E23,tbSkills!DH3:DJ6,3,FALSE),0),0))&gt;=100,100,(Backdoors!AI12+IF(AK28&gt;=0.45,VLOOKUP(Calculator!E23,tbSkills!DH3:DI6,2,FALSE)+IF(AND(Calculator!B8=TRUE,Backdoors!BI8=TRUE),VLOOKUP(Calculator!E23,tbSkills!DH3:DJ6,3,FALSE),0),0)))/100)),1),1)</f>
        <v>1</v>
      </c>
      <c r="AQ28" s="87">
        <f t="shared" si="2"/>
        <v>3</v>
      </c>
      <c r="AR28" s="86">
        <f>IFERROR(IF(VLOOKUP(A28,tbMoveset!A2:B112,2,FALSE)="Sever",Backdoors!AY9/100,IF(VLOOKUP(A28,tbMoveset!A2:B112,2,FALSE)="Blunt",Backdoors!AZ9/100,Backdoors!BA9/100)),"")</f>
        <v>0.45</v>
      </c>
      <c r="AS28" s="49">
        <f>IFERROR(IF(VLOOKUP(tbMoveset!A28,tbMoveset!A2:H112,8,FALSE)="Other",IF(VLOOKUP(tbMoveset!A28,tbMoveset!A2:I112,9,FALSE)="Fire",Backdoors!BB9,IF(VLOOKUP(tbMoveset!A28,tbMoveset!A2:I112,9,FALSE)="Water",Backdoors!BC9,IF(VLOOKUP(tbMoveset!A28,tbMoveset!A2:I112,9,FALSE)="Thunder",Backdoors!BD9,IF(VLOOKUP(tbMoveset!A28,tbMoveset!A2:I112,9,FALSE)="Ice",Backdoors!BE9,IF(VLOOKUP(tbMoveset!A28,tbMoveset!A2:I112,9,FALSE)="Dragon",Backdoors!BF9,Backdoors!BG9)))))/100,Backdoors!BG9/100),"")</f>
        <v>0</v>
      </c>
      <c r="AT28" s="49">
        <f>IFERROR(IF(VLOOKUP(A28,tbMoveset!A2:J112,10,FALSE)=TRUE,IF((Backdoors!AI12+IF(AR28&gt;=0.45,VLOOKUP(Calculator!E23,tbSkills!DH3:DI6,2,FALSE)+IF(AND(Calculator!B8=TRUE,Backdoors!BI9=TRUE),VLOOKUP(Calculator!E23,tbSkills!DH3:DJ6,3,FALSE),0),0))&gt;=0,1+(Backdoors!AL2*(IF((Backdoors!AI12+IF(AR28&gt;=0.45,VLOOKUP(Calculator!E23,tbSkills!DH3:DI6,2,FALSE)+IF(AND(Calculator!B8=TRUE,Backdoors!BI9=TRUE),VLOOKUP(Calculator!E23,tbSkills!DH3:DJ6,3,FALSE),0),0))&gt;=100,100,(Backdoors!AI12+IF(AR28&gt;=0.45,VLOOKUP(Calculator!E23,tbSkills!DH3:DI6,2,FALSE)+IF(AND(Calculator!B8=TRUE,Backdoors!BI9=TRUE),VLOOKUP(Calculator!E23,tbSkills!DH3:DJ6,3,FALSE),0),0)))/100)),(1-(0.25*((-Backdoors!AI12-IF(AR28&gt;=0.45,VLOOKUP(Calculator!E23,tbSkills!DH3:DI6,2,FALSE)+IF(AND(Calculator!B8=TRUE,Backdoors!BI9=TRUE),VLOOKUP(Calculator!E23,tbSkills!DH3:DJ6,3,FALSE),0),0))/100)))),1),"")</f>
        <v>1</v>
      </c>
      <c r="AU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R28)*AT28)*(VLOOKUP(A28,tbMoveset!A2:C112,3,FALSE)/100)*IF(VLOOKUP(A28,tbMoveset!A2:B112,2,FALSE)="Projectile",Backdoors!N10,Backdoors!N9),0),"")</f>
        <v>3</v>
      </c>
      <c r="AV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R28&gt;=0.45,VLOOKUP(Calculator!E23,tbSkills!DH3:DI6,2,FALSE)+IF(AND(Calculator!B8=TRUE,Backdoors!BI9=TRUE),VLOOKUP(Calculator!E23,tbSkills!DH3:DJ6,3,FALSE),0),0))&gt;=100,100,(Backdoors!AI12+IF(AR28&gt;=0.45,VLOOKUP(Calculator!E23,tbSkills!DH3:DI6,2,FALSE)+IF(AND(Calculator!B8=TRUE,Backdoors!BI9=TRUE),VLOOKUP(Calculator!E23,tbSkills!DH3:DJ6,3,FALSE),0),0)))/100)),1))*IF(VLOOKUP(A28,tbMoveset!A2:K112,11,FALSE)=TRUE,Backdoors!AC5,1))*AS28,0),"")</f>
        <v>0</v>
      </c>
      <c r="AW28" s="49">
        <f>VLOOKUP(A28,tbMoveset!A2:G112,7,FALSE)*IFERROR(IF(Backdoors!AI12&gt;=0,1+(IF(Calculator!E40&gt;0,VLOOKUP(Calculator!E40,tbSkills!AI3:AJ5,2,FALSE),Backdoors!AL4)*(IF((Backdoors!AI12+IF(AR28&gt;=0.45,VLOOKUP(Calculator!E23,tbSkills!DH3:DI6,2,FALSE)+IF(AND(Calculator!B8=TRUE,Backdoors!BI9=TRUE),VLOOKUP(Calculator!E23,tbSkills!DH3:DJ6,3,FALSE),0),0))&gt;=100,100,(Backdoors!AI12+IF(AR28&gt;=0.45,VLOOKUP(Calculator!E23,tbSkills!DH3:DI6,2,FALSE)+IF(AND(Calculator!B8=TRUE,Backdoors!BI9=TRUE),VLOOKUP(Calculator!E23,tbSkills!DH3:DJ6,3,FALSE),0),0)))/100)),1),1)</f>
        <v>1</v>
      </c>
      <c r="AX28" s="87">
        <f t="shared" si="38"/>
        <v>3</v>
      </c>
      <c r="AY28" s="86">
        <f>IFERROR(IF(VLOOKUP(A28,tbMoveset!A2:B112,2,FALSE)="Sever",Backdoors!AY10/100,IF(VLOOKUP(A28,tbMoveset!A2:B112,2,FALSE)="Blunt",Backdoors!AZ10/100,Backdoors!BA10/100)),"")</f>
        <v>0.9</v>
      </c>
      <c r="AZ28" s="49">
        <f>IFERROR(IF(VLOOKUP(tbMoveset!A28,tbMoveset!A2:H112,8,FALSE)="Other",IF(VLOOKUP(tbMoveset!A28,tbMoveset!A2:I112,9,FALSE)="Fire",Backdoors!BB10,IF(VLOOKUP(tbMoveset!A28,tbMoveset!A2:I112,9,FALSE)="Water",Backdoors!BC10,IF(VLOOKUP(tbMoveset!A28,tbMoveset!A2:I112,9,FALSE)="Thunder",Backdoors!BD10,IF(VLOOKUP(tbMoveset!A28,tbMoveset!A2:I112,9,FALSE)="Ice",Backdoors!BE10,IF(VLOOKUP(tbMoveset!A28,tbMoveset!A2:I112,9,FALSE)="Dragon",Backdoors!BF10,Backdoors!BG10)))))/100,Backdoors!BG10/100),"")</f>
        <v>0</v>
      </c>
      <c r="BA28" s="49">
        <f>IFERROR(IF(VLOOKUP(A28,tbMoveset!A2:J112,10,FALSE)=TRUE,IF((Backdoors!AI12+IF(AY28&gt;=0.45,VLOOKUP(Calculator!E23,tbSkills!DH3:DI6,2,FALSE)+IF(AND(Calculator!B8=TRUE,Backdoors!BI10=TRUE),VLOOKUP(Calculator!E23,tbSkills!DH3:DJ6,3,FALSE),0),0))&gt;=0,1+(Backdoors!AL2*(IF((Backdoors!AI12+IF(AY28&gt;=0.45,VLOOKUP(Calculator!E23,tbSkills!DH3:DI6,2,FALSE)+IF(AND(Calculator!B8=TRUE,Backdoors!BI10=TRUE),VLOOKUP(Calculator!E23,tbSkills!DH3:DJ6,3,FALSE),0),0))&gt;=100,100,(Backdoors!AI12+IF(AY28&gt;=0.45,VLOOKUP(Calculator!E23,tbSkills!DH3:DI6,2,FALSE)+IF(AND(Calculator!B8=TRUE,Backdoors!BI10=TRUE),VLOOKUP(Calculator!E23,tbSkills!DH3:DJ6,3,FALSE),0),0)))/100)),(1-(0.25*((-Backdoors!AI12-IF(AY28&gt;=0.45,VLOOKUP(Calculator!E23,tbSkills!DH3:DI6,2,FALSE)+IF(AND(Calculator!B8=TRUE,Backdoors!BI10=TRUE),VLOOKUP(Calculator!E23,tbSkills!DH3:DJ6,3,FALSE),0),0))/100)))),1),"")</f>
        <v>1</v>
      </c>
      <c r="BB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Y28)*BA28)*(VLOOKUP(A28,tbMoveset!A2:C112,3,FALSE)/100)*IF(VLOOKUP(A28,tbMoveset!A2:B112,2,FALSE)="Projectile",Backdoors!N10,Backdoors!N9),0),"")</f>
        <v>5</v>
      </c>
      <c r="BC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Y28&gt;=0.45,VLOOKUP(Calculator!E23,tbSkills!DH3:DI6,2,FALSE)+IF(AND(Calculator!B8=TRUE,Backdoors!BI10=TRUE),VLOOKUP(Calculator!E23,tbSkills!DH3:DJ6,3,FALSE),0),0))&gt;=100,100,(Backdoors!AI12+IF(AY28&gt;=0.45,VLOOKUP(Calculator!E23,tbSkills!DH3:DI6,2,FALSE)+IF(AND(Calculator!B8=TRUE,Backdoors!BI10=TRUE),VLOOKUP(Calculator!E23,tbSkills!DH3:DJ6,3,FALSE),0),0)))/100)),1))*IF(VLOOKUP(A28,tbMoveset!A2:K112,11,FALSE)=TRUE,Backdoors!AC5,1))*AZ28,0),"")</f>
        <v>0</v>
      </c>
      <c r="BD28" s="49">
        <f>VLOOKUP(A28,tbMoveset!A2:G112,7,FALSE)*IFERROR(IF(Backdoors!AI12&gt;=0,1+(IF(Calculator!E40&gt;0,VLOOKUP(Calculator!E40,tbSkills!AI3:AJ5,2,FALSE),Backdoors!AL4)*(IF((Backdoors!AI12+IF(AY28&gt;=0.45,VLOOKUP(Calculator!E23,tbSkills!DH3:DI6,2,FALSE)+IF(AND(Calculator!B8=TRUE,Backdoors!BI10=TRUE),VLOOKUP(Calculator!E23,tbSkills!DH3:DJ6,3,FALSE),0),0))&gt;=100,100,(Backdoors!AI12+IF(AY28&gt;=0.45,VLOOKUP(Calculator!E23,tbSkills!DH3:DI6,2,FALSE)+IF(AND(Calculator!B8=TRUE,Backdoors!BI10=TRUE),VLOOKUP(Calculator!E23,tbSkills!DH3:DJ6,3,FALSE),0),0)))/100)),1),1)</f>
        <v>1</v>
      </c>
      <c r="BE28" s="87">
        <f t="shared" si="3"/>
        <v>5</v>
      </c>
      <c r="BF28" s="86" t="str">
        <f>IFERROR(IF(VLOOKUP(A28,tbMoveset!A2:B112,2,FALSE)="Sever",Backdoors!AY11/100,IF(VLOOKUP(A28,tbMoveset!A2:B112,2,FALSE)="Blunt",Backdoors!AZ11/100,Backdoors!BA11/100)),"")</f>
        <v/>
      </c>
      <c r="BG28" s="49">
        <f>IFERROR(IF(VLOOKUP(tbMoveset!A28,tbMoveset!A2:H112,8,FALSE)="Other",IF(VLOOKUP(tbMoveset!A28,tbMoveset!A2:I112,9,FALSE)="Fire",Backdoors!BB11,IF(VLOOKUP(tbMoveset!A28,tbMoveset!A2:I112,9,FALSE)="Water",Backdoors!BC11,IF(VLOOKUP(tbMoveset!A28,tbMoveset!A2:I112,9,FALSE)="Thunder",Backdoors!BD11,IF(VLOOKUP(tbMoveset!A28,tbMoveset!A2:I112,9,FALSE)="Ice",Backdoors!BE11,IF(VLOOKUP(tbMoveset!A28,tbMoveset!A2:I112,9,FALSE)="Dragon",Backdoors!BF11,Backdoors!BG11)))))/100,Backdoors!BG11/100),"")</f>
        <v>0</v>
      </c>
      <c r="BH28" s="49">
        <f>IFERROR(IF(VLOOKUP(A28,tbMoveset!A2:J112,10,FALSE)=TRUE,IF((Backdoors!AI12+IF(BF28&gt;=0.45,VLOOKUP(Calculator!E23,tbSkills!DH3:DI6,2,FALSE)+IF(AND(Calculator!B8=TRUE,Backdoors!BI11=TRUE),VLOOKUP(Calculator!E23,tbSkills!DH3:DJ6,3,FALSE),0),0))&gt;=0,1+(Backdoors!AL2*(IF((Backdoors!AI12+IF(BF28&gt;=0.45,VLOOKUP(Calculator!E23,tbSkills!DH3:DI6,2,FALSE)+IF(AND(Calculator!B8=TRUE,Backdoors!BI11=TRUE),VLOOKUP(Calculator!E23,tbSkills!DH3:DJ6,3,FALSE),0),0))&gt;=100,100,(Backdoors!AI12+IF(BF28&gt;=0.45,VLOOKUP(Calculator!E23,tbSkills!DH3:DI6,2,FALSE)+IF(AND(Calculator!B8=TRUE,Backdoors!BI11=TRUE),VLOOKUP(Calculator!E23,tbSkills!DH3:DJ6,3,FALSE),0),0)))/100)),(1-(0.25*((-Backdoors!AI12-IF(BF28&gt;=0.45,VLOOKUP(Calculator!E23,tbSkills!DH3:DI6,2,FALSE)+IF(AND(Calculator!B8=TRUE,Backdoors!BI11=TRUE),VLOOKUP(Calculator!E23,tbSkills!DH3:DJ6,3,FALSE),0),0))/100)))),1),"")</f>
        <v>1</v>
      </c>
      <c r="BI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F28)*BH28)*(VLOOKUP(A28,tbMoveset!A2:C112,3,FALSE)/100)*IF(VLOOKUP(A28,tbMoveset!A2:B112,2,FALSE)="Projectile",Backdoors!N10,Backdoors!N9),0),"")</f>
        <v/>
      </c>
      <c r="BJ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F28&gt;=0.45,VLOOKUP(Calculator!E23,tbSkills!DH3:DI6,2,FALSE)+IF(AND(Calculator!B8=TRUE,Backdoors!BI11=TRUE),VLOOKUP(Calculator!E23,tbSkills!DH3:DJ6,3,FALSE),0),0))&gt;=100,100,(Backdoors!AI12+IF(BF28&gt;=0.45,VLOOKUP(Calculator!E23,tbSkills!DH3:DI6,2,FALSE)+IF(AND(Calculator!B8=TRUE,Backdoors!BI11=TRUE),VLOOKUP(Calculator!E23,tbSkills!DH3:DJ6,3,FALSE),0),0)))/100)),1))*IF(VLOOKUP(A28,tbMoveset!A2:K112,11,FALSE)=TRUE,Backdoors!AC5,1))*BG28,0),"")</f>
        <v>0</v>
      </c>
      <c r="BK28" s="49">
        <f>VLOOKUP(A28,tbMoveset!A2:G112,7,FALSE)*IFERROR(IF(Backdoors!AI12&gt;=0,1+(IF(Calculator!E40&gt;0,VLOOKUP(Calculator!E40,tbSkills!AI3:AJ5,2,FALSE),Backdoors!AL4)*(IF((Backdoors!AI12+IF(BF28&gt;=0.45,VLOOKUP(Calculator!E23,tbSkills!DH3:DI6,2,FALSE)+IF(AND(Calculator!B8=TRUE,Backdoors!BI11=TRUE),VLOOKUP(Calculator!E23,tbSkills!DH3:DJ6,3,FALSE),0),0))&gt;=100,100,(Backdoors!AI12+IF(BF28&gt;=0.45,VLOOKUP(Calculator!E23,tbSkills!DH3:DI6,2,FALSE)+IF(AND(Calculator!B8=TRUE,Backdoors!BI11=TRUE),VLOOKUP(Calculator!E23,tbSkills!DH3:DJ6,3,FALSE),0),0)))/100)),1),1)</f>
        <v>1</v>
      </c>
      <c r="BL28" s="87">
        <f t="shared" si="4"/>
        <v>0</v>
      </c>
      <c r="BM28" s="86" t="str">
        <f>IFERROR(IF(VLOOKUP(A28,tbMoveset!A2:B112,2,FALSE)="Sever",Backdoors!AY12/100,IF(VLOOKUP(A28,tbMoveset!A2:B112,2,FALSE)="Blunt",Backdoors!AZ12/100,Backdoors!BA12/100)),"")</f>
        <v/>
      </c>
      <c r="BN28" s="49">
        <f>IFERROR(IF(VLOOKUP(tbMoveset!A28,tbMoveset!A2:H112,8,FALSE)="Other",IF(VLOOKUP(tbMoveset!A28,tbMoveset!A2:I112,9,FALSE)="Fire",Backdoors!BB12,IF(VLOOKUP(tbMoveset!A28,tbMoveset!A2:I112,9,FALSE)="Water",Backdoors!BC12,IF(VLOOKUP(tbMoveset!A28,tbMoveset!A2:I112,9,FALSE)="Thunder",Backdoors!BD12,IF(VLOOKUP(tbMoveset!A28,tbMoveset!A2:I112,9,FALSE)="Ice",Backdoors!BE12,IF(VLOOKUP(tbMoveset!A28,tbMoveset!A2:I112,9,FALSE)="Dragon",Backdoors!BF12,Backdoors!BG12)))))/100,Backdoors!BG12/100),"")</f>
        <v>0</v>
      </c>
      <c r="BO28" s="49">
        <f>IFERROR(IF(VLOOKUP(A28,tbMoveset!A2:J112,10,FALSE)=TRUE,IF((Backdoors!AI12+IF(BM28&gt;=0.45,VLOOKUP(Calculator!E23,tbSkills!DH3:DI6,2,FALSE)+IF(AND(Calculator!B8=TRUE,Backdoors!BI12=TRUE),VLOOKUP(Calculator!E23,tbSkills!DH3:DJ6,3,FALSE),0),0))&gt;=0,1+(Backdoors!AL2*(IF((Backdoors!AI12+IF(BM28&gt;=0.45,VLOOKUP(Calculator!E23,tbSkills!DH3:DI6,2,FALSE)+IF(AND(Calculator!B8=TRUE,Backdoors!BI12=TRUE),VLOOKUP(Calculator!E23,tbSkills!DH3:DJ6,3,FALSE),0),0))&gt;=100,100,(Backdoors!AI12+IF(BM28&gt;=0.45,VLOOKUP(Calculator!E23,tbSkills!DH3:DI6,2,FALSE)+IF(AND(Calculator!B8=TRUE,Backdoors!BI12=TRUE),VLOOKUP(Calculator!E23,tbSkills!DH3:DJ6,3,FALSE),0),0)))/100)),(1-(0.25*((-Backdoors!AI12-IF(BM28&gt;=0.45,VLOOKUP(Calculator!E23,tbSkills!DH3:DI6,2,FALSE)+IF(AND(Calculator!B8=TRUE,Backdoors!BI12=TRUE),VLOOKUP(Calculator!E23,tbSkills!DH3:DJ6,3,FALSE),0),0))/100)))),1),"")</f>
        <v>1</v>
      </c>
      <c r="BP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M28)*BO28)*(VLOOKUP(A28,tbMoveset!A2:C112,3,FALSE)/100)*IF(VLOOKUP(A28,tbMoveset!A2:B112,2,FALSE)="Projectile",Backdoors!N10,Backdoors!N9),0),"")</f>
        <v/>
      </c>
      <c r="BQ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M28&gt;=0.45,VLOOKUP(Calculator!E23,tbSkills!DH3:DI6,2,FALSE)+IF(AND(Calculator!B8=TRUE,Backdoors!BI12=TRUE),VLOOKUP(Calculator!E23,tbSkills!DH3:DJ6,3,FALSE),0),0))&gt;=100,100,(Backdoors!AI12+IF(BM28&gt;=0.45,VLOOKUP(Calculator!E23,tbSkills!DH3:DI6,2,FALSE)+IF(AND(Calculator!B8=TRUE,Backdoors!BI12=TRUE),VLOOKUP(Calculator!E23,tbSkills!DH3:DJ6,3,FALSE),0),0)))/100)),1))*IF(VLOOKUP(A28,tbMoveset!A2:K112,11,FALSE)=TRUE,Backdoors!AC5,1))*BN28,0),"")</f>
        <v>0</v>
      </c>
      <c r="BR28" s="49">
        <f>VLOOKUP(A28,tbMoveset!A2:G112,7,FALSE)*IFERROR(IF(Backdoors!AI12&gt;=0,1+(IF(Calculator!E40&gt;0,VLOOKUP(Calculator!E40,tbSkills!AI3:AJ5,2,FALSE),Backdoors!AL4)*(IF((Backdoors!AI12+IF(BM28&gt;=0.45,VLOOKUP(Calculator!E23,tbSkills!DH3:DI6,2,FALSE)+IF(AND(Calculator!B8=TRUE,Backdoors!BI12=TRUE),VLOOKUP(Calculator!E23,tbSkills!DH3:DJ6,3,FALSE),0),0))&gt;=100,100,(Backdoors!AI12+IF(BM28&gt;=0.45,VLOOKUP(Calculator!E23,tbSkills!DH3:DI6,2,FALSE)+IF(AND(Calculator!B8=TRUE,Backdoors!BI12=TRUE),VLOOKUP(Calculator!E23,tbSkills!DH3:DJ6,3,FALSE),0),0)))/100)),1),1)</f>
        <v>1</v>
      </c>
      <c r="BS28" s="87">
        <f t="shared" si="39"/>
        <v>0</v>
      </c>
      <c r="BT28" s="86" t="str">
        <f>IFERROR(IF(VLOOKUP(A28,tbMoveset!A2:B112,2,FALSE)="Sever",Backdoors!AY13/100,IF(VLOOKUP(A28,tbMoveset!A2:B112,2,FALSE)="Blunt",Backdoors!AZ13/100,Backdoors!BA13/100)),"")</f>
        <v/>
      </c>
      <c r="BU28" s="49">
        <f>IFERROR(IF(VLOOKUP(tbMoveset!A28,tbMoveset!A2:H112,8,FALSE)="Other",IF(VLOOKUP(tbMoveset!A28,tbMoveset!A2:I112,9,FALSE)="Fire",Backdoors!BB13,IF(VLOOKUP(tbMoveset!A28,tbMoveset!A2:I112,9,FALSE)="Water",Backdoors!BC13,IF(VLOOKUP(tbMoveset!A28,tbMoveset!A2:I112,9,FALSE)="Thunder",Backdoors!BD13,IF(VLOOKUP(tbMoveset!A28,tbMoveset!A2:I112,9,FALSE)="Ice",Backdoors!BE13,IF(VLOOKUP(tbMoveset!A28,tbMoveset!A2:I112,9,FALSE)="Dragon",Backdoors!BF13,Backdoors!BG13)))))/100,Backdoors!BG13/100),"")</f>
        <v>0</v>
      </c>
      <c r="BV28" s="49">
        <f>IFERROR(IF(VLOOKUP(A28,tbMoveset!A2:J112,10,FALSE)=TRUE,IF((Backdoors!AI12+IF(BT28&gt;=0.45,VLOOKUP(Calculator!E23,tbSkills!DH3:DI6,2,FALSE)+IF(AND(Calculator!B8=TRUE,Backdoors!BI13=TRUE),VLOOKUP(Calculator!E23,tbSkills!DH3:DJ6,3,FALSE),0),0))&gt;=0,1+(Backdoors!AL2*(IF((Backdoors!AI12+IF(BT28&gt;=0.45,VLOOKUP(Calculator!E23,tbSkills!DH3:DI6,2,FALSE)+IF(AND(Calculator!B8=TRUE,Backdoors!BI13=TRUE),VLOOKUP(Calculator!E23,tbSkills!DH3:DJ6,3,FALSE),0),0))&gt;=100,100,(Backdoors!AI12+IF(BT28&gt;=0.45,VLOOKUP(Calculator!E23,tbSkills!DH3:DI6,2,FALSE)+IF(AND(Calculator!B8=TRUE,Backdoors!BI13=TRUE),VLOOKUP(Calculator!E23,tbSkills!DH3:DJ6,3,FALSE),0),0)))/100)),(1-(0.25*((-Backdoors!AI12-IF(BT28&gt;=0.45,VLOOKUP(Calculator!E23,tbSkills!DH3:DI6,2,FALSE)+IF(AND(Calculator!B8=TRUE,Backdoors!BI13=TRUE),VLOOKUP(Calculator!E23,tbSkills!DH3:DJ6,3,FALSE),0),0))/100)))),1),"")</f>
        <v>1</v>
      </c>
      <c r="BW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T28)*BV28)*(VLOOKUP(A28,tbMoveset!A2:C112,3,FALSE)/100)*IF(VLOOKUP(A28,tbMoveset!A2:B112,2,FALSE)="Projectile",Backdoors!N10,Backdoors!N9),0),"")</f>
        <v/>
      </c>
      <c r="BX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T28&gt;=0.45,VLOOKUP(Calculator!E23,tbSkills!DH3:DI6,2,FALSE)+IF(AND(Calculator!B8=TRUE,Backdoors!BI13=TRUE),VLOOKUP(Calculator!E23,tbSkills!DH3:DJ6,3,FALSE),0),0))&gt;=100,100,(Backdoors!AI12+IF(BT28&gt;=0.45,VLOOKUP(Calculator!E23,tbSkills!DH3:DI6,2,FALSE)+IF(AND(Calculator!B8=TRUE,Backdoors!BI13=TRUE),VLOOKUP(Calculator!E23,tbSkills!DH3:DJ6,3,FALSE),0),0)))/100)),1))*IF(VLOOKUP(A28,tbMoveset!A2:K112,11,FALSE)=TRUE,Backdoors!AC5,1))*BU28,0),"")</f>
        <v>0</v>
      </c>
      <c r="BY28" s="49">
        <f>VLOOKUP(A28,tbMoveset!A2:G112,7,FALSE)*IFERROR(IF(Backdoors!AI12&gt;=0,1+(IF(Calculator!E40&gt;0,VLOOKUP(Calculator!E40,tbSkills!AI3:AJ5,2,FALSE),Backdoors!AL4)*(IF((Backdoors!AI12+IF(BT28&gt;=0.45,VLOOKUP(Calculator!E23,tbSkills!DH3:DI6,2,FALSE)+IF(AND(Calculator!B8=TRUE,Backdoors!BI13=TRUE),VLOOKUP(Calculator!E23,tbSkills!DH3:DJ6,3,FALSE),0),0))&gt;=100,100,(Backdoors!AI12+IF(BT28&gt;=0.45,VLOOKUP(Calculator!E23,tbSkills!DH3:DI6,2,FALSE)+IF(AND(Calculator!B8=TRUE,Backdoors!BI13=TRUE),VLOOKUP(Calculator!E23,tbSkills!DH3:DJ6,3,FALSE),0),0)))/100)),1),1)</f>
        <v>1</v>
      </c>
      <c r="BZ28" s="87">
        <f t="shared" si="5"/>
        <v>0</v>
      </c>
      <c r="CA28" s="86" t="str">
        <f>IFERROR(IF(VLOOKUP(A28,tbMoveset!A2:B112,2,FALSE)="Sever",Backdoors!AY14/100,IF(VLOOKUP(A28,tbMoveset!A2:B112,2,FALSE)="Blunt",Backdoors!AZ14/100,Backdoors!BA14/100)),"")</f>
        <v/>
      </c>
      <c r="CB28" s="49">
        <f>IFERROR(IF(VLOOKUP(tbMoveset!A28,tbMoveset!A2:H112,8,FALSE)="Other",IF(VLOOKUP(tbMoveset!A28,tbMoveset!A2:I112,9,FALSE)="Fire",Backdoors!BB14,IF(VLOOKUP(tbMoveset!A28,tbMoveset!A2:I112,9,FALSE)="Water",Backdoors!BC14,IF(VLOOKUP(tbMoveset!A28,tbMoveset!A2:I112,9,FALSE)="Thunder",Backdoors!BD14,IF(VLOOKUP(tbMoveset!A28,tbMoveset!A2:I112,9,FALSE)="Ice",Backdoors!BE14,IF(VLOOKUP(tbMoveset!A28,tbMoveset!A2:I112,9,FALSE)="Dragon",Backdoors!BF14,Backdoors!BG14)))))/100,Backdoors!BG14/100),"")</f>
        <v>0</v>
      </c>
      <c r="CC28" s="49">
        <f>IFERROR(IF(VLOOKUP(A28,tbMoveset!A2:J112,10,FALSE)=TRUE,IF((Backdoors!AI12+IF(CA28&gt;=0.45,VLOOKUP(Calculator!E23,tbSkills!DH3:DI6,2,FALSE)+IF(AND(Calculator!B8=TRUE,Backdoors!BI14=TRUE),VLOOKUP(Calculator!E23,tbSkills!DH3:DJ6,3,FALSE),0),0))&gt;=0,1+(Backdoors!AL2*(IF((Backdoors!AI12+IF(CA28&gt;=0.45,VLOOKUP(Calculator!E23,tbSkills!DH3:DI6,2,FALSE)+IF(AND(Calculator!B8=TRUE,Backdoors!BI14=TRUE),VLOOKUP(Calculator!E23,tbSkills!DH3:DJ6,3,FALSE),0),0))&gt;=100,100,(Backdoors!AI12+IF(CA28&gt;=0.45,VLOOKUP(Calculator!E23,tbSkills!DH3:DI6,2,FALSE)+IF(AND(Calculator!B8=TRUE,Backdoors!BI14=TRUE),VLOOKUP(Calculator!E23,tbSkills!DH3:DJ6,3,FALSE),0),0)))/100)),(1-(0.25*((-Backdoors!AI12-IF(CA28&gt;=0.45,VLOOKUP(Calculator!E23,tbSkills!DH3:DI6,2,FALSE)+IF(AND(Calculator!B8=TRUE,Backdoors!BI14=TRUE),VLOOKUP(Calculator!E23,tbSkills!DH3:DJ6,3,FALSE),0),0))/100)))),1),"")</f>
        <v>1</v>
      </c>
      <c r="CD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A28)*CC28)*(VLOOKUP(A28,tbMoveset!A2:C112,3,FALSE)/100)*IF(VLOOKUP(A28,tbMoveset!A2:B112,2,FALSE)="Projectile",Backdoors!N10,Backdoors!N9),0),"")</f>
        <v/>
      </c>
      <c r="CE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A28&gt;=0.45,VLOOKUP(Calculator!E23,tbSkills!DH3:DI6,2,FALSE)+IF(AND(Calculator!B8=TRUE,Backdoors!BI14=TRUE),VLOOKUP(Calculator!E23,tbSkills!DH3:DJ6,3,FALSE),0),0))&gt;=100,100,(Backdoors!AI12+IF(CA28&gt;=0.45,VLOOKUP(Calculator!E23,tbSkills!DH3:DI6,2,FALSE)+IF(AND(Calculator!B8=TRUE,Backdoors!BI14=TRUE),VLOOKUP(Calculator!E23,tbSkills!DH3:DJ6,3,FALSE),0),0)))/100)),1))*IF(VLOOKUP(A28,tbMoveset!A2:K112,11,FALSE)=TRUE,Backdoors!AC5,1))*CB28,0),"")</f>
        <v>0</v>
      </c>
      <c r="CF28" s="49">
        <f>VLOOKUP(A28,tbMoveset!A2:G112,7,FALSE)*IFERROR(IF(Backdoors!AI12&gt;=0,1+(IF(Calculator!E40&gt;0,VLOOKUP(Calculator!E40,tbSkills!AI3:AJ5,2,FALSE),Backdoors!AL4)*(IF((Backdoors!AI12+IF(CA28&gt;=0.45,VLOOKUP(Calculator!E23,tbSkills!DH3:DI6,2,FALSE)+IF(AND(Calculator!B8=TRUE,Backdoors!BI14=TRUE),VLOOKUP(Calculator!E23,tbSkills!DH3:DJ6,3,FALSE),0),0))&gt;=100,100,(Backdoors!AI12+IF(CA28&gt;=0.45,VLOOKUP(Calculator!E23,tbSkills!DH3:DI6,2,FALSE)+IF(AND(Calculator!B8=TRUE,Backdoors!BI14=TRUE),VLOOKUP(Calculator!E23,tbSkills!DH3:DJ6,3,FALSE),0),0)))/100)),1),1)</f>
        <v>1</v>
      </c>
      <c r="CG28" s="87">
        <f t="shared" si="6"/>
        <v>0</v>
      </c>
      <c r="CH28" s="86" t="str">
        <f>IFERROR(IF(VLOOKUP(A28,tbMoveset!A2:B112,2,FALSE)="Sever",Backdoors!AY15/100,IF(VLOOKUP(A28,tbMoveset!A2:B112,2,FALSE)="Blunt",Backdoors!AZ15/100,Backdoors!BA15/100)),"")</f>
        <v/>
      </c>
      <c r="CI28" s="49">
        <f>IFERROR(IF(VLOOKUP(tbMoveset!A28,tbMoveset!A2:H112,8,FALSE)="Other",IF(VLOOKUP(tbMoveset!A28,tbMoveset!A2:I112,9,FALSE)="Fire",Backdoors!BB15,IF(VLOOKUP(tbMoveset!A28,tbMoveset!A2:I112,9,FALSE)="Water",Backdoors!BC15,IF(VLOOKUP(tbMoveset!A28,tbMoveset!A2:I112,9,FALSE)="Thunder",Backdoors!BD15,IF(VLOOKUP(tbMoveset!A28,tbMoveset!A2:I112,9,FALSE)="Ice",Backdoors!BE15,IF(VLOOKUP(tbMoveset!A28,tbMoveset!A2:I112,9,FALSE)="Dragon",Backdoors!BF15,Backdoors!BG15)))))/100,Backdoors!BG15/100),"")</f>
        <v>0</v>
      </c>
      <c r="CJ28" s="49">
        <f>IFERROR(IF(VLOOKUP(A28,tbMoveset!A2:J112,10,FALSE)=TRUE,IF((Backdoors!AI12+IF(CH28&gt;=0.45,VLOOKUP(Calculator!E23,tbSkills!DH3:DI6,2,FALSE)+IF(AND(Calculator!B8=TRUE,Backdoors!BI15=TRUE),VLOOKUP(Calculator!E23,tbSkills!DH3:DJ6,3,FALSE),0),0))&gt;=0,1+(Backdoors!AL2*(IF((Backdoors!AI12+IF(CH28&gt;=0.45,VLOOKUP(Calculator!E23,tbSkills!DH3:DI6,2,FALSE)+IF(AND(Calculator!B8=TRUE,Backdoors!BI15=TRUE),VLOOKUP(Calculator!E23,tbSkills!DH3:DJ6,3,FALSE),0),0))&gt;=100,100,(Backdoors!AI12+IF(CH28&gt;=0.45,VLOOKUP(Calculator!E23,tbSkills!DH3:DI6,2,FALSE)+IF(AND(Calculator!B8=TRUE,Backdoors!BI15=TRUE),VLOOKUP(Calculator!E23,tbSkills!DH3:DJ6,3,FALSE),0),0)))/100)),(1-(0.25*((-Backdoors!AI12-IF(CH28&gt;=0.45,VLOOKUP(Calculator!E23,tbSkills!DH3:DI6,2,FALSE)+IF(AND(Calculator!B8=TRUE,Backdoors!BI15=TRUE),VLOOKUP(Calculator!E23,tbSkills!DH3:DJ6,3,FALSE),0),0))/100)))),1),"")</f>
        <v>1</v>
      </c>
      <c r="CK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H28)*CJ28)*(VLOOKUP(A28,tbMoveset!A2:C112,3,FALSE)/100)*IF(VLOOKUP(A28,tbMoveset!A2:B112,2,FALSE)="Projectile",Backdoors!N10,Backdoors!N9),0),"")</f>
        <v/>
      </c>
      <c r="CL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H28&gt;=0.45,VLOOKUP(Calculator!E23,tbSkills!DH3:DI6,2,FALSE)+IF(AND(Calculator!B8=TRUE,Backdoors!BI15=TRUE),VLOOKUP(Calculator!E23,tbSkills!DH3:DJ6,3,FALSE),0),0))&gt;=100,100,(Backdoors!AI12+IF(CH28&gt;=0.45,VLOOKUP(Calculator!E23,tbSkills!DH3:DI6,2,FALSE)+IF(AND(Calculator!B8=TRUE,Backdoors!BI15=TRUE),VLOOKUP(Calculator!E23,tbSkills!DH3:DJ6,3,FALSE),0),0)))/100)),1))*IF(VLOOKUP(A28,tbMoveset!A2:K112,11,FALSE)=TRUE,Backdoors!AC5,1))*CI28,0),"")</f>
        <v>0</v>
      </c>
      <c r="CM28" s="49">
        <f>VLOOKUP(A28,tbMoveset!A2:G112,7,FALSE)*IFERROR(IF(Backdoors!AI12&gt;=0,1+(IF(Calculator!E40&gt;0,VLOOKUP(Calculator!E40,tbSkills!AI3:AJ5,2,FALSE),Backdoors!AL4)*(IF((Backdoors!AI12+IF(CH28&gt;=0.45,VLOOKUP(Calculator!E23,tbSkills!DH3:DI6,2,FALSE)+IF(AND(Calculator!B8=TRUE,Backdoors!BI15=TRUE),VLOOKUP(Calculator!E23,tbSkills!DH3:DJ6,3,FALSE),0),0))&gt;=100,100,(Backdoors!AI12+IF(CH28&gt;=0.45,VLOOKUP(Calculator!E23,tbSkills!DH3:DI6,2,FALSE)+IF(AND(Calculator!B8=TRUE,Backdoors!BI15=TRUE),VLOOKUP(Calculator!E23,tbSkills!DH3:DJ6,3,FALSE),0),0)))/100)),1),1)</f>
        <v>1</v>
      </c>
      <c r="CN28" s="87">
        <f t="shared" si="7"/>
        <v>0</v>
      </c>
      <c r="CO28" s="86" t="str">
        <f>IFERROR(IF(VLOOKUP(A28,tbMoveset!A2:B112,2,FALSE)="Sever",Backdoors!AY16/100,IF(VLOOKUP(A28,tbMoveset!A2:B112,2,FALSE)="Blunt",Backdoors!AZ16/100,Backdoors!BA16/100)),"")</f>
        <v/>
      </c>
      <c r="CP28" s="49">
        <f>IFERROR(IF(VLOOKUP(tbMoveset!A28,tbMoveset!A2:H112,8,FALSE)="Other",IF(VLOOKUP(tbMoveset!A28,tbMoveset!A2:I112,9,FALSE)="Fire",Backdoors!BB16,IF(VLOOKUP(tbMoveset!A28,tbMoveset!A2:I112,9,FALSE)="Water",Backdoors!BC16,IF(VLOOKUP(tbMoveset!A28,tbMoveset!A2:I112,9,FALSE)="Thunder",Backdoors!BD16,IF(VLOOKUP(tbMoveset!A28,tbMoveset!A2:I112,9,FALSE)="Ice",Backdoors!BE16,IF(VLOOKUP(tbMoveset!A28,tbMoveset!A2:I112,9,FALSE)="Dragon",Backdoors!BF16,Backdoors!BG16)))))/100,Backdoors!BG16/100),"")</f>
        <v>0</v>
      </c>
      <c r="CQ28" s="49">
        <f>IFERROR(IF(VLOOKUP(A28,tbMoveset!A2:J112,10,FALSE)=TRUE,IF((Backdoors!AI12+IF(CO28&gt;=0.45,VLOOKUP(Calculator!E23,tbSkills!DH3:DI6,2,FALSE)+IF(AND(Calculator!B8=TRUE,Backdoors!BI16=TRUE),VLOOKUP(Calculator!E23,tbSkills!DH3:DJ6,3,FALSE),0),0))&gt;=0,1+(Backdoors!AL2*(IF((Backdoors!AI12+IF(CO28&gt;=0.45,VLOOKUP(Calculator!E23,tbSkills!DH3:DI6,2,FALSE)+IF(AND(Calculator!B8=TRUE,Backdoors!BI16=TRUE),VLOOKUP(Calculator!E23,tbSkills!DH3:DJ6,3,FALSE),0),0))&gt;=100,100,(Backdoors!AI12+IF(CO28&gt;=0.45,VLOOKUP(Calculator!E23,tbSkills!DH3:DI6,2,FALSE)+IF(AND(Calculator!B8=TRUE,Backdoors!BI16=TRUE),VLOOKUP(Calculator!E23,tbSkills!DH3:DJ6,3,FALSE),0),0)))/100)),(1-(0.25*((-Backdoors!AI12-IF(CO28&gt;=0.45,VLOOKUP(Calculator!E23,tbSkills!DH3:DI6,2,FALSE)+IF(AND(Calculator!B8=TRUE,Backdoors!BI16=TRUE),VLOOKUP(Calculator!E23,tbSkills!DH3:DJ6,3,FALSE),0),0))/100)))),1),"")</f>
        <v>1</v>
      </c>
      <c r="CR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O28)*CQ28)*(VLOOKUP(A28,tbMoveset!A2:C112,3,FALSE)/100)*IF(VLOOKUP(A28,tbMoveset!A2:B112,2,FALSE)="Projectile",Backdoors!N10,Backdoors!N9),0),"")</f>
        <v/>
      </c>
      <c r="CS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O28&gt;=0.45,VLOOKUP(Calculator!E23,tbSkills!DH3:DI6,2,FALSE)+IF(AND(Calculator!B8=TRUE,Backdoors!BI16=TRUE),VLOOKUP(Calculator!E23,tbSkills!DH3:DJ6,3,FALSE),0),0))&gt;=100,100,(Backdoors!AI12+IF(CO28&gt;=0.45,VLOOKUP(Calculator!E23,tbSkills!DH3:DI6,2,FALSE)+IF(AND(Calculator!B8=TRUE,Backdoors!BI16=TRUE),VLOOKUP(Calculator!E23,tbSkills!DH3:DJ6,3,FALSE),0),0)))/100)),1))*IF(VLOOKUP(A28,tbMoveset!A2:K112,11,FALSE)=TRUE,Backdoors!AC5,1))*CP28,0),"")</f>
        <v>0</v>
      </c>
      <c r="CT28" s="49">
        <f>VLOOKUP(A28,tbMoveset!A2:G112,7,FALSE)*IFERROR(IF(Backdoors!AI12&gt;=0,1+(IF(Calculator!E40&gt;0,VLOOKUP(Calculator!E40,tbSkills!AI3:AJ5,2,FALSE),Backdoors!AL4)*(IF((Backdoors!AI12+IF(CO28&gt;=0.45,VLOOKUP(Calculator!E23,tbSkills!DH3:DI6,2,FALSE)+IF(AND(Calculator!B8=TRUE,Backdoors!BI16=TRUE),VLOOKUP(Calculator!E23,tbSkills!DH3:DJ6,3,FALSE),0),0))&gt;=100,100,(Backdoors!AI12+IF(CO28&gt;=0.45,VLOOKUP(Calculator!E23,tbSkills!DH3:DI6,2,FALSE)+IF(AND(Calculator!B8=TRUE,Backdoors!BI16=TRUE),VLOOKUP(Calculator!E23,tbSkills!DH3:DJ6,3,FALSE),0),0)))/100)),1),1)</f>
        <v>1</v>
      </c>
      <c r="CU28" s="87">
        <f t="shared" si="40"/>
        <v>0</v>
      </c>
      <c r="CV28" s="86" t="str">
        <f>IFERROR(IF(VLOOKUP(A28,tbMoveset!A2:B112,2,FALSE)="Sever",Backdoors!AY17/100,IF(VLOOKUP(A28,tbMoveset!A2:B112,2,FALSE)="Blunt",Backdoors!AZ17/100,Backdoors!BA17/100)),"")</f>
        <v/>
      </c>
      <c r="CW28" s="49">
        <f>IFERROR(IF(VLOOKUP(tbMoveset!A28,tbMoveset!A2:H112,8,FALSE)="Other",IF(VLOOKUP(tbMoveset!A28,tbMoveset!A2:I112,9,FALSE)="Fire",Backdoors!BB17,IF(VLOOKUP(tbMoveset!A28,tbMoveset!A2:I112,9,FALSE)="Water",Backdoors!BC17,IF(VLOOKUP(tbMoveset!A28,tbMoveset!A2:I112,9,FALSE)="Thunder",Backdoors!BD17,IF(VLOOKUP(tbMoveset!A28,tbMoveset!A2:I112,9,FALSE)="Ice",Backdoors!BE17,IF(VLOOKUP(tbMoveset!A28,tbMoveset!A2:I112,9,FALSE)="Dragon",Backdoors!BF17,Backdoors!BG17)))))/100,Backdoors!BG17/100),"")</f>
        <v>0</v>
      </c>
      <c r="CX28" s="49">
        <f>IFERROR(IF(VLOOKUP(A28,tbMoveset!A2:J112,10,FALSE)=TRUE,IF((Backdoors!AI12+IF(CV28&gt;=0.45,VLOOKUP(Calculator!E23,tbSkills!DH3:DI6,2,FALSE)+IF(AND(Calculator!B8=TRUE,Backdoors!BI17=TRUE),VLOOKUP(Calculator!E23,tbSkills!DH3:DJ6,3,FALSE),0),0))&gt;=0,1+(Backdoors!AL2*(IF((Backdoors!AI12+IF(CV28&gt;=0.45,VLOOKUP(Calculator!E23,tbSkills!DH3:DI6,2,FALSE)+IF(AND(Calculator!B8=TRUE,Backdoors!BI17=TRUE),VLOOKUP(Calculator!E23,tbSkills!DH3:DJ6,3,FALSE),0),0))&gt;=100,100,(Backdoors!AI12+IF(CV28&gt;=0.45,VLOOKUP(Calculator!E23,tbSkills!DH3:DI6,2,FALSE)+IF(AND(Calculator!B8=TRUE,Backdoors!BI17=TRUE),VLOOKUP(Calculator!E23,tbSkills!DH3:DJ6,3,FALSE),0),0)))/100)),(1-(0.25*((-Backdoors!AI12-IF(CV28&gt;=0.45,VLOOKUP(Calculator!E23,tbSkills!DH3:DI6,2,FALSE)+IF(AND(Calculator!B8=TRUE,Backdoors!BI17=TRUE),VLOOKUP(Calculator!E23,tbSkills!DH3:DJ6,3,FALSE),0),0))/100)))),1),"")</f>
        <v>1</v>
      </c>
      <c r="CY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V28)*CX28)*(VLOOKUP(A28,tbMoveset!A2:C112,3,FALSE)/100)*IF(VLOOKUP(A28,tbMoveset!A2:B112,2,FALSE)="Projectile",Backdoors!N10,Backdoors!N9),0),"")</f>
        <v/>
      </c>
      <c r="CZ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V28&gt;=0.45,VLOOKUP(Calculator!E23,tbSkills!DH3:DI6,2,FALSE)+IF(AND(Calculator!B8=TRUE,Backdoors!BI17=TRUE),VLOOKUP(Calculator!E23,tbSkills!DH3:DJ6,3,FALSE),0),0))&gt;=100,100,(Backdoors!AI12+IF(CV28&gt;=0.45,VLOOKUP(Calculator!E23,tbSkills!DH3:DI6,2,FALSE)+IF(AND(Calculator!B8=TRUE,Backdoors!BI17=TRUE),VLOOKUP(Calculator!E23,tbSkills!DH3:DJ6,3,FALSE),0),0)))/100)),1))*IF(VLOOKUP(A28,tbMoveset!A2:K112,11,FALSE)=TRUE,Backdoors!AC5,1))*CW28,0),"")</f>
        <v>0</v>
      </c>
      <c r="DA28" s="49">
        <f>VLOOKUP(A28,tbMoveset!A2:G112,7,FALSE)*IFERROR(IF(Backdoors!AI12&gt;=0,1+(IF(Calculator!E40&gt;0,VLOOKUP(Calculator!E40,tbSkills!AI3:AJ5,2,FALSE),Backdoors!AL4)*(IF((Backdoors!AI12+IF(CV28&gt;=0.45,VLOOKUP(Calculator!E23,tbSkills!DH3:DI6,2,FALSE)+IF(AND(Calculator!B8=TRUE,Backdoors!BI17=TRUE),VLOOKUP(Calculator!E23,tbSkills!DH3:DJ6,3,FALSE),0),0))&gt;=100,100,(Backdoors!AI12+IF(CV28&gt;=0.45,VLOOKUP(Calculator!E23,tbSkills!DH3:DI6,2,FALSE)+IF(AND(Calculator!B8=TRUE,Backdoors!BI17=TRUE),VLOOKUP(Calculator!E23,tbSkills!DH3:DJ6,3,FALSE),0),0)))/100)),1),1)</f>
        <v>1</v>
      </c>
      <c r="DB28" s="87">
        <f t="shared" si="8"/>
        <v>0</v>
      </c>
      <c r="DC28" s="86" t="str">
        <f>IFERROR(IF(VLOOKUP(A28,tbMoveset!A2:B112,2,FALSE)="Sever",Backdoors!AY18/100,IF(VLOOKUP(A28,tbMoveset!A2:B112,2,FALSE)="Blunt",Backdoors!AZ18/100,Backdoors!BA18/100)),"")</f>
        <v/>
      </c>
      <c r="DD28" s="49">
        <f>IFERROR(IF(VLOOKUP(tbMoveset!A28,tbMoveset!A2:H112,8,FALSE)="Other",IF(VLOOKUP(tbMoveset!A28,tbMoveset!A2:I112,9,FALSE)="Fire",Backdoors!BB18,IF(VLOOKUP(tbMoveset!A28,tbMoveset!A2:I112,9,FALSE)="Water",Backdoors!BC18,IF(VLOOKUP(tbMoveset!A28,tbMoveset!A2:I112,9,FALSE)="Thunder",Backdoors!BD18,IF(VLOOKUP(tbMoveset!A28,tbMoveset!A2:I112,9,FALSE)="Ice",Backdoors!BE18,IF(VLOOKUP(tbMoveset!A28,tbMoveset!A2:I112,9,FALSE)="Dragon",Backdoors!BF18,Backdoors!BG18)))))/100,Backdoors!BG18/100),"")</f>
        <v>0</v>
      </c>
      <c r="DE28" s="49">
        <f>IFERROR(IF(VLOOKUP(A28,tbMoveset!A2:J112,10,FALSE)=TRUE,IF((Backdoors!AI12+IF(DC28&gt;=0.45,VLOOKUP(Calculator!E23,tbSkills!DH3:DI6,2,FALSE)+IF(AND(Calculator!B8=TRUE,Backdoors!BI18=TRUE),VLOOKUP(Calculator!E23,tbSkills!DH3:DJ6,3,FALSE),0),0))&gt;=0,1+(Backdoors!AL2*(IF((Backdoors!AI12+IF(DC28&gt;=0.45,VLOOKUP(Calculator!E23,tbSkills!DH3:DI6,2,FALSE)+IF(AND(Calculator!B8=TRUE,Backdoors!BI18=TRUE),VLOOKUP(Calculator!E23,tbSkills!DH3:DJ6,3,FALSE),0),0))&gt;=100,100,(Backdoors!AI12+IF(DC28&gt;=0.45,VLOOKUP(Calculator!E23,tbSkills!DH3:DI6,2,FALSE)+IF(AND(Calculator!B8=TRUE,Backdoors!BI18=TRUE),VLOOKUP(Calculator!E23,tbSkills!DH3:DJ6,3,FALSE),0),0)))/100)),(1-(0.25*((-Backdoors!AI12-IF(DC28&gt;=0.45,VLOOKUP(Calculator!E23,tbSkills!DH3:DI6,2,FALSE)+IF(AND(Calculator!B8=TRUE,Backdoors!BI18=TRUE),VLOOKUP(Calculator!E23,tbSkills!DH3:DJ6,3,FALSE),0),0))/100)))),1),"")</f>
        <v>1</v>
      </c>
      <c r="DF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C28)*DE28)*(VLOOKUP(A28,tbMoveset!A2:C112,3,FALSE)/100)*IF(VLOOKUP(A28,tbMoveset!A2:B112,2,FALSE)="Projectile",Backdoors!N10,Backdoors!N9),0),"")</f>
        <v/>
      </c>
      <c r="DG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C28&gt;=0.45,VLOOKUP(Calculator!E23,tbSkills!DH3:DI6,2,FALSE)+IF(AND(Calculator!B8=TRUE,Backdoors!BI18=TRUE),VLOOKUP(Calculator!E23,tbSkills!DH3:DJ6,3,FALSE),0),0))&gt;=100,100,(Backdoors!AI12+IF(DC28&gt;=0.45,VLOOKUP(Calculator!E23,tbSkills!DH3:DI6,2,FALSE)+IF(AND(Calculator!B8=TRUE,Backdoors!BI18=TRUE),VLOOKUP(Calculator!E23,tbSkills!DH3:DJ6,3,FALSE),0),0)))/100)),1))*IF(VLOOKUP(A28,tbMoveset!A2:K112,11,FALSE)=TRUE,Backdoors!AC5,1))*DD28,0),"")</f>
        <v>0</v>
      </c>
      <c r="DH28" s="49">
        <f>VLOOKUP(A28,tbMoveset!A2:G112,7,FALSE)*IFERROR(IF(Backdoors!AI12&gt;=0,1+(IF(Calculator!E40&gt;0,VLOOKUP(Calculator!E40,tbSkills!AI3:AJ5,2,FALSE),Backdoors!AL4)*(IF((Backdoors!AI12+IF(DC28&gt;=0.45,VLOOKUP(Calculator!E23,tbSkills!DH3:DI6,2,FALSE)+IF(AND(Calculator!B8=TRUE,Backdoors!BI18=TRUE),VLOOKUP(Calculator!E23,tbSkills!DH3:DJ6,3,FALSE),0),0))&gt;=100,100,(Backdoors!AI12+IF(DC28&gt;=0.45,VLOOKUP(Calculator!E23,tbSkills!DH3:DI6,2,FALSE)+IF(AND(Calculator!B8=TRUE,Backdoors!BI18=TRUE),VLOOKUP(Calculator!E23,tbSkills!DH3:DJ6,3,FALSE),0),0)))/100)),1),1)</f>
        <v>1</v>
      </c>
      <c r="DI28" s="87">
        <f t="shared" si="9"/>
        <v>0</v>
      </c>
      <c r="DJ28" s="86" t="str">
        <f>IFERROR(IF(VLOOKUP(A28,tbMoveset!A2:B112,2,FALSE)="Sever",Backdoors!AY19/100,IF(VLOOKUP(A28,tbMoveset!A2:B112,2,FALSE)="Blunt",Backdoors!AZ19/100,Backdoors!BA19/100)),"")</f>
        <v/>
      </c>
      <c r="DK28" s="49">
        <f>IFERROR(IF(VLOOKUP(tbMoveset!A28,tbMoveset!A2:H112,8,FALSE)="Other",IF(VLOOKUP(tbMoveset!A28,tbMoveset!A2:I112,9,FALSE)="Fire",Backdoors!BB19,IF(VLOOKUP(tbMoveset!A28,tbMoveset!A2:I112,9,FALSE)="Water",Backdoors!BC19,IF(VLOOKUP(tbMoveset!A28,tbMoveset!A2:I112,9,FALSE)="Thunder",Backdoors!BD19,IF(VLOOKUP(tbMoveset!A28,tbMoveset!A2:I112,9,FALSE)="Ice",Backdoors!BE19,IF(VLOOKUP(tbMoveset!A28,tbMoveset!A2:I112,9,FALSE)="Dragon",Backdoors!BF19,Backdoors!BG19)))))/100,Backdoors!BG19/100),"")</f>
        <v>0</v>
      </c>
      <c r="DL28" s="49">
        <f>IFERROR(IF(VLOOKUP(A28,tbMoveset!A2:J112,10,FALSE)=TRUE,IF((Backdoors!AI12+IF(DJ28&gt;=0.45,VLOOKUP(Calculator!E23,tbSkills!DH3:DI6,2,FALSE)+IF(AND(Calculator!B8=TRUE,Backdoors!BI19=TRUE),VLOOKUP(Calculator!E23,tbSkills!DH3:DJ6,3,FALSE),0),0))&gt;=0,1+(Backdoors!AL2*(IF((Backdoors!AI12+IF(DJ28&gt;=0.45,VLOOKUP(Calculator!E23,tbSkills!DH3:DI6,2,FALSE)+IF(AND(Calculator!B8=TRUE,Backdoors!BI19=TRUE),VLOOKUP(Calculator!E23,tbSkills!DH3:DJ6,3,FALSE),0),0))&gt;=100,100,(Backdoors!AI12+IF(DJ28&gt;=0.45,VLOOKUP(Calculator!E23,tbSkills!DH3:DI6,2,FALSE)+IF(AND(Calculator!B8=TRUE,Backdoors!BI19=TRUE),VLOOKUP(Calculator!E23,tbSkills!DH3:DJ6,3,FALSE),0),0)))/100)),(1-(0.25*((-Backdoors!AI12-IF(DJ28&gt;=0.45,VLOOKUP(Calculator!E23,tbSkills!DH3:DI6,2,FALSE)+IF(AND(Calculator!B8=TRUE,Backdoors!BI19=TRUE),VLOOKUP(Calculator!E23,tbSkills!DH3:DJ6,3,FALSE),0),0))/100)))),1),"")</f>
        <v>1</v>
      </c>
      <c r="DM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J28)*DL28)*(VLOOKUP(A28,tbMoveset!A2:C112,3,FALSE)/100)*IF(VLOOKUP(A28,tbMoveset!A2:B112,2,FALSE)="Projectile",Backdoors!N10,Backdoors!N9),0),"")</f>
        <v/>
      </c>
      <c r="DN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J28&gt;=0.45,VLOOKUP(Calculator!E23,tbSkills!DH3:DI6,2,FALSE)+IF(AND(Calculator!B8=TRUE,Backdoors!BI19=TRUE),VLOOKUP(Calculator!E23,tbSkills!DH3:DJ6,3,FALSE),0),0))&gt;=100,100,(Backdoors!AI12+IF(DJ28&gt;=0.45,VLOOKUP(Calculator!E23,tbSkills!DH3:DI6,2,FALSE)+IF(AND(Calculator!B8=TRUE,Backdoors!BI19=TRUE),VLOOKUP(Calculator!E23,tbSkills!DH3:DJ6,3,FALSE),0),0)))/100)),1))*IF(VLOOKUP(A28,tbMoveset!A2:K112,11,FALSE)=TRUE,Backdoors!AC5,1))*DK28,0),"")</f>
        <v>0</v>
      </c>
      <c r="DO28" s="49">
        <f>VLOOKUP(A28,tbMoveset!A2:G112,7,FALSE)*IFERROR(IF(Backdoors!AI12&gt;=0,1+(IF(Calculator!E40&gt;0,VLOOKUP(Calculator!E40,tbSkills!AI3:AJ5,2,FALSE),Backdoors!AL4)*(IF((Backdoors!AI12+IF(DJ28&gt;=0.45,VLOOKUP(Calculator!E23,tbSkills!DH3:DI6,2,FALSE)+IF(AND(Calculator!B8=TRUE,Backdoors!BI19=TRUE),VLOOKUP(Calculator!E23,tbSkills!DH3:DJ6,3,FALSE),0),0))&gt;=100,100,(Backdoors!AI12+IF(DJ28&gt;=0.45,VLOOKUP(Calculator!E23,tbSkills!DH3:DI6,2,FALSE)+IF(AND(Calculator!B8=TRUE,Backdoors!BI19=TRUE),VLOOKUP(Calculator!E23,tbSkills!DH3:DJ6,3,FALSE),0),0)))/100)),1),1)</f>
        <v>1</v>
      </c>
      <c r="DP28" s="87">
        <f t="shared" si="41"/>
        <v>0</v>
      </c>
      <c r="DQ28" s="86" t="str">
        <f>IFERROR(IF(VLOOKUP(A28,tbMoveset!A2:B112,2,FALSE)="Sever",Backdoors!AY20/100,IF(VLOOKUP(A28,tbMoveset!A2:B112,2,FALSE)="Blunt",Backdoors!AZ20/100,Backdoors!BA20/100)),"")</f>
        <v/>
      </c>
      <c r="DR28" s="49">
        <f>IFERROR(IF(VLOOKUP(tbMoveset!A28,tbMoveset!A2:H112,8,FALSE)="Other",IF(VLOOKUP(tbMoveset!A28,tbMoveset!A2:I112,9,FALSE)="Fire",Backdoors!BB20,IF(VLOOKUP(tbMoveset!A28,tbMoveset!A2:I112,9,FALSE)="Water",Backdoors!BC20,IF(VLOOKUP(tbMoveset!A28,tbMoveset!A2:I112,9,FALSE)="Thunder",Backdoors!BD20,IF(VLOOKUP(tbMoveset!A28,tbMoveset!A2:I112,9,FALSE)="Ice",Backdoors!BE20,IF(VLOOKUP(tbMoveset!A28,tbMoveset!A2:I112,9,FALSE)="Dragon",Backdoors!BF20,Backdoors!BG20)))))/100,Backdoors!BG20/100),"")</f>
        <v>0</v>
      </c>
      <c r="DS28" s="49">
        <f>IFERROR(IF(VLOOKUP(A28,tbMoveset!A2:J112,10,FALSE)=TRUE,IF((Backdoors!AI12+IF(DQ28&gt;=0.45,VLOOKUP(Calculator!E23,tbSkills!DH3:DI6,2,FALSE)+IF(AND(Calculator!B8=TRUE,Backdoors!BI20=TRUE),VLOOKUP(Calculator!E23,tbSkills!DH3:DJ6,3,FALSE),0),0))&gt;=0,1+(Backdoors!AL2*(IF((Backdoors!AI12+IF(DQ28&gt;=0.45,VLOOKUP(Calculator!E23,tbSkills!DH3:DI6,2,FALSE)+IF(AND(Calculator!B8=TRUE,Backdoors!BI20=TRUE),VLOOKUP(Calculator!E23,tbSkills!DH3:DJ6,3,FALSE),0),0))&gt;=100,100,(Backdoors!AI12+IF(DQ28&gt;=0.45,VLOOKUP(Calculator!E23,tbSkills!DH3:DI6,2,FALSE)+IF(AND(Calculator!B8=TRUE,Backdoors!BI20=TRUE),VLOOKUP(Calculator!E23,tbSkills!DH3:DJ6,3,FALSE),0),0)))/100)),(1-(0.25*((-Backdoors!AI12-IF(DQ28&gt;=0.45,VLOOKUP(Calculator!E23,tbSkills!DH3:DI6,2,FALSE)+IF(AND(Calculator!B8=TRUE,Backdoors!BI20=TRUE),VLOOKUP(Calculator!E23,tbSkills!DH3:DJ6,3,FALSE),0),0))/100)))),1),"")</f>
        <v>1</v>
      </c>
      <c r="DT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Q28)*DS28)*(VLOOKUP(A28,tbMoveset!A2:C112,3,FALSE)/100)*IF(VLOOKUP(A28,tbMoveset!A2:B112,2,FALSE)="Projectile",Backdoors!N10,Backdoors!N9),0),"")</f>
        <v/>
      </c>
      <c r="DU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Q28&gt;=0.45,VLOOKUP(Calculator!E23,tbSkills!DH3:DI6,2,FALSE)+IF(AND(Calculator!B8=TRUE,Backdoors!BI20=TRUE),VLOOKUP(Calculator!E23,tbSkills!DH3:DJ6,3,FALSE),0),0))&gt;=100,100,(Backdoors!AI12+IF(DQ28&gt;=0.45,VLOOKUP(Calculator!E23,tbSkills!DH3:DI6,2,FALSE)+IF(AND(Calculator!B8=TRUE,Backdoors!BI20=TRUE),VLOOKUP(Calculator!E23,tbSkills!DH3:DJ6,3,FALSE),0),0)))/100)),1))*IF(VLOOKUP(A28,tbMoveset!A2:K112,11,FALSE)=TRUE,Backdoors!AC5,1))*DR28,0),"")</f>
        <v>0</v>
      </c>
      <c r="DV28" s="49">
        <f>VLOOKUP(A28,tbMoveset!A2:G112,7,FALSE)*IFERROR(IF(Backdoors!AI12&gt;=0,1+(IF(Calculator!E40&gt;0,VLOOKUP(Calculator!E40,tbSkills!AI3:AJ5,2,FALSE),Backdoors!AL4)*(IF((Backdoors!AI12+IF(DQ28&gt;=0.45,VLOOKUP(Calculator!E23,tbSkills!DH3:DI6,2,FALSE)+IF(AND(Calculator!B8=TRUE,Backdoors!BI20=TRUE),VLOOKUP(Calculator!E23,tbSkills!DH3:DJ6,3,FALSE),0),0))&gt;=100,100,(Backdoors!AI12+IF(DQ28&gt;=0.45,VLOOKUP(Calculator!E23,tbSkills!DH3:DI6,2,FALSE)+IF(AND(Calculator!B8=TRUE,Backdoors!BI20=TRUE),VLOOKUP(Calculator!E23,tbSkills!DH3:DJ6,3,FALSE),0),0)))/100)),1),1)</f>
        <v>1</v>
      </c>
      <c r="DW28" s="87">
        <f t="shared" si="10"/>
        <v>0</v>
      </c>
      <c r="DX28" s="86" t="str">
        <f>IFERROR(IF(VLOOKUP(A28,tbMoveset!A2:B112,2,FALSE)="Sever",Backdoors!AY21/100,IF(VLOOKUP(A28,tbMoveset!A2:B112,2,FALSE)="Blunt",Backdoors!AZ21/100,Backdoors!BA21/100)),"")</f>
        <v/>
      </c>
      <c r="DY28" s="49">
        <f>IFERROR(IF(VLOOKUP(tbMoveset!A28,tbMoveset!A2:H112,8,FALSE)="Other",IF(VLOOKUP(tbMoveset!A28,tbMoveset!A2:I112,9,FALSE)="Fire",Backdoors!BB21,IF(VLOOKUP(tbMoveset!A28,tbMoveset!A2:I112,9,FALSE)="Water",Backdoors!BC21,IF(VLOOKUP(tbMoveset!A28,tbMoveset!A2:I112,9,FALSE)="Thunder",Backdoors!BD21,IF(VLOOKUP(tbMoveset!A28,tbMoveset!A2:I112,9,FALSE)="Ice",Backdoors!BE21,IF(VLOOKUP(tbMoveset!A28,tbMoveset!A2:I112,9,FALSE)="Dragon",Backdoors!BF21,Backdoors!BG21)))))/100,Backdoors!BG21/100),"")</f>
        <v>0</v>
      </c>
      <c r="DZ28" s="49">
        <f>IFERROR(IF(VLOOKUP(A28,tbMoveset!A2:J112,10,FALSE)=TRUE,IF((Backdoors!AI12+IF(DX28&gt;=0.45,VLOOKUP(Calculator!E23,tbSkills!DH3:DI6,2,FALSE)+IF(AND(Calculator!B8=TRUE,Backdoors!BI21=TRUE),VLOOKUP(Calculator!E23,tbSkills!DH3:DJ6,3,FALSE),0),0))&gt;=0,1+(Backdoors!AL2*(IF((Backdoors!AI12+IF(DX28&gt;=0.45,VLOOKUP(Calculator!E23,tbSkills!DH3:DI6,2,FALSE)+IF(AND(Calculator!B8=TRUE,Backdoors!BI21=TRUE),VLOOKUP(Calculator!E23,tbSkills!DH3:DJ6,3,FALSE),0),0))&gt;=100,100,(Backdoors!AI12+IF(DX28&gt;=0.45,VLOOKUP(Calculator!E23,tbSkills!DH3:DI6,2,FALSE)+IF(AND(Calculator!B8=TRUE,Backdoors!BI21=TRUE),VLOOKUP(Calculator!E23,tbSkills!DH3:DJ6,3,FALSE),0),0)))/100)),(1-(0.25*((-Backdoors!AI12-IF(DX28&gt;=0.45,VLOOKUP(Calculator!E23,tbSkills!DH3:DI6,2,FALSE)+IF(AND(Calculator!B8=TRUE,Backdoors!BI21=TRUE),VLOOKUP(Calculator!E23,tbSkills!DH3:DJ6,3,FALSE),0),0))/100)))),1),"")</f>
        <v>1</v>
      </c>
      <c r="EA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X28)*DZ28)*(VLOOKUP(A28,tbMoveset!A2:C112,3,FALSE)/100)*IF(VLOOKUP(A28,tbMoveset!A2:B112,2,FALSE)="Projectile",Backdoors!N10,Backdoors!N9),0),"")</f>
        <v/>
      </c>
      <c r="EB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X28&gt;=0.45,VLOOKUP(Calculator!E23,tbSkills!DH3:DI6,2,FALSE)+IF(AND(Calculator!B8=TRUE,Backdoors!BI21=TRUE),VLOOKUP(Calculator!E23,tbSkills!DH3:DJ6,3,FALSE),0),0))&gt;=100,100,(Backdoors!AI12+IF(DX28&gt;=0.45,VLOOKUP(Calculator!E23,tbSkills!DH3:DI6,2,FALSE)+IF(AND(Calculator!B8=TRUE,Backdoors!BI21=TRUE),VLOOKUP(Calculator!E23,tbSkills!DH3:DJ6,3,FALSE),0),0)))/100)),1))*IF(VLOOKUP(A28,tbMoveset!A2:K112,11,FALSE)=TRUE,Backdoors!AC5,1))*DY28,0),"")</f>
        <v>0</v>
      </c>
      <c r="EC28" s="49">
        <f>VLOOKUP(A28,tbMoveset!A2:G112,7,FALSE)*IFERROR(IF(Backdoors!AI12&gt;=0,1+(IF(Calculator!E40&gt;0,VLOOKUP(Calculator!E40,tbSkills!AI3:AJ5,2,FALSE),Backdoors!AL4)*(IF((Backdoors!AI12+IF(DX28&gt;=0.45,VLOOKUP(Calculator!E23,tbSkills!DH3:DI6,2,FALSE)+IF(AND(Calculator!B8=TRUE,Backdoors!BI21=TRUE),VLOOKUP(Calculator!E23,tbSkills!DH3:DJ6,3,FALSE),0),0))&gt;=100,100,(Backdoors!AI12+IF(DX28&gt;=0.45,VLOOKUP(Calculator!E23,tbSkills!DH3:DI6,2,FALSE)+IF(AND(Calculator!B8=TRUE,Backdoors!BI21=TRUE),VLOOKUP(Calculator!E23,tbSkills!DH3:DJ6,3,FALSE),0),0)))/100)),1),1)</f>
        <v>1</v>
      </c>
      <c r="ED28" s="87">
        <f t="shared" si="11"/>
        <v>0</v>
      </c>
      <c r="EE28" s="86" t="str">
        <f>IFERROR(IF(VLOOKUP(A28,tbMoveset!A2:B112,2,FALSE)="Sever",Backdoors!AY22/100,IF(VLOOKUP(A28,tbMoveset!A2:B112,2,FALSE)="Blunt",Backdoors!AZ22/100,Backdoors!BA22/100)),"")</f>
        <v/>
      </c>
      <c r="EF28" s="49">
        <f>IFERROR(IF(VLOOKUP(tbMoveset!A28,tbMoveset!A2:H112,8,FALSE)="Other",IF(VLOOKUP(tbMoveset!A28,tbMoveset!A2:I112,9,FALSE)="Fire",Backdoors!BB22,IF(VLOOKUP(tbMoveset!A28,tbMoveset!A2:I112,9,FALSE)="Water",Backdoors!BC22,IF(VLOOKUP(tbMoveset!A28,tbMoveset!A2:I112,9,FALSE)="Thunder",Backdoors!BD22,IF(VLOOKUP(tbMoveset!A28,tbMoveset!A2:I112,9,FALSE)="Ice",Backdoors!BE22,IF(VLOOKUP(tbMoveset!A28,tbMoveset!A2:I112,9,FALSE)="Dragon",Backdoors!BF22,Backdoors!BG22)))))/100,Backdoors!BG22/100),"")</f>
        <v>0</v>
      </c>
      <c r="EG28" s="49">
        <f>IFERROR(IF(VLOOKUP(A28,tbMoveset!A2:J112,10,FALSE)=TRUE,IF((Backdoors!AI12+IF(EE28&gt;=0.45,VLOOKUP(Calculator!E23,tbSkills!DH3:DI6,2,FALSE)+IF(AND(Calculator!B8=TRUE,Backdoors!BI22=TRUE),VLOOKUP(Calculator!E23,tbSkills!DH3:DJ6,3,FALSE),0),0))&gt;=0,1+(Backdoors!AL2*(IF((Backdoors!AI12+IF(EE28&gt;=0.45,VLOOKUP(Calculator!E23,tbSkills!DH3:DI6,2,FALSE)+IF(AND(Calculator!B8=TRUE,Backdoors!BI22=TRUE),VLOOKUP(Calculator!E23,tbSkills!DH3:DJ6,3,FALSE),0),0))&gt;=100,100,(Backdoors!AI12+IF(EE28&gt;=0.45,VLOOKUP(Calculator!E23,tbSkills!DH3:DI6,2,FALSE)+IF(AND(Calculator!B8=TRUE,Backdoors!BI22=TRUE),VLOOKUP(Calculator!E23,tbSkills!DH3:DJ6,3,FALSE),0),0)))/100)),(1-(0.25*((-Backdoors!AI12-IF(EE28&gt;=0.45,VLOOKUP(Calculator!E23,tbSkills!DH3:DI6,2,FALSE)+IF(AND(Calculator!B8=TRUE,Backdoors!BI22=TRUE),VLOOKUP(Calculator!E23,tbSkills!DH3:DJ6,3,FALSE),0),0))/100)))),1),"")</f>
        <v>1</v>
      </c>
      <c r="EH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E28)*EG28)*(VLOOKUP(A28,tbMoveset!A2:C112,3,FALSE)/100)*IF(VLOOKUP(A28,tbMoveset!A2:B112,2,FALSE)="Projectile",Backdoors!N10,Backdoors!N9),0),"")</f>
        <v/>
      </c>
      <c r="EI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E28&gt;=0.45,VLOOKUP(Calculator!E23,tbSkills!DH3:DI6,2,FALSE)+IF(AND(Calculator!B8=TRUE,Backdoors!BI22=TRUE),VLOOKUP(Calculator!E23,tbSkills!DH3:DJ6,3,FALSE),0),0))&gt;=100,100,(Backdoors!AI12+IF(EE28&gt;=0.45,VLOOKUP(Calculator!E23,tbSkills!DH3:DI6,2,FALSE)+IF(AND(Calculator!B8=TRUE,Backdoors!BI22=TRUE),VLOOKUP(Calculator!E23,tbSkills!DH3:DJ6,3,FALSE),0),0)))/100)),1))*IF(VLOOKUP(A28,tbMoveset!A2:K112,11,FALSE)=TRUE,Backdoors!AC5,1))*EF28,0),"")</f>
        <v>0</v>
      </c>
      <c r="EJ28" s="49">
        <f>VLOOKUP(A28,tbMoveset!A2:G112,7,FALSE)*IFERROR(IF(Backdoors!AI12&gt;=0,1+(IF(Calculator!E40&gt;0,VLOOKUP(Calculator!E40,tbSkills!AI3:AJ5,2,FALSE),Backdoors!AL4)*(IF((Backdoors!AI12+IF(EE28&gt;=0.45,VLOOKUP(Calculator!E23,tbSkills!DH3:DI6,2,FALSE)+IF(AND(Calculator!B8=TRUE,Backdoors!BI22=TRUE),VLOOKUP(Calculator!E23,tbSkills!DH3:DJ6,3,FALSE),0),0))&gt;=100,100,(Backdoors!AI12+IF(EE28&gt;=0.45,VLOOKUP(Calculator!E23,tbSkills!DH3:DI6,2,FALSE)+IF(AND(Calculator!B8=TRUE,Backdoors!BI22=TRUE),VLOOKUP(Calculator!E23,tbSkills!DH3:DJ6,3,FALSE),0),0)))/100)),1),1)</f>
        <v>1</v>
      </c>
      <c r="EK28" s="87">
        <f t="shared" si="12"/>
        <v>0</v>
      </c>
      <c r="EL28" s="86" t="str">
        <f>IFERROR(IF(VLOOKUP(A28,tbMoveset!A2:B112,2,FALSE)="Sever",Backdoors!AY23/100,IF(VLOOKUP(A28,tbMoveset!A2:B112,2,FALSE)="Blunt",Backdoors!AZ23/100,Backdoors!BA23/100)),"")</f>
        <v/>
      </c>
      <c r="EM28" s="49">
        <f>IFERROR(IF(VLOOKUP(tbMoveset!A28,tbMoveset!A2:H112,8,FALSE)="Other",IF(VLOOKUP(tbMoveset!A28,tbMoveset!A2:I112,9,FALSE)="Fire",Backdoors!BB23,IF(VLOOKUP(tbMoveset!A28,tbMoveset!A2:I112,9,FALSE)="Water",Backdoors!BC23,IF(VLOOKUP(tbMoveset!A28,tbMoveset!A2:I112,9,FALSE)="Thunder",Backdoors!BD23,IF(VLOOKUP(tbMoveset!A28,tbMoveset!A2:I112,9,FALSE)="Ice",Backdoors!BE23,IF(VLOOKUP(tbMoveset!A28,tbMoveset!A2:I112,9,FALSE)="Dragon",Backdoors!BF23,Backdoors!BG23)))))/100,Backdoors!BG23/100),"")</f>
        <v>0</v>
      </c>
      <c r="EN28" s="49">
        <f>IFERROR(IF(VLOOKUP(A28,tbMoveset!A2:J112,10,FALSE)=TRUE,IF((Backdoors!AI12+IF(EL28&gt;=0.45,VLOOKUP(Calculator!E23,tbSkills!DH3:DI6,2,FALSE)+IF(AND(Calculator!B8=TRUE,Backdoors!BI23=TRUE),VLOOKUP(Calculator!E23,tbSkills!DH3:DJ6,3,FALSE),0),0))&gt;=0,1+(Backdoors!AL2*(IF((Backdoors!AI12+IF(EL28&gt;=0.45,VLOOKUP(Calculator!E23,tbSkills!DH3:DI6,2,FALSE)+IF(AND(Calculator!B8=TRUE,Backdoors!BI23=TRUE),VLOOKUP(Calculator!E23,tbSkills!DH3:DJ6,3,FALSE),0),0))&gt;=100,100,(Backdoors!AI12+IF(EL28&gt;=0.45,VLOOKUP(Calculator!E23,tbSkills!DH3:DI6,2,FALSE)+IF(AND(Calculator!B8=TRUE,Backdoors!BI23=TRUE),VLOOKUP(Calculator!E23,tbSkills!DH3:DJ6,3,FALSE),0),0)))/100)),(1-(0.25*((-Backdoors!AI12-IF(EL28&gt;=0.45,VLOOKUP(Calculator!E23,tbSkills!DH3:DI6,2,FALSE)+IF(AND(Calculator!B8=TRUE,Backdoors!BI23=TRUE),VLOOKUP(Calculator!E23,tbSkills!DH3:DJ6,3,FALSE),0),0))/100)))),1),"")</f>
        <v>1</v>
      </c>
      <c r="EO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L28)*EN28)*(VLOOKUP(A28,tbMoveset!A2:C112,3,FALSE)/100)*IF(VLOOKUP(A28,tbMoveset!A2:B112,2,FALSE)="Projectile",Backdoors!N10,Backdoors!N9),0),"")</f>
        <v/>
      </c>
      <c r="EP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L28&gt;=0.45,VLOOKUP(Calculator!E23,tbSkills!DH3:DI6,2,FALSE)+IF(AND(Calculator!B8=TRUE,Backdoors!BI23=TRUE),VLOOKUP(Calculator!E23,tbSkills!DH3:DJ6,3,FALSE),0),0))&gt;=100,100,(Backdoors!AI12+IF(EL28&gt;=0.45,VLOOKUP(Calculator!E23,tbSkills!DH3:DI6,2,FALSE)+IF(AND(Calculator!B8=TRUE,Backdoors!BI23=TRUE),VLOOKUP(Calculator!E23,tbSkills!DH3:DJ6,3,FALSE),0),0)))/100)),1))*IF(VLOOKUP(A28,tbMoveset!A2:K112,11,FALSE)=TRUE,Backdoors!AC5,1))*EM28,0),"")</f>
        <v>0</v>
      </c>
      <c r="EQ28" s="49">
        <f>VLOOKUP(A28,tbMoveset!A2:G112,7,FALSE)*IFERROR(IF(Backdoors!AI12&gt;=0,1+(IF(Calculator!E40&gt;0,VLOOKUP(Calculator!E40,tbSkills!AI3:AJ5,2,FALSE),Backdoors!AL4)*(IF((Backdoors!AI12+IF(EL28&gt;=0.45,VLOOKUP(Calculator!E23,tbSkills!DH3:DI6,2,FALSE)+IF(AND(Calculator!B8=TRUE,Backdoors!BI23=TRUE),VLOOKUP(Calculator!E23,tbSkills!DH3:DJ6,3,FALSE),0),0))&gt;=100,100,(Backdoors!AI12+IF(EL28&gt;=0.45,VLOOKUP(Calculator!E23,tbSkills!DH3:DI6,2,FALSE)+IF(AND(Calculator!B8=TRUE,Backdoors!BI23=TRUE),VLOOKUP(Calculator!E23,tbSkills!DH3:DJ6,3,FALSE),0),0)))/100)),1),1)</f>
        <v>1</v>
      </c>
      <c r="ER28" s="87">
        <f t="shared" si="13"/>
        <v>0</v>
      </c>
      <c r="ES28" s="86" t="str">
        <f>IFERROR(IF(VLOOKUP(A28,tbMoveset!A2:B112,2,FALSE)="Sever",Backdoors!AY24/100,IF(VLOOKUP(A28,tbMoveset!A2:B112,2,FALSE)="Blunt",Backdoors!AZ24/100,Backdoors!BA24/100)),"")</f>
        <v/>
      </c>
      <c r="ET28" s="49">
        <f>IFERROR(IF(VLOOKUP(tbMoveset!A28,tbMoveset!A2:H112,8,FALSE)="Other",IF(VLOOKUP(tbMoveset!A28,tbMoveset!A2:I112,9,FALSE)="Fire",Backdoors!BB24,IF(VLOOKUP(tbMoveset!A28,tbMoveset!A2:I112,9,FALSE)="Water",Backdoors!BC24,IF(VLOOKUP(tbMoveset!A28,tbMoveset!A2:I112,9,FALSE)="Thunder",Backdoors!BD24,IF(VLOOKUP(tbMoveset!A28,tbMoveset!A2:I112,9,FALSE)="Ice",Backdoors!BE24,IF(VLOOKUP(tbMoveset!A28,tbMoveset!A2:I112,9,FALSE)="Dragon",Backdoors!BF24,Backdoors!BG24)))))/100,Backdoors!BG24/100),"")</f>
        <v>0</v>
      </c>
      <c r="EU28" s="49">
        <f>IFERROR(IF(VLOOKUP(A28,tbMoveset!A2:J112,10,FALSE)=TRUE,IF((Backdoors!AI12+IF(ES28&gt;=0.45,VLOOKUP(Calculator!E23,tbSkills!DH3:DI6,2,FALSE)+IF(AND(Calculator!B8=TRUE,Backdoors!BI24=TRUE),VLOOKUP(Calculator!E23,tbSkills!DH3:DJ6,3,FALSE),0),0))&gt;=0,1+(Backdoors!AL2*(IF((Backdoors!AI12+IF(ES28&gt;=0.45,VLOOKUP(Calculator!E23,tbSkills!DH3:DI6,2,FALSE)+IF(AND(Calculator!B8=TRUE,Backdoors!BI24=TRUE),VLOOKUP(Calculator!E23,tbSkills!DH3:DJ6,3,FALSE),0),0))&gt;=100,100,(Backdoors!AI12+IF(ES28&gt;=0.45,VLOOKUP(Calculator!E23,tbSkills!DH3:DI6,2,FALSE)+IF(AND(Calculator!B8=TRUE,Backdoors!BI24=TRUE),VLOOKUP(Calculator!E23,tbSkills!DH3:DJ6,3,FALSE),0),0)))/100)),(1-(0.25*((-Backdoors!AI12-IF(ES28&gt;=0.45,VLOOKUP(Calculator!E23,tbSkills!DH3:DI6,2,FALSE)+IF(AND(Calculator!B8=TRUE,Backdoors!BI24=TRUE),VLOOKUP(Calculator!E23,tbSkills!DH3:DJ6,3,FALSE),0),0))/100)))),1),"")</f>
        <v>1</v>
      </c>
      <c r="EV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S28)*EU28)*(VLOOKUP(A28,tbMoveset!A2:C112,3,FALSE)/100)*IF(VLOOKUP(A28,tbMoveset!A2:B112,2,FALSE)="Projectile",Backdoors!N10,Backdoors!N9),0),"")</f>
        <v/>
      </c>
      <c r="EW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S28&gt;=0.45,VLOOKUP(Calculator!E23,tbSkills!DH3:DI6,2,FALSE)+IF(AND(Calculator!B8=TRUE,Backdoors!BI24=TRUE),VLOOKUP(Calculator!E23,tbSkills!DH3:DJ6,3,FALSE),0),0))&gt;=100,100,(Backdoors!AI12+IF(ES28&gt;=0.45,VLOOKUP(Calculator!E23,tbSkills!DH3:DI6,2,FALSE)+IF(AND(Calculator!B8=TRUE,Backdoors!BI24=TRUE),VLOOKUP(Calculator!E23,tbSkills!DH3:DJ6,3,FALSE),0),0)))/100)),1))*IF(VLOOKUP(A28,tbMoveset!A2:K112,11,FALSE)=TRUE,Backdoors!AC5,1))*ET28,0),"")</f>
        <v>0</v>
      </c>
      <c r="EX28" s="49">
        <f>VLOOKUP(A28,tbMoveset!A2:G112,7,FALSE)*IFERROR(IF(Backdoors!AI12&gt;=0,1+(IF(Calculator!E40&gt;0,VLOOKUP(Calculator!E40,tbSkills!AI3:AJ5,2,FALSE),Backdoors!AL4)*(IF((Backdoors!AI12+IF(ES28&gt;=0.45,VLOOKUP(Calculator!E23,tbSkills!DH3:DI6,2,FALSE)+IF(AND(Calculator!B8=TRUE,Backdoors!BI24=TRUE),VLOOKUP(Calculator!E23,tbSkills!DH3:DJ6,3,FALSE),0),0))&gt;=100,100,(Backdoors!AI12+IF(ES28&gt;=0.45,VLOOKUP(Calculator!E23,tbSkills!DH3:DI6,2,FALSE)+IF(AND(Calculator!B8=TRUE,Backdoors!BI24=TRUE),VLOOKUP(Calculator!E23,tbSkills!DH3:DJ6,3,FALSE),0),0)))/100)),1),1)</f>
        <v>1</v>
      </c>
      <c r="EY28" s="87">
        <f t="shared" si="14"/>
        <v>0</v>
      </c>
      <c r="EZ28" s="86" t="str">
        <f>IFERROR(IF(VLOOKUP(A28,tbMoveset!A2:B112,2,FALSE)="Sever",Backdoors!AY25/100,IF(VLOOKUP(A28,tbMoveset!A2:B112,2,FALSE)="Blunt",Backdoors!AZ25/100,Backdoors!BA25/100)),"")</f>
        <v/>
      </c>
      <c r="FA28" s="49">
        <f>IFERROR(IF(VLOOKUP(tbMoveset!A28,tbMoveset!A2:H112,8,FALSE)="Other",IF(VLOOKUP(tbMoveset!A28,tbMoveset!A2:I112,9,FALSE)="Fire",Backdoors!BB25,IF(VLOOKUP(tbMoveset!A28,tbMoveset!A2:I112,9,FALSE)="Water",Backdoors!BC25,IF(VLOOKUP(tbMoveset!A28,tbMoveset!A2:I112,9,FALSE)="Thunder",Backdoors!BD25,IF(VLOOKUP(tbMoveset!A28,tbMoveset!A2:I112,9,FALSE)="Ice",Backdoors!BE25,IF(VLOOKUP(tbMoveset!A28,tbMoveset!A2:I112,9,FALSE)="Dragon",Backdoors!BF25,Backdoors!BG25)))))/100,Backdoors!BG25/100),"")</f>
        <v>0</v>
      </c>
      <c r="FB28" s="49">
        <f>IFERROR(IF(VLOOKUP(A28,tbMoveset!A2:J112,10,FALSE)=TRUE,IF((Backdoors!AI12+IF(EZ28&gt;=0.45,VLOOKUP(Calculator!E23,tbSkills!DH3:DI6,2,FALSE)+IF(AND(Calculator!B8=TRUE,Backdoors!BI25=TRUE),VLOOKUP(Calculator!E23,tbSkills!DH3:DJ6,3,FALSE),0),0))&gt;=0,1+(Backdoors!AL2*(IF((Backdoors!AI12+IF(EZ28&gt;=0.45,VLOOKUP(Calculator!E23,tbSkills!DH3:DI6,2,FALSE)+IF(AND(Calculator!B8=TRUE,Backdoors!BI25=TRUE),VLOOKUP(Calculator!E23,tbSkills!DH3:DJ6,3,FALSE),0),0))&gt;=100,100,(Backdoors!AI12+IF(EZ28&gt;=0.45,VLOOKUP(Calculator!E23,tbSkills!DH3:DI6,2,FALSE)+IF(AND(Calculator!B8=TRUE,Backdoors!BI25=TRUE),VLOOKUP(Calculator!E23,tbSkills!DH3:DJ6,3,FALSE),0),0)))/100)),(1-(0.25*((-Backdoors!AI12-IF(EZ28&gt;=0.45,VLOOKUP(Calculator!E23,tbSkills!DH3:DI6,2,FALSE)+IF(AND(Calculator!B8=TRUE,Backdoors!BI25=TRUE),VLOOKUP(Calculator!E23,tbSkills!DH3:DJ6,3,FALSE),0),0))/100)))),1),"")</f>
        <v>1</v>
      </c>
      <c r="FC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Z28)*FB28)*(VLOOKUP(A28,tbMoveset!A2:C112,3,FALSE)/100)*IF(VLOOKUP(A28,tbMoveset!A2:B112,2,FALSE)="Projectile",Backdoors!N10,Backdoors!N9),0),"")</f>
        <v/>
      </c>
      <c r="FD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Z28&gt;=0.45,VLOOKUP(Calculator!E23,tbSkills!DH3:DI6,2,FALSE)+IF(AND(Calculator!B8=TRUE,Backdoors!BI25=TRUE),VLOOKUP(Calculator!E23,tbSkills!DH3:DJ6,3,FALSE),0),0))&gt;=100,100,(Backdoors!AI12+IF(EZ28&gt;=0.45,VLOOKUP(Calculator!E23,tbSkills!DH3:DI6,2,FALSE)+IF(AND(Calculator!B8=TRUE,Backdoors!BI25=TRUE),VLOOKUP(Calculator!E23,tbSkills!DH3:DJ6,3,FALSE),0),0)))/100)),1))*IF(VLOOKUP(A28,tbMoveset!A2:K112,11,FALSE)=TRUE,Backdoors!AC5,1))*FA28,0),"")</f>
        <v>0</v>
      </c>
      <c r="FE28" s="49">
        <f>VLOOKUP(A28,tbMoveset!A2:G112,7,FALSE)*IFERROR(IF(Backdoors!AI12&gt;=0,1+(IF(Calculator!E40&gt;0,VLOOKUP(Calculator!E40,tbSkills!AI3:AJ5,2,FALSE),Backdoors!AL4)*(IF((Backdoors!AI12+IF(EZ28&gt;=0.45,VLOOKUP(Calculator!E23,tbSkills!DH3:DI6,2,FALSE)+IF(AND(Calculator!B8=TRUE,Backdoors!BI25=TRUE),VLOOKUP(Calculator!E23,tbSkills!DH3:DJ6,3,FALSE),0),0))&gt;=100,100,(Backdoors!AI12+IF(EZ28&gt;=0.45,VLOOKUP(Calculator!E23,tbSkills!DH3:DI6,2,FALSE)+IF(AND(Calculator!B8=TRUE,Backdoors!BI25=TRUE),VLOOKUP(Calculator!E23,tbSkills!DH3:DJ6,3,FALSE),0),0)))/100)),1),1)</f>
        <v>1</v>
      </c>
      <c r="FF28" s="87">
        <f t="shared" si="15"/>
        <v>0</v>
      </c>
      <c r="FG28" s="86" t="str">
        <f>IFERROR(IF(VLOOKUP(A28,tbMoveset!A2:B112,2,FALSE)="Sever",Backdoors!AY26/100,IF(VLOOKUP(A28,tbMoveset!A2:B112,2,FALSE)="Blunt",Backdoors!AZ26/100,Backdoors!BA26/100)),"")</f>
        <v/>
      </c>
      <c r="FH28" s="49">
        <f>IFERROR(IF(VLOOKUP(tbMoveset!A28,tbMoveset!A2:H112,8,FALSE)="Other",IF(VLOOKUP(tbMoveset!A28,tbMoveset!A2:I112,9,FALSE)="Fire",Backdoors!BB26,IF(VLOOKUP(tbMoveset!A28,tbMoveset!A2:I112,9,FALSE)="Water",Backdoors!BC26,IF(VLOOKUP(tbMoveset!A28,tbMoveset!A2:I112,9,FALSE)="Thunder",Backdoors!BD26,IF(VLOOKUP(tbMoveset!A28,tbMoveset!A2:I112,9,FALSE)="Ice",Backdoors!BE26,IF(VLOOKUP(tbMoveset!A28,tbMoveset!A2:I112,9,FALSE)="Dragon",Backdoors!BF26,Backdoors!BG26)))))/100,Backdoors!BG26/100),"")</f>
        <v>0</v>
      </c>
      <c r="FI28" s="49">
        <f>IFERROR(IF(VLOOKUP(A28,tbMoveset!A2:J112,10,FALSE)=TRUE,IF((Backdoors!AI12+IF(FG28&gt;=0.45,VLOOKUP(Calculator!E23,tbSkills!DH3:DI6,2,FALSE)+IF(AND(Calculator!B8=TRUE,Backdoors!BI26=TRUE),VLOOKUP(Calculator!E23,tbSkills!DH3:DJ6,3,FALSE),0),0))&gt;=0,1+(Backdoors!AL2*(IF((Backdoors!AI12+IF(FG28&gt;=0.45,VLOOKUP(Calculator!E23,tbSkills!DH3:DI6,2,FALSE)+IF(AND(Calculator!B8=TRUE,Backdoors!BI26=TRUE),VLOOKUP(Calculator!E23,tbSkills!DH3:DJ6,3,FALSE),0),0))&gt;=100,100,(Backdoors!AI12+IF(FG28&gt;=0.45,VLOOKUP(Calculator!E23,tbSkills!DH3:DI6,2,FALSE)+IF(AND(Calculator!B8=TRUE,Backdoors!BI26=TRUE),VLOOKUP(Calculator!E23,tbSkills!DH3:DJ6,3,FALSE),0),0)))/100)),(1-(0.25*((-Backdoors!AI12-IF(FG28&gt;=0.45,VLOOKUP(Calculator!E23,tbSkills!DH3:DI6,2,FALSE)+IF(AND(Calculator!B8=TRUE,Backdoors!BI26=TRUE),VLOOKUP(Calculator!E23,tbSkills!DH3:DJ6,3,FALSE),0),0))/100)))),1),"")</f>
        <v>1</v>
      </c>
      <c r="FJ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FG28)*FI28)*(VLOOKUP(A28,tbMoveset!A2:C112,3,FALSE)/100)*IF(VLOOKUP(A28,tbMoveset!A2:B112,2,FALSE)="Projectile",Backdoors!N10,Backdoors!N9),0),"")</f>
        <v/>
      </c>
      <c r="FK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FG28&gt;=0.45,VLOOKUP(Calculator!E23,tbSkills!DH3:DI6,2,FALSE)+IF(AND(Calculator!B8=TRUE,Backdoors!BI26=TRUE),VLOOKUP(Calculator!E23,tbSkills!DH3:DJ6,3,FALSE),0),0))&gt;=100,100,(Backdoors!AI12+IF(FG28&gt;=0.45,VLOOKUP(Calculator!E23,tbSkills!DH3:DI6,2,FALSE)+IF(AND(Calculator!B8=TRUE,Backdoors!BI26=TRUE),VLOOKUP(Calculator!E23,tbSkills!DH3:DJ6,3,FALSE),0),0)))/100)),1))*IF(VLOOKUP(A28,tbMoveset!A2:K112,11,FALSE)=TRUE,Backdoors!AC5,1))*FH28,0),"")</f>
        <v>0</v>
      </c>
      <c r="FL28" s="49">
        <f>VLOOKUP(A28,tbMoveset!A2:G112,7,FALSE)*IFERROR(IF(Backdoors!AI12&gt;=0,1+(IF(Calculator!E40&gt;0,VLOOKUP(Calculator!E40,tbSkills!AI3:AJ5,2,FALSE),Backdoors!AL4)*(IF((Backdoors!AI12+IF(FG28&gt;=0.45,VLOOKUP(Calculator!E23,tbSkills!DH3:DI6,2,FALSE)+IF(AND(Calculator!B8=TRUE,Backdoors!BI26=TRUE),VLOOKUP(Calculator!E23,tbSkills!DH3:DJ6,3,FALSE),0),0))&gt;=100,100,(Backdoors!AI12+IF(FG28&gt;=0.45,VLOOKUP(Calculator!E23,tbSkills!DH3:DI6,2,FALSE)+IF(AND(Calculator!B8=TRUE,Backdoors!BI26=TRUE),VLOOKUP(Calculator!E23,tbSkills!DH3:DJ6,3,FALSE),0),0)))/100)),1),1)</f>
        <v>1</v>
      </c>
      <c r="FM28" s="87">
        <f t="shared" si="16"/>
        <v>0</v>
      </c>
      <c r="FN28" s="86" t="str">
        <f>IFERROR(IF(VLOOKUP(A28,tbMoveset!A2:B112,2,FALSE)="Sever",Backdoors!AY27/100,IF(VLOOKUP(A28,tbMoveset!A2:B112,2,FALSE)="Blunt",Backdoors!AZ27/100,Backdoors!BA27/100)),"")</f>
        <v/>
      </c>
      <c r="FO28" s="49">
        <f>IFERROR(IF(VLOOKUP(tbMoveset!A28,tbMoveset!A2:H112,8,FALSE)="Other",IF(VLOOKUP(tbMoveset!A28,tbMoveset!A2:I112,9,FALSE)="Fire",Backdoors!BB27,IF(VLOOKUP(tbMoveset!A28,tbMoveset!A2:I112,9,FALSE)="Water",Backdoors!BC27,IF(VLOOKUP(tbMoveset!A28,tbMoveset!A2:I112,9,FALSE)="Thunder",Backdoors!BD27,IF(VLOOKUP(tbMoveset!A28,tbMoveset!A2:I112,9,FALSE)="Ice",Backdoors!BE27,IF(VLOOKUP(tbMoveset!A28,tbMoveset!A2:I112,9,FALSE)="Dragon",Backdoors!BF27,Backdoors!BG27)))))/100,Backdoors!BG27/100),"")</f>
        <v>0</v>
      </c>
      <c r="FP28" s="49">
        <f>IFERROR(IF(VLOOKUP(A28,tbMoveset!A2:J112,10,FALSE)=TRUE,IF((Backdoors!AI12+IF(FN28&gt;=0.45,VLOOKUP(Calculator!E23,tbSkills!DH3:DI6,2,FALSE)+IF(AND(Calculator!B8=TRUE,Backdoors!BI27=TRUE),VLOOKUP(Calculator!E23,tbSkills!DH3:DJ6,3,FALSE),0),0))&gt;=0,1+(Backdoors!AL2*(IF((Backdoors!AI12+IF(FN28&gt;=0.45,VLOOKUP(Calculator!E23,tbSkills!DH3:DI6,2,FALSE)+IF(AND(Calculator!B8=TRUE,Backdoors!BI27=TRUE),VLOOKUP(Calculator!E23,tbSkills!DH3:DJ6,3,FALSE),0),0))&gt;=100,100,(Backdoors!AI12+IF(FN28&gt;=0.45,VLOOKUP(Calculator!E23,tbSkills!DH3:DI6,2,FALSE)+IF(AND(Calculator!B8=TRUE,Backdoors!BI27=TRUE),VLOOKUP(Calculator!E23,tbSkills!DH3:DJ6,3,FALSE),0),0)))/100)),(1-(0.25*((-Backdoors!AI12-IF(FN28&gt;=0.45,VLOOKUP(Calculator!E23,tbSkills!DH3:DI6,2,FALSE)+IF(AND(Calculator!B8=TRUE,Backdoors!BI27=TRUE),VLOOKUP(Calculator!E23,tbSkills!DH3:DJ6,3,FALSE),0),0))/100)))),1),"")</f>
        <v>1</v>
      </c>
      <c r="FQ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FN28)*FP28)*(VLOOKUP(A28,tbMoveset!A2:C112,3,FALSE)/100)*IF(VLOOKUP(A28,tbMoveset!A2:B112,2,FALSE)="Projectile",Backdoors!N10,Backdoors!N9),0),"")</f>
        <v/>
      </c>
      <c r="FR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FN28&gt;=0.45,VLOOKUP(Calculator!E23,tbSkills!DH3:DI6,2,FALSE)+IF(AND(Calculator!B8=TRUE,Backdoors!BI27=TRUE),VLOOKUP(Calculator!E23,tbSkills!DH3:DJ6,3,FALSE),0),0))&gt;=100,100,(Backdoors!AI12+IF(FN28&gt;=0.45,VLOOKUP(Calculator!E23,tbSkills!DH3:DI6,2,FALSE)+IF(AND(Calculator!B8=TRUE,Backdoors!BI27=TRUE),VLOOKUP(Calculator!E23,tbSkills!DH3:DJ6,3,FALSE),0),0)))/100)),1))*IF(VLOOKUP(A28,tbMoveset!A2:K112,11,FALSE)=TRUE,Backdoors!AC5,1))*FO28,0),"")</f>
        <v>0</v>
      </c>
      <c r="FS28" s="49">
        <f>VLOOKUP(A28,tbMoveset!A2:G112,7,FALSE)*IFERROR(IF(Backdoors!AI12&gt;=0,1+(IF(Calculator!E40&gt;0,VLOOKUP(Calculator!E40,tbSkills!AI3:AJ5,2,FALSE),Backdoors!AL4)*(IF((Backdoors!AI12+IF(FN28&gt;=0.45,VLOOKUP(Calculator!E23,tbSkills!DH3:DI6,2,FALSE)+IF(AND(Calculator!B8=TRUE,Backdoors!BI27=TRUE),VLOOKUP(Calculator!E23,tbSkills!DH3:DJ6,3,FALSE),0),0))&gt;=100,100,(Backdoors!AI12+IF(FN28&gt;=0.45,VLOOKUP(Calculator!E23,tbSkills!DH3:DI6,2,FALSE)+IF(AND(Calculator!B8=TRUE,Backdoors!BI27=TRUE),VLOOKUP(Calculator!E23,tbSkills!DH3:DJ6,3,FALSE),0),0)))/100)),1),1)</f>
        <v>1</v>
      </c>
      <c r="FT28" s="87">
        <f t="shared" si="17"/>
        <v>0</v>
      </c>
      <c r="FU28" s="86" t="str">
        <f>IFERROR(IF(VLOOKUP(A28,tbMoveset!A2:B112,2,FALSE)="Sever",Backdoors!AY28/100,IF(VLOOKUP(A28,tbMoveset!A2:B112,2,FALSE)="Blunt",Backdoors!AZ28/100,Backdoors!BA28/100)),"")</f>
        <v/>
      </c>
      <c r="FV28" s="49">
        <f>IFERROR(IF(VLOOKUP(tbMoveset!A28,tbMoveset!A2:H112,8,FALSE)="Other",IF(VLOOKUP(tbMoveset!A28,tbMoveset!A2:I112,9,FALSE)="Fire",Backdoors!BB28,IF(VLOOKUP(tbMoveset!A28,tbMoveset!A2:I112,9,FALSE)="Water",Backdoors!BC28,IF(VLOOKUP(tbMoveset!A28,tbMoveset!A2:I112,9,FALSE)="Thunder",Backdoors!BD28,IF(VLOOKUP(tbMoveset!A28,tbMoveset!A2:I112,9,FALSE)="Ice",Backdoors!BE28,IF(VLOOKUP(tbMoveset!A28,tbMoveset!A2:I112,9,FALSE)="Dragon",Backdoors!BF28,Backdoors!BG28)))))/100,Backdoors!BG28/100),"")</f>
        <v>0</v>
      </c>
      <c r="FW28" s="49">
        <f>IFERROR(IF(VLOOKUP(A28,tbMoveset!A2:J112,10,FALSE)=TRUE,IF((Backdoors!AI12+IF(FU28&gt;=0.45,VLOOKUP(Calculator!E23,tbSkills!DH3:DI6,2,FALSE)+IF(AND(Calculator!B8=TRUE,Backdoors!BI28=TRUE),VLOOKUP(Calculator!E23,tbSkills!DH3:DJ6,3,FALSE),0),0))&gt;=0,1+(Backdoors!AL2*(IF((Backdoors!AI12+IF(FU28&gt;=0.45,VLOOKUP(Calculator!E23,tbSkills!DH3:DI6,2,FALSE)+IF(AND(Calculator!B8=TRUE,Backdoors!BI28=TRUE),VLOOKUP(Calculator!E23,tbSkills!DH3:DJ6,3,FALSE),0),0))&gt;=100,100,(Backdoors!AI12+IF(FU28&gt;=0.45,VLOOKUP(Calculator!E23,tbSkills!DH3:DI6,2,FALSE)+IF(AND(Calculator!B8=TRUE,Backdoors!BI28=TRUE),VLOOKUP(Calculator!E23,tbSkills!DH3:DJ6,3,FALSE),0),0)))/100)),(1-(0.25*((-Backdoors!AI12-IF(FU28&gt;=0.45,VLOOKUP(Calculator!E23,tbSkills!DH3:DI6,2,FALSE)+IF(AND(Calculator!B8=TRUE,Backdoors!BI28=TRUE),VLOOKUP(Calculator!E23,tbSkills!DH3:DJ6,3,FALSE),0),0))/100)))),1),"")</f>
        <v>1</v>
      </c>
      <c r="FX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FU28)*FW28)*(VLOOKUP(A28,tbMoveset!A2:C112,3,FALSE)/100)*IF(VLOOKUP(A28,tbMoveset!A2:B112,2,FALSE)="Projectile",Backdoors!N10,Backdoors!N9),0),"")</f>
        <v/>
      </c>
      <c r="FY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FU28&gt;=0.45,VLOOKUP(Calculator!E23,tbSkills!DH3:DI6,2,FALSE)+IF(AND(Calculator!B8=TRUE,Backdoors!BI28=TRUE),VLOOKUP(Calculator!E23,tbSkills!DH3:DJ6,3,FALSE),0),0))&gt;=100,100,(Backdoors!AI12+IF(FU28&gt;=0.45,VLOOKUP(Calculator!E23,tbSkills!DH3:DI6,2,FALSE)+IF(AND(Calculator!B8=TRUE,Backdoors!BI28=TRUE),VLOOKUP(Calculator!E23,tbSkills!DH3:DJ6,3,FALSE),0),0)))/100)),1))*IF(VLOOKUP(A28,tbMoveset!A2:K112,11,FALSE)=TRUE,Backdoors!AC5,1))*FV28,0),"")</f>
        <v>0</v>
      </c>
      <c r="FZ28" s="49">
        <f>VLOOKUP(A28,tbMoveset!A2:G112,7,FALSE)*IFERROR(IF(Backdoors!AI12&gt;=0,1+(IF(Calculator!E40&gt;0,VLOOKUP(Calculator!E40,tbSkills!AI3:AJ5,2,FALSE),Backdoors!AL4)*(IF((Backdoors!AI12+IF(FU28&gt;=0.45,VLOOKUP(Calculator!E23,tbSkills!DH3:DI6,2,FALSE)+IF(AND(Calculator!B8=TRUE,Backdoors!BI28=TRUE),VLOOKUP(Calculator!E23,tbSkills!DH3:DJ6,3,FALSE),0),0))&gt;=100,100,(Backdoors!AI12+IF(FU28&gt;=0.45,VLOOKUP(Calculator!E23,tbSkills!DH3:DI6,2,FALSE)+IF(AND(Calculator!B8=TRUE,Backdoors!BI28=TRUE),VLOOKUP(Calculator!E23,tbSkills!DH3:DJ6,3,FALSE),0),0)))/100)),1),1)</f>
        <v>1</v>
      </c>
      <c r="GA28" s="87">
        <f t="shared" si="18"/>
        <v>0</v>
      </c>
      <c r="GB28" s="86" t="str">
        <f>IFERROR(IF(VLOOKUP(A28,tbMoveset!A2:B112,2,FALSE)="Sever",Backdoors!AY29/100,IF(VLOOKUP(A28,tbMoveset!A2:B112,2,FALSE)="Blunt",Backdoors!AZ29/100,Backdoors!BA29/100)),"")</f>
        <v/>
      </c>
      <c r="GC28" s="49">
        <f>IFERROR(IF(VLOOKUP(tbMoveset!A28,tbMoveset!A2:H112,8,FALSE)="Other",IF(VLOOKUP(tbMoveset!A28,tbMoveset!A2:I112,9,FALSE)="Fire",Backdoors!BB29,IF(VLOOKUP(tbMoveset!A28,tbMoveset!A2:I112,9,FALSE)="Water",Backdoors!BC29,IF(VLOOKUP(tbMoveset!A28,tbMoveset!A2:I112,9,FALSE)="Thunder",Backdoors!BD29,IF(VLOOKUP(tbMoveset!A28,tbMoveset!A2:I112,9,FALSE)="Ice",Backdoors!BE29,IF(VLOOKUP(tbMoveset!A28,tbMoveset!A2:I112,9,FALSE)="Dragon",Backdoors!BF29,Backdoors!BG29)))))/100,Backdoors!BG29/100),"")</f>
        <v>0</v>
      </c>
      <c r="GD28" s="49">
        <f>IFERROR(IF(VLOOKUP(A28,tbMoveset!A2:J112,10,FALSE)=TRUE,IF((Backdoors!AI12+IF(GB28&gt;=0.45,VLOOKUP(Calculator!E23,tbSkills!DH3:DI6,2,FALSE)+IF(AND(Calculator!B8=TRUE,Backdoors!BI29=TRUE),VLOOKUP(Calculator!E23,tbSkills!DH3:DJ6,3,FALSE),0),0))&gt;=0,1+(Backdoors!AL2*(IF((Backdoors!AI12+IF(GB28&gt;=0.45,VLOOKUP(Calculator!E23,tbSkills!DH3:DI6,2,FALSE)+IF(AND(Calculator!B8=TRUE,Backdoors!BI29=TRUE),VLOOKUP(Calculator!E23,tbSkills!DH3:DJ6,3,FALSE),0),0))&gt;=100,100,(Backdoors!AI12+IF(GB28&gt;=0.45,VLOOKUP(Calculator!E23,tbSkills!DH3:DI6,2,FALSE)+IF(AND(Calculator!B8=TRUE,Backdoors!BI29=TRUE),VLOOKUP(Calculator!E23,tbSkills!DH3:DJ6,3,FALSE),0),0)))/100)),(1-(0.25*((-Backdoors!AI12-IF(GB28&gt;=0.45,VLOOKUP(Calculator!E23,tbSkills!DH3:DI6,2,FALSE)+IF(AND(Calculator!B8=TRUE,Backdoors!BI29=TRUE),VLOOKUP(Calculator!E23,tbSkills!DH3:DJ6,3,FALSE),0),0))/100)))),1),"")</f>
        <v>1</v>
      </c>
      <c r="GE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B28)*GD28)*(VLOOKUP(A28,tbMoveset!A2:C112,3,FALSE)/100)*IF(VLOOKUP(A28,tbMoveset!A2:B112,2,FALSE)="Projectile",Backdoors!N10,Backdoors!N9),0),"")</f>
        <v/>
      </c>
      <c r="GF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B28&gt;=0.45,VLOOKUP(Calculator!E23,tbSkills!DH3:DI6,2,FALSE)+IF(AND(Calculator!B8=TRUE,Backdoors!BI29=TRUE),VLOOKUP(Calculator!E23,tbSkills!DH3:DJ6,3,FALSE),0),0))&gt;=100,100,(Backdoors!AI12+IF(GB28&gt;=0.45,VLOOKUP(Calculator!E23,tbSkills!DH3:DI6,2,FALSE)+IF(AND(Calculator!B8=TRUE,Backdoors!BI29=TRUE),VLOOKUP(Calculator!E23,tbSkills!DH3:DJ6,3,FALSE),0),0)))/100)),1))*IF(VLOOKUP(A28,tbMoveset!A2:K112,11,FALSE)=TRUE,Backdoors!AC5,1))*GC28,0),"")</f>
        <v>0</v>
      </c>
      <c r="GG28" s="49">
        <f>VLOOKUP(A28,tbMoveset!A2:G112,7,FALSE)*IFERROR(IF(Backdoors!AI12&gt;=0,1+(IF(Calculator!E40&gt;0,VLOOKUP(Calculator!E40,tbSkills!AI3:AJ5,2,FALSE),Backdoors!AL4)*(IF((Backdoors!AI12+IF(GB28&gt;=0.45,VLOOKUP(Calculator!E23,tbSkills!DH3:DI6,2,FALSE)+IF(AND(Calculator!B8=TRUE,Backdoors!BI29=TRUE),VLOOKUP(Calculator!E23,tbSkills!DH3:DJ6,3,FALSE),0),0))&gt;=100,100,(Backdoors!AI12+IF(GB28&gt;=0.45,VLOOKUP(Calculator!E23,tbSkills!DH3:DI6,2,FALSE)+IF(AND(Calculator!B8=TRUE,Backdoors!BI29=TRUE),VLOOKUP(Calculator!E23,tbSkills!DH3:DJ6,3,FALSE),0),0)))/100)),1),1)</f>
        <v>1</v>
      </c>
      <c r="GH28" s="87">
        <f t="shared" si="19"/>
        <v>0</v>
      </c>
      <c r="GI28" s="86" t="str">
        <f>IFERROR(IF(VLOOKUP(A28,tbMoveset!A2:B112,2,FALSE)="Sever",Backdoors!AY30/100,IF(VLOOKUP(A28,tbMoveset!A2:B112,2,FALSE)="Blunt",Backdoors!AZ30/100,Backdoors!BA30/100)),"")</f>
        <v/>
      </c>
      <c r="GJ28" s="49">
        <f>IFERROR(IF(VLOOKUP(tbMoveset!A28,tbMoveset!A2:H112,8,FALSE)="Other",IF(VLOOKUP(tbMoveset!A28,tbMoveset!A2:I112,9,FALSE)="Fire",Backdoors!BB30,IF(VLOOKUP(tbMoveset!A28,tbMoveset!A2:I112,9,FALSE)="Water",Backdoors!BC30,IF(VLOOKUP(tbMoveset!A28,tbMoveset!A2:I112,9,FALSE)="Thunder",Backdoors!BD30,IF(VLOOKUP(tbMoveset!A28,tbMoveset!A2:I112,9,FALSE)="Ice",Backdoors!BE30,IF(VLOOKUP(tbMoveset!A28,tbMoveset!A2:I112,9,FALSE)="Dragon",Backdoors!BF30,Backdoors!BG30)))))/100,Backdoors!BG30/100),"")</f>
        <v>0</v>
      </c>
      <c r="GK28" s="49">
        <f>IFERROR(IF(VLOOKUP(A28,tbMoveset!A2:J112,10,FALSE)=TRUE,IF((Backdoors!AI12+IF(GI28&gt;=0.45,VLOOKUP(Calculator!E23,tbSkills!DH3:DI6,2,FALSE)+IF(AND(Calculator!B8=TRUE,Backdoors!BI30=TRUE),VLOOKUP(Calculator!E23,tbSkills!DH3:DJ6,3,FALSE),0),0))&gt;=0,1+(Backdoors!AL2*(IF((Backdoors!AI12+IF(GI28&gt;=0.45,VLOOKUP(Calculator!E23,tbSkills!DH3:DI6,2,FALSE)+IF(AND(Calculator!B8=TRUE,Backdoors!BI30=TRUE),VLOOKUP(Calculator!E23,tbSkills!DH3:DJ6,3,FALSE),0),0))&gt;=100,100,(Backdoors!AI12+IF(GI28&gt;=0.45,VLOOKUP(Calculator!E23,tbSkills!DH3:DI6,2,FALSE)+IF(AND(Calculator!B8=TRUE,Backdoors!BI30=TRUE),VLOOKUP(Calculator!E23,tbSkills!DH3:DJ6,3,FALSE),0),0)))/100)),(1-(0.25*((-Backdoors!AI12-IF(GI28&gt;=0.45,VLOOKUP(Calculator!E23,tbSkills!DH3:DI6,2,FALSE)+IF(AND(Calculator!B8=TRUE,Backdoors!BI30=TRUE),VLOOKUP(Calculator!E23,tbSkills!DH3:DJ6,3,FALSE),0),0))/100)))),1),"")</f>
        <v>1</v>
      </c>
      <c r="GL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I28)*GK28)*(VLOOKUP(A28,tbMoveset!A2:C112,3,FALSE)/100)*IF(VLOOKUP(A28,tbMoveset!A2:B112,2,FALSE)="Projectile",Backdoors!N10,Backdoors!N9),0),"")</f>
        <v/>
      </c>
      <c r="GM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I28&gt;=0.45,VLOOKUP(Calculator!E23,tbSkills!DH3:DI6,2,FALSE)+IF(AND(Calculator!B8=TRUE,Backdoors!BI30=TRUE),VLOOKUP(Calculator!E23,tbSkills!DH3:DJ6,3,FALSE),0),0))&gt;=100,100,(Backdoors!AI12+IF(GI28&gt;=0.45,VLOOKUP(Calculator!E23,tbSkills!DH3:DI6,2,FALSE)+IF(AND(Calculator!B8=TRUE,Backdoors!BI30=TRUE),VLOOKUP(Calculator!E23,tbSkills!DH3:DJ6,3,FALSE),0),0)))/100)),1))*IF(VLOOKUP(A28,tbMoveset!A2:K112,11,FALSE)=TRUE,Backdoors!AC5,1))*GJ28,0),"")</f>
        <v>0</v>
      </c>
      <c r="GN28" s="49">
        <f>VLOOKUP(A28,tbMoveset!A2:G112,7,FALSE)*IFERROR(IF(Backdoors!AI12&gt;=0,1+(IF(Calculator!E40&gt;0,VLOOKUP(Calculator!E40,tbSkills!AI3:AJ5,2,FALSE),Backdoors!AL4)*(IF((Backdoors!AI12+IF(GI28&gt;=0.45,VLOOKUP(Calculator!E23,tbSkills!DH3:DI6,2,FALSE)+IF(AND(Calculator!B8=TRUE,Backdoors!BI30=TRUE),VLOOKUP(Calculator!E23,tbSkills!DH3:DJ6,3,FALSE),0),0))&gt;=100,100,(Backdoors!AI12+IF(GI28&gt;=0.45,VLOOKUP(Calculator!E23,tbSkills!DH3:DI6,2,FALSE)+IF(AND(Calculator!B8=TRUE,Backdoors!BI30=TRUE),VLOOKUP(Calculator!E23,tbSkills!DH3:DJ6,3,FALSE),0),0)))/100)),1),1)</f>
        <v>1</v>
      </c>
      <c r="GO28" s="87">
        <f t="shared" si="20"/>
        <v>0</v>
      </c>
      <c r="GP28" s="86" t="str">
        <f>IFERROR(IF(VLOOKUP(A28,tbMoveset!A2:B112,2,FALSE)="Sever",Backdoors!AY31/100,IF(VLOOKUP(A28,tbMoveset!A2:B112,2,FALSE)="Blunt",Backdoors!AZ31/100,Backdoors!BA31/100)),"")</f>
        <v/>
      </c>
      <c r="GQ28" s="49">
        <f>IFERROR(IF(VLOOKUP(tbMoveset!A28,tbMoveset!A2:H112,8,FALSE)="Other",IF(VLOOKUP(tbMoveset!A28,tbMoveset!A2:I112,9,FALSE)="Fire",Backdoors!BB31,IF(VLOOKUP(tbMoveset!A28,tbMoveset!A2:I112,9,FALSE)="Water",Backdoors!BC31,IF(VLOOKUP(tbMoveset!A28,tbMoveset!A2:I112,9,FALSE)="Thunder",Backdoors!BD31,IF(VLOOKUP(tbMoveset!A28,tbMoveset!A2:I112,9,FALSE)="Ice",Backdoors!BE31,IF(VLOOKUP(tbMoveset!A28,tbMoveset!A2:I112,9,FALSE)="Dragon",Backdoors!BF31,Backdoors!BG31)))))/100,Backdoors!BG31/100),"")</f>
        <v>0</v>
      </c>
      <c r="GR28" s="49">
        <f>IFERROR(IF(VLOOKUP(A28,tbMoveset!A2:J112,10,FALSE)=TRUE,IF((Backdoors!AI12+IF(GP28&gt;=0.45,VLOOKUP(Calculator!E23,tbSkills!DH3:DI6,2,FALSE)+IF(AND(Calculator!B8=TRUE,Backdoors!BI31=TRUE),VLOOKUP(Calculator!E23,tbSkills!DH3:DJ6,3,FALSE),0),0))&gt;=0,1+(Backdoors!AL2*(IF((Backdoors!AI12+IF(GP28&gt;=0.45,VLOOKUP(Calculator!E23,tbSkills!DH3:DI6,2,FALSE)+IF(AND(Calculator!B8=TRUE,Backdoors!BI31=TRUE),VLOOKUP(Calculator!E23,tbSkills!DH3:DJ6,3,FALSE),0),0))&gt;=100,100,(Backdoors!AI12+IF(GP28&gt;=0.45,VLOOKUP(Calculator!E23,tbSkills!DH3:DI6,2,FALSE)+IF(AND(Calculator!B8=TRUE,Backdoors!BI31=TRUE),VLOOKUP(Calculator!E23,tbSkills!DH3:DJ6,3,FALSE),0),0)))/100)),(1-(0.25*((-Backdoors!AI12-IF(GP28&gt;=0.45,VLOOKUP(Calculator!E23,tbSkills!DH3:DI6,2,FALSE)+IF(AND(Calculator!B8=TRUE,Backdoors!BI31=TRUE),VLOOKUP(Calculator!E23,tbSkills!DH3:DJ6,3,FALSE),0),0))/100)))),1),"")</f>
        <v>1</v>
      </c>
      <c r="GS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P28)*GR28)*(VLOOKUP(A28,tbMoveset!A2:C112,3,FALSE)/100)*IF(VLOOKUP(A28,tbMoveset!A2:B112,2,FALSE)="Projectile",Backdoors!N10,Backdoors!N9),0),"")</f>
        <v/>
      </c>
      <c r="GT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P28&gt;=0.45,VLOOKUP(Calculator!E23,tbSkills!DH3:DI6,2,FALSE)+IF(AND(Calculator!B8=TRUE,Backdoors!BI31=TRUE),VLOOKUP(Calculator!E23,tbSkills!DH3:DJ6,3,FALSE),0),0))&gt;=100,100,(Backdoors!AI12+IF(GP28&gt;=0.45,VLOOKUP(Calculator!E23,tbSkills!DH3:DI6,2,FALSE)+IF(AND(Calculator!B8=TRUE,Backdoors!BI31=TRUE),VLOOKUP(Calculator!E23,tbSkills!DH3:DJ6,3,FALSE),0),0)))/100)),1))*IF(VLOOKUP(A28,tbMoveset!A2:K112,11,FALSE)=TRUE,Backdoors!AC5,1))*GQ28,0),"")</f>
        <v>0</v>
      </c>
      <c r="GU28" s="49">
        <f>VLOOKUP(A28,tbMoveset!A2:G112,7,FALSE)*IFERROR(IF(Backdoors!AI12&gt;=0,1+(IF(Calculator!E40&gt;0,VLOOKUP(Calculator!E40,tbSkills!AI3:AJ5,2,FALSE),Backdoors!AL4)*(IF((Backdoors!AI12+IF(GP28&gt;=0.45,VLOOKUP(Calculator!E23,tbSkills!DH3:DI6,2,FALSE)+IF(AND(Calculator!B8=TRUE,Backdoors!BI31=TRUE),VLOOKUP(Calculator!E23,tbSkills!DH3:DJ6,3,FALSE),0),0))&gt;=100,100,(Backdoors!AI12+IF(GP28&gt;=0.45,VLOOKUP(Calculator!E23,tbSkills!DH3:DI6,2,FALSE)+IF(AND(Calculator!B8=TRUE,Backdoors!BI31=TRUE),VLOOKUP(Calculator!E23,tbSkills!DH3:DJ6,3,FALSE),0),0)))/100)),1),1)</f>
        <v>1</v>
      </c>
      <c r="GV28" s="87">
        <f t="shared" si="21"/>
        <v>0</v>
      </c>
      <c r="GW28" s="86" t="str">
        <f>IFERROR(IF(VLOOKUP(A28,tbMoveset!A2:B112,2,FALSE)="Sever",Backdoors!AY32/100,IF(VLOOKUP(A28,tbMoveset!A2:B112,2,FALSE)="Blunt",Backdoors!AZ32/100,Backdoors!BA32/100)),"")</f>
        <v/>
      </c>
      <c r="GX28" s="49">
        <f>IFERROR(IF(VLOOKUP(tbMoveset!A28,tbMoveset!A2:H112,8,FALSE)="Other",IF(VLOOKUP(tbMoveset!A28,tbMoveset!A2:I112,9,FALSE)="Fire",Backdoors!BB32,IF(VLOOKUP(tbMoveset!A28,tbMoveset!A2:I112,9,FALSE)="Water",Backdoors!BC32,IF(VLOOKUP(tbMoveset!A28,tbMoveset!A2:I112,9,FALSE)="Thunder",Backdoors!BD32,IF(VLOOKUP(tbMoveset!A28,tbMoveset!A2:I112,9,FALSE)="Ice",Backdoors!BE32,IF(VLOOKUP(tbMoveset!A28,tbMoveset!A2:I112,9,FALSE)="Dragon",Backdoors!BF32,Backdoors!BG32)))))/100,Backdoors!BG32/100),"")</f>
        <v>0</v>
      </c>
      <c r="GY28" s="49">
        <f>IFERROR(IF(VLOOKUP(A28,tbMoveset!A2:J112,10,FALSE)=TRUE,IF((Backdoors!AI12+IF(GW28&gt;=0.45,VLOOKUP(Calculator!E23,tbSkills!DH3:DI6,2,FALSE)+IF(AND(Calculator!B8=TRUE,Backdoors!BI32=TRUE),VLOOKUP(Calculator!E23,tbSkills!DH3:DJ6,3,FALSE),0),0))&gt;=0,1+(Backdoors!AL2*(IF((Backdoors!AI12+IF(GW28&gt;=0.45,VLOOKUP(Calculator!E23,tbSkills!DH3:DI6,2,FALSE)+IF(AND(Calculator!B8=TRUE,Backdoors!BI32=TRUE),VLOOKUP(Calculator!E23,tbSkills!DH3:DJ6,3,FALSE),0),0))&gt;=100,100,(Backdoors!AI12+IF(GW28&gt;=0.45,VLOOKUP(Calculator!E23,tbSkills!DH3:DI6,2,FALSE)+IF(AND(Calculator!B8=TRUE,Backdoors!BI32=TRUE),VLOOKUP(Calculator!E23,tbSkills!DH3:DJ6,3,FALSE),0),0)))/100)),(1-(0.25*((-Backdoors!AI12-IF(GW28&gt;=0.45,VLOOKUP(Calculator!E23,tbSkills!DH3:DI6,2,FALSE)+IF(AND(Calculator!B8=TRUE,Backdoors!BI32=TRUE),VLOOKUP(Calculator!E23,tbSkills!DH3:DJ6,3,FALSE),0),0))/100)))),1),"")</f>
        <v>1</v>
      </c>
      <c r="GZ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W28)*GY28)*(VLOOKUP(A28,tbMoveset!A2:C112,3,FALSE)/100)*IF(VLOOKUP(A28,tbMoveset!A2:B112,2,FALSE)="Projectile",Backdoors!N10,Backdoors!N9),0),"")</f>
        <v/>
      </c>
      <c r="HA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W28&gt;=0.45,VLOOKUP(Calculator!E23,tbSkills!DH3:DI6,2,FALSE)+IF(AND(Calculator!B8=TRUE,Backdoors!BI32=TRUE),VLOOKUP(Calculator!E23,tbSkills!DH3:DJ6,3,FALSE),0),0))&gt;=100,100,(Backdoors!AI12+IF(GW28&gt;=0.45,VLOOKUP(Calculator!E23,tbSkills!DH3:DI6,2,FALSE)+IF(AND(Calculator!B8=TRUE,Backdoors!BI32=TRUE),VLOOKUP(Calculator!E23,tbSkills!DH3:DJ6,3,FALSE),0),0)))/100)),1))*IF(VLOOKUP(A28,tbMoveset!A2:K112,11,FALSE)=TRUE,Backdoors!AC5,1))*GX28,0),"")</f>
        <v>0</v>
      </c>
      <c r="HB28" s="49">
        <f>VLOOKUP(A28,tbMoveset!A2:G112,7,FALSE)*IFERROR(IF(Backdoors!AI12&gt;=0,1+(IF(Calculator!E40&gt;0,VLOOKUP(Calculator!E40,tbSkills!AI3:AJ5,2,FALSE),Backdoors!AL4)*(IF((Backdoors!AI12+IF(GW28&gt;=0.45,VLOOKUP(Calculator!E23,tbSkills!DH3:DI6,2,FALSE)+IF(AND(Calculator!B8=TRUE,Backdoors!BI32=TRUE),VLOOKUP(Calculator!E23,tbSkills!DH3:DJ6,3,FALSE),0),0))&gt;=100,100,(Backdoors!AI12+IF(GW28&gt;=0.45,VLOOKUP(Calculator!E23,tbSkills!DH3:DI6,2,FALSE)+IF(AND(Calculator!B8=TRUE,Backdoors!BI32=TRUE),VLOOKUP(Calculator!E23,tbSkills!DH3:DJ6,3,FALSE),0),0)))/100)),1),1)</f>
        <v>1</v>
      </c>
      <c r="HC28" s="87">
        <f t="shared" si="22"/>
        <v>0</v>
      </c>
      <c r="HD28" s="86" t="str">
        <f>IFERROR(IF(VLOOKUP(A28,tbMoveset!A2:B112,2,FALSE)="Sever",Backdoors!AY33/100,IF(VLOOKUP(A28,tbMoveset!A2:B112,2,FALSE)="Blunt",Backdoors!AZ33/100,Backdoors!BA33/100)),"")</f>
        <v/>
      </c>
      <c r="HE28" s="49">
        <f>IFERROR(IF(VLOOKUP(tbMoveset!A28,tbMoveset!A2:H112,8,FALSE)="Other",IF(VLOOKUP(tbMoveset!A28,tbMoveset!A2:I112,9,FALSE)="Fire",Backdoors!BB33,IF(VLOOKUP(tbMoveset!A28,tbMoveset!A2:I112,9,FALSE)="Water",Backdoors!BC33,IF(VLOOKUP(tbMoveset!A28,tbMoveset!A2:I112,9,FALSE)="Thunder",Backdoors!BD33,IF(VLOOKUP(tbMoveset!A28,tbMoveset!A2:I112,9,FALSE)="Ice",Backdoors!BE33,IF(VLOOKUP(tbMoveset!A28,tbMoveset!A2:I112,9,FALSE)="Dragon",Backdoors!BF33,Backdoors!BG33)))))/100,Backdoors!BG33/100),"")</f>
        <v>0</v>
      </c>
      <c r="HF28" s="49">
        <f>IFERROR(IF(VLOOKUP(A28,tbMoveset!A2:J112,10,FALSE)=TRUE,IF((Backdoors!AI12+IF(HD28&gt;=0.45,VLOOKUP(Calculator!E23,tbSkills!DH3:DI6,2,FALSE)+IF(AND(Calculator!B8=TRUE,Backdoors!BI33=TRUE),VLOOKUP(Calculator!E23,tbSkills!DH3:DJ6,3,FALSE),0),0))&gt;=0,1+(Backdoors!AL2*(IF((Backdoors!AI12+IF(HD28&gt;=0.45,VLOOKUP(Calculator!E23,tbSkills!DH3:DI6,2,FALSE)+IF(AND(Calculator!B8=TRUE,Backdoors!BI33=TRUE),VLOOKUP(Calculator!E23,tbSkills!DH3:DJ6,3,FALSE),0),0))&gt;=100,100,(Backdoors!AI12+IF(HD28&gt;=0.45,VLOOKUP(Calculator!E23,tbSkills!DH3:DI6,2,FALSE)+IF(AND(Calculator!B8=TRUE,Backdoors!BI33=TRUE),VLOOKUP(Calculator!E23,tbSkills!DH3:DJ6,3,FALSE),0),0)))/100)),(1-(0.25*((-Backdoors!AI12-IF(HD28&gt;=0.45,VLOOKUP(Calculator!E23,tbSkills!DH3:DI6,2,FALSE)+IF(AND(Calculator!B8=TRUE,Backdoors!BI33=TRUE),VLOOKUP(Calculator!E23,tbSkills!DH3:DJ6,3,FALSE),0),0))/100)))),1),"")</f>
        <v>1</v>
      </c>
      <c r="HG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D28)*HF28)*(VLOOKUP(A28,tbMoveset!A2:C112,3,FALSE)/100)*IF(VLOOKUP(A28,tbMoveset!A2:B112,2,FALSE)="Projectile",Backdoors!N10,Backdoors!N9),0),"")</f>
        <v/>
      </c>
      <c r="HH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D28&gt;=0.45,VLOOKUP(Calculator!E23,tbSkills!DH3:DI6,2,FALSE)+IF(AND(Calculator!B8=TRUE,Backdoors!BI33=TRUE),VLOOKUP(Calculator!E23,tbSkills!DH3:DJ6,3,FALSE),0),0))&gt;=100,100,(Backdoors!AI12+IF(HD28&gt;=0.45,VLOOKUP(Calculator!E23,tbSkills!DH3:DI6,2,FALSE)+IF(AND(Calculator!B8=TRUE,Backdoors!BI33=TRUE),VLOOKUP(Calculator!E23,tbSkills!DH3:DJ6,3,FALSE),0),0)))/100)),1))*IF(VLOOKUP(A28,tbMoveset!A2:K112,11,FALSE)=TRUE,Backdoors!AC5,1))*HE28,0),"")</f>
        <v>0</v>
      </c>
      <c r="HI28" s="49">
        <f>VLOOKUP(A28,tbMoveset!A2:G112,7,FALSE)*IFERROR(IF(Backdoors!AI12&gt;=0,1+(IF(Calculator!E40&gt;0,VLOOKUP(Calculator!E40,tbSkills!AI3:AJ5,2,FALSE),Backdoors!AL4)*(IF((Backdoors!AI12+IF(HD28&gt;=0.45,VLOOKUP(Calculator!E23,tbSkills!DH3:DI6,2,FALSE)+IF(AND(Calculator!B8=TRUE,Backdoors!BI33=TRUE),VLOOKUP(Calculator!E23,tbSkills!DH3:DJ6,3,FALSE),0),0))&gt;=100,100,(Backdoors!AI12+IF(HD28&gt;=0.45,VLOOKUP(Calculator!E23,tbSkills!DH3:DI6,2,FALSE)+IF(AND(Calculator!B8=TRUE,Backdoors!BI33=TRUE),VLOOKUP(Calculator!E23,tbSkills!DH3:DJ6,3,FALSE),0),0)))/100)),1),1)</f>
        <v>1</v>
      </c>
      <c r="HJ28" s="87">
        <f t="shared" si="23"/>
        <v>0</v>
      </c>
      <c r="HK28" s="86" t="str">
        <f>IFERROR(IF(VLOOKUP(A28,tbMoveset!A2:B112,2,FALSE)="Sever",Backdoors!AY34/100,IF(VLOOKUP(A28,tbMoveset!A2:B112,2,FALSE)="Blunt",Backdoors!AZ34/100,Backdoors!BA34/100)),"")</f>
        <v/>
      </c>
      <c r="HL28" s="49">
        <f>IFERROR(IF(VLOOKUP(tbMoveset!A28,tbMoveset!A2:H112,8,FALSE)="Other",IF(VLOOKUP(tbMoveset!A28,tbMoveset!A2:I112,9,FALSE)="Fire",Backdoors!BB34,IF(VLOOKUP(tbMoveset!A28,tbMoveset!A2:I112,9,FALSE)="Water",Backdoors!BC34,IF(VLOOKUP(tbMoveset!A28,tbMoveset!A2:I112,9,FALSE)="Thunder",Backdoors!BD34,IF(VLOOKUP(tbMoveset!A28,tbMoveset!A2:I112,9,FALSE)="Ice",Backdoors!BE34,IF(VLOOKUP(tbMoveset!A28,tbMoveset!A2:I112,9,FALSE)="Dragon",Backdoors!BF34,Backdoors!BG34)))))/100,Backdoors!BG34/100),"")</f>
        <v>0</v>
      </c>
      <c r="HM28" s="49">
        <f>IFERROR(IF(VLOOKUP(A28,tbMoveset!A2:J112,10,FALSE)=TRUE,IF((Backdoors!AI12+IF(HK28&gt;=0.45,VLOOKUP(Calculator!E23,tbSkills!DH3:DI6,2,FALSE)+IF(AND(Calculator!B8=TRUE,Backdoors!BI34=TRUE),VLOOKUP(Calculator!E23,tbSkills!DH3:DJ6,3,FALSE),0),0))&gt;=0,1+(Backdoors!AL2*(IF((Backdoors!AI12+IF(HK28&gt;=0.45,VLOOKUP(Calculator!E23,tbSkills!DH3:DI6,2,FALSE)+IF(AND(Calculator!B8=TRUE,Backdoors!BI34=TRUE),VLOOKUP(Calculator!E23,tbSkills!DH3:DJ6,3,FALSE),0),0))&gt;=100,100,(Backdoors!AI12+IF(HK28&gt;=0.45,VLOOKUP(Calculator!E23,tbSkills!DH3:DI6,2,FALSE)+IF(AND(Calculator!B8=TRUE,Backdoors!BI34=TRUE),VLOOKUP(Calculator!E23,tbSkills!DH3:DJ6,3,FALSE),0),0)))/100)),(1-(0.25*((-Backdoors!AI12-IF(HK28&gt;=0.45,VLOOKUP(Calculator!E23,tbSkills!DH3:DI6,2,FALSE)+IF(AND(Calculator!B8=TRUE,Backdoors!BI34=TRUE),VLOOKUP(Calculator!E23,tbSkills!DH3:DJ6,3,FALSE),0),0))/100)))),1),"")</f>
        <v>1</v>
      </c>
      <c r="HN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K28)*HM28)*(VLOOKUP(A28,tbMoveset!A2:C112,3,FALSE)/100)*IF(VLOOKUP(A28,tbMoveset!A2:B112,2,FALSE)="Projectile",Backdoors!N10,Backdoors!N9),0),"")</f>
        <v/>
      </c>
      <c r="HO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K28&gt;=0.45,VLOOKUP(Calculator!E23,tbSkills!DH3:DI6,2,FALSE)+IF(AND(Calculator!B8=TRUE,Backdoors!BI34=TRUE),VLOOKUP(Calculator!E23,tbSkills!DH3:DJ6,3,FALSE),0),0))&gt;=100,100,(Backdoors!AI12+IF(HK28&gt;=0.45,VLOOKUP(Calculator!E23,tbSkills!DH3:DI6,2,FALSE)+IF(AND(Calculator!B8=TRUE,Backdoors!BI34=TRUE),VLOOKUP(Calculator!E23,tbSkills!DH3:DJ6,3,FALSE),0),0)))/100)),1))*IF(VLOOKUP(A28,tbMoveset!A2:K112,11,FALSE)=TRUE,Backdoors!AC5,1))*HL28,0),"")</f>
        <v>0</v>
      </c>
      <c r="HP28" s="49">
        <f>VLOOKUP(A28,tbMoveset!A2:G112,7,FALSE)*IFERROR(IF(Backdoors!AI12&gt;=0,1+(IF(Calculator!E40&gt;0,VLOOKUP(Calculator!E40,tbSkills!AI3:AJ5,2,FALSE),Backdoors!AL4)*(IF((Backdoors!AI12+IF(HK28&gt;=0.45,VLOOKUP(Calculator!E23,tbSkills!DH3:DI6,2,FALSE)+IF(AND(Calculator!B8=TRUE,Backdoors!BI34=TRUE),VLOOKUP(Calculator!E23,tbSkills!DH3:DJ6,3,FALSE),0),0))&gt;=100,100,(Backdoors!AI12+IF(HK28&gt;=0.45,VLOOKUP(Calculator!E23,tbSkills!DH3:DI6,2,FALSE)+IF(AND(Calculator!B8=TRUE,Backdoors!BI34=TRUE),VLOOKUP(Calculator!E23,tbSkills!DH3:DJ6,3,FALSE),0),0)))/100)),1),1)</f>
        <v>1</v>
      </c>
      <c r="HQ28" s="87">
        <f t="shared" si="24"/>
        <v>0</v>
      </c>
      <c r="HR28" s="86" t="str">
        <f>IFERROR(IF(VLOOKUP(A28,tbMoveset!A2:B112,2,FALSE)="Sever",Backdoors!AY35/100,IF(VLOOKUP(A28,tbMoveset!A2:B112,2,FALSE)="Blunt",Backdoors!AZ35/100,Backdoors!BA35/100)),"")</f>
        <v/>
      </c>
      <c r="HS28" s="49">
        <f>IFERROR(IF(VLOOKUP(tbMoveset!A28,tbMoveset!A2:H112,8,FALSE)="Other",IF(VLOOKUP(tbMoveset!A28,tbMoveset!A2:I112,9,FALSE)="Fire",Backdoors!BB35,IF(VLOOKUP(tbMoveset!A28,tbMoveset!A2:I112,9,FALSE)="Water",Backdoors!BC35,IF(VLOOKUP(tbMoveset!A28,tbMoveset!A2:I112,9,FALSE)="Thunder",Backdoors!BD35,IF(VLOOKUP(tbMoveset!A28,tbMoveset!A2:I112,9,FALSE)="Ice",Backdoors!BE35,IF(VLOOKUP(tbMoveset!A28,tbMoveset!A2:I112,9,FALSE)="Dragon",Backdoors!BF35,Backdoors!BG35)))))/100,Backdoors!BG35/100),"")</f>
        <v>0</v>
      </c>
      <c r="HT28" s="49">
        <f>IFERROR(IF(VLOOKUP(A28,tbMoveset!A2:J112,10,FALSE)=TRUE,IF((Backdoors!AI12+IF(HR28&gt;=0.45,VLOOKUP(Calculator!E23,tbSkills!DH3:DI6,2,FALSE)+IF(AND(Calculator!B8=TRUE,Backdoors!BI35=TRUE),VLOOKUP(Calculator!E23,tbSkills!DH3:DJ6,3,FALSE),0),0))&gt;=0,1+(Backdoors!AL2*(IF((Backdoors!AI12+IF(HR28&gt;=0.45,VLOOKUP(Calculator!E23,tbSkills!DH3:DI6,2,FALSE)+IF(AND(Calculator!B8=TRUE,Backdoors!BI35=TRUE),VLOOKUP(Calculator!E23,tbSkills!DH3:DJ6,3,FALSE),0),0))&gt;=100,100,(Backdoors!AI12+IF(HR28&gt;=0.45,VLOOKUP(Calculator!E23,tbSkills!DH3:DI6,2,FALSE)+IF(AND(Calculator!B8=TRUE,Backdoors!BI35=TRUE),VLOOKUP(Calculator!E23,tbSkills!DH3:DJ6,3,FALSE),0),0)))/100)),(1-(0.25*((-Backdoors!AI12-IF(HR28&gt;=0.45,VLOOKUP(Calculator!E23,tbSkills!DH3:DI6,2,FALSE)+IF(AND(Calculator!B8=TRUE,Backdoors!BI35=TRUE),VLOOKUP(Calculator!E23,tbSkills!DH3:DJ6,3,FALSE),0),0))/100)))),1),"")</f>
        <v>1</v>
      </c>
      <c r="HU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R28)*HT28)*(VLOOKUP(A28,tbMoveset!A2:C112,3,FALSE)/100)*IF(VLOOKUP(A28,tbMoveset!A2:B112,2,FALSE)="Projectile",Backdoors!N10,Backdoors!N9),0),"")</f>
        <v/>
      </c>
      <c r="HV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R28&gt;=0.45,VLOOKUP(Calculator!E23,tbSkills!DH3:DI6,2,FALSE)+IF(AND(Calculator!B8=TRUE,Backdoors!BI35=TRUE),VLOOKUP(Calculator!E23,tbSkills!DH3:DJ6,3,FALSE),0),0))&gt;=100,100,(Backdoors!AI12+IF(HR28&gt;=0.45,VLOOKUP(Calculator!E23,tbSkills!DH3:DI6,2,FALSE)+IF(AND(Calculator!B8=TRUE,Backdoors!BI35=TRUE),VLOOKUP(Calculator!E23,tbSkills!DH3:DJ6,3,FALSE),0),0)))/100)),1))*IF(VLOOKUP(A28,tbMoveset!A2:K112,11,FALSE)=TRUE,Backdoors!AC5,1))*HS28,0),"")</f>
        <v>0</v>
      </c>
      <c r="HW28" s="49">
        <f>VLOOKUP(A28,tbMoveset!A2:G112,7,FALSE)*IFERROR(IF(Backdoors!AI12&gt;=0,1+(IF(Calculator!E40&gt;0,VLOOKUP(Calculator!E40,tbSkills!AI3:AJ5,2,FALSE),Backdoors!AL4)*(IF((Backdoors!AI12+IF(HR28&gt;=0.45,VLOOKUP(Calculator!E23,tbSkills!DH3:DI6,2,FALSE)+IF(AND(Calculator!B8=TRUE,Backdoors!BI35=TRUE),VLOOKUP(Calculator!E23,tbSkills!DH3:DJ6,3,FALSE),0),0))&gt;=100,100,(Backdoors!AI12+IF(HR28&gt;=0.45,VLOOKUP(Calculator!E23,tbSkills!DH3:DI6,2,FALSE)+IF(AND(Calculator!B8=TRUE,Backdoors!BI35=TRUE),VLOOKUP(Calculator!E23,tbSkills!DH3:DJ6,3,FALSE),0),0)))/100)),1),1)</f>
        <v>1</v>
      </c>
      <c r="HX28" s="87">
        <f t="shared" si="25"/>
        <v>0</v>
      </c>
      <c r="HY28" s="86" t="str">
        <f>IFERROR(IF(VLOOKUP(A28,tbMoveset!A2:B112,2,FALSE)="Sever",Backdoors!AY36/100,IF(VLOOKUP(A28,tbMoveset!A2:B112,2,FALSE)="Blunt",Backdoors!AZ36/100,Backdoors!BA36/100)),"")</f>
        <v/>
      </c>
      <c r="HZ28" s="49">
        <f>IFERROR(IF(VLOOKUP(tbMoveset!A28,tbMoveset!A2:H112,8,FALSE)="Other",IF(VLOOKUP(tbMoveset!A28,tbMoveset!A2:I112,9,FALSE)="Fire",Backdoors!BB36,IF(VLOOKUP(tbMoveset!A28,tbMoveset!A2:I112,9,FALSE)="Water",Backdoors!BC36,IF(VLOOKUP(tbMoveset!A28,tbMoveset!A2:I112,9,FALSE)="Thunder",Backdoors!BD36,IF(VLOOKUP(tbMoveset!A28,tbMoveset!A2:I112,9,FALSE)="Ice",Backdoors!BE36,IF(VLOOKUP(tbMoveset!A28,tbMoveset!A2:I112,9,FALSE)="Dragon",Backdoors!BF36,Backdoors!BG36)))))/100,Backdoors!BG36/100),"")</f>
        <v>0</v>
      </c>
      <c r="IA28" s="49">
        <f>IFERROR(IF(VLOOKUP(A28,tbMoveset!A2:J112,10,FALSE)=TRUE,IF((Backdoors!AI12+IF(HY28&gt;=0.45,VLOOKUP(Calculator!E23,tbSkills!DH3:DI6,2,FALSE)+IF(AND(Calculator!B8=TRUE,Backdoors!BI36=TRUE),VLOOKUP(Calculator!E23,tbSkills!DH3:DJ6,3,FALSE),0),0))&gt;=0,1+(Backdoors!AL2*(IF((Backdoors!AI12+IF(HY28&gt;=0.45,VLOOKUP(Calculator!E23,tbSkills!DH3:DI6,2,FALSE)+IF(AND(Calculator!B8=TRUE,Backdoors!BI36=TRUE),VLOOKUP(Calculator!E23,tbSkills!DH3:DJ6,3,FALSE),0),0))&gt;=100,100,(Backdoors!AI12+IF(HY28&gt;=0.45,VLOOKUP(Calculator!E23,tbSkills!DH3:DI6,2,FALSE)+IF(AND(Calculator!B8=TRUE,Backdoors!BI36=TRUE),VLOOKUP(Calculator!E23,tbSkills!DH3:DJ6,3,FALSE),0),0)))/100)),(1-(0.25*((-Backdoors!AI12-IF(HY28&gt;=0.45,VLOOKUP(Calculator!E23,tbSkills!DH3:DI6,2,FALSE)+IF(AND(Calculator!B8=TRUE,Backdoors!BI36=TRUE),VLOOKUP(Calculator!E23,tbSkills!DH3:DJ6,3,FALSE),0),0))/100)))),1),"")</f>
        <v>1</v>
      </c>
      <c r="IB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Y28)*IA28)*(VLOOKUP(A28,tbMoveset!A2:C112,3,FALSE)/100)*IF(VLOOKUP(A28,tbMoveset!A2:B112,2,FALSE)="Projectile",Backdoors!N10,Backdoors!N9),0),"")</f>
        <v/>
      </c>
      <c r="IC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Y28&gt;=0.45,VLOOKUP(Calculator!E23,tbSkills!DH3:DI6,2,FALSE)+IF(AND(Calculator!B8=TRUE,Backdoors!BI36=TRUE),VLOOKUP(Calculator!E23,tbSkills!DH3:DJ6,3,FALSE),0),0))&gt;=100,100,(Backdoors!AI12+IF(HY28&gt;=0.45,VLOOKUP(Calculator!E23,tbSkills!DH3:DI6,2,FALSE)+IF(AND(Calculator!B8=TRUE,Backdoors!BI36=TRUE),VLOOKUP(Calculator!E23,tbSkills!DH3:DJ6,3,FALSE),0),0)))/100)),1))*IF(VLOOKUP(A28,tbMoveset!A2:K112,11,FALSE)=TRUE,Backdoors!AC5,1))*HZ28,0),"")</f>
        <v>0</v>
      </c>
      <c r="ID28" s="49">
        <f>VLOOKUP(A28,tbMoveset!A2:G112,7,FALSE)*IFERROR(IF(Backdoors!AI12&gt;=0,1+(IF(Calculator!E40&gt;0,VLOOKUP(Calculator!E40,tbSkills!AI3:AJ5,2,FALSE),Backdoors!AL4)*(IF((Backdoors!AI12+IF(HY28&gt;=0.45,VLOOKUP(Calculator!E23,tbSkills!DH3:DI6,2,FALSE)+IF(AND(Calculator!B8=TRUE,Backdoors!BI36=TRUE),VLOOKUP(Calculator!E23,tbSkills!DH3:DJ6,3,FALSE),0),0))&gt;=100,100,(Backdoors!AI12+IF(HY28&gt;=0.45,VLOOKUP(Calculator!E23,tbSkills!DH3:DI6,2,FALSE)+IF(AND(Calculator!B8=TRUE,Backdoors!BI36=TRUE),VLOOKUP(Calculator!E23,tbSkills!DH3:DJ6,3,FALSE),0),0)))/100)),1),1)</f>
        <v>1</v>
      </c>
      <c r="IE28" s="87">
        <f t="shared" si="26"/>
        <v>0</v>
      </c>
      <c r="IF28" s="86" t="str">
        <f>IFERROR(IF(VLOOKUP(A28,tbMoveset!A2:B112,2,FALSE)="Sever",Backdoors!AY37/100,IF(VLOOKUP(A28,tbMoveset!A2:B112,2,FALSE)="Blunt",Backdoors!AZ37/100,Backdoors!BA37/100)),"")</f>
        <v/>
      </c>
      <c r="IG28" s="49">
        <f>IFERROR(IF(VLOOKUP(tbMoveset!A28,tbMoveset!A2:H112,8,FALSE)="Other",IF(VLOOKUP(tbMoveset!A28,tbMoveset!A2:I112,9,FALSE)="Fire",Backdoors!BB37,IF(VLOOKUP(tbMoveset!A28,tbMoveset!A2:I112,9,FALSE)="Water",Backdoors!BC37,IF(VLOOKUP(tbMoveset!A28,tbMoveset!A2:I112,9,FALSE)="Thunder",Backdoors!BD37,IF(VLOOKUP(tbMoveset!A28,tbMoveset!A2:I112,9,FALSE)="Ice",Backdoors!BE37,IF(VLOOKUP(tbMoveset!A28,tbMoveset!A2:I112,9,FALSE)="Dragon",Backdoors!BF37,Backdoors!BG37)))))/100,Backdoors!BG37/100),"")</f>
        <v>0</v>
      </c>
      <c r="IH28" s="49">
        <f>IFERROR(IF(VLOOKUP(A28,tbMoveset!A2:J112,10,FALSE)=TRUE,IF((Backdoors!AI12+IF(IF28&gt;=0.45,VLOOKUP(Calculator!E23,tbSkills!DH3:DI6,2,FALSE)+IF(AND(Calculator!B8=TRUE,Backdoors!BI37=TRUE),VLOOKUP(Calculator!E23,tbSkills!DH3:DJ6,3,FALSE),0),0))&gt;=0,1+(Backdoors!AL2*(IF((Backdoors!AI12+IF(IF28&gt;=0.45,VLOOKUP(Calculator!E23,tbSkills!DH3:DI6,2,FALSE)+IF(AND(Calculator!B8=TRUE,Backdoors!BI37=TRUE),VLOOKUP(Calculator!E23,tbSkills!DH3:DJ6,3,FALSE),0),0))&gt;=100,100,(Backdoors!AI12+IF(IF28&gt;=0.45,VLOOKUP(Calculator!E23,tbSkills!DH3:DI6,2,FALSE)+IF(AND(Calculator!B8=TRUE,Backdoors!BI37=TRUE),VLOOKUP(Calculator!E23,tbSkills!DH3:DJ6,3,FALSE),0),0)))/100)),(1-(0.25*((-Backdoors!AI12-IF(IF28&gt;=0.45,VLOOKUP(Calculator!E23,tbSkills!DH3:DI6,2,FALSE)+IF(AND(Calculator!B8=TRUE,Backdoors!BI37=TRUE),VLOOKUP(Calculator!E23,tbSkills!DH3:DJ6,3,FALSE),0),0))/100)))),1),"")</f>
        <v>1</v>
      </c>
      <c r="II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F28)*IH28)*(VLOOKUP(A28,tbMoveset!A2:C112,3,FALSE)/100)*IF(VLOOKUP(A28,tbMoveset!A2:B112,2,FALSE)="Projectile",Backdoors!N10,Backdoors!N9),0),"")</f>
        <v/>
      </c>
      <c r="IJ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IF28&gt;=0.45,VLOOKUP(Calculator!E23,tbSkills!DH3:DI6,2,FALSE)+IF(AND(Calculator!B8=TRUE,Backdoors!BI37=TRUE),VLOOKUP(Calculator!E23,tbSkills!DH3:DJ6,3,FALSE),0),0))&gt;=100,100,(Backdoors!AI12+IF(IF28&gt;=0.45,VLOOKUP(Calculator!E23,tbSkills!DH3:DI6,2,FALSE)+IF(AND(Calculator!B8=TRUE,Backdoors!BI37=TRUE),VLOOKUP(Calculator!E23,tbSkills!DH3:DJ6,3,FALSE),0),0)))/100)),1))*IF(VLOOKUP(A28,tbMoveset!A2:K112,11,FALSE)=TRUE,Backdoors!AC5,1))*IG28,0),"")</f>
        <v>0</v>
      </c>
      <c r="IK28" s="49">
        <f>VLOOKUP(A28,tbMoveset!A2:G112,7,FALSE)*IFERROR(IF(Backdoors!AI12&gt;=0,1+(IF(Calculator!E40&gt;0,VLOOKUP(Calculator!E40,tbSkills!AI3:AJ5,2,FALSE),Backdoors!AL4)*(IF((Backdoors!AI12+IF(IF28&gt;=0.45,VLOOKUP(Calculator!E23,tbSkills!DH3:DI6,2,FALSE)+IF(AND(Calculator!B8=TRUE,Backdoors!BI37=TRUE),VLOOKUP(Calculator!E23,tbSkills!DH3:DJ6,3,FALSE),0),0))&gt;=100,100,(Backdoors!AI12+IF(IF28&gt;=0.45,VLOOKUP(Calculator!E23,tbSkills!DH3:DI6,2,FALSE)+IF(AND(Calculator!B8=TRUE,Backdoors!BI37=TRUE),VLOOKUP(Calculator!E23,tbSkills!DH3:DJ6,3,FALSE),0),0)))/100)),1),1)</f>
        <v>1</v>
      </c>
      <c r="IL28" s="87">
        <f t="shared" si="27"/>
        <v>0</v>
      </c>
      <c r="IM28" s="86" t="str">
        <f>IFERROR(IF(VLOOKUP(A28,tbMoveset!A2:B112,2,FALSE)="Sever",Backdoors!AY38/100,IF(VLOOKUP(A28,tbMoveset!A2:B112,2,FALSE)="Blunt",Backdoors!AZ38/100,Backdoors!BA38/100)),"")</f>
        <v/>
      </c>
      <c r="IN28" s="49">
        <f>IFERROR(IF(VLOOKUP(tbMoveset!A28,tbMoveset!A2:H112,8,FALSE)="Other",IF(VLOOKUP(tbMoveset!A28,tbMoveset!A2:I112,9,FALSE)="Fire",Backdoors!BB38,IF(VLOOKUP(tbMoveset!A28,tbMoveset!A2:I112,9,FALSE)="Water",Backdoors!BC38,IF(VLOOKUP(tbMoveset!A28,tbMoveset!A2:I112,9,FALSE)="Thunder",Backdoors!BD38,IF(VLOOKUP(tbMoveset!A28,tbMoveset!A2:I112,9,FALSE)="Ice",Backdoors!BE38,IF(VLOOKUP(tbMoveset!A28,tbMoveset!A2:I112,9,FALSE)="Dragon",Backdoors!BF38,Backdoors!BG38)))))/100,Backdoors!BG38/100),"")</f>
        <v>0</v>
      </c>
      <c r="IO28" s="49">
        <f>IFERROR(IF(VLOOKUP(A28,tbMoveset!A2:J112,10,FALSE)=TRUE,IF((Backdoors!AI12+IF(IM28&gt;=0.45,VLOOKUP(Calculator!E23,tbSkills!DH3:DI6,2,FALSE)+IF(AND(Calculator!B8=TRUE,Backdoors!BI38=TRUE),VLOOKUP(Calculator!E23,tbSkills!DH3:DJ6,3,FALSE),0),0))&gt;=0,1+(Backdoors!AL2*(IF((Backdoors!AI12+IF(IM28&gt;=0.45,VLOOKUP(Calculator!E23,tbSkills!DH3:DI6,2,FALSE)+IF(AND(Calculator!B8=TRUE,Backdoors!BI38=TRUE),VLOOKUP(Calculator!E23,tbSkills!DH3:DJ6,3,FALSE),0),0))&gt;=100,100,(Backdoors!AI12+IF(IM28&gt;=0.45,VLOOKUP(Calculator!E23,tbSkills!DH3:DI6,2,FALSE)+IF(AND(Calculator!B8=TRUE,Backdoors!BI38=TRUE),VLOOKUP(Calculator!E23,tbSkills!DH3:DJ6,3,FALSE),0),0)))/100)),(1-(0.25*((-Backdoors!AI12-IF(IM28&gt;=0.45,VLOOKUP(Calculator!E23,tbSkills!DH3:DI6,2,FALSE)+IF(AND(Calculator!B8=TRUE,Backdoors!BI38=TRUE),VLOOKUP(Calculator!E23,tbSkills!DH3:DJ6,3,FALSE),0),0))/100)))),1),"")</f>
        <v>1</v>
      </c>
      <c r="IP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M28)*IO28)*(VLOOKUP(A28,tbMoveset!A2:C112,3,FALSE)/100)*IF(VLOOKUP(A28,tbMoveset!A2:B112,2,FALSE)="Projectile",Backdoors!N10,Backdoors!N9),0),"")</f>
        <v/>
      </c>
      <c r="IQ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IM28&gt;=0.45,VLOOKUP(Calculator!E23,tbSkills!DH3:DI6,2,FALSE)+IF(AND(Calculator!B8=TRUE,Backdoors!BI38=TRUE),VLOOKUP(Calculator!E23,tbSkills!DH3:DJ6,3,FALSE),0),0))&gt;=100,100,(Backdoors!AI12+IF(IM28&gt;=0.45,VLOOKUP(Calculator!E23,tbSkills!DH3:DI6,2,FALSE)+IF(AND(Calculator!B8=TRUE,Backdoors!BI38=TRUE),VLOOKUP(Calculator!E23,tbSkills!DH3:DJ6,3,FALSE),0),0)))/100)),1))*IF(VLOOKUP(A28,tbMoveset!A2:K112,11,FALSE)=TRUE,Backdoors!AC5,1))*IN28,0),"")</f>
        <v>0</v>
      </c>
      <c r="IR28" s="49">
        <f>VLOOKUP(A28,tbMoveset!A2:G112,7,FALSE)*IFERROR(IF(Backdoors!AI12&gt;=0,1+(IF(Calculator!E40&gt;0,VLOOKUP(Calculator!E40,tbSkills!AI3:AJ5,2,FALSE),Backdoors!AL4)*(IF((Backdoors!AI12+IF(IM28&gt;=0.45,VLOOKUP(Calculator!E23,tbSkills!DH3:DI6,2,FALSE)+IF(AND(Calculator!B8=TRUE,Backdoors!BI38=TRUE),VLOOKUP(Calculator!E23,tbSkills!DH3:DJ6,3,FALSE),0),0))&gt;=100,100,(Backdoors!AI12+IF(IM28&gt;=0.45,VLOOKUP(Calculator!E23,tbSkills!DH3:DI6,2,FALSE)+IF(AND(Calculator!B8=TRUE,Backdoors!BI38=TRUE),VLOOKUP(Calculator!E23,tbSkills!DH3:DJ6,3,FALSE),0),0)))/100)),1),1)</f>
        <v>1</v>
      </c>
      <c r="IS28" s="87">
        <f t="shared" si="42"/>
        <v>0</v>
      </c>
      <c r="IT28" s="86" t="str">
        <f>IFERROR(IF(VLOOKUP(A28,tbMoveset!A2:B112,2,FALSE)="Sever",Backdoors!AY39/100,IF(VLOOKUP(A28,tbMoveset!A2:B112,2,FALSE)="Blunt",Backdoors!AZ39/100,Backdoors!BA39/100)),"")</f>
        <v/>
      </c>
      <c r="IU28" s="49">
        <f>IFERROR(IF(VLOOKUP(tbMoveset!A28,tbMoveset!A2:H112,8,FALSE)="Other",IF(VLOOKUP(tbMoveset!A28,tbMoveset!A2:I112,9,FALSE)="Fire",Backdoors!BB39,IF(VLOOKUP(tbMoveset!A28,tbMoveset!A2:I112,9,FALSE)="Water",Backdoors!BC39,IF(VLOOKUP(tbMoveset!A28,tbMoveset!A2:I112,9,FALSE)="Thunder",Backdoors!BD39,IF(VLOOKUP(tbMoveset!A28,tbMoveset!A2:I112,9,FALSE)="Ice",Backdoors!BE39,IF(VLOOKUP(tbMoveset!A28,tbMoveset!A2:I112,9,FALSE)="Dragon",Backdoors!BF39,Backdoors!BG39)))))/100,Backdoors!BG39/100),"")</f>
        <v>0</v>
      </c>
      <c r="IV28" s="49">
        <f>IFERROR(IF(VLOOKUP(A28,tbMoveset!A2:J112,10,FALSE)=TRUE,IF((Backdoors!AI12+IF(IT28&gt;=0.45,VLOOKUP(Calculator!E23,tbSkills!DH3:DI6,2,FALSE)+IF(AND(Calculator!B8=TRUE,Backdoors!BI39=TRUE),VLOOKUP(Calculator!E23,tbSkills!DH3:DJ6,3,FALSE),0),0))&gt;=0,1+(Backdoors!AL2*(IF((Backdoors!AI12+IF(IT28&gt;=0.45,VLOOKUP(Calculator!E23,tbSkills!DH3:DI6,2,FALSE)+IF(AND(Calculator!B8=TRUE,Backdoors!BI39=TRUE),VLOOKUP(Calculator!E23,tbSkills!DH3:DJ6,3,FALSE),0),0))&gt;=100,100,(Backdoors!AI12+IF(IT28&gt;=0.45,VLOOKUP(Calculator!E23,tbSkills!DH3:DI6,2,FALSE)+IF(AND(Calculator!B8=TRUE,Backdoors!BI39=TRUE),VLOOKUP(Calculator!E23,tbSkills!DH3:DJ6,3,FALSE),0),0)))/100)),(1-(0.25*((-Backdoors!AI12-IF(IT28&gt;=0.45,VLOOKUP(Calculator!E23,tbSkills!DH3:DI6,2,FALSE)+IF(AND(Calculator!B8=TRUE,Backdoors!BI39=TRUE),VLOOKUP(Calculator!E23,tbSkills!DH3:DJ6,3,FALSE),0),0))/100)))),1),"")</f>
        <v>1</v>
      </c>
      <c r="IW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T28)*IV28)*(VLOOKUP(A28,tbMoveset!A2:C112,3,FALSE)/100)*IF(VLOOKUP(A28,tbMoveset!A2:B112,2,FALSE)="Projectile",Backdoors!N10,Backdoors!N9),0),"")</f>
        <v/>
      </c>
      <c r="IX28" s="49">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40&gt;0,VLOOKUP(Calculator!E40,tbSkills!AC3:AD5,2,FALSE),Backdoors!AL3)*(IF((Backdoors!AI12+IF(IT28&gt;=0.45,VLOOKUP(Calculator!E23,tbSkills!DH3:DI6,2,FALSE)+IF(AND(Calculator!B8=TRUE,Backdoors!BI39=TRUE),VLOOKUP(Calculator!E23,tbSkills!DH3:DJ6,3,FALSE),0),0))&gt;=100,100,(Backdoors!AI12+IF(IT28&gt;=0.45,VLOOKUP(Calculator!E23,tbSkills!DH3:DI6,2,FALSE)+IF(AND(Calculator!B8=TRUE,Backdoors!BI39=TRUE),VLOOKUP(Calculator!E23,tbSkills!DH3:DJ6,3,FALSE),0),0)))/100)),1))*IF(VLOOKUP(A28,tbMoveset!A2:K112,11,FALSE)=TRUE,Backdoors!AC5,1))*IU28,0),"")</f>
        <v>0</v>
      </c>
      <c r="IY28" s="49">
        <f>VLOOKUP(A28,tbMoveset!A2:G112,7,FALSE)*IFERROR(IF(Backdoors!AI12&gt;=0,1+(IF(Calculator!E40&gt;0,VLOOKUP(Calculator!E40,tbSkills!AI3:AJ5,2,FALSE),Backdoors!AL4)*(IF((Backdoors!AI12+IF(IT28&gt;=0.45,VLOOKUP(Calculator!E23,tbSkills!DH3:DI6,2,FALSE)+IF(AND(Calculator!B8=TRUE,Backdoors!BI39=TRUE),VLOOKUP(Calculator!E23,tbSkills!DH3:DJ6,3,FALSE),0),0))&gt;=100,100,(Backdoors!AI12+IF(IT28&gt;=0.45,VLOOKUP(Calculator!E23,tbSkills!DH3:DI6,2,FALSE)+IF(AND(Calculator!B8=TRUE,Backdoors!BI39=TRUE),VLOOKUP(Calculator!E23,tbSkills!DH3:DJ6,3,FALSE),0),0)))/100)),1),1)</f>
        <v>1</v>
      </c>
      <c r="IZ28" s="87">
        <f t="shared" si="28"/>
        <v>0</v>
      </c>
      <c r="JA28" s="86" t="str">
        <f>IFERROR(IF(VLOOKUP(A28,tbMoveset!A2:B112,2,FALSE)="Sever",Backdoors!AY40/100,IF(VLOOKUP(A28,tbMoveset!A2:B112,2,FALSE)="Blunt",Backdoors!AZ40/100,Backdoors!BA40/100)),"")</f>
        <v/>
      </c>
      <c r="JB28" s="49">
        <f>IFERROR(IF(VLOOKUP(tbMoveset!A28,tbMoveset!A2:H112,8,FALSE)="Other",IF(VLOOKUP(tbMoveset!A28,tbMoveset!A2:I112,9,FALSE)="Fire",Backdoors!BB40,IF(VLOOKUP(tbMoveset!A28,tbMoveset!A2:I112,9,FALSE)="Water",Backdoors!BC40,IF(VLOOKUP(tbMoveset!A28,tbMoveset!A2:I112,9,FALSE)="Thunder",Backdoors!BD40,IF(VLOOKUP(tbMoveset!A28,tbMoveset!A2:I112,9,FALSE)="Ice",Backdoors!BE40,IF(VLOOKUP(tbMoveset!A28,tbMoveset!A2:I112,9,FALSE)="Dragon",Backdoors!BF40,Backdoors!BG40)))))/100,Backdoors!BG40/100),"")</f>
        <v>0</v>
      </c>
      <c r="JC28" s="49">
        <f>IFERROR(IF(VLOOKUP(A28,tbMoveset!A2:J112,10,FALSE)=TRUE,IF((Backdoors!AI12+IF(JA28&gt;=0.45,VLOOKUP(Calculator!E23,tbSkills!DH3:DI6,2,FALSE)+IF(AND(Calculator!B8=TRUE,Backdoors!BI40=TRUE),VLOOKUP(Calculator!E23,tbSkills!DH3:DJ6,3,FALSE),0),0))&gt;=0,1+(Backdoors!AL2*(IF((Backdoors!AI12+IF(JA28&gt;=0.45,VLOOKUP(Calculator!E23,tbSkills!DH3:DI6,2,FALSE)+IF(AND(Calculator!B8=TRUE,Backdoors!BI40=TRUE),VLOOKUP(Calculator!E23,tbSkills!DH3:DJ6,3,FALSE),0),0))&gt;=100,100,(Backdoors!AI12+IF(JA28&gt;=0.45,VLOOKUP(Calculator!E23,tbSkills!DH3:DI6,2,FALSE)+IF(AND(Calculator!B8=TRUE,Backdoors!BI40=TRUE),VLOOKUP(Calculator!E23,tbSkills!DH3:DJ6,3,FALSE),0),0)))/100)),(1-(0.25*((-Backdoors!AI12-IF(JA28&gt;=0.45,VLOOKUP(Calculator!E23,tbSkills!DH3:DI6,2,FALSE)+IF(AND(Calculator!B8=TRUE,Backdoors!BI40=TRUE),VLOOKUP(Calculator!E23,tbSkills!DH3:DJ6,3,FALSE),0),0))/100)))),1),"")</f>
        <v>1</v>
      </c>
      <c r="JD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A28)*JC28)*(VLOOKUP(A28,tbMoveset!A2:C112,3,FALSE)/100)*IF(VLOOKUP(A28,tbMoveset!A2:B112,2,FALSE)="Projectile",Backdoors!N10,Backdoors!N9),0),"")</f>
        <v/>
      </c>
      <c r="JE28" s="49">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42&gt;0,VLOOKUP(Calculator!E42,tbSkills!AC3:AD5,2,FALSE),Backdoors!AL3)*(IF((Backdoors!AI12+IF(JA28&gt;=0.45,VLOOKUP(Calculator!E23,tbSkills!DH3:DI6,2,FALSE)+IF(AND(Calculator!B8=TRUE,Backdoors!BI40=TRUE),VLOOKUP(Calculator!E23,tbSkills!DH3:DJ6,3,FALSE),0),0))&gt;=100,100,(Backdoors!AI12+IF(JA28&gt;=0.45,VLOOKUP(Calculator!E23,tbSkills!DH3:DI6,2,FALSE)+IF(AND(Calculator!B8=TRUE,Backdoors!BI40=TRUE),VLOOKUP(Calculator!E23,tbSkills!DH3:DJ6,3,FALSE),0),0)))/100)),1))*IF(VLOOKUP(A28,tbMoveset!A2:K112,11,FALSE)=TRUE,Backdoors!AC5,1))*JB28,0),"")</f>
        <v>0</v>
      </c>
      <c r="JF28" s="49">
        <f>VLOOKUP(A28,tbMoveset!A2:G112,7,FALSE)*IFERROR(IF(Backdoors!AI12&gt;=0,1+(IF(Calculator!E40&gt;0,VLOOKUP(Calculator!E40,tbSkills!AI3:AJ5,2,FALSE),Backdoors!AL4)*(IF((Backdoors!AI12+IF(JA28&gt;=0.45,VLOOKUP(Calculator!E23,tbSkills!DH3:DI6,2,FALSE)+IF(AND(Calculator!B8=TRUE,Backdoors!BI40=TRUE),VLOOKUP(Calculator!E23,tbSkills!DH3:DJ6,3,FALSE),0),0))&gt;=100,100,(Backdoors!AI12+IF(JA28&gt;=0.45,VLOOKUP(Calculator!E23,tbSkills!DH3:DI6,2,FALSE)+IF(AND(Calculator!B8=TRUE,Backdoors!BI40=TRUE),VLOOKUP(Calculator!E23,tbSkills!DH3:DJ6,3,FALSE),0),0)))/100)),1),1)</f>
        <v>1</v>
      </c>
      <c r="JG28" s="87">
        <f t="shared" si="29"/>
        <v>0</v>
      </c>
      <c r="JH28" s="86" t="str">
        <f>IFERROR(IF(VLOOKUP(A28,tbMoveset!A2:B112,2,FALSE)="Sever",Backdoors!AY41/100,IF(VLOOKUP(A28,tbMoveset!A2:B112,2,FALSE)="Blunt",Backdoors!AZ41/100,Backdoors!BA41/100)),"")</f>
        <v/>
      </c>
      <c r="JI28" s="49">
        <f>IFERROR(IF(VLOOKUP(tbMoveset!A28,tbMoveset!A2:H112,8,FALSE)="Other",IF(VLOOKUP(tbMoveset!A28,tbMoveset!A2:I112,9,FALSE)="Fire",Backdoors!BB41,IF(VLOOKUP(tbMoveset!A28,tbMoveset!A2:I112,9,FALSE)="Water",Backdoors!BC41,IF(VLOOKUP(tbMoveset!A28,tbMoveset!A2:I112,9,FALSE)="Thunder",Backdoors!BD41,IF(VLOOKUP(tbMoveset!A28,tbMoveset!A2:I112,9,FALSE)="Ice",Backdoors!BE41,IF(VLOOKUP(tbMoveset!A28,tbMoveset!A2:I112,9,FALSE)="Dragon",Backdoors!BF41,Backdoors!BG41)))))/100,Backdoors!BG41/100),"")</f>
        <v>0</v>
      </c>
      <c r="JJ28" s="49">
        <f>IFERROR(IF(VLOOKUP(A28,tbMoveset!A2:J112,10,FALSE)=TRUE,IF((Backdoors!AI12+IF(JH28&gt;=0.45,VLOOKUP(Calculator!E23,tbSkills!DH3:DI6,2,FALSE)+IF(AND(Calculator!B8=TRUE,Backdoors!BI41=TRUE),VLOOKUP(Calculator!E23,tbSkills!DH3:DJ6,3,FALSE),0),0))&gt;=0,1+(Backdoors!AL2*(IF((Backdoors!AI12+IF(JH28&gt;=0.45,VLOOKUP(Calculator!E23,tbSkills!DH3:DI6,2,FALSE)+IF(AND(Calculator!B8=TRUE,Backdoors!BI41=TRUE),VLOOKUP(Calculator!E23,tbSkills!DH3:DJ6,3,FALSE),0),0))&gt;=100,100,(Backdoors!AI12+IF(JH28&gt;=0.45,VLOOKUP(Calculator!E23,tbSkills!DH3:DI6,2,FALSE)+IF(AND(Calculator!B8=TRUE,Backdoors!BI41=TRUE),VLOOKUP(Calculator!E23,tbSkills!DH3:DJ6,3,FALSE),0),0)))/100)),(1-(0.25*((-Backdoors!AI12-IF(JH28&gt;=0.45,VLOOKUP(Calculator!E23,tbSkills!DH3:DI6,2,FALSE)+IF(AND(Calculator!B8=TRUE,Backdoors!BI41=TRUE),VLOOKUP(Calculator!E23,tbSkills!DH3:DJ6,3,FALSE),0),0))/100)))),1),"")</f>
        <v>1</v>
      </c>
      <c r="JK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H28)*JJ28)*(VLOOKUP(A28,tbMoveset!A2:C112,3,FALSE)/100)*IF(VLOOKUP(A28,tbMoveset!A2:B112,2,FALSE)="Projectile",Backdoors!N10,Backdoors!N9),0),"")</f>
        <v/>
      </c>
      <c r="JL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43&gt;0,VLOOKUP(Calculator!E43,tbSkills!AC3:AD5,2,FALSE),Backdoors!AL3)*(IF((Backdoors!AI12+IF(JH28&gt;=0.45,VLOOKUP(Calculator!E23,tbSkills!DH3:DI6,2,FALSE)+IF(AND(Calculator!B8=TRUE,Backdoors!BI41=TRUE),VLOOKUP(Calculator!E23,tbSkills!DH3:DJ6,3,FALSE),0),0))&gt;=100,100,(Backdoors!AI12+IF(JH28&gt;=0.45,VLOOKUP(Calculator!E23,tbSkills!DH3:DI6,2,FALSE)+IF(AND(Calculator!B8=TRUE,Backdoors!BI41=TRUE),VLOOKUP(Calculator!E23,tbSkills!DH3:DJ6,3,FALSE),0),0)))/100)),1))*IF(VLOOKUP(A28,tbMoveset!A2:K112,11,FALSE)=TRUE,Backdoors!AC5,1))*JI28,0),"")</f>
        <v/>
      </c>
      <c r="JM28" s="49">
        <f>VLOOKUP(A28,tbMoveset!A2:G112,7,FALSE)*IFERROR(IF(Backdoors!AI12&gt;=0,1+(IF(Calculator!E40&gt;0,VLOOKUP(Calculator!E40,tbSkills!AI3:AJ5,2,FALSE),Backdoors!AL4)*(IF((Backdoors!AI12+IF(JH28&gt;=0.45,VLOOKUP(Calculator!E23,tbSkills!DH3:DI6,2,FALSE)+IF(AND(Calculator!B8=TRUE,Backdoors!BI41=TRUE),VLOOKUP(Calculator!E23,tbSkills!DH3:DJ6,3,FALSE),0),0))&gt;=100,100,(Backdoors!AI12+IF(JH28&gt;=0.45,VLOOKUP(Calculator!E23,tbSkills!DH3:DI6,2,FALSE)+IF(AND(Calculator!B8=TRUE,Backdoors!BI41=TRUE),VLOOKUP(Calculator!E23,tbSkills!DH3:DJ6,3,FALSE),0),0)))/100)),1),1)</f>
        <v>1</v>
      </c>
      <c r="JN28" s="87">
        <f t="shared" si="30"/>
        <v>0</v>
      </c>
      <c r="JO28" s="86" t="str">
        <f>IFERROR(IF(VLOOKUP(A28,tbMoveset!A2:B112,2,FALSE)="Sever",Backdoors!AY42/100,IF(VLOOKUP(A28,tbMoveset!A2:B112,2,FALSE)="Blunt",Backdoors!AZ42/100,Backdoors!BA42/100)),"")</f>
        <v/>
      </c>
      <c r="JP28" s="49">
        <f>IFERROR(IF(VLOOKUP(tbMoveset!A28,tbMoveset!A2:H112,8,FALSE)="Other",IF(VLOOKUP(tbMoveset!A28,tbMoveset!A2:I112,9,FALSE)="Fire",Backdoors!BB42,IF(VLOOKUP(tbMoveset!A28,tbMoveset!A2:I112,9,FALSE)="Water",Backdoors!BC42,IF(VLOOKUP(tbMoveset!A28,tbMoveset!A2:I112,9,FALSE)="Thunder",Backdoors!BD42,IF(VLOOKUP(tbMoveset!A28,tbMoveset!A2:I112,9,FALSE)="Ice",Backdoors!BE42,IF(VLOOKUP(tbMoveset!A28,tbMoveset!A2:I112,9,FALSE)="Dragon",Backdoors!BF42,Backdoors!BG42)))))/100,Backdoors!BG42/100),"")</f>
        <v>0</v>
      </c>
      <c r="JQ28" s="49">
        <f>IFERROR(IF(VLOOKUP(A28,tbMoveset!A2:J112,10,FALSE)=TRUE,IF((Backdoors!AI12+IF(JO28&gt;=0.45,VLOOKUP(Calculator!E23,tbSkills!DH3:DI6,2,FALSE)+IF(AND(Calculator!B8=TRUE,Backdoors!BI42=TRUE),VLOOKUP(Calculator!E23,tbSkills!DH3:DJ6,3,FALSE),0),0))&gt;=0,1+(Backdoors!AL2*(IF((Backdoors!AI12+IF(JO28&gt;=0.45,VLOOKUP(Calculator!E23,tbSkills!DH3:DI6,2,FALSE)+IF(AND(Calculator!B8=TRUE,Backdoors!BI42=TRUE),VLOOKUP(Calculator!E23,tbSkills!DH3:DJ6,3,FALSE),0),0))&gt;=100,100,(Backdoors!AI12+IF(JO28&gt;=0.45,VLOOKUP(Calculator!E23,tbSkills!DH3:DI6,2,FALSE)+IF(AND(Calculator!B8=TRUE,Backdoors!BI42=TRUE),VLOOKUP(Calculator!E23,tbSkills!DH3:DJ6,3,FALSE),0),0)))/100)),(1-(0.25*((-Backdoors!AI12-IF(JO28&gt;=0.45,VLOOKUP(Calculator!E23,tbSkills!DH3:DI6,2,FALSE)+IF(AND(Calculator!B8=TRUE,Backdoors!BI42=TRUE),VLOOKUP(Calculator!E23,tbSkills!DH3:DJ6,3,FALSE),0),0))/100)))),1),"")</f>
        <v>1</v>
      </c>
      <c r="JR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O28)*JQ28)*(VLOOKUP(A28,tbMoveset!A2:C112,3,FALSE)/100)*IF(VLOOKUP(A28,tbMoveset!A2:B112,2,FALSE)="Projectile",Backdoors!N10,Backdoors!N9),0),"")</f>
        <v/>
      </c>
      <c r="JS28" s="49">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45&gt;0,VLOOKUP(Calculator!E45,tbSkills!AC3:AD5,2,FALSE),Backdoors!AL3)*(IF((Backdoors!AI12+IF(JO28&gt;=0.45,VLOOKUP(Calculator!E23,tbSkills!DH3:DI6,2,FALSE)+IF(AND(Calculator!B8=TRUE,Backdoors!BI42=TRUE),VLOOKUP(Calculator!E23,tbSkills!DH3:DJ6,3,FALSE),0),0))&gt;=100,100,(Backdoors!AI12+IF(JO28&gt;=0.45,VLOOKUP(Calculator!E23,tbSkills!DH3:DI6,2,FALSE)+IF(AND(Calculator!B8=TRUE,Backdoors!BI42=TRUE),VLOOKUP(Calculator!E23,tbSkills!DH3:DJ6,3,FALSE),0),0)))/100)),1))*IF(VLOOKUP(A28,tbMoveset!A2:K112,11,FALSE)=TRUE,Backdoors!AC5,1))*JP28,0),"")</f>
        <v>0</v>
      </c>
      <c r="JT28" s="49">
        <f>VLOOKUP(A28,tbMoveset!A2:G112,7,FALSE)*IFERROR(IF(Backdoors!AI12&gt;=0,1+(IF(Calculator!E40&gt;0,VLOOKUP(Calculator!E40,tbSkills!AI3:AJ5,2,FALSE),Backdoors!AL4)*(IF((Backdoors!AI12+IF(JO28&gt;=0.45,VLOOKUP(Calculator!E23,tbSkills!DH3:DI6,2,FALSE)+IF(AND(Calculator!B8=TRUE,Backdoors!BI42=TRUE),VLOOKUP(Calculator!E23,tbSkills!DH3:DJ6,3,FALSE),0),0))&gt;=100,100,(Backdoors!AI12+IF(JO28&gt;=0.45,VLOOKUP(Calculator!E23,tbSkills!DH3:DI6,2,FALSE)+IF(AND(Calculator!B8=TRUE,Backdoors!BI42=TRUE),VLOOKUP(Calculator!E23,tbSkills!DH3:DJ6,3,FALSE),0),0)))/100)),1),1)</f>
        <v>1</v>
      </c>
      <c r="JU28" s="87">
        <f t="shared" si="31"/>
        <v>0</v>
      </c>
      <c r="JV28" s="86" t="str">
        <f>IFERROR(IF(VLOOKUP(A28,tbMoveset!A2:B112,2,FALSE)="Sever",Backdoors!AY43/100,IF(VLOOKUP(A28,tbMoveset!A2:B112,2,FALSE)="Blunt",Backdoors!AZ43/100,Backdoors!BA43/100)),"")</f>
        <v/>
      </c>
      <c r="JW28" s="49">
        <f>IFERROR(IF(VLOOKUP(tbMoveset!A28,tbMoveset!A2:H112,8,FALSE)="Other",IF(VLOOKUP(tbMoveset!A28,tbMoveset!A2:I112,9,FALSE)="Fire",Backdoors!BB43,IF(VLOOKUP(tbMoveset!A28,tbMoveset!A2:I112,9,FALSE)="Water",Backdoors!BC43,IF(VLOOKUP(tbMoveset!A28,tbMoveset!A2:I112,9,FALSE)="Thunder",Backdoors!BD43,IF(VLOOKUP(tbMoveset!A28,tbMoveset!A2:I112,9,FALSE)="Ice",Backdoors!BE43,IF(VLOOKUP(tbMoveset!A28,tbMoveset!A2:I112,9,FALSE)="Dragon",Backdoors!BF43,Backdoors!BG43)))))/100,Backdoors!BG43/100),"")</f>
        <v>0</v>
      </c>
      <c r="JX28" s="49">
        <f>IFERROR(IF(VLOOKUP(A28,tbMoveset!A2:J112,10,FALSE)=TRUE,IF((Backdoors!AI12+IF(JV28&gt;=0.45,VLOOKUP(Calculator!E23,tbSkills!DH3:DI6,2,FALSE)+IF(AND(Calculator!B8=TRUE,Backdoors!BI43=TRUE),VLOOKUP(Calculator!E23,tbSkills!DH3:DJ6,3,FALSE),0),0))&gt;=0,1+(Backdoors!AL2*(IF((Backdoors!AI12+IF(JV28&gt;=0.45,VLOOKUP(Calculator!E23,tbSkills!DH3:DI6,2,FALSE)+IF(AND(Calculator!B8=TRUE,Backdoors!BI43=TRUE),VLOOKUP(Calculator!E23,tbSkills!DH3:DJ6,3,FALSE),0),0))&gt;=100,100,(Backdoors!AI12+IF(JV28&gt;=0.45,VLOOKUP(Calculator!E23,tbSkills!DH3:DI6,2,FALSE)+IF(AND(Calculator!B8=TRUE,Backdoors!BI43=TRUE),VLOOKUP(Calculator!E23,tbSkills!DH3:DJ6,3,FALSE),0),0)))/100)),(1-(0.25*((-Backdoors!AI12-IF(JV28&gt;=0.45,VLOOKUP(Calculator!E23,tbSkills!DH3:DI6,2,FALSE)+IF(AND(Calculator!B8=TRUE,Backdoors!BI43=TRUE),VLOOKUP(Calculator!E23,tbSkills!DH3:DJ6,3,FALSE),0),0))/100)))),1),"")</f>
        <v>1</v>
      </c>
      <c r="JY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V28)*JX28)*(VLOOKUP(A28,tbMoveset!A2:C112,3,FALSE)/100)*IF(VLOOKUP(A28,tbMoveset!A2:B112,2,FALSE)="Projectile",Backdoors!N10,Backdoors!N9),0),"")</f>
        <v/>
      </c>
      <c r="JZ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46&gt;0,VLOOKUP(Calculator!E46,tbSkills!AC3:AD5,2,FALSE),Backdoors!AL3)*(IF((Backdoors!AI12+IF(JV28&gt;=0.45,VLOOKUP(Calculator!E23,tbSkills!DH3:DI6,2,FALSE)+IF(AND(Calculator!B8=TRUE,Backdoors!BI43=TRUE),VLOOKUP(Calculator!E23,tbSkills!DH3:DJ6,3,FALSE),0),0))&gt;=100,100,(Backdoors!AI12+IF(JV28&gt;=0.45,VLOOKUP(Calculator!E23,tbSkills!DH3:DI6,2,FALSE)+IF(AND(Calculator!B8=TRUE,Backdoors!BI43=TRUE),VLOOKUP(Calculator!E23,tbSkills!DH3:DJ6,3,FALSE),0),0)))/100)),1))*IF(VLOOKUP(A28,tbMoveset!A2:K112,11,FALSE)=TRUE,Backdoors!AC5,1))*JW28,0),"")</f>
        <v/>
      </c>
      <c r="KA28" s="49">
        <f>VLOOKUP(A28,tbMoveset!A2:G112,7,FALSE)*IFERROR(IF(Backdoors!AI12&gt;=0,1+(IF(Calculator!E40&gt;0,VLOOKUP(Calculator!E40,tbSkills!AI3:AJ5,2,FALSE),Backdoors!AL4)*(IF((Backdoors!AI12+IF(JV28&gt;=0.45,VLOOKUP(Calculator!E23,tbSkills!DH3:DI6,2,FALSE)+IF(AND(Calculator!B8=TRUE,Backdoors!BI43=TRUE),VLOOKUP(Calculator!E23,tbSkills!DH3:DJ6,3,FALSE),0),0))&gt;=100,100,(Backdoors!AI12+IF(JV28&gt;=0.45,VLOOKUP(Calculator!E23,tbSkills!DH3:DI6,2,FALSE)+IF(AND(Calculator!B8=TRUE,Backdoors!BI43=TRUE),VLOOKUP(Calculator!E23,tbSkills!DH3:DJ6,3,FALSE),0),0)))/100)),1),1)</f>
        <v>1</v>
      </c>
      <c r="KB28" s="87">
        <f t="shared" si="32"/>
        <v>0</v>
      </c>
      <c r="KC28" s="86" t="str">
        <f>IFERROR(IF(VLOOKUP(A28,tbMoveset!A2:B112,2,FALSE)="Sever",Backdoors!AY44/100,IF(VLOOKUP(A28,tbMoveset!A2:B112,2,FALSE)="Blunt",Backdoors!AZ44/100,Backdoors!BA44/100)),"")</f>
        <v/>
      </c>
      <c r="KD28" s="49">
        <f>IFERROR(IF(VLOOKUP(tbMoveset!A28,tbMoveset!A2:H112,8,FALSE)="Other",IF(VLOOKUP(tbMoveset!A28,tbMoveset!A2:I112,9,FALSE)="Fire",Backdoors!BB44,IF(VLOOKUP(tbMoveset!A28,tbMoveset!A2:I112,9,FALSE)="Water",Backdoors!BC44,IF(VLOOKUP(tbMoveset!A28,tbMoveset!A2:I112,9,FALSE)="Thunder",Backdoors!BD44,IF(VLOOKUP(tbMoveset!A28,tbMoveset!A2:I112,9,FALSE)="Ice",Backdoors!BE44,IF(VLOOKUP(tbMoveset!A28,tbMoveset!A2:I112,9,FALSE)="Dragon",Backdoors!BF44,Backdoors!BG44)))))/100,Backdoors!BG44/100),"")</f>
        <v>0</v>
      </c>
      <c r="KE28" s="49">
        <f>IFERROR(IF(VLOOKUP(A28,tbMoveset!A2:J112,10,FALSE)=TRUE,IF((Backdoors!AI12+IF(KC28&gt;=0.45,VLOOKUP(Calculator!E23,tbSkills!DH3:DI6,2,FALSE)+IF(AND(Calculator!B8=TRUE,Backdoors!BI44=TRUE),VLOOKUP(Calculator!E23,tbSkills!DH3:DJ6,3,FALSE),0),0))&gt;=0,1+(Backdoors!AL2*(IF((Backdoors!AI12+IF(KC28&gt;=0.45,VLOOKUP(Calculator!E23,tbSkills!DH3:DI6,2,FALSE)+IF(AND(Calculator!B8=TRUE,Backdoors!BI44=TRUE),VLOOKUP(Calculator!E23,tbSkills!DH3:DJ6,3,FALSE),0),0))&gt;=100,100,(Backdoors!AI12+IF(KC28&gt;=0.45,VLOOKUP(Calculator!E23,tbSkills!DH3:DI6,2,FALSE)+IF(AND(Calculator!B8=TRUE,Backdoors!BI44=TRUE),VLOOKUP(Calculator!E23,tbSkills!DH3:DJ6,3,FALSE),0),0)))/100)),(1-(0.25*((-Backdoors!AI12-IF(KC28&gt;=0.45,VLOOKUP(Calculator!E23,tbSkills!DH3:DI6,2,FALSE)+IF(AND(Calculator!B8=TRUE,Backdoors!BI44=TRUE),VLOOKUP(Calculator!E23,tbSkills!DH3:DJ6,3,FALSE),0),0))/100)))),1),"")</f>
        <v>1</v>
      </c>
      <c r="KF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KC28)*KE28)*(VLOOKUP(A28,tbMoveset!A2:C112,3,FALSE)/100)*IF(VLOOKUP(A28,tbMoveset!A2:B112,2,FALSE)="Projectile",Backdoors!N10,Backdoors!N9),0),"")</f>
        <v/>
      </c>
      <c r="KG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REF!&gt;0,VLOOKUP(Calculator!#REF!,tbSkills!AC3:AD5,2,FALSE),Backdoors!AL3)*(IF((Backdoors!AI12+IF(KC28&gt;=0.45,VLOOKUP(Calculator!E23,tbSkills!DH3:DI6,2,FALSE)+IF(AND(Calculator!B8=TRUE,Backdoors!BI44=TRUE),VLOOKUP(Calculator!E23,tbSkills!DH3:DJ6,3,FALSE),0),0))&gt;=100,100,(Backdoors!AI12+IF(KC28&gt;=0.45,VLOOKUP(Calculator!E23,tbSkills!DH3:DI6,2,FALSE)+IF(AND(Calculator!B8=TRUE,Backdoors!BI44=TRUE),VLOOKUP(Calculator!E23,tbSkills!DH3:DJ6,3,FALSE),0),0)))/100)),1))*IF(VLOOKUP(A28,tbMoveset!A2:K112,11,FALSE)=TRUE,Backdoors!AC5,1))*KD28,0),"")</f>
        <v/>
      </c>
      <c r="KH28" s="49">
        <f>VLOOKUP(A28,tbMoveset!A2:G112,7,FALSE)*IFERROR(IF(Backdoors!AI12&gt;=0,1+(IF(Calculator!E40&gt;0,VLOOKUP(Calculator!E40,tbSkills!AI3:AJ5,2,FALSE),Backdoors!AL4)*(IF((Backdoors!AI12+IF(KC28&gt;=0.45,VLOOKUP(Calculator!E23,tbSkills!DH3:DI6,2,FALSE)+IF(AND(Calculator!B8=TRUE,Backdoors!BI44=TRUE),VLOOKUP(Calculator!E23,tbSkills!DH3:DJ6,3,FALSE),0),0))&gt;=100,100,(Backdoors!AI12+IF(KC28&gt;=0.45,VLOOKUP(Calculator!E23,tbSkills!DH3:DI6,2,FALSE)+IF(AND(Calculator!B8=TRUE,Backdoors!BI44=TRUE),VLOOKUP(Calculator!E23,tbSkills!DH3:DJ6,3,FALSE),0),0)))/100)),1),1)</f>
        <v>1</v>
      </c>
      <c r="KI28" s="87">
        <f t="shared" si="33"/>
        <v>0</v>
      </c>
      <c r="KJ28" s="86" t="str">
        <f>IFERROR(IF(VLOOKUP(A28,tbMoveset!A2:B112,2,FALSE)="Sever",Backdoors!AY45/100,IF(VLOOKUP(A28,tbMoveset!A2:B112,2,FALSE)="Blunt",Backdoors!AZ45/100,Backdoors!BA45/100)),"")</f>
        <v/>
      </c>
      <c r="KK28" s="49">
        <f>IFERROR(IF(VLOOKUP(tbMoveset!A28,tbMoveset!A2:H112,8,FALSE)="Other",IF(VLOOKUP(tbMoveset!A28,tbMoveset!A2:I112,9,FALSE)="Fire",Backdoors!BB45,IF(VLOOKUP(tbMoveset!A28,tbMoveset!A2:I112,9,FALSE)="Water",Backdoors!BC45,IF(VLOOKUP(tbMoveset!A28,tbMoveset!A2:I112,9,FALSE)="Thunder",Backdoors!BD45,IF(VLOOKUP(tbMoveset!A28,tbMoveset!A2:I112,9,FALSE)="Ice",Backdoors!BE45,IF(VLOOKUP(tbMoveset!A28,tbMoveset!A2:I112,9,FALSE)="Dragon",Backdoors!BF45,Backdoors!BG45)))))/100,Backdoors!BG45/100),"")</f>
        <v>0</v>
      </c>
      <c r="KL28" s="49">
        <f>IFERROR(IF(VLOOKUP(A28,tbMoveset!A2:J112,10,FALSE)=TRUE,IF((Backdoors!AI12+IF(KJ28&gt;=0.45,VLOOKUP(Calculator!E23,tbSkills!DH3:DI6,2,FALSE)+IF(AND(Calculator!B8=TRUE,Backdoors!BI45=TRUE),VLOOKUP(Calculator!E23,tbSkills!DH3:DJ6,3,FALSE),0),0))&gt;=0,1+(Backdoors!AL2*(IF((Backdoors!AI12+IF(KJ28&gt;=0.45,VLOOKUP(Calculator!E23,tbSkills!DH3:DI6,2,FALSE)+IF(AND(Calculator!B8=TRUE,Backdoors!BI45=TRUE),VLOOKUP(Calculator!E23,tbSkills!DH3:DJ6,3,FALSE),0),0))&gt;=100,100,(Backdoors!AI12+IF(KJ28&gt;=0.45,VLOOKUP(Calculator!E23,tbSkills!DH3:DI6,2,FALSE)+IF(AND(Calculator!B8=TRUE,Backdoors!BI45=TRUE),VLOOKUP(Calculator!E23,tbSkills!DH3:DJ6,3,FALSE),0),0)))/100)),(1-(0.25*((-Backdoors!AI12-IF(KJ28&gt;=0.45,VLOOKUP(Calculator!E23,tbSkills!DH3:DI6,2,FALSE)+IF(AND(Calculator!B8=TRUE,Backdoors!BI45=TRUE),VLOOKUP(Calculator!E23,tbSkills!DH3:DJ6,3,FALSE),0),0))/100)))),1),"")</f>
        <v>1</v>
      </c>
      <c r="KM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KJ28)*KL28)*(VLOOKUP(A28,tbMoveset!A2:C112,3,FALSE)/100)*IF(VLOOKUP(A28,tbMoveset!A2:B112,2,FALSE)="Projectile",Backdoors!N10,Backdoors!N9),0),"")</f>
        <v/>
      </c>
      <c r="KN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REF!&gt;0,VLOOKUP(Calculator!#REF!,tbSkills!AC3:AD5,2,FALSE),Backdoors!AL3)*(IF((Backdoors!AI12+IF(KJ28&gt;=0.45,VLOOKUP(Calculator!E23,tbSkills!DH3:DI6,2,FALSE)+IF(AND(Calculator!B8=TRUE,Backdoors!BI45=TRUE),VLOOKUP(Calculator!E23,tbSkills!DH3:DJ6,3,FALSE),0),0))&gt;=100,100,(Backdoors!AI12+IF(KJ28&gt;=0.45,VLOOKUP(Calculator!E23,tbSkills!DH3:DI6,2,FALSE)+IF(AND(Calculator!B8=TRUE,Backdoors!BI45=TRUE),VLOOKUP(Calculator!E23,tbSkills!DH3:DJ6,3,FALSE),0),0)))/100)),1))*IF(VLOOKUP(A28,tbMoveset!A2:K112,11,FALSE)=TRUE,Backdoors!AC5,1))*KK28,0),"")</f>
        <v/>
      </c>
      <c r="KO28" s="49">
        <f>VLOOKUP(A28,tbMoveset!A2:G112,7,FALSE)*IFERROR(IF(Backdoors!AI12&gt;=0,1+(IF(Calculator!E40&gt;0,VLOOKUP(Calculator!E40,tbSkills!AI3:AJ5,2,FALSE),Backdoors!AL4)*(IF((Backdoors!AI12+IF(KJ28&gt;=0.45,VLOOKUP(Calculator!E23,tbSkills!DH3:DI6,2,FALSE)+IF(AND(Calculator!B8=TRUE,Backdoors!BI45=TRUE),VLOOKUP(Calculator!E23,tbSkills!DH3:DJ6,3,FALSE),0),0))&gt;=100,100,(Backdoors!AI12+IF(KJ28&gt;=0.45,VLOOKUP(Calculator!E23,tbSkills!DH3:DI6,2,FALSE)+IF(AND(Calculator!B8=TRUE,Backdoors!BI45=TRUE),VLOOKUP(Calculator!E23,tbSkills!DH3:DJ6,3,FALSE),0),0)))/100)),1),1)</f>
        <v>1</v>
      </c>
      <c r="KP28" s="87">
        <f t="shared" si="34"/>
        <v>0</v>
      </c>
      <c r="KQ28" s="86" t="str">
        <f>IFERROR(IF(VLOOKUP(A28,tbMoveset!A2:B112,2,FALSE)="Sever",Backdoors!AY46/100,IF(VLOOKUP(A28,tbMoveset!A2:B112,2,FALSE)="Blunt",Backdoors!AZ46/100,Backdoors!BA46/100)),"")</f>
        <v/>
      </c>
      <c r="KR28" s="49">
        <f>IFERROR(IF(VLOOKUP(tbMoveset!A28,tbMoveset!A2:H112,8,FALSE)="Other",IF(VLOOKUP(tbMoveset!A28,tbMoveset!A2:I112,9,FALSE)="Fire",Backdoors!BB46,IF(VLOOKUP(tbMoveset!A28,tbMoveset!A2:I112,9,FALSE)="Water",Backdoors!BC46,IF(VLOOKUP(tbMoveset!A28,tbMoveset!A2:I112,9,FALSE)="Thunder",Backdoors!BD46,IF(VLOOKUP(tbMoveset!A28,tbMoveset!A2:I112,9,FALSE)="Ice",Backdoors!BE46,IF(VLOOKUP(tbMoveset!A28,tbMoveset!A2:I112,9,FALSE)="Dragon",Backdoors!BF46,Backdoors!BG46)))))/100,Backdoors!BG46/100),"")</f>
        <v>0</v>
      </c>
      <c r="KS28" s="49">
        <f>IFERROR(IF(VLOOKUP(A28,tbMoveset!A2:J112,10,FALSE)=TRUE,IF((Backdoors!AI12+IF(KQ28&gt;=0.45,VLOOKUP(Calculator!E23,tbSkills!DH3:DI6,2,FALSE)+IF(AND(Calculator!B8=TRUE,Backdoors!BI46=TRUE),VLOOKUP(Calculator!E23,tbSkills!DH3:DJ6,3,FALSE),0),0))&gt;=0,1+(Backdoors!AL2*(IF((Backdoors!AI12+IF(KQ28&gt;=0.45,VLOOKUP(Calculator!E23,tbSkills!DH3:DI6,2,FALSE)+IF(AND(Calculator!B8=TRUE,Backdoors!BI46=TRUE),VLOOKUP(Calculator!E23,tbSkills!DH3:DJ6,3,FALSE),0),0))&gt;=100,100,(Backdoors!AI12+IF(KQ28&gt;=0.45,VLOOKUP(Calculator!E23,tbSkills!DH3:DI6,2,FALSE)+IF(AND(Calculator!B8=TRUE,Backdoors!BI46=TRUE),VLOOKUP(Calculator!E23,tbSkills!DH3:DJ6,3,FALSE),0),0)))/100)),(1-(0.25*((-Backdoors!AI12-IF(KQ28&gt;=0.45,VLOOKUP(Calculator!E23,tbSkills!DH3:DI6,2,FALSE)+IF(AND(Calculator!B8=TRUE,Backdoors!BI46=TRUE),VLOOKUP(Calculator!E23,tbSkills!DH3:DJ6,3,FALSE),0),0))/100)))),1),"")</f>
        <v>1</v>
      </c>
      <c r="KT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KQ28)*KS28)*(VLOOKUP(A28,tbMoveset!A2:C112,3,FALSE)/100)*IF(VLOOKUP(A28,tbMoveset!A2:B112,2,FALSE)="Projectile",Backdoors!N10,Backdoors!N9),0),"")</f>
        <v/>
      </c>
      <c r="KU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REF!&gt;0,VLOOKUP(Calculator!#REF!,tbSkills!AC3:AD5,2,FALSE),Backdoors!AL3)*(IF((Backdoors!AI12+IF(KQ28&gt;=0.45,VLOOKUP(Calculator!E23,tbSkills!DH3:DI6,2,FALSE)+IF(AND(Calculator!B8=TRUE,Backdoors!BI46=TRUE),VLOOKUP(Calculator!E23,tbSkills!DH3:DJ6,3,FALSE),0),0))&gt;=100,100,(Backdoors!AI12+IF(KQ28&gt;=0.45,VLOOKUP(Calculator!E23,tbSkills!DH3:DI6,2,FALSE)+IF(AND(Calculator!B8=TRUE,Backdoors!BI46=TRUE),VLOOKUP(Calculator!E23,tbSkills!DH3:DJ6,3,FALSE),0),0)))/100)),1))*IF(VLOOKUP(A28,tbMoveset!A2:K112,11,FALSE)=TRUE,Backdoors!AC5,1))*KR28,0),"")</f>
        <v/>
      </c>
      <c r="KV28" s="49">
        <f>VLOOKUP(A28,tbMoveset!A2:G112,7,FALSE)*IFERROR(IF(Backdoors!AI12&gt;=0,1+(IF(Calculator!E40&gt;0,VLOOKUP(Calculator!E40,tbSkills!AI3:AJ5,2,FALSE),Backdoors!AL4)*(IF((Backdoors!AI12+IF(KQ28&gt;=0.45,VLOOKUP(Calculator!E23,tbSkills!DH3:DI6,2,FALSE)+IF(AND(Calculator!B8=TRUE,Backdoors!BI46=TRUE),VLOOKUP(Calculator!E23,tbSkills!DH3:DJ6,3,FALSE),0),0))&gt;=100,100,(Backdoors!AI12+IF(KQ28&gt;=0.45,VLOOKUP(Calculator!E23,tbSkills!DH3:DI6,2,FALSE)+IF(AND(Calculator!B8=TRUE,Backdoors!BI46=TRUE),VLOOKUP(Calculator!E23,tbSkills!DH3:DJ6,3,FALSE),0),0)))/100)),1),1)</f>
        <v>1</v>
      </c>
      <c r="KW28" s="87">
        <f t="shared" si="35"/>
        <v>0</v>
      </c>
    </row>
    <row r="29" spans="1:309" x14ac:dyDescent="0.25">
      <c r="A29" s="95" t="str">
        <f>tbMoveset!A29</f>
        <v>Demon Flurry (L1)</v>
      </c>
      <c r="B29" s="86">
        <f>IFERROR(IF(VLOOKUP(A29,tbMoveset!A2:B112,2,FALSE)="Sever",Backdoors!AY3/100,IF(VLOOKUP(A29,tbMoveset!A2:B112,2,FALSE)="Blunt",Backdoors!AZ3/100,Backdoors!BA3/100)),"")</f>
        <v>0.8</v>
      </c>
      <c r="C29" s="49">
        <f>IFERROR(IF(VLOOKUP(tbMoveset!A29,tbMoveset!A2:H112,8,FALSE)="Other",IF(VLOOKUP(tbMoveset!A29,tbMoveset!A2:I112,9,FALSE)="Fire",Backdoors!BB3,IF(VLOOKUP(tbMoveset!A29,tbMoveset!A2:I112,9,FALSE)="Water",Backdoors!BC3,IF(VLOOKUP(tbMoveset!A29,tbMoveset!A2:I112,9,FALSE)="Thunder",Backdoors!BD3,IF(VLOOKUP(tbMoveset!A29,tbMoveset!A2:I112,9,FALSE)="Ice",Backdoors!BE3,IF(VLOOKUP(tbMoveset!A29,tbMoveset!A2:I112,9,FALSE)="Dragon",Backdoors!BF3,Backdoors!BG3)))))/100,Backdoors!BG3/100),"")</f>
        <v>0</v>
      </c>
      <c r="D29" s="49">
        <f>IFERROR(IF(VLOOKUP(A29,tbMoveset!A2:J112,10,FALSE)=TRUE,IF((Backdoors!AI12+IF(B29&gt;=0.45,VLOOKUP(Calculator!E23,tbSkills!DH3:DI6,2,FALSE)+IF(AND(Calculator!B8=TRUE,Backdoors!BI3=TRUE),VLOOKUP(Calculator!E23,tbSkills!DH3:DJ6,3,FALSE),0),0))&gt;=0,1+(Backdoors!AL2*(IF((Backdoors!AI12+IF(B29&gt;=0.45,VLOOKUP(Calculator!E23,tbSkills!DH3:DI6,2,FALSE)+IF(AND(Calculator!B8=TRUE,Backdoors!BI3=TRUE),VLOOKUP(Calculator!E23,tbSkills!DH3:DJ6,3,FALSE),0),0))&gt;=100,100,(Backdoors!AI12+IF(B29&gt;=0.45,VLOOKUP(Calculator!E23,tbSkills!DH3:DI6,2,FALSE)+IF(AND(Calculator!B8=TRUE,Backdoors!BI3=TRUE),VLOOKUP(Calculator!E23,tbSkills!DH3:DJ6,3,FALSE),0),0)))/100)),(1-(0.25*((-Backdoors!AI12-IF(B29&gt;=0.45,VLOOKUP(Calculator!E23,tbSkills!DH3:DI6,2,FALSE)+IF(AND(Calculator!B8=TRUE,Backdoors!BI3=TRUE),VLOOKUP(Calculator!E23,tbSkills!DH3:DJ6,3,FALSE),0),0))/100)))),1),"")</f>
        <v>1</v>
      </c>
      <c r="E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29)*D29)*(VLOOKUP(A29,tbMoveset!A2:C112,3,FALSE)/100)*IF(VLOOKUP(A29,tbMoveset!A2:B112,2,FALSE)="Projectile",Backdoors!N10,Backdoors!N9),0),"")</f>
        <v>6</v>
      </c>
      <c r="F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29&gt;=0.45,VLOOKUP(Calculator!E23,tbSkills!DH3:DI6,2,FALSE)+IF(AND(Calculator!B8=TRUE,Backdoors!BI3=TRUE),VLOOKUP(Calculator!E23,tbSkills!DH3:DJ6,3,FALSE),0),0))&gt;=100,100,(Backdoors!AI12+IF(B29&gt;=0.45,VLOOKUP(Calculator!E23,tbSkills!DH3:DI6,2,FALSE)+IF(AND(Calculator!B8=TRUE,Backdoors!BI3=TRUE),VLOOKUP(Calculator!E23,tbSkills!DH3:DJ6,3,FALSE),0),0)))/100)),1))*IF(VLOOKUP(A29,tbMoveset!A2:K112,11,FALSE)=TRUE,Backdoors!AC5,1))*C29,0),"")</f>
        <v>0</v>
      </c>
      <c r="G29">
        <f>VLOOKUP(A29,tbMoveset!A2:G112,7,FALSE)*IFERROR(IF(Backdoors!AI12&gt;=0,1+(IF(Calculator!E40&gt;0,VLOOKUP(Calculator!E40,tbSkills!AI3:AJ5,2,FALSE),Backdoors!AL4)*(IF((Backdoors!AI12+IF(B29&gt;=0.45,VLOOKUP(Calculator!E23,tbSkills!DH3:DI6,2,FALSE)+IF(AND(Calculator!B8=TRUE,Backdoors!BI3=TRUE),VLOOKUP(Calculator!E23,tbSkills!DH3:DJ6,3,FALSE),0),0))&gt;=100,100,(Backdoors!AI12+IF(B29&gt;=0.45,VLOOKUP(Calculator!E23,tbSkills!DH3:DI6,2,FALSE)+IF(AND(Calculator!B8=TRUE,Backdoors!BI3=TRUE),VLOOKUP(Calculator!E23,tbSkills!DH3:DJ6,3,FALSE),0),0)))/100)),1),1)</f>
        <v>0.6</v>
      </c>
      <c r="H29" s="87">
        <f t="shared" si="43"/>
        <v>6</v>
      </c>
      <c r="I29" s="86">
        <f>IFERROR(IF(VLOOKUP(A29,tbMoveset!A2:B112,2,FALSE)="Sever",Backdoors!AY4/100,IF(VLOOKUP(A29,tbMoveset!A2:B112,2,FALSE)="Blunt",Backdoors!AZ4/100,Backdoors!BA4/100)),"")</f>
        <v>0.65</v>
      </c>
      <c r="J29" s="49">
        <f>IFERROR(IF(VLOOKUP(tbMoveset!A29,tbMoveset!A2:H112,8,FALSE)="Other",IF(VLOOKUP(tbMoveset!A29,tbMoveset!A2:I112,9,FALSE)="Fire",Backdoors!BB4,IF(VLOOKUP(tbMoveset!A29,tbMoveset!A2:I112,9,FALSE)="Water",Backdoors!BC4,IF(VLOOKUP(tbMoveset!A29,tbMoveset!A2:I112,9,FALSE)="Thunder",Backdoors!BD4,IF(VLOOKUP(tbMoveset!A29,tbMoveset!A2:I112,9,FALSE)="Ice",Backdoors!BE4,IF(VLOOKUP(tbMoveset!A29,tbMoveset!A2:I112,9,FALSE)="Dragon",Backdoors!BF4,Backdoors!BG4)))))/100,Backdoors!BG4/100),"")</f>
        <v>0</v>
      </c>
      <c r="K29" s="49">
        <f>IFERROR(IF(VLOOKUP(A29,tbMoveset!A2:J112,10,FALSE)=TRUE,IF((Backdoors!AI12+IF(I29&gt;=0.45,VLOOKUP(Calculator!E23,tbSkills!DH3:DI6,2,FALSE)+IF(AND(Calculator!B8=TRUE,Backdoors!BI4=TRUE),VLOOKUP(Calculator!E23,tbSkills!DH3:DJ6,3,FALSE),0),0))&gt;=0,1+(Backdoors!AL2*(IF((Backdoors!AI12+IF(I29&gt;=0.45,VLOOKUP(Calculator!E23,tbSkills!DH3:DI6,2,FALSE)+IF(AND(Calculator!B8=TRUE,Backdoors!BI4=TRUE),VLOOKUP(Calculator!E23,tbSkills!DH3:DJ6,3,FALSE),0),0))&gt;=100,100,(Backdoors!AI12+IF(I29&gt;=0.45,VLOOKUP(Calculator!E23,tbSkills!DH3:DI6,2,FALSE)+IF(AND(Calculator!B8=TRUE,Backdoors!BI4=TRUE),VLOOKUP(Calculator!E23,tbSkills!DH3:DJ6,3,FALSE),0),0)))/100)),(1-(0.25*((-Backdoors!AI12-IF(I29&gt;=0.45,VLOOKUP(Calculator!E23,tbSkills!DH3:DI6,2,FALSE)+IF(AND(Calculator!B8=TRUE,Backdoors!BI4=TRUE),VLOOKUP(Calculator!E23,tbSkills!DH3:DJ6,3,FALSE),0),0))/100)))),1),"")</f>
        <v>1</v>
      </c>
      <c r="L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29)*K29)*(VLOOKUP(A29,tbMoveset!A2:C112,3,FALSE)/100)*IF(VLOOKUP(A29,tbMoveset!A2:B112,2,FALSE)="Projectile",Backdoors!N10,Backdoors!N9),0),"")</f>
        <v>5</v>
      </c>
      <c r="M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I29&gt;=0.45,VLOOKUP(Calculator!E23,tbSkills!DH3:DI6,2,FALSE)+IF(AND(Calculator!B8=TRUE,Backdoors!BI4=TRUE),VLOOKUP(Calculator!E23,tbSkills!DH3:DJ6,3,FALSE),0),0))&gt;=100,100,(Backdoors!AI12+IF(I29&gt;=0.45,VLOOKUP(Calculator!E23,tbSkills!DH3:DI6,2,FALSE)+IF(AND(Calculator!B8=TRUE,Backdoors!BI4=TRUE),VLOOKUP(Calculator!E23,tbSkills!DH3:DJ6,3,FALSE),0),0)))/100)),1))*IF(VLOOKUP(A29,tbMoveset!A2:K112,11,FALSE)=TRUE,Backdoors!AC5,1))*J29,0),"")</f>
        <v>0</v>
      </c>
      <c r="N29" s="49">
        <f>VLOOKUP(A29,tbMoveset!A2:G112,7,FALSE)*IFERROR(IF(Backdoors!AI12&gt;=0,1+(IF(Calculator!E40&gt;0,VLOOKUP(Calculator!E40,tbSkills!AI3:AJ5,2,FALSE),Backdoors!AL4)*(IF((Backdoors!AI12+IF(I29&gt;=0.45,VLOOKUP(Calculator!E23,tbSkills!DH3:DI6,2,FALSE)+IF(AND(Calculator!B8=TRUE,Backdoors!BI4=TRUE),VLOOKUP(Calculator!E23,tbSkills!DH3:DJ6,3,FALSE),0),0))&gt;=100,100,(Backdoors!AI12+IF(I29&gt;=0.45,VLOOKUP(Calculator!E23,tbSkills!DH3:DI6,2,FALSE)+IF(AND(Calculator!B8=TRUE,Backdoors!BI4=TRUE),VLOOKUP(Calculator!E23,tbSkills!DH3:DJ6,3,FALSE),0),0)))/100)),1),1)</f>
        <v>0.6</v>
      </c>
      <c r="O29" s="87">
        <f t="shared" si="36"/>
        <v>5</v>
      </c>
      <c r="P29" s="86">
        <f>IFERROR(IF(VLOOKUP(A29,tbMoveset!A2:B112,2,FALSE)="Sever",Backdoors!AY5/100,IF(VLOOKUP(A29,tbMoveset!A2:B112,2,FALSE)="Blunt",Backdoors!AZ5/100,Backdoors!BA5/100)),"")</f>
        <v>0.5</v>
      </c>
      <c r="Q29" s="49">
        <f>IFERROR(IF(VLOOKUP(tbMoveset!A29,tbMoveset!A2:H112,8,FALSE)="Other",IF(VLOOKUP(tbMoveset!A29,tbMoveset!A2:I112,9,FALSE)="Fire",Backdoors!BB5,IF(VLOOKUP(tbMoveset!A29,tbMoveset!A2:I112,9,FALSE)="Water",Backdoors!BC5,IF(VLOOKUP(tbMoveset!A29,tbMoveset!A2:I112,9,FALSE)="Thunder",Backdoors!BD5,IF(VLOOKUP(tbMoveset!A29,tbMoveset!A2:I112,9,FALSE)="Ice",Backdoors!BE5,IF(VLOOKUP(tbMoveset!A29,tbMoveset!A2:I112,9,FALSE)="Dragon",Backdoors!BF5,Backdoors!BG5)))))/100,Backdoors!BG5/100),"")</f>
        <v>0</v>
      </c>
      <c r="R29" s="49">
        <f>IFERROR(IF(VLOOKUP(A29,tbMoveset!A2:J112,10,FALSE)=TRUE,IF((Backdoors!AI12+IF(P29&gt;=0.45,VLOOKUP(Calculator!E23,tbSkills!DH3:DI6,2,FALSE)+IF(AND(Calculator!B8=TRUE,Backdoors!BI5=TRUE),VLOOKUP(Calculator!E23,tbSkills!DH3:DJ6,3,FALSE),0),0))&gt;=0,1+(Backdoors!AL2*(IF((Backdoors!AI12+IF(P29&gt;=0.45,VLOOKUP(Calculator!E23,tbSkills!DH3:DI6,2,FALSE)+IF(AND(Calculator!B8=TRUE,Backdoors!BI5=TRUE),VLOOKUP(Calculator!E23,tbSkills!DH3:DJ6,3,FALSE),0),0))&gt;=100,100,(Backdoors!AI12+IF(P29&gt;=0.45,VLOOKUP(Calculator!E23,tbSkills!DH3:DI6,2,FALSE)+IF(AND(Calculator!B8=TRUE,Backdoors!BI5=TRUE),VLOOKUP(Calculator!E23,tbSkills!DH3:DJ6,3,FALSE),0),0)))/100)),(1-(0.25*((-Backdoors!AI12-IF(P29&gt;=0.45,VLOOKUP(Calculator!E23,tbSkills!DH3:DI6,2,FALSE)+IF(AND(Calculator!B8=TRUE,Backdoors!BI5=TRUE),VLOOKUP(Calculator!E23,tbSkills!DH3:DJ6,3,FALSE),0),0))/100)))),1),"")</f>
        <v>1</v>
      </c>
      <c r="S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P29)*R29)*(VLOOKUP(A29,tbMoveset!A2:C112,3,FALSE)/100)*IF(VLOOKUP(A29,tbMoveset!A2:B112,2,FALSE)="Projectile",Backdoors!N10,Backdoors!N9),0),"")</f>
        <v>4</v>
      </c>
      <c r="T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P29&gt;=0.45,VLOOKUP(Calculator!E23,tbSkills!DH3:DI6,2,FALSE)+IF(AND(Calculator!B8=TRUE,Backdoors!BI5=TRUE),VLOOKUP(Calculator!E23,tbSkills!DH3:DJ6,3,FALSE),0),0))&gt;=100,100,(Backdoors!AI12+IF(P29&gt;=0.45,VLOOKUP(Calculator!E23,tbSkills!DH3:DI6,2,FALSE)+IF(AND(Calculator!B8=TRUE,Backdoors!BI5=TRUE),VLOOKUP(Calculator!E23,tbSkills!DH3:DJ6,3,FALSE),0),0)))/100)),1))*IF(VLOOKUP(A29,tbMoveset!A2:K112,11,FALSE)=TRUE,Backdoors!AC5,1))*Q29,0),"")</f>
        <v>0</v>
      </c>
      <c r="U29" s="49">
        <f>VLOOKUP(A29,tbMoveset!A2:G112,7,FALSE)*IFERROR(IF(Backdoors!AI12&gt;=0,1+(IF(Calculator!E40&gt;0,VLOOKUP(Calculator!E40,tbSkills!AI3:AJ5,2,FALSE),Backdoors!AL4)*(IF((Backdoors!AI12+IF(P29&gt;=0.45,VLOOKUP(Calculator!E23,tbSkills!DH3:DI6,2,FALSE)+IF(AND(Calculator!B8=TRUE,Backdoors!BI5=TRUE),VLOOKUP(Calculator!E23,tbSkills!DH3:DJ6,3,FALSE),0),0))&gt;=100,100,(Backdoors!AI12+IF(P29&gt;=0.45,VLOOKUP(Calculator!E23,tbSkills!DH3:DI6,2,FALSE)+IF(AND(Calculator!B8=TRUE,Backdoors!BI5=TRUE),VLOOKUP(Calculator!E23,tbSkills!DH3:DJ6,3,FALSE),0),0)))/100)),1),1)</f>
        <v>0.6</v>
      </c>
      <c r="V29" s="87">
        <f t="shared" si="37"/>
        <v>4</v>
      </c>
      <c r="W29" s="86">
        <f>IFERROR(IF(VLOOKUP(A29,tbMoveset!A2:B112,2,FALSE)="Sever",Backdoors!AY6/100,IF(VLOOKUP(A29,tbMoveset!A2:B112,2,FALSE)="Blunt",Backdoors!AZ6/100,Backdoors!BA6/100)),"")</f>
        <v>0.45</v>
      </c>
      <c r="X29" s="49">
        <f>IFERROR(IF(VLOOKUP(tbMoveset!A29,tbMoveset!A2:H112,8,FALSE)="Other",IF(VLOOKUP(tbMoveset!A29,tbMoveset!A2:I112,9,FALSE)="Fire",Backdoors!BB6,IF(VLOOKUP(tbMoveset!A29,tbMoveset!A2:I112,9,FALSE)="Water",Backdoors!BC6,IF(VLOOKUP(tbMoveset!A29,tbMoveset!A2:I112,9,FALSE)="Thunder",Backdoors!BD6,IF(VLOOKUP(tbMoveset!A29,tbMoveset!A2:I112,9,FALSE)="Ice",Backdoors!BE6,IF(VLOOKUP(tbMoveset!A29,tbMoveset!A2:I112,9,FALSE)="Dragon",Backdoors!BF6,Backdoors!BG6)))))/100,Backdoors!BG6/100),"")</f>
        <v>0</v>
      </c>
      <c r="Y29" s="49">
        <f>IFERROR(IF(VLOOKUP(A29,tbMoveset!A2:J112,10,FALSE)=TRUE,IF((Backdoors!AI12+IF(W29&gt;=0.45,VLOOKUP(Calculator!E23,tbSkills!DH3:DI6,2,FALSE)+IF(AND(Calculator!B8=TRUE,Backdoors!BI6=TRUE),VLOOKUP(Calculator!E23,tbSkills!DH3:DJ6,3,FALSE),0),0))&gt;=0,1+(Backdoors!AL2*(IF((Backdoors!AI12+IF(W29&gt;=0.45,VLOOKUP(Calculator!E23,tbSkills!DH3:DI6,2,FALSE)+IF(AND(Calculator!B8=TRUE,Backdoors!BI6=TRUE),VLOOKUP(Calculator!E23,tbSkills!DH3:DJ6,3,FALSE),0),0))&gt;=100,100,(Backdoors!AI12+IF(W29&gt;=0.45,VLOOKUP(Calculator!E23,tbSkills!DH3:DI6,2,FALSE)+IF(AND(Calculator!B8=TRUE,Backdoors!BI6=TRUE),VLOOKUP(Calculator!E23,tbSkills!DH3:DJ6,3,FALSE),0),0)))/100)),(1-(0.25*((-Backdoors!AI12-IF(W29&gt;=0.45,VLOOKUP(Calculator!E23,tbSkills!DH3:DI6,2,FALSE)+IF(AND(Calculator!B8=TRUE,Backdoors!BI6=TRUE),VLOOKUP(Calculator!E23,tbSkills!DH3:DJ6,3,FALSE),0),0))/100)))),1),"")</f>
        <v>1</v>
      </c>
      <c r="Z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W29)*Y29)*(VLOOKUP(A29,tbMoveset!A2:C112,3,FALSE)/100)*IF(VLOOKUP(A29,tbMoveset!A2:B112,2,FALSE)="Projectile",Backdoors!N10,Backdoors!N9),0),"")</f>
        <v>3</v>
      </c>
      <c r="AA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W29&gt;=0.45,VLOOKUP(Calculator!E23,tbSkills!DH3:DI6,2,FALSE)+IF(AND(Calculator!B8=TRUE,Backdoors!BI6=TRUE),VLOOKUP(Calculator!E23,tbSkills!DH3:DJ6,3,FALSE),0),0))&gt;=100,100,(Backdoors!AI12+IF(W29&gt;=0.45,VLOOKUP(Calculator!E23,tbSkills!DH3:DI6,2,FALSE)+IF(AND(Calculator!B8=TRUE,Backdoors!BI6=TRUE),VLOOKUP(Calculator!E23,tbSkills!DH3:DJ6,3,FALSE),0),0)))/100)),1))*IF(VLOOKUP(A29,tbMoveset!A2:K112,11,FALSE)=TRUE,Backdoors!AC5,1))*X29,0),"")</f>
        <v>0</v>
      </c>
      <c r="AB29" s="49">
        <f>VLOOKUP(A29,tbMoveset!A2:G112,7,FALSE)*IFERROR(IF(Backdoors!AI12&gt;=0,1+(IF(Calculator!E40&gt;0,VLOOKUP(Calculator!E40,tbSkills!AI3:AJ5,2,FALSE),Backdoors!AL4)*(IF((Backdoors!AI12+IF(W29&gt;=0.45,VLOOKUP(Calculator!E23,tbSkills!DH3:DI6,2,FALSE)+IF(AND(Calculator!B8=TRUE,Backdoors!BI6=TRUE),VLOOKUP(Calculator!E23,tbSkills!DH3:DJ6,3,FALSE),0),0))&gt;=100,100,(Backdoors!AI12+IF(W29&gt;=0.45,VLOOKUP(Calculator!E23,tbSkills!DH3:DI6,2,FALSE)+IF(AND(Calculator!B8=TRUE,Backdoors!BI6=TRUE),VLOOKUP(Calculator!E23,tbSkills!DH3:DJ6,3,FALSE),0),0)))/100)),1),1)</f>
        <v>0.6</v>
      </c>
      <c r="AC29" s="87">
        <f t="shared" si="0"/>
        <v>3</v>
      </c>
      <c r="AD29" s="86">
        <f>IFERROR(IF(VLOOKUP(A29,tbMoveset!A2:B112,2,FALSE)="Sever",Backdoors!AY7/100,IF(VLOOKUP(A29,tbMoveset!A2:B112,2,FALSE)="Blunt",Backdoors!AZ7/100,Backdoors!BA7/100)),"")</f>
        <v>0.65</v>
      </c>
      <c r="AE29" s="49">
        <f>IFERROR(IF(VLOOKUP(tbMoveset!A29,tbMoveset!A2:H112,8,FALSE)="Other",IF(VLOOKUP(tbMoveset!A29,tbMoveset!A2:I112,9,FALSE)="Fire",Backdoors!BB7,IF(VLOOKUP(tbMoveset!A29,tbMoveset!A2:I112,9,FALSE)="Water",Backdoors!BC7,IF(VLOOKUP(tbMoveset!A29,tbMoveset!A2:I112,9,FALSE)="Thunder",Backdoors!BD7,IF(VLOOKUP(tbMoveset!A29,tbMoveset!A2:I112,9,FALSE)="Ice",Backdoors!BE7,IF(VLOOKUP(tbMoveset!A29,tbMoveset!A2:I112,9,FALSE)="Dragon",Backdoors!BF7,Backdoors!BG7)))))/100,Backdoors!BG7/100),"")</f>
        <v>0</v>
      </c>
      <c r="AF29" s="49">
        <f>IFERROR(IF(VLOOKUP(A29,tbMoveset!A2:J112,10,FALSE)=TRUE,IF((Backdoors!AI12+IF(AD29&gt;=0.45,VLOOKUP(Calculator!E23,tbSkills!DH3:DI6,2,FALSE)+IF(AND(Calculator!B8=TRUE,Backdoors!BI7=TRUE),VLOOKUP(Calculator!E23,tbSkills!DH3:DJ6,3,FALSE),0),0))&gt;=0,1+(Backdoors!AL2*(IF((Backdoors!AI12+IF(AD29&gt;=0.45,VLOOKUP(Calculator!E23,tbSkills!DH3:DI6,2,FALSE)+IF(AND(Calculator!B8=TRUE,Backdoors!BI7=TRUE),VLOOKUP(Calculator!E23,tbSkills!DH3:DJ6,3,FALSE),0),0))&gt;=100,100,(Backdoors!AI12+IF(AD29&gt;=0.45,VLOOKUP(Calculator!E23,tbSkills!DH3:DI6,2,FALSE)+IF(AND(Calculator!B8=TRUE,Backdoors!BI7=TRUE),VLOOKUP(Calculator!E23,tbSkills!DH3:DJ6,3,FALSE),0),0)))/100)),(1-(0.25*((-Backdoors!AI12-IF(AD29&gt;=0.45,VLOOKUP(Calculator!E23,tbSkills!DH3:DI6,2,FALSE)+IF(AND(Calculator!B8=TRUE,Backdoors!BI7=TRUE),VLOOKUP(Calculator!E23,tbSkills!DH3:DJ6,3,FALSE),0),0))/100)))),1),"")</f>
        <v>1</v>
      </c>
      <c r="AG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D29)*AF29)*(VLOOKUP(A29,tbMoveset!A2:C112,3,FALSE)/100)*IF(VLOOKUP(A29,tbMoveset!A2:B112,2,FALSE)="Projectile",Backdoors!N10,Backdoors!N9),0),"")</f>
        <v>5</v>
      </c>
      <c r="AH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D29&gt;=0.45,VLOOKUP(Calculator!E23,tbSkills!DH3:DI6,2,FALSE)+IF(AND(Calculator!B8=TRUE,Backdoors!BI7=TRUE),VLOOKUP(Calculator!E23,tbSkills!DH3:DJ6,3,FALSE),0),0))&gt;=100,100,(Backdoors!AI12+IF(AD29&gt;=0.45,VLOOKUP(Calculator!E23,tbSkills!DH3:DI6,2,FALSE)+IF(AND(Calculator!B8=TRUE,Backdoors!BI7=TRUE),VLOOKUP(Calculator!E23,tbSkills!DH3:DJ6,3,FALSE),0),0)))/100)),1))*IF(VLOOKUP(A29,tbMoveset!A2:K112,11,FALSE)=TRUE,Backdoors!AC5,1))*AE29,0),"")</f>
        <v>0</v>
      </c>
      <c r="AI29" s="49">
        <f>VLOOKUP(A29,tbMoveset!A2:G112,7,FALSE)*IFERROR(IF(Backdoors!AI12&gt;=0,1+(IF(Calculator!E40&gt;0,VLOOKUP(Calculator!E40,tbSkills!AI3:AJ5,2,FALSE),Backdoors!AL4)*(IF((Backdoors!AI12+IF(AD29&gt;=0.45,VLOOKUP(Calculator!E23,tbSkills!DH3:DI6,2,FALSE)+IF(AND(Calculator!B8=TRUE,Backdoors!BI7=TRUE),VLOOKUP(Calculator!E23,tbSkills!DH3:DJ6,3,FALSE),0),0))&gt;=100,100,(Backdoors!AI12+IF(AD29&gt;=0.45,VLOOKUP(Calculator!E23,tbSkills!DH3:DI6,2,FALSE)+IF(AND(Calculator!B8=TRUE,Backdoors!BI7=TRUE),VLOOKUP(Calculator!E23,tbSkills!DH3:DJ6,3,FALSE),0),0)))/100)),1),1)</f>
        <v>0.6</v>
      </c>
      <c r="AJ29" s="87">
        <f t="shared" si="1"/>
        <v>5</v>
      </c>
      <c r="AK29" s="91">
        <f>IFERROR(IF(VLOOKUP(A29,tbMoveset!A2:B112,2,FALSE)="Sever",Backdoors!AY8/100,IF(VLOOKUP(A29,tbMoveset!A2:B112,2,FALSE)="Blunt",Backdoors!AZ8/100,Backdoors!BA8/100)),"")</f>
        <v>0.45</v>
      </c>
      <c r="AL29" s="49">
        <f>IFERROR(IF(VLOOKUP(tbMoveset!A29,tbMoveset!A2:H112,8,FALSE)="Other",IF(VLOOKUP(tbMoveset!A29,tbMoveset!A2:I112,9,FALSE)="Fire",Backdoors!BB8,IF(VLOOKUP(tbMoveset!A29,tbMoveset!A2:I112,9,FALSE)="Water",Backdoors!BC8,IF(VLOOKUP(tbMoveset!A29,tbMoveset!A2:I112,9,FALSE)="Thunder",Backdoors!BD8,IF(VLOOKUP(tbMoveset!A29,tbMoveset!A2:I112,9,FALSE)="Ice",Backdoors!BE8,IF(VLOOKUP(tbMoveset!A29,tbMoveset!A2:I112,9,FALSE)="Dragon",Backdoors!BF8,Backdoors!BG8)))))/100,Backdoors!BG8/100),"")</f>
        <v>0</v>
      </c>
      <c r="AM29" s="49">
        <f>IFERROR(IF(VLOOKUP(A29,tbMoveset!A2:J112,10,FALSE)=TRUE,IF((Backdoors!AI12+IF(AK29&gt;=0.45,VLOOKUP(Calculator!E23,tbSkills!DH3:DI6,2,FALSE)+IF(AND(Calculator!B8=TRUE,Backdoors!BI8=TRUE),VLOOKUP(Calculator!E23,tbSkills!DH3:DJ6,3,FALSE),0),0))&gt;=0,1+(Backdoors!AL2*(IF((Backdoors!AI12+IF(AK29&gt;=0.45,VLOOKUP(Calculator!E23,tbSkills!DH3:DI6,2,FALSE)+IF(AND(Calculator!B8=TRUE,Backdoors!BI8=TRUE),VLOOKUP(Calculator!E23,tbSkills!DH3:DJ6,3,FALSE),0),0))&gt;=100,100,(Backdoors!AI12+IF(AK29&gt;=0.45,VLOOKUP(Calculator!E23,tbSkills!DH3:DI6,2,FALSE)+IF(AND(Calculator!B8=TRUE,Backdoors!BI8=TRUE),VLOOKUP(Calculator!E23,tbSkills!DH3:DJ6,3,FALSE),0),0)))/100)),(1-(0.25*((-Backdoors!AI12-IF(AK29&gt;=0.45,VLOOKUP(Calculator!E23,tbSkills!DH3:DI6,2,FALSE)+IF(AND(Calculator!B8=TRUE,Backdoors!BI8=TRUE),VLOOKUP(Calculator!E23,tbSkills!DH3:DJ6,3,FALSE),0),0))/100)))),1),"")</f>
        <v>1</v>
      </c>
      <c r="AN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K29)*AM29)*(VLOOKUP(A29,tbMoveset!A2:C112,3,FALSE)/100)*IF(VLOOKUP(A29,tbMoveset!A2:B112,2,FALSE)="Projectile",Backdoors!N10,Backdoors!N9),0),"")</f>
        <v>3</v>
      </c>
      <c r="AO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K29&gt;=0.45,VLOOKUP(Calculator!E23,tbSkills!DH3:DI6,2,FALSE)+IF(AND(Calculator!B8=TRUE,Backdoors!BI8=TRUE),VLOOKUP(Calculator!E23,tbSkills!DH3:DJ6,3,FALSE),0),0))&gt;=100,100,(Backdoors!AI12+IF(AK29&gt;=0.45,VLOOKUP(Calculator!E23,tbSkills!DH3:DI6,2,FALSE)+IF(AND(Calculator!B8=TRUE,Backdoors!BI8=TRUE),VLOOKUP(Calculator!E23,tbSkills!DH3:DJ6,3,FALSE),0),0)))/100)),1))*IF(VLOOKUP(A29,tbMoveset!A2:K112,11,FALSE)=TRUE,Backdoors!AC5,1))*AL29,0),"")</f>
        <v>0</v>
      </c>
      <c r="AP29" s="49">
        <f>VLOOKUP(A29,tbMoveset!A2:G112,7,FALSE)*IFERROR(IF(Backdoors!AI12&gt;=0,1+(IF(Calculator!E40&gt;0,VLOOKUP(Calculator!E40,tbSkills!AI3:AJ5,2,FALSE),Backdoors!AL4)*(IF((Backdoors!AI12+IF(AK29&gt;=0.45,VLOOKUP(Calculator!E23,tbSkills!DH3:DI6,2,FALSE)+IF(AND(Calculator!B8=TRUE,Backdoors!BI8=TRUE),VLOOKUP(Calculator!E23,tbSkills!DH3:DJ6,3,FALSE),0),0))&gt;=100,100,(Backdoors!AI12+IF(AK29&gt;=0.45,VLOOKUP(Calculator!E23,tbSkills!DH3:DI6,2,FALSE)+IF(AND(Calculator!B8=TRUE,Backdoors!BI8=TRUE),VLOOKUP(Calculator!E23,tbSkills!DH3:DJ6,3,FALSE),0),0)))/100)),1),1)</f>
        <v>0.6</v>
      </c>
      <c r="AQ29" s="87">
        <f t="shared" si="2"/>
        <v>3</v>
      </c>
      <c r="AR29" s="86">
        <f>IFERROR(IF(VLOOKUP(A29,tbMoveset!A2:B112,2,FALSE)="Sever",Backdoors!AY9/100,IF(VLOOKUP(A29,tbMoveset!A2:B112,2,FALSE)="Blunt",Backdoors!AZ9/100,Backdoors!BA9/100)),"")</f>
        <v>0.45</v>
      </c>
      <c r="AS29" s="49">
        <f>IFERROR(IF(VLOOKUP(tbMoveset!A29,tbMoveset!A2:H112,8,FALSE)="Other",IF(VLOOKUP(tbMoveset!A29,tbMoveset!A2:I112,9,FALSE)="Fire",Backdoors!BB9,IF(VLOOKUP(tbMoveset!A29,tbMoveset!A2:I112,9,FALSE)="Water",Backdoors!BC9,IF(VLOOKUP(tbMoveset!A29,tbMoveset!A2:I112,9,FALSE)="Thunder",Backdoors!BD9,IF(VLOOKUP(tbMoveset!A29,tbMoveset!A2:I112,9,FALSE)="Ice",Backdoors!BE9,IF(VLOOKUP(tbMoveset!A29,tbMoveset!A2:I112,9,FALSE)="Dragon",Backdoors!BF9,Backdoors!BG9)))))/100,Backdoors!BG9/100),"")</f>
        <v>0</v>
      </c>
      <c r="AT29" s="49">
        <f>IFERROR(IF(VLOOKUP(A29,tbMoveset!A2:J112,10,FALSE)=TRUE,IF((Backdoors!AI12+IF(AR29&gt;=0.45,VLOOKUP(Calculator!E23,tbSkills!DH3:DI6,2,FALSE)+IF(AND(Calculator!B8=TRUE,Backdoors!BI9=TRUE),VLOOKUP(Calculator!E23,tbSkills!DH3:DJ6,3,FALSE),0),0))&gt;=0,1+(Backdoors!AL2*(IF((Backdoors!AI12+IF(AR29&gt;=0.45,VLOOKUP(Calculator!E23,tbSkills!DH3:DI6,2,FALSE)+IF(AND(Calculator!B8=TRUE,Backdoors!BI9=TRUE),VLOOKUP(Calculator!E23,tbSkills!DH3:DJ6,3,FALSE),0),0))&gt;=100,100,(Backdoors!AI12+IF(AR29&gt;=0.45,VLOOKUP(Calculator!E23,tbSkills!DH3:DI6,2,FALSE)+IF(AND(Calculator!B8=TRUE,Backdoors!BI9=TRUE),VLOOKUP(Calculator!E23,tbSkills!DH3:DJ6,3,FALSE),0),0)))/100)),(1-(0.25*((-Backdoors!AI12-IF(AR29&gt;=0.45,VLOOKUP(Calculator!E23,tbSkills!DH3:DI6,2,FALSE)+IF(AND(Calculator!B8=TRUE,Backdoors!BI9=TRUE),VLOOKUP(Calculator!E23,tbSkills!DH3:DJ6,3,FALSE),0),0))/100)))),1),"")</f>
        <v>1</v>
      </c>
      <c r="AU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R29)*AT29)*(VLOOKUP(A29,tbMoveset!A2:C112,3,FALSE)/100)*IF(VLOOKUP(A29,tbMoveset!A2:B112,2,FALSE)="Projectile",Backdoors!N10,Backdoors!N9),0),"")</f>
        <v>3</v>
      </c>
      <c r="AV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R29&gt;=0.45,VLOOKUP(Calculator!E23,tbSkills!DH3:DI6,2,FALSE)+IF(AND(Calculator!B8=TRUE,Backdoors!BI9=TRUE),VLOOKUP(Calculator!E23,tbSkills!DH3:DJ6,3,FALSE),0),0))&gt;=100,100,(Backdoors!AI12+IF(AR29&gt;=0.45,VLOOKUP(Calculator!E23,tbSkills!DH3:DI6,2,FALSE)+IF(AND(Calculator!B8=TRUE,Backdoors!BI9=TRUE),VLOOKUP(Calculator!E23,tbSkills!DH3:DJ6,3,FALSE),0),0)))/100)),1))*IF(VLOOKUP(A29,tbMoveset!A2:K112,11,FALSE)=TRUE,Backdoors!AC5,1))*AS29,0),"")</f>
        <v>0</v>
      </c>
      <c r="AW29" s="49">
        <f>VLOOKUP(A29,tbMoveset!A2:G112,7,FALSE)*IFERROR(IF(Backdoors!AI12&gt;=0,1+(IF(Calculator!E40&gt;0,VLOOKUP(Calculator!E40,tbSkills!AI3:AJ5,2,FALSE),Backdoors!AL4)*(IF((Backdoors!AI12+IF(AR29&gt;=0.45,VLOOKUP(Calculator!E23,tbSkills!DH3:DI6,2,FALSE)+IF(AND(Calculator!B8=TRUE,Backdoors!BI9=TRUE),VLOOKUP(Calculator!E23,tbSkills!DH3:DJ6,3,FALSE),0),0))&gt;=100,100,(Backdoors!AI12+IF(AR29&gt;=0.45,VLOOKUP(Calculator!E23,tbSkills!DH3:DI6,2,FALSE)+IF(AND(Calculator!B8=TRUE,Backdoors!BI9=TRUE),VLOOKUP(Calculator!E23,tbSkills!DH3:DJ6,3,FALSE),0),0)))/100)),1),1)</f>
        <v>0.6</v>
      </c>
      <c r="AX29" s="87">
        <f t="shared" si="38"/>
        <v>3</v>
      </c>
      <c r="AY29" s="86">
        <f>IFERROR(IF(VLOOKUP(A29,tbMoveset!A2:B112,2,FALSE)="Sever",Backdoors!AY10/100,IF(VLOOKUP(A29,tbMoveset!A2:B112,2,FALSE)="Blunt",Backdoors!AZ10/100,Backdoors!BA10/100)),"")</f>
        <v>0.9</v>
      </c>
      <c r="AZ29" s="49">
        <f>IFERROR(IF(VLOOKUP(tbMoveset!A29,tbMoveset!A2:H112,8,FALSE)="Other",IF(VLOOKUP(tbMoveset!A29,tbMoveset!A2:I112,9,FALSE)="Fire",Backdoors!BB10,IF(VLOOKUP(tbMoveset!A29,tbMoveset!A2:I112,9,FALSE)="Water",Backdoors!BC10,IF(VLOOKUP(tbMoveset!A29,tbMoveset!A2:I112,9,FALSE)="Thunder",Backdoors!BD10,IF(VLOOKUP(tbMoveset!A29,tbMoveset!A2:I112,9,FALSE)="Ice",Backdoors!BE10,IF(VLOOKUP(tbMoveset!A29,tbMoveset!A2:I112,9,FALSE)="Dragon",Backdoors!BF10,Backdoors!BG10)))))/100,Backdoors!BG10/100),"")</f>
        <v>0</v>
      </c>
      <c r="BA29" s="49">
        <f>IFERROR(IF(VLOOKUP(A29,tbMoveset!A2:J112,10,FALSE)=TRUE,IF((Backdoors!AI12+IF(AY29&gt;=0.45,VLOOKUP(Calculator!E23,tbSkills!DH3:DI6,2,FALSE)+IF(AND(Calculator!B8=TRUE,Backdoors!BI10=TRUE),VLOOKUP(Calculator!E23,tbSkills!DH3:DJ6,3,FALSE),0),0))&gt;=0,1+(Backdoors!AL2*(IF((Backdoors!AI12+IF(AY29&gt;=0.45,VLOOKUP(Calculator!E23,tbSkills!DH3:DI6,2,FALSE)+IF(AND(Calculator!B8=TRUE,Backdoors!BI10=TRUE),VLOOKUP(Calculator!E23,tbSkills!DH3:DJ6,3,FALSE),0),0))&gt;=100,100,(Backdoors!AI12+IF(AY29&gt;=0.45,VLOOKUP(Calculator!E23,tbSkills!DH3:DI6,2,FALSE)+IF(AND(Calculator!B8=TRUE,Backdoors!BI10=TRUE),VLOOKUP(Calculator!E23,tbSkills!DH3:DJ6,3,FALSE),0),0)))/100)),(1-(0.25*((-Backdoors!AI12-IF(AY29&gt;=0.45,VLOOKUP(Calculator!E23,tbSkills!DH3:DI6,2,FALSE)+IF(AND(Calculator!B8=TRUE,Backdoors!BI10=TRUE),VLOOKUP(Calculator!E23,tbSkills!DH3:DJ6,3,FALSE),0),0))/100)))),1),"")</f>
        <v>1</v>
      </c>
      <c r="BB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Y29)*BA29)*(VLOOKUP(A29,tbMoveset!A2:C112,3,FALSE)/100)*IF(VLOOKUP(A29,tbMoveset!A2:B112,2,FALSE)="Projectile",Backdoors!N10,Backdoors!N9),0),"")</f>
        <v>7</v>
      </c>
      <c r="BC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Y29&gt;=0.45,VLOOKUP(Calculator!E23,tbSkills!DH3:DI6,2,FALSE)+IF(AND(Calculator!B8=TRUE,Backdoors!BI10=TRUE),VLOOKUP(Calculator!E23,tbSkills!DH3:DJ6,3,FALSE),0),0))&gt;=100,100,(Backdoors!AI12+IF(AY29&gt;=0.45,VLOOKUP(Calculator!E23,tbSkills!DH3:DI6,2,FALSE)+IF(AND(Calculator!B8=TRUE,Backdoors!BI10=TRUE),VLOOKUP(Calculator!E23,tbSkills!DH3:DJ6,3,FALSE),0),0)))/100)),1))*IF(VLOOKUP(A29,tbMoveset!A2:K112,11,FALSE)=TRUE,Backdoors!AC5,1))*AZ29,0),"")</f>
        <v>0</v>
      </c>
      <c r="BD29" s="49">
        <f>VLOOKUP(A29,tbMoveset!A2:G112,7,FALSE)*IFERROR(IF(Backdoors!AI12&gt;=0,1+(IF(Calculator!E40&gt;0,VLOOKUP(Calculator!E40,tbSkills!AI3:AJ5,2,FALSE),Backdoors!AL4)*(IF((Backdoors!AI12+IF(AY29&gt;=0.45,VLOOKUP(Calculator!E23,tbSkills!DH3:DI6,2,FALSE)+IF(AND(Calculator!B8=TRUE,Backdoors!BI10=TRUE),VLOOKUP(Calculator!E23,tbSkills!DH3:DJ6,3,FALSE),0),0))&gt;=100,100,(Backdoors!AI12+IF(AY29&gt;=0.45,VLOOKUP(Calculator!E23,tbSkills!DH3:DI6,2,FALSE)+IF(AND(Calculator!B8=TRUE,Backdoors!BI10=TRUE),VLOOKUP(Calculator!E23,tbSkills!DH3:DJ6,3,FALSE),0),0)))/100)),1),1)</f>
        <v>0.6</v>
      </c>
      <c r="BE29" s="87">
        <f t="shared" si="3"/>
        <v>7</v>
      </c>
      <c r="BF29" s="86" t="str">
        <f>IFERROR(IF(VLOOKUP(A29,tbMoveset!A2:B112,2,FALSE)="Sever",Backdoors!AY11/100,IF(VLOOKUP(A29,tbMoveset!A2:B112,2,FALSE)="Blunt",Backdoors!AZ11/100,Backdoors!BA11/100)),"")</f>
        <v/>
      </c>
      <c r="BG29" s="49">
        <f>IFERROR(IF(VLOOKUP(tbMoveset!A29,tbMoveset!A2:H112,8,FALSE)="Other",IF(VLOOKUP(tbMoveset!A29,tbMoveset!A2:I112,9,FALSE)="Fire",Backdoors!BB11,IF(VLOOKUP(tbMoveset!A29,tbMoveset!A2:I112,9,FALSE)="Water",Backdoors!BC11,IF(VLOOKUP(tbMoveset!A29,tbMoveset!A2:I112,9,FALSE)="Thunder",Backdoors!BD11,IF(VLOOKUP(tbMoveset!A29,tbMoveset!A2:I112,9,FALSE)="Ice",Backdoors!BE11,IF(VLOOKUP(tbMoveset!A29,tbMoveset!A2:I112,9,FALSE)="Dragon",Backdoors!BF11,Backdoors!BG11)))))/100,Backdoors!BG11/100),"")</f>
        <v>0</v>
      </c>
      <c r="BH29" s="49">
        <f>IFERROR(IF(VLOOKUP(A29,tbMoveset!A2:J112,10,FALSE)=TRUE,IF((Backdoors!AI12+IF(BF29&gt;=0.45,VLOOKUP(Calculator!E23,tbSkills!DH3:DI6,2,FALSE)+IF(AND(Calculator!B8=TRUE,Backdoors!BI11=TRUE),VLOOKUP(Calculator!E23,tbSkills!DH3:DJ6,3,FALSE),0),0))&gt;=0,1+(Backdoors!AL2*(IF((Backdoors!AI12+IF(BF29&gt;=0.45,VLOOKUP(Calculator!E23,tbSkills!DH3:DI6,2,FALSE)+IF(AND(Calculator!B8=TRUE,Backdoors!BI11=TRUE),VLOOKUP(Calculator!E23,tbSkills!DH3:DJ6,3,FALSE),0),0))&gt;=100,100,(Backdoors!AI12+IF(BF29&gt;=0.45,VLOOKUP(Calculator!E23,tbSkills!DH3:DI6,2,FALSE)+IF(AND(Calculator!B8=TRUE,Backdoors!BI11=TRUE),VLOOKUP(Calculator!E23,tbSkills!DH3:DJ6,3,FALSE),0),0)))/100)),(1-(0.25*((-Backdoors!AI12-IF(BF29&gt;=0.45,VLOOKUP(Calculator!E23,tbSkills!DH3:DI6,2,FALSE)+IF(AND(Calculator!B8=TRUE,Backdoors!BI11=TRUE),VLOOKUP(Calculator!E23,tbSkills!DH3:DJ6,3,FALSE),0),0))/100)))),1),"")</f>
        <v>1</v>
      </c>
      <c r="BI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F29)*BH29)*(VLOOKUP(A29,tbMoveset!A2:C112,3,FALSE)/100)*IF(VLOOKUP(A29,tbMoveset!A2:B112,2,FALSE)="Projectile",Backdoors!N10,Backdoors!N9),0),"")</f>
        <v/>
      </c>
      <c r="BJ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F29&gt;=0.45,VLOOKUP(Calculator!E23,tbSkills!DH3:DI6,2,FALSE)+IF(AND(Calculator!B8=TRUE,Backdoors!BI11=TRUE),VLOOKUP(Calculator!E23,tbSkills!DH3:DJ6,3,FALSE),0),0))&gt;=100,100,(Backdoors!AI12+IF(BF29&gt;=0.45,VLOOKUP(Calculator!E23,tbSkills!DH3:DI6,2,FALSE)+IF(AND(Calculator!B8=TRUE,Backdoors!BI11=TRUE),VLOOKUP(Calculator!E23,tbSkills!DH3:DJ6,3,FALSE),0),0)))/100)),1))*IF(VLOOKUP(A29,tbMoveset!A2:K112,11,FALSE)=TRUE,Backdoors!AC5,1))*BG29,0),"")</f>
        <v>0</v>
      </c>
      <c r="BK29" s="49">
        <f>VLOOKUP(A29,tbMoveset!A2:G112,7,FALSE)*IFERROR(IF(Backdoors!AI12&gt;=0,1+(IF(Calculator!E40&gt;0,VLOOKUP(Calculator!E40,tbSkills!AI3:AJ5,2,FALSE),Backdoors!AL4)*(IF((Backdoors!AI12+IF(BF29&gt;=0.45,VLOOKUP(Calculator!E23,tbSkills!DH3:DI6,2,FALSE)+IF(AND(Calculator!B8=TRUE,Backdoors!BI11=TRUE),VLOOKUP(Calculator!E23,tbSkills!DH3:DJ6,3,FALSE),0),0))&gt;=100,100,(Backdoors!AI12+IF(BF29&gt;=0.45,VLOOKUP(Calculator!E23,tbSkills!DH3:DI6,2,FALSE)+IF(AND(Calculator!B8=TRUE,Backdoors!BI11=TRUE),VLOOKUP(Calculator!E23,tbSkills!DH3:DJ6,3,FALSE),0),0)))/100)),1),1)</f>
        <v>0.6</v>
      </c>
      <c r="BL29" s="87">
        <f t="shared" si="4"/>
        <v>0</v>
      </c>
      <c r="BM29" s="86" t="str">
        <f>IFERROR(IF(VLOOKUP(A29,tbMoveset!A2:B112,2,FALSE)="Sever",Backdoors!AY12/100,IF(VLOOKUP(A29,tbMoveset!A2:B112,2,FALSE)="Blunt",Backdoors!AZ12/100,Backdoors!BA12/100)),"")</f>
        <v/>
      </c>
      <c r="BN29" s="49">
        <f>IFERROR(IF(VLOOKUP(tbMoveset!A29,tbMoveset!A2:H112,8,FALSE)="Other",IF(VLOOKUP(tbMoveset!A29,tbMoveset!A2:I112,9,FALSE)="Fire",Backdoors!BB12,IF(VLOOKUP(tbMoveset!A29,tbMoveset!A2:I112,9,FALSE)="Water",Backdoors!BC12,IF(VLOOKUP(tbMoveset!A29,tbMoveset!A2:I112,9,FALSE)="Thunder",Backdoors!BD12,IF(VLOOKUP(tbMoveset!A29,tbMoveset!A2:I112,9,FALSE)="Ice",Backdoors!BE12,IF(VLOOKUP(tbMoveset!A29,tbMoveset!A2:I112,9,FALSE)="Dragon",Backdoors!BF12,Backdoors!BG12)))))/100,Backdoors!BG12/100),"")</f>
        <v>0</v>
      </c>
      <c r="BO29" s="49">
        <f>IFERROR(IF(VLOOKUP(A29,tbMoveset!A2:J112,10,FALSE)=TRUE,IF((Backdoors!AI12+IF(BM29&gt;=0.45,VLOOKUP(Calculator!E23,tbSkills!DH3:DI6,2,FALSE)+IF(AND(Calculator!B8=TRUE,Backdoors!BI12=TRUE),VLOOKUP(Calculator!E23,tbSkills!DH3:DJ6,3,FALSE),0),0))&gt;=0,1+(Backdoors!AL2*(IF((Backdoors!AI12+IF(BM29&gt;=0.45,VLOOKUP(Calculator!E23,tbSkills!DH3:DI6,2,FALSE)+IF(AND(Calculator!B8=TRUE,Backdoors!BI12=TRUE),VLOOKUP(Calculator!E23,tbSkills!DH3:DJ6,3,FALSE),0),0))&gt;=100,100,(Backdoors!AI12+IF(BM29&gt;=0.45,VLOOKUP(Calculator!E23,tbSkills!DH3:DI6,2,FALSE)+IF(AND(Calculator!B8=TRUE,Backdoors!BI12=TRUE),VLOOKUP(Calculator!E23,tbSkills!DH3:DJ6,3,FALSE),0),0)))/100)),(1-(0.25*((-Backdoors!AI12-IF(BM29&gt;=0.45,VLOOKUP(Calculator!E23,tbSkills!DH3:DI6,2,FALSE)+IF(AND(Calculator!B8=TRUE,Backdoors!BI12=TRUE),VLOOKUP(Calculator!E23,tbSkills!DH3:DJ6,3,FALSE),0),0))/100)))),1),"")</f>
        <v>1</v>
      </c>
      <c r="BP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M29)*BO29)*(VLOOKUP(A29,tbMoveset!A2:C112,3,FALSE)/100)*IF(VLOOKUP(A29,tbMoveset!A2:B112,2,FALSE)="Projectile",Backdoors!N10,Backdoors!N9),0),"")</f>
        <v/>
      </c>
      <c r="BQ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M29&gt;=0.45,VLOOKUP(Calculator!E23,tbSkills!DH3:DI6,2,FALSE)+IF(AND(Calculator!B8=TRUE,Backdoors!BI12=TRUE),VLOOKUP(Calculator!E23,tbSkills!DH3:DJ6,3,FALSE),0),0))&gt;=100,100,(Backdoors!AI12+IF(BM29&gt;=0.45,VLOOKUP(Calculator!E23,tbSkills!DH3:DI6,2,FALSE)+IF(AND(Calculator!B8=TRUE,Backdoors!BI12=TRUE),VLOOKUP(Calculator!E23,tbSkills!DH3:DJ6,3,FALSE),0),0)))/100)),1))*IF(VLOOKUP(A29,tbMoveset!A2:K112,11,FALSE)=TRUE,Backdoors!AC5,1))*BN29,0),"")</f>
        <v>0</v>
      </c>
      <c r="BR29" s="49">
        <f>VLOOKUP(A29,tbMoveset!A2:G112,7,FALSE)*IFERROR(IF(Backdoors!AI12&gt;=0,1+(IF(Calculator!E40&gt;0,VLOOKUP(Calculator!E40,tbSkills!AI3:AJ5,2,FALSE),Backdoors!AL4)*(IF((Backdoors!AI12+IF(BM29&gt;=0.45,VLOOKUP(Calculator!E23,tbSkills!DH3:DI6,2,FALSE)+IF(AND(Calculator!B8=TRUE,Backdoors!BI12=TRUE),VLOOKUP(Calculator!E23,tbSkills!DH3:DJ6,3,FALSE),0),0))&gt;=100,100,(Backdoors!AI12+IF(BM29&gt;=0.45,VLOOKUP(Calculator!E23,tbSkills!DH3:DI6,2,FALSE)+IF(AND(Calculator!B8=TRUE,Backdoors!BI12=TRUE),VLOOKUP(Calculator!E23,tbSkills!DH3:DJ6,3,FALSE),0),0)))/100)),1),1)</f>
        <v>0.6</v>
      </c>
      <c r="BS29" s="87">
        <f t="shared" si="39"/>
        <v>0</v>
      </c>
      <c r="BT29" s="86" t="str">
        <f>IFERROR(IF(VLOOKUP(A29,tbMoveset!A2:B112,2,FALSE)="Sever",Backdoors!AY13/100,IF(VLOOKUP(A29,tbMoveset!A2:B112,2,FALSE)="Blunt",Backdoors!AZ13/100,Backdoors!BA13/100)),"")</f>
        <v/>
      </c>
      <c r="BU29" s="49">
        <f>IFERROR(IF(VLOOKUP(tbMoveset!A29,tbMoveset!A2:H112,8,FALSE)="Other",IF(VLOOKUP(tbMoveset!A29,tbMoveset!A2:I112,9,FALSE)="Fire",Backdoors!BB13,IF(VLOOKUP(tbMoveset!A29,tbMoveset!A2:I112,9,FALSE)="Water",Backdoors!BC13,IF(VLOOKUP(tbMoveset!A29,tbMoveset!A2:I112,9,FALSE)="Thunder",Backdoors!BD13,IF(VLOOKUP(tbMoveset!A29,tbMoveset!A2:I112,9,FALSE)="Ice",Backdoors!BE13,IF(VLOOKUP(tbMoveset!A29,tbMoveset!A2:I112,9,FALSE)="Dragon",Backdoors!BF13,Backdoors!BG13)))))/100,Backdoors!BG13/100),"")</f>
        <v>0</v>
      </c>
      <c r="BV29" s="49">
        <f>IFERROR(IF(VLOOKUP(A29,tbMoveset!A2:J112,10,FALSE)=TRUE,IF((Backdoors!AI12+IF(BT29&gt;=0.45,VLOOKUP(Calculator!E23,tbSkills!DH3:DI6,2,FALSE)+IF(AND(Calculator!B8=TRUE,Backdoors!BI13=TRUE),VLOOKUP(Calculator!E23,tbSkills!DH3:DJ6,3,FALSE),0),0))&gt;=0,1+(Backdoors!AL2*(IF((Backdoors!AI12+IF(BT29&gt;=0.45,VLOOKUP(Calculator!E23,tbSkills!DH3:DI6,2,FALSE)+IF(AND(Calculator!B8=TRUE,Backdoors!BI13=TRUE),VLOOKUP(Calculator!E23,tbSkills!DH3:DJ6,3,FALSE),0),0))&gt;=100,100,(Backdoors!AI12+IF(BT29&gt;=0.45,VLOOKUP(Calculator!E23,tbSkills!DH3:DI6,2,FALSE)+IF(AND(Calculator!B8=TRUE,Backdoors!BI13=TRUE),VLOOKUP(Calculator!E23,tbSkills!DH3:DJ6,3,FALSE),0),0)))/100)),(1-(0.25*((-Backdoors!AI12-IF(BT29&gt;=0.45,VLOOKUP(Calculator!E23,tbSkills!DH3:DI6,2,FALSE)+IF(AND(Calculator!B8=TRUE,Backdoors!BI13=TRUE),VLOOKUP(Calculator!E23,tbSkills!DH3:DJ6,3,FALSE),0),0))/100)))),1),"")</f>
        <v>1</v>
      </c>
      <c r="BW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T29)*BV29)*(VLOOKUP(A29,tbMoveset!A2:C112,3,FALSE)/100)*IF(VLOOKUP(A29,tbMoveset!A2:B112,2,FALSE)="Projectile",Backdoors!N10,Backdoors!N9),0),"")</f>
        <v/>
      </c>
      <c r="BX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T29&gt;=0.45,VLOOKUP(Calculator!E23,tbSkills!DH3:DI6,2,FALSE)+IF(AND(Calculator!B8=TRUE,Backdoors!BI13=TRUE),VLOOKUP(Calculator!E23,tbSkills!DH3:DJ6,3,FALSE),0),0))&gt;=100,100,(Backdoors!AI12+IF(BT29&gt;=0.45,VLOOKUP(Calculator!E23,tbSkills!DH3:DI6,2,FALSE)+IF(AND(Calculator!B8=TRUE,Backdoors!BI13=TRUE),VLOOKUP(Calculator!E23,tbSkills!DH3:DJ6,3,FALSE),0),0)))/100)),1))*IF(VLOOKUP(A29,tbMoveset!A2:K112,11,FALSE)=TRUE,Backdoors!AC5,1))*BU29,0),"")</f>
        <v>0</v>
      </c>
      <c r="BY29" s="49">
        <f>VLOOKUP(A29,tbMoveset!A2:G112,7,FALSE)*IFERROR(IF(Backdoors!AI12&gt;=0,1+(IF(Calculator!E40&gt;0,VLOOKUP(Calculator!E40,tbSkills!AI3:AJ5,2,FALSE),Backdoors!AL4)*(IF((Backdoors!AI12+IF(BT29&gt;=0.45,VLOOKUP(Calculator!E23,tbSkills!DH3:DI6,2,FALSE)+IF(AND(Calculator!B8=TRUE,Backdoors!BI13=TRUE),VLOOKUP(Calculator!E23,tbSkills!DH3:DJ6,3,FALSE),0),0))&gt;=100,100,(Backdoors!AI12+IF(BT29&gt;=0.45,VLOOKUP(Calculator!E23,tbSkills!DH3:DI6,2,FALSE)+IF(AND(Calculator!B8=TRUE,Backdoors!BI13=TRUE),VLOOKUP(Calculator!E23,tbSkills!DH3:DJ6,3,FALSE),0),0)))/100)),1),1)</f>
        <v>0.6</v>
      </c>
      <c r="BZ29" s="87">
        <f t="shared" si="5"/>
        <v>0</v>
      </c>
      <c r="CA29" s="86" t="str">
        <f>IFERROR(IF(VLOOKUP(A29,tbMoveset!A2:B112,2,FALSE)="Sever",Backdoors!AY14/100,IF(VLOOKUP(A29,tbMoveset!A2:B112,2,FALSE)="Blunt",Backdoors!AZ14/100,Backdoors!BA14/100)),"")</f>
        <v/>
      </c>
      <c r="CB29" s="49">
        <f>IFERROR(IF(VLOOKUP(tbMoveset!A29,tbMoveset!A2:H112,8,FALSE)="Other",IF(VLOOKUP(tbMoveset!A29,tbMoveset!A2:I112,9,FALSE)="Fire",Backdoors!BB14,IF(VLOOKUP(tbMoveset!A29,tbMoveset!A2:I112,9,FALSE)="Water",Backdoors!BC14,IF(VLOOKUP(tbMoveset!A29,tbMoveset!A2:I112,9,FALSE)="Thunder",Backdoors!BD14,IF(VLOOKUP(tbMoveset!A29,tbMoveset!A2:I112,9,FALSE)="Ice",Backdoors!BE14,IF(VLOOKUP(tbMoveset!A29,tbMoveset!A2:I112,9,FALSE)="Dragon",Backdoors!BF14,Backdoors!BG14)))))/100,Backdoors!BG14/100),"")</f>
        <v>0</v>
      </c>
      <c r="CC29" s="49">
        <f>IFERROR(IF(VLOOKUP(A29,tbMoveset!A2:J112,10,FALSE)=TRUE,IF((Backdoors!AI12+IF(CA29&gt;=0.45,VLOOKUP(Calculator!E23,tbSkills!DH3:DI6,2,FALSE)+IF(AND(Calculator!B8=TRUE,Backdoors!BI14=TRUE),VLOOKUP(Calculator!E23,tbSkills!DH3:DJ6,3,FALSE),0),0))&gt;=0,1+(Backdoors!AL2*(IF((Backdoors!AI12+IF(CA29&gt;=0.45,VLOOKUP(Calculator!E23,tbSkills!DH3:DI6,2,FALSE)+IF(AND(Calculator!B8=TRUE,Backdoors!BI14=TRUE),VLOOKUP(Calculator!E23,tbSkills!DH3:DJ6,3,FALSE),0),0))&gt;=100,100,(Backdoors!AI12+IF(CA29&gt;=0.45,VLOOKUP(Calculator!E23,tbSkills!DH3:DI6,2,FALSE)+IF(AND(Calculator!B8=TRUE,Backdoors!BI14=TRUE),VLOOKUP(Calculator!E23,tbSkills!DH3:DJ6,3,FALSE),0),0)))/100)),(1-(0.25*((-Backdoors!AI12-IF(CA29&gt;=0.45,VLOOKUP(Calculator!E23,tbSkills!DH3:DI6,2,FALSE)+IF(AND(Calculator!B8=TRUE,Backdoors!BI14=TRUE),VLOOKUP(Calculator!E23,tbSkills!DH3:DJ6,3,FALSE),0),0))/100)))),1),"")</f>
        <v>1</v>
      </c>
      <c r="CD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A29)*CC29)*(VLOOKUP(A29,tbMoveset!A2:C112,3,FALSE)/100)*IF(VLOOKUP(A29,tbMoveset!A2:B112,2,FALSE)="Projectile",Backdoors!N10,Backdoors!N9),0),"")</f>
        <v/>
      </c>
      <c r="CE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A29&gt;=0.45,VLOOKUP(Calculator!E23,tbSkills!DH3:DI6,2,FALSE)+IF(AND(Calculator!B8=TRUE,Backdoors!BI14=TRUE),VLOOKUP(Calculator!E23,tbSkills!DH3:DJ6,3,FALSE),0),0))&gt;=100,100,(Backdoors!AI12+IF(CA29&gt;=0.45,VLOOKUP(Calculator!E23,tbSkills!DH3:DI6,2,FALSE)+IF(AND(Calculator!B8=TRUE,Backdoors!BI14=TRUE),VLOOKUP(Calculator!E23,tbSkills!DH3:DJ6,3,FALSE),0),0)))/100)),1))*IF(VLOOKUP(A29,tbMoveset!A2:K112,11,FALSE)=TRUE,Backdoors!AC5,1))*CB29,0),"")</f>
        <v>0</v>
      </c>
      <c r="CF29" s="49">
        <f>VLOOKUP(A29,tbMoveset!A2:G112,7,FALSE)*IFERROR(IF(Backdoors!AI12&gt;=0,1+(IF(Calculator!E40&gt;0,VLOOKUP(Calculator!E40,tbSkills!AI3:AJ5,2,FALSE),Backdoors!AL4)*(IF((Backdoors!AI12+IF(CA29&gt;=0.45,VLOOKUP(Calculator!E23,tbSkills!DH3:DI6,2,FALSE)+IF(AND(Calculator!B8=TRUE,Backdoors!BI14=TRUE),VLOOKUP(Calculator!E23,tbSkills!DH3:DJ6,3,FALSE),0),0))&gt;=100,100,(Backdoors!AI12+IF(CA29&gt;=0.45,VLOOKUP(Calculator!E23,tbSkills!DH3:DI6,2,FALSE)+IF(AND(Calculator!B8=TRUE,Backdoors!BI14=TRUE),VLOOKUP(Calculator!E23,tbSkills!DH3:DJ6,3,FALSE),0),0)))/100)),1),1)</f>
        <v>0.6</v>
      </c>
      <c r="CG29" s="87">
        <f t="shared" si="6"/>
        <v>0</v>
      </c>
      <c r="CH29" s="86" t="str">
        <f>IFERROR(IF(VLOOKUP(A29,tbMoveset!A2:B112,2,FALSE)="Sever",Backdoors!AY15/100,IF(VLOOKUP(A29,tbMoveset!A2:B112,2,FALSE)="Blunt",Backdoors!AZ15/100,Backdoors!BA15/100)),"")</f>
        <v/>
      </c>
      <c r="CI29" s="49">
        <f>IFERROR(IF(VLOOKUP(tbMoveset!A29,tbMoveset!A2:H112,8,FALSE)="Other",IF(VLOOKUP(tbMoveset!A29,tbMoveset!A2:I112,9,FALSE)="Fire",Backdoors!BB15,IF(VLOOKUP(tbMoveset!A29,tbMoveset!A2:I112,9,FALSE)="Water",Backdoors!BC15,IF(VLOOKUP(tbMoveset!A29,tbMoveset!A2:I112,9,FALSE)="Thunder",Backdoors!BD15,IF(VLOOKUP(tbMoveset!A29,tbMoveset!A2:I112,9,FALSE)="Ice",Backdoors!BE15,IF(VLOOKUP(tbMoveset!A29,tbMoveset!A2:I112,9,FALSE)="Dragon",Backdoors!BF15,Backdoors!BG15)))))/100,Backdoors!BG15/100),"")</f>
        <v>0</v>
      </c>
      <c r="CJ29" s="49">
        <f>IFERROR(IF(VLOOKUP(A29,tbMoveset!A2:J112,10,FALSE)=TRUE,IF((Backdoors!AI12+IF(CH29&gt;=0.45,VLOOKUP(Calculator!E23,tbSkills!DH3:DI6,2,FALSE)+IF(AND(Calculator!B8=TRUE,Backdoors!BI15=TRUE),VLOOKUP(Calculator!E23,tbSkills!DH3:DJ6,3,FALSE),0),0))&gt;=0,1+(Backdoors!AL2*(IF((Backdoors!AI12+IF(CH29&gt;=0.45,VLOOKUP(Calculator!E23,tbSkills!DH3:DI6,2,FALSE)+IF(AND(Calculator!B8=TRUE,Backdoors!BI15=TRUE),VLOOKUP(Calculator!E23,tbSkills!DH3:DJ6,3,FALSE),0),0))&gt;=100,100,(Backdoors!AI12+IF(CH29&gt;=0.45,VLOOKUP(Calculator!E23,tbSkills!DH3:DI6,2,FALSE)+IF(AND(Calculator!B8=TRUE,Backdoors!BI15=TRUE),VLOOKUP(Calculator!E23,tbSkills!DH3:DJ6,3,FALSE),0),0)))/100)),(1-(0.25*((-Backdoors!AI12-IF(CH29&gt;=0.45,VLOOKUP(Calculator!E23,tbSkills!DH3:DI6,2,FALSE)+IF(AND(Calculator!B8=TRUE,Backdoors!BI15=TRUE),VLOOKUP(Calculator!E23,tbSkills!DH3:DJ6,3,FALSE),0),0))/100)))),1),"")</f>
        <v>1</v>
      </c>
      <c r="CK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H29)*CJ29)*(VLOOKUP(A29,tbMoveset!A2:C112,3,FALSE)/100)*IF(VLOOKUP(A29,tbMoveset!A2:B112,2,FALSE)="Projectile",Backdoors!N10,Backdoors!N9),0),"")</f>
        <v/>
      </c>
      <c r="CL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H29&gt;=0.45,VLOOKUP(Calculator!E23,tbSkills!DH3:DI6,2,FALSE)+IF(AND(Calculator!B8=TRUE,Backdoors!BI15=TRUE),VLOOKUP(Calculator!E23,tbSkills!DH3:DJ6,3,FALSE),0),0))&gt;=100,100,(Backdoors!AI12+IF(CH29&gt;=0.45,VLOOKUP(Calculator!E23,tbSkills!DH3:DI6,2,FALSE)+IF(AND(Calculator!B8=TRUE,Backdoors!BI15=TRUE),VLOOKUP(Calculator!E23,tbSkills!DH3:DJ6,3,FALSE),0),0)))/100)),1))*IF(VLOOKUP(A29,tbMoveset!A2:K112,11,FALSE)=TRUE,Backdoors!AC5,1))*CI29,0),"")</f>
        <v>0</v>
      </c>
      <c r="CM29" s="49">
        <f>VLOOKUP(A29,tbMoveset!A2:G112,7,FALSE)*IFERROR(IF(Backdoors!AI12&gt;=0,1+(IF(Calculator!E40&gt;0,VLOOKUP(Calculator!E40,tbSkills!AI3:AJ5,2,FALSE),Backdoors!AL4)*(IF((Backdoors!AI12+IF(CH29&gt;=0.45,VLOOKUP(Calculator!E23,tbSkills!DH3:DI6,2,FALSE)+IF(AND(Calculator!B8=TRUE,Backdoors!BI15=TRUE),VLOOKUP(Calculator!E23,tbSkills!DH3:DJ6,3,FALSE),0),0))&gt;=100,100,(Backdoors!AI12+IF(CH29&gt;=0.45,VLOOKUP(Calculator!E23,tbSkills!DH3:DI6,2,FALSE)+IF(AND(Calculator!B8=TRUE,Backdoors!BI15=TRUE),VLOOKUP(Calculator!E23,tbSkills!DH3:DJ6,3,FALSE),0),0)))/100)),1),1)</f>
        <v>0.6</v>
      </c>
      <c r="CN29" s="87">
        <f t="shared" si="7"/>
        <v>0</v>
      </c>
      <c r="CO29" s="86" t="str">
        <f>IFERROR(IF(VLOOKUP(A29,tbMoveset!A2:B112,2,FALSE)="Sever",Backdoors!AY16/100,IF(VLOOKUP(A29,tbMoveset!A2:B112,2,FALSE)="Blunt",Backdoors!AZ16/100,Backdoors!BA16/100)),"")</f>
        <v/>
      </c>
      <c r="CP29" s="49">
        <f>IFERROR(IF(VLOOKUP(tbMoveset!A29,tbMoveset!A2:H112,8,FALSE)="Other",IF(VLOOKUP(tbMoveset!A29,tbMoveset!A2:I112,9,FALSE)="Fire",Backdoors!BB16,IF(VLOOKUP(tbMoveset!A29,tbMoveset!A2:I112,9,FALSE)="Water",Backdoors!BC16,IF(VLOOKUP(tbMoveset!A29,tbMoveset!A2:I112,9,FALSE)="Thunder",Backdoors!BD16,IF(VLOOKUP(tbMoveset!A29,tbMoveset!A2:I112,9,FALSE)="Ice",Backdoors!BE16,IF(VLOOKUP(tbMoveset!A29,tbMoveset!A2:I112,9,FALSE)="Dragon",Backdoors!BF16,Backdoors!BG16)))))/100,Backdoors!BG16/100),"")</f>
        <v>0</v>
      </c>
      <c r="CQ29" s="49">
        <f>IFERROR(IF(VLOOKUP(A29,tbMoveset!A2:J112,10,FALSE)=TRUE,IF((Backdoors!AI12+IF(CO29&gt;=0.45,VLOOKUP(Calculator!E23,tbSkills!DH3:DI6,2,FALSE)+IF(AND(Calculator!B8=TRUE,Backdoors!BI16=TRUE),VLOOKUP(Calculator!E23,tbSkills!DH3:DJ6,3,FALSE),0),0))&gt;=0,1+(Backdoors!AL2*(IF((Backdoors!AI12+IF(CO29&gt;=0.45,VLOOKUP(Calculator!E23,tbSkills!DH3:DI6,2,FALSE)+IF(AND(Calculator!B8=TRUE,Backdoors!BI16=TRUE),VLOOKUP(Calculator!E23,tbSkills!DH3:DJ6,3,FALSE),0),0))&gt;=100,100,(Backdoors!AI12+IF(CO29&gt;=0.45,VLOOKUP(Calculator!E23,tbSkills!DH3:DI6,2,FALSE)+IF(AND(Calculator!B8=TRUE,Backdoors!BI16=TRUE),VLOOKUP(Calculator!E23,tbSkills!DH3:DJ6,3,FALSE),0),0)))/100)),(1-(0.25*((-Backdoors!AI12-IF(CO29&gt;=0.45,VLOOKUP(Calculator!E23,tbSkills!DH3:DI6,2,FALSE)+IF(AND(Calculator!B8=TRUE,Backdoors!BI16=TRUE),VLOOKUP(Calculator!E23,tbSkills!DH3:DJ6,3,FALSE),0),0))/100)))),1),"")</f>
        <v>1</v>
      </c>
      <c r="CR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O29)*CQ29)*(VLOOKUP(A29,tbMoveset!A2:C112,3,FALSE)/100)*IF(VLOOKUP(A29,tbMoveset!A2:B112,2,FALSE)="Projectile",Backdoors!N10,Backdoors!N9),0),"")</f>
        <v/>
      </c>
      <c r="CS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O29&gt;=0.45,VLOOKUP(Calculator!E23,tbSkills!DH3:DI6,2,FALSE)+IF(AND(Calculator!B8=TRUE,Backdoors!BI16=TRUE),VLOOKUP(Calculator!E23,tbSkills!DH3:DJ6,3,FALSE),0),0))&gt;=100,100,(Backdoors!AI12+IF(CO29&gt;=0.45,VLOOKUP(Calculator!E23,tbSkills!DH3:DI6,2,FALSE)+IF(AND(Calculator!B8=TRUE,Backdoors!BI16=TRUE),VLOOKUP(Calculator!E23,tbSkills!DH3:DJ6,3,FALSE),0),0)))/100)),1))*IF(VLOOKUP(A29,tbMoveset!A2:K112,11,FALSE)=TRUE,Backdoors!AC5,1))*CP29,0),"")</f>
        <v>0</v>
      </c>
      <c r="CT29" s="49">
        <f>VLOOKUP(A29,tbMoveset!A2:G112,7,FALSE)*IFERROR(IF(Backdoors!AI12&gt;=0,1+(IF(Calculator!E40&gt;0,VLOOKUP(Calculator!E40,tbSkills!AI3:AJ5,2,FALSE),Backdoors!AL4)*(IF((Backdoors!AI12+IF(CO29&gt;=0.45,VLOOKUP(Calculator!E23,tbSkills!DH3:DI6,2,FALSE)+IF(AND(Calculator!B8=TRUE,Backdoors!BI16=TRUE),VLOOKUP(Calculator!E23,tbSkills!DH3:DJ6,3,FALSE),0),0))&gt;=100,100,(Backdoors!AI12+IF(CO29&gt;=0.45,VLOOKUP(Calculator!E23,tbSkills!DH3:DI6,2,FALSE)+IF(AND(Calculator!B8=TRUE,Backdoors!BI16=TRUE),VLOOKUP(Calculator!E23,tbSkills!DH3:DJ6,3,FALSE),0),0)))/100)),1),1)</f>
        <v>0.6</v>
      </c>
      <c r="CU29" s="87">
        <f t="shared" si="40"/>
        <v>0</v>
      </c>
      <c r="CV29" s="86" t="str">
        <f>IFERROR(IF(VLOOKUP(A29,tbMoveset!A2:B112,2,FALSE)="Sever",Backdoors!AY17/100,IF(VLOOKUP(A29,tbMoveset!A2:B112,2,FALSE)="Blunt",Backdoors!AZ17/100,Backdoors!BA17/100)),"")</f>
        <v/>
      </c>
      <c r="CW29" s="49">
        <f>IFERROR(IF(VLOOKUP(tbMoveset!A29,tbMoveset!A2:H112,8,FALSE)="Other",IF(VLOOKUP(tbMoveset!A29,tbMoveset!A2:I112,9,FALSE)="Fire",Backdoors!BB17,IF(VLOOKUP(tbMoveset!A29,tbMoveset!A2:I112,9,FALSE)="Water",Backdoors!BC17,IF(VLOOKUP(tbMoveset!A29,tbMoveset!A2:I112,9,FALSE)="Thunder",Backdoors!BD17,IF(VLOOKUP(tbMoveset!A29,tbMoveset!A2:I112,9,FALSE)="Ice",Backdoors!BE17,IF(VLOOKUP(tbMoveset!A29,tbMoveset!A2:I112,9,FALSE)="Dragon",Backdoors!BF17,Backdoors!BG17)))))/100,Backdoors!BG17/100),"")</f>
        <v>0</v>
      </c>
      <c r="CX29" s="49">
        <f>IFERROR(IF(VLOOKUP(A29,tbMoveset!A2:J112,10,FALSE)=TRUE,IF((Backdoors!AI12+IF(CV29&gt;=0.45,VLOOKUP(Calculator!E23,tbSkills!DH3:DI6,2,FALSE)+IF(AND(Calculator!B8=TRUE,Backdoors!BI17=TRUE),VLOOKUP(Calculator!E23,tbSkills!DH3:DJ6,3,FALSE),0),0))&gt;=0,1+(Backdoors!AL2*(IF((Backdoors!AI12+IF(CV29&gt;=0.45,VLOOKUP(Calculator!E23,tbSkills!DH3:DI6,2,FALSE)+IF(AND(Calculator!B8=TRUE,Backdoors!BI17=TRUE),VLOOKUP(Calculator!E23,tbSkills!DH3:DJ6,3,FALSE),0),0))&gt;=100,100,(Backdoors!AI12+IF(CV29&gt;=0.45,VLOOKUP(Calculator!E23,tbSkills!DH3:DI6,2,FALSE)+IF(AND(Calculator!B8=TRUE,Backdoors!BI17=TRUE),VLOOKUP(Calculator!E23,tbSkills!DH3:DJ6,3,FALSE),0),0)))/100)),(1-(0.25*((-Backdoors!AI12-IF(CV29&gt;=0.45,VLOOKUP(Calculator!E23,tbSkills!DH3:DI6,2,FALSE)+IF(AND(Calculator!B8=TRUE,Backdoors!BI17=TRUE),VLOOKUP(Calculator!E23,tbSkills!DH3:DJ6,3,FALSE),0),0))/100)))),1),"")</f>
        <v>1</v>
      </c>
      <c r="CY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V29)*CX29)*(VLOOKUP(A29,tbMoveset!A2:C112,3,FALSE)/100)*IF(VLOOKUP(A29,tbMoveset!A2:B112,2,FALSE)="Projectile",Backdoors!N10,Backdoors!N9),0),"")</f>
        <v/>
      </c>
      <c r="CZ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V29&gt;=0.45,VLOOKUP(Calculator!E23,tbSkills!DH3:DI6,2,FALSE)+IF(AND(Calculator!B8=TRUE,Backdoors!BI17=TRUE),VLOOKUP(Calculator!E23,tbSkills!DH3:DJ6,3,FALSE),0),0))&gt;=100,100,(Backdoors!AI12+IF(CV29&gt;=0.45,VLOOKUP(Calculator!E23,tbSkills!DH3:DI6,2,FALSE)+IF(AND(Calculator!B8=TRUE,Backdoors!BI17=TRUE),VLOOKUP(Calculator!E23,tbSkills!DH3:DJ6,3,FALSE),0),0)))/100)),1))*IF(VLOOKUP(A29,tbMoveset!A2:K112,11,FALSE)=TRUE,Backdoors!AC5,1))*CW29,0),"")</f>
        <v>0</v>
      </c>
      <c r="DA29" s="49">
        <f>VLOOKUP(A29,tbMoveset!A2:G112,7,FALSE)*IFERROR(IF(Backdoors!AI12&gt;=0,1+(IF(Calculator!E40&gt;0,VLOOKUP(Calculator!E40,tbSkills!AI3:AJ5,2,FALSE),Backdoors!AL4)*(IF((Backdoors!AI12+IF(CV29&gt;=0.45,VLOOKUP(Calculator!E23,tbSkills!DH3:DI6,2,FALSE)+IF(AND(Calculator!B8=TRUE,Backdoors!BI17=TRUE),VLOOKUP(Calculator!E23,tbSkills!DH3:DJ6,3,FALSE),0),0))&gt;=100,100,(Backdoors!AI12+IF(CV29&gt;=0.45,VLOOKUP(Calculator!E23,tbSkills!DH3:DI6,2,FALSE)+IF(AND(Calculator!B8=TRUE,Backdoors!BI17=TRUE),VLOOKUP(Calculator!E23,tbSkills!DH3:DJ6,3,FALSE),0),0)))/100)),1),1)</f>
        <v>0.6</v>
      </c>
      <c r="DB29" s="87">
        <f t="shared" si="8"/>
        <v>0</v>
      </c>
      <c r="DC29" s="86" t="str">
        <f>IFERROR(IF(VLOOKUP(A29,tbMoveset!A2:B112,2,FALSE)="Sever",Backdoors!AY18/100,IF(VLOOKUP(A29,tbMoveset!A2:B112,2,FALSE)="Blunt",Backdoors!AZ18/100,Backdoors!BA18/100)),"")</f>
        <v/>
      </c>
      <c r="DD29" s="49">
        <f>IFERROR(IF(VLOOKUP(tbMoveset!A29,tbMoveset!A2:H112,8,FALSE)="Other",IF(VLOOKUP(tbMoveset!A29,tbMoveset!A2:I112,9,FALSE)="Fire",Backdoors!BB18,IF(VLOOKUP(tbMoveset!A29,tbMoveset!A2:I112,9,FALSE)="Water",Backdoors!BC18,IF(VLOOKUP(tbMoveset!A29,tbMoveset!A2:I112,9,FALSE)="Thunder",Backdoors!BD18,IF(VLOOKUP(tbMoveset!A29,tbMoveset!A2:I112,9,FALSE)="Ice",Backdoors!BE18,IF(VLOOKUP(tbMoveset!A29,tbMoveset!A2:I112,9,FALSE)="Dragon",Backdoors!BF18,Backdoors!BG18)))))/100,Backdoors!BG18/100),"")</f>
        <v>0</v>
      </c>
      <c r="DE29" s="49">
        <f>IFERROR(IF(VLOOKUP(A29,tbMoveset!A2:J112,10,FALSE)=TRUE,IF((Backdoors!AI12+IF(DC29&gt;=0.45,VLOOKUP(Calculator!E23,tbSkills!DH3:DI6,2,FALSE)+IF(AND(Calculator!B8=TRUE,Backdoors!BI18=TRUE),VLOOKUP(Calculator!E23,tbSkills!DH3:DJ6,3,FALSE),0),0))&gt;=0,1+(Backdoors!AL2*(IF((Backdoors!AI12+IF(DC29&gt;=0.45,VLOOKUP(Calculator!E23,tbSkills!DH3:DI6,2,FALSE)+IF(AND(Calculator!B8=TRUE,Backdoors!BI18=TRUE),VLOOKUP(Calculator!E23,tbSkills!DH3:DJ6,3,FALSE),0),0))&gt;=100,100,(Backdoors!AI12+IF(DC29&gt;=0.45,VLOOKUP(Calculator!E23,tbSkills!DH3:DI6,2,FALSE)+IF(AND(Calculator!B8=TRUE,Backdoors!BI18=TRUE),VLOOKUP(Calculator!E23,tbSkills!DH3:DJ6,3,FALSE),0),0)))/100)),(1-(0.25*((-Backdoors!AI12-IF(DC29&gt;=0.45,VLOOKUP(Calculator!E23,tbSkills!DH3:DI6,2,FALSE)+IF(AND(Calculator!B8=TRUE,Backdoors!BI18=TRUE),VLOOKUP(Calculator!E23,tbSkills!DH3:DJ6,3,FALSE),0),0))/100)))),1),"")</f>
        <v>1</v>
      </c>
      <c r="DF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C29)*DE29)*(VLOOKUP(A29,tbMoveset!A2:C112,3,FALSE)/100)*IF(VLOOKUP(A29,tbMoveset!A2:B112,2,FALSE)="Projectile",Backdoors!N10,Backdoors!N9),0),"")</f>
        <v/>
      </c>
      <c r="DG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C29&gt;=0.45,VLOOKUP(Calculator!E23,tbSkills!DH3:DI6,2,FALSE)+IF(AND(Calculator!B8=TRUE,Backdoors!BI18=TRUE),VLOOKUP(Calculator!E23,tbSkills!DH3:DJ6,3,FALSE),0),0))&gt;=100,100,(Backdoors!AI12+IF(DC29&gt;=0.45,VLOOKUP(Calculator!E23,tbSkills!DH3:DI6,2,FALSE)+IF(AND(Calculator!B8=TRUE,Backdoors!BI18=TRUE),VLOOKUP(Calculator!E23,tbSkills!DH3:DJ6,3,FALSE),0),0)))/100)),1))*IF(VLOOKUP(A29,tbMoveset!A2:K112,11,FALSE)=TRUE,Backdoors!AC5,1))*DD29,0),"")</f>
        <v>0</v>
      </c>
      <c r="DH29" s="49">
        <f>VLOOKUP(A29,tbMoveset!A2:G112,7,FALSE)*IFERROR(IF(Backdoors!AI12&gt;=0,1+(IF(Calculator!E40&gt;0,VLOOKUP(Calculator!E40,tbSkills!AI3:AJ5,2,FALSE),Backdoors!AL4)*(IF((Backdoors!AI12+IF(DC29&gt;=0.45,VLOOKUP(Calculator!E23,tbSkills!DH3:DI6,2,FALSE)+IF(AND(Calculator!B8=TRUE,Backdoors!BI18=TRUE),VLOOKUP(Calculator!E23,tbSkills!DH3:DJ6,3,FALSE),0),0))&gt;=100,100,(Backdoors!AI12+IF(DC29&gt;=0.45,VLOOKUP(Calculator!E23,tbSkills!DH3:DI6,2,FALSE)+IF(AND(Calculator!B8=TRUE,Backdoors!BI18=TRUE),VLOOKUP(Calculator!E23,tbSkills!DH3:DJ6,3,FALSE),0),0)))/100)),1),1)</f>
        <v>0.6</v>
      </c>
      <c r="DI29" s="87">
        <f t="shared" si="9"/>
        <v>0</v>
      </c>
      <c r="DJ29" s="86" t="str">
        <f>IFERROR(IF(VLOOKUP(A29,tbMoveset!A2:B112,2,FALSE)="Sever",Backdoors!AY19/100,IF(VLOOKUP(A29,tbMoveset!A2:B112,2,FALSE)="Blunt",Backdoors!AZ19/100,Backdoors!BA19/100)),"")</f>
        <v/>
      </c>
      <c r="DK29" s="49">
        <f>IFERROR(IF(VLOOKUP(tbMoveset!A29,tbMoveset!A2:H112,8,FALSE)="Other",IF(VLOOKUP(tbMoveset!A29,tbMoveset!A2:I112,9,FALSE)="Fire",Backdoors!BB19,IF(VLOOKUP(tbMoveset!A29,tbMoveset!A2:I112,9,FALSE)="Water",Backdoors!BC19,IF(VLOOKUP(tbMoveset!A29,tbMoveset!A2:I112,9,FALSE)="Thunder",Backdoors!BD19,IF(VLOOKUP(tbMoveset!A29,tbMoveset!A2:I112,9,FALSE)="Ice",Backdoors!BE19,IF(VLOOKUP(tbMoveset!A29,tbMoveset!A2:I112,9,FALSE)="Dragon",Backdoors!BF19,Backdoors!BG19)))))/100,Backdoors!BG19/100),"")</f>
        <v>0</v>
      </c>
      <c r="DL29" s="49">
        <f>IFERROR(IF(VLOOKUP(A29,tbMoveset!A2:J112,10,FALSE)=TRUE,IF((Backdoors!AI12+IF(DJ29&gt;=0.45,VLOOKUP(Calculator!E23,tbSkills!DH3:DI6,2,FALSE)+IF(AND(Calculator!B8=TRUE,Backdoors!BI19=TRUE),VLOOKUP(Calculator!E23,tbSkills!DH3:DJ6,3,FALSE),0),0))&gt;=0,1+(Backdoors!AL2*(IF((Backdoors!AI12+IF(DJ29&gt;=0.45,VLOOKUP(Calculator!E23,tbSkills!DH3:DI6,2,FALSE)+IF(AND(Calculator!B8=TRUE,Backdoors!BI19=TRUE),VLOOKUP(Calculator!E23,tbSkills!DH3:DJ6,3,FALSE),0),0))&gt;=100,100,(Backdoors!AI12+IF(DJ29&gt;=0.45,VLOOKUP(Calculator!E23,tbSkills!DH3:DI6,2,FALSE)+IF(AND(Calculator!B8=TRUE,Backdoors!BI19=TRUE),VLOOKUP(Calculator!E23,tbSkills!DH3:DJ6,3,FALSE),0),0)))/100)),(1-(0.25*((-Backdoors!AI12-IF(DJ29&gt;=0.45,VLOOKUP(Calculator!E23,tbSkills!DH3:DI6,2,FALSE)+IF(AND(Calculator!B8=TRUE,Backdoors!BI19=TRUE),VLOOKUP(Calculator!E23,tbSkills!DH3:DJ6,3,FALSE),0),0))/100)))),1),"")</f>
        <v>1</v>
      </c>
      <c r="DM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J29)*DL29)*(VLOOKUP(A29,tbMoveset!A2:C112,3,FALSE)/100)*IF(VLOOKUP(A29,tbMoveset!A2:B112,2,FALSE)="Projectile",Backdoors!N10,Backdoors!N9),0),"")</f>
        <v/>
      </c>
      <c r="DN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J29&gt;=0.45,VLOOKUP(Calculator!E23,tbSkills!DH3:DI6,2,FALSE)+IF(AND(Calculator!B8=TRUE,Backdoors!BI19=TRUE),VLOOKUP(Calculator!E23,tbSkills!DH3:DJ6,3,FALSE),0),0))&gt;=100,100,(Backdoors!AI12+IF(DJ29&gt;=0.45,VLOOKUP(Calculator!E23,tbSkills!DH3:DI6,2,FALSE)+IF(AND(Calculator!B8=TRUE,Backdoors!BI19=TRUE),VLOOKUP(Calculator!E23,tbSkills!DH3:DJ6,3,FALSE),0),0)))/100)),1))*IF(VLOOKUP(A29,tbMoveset!A2:K112,11,FALSE)=TRUE,Backdoors!AC5,1))*DK29,0),"")</f>
        <v>0</v>
      </c>
      <c r="DO29" s="49">
        <f>VLOOKUP(A29,tbMoveset!A2:G112,7,FALSE)*IFERROR(IF(Backdoors!AI12&gt;=0,1+(IF(Calculator!E40&gt;0,VLOOKUP(Calculator!E40,tbSkills!AI3:AJ5,2,FALSE),Backdoors!AL4)*(IF((Backdoors!AI12+IF(DJ29&gt;=0.45,VLOOKUP(Calculator!E23,tbSkills!DH3:DI6,2,FALSE)+IF(AND(Calculator!B8=TRUE,Backdoors!BI19=TRUE),VLOOKUP(Calculator!E23,tbSkills!DH3:DJ6,3,FALSE),0),0))&gt;=100,100,(Backdoors!AI12+IF(DJ29&gt;=0.45,VLOOKUP(Calculator!E23,tbSkills!DH3:DI6,2,FALSE)+IF(AND(Calculator!B8=TRUE,Backdoors!BI19=TRUE),VLOOKUP(Calculator!E23,tbSkills!DH3:DJ6,3,FALSE),0),0)))/100)),1),1)</f>
        <v>0.6</v>
      </c>
      <c r="DP29" s="87">
        <f t="shared" si="41"/>
        <v>0</v>
      </c>
      <c r="DQ29" s="86" t="str">
        <f>IFERROR(IF(VLOOKUP(A29,tbMoveset!A2:B112,2,FALSE)="Sever",Backdoors!AY20/100,IF(VLOOKUP(A29,tbMoveset!A2:B112,2,FALSE)="Blunt",Backdoors!AZ20/100,Backdoors!BA20/100)),"")</f>
        <v/>
      </c>
      <c r="DR29" s="49">
        <f>IFERROR(IF(VLOOKUP(tbMoveset!A29,tbMoveset!A2:H112,8,FALSE)="Other",IF(VLOOKUP(tbMoveset!A29,tbMoveset!A2:I112,9,FALSE)="Fire",Backdoors!BB20,IF(VLOOKUP(tbMoveset!A29,tbMoveset!A2:I112,9,FALSE)="Water",Backdoors!BC20,IF(VLOOKUP(tbMoveset!A29,tbMoveset!A2:I112,9,FALSE)="Thunder",Backdoors!BD20,IF(VLOOKUP(tbMoveset!A29,tbMoveset!A2:I112,9,FALSE)="Ice",Backdoors!BE20,IF(VLOOKUP(tbMoveset!A29,tbMoveset!A2:I112,9,FALSE)="Dragon",Backdoors!BF20,Backdoors!BG20)))))/100,Backdoors!BG20/100),"")</f>
        <v>0</v>
      </c>
      <c r="DS29" s="49">
        <f>IFERROR(IF(VLOOKUP(A29,tbMoveset!A2:J112,10,FALSE)=TRUE,IF((Backdoors!AI12+IF(DQ29&gt;=0.45,VLOOKUP(Calculator!E23,tbSkills!DH3:DI6,2,FALSE)+IF(AND(Calculator!B8=TRUE,Backdoors!BI20=TRUE),VLOOKUP(Calculator!E23,tbSkills!DH3:DJ6,3,FALSE),0),0))&gt;=0,1+(Backdoors!AL2*(IF((Backdoors!AI12+IF(DQ29&gt;=0.45,VLOOKUP(Calculator!E23,tbSkills!DH3:DI6,2,FALSE)+IF(AND(Calculator!B8=TRUE,Backdoors!BI20=TRUE),VLOOKUP(Calculator!E23,tbSkills!DH3:DJ6,3,FALSE),0),0))&gt;=100,100,(Backdoors!AI12+IF(DQ29&gt;=0.45,VLOOKUP(Calculator!E23,tbSkills!DH3:DI6,2,FALSE)+IF(AND(Calculator!B8=TRUE,Backdoors!BI20=TRUE),VLOOKUP(Calculator!E23,tbSkills!DH3:DJ6,3,FALSE),0),0)))/100)),(1-(0.25*((-Backdoors!AI12-IF(DQ29&gt;=0.45,VLOOKUP(Calculator!E23,tbSkills!DH3:DI6,2,FALSE)+IF(AND(Calculator!B8=TRUE,Backdoors!BI20=TRUE),VLOOKUP(Calculator!E23,tbSkills!DH3:DJ6,3,FALSE),0),0))/100)))),1),"")</f>
        <v>1</v>
      </c>
      <c r="DT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Q29)*DS29)*(VLOOKUP(A29,tbMoveset!A2:C112,3,FALSE)/100)*IF(VLOOKUP(A29,tbMoveset!A2:B112,2,FALSE)="Projectile",Backdoors!N10,Backdoors!N9),0),"")</f>
        <v/>
      </c>
      <c r="DU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Q29&gt;=0.45,VLOOKUP(Calculator!E23,tbSkills!DH3:DI6,2,FALSE)+IF(AND(Calculator!B8=TRUE,Backdoors!BI20=TRUE),VLOOKUP(Calculator!E23,tbSkills!DH3:DJ6,3,FALSE),0),0))&gt;=100,100,(Backdoors!AI12+IF(DQ29&gt;=0.45,VLOOKUP(Calculator!E23,tbSkills!DH3:DI6,2,FALSE)+IF(AND(Calculator!B8=TRUE,Backdoors!BI20=TRUE),VLOOKUP(Calculator!E23,tbSkills!DH3:DJ6,3,FALSE),0),0)))/100)),1))*IF(VLOOKUP(A29,tbMoveset!A2:K112,11,FALSE)=TRUE,Backdoors!AC5,1))*DR29,0),"")</f>
        <v>0</v>
      </c>
      <c r="DV29" s="49">
        <f>VLOOKUP(A29,tbMoveset!A2:G112,7,FALSE)*IFERROR(IF(Backdoors!AI12&gt;=0,1+(IF(Calculator!E40&gt;0,VLOOKUP(Calculator!E40,tbSkills!AI3:AJ5,2,FALSE),Backdoors!AL4)*(IF((Backdoors!AI12+IF(DQ29&gt;=0.45,VLOOKUP(Calculator!E23,tbSkills!DH3:DI6,2,FALSE)+IF(AND(Calculator!B8=TRUE,Backdoors!BI20=TRUE),VLOOKUP(Calculator!E23,tbSkills!DH3:DJ6,3,FALSE),0),0))&gt;=100,100,(Backdoors!AI12+IF(DQ29&gt;=0.45,VLOOKUP(Calculator!E23,tbSkills!DH3:DI6,2,FALSE)+IF(AND(Calculator!B8=TRUE,Backdoors!BI20=TRUE),VLOOKUP(Calculator!E23,tbSkills!DH3:DJ6,3,FALSE),0),0)))/100)),1),1)</f>
        <v>0.6</v>
      </c>
      <c r="DW29" s="87">
        <f t="shared" si="10"/>
        <v>0</v>
      </c>
      <c r="DX29" s="86" t="str">
        <f>IFERROR(IF(VLOOKUP(A29,tbMoveset!A2:B112,2,FALSE)="Sever",Backdoors!AY21/100,IF(VLOOKUP(A29,tbMoveset!A2:B112,2,FALSE)="Blunt",Backdoors!AZ21/100,Backdoors!BA21/100)),"")</f>
        <v/>
      </c>
      <c r="DY29" s="49">
        <f>IFERROR(IF(VLOOKUP(tbMoveset!A29,tbMoveset!A2:H112,8,FALSE)="Other",IF(VLOOKUP(tbMoveset!A29,tbMoveset!A2:I112,9,FALSE)="Fire",Backdoors!BB21,IF(VLOOKUP(tbMoveset!A29,tbMoveset!A2:I112,9,FALSE)="Water",Backdoors!BC21,IF(VLOOKUP(tbMoveset!A29,tbMoveset!A2:I112,9,FALSE)="Thunder",Backdoors!BD21,IF(VLOOKUP(tbMoveset!A29,tbMoveset!A2:I112,9,FALSE)="Ice",Backdoors!BE21,IF(VLOOKUP(tbMoveset!A29,tbMoveset!A2:I112,9,FALSE)="Dragon",Backdoors!BF21,Backdoors!BG21)))))/100,Backdoors!BG21/100),"")</f>
        <v>0</v>
      </c>
      <c r="DZ29" s="49">
        <f>IFERROR(IF(VLOOKUP(A29,tbMoveset!A2:J112,10,FALSE)=TRUE,IF((Backdoors!AI12+IF(DX29&gt;=0.45,VLOOKUP(Calculator!E23,tbSkills!DH3:DI6,2,FALSE)+IF(AND(Calculator!B8=TRUE,Backdoors!BI21=TRUE),VLOOKUP(Calculator!E23,tbSkills!DH3:DJ6,3,FALSE),0),0))&gt;=0,1+(Backdoors!AL2*(IF((Backdoors!AI12+IF(DX29&gt;=0.45,VLOOKUP(Calculator!E23,tbSkills!DH3:DI6,2,FALSE)+IF(AND(Calculator!B8=TRUE,Backdoors!BI21=TRUE),VLOOKUP(Calculator!E23,tbSkills!DH3:DJ6,3,FALSE),0),0))&gt;=100,100,(Backdoors!AI12+IF(DX29&gt;=0.45,VLOOKUP(Calculator!E23,tbSkills!DH3:DI6,2,FALSE)+IF(AND(Calculator!B8=TRUE,Backdoors!BI21=TRUE),VLOOKUP(Calculator!E23,tbSkills!DH3:DJ6,3,FALSE),0),0)))/100)),(1-(0.25*((-Backdoors!AI12-IF(DX29&gt;=0.45,VLOOKUP(Calculator!E23,tbSkills!DH3:DI6,2,FALSE)+IF(AND(Calculator!B8=TRUE,Backdoors!BI21=TRUE),VLOOKUP(Calculator!E23,tbSkills!DH3:DJ6,3,FALSE),0),0))/100)))),1),"")</f>
        <v>1</v>
      </c>
      <c r="EA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X29)*DZ29)*(VLOOKUP(A29,tbMoveset!A2:C112,3,FALSE)/100)*IF(VLOOKUP(A29,tbMoveset!A2:B112,2,FALSE)="Projectile",Backdoors!N10,Backdoors!N9),0),"")</f>
        <v/>
      </c>
      <c r="EB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X29&gt;=0.45,VLOOKUP(Calculator!E23,tbSkills!DH3:DI6,2,FALSE)+IF(AND(Calculator!B8=TRUE,Backdoors!BI21=TRUE),VLOOKUP(Calculator!E23,tbSkills!DH3:DJ6,3,FALSE),0),0))&gt;=100,100,(Backdoors!AI12+IF(DX29&gt;=0.45,VLOOKUP(Calculator!E23,tbSkills!DH3:DI6,2,FALSE)+IF(AND(Calculator!B8=TRUE,Backdoors!BI21=TRUE),VLOOKUP(Calculator!E23,tbSkills!DH3:DJ6,3,FALSE),0),0)))/100)),1))*IF(VLOOKUP(A29,tbMoveset!A2:K112,11,FALSE)=TRUE,Backdoors!AC5,1))*DY29,0),"")</f>
        <v>0</v>
      </c>
      <c r="EC29" s="49">
        <f>VLOOKUP(A29,tbMoveset!A2:G112,7,FALSE)*IFERROR(IF(Backdoors!AI12&gt;=0,1+(IF(Calculator!E40&gt;0,VLOOKUP(Calculator!E40,tbSkills!AI3:AJ5,2,FALSE),Backdoors!AL4)*(IF((Backdoors!AI12+IF(DX29&gt;=0.45,VLOOKUP(Calculator!E23,tbSkills!DH3:DI6,2,FALSE)+IF(AND(Calculator!B8=TRUE,Backdoors!BI21=TRUE),VLOOKUP(Calculator!E23,tbSkills!DH3:DJ6,3,FALSE),0),0))&gt;=100,100,(Backdoors!AI12+IF(DX29&gt;=0.45,VLOOKUP(Calculator!E23,tbSkills!DH3:DI6,2,FALSE)+IF(AND(Calculator!B8=TRUE,Backdoors!BI21=TRUE),VLOOKUP(Calculator!E23,tbSkills!DH3:DJ6,3,FALSE),0),0)))/100)),1),1)</f>
        <v>0.6</v>
      </c>
      <c r="ED29" s="87">
        <f t="shared" si="11"/>
        <v>0</v>
      </c>
      <c r="EE29" s="86" t="str">
        <f>IFERROR(IF(VLOOKUP(A29,tbMoveset!A2:B112,2,FALSE)="Sever",Backdoors!AY22/100,IF(VLOOKUP(A29,tbMoveset!A2:B112,2,FALSE)="Blunt",Backdoors!AZ22/100,Backdoors!BA22/100)),"")</f>
        <v/>
      </c>
      <c r="EF29" s="49">
        <f>IFERROR(IF(VLOOKUP(tbMoveset!A29,tbMoveset!A2:H112,8,FALSE)="Other",IF(VLOOKUP(tbMoveset!A29,tbMoveset!A2:I112,9,FALSE)="Fire",Backdoors!BB22,IF(VLOOKUP(tbMoveset!A29,tbMoveset!A2:I112,9,FALSE)="Water",Backdoors!BC22,IF(VLOOKUP(tbMoveset!A29,tbMoveset!A2:I112,9,FALSE)="Thunder",Backdoors!BD22,IF(VLOOKUP(tbMoveset!A29,tbMoveset!A2:I112,9,FALSE)="Ice",Backdoors!BE22,IF(VLOOKUP(tbMoveset!A29,tbMoveset!A2:I112,9,FALSE)="Dragon",Backdoors!BF22,Backdoors!BG22)))))/100,Backdoors!BG22/100),"")</f>
        <v>0</v>
      </c>
      <c r="EG29" s="49">
        <f>IFERROR(IF(VLOOKUP(A29,tbMoveset!A2:J112,10,FALSE)=TRUE,IF((Backdoors!AI12+IF(EE29&gt;=0.45,VLOOKUP(Calculator!E23,tbSkills!DH3:DI6,2,FALSE)+IF(AND(Calculator!B8=TRUE,Backdoors!BI22=TRUE),VLOOKUP(Calculator!E23,tbSkills!DH3:DJ6,3,FALSE),0),0))&gt;=0,1+(Backdoors!AL2*(IF((Backdoors!AI12+IF(EE29&gt;=0.45,VLOOKUP(Calculator!E23,tbSkills!DH3:DI6,2,FALSE)+IF(AND(Calculator!B8=TRUE,Backdoors!BI22=TRUE),VLOOKUP(Calculator!E23,tbSkills!DH3:DJ6,3,FALSE),0),0))&gt;=100,100,(Backdoors!AI12+IF(EE29&gt;=0.45,VLOOKUP(Calculator!E23,tbSkills!DH3:DI6,2,FALSE)+IF(AND(Calculator!B8=TRUE,Backdoors!BI22=TRUE),VLOOKUP(Calculator!E23,tbSkills!DH3:DJ6,3,FALSE),0),0)))/100)),(1-(0.25*((-Backdoors!AI12-IF(EE29&gt;=0.45,VLOOKUP(Calculator!E23,tbSkills!DH3:DI6,2,FALSE)+IF(AND(Calculator!B8=TRUE,Backdoors!BI22=TRUE),VLOOKUP(Calculator!E23,tbSkills!DH3:DJ6,3,FALSE),0),0))/100)))),1),"")</f>
        <v>1</v>
      </c>
      <c r="EH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E29)*EG29)*(VLOOKUP(A29,tbMoveset!A2:C112,3,FALSE)/100)*IF(VLOOKUP(A29,tbMoveset!A2:B112,2,FALSE)="Projectile",Backdoors!N10,Backdoors!N9),0),"")</f>
        <v/>
      </c>
      <c r="EI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E29&gt;=0.45,VLOOKUP(Calculator!E23,tbSkills!DH3:DI6,2,FALSE)+IF(AND(Calculator!B8=TRUE,Backdoors!BI22=TRUE),VLOOKUP(Calculator!E23,tbSkills!DH3:DJ6,3,FALSE),0),0))&gt;=100,100,(Backdoors!AI12+IF(EE29&gt;=0.45,VLOOKUP(Calculator!E23,tbSkills!DH3:DI6,2,FALSE)+IF(AND(Calculator!B8=TRUE,Backdoors!BI22=TRUE),VLOOKUP(Calculator!E23,tbSkills!DH3:DJ6,3,FALSE),0),0)))/100)),1))*IF(VLOOKUP(A29,tbMoveset!A2:K112,11,FALSE)=TRUE,Backdoors!AC5,1))*EF29,0),"")</f>
        <v>0</v>
      </c>
      <c r="EJ29" s="49">
        <f>VLOOKUP(A29,tbMoveset!A2:G112,7,FALSE)*IFERROR(IF(Backdoors!AI12&gt;=0,1+(IF(Calculator!E40&gt;0,VLOOKUP(Calculator!E40,tbSkills!AI3:AJ5,2,FALSE),Backdoors!AL4)*(IF((Backdoors!AI12+IF(EE29&gt;=0.45,VLOOKUP(Calculator!E23,tbSkills!DH3:DI6,2,FALSE)+IF(AND(Calculator!B8=TRUE,Backdoors!BI22=TRUE),VLOOKUP(Calculator!E23,tbSkills!DH3:DJ6,3,FALSE),0),0))&gt;=100,100,(Backdoors!AI12+IF(EE29&gt;=0.45,VLOOKUP(Calculator!E23,tbSkills!DH3:DI6,2,FALSE)+IF(AND(Calculator!B8=TRUE,Backdoors!BI22=TRUE),VLOOKUP(Calculator!E23,tbSkills!DH3:DJ6,3,FALSE),0),0)))/100)),1),1)</f>
        <v>0.6</v>
      </c>
      <c r="EK29" s="87">
        <f t="shared" si="12"/>
        <v>0</v>
      </c>
      <c r="EL29" s="86" t="str">
        <f>IFERROR(IF(VLOOKUP(A29,tbMoveset!A2:B112,2,FALSE)="Sever",Backdoors!AY23/100,IF(VLOOKUP(A29,tbMoveset!A2:B112,2,FALSE)="Blunt",Backdoors!AZ23/100,Backdoors!BA23/100)),"")</f>
        <v/>
      </c>
      <c r="EM29" s="49">
        <f>IFERROR(IF(VLOOKUP(tbMoveset!A29,tbMoveset!A2:H112,8,FALSE)="Other",IF(VLOOKUP(tbMoveset!A29,tbMoveset!A2:I112,9,FALSE)="Fire",Backdoors!BB23,IF(VLOOKUP(tbMoveset!A29,tbMoveset!A2:I112,9,FALSE)="Water",Backdoors!BC23,IF(VLOOKUP(tbMoveset!A29,tbMoveset!A2:I112,9,FALSE)="Thunder",Backdoors!BD23,IF(VLOOKUP(tbMoveset!A29,tbMoveset!A2:I112,9,FALSE)="Ice",Backdoors!BE23,IF(VLOOKUP(tbMoveset!A29,tbMoveset!A2:I112,9,FALSE)="Dragon",Backdoors!BF23,Backdoors!BG23)))))/100,Backdoors!BG23/100),"")</f>
        <v>0</v>
      </c>
      <c r="EN29" s="49">
        <f>IFERROR(IF(VLOOKUP(A29,tbMoveset!A2:J112,10,FALSE)=TRUE,IF((Backdoors!AI12+IF(EL29&gt;=0.45,VLOOKUP(Calculator!E23,tbSkills!DH3:DI6,2,FALSE)+IF(AND(Calculator!B8=TRUE,Backdoors!BI23=TRUE),VLOOKUP(Calculator!E23,tbSkills!DH3:DJ6,3,FALSE),0),0))&gt;=0,1+(Backdoors!AL2*(IF((Backdoors!AI12+IF(EL29&gt;=0.45,VLOOKUP(Calculator!E23,tbSkills!DH3:DI6,2,FALSE)+IF(AND(Calculator!B8=TRUE,Backdoors!BI23=TRUE),VLOOKUP(Calculator!E23,tbSkills!DH3:DJ6,3,FALSE),0),0))&gt;=100,100,(Backdoors!AI12+IF(EL29&gt;=0.45,VLOOKUP(Calculator!E23,tbSkills!DH3:DI6,2,FALSE)+IF(AND(Calculator!B8=TRUE,Backdoors!BI23=TRUE),VLOOKUP(Calculator!E23,tbSkills!DH3:DJ6,3,FALSE),0),0)))/100)),(1-(0.25*((-Backdoors!AI12-IF(EL29&gt;=0.45,VLOOKUP(Calculator!E23,tbSkills!DH3:DI6,2,FALSE)+IF(AND(Calculator!B8=TRUE,Backdoors!BI23=TRUE),VLOOKUP(Calculator!E23,tbSkills!DH3:DJ6,3,FALSE),0),0))/100)))),1),"")</f>
        <v>1</v>
      </c>
      <c r="EO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L29)*EN29)*(VLOOKUP(A29,tbMoveset!A2:C112,3,FALSE)/100)*IF(VLOOKUP(A29,tbMoveset!A2:B112,2,FALSE)="Projectile",Backdoors!N10,Backdoors!N9),0),"")</f>
        <v/>
      </c>
      <c r="EP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L29&gt;=0.45,VLOOKUP(Calculator!E23,tbSkills!DH3:DI6,2,FALSE)+IF(AND(Calculator!B8=TRUE,Backdoors!BI23=TRUE),VLOOKUP(Calculator!E23,tbSkills!DH3:DJ6,3,FALSE),0),0))&gt;=100,100,(Backdoors!AI12+IF(EL29&gt;=0.45,VLOOKUP(Calculator!E23,tbSkills!DH3:DI6,2,FALSE)+IF(AND(Calculator!B8=TRUE,Backdoors!BI23=TRUE),VLOOKUP(Calculator!E23,tbSkills!DH3:DJ6,3,FALSE),0),0)))/100)),1))*IF(VLOOKUP(A29,tbMoveset!A2:K112,11,FALSE)=TRUE,Backdoors!AC5,1))*EM29,0),"")</f>
        <v>0</v>
      </c>
      <c r="EQ29" s="49">
        <f>VLOOKUP(A29,tbMoveset!A2:G112,7,FALSE)*IFERROR(IF(Backdoors!AI12&gt;=0,1+(IF(Calculator!E40&gt;0,VLOOKUP(Calculator!E40,tbSkills!AI3:AJ5,2,FALSE),Backdoors!AL4)*(IF((Backdoors!AI12+IF(EL29&gt;=0.45,VLOOKUP(Calculator!E23,tbSkills!DH3:DI6,2,FALSE)+IF(AND(Calculator!B8=TRUE,Backdoors!BI23=TRUE),VLOOKUP(Calculator!E23,tbSkills!DH3:DJ6,3,FALSE),0),0))&gt;=100,100,(Backdoors!AI12+IF(EL29&gt;=0.45,VLOOKUP(Calculator!E23,tbSkills!DH3:DI6,2,FALSE)+IF(AND(Calculator!B8=TRUE,Backdoors!BI23=TRUE),VLOOKUP(Calculator!E23,tbSkills!DH3:DJ6,3,FALSE),0),0)))/100)),1),1)</f>
        <v>0.6</v>
      </c>
      <c r="ER29" s="87">
        <f t="shared" si="13"/>
        <v>0</v>
      </c>
      <c r="ES29" s="86" t="str">
        <f>IFERROR(IF(VLOOKUP(A29,tbMoveset!A2:B112,2,FALSE)="Sever",Backdoors!AY24/100,IF(VLOOKUP(A29,tbMoveset!A2:B112,2,FALSE)="Blunt",Backdoors!AZ24/100,Backdoors!BA24/100)),"")</f>
        <v/>
      </c>
      <c r="ET29" s="49">
        <f>IFERROR(IF(VLOOKUP(tbMoveset!A29,tbMoveset!A2:H112,8,FALSE)="Other",IF(VLOOKUP(tbMoveset!A29,tbMoveset!A2:I112,9,FALSE)="Fire",Backdoors!BB24,IF(VLOOKUP(tbMoveset!A29,tbMoveset!A2:I112,9,FALSE)="Water",Backdoors!BC24,IF(VLOOKUP(tbMoveset!A29,tbMoveset!A2:I112,9,FALSE)="Thunder",Backdoors!BD24,IF(VLOOKUP(tbMoveset!A29,tbMoveset!A2:I112,9,FALSE)="Ice",Backdoors!BE24,IF(VLOOKUP(tbMoveset!A29,tbMoveset!A2:I112,9,FALSE)="Dragon",Backdoors!BF24,Backdoors!BG24)))))/100,Backdoors!BG24/100),"")</f>
        <v>0</v>
      </c>
      <c r="EU29" s="49">
        <f>IFERROR(IF(VLOOKUP(A29,tbMoveset!A2:J112,10,FALSE)=TRUE,IF((Backdoors!AI12+IF(ES29&gt;=0.45,VLOOKUP(Calculator!E23,tbSkills!DH3:DI6,2,FALSE)+IF(AND(Calculator!B8=TRUE,Backdoors!BI24=TRUE),VLOOKUP(Calculator!E23,tbSkills!DH3:DJ6,3,FALSE),0),0))&gt;=0,1+(Backdoors!AL2*(IF((Backdoors!AI12+IF(ES29&gt;=0.45,VLOOKUP(Calculator!E23,tbSkills!DH3:DI6,2,FALSE)+IF(AND(Calculator!B8=TRUE,Backdoors!BI24=TRUE),VLOOKUP(Calculator!E23,tbSkills!DH3:DJ6,3,FALSE),0),0))&gt;=100,100,(Backdoors!AI12+IF(ES29&gt;=0.45,VLOOKUP(Calculator!E23,tbSkills!DH3:DI6,2,FALSE)+IF(AND(Calculator!B8=TRUE,Backdoors!BI24=TRUE),VLOOKUP(Calculator!E23,tbSkills!DH3:DJ6,3,FALSE),0),0)))/100)),(1-(0.25*((-Backdoors!AI12-IF(ES29&gt;=0.45,VLOOKUP(Calculator!E23,tbSkills!DH3:DI6,2,FALSE)+IF(AND(Calculator!B8=TRUE,Backdoors!BI24=TRUE),VLOOKUP(Calculator!E23,tbSkills!DH3:DJ6,3,FALSE),0),0))/100)))),1),"")</f>
        <v>1</v>
      </c>
      <c r="EV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S29)*EU29)*(VLOOKUP(A29,tbMoveset!A2:C112,3,FALSE)/100)*IF(VLOOKUP(A29,tbMoveset!A2:B112,2,FALSE)="Projectile",Backdoors!N10,Backdoors!N9),0),"")</f>
        <v/>
      </c>
      <c r="EW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S29&gt;=0.45,VLOOKUP(Calculator!E23,tbSkills!DH3:DI6,2,FALSE)+IF(AND(Calculator!B8=TRUE,Backdoors!BI24=TRUE),VLOOKUP(Calculator!E23,tbSkills!DH3:DJ6,3,FALSE),0),0))&gt;=100,100,(Backdoors!AI12+IF(ES29&gt;=0.45,VLOOKUP(Calculator!E23,tbSkills!DH3:DI6,2,FALSE)+IF(AND(Calculator!B8=TRUE,Backdoors!BI24=TRUE),VLOOKUP(Calculator!E23,tbSkills!DH3:DJ6,3,FALSE),0),0)))/100)),1))*IF(VLOOKUP(A29,tbMoveset!A2:K112,11,FALSE)=TRUE,Backdoors!AC5,1))*ET29,0),"")</f>
        <v>0</v>
      </c>
      <c r="EX29" s="49">
        <f>VLOOKUP(A29,tbMoveset!A2:G112,7,FALSE)*IFERROR(IF(Backdoors!AI12&gt;=0,1+(IF(Calculator!E40&gt;0,VLOOKUP(Calculator!E40,tbSkills!AI3:AJ5,2,FALSE),Backdoors!AL4)*(IF((Backdoors!AI12+IF(ES29&gt;=0.45,VLOOKUP(Calculator!E23,tbSkills!DH3:DI6,2,FALSE)+IF(AND(Calculator!B8=TRUE,Backdoors!BI24=TRUE),VLOOKUP(Calculator!E23,tbSkills!DH3:DJ6,3,FALSE),0),0))&gt;=100,100,(Backdoors!AI12+IF(ES29&gt;=0.45,VLOOKUP(Calculator!E23,tbSkills!DH3:DI6,2,FALSE)+IF(AND(Calculator!B8=TRUE,Backdoors!BI24=TRUE),VLOOKUP(Calculator!E23,tbSkills!DH3:DJ6,3,FALSE),0),0)))/100)),1),1)</f>
        <v>0.6</v>
      </c>
      <c r="EY29" s="87">
        <f t="shared" si="14"/>
        <v>0</v>
      </c>
      <c r="EZ29" s="86" t="str">
        <f>IFERROR(IF(VLOOKUP(A29,tbMoveset!A2:B112,2,FALSE)="Sever",Backdoors!AY25/100,IF(VLOOKUP(A29,tbMoveset!A2:B112,2,FALSE)="Blunt",Backdoors!AZ25/100,Backdoors!BA25/100)),"")</f>
        <v/>
      </c>
      <c r="FA29" s="49">
        <f>IFERROR(IF(VLOOKUP(tbMoveset!A29,tbMoveset!A2:H112,8,FALSE)="Other",IF(VLOOKUP(tbMoveset!A29,tbMoveset!A2:I112,9,FALSE)="Fire",Backdoors!BB25,IF(VLOOKUP(tbMoveset!A29,tbMoveset!A2:I112,9,FALSE)="Water",Backdoors!BC25,IF(VLOOKUP(tbMoveset!A29,tbMoveset!A2:I112,9,FALSE)="Thunder",Backdoors!BD25,IF(VLOOKUP(tbMoveset!A29,tbMoveset!A2:I112,9,FALSE)="Ice",Backdoors!BE25,IF(VLOOKUP(tbMoveset!A29,tbMoveset!A2:I112,9,FALSE)="Dragon",Backdoors!BF25,Backdoors!BG25)))))/100,Backdoors!BG25/100),"")</f>
        <v>0</v>
      </c>
      <c r="FB29" s="49">
        <f>IFERROR(IF(VLOOKUP(A29,tbMoveset!A2:J112,10,FALSE)=TRUE,IF((Backdoors!AI12+IF(EZ29&gt;=0.45,VLOOKUP(Calculator!E23,tbSkills!DH3:DI6,2,FALSE)+IF(AND(Calculator!B8=TRUE,Backdoors!BI25=TRUE),VLOOKUP(Calculator!E23,tbSkills!DH3:DJ6,3,FALSE),0),0))&gt;=0,1+(Backdoors!AL2*(IF((Backdoors!AI12+IF(EZ29&gt;=0.45,VLOOKUP(Calculator!E23,tbSkills!DH3:DI6,2,FALSE)+IF(AND(Calculator!B8=TRUE,Backdoors!BI25=TRUE),VLOOKUP(Calculator!E23,tbSkills!DH3:DJ6,3,FALSE),0),0))&gt;=100,100,(Backdoors!AI12+IF(EZ29&gt;=0.45,VLOOKUP(Calculator!E23,tbSkills!DH3:DI6,2,FALSE)+IF(AND(Calculator!B8=TRUE,Backdoors!BI25=TRUE),VLOOKUP(Calculator!E23,tbSkills!DH3:DJ6,3,FALSE),0),0)))/100)),(1-(0.25*((-Backdoors!AI12-IF(EZ29&gt;=0.45,VLOOKUP(Calculator!E23,tbSkills!DH3:DI6,2,FALSE)+IF(AND(Calculator!B8=TRUE,Backdoors!BI25=TRUE),VLOOKUP(Calculator!E23,tbSkills!DH3:DJ6,3,FALSE),0),0))/100)))),1),"")</f>
        <v>1</v>
      </c>
      <c r="FC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Z29)*FB29)*(VLOOKUP(A29,tbMoveset!A2:C112,3,FALSE)/100)*IF(VLOOKUP(A29,tbMoveset!A2:B112,2,FALSE)="Projectile",Backdoors!N10,Backdoors!N9),0),"")</f>
        <v/>
      </c>
      <c r="FD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Z29&gt;=0.45,VLOOKUP(Calculator!E23,tbSkills!DH3:DI6,2,FALSE)+IF(AND(Calculator!B8=TRUE,Backdoors!BI25=TRUE),VLOOKUP(Calculator!E23,tbSkills!DH3:DJ6,3,FALSE),0),0))&gt;=100,100,(Backdoors!AI12+IF(EZ29&gt;=0.45,VLOOKUP(Calculator!E23,tbSkills!DH3:DI6,2,FALSE)+IF(AND(Calculator!B8=TRUE,Backdoors!BI25=TRUE),VLOOKUP(Calculator!E23,tbSkills!DH3:DJ6,3,FALSE),0),0)))/100)),1))*IF(VLOOKUP(A29,tbMoveset!A2:K112,11,FALSE)=TRUE,Backdoors!AC5,1))*FA29,0),"")</f>
        <v>0</v>
      </c>
      <c r="FE29" s="49">
        <f>VLOOKUP(A29,tbMoveset!A2:G112,7,FALSE)*IFERROR(IF(Backdoors!AI12&gt;=0,1+(IF(Calculator!E40&gt;0,VLOOKUP(Calculator!E40,tbSkills!AI3:AJ5,2,FALSE),Backdoors!AL4)*(IF((Backdoors!AI12+IF(EZ29&gt;=0.45,VLOOKUP(Calculator!E23,tbSkills!DH3:DI6,2,FALSE)+IF(AND(Calculator!B8=TRUE,Backdoors!BI25=TRUE),VLOOKUP(Calculator!E23,tbSkills!DH3:DJ6,3,FALSE),0),0))&gt;=100,100,(Backdoors!AI12+IF(EZ29&gt;=0.45,VLOOKUP(Calculator!E23,tbSkills!DH3:DI6,2,FALSE)+IF(AND(Calculator!B8=TRUE,Backdoors!BI25=TRUE),VLOOKUP(Calculator!E23,tbSkills!DH3:DJ6,3,FALSE),0),0)))/100)),1),1)</f>
        <v>0.6</v>
      </c>
      <c r="FF29" s="87">
        <f t="shared" si="15"/>
        <v>0</v>
      </c>
      <c r="FG29" s="86" t="str">
        <f>IFERROR(IF(VLOOKUP(A29,tbMoveset!A2:B112,2,FALSE)="Sever",Backdoors!AY26/100,IF(VLOOKUP(A29,tbMoveset!A2:B112,2,FALSE)="Blunt",Backdoors!AZ26/100,Backdoors!BA26/100)),"")</f>
        <v/>
      </c>
      <c r="FH29" s="49">
        <f>IFERROR(IF(VLOOKUP(tbMoveset!A29,tbMoveset!A2:H112,8,FALSE)="Other",IF(VLOOKUP(tbMoveset!A29,tbMoveset!A2:I112,9,FALSE)="Fire",Backdoors!BB26,IF(VLOOKUP(tbMoveset!A29,tbMoveset!A2:I112,9,FALSE)="Water",Backdoors!BC26,IF(VLOOKUP(tbMoveset!A29,tbMoveset!A2:I112,9,FALSE)="Thunder",Backdoors!BD26,IF(VLOOKUP(tbMoveset!A29,tbMoveset!A2:I112,9,FALSE)="Ice",Backdoors!BE26,IF(VLOOKUP(tbMoveset!A29,tbMoveset!A2:I112,9,FALSE)="Dragon",Backdoors!BF26,Backdoors!BG26)))))/100,Backdoors!BG26/100),"")</f>
        <v>0</v>
      </c>
      <c r="FI29" s="49">
        <f>IFERROR(IF(VLOOKUP(A29,tbMoveset!A2:J112,10,FALSE)=TRUE,IF((Backdoors!AI12+IF(FG29&gt;=0.45,VLOOKUP(Calculator!E23,tbSkills!DH3:DI6,2,FALSE)+IF(AND(Calculator!B8=TRUE,Backdoors!BI26=TRUE),VLOOKUP(Calculator!E23,tbSkills!DH3:DJ6,3,FALSE),0),0))&gt;=0,1+(Backdoors!AL2*(IF((Backdoors!AI12+IF(FG29&gt;=0.45,VLOOKUP(Calculator!E23,tbSkills!DH3:DI6,2,FALSE)+IF(AND(Calculator!B8=TRUE,Backdoors!BI26=TRUE),VLOOKUP(Calculator!E23,tbSkills!DH3:DJ6,3,FALSE),0),0))&gt;=100,100,(Backdoors!AI12+IF(FG29&gt;=0.45,VLOOKUP(Calculator!E23,tbSkills!DH3:DI6,2,FALSE)+IF(AND(Calculator!B8=TRUE,Backdoors!BI26=TRUE),VLOOKUP(Calculator!E23,tbSkills!DH3:DJ6,3,FALSE),0),0)))/100)),(1-(0.25*((-Backdoors!AI12-IF(FG29&gt;=0.45,VLOOKUP(Calculator!E23,tbSkills!DH3:DI6,2,FALSE)+IF(AND(Calculator!B8=TRUE,Backdoors!BI26=TRUE),VLOOKUP(Calculator!E23,tbSkills!DH3:DJ6,3,FALSE),0),0))/100)))),1),"")</f>
        <v>1</v>
      </c>
      <c r="FJ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FG29)*FI29)*(VLOOKUP(A29,tbMoveset!A2:C112,3,FALSE)/100)*IF(VLOOKUP(A29,tbMoveset!A2:B112,2,FALSE)="Projectile",Backdoors!N10,Backdoors!N9),0),"")</f>
        <v/>
      </c>
      <c r="FK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FG29&gt;=0.45,VLOOKUP(Calculator!E23,tbSkills!DH3:DI6,2,FALSE)+IF(AND(Calculator!B8=TRUE,Backdoors!BI26=TRUE),VLOOKUP(Calculator!E23,tbSkills!DH3:DJ6,3,FALSE),0),0))&gt;=100,100,(Backdoors!AI12+IF(FG29&gt;=0.45,VLOOKUP(Calculator!E23,tbSkills!DH3:DI6,2,FALSE)+IF(AND(Calculator!B8=TRUE,Backdoors!BI26=TRUE),VLOOKUP(Calculator!E23,tbSkills!DH3:DJ6,3,FALSE),0),0)))/100)),1))*IF(VLOOKUP(A29,tbMoveset!A2:K112,11,FALSE)=TRUE,Backdoors!AC5,1))*FH29,0),"")</f>
        <v>0</v>
      </c>
      <c r="FL29" s="49">
        <f>VLOOKUP(A29,tbMoveset!A2:G112,7,FALSE)*IFERROR(IF(Backdoors!AI12&gt;=0,1+(IF(Calculator!E40&gt;0,VLOOKUP(Calculator!E40,tbSkills!AI3:AJ5,2,FALSE),Backdoors!AL4)*(IF((Backdoors!AI12+IF(FG29&gt;=0.45,VLOOKUP(Calculator!E23,tbSkills!DH3:DI6,2,FALSE)+IF(AND(Calculator!B8=TRUE,Backdoors!BI26=TRUE),VLOOKUP(Calculator!E23,tbSkills!DH3:DJ6,3,FALSE),0),0))&gt;=100,100,(Backdoors!AI12+IF(FG29&gt;=0.45,VLOOKUP(Calculator!E23,tbSkills!DH3:DI6,2,FALSE)+IF(AND(Calculator!B8=TRUE,Backdoors!BI26=TRUE),VLOOKUP(Calculator!E23,tbSkills!DH3:DJ6,3,FALSE),0),0)))/100)),1),1)</f>
        <v>0.6</v>
      </c>
      <c r="FM29" s="87">
        <f t="shared" si="16"/>
        <v>0</v>
      </c>
      <c r="FN29" s="86" t="str">
        <f>IFERROR(IF(VLOOKUP(A29,tbMoveset!A2:B112,2,FALSE)="Sever",Backdoors!AY27/100,IF(VLOOKUP(A29,tbMoveset!A2:B112,2,FALSE)="Blunt",Backdoors!AZ27/100,Backdoors!BA27/100)),"")</f>
        <v/>
      </c>
      <c r="FO29" s="49">
        <f>IFERROR(IF(VLOOKUP(tbMoveset!A29,tbMoveset!A2:H112,8,FALSE)="Other",IF(VLOOKUP(tbMoveset!A29,tbMoveset!A2:I112,9,FALSE)="Fire",Backdoors!BB27,IF(VLOOKUP(tbMoveset!A29,tbMoveset!A2:I112,9,FALSE)="Water",Backdoors!BC27,IF(VLOOKUP(tbMoveset!A29,tbMoveset!A2:I112,9,FALSE)="Thunder",Backdoors!BD27,IF(VLOOKUP(tbMoveset!A29,tbMoveset!A2:I112,9,FALSE)="Ice",Backdoors!BE27,IF(VLOOKUP(tbMoveset!A29,tbMoveset!A2:I112,9,FALSE)="Dragon",Backdoors!BF27,Backdoors!BG27)))))/100,Backdoors!BG27/100),"")</f>
        <v>0</v>
      </c>
      <c r="FP29" s="49">
        <f>IFERROR(IF(VLOOKUP(A29,tbMoveset!A2:J112,10,FALSE)=TRUE,IF((Backdoors!AI12+IF(FN29&gt;=0.45,VLOOKUP(Calculator!E23,tbSkills!DH3:DI6,2,FALSE)+IF(AND(Calculator!B8=TRUE,Backdoors!BI27=TRUE),VLOOKUP(Calculator!E23,tbSkills!DH3:DJ6,3,FALSE),0),0))&gt;=0,1+(Backdoors!AL2*(IF((Backdoors!AI12+IF(FN29&gt;=0.45,VLOOKUP(Calculator!E23,tbSkills!DH3:DI6,2,FALSE)+IF(AND(Calculator!B8=TRUE,Backdoors!BI27=TRUE),VLOOKUP(Calculator!E23,tbSkills!DH3:DJ6,3,FALSE),0),0))&gt;=100,100,(Backdoors!AI12+IF(FN29&gt;=0.45,VLOOKUP(Calculator!E23,tbSkills!DH3:DI6,2,FALSE)+IF(AND(Calculator!B8=TRUE,Backdoors!BI27=TRUE),VLOOKUP(Calculator!E23,tbSkills!DH3:DJ6,3,FALSE),0),0)))/100)),(1-(0.25*((-Backdoors!AI12-IF(FN29&gt;=0.45,VLOOKUP(Calculator!E23,tbSkills!DH3:DI6,2,FALSE)+IF(AND(Calculator!B8=TRUE,Backdoors!BI27=TRUE),VLOOKUP(Calculator!E23,tbSkills!DH3:DJ6,3,FALSE),0),0))/100)))),1),"")</f>
        <v>1</v>
      </c>
      <c r="FQ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FN29)*FP29)*(VLOOKUP(A29,tbMoveset!A2:C112,3,FALSE)/100)*IF(VLOOKUP(A29,tbMoveset!A2:B112,2,FALSE)="Projectile",Backdoors!N10,Backdoors!N9),0),"")</f>
        <v/>
      </c>
      <c r="FR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FN29&gt;=0.45,VLOOKUP(Calculator!E23,tbSkills!DH3:DI6,2,FALSE)+IF(AND(Calculator!B8=TRUE,Backdoors!BI27=TRUE),VLOOKUP(Calculator!E23,tbSkills!DH3:DJ6,3,FALSE),0),0))&gt;=100,100,(Backdoors!AI12+IF(FN29&gt;=0.45,VLOOKUP(Calculator!E23,tbSkills!DH3:DI6,2,FALSE)+IF(AND(Calculator!B8=TRUE,Backdoors!BI27=TRUE),VLOOKUP(Calculator!E23,tbSkills!DH3:DJ6,3,FALSE),0),0)))/100)),1))*IF(VLOOKUP(A29,tbMoveset!A2:K112,11,FALSE)=TRUE,Backdoors!AC5,1))*FO29,0),"")</f>
        <v>0</v>
      </c>
      <c r="FS29" s="49">
        <f>VLOOKUP(A29,tbMoveset!A2:G112,7,FALSE)*IFERROR(IF(Backdoors!AI12&gt;=0,1+(IF(Calculator!E40&gt;0,VLOOKUP(Calculator!E40,tbSkills!AI3:AJ5,2,FALSE),Backdoors!AL4)*(IF((Backdoors!AI12+IF(FN29&gt;=0.45,VLOOKUP(Calculator!E23,tbSkills!DH3:DI6,2,FALSE)+IF(AND(Calculator!B8=TRUE,Backdoors!BI27=TRUE),VLOOKUP(Calculator!E23,tbSkills!DH3:DJ6,3,FALSE),0),0))&gt;=100,100,(Backdoors!AI12+IF(FN29&gt;=0.45,VLOOKUP(Calculator!E23,tbSkills!DH3:DI6,2,FALSE)+IF(AND(Calculator!B8=TRUE,Backdoors!BI27=TRUE),VLOOKUP(Calculator!E23,tbSkills!DH3:DJ6,3,FALSE),0),0)))/100)),1),1)</f>
        <v>0.6</v>
      </c>
      <c r="FT29" s="87">
        <f t="shared" si="17"/>
        <v>0</v>
      </c>
      <c r="FU29" s="86" t="str">
        <f>IFERROR(IF(VLOOKUP(A29,tbMoveset!A2:B112,2,FALSE)="Sever",Backdoors!AY28/100,IF(VLOOKUP(A29,tbMoveset!A2:B112,2,FALSE)="Blunt",Backdoors!AZ28/100,Backdoors!BA28/100)),"")</f>
        <v/>
      </c>
      <c r="FV29" s="49">
        <f>IFERROR(IF(VLOOKUP(tbMoveset!A29,tbMoveset!A2:H112,8,FALSE)="Other",IF(VLOOKUP(tbMoveset!A29,tbMoveset!A2:I112,9,FALSE)="Fire",Backdoors!BB28,IF(VLOOKUP(tbMoveset!A29,tbMoveset!A2:I112,9,FALSE)="Water",Backdoors!BC28,IF(VLOOKUP(tbMoveset!A29,tbMoveset!A2:I112,9,FALSE)="Thunder",Backdoors!BD28,IF(VLOOKUP(tbMoveset!A29,tbMoveset!A2:I112,9,FALSE)="Ice",Backdoors!BE28,IF(VLOOKUP(tbMoveset!A29,tbMoveset!A2:I112,9,FALSE)="Dragon",Backdoors!BF28,Backdoors!BG28)))))/100,Backdoors!BG28/100),"")</f>
        <v>0</v>
      </c>
      <c r="FW29" s="49">
        <f>IFERROR(IF(VLOOKUP(A29,tbMoveset!A2:J112,10,FALSE)=TRUE,IF((Backdoors!AI12+IF(FU29&gt;=0.45,VLOOKUP(Calculator!E23,tbSkills!DH3:DI6,2,FALSE)+IF(AND(Calculator!B8=TRUE,Backdoors!BI28=TRUE),VLOOKUP(Calculator!E23,tbSkills!DH3:DJ6,3,FALSE),0),0))&gt;=0,1+(Backdoors!AL2*(IF((Backdoors!AI12+IF(FU29&gt;=0.45,VLOOKUP(Calculator!E23,tbSkills!DH3:DI6,2,FALSE)+IF(AND(Calculator!B8=TRUE,Backdoors!BI28=TRUE),VLOOKUP(Calculator!E23,tbSkills!DH3:DJ6,3,FALSE),0),0))&gt;=100,100,(Backdoors!AI12+IF(FU29&gt;=0.45,VLOOKUP(Calculator!E23,tbSkills!DH3:DI6,2,FALSE)+IF(AND(Calculator!B8=TRUE,Backdoors!BI28=TRUE),VLOOKUP(Calculator!E23,tbSkills!DH3:DJ6,3,FALSE),0),0)))/100)),(1-(0.25*((-Backdoors!AI12-IF(FU29&gt;=0.45,VLOOKUP(Calculator!E23,tbSkills!DH3:DI6,2,FALSE)+IF(AND(Calculator!B8=TRUE,Backdoors!BI28=TRUE),VLOOKUP(Calculator!E23,tbSkills!DH3:DJ6,3,FALSE),0),0))/100)))),1),"")</f>
        <v>1</v>
      </c>
      <c r="FX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FU29)*FW29)*(VLOOKUP(A29,tbMoveset!A2:C112,3,FALSE)/100)*IF(VLOOKUP(A29,tbMoveset!A2:B112,2,FALSE)="Projectile",Backdoors!N10,Backdoors!N9),0),"")</f>
        <v/>
      </c>
      <c r="FY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FU29&gt;=0.45,VLOOKUP(Calculator!E23,tbSkills!DH3:DI6,2,FALSE)+IF(AND(Calculator!B8=TRUE,Backdoors!BI28=TRUE),VLOOKUP(Calculator!E23,tbSkills!DH3:DJ6,3,FALSE),0),0))&gt;=100,100,(Backdoors!AI12+IF(FU29&gt;=0.45,VLOOKUP(Calculator!E23,tbSkills!DH3:DI6,2,FALSE)+IF(AND(Calculator!B8=TRUE,Backdoors!BI28=TRUE),VLOOKUP(Calculator!E23,tbSkills!DH3:DJ6,3,FALSE),0),0)))/100)),1))*IF(VLOOKUP(A29,tbMoveset!A2:K112,11,FALSE)=TRUE,Backdoors!AC5,1))*FV29,0),"")</f>
        <v>0</v>
      </c>
      <c r="FZ29" s="49">
        <f>VLOOKUP(A29,tbMoveset!A2:G112,7,FALSE)*IFERROR(IF(Backdoors!AI12&gt;=0,1+(IF(Calculator!E40&gt;0,VLOOKUP(Calculator!E40,tbSkills!AI3:AJ5,2,FALSE),Backdoors!AL4)*(IF((Backdoors!AI12+IF(FU29&gt;=0.45,VLOOKUP(Calculator!E23,tbSkills!DH3:DI6,2,FALSE)+IF(AND(Calculator!B8=TRUE,Backdoors!BI28=TRUE),VLOOKUP(Calculator!E23,tbSkills!DH3:DJ6,3,FALSE),0),0))&gt;=100,100,(Backdoors!AI12+IF(FU29&gt;=0.45,VLOOKUP(Calculator!E23,tbSkills!DH3:DI6,2,FALSE)+IF(AND(Calculator!B8=TRUE,Backdoors!BI28=TRUE),VLOOKUP(Calculator!E23,tbSkills!DH3:DJ6,3,FALSE),0),0)))/100)),1),1)</f>
        <v>0.6</v>
      </c>
      <c r="GA29" s="87">
        <f t="shared" si="18"/>
        <v>0</v>
      </c>
      <c r="GB29" s="86" t="str">
        <f>IFERROR(IF(VLOOKUP(A29,tbMoveset!A2:B112,2,FALSE)="Sever",Backdoors!AY29/100,IF(VLOOKUP(A29,tbMoveset!A2:B112,2,FALSE)="Blunt",Backdoors!AZ29/100,Backdoors!BA29/100)),"")</f>
        <v/>
      </c>
      <c r="GC29" s="49">
        <f>IFERROR(IF(VLOOKUP(tbMoveset!A29,tbMoveset!A2:H112,8,FALSE)="Other",IF(VLOOKUP(tbMoveset!A29,tbMoveset!A2:I112,9,FALSE)="Fire",Backdoors!BB29,IF(VLOOKUP(tbMoveset!A29,tbMoveset!A2:I112,9,FALSE)="Water",Backdoors!BC29,IF(VLOOKUP(tbMoveset!A29,tbMoveset!A2:I112,9,FALSE)="Thunder",Backdoors!BD29,IF(VLOOKUP(tbMoveset!A29,tbMoveset!A2:I112,9,FALSE)="Ice",Backdoors!BE29,IF(VLOOKUP(tbMoveset!A29,tbMoveset!A2:I112,9,FALSE)="Dragon",Backdoors!BF29,Backdoors!BG29)))))/100,Backdoors!BG29/100),"")</f>
        <v>0</v>
      </c>
      <c r="GD29" s="49">
        <f>IFERROR(IF(VLOOKUP(A29,tbMoveset!A2:J112,10,FALSE)=TRUE,IF((Backdoors!AI12+IF(GB29&gt;=0.45,VLOOKUP(Calculator!E23,tbSkills!DH3:DI6,2,FALSE)+IF(AND(Calculator!B8=TRUE,Backdoors!BI29=TRUE),VLOOKUP(Calculator!E23,tbSkills!DH3:DJ6,3,FALSE),0),0))&gt;=0,1+(Backdoors!AL2*(IF((Backdoors!AI12+IF(GB29&gt;=0.45,VLOOKUP(Calculator!E23,tbSkills!DH3:DI6,2,FALSE)+IF(AND(Calculator!B8=TRUE,Backdoors!BI29=TRUE),VLOOKUP(Calculator!E23,tbSkills!DH3:DJ6,3,FALSE),0),0))&gt;=100,100,(Backdoors!AI12+IF(GB29&gt;=0.45,VLOOKUP(Calculator!E23,tbSkills!DH3:DI6,2,FALSE)+IF(AND(Calculator!B8=TRUE,Backdoors!BI29=TRUE),VLOOKUP(Calculator!E23,tbSkills!DH3:DJ6,3,FALSE),0),0)))/100)),(1-(0.25*((-Backdoors!AI12-IF(GB29&gt;=0.45,VLOOKUP(Calculator!E23,tbSkills!DH3:DI6,2,FALSE)+IF(AND(Calculator!B8=TRUE,Backdoors!BI29=TRUE),VLOOKUP(Calculator!E23,tbSkills!DH3:DJ6,3,FALSE),0),0))/100)))),1),"")</f>
        <v>1</v>
      </c>
      <c r="GE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B29)*GD29)*(VLOOKUP(A29,tbMoveset!A2:C112,3,FALSE)/100)*IF(VLOOKUP(A29,tbMoveset!A2:B112,2,FALSE)="Projectile",Backdoors!N10,Backdoors!N9),0),"")</f>
        <v/>
      </c>
      <c r="GF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B29&gt;=0.45,VLOOKUP(Calculator!E23,tbSkills!DH3:DI6,2,FALSE)+IF(AND(Calculator!B8=TRUE,Backdoors!BI29=TRUE),VLOOKUP(Calculator!E23,tbSkills!DH3:DJ6,3,FALSE),0),0))&gt;=100,100,(Backdoors!AI12+IF(GB29&gt;=0.45,VLOOKUP(Calculator!E23,tbSkills!DH3:DI6,2,FALSE)+IF(AND(Calculator!B8=TRUE,Backdoors!BI29=TRUE),VLOOKUP(Calculator!E23,tbSkills!DH3:DJ6,3,FALSE),0),0)))/100)),1))*IF(VLOOKUP(A29,tbMoveset!A2:K112,11,FALSE)=TRUE,Backdoors!AC5,1))*GC29,0),"")</f>
        <v>0</v>
      </c>
      <c r="GG29" s="49">
        <f>VLOOKUP(A29,tbMoveset!A2:G112,7,FALSE)*IFERROR(IF(Backdoors!AI12&gt;=0,1+(IF(Calculator!E40&gt;0,VLOOKUP(Calculator!E40,tbSkills!AI3:AJ5,2,FALSE),Backdoors!AL4)*(IF((Backdoors!AI12+IF(GB29&gt;=0.45,VLOOKUP(Calculator!E23,tbSkills!DH3:DI6,2,FALSE)+IF(AND(Calculator!B8=TRUE,Backdoors!BI29=TRUE),VLOOKUP(Calculator!E23,tbSkills!DH3:DJ6,3,FALSE),0),0))&gt;=100,100,(Backdoors!AI12+IF(GB29&gt;=0.45,VLOOKUP(Calculator!E23,tbSkills!DH3:DI6,2,FALSE)+IF(AND(Calculator!B8=TRUE,Backdoors!BI29=TRUE),VLOOKUP(Calculator!E23,tbSkills!DH3:DJ6,3,FALSE),0),0)))/100)),1),1)</f>
        <v>0.6</v>
      </c>
      <c r="GH29" s="87">
        <f t="shared" si="19"/>
        <v>0</v>
      </c>
      <c r="GI29" s="86" t="str">
        <f>IFERROR(IF(VLOOKUP(A29,tbMoveset!A2:B112,2,FALSE)="Sever",Backdoors!AY30/100,IF(VLOOKUP(A29,tbMoveset!A2:B112,2,FALSE)="Blunt",Backdoors!AZ30/100,Backdoors!BA30/100)),"")</f>
        <v/>
      </c>
      <c r="GJ29" s="49">
        <f>IFERROR(IF(VLOOKUP(tbMoveset!A29,tbMoveset!A2:H112,8,FALSE)="Other",IF(VLOOKUP(tbMoveset!A29,tbMoveset!A2:I112,9,FALSE)="Fire",Backdoors!BB30,IF(VLOOKUP(tbMoveset!A29,tbMoveset!A2:I112,9,FALSE)="Water",Backdoors!BC30,IF(VLOOKUP(tbMoveset!A29,tbMoveset!A2:I112,9,FALSE)="Thunder",Backdoors!BD30,IF(VLOOKUP(tbMoveset!A29,tbMoveset!A2:I112,9,FALSE)="Ice",Backdoors!BE30,IF(VLOOKUP(tbMoveset!A29,tbMoveset!A2:I112,9,FALSE)="Dragon",Backdoors!BF30,Backdoors!BG30)))))/100,Backdoors!BG30/100),"")</f>
        <v>0</v>
      </c>
      <c r="GK29" s="49">
        <f>IFERROR(IF(VLOOKUP(A29,tbMoveset!A2:J112,10,FALSE)=TRUE,IF((Backdoors!AI12+IF(GI29&gt;=0.45,VLOOKUP(Calculator!E23,tbSkills!DH3:DI6,2,FALSE)+IF(AND(Calculator!B8=TRUE,Backdoors!BI30=TRUE),VLOOKUP(Calculator!E23,tbSkills!DH3:DJ6,3,FALSE),0),0))&gt;=0,1+(Backdoors!AL2*(IF((Backdoors!AI12+IF(GI29&gt;=0.45,VLOOKUP(Calculator!E23,tbSkills!DH3:DI6,2,FALSE)+IF(AND(Calculator!B8=TRUE,Backdoors!BI30=TRUE),VLOOKUP(Calculator!E23,tbSkills!DH3:DJ6,3,FALSE),0),0))&gt;=100,100,(Backdoors!AI12+IF(GI29&gt;=0.45,VLOOKUP(Calculator!E23,tbSkills!DH3:DI6,2,FALSE)+IF(AND(Calculator!B8=TRUE,Backdoors!BI30=TRUE),VLOOKUP(Calculator!E23,tbSkills!DH3:DJ6,3,FALSE),0),0)))/100)),(1-(0.25*((-Backdoors!AI12-IF(GI29&gt;=0.45,VLOOKUP(Calculator!E23,tbSkills!DH3:DI6,2,FALSE)+IF(AND(Calculator!B8=TRUE,Backdoors!BI30=TRUE),VLOOKUP(Calculator!E23,tbSkills!DH3:DJ6,3,FALSE),0),0))/100)))),1),"")</f>
        <v>1</v>
      </c>
      <c r="GL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I29)*GK29)*(VLOOKUP(A29,tbMoveset!A2:C112,3,FALSE)/100)*IF(VLOOKUP(A29,tbMoveset!A2:B112,2,FALSE)="Projectile",Backdoors!N10,Backdoors!N9),0),"")</f>
        <v/>
      </c>
      <c r="GM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I29&gt;=0.45,VLOOKUP(Calculator!E23,tbSkills!DH3:DI6,2,FALSE)+IF(AND(Calculator!B8=TRUE,Backdoors!BI30=TRUE),VLOOKUP(Calculator!E23,tbSkills!DH3:DJ6,3,FALSE),0),0))&gt;=100,100,(Backdoors!AI12+IF(GI29&gt;=0.45,VLOOKUP(Calculator!E23,tbSkills!DH3:DI6,2,FALSE)+IF(AND(Calculator!B8=TRUE,Backdoors!BI30=TRUE),VLOOKUP(Calculator!E23,tbSkills!DH3:DJ6,3,FALSE),0),0)))/100)),1))*IF(VLOOKUP(A29,tbMoveset!A2:K112,11,FALSE)=TRUE,Backdoors!AC5,1))*GJ29,0),"")</f>
        <v>0</v>
      </c>
      <c r="GN29" s="49">
        <f>VLOOKUP(A29,tbMoveset!A2:G112,7,FALSE)*IFERROR(IF(Backdoors!AI12&gt;=0,1+(IF(Calculator!E40&gt;0,VLOOKUP(Calculator!E40,tbSkills!AI3:AJ5,2,FALSE),Backdoors!AL4)*(IF((Backdoors!AI12+IF(GI29&gt;=0.45,VLOOKUP(Calculator!E23,tbSkills!DH3:DI6,2,FALSE)+IF(AND(Calculator!B8=TRUE,Backdoors!BI30=TRUE),VLOOKUP(Calculator!E23,tbSkills!DH3:DJ6,3,FALSE),0),0))&gt;=100,100,(Backdoors!AI12+IF(GI29&gt;=0.45,VLOOKUP(Calculator!E23,tbSkills!DH3:DI6,2,FALSE)+IF(AND(Calculator!B8=TRUE,Backdoors!BI30=TRUE),VLOOKUP(Calculator!E23,tbSkills!DH3:DJ6,3,FALSE),0),0)))/100)),1),1)</f>
        <v>0.6</v>
      </c>
      <c r="GO29" s="87">
        <f t="shared" si="20"/>
        <v>0</v>
      </c>
      <c r="GP29" s="86" t="str">
        <f>IFERROR(IF(VLOOKUP(A29,tbMoveset!A2:B112,2,FALSE)="Sever",Backdoors!AY31/100,IF(VLOOKUP(A29,tbMoveset!A2:B112,2,FALSE)="Blunt",Backdoors!AZ31/100,Backdoors!BA31/100)),"")</f>
        <v/>
      </c>
      <c r="GQ29" s="49">
        <f>IFERROR(IF(VLOOKUP(tbMoveset!A29,tbMoveset!A2:H112,8,FALSE)="Other",IF(VLOOKUP(tbMoveset!A29,tbMoveset!A2:I112,9,FALSE)="Fire",Backdoors!BB31,IF(VLOOKUP(tbMoveset!A29,tbMoveset!A2:I112,9,FALSE)="Water",Backdoors!BC31,IF(VLOOKUP(tbMoveset!A29,tbMoveset!A2:I112,9,FALSE)="Thunder",Backdoors!BD31,IF(VLOOKUP(tbMoveset!A29,tbMoveset!A2:I112,9,FALSE)="Ice",Backdoors!BE31,IF(VLOOKUP(tbMoveset!A29,tbMoveset!A2:I112,9,FALSE)="Dragon",Backdoors!BF31,Backdoors!BG31)))))/100,Backdoors!BG31/100),"")</f>
        <v>0</v>
      </c>
      <c r="GR29" s="49">
        <f>IFERROR(IF(VLOOKUP(A29,tbMoveset!A2:J112,10,FALSE)=TRUE,IF((Backdoors!AI12+IF(GP29&gt;=0.45,VLOOKUP(Calculator!E23,tbSkills!DH3:DI6,2,FALSE)+IF(AND(Calculator!B8=TRUE,Backdoors!BI31=TRUE),VLOOKUP(Calculator!E23,tbSkills!DH3:DJ6,3,FALSE),0),0))&gt;=0,1+(Backdoors!AL2*(IF((Backdoors!AI12+IF(GP29&gt;=0.45,VLOOKUP(Calculator!E23,tbSkills!DH3:DI6,2,FALSE)+IF(AND(Calculator!B8=TRUE,Backdoors!BI31=TRUE),VLOOKUP(Calculator!E23,tbSkills!DH3:DJ6,3,FALSE),0),0))&gt;=100,100,(Backdoors!AI12+IF(GP29&gt;=0.45,VLOOKUP(Calculator!E23,tbSkills!DH3:DI6,2,FALSE)+IF(AND(Calculator!B8=TRUE,Backdoors!BI31=TRUE),VLOOKUP(Calculator!E23,tbSkills!DH3:DJ6,3,FALSE),0),0)))/100)),(1-(0.25*((-Backdoors!AI12-IF(GP29&gt;=0.45,VLOOKUP(Calculator!E23,tbSkills!DH3:DI6,2,FALSE)+IF(AND(Calculator!B8=TRUE,Backdoors!BI31=TRUE),VLOOKUP(Calculator!E23,tbSkills!DH3:DJ6,3,FALSE),0),0))/100)))),1),"")</f>
        <v>1</v>
      </c>
      <c r="GS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P29)*GR29)*(VLOOKUP(A29,tbMoveset!A2:C112,3,FALSE)/100)*IF(VLOOKUP(A29,tbMoveset!A2:B112,2,FALSE)="Projectile",Backdoors!N10,Backdoors!N9),0),"")</f>
        <v/>
      </c>
      <c r="GT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P29&gt;=0.45,VLOOKUP(Calculator!E23,tbSkills!DH3:DI6,2,FALSE)+IF(AND(Calculator!B8=TRUE,Backdoors!BI31=TRUE),VLOOKUP(Calculator!E23,tbSkills!DH3:DJ6,3,FALSE),0),0))&gt;=100,100,(Backdoors!AI12+IF(GP29&gt;=0.45,VLOOKUP(Calculator!E23,tbSkills!DH3:DI6,2,FALSE)+IF(AND(Calculator!B8=TRUE,Backdoors!BI31=TRUE),VLOOKUP(Calculator!E23,tbSkills!DH3:DJ6,3,FALSE),0),0)))/100)),1))*IF(VLOOKUP(A29,tbMoveset!A2:K112,11,FALSE)=TRUE,Backdoors!AC5,1))*GQ29,0),"")</f>
        <v>0</v>
      </c>
      <c r="GU29" s="49">
        <f>VLOOKUP(A29,tbMoveset!A2:G112,7,FALSE)*IFERROR(IF(Backdoors!AI12&gt;=0,1+(IF(Calculator!E40&gt;0,VLOOKUP(Calculator!E40,tbSkills!AI3:AJ5,2,FALSE),Backdoors!AL4)*(IF((Backdoors!AI12+IF(GP29&gt;=0.45,VLOOKUP(Calculator!E23,tbSkills!DH3:DI6,2,FALSE)+IF(AND(Calculator!B8=TRUE,Backdoors!BI31=TRUE),VLOOKUP(Calculator!E23,tbSkills!DH3:DJ6,3,FALSE),0),0))&gt;=100,100,(Backdoors!AI12+IF(GP29&gt;=0.45,VLOOKUP(Calculator!E23,tbSkills!DH3:DI6,2,FALSE)+IF(AND(Calculator!B8=TRUE,Backdoors!BI31=TRUE),VLOOKUP(Calculator!E23,tbSkills!DH3:DJ6,3,FALSE),0),0)))/100)),1),1)</f>
        <v>0.6</v>
      </c>
      <c r="GV29" s="87">
        <f t="shared" si="21"/>
        <v>0</v>
      </c>
      <c r="GW29" s="86" t="str">
        <f>IFERROR(IF(VLOOKUP(A29,tbMoveset!A2:B112,2,FALSE)="Sever",Backdoors!AY32/100,IF(VLOOKUP(A29,tbMoveset!A2:B112,2,FALSE)="Blunt",Backdoors!AZ32/100,Backdoors!BA32/100)),"")</f>
        <v/>
      </c>
      <c r="GX29" s="49">
        <f>IFERROR(IF(VLOOKUP(tbMoveset!A29,tbMoveset!A2:H112,8,FALSE)="Other",IF(VLOOKUP(tbMoveset!A29,tbMoveset!A2:I112,9,FALSE)="Fire",Backdoors!BB32,IF(VLOOKUP(tbMoveset!A29,tbMoveset!A2:I112,9,FALSE)="Water",Backdoors!BC32,IF(VLOOKUP(tbMoveset!A29,tbMoveset!A2:I112,9,FALSE)="Thunder",Backdoors!BD32,IF(VLOOKUP(tbMoveset!A29,tbMoveset!A2:I112,9,FALSE)="Ice",Backdoors!BE32,IF(VLOOKUP(tbMoveset!A29,tbMoveset!A2:I112,9,FALSE)="Dragon",Backdoors!BF32,Backdoors!BG32)))))/100,Backdoors!BG32/100),"")</f>
        <v>0</v>
      </c>
      <c r="GY29" s="49">
        <f>IFERROR(IF(VLOOKUP(A29,tbMoveset!A2:J112,10,FALSE)=TRUE,IF((Backdoors!AI12+IF(GW29&gt;=0.45,VLOOKUP(Calculator!E23,tbSkills!DH3:DI6,2,FALSE)+IF(AND(Calculator!B8=TRUE,Backdoors!BI32=TRUE),VLOOKUP(Calculator!E23,tbSkills!DH3:DJ6,3,FALSE),0),0))&gt;=0,1+(Backdoors!AL2*(IF((Backdoors!AI12+IF(GW29&gt;=0.45,VLOOKUP(Calculator!E23,tbSkills!DH3:DI6,2,FALSE)+IF(AND(Calculator!B8=TRUE,Backdoors!BI32=TRUE),VLOOKUP(Calculator!E23,tbSkills!DH3:DJ6,3,FALSE),0),0))&gt;=100,100,(Backdoors!AI12+IF(GW29&gt;=0.45,VLOOKUP(Calculator!E23,tbSkills!DH3:DI6,2,FALSE)+IF(AND(Calculator!B8=TRUE,Backdoors!BI32=TRUE),VLOOKUP(Calculator!E23,tbSkills!DH3:DJ6,3,FALSE),0),0)))/100)),(1-(0.25*((-Backdoors!AI12-IF(GW29&gt;=0.45,VLOOKUP(Calculator!E23,tbSkills!DH3:DI6,2,FALSE)+IF(AND(Calculator!B8=TRUE,Backdoors!BI32=TRUE),VLOOKUP(Calculator!E23,tbSkills!DH3:DJ6,3,FALSE),0),0))/100)))),1),"")</f>
        <v>1</v>
      </c>
      <c r="GZ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W29)*GY29)*(VLOOKUP(A29,tbMoveset!A2:C112,3,FALSE)/100)*IF(VLOOKUP(A29,tbMoveset!A2:B112,2,FALSE)="Projectile",Backdoors!N10,Backdoors!N9),0),"")</f>
        <v/>
      </c>
      <c r="HA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W29&gt;=0.45,VLOOKUP(Calculator!E23,tbSkills!DH3:DI6,2,FALSE)+IF(AND(Calculator!B8=TRUE,Backdoors!BI32=TRUE),VLOOKUP(Calculator!E23,tbSkills!DH3:DJ6,3,FALSE),0),0))&gt;=100,100,(Backdoors!AI12+IF(GW29&gt;=0.45,VLOOKUP(Calculator!E23,tbSkills!DH3:DI6,2,FALSE)+IF(AND(Calculator!B8=TRUE,Backdoors!BI32=TRUE),VLOOKUP(Calculator!E23,tbSkills!DH3:DJ6,3,FALSE),0),0)))/100)),1))*IF(VLOOKUP(A29,tbMoveset!A2:K112,11,FALSE)=TRUE,Backdoors!AC5,1))*GX29,0),"")</f>
        <v>0</v>
      </c>
      <c r="HB29" s="49">
        <f>VLOOKUP(A29,tbMoveset!A2:G112,7,FALSE)*IFERROR(IF(Backdoors!AI12&gt;=0,1+(IF(Calculator!E40&gt;0,VLOOKUP(Calculator!E40,tbSkills!AI3:AJ5,2,FALSE),Backdoors!AL4)*(IF((Backdoors!AI12+IF(GW29&gt;=0.45,VLOOKUP(Calculator!E23,tbSkills!DH3:DI6,2,FALSE)+IF(AND(Calculator!B8=TRUE,Backdoors!BI32=TRUE),VLOOKUP(Calculator!E23,tbSkills!DH3:DJ6,3,FALSE),0),0))&gt;=100,100,(Backdoors!AI12+IF(GW29&gt;=0.45,VLOOKUP(Calculator!E23,tbSkills!DH3:DI6,2,FALSE)+IF(AND(Calculator!B8=TRUE,Backdoors!BI32=TRUE),VLOOKUP(Calculator!E23,tbSkills!DH3:DJ6,3,FALSE),0),0)))/100)),1),1)</f>
        <v>0.6</v>
      </c>
      <c r="HC29" s="87">
        <f t="shared" si="22"/>
        <v>0</v>
      </c>
      <c r="HD29" s="86" t="str">
        <f>IFERROR(IF(VLOOKUP(A29,tbMoveset!A2:B112,2,FALSE)="Sever",Backdoors!AY33/100,IF(VLOOKUP(A29,tbMoveset!A2:B112,2,FALSE)="Blunt",Backdoors!AZ33/100,Backdoors!BA33/100)),"")</f>
        <v/>
      </c>
      <c r="HE29" s="49">
        <f>IFERROR(IF(VLOOKUP(tbMoveset!A29,tbMoveset!A2:H112,8,FALSE)="Other",IF(VLOOKUP(tbMoveset!A29,tbMoveset!A2:I112,9,FALSE)="Fire",Backdoors!BB33,IF(VLOOKUP(tbMoveset!A29,tbMoveset!A2:I112,9,FALSE)="Water",Backdoors!BC33,IF(VLOOKUP(tbMoveset!A29,tbMoveset!A2:I112,9,FALSE)="Thunder",Backdoors!BD33,IF(VLOOKUP(tbMoveset!A29,tbMoveset!A2:I112,9,FALSE)="Ice",Backdoors!BE33,IF(VLOOKUP(tbMoveset!A29,tbMoveset!A2:I112,9,FALSE)="Dragon",Backdoors!BF33,Backdoors!BG33)))))/100,Backdoors!BG33/100),"")</f>
        <v>0</v>
      </c>
      <c r="HF29" s="49">
        <f>IFERROR(IF(VLOOKUP(A29,tbMoveset!A2:J112,10,FALSE)=TRUE,IF((Backdoors!AI12+IF(HD29&gt;=0.45,VLOOKUP(Calculator!E23,tbSkills!DH3:DI6,2,FALSE)+IF(AND(Calculator!B8=TRUE,Backdoors!BI33=TRUE),VLOOKUP(Calculator!E23,tbSkills!DH3:DJ6,3,FALSE),0),0))&gt;=0,1+(Backdoors!AL2*(IF((Backdoors!AI12+IF(HD29&gt;=0.45,VLOOKUP(Calculator!E23,tbSkills!DH3:DI6,2,FALSE)+IF(AND(Calculator!B8=TRUE,Backdoors!BI33=TRUE),VLOOKUP(Calculator!E23,tbSkills!DH3:DJ6,3,FALSE),0),0))&gt;=100,100,(Backdoors!AI12+IF(HD29&gt;=0.45,VLOOKUP(Calculator!E23,tbSkills!DH3:DI6,2,FALSE)+IF(AND(Calculator!B8=TRUE,Backdoors!BI33=TRUE),VLOOKUP(Calculator!E23,tbSkills!DH3:DJ6,3,FALSE),0),0)))/100)),(1-(0.25*((-Backdoors!AI12-IF(HD29&gt;=0.45,VLOOKUP(Calculator!E23,tbSkills!DH3:DI6,2,FALSE)+IF(AND(Calculator!B8=TRUE,Backdoors!BI33=TRUE),VLOOKUP(Calculator!E23,tbSkills!DH3:DJ6,3,FALSE),0),0))/100)))),1),"")</f>
        <v>1</v>
      </c>
      <c r="HG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D29)*HF29)*(VLOOKUP(A29,tbMoveset!A2:C112,3,FALSE)/100)*IF(VLOOKUP(A29,tbMoveset!A2:B112,2,FALSE)="Projectile",Backdoors!N10,Backdoors!N9),0),"")</f>
        <v/>
      </c>
      <c r="HH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D29&gt;=0.45,VLOOKUP(Calculator!E23,tbSkills!DH3:DI6,2,FALSE)+IF(AND(Calculator!B8=TRUE,Backdoors!BI33=TRUE),VLOOKUP(Calculator!E23,tbSkills!DH3:DJ6,3,FALSE),0),0))&gt;=100,100,(Backdoors!AI12+IF(HD29&gt;=0.45,VLOOKUP(Calculator!E23,tbSkills!DH3:DI6,2,FALSE)+IF(AND(Calculator!B8=TRUE,Backdoors!BI33=TRUE),VLOOKUP(Calculator!E23,tbSkills!DH3:DJ6,3,FALSE),0),0)))/100)),1))*IF(VLOOKUP(A29,tbMoveset!A2:K112,11,FALSE)=TRUE,Backdoors!AC5,1))*HE29,0),"")</f>
        <v>0</v>
      </c>
      <c r="HI29" s="49">
        <f>VLOOKUP(A29,tbMoveset!A2:G112,7,FALSE)*IFERROR(IF(Backdoors!AI12&gt;=0,1+(IF(Calculator!E40&gt;0,VLOOKUP(Calculator!E40,tbSkills!AI3:AJ5,2,FALSE),Backdoors!AL4)*(IF((Backdoors!AI12+IF(HD29&gt;=0.45,VLOOKUP(Calculator!E23,tbSkills!DH3:DI6,2,FALSE)+IF(AND(Calculator!B8=TRUE,Backdoors!BI33=TRUE),VLOOKUP(Calculator!E23,tbSkills!DH3:DJ6,3,FALSE),0),0))&gt;=100,100,(Backdoors!AI12+IF(HD29&gt;=0.45,VLOOKUP(Calculator!E23,tbSkills!DH3:DI6,2,FALSE)+IF(AND(Calculator!B8=TRUE,Backdoors!BI33=TRUE),VLOOKUP(Calculator!E23,tbSkills!DH3:DJ6,3,FALSE),0),0)))/100)),1),1)</f>
        <v>0.6</v>
      </c>
      <c r="HJ29" s="87">
        <f t="shared" si="23"/>
        <v>0</v>
      </c>
      <c r="HK29" s="86" t="str">
        <f>IFERROR(IF(VLOOKUP(A29,tbMoveset!A2:B112,2,FALSE)="Sever",Backdoors!AY34/100,IF(VLOOKUP(A29,tbMoveset!A2:B112,2,FALSE)="Blunt",Backdoors!AZ34/100,Backdoors!BA34/100)),"")</f>
        <v/>
      </c>
      <c r="HL29" s="49">
        <f>IFERROR(IF(VLOOKUP(tbMoveset!A29,tbMoveset!A2:H112,8,FALSE)="Other",IF(VLOOKUP(tbMoveset!A29,tbMoveset!A2:I112,9,FALSE)="Fire",Backdoors!BB34,IF(VLOOKUP(tbMoveset!A29,tbMoveset!A2:I112,9,FALSE)="Water",Backdoors!BC34,IF(VLOOKUP(tbMoveset!A29,tbMoveset!A2:I112,9,FALSE)="Thunder",Backdoors!BD34,IF(VLOOKUP(tbMoveset!A29,tbMoveset!A2:I112,9,FALSE)="Ice",Backdoors!BE34,IF(VLOOKUP(tbMoveset!A29,tbMoveset!A2:I112,9,FALSE)="Dragon",Backdoors!BF34,Backdoors!BG34)))))/100,Backdoors!BG34/100),"")</f>
        <v>0</v>
      </c>
      <c r="HM29" s="49">
        <f>IFERROR(IF(VLOOKUP(A29,tbMoveset!A2:J112,10,FALSE)=TRUE,IF((Backdoors!AI12+IF(HK29&gt;=0.45,VLOOKUP(Calculator!E23,tbSkills!DH3:DI6,2,FALSE)+IF(AND(Calculator!B8=TRUE,Backdoors!BI34=TRUE),VLOOKUP(Calculator!E23,tbSkills!DH3:DJ6,3,FALSE),0),0))&gt;=0,1+(Backdoors!AL2*(IF((Backdoors!AI12+IF(HK29&gt;=0.45,VLOOKUP(Calculator!E23,tbSkills!DH3:DI6,2,FALSE)+IF(AND(Calculator!B8=TRUE,Backdoors!BI34=TRUE),VLOOKUP(Calculator!E23,tbSkills!DH3:DJ6,3,FALSE),0),0))&gt;=100,100,(Backdoors!AI12+IF(HK29&gt;=0.45,VLOOKUP(Calculator!E23,tbSkills!DH3:DI6,2,FALSE)+IF(AND(Calculator!B8=TRUE,Backdoors!BI34=TRUE),VLOOKUP(Calculator!E23,tbSkills!DH3:DJ6,3,FALSE),0),0)))/100)),(1-(0.25*((-Backdoors!AI12-IF(HK29&gt;=0.45,VLOOKUP(Calculator!E23,tbSkills!DH3:DI6,2,FALSE)+IF(AND(Calculator!B8=TRUE,Backdoors!BI34=TRUE),VLOOKUP(Calculator!E23,tbSkills!DH3:DJ6,3,FALSE),0),0))/100)))),1),"")</f>
        <v>1</v>
      </c>
      <c r="HN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K29)*HM29)*(VLOOKUP(A29,tbMoveset!A2:C112,3,FALSE)/100)*IF(VLOOKUP(A29,tbMoveset!A2:B112,2,FALSE)="Projectile",Backdoors!N10,Backdoors!N9),0),"")</f>
        <v/>
      </c>
      <c r="HO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K29&gt;=0.45,VLOOKUP(Calculator!E23,tbSkills!DH3:DI6,2,FALSE)+IF(AND(Calculator!B8=TRUE,Backdoors!BI34=TRUE),VLOOKUP(Calculator!E23,tbSkills!DH3:DJ6,3,FALSE),0),0))&gt;=100,100,(Backdoors!AI12+IF(HK29&gt;=0.45,VLOOKUP(Calculator!E23,tbSkills!DH3:DI6,2,FALSE)+IF(AND(Calculator!B8=TRUE,Backdoors!BI34=TRUE),VLOOKUP(Calculator!E23,tbSkills!DH3:DJ6,3,FALSE),0),0)))/100)),1))*IF(VLOOKUP(A29,tbMoveset!A2:K112,11,FALSE)=TRUE,Backdoors!AC5,1))*HL29,0),"")</f>
        <v>0</v>
      </c>
      <c r="HP29" s="49">
        <f>VLOOKUP(A29,tbMoveset!A2:G112,7,FALSE)*IFERROR(IF(Backdoors!AI12&gt;=0,1+(IF(Calculator!E40&gt;0,VLOOKUP(Calculator!E40,tbSkills!AI3:AJ5,2,FALSE),Backdoors!AL4)*(IF((Backdoors!AI12+IF(HK29&gt;=0.45,VLOOKUP(Calculator!E23,tbSkills!DH3:DI6,2,FALSE)+IF(AND(Calculator!B8=TRUE,Backdoors!BI34=TRUE),VLOOKUP(Calculator!E23,tbSkills!DH3:DJ6,3,FALSE),0),0))&gt;=100,100,(Backdoors!AI12+IF(HK29&gt;=0.45,VLOOKUP(Calculator!E23,tbSkills!DH3:DI6,2,FALSE)+IF(AND(Calculator!B8=TRUE,Backdoors!BI34=TRUE),VLOOKUP(Calculator!E23,tbSkills!DH3:DJ6,3,FALSE),0),0)))/100)),1),1)</f>
        <v>0.6</v>
      </c>
      <c r="HQ29" s="87">
        <f t="shared" si="24"/>
        <v>0</v>
      </c>
      <c r="HR29" s="86" t="str">
        <f>IFERROR(IF(VLOOKUP(A29,tbMoveset!A2:B112,2,FALSE)="Sever",Backdoors!AY35/100,IF(VLOOKUP(A29,tbMoveset!A2:B112,2,FALSE)="Blunt",Backdoors!AZ35/100,Backdoors!BA35/100)),"")</f>
        <v/>
      </c>
      <c r="HS29" s="49">
        <f>IFERROR(IF(VLOOKUP(tbMoveset!A29,tbMoveset!A2:H112,8,FALSE)="Other",IF(VLOOKUP(tbMoveset!A29,tbMoveset!A2:I112,9,FALSE)="Fire",Backdoors!BB35,IF(VLOOKUP(tbMoveset!A29,tbMoveset!A2:I112,9,FALSE)="Water",Backdoors!BC35,IF(VLOOKUP(tbMoveset!A29,tbMoveset!A2:I112,9,FALSE)="Thunder",Backdoors!BD35,IF(VLOOKUP(tbMoveset!A29,tbMoveset!A2:I112,9,FALSE)="Ice",Backdoors!BE35,IF(VLOOKUP(tbMoveset!A29,tbMoveset!A2:I112,9,FALSE)="Dragon",Backdoors!BF35,Backdoors!BG35)))))/100,Backdoors!BG35/100),"")</f>
        <v>0</v>
      </c>
      <c r="HT29" s="49">
        <f>IFERROR(IF(VLOOKUP(A29,tbMoveset!A2:J112,10,FALSE)=TRUE,IF((Backdoors!AI12+IF(HR29&gt;=0.45,VLOOKUP(Calculator!E23,tbSkills!DH3:DI6,2,FALSE)+IF(AND(Calculator!B8=TRUE,Backdoors!BI35=TRUE),VLOOKUP(Calculator!E23,tbSkills!DH3:DJ6,3,FALSE),0),0))&gt;=0,1+(Backdoors!AL2*(IF((Backdoors!AI12+IF(HR29&gt;=0.45,VLOOKUP(Calculator!E23,tbSkills!DH3:DI6,2,FALSE)+IF(AND(Calculator!B8=TRUE,Backdoors!BI35=TRUE),VLOOKUP(Calculator!E23,tbSkills!DH3:DJ6,3,FALSE),0),0))&gt;=100,100,(Backdoors!AI12+IF(HR29&gt;=0.45,VLOOKUP(Calculator!E23,tbSkills!DH3:DI6,2,FALSE)+IF(AND(Calculator!B8=TRUE,Backdoors!BI35=TRUE),VLOOKUP(Calculator!E23,tbSkills!DH3:DJ6,3,FALSE),0),0)))/100)),(1-(0.25*((-Backdoors!AI12-IF(HR29&gt;=0.45,VLOOKUP(Calculator!E23,tbSkills!DH3:DI6,2,FALSE)+IF(AND(Calculator!B8=TRUE,Backdoors!BI35=TRUE),VLOOKUP(Calculator!E23,tbSkills!DH3:DJ6,3,FALSE),0),0))/100)))),1),"")</f>
        <v>1</v>
      </c>
      <c r="HU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R29)*HT29)*(VLOOKUP(A29,tbMoveset!A2:C112,3,FALSE)/100)*IF(VLOOKUP(A29,tbMoveset!A2:B112,2,FALSE)="Projectile",Backdoors!N10,Backdoors!N9),0),"")</f>
        <v/>
      </c>
      <c r="HV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R29&gt;=0.45,VLOOKUP(Calculator!E23,tbSkills!DH3:DI6,2,FALSE)+IF(AND(Calculator!B8=TRUE,Backdoors!BI35=TRUE),VLOOKUP(Calculator!E23,tbSkills!DH3:DJ6,3,FALSE),0),0))&gt;=100,100,(Backdoors!AI12+IF(HR29&gt;=0.45,VLOOKUP(Calculator!E23,tbSkills!DH3:DI6,2,FALSE)+IF(AND(Calculator!B8=TRUE,Backdoors!BI35=TRUE),VLOOKUP(Calculator!E23,tbSkills!DH3:DJ6,3,FALSE),0),0)))/100)),1))*IF(VLOOKUP(A29,tbMoveset!A2:K112,11,FALSE)=TRUE,Backdoors!AC5,1))*HS29,0),"")</f>
        <v>0</v>
      </c>
      <c r="HW29" s="49">
        <f>VLOOKUP(A29,tbMoveset!A2:G112,7,FALSE)*IFERROR(IF(Backdoors!AI12&gt;=0,1+(IF(Calculator!E40&gt;0,VLOOKUP(Calculator!E40,tbSkills!AI3:AJ5,2,FALSE),Backdoors!AL4)*(IF((Backdoors!AI12+IF(HR29&gt;=0.45,VLOOKUP(Calculator!E23,tbSkills!DH3:DI6,2,FALSE)+IF(AND(Calculator!B8=TRUE,Backdoors!BI35=TRUE),VLOOKUP(Calculator!E23,tbSkills!DH3:DJ6,3,FALSE),0),0))&gt;=100,100,(Backdoors!AI12+IF(HR29&gt;=0.45,VLOOKUP(Calculator!E23,tbSkills!DH3:DI6,2,FALSE)+IF(AND(Calculator!B8=TRUE,Backdoors!BI35=TRUE),VLOOKUP(Calculator!E23,tbSkills!DH3:DJ6,3,FALSE),0),0)))/100)),1),1)</f>
        <v>0.6</v>
      </c>
      <c r="HX29" s="87">
        <f t="shared" si="25"/>
        <v>0</v>
      </c>
      <c r="HY29" s="86" t="str">
        <f>IFERROR(IF(VLOOKUP(A29,tbMoveset!A2:B112,2,FALSE)="Sever",Backdoors!AY36/100,IF(VLOOKUP(A29,tbMoveset!A2:B112,2,FALSE)="Blunt",Backdoors!AZ36/100,Backdoors!BA36/100)),"")</f>
        <v/>
      </c>
      <c r="HZ29" s="49">
        <f>IFERROR(IF(VLOOKUP(tbMoveset!A29,tbMoveset!A2:H112,8,FALSE)="Other",IF(VLOOKUP(tbMoveset!A29,tbMoveset!A2:I112,9,FALSE)="Fire",Backdoors!BB36,IF(VLOOKUP(tbMoveset!A29,tbMoveset!A2:I112,9,FALSE)="Water",Backdoors!BC36,IF(VLOOKUP(tbMoveset!A29,tbMoveset!A2:I112,9,FALSE)="Thunder",Backdoors!BD36,IF(VLOOKUP(tbMoveset!A29,tbMoveset!A2:I112,9,FALSE)="Ice",Backdoors!BE36,IF(VLOOKUP(tbMoveset!A29,tbMoveset!A2:I112,9,FALSE)="Dragon",Backdoors!BF36,Backdoors!BG36)))))/100,Backdoors!BG36/100),"")</f>
        <v>0</v>
      </c>
      <c r="IA29" s="49">
        <f>IFERROR(IF(VLOOKUP(A29,tbMoveset!A2:J112,10,FALSE)=TRUE,IF((Backdoors!AI12+IF(HY29&gt;=0.45,VLOOKUP(Calculator!E23,tbSkills!DH3:DI6,2,FALSE)+IF(AND(Calculator!B8=TRUE,Backdoors!BI36=TRUE),VLOOKUP(Calculator!E23,tbSkills!DH3:DJ6,3,FALSE),0),0))&gt;=0,1+(Backdoors!AL2*(IF((Backdoors!AI12+IF(HY29&gt;=0.45,VLOOKUP(Calculator!E23,tbSkills!DH3:DI6,2,FALSE)+IF(AND(Calculator!B8=TRUE,Backdoors!BI36=TRUE),VLOOKUP(Calculator!E23,tbSkills!DH3:DJ6,3,FALSE),0),0))&gt;=100,100,(Backdoors!AI12+IF(HY29&gt;=0.45,VLOOKUP(Calculator!E23,tbSkills!DH3:DI6,2,FALSE)+IF(AND(Calculator!B8=TRUE,Backdoors!BI36=TRUE),VLOOKUP(Calculator!E23,tbSkills!DH3:DJ6,3,FALSE),0),0)))/100)),(1-(0.25*((-Backdoors!AI12-IF(HY29&gt;=0.45,VLOOKUP(Calculator!E23,tbSkills!DH3:DI6,2,FALSE)+IF(AND(Calculator!B8=TRUE,Backdoors!BI36=TRUE),VLOOKUP(Calculator!E23,tbSkills!DH3:DJ6,3,FALSE),0),0))/100)))),1),"")</f>
        <v>1</v>
      </c>
      <c r="IB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Y29)*IA29)*(VLOOKUP(A29,tbMoveset!A2:C112,3,FALSE)/100)*IF(VLOOKUP(A29,tbMoveset!A2:B112,2,FALSE)="Projectile",Backdoors!N10,Backdoors!N9),0),"")</f>
        <v/>
      </c>
      <c r="IC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Y29&gt;=0.45,VLOOKUP(Calculator!E23,tbSkills!DH3:DI6,2,FALSE)+IF(AND(Calculator!B8=TRUE,Backdoors!BI36=TRUE),VLOOKUP(Calculator!E23,tbSkills!DH3:DJ6,3,FALSE),0),0))&gt;=100,100,(Backdoors!AI12+IF(HY29&gt;=0.45,VLOOKUP(Calculator!E23,tbSkills!DH3:DI6,2,FALSE)+IF(AND(Calculator!B8=TRUE,Backdoors!BI36=TRUE),VLOOKUP(Calculator!E23,tbSkills!DH3:DJ6,3,FALSE),0),0)))/100)),1))*IF(VLOOKUP(A29,tbMoveset!A2:K112,11,FALSE)=TRUE,Backdoors!AC5,1))*HZ29,0),"")</f>
        <v>0</v>
      </c>
      <c r="ID29" s="49">
        <f>VLOOKUP(A29,tbMoveset!A2:G112,7,FALSE)*IFERROR(IF(Backdoors!AI12&gt;=0,1+(IF(Calculator!E40&gt;0,VLOOKUP(Calculator!E40,tbSkills!AI3:AJ5,2,FALSE),Backdoors!AL4)*(IF((Backdoors!AI12+IF(HY29&gt;=0.45,VLOOKUP(Calculator!E23,tbSkills!DH3:DI6,2,FALSE)+IF(AND(Calculator!B8=TRUE,Backdoors!BI36=TRUE),VLOOKUP(Calculator!E23,tbSkills!DH3:DJ6,3,FALSE),0),0))&gt;=100,100,(Backdoors!AI12+IF(HY29&gt;=0.45,VLOOKUP(Calculator!E23,tbSkills!DH3:DI6,2,FALSE)+IF(AND(Calculator!B8=TRUE,Backdoors!BI36=TRUE),VLOOKUP(Calculator!E23,tbSkills!DH3:DJ6,3,FALSE),0),0)))/100)),1),1)</f>
        <v>0.6</v>
      </c>
      <c r="IE29" s="87">
        <f t="shared" si="26"/>
        <v>0</v>
      </c>
      <c r="IF29" s="86" t="str">
        <f>IFERROR(IF(VLOOKUP(A29,tbMoveset!A2:B112,2,FALSE)="Sever",Backdoors!AY37/100,IF(VLOOKUP(A29,tbMoveset!A2:B112,2,FALSE)="Blunt",Backdoors!AZ37/100,Backdoors!BA37/100)),"")</f>
        <v/>
      </c>
      <c r="IG29" s="49">
        <f>IFERROR(IF(VLOOKUP(tbMoveset!A29,tbMoveset!A2:H112,8,FALSE)="Other",IF(VLOOKUP(tbMoveset!A29,tbMoveset!A2:I112,9,FALSE)="Fire",Backdoors!BB37,IF(VLOOKUP(tbMoveset!A29,tbMoveset!A2:I112,9,FALSE)="Water",Backdoors!BC37,IF(VLOOKUP(tbMoveset!A29,tbMoveset!A2:I112,9,FALSE)="Thunder",Backdoors!BD37,IF(VLOOKUP(tbMoveset!A29,tbMoveset!A2:I112,9,FALSE)="Ice",Backdoors!BE37,IF(VLOOKUP(tbMoveset!A29,tbMoveset!A2:I112,9,FALSE)="Dragon",Backdoors!BF37,Backdoors!BG37)))))/100,Backdoors!BG37/100),"")</f>
        <v>0</v>
      </c>
      <c r="IH29" s="49">
        <f>IFERROR(IF(VLOOKUP(A29,tbMoveset!A2:J112,10,FALSE)=TRUE,IF((Backdoors!AI12+IF(IF29&gt;=0.45,VLOOKUP(Calculator!E23,tbSkills!DH3:DI6,2,FALSE)+IF(AND(Calculator!B8=TRUE,Backdoors!BI37=TRUE),VLOOKUP(Calculator!E23,tbSkills!DH3:DJ6,3,FALSE),0),0))&gt;=0,1+(Backdoors!AL2*(IF((Backdoors!AI12+IF(IF29&gt;=0.45,VLOOKUP(Calculator!E23,tbSkills!DH3:DI6,2,FALSE)+IF(AND(Calculator!B8=TRUE,Backdoors!BI37=TRUE),VLOOKUP(Calculator!E23,tbSkills!DH3:DJ6,3,FALSE),0),0))&gt;=100,100,(Backdoors!AI12+IF(IF29&gt;=0.45,VLOOKUP(Calculator!E23,tbSkills!DH3:DI6,2,FALSE)+IF(AND(Calculator!B8=TRUE,Backdoors!BI37=TRUE),VLOOKUP(Calculator!E23,tbSkills!DH3:DJ6,3,FALSE),0),0)))/100)),(1-(0.25*((-Backdoors!AI12-IF(IF29&gt;=0.45,VLOOKUP(Calculator!E23,tbSkills!DH3:DI6,2,FALSE)+IF(AND(Calculator!B8=TRUE,Backdoors!BI37=TRUE),VLOOKUP(Calculator!E23,tbSkills!DH3:DJ6,3,FALSE),0),0))/100)))),1),"")</f>
        <v>1</v>
      </c>
      <c r="II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F29)*IH29)*(VLOOKUP(A29,tbMoveset!A2:C112,3,FALSE)/100)*IF(VLOOKUP(A29,tbMoveset!A2:B112,2,FALSE)="Projectile",Backdoors!N10,Backdoors!N9),0),"")</f>
        <v/>
      </c>
      <c r="IJ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IF29&gt;=0.45,VLOOKUP(Calculator!E23,tbSkills!DH3:DI6,2,FALSE)+IF(AND(Calculator!B8=TRUE,Backdoors!BI37=TRUE),VLOOKUP(Calculator!E23,tbSkills!DH3:DJ6,3,FALSE),0),0))&gt;=100,100,(Backdoors!AI12+IF(IF29&gt;=0.45,VLOOKUP(Calculator!E23,tbSkills!DH3:DI6,2,FALSE)+IF(AND(Calculator!B8=TRUE,Backdoors!BI37=TRUE),VLOOKUP(Calculator!E23,tbSkills!DH3:DJ6,3,FALSE),0),0)))/100)),1))*IF(VLOOKUP(A29,tbMoveset!A2:K112,11,FALSE)=TRUE,Backdoors!AC5,1))*IG29,0),"")</f>
        <v>0</v>
      </c>
      <c r="IK29" s="49">
        <f>VLOOKUP(A29,tbMoveset!A2:G112,7,FALSE)*IFERROR(IF(Backdoors!AI12&gt;=0,1+(IF(Calculator!E40&gt;0,VLOOKUP(Calculator!E40,tbSkills!AI3:AJ5,2,FALSE),Backdoors!AL4)*(IF((Backdoors!AI12+IF(IF29&gt;=0.45,VLOOKUP(Calculator!E23,tbSkills!DH3:DI6,2,FALSE)+IF(AND(Calculator!B8=TRUE,Backdoors!BI37=TRUE),VLOOKUP(Calculator!E23,tbSkills!DH3:DJ6,3,FALSE),0),0))&gt;=100,100,(Backdoors!AI12+IF(IF29&gt;=0.45,VLOOKUP(Calculator!E23,tbSkills!DH3:DI6,2,FALSE)+IF(AND(Calculator!B8=TRUE,Backdoors!BI37=TRUE),VLOOKUP(Calculator!E23,tbSkills!DH3:DJ6,3,FALSE),0),0)))/100)),1),1)</f>
        <v>0.6</v>
      </c>
      <c r="IL29" s="87">
        <f t="shared" si="27"/>
        <v>0</v>
      </c>
      <c r="IM29" s="86" t="str">
        <f>IFERROR(IF(VLOOKUP(A29,tbMoveset!A2:B112,2,FALSE)="Sever",Backdoors!AY38/100,IF(VLOOKUP(A29,tbMoveset!A2:B112,2,FALSE)="Blunt",Backdoors!AZ38/100,Backdoors!BA38/100)),"")</f>
        <v/>
      </c>
      <c r="IN29" s="49">
        <f>IFERROR(IF(VLOOKUP(tbMoveset!A29,tbMoveset!A2:H112,8,FALSE)="Other",IF(VLOOKUP(tbMoveset!A29,tbMoveset!A2:I112,9,FALSE)="Fire",Backdoors!BB38,IF(VLOOKUP(tbMoveset!A29,tbMoveset!A2:I112,9,FALSE)="Water",Backdoors!BC38,IF(VLOOKUP(tbMoveset!A29,tbMoveset!A2:I112,9,FALSE)="Thunder",Backdoors!BD38,IF(VLOOKUP(tbMoveset!A29,tbMoveset!A2:I112,9,FALSE)="Ice",Backdoors!BE38,IF(VLOOKUP(tbMoveset!A29,tbMoveset!A2:I112,9,FALSE)="Dragon",Backdoors!BF38,Backdoors!BG38)))))/100,Backdoors!BG38/100),"")</f>
        <v>0</v>
      </c>
      <c r="IO29" s="49">
        <f>IFERROR(IF(VLOOKUP(A29,tbMoveset!A2:J112,10,FALSE)=TRUE,IF((Backdoors!AI12+IF(IM29&gt;=0.45,VLOOKUP(Calculator!E23,tbSkills!DH3:DI6,2,FALSE)+IF(AND(Calculator!B8=TRUE,Backdoors!BI38=TRUE),VLOOKUP(Calculator!E23,tbSkills!DH3:DJ6,3,FALSE),0),0))&gt;=0,1+(Backdoors!AL2*(IF((Backdoors!AI12+IF(IM29&gt;=0.45,VLOOKUP(Calculator!E23,tbSkills!DH3:DI6,2,FALSE)+IF(AND(Calculator!B8=TRUE,Backdoors!BI38=TRUE),VLOOKUP(Calculator!E23,tbSkills!DH3:DJ6,3,FALSE),0),0))&gt;=100,100,(Backdoors!AI12+IF(IM29&gt;=0.45,VLOOKUP(Calculator!E23,tbSkills!DH3:DI6,2,FALSE)+IF(AND(Calculator!B8=TRUE,Backdoors!BI38=TRUE),VLOOKUP(Calculator!E23,tbSkills!DH3:DJ6,3,FALSE),0),0)))/100)),(1-(0.25*((-Backdoors!AI12-IF(IM29&gt;=0.45,VLOOKUP(Calculator!E23,tbSkills!DH3:DI6,2,FALSE)+IF(AND(Calculator!B8=TRUE,Backdoors!BI38=TRUE),VLOOKUP(Calculator!E23,tbSkills!DH3:DJ6,3,FALSE),0),0))/100)))),1),"")</f>
        <v>1</v>
      </c>
      <c r="IP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M29)*IO29)*(VLOOKUP(A29,tbMoveset!A2:C112,3,FALSE)/100)*IF(VLOOKUP(A29,tbMoveset!A2:B112,2,FALSE)="Projectile",Backdoors!N10,Backdoors!N9),0),"")</f>
        <v/>
      </c>
      <c r="IQ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IM29&gt;=0.45,VLOOKUP(Calculator!E23,tbSkills!DH3:DI6,2,FALSE)+IF(AND(Calculator!B8=TRUE,Backdoors!BI38=TRUE),VLOOKUP(Calculator!E23,tbSkills!DH3:DJ6,3,FALSE),0),0))&gt;=100,100,(Backdoors!AI12+IF(IM29&gt;=0.45,VLOOKUP(Calculator!E23,tbSkills!DH3:DI6,2,FALSE)+IF(AND(Calculator!B8=TRUE,Backdoors!BI38=TRUE),VLOOKUP(Calculator!E23,tbSkills!DH3:DJ6,3,FALSE),0),0)))/100)),1))*IF(VLOOKUP(A29,tbMoveset!A2:K112,11,FALSE)=TRUE,Backdoors!AC5,1))*IN29,0),"")</f>
        <v>0</v>
      </c>
      <c r="IR29" s="49">
        <f>VLOOKUP(A29,tbMoveset!A2:G112,7,FALSE)*IFERROR(IF(Backdoors!AI12&gt;=0,1+(IF(Calculator!E40&gt;0,VLOOKUP(Calculator!E40,tbSkills!AI3:AJ5,2,FALSE),Backdoors!AL4)*(IF((Backdoors!AI12+IF(IM29&gt;=0.45,VLOOKUP(Calculator!E23,tbSkills!DH3:DI6,2,FALSE)+IF(AND(Calculator!B8=TRUE,Backdoors!BI38=TRUE),VLOOKUP(Calculator!E23,tbSkills!DH3:DJ6,3,FALSE),0),0))&gt;=100,100,(Backdoors!AI12+IF(IM29&gt;=0.45,VLOOKUP(Calculator!E23,tbSkills!DH3:DI6,2,FALSE)+IF(AND(Calculator!B8=TRUE,Backdoors!BI38=TRUE),VLOOKUP(Calculator!E23,tbSkills!DH3:DJ6,3,FALSE),0),0)))/100)),1),1)</f>
        <v>0.6</v>
      </c>
      <c r="IS29" s="87">
        <f t="shared" si="42"/>
        <v>0</v>
      </c>
      <c r="IT29" s="86" t="str">
        <f>IFERROR(IF(VLOOKUP(A29,tbMoveset!A2:B112,2,FALSE)="Sever",Backdoors!AY39/100,IF(VLOOKUP(A29,tbMoveset!A2:B112,2,FALSE)="Blunt",Backdoors!AZ39/100,Backdoors!BA39/100)),"")</f>
        <v/>
      </c>
      <c r="IU29" s="49">
        <f>IFERROR(IF(VLOOKUP(tbMoveset!A29,tbMoveset!A2:H112,8,FALSE)="Other",IF(VLOOKUP(tbMoveset!A29,tbMoveset!A2:I112,9,FALSE)="Fire",Backdoors!BB39,IF(VLOOKUP(tbMoveset!A29,tbMoveset!A2:I112,9,FALSE)="Water",Backdoors!BC39,IF(VLOOKUP(tbMoveset!A29,tbMoveset!A2:I112,9,FALSE)="Thunder",Backdoors!BD39,IF(VLOOKUP(tbMoveset!A29,tbMoveset!A2:I112,9,FALSE)="Ice",Backdoors!BE39,IF(VLOOKUP(tbMoveset!A29,tbMoveset!A2:I112,9,FALSE)="Dragon",Backdoors!BF39,Backdoors!BG39)))))/100,Backdoors!BG39/100),"")</f>
        <v>0</v>
      </c>
      <c r="IV29" s="49">
        <f>IFERROR(IF(VLOOKUP(A29,tbMoveset!A2:J112,10,FALSE)=TRUE,IF((Backdoors!AI12+IF(IT29&gt;=0.45,VLOOKUP(Calculator!E23,tbSkills!DH3:DI6,2,FALSE)+IF(AND(Calculator!B8=TRUE,Backdoors!BI39=TRUE),VLOOKUP(Calculator!E23,tbSkills!DH3:DJ6,3,FALSE),0),0))&gt;=0,1+(Backdoors!AL2*(IF((Backdoors!AI12+IF(IT29&gt;=0.45,VLOOKUP(Calculator!E23,tbSkills!DH3:DI6,2,FALSE)+IF(AND(Calculator!B8=TRUE,Backdoors!BI39=TRUE),VLOOKUP(Calculator!E23,tbSkills!DH3:DJ6,3,FALSE),0),0))&gt;=100,100,(Backdoors!AI12+IF(IT29&gt;=0.45,VLOOKUP(Calculator!E23,tbSkills!DH3:DI6,2,FALSE)+IF(AND(Calculator!B8=TRUE,Backdoors!BI39=TRUE),VLOOKUP(Calculator!E23,tbSkills!DH3:DJ6,3,FALSE),0),0)))/100)),(1-(0.25*((-Backdoors!AI12-IF(IT29&gt;=0.45,VLOOKUP(Calculator!E23,tbSkills!DH3:DI6,2,FALSE)+IF(AND(Calculator!B8=TRUE,Backdoors!BI39=TRUE),VLOOKUP(Calculator!E23,tbSkills!DH3:DJ6,3,FALSE),0),0))/100)))),1),"")</f>
        <v>1</v>
      </c>
      <c r="IW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T29)*IV29)*(VLOOKUP(A29,tbMoveset!A2:C112,3,FALSE)/100)*IF(VLOOKUP(A29,tbMoveset!A2:B112,2,FALSE)="Projectile",Backdoors!N10,Backdoors!N9),0),"")</f>
        <v/>
      </c>
      <c r="IX29" s="49">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40&gt;0,VLOOKUP(Calculator!E40,tbSkills!AC3:AD5,2,FALSE),Backdoors!AL3)*(IF((Backdoors!AI12+IF(IT29&gt;=0.45,VLOOKUP(Calculator!E23,tbSkills!DH3:DI6,2,FALSE)+IF(AND(Calculator!B8=TRUE,Backdoors!BI39=TRUE),VLOOKUP(Calculator!E23,tbSkills!DH3:DJ6,3,FALSE),0),0))&gt;=100,100,(Backdoors!AI12+IF(IT29&gt;=0.45,VLOOKUP(Calculator!E23,tbSkills!DH3:DI6,2,FALSE)+IF(AND(Calculator!B8=TRUE,Backdoors!BI39=TRUE),VLOOKUP(Calculator!E23,tbSkills!DH3:DJ6,3,FALSE),0),0)))/100)),1))*IF(VLOOKUP(A29,tbMoveset!A2:K112,11,FALSE)=TRUE,Backdoors!AC5,1))*IU29,0),"")</f>
        <v>0</v>
      </c>
      <c r="IY29" s="49">
        <f>VLOOKUP(A29,tbMoveset!A2:G112,7,FALSE)*IFERROR(IF(Backdoors!AI12&gt;=0,1+(IF(Calculator!E40&gt;0,VLOOKUP(Calculator!E40,tbSkills!AI3:AJ5,2,FALSE),Backdoors!AL4)*(IF((Backdoors!AI12+IF(IT29&gt;=0.45,VLOOKUP(Calculator!E23,tbSkills!DH3:DI6,2,FALSE)+IF(AND(Calculator!B8=TRUE,Backdoors!BI39=TRUE),VLOOKUP(Calculator!E23,tbSkills!DH3:DJ6,3,FALSE),0),0))&gt;=100,100,(Backdoors!AI12+IF(IT29&gt;=0.45,VLOOKUP(Calculator!E23,tbSkills!DH3:DI6,2,FALSE)+IF(AND(Calculator!B8=TRUE,Backdoors!BI39=TRUE),VLOOKUP(Calculator!E23,tbSkills!DH3:DJ6,3,FALSE),0),0)))/100)),1),1)</f>
        <v>0.6</v>
      </c>
      <c r="IZ29" s="87">
        <f t="shared" si="28"/>
        <v>0</v>
      </c>
      <c r="JA29" s="86" t="str">
        <f>IFERROR(IF(VLOOKUP(A29,tbMoveset!A2:B112,2,FALSE)="Sever",Backdoors!AY40/100,IF(VLOOKUP(A29,tbMoveset!A2:B112,2,FALSE)="Blunt",Backdoors!AZ40/100,Backdoors!BA40/100)),"")</f>
        <v/>
      </c>
      <c r="JB29" s="49">
        <f>IFERROR(IF(VLOOKUP(tbMoveset!A29,tbMoveset!A2:H112,8,FALSE)="Other",IF(VLOOKUP(tbMoveset!A29,tbMoveset!A2:I112,9,FALSE)="Fire",Backdoors!BB40,IF(VLOOKUP(tbMoveset!A29,tbMoveset!A2:I112,9,FALSE)="Water",Backdoors!BC40,IF(VLOOKUP(tbMoveset!A29,tbMoveset!A2:I112,9,FALSE)="Thunder",Backdoors!BD40,IF(VLOOKUP(tbMoveset!A29,tbMoveset!A2:I112,9,FALSE)="Ice",Backdoors!BE40,IF(VLOOKUP(tbMoveset!A29,tbMoveset!A2:I112,9,FALSE)="Dragon",Backdoors!BF40,Backdoors!BG40)))))/100,Backdoors!BG40/100),"")</f>
        <v>0</v>
      </c>
      <c r="JC29" s="49">
        <f>IFERROR(IF(VLOOKUP(A29,tbMoveset!A2:J112,10,FALSE)=TRUE,IF((Backdoors!AI12+IF(JA29&gt;=0.45,VLOOKUP(Calculator!E23,tbSkills!DH3:DI6,2,FALSE)+IF(AND(Calculator!B8=TRUE,Backdoors!BI40=TRUE),VLOOKUP(Calculator!E23,tbSkills!DH3:DJ6,3,FALSE),0),0))&gt;=0,1+(Backdoors!AL2*(IF((Backdoors!AI12+IF(JA29&gt;=0.45,VLOOKUP(Calculator!E23,tbSkills!DH3:DI6,2,FALSE)+IF(AND(Calculator!B8=TRUE,Backdoors!BI40=TRUE),VLOOKUP(Calculator!E23,tbSkills!DH3:DJ6,3,FALSE),0),0))&gt;=100,100,(Backdoors!AI12+IF(JA29&gt;=0.45,VLOOKUP(Calculator!E23,tbSkills!DH3:DI6,2,FALSE)+IF(AND(Calculator!B8=TRUE,Backdoors!BI40=TRUE),VLOOKUP(Calculator!E23,tbSkills!DH3:DJ6,3,FALSE),0),0)))/100)),(1-(0.25*((-Backdoors!AI12-IF(JA29&gt;=0.45,VLOOKUP(Calculator!E23,tbSkills!DH3:DI6,2,FALSE)+IF(AND(Calculator!B8=TRUE,Backdoors!BI40=TRUE),VLOOKUP(Calculator!E23,tbSkills!DH3:DJ6,3,FALSE),0),0))/100)))),1),"")</f>
        <v>1</v>
      </c>
      <c r="JD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A29)*JC29)*(VLOOKUP(A29,tbMoveset!A2:C112,3,FALSE)/100)*IF(VLOOKUP(A29,tbMoveset!A2:B112,2,FALSE)="Projectile",Backdoors!N10,Backdoors!N9),0),"")</f>
        <v/>
      </c>
      <c r="JE29" s="49">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42&gt;0,VLOOKUP(Calculator!E42,tbSkills!AC3:AD5,2,FALSE),Backdoors!AL3)*(IF((Backdoors!AI12+IF(JA29&gt;=0.45,VLOOKUP(Calculator!E23,tbSkills!DH3:DI6,2,FALSE)+IF(AND(Calculator!B8=TRUE,Backdoors!BI40=TRUE),VLOOKUP(Calculator!E23,tbSkills!DH3:DJ6,3,FALSE),0),0))&gt;=100,100,(Backdoors!AI12+IF(JA29&gt;=0.45,VLOOKUP(Calculator!E23,tbSkills!DH3:DI6,2,FALSE)+IF(AND(Calculator!B8=TRUE,Backdoors!BI40=TRUE),VLOOKUP(Calculator!E23,tbSkills!DH3:DJ6,3,FALSE),0),0)))/100)),1))*IF(VLOOKUP(A29,tbMoveset!A2:K112,11,FALSE)=TRUE,Backdoors!AC5,1))*JB29,0),"")</f>
        <v>0</v>
      </c>
      <c r="JF29" s="49">
        <f>VLOOKUP(A29,tbMoveset!A2:G112,7,FALSE)*IFERROR(IF(Backdoors!AI12&gt;=0,1+(IF(Calculator!E40&gt;0,VLOOKUP(Calculator!E40,tbSkills!AI3:AJ5,2,FALSE),Backdoors!AL4)*(IF((Backdoors!AI12+IF(JA29&gt;=0.45,VLOOKUP(Calculator!E23,tbSkills!DH3:DI6,2,FALSE)+IF(AND(Calculator!B8=TRUE,Backdoors!BI40=TRUE),VLOOKUP(Calculator!E23,tbSkills!DH3:DJ6,3,FALSE),0),0))&gt;=100,100,(Backdoors!AI12+IF(JA29&gt;=0.45,VLOOKUP(Calculator!E23,tbSkills!DH3:DI6,2,FALSE)+IF(AND(Calculator!B8=TRUE,Backdoors!BI40=TRUE),VLOOKUP(Calculator!E23,tbSkills!DH3:DJ6,3,FALSE),0),0)))/100)),1),1)</f>
        <v>0.6</v>
      </c>
      <c r="JG29" s="87">
        <f t="shared" si="29"/>
        <v>0</v>
      </c>
      <c r="JH29" s="86" t="str">
        <f>IFERROR(IF(VLOOKUP(A29,tbMoveset!A2:B112,2,FALSE)="Sever",Backdoors!AY41/100,IF(VLOOKUP(A29,tbMoveset!A2:B112,2,FALSE)="Blunt",Backdoors!AZ41/100,Backdoors!BA41/100)),"")</f>
        <v/>
      </c>
      <c r="JI29" s="49">
        <f>IFERROR(IF(VLOOKUP(tbMoveset!A29,tbMoveset!A2:H112,8,FALSE)="Other",IF(VLOOKUP(tbMoveset!A29,tbMoveset!A2:I112,9,FALSE)="Fire",Backdoors!BB41,IF(VLOOKUP(tbMoveset!A29,tbMoveset!A2:I112,9,FALSE)="Water",Backdoors!BC41,IF(VLOOKUP(tbMoveset!A29,tbMoveset!A2:I112,9,FALSE)="Thunder",Backdoors!BD41,IF(VLOOKUP(tbMoveset!A29,tbMoveset!A2:I112,9,FALSE)="Ice",Backdoors!BE41,IF(VLOOKUP(tbMoveset!A29,tbMoveset!A2:I112,9,FALSE)="Dragon",Backdoors!BF41,Backdoors!BG41)))))/100,Backdoors!BG41/100),"")</f>
        <v>0</v>
      </c>
      <c r="JJ29" s="49">
        <f>IFERROR(IF(VLOOKUP(A29,tbMoveset!A2:J112,10,FALSE)=TRUE,IF((Backdoors!AI12+IF(JH29&gt;=0.45,VLOOKUP(Calculator!E23,tbSkills!DH3:DI6,2,FALSE)+IF(AND(Calculator!B8=TRUE,Backdoors!BI41=TRUE),VLOOKUP(Calculator!E23,tbSkills!DH3:DJ6,3,FALSE),0),0))&gt;=0,1+(Backdoors!AL2*(IF((Backdoors!AI12+IF(JH29&gt;=0.45,VLOOKUP(Calculator!E23,tbSkills!DH3:DI6,2,FALSE)+IF(AND(Calculator!B8=TRUE,Backdoors!BI41=TRUE),VLOOKUP(Calculator!E23,tbSkills!DH3:DJ6,3,FALSE),0),0))&gt;=100,100,(Backdoors!AI12+IF(JH29&gt;=0.45,VLOOKUP(Calculator!E23,tbSkills!DH3:DI6,2,FALSE)+IF(AND(Calculator!B8=TRUE,Backdoors!BI41=TRUE),VLOOKUP(Calculator!E23,tbSkills!DH3:DJ6,3,FALSE),0),0)))/100)),(1-(0.25*((-Backdoors!AI12-IF(JH29&gt;=0.45,VLOOKUP(Calculator!E23,tbSkills!DH3:DI6,2,FALSE)+IF(AND(Calculator!B8=TRUE,Backdoors!BI41=TRUE),VLOOKUP(Calculator!E23,tbSkills!DH3:DJ6,3,FALSE),0),0))/100)))),1),"")</f>
        <v>1</v>
      </c>
      <c r="JK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H29)*JJ29)*(VLOOKUP(A29,tbMoveset!A2:C112,3,FALSE)/100)*IF(VLOOKUP(A29,tbMoveset!A2:B112,2,FALSE)="Projectile",Backdoors!N10,Backdoors!N9),0),"")</f>
        <v/>
      </c>
      <c r="JL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43&gt;0,VLOOKUP(Calculator!E43,tbSkills!AC3:AD5,2,FALSE),Backdoors!AL3)*(IF((Backdoors!AI12+IF(JH29&gt;=0.45,VLOOKUP(Calculator!E23,tbSkills!DH3:DI6,2,FALSE)+IF(AND(Calculator!B8=TRUE,Backdoors!BI41=TRUE),VLOOKUP(Calculator!E23,tbSkills!DH3:DJ6,3,FALSE),0),0))&gt;=100,100,(Backdoors!AI12+IF(JH29&gt;=0.45,VLOOKUP(Calculator!E23,tbSkills!DH3:DI6,2,FALSE)+IF(AND(Calculator!B8=TRUE,Backdoors!BI41=TRUE),VLOOKUP(Calculator!E23,tbSkills!DH3:DJ6,3,FALSE),0),0)))/100)),1))*IF(VLOOKUP(A29,tbMoveset!A2:K112,11,FALSE)=TRUE,Backdoors!AC5,1))*JI29,0),"")</f>
        <v/>
      </c>
      <c r="JM29" s="49">
        <f>VLOOKUP(A29,tbMoveset!A2:G112,7,FALSE)*IFERROR(IF(Backdoors!AI12&gt;=0,1+(IF(Calculator!E40&gt;0,VLOOKUP(Calculator!E40,tbSkills!AI3:AJ5,2,FALSE),Backdoors!AL4)*(IF((Backdoors!AI12+IF(JH29&gt;=0.45,VLOOKUP(Calculator!E23,tbSkills!DH3:DI6,2,FALSE)+IF(AND(Calculator!B8=TRUE,Backdoors!BI41=TRUE),VLOOKUP(Calculator!E23,tbSkills!DH3:DJ6,3,FALSE),0),0))&gt;=100,100,(Backdoors!AI12+IF(JH29&gt;=0.45,VLOOKUP(Calculator!E23,tbSkills!DH3:DI6,2,FALSE)+IF(AND(Calculator!B8=TRUE,Backdoors!BI41=TRUE),VLOOKUP(Calculator!E23,tbSkills!DH3:DJ6,3,FALSE),0),0)))/100)),1),1)</f>
        <v>0.6</v>
      </c>
      <c r="JN29" s="87">
        <f t="shared" si="30"/>
        <v>0</v>
      </c>
      <c r="JO29" s="86" t="str">
        <f>IFERROR(IF(VLOOKUP(A29,tbMoveset!A2:B112,2,FALSE)="Sever",Backdoors!AY42/100,IF(VLOOKUP(A29,tbMoveset!A2:B112,2,FALSE)="Blunt",Backdoors!AZ42/100,Backdoors!BA42/100)),"")</f>
        <v/>
      </c>
      <c r="JP29" s="49">
        <f>IFERROR(IF(VLOOKUP(tbMoveset!A29,tbMoveset!A2:H112,8,FALSE)="Other",IF(VLOOKUP(tbMoveset!A29,tbMoveset!A2:I112,9,FALSE)="Fire",Backdoors!BB42,IF(VLOOKUP(tbMoveset!A29,tbMoveset!A2:I112,9,FALSE)="Water",Backdoors!BC42,IF(VLOOKUP(tbMoveset!A29,tbMoveset!A2:I112,9,FALSE)="Thunder",Backdoors!BD42,IF(VLOOKUP(tbMoveset!A29,tbMoveset!A2:I112,9,FALSE)="Ice",Backdoors!BE42,IF(VLOOKUP(tbMoveset!A29,tbMoveset!A2:I112,9,FALSE)="Dragon",Backdoors!BF42,Backdoors!BG42)))))/100,Backdoors!BG42/100),"")</f>
        <v>0</v>
      </c>
      <c r="JQ29" s="49">
        <f>IFERROR(IF(VLOOKUP(A29,tbMoveset!A2:J112,10,FALSE)=TRUE,IF((Backdoors!AI12+IF(JO29&gt;=0.45,VLOOKUP(Calculator!E23,tbSkills!DH3:DI6,2,FALSE)+IF(AND(Calculator!B8=TRUE,Backdoors!BI42=TRUE),VLOOKUP(Calculator!E23,tbSkills!DH3:DJ6,3,FALSE),0),0))&gt;=0,1+(Backdoors!AL2*(IF((Backdoors!AI12+IF(JO29&gt;=0.45,VLOOKUP(Calculator!E23,tbSkills!DH3:DI6,2,FALSE)+IF(AND(Calculator!B8=TRUE,Backdoors!BI42=TRUE),VLOOKUP(Calculator!E23,tbSkills!DH3:DJ6,3,FALSE),0),0))&gt;=100,100,(Backdoors!AI12+IF(JO29&gt;=0.45,VLOOKUP(Calculator!E23,tbSkills!DH3:DI6,2,FALSE)+IF(AND(Calculator!B8=TRUE,Backdoors!BI42=TRUE),VLOOKUP(Calculator!E23,tbSkills!DH3:DJ6,3,FALSE),0),0)))/100)),(1-(0.25*((-Backdoors!AI12-IF(JO29&gt;=0.45,VLOOKUP(Calculator!E23,tbSkills!DH3:DI6,2,FALSE)+IF(AND(Calculator!B8=TRUE,Backdoors!BI42=TRUE),VLOOKUP(Calculator!E23,tbSkills!DH3:DJ6,3,FALSE),0),0))/100)))),1),"")</f>
        <v>1</v>
      </c>
      <c r="JR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O29)*JQ29)*(VLOOKUP(A29,tbMoveset!A2:C112,3,FALSE)/100)*IF(VLOOKUP(A29,tbMoveset!A2:B112,2,FALSE)="Projectile",Backdoors!N10,Backdoors!N9),0),"")</f>
        <v/>
      </c>
      <c r="JS29" s="49">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45&gt;0,VLOOKUP(Calculator!E45,tbSkills!AC3:AD5,2,FALSE),Backdoors!AL3)*(IF((Backdoors!AI12+IF(JO29&gt;=0.45,VLOOKUP(Calculator!E23,tbSkills!DH3:DI6,2,FALSE)+IF(AND(Calculator!B8=TRUE,Backdoors!BI42=TRUE),VLOOKUP(Calculator!E23,tbSkills!DH3:DJ6,3,FALSE),0),0))&gt;=100,100,(Backdoors!AI12+IF(JO29&gt;=0.45,VLOOKUP(Calculator!E23,tbSkills!DH3:DI6,2,FALSE)+IF(AND(Calculator!B8=TRUE,Backdoors!BI42=TRUE),VLOOKUP(Calculator!E23,tbSkills!DH3:DJ6,3,FALSE),0),0)))/100)),1))*IF(VLOOKUP(A29,tbMoveset!A2:K112,11,FALSE)=TRUE,Backdoors!AC5,1))*JP29,0),"")</f>
        <v>0</v>
      </c>
      <c r="JT29" s="49">
        <f>VLOOKUP(A29,tbMoveset!A2:G112,7,FALSE)*IFERROR(IF(Backdoors!AI12&gt;=0,1+(IF(Calculator!E40&gt;0,VLOOKUP(Calculator!E40,tbSkills!AI3:AJ5,2,FALSE),Backdoors!AL4)*(IF((Backdoors!AI12+IF(JO29&gt;=0.45,VLOOKUP(Calculator!E23,tbSkills!DH3:DI6,2,FALSE)+IF(AND(Calculator!B8=TRUE,Backdoors!BI42=TRUE),VLOOKUP(Calculator!E23,tbSkills!DH3:DJ6,3,FALSE),0),0))&gt;=100,100,(Backdoors!AI12+IF(JO29&gt;=0.45,VLOOKUP(Calculator!E23,tbSkills!DH3:DI6,2,FALSE)+IF(AND(Calculator!B8=TRUE,Backdoors!BI42=TRUE),VLOOKUP(Calculator!E23,tbSkills!DH3:DJ6,3,FALSE),0),0)))/100)),1),1)</f>
        <v>0.6</v>
      </c>
      <c r="JU29" s="87">
        <f t="shared" si="31"/>
        <v>0</v>
      </c>
      <c r="JV29" s="86" t="str">
        <f>IFERROR(IF(VLOOKUP(A29,tbMoveset!A2:B112,2,FALSE)="Sever",Backdoors!AY43/100,IF(VLOOKUP(A29,tbMoveset!A2:B112,2,FALSE)="Blunt",Backdoors!AZ43/100,Backdoors!BA43/100)),"")</f>
        <v/>
      </c>
      <c r="JW29" s="49">
        <f>IFERROR(IF(VLOOKUP(tbMoveset!A29,tbMoveset!A2:H112,8,FALSE)="Other",IF(VLOOKUP(tbMoveset!A29,tbMoveset!A2:I112,9,FALSE)="Fire",Backdoors!BB43,IF(VLOOKUP(tbMoveset!A29,tbMoveset!A2:I112,9,FALSE)="Water",Backdoors!BC43,IF(VLOOKUP(tbMoveset!A29,tbMoveset!A2:I112,9,FALSE)="Thunder",Backdoors!BD43,IF(VLOOKUP(tbMoveset!A29,tbMoveset!A2:I112,9,FALSE)="Ice",Backdoors!BE43,IF(VLOOKUP(tbMoveset!A29,tbMoveset!A2:I112,9,FALSE)="Dragon",Backdoors!BF43,Backdoors!BG43)))))/100,Backdoors!BG43/100),"")</f>
        <v>0</v>
      </c>
      <c r="JX29" s="49">
        <f>IFERROR(IF(VLOOKUP(A29,tbMoveset!A2:J112,10,FALSE)=TRUE,IF((Backdoors!AI12+IF(JV29&gt;=0.45,VLOOKUP(Calculator!E23,tbSkills!DH3:DI6,2,FALSE)+IF(AND(Calculator!B8=TRUE,Backdoors!BI43=TRUE),VLOOKUP(Calculator!E23,tbSkills!DH3:DJ6,3,FALSE),0),0))&gt;=0,1+(Backdoors!AL2*(IF((Backdoors!AI12+IF(JV29&gt;=0.45,VLOOKUP(Calculator!E23,tbSkills!DH3:DI6,2,FALSE)+IF(AND(Calculator!B8=TRUE,Backdoors!BI43=TRUE),VLOOKUP(Calculator!E23,tbSkills!DH3:DJ6,3,FALSE),0),0))&gt;=100,100,(Backdoors!AI12+IF(JV29&gt;=0.45,VLOOKUP(Calculator!E23,tbSkills!DH3:DI6,2,FALSE)+IF(AND(Calculator!B8=TRUE,Backdoors!BI43=TRUE),VLOOKUP(Calculator!E23,tbSkills!DH3:DJ6,3,FALSE),0),0)))/100)),(1-(0.25*((-Backdoors!AI12-IF(JV29&gt;=0.45,VLOOKUP(Calculator!E23,tbSkills!DH3:DI6,2,FALSE)+IF(AND(Calculator!B8=TRUE,Backdoors!BI43=TRUE),VLOOKUP(Calculator!E23,tbSkills!DH3:DJ6,3,FALSE),0),0))/100)))),1),"")</f>
        <v>1</v>
      </c>
      <c r="JY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V29)*JX29)*(VLOOKUP(A29,tbMoveset!A2:C112,3,FALSE)/100)*IF(VLOOKUP(A29,tbMoveset!A2:B112,2,FALSE)="Projectile",Backdoors!N10,Backdoors!N9),0),"")</f>
        <v/>
      </c>
      <c r="JZ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46&gt;0,VLOOKUP(Calculator!E46,tbSkills!AC3:AD5,2,FALSE),Backdoors!AL3)*(IF((Backdoors!AI12+IF(JV29&gt;=0.45,VLOOKUP(Calculator!E23,tbSkills!DH3:DI6,2,FALSE)+IF(AND(Calculator!B8=TRUE,Backdoors!BI43=TRUE),VLOOKUP(Calculator!E23,tbSkills!DH3:DJ6,3,FALSE),0),0))&gt;=100,100,(Backdoors!AI12+IF(JV29&gt;=0.45,VLOOKUP(Calculator!E23,tbSkills!DH3:DI6,2,FALSE)+IF(AND(Calculator!B8=TRUE,Backdoors!BI43=TRUE),VLOOKUP(Calculator!E23,tbSkills!DH3:DJ6,3,FALSE),0),0)))/100)),1))*IF(VLOOKUP(A29,tbMoveset!A2:K112,11,FALSE)=TRUE,Backdoors!AC5,1))*JW29,0),"")</f>
        <v/>
      </c>
      <c r="KA29" s="49">
        <f>VLOOKUP(A29,tbMoveset!A2:G112,7,FALSE)*IFERROR(IF(Backdoors!AI12&gt;=0,1+(IF(Calculator!E40&gt;0,VLOOKUP(Calculator!E40,tbSkills!AI3:AJ5,2,FALSE),Backdoors!AL4)*(IF((Backdoors!AI12+IF(JV29&gt;=0.45,VLOOKUP(Calculator!E23,tbSkills!DH3:DI6,2,FALSE)+IF(AND(Calculator!B8=TRUE,Backdoors!BI43=TRUE),VLOOKUP(Calculator!E23,tbSkills!DH3:DJ6,3,FALSE),0),0))&gt;=100,100,(Backdoors!AI12+IF(JV29&gt;=0.45,VLOOKUP(Calculator!E23,tbSkills!DH3:DI6,2,FALSE)+IF(AND(Calculator!B8=TRUE,Backdoors!BI43=TRUE),VLOOKUP(Calculator!E23,tbSkills!DH3:DJ6,3,FALSE),0),0)))/100)),1),1)</f>
        <v>0.6</v>
      </c>
      <c r="KB29" s="87">
        <f t="shared" si="32"/>
        <v>0</v>
      </c>
      <c r="KC29" s="86" t="str">
        <f>IFERROR(IF(VLOOKUP(A29,tbMoveset!A2:B112,2,FALSE)="Sever",Backdoors!AY44/100,IF(VLOOKUP(A29,tbMoveset!A2:B112,2,FALSE)="Blunt",Backdoors!AZ44/100,Backdoors!BA44/100)),"")</f>
        <v/>
      </c>
      <c r="KD29" s="49">
        <f>IFERROR(IF(VLOOKUP(tbMoveset!A29,tbMoveset!A2:H112,8,FALSE)="Other",IF(VLOOKUP(tbMoveset!A29,tbMoveset!A2:I112,9,FALSE)="Fire",Backdoors!BB44,IF(VLOOKUP(tbMoveset!A29,tbMoveset!A2:I112,9,FALSE)="Water",Backdoors!BC44,IF(VLOOKUP(tbMoveset!A29,tbMoveset!A2:I112,9,FALSE)="Thunder",Backdoors!BD44,IF(VLOOKUP(tbMoveset!A29,tbMoveset!A2:I112,9,FALSE)="Ice",Backdoors!BE44,IF(VLOOKUP(tbMoveset!A29,tbMoveset!A2:I112,9,FALSE)="Dragon",Backdoors!BF44,Backdoors!BG44)))))/100,Backdoors!BG44/100),"")</f>
        <v>0</v>
      </c>
      <c r="KE29" s="49">
        <f>IFERROR(IF(VLOOKUP(A29,tbMoveset!A2:J112,10,FALSE)=TRUE,IF((Backdoors!AI12+IF(KC29&gt;=0.45,VLOOKUP(Calculator!E23,tbSkills!DH3:DI6,2,FALSE)+IF(AND(Calculator!B8=TRUE,Backdoors!BI44=TRUE),VLOOKUP(Calculator!E23,tbSkills!DH3:DJ6,3,FALSE),0),0))&gt;=0,1+(Backdoors!AL2*(IF((Backdoors!AI12+IF(KC29&gt;=0.45,VLOOKUP(Calculator!E23,tbSkills!DH3:DI6,2,FALSE)+IF(AND(Calculator!B8=TRUE,Backdoors!BI44=TRUE),VLOOKUP(Calculator!E23,tbSkills!DH3:DJ6,3,FALSE),0),0))&gt;=100,100,(Backdoors!AI12+IF(KC29&gt;=0.45,VLOOKUP(Calculator!E23,tbSkills!DH3:DI6,2,FALSE)+IF(AND(Calculator!B8=TRUE,Backdoors!BI44=TRUE),VLOOKUP(Calculator!E23,tbSkills!DH3:DJ6,3,FALSE),0),0)))/100)),(1-(0.25*((-Backdoors!AI12-IF(KC29&gt;=0.45,VLOOKUP(Calculator!E23,tbSkills!DH3:DI6,2,FALSE)+IF(AND(Calculator!B8=TRUE,Backdoors!BI44=TRUE),VLOOKUP(Calculator!E23,tbSkills!DH3:DJ6,3,FALSE),0),0))/100)))),1),"")</f>
        <v>1</v>
      </c>
      <c r="KF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KC29)*KE29)*(VLOOKUP(A29,tbMoveset!A2:C112,3,FALSE)/100)*IF(VLOOKUP(A29,tbMoveset!A2:B112,2,FALSE)="Projectile",Backdoors!N10,Backdoors!N9),0),"")</f>
        <v/>
      </c>
      <c r="KG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REF!&gt;0,VLOOKUP(Calculator!#REF!,tbSkills!AC3:AD5,2,FALSE),Backdoors!AL3)*(IF((Backdoors!AI12+IF(KC29&gt;=0.45,VLOOKUP(Calculator!E23,tbSkills!DH3:DI6,2,FALSE)+IF(AND(Calculator!B8=TRUE,Backdoors!BI44=TRUE),VLOOKUP(Calculator!E23,tbSkills!DH3:DJ6,3,FALSE),0),0))&gt;=100,100,(Backdoors!AI12+IF(KC29&gt;=0.45,VLOOKUP(Calculator!E23,tbSkills!DH3:DI6,2,FALSE)+IF(AND(Calculator!B8=TRUE,Backdoors!BI44=TRUE),VLOOKUP(Calculator!E23,tbSkills!DH3:DJ6,3,FALSE),0),0)))/100)),1))*IF(VLOOKUP(A29,tbMoveset!A2:K112,11,FALSE)=TRUE,Backdoors!AC5,1))*KD29,0),"")</f>
        <v/>
      </c>
      <c r="KH29" s="49">
        <f>VLOOKUP(A29,tbMoveset!A2:G112,7,FALSE)*IFERROR(IF(Backdoors!AI12&gt;=0,1+(IF(Calculator!E40&gt;0,VLOOKUP(Calculator!E40,tbSkills!AI3:AJ5,2,FALSE),Backdoors!AL4)*(IF((Backdoors!AI12+IF(KC29&gt;=0.45,VLOOKUP(Calculator!E23,tbSkills!DH3:DI6,2,FALSE)+IF(AND(Calculator!B8=TRUE,Backdoors!BI44=TRUE),VLOOKUP(Calculator!E23,tbSkills!DH3:DJ6,3,FALSE),0),0))&gt;=100,100,(Backdoors!AI12+IF(KC29&gt;=0.45,VLOOKUP(Calculator!E23,tbSkills!DH3:DI6,2,FALSE)+IF(AND(Calculator!B8=TRUE,Backdoors!BI44=TRUE),VLOOKUP(Calculator!E23,tbSkills!DH3:DJ6,3,FALSE),0),0)))/100)),1),1)</f>
        <v>0.6</v>
      </c>
      <c r="KI29" s="87">
        <f t="shared" si="33"/>
        <v>0</v>
      </c>
      <c r="KJ29" s="86" t="str">
        <f>IFERROR(IF(VLOOKUP(A29,tbMoveset!A2:B112,2,FALSE)="Sever",Backdoors!AY45/100,IF(VLOOKUP(A29,tbMoveset!A2:B112,2,FALSE)="Blunt",Backdoors!AZ45/100,Backdoors!BA45/100)),"")</f>
        <v/>
      </c>
      <c r="KK29" s="49">
        <f>IFERROR(IF(VLOOKUP(tbMoveset!A29,tbMoveset!A2:H112,8,FALSE)="Other",IF(VLOOKUP(tbMoveset!A29,tbMoveset!A2:I112,9,FALSE)="Fire",Backdoors!BB45,IF(VLOOKUP(tbMoveset!A29,tbMoveset!A2:I112,9,FALSE)="Water",Backdoors!BC45,IF(VLOOKUP(tbMoveset!A29,tbMoveset!A2:I112,9,FALSE)="Thunder",Backdoors!BD45,IF(VLOOKUP(tbMoveset!A29,tbMoveset!A2:I112,9,FALSE)="Ice",Backdoors!BE45,IF(VLOOKUP(tbMoveset!A29,tbMoveset!A2:I112,9,FALSE)="Dragon",Backdoors!BF45,Backdoors!BG45)))))/100,Backdoors!BG45/100),"")</f>
        <v>0</v>
      </c>
      <c r="KL29" s="49">
        <f>IFERROR(IF(VLOOKUP(A29,tbMoveset!A2:J112,10,FALSE)=TRUE,IF((Backdoors!AI12+IF(KJ29&gt;=0.45,VLOOKUP(Calculator!E23,tbSkills!DH3:DI6,2,FALSE)+IF(AND(Calculator!B8=TRUE,Backdoors!BI45=TRUE),VLOOKUP(Calculator!E23,tbSkills!DH3:DJ6,3,FALSE),0),0))&gt;=0,1+(Backdoors!AL2*(IF((Backdoors!AI12+IF(KJ29&gt;=0.45,VLOOKUP(Calculator!E23,tbSkills!DH3:DI6,2,FALSE)+IF(AND(Calculator!B8=TRUE,Backdoors!BI45=TRUE),VLOOKUP(Calculator!E23,tbSkills!DH3:DJ6,3,FALSE),0),0))&gt;=100,100,(Backdoors!AI12+IF(KJ29&gt;=0.45,VLOOKUP(Calculator!E23,tbSkills!DH3:DI6,2,FALSE)+IF(AND(Calculator!B8=TRUE,Backdoors!BI45=TRUE),VLOOKUP(Calculator!E23,tbSkills!DH3:DJ6,3,FALSE),0),0)))/100)),(1-(0.25*((-Backdoors!AI12-IF(KJ29&gt;=0.45,VLOOKUP(Calculator!E23,tbSkills!DH3:DI6,2,FALSE)+IF(AND(Calculator!B8=TRUE,Backdoors!BI45=TRUE),VLOOKUP(Calculator!E23,tbSkills!DH3:DJ6,3,FALSE),0),0))/100)))),1),"")</f>
        <v>1</v>
      </c>
      <c r="KM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KJ29)*KL29)*(VLOOKUP(A29,tbMoveset!A2:C112,3,FALSE)/100)*IF(VLOOKUP(A29,tbMoveset!A2:B112,2,FALSE)="Projectile",Backdoors!N10,Backdoors!N9),0),"")</f>
        <v/>
      </c>
      <c r="KN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REF!&gt;0,VLOOKUP(Calculator!#REF!,tbSkills!AC3:AD5,2,FALSE),Backdoors!AL3)*(IF((Backdoors!AI12+IF(KJ29&gt;=0.45,VLOOKUP(Calculator!E23,tbSkills!DH3:DI6,2,FALSE)+IF(AND(Calculator!B8=TRUE,Backdoors!BI45=TRUE),VLOOKUP(Calculator!E23,tbSkills!DH3:DJ6,3,FALSE),0),0))&gt;=100,100,(Backdoors!AI12+IF(KJ29&gt;=0.45,VLOOKUP(Calculator!E23,tbSkills!DH3:DI6,2,FALSE)+IF(AND(Calculator!B8=TRUE,Backdoors!BI45=TRUE),VLOOKUP(Calculator!E23,tbSkills!DH3:DJ6,3,FALSE),0),0)))/100)),1))*IF(VLOOKUP(A29,tbMoveset!A2:K112,11,FALSE)=TRUE,Backdoors!AC5,1))*KK29,0),"")</f>
        <v/>
      </c>
      <c r="KO29" s="49">
        <f>VLOOKUP(A29,tbMoveset!A2:G112,7,FALSE)*IFERROR(IF(Backdoors!AI12&gt;=0,1+(IF(Calculator!E40&gt;0,VLOOKUP(Calculator!E40,tbSkills!AI3:AJ5,2,FALSE),Backdoors!AL4)*(IF((Backdoors!AI12+IF(KJ29&gt;=0.45,VLOOKUP(Calculator!E23,tbSkills!DH3:DI6,2,FALSE)+IF(AND(Calculator!B8=TRUE,Backdoors!BI45=TRUE),VLOOKUP(Calculator!E23,tbSkills!DH3:DJ6,3,FALSE),0),0))&gt;=100,100,(Backdoors!AI12+IF(KJ29&gt;=0.45,VLOOKUP(Calculator!E23,tbSkills!DH3:DI6,2,FALSE)+IF(AND(Calculator!B8=TRUE,Backdoors!BI45=TRUE),VLOOKUP(Calculator!E23,tbSkills!DH3:DJ6,3,FALSE),0),0)))/100)),1),1)</f>
        <v>0.6</v>
      </c>
      <c r="KP29" s="87">
        <f t="shared" si="34"/>
        <v>0</v>
      </c>
      <c r="KQ29" s="86" t="str">
        <f>IFERROR(IF(VLOOKUP(A29,tbMoveset!A2:B112,2,FALSE)="Sever",Backdoors!AY46/100,IF(VLOOKUP(A29,tbMoveset!A2:B112,2,FALSE)="Blunt",Backdoors!AZ46/100,Backdoors!BA46/100)),"")</f>
        <v/>
      </c>
      <c r="KR29" s="49">
        <f>IFERROR(IF(VLOOKUP(tbMoveset!A29,tbMoveset!A2:H112,8,FALSE)="Other",IF(VLOOKUP(tbMoveset!A29,tbMoveset!A2:I112,9,FALSE)="Fire",Backdoors!BB46,IF(VLOOKUP(tbMoveset!A29,tbMoveset!A2:I112,9,FALSE)="Water",Backdoors!BC46,IF(VLOOKUP(tbMoveset!A29,tbMoveset!A2:I112,9,FALSE)="Thunder",Backdoors!BD46,IF(VLOOKUP(tbMoveset!A29,tbMoveset!A2:I112,9,FALSE)="Ice",Backdoors!BE46,IF(VLOOKUP(tbMoveset!A29,tbMoveset!A2:I112,9,FALSE)="Dragon",Backdoors!BF46,Backdoors!BG46)))))/100,Backdoors!BG46/100),"")</f>
        <v>0</v>
      </c>
      <c r="KS29" s="49">
        <f>IFERROR(IF(VLOOKUP(A29,tbMoveset!A2:J112,10,FALSE)=TRUE,IF((Backdoors!AI12+IF(KQ29&gt;=0.45,VLOOKUP(Calculator!E23,tbSkills!DH3:DI6,2,FALSE)+IF(AND(Calculator!B8=TRUE,Backdoors!BI46=TRUE),VLOOKUP(Calculator!E23,tbSkills!DH3:DJ6,3,FALSE),0),0))&gt;=0,1+(Backdoors!AL2*(IF((Backdoors!AI12+IF(KQ29&gt;=0.45,VLOOKUP(Calculator!E23,tbSkills!DH3:DI6,2,FALSE)+IF(AND(Calculator!B8=TRUE,Backdoors!BI46=TRUE),VLOOKUP(Calculator!E23,tbSkills!DH3:DJ6,3,FALSE),0),0))&gt;=100,100,(Backdoors!AI12+IF(KQ29&gt;=0.45,VLOOKUP(Calculator!E23,tbSkills!DH3:DI6,2,FALSE)+IF(AND(Calculator!B8=TRUE,Backdoors!BI46=TRUE),VLOOKUP(Calculator!E23,tbSkills!DH3:DJ6,3,FALSE),0),0)))/100)),(1-(0.25*((-Backdoors!AI12-IF(KQ29&gt;=0.45,VLOOKUP(Calculator!E23,tbSkills!DH3:DI6,2,FALSE)+IF(AND(Calculator!B8=TRUE,Backdoors!BI46=TRUE),VLOOKUP(Calculator!E23,tbSkills!DH3:DJ6,3,FALSE),0),0))/100)))),1),"")</f>
        <v>1</v>
      </c>
      <c r="KT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KQ29)*KS29)*(VLOOKUP(A29,tbMoveset!A2:C112,3,FALSE)/100)*IF(VLOOKUP(A29,tbMoveset!A2:B112,2,FALSE)="Projectile",Backdoors!N10,Backdoors!N9),0),"")</f>
        <v/>
      </c>
      <c r="KU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REF!&gt;0,VLOOKUP(Calculator!#REF!,tbSkills!AC3:AD5,2,FALSE),Backdoors!AL3)*(IF((Backdoors!AI12+IF(KQ29&gt;=0.45,VLOOKUP(Calculator!E23,tbSkills!DH3:DI6,2,FALSE)+IF(AND(Calculator!B8=TRUE,Backdoors!BI46=TRUE),VLOOKUP(Calculator!E23,tbSkills!DH3:DJ6,3,FALSE),0),0))&gt;=100,100,(Backdoors!AI12+IF(KQ29&gt;=0.45,VLOOKUP(Calculator!E23,tbSkills!DH3:DI6,2,FALSE)+IF(AND(Calculator!B8=TRUE,Backdoors!BI46=TRUE),VLOOKUP(Calculator!E23,tbSkills!DH3:DJ6,3,FALSE),0),0)))/100)),1))*IF(VLOOKUP(A29,tbMoveset!A2:K112,11,FALSE)=TRUE,Backdoors!AC5,1))*KR29,0),"")</f>
        <v/>
      </c>
      <c r="KV29" s="49">
        <f>VLOOKUP(A29,tbMoveset!A2:G112,7,FALSE)*IFERROR(IF(Backdoors!AI12&gt;=0,1+(IF(Calculator!E40&gt;0,VLOOKUP(Calculator!E40,tbSkills!AI3:AJ5,2,FALSE),Backdoors!AL4)*(IF((Backdoors!AI12+IF(KQ29&gt;=0.45,VLOOKUP(Calculator!E23,tbSkills!DH3:DI6,2,FALSE)+IF(AND(Calculator!B8=TRUE,Backdoors!BI46=TRUE),VLOOKUP(Calculator!E23,tbSkills!DH3:DJ6,3,FALSE),0),0))&gt;=100,100,(Backdoors!AI12+IF(KQ29&gt;=0.45,VLOOKUP(Calculator!E23,tbSkills!DH3:DI6,2,FALSE)+IF(AND(Calculator!B8=TRUE,Backdoors!BI46=TRUE),VLOOKUP(Calculator!E23,tbSkills!DH3:DJ6,3,FALSE),0),0)))/100)),1),1)</f>
        <v>0.6</v>
      </c>
      <c r="KW29" s="87">
        <f t="shared" si="35"/>
        <v>0</v>
      </c>
    </row>
    <row r="30" spans="1:309" x14ac:dyDescent="0.25">
      <c r="A30" s="95" t="str">
        <f>tbMoveset!A30</f>
        <v>Demon Flurry (R1)</v>
      </c>
      <c r="B30" s="86">
        <f>IFERROR(IF(VLOOKUP(A30,tbMoveset!A2:B112,2,FALSE)="Sever",Backdoors!AY3/100,IF(VLOOKUP(A30,tbMoveset!A2:B112,2,FALSE)="Blunt",Backdoors!AZ3/100,Backdoors!BA3/100)),"")</f>
        <v>0.8</v>
      </c>
      <c r="C30" s="49">
        <f>IFERROR(IF(VLOOKUP(tbMoveset!A30,tbMoveset!A2:H112,8,FALSE)="Other",IF(VLOOKUP(tbMoveset!A30,tbMoveset!A2:I112,9,FALSE)="Fire",Backdoors!BB3,IF(VLOOKUP(tbMoveset!A30,tbMoveset!A2:I112,9,FALSE)="Water",Backdoors!BC3,IF(VLOOKUP(tbMoveset!A30,tbMoveset!A2:I112,9,FALSE)="Thunder",Backdoors!BD3,IF(VLOOKUP(tbMoveset!A30,tbMoveset!A2:I112,9,FALSE)="Ice",Backdoors!BE3,IF(VLOOKUP(tbMoveset!A30,tbMoveset!A2:I112,9,FALSE)="Dragon",Backdoors!BF3,Backdoors!BG3)))))/100,Backdoors!BG3/100),"")</f>
        <v>0</v>
      </c>
      <c r="D30" s="49">
        <f>IFERROR(IF(VLOOKUP(A30,tbMoveset!A2:J112,10,FALSE)=TRUE,IF((Backdoors!AI12+IF(B30&gt;=0.45,VLOOKUP(Calculator!E23,tbSkills!DH3:DI6,2,FALSE)+IF(AND(Calculator!B8=TRUE,Backdoors!BI3=TRUE),VLOOKUP(Calculator!E23,tbSkills!DH3:DJ6,3,FALSE),0),0))&gt;=0,1+(Backdoors!AL2*(IF((Backdoors!AI12+IF(B30&gt;=0.45,VLOOKUP(Calculator!E23,tbSkills!DH3:DI6,2,FALSE)+IF(AND(Calculator!B8=TRUE,Backdoors!BI3=TRUE),VLOOKUP(Calculator!E23,tbSkills!DH3:DJ6,3,FALSE),0),0))&gt;=100,100,(Backdoors!AI12+IF(B30&gt;=0.45,VLOOKUP(Calculator!E23,tbSkills!DH3:DI6,2,FALSE)+IF(AND(Calculator!B8=TRUE,Backdoors!BI3=TRUE),VLOOKUP(Calculator!E23,tbSkills!DH3:DJ6,3,FALSE),0),0)))/100)),(1-(0.25*((-Backdoors!AI12-IF(B30&gt;=0.45,VLOOKUP(Calculator!E23,tbSkills!DH3:DI6,2,FALSE)+IF(AND(Calculator!B8=TRUE,Backdoors!BI3=TRUE),VLOOKUP(Calculator!E23,tbSkills!DH3:DJ6,3,FALSE),0),0))/100)))),1),"")</f>
        <v>1</v>
      </c>
      <c r="E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30)*D30)*(VLOOKUP(A30,tbMoveset!A2:C112,3,FALSE)/100)*IF(VLOOKUP(A30,tbMoveset!A2:B112,2,FALSE)="Projectile",Backdoors!N10,Backdoors!N9),0),"")</f>
        <v>6</v>
      </c>
      <c r="F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30&gt;=0.45,VLOOKUP(Calculator!E23,tbSkills!DH3:DI6,2,FALSE)+IF(AND(Calculator!B8=TRUE,Backdoors!BI3=TRUE),VLOOKUP(Calculator!E23,tbSkills!DH3:DJ6,3,FALSE),0),0))&gt;=100,100,(Backdoors!AI12+IF(B30&gt;=0.45,VLOOKUP(Calculator!E23,tbSkills!DH3:DI6,2,FALSE)+IF(AND(Calculator!B8=TRUE,Backdoors!BI3=TRUE),VLOOKUP(Calculator!E23,tbSkills!DH3:DJ6,3,FALSE),0),0)))/100)),1))*IF(VLOOKUP(A30,tbMoveset!A2:K112,11,FALSE)=TRUE,Backdoors!AC5,1))*C30,0),"")</f>
        <v>0</v>
      </c>
      <c r="G30">
        <f>VLOOKUP(A30,tbMoveset!A2:G112,7,FALSE)*IFERROR(IF(Backdoors!AI12&gt;=0,1+(IF(Calculator!E40&gt;0,VLOOKUP(Calculator!E40,tbSkills!AI3:AJ5,2,FALSE),Backdoors!AL4)*(IF((Backdoors!AI12+IF(B30&gt;=0.45,VLOOKUP(Calculator!E23,tbSkills!DH3:DI6,2,FALSE)+IF(AND(Calculator!B8=TRUE,Backdoors!BI3=TRUE),VLOOKUP(Calculator!E23,tbSkills!DH3:DJ6,3,FALSE),0),0))&gt;=100,100,(Backdoors!AI12+IF(B30&gt;=0.45,VLOOKUP(Calculator!E23,tbSkills!DH3:DI6,2,FALSE)+IF(AND(Calculator!B8=TRUE,Backdoors!BI3=TRUE),VLOOKUP(Calculator!E23,tbSkills!DH3:DJ6,3,FALSE),0),0)))/100)),1),1)</f>
        <v>0.6</v>
      </c>
      <c r="H30" s="87">
        <f t="shared" si="43"/>
        <v>6</v>
      </c>
      <c r="I30" s="86">
        <f>IFERROR(IF(VLOOKUP(A30,tbMoveset!A2:B112,2,FALSE)="Sever",Backdoors!AY4/100,IF(VLOOKUP(A30,tbMoveset!A2:B112,2,FALSE)="Blunt",Backdoors!AZ4/100,Backdoors!BA4/100)),"")</f>
        <v>0.65</v>
      </c>
      <c r="J30" s="49">
        <f>IFERROR(IF(VLOOKUP(tbMoveset!A30,tbMoveset!A2:H112,8,FALSE)="Other",IF(VLOOKUP(tbMoveset!A30,tbMoveset!A2:I112,9,FALSE)="Fire",Backdoors!BB4,IF(VLOOKUP(tbMoveset!A30,tbMoveset!A2:I112,9,FALSE)="Water",Backdoors!BC4,IF(VLOOKUP(tbMoveset!A30,tbMoveset!A2:I112,9,FALSE)="Thunder",Backdoors!BD4,IF(VLOOKUP(tbMoveset!A30,tbMoveset!A2:I112,9,FALSE)="Ice",Backdoors!BE4,IF(VLOOKUP(tbMoveset!A30,tbMoveset!A2:I112,9,FALSE)="Dragon",Backdoors!BF4,Backdoors!BG4)))))/100,Backdoors!BG4/100),"")</f>
        <v>0</v>
      </c>
      <c r="K30" s="49">
        <f>IFERROR(IF(VLOOKUP(A30,tbMoveset!A2:J112,10,FALSE)=TRUE,IF((Backdoors!AI12+IF(I30&gt;=0.45,VLOOKUP(Calculator!E23,tbSkills!DH3:DI6,2,FALSE)+IF(AND(Calculator!B8=TRUE,Backdoors!BI4=TRUE),VLOOKUP(Calculator!E23,tbSkills!DH3:DJ6,3,FALSE),0),0))&gt;=0,1+(Backdoors!AL2*(IF((Backdoors!AI12+IF(I30&gt;=0.45,VLOOKUP(Calculator!E23,tbSkills!DH3:DI6,2,FALSE)+IF(AND(Calculator!B8=TRUE,Backdoors!BI4=TRUE),VLOOKUP(Calculator!E23,tbSkills!DH3:DJ6,3,FALSE),0),0))&gt;=100,100,(Backdoors!AI12+IF(I30&gt;=0.45,VLOOKUP(Calculator!E23,tbSkills!DH3:DI6,2,FALSE)+IF(AND(Calculator!B8=TRUE,Backdoors!BI4=TRUE),VLOOKUP(Calculator!E23,tbSkills!DH3:DJ6,3,FALSE),0),0)))/100)),(1-(0.25*((-Backdoors!AI12-IF(I30&gt;=0.45,VLOOKUP(Calculator!E23,tbSkills!DH3:DI6,2,FALSE)+IF(AND(Calculator!B8=TRUE,Backdoors!BI4=TRUE),VLOOKUP(Calculator!E23,tbSkills!DH3:DJ6,3,FALSE),0),0))/100)))),1),"")</f>
        <v>1</v>
      </c>
      <c r="L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30)*K30)*(VLOOKUP(A30,tbMoveset!A2:C112,3,FALSE)/100)*IF(VLOOKUP(A30,tbMoveset!A2:B112,2,FALSE)="Projectile",Backdoors!N10,Backdoors!N9),0),"")</f>
        <v>5</v>
      </c>
      <c r="M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I30&gt;=0.45,VLOOKUP(Calculator!E23,tbSkills!DH3:DI6,2,FALSE)+IF(AND(Calculator!B8=TRUE,Backdoors!BI4=TRUE),VLOOKUP(Calculator!E23,tbSkills!DH3:DJ6,3,FALSE),0),0))&gt;=100,100,(Backdoors!AI12+IF(I30&gt;=0.45,VLOOKUP(Calculator!E23,tbSkills!DH3:DI6,2,FALSE)+IF(AND(Calculator!B8=TRUE,Backdoors!BI4=TRUE),VLOOKUP(Calculator!E23,tbSkills!DH3:DJ6,3,FALSE),0),0)))/100)),1))*IF(VLOOKUP(A30,tbMoveset!A2:K112,11,FALSE)=TRUE,Backdoors!AC5,1))*J30,0),"")</f>
        <v>0</v>
      </c>
      <c r="N30" s="49">
        <f>VLOOKUP(A30,tbMoveset!A2:G112,7,FALSE)*IFERROR(IF(Backdoors!AI12&gt;=0,1+(IF(Calculator!E40&gt;0,VLOOKUP(Calculator!E40,tbSkills!AI3:AJ5,2,FALSE),Backdoors!AL4)*(IF((Backdoors!AI12+IF(I30&gt;=0.45,VLOOKUP(Calculator!E23,tbSkills!DH3:DI6,2,FALSE)+IF(AND(Calculator!B8=TRUE,Backdoors!BI4=TRUE),VLOOKUP(Calculator!E23,tbSkills!DH3:DJ6,3,FALSE),0),0))&gt;=100,100,(Backdoors!AI12+IF(I30&gt;=0.45,VLOOKUP(Calculator!E23,tbSkills!DH3:DI6,2,FALSE)+IF(AND(Calculator!B8=TRUE,Backdoors!BI4=TRUE),VLOOKUP(Calculator!E23,tbSkills!DH3:DJ6,3,FALSE),0),0)))/100)),1),1)</f>
        <v>0.6</v>
      </c>
      <c r="O30" s="87">
        <f t="shared" si="36"/>
        <v>5</v>
      </c>
      <c r="P30" s="86">
        <f>IFERROR(IF(VLOOKUP(A30,tbMoveset!A2:B112,2,FALSE)="Sever",Backdoors!AY5/100,IF(VLOOKUP(A30,tbMoveset!A2:B112,2,FALSE)="Blunt",Backdoors!AZ5/100,Backdoors!BA5/100)),"")</f>
        <v>0.5</v>
      </c>
      <c r="Q30" s="49">
        <f>IFERROR(IF(VLOOKUP(tbMoveset!A30,tbMoveset!A2:H112,8,FALSE)="Other",IF(VLOOKUP(tbMoveset!A30,tbMoveset!A2:I112,9,FALSE)="Fire",Backdoors!BB5,IF(VLOOKUP(tbMoveset!A30,tbMoveset!A2:I112,9,FALSE)="Water",Backdoors!BC5,IF(VLOOKUP(tbMoveset!A30,tbMoveset!A2:I112,9,FALSE)="Thunder",Backdoors!BD5,IF(VLOOKUP(tbMoveset!A30,tbMoveset!A2:I112,9,FALSE)="Ice",Backdoors!BE5,IF(VLOOKUP(tbMoveset!A30,tbMoveset!A2:I112,9,FALSE)="Dragon",Backdoors!BF5,Backdoors!BG5)))))/100,Backdoors!BG5/100),"")</f>
        <v>0</v>
      </c>
      <c r="R30" s="49">
        <f>IFERROR(IF(VLOOKUP(A30,tbMoveset!A2:J112,10,FALSE)=TRUE,IF((Backdoors!AI12+IF(P30&gt;=0.45,VLOOKUP(Calculator!E23,tbSkills!DH3:DI6,2,FALSE)+IF(AND(Calculator!B8=TRUE,Backdoors!BI5=TRUE),VLOOKUP(Calculator!E23,tbSkills!DH3:DJ6,3,FALSE),0),0))&gt;=0,1+(Backdoors!AL2*(IF((Backdoors!AI12+IF(P30&gt;=0.45,VLOOKUP(Calculator!E23,tbSkills!DH3:DI6,2,FALSE)+IF(AND(Calculator!B8=TRUE,Backdoors!BI5=TRUE),VLOOKUP(Calculator!E23,tbSkills!DH3:DJ6,3,FALSE),0),0))&gt;=100,100,(Backdoors!AI12+IF(P30&gt;=0.45,VLOOKUP(Calculator!E23,tbSkills!DH3:DI6,2,FALSE)+IF(AND(Calculator!B8=TRUE,Backdoors!BI5=TRUE),VLOOKUP(Calculator!E23,tbSkills!DH3:DJ6,3,FALSE),0),0)))/100)),(1-(0.25*((-Backdoors!AI12-IF(P30&gt;=0.45,VLOOKUP(Calculator!E23,tbSkills!DH3:DI6,2,FALSE)+IF(AND(Calculator!B8=TRUE,Backdoors!BI5=TRUE),VLOOKUP(Calculator!E23,tbSkills!DH3:DJ6,3,FALSE),0),0))/100)))),1),"")</f>
        <v>1</v>
      </c>
      <c r="S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P30)*R30)*(VLOOKUP(A30,tbMoveset!A2:C112,3,FALSE)/100)*IF(VLOOKUP(A30,tbMoveset!A2:B112,2,FALSE)="Projectile",Backdoors!N10,Backdoors!N9),0),"")</f>
        <v>4</v>
      </c>
      <c r="T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P30&gt;=0.45,VLOOKUP(Calculator!E23,tbSkills!DH3:DI6,2,FALSE)+IF(AND(Calculator!B8=TRUE,Backdoors!BI5=TRUE),VLOOKUP(Calculator!E23,tbSkills!DH3:DJ6,3,FALSE),0),0))&gt;=100,100,(Backdoors!AI12+IF(P30&gt;=0.45,VLOOKUP(Calculator!E23,tbSkills!DH3:DI6,2,FALSE)+IF(AND(Calculator!B8=TRUE,Backdoors!BI5=TRUE),VLOOKUP(Calculator!E23,tbSkills!DH3:DJ6,3,FALSE),0),0)))/100)),1))*IF(VLOOKUP(A30,tbMoveset!A2:K112,11,FALSE)=TRUE,Backdoors!AC5,1))*Q30,0),"")</f>
        <v>0</v>
      </c>
      <c r="U30" s="49">
        <f>VLOOKUP(A30,tbMoveset!A2:G112,7,FALSE)*IFERROR(IF(Backdoors!AI12&gt;=0,1+(IF(Calculator!E40&gt;0,VLOOKUP(Calculator!E40,tbSkills!AI3:AJ5,2,FALSE),Backdoors!AL4)*(IF((Backdoors!AI12+IF(P30&gt;=0.45,VLOOKUP(Calculator!E23,tbSkills!DH3:DI6,2,FALSE)+IF(AND(Calculator!B8=TRUE,Backdoors!BI5=TRUE),VLOOKUP(Calculator!E23,tbSkills!DH3:DJ6,3,FALSE),0),0))&gt;=100,100,(Backdoors!AI12+IF(P30&gt;=0.45,VLOOKUP(Calculator!E23,tbSkills!DH3:DI6,2,FALSE)+IF(AND(Calculator!B8=TRUE,Backdoors!BI5=TRUE),VLOOKUP(Calculator!E23,tbSkills!DH3:DJ6,3,FALSE),0),0)))/100)),1),1)</f>
        <v>0.6</v>
      </c>
      <c r="V30" s="87">
        <f t="shared" si="37"/>
        <v>4</v>
      </c>
      <c r="W30" s="86">
        <f>IFERROR(IF(VLOOKUP(A30,tbMoveset!A2:B112,2,FALSE)="Sever",Backdoors!AY6/100,IF(VLOOKUP(A30,tbMoveset!A2:B112,2,FALSE)="Blunt",Backdoors!AZ6/100,Backdoors!BA6/100)),"")</f>
        <v>0.45</v>
      </c>
      <c r="X30" s="49">
        <f>IFERROR(IF(VLOOKUP(tbMoveset!A30,tbMoveset!A2:H112,8,FALSE)="Other",IF(VLOOKUP(tbMoveset!A30,tbMoveset!A2:I112,9,FALSE)="Fire",Backdoors!BB6,IF(VLOOKUP(tbMoveset!A30,tbMoveset!A2:I112,9,FALSE)="Water",Backdoors!BC6,IF(VLOOKUP(tbMoveset!A30,tbMoveset!A2:I112,9,FALSE)="Thunder",Backdoors!BD6,IF(VLOOKUP(tbMoveset!A30,tbMoveset!A2:I112,9,FALSE)="Ice",Backdoors!BE6,IF(VLOOKUP(tbMoveset!A30,tbMoveset!A2:I112,9,FALSE)="Dragon",Backdoors!BF6,Backdoors!BG6)))))/100,Backdoors!BG6/100),"")</f>
        <v>0</v>
      </c>
      <c r="Y30" s="49">
        <f>IFERROR(IF(VLOOKUP(A30,tbMoveset!A2:J112,10,FALSE)=TRUE,IF((Backdoors!AI12+IF(W30&gt;=0.45,VLOOKUP(Calculator!E23,tbSkills!DH3:DI6,2,FALSE)+IF(AND(Calculator!B8=TRUE,Backdoors!BI6=TRUE),VLOOKUP(Calculator!E23,tbSkills!DH3:DJ6,3,FALSE),0),0))&gt;=0,1+(Backdoors!AL2*(IF((Backdoors!AI12+IF(W30&gt;=0.45,VLOOKUP(Calculator!E23,tbSkills!DH3:DI6,2,FALSE)+IF(AND(Calculator!B8=TRUE,Backdoors!BI6=TRUE),VLOOKUP(Calculator!E23,tbSkills!DH3:DJ6,3,FALSE),0),0))&gt;=100,100,(Backdoors!AI12+IF(W30&gt;=0.45,VLOOKUP(Calculator!E23,tbSkills!DH3:DI6,2,FALSE)+IF(AND(Calculator!B8=TRUE,Backdoors!BI6=TRUE),VLOOKUP(Calculator!E23,tbSkills!DH3:DJ6,3,FALSE),0),0)))/100)),(1-(0.25*((-Backdoors!AI12-IF(W30&gt;=0.45,VLOOKUP(Calculator!E23,tbSkills!DH3:DI6,2,FALSE)+IF(AND(Calculator!B8=TRUE,Backdoors!BI6=TRUE),VLOOKUP(Calculator!E23,tbSkills!DH3:DJ6,3,FALSE),0),0))/100)))),1),"")</f>
        <v>1</v>
      </c>
      <c r="Z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W30)*Y30)*(VLOOKUP(A30,tbMoveset!A2:C112,3,FALSE)/100)*IF(VLOOKUP(A30,tbMoveset!A2:B112,2,FALSE)="Projectile",Backdoors!N10,Backdoors!N9),0),"")</f>
        <v>3</v>
      </c>
      <c r="AA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W30&gt;=0.45,VLOOKUP(Calculator!E23,tbSkills!DH3:DI6,2,FALSE)+IF(AND(Calculator!B8=TRUE,Backdoors!BI6=TRUE),VLOOKUP(Calculator!E23,tbSkills!DH3:DJ6,3,FALSE),0),0))&gt;=100,100,(Backdoors!AI12+IF(W30&gt;=0.45,VLOOKUP(Calculator!E23,tbSkills!DH3:DI6,2,FALSE)+IF(AND(Calculator!B8=TRUE,Backdoors!BI6=TRUE),VLOOKUP(Calculator!E23,tbSkills!DH3:DJ6,3,FALSE),0),0)))/100)),1))*IF(VLOOKUP(A30,tbMoveset!A2:K112,11,FALSE)=TRUE,Backdoors!AC5,1))*X30,0),"")</f>
        <v>0</v>
      </c>
      <c r="AB30" s="49">
        <f>VLOOKUP(A30,tbMoveset!A2:G112,7,FALSE)*IFERROR(IF(Backdoors!AI12&gt;=0,1+(IF(Calculator!E40&gt;0,VLOOKUP(Calculator!E40,tbSkills!AI3:AJ5,2,FALSE),Backdoors!AL4)*(IF((Backdoors!AI12+IF(W30&gt;=0.45,VLOOKUP(Calculator!E23,tbSkills!DH3:DI6,2,FALSE)+IF(AND(Calculator!B8=TRUE,Backdoors!BI6=TRUE),VLOOKUP(Calculator!E23,tbSkills!DH3:DJ6,3,FALSE),0),0))&gt;=100,100,(Backdoors!AI12+IF(W30&gt;=0.45,VLOOKUP(Calculator!E23,tbSkills!DH3:DI6,2,FALSE)+IF(AND(Calculator!B8=TRUE,Backdoors!BI6=TRUE),VLOOKUP(Calculator!E23,tbSkills!DH3:DJ6,3,FALSE),0),0)))/100)),1),1)</f>
        <v>0.6</v>
      </c>
      <c r="AC30" s="87">
        <f t="shared" si="0"/>
        <v>3</v>
      </c>
      <c r="AD30" s="86">
        <f>IFERROR(IF(VLOOKUP(A30,tbMoveset!A2:B112,2,FALSE)="Sever",Backdoors!AY7/100,IF(VLOOKUP(A30,tbMoveset!A2:B112,2,FALSE)="Blunt",Backdoors!AZ7/100,Backdoors!BA7/100)),"")</f>
        <v>0.65</v>
      </c>
      <c r="AE30" s="49">
        <f>IFERROR(IF(VLOOKUP(tbMoveset!A30,tbMoveset!A2:H112,8,FALSE)="Other",IF(VLOOKUP(tbMoveset!A30,tbMoveset!A2:I112,9,FALSE)="Fire",Backdoors!BB7,IF(VLOOKUP(tbMoveset!A30,tbMoveset!A2:I112,9,FALSE)="Water",Backdoors!BC7,IF(VLOOKUP(tbMoveset!A30,tbMoveset!A2:I112,9,FALSE)="Thunder",Backdoors!BD7,IF(VLOOKUP(tbMoveset!A30,tbMoveset!A2:I112,9,FALSE)="Ice",Backdoors!BE7,IF(VLOOKUP(tbMoveset!A30,tbMoveset!A2:I112,9,FALSE)="Dragon",Backdoors!BF7,Backdoors!BG7)))))/100,Backdoors!BG7/100),"")</f>
        <v>0</v>
      </c>
      <c r="AF30" s="49">
        <f>IFERROR(IF(VLOOKUP(A30,tbMoveset!A2:J112,10,FALSE)=TRUE,IF((Backdoors!AI12+IF(AD30&gt;=0.45,VLOOKUP(Calculator!E23,tbSkills!DH3:DI6,2,FALSE)+IF(AND(Calculator!B8=TRUE,Backdoors!BI7=TRUE),VLOOKUP(Calculator!E23,tbSkills!DH3:DJ6,3,FALSE),0),0))&gt;=0,1+(Backdoors!AL2*(IF((Backdoors!AI12+IF(AD30&gt;=0.45,VLOOKUP(Calculator!E23,tbSkills!DH3:DI6,2,FALSE)+IF(AND(Calculator!B8=TRUE,Backdoors!BI7=TRUE),VLOOKUP(Calculator!E23,tbSkills!DH3:DJ6,3,FALSE),0),0))&gt;=100,100,(Backdoors!AI12+IF(AD30&gt;=0.45,VLOOKUP(Calculator!E23,tbSkills!DH3:DI6,2,FALSE)+IF(AND(Calculator!B8=TRUE,Backdoors!BI7=TRUE),VLOOKUP(Calculator!E23,tbSkills!DH3:DJ6,3,FALSE),0),0)))/100)),(1-(0.25*((-Backdoors!AI12-IF(AD30&gt;=0.45,VLOOKUP(Calculator!E23,tbSkills!DH3:DI6,2,FALSE)+IF(AND(Calculator!B8=TRUE,Backdoors!BI7=TRUE),VLOOKUP(Calculator!E23,tbSkills!DH3:DJ6,3,FALSE),0),0))/100)))),1),"")</f>
        <v>1</v>
      </c>
      <c r="AG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D30)*AF30)*(VLOOKUP(A30,tbMoveset!A2:C112,3,FALSE)/100)*IF(VLOOKUP(A30,tbMoveset!A2:B112,2,FALSE)="Projectile",Backdoors!N10,Backdoors!N9),0),"")</f>
        <v>5</v>
      </c>
      <c r="AH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D30&gt;=0.45,VLOOKUP(Calculator!E23,tbSkills!DH3:DI6,2,FALSE)+IF(AND(Calculator!B8=TRUE,Backdoors!BI7=TRUE),VLOOKUP(Calculator!E23,tbSkills!DH3:DJ6,3,FALSE),0),0))&gt;=100,100,(Backdoors!AI12+IF(AD30&gt;=0.45,VLOOKUP(Calculator!E23,tbSkills!DH3:DI6,2,FALSE)+IF(AND(Calculator!B8=TRUE,Backdoors!BI7=TRUE),VLOOKUP(Calculator!E23,tbSkills!DH3:DJ6,3,FALSE),0),0)))/100)),1))*IF(VLOOKUP(A30,tbMoveset!A2:K112,11,FALSE)=TRUE,Backdoors!AC5,1))*AE30,0),"")</f>
        <v>0</v>
      </c>
      <c r="AI30" s="49">
        <f>VLOOKUP(A30,tbMoveset!A2:G112,7,FALSE)*IFERROR(IF(Backdoors!AI12&gt;=0,1+(IF(Calculator!E40&gt;0,VLOOKUP(Calculator!E40,tbSkills!AI3:AJ5,2,FALSE),Backdoors!AL4)*(IF((Backdoors!AI12+IF(AD30&gt;=0.45,VLOOKUP(Calculator!E23,tbSkills!DH3:DI6,2,FALSE)+IF(AND(Calculator!B8=TRUE,Backdoors!BI7=TRUE),VLOOKUP(Calculator!E23,tbSkills!DH3:DJ6,3,FALSE),0),0))&gt;=100,100,(Backdoors!AI12+IF(AD30&gt;=0.45,VLOOKUP(Calculator!E23,tbSkills!DH3:DI6,2,FALSE)+IF(AND(Calculator!B8=TRUE,Backdoors!BI7=TRUE),VLOOKUP(Calculator!E23,tbSkills!DH3:DJ6,3,FALSE),0),0)))/100)),1),1)</f>
        <v>0.6</v>
      </c>
      <c r="AJ30" s="87">
        <f t="shared" si="1"/>
        <v>5</v>
      </c>
      <c r="AK30" s="91">
        <f>IFERROR(IF(VLOOKUP(A30,tbMoveset!A2:B112,2,FALSE)="Sever",Backdoors!AY8/100,IF(VLOOKUP(A30,tbMoveset!A2:B112,2,FALSE)="Blunt",Backdoors!AZ8/100,Backdoors!BA8/100)),"")</f>
        <v>0.45</v>
      </c>
      <c r="AL30" s="49">
        <f>IFERROR(IF(VLOOKUP(tbMoveset!A30,tbMoveset!A2:H112,8,FALSE)="Other",IF(VLOOKUP(tbMoveset!A30,tbMoveset!A2:I112,9,FALSE)="Fire",Backdoors!BB8,IF(VLOOKUP(tbMoveset!A30,tbMoveset!A2:I112,9,FALSE)="Water",Backdoors!BC8,IF(VLOOKUP(tbMoveset!A30,tbMoveset!A2:I112,9,FALSE)="Thunder",Backdoors!BD8,IF(VLOOKUP(tbMoveset!A30,tbMoveset!A2:I112,9,FALSE)="Ice",Backdoors!BE8,IF(VLOOKUP(tbMoveset!A30,tbMoveset!A2:I112,9,FALSE)="Dragon",Backdoors!BF8,Backdoors!BG8)))))/100,Backdoors!BG8/100),"")</f>
        <v>0</v>
      </c>
      <c r="AM30" s="49">
        <f>IFERROR(IF(VLOOKUP(A30,tbMoveset!A2:J112,10,FALSE)=TRUE,IF((Backdoors!AI12+IF(AK30&gt;=0.45,VLOOKUP(Calculator!E23,tbSkills!DH3:DI6,2,FALSE)+IF(AND(Calculator!B8=TRUE,Backdoors!BI8=TRUE),VLOOKUP(Calculator!E23,tbSkills!DH3:DJ6,3,FALSE),0),0))&gt;=0,1+(Backdoors!AL2*(IF((Backdoors!AI12+IF(AK30&gt;=0.45,VLOOKUP(Calculator!E23,tbSkills!DH3:DI6,2,FALSE)+IF(AND(Calculator!B8=TRUE,Backdoors!BI8=TRUE),VLOOKUP(Calculator!E23,tbSkills!DH3:DJ6,3,FALSE),0),0))&gt;=100,100,(Backdoors!AI12+IF(AK30&gt;=0.45,VLOOKUP(Calculator!E23,tbSkills!DH3:DI6,2,FALSE)+IF(AND(Calculator!B8=TRUE,Backdoors!BI8=TRUE),VLOOKUP(Calculator!E23,tbSkills!DH3:DJ6,3,FALSE),0),0)))/100)),(1-(0.25*((-Backdoors!AI12-IF(AK30&gt;=0.45,VLOOKUP(Calculator!E23,tbSkills!DH3:DI6,2,FALSE)+IF(AND(Calculator!B8=TRUE,Backdoors!BI8=TRUE),VLOOKUP(Calculator!E23,tbSkills!DH3:DJ6,3,FALSE),0),0))/100)))),1),"")</f>
        <v>1</v>
      </c>
      <c r="AN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K30)*AM30)*(VLOOKUP(A30,tbMoveset!A2:C112,3,FALSE)/100)*IF(VLOOKUP(A30,tbMoveset!A2:B112,2,FALSE)="Projectile",Backdoors!N10,Backdoors!N9),0),"")</f>
        <v>3</v>
      </c>
      <c r="AO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K30&gt;=0.45,VLOOKUP(Calculator!E23,tbSkills!DH3:DI6,2,FALSE)+IF(AND(Calculator!B8=TRUE,Backdoors!BI8=TRUE),VLOOKUP(Calculator!E23,tbSkills!DH3:DJ6,3,FALSE),0),0))&gt;=100,100,(Backdoors!AI12+IF(AK30&gt;=0.45,VLOOKUP(Calculator!E23,tbSkills!DH3:DI6,2,FALSE)+IF(AND(Calculator!B8=TRUE,Backdoors!BI8=TRUE),VLOOKUP(Calculator!E23,tbSkills!DH3:DJ6,3,FALSE),0),0)))/100)),1))*IF(VLOOKUP(A30,tbMoveset!A2:K112,11,FALSE)=TRUE,Backdoors!AC5,1))*AL30,0),"")</f>
        <v>0</v>
      </c>
      <c r="AP30" s="49">
        <f>VLOOKUP(A30,tbMoveset!A2:G112,7,FALSE)*IFERROR(IF(Backdoors!AI12&gt;=0,1+(IF(Calculator!E40&gt;0,VLOOKUP(Calculator!E40,tbSkills!AI3:AJ5,2,FALSE),Backdoors!AL4)*(IF((Backdoors!AI12+IF(AK30&gt;=0.45,VLOOKUP(Calculator!E23,tbSkills!DH3:DI6,2,FALSE)+IF(AND(Calculator!B8=TRUE,Backdoors!BI8=TRUE),VLOOKUP(Calculator!E23,tbSkills!DH3:DJ6,3,FALSE),0),0))&gt;=100,100,(Backdoors!AI12+IF(AK30&gt;=0.45,VLOOKUP(Calculator!E23,tbSkills!DH3:DI6,2,FALSE)+IF(AND(Calculator!B8=TRUE,Backdoors!BI8=TRUE),VLOOKUP(Calculator!E23,tbSkills!DH3:DJ6,3,FALSE),0),0)))/100)),1),1)</f>
        <v>0.6</v>
      </c>
      <c r="AQ30" s="87">
        <f t="shared" si="2"/>
        <v>3</v>
      </c>
      <c r="AR30" s="86">
        <f>IFERROR(IF(VLOOKUP(A30,tbMoveset!A2:B112,2,FALSE)="Sever",Backdoors!AY9/100,IF(VLOOKUP(A30,tbMoveset!A2:B112,2,FALSE)="Blunt",Backdoors!AZ9/100,Backdoors!BA9/100)),"")</f>
        <v>0.45</v>
      </c>
      <c r="AS30" s="49">
        <f>IFERROR(IF(VLOOKUP(tbMoveset!A30,tbMoveset!A2:H112,8,FALSE)="Other",IF(VLOOKUP(tbMoveset!A30,tbMoveset!A2:I112,9,FALSE)="Fire",Backdoors!BB9,IF(VLOOKUP(tbMoveset!A30,tbMoveset!A2:I112,9,FALSE)="Water",Backdoors!BC9,IF(VLOOKUP(tbMoveset!A30,tbMoveset!A2:I112,9,FALSE)="Thunder",Backdoors!BD9,IF(VLOOKUP(tbMoveset!A30,tbMoveset!A2:I112,9,FALSE)="Ice",Backdoors!BE9,IF(VLOOKUP(tbMoveset!A30,tbMoveset!A2:I112,9,FALSE)="Dragon",Backdoors!BF9,Backdoors!BG9)))))/100,Backdoors!BG9/100),"")</f>
        <v>0</v>
      </c>
      <c r="AT30" s="49">
        <f>IFERROR(IF(VLOOKUP(A30,tbMoveset!A2:J112,10,FALSE)=TRUE,IF((Backdoors!AI12+IF(AR30&gt;=0.45,VLOOKUP(Calculator!E23,tbSkills!DH3:DI6,2,FALSE)+IF(AND(Calculator!B8=TRUE,Backdoors!BI9=TRUE),VLOOKUP(Calculator!E23,tbSkills!DH3:DJ6,3,FALSE),0),0))&gt;=0,1+(Backdoors!AL2*(IF((Backdoors!AI12+IF(AR30&gt;=0.45,VLOOKUP(Calculator!E23,tbSkills!DH3:DI6,2,FALSE)+IF(AND(Calculator!B8=TRUE,Backdoors!BI9=TRUE),VLOOKUP(Calculator!E23,tbSkills!DH3:DJ6,3,FALSE),0),0))&gt;=100,100,(Backdoors!AI12+IF(AR30&gt;=0.45,VLOOKUP(Calculator!E23,tbSkills!DH3:DI6,2,FALSE)+IF(AND(Calculator!B8=TRUE,Backdoors!BI9=TRUE),VLOOKUP(Calculator!E23,tbSkills!DH3:DJ6,3,FALSE),0),0)))/100)),(1-(0.25*((-Backdoors!AI12-IF(AR30&gt;=0.45,VLOOKUP(Calculator!E23,tbSkills!DH3:DI6,2,FALSE)+IF(AND(Calculator!B8=TRUE,Backdoors!BI9=TRUE),VLOOKUP(Calculator!E23,tbSkills!DH3:DJ6,3,FALSE),0),0))/100)))),1),"")</f>
        <v>1</v>
      </c>
      <c r="AU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R30)*AT30)*(VLOOKUP(A30,tbMoveset!A2:C112,3,FALSE)/100)*IF(VLOOKUP(A30,tbMoveset!A2:B112,2,FALSE)="Projectile",Backdoors!N10,Backdoors!N9),0),"")</f>
        <v>3</v>
      </c>
      <c r="AV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R30&gt;=0.45,VLOOKUP(Calculator!E23,tbSkills!DH3:DI6,2,FALSE)+IF(AND(Calculator!B8=TRUE,Backdoors!BI9=TRUE),VLOOKUP(Calculator!E23,tbSkills!DH3:DJ6,3,FALSE),0),0))&gt;=100,100,(Backdoors!AI12+IF(AR30&gt;=0.45,VLOOKUP(Calculator!E23,tbSkills!DH3:DI6,2,FALSE)+IF(AND(Calculator!B8=TRUE,Backdoors!BI9=TRUE),VLOOKUP(Calculator!E23,tbSkills!DH3:DJ6,3,FALSE),0),0)))/100)),1))*IF(VLOOKUP(A30,tbMoveset!A2:K112,11,FALSE)=TRUE,Backdoors!AC5,1))*AS30,0),"")</f>
        <v>0</v>
      </c>
      <c r="AW30" s="49">
        <f>VLOOKUP(A30,tbMoveset!A2:G112,7,FALSE)*IFERROR(IF(Backdoors!AI12&gt;=0,1+(IF(Calculator!E40&gt;0,VLOOKUP(Calculator!E40,tbSkills!AI3:AJ5,2,FALSE),Backdoors!AL4)*(IF((Backdoors!AI12+IF(AR30&gt;=0.45,VLOOKUP(Calculator!E23,tbSkills!DH3:DI6,2,FALSE)+IF(AND(Calculator!B8=TRUE,Backdoors!BI9=TRUE),VLOOKUP(Calculator!E23,tbSkills!DH3:DJ6,3,FALSE),0),0))&gt;=100,100,(Backdoors!AI12+IF(AR30&gt;=0.45,VLOOKUP(Calculator!E23,tbSkills!DH3:DI6,2,FALSE)+IF(AND(Calculator!B8=TRUE,Backdoors!BI9=TRUE),VLOOKUP(Calculator!E23,tbSkills!DH3:DJ6,3,FALSE),0),0)))/100)),1),1)</f>
        <v>0.6</v>
      </c>
      <c r="AX30" s="87">
        <f t="shared" si="38"/>
        <v>3</v>
      </c>
      <c r="AY30" s="86">
        <f>IFERROR(IF(VLOOKUP(A30,tbMoveset!A2:B112,2,FALSE)="Sever",Backdoors!AY10/100,IF(VLOOKUP(A30,tbMoveset!A2:B112,2,FALSE)="Blunt",Backdoors!AZ10/100,Backdoors!BA10/100)),"")</f>
        <v>0.9</v>
      </c>
      <c r="AZ30" s="49">
        <f>IFERROR(IF(VLOOKUP(tbMoveset!A30,tbMoveset!A2:H112,8,FALSE)="Other",IF(VLOOKUP(tbMoveset!A30,tbMoveset!A2:I112,9,FALSE)="Fire",Backdoors!BB10,IF(VLOOKUP(tbMoveset!A30,tbMoveset!A2:I112,9,FALSE)="Water",Backdoors!BC10,IF(VLOOKUP(tbMoveset!A30,tbMoveset!A2:I112,9,FALSE)="Thunder",Backdoors!BD10,IF(VLOOKUP(tbMoveset!A30,tbMoveset!A2:I112,9,FALSE)="Ice",Backdoors!BE10,IF(VLOOKUP(tbMoveset!A30,tbMoveset!A2:I112,9,FALSE)="Dragon",Backdoors!BF10,Backdoors!BG10)))))/100,Backdoors!BG10/100),"")</f>
        <v>0</v>
      </c>
      <c r="BA30" s="49">
        <f>IFERROR(IF(VLOOKUP(A30,tbMoveset!A2:J112,10,FALSE)=TRUE,IF((Backdoors!AI12+IF(AY30&gt;=0.45,VLOOKUP(Calculator!E23,tbSkills!DH3:DI6,2,FALSE)+IF(AND(Calculator!B8=TRUE,Backdoors!BI10=TRUE),VLOOKUP(Calculator!E23,tbSkills!DH3:DJ6,3,FALSE),0),0))&gt;=0,1+(Backdoors!AL2*(IF((Backdoors!AI12+IF(AY30&gt;=0.45,VLOOKUP(Calculator!E23,tbSkills!DH3:DI6,2,FALSE)+IF(AND(Calculator!B8=TRUE,Backdoors!BI10=TRUE),VLOOKUP(Calculator!E23,tbSkills!DH3:DJ6,3,FALSE),0),0))&gt;=100,100,(Backdoors!AI12+IF(AY30&gt;=0.45,VLOOKUP(Calculator!E23,tbSkills!DH3:DI6,2,FALSE)+IF(AND(Calculator!B8=TRUE,Backdoors!BI10=TRUE),VLOOKUP(Calculator!E23,tbSkills!DH3:DJ6,3,FALSE),0),0)))/100)),(1-(0.25*((-Backdoors!AI12-IF(AY30&gt;=0.45,VLOOKUP(Calculator!E23,tbSkills!DH3:DI6,2,FALSE)+IF(AND(Calculator!B8=TRUE,Backdoors!BI10=TRUE),VLOOKUP(Calculator!E23,tbSkills!DH3:DJ6,3,FALSE),0),0))/100)))),1),"")</f>
        <v>1</v>
      </c>
      <c r="BB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Y30)*BA30)*(VLOOKUP(A30,tbMoveset!A2:C112,3,FALSE)/100)*IF(VLOOKUP(A30,tbMoveset!A2:B112,2,FALSE)="Projectile",Backdoors!N10,Backdoors!N9),0),"")</f>
        <v>7</v>
      </c>
      <c r="BC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Y30&gt;=0.45,VLOOKUP(Calculator!E23,tbSkills!DH3:DI6,2,FALSE)+IF(AND(Calculator!B8=TRUE,Backdoors!BI10=TRUE),VLOOKUP(Calculator!E23,tbSkills!DH3:DJ6,3,FALSE),0),0))&gt;=100,100,(Backdoors!AI12+IF(AY30&gt;=0.45,VLOOKUP(Calculator!E23,tbSkills!DH3:DI6,2,FALSE)+IF(AND(Calculator!B8=TRUE,Backdoors!BI10=TRUE),VLOOKUP(Calculator!E23,tbSkills!DH3:DJ6,3,FALSE),0),0)))/100)),1))*IF(VLOOKUP(A30,tbMoveset!A2:K112,11,FALSE)=TRUE,Backdoors!AC5,1))*AZ30,0),"")</f>
        <v>0</v>
      </c>
      <c r="BD30" s="49">
        <f>VLOOKUP(A30,tbMoveset!A2:G112,7,FALSE)*IFERROR(IF(Backdoors!AI12&gt;=0,1+(IF(Calculator!E40&gt;0,VLOOKUP(Calculator!E40,tbSkills!AI3:AJ5,2,FALSE),Backdoors!AL4)*(IF((Backdoors!AI12+IF(AY30&gt;=0.45,VLOOKUP(Calculator!E23,tbSkills!DH3:DI6,2,FALSE)+IF(AND(Calculator!B8=TRUE,Backdoors!BI10=TRUE),VLOOKUP(Calculator!E23,tbSkills!DH3:DJ6,3,FALSE),0),0))&gt;=100,100,(Backdoors!AI12+IF(AY30&gt;=0.45,VLOOKUP(Calculator!E23,tbSkills!DH3:DI6,2,FALSE)+IF(AND(Calculator!B8=TRUE,Backdoors!BI10=TRUE),VLOOKUP(Calculator!E23,tbSkills!DH3:DJ6,3,FALSE),0),0)))/100)),1),1)</f>
        <v>0.6</v>
      </c>
      <c r="BE30" s="87">
        <f t="shared" si="3"/>
        <v>7</v>
      </c>
      <c r="BF30" s="86" t="str">
        <f>IFERROR(IF(VLOOKUP(A30,tbMoveset!A2:B112,2,FALSE)="Sever",Backdoors!AY11/100,IF(VLOOKUP(A30,tbMoveset!A2:B112,2,FALSE)="Blunt",Backdoors!AZ11/100,Backdoors!BA11/100)),"")</f>
        <v/>
      </c>
      <c r="BG30" s="49">
        <f>IFERROR(IF(VLOOKUP(tbMoveset!A30,tbMoveset!A2:H112,8,FALSE)="Other",IF(VLOOKUP(tbMoveset!A30,tbMoveset!A2:I112,9,FALSE)="Fire",Backdoors!BB11,IF(VLOOKUP(tbMoveset!A30,tbMoveset!A2:I112,9,FALSE)="Water",Backdoors!BC11,IF(VLOOKUP(tbMoveset!A30,tbMoveset!A2:I112,9,FALSE)="Thunder",Backdoors!BD11,IF(VLOOKUP(tbMoveset!A30,tbMoveset!A2:I112,9,FALSE)="Ice",Backdoors!BE11,IF(VLOOKUP(tbMoveset!A30,tbMoveset!A2:I112,9,FALSE)="Dragon",Backdoors!BF11,Backdoors!BG11)))))/100,Backdoors!BG11/100),"")</f>
        <v>0</v>
      </c>
      <c r="BH30" s="49">
        <f>IFERROR(IF(VLOOKUP(A30,tbMoveset!A2:J112,10,FALSE)=TRUE,IF((Backdoors!AI12+IF(BF30&gt;=0.45,VLOOKUP(Calculator!E23,tbSkills!DH3:DI6,2,FALSE)+IF(AND(Calculator!B8=TRUE,Backdoors!BI11=TRUE),VLOOKUP(Calculator!E23,tbSkills!DH3:DJ6,3,FALSE),0),0))&gt;=0,1+(Backdoors!AL2*(IF((Backdoors!AI12+IF(BF30&gt;=0.45,VLOOKUP(Calculator!E23,tbSkills!DH3:DI6,2,FALSE)+IF(AND(Calculator!B8=TRUE,Backdoors!BI11=TRUE),VLOOKUP(Calculator!E23,tbSkills!DH3:DJ6,3,FALSE),0),0))&gt;=100,100,(Backdoors!AI12+IF(BF30&gt;=0.45,VLOOKUP(Calculator!E23,tbSkills!DH3:DI6,2,FALSE)+IF(AND(Calculator!B8=TRUE,Backdoors!BI11=TRUE),VLOOKUP(Calculator!E23,tbSkills!DH3:DJ6,3,FALSE),0),0)))/100)),(1-(0.25*((-Backdoors!AI12-IF(BF30&gt;=0.45,VLOOKUP(Calculator!E23,tbSkills!DH3:DI6,2,FALSE)+IF(AND(Calculator!B8=TRUE,Backdoors!BI11=TRUE),VLOOKUP(Calculator!E23,tbSkills!DH3:DJ6,3,FALSE),0),0))/100)))),1),"")</f>
        <v>1</v>
      </c>
      <c r="BI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F30)*BH30)*(VLOOKUP(A30,tbMoveset!A2:C112,3,FALSE)/100)*IF(VLOOKUP(A30,tbMoveset!A2:B112,2,FALSE)="Projectile",Backdoors!N10,Backdoors!N9),0),"")</f>
        <v/>
      </c>
      <c r="BJ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F30&gt;=0.45,VLOOKUP(Calculator!E23,tbSkills!DH3:DI6,2,FALSE)+IF(AND(Calculator!B8=TRUE,Backdoors!BI11=TRUE),VLOOKUP(Calculator!E23,tbSkills!DH3:DJ6,3,FALSE),0),0))&gt;=100,100,(Backdoors!AI12+IF(BF30&gt;=0.45,VLOOKUP(Calculator!E23,tbSkills!DH3:DI6,2,FALSE)+IF(AND(Calculator!B8=TRUE,Backdoors!BI11=TRUE),VLOOKUP(Calculator!E23,tbSkills!DH3:DJ6,3,FALSE),0),0)))/100)),1))*IF(VLOOKUP(A30,tbMoveset!A2:K112,11,FALSE)=TRUE,Backdoors!AC5,1))*BG30,0),"")</f>
        <v>0</v>
      </c>
      <c r="BK30" s="49">
        <f>VLOOKUP(A30,tbMoveset!A2:G112,7,FALSE)*IFERROR(IF(Backdoors!AI12&gt;=0,1+(IF(Calculator!E40&gt;0,VLOOKUP(Calculator!E40,tbSkills!AI3:AJ5,2,FALSE),Backdoors!AL4)*(IF((Backdoors!AI12+IF(BF30&gt;=0.45,VLOOKUP(Calculator!E23,tbSkills!DH3:DI6,2,FALSE)+IF(AND(Calculator!B8=TRUE,Backdoors!BI11=TRUE),VLOOKUP(Calculator!E23,tbSkills!DH3:DJ6,3,FALSE),0),0))&gt;=100,100,(Backdoors!AI12+IF(BF30&gt;=0.45,VLOOKUP(Calculator!E23,tbSkills!DH3:DI6,2,FALSE)+IF(AND(Calculator!B8=TRUE,Backdoors!BI11=TRUE),VLOOKUP(Calculator!E23,tbSkills!DH3:DJ6,3,FALSE),0),0)))/100)),1),1)</f>
        <v>0.6</v>
      </c>
      <c r="BL30" s="87">
        <f t="shared" si="4"/>
        <v>0</v>
      </c>
      <c r="BM30" s="86" t="str">
        <f>IFERROR(IF(VLOOKUP(A30,tbMoveset!A2:B112,2,FALSE)="Sever",Backdoors!AY12/100,IF(VLOOKUP(A30,tbMoveset!A2:B112,2,FALSE)="Blunt",Backdoors!AZ12/100,Backdoors!BA12/100)),"")</f>
        <v/>
      </c>
      <c r="BN30" s="49">
        <f>IFERROR(IF(VLOOKUP(tbMoveset!A30,tbMoveset!A2:H112,8,FALSE)="Other",IF(VLOOKUP(tbMoveset!A30,tbMoveset!A2:I112,9,FALSE)="Fire",Backdoors!BB12,IF(VLOOKUP(tbMoveset!A30,tbMoveset!A2:I112,9,FALSE)="Water",Backdoors!BC12,IF(VLOOKUP(tbMoveset!A30,tbMoveset!A2:I112,9,FALSE)="Thunder",Backdoors!BD12,IF(VLOOKUP(tbMoveset!A30,tbMoveset!A2:I112,9,FALSE)="Ice",Backdoors!BE12,IF(VLOOKUP(tbMoveset!A30,tbMoveset!A2:I112,9,FALSE)="Dragon",Backdoors!BF12,Backdoors!BG12)))))/100,Backdoors!BG12/100),"")</f>
        <v>0</v>
      </c>
      <c r="BO30" s="49">
        <f>IFERROR(IF(VLOOKUP(A30,tbMoveset!A2:J112,10,FALSE)=TRUE,IF((Backdoors!AI12+IF(BM30&gt;=0.45,VLOOKUP(Calculator!E23,tbSkills!DH3:DI6,2,FALSE)+IF(AND(Calculator!B8=TRUE,Backdoors!BI12=TRUE),VLOOKUP(Calculator!E23,tbSkills!DH3:DJ6,3,FALSE),0),0))&gt;=0,1+(Backdoors!AL2*(IF((Backdoors!AI12+IF(BM30&gt;=0.45,VLOOKUP(Calculator!E23,tbSkills!DH3:DI6,2,FALSE)+IF(AND(Calculator!B8=TRUE,Backdoors!BI12=TRUE),VLOOKUP(Calculator!E23,tbSkills!DH3:DJ6,3,FALSE),0),0))&gt;=100,100,(Backdoors!AI12+IF(BM30&gt;=0.45,VLOOKUP(Calculator!E23,tbSkills!DH3:DI6,2,FALSE)+IF(AND(Calculator!B8=TRUE,Backdoors!BI12=TRUE),VLOOKUP(Calculator!E23,tbSkills!DH3:DJ6,3,FALSE),0),0)))/100)),(1-(0.25*((-Backdoors!AI12-IF(BM30&gt;=0.45,VLOOKUP(Calculator!E23,tbSkills!DH3:DI6,2,FALSE)+IF(AND(Calculator!B8=TRUE,Backdoors!BI12=TRUE),VLOOKUP(Calculator!E23,tbSkills!DH3:DJ6,3,FALSE),0),0))/100)))),1),"")</f>
        <v>1</v>
      </c>
      <c r="BP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M30)*BO30)*(VLOOKUP(A30,tbMoveset!A2:C112,3,FALSE)/100)*IF(VLOOKUP(A30,tbMoveset!A2:B112,2,FALSE)="Projectile",Backdoors!N10,Backdoors!N9),0),"")</f>
        <v/>
      </c>
      <c r="BQ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M30&gt;=0.45,VLOOKUP(Calculator!E23,tbSkills!DH3:DI6,2,FALSE)+IF(AND(Calculator!B8=TRUE,Backdoors!BI12=TRUE),VLOOKUP(Calculator!E23,tbSkills!DH3:DJ6,3,FALSE),0),0))&gt;=100,100,(Backdoors!AI12+IF(BM30&gt;=0.45,VLOOKUP(Calculator!E23,tbSkills!DH3:DI6,2,FALSE)+IF(AND(Calculator!B8=TRUE,Backdoors!BI12=TRUE),VLOOKUP(Calculator!E23,tbSkills!DH3:DJ6,3,FALSE),0),0)))/100)),1))*IF(VLOOKUP(A30,tbMoveset!A2:K112,11,FALSE)=TRUE,Backdoors!AC5,1))*BN30,0),"")</f>
        <v>0</v>
      </c>
      <c r="BR30" s="49">
        <f>VLOOKUP(A30,tbMoveset!A2:G112,7,FALSE)*IFERROR(IF(Backdoors!AI12&gt;=0,1+(IF(Calculator!E40&gt;0,VLOOKUP(Calculator!E40,tbSkills!AI3:AJ5,2,FALSE),Backdoors!AL4)*(IF((Backdoors!AI12+IF(BM30&gt;=0.45,VLOOKUP(Calculator!E23,tbSkills!DH3:DI6,2,FALSE)+IF(AND(Calculator!B8=TRUE,Backdoors!BI12=TRUE),VLOOKUP(Calculator!E23,tbSkills!DH3:DJ6,3,FALSE),0),0))&gt;=100,100,(Backdoors!AI12+IF(BM30&gt;=0.45,VLOOKUP(Calculator!E23,tbSkills!DH3:DI6,2,FALSE)+IF(AND(Calculator!B8=TRUE,Backdoors!BI12=TRUE),VLOOKUP(Calculator!E23,tbSkills!DH3:DJ6,3,FALSE),0),0)))/100)),1),1)</f>
        <v>0.6</v>
      </c>
      <c r="BS30" s="87">
        <f t="shared" si="39"/>
        <v>0</v>
      </c>
      <c r="BT30" s="86" t="str">
        <f>IFERROR(IF(VLOOKUP(A30,tbMoveset!A2:B112,2,FALSE)="Sever",Backdoors!AY13/100,IF(VLOOKUP(A30,tbMoveset!A2:B112,2,FALSE)="Blunt",Backdoors!AZ13/100,Backdoors!BA13/100)),"")</f>
        <v/>
      </c>
      <c r="BU30" s="49">
        <f>IFERROR(IF(VLOOKUP(tbMoveset!A30,tbMoveset!A2:H112,8,FALSE)="Other",IF(VLOOKUP(tbMoveset!A30,tbMoveset!A2:I112,9,FALSE)="Fire",Backdoors!BB13,IF(VLOOKUP(tbMoveset!A30,tbMoveset!A2:I112,9,FALSE)="Water",Backdoors!BC13,IF(VLOOKUP(tbMoveset!A30,tbMoveset!A2:I112,9,FALSE)="Thunder",Backdoors!BD13,IF(VLOOKUP(tbMoveset!A30,tbMoveset!A2:I112,9,FALSE)="Ice",Backdoors!BE13,IF(VLOOKUP(tbMoveset!A30,tbMoveset!A2:I112,9,FALSE)="Dragon",Backdoors!BF13,Backdoors!BG13)))))/100,Backdoors!BG13/100),"")</f>
        <v>0</v>
      </c>
      <c r="BV30" s="49">
        <f>IFERROR(IF(VLOOKUP(A30,tbMoveset!A2:J112,10,FALSE)=TRUE,IF((Backdoors!AI12+IF(BT30&gt;=0.45,VLOOKUP(Calculator!E23,tbSkills!DH3:DI6,2,FALSE)+IF(AND(Calculator!B8=TRUE,Backdoors!BI13=TRUE),VLOOKUP(Calculator!E23,tbSkills!DH3:DJ6,3,FALSE),0),0))&gt;=0,1+(Backdoors!AL2*(IF((Backdoors!AI12+IF(BT30&gt;=0.45,VLOOKUP(Calculator!E23,tbSkills!DH3:DI6,2,FALSE)+IF(AND(Calculator!B8=TRUE,Backdoors!BI13=TRUE),VLOOKUP(Calculator!E23,tbSkills!DH3:DJ6,3,FALSE),0),0))&gt;=100,100,(Backdoors!AI12+IF(BT30&gt;=0.45,VLOOKUP(Calculator!E23,tbSkills!DH3:DI6,2,FALSE)+IF(AND(Calculator!B8=TRUE,Backdoors!BI13=TRUE),VLOOKUP(Calculator!E23,tbSkills!DH3:DJ6,3,FALSE),0),0)))/100)),(1-(0.25*((-Backdoors!AI12-IF(BT30&gt;=0.45,VLOOKUP(Calculator!E23,tbSkills!DH3:DI6,2,FALSE)+IF(AND(Calculator!B8=TRUE,Backdoors!BI13=TRUE),VLOOKUP(Calculator!E23,tbSkills!DH3:DJ6,3,FALSE),0),0))/100)))),1),"")</f>
        <v>1</v>
      </c>
      <c r="BW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T30)*BV30)*(VLOOKUP(A30,tbMoveset!A2:C112,3,FALSE)/100)*IF(VLOOKUP(A30,tbMoveset!A2:B112,2,FALSE)="Projectile",Backdoors!N10,Backdoors!N9),0),"")</f>
        <v/>
      </c>
      <c r="BX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T30&gt;=0.45,VLOOKUP(Calculator!E23,tbSkills!DH3:DI6,2,FALSE)+IF(AND(Calculator!B8=TRUE,Backdoors!BI13=TRUE),VLOOKUP(Calculator!E23,tbSkills!DH3:DJ6,3,FALSE),0),0))&gt;=100,100,(Backdoors!AI12+IF(BT30&gt;=0.45,VLOOKUP(Calculator!E23,tbSkills!DH3:DI6,2,FALSE)+IF(AND(Calculator!B8=TRUE,Backdoors!BI13=TRUE),VLOOKUP(Calculator!E23,tbSkills!DH3:DJ6,3,FALSE),0),0)))/100)),1))*IF(VLOOKUP(A30,tbMoveset!A2:K112,11,FALSE)=TRUE,Backdoors!AC5,1))*BU30,0),"")</f>
        <v>0</v>
      </c>
      <c r="BY30" s="49">
        <f>VLOOKUP(A30,tbMoveset!A2:G112,7,FALSE)*IFERROR(IF(Backdoors!AI12&gt;=0,1+(IF(Calculator!E40&gt;0,VLOOKUP(Calculator!E40,tbSkills!AI3:AJ5,2,FALSE),Backdoors!AL4)*(IF((Backdoors!AI12+IF(BT30&gt;=0.45,VLOOKUP(Calculator!E23,tbSkills!DH3:DI6,2,FALSE)+IF(AND(Calculator!B8=TRUE,Backdoors!BI13=TRUE),VLOOKUP(Calculator!E23,tbSkills!DH3:DJ6,3,FALSE),0),0))&gt;=100,100,(Backdoors!AI12+IF(BT30&gt;=0.45,VLOOKUP(Calculator!E23,tbSkills!DH3:DI6,2,FALSE)+IF(AND(Calculator!B8=TRUE,Backdoors!BI13=TRUE),VLOOKUP(Calculator!E23,tbSkills!DH3:DJ6,3,FALSE),0),0)))/100)),1),1)</f>
        <v>0.6</v>
      </c>
      <c r="BZ30" s="87">
        <f t="shared" si="5"/>
        <v>0</v>
      </c>
      <c r="CA30" s="86" t="str">
        <f>IFERROR(IF(VLOOKUP(A30,tbMoveset!A2:B112,2,FALSE)="Sever",Backdoors!AY14/100,IF(VLOOKUP(A30,tbMoveset!A2:B112,2,FALSE)="Blunt",Backdoors!AZ14/100,Backdoors!BA14/100)),"")</f>
        <v/>
      </c>
      <c r="CB30" s="49">
        <f>IFERROR(IF(VLOOKUP(tbMoveset!A30,tbMoveset!A2:H112,8,FALSE)="Other",IF(VLOOKUP(tbMoveset!A30,tbMoveset!A2:I112,9,FALSE)="Fire",Backdoors!BB14,IF(VLOOKUP(tbMoveset!A30,tbMoveset!A2:I112,9,FALSE)="Water",Backdoors!BC14,IF(VLOOKUP(tbMoveset!A30,tbMoveset!A2:I112,9,FALSE)="Thunder",Backdoors!BD14,IF(VLOOKUP(tbMoveset!A30,tbMoveset!A2:I112,9,FALSE)="Ice",Backdoors!BE14,IF(VLOOKUP(tbMoveset!A30,tbMoveset!A2:I112,9,FALSE)="Dragon",Backdoors!BF14,Backdoors!BG14)))))/100,Backdoors!BG14/100),"")</f>
        <v>0</v>
      </c>
      <c r="CC30" s="49">
        <f>IFERROR(IF(VLOOKUP(A30,tbMoveset!A2:J112,10,FALSE)=TRUE,IF((Backdoors!AI12+IF(CA30&gt;=0.45,VLOOKUP(Calculator!E23,tbSkills!DH3:DI6,2,FALSE)+IF(AND(Calculator!B8=TRUE,Backdoors!BI14=TRUE),VLOOKUP(Calculator!E23,tbSkills!DH3:DJ6,3,FALSE),0),0))&gt;=0,1+(Backdoors!AL2*(IF((Backdoors!AI12+IF(CA30&gt;=0.45,VLOOKUP(Calculator!E23,tbSkills!DH3:DI6,2,FALSE)+IF(AND(Calculator!B8=TRUE,Backdoors!BI14=TRUE),VLOOKUP(Calculator!E23,tbSkills!DH3:DJ6,3,FALSE),0),0))&gt;=100,100,(Backdoors!AI12+IF(CA30&gt;=0.45,VLOOKUP(Calculator!E23,tbSkills!DH3:DI6,2,FALSE)+IF(AND(Calculator!B8=TRUE,Backdoors!BI14=TRUE),VLOOKUP(Calculator!E23,tbSkills!DH3:DJ6,3,FALSE),0),0)))/100)),(1-(0.25*((-Backdoors!AI12-IF(CA30&gt;=0.45,VLOOKUP(Calculator!E23,tbSkills!DH3:DI6,2,FALSE)+IF(AND(Calculator!B8=TRUE,Backdoors!BI14=TRUE),VLOOKUP(Calculator!E23,tbSkills!DH3:DJ6,3,FALSE),0),0))/100)))),1),"")</f>
        <v>1</v>
      </c>
      <c r="CD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A30)*CC30)*(VLOOKUP(A30,tbMoveset!A2:C112,3,FALSE)/100)*IF(VLOOKUP(A30,tbMoveset!A2:B112,2,FALSE)="Projectile",Backdoors!N10,Backdoors!N9),0),"")</f>
        <v/>
      </c>
      <c r="CE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A30&gt;=0.45,VLOOKUP(Calculator!E23,tbSkills!DH3:DI6,2,FALSE)+IF(AND(Calculator!B8=TRUE,Backdoors!BI14=TRUE),VLOOKUP(Calculator!E23,tbSkills!DH3:DJ6,3,FALSE),0),0))&gt;=100,100,(Backdoors!AI12+IF(CA30&gt;=0.45,VLOOKUP(Calculator!E23,tbSkills!DH3:DI6,2,FALSE)+IF(AND(Calculator!B8=TRUE,Backdoors!BI14=TRUE),VLOOKUP(Calculator!E23,tbSkills!DH3:DJ6,3,FALSE),0),0)))/100)),1))*IF(VLOOKUP(A30,tbMoveset!A2:K112,11,FALSE)=TRUE,Backdoors!AC5,1))*CB30,0),"")</f>
        <v>0</v>
      </c>
      <c r="CF30" s="49">
        <f>VLOOKUP(A30,tbMoveset!A2:G112,7,FALSE)*IFERROR(IF(Backdoors!AI12&gt;=0,1+(IF(Calculator!E40&gt;0,VLOOKUP(Calculator!E40,tbSkills!AI3:AJ5,2,FALSE),Backdoors!AL4)*(IF((Backdoors!AI12+IF(CA30&gt;=0.45,VLOOKUP(Calculator!E23,tbSkills!DH3:DI6,2,FALSE)+IF(AND(Calculator!B8=TRUE,Backdoors!BI14=TRUE),VLOOKUP(Calculator!E23,tbSkills!DH3:DJ6,3,FALSE),0),0))&gt;=100,100,(Backdoors!AI12+IF(CA30&gt;=0.45,VLOOKUP(Calculator!E23,tbSkills!DH3:DI6,2,FALSE)+IF(AND(Calculator!B8=TRUE,Backdoors!BI14=TRUE),VLOOKUP(Calculator!E23,tbSkills!DH3:DJ6,3,FALSE),0),0)))/100)),1),1)</f>
        <v>0.6</v>
      </c>
      <c r="CG30" s="87">
        <f t="shared" si="6"/>
        <v>0</v>
      </c>
      <c r="CH30" s="86" t="str">
        <f>IFERROR(IF(VLOOKUP(A30,tbMoveset!A2:B112,2,FALSE)="Sever",Backdoors!AY15/100,IF(VLOOKUP(A30,tbMoveset!A2:B112,2,FALSE)="Blunt",Backdoors!AZ15/100,Backdoors!BA15/100)),"")</f>
        <v/>
      </c>
      <c r="CI30" s="49">
        <f>IFERROR(IF(VLOOKUP(tbMoveset!A30,tbMoveset!A2:H112,8,FALSE)="Other",IF(VLOOKUP(tbMoveset!A30,tbMoveset!A2:I112,9,FALSE)="Fire",Backdoors!BB15,IF(VLOOKUP(tbMoveset!A30,tbMoveset!A2:I112,9,FALSE)="Water",Backdoors!BC15,IF(VLOOKUP(tbMoveset!A30,tbMoveset!A2:I112,9,FALSE)="Thunder",Backdoors!BD15,IF(VLOOKUP(tbMoveset!A30,tbMoveset!A2:I112,9,FALSE)="Ice",Backdoors!BE15,IF(VLOOKUP(tbMoveset!A30,tbMoveset!A2:I112,9,FALSE)="Dragon",Backdoors!BF15,Backdoors!BG15)))))/100,Backdoors!BG15/100),"")</f>
        <v>0</v>
      </c>
      <c r="CJ30" s="49">
        <f>IFERROR(IF(VLOOKUP(A30,tbMoveset!A2:J112,10,FALSE)=TRUE,IF((Backdoors!AI12+IF(CH30&gt;=0.45,VLOOKUP(Calculator!E23,tbSkills!DH3:DI6,2,FALSE)+IF(AND(Calculator!B8=TRUE,Backdoors!BI15=TRUE),VLOOKUP(Calculator!E23,tbSkills!DH3:DJ6,3,FALSE),0),0))&gt;=0,1+(Backdoors!AL2*(IF((Backdoors!AI12+IF(CH30&gt;=0.45,VLOOKUP(Calculator!E23,tbSkills!DH3:DI6,2,FALSE)+IF(AND(Calculator!B8=TRUE,Backdoors!BI15=TRUE),VLOOKUP(Calculator!E23,tbSkills!DH3:DJ6,3,FALSE),0),0))&gt;=100,100,(Backdoors!AI12+IF(CH30&gt;=0.45,VLOOKUP(Calculator!E23,tbSkills!DH3:DI6,2,FALSE)+IF(AND(Calculator!B8=TRUE,Backdoors!BI15=TRUE),VLOOKUP(Calculator!E23,tbSkills!DH3:DJ6,3,FALSE),0),0)))/100)),(1-(0.25*((-Backdoors!AI12-IF(CH30&gt;=0.45,VLOOKUP(Calculator!E23,tbSkills!DH3:DI6,2,FALSE)+IF(AND(Calculator!B8=TRUE,Backdoors!BI15=TRUE),VLOOKUP(Calculator!E23,tbSkills!DH3:DJ6,3,FALSE),0),0))/100)))),1),"")</f>
        <v>1</v>
      </c>
      <c r="CK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H30)*CJ30)*(VLOOKUP(A30,tbMoveset!A2:C112,3,FALSE)/100)*IF(VLOOKUP(A30,tbMoveset!A2:B112,2,FALSE)="Projectile",Backdoors!N10,Backdoors!N9),0),"")</f>
        <v/>
      </c>
      <c r="CL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H30&gt;=0.45,VLOOKUP(Calculator!E23,tbSkills!DH3:DI6,2,FALSE)+IF(AND(Calculator!B8=TRUE,Backdoors!BI15=TRUE),VLOOKUP(Calculator!E23,tbSkills!DH3:DJ6,3,FALSE),0),0))&gt;=100,100,(Backdoors!AI12+IF(CH30&gt;=0.45,VLOOKUP(Calculator!E23,tbSkills!DH3:DI6,2,FALSE)+IF(AND(Calculator!B8=TRUE,Backdoors!BI15=TRUE),VLOOKUP(Calculator!E23,tbSkills!DH3:DJ6,3,FALSE),0),0)))/100)),1))*IF(VLOOKUP(A30,tbMoveset!A2:K112,11,FALSE)=TRUE,Backdoors!AC5,1))*CI30,0),"")</f>
        <v>0</v>
      </c>
      <c r="CM30" s="49">
        <f>VLOOKUP(A30,tbMoveset!A2:G112,7,FALSE)*IFERROR(IF(Backdoors!AI12&gt;=0,1+(IF(Calculator!E40&gt;0,VLOOKUP(Calculator!E40,tbSkills!AI3:AJ5,2,FALSE),Backdoors!AL4)*(IF((Backdoors!AI12+IF(CH30&gt;=0.45,VLOOKUP(Calculator!E23,tbSkills!DH3:DI6,2,FALSE)+IF(AND(Calculator!B8=TRUE,Backdoors!BI15=TRUE),VLOOKUP(Calculator!E23,tbSkills!DH3:DJ6,3,FALSE),0),0))&gt;=100,100,(Backdoors!AI12+IF(CH30&gt;=0.45,VLOOKUP(Calculator!E23,tbSkills!DH3:DI6,2,FALSE)+IF(AND(Calculator!B8=TRUE,Backdoors!BI15=TRUE),VLOOKUP(Calculator!E23,tbSkills!DH3:DJ6,3,FALSE),0),0)))/100)),1),1)</f>
        <v>0.6</v>
      </c>
      <c r="CN30" s="87">
        <f t="shared" si="7"/>
        <v>0</v>
      </c>
      <c r="CO30" s="86" t="str">
        <f>IFERROR(IF(VLOOKUP(A30,tbMoveset!A2:B112,2,FALSE)="Sever",Backdoors!AY16/100,IF(VLOOKUP(A30,tbMoveset!A2:B112,2,FALSE)="Blunt",Backdoors!AZ16/100,Backdoors!BA16/100)),"")</f>
        <v/>
      </c>
      <c r="CP30" s="49">
        <f>IFERROR(IF(VLOOKUP(tbMoveset!A30,tbMoveset!A2:H112,8,FALSE)="Other",IF(VLOOKUP(tbMoveset!A30,tbMoveset!A2:I112,9,FALSE)="Fire",Backdoors!BB16,IF(VLOOKUP(tbMoveset!A30,tbMoveset!A2:I112,9,FALSE)="Water",Backdoors!BC16,IF(VLOOKUP(tbMoveset!A30,tbMoveset!A2:I112,9,FALSE)="Thunder",Backdoors!BD16,IF(VLOOKUP(tbMoveset!A30,tbMoveset!A2:I112,9,FALSE)="Ice",Backdoors!BE16,IF(VLOOKUP(tbMoveset!A30,tbMoveset!A2:I112,9,FALSE)="Dragon",Backdoors!BF16,Backdoors!BG16)))))/100,Backdoors!BG16/100),"")</f>
        <v>0</v>
      </c>
      <c r="CQ30" s="49">
        <f>IFERROR(IF(VLOOKUP(A30,tbMoveset!A2:J112,10,FALSE)=TRUE,IF((Backdoors!AI12+IF(CO30&gt;=0.45,VLOOKUP(Calculator!E23,tbSkills!DH3:DI6,2,FALSE)+IF(AND(Calculator!B8=TRUE,Backdoors!BI16=TRUE),VLOOKUP(Calculator!E23,tbSkills!DH3:DJ6,3,FALSE),0),0))&gt;=0,1+(Backdoors!AL2*(IF((Backdoors!AI12+IF(CO30&gt;=0.45,VLOOKUP(Calculator!E23,tbSkills!DH3:DI6,2,FALSE)+IF(AND(Calculator!B8=TRUE,Backdoors!BI16=TRUE),VLOOKUP(Calculator!E23,tbSkills!DH3:DJ6,3,FALSE),0),0))&gt;=100,100,(Backdoors!AI12+IF(CO30&gt;=0.45,VLOOKUP(Calculator!E23,tbSkills!DH3:DI6,2,FALSE)+IF(AND(Calculator!B8=TRUE,Backdoors!BI16=TRUE),VLOOKUP(Calculator!E23,tbSkills!DH3:DJ6,3,FALSE),0),0)))/100)),(1-(0.25*((-Backdoors!AI12-IF(CO30&gt;=0.45,VLOOKUP(Calculator!E23,tbSkills!DH3:DI6,2,FALSE)+IF(AND(Calculator!B8=TRUE,Backdoors!BI16=TRUE),VLOOKUP(Calculator!E23,tbSkills!DH3:DJ6,3,FALSE),0),0))/100)))),1),"")</f>
        <v>1</v>
      </c>
      <c r="CR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O30)*CQ30)*(VLOOKUP(A30,tbMoveset!A2:C112,3,FALSE)/100)*IF(VLOOKUP(A30,tbMoveset!A2:B112,2,FALSE)="Projectile",Backdoors!N10,Backdoors!N9),0),"")</f>
        <v/>
      </c>
      <c r="CS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O30&gt;=0.45,VLOOKUP(Calculator!E23,tbSkills!DH3:DI6,2,FALSE)+IF(AND(Calculator!B8=TRUE,Backdoors!BI16=TRUE),VLOOKUP(Calculator!E23,tbSkills!DH3:DJ6,3,FALSE),0),0))&gt;=100,100,(Backdoors!AI12+IF(CO30&gt;=0.45,VLOOKUP(Calculator!E23,tbSkills!DH3:DI6,2,FALSE)+IF(AND(Calculator!B8=TRUE,Backdoors!BI16=TRUE),VLOOKUP(Calculator!E23,tbSkills!DH3:DJ6,3,FALSE),0),0)))/100)),1))*IF(VLOOKUP(A30,tbMoveset!A2:K112,11,FALSE)=TRUE,Backdoors!AC5,1))*CP30,0),"")</f>
        <v>0</v>
      </c>
      <c r="CT30" s="49">
        <f>VLOOKUP(A30,tbMoveset!A2:G112,7,FALSE)*IFERROR(IF(Backdoors!AI12&gt;=0,1+(IF(Calculator!E40&gt;0,VLOOKUP(Calculator!E40,tbSkills!AI3:AJ5,2,FALSE),Backdoors!AL4)*(IF((Backdoors!AI12+IF(CO30&gt;=0.45,VLOOKUP(Calculator!E23,tbSkills!DH3:DI6,2,FALSE)+IF(AND(Calculator!B8=TRUE,Backdoors!BI16=TRUE),VLOOKUP(Calculator!E23,tbSkills!DH3:DJ6,3,FALSE),0),0))&gt;=100,100,(Backdoors!AI12+IF(CO30&gt;=0.45,VLOOKUP(Calculator!E23,tbSkills!DH3:DI6,2,FALSE)+IF(AND(Calculator!B8=TRUE,Backdoors!BI16=TRUE),VLOOKUP(Calculator!E23,tbSkills!DH3:DJ6,3,FALSE),0),0)))/100)),1),1)</f>
        <v>0.6</v>
      </c>
      <c r="CU30" s="87">
        <f t="shared" si="40"/>
        <v>0</v>
      </c>
      <c r="CV30" s="86" t="str">
        <f>IFERROR(IF(VLOOKUP(A30,tbMoveset!A2:B112,2,FALSE)="Sever",Backdoors!AY17/100,IF(VLOOKUP(A30,tbMoveset!A2:B112,2,FALSE)="Blunt",Backdoors!AZ17/100,Backdoors!BA17/100)),"")</f>
        <v/>
      </c>
      <c r="CW30" s="49">
        <f>IFERROR(IF(VLOOKUP(tbMoveset!A30,tbMoveset!A2:H112,8,FALSE)="Other",IF(VLOOKUP(tbMoveset!A30,tbMoveset!A2:I112,9,FALSE)="Fire",Backdoors!BB17,IF(VLOOKUP(tbMoveset!A30,tbMoveset!A2:I112,9,FALSE)="Water",Backdoors!BC17,IF(VLOOKUP(tbMoveset!A30,tbMoveset!A2:I112,9,FALSE)="Thunder",Backdoors!BD17,IF(VLOOKUP(tbMoveset!A30,tbMoveset!A2:I112,9,FALSE)="Ice",Backdoors!BE17,IF(VLOOKUP(tbMoveset!A30,tbMoveset!A2:I112,9,FALSE)="Dragon",Backdoors!BF17,Backdoors!BG17)))))/100,Backdoors!BG17/100),"")</f>
        <v>0</v>
      </c>
      <c r="CX30" s="49">
        <f>IFERROR(IF(VLOOKUP(A30,tbMoveset!A2:J112,10,FALSE)=TRUE,IF((Backdoors!AI12+IF(CV30&gt;=0.45,VLOOKUP(Calculator!E23,tbSkills!DH3:DI6,2,FALSE)+IF(AND(Calculator!B8=TRUE,Backdoors!BI17=TRUE),VLOOKUP(Calculator!E23,tbSkills!DH3:DJ6,3,FALSE),0),0))&gt;=0,1+(Backdoors!AL2*(IF((Backdoors!AI12+IF(CV30&gt;=0.45,VLOOKUP(Calculator!E23,tbSkills!DH3:DI6,2,FALSE)+IF(AND(Calculator!B8=TRUE,Backdoors!BI17=TRUE),VLOOKUP(Calculator!E23,tbSkills!DH3:DJ6,3,FALSE),0),0))&gt;=100,100,(Backdoors!AI12+IF(CV30&gt;=0.45,VLOOKUP(Calculator!E23,tbSkills!DH3:DI6,2,FALSE)+IF(AND(Calculator!B8=TRUE,Backdoors!BI17=TRUE),VLOOKUP(Calculator!E23,tbSkills!DH3:DJ6,3,FALSE),0),0)))/100)),(1-(0.25*((-Backdoors!AI12-IF(CV30&gt;=0.45,VLOOKUP(Calculator!E23,tbSkills!DH3:DI6,2,FALSE)+IF(AND(Calculator!B8=TRUE,Backdoors!BI17=TRUE),VLOOKUP(Calculator!E23,tbSkills!DH3:DJ6,3,FALSE),0),0))/100)))),1),"")</f>
        <v>1</v>
      </c>
      <c r="CY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V30)*CX30)*(VLOOKUP(A30,tbMoveset!A2:C112,3,FALSE)/100)*IF(VLOOKUP(A30,tbMoveset!A2:B112,2,FALSE)="Projectile",Backdoors!N10,Backdoors!N9),0),"")</f>
        <v/>
      </c>
      <c r="CZ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V30&gt;=0.45,VLOOKUP(Calculator!E23,tbSkills!DH3:DI6,2,FALSE)+IF(AND(Calculator!B8=TRUE,Backdoors!BI17=TRUE),VLOOKUP(Calculator!E23,tbSkills!DH3:DJ6,3,FALSE),0),0))&gt;=100,100,(Backdoors!AI12+IF(CV30&gt;=0.45,VLOOKUP(Calculator!E23,tbSkills!DH3:DI6,2,FALSE)+IF(AND(Calculator!B8=TRUE,Backdoors!BI17=TRUE),VLOOKUP(Calculator!E23,tbSkills!DH3:DJ6,3,FALSE),0),0)))/100)),1))*IF(VLOOKUP(A30,tbMoveset!A2:K112,11,FALSE)=TRUE,Backdoors!AC5,1))*CW30,0),"")</f>
        <v>0</v>
      </c>
      <c r="DA30" s="49">
        <f>VLOOKUP(A30,tbMoveset!A2:G112,7,FALSE)*IFERROR(IF(Backdoors!AI12&gt;=0,1+(IF(Calculator!E40&gt;0,VLOOKUP(Calculator!E40,tbSkills!AI3:AJ5,2,FALSE),Backdoors!AL4)*(IF((Backdoors!AI12+IF(CV30&gt;=0.45,VLOOKUP(Calculator!E23,tbSkills!DH3:DI6,2,FALSE)+IF(AND(Calculator!B8=TRUE,Backdoors!BI17=TRUE),VLOOKUP(Calculator!E23,tbSkills!DH3:DJ6,3,FALSE),0),0))&gt;=100,100,(Backdoors!AI12+IF(CV30&gt;=0.45,VLOOKUP(Calculator!E23,tbSkills!DH3:DI6,2,FALSE)+IF(AND(Calculator!B8=TRUE,Backdoors!BI17=TRUE),VLOOKUP(Calculator!E23,tbSkills!DH3:DJ6,3,FALSE),0),0)))/100)),1),1)</f>
        <v>0.6</v>
      </c>
      <c r="DB30" s="87">
        <f t="shared" si="8"/>
        <v>0</v>
      </c>
      <c r="DC30" s="86" t="str">
        <f>IFERROR(IF(VLOOKUP(A30,tbMoveset!A2:B112,2,FALSE)="Sever",Backdoors!AY18/100,IF(VLOOKUP(A30,tbMoveset!A2:B112,2,FALSE)="Blunt",Backdoors!AZ18/100,Backdoors!BA18/100)),"")</f>
        <v/>
      </c>
      <c r="DD30" s="49">
        <f>IFERROR(IF(VLOOKUP(tbMoveset!A30,tbMoveset!A2:H112,8,FALSE)="Other",IF(VLOOKUP(tbMoveset!A30,tbMoveset!A2:I112,9,FALSE)="Fire",Backdoors!BB18,IF(VLOOKUP(tbMoveset!A30,tbMoveset!A2:I112,9,FALSE)="Water",Backdoors!BC18,IF(VLOOKUP(tbMoveset!A30,tbMoveset!A2:I112,9,FALSE)="Thunder",Backdoors!BD18,IF(VLOOKUP(tbMoveset!A30,tbMoveset!A2:I112,9,FALSE)="Ice",Backdoors!BE18,IF(VLOOKUP(tbMoveset!A30,tbMoveset!A2:I112,9,FALSE)="Dragon",Backdoors!BF18,Backdoors!BG18)))))/100,Backdoors!BG18/100),"")</f>
        <v>0</v>
      </c>
      <c r="DE30" s="49">
        <f>IFERROR(IF(VLOOKUP(A30,tbMoveset!A2:J112,10,FALSE)=TRUE,IF((Backdoors!AI12+IF(DC30&gt;=0.45,VLOOKUP(Calculator!E23,tbSkills!DH3:DI6,2,FALSE)+IF(AND(Calculator!B8=TRUE,Backdoors!BI18=TRUE),VLOOKUP(Calculator!E23,tbSkills!DH3:DJ6,3,FALSE),0),0))&gt;=0,1+(Backdoors!AL2*(IF((Backdoors!AI12+IF(DC30&gt;=0.45,VLOOKUP(Calculator!E23,tbSkills!DH3:DI6,2,FALSE)+IF(AND(Calculator!B8=TRUE,Backdoors!BI18=TRUE),VLOOKUP(Calculator!E23,tbSkills!DH3:DJ6,3,FALSE),0),0))&gt;=100,100,(Backdoors!AI12+IF(DC30&gt;=0.45,VLOOKUP(Calculator!E23,tbSkills!DH3:DI6,2,FALSE)+IF(AND(Calculator!B8=TRUE,Backdoors!BI18=TRUE),VLOOKUP(Calculator!E23,tbSkills!DH3:DJ6,3,FALSE),0),0)))/100)),(1-(0.25*((-Backdoors!AI12-IF(DC30&gt;=0.45,VLOOKUP(Calculator!E23,tbSkills!DH3:DI6,2,FALSE)+IF(AND(Calculator!B8=TRUE,Backdoors!BI18=TRUE),VLOOKUP(Calculator!E23,tbSkills!DH3:DJ6,3,FALSE),0),0))/100)))),1),"")</f>
        <v>1</v>
      </c>
      <c r="DF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C30)*DE30)*(VLOOKUP(A30,tbMoveset!A2:C112,3,FALSE)/100)*IF(VLOOKUP(A30,tbMoveset!A2:B112,2,FALSE)="Projectile",Backdoors!N10,Backdoors!N9),0),"")</f>
        <v/>
      </c>
      <c r="DG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C30&gt;=0.45,VLOOKUP(Calculator!E23,tbSkills!DH3:DI6,2,FALSE)+IF(AND(Calculator!B8=TRUE,Backdoors!BI18=TRUE),VLOOKUP(Calculator!E23,tbSkills!DH3:DJ6,3,FALSE),0),0))&gt;=100,100,(Backdoors!AI12+IF(DC30&gt;=0.45,VLOOKUP(Calculator!E23,tbSkills!DH3:DI6,2,FALSE)+IF(AND(Calculator!B8=TRUE,Backdoors!BI18=TRUE),VLOOKUP(Calculator!E23,tbSkills!DH3:DJ6,3,FALSE),0),0)))/100)),1))*IF(VLOOKUP(A30,tbMoveset!A2:K112,11,FALSE)=TRUE,Backdoors!AC5,1))*DD30,0),"")</f>
        <v>0</v>
      </c>
      <c r="DH30" s="49">
        <f>VLOOKUP(A30,tbMoveset!A2:G112,7,FALSE)*IFERROR(IF(Backdoors!AI12&gt;=0,1+(IF(Calculator!E40&gt;0,VLOOKUP(Calculator!E40,tbSkills!AI3:AJ5,2,FALSE),Backdoors!AL4)*(IF((Backdoors!AI12+IF(DC30&gt;=0.45,VLOOKUP(Calculator!E23,tbSkills!DH3:DI6,2,FALSE)+IF(AND(Calculator!B8=TRUE,Backdoors!BI18=TRUE),VLOOKUP(Calculator!E23,tbSkills!DH3:DJ6,3,FALSE),0),0))&gt;=100,100,(Backdoors!AI12+IF(DC30&gt;=0.45,VLOOKUP(Calculator!E23,tbSkills!DH3:DI6,2,FALSE)+IF(AND(Calculator!B8=TRUE,Backdoors!BI18=TRUE),VLOOKUP(Calculator!E23,tbSkills!DH3:DJ6,3,FALSE),0),0)))/100)),1),1)</f>
        <v>0.6</v>
      </c>
      <c r="DI30" s="87">
        <f t="shared" si="9"/>
        <v>0</v>
      </c>
      <c r="DJ30" s="86" t="str">
        <f>IFERROR(IF(VLOOKUP(A30,tbMoveset!A2:B112,2,FALSE)="Sever",Backdoors!AY19/100,IF(VLOOKUP(A30,tbMoveset!A2:B112,2,FALSE)="Blunt",Backdoors!AZ19/100,Backdoors!BA19/100)),"")</f>
        <v/>
      </c>
      <c r="DK30" s="49">
        <f>IFERROR(IF(VLOOKUP(tbMoveset!A30,tbMoveset!A2:H112,8,FALSE)="Other",IF(VLOOKUP(tbMoveset!A30,tbMoveset!A2:I112,9,FALSE)="Fire",Backdoors!BB19,IF(VLOOKUP(tbMoveset!A30,tbMoveset!A2:I112,9,FALSE)="Water",Backdoors!BC19,IF(VLOOKUP(tbMoveset!A30,tbMoveset!A2:I112,9,FALSE)="Thunder",Backdoors!BD19,IF(VLOOKUP(tbMoveset!A30,tbMoveset!A2:I112,9,FALSE)="Ice",Backdoors!BE19,IF(VLOOKUP(tbMoveset!A30,tbMoveset!A2:I112,9,FALSE)="Dragon",Backdoors!BF19,Backdoors!BG19)))))/100,Backdoors!BG19/100),"")</f>
        <v>0</v>
      </c>
      <c r="DL30" s="49">
        <f>IFERROR(IF(VLOOKUP(A30,tbMoveset!A2:J112,10,FALSE)=TRUE,IF((Backdoors!AI12+IF(DJ30&gt;=0.45,VLOOKUP(Calculator!E23,tbSkills!DH3:DI6,2,FALSE)+IF(AND(Calculator!B8=TRUE,Backdoors!BI19=TRUE),VLOOKUP(Calculator!E23,tbSkills!DH3:DJ6,3,FALSE),0),0))&gt;=0,1+(Backdoors!AL2*(IF((Backdoors!AI12+IF(DJ30&gt;=0.45,VLOOKUP(Calculator!E23,tbSkills!DH3:DI6,2,FALSE)+IF(AND(Calculator!B8=TRUE,Backdoors!BI19=TRUE),VLOOKUP(Calculator!E23,tbSkills!DH3:DJ6,3,FALSE),0),0))&gt;=100,100,(Backdoors!AI12+IF(DJ30&gt;=0.45,VLOOKUP(Calculator!E23,tbSkills!DH3:DI6,2,FALSE)+IF(AND(Calculator!B8=TRUE,Backdoors!BI19=TRUE),VLOOKUP(Calculator!E23,tbSkills!DH3:DJ6,3,FALSE),0),0)))/100)),(1-(0.25*((-Backdoors!AI12-IF(DJ30&gt;=0.45,VLOOKUP(Calculator!E23,tbSkills!DH3:DI6,2,FALSE)+IF(AND(Calculator!B8=TRUE,Backdoors!BI19=TRUE),VLOOKUP(Calculator!E23,tbSkills!DH3:DJ6,3,FALSE),0),0))/100)))),1),"")</f>
        <v>1</v>
      </c>
      <c r="DM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J30)*DL30)*(VLOOKUP(A30,tbMoveset!A2:C112,3,FALSE)/100)*IF(VLOOKUP(A30,tbMoveset!A2:B112,2,FALSE)="Projectile",Backdoors!N10,Backdoors!N9),0),"")</f>
        <v/>
      </c>
      <c r="DN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J30&gt;=0.45,VLOOKUP(Calculator!E23,tbSkills!DH3:DI6,2,FALSE)+IF(AND(Calculator!B8=TRUE,Backdoors!BI19=TRUE),VLOOKUP(Calculator!E23,tbSkills!DH3:DJ6,3,FALSE),0),0))&gt;=100,100,(Backdoors!AI12+IF(DJ30&gt;=0.45,VLOOKUP(Calculator!E23,tbSkills!DH3:DI6,2,FALSE)+IF(AND(Calculator!B8=TRUE,Backdoors!BI19=TRUE),VLOOKUP(Calculator!E23,tbSkills!DH3:DJ6,3,FALSE),0),0)))/100)),1))*IF(VLOOKUP(A30,tbMoveset!A2:K112,11,FALSE)=TRUE,Backdoors!AC5,1))*DK30,0),"")</f>
        <v>0</v>
      </c>
      <c r="DO30" s="49">
        <f>VLOOKUP(A30,tbMoveset!A2:G112,7,FALSE)*IFERROR(IF(Backdoors!AI12&gt;=0,1+(IF(Calculator!E40&gt;0,VLOOKUP(Calculator!E40,tbSkills!AI3:AJ5,2,FALSE),Backdoors!AL4)*(IF((Backdoors!AI12+IF(DJ30&gt;=0.45,VLOOKUP(Calculator!E23,tbSkills!DH3:DI6,2,FALSE)+IF(AND(Calculator!B8=TRUE,Backdoors!BI19=TRUE),VLOOKUP(Calculator!E23,tbSkills!DH3:DJ6,3,FALSE),0),0))&gt;=100,100,(Backdoors!AI12+IF(DJ30&gt;=0.45,VLOOKUP(Calculator!E23,tbSkills!DH3:DI6,2,FALSE)+IF(AND(Calculator!B8=TRUE,Backdoors!BI19=TRUE),VLOOKUP(Calculator!E23,tbSkills!DH3:DJ6,3,FALSE),0),0)))/100)),1),1)</f>
        <v>0.6</v>
      </c>
      <c r="DP30" s="87">
        <f t="shared" si="41"/>
        <v>0</v>
      </c>
      <c r="DQ30" s="86" t="str">
        <f>IFERROR(IF(VLOOKUP(A30,tbMoveset!A2:B112,2,FALSE)="Sever",Backdoors!AY20/100,IF(VLOOKUP(A30,tbMoveset!A2:B112,2,FALSE)="Blunt",Backdoors!AZ20/100,Backdoors!BA20/100)),"")</f>
        <v/>
      </c>
      <c r="DR30" s="49">
        <f>IFERROR(IF(VLOOKUP(tbMoveset!A30,tbMoveset!A2:H112,8,FALSE)="Other",IF(VLOOKUP(tbMoveset!A30,tbMoveset!A2:I112,9,FALSE)="Fire",Backdoors!BB20,IF(VLOOKUP(tbMoveset!A30,tbMoveset!A2:I112,9,FALSE)="Water",Backdoors!BC20,IF(VLOOKUP(tbMoveset!A30,tbMoveset!A2:I112,9,FALSE)="Thunder",Backdoors!BD20,IF(VLOOKUP(tbMoveset!A30,tbMoveset!A2:I112,9,FALSE)="Ice",Backdoors!BE20,IF(VLOOKUP(tbMoveset!A30,tbMoveset!A2:I112,9,FALSE)="Dragon",Backdoors!BF20,Backdoors!BG20)))))/100,Backdoors!BG20/100),"")</f>
        <v>0</v>
      </c>
      <c r="DS30" s="49">
        <f>IFERROR(IF(VLOOKUP(A30,tbMoveset!A2:J112,10,FALSE)=TRUE,IF((Backdoors!AI12+IF(DQ30&gt;=0.45,VLOOKUP(Calculator!E23,tbSkills!DH3:DI6,2,FALSE)+IF(AND(Calculator!B8=TRUE,Backdoors!BI20=TRUE),VLOOKUP(Calculator!E23,tbSkills!DH3:DJ6,3,FALSE),0),0))&gt;=0,1+(Backdoors!AL2*(IF((Backdoors!AI12+IF(DQ30&gt;=0.45,VLOOKUP(Calculator!E23,tbSkills!DH3:DI6,2,FALSE)+IF(AND(Calculator!B8=TRUE,Backdoors!BI20=TRUE),VLOOKUP(Calculator!E23,tbSkills!DH3:DJ6,3,FALSE),0),0))&gt;=100,100,(Backdoors!AI12+IF(DQ30&gt;=0.45,VLOOKUP(Calculator!E23,tbSkills!DH3:DI6,2,FALSE)+IF(AND(Calculator!B8=TRUE,Backdoors!BI20=TRUE),VLOOKUP(Calculator!E23,tbSkills!DH3:DJ6,3,FALSE),0),0)))/100)),(1-(0.25*((-Backdoors!AI12-IF(DQ30&gt;=0.45,VLOOKUP(Calculator!E23,tbSkills!DH3:DI6,2,FALSE)+IF(AND(Calculator!B8=TRUE,Backdoors!BI20=TRUE),VLOOKUP(Calculator!E23,tbSkills!DH3:DJ6,3,FALSE),0),0))/100)))),1),"")</f>
        <v>1</v>
      </c>
      <c r="DT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Q30)*DS30)*(VLOOKUP(A30,tbMoveset!A2:C112,3,FALSE)/100)*IF(VLOOKUP(A30,tbMoveset!A2:B112,2,FALSE)="Projectile",Backdoors!N10,Backdoors!N9),0),"")</f>
        <v/>
      </c>
      <c r="DU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Q30&gt;=0.45,VLOOKUP(Calculator!E23,tbSkills!DH3:DI6,2,FALSE)+IF(AND(Calculator!B8=TRUE,Backdoors!BI20=TRUE),VLOOKUP(Calculator!E23,tbSkills!DH3:DJ6,3,FALSE),0),0))&gt;=100,100,(Backdoors!AI12+IF(DQ30&gt;=0.45,VLOOKUP(Calculator!E23,tbSkills!DH3:DI6,2,FALSE)+IF(AND(Calculator!B8=TRUE,Backdoors!BI20=TRUE),VLOOKUP(Calculator!E23,tbSkills!DH3:DJ6,3,FALSE),0),0)))/100)),1))*IF(VLOOKUP(A30,tbMoveset!A2:K112,11,FALSE)=TRUE,Backdoors!AC5,1))*DR30,0),"")</f>
        <v>0</v>
      </c>
      <c r="DV30" s="49">
        <f>VLOOKUP(A30,tbMoveset!A2:G112,7,FALSE)*IFERROR(IF(Backdoors!AI12&gt;=0,1+(IF(Calculator!E40&gt;0,VLOOKUP(Calculator!E40,tbSkills!AI3:AJ5,2,FALSE),Backdoors!AL4)*(IF((Backdoors!AI12+IF(DQ30&gt;=0.45,VLOOKUP(Calculator!E23,tbSkills!DH3:DI6,2,FALSE)+IF(AND(Calculator!B8=TRUE,Backdoors!BI20=TRUE),VLOOKUP(Calculator!E23,tbSkills!DH3:DJ6,3,FALSE),0),0))&gt;=100,100,(Backdoors!AI12+IF(DQ30&gt;=0.45,VLOOKUP(Calculator!E23,tbSkills!DH3:DI6,2,FALSE)+IF(AND(Calculator!B8=TRUE,Backdoors!BI20=TRUE),VLOOKUP(Calculator!E23,tbSkills!DH3:DJ6,3,FALSE),0),0)))/100)),1),1)</f>
        <v>0.6</v>
      </c>
      <c r="DW30" s="87">
        <f t="shared" si="10"/>
        <v>0</v>
      </c>
      <c r="DX30" s="86" t="str">
        <f>IFERROR(IF(VLOOKUP(A30,tbMoveset!A2:B112,2,FALSE)="Sever",Backdoors!AY21/100,IF(VLOOKUP(A30,tbMoveset!A2:B112,2,FALSE)="Blunt",Backdoors!AZ21/100,Backdoors!BA21/100)),"")</f>
        <v/>
      </c>
      <c r="DY30" s="49">
        <f>IFERROR(IF(VLOOKUP(tbMoveset!A30,tbMoveset!A2:H112,8,FALSE)="Other",IF(VLOOKUP(tbMoveset!A30,tbMoveset!A2:I112,9,FALSE)="Fire",Backdoors!BB21,IF(VLOOKUP(tbMoveset!A30,tbMoveset!A2:I112,9,FALSE)="Water",Backdoors!BC21,IF(VLOOKUP(tbMoveset!A30,tbMoveset!A2:I112,9,FALSE)="Thunder",Backdoors!BD21,IF(VLOOKUP(tbMoveset!A30,tbMoveset!A2:I112,9,FALSE)="Ice",Backdoors!BE21,IF(VLOOKUP(tbMoveset!A30,tbMoveset!A2:I112,9,FALSE)="Dragon",Backdoors!BF21,Backdoors!BG21)))))/100,Backdoors!BG21/100),"")</f>
        <v>0</v>
      </c>
      <c r="DZ30" s="49">
        <f>IFERROR(IF(VLOOKUP(A30,tbMoveset!A2:J112,10,FALSE)=TRUE,IF((Backdoors!AI12+IF(DX30&gt;=0.45,VLOOKUP(Calculator!E23,tbSkills!DH3:DI6,2,FALSE)+IF(AND(Calculator!B8=TRUE,Backdoors!BI21=TRUE),VLOOKUP(Calculator!E23,tbSkills!DH3:DJ6,3,FALSE),0),0))&gt;=0,1+(Backdoors!AL2*(IF((Backdoors!AI12+IF(DX30&gt;=0.45,VLOOKUP(Calculator!E23,tbSkills!DH3:DI6,2,FALSE)+IF(AND(Calculator!B8=TRUE,Backdoors!BI21=TRUE),VLOOKUP(Calculator!E23,tbSkills!DH3:DJ6,3,FALSE),0),0))&gt;=100,100,(Backdoors!AI12+IF(DX30&gt;=0.45,VLOOKUP(Calculator!E23,tbSkills!DH3:DI6,2,FALSE)+IF(AND(Calculator!B8=TRUE,Backdoors!BI21=TRUE),VLOOKUP(Calculator!E23,tbSkills!DH3:DJ6,3,FALSE),0),0)))/100)),(1-(0.25*((-Backdoors!AI12-IF(DX30&gt;=0.45,VLOOKUP(Calculator!E23,tbSkills!DH3:DI6,2,FALSE)+IF(AND(Calculator!B8=TRUE,Backdoors!BI21=TRUE),VLOOKUP(Calculator!E23,tbSkills!DH3:DJ6,3,FALSE),0),0))/100)))),1),"")</f>
        <v>1</v>
      </c>
      <c r="EA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X30)*DZ30)*(VLOOKUP(A30,tbMoveset!A2:C112,3,FALSE)/100)*IF(VLOOKUP(A30,tbMoveset!A2:B112,2,FALSE)="Projectile",Backdoors!N10,Backdoors!N9),0),"")</f>
        <v/>
      </c>
      <c r="EB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X30&gt;=0.45,VLOOKUP(Calculator!E23,tbSkills!DH3:DI6,2,FALSE)+IF(AND(Calculator!B8=TRUE,Backdoors!BI21=TRUE),VLOOKUP(Calculator!E23,tbSkills!DH3:DJ6,3,FALSE),0),0))&gt;=100,100,(Backdoors!AI12+IF(DX30&gt;=0.45,VLOOKUP(Calculator!E23,tbSkills!DH3:DI6,2,FALSE)+IF(AND(Calculator!B8=TRUE,Backdoors!BI21=TRUE),VLOOKUP(Calculator!E23,tbSkills!DH3:DJ6,3,FALSE),0),0)))/100)),1))*IF(VLOOKUP(A30,tbMoveset!A2:K112,11,FALSE)=TRUE,Backdoors!AC5,1))*DY30,0),"")</f>
        <v>0</v>
      </c>
      <c r="EC30" s="49">
        <f>VLOOKUP(A30,tbMoveset!A2:G112,7,FALSE)*IFERROR(IF(Backdoors!AI12&gt;=0,1+(IF(Calculator!E40&gt;0,VLOOKUP(Calculator!E40,tbSkills!AI3:AJ5,2,FALSE),Backdoors!AL4)*(IF((Backdoors!AI12+IF(DX30&gt;=0.45,VLOOKUP(Calculator!E23,tbSkills!DH3:DI6,2,FALSE)+IF(AND(Calculator!B8=TRUE,Backdoors!BI21=TRUE),VLOOKUP(Calculator!E23,tbSkills!DH3:DJ6,3,FALSE),0),0))&gt;=100,100,(Backdoors!AI12+IF(DX30&gt;=0.45,VLOOKUP(Calculator!E23,tbSkills!DH3:DI6,2,FALSE)+IF(AND(Calculator!B8=TRUE,Backdoors!BI21=TRUE),VLOOKUP(Calculator!E23,tbSkills!DH3:DJ6,3,FALSE),0),0)))/100)),1),1)</f>
        <v>0.6</v>
      </c>
      <c r="ED30" s="87">
        <f t="shared" si="11"/>
        <v>0</v>
      </c>
      <c r="EE30" s="86" t="str">
        <f>IFERROR(IF(VLOOKUP(A30,tbMoveset!A2:B112,2,FALSE)="Sever",Backdoors!AY22/100,IF(VLOOKUP(A30,tbMoveset!A2:B112,2,FALSE)="Blunt",Backdoors!AZ22/100,Backdoors!BA22/100)),"")</f>
        <v/>
      </c>
      <c r="EF30" s="49">
        <f>IFERROR(IF(VLOOKUP(tbMoveset!A30,tbMoveset!A2:H112,8,FALSE)="Other",IF(VLOOKUP(tbMoveset!A30,tbMoveset!A2:I112,9,FALSE)="Fire",Backdoors!BB22,IF(VLOOKUP(tbMoveset!A30,tbMoveset!A2:I112,9,FALSE)="Water",Backdoors!BC22,IF(VLOOKUP(tbMoveset!A30,tbMoveset!A2:I112,9,FALSE)="Thunder",Backdoors!BD22,IF(VLOOKUP(tbMoveset!A30,tbMoveset!A2:I112,9,FALSE)="Ice",Backdoors!BE22,IF(VLOOKUP(tbMoveset!A30,tbMoveset!A2:I112,9,FALSE)="Dragon",Backdoors!BF22,Backdoors!BG22)))))/100,Backdoors!BG22/100),"")</f>
        <v>0</v>
      </c>
      <c r="EG30" s="49">
        <f>IFERROR(IF(VLOOKUP(A30,tbMoveset!A2:J112,10,FALSE)=TRUE,IF((Backdoors!AI12+IF(EE30&gt;=0.45,VLOOKUP(Calculator!E23,tbSkills!DH3:DI6,2,FALSE)+IF(AND(Calculator!B8=TRUE,Backdoors!BI22=TRUE),VLOOKUP(Calculator!E23,tbSkills!DH3:DJ6,3,FALSE),0),0))&gt;=0,1+(Backdoors!AL2*(IF((Backdoors!AI12+IF(EE30&gt;=0.45,VLOOKUP(Calculator!E23,tbSkills!DH3:DI6,2,FALSE)+IF(AND(Calculator!B8=TRUE,Backdoors!BI22=TRUE),VLOOKUP(Calculator!E23,tbSkills!DH3:DJ6,3,FALSE),0),0))&gt;=100,100,(Backdoors!AI12+IF(EE30&gt;=0.45,VLOOKUP(Calculator!E23,tbSkills!DH3:DI6,2,FALSE)+IF(AND(Calculator!B8=TRUE,Backdoors!BI22=TRUE),VLOOKUP(Calculator!E23,tbSkills!DH3:DJ6,3,FALSE),0),0)))/100)),(1-(0.25*((-Backdoors!AI12-IF(EE30&gt;=0.45,VLOOKUP(Calculator!E23,tbSkills!DH3:DI6,2,FALSE)+IF(AND(Calculator!B8=TRUE,Backdoors!BI22=TRUE),VLOOKUP(Calculator!E23,tbSkills!DH3:DJ6,3,FALSE),0),0))/100)))),1),"")</f>
        <v>1</v>
      </c>
      <c r="EH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E30)*EG30)*(VLOOKUP(A30,tbMoveset!A2:C112,3,FALSE)/100)*IF(VLOOKUP(A30,tbMoveset!A2:B112,2,FALSE)="Projectile",Backdoors!N10,Backdoors!N9),0),"")</f>
        <v/>
      </c>
      <c r="EI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E30&gt;=0.45,VLOOKUP(Calculator!E23,tbSkills!DH3:DI6,2,FALSE)+IF(AND(Calculator!B8=TRUE,Backdoors!BI22=TRUE),VLOOKUP(Calculator!E23,tbSkills!DH3:DJ6,3,FALSE),0),0))&gt;=100,100,(Backdoors!AI12+IF(EE30&gt;=0.45,VLOOKUP(Calculator!E23,tbSkills!DH3:DI6,2,FALSE)+IF(AND(Calculator!B8=TRUE,Backdoors!BI22=TRUE),VLOOKUP(Calculator!E23,tbSkills!DH3:DJ6,3,FALSE),0),0)))/100)),1))*IF(VLOOKUP(A30,tbMoveset!A2:K112,11,FALSE)=TRUE,Backdoors!AC5,1))*EF30,0),"")</f>
        <v>0</v>
      </c>
      <c r="EJ30" s="49">
        <f>VLOOKUP(A30,tbMoveset!A2:G112,7,FALSE)*IFERROR(IF(Backdoors!AI12&gt;=0,1+(IF(Calculator!E40&gt;0,VLOOKUP(Calculator!E40,tbSkills!AI3:AJ5,2,FALSE),Backdoors!AL4)*(IF((Backdoors!AI12+IF(EE30&gt;=0.45,VLOOKUP(Calculator!E23,tbSkills!DH3:DI6,2,FALSE)+IF(AND(Calculator!B8=TRUE,Backdoors!BI22=TRUE),VLOOKUP(Calculator!E23,tbSkills!DH3:DJ6,3,FALSE),0),0))&gt;=100,100,(Backdoors!AI12+IF(EE30&gt;=0.45,VLOOKUP(Calculator!E23,tbSkills!DH3:DI6,2,FALSE)+IF(AND(Calculator!B8=TRUE,Backdoors!BI22=TRUE),VLOOKUP(Calculator!E23,tbSkills!DH3:DJ6,3,FALSE),0),0)))/100)),1),1)</f>
        <v>0.6</v>
      </c>
      <c r="EK30" s="87">
        <f t="shared" si="12"/>
        <v>0</v>
      </c>
      <c r="EL30" s="86" t="str">
        <f>IFERROR(IF(VLOOKUP(A30,tbMoveset!A2:B112,2,FALSE)="Sever",Backdoors!AY23/100,IF(VLOOKUP(A30,tbMoveset!A2:B112,2,FALSE)="Blunt",Backdoors!AZ23/100,Backdoors!BA23/100)),"")</f>
        <v/>
      </c>
      <c r="EM30" s="49">
        <f>IFERROR(IF(VLOOKUP(tbMoveset!A30,tbMoveset!A2:H112,8,FALSE)="Other",IF(VLOOKUP(tbMoveset!A30,tbMoveset!A2:I112,9,FALSE)="Fire",Backdoors!BB23,IF(VLOOKUP(tbMoveset!A30,tbMoveset!A2:I112,9,FALSE)="Water",Backdoors!BC23,IF(VLOOKUP(tbMoveset!A30,tbMoveset!A2:I112,9,FALSE)="Thunder",Backdoors!BD23,IF(VLOOKUP(tbMoveset!A30,tbMoveset!A2:I112,9,FALSE)="Ice",Backdoors!BE23,IF(VLOOKUP(tbMoveset!A30,tbMoveset!A2:I112,9,FALSE)="Dragon",Backdoors!BF23,Backdoors!BG23)))))/100,Backdoors!BG23/100),"")</f>
        <v>0</v>
      </c>
      <c r="EN30" s="49">
        <f>IFERROR(IF(VLOOKUP(A30,tbMoveset!A2:J112,10,FALSE)=TRUE,IF((Backdoors!AI12+IF(EL30&gt;=0.45,VLOOKUP(Calculator!E23,tbSkills!DH3:DI6,2,FALSE)+IF(AND(Calculator!B8=TRUE,Backdoors!BI23=TRUE),VLOOKUP(Calculator!E23,tbSkills!DH3:DJ6,3,FALSE),0),0))&gt;=0,1+(Backdoors!AL2*(IF((Backdoors!AI12+IF(EL30&gt;=0.45,VLOOKUP(Calculator!E23,tbSkills!DH3:DI6,2,FALSE)+IF(AND(Calculator!B8=TRUE,Backdoors!BI23=TRUE),VLOOKUP(Calculator!E23,tbSkills!DH3:DJ6,3,FALSE),0),0))&gt;=100,100,(Backdoors!AI12+IF(EL30&gt;=0.45,VLOOKUP(Calculator!E23,tbSkills!DH3:DI6,2,FALSE)+IF(AND(Calculator!B8=TRUE,Backdoors!BI23=TRUE),VLOOKUP(Calculator!E23,tbSkills!DH3:DJ6,3,FALSE),0),0)))/100)),(1-(0.25*((-Backdoors!AI12-IF(EL30&gt;=0.45,VLOOKUP(Calculator!E23,tbSkills!DH3:DI6,2,FALSE)+IF(AND(Calculator!B8=TRUE,Backdoors!BI23=TRUE),VLOOKUP(Calculator!E23,tbSkills!DH3:DJ6,3,FALSE),0),0))/100)))),1),"")</f>
        <v>1</v>
      </c>
      <c r="EO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L30)*EN30)*(VLOOKUP(A30,tbMoveset!A2:C112,3,FALSE)/100)*IF(VLOOKUP(A30,tbMoveset!A2:B112,2,FALSE)="Projectile",Backdoors!N10,Backdoors!N9),0),"")</f>
        <v/>
      </c>
      <c r="EP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L30&gt;=0.45,VLOOKUP(Calculator!E23,tbSkills!DH3:DI6,2,FALSE)+IF(AND(Calculator!B8=TRUE,Backdoors!BI23=TRUE),VLOOKUP(Calculator!E23,tbSkills!DH3:DJ6,3,FALSE),0),0))&gt;=100,100,(Backdoors!AI12+IF(EL30&gt;=0.45,VLOOKUP(Calculator!E23,tbSkills!DH3:DI6,2,FALSE)+IF(AND(Calculator!B8=TRUE,Backdoors!BI23=TRUE),VLOOKUP(Calculator!E23,tbSkills!DH3:DJ6,3,FALSE),0),0)))/100)),1))*IF(VLOOKUP(A30,tbMoveset!A2:K112,11,FALSE)=TRUE,Backdoors!AC5,1))*EM30,0),"")</f>
        <v>0</v>
      </c>
      <c r="EQ30" s="49">
        <f>VLOOKUP(A30,tbMoveset!A2:G112,7,FALSE)*IFERROR(IF(Backdoors!AI12&gt;=0,1+(IF(Calculator!E40&gt;0,VLOOKUP(Calculator!E40,tbSkills!AI3:AJ5,2,FALSE),Backdoors!AL4)*(IF((Backdoors!AI12+IF(EL30&gt;=0.45,VLOOKUP(Calculator!E23,tbSkills!DH3:DI6,2,FALSE)+IF(AND(Calculator!B8=TRUE,Backdoors!BI23=TRUE),VLOOKUP(Calculator!E23,tbSkills!DH3:DJ6,3,FALSE),0),0))&gt;=100,100,(Backdoors!AI12+IF(EL30&gt;=0.45,VLOOKUP(Calculator!E23,tbSkills!DH3:DI6,2,FALSE)+IF(AND(Calculator!B8=TRUE,Backdoors!BI23=TRUE),VLOOKUP(Calculator!E23,tbSkills!DH3:DJ6,3,FALSE),0),0)))/100)),1),1)</f>
        <v>0.6</v>
      </c>
      <c r="ER30" s="87">
        <f t="shared" si="13"/>
        <v>0</v>
      </c>
      <c r="ES30" s="86" t="str">
        <f>IFERROR(IF(VLOOKUP(A30,tbMoveset!A2:B112,2,FALSE)="Sever",Backdoors!AY24/100,IF(VLOOKUP(A30,tbMoveset!A2:B112,2,FALSE)="Blunt",Backdoors!AZ24/100,Backdoors!BA24/100)),"")</f>
        <v/>
      </c>
      <c r="ET30" s="49">
        <f>IFERROR(IF(VLOOKUP(tbMoveset!A30,tbMoveset!A2:H112,8,FALSE)="Other",IF(VLOOKUP(tbMoveset!A30,tbMoveset!A2:I112,9,FALSE)="Fire",Backdoors!BB24,IF(VLOOKUP(tbMoveset!A30,tbMoveset!A2:I112,9,FALSE)="Water",Backdoors!BC24,IF(VLOOKUP(tbMoveset!A30,tbMoveset!A2:I112,9,FALSE)="Thunder",Backdoors!BD24,IF(VLOOKUP(tbMoveset!A30,tbMoveset!A2:I112,9,FALSE)="Ice",Backdoors!BE24,IF(VLOOKUP(tbMoveset!A30,tbMoveset!A2:I112,9,FALSE)="Dragon",Backdoors!BF24,Backdoors!BG24)))))/100,Backdoors!BG24/100),"")</f>
        <v>0</v>
      </c>
      <c r="EU30" s="49">
        <f>IFERROR(IF(VLOOKUP(A30,tbMoveset!A2:J112,10,FALSE)=TRUE,IF((Backdoors!AI12+IF(ES30&gt;=0.45,VLOOKUP(Calculator!E23,tbSkills!DH3:DI6,2,FALSE)+IF(AND(Calculator!B8=TRUE,Backdoors!BI24=TRUE),VLOOKUP(Calculator!E23,tbSkills!DH3:DJ6,3,FALSE),0),0))&gt;=0,1+(Backdoors!AL2*(IF((Backdoors!AI12+IF(ES30&gt;=0.45,VLOOKUP(Calculator!E23,tbSkills!DH3:DI6,2,FALSE)+IF(AND(Calculator!B8=TRUE,Backdoors!BI24=TRUE),VLOOKUP(Calculator!E23,tbSkills!DH3:DJ6,3,FALSE),0),0))&gt;=100,100,(Backdoors!AI12+IF(ES30&gt;=0.45,VLOOKUP(Calculator!E23,tbSkills!DH3:DI6,2,FALSE)+IF(AND(Calculator!B8=TRUE,Backdoors!BI24=TRUE),VLOOKUP(Calculator!E23,tbSkills!DH3:DJ6,3,FALSE),0),0)))/100)),(1-(0.25*((-Backdoors!AI12-IF(ES30&gt;=0.45,VLOOKUP(Calculator!E23,tbSkills!DH3:DI6,2,FALSE)+IF(AND(Calculator!B8=TRUE,Backdoors!BI24=TRUE),VLOOKUP(Calculator!E23,tbSkills!DH3:DJ6,3,FALSE),0),0))/100)))),1),"")</f>
        <v>1</v>
      </c>
      <c r="EV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S30)*EU30)*(VLOOKUP(A30,tbMoveset!A2:C112,3,FALSE)/100)*IF(VLOOKUP(A30,tbMoveset!A2:B112,2,FALSE)="Projectile",Backdoors!N10,Backdoors!N9),0),"")</f>
        <v/>
      </c>
      <c r="EW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S30&gt;=0.45,VLOOKUP(Calculator!E23,tbSkills!DH3:DI6,2,FALSE)+IF(AND(Calculator!B8=TRUE,Backdoors!BI24=TRUE),VLOOKUP(Calculator!E23,tbSkills!DH3:DJ6,3,FALSE),0),0))&gt;=100,100,(Backdoors!AI12+IF(ES30&gt;=0.45,VLOOKUP(Calculator!E23,tbSkills!DH3:DI6,2,FALSE)+IF(AND(Calculator!B8=TRUE,Backdoors!BI24=TRUE),VLOOKUP(Calculator!E23,tbSkills!DH3:DJ6,3,FALSE),0),0)))/100)),1))*IF(VLOOKUP(A30,tbMoveset!A2:K112,11,FALSE)=TRUE,Backdoors!AC5,1))*ET30,0),"")</f>
        <v>0</v>
      </c>
      <c r="EX30" s="49">
        <f>VLOOKUP(A30,tbMoveset!A2:G112,7,FALSE)*IFERROR(IF(Backdoors!AI12&gt;=0,1+(IF(Calculator!E40&gt;0,VLOOKUP(Calculator!E40,tbSkills!AI3:AJ5,2,FALSE),Backdoors!AL4)*(IF((Backdoors!AI12+IF(ES30&gt;=0.45,VLOOKUP(Calculator!E23,tbSkills!DH3:DI6,2,FALSE)+IF(AND(Calculator!B8=TRUE,Backdoors!BI24=TRUE),VLOOKUP(Calculator!E23,tbSkills!DH3:DJ6,3,FALSE),0),0))&gt;=100,100,(Backdoors!AI12+IF(ES30&gt;=0.45,VLOOKUP(Calculator!E23,tbSkills!DH3:DI6,2,FALSE)+IF(AND(Calculator!B8=TRUE,Backdoors!BI24=TRUE),VLOOKUP(Calculator!E23,tbSkills!DH3:DJ6,3,FALSE),0),0)))/100)),1),1)</f>
        <v>0.6</v>
      </c>
      <c r="EY30" s="87">
        <f t="shared" si="14"/>
        <v>0</v>
      </c>
      <c r="EZ30" s="86" t="str">
        <f>IFERROR(IF(VLOOKUP(A30,tbMoveset!A2:B112,2,FALSE)="Sever",Backdoors!AY25/100,IF(VLOOKUP(A30,tbMoveset!A2:B112,2,FALSE)="Blunt",Backdoors!AZ25/100,Backdoors!BA25/100)),"")</f>
        <v/>
      </c>
      <c r="FA30" s="49">
        <f>IFERROR(IF(VLOOKUP(tbMoveset!A30,tbMoveset!A2:H112,8,FALSE)="Other",IF(VLOOKUP(tbMoveset!A30,tbMoveset!A2:I112,9,FALSE)="Fire",Backdoors!BB25,IF(VLOOKUP(tbMoveset!A30,tbMoveset!A2:I112,9,FALSE)="Water",Backdoors!BC25,IF(VLOOKUP(tbMoveset!A30,tbMoveset!A2:I112,9,FALSE)="Thunder",Backdoors!BD25,IF(VLOOKUP(tbMoveset!A30,tbMoveset!A2:I112,9,FALSE)="Ice",Backdoors!BE25,IF(VLOOKUP(tbMoveset!A30,tbMoveset!A2:I112,9,FALSE)="Dragon",Backdoors!BF25,Backdoors!BG25)))))/100,Backdoors!BG25/100),"")</f>
        <v>0</v>
      </c>
      <c r="FB30" s="49">
        <f>IFERROR(IF(VLOOKUP(A30,tbMoveset!A2:J112,10,FALSE)=TRUE,IF((Backdoors!AI12+IF(EZ30&gt;=0.45,VLOOKUP(Calculator!E23,tbSkills!DH3:DI6,2,FALSE)+IF(AND(Calculator!B8=TRUE,Backdoors!BI25=TRUE),VLOOKUP(Calculator!E23,tbSkills!DH3:DJ6,3,FALSE),0),0))&gt;=0,1+(Backdoors!AL2*(IF((Backdoors!AI12+IF(EZ30&gt;=0.45,VLOOKUP(Calculator!E23,tbSkills!DH3:DI6,2,FALSE)+IF(AND(Calculator!B8=TRUE,Backdoors!BI25=TRUE),VLOOKUP(Calculator!E23,tbSkills!DH3:DJ6,3,FALSE),0),0))&gt;=100,100,(Backdoors!AI12+IF(EZ30&gt;=0.45,VLOOKUP(Calculator!E23,tbSkills!DH3:DI6,2,FALSE)+IF(AND(Calculator!B8=TRUE,Backdoors!BI25=TRUE),VLOOKUP(Calculator!E23,tbSkills!DH3:DJ6,3,FALSE),0),0)))/100)),(1-(0.25*((-Backdoors!AI12-IF(EZ30&gt;=0.45,VLOOKUP(Calculator!E23,tbSkills!DH3:DI6,2,FALSE)+IF(AND(Calculator!B8=TRUE,Backdoors!BI25=TRUE),VLOOKUP(Calculator!E23,tbSkills!DH3:DJ6,3,FALSE),0),0))/100)))),1),"")</f>
        <v>1</v>
      </c>
      <c r="FC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Z30)*FB30)*(VLOOKUP(A30,tbMoveset!A2:C112,3,FALSE)/100)*IF(VLOOKUP(A30,tbMoveset!A2:B112,2,FALSE)="Projectile",Backdoors!N10,Backdoors!N9),0),"")</f>
        <v/>
      </c>
      <c r="FD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Z30&gt;=0.45,VLOOKUP(Calculator!E23,tbSkills!DH3:DI6,2,FALSE)+IF(AND(Calculator!B8=TRUE,Backdoors!BI25=TRUE),VLOOKUP(Calculator!E23,tbSkills!DH3:DJ6,3,FALSE),0),0))&gt;=100,100,(Backdoors!AI12+IF(EZ30&gt;=0.45,VLOOKUP(Calculator!E23,tbSkills!DH3:DI6,2,FALSE)+IF(AND(Calculator!B8=TRUE,Backdoors!BI25=TRUE),VLOOKUP(Calculator!E23,tbSkills!DH3:DJ6,3,FALSE),0),0)))/100)),1))*IF(VLOOKUP(A30,tbMoveset!A2:K112,11,FALSE)=TRUE,Backdoors!AC5,1))*FA30,0),"")</f>
        <v>0</v>
      </c>
      <c r="FE30" s="49">
        <f>VLOOKUP(A30,tbMoveset!A2:G112,7,FALSE)*IFERROR(IF(Backdoors!AI12&gt;=0,1+(IF(Calculator!E40&gt;0,VLOOKUP(Calculator!E40,tbSkills!AI3:AJ5,2,FALSE),Backdoors!AL4)*(IF((Backdoors!AI12+IF(EZ30&gt;=0.45,VLOOKUP(Calculator!E23,tbSkills!DH3:DI6,2,FALSE)+IF(AND(Calculator!B8=TRUE,Backdoors!BI25=TRUE),VLOOKUP(Calculator!E23,tbSkills!DH3:DJ6,3,FALSE),0),0))&gt;=100,100,(Backdoors!AI12+IF(EZ30&gt;=0.45,VLOOKUP(Calculator!E23,tbSkills!DH3:DI6,2,FALSE)+IF(AND(Calculator!B8=TRUE,Backdoors!BI25=TRUE),VLOOKUP(Calculator!E23,tbSkills!DH3:DJ6,3,FALSE),0),0)))/100)),1),1)</f>
        <v>0.6</v>
      </c>
      <c r="FF30" s="87">
        <f t="shared" si="15"/>
        <v>0</v>
      </c>
      <c r="FG30" s="86" t="str">
        <f>IFERROR(IF(VLOOKUP(A30,tbMoveset!A2:B112,2,FALSE)="Sever",Backdoors!AY26/100,IF(VLOOKUP(A30,tbMoveset!A2:B112,2,FALSE)="Blunt",Backdoors!AZ26/100,Backdoors!BA26/100)),"")</f>
        <v/>
      </c>
      <c r="FH30" s="49">
        <f>IFERROR(IF(VLOOKUP(tbMoveset!A30,tbMoveset!A2:H112,8,FALSE)="Other",IF(VLOOKUP(tbMoveset!A30,tbMoveset!A2:I112,9,FALSE)="Fire",Backdoors!BB26,IF(VLOOKUP(tbMoveset!A30,tbMoveset!A2:I112,9,FALSE)="Water",Backdoors!BC26,IF(VLOOKUP(tbMoveset!A30,tbMoveset!A2:I112,9,FALSE)="Thunder",Backdoors!BD26,IF(VLOOKUP(tbMoveset!A30,tbMoveset!A2:I112,9,FALSE)="Ice",Backdoors!BE26,IF(VLOOKUP(tbMoveset!A30,tbMoveset!A2:I112,9,FALSE)="Dragon",Backdoors!BF26,Backdoors!BG26)))))/100,Backdoors!BG26/100),"")</f>
        <v>0</v>
      </c>
      <c r="FI30" s="49">
        <f>IFERROR(IF(VLOOKUP(A30,tbMoveset!A2:J112,10,FALSE)=TRUE,IF((Backdoors!AI12+IF(FG30&gt;=0.45,VLOOKUP(Calculator!E23,tbSkills!DH3:DI6,2,FALSE)+IF(AND(Calculator!B8=TRUE,Backdoors!BI26=TRUE),VLOOKUP(Calculator!E23,tbSkills!DH3:DJ6,3,FALSE),0),0))&gt;=0,1+(Backdoors!AL2*(IF((Backdoors!AI12+IF(FG30&gt;=0.45,VLOOKUP(Calculator!E23,tbSkills!DH3:DI6,2,FALSE)+IF(AND(Calculator!B8=TRUE,Backdoors!BI26=TRUE),VLOOKUP(Calculator!E23,tbSkills!DH3:DJ6,3,FALSE),0),0))&gt;=100,100,(Backdoors!AI12+IF(FG30&gt;=0.45,VLOOKUP(Calculator!E23,tbSkills!DH3:DI6,2,FALSE)+IF(AND(Calculator!B8=TRUE,Backdoors!BI26=TRUE),VLOOKUP(Calculator!E23,tbSkills!DH3:DJ6,3,FALSE),0),0)))/100)),(1-(0.25*((-Backdoors!AI12-IF(FG30&gt;=0.45,VLOOKUP(Calculator!E23,tbSkills!DH3:DI6,2,FALSE)+IF(AND(Calculator!B8=TRUE,Backdoors!BI26=TRUE),VLOOKUP(Calculator!E23,tbSkills!DH3:DJ6,3,FALSE),0),0))/100)))),1),"")</f>
        <v>1</v>
      </c>
      <c r="FJ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FG30)*FI30)*(VLOOKUP(A30,tbMoveset!A2:C112,3,FALSE)/100)*IF(VLOOKUP(A30,tbMoveset!A2:B112,2,FALSE)="Projectile",Backdoors!N10,Backdoors!N9),0),"")</f>
        <v/>
      </c>
      <c r="FK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FG30&gt;=0.45,VLOOKUP(Calculator!E23,tbSkills!DH3:DI6,2,FALSE)+IF(AND(Calculator!B8=TRUE,Backdoors!BI26=TRUE),VLOOKUP(Calculator!E23,tbSkills!DH3:DJ6,3,FALSE),0),0))&gt;=100,100,(Backdoors!AI12+IF(FG30&gt;=0.45,VLOOKUP(Calculator!E23,tbSkills!DH3:DI6,2,FALSE)+IF(AND(Calculator!B8=TRUE,Backdoors!BI26=TRUE),VLOOKUP(Calculator!E23,tbSkills!DH3:DJ6,3,FALSE),0),0)))/100)),1))*IF(VLOOKUP(A30,tbMoveset!A2:K112,11,FALSE)=TRUE,Backdoors!AC5,1))*FH30,0),"")</f>
        <v>0</v>
      </c>
      <c r="FL30" s="49">
        <f>VLOOKUP(A30,tbMoveset!A2:G112,7,FALSE)*IFERROR(IF(Backdoors!AI12&gt;=0,1+(IF(Calculator!E40&gt;0,VLOOKUP(Calculator!E40,tbSkills!AI3:AJ5,2,FALSE),Backdoors!AL4)*(IF((Backdoors!AI12+IF(FG30&gt;=0.45,VLOOKUP(Calculator!E23,tbSkills!DH3:DI6,2,FALSE)+IF(AND(Calculator!B8=TRUE,Backdoors!BI26=TRUE),VLOOKUP(Calculator!E23,tbSkills!DH3:DJ6,3,FALSE),0),0))&gt;=100,100,(Backdoors!AI12+IF(FG30&gt;=0.45,VLOOKUP(Calculator!E23,tbSkills!DH3:DI6,2,FALSE)+IF(AND(Calculator!B8=TRUE,Backdoors!BI26=TRUE),VLOOKUP(Calculator!E23,tbSkills!DH3:DJ6,3,FALSE),0),0)))/100)),1),1)</f>
        <v>0.6</v>
      </c>
      <c r="FM30" s="87">
        <f t="shared" si="16"/>
        <v>0</v>
      </c>
      <c r="FN30" s="86" t="str">
        <f>IFERROR(IF(VLOOKUP(A30,tbMoveset!A2:B112,2,FALSE)="Sever",Backdoors!AY27/100,IF(VLOOKUP(A30,tbMoveset!A2:B112,2,FALSE)="Blunt",Backdoors!AZ27/100,Backdoors!BA27/100)),"")</f>
        <v/>
      </c>
      <c r="FO30" s="49">
        <f>IFERROR(IF(VLOOKUP(tbMoveset!A30,tbMoveset!A2:H112,8,FALSE)="Other",IF(VLOOKUP(tbMoveset!A30,tbMoveset!A2:I112,9,FALSE)="Fire",Backdoors!BB27,IF(VLOOKUP(tbMoveset!A30,tbMoveset!A2:I112,9,FALSE)="Water",Backdoors!BC27,IF(VLOOKUP(tbMoveset!A30,tbMoveset!A2:I112,9,FALSE)="Thunder",Backdoors!BD27,IF(VLOOKUP(tbMoveset!A30,tbMoveset!A2:I112,9,FALSE)="Ice",Backdoors!BE27,IF(VLOOKUP(tbMoveset!A30,tbMoveset!A2:I112,9,FALSE)="Dragon",Backdoors!BF27,Backdoors!BG27)))))/100,Backdoors!BG27/100),"")</f>
        <v>0</v>
      </c>
      <c r="FP30" s="49">
        <f>IFERROR(IF(VLOOKUP(A30,tbMoveset!A2:J112,10,FALSE)=TRUE,IF((Backdoors!AI12+IF(FN30&gt;=0.45,VLOOKUP(Calculator!E23,tbSkills!DH3:DI6,2,FALSE)+IF(AND(Calculator!B8=TRUE,Backdoors!BI27=TRUE),VLOOKUP(Calculator!E23,tbSkills!DH3:DJ6,3,FALSE),0),0))&gt;=0,1+(Backdoors!AL2*(IF((Backdoors!AI12+IF(FN30&gt;=0.45,VLOOKUP(Calculator!E23,tbSkills!DH3:DI6,2,FALSE)+IF(AND(Calculator!B8=TRUE,Backdoors!BI27=TRUE),VLOOKUP(Calculator!E23,tbSkills!DH3:DJ6,3,FALSE),0),0))&gt;=100,100,(Backdoors!AI12+IF(FN30&gt;=0.45,VLOOKUP(Calculator!E23,tbSkills!DH3:DI6,2,FALSE)+IF(AND(Calculator!B8=TRUE,Backdoors!BI27=TRUE),VLOOKUP(Calculator!E23,tbSkills!DH3:DJ6,3,FALSE),0),0)))/100)),(1-(0.25*((-Backdoors!AI12-IF(FN30&gt;=0.45,VLOOKUP(Calculator!E23,tbSkills!DH3:DI6,2,FALSE)+IF(AND(Calculator!B8=TRUE,Backdoors!BI27=TRUE),VLOOKUP(Calculator!E23,tbSkills!DH3:DJ6,3,FALSE),0),0))/100)))),1),"")</f>
        <v>1</v>
      </c>
      <c r="FQ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FN30)*FP30)*(VLOOKUP(A30,tbMoveset!A2:C112,3,FALSE)/100)*IF(VLOOKUP(A30,tbMoveset!A2:B112,2,FALSE)="Projectile",Backdoors!N10,Backdoors!N9),0),"")</f>
        <v/>
      </c>
      <c r="FR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FN30&gt;=0.45,VLOOKUP(Calculator!E23,tbSkills!DH3:DI6,2,FALSE)+IF(AND(Calculator!B8=TRUE,Backdoors!BI27=TRUE),VLOOKUP(Calculator!E23,tbSkills!DH3:DJ6,3,FALSE),0),0))&gt;=100,100,(Backdoors!AI12+IF(FN30&gt;=0.45,VLOOKUP(Calculator!E23,tbSkills!DH3:DI6,2,FALSE)+IF(AND(Calculator!B8=TRUE,Backdoors!BI27=TRUE),VLOOKUP(Calculator!E23,tbSkills!DH3:DJ6,3,FALSE),0),0)))/100)),1))*IF(VLOOKUP(A30,tbMoveset!A2:K112,11,FALSE)=TRUE,Backdoors!AC5,1))*FO30,0),"")</f>
        <v>0</v>
      </c>
      <c r="FS30" s="49">
        <f>VLOOKUP(A30,tbMoveset!A2:G112,7,FALSE)*IFERROR(IF(Backdoors!AI12&gt;=0,1+(IF(Calculator!E40&gt;0,VLOOKUP(Calculator!E40,tbSkills!AI3:AJ5,2,FALSE),Backdoors!AL4)*(IF((Backdoors!AI12+IF(FN30&gt;=0.45,VLOOKUP(Calculator!E23,tbSkills!DH3:DI6,2,FALSE)+IF(AND(Calculator!B8=TRUE,Backdoors!BI27=TRUE),VLOOKUP(Calculator!E23,tbSkills!DH3:DJ6,3,FALSE),0),0))&gt;=100,100,(Backdoors!AI12+IF(FN30&gt;=0.45,VLOOKUP(Calculator!E23,tbSkills!DH3:DI6,2,FALSE)+IF(AND(Calculator!B8=TRUE,Backdoors!BI27=TRUE),VLOOKUP(Calculator!E23,tbSkills!DH3:DJ6,3,FALSE),0),0)))/100)),1),1)</f>
        <v>0.6</v>
      </c>
      <c r="FT30" s="87">
        <f t="shared" si="17"/>
        <v>0</v>
      </c>
      <c r="FU30" s="86" t="str">
        <f>IFERROR(IF(VLOOKUP(A30,tbMoveset!A2:B112,2,FALSE)="Sever",Backdoors!AY28/100,IF(VLOOKUP(A30,tbMoveset!A2:B112,2,FALSE)="Blunt",Backdoors!AZ28/100,Backdoors!BA28/100)),"")</f>
        <v/>
      </c>
      <c r="FV30" s="49">
        <f>IFERROR(IF(VLOOKUP(tbMoveset!A30,tbMoveset!A2:H112,8,FALSE)="Other",IF(VLOOKUP(tbMoveset!A30,tbMoveset!A2:I112,9,FALSE)="Fire",Backdoors!BB28,IF(VLOOKUP(tbMoveset!A30,tbMoveset!A2:I112,9,FALSE)="Water",Backdoors!BC28,IF(VLOOKUP(tbMoveset!A30,tbMoveset!A2:I112,9,FALSE)="Thunder",Backdoors!BD28,IF(VLOOKUP(tbMoveset!A30,tbMoveset!A2:I112,9,FALSE)="Ice",Backdoors!BE28,IF(VLOOKUP(tbMoveset!A30,tbMoveset!A2:I112,9,FALSE)="Dragon",Backdoors!BF28,Backdoors!BG28)))))/100,Backdoors!BG28/100),"")</f>
        <v>0</v>
      </c>
      <c r="FW30" s="49">
        <f>IFERROR(IF(VLOOKUP(A30,tbMoveset!A2:J112,10,FALSE)=TRUE,IF((Backdoors!AI12+IF(FU30&gt;=0.45,VLOOKUP(Calculator!E23,tbSkills!DH3:DI6,2,FALSE)+IF(AND(Calculator!B8=TRUE,Backdoors!BI28=TRUE),VLOOKUP(Calculator!E23,tbSkills!DH3:DJ6,3,FALSE),0),0))&gt;=0,1+(Backdoors!AL2*(IF((Backdoors!AI12+IF(FU30&gt;=0.45,VLOOKUP(Calculator!E23,tbSkills!DH3:DI6,2,FALSE)+IF(AND(Calculator!B8=TRUE,Backdoors!BI28=TRUE),VLOOKUP(Calculator!E23,tbSkills!DH3:DJ6,3,FALSE),0),0))&gt;=100,100,(Backdoors!AI12+IF(FU30&gt;=0.45,VLOOKUP(Calculator!E23,tbSkills!DH3:DI6,2,FALSE)+IF(AND(Calculator!B8=TRUE,Backdoors!BI28=TRUE),VLOOKUP(Calculator!E23,tbSkills!DH3:DJ6,3,FALSE),0),0)))/100)),(1-(0.25*((-Backdoors!AI12-IF(FU30&gt;=0.45,VLOOKUP(Calculator!E23,tbSkills!DH3:DI6,2,FALSE)+IF(AND(Calculator!B8=TRUE,Backdoors!BI28=TRUE),VLOOKUP(Calculator!E23,tbSkills!DH3:DJ6,3,FALSE),0),0))/100)))),1),"")</f>
        <v>1</v>
      </c>
      <c r="FX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FU30)*FW30)*(VLOOKUP(A30,tbMoveset!A2:C112,3,FALSE)/100)*IF(VLOOKUP(A30,tbMoveset!A2:B112,2,FALSE)="Projectile",Backdoors!N10,Backdoors!N9),0),"")</f>
        <v/>
      </c>
      <c r="FY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FU30&gt;=0.45,VLOOKUP(Calculator!E23,tbSkills!DH3:DI6,2,FALSE)+IF(AND(Calculator!B8=TRUE,Backdoors!BI28=TRUE),VLOOKUP(Calculator!E23,tbSkills!DH3:DJ6,3,FALSE),0),0))&gt;=100,100,(Backdoors!AI12+IF(FU30&gt;=0.45,VLOOKUP(Calculator!E23,tbSkills!DH3:DI6,2,FALSE)+IF(AND(Calculator!B8=TRUE,Backdoors!BI28=TRUE),VLOOKUP(Calculator!E23,tbSkills!DH3:DJ6,3,FALSE),0),0)))/100)),1))*IF(VLOOKUP(A30,tbMoveset!A2:K112,11,FALSE)=TRUE,Backdoors!AC5,1))*FV30,0),"")</f>
        <v>0</v>
      </c>
      <c r="FZ30" s="49">
        <f>VLOOKUP(A30,tbMoveset!A2:G112,7,FALSE)*IFERROR(IF(Backdoors!AI12&gt;=0,1+(IF(Calculator!E40&gt;0,VLOOKUP(Calculator!E40,tbSkills!AI3:AJ5,2,FALSE),Backdoors!AL4)*(IF((Backdoors!AI12+IF(FU30&gt;=0.45,VLOOKUP(Calculator!E23,tbSkills!DH3:DI6,2,FALSE)+IF(AND(Calculator!B8=TRUE,Backdoors!BI28=TRUE),VLOOKUP(Calculator!E23,tbSkills!DH3:DJ6,3,FALSE),0),0))&gt;=100,100,(Backdoors!AI12+IF(FU30&gt;=0.45,VLOOKUP(Calculator!E23,tbSkills!DH3:DI6,2,FALSE)+IF(AND(Calculator!B8=TRUE,Backdoors!BI28=TRUE),VLOOKUP(Calculator!E23,tbSkills!DH3:DJ6,3,FALSE),0),0)))/100)),1),1)</f>
        <v>0.6</v>
      </c>
      <c r="GA30" s="87">
        <f t="shared" si="18"/>
        <v>0</v>
      </c>
      <c r="GB30" s="86" t="str">
        <f>IFERROR(IF(VLOOKUP(A30,tbMoveset!A2:B112,2,FALSE)="Sever",Backdoors!AY29/100,IF(VLOOKUP(A30,tbMoveset!A2:B112,2,FALSE)="Blunt",Backdoors!AZ29/100,Backdoors!BA29/100)),"")</f>
        <v/>
      </c>
      <c r="GC30" s="49">
        <f>IFERROR(IF(VLOOKUP(tbMoveset!A30,tbMoveset!A2:H112,8,FALSE)="Other",IF(VLOOKUP(tbMoveset!A30,tbMoveset!A2:I112,9,FALSE)="Fire",Backdoors!BB29,IF(VLOOKUP(tbMoveset!A30,tbMoveset!A2:I112,9,FALSE)="Water",Backdoors!BC29,IF(VLOOKUP(tbMoveset!A30,tbMoveset!A2:I112,9,FALSE)="Thunder",Backdoors!BD29,IF(VLOOKUP(tbMoveset!A30,tbMoveset!A2:I112,9,FALSE)="Ice",Backdoors!BE29,IF(VLOOKUP(tbMoveset!A30,tbMoveset!A2:I112,9,FALSE)="Dragon",Backdoors!BF29,Backdoors!BG29)))))/100,Backdoors!BG29/100),"")</f>
        <v>0</v>
      </c>
      <c r="GD30" s="49">
        <f>IFERROR(IF(VLOOKUP(A30,tbMoveset!A2:J112,10,FALSE)=TRUE,IF((Backdoors!AI12+IF(GB30&gt;=0.45,VLOOKUP(Calculator!E23,tbSkills!DH3:DI6,2,FALSE)+IF(AND(Calculator!B8=TRUE,Backdoors!BI29=TRUE),VLOOKUP(Calculator!E23,tbSkills!DH3:DJ6,3,FALSE),0),0))&gt;=0,1+(Backdoors!AL2*(IF((Backdoors!AI12+IF(GB30&gt;=0.45,VLOOKUP(Calculator!E23,tbSkills!DH3:DI6,2,FALSE)+IF(AND(Calculator!B8=TRUE,Backdoors!BI29=TRUE),VLOOKUP(Calculator!E23,tbSkills!DH3:DJ6,3,FALSE),0),0))&gt;=100,100,(Backdoors!AI12+IF(GB30&gt;=0.45,VLOOKUP(Calculator!E23,tbSkills!DH3:DI6,2,FALSE)+IF(AND(Calculator!B8=TRUE,Backdoors!BI29=TRUE),VLOOKUP(Calculator!E23,tbSkills!DH3:DJ6,3,FALSE),0),0)))/100)),(1-(0.25*((-Backdoors!AI12-IF(GB30&gt;=0.45,VLOOKUP(Calculator!E23,tbSkills!DH3:DI6,2,FALSE)+IF(AND(Calculator!B8=TRUE,Backdoors!BI29=TRUE),VLOOKUP(Calculator!E23,tbSkills!DH3:DJ6,3,FALSE),0),0))/100)))),1),"")</f>
        <v>1</v>
      </c>
      <c r="GE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B30)*GD30)*(VLOOKUP(A30,tbMoveset!A2:C112,3,FALSE)/100)*IF(VLOOKUP(A30,tbMoveset!A2:B112,2,FALSE)="Projectile",Backdoors!N10,Backdoors!N9),0),"")</f>
        <v/>
      </c>
      <c r="GF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B30&gt;=0.45,VLOOKUP(Calculator!E23,tbSkills!DH3:DI6,2,FALSE)+IF(AND(Calculator!B8=TRUE,Backdoors!BI29=TRUE),VLOOKUP(Calculator!E23,tbSkills!DH3:DJ6,3,FALSE),0),0))&gt;=100,100,(Backdoors!AI12+IF(GB30&gt;=0.45,VLOOKUP(Calculator!E23,tbSkills!DH3:DI6,2,FALSE)+IF(AND(Calculator!B8=TRUE,Backdoors!BI29=TRUE),VLOOKUP(Calculator!E23,tbSkills!DH3:DJ6,3,FALSE),0),0)))/100)),1))*IF(VLOOKUP(A30,tbMoveset!A2:K112,11,FALSE)=TRUE,Backdoors!AC5,1))*GC30,0),"")</f>
        <v>0</v>
      </c>
      <c r="GG30" s="49">
        <f>VLOOKUP(A30,tbMoveset!A2:G112,7,FALSE)*IFERROR(IF(Backdoors!AI12&gt;=0,1+(IF(Calculator!E40&gt;0,VLOOKUP(Calculator!E40,tbSkills!AI3:AJ5,2,FALSE),Backdoors!AL4)*(IF((Backdoors!AI12+IF(GB30&gt;=0.45,VLOOKUP(Calculator!E23,tbSkills!DH3:DI6,2,FALSE)+IF(AND(Calculator!B8=TRUE,Backdoors!BI29=TRUE),VLOOKUP(Calculator!E23,tbSkills!DH3:DJ6,3,FALSE),0),0))&gt;=100,100,(Backdoors!AI12+IF(GB30&gt;=0.45,VLOOKUP(Calculator!E23,tbSkills!DH3:DI6,2,FALSE)+IF(AND(Calculator!B8=TRUE,Backdoors!BI29=TRUE),VLOOKUP(Calculator!E23,tbSkills!DH3:DJ6,3,FALSE),0),0)))/100)),1),1)</f>
        <v>0.6</v>
      </c>
      <c r="GH30" s="87">
        <f t="shared" si="19"/>
        <v>0</v>
      </c>
      <c r="GI30" s="86" t="str">
        <f>IFERROR(IF(VLOOKUP(A30,tbMoveset!A2:B112,2,FALSE)="Sever",Backdoors!AY30/100,IF(VLOOKUP(A30,tbMoveset!A2:B112,2,FALSE)="Blunt",Backdoors!AZ30/100,Backdoors!BA30/100)),"")</f>
        <v/>
      </c>
      <c r="GJ30" s="49">
        <f>IFERROR(IF(VLOOKUP(tbMoveset!A30,tbMoveset!A2:H112,8,FALSE)="Other",IF(VLOOKUP(tbMoveset!A30,tbMoveset!A2:I112,9,FALSE)="Fire",Backdoors!BB30,IF(VLOOKUP(tbMoveset!A30,tbMoveset!A2:I112,9,FALSE)="Water",Backdoors!BC30,IF(VLOOKUP(tbMoveset!A30,tbMoveset!A2:I112,9,FALSE)="Thunder",Backdoors!BD30,IF(VLOOKUP(tbMoveset!A30,tbMoveset!A2:I112,9,FALSE)="Ice",Backdoors!BE30,IF(VLOOKUP(tbMoveset!A30,tbMoveset!A2:I112,9,FALSE)="Dragon",Backdoors!BF30,Backdoors!BG30)))))/100,Backdoors!BG30/100),"")</f>
        <v>0</v>
      </c>
      <c r="GK30" s="49">
        <f>IFERROR(IF(VLOOKUP(A30,tbMoveset!A2:J112,10,FALSE)=TRUE,IF((Backdoors!AI12+IF(GI30&gt;=0.45,VLOOKUP(Calculator!E23,tbSkills!DH3:DI6,2,FALSE)+IF(AND(Calculator!B8=TRUE,Backdoors!BI30=TRUE),VLOOKUP(Calculator!E23,tbSkills!DH3:DJ6,3,FALSE),0),0))&gt;=0,1+(Backdoors!AL2*(IF((Backdoors!AI12+IF(GI30&gt;=0.45,VLOOKUP(Calculator!E23,tbSkills!DH3:DI6,2,FALSE)+IF(AND(Calculator!B8=TRUE,Backdoors!BI30=TRUE),VLOOKUP(Calculator!E23,tbSkills!DH3:DJ6,3,FALSE),0),0))&gt;=100,100,(Backdoors!AI12+IF(GI30&gt;=0.45,VLOOKUP(Calculator!E23,tbSkills!DH3:DI6,2,FALSE)+IF(AND(Calculator!B8=TRUE,Backdoors!BI30=TRUE),VLOOKUP(Calculator!E23,tbSkills!DH3:DJ6,3,FALSE),0),0)))/100)),(1-(0.25*((-Backdoors!AI12-IF(GI30&gt;=0.45,VLOOKUP(Calculator!E23,tbSkills!DH3:DI6,2,FALSE)+IF(AND(Calculator!B8=TRUE,Backdoors!BI30=TRUE),VLOOKUP(Calculator!E23,tbSkills!DH3:DJ6,3,FALSE),0),0))/100)))),1),"")</f>
        <v>1</v>
      </c>
      <c r="GL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I30)*GK30)*(VLOOKUP(A30,tbMoveset!A2:C112,3,FALSE)/100)*IF(VLOOKUP(A30,tbMoveset!A2:B112,2,FALSE)="Projectile",Backdoors!N10,Backdoors!N9),0),"")</f>
        <v/>
      </c>
      <c r="GM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I30&gt;=0.45,VLOOKUP(Calculator!E23,tbSkills!DH3:DI6,2,FALSE)+IF(AND(Calculator!B8=TRUE,Backdoors!BI30=TRUE),VLOOKUP(Calculator!E23,tbSkills!DH3:DJ6,3,FALSE),0),0))&gt;=100,100,(Backdoors!AI12+IF(GI30&gt;=0.45,VLOOKUP(Calculator!E23,tbSkills!DH3:DI6,2,FALSE)+IF(AND(Calculator!B8=TRUE,Backdoors!BI30=TRUE),VLOOKUP(Calculator!E23,tbSkills!DH3:DJ6,3,FALSE),0),0)))/100)),1))*IF(VLOOKUP(A30,tbMoveset!A2:K112,11,FALSE)=TRUE,Backdoors!AC5,1))*GJ30,0),"")</f>
        <v>0</v>
      </c>
      <c r="GN30" s="49">
        <f>VLOOKUP(A30,tbMoveset!A2:G112,7,FALSE)*IFERROR(IF(Backdoors!AI12&gt;=0,1+(IF(Calculator!E40&gt;0,VLOOKUP(Calculator!E40,tbSkills!AI3:AJ5,2,FALSE),Backdoors!AL4)*(IF((Backdoors!AI12+IF(GI30&gt;=0.45,VLOOKUP(Calculator!E23,tbSkills!DH3:DI6,2,FALSE)+IF(AND(Calculator!B8=TRUE,Backdoors!BI30=TRUE),VLOOKUP(Calculator!E23,tbSkills!DH3:DJ6,3,FALSE),0),0))&gt;=100,100,(Backdoors!AI12+IF(GI30&gt;=0.45,VLOOKUP(Calculator!E23,tbSkills!DH3:DI6,2,FALSE)+IF(AND(Calculator!B8=TRUE,Backdoors!BI30=TRUE),VLOOKUP(Calculator!E23,tbSkills!DH3:DJ6,3,FALSE),0),0)))/100)),1),1)</f>
        <v>0.6</v>
      </c>
      <c r="GO30" s="87">
        <f t="shared" si="20"/>
        <v>0</v>
      </c>
      <c r="GP30" s="86" t="str">
        <f>IFERROR(IF(VLOOKUP(A30,tbMoveset!A2:B112,2,FALSE)="Sever",Backdoors!AY31/100,IF(VLOOKUP(A30,tbMoveset!A2:B112,2,FALSE)="Blunt",Backdoors!AZ31/100,Backdoors!BA31/100)),"")</f>
        <v/>
      </c>
      <c r="GQ30" s="49">
        <f>IFERROR(IF(VLOOKUP(tbMoveset!A30,tbMoveset!A2:H112,8,FALSE)="Other",IF(VLOOKUP(tbMoveset!A30,tbMoveset!A2:I112,9,FALSE)="Fire",Backdoors!BB31,IF(VLOOKUP(tbMoveset!A30,tbMoveset!A2:I112,9,FALSE)="Water",Backdoors!BC31,IF(VLOOKUP(tbMoveset!A30,tbMoveset!A2:I112,9,FALSE)="Thunder",Backdoors!BD31,IF(VLOOKUP(tbMoveset!A30,tbMoveset!A2:I112,9,FALSE)="Ice",Backdoors!BE31,IF(VLOOKUP(tbMoveset!A30,tbMoveset!A2:I112,9,FALSE)="Dragon",Backdoors!BF31,Backdoors!BG31)))))/100,Backdoors!BG31/100),"")</f>
        <v>0</v>
      </c>
      <c r="GR30" s="49">
        <f>IFERROR(IF(VLOOKUP(A30,tbMoveset!A2:J112,10,FALSE)=TRUE,IF((Backdoors!AI12+IF(GP30&gt;=0.45,VLOOKUP(Calculator!E23,tbSkills!DH3:DI6,2,FALSE)+IF(AND(Calculator!B8=TRUE,Backdoors!BI31=TRUE),VLOOKUP(Calculator!E23,tbSkills!DH3:DJ6,3,FALSE),0),0))&gt;=0,1+(Backdoors!AL2*(IF((Backdoors!AI12+IF(GP30&gt;=0.45,VLOOKUP(Calculator!E23,tbSkills!DH3:DI6,2,FALSE)+IF(AND(Calculator!B8=TRUE,Backdoors!BI31=TRUE),VLOOKUP(Calculator!E23,tbSkills!DH3:DJ6,3,FALSE),0),0))&gt;=100,100,(Backdoors!AI12+IF(GP30&gt;=0.45,VLOOKUP(Calculator!E23,tbSkills!DH3:DI6,2,FALSE)+IF(AND(Calculator!B8=TRUE,Backdoors!BI31=TRUE),VLOOKUP(Calculator!E23,tbSkills!DH3:DJ6,3,FALSE),0),0)))/100)),(1-(0.25*((-Backdoors!AI12-IF(GP30&gt;=0.45,VLOOKUP(Calculator!E23,tbSkills!DH3:DI6,2,FALSE)+IF(AND(Calculator!B8=TRUE,Backdoors!BI31=TRUE),VLOOKUP(Calculator!E23,tbSkills!DH3:DJ6,3,FALSE),0),0))/100)))),1),"")</f>
        <v>1</v>
      </c>
      <c r="GS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P30)*GR30)*(VLOOKUP(A30,tbMoveset!A2:C112,3,FALSE)/100)*IF(VLOOKUP(A30,tbMoveset!A2:B112,2,FALSE)="Projectile",Backdoors!N10,Backdoors!N9),0),"")</f>
        <v/>
      </c>
      <c r="GT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P30&gt;=0.45,VLOOKUP(Calculator!E23,tbSkills!DH3:DI6,2,FALSE)+IF(AND(Calculator!B8=TRUE,Backdoors!BI31=TRUE),VLOOKUP(Calculator!E23,tbSkills!DH3:DJ6,3,FALSE),0),0))&gt;=100,100,(Backdoors!AI12+IF(GP30&gt;=0.45,VLOOKUP(Calculator!E23,tbSkills!DH3:DI6,2,FALSE)+IF(AND(Calculator!B8=TRUE,Backdoors!BI31=TRUE),VLOOKUP(Calculator!E23,tbSkills!DH3:DJ6,3,FALSE),0),0)))/100)),1))*IF(VLOOKUP(A30,tbMoveset!A2:K112,11,FALSE)=TRUE,Backdoors!AC5,1))*GQ30,0),"")</f>
        <v>0</v>
      </c>
      <c r="GU30" s="49">
        <f>VLOOKUP(A30,tbMoveset!A2:G112,7,FALSE)*IFERROR(IF(Backdoors!AI12&gt;=0,1+(IF(Calculator!E40&gt;0,VLOOKUP(Calculator!E40,tbSkills!AI3:AJ5,2,FALSE),Backdoors!AL4)*(IF((Backdoors!AI12+IF(GP30&gt;=0.45,VLOOKUP(Calculator!E23,tbSkills!DH3:DI6,2,FALSE)+IF(AND(Calculator!B8=TRUE,Backdoors!BI31=TRUE),VLOOKUP(Calculator!E23,tbSkills!DH3:DJ6,3,FALSE),0),0))&gt;=100,100,(Backdoors!AI12+IF(GP30&gt;=0.45,VLOOKUP(Calculator!E23,tbSkills!DH3:DI6,2,FALSE)+IF(AND(Calculator!B8=TRUE,Backdoors!BI31=TRUE),VLOOKUP(Calculator!E23,tbSkills!DH3:DJ6,3,FALSE),0),0)))/100)),1),1)</f>
        <v>0.6</v>
      </c>
      <c r="GV30" s="87">
        <f t="shared" si="21"/>
        <v>0</v>
      </c>
      <c r="GW30" s="86" t="str">
        <f>IFERROR(IF(VLOOKUP(A30,tbMoveset!A2:B112,2,FALSE)="Sever",Backdoors!AY32/100,IF(VLOOKUP(A30,tbMoveset!A2:B112,2,FALSE)="Blunt",Backdoors!AZ32/100,Backdoors!BA32/100)),"")</f>
        <v/>
      </c>
      <c r="GX30" s="49">
        <f>IFERROR(IF(VLOOKUP(tbMoveset!A30,tbMoveset!A2:H112,8,FALSE)="Other",IF(VLOOKUP(tbMoveset!A30,tbMoveset!A2:I112,9,FALSE)="Fire",Backdoors!BB32,IF(VLOOKUP(tbMoveset!A30,tbMoveset!A2:I112,9,FALSE)="Water",Backdoors!BC32,IF(VLOOKUP(tbMoveset!A30,tbMoveset!A2:I112,9,FALSE)="Thunder",Backdoors!BD32,IF(VLOOKUP(tbMoveset!A30,tbMoveset!A2:I112,9,FALSE)="Ice",Backdoors!BE32,IF(VLOOKUP(tbMoveset!A30,tbMoveset!A2:I112,9,FALSE)="Dragon",Backdoors!BF32,Backdoors!BG32)))))/100,Backdoors!BG32/100),"")</f>
        <v>0</v>
      </c>
      <c r="GY30" s="49">
        <f>IFERROR(IF(VLOOKUP(A30,tbMoveset!A2:J112,10,FALSE)=TRUE,IF((Backdoors!AI12+IF(GW30&gt;=0.45,VLOOKUP(Calculator!E23,tbSkills!DH3:DI6,2,FALSE)+IF(AND(Calculator!B8=TRUE,Backdoors!BI32=TRUE),VLOOKUP(Calculator!E23,tbSkills!DH3:DJ6,3,FALSE),0),0))&gt;=0,1+(Backdoors!AL2*(IF((Backdoors!AI12+IF(GW30&gt;=0.45,VLOOKUP(Calculator!E23,tbSkills!DH3:DI6,2,FALSE)+IF(AND(Calculator!B8=TRUE,Backdoors!BI32=TRUE),VLOOKUP(Calculator!E23,tbSkills!DH3:DJ6,3,FALSE),0),0))&gt;=100,100,(Backdoors!AI12+IF(GW30&gt;=0.45,VLOOKUP(Calculator!E23,tbSkills!DH3:DI6,2,FALSE)+IF(AND(Calculator!B8=TRUE,Backdoors!BI32=TRUE),VLOOKUP(Calculator!E23,tbSkills!DH3:DJ6,3,FALSE),0),0)))/100)),(1-(0.25*((-Backdoors!AI12-IF(GW30&gt;=0.45,VLOOKUP(Calculator!E23,tbSkills!DH3:DI6,2,FALSE)+IF(AND(Calculator!B8=TRUE,Backdoors!BI32=TRUE),VLOOKUP(Calculator!E23,tbSkills!DH3:DJ6,3,FALSE),0),0))/100)))),1),"")</f>
        <v>1</v>
      </c>
      <c r="GZ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W30)*GY30)*(VLOOKUP(A30,tbMoveset!A2:C112,3,FALSE)/100)*IF(VLOOKUP(A30,tbMoveset!A2:B112,2,FALSE)="Projectile",Backdoors!N10,Backdoors!N9),0),"")</f>
        <v/>
      </c>
      <c r="HA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W30&gt;=0.45,VLOOKUP(Calculator!E23,tbSkills!DH3:DI6,2,FALSE)+IF(AND(Calculator!B8=TRUE,Backdoors!BI32=TRUE),VLOOKUP(Calculator!E23,tbSkills!DH3:DJ6,3,FALSE),0),0))&gt;=100,100,(Backdoors!AI12+IF(GW30&gt;=0.45,VLOOKUP(Calculator!E23,tbSkills!DH3:DI6,2,FALSE)+IF(AND(Calculator!B8=TRUE,Backdoors!BI32=TRUE),VLOOKUP(Calculator!E23,tbSkills!DH3:DJ6,3,FALSE),0),0)))/100)),1))*IF(VLOOKUP(A30,tbMoveset!A2:K112,11,FALSE)=TRUE,Backdoors!AC5,1))*GX30,0),"")</f>
        <v>0</v>
      </c>
      <c r="HB30" s="49">
        <f>VLOOKUP(A30,tbMoveset!A2:G112,7,FALSE)*IFERROR(IF(Backdoors!AI12&gt;=0,1+(IF(Calculator!E40&gt;0,VLOOKUP(Calculator!E40,tbSkills!AI3:AJ5,2,FALSE),Backdoors!AL4)*(IF((Backdoors!AI12+IF(GW30&gt;=0.45,VLOOKUP(Calculator!E23,tbSkills!DH3:DI6,2,FALSE)+IF(AND(Calculator!B8=TRUE,Backdoors!BI32=TRUE),VLOOKUP(Calculator!E23,tbSkills!DH3:DJ6,3,FALSE),0),0))&gt;=100,100,(Backdoors!AI12+IF(GW30&gt;=0.45,VLOOKUP(Calculator!E23,tbSkills!DH3:DI6,2,FALSE)+IF(AND(Calculator!B8=TRUE,Backdoors!BI32=TRUE),VLOOKUP(Calculator!E23,tbSkills!DH3:DJ6,3,FALSE),0),0)))/100)),1),1)</f>
        <v>0.6</v>
      </c>
      <c r="HC30" s="87">
        <f t="shared" si="22"/>
        <v>0</v>
      </c>
      <c r="HD30" s="86" t="str">
        <f>IFERROR(IF(VLOOKUP(A30,tbMoveset!A2:B112,2,FALSE)="Sever",Backdoors!AY33/100,IF(VLOOKUP(A30,tbMoveset!A2:B112,2,FALSE)="Blunt",Backdoors!AZ33/100,Backdoors!BA33/100)),"")</f>
        <v/>
      </c>
      <c r="HE30" s="49">
        <f>IFERROR(IF(VLOOKUP(tbMoveset!A30,tbMoveset!A2:H112,8,FALSE)="Other",IF(VLOOKUP(tbMoveset!A30,tbMoveset!A2:I112,9,FALSE)="Fire",Backdoors!BB33,IF(VLOOKUP(tbMoveset!A30,tbMoveset!A2:I112,9,FALSE)="Water",Backdoors!BC33,IF(VLOOKUP(tbMoveset!A30,tbMoveset!A2:I112,9,FALSE)="Thunder",Backdoors!BD33,IF(VLOOKUP(tbMoveset!A30,tbMoveset!A2:I112,9,FALSE)="Ice",Backdoors!BE33,IF(VLOOKUP(tbMoveset!A30,tbMoveset!A2:I112,9,FALSE)="Dragon",Backdoors!BF33,Backdoors!BG33)))))/100,Backdoors!BG33/100),"")</f>
        <v>0</v>
      </c>
      <c r="HF30" s="49">
        <f>IFERROR(IF(VLOOKUP(A30,tbMoveset!A2:J112,10,FALSE)=TRUE,IF((Backdoors!AI12+IF(HD30&gt;=0.45,VLOOKUP(Calculator!E23,tbSkills!DH3:DI6,2,FALSE)+IF(AND(Calculator!B8=TRUE,Backdoors!BI33=TRUE),VLOOKUP(Calculator!E23,tbSkills!DH3:DJ6,3,FALSE),0),0))&gt;=0,1+(Backdoors!AL2*(IF((Backdoors!AI12+IF(HD30&gt;=0.45,VLOOKUP(Calculator!E23,tbSkills!DH3:DI6,2,FALSE)+IF(AND(Calculator!B8=TRUE,Backdoors!BI33=TRUE),VLOOKUP(Calculator!E23,tbSkills!DH3:DJ6,3,FALSE),0),0))&gt;=100,100,(Backdoors!AI12+IF(HD30&gt;=0.45,VLOOKUP(Calculator!E23,tbSkills!DH3:DI6,2,FALSE)+IF(AND(Calculator!B8=TRUE,Backdoors!BI33=TRUE),VLOOKUP(Calculator!E23,tbSkills!DH3:DJ6,3,FALSE),0),0)))/100)),(1-(0.25*((-Backdoors!AI12-IF(HD30&gt;=0.45,VLOOKUP(Calculator!E23,tbSkills!DH3:DI6,2,FALSE)+IF(AND(Calculator!B8=TRUE,Backdoors!BI33=TRUE),VLOOKUP(Calculator!E23,tbSkills!DH3:DJ6,3,FALSE),0),0))/100)))),1),"")</f>
        <v>1</v>
      </c>
      <c r="HG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D30)*HF30)*(VLOOKUP(A30,tbMoveset!A2:C112,3,FALSE)/100)*IF(VLOOKUP(A30,tbMoveset!A2:B112,2,FALSE)="Projectile",Backdoors!N10,Backdoors!N9),0),"")</f>
        <v/>
      </c>
      <c r="HH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D30&gt;=0.45,VLOOKUP(Calculator!E23,tbSkills!DH3:DI6,2,FALSE)+IF(AND(Calculator!B8=TRUE,Backdoors!BI33=TRUE),VLOOKUP(Calculator!E23,tbSkills!DH3:DJ6,3,FALSE),0),0))&gt;=100,100,(Backdoors!AI12+IF(HD30&gt;=0.45,VLOOKUP(Calculator!E23,tbSkills!DH3:DI6,2,FALSE)+IF(AND(Calculator!B8=TRUE,Backdoors!BI33=TRUE),VLOOKUP(Calculator!E23,tbSkills!DH3:DJ6,3,FALSE),0),0)))/100)),1))*IF(VLOOKUP(A30,tbMoveset!A2:K112,11,FALSE)=TRUE,Backdoors!AC5,1))*HE30,0),"")</f>
        <v>0</v>
      </c>
      <c r="HI30" s="49">
        <f>VLOOKUP(A30,tbMoveset!A2:G112,7,FALSE)*IFERROR(IF(Backdoors!AI12&gt;=0,1+(IF(Calculator!E40&gt;0,VLOOKUP(Calculator!E40,tbSkills!AI3:AJ5,2,FALSE),Backdoors!AL4)*(IF((Backdoors!AI12+IF(HD30&gt;=0.45,VLOOKUP(Calculator!E23,tbSkills!DH3:DI6,2,FALSE)+IF(AND(Calculator!B8=TRUE,Backdoors!BI33=TRUE),VLOOKUP(Calculator!E23,tbSkills!DH3:DJ6,3,FALSE),0),0))&gt;=100,100,(Backdoors!AI12+IF(HD30&gt;=0.45,VLOOKUP(Calculator!E23,tbSkills!DH3:DI6,2,FALSE)+IF(AND(Calculator!B8=TRUE,Backdoors!BI33=TRUE),VLOOKUP(Calculator!E23,tbSkills!DH3:DJ6,3,FALSE),0),0)))/100)),1),1)</f>
        <v>0.6</v>
      </c>
      <c r="HJ30" s="87">
        <f t="shared" si="23"/>
        <v>0</v>
      </c>
      <c r="HK30" s="86" t="str">
        <f>IFERROR(IF(VLOOKUP(A30,tbMoveset!A2:B112,2,FALSE)="Sever",Backdoors!AY34/100,IF(VLOOKUP(A30,tbMoveset!A2:B112,2,FALSE)="Blunt",Backdoors!AZ34/100,Backdoors!BA34/100)),"")</f>
        <v/>
      </c>
      <c r="HL30" s="49">
        <f>IFERROR(IF(VLOOKUP(tbMoveset!A30,tbMoveset!A2:H112,8,FALSE)="Other",IF(VLOOKUP(tbMoveset!A30,tbMoveset!A2:I112,9,FALSE)="Fire",Backdoors!BB34,IF(VLOOKUP(tbMoveset!A30,tbMoveset!A2:I112,9,FALSE)="Water",Backdoors!BC34,IF(VLOOKUP(tbMoveset!A30,tbMoveset!A2:I112,9,FALSE)="Thunder",Backdoors!BD34,IF(VLOOKUP(tbMoveset!A30,tbMoveset!A2:I112,9,FALSE)="Ice",Backdoors!BE34,IF(VLOOKUP(tbMoveset!A30,tbMoveset!A2:I112,9,FALSE)="Dragon",Backdoors!BF34,Backdoors!BG34)))))/100,Backdoors!BG34/100),"")</f>
        <v>0</v>
      </c>
      <c r="HM30" s="49">
        <f>IFERROR(IF(VLOOKUP(A30,tbMoveset!A2:J112,10,FALSE)=TRUE,IF((Backdoors!AI12+IF(HK30&gt;=0.45,VLOOKUP(Calculator!E23,tbSkills!DH3:DI6,2,FALSE)+IF(AND(Calculator!B8=TRUE,Backdoors!BI34=TRUE),VLOOKUP(Calculator!E23,tbSkills!DH3:DJ6,3,FALSE),0),0))&gt;=0,1+(Backdoors!AL2*(IF((Backdoors!AI12+IF(HK30&gt;=0.45,VLOOKUP(Calculator!E23,tbSkills!DH3:DI6,2,FALSE)+IF(AND(Calculator!B8=TRUE,Backdoors!BI34=TRUE),VLOOKUP(Calculator!E23,tbSkills!DH3:DJ6,3,FALSE),0),0))&gt;=100,100,(Backdoors!AI12+IF(HK30&gt;=0.45,VLOOKUP(Calculator!E23,tbSkills!DH3:DI6,2,FALSE)+IF(AND(Calculator!B8=TRUE,Backdoors!BI34=TRUE),VLOOKUP(Calculator!E23,tbSkills!DH3:DJ6,3,FALSE),0),0)))/100)),(1-(0.25*((-Backdoors!AI12-IF(HK30&gt;=0.45,VLOOKUP(Calculator!E23,tbSkills!DH3:DI6,2,FALSE)+IF(AND(Calculator!B8=TRUE,Backdoors!BI34=TRUE),VLOOKUP(Calculator!E23,tbSkills!DH3:DJ6,3,FALSE),0),0))/100)))),1),"")</f>
        <v>1</v>
      </c>
      <c r="HN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K30)*HM30)*(VLOOKUP(A30,tbMoveset!A2:C112,3,FALSE)/100)*IF(VLOOKUP(A30,tbMoveset!A2:B112,2,FALSE)="Projectile",Backdoors!N10,Backdoors!N9),0),"")</f>
        <v/>
      </c>
      <c r="HO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K30&gt;=0.45,VLOOKUP(Calculator!E23,tbSkills!DH3:DI6,2,FALSE)+IF(AND(Calculator!B8=TRUE,Backdoors!BI34=TRUE),VLOOKUP(Calculator!E23,tbSkills!DH3:DJ6,3,FALSE),0),0))&gt;=100,100,(Backdoors!AI12+IF(HK30&gt;=0.45,VLOOKUP(Calculator!E23,tbSkills!DH3:DI6,2,FALSE)+IF(AND(Calculator!B8=TRUE,Backdoors!BI34=TRUE),VLOOKUP(Calculator!E23,tbSkills!DH3:DJ6,3,FALSE),0),0)))/100)),1))*IF(VLOOKUP(A30,tbMoveset!A2:K112,11,FALSE)=TRUE,Backdoors!AC5,1))*HL30,0),"")</f>
        <v>0</v>
      </c>
      <c r="HP30" s="49">
        <f>VLOOKUP(A30,tbMoveset!A2:G112,7,FALSE)*IFERROR(IF(Backdoors!AI12&gt;=0,1+(IF(Calculator!E40&gt;0,VLOOKUP(Calculator!E40,tbSkills!AI3:AJ5,2,FALSE),Backdoors!AL4)*(IF((Backdoors!AI12+IF(HK30&gt;=0.45,VLOOKUP(Calculator!E23,tbSkills!DH3:DI6,2,FALSE)+IF(AND(Calculator!B8=TRUE,Backdoors!BI34=TRUE),VLOOKUP(Calculator!E23,tbSkills!DH3:DJ6,3,FALSE),0),0))&gt;=100,100,(Backdoors!AI12+IF(HK30&gt;=0.45,VLOOKUP(Calculator!E23,tbSkills!DH3:DI6,2,FALSE)+IF(AND(Calculator!B8=TRUE,Backdoors!BI34=TRUE),VLOOKUP(Calculator!E23,tbSkills!DH3:DJ6,3,FALSE),0),0)))/100)),1),1)</f>
        <v>0.6</v>
      </c>
      <c r="HQ30" s="87">
        <f t="shared" si="24"/>
        <v>0</v>
      </c>
      <c r="HR30" s="86" t="str">
        <f>IFERROR(IF(VLOOKUP(A30,tbMoveset!A2:B112,2,FALSE)="Sever",Backdoors!AY35/100,IF(VLOOKUP(A30,tbMoveset!A2:B112,2,FALSE)="Blunt",Backdoors!AZ35/100,Backdoors!BA35/100)),"")</f>
        <v/>
      </c>
      <c r="HS30" s="49">
        <f>IFERROR(IF(VLOOKUP(tbMoveset!A30,tbMoveset!A2:H112,8,FALSE)="Other",IF(VLOOKUP(tbMoveset!A30,tbMoveset!A2:I112,9,FALSE)="Fire",Backdoors!BB35,IF(VLOOKUP(tbMoveset!A30,tbMoveset!A2:I112,9,FALSE)="Water",Backdoors!BC35,IF(VLOOKUP(tbMoveset!A30,tbMoveset!A2:I112,9,FALSE)="Thunder",Backdoors!BD35,IF(VLOOKUP(tbMoveset!A30,tbMoveset!A2:I112,9,FALSE)="Ice",Backdoors!BE35,IF(VLOOKUP(tbMoveset!A30,tbMoveset!A2:I112,9,FALSE)="Dragon",Backdoors!BF35,Backdoors!BG35)))))/100,Backdoors!BG35/100),"")</f>
        <v>0</v>
      </c>
      <c r="HT30" s="49">
        <f>IFERROR(IF(VLOOKUP(A30,tbMoveset!A2:J112,10,FALSE)=TRUE,IF((Backdoors!AI12+IF(HR30&gt;=0.45,VLOOKUP(Calculator!E23,tbSkills!DH3:DI6,2,FALSE)+IF(AND(Calculator!B8=TRUE,Backdoors!BI35=TRUE),VLOOKUP(Calculator!E23,tbSkills!DH3:DJ6,3,FALSE),0),0))&gt;=0,1+(Backdoors!AL2*(IF((Backdoors!AI12+IF(HR30&gt;=0.45,VLOOKUP(Calculator!E23,tbSkills!DH3:DI6,2,FALSE)+IF(AND(Calculator!B8=TRUE,Backdoors!BI35=TRUE),VLOOKUP(Calculator!E23,tbSkills!DH3:DJ6,3,FALSE),0),0))&gt;=100,100,(Backdoors!AI12+IF(HR30&gt;=0.45,VLOOKUP(Calculator!E23,tbSkills!DH3:DI6,2,FALSE)+IF(AND(Calculator!B8=TRUE,Backdoors!BI35=TRUE),VLOOKUP(Calculator!E23,tbSkills!DH3:DJ6,3,FALSE),0),0)))/100)),(1-(0.25*((-Backdoors!AI12-IF(HR30&gt;=0.45,VLOOKUP(Calculator!E23,tbSkills!DH3:DI6,2,FALSE)+IF(AND(Calculator!B8=TRUE,Backdoors!BI35=TRUE),VLOOKUP(Calculator!E23,tbSkills!DH3:DJ6,3,FALSE),0),0))/100)))),1),"")</f>
        <v>1</v>
      </c>
      <c r="HU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R30)*HT30)*(VLOOKUP(A30,tbMoveset!A2:C112,3,FALSE)/100)*IF(VLOOKUP(A30,tbMoveset!A2:B112,2,FALSE)="Projectile",Backdoors!N10,Backdoors!N9),0),"")</f>
        <v/>
      </c>
      <c r="HV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R30&gt;=0.45,VLOOKUP(Calculator!E23,tbSkills!DH3:DI6,2,FALSE)+IF(AND(Calculator!B8=TRUE,Backdoors!BI35=TRUE),VLOOKUP(Calculator!E23,tbSkills!DH3:DJ6,3,FALSE),0),0))&gt;=100,100,(Backdoors!AI12+IF(HR30&gt;=0.45,VLOOKUP(Calculator!E23,tbSkills!DH3:DI6,2,FALSE)+IF(AND(Calculator!B8=TRUE,Backdoors!BI35=TRUE),VLOOKUP(Calculator!E23,tbSkills!DH3:DJ6,3,FALSE),0),0)))/100)),1))*IF(VLOOKUP(A30,tbMoveset!A2:K112,11,FALSE)=TRUE,Backdoors!AC5,1))*HS30,0),"")</f>
        <v>0</v>
      </c>
      <c r="HW30" s="49">
        <f>VLOOKUP(A30,tbMoveset!A2:G112,7,FALSE)*IFERROR(IF(Backdoors!AI12&gt;=0,1+(IF(Calculator!E40&gt;0,VLOOKUP(Calculator!E40,tbSkills!AI3:AJ5,2,FALSE),Backdoors!AL4)*(IF((Backdoors!AI12+IF(HR30&gt;=0.45,VLOOKUP(Calculator!E23,tbSkills!DH3:DI6,2,FALSE)+IF(AND(Calculator!B8=TRUE,Backdoors!BI35=TRUE),VLOOKUP(Calculator!E23,tbSkills!DH3:DJ6,3,FALSE),0),0))&gt;=100,100,(Backdoors!AI12+IF(HR30&gt;=0.45,VLOOKUP(Calculator!E23,tbSkills!DH3:DI6,2,FALSE)+IF(AND(Calculator!B8=TRUE,Backdoors!BI35=TRUE),VLOOKUP(Calculator!E23,tbSkills!DH3:DJ6,3,FALSE),0),0)))/100)),1),1)</f>
        <v>0.6</v>
      </c>
      <c r="HX30" s="87">
        <f t="shared" si="25"/>
        <v>0</v>
      </c>
      <c r="HY30" s="86" t="str">
        <f>IFERROR(IF(VLOOKUP(A30,tbMoveset!A2:B112,2,FALSE)="Sever",Backdoors!AY36/100,IF(VLOOKUP(A30,tbMoveset!A2:B112,2,FALSE)="Blunt",Backdoors!AZ36/100,Backdoors!BA36/100)),"")</f>
        <v/>
      </c>
      <c r="HZ30" s="49">
        <f>IFERROR(IF(VLOOKUP(tbMoveset!A30,tbMoveset!A2:H112,8,FALSE)="Other",IF(VLOOKUP(tbMoveset!A30,tbMoveset!A2:I112,9,FALSE)="Fire",Backdoors!BB36,IF(VLOOKUP(tbMoveset!A30,tbMoveset!A2:I112,9,FALSE)="Water",Backdoors!BC36,IF(VLOOKUP(tbMoveset!A30,tbMoveset!A2:I112,9,FALSE)="Thunder",Backdoors!BD36,IF(VLOOKUP(tbMoveset!A30,tbMoveset!A2:I112,9,FALSE)="Ice",Backdoors!BE36,IF(VLOOKUP(tbMoveset!A30,tbMoveset!A2:I112,9,FALSE)="Dragon",Backdoors!BF36,Backdoors!BG36)))))/100,Backdoors!BG36/100),"")</f>
        <v>0</v>
      </c>
      <c r="IA30" s="49">
        <f>IFERROR(IF(VLOOKUP(A30,tbMoveset!A2:J112,10,FALSE)=TRUE,IF((Backdoors!AI12+IF(HY30&gt;=0.45,VLOOKUP(Calculator!E23,tbSkills!DH3:DI6,2,FALSE)+IF(AND(Calculator!B8=TRUE,Backdoors!BI36=TRUE),VLOOKUP(Calculator!E23,tbSkills!DH3:DJ6,3,FALSE),0),0))&gt;=0,1+(Backdoors!AL2*(IF((Backdoors!AI12+IF(HY30&gt;=0.45,VLOOKUP(Calculator!E23,tbSkills!DH3:DI6,2,FALSE)+IF(AND(Calculator!B8=TRUE,Backdoors!BI36=TRUE),VLOOKUP(Calculator!E23,tbSkills!DH3:DJ6,3,FALSE),0),0))&gt;=100,100,(Backdoors!AI12+IF(HY30&gt;=0.45,VLOOKUP(Calculator!E23,tbSkills!DH3:DI6,2,FALSE)+IF(AND(Calculator!B8=TRUE,Backdoors!BI36=TRUE),VLOOKUP(Calculator!E23,tbSkills!DH3:DJ6,3,FALSE),0),0)))/100)),(1-(0.25*((-Backdoors!AI12-IF(HY30&gt;=0.45,VLOOKUP(Calculator!E23,tbSkills!DH3:DI6,2,FALSE)+IF(AND(Calculator!B8=TRUE,Backdoors!BI36=TRUE),VLOOKUP(Calculator!E23,tbSkills!DH3:DJ6,3,FALSE),0),0))/100)))),1),"")</f>
        <v>1</v>
      </c>
      <c r="IB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Y30)*IA30)*(VLOOKUP(A30,tbMoveset!A2:C112,3,FALSE)/100)*IF(VLOOKUP(A30,tbMoveset!A2:B112,2,FALSE)="Projectile",Backdoors!N10,Backdoors!N9),0),"")</f>
        <v/>
      </c>
      <c r="IC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Y30&gt;=0.45,VLOOKUP(Calculator!E23,tbSkills!DH3:DI6,2,FALSE)+IF(AND(Calculator!B8=TRUE,Backdoors!BI36=TRUE),VLOOKUP(Calculator!E23,tbSkills!DH3:DJ6,3,FALSE),0),0))&gt;=100,100,(Backdoors!AI12+IF(HY30&gt;=0.45,VLOOKUP(Calculator!E23,tbSkills!DH3:DI6,2,FALSE)+IF(AND(Calculator!B8=TRUE,Backdoors!BI36=TRUE),VLOOKUP(Calculator!E23,tbSkills!DH3:DJ6,3,FALSE),0),0)))/100)),1))*IF(VLOOKUP(A30,tbMoveset!A2:K112,11,FALSE)=TRUE,Backdoors!AC5,1))*HZ30,0),"")</f>
        <v>0</v>
      </c>
      <c r="ID30" s="49">
        <f>VLOOKUP(A30,tbMoveset!A2:G112,7,FALSE)*IFERROR(IF(Backdoors!AI12&gt;=0,1+(IF(Calculator!E40&gt;0,VLOOKUP(Calculator!E40,tbSkills!AI3:AJ5,2,FALSE),Backdoors!AL4)*(IF((Backdoors!AI12+IF(HY30&gt;=0.45,VLOOKUP(Calculator!E23,tbSkills!DH3:DI6,2,FALSE)+IF(AND(Calculator!B8=TRUE,Backdoors!BI36=TRUE),VLOOKUP(Calculator!E23,tbSkills!DH3:DJ6,3,FALSE),0),0))&gt;=100,100,(Backdoors!AI12+IF(HY30&gt;=0.45,VLOOKUP(Calculator!E23,tbSkills!DH3:DI6,2,FALSE)+IF(AND(Calculator!B8=TRUE,Backdoors!BI36=TRUE),VLOOKUP(Calculator!E23,tbSkills!DH3:DJ6,3,FALSE),0),0)))/100)),1),1)</f>
        <v>0.6</v>
      </c>
      <c r="IE30" s="87">
        <f t="shared" si="26"/>
        <v>0</v>
      </c>
      <c r="IF30" s="86" t="str">
        <f>IFERROR(IF(VLOOKUP(A30,tbMoveset!A2:B112,2,FALSE)="Sever",Backdoors!AY37/100,IF(VLOOKUP(A30,tbMoveset!A2:B112,2,FALSE)="Blunt",Backdoors!AZ37/100,Backdoors!BA37/100)),"")</f>
        <v/>
      </c>
      <c r="IG30" s="49">
        <f>IFERROR(IF(VLOOKUP(tbMoveset!A30,tbMoveset!A2:H112,8,FALSE)="Other",IF(VLOOKUP(tbMoveset!A30,tbMoveset!A2:I112,9,FALSE)="Fire",Backdoors!BB37,IF(VLOOKUP(tbMoveset!A30,tbMoveset!A2:I112,9,FALSE)="Water",Backdoors!BC37,IF(VLOOKUP(tbMoveset!A30,tbMoveset!A2:I112,9,FALSE)="Thunder",Backdoors!BD37,IF(VLOOKUP(tbMoveset!A30,tbMoveset!A2:I112,9,FALSE)="Ice",Backdoors!BE37,IF(VLOOKUP(tbMoveset!A30,tbMoveset!A2:I112,9,FALSE)="Dragon",Backdoors!BF37,Backdoors!BG37)))))/100,Backdoors!BG37/100),"")</f>
        <v>0</v>
      </c>
      <c r="IH30" s="49">
        <f>IFERROR(IF(VLOOKUP(A30,tbMoveset!A2:J112,10,FALSE)=TRUE,IF((Backdoors!AI12+IF(IF30&gt;=0.45,VLOOKUP(Calculator!E23,tbSkills!DH3:DI6,2,FALSE)+IF(AND(Calculator!B8=TRUE,Backdoors!BI37=TRUE),VLOOKUP(Calculator!E23,tbSkills!DH3:DJ6,3,FALSE),0),0))&gt;=0,1+(Backdoors!AL2*(IF((Backdoors!AI12+IF(IF30&gt;=0.45,VLOOKUP(Calculator!E23,tbSkills!DH3:DI6,2,FALSE)+IF(AND(Calculator!B8=TRUE,Backdoors!BI37=TRUE),VLOOKUP(Calculator!E23,tbSkills!DH3:DJ6,3,FALSE),0),0))&gt;=100,100,(Backdoors!AI12+IF(IF30&gt;=0.45,VLOOKUP(Calculator!E23,tbSkills!DH3:DI6,2,FALSE)+IF(AND(Calculator!B8=TRUE,Backdoors!BI37=TRUE),VLOOKUP(Calculator!E23,tbSkills!DH3:DJ6,3,FALSE),0),0)))/100)),(1-(0.25*((-Backdoors!AI12-IF(IF30&gt;=0.45,VLOOKUP(Calculator!E23,tbSkills!DH3:DI6,2,FALSE)+IF(AND(Calculator!B8=TRUE,Backdoors!BI37=TRUE),VLOOKUP(Calculator!E23,tbSkills!DH3:DJ6,3,FALSE),0),0))/100)))),1),"")</f>
        <v>1</v>
      </c>
      <c r="II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F30)*IH30)*(VLOOKUP(A30,tbMoveset!A2:C112,3,FALSE)/100)*IF(VLOOKUP(A30,tbMoveset!A2:B112,2,FALSE)="Projectile",Backdoors!N10,Backdoors!N9),0),"")</f>
        <v/>
      </c>
      <c r="IJ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IF30&gt;=0.45,VLOOKUP(Calculator!E23,tbSkills!DH3:DI6,2,FALSE)+IF(AND(Calculator!B8=TRUE,Backdoors!BI37=TRUE),VLOOKUP(Calculator!E23,tbSkills!DH3:DJ6,3,FALSE),0),0))&gt;=100,100,(Backdoors!AI12+IF(IF30&gt;=0.45,VLOOKUP(Calculator!E23,tbSkills!DH3:DI6,2,FALSE)+IF(AND(Calculator!B8=TRUE,Backdoors!BI37=TRUE),VLOOKUP(Calculator!E23,tbSkills!DH3:DJ6,3,FALSE),0),0)))/100)),1))*IF(VLOOKUP(A30,tbMoveset!A2:K112,11,FALSE)=TRUE,Backdoors!AC5,1))*IG30,0),"")</f>
        <v>0</v>
      </c>
      <c r="IK30" s="49">
        <f>VLOOKUP(A30,tbMoveset!A2:G112,7,FALSE)*IFERROR(IF(Backdoors!AI12&gt;=0,1+(IF(Calculator!E40&gt;0,VLOOKUP(Calculator!E40,tbSkills!AI3:AJ5,2,FALSE),Backdoors!AL4)*(IF((Backdoors!AI12+IF(IF30&gt;=0.45,VLOOKUP(Calculator!E23,tbSkills!DH3:DI6,2,FALSE)+IF(AND(Calculator!B8=TRUE,Backdoors!BI37=TRUE),VLOOKUP(Calculator!E23,tbSkills!DH3:DJ6,3,FALSE),0),0))&gt;=100,100,(Backdoors!AI12+IF(IF30&gt;=0.45,VLOOKUP(Calculator!E23,tbSkills!DH3:DI6,2,FALSE)+IF(AND(Calculator!B8=TRUE,Backdoors!BI37=TRUE),VLOOKUP(Calculator!E23,tbSkills!DH3:DJ6,3,FALSE),0),0)))/100)),1),1)</f>
        <v>0.6</v>
      </c>
      <c r="IL30" s="87">
        <f t="shared" si="27"/>
        <v>0</v>
      </c>
      <c r="IM30" s="86" t="str">
        <f>IFERROR(IF(VLOOKUP(A30,tbMoveset!A2:B112,2,FALSE)="Sever",Backdoors!AY38/100,IF(VLOOKUP(A30,tbMoveset!A2:B112,2,FALSE)="Blunt",Backdoors!AZ38/100,Backdoors!BA38/100)),"")</f>
        <v/>
      </c>
      <c r="IN30" s="49">
        <f>IFERROR(IF(VLOOKUP(tbMoveset!A30,tbMoveset!A2:H112,8,FALSE)="Other",IF(VLOOKUP(tbMoveset!A30,tbMoveset!A2:I112,9,FALSE)="Fire",Backdoors!BB38,IF(VLOOKUP(tbMoveset!A30,tbMoveset!A2:I112,9,FALSE)="Water",Backdoors!BC38,IF(VLOOKUP(tbMoveset!A30,tbMoveset!A2:I112,9,FALSE)="Thunder",Backdoors!BD38,IF(VLOOKUP(tbMoveset!A30,tbMoveset!A2:I112,9,FALSE)="Ice",Backdoors!BE38,IF(VLOOKUP(tbMoveset!A30,tbMoveset!A2:I112,9,FALSE)="Dragon",Backdoors!BF38,Backdoors!BG38)))))/100,Backdoors!BG38/100),"")</f>
        <v>0</v>
      </c>
      <c r="IO30" s="49">
        <f>IFERROR(IF(VLOOKUP(A30,tbMoveset!A2:J112,10,FALSE)=TRUE,IF((Backdoors!AI12+IF(IM30&gt;=0.45,VLOOKUP(Calculator!E23,tbSkills!DH3:DI6,2,FALSE)+IF(AND(Calculator!B8=TRUE,Backdoors!BI38=TRUE),VLOOKUP(Calculator!E23,tbSkills!DH3:DJ6,3,FALSE),0),0))&gt;=0,1+(Backdoors!AL2*(IF((Backdoors!AI12+IF(IM30&gt;=0.45,VLOOKUP(Calculator!E23,tbSkills!DH3:DI6,2,FALSE)+IF(AND(Calculator!B8=TRUE,Backdoors!BI38=TRUE),VLOOKUP(Calculator!E23,tbSkills!DH3:DJ6,3,FALSE),0),0))&gt;=100,100,(Backdoors!AI12+IF(IM30&gt;=0.45,VLOOKUP(Calculator!E23,tbSkills!DH3:DI6,2,FALSE)+IF(AND(Calculator!B8=TRUE,Backdoors!BI38=TRUE),VLOOKUP(Calculator!E23,tbSkills!DH3:DJ6,3,FALSE),0),0)))/100)),(1-(0.25*((-Backdoors!AI12-IF(IM30&gt;=0.45,VLOOKUP(Calculator!E23,tbSkills!DH3:DI6,2,FALSE)+IF(AND(Calculator!B8=TRUE,Backdoors!BI38=TRUE),VLOOKUP(Calculator!E23,tbSkills!DH3:DJ6,3,FALSE),0),0))/100)))),1),"")</f>
        <v>1</v>
      </c>
      <c r="IP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M30)*IO30)*(VLOOKUP(A30,tbMoveset!A2:C112,3,FALSE)/100)*IF(VLOOKUP(A30,tbMoveset!A2:B112,2,FALSE)="Projectile",Backdoors!N10,Backdoors!N9),0),"")</f>
        <v/>
      </c>
      <c r="IQ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IM30&gt;=0.45,VLOOKUP(Calculator!E23,tbSkills!DH3:DI6,2,FALSE)+IF(AND(Calculator!B8=TRUE,Backdoors!BI38=TRUE),VLOOKUP(Calculator!E23,tbSkills!DH3:DJ6,3,FALSE),0),0))&gt;=100,100,(Backdoors!AI12+IF(IM30&gt;=0.45,VLOOKUP(Calculator!E23,tbSkills!DH3:DI6,2,FALSE)+IF(AND(Calculator!B8=TRUE,Backdoors!BI38=TRUE),VLOOKUP(Calculator!E23,tbSkills!DH3:DJ6,3,FALSE),0),0)))/100)),1))*IF(VLOOKUP(A30,tbMoveset!A2:K112,11,FALSE)=TRUE,Backdoors!AC5,1))*IN30,0),"")</f>
        <v>0</v>
      </c>
      <c r="IR30" s="49">
        <f>VLOOKUP(A30,tbMoveset!A2:G112,7,FALSE)*IFERROR(IF(Backdoors!AI12&gt;=0,1+(IF(Calculator!E40&gt;0,VLOOKUP(Calculator!E40,tbSkills!AI3:AJ5,2,FALSE),Backdoors!AL4)*(IF((Backdoors!AI12+IF(IM30&gt;=0.45,VLOOKUP(Calculator!E23,tbSkills!DH3:DI6,2,FALSE)+IF(AND(Calculator!B8=TRUE,Backdoors!BI38=TRUE),VLOOKUP(Calculator!E23,tbSkills!DH3:DJ6,3,FALSE),0),0))&gt;=100,100,(Backdoors!AI12+IF(IM30&gt;=0.45,VLOOKUP(Calculator!E23,tbSkills!DH3:DI6,2,FALSE)+IF(AND(Calculator!B8=TRUE,Backdoors!BI38=TRUE),VLOOKUP(Calculator!E23,tbSkills!DH3:DJ6,3,FALSE),0),0)))/100)),1),1)</f>
        <v>0.6</v>
      </c>
      <c r="IS30" s="87">
        <f t="shared" si="42"/>
        <v>0</v>
      </c>
      <c r="IT30" s="86" t="str">
        <f>IFERROR(IF(VLOOKUP(A30,tbMoveset!A2:B112,2,FALSE)="Sever",Backdoors!AY39/100,IF(VLOOKUP(A30,tbMoveset!A2:B112,2,FALSE)="Blunt",Backdoors!AZ39/100,Backdoors!BA39/100)),"")</f>
        <v/>
      </c>
      <c r="IU30" s="49">
        <f>IFERROR(IF(VLOOKUP(tbMoveset!A30,tbMoveset!A2:H112,8,FALSE)="Other",IF(VLOOKUP(tbMoveset!A30,tbMoveset!A2:I112,9,FALSE)="Fire",Backdoors!BB39,IF(VLOOKUP(tbMoveset!A30,tbMoveset!A2:I112,9,FALSE)="Water",Backdoors!BC39,IF(VLOOKUP(tbMoveset!A30,tbMoveset!A2:I112,9,FALSE)="Thunder",Backdoors!BD39,IF(VLOOKUP(tbMoveset!A30,tbMoveset!A2:I112,9,FALSE)="Ice",Backdoors!BE39,IF(VLOOKUP(tbMoveset!A30,tbMoveset!A2:I112,9,FALSE)="Dragon",Backdoors!BF39,Backdoors!BG39)))))/100,Backdoors!BG39/100),"")</f>
        <v>0</v>
      </c>
      <c r="IV30" s="49">
        <f>IFERROR(IF(VLOOKUP(A30,tbMoveset!A2:J112,10,FALSE)=TRUE,IF((Backdoors!AI12+IF(IT30&gt;=0.45,VLOOKUP(Calculator!E23,tbSkills!DH3:DI6,2,FALSE)+IF(AND(Calculator!B8=TRUE,Backdoors!BI39=TRUE),VLOOKUP(Calculator!E23,tbSkills!DH3:DJ6,3,FALSE),0),0))&gt;=0,1+(Backdoors!AL2*(IF((Backdoors!AI12+IF(IT30&gt;=0.45,VLOOKUP(Calculator!E23,tbSkills!DH3:DI6,2,FALSE)+IF(AND(Calculator!B8=TRUE,Backdoors!BI39=TRUE),VLOOKUP(Calculator!E23,tbSkills!DH3:DJ6,3,FALSE),0),0))&gt;=100,100,(Backdoors!AI12+IF(IT30&gt;=0.45,VLOOKUP(Calculator!E23,tbSkills!DH3:DI6,2,FALSE)+IF(AND(Calculator!B8=TRUE,Backdoors!BI39=TRUE),VLOOKUP(Calculator!E23,tbSkills!DH3:DJ6,3,FALSE),0),0)))/100)),(1-(0.25*((-Backdoors!AI12-IF(IT30&gt;=0.45,VLOOKUP(Calculator!E23,tbSkills!DH3:DI6,2,FALSE)+IF(AND(Calculator!B8=TRUE,Backdoors!BI39=TRUE),VLOOKUP(Calculator!E23,tbSkills!DH3:DJ6,3,FALSE),0),0))/100)))),1),"")</f>
        <v>1</v>
      </c>
      <c r="IW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T30)*IV30)*(VLOOKUP(A30,tbMoveset!A2:C112,3,FALSE)/100)*IF(VLOOKUP(A30,tbMoveset!A2:B112,2,FALSE)="Projectile",Backdoors!N10,Backdoors!N9),0),"")</f>
        <v/>
      </c>
      <c r="IX30" s="49">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40&gt;0,VLOOKUP(Calculator!E40,tbSkills!AC3:AD5,2,FALSE),Backdoors!AL3)*(IF((Backdoors!AI12+IF(IT30&gt;=0.45,VLOOKUP(Calculator!E23,tbSkills!DH3:DI6,2,FALSE)+IF(AND(Calculator!B8=TRUE,Backdoors!BI39=TRUE),VLOOKUP(Calculator!E23,tbSkills!DH3:DJ6,3,FALSE),0),0))&gt;=100,100,(Backdoors!AI12+IF(IT30&gt;=0.45,VLOOKUP(Calculator!E23,tbSkills!DH3:DI6,2,FALSE)+IF(AND(Calculator!B8=TRUE,Backdoors!BI39=TRUE),VLOOKUP(Calculator!E23,tbSkills!DH3:DJ6,3,FALSE),0),0)))/100)),1))*IF(VLOOKUP(A30,tbMoveset!A2:K112,11,FALSE)=TRUE,Backdoors!AC5,1))*IU30,0),"")</f>
        <v>0</v>
      </c>
      <c r="IY30" s="49">
        <f>VLOOKUP(A30,tbMoveset!A2:G112,7,FALSE)*IFERROR(IF(Backdoors!AI12&gt;=0,1+(IF(Calculator!E40&gt;0,VLOOKUP(Calculator!E40,tbSkills!AI3:AJ5,2,FALSE),Backdoors!AL4)*(IF((Backdoors!AI12+IF(IT30&gt;=0.45,VLOOKUP(Calculator!E23,tbSkills!DH3:DI6,2,FALSE)+IF(AND(Calculator!B8=TRUE,Backdoors!BI39=TRUE),VLOOKUP(Calculator!E23,tbSkills!DH3:DJ6,3,FALSE),0),0))&gt;=100,100,(Backdoors!AI12+IF(IT30&gt;=0.45,VLOOKUP(Calculator!E23,tbSkills!DH3:DI6,2,FALSE)+IF(AND(Calculator!B8=TRUE,Backdoors!BI39=TRUE),VLOOKUP(Calculator!E23,tbSkills!DH3:DJ6,3,FALSE),0),0)))/100)),1),1)</f>
        <v>0.6</v>
      </c>
      <c r="IZ30" s="87">
        <f t="shared" si="28"/>
        <v>0</v>
      </c>
      <c r="JA30" s="86" t="str">
        <f>IFERROR(IF(VLOOKUP(A30,tbMoveset!A2:B112,2,FALSE)="Sever",Backdoors!AY40/100,IF(VLOOKUP(A30,tbMoveset!A2:B112,2,FALSE)="Blunt",Backdoors!AZ40/100,Backdoors!BA40/100)),"")</f>
        <v/>
      </c>
      <c r="JB30" s="49">
        <f>IFERROR(IF(VLOOKUP(tbMoveset!A30,tbMoveset!A2:H112,8,FALSE)="Other",IF(VLOOKUP(tbMoveset!A30,tbMoveset!A2:I112,9,FALSE)="Fire",Backdoors!BB40,IF(VLOOKUP(tbMoveset!A30,tbMoveset!A2:I112,9,FALSE)="Water",Backdoors!BC40,IF(VLOOKUP(tbMoveset!A30,tbMoveset!A2:I112,9,FALSE)="Thunder",Backdoors!BD40,IF(VLOOKUP(tbMoveset!A30,tbMoveset!A2:I112,9,FALSE)="Ice",Backdoors!BE40,IF(VLOOKUP(tbMoveset!A30,tbMoveset!A2:I112,9,FALSE)="Dragon",Backdoors!BF40,Backdoors!BG40)))))/100,Backdoors!BG40/100),"")</f>
        <v>0</v>
      </c>
      <c r="JC30" s="49">
        <f>IFERROR(IF(VLOOKUP(A30,tbMoveset!A2:J112,10,FALSE)=TRUE,IF((Backdoors!AI12+IF(JA30&gt;=0.45,VLOOKUP(Calculator!E23,tbSkills!DH3:DI6,2,FALSE)+IF(AND(Calculator!B8=TRUE,Backdoors!BI40=TRUE),VLOOKUP(Calculator!E23,tbSkills!DH3:DJ6,3,FALSE),0),0))&gt;=0,1+(Backdoors!AL2*(IF((Backdoors!AI12+IF(JA30&gt;=0.45,VLOOKUP(Calculator!E23,tbSkills!DH3:DI6,2,FALSE)+IF(AND(Calculator!B8=TRUE,Backdoors!BI40=TRUE),VLOOKUP(Calculator!E23,tbSkills!DH3:DJ6,3,FALSE),0),0))&gt;=100,100,(Backdoors!AI12+IF(JA30&gt;=0.45,VLOOKUP(Calculator!E23,tbSkills!DH3:DI6,2,FALSE)+IF(AND(Calculator!B8=TRUE,Backdoors!BI40=TRUE),VLOOKUP(Calculator!E23,tbSkills!DH3:DJ6,3,FALSE),0),0)))/100)),(1-(0.25*((-Backdoors!AI12-IF(JA30&gt;=0.45,VLOOKUP(Calculator!E23,tbSkills!DH3:DI6,2,FALSE)+IF(AND(Calculator!B8=TRUE,Backdoors!BI40=TRUE),VLOOKUP(Calculator!E23,tbSkills!DH3:DJ6,3,FALSE),0),0))/100)))),1),"")</f>
        <v>1</v>
      </c>
      <c r="JD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A30)*JC30)*(VLOOKUP(A30,tbMoveset!A2:C112,3,FALSE)/100)*IF(VLOOKUP(A30,tbMoveset!A2:B112,2,FALSE)="Projectile",Backdoors!N10,Backdoors!N9),0),"")</f>
        <v/>
      </c>
      <c r="JE30" s="49">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42&gt;0,VLOOKUP(Calculator!E42,tbSkills!AC3:AD5,2,FALSE),Backdoors!AL3)*(IF((Backdoors!AI12+IF(JA30&gt;=0.45,VLOOKUP(Calculator!E23,tbSkills!DH3:DI6,2,FALSE)+IF(AND(Calculator!B8=TRUE,Backdoors!BI40=TRUE),VLOOKUP(Calculator!E23,tbSkills!DH3:DJ6,3,FALSE),0),0))&gt;=100,100,(Backdoors!AI12+IF(JA30&gt;=0.45,VLOOKUP(Calculator!E23,tbSkills!DH3:DI6,2,FALSE)+IF(AND(Calculator!B8=TRUE,Backdoors!BI40=TRUE),VLOOKUP(Calculator!E23,tbSkills!DH3:DJ6,3,FALSE),0),0)))/100)),1))*IF(VLOOKUP(A30,tbMoveset!A2:K112,11,FALSE)=TRUE,Backdoors!AC5,1))*JB30,0),"")</f>
        <v>0</v>
      </c>
      <c r="JF30" s="49">
        <f>VLOOKUP(A30,tbMoveset!A2:G112,7,FALSE)*IFERROR(IF(Backdoors!AI12&gt;=0,1+(IF(Calculator!E40&gt;0,VLOOKUP(Calculator!E40,tbSkills!AI3:AJ5,2,FALSE),Backdoors!AL4)*(IF((Backdoors!AI12+IF(JA30&gt;=0.45,VLOOKUP(Calculator!E23,tbSkills!DH3:DI6,2,FALSE)+IF(AND(Calculator!B8=TRUE,Backdoors!BI40=TRUE),VLOOKUP(Calculator!E23,tbSkills!DH3:DJ6,3,FALSE),0),0))&gt;=100,100,(Backdoors!AI12+IF(JA30&gt;=0.45,VLOOKUP(Calculator!E23,tbSkills!DH3:DI6,2,FALSE)+IF(AND(Calculator!B8=TRUE,Backdoors!BI40=TRUE),VLOOKUP(Calculator!E23,tbSkills!DH3:DJ6,3,FALSE),0),0)))/100)),1),1)</f>
        <v>0.6</v>
      </c>
      <c r="JG30" s="87">
        <f t="shared" si="29"/>
        <v>0</v>
      </c>
      <c r="JH30" s="86" t="str">
        <f>IFERROR(IF(VLOOKUP(A30,tbMoveset!A2:B112,2,FALSE)="Sever",Backdoors!AY41/100,IF(VLOOKUP(A30,tbMoveset!A2:B112,2,FALSE)="Blunt",Backdoors!AZ41/100,Backdoors!BA41/100)),"")</f>
        <v/>
      </c>
      <c r="JI30" s="49">
        <f>IFERROR(IF(VLOOKUP(tbMoveset!A30,tbMoveset!A2:H112,8,FALSE)="Other",IF(VLOOKUP(tbMoveset!A30,tbMoveset!A2:I112,9,FALSE)="Fire",Backdoors!BB41,IF(VLOOKUP(tbMoveset!A30,tbMoveset!A2:I112,9,FALSE)="Water",Backdoors!BC41,IF(VLOOKUP(tbMoveset!A30,tbMoveset!A2:I112,9,FALSE)="Thunder",Backdoors!BD41,IF(VLOOKUP(tbMoveset!A30,tbMoveset!A2:I112,9,FALSE)="Ice",Backdoors!BE41,IF(VLOOKUP(tbMoveset!A30,tbMoveset!A2:I112,9,FALSE)="Dragon",Backdoors!BF41,Backdoors!BG41)))))/100,Backdoors!BG41/100),"")</f>
        <v>0</v>
      </c>
      <c r="JJ30" s="49">
        <f>IFERROR(IF(VLOOKUP(A30,tbMoveset!A2:J112,10,FALSE)=TRUE,IF((Backdoors!AI12+IF(JH30&gt;=0.45,VLOOKUP(Calculator!E23,tbSkills!DH3:DI6,2,FALSE)+IF(AND(Calculator!B8=TRUE,Backdoors!BI41=TRUE),VLOOKUP(Calculator!E23,tbSkills!DH3:DJ6,3,FALSE),0),0))&gt;=0,1+(Backdoors!AL2*(IF((Backdoors!AI12+IF(JH30&gt;=0.45,VLOOKUP(Calculator!E23,tbSkills!DH3:DI6,2,FALSE)+IF(AND(Calculator!B8=TRUE,Backdoors!BI41=TRUE),VLOOKUP(Calculator!E23,tbSkills!DH3:DJ6,3,FALSE),0),0))&gt;=100,100,(Backdoors!AI12+IF(JH30&gt;=0.45,VLOOKUP(Calculator!E23,tbSkills!DH3:DI6,2,FALSE)+IF(AND(Calculator!B8=TRUE,Backdoors!BI41=TRUE),VLOOKUP(Calculator!E23,tbSkills!DH3:DJ6,3,FALSE),0),0)))/100)),(1-(0.25*((-Backdoors!AI12-IF(JH30&gt;=0.45,VLOOKUP(Calculator!E23,tbSkills!DH3:DI6,2,FALSE)+IF(AND(Calculator!B8=TRUE,Backdoors!BI41=TRUE),VLOOKUP(Calculator!E23,tbSkills!DH3:DJ6,3,FALSE),0),0))/100)))),1),"")</f>
        <v>1</v>
      </c>
      <c r="JK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H30)*JJ30)*(VLOOKUP(A30,tbMoveset!A2:C112,3,FALSE)/100)*IF(VLOOKUP(A30,tbMoveset!A2:B112,2,FALSE)="Projectile",Backdoors!N10,Backdoors!N9),0),"")</f>
        <v/>
      </c>
      <c r="JL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43&gt;0,VLOOKUP(Calculator!E43,tbSkills!AC3:AD5,2,FALSE),Backdoors!AL3)*(IF((Backdoors!AI12+IF(JH30&gt;=0.45,VLOOKUP(Calculator!E23,tbSkills!DH3:DI6,2,FALSE)+IF(AND(Calculator!B8=TRUE,Backdoors!BI41=TRUE),VLOOKUP(Calculator!E23,tbSkills!DH3:DJ6,3,FALSE),0),0))&gt;=100,100,(Backdoors!AI12+IF(JH30&gt;=0.45,VLOOKUP(Calculator!E23,tbSkills!DH3:DI6,2,FALSE)+IF(AND(Calculator!B8=TRUE,Backdoors!BI41=TRUE),VLOOKUP(Calculator!E23,tbSkills!DH3:DJ6,3,FALSE),0),0)))/100)),1))*IF(VLOOKUP(A30,tbMoveset!A2:K112,11,FALSE)=TRUE,Backdoors!AC5,1))*JI30,0),"")</f>
        <v/>
      </c>
      <c r="JM30" s="49">
        <f>VLOOKUP(A30,tbMoveset!A2:G112,7,FALSE)*IFERROR(IF(Backdoors!AI12&gt;=0,1+(IF(Calculator!E40&gt;0,VLOOKUP(Calculator!E40,tbSkills!AI3:AJ5,2,FALSE),Backdoors!AL4)*(IF((Backdoors!AI12+IF(JH30&gt;=0.45,VLOOKUP(Calculator!E23,tbSkills!DH3:DI6,2,FALSE)+IF(AND(Calculator!B8=TRUE,Backdoors!BI41=TRUE),VLOOKUP(Calculator!E23,tbSkills!DH3:DJ6,3,FALSE),0),0))&gt;=100,100,(Backdoors!AI12+IF(JH30&gt;=0.45,VLOOKUP(Calculator!E23,tbSkills!DH3:DI6,2,FALSE)+IF(AND(Calculator!B8=TRUE,Backdoors!BI41=TRUE),VLOOKUP(Calculator!E23,tbSkills!DH3:DJ6,3,FALSE),0),0)))/100)),1),1)</f>
        <v>0.6</v>
      </c>
      <c r="JN30" s="87">
        <f t="shared" si="30"/>
        <v>0</v>
      </c>
      <c r="JO30" s="86" t="str">
        <f>IFERROR(IF(VLOOKUP(A30,tbMoveset!A2:B112,2,FALSE)="Sever",Backdoors!AY42/100,IF(VLOOKUP(A30,tbMoveset!A2:B112,2,FALSE)="Blunt",Backdoors!AZ42/100,Backdoors!BA42/100)),"")</f>
        <v/>
      </c>
      <c r="JP30" s="49">
        <f>IFERROR(IF(VLOOKUP(tbMoveset!A30,tbMoveset!A2:H112,8,FALSE)="Other",IF(VLOOKUP(tbMoveset!A30,tbMoveset!A2:I112,9,FALSE)="Fire",Backdoors!BB42,IF(VLOOKUP(tbMoveset!A30,tbMoveset!A2:I112,9,FALSE)="Water",Backdoors!BC42,IF(VLOOKUP(tbMoveset!A30,tbMoveset!A2:I112,9,FALSE)="Thunder",Backdoors!BD42,IF(VLOOKUP(tbMoveset!A30,tbMoveset!A2:I112,9,FALSE)="Ice",Backdoors!BE42,IF(VLOOKUP(tbMoveset!A30,tbMoveset!A2:I112,9,FALSE)="Dragon",Backdoors!BF42,Backdoors!BG42)))))/100,Backdoors!BG42/100),"")</f>
        <v>0</v>
      </c>
      <c r="JQ30" s="49">
        <f>IFERROR(IF(VLOOKUP(A30,tbMoveset!A2:J112,10,FALSE)=TRUE,IF((Backdoors!AI12+IF(JO30&gt;=0.45,VLOOKUP(Calculator!E23,tbSkills!DH3:DI6,2,FALSE)+IF(AND(Calculator!B8=TRUE,Backdoors!BI42=TRUE),VLOOKUP(Calculator!E23,tbSkills!DH3:DJ6,3,FALSE),0),0))&gt;=0,1+(Backdoors!AL2*(IF((Backdoors!AI12+IF(JO30&gt;=0.45,VLOOKUP(Calculator!E23,tbSkills!DH3:DI6,2,FALSE)+IF(AND(Calculator!B8=TRUE,Backdoors!BI42=TRUE),VLOOKUP(Calculator!E23,tbSkills!DH3:DJ6,3,FALSE),0),0))&gt;=100,100,(Backdoors!AI12+IF(JO30&gt;=0.45,VLOOKUP(Calculator!E23,tbSkills!DH3:DI6,2,FALSE)+IF(AND(Calculator!B8=TRUE,Backdoors!BI42=TRUE),VLOOKUP(Calculator!E23,tbSkills!DH3:DJ6,3,FALSE),0),0)))/100)),(1-(0.25*((-Backdoors!AI12-IF(JO30&gt;=0.45,VLOOKUP(Calculator!E23,tbSkills!DH3:DI6,2,FALSE)+IF(AND(Calculator!B8=TRUE,Backdoors!BI42=TRUE),VLOOKUP(Calculator!E23,tbSkills!DH3:DJ6,3,FALSE),0),0))/100)))),1),"")</f>
        <v>1</v>
      </c>
      <c r="JR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O30)*JQ30)*(VLOOKUP(A30,tbMoveset!A2:C112,3,FALSE)/100)*IF(VLOOKUP(A30,tbMoveset!A2:B112,2,FALSE)="Projectile",Backdoors!N10,Backdoors!N9),0),"")</f>
        <v/>
      </c>
      <c r="JS30" s="49">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45&gt;0,VLOOKUP(Calculator!E45,tbSkills!AC3:AD5,2,FALSE),Backdoors!AL3)*(IF((Backdoors!AI12+IF(JO30&gt;=0.45,VLOOKUP(Calculator!E23,tbSkills!DH3:DI6,2,FALSE)+IF(AND(Calculator!B8=TRUE,Backdoors!BI42=TRUE),VLOOKUP(Calculator!E23,tbSkills!DH3:DJ6,3,FALSE),0),0))&gt;=100,100,(Backdoors!AI12+IF(JO30&gt;=0.45,VLOOKUP(Calculator!E23,tbSkills!DH3:DI6,2,FALSE)+IF(AND(Calculator!B8=TRUE,Backdoors!BI42=TRUE),VLOOKUP(Calculator!E23,tbSkills!DH3:DJ6,3,FALSE),0),0)))/100)),1))*IF(VLOOKUP(A30,tbMoveset!A2:K112,11,FALSE)=TRUE,Backdoors!AC5,1))*JP30,0),"")</f>
        <v>0</v>
      </c>
      <c r="JT30" s="49">
        <f>VLOOKUP(A30,tbMoveset!A2:G112,7,FALSE)*IFERROR(IF(Backdoors!AI12&gt;=0,1+(IF(Calculator!E40&gt;0,VLOOKUP(Calculator!E40,tbSkills!AI3:AJ5,2,FALSE),Backdoors!AL4)*(IF((Backdoors!AI12+IF(JO30&gt;=0.45,VLOOKUP(Calculator!E23,tbSkills!DH3:DI6,2,FALSE)+IF(AND(Calculator!B8=TRUE,Backdoors!BI42=TRUE),VLOOKUP(Calculator!E23,tbSkills!DH3:DJ6,3,FALSE),0),0))&gt;=100,100,(Backdoors!AI12+IF(JO30&gt;=0.45,VLOOKUP(Calculator!E23,tbSkills!DH3:DI6,2,FALSE)+IF(AND(Calculator!B8=TRUE,Backdoors!BI42=TRUE),VLOOKUP(Calculator!E23,tbSkills!DH3:DJ6,3,FALSE),0),0)))/100)),1),1)</f>
        <v>0.6</v>
      </c>
      <c r="JU30" s="87">
        <f t="shared" si="31"/>
        <v>0</v>
      </c>
      <c r="JV30" s="86" t="str">
        <f>IFERROR(IF(VLOOKUP(A30,tbMoveset!A2:B112,2,FALSE)="Sever",Backdoors!AY43/100,IF(VLOOKUP(A30,tbMoveset!A2:B112,2,FALSE)="Blunt",Backdoors!AZ43/100,Backdoors!BA43/100)),"")</f>
        <v/>
      </c>
      <c r="JW30" s="49">
        <f>IFERROR(IF(VLOOKUP(tbMoveset!A30,tbMoveset!A2:H112,8,FALSE)="Other",IF(VLOOKUP(tbMoveset!A30,tbMoveset!A2:I112,9,FALSE)="Fire",Backdoors!BB43,IF(VLOOKUP(tbMoveset!A30,tbMoveset!A2:I112,9,FALSE)="Water",Backdoors!BC43,IF(VLOOKUP(tbMoveset!A30,tbMoveset!A2:I112,9,FALSE)="Thunder",Backdoors!BD43,IF(VLOOKUP(tbMoveset!A30,tbMoveset!A2:I112,9,FALSE)="Ice",Backdoors!BE43,IF(VLOOKUP(tbMoveset!A30,tbMoveset!A2:I112,9,FALSE)="Dragon",Backdoors!BF43,Backdoors!BG43)))))/100,Backdoors!BG43/100),"")</f>
        <v>0</v>
      </c>
      <c r="JX30" s="49">
        <f>IFERROR(IF(VLOOKUP(A30,tbMoveset!A2:J112,10,FALSE)=TRUE,IF((Backdoors!AI12+IF(JV30&gt;=0.45,VLOOKUP(Calculator!E23,tbSkills!DH3:DI6,2,FALSE)+IF(AND(Calculator!B8=TRUE,Backdoors!BI43=TRUE),VLOOKUP(Calculator!E23,tbSkills!DH3:DJ6,3,FALSE),0),0))&gt;=0,1+(Backdoors!AL2*(IF((Backdoors!AI12+IF(JV30&gt;=0.45,VLOOKUP(Calculator!E23,tbSkills!DH3:DI6,2,FALSE)+IF(AND(Calculator!B8=TRUE,Backdoors!BI43=TRUE),VLOOKUP(Calculator!E23,tbSkills!DH3:DJ6,3,FALSE),0),0))&gt;=100,100,(Backdoors!AI12+IF(JV30&gt;=0.45,VLOOKUP(Calculator!E23,tbSkills!DH3:DI6,2,FALSE)+IF(AND(Calculator!B8=TRUE,Backdoors!BI43=TRUE),VLOOKUP(Calculator!E23,tbSkills!DH3:DJ6,3,FALSE),0),0)))/100)),(1-(0.25*((-Backdoors!AI12-IF(JV30&gt;=0.45,VLOOKUP(Calculator!E23,tbSkills!DH3:DI6,2,FALSE)+IF(AND(Calculator!B8=TRUE,Backdoors!BI43=TRUE),VLOOKUP(Calculator!E23,tbSkills!DH3:DJ6,3,FALSE),0),0))/100)))),1),"")</f>
        <v>1</v>
      </c>
      <c r="JY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V30)*JX30)*(VLOOKUP(A30,tbMoveset!A2:C112,3,FALSE)/100)*IF(VLOOKUP(A30,tbMoveset!A2:B112,2,FALSE)="Projectile",Backdoors!N10,Backdoors!N9),0),"")</f>
        <v/>
      </c>
      <c r="JZ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46&gt;0,VLOOKUP(Calculator!E46,tbSkills!AC3:AD5,2,FALSE),Backdoors!AL3)*(IF((Backdoors!AI12+IF(JV30&gt;=0.45,VLOOKUP(Calculator!E23,tbSkills!DH3:DI6,2,FALSE)+IF(AND(Calculator!B8=TRUE,Backdoors!BI43=TRUE),VLOOKUP(Calculator!E23,tbSkills!DH3:DJ6,3,FALSE),0),0))&gt;=100,100,(Backdoors!AI12+IF(JV30&gt;=0.45,VLOOKUP(Calculator!E23,tbSkills!DH3:DI6,2,FALSE)+IF(AND(Calculator!B8=TRUE,Backdoors!BI43=TRUE),VLOOKUP(Calculator!E23,tbSkills!DH3:DJ6,3,FALSE),0),0)))/100)),1))*IF(VLOOKUP(A30,tbMoveset!A2:K112,11,FALSE)=TRUE,Backdoors!AC5,1))*JW30,0),"")</f>
        <v/>
      </c>
      <c r="KA30" s="49">
        <f>VLOOKUP(A30,tbMoveset!A2:G112,7,FALSE)*IFERROR(IF(Backdoors!AI12&gt;=0,1+(IF(Calculator!E40&gt;0,VLOOKUP(Calculator!E40,tbSkills!AI3:AJ5,2,FALSE),Backdoors!AL4)*(IF((Backdoors!AI12+IF(JV30&gt;=0.45,VLOOKUP(Calculator!E23,tbSkills!DH3:DI6,2,FALSE)+IF(AND(Calculator!B8=TRUE,Backdoors!BI43=TRUE),VLOOKUP(Calculator!E23,tbSkills!DH3:DJ6,3,FALSE),0),0))&gt;=100,100,(Backdoors!AI12+IF(JV30&gt;=0.45,VLOOKUP(Calculator!E23,tbSkills!DH3:DI6,2,FALSE)+IF(AND(Calculator!B8=TRUE,Backdoors!BI43=TRUE),VLOOKUP(Calculator!E23,tbSkills!DH3:DJ6,3,FALSE),0),0)))/100)),1),1)</f>
        <v>0.6</v>
      </c>
      <c r="KB30" s="87">
        <f t="shared" si="32"/>
        <v>0</v>
      </c>
      <c r="KC30" s="86" t="str">
        <f>IFERROR(IF(VLOOKUP(A30,tbMoveset!A2:B112,2,FALSE)="Sever",Backdoors!AY44/100,IF(VLOOKUP(A30,tbMoveset!A2:B112,2,FALSE)="Blunt",Backdoors!AZ44/100,Backdoors!BA44/100)),"")</f>
        <v/>
      </c>
      <c r="KD30" s="49">
        <f>IFERROR(IF(VLOOKUP(tbMoveset!A30,tbMoveset!A2:H112,8,FALSE)="Other",IF(VLOOKUP(tbMoveset!A30,tbMoveset!A2:I112,9,FALSE)="Fire",Backdoors!BB44,IF(VLOOKUP(tbMoveset!A30,tbMoveset!A2:I112,9,FALSE)="Water",Backdoors!BC44,IF(VLOOKUP(tbMoveset!A30,tbMoveset!A2:I112,9,FALSE)="Thunder",Backdoors!BD44,IF(VLOOKUP(tbMoveset!A30,tbMoveset!A2:I112,9,FALSE)="Ice",Backdoors!BE44,IF(VLOOKUP(tbMoveset!A30,tbMoveset!A2:I112,9,FALSE)="Dragon",Backdoors!BF44,Backdoors!BG44)))))/100,Backdoors!BG44/100),"")</f>
        <v>0</v>
      </c>
      <c r="KE30" s="49">
        <f>IFERROR(IF(VLOOKUP(A30,tbMoveset!A2:J112,10,FALSE)=TRUE,IF((Backdoors!AI12+IF(KC30&gt;=0.45,VLOOKUP(Calculator!E23,tbSkills!DH3:DI6,2,FALSE)+IF(AND(Calculator!B8=TRUE,Backdoors!BI44=TRUE),VLOOKUP(Calculator!E23,tbSkills!DH3:DJ6,3,FALSE),0),0))&gt;=0,1+(Backdoors!AL2*(IF((Backdoors!AI12+IF(KC30&gt;=0.45,VLOOKUP(Calculator!E23,tbSkills!DH3:DI6,2,FALSE)+IF(AND(Calculator!B8=TRUE,Backdoors!BI44=TRUE),VLOOKUP(Calculator!E23,tbSkills!DH3:DJ6,3,FALSE),0),0))&gt;=100,100,(Backdoors!AI12+IF(KC30&gt;=0.45,VLOOKUP(Calculator!E23,tbSkills!DH3:DI6,2,FALSE)+IF(AND(Calculator!B8=TRUE,Backdoors!BI44=TRUE),VLOOKUP(Calculator!E23,tbSkills!DH3:DJ6,3,FALSE),0),0)))/100)),(1-(0.25*((-Backdoors!AI12-IF(KC30&gt;=0.45,VLOOKUP(Calculator!E23,tbSkills!DH3:DI6,2,FALSE)+IF(AND(Calculator!B8=TRUE,Backdoors!BI44=TRUE),VLOOKUP(Calculator!E23,tbSkills!DH3:DJ6,3,FALSE),0),0))/100)))),1),"")</f>
        <v>1</v>
      </c>
      <c r="KF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KC30)*KE30)*(VLOOKUP(A30,tbMoveset!A2:C112,3,FALSE)/100)*IF(VLOOKUP(A30,tbMoveset!A2:B112,2,FALSE)="Projectile",Backdoors!N10,Backdoors!N9),0),"")</f>
        <v/>
      </c>
      <c r="KG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REF!&gt;0,VLOOKUP(Calculator!#REF!,tbSkills!AC3:AD5,2,FALSE),Backdoors!AL3)*(IF((Backdoors!AI12+IF(KC30&gt;=0.45,VLOOKUP(Calculator!E23,tbSkills!DH3:DI6,2,FALSE)+IF(AND(Calculator!B8=TRUE,Backdoors!BI44=TRUE),VLOOKUP(Calculator!E23,tbSkills!DH3:DJ6,3,FALSE),0),0))&gt;=100,100,(Backdoors!AI12+IF(KC30&gt;=0.45,VLOOKUP(Calculator!E23,tbSkills!DH3:DI6,2,FALSE)+IF(AND(Calculator!B8=TRUE,Backdoors!BI44=TRUE),VLOOKUP(Calculator!E23,tbSkills!DH3:DJ6,3,FALSE),0),0)))/100)),1))*IF(VLOOKUP(A30,tbMoveset!A2:K112,11,FALSE)=TRUE,Backdoors!AC5,1))*KD30,0),"")</f>
        <v/>
      </c>
      <c r="KH30" s="49">
        <f>VLOOKUP(A30,tbMoveset!A2:G112,7,FALSE)*IFERROR(IF(Backdoors!AI12&gt;=0,1+(IF(Calculator!E40&gt;0,VLOOKUP(Calculator!E40,tbSkills!AI3:AJ5,2,FALSE),Backdoors!AL4)*(IF((Backdoors!AI12+IF(KC30&gt;=0.45,VLOOKUP(Calculator!E23,tbSkills!DH3:DI6,2,FALSE)+IF(AND(Calculator!B8=TRUE,Backdoors!BI44=TRUE),VLOOKUP(Calculator!E23,tbSkills!DH3:DJ6,3,FALSE),0),0))&gt;=100,100,(Backdoors!AI12+IF(KC30&gt;=0.45,VLOOKUP(Calculator!E23,tbSkills!DH3:DI6,2,FALSE)+IF(AND(Calculator!B8=TRUE,Backdoors!BI44=TRUE),VLOOKUP(Calculator!E23,tbSkills!DH3:DJ6,3,FALSE),0),0)))/100)),1),1)</f>
        <v>0.6</v>
      </c>
      <c r="KI30" s="87">
        <f t="shared" si="33"/>
        <v>0</v>
      </c>
      <c r="KJ30" s="86" t="str">
        <f>IFERROR(IF(VLOOKUP(A30,tbMoveset!A2:B112,2,FALSE)="Sever",Backdoors!AY45/100,IF(VLOOKUP(A30,tbMoveset!A2:B112,2,FALSE)="Blunt",Backdoors!AZ45/100,Backdoors!BA45/100)),"")</f>
        <v/>
      </c>
      <c r="KK30" s="49">
        <f>IFERROR(IF(VLOOKUP(tbMoveset!A30,tbMoveset!A2:H112,8,FALSE)="Other",IF(VLOOKUP(tbMoveset!A30,tbMoveset!A2:I112,9,FALSE)="Fire",Backdoors!BB45,IF(VLOOKUP(tbMoveset!A30,tbMoveset!A2:I112,9,FALSE)="Water",Backdoors!BC45,IF(VLOOKUP(tbMoveset!A30,tbMoveset!A2:I112,9,FALSE)="Thunder",Backdoors!BD45,IF(VLOOKUP(tbMoveset!A30,tbMoveset!A2:I112,9,FALSE)="Ice",Backdoors!BE45,IF(VLOOKUP(tbMoveset!A30,tbMoveset!A2:I112,9,FALSE)="Dragon",Backdoors!BF45,Backdoors!BG45)))))/100,Backdoors!BG45/100),"")</f>
        <v>0</v>
      </c>
      <c r="KL30" s="49">
        <f>IFERROR(IF(VLOOKUP(A30,tbMoveset!A2:J112,10,FALSE)=TRUE,IF((Backdoors!AI12+IF(KJ30&gt;=0.45,VLOOKUP(Calculator!E23,tbSkills!DH3:DI6,2,FALSE)+IF(AND(Calculator!B8=TRUE,Backdoors!BI45=TRUE),VLOOKUP(Calculator!E23,tbSkills!DH3:DJ6,3,FALSE),0),0))&gt;=0,1+(Backdoors!AL2*(IF((Backdoors!AI12+IF(KJ30&gt;=0.45,VLOOKUP(Calculator!E23,tbSkills!DH3:DI6,2,FALSE)+IF(AND(Calculator!B8=TRUE,Backdoors!BI45=TRUE),VLOOKUP(Calculator!E23,tbSkills!DH3:DJ6,3,FALSE),0),0))&gt;=100,100,(Backdoors!AI12+IF(KJ30&gt;=0.45,VLOOKUP(Calculator!E23,tbSkills!DH3:DI6,2,FALSE)+IF(AND(Calculator!B8=TRUE,Backdoors!BI45=TRUE),VLOOKUP(Calculator!E23,tbSkills!DH3:DJ6,3,FALSE),0),0)))/100)),(1-(0.25*((-Backdoors!AI12-IF(KJ30&gt;=0.45,VLOOKUP(Calculator!E23,tbSkills!DH3:DI6,2,FALSE)+IF(AND(Calculator!B8=TRUE,Backdoors!BI45=TRUE),VLOOKUP(Calculator!E23,tbSkills!DH3:DJ6,3,FALSE),0),0))/100)))),1),"")</f>
        <v>1</v>
      </c>
      <c r="KM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KJ30)*KL30)*(VLOOKUP(A30,tbMoveset!A2:C112,3,FALSE)/100)*IF(VLOOKUP(A30,tbMoveset!A2:B112,2,FALSE)="Projectile",Backdoors!N10,Backdoors!N9),0),"")</f>
        <v/>
      </c>
      <c r="KN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REF!&gt;0,VLOOKUP(Calculator!#REF!,tbSkills!AC3:AD5,2,FALSE),Backdoors!AL3)*(IF((Backdoors!AI12+IF(KJ30&gt;=0.45,VLOOKUP(Calculator!E23,tbSkills!DH3:DI6,2,FALSE)+IF(AND(Calculator!B8=TRUE,Backdoors!BI45=TRUE),VLOOKUP(Calculator!E23,tbSkills!DH3:DJ6,3,FALSE),0),0))&gt;=100,100,(Backdoors!AI12+IF(KJ30&gt;=0.45,VLOOKUP(Calculator!E23,tbSkills!DH3:DI6,2,FALSE)+IF(AND(Calculator!B8=TRUE,Backdoors!BI45=TRUE),VLOOKUP(Calculator!E23,tbSkills!DH3:DJ6,3,FALSE),0),0)))/100)),1))*IF(VLOOKUP(A30,tbMoveset!A2:K112,11,FALSE)=TRUE,Backdoors!AC5,1))*KK30,0),"")</f>
        <v/>
      </c>
      <c r="KO30" s="49">
        <f>VLOOKUP(A30,tbMoveset!A2:G112,7,FALSE)*IFERROR(IF(Backdoors!AI12&gt;=0,1+(IF(Calculator!E40&gt;0,VLOOKUP(Calculator!E40,tbSkills!AI3:AJ5,2,FALSE),Backdoors!AL4)*(IF((Backdoors!AI12+IF(KJ30&gt;=0.45,VLOOKUP(Calculator!E23,tbSkills!DH3:DI6,2,FALSE)+IF(AND(Calculator!B8=TRUE,Backdoors!BI45=TRUE),VLOOKUP(Calculator!E23,tbSkills!DH3:DJ6,3,FALSE),0),0))&gt;=100,100,(Backdoors!AI12+IF(KJ30&gt;=0.45,VLOOKUP(Calculator!E23,tbSkills!DH3:DI6,2,FALSE)+IF(AND(Calculator!B8=TRUE,Backdoors!BI45=TRUE),VLOOKUP(Calculator!E23,tbSkills!DH3:DJ6,3,FALSE),0),0)))/100)),1),1)</f>
        <v>0.6</v>
      </c>
      <c r="KP30" s="87">
        <f t="shared" si="34"/>
        <v>0</v>
      </c>
      <c r="KQ30" s="86" t="str">
        <f>IFERROR(IF(VLOOKUP(A30,tbMoveset!A2:B112,2,FALSE)="Sever",Backdoors!AY46/100,IF(VLOOKUP(A30,tbMoveset!A2:B112,2,FALSE)="Blunt",Backdoors!AZ46/100,Backdoors!BA46/100)),"")</f>
        <v/>
      </c>
      <c r="KR30" s="49">
        <f>IFERROR(IF(VLOOKUP(tbMoveset!A30,tbMoveset!A2:H112,8,FALSE)="Other",IF(VLOOKUP(tbMoveset!A30,tbMoveset!A2:I112,9,FALSE)="Fire",Backdoors!BB46,IF(VLOOKUP(tbMoveset!A30,tbMoveset!A2:I112,9,FALSE)="Water",Backdoors!BC46,IF(VLOOKUP(tbMoveset!A30,tbMoveset!A2:I112,9,FALSE)="Thunder",Backdoors!BD46,IF(VLOOKUP(tbMoveset!A30,tbMoveset!A2:I112,9,FALSE)="Ice",Backdoors!BE46,IF(VLOOKUP(tbMoveset!A30,tbMoveset!A2:I112,9,FALSE)="Dragon",Backdoors!BF46,Backdoors!BG46)))))/100,Backdoors!BG46/100),"")</f>
        <v>0</v>
      </c>
      <c r="KS30" s="49">
        <f>IFERROR(IF(VLOOKUP(A30,tbMoveset!A2:J112,10,FALSE)=TRUE,IF((Backdoors!AI12+IF(KQ30&gt;=0.45,VLOOKUP(Calculator!E23,tbSkills!DH3:DI6,2,FALSE)+IF(AND(Calculator!B8=TRUE,Backdoors!BI46=TRUE),VLOOKUP(Calculator!E23,tbSkills!DH3:DJ6,3,FALSE),0),0))&gt;=0,1+(Backdoors!AL2*(IF((Backdoors!AI12+IF(KQ30&gt;=0.45,VLOOKUP(Calculator!E23,tbSkills!DH3:DI6,2,FALSE)+IF(AND(Calculator!B8=TRUE,Backdoors!BI46=TRUE),VLOOKUP(Calculator!E23,tbSkills!DH3:DJ6,3,FALSE),0),0))&gt;=100,100,(Backdoors!AI12+IF(KQ30&gt;=0.45,VLOOKUP(Calculator!E23,tbSkills!DH3:DI6,2,FALSE)+IF(AND(Calculator!B8=TRUE,Backdoors!BI46=TRUE),VLOOKUP(Calculator!E23,tbSkills!DH3:DJ6,3,FALSE),0),0)))/100)),(1-(0.25*((-Backdoors!AI12-IF(KQ30&gt;=0.45,VLOOKUP(Calculator!E23,tbSkills!DH3:DI6,2,FALSE)+IF(AND(Calculator!B8=TRUE,Backdoors!BI46=TRUE),VLOOKUP(Calculator!E23,tbSkills!DH3:DJ6,3,FALSE),0),0))/100)))),1),"")</f>
        <v>1</v>
      </c>
      <c r="KT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KQ30)*KS30)*(VLOOKUP(A30,tbMoveset!A2:C112,3,FALSE)/100)*IF(VLOOKUP(A30,tbMoveset!A2:B112,2,FALSE)="Projectile",Backdoors!N10,Backdoors!N9),0),"")</f>
        <v/>
      </c>
      <c r="KU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REF!&gt;0,VLOOKUP(Calculator!#REF!,tbSkills!AC3:AD5,2,FALSE),Backdoors!AL3)*(IF((Backdoors!AI12+IF(KQ30&gt;=0.45,VLOOKUP(Calculator!E23,tbSkills!DH3:DI6,2,FALSE)+IF(AND(Calculator!B8=TRUE,Backdoors!BI46=TRUE),VLOOKUP(Calculator!E23,tbSkills!DH3:DJ6,3,FALSE),0),0))&gt;=100,100,(Backdoors!AI12+IF(KQ30&gt;=0.45,VLOOKUP(Calculator!E23,tbSkills!DH3:DI6,2,FALSE)+IF(AND(Calculator!B8=TRUE,Backdoors!BI46=TRUE),VLOOKUP(Calculator!E23,tbSkills!DH3:DJ6,3,FALSE),0),0)))/100)),1))*IF(VLOOKUP(A30,tbMoveset!A2:K112,11,FALSE)=TRUE,Backdoors!AC5,1))*KR30,0),"")</f>
        <v/>
      </c>
      <c r="KV30" s="49">
        <f>VLOOKUP(A30,tbMoveset!A2:G112,7,FALSE)*IFERROR(IF(Backdoors!AI12&gt;=0,1+(IF(Calculator!E40&gt;0,VLOOKUP(Calculator!E40,tbSkills!AI3:AJ5,2,FALSE),Backdoors!AL4)*(IF((Backdoors!AI12+IF(KQ30&gt;=0.45,VLOOKUP(Calculator!E23,tbSkills!DH3:DI6,2,FALSE)+IF(AND(Calculator!B8=TRUE,Backdoors!BI46=TRUE),VLOOKUP(Calculator!E23,tbSkills!DH3:DJ6,3,FALSE),0),0))&gt;=100,100,(Backdoors!AI12+IF(KQ30&gt;=0.45,VLOOKUP(Calculator!E23,tbSkills!DH3:DI6,2,FALSE)+IF(AND(Calculator!B8=TRUE,Backdoors!BI46=TRUE),VLOOKUP(Calculator!E23,tbSkills!DH3:DJ6,3,FALSE),0),0)))/100)),1),1)</f>
        <v>0.6</v>
      </c>
      <c r="KW30" s="87">
        <f t="shared" si="35"/>
        <v>0</v>
      </c>
    </row>
    <row r="31" spans="1:309" x14ac:dyDescent="0.25">
      <c r="A31" s="95" t="str">
        <f>tbMoveset!A31</f>
        <v>Demon Flurry (R2)</v>
      </c>
      <c r="B31" s="86">
        <f>IFERROR(IF(VLOOKUP(A31,tbMoveset!A2:B112,2,FALSE)="Sever",Backdoors!AY3/100,IF(VLOOKUP(A31,tbMoveset!A2:B112,2,FALSE)="Blunt",Backdoors!AZ3/100,Backdoors!BA3/100)),"")</f>
        <v>0.8</v>
      </c>
      <c r="C31" s="49">
        <f>IFERROR(IF(VLOOKUP(tbMoveset!A31,tbMoveset!A2:H112,8,FALSE)="Other",IF(VLOOKUP(tbMoveset!A31,tbMoveset!A2:I112,9,FALSE)="Fire",Backdoors!BB3,IF(VLOOKUP(tbMoveset!A31,tbMoveset!A2:I112,9,FALSE)="Water",Backdoors!BC3,IF(VLOOKUP(tbMoveset!A31,tbMoveset!A2:I112,9,FALSE)="Thunder",Backdoors!BD3,IF(VLOOKUP(tbMoveset!A31,tbMoveset!A2:I112,9,FALSE)="Ice",Backdoors!BE3,IF(VLOOKUP(tbMoveset!A31,tbMoveset!A2:I112,9,FALSE)="Dragon",Backdoors!BF3,Backdoors!BG3)))))/100,Backdoors!BG3/100),"")</f>
        <v>0</v>
      </c>
      <c r="D31" s="49">
        <f>IFERROR(IF(VLOOKUP(A31,tbMoveset!A2:J112,10,FALSE)=TRUE,IF((Backdoors!AI12+IF(B31&gt;=0.45,VLOOKUP(Calculator!E23,tbSkills!DH3:DI6,2,FALSE)+IF(AND(Calculator!B8=TRUE,Backdoors!BI3=TRUE),VLOOKUP(Calculator!E23,tbSkills!DH3:DJ6,3,FALSE),0),0))&gt;=0,1+(Backdoors!AL2*(IF((Backdoors!AI12+IF(B31&gt;=0.45,VLOOKUP(Calculator!E23,tbSkills!DH3:DI6,2,FALSE)+IF(AND(Calculator!B8=TRUE,Backdoors!BI3=TRUE),VLOOKUP(Calculator!E23,tbSkills!DH3:DJ6,3,FALSE),0),0))&gt;=100,100,(Backdoors!AI12+IF(B31&gt;=0.45,VLOOKUP(Calculator!E23,tbSkills!DH3:DI6,2,FALSE)+IF(AND(Calculator!B8=TRUE,Backdoors!BI3=TRUE),VLOOKUP(Calculator!E23,tbSkills!DH3:DJ6,3,FALSE),0),0)))/100)),(1-(0.25*((-Backdoors!AI12-IF(B31&gt;=0.45,VLOOKUP(Calculator!E23,tbSkills!DH3:DI6,2,FALSE)+IF(AND(Calculator!B8=TRUE,Backdoors!BI3=TRUE),VLOOKUP(Calculator!E23,tbSkills!DH3:DJ6,3,FALSE),0),0))/100)))),1),"")</f>
        <v>1</v>
      </c>
      <c r="E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31)*D31)*(VLOOKUP(A31,tbMoveset!A2:C112,3,FALSE)/100)*IF(VLOOKUP(A31,tbMoveset!A2:B112,2,FALSE)="Projectile",Backdoors!N10,Backdoors!N9),0),"")</f>
        <v>5</v>
      </c>
      <c r="F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31&gt;=0.45,VLOOKUP(Calculator!E23,tbSkills!DH3:DI6,2,FALSE)+IF(AND(Calculator!B8=TRUE,Backdoors!BI3=TRUE),VLOOKUP(Calculator!E23,tbSkills!DH3:DJ6,3,FALSE),0),0))&gt;=100,100,(Backdoors!AI12+IF(B31&gt;=0.45,VLOOKUP(Calculator!E23,tbSkills!DH3:DI6,2,FALSE)+IF(AND(Calculator!B8=TRUE,Backdoors!BI3=TRUE),VLOOKUP(Calculator!E23,tbSkills!DH3:DJ6,3,FALSE),0),0)))/100)),1))*IF(VLOOKUP(A31,tbMoveset!A2:K112,11,FALSE)=TRUE,Backdoors!AC5,1))*C31,0),"")</f>
        <v>0</v>
      </c>
      <c r="G31">
        <f>VLOOKUP(A31,tbMoveset!A2:G112,7,FALSE)*IFERROR(IF(Backdoors!AI12&gt;=0,1+(IF(Calculator!E40&gt;0,VLOOKUP(Calculator!E40,tbSkills!AI3:AJ5,2,FALSE),Backdoors!AL4)*(IF((Backdoors!AI12+IF(B31&gt;=0.45,VLOOKUP(Calculator!E23,tbSkills!DH3:DI6,2,FALSE)+IF(AND(Calculator!B8=TRUE,Backdoors!BI3=TRUE),VLOOKUP(Calculator!E23,tbSkills!DH3:DJ6,3,FALSE),0),0))&gt;=100,100,(Backdoors!AI12+IF(B31&gt;=0.45,VLOOKUP(Calculator!E23,tbSkills!DH3:DI6,2,FALSE)+IF(AND(Calculator!B8=TRUE,Backdoors!BI3=TRUE),VLOOKUP(Calculator!E23,tbSkills!DH3:DJ6,3,FALSE),0),0)))/100)),1),1)</f>
        <v>0.6</v>
      </c>
      <c r="H31" s="87">
        <f t="shared" si="43"/>
        <v>5</v>
      </c>
      <c r="I31" s="86">
        <f>IFERROR(IF(VLOOKUP(A31,tbMoveset!A2:B112,2,FALSE)="Sever",Backdoors!AY4/100,IF(VLOOKUP(A31,tbMoveset!A2:B112,2,FALSE)="Blunt",Backdoors!AZ4/100,Backdoors!BA4/100)),"")</f>
        <v>0.65</v>
      </c>
      <c r="J31" s="49">
        <f>IFERROR(IF(VLOOKUP(tbMoveset!A31,tbMoveset!A2:H112,8,FALSE)="Other",IF(VLOOKUP(tbMoveset!A31,tbMoveset!A2:I112,9,FALSE)="Fire",Backdoors!BB4,IF(VLOOKUP(tbMoveset!A31,tbMoveset!A2:I112,9,FALSE)="Water",Backdoors!BC4,IF(VLOOKUP(tbMoveset!A31,tbMoveset!A2:I112,9,FALSE)="Thunder",Backdoors!BD4,IF(VLOOKUP(tbMoveset!A31,tbMoveset!A2:I112,9,FALSE)="Ice",Backdoors!BE4,IF(VLOOKUP(tbMoveset!A31,tbMoveset!A2:I112,9,FALSE)="Dragon",Backdoors!BF4,Backdoors!BG4)))))/100,Backdoors!BG4/100),"")</f>
        <v>0</v>
      </c>
      <c r="K31" s="49">
        <f>IFERROR(IF(VLOOKUP(A31,tbMoveset!A2:J112,10,FALSE)=TRUE,IF((Backdoors!AI12+IF(I31&gt;=0.45,VLOOKUP(Calculator!E23,tbSkills!DH3:DI6,2,FALSE)+IF(AND(Calculator!B8=TRUE,Backdoors!BI4=TRUE),VLOOKUP(Calculator!E23,tbSkills!DH3:DJ6,3,FALSE),0),0))&gt;=0,1+(Backdoors!AL2*(IF((Backdoors!AI12+IF(I31&gt;=0.45,VLOOKUP(Calculator!E23,tbSkills!DH3:DI6,2,FALSE)+IF(AND(Calculator!B8=TRUE,Backdoors!BI4=TRUE),VLOOKUP(Calculator!E23,tbSkills!DH3:DJ6,3,FALSE),0),0))&gt;=100,100,(Backdoors!AI12+IF(I31&gt;=0.45,VLOOKUP(Calculator!E23,tbSkills!DH3:DI6,2,FALSE)+IF(AND(Calculator!B8=TRUE,Backdoors!BI4=TRUE),VLOOKUP(Calculator!E23,tbSkills!DH3:DJ6,3,FALSE),0),0)))/100)),(1-(0.25*((-Backdoors!AI12-IF(I31&gt;=0.45,VLOOKUP(Calculator!E23,tbSkills!DH3:DI6,2,FALSE)+IF(AND(Calculator!B8=TRUE,Backdoors!BI4=TRUE),VLOOKUP(Calculator!E23,tbSkills!DH3:DJ6,3,FALSE),0),0))/100)))),1),"")</f>
        <v>1</v>
      </c>
      <c r="L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31)*K31)*(VLOOKUP(A31,tbMoveset!A2:C112,3,FALSE)/100)*IF(VLOOKUP(A31,tbMoveset!A2:B112,2,FALSE)="Projectile",Backdoors!N10,Backdoors!N9),0),"")</f>
        <v>4</v>
      </c>
      <c r="M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I31&gt;=0.45,VLOOKUP(Calculator!E23,tbSkills!DH3:DI6,2,FALSE)+IF(AND(Calculator!B8=TRUE,Backdoors!BI4=TRUE),VLOOKUP(Calculator!E23,tbSkills!DH3:DJ6,3,FALSE),0),0))&gt;=100,100,(Backdoors!AI12+IF(I31&gt;=0.45,VLOOKUP(Calculator!E23,tbSkills!DH3:DI6,2,FALSE)+IF(AND(Calculator!B8=TRUE,Backdoors!BI4=TRUE),VLOOKUP(Calculator!E23,tbSkills!DH3:DJ6,3,FALSE),0),0)))/100)),1))*IF(VLOOKUP(A31,tbMoveset!A2:K112,11,FALSE)=TRUE,Backdoors!AC5,1))*J31,0),"")</f>
        <v>0</v>
      </c>
      <c r="N31" s="49">
        <f>VLOOKUP(A31,tbMoveset!A2:G112,7,FALSE)*IFERROR(IF(Backdoors!AI12&gt;=0,1+(IF(Calculator!E40&gt;0,VLOOKUP(Calculator!E40,tbSkills!AI3:AJ5,2,FALSE),Backdoors!AL4)*(IF((Backdoors!AI12+IF(I31&gt;=0.45,VLOOKUP(Calculator!E23,tbSkills!DH3:DI6,2,FALSE)+IF(AND(Calculator!B8=TRUE,Backdoors!BI4=TRUE),VLOOKUP(Calculator!E23,tbSkills!DH3:DJ6,3,FALSE),0),0))&gt;=100,100,(Backdoors!AI12+IF(I31&gt;=0.45,VLOOKUP(Calculator!E23,tbSkills!DH3:DI6,2,FALSE)+IF(AND(Calculator!B8=TRUE,Backdoors!BI4=TRUE),VLOOKUP(Calculator!E23,tbSkills!DH3:DJ6,3,FALSE),0),0)))/100)),1),1)</f>
        <v>0.6</v>
      </c>
      <c r="O31" s="87">
        <f t="shared" si="36"/>
        <v>4</v>
      </c>
      <c r="P31" s="86">
        <f>IFERROR(IF(VLOOKUP(A31,tbMoveset!A2:B112,2,FALSE)="Sever",Backdoors!AY5/100,IF(VLOOKUP(A31,tbMoveset!A2:B112,2,FALSE)="Blunt",Backdoors!AZ5/100,Backdoors!BA5/100)),"")</f>
        <v>0.5</v>
      </c>
      <c r="Q31" s="49">
        <f>IFERROR(IF(VLOOKUP(tbMoveset!A31,tbMoveset!A2:H112,8,FALSE)="Other",IF(VLOOKUP(tbMoveset!A31,tbMoveset!A2:I112,9,FALSE)="Fire",Backdoors!BB5,IF(VLOOKUP(tbMoveset!A31,tbMoveset!A2:I112,9,FALSE)="Water",Backdoors!BC5,IF(VLOOKUP(tbMoveset!A31,tbMoveset!A2:I112,9,FALSE)="Thunder",Backdoors!BD5,IF(VLOOKUP(tbMoveset!A31,tbMoveset!A2:I112,9,FALSE)="Ice",Backdoors!BE5,IF(VLOOKUP(tbMoveset!A31,tbMoveset!A2:I112,9,FALSE)="Dragon",Backdoors!BF5,Backdoors!BG5)))))/100,Backdoors!BG5/100),"")</f>
        <v>0</v>
      </c>
      <c r="R31" s="49">
        <f>IFERROR(IF(VLOOKUP(A31,tbMoveset!A2:J112,10,FALSE)=TRUE,IF((Backdoors!AI12+IF(P31&gt;=0.45,VLOOKUP(Calculator!E23,tbSkills!DH3:DI6,2,FALSE)+IF(AND(Calculator!B8=TRUE,Backdoors!BI5=TRUE),VLOOKUP(Calculator!E23,tbSkills!DH3:DJ6,3,FALSE),0),0))&gt;=0,1+(Backdoors!AL2*(IF((Backdoors!AI12+IF(P31&gt;=0.45,VLOOKUP(Calculator!E23,tbSkills!DH3:DI6,2,FALSE)+IF(AND(Calculator!B8=TRUE,Backdoors!BI5=TRUE),VLOOKUP(Calculator!E23,tbSkills!DH3:DJ6,3,FALSE),0),0))&gt;=100,100,(Backdoors!AI12+IF(P31&gt;=0.45,VLOOKUP(Calculator!E23,tbSkills!DH3:DI6,2,FALSE)+IF(AND(Calculator!B8=TRUE,Backdoors!BI5=TRUE),VLOOKUP(Calculator!E23,tbSkills!DH3:DJ6,3,FALSE),0),0)))/100)),(1-(0.25*((-Backdoors!AI12-IF(P31&gt;=0.45,VLOOKUP(Calculator!E23,tbSkills!DH3:DI6,2,FALSE)+IF(AND(Calculator!B8=TRUE,Backdoors!BI5=TRUE),VLOOKUP(Calculator!E23,tbSkills!DH3:DJ6,3,FALSE),0),0))/100)))),1),"")</f>
        <v>1</v>
      </c>
      <c r="S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P31)*R31)*(VLOOKUP(A31,tbMoveset!A2:C112,3,FALSE)/100)*IF(VLOOKUP(A31,tbMoveset!A2:B112,2,FALSE)="Projectile",Backdoors!N10,Backdoors!N9),0),"")</f>
        <v>3</v>
      </c>
      <c r="T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P31&gt;=0.45,VLOOKUP(Calculator!E23,tbSkills!DH3:DI6,2,FALSE)+IF(AND(Calculator!B8=TRUE,Backdoors!BI5=TRUE),VLOOKUP(Calculator!E23,tbSkills!DH3:DJ6,3,FALSE),0),0))&gt;=100,100,(Backdoors!AI12+IF(P31&gt;=0.45,VLOOKUP(Calculator!E23,tbSkills!DH3:DI6,2,FALSE)+IF(AND(Calculator!B8=TRUE,Backdoors!BI5=TRUE),VLOOKUP(Calculator!E23,tbSkills!DH3:DJ6,3,FALSE),0),0)))/100)),1))*IF(VLOOKUP(A31,tbMoveset!A2:K112,11,FALSE)=TRUE,Backdoors!AC5,1))*Q31,0),"")</f>
        <v>0</v>
      </c>
      <c r="U31" s="49">
        <f>VLOOKUP(A31,tbMoveset!A2:G112,7,FALSE)*IFERROR(IF(Backdoors!AI12&gt;=0,1+(IF(Calculator!E40&gt;0,VLOOKUP(Calculator!E40,tbSkills!AI3:AJ5,2,FALSE),Backdoors!AL4)*(IF((Backdoors!AI12+IF(P31&gt;=0.45,VLOOKUP(Calculator!E23,tbSkills!DH3:DI6,2,FALSE)+IF(AND(Calculator!B8=TRUE,Backdoors!BI5=TRUE),VLOOKUP(Calculator!E23,tbSkills!DH3:DJ6,3,FALSE),0),0))&gt;=100,100,(Backdoors!AI12+IF(P31&gt;=0.45,VLOOKUP(Calculator!E23,tbSkills!DH3:DI6,2,FALSE)+IF(AND(Calculator!B8=TRUE,Backdoors!BI5=TRUE),VLOOKUP(Calculator!E23,tbSkills!DH3:DJ6,3,FALSE),0),0)))/100)),1),1)</f>
        <v>0.6</v>
      </c>
      <c r="V31" s="87">
        <f t="shared" si="37"/>
        <v>3</v>
      </c>
      <c r="W31" s="86">
        <f>IFERROR(IF(VLOOKUP(A31,tbMoveset!A2:B112,2,FALSE)="Sever",Backdoors!AY6/100,IF(VLOOKUP(A31,tbMoveset!A2:B112,2,FALSE)="Blunt",Backdoors!AZ6/100,Backdoors!BA6/100)),"")</f>
        <v>0.45</v>
      </c>
      <c r="X31" s="49">
        <f>IFERROR(IF(VLOOKUP(tbMoveset!A31,tbMoveset!A2:H112,8,FALSE)="Other",IF(VLOOKUP(tbMoveset!A31,tbMoveset!A2:I112,9,FALSE)="Fire",Backdoors!BB6,IF(VLOOKUP(tbMoveset!A31,tbMoveset!A2:I112,9,FALSE)="Water",Backdoors!BC6,IF(VLOOKUP(tbMoveset!A31,tbMoveset!A2:I112,9,FALSE)="Thunder",Backdoors!BD6,IF(VLOOKUP(tbMoveset!A31,tbMoveset!A2:I112,9,FALSE)="Ice",Backdoors!BE6,IF(VLOOKUP(tbMoveset!A31,tbMoveset!A2:I112,9,FALSE)="Dragon",Backdoors!BF6,Backdoors!BG6)))))/100,Backdoors!BG6/100),"")</f>
        <v>0</v>
      </c>
      <c r="Y31" s="49">
        <f>IFERROR(IF(VLOOKUP(A31,tbMoveset!A2:J112,10,FALSE)=TRUE,IF((Backdoors!AI12+IF(W31&gt;=0.45,VLOOKUP(Calculator!E23,tbSkills!DH3:DI6,2,FALSE)+IF(AND(Calculator!B8=TRUE,Backdoors!BI6=TRUE),VLOOKUP(Calculator!E23,tbSkills!DH3:DJ6,3,FALSE),0),0))&gt;=0,1+(Backdoors!AL2*(IF((Backdoors!AI12+IF(W31&gt;=0.45,VLOOKUP(Calculator!E23,tbSkills!DH3:DI6,2,FALSE)+IF(AND(Calculator!B8=TRUE,Backdoors!BI6=TRUE),VLOOKUP(Calculator!E23,tbSkills!DH3:DJ6,3,FALSE),0),0))&gt;=100,100,(Backdoors!AI12+IF(W31&gt;=0.45,VLOOKUP(Calculator!E23,tbSkills!DH3:DI6,2,FALSE)+IF(AND(Calculator!B8=TRUE,Backdoors!BI6=TRUE),VLOOKUP(Calculator!E23,tbSkills!DH3:DJ6,3,FALSE),0),0)))/100)),(1-(0.25*((-Backdoors!AI12-IF(W31&gt;=0.45,VLOOKUP(Calculator!E23,tbSkills!DH3:DI6,2,FALSE)+IF(AND(Calculator!B8=TRUE,Backdoors!BI6=TRUE),VLOOKUP(Calculator!E23,tbSkills!DH3:DJ6,3,FALSE),0),0))/100)))),1),"")</f>
        <v>1</v>
      </c>
      <c r="Z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W31)*Y31)*(VLOOKUP(A31,tbMoveset!A2:C112,3,FALSE)/100)*IF(VLOOKUP(A31,tbMoveset!A2:B112,2,FALSE)="Projectile",Backdoors!N10,Backdoors!N9),0),"")</f>
        <v>3</v>
      </c>
      <c r="AA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W31&gt;=0.45,VLOOKUP(Calculator!E23,tbSkills!DH3:DI6,2,FALSE)+IF(AND(Calculator!B8=TRUE,Backdoors!BI6=TRUE),VLOOKUP(Calculator!E23,tbSkills!DH3:DJ6,3,FALSE),0),0))&gt;=100,100,(Backdoors!AI12+IF(W31&gt;=0.45,VLOOKUP(Calculator!E23,tbSkills!DH3:DI6,2,FALSE)+IF(AND(Calculator!B8=TRUE,Backdoors!BI6=TRUE),VLOOKUP(Calculator!E23,tbSkills!DH3:DJ6,3,FALSE),0),0)))/100)),1))*IF(VLOOKUP(A31,tbMoveset!A2:K112,11,FALSE)=TRUE,Backdoors!AC5,1))*X31,0),"")</f>
        <v>0</v>
      </c>
      <c r="AB31" s="49">
        <f>VLOOKUP(A31,tbMoveset!A2:G112,7,FALSE)*IFERROR(IF(Backdoors!AI12&gt;=0,1+(IF(Calculator!E40&gt;0,VLOOKUP(Calculator!E40,tbSkills!AI3:AJ5,2,FALSE),Backdoors!AL4)*(IF((Backdoors!AI12+IF(W31&gt;=0.45,VLOOKUP(Calculator!E23,tbSkills!DH3:DI6,2,FALSE)+IF(AND(Calculator!B8=TRUE,Backdoors!BI6=TRUE),VLOOKUP(Calculator!E23,tbSkills!DH3:DJ6,3,FALSE),0),0))&gt;=100,100,(Backdoors!AI12+IF(W31&gt;=0.45,VLOOKUP(Calculator!E23,tbSkills!DH3:DI6,2,FALSE)+IF(AND(Calculator!B8=TRUE,Backdoors!BI6=TRUE),VLOOKUP(Calculator!E23,tbSkills!DH3:DJ6,3,FALSE),0),0)))/100)),1),1)</f>
        <v>0.6</v>
      </c>
      <c r="AC31" s="87">
        <f t="shared" si="0"/>
        <v>3</v>
      </c>
      <c r="AD31" s="86">
        <f>IFERROR(IF(VLOOKUP(A31,tbMoveset!A2:B112,2,FALSE)="Sever",Backdoors!AY7/100,IF(VLOOKUP(A31,tbMoveset!A2:B112,2,FALSE)="Blunt",Backdoors!AZ7/100,Backdoors!BA7/100)),"")</f>
        <v>0.65</v>
      </c>
      <c r="AE31" s="49">
        <f>IFERROR(IF(VLOOKUP(tbMoveset!A31,tbMoveset!A2:H112,8,FALSE)="Other",IF(VLOOKUP(tbMoveset!A31,tbMoveset!A2:I112,9,FALSE)="Fire",Backdoors!BB7,IF(VLOOKUP(tbMoveset!A31,tbMoveset!A2:I112,9,FALSE)="Water",Backdoors!BC7,IF(VLOOKUP(tbMoveset!A31,tbMoveset!A2:I112,9,FALSE)="Thunder",Backdoors!BD7,IF(VLOOKUP(tbMoveset!A31,tbMoveset!A2:I112,9,FALSE)="Ice",Backdoors!BE7,IF(VLOOKUP(tbMoveset!A31,tbMoveset!A2:I112,9,FALSE)="Dragon",Backdoors!BF7,Backdoors!BG7)))))/100,Backdoors!BG7/100),"")</f>
        <v>0</v>
      </c>
      <c r="AF31" s="49">
        <f>IFERROR(IF(VLOOKUP(A31,tbMoveset!A2:J112,10,FALSE)=TRUE,IF((Backdoors!AI12+IF(AD31&gt;=0.45,VLOOKUP(Calculator!E23,tbSkills!DH3:DI6,2,FALSE)+IF(AND(Calculator!B8=TRUE,Backdoors!BI7=TRUE),VLOOKUP(Calculator!E23,tbSkills!DH3:DJ6,3,FALSE),0),0))&gt;=0,1+(Backdoors!AL2*(IF((Backdoors!AI12+IF(AD31&gt;=0.45,VLOOKUP(Calculator!E23,tbSkills!DH3:DI6,2,FALSE)+IF(AND(Calculator!B8=TRUE,Backdoors!BI7=TRUE),VLOOKUP(Calculator!E23,tbSkills!DH3:DJ6,3,FALSE),0),0))&gt;=100,100,(Backdoors!AI12+IF(AD31&gt;=0.45,VLOOKUP(Calculator!E23,tbSkills!DH3:DI6,2,FALSE)+IF(AND(Calculator!B8=TRUE,Backdoors!BI7=TRUE),VLOOKUP(Calculator!E23,tbSkills!DH3:DJ6,3,FALSE),0),0)))/100)),(1-(0.25*((-Backdoors!AI12-IF(AD31&gt;=0.45,VLOOKUP(Calculator!E23,tbSkills!DH3:DI6,2,FALSE)+IF(AND(Calculator!B8=TRUE,Backdoors!BI7=TRUE),VLOOKUP(Calculator!E23,tbSkills!DH3:DJ6,3,FALSE),0),0))/100)))),1),"")</f>
        <v>1</v>
      </c>
      <c r="AG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D31)*AF31)*(VLOOKUP(A31,tbMoveset!A2:C112,3,FALSE)/100)*IF(VLOOKUP(A31,tbMoveset!A2:B112,2,FALSE)="Projectile",Backdoors!N10,Backdoors!N9),0),"")</f>
        <v>4</v>
      </c>
      <c r="AH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D31&gt;=0.45,VLOOKUP(Calculator!E23,tbSkills!DH3:DI6,2,FALSE)+IF(AND(Calculator!B8=TRUE,Backdoors!BI7=TRUE),VLOOKUP(Calculator!E23,tbSkills!DH3:DJ6,3,FALSE),0),0))&gt;=100,100,(Backdoors!AI12+IF(AD31&gt;=0.45,VLOOKUP(Calculator!E23,tbSkills!DH3:DI6,2,FALSE)+IF(AND(Calculator!B8=TRUE,Backdoors!BI7=TRUE),VLOOKUP(Calculator!E23,tbSkills!DH3:DJ6,3,FALSE),0),0)))/100)),1))*IF(VLOOKUP(A31,tbMoveset!A2:K112,11,FALSE)=TRUE,Backdoors!AC5,1))*AE31,0),"")</f>
        <v>0</v>
      </c>
      <c r="AI31" s="49">
        <f>VLOOKUP(A31,tbMoveset!A2:G112,7,FALSE)*IFERROR(IF(Backdoors!AI12&gt;=0,1+(IF(Calculator!E40&gt;0,VLOOKUP(Calculator!E40,tbSkills!AI3:AJ5,2,FALSE),Backdoors!AL4)*(IF((Backdoors!AI12+IF(AD31&gt;=0.45,VLOOKUP(Calculator!E23,tbSkills!DH3:DI6,2,FALSE)+IF(AND(Calculator!B8=TRUE,Backdoors!BI7=TRUE),VLOOKUP(Calculator!E23,tbSkills!DH3:DJ6,3,FALSE),0),0))&gt;=100,100,(Backdoors!AI12+IF(AD31&gt;=0.45,VLOOKUP(Calculator!E23,tbSkills!DH3:DI6,2,FALSE)+IF(AND(Calculator!B8=TRUE,Backdoors!BI7=TRUE),VLOOKUP(Calculator!E23,tbSkills!DH3:DJ6,3,FALSE),0),0)))/100)),1),1)</f>
        <v>0.6</v>
      </c>
      <c r="AJ31" s="87">
        <f t="shared" si="1"/>
        <v>4</v>
      </c>
      <c r="AK31" s="91">
        <f>IFERROR(IF(VLOOKUP(A31,tbMoveset!A2:B112,2,FALSE)="Sever",Backdoors!AY8/100,IF(VLOOKUP(A31,tbMoveset!A2:B112,2,FALSE)="Blunt",Backdoors!AZ8/100,Backdoors!BA8/100)),"")</f>
        <v>0.45</v>
      </c>
      <c r="AL31" s="49">
        <f>IFERROR(IF(VLOOKUP(tbMoveset!A31,tbMoveset!A2:H112,8,FALSE)="Other",IF(VLOOKUP(tbMoveset!A31,tbMoveset!A2:I112,9,FALSE)="Fire",Backdoors!BB8,IF(VLOOKUP(tbMoveset!A31,tbMoveset!A2:I112,9,FALSE)="Water",Backdoors!BC8,IF(VLOOKUP(tbMoveset!A31,tbMoveset!A2:I112,9,FALSE)="Thunder",Backdoors!BD8,IF(VLOOKUP(tbMoveset!A31,tbMoveset!A2:I112,9,FALSE)="Ice",Backdoors!BE8,IF(VLOOKUP(tbMoveset!A31,tbMoveset!A2:I112,9,FALSE)="Dragon",Backdoors!BF8,Backdoors!BG8)))))/100,Backdoors!BG8/100),"")</f>
        <v>0</v>
      </c>
      <c r="AM31" s="49">
        <f>IFERROR(IF(VLOOKUP(A31,tbMoveset!A2:J112,10,FALSE)=TRUE,IF((Backdoors!AI12+IF(AK31&gt;=0.45,VLOOKUP(Calculator!E23,tbSkills!DH3:DI6,2,FALSE)+IF(AND(Calculator!B8=TRUE,Backdoors!BI8=TRUE),VLOOKUP(Calculator!E23,tbSkills!DH3:DJ6,3,FALSE),0),0))&gt;=0,1+(Backdoors!AL2*(IF((Backdoors!AI12+IF(AK31&gt;=0.45,VLOOKUP(Calculator!E23,tbSkills!DH3:DI6,2,FALSE)+IF(AND(Calculator!B8=TRUE,Backdoors!BI8=TRUE),VLOOKUP(Calculator!E23,tbSkills!DH3:DJ6,3,FALSE),0),0))&gt;=100,100,(Backdoors!AI12+IF(AK31&gt;=0.45,VLOOKUP(Calculator!E23,tbSkills!DH3:DI6,2,FALSE)+IF(AND(Calculator!B8=TRUE,Backdoors!BI8=TRUE),VLOOKUP(Calculator!E23,tbSkills!DH3:DJ6,3,FALSE),0),0)))/100)),(1-(0.25*((-Backdoors!AI12-IF(AK31&gt;=0.45,VLOOKUP(Calculator!E23,tbSkills!DH3:DI6,2,FALSE)+IF(AND(Calculator!B8=TRUE,Backdoors!BI8=TRUE),VLOOKUP(Calculator!E23,tbSkills!DH3:DJ6,3,FALSE),0),0))/100)))),1),"")</f>
        <v>1</v>
      </c>
      <c r="AN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K31)*AM31)*(VLOOKUP(A31,tbMoveset!A2:C112,3,FALSE)/100)*IF(VLOOKUP(A31,tbMoveset!A2:B112,2,FALSE)="Projectile",Backdoors!N10,Backdoors!N9),0),"")</f>
        <v>3</v>
      </c>
      <c r="AO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K31&gt;=0.45,VLOOKUP(Calculator!E23,tbSkills!DH3:DI6,2,FALSE)+IF(AND(Calculator!B8=TRUE,Backdoors!BI8=TRUE),VLOOKUP(Calculator!E23,tbSkills!DH3:DJ6,3,FALSE),0),0))&gt;=100,100,(Backdoors!AI12+IF(AK31&gt;=0.45,VLOOKUP(Calculator!E23,tbSkills!DH3:DI6,2,FALSE)+IF(AND(Calculator!B8=TRUE,Backdoors!BI8=TRUE),VLOOKUP(Calculator!E23,tbSkills!DH3:DJ6,3,FALSE),0),0)))/100)),1))*IF(VLOOKUP(A31,tbMoveset!A2:K112,11,FALSE)=TRUE,Backdoors!AC5,1))*AL31,0),"")</f>
        <v>0</v>
      </c>
      <c r="AP31" s="49">
        <f>VLOOKUP(A31,tbMoveset!A2:G112,7,FALSE)*IFERROR(IF(Backdoors!AI12&gt;=0,1+(IF(Calculator!E40&gt;0,VLOOKUP(Calculator!E40,tbSkills!AI3:AJ5,2,FALSE),Backdoors!AL4)*(IF((Backdoors!AI12+IF(AK31&gt;=0.45,VLOOKUP(Calculator!E23,tbSkills!DH3:DI6,2,FALSE)+IF(AND(Calculator!B8=TRUE,Backdoors!BI8=TRUE),VLOOKUP(Calculator!E23,tbSkills!DH3:DJ6,3,FALSE),0),0))&gt;=100,100,(Backdoors!AI12+IF(AK31&gt;=0.45,VLOOKUP(Calculator!E23,tbSkills!DH3:DI6,2,FALSE)+IF(AND(Calculator!B8=TRUE,Backdoors!BI8=TRUE),VLOOKUP(Calculator!E23,tbSkills!DH3:DJ6,3,FALSE),0),0)))/100)),1),1)</f>
        <v>0.6</v>
      </c>
      <c r="AQ31" s="87">
        <f t="shared" si="2"/>
        <v>3</v>
      </c>
      <c r="AR31" s="86">
        <f>IFERROR(IF(VLOOKUP(A31,tbMoveset!A2:B112,2,FALSE)="Sever",Backdoors!AY9/100,IF(VLOOKUP(A31,tbMoveset!A2:B112,2,FALSE)="Blunt",Backdoors!AZ9/100,Backdoors!BA9/100)),"")</f>
        <v>0.45</v>
      </c>
      <c r="AS31" s="49">
        <f>IFERROR(IF(VLOOKUP(tbMoveset!A31,tbMoveset!A2:H112,8,FALSE)="Other",IF(VLOOKUP(tbMoveset!A31,tbMoveset!A2:I112,9,FALSE)="Fire",Backdoors!BB9,IF(VLOOKUP(tbMoveset!A31,tbMoveset!A2:I112,9,FALSE)="Water",Backdoors!BC9,IF(VLOOKUP(tbMoveset!A31,tbMoveset!A2:I112,9,FALSE)="Thunder",Backdoors!BD9,IF(VLOOKUP(tbMoveset!A31,tbMoveset!A2:I112,9,FALSE)="Ice",Backdoors!BE9,IF(VLOOKUP(tbMoveset!A31,tbMoveset!A2:I112,9,FALSE)="Dragon",Backdoors!BF9,Backdoors!BG9)))))/100,Backdoors!BG9/100),"")</f>
        <v>0</v>
      </c>
      <c r="AT31" s="49">
        <f>IFERROR(IF(VLOOKUP(A31,tbMoveset!A2:J112,10,FALSE)=TRUE,IF((Backdoors!AI12+IF(AR31&gt;=0.45,VLOOKUP(Calculator!E23,tbSkills!DH3:DI6,2,FALSE)+IF(AND(Calculator!B8=TRUE,Backdoors!BI9=TRUE),VLOOKUP(Calculator!E23,tbSkills!DH3:DJ6,3,FALSE),0),0))&gt;=0,1+(Backdoors!AL2*(IF((Backdoors!AI12+IF(AR31&gt;=0.45,VLOOKUP(Calculator!E23,tbSkills!DH3:DI6,2,FALSE)+IF(AND(Calculator!B8=TRUE,Backdoors!BI9=TRUE),VLOOKUP(Calculator!E23,tbSkills!DH3:DJ6,3,FALSE),0),0))&gt;=100,100,(Backdoors!AI12+IF(AR31&gt;=0.45,VLOOKUP(Calculator!E23,tbSkills!DH3:DI6,2,FALSE)+IF(AND(Calculator!B8=TRUE,Backdoors!BI9=TRUE),VLOOKUP(Calculator!E23,tbSkills!DH3:DJ6,3,FALSE),0),0)))/100)),(1-(0.25*((-Backdoors!AI12-IF(AR31&gt;=0.45,VLOOKUP(Calculator!E23,tbSkills!DH3:DI6,2,FALSE)+IF(AND(Calculator!B8=TRUE,Backdoors!BI9=TRUE),VLOOKUP(Calculator!E23,tbSkills!DH3:DJ6,3,FALSE),0),0))/100)))),1),"")</f>
        <v>1</v>
      </c>
      <c r="AU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R31)*AT31)*(VLOOKUP(A31,tbMoveset!A2:C112,3,FALSE)/100)*IF(VLOOKUP(A31,tbMoveset!A2:B112,2,FALSE)="Projectile",Backdoors!N10,Backdoors!N9),0),"")</f>
        <v>3</v>
      </c>
      <c r="AV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R31&gt;=0.45,VLOOKUP(Calculator!E23,tbSkills!DH3:DI6,2,FALSE)+IF(AND(Calculator!B8=TRUE,Backdoors!BI9=TRUE),VLOOKUP(Calculator!E23,tbSkills!DH3:DJ6,3,FALSE),0),0))&gt;=100,100,(Backdoors!AI12+IF(AR31&gt;=0.45,VLOOKUP(Calculator!E23,tbSkills!DH3:DI6,2,FALSE)+IF(AND(Calculator!B8=TRUE,Backdoors!BI9=TRUE),VLOOKUP(Calculator!E23,tbSkills!DH3:DJ6,3,FALSE),0),0)))/100)),1))*IF(VLOOKUP(A31,tbMoveset!A2:K112,11,FALSE)=TRUE,Backdoors!AC5,1))*AS31,0),"")</f>
        <v>0</v>
      </c>
      <c r="AW31" s="49">
        <f>VLOOKUP(A31,tbMoveset!A2:G112,7,FALSE)*IFERROR(IF(Backdoors!AI12&gt;=0,1+(IF(Calculator!E40&gt;0,VLOOKUP(Calculator!E40,tbSkills!AI3:AJ5,2,FALSE),Backdoors!AL4)*(IF((Backdoors!AI12+IF(AR31&gt;=0.45,VLOOKUP(Calculator!E23,tbSkills!DH3:DI6,2,FALSE)+IF(AND(Calculator!B8=TRUE,Backdoors!BI9=TRUE),VLOOKUP(Calculator!E23,tbSkills!DH3:DJ6,3,FALSE),0),0))&gt;=100,100,(Backdoors!AI12+IF(AR31&gt;=0.45,VLOOKUP(Calculator!E23,tbSkills!DH3:DI6,2,FALSE)+IF(AND(Calculator!B8=TRUE,Backdoors!BI9=TRUE),VLOOKUP(Calculator!E23,tbSkills!DH3:DJ6,3,FALSE),0),0)))/100)),1),1)</f>
        <v>0.6</v>
      </c>
      <c r="AX31" s="87">
        <f t="shared" si="38"/>
        <v>3</v>
      </c>
      <c r="AY31" s="86">
        <f>IFERROR(IF(VLOOKUP(A31,tbMoveset!A2:B112,2,FALSE)="Sever",Backdoors!AY10/100,IF(VLOOKUP(A31,tbMoveset!A2:B112,2,FALSE)="Blunt",Backdoors!AZ10/100,Backdoors!BA10/100)),"")</f>
        <v>0.9</v>
      </c>
      <c r="AZ31" s="49">
        <f>IFERROR(IF(VLOOKUP(tbMoveset!A31,tbMoveset!A2:H112,8,FALSE)="Other",IF(VLOOKUP(tbMoveset!A31,tbMoveset!A2:I112,9,FALSE)="Fire",Backdoors!BB10,IF(VLOOKUP(tbMoveset!A31,tbMoveset!A2:I112,9,FALSE)="Water",Backdoors!BC10,IF(VLOOKUP(tbMoveset!A31,tbMoveset!A2:I112,9,FALSE)="Thunder",Backdoors!BD10,IF(VLOOKUP(tbMoveset!A31,tbMoveset!A2:I112,9,FALSE)="Ice",Backdoors!BE10,IF(VLOOKUP(tbMoveset!A31,tbMoveset!A2:I112,9,FALSE)="Dragon",Backdoors!BF10,Backdoors!BG10)))))/100,Backdoors!BG10/100),"")</f>
        <v>0</v>
      </c>
      <c r="BA31" s="49">
        <f>IFERROR(IF(VLOOKUP(A31,tbMoveset!A2:J112,10,FALSE)=TRUE,IF((Backdoors!AI12+IF(AY31&gt;=0.45,VLOOKUP(Calculator!E23,tbSkills!DH3:DI6,2,FALSE)+IF(AND(Calculator!B8=TRUE,Backdoors!BI10=TRUE),VLOOKUP(Calculator!E23,tbSkills!DH3:DJ6,3,FALSE),0),0))&gt;=0,1+(Backdoors!AL2*(IF((Backdoors!AI12+IF(AY31&gt;=0.45,VLOOKUP(Calculator!E23,tbSkills!DH3:DI6,2,FALSE)+IF(AND(Calculator!B8=TRUE,Backdoors!BI10=TRUE),VLOOKUP(Calculator!E23,tbSkills!DH3:DJ6,3,FALSE),0),0))&gt;=100,100,(Backdoors!AI12+IF(AY31&gt;=0.45,VLOOKUP(Calculator!E23,tbSkills!DH3:DI6,2,FALSE)+IF(AND(Calculator!B8=TRUE,Backdoors!BI10=TRUE),VLOOKUP(Calculator!E23,tbSkills!DH3:DJ6,3,FALSE),0),0)))/100)),(1-(0.25*((-Backdoors!AI12-IF(AY31&gt;=0.45,VLOOKUP(Calculator!E23,tbSkills!DH3:DI6,2,FALSE)+IF(AND(Calculator!B8=TRUE,Backdoors!BI10=TRUE),VLOOKUP(Calculator!E23,tbSkills!DH3:DJ6,3,FALSE),0),0))/100)))),1),"")</f>
        <v>1</v>
      </c>
      <c r="BB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Y31)*BA31)*(VLOOKUP(A31,tbMoveset!A2:C112,3,FALSE)/100)*IF(VLOOKUP(A31,tbMoveset!A2:B112,2,FALSE)="Projectile",Backdoors!N10,Backdoors!N9),0),"")</f>
        <v>5</v>
      </c>
      <c r="BC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Y31&gt;=0.45,VLOOKUP(Calculator!E23,tbSkills!DH3:DI6,2,FALSE)+IF(AND(Calculator!B8=TRUE,Backdoors!BI10=TRUE),VLOOKUP(Calculator!E23,tbSkills!DH3:DJ6,3,FALSE),0),0))&gt;=100,100,(Backdoors!AI12+IF(AY31&gt;=0.45,VLOOKUP(Calculator!E23,tbSkills!DH3:DI6,2,FALSE)+IF(AND(Calculator!B8=TRUE,Backdoors!BI10=TRUE),VLOOKUP(Calculator!E23,tbSkills!DH3:DJ6,3,FALSE),0),0)))/100)),1))*IF(VLOOKUP(A31,tbMoveset!A2:K112,11,FALSE)=TRUE,Backdoors!AC5,1))*AZ31,0),"")</f>
        <v>0</v>
      </c>
      <c r="BD31" s="49">
        <f>VLOOKUP(A31,tbMoveset!A2:G112,7,FALSE)*IFERROR(IF(Backdoors!AI12&gt;=0,1+(IF(Calculator!E40&gt;0,VLOOKUP(Calculator!E40,tbSkills!AI3:AJ5,2,FALSE),Backdoors!AL4)*(IF((Backdoors!AI12+IF(AY31&gt;=0.45,VLOOKUP(Calculator!E23,tbSkills!DH3:DI6,2,FALSE)+IF(AND(Calculator!B8=TRUE,Backdoors!BI10=TRUE),VLOOKUP(Calculator!E23,tbSkills!DH3:DJ6,3,FALSE),0),0))&gt;=100,100,(Backdoors!AI12+IF(AY31&gt;=0.45,VLOOKUP(Calculator!E23,tbSkills!DH3:DI6,2,FALSE)+IF(AND(Calculator!B8=TRUE,Backdoors!BI10=TRUE),VLOOKUP(Calculator!E23,tbSkills!DH3:DJ6,3,FALSE),0),0)))/100)),1),1)</f>
        <v>0.6</v>
      </c>
      <c r="BE31" s="87">
        <f t="shared" si="3"/>
        <v>5</v>
      </c>
      <c r="BF31" s="86" t="str">
        <f>IFERROR(IF(VLOOKUP(A31,tbMoveset!A2:B112,2,FALSE)="Sever",Backdoors!AY11/100,IF(VLOOKUP(A31,tbMoveset!A2:B112,2,FALSE)="Blunt",Backdoors!AZ11/100,Backdoors!BA11/100)),"")</f>
        <v/>
      </c>
      <c r="BG31" s="49">
        <f>IFERROR(IF(VLOOKUP(tbMoveset!A31,tbMoveset!A2:H112,8,FALSE)="Other",IF(VLOOKUP(tbMoveset!A31,tbMoveset!A2:I112,9,FALSE)="Fire",Backdoors!BB11,IF(VLOOKUP(tbMoveset!A31,tbMoveset!A2:I112,9,FALSE)="Water",Backdoors!BC11,IF(VLOOKUP(tbMoveset!A31,tbMoveset!A2:I112,9,FALSE)="Thunder",Backdoors!BD11,IF(VLOOKUP(tbMoveset!A31,tbMoveset!A2:I112,9,FALSE)="Ice",Backdoors!BE11,IF(VLOOKUP(tbMoveset!A31,tbMoveset!A2:I112,9,FALSE)="Dragon",Backdoors!BF11,Backdoors!BG11)))))/100,Backdoors!BG11/100),"")</f>
        <v>0</v>
      </c>
      <c r="BH31" s="49">
        <f>IFERROR(IF(VLOOKUP(A31,tbMoveset!A2:J112,10,FALSE)=TRUE,IF((Backdoors!AI12+IF(BF31&gt;=0.45,VLOOKUP(Calculator!E23,tbSkills!DH3:DI6,2,FALSE)+IF(AND(Calculator!B8=TRUE,Backdoors!BI11=TRUE),VLOOKUP(Calculator!E23,tbSkills!DH3:DJ6,3,FALSE),0),0))&gt;=0,1+(Backdoors!AL2*(IF((Backdoors!AI12+IF(BF31&gt;=0.45,VLOOKUP(Calculator!E23,tbSkills!DH3:DI6,2,FALSE)+IF(AND(Calculator!B8=TRUE,Backdoors!BI11=TRUE),VLOOKUP(Calculator!E23,tbSkills!DH3:DJ6,3,FALSE),0),0))&gt;=100,100,(Backdoors!AI12+IF(BF31&gt;=0.45,VLOOKUP(Calculator!E23,tbSkills!DH3:DI6,2,FALSE)+IF(AND(Calculator!B8=TRUE,Backdoors!BI11=TRUE),VLOOKUP(Calculator!E23,tbSkills!DH3:DJ6,3,FALSE),0),0)))/100)),(1-(0.25*((-Backdoors!AI12-IF(BF31&gt;=0.45,VLOOKUP(Calculator!E23,tbSkills!DH3:DI6,2,FALSE)+IF(AND(Calculator!B8=TRUE,Backdoors!BI11=TRUE),VLOOKUP(Calculator!E23,tbSkills!DH3:DJ6,3,FALSE),0),0))/100)))),1),"")</f>
        <v>1</v>
      </c>
      <c r="BI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F31)*BH31)*(VLOOKUP(A31,tbMoveset!A2:C112,3,FALSE)/100)*IF(VLOOKUP(A31,tbMoveset!A2:B112,2,FALSE)="Projectile",Backdoors!N10,Backdoors!N9),0),"")</f>
        <v/>
      </c>
      <c r="BJ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F31&gt;=0.45,VLOOKUP(Calculator!E23,tbSkills!DH3:DI6,2,FALSE)+IF(AND(Calculator!B8=TRUE,Backdoors!BI11=TRUE),VLOOKUP(Calculator!E23,tbSkills!DH3:DJ6,3,FALSE),0),0))&gt;=100,100,(Backdoors!AI12+IF(BF31&gt;=0.45,VLOOKUP(Calculator!E23,tbSkills!DH3:DI6,2,FALSE)+IF(AND(Calculator!B8=TRUE,Backdoors!BI11=TRUE),VLOOKUP(Calculator!E23,tbSkills!DH3:DJ6,3,FALSE),0),0)))/100)),1))*IF(VLOOKUP(A31,tbMoveset!A2:K112,11,FALSE)=TRUE,Backdoors!AC5,1))*BG31,0),"")</f>
        <v>0</v>
      </c>
      <c r="BK31" s="49">
        <f>VLOOKUP(A31,tbMoveset!A2:G112,7,FALSE)*IFERROR(IF(Backdoors!AI12&gt;=0,1+(IF(Calculator!E40&gt;0,VLOOKUP(Calculator!E40,tbSkills!AI3:AJ5,2,FALSE),Backdoors!AL4)*(IF((Backdoors!AI12+IF(BF31&gt;=0.45,VLOOKUP(Calculator!E23,tbSkills!DH3:DI6,2,FALSE)+IF(AND(Calculator!B8=TRUE,Backdoors!BI11=TRUE),VLOOKUP(Calculator!E23,tbSkills!DH3:DJ6,3,FALSE),0),0))&gt;=100,100,(Backdoors!AI12+IF(BF31&gt;=0.45,VLOOKUP(Calculator!E23,tbSkills!DH3:DI6,2,FALSE)+IF(AND(Calculator!B8=TRUE,Backdoors!BI11=TRUE),VLOOKUP(Calculator!E23,tbSkills!DH3:DJ6,3,FALSE),0),0)))/100)),1),1)</f>
        <v>0.6</v>
      </c>
      <c r="BL31" s="87">
        <f t="shared" si="4"/>
        <v>0</v>
      </c>
      <c r="BM31" s="86" t="str">
        <f>IFERROR(IF(VLOOKUP(A31,tbMoveset!A2:B112,2,FALSE)="Sever",Backdoors!AY12/100,IF(VLOOKUP(A31,tbMoveset!A2:B112,2,FALSE)="Blunt",Backdoors!AZ12/100,Backdoors!BA12/100)),"")</f>
        <v/>
      </c>
      <c r="BN31" s="49">
        <f>IFERROR(IF(VLOOKUP(tbMoveset!A31,tbMoveset!A2:H112,8,FALSE)="Other",IF(VLOOKUP(tbMoveset!A31,tbMoveset!A2:I112,9,FALSE)="Fire",Backdoors!BB12,IF(VLOOKUP(tbMoveset!A31,tbMoveset!A2:I112,9,FALSE)="Water",Backdoors!BC12,IF(VLOOKUP(tbMoveset!A31,tbMoveset!A2:I112,9,FALSE)="Thunder",Backdoors!BD12,IF(VLOOKUP(tbMoveset!A31,tbMoveset!A2:I112,9,FALSE)="Ice",Backdoors!BE12,IF(VLOOKUP(tbMoveset!A31,tbMoveset!A2:I112,9,FALSE)="Dragon",Backdoors!BF12,Backdoors!BG12)))))/100,Backdoors!BG12/100),"")</f>
        <v>0</v>
      </c>
      <c r="BO31" s="49">
        <f>IFERROR(IF(VLOOKUP(A31,tbMoveset!A2:J112,10,FALSE)=TRUE,IF((Backdoors!AI12+IF(BM31&gt;=0.45,VLOOKUP(Calculator!E23,tbSkills!DH3:DI6,2,FALSE)+IF(AND(Calculator!B8=TRUE,Backdoors!BI12=TRUE),VLOOKUP(Calculator!E23,tbSkills!DH3:DJ6,3,FALSE),0),0))&gt;=0,1+(Backdoors!AL2*(IF((Backdoors!AI12+IF(BM31&gt;=0.45,VLOOKUP(Calculator!E23,tbSkills!DH3:DI6,2,FALSE)+IF(AND(Calculator!B8=TRUE,Backdoors!BI12=TRUE),VLOOKUP(Calculator!E23,tbSkills!DH3:DJ6,3,FALSE),0),0))&gt;=100,100,(Backdoors!AI12+IF(BM31&gt;=0.45,VLOOKUP(Calculator!E23,tbSkills!DH3:DI6,2,FALSE)+IF(AND(Calculator!B8=TRUE,Backdoors!BI12=TRUE),VLOOKUP(Calculator!E23,tbSkills!DH3:DJ6,3,FALSE),0),0)))/100)),(1-(0.25*((-Backdoors!AI12-IF(BM31&gt;=0.45,VLOOKUP(Calculator!E23,tbSkills!DH3:DI6,2,FALSE)+IF(AND(Calculator!B8=TRUE,Backdoors!BI12=TRUE),VLOOKUP(Calculator!E23,tbSkills!DH3:DJ6,3,FALSE),0),0))/100)))),1),"")</f>
        <v>1</v>
      </c>
      <c r="BP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M31)*BO31)*(VLOOKUP(A31,tbMoveset!A2:C112,3,FALSE)/100)*IF(VLOOKUP(A31,tbMoveset!A2:B112,2,FALSE)="Projectile",Backdoors!N10,Backdoors!N9),0),"")</f>
        <v/>
      </c>
      <c r="BQ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M31&gt;=0.45,VLOOKUP(Calculator!E23,tbSkills!DH3:DI6,2,FALSE)+IF(AND(Calculator!B8=TRUE,Backdoors!BI12=TRUE),VLOOKUP(Calculator!E23,tbSkills!DH3:DJ6,3,FALSE),0),0))&gt;=100,100,(Backdoors!AI12+IF(BM31&gt;=0.45,VLOOKUP(Calculator!E23,tbSkills!DH3:DI6,2,FALSE)+IF(AND(Calculator!B8=TRUE,Backdoors!BI12=TRUE),VLOOKUP(Calculator!E23,tbSkills!DH3:DJ6,3,FALSE),0),0)))/100)),1))*IF(VLOOKUP(A31,tbMoveset!A2:K112,11,FALSE)=TRUE,Backdoors!AC5,1))*BN31,0),"")</f>
        <v>0</v>
      </c>
      <c r="BR31" s="49">
        <f>VLOOKUP(A31,tbMoveset!A2:G112,7,FALSE)*IFERROR(IF(Backdoors!AI12&gt;=0,1+(IF(Calculator!E40&gt;0,VLOOKUP(Calculator!E40,tbSkills!AI3:AJ5,2,FALSE),Backdoors!AL4)*(IF((Backdoors!AI12+IF(BM31&gt;=0.45,VLOOKUP(Calculator!E23,tbSkills!DH3:DI6,2,FALSE)+IF(AND(Calculator!B8=TRUE,Backdoors!BI12=TRUE),VLOOKUP(Calculator!E23,tbSkills!DH3:DJ6,3,FALSE),0),0))&gt;=100,100,(Backdoors!AI12+IF(BM31&gt;=0.45,VLOOKUP(Calculator!E23,tbSkills!DH3:DI6,2,FALSE)+IF(AND(Calculator!B8=TRUE,Backdoors!BI12=TRUE),VLOOKUP(Calculator!E23,tbSkills!DH3:DJ6,3,FALSE),0),0)))/100)),1),1)</f>
        <v>0.6</v>
      </c>
      <c r="BS31" s="87">
        <f t="shared" si="39"/>
        <v>0</v>
      </c>
      <c r="BT31" s="86" t="str">
        <f>IFERROR(IF(VLOOKUP(A31,tbMoveset!A2:B112,2,FALSE)="Sever",Backdoors!AY13/100,IF(VLOOKUP(A31,tbMoveset!A2:B112,2,FALSE)="Blunt",Backdoors!AZ13/100,Backdoors!BA13/100)),"")</f>
        <v/>
      </c>
      <c r="BU31" s="49">
        <f>IFERROR(IF(VLOOKUP(tbMoveset!A31,tbMoveset!A2:H112,8,FALSE)="Other",IF(VLOOKUP(tbMoveset!A31,tbMoveset!A2:I112,9,FALSE)="Fire",Backdoors!BB13,IF(VLOOKUP(tbMoveset!A31,tbMoveset!A2:I112,9,FALSE)="Water",Backdoors!BC13,IF(VLOOKUP(tbMoveset!A31,tbMoveset!A2:I112,9,FALSE)="Thunder",Backdoors!BD13,IF(VLOOKUP(tbMoveset!A31,tbMoveset!A2:I112,9,FALSE)="Ice",Backdoors!BE13,IF(VLOOKUP(tbMoveset!A31,tbMoveset!A2:I112,9,FALSE)="Dragon",Backdoors!BF13,Backdoors!BG13)))))/100,Backdoors!BG13/100),"")</f>
        <v>0</v>
      </c>
      <c r="BV31" s="49">
        <f>IFERROR(IF(VLOOKUP(A31,tbMoveset!A2:J112,10,FALSE)=TRUE,IF((Backdoors!AI12+IF(BT31&gt;=0.45,VLOOKUP(Calculator!E23,tbSkills!DH3:DI6,2,FALSE)+IF(AND(Calculator!B8=TRUE,Backdoors!BI13=TRUE),VLOOKUP(Calculator!E23,tbSkills!DH3:DJ6,3,FALSE),0),0))&gt;=0,1+(Backdoors!AL2*(IF((Backdoors!AI12+IF(BT31&gt;=0.45,VLOOKUP(Calculator!E23,tbSkills!DH3:DI6,2,FALSE)+IF(AND(Calculator!B8=TRUE,Backdoors!BI13=TRUE),VLOOKUP(Calculator!E23,tbSkills!DH3:DJ6,3,FALSE),0),0))&gt;=100,100,(Backdoors!AI12+IF(BT31&gt;=0.45,VLOOKUP(Calculator!E23,tbSkills!DH3:DI6,2,FALSE)+IF(AND(Calculator!B8=TRUE,Backdoors!BI13=TRUE),VLOOKUP(Calculator!E23,tbSkills!DH3:DJ6,3,FALSE),0),0)))/100)),(1-(0.25*((-Backdoors!AI12-IF(BT31&gt;=0.45,VLOOKUP(Calculator!E23,tbSkills!DH3:DI6,2,FALSE)+IF(AND(Calculator!B8=TRUE,Backdoors!BI13=TRUE),VLOOKUP(Calculator!E23,tbSkills!DH3:DJ6,3,FALSE),0),0))/100)))),1),"")</f>
        <v>1</v>
      </c>
      <c r="BW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T31)*BV31)*(VLOOKUP(A31,tbMoveset!A2:C112,3,FALSE)/100)*IF(VLOOKUP(A31,tbMoveset!A2:B112,2,FALSE)="Projectile",Backdoors!N10,Backdoors!N9),0),"")</f>
        <v/>
      </c>
      <c r="BX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T31&gt;=0.45,VLOOKUP(Calculator!E23,tbSkills!DH3:DI6,2,FALSE)+IF(AND(Calculator!B8=TRUE,Backdoors!BI13=TRUE),VLOOKUP(Calculator!E23,tbSkills!DH3:DJ6,3,FALSE),0),0))&gt;=100,100,(Backdoors!AI12+IF(BT31&gt;=0.45,VLOOKUP(Calculator!E23,tbSkills!DH3:DI6,2,FALSE)+IF(AND(Calculator!B8=TRUE,Backdoors!BI13=TRUE),VLOOKUP(Calculator!E23,tbSkills!DH3:DJ6,3,FALSE),0),0)))/100)),1))*IF(VLOOKUP(A31,tbMoveset!A2:K112,11,FALSE)=TRUE,Backdoors!AC5,1))*BU31,0),"")</f>
        <v>0</v>
      </c>
      <c r="BY31" s="49">
        <f>VLOOKUP(A31,tbMoveset!A2:G112,7,FALSE)*IFERROR(IF(Backdoors!AI12&gt;=0,1+(IF(Calculator!E40&gt;0,VLOOKUP(Calculator!E40,tbSkills!AI3:AJ5,2,FALSE),Backdoors!AL4)*(IF((Backdoors!AI12+IF(BT31&gt;=0.45,VLOOKUP(Calculator!E23,tbSkills!DH3:DI6,2,FALSE)+IF(AND(Calculator!B8=TRUE,Backdoors!BI13=TRUE),VLOOKUP(Calculator!E23,tbSkills!DH3:DJ6,3,FALSE),0),0))&gt;=100,100,(Backdoors!AI12+IF(BT31&gt;=0.45,VLOOKUP(Calculator!E23,tbSkills!DH3:DI6,2,FALSE)+IF(AND(Calculator!B8=TRUE,Backdoors!BI13=TRUE),VLOOKUP(Calculator!E23,tbSkills!DH3:DJ6,3,FALSE),0),0)))/100)),1),1)</f>
        <v>0.6</v>
      </c>
      <c r="BZ31" s="87">
        <f t="shared" si="5"/>
        <v>0</v>
      </c>
      <c r="CA31" s="86" t="str">
        <f>IFERROR(IF(VLOOKUP(A31,tbMoveset!A2:B112,2,FALSE)="Sever",Backdoors!AY14/100,IF(VLOOKUP(A31,tbMoveset!A2:B112,2,FALSE)="Blunt",Backdoors!AZ14/100,Backdoors!BA14/100)),"")</f>
        <v/>
      </c>
      <c r="CB31" s="49">
        <f>IFERROR(IF(VLOOKUP(tbMoveset!A31,tbMoveset!A2:H112,8,FALSE)="Other",IF(VLOOKUP(tbMoveset!A31,tbMoveset!A2:I112,9,FALSE)="Fire",Backdoors!BB14,IF(VLOOKUP(tbMoveset!A31,tbMoveset!A2:I112,9,FALSE)="Water",Backdoors!BC14,IF(VLOOKUP(tbMoveset!A31,tbMoveset!A2:I112,9,FALSE)="Thunder",Backdoors!BD14,IF(VLOOKUP(tbMoveset!A31,tbMoveset!A2:I112,9,FALSE)="Ice",Backdoors!BE14,IF(VLOOKUP(tbMoveset!A31,tbMoveset!A2:I112,9,FALSE)="Dragon",Backdoors!BF14,Backdoors!BG14)))))/100,Backdoors!BG14/100),"")</f>
        <v>0</v>
      </c>
      <c r="CC31" s="49">
        <f>IFERROR(IF(VLOOKUP(A31,tbMoveset!A2:J112,10,FALSE)=TRUE,IF((Backdoors!AI12+IF(CA31&gt;=0.45,VLOOKUP(Calculator!E23,tbSkills!DH3:DI6,2,FALSE)+IF(AND(Calculator!B8=TRUE,Backdoors!BI14=TRUE),VLOOKUP(Calculator!E23,tbSkills!DH3:DJ6,3,FALSE),0),0))&gt;=0,1+(Backdoors!AL2*(IF((Backdoors!AI12+IF(CA31&gt;=0.45,VLOOKUP(Calculator!E23,tbSkills!DH3:DI6,2,FALSE)+IF(AND(Calculator!B8=TRUE,Backdoors!BI14=TRUE),VLOOKUP(Calculator!E23,tbSkills!DH3:DJ6,3,FALSE),0),0))&gt;=100,100,(Backdoors!AI12+IF(CA31&gt;=0.45,VLOOKUP(Calculator!E23,tbSkills!DH3:DI6,2,FALSE)+IF(AND(Calculator!B8=TRUE,Backdoors!BI14=TRUE),VLOOKUP(Calculator!E23,tbSkills!DH3:DJ6,3,FALSE),0),0)))/100)),(1-(0.25*((-Backdoors!AI12-IF(CA31&gt;=0.45,VLOOKUP(Calculator!E23,tbSkills!DH3:DI6,2,FALSE)+IF(AND(Calculator!B8=TRUE,Backdoors!BI14=TRUE),VLOOKUP(Calculator!E23,tbSkills!DH3:DJ6,3,FALSE),0),0))/100)))),1),"")</f>
        <v>1</v>
      </c>
      <c r="CD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A31)*CC31)*(VLOOKUP(A31,tbMoveset!A2:C112,3,FALSE)/100)*IF(VLOOKUP(A31,tbMoveset!A2:B112,2,FALSE)="Projectile",Backdoors!N10,Backdoors!N9),0),"")</f>
        <v/>
      </c>
      <c r="CE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A31&gt;=0.45,VLOOKUP(Calculator!E23,tbSkills!DH3:DI6,2,FALSE)+IF(AND(Calculator!B8=TRUE,Backdoors!BI14=TRUE),VLOOKUP(Calculator!E23,tbSkills!DH3:DJ6,3,FALSE),0),0))&gt;=100,100,(Backdoors!AI12+IF(CA31&gt;=0.45,VLOOKUP(Calculator!E23,tbSkills!DH3:DI6,2,FALSE)+IF(AND(Calculator!B8=TRUE,Backdoors!BI14=TRUE),VLOOKUP(Calculator!E23,tbSkills!DH3:DJ6,3,FALSE),0),0)))/100)),1))*IF(VLOOKUP(A31,tbMoveset!A2:K112,11,FALSE)=TRUE,Backdoors!AC5,1))*CB31,0),"")</f>
        <v>0</v>
      </c>
      <c r="CF31" s="49">
        <f>VLOOKUP(A31,tbMoveset!A2:G112,7,FALSE)*IFERROR(IF(Backdoors!AI12&gt;=0,1+(IF(Calculator!E40&gt;0,VLOOKUP(Calculator!E40,tbSkills!AI3:AJ5,2,FALSE),Backdoors!AL4)*(IF((Backdoors!AI12+IF(CA31&gt;=0.45,VLOOKUP(Calculator!E23,tbSkills!DH3:DI6,2,FALSE)+IF(AND(Calculator!B8=TRUE,Backdoors!BI14=TRUE),VLOOKUP(Calculator!E23,tbSkills!DH3:DJ6,3,FALSE),0),0))&gt;=100,100,(Backdoors!AI12+IF(CA31&gt;=0.45,VLOOKUP(Calculator!E23,tbSkills!DH3:DI6,2,FALSE)+IF(AND(Calculator!B8=TRUE,Backdoors!BI14=TRUE),VLOOKUP(Calculator!E23,tbSkills!DH3:DJ6,3,FALSE),0),0)))/100)),1),1)</f>
        <v>0.6</v>
      </c>
      <c r="CG31" s="87">
        <f t="shared" si="6"/>
        <v>0</v>
      </c>
      <c r="CH31" s="86" t="str">
        <f>IFERROR(IF(VLOOKUP(A31,tbMoveset!A2:B112,2,FALSE)="Sever",Backdoors!AY15/100,IF(VLOOKUP(A31,tbMoveset!A2:B112,2,FALSE)="Blunt",Backdoors!AZ15/100,Backdoors!BA15/100)),"")</f>
        <v/>
      </c>
      <c r="CI31" s="49">
        <f>IFERROR(IF(VLOOKUP(tbMoveset!A31,tbMoveset!A2:H112,8,FALSE)="Other",IF(VLOOKUP(tbMoveset!A31,tbMoveset!A2:I112,9,FALSE)="Fire",Backdoors!BB15,IF(VLOOKUP(tbMoveset!A31,tbMoveset!A2:I112,9,FALSE)="Water",Backdoors!BC15,IF(VLOOKUP(tbMoveset!A31,tbMoveset!A2:I112,9,FALSE)="Thunder",Backdoors!BD15,IF(VLOOKUP(tbMoveset!A31,tbMoveset!A2:I112,9,FALSE)="Ice",Backdoors!BE15,IF(VLOOKUP(tbMoveset!A31,tbMoveset!A2:I112,9,FALSE)="Dragon",Backdoors!BF15,Backdoors!BG15)))))/100,Backdoors!BG15/100),"")</f>
        <v>0</v>
      </c>
      <c r="CJ31" s="49">
        <f>IFERROR(IF(VLOOKUP(A31,tbMoveset!A2:J112,10,FALSE)=TRUE,IF((Backdoors!AI12+IF(CH31&gt;=0.45,VLOOKUP(Calculator!E23,tbSkills!DH3:DI6,2,FALSE)+IF(AND(Calculator!B8=TRUE,Backdoors!BI15=TRUE),VLOOKUP(Calculator!E23,tbSkills!DH3:DJ6,3,FALSE),0),0))&gt;=0,1+(Backdoors!AL2*(IF((Backdoors!AI12+IF(CH31&gt;=0.45,VLOOKUP(Calculator!E23,tbSkills!DH3:DI6,2,FALSE)+IF(AND(Calculator!B8=TRUE,Backdoors!BI15=TRUE),VLOOKUP(Calculator!E23,tbSkills!DH3:DJ6,3,FALSE),0),0))&gt;=100,100,(Backdoors!AI12+IF(CH31&gt;=0.45,VLOOKUP(Calculator!E23,tbSkills!DH3:DI6,2,FALSE)+IF(AND(Calculator!B8=TRUE,Backdoors!BI15=TRUE),VLOOKUP(Calculator!E23,tbSkills!DH3:DJ6,3,FALSE),0),0)))/100)),(1-(0.25*((-Backdoors!AI12-IF(CH31&gt;=0.45,VLOOKUP(Calculator!E23,tbSkills!DH3:DI6,2,FALSE)+IF(AND(Calculator!B8=TRUE,Backdoors!BI15=TRUE),VLOOKUP(Calculator!E23,tbSkills!DH3:DJ6,3,FALSE),0),0))/100)))),1),"")</f>
        <v>1</v>
      </c>
      <c r="CK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H31)*CJ31)*(VLOOKUP(A31,tbMoveset!A2:C112,3,FALSE)/100)*IF(VLOOKUP(A31,tbMoveset!A2:B112,2,FALSE)="Projectile",Backdoors!N10,Backdoors!N9),0),"")</f>
        <v/>
      </c>
      <c r="CL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H31&gt;=0.45,VLOOKUP(Calculator!E23,tbSkills!DH3:DI6,2,FALSE)+IF(AND(Calculator!B8=TRUE,Backdoors!BI15=TRUE),VLOOKUP(Calculator!E23,tbSkills!DH3:DJ6,3,FALSE),0),0))&gt;=100,100,(Backdoors!AI12+IF(CH31&gt;=0.45,VLOOKUP(Calculator!E23,tbSkills!DH3:DI6,2,FALSE)+IF(AND(Calculator!B8=TRUE,Backdoors!BI15=TRUE),VLOOKUP(Calculator!E23,tbSkills!DH3:DJ6,3,FALSE),0),0)))/100)),1))*IF(VLOOKUP(A31,tbMoveset!A2:K112,11,FALSE)=TRUE,Backdoors!AC5,1))*CI31,0),"")</f>
        <v>0</v>
      </c>
      <c r="CM31" s="49">
        <f>VLOOKUP(A31,tbMoveset!A2:G112,7,FALSE)*IFERROR(IF(Backdoors!AI12&gt;=0,1+(IF(Calculator!E40&gt;0,VLOOKUP(Calculator!E40,tbSkills!AI3:AJ5,2,FALSE),Backdoors!AL4)*(IF((Backdoors!AI12+IF(CH31&gt;=0.45,VLOOKUP(Calculator!E23,tbSkills!DH3:DI6,2,FALSE)+IF(AND(Calculator!B8=TRUE,Backdoors!BI15=TRUE),VLOOKUP(Calculator!E23,tbSkills!DH3:DJ6,3,FALSE),0),0))&gt;=100,100,(Backdoors!AI12+IF(CH31&gt;=0.45,VLOOKUP(Calculator!E23,tbSkills!DH3:DI6,2,FALSE)+IF(AND(Calculator!B8=TRUE,Backdoors!BI15=TRUE),VLOOKUP(Calculator!E23,tbSkills!DH3:DJ6,3,FALSE),0),0)))/100)),1),1)</f>
        <v>0.6</v>
      </c>
      <c r="CN31" s="87">
        <f t="shared" si="7"/>
        <v>0</v>
      </c>
      <c r="CO31" s="86" t="str">
        <f>IFERROR(IF(VLOOKUP(A31,tbMoveset!A2:B112,2,FALSE)="Sever",Backdoors!AY16/100,IF(VLOOKUP(A31,tbMoveset!A2:B112,2,FALSE)="Blunt",Backdoors!AZ16/100,Backdoors!BA16/100)),"")</f>
        <v/>
      </c>
      <c r="CP31" s="49">
        <f>IFERROR(IF(VLOOKUP(tbMoveset!A31,tbMoveset!A2:H112,8,FALSE)="Other",IF(VLOOKUP(tbMoveset!A31,tbMoveset!A2:I112,9,FALSE)="Fire",Backdoors!BB16,IF(VLOOKUP(tbMoveset!A31,tbMoveset!A2:I112,9,FALSE)="Water",Backdoors!BC16,IF(VLOOKUP(tbMoveset!A31,tbMoveset!A2:I112,9,FALSE)="Thunder",Backdoors!BD16,IF(VLOOKUP(tbMoveset!A31,tbMoveset!A2:I112,9,FALSE)="Ice",Backdoors!BE16,IF(VLOOKUP(tbMoveset!A31,tbMoveset!A2:I112,9,FALSE)="Dragon",Backdoors!BF16,Backdoors!BG16)))))/100,Backdoors!BG16/100),"")</f>
        <v>0</v>
      </c>
      <c r="CQ31" s="49">
        <f>IFERROR(IF(VLOOKUP(A31,tbMoveset!A2:J112,10,FALSE)=TRUE,IF((Backdoors!AI12+IF(CO31&gt;=0.45,VLOOKUP(Calculator!E23,tbSkills!DH3:DI6,2,FALSE)+IF(AND(Calculator!B8=TRUE,Backdoors!BI16=TRUE),VLOOKUP(Calculator!E23,tbSkills!DH3:DJ6,3,FALSE),0),0))&gt;=0,1+(Backdoors!AL2*(IF((Backdoors!AI12+IF(CO31&gt;=0.45,VLOOKUP(Calculator!E23,tbSkills!DH3:DI6,2,FALSE)+IF(AND(Calculator!B8=TRUE,Backdoors!BI16=TRUE),VLOOKUP(Calculator!E23,tbSkills!DH3:DJ6,3,FALSE),0),0))&gt;=100,100,(Backdoors!AI12+IF(CO31&gt;=0.45,VLOOKUP(Calculator!E23,tbSkills!DH3:DI6,2,FALSE)+IF(AND(Calculator!B8=TRUE,Backdoors!BI16=TRUE),VLOOKUP(Calculator!E23,tbSkills!DH3:DJ6,3,FALSE),0),0)))/100)),(1-(0.25*((-Backdoors!AI12-IF(CO31&gt;=0.45,VLOOKUP(Calculator!E23,tbSkills!DH3:DI6,2,FALSE)+IF(AND(Calculator!B8=TRUE,Backdoors!BI16=TRUE),VLOOKUP(Calculator!E23,tbSkills!DH3:DJ6,3,FALSE),0),0))/100)))),1),"")</f>
        <v>1</v>
      </c>
      <c r="CR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O31)*CQ31)*(VLOOKUP(A31,tbMoveset!A2:C112,3,FALSE)/100)*IF(VLOOKUP(A31,tbMoveset!A2:B112,2,FALSE)="Projectile",Backdoors!N10,Backdoors!N9),0),"")</f>
        <v/>
      </c>
      <c r="CS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O31&gt;=0.45,VLOOKUP(Calculator!E23,tbSkills!DH3:DI6,2,FALSE)+IF(AND(Calculator!B8=TRUE,Backdoors!BI16=TRUE),VLOOKUP(Calculator!E23,tbSkills!DH3:DJ6,3,FALSE),0),0))&gt;=100,100,(Backdoors!AI12+IF(CO31&gt;=0.45,VLOOKUP(Calculator!E23,tbSkills!DH3:DI6,2,FALSE)+IF(AND(Calculator!B8=TRUE,Backdoors!BI16=TRUE),VLOOKUP(Calculator!E23,tbSkills!DH3:DJ6,3,FALSE),0),0)))/100)),1))*IF(VLOOKUP(A31,tbMoveset!A2:K112,11,FALSE)=TRUE,Backdoors!AC5,1))*CP31,0),"")</f>
        <v>0</v>
      </c>
      <c r="CT31" s="49">
        <f>VLOOKUP(A31,tbMoveset!A2:G112,7,FALSE)*IFERROR(IF(Backdoors!AI12&gt;=0,1+(IF(Calculator!E40&gt;0,VLOOKUP(Calculator!E40,tbSkills!AI3:AJ5,2,FALSE),Backdoors!AL4)*(IF((Backdoors!AI12+IF(CO31&gt;=0.45,VLOOKUP(Calculator!E23,tbSkills!DH3:DI6,2,FALSE)+IF(AND(Calculator!B8=TRUE,Backdoors!BI16=TRUE),VLOOKUP(Calculator!E23,tbSkills!DH3:DJ6,3,FALSE),0),0))&gt;=100,100,(Backdoors!AI12+IF(CO31&gt;=0.45,VLOOKUP(Calculator!E23,tbSkills!DH3:DI6,2,FALSE)+IF(AND(Calculator!B8=TRUE,Backdoors!BI16=TRUE),VLOOKUP(Calculator!E23,tbSkills!DH3:DJ6,3,FALSE),0),0)))/100)),1),1)</f>
        <v>0.6</v>
      </c>
      <c r="CU31" s="87">
        <f t="shared" si="40"/>
        <v>0</v>
      </c>
      <c r="CV31" s="86" t="str">
        <f>IFERROR(IF(VLOOKUP(A31,tbMoveset!A2:B112,2,FALSE)="Sever",Backdoors!AY17/100,IF(VLOOKUP(A31,tbMoveset!A2:B112,2,FALSE)="Blunt",Backdoors!AZ17/100,Backdoors!BA17/100)),"")</f>
        <v/>
      </c>
      <c r="CW31" s="49">
        <f>IFERROR(IF(VLOOKUP(tbMoveset!A31,tbMoveset!A2:H112,8,FALSE)="Other",IF(VLOOKUP(tbMoveset!A31,tbMoveset!A2:I112,9,FALSE)="Fire",Backdoors!BB17,IF(VLOOKUP(tbMoveset!A31,tbMoveset!A2:I112,9,FALSE)="Water",Backdoors!BC17,IF(VLOOKUP(tbMoveset!A31,tbMoveset!A2:I112,9,FALSE)="Thunder",Backdoors!BD17,IF(VLOOKUP(tbMoveset!A31,tbMoveset!A2:I112,9,FALSE)="Ice",Backdoors!BE17,IF(VLOOKUP(tbMoveset!A31,tbMoveset!A2:I112,9,FALSE)="Dragon",Backdoors!BF17,Backdoors!BG17)))))/100,Backdoors!BG17/100),"")</f>
        <v>0</v>
      </c>
      <c r="CX31" s="49">
        <f>IFERROR(IF(VLOOKUP(A31,tbMoveset!A2:J112,10,FALSE)=TRUE,IF((Backdoors!AI12+IF(CV31&gt;=0.45,VLOOKUP(Calculator!E23,tbSkills!DH3:DI6,2,FALSE)+IF(AND(Calculator!B8=TRUE,Backdoors!BI17=TRUE),VLOOKUP(Calculator!E23,tbSkills!DH3:DJ6,3,FALSE),0),0))&gt;=0,1+(Backdoors!AL2*(IF((Backdoors!AI12+IF(CV31&gt;=0.45,VLOOKUP(Calculator!E23,tbSkills!DH3:DI6,2,FALSE)+IF(AND(Calculator!B8=TRUE,Backdoors!BI17=TRUE),VLOOKUP(Calculator!E23,tbSkills!DH3:DJ6,3,FALSE),0),0))&gt;=100,100,(Backdoors!AI12+IF(CV31&gt;=0.45,VLOOKUP(Calculator!E23,tbSkills!DH3:DI6,2,FALSE)+IF(AND(Calculator!B8=TRUE,Backdoors!BI17=TRUE),VLOOKUP(Calculator!E23,tbSkills!DH3:DJ6,3,FALSE),0),0)))/100)),(1-(0.25*((-Backdoors!AI12-IF(CV31&gt;=0.45,VLOOKUP(Calculator!E23,tbSkills!DH3:DI6,2,FALSE)+IF(AND(Calculator!B8=TRUE,Backdoors!BI17=TRUE),VLOOKUP(Calculator!E23,tbSkills!DH3:DJ6,3,FALSE),0),0))/100)))),1),"")</f>
        <v>1</v>
      </c>
      <c r="CY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V31)*CX31)*(VLOOKUP(A31,tbMoveset!A2:C112,3,FALSE)/100)*IF(VLOOKUP(A31,tbMoveset!A2:B112,2,FALSE)="Projectile",Backdoors!N10,Backdoors!N9),0),"")</f>
        <v/>
      </c>
      <c r="CZ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V31&gt;=0.45,VLOOKUP(Calculator!E23,tbSkills!DH3:DI6,2,FALSE)+IF(AND(Calculator!B8=TRUE,Backdoors!BI17=TRUE),VLOOKUP(Calculator!E23,tbSkills!DH3:DJ6,3,FALSE),0),0))&gt;=100,100,(Backdoors!AI12+IF(CV31&gt;=0.45,VLOOKUP(Calculator!E23,tbSkills!DH3:DI6,2,FALSE)+IF(AND(Calculator!B8=TRUE,Backdoors!BI17=TRUE),VLOOKUP(Calculator!E23,tbSkills!DH3:DJ6,3,FALSE),0),0)))/100)),1))*IF(VLOOKUP(A31,tbMoveset!A2:K112,11,FALSE)=TRUE,Backdoors!AC5,1))*CW31,0),"")</f>
        <v>0</v>
      </c>
      <c r="DA31" s="49">
        <f>VLOOKUP(A31,tbMoveset!A2:G112,7,FALSE)*IFERROR(IF(Backdoors!AI12&gt;=0,1+(IF(Calculator!E40&gt;0,VLOOKUP(Calculator!E40,tbSkills!AI3:AJ5,2,FALSE),Backdoors!AL4)*(IF((Backdoors!AI12+IF(CV31&gt;=0.45,VLOOKUP(Calculator!E23,tbSkills!DH3:DI6,2,FALSE)+IF(AND(Calculator!B8=TRUE,Backdoors!BI17=TRUE),VLOOKUP(Calculator!E23,tbSkills!DH3:DJ6,3,FALSE),0),0))&gt;=100,100,(Backdoors!AI12+IF(CV31&gt;=0.45,VLOOKUP(Calculator!E23,tbSkills!DH3:DI6,2,FALSE)+IF(AND(Calculator!B8=TRUE,Backdoors!BI17=TRUE),VLOOKUP(Calculator!E23,tbSkills!DH3:DJ6,3,FALSE),0),0)))/100)),1),1)</f>
        <v>0.6</v>
      </c>
      <c r="DB31" s="87">
        <f t="shared" si="8"/>
        <v>0</v>
      </c>
      <c r="DC31" s="86" t="str">
        <f>IFERROR(IF(VLOOKUP(A31,tbMoveset!A2:B112,2,FALSE)="Sever",Backdoors!AY18/100,IF(VLOOKUP(A31,tbMoveset!A2:B112,2,FALSE)="Blunt",Backdoors!AZ18/100,Backdoors!BA18/100)),"")</f>
        <v/>
      </c>
      <c r="DD31" s="49">
        <f>IFERROR(IF(VLOOKUP(tbMoveset!A31,tbMoveset!A2:H112,8,FALSE)="Other",IF(VLOOKUP(tbMoveset!A31,tbMoveset!A2:I112,9,FALSE)="Fire",Backdoors!BB18,IF(VLOOKUP(tbMoveset!A31,tbMoveset!A2:I112,9,FALSE)="Water",Backdoors!BC18,IF(VLOOKUP(tbMoveset!A31,tbMoveset!A2:I112,9,FALSE)="Thunder",Backdoors!BD18,IF(VLOOKUP(tbMoveset!A31,tbMoveset!A2:I112,9,FALSE)="Ice",Backdoors!BE18,IF(VLOOKUP(tbMoveset!A31,tbMoveset!A2:I112,9,FALSE)="Dragon",Backdoors!BF18,Backdoors!BG18)))))/100,Backdoors!BG18/100),"")</f>
        <v>0</v>
      </c>
      <c r="DE31" s="49">
        <f>IFERROR(IF(VLOOKUP(A31,tbMoveset!A2:J112,10,FALSE)=TRUE,IF((Backdoors!AI12+IF(DC31&gt;=0.45,VLOOKUP(Calculator!E23,tbSkills!DH3:DI6,2,FALSE)+IF(AND(Calculator!B8=TRUE,Backdoors!BI18=TRUE),VLOOKUP(Calculator!E23,tbSkills!DH3:DJ6,3,FALSE),0),0))&gt;=0,1+(Backdoors!AL2*(IF((Backdoors!AI12+IF(DC31&gt;=0.45,VLOOKUP(Calculator!E23,tbSkills!DH3:DI6,2,FALSE)+IF(AND(Calculator!B8=TRUE,Backdoors!BI18=TRUE),VLOOKUP(Calculator!E23,tbSkills!DH3:DJ6,3,FALSE),0),0))&gt;=100,100,(Backdoors!AI12+IF(DC31&gt;=0.45,VLOOKUP(Calculator!E23,tbSkills!DH3:DI6,2,FALSE)+IF(AND(Calculator!B8=TRUE,Backdoors!BI18=TRUE),VLOOKUP(Calculator!E23,tbSkills!DH3:DJ6,3,FALSE),0),0)))/100)),(1-(0.25*((-Backdoors!AI12-IF(DC31&gt;=0.45,VLOOKUP(Calculator!E23,tbSkills!DH3:DI6,2,FALSE)+IF(AND(Calculator!B8=TRUE,Backdoors!BI18=TRUE),VLOOKUP(Calculator!E23,tbSkills!DH3:DJ6,3,FALSE),0),0))/100)))),1),"")</f>
        <v>1</v>
      </c>
      <c r="DF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C31)*DE31)*(VLOOKUP(A31,tbMoveset!A2:C112,3,FALSE)/100)*IF(VLOOKUP(A31,tbMoveset!A2:B112,2,FALSE)="Projectile",Backdoors!N10,Backdoors!N9),0),"")</f>
        <v/>
      </c>
      <c r="DG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C31&gt;=0.45,VLOOKUP(Calculator!E23,tbSkills!DH3:DI6,2,FALSE)+IF(AND(Calculator!B8=TRUE,Backdoors!BI18=TRUE),VLOOKUP(Calculator!E23,tbSkills!DH3:DJ6,3,FALSE),0),0))&gt;=100,100,(Backdoors!AI12+IF(DC31&gt;=0.45,VLOOKUP(Calculator!E23,tbSkills!DH3:DI6,2,FALSE)+IF(AND(Calculator!B8=TRUE,Backdoors!BI18=TRUE),VLOOKUP(Calculator!E23,tbSkills!DH3:DJ6,3,FALSE),0),0)))/100)),1))*IF(VLOOKUP(A31,tbMoveset!A2:K112,11,FALSE)=TRUE,Backdoors!AC5,1))*DD31,0),"")</f>
        <v>0</v>
      </c>
      <c r="DH31" s="49">
        <f>VLOOKUP(A31,tbMoveset!A2:G112,7,FALSE)*IFERROR(IF(Backdoors!AI12&gt;=0,1+(IF(Calculator!E40&gt;0,VLOOKUP(Calculator!E40,tbSkills!AI3:AJ5,2,FALSE),Backdoors!AL4)*(IF((Backdoors!AI12+IF(DC31&gt;=0.45,VLOOKUP(Calculator!E23,tbSkills!DH3:DI6,2,FALSE)+IF(AND(Calculator!B8=TRUE,Backdoors!BI18=TRUE),VLOOKUP(Calculator!E23,tbSkills!DH3:DJ6,3,FALSE),0),0))&gt;=100,100,(Backdoors!AI12+IF(DC31&gt;=0.45,VLOOKUP(Calculator!E23,tbSkills!DH3:DI6,2,FALSE)+IF(AND(Calculator!B8=TRUE,Backdoors!BI18=TRUE),VLOOKUP(Calculator!E23,tbSkills!DH3:DJ6,3,FALSE),0),0)))/100)),1),1)</f>
        <v>0.6</v>
      </c>
      <c r="DI31" s="87">
        <f t="shared" si="9"/>
        <v>0</v>
      </c>
      <c r="DJ31" s="86" t="str">
        <f>IFERROR(IF(VLOOKUP(A31,tbMoveset!A2:B112,2,FALSE)="Sever",Backdoors!AY19/100,IF(VLOOKUP(A31,tbMoveset!A2:B112,2,FALSE)="Blunt",Backdoors!AZ19/100,Backdoors!BA19/100)),"")</f>
        <v/>
      </c>
      <c r="DK31" s="49">
        <f>IFERROR(IF(VLOOKUP(tbMoveset!A31,tbMoveset!A2:H112,8,FALSE)="Other",IF(VLOOKUP(tbMoveset!A31,tbMoveset!A2:I112,9,FALSE)="Fire",Backdoors!BB19,IF(VLOOKUP(tbMoveset!A31,tbMoveset!A2:I112,9,FALSE)="Water",Backdoors!BC19,IF(VLOOKUP(tbMoveset!A31,tbMoveset!A2:I112,9,FALSE)="Thunder",Backdoors!BD19,IF(VLOOKUP(tbMoveset!A31,tbMoveset!A2:I112,9,FALSE)="Ice",Backdoors!BE19,IF(VLOOKUP(tbMoveset!A31,tbMoveset!A2:I112,9,FALSE)="Dragon",Backdoors!BF19,Backdoors!BG19)))))/100,Backdoors!BG19/100),"")</f>
        <v>0</v>
      </c>
      <c r="DL31" s="49">
        <f>IFERROR(IF(VLOOKUP(A31,tbMoveset!A2:J112,10,FALSE)=TRUE,IF((Backdoors!AI12+IF(DJ31&gt;=0.45,VLOOKUP(Calculator!E23,tbSkills!DH3:DI6,2,FALSE)+IF(AND(Calculator!B8=TRUE,Backdoors!BI19=TRUE),VLOOKUP(Calculator!E23,tbSkills!DH3:DJ6,3,FALSE),0),0))&gt;=0,1+(Backdoors!AL2*(IF((Backdoors!AI12+IF(DJ31&gt;=0.45,VLOOKUP(Calculator!E23,tbSkills!DH3:DI6,2,FALSE)+IF(AND(Calculator!B8=TRUE,Backdoors!BI19=TRUE),VLOOKUP(Calculator!E23,tbSkills!DH3:DJ6,3,FALSE),0),0))&gt;=100,100,(Backdoors!AI12+IF(DJ31&gt;=0.45,VLOOKUP(Calculator!E23,tbSkills!DH3:DI6,2,FALSE)+IF(AND(Calculator!B8=TRUE,Backdoors!BI19=TRUE),VLOOKUP(Calculator!E23,tbSkills!DH3:DJ6,3,FALSE),0),0)))/100)),(1-(0.25*((-Backdoors!AI12-IF(DJ31&gt;=0.45,VLOOKUP(Calculator!E23,tbSkills!DH3:DI6,2,FALSE)+IF(AND(Calculator!B8=TRUE,Backdoors!BI19=TRUE),VLOOKUP(Calculator!E23,tbSkills!DH3:DJ6,3,FALSE),0),0))/100)))),1),"")</f>
        <v>1</v>
      </c>
      <c r="DM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J31)*DL31)*(VLOOKUP(A31,tbMoveset!A2:C112,3,FALSE)/100)*IF(VLOOKUP(A31,tbMoveset!A2:B112,2,FALSE)="Projectile",Backdoors!N10,Backdoors!N9),0),"")</f>
        <v/>
      </c>
      <c r="DN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J31&gt;=0.45,VLOOKUP(Calculator!E23,tbSkills!DH3:DI6,2,FALSE)+IF(AND(Calculator!B8=TRUE,Backdoors!BI19=TRUE),VLOOKUP(Calculator!E23,tbSkills!DH3:DJ6,3,FALSE),0),0))&gt;=100,100,(Backdoors!AI12+IF(DJ31&gt;=0.45,VLOOKUP(Calculator!E23,tbSkills!DH3:DI6,2,FALSE)+IF(AND(Calculator!B8=TRUE,Backdoors!BI19=TRUE),VLOOKUP(Calculator!E23,tbSkills!DH3:DJ6,3,FALSE),0),0)))/100)),1))*IF(VLOOKUP(A31,tbMoveset!A2:K112,11,FALSE)=TRUE,Backdoors!AC5,1))*DK31,0),"")</f>
        <v>0</v>
      </c>
      <c r="DO31" s="49">
        <f>VLOOKUP(A31,tbMoveset!A2:G112,7,FALSE)*IFERROR(IF(Backdoors!AI12&gt;=0,1+(IF(Calculator!E40&gt;0,VLOOKUP(Calculator!E40,tbSkills!AI3:AJ5,2,FALSE),Backdoors!AL4)*(IF((Backdoors!AI12+IF(DJ31&gt;=0.45,VLOOKUP(Calculator!E23,tbSkills!DH3:DI6,2,FALSE)+IF(AND(Calculator!B8=TRUE,Backdoors!BI19=TRUE),VLOOKUP(Calculator!E23,tbSkills!DH3:DJ6,3,FALSE),0),0))&gt;=100,100,(Backdoors!AI12+IF(DJ31&gt;=0.45,VLOOKUP(Calculator!E23,tbSkills!DH3:DI6,2,FALSE)+IF(AND(Calculator!B8=TRUE,Backdoors!BI19=TRUE),VLOOKUP(Calculator!E23,tbSkills!DH3:DJ6,3,FALSE),0),0)))/100)),1),1)</f>
        <v>0.6</v>
      </c>
      <c r="DP31" s="87">
        <f t="shared" si="41"/>
        <v>0</v>
      </c>
      <c r="DQ31" s="86" t="str">
        <f>IFERROR(IF(VLOOKUP(A31,tbMoveset!A2:B112,2,FALSE)="Sever",Backdoors!AY20/100,IF(VLOOKUP(A31,tbMoveset!A2:B112,2,FALSE)="Blunt",Backdoors!AZ20/100,Backdoors!BA20/100)),"")</f>
        <v/>
      </c>
      <c r="DR31" s="49">
        <f>IFERROR(IF(VLOOKUP(tbMoveset!A31,tbMoveset!A2:H112,8,FALSE)="Other",IF(VLOOKUP(tbMoveset!A31,tbMoveset!A2:I112,9,FALSE)="Fire",Backdoors!BB20,IF(VLOOKUP(tbMoveset!A31,tbMoveset!A2:I112,9,FALSE)="Water",Backdoors!BC20,IF(VLOOKUP(tbMoveset!A31,tbMoveset!A2:I112,9,FALSE)="Thunder",Backdoors!BD20,IF(VLOOKUP(tbMoveset!A31,tbMoveset!A2:I112,9,FALSE)="Ice",Backdoors!BE20,IF(VLOOKUP(tbMoveset!A31,tbMoveset!A2:I112,9,FALSE)="Dragon",Backdoors!BF20,Backdoors!BG20)))))/100,Backdoors!BG20/100),"")</f>
        <v>0</v>
      </c>
      <c r="DS31" s="49">
        <f>IFERROR(IF(VLOOKUP(A31,tbMoveset!A2:J112,10,FALSE)=TRUE,IF((Backdoors!AI12+IF(DQ31&gt;=0.45,VLOOKUP(Calculator!E23,tbSkills!DH3:DI6,2,FALSE)+IF(AND(Calculator!B8=TRUE,Backdoors!BI20=TRUE),VLOOKUP(Calculator!E23,tbSkills!DH3:DJ6,3,FALSE),0),0))&gt;=0,1+(Backdoors!AL2*(IF((Backdoors!AI12+IF(DQ31&gt;=0.45,VLOOKUP(Calculator!E23,tbSkills!DH3:DI6,2,FALSE)+IF(AND(Calculator!B8=TRUE,Backdoors!BI20=TRUE),VLOOKUP(Calculator!E23,tbSkills!DH3:DJ6,3,FALSE),0),0))&gt;=100,100,(Backdoors!AI12+IF(DQ31&gt;=0.45,VLOOKUP(Calculator!E23,tbSkills!DH3:DI6,2,FALSE)+IF(AND(Calculator!B8=TRUE,Backdoors!BI20=TRUE),VLOOKUP(Calculator!E23,tbSkills!DH3:DJ6,3,FALSE),0),0)))/100)),(1-(0.25*((-Backdoors!AI12-IF(DQ31&gt;=0.45,VLOOKUP(Calculator!E23,tbSkills!DH3:DI6,2,FALSE)+IF(AND(Calculator!B8=TRUE,Backdoors!BI20=TRUE),VLOOKUP(Calculator!E23,tbSkills!DH3:DJ6,3,FALSE),0),0))/100)))),1),"")</f>
        <v>1</v>
      </c>
      <c r="DT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Q31)*DS31)*(VLOOKUP(A31,tbMoveset!A2:C112,3,FALSE)/100)*IF(VLOOKUP(A31,tbMoveset!A2:B112,2,FALSE)="Projectile",Backdoors!N10,Backdoors!N9),0),"")</f>
        <v/>
      </c>
      <c r="DU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Q31&gt;=0.45,VLOOKUP(Calculator!E23,tbSkills!DH3:DI6,2,FALSE)+IF(AND(Calculator!B8=TRUE,Backdoors!BI20=TRUE),VLOOKUP(Calculator!E23,tbSkills!DH3:DJ6,3,FALSE),0),0))&gt;=100,100,(Backdoors!AI12+IF(DQ31&gt;=0.45,VLOOKUP(Calculator!E23,tbSkills!DH3:DI6,2,FALSE)+IF(AND(Calculator!B8=TRUE,Backdoors!BI20=TRUE),VLOOKUP(Calculator!E23,tbSkills!DH3:DJ6,3,FALSE),0),0)))/100)),1))*IF(VLOOKUP(A31,tbMoveset!A2:K112,11,FALSE)=TRUE,Backdoors!AC5,1))*DR31,0),"")</f>
        <v>0</v>
      </c>
      <c r="DV31" s="49">
        <f>VLOOKUP(A31,tbMoveset!A2:G112,7,FALSE)*IFERROR(IF(Backdoors!AI12&gt;=0,1+(IF(Calculator!E40&gt;0,VLOOKUP(Calculator!E40,tbSkills!AI3:AJ5,2,FALSE),Backdoors!AL4)*(IF((Backdoors!AI12+IF(DQ31&gt;=0.45,VLOOKUP(Calculator!E23,tbSkills!DH3:DI6,2,FALSE)+IF(AND(Calculator!B8=TRUE,Backdoors!BI20=TRUE),VLOOKUP(Calculator!E23,tbSkills!DH3:DJ6,3,FALSE),0),0))&gt;=100,100,(Backdoors!AI12+IF(DQ31&gt;=0.45,VLOOKUP(Calculator!E23,tbSkills!DH3:DI6,2,FALSE)+IF(AND(Calculator!B8=TRUE,Backdoors!BI20=TRUE),VLOOKUP(Calculator!E23,tbSkills!DH3:DJ6,3,FALSE),0),0)))/100)),1),1)</f>
        <v>0.6</v>
      </c>
      <c r="DW31" s="87">
        <f t="shared" si="10"/>
        <v>0</v>
      </c>
      <c r="DX31" s="86" t="str">
        <f>IFERROR(IF(VLOOKUP(A31,tbMoveset!A2:B112,2,FALSE)="Sever",Backdoors!AY21/100,IF(VLOOKUP(A31,tbMoveset!A2:B112,2,FALSE)="Blunt",Backdoors!AZ21/100,Backdoors!BA21/100)),"")</f>
        <v/>
      </c>
      <c r="DY31" s="49">
        <f>IFERROR(IF(VLOOKUP(tbMoveset!A31,tbMoveset!A2:H112,8,FALSE)="Other",IF(VLOOKUP(tbMoveset!A31,tbMoveset!A2:I112,9,FALSE)="Fire",Backdoors!BB21,IF(VLOOKUP(tbMoveset!A31,tbMoveset!A2:I112,9,FALSE)="Water",Backdoors!BC21,IF(VLOOKUP(tbMoveset!A31,tbMoveset!A2:I112,9,FALSE)="Thunder",Backdoors!BD21,IF(VLOOKUP(tbMoveset!A31,tbMoveset!A2:I112,9,FALSE)="Ice",Backdoors!BE21,IF(VLOOKUP(tbMoveset!A31,tbMoveset!A2:I112,9,FALSE)="Dragon",Backdoors!BF21,Backdoors!BG21)))))/100,Backdoors!BG21/100),"")</f>
        <v>0</v>
      </c>
      <c r="DZ31" s="49">
        <f>IFERROR(IF(VLOOKUP(A31,tbMoveset!A2:J112,10,FALSE)=TRUE,IF((Backdoors!AI12+IF(DX31&gt;=0.45,VLOOKUP(Calculator!E23,tbSkills!DH3:DI6,2,FALSE)+IF(AND(Calculator!B8=TRUE,Backdoors!BI21=TRUE),VLOOKUP(Calculator!E23,tbSkills!DH3:DJ6,3,FALSE),0),0))&gt;=0,1+(Backdoors!AL2*(IF((Backdoors!AI12+IF(DX31&gt;=0.45,VLOOKUP(Calculator!E23,tbSkills!DH3:DI6,2,FALSE)+IF(AND(Calculator!B8=TRUE,Backdoors!BI21=TRUE),VLOOKUP(Calculator!E23,tbSkills!DH3:DJ6,3,FALSE),0),0))&gt;=100,100,(Backdoors!AI12+IF(DX31&gt;=0.45,VLOOKUP(Calculator!E23,tbSkills!DH3:DI6,2,FALSE)+IF(AND(Calculator!B8=TRUE,Backdoors!BI21=TRUE),VLOOKUP(Calculator!E23,tbSkills!DH3:DJ6,3,FALSE),0),0)))/100)),(1-(0.25*((-Backdoors!AI12-IF(DX31&gt;=0.45,VLOOKUP(Calculator!E23,tbSkills!DH3:DI6,2,FALSE)+IF(AND(Calculator!B8=TRUE,Backdoors!BI21=TRUE),VLOOKUP(Calculator!E23,tbSkills!DH3:DJ6,3,FALSE),0),0))/100)))),1),"")</f>
        <v>1</v>
      </c>
      <c r="EA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X31)*DZ31)*(VLOOKUP(A31,tbMoveset!A2:C112,3,FALSE)/100)*IF(VLOOKUP(A31,tbMoveset!A2:B112,2,FALSE)="Projectile",Backdoors!N10,Backdoors!N9),0),"")</f>
        <v/>
      </c>
      <c r="EB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X31&gt;=0.45,VLOOKUP(Calculator!E23,tbSkills!DH3:DI6,2,FALSE)+IF(AND(Calculator!B8=TRUE,Backdoors!BI21=TRUE),VLOOKUP(Calculator!E23,tbSkills!DH3:DJ6,3,FALSE),0),0))&gt;=100,100,(Backdoors!AI12+IF(DX31&gt;=0.45,VLOOKUP(Calculator!E23,tbSkills!DH3:DI6,2,FALSE)+IF(AND(Calculator!B8=TRUE,Backdoors!BI21=TRUE),VLOOKUP(Calculator!E23,tbSkills!DH3:DJ6,3,FALSE),0),0)))/100)),1))*IF(VLOOKUP(A31,tbMoveset!A2:K112,11,FALSE)=TRUE,Backdoors!AC5,1))*DY31,0),"")</f>
        <v>0</v>
      </c>
      <c r="EC31" s="49">
        <f>VLOOKUP(A31,tbMoveset!A2:G112,7,FALSE)*IFERROR(IF(Backdoors!AI12&gt;=0,1+(IF(Calculator!E40&gt;0,VLOOKUP(Calculator!E40,tbSkills!AI3:AJ5,2,FALSE),Backdoors!AL4)*(IF((Backdoors!AI12+IF(DX31&gt;=0.45,VLOOKUP(Calculator!E23,tbSkills!DH3:DI6,2,FALSE)+IF(AND(Calculator!B8=TRUE,Backdoors!BI21=TRUE),VLOOKUP(Calculator!E23,tbSkills!DH3:DJ6,3,FALSE),0),0))&gt;=100,100,(Backdoors!AI12+IF(DX31&gt;=0.45,VLOOKUP(Calculator!E23,tbSkills!DH3:DI6,2,FALSE)+IF(AND(Calculator!B8=TRUE,Backdoors!BI21=TRUE),VLOOKUP(Calculator!E23,tbSkills!DH3:DJ6,3,FALSE),0),0)))/100)),1),1)</f>
        <v>0.6</v>
      </c>
      <c r="ED31" s="87">
        <f t="shared" si="11"/>
        <v>0</v>
      </c>
      <c r="EE31" s="86" t="str">
        <f>IFERROR(IF(VLOOKUP(A31,tbMoveset!A2:B112,2,FALSE)="Sever",Backdoors!AY22/100,IF(VLOOKUP(A31,tbMoveset!A2:B112,2,FALSE)="Blunt",Backdoors!AZ22/100,Backdoors!BA22/100)),"")</f>
        <v/>
      </c>
      <c r="EF31" s="49">
        <f>IFERROR(IF(VLOOKUP(tbMoveset!A31,tbMoveset!A2:H112,8,FALSE)="Other",IF(VLOOKUP(tbMoveset!A31,tbMoveset!A2:I112,9,FALSE)="Fire",Backdoors!BB22,IF(VLOOKUP(tbMoveset!A31,tbMoveset!A2:I112,9,FALSE)="Water",Backdoors!BC22,IF(VLOOKUP(tbMoveset!A31,tbMoveset!A2:I112,9,FALSE)="Thunder",Backdoors!BD22,IF(VLOOKUP(tbMoveset!A31,tbMoveset!A2:I112,9,FALSE)="Ice",Backdoors!BE22,IF(VLOOKUP(tbMoveset!A31,tbMoveset!A2:I112,9,FALSE)="Dragon",Backdoors!BF22,Backdoors!BG22)))))/100,Backdoors!BG22/100),"")</f>
        <v>0</v>
      </c>
      <c r="EG31" s="49">
        <f>IFERROR(IF(VLOOKUP(A31,tbMoveset!A2:J112,10,FALSE)=TRUE,IF((Backdoors!AI12+IF(EE31&gt;=0.45,VLOOKUP(Calculator!E23,tbSkills!DH3:DI6,2,FALSE)+IF(AND(Calculator!B8=TRUE,Backdoors!BI22=TRUE),VLOOKUP(Calculator!E23,tbSkills!DH3:DJ6,3,FALSE),0),0))&gt;=0,1+(Backdoors!AL2*(IF((Backdoors!AI12+IF(EE31&gt;=0.45,VLOOKUP(Calculator!E23,tbSkills!DH3:DI6,2,FALSE)+IF(AND(Calculator!B8=TRUE,Backdoors!BI22=TRUE),VLOOKUP(Calculator!E23,tbSkills!DH3:DJ6,3,FALSE),0),0))&gt;=100,100,(Backdoors!AI12+IF(EE31&gt;=0.45,VLOOKUP(Calculator!E23,tbSkills!DH3:DI6,2,FALSE)+IF(AND(Calculator!B8=TRUE,Backdoors!BI22=TRUE),VLOOKUP(Calculator!E23,tbSkills!DH3:DJ6,3,FALSE),0),0)))/100)),(1-(0.25*((-Backdoors!AI12-IF(EE31&gt;=0.45,VLOOKUP(Calculator!E23,tbSkills!DH3:DI6,2,FALSE)+IF(AND(Calculator!B8=TRUE,Backdoors!BI22=TRUE),VLOOKUP(Calculator!E23,tbSkills!DH3:DJ6,3,FALSE),0),0))/100)))),1),"")</f>
        <v>1</v>
      </c>
      <c r="EH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E31)*EG31)*(VLOOKUP(A31,tbMoveset!A2:C112,3,FALSE)/100)*IF(VLOOKUP(A31,tbMoveset!A2:B112,2,FALSE)="Projectile",Backdoors!N10,Backdoors!N9),0),"")</f>
        <v/>
      </c>
      <c r="EI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E31&gt;=0.45,VLOOKUP(Calculator!E23,tbSkills!DH3:DI6,2,FALSE)+IF(AND(Calculator!B8=TRUE,Backdoors!BI22=TRUE),VLOOKUP(Calculator!E23,tbSkills!DH3:DJ6,3,FALSE),0),0))&gt;=100,100,(Backdoors!AI12+IF(EE31&gt;=0.45,VLOOKUP(Calculator!E23,tbSkills!DH3:DI6,2,FALSE)+IF(AND(Calculator!B8=TRUE,Backdoors!BI22=TRUE),VLOOKUP(Calculator!E23,tbSkills!DH3:DJ6,3,FALSE),0),0)))/100)),1))*IF(VLOOKUP(A31,tbMoveset!A2:K112,11,FALSE)=TRUE,Backdoors!AC5,1))*EF31,0),"")</f>
        <v>0</v>
      </c>
      <c r="EJ31" s="49">
        <f>VLOOKUP(A31,tbMoveset!A2:G112,7,FALSE)*IFERROR(IF(Backdoors!AI12&gt;=0,1+(IF(Calculator!E40&gt;0,VLOOKUP(Calculator!E40,tbSkills!AI3:AJ5,2,FALSE),Backdoors!AL4)*(IF((Backdoors!AI12+IF(EE31&gt;=0.45,VLOOKUP(Calculator!E23,tbSkills!DH3:DI6,2,FALSE)+IF(AND(Calculator!B8=TRUE,Backdoors!BI22=TRUE),VLOOKUP(Calculator!E23,tbSkills!DH3:DJ6,3,FALSE),0),0))&gt;=100,100,(Backdoors!AI12+IF(EE31&gt;=0.45,VLOOKUP(Calculator!E23,tbSkills!DH3:DI6,2,FALSE)+IF(AND(Calculator!B8=TRUE,Backdoors!BI22=TRUE),VLOOKUP(Calculator!E23,tbSkills!DH3:DJ6,3,FALSE),0),0)))/100)),1),1)</f>
        <v>0.6</v>
      </c>
      <c r="EK31" s="87">
        <f t="shared" si="12"/>
        <v>0</v>
      </c>
      <c r="EL31" s="86" t="str">
        <f>IFERROR(IF(VLOOKUP(A31,tbMoveset!A2:B112,2,FALSE)="Sever",Backdoors!AY23/100,IF(VLOOKUP(A31,tbMoveset!A2:B112,2,FALSE)="Blunt",Backdoors!AZ23/100,Backdoors!BA23/100)),"")</f>
        <v/>
      </c>
      <c r="EM31" s="49">
        <f>IFERROR(IF(VLOOKUP(tbMoveset!A31,tbMoveset!A2:H112,8,FALSE)="Other",IF(VLOOKUP(tbMoveset!A31,tbMoveset!A2:I112,9,FALSE)="Fire",Backdoors!BB23,IF(VLOOKUP(tbMoveset!A31,tbMoveset!A2:I112,9,FALSE)="Water",Backdoors!BC23,IF(VLOOKUP(tbMoveset!A31,tbMoveset!A2:I112,9,FALSE)="Thunder",Backdoors!BD23,IF(VLOOKUP(tbMoveset!A31,tbMoveset!A2:I112,9,FALSE)="Ice",Backdoors!BE23,IF(VLOOKUP(tbMoveset!A31,tbMoveset!A2:I112,9,FALSE)="Dragon",Backdoors!BF23,Backdoors!BG23)))))/100,Backdoors!BG23/100),"")</f>
        <v>0</v>
      </c>
      <c r="EN31" s="49">
        <f>IFERROR(IF(VLOOKUP(A31,tbMoveset!A2:J112,10,FALSE)=TRUE,IF((Backdoors!AI12+IF(EL31&gt;=0.45,VLOOKUP(Calculator!E23,tbSkills!DH3:DI6,2,FALSE)+IF(AND(Calculator!B8=TRUE,Backdoors!BI23=TRUE),VLOOKUP(Calculator!E23,tbSkills!DH3:DJ6,3,FALSE),0),0))&gt;=0,1+(Backdoors!AL2*(IF((Backdoors!AI12+IF(EL31&gt;=0.45,VLOOKUP(Calculator!E23,tbSkills!DH3:DI6,2,FALSE)+IF(AND(Calculator!B8=TRUE,Backdoors!BI23=TRUE),VLOOKUP(Calculator!E23,tbSkills!DH3:DJ6,3,FALSE),0),0))&gt;=100,100,(Backdoors!AI12+IF(EL31&gt;=0.45,VLOOKUP(Calculator!E23,tbSkills!DH3:DI6,2,FALSE)+IF(AND(Calculator!B8=TRUE,Backdoors!BI23=TRUE),VLOOKUP(Calculator!E23,tbSkills!DH3:DJ6,3,FALSE),0),0)))/100)),(1-(0.25*((-Backdoors!AI12-IF(EL31&gt;=0.45,VLOOKUP(Calculator!E23,tbSkills!DH3:DI6,2,FALSE)+IF(AND(Calculator!B8=TRUE,Backdoors!BI23=TRUE),VLOOKUP(Calculator!E23,tbSkills!DH3:DJ6,3,FALSE),0),0))/100)))),1),"")</f>
        <v>1</v>
      </c>
      <c r="EO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L31)*EN31)*(VLOOKUP(A31,tbMoveset!A2:C112,3,FALSE)/100)*IF(VLOOKUP(A31,tbMoveset!A2:B112,2,FALSE)="Projectile",Backdoors!N10,Backdoors!N9),0),"")</f>
        <v/>
      </c>
      <c r="EP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L31&gt;=0.45,VLOOKUP(Calculator!E23,tbSkills!DH3:DI6,2,FALSE)+IF(AND(Calculator!B8=TRUE,Backdoors!BI23=TRUE),VLOOKUP(Calculator!E23,tbSkills!DH3:DJ6,3,FALSE),0),0))&gt;=100,100,(Backdoors!AI12+IF(EL31&gt;=0.45,VLOOKUP(Calculator!E23,tbSkills!DH3:DI6,2,FALSE)+IF(AND(Calculator!B8=TRUE,Backdoors!BI23=TRUE),VLOOKUP(Calculator!E23,tbSkills!DH3:DJ6,3,FALSE),0),0)))/100)),1))*IF(VLOOKUP(A31,tbMoveset!A2:K112,11,FALSE)=TRUE,Backdoors!AC5,1))*EM31,0),"")</f>
        <v>0</v>
      </c>
      <c r="EQ31" s="49">
        <f>VLOOKUP(A31,tbMoveset!A2:G112,7,FALSE)*IFERROR(IF(Backdoors!AI12&gt;=0,1+(IF(Calculator!E40&gt;0,VLOOKUP(Calculator!E40,tbSkills!AI3:AJ5,2,FALSE),Backdoors!AL4)*(IF((Backdoors!AI12+IF(EL31&gt;=0.45,VLOOKUP(Calculator!E23,tbSkills!DH3:DI6,2,FALSE)+IF(AND(Calculator!B8=TRUE,Backdoors!BI23=TRUE),VLOOKUP(Calculator!E23,tbSkills!DH3:DJ6,3,FALSE),0),0))&gt;=100,100,(Backdoors!AI12+IF(EL31&gt;=0.45,VLOOKUP(Calculator!E23,tbSkills!DH3:DI6,2,FALSE)+IF(AND(Calculator!B8=TRUE,Backdoors!BI23=TRUE),VLOOKUP(Calculator!E23,tbSkills!DH3:DJ6,3,FALSE),0),0)))/100)),1),1)</f>
        <v>0.6</v>
      </c>
      <c r="ER31" s="87">
        <f t="shared" si="13"/>
        <v>0</v>
      </c>
      <c r="ES31" s="86" t="str">
        <f>IFERROR(IF(VLOOKUP(A31,tbMoveset!A2:B112,2,FALSE)="Sever",Backdoors!AY24/100,IF(VLOOKUP(A31,tbMoveset!A2:B112,2,FALSE)="Blunt",Backdoors!AZ24/100,Backdoors!BA24/100)),"")</f>
        <v/>
      </c>
      <c r="ET31" s="49">
        <f>IFERROR(IF(VLOOKUP(tbMoveset!A31,tbMoveset!A2:H112,8,FALSE)="Other",IF(VLOOKUP(tbMoveset!A31,tbMoveset!A2:I112,9,FALSE)="Fire",Backdoors!BB24,IF(VLOOKUP(tbMoveset!A31,tbMoveset!A2:I112,9,FALSE)="Water",Backdoors!BC24,IF(VLOOKUP(tbMoveset!A31,tbMoveset!A2:I112,9,FALSE)="Thunder",Backdoors!BD24,IF(VLOOKUP(tbMoveset!A31,tbMoveset!A2:I112,9,FALSE)="Ice",Backdoors!BE24,IF(VLOOKUP(tbMoveset!A31,tbMoveset!A2:I112,9,FALSE)="Dragon",Backdoors!BF24,Backdoors!BG24)))))/100,Backdoors!BG24/100),"")</f>
        <v>0</v>
      </c>
      <c r="EU31" s="49">
        <f>IFERROR(IF(VLOOKUP(A31,tbMoveset!A2:J112,10,FALSE)=TRUE,IF((Backdoors!AI12+IF(ES31&gt;=0.45,VLOOKUP(Calculator!E23,tbSkills!DH3:DI6,2,FALSE)+IF(AND(Calculator!B8=TRUE,Backdoors!BI24=TRUE),VLOOKUP(Calculator!E23,tbSkills!DH3:DJ6,3,FALSE),0),0))&gt;=0,1+(Backdoors!AL2*(IF((Backdoors!AI12+IF(ES31&gt;=0.45,VLOOKUP(Calculator!E23,tbSkills!DH3:DI6,2,FALSE)+IF(AND(Calculator!B8=TRUE,Backdoors!BI24=TRUE),VLOOKUP(Calculator!E23,tbSkills!DH3:DJ6,3,FALSE),0),0))&gt;=100,100,(Backdoors!AI12+IF(ES31&gt;=0.45,VLOOKUP(Calculator!E23,tbSkills!DH3:DI6,2,FALSE)+IF(AND(Calculator!B8=TRUE,Backdoors!BI24=TRUE),VLOOKUP(Calculator!E23,tbSkills!DH3:DJ6,3,FALSE),0),0)))/100)),(1-(0.25*((-Backdoors!AI12-IF(ES31&gt;=0.45,VLOOKUP(Calculator!E23,tbSkills!DH3:DI6,2,FALSE)+IF(AND(Calculator!B8=TRUE,Backdoors!BI24=TRUE),VLOOKUP(Calculator!E23,tbSkills!DH3:DJ6,3,FALSE),0),0))/100)))),1),"")</f>
        <v>1</v>
      </c>
      <c r="EV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S31)*EU31)*(VLOOKUP(A31,tbMoveset!A2:C112,3,FALSE)/100)*IF(VLOOKUP(A31,tbMoveset!A2:B112,2,FALSE)="Projectile",Backdoors!N10,Backdoors!N9),0),"")</f>
        <v/>
      </c>
      <c r="EW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S31&gt;=0.45,VLOOKUP(Calculator!E23,tbSkills!DH3:DI6,2,FALSE)+IF(AND(Calculator!B8=TRUE,Backdoors!BI24=TRUE),VLOOKUP(Calculator!E23,tbSkills!DH3:DJ6,3,FALSE),0),0))&gt;=100,100,(Backdoors!AI12+IF(ES31&gt;=0.45,VLOOKUP(Calculator!E23,tbSkills!DH3:DI6,2,FALSE)+IF(AND(Calculator!B8=TRUE,Backdoors!BI24=TRUE),VLOOKUP(Calculator!E23,tbSkills!DH3:DJ6,3,FALSE),0),0)))/100)),1))*IF(VLOOKUP(A31,tbMoveset!A2:K112,11,FALSE)=TRUE,Backdoors!AC5,1))*ET31,0),"")</f>
        <v>0</v>
      </c>
      <c r="EX31" s="49">
        <f>VLOOKUP(A31,tbMoveset!A2:G112,7,FALSE)*IFERROR(IF(Backdoors!AI12&gt;=0,1+(IF(Calculator!E40&gt;0,VLOOKUP(Calculator!E40,tbSkills!AI3:AJ5,2,FALSE),Backdoors!AL4)*(IF((Backdoors!AI12+IF(ES31&gt;=0.45,VLOOKUP(Calculator!E23,tbSkills!DH3:DI6,2,FALSE)+IF(AND(Calculator!B8=TRUE,Backdoors!BI24=TRUE),VLOOKUP(Calculator!E23,tbSkills!DH3:DJ6,3,FALSE),0),0))&gt;=100,100,(Backdoors!AI12+IF(ES31&gt;=0.45,VLOOKUP(Calculator!E23,tbSkills!DH3:DI6,2,FALSE)+IF(AND(Calculator!B8=TRUE,Backdoors!BI24=TRUE),VLOOKUP(Calculator!E23,tbSkills!DH3:DJ6,3,FALSE),0),0)))/100)),1),1)</f>
        <v>0.6</v>
      </c>
      <c r="EY31" s="87">
        <f t="shared" si="14"/>
        <v>0</v>
      </c>
      <c r="EZ31" s="86" t="str">
        <f>IFERROR(IF(VLOOKUP(A31,tbMoveset!A2:B112,2,FALSE)="Sever",Backdoors!AY25/100,IF(VLOOKUP(A31,tbMoveset!A2:B112,2,FALSE)="Blunt",Backdoors!AZ25/100,Backdoors!BA25/100)),"")</f>
        <v/>
      </c>
      <c r="FA31" s="49">
        <f>IFERROR(IF(VLOOKUP(tbMoveset!A31,tbMoveset!A2:H112,8,FALSE)="Other",IF(VLOOKUP(tbMoveset!A31,tbMoveset!A2:I112,9,FALSE)="Fire",Backdoors!BB25,IF(VLOOKUP(tbMoveset!A31,tbMoveset!A2:I112,9,FALSE)="Water",Backdoors!BC25,IF(VLOOKUP(tbMoveset!A31,tbMoveset!A2:I112,9,FALSE)="Thunder",Backdoors!BD25,IF(VLOOKUP(tbMoveset!A31,tbMoveset!A2:I112,9,FALSE)="Ice",Backdoors!BE25,IF(VLOOKUP(tbMoveset!A31,tbMoveset!A2:I112,9,FALSE)="Dragon",Backdoors!BF25,Backdoors!BG25)))))/100,Backdoors!BG25/100),"")</f>
        <v>0</v>
      </c>
      <c r="FB31" s="49">
        <f>IFERROR(IF(VLOOKUP(A31,tbMoveset!A2:J112,10,FALSE)=TRUE,IF((Backdoors!AI12+IF(EZ31&gt;=0.45,VLOOKUP(Calculator!E23,tbSkills!DH3:DI6,2,FALSE)+IF(AND(Calculator!B8=TRUE,Backdoors!BI25=TRUE),VLOOKUP(Calculator!E23,tbSkills!DH3:DJ6,3,FALSE),0),0))&gt;=0,1+(Backdoors!AL2*(IF((Backdoors!AI12+IF(EZ31&gt;=0.45,VLOOKUP(Calculator!E23,tbSkills!DH3:DI6,2,FALSE)+IF(AND(Calculator!B8=TRUE,Backdoors!BI25=TRUE),VLOOKUP(Calculator!E23,tbSkills!DH3:DJ6,3,FALSE),0),0))&gt;=100,100,(Backdoors!AI12+IF(EZ31&gt;=0.45,VLOOKUP(Calculator!E23,tbSkills!DH3:DI6,2,FALSE)+IF(AND(Calculator!B8=TRUE,Backdoors!BI25=TRUE),VLOOKUP(Calculator!E23,tbSkills!DH3:DJ6,3,FALSE),0),0)))/100)),(1-(0.25*((-Backdoors!AI12-IF(EZ31&gt;=0.45,VLOOKUP(Calculator!E23,tbSkills!DH3:DI6,2,FALSE)+IF(AND(Calculator!B8=TRUE,Backdoors!BI25=TRUE),VLOOKUP(Calculator!E23,tbSkills!DH3:DJ6,3,FALSE),0),0))/100)))),1),"")</f>
        <v>1</v>
      </c>
      <c r="FC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Z31)*FB31)*(VLOOKUP(A31,tbMoveset!A2:C112,3,FALSE)/100)*IF(VLOOKUP(A31,tbMoveset!A2:B112,2,FALSE)="Projectile",Backdoors!N10,Backdoors!N9),0),"")</f>
        <v/>
      </c>
      <c r="FD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Z31&gt;=0.45,VLOOKUP(Calculator!E23,tbSkills!DH3:DI6,2,FALSE)+IF(AND(Calculator!B8=TRUE,Backdoors!BI25=TRUE),VLOOKUP(Calculator!E23,tbSkills!DH3:DJ6,3,FALSE),0),0))&gt;=100,100,(Backdoors!AI12+IF(EZ31&gt;=0.45,VLOOKUP(Calculator!E23,tbSkills!DH3:DI6,2,FALSE)+IF(AND(Calculator!B8=TRUE,Backdoors!BI25=TRUE),VLOOKUP(Calculator!E23,tbSkills!DH3:DJ6,3,FALSE),0),0)))/100)),1))*IF(VLOOKUP(A31,tbMoveset!A2:K112,11,FALSE)=TRUE,Backdoors!AC5,1))*FA31,0),"")</f>
        <v>0</v>
      </c>
      <c r="FE31" s="49">
        <f>VLOOKUP(A31,tbMoveset!A2:G112,7,FALSE)*IFERROR(IF(Backdoors!AI12&gt;=0,1+(IF(Calculator!E40&gt;0,VLOOKUP(Calculator!E40,tbSkills!AI3:AJ5,2,FALSE),Backdoors!AL4)*(IF((Backdoors!AI12+IF(EZ31&gt;=0.45,VLOOKUP(Calculator!E23,tbSkills!DH3:DI6,2,FALSE)+IF(AND(Calculator!B8=TRUE,Backdoors!BI25=TRUE),VLOOKUP(Calculator!E23,tbSkills!DH3:DJ6,3,FALSE),0),0))&gt;=100,100,(Backdoors!AI12+IF(EZ31&gt;=0.45,VLOOKUP(Calculator!E23,tbSkills!DH3:DI6,2,FALSE)+IF(AND(Calculator!B8=TRUE,Backdoors!BI25=TRUE),VLOOKUP(Calculator!E23,tbSkills!DH3:DJ6,3,FALSE),0),0)))/100)),1),1)</f>
        <v>0.6</v>
      </c>
      <c r="FF31" s="87">
        <f t="shared" si="15"/>
        <v>0</v>
      </c>
      <c r="FG31" s="86" t="str">
        <f>IFERROR(IF(VLOOKUP(A31,tbMoveset!A2:B112,2,FALSE)="Sever",Backdoors!AY26/100,IF(VLOOKUP(A31,tbMoveset!A2:B112,2,FALSE)="Blunt",Backdoors!AZ26/100,Backdoors!BA26/100)),"")</f>
        <v/>
      </c>
      <c r="FH31" s="49">
        <f>IFERROR(IF(VLOOKUP(tbMoveset!A31,tbMoveset!A2:H112,8,FALSE)="Other",IF(VLOOKUP(tbMoveset!A31,tbMoveset!A2:I112,9,FALSE)="Fire",Backdoors!BB26,IF(VLOOKUP(tbMoveset!A31,tbMoveset!A2:I112,9,FALSE)="Water",Backdoors!BC26,IF(VLOOKUP(tbMoveset!A31,tbMoveset!A2:I112,9,FALSE)="Thunder",Backdoors!BD26,IF(VLOOKUP(tbMoveset!A31,tbMoveset!A2:I112,9,FALSE)="Ice",Backdoors!BE26,IF(VLOOKUP(tbMoveset!A31,tbMoveset!A2:I112,9,FALSE)="Dragon",Backdoors!BF26,Backdoors!BG26)))))/100,Backdoors!BG26/100),"")</f>
        <v>0</v>
      </c>
      <c r="FI31" s="49">
        <f>IFERROR(IF(VLOOKUP(A31,tbMoveset!A2:J112,10,FALSE)=TRUE,IF((Backdoors!AI12+IF(FG31&gt;=0.45,VLOOKUP(Calculator!E23,tbSkills!DH3:DI6,2,FALSE)+IF(AND(Calculator!B8=TRUE,Backdoors!BI26=TRUE),VLOOKUP(Calculator!E23,tbSkills!DH3:DJ6,3,FALSE),0),0))&gt;=0,1+(Backdoors!AL2*(IF((Backdoors!AI12+IF(FG31&gt;=0.45,VLOOKUP(Calculator!E23,tbSkills!DH3:DI6,2,FALSE)+IF(AND(Calculator!B8=TRUE,Backdoors!BI26=TRUE),VLOOKUP(Calculator!E23,tbSkills!DH3:DJ6,3,FALSE),0),0))&gt;=100,100,(Backdoors!AI12+IF(FG31&gt;=0.45,VLOOKUP(Calculator!E23,tbSkills!DH3:DI6,2,FALSE)+IF(AND(Calculator!B8=TRUE,Backdoors!BI26=TRUE),VLOOKUP(Calculator!E23,tbSkills!DH3:DJ6,3,FALSE),0),0)))/100)),(1-(0.25*((-Backdoors!AI12-IF(FG31&gt;=0.45,VLOOKUP(Calculator!E23,tbSkills!DH3:DI6,2,FALSE)+IF(AND(Calculator!B8=TRUE,Backdoors!BI26=TRUE),VLOOKUP(Calculator!E23,tbSkills!DH3:DJ6,3,FALSE),0),0))/100)))),1),"")</f>
        <v>1</v>
      </c>
      <c r="FJ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FG31)*FI31)*(VLOOKUP(A31,tbMoveset!A2:C112,3,FALSE)/100)*IF(VLOOKUP(A31,tbMoveset!A2:B112,2,FALSE)="Projectile",Backdoors!N10,Backdoors!N9),0),"")</f>
        <v/>
      </c>
      <c r="FK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FG31&gt;=0.45,VLOOKUP(Calculator!E23,tbSkills!DH3:DI6,2,FALSE)+IF(AND(Calculator!B8=TRUE,Backdoors!BI26=TRUE),VLOOKUP(Calculator!E23,tbSkills!DH3:DJ6,3,FALSE),0),0))&gt;=100,100,(Backdoors!AI12+IF(FG31&gt;=0.45,VLOOKUP(Calculator!E23,tbSkills!DH3:DI6,2,FALSE)+IF(AND(Calculator!B8=TRUE,Backdoors!BI26=TRUE),VLOOKUP(Calculator!E23,tbSkills!DH3:DJ6,3,FALSE),0),0)))/100)),1))*IF(VLOOKUP(A31,tbMoveset!A2:K112,11,FALSE)=TRUE,Backdoors!AC5,1))*FH31,0),"")</f>
        <v>0</v>
      </c>
      <c r="FL31" s="49">
        <f>VLOOKUP(A31,tbMoveset!A2:G112,7,FALSE)*IFERROR(IF(Backdoors!AI12&gt;=0,1+(IF(Calculator!E40&gt;0,VLOOKUP(Calculator!E40,tbSkills!AI3:AJ5,2,FALSE),Backdoors!AL4)*(IF((Backdoors!AI12+IF(FG31&gt;=0.45,VLOOKUP(Calculator!E23,tbSkills!DH3:DI6,2,FALSE)+IF(AND(Calculator!B8=TRUE,Backdoors!BI26=TRUE),VLOOKUP(Calculator!E23,tbSkills!DH3:DJ6,3,FALSE),0),0))&gt;=100,100,(Backdoors!AI12+IF(FG31&gt;=0.45,VLOOKUP(Calculator!E23,tbSkills!DH3:DI6,2,FALSE)+IF(AND(Calculator!B8=TRUE,Backdoors!BI26=TRUE),VLOOKUP(Calculator!E23,tbSkills!DH3:DJ6,3,FALSE),0),0)))/100)),1),1)</f>
        <v>0.6</v>
      </c>
      <c r="FM31" s="87">
        <f t="shared" si="16"/>
        <v>0</v>
      </c>
      <c r="FN31" s="86" t="str">
        <f>IFERROR(IF(VLOOKUP(A31,tbMoveset!A2:B112,2,FALSE)="Sever",Backdoors!AY27/100,IF(VLOOKUP(A31,tbMoveset!A2:B112,2,FALSE)="Blunt",Backdoors!AZ27/100,Backdoors!BA27/100)),"")</f>
        <v/>
      </c>
      <c r="FO31" s="49">
        <f>IFERROR(IF(VLOOKUP(tbMoveset!A31,tbMoveset!A2:H112,8,FALSE)="Other",IF(VLOOKUP(tbMoveset!A31,tbMoveset!A2:I112,9,FALSE)="Fire",Backdoors!BB27,IF(VLOOKUP(tbMoveset!A31,tbMoveset!A2:I112,9,FALSE)="Water",Backdoors!BC27,IF(VLOOKUP(tbMoveset!A31,tbMoveset!A2:I112,9,FALSE)="Thunder",Backdoors!BD27,IF(VLOOKUP(tbMoveset!A31,tbMoveset!A2:I112,9,FALSE)="Ice",Backdoors!BE27,IF(VLOOKUP(tbMoveset!A31,tbMoveset!A2:I112,9,FALSE)="Dragon",Backdoors!BF27,Backdoors!BG27)))))/100,Backdoors!BG27/100),"")</f>
        <v>0</v>
      </c>
      <c r="FP31" s="49">
        <f>IFERROR(IF(VLOOKUP(A31,tbMoveset!A2:J112,10,FALSE)=TRUE,IF((Backdoors!AI12+IF(FN31&gt;=0.45,VLOOKUP(Calculator!E23,tbSkills!DH3:DI6,2,FALSE)+IF(AND(Calculator!B8=TRUE,Backdoors!BI27=TRUE),VLOOKUP(Calculator!E23,tbSkills!DH3:DJ6,3,FALSE),0),0))&gt;=0,1+(Backdoors!AL2*(IF((Backdoors!AI12+IF(FN31&gt;=0.45,VLOOKUP(Calculator!E23,tbSkills!DH3:DI6,2,FALSE)+IF(AND(Calculator!B8=TRUE,Backdoors!BI27=TRUE),VLOOKUP(Calculator!E23,tbSkills!DH3:DJ6,3,FALSE),0),0))&gt;=100,100,(Backdoors!AI12+IF(FN31&gt;=0.45,VLOOKUP(Calculator!E23,tbSkills!DH3:DI6,2,FALSE)+IF(AND(Calculator!B8=TRUE,Backdoors!BI27=TRUE),VLOOKUP(Calculator!E23,tbSkills!DH3:DJ6,3,FALSE),0),0)))/100)),(1-(0.25*((-Backdoors!AI12-IF(FN31&gt;=0.45,VLOOKUP(Calculator!E23,tbSkills!DH3:DI6,2,FALSE)+IF(AND(Calculator!B8=TRUE,Backdoors!BI27=TRUE),VLOOKUP(Calculator!E23,tbSkills!DH3:DJ6,3,FALSE),0),0))/100)))),1),"")</f>
        <v>1</v>
      </c>
      <c r="FQ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FN31)*FP31)*(VLOOKUP(A31,tbMoveset!A2:C112,3,FALSE)/100)*IF(VLOOKUP(A31,tbMoveset!A2:B112,2,FALSE)="Projectile",Backdoors!N10,Backdoors!N9),0),"")</f>
        <v/>
      </c>
      <c r="FR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FN31&gt;=0.45,VLOOKUP(Calculator!E23,tbSkills!DH3:DI6,2,FALSE)+IF(AND(Calculator!B8=TRUE,Backdoors!BI27=TRUE),VLOOKUP(Calculator!E23,tbSkills!DH3:DJ6,3,FALSE),0),0))&gt;=100,100,(Backdoors!AI12+IF(FN31&gt;=0.45,VLOOKUP(Calculator!E23,tbSkills!DH3:DI6,2,FALSE)+IF(AND(Calculator!B8=TRUE,Backdoors!BI27=TRUE),VLOOKUP(Calculator!E23,tbSkills!DH3:DJ6,3,FALSE),0),0)))/100)),1))*IF(VLOOKUP(A31,tbMoveset!A2:K112,11,FALSE)=TRUE,Backdoors!AC5,1))*FO31,0),"")</f>
        <v>0</v>
      </c>
      <c r="FS31" s="49">
        <f>VLOOKUP(A31,tbMoveset!A2:G112,7,FALSE)*IFERROR(IF(Backdoors!AI12&gt;=0,1+(IF(Calculator!E40&gt;0,VLOOKUP(Calculator!E40,tbSkills!AI3:AJ5,2,FALSE),Backdoors!AL4)*(IF((Backdoors!AI12+IF(FN31&gt;=0.45,VLOOKUP(Calculator!E23,tbSkills!DH3:DI6,2,FALSE)+IF(AND(Calculator!B8=TRUE,Backdoors!BI27=TRUE),VLOOKUP(Calculator!E23,tbSkills!DH3:DJ6,3,FALSE),0),0))&gt;=100,100,(Backdoors!AI12+IF(FN31&gt;=0.45,VLOOKUP(Calculator!E23,tbSkills!DH3:DI6,2,FALSE)+IF(AND(Calculator!B8=TRUE,Backdoors!BI27=TRUE),VLOOKUP(Calculator!E23,tbSkills!DH3:DJ6,3,FALSE),0),0)))/100)),1),1)</f>
        <v>0.6</v>
      </c>
      <c r="FT31" s="87">
        <f t="shared" si="17"/>
        <v>0</v>
      </c>
      <c r="FU31" s="86" t="str">
        <f>IFERROR(IF(VLOOKUP(A31,tbMoveset!A2:B112,2,FALSE)="Sever",Backdoors!AY28/100,IF(VLOOKUP(A31,tbMoveset!A2:B112,2,FALSE)="Blunt",Backdoors!AZ28/100,Backdoors!BA28/100)),"")</f>
        <v/>
      </c>
      <c r="FV31" s="49">
        <f>IFERROR(IF(VLOOKUP(tbMoveset!A31,tbMoveset!A2:H112,8,FALSE)="Other",IF(VLOOKUP(tbMoveset!A31,tbMoveset!A2:I112,9,FALSE)="Fire",Backdoors!BB28,IF(VLOOKUP(tbMoveset!A31,tbMoveset!A2:I112,9,FALSE)="Water",Backdoors!BC28,IF(VLOOKUP(tbMoveset!A31,tbMoveset!A2:I112,9,FALSE)="Thunder",Backdoors!BD28,IF(VLOOKUP(tbMoveset!A31,tbMoveset!A2:I112,9,FALSE)="Ice",Backdoors!BE28,IF(VLOOKUP(tbMoveset!A31,tbMoveset!A2:I112,9,FALSE)="Dragon",Backdoors!BF28,Backdoors!BG28)))))/100,Backdoors!BG28/100),"")</f>
        <v>0</v>
      </c>
      <c r="FW31" s="49">
        <f>IFERROR(IF(VLOOKUP(A31,tbMoveset!A2:J112,10,FALSE)=TRUE,IF((Backdoors!AI12+IF(FU31&gt;=0.45,VLOOKUP(Calculator!E23,tbSkills!DH3:DI6,2,FALSE)+IF(AND(Calculator!B8=TRUE,Backdoors!BI28=TRUE),VLOOKUP(Calculator!E23,tbSkills!DH3:DJ6,3,FALSE),0),0))&gt;=0,1+(Backdoors!AL2*(IF((Backdoors!AI12+IF(FU31&gt;=0.45,VLOOKUP(Calculator!E23,tbSkills!DH3:DI6,2,FALSE)+IF(AND(Calculator!B8=TRUE,Backdoors!BI28=TRUE),VLOOKUP(Calculator!E23,tbSkills!DH3:DJ6,3,FALSE),0),0))&gt;=100,100,(Backdoors!AI12+IF(FU31&gt;=0.45,VLOOKUP(Calculator!E23,tbSkills!DH3:DI6,2,FALSE)+IF(AND(Calculator!B8=TRUE,Backdoors!BI28=TRUE),VLOOKUP(Calculator!E23,tbSkills!DH3:DJ6,3,FALSE),0),0)))/100)),(1-(0.25*((-Backdoors!AI12-IF(FU31&gt;=0.45,VLOOKUP(Calculator!E23,tbSkills!DH3:DI6,2,FALSE)+IF(AND(Calculator!B8=TRUE,Backdoors!BI28=TRUE),VLOOKUP(Calculator!E23,tbSkills!DH3:DJ6,3,FALSE),0),0))/100)))),1),"")</f>
        <v>1</v>
      </c>
      <c r="FX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FU31)*FW31)*(VLOOKUP(A31,tbMoveset!A2:C112,3,FALSE)/100)*IF(VLOOKUP(A31,tbMoveset!A2:B112,2,FALSE)="Projectile",Backdoors!N10,Backdoors!N9),0),"")</f>
        <v/>
      </c>
      <c r="FY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FU31&gt;=0.45,VLOOKUP(Calculator!E23,tbSkills!DH3:DI6,2,FALSE)+IF(AND(Calculator!B8=TRUE,Backdoors!BI28=TRUE),VLOOKUP(Calculator!E23,tbSkills!DH3:DJ6,3,FALSE),0),0))&gt;=100,100,(Backdoors!AI12+IF(FU31&gt;=0.45,VLOOKUP(Calculator!E23,tbSkills!DH3:DI6,2,FALSE)+IF(AND(Calculator!B8=TRUE,Backdoors!BI28=TRUE),VLOOKUP(Calculator!E23,tbSkills!DH3:DJ6,3,FALSE),0),0)))/100)),1))*IF(VLOOKUP(A31,tbMoveset!A2:K112,11,FALSE)=TRUE,Backdoors!AC5,1))*FV31,0),"")</f>
        <v>0</v>
      </c>
      <c r="FZ31" s="49">
        <f>VLOOKUP(A31,tbMoveset!A2:G112,7,FALSE)*IFERROR(IF(Backdoors!AI12&gt;=0,1+(IF(Calculator!E40&gt;0,VLOOKUP(Calculator!E40,tbSkills!AI3:AJ5,2,FALSE),Backdoors!AL4)*(IF((Backdoors!AI12+IF(FU31&gt;=0.45,VLOOKUP(Calculator!E23,tbSkills!DH3:DI6,2,FALSE)+IF(AND(Calculator!B8=TRUE,Backdoors!BI28=TRUE),VLOOKUP(Calculator!E23,tbSkills!DH3:DJ6,3,FALSE),0),0))&gt;=100,100,(Backdoors!AI12+IF(FU31&gt;=0.45,VLOOKUP(Calculator!E23,tbSkills!DH3:DI6,2,FALSE)+IF(AND(Calculator!B8=TRUE,Backdoors!BI28=TRUE),VLOOKUP(Calculator!E23,tbSkills!DH3:DJ6,3,FALSE),0),0)))/100)),1),1)</f>
        <v>0.6</v>
      </c>
      <c r="GA31" s="87">
        <f t="shared" si="18"/>
        <v>0</v>
      </c>
      <c r="GB31" s="86" t="str">
        <f>IFERROR(IF(VLOOKUP(A31,tbMoveset!A2:B112,2,FALSE)="Sever",Backdoors!AY29/100,IF(VLOOKUP(A31,tbMoveset!A2:B112,2,FALSE)="Blunt",Backdoors!AZ29/100,Backdoors!BA29/100)),"")</f>
        <v/>
      </c>
      <c r="GC31" s="49">
        <f>IFERROR(IF(VLOOKUP(tbMoveset!A31,tbMoveset!A2:H112,8,FALSE)="Other",IF(VLOOKUP(tbMoveset!A31,tbMoveset!A2:I112,9,FALSE)="Fire",Backdoors!BB29,IF(VLOOKUP(tbMoveset!A31,tbMoveset!A2:I112,9,FALSE)="Water",Backdoors!BC29,IF(VLOOKUP(tbMoveset!A31,tbMoveset!A2:I112,9,FALSE)="Thunder",Backdoors!BD29,IF(VLOOKUP(tbMoveset!A31,tbMoveset!A2:I112,9,FALSE)="Ice",Backdoors!BE29,IF(VLOOKUP(tbMoveset!A31,tbMoveset!A2:I112,9,FALSE)="Dragon",Backdoors!BF29,Backdoors!BG29)))))/100,Backdoors!BG29/100),"")</f>
        <v>0</v>
      </c>
      <c r="GD31" s="49">
        <f>IFERROR(IF(VLOOKUP(A31,tbMoveset!A2:J112,10,FALSE)=TRUE,IF((Backdoors!AI12+IF(GB31&gt;=0.45,VLOOKUP(Calculator!E23,tbSkills!DH3:DI6,2,FALSE)+IF(AND(Calculator!B8=TRUE,Backdoors!BI29=TRUE),VLOOKUP(Calculator!E23,tbSkills!DH3:DJ6,3,FALSE),0),0))&gt;=0,1+(Backdoors!AL2*(IF((Backdoors!AI12+IF(GB31&gt;=0.45,VLOOKUP(Calculator!E23,tbSkills!DH3:DI6,2,FALSE)+IF(AND(Calculator!B8=TRUE,Backdoors!BI29=TRUE),VLOOKUP(Calculator!E23,tbSkills!DH3:DJ6,3,FALSE),0),0))&gt;=100,100,(Backdoors!AI12+IF(GB31&gt;=0.45,VLOOKUP(Calculator!E23,tbSkills!DH3:DI6,2,FALSE)+IF(AND(Calculator!B8=TRUE,Backdoors!BI29=TRUE),VLOOKUP(Calculator!E23,tbSkills!DH3:DJ6,3,FALSE),0),0)))/100)),(1-(0.25*((-Backdoors!AI12-IF(GB31&gt;=0.45,VLOOKUP(Calculator!E23,tbSkills!DH3:DI6,2,FALSE)+IF(AND(Calculator!B8=TRUE,Backdoors!BI29=TRUE),VLOOKUP(Calculator!E23,tbSkills!DH3:DJ6,3,FALSE),0),0))/100)))),1),"")</f>
        <v>1</v>
      </c>
      <c r="GE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B31)*GD31)*(VLOOKUP(A31,tbMoveset!A2:C112,3,FALSE)/100)*IF(VLOOKUP(A31,tbMoveset!A2:B112,2,FALSE)="Projectile",Backdoors!N10,Backdoors!N9),0),"")</f>
        <v/>
      </c>
      <c r="GF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B31&gt;=0.45,VLOOKUP(Calculator!E23,tbSkills!DH3:DI6,2,FALSE)+IF(AND(Calculator!B8=TRUE,Backdoors!BI29=TRUE),VLOOKUP(Calculator!E23,tbSkills!DH3:DJ6,3,FALSE),0),0))&gt;=100,100,(Backdoors!AI12+IF(GB31&gt;=0.45,VLOOKUP(Calculator!E23,tbSkills!DH3:DI6,2,FALSE)+IF(AND(Calculator!B8=TRUE,Backdoors!BI29=TRUE),VLOOKUP(Calculator!E23,tbSkills!DH3:DJ6,3,FALSE),0),0)))/100)),1))*IF(VLOOKUP(A31,tbMoveset!A2:K112,11,FALSE)=TRUE,Backdoors!AC5,1))*GC31,0),"")</f>
        <v>0</v>
      </c>
      <c r="GG31" s="49">
        <f>VLOOKUP(A31,tbMoveset!A2:G112,7,FALSE)*IFERROR(IF(Backdoors!AI12&gt;=0,1+(IF(Calculator!E40&gt;0,VLOOKUP(Calculator!E40,tbSkills!AI3:AJ5,2,FALSE),Backdoors!AL4)*(IF((Backdoors!AI12+IF(GB31&gt;=0.45,VLOOKUP(Calculator!E23,tbSkills!DH3:DI6,2,FALSE)+IF(AND(Calculator!B8=TRUE,Backdoors!BI29=TRUE),VLOOKUP(Calculator!E23,tbSkills!DH3:DJ6,3,FALSE),0),0))&gt;=100,100,(Backdoors!AI12+IF(GB31&gt;=0.45,VLOOKUP(Calculator!E23,tbSkills!DH3:DI6,2,FALSE)+IF(AND(Calculator!B8=TRUE,Backdoors!BI29=TRUE),VLOOKUP(Calculator!E23,tbSkills!DH3:DJ6,3,FALSE),0),0)))/100)),1),1)</f>
        <v>0.6</v>
      </c>
      <c r="GH31" s="87">
        <f t="shared" si="19"/>
        <v>0</v>
      </c>
      <c r="GI31" s="86" t="str">
        <f>IFERROR(IF(VLOOKUP(A31,tbMoveset!A2:B112,2,FALSE)="Sever",Backdoors!AY30/100,IF(VLOOKUP(A31,tbMoveset!A2:B112,2,FALSE)="Blunt",Backdoors!AZ30/100,Backdoors!BA30/100)),"")</f>
        <v/>
      </c>
      <c r="GJ31" s="49">
        <f>IFERROR(IF(VLOOKUP(tbMoveset!A31,tbMoveset!A2:H112,8,FALSE)="Other",IF(VLOOKUP(tbMoveset!A31,tbMoveset!A2:I112,9,FALSE)="Fire",Backdoors!BB30,IF(VLOOKUP(tbMoveset!A31,tbMoveset!A2:I112,9,FALSE)="Water",Backdoors!BC30,IF(VLOOKUP(tbMoveset!A31,tbMoveset!A2:I112,9,FALSE)="Thunder",Backdoors!BD30,IF(VLOOKUP(tbMoveset!A31,tbMoveset!A2:I112,9,FALSE)="Ice",Backdoors!BE30,IF(VLOOKUP(tbMoveset!A31,tbMoveset!A2:I112,9,FALSE)="Dragon",Backdoors!BF30,Backdoors!BG30)))))/100,Backdoors!BG30/100),"")</f>
        <v>0</v>
      </c>
      <c r="GK31" s="49">
        <f>IFERROR(IF(VLOOKUP(A31,tbMoveset!A2:J112,10,FALSE)=TRUE,IF((Backdoors!AI12+IF(GI31&gt;=0.45,VLOOKUP(Calculator!E23,tbSkills!DH3:DI6,2,FALSE)+IF(AND(Calculator!B8=TRUE,Backdoors!BI30=TRUE),VLOOKUP(Calculator!E23,tbSkills!DH3:DJ6,3,FALSE),0),0))&gt;=0,1+(Backdoors!AL2*(IF((Backdoors!AI12+IF(GI31&gt;=0.45,VLOOKUP(Calculator!E23,tbSkills!DH3:DI6,2,FALSE)+IF(AND(Calculator!B8=TRUE,Backdoors!BI30=TRUE),VLOOKUP(Calculator!E23,tbSkills!DH3:DJ6,3,FALSE),0),0))&gt;=100,100,(Backdoors!AI12+IF(GI31&gt;=0.45,VLOOKUP(Calculator!E23,tbSkills!DH3:DI6,2,FALSE)+IF(AND(Calculator!B8=TRUE,Backdoors!BI30=TRUE),VLOOKUP(Calculator!E23,tbSkills!DH3:DJ6,3,FALSE),0),0)))/100)),(1-(0.25*((-Backdoors!AI12-IF(GI31&gt;=0.45,VLOOKUP(Calculator!E23,tbSkills!DH3:DI6,2,FALSE)+IF(AND(Calculator!B8=TRUE,Backdoors!BI30=TRUE),VLOOKUP(Calculator!E23,tbSkills!DH3:DJ6,3,FALSE),0),0))/100)))),1),"")</f>
        <v>1</v>
      </c>
      <c r="GL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I31)*GK31)*(VLOOKUP(A31,tbMoveset!A2:C112,3,FALSE)/100)*IF(VLOOKUP(A31,tbMoveset!A2:B112,2,FALSE)="Projectile",Backdoors!N10,Backdoors!N9),0),"")</f>
        <v/>
      </c>
      <c r="GM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I31&gt;=0.45,VLOOKUP(Calculator!E23,tbSkills!DH3:DI6,2,FALSE)+IF(AND(Calculator!B8=TRUE,Backdoors!BI30=TRUE),VLOOKUP(Calculator!E23,tbSkills!DH3:DJ6,3,FALSE),0),0))&gt;=100,100,(Backdoors!AI12+IF(GI31&gt;=0.45,VLOOKUP(Calculator!E23,tbSkills!DH3:DI6,2,FALSE)+IF(AND(Calculator!B8=TRUE,Backdoors!BI30=TRUE),VLOOKUP(Calculator!E23,tbSkills!DH3:DJ6,3,FALSE),0),0)))/100)),1))*IF(VLOOKUP(A31,tbMoveset!A2:K112,11,FALSE)=TRUE,Backdoors!AC5,1))*GJ31,0),"")</f>
        <v>0</v>
      </c>
      <c r="GN31" s="49">
        <f>VLOOKUP(A31,tbMoveset!A2:G112,7,FALSE)*IFERROR(IF(Backdoors!AI12&gt;=0,1+(IF(Calculator!E40&gt;0,VLOOKUP(Calculator!E40,tbSkills!AI3:AJ5,2,FALSE),Backdoors!AL4)*(IF((Backdoors!AI12+IF(GI31&gt;=0.45,VLOOKUP(Calculator!E23,tbSkills!DH3:DI6,2,FALSE)+IF(AND(Calculator!B8=TRUE,Backdoors!BI30=TRUE),VLOOKUP(Calculator!E23,tbSkills!DH3:DJ6,3,FALSE),0),0))&gt;=100,100,(Backdoors!AI12+IF(GI31&gt;=0.45,VLOOKUP(Calculator!E23,tbSkills!DH3:DI6,2,FALSE)+IF(AND(Calculator!B8=TRUE,Backdoors!BI30=TRUE),VLOOKUP(Calculator!E23,tbSkills!DH3:DJ6,3,FALSE),0),0)))/100)),1),1)</f>
        <v>0.6</v>
      </c>
      <c r="GO31" s="87">
        <f t="shared" si="20"/>
        <v>0</v>
      </c>
      <c r="GP31" s="86" t="str">
        <f>IFERROR(IF(VLOOKUP(A31,tbMoveset!A2:B112,2,FALSE)="Sever",Backdoors!AY31/100,IF(VLOOKUP(A31,tbMoveset!A2:B112,2,FALSE)="Blunt",Backdoors!AZ31/100,Backdoors!BA31/100)),"")</f>
        <v/>
      </c>
      <c r="GQ31" s="49">
        <f>IFERROR(IF(VLOOKUP(tbMoveset!A31,tbMoveset!A2:H112,8,FALSE)="Other",IF(VLOOKUP(tbMoveset!A31,tbMoveset!A2:I112,9,FALSE)="Fire",Backdoors!BB31,IF(VLOOKUP(tbMoveset!A31,tbMoveset!A2:I112,9,FALSE)="Water",Backdoors!BC31,IF(VLOOKUP(tbMoveset!A31,tbMoveset!A2:I112,9,FALSE)="Thunder",Backdoors!BD31,IF(VLOOKUP(tbMoveset!A31,tbMoveset!A2:I112,9,FALSE)="Ice",Backdoors!BE31,IF(VLOOKUP(tbMoveset!A31,tbMoveset!A2:I112,9,FALSE)="Dragon",Backdoors!BF31,Backdoors!BG31)))))/100,Backdoors!BG31/100),"")</f>
        <v>0</v>
      </c>
      <c r="GR31" s="49">
        <f>IFERROR(IF(VLOOKUP(A31,tbMoveset!A2:J112,10,FALSE)=TRUE,IF((Backdoors!AI12+IF(GP31&gt;=0.45,VLOOKUP(Calculator!E23,tbSkills!DH3:DI6,2,FALSE)+IF(AND(Calculator!B8=TRUE,Backdoors!BI31=TRUE),VLOOKUP(Calculator!E23,tbSkills!DH3:DJ6,3,FALSE),0),0))&gt;=0,1+(Backdoors!AL2*(IF((Backdoors!AI12+IF(GP31&gt;=0.45,VLOOKUP(Calculator!E23,tbSkills!DH3:DI6,2,FALSE)+IF(AND(Calculator!B8=TRUE,Backdoors!BI31=TRUE),VLOOKUP(Calculator!E23,tbSkills!DH3:DJ6,3,FALSE),0),0))&gt;=100,100,(Backdoors!AI12+IF(GP31&gt;=0.45,VLOOKUP(Calculator!E23,tbSkills!DH3:DI6,2,FALSE)+IF(AND(Calculator!B8=TRUE,Backdoors!BI31=TRUE),VLOOKUP(Calculator!E23,tbSkills!DH3:DJ6,3,FALSE),0),0)))/100)),(1-(0.25*((-Backdoors!AI12-IF(GP31&gt;=0.45,VLOOKUP(Calculator!E23,tbSkills!DH3:DI6,2,FALSE)+IF(AND(Calculator!B8=TRUE,Backdoors!BI31=TRUE),VLOOKUP(Calculator!E23,tbSkills!DH3:DJ6,3,FALSE),0),0))/100)))),1),"")</f>
        <v>1</v>
      </c>
      <c r="GS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P31)*GR31)*(VLOOKUP(A31,tbMoveset!A2:C112,3,FALSE)/100)*IF(VLOOKUP(A31,tbMoveset!A2:B112,2,FALSE)="Projectile",Backdoors!N10,Backdoors!N9),0),"")</f>
        <v/>
      </c>
      <c r="GT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P31&gt;=0.45,VLOOKUP(Calculator!E23,tbSkills!DH3:DI6,2,FALSE)+IF(AND(Calculator!B8=TRUE,Backdoors!BI31=TRUE),VLOOKUP(Calculator!E23,tbSkills!DH3:DJ6,3,FALSE),0),0))&gt;=100,100,(Backdoors!AI12+IF(GP31&gt;=0.45,VLOOKUP(Calculator!E23,tbSkills!DH3:DI6,2,FALSE)+IF(AND(Calculator!B8=TRUE,Backdoors!BI31=TRUE),VLOOKUP(Calculator!E23,tbSkills!DH3:DJ6,3,FALSE),0),0)))/100)),1))*IF(VLOOKUP(A31,tbMoveset!A2:K112,11,FALSE)=TRUE,Backdoors!AC5,1))*GQ31,0),"")</f>
        <v>0</v>
      </c>
      <c r="GU31" s="49">
        <f>VLOOKUP(A31,tbMoveset!A2:G112,7,FALSE)*IFERROR(IF(Backdoors!AI12&gt;=0,1+(IF(Calculator!E40&gt;0,VLOOKUP(Calculator!E40,tbSkills!AI3:AJ5,2,FALSE),Backdoors!AL4)*(IF((Backdoors!AI12+IF(GP31&gt;=0.45,VLOOKUP(Calculator!E23,tbSkills!DH3:DI6,2,FALSE)+IF(AND(Calculator!B8=TRUE,Backdoors!BI31=TRUE),VLOOKUP(Calculator!E23,tbSkills!DH3:DJ6,3,FALSE),0),0))&gt;=100,100,(Backdoors!AI12+IF(GP31&gt;=0.45,VLOOKUP(Calculator!E23,tbSkills!DH3:DI6,2,FALSE)+IF(AND(Calculator!B8=TRUE,Backdoors!BI31=TRUE),VLOOKUP(Calculator!E23,tbSkills!DH3:DJ6,3,FALSE),0),0)))/100)),1),1)</f>
        <v>0.6</v>
      </c>
      <c r="GV31" s="87">
        <f t="shared" si="21"/>
        <v>0</v>
      </c>
      <c r="GW31" s="86" t="str">
        <f>IFERROR(IF(VLOOKUP(A31,tbMoveset!A2:B112,2,FALSE)="Sever",Backdoors!AY32/100,IF(VLOOKUP(A31,tbMoveset!A2:B112,2,FALSE)="Blunt",Backdoors!AZ32/100,Backdoors!BA32/100)),"")</f>
        <v/>
      </c>
      <c r="GX31" s="49">
        <f>IFERROR(IF(VLOOKUP(tbMoveset!A31,tbMoveset!A2:H112,8,FALSE)="Other",IF(VLOOKUP(tbMoveset!A31,tbMoveset!A2:I112,9,FALSE)="Fire",Backdoors!BB32,IF(VLOOKUP(tbMoveset!A31,tbMoveset!A2:I112,9,FALSE)="Water",Backdoors!BC32,IF(VLOOKUP(tbMoveset!A31,tbMoveset!A2:I112,9,FALSE)="Thunder",Backdoors!BD32,IF(VLOOKUP(tbMoveset!A31,tbMoveset!A2:I112,9,FALSE)="Ice",Backdoors!BE32,IF(VLOOKUP(tbMoveset!A31,tbMoveset!A2:I112,9,FALSE)="Dragon",Backdoors!BF32,Backdoors!BG32)))))/100,Backdoors!BG32/100),"")</f>
        <v>0</v>
      </c>
      <c r="GY31" s="49">
        <f>IFERROR(IF(VLOOKUP(A31,tbMoveset!A2:J112,10,FALSE)=TRUE,IF((Backdoors!AI12+IF(GW31&gt;=0.45,VLOOKUP(Calculator!E23,tbSkills!DH3:DI6,2,FALSE)+IF(AND(Calculator!B8=TRUE,Backdoors!BI32=TRUE),VLOOKUP(Calculator!E23,tbSkills!DH3:DJ6,3,FALSE),0),0))&gt;=0,1+(Backdoors!AL2*(IF((Backdoors!AI12+IF(GW31&gt;=0.45,VLOOKUP(Calculator!E23,tbSkills!DH3:DI6,2,FALSE)+IF(AND(Calculator!B8=TRUE,Backdoors!BI32=TRUE),VLOOKUP(Calculator!E23,tbSkills!DH3:DJ6,3,FALSE),0),0))&gt;=100,100,(Backdoors!AI12+IF(GW31&gt;=0.45,VLOOKUP(Calculator!E23,tbSkills!DH3:DI6,2,FALSE)+IF(AND(Calculator!B8=TRUE,Backdoors!BI32=TRUE),VLOOKUP(Calculator!E23,tbSkills!DH3:DJ6,3,FALSE),0),0)))/100)),(1-(0.25*((-Backdoors!AI12-IF(GW31&gt;=0.45,VLOOKUP(Calculator!E23,tbSkills!DH3:DI6,2,FALSE)+IF(AND(Calculator!B8=TRUE,Backdoors!BI32=TRUE),VLOOKUP(Calculator!E23,tbSkills!DH3:DJ6,3,FALSE),0),0))/100)))),1),"")</f>
        <v>1</v>
      </c>
      <c r="GZ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W31)*GY31)*(VLOOKUP(A31,tbMoveset!A2:C112,3,FALSE)/100)*IF(VLOOKUP(A31,tbMoveset!A2:B112,2,FALSE)="Projectile",Backdoors!N10,Backdoors!N9),0),"")</f>
        <v/>
      </c>
      <c r="HA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W31&gt;=0.45,VLOOKUP(Calculator!E23,tbSkills!DH3:DI6,2,FALSE)+IF(AND(Calculator!B8=TRUE,Backdoors!BI32=TRUE),VLOOKUP(Calculator!E23,tbSkills!DH3:DJ6,3,FALSE),0),0))&gt;=100,100,(Backdoors!AI12+IF(GW31&gt;=0.45,VLOOKUP(Calculator!E23,tbSkills!DH3:DI6,2,FALSE)+IF(AND(Calculator!B8=TRUE,Backdoors!BI32=TRUE),VLOOKUP(Calculator!E23,tbSkills!DH3:DJ6,3,FALSE),0),0)))/100)),1))*IF(VLOOKUP(A31,tbMoveset!A2:K112,11,FALSE)=TRUE,Backdoors!AC5,1))*GX31,0),"")</f>
        <v>0</v>
      </c>
      <c r="HB31" s="49">
        <f>VLOOKUP(A31,tbMoveset!A2:G112,7,FALSE)*IFERROR(IF(Backdoors!AI12&gt;=0,1+(IF(Calculator!E40&gt;0,VLOOKUP(Calculator!E40,tbSkills!AI3:AJ5,2,FALSE),Backdoors!AL4)*(IF((Backdoors!AI12+IF(GW31&gt;=0.45,VLOOKUP(Calculator!E23,tbSkills!DH3:DI6,2,FALSE)+IF(AND(Calculator!B8=TRUE,Backdoors!BI32=TRUE),VLOOKUP(Calculator!E23,tbSkills!DH3:DJ6,3,FALSE),0),0))&gt;=100,100,(Backdoors!AI12+IF(GW31&gt;=0.45,VLOOKUP(Calculator!E23,tbSkills!DH3:DI6,2,FALSE)+IF(AND(Calculator!B8=TRUE,Backdoors!BI32=TRUE),VLOOKUP(Calculator!E23,tbSkills!DH3:DJ6,3,FALSE),0),0)))/100)),1),1)</f>
        <v>0.6</v>
      </c>
      <c r="HC31" s="87">
        <f t="shared" si="22"/>
        <v>0</v>
      </c>
      <c r="HD31" s="86" t="str">
        <f>IFERROR(IF(VLOOKUP(A31,tbMoveset!A2:B112,2,FALSE)="Sever",Backdoors!AY33/100,IF(VLOOKUP(A31,tbMoveset!A2:B112,2,FALSE)="Blunt",Backdoors!AZ33/100,Backdoors!BA33/100)),"")</f>
        <v/>
      </c>
      <c r="HE31" s="49">
        <f>IFERROR(IF(VLOOKUP(tbMoveset!A31,tbMoveset!A2:H112,8,FALSE)="Other",IF(VLOOKUP(tbMoveset!A31,tbMoveset!A2:I112,9,FALSE)="Fire",Backdoors!BB33,IF(VLOOKUP(tbMoveset!A31,tbMoveset!A2:I112,9,FALSE)="Water",Backdoors!BC33,IF(VLOOKUP(tbMoveset!A31,tbMoveset!A2:I112,9,FALSE)="Thunder",Backdoors!BD33,IF(VLOOKUP(tbMoveset!A31,tbMoveset!A2:I112,9,FALSE)="Ice",Backdoors!BE33,IF(VLOOKUP(tbMoveset!A31,tbMoveset!A2:I112,9,FALSE)="Dragon",Backdoors!BF33,Backdoors!BG33)))))/100,Backdoors!BG33/100),"")</f>
        <v>0</v>
      </c>
      <c r="HF31" s="49">
        <f>IFERROR(IF(VLOOKUP(A31,tbMoveset!A2:J112,10,FALSE)=TRUE,IF((Backdoors!AI12+IF(HD31&gt;=0.45,VLOOKUP(Calculator!E23,tbSkills!DH3:DI6,2,FALSE)+IF(AND(Calculator!B8=TRUE,Backdoors!BI33=TRUE),VLOOKUP(Calculator!E23,tbSkills!DH3:DJ6,3,FALSE),0),0))&gt;=0,1+(Backdoors!AL2*(IF((Backdoors!AI12+IF(HD31&gt;=0.45,VLOOKUP(Calculator!E23,tbSkills!DH3:DI6,2,FALSE)+IF(AND(Calculator!B8=TRUE,Backdoors!BI33=TRUE),VLOOKUP(Calculator!E23,tbSkills!DH3:DJ6,3,FALSE),0),0))&gt;=100,100,(Backdoors!AI12+IF(HD31&gt;=0.45,VLOOKUP(Calculator!E23,tbSkills!DH3:DI6,2,FALSE)+IF(AND(Calculator!B8=TRUE,Backdoors!BI33=TRUE),VLOOKUP(Calculator!E23,tbSkills!DH3:DJ6,3,FALSE),0),0)))/100)),(1-(0.25*((-Backdoors!AI12-IF(HD31&gt;=0.45,VLOOKUP(Calculator!E23,tbSkills!DH3:DI6,2,FALSE)+IF(AND(Calculator!B8=TRUE,Backdoors!BI33=TRUE),VLOOKUP(Calculator!E23,tbSkills!DH3:DJ6,3,FALSE),0),0))/100)))),1),"")</f>
        <v>1</v>
      </c>
      <c r="HG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D31)*HF31)*(VLOOKUP(A31,tbMoveset!A2:C112,3,FALSE)/100)*IF(VLOOKUP(A31,tbMoveset!A2:B112,2,FALSE)="Projectile",Backdoors!N10,Backdoors!N9),0),"")</f>
        <v/>
      </c>
      <c r="HH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D31&gt;=0.45,VLOOKUP(Calculator!E23,tbSkills!DH3:DI6,2,FALSE)+IF(AND(Calculator!B8=TRUE,Backdoors!BI33=TRUE),VLOOKUP(Calculator!E23,tbSkills!DH3:DJ6,3,FALSE),0),0))&gt;=100,100,(Backdoors!AI12+IF(HD31&gt;=0.45,VLOOKUP(Calculator!E23,tbSkills!DH3:DI6,2,FALSE)+IF(AND(Calculator!B8=TRUE,Backdoors!BI33=TRUE),VLOOKUP(Calculator!E23,tbSkills!DH3:DJ6,3,FALSE),0),0)))/100)),1))*IF(VLOOKUP(A31,tbMoveset!A2:K112,11,FALSE)=TRUE,Backdoors!AC5,1))*HE31,0),"")</f>
        <v>0</v>
      </c>
      <c r="HI31" s="49">
        <f>VLOOKUP(A31,tbMoveset!A2:G112,7,FALSE)*IFERROR(IF(Backdoors!AI12&gt;=0,1+(IF(Calculator!E40&gt;0,VLOOKUP(Calculator!E40,tbSkills!AI3:AJ5,2,FALSE),Backdoors!AL4)*(IF((Backdoors!AI12+IF(HD31&gt;=0.45,VLOOKUP(Calculator!E23,tbSkills!DH3:DI6,2,FALSE)+IF(AND(Calculator!B8=TRUE,Backdoors!BI33=TRUE),VLOOKUP(Calculator!E23,tbSkills!DH3:DJ6,3,FALSE),0),0))&gt;=100,100,(Backdoors!AI12+IF(HD31&gt;=0.45,VLOOKUP(Calculator!E23,tbSkills!DH3:DI6,2,FALSE)+IF(AND(Calculator!B8=TRUE,Backdoors!BI33=TRUE),VLOOKUP(Calculator!E23,tbSkills!DH3:DJ6,3,FALSE),0),0)))/100)),1),1)</f>
        <v>0.6</v>
      </c>
      <c r="HJ31" s="87">
        <f t="shared" si="23"/>
        <v>0</v>
      </c>
      <c r="HK31" s="86" t="str">
        <f>IFERROR(IF(VLOOKUP(A31,tbMoveset!A2:B112,2,FALSE)="Sever",Backdoors!AY34/100,IF(VLOOKUP(A31,tbMoveset!A2:B112,2,FALSE)="Blunt",Backdoors!AZ34/100,Backdoors!BA34/100)),"")</f>
        <v/>
      </c>
      <c r="HL31" s="49">
        <f>IFERROR(IF(VLOOKUP(tbMoveset!A31,tbMoveset!A2:H112,8,FALSE)="Other",IF(VLOOKUP(tbMoveset!A31,tbMoveset!A2:I112,9,FALSE)="Fire",Backdoors!BB34,IF(VLOOKUP(tbMoveset!A31,tbMoveset!A2:I112,9,FALSE)="Water",Backdoors!BC34,IF(VLOOKUP(tbMoveset!A31,tbMoveset!A2:I112,9,FALSE)="Thunder",Backdoors!BD34,IF(VLOOKUP(tbMoveset!A31,tbMoveset!A2:I112,9,FALSE)="Ice",Backdoors!BE34,IF(VLOOKUP(tbMoveset!A31,tbMoveset!A2:I112,9,FALSE)="Dragon",Backdoors!BF34,Backdoors!BG34)))))/100,Backdoors!BG34/100),"")</f>
        <v>0</v>
      </c>
      <c r="HM31" s="49">
        <f>IFERROR(IF(VLOOKUP(A31,tbMoveset!A2:J112,10,FALSE)=TRUE,IF((Backdoors!AI12+IF(HK31&gt;=0.45,VLOOKUP(Calculator!E23,tbSkills!DH3:DI6,2,FALSE)+IF(AND(Calculator!B8=TRUE,Backdoors!BI34=TRUE),VLOOKUP(Calculator!E23,tbSkills!DH3:DJ6,3,FALSE),0),0))&gt;=0,1+(Backdoors!AL2*(IF((Backdoors!AI12+IF(HK31&gt;=0.45,VLOOKUP(Calculator!E23,tbSkills!DH3:DI6,2,FALSE)+IF(AND(Calculator!B8=TRUE,Backdoors!BI34=TRUE),VLOOKUP(Calculator!E23,tbSkills!DH3:DJ6,3,FALSE),0),0))&gt;=100,100,(Backdoors!AI12+IF(HK31&gt;=0.45,VLOOKUP(Calculator!E23,tbSkills!DH3:DI6,2,FALSE)+IF(AND(Calculator!B8=TRUE,Backdoors!BI34=TRUE),VLOOKUP(Calculator!E23,tbSkills!DH3:DJ6,3,FALSE),0),0)))/100)),(1-(0.25*((-Backdoors!AI12-IF(HK31&gt;=0.45,VLOOKUP(Calculator!E23,tbSkills!DH3:DI6,2,FALSE)+IF(AND(Calculator!B8=TRUE,Backdoors!BI34=TRUE),VLOOKUP(Calculator!E23,tbSkills!DH3:DJ6,3,FALSE),0),0))/100)))),1),"")</f>
        <v>1</v>
      </c>
      <c r="HN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K31)*HM31)*(VLOOKUP(A31,tbMoveset!A2:C112,3,FALSE)/100)*IF(VLOOKUP(A31,tbMoveset!A2:B112,2,FALSE)="Projectile",Backdoors!N10,Backdoors!N9),0),"")</f>
        <v/>
      </c>
      <c r="HO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K31&gt;=0.45,VLOOKUP(Calculator!E23,tbSkills!DH3:DI6,2,FALSE)+IF(AND(Calculator!B8=TRUE,Backdoors!BI34=TRUE),VLOOKUP(Calculator!E23,tbSkills!DH3:DJ6,3,FALSE),0),0))&gt;=100,100,(Backdoors!AI12+IF(HK31&gt;=0.45,VLOOKUP(Calculator!E23,tbSkills!DH3:DI6,2,FALSE)+IF(AND(Calculator!B8=TRUE,Backdoors!BI34=TRUE),VLOOKUP(Calculator!E23,tbSkills!DH3:DJ6,3,FALSE),0),0)))/100)),1))*IF(VLOOKUP(A31,tbMoveset!A2:K112,11,FALSE)=TRUE,Backdoors!AC5,1))*HL31,0),"")</f>
        <v>0</v>
      </c>
      <c r="HP31" s="49">
        <f>VLOOKUP(A31,tbMoveset!A2:G112,7,FALSE)*IFERROR(IF(Backdoors!AI12&gt;=0,1+(IF(Calculator!E40&gt;0,VLOOKUP(Calculator!E40,tbSkills!AI3:AJ5,2,FALSE),Backdoors!AL4)*(IF((Backdoors!AI12+IF(HK31&gt;=0.45,VLOOKUP(Calculator!E23,tbSkills!DH3:DI6,2,FALSE)+IF(AND(Calculator!B8=TRUE,Backdoors!BI34=TRUE),VLOOKUP(Calculator!E23,tbSkills!DH3:DJ6,3,FALSE),0),0))&gt;=100,100,(Backdoors!AI12+IF(HK31&gt;=0.45,VLOOKUP(Calculator!E23,tbSkills!DH3:DI6,2,FALSE)+IF(AND(Calculator!B8=TRUE,Backdoors!BI34=TRUE),VLOOKUP(Calculator!E23,tbSkills!DH3:DJ6,3,FALSE),0),0)))/100)),1),1)</f>
        <v>0.6</v>
      </c>
      <c r="HQ31" s="87">
        <f t="shared" si="24"/>
        <v>0</v>
      </c>
      <c r="HR31" s="86" t="str">
        <f>IFERROR(IF(VLOOKUP(A31,tbMoveset!A2:B112,2,FALSE)="Sever",Backdoors!AY35/100,IF(VLOOKUP(A31,tbMoveset!A2:B112,2,FALSE)="Blunt",Backdoors!AZ35/100,Backdoors!BA35/100)),"")</f>
        <v/>
      </c>
      <c r="HS31" s="49">
        <f>IFERROR(IF(VLOOKUP(tbMoveset!A31,tbMoveset!A2:H112,8,FALSE)="Other",IF(VLOOKUP(tbMoveset!A31,tbMoveset!A2:I112,9,FALSE)="Fire",Backdoors!BB35,IF(VLOOKUP(tbMoveset!A31,tbMoveset!A2:I112,9,FALSE)="Water",Backdoors!BC35,IF(VLOOKUP(tbMoveset!A31,tbMoveset!A2:I112,9,FALSE)="Thunder",Backdoors!BD35,IF(VLOOKUP(tbMoveset!A31,tbMoveset!A2:I112,9,FALSE)="Ice",Backdoors!BE35,IF(VLOOKUP(tbMoveset!A31,tbMoveset!A2:I112,9,FALSE)="Dragon",Backdoors!BF35,Backdoors!BG35)))))/100,Backdoors!BG35/100),"")</f>
        <v>0</v>
      </c>
      <c r="HT31" s="49">
        <f>IFERROR(IF(VLOOKUP(A31,tbMoveset!A2:J112,10,FALSE)=TRUE,IF((Backdoors!AI12+IF(HR31&gt;=0.45,VLOOKUP(Calculator!E23,tbSkills!DH3:DI6,2,FALSE)+IF(AND(Calculator!B8=TRUE,Backdoors!BI35=TRUE),VLOOKUP(Calculator!E23,tbSkills!DH3:DJ6,3,FALSE),0),0))&gt;=0,1+(Backdoors!AL2*(IF((Backdoors!AI12+IF(HR31&gt;=0.45,VLOOKUP(Calculator!E23,tbSkills!DH3:DI6,2,FALSE)+IF(AND(Calculator!B8=TRUE,Backdoors!BI35=TRUE),VLOOKUP(Calculator!E23,tbSkills!DH3:DJ6,3,FALSE),0),0))&gt;=100,100,(Backdoors!AI12+IF(HR31&gt;=0.45,VLOOKUP(Calculator!E23,tbSkills!DH3:DI6,2,FALSE)+IF(AND(Calculator!B8=TRUE,Backdoors!BI35=TRUE),VLOOKUP(Calculator!E23,tbSkills!DH3:DJ6,3,FALSE),0),0)))/100)),(1-(0.25*((-Backdoors!AI12-IF(HR31&gt;=0.45,VLOOKUP(Calculator!E23,tbSkills!DH3:DI6,2,FALSE)+IF(AND(Calculator!B8=TRUE,Backdoors!BI35=TRUE),VLOOKUP(Calculator!E23,tbSkills!DH3:DJ6,3,FALSE),0),0))/100)))),1),"")</f>
        <v>1</v>
      </c>
      <c r="HU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R31)*HT31)*(VLOOKUP(A31,tbMoveset!A2:C112,3,FALSE)/100)*IF(VLOOKUP(A31,tbMoveset!A2:B112,2,FALSE)="Projectile",Backdoors!N10,Backdoors!N9),0),"")</f>
        <v/>
      </c>
      <c r="HV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R31&gt;=0.45,VLOOKUP(Calculator!E23,tbSkills!DH3:DI6,2,FALSE)+IF(AND(Calculator!B8=TRUE,Backdoors!BI35=TRUE),VLOOKUP(Calculator!E23,tbSkills!DH3:DJ6,3,FALSE),0),0))&gt;=100,100,(Backdoors!AI12+IF(HR31&gt;=0.45,VLOOKUP(Calculator!E23,tbSkills!DH3:DI6,2,FALSE)+IF(AND(Calculator!B8=TRUE,Backdoors!BI35=TRUE),VLOOKUP(Calculator!E23,tbSkills!DH3:DJ6,3,FALSE),0),0)))/100)),1))*IF(VLOOKUP(A31,tbMoveset!A2:K112,11,FALSE)=TRUE,Backdoors!AC5,1))*HS31,0),"")</f>
        <v>0</v>
      </c>
      <c r="HW31" s="49">
        <f>VLOOKUP(A31,tbMoveset!A2:G112,7,FALSE)*IFERROR(IF(Backdoors!AI12&gt;=0,1+(IF(Calculator!E40&gt;0,VLOOKUP(Calculator!E40,tbSkills!AI3:AJ5,2,FALSE),Backdoors!AL4)*(IF((Backdoors!AI12+IF(HR31&gt;=0.45,VLOOKUP(Calculator!E23,tbSkills!DH3:DI6,2,FALSE)+IF(AND(Calculator!B8=TRUE,Backdoors!BI35=TRUE),VLOOKUP(Calculator!E23,tbSkills!DH3:DJ6,3,FALSE),0),0))&gt;=100,100,(Backdoors!AI12+IF(HR31&gt;=0.45,VLOOKUP(Calculator!E23,tbSkills!DH3:DI6,2,FALSE)+IF(AND(Calculator!B8=TRUE,Backdoors!BI35=TRUE),VLOOKUP(Calculator!E23,tbSkills!DH3:DJ6,3,FALSE),0),0)))/100)),1),1)</f>
        <v>0.6</v>
      </c>
      <c r="HX31" s="87">
        <f t="shared" si="25"/>
        <v>0</v>
      </c>
      <c r="HY31" s="86" t="str">
        <f>IFERROR(IF(VLOOKUP(A31,tbMoveset!A2:B112,2,FALSE)="Sever",Backdoors!AY36/100,IF(VLOOKUP(A31,tbMoveset!A2:B112,2,FALSE)="Blunt",Backdoors!AZ36/100,Backdoors!BA36/100)),"")</f>
        <v/>
      </c>
      <c r="HZ31" s="49">
        <f>IFERROR(IF(VLOOKUP(tbMoveset!A31,tbMoveset!A2:H112,8,FALSE)="Other",IF(VLOOKUP(tbMoveset!A31,tbMoveset!A2:I112,9,FALSE)="Fire",Backdoors!BB36,IF(VLOOKUP(tbMoveset!A31,tbMoveset!A2:I112,9,FALSE)="Water",Backdoors!BC36,IF(VLOOKUP(tbMoveset!A31,tbMoveset!A2:I112,9,FALSE)="Thunder",Backdoors!BD36,IF(VLOOKUP(tbMoveset!A31,tbMoveset!A2:I112,9,FALSE)="Ice",Backdoors!BE36,IF(VLOOKUP(tbMoveset!A31,tbMoveset!A2:I112,9,FALSE)="Dragon",Backdoors!BF36,Backdoors!BG36)))))/100,Backdoors!BG36/100),"")</f>
        <v>0</v>
      </c>
      <c r="IA31" s="49">
        <f>IFERROR(IF(VLOOKUP(A31,tbMoveset!A2:J112,10,FALSE)=TRUE,IF((Backdoors!AI12+IF(HY31&gt;=0.45,VLOOKUP(Calculator!E23,tbSkills!DH3:DI6,2,FALSE)+IF(AND(Calculator!B8=TRUE,Backdoors!BI36=TRUE),VLOOKUP(Calculator!E23,tbSkills!DH3:DJ6,3,FALSE),0),0))&gt;=0,1+(Backdoors!AL2*(IF((Backdoors!AI12+IF(HY31&gt;=0.45,VLOOKUP(Calculator!E23,tbSkills!DH3:DI6,2,FALSE)+IF(AND(Calculator!B8=TRUE,Backdoors!BI36=TRUE),VLOOKUP(Calculator!E23,tbSkills!DH3:DJ6,3,FALSE),0),0))&gt;=100,100,(Backdoors!AI12+IF(HY31&gt;=0.45,VLOOKUP(Calculator!E23,tbSkills!DH3:DI6,2,FALSE)+IF(AND(Calculator!B8=TRUE,Backdoors!BI36=TRUE),VLOOKUP(Calculator!E23,tbSkills!DH3:DJ6,3,FALSE),0),0)))/100)),(1-(0.25*((-Backdoors!AI12-IF(HY31&gt;=0.45,VLOOKUP(Calculator!E23,tbSkills!DH3:DI6,2,FALSE)+IF(AND(Calculator!B8=TRUE,Backdoors!BI36=TRUE),VLOOKUP(Calculator!E23,tbSkills!DH3:DJ6,3,FALSE),0),0))/100)))),1),"")</f>
        <v>1</v>
      </c>
      <c r="IB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Y31)*IA31)*(VLOOKUP(A31,tbMoveset!A2:C112,3,FALSE)/100)*IF(VLOOKUP(A31,tbMoveset!A2:B112,2,FALSE)="Projectile",Backdoors!N10,Backdoors!N9),0),"")</f>
        <v/>
      </c>
      <c r="IC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Y31&gt;=0.45,VLOOKUP(Calculator!E23,tbSkills!DH3:DI6,2,FALSE)+IF(AND(Calculator!B8=TRUE,Backdoors!BI36=TRUE),VLOOKUP(Calculator!E23,tbSkills!DH3:DJ6,3,FALSE),0),0))&gt;=100,100,(Backdoors!AI12+IF(HY31&gt;=0.45,VLOOKUP(Calculator!E23,tbSkills!DH3:DI6,2,FALSE)+IF(AND(Calculator!B8=TRUE,Backdoors!BI36=TRUE),VLOOKUP(Calculator!E23,tbSkills!DH3:DJ6,3,FALSE),0),0)))/100)),1))*IF(VLOOKUP(A31,tbMoveset!A2:K112,11,FALSE)=TRUE,Backdoors!AC5,1))*HZ31,0),"")</f>
        <v>0</v>
      </c>
      <c r="ID31" s="49">
        <f>VLOOKUP(A31,tbMoveset!A2:G112,7,FALSE)*IFERROR(IF(Backdoors!AI12&gt;=0,1+(IF(Calculator!E40&gt;0,VLOOKUP(Calculator!E40,tbSkills!AI3:AJ5,2,FALSE),Backdoors!AL4)*(IF((Backdoors!AI12+IF(HY31&gt;=0.45,VLOOKUP(Calculator!E23,tbSkills!DH3:DI6,2,FALSE)+IF(AND(Calculator!B8=TRUE,Backdoors!BI36=TRUE),VLOOKUP(Calculator!E23,tbSkills!DH3:DJ6,3,FALSE),0),0))&gt;=100,100,(Backdoors!AI12+IF(HY31&gt;=0.45,VLOOKUP(Calculator!E23,tbSkills!DH3:DI6,2,FALSE)+IF(AND(Calculator!B8=TRUE,Backdoors!BI36=TRUE),VLOOKUP(Calculator!E23,tbSkills!DH3:DJ6,3,FALSE),0),0)))/100)),1),1)</f>
        <v>0.6</v>
      </c>
      <c r="IE31" s="87">
        <f t="shared" si="26"/>
        <v>0</v>
      </c>
      <c r="IF31" s="86" t="str">
        <f>IFERROR(IF(VLOOKUP(A31,tbMoveset!A2:B112,2,FALSE)="Sever",Backdoors!AY37/100,IF(VLOOKUP(A31,tbMoveset!A2:B112,2,FALSE)="Blunt",Backdoors!AZ37/100,Backdoors!BA37/100)),"")</f>
        <v/>
      </c>
      <c r="IG31" s="49">
        <f>IFERROR(IF(VLOOKUP(tbMoveset!A31,tbMoveset!A2:H112,8,FALSE)="Other",IF(VLOOKUP(tbMoveset!A31,tbMoveset!A2:I112,9,FALSE)="Fire",Backdoors!BB37,IF(VLOOKUP(tbMoveset!A31,tbMoveset!A2:I112,9,FALSE)="Water",Backdoors!BC37,IF(VLOOKUP(tbMoveset!A31,tbMoveset!A2:I112,9,FALSE)="Thunder",Backdoors!BD37,IF(VLOOKUP(tbMoveset!A31,tbMoveset!A2:I112,9,FALSE)="Ice",Backdoors!BE37,IF(VLOOKUP(tbMoveset!A31,tbMoveset!A2:I112,9,FALSE)="Dragon",Backdoors!BF37,Backdoors!BG37)))))/100,Backdoors!BG37/100),"")</f>
        <v>0</v>
      </c>
      <c r="IH31" s="49">
        <f>IFERROR(IF(VLOOKUP(A31,tbMoveset!A2:J112,10,FALSE)=TRUE,IF((Backdoors!AI12+IF(IF31&gt;=0.45,VLOOKUP(Calculator!E23,tbSkills!DH3:DI6,2,FALSE)+IF(AND(Calculator!B8=TRUE,Backdoors!BI37=TRUE),VLOOKUP(Calculator!E23,tbSkills!DH3:DJ6,3,FALSE),0),0))&gt;=0,1+(Backdoors!AL2*(IF((Backdoors!AI12+IF(IF31&gt;=0.45,VLOOKUP(Calculator!E23,tbSkills!DH3:DI6,2,FALSE)+IF(AND(Calculator!B8=TRUE,Backdoors!BI37=TRUE),VLOOKUP(Calculator!E23,tbSkills!DH3:DJ6,3,FALSE),0),0))&gt;=100,100,(Backdoors!AI12+IF(IF31&gt;=0.45,VLOOKUP(Calculator!E23,tbSkills!DH3:DI6,2,FALSE)+IF(AND(Calculator!B8=TRUE,Backdoors!BI37=TRUE),VLOOKUP(Calculator!E23,tbSkills!DH3:DJ6,3,FALSE),0),0)))/100)),(1-(0.25*((-Backdoors!AI12-IF(IF31&gt;=0.45,VLOOKUP(Calculator!E23,tbSkills!DH3:DI6,2,FALSE)+IF(AND(Calculator!B8=TRUE,Backdoors!BI37=TRUE),VLOOKUP(Calculator!E23,tbSkills!DH3:DJ6,3,FALSE),0),0))/100)))),1),"")</f>
        <v>1</v>
      </c>
      <c r="II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F31)*IH31)*(VLOOKUP(A31,tbMoveset!A2:C112,3,FALSE)/100)*IF(VLOOKUP(A31,tbMoveset!A2:B112,2,FALSE)="Projectile",Backdoors!N10,Backdoors!N9),0),"")</f>
        <v/>
      </c>
      <c r="IJ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IF31&gt;=0.45,VLOOKUP(Calculator!E23,tbSkills!DH3:DI6,2,FALSE)+IF(AND(Calculator!B8=TRUE,Backdoors!BI37=TRUE),VLOOKUP(Calculator!E23,tbSkills!DH3:DJ6,3,FALSE),0),0))&gt;=100,100,(Backdoors!AI12+IF(IF31&gt;=0.45,VLOOKUP(Calculator!E23,tbSkills!DH3:DI6,2,FALSE)+IF(AND(Calculator!B8=TRUE,Backdoors!BI37=TRUE),VLOOKUP(Calculator!E23,tbSkills!DH3:DJ6,3,FALSE),0),0)))/100)),1))*IF(VLOOKUP(A31,tbMoveset!A2:K112,11,FALSE)=TRUE,Backdoors!AC5,1))*IG31,0),"")</f>
        <v>0</v>
      </c>
      <c r="IK31" s="49">
        <f>VLOOKUP(A31,tbMoveset!A2:G112,7,FALSE)*IFERROR(IF(Backdoors!AI12&gt;=0,1+(IF(Calculator!E40&gt;0,VLOOKUP(Calculator!E40,tbSkills!AI3:AJ5,2,FALSE),Backdoors!AL4)*(IF((Backdoors!AI12+IF(IF31&gt;=0.45,VLOOKUP(Calculator!E23,tbSkills!DH3:DI6,2,FALSE)+IF(AND(Calculator!B8=TRUE,Backdoors!BI37=TRUE),VLOOKUP(Calculator!E23,tbSkills!DH3:DJ6,3,FALSE),0),0))&gt;=100,100,(Backdoors!AI12+IF(IF31&gt;=0.45,VLOOKUP(Calculator!E23,tbSkills!DH3:DI6,2,FALSE)+IF(AND(Calculator!B8=TRUE,Backdoors!BI37=TRUE),VLOOKUP(Calculator!E23,tbSkills!DH3:DJ6,3,FALSE),0),0)))/100)),1),1)</f>
        <v>0.6</v>
      </c>
      <c r="IL31" s="87">
        <f t="shared" si="27"/>
        <v>0</v>
      </c>
      <c r="IM31" s="86" t="str">
        <f>IFERROR(IF(VLOOKUP(A31,tbMoveset!A2:B112,2,FALSE)="Sever",Backdoors!AY38/100,IF(VLOOKUP(A31,tbMoveset!A2:B112,2,FALSE)="Blunt",Backdoors!AZ38/100,Backdoors!BA38/100)),"")</f>
        <v/>
      </c>
      <c r="IN31" s="49">
        <f>IFERROR(IF(VLOOKUP(tbMoveset!A31,tbMoveset!A2:H112,8,FALSE)="Other",IF(VLOOKUP(tbMoveset!A31,tbMoveset!A2:I112,9,FALSE)="Fire",Backdoors!BB38,IF(VLOOKUP(tbMoveset!A31,tbMoveset!A2:I112,9,FALSE)="Water",Backdoors!BC38,IF(VLOOKUP(tbMoveset!A31,tbMoveset!A2:I112,9,FALSE)="Thunder",Backdoors!BD38,IF(VLOOKUP(tbMoveset!A31,tbMoveset!A2:I112,9,FALSE)="Ice",Backdoors!BE38,IF(VLOOKUP(tbMoveset!A31,tbMoveset!A2:I112,9,FALSE)="Dragon",Backdoors!BF38,Backdoors!BG38)))))/100,Backdoors!BG38/100),"")</f>
        <v>0</v>
      </c>
      <c r="IO31" s="49">
        <f>IFERROR(IF(VLOOKUP(A31,tbMoveset!A2:J112,10,FALSE)=TRUE,IF((Backdoors!AI12+IF(IM31&gt;=0.45,VLOOKUP(Calculator!E23,tbSkills!DH3:DI6,2,FALSE)+IF(AND(Calculator!B8=TRUE,Backdoors!BI38=TRUE),VLOOKUP(Calculator!E23,tbSkills!DH3:DJ6,3,FALSE),0),0))&gt;=0,1+(Backdoors!AL2*(IF((Backdoors!AI12+IF(IM31&gt;=0.45,VLOOKUP(Calculator!E23,tbSkills!DH3:DI6,2,FALSE)+IF(AND(Calculator!B8=TRUE,Backdoors!BI38=TRUE),VLOOKUP(Calculator!E23,tbSkills!DH3:DJ6,3,FALSE),0),0))&gt;=100,100,(Backdoors!AI12+IF(IM31&gt;=0.45,VLOOKUP(Calculator!E23,tbSkills!DH3:DI6,2,FALSE)+IF(AND(Calculator!B8=TRUE,Backdoors!BI38=TRUE),VLOOKUP(Calculator!E23,tbSkills!DH3:DJ6,3,FALSE),0),0)))/100)),(1-(0.25*((-Backdoors!AI12-IF(IM31&gt;=0.45,VLOOKUP(Calculator!E23,tbSkills!DH3:DI6,2,FALSE)+IF(AND(Calculator!B8=TRUE,Backdoors!BI38=TRUE),VLOOKUP(Calculator!E23,tbSkills!DH3:DJ6,3,FALSE),0),0))/100)))),1),"")</f>
        <v>1</v>
      </c>
      <c r="IP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M31)*IO31)*(VLOOKUP(A31,tbMoveset!A2:C112,3,FALSE)/100)*IF(VLOOKUP(A31,tbMoveset!A2:B112,2,FALSE)="Projectile",Backdoors!N10,Backdoors!N9),0),"")</f>
        <v/>
      </c>
      <c r="IQ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IM31&gt;=0.45,VLOOKUP(Calculator!E23,tbSkills!DH3:DI6,2,FALSE)+IF(AND(Calculator!B8=TRUE,Backdoors!BI38=TRUE),VLOOKUP(Calculator!E23,tbSkills!DH3:DJ6,3,FALSE),0),0))&gt;=100,100,(Backdoors!AI12+IF(IM31&gt;=0.45,VLOOKUP(Calculator!E23,tbSkills!DH3:DI6,2,FALSE)+IF(AND(Calculator!B8=TRUE,Backdoors!BI38=TRUE),VLOOKUP(Calculator!E23,tbSkills!DH3:DJ6,3,FALSE),0),0)))/100)),1))*IF(VLOOKUP(A31,tbMoveset!A2:K112,11,FALSE)=TRUE,Backdoors!AC5,1))*IN31,0),"")</f>
        <v>0</v>
      </c>
      <c r="IR31" s="49">
        <f>VLOOKUP(A31,tbMoveset!A2:G112,7,FALSE)*IFERROR(IF(Backdoors!AI12&gt;=0,1+(IF(Calculator!E40&gt;0,VLOOKUP(Calculator!E40,tbSkills!AI3:AJ5,2,FALSE),Backdoors!AL4)*(IF((Backdoors!AI12+IF(IM31&gt;=0.45,VLOOKUP(Calculator!E23,tbSkills!DH3:DI6,2,FALSE)+IF(AND(Calculator!B8=TRUE,Backdoors!BI38=TRUE),VLOOKUP(Calculator!E23,tbSkills!DH3:DJ6,3,FALSE),0),0))&gt;=100,100,(Backdoors!AI12+IF(IM31&gt;=0.45,VLOOKUP(Calculator!E23,tbSkills!DH3:DI6,2,FALSE)+IF(AND(Calculator!B8=TRUE,Backdoors!BI38=TRUE),VLOOKUP(Calculator!E23,tbSkills!DH3:DJ6,3,FALSE),0),0)))/100)),1),1)</f>
        <v>0.6</v>
      </c>
      <c r="IS31" s="87">
        <f t="shared" si="42"/>
        <v>0</v>
      </c>
      <c r="IT31" s="86" t="str">
        <f>IFERROR(IF(VLOOKUP(A31,tbMoveset!A2:B112,2,FALSE)="Sever",Backdoors!AY39/100,IF(VLOOKUP(A31,tbMoveset!A2:B112,2,FALSE)="Blunt",Backdoors!AZ39/100,Backdoors!BA39/100)),"")</f>
        <v/>
      </c>
      <c r="IU31" s="49">
        <f>IFERROR(IF(VLOOKUP(tbMoveset!A31,tbMoveset!A2:H112,8,FALSE)="Other",IF(VLOOKUP(tbMoveset!A31,tbMoveset!A2:I112,9,FALSE)="Fire",Backdoors!BB39,IF(VLOOKUP(tbMoveset!A31,tbMoveset!A2:I112,9,FALSE)="Water",Backdoors!BC39,IF(VLOOKUP(tbMoveset!A31,tbMoveset!A2:I112,9,FALSE)="Thunder",Backdoors!BD39,IF(VLOOKUP(tbMoveset!A31,tbMoveset!A2:I112,9,FALSE)="Ice",Backdoors!BE39,IF(VLOOKUP(tbMoveset!A31,tbMoveset!A2:I112,9,FALSE)="Dragon",Backdoors!BF39,Backdoors!BG39)))))/100,Backdoors!BG39/100),"")</f>
        <v>0</v>
      </c>
      <c r="IV31" s="49">
        <f>IFERROR(IF(VLOOKUP(A31,tbMoveset!A2:J112,10,FALSE)=TRUE,IF((Backdoors!AI12+IF(IT31&gt;=0.45,VLOOKUP(Calculator!E23,tbSkills!DH3:DI6,2,FALSE)+IF(AND(Calculator!B8=TRUE,Backdoors!BI39=TRUE),VLOOKUP(Calculator!E23,tbSkills!DH3:DJ6,3,FALSE),0),0))&gt;=0,1+(Backdoors!AL2*(IF((Backdoors!AI12+IF(IT31&gt;=0.45,VLOOKUP(Calculator!E23,tbSkills!DH3:DI6,2,FALSE)+IF(AND(Calculator!B8=TRUE,Backdoors!BI39=TRUE),VLOOKUP(Calculator!E23,tbSkills!DH3:DJ6,3,FALSE),0),0))&gt;=100,100,(Backdoors!AI12+IF(IT31&gt;=0.45,VLOOKUP(Calculator!E23,tbSkills!DH3:DI6,2,FALSE)+IF(AND(Calculator!B8=TRUE,Backdoors!BI39=TRUE),VLOOKUP(Calculator!E23,tbSkills!DH3:DJ6,3,FALSE),0),0)))/100)),(1-(0.25*((-Backdoors!AI12-IF(IT31&gt;=0.45,VLOOKUP(Calculator!E23,tbSkills!DH3:DI6,2,FALSE)+IF(AND(Calculator!B8=TRUE,Backdoors!BI39=TRUE),VLOOKUP(Calculator!E23,tbSkills!DH3:DJ6,3,FALSE),0),0))/100)))),1),"")</f>
        <v>1</v>
      </c>
      <c r="IW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T31)*IV31)*(VLOOKUP(A31,tbMoveset!A2:C112,3,FALSE)/100)*IF(VLOOKUP(A31,tbMoveset!A2:B112,2,FALSE)="Projectile",Backdoors!N10,Backdoors!N9),0),"")</f>
        <v/>
      </c>
      <c r="IX31" s="49">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40&gt;0,VLOOKUP(Calculator!E40,tbSkills!AC3:AD5,2,FALSE),Backdoors!AL3)*(IF((Backdoors!AI12+IF(IT31&gt;=0.45,VLOOKUP(Calculator!E23,tbSkills!DH3:DI6,2,FALSE)+IF(AND(Calculator!B8=TRUE,Backdoors!BI39=TRUE),VLOOKUP(Calculator!E23,tbSkills!DH3:DJ6,3,FALSE),0),0))&gt;=100,100,(Backdoors!AI12+IF(IT31&gt;=0.45,VLOOKUP(Calculator!E23,tbSkills!DH3:DI6,2,FALSE)+IF(AND(Calculator!B8=TRUE,Backdoors!BI39=TRUE),VLOOKUP(Calculator!E23,tbSkills!DH3:DJ6,3,FALSE),0),0)))/100)),1))*IF(VLOOKUP(A31,tbMoveset!A2:K112,11,FALSE)=TRUE,Backdoors!AC5,1))*IU31,0),"")</f>
        <v>0</v>
      </c>
      <c r="IY31" s="49">
        <f>VLOOKUP(A31,tbMoveset!A2:G112,7,FALSE)*IFERROR(IF(Backdoors!AI12&gt;=0,1+(IF(Calculator!E40&gt;0,VLOOKUP(Calculator!E40,tbSkills!AI3:AJ5,2,FALSE),Backdoors!AL4)*(IF((Backdoors!AI12+IF(IT31&gt;=0.45,VLOOKUP(Calculator!E23,tbSkills!DH3:DI6,2,FALSE)+IF(AND(Calculator!B8=TRUE,Backdoors!BI39=TRUE),VLOOKUP(Calculator!E23,tbSkills!DH3:DJ6,3,FALSE),0),0))&gt;=100,100,(Backdoors!AI12+IF(IT31&gt;=0.45,VLOOKUP(Calculator!E23,tbSkills!DH3:DI6,2,FALSE)+IF(AND(Calculator!B8=TRUE,Backdoors!BI39=TRUE),VLOOKUP(Calculator!E23,tbSkills!DH3:DJ6,3,FALSE),0),0)))/100)),1),1)</f>
        <v>0.6</v>
      </c>
      <c r="IZ31" s="87">
        <f t="shared" si="28"/>
        <v>0</v>
      </c>
      <c r="JA31" s="86" t="str">
        <f>IFERROR(IF(VLOOKUP(A31,tbMoveset!A2:B112,2,FALSE)="Sever",Backdoors!AY40/100,IF(VLOOKUP(A31,tbMoveset!A2:B112,2,FALSE)="Blunt",Backdoors!AZ40/100,Backdoors!BA40/100)),"")</f>
        <v/>
      </c>
      <c r="JB31" s="49">
        <f>IFERROR(IF(VLOOKUP(tbMoveset!A31,tbMoveset!A2:H112,8,FALSE)="Other",IF(VLOOKUP(tbMoveset!A31,tbMoveset!A2:I112,9,FALSE)="Fire",Backdoors!BB40,IF(VLOOKUP(tbMoveset!A31,tbMoveset!A2:I112,9,FALSE)="Water",Backdoors!BC40,IF(VLOOKUP(tbMoveset!A31,tbMoveset!A2:I112,9,FALSE)="Thunder",Backdoors!BD40,IF(VLOOKUP(tbMoveset!A31,tbMoveset!A2:I112,9,FALSE)="Ice",Backdoors!BE40,IF(VLOOKUP(tbMoveset!A31,tbMoveset!A2:I112,9,FALSE)="Dragon",Backdoors!BF40,Backdoors!BG40)))))/100,Backdoors!BG40/100),"")</f>
        <v>0</v>
      </c>
      <c r="JC31" s="49">
        <f>IFERROR(IF(VLOOKUP(A31,tbMoveset!A2:J112,10,FALSE)=TRUE,IF((Backdoors!AI12+IF(JA31&gt;=0.45,VLOOKUP(Calculator!E23,tbSkills!DH3:DI6,2,FALSE)+IF(AND(Calculator!B8=TRUE,Backdoors!BI40=TRUE),VLOOKUP(Calculator!E23,tbSkills!DH3:DJ6,3,FALSE),0),0))&gt;=0,1+(Backdoors!AL2*(IF((Backdoors!AI12+IF(JA31&gt;=0.45,VLOOKUP(Calculator!E23,tbSkills!DH3:DI6,2,FALSE)+IF(AND(Calculator!B8=TRUE,Backdoors!BI40=TRUE),VLOOKUP(Calculator!E23,tbSkills!DH3:DJ6,3,FALSE),0),0))&gt;=100,100,(Backdoors!AI12+IF(JA31&gt;=0.45,VLOOKUP(Calculator!E23,tbSkills!DH3:DI6,2,FALSE)+IF(AND(Calculator!B8=TRUE,Backdoors!BI40=TRUE),VLOOKUP(Calculator!E23,tbSkills!DH3:DJ6,3,FALSE),0),0)))/100)),(1-(0.25*((-Backdoors!AI12-IF(JA31&gt;=0.45,VLOOKUP(Calculator!E23,tbSkills!DH3:DI6,2,FALSE)+IF(AND(Calculator!B8=TRUE,Backdoors!BI40=TRUE),VLOOKUP(Calculator!E23,tbSkills!DH3:DJ6,3,FALSE),0),0))/100)))),1),"")</f>
        <v>1</v>
      </c>
      <c r="JD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A31)*JC31)*(VLOOKUP(A31,tbMoveset!A2:C112,3,FALSE)/100)*IF(VLOOKUP(A31,tbMoveset!A2:B112,2,FALSE)="Projectile",Backdoors!N10,Backdoors!N9),0),"")</f>
        <v/>
      </c>
      <c r="JE31" s="49">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42&gt;0,VLOOKUP(Calculator!E42,tbSkills!AC3:AD5,2,FALSE),Backdoors!AL3)*(IF((Backdoors!AI12+IF(JA31&gt;=0.45,VLOOKUP(Calculator!E23,tbSkills!DH3:DI6,2,FALSE)+IF(AND(Calculator!B8=TRUE,Backdoors!BI40=TRUE),VLOOKUP(Calculator!E23,tbSkills!DH3:DJ6,3,FALSE),0),0))&gt;=100,100,(Backdoors!AI12+IF(JA31&gt;=0.45,VLOOKUP(Calculator!E23,tbSkills!DH3:DI6,2,FALSE)+IF(AND(Calculator!B8=TRUE,Backdoors!BI40=TRUE),VLOOKUP(Calculator!E23,tbSkills!DH3:DJ6,3,FALSE),0),0)))/100)),1))*IF(VLOOKUP(A31,tbMoveset!A2:K112,11,FALSE)=TRUE,Backdoors!AC5,1))*JB31,0),"")</f>
        <v>0</v>
      </c>
      <c r="JF31" s="49">
        <f>VLOOKUP(A31,tbMoveset!A2:G112,7,FALSE)*IFERROR(IF(Backdoors!AI12&gt;=0,1+(IF(Calculator!E40&gt;0,VLOOKUP(Calculator!E40,tbSkills!AI3:AJ5,2,FALSE),Backdoors!AL4)*(IF((Backdoors!AI12+IF(JA31&gt;=0.45,VLOOKUP(Calculator!E23,tbSkills!DH3:DI6,2,FALSE)+IF(AND(Calculator!B8=TRUE,Backdoors!BI40=TRUE),VLOOKUP(Calculator!E23,tbSkills!DH3:DJ6,3,FALSE),0),0))&gt;=100,100,(Backdoors!AI12+IF(JA31&gt;=0.45,VLOOKUP(Calculator!E23,tbSkills!DH3:DI6,2,FALSE)+IF(AND(Calculator!B8=TRUE,Backdoors!BI40=TRUE),VLOOKUP(Calculator!E23,tbSkills!DH3:DJ6,3,FALSE),0),0)))/100)),1),1)</f>
        <v>0.6</v>
      </c>
      <c r="JG31" s="87">
        <f t="shared" si="29"/>
        <v>0</v>
      </c>
      <c r="JH31" s="86" t="str">
        <f>IFERROR(IF(VLOOKUP(A31,tbMoveset!A2:B112,2,FALSE)="Sever",Backdoors!AY41/100,IF(VLOOKUP(A31,tbMoveset!A2:B112,2,FALSE)="Blunt",Backdoors!AZ41/100,Backdoors!BA41/100)),"")</f>
        <v/>
      </c>
      <c r="JI31" s="49">
        <f>IFERROR(IF(VLOOKUP(tbMoveset!A31,tbMoveset!A2:H112,8,FALSE)="Other",IF(VLOOKUP(tbMoveset!A31,tbMoveset!A2:I112,9,FALSE)="Fire",Backdoors!BB41,IF(VLOOKUP(tbMoveset!A31,tbMoveset!A2:I112,9,FALSE)="Water",Backdoors!BC41,IF(VLOOKUP(tbMoveset!A31,tbMoveset!A2:I112,9,FALSE)="Thunder",Backdoors!BD41,IF(VLOOKUP(tbMoveset!A31,tbMoveset!A2:I112,9,FALSE)="Ice",Backdoors!BE41,IF(VLOOKUP(tbMoveset!A31,tbMoveset!A2:I112,9,FALSE)="Dragon",Backdoors!BF41,Backdoors!BG41)))))/100,Backdoors!BG41/100),"")</f>
        <v>0</v>
      </c>
      <c r="JJ31" s="49">
        <f>IFERROR(IF(VLOOKUP(A31,tbMoveset!A2:J112,10,FALSE)=TRUE,IF((Backdoors!AI12+IF(JH31&gt;=0.45,VLOOKUP(Calculator!E23,tbSkills!DH3:DI6,2,FALSE)+IF(AND(Calculator!B8=TRUE,Backdoors!BI41=TRUE),VLOOKUP(Calculator!E23,tbSkills!DH3:DJ6,3,FALSE),0),0))&gt;=0,1+(Backdoors!AL2*(IF((Backdoors!AI12+IF(JH31&gt;=0.45,VLOOKUP(Calculator!E23,tbSkills!DH3:DI6,2,FALSE)+IF(AND(Calculator!B8=TRUE,Backdoors!BI41=TRUE),VLOOKUP(Calculator!E23,tbSkills!DH3:DJ6,3,FALSE),0),0))&gt;=100,100,(Backdoors!AI12+IF(JH31&gt;=0.45,VLOOKUP(Calculator!E23,tbSkills!DH3:DI6,2,FALSE)+IF(AND(Calculator!B8=TRUE,Backdoors!BI41=TRUE),VLOOKUP(Calculator!E23,tbSkills!DH3:DJ6,3,FALSE),0),0)))/100)),(1-(0.25*((-Backdoors!AI12-IF(JH31&gt;=0.45,VLOOKUP(Calculator!E23,tbSkills!DH3:DI6,2,FALSE)+IF(AND(Calculator!B8=TRUE,Backdoors!BI41=TRUE),VLOOKUP(Calculator!E23,tbSkills!DH3:DJ6,3,FALSE),0),0))/100)))),1),"")</f>
        <v>1</v>
      </c>
      <c r="JK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H31)*JJ31)*(VLOOKUP(A31,tbMoveset!A2:C112,3,FALSE)/100)*IF(VLOOKUP(A31,tbMoveset!A2:B112,2,FALSE)="Projectile",Backdoors!N10,Backdoors!N9),0),"")</f>
        <v/>
      </c>
      <c r="JL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43&gt;0,VLOOKUP(Calculator!E43,tbSkills!AC3:AD5,2,FALSE),Backdoors!AL3)*(IF((Backdoors!AI12+IF(JH31&gt;=0.45,VLOOKUP(Calculator!E23,tbSkills!DH3:DI6,2,FALSE)+IF(AND(Calculator!B8=TRUE,Backdoors!BI41=TRUE),VLOOKUP(Calculator!E23,tbSkills!DH3:DJ6,3,FALSE),0),0))&gt;=100,100,(Backdoors!AI12+IF(JH31&gt;=0.45,VLOOKUP(Calculator!E23,tbSkills!DH3:DI6,2,FALSE)+IF(AND(Calculator!B8=TRUE,Backdoors!BI41=TRUE),VLOOKUP(Calculator!E23,tbSkills!DH3:DJ6,3,FALSE),0),0)))/100)),1))*IF(VLOOKUP(A31,tbMoveset!A2:K112,11,FALSE)=TRUE,Backdoors!AC5,1))*JI31,0),"")</f>
        <v/>
      </c>
      <c r="JM31" s="49">
        <f>VLOOKUP(A31,tbMoveset!A2:G112,7,FALSE)*IFERROR(IF(Backdoors!AI12&gt;=0,1+(IF(Calculator!E40&gt;0,VLOOKUP(Calculator!E40,tbSkills!AI3:AJ5,2,FALSE),Backdoors!AL4)*(IF((Backdoors!AI12+IF(JH31&gt;=0.45,VLOOKUP(Calculator!E23,tbSkills!DH3:DI6,2,FALSE)+IF(AND(Calculator!B8=TRUE,Backdoors!BI41=TRUE),VLOOKUP(Calculator!E23,tbSkills!DH3:DJ6,3,FALSE),0),0))&gt;=100,100,(Backdoors!AI12+IF(JH31&gt;=0.45,VLOOKUP(Calculator!E23,tbSkills!DH3:DI6,2,FALSE)+IF(AND(Calculator!B8=TRUE,Backdoors!BI41=TRUE),VLOOKUP(Calculator!E23,tbSkills!DH3:DJ6,3,FALSE),0),0)))/100)),1),1)</f>
        <v>0.6</v>
      </c>
      <c r="JN31" s="87">
        <f t="shared" si="30"/>
        <v>0</v>
      </c>
      <c r="JO31" s="86" t="str">
        <f>IFERROR(IF(VLOOKUP(A31,tbMoveset!A2:B112,2,FALSE)="Sever",Backdoors!AY42/100,IF(VLOOKUP(A31,tbMoveset!A2:B112,2,FALSE)="Blunt",Backdoors!AZ42/100,Backdoors!BA42/100)),"")</f>
        <v/>
      </c>
      <c r="JP31" s="49">
        <f>IFERROR(IF(VLOOKUP(tbMoveset!A31,tbMoveset!A2:H112,8,FALSE)="Other",IF(VLOOKUP(tbMoveset!A31,tbMoveset!A2:I112,9,FALSE)="Fire",Backdoors!BB42,IF(VLOOKUP(tbMoveset!A31,tbMoveset!A2:I112,9,FALSE)="Water",Backdoors!BC42,IF(VLOOKUP(tbMoveset!A31,tbMoveset!A2:I112,9,FALSE)="Thunder",Backdoors!BD42,IF(VLOOKUP(tbMoveset!A31,tbMoveset!A2:I112,9,FALSE)="Ice",Backdoors!BE42,IF(VLOOKUP(tbMoveset!A31,tbMoveset!A2:I112,9,FALSE)="Dragon",Backdoors!BF42,Backdoors!BG42)))))/100,Backdoors!BG42/100),"")</f>
        <v>0</v>
      </c>
      <c r="JQ31" s="49">
        <f>IFERROR(IF(VLOOKUP(A31,tbMoveset!A2:J112,10,FALSE)=TRUE,IF((Backdoors!AI12+IF(JO31&gt;=0.45,VLOOKUP(Calculator!E23,tbSkills!DH3:DI6,2,FALSE)+IF(AND(Calculator!B8=TRUE,Backdoors!BI42=TRUE),VLOOKUP(Calculator!E23,tbSkills!DH3:DJ6,3,FALSE),0),0))&gt;=0,1+(Backdoors!AL2*(IF((Backdoors!AI12+IF(JO31&gt;=0.45,VLOOKUP(Calculator!E23,tbSkills!DH3:DI6,2,FALSE)+IF(AND(Calculator!B8=TRUE,Backdoors!BI42=TRUE),VLOOKUP(Calculator!E23,tbSkills!DH3:DJ6,3,FALSE),0),0))&gt;=100,100,(Backdoors!AI12+IF(JO31&gt;=0.45,VLOOKUP(Calculator!E23,tbSkills!DH3:DI6,2,FALSE)+IF(AND(Calculator!B8=TRUE,Backdoors!BI42=TRUE),VLOOKUP(Calculator!E23,tbSkills!DH3:DJ6,3,FALSE),0),0)))/100)),(1-(0.25*((-Backdoors!AI12-IF(JO31&gt;=0.45,VLOOKUP(Calculator!E23,tbSkills!DH3:DI6,2,FALSE)+IF(AND(Calculator!B8=TRUE,Backdoors!BI42=TRUE),VLOOKUP(Calculator!E23,tbSkills!DH3:DJ6,3,FALSE),0),0))/100)))),1),"")</f>
        <v>1</v>
      </c>
      <c r="JR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O31)*JQ31)*(VLOOKUP(A31,tbMoveset!A2:C112,3,FALSE)/100)*IF(VLOOKUP(A31,tbMoveset!A2:B112,2,FALSE)="Projectile",Backdoors!N10,Backdoors!N9),0),"")</f>
        <v/>
      </c>
      <c r="JS31" s="49">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45&gt;0,VLOOKUP(Calculator!E45,tbSkills!AC3:AD5,2,FALSE),Backdoors!AL3)*(IF((Backdoors!AI12+IF(JO31&gt;=0.45,VLOOKUP(Calculator!E23,tbSkills!DH3:DI6,2,FALSE)+IF(AND(Calculator!B8=TRUE,Backdoors!BI42=TRUE),VLOOKUP(Calculator!E23,tbSkills!DH3:DJ6,3,FALSE),0),0))&gt;=100,100,(Backdoors!AI12+IF(JO31&gt;=0.45,VLOOKUP(Calculator!E23,tbSkills!DH3:DI6,2,FALSE)+IF(AND(Calculator!B8=TRUE,Backdoors!BI42=TRUE),VLOOKUP(Calculator!E23,tbSkills!DH3:DJ6,3,FALSE),0),0)))/100)),1))*IF(VLOOKUP(A31,tbMoveset!A2:K112,11,FALSE)=TRUE,Backdoors!AC5,1))*JP31,0),"")</f>
        <v>0</v>
      </c>
      <c r="JT31" s="49">
        <f>VLOOKUP(A31,tbMoveset!A2:G112,7,FALSE)*IFERROR(IF(Backdoors!AI12&gt;=0,1+(IF(Calculator!E40&gt;0,VLOOKUP(Calculator!E40,tbSkills!AI3:AJ5,2,FALSE),Backdoors!AL4)*(IF((Backdoors!AI12+IF(JO31&gt;=0.45,VLOOKUP(Calculator!E23,tbSkills!DH3:DI6,2,FALSE)+IF(AND(Calculator!B8=TRUE,Backdoors!BI42=TRUE),VLOOKUP(Calculator!E23,tbSkills!DH3:DJ6,3,FALSE),0),0))&gt;=100,100,(Backdoors!AI12+IF(JO31&gt;=0.45,VLOOKUP(Calculator!E23,tbSkills!DH3:DI6,2,FALSE)+IF(AND(Calculator!B8=TRUE,Backdoors!BI42=TRUE),VLOOKUP(Calculator!E23,tbSkills!DH3:DJ6,3,FALSE),0),0)))/100)),1),1)</f>
        <v>0.6</v>
      </c>
      <c r="JU31" s="87">
        <f t="shared" si="31"/>
        <v>0</v>
      </c>
      <c r="JV31" s="86" t="str">
        <f>IFERROR(IF(VLOOKUP(A31,tbMoveset!A2:B112,2,FALSE)="Sever",Backdoors!AY43/100,IF(VLOOKUP(A31,tbMoveset!A2:B112,2,FALSE)="Blunt",Backdoors!AZ43/100,Backdoors!BA43/100)),"")</f>
        <v/>
      </c>
      <c r="JW31" s="49">
        <f>IFERROR(IF(VLOOKUP(tbMoveset!A31,tbMoveset!A2:H112,8,FALSE)="Other",IF(VLOOKUP(tbMoveset!A31,tbMoveset!A2:I112,9,FALSE)="Fire",Backdoors!BB43,IF(VLOOKUP(tbMoveset!A31,tbMoveset!A2:I112,9,FALSE)="Water",Backdoors!BC43,IF(VLOOKUP(tbMoveset!A31,tbMoveset!A2:I112,9,FALSE)="Thunder",Backdoors!BD43,IF(VLOOKUP(tbMoveset!A31,tbMoveset!A2:I112,9,FALSE)="Ice",Backdoors!BE43,IF(VLOOKUP(tbMoveset!A31,tbMoveset!A2:I112,9,FALSE)="Dragon",Backdoors!BF43,Backdoors!BG43)))))/100,Backdoors!BG43/100),"")</f>
        <v>0</v>
      </c>
      <c r="JX31" s="49">
        <f>IFERROR(IF(VLOOKUP(A31,tbMoveset!A2:J112,10,FALSE)=TRUE,IF((Backdoors!AI12+IF(JV31&gt;=0.45,VLOOKUP(Calculator!E23,tbSkills!DH3:DI6,2,FALSE)+IF(AND(Calculator!B8=TRUE,Backdoors!BI43=TRUE),VLOOKUP(Calculator!E23,tbSkills!DH3:DJ6,3,FALSE),0),0))&gt;=0,1+(Backdoors!AL2*(IF((Backdoors!AI12+IF(JV31&gt;=0.45,VLOOKUP(Calculator!E23,tbSkills!DH3:DI6,2,FALSE)+IF(AND(Calculator!B8=TRUE,Backdoors!BI43=TRUE),VLOOKUP(Calculator!E23,tbSkills!DH3:DJ6,3,FALSE),0),0))&gt;=100,100,(Backdoors!AI12+IF(JV31&gt;=0.45,VLOOKUP(Calculator!E23,tbSkills!DH3:DI6,2,FALSE)+IF(AND(Calculator!B8=TRUE,Backdoors!BI43=TRUE),VLOOKUP(Calculator!E23,tbSkills!DH3:DJ6,3,FALSE),0),0)))/100)),(1-(0.25*((-Backdoors!AI12-IF(JV31&gt;=0.45,VLOOKUP(Calculator!E23,tbSkills!DH3:DI6,2,FALSE)+IF(AND(Calculator!B8=TRUE,Backdoors!BI43=TRUE),VLOOKUP(Calculator!E23,tbSkills!DH3:DJ6,3,FALSE),0),0))/100)))),1),"")</f>
        <v>1</v>
      </c>
      <c r="JY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V31)*JX31)*(VLOOKUP(A31,tbMoveset!A2:C112,3,FALSE)/100)*IF(VLOOKUP(A31,tbMoveset!A2:B112,2,FALSE)="Projectile",Backdoors!N10,Backdoors!N9),0),"")</f>
        <v/>
      </c>
      <c r="JZ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46&gt;0,VLOOKUP(Calculator!E46,tbSkills!AC3:AD5,2,FALSE),Backdoors!AL3)*(IF((Backdoors!AI12+IF(JV31&gt;=0.45,VLOOKUP(Calculator!E23,tbSkills!DH3:DI6,2,FALSE)+IF(AND(Calculator!B8=TRUE,Backdoors!BI43=TRUE),VLOOKUP(Calculator!E23,tbSkills!DH3:DJ6,3,FALSE),0),0))&gt;=100,100,(Backdoors!AI12+IF(JV31&gt;=0.45,VLOOKUP(Calculator!E23,tbSkills!DH3:DI6,2,FALSE)+IF(AND(Calculator!B8=TRUE,Backdoors!BI43=TRUE),VLOOKUP(Calculator!E23,tbSkills!DH3:DJ6,3,FALSE),0),0)))/100)),1))*IF(VLOOKUP(A31,tbMoveset!A2:K112,11,FALSE)=TRUE,Backdoors!AC5,1))*JW31,0),"")</f>
        <v/>
      </c>
      <c r="KA31" s="49">
        <f>VLOOKUP(A31,tbMoveset!A2:G112,7,FALSE)*IFERROR(IF(Backdoors!AI12&gt;=0,1+(IF(Calculator!E40&gt;0,VLOOKUP(Calculator!E40,tbSkills!AI3:AJ5,2,FALSE),Backdoors!AL4)*(IF((Backdoors!AI12+IF(JV31&gt;=0.45,VLOOKUP(Calculator!E23,tbSkills!DH3:DI6,2,FALSE)+IF(AND(Calculator!B8=TRUE,Backdoors!BI43=TRUE),VLOOKUP(Calculator!E23,tbSkills!DH3:DJ6,3,FALSE),0),0))&gt;=100,100,(Backdoors!AI12+IF(JV31&gt;=0.45,VLOOKUP(Calculator!E23,tbSkills!DH3:DI6,2,FALSE)+IF(AND(Calculator!B8=TRUE,Backdoors!BI43=TRUE),VLOOKUP(Calculator!E23,tbSkills!DH3:DJ6,3,FALSE),0),0)))/100)),1),1)</f>
        <v>0.6</v>
      </c>
      <c r="KB31" s="87">
        <f t="shared" si="32"/>
        <v>0</v>
      </c>
      <c r="KC31" s="86" t="str">
        <f>IFERROR(IF(VLOOKUP(A31,tbMoveset!A2:B112,2,FALSE)="Sever",Backdoors!AY44/100,IF(VLOOKUP(A31,tbMoveset!A2:B112,2,FALSE)="Blunt",Backdoors!AZ44/100,Backdoors!BA44/100)),"")</f>
        <v/>
      </c>
      <c r="KD31" s="49">
        <f>IFERROR(IF(VLOOKUP(tbMoveset!A31,tbMoveset!A2:H112,8,FALSE)="Other",IF(VLOOKUP(tbMoveset!A31,tbMoveset!A2:I112,9,FALSE)="Fire",Backdoors!BB44,IF(VLOOKUP(tbMoveset!A31,tbMoveset!A2:I112,9,FALSE)="Water",Backdoors!BC44,IF(VLOOKUP(tbMoveset!A31,tbMoveset!A2:I112,9,FALSE)="Thunder",Backdoors!BD44,IF(VLOOKUP(tbMoveset!A31,tbMoveset!A2:I112,9,FALSE)="Ice",Backdoors!BE44,IF(VLOOKUP(tbMoveset!A31,tbMoveset!A2:I112,9,FALSE)="Dragon",Backdoors!BF44,Backdoors!BG44)))))/100,Backdoors!BG44/100),"")</f>
        <v>0</v>
      </c>
      <c r="KE31" s="49">
        <f>IFERROR(IF(VLOOKUP(A31,tbMoveset!A2:J112,10,FALSE)=TRUE,IF((Backdoors!AI12+IF(KC31&gt;=0.45,VLOOKUP(Calculator!E23,tbSkills!DH3:DI6,2,FALSE)+IF(AND(Calculator!B8=TRUE,Backdoors!BI44=TRUE),VLOOKUP(Calculator!E23,tbSkills!DH3:DJ6,3,FALSE),0),0))&gt;=0,1+(Backdoors!AL2*(IF((Backdoors!AI12+IF(KC31&gt;=0.45,VLOOKUP(Calculator!E23,tbSkills!DH3:DI6,2,FALSE)+IF(AND(Calculator!B8=TRUE,Backdoors!BI44=TRUE),VLOOKUP(Calculator!E23,tbSkills!DH3:DJ6,3,FALSE),0),0))&gt;=100,100,(Backdoors!AI12+IF(KC31&gt;=0.45,VLOOKUP(Calculator!E23,tbSkills!DH3:DI6,2,FALSE)+IF(AND(Calculator!B8=TRUE,Backdoors!BI44=TRUE),VLOOKUP(Calculator!E23,tbSkills!DH3:DJ6,3,FALSE),0),0)))/100)),(1-(0.25*((-Backdoors!AI12-IF(KC31&gt;=0.45,VLOOKUP(Calculator!E23,tbSkills!DH3:DI6,2,FALSE)+IF(AND(Calculator!B8=TRUE,Backdoors!BI44=TRUE),VLOOKUP(Calculator!E23,tbSkills!DH3:DJ6,3,FALSE),0),0))/100)))),1),"")</f>
        <v>1</v>
      </c>
      <c r="KF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KC31)*KE31)*(VLOOKUP(A31,tbMoveset!A2:C112,3,FALSE)/100)*IF(VLOOKUP(A31,tbMoveset!A2:B112,2,FALSE)="Projectile",Backdoors!N10,Backdoors!N9),0),"")</f>
        <v/>
      </c>
      <c r="KG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REF!&gt;0,VLOOKUP(Calculator!#REF!,tbSkills!AC3:AD5,2,FALSE),Backdoors!AL3)*(IF((Backdoors!AI12+IF(KC31&gt;=0.45,VLOOKUP(Calculator!E23,tbSkills!DH3:DI6,2,FALSE)+IF(AND(Calculator!B8=TRUE,Backdoors!BI44=TRUE),VLOOKUP(Calculator!E23,tbSkills!DH3:DJ6,3,FALSE),0),0))&gt;=100,100,(Backdoors!AI12+IF(KC31&gt;=0.45,VLOOKUP(Calculator!E23,tbSkills!DH3:DI6,2,FALSE)+IF(AND(Calculator!B8=TRUE,Backdoors!BI44=TRUE),VLOOKUP(Calculator!E23,tbSkills!DH3:DJ6,3,FALSE),0),0)))/100)),1))*IF(VLOOKUP(A31,tbMoveset!A2:K112,11,FALSE)=TRUE,Backdoors!AC5,1))*KD31,0),"")</f>
        <v/>
      </c>
      <c r="KH31" s="49">
        <f>VLOOKUP(A31,tbMoveset!A2:G112,7,FALSE)*IFERROR(IF(Backdoors!AI12&gt;=0,1+(IF(Calculator!E40&gt;0,VLOOKUP(Calculator!E40,tbSkills!AI3:AJ5,2,FALSE),Backdoors!AL4)*(IF((Backdoors!AI12+IF(KC31&gt;=0.45,VLOOKUP(Calculator!E23,tbSkills!DH3:DI6,2,FALSE)+IF(AND(Calculator!B8=TRUE,Backdoors!BI44=TRUE),VLOOKUP(Calculator!E23,tbSkills!DH3:DJ6,3,FALSE),0),0))&gt;=100,100,(Backdoors!AI12+IF(KC31&gt;=0.45,VLOOKUP(Calculator!E23,tbSkills!DH3:DI6,2,FALSE)+IF(AND(Calculator!B8=TRUE,Backdoors!BI44=TRUE),VLOOKUP(Calculator!E23,tbSkills!DH3:DJ6,3,FALSE),0),0)))/100)),1),1)</f>
        <v>0.6</v>
      </c>
      <c r="KI31" s="87">
        <f t="shared" si="33"/>
        <v>0</v>
      </c>
      <c r="KJ31" s="86" t="str">
        <f>IFERROR(IF(VLOOKUP(A31,tbMoveset!A2:B112,2,FALSE)="Sever",Backdoors!AY45/100,IF(VLOOKUP(A31,tbMoveset!A2:B112,2,FALSE)="Blunt",Backdoors!AZ45/100,Backdoors!BA45/100)),"")</f>
        <v/>
      </c>
      <c r="KK31" s="49">
        <f>IFERROR(IF(VLOOKUP(tbMoveset!A31,tbMoveset!A2:H112,8,FALSE)="Other",IF(VLOOKUP(tbMoveset!A31,tbMoveset!A2:I112,9,FALSE)="Fire",Backdoors!BB45,IF(VLOOKUP(tbMoveset!A31,tbMoveset!A2:I112,9,FALSE)="Water",Backdoors!BC45,IF(VLOOKUP(tbMoveset!A31,tbMoveset!A2:I112,9,FALSE)="Thunder",Backdoors!BD45,IF(VLOOKUP(tbMoveset!A31,tbMoveset!A2:I112,9,FALSE)="Ice",Backdoors!BE45,IF(VLOOKUP(tbMoveset!A31,tbMoveset!A2:I112,9,FALSE)="Dragon",Backdoors!BF45,Backdoors!BG45)))))/100,Backdoors!BG45/100),"")</f>
        <v>0</v>
      </c>
      <c r="KL31" s="49">
        <f>IFERROR(IF(VLOOKUP(A31,tbMoveset!A2:J112,10,FALSE)=TRUE,IF((Backdoors!AI12+IF(KJ31&gt;=0.45,VLOOKUP(Calculator!E23,tbSkills!DH3:DI6,2,FALSE)+IF(AND(Calculator!B8=TRUE,Backdoors!BI45=TRUE),VLOOKUP(Calculator!E23,tbSkills!DH3:DJ6,3,FALSE),0),0))&gt;=0,1+(Backdoors!AL2*(IF((Backdoors!AI12+IF(KJ31&gt;=0.45,VLOOKUP(Calculator!E23,tbSkills!DH3:DI6,2,FALSE)+IF(AND(Calculator!B8=TRUE,Backdoors!BI45=TRUE),VLOOKUP(Calculator!E23,tbSkills!DH3:DJ6,3,FALSE),0),0))&gt;=100,100,(Backdoors!AI12+IF(KJ31&gt;=0.45,VLOOKUP(Calculator!E23,tbSkills!DH3:DI6,2,FALSE)+IF(AND(Calculator!B8=TRUE,Backdoors!BI45=TRUE),VLOOKUP(Calculator!E23,tbSkills!DH3:DJ6,3,FALSE),0),0)))/100)),(1-(0.25*((-Backdoors!AI12-IF(KJ31&gt;=0.45,VLOOKUP(Calculator!E23,tbSkills!DH3:DI6,2,FALSE)+IF(AND(Calculator!B8=TRUE,Backdoors!BI45=TRUE),VLOOKUP(Calculator!E23,tbSkills!DH3:DJ6,3,FALSE),0),0))/100)))),1),"")</f>
        <v>1</v>
      </c>
      <c r="KM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KJ31)*KL31)*(VLOOKUP(A31,tbMoveset!A2:C112,3,FALSE)/100)*IF(VLOOKUP(A31,tbMoveset!A2:B112,2,FALSE)="Projectile",Backdoors!N10,Backdoors!N9),0),"")</f>
        <v/>
      </c>
      <c r="KN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REF!&gt;0,VLOOKUP(Calculator!#REF!,tbSkills!AC3:AD5,2,FALSE),Backdoors!AL3)*(IF((Backdoors!AI12+IF(KJ31&gt;=0.45,VLOOKUP(Calculator!E23,tbSkills!DH3:DI6,2,FALSE)+IF(AND(Calculator!B8=TRUE,Backdoors!BI45=TRUE),VLOOKUP(Calculator!E23,tbSkills!DH3:DJ6,3,FALSE),0),0))&gt;=100,100,(Backdoors!AI12+IF(KJ31&gt;=0.45,VLOOKUP(Calculator!E23,tbSkills!DH3:DI6,2,FALSE)+IF(AND(Calculator!B8=TRUE,Backdoors!BI45=TRUE),VLOOKUP(Calculator!E23,tbSkills!DH3:DJ6,3,FALSE),0),0)))/100)),1))*IF(VLOOKUP(A31,tbMoveset!A2:K112,11,FALSE)=TRUE,Backdoors!AC5,1))*KK31,0),"")</f>
        <v/>
      </c>
      <c r="KO31" s="49">
        <f>VLOOKUP(A31,tbMoveset!A2:G112,7,FALSE)*IFERROR(IF(Backdoors!AI12&gt;=0,1+(IF(Calculator!E40&gt;0,VLOOKUP(Calculator!E40,tbSkills!AI3:AJ5,2,FALSE),Backdoors!AL4)*(IF((Backdoors!AI12+IF(KJ31&gt;=0.45,VLOOKUP(Calculator!E23,tbSkills!DH3:DI6,2,FALSE)+IF(AND(Calculator!B8=TRUE,Backdoors!BI45=TRUE),VLOOKUP(Calculator!E23,tbSkills!DH3:DJ6,3,FALSE),0),0))&gt;=100,100,(Backdoors!AI12+IF(KJ31&gt;=0.45,VLOOKUP(Calculator!E23,tbSkills!DH3:DI6,2,FALSE)+IF(AND(Calculator!B8=TRUE,Backdoors!BI45=TRUE),VLOOKUP(Calculator!E23,tbSkills!DH3:DJ6,3,FALSE),0),0)))/100)),1),1)</f>
        <v>0.6</v>
      </c>
      <c r="KP31" s="87">
        <f t="shared" si="34"/>
        <v>0</v>
      </c>
      <c r="KQ31" s="86" t="str">
        <f>IFERROR(IF(VLOOKUP(A31,tbMoveset!A2:B112,2,FALSE)="Sever",Backdoors!AY46/100,IF(VLOOKUP(A31,tbMoveset!A2:B112,2,FALSE)="Blunt",Backdoors!AZ46/100,Backdoors!BA46/100)),"")</f>
        <v/>
      </c>
      <c r="KR31" s="49">
        <f>IFERROR(IF(VLOOKUP(tbMoveset!A31,tbMoveset!A2:H112,8,FALSE)="Other",IF(VLOOKUP(tbMoveset!A31,tbMoveset!A2:I112,9,FALSE)="Fire",Backdoors!BB46,IF(VLOOKUP(tbMoveset!A31,tbMoveset!A2:I112,9,FALSE)="Water",Backdoors!BC46,IF(VLOOKUP(tbMoveset!A31,tbMoveset!A2:I112,9,FALSE)="Thunder",Backdoors!BD46,IF(VLOOKUP(tbMoveset!A31,tbMoveset!A2:I112,9,FALSE)="Ice",Backdoors!BE46,IF(VLOOKUP(tbMoveset!A31,tbMoveset!A2:I112,9,FALSE)="Dragon",Backdoors!BF46,Backdoors!BG46)))))/100,Backdoors!BG46/100),"")</f>
        <v>0</v>
      </c>
      <c r="KS31" s="49">
        <f>IFERROR(IF(VLOOKUP(A31,tbMoveset!A2:J112,10,FALSE)=TRUE,IF((Backdoors!AI12+IF(KQ31&gt;=0.45,VLOOKUP(Calculator!E23,tbSkills!DH3:DI6,2,FALSE)+IF(AND(Calculator!B8=TRUE,Backdoors!BI46=TRUE),VLOOKUP(Calculator!E23,tbSkills!DH3:DJ6,3,FALSE),0),0))&gt;=0,1+(Backdoors!AL2*(IF((Backdoors!AI12+IF(KQ31&gt;=0.45,VLOOKUP(Calculator!E23,tbSkills!DH3:DI6,2,FALSE)+IF(AND(Calculator!B8=TRUE,Backdoors!BI46=TRUE),VLOOKUP(Calculator!E23,tbSkills!DH3:DJ6,3,FALSE),0),0))&gt;=100,100,(Backdoors!AI12+IF(KQ31&gt;=0.45,VLOOKUP(Calculator!E23,tbSkills!DH3:DI6,2,FALSE)+IF(AND(Calculator!B8=TRUE,Backdoors!BI46=TRUE),VLOOKUP(Calculator!E23,tbSkills!DH3:DJ6,3,FALSE),0),0)))/100)),(1-(0.25*((-Backdoors!AI12-IF(KQ31&gt;=0.45,VLOOKUP(Calculator!E23,tbSkills!DH3:DI6,2,FALSE)+IF(AND(Calculator!B8=TRUE,Backdoors!BI46=TRUE),VLOOKUP(Calculator!E23,tbSkills!DH3:DJ6,3,FALSE),0),0))/100)))),1),"")</f>
        <v>1</v>
      </c>
      <c r="KT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KQ31)*KS31)*(VLOOKUP(A31,tbMoveset!A2:C112,3,FALSE)/100)*IF(VLOOKUP(A31,tbMoveset!A2:B112,2,FALSE)="Projectile",Backdoors!N10,Backdoors!N9),0),"")</f>
        <v/>
      </c>
      <c r="KU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REF!&gt;0,VLOOKUP(Calculator!#REF!,tbSkills!AC3:AD5,2,FALSE),Backdoors!AL3)*(IF((Backdoors!AI12+IF(KQ31&gt;=0.45,VLOOKUP(Calculator!E23,tbSkills!DH3:DI6,2,FALSE)+IF(AND(Calculator!B8=TRUE,Backdoors!BI46=TRUE),VLOOKUP(Calculator!E23,tbSkills!DH3:DJ6,3,FALSE),0),0))&gt;=100,100,(Backdoors!AI12+IF(KQ31&gt;=0.45,VLOOKUP(Calculator!E23,tbSkills!DH3:DI6,2,FALSE)+IF(AND(Calculator!B8=TRUE,Backdoors!BI46=TRUE),VLOOKUP(Calculator!E23,tbSkills!DH3:DJ6,3,FALSE),0),0)))/100)),1))*IF(VLOOKUP(A31,tbMoveset!A2:K112,11,FALSE)=TRUE,Backdoors!AC5,1))*KR31,0),"")</f>
        <v/>
      </c>
      <c r="KV31" s="49">
        <f>VLOOKUP(A31,tbMoveset!A2:G112,7,FALSE)*IFERROR(IF(Backdoors!AI12&gt;=0,1+(IF(Calculator!E40&gt;0,VLOOKUP(Calculator!E40,tbSkills!AI3:AJ5,2,FALSE),Backdoors!AL4)*(IF((Backdoors!AI12+IF(KQ31&gt;=0.45,VLOOKUP(Calculator!E23,tbSkills!DH3:DI6,2,FALSE)+IF(AND(Calculator!B8=TRUE,Backdoors!BI46=TRUE),VLOOKUP(Calculator!E23,tbSkills!DH3:DJ6,3,FALSE),0),0))&gt;=100,100,(Backdoors!AI12+IF(KQ31&gt;=0.45,VLOOKUP(Calculator!E23,tbSkills!DH3:DI6,2,FALSE)+IF(AND(Calculator!B8=TRUE,Backdoors!BI46=TRUE),VLOOKUP(Calculator!E23,tbSkills!DH3:DJ6,3,FALSE),0),0)))/100)),1),1)</f>
        <v>0.6</v>
      </c>
      <c r="KW31" s="87">
        <f t="shared" si="35"/>
        <v>0</v>
      </c>
    </row>
    <row r="32" spans="1:309" x14ac:dyDescent="0.25">
      <c r="A32" s="95" t="str">
        <f>tbMoveset!A32</f>
        <v>Demon Flurry (L2)</v>
      </c>
      <c r="B32" s="86">
        <f>IFERROR(IF(VLOOKUP(A32,tbMoveset!A2:B112,2,FALSE)="Sever",Backdoors!AY3/100,IF(VLOOKUP(A32,tbMoveset!A2:B112,2,FALSE)="Blunt",Backdoors!AZ3/100,Backdoors!BA3/100)),"")</f>
        <v>0.8</v>
      </c>
      <c r="C32" s="49">
        <f>IFERROR(IF(VLOOKUP(tbMoveset!A32,tbMoveset!A2:H112,8,FALSE)="Other",IF(VLOOKUP(tbMoveset!A32,tbMoveset!A2:I112,9,FALSE)="Fire",Backdoors!BB3,IF(VLOOKUP(tbMoveset!A32,tbMoveset!A2:I112,9,FALSE)="Water",Backdoors!BC3,IF(VLOOKUP(tbMoveset!A32,tbMoveset!A2:I112,9,FALSE)="Thunder",Backdoors!BD3,IF(VLOOKUP(tbMoveset!A32,tbMoveset!A2:I112,9,FALSE)="Ice",Backdoors!BE3,IF(VLOOKUP(tbMoveset!A32,tbMoveset!A2:I112,9,FALSE)="Dragon",Backdoors!BF3,Backdoors!BG3)))))/100,Backdoors!BG3/100),"")</f>
        <v>0</v>
      </c>
      <c r="D32" s="49">
        <f>IFERROR(IF(VLOOKUP(A32,tbMoveset!A2:J112,10,FALSE)=TRUE,IF((Backdoors!AI12+IF(B32&gt;=0.45,VLOOKUP(Calculator!E23,tbSkills!DH3:DI6,2,FALSE)+IF(AND(Calculator!B8=TRUE,Backdoors!BI3=TRUE),VLOOKUP(Calculator!E23,tbSkills!DH3:DJ6,3,FALSE),0),0))&gt;=0,1+(Backdoors!AL2*(IF((Backdoors!AI12+IF(B32&gt;=0.45,VLOOKUP(Calculator!E23,tbSkills!DH3:DI6,2,FALSE)+IF(AND(Calculator!B8=TRUE,Backdoors!BI3=TRUE),VLOOKUP(Calculator!E23,tbSkills!DH3:DJ6,3,FALSE),0),0))&gt;=100,100,(Backdoors!AI12+IF(B32&gt;=0.45,VLOOKUP(Calculator!E23,tbSkills!DH3:DI6,2,FALSE)+IF(AND(Calculator!B8=TRUE,Backdoors!BI3=TRUE),VLOOKUP(Calculator!E23,tbSkills!DH3:DJ6,3,FALSE),0),0)))/100)),(1-(0.25*((-Backdoors!AI12-IF(B32&gt;=0.45,VLOOKUP(Calculator!E23,tbSkills!DH3:DI6,2,FALSE)+IF(AND(Calculator!B8=TRUE,Backdoors!BI3=TRUE),VLOOKUP(Calculator!E23,tbSkills!DH3:DJ6,3,FALSE),0),0))/100)))),1),"")</f>
        <v>1</v>
      </c>
      <c r="E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32)*D32)*(VLOOKUP(A32,tbMoveset!A2:C112,3,FALSE)/100)*IF(VLOOKUP(A32,tbMoveset!A2:B112,2,FALSE)="Projectile",Backdoors!N10,Backdoors!N9),0),"")</f>
        <v>5</v>
      </c>
      <c r="F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32&gt;=0.45,VLOOKUP(Calculator!E23,tbSkills!DH3:DI6,2,FALSE)+IF(AND(Calculator!B8=TRUE,Backdoors!BI3=TRUE),VLOOKUP(Calculator!E23,tbSkills!DH3:DJ6,3,FALSE),0),0))&gt;=100,100,(Backdoors!AI12+IF(B32&gt;=0.45,VLOOKUP(Calculator!E23,tbSkills!DH3:DI6,2,FALSE)+IF(AND(Calculator!B8=TRUE,Backdoors!BI3=TRUE),VLOOKUP(Calculator!E23,tbSkills!DH3:DJ6,3,FALSE),0),0)))/100)),1))*IF(VLOOKUP(A32,tbMoveset!A2:K112,11,FALSE)=TRUE,Backdoors!AC5,1))*C32,0),"")</f>
        <v>0</v>
      </c>
      <c r="G32">
        <f>VLOOKUP(A32,tbMoveset!A2:G112,7,FALSE)*IFERROR(IF(Backdoors!AI12&gt;=0,1+(IF(Calculator!E40&gt;0,VLOOKUP(Calculator!E40,tbSkills!AI3:AJ5,2,FALSE),Backdoors!AL4)*(IF((Backdoors!AI12+IF(B32&gt;=0.45,VLOOKUP(Calculator!E23,tbSkills!DH3:DI6,2,FALSE)+IF(AND(Calculator!B8=TRUE,Backdoors!BI3=TRUE),VLOOKUP(Calculator!E23,tbSkills!DH3:DJ6,3,FALSE),0),0))&gt;=100,100,(Backdoors!AI12+IF(B32&gt;=0.45,VLOOKUP(Calculator!E23,tbSkills!DH3:DI6,2,FALSE)+IF(AND(Calculator!B8=TRUE,Backdoors!BI3=TRUE),VLOOKUP(Calculator!E23,tbSkills!DH3:DJ6,3,FALSE),0),0)))/100)),1),1)</f>
        <v>0.6</v>
      </c>
      <c r="H32" s="87">
        <f t="shared" si="43"/>
        <v>5</v>
      </c>
      <c r="I32" s="86">
        <f>IFERROR(IF(VLOOKUP(A32,tbMoveset!A2:B112,2,FALSE)="Sever",Backdoors!AY4/100,IF(VLOOKUP(A32,tbMoveset!A2:B112,2,FALSE)="Blunt",Backdoors!AZ4/100,Backdoors!BA4/100)),"")</f>
        <v>0.65</v>
      </c>
      <c r="J32" s="49">
        <f>IFERROR(IF(VLOOKUP(tbMoveset!A32,tbMoveset!A2:H112,8,FALSE)="Other",IF(VLOOKUP(tbMoveset!A32,tbMoveset!A2:I112,9,FALSE)="Fire",Backdoors!BB4,IF(VLOOKUP(tbMoveset!A32,tbMoveset!A2:I112,9,FALSE)="Water",Backdoors!BC4,IF(VLOOKUP(tbMoveset!A32,tbMoveset!A2:I112,9,FALSE)="Thunder",Backdoors!BD4,IF(VLOOKUP(tbMoveset!A32,tbMoveset!A2:I112,9,FALSE)="Ice",Backdoors!BE4,IF(VLOOKUP(tbMoveset!A32,tbMoveset!A2:I112,9,FALSE)="Dragon",Backdoors!BF4,Backdoors!BG4)))))/100,Backdoors!BG4/100),"")</f>
        <v>0</v>
      </c>
      <c r="K32" s="49">
        <f>IFERROR(IF(VLOOKUP(A32,tbMoveset!A2:J112,10,FALSE)=TRUE,IF((Backdoors!AI12+IF(I32&gt;=0.45,VLOOKUP(Calculator!E23,tbSkills!DH3:DI6,2,FALSE)+IF(AND(Calculator!B8=TRUE,Backdoors!BI4=TRUE),VLOOKUP(Calculator!E23,tbSkills!DH3:DJ6,3,FALSE),0),0))&gt;=0,1+(Backdoors!AL2*(IF((Backdoors!AI12+IF(I32&gt;=0.45,VLOOKUP(Calculator!E23,tbSkills!DH3:DI6,2,FALSE)+IF(AND(Calculator!B8=TRUE,Backdoors!BI4=TRUE),VLOOKUP(Calculator!E23,tbSkills!DH3:DJ6,3,FALSE),0),0))&gt;=100,100,(Backdoors!AI12+IF(I32&gt;=0.45,VLOOKUP(Calculator!E23,tbSkills!DH3:DI6,2,FALSE)+IF(AND(Calculator!B8=TRUE,Backdoors!BI4=TRUE),VLOOKUP(Calculator!E23,tbSkills!DH3:DJ6,3,FALSE),0),0)))/100)),(1-(0.25*((-Backdoors!AI12-IF(I32&gt;=0.45,VLOOKUP(Calculator!E23,tbSkills!DH3:DI6,2,FALSE)+IF(AND(Calculator!B8=TRUE,Backdoors!BI4=TRUE),VLOOKUP(Calculator!E23,tbSkills!DH3:DJ6,3,FALSE),0),0))/100)))),1),"")</f>
        <v>1</v>
      </c>
      <c r="L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32)*K32)*(VLOOKUP(A32,tbMoveset!A2:C112,3,FALSE)/100)*IF(VLOOKUP(A32,tbMoveset!A2:B112,2,FALSE)="Projectile",Backdoors!N10,Backdoors!N9),0),"")</f>
        <v>4</v>
      </c>
      <c r="M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I32&gt;=0.45,VLOOKUP(Calculator!E23,tbSkills!DH3:DI6,2,FALSE)+IF(AND(Calculator!B8=TRUE,Backdoors!BI4=TRUE),VLOOKUP(Calculator!E23,tbSkills!DH3:DJ6,3,FALSE),0),0))&gt;=100,100,(Backdoors!AI12+IF(I32&gt;=0.45,VLOOKUP(Calculator!E23,tbSkills!DH3:DI6,2,FALSE)+IF(AND(Calculator!B8=TRUE,Backdoors!BI4=TRUE),VLOOKUP(Calculator!E23,tbSkills!DH3:DJ6,3,FALSE),0),0)))/100)),1))*IF(VLOOKUP(A32,tbMoveset!A2:K112,11,FALSE)=TRUE,Backdoors!AC5,1))*J32,0),"")</f>
        <v>0</v>
      </c>
      <c r="N32" s="49">
        <f>VLOOKUP(A32,tbMoveset!A2:G112,7,FALSE)*IFERROR(IF(Backdoors!AI12&gt;=0,1+(IF(Calculator!E40&gt;0,VLOOKUP(Calculator!E40,tbSkills!AI3:AJ5,2,FALSE),Backdoors!AL4)*(IF((Backdoors!AI12+IF(I32&gt;=0.45,VLOOKUP(Calculator!E23,tbSkills!DH3:DI6,2,FALSE)+IF(AND(Calculator!B8=TRUE,Backdoors!BI4=TRUE),VLOOKUP(Calculator!E23,tbSkills!DH3:DJ6,3,FALSE),0),0))&gt;=100,100,(Backdoors!AI12+IF(I32&gt;=0.45,VLOOKUP(Calculator!E23,tbSkills!DH3:DI6,2,FALSE)+IF(AND(Calculator!B8=TRUE,Backdoors!BI4=TRUE),VLOOKUP(Calculator!E23,tbSkills!DH3:DJ6,3,FALSE),0),0)))/100)),1),1)</f>
        <v>0.6</v>
      </c>
      <c r="O32" s="87">
        <f t="shared" si="36"/>
        <v>4</v>
      </c>
      <c r="P32" s="86">
        <f>IFERROR(IF(VLOOKUP(A32,tbMoveset!A2:B112,2,FALSE)="Sever",Backdoors!AY5/100,IF(VLOOKUP(A32,tbMoveset!A2:B112,2,FALSE)="Blunt",Backdoors!AZ5/100,Backdoors!BA5/100)),"")</f>
        <v>0.5</v>
      </c>
      <c r="Q32" s="49">
        <f>IFERROR(IF(VLOOKUP(tbMoveset!A32,tbMoveset!A2:H112,8,FALSE)="Other",IF(VLOOKUP(tbMoveset!A32,tbMoveset!A2:I112,9,FALSE)="Fire",Backdoors!BB5,IF(VLOOKUP(tbMoveset!A32,tbMoveset!A2:I112,9,FALSE)="Water",Backdoors!BC5,IF(VLOOKUP(tbMoveset!A32,tbMoveset!A2:I112,9,FALSE)="Thunder",Backdoors!BD5,IF(VLOOKUP(tbMoveset!A32,tbMoveset!A2:I112,9,FALSE)="Ice",Backdoors!BE5,IF(VLOOKUP(tbMoveset!A32,tbMoveset!A2:I112,9,FALSE)="Dragon",Backdoors!BF5,Backdoors!BG5)))))/100,Backdoors!BG5/100),"")</f>
        <v>0</v>
      </c>
      <c r="R32" s="49">
        <f>IFERROR(IF(VLOOKUP(A32,tbMoveset!A2:J112,10,FALSE)=TRUE,IF((Backdoors!AI12+IF(P32&gt;=0.45,VLOOKUP(Calculator!E23,tbSkills!DH3:DI6,2,FALSE)+IF(AND(Calculator!B8=TRUE,Backdoors!BI5=TRUE),VLOOKUP(Calculator!E23,tbSkills!DH3:DJ6,3,FALSE),0),0))&gt;=0,1+(Backdoors!AL2*(IF((Backdoors!AI12+IF(P32&gt;=0.45,VLOOKUP(Calculator!E23,tbSkills!DH3:DI6,2,FALSE)+IF(AND(Calculator!B8=TRUE,Backdoors!BI5=TRUE),VLOOKUP(Calculator!E23,tbSkills!DH3:DJ6,3,FALSE),0),0))&gt;=100,100,(Backdoors!AI12+IF(P32&gt;=0.45,VLOOKUP(Calculator!E23,tbSkills!DH3:DI6,2,FALSE)+IF(AND(Calculator!B8=TRUE,Backdoors!BI5=TRUE),VLOOKUP(Calculator!E23,tbSkills!DH3:DJ6,3,FALSE),0),0)))/100)),(1-(0.25*((-Backdoors!AI12-IF(P32&gt;=0.45,VLOOKUP(Calculator!E23,tbSkills!DH3:DI6,2,FALSE)+IF(AND(Calculator!B8=TRUE,Backdoors!BI5=TRUE),VLOOKUP(Calculator!E23,tbSkills!DH3:DJ6,3,FALSE),0),0))/100)))),1),"")</f>
        <v>1</v>
      </c>
      <c r="S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P32)*R32)*(VLOOKUP(A32,tbMoveset!A2:C112,3,FALSE)/100)*IF(VLOOKUP(A32,tbMoveset!A2:B112,2,FALSE)="Projectile",Backdoors!N10,Backdoors!N9),0),"")</f>
        <v>3</v>
      </c>
      <c r="T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P32&gt;=0.45,VLOOKUP(Calculator!E23,tbSkills!DH3:DI6,2,FALSE)+IF(AND(Calculator!B8=TRUE,Backdoors!BI5=TRUE),VLOOKUP(Calculator!E23,tbSkills!DH3:DJ6,3,FALSE),0),0))&gt;=100,100,(Backdoors!AI12+IF(P32&gt;=0.45,VLOOKUP(Calculator!E23,tbSkills!DH3:DI6,2,FALSE)+IF(AND(Calculator!B8=TRUE,Backdoors!BI5=TRUE),VLOOKUP(Calculator!E23,tbSkills!DH3:DJ6,3,FALSE),0),0)))/100)),1))*IF(VLOOKUP(A32,tbMoveset!A2:K112,11,FALSE)=TRUE,Backdoors!AC5,1))*Q32,0),"")</f>
        <v>0</v>
      </c>
      <c r="U32" s="49">
        <f>VLOOKUP(A32,tbMoveset!A2:G112,7,FALSE)*IFERROR(IF(Backdoors!AI12&gt;=0,1+(IF(Calculator!E40&gt;0,VLOOKUP(Calculator!E40,tbSkills!AI3:AJ5,2,FALSE),Backdoors!AL4)*(IF((Backdoors!AI12+IF(P32&gt;=0.45,VLOOKUP(Calculator!E23,tbSkills!DH3:DI6,2,FALSE)+IF(AND(Calculator!B8=TRUE,Backdoors!BI5=TRUE),VLOOKUP(Calculator!E23,tbSkills!DH3:DJ6,3,FALSE),0),0))&gt;=100,100,(Backdoors!AI12+IF(P32&gt;=0.45,VLOOKUP(Calculator!E23,tbSkills!DH3:DI6,2,FALSE)+IF(AND(Calculator!B8=TRUE,Backdoors!BI5=TRUE),VLOOKUP(Calculator!E23,tbSkills!DH3:DJ6,3,FALSE),0),0)))/100)),1),1)</f>
        <v>0.6</v>
      </c>
      <c r="V32" s="87">
        <f t="shared" si="37"/>
        <v>3</v>
      </c>
      <c r="W32" s="86">
        <f>IFERROR(IF(VLOOKUP(A32,tbMoveset!A2:B112,2,FALSE)="Sever",Backdoors!AY6/100,IF(VLOOKUP(A32,tbMoveset!A2:B112,2,FALSE)="Blunt",Backdoors!AZ6/100,Backdoors!BA6/100)),"")</f>
        <v>0.45</v>
      </c>
      <c r="X32" s="49">
        <f>IFERROR(IF(VLOOKUP(tbMoveset!A32,tbMoveset!A2:H112,8,FALSE)="Other",IF(VLOOKUP(tbMoveset!A32,tbMoveset!A2:I112,9,FALSE)="Fire",Backdoors!BB6,IF(VLOOKUP(tbMoveset!A32,tbMoveset!A2:I112,9,FALSE)="Water",Backdoors!BC6,IF(VLOOKUP(tbMoveset!A32,tbMoveset!A2:I112,9,FALSE)="Thunder",Backdoors!BD6,IF(VLOOKUP(tbMoveset!A32,tbMoveset!A2:I112,9,FALSE)="Ice",Backdoors!BE6,IF(VLOOKUP(tbMoveset!A32,tbMoveset!A2:I112,9,FALSE)="Dragon",Backdoors!BF6,Backdoors!BG6)))))/100,Backdoors!BG6/100),"")</f>
        <v>0</v>
      </c>
      <c r="Y32" s="49">
        <f>IFERROR(IF(VLOOKUP(A32,tbMoveset!A2:J112,10,FALSE)=TRUE,IF((Backdoors!AI12+IF(W32&gt;=0.45,VLOOKUP(Calculator!E23,tbSkills!DH3:DI6,2,FALSE)+IF(AND(Calculator!B8=TRUE,Backdoors!BI6=TRUE),VLOOKUP(Calculator!E23,tbSkills!DH3:DJ6,3,FALSE),0),0))&gt;=0,1+(Backdoors!AL2*(IF((Backdoors!AI12+IF(W32&gt;=0.45,VLOOKUP(Calculator!E23,tbSkills!DH3:DI6,2,FALSE)+IF(AND(Calculator!B8=TRUE,Backdoors!BI6=TRUE),VLOOKUP(Calculator!E23,tbSkills!DH3:DJ6,3,FALSE),0),0))&gt;=100,100,(Backdoors!AI12+IF(W32&gt;=0.45,VLOOKUP(Calculator!E23,tbSkills!DH3:DI6,2,FALSE)+IF(AND(Calculator!B8=TRUE,Backdoors!BI6=TRUE),VLOOKUP(Calculator!E23,tbSkills!DH3:DJ6,3,FALSE),0),0)))/100)),(1-(0.25*((-Backdoors!AI12-IF(W32&gt;=0.45,VLOOKUP(Calculator!E23,tbSkills!DH3:DI6,2,FALSE)+IF(AND(Calculator!B8=TRUE,Backdoors!BI6=TRUE),VLOOKUP(Calculator!E23,tbSkills!DH3:DJ6,3,FALSE),0),0))/100)))),1),"")</f>
        <v>1</v>
      </c>
      <c r="Z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W32)*Y32)*(VLOOKUP(A32,tbMoveset!A2:C112,3,FALSE)/100)*IF(VLOOKUP(A32,tbMoveset!A2:B112,2,FALSE)="Projectile",Backdoors!N10,Backdoors!N9),0),"")</f>
        <v>3</v>
      </c>
      <c r="AA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W32&gt;=0.45,VLOOKUP(Calculator!E23,tbSkills!DH3:DI6,2,FALSE)+IF(AND(Calculator!B8=TRUE,Backdoors!BI6=TRUE),VLOOKUP(Calculator!E23,tbSkills!DH3:DJ6,3,FALSE),0),0))&gt;=100,100,(Backdoors!AI12+IF(W32&gt;=0.45,VLOOKUP(Calculator!E23,tbSkills!DH3:DI6,2,FALSE)+IF(AND(Calculator!B8=TRUE,Backdoors!BI6=TRUE),VLOOKUP(Calculator!E23,tbSkills!DH3:DJ6,3,FALSE),0),0)))/100)),1))*IF(VLOOKUP(A32,tbMoveset!A2:K112,11,FALSE)=TRUE,Backdoors!AC5,1))*X32,0),"")</f>
        <v>0</v>
      </c>
      <c r="AB32" s="49">
        <f>VLOOKUP(A32,tbMoveset!A2:G112,7,FALSE)*IFERROR(IF(Backdoors!AI12&gt;=0,1+(IF(Calculator!E40&gt;0,VLOOKUP(Calculator!E40,tbSkills!AI3:AJ5,2,FALSE),Backdoors!AL4)*(IF((Backdoors!AI12+IF(W32&gt;=0.45,VLOOKUP(Calculator!E23,tbSkills!DH3:DI6,2,FALSE)+IF(AND(Calculator!B8=TRUE,Backdoors!BI6=TRUE),VLOOKUP(Calculator!E23,tbSkills!DH3:DJ6,3,FALSE),0),0))&gt;=100,100,(Backdoors!AI12+IF(W32&gt;=0.45,VLOOKUP(Calculator!E23,tbSkills!DH3:DI6,2,FALSE)+IF(AND(Calculator!B8=TRUE,Backdoors!BI6=TRUE),VLOOKUP(Calculator!E23,tbSkills!DH3:DJ6,3,FALSE),0),0)))/100)),1),1)</f>
        <v>0.6</v>
      </c>
      <c r="AC32" s="87">
        <f t="shared" si="0"/>
        <v>3</v>
      </c>
      <c r="AD32" s="86">
        <f>IFERROR(IF(VLOOKUP(A32,tbMoveset!A2:B112,2,FALSE)="Sever",Backdoors!AY7/100,IF(VLOOKUP(A32,tbMoveset!A2:B112,2,FALSE)="Blunt",Backdoors!AZ7/100,Backdoors!BA7/100)),"")</f>
        <v>0.65</v>
      </c>
      <c r="AE32" s="49">
        <f>IFERROR(IF(VLOOKUP(tbMoveset!A32,tbMoveset!A2:H112,8,FALSE)="Other",IF(VLOOKUP(tbMoveset!A32,tbMoveset!A2:I112,9,FALSE)="Fire",Backdoors!BB7,IF(VLOOKUP(tbMoveset!A32,tbMoveset!A2:I112,9,FALSE)="Water",Backdoors!BC7,IF(VLOOKUP(tbMoveset!A32,tbMoveset!A2:I112,9,FALSE)="Thunder",Backdoors!BD7,IF(VLOOKUP(tbMoveset!A32,tbMoveset!A2:I112,9,FALSE)="Ice",Backdoors!BE7,IF(VLOOKUP(tbMoveset!A32,tbMoveset!A2:I112,9,FALSE)="Dragon",Backdoors!BF7,Backdoors!BG7)))))/100,Backdoors!BG7/100),"")</f>
        <v>0</v>
      </c>
      <c r="AF32" s="49">
        <f>IFERROR(IF(VLOOKUP(A32,tbMoveset!A2:J112,10,FALSE)=TRUE,IF((Backdoors!AI12+IF(AD32&gt;=0.45,VLOOKUP(Calculator!E23,tbSkills!DH3:DI6,2,FALSE)+IF(AND(Calculator!B8=TRUE,Backdoors!BI7=TRUE),VLOOKUP(Calculator!E23,tbSkills!DH3:DJ6,3,FALSE),0),0))&gt;=0,1+(Backdoors!AL2*(IF((Backdoors!AI12+IF(AD32&gt;=0.45,VLOOKUP(Calculator!E23,tbSkills!DH3:DI6,2,FALSE)+IF(AND(Calculator!B8=TRUE,Backdoors!BI7=TRUE),VLOOKUP(Calculator!E23,tbSkills!DH3:DJ6,3,FALSE),0),0))&gt;=100,100,(Backdoors!AI12+IF(AD32&gt;=0.45,VLOOKUP(Calculator!E23,tbSkills!DH3:DI6,2,FALSE)+IF(AND(Calculator!B8=TRUE,Backdoors!BI7=TRUE),VLOOKUP(Calculator!E23,tbSkills!DH3:DJ6,3,FALSE),0),0)))/100)),(1-(0.25*((-Backdoors!AI12-IF(AD32&gt;=0.45,VLOOKUP(Calculator!E23,tbSkills!DH3:DI6,2,FALSE)+IF(AND(Calculator!B8=TRUE,Backdoors!BI7=TRUE),VLOOKUP(Calculator!E23,tbSkills!DH3:DJ6,3,FALSE),0),0))/100)))),1),"")</f>
        <v>1</v>
      </c>
      <c r="AG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D32)*AF32)*(VLOOKUP(A32,tbMoveset!A2:C112,3,FALSE)/100)*IF(VLOOKUP(A32,tbMoveset!A2:B112,2,FALSE)="Projectile",Backdoors!N10,Backdoors!N9),0),"")</f>
        <v>4</v>
      </c>
      <c r="AH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D32&gt;=0.45,VLOOKUP(Calculator!E23,tbSkills!DH3:DI6,2,FALSE)+IF(AND(Calculator!B8=TRUE,Backdoors!BI7=TRUE),VLOOKUP(Calculator!E23,tbSkills!DH3:DJ6,3,FALSE),0),0))&gt;=100,100,(Backdoors!AI12+IF(AD32&gt;=0.45,VLOOKUP(Calculator!E23,tbSkills!DH3:DI6,2,FALSE)+IF(AND(Calculator!B8=TRUE,Backdoors!BI7=TRUE),VLOOKUP(Calculator!E23,tbSkills!DH3:DJ6,3,FALSE),0),0)))/100)),1))*IF(VLOOKUP(A32,tbMoveset!A2:K112,11,FALSE)=TRUE,Backdoors!AC5,1))*AE32,0),"")</f>
        <v>0</v>
      </c>
      <c r="AI32" s="49">
        <f>VLOOKUP(A32,tbMoveset!A2:G112,7,FALSE)*IFERROR(IF(Backdoors!AI12&gt;=0,1+(IF(Calculator!E40&gt;0,VLOOKUP(Calculator!E40,tbSkills!AI3:AJ5,2,FALSE),Backdoors!AL4)*(IF((Backdoors!AI12+IF(AD32&gt;=0.45,VLOOKUP(Calculator!E23,tbSkills!DH3:DI6,2,FALSE)+IF(AND(Calculator!B8=TRUE,Backdoors!BI7=TRUE),VLOOKUP(Calculator!E23,tbSkills!DH3:DJ6,3,FALSE),0),0))&gt;=100,100,(Backdoors!AI12+IF(AD32&gt;=0.45,VLOOKUP(Calculator!E23,tbSkills!DH3:DI6,2,FALSE)+IF(AND(Calculator!B8=TRUE,Backdoors!BI7=TRUE),VLOOKUP(Calculator!E23,tbSkills!DH3:DJ6,3,FALSE),0),0)))/100)),1),1)</f>
        <v>0.6</v>
      </c>
      <c r="AJ32" s="87">
        <f t="shared" si="1"/>
        <v>4</v>
      </c>
      <c r="AK32" s="91">
        <f>IFERROR(IF(VLOOKUP(A32,tbMoveset!A2:B112,2,FALSE)="Sever",Backdoors!AY8/100,IF(VLOOKUP(A32,tbMoveset!A2:B112,2,FALSE)="Blunt",Backdoors!AZ8/100,Backdoors!BA8/100)),"")</f>
        <v>0.45</v>
      </c>
      <c r="AL32" s="49">
        <f>IFERROR(IF(VLOOKUP(tbMoveset!A32,tbMoveset!A2:H112,8,FALSE)="Other",IF(VLOOKUP(tbMoveset!A32,tbMoveset!A2:I112,9,FALSE)="Fire",Backdoors!BB8,IF(VLOOKUP(tbMoveset!A32,tbMoveset!A2:I112,9,FALSE)="Water",Backdoors!BC8,IF(VLOOKUP(tbMoveset!A32,tbMoveset!A2:I112,9,FALSE)="Thunder",Backdoors!BD8,IF(VLOOKUP(tbMoveset!A32,tbMoveset!A2:I112,9,FALSE)="Ice",Backdoors!BE8,IF(VLOOKUP(tbMoveset!A32,tbMoveset!A2:I112,9,FALSE)="Dragon",Backdoors!BF8,Backdoors!BG8)))))/100,Backdoors!BG8/100),"")</f>
        <v>0</v>
      </c>
      <c r="AM32" s="49">
        <f>IFERROR(IF(VLOOKUP(A32,tbMoveset!A2:J112,10,FALSE)=TRUE,IF((Backdoors!AI12+IF(AK32&gt;=0.45,VLOOKUP(Calculator!E23,tbSkills!DH3:DI6,2,FALSE)+IF(AND(Calculator!B8=TRUE,Backdoors!BI8=TRUE),VLOOKUP(Calculator!E23,tbSkills!DH3:DJ6,3,FALSE),0),0))&gt;=0,1+(Backdoors!AL2*(IF((Backdoors!AI12+IF(AK32&gt;=0.45,VLOOKUP(Calculator!E23,tbSkills!DH3:DI6,2,FALSE)+IF(AND(Calculator!B8=TRUE,Backdoors!BI8=TRUE),VLOOKUP(Calculator!E23,tbSkills!DH3:DJ6,3,FALSE),0),0))&gt;=100,100,(Backdoors!AI12+IF(AK32&gt;=0.45,VLOOKUP(Calculator!E23,tbSkills!DH3:DI6,2,FALSE)+IF(AND(Calculator!B8=TRUE,Backdoors!BI8=TRUE),VLOOKUP(Calculator!E23,tbSkills!DH3:DJ6,3,FALSE),0),0)))/100)),(1-(0.25*((-Backdoors!AI12-IF(AK32&gt;=0.45,VLOOKUP(Calculator!E23,tbSkills!DH3:DI6,2,FALSE)+IF(AND(Calculator!B8=TRUE,Backdoors!BI8=TRUE),VLOOKUP(Calculator!E23,tbSkills!DH3:DJ6,3,FALSE),0),0))/100)))),1),"")</f>
        <v>1</v>
      </c>
      <c r="AN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K32)*AM32)*(VLOOKUP(A32,tbMoveset!A2:C112,3,FALSE)/100)*IF(VLOOKUP(A32,tbMoveset!A2:B112,2,FALSE)="Projectile",Backdoors!N10,Backdoors!N9),0),"")</f>
        <v>3</v>
      </c>
      <c r="AO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K32&gt;=0.45,VLOOKUP(Calculator!E23,tbSkills!DH3:DI6,2,FALSE)+IF(AND(Calculator!B8=TRUE,Backdoors!BI8=TRUE),VLOOKUP(Calculator!E23,tbSkills!DH3:DJ6,3,FALSE),0),0))&gt;=100,100,(Backdoors!AI12+IF(AK32&gt;=0.45,VLOOKUP(Calculator!E23,tbSkills!DH3:DI6,2,FALSE)+IF(AND(Calculator!B8=TRUE,Backdoors!BI8=TRUE),VLOOKUP(Calculator!E23,tbSkills!DH3:DJ6,3,FALSE),0),0)))/100)),1))*IF(VLOOKUP(A32,tbMoveset!A2:K112,11,FALSE)=TRUE,Backdoors!AC5,1))*AL32,0),"")</f>
        <v>0</v>
      </c>
      <c r="AP32" s="49">
        <f>VLOOKUP(A32,tbMoveset!A2:G112,7,FALSE)*IFERROR(IF(Backdoors!AI12&gt;=0,1+(IF(Calculator!E40&gt;0,VLOOKUP(Calculator!E40,tbSkills!AI3:AJ5,2,FALSE),Backdoors!AL4)*(IF((Backdoors!AI12+IF(AK32&gt;=0.45,VLOOKUP(Calculator!E23,tbSkills!DH3:DI6,2,FALSE)+IF(AND(Calculator!B8=TRUE,Backdoors!BI8=TRUE),VLOOKUP(Calculator!E23,tbSkills!DH3:DJ6,3,FALSE),0),0))&gt;=100,100,(Backdoors!AI12+IF(AK32&gt;=0.45,VLOOKUP(Calculator!E23,tbSkills!DH3:DI6,2,FALSE)+IF(AND(Calculator!B8=TRUE,Backdoors!BI8=TRUE),VLOOKUP(Calculator!E23,tbSkills!DH3:DJ6,3,FALSE),0),0)))/100)),1),1)</f>
        <v>0.6</v>
      </c>
      <c r="AQ32" s="87">
        <f t="shared" si="2"/>
        <v>3</v>
      </c>
      <c r="AR32" s="86">
        <f>IFERROR(IF(VLOOKUP(A32,tbMoveset!A2:B112,2,FALSE)="Sever",Backdoors!AY9/100,IF(VLOOKUP(A32,tbMoveset!A2:B112,2,FALSE)="Blunt",Backdoors!AZ9/100,Backdoors!BA9/100)),"")</f>
        <v>0.45</v>
      </c>
      <c r="AS32" s="49">
        <f>IFERROR(IF(VLOOKUP(tbMoveset!A32,tbMoveset!A2:H112,8,FALSE)="Other",IF(VLOOKUP(tbMoveset!A32,tbMoveset!A2:I112,9,FALSE)="Fire",Backdoors!BB9,IF(VLOOKUP(tbMoveset!A32,tbMoveset!A2:I112,9,FALSE)="Water",Backdoors!BC9,IF(VLOOKUP(tbMoveset!A32,tbMoveset!A2:I112,9,FALSE)="Thunder",Backdoors!BD9,IF(VLOOKUP(tbMoveset!A32,tbMoveset!A2:I112,9,FALSE)="Ice",Backdoors!BE9,IF(VLOOKUP(tbMoveset!A32,tbMoveset!A2:I112,9,FALSE)="Dragon",Backdoors!BF9,Backdoors!BG9)))))/100,Backdoors!BG9/100),"")</f>
        <v>0</v>
      </c>
      <c r="AT32" s="49">
        <f>IFERROR(IF(VLOOKUP(A32,tbMoveset!A2:J112,10,FALSE)=TRUE,IF((Backdoors!AI12+IF(AR32&gt;=0.45,VLOOKUP(Calculator!E23,tbSkills!DH3:DI6,2,FALSE)+IF(AND(Calculator!B8=TRUE,Backdoors!BI9=TRUE),VLOOKUP(Calculator!E23,tbSkills!DH3:DJ6,3,FALSE),0),0))&gt;=0,1+(Backdoors!AL2*(IF((Backdoors!AI12+IF(AR32&gt;=0.45,VLOOKUP(Calculator!E23,tbSkills!DH3:DI6,2,FALSE)+IF(AND(Calculator!B8=TRUE,Backdoors!BI9=TRUE),VLOOKUP(Calculator!E23,tbSkills!DH3:DJ6,3,FALSE),0),0))&gt;=100,100,(Backdoors!AI12+IF(AR32&gt;=0.45,VLOOKUP(Calculator!E23,tbSkills!DH3:DI6,2,FALSE)+IF(AND(Calculator!B8=TRUE,Backdoors!BI9=TRUE),VLOOKUP(Calculator!E23,tbSkills!DH3:DJ6,3,FALSE),0),0)))/100)),(1-(0.25*((-Backdoors!AI12-IF(AR32&gt;=0.45,VLOOKUP(Calculator!E23,tbSkills!DH3:DI6,2,FALSE)+IF(AND(Calculator!B8=TRUE,Backdoors!BI9=TRUE),VLOOKUP(Calculator!E23,tbSkills!DH3:DJ6,3,FALSE),0),0))/100)))),1),"")</f>
        <v>1</v>
      </c>
      <c r="AU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R32)*AT32)*(VLOOKUP(A32,tbMoveset!A2:C112,3,FALSE)/100)*IF(VLOOKUP(A32,tbMoveset!A2:B112,2,FALSE)="Projectile",Backdoors!N10,Backdoors!N9),0),"")</f>
        <v>3</v>
      </c>
      <c r="AV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R32&gt;=0.45,VLOOKUP(Calculator!E23,tbSkills!DH3:DI6,2,FALSE)+IF(AND(Calculator!B8=TRUE,Backdoors!BI9=TRUE),VLOOKUP(Calculator!E23,tbSkills!DH3:DJ6,3,FALSE),0),0))&gt;=100,100,(Backdoors!AI12+IF(AR32&gt;=0.45,VLOOKUP(Calculator!E23,tbSkills!DH3:DI6,2,FALSE)+IF(AND(Calculator!B8=TRUE,Backdoors!BI9=TRUE),VLOOKUP(Calculator!E23,tbSkills!DH3:DJ6,3,FALSE),0),0)))/100)),1))*IF(VLOOKUP(A32,tbMoveset!A2:K112,11,FALSE)=TRUE,Backdoors!AC5,1))*AS32,0),"")</f>
        <v>0</v>
      </c>
      <c r="AW32" s="49">
        <f>VLOOKUP(A32,tbMoveset!A2:G112,7,FALSE)*IFERROR(IF(Backdoors!AI12&gt;=0,1+(IF(Calculator!E40&gt;0,VLOOKUP(Calculator!E40,tbSkills!AI3:AJ5,2,FALSE),Backdoors!AL4)*(IF((Backdoors!AI12+IF(AR32&gt;=0.45,VLOOKUP(Calculator!E23,tbSkills!DH3:DI6,2,FALSE)+IF(AND(Calculator!B8=TRUE,Backdoors!BI9=TRUE),VLOOKUP(Calculator!E23,tbSkills!DH3:DJ6,3,FALSE),0),0))&gt;=100,100,(Backdoors!AI12+IF(AR32&gt;=0.45,VLOOKUP(Calculator!E23,tbSkills!DH3:DI6,2,FALSE)+IF(AND(Calculator!B8=TRUE,Backdoors!BI9=TRUE),VLOOKUP(Calculator!E23,tbSkills!DH3:DJ6,3,FALSE),0),0)))/100)),1),1)</f>
        <v>0.6</v>
      </c>
      <c r="AX32" s="87">
        <f t="shared" si="38"/>
        <v>3</v>
      </c>
      <c r="AY32" s="86">
        <f>IFERROR(IF(VLOOKUP(A32,tbMoveset!A2:B112,2,FALSE)="Sever",Backdoors!AY10/100,IF(VLOOKUP(A32,tbMoveset!A2:B112,2,FALSE)="Blunt",Backdoors!AZ10/100,Backdoors!BA10/100)),"")</f>
        <v>0.9</v>
      </c>
      <c r="AZ32" s="49">
        <f>IFERROR(IF(VLOOKUP(tbMoveset!A32,tbMoveset!A2:H112,8,FALSE)="Other",IF(VLOOKUP(tbMoveset!A32,tbMoveset!A2:I112,9,FALSE)="Fire",Backdoors!BB10,IF(VLOOKUP(tbMoveset!A32,tbMoveset!A2:I112,9,FALSE)="Water",Backdoors!BC10,IF(VLOOKUP(tbMoveset!A32,tbMoveset!A2:I112,9,FALSE)="Thunder",Backdoors!BD10,IF(VLOOKUP(tbMoveset!A32,tbMoveset!A2:I112,9,FALSE)="Ice",Backdoors!BE10,IF(VLOOKUP(tbMoveset!A32,tbMoveset!A2:I112,9,FALSE)="Dragon",Backdoors!BF10,Backdoors!BG10)))))/100,Backdoors!BG10/100),"")</f>
        <v>0</v>
      </c>
      <c r="BA32" s="49">
        <f>IFERROR(IF(VLOOKUP(A32,tbMoveset!A2:J112,10,FALSE)=TRUE,IF((Backdoors!AI12+IF(AY32&gt;=0.45,VLOOKUP(Calculator!E23,tbSkills!DH3:DI6,2,FALSE)+IF(AND(Calculator!B8=TRUE,Backdoors!BI10=TRUE),VLOOKUP(Calculator!E23,tbSkills!DH3:DJ6,3,FALSE),0),0))&gt;=0,1+(Backdoors!AL2*(IF((Backdoors!AI12+IF(AY32&gt;=0.45,VLOOKUP(Calculator!E23,tbSkills!DH3:DI6,2,FALSE)+IF(AND(Calculator!B8=TRUE,Backdoors!BI10=TRUE),VLOOKUP(Calculator!E23,tbSkills!DH3:DJ6,3,FALSE),0),0))&gt;=100,100,(Backdoors!AI12+IF(AY32&gt;=0.45,VLOOKUP(Calculator!E23,tbSkills!DH3:DI6,2,FALSE)+IF(AND(Calculator!B8=TRUE,Backdoors!BI10=TRUE),VLOOKUP(Calculator!E23,tbSkills!DH3:DJ6,3,FALSE),0),0)))/100)),(1-(0.25*((-Backdoors!AI12-IF(AY32&gt;=0.45,VLOOKUP(Calculator!E23,tbSkills!DH3:DI6,2,FALSE)+IF(AND(Calculator!B8=TRUE,Backdoors!BI10=TRUE),VLOOKUP(Calculator!E23,tbSkills!DH3:DJ6,3,FALSE),0),0))/100)))),1),"")</f>
        <v>1</v>
      </c>
      <c r="BB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Y32)*BA32)*(VLOOKUP(A32,tbMoveset!A2:C112,3,FALSE)/100)*IF(VLOOKUP(A32,tbMoveset!A2:B112,2,FALSE)="Projectile",Backdoors!N10,Backdoors!N9),0),"")</f>
        <v>5</v>
      </c>
      <c r="BC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Y32&gt;=0.45,VLOOKUP(Calculator!E23,tbSkills!DH3:DI6,2,FALSE)+IF(AND(Calculator!B8=TRUE,Backdoors!BI10=TRUE),VLOOKUP(Calculator!E23,tbSkills!DH3:DJ6,3,FALSE),0),0))&gt;=100,100,(Backdoors!AI12+IF(AY32&gt;=0.45,VLOOKUP(Calculator!E23,tbSkills!DH3:DI6,2,FALSE)+IF(AND(Calculator!B8=TRUE,Backdoors!BI10=TRUE),VLOOKUP(Calculator!E23,tbSkills!DH3:DJ6,3,FALSE),0),0)))/100)),1))*IF(VLOOKUP(A32,tbMoveset!A2:K112,11,FALSE)=TRUE,Backdoors!AC5,1))*AZ32,0),"")</f>
        <v>0</v>
      </c>
      <c r="BD32" s="49">
        <f>VLOOKUP(A32,tbMoveset!A2:G112,7,FALSE)*IFERROR(IF(Backdoors!AI12&gt;=0,1+(IF(Calculator!E40&gt;0,VLOOKUP(Calculator!E40,tbSkills!AI3:AJ5,2,FALSE),Backdoors!AL4)*(IF((Backdoors!AI12+IF(AY32&gt;=0.45,VLOOKUP(Calculator!E23,tbSkills!DH3:DI6,2,FALSE)+IF(AND(Calculator!B8=TRUE,Backdoors!BI10=TRUE),VLOOKUP(Calculator!E23,tbSkills!DH3:DJ6,3,FALSE),0),0))&gt;=100,100,(Backdoors!AI12+IF(AY32&gt;=0.45,VLOOKUP(Calculator!E23,tbSkills!DH3:DI6,2,FALSE)+IF(AND(Calculator!B8=TRUE,Backdoors!BI10=TRUE),VLOOKUP(Calculator!E23,tbSkills!DH3:DJ6,3,FALSE),0),0)))/100)),1),1)</f>
        <v>0.6</v>
      </c>
      <c r="BE32" s="87">
        <f t="shared" si="3"/>
        <v>5</v>
      </c>
      <c r="BF32" s="86" t="str">
        <f>IFERROR(IF(VLOOKUP(A32,tbMoveset!A2:B112,2,FALSE)="Sever",Backdoors!AY11/100,IF(VLOOKUP(A32,tbMoveset!A2:B112,2,FALSE)="Blunt",Backdoors!AZ11/100,Backdoors!BA11/100)),"")</f>
        <v/>
      </c>
      <c r="BG32" s="49">
        <f>IFERROR(IF(VLOOKUP(tbMoveset!A32,tbMoveset!A2:H112,8,FALSE)="Other",IF(VLOOKUP(tbMoveset!A32,tbMoveset!A2:I112,9,FALSE)="Fire",Backdoors!BB11,IF(VLOOKUP(tbMoveset!A32,tbMoveset!A2:I112,9,FALSE)="Water",Backdoors!BC11,IF(VLOOKUP(tbMoveset!A32,tbMoveset!A2:I112,9,FALSE)="Thunder",Backdoors!BD11,IF(VLOOKUP(tbMoveset!A32,tbMoveset!A2:I112,9,FALSE)="Ice",Backdoors!BE11,IF(VLOOKUP(tbMoveset!A32,tbMoveset!A2:I112,9,FALSE)="Dragon",Backdoors!BF11,Backdoors!BG11)))))/100,Backdoors!BG11/100),"")</f>
        <v>0</v>
      </c>
      <c r="BH32" s="49">
        <f>IFERROR(IF(VLOOKUP(A32,tbMoveset!A2:J112,10,FALSE)=TRUE,IF((Backdoors!AI12+IF(BF32&gt;=0.45,VLOOKUP(Calculator!E23,tbSkills!DH3:DI6,2,FALSE)+IF(AND(Calculator!B8=TRUE,Backdoors!BI11=TRUE),VLOOKUP(Calculator!E23,tbSkills!DH3:DJ6,3,FALSE),0),0))&gt;=0,1+(Backdoors!AL2*(IF((Backdoors!AI12+IF(BF32&gt;=0.45,VLOOKUP(Calculator!E23,tbSkills!DH3:DI6,2,FALSE)+IF(AND(Calculator!B8=TRUE,Backdoors!BI11=TRUE),VLOOKUP(Calculator!E23,tbSkills!DH3:DJ6,3,FALSE),0),0))&gt;=100,100,(Backdoors!AI12+IF(BF32&gt;=0.45,VLOOKUP(Calculator!E23,tbSkills!DH3:DI6,2,FALSE)+IF(AND(Calculator!B8=TRUE,Backdoors!BI11=TRUE),VLOOKUP(Calculator!E23,tbSkills!DH3:DJ6,3,FALSE),0),0)))/100)),(1-(0.25*((-Backdoors!AI12-IF(BF32&gt;=0.45,VLOOKUP(Calculator!E23,tbSkills!DH3:DI6,2,FALSE)+IF(AND(Calculator!B8=TRUE,Backdoors!BI11=TRUE),VLOOKUP(Calculator!E23,tbSkills!DH3:DJ6,3,FALSE),0),0))/100)))),1),"")</f>
        <v>1</v>
      </c>
      <c r="BI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F32)*BH32)*(VLOOKUP(A32,tbMoveset!A2:C112,3,FALSE)/100)*IF(VLOOKUP(A32,tbMoveset!A2:B112,2,FALSE)="Projectile",Backdoors!N10,Backdoors!N9),0),"")</f>
        <v/>
      </c>
      <c r="BJ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F32&gt;=0.45,VLOOKUP(Calculator!E23,tbSkills!DH3:DI6,2,FALSE)+IF(AND(Calculator!B8=TRUE,Backdoors!BI11=TRUE),VLOOKUP(Calculator!E23,tbSkills!DH3:DJ6,3,FALSE),0),0))&gt;=100,100,(Backdoors!AI12+IF(BF32&gt;=0.45,VLOOKUP(Calculator!E23,tbSkills!DH3:DI6,2,FALSE)+IF(AND(Calculator!B8=TRUE,Backdoors!BI11=TRUE),VLOOKUP(Calculator!E23,tbSkills!DH3:DJ6,3,FALSE),0),0)))/100)),1))*IF(VLOOKUP(A32,tbMoveset!A2:K112,11,FALSE)=TRUE,Backdoors!AC5,1))*BG32,0),"")</f>
        <v>0</v>
      </c>
      <c r="BK32" s="49">
        <f>VLOOKUP(A32,tbMoveset!A2:G112,7,FALSE)*IFERROR(IF(Backdoors!AI12&gt;=0,1+(IF(Calculator!E40&gt;0,VLOOKUP(Calculator!E40,tbSkills!AI3:AJ5,2,FALSE),Backdoors!AL4)*(IF((Backdoors!AI12+IF(BF32&gt;=0.45,VLOOKUP(Calculator!E23,tbSkills!DH3:DI6,2,FALSE)+IF(AND(Calculator!B8=TRUE,Backdoors!BI11=TRUE),VLOOKUP(Calculator!E23,tbSkills!DH3:DJ6,3,FALSE),0),0))&gt;=100,100,(Backdoors!AI12+IF(BF32&gt;=0.45,VLOOKUP(Calculator!E23,tbSkills!DH3:DI6,2,FALSE)+IF(AND(Calculator!B8=TRUE,Backdoors!BI11=TRUE),VLOOKUP(Calculator!E23,tbSkills!DH3:DJ6,3,FALSE),0),0)))/100)),1),1)</f>
        <v>0.6</v>
      </c>
      <c r="BL32" s="87">
        <f t="shared" si="4"/>
        <v>0</v>
      </c>
      <c r="BM32" s="86" t="str">
        <f>IFERROR(IF(VLOOKUP(A32,tbMoveset!A2:B112,2,FALSE)="Sever",Backdoors!AY12/100,IF(VLOOKUP(A32,tbMoveset!A2:B112,2,FALSE)="Blunt",Backdoors!AZ12/100,Backdoors!BA12/100)),"")</f>
        <v/>
      </c>
      <c r="BN32" s="49">
        <f>IFERROR(IF(VLOOKUP(tbMoveset!A32,tbMoveset!A2:H112,8,FALSE)="Other",IF(VLOOKUP(tbMoveset!A32,tbMoveset!A2:I112,9,FALSE)="Fire",Backdoors!BB12,IF(VLOOKUP(tbMoveset!A32,tbMoveset!A2:I112,9,FALSE)="Water",Backdoors!BC12,IF(VLOOKUP(tbMoveset!A32,tbMoveset!A2:I112,9,FALSE)="Thunder",Backdoors!BD12,IF(VLOOKUP(tbMoveset!A32,tbMoveset!A2:I112,9,FALSE)="Ice",Backdoors!BE12,IF(VLOOKUP(tbMoveset!A32,tbMoveset!A2:I112,9,FALSE)="Dragon",Backdoors!BF12,Backdoors!BG12)))))/100,Backdoors!BG12/100),"")</f>
        <v>0</v>
      </c>
      <c r="BO32" s="49">
        <f>IFERROR(IF(VLOOKUP(A32,tbMoveset!A2:J112,10,FALSE)=TRUE,IF((Backdoors!AI12+IF(BM32&gt;=0.45,VLOOKUP(Calculator!E23,tbSkills!DH3:DI6,2,FALSE)+IF(AND(Calculator!B8=TRUE,Backdoors!BI12=TRUE),VLOOKUP(Calculator!E23,tbSkills!DH3:DJ6,3,FALSE),0),0))&gt;=0,1+(Backdoors!AL2*(IF((Backdoors!AI12+IF(BM32&gt;=0.45,VLOOKUP(Calculator!E23,tbSkills!DH3:DI6,2,FALSE)+IF(AND(Calculator!B8=TRUE,Backdoors!BI12=TRUE),VLOOKUP(Calculator!E23,tbSkills!DH3:DJ6,3,FALSE),0),0))&gt;=100,100,(Backdoors!AI12+IF(BM32&gt;=0.45,VLOOKUP(Calculator!E23,tbSkills!DH3:DI6,2,FALSE)+IF(AND(Calculator!B8=TRUE,Backdoors!BI12=TRUE),VLOOKUP(Calculator!E23,tbSkills!DH3:DJ6,3,FALSE),0),0)))/100)),(1-(0.25*((-Backdoors!AI12-IF(BM32&gt;=0.45,VLOOKUP(Calculator!E23,tbSkills!DH3:DI6,2,FALSE)+IF(AND(Calculator!B8=TRUE,Backdoors!BI12=TRUE),VLOOKUP(Calculator!E23,tbSkills!DH3:DJ6,3,FALSE),0),0))/100)))),1),"")</f>
        <v>1</v>
      </c>
      <c r="BP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M32)*BO32)*(VLOOKUP(A32,tbMoveset!A2:C112,3,FALSE)/100)*IF(VLOOKUP(A32,tbMoveset!A2:B112,2,FALSE)="Projectile",Backdoors!N10,Backdoors!N9),0),"")</f>
        <v/>
      </c>
      <c r="BQ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M32&gt;=0.45,VLOOKUP(Calculator!E23,tbSkills!DH3:DI6,2,FALSE)+IF(AND(Calculator!B8=TRUE,Backdoors!BI12=TRUE),VLOOKUP(Calculator!E23,tbSkills!DH3:DJ6,3,FALSE),0),0))&gt;=100,100,(Backdoors!AI12+IF(BM32&gt;=0.45,VLOOKUP(Calculator!E23,tbSkills!DH3:DI6,2,FALSE)+IF(AND(Calculator!B8=TRUE,Backdoors!BI12=TRUE),VLOOKUP(Calculator!E23,tbSkills!DH3:DJ6,3,FALSE),0),0)))/100)),1))*IF(VLOOKUP(A32,tbMoveset!A2:K112,11,FALSE)=TRUE,Backdoors!AC5,1))*BN32,0),"")</f>
        <v>0</v>
      </c>
      <c r="BR32" s="49">
        <f>VLOOKUP(A32,tbMoveset!A2:G112,7,FALSE)*IFERROR(IF(Backdoors!AI12&gt;=0,1+(IF(Calculator!E40&gt;0,VLOOKUP(Calculator!E40,tbSkills!AI3:AJ5,2,FALSE),Backdoors!AL4)*(IF((Backdoors!AI12+IF(BM32&gt;=0.45,VLOOKUP(Calculator!E23,tbSkills!DH3:DI6,2,FALSE)+IF(AND(Calculator!B8=TRUE,Backdoors!BI12=TRUE),VLOOKUP(Calculator!E23,tbSkills!DH3:DJ6,3,FALSE),0),0))&gt;=100,100,(Backdoors!AI12+IF(BM32&gt;=0.45,VLOOKUP(Calculator!E23,tbSkills!DH3:DI6,2,FALSE)+IF(AND(Calculator!B8=TRUE,Backdoors!BI12=TRUE),VLOOKUP(Calculator!E23,tbSkills!DH3:DJ6,3,FALSE),0),0)))/100)),1),1)</f>
        <v>0.6</v>
      </c>
      <c r="BS32" s="87">
        <f t="shared" si="39"/>
        <v>0</v>
      </c>
      <c r="BT32" s="86" t="str">
        <f>IFERROR(IF(VLOOKUP(A32,tbMoveset!A2:B112,2,FALSE)="Sever",Backdoors!AY13/100,IF(VLOOKUP(A32,tbMoveset!A2:B112,2,FALSE)="Blunt",Backdoors!AZ13/100,Backdoors!BA13/100)),"")</f>
        <v/>
      </c>
      <c r="BU32" s="49">
        <f>IFERROR(IF(VLOOKUP(tbMoveset!A32,tbMoveset!A2:H112,8,FALSE)="Other",IF(VLOOKUP(tbMoveset!A32,tbMoveset!A2:I112,9,FALSE)="Fire",Backdoors!BB13,IF(VLOOKUP(tbMoveset!A32,tbMoveset!A2:I112,9,FALSE)="Water",Backdoors!BC13,IF(VLOOKUP(tbMoveset!A32,tbMoveset!A2:I112,9,FALSE)="Thunder",Backdoors!BD13,IF(VLOOKUP(tbMoveset!A32,tbMoveset!A2:I112,9,FALSE)="Ice",Backdoors!BE13,IF(VLOOKUP(tbMoveset!A32,tbMoveset!A2:I112,9,FALSE)="Dragon",Backdoors!BF13,Backdoors!BG13)))))/100,Backdoors!BG13/100),"")</f>
        <v>0</v>
      </c>
      <c r="BV32" s="49">
        <f>IFERROR(IF(VLOOKUP(A32,tbMoveset!A2:J112,10,FALSE)=TRUE,IF((Backdoors!AI12+IF(BT32&gt;=0.45,VLOOKUP(Calculator!E23,tbSkills!DH3:DI6,2,FALSE)+IF(AND(Calculator!B8=TRUE,Backdoors!BI13=TRUE),VLOOKUP(Calculator!E23,tbSkills!DH3:DJ6,3,FALSE),0),0))&gt;=0,1+(Backdoors!AL2*(IF((Backdoors!AI12+IF(BT32&gt;=0.45,VLOOKUP(Calculator!E23,tbSkills!DH3:DI6,2,FALSE)+IF(AND(Calculator!B8=TRUE,Backdoors!BI13=TRUE),VLOOKUP(Calculator!E23,tbSkills!DH3:DJ6,3,FALSE),0),0))&gt;=100,100,(Backdoors!AI12+IF(BT32&gt;=0.45,VLOOKUP(Calculator!E23,tbSkills!DH3:DI6,2,FALSE)+IF(AND(Calculator!B8=TRUE,Backdoors!BI13=TRUE),VLOOKUP(Calculator!E23,tbSkills!DH3:DJ6,3,FALSE),0),0)))/100)),(1-(0.25*((-Backdoors!AI12-IF(BT32&gt;=0.45,VLOOKUP(Calculator!E23,tbSkills!DH3:DI6,2,FALSE)+IF(AND(Calculator!B8=TRUE,Backdoors!BI13=TRUE),VLOOKUP(Calculator!E23,tbSkills!DH3:DJ6,3,FALSE),0),0))/100)))),1),"")</f>
        <v>1</v>
      </c>
      <c r="BW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T32)*BV32)*(VLOOKUP(A32,tbMoveset!A2:C112,3,FALSE)/100)*IF(VLOOKUP(A32,tbMoveset!A2:B112,2,FALSE)="Projectile",Backdoors!N10,Backdoors!N9),0),"")</f>
        <v/>
      </c>
      <c r="BX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T32&gt;=0.45,VLOOKUP(Calculator!E23,tbSkills!DH3:DI6,2,FALSE)+IF(AND(Calculator!B8=TRUE,Backdoors!BI13=TRUE),VLOOKUP(Calculator!E23,tbSkills!DH3:DJ6,3,FALSE),0),0))&gt;=100,100,(Backdoors!AI12+IF(BT32&gt;=0.45,VLOOKUP(Calculator!E23,tbSkills!DH3:DI6,2,FALSE)+IF(AND(Calculator!B8=TRUE,Backdoors!BI13=TRUE),VLOOKUP(Calculator!E23,tbSkills!DH3:DJ6,3,FALSE),0),0)))/100)),1))*IF(VLOOKUP(A32,tbMoveset!A2:K112,11,FALSE)=TRUE,Backdoors!AC5,1))*BU32,0),"")</f>
        <v>0</v>
      </c>
      <c r="BY32" s="49">
        <f>VLOOKUP(A32,tbMoveset!A2:G112,7,FALSE)*IFERROR(IF(Backdoors!AI12&gt;=0,1+(IF(Calculator!E40&gt;0,VLOOKUP(Calculator!E40,tbSkills!AI3:AJ5,2,FALSE),Backdoors!AL4)*(IF((Backdoors!AI12+IF(BT32&gt;=0.45,VLOOKUP(Calculator!E23,tbSkills!DH3:DI6,2,FALSE)+IF(AND(Calculator!B8=TRUE,Backdoors!BI13=TRUE),VLOOKUP(Calculator!E23,tbSkills!DH3:DJ6,3,FALSE),0),0))&gt;=100,100,(Backdoors!AI12+IF(BT32&gt;=0.45,VLOOKUP(Calculator!E23,tbSkills!DH3:DI6,2,FALSE)+IF(AND(Calculator!B8=TRUE,Backdoors!BI13=TRUE),VLOOKUP(Calculator!E23,tbSkills!DH3:DJ6,3,FALSE),0),0)))/100)),1),1)</f>
        <v>0.6</v>
      </c>
      <c r="BZ32" s="87">
        <f t="shared" si="5"/>
        <v>0</v>
      </c>
      <c r="CA32" s="86" t="str">
        <f>IFERROR(IF(VLOOKUP(A32,tbMoveset!A2:B112,2,FALSE)="Sever",Backdoors!AY14/100,IF(VLOOKUP(A32,tbMoveset!A2:B112,2,FALSE)="Blunt",Backdoors!AZ14/100,Backdoors!BA14/100)),"")</f>
        <v/>
      </c>
      <c r="CB32" s="49">
        <f>IFERROR(IF(VLOOKUP(tbMoveset!A32,tbMoveset!A2:H112,8,FALSE)="Other",IF(VLOOKUP(tbMoveset!A32,tbMoveset!A2:I112,9,FALSE)="Fire",Backdoors!BB14,IF(VLOOKUP(tbMoveset!A32,tbMoveset!A2:I112,9,FALSE)="Water",Backdoors!BC14,IF(VLOOKUP(tbMoveset!A32,tbMoveset!A2:I112,9,FALSE)="Thunder",Backdoors!BD14,IF(VLOOKUP(tbMoveset!A32,tbMoveset!A2:I112,9,FALSE)="Ice",Backdoors!BE14,IF(VLOOKUP(tbMoveset!A32,tbMoveset!A2:I112,9,FALSE)="Dragon",Backdoors!BF14,Backdoors!BG14)))))/100,Backdoors!BG14/100),"")</f>
        <v>0</v>
      </c>
      <c r="CC32" s="49">
        <f>IFERROR(IF(VLOOKUP(A32,tbMoveset!A2:J112,10,FALSE)=TRUE,IF((Backdoors!AI12+IF(CA32&gt;=0.45,VLOOKUP(Calculator!E23,tbSkills!DH3:DI6,2,FALSE)+IF(AND(Calculator!B8=TRUE,Backdoors!BI14=TRUE),VLOOKUP(Calculator!E23,tbSkills!DH3:DJ6,3,FALSE),0),0))&gt;=0,1+(Backdoors!AL2*(IF((Backdoors!AI12+IF(CA32&gt;=0.45,VLOOKUP(Calculator!E23,tbSkills!DH3:DI6,2,FALSE)+IF(AND(Calculator!B8=TRUE,Backdoors!BI14=TRUE),VLOOKUP(Calculator!E23,tbSkills!DH3:DJ6,3,FALSE),0),0))&gt;=100,100,(Backdoors!AI12+IF(CA32&gt;=0.45,VLOOKUP(Calculator!E23,tbSkills!DH3:DI6,2,FALSE)+IF(AND(Calculator!B8=TRUE,Backdoors!BI14=TRUE),VLOOKUP(Calculator!E23,tbSkills!DH3:DJ6,3,FALSE),0),0)))/100)),(1-(0.25*((-Backdoors!AI12-IF(CA32&gt;=0.45,VLOOKUP(Calculator!E23,tbSkills!DH3:DI6,2,FALSE)+IF(AND(Calculator!B8=TRUE,Backdoors!BI14=TRUE),VLOOKUP(Calculator!E23,tbSkills!DH3:DJ6,3,FALSE),0),0))/100)))),1),"")</f>
        <v>1</v>
      </c>
      <c r="CD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A32)*CC32)*(VLOOKUP(A32,tbMoveset!A2:C112,3,FALSE)/100)*IF(VLOOKUP(A32,tbMoveset!A2:B112,2,FALSE)="Projectile",Backdoors!N10,Backdoors!N9),0),"")</f>
        <v/>
      </c>
      <c r="CE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A32&gt;=0.45,VLOOKUP(Calculator!E23,tbSkills!DH3:DI6,2,FALSE)+IF(AND(Calculator!B8=TRUE,Backdoors!BI14=TRUE),VLOOKUP(Calculator!E23,tbSkills!DH3:DJ6,3,FALSE),0),0))&gt;=100,100,(Backdoors!AI12+IF(CA32&gt;=0.45,VLOOKUP(Calculator!E23,tbSkills!DH3:DI6,2,FALSE)+IF(AND(Calculator!B8=TRUE,Backdoors!BI14=TRUE),VLOOKUP(Calculator!E23,tbSkills!DH3:DJ6,3,FALSE),0),0)))/100)),1))*IF(VLOOKUP(A32,tbMoveset!A2:K112,11,FALSE)=TRUE,Backdoors!AC5,1))*CB32,0),"")</f>
        <v>0</v>
      </c>
      <c r="CF32" s="49">
        <f>VLOOKUP(A32,tbMoveset!A2:G112,7,FALSE)*IFERROR(IF(Backdoors!AI12&gt;=0,1+(IF(Calculator!E40&gt;0,VLOOKUP(Calculator!E40,tbSkills!AI3:AJ5,2,FALSE),Backdoors!AL4)*(IF((Backdoors!AI12+IF(CA32&gt;=0.45,VLOOKUP(Calculator!E23,tbSkills!DH3:DI6,2,FALSE)+IF(AND(Calculator!B8=TRUE,Backdoors!BI14=TRUE),VLOOKUP(Calculator!E23,tbSkills!DH3:DJ6,3,FALSE),0),0))&gt;=100,100,(Backdoors!AI12+IF(CA32&gt;=0.45,VLOOKUP(Calculator!E23,tbSkills!DH3:DI6,2,FALSE)+IF(AND(Calculator!B8=TRUE,Backdoors!BI14=TRUE),VLOOKUP(Calculator!E23,tbSkills!DH3:DJ6,3,FALSE),0),0)))/100)),1),1)</f>
        <v>0.6</v>
      </c>
      <c r="CG32" s="87">
        <f t="shared" si="6"/>
        <v>0</v>
      </c>
      <c r="CH32" s="86" t="str">
        <f>IFERROR(IF(VLOOKUP(A32,tbMoveset!A2:B112,2,FALSE)="Sever",Backdoors!AY15/100,IF(VLOOKUP(A32,tbMoveset!A2:B112,2,FALSE)="Blunt",Backdoors!AZ15/100,Backdoors!BA15/100)),"")</f>
        <v/>
      </c>
      <c r="CI32" s="49">
        <f>IFERROR(IF(VLOOKUP(tbMoveset!A32,tbMoveset!A2:H112,8,FALSE)="Other",IF(VLOOKUP(tbMoveset!A32,tbMoveset!A2:I112,9,FALSE)="Fire",Backdoors!BB15,IF(VLOOKUP(tbMoveset!A32,tbMoveset!A2:I112,9,FALSE)="Water",Backdoors!BC15,IF(VLOOKUP(tbMoveset!A32,tbMoveset!A2:I112,9,FALSE)="Thunder",Backdoors!BD15,IF(VLOOKUP(tbMoveset!A32,tbMoveset!A2:I112,9,FALSE)="Ice",Backdoors!BE15,IF(VLOOKUP(tbMoveset!A32,tbMoveset!A2:I112,9,FALSE)="Dragon",Backdoors!BF15,Backdoors!BG15)))))/100,Backdoors!BG15/100),"")</f>
        <v>0</v>
      </c>
      <c r="CJ32" s="49">
        <f>IFERROR(IF(VLOOKUP(A32,tbMoveset!A2:J112,10,FALSE)=TRUE,IF((Backdoors!AI12+IF(CH32&gt;=0.45,VLOOKUP(Calculator!E23,tbSkills!DH3:DI6,2,FALSE)+IF(AND(Calculator!B8=TRUE,Backdoors!BI15=TRUE),VLOOKUP(Calculator!E23,tbSkills!DH3:DJ6,3,FALSE),0),0))&gt;=0,1+(Backdoors!AL2*(IF((Backdoors!AI12+IF(CH32&gt;=0.45,VLOOKUP(Calculator!E23,tbSkills!DH3:DI6,2,FALSE)+IF(AND(Calculator!B8=TRUE,Backdoors!BI15=TRUE),VLOOKUP(Calculator!E23,tbSkills!DH3:DJ6,3,FALSE),0),0))&gt;=100,100,(Backdoors!AI12+IF(CH32&gt;=0.45,VLOOKUP(Calculator!E23,tbSkills!DH3:DI6,2,FALSE)+IF(AND(Calculator!B8=TRUE,Backdoors!BI15=TRUE),VLOOKUP(Calculator!E23,tbSkills!DH3:DJ6,3,FALSE),0),0)))/100)),(1-(0.25*((-Backdoors!AI12-IF(CH32&gt;=0.45,VLOOKUP(Calculator!E23,tbSkills!DH3:DI6,2,FALSE)+IF(AND(Calculator!B8=TRUE,Backdoors!BI15=TRUE),VLOOKUP(Calculator!E23,tbSkills!DH3:DJ6,3,FALSE),0),0))/100)))),1),"")</f>
        <v>1</v>
      </c>
      <c r="CK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H32)*CJ32)*(VLOOKUP(A32,tbMoveset!A2:C112,3,FALSE)/100)*IF(VLOOKUP(A32,tbMoveset!A2:B112,2,FALSE)="Projectile",Backdoors!N10,Backdoors!N9),0),"")</f>
        <v/>
      </c>
      <c r="CL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H32&gt;=0.45,VLOOKUP(Calculator!E23,tbSkills!DH3:DI6,2,FALSE)+IF(AND(Calculator!B8=TRUE,Backdoors!BI15=TRUE),VLOOKUP(Calculator!E23,tbSkills!DH3:DJ6,3,FALSE),0),0))&gt;=100,100,(Backdoors!AI12+IF(CH32&gt;=0.45,VLOOKUP(Calculator!E23,tbSkills!DH3:DI6,2,FALSE)+IF(AND(Calculator!B8=TRUE,Backdoors!BI15=TRUE),VLOOKUP(Calculator!E23,tbSkills!DH3:DJ6,3,FALSE),0),0)))/100)),1))*IF(VLOOKUP(A32,tbMoveset!A2:K112,11,FALSE)=TRUE,Backdoors!AC5,1))*CI32,0),"")</f>
        <v>0</v>
      </c>
      <c r="CM32" s="49">
        <f>VLOOKUP(A32,tbMoveset!A2:G112,7,FALSE)*IFERROR(IF(Backdoors!AI12&gt;=0,1+(IF(Calculator!E40&gt;0,VLOOKUP(Calculator!E40,tbSkills!AI3:AJ5,2,FALSE),Backdoors!AL4)*(IF((Backdoors!AI12+IF(CH32&gt;=0.45,VLOOKUP(Calculator!E23,tbSkills!DH3:DI6,2,FALSE)+IF(AND(Calculator!B8=TRUE,Backdoors!BI15=TRUE),VLOOKUP(Calculator!E23,tbSkills!DH3:DJ6,3,FALSE),0),0))&gt;=100,100,(Backdoors!AI12+IF(CH32&gt;=0.45,VLOOKUP(Calculator!E23,tbSkills!DH3:DI6,2,FALSE)+IF(AND(Calculator!B8=TRUE,Backdoors!BI15=TRUE),VLOOKUP(Calculator!E23,tbSkills!DH3:DJ6,3,FALSE),0),0)))/100)),1),1)</f>
        <v>0.6</v>
      </c>
      <c r="CN32" s="87">
        <f t="shared" si="7"/>
        <v>0</v>
      </c>
      <c r="CO32" s="86" t="str">
        <f>IFERROR(IF(VLOOKUP(A32,tbMoveset!A2:B112,2,FALSE)="Sever",Backdoors!AY16/100,IF(VLOOKUP(A32,tbMoveset!A2:B112,2,FALSE)="Blunt",Backdoors!AZ16/100,Backdoors!BA16/100)),"")</f>
        <v/>
      </c>
      <c r="CP32" s="49">
        <f>IFERROR(IF(VLOOKUP(tbMoveset!A32,tbMoveset!A2:H112,8,FALSE)="Other",IF(VLOOKUP(tbMoveset!A32,tbMoveset!A2:I112,9,FALSE)="Fire",Backdoors!BB16,IF(VLOOKUP(tbMoveset!A32,tbMoveset!A2:I112,9,FALSE)="Water",Backdoors!BC16,IF(VLOOKUP(tbMoveset!A32,tbMoveset!A2:I112,9,FALSE)="Thunder",Backdoors!BD16,IF(VLOOKUP(tbMoveset!A32,tbMoveset!A2:I112,9,FALSE)="Ice",Backdoors!BE16,IF(VLOOKUP(tbMoveset!A32,tbMoveset!A2:I112,9,FALSE)="Dragon",Backdoors!BF16,Backdoors!BG16)))))/100,Backdoors!BG16/100),"")</f>
        <v>0</v>
      </c>
      <c r="CQ32" s="49">
        <f>IFERROR(IF(VLOOKUP(A32,tbMoveset!A2:J112,10,FALSE)=TRUE,IF((Backdoors!AI12+IF(CO32&gt;=0.45,VLOOKUP(Calculator!E23,tbSkills!DH3:DI6,2,FALSE)+IF(AND(Calculator!B8=TRUE,Backdoors!BI16=TRUE),VLOOKUP(Calculator!E23,tbSkills!DH3:DJ6,3,FALSE),0),0))&gt;=0,1+(Backdoors!AL2*(IF((Backdoors!AI12+IF(CO32&gt;=0.45,VLOOKUP(Calculator!E23,tbSkills!DH3:DI6,2,FALSE)+IF(AND(Calculator!B8=TRUE,Backdoors!BI16=TRUE),VLOOKUP(Calculator!E23,tbSkills!DH3:DJ6,3,FALSE),0),0))&gt;=100,100,(Backdoors!AI12+IF(CO32&gt;=0.45,VLOOKUP(Calculator!E23,tbSkills!DH3:DI6,2,FALSE)+IF(AND(Calculator!B8=TRUE,Backdoors!BI16=TRUE),VLOOKUP(Calculator!E23,tbSkills!DH3:DJ6,3,FALSE),0),0)))/100)),(1-(0.25*((-Backdoors!AI12-IF(CO32&gt;=0.45,VLOOKUP(Calculator!E23,tbSkills!DH3:DI6,2,FALSE)+IF(AND(Calculator!B8=TRUE,Backdoors!BI16=TRUE),VLOOKUP(Calculator!E23,tbSkills!DH3:DJ6,3,FALSE),0),0))/100)))),1),"")</f>
        <v>1</v>
      </c>
      <c r="CR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O32)*CQ32)*(VLOOKUP(A32,tbMoveset!A2:C112,3,FALSE)/100)*IF(VLOOKUP(A32,tbMoveset!A2:B112,2,FALSE)="Projectile",Backdoors!N10,Backdoors!N9),0),"")</f>
        <v/>
      </c>
      <c r="CS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O32&gt;=0.45,VLOOKUP(Calculator!E23,tbSkills!DH3:DI6,2,FALSE)+IF(AND(Calculator!B8=TRUE,Backdoors!BI16=TRUE),VLOOKUP(Calculator!E23,tbSkills!DH3:DJ6,3,FALSE),0),0))&gt;=100,100,(Backdoors!AI12+IF(CO32&gt;=0.45,VLOOKUP(Calculator!E23,tbSkills!DH3:DI6,2,FALSE)+IF(AND(Calculator!B8=TRUE,Backdoors!BI16=TRUE),VLOOKUP(Calculator!E23,tbSkills!DH3:DJ6,3,FALSE),0),0)))/100)),1))*IF(VLOOKUP(A32,tbMoveset!A2:K112,11,FALSE)=TRUE,Backdoors!AC5,1))*CP32,0),"")</f>
        <v>0</v>
      </c>
      <c r="CT32" s="49">
        <f>VLOOKUP(A32,tbMoveset!A2:G112,7,FALSE)*IFERROR(IF(Backdoors!AI12&gt;=0,1+(IF(Calculator!E40&gt;0,VLOOKUP(Calculator!E40,tbSkills!AI3:AJ5,2,FALSE),Backdoors!AL4)*(IF((Backdoors!AI12+IF(CO32&gt;=0.45,VLOOKUP(Calculator!E23,tbSkills!DH3:DI6,2,FALSE)+IF(AND(Calculator!B8=TRUE,Backdoors!BI16=TRUE),VLOOKUP(Calculator!E23,tbSkills!DH3:DJ6,3,FALSE),0),0))&gt;=100,100,(Backdoors!AI12+IF(CO32&gt;=0.45,VLOOKUP(Calculator!E23,tbSkills!DH3:DI6,2,FALSE)+IF(AND(Calculator!B8=TRUE,Backdoors!BI16=TRUE),VLOOKUP(Calculator!E23,tbSkills!DH3:DJ6,3,FALSE),0),0)))/100)),1),1)</f>
        <v>0.6</v>
      </c>
      <c r="CU32" s="87">
        <f t="shared" si="40"/>
        <v>0</v>
      </c>
      <c r="CV32" s="86" t="str">
        <f>IFERROR(IF(VLOOKUP(A32,tbMoveset!A2:B112,2,FALSE)="Sever",Backdoors!AY17/100,IF(VLOOKUP(A32,tbMoveset!A2:B112,2,FALSE)="Blunt",Backdoors!AZ17/100,Backdoors!BA17/100)),"")</f>
        <v/>
      </c>
      <c r="CW32" s="49">
        <f>IFERROR(IF(VLOOKUP(tbMoveset!A32,tbMoveset!A2:H112,8,FALSE)="Other",IF(VLOOKUP(tbMoveset!A32,tbMoveset!A2:I112,9,FALSE)="Fire",Backdoors!BB17,IF(VLOOKUP(tbMoveset!A32,tbMoveset!A2:I112,9,FALSE)="Water",Backdoors!BC17,IF(VLOOKUP(tbMoveset!A32,tbMoveset!A2:I112,9,FALSE)="Thunder",Backdoors!BD17,IF(VLOOKUP(tbMoveset!A32,tbMoveset!A2:I112,9,FALSE)="Ice",Backdoors!BE17,IF(VLOOKUP(tbMoveset!A32,tbMoveset!A2:I112,9,FALSE)="Dragon",Backdoors!BF17,Backdoors!BG17)))))/100,Backdoors!BG17/100),"")</f>
        <v>0</v>
      </c>
      <c r="CX32" s="49">
        <f>IFERROR(IF(VLOOKUP(A32,tbMoveset!A2:J112,10,FALSE)=TRUE,IF((Backdoors!AI12+IF(CV32&gt;=0.45,VLOOKUP(Calculator!E23,tbSkills!DH3:DI6,2,FALSE)+IF(AND(Calculator!B8=TRUE,Backdoors!BI17=TRUE),VLOOKUP(Calculator!E23,tbSkills!DH3:DJ6,3,FALSE),0),0))&gt;=0,1+(Backdoors!AL2*(IF((Backdoors!AI12+IF(CV32&gt;=0.45,VLOOKUP(Calculator!E23,tbSkills!DH3:DI6,2,FALSE)+IF(AND(Calculator!B8=TRUE,Backdoors!BI17=TRUE),VLOOKUP(Calculator!E23,tbSkills!DH3:DJ6,3,FALSE),0),0))&gt;=100,100,(Backdoors!AI12+IF(CV32&gt;=0.45,VLOOKUP(Calculator!E23,tbSkills!DH3:DI6,2,FALSE)+IF(AND(Calculator!B8=TRUE,Backdoors!BI17=TRUE),VLOOKUP(Calculator!E23,tbSkills!DH3:DJ6,3,FALSE),0),0)))/100)),(1-(0.25*((-Backdoors!AI12-IF(CV32&gt;=0.45,VLOOKUP(Calculator!E23,tbSkills!DH3:DI6,2,FALSE)+IF(AND(Calculator!B8=TRUE,Backdoors!BI17=TRUE),VLOOKUP(Calculator!E23,tbSkills!DH3:DJ6,3,FALSE),0),0))/100)))),1),"")</f>
        <v>1</v>
      </c>
      <c r="CY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V32)*CX32)*(VLOOKUP(A32,tbMoveset!A2:C112,3,FALSE)/100)*IF(VLOOKUP(A32,tbMoveset!A2:B112,2,FALSE)="Projectile",Backdoors!N10,Backdoors!N9),0),"")</f>
        <v/>
      </c>
      <c r="CZ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V32&gt;=0.45,VLOOKUP(Calculator!E23,tbSkills!DH3:DI6,2,FALSE)+IF(AND(Calculator!B8=TRUE,Backdoors!BI17=TRUE),VLOOKUP(Calculator!E23,tbSkills!DH3:DJ6,3,FALSE),0),0))&gt;=100,100,(Backdoors!AI12+IF(CV32&gt;=0.45,VLOOKUP(Calculator!E23,tbSkills!DH3:DI6,2,FALSE)+IF(AND(Calculator!B8=TRUE,Backdoors!BI17=TRUE),VLOOKUP(Calculator!E23,tbSkills!DH3:DJ6,3,FALSE),0),0)))/100)),1))*IF(VLOOKUP(A32,tbMoveset!A2:K112,11,FALSE)=TRUE,Backdoors!AC5,1))*CW32,0),"")</f>
        <v>0</v>
      </c>
      <c r="DA32" s="49">
        <f>VLOOKUP(A32,tbMoveset!A2:G112,7,FALSE)*IFERROR(IF(Backdoors!AI12&gt;=0,1+(IF(Calculator!E40&gt;0,VLOOKUP(Calculator!E40,tbSkills!AI3:AJ5,2,FALSE),Backdoors!AL4)*(IF((Backdoors!AI12+IF(CV32&gt;=0.45,VLOOKUP(Calculator!E23,tbSkills!DH3:DI6,2,FALSE)+IF(AND(Calculator!B8=TRUE,Backdoors!BI17=TRUE),VLOOKUP(Calculator!E23,tbSkills!DH3:DJ6,3,FALSE),0),0))&gt;=100,100,(Backdoors!AI12+IF(CV32&gt;=0.45,VLOOKUP(Calculator!E23,tbSkills!DH3:DI6,2,FALSE)+IF(AND(Calculator!B8=TRUE,Backdoors!BI17=TRUE),VLOOKUP(Calculator!E23,tbSkills!DH3:DJ6,3,FALSE),0),0)))/100)),1),1)</f>
        <v>0.6</v>
      </c>
      <c r="DB32" s="87">
        <f t="shared" si="8"/>
        <v>0</v>
      </c>
      <c r="DC32" s="86" t="str">
        <f>IFERROR(IF(VLOOKUP(A32,tbMoveset!A2:B112,2,FALSE)="Sever",Backdoors!AY18/100,IF(VLOOKUP(A32,tbMoveset!A2:B112,2,FALSE)="Blunt",Backdoors!AZ18/100,Backdoors!BA18/100)),"")</f>
        <v/>
      </c>
      <c r="DD32" s="49">
        <f>IFERROR(IF(VLOOKUP(tbMoveset!A32,tbMoveset!A2:H112,8,FALSE)="Other",IF(VLOOKUP(tbMoveset!A32,tbMoveset!A2:I112,9,FALSE)="Fire",Backdoors!BB18,IF(VLOOKUP(tbMoveset!A32,tbMoveset!A2:I112,9,FALSE)="Water",Backdoors!BC18,IF(VLOOKUP(tbMoveset!A32,tbMoveset!A2:I112,9,FALSE)="Thunder",Backdoors!BD18,IF(VLOOKUP(tbMoveset!A32,tbMoveset!A2:I112,9,FALSE)="Ice",Backdoors!BE18,IF(VLOOKUP(tbMoveset!A32,tbMoveset!A2:I112,9,FALSE)="Dragon",Backdoors!BF18,Backdoors!BG18)))))/100,Backdoors!BG18/100),"")</f>
        <v>0</v>
      </c>
      <c r="DE32" s="49">
        <f>IFERROR(IF(VLOOKUP(A32,tbMoveset!A2:J112,10,FALSE)=TRUE,IF((Backdoors!AI12+IF(DC32&gt;=0.45,VLOOKUP(Calculator!E23,tbSkills!DH3:DI6,2,FALSE)+IF(AND(Calculator!B8=TRUE,Backdoors!BI18=TRUE),VLOOKUP(Calculator!E23,tbSkills!DH3:DJ6,3,FALSE),0),0))&gt;=0,1+(Backdoors!AL2*(IF((Backdoors!AI12+IF(DC32&gt;=0.45,VLOOKUP(Calculator!E23,tbSkills!DH3:DI6,2,FALSE)+IF(AND(Calculator!B8=TRUE,Backdoors!BI18=TRUE),VLOOKUP(Calculator!E23,tbSkills!DH3:DJ6,3,FALSE),0),0))&gt;=100,100,(Backdoors!AI12+IF(DC32&gt;=0.45,VLOOKUP(Calculator!E23,tbSkills!DH3:DI6,2,FALSE)+IF(AND(Calculator!B8=TRUE,Backdoors!BI18=TRUE),VLOOKUP(Calculator!E23,tbSkills!DH3:DJ6,3,FALSE),0),0)))/100)),(1-(0.25*((-Backdoors!AI12-IF(DC32&gt;=0.45,VLOOKUP(Calculator!E23,tbSkills!DH3:DI6,2,FALSE)+IF(AND(Calculator!B8=TRUE,Backdoors!BI18=TRUE),VLOOKUP(Calculator!E23,tbSkills!DH3:DJ6,3,FALSE),0),0))/100)))),1),"")</f>
        <v>1</v>
      </c>
      <c r="DF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C32)*DE32)*(VLOOKUP(A32,tbMoveset!A2:C112,3,FALSE)/100)*IF(VLOOKUP(A32,tbMoveset!A2:B112,2,FALSE)="Projectile",Backdoors!N10,Backdoors!N9),0),"")</f>
        <v/>
      </c>
      <c r="DG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C32&gt;=0.45,VLOOKUP(Calculator!E23,tbSkills!DH3:DI6,2,FALSE)+IF(AND(Calculator!B8=TRUE,Backdoors!BI18=TRUE),VLOOKUP(Calculator!E23,tbSkills!DH3:DJ6,3,FALSE),0),0))&gt;=100,100,(Backdoors!AI12+IF(DC32&gt;=0.45,VLOOKUP(Calculator!E23,tbSkills!DH3:DI6,2,FALSE)+IF(AND(Calculator!B8=TRUE,Backdoors!BI18=TRUE),VLOOKUP(Calculator!E23,tbSkills!DH3:DJ6,3,FALSE),0),0)))/100)),1))*IF(VLOOKUP(A32,tbMoveset!A2:K112,11,FALSE)=TRUE,Backdoors!AC5,1))*DD32,0),"")</f>
        <v>0</v>
      </c>
      <c r="DH32" s="49">
        <f>VLOOKUP(A32,tbMoveset!A2:G112,7,FALSE)*IFERROR(IF(Backdoors!AI12&gt;=0,1+(IF(Calculator!E40&gt;0,VLOOKUP(Calculator!E40,tbSkills!AI3:AJ5,2,FALSE),Backdoors!AL4)*(IF((Backdoors!AI12+IF(DC32&gt;=0.45,VLOOKUP(Calculator!E23,tbSkills!DH3:DI6,2,FALSE)+IF(AND(Calculator!B8=TRUE,Backdoors!BI18=TRUE),VLOOKUP(Calculator!E23,tbSkills!DH3:DJ6,3,FALSE),0),0))&gt;=100,100,(Backdoors!AI12+IF(DC32&gt;=0.45,VLOOKUP(Calculator!E23,tbSkills!DH3:DI6,2,FALSE)+IF(AND(Calculator!B8=TRUE,Backdoors!BI18=TRUE),VLOOKUP(Calculator!E23,tbSkills!DH3:DJ6,3,FALSE),0),0)))/100)),1),1)</f>
        <v>0.6</v>
      </c>
      <c r="DI32" s="87">
        <f t="shared" si="9"/>
        <v>0</v>
      </c>
      <c r="DJ32" s="86" t="str">
        <f>IFERROR(IF(VLOOKUP(A32,tbMoveset!A2:B112,2,FALSE)="Sever",Backdoors!AY19/100,IF(VLOOKUP(A32,tbMoveset!A2:B112,2,FALSE)="Blunt",Backdoors!AZ19/100,Backdoors!BA19/100)),"")</f>
        <v/>
      </c>
      <c r="DK32" s="49">
        <f>IFERROR(IF(VLOOKUP(tbMoveset!A32,tbMoveset!A2:H112,8,FALSE)="Other",IF(VLOOKUP(tbMoveset!A32,tbMoveset!A2:I112,9,FALSE)="Fire",Backdoors!BB19,IF(VLOOKUP(tbMoveset!A32,tbMoveset!A2:I112,9,FALSE)="Water",Backdoors!BC19,IF(VLOOKUP(tbMoveset!A32,tbMoveset!A2:I112,9,FALSE)="Thunder",Backdoors!BD19,IF(VLOOKUP(tbMoveset!A32,tbMoveset!A2:I112,9,FALSE)="Ice",Backdoors!BE19,IF(VLOOKUP(tbMoveset!A32,tbMoveset!A2:I112,9,FALSE)="Dragon",Backdoors!BF19,Backdoors!BG19)))))/100,Backdoors!BG19/100),"")</f>
        <v>0</v>
      </c>
      <c r="DL32" s="49">
        <f>IFERROR(IF(VLOOKUP(A32,tbMoveset!A2:J112,10,FALSE)=TRUE,IF((Backdoors!AI12+IF(DJ32&gt;=0.45,VLOOKUP(Calculator!E23,tbSkills!DH3:DI6,2,FALSE)+IF(AND(Calculator!B8=TRUE,Backdoors!BI19=TRUE),VLOOKUP(Calculator!E23,tbSkills!DH3:DJ6,3,FALSE),0),0))&gt;=0,1+(Backdoors!AL2*(IF((Backdoors!AI12+IF(DJ32&gt;=0.45,VLOOKUP(Calculator!E23,tbSkills!DH3:DI6,2,FALSE)+IF(AND(Calculator!B8=TRUE,Backdoors!BI19=TRUE),VLOOKUP(Calculator!E23,tbSkills!DH3:DJ6,3,FALSE),0),0))&gt;=100,100,(Backdoors!AI12+IF(DJ32&gt;=0.45,VLOOKUP(Calculator!E23,tbSkills!DH3:DI6,2,FALSE)+IF(AND(Calculator!B8=TRUE,Backdoors!BI19=TRUE),VLOOKUP(Calculator!E23,tbSkills!DH3:DJ6,3,FALSE),0),0)))/100)),(1-(0.25*((-Backdoors!AI12-IF(DJ32&gt;=0.45,VLOOKUP(Calculator!E23,tbSkills!DH3:DI6,2,FALSE)+IF(AND(Calculator!B8=TRUE,Backdoors!BI19=TRUE),VLOOKUP(Calculator!E23,tbSkills!DH3:DJ6,3,FALSE),0),0))/100)))),1),"")</f>
        <v>1</v>
      </c>
      <c r="DM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J32)*DL32)*(VLOOKUP(A32,tbMoveset!A2:C112,3,FALSE)/100)*IF(VLOOKUP(A32,tbMoveset!A2:B112,2,FALSE)="Projectile",Backdoors!N10,Backdoors!N9),0),"")</f>
        <v/>
      </c>
      <c r="DN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J32&gt;=0.45,VLOOKUP(Calculator!E23,tbSkills!DH3:DI6,2,FALSE)+IF(AND(Calculator!B8=TRUE,Backdoors!BI19=TRUE),VLOOKUP(Calculator!E23,tbSkills!DH3:DJ6,3,FALSE),0),0))&gt;=100,100,(Backdoors!AI12+IF(DJ32&gt;=0.45,VLOOKUP(Calculator!E23,tbSkills!DH3:DI6,2,FALSE)+IF(AND(Calculator!B8=TRUE,Backdoors!BI19=TRUE),VLOOKUP(Calculator!E23,tbSkills!DH3:DJ6,3,FALSE),0),0)))/100)),1))*IF(VLOOKUP(A32,tbMoveset!A2:K112,11,FALSE)=TRUE,Backdoors!AC5,1))*DK32,0),"")</f>
        <v>0</v>
      </c>
      <c r="DO32" s="49">
        <f>VLOOKUP(A32,tbMoveset!A2:G112,7,FALSE)*IFERROR(IF(Backdoors!AI12&gt;=0,1+(IF(Calculator!E40&gt;0,VLOOKUP(Calculator!E40,tbSkills!AI3:AJ5,2,FALSE),Backdoors!AL4)*(IF((Backdoors!AI12+IF(DJ32&gt;=0.45,VLOOKUP(Calculator!E23,tbSkills!DH3:DI6,2,FALSE)+IF(AND(Calculator!B8=TRUE,Backdoors!BI19=TRUE),VLOOKUP(Calculator!E23,tbSkills!DH3:DJ6,3,FALSE),0),0))&gt;=100,100,(Backdoors!AI12+IF(DJ32&gt;=0.45,VLOOKUP(Calculator!E23,tbSkills!DH3:DI6,2,FALSE)+IF(AND(Calculator!B8=TRUE,Backdoors!BI19=TRUE),VLOOKUP(Calculator!E23,tbSkills!DH3:DJ6,3,FALSE),0),0)))/100)),1),1)</f>
        <v>0.6</v>
      </c>
      <c r="DP32" s="87">
        <f t="shared" si="41"/>
        <v>0</v>
      </c>
      <c r="DQ32" s="86" t="str">
        <f>IFERROR(IF(VLOOKUP(A32,tbMoveset!A2:B112,2,FALSE)="Sever",Backdoors!AY20/100,IF(VLOOKUP(A32,tbMoveset!A2:B112,2,FALSE)="Blunt",Backdoors!AZ20/100,Backdoors!BA20/100)),"")</f>
        <v/>
      </c>
      <c r="DR32" s="49">
        <f>IFERROR(IF(VLOOKUP(tbMoveset!A32,tbMoveset!A2:H112,8,FALSE)="Other",IF(VLOOKUP(tbMoveset!A32,tbMoveset!A2:I112,9,FALSE)="Fire",Backdoors!BB20,IF(VLOOKUP(tbMoveset!A32,tbMoveset!A2:I112,9,FALSE)="Water",Backdoors!BC20,IF(VLOOKUP(tbMoveset!A32,tbMoveset!A2:I112,9,FALSE)="Thunder",Backdoors!BD20,IF(VLOOKUP(tbMoveset!A32,tbMoveset!A2:I112,9,FALSE)="Ice",Backdoors!BE20,IF(VLOOKUP(tbMoveset!A32,tbMoveset!A2:I112,9,FALSE)="Dragon",Backdoors!BF20,Backdoors!BG20)))))/100,Backdoors!BG20/100),"")</f>
        <v>0</v>
      </c>
      <c r="DS32" s="49">
        <f>IFERROR(IF(VLOOKUP(A32,tbMoveset!A2:J112,10,FALSE)=TRUE,IF((Backdoors!AI12+IF(DQ32&gt;=0.45,VLOOKUP(Calculator!E23,tbSkills!DH3:DI6,2,FALSE)+IF(AND(Calculator!B8=TRUE,Backdoors!BI20=TRUE),VLOOKUP(Calculator!E23,tbSkills!DH3:DJ6,3,FALSE),0),0))&gt;=0,1+(Backdoors!AL2*(IF((Backdoors!AI12+IF(DQ32&gt;=0.45,VLOOKUP(Calculator!E23,tbSkills!DH3:DI6,2,FALSE)+IF(AND(Calculator!B8=TRUE,Backdoors!BI20=TRUE),VLOOKUP(Calculator!E23,tbSkills!DH3:DJ6,3,FALSE),0),0))&gt;=100,100,(Backdoors!AI12+IF(DQ32&gt;=0.45,VLOOKUP(Calculator!E23,tbSkills!DH3:DI6,2,FALSE)+IF(AND(Calculator!B8=TRUE,Backdoors!BI20=TRUE),VLOOKUP(Calculator!E23,tbSkills!DH3:DJ6,3,FALSE),0),0)))/100)),(1-(0.25*((-Backdoors!AI12-IF(DQ32&gt;=0.45,VLOOKUP(Calculator!E23,tbSkills!DH3:DI6,2,FALSE)+IF(AND(Calculator!B8=TRUE,Backdoors!BI20=TRUE),VLOOKUP(Calculator!E23,tbSkills!DH3:DJ6,3,FALSE),0),0))/100)))),1),"")</f>
        <v>1</v>
      </c>
      <c r="DT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Q32)*DS32)*(VLOOKUP(A32,tbMoveset!A2:C112,3,FALSE)/100)*IF(VLOOKUP(A32,tbMoveset!A2:B112,2,FALSE)="Projectile",Backdoors!N10,Backdoors!N9),0),"")</f>
        <v/>
      </c>
      <c r="DU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Q32&gt;=0.45,VLOOKUP(Calculator!E23,tbSkills!DH3:DI6,2,FALSE)+IF(AND(Calculator!B8=TRUE,Backdoors!BI20=TRUE),VLOOKUP(Calculator!E23,tbSkills!DH3:DJ6,3,FALSE),0),0))&gt;=100,100,(Backdoors!AI12+IF(DQ32&gt;=0.45,VLOOKUP(Calculator!E23,tbSkills!DH3:DI6,2,FALSE)+IF(AND(Calculator!B8=TRUE,Backdoors!BI20=TRUE),VLOOKUP(Calculator!E23,tbSkills!DH3:DJ6,3,FALSE),0),0)))/100)),1))*IF(VLOOKUP(A32,tbMoveset!A2:K112,11,FALSE)=TRUE,Backdoors!AC5,1))*DR32,0),"")</f>
        <v>0</v>
      </c>
      <c r="DV32" s="49">
        <f>VLOOKUP(A32,tbMoveset!A2:G112,7,FALSE)*IFERROR(IF(Backdoors!AI12&gt;=0,1+(IF(Calculator!E40&gt;0,VLOOKUP(Calculator!E40,tbSkills!AI3:AJ5,2,FALSE),Backdoors!AL4)*(IF((Backdoors!AI12+IF(DQ32&gt;=0.45,VLOOKUP(Calculator!E23,tbSkills!DH3:DI6,2,FALSE)+IF(AND(Calculator!B8=TRUE,Backdoors!BI20=TRUE),VLOOKUP(Calculator!E23,tbSkills!DH3:DJ6,3,FALSE),0),0))&gt;=100,100,(Backdoors!AI12+IF(DQ32&gt;=0.45,VLOOKUP(Calculator!E23,tbSkills!DH3:DI6,2,FALSE)+IF(AND(Calculator!B8=TRUE,Backdoors!BI20=TRUE),VLOOKUP(Calculator!E23,tbSkills!DH3:DJ6,3,FALSE),0),0)))/100)),1),1)</f>
        <v>0.6</v>
      </c>
      <c r="DW32" s="87">
        <f t="shared" si="10"/>
        <v>0</v>
      </c>
      <c r="DX32" s="86" t="str">
        <f>IFERROR(IF(VLOOKUP(A32,tbMoveset!A2:B112,2,FALSE)="Sever",Backdoors!AY21/100,IF(VLOOKUP(A32,tbMoveset!A2:B112,2,FALSE)="Blunt",Backdoors!AZ21/100,Backdoors!BA21/100)),"")</f>
        <v/>
      </c>
      <c r="DY32" s="49">
        <f>IFERROR(IF(VLOOKUP(tbMoveset!A32,tbMoveset!A2:H112,8,FALSE)="Other",IF(VLOOKUP(tbMoveset!A32,tbMoveset!A2:I112,9,FALSE)="Fire",Backdoors!BB21,IF(VLOOKUP(tbMoveset!A32,tbMoveset!A2:I112,9,FALSE)="Water",Backdoors!BC21,IF(VLOOKUP(tbMoveset!A32,tbMoveset!A2:I112,9,FALSE)="Thunder",Backdoors!BD21,IF(VLOOKUP(tbMoveset!A32,tbMoveset!A2:I112,9,FALSE)="Ice",Backdoors!BE21,IF(VLOOKUP(tbMoveset!A32,tbMoveset!A2:I112,9,FALSE)="Dragon",Backdoors!BF21,Backdoors!BG21)))))/100,Backdoors!BG21/100),"")</f>
        <v>0</v>
      </c>
      <c r="DZ32" s="49">
        <f>IFERROR(IF(VLOOKUP(A32,tbMoveset!A2:J112,10,FALSE)=TRUE,IF((Backdoors!AI12+IF(DX32&gt;=0.45,VLOOKUP(Calculator!E23,tbSkills!DH3:DI6,2,FALSE)+IF(AND(Calculator!B8=TRUE,Backdoors!BI21=TRUE),VLOOKUP(Calculator!E23,tbSkills!DH3:DJ6,3,FALSE),0),0))&gt;=0,1+(Backdoors!AL2*(IF((Backdoors!AI12+IF(DX32&gt;=0.45,VLOOKUP(Calculator!E23,tbSkills!DH3:DI6,2,FALSE)+IF(AND(Calculator!B8=TRUE,Backdoors!BI21=TRUE),VLOOKUP(Calculator!E23,tbSkills!DH3:DJ6,3,FALSE),0),0))&gt;=100,100,(Backdoors!AI12+IF(DX32&gt;=0.45,VLOOKUP(Calculator!E23,tbSkills!DH3:DI6,2,FALSE)+IF(AND(Calculator!B8=TRUE,Backdoors!BI21=TRUE),VLOOKUP(Calculator!E23,tbSkills!DH3:DJ6,3,FALSE),0),0)))/100)),(1-(0.25*((-Backdoors!AI12-IF(DX32&gt;=0.45,VLOOKUP(Calculator!E23,tbSkills!DH3:DI6,2,FALSE)+IF(AND(Calculator!B8=TRUE,Backdoors!BI21=TRUE),VLOOKUP(Calculator!E23,tbSkills!DH3:DJ6,3,FALSE),0),0))/100)))),1),"")</f>
        <v>1</v>
      </c>
      <c r="EA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X32)*DZ32)*(VLOOKUP(A32,tbMoveset!A2:C112,3,FALSE)/100)*IF(VLOOKUP(A32,tbMoveset!A2:B112,2,FALSE)="Projectile",Backdoors!N10,Backdoors!N9),0),"")</f>
        <v/>
      </c>
      <c r="EB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X32&gt;=0.45,VLOOKUP(Calculator!E23,tbSkills!DH3:DI6,2,FALSE)+IF(AND(Calculator!B8=TRUE,Backdoors!BI21=TRUE),VLOOKUP(Calculator!E23,tbSkills!DH3:DJ6,3,FALSE),0),0))&gt;=100,100,(Backdoors!AI12+IF(DX32&gt;=0.45,VLOOKUP(Calculator!E23,tbSkills!DH3:DI6,2,FALSE)+IF(AND(Calculator!B8=TRUE,Backdoors!BI21=TRUE),VLOOKUP(Calculator!E23,tbSkills!DH3:DJ6,3,FALSE),0),0)))/100)),1))*IF(VLOOKUP(A32,tbMoveset!A2:K112,11,FALSE)=TRUE,Backdoors!AC5,1))*DY32,0),"")</f>
        <v>0</v>
      </c>
      <c r="EC32" s="49">
        <f>VLOOKUP(A32,tbMoveset!A2:G112,7,FALSE)*IFERROR(IF(Backdoors!AI12&gt;=0,1+(IF(Calculator!E40&gt;0,VLOOKUP(Calculator!E40,tbSkills!AI3:AJ5,2,FALSE),Backdoors!AL4)*(IF((Backdoors!AI12+IF(DX32&gt;=0.45,VLOOKUP(Calculator!E23,tbSkills!DH3:DI6,2,FALSE)+IF(AND(Calculator!B8=TRUE,Backdoors!BI21=TRUE),VLOOKUP(Calculator!E23,tbSkills!DH3:DJ6,3,FALSE),0),0))&gt;=100,100,(Backdoors!AI12+IF(DX32&gt;=0.45,VLOOKUP(Calculator!E23,tbSkills!DH3:DI6,2,FALSE)+IF(AND(Calculator!B8=TRUE,Backdoors!BI21=TRUE),VLOOKUP(Calculator!E23,tbSkills!DH3:DJ6,3,FALSE),0),0)))/100)),1),1)</f>
        <v>0.6</v>
      </c>
      <c r="ED32" s="87">
        <f t="shared" si="11"/>
        <v>0</v>
      </c>
      <c r="EE32" s="86" t="str">
        <f>IFERROR(IF(VLOOKUP(A32,tbMoveset!A2:B112,2,FALSE)="Sever",Backdoors!AY22/100,IF(VLOOKUP(A32,tbMoveset!A2:B112,2,FALSE)="Blunt",Backdoors!AZ22/100,Backdoors!BA22/100)),"")</f>
        <v/>
      </c>
      <c r="EF32" s="49">
        <f>IFERROR(IF(VLOOKUP(tbMoveset!A32,tbMoveset!A2:H112,8,FALSE)="Other",IF(VLOOKUP(tbMoveset!A32,tbMoveset!A2:I112,9,FALSE)="Fire",Backdoors!BB22,IF(VLOOKUP(tbMoveset!A32,tbMoveset!A2:I112,9,FALSE)="Water",Backdoors!BC22,IF(VLOOKUP(tbMoveset!A32,tbMoveset!A2:I112,9,FALSE)="Thunder",Backdoors!BD22,IF(VLOOKUP(tbMoveset!A32,tbMoveset!A2:I112,9,FALSE)="Ice",Backdoors!BE22,IF(VLOOKUP(tbMoveset!A32,tbMoveset!A2:I112,9,FALSE)="Dragon",Backdoors!BF22,Backdoors!BG22)))))/100,Backdoors!BG22/100),"")</f>
        <v>0</v>
      </c>
      <c r="EG32" s="49">
        <f>IFERROR(IF(VLOOKUP(A32,tbMoveset!A2:J112,10,FALSE)=TRUE,IF((Backdoors!AI12+IF(EE32&gt;=0.45,VLOOKUP(Calculator!E23,tbSkills!DH3:DI6,2,FALSE)+IF(AND(Calculator!B8=TRUE,Backdoors!BI22=TRUE),VLOOKUP(Calculator!E23,tbSkills!DH3:DJ6,3,FALSE),0),0))&gt;=0,1+(Backdoors!AL2*(IF((Backdoors!AI12+IF(EE32&gt;=0.45,VLOOKUP(Calculator!E23,tbSkills!DH3:DI6,2,FALSE)+IF(AND(Calculator!B8=TRUE,Backdoors!BI22=TRUE),VLOOKUP(Calculator!E23,tbSkills!DH3:DJ6,3,FALSE),0),0))&gt;=100,100,(Backdoors!AI12+IF(EE32&gt;=0.45,VLOOKUP(Calculator!E23,tbSkills!DH3:DI6,2,FALSE)+IF(AND(Calculator!B8=TRUE,Backdoors!BI22=TRUE),VLOOKUP(Calculator!E23,tbSkills!DH3:DJ6,3,FALSE),0),0)))/100)),(1-(0.25*((-Backdoors!AI12-IF(EE32&gt;=0.45,VLOOKUP(Calculator!E23,tbSkills!DH3:DI6,2,FALSE)+IF(AND(Calculator!B8=TRUE,Backdoors!BI22=TRUE),VLOOKUP(Calculator!E23,tbSkills!DH3:DJ6,3,FALSE),0),0))/100)))),1),"")</f>
        <v>1</v>
      </c>
      <c r="EH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E32)*EG32)*(VLOOKUP(A32,tbMoveset!A2:C112,3,FALSE)/100)*IF(VLOOKUP(A32,tbMoveset!A2:B112,2,FALSE)="Projectile",Backdoors!N10,Backdoors!N9),0),"")</f>
        <v/>
      </c>
      <c r="EI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E32&gt;=0.45,VLOOKUP(Calculator!E23,tbSkills!DH3:DI6,2,FALSE)+IF(AND(Calculator!B8=TRUE,Backdoors!BI22=TRUE),VLOOKUP(Calculator!E23,tbSkills!DH3:DJ6,3,FALSE),0),0))&gt;=100,100,(Backdoors!AI12+IF(EE32&gt;=0.45,VLOOKUP(Calculator!E23,tbSkills!DH3:DI6,2,FALSE)+IF(AND(Calculator!B8=TRUE,Backdoors!BI22=TRUE),VLOOKUP(Calculator!E23,tbSkills!DH3:DJ6,3,FALSE),0),0)))/100)),1))*IF(VLOOKUP(A32,tbMoveset!A2:K112,11,FALSE)=TRUE,Backdoors!AC5,1))*EF32,0),"")</f>
        <v>0</v>
      </c>
      <c r="EJ32" s="49">
        <f>VLOOKUP(A32,tbMoveset!A2:G112,7,FALSE)*IFERROR(IF(Backdoors!AI12&gt;=0,1+(IF(Calculator!E40&gt;0,VLOOKUP(Calculator!E40,tbSkills!AI3:AJ5,2,FALSE),Backdoors!AL4)*(IF((Backdoors!AI12+IF(EE32&gt;=0.45,VLOOKUP(Calculator!E23,tbSkills!DH3:DI6,2,FALSE)+IF(AND(Calculator!B8=TRUE,Backdoors!BI22=TRUE),VLOOKUP(Calculator!E23,tbSkills!DH3:DJ6,3,FALSE),0),0))&gt;=100,100,(Backdoors!AI12+IF(EE32&gt;=0.45,VLOOKUP(Calculator!E23,tbSkills!DH3:DI6,2,FALSE)+IF(AND(Calculator!B8=TRUE,Backdoors!BI22=TRUE),VLOOKUP(Calculator!E23,tbSkills!DH3:DJ6,3,FALSE),0),0)))/100)),1),1)</f>
        <v>0.6</v>
      </c>
      <c r="EK32" s="87">
        <f t="shared" si="12"/>
        <v>0</v>
      </c>
      <c r="EL32" s="86" t="str">
        <f>IFERROR(IF(VLOOKUP(A32,tbMoveset!A2:B112,2,FALSE)="Sever",Backdoors!AY23/100,IF(VLOOKUP(A32,tbMoveset!A2:B112,2,FALSE)="Blunt",Backdoors!AZ23/100,Backdoors!BA23/100)),"")</f>
        <v/>
      </c>
      <c r="EM32" s="49">
        <f>IFERROR(IF(VLOOKUP(tbMoveset!A32,tbMoveset!A2:H112,8,FALSE)="Other",IF(VLOOKUP(tbMoveset!A32,tbMoveset!A2:I112,9,FALSE)="Fire",Backdoors!BB23,IF(VLOOKUP(tbMoveset!A32,tbMoveset!A2:I112,9,FALSE)="Water",Backdoors!BC23,IF(VLOOKUP(tbMoveset!A32,tbMoveset!A2:I112,9,FALSE)="Thunder",Backdoors!BD23,IF(VLOOKUP(tbMoveset!A32,tbMoveset!A2:I112,9,FALSE)="Ice",Backdoors!BE23,IF(VLOOKUP(tbMoveset!A32,tbMoveset!A2:I112,9,FALSE)="Dragon",Backdoors!BF23,Backdoors!BG23)))))/100,Backdoors!BG23/100),"")</f>
        <v>0</v>
      </c>
      <c r="EN32" s="49">
        <f>IFERROR(IF(VLOOKUP(A32,tbMoveset!A2:J112,10,FALSE)=TRUE,IF((Backdoors!AI12+IF(EL32&gt;=0.45,VLOOKUP(Calculator!E23,tbSkills!DH3:DI6,2,FALSE)+IF(AND(Calculator!B8=TRUE,Backdoors!BI23=TRUE),VLOOKUP(Calculator!E23,tbSkills!DH3:DJ6,3,FALSE),0),0))&gt;=0,1+(Backdoors!AL2*(IF((Backdoors!AI12+IF(EL32&gt;=0.45,VLOOKUP(Calculator!E23,tbSkills!DH3:DI6,2,FALSE)+IF(AND(Calculator!B8=TRUE,Backdoors!BI23=TRUE),VLOOKUP(Calculator!E23,tbSkills!DH3:DJ6,3,FALSE),0),0))&gt;=100,100,(Backdoors!AI12+IF(EL32&gt;=0.45,VLOOKUP(Calculator!E23,tbSkills!DH3:DI6,2,FALSE)+IF(AND(Calculator!B8=TRUE,Backdoors!BI23=TRUE),VLOOKUP(Calculator!E23,tbSkills!DH3:DJ6,3,FALSE),0),0)))/100)),(1-(0.25*((-Backdoors!AI12-IF(EL32&gt;=0.45,VLOOKUP(Calculator!E23,tbSkills!DH3:DI6,2,FALSE)+IF(AND(Calculator!B8=TRUE,Backdoors!BI23=TRUE),VLOOKUP(Calculator!E23,tbSkills!DH3:DJ6,3,FALSE),0),0))/100)))),1),"")</f>
        <v>1</v>
      </c>
      <c r="EO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L32)*EN32)*(VLOOKUP(A32,tbMoveset!A2:C112,3,FALSE)/100)*IF(VLOOKUP(A32,tbMoveset!A2:B112,2,FALSE)="Projectile",Backdoors!N10,Backdoors!N9),0),"")</f>
        <v/>
      </c>
      <c r="EP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L32&gt;=0.45,VLOOKUP(Calculator!E23,tbSkills!DH3:DI6,2,FALSE)+IF(AND(Calculator!B8=TRUE,Backdoors!BI23=TRUE),VLOOKUP(Calculator!E23,tbSkills!DH3:DJ6,3,FALSE),0),0))&gt;=100,100,(Backdoors!AI12+IF(EL32&gt;=0.45,VLOOKUP(Calculator!E23,tbSkills!DH3:DI6,2,FALSE)+IF(AND(Calculator!B8=TRUE,Backdoors!BI23=TRUE),VLOOKUP(Calculator!E23,tbSkills!DH3:DJ6,3,FALSE),0),0)))/100)),1))*IF(VLOOKUP(A32,tbMoveset!A2:K112,11,FALSE)=TRUE,Backdoors!AC5,1))*EM32,0),"")</f>
        <v>0</v>
      </c>
      <c r="EQ32" s="49">
        <f>VLOOKUP(A32,tbMoveset!A2:G112,7,FALSE)*IFERROR(IF(Backdoors!AI12&gt;=0,1+(IF(Calculator!E40&gt;0,VLOOKUP(Calculator!E40,tbSkills!AI3:AJ5,2,FALSE),Backdoors!AL4)*(IF((Backdoors!AI12+IF(EL32&gt;=0.45,VLOOKUP(Calculator!E23,tbSkills!DH3:DI6,2,FALSE)+IF(AND(Calculator!B8=TRUE,Backdoors!BI23=TRUE),VLOOKUP(Calculator!E23,tbSkills!DH3:DJ6,3,FALSE),0),0))&gt;=100,100,(Backdoors!AI12+IF(EL32&gt;=0.45,VLOOKUP(Calculator!E23,tbSkills!DH3:DI6,2,FALSE)+IF(AND(Calculator!B8=TRUE,Backdoors!BI23=TRUE),VLOOKUP(Calculator!E23,tbSkills!DH3:DJ6,3,FALSE),0),0)))/100)),1),1)</f>
        <v>0.6</v>
      </c>
      <c r="ER32" s="87">
        <f t="shared" si="13"/>
        <v>0</v>
      </c>
      <c r="ES32" s="86" t="str">
        <f>IFERROR(IF(VLOOKUP(A32,tbMoveset!A2:B112,2,FALSE)="Sever",Backdoors!AY24/100,IF(VLOOKUP(A32,tbMoveset!A2:B112,2,FALSE)="Blunt",Backdoors!AZ24/100,Backdoors!BA24/100)),"")</f>
        <v/>
      </c>
      <c r="ET32" s="49">
        <f>IFERROR(IF(VLOOKUP(tbMoveset!A32,tbMoveset!A2:H112,8,FALSE)="Other",IF(VLOOKUP(tbMoveset!A32,tbMoveset!A2:I112,9,FALSE)="Fire",Backdoors!BB24,IF(VLOOKUP(tbMoveset!A32,tbMoveset!A2:I112,9,FALSE)="Water",Backdoors!BC24,IF(VLOOKUP(tbMoveset!A32,tbMoveset!A2:I112,9,FALSE)="Thunder",Backdoors!BD24,IF(VLOOKUP(tbMoveset!A32,tbMoveset!A2:I112,9,FALSE)="Ice",Backdoors!BE24,IF(VLOOKUP(tbMoveset!A32,tbMoveset!A2:I112,9,FALSE)="Dragon",Backdoors!BF24,Backdoors!BG24)))))/100,Backdoors!BG24/100),"")</f>
        <v>0</v>
      </c>
      <c r="EU32" s="49">
        <f>IFERROR(IF(VLOOKUP(A32,tbMoveset!A2:J112,10,FALSE)=TRUE,IF((Backdoors!AI12+IF(ES32&gt;=0.45,VLOOKUP(Calculator!E23,tbSkills!DH3:DI6,2,FALSE)+IF(AND(Calculator!B8=TRUE,Backdoors!BI24=TRUE),VLOOKUP(Calculator!E23,tbSkills!DH3:DJ6,3,FALSE),0),0))&gt;=0,1+(Backdoors!AL2*(IF((Backdoors!AI12+IF(ES32&gt;=0.45,VLOOKUP(Calculator!E23,tbSkills!DH3:DI6,2,FALSE)+IF(AND(Calculator!B8=TRUE,Backdoors!BI24=TRUE),VLOOKUP(Calculator!E23,tbSkills!DH3:DJ6,3,FALSE),0),0))&gt;=100,100,(Backdoors!AI12+IF(ES32&gt;=0.45,VLOOKUP(Calculator!E23,tbSkills!DH3:DI6,2,FALSE)+IF(AND(Calculator!B8=TRUE,Backdoors!BI24=TRUE),VLOOKUP(Calculator!E23,tbSkills!DH3:DJ6,3,FALSE),0),0)))/100)),(1-(0.25*((-Backdoors!AI12-IF(ES32&gt;=0.45,VLOOKUP(Calculator!E23,tbSkills!DH3:DI6,2,FALSE)+IF(AND(Calculator!B8=TRUE,Backdoors!BI24=TRUE),VLOOKUP(Calculator!E23,tbSkills!DH3:DJ6,3,FALSE),0),0))/100)))),1),"")</f>
        <v>1</v>
      </c>
      <c r="EV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S32)*EU32)*(VLOOKUP(A32,tbMoveset!A2:C112,3,FALSE)/100)*IF(VLOOKUP(A32,tbMoveset!A2:B112,2,FALSE)="Projectile",Backdoors!N10,Backdoors!N9),0),"")</f>
        <v/>
      </c>
      <c r="EW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S32&gt;=0.45,VLOOKUP(Calculator!E23,tbSkills!DH3:DI6,2,FALSE)+IF(AND(Calculator!B8=TRUE,Backdoors!BI24=TRUE),VLOOKUP(Calculator!E23,tbSkills!DH3:DJ6,3,FALSE),0),0))&gt;=100,100,(Backdoors!AI12+IF(ES32&gt;=0.45,VLOOKUP(Calculator!E23,tbSkills!DH3:DI6,2,FALSE)+IF(AND(Calculator!B8=TRUE,Backdoors!BI24=TRUE),VLOOKUP(Calculator!E23,tbSkills!DH3:DJ6,3,FALSE),0),0)))/100)),1))*IF(VLOOKUP(A32,tbMoveset!A2:K112,11,FALSE)=TRUE,Backdoors!AC5,1))*ET32,0),"")</f>
        <v>0</v>
      </c>
      <c r="EX32" s="49">
        <f>VLOOKUP(A32,tbMoveset!A2:G112,7,FALSE)*IFERROR(IF(Backdoors!AI12&gt;=0,1+(IF(Calculator!E40&gt;0,VLOOKUP(Calculator!E40,tbSkills!AI3:AJ5,2,FALSE),Backdoors!AL4)*(IF((Backdoors!AI12+IF(ES32&gt;=0.45,VLOOKUP(Calculator!E23,tbSkills!DH3:DI6,2,FALSE)+IF(AND(Calculator!B8=TRUE,Backdoors!BI24=TRUE),VLOOKUP(Calculator!E23,tbSkills!DH3:DJ6,3,FALSE),0),0))&gt;=100,100,(Backdoors!AI12+IF(ES32&gt;=0.45,VLOOKUP(Calculator!E23,tbSkills!DH3:DI6,2,FALSE)+IF(AND(Calculator!B8=TRUE,Backdoors!BI24=TRUE),VLOOKUP(Calculator!E23,tbSkills!DH3:DJ6,3,FALSE),0),0)))/100)),1),1)</f>
        <v>0.6</v>
      </c>
      <c r="EY32" s="87">
        <f t="shared" si="14"/>
        <v>0</v>
      </c>
      <c r="EZ32" s="86" t="str">
        <f>IFERROR(IF(VLOOKUP(A32,tbMoveset!A2:B112,2,FALSE)="Sever",Backdoors!AY25/100,IF(VLOOKUP(A32,tbMoveset!A2:B112,2,FALSE)="Blunt",Backdoors!AZ25/100,Backdoors!BA25/100)),"")</f>
        <v/>
      </c>
      <c r="FA32" s="49">
        <f>IFERROR(IF(VLOOKUP(tbMoveset!A32,tbMoveset!A2:H112,8,FALSE)="Other",IF(VLOOKUP(tbMoveset!A32,tbMoveset!A2:I112,9,FALSE)="Fire",Backdoors!BB25,IF(VLOOKUP(tbMoveset!A32,tbMoveset!A2:I112,9,FALSE)="Water",Backdoors!BC25,IF(VLOOKUP(tbMoveset!A32,tbMoveset!A2:I112,9,FALSE)="Thunder",Backdoors!BD25,IF(VLOOKUP(tbMoveset!A32,tbMoveset!A2:I112,9,FALSE)="Ice",Backdoors!BE25,IF(VLOOKUP(tbMoveset!A32,tbMoveset!A2:I112,9,FALSE)="Dragon",Backdoors!BF25,Backdoors!BG25)))))/100,Backdoors!BG25/100),"")</f>
        <v>0</v>
      </c>
      <c r="FB32" s="49">
        <f>IFERROR(IF(VLOOKUP(A32,tbMoveset!A2:J112,10,FALSE)=TRUE,IF((Backdoors!AI12+IF(EZ32&gt;=0.45,VLOOKUP(Calculator!E23,tbSkills!DH3:DI6,2,FALSE)+IF(AND(Calculator!B8=TRUE,Backdoors!BI25=TRUE),VLOOKUP(Calculator!E23,tbSkills!DH3:DJ6,3,FALSE),0),0))&gt;=0,1+(Backdoors!AL2*(IF((Backdoors!AI12+IF(EZ32&gt;=0.45,VLOOKUP(Calculator!E23,tbSkills!DH3:DI6,2,FALSE)+IF(AND(Calculator!B8=TRUE,Backdoors!BI25=TRUE),VLOOKUP(Calculator!E23,tbSkills!DH3:DJ6,3,FALSE),0),0))&gt;=100,100,(Backdoors!AI12+IF(EZ32&gt;=0.45,VLOOKUP(Calculator!E23,tbSkills!DH3:DI6,2,FALSE)+IF(AND(Calculator!B8=TRUE,Backdoors!BI25=TRUE),VLOOKUP(Calculator!E23,tbSkills!DH3:DJ6,3,FALSE),0),0)))/100)),(1-(0.25*((-Backdoors!AI12-IF(EZ32&gt;=0.45,VLOOKUP(Calculator!E23,tbSkills!DH3:DI6,2,FALSE)+IF(AND(Calculator!B8=TRUE,Backdoors!BI25=TRUE),VLOOKUP(Calculator!E23,tbSkills!DH3:DJ6,3,FALSE),0),0))/100)))),1),"")</f>
        <v>1</v>
      </c>
      <c r="FC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Z32)*FB32)*(VLOOKUP(A32,tbMoveset!A2:C112,3,FALSE)/100)*IF(VLOOKUP(A32,tbMoveset!A2:B112,2,FALSE)="Projectile",Backdoors!N10,Backdoors!N9),0),"")</f>
        <v/>
      </c>
      <c r="FD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Z32&gt;=0.45,VLOOKUP(Calculator!E23,tbSkills!DH3:DI6,2,FALSE)+IF(AND(Calculator!B8=TRUE,Backdoors!BI25=TRUE),VLOOKUP(Calculator!E23,tbSkills!DH3:DJ6,3,FALSE),0),0))&gt;=100,100,(Backdoors!AI12+IF(EZ32&gt;=0.45,VLOOKUP(Calculator!E23,tbSkills!DH3:DI6,2,FALSE)+IF(AND(Calculator!B8=TRUE,Backdoors!BI25=TRUE),VLOOKUP(Calculator!E23,tbSkills!DH3:DJ6,3,FALSE),0),0)))/100)),1))*IF(VLOOKUP(A32,tbMoveset!A2:K112,11,FALSE)=TRUE,Backdoors!AC5,1))*FA32,0),"")</f>
        <v>0</v>
      </c>
      <c r="FE32" s="49">
        <f>VLOOKUP(A32,tbMoveset!A2:G112,7,FALSE)*IFERROR(IF(Backdoors!AI12&gt;=0,1+(IF(Calculator!E40&gt;0,VLOOKUP(Calculator!E40,tbSkills!AI3:AJ5,2,FALSE),Backdoors!AL4)*(IF((Backdoors!AI12+IF(EZ32&gt;=0.45,VLOOKUP(Calculator!E23,tbSkills!DH3:DI6,2,FALSE)+IF(AND(Calculator!B8=TRUE,Backdoors!BI25=TRUE),VLOOKUP(Calculator!E23,tbSkills!DH3:DJ6,3,FALSE),0),0))&gt;=100,100,(Backdoors!AI12+IF(EZ32&gt;=0.45,VLOOKUP(Calculator!E23,tbSkills!DH3:DI6,2,FALSE)+IF(AND(Calculator!B8=TRUE,Backdoors!BI25=TRUE),VLOOKUP(Calculator!E23,tbSkills!DH3:DJ6,3,FALSE),0),0)))/100)),1),1)</f>
        <v>0.6</v>
      </c>
      <c r="FF32" s="87">
        <f t="shared" si="15"/>
        <v>0</v>
      </c>
      <c r="FG32" s="86" t="str">
        <f>IFERROR(IF(VLOOKUP(A32,tbMoveset!A2:B112,2,FALSE)="Sever",Backdoors!AY26/100,IF(VLOOKUP(A32,tbMoveset!A2:B112,2,FALSE)="Blunt",Backdoors!AZ26/100,Backdoors!BA26/100)),"")</f>
        <v/>
      </c>
      <c r="FH32" s="49">
        <f>IFERROR(IF(VLOOKUP(tbMoveset!A32,tbMoveset!A2:H112,8,FALSE)="Other",IF(VLOOKUP(tbMoveset!A32,tbMoveset!A2:I112,9,FALSE)="Fire",Backdoors!BB26,IF(VLOOKUP(tbMoveset!A32,tbMoveset!A2:I112,9,FALSE)="Water",Backdoors!BC26,IF(VLOOKUP(tbMoveset!A32,tbMoveset!A2:I112,9,FALSE)="Thunder",Backdoors!BD26,IF(VLOOKUP(tbMoveset!A32,tbMoveset!A2:I112,9,FALSE)="Ice",Backdoors!BE26,IF(VLOOKUP(tbMoveset!A32,tbMoveset!A2:I112,9,FALSE)="Dragon",Backdoors!BF26,Backdoors!BG26)))))/100,Backdoors!BG26/100),"")</f>
        <v>0</v>
      </c>
      <c r="FI32" s="49">
        <f>IFERROR(IF(VLOOKUP(A32,tbMoveset!A2:J112,10,FALSE)=TRUE,IF((Backdoors!AI12+IF(FG32&gt;=0.45,VLOOKUP(Calculator!E23,tbSkills!DH3:DI6,2,FALSE)+IF(AND(Calculator!B8=TRUE,Backdoors!BI26=TRUE),VLOOKUP(Calculator!E23,tbSkills!DH3:DJ6,3,FALSE),0),0))&gt;=0,1+(Backdoors!AL2*(IF((Backdoors!AI12+IF(FG32&gt;=0.45,VLOOKUP(Calculator!E23,tbSkills!DH3:DI6,2,FALSE)+IF(AND(Calculator!B8=TRUE,Backdoors!BI26=TRUE),VLOOKUP(Calculator!E23,tbSkills!DH3:DJ6,3,FALSE),0),0))&gt;=100,100,(Backdoors!AI12+IF(FG32&gt;=0.45,VLOOKUP(Calculator!E23,tbSkills!DH3:DI6,2,FALSE)+IF(AND(Calculator!B8=TRUE,Backdoors!BI26=TRUE),VLOOKUP(Calculator!E23,tbSkills!DH3:DJ6,3,FALSE),0),0)))/100)),(1-(0.25*((-Backdoors!AI12-IF(FG32&gt;=0.45,VLOOKUP(Calculator!E23,tbSkills!DH3:DI6,2,FALSE)+IF(AND(Calculator!B8=TRUE,Backdoors!BI26=TRUE),VLOOKUP(Calculator!E23,tbSkills!DH3:DJ6,3,FALSE),0),0))/100)))),1),"")</f>
        <v>1</v>
      </c>
      <c r="FJ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FG32)*FI32)*(VLOOKUP(A32,tbMoveset!A2:C112,3,FALSE)/100)*IF(VLOOKUP(A32,tbMoveset!A2:B112,2,FALSE)="Projectile",Backdoors!N10,Backdoors!N9),0),"")</f>
        <v/>
      </c>
      <c r="FK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FG32&gt;=0.45,VLOOKUP(Calculator!E23,tbSkills!DH3:DI6,2,FALSE)+IF(AND(Calculator!B8=TRUE,Backdoors!BI26=TRUE),VLOOKUP(Calculator!E23,tbSkills!DH3:DJ6,3,FALSE),0),0))&gt;=100,100,(Backdoors!AI12+IF(FG32&gt;=0.45,VLOOKUP(Calculator!E23,tbSkills!DH3:DI6,2,FALSE)+IF(AND(Calculator!B8=TRUE,Backdoors!BI26=TRUE),VLOOKUP(Calculator!E23,tbSkills!DH3:DJ6,3,FALSE),0),0)))/100)),1))*IF(VLOOKUP(A32,tbMoveset!A2:K112,11,FALSE)=TRUE,Backdoors!AC5,1))*FH32,0),"")</f>
        <v>0</v>
      </c>
      <c r="FL32" s="49">
        <f>VLOOKUP(A32,tbMoveset!A2:G112,7,FALSE)*IFERROR(IF(Backdoors!AI12&gt;=0,1+(IF(Calculator!E40&gt;0,VLOOKUP(Calculator!E40,tbSkills!AI3:AJ5,2,FALSE),Backdoors!AL4)*(IF((Backdoors!AI12+IF(FG32&gt;=0.45,VLOOKUP(Calculator!E23,tbSkills!DH3:DI6,2,FALSE)+IF(AND(Calculator!B8=TRUE,Backdoors!BI26=TRUE),VLOOKUP(Calculator!E23,tbSkills!DH3:DJ6,3,FALSE),0),0))&gt;=100,100,(Backdoors!AI12+IF(FG32&gt;=0.45,VLOOKUP(Calculator!E23,tbSkills!DH3:DI6,2,FALSE)+IF(AND(Calculator!B8=TRUE,Backdoors!BI26=TRUE),VLOOKUP(Calculator!E23,tbSkills!DH3:DJ6,3,FALSE),0),0)))/100)),1),1)</f>
        <v>0.6</v>
      </c>
      <c r="FM32" s="87">
        <f t="shared" si="16"/>
        <v>0</v>
      </c>
      <c r="FN32" s="86" t="str">
        <f>IFERROR(IF(VLOOKUP(A32,tbMoveset!A2:B112,2,FALSE)="Sever",Backdoors!AY27/100,IF(VLOOKUP(A32,tbMoveset!A2:B112,2,FALSE)="Blunt",Backdoors!AZ27/100,Backdoors!BA27/100)),"")</f>
        <v/>
      </c>
      <c r="FO32" s="49">
        <f>IFERROR(IF(VLOOKUP(tbMoveset!A32,tbMoveset!A2:H112,8,FALSE)="Other",IF(VLOOKUP(tbMoveset!A32,tbMoveset!A2:I112,9,FALSE)="Fire",Backdoors!BB27,IF(VLOOKUP(tbMoveset!A32,tbMoveset!A2:I112,9,FALSE)="Water",Backdoors!BC27,IF(VLOOKUP(tbMoveset!A32,tbMoveset!A2:I112,9,FALSE)="Thunder",Backdoors!BD27,IF(VLOOKUP(tbMoveset!A32,tbMoveset!A2:I112,9,FALSE)="Ice",Backdoors!BE27,IF(VLOOKUP(tbMoveset!A32,tbMoveset!A2:I112,9,FALSE)="Dragon",Backdoors!BF27,Backdoors!BG27)))))/100,Backdoors!BG27/100),"")</f>
        <v>0</v>
      </c>
      <c r="FP32" s="49">
        <f>IFERROR(IF(VLOOKUP(A32,tbMoveset!A2:J112,10,FALSE)=TRUE,IF((Backdoors!AI12+IF(FN32&gt;=0.45,VLOOKUP(Calculator!E23,tbSkills!DH3:DI6,2,FALSE)+IF(AND(Calculator!B8=TRUE,Backdoors!BI27=TRUE),VLOOKUP(Calculator!E23,tbSkills!DH3:DJ6,3,FALSE),0),0))&gt;=0,1+(Backdoors!AL2*(IF((Backdoors!AI12+IF(FN32&gt;=0.45,VLOOKUP(Calculator!E23,tbSkills!DH3:DI6,2,FALSE)+IF(AND(Calculator!B8=TRUE,Backdoors!BI27=TRUE),VLOOKUP(Calculator!E23,tbSkills!DH3:DJ6,3,FALSE),0),0))&gt;=100,100,(Backdoors!AI12+IF(FN32&gt;=0.45,VLOOKUP(Calculator!E23,tbSkills!DH3:DI6,2,FALSE)+IF(AND(Calculator!B8=TRUE,Backdoors!BI27=TRUE),VLOOKUP(Calculator!E23,tbSkills!DH3:DJ6,3,FALSE),0),0)))/100)),(1-(0.25*((-Backdoors!AI12-IF(FN32&gt;=0.45,VLOOKUP(Calculator!E23,tbSkills!DH3:DI6,2,FALSE)+IF(AND(Calculator!B8=TRUE,Backdoors!BI27=TRUE),VLOOKUP(Calculator!E23,tbSkills!DH3:DJ6,3,FALSE),0),0))/100)))),1),"")</f>
        <v>1</v>
      </c>
      <c r="FQ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FN32)*FP32)*(VLOOKUP(A32,tbMoveset!A2:C112,3,FALSE)/100)*IF(VLOOKUP(A32,tbMoveset!A2:B112,2,FALSE)="Projectile",Backdoors!N10,Backdoors!N9),0),"")</f>
        <v/>
      </c>
      <c r="FR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FN32&gt;=0.45,VLOOKUP(Calculator!E23,tbSkills!DH3:DI6,2,FALSE)+IF(AND(Calculator!B8=TRUE,Backdoors!BI27=TRUE),VLOOKUP(Calculator!E23,tbSkills!DH3:DJ6,3,FALSE),0),0))&gt;=100,100,(Backdoors!AI12+IF(FN32&gt;=0.45,VLOOKUP(Calculator!E23,tbSkills!DH3:DI6,2,FALSE)+IF(AND(Calculator!B8=TRUE,Backdoors!BI27=TRUE),VLOOKUP(Calculator!E23,tbSkills!DH3:DJ6,3,FALSE),0),0)))/100)),1))*IF(VLOOKUP(A32,tbMoveset!A2:K112,11,FALSE)=TRUE,Backdoors!AC5,1))*FO32,0),"")</f>
        <v>0</v>
      </c>
      <c r="FS32" s="49">
        <f>VLOOKUP(A32,tbMoveset!A2:G112,7,FALSE)*IFERROR(IF(Backdoors!AI12&gt;=0,1+(IF(Calculator!E40&gt;0,VLOOKUP(Calculator!E40,tbSkills!AI3:AJ5,2,FALSE),Backdoors!AL4)*(IF((Backdoors!AI12+IF(FN32&gt;=0.45,VLOOKUP(Calculator!E23,tbSkills!DH3:DI6,2,FALSE)+IF(AND(Calculator!B8=TRUE,Backdoors!BI27=TRUE),VLOOKUP(Calculator!E23,tbSkills!DH3:DJ6,3,FALSE),0),0))&gt;=100,100,(Backdoors!AI12+IF(FN32&gt;=0.45,VLOOKUP(Calculator!E23,tbSkills!DH3:DI6,2,FALSE)+IF(AND(Calculator!B8=TRUE,Backdoors!BI27=TRUE),VLOOKUP(Calculator!E23,tbSkills!DH3:DJ6,3,FALSE),0),0)))/100)),1),1)</f>
        <v>0.6</v>
      </c>
      <c r="FT32" s="87">
        <f t="shared" si="17"/>
        <v>0</v>
      </c>
      <c r="FU32" s="86" t="str">
        <f>IFERROR(IF(VLOOKUP(A32,tbMoveset!A2:B112,2,FALSE)="Sever",Backdoors!AY28/100,IF(VLOOKUP(A32,tbMoveset!A2:B112,2,FALSE)="Blunt",Backdoors!AZ28/100,Backdoors!BA28/100)),"")</f>
        <v/>
      </c>
      <c r="FV32" s="49">
        <f>IFERROR(IF(VLOOKUP(tbMoveset!A32,tbMoveset!A2:H112,8,FALSE)="Other",IF(VLOOKUP(tbMoveset!A32,tbMoveset!A2:I112,9,FALSE)="Fire",Backdoors!BB28,IF(VLOOKUP(tbMoveset!A32,tbMoveset!A2:I112,9,FALSE)="Water",Backdoors!BC28,IF(VLOOKUP(tbMoveset!A32,tbMoveset!A2:I112,9,FALSE)="Thunder",Backdoors!BD28,IF(VLOOKUP(tbMoveset!A32,tbMoveset!A2:I112,9,FALSE)="Ice",Backdoors!BE28,IF(VLOOKUP(tbMoveset!A32,tbMoveset!A2:I112,9,FALSE)="Dragon",Backdoors!BF28,Backdoors!BG28)))))/100,Backdoors!BG28/100),"")</f>
        <v>0</v>
      </c>
      <c r="FW32" s="49">
        <f>IFERROR(IF(VLOOKUP(A32,tbMoveset!A2:J112,10,FALSE)=TRUE,IF((Backdoors!AI12+IF(FU32&gt;=0.45,VLOOKUP(Calculator!E23,tbSkills!DH3:DI6,2,FALSE)+IF(AND(Calculator!B8=TRUE,Backdoors!BI28=TRUE),VLOOKUP(Calculator!E23,tbSkills!DH3:DJ6,3,FALSE),0),0))&gt;=0,1+(Backdoors!AL2*(IF((Backdoors!AI12+IF(FU32&gt;=0.45,VLOOKUP(Calculator!E23,tbSkills!DH3:DI6,2,FALSE)+IF(AND(Calculator!B8=TRUE,Backdoors!BI28=TRUE),VLOOKUP(Calculator!E23,tbSkills!DH3:DJ6,3,FALSE),0),0))&gt;=100,100,(Backdoors!AI12+IF(FU32&gt;=0.45,VLOOKUP(Calculator!E23,tbSkills!DH3:DI6,2,FALSE)+IF(AND(Calculator!B8=TRUE,Backdoors!BI28=TRUE),VLOOKUP(Calculator!E23,tbSkills!DH3:DJ6,3,FALSE),0),0)))/100)),(1-(0.25*((-Backdoors!AI12-IF(FU32&gt;=0.45,VLOOKUP(Calculator!E23,tbSkills!DH3:DI6,2,FALSE)+IF(AND(Calculator!B8=TRUE,Backdoors!BI28=TRUE),VLOOKUP(Calculator!E23,tbSkills!DH3:DJ6,3,FALSE),0),0))/100)))),1),"")</f>
        <v>1</v>
      </c>
      <c r="FX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FU32)*FW32)*(VLOOKUP(A32,tbMoveset!A2:C112,3,FALSE)/100)*IF(VLOOKUP(A32,tbMoveset!A2:B112,2,FALSE)="Projectile",Backdoors!N10,Backdoors!N9),0),"")</f>
        <v/>
      </c>
      <c r="FY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FU32&gt;=0.45,VLOOKUP(Calculator!E23,tbSkills!DH3:DI6,2,FALSE)+IF(AND(Calculator!B8=TRUE,Backdoors!BI28=TRUE),VLOOKUP(Calculator!E23,tbSkills!DH3:DJ6,3,FALSE),0),0))&gt;=100,100,(Backdoors!AI12+IF(FU32&gt;=0.45,VLOOKUP(Calculator!E23,tbSkills!DH3:DI6,2,FALSE)+IF(AND(Calculator!B8=TRUE,Backdoors!BI28=TRUE),VLOOKUP(Calculator!E23,tbSkills!DH3:DJ6,3,FALSE),0),0)))/100)),1))*IF(VLOOKUP(A32,tbMoveset!A2:K112,11,FALSE)=TRUE,Backdoors!AC5,1))*FV32,0),"")</f>
        <v>0</v>
      </c>
      <c r="FZ32" s="49">
        <f>VLOOKUP(A32,tbMoveset!A2:G112,7,FALSE)*IFERROR(IF(Backdoors!AI12&gt;=0,1+(IF(Calculator!E40&gt;0,VLOOKUP(Calculator!E40,tbSkills!AI3:AJ5,2,FALSE),Backdoors!AL4)*(IF((Backdoors!AI12+IF(FU32&gt;=0.45,VLOOKUP(Calculator!E23,tbSkills!DH3:DI6,2,FALSE)+IF(AND(Calculator!B8=TRUE,Backdoors!BI28=TRUE),VLOOKUP(Calculator!E23,tbSkills!DH3:DJ6,3,FALSE),0),0))&gt;=100,100,(Backdoors!AI12+IF(FU32&gt;=0.45,VLOOKUP(Calculator!E23,tbSkills!DH3:DI6,2,FALSE)+IF(AND(Calculator!B8=TRUE,Backdoors!BI28=TRUE),VLOOKUP(Calculator!E23,tbSkills!DH3:DJ6,3,FALSE),0),0)))/100)),1),1)</f>
        <v>0.6</v>
      </c>
      <c r="GA32" s="87">
        <f t="shared" si="18"/>
        <v>0</v>
      </c>
      <c r="GB32" s="86" t="str">
        <f>IFERROR(IF(VLOOKUP(A32,tbMoveset!A2:B112,2,FALSE)="Sever",Backdoors!AY29/100,IF(VLOOKUP(A32,tbMoveset!A2:B112,2,FALSE)="Blunt",Backdoors!AZ29/100,Backdoors!BA29/100)),"")</f>
        <v/>
      </c>
      <c r="GC32" s="49">
        <f>IFERROR(IF(VLOOKUP(tbMoveset!A32,tbMoveset!A2:H112,8,FALSE)="Other",IF(VLOOKUP(tbMoveset!A32,tbMoveset!A2:I112,9,FALSE)="Fire",Backdoors!BB29,IF(VLOOKUP(tbMoveset!A32,tbMoveset!A2:I112,9,FALSE)="Water",Backdoors!BC29,IF(VLOOKUP(tbMoveset!A32,tbMoveset!A2:I112,9,FALSE)="Thunder",Backdoors!BD29,IF(VLOOKUP(tbMoveset!A32,tbMoveset!A2:I112,9,FALSE)="Ice",Backdoors!BE29,IF(VLOOKUP(tbMoveset!A32,tbMoveset!A2:I112,9,FALSE)="Dragon",Backdoors!BF29,Backdoors!BG29)))))/100,Backdoors!BG29/100),"")</f>
        <v>0</v>
      </c>
      <c r="GD32" s="49">
        <f>IFERROR(IF(VLOOKUP(A32,tbMoveset!A2:J112,10,FALSE)=TRUE,IF((Backdoors!AI12+IF(GB32&gt;=0.45,VLOOKUP(Calculator!E23,tbSkills!DH3:DI6,2,FALSE)+IF(AND(Calculator!B8=TRUE,Backdoors!BI29=TRUE),VLOOKUP(Calculator!E23,tbSkills!DH3:DJ6,3,FALSE),0),0))&gt;=0,1+(Backdoors!AL2*(IF((Backdoors!AI12+IF(GB32&gt;=0.45,VLOOKUP(Calculator!E23,tbSkills!DH3:DI6,2,FALSE)+IF(AND(Calculator!B8=TRUE,Backdoors!BI29=TRUE),VLOOKUP(Calculator!E23,tbSkills!DH3:DJ6,3,FALSE),0),0))&gt;=100,100,(Backdoors!AI12+IF(GB32&gt;=0.45,VLOOKUP(Calculator!E23,tbSkills!DH3:DI6,2,FALSE)+IF(AND(Calculator!B8=TRUE,Backdoors!BI29=TRUE),VLOOKUP(Calculator!E23,tbSkills!DH3:DJ6,3,FALSE),0),0)))/100)),(1-(0.25*((-Backdoors!AI12-IF(GB32&gt;=0.45,VLOOKUP(Calculator!E23,tbSkills!DH3:DI6,2,FALSE)+IF(AND(Calculator!B8=TRUE,Backdoors!BI29=TRUE),VLOOKUP(Calculator!E23,tbSkills!DH3:DJ6,3,FALSE),0),0))/100)))),1),"")</f>
        <v>1</v>
      </c>
      <c r="GE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B32)*GD32)*(VLOOKUP(A32,tbMoveset!A2:C112,3,FALSE)/100)*IF(VLOOKUP(A32,tbMoveset!A2:B112,2,FALSE)="Projectile",Backdoors!N10,Backdoors!N9),0),"")</f>
        <v/>
      </c>
      <c r="GF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B32&gt;=0.45,VLOOKUP(Calculator!E23,tbSkills!DH3:DI6,2,FALSE)+IF(AND(Calculator!B8=TRUE,Backdoors!BI29=TRUE),VLOOKUP(Calculator!E23,tbSkills!DH3:DJ6,3,FALSE),0),0))&gt;=100,100,(Backdoors!AI12+IF(GB32&gt;=0.45,VLOOKUP(Calculator!E23,tbSkills!DH3:DI6,2,FALSE)+IF(AND(Calculator!B8=TRUE,Backdoors!BI29=TRUE),VLOOKUP(Calculator!E23,tbSkills!DH3:DJ6,3,FALSE),0),0)))/100)),1))*IF(VLOOKUP(A32,tbMoveset!A2:K112,11,FALSE)=TRUE,Backdoors!AC5,1))*GC32,0),"")</f>
        <v>0</v>
      </c>
      <c r="GG32" s="49">
        <f>VLOOKUP(A32,tbMoveset!A2:G112,7,FALSE)*IFERROR(IF(Backdoors!AI12&gt;=0,1+(IF(Calculator!E40&gt;0,VLOOKUP(Calculator!E40,tbSkills!AI3:AJ5,2,FALSE),Backdoors!AL4)*(IF((Backdoors!AI12+IF(GB32&gt;=0.45,VLOOKUP(Calculator!E23,tbSkills!DH3:DI6,2,FALSE)+IF(AND(Calculator!B8=TRUE,Backdoors!BI29=TRUE),VLOOKUP(Calculator!E23,tbSkills!DH3:DJ6,3,FALSE),0),0))&gt;=100,100,(Backdoors!AI12+IF(GB32&gt;=0.45,VLOOKUP(Calculator!E23,tbSkills!DH3:DI6,2,FALSE)+IF(AND(Calculator!B8=TRUE,Backdoors!BI29=TRUE),VLOOKUP(Calculator!E23,tbSkills!DH3:DJ6,3,FALSE),0),0)))/100)),1),1)</f>
        <v>0.6</v>
      </c>
      <c r="GH32" s="87">
        <f t="shared" si="19"/>
        <v>0</v>
      </c>
      <c r="GI32" s="86" t="str">
        <f>IFERROR(IF(VLOOKUP(A32,tbMoveset!A2:B112,2,FALSE)="Sever",Backdoors!AY30/100,IF(VLOOKUP(A32,tbMoveset!A2:B112,2,FALSE)="Blunt",Backdoors!AZ30/100,Backdoors!BA30/100)),"")</f>
        <v/>
      </c>
      <c r="GJ32" s="49">
        <f>IFERROR(IF(VLOOKUP(tbMoveset!A32,tbMoveset!A2:H112,8,FALSE)="Other",IF(VLOOKUP(tbMoveset!A32,tbMoveset!A2:I112,9,FALSE)="Fire",Backdoors!BB30,IF(VLOOKUP(tbMoveset!A32,tbMoveset!A2:I112,9,FALSE)="Water",Backdoors!BC30,IF(VLOOKUP(tbMoveset!A32,tbMoveset!A2:I112,9,FALSE)="Thunder",Backdoors!BD30,IF(VLOOKUP(tbMoveset!A32,tbMoveset!A2:I112,9,FALSE)="Ice",Backdoors!BE30,IF(VLOOKUP(tbMoveset!A32,tbMoveset!A2:I112,9,FALSE)="Dragon",Backdoors!BF30,Backdoors!BG30)))))/100,Backdoors!BG30/100),"")</f>
        <v>0</v>
      </c>
      <c r="GK32" s="49">
        <f>IFERROR(IF(VLOOKUP(A32,tbMoveset!A2:J112,10,FALSE)=TRUE,IF((Backdoors!AI12+IF(GI32&gt;=0.45,VLOOKUP(Calculator!E23,tbSkills!DH3:DI6,2,FALSE)+IF(AND(Calculator!B8=TRUE,Backdoors!BI30=TRUE),VLOOKUP(Calculator!E23,tbSkills!DH3:DJ6,3,FALSE),0),0))&gt;=0,1+(Backdoors!AL2*(IF((Backdoors!AI12+IF(GI32&gt;=0.45,VLOOKUP(Calculator!E23,tbSkills!DH3:DI6,2,FALSE)+IF(AND(Calculator!B8=TRUE,Backdoors!BI30=TRUE),VLOOKUP(Calculator!E23,tbSkills!DH3:DJ6,3,FALSE),0),0))&gt;=100,100,(Backdoors!AI12+IF(GI32&gt;=0.45,VLOOKUP(Calculator!E23,tbSkills!DH3:DI6,2,FALSE)+IF(AND(Calculator!B8=TRUE,Backdoors!BI30=TRUE),VLOOKUP(Calculator!E23,tbSkills!DH3:DJ6,3,FALSE),0),0)))/100)),(1-(0.25*((-Backdoors!AI12-IF(GI32&gt;=0.45,VLOOKUP(Calculator!E23,tbSkills!DH3:DI6,2,FALSE)+IF(AND(Calculator!B8=TRUE,Backdoors!BI30=TRUE),VLOOKUP(Calculator!E23,tbSkills!DH3:DJ6,3,FALSE),0),0))/100)))),1),"")</f>
        <v>1</v>
      </c>
      <c r="GL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I32)*GK32)*(VLOOKUP(A32,tbMoveset!A2:C112,3,FALSE)/100)*IF(VLOOKUP(A32,tbMoveset!A2:B112,2,FALSE)="Projectile",Backdoors!N10,Backdoors!N9),0),"")</f>
        <v/>
      </c>
      <c r="GM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I32&gt;=0.45,VLOOKUP(Calculator!E23,tbSkills!DH3:DI6,2,FALSE)+IF(AND(Calculator!B8=TRUE,Backdoors!BI30=TRUE),VLOOKUP(Calculator!E23,tbSkills!DH3:DJ6,3,FALSE),0),0))&gt;=100,100,(Backdoors!AI12+IF(GI32&gt;=0.45,VLOOKUP(Calculator!E23,tbSkills!DH3:DI6,2,FALSE)+IF(AND(Calculator!B8=TRUE,Backdoors!BI30=TRUE),VLOOKUP(Calculator!E23,tbSkills!DH3:DJ6,3,FALSE),0),0)))/100)),1))*IF(VLOOKUP(A32,tbMoveset!A2:K112,11,FALSE)=TRUE,Backdoors!AC5,1))*GJ32,0),"")</f>
        <v>0</v>
      </c>
      <c r="GN32" s="49">
        <f>VLOOKUP(A32,tbMoveset!A2:G112,7,FALSE)*IFERROR(IF(Backdoors!AI12&gt;=0,1+(IF(Calculator!E40&gt;0,VLOOKUP(Calculator!E40,tbSkills!AI3:AJ5,2,FALSE),Backdoors!AL4)*(IF((Backdoors!AI12+IF(GI32&gt;=0.45,VLOOKUP(Calculator!E23,tbSkills!DH3:DI6,2,FALSE)+IF(AND(Calculator!B8=TRUE,Backdoors!BI30=TRUE),VLOOKUP(Calculator!E23,tbSkills!DH3:DJ6,3,FALSE),0),0))&gt;=100,100,(Backdoors!AI12+IF(GI32&gt;=0.45,VLOOKUP(Calculator!E23,tbSkills!DH3:DI6,2,FALSE)+IF(AND(Calculator!B8=TRUE,Backdoors!BI30=TRUE),VLOOKUP(Calculator!E23,tbSkills!DH3:DJ6,3,FALSE),0),0)))/100)),1),1)</f>
        <v>0.6</v>
      </c>
      <c r="GO32" s="87">
        <f t="shared" si="20"/>
        <v>0</v>
      </c>
      <c r="GP32" s="86" t="str">
        <f>IFERROR(IF(VLOOKUP(A32,tbMoveset!A2:B112,2,FALSE)="Sever",Backdoors!AY31/100,IF(VLOOKUP(A32,tbMoveset!A2:B112,2,FALSE)="Blunt",Backdoors!AZ31/100,Backdoors!BA31/100)),"")</f>
        <v/>
      </c>
      <c r="GQ32" s="49">
        <f>IFERROR(IF(VLOOKUP(tbMoveset!A32,tbMoveset!A2:H112,8,FALSE)="Other",IF(VLOOKUP(tbMoveset!A32,tbMoveset!A2:I112,9,FALSE)="Fire",Backdoors!BB31,IF(VLOOKUP(tbMoveset!A32,tbMoveset!A2:I112,9,FALSE)="Water",Backdoors!BC31,IF(VLOOKUP(tbMoveset!A32,tbMoveset!A2:I112,9,FALSE)="Thunder",Backdoors!BD31,IF(VLOOKUP(tbMoveset!A32,tbMoveset!A2:I112,9,FALSE)="Ice",Backdoors!BE31,IF(VLOOKUP(tbMoveset!A32,tbMoveset!A2:I112,9,FALSE)="Dragon",Backdoors!BF31,Backdoors!BG31)))))/100,Backdoors!BG31/100),"")</f>
        <v>0</v>
      </c>
      <c r="GR32" s="49">
        <f>IFERROR(IF(VLOOKUP(A32,tbMoveset!A2:J112,10,FALSE)=TRUE,IF((Backdoors!AI12+IF(GP32&gt;=0.45,VLOOKUP(Calculator!E23,tbSkills!DH3:DI6,2,FALSE)+IF(AND(Calculator!B8=TRUE,Backdoors!BI31=TRUE),VLOOKUP(Calculator!E23,tbSkills!DH3:DJ6,3,FALSE),0),0))&gt;=0,1+(Backdoors!AL2*(IF((Backdoors!AI12+IF(GP32&gt;=0.45,VLOOKUP(Calculator!E23,tbSkills!DH3:DI6,2,FALSE)+IF(AND(Calculator!B8=TRUE,Backdoors!BI31=TRUE),VLOOKUP(Calculator!E23,tbSkills!DH3:DJ6,3,FALSE),0),0))&gt;=100,100,(Backdoors!AI12+IF(GP32&gt;=0.45,VLOOKUP(Calculator!E23,tbSkills!DH3:DI6,2,FALSE)+IF(AND(Calculator!B8=TRUE,Backdoors!BI31=TRUE),VLOOKUP(Calculator!E23,tbSkills!DH3:DJ6,3,FALSE),0),0)))/100)),(1-(0.25*((-Backdoors!AI12-IF(GP32&gt;=0.45,VLOOKUP(Calculator!E23,tbSkills!DH3:DI6,2,FALSE)+IF(AND(Calculator!B8=TRUE,Backdoors!BI31=TRUE),VLOOKUP(Calculator!E23,tbSkills!DH3:DJ6,3,FALSE),0),0))/100)))),1),"")</f>
        <v>1</v>
      </c>
      <c r="GS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P32)*GR32)*(VLOOKUP(A32,tbMoveset!A2:C112,3,FALSE)/100)*IF(VLOOKUP(A32,tbMoveset!A2:B112,2,FALSE)="Projectile",Backdoors!N10,Backdoors!N9),0),"")</f>
        <v/>
      </c>
      <c r="GT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P32&gt;=0.45,VLOOKUP(Calculator!E23,tbSkills!DH3:DI6,2,FALSE)+IF(AND(Calculator!B8=TRUE,Backdoors!BI31=TRUE),VLOOKUP(Calculator!E23,tbSkills!DH3:DJ6,3,FALSE),0),0))&gt;=100,100,(Backdoors!AI12+IF(GP32&gt;=0.45,VLOOKUP(Calculator!E23,tbSkills!DH3:DI6,2,FALSE)+IF(AND(Calculator!B8=TRUE,Backdoors!BI31=TRUE),VLOOKUP(Calculator!E23,tbSkills!DH3:DJ6,3,FALSE),0),0)))/100)),1))*IF(VLOOKUP(A32,tbMoveset!A2:K112,11,FALSE)=TRUE,Backdoors!AC5,1))*GQ32,0),"")</f>
        <v>0</v>
      </c>
      <c r="GU32" s="49">
        <f>VLOOKUP(A32,tbMoveset!A2:G112,7,FALSE)*IFERROR(IF(Backdoors!AI12&gt;=0,1+(IF(Calculator!E40&gt;0,VLOOKUP(Calculator!E40,tbSkills!AI3:AJ5,2,FALSE),Backdoors!AL4)*(IF((Backdoors!AI12+IF(GP32&gt;=0.45,VLOOKUP(Calculator!E23,tbSkills!DH3:DI6,2,FALSE)+IF(AND(Calculator!B8=TRUE,Backdoors!BI31=TRUE),VLOOKUP(Calculator!E23,tbSkills!DH3:DJ6,3,FALSE),0),0))&gt;=100,100,(Backdoors!AI12+IF(GP32&gt;=0.45,VLOOKUP(Calculator!E23,tbSkills!DH3:DI6,2,FALSE)+IF(AND(Calculator!B8=TRUE,Backdoors!BI31=TRUE),VLOOKUP(Calculator!E23,tbSkills!DH3:DJ6,3,FALSE),0),0)))/100)),1),1)</f>
        <v>0.6</v>
      </c>
      <c r="GV32" s="87">
        <f t="shared" si="21"/>
        <v>0</v>
      </c>
      <c r="GW32" s="86" t="str">
        <f>IFERROR(IF(VLOOKUP(A32,tbMoveset!A2:B112,2,FALSE)="Sever",Backdoors!AY32/100,IF(VLOOKUP(A32,tbMoveset!A2:B112,2,FALSE)="Blunt",Backdoors!AZ32/100,Backdoors!BA32/100)),"")</f>
        <v/>
      </c>
      <c r="GX32" s="49">
        <f>IFERROR(IF(VLOOKUP(tbMoveset!A32,tbMoveset!A2:H112,8,FALSE)="Other",IF(VLOOKUP(tbMoveset!A32,tbMoveset!A2:I112,9,FALSE)="Fire",Backdoors!BB32,IF(VLOOKUP(tbMoveset!A32,tbMoveset!A2:I112,9,FALSE)="Water",Backdoors!BC32,IF(VLOOKUP(tbMoveset!A32,tbMoveset!A2:I112,9,FALSE)="Thunder",Backdoors!BD32,IF(VLOOKUP(tbMoveset!A32,tbMoveset!A2:I112,9,FALSE)="Ice",Backdoors!BE32,IF(VLOOKUP(tbMoveset!A32,tbMoveset!A2:I112,9,FALSE)="Dragon",Backdoors!BF32,Backdoors!BG32)))))/100,Backdoors!BG32/100),"")</f>
        <v>0</v>
      </c>
      <c r="GY32" s="49">
        <f>IFERROR(IF(VLOOKUP(A32,tbMoveset!A2:J112,10,FALSE)=TRUE,IF((Backdoors!AI12+IF(GW32&gt;=0.45,VLOOKUP(Calculator!E23,tbSkills!DH3:DI6,2,FALSE)+IF(AND(Calculator!B8=TRUE,Backdoors!BI32=TRUE),VLOOKUP(Calculator!E23,tbSkills!DH3:DJ6,3,FALSE),0),0))&gt;=0,1+(Backdoors!AL2*(IF((Backdoors!AI12+IF(GW32&gt;=0.45,VLOOKUP(Calculator!E23,tbSkills!DH3:DI6,2,FALSE)+IF(AND(Calculator!B8=TRUE,Backdoors!BI32=TRUE),VLOOKUP(Calculator!E23,tbSkills!DH3:DJ6,3,FALSE),0),0))&gt;=100,100,(Backdoors!AI12+IF(GW32&gt;=0.45,VLOOKUP(Calculator!E23,tbSkills!DH3:DI6,2,FALSE)+IF(AND(Calculator!B8=TRUE,Backdoors!BI32=TRUE),VLOOKUP(Calculator!E23,tbSkills!DH3:DJ6,3,FALSE),0),0)))/100)),(1-(0.25*((-Backdoors!AI12-IF(GW32&gt;=0.45,VLOOKUP(Calculator!E23,tbSkills!DH3:DI6,2,FALSE)+IF(AND(Calculator!B8=TRUE,Backdoors!BI32=TRUE),VLOOKUP(Calculator!E23,tbSkills!DH3:DJ6,3,FALSE),0),0))/100)))),1),"")</f>
        <v>1</v>
      </c>
      <c r="GZ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W32)*GY32)*(VLOOKUP(A32,tbMoveset!A2:C112,3,FALSE)/100)*IF(VLOOKUP(A32,tbMoveset!A2:B112,2,FALSE)="Projectile",Backdoors!N10,Backdoors!N9),0),"")</f>
        <v/>
      </c>
      <c r="HA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W32&gt;=0.45,VLOOKUP(Calculator!E23,tbSkills!DH3:DI6,2,FALSE)+IF(AND(Calculator!B8=TRUE,Backdoors!BI32=TRUE),VLOOKUP(Calculator!E23,tbSkills!DH3:DJ6,3,FALSE),0),0))&gt;=100,100,(Backdoors!AI12+IF(GW32&gt;=0.45,VLOOKUP(Calculator!E23,tbSkills!DH3:DI6,2,FALSE)+IF(AND(Calculator!B8=TRUE,Backdoors!BI32=TRUE),VLOOKUP(Calculator!E23,tbSkills!DH3:DJ6,3,FALSE),0),0)))/100)),1))*IF(VLOOKUP(A32,tbMoveset!A2:K112,11,FALSE)=TRUE,Backdoors!AC5,1))*GX32,0),"")</f>
        <v>0</v>
      </c>
      <c r="HB32" s="49">
        <f>VLOOKUP(A32,tbMoveset!A2:G112,7,FALSE)*IFERROR(IF(Backdoors!AI12&gt;=0,1+(IF(Calculator!E40&gt;0,VLOOKUP(Calculator!E40,tbSkills!AI3:AJ5,2,FALSE),Backdoors!AL4)*(IF((Backdoors!AI12+IF(GW32&gt;=0.45,VLOOKUP(Calculator!E23,tbSkills!DH3:DI6,2,FALSE)+IF(AND(Calculator!B8=TRUE,Backdoors!BI32=TRUE),VLOOKUP(Calculator!E23,tbSkills!DH3:DJ6,3,FALSE),0),0))&gt;=100,100,(Backdoors!AI12+IF(GW32&gt;=0.45,VLOOKUP(Calculator!E23,tbSkills!DH3:DI6,2,FALSE)+IF(AND(Calculator!B8=TRUE,Backdoors!BI32=TRUE),VLOOKUP(Calculator!E23,tbSkills!DH3:DJ6,3,FALSE),0),0)))/100)),1),1)</f>
        <v>0.6</v>
      </c>
      <c r="HC32" s="87">
        <f t="shared" si="22"/>
        <v>0</v>
      </c>
      <c r="HD32" s="86" t="str">
        <f>IFERROR(IF(VLOOKUP(A32,tbMoveset!A2:B112,2,FALSE)="Sever",Backdoors!AY33/100,IF(VLOOKUP(A32,tbMoveset!A2:B112,2,FALSE)="Blunt",Backdoors!AZ33/100,Backdoors!BA33/100)),"")</f>
        <v/>
      </c>
      <c r="HE32" s="49">
        <f>IFERROR(IF(VLOOKUP(tbMoveset!A32,tbMoveset!A2:H112,8,FALSE)="Other",IF(VLOOKUP(tbMoveset!A32,tbMoveset!A2:I112,9,FALSE)="Fire",Backdoors!BB33,IF(VLOOKUP(tbMoveset!A32,tbMoveset!A2:I112,9,FALSE)="Water",Backdoors!BC33,IF(VLOOKUP(tbMoveset!A32,tbMoveset!A2:I112,9,FALSE)="Thunder",Backdoors!BD33,IF(VLOOKUP(tbMoveset!A32,tbMoveset!A2:I112,9,FALSE)="Ice",Backdoors!BE33,IF(VLOOKUP(tbMoveset!A32,tbMoveset!A2:I112,9,FALSE)="Dragon",Backdoors!BF33,Backdoors!BG33)))))/100,Backdoors!BG33/100),"")</f>
        <v>0</v>
      </c>
      <c r="HF32" s="49">
        <f>IFERROR(IF(VLOOKUP(A32,tbMoveset!A2:J112,10,FALSE)=TRUE,IF((Backdoors!AI12+IF(HD32&gt;=0.45,VLOOKUP(Calculator!E23,tbSkills!DH3:DI6,2,FALSE)+IF(AND(Calculator!B8=TRUE,Backdoors!BI33=TRUE),VLOOKUP(Calculator!E23,tbSkills!DH3:DJ6,3,FALSE),0),0))&gt;=0,1+(Backdoors!AL2*(IF((Backdoors!AI12+IF(HD32&gt;=0.45,VLOOKUP(Calculator!E23,tbSkills!DH3:DI6,2,FALSE)+IF(AND(Calculator!B8=TRUE,Backdoors!BI33=TRUE),VLOOKUP(Calculator!E23,tbSkills!DH3:DJ6,3,FALSE),0),0))&gt;=100,100,(Backdoors!AI12+IF(HD32&gt;=0.45,VLOOKUP(Calculator!E23,tbSkills!DH3:DI6,2,FALSE)+IF(AND(Calculator!B8=TRUE,Backdoors!BI33=TRUE),VLOOKUP(Calculator!E23,tbSkills!DH3:DJ6,3,FALSE),0),0)))/100)),(1-(0.25*((-Backdoors!AI12-IF(HD32&gt;=0.45,VLOOKUP(Calculator!E23,tbSkills!DH3:DI6,2,FALSE)+IF(AND(Calculator!B8=TRUE,Backdoors!BI33=TRUE),VLOOKUP(Calculator!E23,tbSkills!DH3:DJ6,3,FALSE),0),0))/100)))),1),"")</f>
        <v>1</v>
      </c>
      <c r="HG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D32)*HF32)*(VLOOKUP(A32,tbMoveset!A2:C112,3,FALSE)/100)*IF(VLOOKUP(A32,tbMoveset!A2:B112,2,FALSE)="Projectile",Backdoors!N10,Backdoors!N9),0),"")</f>
        <v/>
      </c>
      <c r="HH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D32&gt;=0.45,VLOOKUP(Calculator!E23,tbSkills!DH3:DI6,2,FALSE)+IF(AND(Calculator!B8=TRUE,Backdoors!BI33=TRUE),VLOOKUP(Calculator!E23,tbSkills!DH3:DJ6,3,FALSE),0),0))&gt;=100,100,(Backdoors!AI12+IF(HD32&gt;=0.45,VLOOKUP(Calculator!E23,tbSkills!DH3:DI6,2,FALSE)+IF(AND(Calculator!B8=TRUE,Backdoors!BI33=TRUE),VLOOKUP(Calculator!E23,tbSkills!DH3:DJ6,3,FALSE),0),0)))/100)),1))*IF(VLOOKUP(A32,tbMoveset!A2:K112,11,FALSE)=TRUE,Backdoors!AC5,1))*HE32,0),"")</f>
        <v>0</v>
      </c>
      <c r="HI32" s="49">
        <f>VLOOKUP(A32,tbMoveset!A2:G112,7,FALSE)*IFERROR(IF(Backdoors!AI12&gt;=0,1+(IF(Calculator!E40&gt;0,VLOOKUP(Calculator!E40,tbSkills!AI3:AJ5,2,FALSE),Backdoors!AL4)*(IF((Backdoors!AI12+IF(HD32&gt;=0.45,VLOOKUP(Calculator!E23,tbSkills!DH3:DI6,2,FALSE)+IF(AND(Calculator!B8=TRUE,Backdoors!BI33=TRUE),VLOOKUP(Calculator!E23,tbSkills!DH3:DJ6,3,FALSE),0),0))&gt;=100,100,(Backdoors!AI12+IF(HD32&gt;=0.45,VLOOKUP(Calculator!E23,tbSkills!DH3:DI6,2,FALSE)+IF(AND(Calculator!B8=TRUE,Backdoors!BI33=TRUE),VLOOKUP(Calculator!E23,tbSkills!DH3:DJ6,3,FALSE),0),0)))/100)),1),1)</f>
        <v>0.6</v>
      </c>
      <c r="HJ32" s="87">
        <f t="shared" si="23"/>
        <v>0</v>
      </c>
      <c r="HK32" s="86" t="str">
        <f>IFERROR(IF(VLOOKUP(A32,tbMoveset!A2:B112,2,FALSE)="Sever",Backdoors!AY34/100,IF(VLOOKUP(A32,tbMoveset!A2:B112,2,FALSE)="Blunt",Backdoors!AZ34/100,Backdoors!BA34/100)),"")</f>
        <v/>
      </c>
      <c r="HL32" s="49">
        <f>IFERROR(IF(VLOOKUP(tbMoveset!A32,tbMoveset!A2:H112,8,FALSE)="Other",IF(VLOOKUP(tbMoveset!A32,tbMoveset!A2:I112,9,FALSE)="Fire",Backdoors!BB34,IF(VLOOKUP(tbMoveset!A32,tbMoveset!A2:I112,9,FALSE)="Water",Backdoors!BC34,IF(VLOOKUP(tbMoveset!A32,tbMoveset!A2:I112,9,FALSE)="Thunder",Backdoors!BD34,IF(VLOOKUP(tbMoveset!A32,tbMoveset!A2:I112,9,FALSE)="Ice",Backdoors!BE34,IF(VLOOKUP(tbMoveset!A32,tbMoveset!A2:I112,9,FALSE)="Dragon",Backdoors!BF34,Backdoors!BG34)))))/100,Backdoors!BG34/100),"")</f>
        <v>0</v>
      </c>
      <c r="HM32" s="49">
        <f>IFERROR(IF(VLOOKUP(A32,tbMoveset!A2:J112,10,FALSE)=TRUE,IF((Backdoors!AI12+IF(HK32&gt;=0.45,VLOOKUP(Calculator!E23,tbSkills!DH3:DI6,2,FALSE)+IF(AND(Calculator!B8=TRUE,Backdoors!BI34=TRUE),VLOOKUP(Calculator!E23,tbSkills!DH3:DJ6,3,FALSE),0),0))&gt;=0,1+(Backdoors!AL2*(IF((Backdoors!AI12+IF(HK32&gt;=0.45,VLOOKUP(Calculator!E23,tbSkills!DH3:DI6,2,FALSE)+IF(AND(Calculator!B8=TRUE,Backdoors!BI34=TRUE),VLOOKUP(Calculator!E23,tbSkills!DH3:DJ6,3,FALSE),0),0))&gt;=100,100,(Backdoors!AI12+IF(HK32&gt;=0.45,VLOOKUP(Calculator!E23,tbSkills!DH3:DI6,2,FALSE)+IF(AND(Calculator!B8=TRUE,Backdoors!BI34=TRUE),VLOOKUP(Calculator!E23,tbSkills!DH3:DJ6,3,FALSE),0),0)))/100)),(1-(0.25*((-Backdoors!AI12-IF(HK32&gt;=0.45,VLOOKUP(Calculator!E23,tbSkills!DH3:DI6,2,FALSE)+IF(AND(Calculator!B8=TRUE,Backdoors!BI34=TRUE),VLOOKUP(Calculator!E23,tbSkills!DH3:DJ6,3,FALSE),0),0))/100)))),1),"")</f>
        <v>1</v>
      </c>
      <c r="HN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K32)*HM32)*(VLOOKUP(A32,tbMoveset!A2:C112,3,FALSE)/100)*IF(VLOOKUP(A32,tbMoveset!A2:B112,2,FALSE)="Projectile",Backdoors!N10,Backdoors!N9),0),"")</f>
        <v/>
      </c>
      <c r="HO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K32&gt;=0.45,VLOOKUP(Calculator!E23,tbSkills!DH3:DI6,2,FALSE)+IF(AND(Calculator!B8=TRUE,Backdoors!BI34=TRUE),VLOOKUP(Calculator!E23,tbSkills!DH3:DJ6,3,FALSE),0),0))&gt;=100,100,(Backdoors!AI12+IF(HK32&gt;=0.45,VLOOKUP(Calculator!E23,tbSkills!DH3:DI6,2,FALSE)+IF(AND(Calculator!B8=TRUE,Backdoors!BI34=TRUE),VLOOKUP(Calculator!E23,tbSkills!DH3:DJ6,3,FALSE),0),0)))/100)),1))*IF(VLOOKUP(A32,tbMoveset!A2:K112,11,FALSE)=TRUE,Backdoors!AC5,1))*HL32,0),"")</f>
        <v>0</v>
      </c>
      <c r="HP32" s="49">
        <f>VLOOKUP(A32,tbMoveset!A2:G112,7,FALSE)*IFERROR(IF(Backdoors!AI12&gt;=0,1+(IF(Calculator!E40&gt;0,VLOOKUP(Calculator!E40,tbSkills!AI3:AJ5,2,FALSE),Backdoors!AL4)*(IF((Backdoors!AI12+IF(HK32&gt;=0.45,VLOOKUP(Calculator!E23,tbSkills!DH3:DI6,2,FALSE)+IF(AND(Calculator!B8=TRUE,Backdoors!BI34=TRUE),VLOOKUP(Calculator!E23,tbSkills!DH3:DJ6,3,FALSE),0),0))&gt;=100,100,(Backdoors!AI12+IF(HK32&gt;=0.45,VLOOKUP(Calculator!E23,tbSkills!DH3:DI6,2,FALSE)+IF(AND(Calculator!B8=TRUE,Backdoors!BI34=TRUE),VLOOKUP(Calculator!E23,tbSkills!DH3:DJ6,3,FALSE),0),0)))/100)),1),1)</f>
        <v>0.6</v>
      </c>
      <c r="HQ32" s="87">
        <f t="shared" si="24"/>
        <v>0</v>
      </c>
      <c r="HR32" s="86" t="str">
        <f>IFERROR(IF(VLOOKUP(A32,tbMoveset!A2:B112,2,FALSE)="Sever",Backdoors!AY35/100,IF(VLOOKUP(A32,tbMoveset!A2:B112,2,FALSE)="Blunt",Backdoors!AZ35/100,Backdoors!BA35/100)),"")</f>
        <v/>
      </c>
      <c r="HS32" s="49">
        <f>IFERROR(IF(VLOOKUP(tbMoveset!A32,tbMoveset!A2:H112,8,FALSE)="Other",IF(VLOOKUP(tbMoveset!A32,tbMoveset!A2:I112,9,FALSE)="Fire",Backdoors!BB35,IF(VLOOKUP(tbMoveset!A32,tbMoveset!A2:I112,9,FALSE)="Water",Backdoors!BC35,IF(VLOOKUP(tbMoveset!A32,tbMoveset!A2:I112,9,FALSE)="Thunder",Backdoors!BD35,IF(VLOOKUP(tbMoveset!A32,tbMoveset!A2:I112,9,FALSE)="Ice",Backdoors!BE35,IF(VLOOKUP(tbMoveset!A32,tbMoveset!A2:I112,9,FALSE)="Dragon",Backdoors!BF35,Backdoors!BG35)))))/100,Backdoors!BG35/100),"")</f>
        <v>0</v>
      </c>
      <c r="HT32" s="49">
        <f>IFERROR(IF(VLOOKUP(A32,tbMoveset!A2:J112,10,FALSE)=TRUE,IF((Backdoors!AI12+IF(HR32&gt;=0.45,VLOOKUP(Calculator!E23,tbSkills!DH3:DI6,2,FALSE)+IF(AND(Calculator!B8=TRUE,Backdoors!BI35=TRUE),VLOOKUP(Calculator!E23,tbSkills!DH3:DJ6,3,FALSE),0),0))&gt;=0,1+(Backdoors!AL2*(IF((Backdoors!AI12+IF(HR32&gt;=0.45,VLOOKUP(Calculator!E23,tbSkills!DH3:DI6,2,FALSE)+IF(AND(Calculator!B8=TRUE,Backdoors!BI35=TRUE),VLOOKUP(Calculator!E23,tbSkills!DH3:DJ6,3,FALSE),0),0))&gt;=100,100,(Backdoors!AI12+IF(HR32&gt;=0.45,VLOOKUP(Calculator!E23,tbSkills!DH3:DI6,2,FALSE)+IF(AND(Calculator!B8=TRUE,Backdoors!BI35=TRUE),VLOOKUP(Calculator!E23,tbSkills!DH3:DJ6,3,FALSE),0),0)))/100)),(1-(0.25*((-Backdoors!AI12-IF(HR32&gt;=0.45,VLOOKUP(Calculator!E23,tbSkills!DH3:DI6,2,FALSE)+IF(AND(Calculator!B8=TRUE,Backdoors!BI35=TRUE),VLOOKUP(Calculator!E23,tbSkills!DH3:DJ6,3,FALSE),0),0))/100)))),1),"")</f>
        <v>1</v>
      </c>
      <c r="HU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R32)*HT32)*(VLOOKUP(A32,tbMoveset!A2:C112,3,FALSE)/100)*IF(VLOOKUP(A32,tbMoveset!A2:B112,2,FALSE)="Projectile",Backdoors!N10,Backdoors!N9),0),"")</f>
        <v/>
      </c>
      <c r="HV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R32&gt;=0.45,VLOOKUP(Calculator!E23,tbSkills!DH3:DI6,2,FALSE)+IF(AND(Calculator!B8=TRUE,Backdoors!BI35=TRUE),VLOOKUP(Calculator!E23,tbSkills!DH3:DJ6,3,FALSE),0),0))&gt;=100,100,(Backdoors!AI12+IF(HR32&gt;=0.45,VLOOKUP(Calculator!E23,tbSkills!DH3:DI6,2,FALSE)+IF(AND(Calculator!B8=TRUE,Backdoors!BI35=TRUE),VLOOKUP(Calculator!E23,tbSkills!DH3:DJ6,3,FALSE),0),0)))/100)),1))*IF(VLOOKUP(A32,tbMoveset!A2:K112,11,FALSE)=TRUE,Backdoors!AC5,1))*HS32,0),"")</f>
        <v>0</v>
      </c>
      <c r="HW32" s="49">
        <f>VLOOKUP(A32,tbMoveset!A2:G112,7,FALSE)*IFERROR(IF(Backdoors!AI12&gt;=0,1+(IF(Calculator!E40&gt;0,VLOOKUP(Calculator!E40,tbSkills!AI3:AJ5,2,FALSE),Backdoors!AL4)*(IF((Backdoors!AI12+IF(HR32&gt;=0.45,VLOOKUP(Calculator!E23,tbSkills!DH3:DI6,2,FALSE)+IF(AND(Calculator!B8=TRUE,Backdoors!BI35=TRUE),VLOOKUP(Calculator!E23,tbSkills!DH3:DJ6,3,FALSE),0),0))&gt;=100,100,(Backdoors!AI12+IF(HR32&gt;=0.45,VLOOKUP(Calculator!E23,tbSkills!DH3:DI6,2,FALSE)+IF(AND(Calculator!B8=TRUE,Backdoors!BI35=TRUE),VLOOKUP(Calculator!E23,tbSkills!DH3:DJ6,3,FALSE),0),0)))/100)),1),1)</f>
        <v>0.6</v>
      </c>
      <c r="HX32" s="87">
        <f t="shared" si="25"/>
        <v>0</v>
      </c>
      <c r="HY32" s="86" t="str">
        <f>IFERROR(IF(VLOOKUP(A32,tbMoveset!A2:B112,2,FALSE)="Sever",Backdoors!AY36/100,IF(VLOOKUP(A32,tbMoveset!A2:B112,2,FALSE)="Blunt",Backdoors!AZ36/100,Backdoors!BA36/100)),"")</f>
        <v/>
      </c>
      <c r="HZ32" s="49">
        <f>IFERROR(IF(VLOOKUP(tbMoveset!A32,tbMoveset!A2:H112,8,FALSE)="Other",IF(VLOOKUP(tbMoveset!A32,tbMoveset!A2:I112,9,FALSE)="Fire",Backdoors!BB36,IF(VLOOKUP(tbMoveset!A32,tbMoveset!A2:I112,9,FALSE)="Water",Backdoors!BC36,IF(VLOOKUP(tbMoveset!A32,tbMoveset!A2:I112,9,FALSE)="Thunder",Backdoors!BD36,IF(VLOOKUP(tbMoveset!A32,tbMoveset!A2:I112,9,FALSE)="Ice",Backdoors!BE36,IF(VLOOKUP(tbMoveset!A32,tbMoveset!A2:I112,9,FALSE)="Dragon",Backdoors!BF36,Backdoors!BG36)))))/100,Backdoors!BG36/100),"")</f>
        <v>0</v>
      </c>
      <c r="IA32" s="49">
        <f>IFERROR(IF(VLOOKUP(A32,tbMoveset!A2:J112,10,FALSE)=TRUE,IF((Backdoors!AI12+IF(HY32&gt;=0.45,VLOOKUP(Calculator!E23,tbSkills!DH3:DI6,2,FALSE)+IF(AND(Calculator!B8=TRUE,Backdoors!BI36=TRUE),VLOOKUP(Calculator!E23,tbSkills!DH3:DJ6,3,FALSE),0),0))&gt;=0,1+(Backdoors!AL2*(IF((Backdoors!AI12+IF(HY32&gt;=0.45,VLOOKUP(Calculator!E23,tbSkills!DH3:DI6,2,FALSE)+IF(AND(Calculator!B8=TRUE,Backdoors!BI36=TRUE),VLOOKUP(Calculator!E23,tbSkills!DH3:DJ6,3,FALSE),0),0))&gt;=100,100,(Backdoors!AI12+IF(HY32&gt;=0.45,VLOOKUP(Calculator!E23,tbSkills!DH3:DI6,2,FALSE)+IF(AND(Calculator!B8=TRUE,Backdoors!BI36=TRUE),VLOOKUP(Calculator!E23,tbSkills!DH3:DJ6,3,FALSE),0),0)))/100)),(1-(0.25*((-Backdoors!AI12-IF(HY32&gt;=0.45,VLOOKUP(Calculator!E23,tbSkills!DH3:DI6,2,FALSE)+IF(AND(Calculator!B8=TRUE,Backdoors!BI36=TRUE),VLOOKUP(Calculator!E23,tbSkills!DH3:DJ6,3,FALSE),0),0))/100)))),1),"")</f>
        <v>1</v>
      </c>
      <c r="IB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Y32)*IA32)*(VLOOKUP(A32,tbMoveset!A2:C112,3,FALSE)/100)*IF(VLOOKUP(A32,tbMoveset!A2:B112,2,FALSE)="Projectile",Backdoors!N10,Backdoors!N9),0),"")</f>
        <v/>
      </c>
      <c r="IC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Y32&gt;=0.45,VLOOKUP(Calculator!E23,tbSkills!DH3:DI6,2,FALSE)+IF(AND(Calculator!B8=TRUE,Backdoors!BI36=TRUE),VLOOKUP(Calculator!E23,tbSkills!DH3:DJ6,3,FALSE),0),0))&gt;=100,100,(Backdoors!AI12+IF(HY32&gt;=0.45,VLOOKUP(Calculator!E23,tbSkills!DH3:DI6,2,FALSE)+IF(AND(Calculator!B8=TRUE,Backdoors!BI36=TRUE),VLOOKUP(Calculator!E23,tbSkills!DH3:DJ6,3,FALSE),0),0)))/100)),1))*IF(VLOOKUP(A32,tbMoveset!A2:K112,11,FALSE)=TRUE,Backdoors!AC5,1))*HZ32,0),"")</f>
        <v>0</v>
      </c>
      <c r="ID32" s="49">
        <f>VLOOKUP(A32,tbMoveset!A2:G112,7,FALSE)*IFERROR(IF(Backdoors!AI12&gt;=0,1+(IF(Calculator!E40&gt;0,VLOOKUP(Calculator!E40,tbSkills!AI3:AJ5,2,FALSE),Backdoors!AL4)*(IF((Backdoors!AI12+IF(HY32&gt;=0.45,VLOOKUP(Calculator!E23,tbSkills!DH3:DI6,2,FALSE)+IF(AND(Calculator!B8=TRUE,Backdoors!BI36=TRUE),VLOOKUP(Calculator!E23,tbSkills!DH3:DJ6,3,FALSE),0),0))&gt;=100,100,(Backdoors!AI12+IF(HY32&gt;=0.45,VLOOKUP(Calculator!E23,tbSkills!DH3:DI6,2,FALSE)+IF(AND(Calculator!B8=TRUE,Backdoors!BI36=TRUE),VLOOKUP(Calculator!E23,tbSkills!DH3:DJ6,3,FALSE),0),0)))/100)),1),1)</f>
        <v>0.6</v>
      </c>
      <c r="IE32" s="87">
        <f t="shared" si="26"/>
        <v>0</v>
      </c>
      <c r="IF32" s="86" t="str">
        <f>IFERROR(IF(VLOOKUP(A32,tbMoveset!A2:B112,2,FALSE)="Sever",Backdoors!AY37/100,IF(VLOOKUP(A32,tbMoveset!A2:B112,2,FALSE)="Blunt",Backdoors!AZ37/100,Backdoors!BA37/100)),"")</f>
        <v/>
      </c>
      <c r="IG32" s="49">
        <f>IFERROR(IF(VLOOKUP(tbMoveset!A32,tbMoveset!A2:H112,8,FALSE)="Other",IF(VLOOKUP(tbMoveset!A32,tbMoveset!A2:I112,9,FALSE)="Fire",Backdoors!BB37,IF(VLOOKUP(tbMoveset!A32,tbMoveset!A2:I112,9,FALSE)="Water",Backdoors!BC37,IF(VLOOKUP(tbMoveset!A32,tbMoveset!A2:I112,9,FALSE)="Thunder",Backdoors!BD37,IF(VLOOKUP(tbMoveset!A32,tbMoveset!A2:I112,9,FALSE)="Ice",Backdoors!BE37,IF(VLOOKUP(tbMoveset!A32,tbMoveset!A2:I112,9,FALSE)="Dragon",Backdoors!BF37,Backdoors!BG37)))))/100,Backdoors!BG37/100),"")</f>
        <v>0</v>
      </c>
      <c r="IH32" s="49">
        <f>IFERROR(IF(VLOOKUP(A32,tbMoveset!A2:J112,10,FALSE)=TRUE,IF((Backdoors!AI12+IF(IF32&gt;=0.45,VLOOKUP(Calculator!E23,tbSkills!DH3:DI6,2,FALSE)+IF(AND(Calculator!B8=TRUE,Backdoors!BI37=TRUE),VLOOKUP(Calculator!E23,tbSkills!DH3:DJ6,3,FALSE),0),0))&gt;=0,1+(Backdoors!AL2*(IF((Backdoors!AI12+IF(IF32&gt;=0.45,VLOOKUP(Calculator!E23,tbSkills!DH3:DI6,2,FALSE)+IF(AND(Calculator!B8=TRUE,Backdoors!BI37=TRUE),VLOOKUP(Calculator!E23,tbSkills!DH3:DJ6,3,FALSE),0),0))&gt;=100,100,(Backdoors!AI12+IF(IF32&gt;=0.45,VLOOKUP(Calculator!E23,tbSkills!DH3:DI6,2,FALSE)+IF(AND(Calculator!B8=TRUE,Backdoors!BI37=TRUE),VLOOKUP(Calculator!E23,tbSkills!DH3:DJ6,3,FALSE),0),0)))/100)),(1-(0.25*((-Backdoors!AI12-IF(IF32&gt;=0.45,VLOOKUP(Calculator!E23,tbSkills!DH3:DI6,2,FALSE)+IF(AND(Calculator!B8=TRUE,Backdoors!BI37=TRUE),VLOOKUP(Calculator!E23,tbSkills!DH3:DJ6,3,FALSE),0),0))/100)))),1),"")</f>
        <v>1</v>
      </c>
      <c r="II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F32)*IH32)*(VLOOKUP(A32,tbMoveset!A2:C112,3,FALSE)/100)*IF(VLOOKUP(A32,tbMoveset!A2:B112,2,FALSE)="Projectile",Backdoors!N10,Backdoors!N9),0),"")</f>
        <v/>
      </c>
      <c r="IJ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IF32&gt;=0.45,VLOOKUP(Calculator!E23,tbSkills!DH3:DI6,2,FALSE)+IF(AND(Calculator!B8=TRUE,Backdoors!BI37=TRUE),VLOOKUP(Calculator!E23,tbSkills!DH3:DJ6,3,FALSE),0),0))&gt;=100,100,(Backdoors!AI12+IF(IF32&gt;=0.45,VLOOKUP(Calculator!E23,tbSkills!DH3:DI6,2,FALSE)+IF(AND(Calculator!B8=TRUE,Backdoors!BI37=TRUE),VLOOKUP(Calculator!E23,tbSkills!DH3:DJ6,3,FALSE),0),0)))/100)),1))*IF(VLOOKUP(A32,tbMoveset!A2:K112,11,FALSE)=TRUE,Backdoors!AC5,1))*IG32,0),"")</f>
        <v>0</v>
      </c>
      <c r="IK32" s="49">
        <f>VLOOKUP(A32,tbMoveset!A2:G112,7,FALSE)*IFERROR(IF(Backdoors!AI12&gt;=0,1+(IF(Calculator!E40&gt;0,VLOOKUP(Calculator!E40,tbSkills!AI3:AJ5,2,FALSE),Backdoors!AL4)*(IF((Backdoors!AI12+IF(IF32&gt;=0.45,VLOOKUP(Calculator!E23,tbSkills!DH3:DI6,2,FALSE)+IF(AND(Calculator!B8=TRUE,Backdoors!BI37=TRUE),VLOOKUP(Calculator!E23,tbSkills!DH3:DJ6,3,FALSE),0),0))&gt;=100,100,(Backdoors!AI12+IF(IF32&gt;=0.45,VLOOKUP(Calculator!E23,tbSkills!DH3:DI6,2,FALSE)+IF(AND(Calculator!B8=TRUE,Backdoors!BI37=TRUE),VLOOKUP(Calculator!E23,tbSkills!DH3:DJ6,3,FALSE),0),0)))/100)),1),1)</f>
        <v>0.6</v>
      </c>
      <c r="IL32" s="87">
        <f t="shared" si="27"/>
        <v>0</v>
      </c>
      <c r="IM32" s="86" t="str">
        <f>IFERROR(IF(VLOOKUP(A32,tbMoveset!A2:B112,2,FALSE)="Sever",Backdoors!AY38/100,IF(VLOOKUP(A32,tbMoveset!A2:B112,2,FALSE)="Blunt",Backdoors!AZ38/100,Backdoors!BA38/100)),"")</f>
        <v/>
      </c>
      <c r="IN32" s="49">
        <f>IFERROR(IF(VLOOKUP(tbMoveset!A32,tbMoveset!A2:H112,8,FALSE)="Other",IF(VLOOKUP(tbMoveset!A32,tbMoveset!A2:I112,9,FALSE)="Fire",Backdoors!BB38,IF(VLOOKUP(tbMoveset!A32,tbMoveset!A2:I112,9,FALSE)="Water",Backdoors!BC38,IF(VLOOKUP(tbMoveset!A32,tbMoveset!A2:I112,9,FALSE)="Thunder",Backdoors!BD38,IF(VLOOKUP(tbMoveset!A32,tbMoveset!A2:I112,9,FALSE)="Ice",Backdoors!BE38,IF(VLOOKUP(tbMoveset!A32,tbMoveset!A2:I112,9,FALSE)="Dragon",Backdoors!BF38,Backdoors!BG38)))))/100,Backdoors!BG38/100),"")</f>
        <v>0</v>
      </c>
      <c r="IO32" s="49">
        <f>IFERROR(IF(VLOOKUP(A32,tbMoveset!A2:J112,10,FALSE)=TRUE,IF((Backdoors!AI12+IF(IM32&gt;=0.45,VLOOKUP(Calculator!E23,tbSkills!DH3:DI6,2,FALSE)+IF(AND(Calculator!B8=TRUE,Backdoors!BI38=TRUE),VLOOKUP(Calculator!E23,tbSkills!DH3:DJ6,3,FALSE),0),0))&gt;=0,1+(Backdoors!AL2*(IF((Backdoors!AI12+IF(IM32&gt;=0.45,VLOOKUP(Calculator!E23,tbSkills!DH3:DI6,2,FALSE)+IF(AND(Calculator!B8=TRUE,Backdoors!BI38=TRUE),VLOOKUP(Calculator!E23,tbSkills!DH3:DJ6,3,FALSE),0),0))&gt;=100,100,(Backdoors!AI12+IF(IM32&gt;=0.45,VLOOKUP(Calculator!E23,tbSkills!DH3:DI6,2,FALSE)+IF(AND(Calculator!B8=TRUE,Backdoors!BI38=TRUE),VLOOKUP(Calculator!E23,tbSkills!DH3:DJ6,3,FALSE),0),0)))/100)),(1-(0.25*((-Backdoors!AI12-IF(IM32&gt;=0.45,VLOOKUP(Calculator!E23,tbSkills!DH3:DI6,2,FALSE)+IF(AND(Calculator!B8=TRUE,Backdoors!BI38=TRUE),VLOOKUP(Calculator!E23,tbSkills!DH3:DJ6,3,FALSE),0),0))/100)))),1),"")</f>
        <v>1</v>
      </c>
      <c r="IP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M32)*IO32)*(VLOOKUP(A32,tbMoveset!A2:C112,3,FALSE)/100)*IF(VLOOKUP(A32,tbMoveset!A2:B112,2,FALSE)="Projectile",Backdoors!N10,Backdoors!N9),0),"")</f>
        <v/>
      </c>
      <c r="IQ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IM32&gt;=0.45,VLOOKUP(Calculator!E23,tbSkills!DH3:DI6,2,FALSE)+IF(AND(Calculator!B8=TRUE,Backdoors!BI38=TRUE),VLOOKUP(Calculator!E23,tbSkills!DH3:DJ6,3,FALSE),0),0))&gt;=100,100,(Backdoors!AI12+IF(IM32&gt;=0.45,VLOOKUP(Calculator!E23,tbSkills!DH3:DI6,2,FALSE)+IF(AND(Calculator!B8=TRUE,Backdoors!BI38=TRUE),VLOOKUP(Calculator!E23,tbSkills!DH3:DJ6,3,FALSE),0),0)))/100)),1))*IF(VLOOKUP(A32,tbMoveset!A2:K112,11,FALSE)=TRUE,Backdoors!AC5,1))*IN32,0),"")</f>
        <v>0</v>
      </c>
      <c r="IR32" s="49">
        <f>VLOOKUP(A32,tbMoveset!A2:G112,7,FALSE)*IFERROR(IF(Backdoors!AI12&gt;=0,1+(IF(Calculator!E40&gt;0,VLOOKUP(Calculator!E40,tbSkills!AI3:AJ5,2,FALSE),Backdoors!AL4)*(IF((Backdoors!AI12+IF(IM32&gt;=0.45,VLOOKUP(Calculator!E23,tbSkills!DH3:DI6,2,FALSE)+IF(AND(Calculator!B8=TRUE,Backdoors!BI38=TRUE),VLOOKUP(Calculator!E23,tbSkills!DH3:DJ6,3,FALSE),0),0))&gt;=100,100,(Backdoors!AI12+IF(IM32&gt;=0.45,VLOOKUP(Calculator!E23,tbSkills!DH3:DI6,2,FALSE)+IF(AND(Calculator!B8=TRUE,Backdoors!BI38=TRUE),VLOOKUP(Calculator!E23,tbSkills!DH3:DJ6,3,FALSE),0),0)))/100)),1),1)</f>
        <v>0.6</v>
      </c>
      <c r="IS32" s="87">
        <f t="shared" si="42"/>
        <v>0</v>
      </c>
      <c r="IT32" s="86" t="str">
        <f>IFERROR(IF(VLOOKUP(A32,tbMoveset!A2:B112,2,FALSE)="Sever",Backdoors!AY39/100,IF(VLOOKUP(A32,tbMoveset!A2:B112,2,FALSE)="Blunt",Backdoors!AZ39/100,Backdoors!BA39/100)),"")</f>
        <v/>
      </c>
      <c r="IU32" s="49">
        <f>IFERROR(IF(VLOOKUP(tbMoveset!A32,tbMoveset!A2:H112,8,FALSE)="Other",IF(VLOOKUP(tbMoveset!A32,tbMoveset!A2:I112,9,FALSE)="Fire",Backdoors!BB39,IF(VLOOKUP(tbMoveset!A32,tbMoveset!A2:I112,9,FALSE)="Water",Backdoors!BC39,IF(VLOOKUP(tbMoveset!A32,tbMoveset!A2:I112,9,FALSE)="Thunder",Backdoors!BD39,IF(VLOOKUP(tbMoveset!A32,tbMoveset!A2:I112,9,FALSE)="Ice",Backdoors!BE39,IF(VLOOKUP(tbMoveset!A32,tbMoveset!A2:I112,9,FALSE)="Dragon",Backdoors!BF39,Backdoors!BG39)))))/100,Backdoors!BG39/100),"")</f>
        <v>0</v>
      </c>
      <c r="IV32" s="49">
        <f>IFERROR(IF(VLOOKUP(A32,tbMoveset!A2:J112,10,FALSE)=TRUE,IF((Backdoors!AI12+IF(IT32&gt;=0.45,VLOOKUP(Calculator!E23,tbSkills!DH3:DI6,2,FALSE)+IF(AND(Calculator!B8=TRUE,Backdoors!BI39=TRUE),VLOOKUP(Calculator!E23,tbSkills!DH3:DJ6,3,FALSE),0),0))&gt;=0,1+(Backdoors!AL2*(IF((Backdoors!AI12+IF(IT32&gt;=0.45,VLOOKUP(Calculator!E23,tbSkills!DH3:DI6,2,FALSE)+IF(AND(Calculator!B8=TRUE,Backdoors!BI39=TRUE),VLOOKUP(Calculator!E23,tbSkills!DH3:DJ6,3,FALSE),0),0))&gt;=100,100,(Backdoors!AI12+IF(IT32&gt;=0.45,VLOOKUP(Calculator!E23,tbSkills!DH3:DI6,2,FALSE)+IF(AND(Calculator!B8=TRUE,Backdoors!BI39=TRUE),VLOOKUP(Calculator!E23,tbSkills!DH3:DJ6,3,FALSE),0),0)))/100)),(1-(0.25*((-Backdoors!AI12-IF(IT32&gt;=0.45,VLOOKUP(Calculator!E23,tbSkills!DH3:DI6,2,FALSE)+IF(AND(Calculator!B8=TRUE,Backdoors!BI39=TRUE),VLOOKUP(Calculator!E23,tbSkills!DH3:DJ6,3,FALSE),0),0))/100)))),1),"")</f>
        <v>1</v>
      </c>
      <c r="IW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T32)*IV32)*(VLOOKUP(A32,tbMoveset!A2:C112,3,FALSE)/100)*IF(VLOOKUP(A32,tbMoveset!A2:B112,2,FALSE)="Projectile",Backdoors!N10,Backdoors!N9),0),"")</f>
        <v/>
      </c>
      <c r="IX32" s="49">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40&gt;0,VLOOKUP(Calculator!E40,tbSkills!AC3:AD5,2,FALSE),Backdoors!AL3)*(IF((Backdoors!AI12+IF(IT32&gt;=0.45,VLOOKUP(Calculator!E23,tbSkills!DH3:DI6,2,FALSE)+IF(AND(Calculator!B8=TRUE,Backdoors!BI39=TRUE),VLOOKUP(Calculator!E23,tbSkills!DH3:DJ6,3,FALSE),0),0))&gt;=100,100,(Backdoors!AI12+IF(IT32&gt;=0.45,VLOOKUP(Calculator!E23,tbSkills!DH3:DI6,2,FALSE)+IF(AND(Calculator!B8=TRUE,Backdoors!BI39=TRUE),VLOOKUP(Calculator!E23,tbSkills!DH3:DJ6,3,FALSE),0),0)))/100)),1))*IF(VLOOKUP(A32,tbMoveset!A2:K112,11,FALSE)=TRUE,Backdoors!AC5,1))*IU32,0),"")</f>
        <v>0</v>
      </c>
      <c r="IY32" s="49">
        <f>VLOOKUP(A32,tbMoveset!A2:G112,7,FALSE)*IFERROR(IF(Backdoors!AI12&gt;=0,1+(IF(Calculator!E40&gt;0,VLOOKUP(Calculator!E40,tbSkills!AI3:AJ5,2,FALSE),Backdoors!AL4)*(IF((Backdoors!AI12+IF(IT32&gt;=0.45,VLOOKUP(Calculator!E23,tbSkills!DH3:DI6,2,FALSE)+IF(AND(Calculator!B8=TRUE,Backdoors!BI39=TRUE),VLOOKUP(Calculator!E23,tbSkills!DH3:DJ6,3,FALSE),0),0))&gt;=100,100,(Backdoors!AI12+IF(IT32&gt;=0.45,VLOOKUP(Calculator!E23,tbSkills!DH3:DI6,2,FALSE)+IF(AND(Calculator!B8=TRUE,Backdoors!BI39=TRUE),VLOOKUP(Calculator!E23,tbSkills!DH3:DJ6,3,FALSE),0),0)))/100)),1),1)</f>
        <v>0.6</v>
      </c>
      <c r="IZ32" s="87">
        <f t="shared" si="28"/>
        <v>0</v>
      </c>
      <c r="JA32" s="86" t="str">
        <f>IFERROR(IF(VLOOKUP(A32,tbMoveset!A2:B112,2,FALSE)="Sever",Backdoors!AY40/100,IF(VLOOKUP(A32,tbMoveset!A2:B112,2,FALSE)="Blunt",Backdoors!AZ40/100,Backdoors!BA40/100)),"")</f>
        <v/>
      </c>
      <c r="JB32" s="49">
        <f>IFERROR(IF(VLOOKUP(tbMoveset!A32,tbMoveset!A2:H112,8,FALSE)="Other",IF(VLOOKUP(tbMoveset!A32,tbMoveset!A2:I112,9,FALSE)="Fire",Backdoors!BB40,IF(VLOOKUP(tbMoveset!A32,tbMoveset!A2:I112,9,FALSE)="Water",Backdoors!BC40,IF(VLOOKUP(tbMoveset!A32,tbMoveset!A2:I112,9,FALSE)="Thunder",Backdoors!BD40,IF(VLOOKUP(tbMoveset!A32,tbMoveset!A2:I112,9,FALSE)="Ice",Backdoors!BE40,IF(VLOOKUP(tbMoveset!A32,tbMoveset!A2:I112,9,FALSE)="Dragon",Backdoors!BF40,Backdoors!BG40)))))/100,Backdoors!BG40/100),"")</f>
        <v>0</v>
      </c>
      <c r="JC32" s="49">
        <f>IFERROR(IF(VLOOKUP(A32,tbMoveset!A2:J112,10,FALSE)=TRUE,IF((Backdoors!AI12+IF(JA32&gt;=0.45,VLOOKUP(Calculator!E23,tbSkills!DH3:DI6,2,FALSE)+IF(AND(Calculator!B8=TRUE,Backdoors!BI40=TRUE),VLOOKUP(Calculator!E23,tbSkills!DH3:DJ6,3,FALSE),0),0))&gt;=0,1+(Backdoors!AL2*(IF((Backdoors!AI12+IF(JA32&gt;=0.45,VLOOKUP(Calculator!E23,tbSkills!DH3:DI6,2,FALSE)+IF(AND(Calculator!B8=TRUE,Backdoors!BI40=TRUE),VLOOKUP(Calculator!E23,tbSkills!DH3:DJ6,3,FALSE),0),0))&gt;=100,100,(Backdoors!AI12+IF(JA32&gt;=0.45,VLOOKUP(Calculator!E23,tbSkills!DH3:DI6,2,FALSE)+IF(AND(Calculator!B8=TRUE,Backdoors!BI40=TRUE),VLOOKUP(Calculator!E23,tbSkills!DH3:DJ6,3,FALSE),0),0)))/100)),(1-(0.25*((-Backdoors!AI12-IF(JA32&gt;=0.45,VLOOKUP(Calculator!E23,tbSkills!DH3:DI6,2,FALSE)+IF(AND(Calculator!B8=TRUE,Backdoors!BI40=TRUE),VLOOKUP(Calculator!E23,tbSkills!DH3:DJ6,3,FALSE),0),0))/100)))),1),"")</f>
        <v>1</v>
      </c>
      <c r="JD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A32)*JC32)*(VLOOKUP(A32,tbMoveset!A2:C112,3,FALSE)/100)*IF(VLOOKUP(A32,tbMoveset!A2:B112,2,FALSE)="Projectile",Backdoors!N10,Backdoors!N9),0),"")</f>
        <v/>
      </c>
      <c r="JE32" s="49">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42&gt;0,VLOOKUP(Calculator!E42,tbSkills!AC3:AD5,2,FALSE),Backdoors!AL3)*(IF((Backdoors!AI12+IF(JA32&gt;=0.45,VLOOKUP(Calculator!E23,tbSkills!DH3:DI6,2,FALSE)+IF(AND(Calculator!B8=TRUE,Backdoors!BI40=TRUE),VLOOKUP(Calculator!E23,tbSkills!DH3:DJ6,3,FALSE),0),0))&gt;=100,100,(Backdoors!AI12+IF(JA32&gt;=0.45,VLOOKUP(Calculator!E23,tbSkills!DH3:DI6,2,FALSE)+IF(AND(Calculator!B8=TRUE,Backdoors!BI40=TRUE),VLOOKUP(Calculator!E23,tbSkills!DH3:DJ6,3,FALSE),0),0)))/100)),1))*IF(VLOOKUP(A32,tbMoveset!A2:K112,11,FALSE)=TRUE,Backdoors!AC5,1))*JB32,0),"")</f>
        <v>0</v>
      </c>
      <c r="JF32" s="49">
        <f>VLOOKUP(A32,tbMoveset!A2:G112,7,FALSE)*IFERROR(IF(Backdoors!AI12&gt;=0,1+(IF(Calculator!E40&gt;0,VLOOKUP(Calculator!E40,tbSkills!AI3:AJ5,2,FALSE),Backdoors!AL4)*(IF((Backdoors!AI12+IF(JA32&gt;=0.45,VLOOKUP(Calculator!E23,tbSkills!DH3:DI6,2,FALSE)+IF(AND(Calculator!B8=TRUE,Backdoors!BI40=TRUE),VLOOKUP(Calculator!E23,tbSkills!DH3:DJ6,3,FALSE),0),0))&gt;=100,100,(Backdoors!AI12+IF(JA32&gt;=0.45,VLOOKUP(Calculator!E23,tbSkills!DH3:DI6,2,FALSE)+IF(AND(Calculator!B8=TRUE,Backdoors!BI40=TRUE),VLOOKUP(Calculator!E23,tbSkills!DH3:DJ6,3,FALSE),0),0)))/100)),1),1)</f>
        <v>0.6</v>
      </c>
      <c r="JG32" s="87">
        <f t="shared" si="29"/>
        <v>0</v>
      </c>
      <c r="JH32" s="86" t="str">
        <f>IFERROR(IF(VLOOKUP(A32,tbMoveset!A2:B112,2,FALSE)="Sever",Backdoors!AY41/100,IF(VLOOKUP(A32,tbMoveset!A2:B112,2,FALSE)="Blunt",Backdoors!AZ41/100,Backdoors!BA41/100)),"")</f>
        <v/>
      </c>
      <c r="JI32" s="49">
        <f>IFERROR(IF(VLOOKUP(tbMoveset!A32,tbMoveset!A2:H112,8,FALSE)="Other",IF(VLOOKUP(tbMoveset!A32,tbMoveset!A2:I112,9,FALSE)="Fire",Backdoors!BB41,IF(VLOOKUP(tbMoveset!A32,tbMoveset!A2:I112,9,FALSE)="Water",Backdoors!BC41,IF(VLOOKUP(tbMoveset!A32,tbMoveset!A2:I112,9,FALSE)="Thunder",Backdoors!BD41,IF(VLOOKUP(tbMoveset!A32,tbMoveset!A2:I112,9,FALSE)="Ice",Backdoors!BE41,IF(VLOOKUP(tbMoveset!A32,tbMoveset!A2:I112,9,FALSE)="Dragon",Backdoors!BF41,Backdoors!BG41)))))/100,Backdoors!BG41/100),"")</f>
        <v>0</v>
      </c>
      <c r="JJ32" s="49">
        <f>IFERROR(IF(VLOOKUP(A32,tbMoveset!A2:J112,10,FALSE)=TRUE,IF((Backdoors!AI12+IF(JH32&gt;=0.45,VLOOKUP(Calculator!E23,tbSkills!DH3:DI6,2,FALSE)+IF(AND(Calculator!B8=TRUE,Backdoors!BI41=TRUE),VLOOKUP(Calculator!E23,tbSkills!DH3:DJ6,3,FALSE),0),0))&gt;=0,1+(Backdoors!AL2*(IF((Backdoors!AI12+IF(JH32&gt;=0.45,VLOOKUP(Calculator!E23,tbSkills!DH3:DI6,2,FALSE)+IF(AND(Calculator!B8=TRUE,Backdoors!BI41=TRUE),VLOOKUP(Calculator!E23,tbSkills!DH3:DJ6,3,FALSE),0),0))&gt;=100,100,(Backdoors!AI12+IF(JH32&gt;=0.45,VLOOKUP(Calculator!E23,tbSkills!DH3:DI6,2,FALSE)+IF(AND(Calculator!B8=TRUE,Backdoors!BI41=TRUE),VLOOKUP(Calculator!E23,tbSkills!DH3:DJ6,3,FALSE),0),0)))/100)),(1-(0.25*((-Backdoors!AI12-IF(JH32&gt;=0.45,VLOOKUP(Calculator!E23,tbSkills!DH3:DI6,2,FALSE)+IF(AND(Calculator!B8=TRUE,Backdoors!BI41=TRUE),VLOOKUP(Calculator!E23,tbSkills!DH3:DJ6,3,FALSE),0),0))/100)))),1),"")</f>
        <v>1</v>
      </c>
      <c r="JK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H32)*JJ32)*(VLOOKUP(A32,tbMoveset!A2:C112,3,FALSE)/100)*IF(VLOOKUP(A32,tbMoveset!A2:B112,2,FALSE)="Projectile",Backdoors!N10,Backdoors!N9),0),"")</f>
        <v/>
      </c>
      <c r="JL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43&gt;0,VLOOKUP(Calculator!E43,tbSkills!AC3:AD5,2,FALSE),Backdoors!AL3)*(IF((Backdoors!AI12+IF(JH32&gt;=0.45,VLOOKUP(Calculator!E23,tbSkills!DH3:DI6,2,FALSE)+IF(AND(Calculator!B8=TRUE,Backdoors!BI41=TRUE),VLOOKUP(Calculator!E23,tbSkills!DH3:DJ6,3,FALSE),0),0))&gt;=100,100,(Backdoors!AI12+IF(JH32&gt;=0.45,VLOOKUP(Calculator!E23,tbSkills!DH3:DI6,2,FALSE)+IF(AND(Calculator!B8=TRUE,Backdoors!BI41=TRUE),VLOOKUP(Calculator!E23,tbSkills!DH3:DJ6,3,FALSE),0),0)))/100)),1))*IF(VLOOKUP(A32,tbMoveset!A2:K112,11,FALSE)=TRUE,Backdoors!AC5,1))*JI32,0),"")</f>
        <v/>
      </c>
      <c r="JM32" s="49">
        <f>VLOOKUP(A32,tbMoveset!A2:G112,7,FALSE)*IFERROR(IF(Backdoors!AI12&gt;=0,1+(IF(Calculator!E40&gt;0,VLOOKUP(Calculator!E40,tbSkills!AI3:AJ5,2,FALSE),Backdoors!AL4)*(IF((Backdoors!AI12+IF(JH32&gt;=0.45,VLOOKUP(Calculator!E23,tbSkills!DH3:DI6,2,FALSE)+IF(AND(Calculator!B8=TRUE,Backdoors!BI41=TRUE),VLOOKUP(Calculator!E23,tbSkills!DH3:DJ6,3,FALSE),0),0))&gt;=100,100,(Backdoors!AI12+IF(JH32&gt;=0.45,VLOOKUP(Calculator!E23,tbSkills!DH3:DI6,2,FALSE)+IF(AND(Calculator!B8=TRUE,Backdoors!BI41=TRUE),VLOOKUP(Calculator!E23,tbSkills!DH3:DJ6,3,FALSE),0),0)))/100)),1),1)</f>
        <v>0.6</v>
      </c>
      <c r="JN32" s="87">
        <f t="shared" si="30"/>
        <v>0</v>
      </c>
      <c r="JO32" s="86" t="str">
        <f>IFERROR(IF(VLOOKUP(A32,tbMoveset!A2:B112,2,FALSE)="Sever",Backdoors!AY42/100,IF(VLOOKUP(A32,tbMoveset!A2:B112,2,FALSE)="Blunt",Backdoors!AZ42/100,Backdoors!BA42/100)),"")</f>
        <v/>
      </c>
      <c r="JP32" s="49">
        <f>IFERROR(IF(VLOOKUP(tbMoveset!A32,tbMoveset!A2:H112,8,FALSE)="Other",IF(VLOOKUP(tbMoveset!A32,tbMoveset!A2:I112,9,FALSE)="Fire",Backdoors!BB42,IF(VLOOKUP(tbMoveset!A32,tbMoveset!A2:I112,9,FALSE)="Water",Backdoors!BC42,IF(VLOOKUP(tbMoveset!A32,tbMoveset!A2:I112,9,FALSE)="Thunder",Backdoors!BD42,IF(VLOOKUP(tbMoveset!A32,tbMoveset!A2:I112,9,FALSE)="Ice",Backdoors!BE42,IF(VLOOKUP(tbMoveset!A32,tbMoveset!A2:I112,9,FALSE)="Dragon",Backdoors!BF42,Backdoors!BG42)))))/100,Backdoors!BG42/100),"")</f>
        <v>0</v>
      </c>
      <c r="JQ32" s="49">
        <f>IFERROR(IF(VLOOKUP(A32,tbMoveset!A2:J112,10,FALSE)=TRUE,IF((Backdoors!AI12+IF(JO32&gt;=0.45,VLOOKUP(Calculator!E23,tbSkills!DH3:DI6,2,FALSE)+IF(AND(Calculator!B8=TRUE,Backdoors!BI42=TRUE),VLOOKUP(Calculator!E23,tbSkills!DH3:DJ6,3,FALSE),0),0))&gt;=0,1+(Backdoors!AL2*(IF((Backdoors!AI12+IF(JO32&gt;=0.45,VLOOKUP(Calculator!E23,tbSkills!DH3:DI6,2,FALSE)+IF(AND(Calculator!B8=TRUE,Backdoors!BI42=TRUE),VLOOKUP(Calculator!E23,tbSkills!DH3:DJ6,3,FALSE),0),0))&gt;=100,100,(Backdoors!AI12+IF(JO32&gt;=0.45,VLOOKUP(Calculator!E23,tbSkills!DH3:DI6,2,FALSE)+IF(AND(Calculator!B8=TRUE,Backdoors!BI42=TRUE),VLOOKUP(Calculator!E23,tbSkills!DH3:DJ6,3,FALSE),0),0)))/100)),(1-(0.25*((-Backdoors!AI12-IF(JO32&gt;=0.45,VLOOKUP(Calculator!E23,tbSkills!DH3:DI6,2,FALSE)+IF(AND(Calculator!B8=TRUE,Backdoors!BI42=TRUE),VLOOKUP(Calculator!E23,tbSkills!DH3:DJ6,3,FALSE),0),0))/100)))),1),"")</f>
        <v>1</v>
      </c>
      <c r="JR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O32)*JQ32)*(VLOOKUP(A32,tbMoveset!A2:C112,3,FALSE)/100)*IF(VLOOKUP(A32,tbMoveset!A2:B112,2,FALSE)="Projectile",Backdoors!N10,Backdoors!N9),0),"")</f>
        <v/>
      </c>
      <c r="JS32" s="49">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45&gt;0,VLOOKUP(Calculator!E45,tbSkills!AC3:AD5,2,FALSE),Backdoors!AL3)*(IF((Backdoors!AI12+IF(JO32&gt;=0.45,VLOOKUP(Calculator!E23,tbSkills!DH3:DI6,2,FALSE)+IF(AND(Calculator!B8=TRUE,Backdoors!BI42=TRUE),VLOOKUP(Calculator!E23,tbSkills!DH3:DJ6,3,FALSE),0),0))&gt;=100,100,(Backdoors!AI12+IF(JO32&gt;=0.45,VLOOKUP(Calculator!E23,tbSkills!DH3:DI6,2,FALSE)+IF(AND(Calculator!B8=TRUE,Backdoors!BI42=TRUE),VLOOKUP(Calculator!E23,tbSkills!DH3:DJ6,3,FALSE),0),0)))/100)),1))*IF(VLOOKUP(A32,tbMoveset!A2:K112,11,FALSE)=TRUE,Backdoors!AC5,1))*JP32,0),"")</f>
        <v>0</v>
      </c>
      <c r="JT32" s="49">
        <f>VLOOKUP(A32,tbMoveset!A2:G112,7,FALSE)*IFERROR(IF(Backdoors!AI12&gt;=0,1+(IF(Calculator!E40&gt;0,VLOOKUP(Calculator!E40,tbSkills!AI3:AJ5,2,FALSE),Backdoors!AL4)*(IF((Backdoors!AI12+IF(JO32&gt;=0.45,VLOOKUP(Calculator!E23,tbSkills!DH3:DI6,2,FALSE)+IF(AND(Calculator!B8=TRUE,Backdoors!BI42=TRUE),VLOOKUP(Calculator!E23,tbSkills!DH3:DJ6,3,FALSE),0),0))&gt;=100,100,(Backdoors!AI12+IF(JO32&gt;=0.45,VLOOKUP(Calculator!E23,tbSkills!DH3:DI6,2,FALSE)+IF(AND(Calculator!B8=TRUE,Backdoors!BI42=TRUE),VLOOKUP(Calculator!E23,tbSkills!DH3:DJ6,3,FALSE),0),0)))/100)),1),1)</f>
        <v>0.6</v>
      </c>
      <c r="JU32" s="87">
        <f t="shared" si="31"/>
        <v>0</v>
      </c>
      <c r="JV32" s="86" t="str">
        <f>IFERROR(IF(VLOOKUP(A32,tbMoveset!A2:B112,2,FALSE)="Sever",Backdoors!AY43/100,IF(VLOOKUP(A32,tbMoveset!A2:B112,2,FALSE)="Blunt",Backdoors!AZ43/100,Backdoors!BA43/100)),"")</f>
        <v/>
      </c>
      <c r="JW32" s="49">
        <f>IFERROR(IF(VLOOKUP(tbMoveset!A32,tbMoveset!A2:H112,8,FALSE)="Other",IF(VLOOKUP(tbMoveset!A32,tbMoveset!A2:I112,9,FALSE)="Fire",Backdoors!BB43,IF(VLOOKUP(tbMoveset!A32,tbMoveset!A2:I112,9,FALSE)="Water",Backdoors!BC43,IF(VLOOKUP(tbMoveset!A32,tbMoveset!A2:I112,9,FALSE)="Thunder",Backdoors!BD43,IF(VLOOKUP(tbMoveset!A32,tbMoveset!A2:I112,9,FALSE)="Ice",Backdoors!BE43,IF(VLOOKUP(tbMoveset!A32,tbMoveset!A2:I112,9,FALSE)="Dragon",Backdoors!BF43,Backdoors!BG43)))))/100,Backdoors!BG43/100),"")</f>
        <v>0</v>
      </c>
      <c r="JX32" s="49">
        <f>IFERROR(IF(VLOOKUP(A32,tbMoveset!A2:J112,10,FALSE)=TRUE,IF((Backdoors!AI12+IF(JV32&gt;=0.45,VLOOKUP(Calculator!E23,tbSkills!DH3:DI6,2,FALSE)+IF(AND(Calculator!B8=TRUE,Backdoors!BI43=TRUE),VLOOKUP(Calculator!E23,tbSkills!DH3:DJ6,3,FALSE),0),0))&gt;=0,1+(Backdoors!AL2*(IF((Backdoors!AI12+IF(JV32&gt;=0.45,VLOOKUP(Calculator!E23,tbSkills!DH3:DI6,2,FALSE)+IF(AND(Calculator!B8=TRUE,Backdoors!BI43=TRUE),VLOOKUP(Calculator!E23,tbSkills!DH3:DJ6,3,FALSE),0),0))&gt;=100,100,(Backdoors!AI12+IF(JV32&gt;=0.45,VLOOKUP(Calculator!E23,tbSkills!DH3:DI6,2,FALSE)+IF(AND(Calculator!B8=TRUE,Backdoors!BI43=TRUE),VLOOKUP(Calculator!E23,tbSkills!DH3:DJ6,3,FALSE),0),0)))/100)),(1-(0.25*((-Backdoors!AI12-IF(JV32&gt;=0.45,VLOOKUP(Calculator!E23,tbSkills!DH3:DI6,2,FALSE)+IF(AND(Calculator!B8=TRUE,Backdoors!BI43=TRUE),VLOOKUP(Calculator!E23,tbSkills!DH3:DJ6,3,FALSE),0),0))/100)))),1),"")</f>
        <v>1</v>
      </c>
      <c r="JY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V32)*JX32)*(VLOOKUP(A32,tbMoveset!A2:C112,3,FALSE)/100)*IF(VLOOKUP(A32,tbMoveset!A2:B112,2,FALSE)="Projectile",Backdoors!N10,Backdoors!N9),0),"")</f>
        <v/>
      </c>
      <c r="JZ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46&gt;0,VLOOKUP(Calculator!E46,tbSkills!AC3:AD5,2,FALSE),Backdoors!AL3)*(IF((Backdoors!AI12+IF(JV32&gt;=0.45,VLOOKUP(Calculator!E23,tbSkills!DH3:DI6,2,FALSE)+IF(AND(Calculator!B8=TRUE,Backdoors!BI43=TRUE),VLOOKUP(Calculator!E23,tbSkills!DH3:DJ6,3,FALSE),0),0))&gt;=100,100,(Backdoors!AI12+IF(JV32&gt;=0.45,VLOOKUP(Calculator!E23,tbSkills!DH3:DI6,2,FALSE)+IF(AND(Calculator!B8=TRUE,Backdoors!BI43=TRUE),VLOOKUP(Calculator!E23,tbSkills!DH3:DJ6,3,FALSE),0),0)))/100)),1))*IF(VLOOKUP(A32,tbMoveset!A2:K112,11,FALSE)=TRUE,Backdoors!AC5,1))*JW32,0),"")</f>
        <v/>
      </c>
      <c r="KA32" s="49">
        <f>VLOOKUP(A32,tbMoveset!A2:G112,7,FALSE)*IFERROR(IF(Backdoors!AI12&gt;=0,1+(IF(Calculator!E40&gt;0,VLOOKUP(Calculator!E40,tbSkills!AI3:AJ5,2,FALSE),Backdoors!AL4)*(IF((Backdoors!AI12+IF(JV32&gt;=0.45,VLOOKUP(Calculator!E23,tbSkills!DH3:DI6,2,FALSE)+IF(AND(Calculator!B8=TRUE,Backdoors!BI43=TRUE),VLOOKUP(Calculator!E23,tbSkills!DH3:DJ6,3,FALSE),0),0))&gt;=100,100,(Backdoors!AI12+IF(JV32&gt;=0.45,VLOOKUP(Calculator!E23,tbSkills!DH3:DI6,2,FALSE)+IF(AND(Calculator!B8=TRUE,Backdoors!BI43=TRUE),VLOOKUP(Calculator!E23,tbSkills!DH3:DJ6,3,FALSE),0),0)))/100)),1),1)</f>
        <v>0.6</v>
      </c>
      <c r="KB32" s="87">
        <f t="shared" si="32"/>
        <v>0</v>
      </c>
      <c r="KC32" s="86" t="str">
        <f>IFERROR(IF(VLOOKUP(A32,tbMoveset!A2:B112,2,FALSE)="Sever",Backdoors!AY44/100,IF(VLOOKUP(A32,tbMoveset!A2:B112,2,FALSE)="Blunt",Backdoors!AZ44/100,Backdoors!BA44/100)),"")</f>
        <v/>
      </c>
      <c r="KD32" s="49">
        <f>IFERROR(IF(VLOOKUP(tbMoveset!A32,tbMoveset!A2:H112,8,FALSE)="Other",IF(VLOOKUP(tbMoveset!A32,tbMoveset!A2:I112,9,FALSE)="Fire",Backdoors!BB44,IF(VLOOKUP(tbMoveset!A32,tbMoveset!A2:I112,9,FALSE)="Water",Backdoors!BC44,IF(VLOOKUP(tbMoveset!A32,tbMoveset!A2:I112,9,FALSE)="Thunder",Backdoors!BD44,IF(VLOOKUP(tbMoveset!A32,tbMoveset!A2:I112,9,FALSE)="Ice",Backdoors!BE44,IF(VLOOKUP(tbMoveset!A32,tbMoveset!A2:I112,9,FALSE)="Dragon",Backdoors!BF44,Backdoors!BG44)))))/100,Backdoors!BG44/100),"")</f>
        <v>0</v>
      </c>
      <c r="KE32" s="49">
        <f>IFERROR(IF(VLOOKUP(A32,tbMoveset!A2:J112,10,FALSE)=TRUE,IF((Backdoors!AI12+IF(KC32&gt;=0.45,VLOOKUP(Calculator!E23,tbSkills!DH3:DI6,2,FALSE)+IF(AND(Calculator!B8=TRUE,Backdoors!BI44=TRUE),VLOOKUP(Calculator!E23,tbSkills!DH3:DJ6,3,FALSE),0),0))&gt;=0,1+(Backdoors!AL2*(IF((Backdoors!AI12+IF(KC32&gt;=0.45,VLOOKUP(Calculator!E23,tbSkills!DH3:DI6,2,FALSE)+IF(AND(Calculator!B8=TRUE,Backdoors!BI44=TRUE),VLOOKUP(Calculator!E23,tbSkills!DH3:DJ6,3,FALSE),0),0))&gt;=100,100,(Backdoors!AI12+IF(KC32&gt;=0.45,VLOOKUP(Calculator!E23,tbSkills!DH3:DI6,2,FALSE)+IF(AND(Calculator!B8=TRUE,Backdoors!BI44=TRUE),VLOOKUP(Calculator!E23,tbSkills!DH3:DJ6,3,FALSE),0),0)))/100)),(1-(0.25*((-Backdoors!AI12-IF(KC32&gt;=0.45,VLOOKUP(Calculator!E23,tbSkills!DH3:DI6,2,FALSE)+IF(AND(Calculator!B8=TRUE,Backdoors!BI44=TRUE),VLOOKUP(Calculator!E23,tbSkills!DH3:DJ6,3,FALSE),0),0))/100)))),1),"")</f>
        <v>1</v>
      </c>
      <c r="KF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KC32)*KE32)*(VLOOKUP(A32,tbMoveset!A2:C112,3,FALSE)/100)*IF(VLOOKUP(A32,tbMoveset!A2:B112,2,FALSE)="Projectile",Backdoors!N10,Backdoors!N9),0),"")</f>
        <v/>
      </c>
      <c r="KG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REF!&gt;0,VLOOKUP(Calculator!#REF!,tbSkills!AC3:AD5,2,FALSE),Backdoors!AL3)*(IF((Backdoors!AI12+IF(KC32&gt;=0.45,VLOOKUP(Calculator!E23,tbSkills!DH3:DI6,2,FALSE)+IF(AND(Calculator!B8=TRUE,Backdoors!BI44=TRUE),VLOOKUP(Calculator!E23,tbSkills!DH3:DJ6,3,FALSE),0),0))&gt;=100,100,(Backdoors!AI12+IF(KC32&gt;=0.45,VLOOKUP(Calculator!E23,tbSkills!DH3:DI6,2,FALSE)+IF(AND(Calculator!B8=TRUE,Backdoors!BI44=TRUE),VLOOKUP(Calculator!E23,tbSkills!DH3:DJ6,3,FALSE),0),0)))/100)),1))*IF(VLOOKUP(A32,tbMoveset!A2:K112,11,FALSE)=TRUE,Backdoors!AC5,1))*KD32,0),"")</f>
        <v/>
      </c>
      <c r="KH32" s="49">
        <f>VLOOKUP(A32,tbMoveset!A2:G112,7,FALSE)*IFERROR(IF(Backdoors!AI12&gt;=0,1+(IF(Calculator!E40&gt;0,VLOOKUP(Calculator!E40,tbSkills!AI3:AJ5,2,FALSE),Backdoors!AL4)*(IF((Backdoors!AI12+IF(KC32&gt;=0.45,VLOOKUP(Calculator!E23,tbSkills!DH3:DI6,2,FALSE)+IF(AND(Calculator!B8=TRUE,Backdoors!BI44=TRUE),VLOOKUP(Calculator!E23,tbSkills!DH3:DJ6,3,FALSE),0),0))&gt;=100,100,(Backdoors!AI12+IF(KC32&gt;=0.45,VLOOKUP(Calculator!E23,tbSkills!DH3:DI6,2,FALSE)+IF(AND(Calculator!B8=TRUE,Backdoors!BI44=TRUE),VLOOKUP(Calculator!E23,tbSkills!DH3:DJ6,3,FALSE),0),0)))/100)),1),1)</f>
        <v>0.6</v>
      </c>
      <c r="KI32" s="87">
        <f t="shared" si="33"/>
        <v>0</v>
      </c>
      <c r="KJ32" s="86" t="str">
        <f>IFERROR(IF(VLOOKUP(A32,tbMoveset!A2:B112,2,FALSE)="Sever",Backdoors!AY45/100,IF(VLOOKUP(A32,tbMoveset!A2:B112,2,FALSE)="Blunt",Backdoors!AZ45/100,Backdoors!BA45/100)),"")</f>
        <v/>
      </c>
      <c r="KK32" s="49">
        <f>IFERROR(IF(VLOOKUP(tbMoveset!A32,tbMoveset!A2:H112,8,FALSE)="Other",IF(VLOOKUP(tbMoveset!A32,tbMoveset!A2:I112,9,FALSE)="Fire",Backdoors!BB45,IF(VLOOKUP(tbMoveset!A32,tbMoveset!A2:I112,9,FALSE)="Water",Backdoors!BC45,IF(VLOOKUP(tbMoveset!A32,tbMoveset!A2:I112,9,FALSE)="Thunder",Backdoors!BD45,IF(VLOOKUP(tbMoveset!A32,tbMoveset!A2:I112,9,FALSE)="Ice",Backdoors!BE45,IF(VLOOKUP(tbMoveset!A32,tbMoveset!A2:I112,9,FALSE)="Dragon",Backdoors!BF45,Backdoors!BG45)))))/100,Backdoors!BG45/100),"")</f>
        <v>0</v>
      </c>
      <c r="KL32" s="49">
        <f>IFERROR(IF(VLOOKUP(A32,tbMoveset!A2:J112,10,FALSE)=TRUE,IF((Backdoors!AI12+IF(KJ32&gt;=0.45,VLOOKUP(Calculator!E23,tbSkills!DH3:DI6,2,FALSE)+IF(AND(Calculator!B8=TRUE,Backdoors!BI45=TRUE),VLOOKUP(Calculator!E23,tbSkills!DH3:DJ6,3,FALSE),0),0))&gt;=0,1+(Backdoors!AL2*(IF((Backdoors!AI12+IF(KJ32&gt;=0.45,VLOOKUP(Calculator!E23,tbSkills!DH3:DI6,2,FALSE)+IF(AND(Calculator!B8=TRUE,Backdoors!BI45=TRUE),VLOOKUP(Calculator!E23,tbSkills!DH3:DJ6,3,FALSE),0),0))&gt;=100,100,(Backdoors!AI12+IF(KJ32&gt;=0.45,VLOOKUP(Calculator!E23,tbSkills!DH3:DI6,2,FALSE)+IF(AND(Calculator!B8=TRUE,Backdoors!BI45=TRUE),VLOOKUP(Calculator!E23,tbSkills!DH3:DJ6,3,FALSE),0),0)))/100)),(1-(0.25*((-Backdoors!AI12-IF(KJ32&gt;=0.45,VLOOKUP(Calculator!E23,tbSkills!DH3:DI6,2,FALSE)+IF(AND(Calculator!B8=TRUE,Backdoors!BI45=TRUE),VLOOKUP(Calculator!E23,tbSkills!DH3:DJ6,3,FALSE),0),0))/100)))),1),"")</f>
        <v>1</v>
      </c>
      <c r="KM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KJ32)*KL32)*(VLOOKUP(A32,tbMoveset!A2:C112,3,FALSE)/100)*IF(VLOOKUP(A32,tbMoveset!A2:B112,2,FALSE)="Projectile",Backdoors!N10,Backdoors!N9),0),"")</f>
        <v/>
      </c>
      <c r="KN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REF!&gt;0,VLOOKUP(Calculator!#REF!,tbSkills!AC3:AD5,2,FALSE),Backdoors!AL3)*(IF((Backdoors!AI12+IF(KJ32&gt;=0.45,VLOOKUP(Calculator!E23,tbSkills!DH3:DI6,2,FALSE)+IF(AND(Calculator!B8=TRUE,Backdoors!BI45=TRUE),VLOOKUP(Calculator!E23,tbSkills!DH3:DJ6,3,FALSE),0),0))&gt;=100,100,(Backdoors!AI12+IF(KJ32&gt;=0.45,VLOOKUP(Calculator!E23,tbSkills!DH3:DI6,2,FALSE)+IF(AND(Calculator!B8=TRUE,Backdoors!BI45=TRUE),VLOOKUP(Calculator!E23,tbSkills!DH3:DJ6,3,FALSE),0),0)))/100)),1))*IF(VLOOKUP(A32,tbMoveset!A2:K112,11,FALSE)=TRUE,Backdoors!AC5,1))*KK32,0),"")</f>
        <v/>
      </c>
      <c r="KO32" s="49">
        <f>VLOOKUP(A32,tbMoveset!A2:G112,7,FALSE)*IFERROR(IF(Backdoors!AI12&gt;=0,1+(IF(Calculator!E40&gt;0,VLOOKUP(Calculator!E40,tbSkills!AI3:AJ5,2,FALSE),Backdoors!AL4)*(IF((Backdoors!AI12+IF(KJ32&gt;=0.45,VLOOKUP(Calculator!E23,tbSkills!DH3:DI6,2,FALSE)+IF(AND(Calculator!B8=TRUE,Backdoors!BI45=TRUE),VLOOKUP(Calculator!E23,tbSkills!DH3:DJ6,3,FALSE),0),0))&gt;=100,100,(Backdoors!AI12+IF(KJ32&gt;=0.45,VLOOKUP(Calculator!E23,tbSkills!DH3:DI6,2,FALSE)+IF(AND(Calculator!B8=TRUE,Backdoors!BI45=TRUE),VLOOKUP(Calculator!E23,tbSkills!DH3:DJ6,3,FALSE),0),0)))/100)),1),1)</f>
        <v>0.6</v>
      </c>
      <c r="KP32" s="87">
        <f t="shared" si="34"/>
        <v>0</v>
      </c>
      <c r="KQ32" s="86" t="str">
        <f>IFERROR(IF(VLOOKUP(A32,tbMoveset!A2:B112,2,FALSE)="Sever",Backdoors!AY46/100,IF(VLOOKUP(A32,tbMoveset!A2:B112,2,FALSE)="Blunt",Backdoors!AZ46/100,Backdoors!BA46/100)),"")</f>
        <v/>
      </c>
      <c r="KR32" s="49">
        <f>IFERROR(IF(VLOOKUP(tbMoveset!A32,tbMoveset!A2:H112,8,FALSE)="Other",IF(VLOOKUP(tbMoveset!A32,tbMoveset!A2:I112,9,FALSE)="Fire",Backdoors!BB46,IF(VLOOKUP(tbMoveset!A32,tbMoveset!A2:I112,9,FALSE)="Water",Backdoors!BC46,IF(VLOOKUP(tbMoveset!A32,tbMoveset!A2:I112,9,FALSE)="Thunder",Backdoors!BD46,IF(VLOOKUP(tbMoveset!A32,tbMoveset!A2:I112,9,FALSE)="Ice",Backdoors!BE46,IF(VLOOKUP(tbMoveset!A32,tbMoveset!A2:I112,9,FALSE)="Dragon",Backdoors!BF46,Backdoors!BG46)))))/100,Backdoors!BG46/100),"")</f>
        <v>0</v>
      </c>
      <c r="KS32" s="49">
        <f>IFERROR(IF(VLOOKUP(A32,tbMoveset!A2:J112,10,FALSE)=TRUE,IF((Backdoors!AI12+IF(KQ32&gt;=0.45,VLOOKUP(Calculator!E23,tbSkills!DH3:DI6,2,FALSE)+IF(AND(Calculator!B8=TRUE,Backdoors!BI46=TRUE),VLOOKUP(Calculator!E23,tbSkills!DH3:DJ6,3,FALSE),0),0))&gt;=0,1+(Backdoors!AL2*(IF((Backdoors!AI12+IF(KQ32&gt;=0.45,VLOOKUP(Calculator!E23,tbSkills!DH3:DI6,2,FALSE)+IF(AND(Calculator!B8=TRUE,Backdoors!BI46=TRUE),VLOOKUP(Calculator!E23,tbSkills!DH3:DJ6,3,FALSE),0),0))&gt;=100,100,(Backdoors!AI12+IF(KQ32&gt;=0.45,VLOOKUP(Calculator!E23,tbSkills!DH3:DI6,2,FALSE)+IF(AND(Calculator!B8=TRUE,Backdoors!BI46=TRUE),VLOOKUP(Calculator!E23,tbSkills!DH3:DJ6,3,FALSE),0),0)))/100)),(1-(0.25*((-Backdoors!AI12-IF(KQ32&gt;=0.45,VLOOKUP(Calculator!E23,tbSkills!DH3:DI6,2,FALSE)+IF(AND(Calculator!B8=TRUE,Backdoors!BI46=TRUE),VLOOKUP(Calculator!E23,tbSkills!DH3:DJ6,3,FALSE),0),0))/100)))),1),"")</f>
        <v>1</v>
      </c>
      <c r="KT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KQ32)*KS32)*(VLOOKUP(A32,tbMoveset!A2:C112,3,FALSE)/100)*IF(VLOOKUP(A32,tbMoveset!A2:B112,2,FALSE)="Projectile",Backdoors!N10,Backdoors!N9),0),"")</f>
        <v/>
      </c>
      <c r="KU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REF!&gt;0,VLOOKUP(Calculator!#REF!,tbSkills!AC3:AD5,2,FALSE),Backdoors!AL3)*(IF((Backdoors!AI12+IF(KQ32&gt;=0.45,VLOOKUP(Calculator!E23,tbSkills!DH3:DI6,2,FALSE)+IF(AND(Calculator!B8=TRUE,Backdoors!BI46=TRUE),VLOOKUP(Calculator!E23,tbSkills!DH3:DJ6,3,FALSE),0),0))&gt;=100,100,(Backdoors!AI12+IF(KQ32&gt;=0.45,VLOOKUP(Calculator!E23,tbSkills!DH3:DI6,2,FALSE)+IF(AND(Calculator!B8=TRUE,Backdoors!BI46=TRUE),VLOOKUP(Calculator!E23,tbSkills!DH3:DJ6,3,FALSE),0),0)))/100)),1))*IF(VLOOKUP(A32,tbMoveset!A2:K112,11,FALSE)=TRUE,Backdoors!AC5,1))*KR32,0),"")</f>
        <v/>
      </c>
      <c r="KV32" s="49">
        <f>VLOOKUP(A32,tbMoveset!A2:G112,7,FALSE)*IFERROR(IF(Backdoors!AI12&gt;=0,1+(IF(Calculator!E40&gt;0,VLOOKUP(Calculator!E40,tbSkills!AI3:AJ5,2,FALSE),Backdoors!AL4)*(IF((Backdoors!AI12+IF(KQ32&gt;=0.45,VLOOKUP(Calculator!E23,tbSkills!DH3:DI6,2,FALSE)+IF(AND(Calculator!B8=TRUE,Backdoors!BI46=TRUE),VLOOKUP(Calculator!E23,tbSkills!DH3:DJ6,3,FALSE),0),0))&gt;=100,100,(Backdoors!AI12+IF(KQ32&gt;=0.45,VLOOKUP(Calculator!E23,tbSkills!DH3:DI6,2,FALSE)+IF(AND(Calculator!B8=TRUE,Backdoors!BI46=TRUE),VLOOKUP(Calculator!E23,tbSkills!DH3:DJ6,3,FALSE),0),0)))/100)),1),1)</f>
        <v>0.6</v>
      </c>
      <c r="KW32" s="87">
        <f t="shared" si="35"/>
        <v>0</v>
      </c>
    </row>
    <row r="33" spans="1:309" x14ac:dyDescent="0.25">
      <c r="A33" s="95" t="str">
        <f>tbMoveset!A33</f>
        <v>Demon Flurry (R3)</v>
      </c>
      <c r="B33" s="86">
        <f>IFERROR(IF(VLOOKUP(A33,tbMoveset!A2:B112,2,FALSE)="Sever",Backdoors!AY3/100,IF(VLOOKUP(A33,tbMoveset!A2:B112,2,FALSE)="Blunt",Backdoors!AZ3/100,Backdoors!BA3/100)),"")</f>
        <v>0.8</v>
      </c>
      <c r="C33" s="49">
        <f>IFERROR(IF(VLOOKUP(tbMoveset!A33,tbMoveset!A2:H112,8,FALSE)="Other",IF(VLOOKUP(tbMoveset!A33,tbMoveset!A2:I112,9,FALSE)="Fire",Backdoors!BB3,IF(VLOOKUP(tbMoveset!A33,tbMoveset!A2:I112,9,FALSE)="Water",Backdoors!BC3,IF(VLOOKUP(tbMoveset!A33,tbMoveset!A2:I112,9,FALSE)="Thunder",Backdoors!BD3,IF(VLOOKUP(tbMoveset!A33,tbMoveset!A2:I112,9,FALSE)="Ice",Backdoors!BE3,IF(VLOOKUP(tbMoveset!A33,tbMoveset!A2:I112,9,FALSE)="Dragon",Backdoors!BF3,Backdoors!BG3)))))/100,Backdoors!BG3/100),"")</f>
        <v>0</v>
      </c>
      <c r="D33" s="49">
        <f>IFERROR(IF(VLOOKUP(A33,tbMoveset!A2:J112,10,FALSE)=TRUE,IF((Backdoors!AI12+IF(B33&gt;=0.45,VLOOKUP(Calculator!E23,tbSkills!DH3:DI6,2,FALSE)+IF(AND(Calculator!B8=TRUE,Backdoors!BI3=TRUE),VLOOKUP(Calculator!E23,tbSkills!DH3:DJ6,3,FALSE),0),0))&gt;=0,1+(Backdoors!AL2*(IF((Backdoors!AI12+IF(B33&gt;=0.45,VLOOKUP(Calculator!E23,tbSkills!DH3:DI6,2,FALSE)+IF(AND(Calculator!B8=TRUE,Backdoors!BI3=TRUE),VLOOKUP(Calculator!E23,tbSkills!DH3:DJ6,3,FALSE),0),0))&gt;=100,100,(Backdoors!AI12+IF(B33&gt;=0.45,VLOOKUP(Calculator!E23,tbSkills!DH3:DI6,2,FALSE)+IF(AND(Calculator!B8=TRUE,Backdoors!BI3=TRUE),VLOOKUP(Calculator!E23,tbSkills!DH3:DJ6,3,FALSE),0),0)))/100)),(1-(0.25*((-Backdoors!AI12-IF(B33&gt;=0.45,VLOOKUP(Calculator!E23,tbSkills!DH3:DI6,2,FALSE)+IF(AND(Calculator!B8=TRUE,Backdoors!BI3=TRUE),VLOOKUP(Calculator!E23,tbSkills!DH3:DJ6,3,FALSE),0),0))/100)))),1),"")</f>
        <v>1</v>
      </c>
      <c r="E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33)*D33)*(VLOOKUP(A33,tbMoveset!A2:C112,3,FALSE)/100)*IF(VLOOKUP(A33,tbMoveset!A2:B112,2,FALSE)="Projectile",Backdoors!N10,Backdoors!N9),0),"")</f>
        <v>2</v>
      </c>
      <c r="F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33&gt;=0.45,VLOOKUP(Calculator!E23,tbSkills!DH3:DI6,2,FALSE)+IF(AND(Calculator!B8=TRUE,Backdoors!BI3=TRUE),VLOOKUP(Calculator!E23,tbSkills!DH3:DJ6,3,FALSE),0),0))&gt;=100,100,(Backdoors!AI12+IF(B33&gt;=0.45,VLOOKUP(Calculator!E23,tbSkills!DH3:DI6,2,FALSE)+IF(AND(Calculator!B8=TRUE,Backdoors!BI3=TRUE),VLOOKUP(Calculator!E23,tbSkills!DH3:DJ6,3,FALSE),0),0)))/100)),1))*IF(VLOOKUP(A33,tbMoveset!A2:K112,11,FALSE)=TRUE,Backdoors!AC5,1))*C33,0),"")</f>
        <v>0</v>
      </c>
      <c r="G33">
        <f>VLOOKUP(A33,tbMoveset!A2:G112,7,FALSE)*IFERROR(IF(Backdoors!AI12&gt;=0,1+(IF(Calculator!E40&gt;0,VLOOKUP(Calculator!E40,tbSkills!AI3:AJ5,2,FALSE),Backdoors!AL4)*(IF((Backdoors!AI12+IF(B33&gt;=0.45,VLOOKUP(Calculator!E23,tbSkills!DH3:DI6,2,FALSE)+IF(AND(Calculator!B8=TRUE,Backdoors!BI3=TRUE),VLOOKUP(Calculator!E23,tbSkills!DH3:DJ6,3,FALSE),0),0))&gt;=100,100,(Backdoors!AI12+IF(B33&gt;=0.45,VLOOKUP(Calculator!E23,tbSkills!DH3:DI6,2,FALSE)+IF(AND(Calculator!B8=TRUE,Backdoors!BI3=TRUE),VLOOKUP(Calculator!E23,tbSkills!DH3:DJ6,3,FALSE),0),0)))/100)),1),1)</f>
        <v>0.8</v>
      </c>
      <c r="H33" s="87">
        <f t="shared" si="43"/>
        <v>2</v>
      </c>
      <c r="I33" s="86">
        <f>IFERROR(IF(VLOOKUP(A33,tbMoveset!A2:B112,2,FALSE)="Sever",Backdoors!AY4/100,IF(VLOOKUP(A33,tbMoveset!A2:B112,2,FALSE)="Blunt",Backdoors!AZ4/100,Backdoors!BA4/100)),"")</f>
        <v>0.65</v>
      </c>
      <c r="J33" s="49">
        <f>IFERROR(IF(VLOOKUP(tbMoveset!A33,tbMoveset!A2:H112,8,FALSE)="Other",IF(VLOOKUP(tbMoveset!A33,tbMoveset!A2:I112,9,FALSE)="Fire",Backdoors!BB4,IF(VLOOKUP(tbMoveset!A33,tbMoveset!A2:I112,9,FALSE)="Water",Backdoors!BC4,IF(VLOOKUP(tbMoveset!A33,tbMoveset!A2:I112,9,FALSE)="Thunder",Backdoors!BD4,IF(VLOOKUP(tbMoveset!A33,tbMoveset!A2:I112,9,FALSE)="Ice",Backdoors!BE4,IF(VLOOKUP(tbMoveset!A33,tbMoveset!A2:I112,9,FALSE)="Dragon",Backdoors!BF4,Backdoors!BG4)))))/100,Backdoors!BG4/100),"")</f>
        <v>0</v>
      </c>
      <c r="K33" s="49">
        <f>IFERROR(IF(VLOOKUP(A33,tbMoveset!A2:J112,10,FALSE)=TRUE,IF((Backdoors!AI12+IF(I33&gt;=0.45,VLOOKUP(Calculator!E23,tbSkills!DH3:DI6,2,FALSE)+IF(AND(Calculator!B8=TRUE,Backdoors!BI4=TRUE),VLOOKUP(Calculator!E23,tbSkills!DH3:DJ6,3,FALSE),0),0))&gt;=0,1+(Backdoors!AL2*(IF((Backdoors!AI12+IF(I33&gt;=0.45,VLOOKUP(Calculator!E23,tbSkills!DH3:DI6,2,FALSE)+IF(AND(Calculator!B8=TRUE,Backdoors!BI4=TRUE),VLOOKUP(Calculator!E23,tbSkills!DH3:DJ6,3,FALSE),0),0))&gt;=100,100,(Backdoors!AI12+IF(I33&gt;=0.45,VLOOKUP(Calculator!E23,tbSkills!DH3:DI6,2,FALSE)+IF(AND(Calculator!B8=TRUE,Backdoors!BI4=TRUE),VLOOKUP(Calculator!E23,tbSkills!DH3:DJ6,3,FALSE),0),0)))/100)),(1-(0.25*((-Backdoors!AI12-IF(I33&gt;=0.45,VLOOKUP(Calculator!E23,tbSkills!DH3:DI6,2,FALSE)+IF(AND(Calculator!B8=TRUE,Backdoors!BI4=TRUE),VLOOKUP(Calculator!E23,tbSkills!DH3:DJ6,3,FALSE),0),0))/100)))),1),"")</f>
        <v>1</v>
      </c>
      <c r="L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33)*K33)*(VLOOKUP(A33,tbMoveset!A2:C112,3,FALSE)/100)*IF(VLOOKUP(A33,tbMoveset!A2:B112,2,FALSE)="Projectile",Backdoors!N10,Backdoors!N9),0),"")</f>
        <v>2</v>
      </c>
      <c r="M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I33&gt;=0.45,VLOOKUP(Calculator!E23,tbSkills!DH3:DI6,2,FALSE)+IF(AND(Calculator!B8=TRUE,Backdoors!BI4=TRUE),VLOOKUP(Calculator!E23,tbSkills!DH3:DJ6,3,FALSE),0),0))&gt;=100,100,(Backdoors!AI12+IF(I33&gt;=0.45,VLOOKUP(Calculator!E23,tbSkills!DH3:DI6,2,FALSE)+IF(AND(Calculator!B8=TRUE,Backdoors!BI4=TRUE),VLOOKUP(Calculator!E23,tbSkills!DH3:DJ6,3,FALSE),0),0)))/100)),1))*IF(VLOOKUP(A33,tbMoveset!A2:K112,11,FALSE)=TRUE,Backdoors!AC5,1))*J33,0),"")</f>
        <v>0</v>
      </c>
      <c r="N33" s="49">
        <f>VLOOKUP(A33,tbMoveset!A2:G112,7,FALSE)*IFERROR(IF(Backdoors!AI12&gt;=0,1+(IF(Calculator!E40&gt;0,VLOOKUP(Calculator!E40,tbSkills!AI3:AJ5,2,FALSE),Backdoors!AL4)*(IF((Backdoors!AI12+IF(I33&gt;=0.45,VLOOKUP(Calculator!E23,tbSkills!DH3:DI6,2,FALSE)+IF(AND(Calculator!B8=TRUE,Backdoors!BI4=TRUE),VLOOKUP(Calculator!E23,tbSkills!DH3:DJ6,3,FALSE),0),0))&gt;=100,100,(Backdoors!AI12+IF(I33&gt;=0.45,VLOOKUP(Calculator!E23,tbSkills!DH3:DI6,2,FALSE)+IF(AND(Calculator!B8=TRUE,Backdoors!BI4=TRUE),VLOOKUP(Calculator!E23,tbSkills!DH3:DJ6,3,FALSE),0),0)))/100)),1),1)</f>
        <v>0.8</v>
      </c>
      <c r="O33" s="87">
        <f t="shared" si="36"/>
        <v>2</v>
      </c>
      <c r="P33" s="86">
        <f>IFERROR(IF(VLOOKUP(A33,tbMoveset!A2:B112,2,FALSE)="Sever",Backdoors!AY5/100,IF(VLOOKUP(A33,tbMoveset!A2:B112,2,FALSE)="Blunt",Backdoors!AZ5/100,Backdoors!BA5/100)),"")</f>
        <v>0.5</v>
      </c>
      <c r="Q33" s="49">
        <f>IFERROR(IF(VLOOKUP(tbMoveset!A33,tbMoveset!A2:H112,8,FALSE)="Other",IF(VLOOKUP(tbMoveset!A33,tbMoveset!A2:I112,9,FALSE)="Fire",Backdoors!BB5,IF(VLOOKUP(tbMoveset!A33,tbMoveset!A2:I112,9,FALSE)="Water",Backdoors!BC5,IF(VLOOKUP(tbMoveset!A33,tbMoveset!A2:I112,9,FALSE)="Thunder",Backdoors!BD5,IF(VLOOKUP(tbMoveset!A33,tbMoveset!A2:I112,9,FALSE)="Ice",Backdoors!BE5,IF(VLOOKUP(tbMoveset!A33,tbMoveset!A2:I112,9,FALSE)="Dragon",Backdoors!BF5,Backdoors!BG5)))))/100,Backdoors!BG5/100),"")</f>
        <v>0</v>
      </c>
      <c r="R33" s="49">
        <f>IFERROR(IF(VLOOKUP(A33,tbMoveset!A2:J112,10,FALSE)=TRUE,IF((Backdoors!AI12+IF(P33&gt;=0.45,VLOOKUP(Calculator!E23,tbSkills!DH3:DI6,2,FALSE)+IF(AND(Calculator!B8=TRUE,Backdoors!BI5=TRUE),VLOOKUP(Calculator!E23,tbSkills!DH3:DJ6,3,FALSE),0),0))&gt;=0,1+(Backdoors!AL2*(IF((Backdoors!AI12+IF(P33&gt;=0.45,VLOOKUP(Calculator!E23,tbSkills!DH3:DI6,2,FALSE)+IF(AND(Calculator!B8=TRUE,Backdoors!BI5=TRUE),VLOOKUP(Calculator!E23,tbSkills!DH3:DJ6,3,FALSE),0),0))&gt;=100,100,(Backdoors!AI12+IF(P33&gt;=0.45,VLOOKUP(Calculator!E23,tbSkills!DH3:DI6,2,FALSE)+IF(AND(Calculator!B8=TRUE,Backdoors!BI5=TRUE),VLOOKUP(Calculator!E23,tbSkills!DH3:DJ6,3,FALSE),0),0)))/100)),(1-(0.25*((-Backdoors!AI12-IF(P33&gt;=0.45,VLOOKUP(Calculator!E23,tbSkills!DH3:DI6,2,FALSE)+IF(AND(Calculator!B8=TRUE,Backdoors!BI5=TRUE),VLOOKUP(Calculator!E23,tbSkills!DH3:DJ6,3,FALSE),0),0))/100)))),1),"")</f>
        <v>1</v>
      </c>
      <c r="S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P33)*R33)*(VLOOKUP(A33,tbMoveset!A2:C112,3,FALSE)/100)*IF(VLOOKUP(A33,tbMoveset!A2:B112,2,FALSE)="Projectile",Backdoors!N10,Backdoors!N9),0),"")</f>
        <v>1</v>
      </c>
      <c r="T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P33&gt;=0.45,VLOOKUP(Calculator!E23,tbSkills!DH3:DI6,2,FALSE)+IF(AND(Calculator!B8=TRUE,Backdoors!BI5=TRUE),VLOOKUP(Calculator!E23,tbSkills!DH3:DJ6,3,FALSE),0),0))&gt;=100,100,(Backdoors!AI12+IF(P33&gt;=0.45,VLOOKUP(Calculator!E23,tbSkills!DH3:DI6,2,FALSE)+IF(AND(Calculator!B8=TRUE,Backdoors!BI5=TRUE),VLOOKUP(Calculator!E23,tbSkills!DH3:DJ6,3,FALSE),0),0)))/100)),1))*IF(VLOOKUP(A33,tbMoveset!A2:K112,11,FALSE)=TRUE,Backdoors!AC5,1))*Q33,0),"")</f>
        <v>0</v>
      </c>
      <c r="U33" s="49">
        <f>VLOOKUP(A33,tbMoveset!A2:G112,7,FALSE)*IFERROR(IF(Backdoors!AI12&gt;=0,1+(IF(Calculator!E40&gt;0,VLOOKUP(Calculator!E40,tbSkills!AI3:AJ5,2,FALSE),Backdoors!AL4)*(IF((Backdoors!AI12+IF(P33&gt;=0.45,VLOOKUP(Calculator!E23,tbSkills!DH3:DI6,2,FALSE)+IF(AND(Calculator!B8=TRUE,Backdoors!BI5=TRUE),VLOOKUP(Calculator!E23,tbSkills!DH3:DJ6,3,FALSE),0),0))&gt;=100,100,(Backdoors!AI12+IF(P33&gt;=0.45,VLOOKUP(Calculator!E23,tbSkills!DH3:DI6,2,FALSE)+IF(AND(Calculator!B8=TRUE,Backdoors!BI5=TRUE),VLOOKUP(Calculator!E23,tbSkills!DH3:DJ6,3,FALSE),0),0)))/100)),1),1)</f>
        <v>0.8</v>
      </c>
      <c r="V33" s="87">
        <f t="shared" si="37"/>
        <v>1</v>
      </c>
      <c r="W33" s="86">
        <f>IFERROR(IF(VLOOKUP(A33,tbMoveset!A2:B112,2,FALSE)="Sever",Backdoors!AY6/100,IF(VLOOKUP(A33,tbMoveset!A2:B112,2,FALSE)="Blunt",Backdoors!AZ6/100,Backdoors!BA6/100)),"")</f>
        <v>0.45</v>
      </c>
      <c r="X33" s="49">
        <f>IFERROR(IF(VLOOKUP(tbMoveset!A33,tbMoveset!A2:H112,8,FALSE)="Other",IF(VLOOKUP(tbMoveset!A33,tbMoveset!A2:I112,9,FALSE)="Fire",Backdoors!BB6,IF(VLOOKUP(tbMoveset!A33,tbMoveset!A2:I112,9,FALSE)="Water",Backdoors!BC6,IF(VLOOKUP(tbMoveset!A33,tbMoveset!A2:I112,9,FALSE)="Thunder",Backdoors!BD6,IF(VLOOKUP(tbMoveset!A33,tbMoveset!A2:I112,9,FALSE)="Ice",Backdoors!BE6,IF(VLOOKUP(tbMoveset!A33,tbMoveset!A2:I112,9,FALSE)="Dragon",Backdoors!BF6,Backdoors!BG6)))))/100,Backdoors!BG6/100),"")</f>
        <v>0</v>
      </c>
      <c r="Y33" s="49">
        <f>IFERROR(IF(VLOOKUP(A33,tbMoveset!A2:J112,10,FALSE)=TRUE,IF((Backdoors!AI12+IF(W33&gt;=0.45,VLOOKUP(Calculator!E23,tbSkills!DH3:DI6,2,FALSE)+IF(AND(Calculator!B8=TRUE,Backdoors!BI6=TRUE),VLOOKUP(Calculator!E23,tbSkills!DH3:DJ6,3,FALSE),0),0))&gt;=0,1+(Backdoors!AL2*(IF((Backdoors!AI12+IF(W33&gt;=0.45,VLOOKUP(Calculator!E23,tbSkills!DH3:DI6,2,FALSE)+IF(AND(Calculator!B8=TRUE,Backdoors!BI6=TRUE),VLOOKUP(Calculator!E23,tbSkills!DH3:DJ6,3,FALSE),0),0))&gt;=100,100,(Backdoors!AI12+IF(W33&gt;=0.45,VLOOKUP(Calculator!E23,tbSkills!DH3:DI6,2,FALSE)+IF(AND(Calculator!B8=TRUE,Backdoors!BI6=TRUE),VLOOKUP(Calculator!E23,tbSkills!DH3:DJ6,3,FALSE),0),0)))/100)),(1-(0.25*((-Backdoors!AI12-IF(W33&gt;=0.45,VLOOKUP(Calculator!E23,tbSkills!DH3:DI6,2,FALSE)+IF(AND(Calculator!B8=TRUE,Backdoors!BI6=TRUE),VLOOKUP(Calculator!E23,tbSkills!DH3:DJ6,3,FALSE),0),0))/100)))),1),"")</f>
        <v>1</v>
      </c>
      <c r="Z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W33)*Y33)*(VLOOKUP(A33,tbMoveset!A2:C112,3,FALSE)/100)*IF(VLOOKUP(A33,tbMoveset!A2:B112,2,FALSE)="Projectile",Backdoors!N10,Backdoors!N9),0),"")</f>
        <v>1</v>
      </c>
      <c r="AA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W33&gt;=0.45,VLOOKUP(Calculator!E23,tbSkills!DH3:DI6,2,FALSE)+IF(AND(Calculator!B8=TRUE,Backdoors!BI6=TRUE),VLOOKUP(Calculator!E23,tbSkills!DH3:DJ6,3,FALSE),0),0))&gt;=100,100,(Backdoors!AI12+IF(W33&gt;=0.45,VLOOKUP(Calculator!E23,tbSkills!DH3:DI6,2,FALSE)+IF(AND(Calculator!B8=TRUE,Backdoors!BI6=TRUE),VLOOKUP(Calculator!E23,tbSkills!DH3:DJ6,3,FALSE),0),0)))/100)),1))*IF(VLOOKUP(A33,tbMoveset!A2:K112,11,FALSE)=TRUE,Backdoors!AC5,1))*X33,0),"")</f>
        <v>0</v>
      </c>
      <c r="AB33" s="49">
        <f>VLOOKUP(A33,tbMoveset!A2:G112,7,FALSE)*IFERROR(IF(Backdoors!AI12&gt;=0,1+(IF(Calculator!E40&gt;0,VLOOKUP(Calculator!E40,tbSkills!AI3:AJ5,2,FALSE),Backdoors!AL4)*(IF((Backdoors!AI12+IF(W33&gt;=0.45,VLOOKUP(Calculator!E23,tbSkills!DH3:DI6,2,FALSE)+IF(AND(Calculator!B8=TRUE,Backdoors!BI6=TRUE),VLOOKUP(Calculator!E23,tbSkills!DH3:DJ6,3,FALSE),0),0))&gt;=100,100,(Backdoors!AI12+IF(W33&gt;=0.45,VLOOKUP(Calculator!E23,tbSkills!DH3:DI6,2,FALSE)+IF(AND(Calculator!B8=TRUE,Backdoors!BI6=TRUE),VLOOKUP(Calculator!E23,tbSkills!DH3:DJ6,3,FALSE),0),0)))/100)),1),1)</f>
        <v>0.8</v>
      </c>
      <c r="AC33" s="87">
        <f t="shared" si="0"/>
        <v>1</v>
      </c>
      <c r="AD33" s="86">
        <f>IFERROR(IF(VLOOKUP(A33,tbMoveset!A2:B112,2,FALSE)="Sever",Backdoors!AY7/100,IF(VLOOKUP(A33,tbMoveset!A2:B112,2,FALSE)="Blunt",Backdoors!AZ7/100,Backdoors!BA7/100)),"")</f>
        <v>0.65</v>
      </c>
      <c r="AE33" s="49">
        <f>IFERROR(IF(VLOOKUP(tbMoveset!A33,tbMoveset!A2:H112,8,FALSE)="Other",IF(VLOOKUP(tbMoveset!A33,tbMoveset!A2:I112,9,FALSE)="Fire",Backdoors!BB7,IF(VLOOKUP(tbMoveset!A33,tbMoveset!A2:I112,9,FALSE)="Water",Backdoors!BC7,IF(VLOOKUP(tbMoveset!A33,tbMoveset!A2:I112,9,FALSE)="Thunder",Backdoors!BD7,IF(VLOOKUP(tbMoveset!A33,tbMoveset!A2:I112,9,FALSE)="Ice",Backdoors!BE7,IF(VLOOKUP(tbMoveset!A33,tbMoveset!A2:I112,9,FALSE)="Dragon",Backdoors!BF7,Backdoors!BG7)))))/100,Backdoors!BG7/100),"")</f>
        <v>0</v>
      </c>
      <c r="AF33" s="49">
        <f>IFERROR(IF(VLOOKUP(A33,tbMoveset!A2:J112,10,FALSE)=TRUE,IF((Backdoors!AI12+IF(AD33&gt;=0.45,VLOOKUP(Calculator!E23,tbSkills!DH3:DI6,2,FALSE)+IF(AND(Calculator!B8=TRUE,Backdoors!BI7=TRUE),VLOOKUP(Calculator!E23,tbSkills!DH3:DJ6,3,FALSE),0),0))&gt;=0,1+(Backdoors!AL2*(IF((Backdoors!AI12+IF(AD33&gt;=0.45,VLOOKUP(Calculator!E23,tbSkills!DH3:DI6,2,FALSE)+IF(AND(Calculator!B8=TRUE,Backdoors!BI7=TRUE),VLOOKUP(Calculator!E23,tbSkills!DH3:DJ6,3,FALSE),0),0))&gt;=100,100,(Backdoors!AI12+IF(AD33&gt;=0.45,VLOOKUP(Calculator!E23,tbSkills!DH3:DI6,2,FALSE)+IF(AND(Calculator!B8=TRUE,Backdoors!BI7=TRUE),VLOOKUP(Calculator!E23,tbSkills!DH3:DJ6,3,FALSE),0),0)))/100)),(1-(0.25*((-Backdoors!AI12-IF(AD33&gt;=0.45,VLOOKUP(Calculator!E23,tbSkills!DH3:DI6,2,FALSE)+IF(AND(Calculator!B8=TRUE,Backdoors!BI7=TRUE),VLOOKUP(Calculator!E23,tbSkills!DH3:DJ6,3,FALSE),0),0))/100)))),1),"")</f>
        <v>1</v>
      </c>
      <c r="AG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D33)*AF33)*(VLOOKUP(A33,tbMoveset!A2:C112,3,FALSE)/100)*IF(VLOOKUP(A33,tbMoveset!A2:B112,2,FALSE)="Projectile",Backdoors!N10,Backdoors!N9),0),"")</f>
        <v>2</v>
      </c>
      <c r="AH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D33&gt;=0.45,VLOOKUP(Calculator!E23,tbSkills!DH3:DI6,2,FALSE)+IF(AND(Calculator!B8=TRUE,Backdoors!BI7=TRUE),VLOOKUP(Calculator!E23,tbSkills!DH3:DJ6,3,FALSE),0),0))&gt;=100,100,(Backdoors!AI12+IF(AD33&gt;=0.45,VLOOKUP(Calculator!E23,tbSkills!DH3:DI6,2,FALSE)+IF(AND(Calculator!B8=TRUE,Backdoors!BI7=TRUE),VLOOKUP(Calculator!E23,tbSkills!DH3:DJ6,3,FALSE),0),0)))/100)),1))*IF(VLOOKUP(A33,tbMoveset!A2:K112,11,FALSE)=TRUE,Backdoors!AC5,1))*AE33,0),"")</f>
        <v>0</v>
      </c>
      <c r="AI33" s="49">
        <f>VLOOKUP(A33,tbMoveset!A2:G112,7,FALSE)*IFERROR(IF(Backdoors!AI12&gt;=0,1+(IF(Calculator!E40&gt;0,VLOOKUP(Calculator!E40,tbSkills!AI3:AJ5,2,FALSE),Backdoors!AL4)*(IF((Backdoors!AI12+IF(AD33&gt;=0.45,VLOOKUP(Calculator!E23,tbSkills!DH3:DI6,2,FALSE)+IF(AND(Calculator!B8=TRUE,Backdoors!BI7=TRUE),VLOOKUP(Calculator!E23,tbSkills!DH3:DJ6,3,FALSE),0),0))&gt;=100,100,(Backdoors!AI12+IF(AD33&gt;=0.45,VLOOKUP(Calculator!E23,tbSkills!DH3:DI6,2,FALSE)+IF(AND(Calculator!B8=TRUE,Backdoors!BI7=TRUE),VLOOKUP(Calculator!E23,tbSkills!DH3:DJ6,3,FALSE),0),0)))/100)),1),1)</f>
        <v>0.8</v>
      </c>
      <c r="AJ33" s="87">
        <f t="shared" si="1"/>
        <v>2</v>
      </c>
      <c r="AK33" s="91">
        <f>IFERROR(IF(VLOOKUP(A33,tbMoveset!A2:B112,2,FALSE)="Sever",Backdoors!AY8/100,IF(VLOOKUP(A33,tbMoveset!A2:B112,2,FALSE)="Blunt",Backdoors!AZ8/100,Backdoors!BA8/100)),"")</f>
        <v>0.45</v>
      </c>
      <c r="AL33" s="49">
        <f>IFERROR(IF(VLOOKUP(tbMoveset!A33,tbMoveset!A2:H112,8,FALSE)="Other",IF(VLOOKUP(tbMoveset!A33,tbMoveset!A2:I112,9,FALSE)="Fire",Backdoors!BB8,IF(VLOOKUP(tbMoveset!A33,tbMoveset!A2:I112,9,FALSE)="Water",Backdoors!BC8,IF(VLOOKUP(tbMoveset!A33,tbMoveset!A2:I112,9,FALSE)="Thunder",Backdoors!BD8,IF(VLOOKUP(tbMoveset!A33,tbMoveset!A2:I112,9,FALSE)="Ice",Backdoors!BE8,IF(VLOOKUP(tbMoveset!A33,tbMoveset!A2:I112,9,FALSE)="Dragon",Backdoors!BF8,Backdoors!BG8)))))/100,Backdoors!BG8/100),"")</f>
        <v>0</v>
      </c>
      <c r="AM33" s="49">
        <f>IFERROR(IF(VLOOKUP(A33,tbMoveset!A2:J112,10,FALSE)=TRUE,IF((Backdoors!AI12+IF(AK33&gt;=0.45,VLOOKUP(Calculator!E23,tbSkills!DH3:DI6,2,FALSE)+IF(AND(Calculator!B8=TRUE,Backdoors!BI8=TRUE),VLOOKUP(Calculator!E23,tbSkills!DH3:DJ6,3,FALSE),0),0))&gt;=0,1+(Backdoors!AL2*(IF((Backdoors!AI12+IF(AK33&gt;=0.45,VLOOKUP(Calculator!E23,tbSkills!DH3:DI6,2,FALSE)+IF(AND(Calculator!B8=TRUE,Backdoors!BI8=TRUE),VLOOKUP(Calculator!E23,tbSkills!DH3:DJ6,3,FALSE),0),0))&gt;=100,100,(Backdoors!AI12+IF(AK33&gt;=0.45,VLOOKUP(Calculator!E23,tbSkills!DH3:DI6,2,FALSE)+IF(AND(Calculator!B8=TRUE,Backdoors!BI8=TRUE),VLOOKUP(Calculator!E23,tbSkills!DH3:DJ6,3,FALSE),0),0)))/100)),(1-(0.25*((-Backdoors!AI12-IF(AK33&gt;=0.45,VLOOKUP(Calculator!E23,tbSkills!DH3:DI6,2,FALSE)+IF(AND(Calculator!B8=TRUE,Backdoors!BI8=TRUE),VLOOKUP(Calculator!E23,tbSkills!DH3:DJ6,3,FALSE),0),0))/100)))),1),"")</f>
        <v>1</v>
      </c>
      <c r="AN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K33)*AM33)*(VLOOKUP(A33,tbMoveset!A2:C112,3,FALSE)/100)*IF(VLOOKUP(A33,tbMoveset!A2:B112,2,FALSE)="Projectile",Backdoors!N10,Backdoors!N9),0),"")</f>
        <v>1</v>
      </c>
      <c r="AO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K33&gt;=0.45,VLOOKUP(Calculator!E23,tbSkills!DH3:DI6,2,FALSE)+IF(AND(Calculator!B8=TRUE,Backdoors!BI8=TRUE),VLOOKUP(Calculator!E23,tbSkills!DH3:DJ6,3,FALSE),0),0))&gt;=100,100,(Backdoors!AI12+IF(AK33&gt;=0.45,VLOOKUP(Calculator!E23,tbSkills!DH3:DI6,2,FALSE)+IF(AND(Calculator!B8=TRUE,Backdoors!BI8=TRUE),VLOOKUP(Calculator!E23,tbSkills!DH3:DJ6,3,FALSE),0),0)))/100)),1))*IF(VLOOKUP(A33,tbMoveset!A2:K112,11,FALSE)=TRUE,Backdoors!AC5,1))*AL33,0),"")</f>
        <v>0</v>
      </c>
      <c r="AP33" s="49">
        <f>VLOOKUP(A33,tbMoveset!A2:G112,7,FALSE)*IFERROR(IF(Backdoors!AI12&gt;=0,1+(IF(Calculator!E40&gt;0,VLOOKUP(Calculator!E40,tbSkills!AI3:AJ5,2,FALSE),Backdoors!AL4)*(IF((Backdoors!AI12+IF(AK33&gt;=0.45,VLOOKUP(Calculator!E23,tbSkills!DH3:DI6,2,FALSE)+IF(AND(Calculator!B8=TRUE,Backdoors!BI8=TRUE),VLOOKUP(Calculator!E23,tbSkills!DH3:DJ6,3,FALSE),0),0))&gt;=100,100,(Backdoors!AI12+IF(AK33&gt;=0.45,VLOOKUP(Calculator!E23,tbSkills!DH3:DI6,2,FALSE)+IF(AND(Calculator!B8=TRUE,Backdoors!BI8=TRUE),VLOOKUP(Calculator!E23,tbSkills!DH3:DJ6,3,FALSE),0),0)))/100)),1),1)</f>
        <v>0.8</v>
      </c>
      <c r="AQ33" s="87">
        <f t="shared" si="2"/>
        <v>1</v>
      </c>
      <c r="AR33" s="86">
        <f>IFERROR(IF(VLOOKUP(A33,tbMoveset!A2:B112,2,FALSE)="Sever",Backdoors!AY9/100,IF(VLOOKUP(A33,tbMoveset!A2:B112,2,FALSE)="Blunt",Backdoors!AZ9/100,Backdoors!BA9/100)),"")</f>
        <v>0.45</v>
      </c>
      <c r="AS33" s="49">
        <f>IFERROR(IF(VLOOKUP(tbMoveset!A33,tbMoveset!A2:H112,8,FALSE)="Other",IF(VLOOKUP(tbMoveset!A33,tbMoveset!A2:I112,9,FALSE)="Fire",Backdoors!BB9,IF(VLOOKUP(tbMoveset!A33,tbMoveset!A2:I112,9,FALSE)="Water",Backdoors!BC9,IF(VLOOKUP(tbMoveset!A33,tbMoveset!A2:I112,9,FALSE)="Thunder",Backdoors!BD9,IF(VLOOKUP(tbMoveset!A33,tbMoveset!A2:I112,9,FALSE)="Ice",Backdoors!BE9,IF(VLOOKUP(tbMoveset!A33,tbMoveset!A2:I112,9,FALSE)="Dragon",Backdoors!BF9,Backdoors!BG9)))))/100,Backdoors!BG9/100),"")</f>
        <v>0</v>
      </c>
      <c r="AT33" s="49">
        <f>IFERROR(IF(VLOOKUP(A33,tbMoveset!A2:J112,10,FALSE)=TRUE,IF((Backdoors!AI12+IF(AR33&gt;=0.45,VLOOKUP(Calculator!E23,tbSkills!DH3:DI6,2,FALSE)+IF(AND(Calculator!B8=TRUE,Backdoors!BI9=TRUE),VLOOKUP(Calculator!E23,tbSkills!DH3:DJ6,3,FALSE),0),0))&gt;=0,1+(Backdoors!AL2*(IF((Backdoors!AI12+IF(AR33&gt;=0.45,VLOOKUP(Calculator!E23,tbSkills!DH3:DI6,2,FALSE)+IF(AND(Calculator!B8=TRUE,Backdoors!BI9=TRUE),VLOOKUP(Calculator!E23,tbSkills!DH3:DJ6,3,FALSE),0),0))&gt;=100,100,(Backdoors!AI12+IF(AR33&gt;=0.45,VLOOKUP(Calculator!E23,tbSkills!DH3:DI6,2,FALSE)+IF(AND(Calculator!B8=TRUE,Backdoors!BI9=TRUE),VLOOKUP(Calculator!E23,tbSkills!DH3:DJ6,3,FALSE),0),0)))/100)),(1-(0.25*((-Backdoors!AI12-IF(AR33&gt;=0.45,VLOOKUP(Calculator!E23,tbSkills!DH3:DI6,2,FALSE)+IF(AND(Calculator!B8=TRUE,Backdoors!BI9=TRUE),VLOOKUP(Calculator!E23,tbSkills!DH3:DJ6,3,FALSE),0),0))/100)))),1),"")</f>
        <v>1</v>
      </c>
      <c r="AU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R33)*AT33)*(VLOOKUP(A33,tbMoveset!A2:C112,3,FALSE)/100)*IF(VLOOKUP(A33,tbMoveset!A2:B112,2,FALSE)="Projectile",Backdoors!N10,Backdoors!N9),0),"")</f>
        <v>1</v>
      </c>
      <c r="AV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R33&gt;=0.45,VLOOKUP(Calculator!E23,tbSkills!DH3:DI6,2,FALSE)+IF(AND(Calculator!B8=TRUE,Backdoors!BI9=TRUE),VLOOKUP(Calculator!E23,tbSkills!DH3:DJ6,3,FALSE),0),0))&gt;=100,100,(Backdoors!AI12+IF(AR33&gt;=0.45,VLOOKUP(Calculator!E23,tbSkills!DH3:DI6,2,FALSE)+IF(AND(Calculator!B8=TRUE,Backdoors!BI9=TRUE),VLOOKUP(Calculator!E23,tbSkills!DH3:DJ6,3,FALSE),0),0)))/100)),1))*IF(VLOOKUP(A33,tbMoveset!A2:K112,11,FALSE)=TRUE,Backdoors!AC5,1))*AS33,0),"")</f>
        <v>0</v>
      </c>
      <c r="AW33" s="49">
        <f>VLOOKUP(A33,tbMoveset!A2:G112,7,FALSE)*IFERROR(IF(Backdoors!AI12&gt;=0,1+(IF(Calculator!E40&gt;0,VLOOKUP(Calculator!E40,tbSkills!AI3:AJ5,2,FALSE),Backdoors!AL4)*(IF((Backdoors!AI12+IF(AR33&gt;=0.45,VLOOKUP(Calculator!E23,tbSkills!DH3:DI6,2,FALSE)+IF(AND(Calculator!B8=TRUE,Backdoors!BI9=TRUE),VLOOKUP(Calculator!E23,tbSkills!DH3:DJ6,3,FALSE),0),0))&gt;=100,100,(Backdoors!AI12+IF(AR33&gt;=0.45,VLOOKUP(Calculator!E23,tbSkills!DH3:DI6,2,FALSE)+IF(AND(Calculator!B8=TRUE,Backdoors!BI9=TRUE),VLOOKUP(Calculator!E23,tbSkills!DH3:DJ6,3,FALSE),0),0)))/100)),1),1)</f>
        <v>0.8</v>
      </c>
      <c r="AX33" s="87">
        <f t="shared" si="38"/>
        <v>1</v>
      </c>
      <c r="AY33" s="86">
        <f>IFERROR(IF(VLOOKUP(A33,tbMoveset!A2:B112,2,FALSE)="Sever",Backdoors!AY10/100,IF(VLOOKUP(A33,tbMoveset!A2:B112,2,FALSE)="Blunt",Backdoors!AZ10/100,Backdoors!BA10/100)),"")</f>
        <v>0.9</v>
      </c>
      <c r="AZ33" s="49">
        <f>IFERROR(IF(VLOOKUP(tbMoveset!A33,tbMoveset!A2:H112,8,FALSE)="Other",IF(VLOOKUP(tbMoveset!A33,tbMoveset!A2:I112,9,FALSE)="Fire",Backdoors!BB10,IF(VLOOKUP(tbMoveset!A33,tbMoveset!A2:I112,9,FALSE)="Water",Backdoors!BC10,IF(VLOOKUP(tbMoveset!A33,tbMoveset!A2:I112,9,FALSE)="Thunder",Backdoors!BD10,IF(VLOOKUP(tbMoveset!A33,tbMoveset!A2:I112,9,FALSE)="Ice",Backdoors!BE10,IF(VLOOKUP(tbMoveset!A33,tbMoveset!A2:I112,9,FALSE)="Dragon",Backdoors!BF10,Backdoors!BG10)))))/100,Backdoors!BG10/100),"")</f>
        <v>0</v>
      </c>
      <c r="BA33" s="49">
        <f>IFERROR(IF(VLOOKUP(A33,tbMoveset!A2:J112,10,FALSE)=TRUE,IF((Backdoors!AI12+IF(AY33&gt;=0.45,VLOOKUP(Calculator!E23,tbSkills!DH3:DI6,2,FALSE)+IF(AND(Calculator!B8=TRUE,Backdoors!BI10=TRUE),VLOOKUP(Calculator!E23,tbSkills!DH3:DJ6,3,FALSE),0),0))&gt;=0,1+(Backdoors!AL2*(IF((Backdoors!AI12+IF(AY33&gt;=0.45,VLOOKUP(Calculator!E23,tbSkills!DH3:DI6,2,FALSE)+IF(AND(Calculator!B8=TRUE,Backdoors!BI10=TRUE),VLOOKUP(Calculator!E23,tbSkills!DH3:DJ6,3,FALSE),0),0))&gt;=100,100,(Backdoors!AI12+IF(AY33&gt;=0.45,VLOOKUP(Calculator!E23,tbSkills!DH3:DI6,2,FALSE)+IF(AND(Calculator!B8=TRUE,Backdoors!BI10=TRUE),VLOOKUP(Calculator!E23,tbSkills!DH3:DJ6,3,FALSE),0),0)))/100)),(1-(0.25*((-Backdoors!AI12-IF(AY33&gt;=0.45,VLOOKUP(Calculator!E23,tbSkills!DH3:DI6,2,FALSE)+IF(AND(Calculator!B8=TRUE,Backdoors!BI10=TRUE),VLOOKUP(Calculator!E23,tbSkills!DH3:DJ6,3,FALSE),0),0))/100)))),1),"")</f>
        <v>1</v>
      </c>
      <c r="BB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Y33)*BA33)*(VLOOKUP(A33,tbMoveset!A2:C112,3,FALSE)/100)*IF(VLOOKUP(A33,tbMoveset!A2:B112,2,FALSE)="Projectile",Backdoors!N10,Backdoors!N9),0),"")</f>
        <v>2</v>
      </c>
      <c r="BC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Y33&gt;=0.45,VLOOKUP(Calculator!E23,tbSkills!DH3:DI6,2,FALSE)+IF(AND(Calculator!B8=TRUE,Backdoors!BI10=TRUE),VLOOKUP(Calculator!E23,tbSkills!DH3:DJ6,3,FALSE),0),0))&gt;=100,100,(Backdoors!AI12+IF(AY33&gt;=0.45,VLOOKUP(Calculator!E23,tbSkills!DH3:DI6,2,FALSE)+IF(AND(Calculator!B8=TRUE,Backdoors!BI10=TRUE),VLOOKUP(Calculator!E23,tbSkills!DH3:DJ6,3,FALSE),0),0)))/100)),1))*IF(VLOOKUP(A33,tbMoveset!A2:K112,11,FALSE)=TRUE,Backdoors!AC5,1))*AZ33,0),"")</f>
        <v>0</v>
      </c>
      <c r="BD33" s="49">
        <f>VLOOKUP(A33,tbMoveset!A2:G112,7,FALSE)*IFERROR(IF(Backdoors!AI12&gt;=0,1+(IF(Calculator!E40&gt;0,VLOOKUP(Calculator!E40,tbSkills!AI3:AJ5,2,FALSE),Backdoors!AL4)*(IF((Backdoors!AI12+IF(AY33&gt;=0.45,VLOOKUP(Calculator!E23,tbSkills!DH3:DI6,2,FALSE)+IF(AND(Calculator!B8=TRUE,Backdoors!BI10=TRUE),VLOOKUP(Calculator!E23,tbSkills!DH3:DJ6,3,FALSE),0),0))&gt;=100,100,(Backdoors!AI12+IF(AY33&gt;=0.45,VLOOKUP(Calculator!E23,tbSkills!DH3:DI6,2,FALSE)+IF(AND(Calculator!B8=TRUE,Backdoors!BI10=TRUE),VLOOKUP(Calculator!E23,tbSkills!DH3:DJ6,3,FALSE),0),0)))/100)),1),1)</f>
        <v>0.8</v>
      </c>
      <c r="BE33" s="87">
        <f t="shared" si="3"/>
        <v>2</v>
      </c>
      <c r="BF33" s="86" t="str">
        <f>IFERROR(IF(VLOOKUP(A33,tbMoveset!A2:B112,2,FALSE)="Sever",Backdoors!AY11/100,IF(VLOOKUP(A33,tbMoveset!A2:B112,2,FALSE)="Blunt",Backdoors!AZ11/100,Backdoors!BA11/100)),"")</f>
        <v/>
      </c>
      <c r="BG33" s="49">
        <f>IFERROR(IF(VLOOKUP(tbMoveset!A33,tbMoveset!A2:H112,8,FALSE)="Other",IF(VLOOKUP(tbMoveset!A33,tbMoveset!A2:I112,9,FALSE)="Fire",Backdoors!BB11,IF(VLOOKUP(tbMoveset!A33,tbMoveset!A2:I112,9,FALSE)="Water",Backdoors!BC11,IF(VLOOKUP(tbMoveset!A33,tbMoveset!A2:I112,9,FALSE)="Thunder",Backdoors!BD11,IF(VLOOKUP(tbMoveset!A33,tbMoveset!A2:I112,9,FALSE)="Ice",Backdoors!BE11,IF(VLOOKUP(tbMoveset!A33,tbMoveset!A2:I112,9,FALSE)="Dragon",Backdoors!BF11,Backdoors!BG11)))))/100,Backdoors!BG11/100),"")</f>
        <v>0</v>
      </c>
      <c r="BH33" s="49">
        <f>IFERROR(IF(VLOOKUP(A33,tbMoveset!A2:J112,10,FALSE)=TRUE,IF((Backdoors!AI12+IF(BF33&gt;=0.45,VLOOKUP(Calculator!E23,tbSkills!DH3:DI6,2,FALSE)+IF(AND(Calculator!B8=TRUE,Backdoors!BI11=TRUE),VLOOKUP(Calculator!E23,tbSkills!DH3:DJ6,3,FALSE),0),0))&gt;=0,1+(Backdoors!AL2*(IF((Backdoors!AI12+IF(BF33&gt;=0.45,VLOOKUP(Calculator!E23,tbSkills!DH3:DI6,2,FALSE)+IF(AND(Calculator!B8=TRUE,Backdoors!BI11=TRUE),VLOOKUP(Calculator!E23,tbSkills!DH3:DJ6,3,FALSE),0),0))&gt;=100,100,(Backdoors!AI12+IF(BF33&gt;=0.45,VLOOKUP(Calculator!E23,tbSkills!DH3:DI6,2,FALSE)+IF(AND(Calculator!B8=TRUE,Backdoors!BI11=TRUE),VLOOKUP(Calculator!E23,tbSkills!DH3:DJ6,3,FALSE),0),0)))/100)),(1-(0.25*((-Backdoors!AI12-IF(BF33&gt;=0.45,VLOOKUP(Calculator!E23,tbSkills!DH3:DI6,2,FALSE)+IF(AND(Calculator!B8=TRUE,Backdoors!BI11=TRUE),VLOOKUP(Calculator!E23,tbSkills!DH3:DJ6,3,FALSE),0),0))/100)))),1),"")</f>
        <v>1</v>
      </c>
      <c r="BI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F33)*BH33)*(VLOOKUP(A33,tbMoveset!A2:C112,3,FALSE)/100)*IF(VLOOKUP(A33,tbMoveset!A2:B112,2,FALSE)="Projectile",Backdoors!N10,Backdoors!N9),0),"")</f>
        <v/>
      </c>
      <c r="BJ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F33&gt;=0.45,VLOOKUP(Calculator!E23,tbSkills!DH3:DI6,2,FALSE)+IF(AND(Calculator!B8=TRUE,Backdoors!BI11=TRUE),VLOOKUP(Calculator!E23,tbSkills!DH3:DJ6,3,FALSE),0),0))&gt;=100,100,(Backdoors!AI12+IF(BF33&gt;=0.45,VLOOKUP(Calculator!E23,tbSkills!DH3:DI6,2,FALSE)+IF(AND(Calculator!B8=TRUE,Backdoors!BI11=TRUE),VLOOKUP(Calculator!E23,tbSkills!DH3:DJ6,3,FALSE),0),0)))/100)),1))*IF(VLOOKUP(A33,tbMoveset!A2:K112,11,FALSE)=TRUE,Backdoors!AC5,1))*BG33,0),"")</f>
        <v>0</v>
      </c>
      <c r="BK33" s="49">
        <f>VLOOKUP(A33,tbMoveset!A2:G112,7,FALSE)*IFERROR(IF(Backdoors!AI12&gt;=0,1+(IF(Calculator!E40&gt;0,VLOOKUP(Calculator!E40,tbSkills!AI3:AJ5,2,FALSE),Backdoors!AL4)*(IF((Backdoors!AI12+IF(BF33&gt;=0.45,VLOOKUP(Calculator!E23,tbSkills!DH3:DI6,2,FALSE)+IF(AND(Calculator!B8=TRUE,Backdoors!BI11=TRUE),VLOOKUP(Calculator!E23,tbSkills!DH3:DJ6,3,FALSE),0),0))&gt;=100,100,(Backdoors!AI12+IF(BF33&gt;=0.45,VLOOKUP(Calculator!E23,tbSkills!DH3:DI6,2,FALSE)+IF(AND(Calculator!B8=TRUE,Backdoors!BI11=TRUE),VLOOKUP(Calculator!E23,tbSkills!DH3:DJ6,3,FALSE),0),0)))/100)),1),1)</f>
        <v>0.8</v>
      </c>
      <c r="BL33" s="87">
        <f t="shared" si="4"/>
        <v>0</v>
      </c>
      <c r="BM33" s="86" t="str">
        <f>IFERROR(IF(VLOOKUP(A33,tbMoveset!A2:B112,2,FALSE)="Sever",Backdoors!AY12/100,IF(VLOOKUP(A33,tbMoveset!A2:B112,2,FALSE)="Blunt",Backdoors!AZ12/100,Backdoors!BA12/100)),"")</f>
        <v/>
      </c>
      <c r="BN33" s="49">
        <f>IFERROR(IF(VLOOKUP(tbMoveset!A33,tbMoveset!A2:H112,8,FALSE)="Other",IF(VLOOKUP(tbMoveset!A33,tbMoveset!A2:I112,9,FALSE)="Fire",Backdoors!BB12,IF(VLOOKUP(tbMoveset!A33,tbMoveset!A2:I112,9,FALSE)="Water",Backdoors!BC12,IF(VLOOKUP(tbMoveset!A33,tbMoveset!A2:I112,9,FALSE)="Thunder",Backdoors!BD12,IF(VLOOKUP(tbMoveset!A33,tbMoveset!A2:I112,9,FALSE)="Ice",Backdoors!BE12,IF(VLOOKUP(tbMoveset!A33,tbMoveset!A2:I112,9,FALSE)="Dragon",Backdoors!BF12,Backdoors!BG12)))))/100,Backdoors!BG12/100),"")</f>
        <v>0</v>
      </c>
      <c r="BO33" s="49">
        <f>IFERROR(IF(VLOOKUP(A33,tbMoveset!A2:J112,10,FALSE)=TRUE,IF((Backdoors!AI12+IF(BM33&gt;=0.45,VLOOKUP(Calculator!E23,tbSkills!DH3:DI6,2,FALSE)+IF(AND(Calculator!B8=TRUE,Backdoors!BI12=TRUE),VLOOKUP(Calculator!E23,tbSkills!DH3:DJ6,3,FALSE),0),0))&gt;=0,1+(Backdoors!AL2*(IF((Backdoors!AI12+IF(BM33&gt;=0.45,VLOOKUP(Calculator!E23,tbSkills!DH3:DI6,2,FALSE)+IF(AND(Calculator!B8=TRUE,Backdoors!BI12=TRUE),VLOOKUP(Calculator!E23,tbSkills!DH3:DJ6,3,FALSE),0),0))&gt;=100,100,(Backdoors!AI12+IF(BM33&gt;=0.45,VLOOKUP(Calculator!E23,tbSkills!DH3:DI6,2,FALSE)+IF(AND(Calculator!B8=TRUE,Backdoors!BI12=TRUE),VLOOKUP(Calculator!E23,tbSkills!DH3:DJ6,3,FALSE),0),0)))/100)),(1-(0.25*((-Backdoors!AI12-IF(BM33&gt;=0.45,VLOOKUP(Calculator!E23,tbSkills!DH3:DI6,2,FALSE)+IF(AND(Calculator!B8=TRUE,Backdoors!BI12=TRUE),VLOOKUP(Calculator!E23,tbSkills!DH3:DJ6,3,FALSE),0),0))/100)))),1),"")</f>
        <v>1</v>
      </c>
      <c r="BP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M33)*BO33)*(VLOOKUP(A33,tbMoveset!A2:C112,3,FALSE)/100)*IF(VLOOKUP(A33,tbMoveset!A2:B112,2,FALSE)="Projectile",Backdoors!N10,Backdoors!N9),0),"")</f>
        <v/>
      </c>
      <c r="BQ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M33&gt;=0.45,VLOOKUP(Calculator!E23,tbSkills!DH3:DI6,2,FALSE)+IF(AND(Calculator!B8=TRUE,Backdoors!BI12=TRUE),VLOOKUP(Calculator!E23,tbSkills!DH3:DJ6,3,FALSE),0),0))&gt;=100,100,(Backdoors!AI12+IF(BM33&gt;=0.45,VLOOKUP(Calculator!E23,tbSkills!DH3:DI6,2,FALSE)+IF(AND(Calculator!B8=TRUE,Backdoors!BI12=TRUE),VLOOKUP(Calculator!E23,tbSkills!DH3:DJ6,3,FALSE),0),0)))/100)),1))*IF(VLOOKUP(A33,tbMoveset!A2:K112,11,FALSE)=TRUE,Backdoors!AC5,1))*BN33,0),"")</f>
        <v>0</v>
      </c>
      <c r="BR33" s="49">
        <f>VLOOKUP(A33,tbMoveset!A2:G112,7,FALSE)*IFERROR(IF(Backdoors!AI12&gt;=0,1+(IF(Calculator!E40&gt;0,VLOOKUP(Calculator!E40,tbSkills!AI3:AJ5,2,FALSE),Backdoors!AL4)*(IF((Backdoors!AI12+IF(BM33&gt;=0.45,VLOOKUP(Calculator!E23,tbSkills!DH3:DI6,2,FALSE)+IF(AND(Calculator!B8=TRUE,Backdoors!BI12=TRUE),VLOOKUP(Calculator!E23,tbSkills!DH3:DJ6,3,FALSE),0),0))&gt;=100,100,(Backdoors!AI12+IF(BM33&gt;=0.45,VLOOKUP(Calculator!E23,tbSkills!DH3:DI6,2,FALSE)+IF(AND(Calculator!B8=TRUE,Backdoors!BI12=TRUE),VLOOKUP(Calculator!E23,tbSkills!DH3:DJ6,3,FALSE),0),0)))/100)),1),1)</f>
        <v>0.8</v>
      </c>
      <c r="BS33" s="87">
        <f t="shared" si="39"/>
        <v>0</v>
      </c>
      <c r="BT33" s="86" t="str">
        <f>IFERROR(IF(VLOOKUP(A33,tbMoveset!A2:B112,2,FALSE)="Sever",Backdoors!AY13/100,IF(VLOOKUP(A33,tbMoveset!A2:B112,2,FALSE)="Blunt",Backdoors!AZ13/100,Backdoors!BA13/100)),"")</f>
        <v/>
      </c>
      <c r="BU33" s="49">
        <f>IFERROR(IF(VLOOKUP(tbMoveset!A33,tbMoveset!A2:H112,8,FALSE)="Other",IF(VLOOKUP(tbMoveset!A33,tbMoveset!A2:I112,9,FALSE)="Fire",Backdoors!BB13,IF(VLOOKUP(tbMoveset!A33,tbMoveset!A2:I112,9,FALSE)="Water",Backdoors!BC13,IF(VLOOKUP(tbMoveset!A33,tbMoveset!A2:I112,9,FALSE)="Thunder",Backdoors!BD13,IF(VLOOKUP(tbMoveset!A33,tbMoveset!A2:I112,9,FALSE)="Ice",Backdoors!BE13,IF(VLOOKUP(tbMoveset!A33,tbMoveset!A2:I112,9,FALSE)="Dragon",Backdoors!BF13,Backdoors!BG13)))))/100,Backdoors!BG13/100),"")</f>
        <v>0</v>
      </c>
      <c r="BV33" s="49">
        <f>IFERROR(IF(VLOOKUP(A33,tbMoveset!A2:J112,10,FALSE)=TRUE,IF((Backdoors!AI12+IF(BT33&gt;=0.45,VLOOKUP(Calculator!E23,tbSkills!DH3:DI6,2,FALSE)+IF(AND(Calculator!B8=TRUE,Backdoors!BI13=TRUE),VLOOKUP(Calculator!E23,tbSkills!DH3:DJ6,3,FALSE),0),0))&gt;=0,1+(Backdoors!AL2*(IF((Backdoors!AI12+IF(BT33&gt;=0.45,VLOOKUP(Calculator!E23,tbSkills!DH3:DI6,2,FALSE)+IF(AND(Calculator!B8=TRUE,Backdoors!BI13=TRUE),VLOOKUP(Calculator!E23,tbSkills!DH3:DJ6,3,FALSE),0),0))&gt;=100,100,(Backdoors!AI12+IF(BT33&gt;=0.45,VLOOKUP(Calculator!E23,tbSkills!DH3:DI6,2,FALSE)+IF(AND(Calculator!B8=TRUE,Backdoors!BI13=TRUE),VLOOKUP(Calculator!E23,tbSkills!DH3:DJ6,3,FALSE),0),0)))/100)),(1-(0.25*((-Backdoors!AI12-IF(BT33&gt;=0.45,VLOOKUP(Calculator!E23,tbSkills!DH3:DI6,2,FALSE)+IF(AND(Calculator!B8=TRUE,Backdoors!BI13=TRUE),VLOOKUP(Calculator!E23,tbSkills!DH3:DJ6,3,FALSE),0),0))/100)))),1),"")</f>
        <v>1</v>
      </c>
      <c r="BW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T33)*BV33)*(VLOOKUP(A33,tbMoveset!A2:C112,3,FALSE)/100)*IF(VLOOKUP(A33,tbMoveset!A2:B112,2,FALSE)="Projectile",Backdoors!N10,Backdoors!N9),0),"")</f>
        <v/>
      </c>
      <c r="BX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T33&gt;=0.45,VLOOKUP(Calculator!E23,tbSkills!DH3:DI6,2,FALSE)+IF(AND(Calculator!B8=TRUE,Backdoors!BI13=TRUE),VLOOKUP(Calculator!E23,tbSkills!DH3:DJ6,3,FALSE),0),0))&gt;=100,100,(Backdoors!AI12+IF(BT33&gt;=0.45,VLOOKUP(Calculator!E23,tbSkills!DH3:DI6,2,FALSE)+IF(AND(Calculator!B8=TRUE,Backdoors!BI13=TRUE),VLOOKUP(Calculator!E23,tbSkills!DH3:DJ6,3,FALSE),0),0)))/100)),1))*IF(VLOOKUP(A33,tbMoveset!A2:K112,11,FALSE)=TRUE,Backdoors!AC5,1))*BU33,0),"")</f>
        <v>0</v>
      </c>
      <c r="BY33" s="49">
        <f>VLOOKUP(A33,tbMoveset!A2:G112,7,FALSE)*IFERROR(IF(Backdoors!AI12&gt;=0,1+(IF(Calculator!E40&gt;0,VLOOKUP(Calculator!E40,tbSkills!AI3:AJ5,2,FALSE),Backdoors!AL4)*(IF((Backdoors!AI12+IF(BT33&gt;=0.45,VLOOKUP(Calculator!E23,tbSkills!DH3:DI6,2,FALSE)+IF(AND(Calculator!B8=TRUE,Backdoors!BI13=TRUE),VLOOKUP(Calculator!E23,tbSkills!DH3:DJ6,3,FALSE),0),0))&gt;=100,100,(Backdoors!AI12+IF(BT33&gt;=0.45,VLOOKUP(Calculator!E23,tbSkills!DH3:DI6,2,FALSE)+IF(AND(Calculator!B8=TRUE,Backdoors!BI13=TRUE),VLOOKUP(Calculator!E23,tbSkills!DH3:DJ6,3,FALSE),0),0)))/100)),1),1)</f>
        <v>0.8</v>
      </c>
      <c r="BZ33" s="87">
        <f t="shared" si="5"/>
        <v>0</v>
      </c>
      <c r="CA33" s="86" t="str">
        <f>IFERROR(IF(VLOOKUP(A33,tbMoveset!A2:B112,2,FALSE)="Sever",Backdoors!AY14/100,IF(VLOOKUP(A33,tbMoveset!A2:B112,2,FALSE)="Blunt",Backdoors!AZ14/100,Backdoors!BA14/100)),"")</f>
        <v/>
      </c>
      <c r="CB33" s="49">
        <f>IFERROR(IF(VLOOKUP(tbMoveset!A33,tbMoveset!A2:H112,8,FALSE)="Other",IF(VLOOKUP(tbMoveset!A33,tbMoveset!A2:I112,9,FALSE)="Fire",Backdoors!BB14,IF(VLOOKUP(tbMoveset!A33,tbMoveset!A2:I112,9,FALSE)="Water",Backdoors!BC14,IF(VLOOKUP(tbMoveset!A33,tbMoveset!A2:I112,9,FALSE)="Thunder",Backdoors!BD14,IF(VLOOKUP(tbMoveset!A33,tbMoveset!A2:I112,9,FALSE)="Ice",Backdoors!BE14,IF(VLOOKUP(tbMoveset!A33,tbMoveset!A2:I112,9,FALSE)="Dragon",Backdoors!BF14,Backdoors!BG14)))))/100,Backdoors!BG14/100),"")</f>
        <v>0</v>
      </c>
      <c r="CC33" s="49">
        <f>IFERROR(IF(VLOOKUP(A33,tbMoveset!A2:J112,10,FALSE)=TRUE,IF((Backdoors!AI12+IF(CA33&gt;=0.45,VLOOKUP(Calculator!E23,tbSkills!DH3:DI6,2,FALSE)+IF(AND(Calculator!B8=TRUE,Backdoors!BI14=TRUE),VLOOKUP(Calculator!E23,tbSkills!DH3:DJ6,3,FALSE),0),0))&gt;=0,1+(Backdoors!AL2*(IF((Backdoors!AI12+IF(CA33&gt;=0.45,VLOOKUP(Calculator!E23,tbSkills!DH3:DI6,2,FALSE)+IF(AND(Calculator!B8=TRUE,Backdoors!BI14=TRUE),VLOOKUP(Calculator!E23,tbSkills!DH3:DJ6,3,FALSE),0),0))&gt;=100,100,(Backdoors!AI12+IF(CA33&gt;=0.45,VLOOKUP(Calculator!E23,tbSkills!DH3:DI6,2,FALSE)+IF(AND(Calculator!B8=TRUE,Backdoors!BI14=TRUE),VLOOKUP(Calculator!E23,tbSkills!DH3:DJ6,3,FALSE),0),0)))/100)),(1-(0.25*((-Backdoors!AI12-IF(CA33&gt;=0.45,VLOOKUP(Calculator!E23,tbSkills!DH3:DI6,2,FALSE)+IF(AND(Calculator!B8=TRUE,Backdoors!BI14=TRUE),VLOOKUP(Calculator!E23,tbSkills!DH3:DJ6,3,FALSE),0),0))/100)))),1),"")</f>
        <v>1</v>
      </c>
      <c r="CD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A33)*CC33)*(VLOOKUP(A33,tbMoveset!A2:C112,3,FALSE)/100)*IF(VLOOKUP(A33,tbMoveset!A2:B112,2,FALSE)="Projectile",Backdoors!N10,Backdoors!N9),0),"")</f>
        <v/>
      </c>
      <c r="CE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A33&gt;=0.45,VLOOKUP(Calculator!E23,tbSkills!DH3:DI6,2,FALSE)+IF(AND(Calculator!B8=TRUE,Backdoors!BI14=TRUE),VLOOKUP(Calculator!E23,tbSkills!DH3:DJ6,3,FALSE),0),0))&gt;=100,100,(Backdoors!AI12+IF(CA33&gt;=0.45,VLOOKUP(Calculator!E23,tbSkills!DH3:DI6,2,FALSE)+IF(AND(Calculator!B8=TRUE,Backdoors!BI14=TRUE),VLOOKUP(Calculator!E23,tbSkills!DH3:DJ6,3,FALSE),0),0)))/100)),1))*IF(VLOOKUP(A33,tbMoveset!A2:K112,11,FALSE)=TRUE,Backdoors!AC5,1))*CB33,0),"")</f>
        <v>0</v>
      </c>
      <c r="CF33" s="49">
        <f>VLOOKUP(A33,tbMoveset!A2:G112,7,FALSE)*IFERROR(IF(Backdoors!AI12&gt;=0,1+(IF(Calculator!E40&gt;0,VLOOKUP(Calculator!E40,tbSkills!AI3:AJ5,2,FALSE),Backdoors!AL4)*(IF((Backdoors!AI12+IF(CA33&gt;=0.45,VLOOKUP(Calculator!E23,tbSkills!DH3:DI6,2,FALSE)+IF(AND(Calculator!B8=TRUE,Backdoors!BI14=TRUE),VLOOKUP(Calculator!E23,tbSkills!DH3:DJ6,3,FALSE),0),0))&gt;=100,100,(Backdoors!AI12+IF(CA33&gt;=0.45,VLOOKUP(Calculator!E23,tbSkills!DH3:DI6,2,FALSE)+IF(AND(Calculator!B8=TRUE,Backdoors!BI14=TRUE),VLOOKUP(Calculator!E23,tbSkills!DH3:DJ6,3,FALSE),0),0)))/100)),1),1)</f>
        <v>0.8</v>
      </c>
      <c r="CG33" s="87">
        <f t="shared" si="6"/>
        <v>0</v>
      </c>
      <c r="CH33" s="86" t="str">
        <f>IFERROR(IF(VLOOKUP(A33,tbMoveset!A2:B112,2,FALSE)="Sever",Backdoors!AY15/100,IF(VLOOKUP(A33,tbMoveset!A2:B112,2,FALSE)="Blunt",Backdoors!AZ15/100,Backdoors!BA15/100)),"")</f>
        <v/>
      </c>
      <c r="CI33" s="49">
        <f>IFERROR(IF(VLOOKUP(tbMoveset!A33,tbMoveset!A2:H112,8,FALSE)="Other",IF(VLOOKUP(tbMoveset!A33,tbMoveset!A2:I112,9,FALSE)="Fire",Backdoors!BB15,IF(VLOOKUP(tbMoveset!A33,tbMoveset!A2:I112,9,FALSE)="Water",Backdoors!BC15,IF(VLOOKUP(tbMoveset!A33,tbMoveset!A2:I112,9,FALSE)="Thunder",Backdoors!BD15,IF(VLOOKUP(tbMoveset!A33,tbMoveset!A2:I112,9,FALSE)="Ice",Backdoors!BE15,IF(VLOOKUP(tbMoveset!A33,tbMoveset!A2:I112,9,FALSE)="Dragon",Backdoors!BF15,Backdoors!BG15)))))/100,Backdoors!BG15/100),"")</f>
        <v>0</v>
      </c>
      <c r="CJ33" s="49">
        <f>IFERROR(IF(VLOOKUP(A33,tbMoveset!A2:J112,10,FALSE)=TRUE,IF((Backdoors!AI12+IF(CH33&gt;=0.45,VLOOKUP(Calculator!E23,tbSkills!DH3:DI6,2,FALSE)+IF(AND(Calculator!B8=TRUE,Backdoors!BI15=TRUE),VLOOKUP(Calculator!E23,tbSkills!DH3:DJ6,3,FALSE),0),0))&gt;=0,1+(Backdoors!AL2*(IF((Backdoors!AI12+IF(CH33&gt;=0.45,VLOOKUP(Calculator!E23,tbSkills!DH3:DI6,2,FALSE)+IF(AND(Calculator!B8=TRUE,Backdoors!BI15=TRUE),VLOOKUP(Calculator!E23,tbSkills!DH3:DJ6,3,FALSE),0),0))&gt;=100,100,(Backdoors!AI12+IF(CH33&gt;=0.45,VLOOKUP(Calculator!E23,tbSkills!DH3:DI6,2,FALSE)+IF(AND(Calculator!B8=TRUE,Backdoors!BI15=TRUE),VLOOKUP(Calculator!E23,tbSkills!DH3:DJ6,3,FALSE),0),0)))/100)),(1-(0.25*((-Backdoors!AI12-IF(CH33&gt;=0.45,VLOOKUP(Calculator!E23,tbSkills!DH3:DI6,2,FALSE)+IF(AND(Calculator!B8=TRUE,Backdoors!BI15=TRUE),VLOOKUP(Calculator!E23,tbSkills!DH3:DJ6,3,FALSE),0),0))/100)))),1),"")</f>
        <v>1</v>
      </c>
      <c r="CK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H33)*CJ33)*(VLOOKUP(A33,tbMoveset!A2:C112,3,FALSE)/100)*IF(VLOOKUP(A33,tbMoveset!A2:B112,2,FALSE)="Projectile",Backdoors!N10,Backdoors!N9),0),"")</f>
        <v/>
      </c>
      <c r="CL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H33&gt;=0.45,VLOOKUP(Calculator!E23,tbSkills!DH3:DI6,2,FALSE)+IF(AND(Calculator!B8=TRUE,Backdoors!BI15=TRUE),VLOOKUP(Calculator!E23,tbSkills!DH3:DJ6,3,FALSE),0),0))&gt;=100,100,(Backdoors!AI12+IF(CH33&gt;=0.45,VLOOKUP(Calculator!E23,tbSkills!DH3:DI6,2,FALSE)+IF(AND(Calculator!B8=TRUE,Backdoors!BI15=TRUE),VLOOKUP(Calculator!E23,tbSkills!DH3:DJ6,3,FALSE),0),0)))/100)),1))*IF(VLOOKUP(A33,tbMoveset!A2:K112,11,FALSE)=TRUE,Backdoors!AC5,1))*CI33,0),"")</f>
        <v>0</v>
      </c>
      <c r="CM33" s="49">
        <f>VLOOKUP(A33,tbMoveset!A2:G112,7,FALSE)*IFERROR(IF(Backdoors!AI12&gt;=0,1+(IF(Calculator!E40&gt;0,VLOOKUP(Calculator!E40,tbSkills!AI3:AJ5,2,FALSE),Backdoors!AL4)*(IF((Backdoors!AI12+IF(CH33&gt;=0.45,VLOOKUP(Calculator!E23,tbSkills!DH3:DI6,2,FALSE)+IF(AND(Calculator!B8=TRUE,Backdoors!BI15=TRUE),VLOOKUP(Calculator!E23,tbSkills!DH3:DJ6,3,FALSE),0),0))&gt;=100,100,(Backdoors!AI12+IF(CH33&gt;=0.45,VLOOKUP(Calculator!E23,tbSkills!DH3:DI6,2,FALSE)+IF(AND(Calculator!B8=TRUE,Backdoors!BI15=TRUE),VLOOKUP(Calculator!E23,tbSkills!DH3:DJ6,3,FALSE),0),0)))/100)),1),1)</f>
        <v>0.8</v>
      </c>
      <c r="CN33" s="87">
        <f t="shared" si="7"/>
        <v>0</v>
      </c>
      <c r="CO33" s="86" t="str">
        <f>IFERROR(IF(VLOOKUP(A33,tbMoveset!A2:B112,2,FALSE)="Sever",Backdoors!AY16/100,IF(VLOOKUP(A33,tbMoveset!A2:B112,2,FALSE)="Blunt",Backdoors!AZ16/100,Backdoors!BA16/100)),"")</f>
        <v/>
      </c>
      <c r="CP33" s="49">
        <f>IFERROR(IF(VLOOKUP(tbMoveset!A33,tbMoveset!A2:H112,8,FALSE)="Other",IF(VLOOKUP(tbMoveset!A33,tbMoveset!A2:I112,9,FALSE)="Fire",Backdoors!BB16,IF(VLOOKUP(tbMoveset!A33,tbMoveset!A2:I112,9,FALSE)="Water",Backdoors!BC16,IF(VLOOKUP(tbMoveset!A33,tbMoveset!A2:I112,9,FALSE)="Thunder",Backdoors!BD16,IF(VLOOKUP(tbMoveset!A33,tbMoveset!A2:I112,9,FALSE)="Ice",Backdoors!BE16,IF(VLOOKUP(tbMoveset!A33,tbMoveset!A2:I112,9,FALSE)="Dragon",Backdoors!BF16,Backdoors!BG16)))))/100,Backdoors!BG16/100),"")</f>
        <v>0</v>
      </c>
      <c r="CQ33" s="49">
        <f>IFERROR(IF(VLOOKUP(A33,tbMoveset!A2:J112,10,FALSE)=TRUE,IF((Backdoors!AI12+IF(CO33&gt;=0.45,VLOOKUP(Calculator!E23,tbSkills!DH3:DI6,2,FALSE)+IF(AND(Calculator!B8=TRUE,Backdoors!BI16=TRUE),VLOOKUP(Calculator!E23,tbSkills!DH3:DJ6,3,FALSE),0),0))&gt;=0,1+(Backdoors!AL2*(IF((Backdoors!AI12+IF(CO33&gt;=0.45,VLOOKUP(Calculator!E23,tbSkills!DH3:DI6,2,FALSE)+IF(AND(Calculator!B8=TRUE,Backdoors!BI16=TRUE),VLOOKUP(Calculator!E23,tbSkills!DH3:DJ6,3,FALSE),0),0))&gt;=100,100,(Backdoors!AI12+IF(CO33&gt;=0.45,VLOOKUP(Calculator!E23,tbSkills!DH3:DI6,2,FALSE)+IF(AND(Calculator!B8=TRUE,Backdoors!BI16=TRUE),VLOOKUP(Calculator!E23,tbSkills!DH3:DJ6,3,FALSE),0),0)))/100)),(1-(0.25*((-Backdoors!AI12-IF(CO33&gt;=0.45,VLOOKUP(Calculator!E23,tbSkills!DH3:DI6,2,FALSE)+IF(AND(Calculator!B8=TRUE,Backdoors!BI16=TRUE),VLOOKUP(Calculator!E23,tbSkills!DH3:DJ6,3,FALSE),0),0))/100)))),1),"")</f>
        <v>1</v>
      </c>
      <c r="CR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O33)*CQ33)*(VLOOKUP(A33,tbMoveset!A2:C112,3,FALSE)/100)*IF(VLOOKUP(A33,tbMoveset!A2:B112,2,FALSE)="Projectile",Backdoors!N10,Backdoors!N9),0),"")</f>
        <v/>
      </c>
      <c r="CS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O33&gt;=0.45,VLOOKUP(Calculator!E23,tbSkills!DH3:DI6,2,FALSE)+IF(AND(Calculator!B8=TRUE,Backdoors!BI16=TRUE),VLOOKUP(Calculator!E23,tbSkills!DH3:DJ6,3,FALSE),0),0))&gt;=100,100,(Backdoors!AI12+IF(CO33&gt;=0.45,VLOOKUP(Calculator!E23,tbSkills!DH3:DI6,2,FALSE)+IF(AND(Calculator!B8=TRUE,Backdoors!BI16=TRUE),VLOOKUP(Calculator!E23,tbSkills!DH3:DJ6,3,FALSE),0),0)))/100)),1))*IF(VLOOKUP(A33,tbMoveset!A2:K112,11,FALSE)=TRUE,Backdoors!AC5,1))*CP33,0),"")</f>
        <v>0</v>
      </c>
      <c r="CT33" s="49">
        <f>VLOOKUP(A33,tbMoveset!A2:G112,7,FALSE)*IFERROR(IF(Backdoors!AI12&gt;=0,1+(IF(Calculator!E40&gt;0,VLOOKUP(Calculator!E40,tbSkills!AI3:AJ5,2,FALSE),Backdoors!AL4)*(IF((Backdoors!AI12+IF(CO33&gt;=0.45,VLOOKUP(Calculator!E23,tbSkills!DH3:DI6,2,FALSE)+IF(AND(Calculator!B8=TRUE,Backdoors!BI16=TRUE),VLOOKUP(Calculator!E23,tbSkills!DH3:DJ6,3,FALSE),0),0))&gt;=100,100,(Backdoors!AI12+IF(CO33&gt;=0.45,VLOOKUP(Calculator!E23,tbSkills!DH3:DI6,2,FALSE)+IF(AND(Calculator!B8=TRUE,Backdoors!BI16=TRUE),VLOOKUP(Calculator!E23,tbSkills!DH3:DJ6,3,FALSE),0),0)))/100)),1),1)</f>
        <v>0.8</v>
      </c>
      <c r="CU33" s="87">
        <f t="shared" si="40"/>
        <v>0</v>
      </c>
      <c r="CV33" s="86" t="str">
        <f>IFERROR(IF(VLOOKUP(A33,tbMoveset!A2:B112,2,FALSE)="Sever",Backdoors!AY17/100,IF(VLOOKUP(A33,tbMoveset!A2:B112,2,FALSE)="Blunt",Backdoors!AZ17/100,Backdoors!BA17/100)),"")</f>
        <v/>
      </c>
      <c r="CW33" s="49">
        <f>IFERROR(IF(VLOOKUP(tbMoveset!A33,tbMoveset!A2:H112,8,FALSE)="Other",IF(VLOOKUP(tbMoveset!A33,tbMoveset!A2:I112,9,FALSE)="Fire",Backdoors!BB17,IF(VLOOKUP(tbMoveset!A33,tbMoveset!A2:I112,9,FALSE)="Water",Backdoors!BC17,IF(VLOOKUP(tbMoveset!A33,tbMoveset!A2:I112,9,FALSE)="Thunder",Backdoors!BD17,IF(VLOOKUP(tbMoveset!A33,tbMoveset!A2:I112,9,FALSE)="Ice",Backdoors!BE17,IF(VLOOKUP(tbMoveset!A33,tbMoveset!A2:I112,9,FALSE)="Dragon",Backdoors!BF17,Backdoors!BG17)))))/100,Backdoors!BG17/100),"")</f>
        <v>0</v>
      </c>
      <c r="CX33" s="49">
        <f>IFERROR(IF(VLOOKUP(A33,tbMoveset!A2:J112,10,FALSE)=TRUE,IF((Backdoors!AI12+IF(CV33&gt;=0.45,VLOOKUP(Calculator!E23,tbSkills!DH3:DI6,2,FALSE)+IF(AND(Calculator!B8=TRUE,Backdoors!BI17=TRUE),VLOOKUP(Calculator!E23,tbSkills!DH3:DJ6,3,FALSE),0),0))&gt;=0,1+(Backdoors!AL2*(IF((Backdoors!AI12+IF(CV33&gt;=0.45,VLOOKUP(Calculator!E23,tbSkills!DH3:DI6,2,FALSE)+IF(AND(Calculator!B8=TRUE,Backdoors!BI17=TRUE),VLOOKUP(Calculator!E23,tbSkills!DH3:DJ6,3,FALSE),0),0))&gt;=100,100,(Backdoors!AI12+IF(CV33&gt;=0.45,VLOOKUP(Calculator!E23,tbSkills!DH3:DI6,2,FALSE)+IF(AND(Calculator!B8=TRUE,Backdoors!BI17=TRUE),VLOOKUP(Calculator!E23,tbSkills!DH3:DJ6,3,FALSE),0),0)))/100)),(1-(0.25*((-Backdoors!AI12-IF(CV33&gt;=0.45,VLOOKUP(Calculator!E23,tbSkills!DH3:DI6,2,FALSE)+IF(AND(Calculator!B8=TRUE,Backdoors!BI17=TRUE),VLOOKUP(Calculator!E23,tbSkills!DH3:DJ6,3,FALSE),0),0))/100)))),1),"")</f>
        <v>1</v>
      </c>
      <c r="CY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V33)*CX33)*(VLOOKUP(A33,tbMoveset!A2:C112,3,FALSE)/100)*IF(VLOOKUP(A33,tbMoveset!A2:B112,2,FALSE)="Projectile",Backdoors!N10,Backdoors!N9),0),"")</f>
        <v/>
      </c>
      <c r="CZ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V33&gt;=0.45,VLOOKUP(Calculator!E23,tbSkills!DH3:DI6,2,FALSE)+IF(AND(Calculator!B8=TRUE,Backdoors!BI17=TRUE),VLOOKUP(Calculator!E23,tbSkills!DH3:DJ6,3,FALSE),0),0))&gt;=100,100,(Backdoors!AI12+IF(CV33&gt;=0.45,VLOOKUP(Calculator!E23,tbSkills!DH3:DI6,2,FALSE)+IF(AND(Calculator!B8=TRUE,Backdoors!BI17=TRUE),VLOOKUP(Calculator!E23,tbSkills!DH3:DJ6,3,FALSE),0),0)))/100)),1))*IF(VLOOKUP(A33,tbMoveset!A2:K112,11,FALSE)=TRUE,Backdoors!AC5,1))*CW33,0),"")</f>
        <v>0</v>
      </c>
      <c r="DA33" s="49">
        <f>VLOOKUP(A33,tbMoveset!A2:G112,7,FALSE)*IFERROR(IF(Backdoors!AI12&gt;=0,1+(IF(Calculator!E40&gt;0,VLOOKUP(Calculator!E40,tbSkills!AI3:AJ5,2,FALSE),Backdoors!AL4)*(IF((Backdoors!AI12+IF(CV33&gt;=0.45,VLOOKUP(Calculator!E23,tbSkills!DH3:DI6,2,FALSE)+IF(AND(Calculator!B8=TRUE,Backdoors!BI17=TRUE),VLOOKUP(Calculator!E23,tbSkills!DH3:DJ6,3,FALSE),0),0))&gt;=100,100,(Backdoors!AI12+IF(CV33&gt;=0.45,VLOOKUP(Calculator!E23,tbSkills!DH3:DI6,2,FALSE)+IF(AND(Calculator!B8=TRUE,Backdoors!BI17=TRUE),VLOOKUP(Calculator!E23,tbSkills!DH3:DJ6,3,FALSE),0),0)))/100)),1),1)</f>
        <v>0.8</v>
      </c>
      <c r="DB33" s="87">
        <f t="shared" si="8"/>
        <v>0</v>
      </c>
      <c r="DC33" s="86" t="str">
        <f>IFERROR(IF(VLOOKUP(A33,tbMoveset!A2:B112,2,FALSE)="Sever",Backdoors!AY18/100,IF(VLOOKUP(A33,tbMoveset!A2:B112,2,FALSE)="Blunt",Backdoors!AZ18/100,Backdoors!BA18/100)),"")</f>
        <v/>
      </c>
      <c r="DD33" s="49">
        <f>IFERROR(IF(VLOOKUP(tbMoveset!A33,tbMoveset!A2:H112,8,FALSE)="Other",IF(VLOOKUP(tbMoveset!A33,tbMoveset!A2:I112,9,FALSE)="Fire",Backdoors!BB18,IF(VLOOKUP(tbMoveset!A33,tbMoveset!A2:I112,9,FALSE)="Water",Backdoors!BC18,IF(VLOOKUP(tbMoveset!A33,tbMoveset!A2:I112,9,FALSE)="Thunder",Backdoors!BD18,IF(VLOOKUP(tbMoveset!A33,tbMoveset!A2:I112,9,FALSE)="Ice",Backdoors!BE18,IF(VLOOKUP(tbMoveset!A33,tbMoveset!A2:I112,9,FALSE)="Dragon",Backdoors!BF18,Backdoors!BG18)))))/100,Backdoors!BG18/100),"")</f>
        <v>0</v>
      </c>
      <c r="DE33" s="49">
        <f>IFERROR(IF(VLOOKUP(A33,tbMoveset!A2:J112,10,FALSE)=TRUE,IF((Backdoors!AI12+IF(DC33&gt;=0.45,VLOOKUP(Calculator!E23,tbSkills!DH3:DI6,2,FALSE)+IF(AND(Calculator!B8=TRUE,Backdoors!BI18=TRUE),VLOOKUP(Calculator!E23,tbSkills!DH3:DJ6,3,FALSE),0),0))&gt;=0,1+(Backdoors!AL2*(IF((Backdoors!AI12+IF(DC33&gt;=0.45,VLOOKUP(Calculator!E23,tbSkills!DH3:DI6,2,FALSE)+IF(AND(Calculator!B8=TRUE,Backdoors!BI18=TRUE),VLOOKUP(Calculator!E23,tbSkills!DH3:DJ6,3,FALSE),0),0))&gt;=100,100,(Backdoors!AI12+IF(DC33&gt;=0.45,VLOOKUP(Calculator!E23,tbSkills!DH3:DI6,2,FALSE)+IF(AND(Calculator!B8=TRUE,Backdoors!BI18=TRUE),VLOOKUP(Calculator!E23,tbSkills!DH3:DJ6,3,FALSE),0),0)))/100)),(1-(0.25*((-Backdoors!AI12-IF(DC33&gt;=0.45,VLOOKUP(Calculator!E23,tbSkills!DH3:DI6,2,FALSE)+IF(AND(Calculator!B8=TRUE,Backdoors!BI18=TRUE),VLOOKUP(Calculator!E23,tbSkills!DH3:DJ6,3,FALSE),0),0))/100)))),1),"")</f>
        <v>1</v>
      </c>
      <c r="DF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C33)*DE33)*(VLOOKUP(A33,tbMoveset!A2:C112,3,FALSE)/100)*IF(VLOOKUP(A33,tbMoveset!A2:B112,2,FALSE)="Projectile",Backdoors!N10,Backdoors!N9),0),"")</f>
        <v/>
      </c>
      <c r="DG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C33&gt;=0.45,VLOOKUP(Calculator!E23,tbSkills!DH3:DI6,2,FALSE)+IF(AND(Calculator!B8=TRUE,Backdoors!BI18=TRUE),VLOOKUP(Calculator!E23,tbSkills!DH3:DJ6,3,FALSE),0),0))&gt;=100,100,(Backdoors!AI12+IF(DC33&gt;=0.45,VLOOKUP(Calculator!E23,tbSkills!DH3:DI6,2,FALSE)+IF(AND(Calculator!B8=TRUE,Backdoors!BI18=TRUE),VLOOKUP(Calculator!E23,tbSkills!DH3:DJ6,3,FALSE),0),0)))/100)),1))*IF(VLOOKUP(A33,tbMoveset!A2:K112,11,FALSE)=TRUE,Backdoors!AC5,1))*DD33,0),"")</f>
        <v>0</v>
      </c>
      <c r="DH33" s="49">
        <f>VLOOKUP(A33,tbMoveset!A2:G112,7,FALSE)*IFERROR(IF(Backdoors!AI12&gt;=0,1+(IF(Calculator!E40&gt;0,VLOOKUP(Calculator!E40,tbSkills!AI3:AJ5,2,FALSE),Backdoors!AL4)*(IF((Backdoors!AI12+IF(DC33&gt;=0.45,VLOOKUP(Calculator!E23,tbSkills!DH3:DI6,2,FALSE)+IF(AND(Calculator!B8=TRUE,Backdoors!BI18=TRUE),VLOOKUP(Calculator!E23,tbSkills!DH3:DJ6,3,FALSE),0),0))&gt;=100,100,(Backdoors!AI12+IF(DC33&gt;=0.45,VLOOKUP(Calculator!E23,tbSkills!DH3:DI6,2,FALSE)+IF(AND(Calculator!B8=TRUE,Backdoors!BI18=TRUE),VLOOKUP(Calculator!E23,tbSkills!DH3:DJ6,3,FALSE),0),0)))/100)),1),1)</f>
        <v>0.8</v>
      </c>
      <c r="DI33" s="87">
        <f t="shared" si="9"/>
        <v>0</v>
      </c>
      <c r="DJ33" s="86" t="str">
        <f>IFERROR(IF(VLOOKUP(A33,tbMoveset!A2:B112,2,FALSE)="Sever",Backdoors!AY19/100,IF(VLOOKUP(A33,tbMoveset!A2:B112,2,FALSE)="Blunt",Backdoors!AZ19/100,Backdoors!BA19/100)),"")</f>
        <v/>
      </c>
      <c r="DK33" s="49">
        <f>IFERROR(IF(VLOOKUP(tbMoveset!A33,tbMoveset!A2:H112,8,FALSE)="Other",IF(VLOOKUP(tbMoveset!A33,tbMoveset!A2:I112,9,FALSE)="Fire",Backdoors!BB19,IF(VLOOKUP(tbMoveset!A33,tbMoveset!A2:I112,9,FALSE)="Water",Backdoors!BC19,IF(VLOOKUP(tbMoveset!A33,tbMoveset!A2:I112,9,FALSE)="Thunder",Backdoors!BD19,IF(VLOOKUP(tbMoveset!A33,tbMoveset!A2:I112,9,FALSE)="Ice",Backdoors!BE19,IF(VLOOKUP(tbMoveset!A33,tbMoveset!A2:I112,9,FALSE)="Dragon",Backdoors!BF19,Backdoors!BG19)))))/100,Backdoors!BG19/100),"")</f>
        <v>0</v>
      </c>
      <c r="DL33" s="49">
        <f>IFERROR(IF(VLOOKUP(A33,tbMoveset!A2:J112,10,FALSE)=TRUE,IF((Backdoors!AI12+IF(DJ33&gt;=0.45,VLOOKUP(Calculator!E23,tbSkills!DH3:DI6,2,FALSE)+IF(AND(Calculator!B8=TRUE,Backdoors!BI19=TRUE),VLOOKUP(Calculator!E23,tbSkills!DH3:DJ6,3,FALSE),0),0))&gt;=0,1+(Backdoors!AL2*(IF((Backdoors!AI12+IF(DJ33&gt;=0.45,VLOOKUP(Calculator!E23,tbSkills!DH3:DI6,2,FALSE)+IF(AND(Calculator!B8=TRUE,Backdoors!BI19=TRUE),VLOOKUP(Calculator!E23,tbSkills!DH3:DJ6,3,FALSE),0),0))&gt;=100,100,(Backdoors!AI12+IF(DJ33&gt;=0.45,VLOOKUP(Calculator!E23,tbSkills!DH3:DI6,2,FALSE)+IF(AND(Calculator!B8=TRUE,Backdoors!BI19=TRUE),VLOOKUP(Calculator!E23,tbSkills!DH3:DJ6,3,FALSE),0),0)))/100)),(1-(0.25*((-Backdoors!AI12-IF(DJ33&gt;=0.45,VLOOKUP(Calculator!E23,tbSkills!DH3:DI6,2,FALSE)+IF(AND(Calculator!B8=TRUE,Backdoors!BI19=TRUE),VLOOKUP(Calculator!E23,tbSkills!DH3:DJ6,3,FALSE),0),0))/100)))),1),"")</f>
        <v>1</v>
      </c>
      <c r="DM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J33)*DL33)*(VLOOKUP(A33,tbMoveset!A2:C112,3,FALSE)/100)*IF(VLOOKUP(A33,tbMoveset!A2:B112,2,FALSE)="Projectile",Backdoors!N10,Backdoors!N9),0),"")</f>
        <v/>
      </c>
      <c r="DN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J33&gt;=0.45,VLOOKUP(Calculator!E23,tbSkills!DH3:DI6,2,FALSE)+IF(AND(Calculator!B8=TRUE,Backdoors!BI19=TRUE),VLOOKUP(Calculator!E23,tbSkills!DH3:DJ6,3,FALSE),0),0))&gt;=100,100,(Backdoors!AI12+IF(DJ33&gt;=0.45,VLOOKUP(Calculator!E23,tbSkills!DH3:DI6,2,FALSE)+IF(AND(Calculator!B8=TRUE,Backdoors!BI19=TRUE),VLOOKUP(Calculator!E23,tbSkills!DH3:DJ6,3,FALSE),0),0)))/100)),1))*IF(VLOOKUP(A33,tbMoveset!A2:K112,11,FALSE)=TRUE,Backdoors!AC5,1))*DK33,0),"")</f>
        <v>0</v>
      </c>
      <c r="DO33" s="49">
        <f>VLOOKUP(A33,tbMoveset!A2:G112,7,FALSE)*IFERROR(IF(Backdoors!AI12&gt;=0,1+(IF(Calculator!E40&gt;0,VLOOKUP(Calculator!E40,tbSkills!AI3:AJ5,2,FALSE),Backdoors!AL4)*(IF((Backdoors!AI12+IF(DJ33&gt;=0.45,VLOOKUP(Calculator!E23,tbSkills!DH3:DI6,2,FALSE)+IF(AND(Calculator!B8=TRUE,Backdoors!BI19=TRUE),VLOOKUP(Calculator!E23,tbSkills!DH3:DJ6,3,FALSE),0),0))&gt;=100,100,(Backdoors!AI12+IF(DJ33&gt;=0.45,VLOOKUP(Calculator!E23,tbSkills!DH3:DI6,2,FALSE)+IF(AND(Calculator!B8=TRUE,Backdoors!BI19=TRUE),VLOOKUP(Calculator!E23,tbSkills!DH3:DJ6,3,FALSE),0),0)))/100)),1),1)</f>
        <v>0.8</v>
      </c>
      <c r="DP33" s="87">
        <f t="shared" si="41"/>
        <v>0</v>
      </c>
      <c r="DQ33" s="86" t="str">
        <f>IFERROR(IF(VLOOKUP(A33,tbMoveset!A2:B112,2,FALSE)="Sever",Backdoors!AY20/100,IF(VLOOKUP(A33,tbMoveset!A2:B112,2,FALSE)="Blunt",Backdoors!AZ20/100,Backdoors!BA20/100)),"")</f>
        <v/>
      </c>
      <c r="DR33" s="49">
        <f>IFERROR(IF(VLOOKUP(tbMoveset!A33,tbMoveset!A2:H112,8,FALSE)="Other",IF(VLOOKUP(tbMoveset!A33,tbMoveset!A2:I112,9,FALSE)="Fire",Backdoors!BB20,IF(VLOOKUP(tbMoveset!A33,tbMoveset!A2:I112,9,FALSE)="Water",Backdoors!BC20,IF(VLOOKUP(tbMoveset!A33,tbMoveset!A2:I112,9,FALSE)="Thunder",Backdoors!BD20,IF(VLOOKUP(tbMoveset!A33,tbMoveset!A2:I112,9,FALSE)="Ice",Backdoors!BE20,IF(VLOOKUP(tbMoveset!A33,tbMoveset!A2:I112,9,FALSE)="Dragon",Backdoors!BF20,Backdoors!BG20)))))/100,Backdoors!BG20/100),"")</f>
        <v>0</v>
      </c>
      <c r="DS33" s="49">
        <f>IFERROR(IF(VLOOKUP(A33,tbMoveset!A2:J112,10,FALSE)=TRUE,IF((Backdoors!AI12+IF(DQ33&gt;=0.45,VLOOKUP(Calculator!E23,tbSkills!DH3:DI6,2,FALSE)+IF(AND(Calculator!B8=TRUE,Backdoors!BI20=TRUE),VLOOKUP(Calculator!E23,tbSkills!DH3:DJ6,3,FALSE),0),0))&gt;=0,1+(Backdoors!AL2*(IF((Backdoors!AI12+IF(DQ33&gt;=0.45,VLOOKUP(Calculator!E23,tbSkills!DH3:DI6,2,FALSE)+IF(AND(Calculator!B8=TRUE,Backdoors!BI20=TRUE),VLOOKUP(Calculator!E23,tbSkills!DH3:DJ6,3,FALSE),0),0))&gt;=100,100,(Backdoors!AI12+IF(DQ33&gt;=0.45,VLOOKUP(Calculator!E23,tbSkills!DH3:DI6,2,FALSE)+IF(AND(Calculator!B8=TRUE,Backdoors!BI20=TRUE),VLOOKUP(Calculator!E23,tbSkills!DH3:DJ6,3,FALSE),0),0)))/100)),(1-(0.25*((-Backdoors!AI12-IF(DQ33&gt;=0.45,VLOOKUP(Calculator!E23,tbSkills!DH3:DI6,2,FALSE)+IF(AND(Calculator!B8=TRUE,Backdoors!BI20=TRUE),VLOOKUP(Calculator!E23,tbSkills!DH3:DJ6,3,FALSE),0),0))/100)))),1),"")</f>
        <v>1</v>
      </c>
      <c r="DT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Q33)*DS33)*(VLOOKUP(A33,tbMoveset!A2:C112,3,FALSE)/100)*IF(VLOOKUP(A33,tbMoveset!A2:B112,2,FALSE)="Projectile",Backdoors!N10,Backdoors!N9),0),"")</f>
        <v/>
      </c>
      <c r="DU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Q33&gt;=0.45,VLOOKUP(Calculator!E23,tbSkills!DH3:DI6,2,FALSE)+IF(AND(Calculator!B8=TRUE,Backdoors!BI20=TRUE),VLOOKUP(Calculator!E23,tbSkills!DH3:DJ6,3,FALSE),0),0))&gt;=100,100,(Backdoors!AI12+IF(DQ33&gt;=0.45,VLOOKUP(Calculator!E23,tbSkills!DH3:DI6,2,FALSE)+IF(AND(Calculator!B8=TRUE,Backdoors!BI20=TRUE),VLOOKUP(Calculator!E23,tbSkills!DH3:DJ6,3,FALSE),0),0)))/100)),1))*IF(VLOOKUP(A33,tbMoveset!A2:K112,11,FALSE)=TRUE,Backdoors!AC5,1))*DR33,0),"")</f>
        <v>0</v>
      </c>
      <c r="DV33" s="49">
        <f>VLOOKUP(A33,tbMoveset!A2:G112,7,FALSE)*IFERROR(IF(Backdoors!AI12&gt;=0,1+(IF(Calculator!E40&gt;0,VLOOKUP(Calculator!E40,tbSkills!AI3:AJ5,2,FALSE),Backdoors!AL4)*(IF((Backdoors!AI12+IF(DQ33&gt;=0.45,VLOOKUP(Calculator!E23,tbSkills!DH3:DI6,2,FALSE)+IF(AND(Calculator!B8=TRUE,Backdoors!BI20=TRUE),VLOOKUP(Calculator!E23,tbSkills!DH3:DJ6,3,FALSE),0),0))&gt;=100,100,(Backdoors!AI12+IF(DQ33&gt;=0.45,VLOOKUP(Calculator!E23,tbSkills!DH3:DI6,2,FALSE)+IF(AND(Calculator!B8=TRUE,Backdoors!BI20=TRUE),VLOOKUP(Calculator!E23,tbSkills!DH3:DJ6,3,FALSE),0),0)))/100)),1),1)</f>
        <v>0.8</v>
      </c>
      <c r="DW33" s="87">
        <f t="shared" si="10"/>
        <v>0</v>
      </c>
      <c r="DX33" s="86" t="str">
        <f>IFERROR(IF(VLOOKUP(A33,tbMoveset!A2:B112,2,FALSE)="Sever",Backdoors!AY21/100,IF(VLOOKUP(A33,tbMoveset!A2:B112,2,FALSE)="Blunt",Backdoors!AZ21/100,Backdoors!BA21/100)),"")</f>
        <v/>
      </c>
      <c r="DY33" s="49">
        <f>IFERROR(IF(VLOOKUP(tbMoveset!A33,tbMoveset!A2:H112,8,FALSE)="Other",IF(VLOOKUP(tbMoveset!A33,tbMoveset!A2:I112,9,FALSE)="Fire",Backdoors!BB21,IF(VLOOKUP(tbMoveset!A33,tbMoveset!A2:I112,9,FALSE)="Water",Backdoors!BC21,IF(VLOOKUP(tbMoveset!A33,tbMoveset!A2:I112,9,FALSE)="Thunder",Backdoors!BD21,IF(VLOOKUP(tbMoveset!A33,tbMoveset!A2:I112,9,FALSE)="Ice",Backdoors!BE21,IF(VLOOKUP(tbMoveset!A33,tbMoveset!A2:I112,9,FALSE)="Dragon",Backdoors!BF21,Backdoors!BG21)))))/100,Backdoors!BG21/100),"")</f>
        <v>0</v>
      </c>
      <c r="DZ33" s="49">
        <f>IFERROR(IF(VLOOKUP(A33,tbMoveset!A2:J112,10,FALSE)=TRUE,IF((Backdoors!AI12+IF(DX33&gt;=0.45,VLOOKUP(Calculator!E23,tbSkills!DH3:DI6,2,FALSE)+IF(AND(Calculator!B8=TRUE,Backdoors!BI21=TRUE),VLOOKUP(Calculator!E23,tbSkills!DH3:DJ6,3,FALSE),0),0))&gt;=0,1+(Backdoors!AL2*(IF((Backdoors!AI12+IF(DX33&gt;=0.45,VLOOKUP(Calculator!E23,tbSkills!DH3:DI6,2,FALSE)+IF(AND(Calculator!B8=TRUE,Backdoors!BI21=TRUE),VLOOKUP(Calculator!E23,tbSkills!DH3:DJ6,3,FALSE),0),0))&gt;=100,100,(Backdoors!AI12+IF(DX33&gt;=0.45,VLOOKUP(Calculator!E23,tbSkills!DH3:DI6,2,FALSE)+IF(AND(Calculator!B8=TRUE,Backdoors!BI21=TRUE),VLOOKUP(Calculator!E23,tbSkills!DH3:DJ6,3,FALSE),0),0)))/100)),(1-(0.25*((-Backdoors!AI12-IF(DX33&gt;=0.45,VLOOKUP(Calculator!E23,tbSkills!DH3:DI6,2,FALSE)+IF(AND(Calculator!B8=TRUE,Backdoors!BI21=TRUE),VLOOKUP(Calculator!E23,tbSkills!DH3:DJ6,3,FALSE),0),0))/100)))),1),"")</f>
        <v>1</v>
      </c>
      <c r="EA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X33)*DZ33)*(VLOOKUP(A33,tbMoveset!A2:C112,3,FALSE)/100)*IF(VLOOKUP(A33,tbMoveset!A2:B112,2,FALSE)="Projectile",Backdoors!N10,Backdoors!N9),0),"")</f>
        <v/>
      </c>
      <c r="EB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X33&gt;=0.45,VLOOKUP(Calculator!E23,tbSkills!DH3:DI6,2,FALSE)+IF(AND(Calculator!B8=TRUE,Backdoors!BI21=TRUE),VLOOKUP(Calculator!E23,tbSkills!DH3:DJ6,3,FALSE),0),0))&gt;=100,100,(Backdoors!AI12+IF(DX33&gt;=0.45,VLOOKUP(Calculator!E23,tbSkills!DH3:DI6,2,FALSE)+IF(AND(Calculator!B8=TRUE,Backdoors!BI21=TRUE),VLOOKUP(Calculator!E23,tbSkills!DH3:DJ6,3,FALSE),0),0)))/100)),1))*IF(VLOOKUP(A33,tbMoveset!A2:K112,11,FALSE)=TRUE,Backdoors!AC5,1))*DY33,0),"")</f>
        <v>0</v>
      </c>
      <c r="EC33" s="49">
        <f>VLOOKUP(A33,tbMoveset!A2:G112,7,FALSE)*IFERROR(IF(Backdoors!AI12&gt;=0,1+(IF(Calculator!E40&gt;0,VLOOKUP(Calculator!E40,tbSkills!AI3:AJ5,2,FALSE),Backdoors!AL4)*(IF((Backdoors!AI12+IF(DX33&gt;=0.45,VLOOKUP(Calculator!E23,tbSkills!DH3:DI6,2,FALSE)+IF(AND(Calculator!B8=TRUE,Backdoors!BI21=TRUE),VLOOKUP(Calculator!E23,tbSkills!DH3:DJ6,3,FALSE),0),0))&gt;=100,100,(Backdoors!AI12+IF(DX33&gt;=0.45,VLOOKUP(Calculator!E23,tbSkills!DH3:DI6,2,FALSE)+IF(AND(Calculator!B8=TRUE,Backdoors!BI21=TRUE),VLOOKUP(Calculator!E23,tbSkills!DH3:DJ6,3,FALSE),0),0)))/100)),1),1)</f>
        <v>0.8</v>
      </c>
      <c r="ED33" s="87">
        <f t="shared" si="11"/>
        <v>0</v>
      </c>
      <c r="EE33" s="86" t="str">
        <f>IFERROR(IF(VLOOKUP(A33,tbMoveset!A2:B112,2,FALSE)="Sever",Backdoors!AY22/100,IF(VLOOKUP(A33,tbMoveset!A2:B112,2,FALSE)="Blunt",Backdoors!AZ22/100,Backdoors!BA22/100)),"")</f>
        <v/>
      </c>
      <c r="EF33" s="49">
        <f>IFERROR(IF(VLOOKUP(tbMoveset!A33,tbMoveset!A2:H112,8,FALSE)="Other",IF(VLOOKUP(tbMoveset!A33,tbMoveset!A2:I112,9,FALSE)="Fire",Backdoors!BB22,IF(VLOOKUP(tbMoveset!A33,tbMoveset!A2:I112,9,FALSE)="Water",Backdoors!BC22,IF(VLOOKUP(tbMoveset!A33,tbMoveset!A2:I112,9,FALSE)="Thunder",Backdoors!BD22,IF(VLOOKUP(tbMoveset!A33,tbMoveset!A2:I112,9,FALSE)="Ice",Backdoors!BE22,IF(VLOOKUP(tbMoveset!A33,tbMoveset!A2:I112,9,FALSE)="Dragon",Backdoors!BF22,Backdoors!BG22)))))/100,Backdoors!BG22/100),"")</f>
        <v>0</v>
      </c>
      <c r="EG33" s="49">
        <f>IFERROR(IF(VLOOKUP(A33,tbMoveset!A2:J112,10,FALSE)=TRUE,IF((Backdoors!AI12+IF(EE33&gt;=0.45,VLOOKUP(Calculator!E23,tbSkills!DH3:DI6,2,FALSE)+IF(AND(Calculator!B8=TRUE,Backdoors!BI22=TRUE),VLOOKUP(Calculator!E23,tbSkills!DH3:DJ6,3,FALSE),0),0))&gt;=0,1+(Backdoors!AL2*(IF((Backdoors!AI12+IF(EE33&gt;=0.45,VLOOKUP(Calculator!E23,tbSkills!DH3:DI6,2,FALSE)+IF(AND(Calculator!B8=TRUE,Backdoors!BI22=TRUE),VLOOKUP(Calculator!E23,tbSkills!DH3:DJ6,3,FALSE),0),0))&gt;=100,100,(Backdoors!AI12+IF(EE33&gt;=0.45,VLOOKUP(Calculator!E23,tbSkills!DH3:DI6,2,FALSE)+IF(AND(Calculator!B8=TRUE,Backdoors!BI22=TRUE),VLOOKUP(Calculator!E23,tbSkills!DH3:DJ6,3,FALSE),0),0)))/100)),(1-(0.25*((-Backdoors!AI12-IF(EE33&gt;=0.45,VLOOKUP(Calculator!E23,tbSkills!DH3:DI6,2,FALSE)+IF(AND(Calculator!B8=TRUE,Backdoors!BI22=TRUE),VLOOKUP(Calculator!E23,tbSkills!DH3:DJ6,3,FALSE),0),0))/100)))),1),"")</f>
        <v>1</v>
      </c>
      <c r="EH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E33)*EG33)*(VLOOKUP(A33,tbMoveset!A2:C112,3,FALSE)/100)*IF(VLOOKUP(A33,tbMoveset!A2:B112,2,FALSE)="Projectile",Backdoors!N10,Backdoors!N9),0),"")</f>
        <v/>
      </c>
      <c r="EI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E33&gt;=0.45,VLOOKUP(Calculator!E23,tbSkills!DH3:DI6,2,FALSE)+IF(AND(Calculator!B8=TRUE,Backdoors!BI22=TRUE),VLOOKUP(Calculator!E23,tbSkills!DH3:DJ6,3,FALSE),0),0))&gt;=100,100,(Backdoors!AI12+IF(EE33&gt;=0.45,VLOOKUP(Calculator!E23,tbSkills!DH3:DI6,2,FALSE)+IF(AND(Calculator!B8=TRUE,Backdoors!BI22=TRUE),VLOOKUP(Calculator!E23,tbSkills!DH3:DJ6,3,FALSE),0),0)))/100)),1))*IF(VLOOKUP(A33,tbMoveset!A2:K112,11,FALSE)=TRUE,Backdoors!AC5,1))*EF33,0),"")</f>
        <v>0</v>
      </c>
      <c r="EJ33" s="49">
        <f>VLOOKUP(A33,tbMoveset!A2:G112,7,FALSE)*IFERROR(IF(Backdoors!AI12&gt;=0,1+(IF(Calculator!E40&gt;0,VLOOKUP(Calculator!E40,tbSkills!AI3:AJ5,2,FALSE),Backdoors!AL4)*(IF((Backdoors!AI12+IF(EE33&gt;=0.45,VLOOKUP(Calculator!E23,tbSkills!DH3:DI6,2,FALSE)+IF(AND(Calculator!B8=TRUE,Backdoors!BI22=TRUE),VLOOKUP(Calculator!E23,tbSkills!DH3:DJ6,3,FALSE),0),0))&gt;=100,100,(Backdoors!AI12+IF(EE33&gt;=0.45,VLOOKUP(Calculator!E23,tbSkills!DH3:DI6,2,FALSE)+IF(AND(Calculator!B8=TRUE,Backdoors!BI22=TRUE),VLOOKUP(Calculator!E23,tbSkills!DH3:DJ6,3,FALSE),0),0)))/100)),1),1)</f>
        <v>0.8</v>
      </c>
      <c r="EK33" s="87">
        <f t="shared" si="12"/>
        <v>0</v>
      </c>
      <c r="EL33" s="86" t="str">
        <f>IFERROR(IF(VLOOKUP(A33,tbMoveset!A2:B112,2,FALSE)="Sever",Backdoors!AY23/100,IF(VLOOKUP(A33,tbMoveset!A2:B112,2,FALSE)="Blunt",Backdoors!AZ23/100,Backdoors!BA23/100)),"")</f>
        <v/>
      </c>
      <c r="EM33" s="49">
        <f>IFERROR(IF(VLOOKUP(tbMoveset!A33,tbMoveset!A2:H112,8,FALSE)="Other",IF(VLOOKUP(tbMoveset!A33,tbMoveset!A2:I112,9,FALSE)="Fire",Backdoors!BB23,IF(VLOOKUP(tbMoveset!A33,tbMoveset!A2:I112,9,FALSE)="Water",Backdoors!BC23,IF(VLOOKUP(tbMoveset!A33,tbMoveset!A2:I112,9,FALSE)="Thunder",Backdoors!BD23,IF(VLOOKUP(tbMoveset!A33,tbMoveset!A2:I112,9,FALSE)="Ice",Backdoors!BE23,IF(VLOOKUP(tbMoveset!A33,tbMoveset!A2:I112,9,FALSE)="Dragon",Backdoors!BF23,Backdoors!BG23)))))/100,Backdoors!BG23/100),"")</f>
        <v>0</v>
      </c>
      <c r="EN33" s="49">
        <f>IFERROR(IF(VLOOKUP(A33,tbMoveset!A2:J112,10,FALSE)=TRUE,IF((Backdoors!AI12+IF(EL33&gt;=0.45,VLOOKUP(Calculator!E23,tbSkills!DH3:DI6,2,FALSE)+IF(AND(Calculator!B8=TRUE,Backdoors!BI23=TRUE),VLOOKUP(Calculator!E23,tbSkills!DH3:DJ6,3,FALSE),0),0))&gt;=0,1+(Backdoors!AL2*(IF((Backdoors!AI12+IF(EL33&gt;=0.45,VLOOKUP(Calculator!E23,tbSkills!DH3:DI6,2,FALSE)+IF(AND(Calculator!B8=TRUE,Backdoors!BI23=TRUE),VLOOKUP(Calculator!E23,tbSkills!DH3:DJ6,3,FALSE),0),0))&gt;=100,100,(Backdoors!AI12+IF(EL33&gt;=0.45,VLOOKUP(Calculator!E23,tbSkills!DH3:DI6,2,FALSE)+IF(AND(Calculator!B8=TRUE,Backdoors!BI23=TRUE),VLOOKUP(Calculator!E23,tbSkills!DH3:DJ6,3,FALSE),0),0)))/100)),(1-(0.25*((-Backdoors!AI12-IF(EL33&gt;=0.45,VLOOKUP(Calculator!E23,tbSkills!DH3:DI6,2,FALSE)+IF(AND(Calculator!B8=TRUE,Backdoors!BI23=TRUE),VLOOKUP(Calculator!E23,tbSkills!DH3:DJ6,3,FALSE),0),0))/100)))),1),"")</f>
        <v>1</v>
      </c>
      <c r="EO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L33)*EN33)*(VLOOKUP(A33,tbMoveset!A2:C112,3,FALSE)/100)*IF(VLOOKUP(A33,tbMoveset!A2:B112,2,FALSE)="Projectile",Backdoors!N10,Backdoors!N9),0),"")</f>
        <v/>
      </c>
      <c r="EP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L33&gt;=0.45,VLOOKUP(Calculator!E23,tbSkills!DH3:DI6,2,FALSE)+IF(AND(Calculator!B8=TRUE,Backdoors!BI23=TRUE),VLOOKUP(Calculator!E23,tbSkills!DH3:DJ6,3,FALSE),0),0))&gt;=100,100,(Backdoors!AI12+IF(EL33&gt;=0.45,VLOOKUP(Calculator!E23,tbSkills!DH3:DI6,2,FALSE)+IF(AND(Calculator!B8=TRUE,Backdoors!BI23=TRUE),VLOOKUP(Calculator!E23,tbSkills!DH3:DJ6,3,FALSE),0),0)))/100)),1))*IF(VLOOKUP(A33,tbMoveset!A2:K112,11,FALSE)=TRUE,Backdoors!AC5,1))*EM33,0),"")</f>
        <v>0</v>
      </c>
      <c r="EQ33" s="49">
        <f>VLOOKUP(A33,tbMoveset!A2:G112,7,FALSE)*IFERROR(IF(Backdoors!AI12&gt;=0,1+(IF(Calculator!E40&gt;0,VLOOKUP(Calculator!E40,tbSkills!AI3:AJ5,2,FALSE),Backdoors!AL4)*(IF((Backdoors!AI12+IF(EL33&gt;=0.45,VLOOKUP(Calculator!E23,tbSkills!DH3:DI6,2,FALSE)+IF(AND(Calculator!B8=TRUE,Backdoors!BI23=TRUE),VLOOKUP(Calculator!E23,tbSkills!DH3:DJ6,3,FALSE),0),0))&gt;=100,100,(Backdoors!AI12+IF(EL33&gt;=0.45,VLOOKUP(Calculator!E23,tbSkills!DH3:DI6,2,FALSE)+IF(AND(Calculator!B8=TRUE,Backdoors!BI23=TRUE),VLOOKUP(Calculator!E23,tbSkills!DH3:DJ6,3,FALSE),0),0)))/100)),1),1)</f>
        <v>0.8</v>
      </c>
      <c r="ER33" s="87">
        <f t="shared" si="13"/>
        <v>0</v>
      </c>
      <c r="ES33" s="86" t="str">
        <f>IFERROR(IF(VLOOKUP(A33,tbMoveset!A2:B112,2,FALSE)="Sever",Backdoors!AY24/100,IF(VLOOKUP(A33,tbMoveset!A2:B112,2,FALSE)="Blunt",Backdoors!AZ24/100,Backdoors!BA24/100)),"")</f>
        <v/>
      </c>
      <c r="ET33" s="49">
        <f>IFERROR(IF(VLOOKUP(tbMoveset!A33,tbMoveset!A2:H112,8,FALSE)="Other",IF(VLOOKUP(tbMoveset!A33,tbMoveset!A2:I112,9,FALSE)="Fire",Backdoors!BB24,IF(VLOOKUP(tbMoveset!A33,tbMoveset!A2:I112,9,FALSE)="Water",Backdoors!BC24,IF(VLOOKUP(tbMoveset!A33,tbMoveset!A2:I112,9,FALSE)="Thunder",Backdoors!BD24,IF(VLOOKUP(tbMoveset!A33,tbMoveset!A2:I112,9,FALSE)="Ice",Backdoors!BE24,IF(VLOOKUP(tbMoveset!A33,tbMoveset!A2:I112,9,FALSE)="Dragon",Backdoors!BF24,Backdoors!BG24)))))/100,Backdoors!BG24/100),"")</f>
        <v>0</v>
      </c>
      <c r="EU33" s="49">
        <f>IFERROR(IF(VLOOKUP(A33,tbMoveset!A2:J112,10,FALSE)=TRUE,IF((Backdoors!AI12+IF(ES33&gt;=0.45,VLOOKUP(Calculator!E23,tbSkills!DH3:DI6,2,FALSE)+IF(AND(Calculator!B8=TRUE,Backdoors!BI24=TRUE),VLOOKUP(Calculator!E23,tbSkills!DH3:DJ6,3,FALSE),0),0))&gt;=0,1+(Backdoors!AL2*(IF((Backdoors!AI12+IF(ES33&gt;=0.45,VLOOKUP(Calculator!E23,tbSkills!DH3:DI6,2,FALSE)+IF(AND(Calculator!B8=TRUE,Backdoors!BI24=TRUE),VLOOKUP(Calculator!E23,tbSkills!DH3:DJ6,3,FALSE),0),0))&gt;=100,100,(Backdoors!AI12+IF(ES33&gt;=0.45,VLOOKUP(Calculator!E23,tbSkills!DH3:DI6,2,FALSE)+IF(AND(Calculator!B8=TRUE,Backdoors!BI24=TRUE),VLOOKUP(Calculator!E23,tbSkills!DH3:DJ6,3,FALSE),0),0)))/100)),(1-(0.25*((-Backdoors!AI12-IF(ES33&gt;=0.45,VLOOKUP(Calculator!E23,tbSkills!DH3:DI6,2,FALSE)+IF(AND(Calculator!B8=TRUE,Backdoors!BI24=TRUE),VLOOKUP(Calculator!E23,tbSkills!DH3:DJ6,3,FALSE),0),0))/100)))),1),"")</f>
        <v>1</v>
      </c>
      <c r="EV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S33)*EU33)*(VLOOKUP(A33,tbMoveset!A2:C112,3,FALSE)/100)*IF(VLOOKUP(A33,tbMoveset!A2:B112,2,FALSE)="Projectile",Backdoors!N10,Backdoors!N9),0),"")</f>
        <v/>
      </c>
      <c r="EW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S33&gt;=0.45,VLOOKUP(Calculator!E23,tbSkills!DH3:DI6,2,FALSE)+IF(AND(Calculator!B8=TRUE,Backdoors!BI24=TRUE),VLOOKUP(Calculator!E23,tbSkills!DH3:DJ6,3,FALSE),0),0))&gt;=100,100,(Backdoors!AI12+IF(ES33&gt;=0.45,VLOOKUP(Calculator!E23,tbSkills!DH3:DI6,2,FALSE)+IF(AND(Calculator!B8=TRUE,Backdoors!BI24=TRUE),VLOOKUP(Calculator!E23,tbSkills!DH3:DJ6,3,FALSE),0),0)))/100)),1))*IF(VLOOKUP(A33,tbMoveset!A2:K112,11,FALSE)=TRUE,Backdoors!AC5,1))*ET33,0),"")</f>
        <v>0</v>
      </c>
      <c r="EX33" s="49">
        <f>VLOOKUP(A33,tbMoveset!A2:G112,7,FALSE)*IFERROR(IF(Backdoors!AI12&gt;=0,1+(IF(Calculator!E40&gt;0,VLOOKUP(Calculator!E40,tbSkills!AI3:AJ5,2,FALSE),Backdoors!AL4)*(IF((Backdoors!AI12+IF(ES33&gt;=0.45,VLOOKUP(Calculator!E23,tbSkills!DH3:DI6,2,FALSE)+IF(AND(Calculator!B8=TRUE,Backdoors!BI24=TRUE),VLOOKUP(Calculator!E23,tbSkills!DH3:DJ6,3,FALSE),0),0))&gt;=100,100,(Backdoors!AI12+IF(ES33&gt;=0.45,VLOOKUP(Calculator!E23,tbSkills!DH3:DI6,2,FALSE)+IF(AND(Calculator!B8=TRUE,Backdoors!BI24=TRUE),VLOOKUP(Calculator!E23,tbSkills!DH3:DJ6,3,FALSE),0),0)))/100)),1),1)</f>
        <v>0.8</v>
      </c>
      <c r="EY33" s="87">
        <f t="shared" si="14"/>
        <v>0</v>
      </c>
      <c r="EZ33" s="86" t="str">
        <f>IFERROR(IF(VLOOKUP(A33,tbMoveset!A2:B112,2,FALSE)="Sever",Backdoors!AY25/100,IF(VLOOKUP(A33,tbMoveset!A2:B112,2,FALSE)="Blunt",Backdoors!AZ25/100,Backdoors!BA25/100)),"")</f>
        <v/>
      </c>
      <c r="FA33" s="49">
        <f>IFERROR(IF(VLOOKUP(tbMoveset!A33,tbMoveset!A2:H112,8,FALSE)="Other",IF(VLOOKUP(tbMoveset!A33,tbMoveset!A2:I112,9,FALSE)="Fire",Backdoors!BB25,IF(VLOOKUP(tbMoveset!A33,tbMoveset!A2:I112,9,FALSE)="Water",Backdoors!BC25,IF(VLOOKUP(tbMoveset!A33,tbMoveset!A2:I112,9,FALSE)="Thunder",Backdoors!BD25,IF(VLOOKUP(tbMoveset!A33,tbMoveset!A2:I112,9,FALSE)="Ice",Backdoors!BE25,IF(VLOOKUP(tbMoveset!A33,tbMoveset!A2:I112,9,FALSE)="Dragon",Backdoors!BF25,Backdoors!BG25)))))/100,Backdoors!BG25/100),"")</f>
        <v>0</v>
      </c>
      <c r="FB33" s="49">
        <f>IFERROR(IF(VLOOKUP(A33,tbMoveset!A2:J112,10,FALSE)=TRUE,IF((Backdoors!AI12+IF(EZ33&gt;=0.45,VLOOKUP(Calculator!E23,tbSkills!DH3:DI6,2,FALSE)+IF(AND(Calculator!B8=TRUE,Backdoors!BI25=TRUE),VLOOKUP(Calculator!E23,tbSkills!DH3:DJ6,3,FALSE),0),0))&gt;=0,1+(Backdoors!AL2*(IF((Backdoors!AI12+IF(EZ33&gt;=0.45,VLOOKUP(Calculator!E23,tbSkills!DH3:DI6,2,FALSE)+IF(AND(Calculator!B8=TRUE,Backdoors!BI25=TRUE),VLOOKUP(Calculator!E23,tbSkills!DH3:DJ6,3,FALSE),0),0))&gt;=100,100,(Backdoors!AI12+IF(EZ33&gt;=0.45,VLOOKUP(Calculator!E23,tbSkills!DH3:DI6,2,FALSE)+IF(AND(Calculator!B8=TRUE,Backdoors!BI25=TRUE),VLOOKUP(Calculator!E23,tbSkills!DH3:DJ6,3,FALSE),0),0)))/100)),(1-(0.25*((-Backdoors!AI12-IF(EZ33&gt;=0.45,VLOOKUP(Calculator!E23,tbSkills!DH3:DI6,2,FALSE)+IF(AND(Calculator!B8=TRUE,Backdoors!BI25=TRUE),VLOOKUP(Calculator!E23,tbSkills!DH3:DJ6,3,FALSE),0),0))/100)))),1),"")</f>
        <v>1</v>
      </c>
      <c r="FC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Z33)*FB33)*(VLOOKUP(A33,tbMoveset!A2:C112,3,FALSE)/100)*IF(VLOOKUP(A33,tbMoveset!A2:B112,2,FALSE)="Projectile",Backdoors!N10,Backdoors!N9),0),"")</f>
        <v/>
      </c>
      <c r="FD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Z33&gt;=0.45,VLOOKUP(Calculator!E23,tbSkills!DH3:DI6,2,FALSE)+IF(AND(Calculator!B8=TRUE,Backdoors!BI25=TRUE),VLOOKUP(Calculator!E23,tbSkills!DH3:DJ6,3,FALSE),0),0))&gt;=100,100,(Backdoors!AI12+IF(EZ33&gt;=0.45,VLOOKUP(Calculator!E23,tbSkills!DH3:DI6,2,FALSE)+IF(AND(Calculator!B8=TRUE,Backdoors!BI25=TRUE),VLOOKUP(Calculator!E23,tbSkills!DH3:DJ6,3,FALSE),0),0)))/100)),1))*IF(VLOOKUP(A33,tbMoveset!A2:K112,11,FALSE)=TRUE,Backdoors!AC5,1))*FA33,0),"")</f>
        <v>0</v>
      </c>
      <c r="FE33" s="49">
        <f>VLOOKUP(A33,tbMoveset!A2:G112,7,FALSE)*IFERROR(IF(Backdoors!AI12&gt;=0,1+(IF(Calculator!E40&gt;0,VLOOKUP(Calculator!E40,tbSkills!AI3:AJ5,2,FALSE),Backdoors!AL4)*(IF((Backdoors!AI12+IF(EZ33&gt;=0.45,VLOOKUP(Calculator!E23,tbSkills!DH3:DI6,2,FALSE)+IF(AND(Calculator!B8=TRUE,Backdoors!BI25=TRUE),VLOOKUP(Calculator!E23,tbSkills!DH3:DJ6,3,FALSE),0),0))&gt;=100,100,(Backdoors!AI12+IF(EZ33&gt;=0.45,VLOOKUP(Calculator!E23,tbSkills!DH3:DI6,2,FALSE)+IF(AND(Calculator!B8=TRUE,Backdoors!BI25=TRUE),VLOOKUP(Calculator!E23,tbSkills!DH3:DJ6,3,FALSE),0),0)))/100)),1),1)</f>
        <v>0.8</v>
      </c>
      <c r="FF33" s="87">
        <f t="shared" si="15"/>
        <v>0</v>
      </c>
      <c r="FG33" s="86" t="str">
        <f>IFERROR(IF(VLOOKUP(A33,tbMoveset!A2:B112,2,FALSE)="Sever",Backdoors!AY26/100,IF(VLOOKUP(A33,tbMoveset!A2:B112,2,FALSE)="Blunt",Backdoors!AZ26/100,Backdoors!BA26/100)),"")</f>
        <v/>
      </c>
      <c r="FH33" s="49">
        <f>IFERROR(IF(VLOOKUP(tbMoveset!A33,tbMoveset!A2:H112,8,FALSE)="Other",IF(VLOOKUP(tbMoveset!A33,tbMoveset!A2:I112,9,FALSE)="Fire",Backdoors!BB26,IF(VLOOKUP(tbMoveset!A33,tbMoveset!A2:I112,9,FALSE)="Water",Backdoors!BC26,IF(VLOOKUP(tbMoveset!A33,tbMoveset!A2:I112,9,FALSE)="Thunder",Backdoors!BD26,IF(VLOOKUP(tbMoveset!A33,tbMoveset!A2:I112,9,FALSE)="Ice",Backdoors!BE26,IF(VLOOKUP(tbMoveset!A33,tbMoveset!A2:I112,9,FALSE)="Dragon",Backdoors!BF26,Backdoors!BG26)))))/100,Backdoors!BG26/100),"")</f>
        <v>0</v>
      </c>
      <c r="FI33" s="49">
        <f>IFERROR(IF(VLOOKUP(A33,tbMoveset!A2:J112,10,FALSE)=TRUE,IF((Backdoors!AI12+IF(FG33&gt;=0.45,VLOOKUP(Calculator!E23,tbSkills!DH3:DI6,2,FALSE)+IF(AND(Calculator!B8=TRUE,Backdoors!BI26=TRUE),VLOOKUP(Calculator!E23,tbSkills!DH3:DJ6,3,FALSE),0),0))&gt;=0,1+(Backdoors!AL2*(IF((Backdoors!AI12+IF(FG33&gt;=0.45,VLOOKUP(Calculator!E23,tbSkills!DH3:DI6,2,FALSE)+IF(AND(Calculator!B8=TRUE,Backdoors!BI26=TRUE),VLOOKUP(Calculator!E23,tbSkills!DH3:DJ6,3,FALSE),0),0))&gt;=100,100,(Backdoors!AI12+IF(FG33&gt;=0.45,VLOOKUP(Calculator!E23,tbSkills!DH3:DI6,2,FALSE)+IF(AND(Calculator!B8=TRUE,Backdoors!BI26=TRUE),VLOOKUP(Calculator!E23,tbSkills!DH3:DJ6,3,FALSE),0),0)))/100)),(1-(0.25*((-Backdoors!AI12-IF(FG33&gt;=0.45,VLOOKUP(Calculator!E23,tbSkills!DH3:DI6,2,FALSE)+IF(AND(Calculator!B8=TRUE,Backdoors!BI26=TRUE),VLOOKUP(Calculator!E23,tbSkills!DH3:DJ6,3,FALSE),0),0))/100)))),1),"")</f>
        <v>1</v>
      </c>
      <c r="FJ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FG33)*FI33)*(VLOOKUP(A33,tbMoveset!A2:C112,3,FALSE)/100)*IF(VLOOKUP(A33,tbMoveset!A2:B112,2,FALSE)="Projectile",Backdoors!N10,Backdoors!N9),0),"")</f>
        <v/>
      </c>
      <c r="FK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FG33&gt;=0.45,VLOOKUP(Calculator!E23,tbSkills!DH3:DI6,2,FALSE)+IF(AND(Calculator!B8=TRUE,Backdoors!BI26=TRUE),VLOOKUP(Calculator!E23,tbSkills!DH3:DJ6,3,FALSE),0),0))&gt;=100,100,(Backdoors!AI12+IF(FG33&gt;=0.45,VLOOKUP(Calculator!E23,tbSkills!DH3:DI6,2,FALSE)+IF(AND(Calculator!B8=TRUE,Backdoors!BI26=TRUE),VLOOKUP(Calculator!E23,tbSkills!DH3:DJ6,3,FALSE),0),0)))/100)),1))*IF(VLOOKUP(A33,tbMoveset!A2:K112,11,FALSE)=TRUE,Backdoors!AC5,1))*FH33,0),"")</f>
        <v>0</v>
      </c>
      <c r="FL33" s="49">
        <f>VLOOKUP(A33,tbMoveset!A2:G112,7,FALSE)*IFERROR(IF(Backdoors!AI12&gt;=0,1+(IF(Calculator!E40&gt;0,VLOOKUP(Calculator!E40,tbSkills!AI3:AJ5,2,FALSE),Backdoors!AL4)*(IF((Backdoors!AI12+IF(FG33&gt;=0.45,VLOOKUP(Calculator!E23,tbSkills!DH3:DI6,2,FALSE)+IF(AND(Calculator!B8=TRUE,Backdoors!BI26=TRUE),VLOOKUP(Calculator!E23,tbSkills!DH3:DJ6,3,FALSE),0),0))&gt;=100,100,(Backdoors!AI12+IF(FG33&gt;=0.45,VLOOKUP(Calculator!E23,tbSkills!DH3:DI6,2,FALSE)+IF(AND(Calculator!B8=TRUE,Backdoors!BI26=TRUE),VLOOKUP(Calculator!E23,tbSkills!DH3:DJ6,3,FALSE),0),0)))/100)),1),1)</f>
        <v>0.8</v>
      </c>
      <c r="FM33" s="87">
        <f t="shared" si="16"/>
        <v>0</v>
      </c>
      <c r="FN33" s="86" t="str">
        <f>IFERROR(IF(VLOOKUP(A33,tbMoveset!A2:B112,2,FALSE)="Sever",Backdoors!AY27/100,IF(VLOOKUP(A33,tbMoveset!A2:B112,2,FALSE)="Blunt",Backdoors!AZ27/100,Backdoors!BA27/100)),"")</f>
        <v/>
      </c>
      <c r="FO33" s="49">
        <f>IFERROR(IF(VLOOKUP(tbMoveset!A33,tbMoveset!A2:H112,8,FALSE)="Other",IF(VLOOKUP(tbMoveset!A33,tbMoveset!A2:I112,9,FALSE)="Fire",Backdoors!BB27,IF(VLOOKUP(tbMoveset!A33,tbMoveset!A2:I112,9,FALSE)="Water",Backdoors!BC27,IF(VLOOKUP(tbMoveset!A33,tbMoveset!A2:I112,9,FALSE)="Thunder",Backdoors!BD27,IF(VLOOKUP(tbMoveset!A33,tbMoveset!A2:I112,9,FALSE)="Ice",Backdoors!BE27,IF(VLOOKUP(tbMoveset!A33,tbMoveset!A2:I112,9,FALSE)="Dragon",Backdoors!BF27,Backdoors!BG27)))))/100,Backdoors!BG27/100),"")</f>
        <v>0</v>
      </c>
      <c r="FP33" s="49">
        <f>IFERROR(IF(VLOOKUP(A33,tbMoveset!A2:J112,10,FALSE)=TRUE,IF((Backdoors!AI12+IF(FN33&gt;=0.45,VLOOKUP(Calculator!E23,tbSkills!DH3:DI6,2,FALSE)+IF(AND(Calculator!B8=TRUE,Backdoors!BI27=TRUE),VLOOKUP(Calculator!E23,tbSkills!DH3:DJ6,3,FALSE),0),0))&gt;=0,1+(Backdoors!AL2*(IF((Backdoors!AI12+IF(FN33&gt;=0.45,VLOOKUP(Calculator!E23,tbSkills!DH3:DI6,2,FALSE)+IF(AND(Calculator!B8=TRUE,Backdoors!BI27=TRUE),VLOOKUP(Calculator!E23,tbSkills!DH3:DJ6,3,FALSE),0),0))&gt;=100,100,(Backdoors!AI12+IF(FN33&gt;=0.45,VLOOKUP(Calculator!E23,tbSkills!DH3:DI6,2,FALSE)+IF(AND(Calculator!B8=TRUE,Backdoors!BI27=TRUE),VLOOKUP(Calculator!E23,tbSkills!DH3:DJ6,3,FALSE),0),0)))/100)),(1-(0.25*((-Backdoors!AI12-IF(FN33&gt;=0.45,VLOOKUP(Calculator!E23,tbSkills!DH3:DI6,2,FALSE)+IF(AND(Calculator!B8=TRUE,Backdoors!BI27=TRUE),VLOOKUP(Calculator!E23,tbSkills!DH3:DJ6,3,FALSE),0),0))/100)))),1),"")</f>
        <v>1</v>
      </c>
      <c r="FQ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FN33)*FP33)*(VLOOKUP(A33,tbMoveset!A2:C112,3,FALSE)/100)*IF(VLOOKUP(A33,tbMoveset!A2:B112,2,FALSE)="Projectile",Backdoors!N10,Backdoors!N9),0),"")</f>
        <v/>
      </c>
      <c r="FR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FN33&gt;=0.45,VLOOKUP(Calculator!E23,tbSkills!DH3:DI6,2,FALSE)+IF(AND(Calculator!B8=TRUE,Backdoors!BI27=TRUE),VLOOKUP(Calculator!E23,tbSkills!DH3:DJ6,3,FALSE),0),0))&gt;=100,100,(Backdoors!AI12+IF(FN33&gt;=0.45,VLOOKUP(Calculator!E23,tbSkills!DH3:DI6,2,FALSE)+IF(AND(Calculator!B8=TRUE,Backdoors!BI27=TRUE),VLOOKUP(Calculator!E23,tbSkills!DH3:DJ6,3,FALSE),0),0)))/100)),1))*IF(VLOOKUP(A33,tbMoveset!A2:K112,11,FALSE)=TRUE,Backdoors!AC5,1))*FO33,0),"")</f>
        <v>0</v>
      </c>
      <c r="FS33" s="49">
        <f>VLOOKUP(A33,tbMoveset!A2:G112,7,FALSE)*IFERROR(IF(Backdoors!AI12&gt;=0,1+(IF(Calculator!E40&gt;0,VLOOKUP(Calculator!E40,tbSkills!AI3:AJ5,2,FALSE),Backdoors!AL4)*(IF((Backdoors!AI12+IF(FN33&gt;=0.45,VLOOKUP(Calculator!E23,tbSkills!DH3:DI6,2,FALSE)+IF(AND(Calculator!B8=TRUE,Backdoors!BI27=TRUE),VLOOKUP(Calculator!E23,tbSkills!DH3:DJ6,3,FALSE),0),0))&gt;=100,100,(Backdoors!AI12+IF(FN33&gt;=0.45,VLOOKUP(Calculator!E23,tbSkills!DH3:DI6,2,FALSE)+IF(AND(Calculator!B8=TRUE,Backdoors!BI27=TRUE),VLOOKUP(Calculator!E23,tbSkills!DH3:DJ6,3,FALSE),0),0)))/100)),1),1)</f>
        <v>0.8</v>
      </c>
      <c r="FT33" s="87">
        <f t="shared" si="17"/>
        <v>0</v>
      </c>
      <c r="FU33" s="86" t="str">
        <f>IFERROR(IF(VLOOKUP(A33,tbMoveset!A2:B112,2,FALSE)="Sever",Backdoors!AY28/100,IF(VLOOKUP(A33,tbMoveset!A2:B112,2,FALSE)="Blunt",Backdoors!AZ28/100,Backdoors!BA28/100)),"")</f>
        <v/>
      </c>
      <c r="FV33" s="49">
        <f>IFERROR(IF(VLOOKUP(tbMoveset!A33,tbMoveset!A2:H112,8,FALSE)="Other",IF(VLOOKUP(tbMoveset!A33,tbMoveset!A2:I112,9,FALSE)="Fire",Backdoors!BB28,IF(VLOOKUP(tbMoveset!A33,tbMoveset!A2:I112,9,FALSE)="Water",Backdoors!BC28,IF(VLOOKUP(tbMoveset!A33,tbMoveset!A2:I112,9,FALSE)="Thunder",Backdoors!BD28,IF(VLOOKUP(tbMoveset!A33,tbMoveset!A2:I112,9,FALSE)="Ice",Backdoors!BE28,IF(VLOOKUP(tbMoveset!A33,tbMoveset!A2:I112,9,FALSE)="Dragon",Backdoors!BF28,Backdoors!BG28)))))/100,Backdoors!BG28/100),"")</f>
        <v>0</v>
      </c>
      <c r="FW33" s="49">
        <f>IFERROR(IF(VLOOKUP(A33,tbMoveset!A2:J112,10,FALSE)=TRUE,IF((Backdoors!AI12+IF(FU33&gt;=0.45,VLOOKUP(Calculator!E23,tbSkills!DH3:DI6,2,FALSE)+IF(AND(Calculator!B8=TRUE,Backdoors!BI28=TRUE),VLOOKUP(Calculator!E23,tbSkills!DH3:DJ6,3,FALSE),0),0))&gt;=0,1+(Backdoors!AL2*(IF((Backdoors!AI12+IF(FU33&gt;=0.45,VLOOKUP(Calculator!E23,tbSkills!DH3:DI6,2,FALSE)+IF(AND(Calculator!B8=TRUE,Backdoors!BI28=TRUE),VLOOKUP(Calculator!E23,tbSkills!DH3:DJ6,3,FALSE),0),0))&gt;=100,100,(Backdoors!AI12+IF(FU33&gt;=0.45,VLOOKUP(Calculator!E23,tbSkills!DH3:DI6,2,FALSE)+IF(AND(Calculator!B8=TRUE,Backdoors!BI28=TRUE),VLOOKUP(Calculator!E23,tbSkills!DH3:DJ6,3,FALSE),0),0)))/100)),(1-(0.25*((-Backdoors!AI12-IF(FU33&gt;=0.45,VLOOKUP(Calculator!E23,tbSkills!DH3:DI6,2,FALSE)+IF(AND(Calculator!B8=TRUE,Backdoors!BI28=TRUE),VLOOKUP(Calculator!E23,tbSkills!DH3:DJ6,3,FALSE),0),0))/100)))),1),"")</f>
        <v>1</v>
      </c>
      <c r="FX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FU33)*FW33)*(VLOOKUP(A33,tbMoveset!A2:C112,3,FALSE)/100)*IF(VLOOKUP(A33,tbMoveset!A2:B112,2,FALSE)="Projectile",Backdoors!N10,Backdoors!N9),0),"")</f>
        <v/>
      </c>
      <c r="FY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FU33&gt;=0.45,VLOOKUP(Calculator!E23,tbSkills!DH3:DI6,2,FALSE)+IF(AND(Calculator!B8=TRUE,Backdoors!BI28=TRUE),VLOOKUP(Calculator!E23,tbSkills!DH3:DJ6,3,FALSE),0),0))&gt;=100,100,(Backdoors!AI12+IF(FU33&gt;=0.45,VLOOKUP(Calculator!E23,tbSkills!DH3:DI6,2,FALSE)+IF(AND(Calculator!B8=TRUE,Backdoors!BI28=TRUE),VLOOKUP(Calculator!E23,tbSkills!DH3:DJ6,3,FALSE),0),0)))/100)),1))*IF(VLOOKUP(A33,tbMoveset!A2:K112,11,FALSE)=TRUE,Backdoors!AC5,1))*FV33,0),"")</f>
        <v>0</v>
      </c>
      <c r="FZ33" s="49">
        <f>VLOOKUP(A33,tbMoveset!A2:G112,7,FALSE)*IFERROR(IF(Backdoors!AI12&gt;=0,1+(IF(Calculator!E40&gt;0,VLOOKUP(Calculator!E40,tbSkills!AI3:AJ5,2,FALSE),Backdoors!AL4)*(IF((Backdoors!AI12+IF(FU33&gt;=0.45,VLOOKUP(Calculator!E23,tbSkills!DH3:DI6,2,FALSE)+IF(AND(Calculator!B8=TRUE,Backdoors!BI28=TRUE),VLOOKUP(Calculator!E23,tbSkills!DH3:DJ6,3,FALSE),0),0))&gt;=100,100,(Backdoors!AI12+IF(FU33&gt;=0.45,VLOOKUP(Calculator!E23,tbSkills!DH3:DI6,2,FALSE)+IF(AND(Calculator!B8=TRUE,Backdoors!BI28=TRUE),VLOOKUP(Calculator!E23,tbSkills!DH3:DJ6,3,FALSE),0),0)))/100)),1),1)</f>
        <v>0.8</v>
      </c>
      <c r="GA33" s="87">
        <f t="shared" si="18"/>
        <v>0</v>
      </c>
      <c r="GB33" s="86" t="str">
        <f>IFERROR(IF(VLOOKUP(A33,tbMoveset!A2:B112,2,FALSE)="Sever",Backdoors!AY29/100,IF(VLOOKUP(A33,tbMoveset!A2:B112,2,FALSE)="Blunt",Backdoors!AZ29/100,Backdoors!BA29/100)),"")</f>
        <v/>
      </c>
      <c r="GC33" s="49">
        <f>IFERROR(IF(VLOOKUP(tbMoveset!A33,tbMoveset!A2:H112,8,FALSE)="Other",IF(VLOOKUP(tbMoveset!A33,tbMoveset!A2:I112,9,FALSE)="Fire",Backdoors!BB29,IF(VLOOKUP(tbMoveset!A33,tbMoveset!A2:I112,9,FALSE)="Water",Backdoors!BC29,IF(VLOOKUP(tbMoveset!A33,tbMoveset!A2:I112,9,FALSE)="Thunder",Backdoors!BD29,IF(VLOOKUP(tbMoveset!A33,tbMoveset!A2:I112,9,FALSE)="Ice",Backdoors!BE29,IF(VLOOKUP(tbMoveset!A33,tbMoveset!A2:I112,9,FALSE)="Dragon",Backdoors!BF29,Backdoors!BG29)))))/100,Backdoors!BG29/100),"")</f>
        <v>0</v>
      </c>
      <c r="GD33" s="49">
        <f>IFERROR(IF(VLOOKUP(A33,tbMoveset!A2:J112,10,FALSE)=TRUE,IF((Backdoors!AI12+IF(GB33&gt;=0.45,VLOOKUP(Calculator!E23,tbSkills!DH3:DI6,2,FALSE)+IF(AND(Calculator!B8=TRUE,Backdoors!BI29=TRUE),VLOOKUP(Calculator!E23,tbSkills!DH3:DJ6,3,FALSE),0),0))&gt;=0,1+(Backdoors!AL2*(IF((Backdoors!AI12+IF(GB33&gt;=0.45,VLOOKUP(Calculator!E23,tbSkills!DH3:DI6,2,FALSE)+IF(AND(Calculator!B8=TRUE,Backdoors!BI29=TRUE),VLOOKUP(Calculator!E23,tbSkills!DH3:DJ6,3,FALSE),0),0))&gt;=100,100,(Backdoors!AI12+IF(GB33&gt;=0.45,VLOOKUP(Calculator!E23,tbSkills!DH3:DI6,2,FALSE)+IF(AND(Calculator!B8=TRUE,Backdoors!BI29=TRUE),VLOOKUP(Calculator!E23,tbSkills!DH3:DJ6,3,FALSE),0),0)))/100)),(1-(0.25*((-Backdoors!AI12-IF(GB33&gt;=0.45,VLOOKUP(Calculator!E23,tbSkills!DH3:DI6,2,FALSE)+IF(AND(Calculator!B8=TRUE,Backdoors!BI29=TRUE),VLOOKUP(Calculator!E23,tbSkills!DH3:DJ6,3,FALSE),0),0))/100)))),1),"")</f>
        <v>1</v>
      </c>
      <c r="GE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B33)*GD33)*(VLOOKUP(A33,tbMoveset!A2:C112,3,FALSE)/100)*IF(VLOOKUP(A33,tbMoveset!A2:B112,2,FALSE)="Projectile",Backdoors!N10,Backdoors!N9),0),"")</f>
        <v/>
      </c>
      <c r="GF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B33&gt;=0.45,VLOOKUP(Calculator!E23,tbSkills!DH3:DI6,2,FALSE)+IF(AND(Calculator!B8=TRUE,Backdoors!BI29=TRUE),VLOOKUP(Calculator!E23,tbSkills!DH3:DJ6,3,FALSE),0),0))&gt;=100,100,(Backdoors!AI12+IF(GB33&gt;=0.45,VLOOKUP(Calculator!E23,tbSkills!DH3:DI6,2,FALSE)+IF(AND(Calculator!B8=TRUE,Backdoors!BI29=TRUE),VLOOKUP(Calculator!E23,tbSkills!DH3:DJ6,3,FALSE),0),0)))/100)),1))*IF(VLOOKUP(A33,tbMoveset!A2:K112,11,FALSE)=TRUE,Backdoors!AC5,1))*GC33,0),"")</f>
        <v>0</v>
      </c>
      <c r="GG33" s="49">
        <f>VLOOKUP(A33,tbMoveset!A2:G112,7,FALSE)*IFERROR(IF(Backdoors!AI12&gt;=0,1+(IF(Calculator!E40&gt;0,VLOOKUP(Calculator!E40,tbSkills!AI3:AJ5,2,FALSE),Backdoors!AL4)*(IF((Backdoors!AI12+IF(GB33&gt;=0.45,VLOOKUP(Calculator!E23,tbSkills!DH3:DI6,2,FALSE)+IF(AND(Calculator!B8=TRUE,Backdoors!BI29=TRUE),VLOOKUP(Calculator!E23,tbSkills!DH3:DJ6,3,FALSE),0),0))&gt;=100,100,(Backdoors!AI12+IF(GB33&gt;=0.45,VLOOKUP(Calculator!E23,tbSkills!DH3:DI6,2,FALSE)+IF(AND(Calculator!B8=TRUE,Backdoors!BI29=TRUE),VLOOKUP(Calculator!E23,tbSkills!DH3:DJ6,3,FALSE),0),0)))/100)),1),1)</f>
        <v>0.8</v>
      </c>
      <c r="GH33" s="87">
        <f t="shared" si="19"/>
        <v>0</v>
      </c>
      <c r="GI33" s="86" t="str">
        <f>IFERROR(IF(VLOOKUP(A33,tbMoveset!A2:B112,2,FALSE)="Sever",Backdoors!AY30/100,IF(VLOOKUP(A33,tbMoveset!A2:B112,2,FALSE)="Blunt",Backdoors!AZ30/100,Backdoors!BA30/100)),"")</f>
        <v/>
      </c>
      <c r="GJ33" s="49">
        <f>IFERROR(IF(VLOOKUP(tbMoveset!A33,tbMoveset!A2:H112,8,FALSE)="Other",IF(VLOOKUP(tbMoveset!A33,tbMoveset!A2:I112,9,FALSE)="Fire",Backdoors!BB30,IF(VLOOKUP(tbMoveset!A33,tbMoveset!A2:I112,9,FALSE)="Water",Backdoors!BC30,IF(VLOOKUP(tbMoveset!A33,tbMoveset!A2:I112,9,FALSE)="Thunder",Backdoors!BD30,IF(VLOOKUP(tbMoveset!A33,tbMoveset!A2:I112,9,FALSE)="Ice",Backdoors!BE30,IF(VLOOKUP(tbMoveset!A33,tbMoveset!A2:I112,9,FALSE)="Dragon",Backdoors!BF30,Backdoors!BG30)))))/100,Backdoors!BG30/100),"")</f>
        <v>0</v>
      </c>
      <c r="GK33" s="49">
        <f>IFERROR(IF(VLOOKUP(A33,tbMoveset!A2:J112,10,FALSE)=TRUE,IF((Backdoors!AI12+IF(GI33&gt;=0.45,VLOOKUP(Calculator!E23,tbSkills!DH3:DI6,2,FALSE)+IF(AND(Calculator!B8=TRUE,Backdoors!BI30=TRUE),VLOOKUP(Calculator!E23,tbSkills!DH3:DJ6,3,FALSE),0),0))&gt;=0,1+(Backdoors!AL2*(IF((Backdoors!AI12+IF(GI33&gt;=0.45,VLOOKUP(Calculator!E23,tbSkills!DH3:DI6,2,FALSE)+IF(AND(Calculator!B8=TRUE,Backdoors!BI30=TRUE),VLOOKUP(Calculator!E23,tbSkills!DH3:DJ6,3,FALSE),0),0))&gt;=100,100,(Backdoors!AI12+IF(GI33&gt;=0.45,VLOOKUP(Calculator!E23,tbSkills!DH3:DI6,2,FALSE)+IF(AND(Calculator!B8=TRUE,Backdoors!BI30=TRUE),VLOOKUP(Calculator!E23,tbSkills!DH3:DJ6,3,FALSE),0),0)))/100)),(1-(0.25*((-Backdoors!AI12-IF(GI33&gt;=0.45,VLOOKUP(Calculator!E23,tbSkills!DH3:DI6,2,FALSE)+IF(AND(Calculator!B8=TRUE,Backdoors!BI30=TRUE),VLOOKUP(Calculator!E23,tbSkills!DH3:DJ6,3,FALSE),0),0))/100)))),1),"")</f>
        <v>1</v>
      </c>
      <c r="GL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I33)*GK33)*(VLOOKUP(A33,tbMoveset!A2:C112,3,FALSE)/100)*IF(VLOOKUP(A33,tbMoveset!A2:B112,2,FALSE)="Projectile",Backdoors!N10,Backdoors!N9),0),"")</f>
        <v/>
      </c>
      <c r="GM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I33&gt;=0.45,VLOOKUP(Calculator!E23,tbSkills!DH3:DI6,2,FALSE)+IF(AND(Calculator!B8=TRUE,Backdoors!BI30=TRUE),VLOOKUP(Calculator!E23,tbSkills!DH3:DJ6,3,FALSE),0),0))&gt;=100,100,(Backdoors!AI12+IF(GI33&gt;=0.45,VLOOKUP(Calculator!E23,tbSkills!DH3:DI6,2,FALSE)+IF(AND(Calculator!B8=TRUE,Backdoors!BI30=TRUE),VLOOKUP(Calculator!E23,tbSkills!DH3:DJ6,3,FALSE),0),0)))/100)),1))*IF(VLOOKUP(A33,tbMoveset!A2:K112,11,FALSE)=TRUE,Backdoors!AC5,1))*GJ33,0),"")</f>
        <v>0</v>
      </c>
      <c r="GN33" s="49">
        <f>VLOOKUP(A33,tbMoveset!A2:G112,7,FALSE)*IFERROR(IF(Backdoors!AI12&gt;=0,1+(IF(Calculator!E40&gt;0,VLOOKUP(Calculator!E40,tbSkills!AI3:AJ5,2,FALSE),Backdoors!AL4)*(IF((Backdoors!AI12+IF(GI33&gt;=0.45,VLOOKUP(Calculator!E23,tbSkills!DH3:DI6,2,FALSE)+IF(AND(Calculator!B8=TRUE,Backdoors!BI30=TRUE),VLOOKUP(Calculator!E23,tbSkills!DH3:DJ6,3,FALSE),0),0))&gt;=100,100,(Backdoors!AI12+IF(GI33&gt;=0.45,VLOOKUP(Calculator!E23,tbSkills!DH3:DI6,2,FALSE)+IF(AND(Calculator!B8=TRUE,Backdoors!BI30=TRUE),VLOOKUP(Calculator!E23,tbSkills!DH3:DJ6,3,FALSE),0),0)))/100)),1),1)</f>
        <v>0.8</v>
      </c>
      <c r="GO33" s="87">
        <f t="shared" si="20"/>
        <v>0</v>
      </c>
      <c r="GP33" s="86" t="str">
        <f>IFERROR(IF(VLOOKUP(A33,tbMoveset!A2:B112,2,FALSE)="Sever",Backdoors!AY31/100,IF(VLOOKUP(A33,tbMoveset!A2:B112,2,FALSE)="Blunt",Backdoors!AZ31/100,Backdoors!BA31/100)),"")</f>
        <v/>
      </c>
      <c r="GQ33" s="49">
        <f>IFERROR(IF(VLOOKUP(tbMoveset!A33,tbMoveset!A2:H112,8,FALSE)="Other",IF(VLOOKUP(tbMoveset!A33,tbMoveset!A2:I112,9,FALSE)="Fire",Backdoors!BB31,IF(VLOOKUP(tbMoveset!A33,tbMoveset!A2:I112,9,FALSE)="Water",Backdoors!BC31,IF(VLOOKUP(tbMoveset!A33,tbMoveset!A2:I112,9,FALSE)="Thunder",Backdoors!BD31,IF(VLOOKUP(tbMoveset!A33,tbMoveset!A2:I112,9,FALSE)="Ice",Backdoors!BE31,IF(VLOOKUP(tbMoveset!A33,tbMoveset!A2:I112,9,FALSE)="Dragon",Backdoors!BF31,Backdoors!BG31)))))/100,Backdoors!BG31/100),"")</f>
        <v>0</v>
      </c>
      <c r="GR33" s="49">
        <f>IFERROR(IF(VLOOKUP(A33,tbMoveset!A2:J112,10,FALSE)=TRUE,IF((Backdoors!AI12+IF(GP33&gt;=0.45,VLOOKUP(Calculator!E23,tbSkills!DH3:DI6,2,FALSE)+IF(AND(Calculator!B8=TRUE,Backdoors!BI31=TRUE),VLOOKUP(Calculator!E23,tbSkills!DH3:DJ6,3,FALSE),0),0))&gt;=0,1+(Backdoors!AL2*(IF((Backdoors!AI12+IF(GP33&gt;=0.45,VLOOKUP(Calculator!E23,tbSkills!DH3:DI6,2,FALSE)+IF(AND(Calculator!B8=TRUE,Backdoors!BI31=TRUE),VLOOKUP(Calculator!E23,tbSkills!DH3:DJ6,3,FALSE),0),0))&gt;=100,100,(Backdoors!AI12+IF(GP33&gt;=0.45,VLOOKUP(Calculator!E23,tbSkills!DH3:DI6,2,FALSE)+IF(AND(Calculator!B8=TRUE,Backdoors!BI31=TRUE),VLOOKUP(Calculator!E23,tbSkills!DH3:DJ6,3,FALSE),0),0)))/100)),(1-(0.25*((-Backdoors!AI12-IF(GP33&gt;=0.45,VLOOKUP(Calculator!E23,tbSkills!DH3:DI6,2,FALSE)+IF(AND(Calculator!B8=TRUE,Backdoors!BI31=TRUE),VLOOKUP(Calculator!E23,tbSkills!DH3:DJ6,3,FALSE),0),0))/100)))),1),"")</f>
        <v>1</v>
      </c>
      <c r="GS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P33)*GR33)*(VLOOKUP(A33,tbMoveset!A2:C112,3,FALSE)/100)*IF(VLOOKUP(A33,tbMoveset!A2:B112,2,FALSE)="Projectile",Backdoors!N10,Backdoors!N9),0),"")</f>
        <v/>
      </c>
      <c r="GT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P33&gt;=0.45,VLOOKUP(Calculator!E23,tbSkills!DH3:DI6,2,FALSE)+IF(AND(Calculator!B8=TRUE,Backdoors!BI31=TRUE),VLOOKUP(Calculator!E23,tbSkills!DH3:DJ6,3,FALSE),0),0))&gt;=100,100,(Backdoors!AI12+IF(GP33&gt;=0.45,VLOOKUP(Calculator!E23,tbSkills!DH3:DI6,2,FALSE)+IF(AND(Calculator!B8=TRUE,Backdoors!BI31=TRUE),VLOOKUP(Calculator!E23,tbSkills!DH3:DJ6,3,FALSE),0),0)))/100)),1))*IF(VLOOKUP(A33,tbMoveset!A2:K112,11,FALSE)=TRUE,Backdoors!AC5,1))*GQ33,0),"")</f>
        <v>0</v>
      </c>
      <c r="GU33" s="49">
        <f>VLOOKUP(A33,tbMoveset!A2:G112,7,FALSE)*IFERROR(IF(Backdoors!AI12&gt;=0,1+(IF(Calculator!E40&gt;0,VLOOKUP(Calculator!E40,tbSkills!AI3:AJ5,2,FALSE),Backdoors!AL4)*(IF((Backdoors!AI12+IF(GP33&gt;=0.45,VLOOKUP(Calculator!E23,tbSkills!DH3:DI6,2,FALSE)+IF(AND(Calculator!B8=TRUE,Backdoors!BI31=TRUE),VLOOKUP(Calculator!E23,tbSkills!DH3:DJ6,3,FALSE),0),0))&gt;=100,100,(Backdoors!AI12+IF(GP33&gt;=0.45,VLOOKUP(Calculator!E23,tbSkills!DH3:DI6,2,FALSE)+IF(AND(Calculator!B8=TRUE,Backdoors!BI31=TRUE),VLOOKUP(Calculator!E23,tbSkills!DH3:DJ6,3,FALSE),0),0)))/100)),1),1)</f>
        <v>0.8</v>
      </c>
      <c r="GV33" s="87">
        <f t="shared" si="21"/>
        <v>0</v>
      </c>
      <c r="GW33" s="86" t="str">
        <f>IFERROR(IF(VLOOKUP(A33,tbMoveset!A2:B112,2,FALSE)="Sever",Backdoors!AY32/100,IF(VLOOKUP(A33,tbMoveset!A2:B112,2,FALSE)="Blunt",Backdoors!AZ32/100,Backdoors!BA32/100)),"")</f>
        <v/>
      </c>
      <c r="GX33" s="49">
        <f>IFERROR(IF(VLOOKUP(tbMoveset!A33,tbMoveset!A2:H112,8,FALSE)="Other",IF(VLOOKUP(tbMoveset!A33,tbMoveset!A2:I112,9,FALSE)="Fire",Backdoors!BB32,IF(VLOOKUP(tbMoveset!A33,tbMoveset!A2:I112,9,FALSE)="Water",Backdoors!BC32,IF(VLOOKUP(tbMoveset!A33,tbMoveset!A2:I112,9,FALSE)="Thunder",Backdoors!BD32,IF(VLOOKUP(tbMoveset!A33,tbMoveset!A2:I112,9,FALSE)="Ice",Backdoors!BE32,IF(VLOOKUP(tbMoveset!A33,tbMoveset!A2:I112,9,FALSE)="Dragon",Backdoors!BF32,Backdoors!BG32)))))/100,Backdoors!BG32/100),"")</f>
        <v>0</v>
      </c>
      <c r="GY33" s="49">
        <f>IFERROR(IF(VLOOKUP(A33,tbMoveset!A2:J112,10,FALSE)=TRUE,IF((Backdoors!AI12+IF(GW33&gt;=0.45,VLOOKUP(Calculator!E23,tbSkills!DH3:DI6,2,FALSE)+IF(AND(Calculator!B8=TRUE,Backdoors!BI32=TRUE),VLOOKUP(Calculator!E23,tbSkills!DH3:DJ6,3,FALSE),0),0))&gt;=0,1+(Backdoors!AL2*(IF((Backdoors!AI12+IF(GW33&gt;=0.45,VLOOKUP(Calculator!E23,tbSkills!DH3:DI6,2,FALSE)+IF(AND(Calculator!B8=TRUE,Backdoors!BI32=TRUE),VLOOKUP(Calculator!E23,tbSkills!DH3:DJ6,3,FALSE),0),0))&gt;=100,100,(Backdoors!AI12+IF(GW33&gt;=0.45,VLOOKUP(Calculator!E23,tbSkills!DH3:DI6,2,FALSE)+IF(AND(Calculator!B8=TRUE,Backdoors!BI32=TRUE),VLOOKUP(Calculator!E23,tbSkills!DH3:DJ6,3,FALSE),0),0)))/100)),(1-(0.25*((-Backdoors!AI12-IF(GW33&gt;=0.45,VLOOKUP(Calculator!E23,tbSkills!DH3:DI6,2,FALSE)+IF(AND(Calculator!B8=TRUE,Backdoors!BI32=TRUE),VLOOKUP(Calculator!E23,tbSkills!DH3:DJ6,3,FALSE),0),0))/100)))),1),"")</f>
        <v>1</v>
      </c>
      <c r="GZ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W33)*GY33)*(VLOOKUP(A33,tbMoveset!A2:C112,3,FALSE)/100)*IF(VLOOKUP(A33,tbMoveset!A2:B112,2,FALSE)="Projectile",Backdoors!N10,Backdoors!N9),0),"")</f>
        <v/>
      </c>
      <c r="HA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W33&gt;=0.45,VLOOKUP(Calculator!E23,tbSkills!DH3:DI6,2,FALSE)+IF(AND(Calculator!B8=TRUE,Backdoors!BI32=TRUE),VLOOKUP(Calculator!E23,tbSkills!DH3:DJ6,3,FALSE),0),0))&gt;=100,100,(Backdoors!AI12+IF(GW33&gt;=0.45,VLOOKUP(Calculator!E23,tbSkills!DH3:DI6,2,FALSE)+IF(AND(Calculator!B8=TRUE,Backdoors!BI32=TRUE),VLOOKUP(Calculator!E23,tbSkills!DH3:DJ6,3,FALSE),0),0)))/100)),1))*IF(VLOOKUP(A33,tbMoveset!A2:K112,11,FALSE)=TRUE,Backdoors!AC5,1))*GX33,0),"")</f>
        <v>0</v>
      </c>
      <c r="HB33" s="49">
        <f>VLOOKUP(A33,tbMoveset!A2:G112,7,FALSE)*IFERROR(IF(Backdoors!AI12&gt;=0,1+(IF(Calculator!E40&gt;0,VLOOKUP(Calculator!E40,tbSkills!AI3:AJ5,2,FALSE),Backdoors!AL4)*(IF((Backdoors!AI12+IF(GW33&gt;=0.45,VLOOKUP(Calculator!E23,tbSkills!DH3:DI6,2,FALSE)+IF(AND(Calculator!B8=TRUE,Backdoors!BI32=TRUE),VLOOKUP(Calculator!E23,tbSkills!DH3:DJ6,3,FALSE),0),0))&gt;=100,100,(Backdoors!AI12+IF(GW33&gt;=0.45,VLOOKUP(Calculator!E23,tbSkills!DH3:DI6,2,FALSE)+IF(AND(Calculator!B8=TRUE,Backdoors!BI32=TRUE),VLOOKUP(Calculator!E23,tbSkills!DH3:DJ6,3,FALSE),0),0)))/100)),1),1)</f>
        <v>0.8</v>
      </c>
      <c r="HC33" s="87">
        <f t="shared" si="22"/>
        <v>0</v>
      </c>
      <c r="HD33" s="86" t="str">
        <f>IFERROR(IF(VLOOKUP(A33,tbMoveset!A2:B112,2,FALSE)="Sever",Backdoors!AY33/100,IF(VLOOKUP(A33,tbMoveset!A2:B112,2,FALSE)="Blunt",Backdoors!AZ33/100,Backdoors!BA33/100)),"")</f>
        <v/>
      </c>
      <c r="HE33" s="49">
        <f>IFERROR(IF(VLOOKUP(tbMoveset!A33,tbMoveset!A2:H112,8,FALSE)="Other",IF(VLOOKUP(tbMoveset!A33,tbMoveset!A2:I112,9,FALSE)="Fire",Backdoors!BB33,IF(VLOOKUP(tbMoveset!A33,tbMoveset!A2:I112,9,FALSE)="Water",Backdoors!BC33,IF(VLOOKUP(tbMoveset!A33,tbMoveset!A2:I112,9,FALSE)="Thunder",Backdoors!BD33,IF(VLOOKUP(tbMoveset!A33,tbMoveset!A2:I112,9,FALSE)="Ice",Backdoors!BE33,IF(VLOOKUP(tbMoveset!A33,tbMoveset!A2:I112,9,FALSE)="Dragon",Backdoors!BF33,Backdoors!BG33)))))/100,Backdoors!BG33/100),"")</f>
        <v>0</v>
      </c>
      <c r="HF33" s="49">
        <f>IFERROR(IF(VLOOKUP(A33,tbMoveset!A2:J112,10,FALSE)=TRUE,IF((Backdoors!AI12+IF(HD33&gt;=0.45,VLOOKUP(Calculator!E23,tbSkills!DH3:DI6,2,FALSE)+IF(AND(Calculator!B8=TRUE,Backdoors!BI33=TRUE),VLOOKUP(Calculator!E23,tbSkills!DH3:DJ6,3,FALSE),0),0))&gt;=0,1+(Backdoors!AL2*(IF((Backdoors!AI12+IF(HD33&gt;=0.45,VLOOKUP(Calculator!E23,tbSkills!DH3:DI6,2,FALSE)+IF(AND(Calculator!B8=TRUE,Backdoors!BI33=TRUE),VLOOKUP(Calculator!E23,tbSkills!DH3:DJ6,3,FALSE),0),0))&gt;=100,100,(Backdoors!AI12+IF(HD33&gt;=0.45,VLOOKUP(Calculator!E23,tbSkills!DH3:DI6,2,FALSE)+IF(AND(Calculator!B8=TRUE,Backdoors!BI33=TRUE),VLOOKUP(Calculator!E23,tbSkills!DH3:DJ6,3,FALSE),0),0)))/100)),(1-(0.25*((-Backdoors!AI12-IF(HD33&gt;=0.45,VLOOKUP(Calculator!E23,tbSkills!DH3:DI6,2,FALSE)+IF(AND(Calculator!B8=TRUE,Backdoors!BI33=TRUE),VLOOKUP(Calculator!E23,tbSkills!DH3:DJ6,3,FALSE),0),0))/100)))),1),"")</f>
        <v>1</v>
      </c>
      <c r="HG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D33)*HF33)*(VLOOKUP(A33,tbMoveset!A2:C112,3,FALSE)/100)*IF(VLOOKUP(A33,tbMoveset!A2:B112,2,FALSE)="Projectile",Backdoors!N10,Backdoors!N9),0),"")</f>
        <v/>
      </c>
      <c r="HH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D33&gt;=0.45,VLOOKUP(Calculator!E23,tbSkills!DH3:DI6,2,FALSE)+IF(AND(Calculator!B8=TRUE,Backdoors!BI33=TRUE),VLOOKUP(Calculator!E23,tbSkills!DH3:DJ6,3,FALSE),0),0))&gt;=100,100,(Backdoors!AI12+IF(HD33&gt;=0.45,VLOOKUP(Calculator!E23,tbSkills!DH3:DI6,2,FALSE)+IF(AND(Calculator!B8=TRUE,Backdoors!BI33=TRUE),VLOOKUP(Calculator!E23,tbSkills!DH3:DJ6,3,FALSE),0),0)))/100)),1))*IF(VLOOKUP(A33,tbMoveset!A2:K112,11,FALSE)=TRUE,Backdoors!AC5,1))*HE33,0),"")</f>
        <v>0</v>
      </c>
      <c r="HI33" s="49">
        <f>VLOOKUP(A33,tbMoveset!A2:G112,7,FALSE)*IFERROR(IF(Backdoors!AI12&gt;=0,1+(IF(Calculator!E40&gt;0,VLOOKUP(Calculator!E40,tbSkills!AI3:AJ5,2,FALSE),Backdoors!AL4)*(IF((Backdoors!AI12+IF(HD33&gt;=0.45,VLOOKUP(Calculator!E23,tbSkills!DH3:DI6,2,FALSE)+IF(AND(Calculator!B8=TRUE,Backdoors!BI33=TRUE),VLOOKUP(Calculator!E23,tbSkills!DH3:DJ6,3,FALSE),0),0))&gt;=100,100,(Backdoors!AI12+IF(HD33&gt;=0.45,VLOOKUP(Calculator!E23,tbSkills!DH3:DI6,2,FALSE)+IF(AND(Calculator!B8=TRUE,Backdoors!BI33=TRUE),VLOOKUP(Calculator!E23,tbSkills!DH3:DJ6,3,FALSE),0),0)))/100)),1),1)</f>
        <v>0.8</v>
      </c>
      <c r="HJ33" s="87">
        <f t="shared" si="23"/>
        <v>0</v>
      </c>
      <c r="HK33" s="86" t="str">
        <f>IFERROR(IF(VLOOKUP(A33,tbMoveset!A2:B112,2,FALSE)="Sever",Backdoors!AY34/100,IF(VLOOKUP(A33,tbMoveset!A2:B112,2,FALSE)="Blunt",Backdoors!AZ34/100,Backdoors!BA34/100)),"")</f>
        <v/>
      </c>
      <c r="HL33" s="49">
        <f>IFERROR(IF(VLOOKUP(tbMoveset!A33,tbMoveset!A2:H112,8,FALSE)="Other",IF(VLOOKUP(tbMoveset!A33,tbMoveset!A2:I112,9,FALSE)="Fire",Backdoors!BB34,IF(VLOOKUP(tbMoveset!A33,tbMoveset!A2:I112,9,FALSE)="Water",Backdoors!BC34,IF(VLOOKUP(tbMoveset!A33,tbMoveset!A2:I112,9,FALSE)="Thunder",Backdoors!BD34,IF(VLOOKUP(tbMoveset!A33,tbMoveset!A2:I112,9,FALSE)="Ice",Backdoors!BE34,IF(VLOOKUP(tbMoveset!A33,tbMoveset!A2:I112,9,FALSE)="Dragon",Backdoors!BF34,Backdoors!BG34)))))/100,Backdoors!BG34/100),"")</f>
        <v>0</v>
      </c>
      <c r="HM33" s="49">
        <f>IFERROR(IF(VLOOKUP(A33,tbMoveset!A2:J112,10,FALSE)=TRUE,IF((Backdoors!AI12+IF(HK33&gt;=0.45,VLOOKUP(Calculator!E23,tbSkills!DH3:DI6,2,FALSE)+IF(AND(Calculator!B8=TRUE,Backdoors!BI34=TRUE),VLOOKUP(Calculator!E23,tbSkills!DH3:DJ6,3,FALSE),0),0))&gt;=0,1+(Backdoors!AL2*(IF((Backdoors!AI12+IF(HK33&gt;=0.45,VLOOKUP(Calculator!E23,tbSkills!DH3:DI6,2,FALSE)+IF(AND(Calculator!B8=TRUE,Backdoors!BI34=TRUE),VLOOKUP(Calculator!E23,tbSkills!DH3:DJ6,3,FALSE),0),0))&gt;=100,100,(Backdoors!AI12+IF(HK33&gt;=0.45,VLOOKUP(Calculator!E23,tbSkills!DH3:DI6,2,FALSE)+IF(AND(Calculator!B8=TRUE,Backdoors!BI34=TRUE),VLOOKUP(Calculator!E23,tbSkills!DH3:DJ6,3,FALSE),0),0)))/100)),(1-(0.25*((-Backdoors!AI12-IF(HK33&gt;=0.45,VLOOKUP(Calculator!E23,tbSkills!DH3:DI6,2,FALSE)+IF(AND(Calculator!B8=TRUE,Backdoors!BI34=TRUE),VLOOKUP(Calculator!E23,tbSkills!DH3:DJ6,3,FALSE),0),0))/100)))),1),"")</f>
        <v>1</v>
      </c>
      <c r="HN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K33)*HM33)*(VLOOKUP(A33,tbMoveset!A2:C112,3,FALSE)/100)*IF(VLOOKUP(A33,tbMoveset!A2:B112,2,FALSE)="Projectile",Backdoors!N10,Backdoors!N9),0),"")</f>
        <v/>
      </c>
      <c r="HO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K33&gt;=0.45,VLOOKUP(Calculator!E23,tbSkills!DH3:DI6,2,FALSE)+IF(AND(Calculator!B8=TRUE,Backdoors!BI34=TRUE),VLOOKUP(Calculator!E23,tbSkills!DH3:DJ6,3,FALSE),0),0))&gt;=100,100,(Backdoors!AI12+IF(HK33&gt;=0.45,VLOOKUP(Calculator!E23,tbSkills!DH3:DI6,2,FALSE)+IF(AND(Calculator!B8=TRUE,Backdoors!BI34=TRUE),VLOOKUP(Calculator!E23,tbSkills!DH3:DJ6,3,FALSE),0),0)))/100)),1))*IF(VLOOKUP(A33,tbMoveset!A2:K112,11,FALSE)=TRUE,Backdoors!AC5,1))*HL33,0),"")</f>
        <v>0</v>
      </c>
      <c r="HP33" s="49">
        <f>VLOOKUP(A33,tbMoveset!A2:G112,7,FALSE)*IFERROR(IF(Backdoors!AI12&gt;=0,1+(IF(Calculator!E40&gt;0,VLOOKUP(Calculator!E40,tbSkills!AI3:AJ5,2,FALSE),Backdoors!AL4)*(IF((Backdoors!AI12+IF(HK33&gt;=0.45,VLOOKUP(Calculator!E23,tbSkills!DH3:DI6,2,FALSE)+IF(AND(Calculator!B8=TRUE,Backdoors!BI34=TRUE),VLOOKUP(Calculator!E23,tbSkills!DH3:DJ6,3,FALSE),0),0))&gt;=100,100,(Backdoors!AI12+IF(HK33&gt;=0.45,VLOOKUP(Calculator!E23,tbSkills!DH3:DI6,2,FALSE)+IF(AND(Calculator!B8=TRUE,Backdoors!BI34=TRUE),VLOOKUP(Calculator!E23,tbSkills!DH3:DJ6,3,FALSE),0),0)))/100)),1),1)</f>
        <v>0.8</v>
      </c>
      <c r="HQ33" s="87">
        <f t="shared" si="24"/>
        <v>0</v>
      </c>
      <c r="HR33" s="86" t="str">
        <f>IFERROR(IF(VLOOKUP(A33,tbMoveset!A2:B112,2,FALSE)="Sever",Backdoors!AY35/100,IF(VLOOKUP(A33,tbMoveset!A2:B112,2,FALSE)="Blunt",Backdoors!AZ35/100,Backdoors!BA35/100)),"")</f>
        <v/>
      </c>
      <c r="HS33" s="49">
        <f>IFERROR(IF(VLOOKUP(tbMoveset!A33,tbMoveset!A2:H112,8,FALSE)="Other",IF(VLOOKUP(tbMoveset!A33,tbMoveset!A2:I112,9,FALSE)="Fire",Backdoors!BB35,IF(VLOOKUP(tbMoveset!A33,tbMoveset!A2:I112,9,FALSE)="Water",Backdoors!BC35,IF(VLOOKUP(tbMoveset!A33,tbMoveset!A2:I112,9,FALSE)="Thunder",Backdoors!BD35,IF(VLOOKUP(tbMoveset!A33,tbMoveset!A2:I112,9,FALSE)="Ice",Backdoors!BE35,IF(VLOOKUP(tbMoveset!A33,tbMoveset!A2:I112,9,FALSE)="Dragon",Backdoors!BF35,Backdoors!BG35)))))/100,Backdoors!BG35/100),"")</f>
        <v>0</v>
      </c>
      <c r="HT33" s="49">
        <f>IFERROR(IF(VLOOKUP(A33,tbMoveset!A2:J112,10,FALSE)=TRUE,IF((Backdoors!AI12+IF(HR33&gt;=0.45,VLOOKUP(Calculator!E23,tbSkills!DH3:DI6,2,FALSE)+IF(AND(Calculator!B8=TRUE,Backdoors!BI35=TRUE),VLOOKUP(Calculator!E23,tbSkills!DH3:DJ6,3,FALSE),0),0))&gt;=0,1+(Backdoors!AL2*(IF((Backdoors!AI12+IF(HR33&gt;=0.45,VLOOKUP(Calculator!E23,tbSkills!DH3:DI6,2,FALSE)+IF(AND(Calculator!B8=TRUE,Backdoors!BI35=TRUE),VLOOKUP(Calculator!E23,tbSkills!DH3:DJ6,3,FALSE),0),0))&gt;=100,100,(Backdoors!AI12+IF(HR33&gt;=0.45,VLOOKUP(Calculator!E23,tbSkills!DH3:DI6,2,FALSE)+IF(AND(Calculator!B8=TRUE,Backdoors!BI35=TRUE),VLOOKUP(Calculator!E23,tbSkills!DH3:DJ6,3,FALSE),0),0)))/100)),(1-(0.25*((-Backdoors!AI12-IF(HR33&gt;=0.45,VLOOKUP(Calculator!E23,tbSkills!DH3:DI6,2,FALSE)+IF(AND(Calculator!B8=TRUE,Backdoors!BI35=TRUE),VLOOKUP(Calculator!E23,tbSkills!DH3:DJ6,3,FALSE),0),0))/100)))),1),"")</f>
        <v>1</v>
      </c>
      <c r="HU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R33)*HT33)*(VLOOKUP(A33,tbMoveset!A2:C112,3,FALSE)/100)*IF(VLOOKUP(A33,tbMoveset!A2:B112,2,FALSE)="Projectile",Backdoors!N10,Backdoors!N9),0),"")</f>
        <v/>
      </c>
      <c r="HV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R33&gt;=0.45,VLOOKUP(Calculator!E23,tbSkills!DH3:DI6,2,FALSE)+IF(AND(Calculator!B8=TRUE,Backdoors!BI35=TRUE),VLOOKUP(Calculator!E23,tbSkills!DH3:DJ6,3,FALSE),0),0))&gt;=100,100,(Backdoors!AI12+IF(HR33&gt;=0.45,VLOOKUP(Calculator!E23,tbSkills!DH3:DI6,2,FALSE)+IF(AND(Calculator!B8=TRUE,Backdoors!BI35=TRUE),VLOOKUP(Calculator!E23,tbSkills!DH3:DJ6,3,FALSE),0),0)))/100)),1))*IF(VLOOKUP(A33,tbMoveset!A2:K112,11,FALSE)=TRUE,Backdoors!AC5,1))*HS33,0),"")</f>
        <v>0</v>
      </c>
      <c r="HW33" s="49">
        <f>VLOOKUP(A33,tbMoveset!A2:G112,7,FALSE)*IFERROR(IF(Backdoors!AI12&gt;=0,1+(IF(Calculator!E40&gt;0,VLOOKUP(Calculator!E40,tbSkills!AI3:AJ5,2,FALSE),Backdoors!AL4)*(IF((Backdoors!AI12+IF(HR33&gt;=0.45,VLOOKUP(Calculator!E23,tbSkills!DH3:DI6,2,FALSE)+IF(AND(Calculator!B8=TRUE,Backdoors!BI35=TRUE),VLOOKUP(Calculator!E23,tbSkills!DH3:DJ6,3,FALSE),0),0))&gt;=100,100,(Backdoors!AI12+IF(HR33&gt;=0.45,VLOOKUP(Calculator!E23,tbSkills!DH3:DI6,2,FALSE)+IF(AND(Calculator!B8=TRUE,Backdoors!BI35=TRUE),VLOOKUP(Calculator!E23,tbSkills!DH3:DJ6,3,FALSE),0),0)))/100)),1),1)</f>
        <v>0.8</v>
      </c>
      <c r="HX33" s="87">
        <f t="shared" si="25"/>
        <v>0</v>
      </c>
      <c r="HY33" s="86" t="str">
        <f>IFERROR(IF(VLOOKUP(A33,tbMoveset!A2:B112,2,FALSE)="Sever",Backdoors!AY36/100,IF(VLOOKUP(A33,tbMoveset!A2:B112,2,FALSE)="Blunt",Backdoors!AZ36/100,Backdoors!BA36/100)),"")</f>
        <v/>
      </c>
      <c r="HZ33" s="49">
        <f>IFERROR(IF(VLOOKUP(tbMoveset!A33,tbMoveset!A2:H112,8,FALSE)="Other",IF(VLOOKUP(tbMoveset!A33,tbMoveset!A2:I112,9,FALSE)="Fire",Backdoors!BB36,IF(VLOOKUP(tbMoveset!A33,tbMoveset!A2:I112,9,FALSE)="Water",Backdoors!BC36,IF(VLOOKUP(tbMoveset!A33,tbMoveset!A2:I112,9,FALSE)="Thunder",Backdoors!BD36,IF(VLOOKUP(tbMoveset!A33,tbMoveset!A2:I112,9,FALSE)="Ice",Backdoors!BE36,IF(VLOOKUP(tbMoveset!A33,tbMoveset!A2:I112,9,FALSE)="Dragon",Backdoors!BF36,Backdoors!BG36)))))/100,Backdoors!BG36/100),"")</f>
        <v>0</v>
      </c>
      <c r="IA33" s="49">
        <f>IFERROR(IF(VLOOKUP(A33,tbMoveset!A2:J112,10,FALSE)=TRUE,IF((Backdoors!AI12+IF(HY33&gt;=0.45,VLOOKUP(Calculator!E23,tbSkills!DH3:DI6,2,FALSE)+IF(AND(Calculator!B8=TRUE,Backdoors!BI36=TRUE),VLOOKUP(Calculator!E23,tbSkills!DH3:DJ6,3,FALSE),0),0))&gt;=0,1+(Backdoors!AL2*(IF((Backdoors!AI12+IF(HY33&gt;=0.45,VLOOKUP(Calculator!E23,tbSkills!DH3:DI6,2,FALSE)+IF(AND(Calculator!B8=TRUE,Backdoors!BI36=TRUE),VLOOKUP(Calculator!E23,tbSkills!DH3:DJ6,3,FALSE),0),0))&gt;=100,100,(Backdoors!AI12+IF(HY33&gt;=0.45,VLOOKUP(Calculator!E23,tbSkills!DH3:DI6,2,FALSE)+IF(AND(Calculator!B8=TRUE,Backdoors!BI36=TRUE),VLOOKUP(Calculator!E23,tbSkills!DH3:DJ6,3,FALSE),0),0)))/100)),(1-(0.25*((-Backdoors!AI12-IF(HY33&gt;=0.45,VLOOKUP(Calculator!E23,tbSkills!DH3:DI6,2,FALSE)+IF(AND(Calculator!B8=TRUE,Backdoors!BI36=TRUE),VLOOKUP(Calculator!E23,tbSkills!DH3:DJ6,3,FALSE),0),0))/100)))),1),"")</f>
        <v>1</v>
      </c>
      <c r="IB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Y33)*IA33)*(VLOOKUP(A33,tbMoveset!A2:C112,3,FALSE)/100)*IF(VLOOKUP(A33,tbMoveset!A2:B112,2,FALSE)="Projectile",Backdoors!N10,Backdoors!N9),0),"")</f>
        <v/>
      </c>
      <c r="IC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Y33&gt;=0.45,VLOOKUP(Calculator!E23,tbSkills!DH3:DI6,2,FALSE)+IF(AND(Calculator!B8=TRUE,Backdoors!BI36=TRUE),VLOOKUP(Calculator!E23,tbSkills!DH3:DJ6,3,FALSE),0),0))&gt;=100,100,(Backdoors!AI12+IF(HY33&gt;=0.45,VLOOKUP(Calculator!E23,tbSkills!DH3:DI6,2,FALSE)+IF(AND(Calculator!B8=TRUE,Backdoors!BI36=TRUE),VLOOKUP(Calculator!E23,tbSkills!DH3:DJ6,3,FALSE),0),0)))/100)),1))*IF(VLOOKUP(A33,tbMoveset!A2:K112,11,FALSE)=TRUE,Backdoors!AC5,1))*HZ33,0),"")</f>
        <v>0</v>
      </c>
      <c r="ID33" s="49">
        <f>VLOOKUP(A33,tbMoveset!A2:G112,7,FALSE)*IFERROR(IF(Backdoors!AI12&gt;=0,1+(IF(Calculator!E40&gt;0,VLOOKUP(Calculator!E40,tbSkills!AI3:AJ5,2,FALSE),Backdoors!AL4)*(IF((Backdoors!AI12+IF(HY33&gt;=0.45,VLOOKUP(Calculator!E23,tbSkills!DH3:DI6,2,FALSE)+IF(AND(Calculator!B8=TRUE,Backdoors!BI36=TRUE),VLOOKUP(Calculator!E23,tbSkills!DH3:DJ6,3,FALSE),0),0))&gt;=100,100,(Backdoors!AI12+IF(HY33&gt;=0.45,VLOOKUP(Calculator!E23,tbSkills!DH3:DI6,2,FALSE)+IF(AND(Calculator!B8=TRUE,Backdoors!BI36=TRUE),VLOOKUP(Calculator!E23,tbSkills!DH3:DJ6,3,FALSE),0),0)))/100)),1),1)</f>
        <v>0.8</v>
      </c>
      <c r="IE33" s="87">
        <f t="shared" si="26"/>
        <v>0</v>
      </c>
      <c r="IF33" s="86" t="str">
        <f>IFERROR(IF(VLOOKUP(A33,tbMoveset!A2:B112,2,FALSE)="Sever",Backdoors!AY37/100,IF(VLOOKUP(A33,tbMoveset!A2:B112,2,FALSE)="Blunt",Backdoors!AZ37/100,Backdoors!BA37/100)),"")</f>
        <v/>
      </c>
      <c r="IG33" s="49">
        <f>IFERROR(IF(VLOOKUP(tbMoveset!A33,tbMoveset!A2:H112,8,FALSE)="Other",IF(VLOOKUP(tbMoveset!A33,tbMoveset!A2:I112,9,FALSE)="Fire",Backdoors!BB37,IF(VLOOKUP(tbMoveset!A33,tbMoveset!A2:I112,9,FALSE)="Water",Backdoors!BC37,IF(VLOOKUP(tbMoveset!A33,tbMoveset!A2:I112,9,FALSE)="Thunder",Backdoors!BD37,IF(VLOOKUP(tbMoveset!A33,tbMoveset!A2:I112,9,FALSE)="Ice",Backdoors!BE37,IF(VLOOKUP(tbMoveset!A33,tbMoveset!A2:I112,9,FALSE)="Dragon",Backdoors!BF37,Backdoors!BG37)))))/100,Backdoors!BG37/100),"")</f>
        <v>0</v>
      </c>
      <c r="IH33" s="49">
        <f>IFERROR(IF(VLOOKUP(A33,tbMoveset!A2:J112,10,FALSE)=TRUE,IF((Backdoors!AI12+IF(IF33&gt;=0.45,VLOOKUP(Calculator!E23,tbSkills!DH3:DI6,2,FALSE)+IF(AND(Calculator!B8=TRUE,Backdoors!BI37=TRUE),VLOOKUP(Calculator!E23,tbSkills!DH3:DJ6,3,FALSE),0),0))&gt;=0,1+(Backdoors!AL2*(IF((Backdoors!AI12+IF(IF33&gt;=0.45,VLOOKUP(Calculator!E23,tbSkills!DH3:DI6,2,FALSE)+IF(AND(Calculator!B8=TRUE,Backdoors!BI37=TRUE),VLOOKUP(Calculator!E23,tbSkills!DH3:DJ6,3,FALSE),0),0))&gt;=100,100,(Backdoors!AI12+IF(IF33&gt;=0.45,VLOOKUP(Calculator!E23,tbSkills!DH3:DI6,2,FALSE)+IF(AND(Calculator!B8=TRUE,Backdoors!BI37=TRUE),VLOOKUP(Calculator!E23,tbSkills!DH3:DJ6,3,FALSE),0),0)))/100)),(1-(0.25*((-Backdoors!AI12-IF(IF33&gt;=0.45,VLOOKUP(Calculator!E23,tbSkills!DH3:DI6,2,FALSE)+IF(AND(Calculator!B8=TRUE,Backdoors!BI37=TRUE),VLOOKUP(Calculator!E23,tbSkills!DH3:DJ6,3,FALSE),0),0))/100)))),1),"")</f>
        <v>1</v>
      </c>
      <c r="II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F33)*IH33)*(VLOOKUP(A33,tbMoveset!A2:C112,3,FALSE)/100)*IF(VLOOKUP(A33,tbMoveset!A2:B112,2,FALSE)="Projectile",Backdoors!N10,Backdoors!N9),0),"")</f>
        <v/>
      </c>
      <c r="IJ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IF33&gt;=0.45,VLOOKUP(Calculator!E23,tbSkills!DH3:DI6,2,FALSE)+IF(AND(Calculator!B8=TRUE,Backdoors!BI37=TRUE),VLOOKUP(Calculator!E23,tbSkills!DH3:DJ6,3,FALSE),0),0))&gt;=100,100,(Backdoors!AI12+IF(IF33&gt;=0.45,VLOOKUP(Calculator!E23,tbSkills!DH3:DI6,2,FALSE)+IF(AND(Calculator!B8=TRUE,Backdoors!BI37=TRUE),VLOOKUP(Calculator!E23,tbSkills!DH3:DJ6,3,FALSE),0),0)))/100)),1))*IF(VLOOKUP(A33,tbMoveset!A2:K112,11,FALSE)=TRUE,Backdoors!AC5,1))*IG33,0),"")</f>
        <v>0</v>
      </c>
      <c r="IK33" s="49">
        <f>VLOOKUP(A33,tbMoveset!A2:G112,7,FALSE)*IFERROR(IF(Backdoors!AI12&gt;=0,1+(IF(Calculator!E40&gt;0,VLOOKUP(Calculator!E40,tbSkills!AI3:AJ5,2,FALSE),Backdoors!AL4)*(IF((Backdoors!AI12+IF(IF33&gt;=0.45,VLOOKUP(Calculator!E23,tbSkills!DH3:DI6,2,FALSE)+IF(AND(Calculator!B8=TRUE,Backdoors!BI37=TRUE),VLOOKUP(Calculator!E23,tbSkills!DH3:DJ6,3,FALSE),0),0))&gt;=100,100,(Backdoors!AI12+IF(IF33&gt;=0.45,VLOOKUP(Calculator!E23,tbSkills!DH3:DI6,2,FALSE)+IF(AND(Calculator!B8=TRUE,Backdoors!BI37=TRUE),VLOOKUP(Calculator!E23,tbSkills!DH3:DJ6,3,FALSE),0),0)))/100)),1),1)</f>
        <v>0.8</v>
      </c>
      <c r="IL33" s="87">
        <f t="shared" si="27"/>
        <v>0</v>
      </c>
      <c r="IM33" s="86" t="str">
        <f>IFERROR(IF(VLOOKUP(A33,tbMoveset!A2:B112,2,FALSE)="Sever",Backdoors!AY38/100,IF(VLOOKUP(A33,tbMoveset!A2:B112,2,FALSE)="Blunt",Backdoors!AZ38/100,Backdoors!BA38/100)),"")</f>
        <v/>
      </c>
      <c r="IN33" s="49">
        <f>IFERROR(IF(VLOOKUP(tbMoveset!A33,tbMoveset!A2:H112,8,FALSE)="Other",IF(VLOOKUP(tbMoveset!A33,tbMoveset!A2:I112,9,FALSE)="Fire",Backdoors!BB38,IF(VLOOKUP(tbMoveset!A33,tbMoveset!A2:I112,9,FALSE)="Water",Backdoors!BC38,IF(VLOOKUP(tbMoveset!A33,tbMoveset!A2:I112,9,FALSE)="Thunder",Backdoors!BD38,IF(VLOOKUP(tbMoveset!A33,tbMoveset!A2:I112,9,FALSE)="Ice",Backdoors!BE38,IF(VLOOKUP(tbMoveset!A33,tbMoveset!A2:I112,9,FALSE)="Dragon",Backdoors!BF38,Backdoors!BG38)))))/100,Backdoors!BG38/100),"")</f>
        <v>0</v>
      </c>
      <c r="IO33" s="49">
        <f>IFERROR(IF(VLOOKUP(A33,tbMoveset!A2:J112,10,FALSE)=TRUE,IF((Backdoors!AI12+IF(IM33&gt;=0.45,VLOOKUP(Calculator!E23,tbSkills!DH3:DI6,2,FALSE)+IF(AND(Calculator!B8=TRUE,Backdoors!BI38=TRUE),VLOOKUP(Calculator!E23,tbSkills!DH3:DJ6,3,FALSE),0),0))&gt;=0,1+(Backdoors!AL2*(IF((Backdoors!AI12+IF(IM33&gt;=0.45,VLOOKUP(Calculator!E23,tbSkills!DH3:DI6,2,FALSE)+IF(AND(Calculator!B8=TRUE,Backdoors!BI38=TRUE),VLOOKUP(Calculator!E23,tbSkills!DH3:DJ6,3,FALSE),0),0))&gt;=100,100,(Backdoors!AI12+IF(IM33&gt;=0.45,VLOOKUP(Calculator!E23,tbSkills!DH3:DI6,2,FALSE)+IF(AND(Calculator!B8=TRUE,Backdoors!BI38=TRUE),VLOOKUP(Calculator!E23,tbSkills!DH3:DJ6,3,FALSE),0),0)))/100)),(1-(0.25*((-Backdoors!AI12-IF(IM33&gt;=0.45,VLOOKUP(Calculator!E23,tbSkills!DH3:DI6,2,FALSE)+IF(AND(Calculator!B8=TRUE,Backdoors!BI38=TRUE),VLOOKUP(Calculator!E23,tbSkills!DH3:DJ6,3,FALSE),0),0))/100)))),1),"")</f>
        <v>1</v>
      </c>
      <c r="IP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M33)*IO33)*(VLOOKUP(A33,tbMoveset!A2:C112,3,FALSE)/100)*IF(VLOOKUP(A33,tbMoveset!A2:B112,2,FALSE)="Projectile",Backdoors!N10,Backdoors!N9),0),"")</f>
        <v/>
      </c>
      <c r="IQ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IM33&gt;=0.45,VLOOKUP(Calculator!E23,tbSkills!DH3:DI6,2,FALSE)+IF(AND(Calculator!B8=TRUE,Backdoors!BI38=TRUE),VLOOKUP(Calculator!E23,tbSkills!DH3:DJ6,3,FALSE),0),0))&gt;=100,100,(Backdoors!AI12+IF(IM33&gt;=0.45,VLOOKUP(Calculator!E23,tbSkills!DH3:DI6,2,FALSE)+IF(AND(Calculator!B8=TRUE,Backdoors!BI38=TRUE),VLOOKUP(Calculator!E23,tbSkills!DH3:DJ6,3,FALSE),0),0)))/100)),1))*IF(VLOOKUP(A33,tbMoveset!A2:K112,11,FALSE)=TRUE,Backdoors!AC5,1))*IN33,0),"")</f>
        <v>0</v>
      </c>
      <c r="IR33" s="49">
        <f>VLOOKUP(A33,tbMoveset!A2:G112,7,FALSE)*IFERROR(IF(Backdoors!AI12&gt;=0,1+(IF(Calculator!E40&gt;0,VLOOKUP(Calculator!E40,tbSkills!AI3:AJ5,2,FALSE),Backdoors!AL4)*(IF((Backdoors!AI12+IF(IM33&gt;=0.45,VLOOKUP(Calculator!E23,tbSkills!DH3:DI6,2,FALSE)+IF(AND(Calculator!B8=TRUE,Backdoors!BI38=TRUE),VLOOKUP(Calculator!E23,tbSkills!DH3:DJ6,3,FALSE),0),0))&gt;=100,100,(Backdoors!AI12+IF(IM33&gt;=0.45,VLOOKUP(Calculator!E23,tbSkills!DH3:DI6,2,FALSE)+IF(AND(Calculator!B8=TRUE,Backdoors!BI38=TRUE),VLOOKUP(Calculator!E23,tbSkills!DH3:DJ6,3,FALSE),0),0)))/100)),1),1)</f>
        <v>0.8</v>
      </c>
      <c r="IS33" s="87">
        <f t="shared" si="42"/>
        <v>0</v>
      </c>
      <c r="IT33" s="86" t="str">
        <f>IFERROR(IF(VLOOKUP(A33,tbMoveset!A2:B112,2,FALSE)="Sever",Backdoors!AY39/100,IF(VLOOKUP(A33,tbMoveset!A2:B112,2,FALSE)="Blunt",Backdoors!AZ39/100,Backdoors!BA39/100)),"")</f>
        <v/>
      </c>
      <c r="IU33" s="49">
        <f>IFERROR(IF(VLOOKUP(tbMoveset!A33,tbMoveset!A2:H112,8,FALSE)="Other",IF(VLOOKUP(tbMoveset!A33,tbMoveset!A2:I112,9,FALSE)="Fire",Backdoors!BB39,IF(VLOOKUP(tbMoveset!A33,tbMoveset!A2:I112,9,FALSE)="Water",Backdoors!BC39,IF(VLOOKUP(tbMoveset!A33,tbMoveset!A2:I112,9,FALSE)="Thunder",Backdoors!BD39,IF(VLOOKUP(tbMoveset!A33,tbMoveset!A2:I112,9,FALSE)="Ice",Backdoors!BE39,IF(VLOOKUP(tbMoveset!A33,tbMoveset!A2:I112,9,FALSE)="Dragon",Backdoors!BF39,Backdoors!BG39)))))/100,Backdoors!BG39/100),"")</f>
        <v>0</v>
      </c>
      <c r="IV33" s="49">
        <f>IFERROR(IF(VLOOKUP(A33,tbMoveset!A2:J112,10,FALSE)=TRUE,IF((Backdoors!AI12+IF(IT33&gt;=0.45,VLOOKUP(Calculator!E23,tbSkills!DH3:DI6,2,FALSE)+IF(AND(Calculator!B8=TRUE,Backdoors!BI39=TRUE),VLOOKUP(Calculator!E23,tbSkills!DH3:DJ6,3,FALSE),0),0))&gt;=0,1+(Backdoors!AL2*(IF((Backdoors!AI12+IF(IT33&gt;=0.45,VLOOKUP(Calculator!E23,tbSkills!DH3:DI6,2,FALSE)+IF(AND(Calculator!B8=TRUE,Backdoors!BI39=TRUE),VLOOKUP(Calculator!E23,tbSkills!DH3:DJ6,3,FALSE),0),0))&gt;=100,100,(Backdoors!AI12+IF(IT33&gt;=0.45,VLOOKUP(Calculator!E23,tbSkills!DH3:DI6,2,FALSE)+IF(AND(Calculator!B8=TRUE,Backdoors!BI39=TRUE),VLOOKUP(Calculator!E23,tbSkills!DH3:DJ6,3,FALSE),0),0)))/100)),(1-(0.25*((-Backdoors!AI12-IF(IT33&gt;=0.45,VLOOKUP(Calculator!E23,tbSkills!DH3:DI6,2,FALSE)+IF(AND(Calculator!B8=TRUE,Backdoors!BI39=TRUE),VLOOKUP(Calculator!E23,tbSkills!DH3:DJ6,3,FALSE),0),0))/100)))),1),"")</f>
        <v>1</v>
      </c>
      <c r="IW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T33)*IV33)*(VLOOKUP(A33,tbMoveset!A2:C112,3,FALSE)/100)*IF(VLOOKUP(A33,tbMoveset!A2:B112,2,FALSE)="Projectile",Backdoors!N10,Backdoors!N9),0),"")</f>
        <v/>
      </c>
      <c r="IX33" s="49">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40&gt;0,VLOOKUP(Calculator!E40,tbSkills!AC3:AD5,2,FALSE),Backdoors!AL3)*(IF((Backdoors!AI12+IF(IT33&gt;=0.45,VLOOKUP(Calculator!E23,tbSkills!DH3:DI6,2,FALSE)+IF(AND(Calculator!B8=TRUE,Backdoors!BI39=TRUE),VLOOKUP(Calculator!E23,tbSkills!DH3:DJ6,3,FALSE),0),0))&gt;=100,100,(Backdoors!AI12+IF(IT33&gt;=0.45,VLOOKUP(Calculator!E23,tbSkills!DH3:DI6,2,FALSE)+IF(AND(Calculator!B8=TRUE,Backdoors!BI39=TRUE),VLOOKUP(Calculator!E23,tbSkills!DH3:DJ6,3,FALSE),0),0)))/100)),1))*IF(VLOOKUP(A33,tbMoveset!A2:K112,11,FALSE)=TRUE,Backdoors!AC5,1))*IU33,0),"")</f>
        <v>0</v>
      </c>
      <c r="IY33" s="49">
        <f>VLOOKUP(A33,tbMoveset!A2:G112,7,FALSE)*IFERROR(IF(Backdoors!AI12&gt;=0,1+(IF(Calculator!E40&gt;0,VLOOKUP(Calculator!E40,tbSkills!AI3:AJ5,2,FALSE),Backdoors!AL4)*(IF((Backdoors!AI12+IF(IT33&gt;=0.45,VLOOKUP(Calculator!E23,tbSkills!DH3:DI6,2,FALSE)+IF(AND(Calculator!B8=TRUE,Backdoors!BI39=TRUE),VLOOKUP(Calculator!E23,tbSkills!DH3:DJ6,3,FALSE),0),0))&gt;=100,100,(Backdoors!AI12+IF(IT33&gt;=0.45,VLOOKUP(Calculator!E23,tbSkills!DH3:DI6,2,FALSE)+IF(AND(Calculator!B8=TRUE,Backdoors!BI39=TRUE),VLOOKUP(Calculator!E23,tbSkills!DH3:DJ6,3,FALSE),0),0)))/100)),1),1)</f>
        <v>0.8</v>
      </c>
      <c r="IZ33" s="87">
        <f t="shared" si="28"/>
        <v>0</v>
      </c>
      <c r="JA33" s="86" t="str">
        <f>IFERROR(IF(VLOOKUP(A33,tbMoveset!A2:B112,2,FALSE)="Sever",Backdoors!AY40/100,IF(VLOOKUP(A33,tbMoveset!A2:B112,2,FALSE)="Blunt",Backdoors!AZ40/100,Backdoors!BA40/100)),"")</f>
        <v/>
      </c>
      <c r="JB33" s="49">
        <f>IFERROR(IF(VLOOKUP(tbMoveset!A33,tbMoveset!A2:H112,8,FALSE)="Other",IF(VLOOKUP(tbMoveset!A33,tbMoveset!A2:I112,9,FALSE)="Fire",Backdoors!BB40,IF(VLOOKUP(tbMoveset!A33,tbMoveset!A2:I112,9,FALSE)="Water",Backdoors!BC40,IF(VLOOKUP(tbMoveset!A33,tbMoveset!A2:I112,9,FALSE)="Thunder",Backdoors!BD40,IF(VLOOKUP(tbMoveset!A33,tbMoveset!A2:I112,9,FALSE)="Ice",Backdoors!BE40,IF(VLOOKUP(tbMoveset!A33,tbMoveset!A2:I112,9,FALSE)="Dragon",Backdoors!BF40,Backdoors!BG40)))))/100,Backdoors!BG40/100),"")</f>
        <v>0</v>
      </c>
      <c r="JC33" s="49">
        <f>IFERROR(IF(VLOOKUP(A33,tbMoveset!A2:J112,10,FALSE)=TRUE,IF((Backdoors!AI12+IF(JA33&gt;=0.45,VLOOKUP(Calculator!E23,tbSkills!DH3:DI6,2,FALSE)+IF(AND(Calculator!B8=TRUE,Backdoors!BI40=TRUE),VLOOKUP(Calculator!E23,tbSkills!DH3:DJ6,3,FALSE),0),0))&gt;=0,1+(Backdoors!AL2*(IF((Backdoors!AI12+IF(JA33&gt;=0.45,VLOOKUP(Calculator!E23,tbSkills!DH3:DI6,2,FALSE)+IF(AND(Calculator!B8=TRUE,Backdoors!BI40=TRUE),VLOOKUP(Calculator!E23,tbSkills!DH3:DJ6,3,FALSE),0),0))&gt;=100,100,(Backdoors!AI12+IF(JA33&gt;=0.45,VLOOKUP(Calculator!E23,tbSkills!DH3:DI6,2,FALSE)+IF(AND(Calculator!B8=TRUE,Backdoors!BI40=TRUE),VLOOKUP(Calculator!E23,tbSkills!DH3:DJ6,3,FALSE),0),0)))/100)),(1-(0.25*((-Backdoors!AI12-IF(JA33&gt;=0.45,VLOOKUP(Calculator!E23,tbSkills!DH3:DI6,2,FALSE)+IF(AND(Calculator!B8=TRUE,Backdoors!BI40=TRUE),VLOOKUP(Calculator!E23,tbSkills!DH3:DJ6,3,FALSE),0),0))/100)))),1),"")</f>
        <v>1</v>
      </c>
      <c r="JD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A33)*JC33)*(VLOOKUP(A33,tbMoveset!A2:C112,3,FALSE)/100)*IF(VLOOKUP(A33,tbMoveset!A2:B112,2,FALSE)="Projectile",Backdoors!N10,Backdoors!N9),0),"")</f>
        <v/>
      </c>
      <c r="JE33" s="49">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42&gt;0,VLOOKUP(Calculator!E42,tbSkills!AC3:AD5,2,FALSE),Backdoors!AL3)*(IF((Backdoors!AI12+IF(JA33&gt;=0.45,VLOOKUP(Calculator!E23,tbSkills!DH3:DI6,2,FALSE)+IF(AND(Calculator!B8=TRUE,Backdoors!BI40=TRUE),VLOOKUP(Calculator!E23,tbSkills!DH3:DJ6,3,FALSE),0),0))&gt;=100,100,(Backdoors!AI12+IF(JA33&gt;=0.45,VLOOKUP(Calculator!E23,tbSkills!DH3:DI6,2,FALSE)+IF(AND(Calculator!B8=TRUE,Backdoors!BI40=TRUE),VLOOKUP(Calculator!E23,tbSkills!DH3:DJ6,3,FALSE),0),0)))/100)),1))*IF(VLOOKUP(A33,tbMoveset!A2:K112,11,FALSE)=TRUE,Backdoors!AC5,1))*JB33,0),"")</f>
        <v>0</v>
      </c>
      <c r="JF33" s="49">
        <f>VLOOKUP(A33,tbMoveset!A2:G112,7,FALSE)*IFERROR(IF(Backdoors!AI12&gt;=0,1+(IF(Calculator!E40&gt;0,VLOOKUP(Calculator!E40,tbSkills!AI3:AJ5,2,FALSE),Backdoors!AL4)*(IF((Backdoors!AI12+IF(JA33&gt;=0.45,VLOOKUP(Calculator!E23,tbSkills!DH3:DI6,2,FALSE)+IF(AND(Calculator!B8=TRUE,Backdoors!BI40=TRUE),VLOOKUP(Calculator!E23,tbSkills!DH3:DJ6,3,FALSE),0),0))&gt;=100,100,(Backdoors!AI12+IF(JA33&gt;=0.45,VLOOKUP(Calculator!E23,tbSkills!DH3:DI6,2,FALSE)+IF(AND(Calculator!B8=TRUE,Backdoors!BI40=TRUE),VLOOKUP(Calculator!E23,tbSkills!DH3:DJ6,3,FALSE),0),0)))/100)),1),1)</f>
        <v>0.8</v>
      </c>
      <c r="JG33" s="87">
        <f t="shared" si="29"/>
        <v>0</v>
      </c>
      <c r="JH33" s="86" t="str">
        <f>IFERROR(IF(VLOOKUP(A33,tbMoveset!A2:B112,2,FALSE)="Sever",Backdoors!AY41/100,IF(VLOOKUP(A33,tbMoveset!A2:B112,2,FALSE)="Blunt",Backdoors!AZ41/100,Backdoors!BA41/100)),"")</f>
        <v/>
      </c>
      <c r="JI33" s="49">
        <f>IFERROR(IF(VLOOKUP(tbMoveset!A33,tbMoveset!A2:H112,8,FALSE)="Other",IF(VLOOKUP(tbMoveset!A33,tbMoveset!A2:I112,9,FALSE)="Fire",Backdoors!BB41,IF(VLOOKUP(tbMoveset!A33,tbMoveset!A2:I112,9,FALSE)="Water",Backdoors!BC41,IF(VLOOKUP(tbMoveset!A33,tbMoveset!A2:I112,9,FALSE)="Thunder",Backdoors!BD41,IF(VLOOKUP(tbMoveset!A33,tbMoveset!A2:I112,9,FALSE)="Ice",Backdoors!BE41,IF(VLOOKUP(tbMoveset!A33,tbMoveset!A2:I112,9,FALSE)="Dragon",Backdoors!BF41,Backdoors!BG41)))))/100,Backdoors!BG41/100),"")</f>
        <v>0</v>
      </c>
      <c r="JJ33" s="49">
        <f>IFERROR(IF(VLOOKUP(A33,tbMoveset!A2:J112,10,FALSE)=TRUE,IF((Backdoors!AI12+IF(JH33&gt;=0.45,VLOOKUP(Calculator!E23,tbSkills!DH3:DI6,2,FALSE)+IF(AND(Calculator!B8=TRUE,Backdoors!BI41=TRUE),VLOOKUP(Calculator!E23,tbSkills!DH3:DJ6,3,FALSE),0),0))&gt;=0,1+(Backdoors!AL2*(IF((Backdoors!AI12+IF(JH33&gt;=0.45,VLOOKUP(Calculator!E23,tbSkills!DH3:DI6,2,FALSE)+IF(AND(Calculator!B8=TRUE,Backdoors!BI41=TRUE),VLOOKUP(Calculator!E23,tbSkills!DH3:DJ6,3,FALSE),0),0))&gt;=100,100,(Backdoors!AI12+IF(JH33&gt;=0.45,VLOOKUP(Calculator!E23,tbSkills!DH3:DI6,2,FALSE)+IF(AND(Calculator!B8=TRUE,Backdoors!BI41=TRUE),VLOOKUP(Calculator!E23,tbSkills!DH3:DJ6,3,FALSE),0),0)))/100)),(1-(0.25*((-Backdoors!AI12-IF(JH33&gt;=0.45,VLOOKUP(Calculator!E23,tbSkills!DH3:DI6,2,FALSE)+IF(AND(Calculator!B8=TRUE,Backdoors!BI41=TRUE),VLOOKUP(Calculator!E23,tbSkills!DH3:DJ6,3,FALSE),0),0))/100)))),1),"")</f>
        <v>1</v>
      </c>
      <c r="JK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H33)*JJ33)*(VLOOKUP(A33,tbMoveset!A2:C112,3,FALSE)/100)*IF(VLOOKUP(A33,tbMoveset!A2:B112,2,FALSE)="Projectile",Backdoors!N10,Backdoors!N9),0),"")</f>
        <v/>
      </c>
      <c r="JL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43&gt;0,VLOOKUP(Calculator!E43,tbSkills!AC3:AD5,2,FALSE),Backdoors!AL3)*(IF((Backdoors!AI12+IF(JH33&gt;=0.45,VLOOKUP(Calculator!E23,tbSkills!DH3:DI6,2,FALSE)+IF(AND(Calculator!B8=TRUE,Backdoors!BI41=TRUE),VLOOKUP(Calculator!E23,tbSkills!DH3:DJ6,3,FALSE),0),0))&gt;=100,100,(Backdoors!AI12+IF(JH33&gt;=0.45,VLOOKUP(Calculator!E23,tbSkills!DH3:DI6,2,FALSE)+IF(AND(Calculator!B8=TRUE,Backdoors!BI41=TRUE),VLOOKUP(Calculator!E23,tbSkills!DH3:DJ6,3,FALSE),0),0)))/100)),1))*IF(VLOOKUP(A33,tbMoveset!A2:K112,11,FALSE)=TRUE,Backdoors!AC5,1))*JI33,0),"")</f>
        <v/>
      </c>
      <c r="JM33" s="49">
        <f>VLOOKUP(A33,tbMoveset!A2:G112,7,FALSE)*IFERROR(IF(Backdoors!AI12&gt;=0,1+(IF(Calculator!E40&gt;0,VLOOKUP(Calculator!E40,tbSkills!AI3:AJ5,2,FALSE),Backdoors!AL4)*(IF((Backdoors!AI12+IF(JH33&gt;=0.45,VLOOKUP(Calculator!E23,tbSkills!DH3:DI6,2,FALSE)+IF(AND(Calculator!B8=TRUE,Backdoors!BI41=TRUE),VLOOKUP(Calculator!E23,tbSkills!DH3:DJ6,3,FALSE),0),0))&gt;=100,100,(Backdoors!AI12+IF(JH33&gt;=0.45,VLOOKUP(Calculator!E23,tbSkills!DH3:DI6,2,FALSE)+IF(AND(Calculator!B8=TRUE,Backdoors!BI41=TRUE),VLOOKUP(Calculator!E23,tbSkills!DH3:DJ6,3,FALSE),0),0)))/100)),1),1)</f>
        <v>0.8</v>
      </c>
      <c r="JN33" s="87">
        <f t="shared" si="30"/>
        <v>0</v>
      </c>
      <c r="JO33" s="86" t="str">
        <f>IFERROR(IF(VLOOKUP(A33,tbMoveset!A2:B112,2,FALSE)="Sever",Backdoors!AY42/100,IF(VLOOKUP(A33,tbMoveset!A2:B112,2,FALSE)="Blunt",Backdoors!AZ42/100,Backdoors!BA42/100)),"")</f>
        <v/>
      </c>
      <c r="JP33" s="49">
        <f>IFERROR(IF(VLOOKUP(tbMoveset!A33,tbMoveset!A2:H112,8,FALSE)="Other",IF(VLOOKUP(tbMoveset!A33,tbMoveset!A2:I112,9,FALSE)="Fire",Backdoors!BB42,IF(VLOOKUP(tbMoveset!A33,tbMoveset!A2:I112,9,FALSE)="Water",Backdoors!BC42,IF(VLOOKUP(tbMoveset!A33,tbMoveset!A2:I112,9,FALSE)="Thunder",Backdoors!BD42,IF(VLOOKUP(tbMoveset!A33,tbMoveset!A2:I112,9,FALSE)="Ice",Backdoors!BE42,IF(VLOOKUP(tbMoveset!A33,tbMoveset!A2:I112,9,FALSE)="Dragon",Backdoors!BF42,Backdoors!BG42)))))/100,Backdoors!BG42/100),"")</f>
        <v>0</v>
      </c>
      <c r="JQ33" s="49">
        <f>IFERROR(IF(VLOOKUP(A33,tbMoveset!A2:J112,10,FALSE)=TRUE,IF((Backdoors!AI12+IF(JO33&gt;=0.45,VLOOKUP(Calculator!E23,tbSkills!DH3:DI6,2,FALSE)+IF(AND(Calculator!B8=TRUE,Backdoors!BI42=TRUE),VLOOKUP(Calculator!E23,tbSkills!DH3:DJ6,3,FALSE),0),0))&gt;=0,1+(Backdoors!AL2*(IF((Backdoors!AI12+IF(JO33&gt;=0.45,VLOOKUP(Calculator!E23,tbSkills!DH3:DI6,2,FALSE)+IF(AND(Calculator!B8=TRUE,Backdoors!BI42=TRUE),VLOOKUP(Calculator!E23,tbSkills!DH3:DJ6,3,FALSE),0),0))&gt;=100,100,(Backdoors!AI12+IF(JO33&gt;=0.45,VLOOKUP(Calculator!E23,tbSkills!DH3:DI6,2,FALSE)+IF(AND(Calculator!B8=TRUE,Backdoors!BI42=TRUE),VLOOKUP(Calculator!E23,tbSkills!DH3:DJ6,3,FALSE),0),0)))/100)),(1-(0.25*((-Backdoors!AI12-IF(JO33&gt;=0.45,VLOOKUP(Calculator!E23,tbSkills!DH3:DI6,2,FALSE)+IF(AND(Calculator!B8=TRUE,Backdoors!BI42=TRUE),VLOOKUP(Calculator!E23,tbSkills!DH3:DJ6,3,FALSE),0),0))/100)))),1),"")</f>
        <v>1</v>
      </c>
      <c r="JR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O33)*JQ33)*(VLOOKUP(A33,tbMoveset!A2:C112,3,FALSE)/100)*IF(VLOOKUP(A33,tbMoveset!A2:B112,2,FALSE)="Projectile",Backdoors!N10,Backdoors!N9),0),"")</f>
        <v/>
      </c>
      <c r="JS33" s="49">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45&gt;0,VLOOKUP(Calculator!E45,tbSkills!AC3:AD5,2,FALSE),Backdoors!AL3)*(IF((Backdoors!AI12+IF(JO33&gt;=0.45,VLOOKUP(Calculator!E23,tbSkills!DH3:DI6,2,FALSE)+IF(AND(Calculator!B8=TRUE,Backdoors!BI42=TRUE),VLOOKUP(Calculator!E23,tbSkills!DH3:DJ6,3,FALSE),0),0))&gt;=100,100,(Backdoors!AI12+IF(JO33&gt;=0.45,VLOOKUP(Calculator!E23,tbSkills!DH3:DI6,2,FALSE)+IF(AND(Calculator!B8=TRUE,Backdoors!BI42=TRUE),VLOOKUP(Calculator!E23,tbSkills!DH3:DJ6,3,FALSE),0),0)))/100)),1))*IF(VLOOKUP(A33,tbMoveset!A2:K112,11,FALSE)=TRUE,Backdoors!AC5,1))*JP33,0),"")</f>
        <v>0</v>
      </c>
      <c r="JT33" s="49">
        <f>VLOOKUP(A33,tbMoveset!A2:G112,7,FALSE)*IFERROR(IF(Backdoors!AI12&gt;=0,1+(IF(Calculator!E40&gt;0,VLOOKUP(Calculator!E40,tbSkills!AI3:AJ5,2,FALSE),Backdoors!AL4)*(IF((Backdoors!AI12+IF(JO33&gt;=0.45,VLOOKUP(Calculator!E23,tbSkills!DH3:DI6,2,FALSE)+IF(AND(Calculator!B8=TRUE,Backdoors!BI42=TRUE),VLOOKUP(Calculator!E23,tbSkills!DH3:DJ6,3,FALSE),0),0))&gt;=100,100,(Backdoors!AI12+IF(JO33&gt;=0.45,VLOOKUP(Calculator!E23,tbSkills!DH3:DI6,2,FALSE)+IF(AND(Calculator!B8=TRUE,Backdoors!BI42=TRUE),VLOOKUP(Calculator!E23,tbSkills!DH3:DJ6,3,FALSE),0),0)))/100)),1),1)</f>
        <v>0.8</v>
      </c>
      <c r="JU33" s="87">
        <f t="shared" si="31"/>
        <v>0</v>
      </c>
      <c r="JV33" s="86" t="str">
        <f>IFERROR(IF(VLOOKUP(A33,tbMoveset!A2:B112,2,FALSE)="Sever",Backdoors!AY43/100,IF(VLOOKUP(A33,tbMoveset!A2:B112,2,FALSE)="Blunt",Backdoors!AZ43/100,Backdoors!BA43/100)),"")</f>
        <v/>
      </c>
      <c r="JW33" s="49">
        <f>IFERROR(IF(VLOOKUP(tbMoveset!A33,tbMoveset!A2:H112,8,FALSE)="Other",IF(VLOOKUP(tbMoveset!A33,tbMoveset!A2:I112,9,FALSE)="Fire",Backdoors!BB43,IF(VLOOKUP(tbMoveset!A33,tbMoveset!A2:I112,9,FALSE)="Water",Backdoors!BC43,IF(VLOOKUP(tbMoveset!A33,tbMoveset!A2:I112,9,FALSE)="Thunder",Backdoors!BD43,IF(VLOOKUP(tbMoveset!A33,tbMoveset!A2:I112,9,FALSE)="Ice",Backdoors!BE43,IF(VLOOKUP(tbMoveset!A33,tbMoveset!A2:I112,9,FALSE)="Dragon",Backdoors!BF43,Backdoors!BG43)))))/100,Backdoors!BG43/100),"")</f>
        <v>0</v>
      </c>
      <c r="JX33" s="49">
        <f>IFERROR(IF(VLOOKUP(A33,tbMoveset!A2:J112,10,FALSE)=TRUE,IF((Backdoors!AI12+IF(JV33&gt;=0.45,VLOOKUP(Calculator!E23,tbSkills!DH3:DI6,2,FALSE)+IF(AND(Calculator!B8=TRUE,Backdoors!BI43=TRUE),VLOOKUP(Calculator!E23,tbSkills!DH3:DJ6,3,FALSE),0),0))&gt;=0,1+(Backdoors!AL2*(IF((Backdoors!AI12+IF(JV33&gt;=0.45,VLOOKUP(Calculator!E23,tbSkills!DH3:DI6,2,FALSE)+IF(AND(Calculator!B8=TRUE,Backdoors!BI43=TRUE),VLOOKUP(Calculator!E23,tbSkills!DH3:DJ6,3,FALSE),0),0))&gt;=100,100,(Backdoors!AI12+IF(JV33&gt;=0.45,VLOOKUP(Calculator!E23,tbSkills!DH3:DI6,2,FALSE)+IF(AND(Calculator!B8=TRUE,Backdoors!BI43=TRUE),VLOOKUP(Calculator!E23,tbSkills!DH3:DJ6,3,FALSE),0),0)))/100)),(1-(0.25*((-Backdoors!AI12-IF(JV33&gt;=0.45,VLOOKUP(Calculator!E23,tbSkills!DH3:DI6,2,FALSE)+IF(AND(Calculator!B8=TRUE,Backdoors!BI43=TRUE),VLOOKUP(Calculator!E23,tbSkills!DH3:DJ6,3,FALSE),0),0))/100)))),1),"")</f>
        <v>1</v>
      </c>
      <c r="JY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V33)*JX33)*(VLOOKUP(A33,tbMoveset!A2:C112,3,FALSE)/100)*IF(VLOOKUP(A33,tbMoveset!A2:B112,2,FALSE)="Projectile",Backdoors!N10,Backdoors!N9),0),"")</f>
        <v/>
      </c>
      <c r="JZ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46&gt;0,VLOOKUP(Calculator!E46,tbSkills!AC3:AD5,2,FALSE),Backdoors!AL3)*(IF((Backdoors!AI12+IF(JV33&gt;=0.45,VLOOKUP(Calculator!E23,tbSkills!DH3:DI6,2,FALSE)+IF(AND(Calculator!B8=TRUE,Backdoors!BI43=TRUE),VLOOKUP(Calculator!E23,tbSkills!DH3:DJ6,3,FALSE),0),0))&gt;=100,100,(Backdoors!AI12+IF(JV33&gt;=0.45,VLOOKUP(Calculator!E23,tbSkills!DH3:DI6,2,FALSE)+IF(AND(Calculator!B8=TRUE,Backdoors!BI43=TRUE),VLOOKUP(Calculator!E23,tbSkills!DH3:DJ6,3,FALSE),0),0)))/100)),1))*IF(VLOOKUP(A33,tbMoveset!A2:K112,11,FALSE)=TRUE,Backdoors!AC5,1))*JW33,0),"")</f>
        <v/>
      </c>
      <c r="KA33" s="49">
        <f>VLOOKUP(A33,tbMoveset!A2:G112,7,FALSE)*IFERROR(IF(Backdoors!AI12&gt;=0,1+(IF(Calculator!E40&gt;0,VLOOKUP(Calculator!E40,tbSkills!AI3:AJ5,2,FALSE),Backdoors!AL4)*(IF((Backdoors!AI12+IF(JV33&gt;=0.45,VLOOKUP(Calculator!E23,tbSkills!DH3:DI6,2,FALSE)+IF(AND(Calculator!B8=TRUE,Backdoors!BI43=TRUE),VLOOKUP(Calculator!E23,tbSkills!DH3:DJ6,3,FALSE),0),0))&gt;=100,100,(Backdoors!AI12+IF(JV33&gt;=0.45,VLOOKUP(Calculator!E23,tbSkills!DH3:DI6,2,FALSE)+IF(AND(Calculator!B8=TRUE,Backdoors!BI43=TRUE),VLOOKUP(Calculator!E23,tbSkills!DH3:DJ6,3,FALSE),0),0)))/100)),1),1)</f>
        <v>0.8</v>
      </c>
      <c r="KB33" s="87">
        <f t="shared" si="32"/>
        <v>0</v>
      </c>
      <c r="KC33" s="86" t="str">
        <f>IFERROR(IF(VLOOKUP(A33,tbMoveset!A2:B112,2,FALSE)="Sever",Backdoors!AY44/100,IF(VLOOKUP(A33,tbMoveset!A2:B112,2,FALSE)="Blunt",Backdoors!AZ44/100,Backdoors!BA44/100)),"")</f>
        <v/>
      </c>
      <c r="KD33" s="49">
        <f>IFERROR(IF(VLOOKUP(tbMoveset!A33,tbMoveset!A2:H112,8,FALSE)="Other",IF(VLOOKUP(tbMoveset!A33,tbMoveset!A2:I112,9,FALSE)="Fire",Backdoors!BB44,IF(VLOOKUP(tbMoveset!A33,tbMoveset!A2:I112,9,FALSE)="Water",Backdoors!BC44,IF(VLOOKUP(tbMoveset!A33,tbMoveset!A2:I112,9,FALSE)="Thunder",Backdoors!BD44,IF(VLOOKUP(tbMoveset!A33,tbMoveset!A2:I112,9,FALSE)="Ice",Backdoors!BE44,IF(VLOOKUP(tbMoveset!A33,tbMoveset!A2:I112,9,FALSE)="Dragon",Backdoors!BF44,Backdoors!BG44)))))/100,Backdoors!BG44/100),"")</f>
        <v>0</v>
      </c>
      <c r="KE33" s="49">
        <f>IFERROR(IF(VLOOKUP(A33,tbMoveset!A2:J112,10,FALSE)=TRUE,IF((Backdoors!AI12+IF(KC33&gt;=0.45,VLOOKUP(Calculator!E23,tbSkills!DH3:DI6,2,FALSE)+IF(AND(Calculator!B8=TRUE,Backdoors!BI44=TRUE),VLOOKUP(Calculator!E23,tbSkills!DH3:DJ6,3,FALSE),0),0))&gt;=0,1+(Backdoors!AL2*(IF((Backdoors!AI12+IF(KC33&gt;=0.45,VLOOKUP(Calculator!E23,tbSkills!DH3:DI6,2,FALSE)+IF(AND(Calculator!B8=TRUE,Backdoors!BI44=TRUE),VLOOKUP(Calculator!E23,tbSkills!DH3:DJ6,3,FALSE),0),0))&gt;=100,100,(Backdoors!AI12+IF(KC33&gt;=0.45,VLOOKUP(Calculator!E23,tbSkills!DH3:DI6,2,FALSE)+IF(AND(Calculator!B8=TRUE,Backdoors!BI44=TRUE),VLOOKUP(Calculator!E23,tbSkills!DH3:DJ6,3,FALSE),0),0)))/100)),(1-(0.25*((-Backdoors!AI12-IF(KC33&gt;=0.45,VLOOKUP(Calculator!E23,tbSkills!DH3:DI6,2,FALSE)+IF(AND(Calculator!B8=TRUE,Backdoors!BI44=TRUE),VLOOKUP(Calculator!E23,tbSkills!DH3:DJ6,3,FALSE),0),0))/100)))),1),"")</f>
        <v>1</v>
      </c>
      <c r="KF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KC33)*KE33)*(VLOOKUP(A33,tbMoveset!A2:C112,3,FALSE)/100)*IF(VLOOKUP(A33,tbMoveset!A2:B112,2,FALSE)="Projectile",Backdoors!N10,Backdoors!N9),0),"")</f>
        <v/>
      </c>
      <c r="KG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REF!&gt;0,VLOOKUP(Calculator!#REF!,tbSkills!AC3:AD5,2,FALSE),Backdoors!AL3)*(IF((Backdoors!AI12+IF(KC33&gt;=0.45,VLOOKUP(Calculator!E23,tbSkills!DH3:DI6,2,FALSE)+IF(AND(Calculator!B8=TRUE,Backdoors!BI44=TRUE),VLOOKUP(Calculator!E23,tbSkills!DH3:DJ6,3,FALSE),0),0))&gt;=100,100,(Backdoors!AI12+IF(KC33&gt;=0.45,VLOOKUP(Calculator!E23,tbSkills!DH3:DI6,2,FALSE)+IF(AND(Calculator!B8=TRUE,Backdoors!BI44=TRUE),VLOOKUP(Calculator!E23,tbSkills!DH3:DJ6,3,FALSE),0),0)))/100)),1))*IF(VLOOKUP(A33,tbMoveset!A2:K112,11,FALSE)=TRUE,Backdoors!AC5,1))*KD33,0),"")</f>
        <v/>
      </c>
      <c r="KH33" s="49">
        <f>VLOOKUP(A33,tbMoveset!A2:G112,7,FALSE)*IFERROR(IF(Backdoors!AI12&gt;=0,1+(IF(Calculator!E40&gt;0,VLOOKUP(Calculator!E40,tbSkills!AI3:AJ5,2,FALSE),Backdoors!AL4)*(IF((Backdoors!AI12+IF(KC33&gt;=0.45,VLOOKUP(Calculator!E23,tbSkills!DH3:DI6,2,FALSE)+IF(AND(Calculator!B8=TRUE,Backdoors!BI44=TRUE),VLOOKUP(Calculator!E23,tbSkills!DH3:DJ6,3,FALSE),0),0))&gt;=100,100,(Backdoors!AI12+IF(KC33&gt;=0.45,VLOOKUP(Calculator!E23,tbSkills!DH3:DI6,2,FALSE)+IF(AND(Calculator!B8=TRUE,Backdoors!BI44=TRUE),VLOOKUP(Calculator!E23,tbSkills!DH3:DJ6,3,FALSE),0),0)))/100)),1),1)</f>
        <v>0.8</v>
      </c>
      <c r="KI33" s="87">
        <f t="shared" si="33"/>
        <v>0</v>
      </c>
      <c r="KJ33" s="86" t="str">
        <f>IFERROR(IF(VLOOKUP(A33,tbMoveset!A2:B112,2,FALSE)="Sever",Backdoors!AY45/100,IF(VLOOKUP(A33,tbMoveset!A2:B112,2,FALSE)="Blunt",Backdoors!AZ45/100,Backdoors!BA45/100)),"")</f>
        <v/>
      </c>
      <c r="KK33" s="49">
        <f>IFERROR(IF(VLOOKUP(tbMoveset!A33,tbMoveset!A2:H112,8,FALSE)="Other",IF(VLOOKUP(tbMoveset!A33,tbMoveset!A2:I112,9,FALSE)="Fire",Backdoors!BB45,IF(VLOOKUP(tbMoveset!A33,tbMoveset!A2:I112,9,FALSE)="Water",Backdoors!BC45,IF(VLOOKUP(tbMoveset!A33,tbMoveset!A2:I112,9,FALSE)="Thunder",Backdoors!BD45,IF(VLOOKUP(tbMoveset!A33,tbMoveset!A2:I112,9,FALSE)="Ice",Backdoors!BE45,IF(VLOOKUP(tbMoveset!A33,tbMoveset!A2:I112,9,FALSE)="Dragon",Backdoors!BF45,Backdoors!BG45)))))/100,Backdoors!BG45/100),"")</f>
        <v>0</v>
      </c>
      <c r="KL33" s="49">
        <f>IFERROR(IF(VLOOKUP(A33,tbMoveset!A2:J112,10,FALSE)=TRUE,IF((Backdoors!AI12+IF(KJ33&gt;=0.45,VLOOKUP(Calculator!E23,tbSkills!DH3:DI6,2,FALSE)+IF(AND(Calculator!B8=TRUE,Backdoors!BI45=TRUE),VLOOKUP(Calculator!E23,tbSkills!DH3:DJ6,3,FALSE),0),0))&gt;=0,1+(Backdoors!AL2*(IF((Backdoors!AI12+IF(KJ33&gt;=0.45,VLOOKUP(Calculator!E23,tbSkills!DH3:DI6,2,FALSE)+IF(AND(Calculator!B8=TRUE,Backdoors!BI45=TRUE),VLOOKUP(Calculator!E23,tbSkills!DH3:DJ6,3,FALSE),0),0))&gt;=100,100,(Backdoors!AI12+IF(KJ33&gt;=0.45,VLOOKUP(Calculator!E23,tbSkills!DH3:DI6,2,FALSE)+IF(AND(Calculator!B8=TRUE,Backdoors!BI45=TRUE),VLOOKUP(Calculator!E23,tbSkills!DH3:DJ6,3,FALSE),0),0)))/100)),(1-(0.25*((-Backdoors!AI12-IF(KJ33&gt;=0.45,VLOOKUP(Calculator!E23,tbSkills!DH3:DI6,2,FALSE)+IF(AND(Calculator!B8=TRUE,Backdoors!BI45=TRUE),VLOOKUP(Calculator!E23,tbSkills!DH3:DJ6,3,FALSE),0),0))/100)))),1),"")</f>
        <v>1</v>
      </c>
      <c r="KM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KJ33)*KL33)*(VLOOKUP(A33,tbMoveset!A2:C112,3,FALSE)/100)*IF(VLOOKUP(A33,tbMoveset!A2:B112,2,FALSE)="Projectile",Backdoors!N10,Backdoors!N9),0),"")</f>
        <v/>
      </c>
      <c r="KN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REF!&gt;0,VLOOKUP(Calculator!#REF!,tbSkills!AC3:AD5,2,FALSE),Backdoors!AL3)*(IF((Backdoors!AI12+IF(KJ33&gt;=0.45,VLOOKUP(Calculator!E23,tbSkills!DH3:DI6,2,FALSE)+IF(AND(Calculator!B8=TRUE,Backdoors!BI45=TRUE),VLOOKUP(Calculator!E23,tbSkills!DH3:DJ6,3,FALSE),0),0))&gt;=100,100,(Backdoors!AI12+IF(KJ33&gt;=0.45,VLOOKUP(Calculator!E23,tbSkills!DH3:DI6,2,FALSE)+IF(AND(Calculator!B8=TRUE,Backdoors!BI45=TRUE),VLOOKUP(Calculator!E23,tbSkills!DH3:DJ6,3,FALSE),0),0)))/100)),1))*IF(VLOOKUP(A33,tbMoveset!A2:K112,11,FALSE)=TRUE,Backdoors!AC5,1))*KK33,0),"")</f>
        <v/>
      </c>
      <c r="KO33" s="49">
        <f>VLOOKUP(A33,tbMoveset!A2:G112,7,FALSE)*IFERROR(IF(Backdoors!AI12&gt;=0,1+(IF(Calculator!E40&gt;0,VLOOKUP(Calculator!E40,tbSkills!AI3:AJ5,2,FALSE),Backdoors!AL4)*(IF((Backdoors!AI12+IF(KJ33&gt;=0.45,VLOOKUP(Calculator!E23,tbSkills!DH3:DI6,2,FALSE)+IF(AND(Calculator!B8=TRUE,Backdoors!BI45=TRUE),VLOOKUP(Calculator!E23,tbSkills!DH3:DJ6,3,FALSE),0),0))&gt;=100,100,(Backdoors!AI12+IF(KJ33&gt;=0.45,VLOOKUP(Calculator!E23,tbSkills!DH3:DI6,2,FALSE)+IF(AND(Calculator!B8=TRUE,Backdoors!BI45=TRUE),VLOOKUP(Calculator!E23,tbSkills!DH3:DJ6,3,FALSE),0),0)))/100)),1),1)</f>
        <v>0.8</v>
      </c>
      <c r="KP33" s="87">
        <f t="shared" si="34"/>
        <v>0</v>
      </c>
      <c r="KQ33" s="86" t="str">
        <f>IFERROR(IF(VLOOKUP(A33,tbMoveset!A2:B112,2,FALSE)="Sever",Backdoors!AY46/100,IF(VLOOKUP(A33,tbMoveset!A2:B112,2,FALSE)="Blunt",Backdoors!AZ46/100,Backdoors!BA46/100)),"")</f>
        <v/>
      </c>
      <c r="KR33" s="49">
        <f>IFERROR(IF(VLOOKUP(tbMoveset!A33,tbMoveset!A2:H112,8,FALSE)="Other",IF(VLOOKUP(tbMoveset!A33,tbMoveset!A2:I112,9,FALSE)="Fire",Backdoors!BB46,IF(VLOOKUP(tbMoveset!A33,tbMoveset!A2:I112,9,FALSE)="Water",Backdoors!BC46,IF(VLOOKUP(tbMoveset!A33,tbMoveset!A2:I112,9,FALSE)="Thunder",Backdoors!BD46,IF(VLOOKUP(tbMoveset!A33,tbMoveset!A2:I112,9,FALSE)="Ice",Backdoors!BE46,IF(VLOOKUP(tbMoveset!A33,tbMoveset!A2:I112,9,FALSE)="Dragon",Backdoors!BF46,Backdoors!BG46)))))/100,Backdoors!BG46/100),"")</f>
        <v>0</v>
      </c>
      <c r="KS33" s="49">
        <f>IFERROR(IF(VLOOKUP(A33,tbMoveset!A2:J112,10,FALSE)=TRUE,IF((Backdoors!AI12+IF(KQ33&gt;=0.45,VLOOKUP(Calculator!E23,tbSkills!DH3:DI6,2,FALSE)+IF(AND(Calculator!B8=TRUE,Backdoors!BI46=TRUE),VLOOKUP(Calculator!E23,tbSkills!DH3:DJ6,3,FALSE),0),0))&gt;=0,1+(Backdoors!AL2*(IF((Backdoors!AI12+IF(KQ33&gt;=0.45,VLOOKUP(Calculator!E23,tbSkills!DH3:DI6,2,FALSE)+IF(AND(Calculator!B8=TRUE,Backdoors!BI46=TRUE),VLOOKUP(Calculator!E23,tbSkills!DH3:DJ6,3,FALSE),0),0))&gt;=100,100,(Backdoors!AI12+IF(KQ33&gt;=0.45,VLOOKUP(Calculator!E23,tbSkills!DH3:DI6,2,FALSE)+IF(AND(Calculator!B8=TRUE,Backdoors!BI46=TRUE),VLOOKUP(Calculator!E23,tbSkills!DH3:DJ6,3,FALSE),0),0)))/100)),(1-(0.25*((-Backdoors!AI12-IF(KQ33&gt;=0.45,VLOOKUP(Calculator!E23,tbSkills!DH3:DI6,2,FALSE)+IF(AND(Calculator!B8=TRUE,Backdoors!BI46=TRUE),VLOOKUP(Calculator!E23,tbSkills!DH3:DJ6,3,FALSE),0),0))/100)))),1),"")</f>
        <v>1</v>
      </c>
      <c r="KT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KQ33)*KS33)*(VLOOKUP(A33,tbMoveset!A2:C112,3,FALSE)/100)*IF(VLOOKUP(A33,tbMoveset!A2:B112,2,FALSE)="Projectile",Backdoors!N10,Backdoors!N9),0),"")</f>
        <v/>
      </c>
      <c r="KU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REF!&gt;0,VLOOKUP(Calculator!#REF!,tbSkills!AC3:AD5,2,FALSE),Backdoors!AL3)*(IF((Backdoors!AI12+IF(KQ33&gt;=0.45,VLOOKUP(Calculator!E23,tbSkills!DH3:DI6,2,FALSE)+IF(AND(Calculator!B8=TRUE,Backdoors!BI46=TRUE),VLOOKUP(Calculator!E23,tbSkills!DH3:DJ6,3,FALSE),0),0))&gt;=100,100,(Backdoors!AI12+IF(KQ33&gt;=0.45,VLOOKUP(Calculator!E23,tbSkills!DH3:DI6,2,FALSE)+IF(AND(Calculator!B8=TRUE,Backdoors!BI46=TRUE),VLOOKUP(Calculator!E23,tbSkills!DH3:DJ6,3,FALSE),0),0)))/100)),1))*IF(VLOOKUP(A33,tbMoveset!A2:K112,11,FALSE)=TRUE,Backdoors!AC5,1))*KR33,0),"")</f>
        <v/>
      </c>
      <c r="KV33" s="49">
        <f>VLOOKUP(A33,tbMoveset!A2:G112,7,FALSE)*IFERROR(IF(Backdoors!AI12&gt;=0,1+(IF(Calculator!E40&gt;0,VLOOKUP(Calculator!E40,tbSkills!AI3:AJ5,2,FALSE),Backdoors!AL4)*(IF((Backdoors!AI12+IF(KQ33&gt;=0.45,VLOOKUP(Calculator!E23,tbSkills!DH3:DI6,2,FALSE)+IF(AND(Calculator!B8=TRUE,Backdoors!BI46=TRUE),VLOOKUP(Calculator!E23,tbSkills!DH3:DJ6,3,FALSE),0),0))&gt;=100,100,(Backdoors!AI12+IF(KQ33&gt;=0.45,VLOOKUP(Calculator!E23,tbSkills!DH3:DI6,2,FALSE)+IF(AND(Calculator!B8=TRUE,Backdoors!BI46=TRUE),VLOOKUP(Calculator!E23,tbSkills!DH3:DJ6,3,FALSE),0),0)))/100)),1),1)</f>
        <v>0.8</v>
      </c>
      <c r="KW33" s="87">
        <f t="shared" si="35"/>
        <v>0</v>
      </c>
    </row>
    <row r="34" spans="1:309" x14ac:dyDescent="0.25">
      <c r="A34" s="95" t="str">
        <f>tbMoveset!A34</f>
        <v>Demon Flurry (L3)</v>
      </c>
      <c r="B34" s="86">
        <f>IFERROR(IF(VLOOKUP(A34,tbMoveset!A2:B112,2,FALSE)="Sever",Backdoors!AY3/100,IF(VLOOKUP(A34,tbMoveset!A2:B112,2,FALSE)="Blunt",Backdoors!AZ3/100,Backdoors!BA3/100)),"")</f>
        <v>0.8</v>
      </c>
      <c r="C34" s="49">
        <f>IFERROR(IF(VLOOKUP(tbMoveset!A34,tbMoveset!A2:H112,8,FALSE)="Other",IF(VLOOKUP(tbMoveset!A34,tbMoveset!A2:I112,9,FALSE)="Fire",Backdoors!BB3,IF(VLOOKUP(tbMoveset!A34,tbMoveset!A2:I112,9,FALSE)="Water",Backdoors!BC3,IF(VLOOKUP(tbMoveset!A34,tbMoveset!A2:I112,9,FALSE)="Thunder",Backdoors!BD3,IF(VLOOKUP(tbMoveset!A34,tbMoveset!A2:I112,9,FALSE)="Ice",Backdoors!BE3,IF(VLOOKUP(tbMoveset!A34,tbMoveset!A2:I112,9,FALSE)="Dragon",Backdoors!BF3,Backdoors!BG3)))))/100,Backdoors!BG3/100),"")</f>
        <v>0</v>
      </c>
      <c r="D34" s="49">
        <f>IFERROR(IF(VLOOKUP(A34,tbMoveset!A2:J112,10,FALSE)=TRUE,IF((Backdoors!AI12+IF(B34&gt;=0.45,VLOOKUP(Calculator!E23,tbSkills!DH3:DI6,2,FALSE)+IF(AND(Calculator!B8=TRUE,Backdoors!BI3=TRUE),VLOOKUP(Calculator!E23,tbSkills!DH3:DJ6,3,FALSE),0),0))&gt;=0,1+(Backdoors!AL2*(IF((Backdoors!AI12+IF(B34&gt;=0.45,VLOOKUP(Calculator!E23,tbSkills!DH3:DI6,2,FALSE)+IF(AND(Calculator!B8=TRUE,Backdoors!BI3=TRUE),VLOOKUP(Calculator!E23,tbSkills!DH3:DJ6,3,FALSE),0),0))&gt;=100,100,(Backdoors!AI12+IF(B34&gt;=0.45,VLOOKUP(Calculator!E23,tbSkills!DH3:DI6,2,FALSE)+IF(AND(Calculator!B8=TRUE,Backdoors!BI3=TRUE),VLOOKUP(Calculator!E23,tbSkills!DH3:DJ6,3,FALSE),0),0)))/100)),(1-(0.25*((-Backdoors!AI12-IF(B34&gt;=0.45,VLOOKUP(Calculator!E23,tbSkills!DH3:DI6,2,FALSE)+IF(AND(Calculator!B8=TRUE,Backdoors!BI3=TRUE),VLOOKUP(Calculator!E23,tbSkills!DH3:DJ6,3,FALSE),0),0))/100)))),1),"")</f>
        <v>1</v>
      </c>
      <c r="E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34)*D34)*(VLOOKUP(A34,tbMoveset!A2:C112,3,FALSE)/100)*IF(VLOOKUP(A34,tbMoveset!A2:B112,2,FALSE)="Projectile",Backdoors!N10,Backdoors!N9),0),"")</f>
        <v>11</v>
      </c>
      <c r="F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34&gt;=0.45,VLOOKUP(Calculator!E23,tbSkills!DH3:DI6,2,FALSE)+IF(AND(Calculator!B8=TRUE,Backdoors!BI3=TRUE),VLOOKUP(Calculator!E23,tbSkills!DH3:DJ6,3,FALSE),0),0))&gt;=100,100,(Backdoors!AI12+IF(B34&gt;=0.45,VLOOKUP(Calculator!E23,tbSkills!DH3:DI6,2,FALSE)+IF(AND(Calculator!B8=TRUE,Backdoors!BI3=TRUE),VLOOKUP(Calculator!E23,tbSkills!DH3:DJ6,3,FALSE),0),0)))/100)),1))*IF(VLOOKUP(A34,tbMoveset!A2:K112,11,FALSE)=TRUE,Backdoors!AC5,1))*C34,0),"")</f>
        <v>0</v>
      </c>
      <c r="G34">
        <f>VLOOKUP(A34,tbMoveset!A2:G112,7,FALSE)*IFERROR(IF(Backdoors!AI12&gt;=0,1+(IF(Calculator!E40&gt;0,VLOOKUP(Calculator!E40,tbSkills!AI3:AJ5,2,FALSE),Backdoors!AL4)*(IF((Backdoors!AI12+IF(B34&gt;=0.45,VLOOKUP(Calculator!E23,tbSkills!DH3:DI6,2,FALSE)+IF(AND(Calculator!B8=TRUE,Backdoors!BI3=TRUE),VLOOKUP(Calculator!E23,tbSkills!DH3:DJ6,3,FALSE),0),0))&gt;=100,100,(Backdoors!AI12+IF(B34&gt;=0.45,VLOOKUP(Calculator!E23,tbSkills!DH3:DI6,2,FALSE)+IF(AND(Calculator!B8=TRUE,Backdoors!BI3=TRUE),VLOOKUP(Calculator!E23,tbSkills!DH3:DJ6,3,FALSE),0),0)))/100)),1),1)</f>
        <v>0.8</v>
      </c>
      <c r="H34" s="87">
        <f t="shared" si="43"/>
        <v>11</v>
      </c>
      <c r="I34" s="86">
        <f>IFERROR(IF(VLOOKUP(A34,tbMoveset!A2:B112,2,FALSE)="Sever",Backdoors!AY4/100,IF(VLOOKUP(A34,tbMoveset!A2:B112,2,FALSE)="Blunt",Backdoors!AZ4/100,Backdoors!BA4/100)),"")</f>
        <v>0.65</v>
      </c>
      <c r="J34" s="49">
        <f>IFERROR(IF(VLOOKUP(tbMoveset!A34,tbMoveset!A2:H112,8,FALSE)="Other",IF(VLOOKUP(tbMoveset!A34,tbMoveset!A2:I112,9,FALSE)="Fire",Backdoors!BB4,IF(VLOOKUP(tbMoveset!A34,tbMoveset!A2:I112,9,FALSE)="Water",Backdoors!BC4,IF(VLOOKUP(tbMoveset!A34,tbMoveset!A2:I112,9,FALSE)="Thunder",Backdoors!BD4,IF(VLOOKUP(tbMoveset!A34,tbMoveset!A2:I112,9,FALSE)="Ice",Backdoors!BE4,IF(VLOOKUP(tbMoveset!A34,tbMoveset!A2:I112,9,FALSE)="Dragon",Backdoors!BF4,Backdoors!BG4)))))/100,Backdoors!BG4/100),"")</f>
        <v>0</v>
      </c>
      <c r="K34" s="49">
        <f>IFERROR(IF(VLOOKUP(A34,tbMoveset!A2:J112,10,FALSE)=TRUE,IF((Backdoors!AI12+IF(I34&gt;=0.45,VLOOKUP(Calculator!E23,tbSkills!DH3:DI6,2,FALSE)+IF(AND(Calculator!B8=TRUE,Backdoors!BI4=TRUE),VLOOKUP(Calculator!E23,tbSkills!DH3:DJ6,3,FALSE),0),0))&gt;=0,1+(Backdoors!AL2*(IF((Backdoors!AI12+IF(I34&gt;=0.45,VLOOKUP(Calculator!E23,tbSkills!DH3:DI6,2,FALSE)+IF(AND(Calculator!B8=TRUE,Backdoors!BI4=TRUE),VLOOKUP(Calculator!E23,tbSkills!DH3:DJ6,3,FALSE),0),0))&gt;=100,100,(Backdoors!AI12+IF(I34&gt;=0.45,VLOOKUP(Calculator!E23,tbSkills!DH3:DI6,2,FALSE)+IF(AND(Calculator!B8=TRUE,Backdoors!BI4=TRUE),VLOOKUP(Calculator!E23,tbSkills!DH3:DJ6,3,FALSE),0),0)))/100)),(1-(0.25*((-Backdoors!AI12-IF(I34&gt;=0.45,VLOOKUP(Calculator!E23,tbSkills!DH3:DI6,2,FALSE)+IF(AND(Calculator!B8=TRUE,Backdoors!BI4=TRUE),VLOOKUP(Calculator!E23,tbSkills!DH3:DJ6,3,FALSE),0),0))/100)))),1),"")</f>
        <v>1</v>
      </c>
      <c r="L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34)*K34)*(VLOOKUP(A34,tbMoveset!A2:C112,3,FALSE)/100)*IF(VLOOKUP(A34,tbMoveset!A2:B112,2,FALSE)="Projectile",Backdoors!N10,Backdoors!N9),0),"")</f>
        <v>9</v>
      </c>
      <c r="M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I34&gt;=0.45,VLOOKUP(Calculator!E23,tbSkills!DH3:DI6,2,FALSE)+IF(AND(Calculator!B8=TRUE,Backdoors!BI4=TRUE),VLOOKUP(Calculator!E23,tbSkills!DH3:DJ6,3,FALSE),0),0))&gt;=100,100,(Backdoors!AI12+IF(I34&gt;=0.45,VLOOKUP(Calculator!E23,tbSkills!DH3:DI6,2,FALSE)+IF(AND(Calculator!B8=TRUE,Backdoors!BI4=TRUE),VLOOKUP(Calculator!E23,tbSkills!DH3:DJ6,3,FALSE),0),0)))/100)),1))*IF(VLOOKUP(A34,tbMoveset!A2:K112,11,FALSE)=TRUE,Backdoors!AC5,1))*J34,0),"")</f>
        <v>0</v>
      </c>
      <c r="N34" s="49">
        <f>VLOOKUP(A34,tbMoveset!A2:G112,7,FALSE)*IFERROR(IF(Backdoors!AI12&gt;=0,1+(IF(Calculator!E40&gt;0,VLOOKUP(Calculator!E40,tbSkills!AI3:AJ5,2,FALSE),Backdoors!AL4)*(IF((Backdoors!AI12+IF(I34&gt;=0.45,VLOOKUP(Calculator!E23,tbSkills!DH3:DI6,2,FALSE)+IF(AND(Calculator!B8=TRUE,Backdoors!BI4=TRUE),VLOOKUP(Calculator!E23,tbSkills!DH3:DJ6,3,FALSE),0),0))&gt;=100,100,(Backdoors!AI12+IF(I34&gt;=0.45,VLOOKUP(Calculator!E23,tbSkills!DH3:DI6,2,FALSE)+IF(AND(Calculator!B8=TRUE,Backdoors!BI4=TRUE),VLOOKUP(Calculator!E23,tbSkills!DH3:DJ6,3,FALSE),0),0)))/100)),1),1)</f>
        <v>0.8</v>
      </c>
      <c r="O34" s="87">
        <f t="shared" si="36"/>
        <v>9</v>
      </c>
      <c r="P34" s="86">
        <f>IFERROR(IF(VLOOKUP(A34,tbMoveset!A2:B112,2,FALSE)="Sever",Backdoors!AY5/100,IF(VLOOKUP(A34,tbMoveset!A2:B112,2,FALSE)="Blunt",Backdoors!AZ5/100,Backdoors!BA5/100)),"")</f>
        <v>0.5</v>
      </c>
      <c r="Q34" s="49">
        <f>IFERROR(IF(VLOOKUP(tbMoveset!A34,tbMoveset!A2:H112,8,FALSE)="Other",IF(VLOOKUP(tbMoveset!A34,tbMoveset!A2:I112,9,FALSE)="Fire",Backdoors!BB5,IF(VLOOKUP(tbMoveset!A34,tbMoveset!A2:I112,9,FALSE)="Water",Backdoors!BC5,IF(VLOOKUP(tbMoveset!A34,tbMoveset!A2:I112,9,FALSE)="Thunder",Backdoors!BD5,IF(VLOOKUP(tbMoveset!A34,tbMoveset!A2:I112,9,FALSE)="Ice",Backdoors!BE5,IF(VLOOKUP(tbMoveset!A34,tbMoveset!A2:I112,9,FALSE)="Dragon",Backdoors!BF5,Backdoors!BG5)))))/100,Backdoors!BG5/100),"")</f>
        <v>0</v>
      </c>
      <c r="R34" s="49">
        <f>IFERROR(IF(VLOOKUP(A34,tbMoveset!A2:J112,10,FALSE)=TRUE,IF((Backdoors!AI12+IF(P34&gt;=0.45,VLOOKUP(Calculator!E23,tbSkills!DH3:DI6,2,FALSE)+IF(AND(Calculator!B8=TRUE,Backdoors!BI5=TRUE),VLOOKUP(Calculator!E23,tbSkills!DH3:DJ6,3,FALSE),0),0))&gt;=0,1+(Backdoors!AL2*(IF((Backdoors!AI12+IF(P34&gt;=0.45,VLOOKUP(Calculator!E23,tbSkills!DH3:DI6,2,FALSE)+IF(AND(Calculator!B8=TRUE,Backdoors!BI5=TRUE),VLOOKUP(Calculator!E23,tbSkills!DH3:DJ6,3,FALSE),0),0))&gt;=100,100,(Backdoors!AI12+IF(P34&gt;=0.45,VLOOKUP(Calculator!E23,tbSkills!DH3:DI6,2,FALSE)+IF(AND(Calculator!B8=TRUE,Backdoors!BI5=TRUE),VLOOKUP(Calculator!E23,tbSkills!DH3:DJ6,3,FALSE),0),0)))/100)),(1-(0.25*((-Backdoors!AI12-IF(P34&gt;=0.45,VLOOKUP(Calculator!E23,tbSkills!DH3:DI6,2,FALSE)+IF(AND(Calculator!B8=TRUE,Backdoors!BI5=TRUE),VLOOKUP(Calculator!E23,tbSkills!DH3:DJ6,3,FALSE),0),0))/100)))),1),"")</f>
        <v>1</v>
      </c>
      <c r="S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P34)*R34)*(VLOOKUP(A34,tbMoveset!A2:C112,3,FALSE)/100)*IF(VLOOKUP(A34,tbMoveset!A2:B112,2,FALSE)="Projectile",Backdoors!N10,Backdoors!N9),0),"")</f>
        <v>7</v>
      </c>
      <c r="T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P34&gt;=0.45,VLOOKUP(Calculator!E23,tbSkills!DH3:DI6,2,FALSE)+IF(AND(Calculator!B8=TRUE,Backdoors!BI5=TRUE),VLOOKUP(Calculator!E23,tbSkills!DH3:DJ6,3,FALSE),0),0))&gt;=100,100,(Backdoors!AI12+IF(P34&gt;=0.45,VLOOKUP(Calculator!E23,tbSkills!DH3:DI6,2,FALSE)+IF(AND(Calculator!B8=TRUE,Backdoors!BI5=TRUE),VLOOKUP(Calculator!E23,tbSkills!DH3:DJ6,3,FALSE),0),0)))/100)),1))*IF(VLOOKUP(A34,tbMoveset!A2:K112,11,FALSE)=TRUE,Backdoors!AC5,1))*Q34,0),"")</f>
        <v>0</v>
      </c>
      <c r="U34" s="49">
        <f>VLOOKUP(A34,tbMoveset!A2:G112,7,FALSE)*IFERROR(IF(Backdoors!AI12&gt;=0,1+(IF(Calculator!E40&gt;0,VLOOKUP(Calculator!E40,tbSkills!AI3:AJ5,2,FALSE),Backdoors!AL4)*(IF((Backdoors!AI12+IF(P34&gt;=0.45,VLOOKUP(Calculator!E23,tbSkills!DH3:DI6,2,FALSE)+IF(AND(Calculator!B8=TRUE,Backdoors!BI5=TRUE),VLOOKUP(Calculator!E23,tbSkills!DH3:DJ6,3,FALSE),0),0))&gt;=100,100,(Backdoors!AI12+IF(P34&gt;=0.45,VLOOKUP(Calculator!E23,tbSkills!DH3:DI6,2,FALSE)+IF(AND(Calculator!B8=TRUE,Backdoors!BI5=TRUE),VLOOKUP(Calculator!E23,tbSkills!DH3:DJ6,3,FALSE),0),0)))/100)),1),1)</f>
        <v>0.8</v>
      </c>
      <c r="V34" s="87">
        <f t="shared" si="37"/>
        <v>7</v>
      </c>
      <c r="W34" s="86">
        <f>IFERROR(IF(VLOOKUP(A34,tbMoveset!A2:B112,2,FALSE)="Sever",Backdoors!AY6/100,IF(VLOOKUP(A34,tbMoveset!A2:B112,2,FALSE)="Blunt",Backdoors!AZ6/100,Backdoors!BA6/100)),"")</f>
        <v>0.45</v>
      </c>
      <c r="X34" s="49">
        <f>IFERROR(IF(VLOOKUP(tbMoveset!A34,tbMoveset!A2:H112,8,FALSE)="Other",IF(VLOOKUP(tbMoveset!A34,tbMoveset!A2:I112,9,FALSE)="Fire",Backdoors!BB6,IF(VLOOKUP(tbMoveset!A34,tbMoveset!A2:I112,9,FALSE)="Water",Backdoors!BC6,IF(VLOOKUP(tbMoveset!A34,tbMoveset!A2:I112,9,FALSE)="Thunder",Backdoors!BD6,IF(VLOOKUP(tbMoveset!A34,tbMoveset!A2:I112,9,FALSE)="Ice",Backdoors!BE6,IF(VLOOKUP(tbMoveset!A34,tbMoveset!A2:I112,9,FALSE)="Dragon",Backdoors!BF6,Backdoors!BG6)))))/100,Backdoors!BG6/100),"")</f>
        <v>0</v>
      </c>
      <c r="Y34" s="49">
        <f>IFERROR(IF(VLOOKUP(A34,tbMoveset!A2:J112,10,FALSE)=TRUE,IF((Backdoors!AI12+IF(W34&gt;=0.45,VLOOKUP(Calculator!E23,tbSkills!DH3:DI6,2,FALSE)+IF(AND(Calculator!B8=TRUE,Backdoors!BI6=TRUE),VLOOKUP(Calculator!E23,tbSkills!DH3:DJ6,3,FALSE),0),0))&gt;=0,1+(Backdoors!AL2*(IF((Backdoors!AI12+IF(W34&gt;=0.45,VLOOKUP(Calculator!E23,tbSkills!DH3:DI6,2,FALSE)+IF(AND(Calculator!B8=TRUE,Backdoors!BI6=TRUE),VLOOKUP(Calculator!E23,tbSkills!DH3:DJ6,3,FALSE),0),0))&gt;=100,100,(Backdoors!AI12+IF(W34&gt;=0.45,VLOOKUP(Calculator!E23,tbSkills!DH3:DI6,2,FALSE)+IF(AND(Calculator!B8=TRUE,Backdoors!BI6=TRUE),VLOOKUP(Calculator!E23,tbSkills!DH3:DJ6,3,FALSE),0),0)))/100)),(1-(0.25*((-Backdoors!AI12-IF(W34&gt;=0.45,VLOOKUP(Calculator!E23,tbSkills!DH3:DI6,2,FALSE)+IF(AND(Calculator!B8=TRUE,Backdoors!BI6=TRUE),VLOOKUP(Calculator!E23,tbSkills!DH3:DJ6,3,FALSE),0),0))/100)))),1),"")</f>
        <v>1</v>
      </c>
      <c r="Z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W34)*Y34)*(VLOOKUP(A34,tbMoveset!A2:C112,3,FALSE)/100)*IF(VLOOKUP(A34,tbMoveset!A2:B112,2,FALSE)="Projectile",Backdoors!N10,Backdoors!N9),0),"")</f>
        <v>6</v>
      </c>
      <c r="AA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W34&gt;=0.45,VLOOKUP(Calculator!E23,tbSkills!DH3:DI6,2,FALSE)+IF(AND(Calculator!B8=TRUE,Backdoors!BI6=TRUE),VLOOKUP(Calculator!E23,tbSkills!DH3:DJ6,3,FALSE),0),0))&gt;=100,100,(Backdoors!AI12+IF(W34&gt;=0.45,VLOOKUP(Calculator!E23,tbSkills!DH3:DI6,2,FALSE)+IF(AND(Calculator!B8=TRUE,Backdoors!BI6=TRUE),VLOOKUP(Calculator!E23,tbSkills!DH3:DJ6,3,FALSE),0),0)))/100)),1))*IF(VLOOKUP(A34,tbMoveset!A2:K112,11,FALSE)=TRUE,Backdoors!AC5,1))*X34,0),"")</f>
        <v>0</v>
      </c>
      <c r="AB34" s="49">
        <f>VLOOKUP(A34,tbMoveset!A2:G112,7,FALSE)*IFERROR(IF(Backdoors!AI12&gt;=0,1+(IF(Calculator!E40&gt;0,VLOOKUP(Calculator!E40,tbSkills!AI3:AJ5,2,FALSE),Backdoors!AL4)*(IF((Backdoors!AI12+IF(W34&gt;=0.45,VLOOKUP(Calculator!E23,tbSkills!DH3:DI6,2,FALSE)+IF(AND(Calculator!B8=TRUE,Backdoors!BI6=TRUE),VLOOKUP(Calculator!E23,tbSkills!DH3:DJ6,3,FALSE),0),0))&gt;=100,100,(Backdoors!AI12+IF(W34&gt;=0.45,VLOOKUP(Calculator!E23,tbSkills!DH3:DI6,2,FALSE)+IF(AND(Calculator!B8=TRUE,Backdoors!BI6=TRUE),VLOOKUP(Calculator!E23,tbSkills!DH3:DJ6,3,FALSE),0),0)))/100)),1),1)</f>
        <v>0.8</v>
      </c>
      <c r="AC34" s="87">
        <f t="shared" si="0"/>
        <v>6</v>
      </c>
      <c r="AD34" s="86">
        <f>IFERROR(IF(VLOOKUP(A34,tbMoveset!A2:B112,2,FALSE)="Sever",Backdoors!AY7/100,IF(VLOOKUP(A34,tbMoveset!A2:B112,2,FALSE)="Blunt",Backdoors!AZ7/100,Backdoors!BA7/100)),"")</f>
        <v>0.65</v>
      </c>
      <c r="AE34" s="49">
        <f>IFERROR(IF(VLOOKUP(tbMoveset!A34,tbMoveset!A2:H112,8,FALSE)="Other",IF(VLOOKUP(tbMoveset!A34,tbMoveset!A2:I112,9,FALSE)="Fire",Backdoors!BB7,IF(VLOOKUP(tbMoveset!A34,tbMoveset!A2:I112,9,FALSE)="Water",Backdoors!BC7,IF(VLOOKUP(tbMoveset!A34,tbMoveset!A2:I112,9,FALSE)="Thunder",Backdoors!BD7,IF(VLOOKUP(tbMoveset!A34,tbMoveset!A2:I112,9,FALSE)="Ice",Backdoors!BE7,IF(VLOOKUP(tbMoveset!A34,tbMoveset!A2:I112,9,FALSE)="Dragon",Backdoors!BF7,Backdoors!BG7)))))/100,Backdoors!BG7/100),"")</f>
        <v>0</v>
      </c>
      <c r="AF34" s="49">
        <f>IFERROR(IF(VLOOKUP(A34,tbMoveset!A2:J112,10,FALSE)=TRUE,IF((Backdoors!AI12+IF(AD34&gt;=0.45,VLOOKUP(Calculator!E23,tbSkills!DH3:DI6,2,FALSE)+IF(AND(Calculator!B8=TRUE,Backdoors!BI7=TRUE),VLOOKUP(Calculator!E23,tbSkills!DH3:DJ6,3,FALSE),0),0))&gt;=0,1+(Backdoors!AL2*(IF((Backdoors!AI12+IF(AD34&gt;=0.45,VLOOKUP(Calculator!E23,tbSkills!DH3:DI6,2,FALSE)+IF(AND(Calculator!B8=TRUE,Backdoors!BI7=TRUE),VLOOKUP(Calculator!E23,tbSkills!DH3:DJ6,3,FALSE),0),0))&gt;=100,100,(Backdoors!AI12+IF(AD34&gt;=0.45,VLOOKUP(Calculator!E23,tbSkills!DH3:DI6,2,FALSE)+IF(AND(Calculator!B8=TRUE,Backdoors!BI7=TRUE),VLOOKUP(Calculator!E23,tbSkills!DH3:DJ6,3,FALSE),0),0)))/100)),(1-(0.25*((-Backdoors!AI12-IF(AD34&gt;=0.45,VLOOKUP(Calculator!E23,tbSkills!DH3:DI6,2,FALSE)+IF(AND(Calculator!B8=TRUE,Backdoors!BI7=TRUE),VLOOKUP(Calculator!E23,tbSkills!DH3:DJ6,3,FALSE),0),0))/100)))),1),"")</f>
        <v>1</v>
      </c>
      <c r="AG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D34)*AF34)*(VLOOKUP(A34,tbMoveset!A2:C112,3,FALSE)/100)*IF(VLOOKUP(A34,tbMoveset!A2:B112,2,FALSE)="Projectile",Backdoors!N10,Backdoors!N9),0),"")</f>
        <v>9</v>
      </c>
      <c r="AH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D34&gt;=0.45,VLOOKUP(Calculator!E23,tbSkills!DH3:DI6,2,FALSE)+IF(AND(Calculator!B8=TRUE,Backdoors!BI7=TRUE),VLOOKUP(Calculator!E23,tbSkills!DH3:DJ6,3,FALSE),0),0))&gt;=100,100,(Backdoors!AI12+IF(AD34&gt;=0.45,VLOOKUP(Calculator!E23,tbSkills!DH3:DI6,2,FALSE)+IF(AND(Calculator!B8=TRUE,Backdoors!BI7=TRUE),VLOOKUP(Calculator!E23,tbSkills!DH3:DJ6,3,FALSE),0),0)))/100)),1))*IF(VLOOKUP(A34,tbMoveset!A2:K112,11,FALSE)=TRUE,Backdoors!AC5,1))*AE34,0),"")</f>
        <v>0</v>
      </c>
      <c r="AI34" s="49">
        <f>VLOOKUP(A34,tbMoveset!A2:G112,7,FALSE)*IFERROR(IF(Backdoors!AI12&gt;=0,1+(IF(Calculator!E40&gt;0,VLOOKUP(Calculator!E40,tbSkills!AI3:AJ5,2,FALSE),Backdoors!AL4)*(IF((Backdoors!AI12+IF(AD34&gt;=0.45,VLOOKUP(Calculator!E23,tbSkills!DH3:DI6,2,FALSE)+IF(AND(Calculator!B8=TRUE,Backdoors!BI7=TRUE),VLOOKUP(Calculator!E23,tbSkills!DH3:DJ6,3,FALSE),0),0))&gt;=100,100,(Backdoors!AI12+IF(AD34&gt;=0.45,VLOOKUP(Calculator!E23,tbSkills!DH3:DI6,2,FALSE)+IF(AND(Calculator!B8=TRUE,Backdoors!BI7=TRUE),VLOOKUP(Calculator!E23,tbSkills!DH3:DJ6,3,FALSE),0),0)))/100)),1),1)</f>
        <v>0.8</v>
      </c>
      <c r="AJ34" s="87">
        <f t="shared" si="1"/>
        <v>9</v>
      </c>
      <c r="AK34" s="91">
        <f>IFERROR(IF(VLOOKUP(A34,tbMoveset!A2:B112,2,FALSE)="Sever",Backdoors!AY8/100,IF(VLOOKUP(A34,tbMoveset!A2:B112,2,FALSE)="Blunt",Backdoors!AZ8/100,Backdoors!BA8/100)),"")</f>
        <v>0.45</v>
      </c>
      <c r="AL34" s="49">
        <f>IFERROR(IF(VLOOKUP(tbMoveset!A34,tbMoveset!A2:H112,8,FALSE)="Other",IF(VLOOKUP(tbMoveset!A34,tbMoveset!A2:I112,9,FALSE)="Fire",Backdoors!BB8,IF(VLOOKUP(tbMoveset!A34,tbMoveset!A2:I112,9,FALSE)="Water",Backdoors!BC8,IF(VLOOKUP(tbMoveset!A34,tbMoveset!A2:I112,9,FALSE)="Thunder",Backdoors!BD8,IF(VLOOKUP(tbMoveset!A34,tbMoveset!A2:I112,9,FALSE)="Ice",Backdoors!BE8,IF(VLOOKUP(tbMoveset!A34,tbMoveset!A2:I112,9,FALSE)="Dragon",Backdoors!BF8,Backdoors!BG8)))))/100,Backdoors!BG8/100),"")</f>
        <v>0</v>
      </c>
      <c r="AM34" s="49">
        <f>IFERROR(IF(VLOOKUP(A34,tbMoveset!A2:J112,10,FALSE)=TRUE,IF((Backdoors!AI12+IF(AK34&gt;=0.45,VLOOKUP(Calculator!E23,tbSkills!DH3:DI6,2,FALSE)+IF(AND(Calculator!B8=TRUE,Backdoors!BI8=TRUE),VLOOKUP(Calculator!E23,tbSkills!DH3:DJ6,3,FALSE),0),0))&gt;=0,1+(Backdoors!AL2*(IF((Backdoors!AI12+IF(AK34&gt;=0.45,VLOOKUP(Calculator!E23,tbSkills!DH3:DI6,2,FALSE)+IF(AND(Calculator!B8=TRUE,Backdoors!BI8=TRUE),VLOOKUP(Calculator!E23,tbSkills!DH3:DJ6,3,FALSE),0),0))&gt;=100,100,(Backdoors!AI12+IF(AK34&gt;=0.45,VLOOKUP(Calculator!E23,tbSkills!DH3:DI6,2,FALSE)+IF(AND(Calculator!B8=TRUE,Backdoors!BI8=TRUE),VLOOKUP(Calculator!E23,tbSkills!DH3:DJ6,3,FALSE),0),0)))/100)),(1-(0.25*((-Backdoors!AI12-IF(AK34&gt;=0.45,VLOOKUP(Calculator!E23,tbSkills!DH3:DI6,2,FALSE)+IF(AND(Calculator!B8=TRUE,Backdoors!BI8=TRUE),VLOOKUP(Calculator!E23,tbSkills!DH3:DJ6,3,FALSE),0),0))/100)))),1),"")</f>
        <v>1</v>
      </c>
      <c r="AN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K34)*AM34)*(VLOOKUP(A34,tbMoveset!A2:C112,3,FALSE)/100)*IF(VLOOKUP(A34,tbMoveset!A2:B112,2,FALSE)="Projectile",Backdoors!N10,Backdoors!N9),0),"")</f>
        <v>6</v>
      </c>
      <c r="AO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K34&gt;=0.45,VLOOKUP(Calculator!E23,tbSkills!DH3:DI6,2,FALSE)+IF(AND(Calculator!B8=TRUE,Backdoors!BI8=TRUE),VLOOKUP(Calculator!E23,tbSkills!DH3:DJ6,3,FALSE),0),0))&gt;=100,100,(Backdoors!AI12+IF(AK34&gt;=0.45,VLOOKUP(Calculator!E23,tbSkills!DH3:DI6,2,FALSE)+IF(AND(Calculator!B8=TRUE,Backdoors!BI8=TRUE),VLOOKUP(Calculator!E23,tbSkills!DH3:DJ6,3,FALSE),0),0)))/100)),1))*IF(VLOOKUP(A34,tbMoveset!A2:K112,11,FALSE)=TRUE,Backdoors!AC5,1))*AL34,0),"")</f>
        <v>0</v>
      </c>
      <c r="AP34" s="49">
        <f>VLOOKUP(A34,tbMoveset!A2:G112,7,FALSE)*IFERROR(IF(Backdoors!AI12&gt;=0,1+(IF(Calculator!E40&gt;0,VLOOKUP(Calculator!E40,tbSkills!AI3:AJ5,2,FALSE),Backdoors!AL4)*(IF((Backdoors!AI12+IF(AK34&gt;=0.45,VLOOKUP(Calculator!E23,tbSkills!DH3:DI6,2,FALSE)+IF(AND(Calculator!B8=TRUE,Backdoors!BI8=TRUE),VLOOKUP(Calculator!E23,tbSkills!DH3:DJ6,3,FALSE),0),0))&gt;=100,100,(Backdoors!AI12+IF(AK34&gt;=0.45,VLOOKUP(Calculator!E23,tbSkills!DH3:DI6,2,FALSE)+IF(AND(Calculator!B8=TRUE,Backdoors!BI8=TRUE),VLOOKUP(Calculator!E23,tbSkills!DH3:DJ6,3,FALSE),0),0)))/100)),1),1)</f>
        <v>0.8</v>
      </c>
      <c r="AQ34" s="87">
        <f t="shared" si="2"/>
        <v>6</v>
      </c>
      <c r="AR34" s="86">
        <f>IFERROR(IF(VLOOKUP(A34,tbMoveset!A2:B112,2,FALSE)="Sever",Backdoors!AY9/100,IF(VLOOKUP(A34,tbMoveset!A2:B112,2,FALSE)="Blunt",Backdoors!AZ9/100,Backdoors!BA9/100)),"")</f>
        <v>0.45</v>
      </c>
      <c r="AS34" s="49">
        <f>IFERROR(IF(VLOOKUP(tbMoveset!A34,tbMoveset!A2:H112,8,FALSE)="Other",IF(VLOOKUP(tbMoveset!A34,tbMoveset!A2:I112,9,FALSE)="Fire",Backdoors!BB9,IF(VLOOKUP(tbMoveset!A34,tbMoveset!A2:I112,9,FALSE)="Water",Backdoors!BC9,IF(VLOOKUP(tbMoveset!A34,tbMoveset!A2:I112,9,FALSE)="Thunder",Backdoors!BD9,IF(VLOOKUP(tbMoveset!A34,tbMoveset!A2:I112,9,FALSE)="Ice",Backdoors!BE9,IF(VLOOKUP(tbMoveset!A34,tbMoveset!A2:I112,9,FALSE)="Dragon",Backdoors!BF9,Backdoors!BG9)))))/100,Backdoors!BG9/100),"")</f>
        <v>0</v>
      </c>
      <c r="AT34" s="49">
        <f>IFERROR(IF(VLOOKUP(A34,tbMoveset!A2:J112,10,FALSE)=TRUE,IF((Backdoors!AI12+IF(AR34&gt;=0.45,VLOOKUP(Calculator!E23,tbSkills!DH3:DI6,2,FALSE)+IF(AND(Calculator!B8=TRUE,Backdoors!BI9=TRUE),VLOOKUP(Calculator!E23,tbSkills!DH3:DJ6,3,FALSE),0),0))&gt;=0,1+(Backdoors!AL2*(IF((Backdoors!AI12+IF(AR34&gt;=0.45,VLOOKUP(Calculator!E23,tbSkills!DH3:DI6,2,FALSE)+IF(AND(Calculator!B8=TRUE,Backdoors!BI9=TRUE),VLOOKUP(Calculator!E23,tbSkills!DH3:DJ6,3,FALSE),0),0))&gt;=100,100,(Backdoors!AI12+IF(AR34&gt;=0.45,VLOOKUP(Calculator!E23,tbSkills!DH3:DI6,2,FALSE)+IF(AND(Calculator!B8=TRUE,Backdoors!BI9=TRUE),VLOOKUP(Calculator!E23,tbSkills!DH3:DJ6,3,FALSE),0),0)))/100)),(1-(0.25*((-Backdoors!AI12-IF(AR34&gt;=0.45,VLOOKUP(Calculator!E23,tbSkills!DH3:DI6,2,FALSE)+IF(AND(Calculator!B8=TRUE,Backdoors!BI9=TRUE),VLOOKUP(Calculator!E23,tbSkills!DH3:DJ6,3,FALSE),0),0))/100)))),1),"")</f>
        <v>1</v>
      </c>
      <c r="AU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R34)*AT34)*(VLOOKUP(A34,tbMoveset!A2:C112,3,FALSE)/100)*IF(VLOOKUP(A34,tbMoveset!A2:B112,2,FALSE)="Projectile",Backdoors!N10,Backdoors!N9),0),"")</f>
        <v>6</v>
      </c>
      <c r="AV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R34&gt;=0.45,VLOOKUP(Calculator!E23,tbSkills!DH3:DI6,2,FALSE)+IF(AND(Calculator!B8=TRUE,Backdoors!BI9=TRUE),VLOOKUP(Calculator!E23,tbSkills!DH3:DJ6,3,FALSE),0),0))&gt;=100,100,(Backdoors!AI12+IF(AR34&gt;=0.45,VLOOKUP(Calculator!E23,tbSkills!DH3:DI6,2,FALSE)+IF(AND(Calculator!B8=TRUE,Backdoors!BI9=TRUE),VLOOKUP(Calculator!E23,tbSkills!DH3:DJ6,3,FALSE),0),0)))/100)),1))*IF(VLOOKUP(A34,tbMoveset!A2:K112,11,FALSE)=TRUE,Backdoors!AC5,1))*AS34,0),"")</f>
        <v>0</v>
      </c>
      <c r="AW34" s="49">
        <f>VLOOKUP(A34,tbMoveset!A2:G112,7,FALSE)*IFERROR(IF(Backdoors!AI12&gt;=0,1+(IF(Calculator!E40&gt;0,VLOOKUP(Calculator!E40,tbSkills!AI3:AJ5,2,FALSE),Backdoors!AL4)*(IF((Backdoors!AI12+IF(AR34&gt;=0.45,VLOOKUP(Calculator!E23,tbSkills!DH3:DI6,2,FALSE)+IF(AND(Calculator!B8=TRUE,Backdoors!BI9=TRUE),VLOOKUP(Calculator!E23,tbSkills!DH3:DJ6,3,FALSE),0),0))&gt;=100,100,(Backdoors!AI12+IF(AR34&gt;=0.45,VLOOKUP(Calculator!E23,tbSkills!DH3:DI6,2,FALSE)+IF(AND(Calculator!B8=TRUE,Backdoors!BI9=TRUE),VLOOKUP(Calculator!E23,tbSkills!DH3:DJ6,3,FALSE),0),0)))/100)),1),1)</f>
        <v>0.8</v>
      </c>
      <c r="AX34" s="87">
        <f t="shared" si="38"/>
        <v>6</v>
      </c>
      <c r="AY34" s="86">
        <f>IFERROR(IF(VLOOKUP(A34,tbMoveset!A2:B112,2,FALSE)="Sever",Backdoors!AY10/100,IF(VLOOKUP(A34,tbMoveset!A2:B112,2,FALSE)="Blunt",Backdoors!AZ10/100,Backdoors!BA10/100)),"")</f>
        <v>0.9</v>
      </c>
      <c r="AZ34" s="49">
        <f>IFERROR(IF(VLOOKUP(tbMoveset!A34,tbMoveset!A2:H112,8,FALSE)="Other",IF(VLOOKUP(tbMoveset!A34,tbMoveset!A2:I112,9,FALSE)="Fire",Backdoors!BB10,IF(VLOOKUP(tbMoveset!A34,tbMoveset!A2:I112,9,FALSE)="Water",Backdoors!BC10,IF(VLOOKUP(tbMoveset!A34,tbMoveset!A2:I112,9,FALSE)="Thunder",Backdoors!BD10,IF(VLOOKUP(tbMoveset!A34,tbMoveset!A2:I112,9,FALSE)="Ice",Backdoors!BE10,IF(VLOOKUP(tbMoveset!A34,tbMoveset!A2:I112,9,FALSE)="Dragon",Backdoors!BF10,Backdoors!BG10)))))/100,Backdoors!BG10/100),"")</f>
        <v>0</v>
      </c>
      <c r="BA34" s="49">
        <f>IFERROR(IF(VLOOKUP(A34,tbMoveset!A2:J112,10,FALSE)=TRUE,IF((Backdoors!AI12+IF(AY34&gt;=0.45,VLOOKUP(Calculator!E23,tbSkills!DH3:DI6,2,FALSE)+IF(AND(Calculator!B8=TRUE,Backdoors!BI10=TRUE),VLOOKUP(Calculator!E23,tbSkills!DH3:DJ6,3,FALSE),0),0))&gt;=0,1+(Backdoors!AL2*(IF((Backdoors!AI12+IF(AY34&gt;=0.45,VLOOKUP(Calculator!E23,tbSkills!DH3:DI6,2,FALSE)+IF(AND(Calculator!B8=TRUE,Backdoors!BI10=TRUE),VLOOKUP(Calculator!E23,tbSkills!DH3:DJ6,3,FALSE),0),0))&gt;=100,100,(Backdoors!AI12+IF(AY34&gt;=0.45,VLOOKUP(Calculator!E23,tbSkills!DH3:DI6,2,FALSE)+IF(AND(Calculator!B8=TRUE,Backdoors!BI10=TRUE),VLOOKUP(Calculator!E23,tbSkills!DH3:DJ6,3,FALSE),0),0)))/100)),(1-(0.25*((-Backdoors!AI12-IF(AY34&gt;=0.45,VLOOKUP(Calculator!E23,tbSkills!DH3:DI6,2,FALSE)+IF(AND(Calculator!B8=TRUE,Backdoors!BI10=TRUE),VLOOKUP(Calculator!E23,tbSkills!DH3:DJ6,3,FALSE),0),0))/100)))),1),"")</f>
        <v>1</v>
      </c>
      <c r="BB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Y34)*BA34)*(VLOOKUP(A34,tbMoveset!A2:C112,3,FALSE)/100)*IF(VLOOKUP(A34,tbMoveset!A2:B112,2,FALSE)="Projectile",Backdoors!N10,Backdoors!N9),0),"")</f>
        <v>13</v>
      </c>
      <c r="BC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Y34&gt;=0.45,VLOOKUP(Calculator!E23,tbSkills!DH3:DI6,2,FALSE)+IF(AND(Calculator!B8=TRUE,Backdoors!BI10=TRUE),VLOOKUP(Calculator!E23,tbSkills!DH3:DJ6,3,FALSE),0),0))&gt;=100,100,(Backdoors!AI12+IF(AY34&gt;=0.45,VLOOKUP(Calculator!E23,tbSkills!DH3:DI6,2,FALSE)+IF(AND(Calculator!B8=TRUE,Backdoors!BI10=TRUE),VLOOKUP(Calculator!E23,tbSkills!DH3:DJ6,3,FALSE),0),0)))/100)),1))*IF(VLOOKUP(A34,tbMoveset!A2:K112,11,FALSE)=TRUE,Backdoors!AC5,1))*AZ34,0),"")</f>
        <v>0</v>
      </c>
      <c r="BD34" s="49">
        <f>VLOOKUP(A34,tbMoveset!A2:G112,7,FALSE)*IFERROR(IF(Backdoors!AI12&gt;=0,1+(IF(Calculator!E40&gt;0,VLOOKUP(Calculator!E40,tbSkills!AI3:AJ5,2,FALSE),Backdoors!AL4)*(IF((Backdoors!AI12+IF(AY34&gt;=0.45,VLOOKUP(Calculator!E23,tbSkills!DH3:DI6,2,FALSE)+IF(AND(Calculator!B8=TRUE,Backdoors!BI10=TRUE),VLOOKUP(Calculator!E23,tbSkills!DH3:DJ6,3,FALSE),0),0))&gt;=100,100,(Backdoors!AI12+IF(AY34&gt;=0.45,VLOOKUP(Calculator!E23,tbSkills!DH3:DI6,2,FALSE)+IF(AND(Calculator!B8=TRUE,Backdoors!BI10=TRUE),VLOOKUP(Calculator!E23,tbSkills!DH3:DJ6,3,FALSE),0),0)))/100)),1),1)</f>
        <v>0.8</v>
      </c>
      <c r="BE34" s="87">
        <f t="shared" si="3"/>
        <v>13</v>
      </c>
      <c r="BF34" s="86" t="str">
        <f>IFERROR(IF(VLOOKUP(A34,tbMoveset!A2:B112,2,FALSE)="Sever",Backdoors!AY11/100,IF(VLOOKUP(A34,tbMoveset!A2:B112,2,FALSE)="Blunt",Backdoors!AZ11/100,Backdoors!BA11/100)),"")</f>
        <v/>
      </c>
      <c r="BG34" s="49">
        <f>IFERROR(IF(VLOOKUP(tbMoveset!A34,tbMoveset!A2:H112,8,FALSE)="Other",IF(VLOOKUP(tbMoveset!A34,tbMoveset!A2:I112,9,FALSE)="Fire",Backdoors!BB11,IF(VLOOKUP(tbMoveset!A34,tbMoveset!A2:I112,9,FALSE)="Water",Backdoors!BC11,IF(VLOOKUP(tbMoveset!A34,tbMoveset!A2:I112,9,FALSE)="Thunder",Backdoors!BD11,IF(VLOOKUP(tbMoveset!A34,tbMoveset!A2:I112,9,FALSE)="Ice",Backdoors!BE11,IF(VLOOKUP(tbMoveset!A34,tbMoveset!A2:I112,9,FALSE)="Dragon",Backdoors!BF11,Backdoors!BG11)))))/100,Backdoors!BG11/100),"")</f>
        <v>0</v>
      </c>
      <c r="BH34" s="49">
        <f>IFERROR(IF(VLOOKUP(A34,tbMoveset!A2:J112,10,FALSE)=TRUE,IF((Backdoors!AI12+IF(BF34&gt;=0.45,VLOOKUP(Calculator!E23,tbSkills!DH3:DI6,2,FALSE)+IF(AND(Calculator!B8=TRUE,Backdoors!BI11=TRUE),VLOOKUP(Calculator!E23,tbSkills!DH3:DJ6,3,FALSE),0),0))&gt;=0,1+(Backdoors!AL2*(IF((Backdoors!AI12+IF(BF34&gt;=0.45,VLOOKUP(Calculator!E23,tbSkills!DH3:DI6,2,FALSE)+IF(AND(Calculator!B8=TRUE,Backdoors!BI11=TRUE),VLOOKUP(Calculator!E23,tbSkills!DH3:DJ6,3,FALSE),0),0))&gt;=100,100,(Backdoors!AI12+IF(BF34&gt;=0.45,VLOOKUP(Calculator!E23,tbSkills!DH3:DI6,2,FALSE)+IF(AND(Calculator!B8=TRUE,Backdoors!BI11=TRUE),VLOOKUP(Calculator!E23,tbSkills!DH3:DJ6,3,FALSE),0),0)))/100)),(1-(0.25*((-Backdoors!AI12-IF(BF34&gt;=0.45,VLOOKUP(Calculator!E23,tbSkills!DH3:DI6,2,FALSE)+IF(AND(Calculator!B8=TRUE,Backdoors!BI11=TRUE),VLOOKUP(Calculator!E23,tbSkills!DH3:DJ6,3,FALSE),0),0))/100)))),1),"")</f>
        <v>1</v>
      </c>
      <c r="BI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F34)*BH34)*(VLOOKUP(A34,tbMoveset!A2:C112,3,FALSE)/100)*IF(VLOOKUP(A34,tbMoveset!A2:B112,2,FALSE)="Projectile",Backdoors!N10,Backdoors!N9),0),"")</f>
        <v/>
      </c>
      <c r="BJ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F34&gt;=0.45,VLOOKUP(Calculator!E23,tbSkills!DH3:DI6,2,FALSE)+IF(AND(Calculator!B8=TRUE,Backdoors!BI11=TRUE),VLOOKUP(Calculator!E23,tbSkills!DH3:DJ6,3,FALSE),0),0))&gt;=100,100,(Backdoors!AI12+IF(BF34&gt;=0.45,VLOOKUP(Calculator!E23,tbSkills!DH3:DI6,2,FALSE)+IF(AND(Calculator!B8=TRUE,Backdoors!BI11=TRUE),VLOOKUP(Calculator!E23,tbSkills!DH3:DJ6,3,FALSE),0),0)))/100)),1))*IF(VLOOKUP(A34,tbMoveset!A2:K112,11,FALSE)=TRUE,Backdoors!AC5,1))*BG34,0),"")</f>
        <v>0</v>
      </c>
      <c r="BK34" s="49">
        <f>VLOOKUP(A34,tbMoveset!A2:G112,7,FALSE)*IFERROR(IF(Backdoors!AI12&gt;=0,1+(IF(Calculator!E40&gt;0,VLOOKUP(Calculator!E40,tbSkills!AI3:AJ5,2,FALSE),Backdoors!AL4)*(IF((Backdoors!AI12+IF(BF34&gt;=0.45,VLOOKUP(Calculator!E23,tbSkills!DH3:DI6,2,FALSE)+IF(AND(Calculator!B8=TRUE,Backdoors!BI11=TRUE),VLOOKUP(Calculator!E23,tbSkills!DH3:DJ6,3,FALSE),0),0))&gt;=100,100,(Backdoors!AI12+IF(BF34&gt;=0.45,VLOOKUP(Calculator!E23,tbSkills!DH3:DI6,2,FALSE)+IF(AND(Calculator!B8=TRUE,Backdoors!BI11=TRUE),VLOOKUP(Calculator!E23,tbSkills!DH3:DJ6,3,FALSE),0),0)))/100)),1),1)</f>
        <v>0.8</v>
      </c>
      <c r="BL34" s="87">
        <f t="shared" si="4"/>
        <v>0</v>
      </c>
      <c r="BM34" s="86" t="str">
        <f>IFERROR(IF(VLOOKUP(A34,tbMoveset!A2:B112,2,FALSE)="Sever",Backdoors!AY12/100,IF(VLOOKUP(A34,tbMoveset!A2:B112,2,FALSE)="Blunt",Backdoors!AZ12/100,Backdoors!BA12/100)),"")</f>
        <v/>
      </c>
      <c r="BN34" s="49">
        <f>IFERROR(IF(VLOOKUP(tbMoveset!A34,tbMoveset!A2:H112,8,FALSE)="Other",IF(VLOOKUP(tbMoveset!A34,tbMoveset!A2:I112,9,FALSE)="Fire",Backdoors!BB12,IF(VLOOKUP(tbMoveset!A34,tbMoveset!A2:I112,9,FALSE)="Water",Backdoors!BC12,IF(VLOOKUP(tbMoveset!A34,tbMoveset!A2:I112,9,FALSE)="Thunder",Backdoors!BD12,IF(VLOOKUP(tbMoveset!A34,tbMoveset!A2:I112,9,FALSE)="Ice",Backdoors!BE12,IF(VLOOKUP(tbMoveset!A34,tbMoveset!A2:I112,9,FALSE)="Dragon",Backdoors!BF12,Backdoors!BG12)))))/100,Backdoors!BG12/100),"")</f>
        <v>0</v>
      </c>
      <c r="BO34" s="49">
        <f>IFERROR(IF(VLOOKUP(A34,tbMoveset!A2:J112,10,FALSE)=TRUE,IF((Backdoors!AI12+IF(BM34&gt;=0.45,VLOOKUP(Calculator!E23,tbSkills!DH3:DI6,2,FALSE)+IF(AND(Calculator!B8=TRUE,Backdoors!BI12=TRUE),VLOOKUP(Calculator!E23,tbSkills!DH3:DJ6,3,FALSE),0),0))&gt;=0,1+(Backdoors!AL2*(IF((Backdoors!AI12+IF(BM34&gt;=0.45,VLOOKUP(Calculator!E23,tbSkills!DH3:DI6,2,FALSE)+IF(AND(Calculator!B8=TRUE,Backdoors!BI12=TRUE),VLOOKUP(Calculator!E23,tbSkills!DH3:DJ6,3,FALSE),0),0))&gt;=100,100,(Backdoors!AI12+IF(BM34&gt;=0.45,VLOOKUP(Calculator!E23,tbSkills!DH3:DI6,2,FALSE)+IF(AND(Calculator!B8=TRUE,Backdoors!BI12=TRUE),VLOOKUP(Calculator!E23,tbSkills!DH3:DJ6,3,FALSE),0),0)))/100)),(1-(0.25*((-Backdoors!AI12-IF(BM34&gt;=0.45,VLOOKUP(Calculator!E23,tbSkills!DH3:DI6,2,FALSE)+IF(AND(Calculator!B8=TRUE,Backdoors!BI12=TRUE),VLOOKUP(Calculator!E23,tbSkills!DH3:DJ6,3,FALSE),0),0))/100)))),1),"")</f>
        <v>1</v>
      </c>
      <c r="BP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M34)*BO34)*(VLOOKUP(A34,tbMoveset!A2:C112,3,FALSE)/100)*IF(VLOOKUP(A34,tbMoveset!A2:B112,2,FALSE)="Projectile",Backdoors!N10,Backdoors!N9),0),"")</f>
        <v/>
      </c>
      <c r="BQ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M34&gt;=0.45,VLOOKUP(Calculator!E23,tbSkills!DH3:DI6,2,FALSE)+IF(AND(Calculator!B8=TRUE,Backdoors!BI12=TRUE),VLOOKUP(Calculator!E23,tbSkills!DH3:DJ6,3,FALSE),0),0))&gt;=100,100,(Backdoors!AI12+IF(BM34&gt;=0.45,VLOOKUP(Calculator!E23,tbSkills!DH3:DI6,2,FALSE)+IF(AND(Calculator!B8=TRUE,Backdoors!BI12=TRUE),VLOOKUP(Calculator!E23,tbSkills!DH3:DJ6,3,FALSE),0),0)))/100)),1))*IF(VLOOKUP(A34,tbMoveset!A2:K112,11,FALSE)=TRUE,Backdoors!AC5,1))*BN34,0),"")</f>
        <v>0</v>
      </c>
      <c r="BR34" s="49">
        <f>VLOOKUP(A34,tbMoveset!A2:G112,7,FALSE)*IFERROR(IF(Backdoors!AI12&gt;=0,1+(IF(Calculator!E40&gt;0,VLOOKUP(Calculator!E40,tbSkills!AI3:AJ5,2,FALSE),Backdoors!AL4)*(IF((Backdoors!AI12+IF(BM34&gt;=0.45,VLOOKUP(Calculator!E23,tbSkills!DH3:DI6,2,FALSE)+IF(AND(Calculator!B8=TRUE,Backdoors!BI12=TRUE),VLOOKUP(Calculator!E23,tbSkills!DH3:DJ6,3,FALSE),0),0))&gt;=100,100,(Backdoors!AI12+IF(BM34&gt;=0.45,VLOOKUP(Calculator!E23,tbSkills!DH3:DI6,2,FALSE)+IF(AND(Calculator!B8=TRUE,Backdoors!BI12=TRUE),VLOOKUP(Calculator!E23,tbSkills!DH3:DJ6,3,FALSE),0),0)))/100)),1),1)</f>
        <v>0.8</v>
      </c>
      <c r="BS34" s="87">
        <f t="shared" si="39"/>
        <v>0</v>
      </c>
      <c r="BT34" s="86" t="str">
        <f>IFERROR(IF(VLOOKUP(A34,tbMoveset!A2:B112,2,FALSE)="Sever",Backdoors!AY13/100,IF(VLOOKUP(A34,tbMoveset!A2:B112,2,FALSE)="Blunt",Backdoors!AZ13/100,Backdoors!BA13/100)),"")</f>
        <v/>
      </c>
      <c r="BU34" s="49">
        <f>IFERROR(IF(VLOOKUP(tbMoveset!A34,tbMoveset!A2:H112,8,FALSE)="Other",IF(VLOOKUP(tbMoveset!A34,tbMoveset!A2:I112,9,FALSE)="Fire",Backdoors!BB13,IF(VLOOKUP(tbMoveset!A34,tbMoveset!A2:I112,9,FALSE)="Water",Backdoors!BC13,IF(VLOOKUP(tbMoveset!A34,tbMoveset!A2:I112,9,FALSE)="Thunder",Backdoors!BD13,IF(VLOOKUP(tbMoveset!A34,tbMoveset!A2:I112,9,FALSE)="Ice",Backdoors!BE13,IF(VLOOKUP(tbMoveset!A34,tbMoveset!A2:I112,9,FALSE)="Dragon",Backdoors!BF13,Backdoors!BG13)))))/100,Backdoors!BG13/100),"")</f>
        <v>0</v>
      </c>
      <c r="BV34" s="49">
        <f>IFERROR(IF(VLOOKUP(A34,tbMoveset!A2:J112,10,FALSE)=TRUE,IF((Backdoors!AI12+IF(BT34&gt;=0.45,VLOOKUP(Calculator!E23,tbSkills!DH3:DI6,2,FALSE)+IF(AND(Calculator!B8=TRUE,Backdoors!BI13=TRUE),VLOOKUP(Calculator!E23,tbSkills!DH3:DJ6,3,FALSE),0),0))&gt;=0,1+(Backdoors!AL2*(IF((Backdoors!AI12+IF(BT34&gt;=0.45,VLOOKUP(Calculator!E23,tbSkills!DH3:DI6,2,FALSE)+IF(AND(Calculator!B8=TRUE,Backdoors!BI13=TRUE),VLOOKUP(Calculator!E23,tbSkills!DH3:DJ6,3,FALSE),0),0))&gt;=100,100,(Backdoors!AI12+IF(BT34&gt;=0.45,VLOOKUP(Calculator!E23,tbSkills!DH3:DI6,2,FALSE)+IF(AND(Calculator!B8=TRUE,Backdoors!BI13=TRUE),VLOOKUP(Calculator!E23,tbSkills!DH3:DJ6,3,FALSE),0),0)))/100)),(1-(0.25*((-Backdoors!AI12-IF(BT34&gt;=0.45,VLOOKUP(Calculator!E23,tbSkills!DH3:DI6,2,FALSE)+IF(AND(Calculator!B8=TRUE,Backdoors!BI13=TRUE),VLOOKUP(Calculator!E23,tbSkills!DH3:DJ6,3,FALSE),0),0))/100)))),1),"")</f>
        <v>1</v>
      </c>
      <c r="BW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T34)*BV34)*(VLOOKUP(A34,tbMoveset!A2:C112,3,FALSE)/100)*IF(VLOOKUP(A34,tbMoveset!A2:B112,2,FALSE)="Projectile",Backdoors!N10,Backdoors!N9),0),"")</f>
        <v/>
      </c>
      <c r="BX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T34&gt;=0.45,VLOOKUP(Calculator!E23,tbSkills!DH3:DI6,2,FALSE)+IF(AND(Calculator!B8=TRUE,Backdoors!BI13=TRUE),VLOOKUP(Calculator!E23,tbSkills!DH3:DJ6,3,FALSE),0),0))&gt;=100,100,(Backdoors!AI12+IF(BT34&gt;=0.45,VLOOKUP(Calculator!E23,tbSkills!DH3:DI6,2,FALSE)+IF(AND(Calculator!B8=TRUE,Backdoors!BI13=TRUE),VLOOKUP(Calculator!E23,tbSkills!DH3:DJ6,3,FALSE),0),0)))/100)),1))*IF(VLOOKUP(A34,tbMoveset!A2:K112,11,FALSE)=TRUE,Backdoors!AC5,1))*BU34,0),"")</f>
        <v>0</v>
      </c>
      <c r="BY34" s="49">
        <f>VLOOKUP(A34,tbMoveset!A2:G112,7,FALSE)*IFERROR(IF(Backdoors!AI12&gt;=0,1+(IF(Calculator!E40&gt;0,VLOOKUP(Calculator!E40,tbSkills!AI3:AJ5,2,FALSE),Backdoors!AL4)*(IF((Backdoors!AI12+IF(BT34&gt;=0.45,VLOOKUP(Calculator!E23,tbSkills!DH3:DI6,2,FALSE)+IF(AND(Calculator!B8=TRUE,Backdoors!BI13=TRUE),VLOOKUP(Calculator!E23,tbSkills!DH3:DJ6,3,FALSE),0),0))&gt;=100,100,(Backdoors!AI12+IF(BT34&gt;=0.45,VLOOKUP(Calculator!E23,tbSkills!DH3:DI6,2,FALSE)+IF(AND(Calculator!B8=TRUE,Backdoors!BI13=TRUE),VLOOKUP(Calculator!E23,tbSkills!DH3:DJ6,3,FALSE),0),0)))/100)),1),1)</f>
        <v>0.8</v>
      </c>
      <c r="BZ34" s="87">
        <f t="shared" si="5"/>
        <v>0</v>
      </c>
      <c r="CA34" s="86" t="str">
        <f>IFERROR(IF(VLOOKUP(A34,tbMoveset!A2:B112,2,FALSE)="Sever",Backdoors!AY14/100,IF(VLOOKUP(A34,tbMoveset!A2:B112,2,FALSE)="Blunt",Backdoors!AZ14/100,Backdoors!BA14/100)),"")</f>
        <v/>
      </c>
      <c r="CB34" s="49">
        <f>IFERROR(IF(VLOOKUP(tbMoveset!A34,tbMoveset!A2:H112,8,FALSE)="Other",IF(VLOOKUP(tbMoveset!A34,tbMoveset!A2:I112,9,FALSE)="Fire",Backdoors!BB14,IF(VLOOKUP(tbMoveset!A34,tbMoveset!A2:I112,9,FALSE)="Water",Backdoors!BC14,IF(VLOOKUP(tbMoveset!A34,tbMoveset!A2:I112,9,FALSE)="Thunder",Backdoors!BD14,IF(VLOOKUP(tbMoveset!A34,tbMoveset!A2:I112,9,FALSE)="Ice",Backdoors!BE14,IF(VLOOKUP(tbMoveset!A34,tbMoveset!A2:I112,9,FALSE)="Dragon",Backdoors!BF14,Backdoors!BG14)))))/100,Backdoors!BG14/100),"")</f>
        <v>0</v>
      </c>
      <c r="CC34" s="49">
        <f>IFERROR(IF(VLOOKUP(A34,tbMoveset!A2:J112,10,FALSE)=TRUE,IF((Backdoors!AI12+IF(CA34&gt;=0.45,VLOOKUP(Calculator!E23,tbSkills!DH3:DI6,2,FALSE)+IF(AND(Calculator!B8=TRUE,Backdoors!BI14=TRUE),VLOOKUP(Calculator!E23,tbSkills!DH3:DJ6,3,FALSE),0),0))&gt;=0,1+(Backdoors!AL2*(IF((Backdoors!AI12+IF(CA34&gt;=0.45,VLOOKUP(Calculator!E23,tbSkills!DH3:DI6,2,FALSE)+IF(AND(Calculator!B8=TRUE,Backdoors!BI14=TRUE),VLOOKUP(Calculator!E23,tbSkills!DH3:DJ6,3,FALSE),0),0))&gt;=100,100,(Backdoors!AI12+IF(CA34&gt;=0.45,VLOOKUP(Calculator!E23,tbSkills!DH3:DI6,2,FALSE)+IF(AND(Calculator!B8=TRUE,Backdoors!BI14=TRUE),VLOOKUP(Calculator!E23,tbSkills!DH3:DJ6,3,FALSE),0),0)))/100)),(1-(0.25*((-Backdoors!AI12-IF(CA34&gt;=0.45,VLOOKUP(Calculator!E23,tbSkills!DH3:DI6,2,FALSE)+IF(AND(Calculator!B8=TRUE,Backdoors!BI14=TRUE),VLOOKUP(Calculator!E23,tbSkills!DH3:DJ6,3,FALSE),0),0))/100)))),1),"")</f>
        <v>1</v>
      </c>
      <c r="CD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A34)*CC34)*(VLOOKUP(A34,tbMoveset!A2:C112,3,FALSE)/100)*IF(VLOOKUP(A34,tbMoveset!A2:B112,2,FALSE)="Projectile",Backdoors!N10,Backdoors!N9),0),"")</f>
        <v/>
      </c>
      <c r="CE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A34&gt;=0.45,VLOOKUP(Calculator!E23,tbSkills!DH3:DI6,2,FALSE)+IF(AND(Calculator!B8=TRUE,Backdoors!BI14=TRUE),VLOOKUP(Calculator!E23,tbSkills!DH3:DJ6,3,FALSE),0),0))&gt;=100,100,(Backdoors!AI12+IF(CA34&gt;=0.45,VLOOKUP(Calculator!E23,tbSkills!DH3:DI6,2,FALSE)+IF(AND(Calculator!B8=TRUE,Backdoors!BI14=TRUE),VLOOKUP(Calculator!E23,tbSkills!DH3:DJ6,3,FALSE),0),0)))/100)),1))*IF(VLOOKUP(A34,tbMoveset!A2:K112,11,FALSE)=TRUE,Backdoors!AC5,1))*CB34,0),"")</f>
        <v>0</v>
      </c>
      <c r="CF34" s="49">
        <f>VLOOKUP(A34,tbMoveset!A2:G112,7,FALSE)*IFERROR(IF(Backdoors!AI12&gt;=0,1+(IF(Calculator!E40&gt;0,VLOOKUP(Calculator!E40,tbSkills!AI3:AJ5,2,FALSE),Backdoors!AL4)*(IF((Backdoors!AI12+IF(CA34&gt;=0.45,VLOOKUP(Calculator!E23,tbSkills!DH3:DI6,2,FALSE)+IF(AND(Calculator!B8=TRUE,Backdoors!BI14=TRUE),VLOOKUP(Calculator!E23,tbSkills!DH3:DJ6,3,FALSE),0),0))&gt;=100,100,(Backdoors!AI12+IF(CA34&gt;=0.45,VLOOKUP(Calculator!E23,tbSkills!DH3:DI6,2,FALSE)+IF(AND(Calculator!B8=TRUE,Backdoors!BI14=TRUE),VLOOKUP(Calculator!E23,tbSkills!DH3:DJ6,3,FALSE),0),0)))/100)),1),1)</f>
        <v>0.8</v>
      </c>
      <c r="CG34" s="87">
        <f t="shared" si="6"/>
        <v>0</v>
      </c>
      <c r="CH34" s="86" t="str">
        <f>IFERROR(IF(VLOOKUP(A34,tbMoveset!A2:B112,2,FALSE)="Sever",Backdoors!AY15/100,IF(VLOOKUP(A34,tbMoveset!A2:B112,2,FALSE)="Blunt",Backdoors!AZ15/100,Backdoors!BA15/100)),"")</f>
        <v/>
      </c>
      <c r="CI34" s="49">
        <f>IFERROR(IF(VLOOKUP(tbMoveset!A34,tbMoveset!A2:H112,8,FALSE)="Other",IF(VLOOKUP(tbMoveset!A34,tbMoveset!A2:I112,9,FALSE)="Fire",Backdoors!BB15,IF(VLOOKUP(tbMoveset!A34,tbMoveset!A2:I112,9,FALSE)="Water",Backdoors!BC15,IF(VLOOKUP(tbMoveset!A34,tbMoveset!A2:I112,9,FALSE)="Thunder",Backdoors!BD15,IF(VLOOKUP(tbMoveset!A34,tbMoveset!A2:I112,9,FALSE)="Ice",Backdoors!BE15,IF(VLOOKUP(tbMoveset!A34,tbMoveset!A2:I112,9,FALSE)="Dragon",Backdoors!BF15,Backdoors!BG15)))))/100,Backdoors!BG15/100),"")</f>
        <v>0</v>
      </c>
      <c r="CJ34" s="49">
        <f>IFERROR(IF(VLOOKUP(A34,tbMoveset!A2:J112,10,FALSE)=TRUE,IF((Backdoors!AI12+IF(CH34&gt;=0.45,VLOOKUP(Calculator!E23,tbSkills!DH3:DI6,2,FALSE)+IF(AND(Calculator!B8=TRUE,Backdoors!BI15=TRUE),VLOOKUP(Calculator!E23,tbSkills!DH3:DJ6,3,FALSE),0),0))&gt;=0,1+(Backdoors!AL2*(IF((Backdoors!AI12+IF(CH34&gt;=0.45,VLOOKUP(Calculator!E23,tbSkills!DH3:DI6,2,FALSE)+IF(AND(Calculator!B8=TRUE,Backdoors!BI15=TRUE),VLOOKUP(Calculator!E23,tbSkills!DH3:DJ6,3,FALSE),0),0))&gt;=100,100,(Backdoors!AI12+IF(CH34&gt;=0.45,VLOOKUP(Calculator!E23,tbSkills!DH3:DI6,2,FALSE)+IF(AND(Calculator!B8=TRUE,Backdoors!BI15=TRUE),VLOOKUP(Calculator!E23,tbSkills!DH3:DJ6,3,FALSE),0),0)))/100)),(1-(0.25*((-Backdoors!AI12-IF(CH34&gt;=0.45,VLOOKUP(Calculator!E23,tbSkills!DH3:DI6,2,FALSE)+IF(AND(Calculator!B8=TRUE,Backdoors!BI15=TRUE),VLOOKUP(Calculator!E23,tbSkills!DH3:DJ6,3,FALSE),0),0))/100)))),1),"")</f>
        <v>1</v>
      </c>
      <c r="CK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H34)*CJ34)*(VLOOKUP(A34,tbMoveset!A2:C112,3,FALSE)/100)*IF(VLOOKUP(A34,tbMoveset!A2:B112,2,FALSE)="Projectile",Backdoors!N10,Backdoors!N9),0),"")</f>
        <v/>
      </c>
      <c r="CL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H34&gt;=0.45,VLOOKUP(Calculator!E23,tbSkills!DH3:DI6,2,FALSE)+IF(AND(Calculator!B8=TRUE,Backdoors!BI15=TRUE),VLOOKUP(Calculator!E23,tbSkills!DH3:DJ6,3,FALSE),0),0))&gt;=100,100,(Backdoors!AI12+IF(CH34&gt;=0.45,VLOOKUP(Calculator!E23,tbSkills!DH3:DI6,2,FALSE)+IF(AND(Calculator!B8=TRUE,Backdoors!BI15=TRUE),VLOOKUP(Calculator!E23,tbSkills!DH3:DJ6,3,FALSE),0),0)))/100)),1))*IF(VLOOKUP(A34,tbMoveset!A2:K112,11,FALSE)=TRUE,Backdoors!AC5,1))*CI34,0),"")</f>
        <v>0</v>
      </c>
      <c r="CM34" s="49">
        <f>VLOOKUP(A34,tbMoveset!A2:G112,7,FALSE)*IFERROR(IF(Backdoors!AI12&gt;=0,1+(IF(Calculator!E40&gt;0,VLOOKUP(Calculator!E40,tbSkills!AI3:AJ5,2,FALSE),Backdoors!AL4)*(IF((Backdoors!AI12+IF(CH34&gt;=0.45,VLOOKUP(Calculator!E23,tbSkills!DH3:DI6,2,FALSE)+IF(AND(Calculator!B8=TRUE,Backdoors!BI15=TRUE),VLOOKUP(Calculator!E23,tbSkills!DH3:DJ6,3,FALSE),0),0))&gt;=100,100,(Backdoors!AI12+IF(CH34&gt;=0.45,VLOOKUP(Calculator!E23,tbSkills!DH3:DI6,2,FALSE)+IF(AND(Calculator!B8=TRUE,Backdoors!BI15=TRUE),VLOOKUP(Calculator!E23,tbSkills!DH3:DJ6,3,FALSE),0),0)))/100)),1),1)</f>
        <v>0.8</v>
      </c>
      <c r="CN34" s="87">
        <f t="shared" si="7"/>
        <v>0</v>
      </c>
      <c r="CO34" s="86" t="str">
        <f>IFERROR(IF(VLOOKUP(A34,tbMoveset!A2:B112,2,FALSE)="Sever",Backdoors!AY16/100,IF(VLOOKUP(A34,tbMoveset!A2:B112,2,FALSE)="Blunt",Backdoors!AZ16/100,Backdoors!BA16/100)),"")</f>
        <v/>
      </c>
      <c r="CP34" s="49">
        <f>IFERROR(IF(VLOOKUP(tbMoveset!A34,tbMoveset!A2:H112,8,FALSE)="Other",IF(VLOOKUP(tbMoveset!A34,tbMoveset!A2:I112,9,FALSE)="Fire",Backdoors!BB16,IF(VLOOKUP(tbMoveset!A34,tbMoveset!A2:I112,9,FALSE)="Water",Backdoors!BC16,IF(VLOOKUP(tbMoveset!A34,tbMoveset!A2:I112,9,FALSE)="Thunder",Backdoors!BD16,IF(VLOOKUP(tbMoveset!A34,tbMoveset!A2:I112,9,FALSE)="Ice",Backdoors!BE16,IF(VLOOKUP(tbMoveset!A34,tbMoveset!A2:I112,9,FALSE)="Dragon",Backdoors!BF16,Backdoors!BG16)))))/100,Backdoors!BG16/100),"")</f>
        <v>0</v>
      </c>
      <c r="CQ34" s="49">
        <f>IFERROR(IF(VLOOKUP(A34,tbMoveset!A2:J112,10,FALSE)=TRUE,IF((Backdoors!AI12+IF(CO34&gt;=0.45,VLOOKUP(Calculator!E23,tbSkills!DH3:DI6,2,FALSE)+IF(AND(Calculator!B8=TRUE,Backdoors!BI16=TRUE),VLOOKUP(Calculator!E23,tbSkills!DH3:DJ6,3,FALSE),0),0))&gt;=0,1+(Backdoors!AL2*(IF((Backdoors!AI12+IF(CO34&gt;=0.45,VLOOKUP(Calculator!E23,tbSkills!DH3:DI6,2,FALSE)+IF(AND(Calculator!B8=TRUE,Backdoors!BI16=TRUE),VLOOKUP(Calculator!E23,tbSkills!DH3:DJ6,3,FALSE),0),0))&gt;=100,100,(Backdoors!AI12+IF(CO34&gt;=0.45,VLOOKUP(Calculator!E23,tbSkills!DH3:DI6,2,FALSE)+IF(AND(Calculator!B8=TRUE,Backdoors!BI16=TRUE),VLOOKUP(Calculator!E23,tbSkills!DH3:DJ6,3,FALSE),0),0)))/100)),(1-(0.25*((-Backdoors!AI12-IF(CO34&gt;=0.45,VLOOKUP(Calculator!E23,tbSkills!DH3:DI6,2,FALSE)+IF(AND(Calculator!B8=TRUE,Backdoors!BI16=TRUE),VLOOKUP(Calculator!E23,tbSkills!DH3:DJ6,3,FALSE),0),0))/100)))),1),"")</f>
        <v>1</v>
      </c>
      <c r="CR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O34)*CQ34)*(VLOOKUP(A34,tbMoveset!A2:C112,3,FALSE)/100)*IF(VLOOKUP(A34,tbMoveset!A2:B112,2,FALSE)="Projectile",Backdoors!N10,Backdoors!N9),0),"")</f>
        <v/>
      </c>
      <c r="CS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O34&gt;=0.45,VLOOKUP(Calculator!E23,tbSkills!DH3:DI6,2,FALSE)+IF(AND(Calculator!B8=TRUE,Backdoors!BI16=TRUE),VLOOKUP(Calculator!E23,tbSkills!DH3:DJ6,3,FALSE),0),0))&gt;=100,100,(Backdoors!AI12+IF(CO34&gt;=0.45,VLOOKUP(Calculator!E23,tbSkills!DH3:DI6,2,FALSE)+IF(AND(Calculator!B8=TRUE,Backdoors!BI16=TRUE),VLOOKUP(Calculator!E23,tbSkills!DH3:DJ6,3,FALSE),0),0)))/100)),1))*IF(VLOOKUP(A34,tbMoveset!A2:K112,11,FALSE)=TRUE,Backdoors!AC5,1))*CP34,0),"")</f>
        <v>0</v>
      </c>
      <c r="CT34" s="49">
        <f>VLOOKUP(A34,tbMoveset!A2:G112,7,FALSE)*IFERROR(IF(Backdoors!AI12&gt;=0,1+(IF(Calculator!E40&gt;0,VLOOKUP(Calculator!E40,tbSkills!AI3:AJ5,2,FALSE),Backdoors!AL4)*(IF((Backdoors!AI12+IF(CO34&gt;=0.45,VLOOKUP(Calculator!E23,tbSkills!DH3:DI6,2,FALSE)+IF(AND(Calculator!B8=TRUE,Backdoors!BI16=TRUE),VLOOKUP(Calculator!E23,tbSkills!DH3:DJ6,3,FALSE),0),0))&gt;=100,100,(Backdoors!AI12+IF(CO34&gt;=0.45,VLOOKUP(Calculator!E23,tbSkills!DH3:DI6,2,FALSE)+IF(AND(Calculator!B8=TRUE,Backdoors!BI16=TRUE),VLOOKUP(Calculator!E23,tbSkills!DH3:DJ6,3,FALSE),0),0)))/100)),1),1)</f>
        <v>0.8</v>
      </c>
      <c r="CU34" s="87">
        <f t="shared" si="40"/>
        <v>0</v>
      </c>
      <c r="CV34" s="86" t="str">
        <f>IFERROR(IF(VLOOKUP(A34,tbMoveset!A2:B112,2,FALSE)="Sever",Backdoors!AY17/100,IF(VLOOKUP(A34,tbMoveset!A2:B112,2,FALSE)="Blunt",Backdoors!AZ17/100,Backdoors!BA17/100)),"")</f>
        <v/>
      </c>
      <c r="CW34" s="49">
        <f>IFERROR(IF(VLOOKUP(tbMoveset!A34,tbMoveset!A2:H112,8,FALSE)="Other",IF(VLOOKUP(tbMoveset!A34,tbMoveset!A2:I112,9,FALSE)="Fire",Backdoors!BB17,IF(VLOOKUP(tbMoveset!A34,tbMoveset!A2:I112,9,FALSE)="Water",Backdoors!BC17,IF(VLOOKUP(tbMoveset!A34,tbMoveset!A2:I112,9,FALSE)="Thunder",Backdoors!BD17,IF(VLOOKUP(tbMoveset!A34,tbMoveset!A2:I112,9,FALSE)="Ice",Backdoors!BE17,IF(VLOOKUP(tbMoveset!A34,tbMoveset!A2:I112,9,FALSE)="Dragon",Backdoors!BF17,Backdoors!BG17)))))/100,Backdoors!BG17/100),"")</f>
        <v>0</v>
      </c>
      <c r="CX34" s="49">
        <f>IFERROR(IF(VLOOKUP(A34,tbMoveset!A2:J112,10,FALSE)=TRUE,IF((Backdoors!AI12+IF(CV34&gt;=0.45,VLOOKUP(Calculator!E23,tbSkills!DH3:DI6,2,FALSE)+IF(AND(Calculator!B8=TRUE,Backdoors!BI17=TRUE),VLOOKUP(Calculator!E23,tbSkills!DH3:DJ6,3,FALSE),0),0))&gt;=0,1+(Backdoors!AL2*(IF((Backdoors!AI12+IF(CV34&gt;=0.45,VLOOKUP(Calculator!E23,tbSkills!DH3:DI6,2,FALSE)+IF(AND(Calculator!B8=TRUE,Backdoors!BI17=TRUE),VLOOKUP(Calculator!E23,tbSkills!DH3:DJ6,3,FALSE),0),0))&gt;=100,100,(Backdoors!AI12+IF(CV34&gt;=0.45,VLOOKUP(Calculator!E23,tbSkills!DH3:DI6,2,FALSE)+IF(AND(Calculator!B8=TRUE,Backdoors!BI17=TRUE),VLOOKUP(Calculator!E23,tbSkills!DH3:DJ6,3,FALSE),0),0)))/100)),(1-(0.25*((-Backdoors!AI12-IF(CV34&gt;=0.45,VLOOKUP(Calculator!E23,tbSkills!DH3:DI6,2,FALSE)+IF(AND(Calculator!B8=TRUE,Backdoors!BI17=TRUE),VLOOKUP(Calculator!E23,tbSkills!DH3:DJ6,3,FALSE),0),0))/100)))),1),"")</f>
        <v>1</v>
      </c>
      <c r="CY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V34)*CX34)*(VLOOKUP(A34,tbMoveset!A2:C112,3,FALSE)/100)*IF(VLOOKUP(A34,tbMoveset!A2:B112,2,FALSE)="Projectile",Backdoors!N10,Backdoors!N9),0),"")</f>
        <v/>
      </c>
      <c r="CZ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V34&gt;=0.45,VLOOKUP(Calculator!E23,tbSkills!DH3:DI6,2,FALSE)+IF(AND(Calculator!B8=TRUE,Backdoors!BI17=TRUE),VLOOKUP(Calculator!E23,tbSkills!DH3:DJ6,3,FALSE),0),0))&gt;=100,100,(Backdoors!AI12+IF(CV34&gt;=0.45,VLOOKUP(Calculator!E23,tbSkills!DH3:DI6,2,FALSE)+IF(AND(Calculator!B8=TRUE,Backdoors!BI17=TRUE),VLOOKUP(Calculator!E23,tbSkills!DH3:DJ6,3,FALSE),0),0)))/100)),1))*IF(VLOOKUP(A34,tbMoveset!A2:K112,11,FALSE)=TRUE,Backdoors!AC5,1))*CW34,0),"")</f>
        <v>0</v>
      </c>
      <c r="DA34" s="49">
        <f>VLOOKUP(A34,tbMoveset!A2:G112,7,FALSE)*IFERROR(IF(Backdoors!AI12&gt;=0,1+(IF(Calculator!E40&gt;0,VLOOKUP(Calculator!E40,tbSkills!AI3:AJ5,2,FALSE),Backdoors!AL4)*(IF((Backdoors!AI12+IF(CV34&gt;=0.45,VLOOKUP(Calculator!E23,tbSkills!DH3:DI6,2,FALSE)+IF(AND(Calculator!B8=TRUE,Backdoors!BI17=TRUE),VLOOKUP(Calculator!E23,tbSkills!DH3:DJ6,3,FALSE),0),0))&gt;=100,100,(Backdoors!AI12+IF(CV34&gt;=0.45,VLOOKUP(Calculator!E23,tbSkills!DH3:DI6,2,FALSE)+IF(AND(Calculator!B8=TRUE,Backdoors!BI17=TRUE),VLOOKUP(Calculator!E23,tbSkills!DH3:DJ6,3,FALSE),0),0)))/100)),1),1)</f>
        <v>0.8</v>
      </c>
      <c r="DB34" s="87">
        <f t="shared" si="8"/>
        <v>0</v>
      </c>
      <c r="DC34" s="86" t="str">
        <f>IFERROR(IF(VLOOKUP(A34,tbMoveset!A2:B112,2,FALSE)="Sever",Backdoors!AY18/100,IF(VLOOKUP(A34,tbMoveset!A2:B112,2,FALSE)="Blunt",Backdoors!AZ18/100,Backdoors!BA18/100)),"")</f>
        <v/>
      </c>
      <c r="DD34" s="49">
        <f>IFERROR(IF(VLOOKUP(tbMoveset!A34,tbMoveset!A2:H112,8,FALSE)="Other",IF(VLOOKUP(tbMoveset!A34,tbMoveset!A2:I112,9,FALSE)="Fire",Backdoors!BB18,IF(VLOOKUP(tbMoveset!A34,tbMoveset!A2:I112,9,FALSE)="Water",Backdoors!BC18,IF(VLOOKUP(tbMoveset!A34,tbMoveset!A2:I112,9,FALSE)="Thunder",Backdoors!BD18,IF(VLOOKUP(tbMoveset!A34,tbMoveset!A2:I112,9,FALSE)="Ice",Backdoors!BE18,IF(VLOOKUP(tbMoveset!A34,tbMoveset!A2:I112,9,FALSE)="Dragon",Backdoors!BF18,Backdoors!BG18)))))/100,Backdoors!BG18/100),"")</f>
        <v>0</v>
      </c>
      <c r="DE34" s="49">
        <f>IFERROR(IF(VLOOKUP(A34,tbMoveset!A2:J112,10,FALSE)=TRUE,IF((Backdoors!AI12+IF(DC34&gt;=0.45,VLOOKUP(Calculator!E23,tbSkills!DH3:DI6,2,FALSE)+IF(AND(Calculator!B8=TRUE,Backdoors!BI18=TRUE),VLOOKUP(Calculator!E23,tbSkills!DH3:DJ6,3,FALSE),0),0))&gt;=0,1+(Backdoors!AL2*(IF((Backdoors!AI12+IF(DC34&gt;=0.45,VLOOKUP(Calculator!E23,tbSkills!DH3:DI6,2,FALSE)+IF(AND(Calculator!B8=TRUE,Backdoors!BI18=TRUE),VLOOKUP(Calculator!E23,tbSkills!DH3:DJ6,3,FALSE),0),0))&gt;=100,100,(Backdoors!AI12+IF(DC34&gt;=0.45,VLOOKUP(Calculator!E23,tbSkills!DH3:DI6,2,FALSE)+IF(AND(Calculator!B8=TRUE,Backdoors!BI18=TRUE),VLOOKUP(Calculator!E23,tbSkills!DH3:DJ6,3,FALSE),0),0)))/100)),(1-(0.25*((-Backdoors!AI12-IF(DC34&gt;=0.45,VLOOKUP(Calculator!E23,tbSkills!DH3:DI6,2,FALSE)+IF(AND(Calculator!B8=TRUE,Backdoors!BI18=TRUE),VLOOKUP(Calculator!E23,tbSkills!DH3:DJ6,3,FALSE),0),0))/100)))),1),"")</f>
        <v>1</v>
      </c>
      <c r="DF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C34)*DE34)*(VLOOKUP(A34,tbMoveset!A2:C112,3,FALSE)/100)*IF(VLOOKUP(A34,tbMoveset!A2:B112,2,FALSE)="Projectile",Backdoors!N10,Backdoors!N9),0),"")</f>
        <v/>
      </c>
      <c r="DG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C34&gt;=0.45,VLOOKUP(Calculator!E23,tbSkills!DH3:DI6,2,FALSE)+IF(AND(Calculator!B8=TRUE,Backdoors!BI18=TRUE),VLOOKUP(Calculator!E23,tbSkills!DH3:DJ6,3,FALSE),0),0))&gt;=100,100,(Backdoors!AI12+IF(DC34&gt;=0.45,VLOOKUP(Calculator!E23,tbSkills!DH3:DI6,2,FALSE)+IF(AND(Calculator!B8=TRUE,Backdoors!BI18=TRUE),VLOOKUP(Calculator!E23,tbSkills!DH3:DJ6,3,FALSE),0),0)))/100)),1))*IF(VLOOKUP(A34,tbMoveset!A2:K112,11,FALSE)=TRUE,Backdoors!AC5,1))*DD34,0),"")</f>
        <v>0</v>
      </c>
      <c r="DH34" s="49">
        <f>VLOOKUP(A34,tbMoveset!A2:G112,7,FALSE)*IFERROR(IF(Backdoors!AI12&gt;=0,1+(IF(Calculator!E40&gt;0,VLOOKUP(Calculator!E40,tbSkills!AI3:AJ5,2,FALSE),Backdoors!AL4)*(IF((Backdoors!AI12+IF(DC34&gt;=0.45,VLOOKUP(Calculator!E23,tbSkills!DH3:DI6,2,FALSE)+IF(AND(Calculator!B8=TRUE,Backdoors!BI18=TRUE),VLOOKUP(Calculator!E23,tbSkills!DH3:DJ6,3,FALSE),0),0))&gt;=100,100,(Backdoors!AI12+IF(DC34&gt;=0.45,VLOOKUP(Calculator!E23,tbSkills!DH3:DI6,2,FALSE)+IF(AND(Calculator!B8=TRUE,Backdoors!BI18=TRUE),VLOOKUP(Calculator!E23,tbSkills!DH3:DJ6,3,FALSE),0),0)))/100)),1),1)</f>
        <v>0.8</v>
      </c>
      <c r="DI34" s="87">
        <f t="shared" si="9"/>
        <v>0</v>
      </c>
      <c r="DJ34" s="86" t="str">
        <f>IFERROR(IF(VLOOKUP(A34,tbMoveset!A2:B112,2,FALSE)="Sever",Backdoors!AY19/100,IF(VLOOKUP(A34,tbMoveset!A2:B112,2,FALSE)="Blunt",Backdoors!AZ19/100,Backdoors!BA19/100)),"")</f>
        <v/>
      </c>
      <c r="DK34" s="49">
        <f>IFERROR(IF(VLOOKUP(tbMoveset!A34,tbMoveset!A2:H112,8,FALSE)="Other",IF(VLOOKUP(tbMoveset!A34,tbMoveset!A2:I112,9,FALSE)="Fire",Backdoors!BB19,IF(VLOOKUP(tbMoveset!A34,tbMoveset!A2:I112,9,FALSE)="Water",Backdoors!BC19,IF(VLOOKUP(tbMoveset!A34,tbMoveset!A2:I112,9,FALSE)="Thunder",Backdoors!BD19,IF(VLOOKUP(tbMoveset!A34,tbMoveset!A2:I112,9,FALSE)="Ice",Backdoors!BE19,IF(VLOOKUP(tbMoveset!A34,tbMoveset!A2:I112,9,FALSE)="Dragon",Backdoors!BF19,Backdoors!BG19)))))/100,Backdoors!BG19/100),"")</f>
        <v>0</v>
      </c>
      <c r="DL34" s="49">
        <f>IFERROR(IF(VLOOKUP(A34,tbMoveset!A2:J112,10,FALSE)=TRUE,IF((Backdoors!AI12+IF(DJ34&gt;=0.45,VLOOKUP(Calculator!E23,tbSkills!DH3:DI6,2,FALSE)+IF(AND(Calculator!B8=TRUE,Backdoors!BI19=TRUE),VLOOKUP(Calculator!E23,tbSkills!DH3:DJ6,3,FALSE),0),0))&gt;=0,1+(Backdoors!AL2*(IF((Backdoors!AI12+IF(DJ34&gt;=0.45,VLOOKUP(Calculator!E23,tbSkills!DH3:DI6,2,FALSE)+IF(AND(Calculator!B8=TRUE,Backdoors!BI19=TRUE),VLOOKUP(Calculator!E23,tbSkills!DH3:DJ6,3,FALSE),0),0))&gt;=100,100,(Backdoors!AI12+IF(DJ34&gt;=0.45,VLOOKUP(Calculator!E23,tbSkills!DH3:DI6,2,FALSE)+IF(AND(Calculator!B8=TRUE,Backdoors!BI19=TRUE),VLOOKUP(Calculator!E23,tbSkills!DH3:DJ6,3,FALSE),0),0)))/100)),(1-(0.25*((-Backdoors!AI12-IF(DJ34&gt;=0.45,VLOOKUP(Calculator!E23,tbSkills!DH3:DI6,2,FALSE)+IF(AND(Calculator!B8=TRUE,Backdoors!BI19=TRUE),VLOOKUP(Calculator!E23,tbSkills!DH3:DJ6,3,FALSE),0),0))/100)))),1),"")</f>
        <v>1</v>
      </c>
      <c r="DM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J34)*DL34)*(VLOOKUP(A34,tbMoveset!A2:C112,3,FALSE)/100)*IF(VLOOKUP(A34,tbMoveset!A2:B112,2,FALSE)="Projectile",Backdoors!N10,Backdoors!N9),0),"")</f>
        <v/>
      </c>
      <c r="DN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J34&gt;=0.45,VLOOKUP(Calculator!E23,tbSkills!DH3:DI6,2,FALSE)+IF(AND(Calculator!B8=TRUE,Backdoors!BI19=TRUE),VLOOKUP(Calculator!E23,tbSkills!DH3:DJ6,3,FALSE),0),0))&gt;=100,100,(Backdoors!AI12+IF(DJ34&gt;=0.45,VLOOKUP(Calculator!E23,tbSkills!DH3:DI6,2,FALSE)+IF(AND(Calculator!B8=TRUE,Backdoors!BI19=TRUE),VLOOKUP(Calculator!E23,tbSkills!DH3:DJ6,3,FALSE),0),0)))/100)),1))*IF(VLOOKUP(A34,tbMoveset!A2:K112,11,FALSE)=TRUE,Backdoors!AC5,1))*DK34,0),"")</f>
        <v>0</v>
      </c>
      <c r="DO34" s="49">
        <f>VLOOKUP(A34,tbMoveset!A2:G112,7,FALSE)*IFERROR(IF(Backdoors!AI12&gt;=0,1+(IF(Calculator!E40&gt;0,VLOOKUP(Calculator!E40,tbSkills!AI3:AJ5,2,FALSE),Backdoors!AL4)*(IF((Backdoors!AI12+IF(DJ34&gt;=0.45,VLOOKUP(Calculator!E23,tbSkills!DH3:DI6,2,FALSE)+IF(AND(Calculator!B8=TRUE,Backdoors!BI19=TRUE),VLOOKUP(Calculator!E23,tbSkills!DH3:DJ6,3,FALSE),0),0))&gt;=100,100,(Backdoors!AI12+IF(DJ34&gt;=0.45,VLOOKUP(Calculator!E23,tbSkills!DH3:DI6,2,FALSE)+IF(AND(Calculator!B8=TRUE,Backdoors!BI19=TRUE),VLOOKUP(Calculator!E23,tbSkills!DH3:DJ6,3,FALSE),0),0)))/100)),1),1)</f>
        <v>0.8</v>
      </c>
      <c r="DP34" s="87">
        <f t="shared" si="41"/>
        <v>0</v>
      </c>
      <c r="DQ34" s="86" t="str">
        <f>IFERROR(IF(VLOOKUP(A34,tbMoveset!A2:B112,2,FALSE)="Sever",Backdoors!AY20/100,IF(VLOOKUP(A34,tbMoveset!A2:B112,2,FALSE)="Blunt",Backdoors!AZ20/100,Backdoors!BA20/100)),"")</f>
        <v/>
      </c>
      <c r="DR34" s="49">
        <f>IFERROR(IF(VLOOKUP(tbMoveset!A34,tbMoveset!A2:H112,8,FALSE)="Other",IF(VLOOKUP(tbMoveset!A34,tbMoveset!A2:I112,9,FALSE)="Fire",Backdoors!BB20,IF(VLOOKUP(tbMoveset!A34,tbMoveset!A2:I112,9,FALSE)="Water",Backdoors!BC20,IF(VLOOKUP(tbMoveset!A34,tbMoveset!A2:I112,9,FALSE)="Thunder",Backdoors!BD20,IF(VLOOKUP(tbMoveset!A34,tbMoveset!A2:I112,9,FALSE)="Ice",Backdoors!BE20,IF(VLOOKUP(tbMoveset!A34,tbMoveset!A2:I112,9,FALSE)="Dragon",Backdoors!BF20,Backdoors!BG20)))))/100,Backdoors!BG20/100),"")</f>
        <v>0</v>
      </c>
      <c r="DS34" s="49">
        <f>IFERROR(IF(VLOOKUP(A34,tbMoveset!A2:J112,10,FALSE)=TRUE,IF((Backdoors!AI12+IF(DQ34&gt;=0.45,VLOOKUP(Calculator!E23,tbSkills!DH3:DI6,2,FALSE)+IF(AND(Calculator!B8=TRUE,Backdoors!BI20=TRUE),VLOOKUP(Calculator!E23,tbSkills!DH3:DJ6,3,FALSE),0),0))&gt;=0,1+(Backdoors!AL2*(IF((Backdoors!AI12+IF(DQ34&gt;=0.45,VLOOKUP(Calculator!E23,tbSkills!DH3:DI6,2,FALSE)+IF(AND(Calculator!B8=TRUE,Backdoors!BI20=TRUE),VLOOKUP(Calculator!E23,tbSkills!DH3:DJ6,3,FALSE),0),0))&gt;=100,100,(Backdoors!AI12+IF(DQ34&gt;=0.45,VLOOKUP(Calculator!E23,tbSkills!DH3:DI6,2,FALSE)+IF(AND(Calculator!B8=TRUE,Backdoors!BI20=TRUE),VLOOKUP(Calculator!E23,tbSkills!DH3:DJ6,3,FALSE),0),0)))/100)),(1-(0.25*((-Backdoors!AI12-IF(DQ34&gt;=0.45,VLOOKUP(Calculator!E23,tbSkills!DH3:DI6,2,FALSE)+IF(AND(Calculator!B8=TRUE,Backdoors!BI20=TRUE),VLOOKUP(Calculator!E23,tbSkills!DH3:DJ6,3,FALSE),0),0))/100)))),1),"")</f>
        <v>1</v>
      </c>
      <c r="DT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Q34)*DS34)*(VLOOKUP(A34,tbMoveset!A2:C112,3,FALSE)/100)*IF(VLOOKUP(A34,tbMoveset!A2:B112,2,FALSE)="Projectile",Backdoors!N10,Backdoors!N9),0),"")</f>
        <v/>
      </c>
      <c r="DU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Q34&gt;=0.45,VLOOKUP(Calculator!E23,tbSkills!DH3:DI6,2,FALSE)+IF(AND(Calculator!B8=TRUE,Backdoors!BI20=TRUE),VLOOKUP(Calculator!E23,tbSkills!DH3:DJ6,3,FALSE),0),0))&gt;=100,100,(Backdoors!AI12+IF(DQ34&gt;=0.45,VLOOKUP(Calculator!E23,tbSkills!DH3:DI6,2,FALSE)+IF(AND(Calculator!B8=TRUE,Backdoors!BI20=TRUE),VLOOKUP(Calculator!E23,tbSkills!DH3:DJ6,3,FALSE),0),0)))/100)),1))*IF(VLOOKUP(A34,tbMoveset!A2:K112,11,FALSE)=TRUE,Backdoors!AC5,1))*DR34,0),"")</f>
        <v>0</v>
      </c>
      <c r="DV34" s="49">
        <f>VLOOKUP(A34,tbMoveset!A2:G112,7,FALSE)*IFERROR(IF(Backdoors!AI12&gt;=0,1+(IF(Calculator!E40&gt;0,VLOOKUP(Calculator!E40,tbSkills!AI3:AJ5,2,FALSE),Backdoors!AL4)*(IF((Backdoors!AI12+IF(DQ34&gt;=0.45,VLOOKUP(Calculator!E23,tbSkills!DH3:DI6,2,FALSE)+IF(AND(Calculator!B8=TRUE,Backdoors!BI20=TRUE),VLOOKUP(Calculator!E23,tbSkills!DH3:DJ6,3,FALSE),0),0))&gt;=100,100,(Backdoors!AI12+IF(DQ34&gt;=0.45,VLOOKUP(Calculator!E23,tbSkills!DH3:DI6,2,FALSE)+IF(AND(Calculator!B8=TRUE,Backdoors!BI20=TRUE),VLOOKUP(Calculator!E23,tbSkills!DH3:DJ6,3,FALSE),0),0)))/100)),1),1)</f>
        <v>0.8</v>
      </c>
      <c r="DW34" s="87">
        <f t="shared" si="10"/>
        <v>0</v>
      </c>
      <c r="DX34" s="86" t="str">
        <f>IFERROR(IF(VLOOKUP(A34,tbMoveset!A2:B112,2,FALSE)="Sever",Backdoors!AY21/100,IF(VLOOKUP(A34,tbMoveset!A2:B112,2,FALSE)="Blunt",Backdoors!AZ21/100,Backdoors!BA21/100)),"")</f>
        <v/>
      </c>
      <c r="DY34" s="49">
        <f>IFERROR(IF(VLOOKUP(tbMoveset!A34,tbMoveset!A2:H112,8,FALSE)="Other",IF(VLOOKUP(tbMoveset!A34,tbMoveset!A2:I112,9,FALSE)="Fire",Backdoors!BB21,IF(VLOOKUP(tbMoveset!A34,tbMoveset!A2:I112,9,FALSE)="Water",Backdoors!BC21,IF(VLOOKUP(tbMoveset!A34,tbMoveset!A2:I112,9,FALSE)="Thunder",Backdoors!BD21,IF(VLOOKUP(tbMoveset!A34,tbMoveset!A2:I112,9,FALSE)="Ice",Backdoors!BE21,IF(VLOOKUP(tbMoveset!A34,tbMoveset!A2:I112,9,FALSE)="Dragon",Backdoors!BF21,Backdoors!BG21)))))/100,Backdoors!BG21/100),"")</f>
        <v>0</v>
      </c>
      <c r="DZ34" s="49">
        <f>IFERROR(IF(VLOOKUP(A34,tbMoveset!A2:J112,10,FALSE)=TRUE,IF((Backdoors!AI12+IF(DX34&gt;=0.45,VLOOKUP(Calculator!E23,tbSkills!DH3:DI6,2,FALSE)+IF(AND(Calculator!B8=TRUE,Backdoors!BI21=TRUE),VLOOKUP(Calculator!E23,tbSkills!DH3:DJ6,3,FALSE),0),0))&gt;=0,1+(Backdoors!AL2*(IF((Backdoors!AI12+IF(DX34&gt;=0.45,VLOOKUP(Calculator!E23,tbSkills!DH3:DI6,2,FALSE)+IF(AND(Calculator!B8=TRUE,Backdoors!BI21=TRUE),VLOOKUP(Calculator!E23,tbSkills!DH3:DJ6,3,FALSE),0),0))&gt;=100,100,(Backdoors!AI12+IF(DX34&gt;=0.45,VLOOKUP(Calculator!E23,tbSkills!DH3:DI6,2,FALSE)+IF(AND(Calculator!B8=TRUE,Backdoors!BI21=TRUE),VLOOKUP(Calculator!E23,tbSkills!DH3:DJ6,3,FALSE),0),0)))/100)),(1-(0.25*((-Backdoors!AI12-IF(DX34&gt;=0.45,VLOOKUP(Calculator!E23,tbSkills!DH3:DI6,2,FALSE)+IF(AND(Calculator!B8=TRUE,Backdoors!BI21=TRUE),VLOOKUP(Calculator!E23,tbSkills!DH3:DJ6,3,FALSE),0),0))/100)))),1),"")</f>
        <v>1</v>
      </c>
      <c r="EA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X34)*DZ34)*(VLOOKUP(A34,tbMoveset!A2:C112,3,FALSE)/100)*IF(VLOOKUP(A34,tbMoveset!A2:B112,2,FALSE)="Projectile",Backdoors!N10,Backdoors!N9),0),"")</f>
        <v/>
      </c>
      <c r="EB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X34&gt;=0.45,VLOOKUP(Calculator!E23,tbSkills!DH3:DI6,2,FALSE)+IF(AND(Calculator!B8=TRUE,Backdoors!BI21=TRUE),VLOOKUP(Calculator!E23,tbSkills!DH3:DJ6,3,FALSE),0),0))&gt;=100,100,(Backdoors!AI12+IF(DX34&gt;=0.45,VLOOKUP(Calculator!E23,tbSkills!DH3:DI6,2,FALSE)+IF(AND(Calculator!B8=TRUE,Backdoors!BI21=TRUE),VLOOKUP(Calculator!E23,tbSkills!DH3:DJ6,3,FALSE),0),0)))/100)),1))*IF(VLOOKUP(A34,tbMoveset!A2:K112,11,FALSE)=TRUE,Backdoors!AC5,1))*DY34,0),"")</f>
        <v>0</v>
      </c>
      <c r="EC34" s="49">
        <f>VLOOKUP(A34,tbMoveset!A2:G112,7,FALSE)*IFERROR(IF(Backdoors!AI12&gt;=0,1+(IF(Calculator!E40&gt;0,VLOOKUP(Calculator!E40,tbSkills!AI3:AJ5,2,FALSE),Backdoors!AL4)*(IF((Backdoors!AI12+IF(DX34&gt;=0.45,VLOOKUP(Calculator!E23,tbSkills!DH3:DI6,2,FALSE)+IF(AND(Calculator!B8=TRUE,Backdoors!BI21=TRUE),VLOOKUP(Calculator!E23,tbSkills!DH3:DJ6,3,FALSE),0),0))&gt;=100,100,(Backdoors!AI12+IF(DX34&gt;=0.45,VLOOKUP(Calculator!E23,tbSkills!DH3:DI6,2,FALSE)+IF(AND(Calculator!B8=TRUE,Backdoors!BI21=TRUE),VLOOKUP(Calculator!E23,tbSkills!DH3:DJ6,3,FALSE),0),0)))/100)),1),1)</f>
        <v>0.8</v>
      </c>
      <c r="ED34" s="87">
        <f t="shared" si="11"/>
        <v>0</v>
      </c>
      <c r="EE34" s="86" t="str">
        <f>IFERROR(IF(VLOOKUP(A34,tbMoveset!A2:B112,2,FALSE)="Sever",Backdoors!AY22/100,IF(VLOOKUP(A34,tbMoveset!A2:B112,2,FALSE)="Blunt",Backdoors!AZ22/100,Backdoors!BA22/100)),"")</f>
        <v/>
      </c>
      <c r="EF34" s="49">
        <f>IFERROR(IF(VLOOKUP(tbMoveset!A34,tbMoveset!A2:H112,8,FALSE)="Other",IF(VLOOKUP(tbMoveset!A34,tbMoveset!A2:I112,9,FALSE)="Fire",Backdoors!BB22,IF(VLOOKUP(tbMoveset!A34,tbMoveset!A2:I112,9,FALSE)="Water",Backdoors!BC22,IF(VLOOKUP(tbMoveset!A34,tbMoveset!A2:I112,9,FALSE)="Thunder",Backdoors!BD22,IF(VLOOKUP(tbMoveset!A34,tbMoveset!A2:I112,9,FALSE)="Ice",Backdoors!BE22,IF(VLOOKUP(tbMoveset!A34,tbMoveset!A2:I112,9,FALSE)="Dragon",Backdoors!BF22,Backdoors!BG22)))))/100,Backdoors!BG22/100),"")</f>
        <v>0</v>
      </c>
      <c r="EG34" s="49">
        <f>IFERROR(IF(VLOOKUP(A34,tbMoveset!A2:J112,10,FALSE)=TRUE,IF((Backdoors!AI12+IF(EE34&gt;=0.45,VLOOKUP(Calculator!E23,tbSkills!DH3:DI6,2,FALSE)+IF(AND(Calculator!B8=TRUE,Backdoors!BI22=TRUE),VLOOKUP(Calculator!E23,tbSkills!DH3:DJ6,3,FALSE),0),0))&gt;=0,1+(Backdoors!AL2*(IF((Backdoors!AI12+IF(EE34&gt;=0.45,VLOOKUP(Calculator!E23,tbSkills!DH3:DI6,2,FALSE)+IF(AND(Calculator!B8=TRUE,Backdoors!BI22=TRUE),VLOOKUP(Calculator!E23,tbSkills!DH3:DJ6,3,FALSE),0),0))&gt;=100,100,(Backdoors!AI12+IF(EE34&gt;=0.45,VLOOKUP(Calculator!E23,tbSkills!DH3:DI6,2,FALSE)+IF(AND(Calculator!B8=TRUE,Backdoors!BI22=TRUE),VLOOKUP(Calculator!E23,tbSkills!DH3:DJ6,3,FALSE),0),0)))/100)),(1-(0.25*((-Backdoors!AI12-IF(EE34&gt;=0.45,VLOOKUP(Calculator!E23,tbSkills!DH3:DI6,2,FALSE)+IF(AND(Calculator!B8=TRUE,Backdoors!BI22=TRUE),VLOOKUP(Calculator!E23,tbSkills!DH3:DJ6,3,FALSE),0),0))/100)))),1),"")</f>
        <v>1</v>
      </c>
      <c r="EH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E34)*EG34)*(VLOOKUP(A34,tbMoveset!A2:C112,3,FALSE)/100)*IF(VLOOKUP(A34,tbMoveset!A2:B112,2,FALSE)="Projectile",Backdoors!N10,Backdoors!N9),0),"")</f>
        <v/>
      </c>
      <c r="EI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E34&gt;=0.45,VLOOKUP(Calculator!E23,tbSkills!DH3:DI6,2,FALSE)+IF(AND(Calculator!B8=TRUE,Backdoors!BI22=TRUE),VLOOKUP(Calculator!E23,tbSkills!DH3:DJ6,3,FALSE),0),0))&gt;=100,100,(Backdoors!AI12+IF(EE34&gt;=0.45,VLOOKUP(Calculator!E23,tbSkills!DH3:DI6,2,FALSE)+IF(AND(Calculator!B8=TRUE,Backdoors!BI22=TRUE),VLOOKUP(Calculator!E23,tbSkills!DH3:DJ6,3,FALSE),0),0)))/100)),1))*IF(VLOOKUP(A34,tbMoveset!A2:K112,11,FALSE)=TRUE,Backdoors!AC5,1))*EF34,0),"")</f>
        <v>0</v>
      </c>
      <c r="EJ34" s="49">
        <f>VLOOKUP(A34,tbMoveset!A2:G112,7,FALSE)*IFERROR(IF(Backdoors!AI12&gt;=0,1+(IF(Calculator!E40&gt;0,VLOOKUP(Calculator!E40,tbSkills!AI3:AJ5,2,FALSE),Backdoors!AL4)*(IF((Backdoors!AI12+IF(EE34&gt;=0.45,VLOOKUP(Calculator!E23,tbSkills!DH3:DI6,2,FALSE)+IF(AND(Calculator!B8=TRUE,Backdoors!BI22=TRUE),VLOOKUP(Calculator!E23,tbSkills!DH3:DJ6,3,FALSE),0),0))&gt;=100,100,(Backdoors!AI12+IF(EE34&gt;=0.45,VLOOKUP(Calculator!E23,tbSkills!DH3:DI6,2,FALSE)+IF(AND(Calculator!B8=TRUE,Backdoors!BI22=TRUE),VLOOKUP(Calculator!E23,tbSkills!DH3:DJ6,3,FALSE),0),0)))/100)),1),1)</f>
        <v>0.8</v>
      </c>
      <c r="EK34" s="87">
        <f t="shared" si="12"/>
        <v>0</v>
      </c>
      <c r="EL34" s="86" t="str">
        <f>IFERROR(IF(VLOOKUP(A34,tbMoveset!A2:B112,2,FALSE)="Sever",Backdoors!AY23/100,IF(VLOOKUP(A34,tbMoveset!A2:B112,2,FALSE)="Blunt",Backdoors!AZ23/100,Backdoors!BA23/100)),"")</f>
        <v/>
      </c>
      <c r="EM34" s="49">
        <f>IFERROR(IF(VLOOKUP(tbMoveset!A34,tbMoveset!A2:H112,8,FALSE)="Other",IF(VLOOKUP(tbMoveset!A34,tbMoveset!A2:I112,9,FALSE)="Fire",Backdoors!BB23,IF(VLOOKUP(tbMoveset!A34,tbMoveset!A2:I112,9,FALSE)="Water",Backdoors!BC23,IF(VLOOKUP(tbMoveset!A34,tbMoveset!A2:I112,9,FALSE)="Thunder",Backdoors!BD23,IF(VLOOKUP(tbMoveset!A34,tbMoveset!A2:I112,9,FALSE)="Ice",Backdoors!BE23,IF(VLOOKUP(tbMoveset!A34,tbMoveset!A2:I112,9,FALSE)="Dragon",Backdoors!BF23,Backdoors!BG23)))))/100,Backdoors!BG23/100),"")</f>
        <v>0</v>
      </c>
      <c r="EN34" s="49">
        <f>IFERROR(IF(VLOOKUP(A34,tbMoveset!A2:J112,10,FALSE)=TRUE,IF((Backdoors!AI12+IF(EL34&gt;=0.45,VLOOKUP(Calculator!E23,tbSkills!DH3:DI6,2,FALSE)+IF(AND(Calculator!B8=TRUE,Backdoors!BI23=TRUE),VLOOKUP(Calculator!E23,tbSkills!DH3:DJ6,3,FALSE),0),0))&gt;=0,1+(Backdoors!AL2*(IF((Backdoors!AI12+IF(EL34&gt;=0.45,VLOOKUP(Calculator!E23,tbSkills!DH3:DI6,2,FALSE)+IF(AND(Calculator!B8=TRUE,Backdoors!BI23=TRUE),VLOOKUP(Calculator!E23,tbSkills!DH3:DJ6,3,FALSE),0),0))&gt;=100,100,(Backdoors!AI12+IF(EL34&gt;=0.45,VLOOKUP(Calculator!E23,tbSkills!DH3:DI6,2,FALSE)+IF(AND(Calculator!B8=TRUE,Backdoors!BI23=TRUE),VLOOKUP(Calculator!E23,tbSkills!DH3:DJ6,3,FALSE),0),0)))/100)),(1-(0.25*((-Backdoors!AI12-IF(EL34&gt;=0.45,VLOOKUP(Calculator!E23,tbSkills!DH3:DI6,2,FALSE)+IF(AND(Calculator!B8=TRUE,Backdoors!BI23=TRUE),VLOOKUP(Calculator!E23,tbSkills!DH3:DJ6,3,FALSE),0),0))/100)))),1),"")</f>
        <v>1</v>
      </c>
      <c r="EO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L34)*EN34)*(VLOOKUP(A34,tbMoveset!A2:C112,3,FALSE)/100)*IF(VLOOKUP(A34,tbMoveset!A2:B112,2,FALSE)="Projectile",Backdoors!N10,Backdoors!N9),0),"")</f>
        <v/>
      </c>
      <c r="EP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L34&gt;=0.45,VLOOKUP(Calculator!E23,tbSkills!DH3:DI6,2,FALSE)+IF(AND(Calculator!B8=TRUE,Backdoors!BI23=TRUE),VLOOKUP(Calculator!E23,tbSkills!DH3:DJ6,3,FALSE),0),0))&gt;=100,100,(Backdoors!AI12+IF(EL34&gt;=0.45,VLOOKUP(Calculator!E23,tbSkills!DH3:DI6,2,FALSE)+IF(AND(Calculator!B8=TRUE,Backdoors!BI23=TRUE),VLOOKUP(Calculator!E23,tbSkills!DH3:DJ6,3,FALSE),0),0)))/100)),1))*IF(VLOOKUP(A34,tbMoveset!A2:K112,11,FALSE)=TRUE,Backdoors!AC5,1))*EM34,0),"")</f>
        <v>0</v>
      </c>
      <c r="EQ34" s="49">
        <f>VLOOKUP(A34,tbMoveset!A2:G112,7,FALSE)*IFERROR(IF(Backdoors!AI12&gt;=0,1+(IF(Calculator!E40&gt;0,VLOOKUP(Calculator!E40,tbSkills!AI3:AJ5,2,FALSE),Backdoors!AL4)*(IF((Backdoors!AI12+IF(EL34&gt;=0.45,VLOOKUP(Calculator!E23,tbSkills!DH3:DI6,2,FALSE)+IF(AND(Calculator!B8=TRUE,Backdoors!BI23=TRUE),VLOOKUP(Calculator!E23,tbSkills!DH3:DJ6,3,FALSE),0),0))&gt;=100,100,(Backdoors!AI12+IF(EL34&gt;=0.45,VLOOKUP(Calculator!E23,tbSkills!DH3:DI6,2,FALSE)+IF(AND(Calculator!B8=TRUE,Backdoors!BI23=TRUE),VLOOKUP(Calculator!E23,tbSkills!DH3:DJ6,3,FALSE),0),0)))/100)),1),1)</f>
        <v>0.8</v>
      </c>
      <c r="ER34" s="87">
        <f t="shared" si="13"/>
        <v>0</v>
      </c>
      <c r="ES34" s="86" t="str">
        <f>IFERROR(IF(VLOOKUP(A34,tbMoveset!A2:B112,2,FALSE)="Sever",Backdoors!AY24/100,IF(VLOOKUP(A34,tbMoveset!A2:B112,2,FALSE)="Blunt",Backdoors!AZ24/100,Backdoors!BA24/100)),"")</f>
        <v/>
      </c>
      <c r="ET34" s="49">
        <f>IFERROR(IF(VLOOKUP(tbMoveset!A34,tbMoveset!A2:H112,8,FALSE)="Other",IF(VLOOKUP(tbMoveset!A34,tbMoveset!A2:I112,9,FALSE)="Fire",Backdoors!BB24,IF(VLOOKUP(tbMoveset!A34,tbMoveset!A2:I112,9,FALSE)="Water",Backdoors!BC24,IF(VLOOKUP(tbMoveset!A34,tbMoveset!A2:I112,9,FALSE)="Thunder",Backdoors!BD24,IF(VLOOKUP(tbMoveset!A34,tbMoveset!A2:I112,9,FALSE)="Ice",Backdoors!BE24,IF(VLOOKUP(tbMoveset!A34,tbMoveset!A2:I112,9,FALSE)="Dragon",Backdoors!BF24,Backdoors!BG24)))))/100,Backdoors!BG24/100),"")</f>
        <v>0</v>
      </c>
      <c r="EU34" s="49">
        <f>IFERROR(IF(VLOOKUP(A34,tbMoveset!A2:J112,10,FALSE)=TRUE,IF((Backdoors!AI12+IF(ES34&gt;=0.45,VLOOKUP(Calculator!E23,tbSkills!DH3:DI6,2,FALSE)+IF(AND(Calculator!B8=TRUE,Backdoors!BI24=TRUE),VLOOKUP(Calculator!E23,tbSkills!DH3:DJ6,3,FALSE),0),0))&gt;=0,1+(Backdoors!AL2*(IF((Backdoors!AI12+IF(ES34&gt;=0.45,VLOOKUP(Calculator!E23,tbSkills!DH3:DI6,2,FALSE)+IF(AND(Calculator!B8=TRUE,Backdoors!BI24=TRUE),VLOOKUP(Calculator!E23,tbSkills!DH3:DJ6,3,FALSE),0),0))&gt;=100,100,(Backdoors!AI12+IF(ES34&gt;=0.45,VLOOKUP(Calculator!E23,tbSkills!DH3:DI6,2,FALSE)+IF(AND(Calculator!B8=TRUE,Backdoors!BI24=TRUE),VLOOKUP(Calculator!E23,tbSkills!DH3:DJ6,3,FALSE),0),0)))/100)),(1-(0.25*((-Backdoors!AI12-IF(ES34&gt;=0.45,VLOOKUP(Calculator!E23,tbSkills!DH3:DI6,2,FALSE)+IF(AND(Calculator!B8=TRUE,Backdoors!BI24=TRUE),VLOOKUP(Calculator!E23,tbSkills!DH3:DJ6,3,FALSE),0),0))/100)))),1),"")</f>
        <v>1</v>
      </c>
      <c r="EV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S34)*EU34)*(VLOOKUP(A34,tbMoveset!A2:C112,3,FALSE)/100)*IF(VLOOKUP(A34,tbMoveset!A2:B112,2,FALSE)="Projectile",Backdoors!N10,Backdoors!N9),0),"")</f>
        <v/>
      </c>
      <c r="EW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S34&gt;=0.45,VLOOKUP(Calculator!E23,tbSkills!DH3:DI6,2,FALSE)+IF(AND(Calculator!B8=TRUE,Backdoors!BI24=TRUE),VLOOKUP(Calculator!E23,tbSkills!DH3:DJ6,3,FALSE),0),0))&gt;=100,100,(Backdoors!AI12+IF(ES34&gt;=0.45,VLOOKUP(Calculator!E23,tbSkills!DH3:DI6,2,FALSE)+IF(AND(Calculator!B8=TRUE,Backdoors!BI24=TRUE),VLOOKUP(Calculator!E23,tbSkills!DH3:DJ6,3,FALSE),0),0)))/100)),1))*IF(VLOOKUP(A34,tbMoveset!A2:K112,11,FALSE)=TRUE,Backdoors!AC5,1))*ET34,0),"")</f>
        <v>0</v>
      </c>
      <c r="EX34" s="49">
        <f>VLOOKUP(A34,tbMoveset!A2:G112,7,FALSE)*IFERROR(IF(Backdoors!AI12&gt;=0,1+(IF(Calculator!E40&gt;0,VLOOKUP(Calculator!E40,tbSkills!AI3:AJ5,2,FALSE),Backdoors!AL4)*(IF((Backdoors!AI12+IF(ES34&gt;=0.45,VLOOKUP(Calculator!E23,tbSkills!DH3:DI6,2,FALSE)+IF(AND(Calculator!B8=TRUE,Backdoors!BI24=TRUE),VLOOKUP(Calculator!E23,tbSkills!DH3:DJ6,3,FALSE),0),0))&gt;=100,100,(Backdoors!AI12+IF(ES34&gt;=0.45,VLOOKUP(Calculator!E23,tbSkills!DH3:DI6,2,FALSE)+IF(AND(Calculator!B8=TRUE,Backdoors!BI24=TRUE),VLOOKUP(Calculator!E23,tbSkills!DH3:DJ6,3,FALSE),0),0)))/100)),1),1)</f>
        <v>0.8</v>
      </c>
      <c r="EY34" s="87">
        <f t="shared" si="14"/>
        <v>0</v>
      </c>
      <c r="EZ34" s="86" t="str">
        <f>IFERROR(IF(VLOOKUP(A34,tbMoveset!A2:B112,2,FALSE)="Sever",Backdoors!AY25/100,IF(VLOOKUP(A34,tbMoveset!A2:B112,2,FALSE)="Blunt",Backdoors!AZ25/100,Backdoors!BA25/100)),"")</f>
        <v/>
      </c>
      <c r="FA34" s="49">
        <f>IFERROR(IF(VLOOKUP(tbMoveset!A34,tbMoveset!A2:H112,8,FALSE)="Other",IF(VLOOKUP(tbMoveset!A34,tbMoveset!A2:I112,9,FALSE)="Fire",Backdoors!BB25,IF(VLOOKUP(tbMoveset!A34,tbMoveset!A2:I112,9,FALSE)="Water",Backdoors!BC25,IF(VLOOKUP(tbMoveset!A34,tbMoveset!A2:I112,9,FALSE)="Thunder",Backdoors!BD25,IF(VLOOKUP(tbMoveset!A34,tbMoveset!A2:I112,9,FALSE)="Ice",Backdoors!BE25,IF(VLOOKUP(tbMoveset!A34,tbMoveset!A2:I112,9,FALSE)="Dragon",Backdoors!BF25,Backdoors!BG25)))))/100,Backdoors!BG25/100),"")</f>
        <v>0</v>
      </c>
      <c r="FB34" s="49">
        <f>IFERROR(IF(VLOOKUP(A34,tbMoveset!A2:J112,10,FALSE)=TRUE,IF((Backdoors!AI12+IF(EZ34&gt;=0.45,VLOOKUP(Calculator!E23,tbSkills!DH3:DI6,2,FALSE)+IF(AND(Calculator!B8=TRUE,Backdoors!BI25=TRUE),VLOOKUP(Calculator!E23,tbSkills!DH3:DJ6,3,FALSE),0),0))&gt;=0,1+(Backdoors!AL2*(IF((Backdoors!AI12+IF(EZ34&gt;=0.45,VLOOKUP(Calculator!E23,tbSkills!DH3:DI6,2,FALSE)+IF(AND(Calculator!B8=TRUE,Backdoors!BI25=TRUE),VLOOKUP(Calculator!E23,tbSkills!DH3:DJ6,3,FALSE),0),0))&gt;=100,100,(Backdoors!AI12+IF(EZ34&gt;=0.45,VLOOKUP(Calculator!E23,tbSkills!DH3:DI6,2,FALSE)+IF(AND(Calculator!B8=TRUE,Backdoors!BI25=TRUE),VLOOKUP(Calculator!E23,tbSkills!DH3:DJ6,3,FALSE),0),0)))/100)),(1-(0.25*((-Backdoors!AI12-IF(EZ34&gt;=0.45,VLOOKUP(Calculator!E23,tbSkills!DH3:DI6,2,FALSE)+IF(AND(Calculator!B8=TRUE,Backdoors!BI25=TRUE),VLOOKUP(Calculator!E23,tbSkills!DH3:DJ6,3,FALSE),0),0))/100)))),1),"")</f>
        <v>1</v>
      </c>
      <c r="FC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Z34)*FB34)*(VLOOKUP(A34,tbMoveset!A2:C112,3,FALSE)/100)*IF(VLOOKUP(A34,tbMoveset!A2:B112,2,FALSE)="Projectile",Backdoors!N10,Backdoors!N9),0),"")</f>
        <v/>
      </c>
      <c r="FD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Z34&gt;=0.45,VLOOKUP(Calculator!E23,tbSkills!DH3:DI6,2,FALSE)+IF(AND(Calculator!B8=TRUE,Backdoors!BI25=TRUE),VLOOKUP(Calculator!E23,tbSkills!DH3:DJ6,3,FALSE),0),0))&gt;=100,100,(Backdoors!AI12+IF(EZ34&gt;=0.45,VLOOKUP(Calculator!E23,tbSkills!DH3:DI6,2,FALSE)+IF(AND(Calculator!B8=TRUE,Backdoors!BI25=TRUE),VLOOKUP(Calculator!E23,tbSkills!DH3:DJ6,3,FALSE),0),0)))/100)),1))*IF(VLOOKUP(A34,tbMoveset!A2:K112,11,FALSE)=TRUE,Backdoors!AC5,1))*FA34,0),"")</f>
        <v>0</v>
      </c>
      <c r="FE34" s="49">
        <f>VLOOKUP(A34,tbMoveset!A2:G112,7,FALSE)*IFERROR(IF(Backdoors!AI12&gt;=0,1+(IF(Calculator!E40&gt;0,VLOOKUP(Calculator!E40,tbSkills!AI3:AJ5,2,FALSE),Backdoors!AL4)*(IF((Backdoors!AI12+IF(EZ34&gt;=0.45,VLOOKUP(Calculator!E23,tbSkills!DH3:DI6,2,FALSE)+IF(AND(Calculator!B8=TRUE,Backdoors!BI25=TRUE),VLOOKUP(Calculator!E23,tbSkills!DH3:DJ6,3,FALSE),0),0))&gt;=100,100,(Backdoors!AI12+IF(EZ34&gt;=0.45,VLOOKUP(Calculator!E23,tbSkills!DH3:DI6,2,FALSE)+IF(AND(Calculator!B8=TRUE,Backdoors!BI25=TRUE),VLOOKUP(Calculator!E23,tbSkills!DH3:DJ6,3,FALSE),0),0)))/100)),1),1)</f>
        <v>0.8</v>
      </c>
      <c r="FF34" s="87">
        <f t="shared" si="15"/>
        <v>0</v>
      </c>
      <c r="FG34" s="86" t="str">
        <f>IFERROR(IF(VLOOKUP(A34,tbMoveset!A2:B112,2,FALSE)="Sever",Backdoors!AY26/100,IF(VLOOKUP(A34,tbMoveset!A2:B112,2,FALSE)="Blunt",Backdoors!AZ26/100,Backdoors!BA26/100)),"")</f>
        <v/>
      </c>
      <c r="FH34" s="49">
        <f>IFERROR(IF(VLOOKUP(tbMoveset!A34,tbMoveset!A2:H112,8,FALSE)="Other",IF(VLOOKUP(tbMoveset!A34,tbMoveset!A2:I112,9,FALSE)="Fire",Backdoors!BB26,IF(VLOOKUP(tbMoveset!A34,tbMoveset!A2:I112,9,FALSE)="Water",Backdoors!BC26,IF(VLOOKUP(tbMoveset!A34,tbMoveset!A2:I112,9,FALSE)="Thunder",Backdoors!BD26,IF(VLOOKUP(tbMoveset!A34,tbMoveset!A2:I112,9,FALSE)="Ice",Backdoors!BE26,IF(VLOOKUP(tbMoveset!A34,tbMoveset!A2:I112,9,FALSE)="Dragon",Backdoors!BF26,Backdoors!BG26)))))/100,Backdoors!BG26/100),"")</f>
        <v>0</v>
      </c>
      <c r="FI34" s="49">
        <f>IFERROR(IF(VLOOKUP(A34,tbMoveset!A2:J112,10,FALSE)=TRUE,IF((Backdoors!AI12+IF(FG34&gt;=0.45,VLOOKUP(Calculator!E23,tbSkills!DH3:DI6,2,FALSE)+IF(AND(Calculator!B8=TRUE,Backdoors!BI26=TRUE),VLOOKUP(Calculator!E23,tbSkills!DH3:DJ6,3,FALSE),0),0))&gt;=0,1+(Backdoors!AL2*(IF((Backdoors!AI12+IF(FG34&gt;=0.45,VLOOKUP(Calculator!E23,tbSkills!DH3:DI6,2,FALSE)+IF(AND(Calculator!B8=TRUE,Backdoors!BI26=TRUE),VLOOKUP(Calculator!E23,tbSkills!DH3:DJ6,3,FALSE),0),0))&gt;=100,100,(Backdoors!AI12+IF(FG34&gt;=0.45,VLOOKUP(Calculator!E23,tbSkills!DH3:DI6,2,FALSE)+IF(AND(Calculator!B8=TRUE,Backdoors!BI26=TRUE),VLOOKUP(Calculator!E23,tbSkills!DH3:DJ6,3,FALSE),0),0)))/100)),(1-(0.25*((-Backdoors!AI12-IF(FG34&gt;=0.45,VLOOKUP(Calculator!E23,tbSkills!DH3:DI6,2,FALSE)+IF(AND(Calculator!B8=TRUE,Backdoors!BI26=TRUE),VLOOKUP(Calculator!E23,tbSkills!DH3:DJ6,3,FALSE),0),0))/100)))),1),"")</f>
        <v>1</v>
      </c>
      <c r="FJ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FG34)*FI34)*(VLOOKUP(A34,tbMoveset!A2:C112,3,FALSE)/100)*IF(VLOOKUP(A34,tbMoveset!A2:B112,2,FALSE)="Projectile",Backdoors!N10,Backdoors!N9),0),"")</f>
        <v/>
      </c>
      <c r="FK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FG34&gt;=0.45,VLOOKUP(Calculator!E23,tbSkills!DH3:DI6,2,FALSE)+IF(AND(Calculator!B8=TRUE,Backdoors!BI26=TRUE),VLOOKUP(Calculator!E23,tbSkills!DH3:DJ6,3,FALSE),0),0))&gt;=100,100,(Backdoors!AI12+IF(FG34&gt;=0.45,VLOOKUP(Calculator!E23,tbSkills!DH3:DI6,2,FALSE)+IF(AND(Calculator!B8=TRUE,Backdoors!BI26=TRUE),VLOOKUP(Calculator!E23,tbSkills!DH3:DJ6,3,FALSE),0),0)))/100)),1))*IF(VLOOKUP(A34,tbMoveset!A2:K112,11,FALSE)=TRUE,Backdoors!AC5,1))*FH34,0),"")</f>
        <v>0</v>
      </c>
      <c r="FL34" s="49">
        <f>VLOOKUP(A34,tbMoveset!A2:G112,7,FALSE)*IFERROR(IF(Backdoors!AI12&gt;=0,1+(IF(Calculator!E40&gt;0,VLOOKUP(Calculator!E40,tbSkills!AI3:AJ5,2,FALSE),Backdoors!AL4)*(IF((Backdoors!AI12+IF(FG34&gt;=0.45,VLOOKUP(Calculator!E23,tbSkills!DH3:DI6,2,FALSE)+IF(AND(Calculator!B8=TRUE,Backdoors!BI26=TRUE),VLOOKUP(Calculator!E23,tbSkills!DH3:DJ6,3,FALSE),0),0))&gt;=100,100,(Backdoors!AI12+IF(FG34&gt;=0.45,VLOOKUP(Calculator!E23,tbSkills!DH3:DI6,2,FALSE)+IF(AND(Calculator!B8=TRUE,Backdoors!BI26=TRUE),VLOOKUP(Calculator!E23,tbSkills!DH3:DJ6,3,FALSE),0),0)))/100)),1),1)</f>
        <v>0.8</v>
      </c>
      <c r="FM34" s="87">
        <f t="shared" si="16"/>
        <v>0</v>
      </c>
      <c r="FN34" s="86" t="str">
        <f>IFERROR(IF(VLOOKUP(A34,tbMoveset!A2:B112,2,FALSE)="Sever",Backdoors!AY27/100,IF(VLOOKUP(A34,tbMoveset!A2:B112,2,FALSE)="Blunt",Backdoors!AZ27/100,Backdoors!BA27/100)),"")</f>
        <v/>
      </c>
      <c r="FO34" s="49">
        <f>IFERROR(IF(VLOOKUP(tbMoveset!A34,tbMoveset!A2:H112,8,FALSE)="Other",IF(VLOOKUP(tbMoveset!A34,tbMoveset!A2:I112,9,FALSE)="Fire",Backdoors!BB27,IF(VLOOKUP(tbMoveset!A34,tbMoveset!A2:I112,9,FALSE)="Water",Backdoors!BC27,IF(VLOOKUP(tbMoveset!A34,tbMoveset!A2:I112,9,FALSE)="Thunder",Backdoors!BD27,IF(VLOOKUP(tbMoveset!A34,tbMoveset!A2:I112,9,FALSE)="Ice",Backdoors!BE27,IF(VLOOKUP(tbMoveset!A34,tbMoveset!A2:I112,9,FALSE)="Dragon",Backdoors!BF27,Backdoors!BG27)))))/100,Backdoors!BG27/100),"")</f>
        <v>0</v>
      </c>
      <c r="FP34" s="49">
        <f>IFERROR(IF(VLOOKUP(A34,tbMoveset!A2:J112,10,FALSE)=TRUE,IF((Backdoors!AI12+IF(FN34&gt;=0.45,VLOOKUP(Calculator!E23,tbSkills!DH3:DI6,2,FALSE)+IF(AND(Calculator!B8=TRUE,Backdoors!BI27=TRUE),VLOOKUP(Calculator!E23,tbSkills!DH3:DJ6,3,FALSE),0),0))&gt;=0,1+(Backdoors!AL2*(IF((Backdoors!AI12+IF(FN34&gt;=0.45,VLOOKUP(Calculator!E23,tbSkills!DH3:DI6,2,FALSE)+IF(AND(Calculator!B8=TRUE,Backdoors!BI27=TRUE),VLOOKUP(Calculator!E23,tbSkills!DH3:DJ6,3,FALSE),0),0))&gt;=100,100,(Backdoors!AI12+IF(FN34&gt;=0.45,VLOOKUP(Calculator!E23,tbSkills!DH3:DI6,2,FALSE)+IF(AND(Calculator!B8=TRUE,Backdoors!BI27=TRUE),VLOOKUP(Calculator!E23,tbSkills!DH3:DJ6,3,FALSE),0),0)))/100)),(1-(0.25*((-Backdoors!AI12-IF(FN34&gt;=0.45,VLOOKUP(Calculator!E23,tbSkills!DH3:DI6,2,FALSE)+IF(AND(Calculator!B8=TRUE,Backdoors!BI27=TRUE),VLOOKUP(Calculator!E23,tbSkills!DH3:DJ6,3,FALSE),0),0))/100)))),1),"")</f>
        <v>1</v>
      </c>
      <c r="FQ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FN34)*FP34)*(VLOOKUP(A34,tbMoveset!A2:C112,3,FALSE)/100)*IF(VLOOKUP(A34,tbMoveset!A2:B112,2,FALSE)="Projectile",Backdoors!N10,Backdoors!N9),0),"")</f>
        <v/>
      </c>
      <c r="FR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FN34&gt;=0.45,VLOOKUP(Calculator!E23,tbSkills!DH3:DI6,2,FALSE)+IF(AND(Calculator!B8=TRUE,Backdoors!BI27=TRUE),VLOOKUP(Calculator!E23,tbSkills!DH3:DJ6,3,FALSE),0),0))&gt;=100,100,(Backdoors!AI12+IF(FN34&gt;=0.45,VLOOKUP(Calculator!E23,tbSkills!DH3:DI6,2,FALSE)+IF(AND(Calculator!B8=TRUE,Backdoors!BI27=TRUE),VLOOKUP(Calculator!E23,tbSkills!DH3:DJ6,3,FALSE),0),0)))/100)),1))*IF(VLOOKUP(A34,tbMoveset!A2:K112,11,FALSE)=TRUE,Backdoors!AC5,1))*FO34,0),"")</f>
        <v>0</v>
      </c>
      <c r="FS34" s="49">
        <f>VLOOKUP(A34,tbMoveset!A2:G112,7,FALSE)*IFERROR(IF(Backdoors!AI12&gt;=0,1+(IF(Calculator!E40&gt;0,VLOOKUP(Calculator!E40,tbSkills!AI3:AJ5,2,FALSE),Backdoors!AL4)*(IF((Backdoors!AI12+IF(FN34&gt;=0.45,VLOOKUP(Calculator!E23,tbSkills!DH3:DI6,2,FALSE)+IF(AND(Calculator!B8=TRUE,Backdoors!BI27=TRUE),VLOOKUP(Calculator!E23,tbSkills!DH3:DJ6,3,FALSE),0),0))&gt;=100,100,(Backdoors!AI12+IF(FN34&gt;=0.45,VLOOKUP(Calculator!E23,tbSkills!DH3:DI6,2,FALSE)+IF(AND(Calculator!B8=TRUE,Backdoors!BI27=TRUE),VLOOKUP(Calculator!E23,tbSkills!DH3:DJ6,3,FALSE),0),0)))/100)),1),1)</f>
        <v>0.8</v>
      </c>
      <c r="FT34" s="87">
        <f t="shared" si="17"/>
        <v>0</v>
      </c>
      <c r="FU34" s="86" t="str">
        <f>IFERROR(IF(VLOOKUP(A34,tbMoveset!A2:B112,2,FALSE)="Sever",Backdoors!AY28/100,IF(VLOOKUP(A34,tbMoveset!A2:B112,2,FALSE)="Blunt",Backdoors!AZ28/100,Backdoors!BA28/100)),"")</f>
        <v/>
      </c>
      <c r="FV34" s="49">
        <f>IFERROR(IF(VLOOKUP(tbMoveset!A34,tbMoveset!A2:H112,8,FALSE)="Other",IF(VLOOKUP(tbMoveset!A34,tbMoveset!A2:I112,9,FALSE)="Fire",Backdoors!BB28,IF(VLOOKUP(tbMoveset!A34,tbMoveset!A2:I112,9,FALSE)="Water",Backdoors!BC28,IF(VLOOKUP(tbMoveset!A34,tbMoveset!A2:I112,9,FALSE)="Thunder",Backdoors!BD28,IF(VLOOKUP(tbMoveset!A34,tbMoveset!A2:I112,9,FALSE)="Ice",Backdoors!BE28,IF(VLOOKUP(tbMoveset!A34,tbMoveset!A2:I112,9,FALSE)="Dragon",Backdoors!BF28,Backdoors!BG28)))))/100,Backdoors!BG28/100),"")</f>
        <v>0</v>
      </c>
      <c r="FW34" s="49">
        <f>IFERROR(IF(VLOOKUP(A34,tbMoveset!A2:J112,10,FALSE)=TRUE,IF((Backdoors!AI12+IF(FU34&gt;=0.45,VLOOKUP(Calculator!E23,tbSkills!DH3:DI6,2,FALSE)+IF(AND(Calculator!B8=TRUE,Backdoors!BI28=TRUE),VLOOKUP(Calculator!E23,tbSkills!DH3:DJ6,3,FALSE),0),0))&gt;=0,1+(Backdoors!AL2*(IF((Backdoors!AI12+IF(FU34&gt;=0.45,VLOOKUP(Calculator!E23,tbSkills!DH3:DI6,2,FALSE)+IF(AND(Calculator!B8=TRUE,Backdoors!BI28=TRUE),VLOOKUP(Calculator!E23,tbSkills!DH3:DJ6,3,FALSE),0),0))&gt;=100,100,(Backdoors!AI12+IF(FU34&gt;=0.45,VLOOKUP(Calculator!E23,tbSkills!DH3:DI6,2,FALSE)+IF(AND(Calculator!B8=TRUE,Backdoors!BI28=TRUE),VLOOKUP(Calculator!E23,tbSkills!DH3:DJ6,3,FALSE),0),0)))/100)),(1-(0.25*((-Backdoors!AI12-IF(FU34&gt;=0.45,VLOOKUP(Calculator!E23,tbSkills!DH3:DI6,2,FALSE)+IF(AND(Calculator!B8=TRUE,Backdoors!BI28=TRUE),VLOOKUP(Calculator!E23,tbSkills!DH3:DJ6,3,FALSE),0),0))/100)))),1),"")</f>
        <v>1</v>
      </c>
      <c r="FX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FU34)*FW34)*(VLOOKUP(A34,tbMoveset!A2:C112,3,FALSE)/100)*IF(VLOOKUP(A34,tbMoveset!A2:B112,2,FALSE)="Projectile",Backdoors!N10,Backdoors!N9),0),"")</f>
        <v/>
      </c>
      <c r="FY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FU34&gt;=0.45,VLOOKUP(Calculator!E23,tbSkills!DH3:DI6,2,FALSE)+IF(AND(Calculator!B8=TRUE,Backdoors!BI28=TRUE),VLOOKUP(Calculator!E23,tbSkills!DH3:DJ6,3,FALSE),0),0))&gt;=100,100,(Backdoors!AI12+IF(FU34&gt;=0.45,VLOOKUP(Calculator!E23,tbSkills!DH3:DI6,2,FALSE)+IF(AND(Calculator!B8=TRUE,Backdoors!BI28=TRUE),VLOOKUP(Calculator!E23,tbSkills!DH3:DJ6,3,FALSE),0),0)))/100)),1))*IF(VLOOKUP(A34,tbMoveset!A2:K112,11,FALSE)=TRUE,Backdoors!AC5,1))*FV34,0),"")</f>
        <v>0</v>
      </c>
      <c r="FZ34" s="49">
        <f>VLOOKUP(A34,tbMoveset!A2:G112,7,FALSE)*IFERROR(IF(Backdoors!AI12&gt;=0,1+(IF(Calculator!E40&gt;0,VLOOKUP(Calculator!E40,tbSkills!AI3:AJ5,2,FALSE),Backdoors!AL4)*(IF((Backdoors!AI12+IF(FU34&gt;=0.45,VLOOKUP(Calculator!E23,tbSkills!DH3:DI6,2,FALSE)+IF(AND(Calculator!B8=TRUE,Backdoors!BI28=TRUE),VLOOKUP(Calculator!E23,tbSkills!DH3:DJ6,3,FALSE),0),0))&gt;=100,100,(Backdoors!AI12+IF(FU34&gt;=0.45,VLOOKUP(Calculator!E23,tbSkills!DH3:DI6,2,FALSE)+IF(AND(Calculator!B8=TRUE,Backdoors!BI28=TRUE),VLOOKUP(Calculator!E23,tbSkills!DH3:DJ6,3,FALSE),0),0)))/100)),1),1)</f>
        <v>0.8</v>
      </c>
      <c r="GA34" s="87">
        <f t="shared" si="18"/>
        <v>0</v>
      </c>
      <c r="GB34" s="86" t="str">
        <f>IFERROR(IF(VLOOKUP(A34,tbMoveset!A2:B112,2,FALSE)="Sever",Backdoors!AY29/100,IF(VLOOKUP(A34,tbMoveset!A2:B112,2,FALSE)="Blunt",Backdoors!AZ29/100,Backdoors!BA29/100)),"")</f>
        <v/>
      </c>
      <c r="GC34" s="49">
        <f>IFERROR(IF(VLOOKUP(tbMoveset!A34,tbMoveset!A2:H112,8,FALSE)="Other",IF(VLOOKUP(tbMoveset!A34,tbMoveset!A2:I112,9,FALSE)="Fire",Backdoors!BB29,IF(VLOOKUP(tbMoveset!A34,tbMoveset!A2:I112,9,FALSE)="Water",Backdoors!BC29,IF(VLOOKUP(tbMoveset!A34,tbMoveset!A2:I112,9,FALSE)="Thunder",Backdoors!BD29,IF(VLOOKUP(tbMoveset!A34,tbMoveset!A2:I112,9,FALSE)="Ice",Backdoors!BE29,IF(VLOOKUP(tbMoveset!A34,tbMoveset!A2:I112,9,FALSE)="Dragon",Backdoors!BF29,Backdoors!BG29)))))/100,Backdoors!BG29/100),"")</f>
        <v>0</v>
      </c>
      <c r="GD34" s="49">
        <f>IFERROR(IF(VLOOKUP(A34,tbMoveset!A2:J112,10,FALSE)=TRUE,IF((Backdoors!AI12+IF(GB34&gt;=0.45,VLOOKUP(Calculator!E23,tbSkills!DH3:DI6,2,FALSE)+IF(AND(Calculator!B8=TRUE,Backdoors!BI29=TRUE),VLOOKUP(Calculator!E23,tbSkills!DH3:DJ6,3,FALSE),0),0))&gt;=0,1+(Backdoors!AL2*(IF((Backdoors!AI12+IF(GB34&gt;=0.45,VLOOKUP(Calculator!E23,tbSkills!DH3:DI6,2,FALSE)+IF(AND(Calculator!B8=TRUE,Backdoors!BI29=TRUE),VLOOKUP(Calculator!E23,tbSkills!DH3:DJ6,3,FALSE),0),0))&gt;=100,100,(Backdoors!AI12+IF(GB34&gt;=0.45,VLOOKUP(Calculator!E23,tbSkills!DH3:DI6,2,FALSE)+IF(AND(Calculator!B8=TRUE,Backdoors!BI29=TRUE),VLOOKUP(Calculator!E23,tbSkills!DH3:DJ6,3,FALSE),0),0)))/100)),(1-(0.25*((-Backdoors!AI12-IF(GB34&gt;=0.45,VLOOKUP(Calculator!E23,tbSkills!DH3:DI6,2,FALSE)+IF(AND(Calculator!B8=TRUE,Backdoors!BI29=TRUE),VLOOKUP(Calculator!E23,tbSkills!DH3:DJ6,3,FALSE),0),0))/100)))),1),"")</f>
        <v>1</v>
      </c>
      <c r="GE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B34)*GD34)*(VLOOKUP(A34,tbMoveset!A2:C112,3,FALSE)/100)*IF(VLOOKUP(A34,tbMoveset!A2:B112,2,FALSE)="Projectile",Backdoors!N10,Backdoors!N9),0),"")</f>
        <v/>
      </c>
      <c r="GF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B34&gt;=0.45,VLOOKUP(Calculator!E23,tbSkills!DH3:DI6,2,FALSE)+IF(AND(Calculator!B8=TRUE,Backdoors!BI29=TRUE),VLOOKUP(Calculator!E23,tbSkills!DH3:DJ6,3,FALSE),0),0))&gt;=100,100,(Backdoors!AI12+IF(GB34&gt;=0.45,VLOOKUP(Calculator!E23,tbSkills!DH3:DI6,2,FALSE)+IF(AND(Calculator!B8=TRUE,Backdoors!BI29=TRUE),VLOOKUP(Calculator!E23,tbSkills!DH3:DJ6,3,FALSE),0),0)))/100)),1))*IF(VLOOKUP(A34,tbMoveset!A2:K112,11,FALSE)=TRUE,Backdoors!AC5,1))*GC34,0),"")</f>
        <v>0</v>
      </c>
      <c r="GG34" s="49">
        <f>VLOOKUP(A34,tbMoveset!A2:G112,7,FALSE)*IFERROR(IF(Backdoors!AI12&gt;=0,1+(IF(Calculator!E40&gt;0,VLOOKUP(Calculator!E40,tbSkills!AI3:AJ5,2,FALSE),Backdoors!AL4)*(IF((Backdoors!AI12+IF(GB34&gt;=0.45,VLOOKUP(Calculator!E23,tbSkills!DH3:DI6,2,FALSE)+IF(AND(Calculator!B8=TRUE,Backdoors!BI29=TRUE),VLOOKUP(Calculator!E23,tbSkills!DH3:DJ6,3,FALSE),0),0))&gt;=100,100,(Backdoors!AI12+IF(GB34&gt;=0.45,VLOOKUP(Calculator!E23,tbSkills!DH3:DI6,2,FALSE)+IF(AND(Calculator!B8=TRUE,Backdoors!BI29=TRUE),VLOOKUP(Calculator!E23,tbSkills!DH3:DJ6,3,FALSE),0),0)))/100)),1),1)</f>
        <v>0.8</v>
      </c>
      <c r="GH34" s="87">
        <f t="shared" si="19"/>
        <v>0</v>
      </c>
      <c r="GI34" s="86" t="str">
        <f>IFERROR(IF(VLOOKUP(A34,tbMoveset!A2:B112,2,FALSE)="Sever",Backdoors!AY30/100,IF(VLOOKUP(A34,tbMoveset!A2:B112,2,FALSE)="Blunt",Backdoors!AZ30/100,Backdoors!BA30/100)),"")</f>
        <v/>
      </c>
      <c r="GJ34" s="49">
        <f>IFERROR(IF(VLOOKUP(tbMoveset!A34,tbMoveset!A2:H112,8,FALSE)="Other",IF(VLOOKUP(tbMoveset!A34,tbMoveset!A2:I112,9,FALSE)="Fire",Backdoors!BB30,IF(VLOOKUP(tbMoveset!A34,tbMoveset!A2:I112,9,FALSE)="Water",Backdoors!BC30,IF(VLOOKUP(tbMoveset!A34,tbMoveset!A2:I112,9,FALSE)="Thunder",Backdoors!BD30,IF(VLOOKUP(tbMoveset!A34,tbMoveset!A2:I112,9,FALSE)="Ice",Backdoors!BE30,IF(VLOOKUP(tbMoveset!A34,tbMoveset!A2:I112,9,FALSE)="Dragon",Backdoors!BF30,Backdoors!BG30)))))/100,Backdoors!BG30/100),"")</f>
        <v>0</v>
      </c>
      <c r="GK34" s="49">
        <f>IFERROR(IF(VLOOKUP(A34,tbMoveset!A2:J112,10,FALSE)=TRUE,IF((Backdoors!AI12+IF(GI34&gt;=0.45,VLOOKUP(Calculator!E23,tbSkills!DH3:DI6,2,FALSE)+IF(AND(Calculator!B8=TRUE,Backdoors!BI30=TRUE),VLOOKUP(Calculator!E23,tbSkills!DH3:DJ6,3,FALSE),0),0))&gt;=0,1+(Backdoors!AL2*(IF((Backdoors!AI12+IF(GI34&gt;=0.45,VLOOKUP(Calculator!E23,tbSkills!DH3:DI6,2,FALSE)+IF(AND(Calculator!B8=TRUE,Backdoors!BI30=TRUE),VLOOKUP(Calculator!E23,tbSkills!DH3:DJ6,3,FALSE),0),0))&gt;=100,100,(Backdoors!AI12+IF(GI34&gt;=0.45,VLOOKUP(Calculator!E23,tbSkills!DH3:DI6,2,FALSE)+IF(AND(Calculator!B8=TRUE,Backdoors!BI30=TRUE),VLOOKUP(Calculator!E23,tbSkills!DH3:DJ6,3,FALSE),0),0)))/100)),(1-(0.25*((-Backdoors!AI12-IF(GI34&gt;=0.45,VLOOKUP(Calculator!E23,tbSkills!DH3:DI6,2,FALSE)+IF(AND(Calculator!B8=TRUE,Backdoors!BI30=TRUE),VLOOKUP(Calculator!E23,tbSkills!DH3:DJ6,3,FALSE),0),0))/100)))),1),"")</f>
        <v>1</v>
      </c>
      <c r="GL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I34)*GK34)*(VLOOKUP(A34,tbMoveset!A2:C112,3,FALSE)/100)*IF(VLOOKUP(A34,tbMoveset!A2:B112,2,FALSE)="Projectile",Backdoors!N10,Backdoors!N9),0),"")</f>
        <v/>
      </c>
      <c r="GM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I34&gt;=0.45,VLOOKUP(Calculator!E23,tbSkills!DH3:DI6,2,FALSE)+IF(AND(Calculator!B8=TRUE,Backdoors!BI30=TRUE),VLOOKUP(Calculator!E23,tbSkills!DH3:DJ6,3,FALSE),0),0))&gt;=100,100,(Backdoors!AI12+IF(GI34&gt;=0.45,VLOOKUP(Calculator!E23,tbSkills!DH3:DI6,2,FALSE)+IF(AND(Calculator!B8=TRUE,Backdoors!BI30=TRUE),VLOOKUP(Calculator!E23,tbSkills!DH3:DJ6,3,FALSE),0),0)))/100)),1))*IF(VLOOKUP(A34,tbMoveset!A2:K112,11,FALSE)=TRUE,Backdoors!AC5,1))*GJ34,0),"")</f>
        <v>0</v>
      </c>
      <c r="GN34" s="49">
        <f>VLOOKUP(A34,tbMoveset!A2:G112,7,FALSE)*IFERROR(IF(Backdoors!AI12&gt;=0,1+(IF(Calculator!E40&gt;0,VLOOKUP(Calculator!E40,tbSkills!AI3:AJ5,2,FALSE),Backdoors!AL4)*(IF((Backdoors!AI12+IF(GI34&gt;=0.45,VLOOKUP(Calculator!E23,tbSkills!DH3:DI6,2,FALSE)+IF(AND(Calculator!B8=TRUE,Backdoors!BI30=TRUE),VLOOKUP(Calculator!E23,tbSkills!DH3:DJ6,3,FALSE),0),0))&gt;=100,100,(Backdoors!AI12+IF(GI34&gt;=0.45,VLOOKUP(Calculator!E23,tbSkills!DH3:DI6,2,FALSE)+IF(AND(Calculator!B8=TRUE,Backdoors!BI30=TRUE),VLOOKUP(Calculator!E23,tbSkills!DH3:DJ6,3,FALSE),0),0)))/100)),1),1)</f>
        <v>0.8</v>
      </c>
      <c r="GO34" s="87">
        <f t="shared" si="20"/>
        <v>0</v>
      </c>
      <c r="GP34" s="86" t="str">
        <f>IFERROR(IF(VLOOKUP(A34,tbMoveset!A2:B112,2,FALSE)="Sever",Backdoors!AY31/100,IF(VLOOKUP(A34,tbMoveset!A2:B112,2,FALSE)="Blunt",Backdoors!AZ31/100,Backdoors!BA31/100)),"")</f>
        <v/>
      </c>
      <c r="GQ34" s="49">
        <f>IFERROR(IF(VLOOKUP(tbMoveset!A34,tbMoveset!A2:H112,8,FALSE)="Other",IF(VLOOKUP(tbMoveset!A34,tbMoveset!A2:I112,9,FALSE)="Fire",Backdoors!BB31,IF(VLOOKUP(tbMoveset!A34,tbMoveset!A2:I112,9,FALSE)="Water",Backdoors!BC31,IF(VLOOKUP(tbMoveset!A34,tbMoveset!A2:I112,9,FALSE)="Thunder",Backdoors!BD31,IF(VLOOKUP(tbMoveset!A34,tbMoveset!A2:I112,9,FALSE)="Ice",Backdoors!BE31,IF(VLOOKUP(tbMoveset!A34,tbMoveset!A2:I112,9,FALSE)="Dragon",Backdoors!BF31,Backdoors!BG31)))))/100,Backdoors!BG31/100),"")</f>
        <v>0</v>
      </c>
      <c r="GR34" s="49">
        <f>IFERROR(IF(VLOOKUP(A34,tbMoveset!A2:J112,10,FALSE)=TRUE,IF((Backdoors!AI12+IF(GP34&gt;=0.45,VLOOKUP(Calculator!E23,tbSkills!DH3:DI6,2,FALSE)+IF(AND(Calculator!B8=TRUE,Backdoors!BI31=TRUE),VLOOKUP(Calculator!E23,tbSkills!DH3:DJ6,3,FALSE),0),0))&gt;=0,1+(Backdoors!AL2*(IF((Backdoors!AI12+IF(GP34&gt;=0.45,VLOOKUP(Calculator!E23,tbSkills!DH3:DI6,2,FALSE)+IF(AND(Calculator!B8=TRUE,Backdoors!BI31=TRUE),VLOOKUP(Calculator!E23,tbSkills!DH3:DJ6,3,FALSE),0),0))&gt;=100,100,(Backdoors!AI12+IF(GP34&gt;=0.45,VLOOKUP(Calculator!E23,tbSkills!DH3:DI6,2,FALSE)+IF(AND(Calculator!B8=TRUE,Backdoors!BI31=TRUE),VLOOKUP(Calculator!E23,tbSkills!DH3:DJ6,3,FALSE),0),0)))/100)),(1-(0.25*((-Backdoors!AI12-IF(GP34&gt;=0.45,VLOOKUP(Calculator!E23,tbSkills!DH3:DI6,2,FALSE)+IF(AND(Calculator!B8=TRUE,Backdoors!BI31=TRUE),VLOOKUP(Calculator!E23,tbSkills!DH3:DJ6,3,FALSE),0),0))/100)))),1),"")</f>
        <v>1</v>
      </c>
      <c r="GS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P34)*GR34)*(VLOOKUP(A34,tbMoveset!A2:C112,3,FALSE)/100)*IF(VLOOKUP(A34,tbMoveset!A2:B112,2,FALSE)="Projectile",Backdoors!N10,Backdoors!N9),0),"")</f>
        <v/>
      </c>
      <c r="GT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P34&gt;=0.45,VLOOKUP(Calculator!E23,tbSkills!DH3:DI6,2,FALSE)+IF(AND(Calculator!B8=TRUE,Backdoors!BI31=TRUE),VLOOKUP(Calculator!E23,tbSkills!DH3:DJ6,3,FALSE),0),0))&gt;=100,100,(Backdoors!AI12+IF(GP34&gt;=0.45,VLOOKUP(Calculator!E23,tbSkills!DH3:DI6,2,FALSE)+IF(AND(Calculator!B8=TRUE,Backdoors!BI31=TRUE),VLOOKUP(Calculator!E23,tbSkills!DH3:DJ6,3,FALSE),0),0)))/100)),1))*IF(VLOOKUP(A34,tbMoveset!A2:K112,11,FALSE)=TRUE,Backdoors!AC5,1))*GQ34,0),"")</f>
        <v>0</v>
      </c>
      <c r="GU34" s="49">
        <f>VLOOKUP(A34,tbMoveset!A2:G112,7,FALSE)*IFERROR(IF(Backdoors!AI12&gt;=0,1+(IF(Calculator!E40&gt;0,VLOOKUP(Calculator!E40,tbSkills!AI3:AJ5,2,FALSE),Backdoors!AL4)*(IF((Backdoors!AI12+IF(GP34&gt;=0.45,VLOOKUP(Calculator!E23,tbSkills!DH3:DI6,2,FALSE)+IF(AND(Calculator!B8=TRUE,Backdoors!BI31=TRUE),VLOOKUP(Calculator!E23,tbSkills!DH3:DJ6,3,FALSE),0),0))&gt;=100,100,(Backdoors!AI12+IF(GP34&gt;=0.45,VLOOKUP(Calculator!E23,tbSkills!DH3:DI6,2,FALSE)+IF(AND(Calculator!B8=TRUE,Backdoors!BI31=TRUE),VLOOKUP(Calculator!E23,tbSkills!DH3:DJ6,3,FALSE),0),0)))/100)),1),1)</f>
        <v>0.8</v>
      </c>
      <c r="GV34" s="87">
        <f t="shared" si="21"/>
        <v>0</v>
      </c>
      <c r="GW34" s="86" t="str">
        <f>IFERROR(IF(VLOOKUP(A34,tbMoveset!A2:B112,2,FALSE)="Sever",Backdoors!AY32/100,IF(VLOOKUP(A34,tbMoveset!A2:B112,2,FALSE)="Blunt",Backdoors!AZ32/100,Backdoors!BA32/100)),"")</f>
        <v/>
      </c>
      <c r="GX34" s="49">
        <f>IFERROR(IF(VLOOKUP(tbMoveset!A34,tbMoveset!A2:H112,8,FALSE)="Other",IF(VLOOKUP(tbMoveset!A34,tbMoveset!A2:I112,9,FALSE)="Fire",Backdoors!BB32,IF(VLOOKUP(tbMoveset!A34,tbMoveset!A2:I112,9,FALSE)="Water",Backdoors!BC32,IF(VLOOKUP(tbMoveset!A34,tbMoveset!A2:I112,9,FALSE)="Thunder",Backdoors!BD32,IF(VLOOKUP(tbMoveset!A34,tbMoveset!A2:I112,9,FALSE)="Ice",Backdoors!BE32,IF(VLOOKUP(tbMoveset!A34,tbMoveset!A2:I112,9,FALSE)="Dragon",Backdoors!BF32,Backdoors!BG32)))))/100,Backdoors!BG32/100),"")</f>
        <v>0</v>
      </c>
      <c r="GY34" s="49">
        <f>IFERROR(IF(VLOOKUP(A34,tbMoveset!A2:J112,10,FALSE)=TRUE,IF((Backdoors!AI12+IF(GW34&gt;=0.45,VLOOKUP(Calculator!E23,tbSkills!DH3:DI6,2,FALSE)+IF(AND(Calculator!B8=TRUE,Backdoors!BI32=TRUE),VLOOKUP(Calculator!E23,tbSkills!DH3:DJ6,3,FALSE),0),0))&gt;=0,1+(Backdoors!AL2*(IF((Backdoors!AI12+IF(GW34&gt;=0.45,VLOOKUP(Calculator!E23,tbSkills!DH3:DI6,2,FALSE)+IF(AND(Calculator!B8=TRUE,Backdoors!BI32=TRUE),VLOOKUP(Calculator!E23,tbSkills!DH3:DJ6,3,FALSE),0),0))&gt;=100,100,(Backdoors!AI12+IF(GW34&gt;=0.45,VLOOKUP(Calculator!E23,tbSkills!DH3:DI6,2,FALSE)+IF(AND(Calculator!B8=TRUE,Backdoors!BI32=TRUE),VLOOKUP(Calculator!E23,tbSkills!DH3:DJ6,3,FALSE),0),0)))/100)),(1-(0.25*((-Backdoors!AI12-IF(GW34&gt;=0.45,VLOOKUP(Calculator!E23,tbSkills!DH3:DI6,2,FALSE)+IF(AND(Calculator!B8=TRUE,Backdoors!BI32=TRUE),VLOOKUP(Calculator!E23,tbSkills!DH3:DJ6,3,FALSE),0),0))/100)))),1),"")</f>
        <v>1</v>
      </c>
      <c r="GZ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W34)*GY34)*(VLOOKUP(A34,tbMoveset!A2:C112,3,FALSE)/100)*IF(VLOOKUP(A34,tbMoveset!A2:B112,2,FALSE)="Projectile",Backdoors!N10,Backdoors!N9),0),"")</f>
        <v/>
      </c>
      <c r="HA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W34&gt;=0.45,VLOOKUP(Calculator!E23,tbSkills!DH3:DI6,2,FALSE)+IF(AND(Calculator!B8=TRUE,Backdoors!BI32=TRUE),VLOOKUP(Calculator!E23,tbSkills!DH3:DJ6,3,FALSE),0),0))&gt;=100,100,(Backdoors!AI12+IF(GW34&gt;=0.45,VLOOKUP(Calculator!E23,tbSkills!DH3:DI6,2,FALSE)+IF(AND(Calculator!B8=TRUE,Backdoors!BI32=TRUE),VLOOKUP(Calculator!E23,tbSkills!DH3:DJ6,3,FALSE),0),0)))/100)),1))*IF(VLOOKUP(A34,tbMoveset!A2:K112,11,FALSE)=TRUE,Backdoors!AC5,1))*GX34,0),"")</f>
        <v>0</v>
      </c>
      <c r="HB34" s="49">
        <f>VLOOKUP(A34,tbMoveset!A2:G112,7,FALSE)*IFERROR(IF(Backdoors!AI12&gt;=0,1+(IF(Calculator!E40&gt;0,VLOOKUP(Calculator!E40,tbSkills!AI3:AJ5,2,FALSE),Backdoors!AL4)*(IF((Backdoors!AI12+IF(GW34&gt;=0.45,VLOOKUP(Calculator!E23,tbSkills!DH3:DI6,2,FALSE)+IF(AND(Calculator!B8=TRUE,Backdoors!BI32=TRUE),VLOOKUP(Calculator!E23,tbSkills!DH3:DJ6,3,FALSE),0),0))&gt;=100,100,(Backdoors!AI12+IF(GW34&gt;=0.45,VLOOKUP(Calculator!E23,tbSkills!DH3:DI6,2,FALSE)+IF(AND(Calculator!B8=TRUE,Backdoors!BI32=TRUE),VLOOKUP(Calculator!E23,tbSkills!DH3:DJ6,3,FALSE),0),0)))/100)),1),1)</f>
        <v>0.8</v>
      </c>
      <c r="HC34" s="87">
        <f t="shared" si="22"/>
        <v>0</v>
      </c>
      <c r="HD34" s="86" t="str">
        <f>IFERROR(IF(VLOOKUP(A34,tbMoveset!A2:B112,2,FALSE)="Sever",Backdoors!AY33/100,IF(VLOOKUP(A34,tbMoveset!A2:B112,2,FALSE)="Blunt",Backdoors!AZ33/100,Backdoors!BA33/100)),"")</f>
        <v/>
      </c>
      <c r="HE34" s="49">
        <f>IFERROR(IF(VLOOKUP(tbMoveset!A34,tbMoveset!A2:H112,8,FALSE)="Other",IF(VLOOKUP(tbMoveset!A34,tbMoveset!A2:I112,9,FALSE)="Fire",Backdoors!BB33,IF(VLOOKUP(tbMoveset!A34,tbMoveset!A2:I112,9,FALSE)="Water",Backdoors!BC33,IF(VLOOKUP(tbMoveset!A34,tbMoveset!A2:I112,9,FALSE)="Thunder",Backdoors!BD33,IF(VLOOKUP(tbMoveset!A34,tbMoveset!A2:I112,9,FALSE)="Ice",Backdoors!BE33,IF(VLOOKUP(tbMoveset!A34,tbMoveset!A2:I112,9,FALSE)="Dragon",Backdoors!BF33,Backdoors!BG33)))))/100,Backdoors!BG33/100),"")</f>
        <v>0</v>
      </c>
      <c r="HF34" s="49">
        <f>IFERROR(IF(VLOOKUP(A34,tbMoveset!A2:J112,10,FALSE)=TRUE,IF((Backdoors!AI12+IF(HD34&gt;=0.45,VLOOKUP(Calculator!E23,tbSkills!DH3:DI6,2,FALSE)+IF(AND(Calculator!B8=TRUE,Backdoors!BI33=TRUE),VLOOKUP(Calculator!E23,tbSkills!DH3:DJ6,3,FALSE),0),0))&gt;=0,1+(Backdoors!AL2*(IF((Backdoors!AI12+IF(HD34&gt;=0.45,VLOOKUP(Calculator!E23,tbSkills!DH3:DI6,2,FALSE)+IF(AND(Calculator!B8=TRUE,Backdoors!BI33=TRUE),VLOOKUP(Calculator!E23,tbSkills!DH3:DJ6,3,FALSE),0),0))&gt;=100,100,(Backdoors!AI12+IF(HD34&gt;=0.45,VLOOKUP(Calculator!E23,tbSkills!DH3:DI6,2,FALSE)+IF(AND(Calculator!B8=TRUE,Backdoors!BI33=TRUE),VLOOKUP(Calculator!E23,tbSkills!DH3:DJ6,3,FALSE),0),0)))/100)),(1-(0.25*((-Backdoors!AI12-IF(HD34&gt;=0.45,VLOOKUP(Calculator!E23,tbSkills!DH3:DI6,2,FALSE)+IF(AND(Calculator!B8=TRUE,Backdoors!BI33=TRUE),VLOOKUP(Calculator!E23,tbSkills!DH3:DJ6,3,FALSE),0),0))/100)))),1),"")</f>
        <v>1</v>
      </c>
      <c r="HG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D34)*HF34)*(VLOOKUP(A34,tbMoveset!A2:C112,3,FALSE)/100)*IF(VLOOKUP(A34,tbMoveset!A2:B112,2,FALSE)="Projectile",Backdoors!N10,Backdoors!N9),0),"")</f>
        <v/>
      </c>
      <c r="HH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D34&gt;=0.45,VLOOKUP(Calculator!E23,tbSkills!DH3:DI6,2,FALSE)+IF(AND(Calculator!B8=TRUE,Backdoors!BI33=TRUE),VLOOKUP(Calculator!E23,tbSkills!DH3:DJ6,3,FALSE),0),0))&gt;=100,100,(Backdoors!AI12+IF(HD34&gt;=0.45,VLOOKUP(Calculator!E23,tbSkills!DH3:DI6,2,FALSE)+IF(AND(Calculator!B8=TRUE,Backdoors!BI33=TRUE),VLOOKUP(Calculator!E23,tbSkills!DH3:DJ6,3,FALSE),0),0)))/100)),1))*IF(VLOOKUP(A34,tbMoveset!A2:K112,11,FALSE)=TRUE,Backdoors!AC5,1))*HE34,0),"")</f>
        <v>0</v>
      </c>
      <c r="HI34" s="49">
        <f>VLOOKUP(A34,tbMoveset!A2:G112,7,FALSE)*IFERROR(IF(Backdoors!AI12&gt;=0,1+(IF(Calculator!E40&gt;0,VLOOKUP(Calculator!E40,tbSkills!AI3:AJ5,2,FALSE),Backdoors!AL4)*(IF((Backdoors!AI12+IF(HD34&gt;=0.45,VLOOKUP(Calculator!E23,tbSkills!DH3:DI6,2,FALSE)+IF(AND(Calculator!B8=TRUE,Backdoors!BI33=TRUE),VLOOKUP(Calculator!E23,tbSkills!DH3:DJ6,3,FALSE),0),0))&gt;=100,100,(Backdoors!AI12+IF(HD34&gt;=0.45,VLOOKUP(Calculator!E23,tbSkills!DH3:DI6,2,FALSE)+IF(AND(Calculator!B8=TRUE,Backdoors!BI33=TRUE),VLOOKUP(Calculator!E23,tbSkills!DH3:DJ6,3,FALSE),0),0)))/100)),1),1)</f>
        <v>0.8</v>
      </c>
      <c r="HJ34" s="87">
        <f t="shared" si="23"/>
        <v>0</v>
      </c>
      <c r="HK34" s="86" t="str">
        <f>IFERROR(IF(VLOOKUP(A34,tbMoveset!A2:B112,2,FALSE)="Sever",Backdoors!AY34/100,IF(VLOOKUP(A34,tbMoveset!A2:B112,2,FALSE)="Blunt",Backdoors!AZ34/100,Backdoors!BA34/100)),"")</f>
        <v/>
      </c>
      <c r="HL34" s="49">
        <f>IFERROR(IF(VLOOKUP(tbMoveset!A34,tbMoveset!A2:H112,8,FALSE)="Other",IF(VLOOKUP(tbMoveset!A34,tbMoveset!A2:I112,9,FALSE)="Fire",Backdoors!BB34,IF(VLOOKUP(tbMoveset!A34,tbMoveset!A2:I112,9,FALSE)="Water",Backdoors!BC34,IF(VLOOKUP(tbMoveset!A34,tbMoveset!A2:I112,9,FALSE)="Thunder",Backdoors!BD34,IF(VLOOKUP(tbMoveset!A34,tbMoveset!A2:I112,9,FALSE)="Ice",Backdoors!BE34,IF(VLOOKUP(tbMoveset!A34,tbMoveset!A2:I112,9,FALSE)="Dragon",Backdoors!BF34,Backdoors!BG34)))))/100,Backdoors!BG34/100),"")</f>
        <v>0</v>
      </c>
      <c r="HM34" s="49">
        <f>IFERROR(IF(VLOOKUP(A34,tbMoveset!A2:J112,10,FALSE)=TRUE,IF((Backdoors!AI12+IF(HK34&gt;=0.45,VLOOKUP(Calculator!E23,tbSkills!DH3:DI6,2,FALSE)+IF(AND(Calculator!B8=TRUE,Backdoors!BI34=TRUE),VLOOKUP(Calculator!E23,tbSkills!DH3:DJ6,3,FALSE),0),0))&gt;=0,1+(Backdoors!AL2*(IF((Backdoors!AI12+IF(HK34&gt;=0.45,VLOOKUP(Calculator!E23,tbSkills!DH3:DI6,2,FALSE)+IF(AND(Calculator!B8=TRUE,Backdoors!BI34=TRUE),VLOOKUP(Calculator!E23,tbSkills!DH3:DJ6,3,FALSE),0),0))&gt;=100,100,(Backdoors!AI12+IF(HK34&gt;=0.45,VLOOKUP(Calculator!E23,tbSkills!DH3:DI6,2,FALSE)+IF(AND(Calculator!B8=TRUE,Backdoors!BI34=TRUE),VLOOKUP(Calculator!E23,tbSkills!DH3:DJ6,3,FALSE),0),0)))/100)),(1-(0.25*((-Backdoors!AI12-IF(HK34&gt;=0.45,VLOOKUP(Calculator!E23,tbSkills!DH3:DI6,2,FALSE)+IF(AND(Calculator!B8=TRUE,Backdoors!BI34=TRUE),VLOOKUP(Calculator!E23,tbSkills!DH3:DJ6,3,FALSE),0),0))/100)))),1),"")</f>
        <v>1</v>
      </c>
      <c r="HN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K34)*HM34)*(VLOOKUP(A34,tbMoveset!A2:C112,3,FALSE)/100)*IF(VLOOKUP(A34,tbMoveset!A2:B112,2,FALSE)="Projectile",Backdoors!N10,Backdoors!N9),0),"")</f>
        <v/>
      </c>
      <c r="HO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K34&gt;=0.45,VLOOKUP(Calculator!E23,tbSkills!DH3:DI6,2,FALSE)+IF(AND(Calculator!B8=TRUE,Backdoors!BI34=TRUE),VLOOKUP(Calculator!E23,tbSkills!DH3:DJ6,3,FALSE),0),0))&gt;=100,100,(Backdoors!AI12+IF(HK34&gt;=0.45,VLOOKUP(Calculator!E23,tbSkills!DH3:DI6,2,FALSE)+IF(AND(Calculator!B8=TRUE,Backdoors!BI34=TRUE),VLOOKUP(Calculator!E23,tbSkills!DH3:DJ6,3,FALSE),0),0)))/100)),1))*IF(VLOOKUP(A34,tbMoveset!A2:K112,11,FALSE)=TRUE,Backdoors!AC5,1))*HL34,0),"")</f>
        <v>0</v>
      </c>
      <c r="HP34" s="49">
        <f>VLOOKUP(A34,tbMoveset!A2:G112,7,FALSE)*IFERROR(IF(Backdoors!AI12&gt;=0,1+(IF(Calculator!E40&gt;0,VLOOKUP(Calculator!E40,tbSkills!AI3:AJ5,2,FALSE),Backdoors!AL4)*(IF((Backdoors!AI12+IF(HK34&gt;=0.45,VLOOKUP(Calculator!E23,tbSkills!DH3:DI6,2,FALSE)+IF(AND(Calculator!B8=TRUE,Backdoors!BI34=TRUE),VLOOKUP(Calculator!E23,tbSkills!DH3:DJ6,3,FALSE),0),0))&gt;=100,100,(Backdoors!AI12+IF(HK34&gt;=0.45,VLOOKUP(Calculator!E23,tbSkills!DH3:DI6,2,FALSE)+IF(AND(Calculator!B8=TRUE,Backdoors!BI34=TRUE),VLOOKUP(Calculator!E23,tbSkills!DH3:DJ6,3,FALSE),0),0)))/100)),1),1)</f>
        <v>0.8</v>
      </c>
      <c r="HQ34" s="87">
        <f t="shared" si="24"/>
        <v>0</v>
      </c>
      <c r="HR34" s="86" t="str">
        <f>IFERROR(IF(VLOOKUP(A34,tbMoveset!A2:B112,2,FALSE)="Sever",Backdoors!AY35/100,IF(VLOOKUP(A34,tbMoveset!A2:B112,2,FALSE)="Blunt",Backdoors!AZ35/100,Backdoors!BA35/100)),"")</f>
        <v/>
      </c>
      <c r="HS34" s="49">
        <f>IFERROR(IF(VLOOKUP(tbMoveset!A34,tbMoveset!A2:H112,8,FALSE)="Other",IF(VLOOKUP(tbMoveset!A34,tbMoveset!A2:I112,9,FALSE)="Fire",Backdoors!BB35,IF(VLOOKUP(tbMoveset!A34,tbMoveset!A2:I112,9,FALSE)="Water",Backdoors!BC35,IF(VLOOKUP(tbMoveset!A34,tbMoveset!A2:I112,9,FALSE)="Thunder",Backdoors!BD35,IF(VLOOKUP(tbMoveset!A34,tbMoveset!A2:I112,9,FALSE)="Ice",Backdoors!BE35,IF(VLOOKUP(tbMoveset!A34,tbMoveset!A2:I112,9,FALSE)="Dragon",Backdoors!BF35,Backdoors!BG35)))))/100,Backdoors!BG35/100),"")</f>
        <v>0</v>
      </c>
      <c r="HT34" s="49">
        <f>IFERROR(IF(VLOOKUP(A34,tbMoveset!A2:J112,10,FALSE)=TRUE,IF((Backdoors!AI12+IF(HR34&gt;=0.45,VLOOKUP(Calculator!E23,tbSkills!DH3:DI6,2,FALSE)+IF(AND(Calculator!B8=TRUE,Backdoors!BI35=TRUE),VLOOKUP(Calculator!E23,tbSkills!DH3:DJ6,3,FALSE),0),0))&gt;=0,1+(Backdoors!AL2*(IF((Backdoors!AI12+IF(HR34&gt;=0.45,VLOOKUP(Calculator!E23,tbSkills!DH3:DI6,2,FALSE)+IF(AND(Calculator!B8=TRUE,Backdoors!BI35=TRUE),VLOOKUP(Calculator!E23,tbSkills!DH3:DJ6,3,FALSE),0),0))&gt;=100,100,(Backdoors!AI12+IF(HR34&gt;=0.45,VLOOKUP(Calculator!E23,tbSkills!DH3:DI6,2,FALSE)+IF(AND(Calculator!B8=TRUE,Backdoors!BI35=TRUE),VLOOKUP(Calculator!E23,tbSkills!DH3:DJ6,3,FALSE),0),0)))/100)),(1-(0.25*((-Backdoors!AI12-IF(HR34&gt;=0.45,VLOOKUP(Calculator!E23,tbSkills!DH3:DI6,2,FALSE)+IF(AND(Calculator!B8=TRUE,Backdoors!BI35=TRUE),VLOOKUP(Calculator!E23,tbSkills!DH3:DJ6,3,FALSE),0),0))/100)))),1),"")</f>
        <v>1</v>
      </c>
      <c r="HU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R34)*HT34)*(VLOOKUP(A34,tbMoveset!A2:C112,3,FALSE)/100)*IF(VLOOKUP(A34,tbMoveset!A2:B112,2,FALSE)="Projectile",Backdoors!N10,Backdoors!N9),0),"")</f>
        <v/>
      </c>
      <c r="HV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R34&gt;=0.45,VLOOKUP(Calculator!E23,tbSkills!DH3:DI6,2,FALSE)+IF(AND(Calculator!B8=TRUE,Backdoors!BI35=TRUE),VLOOKUP(Calculator!E23,tbSkills!DH3:DJ6,3,FALSE),0),0))&gt;=100,100,(Backdoors!AI12+IF(HR34&gt;=0.45,VLOOKUP(Calculator!E23,tbSkills!DH3:DI6,2,FALSE)+IF(AND(Calculator!B8=TRUE,Backdoors!BI35=TRUE),VLOOKUP(Calculator!E23,tbSkills!DH3:DJ6,3,FALSE),0),0)))/100)),1))*IF(VLOOKUP(A34,tbMoveset!A2:K112,11,FALSE)=TRUE,Backdoors!AC5,1))*HS34,0),"")</f>
        <v>0</v>
      </c>
      <c r="HW34" s="49">
        <f>VLOOKUP(A34,tbMoveset!A2:G112,7,FALSE)*IFERROR(IF(Backdoors!AI12&gt;=0,1+(IF(Calculator!E40&gt;0,VLOOKUP(Calculator!E40,tbSkills!AI3:AJ5,2,FALSE),Backdoors!AL4)*(IF((Backdoors!AI12+IF(HR34&gt;=0.45,VLOOKUP(Calculator!E23,tbSkills!DH3:DI6,2,FALSE)+IF(AND(Calculator!B8=TRUE,Backdoors!BI35=TRUE),VLOOKUP(Calculator!E23,tbSkills!DH3:DJ6,3,FALSE),0),0))&gt;=100,100,(Backdoors!AI12+IF(HR34&gt;=0.45,VLOOKUP(Calculator!E23,tbSkills!DH3:DI6,2,FALSE)+IF(AND(Calculator!B8=TRUE,Backdoors!BI35=TRUE),VLOOKUP(Calculator!E23,tbSkills!DH3:DJ6,3,FALSE),0),0)))/100)),1),1)</f>
        <v>0.8</v>
      </c>
      <c r="HX34" s="87">
        <f t="shared" si="25"/>
        <v>0</v>
      </c>
      <c r="HY34" s="86" t="str">
        <f>IFERROR(IF(VLOOKUP(A34,tbMoveset!A2:B112,2,FALSE)="Sever",Backdoors!AY36/100,IF(VLOOKUP(A34,tbMoveset!A2:B112,2,FALSE)="Blunt",Backdoors!AZ36/100,Backdoors!BA36/100)),"")</f>
        <v/>
      </c>
      <c r="HZ34" s="49">
        <f>IFERROR(IF(VLOOKUP(tbMoveset!A34,tbMoveset!A2:H112,8,FALSE)="Other",IF(VLOOKUP(tbMoveset!A34,tbMoveset!A2:I112,9,FALSE)="Fire",Backdoors!BB36,IF(VLOOKUP(tbMoveset!A34,tbMoveset!A2:I112,9,FALSE)="Water",Backdoors!BC36,IF(VLOOKUP(tbMoveset!A34,tbMoveset!A2:I112,9,FALSE)="Thunder",Backdoors!BD36,IF(VLOOKUP(tbMoveset!A34,tbMoveset!A2:I112,9,FALSE)="Ice",Backdoors!BE36,IF(VLOOKUP(tbMoveset!A34,tbMoveset!A2:I112,9,FALSE)="Dragon",Backdoors!BF36,Backdoors!BG36)))))/100,Backdoors!BG36/100),"")</f>
        <v>0</v>
      </c>
      <c r="IA34" s="49">
        <f>IFERROR(IF(VLOOKUP(A34,tbMoveset!A2:J112,10,FALSE)=TRUE,IF((Backdoors!AI12+IF(HY34&gt;=0.45,VLOOKUP(Calculator!E23,tbSkills!DH3:DI6,2,FALSE)+IF(AND(Calculator!B8=TRUE,Backdoors!BI36=TRUE),VLOOKUP(Calculator!E23,tbSkills!DH3:DJ6,3,FALSE),0),0))&gt;=0,1+(Backdoors!AL2*(IF((Backdoors!AI12+IF(HY34&gt;=0.45,VLOOKUP(Calculator!E23,tbSkills!DH3:DI6,2,FALSE)+IF(AND(Calculator!B8=TRUE,Backdoors!BI36=TRUE),VLOOKUP(Calculator!E23,tbSkills!DH3:DJ6,3,FALSE),0),0))&gt;=100,100,(Backdoors!AI12+IF(HY34&gt;=0.45,VLOOKUP(Calculator!E23,tbSkills!DH3:DI6,2,FALSE)+IF(AND(Calculator!B8=TRUE,Backdoors!BI36=TRUE),VLOOKUP(Calculator!E23,tbSkills!DH3:DJ6,3,FALSE),0),0)))/100)),(1-(0.25*((-Backdoors!AI12-IF(HY34&gt;=0.45,VLOOKUP(Calculator!E23,tbSkills!DH3:DI6,2,FALSE)+IF(AND(Calculator!B8=TRUE,Backdoors!BI36=TRUE),VLOOKUP(Calculator!E23,tbSkills!DH3:DJ6,3,FALSE),0),0))/100)))),1),"")</f>
        <v>1</v>
      </c>
      <c r="IB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Y34)*IA34)*(VLOOKUP(A34,tbMoveset!A2:C112,3,FALSE)/100)*IF(VLOOKUP(A34,tbMoveset!A2:B112,2,FALSE)="Projectile",Backdoors!N10,Backdoors!N9),0),"")</f>
        <v/>
      </c>
      <c r="IC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Y34&gt;=0.45,VLOOKUP(Calculator!E23,tbSkills!DH3:DI6,2,FALSE)+IF(AND(Calculator!B8=TRUE,Backdoors!BI36=TRUE),VLOOKUP(Calculator!E23,tbSkills!DH3:DJ6,3,FALSE),0),0))&gt;=100,100,(Backdoors!AI12+IF(HY34&gt;=0.45,VLOOKUP(Calculator!E23,tbSkills!DH3:DI6,2,FALSE)+IF(AND(Calculator!B8=TRUE,Backdoors!BI36=TRUE),VLOOKUP(Calculator!E23,tbSkills!DH3:DJ6,3,FALSE),0),0)))/100)),1))*IF(VLOOKUP(A34,tbMoveset!A2:K112,11,FALSE)=TRUE,Backdoors!AC5,1))*HZ34,0),"")</f>
        <v>0</v>
      </c>
      <c r="ID34" s="49">
        <f>VLOOKUP(A34,tbMoveset!A2:G112,7,FALSE)*IFERROR(IF(Backdoors!AI12&gt;=0,1+(IF(Calculator!E40&gt;0,VLOOKUP(Calculator!E40,tbSkills!AI3:AJ5,2,FALSE),Backdoors!AL4)*(IF((Backdoors!AI12+IF(HY34&gt;=0.45,VLOOKUP(Calculator!E23,tbSkills!DH3:DI6,2,FALSE)+IF(AND(Calculator!B8=TRUE,Backdoors!BI36=TRUE),VLOOKUP(Calculator!E23,tbSkills!DH3:DJ6,3,FALSE),0),0))&gt;=100,100,(Backdoors!AI12+IF(HY34&gt;=0.45,VLOOKUP(Calculator!E23,tbSkills!DH3:DI6,2,FALSE)+IF(AND(Calculator!B8=TRUE,Backdoors!BI36=TRUE),VLOOKUP(Calculator!E23,tbSkills!DH3:DJ6,3,FALSE),0),0)))/100)),1),1)</f>
        <v>0.8</v>
      </c>
      <c r="IE34" s="87">
        <f t="shared" si="26"/>
        <v>0</v>
      </c>
      <c r="IF34" s="86" t="str">
        <f>IFERROR(IF(VLOOKUP(A34,tbMoveset!A2:B112,2,FALSE)="Sever",Backdoors!AY37/100,IF(VLOOKUP(A34,tbMoveset!A2:B112,2,FALSE)="Blunt",Backdoors!AZ37/100,Backdoors!BA37/100)),"")</f>
        <v/>
      </c>
      <c r="IG34" s="49">
        <f>IFERROR(IF(VLOOKUP(tbMoveset!A34,tbMoveset!A2:H112,8,FALSE)="Other",IF(VLOOKUP(tbMoveset!A34,tbMoveset!A2:I112,9,FALSE)="Fire",Backdoors!BB37,IF(VLOOKUP(tbMoveset!A34,tbMoveset!A2:I112,9,FALSE)="Water",Backdoors!BC37,IF(VLOOKUP(tbMoveset!A34,tbMoveset!A2:I112,9,FALSE)="Thunder",Backdoors!BD37,IF(VLOOKUP(tbMoveset!A34,tbMoveset!A2:I112,9,FALSE)="Ice",Backdoors!BE37,IF(VLOOKUP(tbMoveset!A34,tbMoveset!A2:I112,9,FALSE)="Dragon",Backdoors!BF37,Backdoors!BG37)))))/100,Backdoors!BG37/100),"")</f>
        <v>0</v>
      </c>
      <c r="IH34" s="49">
        <f>IFERROR(IF(VLOOKUP(A34,tbMoveset!A2:J112,10,FALSE)=TRUE,IF((Backdoors!AI12+IF(IF34&gt;=0.45,VLOOKUP(Calculator!E23,tbSkills!DH3:DI6,2,FALSE)+IF(AND(Calculator!B8=TRUE,Backdoors!BI37=TRUE),VLOOKUP(Calculator!E23,tbSkills!DH3:DJ6,3,FALSE),0),0))&gt;=0,1+(Backdoors!AL2*(IF((Backdoors!AI12+IF(IF34&gt;=0.45,VLOOKUP(Calculator!E23,tbSkills!DH3:DI6,2,FALSE)+IF(AND(Calculator!B8=TRUE,Backdoors!BI37=TRUE),VLOOKUP(Calculator!E23,tbSkills!DH3:DJ6,3,FALSE),0),0))&gt;=100,100,(Backdoors!AI12+IF(IF34&gt;=0.45,VLOOKUP(Calculator!E23,tbSkills!DH3:DI6,2,FALSE)+IF(AND(Calculator!B8=TRUE,Backdoors!BI37=TRUE),VLOOKUP(Calculator!E23,tbSkills!DH3:DJ6,3,FALSE),0),0)))/100)),(1-(0.25*((-Backdoors!AI12-IF(IF34&gt;=0.45,VLOOKUP(Calculator!E23,tbSkills!DH3:DI6,2,FALSE)+IF(AND(Calculator!B8=TRUE,Backdoors!BI37=TRUE),VLOOKUP(Calculator!E23,tbSkills!DH3:DJ6,3,FALSE),0),0))/100)))),1),"")</f>
        <v>1</v>
      </c>
      <c r="II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F34)*IH34)*(VLOOKUP(A34,tbMoveset!A2:C112,3,FALSE)/100)*IF(VLOOKUP(A34,tbMoveset!A2:B112,2,FALSE)="Projectile",Backdoors!N10,Backdoors!N9),0),"")</f>
        <v/>
      </c>
      <c r="IJ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IF34&gt;=0.45,VLOOKUP(Calculator!E23,tbSkills!DH3:DI6,2,FALSE)+IF(AND(Calculator!B8=TRUE,Backdoors!BI37=TRUE),VLOOKUP(Calculator!E23,tbSkills!DH3:DJ6,3,FALSE),0),0))&gt;=100,100,(Backdoors!AI12+IF(IF34&gt;=0.45,VLOOKUP(Calculator!E23,tbSkills!DH3:DI6,2,FALSE)+IF(AND(Calculator!B8=TRUE,Backdoors!BI37=TRUE),VLOOKUP(Calculator!E23,tbSkills!DH3:DJ6,3,FALSE),0),0)))/100)),1))*IF(VLOOKUP(A34,tbMoveset!A2:K112,11,FALSE)=TRUE,Backdoors!AC5,1))*IG34,0),"")</f>
        <v>0</v>
      </c>
      <c r="IK34" s="49">
        <f>VLOOKUP(A34,tbMoveset!A2:G112,7,FALSE)*IFERROR(IF(Backdoors!AI12&gt;=0,1+(IF(Calculator!E40&gt;0,VLOOKUP(Calculator!E40,tbSkills!AI3:AJ5,2,FALSE),Backdoors!AL4)*(IF((Backdoors!AI12+IF(IF34&gt;=0.45,VLOOKUP(Calculator!E23,tbSkills!DH3:DI6,2,FALSE)+IF(AND(Calculator!B8=TRUE,Backdoors!BI37=TRUE),VLOOKUP(Calculator!E23,tbSkills!DH3:DJ6,3,FALSE),0),0))&gt;=100,100,(Backdoors!AI12+IF(IF34&gt;=0.45,VLOOKUP(Calculator!E23,tbSkills!DH3:DI6,2,FALSE)+IF(AND(Calculator!B8=TRUE,Backdoors!BI37=TRUE),VLOOKUP(Calculator!E23,tbSkills!DH3:DJ6,3,FALSE),0),0)))/100)),1),1)</f>
        <v>0.8</v>
      </c>
      <c r="IL34" s="87">
        <f t="shared" si="27"/>
        <v>0</v>
      </c>
      <c r="IM34" s="86" t="str">
        <f>IFERROR(IF(VLOOKUP(A34,tbMoveset!A2:B112,2,FALSE)="Sever",Backdoors!AY38/100,IF(VLOOKUP(A34,tbMoveset!A2:B112,2,FALSE)="Blunt",Backdoors!AZ38/100,Backdoors!BA38/100)),"")</f>
        <v/>
      </c>
      <c r="IN34" s="49">
        <f>IFERROR(IF(VLOOKUP(tbMoveset!A34,tbMoveset!A2:H112,8,FALSE)="Other",IF(VLOOKUP(tbMoveset!A34,tbMoveset!A2:I112,9,FALSE)="Fire",Backdoors!BB38,IF(VLOOKUP(tbMoveset!A34,tbMoveset!A2:I112,9,FALSE)="Water",Backdoors!BC38,IF(VLOOKUP(tbMoveset!A34,tbMoveset!A2:I112,9,FALSE)="Thunder",Backdoors!BD38,IF(VLOOKUP(tbMoveset!A34,tbMoveset!A2:I112,9,FALSE)="Ice",Backdoors!BE38,IF(VLOOKUP(tbMoveset!A34,tbMoveset!A2:I112,9,FALSE)="Dragon",Backdoors!BF38,Backdoors!BG38)))))/100,Backdoors!BG38/100),"")</f>
        <v>0</v>
      </c>
      <c r="IO34" s="49">
        <f>IFERROR(IF(VLOOKUP(A34,tbMoveset!A2:J112,10,FALSE)=TRUE,IF((Backdoors!AI12+IF(IM34&gt;=0.45,VLOOKUP(Calculator!E23,tbSkills!DH3:DI6,2,FALSE)+IF(AND(Calculator!B8=TRUE,Backdoors!BI38=TRUE),VLOOKUP(Calculator!E23,tbSkills!DH3:DJ6,3,FALSE),0),0))&gt;=0,1+(Backdoors!AL2*(IF((Backdoors!AI12+IF(IM34&gt;=0.45,VLOOKUP(Calculator!E23,tbSkills!DH3:DI6,2,FALSE)+IF(AND(Calculator!B8=TRUE,Backdoors!BI38=TRUE),VLOOKUP(Calculator!E23,tbSkills!DH3:DJ6,3,FALSE),0),0))&gt;=100,100,(Backdoors!AI12+IF(IM34&gt;=0.45,VLOOKUP(Calculator!E23,tbSkills!DH3:DI6,2,FALSE)+IF(AND(Calculator!B8=TRUE,Backdoors!BI38=TRUE),VLOOKUP(Calculator!E23,tbSkills!DH3:DJ6,3,FALSE),0),0)))/100)),(1-(0.25*((-Backdoors!AI12-IF(IM34&gt;=0.45,VLOOKUP(Calculator!E23,tbSkills!DH3:DI6,2,FALSE)+IF(AND(Calculator!B8=TRUE,Backdoors!BI38=TRUE),VLOOKUP(Calculator!E23,tbSkills!DH3:DJ6,3,FALSE),0),0))/100)))),1),"")</f>
        <v>1</v>
      </c>
      <c r="IP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M34)*IO34)*(VLOOKUP(A34,tbMoveset!A2:C112,3,FALSE)/100)*IF(VLOOKUP(A34,tbMoveset!A2:B112,2,FALSE)="Projectile",Backdoors!N10,Backdoors!N9),0),"")</f>
        <v/>
      </c>
      <c r="IQ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IM34&gt;=0.45,VLOOKUP(Calculator!E23,tbSkills!DH3:DI6,2,FALSE)+IF(AND(Calculator!B8=TRUE,Backdoors!BI38=TRUE),VLOOKUP(Calculator!E23,tbSkills!DH3:DJ6,3,FALSE),0),0))&gt;=100,100,(Backdoors!AI12+IF(IM34&gt;=0.45,VLOOKUP(Calculator!E23,tbSkills!DH3:DI6,2,FALSE)+IF(AND(Calculator!B8=TRUE,Backdoors!BI38=TRUE),VLOOKUP(Calculator!E23,tbSkills!DH3:DJ6,3,FALSE),0),0)))/100)),1))*IF(VLOOKUP(A34,tbMoveset!A2:K112,11,FALSE)=TRUE,Backdoors!AC5,1))*IN34,0),"")</f>
        <v>0</v>
      </c>
      <c r="IR34" s="49">
        <f>VLOOKUP(A34,tbMoveset!A2:G112,7,FALSE)*IFERROR(IF(Backdoors!AI12&gt;=0,1+(IF(Calculator!E40&gt;0,VLOOKUP(Calculator!E40,tbSkills!AI3:AJ5,2,FALSE),Backdoors!AL4)*(IF((Backdoors!AI12+IF(IM34&gt;=0.45,VLOOKUP(Calculator!E23,tbSkills!DH3:DI6,2,FALSE)+IF(AND(Calculator!B8=TRUE,Backdoors!BI38=TRUE),VLOOKUP(Calculator!E23,tbSkills!DH3:DJ6,3,FALSE),0),0))&gt;=100,100,(Backdoors!AI12+IF(IM34&gt;=0.45,VLOOKUP(Calculator!E23,tbSkills!DH3:DI6,2,FALSE)+IF(AND(Calculator!B8=TRUE,Backdoors!BI38=TRUE),VLOOKUP(Calculator!E23,tbSkills!DH3:DJ6,3,FALSE),0),0)))/100)),1),1)</f>
        <v>0.8</v>
      </c>
      <c r="IS34" s="87">
        <f t="shared" si="42"/>
        <v>0</v>
      </c>
      <c r="IT34" s="86" t="str">
        <f>IFERROR(IF(VLOOKUP(A34,tbMoveset!A2:B112,2,FALSE)="Sever",Backdoors!AY39/100,IF(VLOOKUP(A34,tbMoveset!A2:B112,2,FALSE)="Blunt",Backdoors!AZ39/100,Backdoors!BA39/100)),"")</f>
        <v/>
      </c>
      <c r="IU34" s="49">
        <f>IFERROR(IF(VLOOKUP(tbMoveset!A34,tbMoveset!A2:H112,8,FALSE)="Other",IF(VLOOKUP(tbMoveset!A34,tbMoveset!A2:I112,9,FALSE)="Fire",Backdoors!BB39,IF(VLOOKUP(tbMoveset!A34,tbMoveset!A2:I112,9,FALSE)="Water",Backdoors!BC39,IF(VLOOKUP(tbMoveset!A34,tbMoveset!A2:I112,9,FALSE)="Thunder",Backdoors!BD39,IF(VLOOKUP(tbMoveset!A34,tbMoveset!A2:I112,9,FALSE)="Ice",Backdoors!BE39,IF(VLOOKUP(tbMoveset!A34,tbMoveset!A2:I112,9,FALSE)="Dragon",Backdoors!BF39,Backdoors!BG39)))))/100,Backdoors!BG39/100),"")</f>
        <v>0</v>
      </c>
      <c r="IV34" s="49">
        <f>IFERROR(IF(VLOOKUP(A34,tbMoveset!A2:J112,10,FALSE)=TRUE,IF((Backdoors!AI12+IF(IT34&gt;=0.45,VLOOKUP(Calculator!E23,tbSkills!DH3:DI6,2,FALSE)+IF(AND(Calculator!B8=TRUE,Backdoors!BI39=TRUE),VLOOKUP(Calculator!E23,tbSkills!DH3:DJ6,3,FALSE),0),0))&gt;=0,1+(Backdoors!AL2*(IF((Backdoors!AI12+IF(IT34&gt;=0.45,VLOOKUP(Calculator!E23,tbSkills!DH3:DI6,2,FALSE)+IF(AND(Calculator!B8=TRUE,Backdoors!BI39=TRUE),VLOOKUP(Calculator!E23,tbSkills!DH3:DJ6,3,FALSE),0),0))&gt;=100,100,(Backdoors!AI12+IF(IT34&gt;=0.45,VLOOKUP(Calculator!E23,tbSkills!DH3:DI6,2,FALSE)+IF(AND(Calculator!B8=TRUE,Backdoors!BI39=TRUE),VLOOKUP(Calculator!E23,tbSkills!DH3:DJ6,3,FALSE),0),0)))/100)),(1-(0.25*((-Backdoors!AI12-IF(IT34&gt;=0.45,VLOOKUP(Calculator!E23,tbSkills!DH3:DI6,2,FALSE)+IF(AND(Calculator!B8=TRUE,Backdoors!BI39=TRUE),VLOOKUP(Calculator!E23,tbSkills!DH3:DJ6,3,FALSE),0),0))/100)))),1),"")</f>
        <v>1</v>
      </c>
      <c r="IW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T34)*IV34)*(VLOOKUP(A34,tbMoveset!A2:C112,3,FALSE)/100)*IF(VLOOKUP(A34,tbMoveset!A2:B112,2,FALSE)="Projectile",Backdoors!N10,Backdoors!N9),0),"")</f>
        <v/>
      </c>
      <c r="IX34" s="49">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40&gt;0,VLOOKUP(Calculator!E40,tbSkills!AC3:AD5,2,FALSE),Backdoors!AL3)*(IF((Backdoors!AI12+IF(IT34&gt;=0.45,VLOOKUP(Calculator!E23,tbSkills!DH3:DI6,2,FALSE)+IF(AND(Calculator!B8=TRUE,Backdoors!BI39=TRUE),VLOOKUP(Calculator!E23,tbSkills!DH3:DJ6,3,FALSE),0),0))&gt;=100,100,(Backdoors!AI12+IF(IT34&gt;=0.45,VLOOKUP(Calculator!E23,tbSkills!DH3:DI6,2,FALSE)+IF(AND(Calculator!B8=TRUE,Backdoors!BI39=TRUE),VLOOKUP(Calculator!E23,tbSkills!DH3:DJ6,3,FALSE),0),0)))/100)),1))*IF(VLOOKUP(A34,tbMoveset!A2:K112,11,FALSE)=TRUE,Backdoors!AC5,1))*IU34,0),"")</f>
        <v>0</v>
      </c>
      <c r="IY34" s="49">
        <f>VLOOKUP(A34,tbMoveset!A2:G112,7,FALSE)*IFERROR(IF(Backdoors!AI12&gt;=0,1+(IF(Calculator!E40&gt;0,VLOOKUP(Calculator!E40,tbSkills!AI3:AJ5,2,FALSE),Backdoors!AL4)*(IF((Backdoors!AI12+IF(IT34&gt;=0.45,VLOOKUP(Calculator!E23,tbSkills!DH3:DI6,2,FALSE)+IF(AND(Calculator!B8=TRUE,Backdoors!BI39=TRUE),VLOOKUP(Calculator!E23,tbSkills!DH3:DJ6,3,FALSE),0),0))&gt;=100,100,(Backdoors!AI12+IF(IT34&gt;=0.45,VLOOKUP(Calculator!E23,tbSkills!DH3:DI6,2,FALSE)+IF(AND(Calculator!B8=TRUE,Backdoors!BI39=TRUE),VLOOKUP(Calculator!E23,tbSkills!DH3:DJ6,3,FALSE),0),0)))/100)),1),1)</f>
        <v>0.8</v>
      </c>
      <c r="IZ34" s="87">
        <f t="shared" si="28"/>
        <v>0</v>
      </c>
      <c r="JA34" s="86" t="str">
        <f>IFERROR(IF(VLOOKUP(A34,tbMoveset!A2:B112,2,FALSE)="Sever",Backdoors!AY40/100,IF(VLOOKUP(A34,tbMoveset!A2:B112,2,FALSE)="Blunt",Backdoors!AZ40/100,Backdoors!BA40/100)),"")</f>
        <v/>
      </c>
      <c r="JB34" s="49">
        <f>IFERROR(IF(VLOOKUP(tbMoveset!A34,tbMoveset!A2:H112,8,FALSE)="Other",IF(VLOOKUP(tbMoveset!A34,tbMoveset!A2:I112,9,FALSE)="Fire",Backdoors!BB40,IF(VLOOKUP(tbMoveset!A34,tbMoveset!A2:I112,9,FALSE)="Water",Backdoors!BC40,IF(VLOOKUP(tbMoveset!A34,tbMoveset!A2:I112,9,FALSE)="Thunder",Backdoors!BD40,IF(VLOOKUP(tbMoveset!A34,tbMoveset!A2:I112,9,FALSE)="Ice",Backdoors!BE40,IF(VLOOKUP(tbMoveset!A34,tbMoveset!A2:I112,9,FALSE)="Dragon",Backdoors!BF40,Backdoors!BG40)))))/100,Backdoors!BG40/100),"")</f>
        <v>0</v>
      </c>
      <c r="JC34" s="49">
        <f>IFERROR(IF(VLOOKUP(A34,tbMoveset!A2:J112,10,FALSE)=TRUE,IF((Backdoors!AI12+IF(JA34&gt;=0.45,VLOOKUP(Calculator!E23,tbSkills!DH3:DI6,2,FALSE)+IF(AND(Calculator!B8=TRUE,Backdoors!BI40=TRUE),VLOOKUP(Calculator!E23,tbSkills!DH3:DJ6,3,FALSE),0),0))&gt;=0,1+(Backdoors!AL2*(IF((Backdoors!AI12+IF(JA34&gt;=0.45,VLOOKUP(Calculator!E23,tbSkills!DH3:DI6,2,FALSE)+IF(AND(Calculator!B8=TRUE,Backdoors!BI40=TRUE),VLOOKUP(Calculator!E23,tbSkills!DH3:DJ6,3,FALSE),0),0))&gt;=100,100,(Backdoors!AI12+IF(JA34&gt;=0.45,VLOOKUP(Calculator!E23,tbSkills!DH3:DI6,2,FALSE)+IF(AND(Calculator!B8=TRUE,Backdoors!BI40=TRUE),VLOOKUP(Calculator!E23,tbSkills!DH3:DJ6,3,FALSE),0),0)))/100)),(1-(0.25*((-Backdoors!AI12-IF(JA34&gt;=0.45,VLOOKUP(Calculator!E23,tbSkills!DH3:DI6,2,FALSE)+IF(AND(Calculator!B8=TRUE,Backdoors!BI40=TRUE),VLOOKUP(Calculator!E23,tbSkills!DH3:DJ6,3,FALSE),0),0))/100)))),1),"")</f>
        <v>1</v>
      </c>
      <c r="JD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A34)*JC34)*(VLOOKUP(A34,tbMoveset!A2:C112,3,FALSE)/100)*IF(VLOOKUP(A34,tbMoveset!A2:B112,2,FALSE)="Projectile",Backdoors!N10,Backdoors!N9),0),"")</f>
        <v/>
      </c>
      <c r="JE34" s="49">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42&gt;0,VLOOKUP(Calculator!E42,tbSkills!AC3:AD5,2,FALSE),Backdoors!AL3)*(IF((Backdoors!AI12+IF(JA34&gt;=0.45,VLOOKUP(Calculator!E23,tbSkills!DH3:DI6,2,FALSE)+IF(AND(Calculator!B8=TRUE,Backdoors!BI40=TRUE),VLOOKUP(Calculator!E23,tbSkills!DH3:DJ6,3,FALSE),0),0))&gt;=100,100,(Backdoors!AI12+IF(JA34&gt;=0.45,VLOOKUP(Calculator!E23,tbSkills!DH3:DI6,2,FALSE)+IF(AND(Calculator!B8=TRUE,Backdoors!BI40=TRUE),VLOOKUP(Calculator!E23,tbSkills!DH3:DJ6,3,FALSE),0),0)))/100)),1))*IF(VLOOKUP(A34,tbMoveset!A2:K112,11,FALSE)=TRUE,Backdoors!AC5,1))*JB34,0),"")</f>
        <v>0</v>
      </c>
      <c r="JF34" s="49">
        <f>VLOOKUP(A34,tbMoveset!A2:G112,7,FALSE)*IFERROR(IF(Backdoors!AI12&gt;=0,1+(IF(Calculator!E40&gt;0,VLOOKUP(Calculator!E40,tbSkills!AI3:AJ5,2,FALSE),Backdoors!AL4)*(IF((Backdoors!AI12+IF(JA34&gt;=0.45,VLOOKUP(Calculator!E23,tbSkills!DH3:DI6,2,FALSE)+IF(AND(Calculator!B8=TRUE,Backdoors!BI40=TRUE),VLOOKUP(Calculator!E23,tbSkills!DH3:DJ6,3,FALSE),0),0))&gt;=100,100,(Backdoors!AI12+IF(JA34&gt;=0.45,VLOOKUP(Calculator!E23,tbSkills!DH3:DI6,2,FALSE)+IF(AND(Calculator!B8=TRUE,Backdoors!BI40=TRUE),VLOOKUP(Calculator!E23,tbSkills!DH3:DJ6,3,FALSE),0),0)))/100)),1),1)</f>
        <v>0.8</v>
      </c>
      <c r="JG34" s="87">
        <f t="shared" si="29"/>
        <v>0</v>
      </c>
      <c r="JH34" s="86" t="str">
        <f>IFERROR(IF(VLOOKUP(A34,tbMoveset!A2:B112,2,FALSE)="Sever",Backdoors!AY41/100,IF(VLOOKUP(A34,tbMoveset!A2:B112,2,FALSE)="Blunt",Backdoors!AZ41/100,Backdoors!BA41/100)),"")</f>
        <v/>
      </c>
      <c r="JI34" s="49">
        <f>IFERROR(IF(VLOOKUP(tbMoveset!A34,tbMoveset!A2:H112,8,FALSE)="Other",IF(VLOOKUP(tbMoveset!A34,tbMoveset!A2:I112,9,FALSE)="Fire",Backdoors!BB41,IF(VLOOKUP(tbMoveset!A34,tbMoveset!A2:I112,9,FALSE)="Water",Backdoors!BC41,IF(VLOOKUP(tbMoveset!A34,tbMoveset!A2:I112,9,FALSE)="Thunder",Backdoors!BD41,IF(VLOOKUP(tbMoveset!A34,tbMoveset!A2:I112,9,FALSE)="Ice",Backdoors!BE41,IF(VLOOKUP(tbMoveset!A34,tbMoveset!A2:I112,9,FALSE)="Dragon",Backdoors!BF41,Backdoors!BG41)))))/100,Backdoors!BG41/100),"")</f>
        <v>0</v>
      </c>
      <c r="JJ34" s="49">
        <f>IFERROR(IF(VLOOKUP(A34,tbMoveset!A2:J112,10,FALSE)=TRUE,IF((Backdoors!AI12+IF(JH34&gt;=0.45,VLOOKUP(Calculator!E23,tbSkills!DH3:DI6,2,FALSE)+IF(AND(Calculator!B8=TRUE,Backdoors!BI41=TRUE),VLOOKUP(Calculator!E23,tbSkills!DH3:DJ6,3,FALSE),0),0))&gt;=0,1+(Backdoors!AL2*(IF((Backdoors!AI12+IF(JH34&gt;=0.45,VLOOKUP(Calculator!E23,tbSkills!DH3:DI6,2,FALSE)+IF(AND(Calculator!B8=TRUE,Backdoors!BI41=TRUE),VLOOKUP(Calculator!E23,tbSkills!DH3:DJ6,3,FALSE),0),0))&gt;=100,100,(Backdoors!AI12+IF(JH34&gt;=0.45,VLOOKUP(Calculator!E23,tbSkills!DH3:DI6,2,FALSE)+IF(AND(Calculator!B8=TRUE,Backdoors!BI41=TRUE),VLOOKUP(Calculator!E23,tbSkills!DH3:DJ6,3,FALSE),0),0)))/100)),(1-(0.25*((-Backdoors!AI12-IF(JH34&gt;=0.45,VLOOKUP(Calculator!E23,tbSkills!DH3:DI6,2,FALSE)+IF(AND(Calculator!B8=TRUE,Backdoors!BI41=TRUE),VLOOKUP(Calculator!E23,tbSkills!DH3:DJ6,3,FALSE),0),0))/100)))),1),"")</f>
        <v>1</v>
      </c>
      <c r="JK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H34)*JJ34)*(VLOOKUP(A34,tbMoveset!A2:C112,3,FALSE)/100)*IF(VLOOKUP(A34,tbMoveset!A2:B112,2,FALSE)="Projectile",Backdoors!N10,Backdoors!N9),0),"")</f>
        <v/>
      </c>
      <c r="JL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43&gt;0,VLOOKUP(Calculator!E43,tbSkills!AC3:AD5,2,FALSE),Backdoors!AL3)*(IF((Backdoors!AI12+IF(JH34&gt;=0.45,VLOOKUP(Calculator!E23,tbSkills!DH3:DI6,2,FALSE)+IF(AND(Calculator!B8=TRUE,Backdoors!BI41=TRUE),VLOOKUP(Calculator!E23,tbSkills!DH3:DJ6,3,FALSE),0),0))&gt;=100,100,(Backdoors!AI12+IF(JH34&gt;=0.45,VLOOKUP(Calculator!E23,tbSkills!DH3:DI6,2,FALSE)+IF(AND(Calculator!B8=TRUE,Backdoors!BI41=TRUE),VLOOKUP(Calculator!E23,tbSkills!DH3:DJ6,3,FALSE),0),0)))/100)),1))*IF(VLOOKUP(A34,tbMoveset!A2:K112,11,FALSE)=TRUE,Backdoors!AC5,1))*JI34,0),"")</f>
        <v/>
      </c>
      <c r="JM34" s="49">
        <f>VLOOKUP(A34,tbMoveset!A2:G112,7,FALSE)*IFERROR(IF(Backdoors!AI12&gt;=0,1+(IF(Calculator!E40&gt;0,VLOOKUP(Calculator!E40,tbSkills!AI3:AJ5,2,FALSE),Backdoors!AL4)*(IF((Backdoors!AI12+IF(JH34&gt;=0.45,VLOOKUP(Calculator!E23,tbSkills!DH3:DI6,2,FALSE)+IF(AND(Calculator!B8=TRUE,Backdoors!BI41=TRUE),VLOOKUP(Calculator!E23,tbSkills!DH3:DJ6,3,FALSE),0),0))&gt;=100,100,(Backdoors!AI12+IF(JH34&gt;=0.45,VLOOKUP(Calculator!E23,tbSkills!DH3:DI6,2,FALSE)+IF(AND(Calculator!B8=TRUE,Backdoors!BI41=TRUE),VLOOKUP(Calculator!E23,tbSkills!DH3:DJ6,3,FALSE),0),0)))/100)),1),1)</f>
        <v>0.8</v>
      </c>
      <c r="JN34" s="87">
        <f t="shared" si="30"/>
        <v>0</v>
      </c>
      <c r="JO34" s="86" t="str">
        <f>IFERROR(IF(VLOOKUP(A34,tbMoveset!A2:B112,2,FALSE)="Sever",Backdoors!AY42/100,IF(VLOOKUP(A34,tbMoveset!A2:B112,2,FALSE)="Blunt",Backdoors!AZ42/100,Backdoors!BA42/100)),"")</f>
        <v/>
      </c>
      <c r="JP34" s="49">
        <f>IFERROR(IF(VLOOKUP(tbMoveset!A34,tbMoveset!A2:H112,8,FALSE)="Other",IF(VLOOKUP(tbMoveset!A34,tbMoveset!A2:I112,9,FALSE)="Fire",Backdoors!BB42,IF(VLOOKUP(tbMoveset!A34,tbMoveset!A2:I112,9,FALSE)="Water",Backdoors!BC42,IF(VLOOKUP(tbMoveset!A34,tbMoveset!A2:I112,9,FALSE)="Thunder",Backdoors!BD42,IF(VLOOKUP(tbMoveset!A34,tbMoveset!A2:I112,9,FALSE)="Ice",Backdoors!BE42,IF(VLOOKUP(tbMoveset!A34,tbMoveset!A2:I112,9,FALSE)="Dragon",Backdoors!BF42,Backdoors!BG42)))))/100,Backdoors!BG42/100),"")</f>
        <v>0</v>
      </c>
      <c r="JQ34" s="49">
        <f>IFERROR(IF(VLOOKUP(A34,tbMoveset!A2:J112,10,FALSE)=TRUE,IF((Backdoors!AI12+IF(JO34&gt;=0.45,VLOOKUP(Calculator!E23,tbSkills!DH3:DI6,2,FALSE)+IF(AND(Calculator!B8=TRUE,Backdoors!BI42=TRUE),VLOOKUP(Calculator!E23,tbSkills!DH3:DJ6,3,FALSE),0),0))&gt;=0,1+(Backdoors!AL2*(IF((Backdoors!AI12+IF(JO34&gt;=0.45,VLOOKUP(Calculator!E23,tbSkills!DH3:DI6,2,FALSE)+IF(AND(Calculator!B8=TRUE,Backdoors!BI42=TRUE),VLOOKUP(Calculator!E23,tbSkills!DH3:DJ6,3,FALSE),0),0))&gt;=100,100,(Backdoors!AI12+IF(JO34&gt;=0.45,VLOOKUP(Calculator!E23,tbSkills!DH3:DI6,2,FALSE)+IF(AND(Calculator!B8=TRUE,Backdoors!BI42=TRUE),VLOOKUP(Calculator!E23,tbSkills!DH3:DJ6,3,FALSE),0),0)))/100)),(1-(0.25*((-Backdoors!AI12-IF(JO34&gt;=0.45,VLOOKUP(Calculator!E23,tbSkills!DH3:DI6,2,FALSE)+IF(AND(Calculator!B8=TRUE,Backdoors!BI42=TRUE),VLOOKUP(Calculator!E23,tbSkills!DH3:DJ6,3,FALSE),0),0))/100)))),1),"")</f>
        <v>1</v>
      </c>
      <c r="JR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O34)*JQ34)*(VLOOKUP(A34,tbMoveset!A2:C112,3,FALSE)/100)*IF(VLOOKUP(A34,tbMoveset!A2:B112,2,FALSE)="Projectile",Backdoors!N10,Backdoors!N9),0),"")</f>
        <v/>
      </c>
      <c r="JS34" s="49">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45&gt;0,VLOOKUP(Calculator!E45,tbSkills!AC3:AD5,2,FALSE),Backdoors!AL3)*(IF((Backdoors!AI12+IF(JO34&gt;=0.45,VLOOKUP(Calculator!E23,tbSkills!DH3:DI6,2,FALSE)+IF(AND(Calculator!B8=TRUE,Backdoors!BI42=TRUE),VLOOKUP(Calculator!E23,tbSkills!DH3:DJ6,3,FALSE),0),0))&gt;=100,100,(Backdoors!AI12+IF(JO34&gt;=0.45,VLOOKUP(Calculator!E23,tbSkills!DH3:DI6,2,FALSE)+IF(AND(Calculator!B8=TRUE,Backdoors!BI42=TRUE),VLOOKUP(Calculator!E23,tbSkills!DH3:DJ6,3,FALSE),0),0)))/100)),1))*IF(VLOOKUP(A34,tbMoveset!A2:K112,11,FALSE)=TRUE,Backdoors!AC5,1))*JP34,0),"")</f>
        <v>0</v>
      </c>
      <c r="JT34" s="49">
        <f>VLOOKUP(A34,tbMoveset!A2:G112,7,FALSE)*IFERROR(IF(Backdoors!AI12&gt;=0,1+(IF(Calculator!E40&gt;0,VLOOKUP(Calculator!E40,tbSkills!AI3:AJ5,2,FALSE),Backdoors!AL4)*(IF((Backdoors!AI12+IF(JO34&gt;=0.45,VLOOKUP(Calculator!E23,tbSkills!DH3:DI6,2,FALSE)+IF(AND(Calculator!B8=TRUE,Backdoors!BI42=TRUE),VLOOKUP(Calculator!E23,tbSkills!DH3:DJ6,3,FALSE),0),0))&gt;=100,100,(Backdoors!AI12+IF(JO34&gt;=0.45,VLOOKUP(Calculator!E23,tbSkills!DH3:DI6,2,FALSE)+IF(AND(Calculator!B8=TRUE,Backdoors!BI42=TRUE),VLOOKUP(Calculator!E23,tbSkills!DH3:DJ6,3,FALSE),0),0)))/100)),1),1)</f>
        <v>0.8</v>
      </c>
      <c r="JU34" s="87">
        <f t="shared" si="31"/>
        <v>0</v>
      </c>
      <c r="JV34" s="86" t="str">
        <f>IFERROR(IF(VLOOKUP(A34,tbMoveset!A2:B112,2,FALSE)="Sever",Backdoors!AY43/100,IF(VLOOKUP(A34,tbMoveset!A2:B112,2,FALSE)="Blunt",Backdoors!AZ43/100,Backdoors!BA43/100)),"")</f>
        <v/>
      </c>
      <c r="JW34" s="49">
        <f>IFERROR(IF(VLOOKUP(tbMoveset!A34,tbMoveset!A2:H112,8,FALSE)="Other",IF(VLOOKUP(tbMoveset!A34,tbMoveset!A2:I112,9,FALSE)="Fire",Backdoors!BB43,IF(VLOOKUP(tbMoveset!A34,tbMoveset!A2:I112,9,FALSE)="Water",Backdoors!BC43,IF(VLOOKUP(tbMoveset!A34,tbMoveset!A2:I112,9,FALSE)="Thunder",Backdoors!BD43,IF(VLOOKUP(tbMoveset!A34,tbMoveset!A2:I112,9,FALSE)="Ice",Backdoors!BE43,IF(VLOOKUP(tbMoveset!A34,tbMoveset!A2:I112,9,FALSE)="Dragon",Backdoors!BF43,Backdoors!BG43)))))/100,Backdoors!BG43/100),"")</f>
        <v>0</v>
      </c>
      <c r="JX34" s="49">
        <f>IFERROR(IF(VLOOKUP(A34,tbMoveset!A2:J112,10,FALSE)=TRUE,IF((Backdoors!AI12+IF(JV34&gt;=0.45,VLOOKUP(Calculator!E23,tbSkills!DH3:DI6,2,FALSE)+IF(AND(Calculator!B8=TRUE,Backdoors!BI43=TRUE),VLOOKUP(Calculator!E23,tbSkills!DH3:DJ6,3,FALSE),0),0))&gt;=0,1+(Backdoors!AL2*(IF((Backdoors!AI12+IF(JV34&gt;=0.45,VLOOKUP(Calculator!E23,tbSkills!DH3:DI6,2,FALSE)+IF(AND(Calculator!B8=TRUE,Backdoors!BI43=TRUE),VLOOKUP(Calculator!E23,tbSkills!DH3:DJ6,3,FALSE),0),0))&gt;=100,100,(Backdoors!AI12+IF(JV34&gt;=0.45,VLOOKUP(Calculator!E23,tbSkills!DH3:DI6,2,FALSE)+IF(AND(Calculator!B8=TRUE,Backdoors!BI43=TRUE),VLOOKUP(Calculator!E23,tbSkills!DH3:DJ6,3,FALSE),0),0)))/100)),(1-(0.25*((-Backdoors!AI12-IF(JV34&gt;=0.45,VLOOKUP(Calculator!E23,tbSkills!DH3:DI6,2,FALSE)+IF(AND(Calculator!B8=TRUE,Backdoors!BI43=TRUE),VLOOKUP(Calculator!E23,tbSkills!DH3:DJ6,3,FALSE),0),0))/100)))),1),"")</f>
        <v>1</v>
      </c>
      <c r="JY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V34)*JX34)*(VLOOKUP(A34,tbMoveset!A2:C112,3,FALSE)/100)*IF(VLOOKUP(A34,tbMoveset!A2:B112,2,FALSE)="Projectile",Backdoors!N10,Backdoors!N9),0),"")</f>
        <v/>
      </c>
      <c r="JZ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46&gt;0,VLOOKUP(Calculator!E46,tbSkills!AC3:AD5,2,FALSE),Backdoors!AL3)*(IF((Backdoors!AI12+IF(JV34&gt;=0.45,VLOOKUP(Calculator!E23,tbSkills!DH3:DI6,2,FALSE)+IF(AND(Calculator!B8=TRUE,Backdoors!BI43=TRUE),VLOOKUP(Calculator!E23,tbSkills!DH3:DJ6,3,FALSE),0),0))&gt;=100,100,(Backdoors!AI12+IF(JV34&gt;=0.45,VLOOKUP(Calculator!E23,tbSkills!DH3:DI6,2,FALSE)+IF(AND(Calculator!B8=TRUE,Backdoors!BI43=TRUE),VLOOKUP(Calculator!E23,tbSkills!DH3:DJ6,3,FALSE),0),0)))/100)),1))*IF(VLOOKUP(A34,tbMoveset!A2:K112,11,FALSE)=TRUE,Backdoors!AC5,1))*JW34,0),"")</f>
        <v/>
      </c>
      <c r="KA34" s="49">
        <f>VLOOKUP(A34,tbMoveset!A2:G112,7,FALSE)*IFERROR(IF(Backdoors!AI12&gt;=0,1+(IF(Calculator!E40&gt;0,VLOOKUP(Calculator!E40,tbSkills!AI3:AJ5,2,FALSE),Backdoors!AL4)*(IF((Backdoors!AI12+IF(JV34&gt;=0.45,VLOOKUP(Calculator!E23,tbSkills!DH3:DI6,2,FALSE)+IF(AND(Calculator!B8=TRUE,Backdoors!BI43=TRUE),VLOOKUP(Calculator!E23,tbSkills!DH3:DJ6,3,FALSE),0),0))&gt;=100,100,(Backdoors!AI12+IF(JV34&gt;=0.45,VLOOKUP(Calculator!E23,tbSkills!DH3:DI6,2,FALSE)+IF(AND(Calculator!B8=TRUE,Backdoors!BI43=TRUE),VLOOKUP(Calculator!E23,tbSkills!DH3:DJ6,3,FALSE),0),0)))/100)),1),1)</f>
        <v>0.8</v>
      </c>
      <c r="KB34" s="87">
        <f t="shared" si="32"/>
        <v>0</v>
      </c>
      <c r="KC34" s="86" t="str">
        <f>IFERROR(IF(VLOOKUP(A34,tbMoveset!A2:B112,2,FALSE)="Sever",Backdoors!AY44/100,IF(VLOOKUP(A34,tbMoveset!A2:B112,2,FALSE)="Blunt",Backdoors!AZ44/100,Backdoors!BA44/100)),"")</f>
        <v/>
      </c>
      <c r="KD34" s="49">
        <f>IFERROR(IF(VLOOKUP(tbMoveset!A34,tbMoveset!A2:H112,8,FALSE)="Other",IF(VLOOKUP(tbMoveset!A34,tbMoveset!A2:I112,9,FALSE)="Fire",Backdoors!BB44,IF(VLOOKUP(tbMoveset!A34,tbMoveset!A2:I112,9,FALSE)="Water",Backdoors!BC44,IF(VLOOKUP(tbMoveset!A34,tbMoveset!A2:I112,9,FALSE)="Thunder",Backdoors!BD44,IF(VLOOKUP(tbMoveset!A34,tbMoveset!A2:I112,9,FALSE)="Ice",Backdoors!BE44,IF(VLOOKUP(tbMoveset!A34,tbMoveset!A2:I112,9,FALSE)="Dragon",Backdoors!BF44,Backdoors!BG44)))))/100,Backdoors!BG44/100),"")</f>
        <v>0</v>
      </c>
      <c r="KE34" s="49">
        <f>IFERROR(IF(VLOOKUP(A34,tbMoveset!A2:J112,10,FALSE)=TRUE,IF((Backdoors!AI12+IF(KC34&gt;=0.45,VLOOKUP(Calculator!E23,tbSkills!DH3:DI6,2,FALSE)+IF(AND(Calculator!B8=TRUE,Backdoors!BI44=TRUE),VLOOKUP(Calculator!E23,tbSkills!DH3:DJ6,3,FALSE),0),0))&gt;=0,1+(Backdoors!AL2*(IF((Backdoors!AI12+IF(KC34&gt;=0.45,VLOOKUP(Calculator!E23,tbSkills!DH3:DI6,2,FALSE)+IF(AND(Calculator!B8=TRUE,Backdoors!BI44=TRUE),VLOOKUP(Calculator!E23,tbSkills!DH3:DJ6,3,FALSE),0),0))&gt;=100,100,(Backdoors!AI12+IF(KC34&gt;=0.45,VLOOKUP(Calculator!E23,tbSkills!DH3:DI6,2,FALSE)+IF(AND(Calculator!B8=TRUE,Backdoors!BI44=TRUE),VLOOKUP(Calculator!E23,tbSkills!DH3:DJ6,3,FALSE),0),0)))/100)),(1-(0.25*((-Backdoors!AI12-IF(KC34&gt;=0.45,VLOOKUP(Calculator!E23,tbSkills!DH3:DI6,2,FALSE)+IF(AND(Calculator!B8=TRUE,Backdoors!BI44=TRUE),VLOOKUP(Calculator!E23,tbSkills!DH3:DJ6,3,FALSE),0),0))/100)))),1),"")</f>
        <v>1</v>
      </c>
      <c r="KF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KC34)*KE34)*(VLOOKUP(A34,tbMoveset!A2:C112,3,FALSE)/100)*IF(VLOOKUP(A34,tbMoveset!A2:B112,2,FALSE)="Projectile",Backdoors!N10,Backdoors!N9),0),"")</f>
        <v/>
      </c>
      <c r="KG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REF!&gt;0,VLOOKUP(Calculator!#REF!,tbSkills!AC3:AD5,2,FALSE),Backdoors!AL3)*(IF((Backdoors!AI12+IF(KC34&gt;=0.45,VLOOKUP(Calculator!E23,tbSkills!DH3:DI6,2,FALSE)+IF(AND(Calculator!B8=TRUE,Backdoors!BI44=TRUE),VLOOKUP(Calculator!E23,tbSkills!DH3:DJ6,3,FALSE),0),0))&gt;=100,100,(Backdoors!AI12+IF(KC34&gt;=0.45,VLOOKUP(Calculator!E23,tbSkills!DH3:DI6,2,FALSE)+IF(AND(Calculator!B8=TRUE,Backdoors!BI44=TRUE),VLOOKUP(Calculator!E23,tbSkills!DH3:DJ6,3,FALSE),0),0)))/100)),1))*IF(VLOOKUP(A34,tbMoveset!A2:K112,11,FALSE)=TRUE,Backdoors!AC5,1))*KD34,0),"")</f>
        <v/>
      </c>
      <c r="KH34" s="49">
        <f>VLOOKUP(A34,tbMoveset!A2:G112,7,FALSE)*IFERROR(IF(Backdoors!AI12&gt;=0,1+(IF(Calculator!E40&gt;0,VLOOKUP(Calculator!E40,tbSkills!AI3:AJ5,2,FALSE),Backdoors!AL4)*(IF((Backdoors!AI12+IF(KC34&gt;=0.45,VLOOKUP(Calculator!E23,tbSkills!DH3:DI6,2,FALSE)+IF(AND(Calculator!B8=TRUE,Backdoors!BI44=TRUE),VLOOKUP(Calculator!E23,tbSkills!DH3:DJ6,3,FALSE),0),0))&gt;=100,100,(Backdoors!AI12+IF(KC34&gt;=0.45,VLOOKUP(Calculator!E23,tbSkills!DH3:DI6,2,FALSE)+IF(AND(Calculator!B8=TRUE,Backdoors!BI44=TRUE),VLOOKUP(Calculator!E23,tbSkills!DH3:DJ6,3,FALSE),0),0)))/100)),1),1)</f>
        <v>0.8</v>
      </c>
      <c r="KI34" s="87">
        <f t="shared" si="33"/>
        <v>0</v>
      </c>
      <c r="KJ34" s="86" t="str">
        <f>IFERROR(IF(VLOOKUP(A34,tbMoveset!A2:B112,2,FALSE)="Sever",Backdoors!AY45/100,IF(VLOOKUP(A34,tbMoveset!A2:B112,2,FALSE)="Blunt",Backdoors!AZ45/100,Backdoors!BA45/100)),"")</f>
        <v/>
      </c>
      <c r="KK34" s="49">
        <f>IFERROR(IF(VLOOKUP(tbMoveset!A34,tbMoveset!A2:H112,8,FALSE)="Other",IF(VLOOKUP(tbMoveset!A34,tbMoveset!A2:I112,9,FALSE)="Fire",Backdoors!BB45,IF(VLOOKUP(tbMoveset!A34,tbMoveset!A2:I112,9,FALSE)="Water",Backdoors!BC45,IF(VLOOKUP(tbMoveset!A34,tbMoveset!A2:I112,9,FALSE)="Thunder",Backdoors!BD45,IF(VLOOKUP(tbMoveset!A34,tbMoveset!A2:I112,9,FALSE)="Ice",Backdoors!BE45,IF(VLOOKUP(tbMoveset!A34,tbMoveset!A2:I112,9,FALSE)="Dragon",Backdoors!BF45,Backdoors!BG45)))))/100,Backdoors!BG45/100),"")</f>
        <v>0</v>
      </c>
      <c r="KL34" s="49">
        <f>IFERROR(IF(VLOOKUP(A34,tbMoveset!A2:J112,10,FALSE)=TRUE,IF((Backdoors!AI12+IF(KJ34&gt;=0.45,VLOOKUP(Calculator!E23,tbSkills!DH3:DI6,2,FALSE)+IF(AND(Calculator!B8=TRUE,Backdoors!BI45=TRUE),VLOOKUP(Calculator!E23,tbSkills!DH3:DJ6,3,FALSE),0),0))&gt;=0,1+(Backdoors!AL2*(IF((Backdoors!AI12+IF(KJ34&gt;=0.45,VLOOKUP(Calculator!E23,tbSkills!DH3:DI6,2,FALSE)+IF(AND(Calculator!B8=TRUE,Backdoors!BI45=TRUE),VLOOKUP(Calculator!E23,tbSkills!DH3:DJ6,3,FALSE),0),0))&gt;=100,100,(Backdoors!AI12+IF(KJ34&gt;=0.45,VLOOKUP(Calculator!E23,tbSkills!DH3:DI6,2,FALSE)+IF(AND(Calculator!B8=TRUE,Backdoors!BI45=TRUE),VLOOKUP(Calculator!E23,tbSkills!DH3:DJ6,3,FALSE),0),0)))/100)),(1-(0.25*((-Backdoors!AI12-IF(KJ34&gt;=0.45,VLOOKUP(Calculator!E23,tbSkills!DH3:DI6,2,FALSE)+IF(AND(Calculator!B8=TRUE,Backdoors!BI45=TRUE),VLOOKUP(Calculator!E23,tbSkills!DH3:DJ6,3,FALSE),0),0))/100)))),1),"")</f>
        <v>1</v>
      </c>
      <c r="KM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KJ34)*KL34)*(VLOOKUP(A34,tbMoveset!A2:C112,3,FALSE)/100)*IF(VLOOKUP(A34,tbMoveset!A2:B112,2,FALSE)="Projectile",Backdoors!N10,Backdoors!N9),0),"")</f>
        <v/>
      </c>
      <c r="KN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REF!&gt;0,VLOOKUP(Calculator!#REF!,tbSkills!AC3:AD5,2,FALSE),Backdoors!AL3)*(IF((Backdoors!AI12+IF(KJ34&gt;=0.45,VLOOKUP(Calculator!E23,tbSkills!DH3:DI6,2,FALSE)+IF(AND(Calculator!B8=TRUE,Backdoors!BI45=TRUE),VLOOKUP(Calculator!E23,tbSkills!DH3:DJ6,3,FALSE),0),0))&gt;=100,100,(Backdoors!AI12+IF(KJ34&gt;=0.45,VLOOKUP(Calculator!E23,tbSkills!DH3:DI6,2,FALSE)+IF(AND(Calculator!B8=TRUE,Backdoors!BI45=TRUE),VLOOKUP(Calculator!E23,tbSkills!DH3:DJ6,3,FALSE),0),0)))/100)),1))*IF(VLOOKUP(A34,tbMoveset!A2:K112,11,FALSE)=TRUE,Backdoors!AC5,1))*KK34,0),"")</f>
        <v/>
      </c>
      <c r="KO34" s="49">
        <f>VLOOKUP(A34,tbMoveset!A2:G112,7,FALSE)*IFERROR(IF(Backdoors!AI12&gt;=0,1+(IF(Calculator!E40&gt;0,VLOOKUP(Calculator!E40,tbSkills!AI3:AJ5,2,FALSE),Backdoors!AL4)*(IF((Backdoors!AI12+IF(KJ34&gt;=0.45,VLOOKUP(Calculator!E23,tbSkills!DH3:DI6,2,FALSE)+IF(AND(Calculator!B8=TRUE,Backdoors!BI45=TRUE),VLOOKUP(Calculator!E23,tbSkills!DH3:DJ6,3,FALSE),0),0))&gt;=100,100,(Backdoors!AI12+IF(KJ34&gt;=0.45,VLOOKUP(Calculator!E23,tbSkills!DH3:DI6,2,FALSE)+IF(AND(Calculator!B8=TRUE,Backdoors!BI45=TRUE),VLOOKUP(Calculator!E23,tbSkills!DH3:DJ6,3,FALSE),0),0)))/100)),1),1)</f>
        <v>0.8</v>
      </c>
      <c r="KP34" s="87">
        <f t="shared" si="34"/>
        <v>0</v>
      </c>
      <c r="KQ34" s="86" t="str">
        <f>IFERROR(IF(VLOOKUP(A34,tbMoveset!A2:B112,2,FALSE)="Sever",Backdoors!AY46/100,IF(VLOOKUP(A34,tbMoveset!A2:B112,2,FALSE)="Blunt",Backdoors!AZ46/100,Backdoors!BA46/100)),"")</f>
        <v/>
      </c>
      <c r="KR34" s="49">
        <f>IFERROR(IF(VLOOKUP(tbMoveset!A34,tbMoveset!A2:H112,8,FALSE)="Other",IF(VLOOKUP(tbMoveset!A34,tbMoveset!A2:I112,9,FALSE)="Fire",Backdoors!BB46,IF(VLOOKUP(tbMoveset!A34,tbMoveset!A2:I112,9,FALSE)="Water",Backdoors!BC46,IF(VLOOKUP(tbMoveset!A34,tbMoveset!A2:I112,9,FALSE)="Thunder",Backdoors!BD46,IF(VLOOKUP(tbMoveset!A34,tbMoveset!A2:I112,9,FALSE)="Ice",Backdoors!BE46,IF(VLOOKUP(tbMoveset!A34,tbMoveset!A2:I112,9,FALSE)="Dragon",Backdoors!BF46,Backdoors!BG46)))))/100,Backdoors!BG46/100),"")</f>
        <v>0</v>
      </c>
      <c r="KS34" s="49">
        <f>IFERROR(IF(VLOOKUP(A34,tbMoveset!A2:J112,10,FALSE)=TRUE,IF((Backdoors!AI12+IF(KQ34&gt;=0.45,VLOOKUP(Calculator!E23,tbSkills!DH3:DI6,2,FALSE)+IF(AND(Calculator!B8=TRUE,Backdoors!BI46=TRUE),VLOOKUP(Calculator!E23,tbSkills!DH3:DJ6,3,FALSE),0),0))&gt;=0,1+(Backdoors!AL2*(IF((Backdoors!AI12+IF(KQ34&gt;=0.45,VLOOKUP(Calculator!E23,tbSkills!DH3:DI6,2,FALSE)+IF(AND(Calculator!B8=TRUE,Backdoors!BI46=TRUE),VLOOKUP(Calculator!E23,tbSkills!DH3:DJ6,3,FALSE),0),0))&gt;=100,100,(Backdoors!AI12+IF(KQ34&gt;=0.45,VLOOKUP(Calculator!E23,tbSkills!DH3:DI6,2,FALSE)+IF(AND(Calculator!B8=TRUE,Backdoors!BI46=TRUE),VLOOKUP(Calculator!E23,tbSkills!DH3:DJ6,3,FALSE),0),0)))/100)),(1-(0.25*((-Backdoors!AI12-IF(KQ34&gt;=0.45,VLOOKUP(Calculator!E23,tbSkills!DH3:DI6,2,FALSE)+IF(AND(Calculator!B8=TRUE,Backdoors!BI46=TRUE),VLOOKUP(Calculator!E23,tbSkills!DH3:DJ6,3,FALSE),0),0))/100)))),1),"")</f>
        <v>1</v>
      </c>
      <c r="KT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KQ34)*KS34)*(VLOOKUP(A34,tbMoveset!A2:C112,3,FALSE)/100)*IF(VLOOKUP(A34,tbMoveset!A2:B112,2,FALSE)="Projectile",Backdoors!N10,Backdoors!N9),0),"")</f>
        <v/>
      </c>
      <c r="KU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REF!&gt;0,VLOOKUP(Calculator!#REF!,tbSkills!AC3:AD5,2,FALSE),Backdoors!AL3)*(IF((Backdoors!AI12+IF(KQ34&gt;=0.45,VLOOKUP(Calculator!E23,tbSkills!DH3:DI6,2,FALSE)+IF(AND(Calculator!B8=TRUE,Backdoors!BI46=TRUE),VLOOKUP(Calculator!E23,tbSkills!DH3:DJ6,3,FALSE),0),0))&gt;=100,100,(Backdoors!AI12+IF(KQ34&gt;=0.45,VLOOKUP(Calculator!E23,tbSkills!DH3:DI6,2,FALSE)+IF(AND(Calculator!B8=TRUE,Backdoors!BI46=TRUE),VLOOKUP(Calculator!E23,tbSkills!DH3:DJ6,3,FALSE),0),0)))/100)),1))*IF(VLOOKUP(A34,tbMoveset!A2:K112,11,FALSE)=TRUE,Backdoors!AC5,1))*KR34,0),"")</f>
        <v/>
      </c>
      <c r="KV34" s="49">
        <f>VLOOKUP(A34,tbMoveset!A2:G112,7,FALSE)*IFERROR(IF(Backdoors!AI12&gt;=0,1+(IF(Calculator!E40&gt;0,VLOOKUP(Calculator!E40,tbSkills!AI3:AJ5,2,FALSE),Backdoors!AL4)*(IF((Backdoors!AI12+IF(KQ34&gt;=0.45,VLOOKUP(Calculator!E23,tbSkills!DH3:DI6,2,FALSE)+IF(AND(Calculator!B8=TRUE,Backdoors!BI46=TRUE),VLOOKUP(Calculator!E23,tbSkills!DH3:DJ6,3,FALSE),0),0))&gt;=100,100,(Backdoors!AI12+IF(KQ34&gt;=0.45,VLOOKUP(Calculator!E23,tbSkills!DH3:DI6,2,FALSE)+IF(AND(Calculator!B8=TRUE,Backdoors!BI46=TRUE),VLOOKUP(Calculator!E23,tbSkills!DH3:DJ6,3,FALSE),0),0)))/100)),1),1)</f>
        <v>0.8</v>
      </c>
      <c r="KW34" s="87">
        <f t="shared" si="35"/>
        <v>0</v>
      </c>
    </row>
    <row r="35" spans="1:309" x14ac:dyDescent="0.25">
      <c r="A35" s="95" t="str">
        <f>tbMoveset!A35</f>
        <v>Demon Flurry (R4)</v>
      </c>
      <c r="B35" s="86">
        <f>IFERROR(IF(VLOOKUP(A35,tbMoveset!A2:B112,2,FALSE)="Sever",Backdoors!AY3/100,IF(VLOOKUP(A35,tbMoveset!A2:B112,2,FALSE)="Blunt",Backdoors!AZ3/100,Backdoors!BA3/100)),"")</f>
        <v>0.8</v>
      </c>
      <c r="C35" s="49">
        <f>IFERROR(IF(VLOOKUP(tbMoveset!A35,tbMoveset!A2:H112,8,FALSE)="Other",IF(VLOOKUP(tbMoveset!A35,tbMoveset!A2:I112,9,FALSE)="Fire",Backdoors!BB3,IF(VLOOKUP(tbMoveset!A35,tbMoveset!A2:I112,9,FALSE)="Water",Backdoors!BC3,IF(VLOOKUP(tbMoveset!A35,tbMoveset!A2:I112,9,FALSE)="Thunder",Backdoors!BD3,IF(VLOOKUP(tbMoveset!A35,tbMoveset!A2:I112,9,FALSE)="Ice",Backdoors!BE3,IF(VLOOKUP(tbMoveset!A35,tbMoveset!A2:I112,9,FALSE)="Dragon",Backdoors!BF3,Backdoors!BG3)))))/100,Backdoors!BG3/100),"")</f>
        <v>0</v>
      </c>
      <c r="D35" s="49">
        <f>IFERROR(IF(VLOOKUP(A35,tbMoveset!A2:J112,10,FALSE)=TRUE,IF((Backdoors!AI12+IF(B35&gt;=0.45,VLOOKUP(Calculator!E23,tbSkills!DH3:DI6,2,FALSE)+IF(AND(Calculator!B8=TRUE,Backdoors!BI3=TRUE),VLOOKUP(Calculator!E23,tbSkills!DH3:DJ6,3,FALSE),0),0))&gt;=0,1+(Backdoors!AL2*(IF((Backdoors!AI12+IF(B35&gt;=0.45,VLOOKUP(Calculator!E23,tbSkills!DH3:DI6,2,FALSE)+IF(AND(Calculator!B8=TRUE,Backdoors!BI3=TRUE),VLOOKUP(Calculator!E23,tbSkills!DH3:DJ6,3,FALSE),0),0))&gt;=100,100,(Backdoors!AI12+IF(B35&gt;=0.45,VLOOKUP(Calculator!E23,tbSkills!DH3:DI6,2,FALSE)+IF(AND(Calculator!B8=TRUE,Backdoors!BI3=TRUE),VLOOKUP(Calculator!E23,tbSkills!DH3:DJ6,3,FALSE),0),0)))/100)),(1-(0.25*((-Backdoors!AI12-IF(B35&gt;=0.45,VLOOKUP(Calculator!E23,tbSkills!DH3:DI6,2,FALSE)+IF(AND(Calculator!B8=TRUE,Backdoors!BI3=TRUE),VLOOKUP(Calculator!E23,tbSkills!DH3:DJ6,3,FALSE),0),0))/100)))),1),"")</f>
        <v>1</v>
      </c>
      <c r="E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35)*D35)*(VLOOKUP(A35,tbMoveset!A2:C112,3,FALSE)/100)*IF(VLOOKUP(A35,tbMoveset!A2:B112,2,FALSE)="Projectile",Backdoors!N10,Backdoors!N9),0),"")</f>
        <v>11</v>
      </c>
      <c r="F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35&gt;=0.45,VLOOKUP(Calculator!E23,tbSkills!DH3:DI6,2,FALSE)+IF(AND(Calculator!B8=TRUE,Backdoors!BI3=TRUE),VLOOKUP(Calculator!E23,tbSkills!DH3:DJ6,3,FALSE),0),0))&gt;=100,100,(Backdoors!AI12+IF(B35&gt;=0.45,VLOOKUP(Calculator!E23,tbSkills!DH3:DI6,2,FALSE)+IF(AND(Calculator!B8=TRUE,Backdoors!BI3=TRUE),VLOOKUP(Calculator!E23,tbSkills!DH3:DJ6,3,FALSE),0),0)))/100)),1))*IF(VLOOKUP(A35,tbMoveset!A2:K112,11,FALSE)=TRUE,Backdoors!AC5,1))*C35,0),"")</f>
        <v>0</v>
      </c>
      <c r="G35">
        <f>VLOOKUP(A35,tbMoveset!A2:G112,7,FALSE)*IFERROR(IF(Backdoors!AI12&gt;=0,1+(IF(Calculator!E40&gt;0,VLOOKUP(Calculator!E40,tbSkills!AI3:AJ5,2,FALSE),Backdoors!AL4)*(IF((Backdoors!AI12+IF(B35&gt;=0.45,VLOOKUP(Calculator!E23,tbSkills!DH3:DI6,2,FALSE)+IF(AND(Calculator!B8=TRUE,Backdoors!BI3=TRUE),VLOOKUP(Calculator!E23,tbSkills!DH3:DJ6,3,FALSE),0),0))&gt;=100,100,(Backdoors!AI12+IF(B35&gt;=0.45,VLOOKUP(Calculator!E23,tbSkills!DH3:DI6,2,FALSE)+IF(AND(Calculator!B8=TRUE,Backdoors!BI3=TRUE),VLOOKUP(Calculator!E23,tbSkills!DH3:DJ6,3,FALSE),0),0)))/100)),1),1)</f>
        <v>0.8</v>
      </c>
      <c r="H35" s="87">
        <f t="shared" ref="H35:H66" si="44">SUM(E35:F35)</f>
        <v>11</v>
      </c>
      <c r="I35" s="86">
        <f>IFERROR(IF(VLOOKUP(A35,tbMoveset!A2:B112,2,FALSE)="Sever",Backdoors!AY4/100,IF(VLOOKUP(A35,tbMoveset!A2:B112,2,FALSE)="Blunt",Backdoors!AZ4/100,Backdoors!BA4/100)),"")</f>
        <v>0.65</v>
      </c>
      <c r="J35" s="49">
        <f>IFERROR(IF(VLOOKUP(tbMoveset!A35,tbMoveset!A2:H112,8,FALSE)="Other",IF(VLOOKUP(tbMoveset!A35,tbMoveset!A2:I112,9,FALSE)="Fire",Backdoors!BB4,IF(VLOOKUP(tbMoveset!A35,tbMoveset!A2:I112,9,FALSE)="Water",Backdoors!BC4,IF(VLOOKUP(tbMoveset!A35,tbMoveset!A2:I112,9,FALSE)="Thunder",Backdoors!BD4,IF(VLOOKUP(tbMoveset!A35,tbMoveset!A2:I112,9,FALSE)="Ice",Backdoors!BE4,IF(VLOOKUP(tbMoveset!A35,tbMoveset!A2:I112,9,FALSE)="Dragon",Backdoors!BF4,Backdoors!BG4)))))/100,Backdoors!BG4/100),"")</f>
        <v>0</v>
      </c>
      <c r="K35" s="49">
        <f>IFERROR(IF(VLOOKUP(A35,tbMoveset!A2:J112,10,FALSE)=TRUE,IF((Backdoors!AI12+IF(I35&gt;=0.45,VLOOKUP(Calculator!E23,tbSkills!DH3:DI6,2,FALSE)+IF(AND(Calculator!B8=TRUE,Backdoors!BI4=TRUE),VLOOKUP(Calculator!E23,tbSkills!DH3:DJ6,3,FALSE),0),0))&gt;=0,1+(Backdoors!AL2*(IF((Backdoors!AI12+IF(I35&gt;=0.45,VLOOKUP(Calculator!E23,tbSkills!DH3:DI6,2,FALSE)+IF(AND(Calculator!B8=TRUE,Backdoors!BI4=TRUE),VLOOKUP(Calculator!E23,tbSkills!DH3:DJ6,3,FALSE),0),0))&gt;=100,100,(Backdoors!AI12+IF(I35&gt;=0.45,VLOOKUP(Calculator!E23,tbSkills!DH3:DI6,2,FALSE)+IF(AND(Calculator!B8=TRUE,Backdoors!BI4=TRUE),VLOOKUP(Calculator!E23,tbSkills!DH3:DJ6,3,FALSE),0),0)))/100)),(1-(0.25*((-Backdoors!AI12-IF(I35&gt;=0.45,VLOOKUP(Calculator!E23,tbSkills!DH3:DI6,2,FALSE)+IF(AND(Calculator!B8=TRUE,Backdoors!BI4=TRUE),VLOOKUP(Calculator!E23,tbSkills!DH3:DJ6,3,FALSE),0),0))/100)))),1),"")</f>
        <v>1</v>
      </c>
      <c r="L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35)*K35)*(VLOOKUP(A35,tbMoveset!A2:C112,3,FALSE)/100)*IF(VLOOKUP(A35,tbMoveset!A2:B112,2,FALSE)="Projectile",Backdoors!N10,Backdoors!N9),0),"")</f>
        <v>9</v>
      </c>
      <c r="M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I35&gt;=0.45,VLOOKUP(Calculator!E23,tbSkills!DH3:DI6,2,FALSE)+IF(AND(Calculator!B8=TRUE,Backdoors!BI4=TRUE),VLOOKUP(Calculator!E23,tbSkills!DH3:DJ6,3,FALSE),0),0))&gt;=100,100,(Backdoors!AI12+IF(I35&gt;=0.45,VLOOKUP(Calculator!E23,tbSkills!DH3:DI6,2,FALSE)+IF(AND(Calculator!B8=TRUE,Backdoors!BI4=TRUE),VLOOKUP(Calculator!E23,tbSkills!DH3:DJ6,3,FALSE),0),0)))/100)),1))*IF(VLOOKUP(A35,tbMoveset!A2:K112,11,FALSE)=TRUE,Backdoors!AC5,1))*J35,0),"")</f>
        <v>0</v>
      </c>
      <c r="N35" s="49">
        <f>VLOOKUP(A35,tbMoveset!A2:G112,7,FALSE)*IFERROR(IF(Backdoors!AI12&gt;=0,1+(IF(Calculator!E40&gt;0,VLOOKUP(Calculator!E40,tbSkills!AI3:AJ5,2,FALSE),Backdoors!AL4)*(IF((Backdoors!AI12+IF(I35&gt;=0.45,VLOOKUP(Calculator!E23,tbSkills!DH3:DI6,2,FALSE)+IF(AND(Calculator!B8=TRUE,Backdoors!BI4=TRUE),VLOOKUP(Calculator!E23,tbSkills!DH3:DJ6,3,FALSE),0),0))&gt;=100,100,(Backdoors!AI12+IF(I35&gt;=0.45,VLOOKUP(Calculator!E23,tbSkills!DH3:DI6,2,FALSE)+IF(AND(Calculator!B8=TRUE,Backdoors!BI4=TRUE),VLOOKUP(Calculator!E23,tbSkills!DH3:DJ6,3,FALSE),0),0)))/100)),1),1)</f>
        <v>0.8</v>
      </c>
      <c r="O35" s="87">
        <f t="shared" ref="O35:O66" si="45">SUM(L35:M35)</f>
        <v>9</v>
      </c>
      <c r="P35" s="86">
        <f>IFERROR(IF(VLOOKUP(A35,tbMoveset!A2:B112,2,FALSE)="Sever",Backdoors!AY5/100,IF(VLOOKUP(A35,tbMoveset!A2:B112,2,FALSE)="Blunt",Backdoors!AZ5/100,Backdoors!BA5/100)),"")</f>
        <v>0.5</v>
      </c>
      <c r="Q35" s="49">
        <f>IFERROR(IF(VLOOKUP(tbMoveset!A35,tbMoveset!A2:H112,8,FALSE)="Other",IF(VLOOKUP(tbMoveset!A35,tbMoveset!A2:I112,9,FALSE)="Fire",Backdoors!BB5,IF(VLOOKUP(tbMoveset!A35,tbMoveset!A2:I112,9,FALSE)="Water",Backdoors!BC5,IF(VLOOKUP(tbMoveset!A35,tbMoveset!A2:I112,9,FALSE)="Thunder",Backdoors!BD5,IF(VLOOKUP(tbMoveset!A35,tbMoveset!A2:I112,9,FALSE)="Ice",Backdoors!BE5,IF(VLOOKUP(tbMoveset!A35,tbMoveset!A2:I112,9,FALSE)="Dragon",Backdoors!BF5,Backdoors!BG5)))))/100,Backdoors!BG5/100),"")</f>
        <v>0</v>
      </c>
      <c r="R35" s="49">
        <f>IFERROR(IF(VLOOKUP(A35,tbMoveset!A2:J112,10,FALSE)=TRUE,IF((Backdoors!AI12+IF(P35&gt;=0.45,VLOOKUP(Calculator!E23,tbSkills!DH3:DI6,2,FALSE)+IF(AND(Calculator!B8=TRUE,Backdoors!BI5=TRUE),VLOOKUP(Calculator!E23,tbSkills!DH3:DJ6,3,FALSE),0),0))&gt;=0,1+(Backdoors!AL2*(IF((Backdoors!AI12+IF(P35&gt;=0.45,VLOOKUP(Calculator!E23,tbSkills!DH3:DI6,2,FALSE)+IF(AND(Calculator!B8=TRUE,Backdoors!BI5=TRUE),VLOOKUP(Calculator!E23,tbSkills!DH3:DJ6,3,FALSE),0),0))&gt;=100,100,(Backdoors!AI12+IF(P35&gt;=0.45,VLOOKUP(Calculator!E23,tbSkills!DH3:DI6,2,FALSE)+IF(AND(Calculator!B8=TRUE,Backdoors!BI5=TRUE),VLOOKUP(Calculator!E23,tbSkills!DH3:DJ6,3,FALSE),0),0)))/100)),(1-(0.25*((-Backdoors!AI12-IF(P35&gt;=0.45,VLOOKUP(Calculator!E23,tbSkills!DH3:DI6,2,FALSE)+IF(AND(Calculator!B8=TRUE,Backdoors!BI5=TRUE),VLOOKUP(Calculator!E23,tbSkills!DH3:DJ6,3,FALSE),0),0))/100)))),1),"")</f>
        <v>1</v>
      </c>
      <c r="S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P35)*R35)*(VLOOKUP(A35,tbMoveset!A2:C112,3,FALSE)/100)*IF(VLOOKUP(A35,tbMoveset!A2:B112,2,FALSE)="Projectile",Backdoors!N10,Backdoors!N9),0),"")</f>
        <v>7</v>
      </c>
      <c r="T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P35&gt;=0.45,VLOOKUP(Calculator!E23,tbSkills!DH3:DI6,2,FALSE)+IF(AND(Calculator!B8=TRUE,Backdoors!BI5=TRUE),VLOOKUP(Calculator!E23,tbSkills!DH3:DJ6,3,FALSE),0),0))&gt;=100,100,(Backdoors!AI12+IF(P35&gt;=0.45,VLOOKUP(Calculator!E23,tbSkills!DH3:DI6,2,FALSE)+IF(AND(Calculator!B8=TRUE,Backdoors!BI5=TRUE),VLOOKUP(Calculator!E23,tbSkills!DH3:DJ6,3,FALSE),0),0)))/100)),1))*IF(VLOOKUP(A35,tbMoveset!A2:K112,11,FALSE)=TRUE,Backdoors!AC5,1))*Q35,0),"")</f>
        <v>0</v>
      </c>
      <c r="U35" s="49">
        <f>VLOOKUP(A35,tbMoveset!A2:G112,7,FALSE)*IFERROR(IF(Backdoors!AI12&gt;=0,1+(IF(Calculator!E40&gt;0,VLOOKUP(Calculator!E40,tbSkills!AI3:AJ5,2,FALSE),Backdoors!AL4)*(IF((Backdoors!AI12+IF(P35&gt;=0.45,VLOOKUP(Calculator!E23,tbSkills!DH3:DI6,2,FALSE)+IF(AND(Calculator!B8=TRUE,Backdoors!BI5=TRUE),VLOOKUP(Calculator!E23,tbSkills!DH3:DJ6,3,FALSE),0),0))&gt;=100,100,(Backdoors!AI12+IF(P35&gt;=0.45,VLOOKUP(Calculator!E23,tbSkills!DH3:DI6,2,FALSE)+IF(AND(Calculator!B8=TRUE,Backdoors!BI5=TRUE),VLOOKUP(Calculator!E23,tbSkills!DH3:DJ6,3,FALSE),0),0)))/100)),1),1)</f>
        <v>0.8</v>
      </c>
      <c r="V35" s="87">
        <f t="shared" ref="V35:V66" si="46">SUM(S35:T35)</f>
        <v>7</v>
      </c>
      <c r="W35" s="86">
        <f>IFERROR(IF(VLOOKUP(A35,tbMoveset!A2:B112,2,FALSE)="Sever",Backdoors!AY6/100,IF(VLOOKUP(A35,tbMoveset!A2:B112,2,FALSE)="Blunt",Backdoors!AZ6/100,Backdoors!BA6/100)),"")</f>
        <v>0.45</v>
      </c>
      <c r="X35" s="49">
        <f>IFERROR(IF(VLOOKUP(tbMoveset!A35,tbMoveset!A2:H112,8,FALSE)="Other",IF(VLOOKUP(tbMoveset!A35,tbMoveset!A2:I112,9,FALSE)="Fire",Backdoors!BB6,IF(VLOOKUP(tbMoveset!A35,tbMoveset!A2:I112,9,FALSE)="Water",Backdoors!BC6,IF(VLOOKUP(tbMoveset!A35,tbMoveset!A2:I112,9,FALSE)="Thunder",Backdoors!BD6,IF(VLOOKUP(tbMoveset!A35,tbMoveset!A2:I112,9,FALSE)="Ice",Backdoors!BE6,IF(VLOOKUP(tbMoveset!A35,tbMoveset!A2:I112,9,FALSE)="Dragon",Backdoors!BF6,Backdoors!BG6)))))/100,Backdoors!BG6/100),"")</f>
        <v>0</v>
      </c>
      <c r="Y35" s="49">
        <f>IFERROR(IF(VLOOKUP(A35,tbMoveset!A2:J112,10,FALSE)=TRUE,IF((Backdoors!AI12+IF(W35&gt;=0.45,VLOOKUP(Calculator!E23,tbSkills!DH3:DI6,2,FALSE)+IF(AND(Calculator!B8=TRUE,Backdoors!BI6=TRUE),VLOOKUP(Calculator!E23,tbSkills!DH3:DJ6,3,FALSE),0),0))&gt;=0,1+(Backdoors!AL2*(IF((Backdoors!AI12+IF(W35&gt;=0.45,VLOOKUP(Calculator!E23,tbSkills!DH3:DI6,2,FALSE)+IF(AND(Calculator!B8=TRUE,Backdoors!BI6=TRUE),VLOOKUP(Calculator!E23,tbSkills!DH3:DJ6,3,FALSE),0),0))&gt;=100,100,(Backdoors!AI12+IF(W35&gt;=0.45,VLOOKUP(Calculator!E23,tbSkills!DH3:DI6,2,FALSE)+IF(AND(Calculator!B8=TRUE,Backdoors!BI6=TRUE),VLOOKUP(Calculator!E23,tbSkills!DH3:DJ6,3,FALSE),0),0)))/100)),(1-(0.25*((-Backdoors!AI12-IF(W35&gt;=0.45,VLOOKUP(Calculator!E23,tbSkills!DH3:DI6,2,FALSE)+IF(AND(Calculator!B8=TRUE,Backdoors!BI6=TRUE),VLOOKUP(Calculator!E23,tbSkills!DH3:DJ6,3,FALSE),0),0))/100)))),1),"")</f>
        <v>1</v>
      </c>
      <c r="Z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W35)*Y35)*(VLOOKUP(A35,tbMoveset!A2:C112,3,FALSE)/100)*IF(VLOOKUP(A35,tbMoveset!A2:B112,2,FALSE)="Projectile",Backdoors!N10,Backdoors!N9),0),"")</f>
        <v>6</v>
      </c>
      <c r="AA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W35&gt;=0.45,VLOOKUP(Calculator!E23,tbSkills!DH3:DI6,2,FALSE)+IF(AND(Calculator!B8=TRUE,Backdoors!BI6=TRUE),VLOOKUP(Calculator!E23,tbSkills!DH3:DJ6,3,FALSE),0),0))&gt;=100,100,(Backdoors!AI12+IF(W35&gt;=0.45,VLOOKUP(Calculator!E23,tbSkills!DH3:DI6,2,FALSE)+IF(AND(Calculator!B8=TRUE,Backdoors!BI6=TRUE),VLOOKUP(Calculator!E23,tbSkills!DH3:DJ6,3,FALSE),0),0)))/100)),1))*IF(VLOOKUP(A35,tbMoveset!A2:K112,11,FALSE)=TRUE,Backdoors!AC5,1))*X35,0),"")</f>
        <v>0</v>
      </c>
      <c r="AB35" s="49">
        <f>VLOOKUP(A35,tbMoveset!A2:G112,7,FALSE)*IFERROR(IF(Backdoors!AI12&gt;=0,1+(IF(Calculator!E40&gt;0,VLOOKUP(Calculator!E40,tbSkills!AI3:AJ5,2,FALSE),Backdoors!AL4)*(IF((Backdoors!AI12+IF(W35&gt;=0.45,VLOOKUP(Calculator!E23,tbSkills!DH3:DI6,2,FALSE)+IF(AND(Calculator!B8=TRUE,Backdoors!BI6=TRUE),VLOOKUP(Calculator!E23,tbSkills!DH3:DJ6,3,FALSE),0),0))&gt;=100,100,(Backdoors!AI12+IF(W35&gt;=0.45,VLOOKUP(Calculator!E23,tbSkills!DH3:DI6,2,FALSE)+IF(AND(Calculator!B8=TRUE,Backdoors!BI6=TRUE),VLOOKUP(Calculator!E23,tbSkills!DH3:DJ6,3,FALSE),0),0)))/100)),1),1)</f>
        <v>0.8</v>
      </c>
      <c r="AC35" s="87">
        <f t="shared" ref="AC35:AC66" si="47">SUM(Z35:AA35)</f>
        <v>6</v>
      </c>
      <c r="AD35" s="86">
        <f>IFERROR(IF(VLOOKUP(A35,tbMoveset!A2:B112,2,FALSE)="Sever",Backdoors!AY7/100,IF(VLOOKUP(A35,tbMoveset!A2:B112,2,FALSE)="Blunt",Backdoors!AZ7/100,Backdoors!BA7/100)),"")</f>
        <v>0.65</v>
      </c>
      <c r="AE35" s="49">
        <f>IFERROR(IF(VLOOKUP(tbMoveset!A35,tbMoveset!A2:H112,8,FALSE)="Other",IF(VLOOKUP(tbMoveset!A35,tbMoveset!A2:I112,9,FALSE)="Fire",Backdoors!BB7,IF(VLOOKUP(tbMoveset!A35,tbMoveset!A2:I112,9,FALSE)="Water",Backdoors!BC7,IF(VLOOKUP(tbMoveset!A35,tbMoveset!A2:I112,9,FALSE)="Thunder",Backdoors!BD7,IF(VLOOKUP(tbMoveset!A35,tbMoveset!A2:I112,9,FALSE)="Ice",Backdoors!BE7,IF(VLOOKUP(tbMoveset!A35,tbMoveset!A2:I112,9,FALSE)="Dragon",Backdoors!BF7,Backdoors!BG7)))))/100,Backdoors!BG7/100),"")</f>
        <v>0</v>
      </c>
      <c r="AF35" s="49">
        <f>IFERROR(IF(VLOOKUP(A35,tbMoveset!A2:J112,10,FALSE)=TRUE,IF((Backdoors!AI12+IF(AD35&gt;=0.45,VLOOKUP(Calculator!E23,tbSkills!DH3:DI6,2,FALSE)+IF(AND(Calculator!B8=TRUE,Backdoors!BI7=TRUE),VLOOKUP(Calculator!E23,tbSkills!DH3:DJ6,3,FALSE),0),0))&gt;=0,1+(Backdoors!AL2*(IF((Backdoors!AI12+IF(AD35&gt;=0.45,VLOOKUP(Calculator!E23,tbSkills!DH3:DI6,2,FALSE)+IF(AND(Calculator!B8=TRUE,Backdoors!BI7=TRUE),VLOOKUP(Calculator!E23,tbSkills!DH3:DJ6,3,FALSE),0),0))&gt;=100,100,(Backdoors!AI12+IF(AD35&gt;=0.45,VLOOKUP(Calculator!E23,tbSkills!DH3:DI6,2,FALSE)+IF(AND(Calculator!B8=TRUE,Backdoors!BI7=TRUE),VLOOKUP(Calculator!E23,tbSkills!DH3:DJ6,3,FALSE),0),0)))/100)),(1-(0.25*((-Backdoors!AI12-IF(AD35&gt;=0.45,VLOOKUP(Calculator!E23,tbSkills!DH3:DI6,2,FALSE)+IF(AND(Calculator!B8=TRUE,Backdoors!BI7=TRUE),VLOOKUP(Calculator!E23,tbSkills!DH3:DJ6,3,FALSE),0),0))/100)))),1),"")</f>
        <v>1</v>
      </c>
      <c r="AG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D35)*AF35)*(VLOOKUP(A35,tbMoveset!A2:C112,3,FALSE)/100)*IF(VLOOKUP(A35,tbMoveset!A2:B112,2,FALSE)="Projectile",Backdoors!N10,Backdoors!N9),0),"")</f>
        <v>9</v>
      </c>
      <c r="AH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D35&gt;=0.45,VLOOKUP(Calculator!E23,tbSkills!DH3:DI6,2,FALSE)+IF(AND(Calculator!B8=TRUE,Backdoors!BI7=TRUE),VLOOKUP(Calculator!E23,tbSkills!DH3:DJ6,3,FALSE),0),0))&gt;=100,100,(Backdoors!AI12+IF(AD35&gt;=0.45,VLOOKUP(Calculator!E23,tbSkills!DH3:DI6,2,FALSE)+IF(AND(Calculator!B8=TRUE,Backdoors!BI7=TRUE),VLOOKUP(Calculator!E23,tbSkills!DH3:DJ6,3,FALSE),0),0)))/100)),1))*IF(VLOOKUP(A35,tbMoveset!A2:K112,11,FALSE)=TRUE,Backdoors!AC5,1))*AE35,0),"")</f>
        <v>0</v>
      </c>
      <c r="AI35" s="49">
        <f>VLOOKUP(A35,tbMoveset!A2:G112,7,FALSE)*IFERROR(IF(Backdoors!AI12&gt;=0,1+(IF(Calculator!E40&gt;0,VLOOKUP(Calculator!E40,tbSkills!AI3:AJ5,2,FALSE),Backdoors!AL4)*(IF((Backdoors!AI12+IF(AD35&gt;=0.45,VLOOKUP(Calculator!E23,tbSkills!DH3:DI6,2,FALSE)+IF(AND(Calculator!B8=TRUE,Backdoors!BI7=TRUE),VLOOKUP(Calculator!E23,tbSkills!DH3:DJ6,3,FALSE),0),0))&gt;=100,100,(Backdoors!AI12+IF(AD35&gt;=0.45,VLOOKUP(Calculator!E23,tbSkills!DH3:DI6,2,FALSE)+IF(AND(Calculator!B8=TRUE,Backdoors!BI7=TRUE),VLOOKUP(Calculator!E23,tbSkills!DH3:DJ6,3,FALSE),0),0)))/100)),1),1)</f>
        <v>0.8</v>
      </c>
      <c r="AJ35" s="87">
        <f t="shared" ref="AJ35:AJ66" si="48">SUM(AG35:AH35)</f>
        <v>9</v>
      </c>
      <c r="AK35" s="91">
        <f>IFERROR(IF(VLOOKUP(A35,tbMoveset!A2:B112,2,FALSE)="Sever",Backdoors!AY8/100,IF(VLOOKUP(A35,tbMoveset!A2:B112,2,FALSE)="Blunt",Backdoors!AZ8/100,Backdoors!BA8/100)),"")</f>
        <v>0.45</v>
      </c>
      <c r="AL35" s="49">
        <f>IFERROR(IF(VLOOKUP(tbMoveset!A35,tbMoveset!A2:H112,8,FALSE)="Other",IF(VLOOKUP(tbMoveset!A35,tbMoveset!A2:I112,9,FALSE)="Fire",Backdoors!BB8,IF(VLOOKUP(tbMoveset!A35,tbMoveset!A2:I112,9,FALSE)="Water",Backdoors!BC8,IF(VLOOKUP(tbMoveset!A35,tbMoveset!A2:I112,9,FALSE)="Thunder",Backdoors!BD8,IF(VLOOKUP(tbMoveset!A35,tbMoveset!A2:I112,9,FALSE)="Ice",Backdoors!BE8,IF(VLOOKUP(tbMoveset!A35,tbMoveset!A2:I112,9,FALSE)="Dragon",Backdoors!BF8,Backdoors!BG8)))))/100,Backdoors!BG8/100),"")</f>
        <v>0</v>
      </c>
      <c r="AM35" s="49">
        <f>IFERROR(IF(VLOOKUP(A35,tbMoveset!A2:J112,10,FALSE)=TRUE,IF((Backdoors!AI12+IF(AK35&gt;=0.45,VLOOKUP(Calculator!E23,tbSkills!DH3:DI6,2,FALSE)+IF(AND(Calculator!B8=TRUE,Backdoors!BI8=TRUE),VLOOKUP(Calculator!E23,tbSkills!DH3:DJ6,3,FALSE),0),0))&gt;=0,1+(Backdoors!AL2*(IF((Backdoors!AI12+IF(AK35&gt;=0.45,VLOOKUP(Calculator!E23,tbSkills!DH3:DI6,2,FALSE)+IF(AND(Calculator!B8=TRUE,Backdoors!BI8=TRUE),VLOOKUP(Calculator!E23,tbSkills!DH3:DJ6,3,FALSE),0),0))&gt;=100,100,(Backdoors!AI12+IF(AK35&gt;=0.45,VLOOKUP(Calculator!E23,tbSkills!DH3:DI6,2,FALSE)+IF(AND(Calculator!B8=TRUE,Backdoors!BI8=TRUE),VLOOKUP(Calculator!E23,tbSkills!DH3:DJ6,3,FALSE),0),0)))/100)),(1-(0.25*((-Backdoors!AI12-IF(AK35&gt;=0.45,VLOOKUP(Calculator!E23,tbSkills!DH3:DI6,2,FALSE)+IF(AND(Calculator!B8=TRUE,Backdoors!BI8=TRUE),VLOOKUP(Calculator!E23,tbSkills!DH3:DJ6,3,FALSE),0),0))/100)))),1),"")</f>
        <v>1</v>
      </c>
      <c r="AN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K35)*AM35)*(VLOOKUP(A35,tbMoveset!A2:C112,3,FALSE)/100)*IF(VLOOKUP(A35,tbMoveset!A2:B112,2,FALSE)="Projectile",Backdoors!N10,Backdoors!N9),0),"")</f>
        <v>6</v>
      </c>
      <c r="AO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K35&gt;=0.45,VLOOKUP(Calculator!E23,tbSkills!DH3:DI6,2,FALSE)+IF(AND(Calculator!B8=TRUE,Backdoors!BI8=TRUE),VLOOKUP(Calculator!E23,tbSkills!DH3:DJ6,3,FALSE),0),0))&gt;=100,100,(Backdoors!AI12+IF(AK35&gt;=0.45,VLOOKUP(Calculator!E23,tbSkills!DH3:DI6,2,FALSE)+IF(AND(Calculator!B8=TRUE,Backdoors!BI8=TRUE),VLOOKUP(Calculator!E23,tbSkills!DH3:DJ6,3,FALSE),0),0)))/100)),1))*IF(VLOOKUP(A35,tbMoveset!A2:K112,11,FALSE)=TRUE,Backdoors!AC5,1))*AL35,0),"")</f>
        <v>0</v>
      </c>
      <c r="AP35" s="49">
        <f>VLOOKUP(A35,tbMoveset!A2:G112,7,FALSE)*IFERROR(IF(Backdoors!AI12&gt;=0,1+(IF(Calculator!E40&gt;0,VLOOKUP(Calculator!E40,tbSkills!AI3:AJ5,2,FALSE),Backdoors!AL4)*(IF((Backdoors!AI12+IF(AK35&gt;=0.45,VLOOKUP(Calculator!E23,tbSkills!DH3:DI6,2,FALSE)+IF(AND(Calculator!B8=TRUE,Backdoors!BI8=TRUE),VLOOKUP(Calculator!E23,tbSkills!DH3:DJ6,3,FALSE),0),0))&gt;=100,100,(Backdoors!AI12+IF(AK35&gt;=0.45,VLOOKUP(Calculator!E23,tbSkills!DH3:DI6,2,FALSE)+IF(AND(Calculator!B8=TRUE,Backdoors!BI8=TRUE),VLOOKUP(Calculator!E23,tbSkills!DH3:DJ6,3,FALSE),0),0)))/100)),1),1)</f>
        <v>0.8</v>
      </c>
      <c r="AQ35" s="87">
        <f t="shared" ref="AQ35:AQ66" si="49">SUM(AN35:AO35)</f>
        <v>6</v>
      </c>
      <c r="AR35" s="86">
        <f>IFERROR(IF(VLOOKUP(A35,tbMoveset!A2:B112,2,FALSE)="Sever",Backdoors!AY9/100,IF(VLOOKUP(A35,tbMoveset!A2:B112,2,FALSE)="Blunt",Backdoors!AZ9/100,Backdoors!BA9/100)),"")</f>
        <v>0.45</v>
      </c>
      <c r="AS35" s="49">
        <f>IFERROR(IF(VLOOKUP(tbMoveset!A35,tbMoveset!A2:H112,8,FALSE)="Other",IF(VLOOKUP(tbMoveset!A35,tbMoveset!A2:I112,9,FALSE)="Fire",Backdoors!BB9,IF(VLOOKUP(tbMoveset!A35,tbMoveset!A2:I112,9,FALSE)="Water",Backdoors!BC9,IF(VLOOKUP(tbMoveset!A35,tbMoveset!A2:I112,9,FALSE)="Thunder",Backdoors!BD9,IF(VLOOKUP(tbMoveset!A35,tbMoveset!A2:I112,9,FALSE)="Ice",Backdoors!BE9,IF(VLOOKUP(tbMoveset!A35,tbMoveset!A2:I112,9,FALSE)="Dragon",Backdoors!BF9,Backdoors!BG9)))))/100,Backdoors!BG9/100),"")</f>
        <v>0</v>
      </c>
      <c r="AT35" s="49">
        <f>IFERROR(IF(VLOOKUP(A35,tbMoveset!A2:J112,10,FALSE)=TRUE,IF((Backdoors!AI12+IF(AR35&gt;=0.45,VLOOKUP(Calculator!E23,tbSkills!DH3:DI6,2,FALSE)+IF(AND(Calculator!B8=TRUE,Backdoors!BI9=TRUE),VLOOKUP(Calculator!E23,tbSkills!DH3:DJ6,3,FALSE),0),0))&gt;=0,1+(Backdoors!AL2*(IF((Backdoors!AI12+IF(AR35&gt;=0.45,VLOOKUP(Calculator!E23,tbSkills!DH3:DI6,2,FALSE)+IF(AND(Calculator!B8=TRUE,Backdoors!BI9=TRUE),VLOOKUP(Calculator!E23,tbSkills!DH3:DJ6,3,FALSE),0),0))&gt;=100,100,(Backdoors!AI12+IF(AR35&gt;=0.45,VLOOKUP(Calculator!E23,tbSkills!DH3:DI6,2,FALSE)+IF(AND(Calculator!B8=TRUE,Backdoors!BI9=TRUE),VLOOKUP(Calculator!E23,tbSkills!DH3:DJ6,3,FALSE),0),0)))/100)),(1-(0.25*((-Backdoors!AI12-IF(AR35&gt;=0.45,VLOOKUP(Calculator!E23,tbSkills!DH3:DI6,2,FALSE)+IF(AND(Calculator!B8=TRUE,Backdoors!BI9=TRUE),VLOOKUP(Calculator!E23,tbSkills!DH3:DJ6,3,FALSE),0),0))/100)))),1),"")</f>
        <v>1</v>
      </c>
      <c r="AU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R35)*AT35)*(VLOOKUP(A35,tbMoveset!A2:C112,3,FALSE)/100)*IF(VLOOKUP(A35,tbMoveset!A2:B112,2,FALSE)="Projectile",Backdoors!N10,Backdoors!N9),0),"")</f>
        <v>6</v>
      </c>
      <c r="AV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R35&gt;=0.45,VLOOKUP(Calculator!E23,tbSkills!DH3:DI6,2,FALSE)+IF(AND(Calculator!B8=TRUE,Backdoors!BI9=TRUE),VLOOKUP(Calculator!E23,tbSkills!DH3:DJ6,3,FALSE),0),0))&gt;=100,100,(Backdoors!AI12+IF(AR35&gt;=0.45,VLOOKUP(Calculator!E23,tbSkills!DH3:DI6,2,FALSE)+IF(AND(Calculator!B8=TRUE,Backdoors!BI9=TRUE),VLOOKUP(Calculator!E23,tbSkills!DH3:DJ6,3,FALSE),0),0)))/100)),1))*IF(VLOOKUP(A35,tbMoveset!A2:K112,11,FALSE)=TRUE,Backdoors!AC5,1))*AS35,0),"")</f>
        <v>0</v>
      </c>
      <c r="AW35" s="49">
        <f>VLOOKUP(A35,tbMoveset!A2:G112,7,FALSE)*IFERROR(IF(Backdoors!AI12&gt;=0,1+(IF(Calculator!E40&gt;0,VLOOKUP(Calculator!E40,tbSkills!AI3:AJ5,2,FALSE),Backdoors!AL4)*(IF((Backdoors!AI12+IF(AR35&gt;=0.45,VLOOKUP(Calculator!E23,tbSkills!DH3:DI6,2,FALSE)+IF(AND(Calculator!B8=TRUE,Backdoors!BI9=TRUE),VLOOKUP(Calculator!E23,tbSkills!DH3:DJ6,3,FALSE),0),0))&gt;=100,100,(Backdoors!AI12+IF(AR35&gt;=0.45,VLOOKUP(Calculator!E23,tbSkills!DH3:DI6,2,FALSE)+IF(AND(Calculator!B8=TRUE,Backdoors!BI9=TRUE),VLOOKUP(Calculator!E23,tbSkills!DH3:DJ6,3,FALSE),0),0)))/100)),1),1)</f>
        <v>0.8</v>
      </c>
      <c r="AX35" s="87">
        <f t="shared" ref="AX35:AX66" si="50">SUM(AU35:AV35)</f>
        <v>6</v>
      </c>
      <c r="AY35" s="86">
        <f>IFERROR(IF(VLOOKUP(A35,tbMoveset!A2:B112,2,FALSE)="Sever",Backdoors!AY10/100,IF(VLOOKUP(A35,tbMoveset!A2:B112,2,FALSE)="Blunt",Backdoors!AZ10/100,Backdoors!BA10/100)),"")</f>
        <v>0.9</v>
      </c>
      <c r="AZ35" s="49">
        <f>IFERROR(IF(VLOOKUP(tbMoveset!A35,tbMoveset!A2:H112,8,FALSE)="Other",IF(VLOOKUP(tbMoveset!A35,tbMoveset!A2:I112,9,FALSE)="Fire",Backdoors!BB10,IF(VLOOKUP(tbMoveset!A35,tbMoveset!A2:I112,9,FALSE)="Water",Backdoors!BC10,IF(VLOOKUP(tbMoveset!A35,tbMoveset!A2:I112,9,FALSE)="Thunder",Backdoors!BD10,IF(VLOOKUP(tbMoveset!A35,tbMoveset!A2:I112,9,FALSE)="Ice",Backdoors!BE10,IF(VLOOKUP(tbMoveset!A35,tbMoveset!A2:I112,9,FALSE)="Dragon",Backdoors!BF10,Backdoors!BG10)))))/100,Backdoors!BG10/100),"")</f>
        <v>0</v>
      </c>
      <c r="BA35" s="49">
        <f>IFERROR(IF(VLOOKUP(A35,tbMoveset!A2:J112,10,FALSE)=TRUE,IF((Backdoors!AI12+IF(AY35&gt;=0.45,VLOOKUP(Calculator!E23,tbSkills!DH3:DI6,2,FALSE)+IF(AND(Calculator!B8=TRUE,Backdoors!BI10=TRUE),VLOOKUP(Calculator!E23,tbSkills!DH3:DJ6,3,FALSE),0),0))&gt;=0,1+(Backdoors!AL2*(IF((Backdoors!AI12+IF(AY35&gt;=0.45,VLOOKUP(Calculator!E23,tbSkills!DH3:DI6,2,FALSE)+IF(AND(Calculator!B8=TRUE,Backdoors!BI10=TRUE),VLOOKUP(Calculator!E23,tbSkills!DH3:DJ6,3,FALSE),0),0))&gt;=100,100,(Backdoors!AI12+IF(AY35&gt;=0.45,VLOOKUP(Calculator!E23,tbSkills!DH3:DI6,2,FALSE)+IF(AND(Calculator!B8=TRUE,Backdoors!BI10=TRUE),VLOOKUP(Calculator!E23,tbSkills!DH3:DJ6,3,FALSE),0),0)))/100)),(1-(0.25*((-Backdoors!AI12-IF(AY35&gt;=0.45,VLOOKUP(Calculator!E23,tbSkills!DH3:DI6,2,FALSE)+IF(AND(Calculator!B8=TRUE,Backdoors!BI10=TRUE),VLOOKUP(Calculator!E23,tbSkills!DH3:DJ6,3,FALSE),0),0))/100)))),1),"")</f>
        <v>1</v>
      </c>
      <c r="BB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Y35)*BA35)*(VLOOKUP(A35,tbMoveset!A2:C112,3,FALSE)/100)*IF(VLOOKUP(A35,tbMoveset!A2:B112,2,FALSE)="Projectile",Backdoors!N10,Backdoors!N9),0),"")</f>
        <v>13</v>
      </c>
      <c r="BC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Y35&gt;=0.45,VLOOKUP(Calculator!E23,tbSkills!DH3:DI6,2,FALSE)+IF(AND(Calculator!B8=TRUE,Backdoors!BI10=TRUE),VLOOKUP(Calculator!E23,tbSkills!DH3:DJ6,3,FALSE),0),0))&gt;=100,100,(Backdoors!AI12+IF(AY35&gt;=0.45,VLOOKUP(Calculator!E23,tbSkills!DH3:DI6,2,FALSE)+IF(AND(Calculator!B8=TRUE,Backdoors!BI10=TRUE),VLOOKUP(Calculator!E23,tbSkills!DH3:DJ6,3,FALSE),0),0)))/100)),1))*IF(VLOOKUP(A35,tbMoveset!A2:K112,11,FALSE)=TRUE,Backdoors!AC5,1))*AZ35,0),"")</f>
        <v>0</v>
      </c>
      <c r="BD35" s="49">
        <f>VLOOKUP(A35,tbMoveset!A2:G112,7,FALSE)*IFERROR(IF(Backdoors!AI12&gt;=0,1+(IF(Calculator!E40&gt;0,VLOOKUP(Calculator!E40,tbSkills!AI3:AJ5,2,FALSE),Backdoors!AL4)*(IF((Backdoors!AI12+IF(AY35&gt;=0.45,VLOOKUP(Calculator!E23,tbSkills!DH3:DI6,2,FALSE)+IF(AND(Calculator!B8=TRUE,Backdoors!BI10=TRUE),VLOOKUP(Calculator!E23,tbSkills!DH3:DJ6,3,FALSE),0),0))&gt;=100,100,(Backdoors!AI12+IF(AY35&gt;=0.45,VLOOKUP(Calculator!E23,tbSkills!DH3:DI6,2,FALSE)+IF(AND(Calculator!B8=TRUE,Backdoors!BI10=TRUE),VLOOKUP(Calculator!E23,tbSkills!DH3:DJ6,3,FALSE),0),0)))/100)),1),1)</f>
        <v>0.8</v>
      </c>
      <c r="BE35" s="87">
        <f t="shared" si="3"/>
        <v>13</v>
      </c>
      <c r="BF35" s="86" t="str">
        <f>IFERROR(IF(VLOOKUP(A35,tbMoveset!A2:B112,2,FALSE)="Sever",Backdoors!AY11/100,IF(VLOOKUP(A35,tbMoveset!A2:B112,2,FALSE)="Blunt",Backdoors!AZ11/100,Backdoors!BA11/100)),"")</f>
        <v/>
      </c>
      <c r="BG35" s="49">
        <f>IFERROR(IF(VLOOKUP(tbMoveset!A35,tbMoveset!A2:H112,8,FALSE)="Other",IF(VLOOKUP(tbMoveset!A35,tbMoveset!A2:I112,9,FALSE)="Fire",Backdoors!BB11,IF(VLOOKUP(tbMoveset!A35,tbMoveset!A2:I112,9,FALSE)="Water",Backdoors!BC11,IF(VLOOKUP(tbMoveset!A35,tbMoveset!A2:I112,9,FALSE)="Thunder",Backdoors!BD11,IF(VLOOKUP(tbMoveset!A35,tbMoveset!A2:I112,9,FALSE)="Ice",Backdoors!BE11,IF(VLOOKUP(tbMoveset!A35,tbMoveset!A2:I112,9,FALSE)="Dragon",Backdoors!BF11,Backdoors!BG11)))))/100,Backdoors!BG11/100),"")</f>
        <v>0</v>
      </c>
      <c r="BH35" s="49">
        <f>IFERROR(IF(VLOOKUP(A35,tbMoveset!A2:J112,10,FALSE)=TRUE,IF((Backdoors!AI12+IF(BF35&gt;=0.45,VLOOKUP(Calculator!E23,tbSkills!DH3:DI6,2,FALSE)+IF(AND(Calculator!B8=TRUE,Backdoors!BI11=TRUE),VLOOKUP(Calculator!E23,tbSkills!DH3:DJ6,3,FALSE),0),0))&gt;=0,1+(Backdoors!AL2*(IF((Backdoors!AI12+IF(BF35&gt;=0.45,VLOOKUP(Calculator!E23,tbSkills!DH3:DI6,2,FALSE)+IF(AND(Calculator!B8=TRUE,Backdoors!BI11=TRUE),VLOOKUP(Calculator!E23,tbSkills!DH3:DJ6,3,FALSE),0),0))&gt;=100,100,(Backdoors!AI12+IF(BF35&gt;=0.45,VLOOKUP(Calculator!E23,tbSkills!DH3:DI6,2,FALSE)+IF(AND(Calculator!B8=TRUE,Backdoors!BI11=TRUE),VLOOKUP(Calculator!E23,tbSkills!DH3:DJ6,3,FALSE),0),0)))/100)),(1-(0.25*((-Backdoors!AI12-IF(BF35&gt;=0.45,VLOOKUP(Calculator!E23,tbSkills!DH3:DI6,2,FALSE)+IF(AND(Calculator!B8=TRUE,Backdoors!BI11=TRUE),VLOOKUP(Calculator!E23,tbSkills!DH3:DJ6,3,FALSE),0),0))/100)))),1),"")</f>
        <v>1</v>
      </c>
      <c r="BI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F35)*BH35)*(VLOOKUP(A35,tbMoveset!A2:C112,3,FALSE)/100)*IF(VLOOKUP(A35,tbMoveset!A2:B112,2,FALSE)="Projectile",Backdoors!N10,Backdoors!N9),0),"")</f>
        <v/>
      </c>
      <c r="BJ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F35&gt;=0.45,VLOOKUP(Calculator!E23,tbSkills!DH3:DI6,2,FALSE)+IF(AND(Calculator!B8=TRUE,Backdoors!BI11=TRUE),VLOOKUP(Calculator!E23,tbSkills!DH3:DJ6,3,FALSE),0),0))&gt;=100,100,(Backdoors!AI12+IF(BF35&gt;=0.45,VLOOKUP(Calculator!E23,tbSkills!DH3:DI6,2,FALSE)+IF(AND(Calculator!B8=TRUE,Backdoors!BI11=TRUE),VLOOKUP(Calculator!E23,tbSkills!DH3:DJ6,3,FALSE),0),0)))/100)),1))*IF(VLOOKUP(A35,tbMoveset!A2:K112,11,FALSE)=TRUE,Backdoors!AC5,1))*BG35,0),"")</f>
        <v>0</v>
      </c>
      <c r="BK35" s="49">
        <f>VLOOKUP(A35,tbMoveset!A2:G112,7,FALSE)*IFERROR(IF(Backdoors!AI12&gt;=0,1+(IF(Calculator!E40&gt;0,VLOOKUP(Calculator!E40,tbSkills!AI3:AJ5,2,FALSE),Backdoors!AL4)*(IF((Backdoors!AI12+IF(BF35&gt;=0.45,VLOOKUP(Calculator!E23,tbSkills!DH3:DI6,2,FALSE)+IF(AND(Calculator!B8=TRUE,Backdoors!BI11=TRUE),VLOOKUP(Calculator!E23,tbSkills!DH3:DJ6,3,FALSE),0),0))&gt;=100,100,(Backdoors!AI12+IF(BF35&gt;=0.45,VLOOKUP(Calculator!E23,tbSkills!DH3:DI6,2,FALSE)+IF(AND(Calculator!B8=TRUE,Backdoors!BI11=TRUE),VLOOKUP(Calculator!E23,tbSkills!DH3:DJ6,3,FALSE),0),0)))/100)),1),1)</f>
        <v>0.8</v>
      </c>
      <c r="BL35" s="87">
        <f t="shared" si="4"/>
        <v>0</v>
      </c>
      <c r="BM35" s="86" t="str">
        <f>IFERROR(IF(VLOOKUP(A35,tbMoveset!A2:B112,2,FALSE)="Sever",Backdoors!AY12/100,IF(VLOOKUP(A35,tbMoveset!A2:B112,2,FALSE)="Blunt",Backdoors!AZ12/100,Backdoors!BA12/100)),"")</f>
        <v/>
      </c>
      <c r="BN35" s="49">
        <f>IFERROR(IF(VLOOKUP(tbMoveset!A35,tbMoveset!A2:H112,8,FALSE)="Other",IF(VLOOKUP(tbMoveset!A35,tbMoveset!A2:I112,9,FALSE)="Fire",Backdoors!BB12,IF(VLOOKUP(tbMoveset!A35,tbMoveset!A2:I112,9,FALSE)="Water",Backdoors!BC12,IF(VLOOKUP(tbMoveset!A35,tbMoveset!A2:I112,9,FALSE)="Thunder",Backdoors!BD12,IF(VLOOKUP(tbMoveset!A35,tbMoveset!A2:I112,9,FALSE)="Ice",Backdoors!BE12,IF(VLOOKUP(tbMoveset!A35,tbMoveset!A2:I112,9,FALSE)="Dragon",Backdoors!BF12,Backdoors!BG12)))))/100,Backdoors!BG12/100),"")</f>
        <v>0</v>
      </c>
      <c r="BO35" s="49">
        <f>IFERROR(IF(VLOOKUP(A35,tbMoveset!A2:J112,10,FALSE)=TRUE,IF((Backdoors!AI12+IF(BM35&gt;=0.45,VLOOKUP(Calculator!E23,tbSkills!DH3:DI6,2,FALSE)+IF(AND(Calculator!B8=TRUE,Backdoors!BI12=TRUE),VLOOKUP(Calculator!E23,tbSkills!DH3:DJ6,3,FALSE),0),0))&gt;=0,1+(Backdoors!AL2*(IF((Backdoors!AI12+IF(BM35&gt;=0.45,VLOOKUP(Calculator!E23,tbSkills!DH3:DI6,2,FALSE)+IF(AND(Calculator!B8=TRUE,Backdoors!BI12=TRUE),VLOOKUP(Calculator!E23,tbSkills!DH3:DJ6,3,FALSE),0),0))&gt;=100,100,(Backdoors!AI12+IF(BM35&gt;=0.45,VLOOKUP(Calculator!E23,tbSkills!DH3:DI6,2,FALSE)+IF(AND(Calculator!B8=TRUE,Backdoors!BI12=TRUE),VLOOKUP(Calculator!E23,tbSkills!DH3:DJ6,3,FALSE),0),0)))/100)),(1-(0.25*((-Backdoors!AI12-IF(BM35&gt;=0.45,VLOOKUP(Calculator!E23,tbSkills!DH3:DI6,2,FALSE)+IF(AND(Calculator!B8=TRUE,Backdoors!BI12=TRUE),VLOOKUP(Calculator!E23,tbSkills!DH3:DJ6,3,FALSE),0),0))/100)))),1),"")</f>
        <v>1</v>
      </c>
      <c r="BP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M35)*BO35)*(VLOOKUP(A35,tbMoveset!A2:C112,3,FALSE)/100)*IF(VLOOKUP(A35,tbMoveset!A2:B112,2,FALSE)="Projectile",Backdoors!N10,Backdoors!N9),0),"")</f>
        <v/>
      </c>
      <c r="BQ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M35&gt;=0.45,VLOOKUP(Calculator!E23,tbSkills!DH3:DI6,2,FALSE)+IF(AND(Calculator!B8=TRUE,Backdoors!BI12=TRUE),VLOOKUP(Calculator!E23,tbSkills!DH3:DJ6,3,FALSE),0),0))&gt;=100,100,(Backdoors!AI12+IF(BM35&gt;=0.45,VLOOKUP(Calculator!E23,tbSkills!DH3:DI6,2,FALSE)+IF(AND(Calculator!B8=TRUE,Backdoors!BI12=TRUE),VLOOKUP(Calculator!E23,tbSkills!DH3:DJ6,3,FALSE),0),0)))/100)),1))*IF(VLOOKUP(A35,tbMoveset!A2:K112,11,FALSE)=TRUE,Backdoors!AC5,1))*BN35,0),"")</f>
        <v>0</v>
      </c>
      <c r="BR35" s="49">
        <f>VLOOKUP(A35,tbMoveset!A2:G112,7,FALSE)*IFERROR(IF(Backdoors!AI12&gt;=0,1+(IF(Calculator!E40&gt;0,VLOOKUP(Calculator!E40,tbSkills!AI3:AJ5,2,FALSE),Backdoors!AL4)*(IF((Backdoors!AI12+IF(BM35&gt;=0.45,VLOOKUP(Calculator!E23,tbSkills!DH3:DI6,2,FALSE)+IF(AND(Calculator!B8=TRUE,Backdoors!BI12=TRUE),VLOOKUP(Calculator!E23,tbSkills!DH3:DJ6,3,FALSE),0),0))&gt;=100,100,(Backdoors!AI12+IF(BM35&gt;=0.45,VLOOKUP(Calculator!E23,tbSkills!DH3:DI6,2,FALSE)+IF(AND(Calculator!B8=TRUE,Backdoors!BI12=TRUE),VLOOKUP(Calculator!E23,tbSkills!DH3:DJ6,3,FALSE),0),0)))/100)),1),1)</f>
        <v>0.8</v>
      </c>
      <c r="BS35" s="87">
        <f t="shared" si="39"/>
        <v>0</v>
      </c>
      <c r="BT35" s="86" t="str">
        <f>IFERROR(IF(VLOOKUP(A35,tbMoveset!A2:B112,2,FALSE)="Sever",Backdoors!AY13/100,IF(VLOOKUP(A35,tbMoveset!A2:B112,2,FALSE)="Blunt",Backdoors!AZ13/100,Backdoors!BA13/100)),"")</f>
        <v/>
      </c>
      <c r="BU35" s="49">
        <f>IFERROR(IF(VLOOKUP(tbMoveset!A35,tbMoveset!A2:H112,8,FALSE)="Other",IF(VLOOKUP(tbMoveset!A35,tbMoveset!A2:I112,9,FALSE)="Fire",Backdoors!BB13,IF(VLOOKUP(tbMoveset!A35,tbMoveset!A2:I112,9,FALSE)="Water",Backdoors!BC13,IF(VLOOKUP(tbMoveset!A35,tbMoveset!A2:I112,9,FALSE)="Thunder",Backdoors!BD13,IF(VLOOKUP(tbMoveset!A35,tbMoveset!A2:I112,9,FALSE)="Ice",Backdoors!BE13,IF(VLOOKUP(tbMoveset!A35,tbMoveset!A2:I112,9,FALSE)="Dragon",Backdoors!BF13,Backdoors!BG13)))))/100,Backdoors!BG13/100),"")</f>
        <v>0</v>
      </c>
      <c r="BV35" s="49">
        <f>IFERROR(IF(VLOOKUP(A35,tbMoveset!A2:J112,10,FALSE)=TRUE,IF((Backdoors!AI12+IF(BT35&gt;=0.45,VLOOKUP(Calculator!E23,tbSkills!DH3:DI6,2,FALSE)+IF(AND(Calculator!B8=TRUE,Backdoors!BI13=TRUE),VLOOKUP(Calculator!E23,tbSkills!DH3:DJ6,3,FALSE),0),0))&gt;=0,1+(Backdoors!AL2*(IF((Backdoors!AI12+IF(BT35&gt;=0.45,VLOOKUP(Calculator!E23,tbSkills!DH3:DI6,2,FALSE)+IF(AND(Calculator!B8=TRUE,Backdoors!BI13=TRUE),VLOOKUP(Calculator!E23,tbSkills!DH3:DJ6,3,FALSE),0),0))&gt;=100,100,(Backdoors!AI12+IF(BT35&gt;=0.45,VLOOKUP(Calculator!E23,tbSkills!DH3:DI6,2,FALSE)+IF(AND(Calculator!B8=TRUE,Backdoors!BI13=TRUE),VLOOKUP(Calculator!E23,tbSkills!DH3:DJ6,3,FALSE),0),0)))/100)),(1-(0.25*((-Backdoors!AI12-IF(BT35&gt;=0.45,VLOOKUP(Calculator!E23,tbSkills!DH3:DI6,2,FALSE)+IF(AND(Calculator!B8=TRUE,Backdoors!BI13=TRUE),VLOOKUP(Calculator!E23,tbSkills!DH3:DJ6,3,FALSE),0),0))/100)))),1),"")</f>
        <v>1</v>
      </c>
      <c r="BW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T35)*BV35)*(VLOOKUP(A35,tbMoveset!A2:C112,3,FALSE)/100)*IF(VLOOKUP(A35,tbMoveset!A2:B112,2,FALSE)="Projectile",Backdoors!N10,Backdoors!N9),0),"")</f>
        <v/>
      </c>
      <c r="BX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T35&gt;=0.45,VLOOKUP(Calculator!E23,tbSkills!DH3:DI6,2,FALSE)+IF(AND(Calculator!B8=TRUE,Backdoors!BI13=TRUE),VLOOKUP(Calculator!E23,tbSkills!DH3:DJ6,3,FALSE),0),0))&gt;=100,100,(Backdoors!AI12+IF(BT35&gt;=0.45,VLOOKUP(Calculator!E23,tbSkills!DH3:DI6,2,FALSE)+IF(AND(Calculator!B8=TRUE,Backdoors!BI13=TRUE),VLOOKUP(Calculator!E23,tbSkills!DH3:DJ6,3,FALSE),0),0)))/100)),1))*IF(VLOOKUP(A35,tbMoveset!A2:K112,11,FALSE)=TRUE,Backdoors!AC5,1))*BU35,0),"")</f>
        <v>0</v>
      </c>
      <c r="BY35" s="49">
        <f>VLOOKUP(A35,tbMoveset!A2:G112,7,FALSE)*IFERROR(IF(Backdoors!AI12&gt;=0,1+(IF(Calculator!E40&gt;0,VLOOKUP(Calculator!E40,tbSkills!AI3:AJ5,2,FALSE),Backdoors!AL4)*(IF((Backdoors!AI12+IF(BT35&gt;=0.45,VLOOKUP(Calculator!E23,tbSkills!DH3:DI6,2,FALSE)+IF(AND(Calculator!B8=TRUE,Backdoors!BI13=TRUE),VLOOKUP(Calculator!E23,tbSkills!DH3:DJ6,3,FALSE),0),0))&gt;=100,100,(Backdoors!AI12+IF(BT35&gt;=0.45,VLOOKUP(Calculator!E23,tbSkills!DH3:DI6,2,FALSE)+IF(AND(Calculator!B8=TRUE,Backdoors!BI13=TRUE),VLOOKUP(Calculator!E23,tbSkills!DH3:DJ6,3,FALSE),0),0)))/100)),1),1)</f>
        <v>0.8</v>
      </c>
      <c r="BZ35" s="87">
        <f t="shared" si="5"/>
        <v>0</v>
      </c>
      <c r="CA35" s="86" t="str">
        <f>IFERROR(IF(VLOOKUP(A35,tbMoveset!A2:B112,2,FALSE)="Sever",Backdoors!AY14/100,IF(VLOOKUP(A35,tbMoveset!A2:B112,2,FALSE)="Blunt",Backdoors!AZ14/100,Backdoors!BA14/100)),"")</f>
        <v/>
      </c>
      <c r="CB35" s="49">
        <f>IFERROR(IF(VLOOKUP(tbMoveset!A35,tbMoveset!A2:H112,8,FALSE)="Other",IF(VLOOKUP(tbMoveset!A35,tbMoveset!A2:I112,9,FALSE)="Fire",Backdoors!BB14,IF(VLOOKUP(tbMoveset!A35,tbMoveset!A2:I112,9,FALSE)="Water",Backdoors!BC14,IF(VLOOKUP(tbMoveset!A35,tbMoveset!A2:I112,9,FALSE)="Thunder",Backdoors!BD14,IF(VLOOKUP(tbMoveset!A35,tbMoveset!A2:I112,9,FALSE)="Ice",Backdoors!BE14,IF(VLOOKUP(tbMoveset!A35,tbMoveset!A2:I112,9,FALSE)="Dragon",Backdoors!BF14,Backdoors!BG14)))))/100,Backdoors!BG14/100),"")</f>
        <v>0</v>
      </c>
      <c r="CC35" s="49">
        <f>IFERROR(IF(VLOOKUP(A35,tbMoveset!A2:J112,10,FALSE)=TRUE,IF((Backdoors!AI12+IF(CA35&gt;=0.45,VLOOKUP(Calculator!E23,tbSkills!DH3:DI6,2,FALSE)+IF(AND(Calculator!B8=TRUE,Backdoors!BI14=TRUE),VLOOKUP(Calculator!E23,tbSkills!DH3:DJ6,3,FALSE),0),0))&gt;=0,1+(Backdoors!AL2*(IF((Backdoors!AI12+IF(CA35&gt;=0.45,VLOOKUP(Calculator!E23,tbSkills!DH3:DI6,2,FALSE)+IF(AND(Calculator!B8=TRUE,Backdoors!BI14=TRUE),VLOOKUP(Calculator!E23,tbSkills!DH3:DJ6,3,FALSE),0),0))&gt;=100,100,(Backdoors!AI12+IF(CA35&gt;=0.45,VLOOKUP(Calculator!E23,tbSkills!DH3:DI6,2,FALSE)+IF(AND(Calculator!B8=TRUE,Backdoors!BI14=TRUE),VLOOKUP(Calculator!E23,tbSkills!DH3:DJ6,3,FALSE),0),0)))/100)),(1-(0.25*((-Backdoors!AI12-IF(CA35&gt;=0.45,VLOOKUP(Calculator!E23,tbSkills!DH3:DI6,2,FALSE)+IF(AND(Calculator!B8=TRUE,Backdoors!BI14=TRUE),VLOOKUP(Calculator!E23,tbSkills!DH3:DJ6,3,FALSE),0),0))/100)))),1),"")</f>
        <v>1</v>
      </c>
      <c r="CD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A35)*CC35)*(VLOOKUP(A35,tbMoveset!A2:C112,3,FALSE)/100)*IF(VLOOKUP(A35,tbMoveset!A2:B112,2,FALSE)="Projectile",Backdoors!N10,Backdoors!N9),0),"")</f>
        <v/>
      </c>
      <c r="CE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A35&gt;=0.45,VLOOKUP(Calculator!E23,tbSkills!DH3:DI6,2,FALSE)+IF(AND(Calculator!B8=TRUE,Backdoors!BI14=TRUE),VLOOKUP(Calculator!E23,tbSkills!DH3:DJ6,3,FALSE),0),0))&gt;=100,100,(Backdoors!AI12+IF(CA35&gt;=0.45,VLOOKUP(Calculator!E23,tbSkills!DH3:DI6,2,FALSE)+IF(AND(Calculator!B8=TRUE,Backdoors!BI14=TRUE),VLOOKUP(Calculator!E23,tbSkills!DH3:DJ6,3,FALSE),0),0)))/100)),1))*IF(VLOOKUP(A35,tbMoveset!A2:K112,11,FALSE)=TRUE,Backdoors!AC5,1))*CB35,0),"")</f>
        <v>0</v>
      </c>
      <c r="CF35" s="49">
        <f>VLOOKUP(A35,tbMoveset!A2:G112,7,FALSE)*IFERROR(IF(Backdoors!AI12&gt;=0,1+(IF(Calculator!E40&gt;0,VLOOKUP(Calculator!E40,tbSkills!AI3:AJ5,2,FALSE),Backdoors!AL4)*(IF((Backdoors!AI12+IF(CA35&gt;=0.45,VLOOKUP(Calculator!E23,tbSkills!DH3:DI6,2,FALSE)+IF(AND(Calculator!B8=TRUE,Backdoors!BI14=TRUE),VLOOKUP(Calculator!E23,tbSkills!DH3:DJ6,3,FALSE),0),0))&gt;=100,100,(Backdoors!AI12+IF(CA35&gt;=0.45,VLOOKUP(Calculator!E23,tbSkills!DH3:DI6,2,FALSE)+IF(AND(Calculator!B8=TRUE,Backdoors!BI14=TRUE),VLOOKUP(Calculator!E23,tbSkills!DH3:DJ6,3,FALSE),0),0)))/100)),1),1)</f>
        <v>0.8</v>
      </c>
      <c r="CG35" s="87">
        <f t="shared" si="6"/>
        <v>0</v>
      </c>
      <c r="CH35" s="86" t="str">
        <f>IFERROR(IF(VLOOKUP(A35,tbMoveset!A2:B112,2,FALSE)="Sever",Backdoors!AY15/100,IF(VLOOKUP(A35,tbMoveset!A2:B112,2,FALSE)="Blunt",Backdoors!AZ15/100,Backdoors!BA15/100)),"")</f>
        <v/>
      </c>
      <c r="CI35" s="49">
        <f>IFERROR(IF(VLOOKUP(tbMoveset!A35,tbMoveset!A2:H112,8,FALSE)="Other",IF(VLOOKUP(tbMoveset!A35,tbMoveset!A2:I112,9,FALSE)="Fire",Backdoors!BB15,IF(VLOOKUP(tbMoveset!A35,tbMoveset!A2:I112,9,FALSE)="Water",Backdoors!BC15,IF(VLOOKUP(tbMoveset!A35,tbMoveset!A2:I112,9,FALSE)="Thunder",Backdoors!BD15,IF(VLOOKUP(tbMoveset!A35,tbMoveset!A2:I112,9,FALSE)="Ice",Backdoors!BE15,IF(VLOOKUP(tbMoveset!A35,tbMoveset!A2:I112,9,FALSE)="Dragon",Backdoors!BF15,Backdoors!BG15)))))/100,Backdoors!BG15/100),"")</f>
        <v>0</v>
      </c>
      <c r="CJ35" s="49">
        <f>IFERROR(IF(VLOOKUP(A35,tbMoveset!A2:J112,10,FALSE)=TRUE,IF((Backdoors!AI12+IF(CH35&gt;=0.45,VLOOKUP(Calculator!E23,tbSkills!DH3:DI6,2,FALSE)+IF(AND(Calculator!B8=TRUE,Backdoors!BI15=TRUE),VLOOKUP(Calculator!E23,tbSkills!DH3:DJ6,3,FALSE),0),0))&gt;=0,1+(Backdoors!AL2*(IF((Backdoors!AI12+IF(CH35&gt;=0.45,VLOOKUP(Calculator!E23,tbSkills!DH3:DI6,2,FALSE)+IF(AND(Calculator!B8=TRUE,Backdoors!BI15=TRUE),VLOOKUP(Calculator!E23,tbSkills!DH3:DJ6,3,FALSE),0),0))&gt;=100,100,(Backdoors!AI12+IF(CH35&gt;=0.45,VLOOKUP(Calculator!E23,tbSkills!DH3:DI6,2,FALSE)+IF(AND(Calculator!B8=TRUE,Backdoors!BI15=TRUE),VLOOKUP(Calculator!E23,tbSkills!DH3:DJ6,3,FALSE),0),0)))/100)),(1-(0.25*((-Backdoors!AI12-IF(CH35&gt;=0.45,VLOOKUP(Calculator!E23,tbSkills!DH3:DI6,2,FALSE)+IF(AND(Calculator!B8=TRUE,Backdoors!BI15=TRUE),VLOOKUP(Calculator!E23,tbSkills!DH3:DJ6,3,FALSE),0),0))/100)))),1),"")</f>
        <v>1</v>
      </c>
      <c r="CK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H35)*CJ35)*(VLOOKUP(A35,tbMoveset!A2:C112,3,FALSE)/100)*IF(VLOOKUP(A35,tbMoveset!A2:B112,2,FALSE)="Projectile",Backdoors!N10,Backdoors!N9),0),"")</f>
        <v/>
      </c>
      <c r="CL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H35&gt;=0.45,VLOOKUP(Calculator!E23,tbSkills!DH3:DI6,2,FALSE)+IF(AND(Calculator!B8=TRUE,Backdoors!BI15=TRUE),VLOOKUP(Calculator!E23,tbSkills!DH3:DJ6,3,FALSE),0),0))&gt;=100,100,(Backdoors!AI12+IF(CH35&gt;=0.45,VLOOKUP(Calculator!E23,tbSkills!DH3:DI6,2,FALSE)+IF(AND(Calculator!B8=TRUE,Backdoors!BI15=TRUE),VLOOKUP(Calculator!E23,tbSkills!DH3:DJ6,3,FALSE),0),0)))/100)),1))*IF(VLOOKUP(A35,tbMoveset!A2:K112,11,FALSE)=TRUE,Backdoors!AC5,1))*CI35,0),"")</f>
        <v>0</v>
      </c>
      <c r="CM35" s="49">
        <f>VLOOKUP(A35,tbMoveset!A2:G112,7,FALSE)*IFERROR(IF(Backdoors!AI12&gt;=0,1+(IF(Calculator!E40&gt;0,VLOOKUP(Calculator!E40,tbSkills!AI3:AJ5,2,FALSE),Backdoors!AL4)*(IF((Backdoors!AI12+IF(CH35&gt;=0.45,VLOOKUP(Calculator!E23,tbSkills!DH3:DI6,2,FALSE)+IF(AND(Calculator!B8=TRUE,Backdoors!BI15=TRUE),VLOOKUP(Calculator!E23,tbSkills!DH3:DJ6,3,FALSE),0),0))&gt;=100,100,(Backdoors!AI12+IF(CH35&gt;=0.45,VLOOKUP(Calculator!E23,tbSkills!DH3:DI6,2,FALSE)+IF(AND(Calculator!B8=TRUE,Backdoors!BI15=TRUE),VLOOKUP(Calculator!E23,tbSkills!DH3:DJ6,3,FALSE),0),0)))/100)),1),1)</f>
        <v>0.8</v>
      </c>
      <c r="CN35" s="87">
        <f t="shared" si="7"/>
        <v>0</v>
      </c>
      <c r="CO35" s="86" t="str">
        <f>IFERROR(IF(VLOOKUP(A35,tbMoveset!A2:B112,2,FALSE)="Sever",Backdoors!AY16/100,IF(VLOOKUP(A35,tbMoveset!A2:B112,2,FALSE)="Blunt",Backdoors!AZ16/100,Backdoors!BA16/100)),"")</f>
        <v/>
      </c>
      <c r="CP35" s="49">
        <f>IFERROR(IF(VLOOKUP(tbMoveset!A35,tbMoveset!A2:H112,8,FALSE)="Other",IF(VLOOKUP(tbMoveset!A35,tbMoveset!A2:I112,9,FALSE)="Fire",Backdoors!BB16,IF(VLOOKUP(tbMoveset!A35,tbMoveset!A2:I112,9,FALSE)="Water",Backdoors!BC16,IF(VLOOKUP(tbMoveset!A35,tbMoveset!A2:I112,9,FALSE)="Thunder",Backdoors!BD16,IF(VLOOKUP(tbMoveset!A35,tbMoveset!A2:I112,9,FALSE)="Ice",Backdoors!BE16,IF(VLOOKUP(tbMoveset!A35,tbMoveset!A2:I112,9,FALSE)="Dragon",Backdoors!BF16,Backdoors!BG16)))))/100,Backdoors!BG16/100),"")</f>
        <v>0</v>
      </c>
      <c r="CQ35" s="49">
        <f>IFERROR(IF(VLOOKUP(A35,tbMoveset!A2:J112,10,FALSE)=TRUE,IF((Backdoors!AI12+IF(CO35&gt;=0.45,VLOOKUP(Calculator!E23,tbSkills!DH3:DI6,2,FALSE)+IF(AND(Calculator!B8=TRUE,Backdoors!BI16=TRUE),VLOOKUP(Calculator!E23,tbSkills!DH3:DJ6,3,FALSE),0),0))&gt;=0,1+(Backdoors!AL2*(IF((Backdoors!AI12+IF(CO35&gt;=0.45,VLOOKUP(Calculator!E23,tbSkills!DH3:DI6,2,FALSE)+IF(AND(Calculator!B8=TRUE,Backdoors!BI16=TRUE),VLOOKUP(Calculator!E23,tbSkills!DH3:DJ6,3,FALSE),0),0))&gt;=100,100,(Backdoors!AI12+IF(CO35&gt;=0.45,VLOOKUP(Calculator!E23,tbSkills!DH3:DI6,2,FALSE)+IF(AND(Calculator!B8=TRUE,Backdoors!BI16=TRUE),VLOOKUP(Calculator!E23,tbSkills!DH3:DJ6,3,FALSE),0),0)))/100)),(1-(0.25*((-Backdoors!AI12-IF(CO35&gt;=0.45,VLOOKUP(Calculator!E23,tbSkills!DH3:DI6,2,FALSE)+IF(AND(Calculator!B8=TRUE,Backdoors!BI16=TRUE),VLOOKUP(Calculator!E23,tbSkills!DH3:DJ6,3,FALSE),0),0))/100)))),1),"")</f>
        <v>1</v>
      </c>
      <c r="CR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O35)*CQ35)*(VLOOKUP(A35,tbMoveset!A2:C112,3,FALSE)/100)*IF(VLOOKUP(A35,tbMoveset!A2:B112,2,FALSE)="Projectile",Backdoors!N10,Backdoors!N9),0),"")</f>
        <v/>
      </c>
      <c r="CS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O35&gt;=0.45,VLOOKUP(Calculator!E23,tbSkills!DH3:DI6,2,FALSE)+IF(AND(Calculator!B8=TRUE,Backdoors!BI16=TRUE),VLOOKUP(Calculator!E23,tbSkills!DH3:DJ6,3,FALSE),0),0))&gt;=100,100,(Backdoors!AI12+IF(CO35&gt;=0.45,VLOOKUP(Calculator!E23,tbSkills!DH3:DI6,2,FALSE)+IF(AND(Calculator!B8=TRUE,Backdoors!BI16=TRUE),VLOOKUP(Calculator!E23,tbSkills!DH3:DJ6,3,FALSE),0),0)))/100)),1))*IF(VLOOKUP(A35,tbMoveset!A2:K112,11,FALSE)=TRUE,Backdoors!AC5,1))*CP35,0),"")</f>
        <v>0</v>
      </c>
      <c r="CT35" s="49">
        <f>VLOOKUP(A35,tbMoveset!A2:G112,7,FALSE)*IFERROR(IF(Backdoors!AI12&gt;=0,1+(IF(Calculator!E40&gt;0,VLOOKUP(Calculator!E40,tbSkills!AI3:AJ5,2,FALSE),Backdoors!AL4)*(IF((Backdoors!AI12+IF(CO35&gt;=0.45,VLOOKUP(Calculator!E23,tbSkills!DH3:DI6,2,FALSE)+IF(AND(Calculator!B8=TRUE,Backdoors!BI16=TRUE),VLOOKUP(Calculator!E23,tbSkills!DH3:DJ6,3,FALSE),0),0))&gt;=100,100,(Backdoors!AI12+IF(CO35&gt;=0.45,VLOOKUP(Calculator!E23,tbSkills!DH3:DI6,2,FALSE)+IF(AND(Calculator!B8=TRUE,Backdoors!BI16=TRUE),VLOOKUP(Calculator!E23,tbSkills!DH3:DJ6,3,FALSE),0),0)))/100)),1),1)</f>
        <v>0.8</v>
      </c>
      <c r="CU35" s="87">
        <f t="shared" si="40"/>
        <v>0</v>
      </c>
      <c r="CV35" s="86" t="str">
        <f>IFERROR(IF(VLOOKUP(A35,tbMoveset!A2:B112,2,FALSE)="Sever",Backdoors!AY17/100,IF(VLOOKUP(A35,tbMoveset!A2:B112,2,FALSE)="Blunt",Backdoors!AZ17/100,Backdoors!BA17/100)),"")</f>
        <v/>
      </c>
      <c r="CW35" s="49">
        <f>IFERROR(IF(VLOOKUP(tbMoveset!A35,tbMoveset!A2:H112,8,FALSE)="Other",IF(VLOOKUP(tbMoveset!A35,tbMoveset!A2:I112,9,FALSE)="Fire",Backdoors!BB17,IF(VLOOKUP(tbMoveset!A35,tbMoveset!A2:I112,9,FALSE)="Water",Backdoors!BC17,IF(VLOOKUP(tbMoveset!A35,tbMoveset!A2:I112,9,FALSE)="Thunder",Backdoors!BD17,IF(VLOOKUP(tbMoveset!A35,tbMoveset!A2:I112,9,FALSE)="Ice",Backdoors!BE17,IF(VLOOKUP(tbMoveset!A35,tbMoveset!A2:I112,9,FALSE)="Dragon",Backdoors!BF17,Backdoors!BG17)))))/100,Backdoors!BG17/100),"")</f>
        <v>0</v>
      </c>
      <c r="CX35" s="49">
        <f>IFERROR(IF(VLOOKUP(A35,tbMoveset!A2:J112,10,FALSE)=TRUE,IF((Backdoors!AI12+IF(CV35&gt;=0.45,VLOOKUP(Calculator!E23,tbSkills!DH3:DI6,2,FALSE)+IF(AND(Calculator!B8=TRUE,Backdoors!BI17=TRUE),VLOOKUP(Calculator!E23,tbSkills!DH3:DJ6,3,FALSE),0),0))&gt;=0,1+(Backdoors!AL2*(IF((Backdoors!AI12+IF(CV35&gt;=0.45,VLOOKUP(Calculator!E23,tbSkills!DH3:DI6,2,FALSE)+IF(AND(Calculator!B8=TRUE,Backdoors!BI17=TRUE),VLOOKUP(Calculator!E23,tbSkills!DH3:DJ6,3,FALSE),0),0))&gt;=100,100,(Backdoors!AI12+IF(CV35&gt;=0.45,VLOOKUP(Calculator!E23,tbSkills!DH3:DI6,2,FALSE)+IF(AND(Calculator!B8=TRUE,Backdoors!BI17=TRUE),VLOOKUP(Calculator!E23,tbSkills!DH3:DJ6,3,FALSE),0),0)))/100)),(1-(0.25*((-Backdoors!AI12-IF(CV35&gt;=0.45,VLOOKUP(Calculator!E23,tbSkills!DH3:DI6,2,FALSE)+IF(AND(Calculator!B8=TRUE,Backdoors!BI17=TRUE),VLOOKUP(Calculator!E23,tbSkills!DH3:DJ6,3,FALSE),0),0))/100)))),1),"")</f>
        <v>1</v>
      </c>
      <c r="CY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V35)*CX35)*(VLOOKUP(A35,tbMoveset!A2:C112,3,FALSE)/100)*IF(VLOOKUP(A35,tbMoveset!A2:B112,2,FALSE)="Projectile",Backdoors!N10,Backdoors!N9),0),"")</f>
        <v/>
      </c>
      <c r="CZ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V35&gt;=0.45,VLOOKUP(Calculator!E23,tbSkills!DH3:DI6,2,FALSE)+IF(AND(Calculator!B8=TRUE,Backdoors!BI17=TRUE),VLOOKUP(Calculator!E23,tbSkills!DH3:DJ6,3,FALSE),0),0))&gt;=100,100,(Backdoors!AI12+IF(CV35&gt;=0.45,VLOOKUP(Calculator!E23,tbSkills!DH3:DI6,2,FALSE)+IF(AND(Calculator!B8=TRUE,Backdoors!BI17=TRUE),VLOOKUP(Calculator!E23,tbSkills!DH3:DJ6,3,FALSE),0),0)))/100)),1))*IF(VLOOKUP(A35,tbMoveset!A2:K112,11,FALSE)=TRUE,Backdoors!AC5,1))*CW35,0),"")</f>
        <v>0</v>
      </c>
      <c r="DA35" s="49">
        <f>VLOOKUP(A35,tbMoveset!A2:G112,7,FALSE)*IFERROR(IF(Backdoors!AI12&gt;=0,1+(IF(Calculator!E40&gt;0,VLOOKUP(Calculator!E40,tbSkills!AI3:AJ5,2,FALSE),Backdoors!AL4)*(IF((Backdoors!AI12+IF(CV35&gt;=0.45,VLOOKUP(Calculator!E23,tbSkills!DH3:DI6,2,FALSE)+IF(AND(Calculator!B8=TRUE,Backdoors!BI17=TRUE),VLOOKUP(Calculator!E23,tbSkills!DH3:DJ6,3,FALSE),0),0))&gt;=100,100,(Backdoors!AI12+IF(CV35&gt;=0.45,VLOOKUP(Calculator!E23,tbSkills!DH3:DI6,2,FALSE)+IF(AND(Calculator!B8=TRUE,Backdoors!BI17=TRUE),VLOOKUP(Calculator!E23,tbSkills!DH3:DJ6,3,FALSE),0),0)))/100)),1),1)</f>
        <v>0.8</v>
      </c>
      <c r="DB35" s="87">
        <f t="shared" si="8"/>
        <v>0</v>
      </c>
      <c r="DC35" s="86" t="str">
        <f>IFERROR(IF(VLOOKUP(A35,tbMoveset!A2:B112,2,FALSE)="Sever",Backdoors!AY18/100,IF(VLOOKUP(A35,tbMoveset!A2:B112,2,FALSE)="Blunt",Backdoors!AZ18/100,Backdoors!BA18/100)),"")</f>
        <v/>
      </c>
      <c r="DD35" s="49">
        <f>IFERROR(IF(VLOOKUP(tbMoveset!A35,tbMoveset!A2:H112,8,FALSE)="Other",IF(VLOOKUP(tbMoveset!A35,tbMoveset!A2:I112,9,FALSE)="Fire",Backdoors!BB18,IF(VLOOKUP(tbMoveset!A35,tbMoveset!A2:I112,9,FALSE)="Water",Backdoors!BC18,IF(VLOOKUP(tbMoveset!A35,tbMoveset!A2:I112,9,FALSE)="Thunder",Backdoors!BD18,IF(VLOOKUP(tbMoveset!A35,tbMoveset!A2:I112,9,FALSE)="Ice",Backdoors!BE18,IF(VLOOKUP(tbMoveset!A35,tbMoveset!A2:I112,9,FALSE)="Dragon",Backdoors!BF18,Backdoors!BG18)))))/100,Backdoors!BG18/100),"")</f>
        <v>0</v>
      </c>
      <c r="DE35" s="49">
        <f>IFERROR(IF(VLOOKUP(A35,tbMoveset!A2:J112,10,FALSE)=TRUE,IF((Backdoors!AI12+IF(DC35&gt;=0.45,VLOOKUP(Calculator!E23,tbSkills!DH3:DI6,2,FALSE)+IF(AND(Calculator!B8=TRUE,Backdoors!BI18=TRUE),VLOOKUP(Calculator!E23,tbSkills!DH3:DJ6,3,FALSE),0),0))&gt;=0,1+(Backdoors!AL2*(IF((Backdoors!AI12+IF(DC35&gt;=0.45,VLOOKUP(Calculator!E23,tbSkills!DH3:DI6,2,FALSE)+IF(AND(Calculator!B8=TRUE,Backdoors!BI18=TRUE),VLOOKUP(Calculator!E23,tbSkills!DH3:DJ6,3,FALSE),0),0))&gt;=100,100,(Backdoors!AI12+IF(DC35&gt;=0.45,VLOOKUP(Calculator!E23,tbSkills!DH3:DI6,2,FALSE)+IF(AND(Calculator!B8=TRUE,Backdoors!BI18=TRUE),VLOOKUP(Calculator!E23,tbSkills!DH3:DJ6,3,FALSE),0),0)))/100)),(1-(0.25*((-Backdoors!AI12-IF(DC35&gt;=0.45,VLOOKUP(Calculator!E23,tbSkills!DH3:DI6,2,FALSE)+IF(AND(Calculator!B8=TRUE,Backdoors!BI18=TRUE),VLOOKUP(Calculator!E23,tbSkills!DH3:DJ6,3,FALSE),0),0))/100)))),1),"")</f>
        <v>1</v>
      </c>
      <c r="DF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C35)*DE35)*(VLOOKUP(A35,tbMoveset!A2:C112,3,FALSE)/100)*IF(VLOOKUP(A35,tbMoveset!A2:B112,2,FALSE)="Projectile",Backdoors!N10,Backdoors!N9),0),"")</f>
        <v/>
      </c>
      <c r="DG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C35&gt;=0.45,VLOOKUP(Calculator!E23,tbSkills!DH3:DI6,2,FALSE)+IF(AND(Calculator!B8=TRUE,Backdoors!BI18=TRUE),VLOOKUP(Calculator!E23,tbSkills!DH3:DJ6,3,FALSE),0),0))&gt;=100,100,(Backdoors!AI12+IF(DC35&gt;=0.45,VLOOKUP(Calculator!E23,tbSkills!DH3:DI6,2,FALSE)+IF(AND(Calculator!B8=TRUE,Backdoors!BI18=TRUE),VLOOKUP(Calculator!E23,tbSkills!DH3:DJ6,3,FALSE),0),0)))/100)),1))*IF(VLOOKUP(A35,tbMoveset!A2:K112,11,FALSE)=TRUE,Backdoors!AC5,1))*DD35,0),"")</f>
        <v>0</v>
      </c>
      <c r="DH35" s="49">
        <f>VLOOKUP(A35,tbMoveset!A2:G112,7,FALSE)*IFERROR(IF(Backdoors!AI12&gt;=0,1+(IF(Calculator!E40&gt;0,VLOOKUP(Calculator!E40,tbSkills!AI3:AJ5,2,FALSE),Backdoors!AL4)*(IF((Backdoors!AI12+IF(DC35&gt;=0.45,VLOOKUP(Calculator!E23,tbSkills!DH3:DI6,2,FALSE)+IF(AND(Calculator!B8=TRUE,Backdoors!BI18=TRUE),VLOOKUP(Calculator!E23,tbSkills!DH3:DJ6,3,FALSE),0),0))&gt;=100,100,(Backdoors!AI12+IF(DC35&gt;=0.45,VLOOKUP(Calculator!E23,tbSkills!DH3:DI6,2,FALSE)+IF(AND(Calculator!B8=TRUE,Backdoors!BI18=TRUE),VLOOKUP(Calculator!E23,tbSkills!DH3:DJ6,3,FALSE),0),0)))/100)),1),1)</f>
        <v>0.8</v>
      </c>
      <c r="DI35" s="87">
        <f t="shared" si="9"/>
        <v>0</v>
      </c>
      <c r="DJ35" s="86" t="str">
        <f>IFERROR(IF(VLOOKUP(A35,tbMoveset!A2:B112,2,FALSE)="Sever",Backdoors!AY19/100,IF(VLOOKUP(A35,tbMoveset!A2:B112,2,FALSE)="Blunt",Backdoors!AZ19/100,Backdoors!BA19/100)),"")</f>
        <v/>
      </c>
      <c r="DK35" s="49">
        <f>IFERROR(IF(VLOOKUP(tbMoveset!A35,tbMoveset!A2:H112,8,FALSE)="Other",IF(VLOOKUP(tbMoveset!A35,tbMoveset!A2:I112,9,FALSE)="Fire",Backdoors!BB19,IF(VLOOKUP(tbMoveset!A35,tbMoveset!A2:I112,9,FALSE)="Water",Backdoors!BC19,IF(VLOOKUP(tbMoveset!A35,tbMoveset!A2:I112,9,FALSE)="Thunder",Backdoors!BD19,IF(VLOOKUP(tbMoveset!A35,tbMoveset!A2:I112,9,FALSE)="Ice",Backdoors!BE19,IF(VLOOKUP(tbMoveset!A35,tbMoveset!A2:I112,9,FALSE)="Dragon",Backdoors!BF19,Backdoors!BG19)))))/100,Backdoors!BG19/100),"")</f>
        <v>0</v>
      </c>
      <c r="DL35" s="49">
        <f>IFERROR(IF(VLOOKUP(A35,tbMoveset!A2:J112,10,FALSE)=TRUE,IF((Backdoors!AI12+IF(DJ35&gt;=0.45,VLOOKUP(Calculator!E23,tbSkills!DH3:DI6,2,FALSE)+IF(AND(Calculator!B8=TRUE,Backdoors!BI19=TRUE),VLOOKUP(Calculator!E23,tbSkills!DH3:DJ6,3,FALSE),0),0))&gt;=0,1+(Backdoors!AL2*(IF((Backdoors!AI12+IF(DJ35&gt;=0.45,VLOOKUP(Calculator!E23,tbSkills!DH3:DI6,2,FALSE)+IF(AND(Calculator!B8=TRUE,Backdoors!BI19=TRUE),VLOOKUP(Calculator!E23,tbSkills!DH3:DJ6,3,FALSE),0),0))&gt;=100,100,(Backdoors!AI12+IF(DJ35&gt;=0.45,VLOOKUP(Calculator!E23,tbSkills!DH3:DI6,2,FALSE)+IF(AND(Calculator!B8=TRUE,Backdoors!BI19=TRUE),VLOOKUP(Calculator!E23,tbSkills!DH3:DJ6,3,FALSE),0),0)))/100)),(1-(0.25*((-Backdoors!AI12-IF(DJ35&gt;=0.45,VLOOKUP(Calculator!E23,tbSkills!DH3:DI6,2,FALSE)+IF(AND(Calculator!B8=TRUE,Backdoors!BI19=TRUE),VLOOKUP(Calculator!E23,tbSkills!DH3:DJ6,3,FALSE),0),0))/100)))),1),"")</f>
        <v>1</v>
      </c>
      <c r="DM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J35)*DL35)*(VLOOKUP(A35,tbMoveset!A2:C112,3,FALSE)/100)*IF(VLOOKUP(A35,tbMoveset!A2:B112,2,FALSE)="Projectile",Backdoors!N10,Backdoors!N9),0),"")</f>
        <v/>
      </c>
      <c r="DN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J35&gt;=0.45,VLOOKUP(Calculator!E23,tbSkills!DH3:DI6,2,FALSE)+IF(AND(Calculator!B8=TRUE,Backdoors!BI19=TRUE),VLOOKUP(Calculator!E23,tbSkills!DH3:DJ6,3,FALSE),0),0))&gt;=100,100,(Backdoors!AI12+IF(DJ35&gt;=0.45,VLOOKUP(Calculator!E23,tbSkills!DH3:DI6,2,FALSE)+IF(AND(Calculator!B8=TRUE,Backdoors!BI19=TRUE),VLOOKUP(Calculator!E23,tbSkills!DH3:DJ6,3,FALSE),0),0)))/100)),1))*IF(VLOOKUP(A35,tbMoveset!A2:K112,11,FALSE)=TRUE,Backdoors!AC5,1))*DK35,0),"")</f>
        <v>0</v>
      </c>
      <c r="DO35" s="49">
        <f>VLOOKUP(A35,tbMoveset!A2:G112,7,FALSE)*IFERROR(IF(Backdoors!AI12&gt;=0,1+(IF(Calculator!E40&gt;0,VLOOKUP(Calculator!E40,tbSkills!AI3:AJ5,2,FALSE),Backdoors!AL4)*(IF((Backdoors!AI12+IF(DJ35&gt;=0.45,VLOOKUP(Calculator!E23,tbSkills!DH3:DI6,2,FALSE)+IF(AND(Calculator!B8=TRUE,Backdoors!BI19=TRUE),VLOOKUP(Calculator!E23,tbSkills!DH3:DJ6,3,FALSE),0),0))&gt;=100,100,(Backdoors!AI12+IF(DJ35&gt;=0.45,VLOOKUP(Calculator!E23,tbSkills!DH3:DI6,2,FALSE)+IF(AND(Calculator!B8=TRUE,Backdoors!BI19=TRUE),VLOOKUP(Calculator!E23,tbSkills!DH3:DJ6,3,FALSE),0),0)))/100)),1),1)</f>
        <v>0.8</v>
      </c>
      <c r="DP35" s="87">
        <f t="shared" si="41"/>
        <v>0</v>
      </c>
      <c r="DQ35" s="86" t="str">
        <f>IFERROR(IF(VLOOKUP(A35,tbMoveset!A2:B112,2,FALSE)="Sever",Backdoors!AY20/100,IF(VLOOKUP(A35,tbMoveset!A2:B112,2,FALSE)="Blunt",Backdoors!AZ20/100,Backdoors!BA20/100)),"")</f>
        <v/>
      </c>
      <c r="DR35" s="49">
        <f>IFERROR(IF(VLOOKUP(tbMoveset!A35,tbMoveset!A2:H112,8,FALSE)="Other",IF(VLOOKUP(tbMoveset!A35,tbMoveset!A2:I112,9,FALSE)="Fire",Backdoors!BB20,IF(VLOOKUP(tbMoveset!A35,tbMoveset!A2:I112,9,FALSE)="Water",Backdoors!BC20,IF(VLOOKUP(tbMoveset!A35,tbMoveset!A2:I112,9,FALSE)="Thunder",Backdoors!BD20,IF(VLOOKUP(tbMoveset!A35,tbMoveset!A2:I112,9,FALSE)="Ice",Backdoors!BE20,IF(VLOOKUP(tbMoveset!A35,tbMoveset!A2:I112,9,FALSE)="Dragon",Backdoors!BF20,Backdoors!BG20)))))/100,Backdoors!BG20/100),"")</f>
        <v>0</v>
      </c>
      <c r="DS35" s="49">
        <f>IFERROR(IF(VLOOKUP(A35,tbMoveset!A2:J112,10,FALSE)=TRUE,IF((Backdoors!AI12+IF(DQ35&gt;=0.45,VLOOKUP(Calculator!E23,tbSkills!DH3:DI6,2,FALSE)+IF(AND(Calculator!B8=TRUE,Backdoors!BI20=TRUE),VLOOKUP(Calculator!E23,tbSkills!DH3:DJ6,3,FALSE),0),0))&gt;=0,1+(Backdoors!AL2*(IF((Backdoors!AI12+IF(DQ35&gt;=0.45,VLOOKUP(Calculator!E23,tbSkills!DH3:DI6,2,FALSE)+IF(AND(Calculator!B8=TRUE,Backdoors!BI20=TRUE),VLOOKUP(Calculator!E23,tbSkills!DH3:DJ6,3,FALSE),0),0))&gt;=100,100,(Backdoors!AI12+IF(DQ35&gt;=0.45,VLOOKUP(Calculator!E23,tbSkills!DH3:DI6,2,FALSE)+IF(AND(Calculator!B8=TRUE,Backdoors!BI20=TRUE),VLOOKUP(Calculator!E23,tbSkills!DH3:DJ6,3,FALSE),0),0)))/100)),(1-(0.25*((-Backdoors!AI12-IF(DQ35&gt;=0.45,VLOOKUP(Calculator!E23,tbSkills!DH3:DI6,2,FALSE)+IF(AND(Calculator!B8=TRUE,Backdoors!BI20=TRUE),VLOOKUP(Calculator!E23,tbSkills!DH3:DJ6,3,FALSE),0),0))/100)))),1),"")</f>
        <v>1</v>
      </c>
      <c r="DT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Q35)*DS35)*(VLOOKUP(A35,tbMoveset!A2:C112,3,FALSE)/100)*IF(VLOOKUP(A35,tbMoveset!A2:B112,2,FALSE)="Projectile",Backdoors!N10,Backdoors!N9),0),"")</f>
        <v/>
      </c>
      <c r="DU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Q35&gt;=0.45,VLOOKUP(Calculator!E23,tbSkills!DH3:DI6,2,FALSE)+IF(AND(Calculator!B8=TRUE,Backdoors!BI20=TRUE),VLOOKUP(Calculator!E23,tbSkills!DH3:DJ6,3,FALSE),0),0))&gt;=100,100,(Backdoors!AI12+IF(DQ35&gt;=0.45,VLOOKUP(Calculator!E23,tbSkills!DH3:DI6,2,FALSE)+IF(AND(Calculator!B8=TRUE,Backdoors!BI20=TRUE),VLOOKUP(Calculator!E23,tbSkills!DH3:DJ6,3,FALSE),0),0)))/100)),1))*IF(VLOOKUP(A35,tbMoveset!A2:K112,11,FALSE)=TRUE,Backdoors!AC5,1))*DR35,0),"")</f>
        <v>0</v>
      </c>
      <c r="DV35" s="49">
        <f>VLOOKUP(A35,tbMoveset!A2:G112,7,FALSE)*IFERROR(IF(Backdoors!AI12&gt;=0,1+(IF(Calculator!E40&gt;0,VLOOKUP(Calculator!E40,tbSkills!AI3:AJ5,2,FALSE),Backdoors!AL4)*(IF((Backdoors!AI12+IF(DQ35&gt;=0.45,VLOOKUP(Calculator!E23,tbSkills!DH3:DI6,2,FALSE)+IF(AND(Calculator!B8=TRUE,Backdoors!BI20=TRUE),VLOOKUP(Calculator!E23,tbSkills!DH3:DJ6,3,FALSE),0),0))&gt;=100,100,(Backdoors!AI12+IF(DQ35&gt;=0.45,VLOOKUP(Calculator!E23,tbSkills!DH3:DI6,2,FALSE)+IF(AND(Calculator!B8=TRUE,Backdoors!BI20=TRUE),VLOOKUP(Calculator!E23,tbSkills!DH3:DJ6,3,FALSE),0),0)))/100)),1),1)</f>
        <v>0.8</v>
      </c>
      <c r="DW35" s="87">
        <f t="shared" si="10"/>
        <v>0</v>
      </c>
      <c r="DX35" s="86" t="str">
        <f>IFERROR(IF(VLOOKUP(A35,tbMoveset!A2:B112,2,FALSE)="Sever",Backdoors!AY21/100,IF(VLOOKUP(A35,tbMoveset!A2:B112,2,FALSE)="Blunt",Backdoors!AZ21/100,Backdoors!BA21/100)),"")</f>
        <v/>
      </c>
      <c r="DY35" s="49">
        <f>IFERROR(IF(VLOOKUP(tbMoveset!A35,tbMoveset!A2:H112,8,FALSE)="Other",IF(VLOOKUP(tbMoveset!A35,tbMoveset!A2:I112,9,FALSE)="Fire",Backdoors!BB21,IF(VLOOKUP(tbMoveset!A35,tbMoveset!A2:I112,9,FALSE)="Water",Backdoors!BC21,IF(VLOOKUP(tbMoveset!A35,tbMoveset!A2:I112,9,FALSE)="Thunder",Backdoors!BD21,IF(VLOOKUP(tbMoveset!A35,tbMoveset!A2:I112,9,FALSE)="Ice",Backdoors!BE21,IF(VLOOKUP(tbMoveset!A35,tbMoveset!A2:I112,9,FALSE)="Dragon",Backdoors!BF21,Backdoors!BG21)))))/100,Backdoors!BG21/100),"")</f>
        <v>0</v>
      </c>
      <c r="DZ35" s="49">
        <f>IFERROR(IF(VLOOKUP(A35,tbMoveset!A2:J112,10,FALSE)=TRUE,IF((Backdoors!AI12+IF(DX35&gt;=0.45,VLOOKUP(Calculator!E23,tbSkills!DH3:DI6,2,FALSE)+IF(AND(Calculator!B8=TRUE,Backdoors!BI21=TRUE),VLOOKUP(Calculator!E23,tbSkills!DH3:DJ6,3,FALSE),0),0))&gt;=0,1+(Backdoors!AL2*(IF((Backdoors!AI12+IF(DX35&gt;=0.45,VLOOKUP(Calculator!E23,tbSkills!DH3:DI6,2,FALSE)+IF(AND(Calculator!B8=TRUE,Backdoors!BI21=TRUE),VLOOKUP(Calculator!E23,tbSkills!DH3:DJ6,3,FALSE),0),0))&gt;=100,100,(Backdoors!AI12+IF(DX35&gt;=0.45,VLOOKUP(Calculator!E23,tbSkills!DH3:DI6,2,FALSE)+IF(AND(Calculator!B8=TRUE,Backdoors!BI21=TRUE),VLOOKUP(Calculator!E23,tbSkills!DH3:DJ6,3,FALSE),0),0)))/100)),(1-(0.25*((-Backdoors!AI12-IF(DX35&gt;=0.45,VLOOKUP(Calculator!E23,tbSkills!DH3:DI6,2,FALSE)+IF(AND(Calculator!B8=TRUE,Backdoors!BI21=TRUE),VLOOKUP(Calculator!E23,tbSkills!DH3:DJ6,3,FALSE),0),0))/100)))),1),"")</f>
        <v>1</v>
      </c>
      <c r="EA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X35)*DZ35)*(VLOOKUP(A35,tbMoveset!A2:C112,3,FALSE)/100)*IF(VLOOKUP(A35,tbMoveset!A2:B112,2,FALSE)="Projectile",Backdoors!N10,Backdoors!N9),0),"")</f>
        <v/>
      </c>
      <c r="EB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X35&gt;=0.45,VLOOKUP(Calculator!E23,tbSkills!DH3:DI6,2,FALSE)+IF(AND(Calculator!B8=TRUE,Backdoors!BI21=TRUE),VLOOKUP(Calculator!E23,tbSkills!DH3:DJ6,3,FALSE),0),0))&gt;=100,100,(Backdoors!AI12+IF(DX35&gt;=0.45,VLOOKUP(Calculator!E23,tbSkills!DH3:DI6,2,FALSE)+IF(AND(Calculator!B8=TRUE,Backdoors!BI21=TRUE),VLOOKUP(Calculator!E23,tbSkills!DH3:DJ6,3,FALSE),0),0)))/100)),1))*IF(VLOOKUP(A35,tbMoveset!A2:K112,11,FALSE)=TRUE,Backdoors!AC5,1))*DY35,0),"")</f>
        <v>0</v>
      </c>
      <c r="EC35" s="49">
        <f>VLOOKUP(A35,tbMoveset!A2:G112,7,FALSE)*IFERROR(IF(Backdoors!AI12&gt;=0,1+(IF(Calculator!E40&gt;0,VLOOKUP(Calculator!E40,tbSkills!AI3:AJ5,2,FALSE),Backdoors!AL4)*(IF((Backdoors!AI12+IF(DX35&gt;=0.45,VLOOKUP(Calculator!E23,tbSkills!DH3:DI6,2,FALSE)+IF(AND(Calculator!B8=TRUE,Backdoors!BI21=TRUE),VLOOKUP(Calculator!E23,tbSkills!DH3:DJ6,3,FALSE),0),0))&gt;=100,100,(Backdoors!AI12+IF(DX35&gt;=0.45,VLOOKUP(Calculator!E23,tbSkills!DH3:DI6,2,FALSE)+IF(AND(Calculator!B8=TRUE,Backdoors!BI21=TRUE),VLOOKUP(Calculator!E23,tbSkills!DH3:DJ6,3,FALSE),0),0)))/100)),1),1)</f>
        <v>0.8</v>
      </c>
      <c r="ED35" s="87">
        <f t="shared" si="11"/>
        <v>0</v>
      </c>
      <c r="EE35" s="86" t="str">
        <f>IFERROR(IF(VLOOKUP(A35,tbMoveset!A2:B112,2,FALSE)="Sever",Backdoors!AY22/100,IF(VLOOKUP(A35,tbMoveset!A2:B112,2,FALSE)="Blunt",Backdoors!AZ22/100,Backdoors!BA22/100)),"")</f>
        <v/>
      </c>
      <c r="EF35" s="49">
        <f>IFERROR(IF(VLOOKUP(tbMoveset!A35,tbMoveset!A2:H112,8,FALSE)="Other",IF(VLOOKUP(tbMoveset!A35,tbMoveset!A2:I112,9,FALSE)="Fire",Backdoors!BB22,IF(VLOOKUP(tbMoveset!A35,tbMoveset!A2:I112,9,FALSE)="Water",Backdoors!BC22,IF(VLOOKUP(tbMoveset!A35,tbMoveset!A2:I112,9,FALSE)="Thunder",Backdoors!BD22,IF(VLOOKUP(tbMoveset!A35,tbMoveset!A2:I112,9,FALSE)="Ice",Backdoors!BE22,IF(VLOOKUP(tbMoveset!A35,tbMoveset!A2:I112,9,FALSE)="Dragon",Backdoors!BF22,Backdoors!BG22)))))/100,Backdoors!BG22/100),"")</f>
        <v>0</v>
      </c>
      <c r="EG35" s="49">
        <f>IFERROR(IF(VLOOKUP(A35,tbMoveset!A2:J112,10,FALSE)=TRUE,IF((Backdoors!AI12+IF(EE35&gt;=0.45,VLOOKUP(Calculator!E23,tbSkills!DH3:DI6,2,FALSE)+IF(AND(Calculator!B8=TRUE,Backdoors!BI22=TRUE),VLOOKUP(Calculator!E23,tbSkills!DH3:DJ6,3,FALSE),0),0))&gt;=0,1+(Backdoors!AL2*(IF((Backdoors!AI12+IF(EE35&gt;=0.45,VLOOKUP(Calculator!E23,tbSkills!DH3:DI6,2,FALSE)+IF(AND(Calculator!B8=TRUE,Backdoors!BI22=TRUE),VLOOKUP(Calculator!E23,tbSkills!DH3:DJ6,3,FALSE),0),0))&gt;=100,100,(Backdoors!AI12+IF(EE35&gt;=0.45,VLOOKUP(Calculator!E23,tbSkills!DH3:DI6,2,FALSE)+IF(AND(Calculator!B8=TRUE,Backdoors!BI22=TRUE),VLOOKUP(Calculator!E23,tbSkills!DH3:DJ6,3,FALSE),0),0)))/100)),(1-(0.25*((-Backdoors!AI12-IF(EE35&gt;=0.45,VLOOKUP(Calculator!E23,tbSkills!DH3:DI6,2,FALSE)+IF(AND(Calculator!B8=TRUE,Backdoors!BI22=TRUE),VLOOKUP(Calculator!E23,tbSkills!DH3:DJ6,3,FALSE),0),0))/100)))),1),"")</f>
        <v>1</v>
      </c>
      <c r="EH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E35)*EG35)*(VLOOKUP(A35,tbMoveset!A2:C112,3,FALSE)/100)*IF(VLOOKUP(A35,tbMoveset!A2:B112,2,FALSE)="Projectile",Backdoors!N10,Backdoors!N9),0),"")</f>
        <v/>
      </c>
      <c r="EI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E35&gt;=0.45,VLOOKUP(Calculator!E23,tbSkills!DH3:DI6,2,FALSE)+IF(AND(Calculator!B8=TRUE,Backdoors!BI22=TRUE),VLOOKUP(Calculator!E23,tbSkills!DH3:DJ6,3,FALSE),0),0))&gt;=100,100,(Backdoors!AI12+IF(EE35&gt;=0.45,VLOOKUP(Calculator!E23,tbSkills!DH3:DI6,2,FALSE)+IF(AND(Calculator!B8=TRUE,Backdoors!BI22=TRUE),VLOOKUP(Calculator!E23,tbSkills!DH3:DJ6,3,FALSE),0),0)))/100)),1))*IF(VLOOKUP(A35,tbMoveset!A2:K112,11,FALSE)=TRUE,Backdoors!AC5,1))*EF35,0),"")</f>
        <v>0</v>
      </c>
      <c r="EJ35" s="49">
        <f>VLOOKUP(A35,tbMoveset!A2:G112,7,FALSE)*IFERROR(IF(Backdoors!AI12&gt;=0,1+(IF(Calculator!E40&gt;0,VLOOKUP(Calculator!E40,tbSkills!AI3:AJ5,2,FALSE),Backdoors!AL4)*(IF((Backdoors!AI12+IF(EE35&gt;=0.45,VLOOKUP(Calculator!E23,tbSkills!DH3:DI6,2,FALSE)+IF(AND(Calculator!B8=TRUE,Backdoors!BI22=TRUE),VLOOKUP(Calculator!E23,tbSkills!DH3:DJ6,3,FALSE),0),0))&gt;=100,100,(Backdoors!AI12+IF(EE35&gt;=0.45,VLOOKUP(Calculator!E23,tbSkills!DH3:DI6,2,FALSE)+IF(AND(Calculator!B8=TRUE,Backdoors!BI22=TRUE),VLOOKUP(Calculator!E23,tbSkills!DH3:DJ6,3,FALSE),0),0)))/100)),1),1)</f>
        <v>0.8</v>
      </c>
      <c r="EK35" s="87">
        <f t="shared" si="12"/>
        <v>0</v>
      </c>
      <c r="EL35" s="86" t="str">
        <f>IFERROR(IF(VLOOKUP(A35,tbMoveset!A2:B112,2,FALSE)="Sever",Backdoors!AY23/100,IF(VLOOKUP(A35,tbMoveset!A2:B112,2,FALSE)="Blunt",Backdoors!AZ23/100,Backdoors!BA23/100)),"")</f>
        <v/>
      </c>
      <c r="EM35" s="49">
        <f>IFERROR(IF(VLOOKUP(tbMoveset!A35,tbMoveset!A2:H112,8,FALSE)="Other",IF(VLOOKUP(tbMoveset!A35,tbMoveset!A2:I112,9,FALSE)="Fire",Backdoors!BB23,IF(VLOOKUP(tbMoveset!A35,tbMoveset!A2:I112,9,FALSE)="Water",Backdoors!BC23,IF(VLOOKUP(tbMoveset!A35,tbMoveset!A2:I112,9,FALSE)="Thunder",Backdoors!BD23,IF(VLOOKUP(tbMoveset!A35,tbMoveset!A2:I112,9,FALSE)="Ice",Backdoors!BE23,IF(VLOOKUP(tbMoveset!A35,tbMoveset!A2:I112,9,FALSE)="Dragon",Backdoors!BF23,Backdoors!BG23)))))/100,Backdoors!BG23/100),"")</f>
        <v>0</v>
      </c>
      <c r="EN35" s="49">
        <f>IFERROR(IF(VLOOKUP(A35,tbMoveset!A2:J112,10,FALSE)=TRUE,IF((Backdoors!AI12+IF(EL35&gt;=0.45,VLOOKUP(Calculator!E23,tbSkills!DH3:DI6,2,FALSE)+IF(AND(Calculator!B8=TRUE,Backdoors!BI23=TRUE),VLOOKUP(Calculator!E23,tbSkills!DH3:DJ6,3,FALSE),0),0))&gt;=0,1+(Backdoors!AL2*(IF((Backdoors!AI12+IF(EL35&gt;=0.45,VLOOKUP(Calculator!E23,tbSkills!DH3:DI6,2,FALSE)+IF(AND(Calculator!B8=TRUE,Backdoors!BI23=TRUE),VLOOKUP(Calculator!E23,tbSkills!DH3:DJ6,3,FALSE),0),0))&gt;=100,100,(Backdoors!AI12+IF(EL35&gt;=0.45,VLOOKUP(Calculator!E23,tbSkills!DH3:DI6,2,FALSE)+IF(AND(Calculator!B8=TRUE,Backdoors!BI23=TRUE),VLOOKUP(Calculator!E23,tbSkills!DH3:DJ6,3,FALSE),0),0)))/100)),(1-(0.25*((-Backdoors!AI12-IF(EL35&gt;=0.45,VLOOKUP(Calculator!E23,tbSkills!DH3:DI6,2,FALSE)+IF(AND(Calculator!B8=TRUE,Backdoors!BI23=TRUE),VLOOKUP(Calculator!E23,tbSkills!DH3:DJ6,3,FALSE),0),0))/100)))),1),"")</f>
        <v>1</v>
      </c>
      <c r="EO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L35)*EN35)*(VLOOKUP(A35,tbMoveset!A2:C112,3,FALSE)/100)*IF(VLOOKUP(A35,tbMoveset!A2:B112,2,FALSE)="Projectile",Backdoors!N10,Backdoors!N9),0),"")</f>
        <v/>
      </c>
      <c r="EP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L35&gt;=0.45,VLOOKUP(Calculator!E23,tbSkills!DH3:DI6,2,FALSE)+IF(AND(Calculator!B8=TRUE,Backdoors!BI23=TRUE),VLOOKUP(Calculator!E23,tbSkills!DH3:DJ6,3,FALSE),0),0))&gt;=100,100,(Backdoors!AI12+IF(EL35&gt;=0.45,VLOOKUP(Calculator!E23,tbSkills!DH3:DI6,2,FALSE)+IF(AND(Calculator!B8=TRUE,Backdoors!BI23=TRUE),VLOOKUP(Calculator!E23,tbSkills!DH3:DJ6,3,FALSE),0),0)))/100)),1))*IF(VLOOKUP(A35,tbMoveset!A2:K112,11,FALSE)=TRUE,Backdoors!AC5,1))*EM35,0),"")</f>
        <v>0</v>
      </c>
      <c r="EQ35" s="49">
        <f>VLOOKUP(A35,tbMoveset!A2:G112,7,FALSE)*IFERROR(IF(Backdoors!AI12&gt;=0,1+(IF(Calculator!E40&gt;0,VLOOKUP(Calculator!E40,tbSkills!AI3:AJ5,2,FALSE),Backdoors!AL4)*(IF((Backdoors!AI12+IF(EL35&gt;=0.45,VLOOKUP(Calculator!E23,tbSkills!DH3:DI6,2,FALSE)+IF(AND(Calculator!B8=TRUE,Backdoors!BI23=TRUE),VLOOKUP(Calculator!E23,tbSkills!DH3:DJ6,3,FALSE),0),0))&gt;=100,100,(Backdoors!AI12+IF(EL35&gt;=0.45,VLOOKUP(Calculator!E23,tbSkills!DH3:DI6,2,FALSE)+IF(AND(Calculator!B8=TRUE,Backdoors!BI23=TRUE),VLOOKUP(Calculator!E23,tbSkills!DH3:DJ6,3,FALSE),0),0)))/100)),1),1)</f>
        <v>0.8</v>
      </c>
      <c r="ER35" s="87">
        <f t="shared" si="13"/>
        <v>0</v>
      </c>
      <c r="ES35" s="86" t="str">
        <f>IFERROR(IF(VLOOKUP(A35,tbMoveset!A2:B112,2,FALSE)="Sever",Backdoors!AY24/100,IF(VLOOKUP(A35,tbMoveset!A2:B112,2,FALSE)="Blunt",Backdoors!AZ24/100,Backdoors!BA24/100)),"")</f>
        <v/>
      </c>
      <c r="ET35" s="49">
        <f>IFERROR(IF(VLOOKUP(tbMoveset!A35,tbMoveset!A2:H112,8,FALSE)="Other",IF(VLOOKUP(tbMoveset!A35,tbMoveset!A2:I112,9,FALSE)="Fire",Backdoors!BB24,IF(VLOOKUP(tbMoveset!A35,tbMoveset!A2:I112,9,FALSE)="Water",Backdoors!BC24,IF(VLOOKUP(tbMoveset!A35,tbMoveset!A2:I112,9,FALSE)="Thunder",Backdoors!BD24,IF(VLOOKUP(tbMoveset!A35,tbMoveset!A2:I112,9,FALSE)="Ice",Backdoors!BE24,IF(VLOOKUP(tbMoveset!A35,tbMoveset!A2:I112,9,FALSE)="Dragon",Backdoors!BF24,Backdoors!BG24)))))/100,Backdoors!BG24/100),"")</f>
        <v>0</v>
      </c>
      <c r="EU35" s="49">
        <f>IFERROR(IF(VLOOKUP(A35,tbMoveset!A2:J112,10,FALSE)=TRUE,IF((Backdoors!AI12+IF(ES35&gt;=0.45,VLOOKUP(Calculator!E23,tbSkills!DH3:DI6,2,FALSE)+IF(AND(Calculator!B8=TRUE,Backdoors!BI24=TRUE),VLOOKUP(Calculator!E23,tbSkills!DH3:DJ6,3,FALSE),0),0))&gt;=0,1+(Backdoors!AL2*(IF((Backdoors!AI12+IF(ES35&gt;=0.45,VLOOKUP(Calculator!E23,tbSkills!DH3:DI6,2,FALSE)+IF(AND(Calculator!B8=TRUE,Backdoors!BI24=TRUE),VLOOKUP(Calculator!E23,tbSkills!DH3:DJ6,3,FALSE),0),0))&gt;=100,100,(Backdoors!AI12+IF(ES35&gt;=0.45,VLOOKUP(Calculator!E23,tbSkills!DH3:DI6,2,FALSE)+IF(AND(Calculator!B8=TRUE,Backdoors!BI24=TRUE),VLOOKUP(Calculator!E23,tbSkills!DH3:DJ6,3,FALSE),0),0)))/100)),(1-(0.25*((-Backdoors!AI12-IF(ES35&gt;=0.45,VLOOKUP(Calculator!E23,tbSkills!DH3:DI6,2,FALSE)+IF(AND(Calculator!B8=TRUE,Backdoors!BI24=TRUE),VLOOKUP(Calculator!E23,tbSkills!DH3:DJ6,3,FALSE),0),0))/100)))),1),"")</f>
        <v>1</v>
      </c>
      <c r="EV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S35)*EU35)*(VLOOKUP(A35,tbMoveset!A2:C112,3,FALSE)/100)*IF(VLOOKUP(A35,tbMoveset!A2:B112,2,FALSE)="Projectile",Backdoors!N10,Backdoors!N9),0),"")</f>
        <v/>
      </c>
      <c r="EW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S35&gt;=0.45,VLOOKUP(Calculator!E23,tbSkills!DH3:DI6,2,FALSE)+IF(AND(Calculator!B8=TRUE,Backdoors!BI24=TRUE),VLOOKUP(Calculator!E23,tbSkills!DH3:DJ6,3,FALSE),0),0))&gt;=100,100,(Backdoors!AI12+IF(ES35&gt;=0.45,VLOOKUP(Calculator!E23,tbSkills!DH3:DI6,2,FALSE)+IF(AND(Calculator!B8=TRUE,Backdoors!BI24=TRUE),VLOOKUP(Calculator!E23,tbSkills!DH3:DJ6,3,FALSE),0),0)))/100)),1))*IF(VLOOKUP(A35,tbMoveset!A2:K112,11,FALSE)=TRUE,Backdoors!AC5,1))*ET35,0),"")</f>
        <v>0</v>
      </c>
      <c r="EX35" s="49">
        <f>VLOOKUP(A35,tbMoveset!A2:G112,7,FALSE)*IFERROR(IF(Backdoors!AI12&gt;=0,1+(IF(Calculator!E40&gt;0,VLOOKUP(Calculator!E40,tbSkills!AI3:AJ5,2,FALSE),Backdoors!AL4)*(IF((Backdoors!AI12+IF(ES35&gt;=0.45,VLOOKUP(Calculator!E23,tbSkills!DH3:DI6,2,FALSE)+IF(AND(Calculator!B8=TRUE,Backdoors!BI24=TRUE),VLOOKUP(Calculator!E23,tbSkills!DH3:DJ6,3,FALSE),0),0))&gt;=100,100,(Backdoors!AI12+IF(ES35&gt;=0.45,VLOOKUP(Calculator!E23,tbSkills!DH3:DI6,2,FALSE)+IF(AND(Calculator!B8=TRUE,Backdoors!BI24=TRUE),VLOOKUP(Calculator!E23,tbSkills!DH3:DJ6,3,FALSE),0),0)))/100)),1),1)</f>
        <v>0.8</v>
      </c>
      <c r="EY35" s="87">
        <f t="shared" si="14"/>
        <v>0</v>
      </c>
      <c r="EZ35" s="86" t="str">
        <f>IFERROR(IF(VLOOKUP(A35,tbMoveset!A2:B112,2,FALSE)="Sever",Backdoors!AY25/100,IF(VLOOKUP(A35,tbMoveset!A2:B112,2,FALSE)="Blunt",Backdoors!AZ25/100,Backdoors!BA25/100)),"")</f>
        <v/>
      </c>
      <c r="FA35" s="49">
        <f>IFERROR(IF(VLOOKUP(tbMoveset!A35,tbMoveset!A2:H112,8,FALSE)="Other",IF(VLOOKUP(tbMoveset!A35,tbMoveset!A2:I112,9,FALSE)="Fire",Backdoors!BB25,IF(VLOOKUP(tbMoveset!A35,tbMoveset!A2:I112,9,FALSE)="Water",Backdoors!BC25,IF(VLOOKUP(tbMoveset!A35,tbMoveset!A2:I112,9,FALSE)="Thunder",Backdoors!BD25,IF(VLOOKUP(tbMoveset!A35,tbMoveset!A2:I112,9,FALSE)="Ice",Backdoors!BE25,IF(VLOOKUP(tbMoveset!A35,tbMoveset!A2:I112,9,FALSE)="Dragon",Backdoors!BF25,Backdoors!BG25)))))/100,Backdoors!BG25/100),"")</f>
        <v>0</v>
      </c>
      <c r="FB35" s="49">
        <f>IFERROR(IF(VLOOKUP(A35,tbMoveset!A2:J112,10,FALSE)=TRUE,IF((Backdoors!AI12+IF(EZ35&gt;=0.45,VLOOKUP(Calculator!E23,tbSkills!DH3:DI6,2,FALSE)+IF(AND(Calculator!B8=TRUE,Backdoors!BI25=TRUE),VLOOKUP(Calculator!E23,tbSkills!DH3:DJ6,3,FALSE),0),0))&gt;=0,1+(Backdoors!AL2*(IF((Backdoors!AI12+IF(EZ35&gt;=0.45,VLOOKUP(Calculator!E23,tbSkills!DH3:DI6,2,FALSE)+IF(AND(Calculator!B8=TRUE,Backdoors!BI25=TRUE),VLOOKUP(Calculator!E23,tbSkills!DH3:DJ6,3,FALSE),0),0))&gt;=100,100,(Backdoors!AI12+IF(EZ35&gt;=0.45,VLOOKUP(Calculator!E23,tbSkills!DH3:DI6,2,FALSE)+IF(AND(Calculator!B8=TRUE,Backdoors!BI25=TRUE),VLOOKUP(Calculator!E23,tbSkills!DH3:DJ6,3,FALSE),0),0)))/100)),(1-(0.25*((-Backdoors!AI12-IF(EZ35&gt;=0.45,VLOOKUP(Calculator!E23,tbSkills!DH3:DI6,2,FALSE)+IF(AND(Calculator!B8=TRUE,Backdoors!BI25=TRUE),VLOOKUP(Calculator!E23,tbSkills!DH3:DJ6,3,FALSE),0),0))/100)))),1),"")</f>
        <v>1</v>
      </c>
      <c r="FC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Z35)*FB35)*(VLOOKUP(A35,tbMoveset!A2:C112,3,FALSE)/100)*IF(VLOOKUP(A35,tbMoveset!A2:B112,2,FALSE)="Projectile",Backdoors!N10,Backdoors!N9),0),"")</f>
        <v/>
      </c>
      <c r="FD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Z35&gt;=0.45,VLOOKUP(Calculator!E23,tbSkills!DH3:DI6,2,FALSE)+IF(AND(Calculator!B8=TRUE,Backdoors!BI25=TRUE),VLOOKUP(Calculator!E23,tbSkills!DH3:DJ6,3,FALSE),0),0))&gt;=100,100,(Backdoors!AI12+IF(EZ35&gt;=0.45,VLOOKUP(Calculator!E23,tbSkills!DH3:DI6,2,FALSE)+IF(AND(Calculator!B8=TRUE,Backdoors!BI25=TRUE),VLOOKUP(Calculator!E23,tbSkills!DH3:DJ6,3,FALSE),0),0)))/100)),1))*IF(VLOOKUP(A35,tbMoveset!A2:K112,11,FALSE)=TRUE,Backdoors!AC5,1))*FA35,0),"")</f>
        <v>0</v>
      </c>
      <c r="FE35" s="49">
        <f>VLOOKUP(A35,tbMoveset!A2:G112,7,FALSE)*IFERROR(IF(Backdoors!AI12&gt;=0,1+(IF(Calculator!E40&gt;0,VLOOKUP(Calculator!E40,tbSkills!AI3:AJ5,2,FALSE),Backdoors!AL4)*(IF((Backdoors!AI12+IF(EZ35&gt;=0.45,VLOOKUP(Calculator!E23,tbSkills!DH3:DI6,2,FALSE)+IF(AND(Calculator!B8=TRUE,Backdoors!BI25=TRUE),VLOOKUP(Calculator!E23,tbSkills!DH3:DJ6,3,FALSE),0),0))&gt;=100,100,(Backdoors!AI12+IF(EZ35&gt;=0.45,VLOOKUP(Calculator!E23,tbSkills!DH3:DI6,2,FALSE)+IF(AND(Calculator!B8=TRUE,Backdoors!BI25=TRUE),VLOOKUP(Calculator!E23,tbSkills!DH3:DJ6,3,FALSE),0),0)))/100)),1),1)</f>
        <v>0.8</v>
      </c>
      <c r="FF35" s="87">
        <f t="shared" si="15"/>
        <v>0</v>
      </c>
      <c r="FG35" s="86" t="str">
        <f>IFERROR(IF(VLOOKUP(A35,tbMoveset!A2:B112,2,FALSE)="Sever",Backdoors!AY26/100,IF(VLOOKUP(A35,tbMoveset!A2:B112,2,FALSE)="Blunt",Backdoors!AZ26/100,Backdoors!BA26/100)),"")</f>
        <v/>
      </c>
      <c r="FH35" s="49">
        <f>IFERROR(IF(VLOOKUP(tbMoveset!A35,tbMoveset!A2:H112,8,FALSE)="Other",IF(VLOOKUP(tbMoveset!A35,tbMoveset!A2:I112,9,FALSE)="Fire",Backdoors!BB26,IF(VLOOKUP(tbMoveset!A35,tbMoveset!A2:I112,9,FALSE)="Water",Backdoors!BC26,IF(VLOOKUP(tbMoveset!A35,tbMoveset!A2:I112,9,FALSE)="Thunder",Backdoors!BD26,IF(VLOOKUP(tbMoveset!A35,tbMoveset!A2:I112,9,FALSE)="Ice",Backdoors!BE26,IF(VLOOKUP(tbMoveset!A35,tbMoveset!A2:I112,9,FALSE)="Dragon",Backdoors!BF26,Backdoors!BG26)))))/100,Backdoors!BG26/100),"")</f>
        <v>0</v>
      </c>
      <c r="FI35" s="49">
        <f>IFERROR(IF(VLOOKUP(A35,tbMoveset!A2:J112,10,FALSE)=TRUE,IF((Backdoors!AI12+IF(FG35&gt;=0.45,VLOOKUP(Calculator!E23,tbSkills!DH3:DI6,2,FALSE)+IF(AND(Calculator!B8=TRUE,Backdoors!BI26=TRUE),VLOOKUP(Calculator!E23,tbSkills!DH3:DJ6,3,FALSE),0),0))&gt;=0,1+(Backdoors!AL2*(IF((Backdoors!AI12+IF(FG35&gt;=0.45,VLOOKUP(Calculator!E23,tbSkills!DH3:DI6,2,FALSE)+IF(AND(Calculator!B8=TRUE,Backdoors!BI26=TRUE),VLOOKUP(Calculator!E23,tbSkills!DH3:DJ6,3,FALSE),0),0))&gt;=100,100,(Backdoors!AI12+IF(FG35&gt;=0.45,VLOOKUP(Calculator!E23,tbSkills!DH3:DI6,2,FALSE)+IF(AND(Calculator!B8=TRUE,Backdoors!BI26=TRUE),VLOOKUP(Calculator!E23,tbSkills!DH3:DJ6,3,FALSE),0),0)))/100)),(1-(0.25*((-Backdoors!AI12-IF(FG35&gt;=0.45,VLOOKUP(Calculator!E23,tbSkills!DH3:DI6,2,FALSE)+IF(AND(Calculator!B8=TRUE,Backdoors!BI26=TRUE),VLOOKUP(Calculator!E23,tbSkills!DH3:DJ6,3,FALSE),0),0))/100)))),1),"")</f>
        <v>1</v>
      </c>
      <c r="FJ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FG35)*FI35)*(VLOOKUP(A35,tbMoveset!A2:C112,3,FALSE)/100)*IF(VLOOKUP(A35,tbMoveset!A2:B112,2,FALSE)="Projectile",Backdoors!N10,Backdoors!N9),0),"")</f>
        <v/>
      </c>
      <c r="FK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FG35&gt;=0.45,VLOOKUP(Calculator!E23,tbSkills!DH3:DI6,2,FALSE)+IF(AND(Calculator!B8=TRUE,Backdoors!BI26=TRUE),VLOOKUP(Calculator!E23,tbSkills!DH3:DJ6,3,FALSE),0),0))&gt;=100,100,(Backdoors!AI12+IF(FG35&gt;=0.45,VLOOKUP(Calculator!E23,tbSkills!DH3:DI6,2,FALSE)+IF(AND(Calculator!B8=TRUE,Backdoors!BI26=TRUE),VLOOKUP(Calculator!E23,tbSkills!DH3:DJ6,3,FALSE),0),0)))/100)),1))*IF(VLOOKUP(A35,tbMoveset!A2:K112,11,FALSE)=TRUE,Backdoors!AC5,1))*FH35,0),"")</f>
        <v>0</v>
      </c>
      <c r="FL35" s="49">
        <f>VLOOKUP(A35,tbMoveset!A2:G112,7,FALSE)*IFERROR(IF(Backdoors!AI12&gt;=0,1+(IF(Calculator!E40&gt;0,VLOOKUP(Calculator!E40,tbSkills!AI3:AJ5,2,FALSE),Backdoors!AL4)*(IF((Backdoors!AI12+IF(FG35&gt;=0.45,VLOOKUP(Calculator!E23,tbSkills!DH3:DI6,2,FALSE)+IF(AND(Calculator!B8=TRUE,Backdoors!BI26=TRUE),VLOOKUP(Calculator!E23,tbSkills!DH3:DJ6,3,FALSE),0),0))&gt;=100,100,(Backdoors!AI12+IF(FG35&gt;=0.45,VLOOKUP(Calculator!E23,tbSkills!DH3:DI6,2,FALSE)+IF(AND(Calculator!B8=TRUE,Backdoors!BI26=TRUE),VLOOKUP(Calculator!E23,tbSkills!DH3:DJ6,3,FALSE),0),0)))/100)),1),1)</f>
        <v>0.8</v>
      </c>
      <c r="FM35" s="87">
        <f t="shared" si="16"/>
        <v>0</v>
      </c>
      <c r="FN35" s="86" t="str">
        <f>IFERROR(IF(VLOOKUP(A35,tbMoveset!A2:B112,2,FALSE)="Sever",Backdoors!AY27/100,IF(VLOOKUP(A35,tbMoveset!A2:B112,2,FALSE)="Blunt",Backdoors!AZ27/100,Backdoors!BA27/100)),"")</f>
        <v/>
      </c>
      <c r="FO35" s="49">
        <f>IFERROR(IF(VLOOKUP(tbMoveset!A35,tbMoveset!A2:H112,8,FALSE)="Other",IF(VLOOKUP(tbMoveset!A35,tbMoveset!A2:I112,9,FALSE)="Fire",Backdoors!BB27,IF(VLOOKUP(tbMoveset!A35,tbMoveset!A2:I112,9,FALSE)="Water",Backdoors!BC27,IF(VLOOKUP(tbMoveset!A35,tbMoveset!A2:I112,9,FALSE)="Thunder",Backdoors!BD27,IF(VLOOKUP(tbMoveset!A35,tbMoveset!A2:I112,9,FALSE)="Ice",Backdoors!BE27,IF(VLOOKUP(tbMoveset!A35,tbMoveset!A2:I112,9,FALSE)="Dragon",Backdoors!BF27,Backdoors!BG27)))))/100,Backdoors!BG27/100),"")</f>
        <v>0</v>
      </c>
      <c r="FP35" s="49">
        <f>IFERROR(IF(VLOOKUP(A35,tbMoveset!A2:J112,10,FALSE)=TRUE,IF((Backdoors!AI12+IF(FN35&gt;=0.45,VLOOKUP(Calculator!E23,tbSkills!DH3:DI6,2,FALSE)+IF(AND(Calculator!B8=TRUE,Backdoors!BI27=TRUE),VLOOKUP(Calculator!E23,tbSkills!DH3:DJ6,3,FALSE),0),0))&gt;=0,1+(Backdoors!AL2*(IF((Backdoors!AI12+IF(FN35&gt;=0.45,VLOOKUP(Calculator!E23,tbSkills!DH3:DI6,2,FALSE)+IF(AND(Calculator!B8=TRUE,Backdoors!BI27=TRUE),VLOOKUP(Calculator!E23,tbSkills!DH3:DJ6,3,FALSE),0),0))&gt;=100,100,(Backdoors!AI12+IF(FN35&gt;=0.45,VLOOKUP(Calculator!E23,tbSkills!DH3:DI6,2,FALSE)+IF(AND(Calculator!B8=TRUE,Backdoors!BI27=TRUE),VLOOKUP(Calculator!E23,tbSkills!DH3:DJ6,3,FALSE),0),0)))/100)),(1-(0.25*((-Backdoors!AI12-IF(FN35&gt;=0.45,VLOOKUP(Calculator!E23,tbSkills!DH3:DI6,2,FALSE)+IF(AND(Calculator!B8=TRUE,Backdoors!BI27=TRUE),VLOOKUP(Calculator!E23,tbSkills!DH3:DJ6,3,FALSE),0),0))/100)))),1),"")</f>
        <v>1</v>
      </c>
      <c r="FQ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FN35)*FP35)*(VLOOKUP(A35,tbMoveset!A2:C112,3,FALSE)/100)*IF(VLOOKUP(A35,tbMoveset!A2:B112,2,FALSE)="Projectile",Backdoors!N10,Backdoors!N9),0),"")</f>
        <v/>
      </c>
      <c r="FR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FN35&gt;=0.45,VLOOKUP(Calculator!E23,tbSkills!DH3:DI6,2,FALSE)+IF(AND(Calculator!B8=TRUE,Backdoors!BI27=TRUE),VLOOKUP(Calculator!E23,tbSkills!DH3:DJ6,3,FALSE),0),0))&gt;=100,100,(Backdoors!AI12+IF(FN35&gt;=0.45,VLOOKUP(Calculator!E23,tbSkills!DH3:DI6,2,FALSE)+IF(AND(Calculator!B8=TRUE,Backdoors!BI27=TRUE),VLOOKUP(Calculator!E23,tbSkills!DH3:DJ6,3,FALSE),0),0)))/100)),1))*IF(VLOOKUP(A35,tbMoveset!A2:K112,11,FALSE)=TRUE,Backdoors!AC5,1))*FO35,0),"")</f>
        <v>0</v>
      </c>
      <c r="FS35" s="49">
        <f>VLOOKUP(A35,tbMoveset!A2:G112,7,FALSE)*IFERROR(IF(Backdoors!AI12&gt;=0,1+(IF(Calculator!E40&gt;0,VLOOKUP(Calculator!E40,tbSkills!AI3:AJ5,2,FALSE),Backdoors!AL4)*(IF((Backdoors!AI12+IF(FN35&gt;=0.45,VLOOKUP(Calculator!E23,tbSkills!DH3:DI6,2,FALSE)+IF(AND(Calculator!B8=TRUE,Backdoors!BI27=TRUE),VLOOKUP(Calculator!E23,tbSkills!DH3:DJ6,3,FALSE),0),0))&gt;=100,100,(Backdoors!AI12+IF(FN35&gt;=0.45,VLOOKUP(Calculator!E23,tbSkills!DH3:DI6,2,FALSE)+IF(AND(Calculator!B8=TRUE,Backdoors!BI27=TRUE),VLOOKUP(Calculator!E23,tbSkills!DH3:DJ6,3,FALSE),0),0)))/100)),1),1)</f>
        <v>0.8</v>
      </c>
      <c r="FT35" s="87">
        <f t="shared" si="17"/>
        <v>0</v>
      </c>
      <c r="FU35" s="86" t="str">
        <f>IFERROR(IF(VLOOKUP(A35,tbMoveset!A2:B112,2,FALSE)="Sever",Backdoors!AY28/100,IF(VLOOKUP(A35,tbMoveset!A2:B112,2,FALSE)="Blunt",Backdoors!AZ28/100,Backdoors!BA28/100)),"")</f>
        <v/>
      </c>
      <c r="FV35" s="49">
        <f>IFERROR(IF(VLOOKUP(tbMoveset!A35,tbMoveset!A2:H112,8,FALSE)="Other",IF(VLOOKUP(tbMoveset!A35,tbMoveset!A2:I112,9,FALSE)="Fire",Backdoors!BB28,IF(VLOOKUP(tbMoveset!A35,tbMoveset!A2:I112,9,FALSE)="Water",Backdoors!BC28,IF(VLOOKUP(tbMoveset!A35,tbMoveset!A2:I112,9,FALSE)="Thunder",Backdoors!BD28,IF(VLOOKUP(tbMoveset!A35,tbMoveset!A2:I112,9,FALSE)="Ice",Backdoors!BE28,IF(VLOOKUP(tbMoveset!A35,tbMoveset!A2:I112,9,FALSE)="Dragon",Backdoors!BF28,Backdoors!BG28)))))/100,Backdoors!BG28/100),"")</f>
        <v>0</v>
      </c>
      <c r="FW35" s="49">
        <f>IFERROR(IF(VLOOKUP(A35,tbMoveset!A2:J112,10,FALSE)=TRUE,IF((Backdoors!AI12+IF(FU35&gt;=0.45,VLOOKUP(Calculator!E23,tbSkills!DH3:DI6,2,FALSE)+IF(AND(Calculator!B8=TRUE,Backdoors!BI28=TRUE),VLOOKUP(Calculator!E23,tbSkills!DH3:DJ6,3,FALSE),0),0))&gt;=0,1+(Backdoors!AL2*(IF((Backdoors!AI12+IF(FU35&gt;=0.45,VLOOKUP(Calculator!E23,tbSkills!DH3:DI6,2,FALSE)+IF(AND(Calculator!B8=TRUE,Backdoors!BI28=TRUE),VLOOKUP(Calculator!E23,tbSkills!DH3:DJ6,3,FALSE),0),0))&gt;=100,100,(Backdoors!AI12+IF(FU35&gt;=0.45,VLOOKUP(Calculator!E23,tbSkills!DH3:DI6,2,FALSE)+IF(AND(Calculator!B8=TRUE,Backdoors!BI28=TRUE),VLOOKUP(Calculator!E23,tbSkills!DH3:DJ6,3,FALSE),0),0)))/100)),(1-(0.25*((-Backdoors!AI12-IF(FU35&gt;=0.45,VLOOKUP(Calculator!E23,tbSkills!DH3:DI6,2,FALSE)+IF(AND(Calculator!B8=TRUE,Backdoors!BI28=TRUE),VLOOKUP(Calculator!E23,tbSkills!DH3:DJ6,3,FALSE),0),0))/100)))),1),"")</f>
        <v>1</v>
      </c>
      <c r="FX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FU35)*FW35)*(VLOOKUP(A35,tbMoveset!A2:C112,3,FALSE)/100)*IF(VLOOKUP(A35,tbMoveset!A2:B112,2,FALSE)="Projectile",Backdoors!N10,Backdoors!N9),0),"")</f>
        <v/>
      </c>
      <c r="FY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FU35&gt;=0.45,VLOOKUP(Calculator!E23,tbSkills!DH3:DI6,2,FALSE)+IF(AND(Calculator!B8=TRUE,Backdoors!BI28=TRUE),VLOOKUP(Calculator!E23,tbSkills!DH3:DJ6,3,FALSE),0),0))&gt;=100,100,(Backdoors!AI12+IF(FU35&gt;=0.45,VLOOKUP(Calculator!E23,tbSkills!DH3:DI6,2,FALSE)+IF(AND(Calculator!B8=TRUE,Backdoors!BI28=TRUE),VLOOKUP(Calculator!E23,tbSkills!DH3:DJ6,3,FALSE),0),0)))/100)),1))*IF(VLOOKUP(A35,tbMoveset!A2:K112,11,FALSE)=TRUE,Backdoors!AC5,1))*FV35,0),"")</f>
        <v>0</v>
      </c>
      <c r="FZ35" s="49">
        <f>VLOOKUP(A35,tbMoveset!A2:G112,7,FALSE)*IFERROR(IF(Backdoors!AI12&gt;=0,1+(IF(Calculator!E40&gt;0,VLOOKUP(Calculator!E40,tbSkills!AI3:AJ5,2,FALSE),Backdoors!AL4)*(IF((Backdoors!AI12+IF(FU35&gt;=0.45,VLOOKUP(Calculator!E23,tbSkills!DH3:DI6,2,FALSE)+IF(AND(Calculator!B8=TRUE,Backdoors!BI28=TRUE),VLOOKUP(Calculator!E23,tbSkills!DH3:DJ6,3,FALSE),0),0))&gt;=100,100,(Backdoors!AI12+IF(FU35&gt;=0.45,VLOOKUP(Calculator!E23,tbSkills!DH3:DI6,2,FALSE)+IF(AND(Calculator!B8=TRUE,Backdoors!BI28=TRUE),VLOOKUP(Calculator!E23,tbSkills!DH3:DJ6,3,FALSE),0),0)))/100)),1),1)</f>
        <v>0.8</v>
      </c>
      <c r="GA35" s="87">
        <f t="shared" si="18"/>
        <v>0</v>
      </c>
      <c r="GB35" s="86" t="str">
        <f>IFERROR(IF(VLOOKUP(A35,tbMoveset!A2:B112,2,FALSE)="Sever",Backdoors!AY29/100,IF(VLOOKUP(A35,tbMoveset!A2:B112,2,FALSE)="Blunt",Backdoors!AZ29/100,Backdoors!BA29/100)),"")</f>
        <v/>
      </c>
      <c r="GC35" s="49">
        <f>IFERROR(IF(VLOOKUP(tbMoveset!A35,tbMoveset!A2:H112,8,FALSE)="Other",IF(VLOOKUP(tbMoveset!A35,tbMoveset!A2:I112,9,FALSE)="Fire",Backdoors!BB29,IF(VLOOKUP(tbMoveset!A35,tbMoveset!A2:I112,9,FALSE)="Water",Backdoors!BC29,IF(VLOOKUP(tbMoveset!A35,tbMoveset!A2:I112,9,FALSE)="Thunder",Backdoors!BD29,IF(VLOOKUP(tbMoveset!A35,tbMoveset!A2:I112,9,FALSE)="Ice",Backdoors!BE29,IF(VLOOKUP(tbMoveset!A35,tbMoveset!A2:I112,9,FALSE)="Dragon",Backdoors!BF29,Backdoors!BG29)))))/100,Backdoors!BG29/100),"")</f>
        <v>0</v>
      </c>
      <c r="GD35" s="49">
        <f>IFERROR(IF(VLOOKUP(A35,tbMoveset!A2:J112,10,FALSE)=TRUE,IF((Backdoors!AI12+IF(GB35&gt;=0.45,VLOOKUP(Calculator!E23,tbSkills!DH3:DI6,2,FALSE)+IF(AND(Calculator!B8=TRUE,Backdoors!BI29=TRUE),VLOOKUP(Calculator!E23,tbSkills!DH3:DJ6,3,FALSE),0),0))&gt;=0,1+(Backdoors!AL2*(IF((Backdoors!AI12+IF(GB35&gt;=0.45,VLOOKUP(Calculator!E23,tbSkills!DH3:DI6,2,FALSE)+IF(AND(Calculator!B8=TRUE,Backdoors!BI29=TRUE),VLOOKUP(Calculator!E23,tbSkills!DH3:DJ6,3,FALSE),0),0))&gt;=100,100,(Backdoors!AI12+IF(GB35&gt;=0.45,VLOOKUP(Calculator!E23,tbSkills!DH3:DI6,2,FALSE)+IF(AND(Calculator!B8=TRUE,Backdoors!BI29=TRUE),VLOOKUP(Calculator!E23,tbSkills!DH3:DJ6,3,FALSE),0),0)))/100)),(1-(0.25*((-Backdoors!AI12-IF(GB35&gt;=0.45,VLOOKUP(Calculator!E23,tbSkills!DH3:DI6,2,FALSE)+IF(AND(Calculator!B8=TRUE,Backdoors!BI29=TRUE),VLOOKUP(Calculator!E23,tbSkills!DH3:DJ6,3,FALSE),0),0))/100)))),1),"")</f>
        <v>1</v>
      </c>
      <c r="GE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B35)*GD35)*(VLOOKUP(A35,tbMoveset!A2:C112,3,FALSE)/100)*IF(VLOOKUP(A35,tbMoveset!A2:B112,2,FALSE)="Projectile",Backdoors!N10,Backdoors!N9),0),"")</f>
        <v/>
      </c>
      <c r="GF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B35&gt;=0.45,VLOOKUP(Calculator!E23,tbSkills!DH3:DI6,2,FALSE)+IF(AND(Calculator!B8=TRUE,Backdoors!BI29=TRUE),VLOOKUP(Calculator!E23,tbSkills!DH3:DJ6,3,FALSE),0),0))&gt;=100,100,(Backdoors!AI12+IF(GB35&gt;=0.45,VLOOKUP(Calculator!E23,tbSkills!DH3:DI6,2,FALSE)+IF(AND(Calculator!B8=TRUE,Backdoors!BI29=TRUE),VLOOKUP(Calculator!E23,tbSkills!DH3:DJ6,3,FALSE),0),0)))/100)),1))*IF(VLOOKUP(A35,tbMoveset!A2:K112,11,FALSE)=TRUE,Backdoors!AC5,1))*GC35,0),"")</f>
        <v>0</v>
      </c>
      <c r="GG35" s="49">
        <f>VLOOKUP(A35,tbMoveset!A2:G112,7,FALSE)*IFERROR(IF(Backdoors!AI12&gt;=0,1+(IF(Calculator!E40&gt;0,VLOOKUP(Calculator!E40,tbSkills!AI3:AJ5,2,FALSE),Backdoors!AL4)*(IF((Backdoors!AI12+IF(GB35&gt;=0.45,VLOOKUP(Calculator!E23,tbSkills!DH3:DI6,2,FALSE)+IF(AND(Calculator!B8=TRUE,Backdoors!BI29=TRUE),VLOOKUP(Calculator!E23,tbSkills!DH3:DJ6,3,FALSE),0),0))&gt;=100,100,(Backdoors!AI12+IF(GB35&gt;=0.45,VLOOKUP(Calculator!E23,tbSkills!DH3:DI6,2,FALSE)+IF(AND(Calculator!B8=TRUE,Backdoors!BI29=TRUE),VLOOKUP(Calculator!E23,tbSkills!DH3:DJ6,3,FALSE),0),0)))/100)),1),1)</f>
        <v>0.8</v>
      </c>
      <c r="GH35" s="87">
        <f t="shared" si="19"/>
        <v>0</v>
      </c>
      <c r="GI35" s="86" t="str">
        <f>IFERROR(IF(VLOOKUP(A35,tbMoveset!A2:B112,2,FALSE)="Sever",Backdoors!AY30/100,IF(VLOOKUP(A35,tbMoveset!A2:B112,2,FALSE)="Blunt",Backdoors!AZ30/100,Backdoors!BA30/100)),"")</f>
        <v/>
      </c>
      <c r="GJ35" s="49">
        <f>IFERROR(IF(VLOOKUP(tbMoveset!A35,tbMoveset!A2:H112,8,FALSE)="Other",IF(VLOOKUP(tbMoveset!A35,tbMoveset!A2:I112,9,FALSE)="Fire",Backdoors!BB30,IF(VLOOKUP(tbMoveset!A35,tbMoveset!A2:I112,9,FALSE)="Water",Backdoors!BC30,IF(VLOOKUP(tbMoveset!A35,tbMoveset!A2:I112,9,FALSE)="Thunder",Backdoors!BD30,IF(VLOOKUP(tbMoveset!A35,tbMoveset!A2:I112,9,FALSE)="Ice",Backdoors!BE30,IF(VLOOKUP(tbMoveset!A35,tbMoveset!A2:I112,9,FALSE)="Dragon",Backdoors!BF30,Backdoors!BG30)))))/100,Backdoors!BG30/100),"")</f>
        <v>0</v>
      </c>
      <c r="GK35" s="49">
        <f>IFERROR(IF(VLOOKUP(A35,tbMoveset!A2:J112,10,FALSE)=TRUE,IF((Backdoors!AI12+IF(GI35&gt;=0.45,VLOOKUP(Calculator!E23,tbSkills!DH3:DI6,2,FALSE)+IF(AND(Calculator!B8=TRUE,Backdoors!BI30=TRUE),VLOOKUP(Calculator!E23,tbSkills!DH3:DJ6,3,FALSE),0),0))&gt;=0,1+(Backdoors!AL2*(IF((Backdoors!AI12+IF(GI35&gt;=0.45,VLOOKUP(Calculator!E23,tbSkills!DH3:DI6,2,FALSE)+IF(AND(Calculator!B8=TRUE,Backdoors!BI30=TRUE),VLOOKUP(Calculator!E23,tbSkills!DH3:DJ6,3,FALSE),0),0))&gt;=100,100,(Backdoors!AI12+IF(GI35&gt;=0.45,VLOOKUP(Calculator!E23,tbSkills!DH3:DI6,2,FALSE)+IF(AND(Calculator!B8=TRUE,Backdoors!BI30=TRUE),VLOOKUP(Calculator!E23,tbSkills!DH3:DJ6,3,FALSE),0),0)))/100)),(1-(0.25*((-Backdoors!AI12-IF(GI35&gt;=0.45,VLOOKUP(Calculator!E23,tbSkills!DH3:DI6,2,FALSE)+IF(AND(Calculator!B8=TRUE,Backdoors!BI30=TRUE),VLOOKUP(Calculator!E23,tbSkills!DH3:DJ6,3,FALSE),0),0))/100)))),1),"")</f>
        <v>1</v>
      </c>
      <c r="GL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I35)*GK35)*(VLOOKUP(A35,tbMoveset!A2:C112,3,FALSE)/100)*IF(VLOOKUP(A35,tbMoveset!A2:B112,2,FALSE)="Projectile",Backdoors!N10,Backdoors!N9),0),"")</f>
        <v/>
      </c>
      <c r="GM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I35&gt;=0.45,VLOOKUP(Calculator!E23,tbSkills!DH3:DI6,2,FALSE)+IF(AND(Calculator!B8=TRUE,Backdoors!BI30=TRUE),VLOOKUP(Calculator!E23,tbSkills!DH3:DJ6,3,FALSE),0),0))&gt;=100,100,(Backdoors!AI12+IF(GI35&gt;=0.45,VLOOKUP(Calculator!E23,tbSkills!DH3:DI6,2,FALSE)+IF(AND(Calculator!B8=TRUE,Backdoors!BI30=TRUE),VLOOKUP(Calculator!E23,tbSkills!DH3:DJ6,3,FALSE),0),0)))/100)),1))*IF(VLOOKUP(A35,tbMoveset!A2:K112,11,FALSE)=TRUE,Backdoors!AC5,1))*GJ35,0),"")</f>
        <v>0</v>
      </c>
      <c r="GN35" s="49">
        <f>VLOOKUP(A35,tbMoveset!A2:G112,7,FALSE)*IFERROR(IF(Backdoors!AI12&gt;=0,1+(IF(Calculator!E40&gt;0,VLOOKUP(Calculator!E40,tbSkills!AI3:AJ5,2,FALSE),Backdoors!AL4)*(IF((Backdoors!AI12+IF(GI35&gt;=0.45,VLOOKUP(Calculator!E23,tbSkills!DH3:DI6,2,FALSE)+IF(AND(Calculator!B8=TRUE,Backdoors!BI30=TRUE),VLOOKUP(Calculator!E23,tbSkills!DH3:DJ6,3,FALSE),0),0))&gt;=100,100,(Backdoors!AI12+IF(GI35&gt;=0.45,VLOOKUP(Calculator!E23,tbSkills!DH3:DI6,2,FALSE)+IF(AND(Calculator!B8=TRUE,Backdoors!BI30=TRUE),VLOOKUP(Calculator!E23,tbSkills!DH3:DJ6,3,FALSE),0),0)))/100)),1),1)</f>
        <v>0.8</v>
      </c>
      <c r="GO35" s="87">
        <f t="shared" si="20"/>
        <v>0</v>
      </c>
      <c r="GP35" s="86" t="str">
        <f>IFERROR(IF(VLOOKUP(A35,tbMoveset!A2:B112,2,FALSE)="Sever",Backdoors!AY31/100,IF(VLOOKUP(A35,tbMoveset!A2:B112,2,FALSE)="Blunt",Backdoors!AZ31/100,Backdoors!BA31/100)),"")</f>
        <v/>
      </c>
      <c r="GQ35" s="49">
        <f>IFERROR(IF(VLOOKUP(tbMoveset!A35,tbMoveset!A2:H112,8,FALSE)="Other",IF(VLOOKUP(tbMoveset!A35,tbMoveset!A2:I112,9,FALSE)="Fire",Backdoors!BB31,IF(VLOOKUP(tbMoveset!A35,tbMoveset!A2:I112,9,FALSE)="Water",Backdoors!BC31,IF(VLOOKUP(tbMoveset!A35,tbMoveset!A2:I112,9,FALSE)="Thunder",Backdoors!BD31,IF(VLOOKUP(tbMoveset!A35,tbMoveset!A2:I112,9,FALSE)="Ice",Backdoors!BE31,IF(VLOOKUP(tbMoveset!A35,tbMoveset!A2:I112,9,FALSE)="Dragon",Backdoors!BF31,Backdoors!BG31)))))/100,Backdoors!BG31/100),"")</f>
        <v>0</v>
      </c>
      <c r="GR35" s="49">
        <f>IFERROR(IF(VLOOKUP(A35,tbMoveset!A2:J112,10,FALSE)=TRUE,IF((Backdoors!AI12+IF(GP35&gt;=0.45,VLOOKUP(Calculator!E23,tbSkills!DH3:DI6,2,FALSE)+IF(AND(Calculator!B8=TRUE,Backdoors!BI31=TRUE),VLOOKUP(Calculator!E23,tbSkills!DH3:DJ6,3,FALSE),0),0))&gt;=0,1+(Backdoors!AL2*(IF((Backdoors!AI12+IF(GP35&gt;=0.45,VLOOKUP(Calculator!E23,tbSkills!DH3:DI6,2,FALSE)+IF(AND(Calculator!B8=TRUE,Backdoors!BI31=TRUE),VLOOKUP(Calculator!E23,tbSkills!DH3:DJ6,3,FALSE),0),0))&gt;=100,100,(Backdoors!AI12+IF(GP35&gt;=0.45,VLOOKUP(Calculator!E23,tbSkills!DH3:DI6,2,FALSE)+IF(AND(Calculator!B8=TRUE,Backdoors!BI31=TRUE),VLOOKUP(Calculator!E23,tbSkills!DH3:DJ6,3,FALSE),0),0)))/100)),(1-(0.25*((-Backdoors!AI12-IF(GP35&gt;=0.45,VLOOKUP(Calculator!E23,tbSkills!DH3:DI6,2,FALSE)+IF(AND(Calculator!B8=TRUE,Backdoors!BI31=TRUE),VLOOKUP(Calculator!E23,tbSkills!DH3:DJ6,3,FALSE),0),0))/100)))),1),"")</f>
        <v>1</v>
      </c>
      <c r="GS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P35)*GR35)*(VLOOKUP(A35,tbMoveset!A2:C112,3,FALSE)/100)*IF(VLOOKUP(A35,tbMoveset!A2:B112,2,FALSE)="Projectile",Backdoors!N10,Backdoors!N9),0),"")</f>
        <v/>
      </c>
      <c r="GT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P35&gt;=0.45,VLOOKUP(Calculator!E23,tbSkills!DH3:DI6,2,FALSE)+IF(AND(Calculator!B8=TRUE,Backdoors!BI31=TRUE),VLOOKUP(Calculator!E23,tbSkills!DH3:DJ6,3,FALSE),0),0))&gt;=100,100,(Backdoors!AI12+IF(GP35&gt;=0.45,VLOOKUP(Calculator!E23,tbSkills!DH3:DI6,2,FALSE)+IF(AND(Calculator!B8=TRUE,Backdoors!BI31=TRUE),VLOOKUP(Calculator!E23,tbSkills!DH3:DJ6,3,FALSE),0),0)))/100)),1))*IF(VLOOKUP(A35,tbMoveset!A2:K112,11,FALSE)=TRUE,Backdoors!AC5,1))*GQ35,0),"")</f>
        <v>0</v>
      </c>
      <c r="GU35" s="49">
        <f>VLOOKUP(A35,tbMoveset!A2:G112,7,FALSE)*IFERROR(IF(Backdoors!AI12&gt;=0,1+(IF(Calculator!E40&gt;0,VLOOKUP(Calculator!E40,tbSkills!AI3:AJ5,2,FALSE),Backdoors!AL4)*(IF((Backdoors!AI12+IF(GP35&gt;=0.45,VLOOKUP(Calculator!E23,tbSkills!DH3:DI6,2,FALSE)+IF(AND(Calculator!B8=TRUE,Backdoors!BI31=TRUE),VLOOKUP(Calculator!E23,tbSkills!DH3:DJ6,3,FALSE),0),0))&gt;=100,100,(Backdoors!AI12+IF(GP35&gt;=0.45,VLOOKUP(Calculator!E23,tbSkills!DH3:DI6,2,FALSE)+IF(AND(Calculator!B8=TRUE,Backdoors!BI31=TRUE),VLOOKUP(Calculator!E23,tbSkills!DH3:DJ6,3,FALSE),0),0)))/100)),1),1)</f>
        <v>0.8</v>
      </c>
      <c r="GV35" s="87">
        <f t="shared" si="21"/>
        <v>0</v>
      </c>
      <c r="GW35" s="86" t="str">
        <f>IFERROR(IF(VLOOKUP(A35,tbMoveset!A2:B112,2,FALSE)="Sever",Backdoors!AY32/100,IF(VLOOKUP(A35,tbMoveset!A2:B112,2,FALSE)="Blunt",Backdoors!AZ32/100,Backdoors!BA32/100)),"")</f>
        <v/>
      </c>
      <c r="GX35" s="49">
        <f>IFERROR(IF(VLOOKUP(tbMoveset!A35,tbMoveset!A2:H112,8,FALSE)="Other",IF(VLOOKUP(tbMoveset!A35,tbMoveset!A2:I112,9,FALSE)="Fire",Backdoors!BB32,IF(VLOOKUP(tbMoveset!A35,tbMoveset!A2:I112,9,FALSE)="Water",Backdoors!BC32,IF(VLOOKUP(tbMoveset!A35,tbMoveset!A2:I112,9,FALSE)="Thunder",Backdoors!BD32,IF(VLOOKUP(tbMoveset!A35,tbMoveset!A2:I112,9,FALSE)="Ice",Backdoors!BE32,IF(VLOOKUP(tbMoveset!A35,tbMoveset!A2:I112,9,FALSE)="Dragon",Backdoors!BF32,Backdoors!BG32)))))/100,Backdoors!BG32/100),"")</f>
        <v>0</v>
      </c>
      <c r="GY35" s="49">
        <f>IFERROR(IF(VLOOKUP(A35,tbMoveset!A2:J112,10,FALSE)=TRUE,IF((Backdoors!AI12+IF(GW35&gt;=0.45,VLOOKUP(Calculator!E23,tbSkills!DH3:DI6,2,FALSE)+IF(AND(Calculator!B8=TRUE,Backdoors!BI32=TRUE),VLOOKUP(Calculator!E23,tbSkills!DH3:DJ6,3,FALSE),0),0))&gt;=0,1+(Backdoors!AL2*(IF((Backdoors!AI12+IF(GW35&gt;=0.45,VLOOKUP(Calculator!E23,tbSkills!DH3:DI6,2,FALSE)+IF(AND(Calculator!B8=TRUE,Backdoors!BI32=TRUE),VLOOKUP(Calculator!E23,tbSkills!DH3:DJ6,3,FALSE),0),0))&gt;=100,100,(Backdoors!AI12+IF(GW35&gt;=0.45,VLOOKUP(Calculator!E23,tbSkills!DH3:DI6,2,FALSE)+IF(AND(Calculator!B8=TRUE,Backdoors!BI32=TRUE),VLOOKUP(Calculator!E23,tbSkills!DH3:DJ6,3,FALSE),0),0)))/100)),(1-(0.25*((-Backdoors!AI12-IF(GW35&gt;=0.45,VLOOKUP(Calculator!E23,tbSkills!DH3:DI6,2,FALSE)+IF(AND(Calculator!B8=TRUE,Backdoors!BI32=TRUE),VLOOKUP(Calculator!E23,tbSkills!DH3:DJ6,3,FALSE),0),0))/100)))),1),"")</f>
        <v>1</v>
      </c>
      <c r="GZ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W35)*GY35)*(VLOOKUP(A35,tbMoveset!A2:C112,3,FALSE)/100)*IF(VLOOKUP(A35,tbMoveset!A2:B112,2,FALSE)="Projectile",Backdoors!N10,Backdoors!N9),0),"")</f>
        <v/>
      </c>
      <c r="HA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W35&gt;=0.45,VLOOKUP(Calculator!E23,tbSkills!DH3:DI6,2,FALSE)+IF(AND(Calculator!B8=TRUE,Backdoors!BI32=TRUE),VLOOKUP(Calculator!E23,tbSkills!DH3:DJ6,3,FALSE),0),0))&gt;=100,100,(Backdoors!AI12+IF(GW35&gt;=0.45,VLOOKUP(Calculator!E23,tbSkills!DH3:DI6,2,FALSE)+IF(AND(Calculator!B8=TRUE,Backdoors!BI32=TRUE),VLOOKUP(Calculator!E23,tbSkills!DH3:DJ6,3,FALSE),0),0)))/100)),1))*IF(VLOOKUP(A35,tbMoveset!A2:K112,11,FALSE)=TRUE,Backdoors!AC5,1))*GX35,0),"")</f>
        <v>0</v>
      </c>
      <c r="HB35" s="49">
        <f>VLOOKUP(A35,tbMoveset!A2:G112,7,FALSE)*IFERROR(IF(Backdoors!AI12&gt;=0,1+(IF(Calculator!E40&gt;0,VLOOKUP(Calculator!E40,tbSkills!AI3:AJ5,2,FALSE),Backdoors!AL4)*(IF((Backdoors!AI12+IF(GW35&gt;=0.45,VLOOKUP(Calculator!E23,tbSkills!DH3:DI6,2,FALSE)+IF(AND(Calculator!B8=TRUE,Backdoors!BI32=TRUE),VLOOKUP(Calculator!E23,tbSkills!DH3:DJ6,3,FALSE),0),0))&gt;=100,100,(Backdoors!AI12+IF(GW35&gt;=0.45,VLOOKUP(Calculator!E23,tbSkills!DH3:DI6,2,FALSE)+IF(AND(Calculator!B8=TRUE,Backdoors!BI32=TRUE),VLOOKUP(Calculator!E23,tbSkills!DH3:DJ6,3,FALSE),0),0)))/100)),1),1)</f>
        <v>0.8</v>
      </c>
      <c r="HC35" s="87">
        <f t="shared" si="22"/>
        <v>0</v>
      </c>
      <c r="HD35" s="86" t="str">
        <f>IFERROR(IF(VLOOKUP(A35,tbMoveset!A2:B112,2,FALSE)="Sever",Backdoors!AY33/100,IF(VLOOKUP(A35,tbMoveset!A2:B112,2,FALSE)="Blunt",Backdoors!AZ33/100,Backdoors!BA33/100)),"")</f>
        <v/>
      </c>
      <c r="HE35" s="49">
        <f>IFERROR(IF(VLOOKUP(tbMoveset!A35,tbMoveset!A2:H112,8,FALSE)="Other",IF(VLOOKUP(tbMoveset!A35,tbMoveset!A2:I112,9,FALSE)="Fire",Backdoors!BB33,IF(VLOOKUP(tbMoveset!A35,tbMoveset!A2:I112,9,FALSE)="Water",Backdoors!BC33,IF(VLOOKUP(tbMoveset!A35,tbMoveset!A2:I112,9,FALSE)="Thunder",Backdoors!BD33,IF(VLOOKUP(tbMoveset!A35,tbMoveset!A2:I112,9,FALSE)="Ice",Backdoors!BE33,IF(VLOOKUP(tbMoveset!A35,tbMoveset!A2:I112,9,FALSE)="Dragon",Backdoors!BF33,Backdoors!BG33)))))/100,Backdoors!BG33/100),"")</f>
        <v>0</v>
      </c>
      <c r="HF35" s="49">
        <f>IFERROR(IF(VLOOKUP(A35,tbMoveset!A2:J112,10,FALSE)=TRUE,IF((Backdoors!AI12+IF(HD35&gt;=0.45,VLOOKUP(Calculator!E23,tbSkills!DH3:DI6,2,FALSE)+IF(AND(Calculator!B8=TRUE,Backdoors!BI33=TRUE),VLOOKUP(Calculator!E23,tbSkills!DH3:DJ6,3,FALSE),0),0))&gt;=0,1+(Backdoors!AL2*(IF((Backdoors!AI12+IF(HD35&gt;=0.45,VLOOKUP(Calculator!E23,tbSkills!DH3:DI6,2,FALSE)+IF(AND(Calculator!B8=TRUE,Backdoors!BI33=TRUE),VLOOKUP(Calculator!E23,tbSkills!DH3:DJ6,3,FALSE),0),0))&gt;=100,100,(Backdoors!AI12+IF(HD35&gt;=0.45,VLOOKUP(Calculator!E23,tbSkills!DH3:DI6,2,FALSE)+IF(AND(Calculator!B8=TRUE,Backdoors!BI33=TRUE),VLOOKUP(Calculator!E23,tbSkills!DH3:DJ6,3,FALSE),0),0)))/100)),(1-(0.25*((-Backdoors!AI12-IF(HD35&gt;=0.45,VLOOKUP(Calculator!E23,tbSkills!DH3:DI6,2,FALSE)+IF(AND(Calculator!B8=TRUE,Backdoors!BI33=TRUE),VLOOKUP(Calculator!E23,tbSkills!DH3:DJ6,3,FALSE),0),0))/100)))),1),"")</f>
        <v>1</v>
      </c>
      <c r="HG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D35)*HF35)*(VLOOKUP(A35,tbMoveset!A2:C112,3,FALSE)/100)*IF(VLOOKUP(A35,tbMoveset!A2:B112,2,FALSE)="Projectile",Backdoors!N10,Backdoors!N9),0),"")</f>
        <v/>
      </c>
      <c r="HH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D35&gt;=0.45,VLOOKUP(Calculator!E23,tbSkills!DH3:DI6,2,FALSE)+IF(AND(Calculator!B8=TRUE,Backdoors!BI33=TRUE),VLOOKUP(Calculator!E23,tbSkills!DH3:DJ6,3,FALSE),0),0))&gt;=100,100,(Backdoors!AI12+IF(HD35&gt;=0.45,VLOOKUP(Calculator!E23,tbSkills!DH3:DI6,2,FALSE)+IF(AND(Calculator!B8=TRUE,Backdoors!BI33=TRUE),VLOOKUP(Calculator!E23,tbSkills!DH3:DJ6,3,FALSE),0),0)))/100)),1))*IF(VLOOKUP(A35,tbMoveset!A2:K112,11,FALSE)=TRUE,Backdoors!AC5,1))*HE35,0),"")</f>
        <v>0</v>
      </c>
      <c r="HI35" s="49">
        <f>VLOOKUP(A35,tbMoveset!A2:G112,7,FALSE)*IFERROR(IF(Backdoors!AI12&gt;=0,1+(IF(Calculator!E40&gt;0,VLOOKUP(Calculator!E40,tbSkills!AI3:AJ5,2,FALSE),Backdoors!AL4)*(IF((Backdoors!AI12+IF(HD35&gt;=0.45,VLOOKUP(Calculator!E23,tbSkills!DH3:DI6,2,FALSE)+IF(AND(Calculator!B8=TRUE,Backdoors!BI33=TRUE),VLOOKUP(Calculator!E23,tbSkills!DH3:DJ6,3,FALSE),0),0))&gt;=100,100,(Backdoors!AI12+IF(HD35&gt;=0.45,VLOOKUP(Calculator!E23,tbSkills!DH3:DI6,2,FALSE)+IF(AND(Calculator!B8=TRUE,Backdoors!BI33=TRUE),VLOOKUP(Calculator!E23,tbSkills!DH3:DJ6,3,FALSE),0),0)))/100)),1),1)</f>
        <v>0.8</v>
      </c>
      <c r="HJ35" s="87">
        <f t="shared" si="23"/>
        <v>0</v>
      </c>
      <c r="HK35" s="86" t="str">
        <f>IFERROR(IF(VLOOKUP(A35,tbMoveset!A2:B112,2,FALSE)="Sever",Backdoors!AY34/100,IF(VLOOKUP(A35,tbMoveset!A2:B112,2,FALSE)="Blunt",Backdoors!AZ34/100,Backdoors!BA34/100)),"")</f>
        <v/>
      </c>
      <c r="HL35" s="49">
        <f>IFERROR(IF(VLOOKUP(tbMoveset!A35,tbMoveset!A2:H112,8,FALSE)="Other",IF(VLOOKUP(tbMoveset!A35,tbMoveset!A2:I112,9,FALSE)="Fire",Backdoors!BB34,IF(VLOOKUP(tbMoveset!A35,tbMoveset!A2:I112,9,FALSE)="Water",Backdoors!BC34,IF(VLOOKUP(tbMoveset!A35,tbMoveset!A2:I112,9,FALSE)="Thunder",Backdoors!BD34,IF(VLOOKUP(tbMoveset!A35,tbMoveset!A2:I112,9,FALSE)="Ice",Backdoors!BE34,IF(VLOOKUP(tbMoveset!A35,tbMoveset!A2:I112,9,FALSE)="Dragon",Backdoors!BF34,Backdoors!BG34)))))/100,Backdoors!BG34/100),"")</f>
        <v>0</v>
      </c>
      <c r="HM35" s="49">
        <f>IFERROR(IF(VLOOKUP(A35,tbMoveset!A2:J112,10,FALSE)=TRUE,IF((Backdoors!AI12+IF(HK35&gt;=0.45,VLOOKUP(Calculator!E23,tbSkills!DH3:DI6,2,FALSE)+IF(AND(Calculator!B8=TRUE,Backdoors!BI34=TRUE),VLOOKUP(Calculator!E23,tbSkills!DH3:DJ6,3,FALSE),0),0))&gt;=0,1+(Backdoors!AL2*(IF((Backdoors!AI12+IF(HK35&gt;=0.45,VLOOKUP(Calculator!E23,tbSkills!DH3:DI6,2,FALSE)+IF(AND(Calculator!B8=TRUE,Backdoors!BI34=TRUE),VLOOKUP(Calculator!E23,tbSkills!DH3:DJ6,3,FALSE),0),0))&gt;=100,100,(Backdoors!AI12+IF(HK35&gt;=0.45,VLOOKUP(Calculator!E23,tbSkills!DH3:DI6,2,FALSE)+IF(AND(Calculator!B8=TRUE,Backdoors!BI34=TRUE),VLOOKUP(Calculator!E23,tbSkills!DH3:DJ6,3,FALSE),0),0)))/100)),(1-(0.25*((-Backdoors!AI12-IF(HK35&gt;=0.45,VLOOKUP(Calculator!E23,tbSkills!DH3:DI6,2,FALSE)+IF(AND(Calculator!B8=TRUE,Backdoors!BI34=TRUE),VLOOKUP(Calculator!E23,tbSkills!DH3:DJ6,3,FALSE),0),0))/100)))),1),"")</f>
        <v>1</v>
      </c>
      <c r="HN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K35)*HM35)*(VLOOKUP(A35,tbMoveset!A2:C112,3,FALSE)/100)*IF(VLOOKUP(A35,tbMoveset!A2:B112,2,FALSE)="Projectile",Backdoors!N10,Backdoors!N9),0),"")</f>
        <v/>
      </c>
      <c r="HO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K35&gt;=0.45,VLOOKUP(Calculator!E23,tbSkills!DH3:DI6,2,FALSE)+IF(AND(Calculator!B8=TRUE,Backdoors!BI34=TRUE),VLOOKUP(Calculator!E23,tbSkills!DH3:DJ6,3,FALSE),0),0))&gt;=100,100,(Backdoors!AI12+IF(HK35&gt;=0.45,VLOOKUP(Calculator!E23,tbSkills!DH3:DI6,2,FALSE)+IF(AND(Calculator!B8=TRUE,Backdoors!BI34=TRUE),VLOOKUP(Calculator!E23,tbSkills!DH3:DJ6,3,FALSE),0),0)))/100)),1))*IF(VLOOKUP(A35,tbMoveset!A2:K112,11,FALSE)=TRUE,Backdoors!AC5,1))*HL35,0),"")</f>
        <v>0</v>
      </c>
      <c r="HP35" s="49">
        <f>VLOOKUP(A35,tbMoveset!A2:G112,7,FALSE)*IFERROR(IF(Backdoors!AI12&gt;=0,1+(IF(Calculator!E40&gt;0,VLOOKUP(Calculator!E40,tbSkills!AI3:AJ5,2,FALSE),Backdoors!AL4)*(IF((Backdoors!AI12+IF(HK35&gt;=0.45,VLOOKUP(Calculator!E23,tbSkills!DH3:DI6,2,FALSE)+IF(AND(Calculator!B8=TRUE,Backdoors!BI34=TRUE),VLOOKUP(Calculator!E23,tbSkills!DH3:DJ6,3,FALSE),0),0))&gt;=100,100,(Backdoors!AI12+IF(HK35&gt;=0.45,VLOOKUP(Calculator!E23,tbSkills!DH3:DI6,2,FALSE)+IF(AND(Calculator!B8=TRUE,Backdoors!BI34=TRUE),VLOOKUP(Calculator!E23,tbSkills!DH3:DJ6,3,FALSE),0),0)))/100)),1),1)</f>
        <v>0.8</v>
      </c>
      <c r="HQ35" s="87">
        <f t="shared" si="24"/>
        <v>0</v>
      </c>
      <c r="HR35" s="86" t="str">
        <f>IFERROR(IF(VLOOKUP(A35,tbMoveset!A2:B112,2,FALSE)="Sever",Backdoors!AY35/100,IF(VLOOKUP(A35,tbMoveset!A2:B112,2,FALSE)="Blunt",Backdoors!AZ35/100,Backdoors!BA35/100)),"")</f>
        <v/>
      </c>
      <c r="HS35" s="49">
        <f>IFERROR(IF(VLOOKUP(tbMoveset!A35,tbMoveset!A2:H112,8,FALSE)="Other",IF(VLOOKUP(tbMoveset!A35,tbMoveset!A2:I112,9,FALSE)="Fire",Backdoors!BB35,IF(VLOOKUP(tbMoveset!A35,tbMoveset!A2:I112,9,FALSE)="Water",Backdoors!BC35,IF(VLOOKUP(tbMoveset!A35,tbMoveset!A2:I112,9,FALSE)="Thunder",Backdoors!BD35,IF(VLOOKUP(tbMoveset!A35,tbMoveset!A2:I112,9,FALSE)="Ice",Backdoors!BE35,IF(VLOOKUP(tbMoveset!A35,tbMoveset!A2:I112,9,FALSE)="Dragon",Backdoors!BF35,Backdoors!BG35)))))/100,Backdoors!BG35/100),"")</f>
        <v>0</v>
      </c>
      <c r="HT35" s="49">
        <f>IFERROR(IF(VLOOKUP(A35,tbMoveset!A2:J112,10,FALSE)=TRUE,IF((Backdoors!AI12+IF(HR35&gt;=0.45,VLOOKUP(Calculator!E23,tbSkills!DH3:DI6,2,FALSE)+IF(AND(Calculator!B8=TRUE,Backdoors!BI35=TRUE),VLOOKUP(Calculator!E23,tbSkills!DH3:DJ6,3,FALSE),0),0))&gt;=0,1+(Backdoors!AL2*(IF((Backdoors!AI12+IF(HR35&gt;=0.45,VLOOKUP(Calculator!E23,tbSkills!DH3:DI6,2,FALSE)+IF(AND(Calculator!B8=TRUE,Backdoors!BI35=TRUE),VLOOKUP(Calculator!E23,tbSkills!DH3:DJ6,3,FALSE),0),0))&gt;=100,100,(Backdoors!AI12+IF(HR35&gt;=0.45,VLOOKUP(Calculator!E23,tbSkills!DH3:DI6,2,FALSE)+IF(AND(Calculator!B8=TRUE,Backdoors!BI35=TRUE),VLOOKUP(Calculator!E23,tbSkills!DH3:DJ6,3,FALSE),0),0)))/100)),(1-(0.25*((-Backdoors!AI12-IF(HR35&gt;=0.45,VLOOKUP(Calculator!E23,tbSkills!DH3:DI6,2,FALSE)+IF(AND(Calculator!B8=TRUE,Backdoors!BI35=TRUE),VLOOKUP(Calculator!E23,tbSkills!DH3:DJ6,3,FALSE),0),0))/100)))),1),"")</f>
        <v>1</v>
      </c>
      <c r="HU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R35)*HT35)*(VLOOKUP(A35,tbMoveset!A2:C112,3,FALSE)/100)*IF(VLOOKUP(A35,tbMoveset!A2:B112,2,FALSE)="Projectile",Backdoors!N10,Backdoors!N9),0),"")</f>
        <v/>
      </c>
      <c r="HV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R35&gt;=0.45,VLOOKUP(Calculator!E23,tbSkills!DH3:DI6,2,FALSE)+IF(AND(Calculator!B8=TRUE,Backdoors!BI35=TRUE),VLOOKUP(Calculator!E23,tbSkills!DH3:DJ6,3,FALSE),0),0))&gt;=100,100,(Backdoors!AI12+IF(HR35&gt;=0.45,VLOOKUP(Calculator!E23,tbSkills!DH3:DI6,2,FALSE)+IF(AND(Calculator!B8=TRUE,Backdoors!BI35=TRUE),VLOOKUP(Calculator!E23,tbSkills!DH3:DJ6,3,FALSE),0),0)))/100)),1))*IF(VLOOKUP(A35,tbMoveset!A2:K112,11,FALSE)=TRUE,Backdoors!AC5,1))*HS35,0),"")</f>
        <v>0</v>
      </c>
      <c r="HW35" s="49">
        <f>VLOOKUP(A35,tbMoveset!A2:G112,7,FALSE)*IFERROR(IF(Backdoors!AI12&gt;=0,1+(IF(Calculator!E40&gt;0,VLOOKUP(Calculator!E40,tbSkills!AI3:AJ5,2,FALSE),Backdoors!AL4)*(IF((Backdoors!AI12+IF(HR35&gt;=0.45,VLOOKUP(Calculator!E23,tbSkills!DH3:DI6,2,FALSE)+IF(AND(Calculator!B8=TRUE,Backdoors!BI35=TRUE),VLOOKUP(Calculator!E23,tbSkills!DH3:DJ6,3,FALSE),0),0))&gt;=100,100,(Backdoors!AI12+IF(HR35&gt;=0.45,VLOOKUP(Calculator!E23,tbSkills!DH3:DI6,2,FALSE)+IF(AND(Calculator!B8=TRUE,Backdoors!BI35=TRUE),VLOOKUP(Calculator!E23,tbSkills!DH3:DJ6,3,FALSE),0),0)))/100)),1),1)</f>
        <v>0.8</v>
      </c>
      <c r="HX35" s="87">
        <f t="shared" si="25"/>
        <v>0</v>
      </c>
      <c r="HY35" s="86" t="str">
        <f>IFERROR(IF(VLOOKUP(A35,tbMoveset!A2:B112,2,FALSE)="Sever",Backdoors!AY36/100,IF(VLOOKUP(A35,tbMoveset!A2:B112,2,FALSE)="Blunt",Backdoors!AZ36/100,Backdoors!BA36/100)),"")</f>
        <v/>
      </c>
      <c r="HZ35" s="49">
        <f>IFERROR(IF(VLOOKUP(tbMoveset!A35,tbMoveset!A2:H112,8,FALSE)="Other",IF(VLOOKUP(tbMoveset!A35,tbMoveset!A2:I112,9,FALSE)="Fire",Backdoors!BB36,IF(VLOOKUP(tbMoveset!A35,tbMoveset!A2:I112,9,FALSE)="Water",Backdoors!BC36,IF(VLOOKUP(tbMoveset!A35,tbMoveset!A2:I112,9,FALSE)="Thunder",Backdoors!BD36,IF(VLOOKUP(tbMoveset!A35,tbMoveset!A2:I112,9,FALSE)="Ice",Backdoors!BE36,IF(VLOOKUP(tbMoveset!A35,tbMoveset!A2:I112,9,FALSE)="Dragon",Backdoors!BF36,Backdoors!BG36)))))/100,Backdoors!BG36/100),"")</f>
        <v>0</v>
      </c>
      <c r="IA35" s="49">
        <f>IFERROR(IF(VLOOKUP(A35,tbMoveset!A2:J112,10,FALSE)=TRUE,IF((Backdoors!AI12+IF(HY35&gt;=0.45,VLOOKUP(Calculator!E23,tbSkills!DH3:DI6,2,FALSE)+IF(AND(Calculator!B8=TRUE,Backdoors!BI36=TRUE),VLOOKUP(Calculator!E23,tbSkills!DH3:DJ6,3,FALSE),0),0))&gt;=0,1+(Backdoors!AL2*(IF((Backdoors!AI12+IF(HY35&gt;=0.45,VLOOKUP(Calculator!E23,tbSkills!DH3:DI6,2,FALSE)+IF(AND(Calculator!B8=TRUE,Backdoors!BI36=TRUE),VLOOKUP(Calculator!E23,tbSkills!DH3:DJ6,3,FALSE),0),0))&gt;=100,100,(Backdoors!AI12+IF(HY35&gt;=0.45,VLOOKUP(Calculator!E23,tbSkills!DH3:DI6,2,FALSE)+IF(AND(Calculator!B8=TRUE,Backdoors!BI36=TRUE),VLOOKUP(Calculator!E23,tbSkills!DH3:DJ6,3,FALSE),0),0)))/100)),(1-(0.25*((-Backdoors!AI12-IF(HY35&gt;=0.45,VLOOKUP(Calculator!E23,tbSkills!DH3:DI6,2,FALSE)+IF(AND(Calculator!B8=TRUE,Backdoors!BI36=TRUE),VLOOKUP(Calculator!E23,tbSkills!DH3:DJ6,3,FALSE),0),0))/100)))),1),"")</f>
        <v>1</v>
      </c>
      <c r="IB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Y35)*IA35)*(VLOOKUP(A35,tbMoveset!A2:C112,3,FALSE)/100)*IF(VLOOKUP(A35,tbMoveset!A2:B112,2,FALSE)="Projectile",Backdoors!N10,Backdoors!N9),0),"")</f>
        <v/>
      </c>
      <c r="IC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Y35&gt;=0.45,VLOOKUP(Calculator!E23,tbSkills!DH3:DI6,2,FALSE)+IF(AND(Calculator!B8=TRUE,Backdoors!BI36=TRUE),VLOOKUP(Calculator!E23,tbSkills!DH3:DJ6,3,FALSE),0),0))&gt;=100,100,(Backdoors!AI12+IF(HY35&gt;=0.45,VLOOKUP(Calculator!E23,tbSkills!DH3:DI6,2,FALSE)+IF(AND(Calculator!B8=TRUE,Backdoors!BI36=TRUE),VLOOKUP(Calculator!E23,tbSkills!DH3:DJ6,3,FALSE),0),0)))/100)),1))*IF(VLOOKUP(A35,tbMoveset!A2:K112,11,FALSE)=TRUE,Backdoors!AC5,1))*HZ35,0),"")</f>
        <v>0</v>
      </c>
      <c r="ID35" s="49">
        <f>VLOOKUP(A35,tbMoveset!A2:G112,7,FALSE)*IFERROR(IF(Backdoors!AI12&gt;=0,1+(IF(Calculator!E40&gt;0,VLOOKUP(Calculator!E40,tbSkills!AI3:AJ5,2,FALSE),Backdoors!AL4)*(IF((Backdoors!AI12+IF(HY35&gt;=0.45,VLOOKUP(Calculator!E23,tbSkills!DH3:DI6,2,FALSE)+IF(AND(Calculator!B8=TRUE,Backdoors!BI36=TRUE),VLOOKUP(Calculator!E23,tbSkills!DH3:DJ6,3,FALSE),0),0))&gt;=100,100,(Backdoors!AI12+IF(HY35&gt;=0.45,VLOOKUP(Calculator!E23,tbSkills!DH3:DI6,2,FALSE)+IF(AND(Calculator!B8=TRUE,Backdoors!BI36=TRUE),VLOOKUP(Calculator!E23,tbSkills!DH3:DJ6,3,FALSE),0),0)))/100)),1),1)</f>
        <v>0.8</v>
      </c>
      <c r="IE35" s="87">
        <f t="shared" si="26"/>
        <v>0</v>
      </c>
      <c r="IF35" s="86" t="str">
        <f>IFERROR(IF(VLOOKUP(A35,tbMoveset!A2:B112,2,FALSE)="Sever",Backdoors!AY37/100,IF(VLOOKUP(A35,tbMoveset!A2:B112,2,FALSE)="Blunt",Backdoors!AZ37/100,Backdoors!BA37/100)),"")</f>
        <v/>
      </c>
      <c r="IG35" s="49">
        <f>IFERROR(IF(VLOOKUP(tbMoveset!A35,tbMoveset!A2:H112,8,FALSE)="Other",IF(VLOOKUP(tbMoveset!A35,tbMoveset!A2:I112,9,FALSE)="Fire",Backdoors!BB37,IF(VLOOKUP(tbMoveset!A35,tbMoveset!A2:I112,9,FALSE)="Water",Backdoors!BC37,IF(VLOOKUP(tbMoveset!A35,tbMoveset!A2:I112,9,FALSE)="Thunder",Backdoors!BD37,IF(VLOOKUP(tbMoveset!A35,tbMoveset!A2:I112,9,FALSE)="Ice",Backdoors!BE37,IF(VLOOKUP(tbMoveset!A35,tbMoveset!A2:I112,9,FALSE)="Dragon",Backdoors!BF37,Backdoors!BG37)))))/100,Backdoors!BG37/100),"")</f>
        <v>0</v>
      </c>
      <c r="IH35" s="49">
        <f>IFERROR(IF(VLOOKUP(A35,tbMoveset!A2:J112,10,FALSE)=TRUE,IF((Backdoors!AI12+IF(IF35&gt;=0.45,VLOOKUP(Calculator!E23,tbSkills!DH3:DI6,2,FALSE)+IF(AND(Calculator!B8=TRUE,Backdoors!BI37=TRUE),VLOOKUP(Calculator!E23,tbSkills!DH3:DJ6,3,FALSE),0),0))&gt;=0,1+(Backdoors!AL2*(IF((Backdoors!AI12+IF(IF35&gt;=0.45,VLOOKUP(Calculator!E23,tbSkills!DH3:DI6,2,FALSE)+IF(AND(Calculator!B8=TRUE,Backdoors!BI37=TRUE),VLOOKUP(Calculator!E23,tbSkills!DH3:DJ6,3,FALSE),0),0))&gt;=100,100,(Backdoors!AI12+IF(IF35&gt;=0.45,VLOOKUP(Calculator!E23,tbSkills!DH3:DI6,2,FALSE)+IF(AND(Calculator!B8=TRUE,Backdoors!BI37=TRUE),VLOOKUP(Calculator!E23,tbSkills!DH3:DJ6,3,FALSE),0),0)))/100)),(1-(0.25*((-Backdoors!AI12-IF(IF35&gt;=0.45,VLOOKUP(Calculator!E23,tbSkills!DH3:DI6,2,FALSE)+IF(AND(Calculator!B8=TRUE,Backdoors!BI37=TRUE),VLOOKUP(Calculator!E23,tbSkills!DH3:DJ6,3,FALSE),0),0))/100)))),1),"")</f>
        <v>1</v>
      </c>
      <c r="II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F35)*IH35)*(VLOOKUP(A35,tbMoveset!A2:C112,3,FALSE)/100)*IF(VLOOKUP(A35,tbMoveset!A2:B112,2,FALSE)="Projectile",Backdoors!N10,Backdoors!N9),0),"")</f>
        <v/>
      </c>
      <c r="IJ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IF35&gt;=0.45,VLOOKUP(Calculator!E23,tbSkills!DH3:DI6,2,FALSE)+IF(AND(Calculator!B8=TRUE,Backdoors!BI37=TRUE),VLOOKUP(Calculator!E23,tbSkills!DH3:DJ6,3,FALSE),0),0))&gt;=100,100,(Backdoors!AI12+IF(IF35&gt;=0.45,VLOOKUP(Calculator!E23,tbSkills!DH3:DI6,2,FALSE)+IF(AND(Calculator!B8=TRUE,Backdoors!BI37=TRUE),VLOOKUP(Calculator!E23,tbSkills!DH3:DJ6,3,FALSE),0),0)))/100)),1))*IF(VLOOKUP(A35,tbMoveset!A2:K112,11,FALSE)=TRUE,Backdoors!AC5,1))*IG35,0),"")</f>
        <v>0</v>
      </c>
      <c r="IK35" s="49">
        <f>VLOOKUP(A35,tbMoveset!A2:G112,7,FALSE)*IFERROR(IF(Backdoors!AI12&gt;=0,1+(IF(Calculator!E40&gt;0,VLOOKUP(Calculator!E40,tbSkills!AI3:AJ5,2,FALSE),Backdoors!AL4)*(IF((Backdoors!AI12+IF(IF35&gt;=0.45,VLOOKUP(Calculator!E23,tbSkills!DH3:DI6,2,FALSE)+IF(AND(Calculator!B8=TRUE,Backdoors!BI37=TRUE),VLOOKUP(Calculator!E23,tbSkills!DH3:DJ6,3,FALSE),0),0))&gt;=100,100,(Backdoors!AI12+IF(IF35&gt;=0.45,VLOOKUP(Calculator!E23,tbSkills!DH3:DI6,2,FALSE)+IF(AND(Calculator!B8=TRUE,Backdoors!BI37=TRUE),VLOOKUP(Calculator!E23,tbSkills!DH3:DJ6,3,FALSE),0),0)))/100)),1),1)</f>
        <v>0.8</v>
      </c>
      <c r="IL35" s="87">
        <f t="shared" si="27"/>
        <v>0</v>
      </c>
      <c r="IM35" s="86" t="str">
        <f>IFERROR(IF(VLOOKUP(A35,tbMoveset!A2:B112,2,FALSE)="Sever",Backdoors!AY38/100,IF(VLOOKUP(A35,tbMoveset!A2:B112,2,FALSE)="Blunt",Backdoors!AZ38/100,Backdoors!BA38/100)),"")</f>
        <v/>
      </c>
      <c r="IN35" s="49">
        <f>IFERROR(IF(VLOOKUP(tbMoveset!A35,tbMoveset!A2:H112,8,FALSE)="Other",IF(VLOOKUP(tbMoveset!A35,tbMoveset!A2:I112,9,FALSE)="Fire",Backdoors!BB38,IF(VLOOKUP(tbMoveset!A35,tbMoveset!A2:I112,9,FALSE)="Water",Backdoors!BC38,IF(VLOOKUP(tbMoveset!A35,tbMoveset!A2:I112,9,FALSE)="Thunder",Backdoors!BD38,IF(VLOOKUP(tbMoveset!A35,tbMoveset!A2:I112,9,FALSE)="Ice",Backdoors!BE38,IF(VLOOKUP(tbMoveset!A35,tbMoveset!A2:I112,9,FALSE)="Dragon",Backdoors!BF38,Backdoors!BG38)))))/100,Backdoors!BG38/100),"")</f>
        <v>0</v>
      </c>
      <c r="IO35" s="49">
        <f>IFERROR(IF(VLOOKUP(A35,tbMoveset!A2:J112,10,FALSE)=TRUE,IF((Backdoors!AI12+IF(IM35&gt;=0.45,VLOOKUP(Calculator!E23,tbSkills!DH3:DI6,2,FALSE)+IF(AND(Calculator!B8=TRUE,Backdoors!BI38=TRUE),VLOOKUP(Calculator!E23,tbSkills!DH3:DJ6,3,FALSE),0),0))&gt;=0,1+(Backdoors!AL2*(IF((Backdoors!AI12+IF(IM35&gt;=0.45,VLOOKUP(Calculator!E23,tbSkills!DH3:DI6,2,FALSE)+IF(AND(Calculator!B8=TRUE,Backdoors!BI38=TRUE),VLOOKUP(Calculator!E23,tbSkills!DH3:DJ6,3,FALSE),0),0))&gt;=100,100,(Backdoors!AI12+IF(IM35&gt;=0.45,VLOOKUP(Calculator!E23,tbSkills!DH3:DI6,2,FALSE)+IF(AND(Calculator!B8=TRUE,Backdoors!BI38=TRUE),VLOOKUP(Calculator!E23,tbSkills!DH3:DJ6,3,FALSE),0),0)))/100)),(1-(0.25*((-Backdoors!AI12-IF(IM35&gt;=0.45,VLOOKUP(Calculator!E23,tbSkills!DH3:DI6,2,FALSE)+IF(AND(Calculator!B8=TRUE,Backdoors!BI38=TRUE),VLOOKUP(Calculator!E23,tbSkills!DH3:DJ6,3,FALSE),0),0))/100)))),1),"")</f>
        <v>1</v>
      </c>
      <c r="IP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M35)*IO35)*(VLOOKUP(A35,tbMoveset!A2:C112,3,FALSE)/100)*IF(VLOOKUP(A35,tbMoveset!A2:B112,2,FALSE)="Projectile",Backdoors!N10,Backdoors!N9),0),"")</f>
        <v/>
      </c>
      <c r="IQ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IM35&gt;=0.45,VLOOKUP(Calculator!E23,tbSkills!DH3:DI6,2,FALSE)+IF(AND(Calculator!B8=TRUE,Backdoors!BI38=TRUE),VLOOKUP(Calculator!E23,tbSkills!DH3:DJ6,3,FALSE),0),0))&gt;=100,100,(Backdoors!AI12+IF(IM35&gt;=0.45,VLOOKUP(Calculator!E23,tbSkills!DH3:DI6,2,FALSE)+IF(AND(Calculator!B8=TRUE,Backdoors!BI38=TRUE),VLOOKUP(Calculator!E23,tbSkills!DH3:DJ6,3,FALSE),0),0)))/100)),1))*IF(VLOOKUP(A35,tbMoveset!A2:K112,11,FALSE)=TRUE,Backdoors!AC5,1))*IN35,0),"")</f>
        <v>0</v>
      </c>
      <c r="IR35" s="49">
        <f>VLOOKUP(A35,tbMoveset!A2:G112,7,FALSE)*IFERROR(IF(Backdoors!AI12&gt;=0,1+(IF(Calculator!E40&gt;0,VLOOKUP(Calculator!E40,tbSkills!AI3:AJ5,2,FALSE),Backdoors!AL4)*(IF((Backdoors!AI12+IF(IM35&gt;=0.45,VLOOKUP(Calculator!E23,tbSkills!DH3:DI6,2,FALSE)+IF(AND(Calculator!B8=TRUE,Backdoors!BI38=TRUE),VLOOKUP(Calculator!E23,tbSkills!DH3:DJ6,3,FALSE),0),0))&gt;=100,100,(Backdoors!AI12+IF(IM35&gt;=0.45,VLOOKUP(Calculator!E23,tbSkills!DH3:DI6,2,FALSE)+IF(AND(Calculator!B8=TRUE,Backdoors!BI38=TRUE),VLOOKUP(Calculator!E23,tbSkills!DH3:DJ6,3,FALSE),0),0)))/100)),1),1)</f>
        <v>0.8</v>
      </c>
      <c r="IS35" s="87">
        <f t="shared" si="42"/>
        <v>0</v>
      </c>
      <c r="IT35" s="86" t="str">
        <f>IFERROR(IF(VLOOKUP(A35,tbMoveset!A2:B112,2,FALSE)="Sever",Backdoors!AY39/100,IF(VLOOKUP(A35,tbMoveset!A2:B112,2,FALSE)="Blunt",Backdoors!AZ39/100,Backdoors!BA39/100)),"")</f>
        <v/>
      </c>
      <c r="IU35" s="49">
        <f>IFERROR(IF(VLOOKUP(tbMoveset!A35,tbMoveset!A2:H112,8,FALSE)="Other",IF(VLOOKUP(tbMoveset!A35,tbMoveset!A2:I112,9,FALSE)="Fire",Backdoors!BB39,IF(VLOOKUP(tbMoveset!A35,tbMoveset!A2:I112,9,FALSE)="Water",Backdoors!BC39,IF(VLOOKUP(tbMoveset!A35,tbMoveset!A2:I112,9,FALSE)="Thunder",Backdoors!BD39,IF(VLOOKUP(tbMoveset!A35,tbMoveset!A2:I112,9,FALSE)="Ice",Backdoors!BE39,IF(VLOOKUP(tbMoveset!A35,tbMoveset!A2:I112,9,FALSE)="Dragon",Backdoors!BF39,Backdoors!BG39)))))/100,Backdoors!BG39/100),"")</f>
        <v>0</v>
      </c>
      <c r="IV35" s="49">
        <f>IFERROR(IF(VLOOKUP(A35,tbMoveset!A2:J112,10,FALSE)=TRUE,IF((Backdoors!AI12+IF(IT35&gt;=0.45,VLOOKUP(Calculator!E23,tbSkills!DH3:DI6,2,FALSE)+IF(AND(Calculator!B8=TRUE,Backdoors!BI39=TRUE),VLOOKUP(Calculator!E23,tbSkills!DH3:DJ6,3,FALSE),0),0))&gt;=0,1+(Backdoors!AL2*(IF((Backdoors!AI12+IF(IT35&gt;=0.45,VLOOKUP(Calculator!E23,tbSkills!DH3:DI6,2,FALSE)+IF(AND(Calculator!B8=TRUE,Backdoors!BI39=TRUE),VLOOKUP(Calculator!E23,tbSkills!DH3:DJ6,3,FALSE),0),0))&gt;=100,100,(Backdoors!AI12+IF(IT35&gt;=0.45,VLOOKUP(Calculator!E23,tbSkills!DH3:DI6,2,FALSE)+IF(AND(Calculator!B8=TRUE,Backdoors!BI39=TRUE),VLOOKUP(Calculator!E23,tbSkills!DH3:DJ6,3,FALSE),0),0)))/100)),(1-(0.25*((-Backdoors!AI12-IF(IT35&gt;=0.45,VLOOKUP(Calculator!E23,tbSkills!DH3:DI6,2,FALSE)+IF(AND(Calculator!B8=TRUE,Backdoors!BI39=TRUE),VLOOKUP(Calculator!E23,tbSkills!DH3:DJ6,3,FALSE),0),0))/100)))),1),"")</f>
        <v>1</v>
      </c>
      <c r="IW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T35)*IV35)*(VLOOKUP(A35,tbMoveset!A2:C112,3,FALSE)/100)*IF(VLOOKUP(A35,tbMoveset!A2:B112,2,FALSE)="Projectile",Backdoors!N10,Backdoors!N9),0),"")</f>
        <v/>
      </c>
      <c r="IX35" s="49">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40&gt;0,VLOOKUP(Calculator!E40,tbSkills!AC3:AD5,2,FALSE),Backdoors!AL3)*(IF((Backdoors!AI12+IF(IT35&gt;=0.45,VLOOKUP(Calculator!E23,tbSkills!DH3:DI6,2,FALSE)+IF(AND(Calculator!B8=TRUE,Backdoors!BI39=TRUE),VLOOKUP(Calculator!E23,tbSkills!DH3:DJ6,3,FALSE),0),0))&gt;=100,100,(Backdoors!AI12+IF(IT35&gt;=0.45,VLOOKUP(Calculator!E23,tbSkills!DH3:DI6,2,FALSE)+IF(AND(Calculator!B8=TRUE,Backdoors!BI39=TRUE),VLOOKUP(Calculator!E23,tbSkills!DH3:DJ6,3,FALSE),0),0)))/100)),1))*IF(VLOOKUP(A35,tbMoveset!A2:K112,11,FALSE)=TRUE,Backdoors!AC5,1))*IU35,0),"")</f>
        <v>0</v>
      </c>
      <c r="IY35" s="49">
        <f>VLOOKUP(A35,tbMoveset!A2:G112,7,FALSE)*IFERROR(IF(Backdoors!AI12&gt;=0,1+(IF(Calculator!E40&gt;0,VLOOKUP(Calculator!E40,tbSkills!AI3:AJ5,2,FALSE),Backdoors!AL4)*(IF((Backdoors!AI12+IF(IT35&gt;=0.45,VLOOKUP(Calculator!E23,tbSkills!DH3:DI6,2,FALSE)+IF(AND(Calculator!B8=TRUE,Backdoors!BI39=TRUE),VLOOKUP(Calculator!E23,tbSkills!DH3:DJ6,3,FALSE),0),0))&gt;=100,100,(Backdoors!AI12+IF(IT35&gt;=0.45,VLOOKUP(Calculator!E23,tbSkills!DH3:DI6,2,FALSE)+IF(AND(Calculator!B8=TRUE,Backdoors!BI39=TRUE),VLOOKUP(Calculator!E23,tbSkills!DH3:DJ6,3,FALSE),0),0)))/100)),1),1)</f>
        <v>0.8</v>
      </c>
      <c r="IZ35" s="87">
        <f t="shared" si="28"/>
        <v>0</v>
      </c>
      <c r="JA35" s="86" t="str">
        <f>IFERROR(IF(VLOOKUP(A35,tbMoveset!A2:B112,2,FALSE)="Sever",Backdoors!AY40/100,IF(VLOOKUP(A35,tbMoveset!A2:B112,2,FALSE)="Blunt",Backdoors!AZ40/100,Backdoors!BA40/100)),"")</f>
        <v/>
      </c>
      <c r="JB35" s="49">
        <f>IFERROR(IF(VLOOKUP(tbMoveset!A35,tbMoveset!A2:H112,8,FALSE)="Other",IF(VLOOKUP(tbMoveset!A35,tbMoveset!A2:I112,9,FALSE)="Fire",Backdoors!BB40,IF(VLOOKUP(tbMoveset!A35,tbMoveset!A2:I112,9,FALSE)="Water",Backdoors!BC40,IF(VLOOKUP(tbMoveset!A35,tbMoveset!A2:I112,9,FALSE)="Thunder",Backdoors!BD40,IF(VLOOKUP(tbMoveset!A35,tbMoveset!A2:I112,9,FALSE)="Ice",Backdoors!BE40,IF(VLOOKUP(tbMoveset!A35,tbMoveset!A2:I112,9,FALSE)="Dragon",Backdoors!BF40,Backdoors!BG40)))))/100,Backdoors!BG40/100),"")</f>
        <v>0</v>
      </c>
      <c r="JC35" s="49">
        <f>IFERROR(IF(VLOOKUP(A35,tbMoveset!A2:J112,10,FALSE)=TRUE,IF((Backdoors!AI12+IF(JA35&gt;=0.45,VLOOKUP(Calculator!E23,tbSkills!DH3:DI6,2,FALSE)+IF(AND(Calculator!B8=TRUE,Backdoors!BI40=TRUE),VLOOKUP(Calculator!E23,tbSkills!DH3:DJ6,3,FALSE),0),0))&gt;=0,1+(Backdoors!AL2*(IF((Backdoors!AI12+IF(JA35&gt;=0.45,VLOOKUP(Calculator!E23,tbSkills!DH3:DI6,2,FALSE)+IF(AND(Calculator!B8=TRUE,Backdoors!BI40=TRUE),VLOOKUP(Calculator!E23,tbSkills!DH3:DJ6,3,FALSE),0),0))&gt;=100,100,(Backdoors!AI12+IF(JA35&gt;=0.45,VLOOKUP(Calculator!E23,tbSkills!DH3:DI6,2,FALSE)+IF(AND(Calculator!B8=TRUE,Backdoors!BI40=TRUE),VLOOKUP(Calculator!E23,tbSkills!DH3:DJ6,3,FALSE),0),0)))/100)),(1-(0.25*((-Backdoors!AI12-IF(JA35&gt;=0.45,VLOOKUP(Calculator!E23,tbSkills!DH3:DI6,2,FALSE)+IF(AND(Calculator!B8=TRUE,Backdoors!BI40=TRUE),VLOOKUP(Calculator!E23,tbSkills!DH3:DJ6,3,FALSE),0),0))/100)))),1),"")</f>
        <v>1</v>
      </c>
      <c r="JD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A35)*JC35)*(VLOOKUP(A35,tbMoveset!A2:C112,3,FALSE)/100)*IF(VLOOKUP(A35,tbMoveset!A2:B112,2,FALSE)="Projectile",Backdoors!N10,Backdoors!N9),0),"")</f>
        <v/>
      </c>
      <c r="JE35" s="49">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42&gt;0,VLOOKUP(Calculator!E42,tbSkills!AC3:AD5,2,FALSE),Backdoors!AL3)*(IF((Backdoors!AI12+IF(JA35&gt;=0.45,VLOOKUP(Calculator!E23,tbSkills!DH3:DI6,2,FALSE)+IF(AND(Calculator!B8=TRUE,Backdoors!BI40=TRUE),VLOOKUP(Calculator!E23,tbSkills!DH3:DJ6,3,FALSE),0),0))&gt;=100,100,(Backdoors!AI12+IF(JA35&gt;=0.45,VLOOKUP(Calculator!E23,tbSkills!DH3:DI6,2,FALSE)+IF(AND(Calculator!B8=TRUE,Backdoors!BI40=TRUE),VLOOKUP(Calculator!E23,tbSkills!DH3:DJ6,3,FALSE),0),0)))/100)),1))*IF(VLOOKUP(A35,tbMoveset!A2:K112,11,FALSE)=TRUE,Backdoors!AC5,1))*JB35,0),"")</f>
        <v>0</v>
      </c>
      <c r="JF35" s="49">
        <f>VLOOKUP(A35,tbMoveset!A2:G112,7,FALSE)*IFERROR(IF(Backdoors!AI12&gt;=0,1+(IF(Calculator!E40&gt;0,VLOOKUP(Calculator!E40,tbSkills!AI3:AJ5,2,FALSE),Backdoors!AL4)*(IF((Backdoors!AI12+IF(JA35&gt;=0.45,VLOOKUP(Calculator!E23,tbSkills!DH3:DI6,2,FALSE)+IF(AND(Calculator!B8=TRUE,Backdoors!BI40=TRUE),VLOOKUP(Calculator!E23,tbSkills!DH3:DJ6,3,FALSE),0),0))&gt;=100,100,(Backdoors!AI12+IF(JA35&gt;=0.45,VLOOKUP(Calculator!E23,tbSkills!DH3:DI6,2,FALSE)+IF(AND(Calculator!B8=TRUE,Backdoors!BI40=TRUE),VLOOKUP(Calculator!E23,tbSkills!DH3:DJ6,3,FALSE),0),0)))/100)),1),1)</f>
        <v>0.8</v>
      </c>
      <c r="JG35" s="87">
        <f t="shared" si="29"/>
        <v>0</v>
      </c>
      <c r="JH35" s="86" t="str">
        <f>IFERROR(IF(VLOOKUP(A35,tbMoveset!A2:B112,2,FALSE)="Sever",Backdoors!AY41/100,IF(VLOOKUP(A35,tbMoveset!A2:B112,2,FALSE)="Blunt",Backdoors!AZ41/100,Backdoors!BA41/100)),"")</f>
        <v/>
      </c>
      <c r="JI35" s="49">
        <f>IFERROR(IF(VLOOKUP(tbMoveset!A35,tbMoveset!A2:H112,8,FALSE)="Other",IF(VLOOKUP(tbMoveset!A35,tbMoveset!A2:I112,9,FALSE)="Fire",Backdoors!BB41,IF(VLOOKUP(tbMoveset!A35,tbMoveset!A2:I112,9,FALSE)="Water",Backdoors!BC41,IF(VLOOKUP(tbMoveset!A35,tbMoveset!A2:I112,9,FALSE)="Thunder",Backdoors!BD41,IF(VLOOKUP(tbMoveset!A35,tbMoveset!A2:I112,9,FALSE)="Ice",Backdoors!BE41,IF(VLOOKUP(tbMoveset!A35,tbMoveset!A2:I112,9,FALSE)="Dragon",Backdoors!BF41,Backdoors!BG41)))))/100,Backdoors!BG41/100),"")</f>
        <v>0</v>
      </c>
      <c r="JJ35" s="49">
        <f>IFERROR(IF(VLOOKUP(A35,tbMoveset!A2:J112,10,FALSE)=TRUE,IF((Backdoors!AI12+IF(JH35&gt;=0.45,VLOOKUP(Calculator!E23,tbSkills!DH3:DI6,2,FALSE)+IF(AND(Calculator!B8=TRUE,Backdoors!BI41=TRUE),VLOOKUP(Calculator!E23,tbSkills!DH3:DJ6,3,FALSE),0),0))&gt;=0,1+(Backdoors!AL2*(IF((Backdoors!AI12+IF(JH35&gt;=0.45,VLOOKUP(Calculator!E23,tbSkills!DH3:DI6,2,FALSE)+IF(AND(Calculator!B8=TRUE,Backdoors!BI41=TRUE),VLOOKUP(Calculator!E23,tbSkills!DH3:DJ6,3,FALSE),0),0))&gt;=100,100,(Backdoors!AI12+IF(JH35&gt;=0.45,VLOOKUP(Calculator!E23,tbSkills!DH3:DI6,2,FALSE)+IF(AND(Calculator!B8=TRUE,Backdoors!BI41=TRUE),VLOOKUP(Calculator!E23,tbSkills!DH3:DJ6,3,FALSE),0),0)))/100)),(1-(0.25*((-Backdoors!AI12-IF(JH35&gt;=0.45,VLOOKUP(Calculator!E23,tbSkills!DH3:DI6,2,FALSE)+IF(AND(Calculator!B8=TRUE,Backdoors!BI41=TRUE),VLOOKUP(Calculator!E23,tbSkills!DH3:DJ6,3,FALSE),0),0))/100)))),1),"")</f>
        <v>1</v>
      </c>
      <c r="JK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H35)*JJ35)*(VLOOKUP(A35,tbMoveset!A2:C112,3,FALSE)/100)*IF(VLOOKUP(A35,tbMoveset!A2:B112,2,FALSE)="Projectile",Backdoors!N10,Backdoors!N9),0),"")</f>
        <v/>
      </c>
      <c r="JL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43&gt;0,VLOOKUP(Calculator!E43,tbSkills!AC3:AD5,2,FALSE),Backdoors!AL3)*(IF((Backdoors!AI12+IF(JH35&gt;=0.45,VLOOKUP(Calculator!E23,tbSkills!DH3:DI6,2,FALSE)+IF(AND(Calculator!B8=TRUE,Backdoors!BI41=TRUE),VLOOKUP(Calculator!E23,tbSkills!DH3:DJ6,3,FALSE),0),0))&gt;=100,100,(Backdoors!AI12+IF(JH35&gt;=0.45,VLOOKUP(Calculator!E23,tbSkills!DH3:DI6,2,FALSE)+IF(AND(Calculator!B8=TRUE,Backdoors!BI41=TRUE),VLOOKUP(Calculator!E23,tbSkills!DH3:DJ6,3,FALSE),0),0)))/100)),1))*IF(VLOOKUP(A35,tbMoveset!A2:K112,11,FALSE)=TRUE,Backdoors!AC5,1))*JI35,0),"")</f>
        <v/>
      </c>
      <c r="JM35" s="49">
        <f>VLOOKUP(A35,tbMoveset!A2:G112,7,FALSE)*IFERROR(IF(Backdoors!AI12&gt;=0,1+(IF(Calculator!E40&gt;0,VLOOKUP(Calculator!E40,tbSkills!AI3:AJ5,2,FALSE),Backdoors!AL4)*(IF((Backdoors!AI12+IF(JH35&gt;=0.45,VLOOKUP(Calculator!E23,tbSkills!DH3:DI6,2,FALSE)+IF(AND(Calculator!B8=TRUE,Backdoors!BI41=TRUE),VLOOKUP(Calculator!E23,tbSkills!DH3:DJ6,3,FALSE),0),0))&gt;=100,100,(Backdoors!AI12+IF(JH35&gt;=0.45,VLOOKUP(Calculator!E23,tbSkills!DH3:DI6,2,FALSE)+IF(AND(Calculator!B8=TRUE,Backdoors!BI41=TRUE),VLOOKUP(Calculator!E23,tbSkills!DH3:DJ6,3,FALSE),0),0)))/100)),1),1)</f>
        <v>0.8</v>
      </c>
      <c r="JN35" s="87">
        <f t="shared" si="30"/>
        <v>0</v>
      </c>
      <c r="JO35" s="86" t="str">
        <f>IFERROR(IF(VLOOKUP(A35,tbMoveset!A2:B112,2,FALSE)="Sever",Backdoors!AY42/100,IF(VLOOKUP(A35,tbMoveset!A2:B112,2,FALSE)="Blunt",Backdoors!AZ42/100,Backdoors!BA42/100)),"")</f>
        <v/>
      </c>
      <c r="JP35" s="49">
        <f>IFERROR(IF(VLOOKUP(tbMoveset!A35,tbMoveset!A2:H112,8,FALSE)="Other",IF(VLOOKUP(tbMoveset!A35,tbMoveset!A2:I112,9,FALSE)="Fire",Backdoors!BB42,IF(VLOOKUP(tbMoveset!A35,tbMoveset!A2:I112,9,FALSE)="Water",Backdoors!BC42,IF(VLOOKUP(tbMoveset!A35,tbMoveset!A2:I112,9,FALSE)="Thunder",Backdoors!BD42,IF(VLOOKUP(tbMoveset!A35,tbMoveset!A2:I112,9,FALSE)="Ice",Backdoors!BE42,IF(VLOOKUP(tbMoveset!A35,tbMoveset!A2:I112,9,FALSE)="Dragon",Backdoors!BF42,Backdoors!BG42)))))/100,Backdoors!BG42/100),"")</f>
        <v>0</v>
      </c>
      <c r="JQ35" s="49">
        <f>IFERROR(IF(VLOOKUP(A35,tbMoveset!A2:J112,10,FALSE)=TRUE,IF((Backdoors!AI12+IF(JO35&gt;=0.45,VLOOKUP(Calculator!E23,tbSkills!DH3:DI6,2,FALSE)+IF(AND(Calculator!B8=TRUE,Backdoors!BI42=TRUE),VLOOKUP(Calculator!E23,tbSkills!DH3:DJ6,3,FALSE),0),0))&gt;=0,1+(Backdoors!AL2*(IF((Backdoors!AI12+IF(JO35&gt;=0.45,VLOOKUP(Calculator!E23,tbSkills!DH3:DI6,2,FALSE)+IF(AND(Calculator!B8=TRUE,Backdoors!BI42=TRUE),VLOOKUP(Calculator!E23,tbSkills!DH3:DJ6,3,FALSE),0),0))&gt;=100,100,(Backdoors!AI12+IF(JO35&gt;=0.45,VLOOKUP(Calculator!E23,tbSkills!DH3:DI6,2,FALSE)+IF(AND(Calculator!B8=TRUE,Backdoors!BI42=TRUE),VLOOKUP(Calculator!E23,tbSkills!DH3:DJ6,3,FALSE),0),0)))/100)),(1-(0.25*((-Backdoors!AI12-IF(JO35&gt;=0.45,VLOOKUP(Calculator!E23,tbSkills!DH3:DI6,2,FALSE)+IF(AND(Calculator!B8=TRUE,Backdoors!BI42=TRUE),VLOOKUP(Calculator!E23,tbSkills!DH3:DJ6,3,FALSE),0),0))/100)))),1),"")</f>
        <v>1</v>
      </c>
      <c r="JR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O35)*JQ35)*(VLOOKUP(A35,tbMoveset!A2:C112,3,FALSE)/100)*IF(VLOOKUP(A35,tbMoveset!A2:B112,2,FALSE)="Projectile",Backdoors!N10,Backdoors!N9),0),"")</f>
        <v/>
      </c>
      <c r="JS35" s="49">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45&gt;0,VLOOKUP(Calculator!E45,tbSkills!AC3:AD5,2,FALSE),Backdoors!AL3)*(IF((Backdoors!AI12+IF(JO35&gt;=0.45,VLOOKUP(Calculator!E23,tbSkills!DH3:DI6,2,FALSE)+IF(AND(Calculator!B8=TRUE,Backdoors!BI42=TRUE),VLOOKUP(Calculator!E23,tbSkills!DH3:DJ6,3,FALSE),0),0))&gt;=100,100,(Backdoors!AI12+IF(JO35&gt;=0.45,VLOOKUP(Calculator!E23,tbSkills!DH3:DI6,2,FALSE)+IF(AND(Calculator!B8=TRUE,Backdoors!BI42=TRUE),VLOOKUP(Calculator!E23,tbSkills!DH3:DJ6,3,FALSE),0),0)))/100)),1))*IF(VLOOKUP(A35,tbMoveset!A2:K112,11,FALSE)=TRUE,Backdoors!AC5,1))*JP35,0),"")</f>
        <v>0</v>
      </c>
      <c r="JT35" s="49">
        <f>VLOOKUP(A35,tbMoveset!A2:G112,7,FALSE)*IFERROR(IF(Backdoors!AI12&gt;=0,1+(IF(Calculator!E40&gt;0,VLOOKUP(Calculator!E40,tbSkills!AI3:AJ5,2,FALSE),Backdoors!AL4)*(IF((Backdoors!AI12+IF(JO35&gt;=0.45,VLOOKUP(Calculator!E23,tbSkills!DH3:DI6,2,FALSE)+IF(AND(Calculator!B8=TRUE,Backdoors!BI42=TRUE),VLOOKUP(Calculator!E23,tbSkills!DH3:DJ6,3,FALSE),0),0))&gt;=100,100,(Backdoors!AI12+IF(JO35&gt;=0.45,VLOOKUP(Calculator!E23,tbSkills!DH3:DI6,2,FALSE)+IF(AND(Calculator!B8=TRUE,Backdoors!BI42=TRUE),VLOOKUP(Calculator!E23,tbSkills!DH3:DJ6,3,FALSE),0),0)))/100)),1),1)</f>
        <v>0.8</v>
      </c>
      <c r="JU35" s="87">
        <f t="shared" si="31"/>
        <v>0</v>
      </c>
      <c r="JV35" s="86" t="str">
        <f>IFERROR(IF(VLOOKUP(A35,tbMoveset!A2:B112,2,FALSE)="Sever",Backdoors!AY43/100,IF(VLOOKUP(A35,tbMoveset!A2:B112,2,FALSE)="Blunt",Backdoors!AZ43/100,Backdoors!BA43/100)),"")</f>
        <v/>
      </c>
      <c r="JW35" s="49">
        <f>IFERROR(IF(VLOOKUP(tbMoveset!A35,tbMoveset!A2:H112,8,FALSE)="Other",IF(VLOOKUP(tbMoveset!A35,tbMoveset!A2:I112,9,FALSE)="Fire",Backdoors!BB43,IF(VLOOKUP(tbMoveset!A35,tbMoveset!A2:I112,9,FALSE)="Water",Backdoors!BC43,IF(VLOOKUP(tbMoveset!A35,tbMoveset!A2:I112,9,FALSE)="Thunder",Backdoors!BD43,IF(VLOOKUP(tbMoveset!A35,tbMoveset!A2:I112,9,FALSE)="Ice",Backdoors!BE43,IF(VLOOKUP(tbMoveset!A35,tbMoveset!A2:I112,9,FALSE)="Dragon",Backdoors!BF43,Backdoors!BG43)))))/100,Backdoors!BG43/100),"")</f>
        <v>0</v>
      </c>
      <c r="JX35" s="49">
        <f>IFERROR(IF(VLOOKUP(A35,tbMoveset!A2:J112,10,FALSE)=TRUE,IF((Backdoors!AI12+IF(JV35&gt;=0.45,VLOOKUP(Calculator!E23,tbSkills!DH3:DI6,2,FALSE)+IF(AND(Calculator!B8=TRUE,Backdoors!BI43=TRUE),VLOOKUP(Calculator!E23,tbSkills!DH3:DJ6,3,FALSE),0),0))&gt;=0,1+(Backdoors!AL2*(IF((Backdoors!AI12+IF(JV35&gt;=0.45,VLOOKUP(Calculator!E23,tbSkills!DH3:DI6,2,FALSE)+IF(AND(Calculator!B8=TRUE,Backdoors!BI43=TRUE),VLOOKUP(Calculator!E23,tbSkills!DH3:DJ6,3,FALSE),0),0))&gt;=100,100,(Backdoors!AI12+IF(JV35&gt;=0.45,VLOOKUP(Calculator!E23,tbSkills!DH3:DI6,2,FALSE)+IF(AND(Calculator!B8=TRUE,Backdoors!BI43=TRUE),VLOOKUP(Calculator!E23,tbSkills!DH3:DJ6,3,FALSE),0),0)))/100)),(1-(0.25*((-Backdoors!AI12-IF(JV35&gt;=0.45,VLOOKUP(Calculator!E23,tbSkills!DH3:DI6,2,FALSE)+IF(AND(Calculator!B8=TRUE,Backdoors!BI43=TRUE),VLOOKUP(Calculator!E23,tbSkills!DH3:DJ6,3,FALSE),0),0))/100)))),1),"")</f>
        <v>1</v>
      </c>
      <c r="JY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V35)*JX35)*(VLOOKUP(A35,tbMoveset!A2:C112,3,FALSE)/100)*IF(VLOOKUP(A35,tbMoveset!A2:B112,2,FALSE)="Projectile",Backdoors!N10,Backdoors!N9),0),"")</f>
        <v/>
      </c>
      <c r="JZ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46&gt;0,VLOOKUP(Calculator!E46,tbSkills!AC3:AD5,2,FALSE),Backdoors!AL3)*(IF((Backdoors!AI12+IF(JV35&gt;=0.45,VLOOKUP(Calculator!E23,tbSkills!DH3:DI6,2,FALSE)+IF(AND(Calculator!B8=TRUE,Backdoors!BI43=TRUE),VLOOKUP(Calculator!E23,tbSkills!DH3:DJ6,3,FALSE),0),0))&gt;=100,100,(Backdoors!AI12+IF(JV35&gt;=0.45,VLOOKUP(Calculator!E23,tbSkills!DH3:DI6,2,FALSE)+IF(AND(Calculator!B8=TRUE,Backdoors!BI43=TRUE),VLOOKUP(Calculator!E23,tbSkills!DH3:DJ6,3,FALSE),0),0)))/100)),1))*IF(VLOOKUP(A35,tbMoveset!A2:K112,11,FALSE)=TRUE,Backdoors!AC5,1))*JW35,0),"")</f>
        <v/>
      </c>
      <c r="KA35" s="49">
        <f>VLOOKUP(A35,tbMoveset!A2:G112,7,FALSE)*IFERROR(IF(Backdoors!AI12&gt;=0,1+(IF(Calculator!E40&gt;0,VLOOKUP(Calculator!E40,tbSkills!AI3:AJ5,2,FALSE),Backdoors!AL4)*(IF((Backdoors!AI12+IF(JV35&gt;=0.45,VLOOKUP(Calculator!E23,tbSkills!DH3:DI6,2,FALSE)+IF(AND(Calculator!B8=TRUE,Backdoors!BI43=TRUE),VLOOKUP(Calculator!E23,tbSkills!DH3:DJ6,3,FALSE),0),0))&gt;=100,100,(Backdoors!AI12+IF(JV35&gt;=0.45,VLOOKUP(Calculator!E23,tbSkills!DH3:DI6,2,FALSE)+IF(AND(Calculator!B8=TRUE,Backdoors!BI43=TRUE),VLOOKUP(Calculator!E23,tbSkills!DH3:DJ6,3,FALSE),0),0)))/100)),1),1)</f>
        <v>0.8</v>
      </c>
      <c r="KB35" s="87">
        <f t="shared" si="32"/>
        <v>0</v>
      </c>
      <c r="KC35" s="86" t="str">
        <f>IFERROR(IF(VLOOKUP(A35,tbMoveset!A2:B112,2,FALSE)="Sever",Backdoors!AY44/100,IF(VLOOKUP(A35,tbMoveset!A2:B112,2,FALSE)="Blunt",Backdoors!AZ44/100,Backdoors!BA44/100)),"")</f>
        <v/>
      </c>
      <c r="KD35" s="49">
        <f>IFERROR(IF(VLOOKUP(tbMoveset!A35,tbMoveset!A2:H112,8,FALSE)="Other",IF(VLOOKUP(tbMoveset!A35,tbMoveset!A2:I112,9,FALSE)="Fire",Backdoors!BB44,IF(VLOOKUP(tbMoveset!A35,tbMoveset!A2:I112,9,FALSE)="Water",Backdoors!BC44,IF(VLOOKUP(tbMoveset!A35,tbMoveset!A2:I112,9,FALSE)="Thunder",Backdoors!BD44,IF(VLOOKUP(tbMoveset!A35,tbMoveset!A2:I112,9,FALSE)="Ice",Backdoors!BE44,IF(VLOOKUP(tbMoveset!A35,tbMoveset!A2:I112,9,FALSE)="Dragon",Backdoors!BF44,Backdoors!BG44)))))/100,Backdoors!BG44/100),"")</f>
        <v>0</v>
      </c>
      <c r="KE35" s="49">
        <f>IFERROR(IF(VLOOKUP(A35,tbMoveset!A2:J112,10,FALSE)=TRUE,IF((Backdoors!AI12+IF(KC35&gt;=0.45,VLOOKUP(Calculator!E23,tbSkills!DH3:DI6,2,FALSE)+IF(AND(Calculator!B8=TRUE,Backdoors!BI44=TRUE),VLOOKUP(Calculator!E23,tbSkills!DH3:DJ6,3,FALSE),0),0))&gt;=0,1+(Backdoors!AL2*(IF((Backdoors!AI12+IF(KC35&gt;=0.45,VLOOKUP(Calculator!E23,tbSkills!DH3:DI6,2,FALSE)+IF(AND(Calculator!B8=TRUE,Backdoors!BI44=TRUE),VLOOKUP(Calculator!E23,tbSkills!DH3:DJ6,3,FALSE),0),0))&gt;=100,100,(Backdoors!AI12+IF(KC35&gt;=0.45,VLOOKUP(Calculator!E23,tbSkills!DH3:DI6,2,FALSE)+IF(AND(Calculator!B8=TRUE,Backdoors!BI44=TRUE),VLOOKUP(Calculator!E23,tbSkills!DH3:DJ6,3,FALSE),0),0)))/100)),(1-(0.25*((-Backdoors!AI12-IF(KC35&gt;=0.45,VLOOKUP(Calculator!E23,tbSkills!DH3:DI6,2,FALSE)+IF(AND(Calculator!B8=TRUE,Backdoors!BI44=TRUE),VLOOKUP(Calculator!E23,tbSkills!DH3:DJ6,3,FALSE),0),0))/100)))),1),"")</f>
        <v>1</v>
      </c>
      <c r="KF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KC35)*KE35)*(VLOOKUP(A35,tbMoveset!A2:C112,3,FALSE)/100)*IF(VLOOKUP(A35,tbMoveset!A2:B112,2,FALSE)="Projectile",Backdoors!N10,Backdoors!N9),0),"")</f>
        <v/>
      </c>
      <c r="KG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REF!&gt;0,VLOOKUP(Calculator!#REF!,tbSkills!AC3:AD5,2,FALSE),Backdoors!AL3)*(IF((Backdoors!AI12+IF(KC35&gt;=0.45,VLOOKUP(Calculator!E23,tbSkills!DH3:DI6,2,FALSE)+IF(AND(Calculator!B8=TRUE,Backdoors!BI44=TRUE),VLOOKUP(Calculator!E23,tbSkills!DH3:DJ6,3,FALSE),0),0))&gt;=100,100,(Backdoors!AI12+IF(KC35&gt;=0.45,VLOOKUP(Calculator!E23,tbSkills!DH3:DI6,2,FALSE)+IF(AND(Calculator!B8=TRUE,Backdoors!BI44=TRUE),VLOOKUP(Calculator!E23,tbSkills!DH3:DJ6,3,FALSE),0),0)))/100)),1))*IF(VLOOKUP(A35,tbMoveset!A2:K112,11,FALSE)=TRUE,Backdoors!AC5,1))*KD35,0),"")</f>
        <v/>
      </c>
      <c r="KH35" s="49">
        <f>VLOOKUP(A35,tbMoveset!A2:G112,7,FALSE)*IFERROR(IF(Backdoors!AI12&gt;=0,1+(IF(Calculator!E40&gt;0,VLOOKUP(Calculator!E40,tbSkills!AI3:AJ5,2,FALSE),Backdoors!AL4)*(IF((Backdoors!AI12+IF(KC35&gt;=0.45,VLOOKUP(Calculator!E23,tbSkills!DH3:DI6,2,FALSE)+IF(AND(Calculator!B8=TRUE,Backdoors!BI44=TRUE),VLOOKUP(Calculator!E23,tbSkills!DH3:DJ6,3,FALSE),0),0))&gt;=100,100,(Backdoors!AI12+IF(KC35&gt;=0.45,VLOOKUP(Calculator!E23,tbSkills!DH3:DI6,2,FALSE)+IF(AND(Calculator!B8=TRUE,Backdoors!BI44=TRUE),VLOOKUP(Calculator!E23,tbSkills!DH3:DJ6,3,FALSE),0),0)))/100)),1),1)</f>
        <v>0.8</v>
      </c>
      <c r="KI35" s="87">
        <f t="shared" si="33"/>
        <v>0</v>
      </c>
      <c r="KJ35" s="86" t="str">
        <f>IFERROR(IF(VLOOKUP(A35,tbMoveset!A2:B112,2,FALSE)="Sever",Backdoors!AY45/100,IF(VLOOKUP(A35,tbMoveset!A2:B112,2,FALSE)="Blunt",Backdoors!AZ45/100,Backdoors!BA45/100)),"")</f>
        <v/>
      </c>
      <c r="KK35" s="49">
        <f>IFERROR(IF(VLOOKUP(tbMoveset!A35,tbMoveset!A2:H112,8,FALSE)="Other",IF(VLOOKUP(tbMoveset!A35,tbMoveset!A2:I112,9,FALSE)="Fire",Backdoors!BB45,IF(VLOOKUP(tbMoveset!A35,tbMoveset!A2:I112,9,FALSE)="Water",Backdoors!BC45,IF(VLOOKUP(tbMoveset!A35,tbMoveset!A2:I112,9,FALSE)="Thunder",Backdoors!BD45,IF(VLOOKUP(tbMoveset!A35,tbMoveset!A2:I112,9,FALSE)="Ice",Backdoors!BE45,IF(VLOOKUP(tbMoveset!A35,tbMoveset!A2:I112,9,FALSE)="Dragon",Backdoors!BF45,Backdoors!BG45)))))/100,Backdoors!BG45/100),"")</f>
        <v>0</v>
      </c>
      <c r="KL35" s="49">
        <f>IFERROR(IF(VLOOKUP(A35,tbMoveset!A2:J112,10,FALSE)=TRUE,IF((Backdoors!AI12+IF(KJ35&gt;=0.45,VLOOKUP(Calculator!E23,tbSkills!DH3:DI6,2,FALSE)+IF(AND(Calculator!B8=TRUE,Backdoors!BI45=TRUE),VLOOKUP(Calculator!E23,tbSkills!DH3:DJ6,3,FALSE),0),0))&gt;=0,1+(Backdoors!AL2*(IF((Backdoors!AI12+IF(KJ35&gt;=0.45,VLOOKUP(Calculator!E23,tbSkills!DH3:DI6,2,FALSE)+IF(AND(Calculator!B8=TRUE,Backdoors!BI45=TRUE),VLOOKUP(Calculator!E23,tbSkills!DH3:DJ6,3,FALSE),0),0))&gt;=100,100,(Backdoors!AI12+IF(KJ35&gt;=0.45,VLOOKUP(Calculator!E23,tbSkills!DH3:DI6,2,FALSE)+IF(AND(Calculator!B8=TRUE,Backdoors!BI45=TRUE),VLOOKUP(Calculator!E23,tbSkills!DH3:DJ6,3,FALSE),0),0)))/100)),(1-(0.25*((-Backdoors!AI12-IF(KJ35&gt;=0.45,VLOOKUP(Calculator!E23,tbSkills!DH3:DI6,2,FALSE)+IF(AND(Calculator!B8=TRUE,Backdoors!BI45=TRUE),VLOOKUP(Calculator!E23,tbSkills!DH3:DJ6,3,FALSE),0),0))/100)))),1),"")</f>
        <v>1</v>
      </c>
      <c r="KM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KJ35)*KL35)*(VLOOKUP(A35,tbMoveset!A2:C112,3,FALSE)/100)*IF(VLOOKUP(A35,tbMoveset!A2:B112,2,FALSE)="Projectile",Backdoors!N10,Backdoors!N9),0),"")</f>
        <v/>
      </c>
      <c r="KN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REF!&gt;0,VLOOKUP(Calculator!#REF!,tbSkills!AC3:AD5,2,FALSE),Backdoors!AL3)*(IF((Backdoors!AI12+IF(KJ35&gt;=0.45,VLOOKUP(Calculator!E23,tbSkills!DH3:DI6,2,FALSE)+IF(AND(Calculator!B8=TRUE,Backdoors!BI45=TRUE),VLOOKUP(Calculator!E23,tbSkills!DH3:DJ6,3,FALSE),0),0))&gt;=100,100,(Backdoors!AI12+IF(KJ35&gt;=0.45,VLOOKUP(Calculator!E23,tbSkills!DH3:DI6,2,FALSE)+IF(AND(Calculator!B8=TRUE,Backdoors!BI45=TRUE),VLOOKUP(Calculator!E23,tbSkills!DH3:DJ6,3,FALSE),0),0)))/100)),1))*IF(VLOOKUP(A35,tbMoveset!A2:K112,11,FALSE)=TRUE,Backdoors!AC5,1))*KK35,0),"")</f>
        <v/>
      </c>
      <c r="KO35" s="49">
        <f>VLOOKUP(A35,tbMoveset!A2:G112,7,FALSE)*IFERROR(IF(Backdoors!AI12&gt;=0,1+(IF(Calculator!E40&gt;0,VLOOKUP(Calculator!E40,tbSkills!AI3:AJ5,2,FALSE),Backdoors!AL4)*(IF((Backdoors!AI12+IF(KJ35&gt;=0.45,VLOOKUP(Calculator!E23,tbSkills!DH3:DI6,2,FALSE)+IF(AND(Calculator!B8=TRUE,Backdoors!BI45=TRUE),VLOOKUP(Calculator!E23,tbSkills!DH3:DJ6,3,FALSE),0),0))&gt;=100,100,(Backdoors!AI12+IF(KJ35&gt;=0.45,VLOOKUP(Calculator!E23,tbSkills!DH3:DI6,2,FALSE)+IF(AND(Calculator!B8=TRUE,Backdoors!BI45=TRUE),VLOOKUP(Calculator!E23,tbSkills!DH3:DJ6,3,FALSE),0),0)))/100)),1),1)</f>
        <v>0.8</v>
      </c>
      <c r="KP35" s="87">
        <f t="shared" si="34"/>
        <v>0</v>
      </c>
      <c r="KQ35" s="86" t="str">
        <f>IFERROR(IF(VLOOKUP(A35,tbMoveset!A2:B112,2,FALSE)="Sever",Backdoors!AY46/100,IF(VLOOKUP(A35,tbMoveset!A2:B112,2,FALSE)="Blunt",Backdoors!AZ46/100,Backdoors!BA46/100)),"")</f>
        <v/>
      </c>
      <c r="KR35" s="49">
        <f>IFERROR(IF(VLOOKUP(tbMoveset!A35,tbMoveset!A2:H112,8,FALSE)="Other",IF(VLOOKUP(tbMoveset!A35,tbMoveset!A2:I112,9,FALSE)="Fire",Backdoors!BB46,IF(VLOOKUP(tbMoveset!A35,tbMoveset!A2:I112,9,FALSE)="Water",Backdoors!BC46,IF(VLOOKUP(tbMoveset!A35,tbMoveset!A2:I112,9,FALSE)="Thunder",Backdoors!BD46,IF(VLOOKUP(tbMoveset!A35,tbMoveset!A2:I112,9,FALSE)="Ice",Backdoors!BE46,IF(VLOOKUP(tbMoveset!A35,tbMoveset!A2:I112,9,FALSE)="Dragon",Backdoors!BF46,Backdoors!BG46)))))/100,Backdoors!BG46/100),"")</f>
        <v>0</v>
      </c>
      <c r="KS35" s="49">
        <f>IFERROR(IF(VLOOKUP(A35,tbMoveset!A2:J112,10,FALSE)=TRUE,IF((Backdoors!AI12+IF(KQ35&gt;=0.45,VLOOKUP(Calculator!E23,tbSkills!DH3:DI6,2,FALSE)+IF(AND(Calculator!B8=TRUE,Backdoors!BI46=TRUE),VLOOKUP(Calculator!E23,tbSkills!DH3:DJ6,3,FALSE),0),0))&gt;=0,1+(Backdoors!AL2*(IF((Backdoors!AI12+IF(KQ35&gt;=0.45,VLOOKUP(Calculator!E23,tbSkills!DH3:DI6,2,FALSE)+IF(AND(Calculator!B8=TRUE,Backdoors!BI46=TRUE),VLOOKUP(Calculator!E23,tbSkills!DH3:DJ6,3,FALSE),0),0))&gt;=100,100,(Backdoors!AI12+IF(KQ35&gt;=0.45,VLOOKUP(Calculator!E23,tbSkills!DH3:DI6,2,FALSE)+IF(AND(Calculator!B8=TRUE,Backdoors!BI46=TRUE),VLOOKUP(Calculator!E23,tbSkills!DH3:DJ6,3,FALSE),0),0)))/100)),(1-(0.25*((-Backdoors!AI12-IF(KQ35&gt;=0.45,VLOOKUP(Calculator!E23,tbSkills!DH3:DI6,2,FALSE)+IF(AND(Calculator!B8=TRUE,Backdoors!BI46=TRUE),VLOOKUP(Calculator!E23,tbSkills!DH3:DJ6,3,FALSE),0),0))/100)))),1),"")</f>
        <v>1</v>
      </c>
      <c r="KT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KQ35)*KS35)*(VLOOKUP(A35,tbMoveset!A2:C112,3,FALSE)/100)*IF(VLOOKUP(A35,tbMoveset!A2:B112,2,FALSE)="Projectile",Backdoors!N10,Backdoors!N9),0),"")</f>
        <v/>
      </c>
      <c r="KU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REF!&gt;0,VLOOKUP(Calculator!#REF!,tbSkills!AC3:AD5,2,FALSE),Backdoors!AL3)*(IF((Backdoors!AI12+IF(KQ35&gt;=0.45,VLOOKUP(Calculator!E23,tbSkills!DH3:DI6,2,FALSE)+IF(AND(Calculator!B8=TRUE,Backdoors!BI46=TRUE),VLOOKUP(Calculator!E23,tbSkills!DH3:DJ6,3,FALSE),0),0))&gt;=100,100,(Backdoors!AI12+IF(KQ35&gt;=0.45,VLOOKUP(Calculator!E23,tbSkills!DH3:DI6,2,FALSE)+IF(AND(Calculator!B8=TRUE,Backdoors!BI46=TRUE),VLOOKUP(Calculator!E23,tbSkills!DH3:DJ6,3,FALSE),0),0)))/100)),1))*IF(VLOOKUP(A35,tbMoveset!A2:K112,11,FALSE)=TRUE,Backdoors!AC5,1))*KR35,0),"")</f>
        <v/>
      </c>
      <c r="KV35" s="49">
        <f>VLOOKUP(A35,tbMoveset!A2:G112,7,FALSE)*IFERROR(IF(Backdoors!AI12&gt;=0,1+(IF(Calculator!E40&gt;0,VLOOKUP(Calculator!E40,tbSkills!AI3:AJ5,2,FALSE),Backdoors!AL4)*(IF((Backdoors!AI12+IF(KQ35&gt;=0.45,VLOOKUP(Calculator!E23,tbSkills!DH3:DI6,2,FALSE)+IF(AND(Calculator!B8=TRUE,Backdoors!BI46=TRUE),VLOOKUP(Calculator!E23,tbSkills!DH3:DJ6,3,FALSE),0),0))&gt;=100,100,(Backdoors!AI12+IF(KQ35&gt;=0.45,VLOOKUP(Calculator!E23,tbSkills!DH3:DI6,2,FALSE)+IF(AND(Calculator!B8=TRUE,Backdoors!BI46=TRUE),VLOOKUP(Calculator!E23,tbSkills!DH3:DJ6,3,FALSE),0),0)))/100)),1),1)</f>
        <v>0.8</v>
      </c>
      <c r="KW35" s="87">
        <f t="shared" si="35"/>
        <v>0</v>
      </c>
    </row>
    <row r="36" spans="1:309" x14ac:dyDescent="0.25">
      <c r="A36" s="95" t="str">
        <f>tbMoveset!A36</f>
        <v>Demon Fangs</v>
      </c>
      <c r="B36" s="86">
        <f>IFERROR(IF(VLOOKUP(A36,tbMoveset!A2:B112,2,FALSE)="Sever",Backdoors!AY3/100,IF(VLOOKUP(A36,tbMoveset!A2:B112,2,FALSE)="Blunt",Backdoors!AZ3/100,Backdoors!BA3/100)),"")</f>
        <v>0.8</v>
      </c>
      <c r="C36" s="49">
        <f>IFERROR(IF(VLOOKUP(tbMoveset!A36,tbMoveset!A2:H112,8,FALSE)="Other",IF(VLOOKUP(tbMoveset!A36,tbMoveset!A2:I112,9,FALSE)="Fire",Backdoors!BB3,IF(VLOOKUP(tbMoveset!A36,tbMoveset!A2:I112,9,FALSE)="Water",Backdoors!BC3,IF(VLOOKUP(tbMoveset!A36,tbMoveset!A2:I112,9,FALSE)="Thunder",Backdoors!BD3,IF(VLOOKUP(tbMoveset!A36,tbMoveset!A2:I112,9,FALSE)="Ice",Backdoors!BE3,IF(VLOOKUP(tbMoveset!A36,tbMoveset!A2:I112,9,FALSE)="Dragon",Backdoors!BF3,Backdoors!BG3)))))/100,Backdoors!BG3/100),"")</f>
        <v>0</v>
      </c>
      <c r="D36" s="49">
        <f>IFERROR(IF(VLOOKUP(A36,tbMoveset!A2:J112,10,FALSE)=TRUE,IF((Backdoors!AI12+IF(B36&gt;=0.45,VLOOKUP(Calculator!E23,tbSkills!DH3:DI6,2,FALSE)+IF(AND(Calculator!B8=TRUE,Backdoors!BI3=TRUE),VLOOKUP(Calculator!E23,tbSkills!DH3:DJ6,3,FALSE),0),0))&gt;=0,1+(Backdoors!AL2*(IF((Backdoors!AI12+IF(B36&gt;=0.45,VLOOKUP(Calculator!E23,tbSkills!DH3:DI6,2,FALSE)+IF(AND(Calculator!B8=TRUE,Backdoors!BI3=TRUE),VLOOKUP(Calculator!E23,tbSkills!DH3:DJ6,3,FALSE),0),0))&gt;=100,100,(Backdoors!AI12+IF(B36&gt;=0.45,VLOOKUP(Calculator!E23,tbSkills!DH3:DI6,2,FALSE)+IF(AND(Calculator!B8=TRUE,Backdoors!BI3=TRUE),VLOOKUP(Calculator!E23,tbSkills!DH3:DJ6,3,FALSE),0),0)))/100)),(1-(0.25*((-Backdoors!AI12-IF(B36&gt;=0.45,VLOOKUP(Calculator!E23,tbSkills!DH3:DI6,2,FALSE)+IF(AND(Calculator!B8=TRUE,Backdoors!BI3=TRUE),VLOOKUP(Calculator!E23,tbSkills!DH3:DJ6,3,FALSE),0),0))/100)))),1),"")</f>
        <v>1</v>
      </c>
      <c r="E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36)*D36)*(VLOOKUP(A36,tbMoveset!A2:C112,3,FALSE)/100)*IF(VLOOKUP(A36,tbMoveset!A2:B112,2,FALSE)="Projectile",Backdoors!N10,Backdoors!N9),0),"")</f>
        <v>7</v>
      </c>
      <c r="F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36&gt;=0.45,VLOOKUP(Calculator!E23,tbSkills!DH3:DI6,2,FALSE)+IF(AND(Calculator!B8=TRUE,Backdoors!BI3=TRUE),VLOOKUP(Calculator!E23,tbSkills!DH3:DJ6,3,FALSE),0),0))&gt;=100,100,(Backdoors!AI12+IF(B36&gt;=0.45,VLOOKUP(Calculator!E23,tbSkills!DH3:DI6,2,FALSE)+IF(AND(Calculator!B8=TRUE,Backdoors!BI3=TRUE),VLOOKUP(Calculator!E23,tbSkills!DH3:DJ6,3,FALSE),0),0)))/100)),1))*IF(VLOOKUP(A36,tbMoveset!A2:K112,11,FALSE)=TRUE,Backdoors!AC5,1))*C36,0),"")</f>
        <v>0</v>
      </c>
      <c r="G36">
        <f>VLOOKUP(A36,tbMoveset!A2:G112,7,FALSE)*IFERROR(IF(Backdoors!AI12&gt;=0,1+(IF(Calculator!E40&gt;0,VLOOKUP(Calculator!E40,tbSkills!AI3:AJ5,2,FALSE),Backdoors!AL4)*(IF((Backdoors!AI12+IF(B36&gt;=0.45,VLOOKUP(Calculator!E23,tbSkills!DH3:DI6,2,FALSE)+IF(AND(Calculator!B8=TRUE,Backdoors!BI3=TRUE),VLOOKUP(Calculator!E23,tbSkills!DH3:DJ6,3,FALSE),0),0))&gt;=100,100,(Backdoors!AI12+IF(B36&gt;=0.45,VLOOKUP(Calculator!E23,tbSkills!DH3:DI6,2,FALSE)+IF(AND(Calculator!B8=TRUE,Backdoors!BI3=TRUE),VLOOKUP(Calculator!E23,tbSkills!DH3:DJ6,3,FALSE),0),0)))/100)),1),1)</f>
        <v>0.5</v>
      </c>
      <c r="H36" s="87">
        <f t="shared" si="44"/>
        <v>7</v>
      </c>
      <c r="I36" s="86">
        <f>IFERROR(IF(VLOOKUP(A36,tbMoveset!A2:B112,2,FALSE)="Sever",Backdoors!AY4/100,IF(VLOOKUP(A36,tbMoveset!A2:B112,2,FALSE)="Blunt",Backdoors!AZ4/100,Backdoors!BA4/100)),"")</f>
        <v>0.65</v>
      </c>
      <c r="J36" s="49">
        <f>IFERROR(IF(VLOOKUP(tbMoveset!A36,tbMoveset!A2:H112,8,FALSE)="Other",IF(VLOOKUP(tbMoveset!A36,tbMoveset!A2:I112,9,FALSE)="Fire",Backdoors!BB4,IF(VLOOKUP(tbMoveset!A36,tbMoveset!A2:I112,9,FALSE)="Water",Backdoors!BC4,IF(VLOOKUP(tbMoveset!A36,tbMoveset!A2:I112,9,FALSE)="Thunder",Backdoors!BD4,IF(VLOOKUP(tbMoveset!A36,tbMoveset!A2:I112,9,FALSE)="Ice",Backdoors!BE4,IF(VLOOKUP(tbMoveset!A36,tbMoveset!A2:I112,9,FALSE)="Dragon",Backdoors!BF4,Backdoors!BG4)))))/100,Backdoors!BG4/100),"")</f>
        <v>0</v>
      </c>
      <c r="K36" s="49">
        <f>IFERROR(IF(VLOOKUP(A36,tbMoveset!A2:J112,10,FALSE)=TRUE,IF((Backdoors!AI12+IF(I36&gt;=0.45,VLOOKUP(Calculator!E23,tbSkills!DH3:DI6,2,FALSE)+IF(AND(Calculator!B8=TRUE,Backdoors!BI4=TRUE),VLOOKUP(Calculator!E23,tbSkills!DH3:DJ6,3,FALSE),0),0))&gt;=0,1+(Backdoors!AL2*(IF((Backdoors!AI12+IF(I36&gt;=0.45,VLOOKUP(Calculator!E23,tbSkills!DH3:DI6,2,FALSE)+IF(AND(Calculator!B8=TRUE,Backdoors!BI4=TRUE),VLOOKUP(Calculator!E23,tbSkills!DH3:DJ6,3,FALSE),0),0))&gt;=100,100,(Backdoors!AI12+IF(I36&gt;=0.45,VLOOKUP(Calculator!E23,tbSkills!DH3:DI6,2,FALSE)+IF(AND(Calculator!B8=TRUE,Backdoors!BI4=TRUE),VLOOKUP(Calculator!E23,tbSkills!DH3:DJ6,3,FALSE),0),0)))/100)),(1-(0.25*((-Backdoors!AI12-IF(I36&gt;=0.45,VLOOKUP(Calculator!E23,tbSkills!DH3:DI6,2,FALSE)+IF(AND(Calculator!B8=TRUE,Backdoors!BI4=TRUE),VLOOKUP(Calculator!E23,tbSkills!DH3:DJ6,3,FALSE),0),0))/100)))),1),"")</f>
        <v>1</v>
      </c>
      <c r="L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36)*K36)*(VLOOKUP(A36,tbMoveset!A2:C112,3,FALSE)/100)*IF(VLOOKUP(A36,tbMoveset!A2:B112,2,FALSE)="Projectile",Backdoors!N10,Backdoors!N9),0),"")</f>
        <v>6</v>
      </c>
      <c r="M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I36&gt;=0.45,VLOOKUP(Calculator!E23,tbSkills!DH3:DI6,2,FALSE)+IF(AND(Calculator!B8=TRUE,Backdoors!BI4=TRUE),VLOOKUP(Calculator!E23,tbSkills!DH3:DJ6,3,FALSE),0),0))&gt;=100,100,(Backdoors!AI12+IF(I36&gt;=0.45,VLOOKUP(Calculator!E23,tbSkills!DH3:DI6,2,FALSE)+IF(AND(Calculator!B8=TRUE,Backdoors!BI4=TRUE),VLOOKUP(Calculator!E23,tbSkills!DH3:DJ6,3,FALSE),0),0)))/100)),1))*IF(VLOOKUP(A36,tbMoveset!A2:K112,11,FALSE)=TRUE,Backdoors!AC5,1))*J36,0),"")</f>
        <v>0</v>
      </c>
      <c r="N36" s="49">
        <f>VLOOKUP(A36,tbMoveset!A2:G112,7,FALSE)*IFERROR(IF(Backdoors!AI12&gt;=0,1+(IF(Calculator!E40&gt;0,VLOOKUP(Calculator!E40,tbSkills!AI3:AJ5,2,FALSE),Backdoors!AL4)*(IF((Backdoors!AI12+IF(I36&gt;=0.45,VLOOKUP(Calculator!E23,tbSkills!DH3:DI6,2,FALSE)+IF(AND(Calculator!B8=TRUE,Backdoors!BI4=TRUE),VLOOKUP(Calculator!E23,tbSkills!DH3:DJ6,3,FALSE),0),0))&gt;=100,100,(Backdoors!AI12+IF(I36&gt;=0.45,VLOOKUP(Calculator!E23,tbSkills!DH3:DI6,2,FALSE)+IF(AND(Calculator!B8=TRUE,Backdoors!BI4=TRUE),VLOOKUP(Calculator!E23,tbSkills!DH3:DJ6,3,FALSE),0),0)))/100)),1),1)</f>
        <v>0.5</v>
      </c>
      <c r="O36" s="87">
        <f t="shared" si="45"/>
        <v>6</v>
      </c>
      <c r="P36" s="86">
        <f>IFERROR(IF(VLOOKUP(A36,tbMoveset!A2:B112,2,FALSE)="Sever",Backdoors!AY5/100,IF(VLOOKUP(A36,tbMoveset!A2:B112,2,FALSE)="Blunt",Backdoors!AZ5/100,Backdoors!BA5/100)),"")</f>
        <v>0.5</v>
      </c>
      <c r="Q36" s="49">
        <f>IFERROR(IF(VLOOKUP(tbMoveset!A36,tbMoveset!A2:H112,8,FALSE)="Other",IF(VLOOKUP(tbMoveset!A36,tbMoveset!A2:I112,9,FALSE)="Fire",Backdoors!BB5,IF(VLOOKUP(tbMoveset!A36,tbMoveset!A2:I112,9,FALSE)="Water",Backdoors!BC5,IF(VLOOKUP(tbMoveset!A36,tbMoveset!A2:I112,9,FALSE)="Thunder",Backdoors!BD5,IF(VLOOKUP(tbMoveset!A36,tbMoveset!A2:I112,9,FALSE)="Ice",Backdoors!BE5,IF(VLOOKUP(tbMoveset!A36,tbMoveset!A2:I112,9,FALSE)="Dragon",Backdoors!BF5,Backdoors!BG5)))))/100,Backdoors!BG5/100),"")</f>
        <v>0</v>
      </c>
      <c r="R36" s="49">
        <f>IFERROR(IF(VLOOKUP(A36,tbMoveset!A2:J112,10,FALSE)=TRUE,IF((Backdoors!AI12+IF(P36&gt;=0.45,VLOOKUP(Calculator!E23,tbSkills!DH3:DI6,2,FALSE)+IF(AND(Calculator!B8=TRUE,Backdoors!BI5=TRUE),VLOOKUP(Calculator!E23,tbSkills!DH3:DJ6,3,FALSE),0),0))&gt;=0,1+(Backdoors!AL2*(IF((Backdoors!AI12+IF(P36&gt;=0.45,VLOOKUP(Calculator!E23,tbSkills!DH3:DI6,2,FALSE)+IF(AND(Calculator!B8=TRUE,Backdoors!BI5=TRUE),VLOOKUP(Calculator!E23,tbSkills!DH3:DJ6,3,FALSE),0),0))&gt;=100,100,(Backdoors!AI12+IF(P36&gt;=0.45,VLOOKUP(Calculator!E23,tbSkills!DH3:DI6,2,FALSE)+IF(AND(Calculator!B8=TRUE,Backdoors!BI5=TRUE),VLOOKUP(Calculator!E23,tbSkills!DH3:DJ6,3,FALSE),0),0)))/100)),(1-(0.25*((-Backdoors!AI12-IF(P36&gt;=0.45,VLOOKUP(Calculator!E23,tbSkills!DH3:DI6,2,FALSE)+IF(AND(Calculator!B8=TRUE,Backdoors!BI5=TRUE),VLOOKUP(Calculator!E23,tbSkills!DH3:DJ6,3,FALSE),0),0))/100)))),1),"")</f>
        <v>1</v>
      </c>
      <c r="S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P36)*R36)*(VLOOKUP(A36,tbMoveset!A2:C112,3,FALSE)/100)*IF(VLOOKUP(A36,tbMoveset!A2:B112,2,FALSE)="Projectile",Backdoors!N10,Backdoors!N9),0),"")</f>
        <v>5</v>
      </c>
      <c r="T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P36&gt;=0.45,VLOOKUP(Calculator!E23,tbSkills!DH3:DI6,2,FALSE)+IF(AND(Calculator!B8=TRUE,Backdoors!BI5=TRUE),VLOOKUP(Calculator!E23,tbSkills!DH3:DJ6,3,FALSE),0),0))&gt;=100,100,(Backdoors!AI12+IF(P36&gt;=0.45,VLOOKUP(Calculator!E23,tbSkills!DH3:DI6,2,FALSE)+IF(AND(Calculator!B8=TRUE,Backdoors!BI5=TRUE),VLOOKUP(Calculator!E23,tbSkills!DH3:DJ6,3,FALSE),0),0)))/100)),1))*IF(VLOOKUP(A36,tbMoveset!A2:K112,11,FALSE)=TRUE,Backdoors!AC5,1))*Q36,0),"")</f>
        <v>0</v>
      </c>
      <c r="U36" s="49">
        <f>VLOOKUP(A36,tbMoveset!A2:G112,7,FALSE)*IFERROR(IF(Backdoors!AI12&gt;=0,1+(IF(Calculator!E40&gt;0,VLOOKUP(Calculator!E40,tbSkills!AI3:AJ5,2,FALSE),Backdoors!AL4)*(IF((Backdoors!AI12+IF(P36&gt;=0.45,VLOOKUP(Calculator!E23,tbSkills!DH3:DI6,2,FALSE)+IF(AND(Calculator!B8=TRUE,Backdoors!BI5=TRUE),VLOOKUP(Calculator!E23,tbSkills!DH3:DJ6,3,FALSE),0),0))&gt;=100,100,(Backdoors!AI12+IF(P36&gt;=0.45,VLOOKUP(Calculator!E23,tbSkills!DH3:DI6,2,FALSE)+IF(AND(Calculator!B8=TRUE,Backdoors!BI5=TRUE),VLOOKUP(Calculator!E23,tbSkills!DH3:DJ6,3,FALSE),0),0)))/100)),1),1)</f>
        <v>0.5</v>
      </c>
      <c r="V36" s="87">
        <f t="shared" si="46"/>
        <v>5</v>
      </c>
      <c r="W36" s="86">
        <f>IFERROR(IF(VLOOKUP(A36,tbMoveset!A2:B112,2,FALSE)="Sever",Backdoors!AY6/100,IF(VLOOKUP(A36,tbMoveset!A2:B112,2,FALSE)="Blunt",Backdoors!AZ6/100,Backdoors!BA6/100)),"")</f>
        <v>0.45</v>
      </c>
      <c r="X36" s="49">
        <f>IFERROR(IF(VLOOKUP(tbMoveset!A36,tbMoveset!A2:H112,8,FALSE)="Other",IF(VLOOKUP(tbMoveset!A36,tbMoveset!A2:I112,9,FALSE)="Fire",Backdoors!BB6,IF(VLOOKUP(tbMoveset!A36,tbMoveset!A2:I112,9,FALSE)="Water",Backdoors!BC6,IF(VLOOKUP(tbMoveset!A36,tbMoveset!A2:I112,9,FALSE)="Thunder",Backdoors!BD6,IF(VLOOKUP(tbMoveset!A36,tbMoveset!A2:I112,9,FALSE)="Ice",Backdoors!BE6,IF(VLOOKUP(tbMoveset!A36,tbMoveset!A2:I112,9,FALSE)="Dragon",Backdoors!BF6,Backdoors!BG6)))))/100,Backdoors!BG6/100),"")</f>
        <v>0</v>
      </c>
      <c r="Y36" s="49">
        <f>IFERROR(IF(VLOOKUP(A36,tbMoveset!A2:J112,10,FALSE)=TRUE,IF((Backdoors!AI12+IF(W36&gt;=0.45,VLOOKUP(Calculator!E23,tbSkills!DH3:DI6,2,FALSE)+IF(AND(Calculator!B8=TRUE,Backdoors!BI6=TRUE),VLOOKUP(Calculator!E23,tbSkills!DH3:DJ6,3,FALSE),0),0))&gt;=0,1+(Backdoors!AL2*(IF((Backdoors!AI12+IF(W36&gt;=0.45,VLOOKUP(Calculator!E23,tbSkills!DH3:DI6,2,FALSE)+IF(AND(Calculator!B8=TRUE,Backdoors!BI6=TRUE),VLOOKUP(Calculator!E23,tbSkills!DH3:DJ6,3,FALSE),0),0))&gt;=100,100,(Backdoors!AI12+IF(W36&gt;=0.45,VLOOKUP(Calculator!E23,tbSkills!DH3:DI6,2,FALSE)+IF(AND(Calculator!B8=TRUE,Backdoors!BI6=TRUE),VLOOKUP(Calculator!E23,tbSkills!DH3:DJ6,3,FALSE),0),0)))/100)),(1-(0.25*((-Backdoors!AI12-IF(W36&gt;=0.45,VLOOKUP(Calculator!E23,tbSkills!DH3:DI6,2,FALSE)+IF(AND(Calculator!B8=TRUE,Backdoors!BI6=TRUE),VLOOKUP(Calculator!E23,tbSkills!DH3:DJ6,3,FALSE),0),0))/100)))),1),"")</f>
        <v>1</v>
      </c>
      <c r="Z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W36)*Y36)*(VLOOKUP(A36,tbMoveset!A2:C112,3,FALSE)/100)*IF(VLOOKUP(A36,tbMoveset!A2:B112,2,FALSE)="Projectile",Backdoors!N10,Backdoors!N9),0),"")</f>
        <v>4</v>
      </c>
      <c r="AA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W36&gt;=0.45,VLOOKUP(Calculator!E23,tbSkills!DH3:DI6,2,FALSE)+IF(AND(Calculator!B8=TRUE,Backdoors!BI6=TRUE),VLOOKUP(Calculator!E23,tbSkills!DH3:DJ6,3,FALSE),0),0))&gt;=100,100,(Backdoors!AI12+IF(W36&gt;=0.45,VLOOKUP(Calculator!E23,tbSkills!DH3:DI6,2,FALSE)+IF(AND(Calculator!B8=TRUE,Backdoors!BI6=TRUE),VLOOKUP(Calculator!E23,tbSkills!DH3:DJ6,3,FALSE),0),0)))/100)),1))*IF(VLOOKUP(A36,tbMoveset!A2:K112,11,FALSE)=TRUE,Backdoors!AC5,1))*X36,0),"")</f>
        <v>0</v>
      </c>
      <c r="AB36" s="49">
        <f>VLOOKUP(A36,tbMoveset!A2:G112,7,FALSE)*IFERROR(IF(Backdoors!AI12&gt;=0,1+(IF(Calculator!E40&gt;0,VLOOKUP(Calculator!E40,tbSkills!AI3:AJ5,2,FALSE),Backdoors!AL4)*(IF((Backdoors!AI12+IF(W36&gt;=0.45,VLOOKUP(Calculator!E23,tbSkills!DH3:DI6,2,FALSE)+IF(AND(Calculator!B8=TRUE,Backdoors!BI6=TRUE),VLOOKUP(Calculator!E23,tbSkills!DH3:DJ6,3,FALSE),0),0))&gt;=100,100,(Backdoors!AI12+IF(W36&gt;=0.45,VLOOKUP(Calculator!E23,tbSkills!DH3:DI6,2,FALSE)+IF(AND(Calculator!B8=TRUE,Backdoors!BI6=TRUE),VLOOKUP(Calculator!E23,tbSkills!DH3:DJ6,3,FALSE),0),0)))/100)),1),1)</f>
        <v>0.5</v>
      </c>
      <c r="AC36" s="87">
        <f t="shared" si="47"/>
        <v>4</v>
      </c>
      <c r="AD36" s="86">
        <f>IFERROR(IF(VLOOKUP(A36,tbMoveset!A2:B112,2,FALSE)="Sever",Backdoors!AY7/100,IF(VLOOKUP(A36,tbMoveset!A2:B112,2,FALSE)="Blunt",Backdoors!AZ7/100,Backdoors!BA7/100)),"")</f>
        <v>0.65</v>
      </c>
      <c r="AE36" s="49">
        <f>IFERROR(IF(VLOOKUP(tbMoveset!A36,tbMoveset!A2:H112,8,FALSE)="Other",IF(VLOOKUP(tbMoveset!A36,tbMoveset!A2:I112,9,FALSE)="Fire",Backdoors!BB7,IF(VLOOKUP(tbMoveset!A36,tbMoveset!A2:I112,9,FALSE)="Water",Backdoors!BC7,IF(VLOOKUP(tbMoveset!A36,tbMoveset!A2:I112,9,FALSE)="Thunder",Backdoors!BD7,IF(VLOOKUP(tbMoveset!A36,tbMoveset!A2:I112,9,FALSE)="Ice",Backdoors!BE7,IF(VLOOKUP(tbMoveset!A36,tbMoveset!A2:I112,9,FALSE)="Dragon",Backdoors!BF7,Backdoors!BG7)))))/100,Backdoors!BG7/100),"")</f>
        <v>0</v>
      </c>
      <c r="AF36" s="49">
        <f>IFERROR(IF(VLOOKUP(A36,tbMoveset!A2:J112,10,FALSE)=TRUE,IF((Backdoors!AI12+IF(AD36&gt;=0.45,VLOOKUP(Calculator!E23,tbSkills!DH3:DI6,2,FALSE)+IF(AND(Calculator!B8=TRUE,Backdoors!BI7=TRUE),VLOOKUP(Calculator!E23,tbSkills!DH3:DJ6,3,FALSE),0),0))&gt;=0,1+(Backdoors!AL2*(IF((Backdoors!AI12+IF(AD36&gt;=0.45,VLOOKUP(Calculator!E23,tbSkills!DH3:DI6,2,FALSE)+IF(AND(Calculator!B8=TRUE,Backdoors!BI7=TRUE),VLOOKUP(Calculator!E23,tbSkills!DH3:DJ6,3,FALSE),0),0))&gt;=100,100,(Backdoors!AI12+IF(AD36&gt;=0.45,VLOOKUP(Calculator!E23,tbSkills!DH3:DI6,2,FALSE)+IF(AND(Calculator!B8=TRUE,Backdoors!BI7=TRUE),VLOOKUP(Calculator!E23,tbSkills!DH3:DJ6,3,FALSE),0),0)))/100)),(1-(0.25*((-Backdoors!AI12-IF(AD36&gt;=0.45,VLOOKUP(Calculator!E23,tbSkills!DH3:DI6,2,FALSE)+IF(AND(Calculator!B8=TRUE,Backdoors!BI7=TRUE),VLOOKUP(Calculator!E23,tbSkills!DH3:DJ6,3,FALSE),0),0))/100)))),1),"")</f>
        <v>1</v>
      </c>
      <c r="AG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D36)*AF36)*(VLOOKUP(A36,tbMoveset!A2:C112,3,FALSE)/100)*IF(VLOOKUP(A36,tbMoveset!A2:B112,2,FALSE)="Projectile",Backdoors!N10,Backdoors!N9),0),"")</f>
        <v>6</v>
      </c>
      <c r="AH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D36&gt;=0.45,VLOOKUP(Calculator!E23,tbSkills!DH3:DI6,2,FALSE)+IF(AND(Calculator!B8=TRUE,Backdoors!BI7=TRUE),VLOOKUP(Calculator!E23,tbSkills!DH3:DJ6,3,FALSE),0),0))&gt;=100,100,(Backdoors!AI12+IF(AD36&gt;=0.45,VLOOKUP(Calculator!E23,tbSkills!DH3:DI6,2,FALSE)+IF(AND(Calculator!B8=TRUE,Backdoors!BI7=TRUE),VLOOKUP(Calculator!E23,tbSkills!DH3:DJ6,3,FALSE),0),0)))/100)),1))*IF(VLOOKUP(A36,tbMoveset!A2:K112,11,FALSE)=TRUE,Backdoors!AC5,1))*AE36,0),"")</f>
        <v>0</v>
      </c>
      <c r="AI36" s="49">
        <f>VLOOKUP(A36,tbMoveset!A2:G112,7,FALSE)*IFERROR(IF(Backdoors!AI12&gt;=0,1+(IF(Calculator!E40&gt;0,VLOOKUP(Calculator!E40,tbSkills!AI3:AJ5,2,FALSE),Backdoors!AL4)*(IF((Backdoors!AI12+IF(AD36&gt;=0.45,VLOOKUP(Calculator!E23,tbSkills!DH3:DI6,2,FALSE)+IF(AND(Calculator!B8=TRUE,Backdoors!BI7=TRUE),VLOOKUP(Calculator!E23,tbSkills!DH3:DJ6,3,FALSE),0),0))&gt;=100,100,(Backdoors!AI12+IF(AD36&gt;=0.45,VLOOKUP(Calculator!E23,tbSkills!DH3:DI6,2,FALSE)+IF(AND(Calculator!B8=TRUE,Backdoors!BI7=TRUE),VLOOKUP(Calculator!E23,tbSkills!DH3:DJ6,3,FALSE),0),0)))/100)),1),1)</f>
        <v>0.5</v>
      </c>
      <c r="AJ36" s="87">
        <f t="shared" si="48"/>
        <v>6</v>
      </c>
      <c r="AK36" s="91">
        <f>IFERROR(IF(VLOOKUP(A36,tbMoveset!A2:B112,2,FALSE)="Sever",Backdoors!AY8/100,IF(VLOOKUP(A36,tbMoveset!A2:B112,2,FALSE)="Blunt",Backdoors!AZ8/100,Backdoors!BA8/100)),"")</f>
        <v>0.45</v>
      </c>
      <c r="AL36" s="49">
        <f>IFERROR(IF(VLOOKUP(tbMoveset!A36,tbMoveset!A2:H112,8,FALSE)="Other",IF(VLOOKUP(tbMoveset!A36,tbMoveset!A2:I112,9,FALSE)="Fire",Backdoors!BB8,IF(VLOOKUP(tbMoveset!A36,tbMoveset!A2:I112,9,FALSE)="Water",Backdoors!BC8,IF(VLOOKUP(tbMoveset!A36,tbMoveset!A2:I112,9,FALSE)="Thunder",Backdoors!BD8,IF(VLOOKUP(tbMoveset!A36,tbMoveset!A2:I112,9,FALSE)="Ice",Backdoors!BE8,IF(VLOOKUP(tbMoveset!A36,tbMoveset!A2:I112,9,FALSE)="Dragon",Backdoors!BF8,Backdoors!BG8)))))/100,Backdoors!BG8/100),"")</f>
        <v>0</v>
      </c>
      <c r="AM36" s="49">
        <f>IFERROR(IF(VLOOKUP(A36,tbMoveset!A2:J112,10,FALSE)=TRUE,IF((Backdoors!AI12+IF(AK36&gt;=0.45,VLOOKUP(Calculator!E23,tbSkills!DH3:DI6,2,FALSE)+IF(AND(Calculator!B8=TRUE,Backdoors!BI8=TRUE),VLOOKUP(Calculator!E23,tbSkills!DH3:DJ6,3,FALSE),0),0))&gt;=0,1+(Backdoors!AL2*(IF((Backdoors!AI12+IF(AK36&gt;=0.45,VLOOKUP(Calculator!E23,tbSkills!DH3:DI6,2,FALSE)+IF(AND(Calculator!B8=TRUE,Backdoors!BI8=TRUE),VLOOKUP(Calculator!E23,tbSkills!DH3:DJ6,3,FALSE),0),0))&gt;=100,100,(Backdoors!AI12+IF(AK36&gt;=0.45,VLOOKUP(Calculator!E23,tbSkills!DH3:DI6,2,FALSE)+IF(AND(Calculator!B8=TRUE,Backdoors!BI8=TRUE),VLOOKUP(Calculator!E23,tbSkills!DH3:DJ6,3,FALSE),0),0)))/100)),(1-(0.25*((-Backdoors!AI12-IF(AK36&gt;=0.45,VLOOKUP(Calculator!E23,tbSkills!DH3:DI6,2,FALSE)+IF(AND(Calculator!B8=TRUE,Backdoors!BI8=TRUE),VLOOKUP(Calculator!E23,tbSkills!DH3:DJ6,3,FALSE),0),0))/100)))),1),"")</f>
        <v>1</v>
      </c>
      <c r="AN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K36)*AM36)*(VLOOKUP(A36,tbMoveset!A2:C112,3,FALSE)/100)*IF(VLOOKUP(A36,tbMoveset!A2:B112,2,FALSE)="Projectile",Backdoors!N10,Backdoors!N9),0),"")</f>
        <v>4</v>
      </c>
      <c r="AO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K36&gt;=0.45,VLOOKUP(Calculator!E23,tbSkills!DH3:DI6,2,FALSE)+IF(AND(Calculator!B8=TRUE,Backdoors!BI8=TRUE),VLOOKUP(Calculator!E23,tbSkills!DH3:DJ6,3,FALSE),0),0))&gt;=100,100,(Backdoors!AI12+IF(AK36&gt;=0.45,VLOOKUP(Calculator!E23,tbSkills!DH3:DI6,2,FALSE)+IF(AND(Calculator!B8=TRUE,Backdoors!BI8=TRUE),VLOOKUP(Calculator!E23,tbSkills!DH3:DJ6,3,FALSE),0),0)))/100)),1))*IF(VLOOKUP(A36,tbMoveset!A2:K112,11,FALSE)=TRUE,Backdoors!AC5,1))*AL36,0),"")</f>
        <v>0</v>
      </c>
      <c r="AP36" s="49">
        <f>VLOOKUP(A36,tbMoveset!A2:G112,7,FALSE)*IFERROR(IF(Backdoors!AI12&gt;=0,1+(IF(Calculator!E40&gt;0,VLOOKUP(Calculator!E40,tbSkills!AI3:AJ5,2,FALSE),Backdoors!AL4)*(IF((Backdoors!AI12+IF(AK36&gt;=0.45,VLOOKUP(Calculator!E23,tbSkills!DH3:DI6,2,FALSE)+IF(AND(Calculator!B8=TRUE,Backdoors!BI8=TRUE),VLOOKUP(Calculator!E23,tbSkills!DH3:DJ6,3,FALSE),0),0))&gt;=100,100,(Backdoors!AI12+IF(AK36&gt;=0.45,VLOOKUP(Calculator!E23,tbSkills!DH3:DI6,2,FALSE)+IF(AND(Calculator!B8=TRUE,Backdoors!BI8=TRUE),VLOOKUP(Calculator!E23,tbSkills!DH3:DJ6,3,FALSE),0),0)))/100)),1),1)</f>
        <v>0.5</v>
      </c>
      <c r="AQ36" s="87">
        <f t="shared" si="49"/>
        <v>4</v>
      </c>
      <c r="AR36" s="86">
        <f>IFERROR(IF(VLOOKUP(A36,tbMoveset!A2:B112,2,FALSE)="Sever",Backdoors!AY9/100,IF(VLOOKUP(A36,tbMoveset!A2:B112,2,FALSE)="Blunt",Backdoors!AZ9/100,Backdoors!BA9/100)),"")</f>
        <v>0.45</v>
      </c>
      <c r="AS36" s="49">
        <f>IFERROR(IF(VLOOKUP(tbMoveset!A36,tbMoveset!A2:H112,8,FALSE)="Other",IF(VLOOKUP(tbMoveset!A36,tbMoveset!A2:I112,9,FALSE)="Fire",Backdoors!BB9,IF(VLOOKUP(tbMoveset!A36,tbMoveset!A2:I112,9,FALSE)="Water",Backdoors!BC9,IF(VLOOKUP(tbMoveset!A36,tbMoveset!A2:I112,9,FALSE)="Thunder",Backdoors!BD9,IF(VLOOKUP(tbMoveset!A36,tbMoveset!A2:I112,9,FALSE)="Ice",Backdoors!BE9,IF(VLOOKUP(tbMoveset!A36,tbMoveset!A2:I112,9,FALSE)="Dragon",Backdoors!BF9,Backdoors!BG9)))))/100,Backdoors!BG9/100),"")</f>
        <v>0</v>
      </c>
      <c r="AT36" s="49">
        <f>IFERROR(IF(VLOOKUP(A36,tbMoveset!A2:J112,10,FALSE)=TRUE,IF((Backdoors!AI12+IF(AR36&gt;=0.45,VLOOKUP(Calculator!E23,tbSkills!DH3:DI6,2,FALSE)+IF(AND(Calculator!B8=TRUE,Backdoors!BI9=TRUE),VLOOKUP(Calculator!E23,tbSkills!DH3:DJ6,3,FALSE),0),0))&gt;=0,1+(Backdoors!AL2*(IF((Backdoors!AI12+IF(AR36&gt;=0.45,VLOOKUP(Calculator!E23,tbSkills!DH3:DI6,2,FALSE)+IF(AND(Calculator!B8=TRUE,Backdoors!BI9=TRUE),VLOOKUP(Calculator!E23,tbSkills!DH3:DJ6,3,FALSE),0),0))&gt;=100,100,(Backdoors!AI12+IF(AR36&gt;=0.45,VLOOKUP(Calculator!E23,tbSkills!DH3:DI6,2,FALSE)+IF(AND(Calculator!B8=TRUE,Backdoors!BI9=TRUE),VLOOKUP(Calculator!E23,tbSkills!DH3:DJ6,3,FALSE),0),0)))/100)),(1-(0.25*((-Backdoors!AI12-IF(AR36&gt;=0.45,VLOOKUP(Calculator!E23,tbSkills!DH3:DI6,2,FALSE)+IF(AND(Calculator!B8=TRUE,Backdoors!BI9=TRUE),VLOOKUP(Calculator!E23,tbSkills!DH3:DJ6,3,FALSE),0),0))/100)))),1),"")</f>
        <v>1</v>
      </c>
      <c r="AU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R36)*AT36)*(VLOOKUP(A36,tbMoveset!A2:C112,3,FALSE)/100)*IF(VLOOKUP(A36,tbMoveset!A2:B112,2,FALSE)="Projectile",Backdoors!N10,Backdoors!N9),0),"")</f>
        <v>4</v>
      </c>
      <c r="AV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R36&gt;=0.45,VLOOKUP(Calculator!E23,tbSkills!DH3:DI6,2,FALSE)+IF(AND(Calculator!B8=TRUE,Backdoors!BI9=TRUE),VLOOKUP(Calculator!E23,tbSkills!DH3:DJ6,3,FALSE),0),0))&gt;=100,100,(Backdoors!AI12+IF(AR36&gt;=0.45,VLOOKUP(Calculator!E23,tbSkills!DH3:DI6,2,FALSE)+IF(AND(Calculator!B8=TRUE,Backdoors!BI9=TRUE),VLOOKUP(Calculator!E23,tbSkills!DH3:DJ6,3,FALSE),0),0)))/100)),1))*IF(VLOOKUP(A36,tbMoveset!A2:K112,11,FALSE)=TRUE,Backdoors!AC5,1))*AS36,0),"")</f>
        <v>0</v>
      </c>
      <c r="AW36" s="49">
        <f>VLOOKUP(A36,tbMoveset!A2:G112,7,FALSE)*IFERROR(IF(Backdoors!AI12&gt;=0,1+(IF(Calculator!E40&gt;0,VLOOKUP(Calculator!E40,tbSkills!AI3:AJ5,2,FALSE),Backdoors!AL4)*(IF((Backdoors!AI12+IF(AR36&gt;=0.45,VLOOKUP(Calculator!E23,tbSkills!DH3:DI6,2,FALSE)+IF(AND(Calculator!B8=TRUE,Backdoors!BI9=TRUE),VLOOKUP(Calculator!E23,tbSkills!DH3:DJ6,3,FALSE),0),0))&gt;=100,100,(Backdoors!AI12+IF(AR36&gt;=0.45,VLOOKUP(Calculator!E23,tbSkills!DH3:DI6,2,FALSE)+IF(AND(Calculator!B8=TRUE,Backdoors!BI9=TRUE),VLOOKUP(Calculator!E23,tbSkills!DH3:DJ6,3,FALSE),0),0)))/100)),1),1)</f>
        <v>0.5</v>
      </c>
      <c r="AX36" s="87">
        <f t="shared" si="50"/>
        <v>4</v>
      </c>
      <c r="AY36" s="86">
        <f>IFERROR(IF(VLOOKUP(A36,tbMoveset!A2:B112,2,FALSE)="Sever",Backdoors!AY10/100,IF(VLOOKUP(A36,tbMoveset!A2:B112,2,FALSE)="Blunt",Backdoors!AZ10/100,Backdoors!BA10/100)),"")</f>
        <v>0.9</v>
      </c>
      <c r="AZ36" s="49">
        <f>IFERROR(IF(VLOOKUP(tbMoveset!A36,tbMoveset!A2:H112,8,FALSE)="Other",IF(VLOOKUP(tbMoveset!A36,tbMoveset!A2:I112,9,FALSE)="Fire",Backdoors!BB10,IF(VLOOKUP(tbMoveset!A36,tbMoveset!A2:I112,9,FALSE)="Water",Backdoors!BC10,IF(VLOOKUP(tbMoveset!A36,tbMoveset!A2:I112,9,FALSE)="Thunder",Backdoors!BD10,IF(VLOOKUP(tbMoveset!A36,tbMoveset!A2:I112,9,FALSE)="Ice",Backdoors!BE10,IF(VLOOKUP(tbMoveset!A36,tbMoveset!A2:I112,9,FALSE)="Dragon",Backdoors!BF10,Backdoors!BG10)))))/100,Backdoors!BG10/100),"")</f>
        <v>0</v>
      </c>
      <c r="BA36" s="49">
        <f>IFERROR(IF(VLOOKUP(A36,tbMoveset!A2:J112,10,FALSE)=TRUE,IF((Backdoors!AI12+IF(AY36&gt;=0.45,VLOOKUP(Calculator!E23,tbSkills!DH3:DI6,2,FALSE)+IF(AND(Calculator!B8=TRUE,Backdoors!BI10=TRUE),VLOOKUP(Calculator!E23,tbSkills!DH3:DJ6,3,FALSE),0),0))&gt;=0,1+(Backdoors!AL2*(IF((Backdoors!AI12+IF(AY36&gt;=0.45,VLOOKUP(Calculator!E23,tbSkills!DH3:DI6,2,FALSE)+IF(AND(Calculator!B8=TRUE,Backdoors!BI10=TRUE),VLOOKUP(Calculator!E23,tbSkills!DH3:DJ6,3,FALSE),0),0))&gt;=100,100,(Backdoors!AI12+IF(AY36&gt;=0.45,VLOOKUP(Calculator!E23,tbSkills!DH3:DI6,2,FALSE)+IF(AND(Calculator!B8=TRUE,Backdoors!BI10=TRUE),VLOOKUP(Calculator!E23,tbSkills!DH3:DJ6,3,FALSE),0),0)))/100)),(1-(0.25*((-Backdoors!AI12-IF(AY36&gt;=0.45,VLOOKUP(Calculator!E23,tbSkills!DH3:DI6,2,FALSE)+IF(AND(Calculator!B8=TRUE,Backdoors!BI10=TRUE),VLOOKUP(Calculator!E23,tbSkills!DH3:DJ6,3,FALSE),0),0))/100)))),1),"")</f>
        <v>1</v>
      </c>
      <c r="BB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Y36)*BA36)*(VLOOKUP(A36,tbMoveset!A2:C112,3,FALSE)/100)*IF(VLOOKUP(A36,tbMoveset!A2:B112,2,FALSE)="Projectile",Backdoors!N10,Backdoors!N9),0),"")</f>
        <v>8</v>
      </c>
      <c r="BC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Y36&gt;=0.45,VLOOKUP(Calculator!E23,tbSkills!DH3:DI6,2,FALSE)+IF(AND(Calculator!B8=TRUE,Backdoors!BI10=TRUE),VLOOKUP(Calculator!E23,tbSkills!DH3:DJ6,3,FALSE),0),0))&gt;=100,100,(Backdoors!AI12+IF(AY36&gt;=0.45,VLOOKUP(Calculator!E23,tbSkills!DH3:DI6,2,FALSE)+IF(AND(Calculator!B8=TRUE,Backdoors!BI10=TRUE),VLOOKUP(Calculator!E23,tbSkills!DH3:DJ6,3,FALSE),0),0)))/100)),1))*IF(VLOOKUP(A36,tbMoveset!A2:K112,11,FALSE)=TRUE,Backdoors!AC5,1))*AZ36,0),"")</f>
        <v>0</v>
      </c>
      <c r="BD36" s="49">
        <f>VLOOKUP(A36,tbMoveset!A2:G112,7,FALSE)*IFERROR(IF(Backdoors!AI12&gt;=0,1+(IF(Calculator!E40&gt;0,VLOOKUP(Calculator!E40,tbSkills!AI3:AJ5,2,FALSE),Backdoors!AL4)*(IF((Backdoors!AI12+IF(AY36&gt;=0.45,VLOOKUP(Calculator!E23,tbSkills!DH3:DI6,2,FALSE)+IF(AND(Calculator!B8=TRUE,Backdoors!BI10=TRUE),VLOOKUP(Calculator!E23,tbSkills!DH3:DJ6,3,FALSE),0),0))&gt;=100,100,(Backdoors!AI12+IF(AY36&gt;=0.45,VLOOKUP(Calculator!E23,tbSkills!DH3:DI6,2,FALSE)+IF(AND(Calculator!B8=TRUE,Backdoors!BI10=TRUE),VLOOKUP(Calculator!E23,tbSkills!DH3:DJ6,3,FALSE),0),0)))/100)),1),1)</f>
        <v>0.5</v>
      </c>
      <c r="BE36" s="87">
        <f t="shared" si="3"/>
        <v>8</v>
      </c>
      <c r="BF36" s="86" t="str">
        <f>IFERROR(IF(VLOOKUP(A36,tbMoveset!A2:B112,2,FALSE)="Sever",Backdoors!AY11/100,IF(VLOOKUP(A36,tbMoveset!A2:B112,2,FALSE)="Blunt",Backdoors!AZ11/100,Backdoors!BA11/100)),"")</f>
        <v/>
      </c>
      <c r="BG36" s="49">
        <f>IFERROR(IF(VLOOKUP(tbMoveset!A36,tbMoveset!A2:H112,8,FALSE)="Other",IF(VLOOKUP(tbMoveset!A36,tbMoveset!A2:I112,9,FALSE)="Fire",Backdoors!BB11,IF(VLOOKUP(tbMoveset!A36,tbMoveset!A2:I112,9,FALSE)="Water",Backdoors!BC11,IF(VLOOKUP(tbMoveset!A36,tbMoveset!A2:I112,9,FALSE)="Thunder",Backdoors!BD11,IF(VLOOKUP(tbMoveset!A36,tbMoveset!A2:I112,9,FALSE)="Ice",Backdoors!BE11,IF(VLOOKUP(tbMoveset!A36,tbMoveset!A2:I112,9,FALSE)="Dragon",Backdoors!BF11,Backdoors!BG11)))))/100,Backdoors!BG11/100),"")</f>
        <v>0</v>
      </c>
      <c r="BH36" s="49">
        <f>IFERROR(IF(VLOOKUP(A36,tbMoveset!A2:J112,10,FALSE)=TRUE,IF((Backdoors!AI12+IF(BF36&gt;=0.45,VLOOKUP(Calculator!E23,tbSkills!DH3:DI6,2,FALSE)+IF(AND(Calculator!B8=TRUE,Backdoors!BI11=TRUE),VLOOKUP(Calculator!E23,tbSkills!DH3:DJ6,3,FALSE),0),0))&gt;=0,1+(Backdoors!AL2*(IF((Backdoors!AI12+IF(BF36&gt;=0.45,VLOOKUP(Calculator!E23,tbSkills!DH3:DI6,2,FALSE)+IF(AND(Calculator!B8=TRUE,Backdoors!BI11=TRUE),VLOOKUP(Calculator!E23,tbSkills!DH3:DJ6,3,FALSE),0),0))&gt;=100,100,(Backdoors!AI12+IF(BF36&gt;=0.45,VLOOKUP(Calculator!E23,tbSkills!DH3:DI6,2,FALSE)+IF(AND(Calculator!B8=TRUE,Backdoors!BI11=TRUE),VLOOKUP(Calculator!E23,tbSkills!DH3:DJ6,3,FALSE),0),0)))/100)),(1-(0.25*((-Backdoors!AI12-IF(BF36&gt;=0.45,VLOOKUP(Calculator!E23,tbSkills!DH3:DI6,2,FALSE)+IF(AND(Calculator!B8=TRUE,Backdoors!BI11=TRUE),VLOOKUP(Calculator!E23,tbSkills!DH3:DJ6,3,FALSE),0),0))/100)))),1),"")</f>
        <v>1</v>
      </c>
      <c r="BI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F36)*BH36)*(VLOOKUP(A36,tbMoveset!A2:C112,3,FALSE)/100)*IF(VLOOKUP(A36,tbMoveset!A2:B112,2,FALSE)="Projectile",Backdoors!N10,Backdoors!N9),0),"")</f>
        <v/>
      </c>
      <c r="BJ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F36&gt;=0.45,VLOOKUP(Calculator!E23,tbSkills!DH3:DI6,2,FALSE)+IF(AND(Calculator!B8=TRUE,Backdoors!BI11=TRUE),VLOOKUP(Calculator!E23,tbSkills!DH3:DJ6,3,FALSE),0),0))&gt;=100,100,(Backdoors!AI12+IF(BF36&gt;=0.45,VLOOKUP(Calculator!E23,tbSkills!DH3:DI6,2,FALSE)+IF(AND(Calculator!B8=TRUE,Backdoors!BI11=TRUE),VLOOKUP(Calculator!E23,tbSkills!DH3:DJ6,3,FALSE),0),0)))/100)),1))*IF(VLOOKUP(A36,tbMoveset!A2:K112,11,FALSE)=TRUE,Backdoors!AC5,1))*BG36,0),"")</f>
        <v>0</v>
      </c>
      <c r="BK36" s="49">
        <f>VLOOKUP(A36,tbMoveset!A2:G112,7,FALSE)*IFERROR(IF(Backdoors!AI12&gt;=0,1+(IF(Calculator!E40&gt;0,VLOOKUP(Calculator!E40,tbSkills!AI3:AJ5,2,FALSE),Backdoors!AL4)*(IF((Backdoors!AI12+IF(BF36&gt;=0.45,VLOOKUP(Calculator!E23,tbSkills!DH3:DI6,2,FALSE)+IF(AND(Calculator!B8=TRUE,Backdoors!BI11=TRUE),VLOOKUP(Calculator!E23,tbSkills!DH3:DJ6,3,FALSE),0),0))&gt;=100,100,(Backdoors!AI12+IF(BF36&gt;=0.45,VLOOKUP(Calculator!E23,tbSkills!DH3:DI6,2,FALSE)+IF(AND(Calculator!B8=TRUE,Backdoors!BI11=TRUE),VLOOKUP(Calculator!E23,tbSkills!DH3:DJ6,3,FALSE),0),0)))/100)),1),1)</f>
        <v>0.5</v>
      </c>
      <c r="BL36" s="87">
        <f t="shared" si="4"/>
        <v>0</v>
      </c>
      <c r="BM36" s="86" t="str">
        <f>IFERROR(IF(VLOOKUP(A36,tbMoveset!A2:B112,2,FALSE)="Sever",Backdoors!AY12/100,IF(VLOOKUP(A36,tbMoveset!A2:B112,2,FALSE)="Blunt",Backdoors!AZ12/100,Backdoors!BA12/100)),"")</f>
        <v/>
      </c>
      <c r="BN36" s="49">
        <f>IFERROR(IF(VLOOKUP(tbMoveset!A36,tbMoveset!A2:H112,8,FALSE)="Other",IF(VLOOKUP(tbMoveset!A36,tbMoveset!A2:I112,9,FALSE)="Fire",Backdoors!BB12,IF(VLOOKUP(tbMoveset!A36,tbMoveset!A2:I112,9,FALSE)="Water",Backdoors!BC12,IF(VLOOKUP(tbMoveset!A36,tbMoveset!A2:I112,9,FALSE)="Thunder",Backdoors!BD12,IF(VLOOKUP(tbMoveset!A36,tbMoveset!A2:I112,9,FALSE)="Ice",Backdoors!BE12,IF(VLOOKUP(tbMoveset!A36,tbMoveset!A2:I112,9,FALSE)="Dragon",Backdoors!BF12,Backdoors!BG12)))))/100,Backdoors!BG12/100),"")</f>
        <v>0</v>
      </c>
      <c r="BO36" s="49">
        <f>IFERROR(IF(VLOOKUP(A36,tbMoveset!A2:J112,10,FALSE)=TRUE,IF((Backdoors!AI12+IF(BM36&gt;=0.45,VLOOKUP(Calculator!E23,tbSkills!DH3:DI6,2,FALSE)+IF(AND(Calculator!B8=TRUE,Backdoors!BI12=TRUE),VLOOKUP(Calculator!E23,tbSkills!DH3:DJ6,3,FALSE),0),0))&gt;=0,1+(Backdoors!AL2*(IF((Backdoors!AI12+IF(BM36&gt;=0.45,VLOOKUP(Calculator!E23,tbSkills!DH3:DI6,2,FALSE)+IF(AND(Calculator!B8=TRUE,Backdoors!BI12=TRUE),VLOOKUP(Calculator!E23,tbSkills!DH3:DJ6,3,FALSE),0),0))&gt;=100,100,(Backdoors!AI12+IF(BM36&gt;=0.45,VLOOKUP(Calculator!E23,tbSkills!DH3:DI6,2,FALSE)+IF(AND(Calculator!B8=TRUE,Backdoors!BI12=TRUE),VLOOKUP(Calculator!E23,tbSkills!DH3:DJ6,3,FALSE),0),0)))/100)),(1-(0.25*((-Backdoors!AI12-IF(BM36&gt;=0.45,VLOOKUP(Calculator!E23,tbSkills!DH3:DI6,2,FALSE)+IF(AND(Calculator!B8=TRUE,Backdoors!BI12=TRUE),VLOOKUP(Calculator!E23,tbSkills!DH3:DJ6,3,FALSE),0),0))/100)))),1),"")</f>
        <v>1</v>
      </c>
      <c r="BP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M36)*BO36)*(VLOOKUP(A36,tbMoveset!A2:C112,3,FALSE)/100)*IF(VLOOKUP(A36,tbMoveset!A2:B112,2,FALSE)="Projectile",Backdoors!N10,Backdoors!N9),0),"")</f>
        <v/>
      </c>
      <c r="BQ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M36&gt;=0.45,VLOOKUP(Calculator!E23,tbSkills!DH3:DI6,2,FALSE)+IF(AND(Calculator!B8=TRUE,Backdoors!BI12=TRUE),VLOOKUP(Calculator!E23,tbSkills!DH3:DJ6,3,FALSE),0),0))&gt;=100,100,(Backdoors!AI12+IF(BM36&gt;=0.45,VLOOKUP(Calculator!E23,tbSkills!DH3:DI6,2,FALSE)+IF(AND(Calculator!B8=TRUE,Backdoors!BI12=TRUE),VLOOKUP(Calculator!E23,tbSkills!DH3:DJ6,3,FALSE),0),0)))/100)),1))*IF(VLOOKUP(A36,tbMoveset!A2:K112,11,FALSE)=TRUE,Backdoors!AC5,1))*BN36,0),"")</f>
        <v>0</v>
      </c>
      <c r="BR36" s="49">
        <f>VLOOKUP(A36,tbMoveset!A2:G112,7,FALSE)*IFERROR(IF(Backdoors!AI12&gt;=0,1+(IF(Calculator!E40&gt;0,VLOOKUP(Calculator!E40,tbSkills!AI3:AJ5,2,FALSE),Backdoors!AL4)*(IF((Backdoors!AI12+IF(BM36&gt;=0.45,VLOOKUP(Calculator!E23,tbSkills!DH3:DI6,2,FALSE)+IF(AND(Calculator!B8=TRUE,Backdoors!BI12=TRUE),VLOOKUP(Calculator!E23,tbSkills!DH3:DJ6,3,FALSE),0),0))&gt;=100,100,(Backdoors!AI12+IF(BM36&gt;=0.45,VLOOKUP(Calculator!E23,tbSkills!DH3:DI6,2,FALSE)+IF(AND(Calculator!B8=TRUE,Backdoors!BI12=TRUE),VLOOKUP(Calculator!E23,tbSkills!DH3:DJ6,3,FALSE),0),0)))/100)),1),1)</f>
        <v>0.5</v>
      </c>
      <c r="BS36" s="87">
        <f t="shared" si="39"/>
        <v>0</v>
      </c>
      <c r="BT36" s="86" t="str">
        <f>IFERROR(IF(VLOOKUP(A36,tbMoveset!A2:B112,2,FALSE)="Sever",Backdoors!AY13/100,IF(VLOOKUP(A36,tbMoveset!A2:B112,2,FALSE)="Blunt",Backdoors!AZ13/100,Backdoors!BA13/100)),"")</f>
        <v/>
      </c>
      <c r="BU36" s="49">
        <f>IFERROR(IF(VLOOKUP(tbMoveset!A36,tbMoveset!A2:H112,8,FALSE)="Other",IF(VLOOKUP(tbMoveset!A36,tbMoveset!A2:I112,9,FALSE)="Fire",Backdoors!BB13,IF(VLOOKUP(tbMoveset!A36,tbMoveset!A2:I112,9,FALSE)="Water",Backdoors!BC13,IF(VLOOKUP(tbMoveset!A36,tbMoveset!A2:I112,9,FALSE)="Thunder",Backdoors!BD13,IF(VLOOKUP(tbMoveset!A36,tbMoveset!A2:I112,9,FALSE)="Ice",Backdoors!BE13,IF(VLOOKUP(tbMoveset!A36,tbMoveset!A2:I112,9,FALSE)="Dragon",Backdoors!BF13,Backdoors!BG13)))))/100,Backdoors!BG13/100),"")</f>
        <v>0</v>
      </c>
      <c r="BV36" s="49">
        <f>IFERROR(IF(VLOOKUP(A36,tbMoveset!A2:J112,10,FALSE)=TRUE,IF((Backdoors!AI12+IF(BT36&gt;=0.45,VLOOKUP(Calculator!E23,tbSkills!DH3:DI6,2,FALSE)+IF(AND(Calculator!B8=TRUE,Backdoors!BI13=TRUE),VLOOKUP(Calculator!E23,tbSkills!DH3:DJ6,3,FALSE),0),0))&gt;=0,1+(Backdoors!AL2*(IF((Backdoors!AI12+IF(BT36&gt;=0.45,VLOOKUP(Calculator!E23,tbSkills!DH3:DI6,2,FALSE)+IF(AND(Calculator!B8=TRUE,Backdoors!BI13=TRUE),VLOOKUP(Calculator!E23,tbSkills!DH3:DJ6,3,FALSE),0),0))&gt;=100,100,(Backdoors!AI12+IF(BT36&gt;=0.45,VLOOKUP(Calculator!E23,tbSkills!DH3:DI6,2,FALSE)+IF(AND(Calculator!B8=TRUE,Backdoors!BI13=TRUE),VLOOKUP(Calculator!E23,tbSkills!DH3:DJ6,3,FALSE),0),0)))/100)),(1-(0.25*((-Backdoors!AI12-IF(BT36&gt;=0.45,VLOOKUP(Calculator!E23,tbSkills!DH3:DI6,2,FALSE)+IF(AND(Calculator!B8=TRUE,Backdoors!BI13=TRUE),VLOOKUP(Calculator!E23,tbSkills!DH3:DJ6,3,FALSE),0),0))/100)))),1),"")</f>
        <v>1</v>
      </c>
      <c r="BW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T36)*BV36)*(VLOOKUP(A36,tbMoveset!A2:C112,3,FALSE)/100)*IF(VLOOKUP(A36,tbMoveset!A2:B112,2,FALSE)="Projectile",Backdoors!N10,Backdoors!N9),0),"")</f>
        <v/>
      </c>
      <c r="BX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T36&gt;=0.45,VLOOKUP(Calculator!E23,tbSkills!DH3:DI6,2,FALSE)+IF(AND(Calculator!B8=TRUE,Backdoors!BI13=TRUE),VLOOKUP(Calculator!E23,tbSkills!DH3:DJ6,3,FALSE),0),0))&gt;=100,100,(Backdoors!AI12+IF(BT36&gt;=0.45,VLOOKUP(Calculator!E23,tbSkills!DH3:DI6,2,FALSE)+IF(AND(Calculator!B8=TRUE,Backdoors!BI13=TRUE),VLOOKUP(Calculator!E23,tbSkills!DH3:DJ6,3,FALSE),0),0)))/100)),1))*IF(VLOOKUP(A36,tbMoveset!A2:K112,11,FALSE)=TRUE,Backdoors!AC5,1))*BU36,0),"")</f>
        <v>0</v>
      </c>
      <c r="BY36" s="49">
        <f>VLOOKUP(A36,tbMoveset!A2:G112,7,FALSE)*IFERROR(IF(Backdoors!AI12&gt;=0,1+(IF(Calculator!E40&gt;0,VLOOKUP(Calculator!E40,tbSkills!AI3:AJ5,2,FALSE),Backdoors!AL4)*(IF((Backdoors!AI12+IF(BT36&gt;=0.45,VLOOKUP(Calculator!E23,tbSkills!DH3:DI6,2,FALSE)+IF(AND(Calculator!B8=TRUE,Backdoors!BI13=TRUE),VLOOKUP(Calculator!E23,tbSkills!DH3:DJ6,3,FALSE),0),0))&gt;=100,100,(Backdoors!AI12+IF(BT36&gt;=0.45,VLOOKUP(Calculator!E23,tbSkills!DH3:DI6,2,FALSE)+IF(AND(Calculator!B8=TRUE,Backdoors!BI13=TRUE),VLOOKUP(Calculator!E23,tbSkills!DH3:DJ6,3,FALSE),0),0)))/100)),1),1)</f>
        <v>0.5</v>
      </c>
      <c r="BZ36" s="87">
        <f t="shared" si="5"/>
        <v>0</v>
      </c>
      <c r="CA36" s="86" t="str">
        <f>IFERROR(IF(VLOOKUP(A36,tbMoveset!A2:B112,2,FALSE)="Sever",Backdoors!AY14/100,IF(VLOOKUP(A36,tbMoveset!A2:B112,2,FALSE)="Blunt",Backdoors!AZ14/100,Backdoors!BA14/100)),"")</f>
        <v/>
      </c>
      <c r="CB36" s="49">
        <f>IFERROR(IF(VLOOKUP(tbMoveset!A36,tbMoveset!A2:H112,8,FALSE)="Other",IF(VLOOKUP(tbMoveset!A36,tbMoveset!A2:I112,9,FALSE)="Fire",Backdoors!BB14,IF(VLOOKUP(tbMoveset!A36,tbMoveset!A2:I112,9,FALSE)="Water",Backdoors!BC14,IF(VLOOKUP(tbMoveset!A36,tbMoveset!A2:I112,9,FALSE)="Thunder",Backdoors!BD14,IF(VLOOKUP(tbMoveset!A36,tbMoveset!A2:I112,9,FALSE)="Ice",Backdoors!BE14,IF(VLOOKUP(tbMoveset!A36,tbMoveset!A2:I112,9,FALSE)="Dragon",Backdoors!BF14,Backdoors!BG14)))))/100,Backdoors!BG14/100),"")</f>
        <v>0</v>
      </c>
      <c r="CC36" s="49">
        <f>IFERROR(IF(VLOOKUP(A36,tbMoveset!A2:J112,10,FALSE)=TRUE,IF((Backdoors!AI12+IF(CA36&gt;=0.45,VLOOKUP(Calculator!E23,tbSkills!DH3:DI6,2,FALSE)+IF(AND(Calculator!B8=TRUE,Backdoors!BI14=TRUE),VLOOKUP(Calculator!E23,tbSkills!DH3:DJ6,3,FALSE),0),0))&gt;=0,1+(Backdoors!AL2*(IF((Backdoors!AI12+IF(CA36&gt;=0.45,VLOOKUP(Calculator!E23,tbSkills!DH3:DI6,2,FALSE)+IF(AND(Calculator!B8=TRUE,Backdoors!BI14=TRUE),VLOOKUP(Calculator!E23,tbSkills!DH3:DJ6,3,FALSE),0),0))&gt;=100,100,(Backdoors!AI12+IF(CA36&gt;=0.45,VLOOKUP(Calculator!E23,tbSkills!DH3:DI6,2,FALSE)+IF(AND(Calculator!B8=TRUE,Backdoors!BI14=TRUE),VLOOKUP(Calculator!E23,tbSkills!DH3:DJ6,3,FALSE),0),0)))/100)),(1-(0.25*((-Backdoors!AI12-IF(CA36&gt;=0.45,VLOOKUP(Calculator!E23,tbSkills!DH3:DI6,2,FALSE)+IF(AND(Calculator!B8=TRUE,Backdoors!BI14=TRUE),VLOOKUP(Calculator!E23,tbSkills!DH3:DJ6,3,FALSE),0),0))/100)))),1),"")</f>
        <v>1</v>
      </c>
      <c r="CD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A36)*CC36)*(VLOOKUP(A36,tbMoveset!A2:C112,3,FALSE)/100)*IF(VLOOKUP(A36,tbMoveset!A2:B112,2,FALSE)="Projectile",Backdoors!N10,Backdoors!N9),0),"")</f>
        <v/>
      </c>
      <c r="CE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A36&gt;=0.45,VLOOKUP(Calculator!E23,tbSkills!DH3:DI6,2,FALSE)+IF(AND(Calculator!B8=TRUE,Backdoors!BI14=TRUE),VLOOKUP(Calculator!E23,tbSkills!DH3:DJ6,3,FALSE),0),0))&gt;=100,100,(Backdoors!AI12+IF(CA36&gt;=0.45,VLOOKUP(Calculator!E23,tbSkills!DH3:DI6,2,FALSE)+IF(AND(Calculator!B8=TRUE,Backdoors!BI14=TRUE),VLOOKUP(Calculator!E23,tbSkills!DH3:DJ6,3,FALSE),0),0)))/100)),1))*IF(VLOOKUP(A36,tbMoveset!A2:K112,11,FALSE)=TRUE,Backdoors!AC5,1))*CB36,0),"")</f>
        <v>0</v>
      </c>
      <c r="CF36" s="49">
        <f>VLOOKUP(A36,tbMoveset!A2:G112,7,FALSE)*IFERROR(IF(Backdoors!AI12&gt;=0,1+(IF(Calculator!E40&gt;0,VLOOKUP(Calculator!E40,tbSkills!AI3:AJ5,2,FALSE),Backdoors!AL4)*(IF((Backdoors!AI12+IF(CA36&gt;=0.45,VLOOKUP(Calculator!E23,tbSkills!DH3:DI6,2,FALSE)+IF(AND(Calculator!B8=TRUE,Backdoors!BI14=TRUE),VLOOKUP(Calculator!E23,tbSkills!DH3:DJ6,3,FALSE),0),0))&gt;=100,100,(Backdoors!AI12+IF(CA36&gt;=0.45,VLOOKUP(Calculator!E23,tbSkills!DH3:DI6,2,FALSE)+IF(AND(Calculator!B8=TRUE,Backdoors!BI14=TRUE),VLOOKUP(Calculator!E23,tbSkills!DH3:DJ6,3,FALSE),0),0)))/100)),1),1)</f>
        <v>0.5</v>
      </c>
      <c r="CG36" s="87">
        <f t="shared" si="6"/>
        <v>0</v>
      </c>
      <c r="CH36" s="86" t="str">
        <f>IFERROR(IF(VLOOKUP(A36,tbMoveset!A2:B112,2,FALSE)="Sever",Backdoors!AY15/100,IF(VLOOKUP(A36,tbMoveset!A2:B112,2,FALSE)="Blunt",Backdoors!AZ15/100,Backdoors!BA15/100)),"")</f>
        <v/>
      </c>
      <c r="CI36" s="49">
        <f>IFERROR(IF(VLOOKUP(tbMoveset!A36,tbMoveset!A2:H112,8,FALSE)="Other",IF(VLOOKUP(tbMoveset!A36,tbMoveset!A2:I112,9,FALSE)="Fire",Backdoors!BB15,IF(VLOOKUP(tbMoveset!A36,tbMoveset!A2:I112,9,FALSE)="Water",Backdoors!BC15,IF(VLOOKUP(tbMoveset!A36,tbMoveset!A2:I112,9,FALSE)="Thunder",Backdoors!BD15,IF(VLOOKUP(tbMoveset!A36,tbMoveset!A2:I112,9,FALSE)="Ice",Backdoors!BE15,IF(VLOOKUP(tbMoveset!A36,tbMoveset!A2:I112,9,FALSE)="Dragon",Backdoors!BF15,Backdoors!BG15)))))/100,Backdoors!BG15/100),"")</f>
        <v>0</v>
      </c>
      <c r="CJ36" s="49">
        <f>IFERROR(IF(VLOOKUP(A36,tbMoveset!A2:J112,10,FALSE)=TRUE,IF((Backdoors!AI12+IF(CH36&gt;=0.45,VLOOKUP(Calculator!E23,tbSkills!DH3:DI6,2,FALSE)+IF(AND(Calculator!B8=TRUE,Backdoors!BI15=TRUE),VLOOKUP(Calculator!E23,tbSkills!DH3:DJ6,3,FALSE),0),0))&gt;=0,1+(Backdoors!AL2*(IF((Backdoors!AI12+IF(CH36&gt;=0.45,VLOOKUP(Calculator!E23,tbSkills!DH3:DI6,2,FALSE)+IF(AND(Calculator!B8=TRUE,Backdoors!BI15=TRUE),VLOOKUP(Calculator!E23,tbSkills!DH3:DJ6,3,FALSE),0),0))&gt;=100,100,(Backdoors!AI12+IF(CH36&gt;=0.45,VLOOKUP(Calculator!E23,tbSkills!DH3:DI6,2,FALSE)+IF(AND(Calculator!B8=TRUE,Backdoors!BI15=TRUE),VLOOKUP(Calculator!E23,tbSkills!DH3:DJ6,3,FALSE),0),0)))/100)),(1-(0.25*((-Backdoors!AI12-IF(CH36&gt;=0.45,VLOOKUP(Calculator!E23,tbSkills!DH3:DI6,2,FALSE)+IF(AND(Calculator!B8=TRUE,Backdoors!BI15=TRUE),VLOOKUP(Calculator!E23,tbSkills!DH3:DJ6,3,FALSE),0),0))/100)))),1),"")</f>
        <v>1</v>
      </c>
      <c r="CK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H36)*CJ36)*(VLOOKUP(A36,tbMoveset!A2:C112,3,FALSE)/100)*IF(VLOOKUP(A36,tbMoveset!A2:B112,2,FALSE)="Projectile",Backdoors!N10,Backdoors!N9),0),"")</f>
        <v/>
      </c>
      <c r="CL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H36&gt;=0.45,VLOOKUP(Calculator!E23,tbSkills!DH3:DI6,2,FALSE)+IF(AND(Calculator!B8=TRUE,Backdoors!BI15=TRUE),VLOOKUP(Calculator!E23,tbSkills!DH3:DJ6,3,FALSE),0),0))&gt;=100,100,(Backdoors!AI12+IF(CH36&gt;=0.45,VLOOKUP(Calculator!E23,tbSkills!DH3:DI6,2,FALSE)+IF(AND(Calculator!B8=TRUE,Backdoors!BI15=TRUE),VLOOKUP(Calculator!E23,tbSkills!DH3:DJ6,3,FALSE),0),0)))/100)),1))*IF(VLOOKUP(A36,tbMoveset!A2:K112,11,FALSE)=TRUE,Backdoors!AC5,1))*CI36,0),"")</f>
        <v>0</v>
      </c>
      <c r="CM36" s="49">
        <f>VLOOKUP(A36,tbMoveset!A2:G112,7,FALSE)*IFERROR(IF(Backdoors!AI12&gt;=0,1+(IF(Calculator!E40&gt;0,VLOOKUP(Calculator!E40,tbSkills!AI3:AJ5,2,FALSE),Backdoors!AL4)*(IF((Backdoors!AI12+IF(CH36&gt;=0.45,VLOOKUP(Calculator!E23,tbSkills!DH3:DI6,2,FALSE)+IF(AND(Calculator!B8=TRUE,Backdoors!BI15=TRUE),VLOOKUP(Calculator!E23,tbSkills!DH3:DJ6,3,FALSE),0),0))&gt;=100,100,(Backdoors!AI12+IF(CH36&gt;=0.45,VLOOKUP(Calculator!E23,tbSkills!DH3:DI6,2,FALSE)+IF(AND(Calculator!B8=TRUE,Backdoors!BI15=TRUE),VLOOKUP(Calculator!E23,tbSkills!DH3:DJ6,3,FALSE),0),0)))/100)),1),1)</f>
        <v>0.5</v>
      </c>
      <c r="CN36" s="87">
        <f t="shared" si="7"/>
        <v>0</v>
      </c>
      <c r="CO36" s="86" t="str">
        <f>IFERROR(IF(VLOOKUP(A36,tbMoveset!A2:B112,2,FALSE)="Sever",Backdoors!AY16/100,IF(VLOOKUP(A36,tbMoveset!A2:B112,2,FALSE)="Blunt",Backdoors!AZ16/100,Backdoors!BA16/100)),"")</f>
        <v/>
      </c>
      <c r="CP36" s="49">
        <f>IFERROR(IF(VLOOKUP(tbMoveset!A36,tbMoveset!A2:H112,8,FALSE)="Other",IF(VLOOKUP(tbMoveset!A36,tbMoveset!A2:I112,9,FALSE)="Fire",Backdoors!BB16,IF(VLOOKUP(tbMoveset!A36,tbMoveset!A2:I112,9,FALSE)="Water",Backdoors!BC16,IF(VLOOKUP(tbMoveset!A36,tbMoveset!A2:I112,9,FALSE)="Thunder",Backdoors!BD16,IF(VLOOKUP(tbMoveset!A36,tbMoveset!A2:I112,9,FALSE)="Ice",Backdoors!BE16,IF(VLOOKUP(tbMoveset!A36,tbMoveset!A2:I112,9,FALSE)="Dragon",Backdoors!BF16,Backdoors!BG16)))))/100,Backdoors!BG16/100),"")</f>
        <v>0</v>
      </c>
      <c r="CQ36" s="49">
        <f>IFERROR(IF(VLOOKUP(A36,tbMoveset!A2:J112,10,FALSE)=TRUE,IF((Backdoors!AI12+IF(CO36&gt;=0.45,VLOOKUP(Calculator!E23,tbSkills!DH3:DI6,2,FALSE)+IF(AND(Calculator!B8=TRUE,Backdoors!BI16=TRUE),VLOOKUP(Calculator!E23,tbSkills!DH3:DJ6,3,FALSE),0),0))&gt;=0,1+(Backdoors!AL2*(IF((Backdoors!AI12+IF(CO36&gt;=0.45,VLOOKUP(Calculator!E23,tbSkills!DH3:DI6,2,FALSE)+IF(AND(Calculator!B8=TRUE,Backdoors!BI16=TRUE),VLOOKUP(Calculator!E23,tbSkills!DH3:DJ6,3,FALSE),0),0))&gt;=100,100,(Backdoors!AI12+IF(CO36&gt;=0.45,VLOOKUP(Calculator!E23,tbSkills!DH3:DI6,2,FALSE)+IF(AND(Calculator!B8=TRUE,Backdoors!BI16=TRUE),VLOOKUP(Calculator!E23,tbSkills!DH3:DJ6,3,FALSE),0),0)))/100)),(1-(0.25*((-Backdoors!AI12-IF(CO36&gt;=0.45,VLOOKUP(Calculator!E23,tbSkills!DH3:DI6,2,FALSE)+IF(AND(Calculator!B8=TRUE,Backdoors!BI16=TRUE),VLOOKUP(Calculator!E23,tbSkills!DH3:DJ6,3,FALSE),0),0))/100)))),1),"")</f>
        <v>1</v>
      </c>
      <c r="CR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O36)*CQ36)*(VLOOKUP(A36,tbMoveset!A2:C112,3,FALSE)/100)*IF(VLOOKUP(A36,tbMoveset!A2:B112,2,FALSE)="Projectile",Backdoors!N10,Backdoors!N9),0),"")</f>
        <v/>
      </c>
      <c r="CS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O36&gt;=0.45,VLOOKUP(Calculator!E23,tbSkills!DH3:DI6,2,FALSE)+IF(AND(Calculator!B8=TRUE,Backdoors!BI16=TRUE),VLOOKUP(Calculator!E23,tbSkills!DH3:DJ6,3,FALSE),0),0))&gt;=100,100,(Backdoors!AI12+IF(CO36&gt;=0.45,VLOOKUP(Calculator!E23,tbSkills!DH3:DI6,2,FALSE)+IF(AND(Calculator!B8=TRUE,Backdoors!BI16=TRUE),VLOOKUP(Calculator!E23,tbSkills!DH3:DJ6,3,FALSE),0),0)))/100)),1))*IF(VLOOKUP(A36,tbMoveset!A2:K112,11,FALSE)=TRUE,Backdoors!AC5,1))*CP36,0),"")</f>
        <v>0</v>
      </c>
      <c r="CT36" s="49">
        <f>VLOOKUP(A36,tbMoveset!A2:G112,7,FALSE)*IFERROR(IF(Backdoors!AI12&gt;=0,1+(IF(Calculator!E40&gt;0,VLOOKUP(Calculator!E40,tbSkills!AI3:AJ5,2,FALSE),Backdoors!AL4)*(IF((Backdoors!AI12+IF(CO36&gt;=0.45,VLOOKUP(Calculator!E23,tbSkills!DH3:DI6,2,FALSE)+IF(AND(Calculator!B8=TRUE,Backdoors!BI16=TRUE),VLOOKUP(Calculator!E23,tbSkills!DH3:DJ6,3,FALSE),0),0))&gt;=100,100,(Backdoors!AI12+IF(CO36&gt;=0.45,VLOOKUP(Calculator!E23,tbSkills!DH3:DI6,2,FALSE)+IF(AND(Calculator!B8=TRUE,Backdoors!BI16=TRUE),VLOOKUP(Calculator!E23,tbSkills!DH3:DJ6,3,FALSE),0),0)))/100)),1),1)</f>
        <v>0.5</v>
      </c>
      <c r="CU36" s="87">
        <f t="shared" si="40"/>
        <v>0</v>
      </c>
      <c r="CV36" s="86" t="str">
        <f>IFERROR(IF(VLOOKUP(A36,tbMoveset!A2:B112,2,FALSE)="Sever",Backdoors!AY17/100,IF(VLOOKUP(A36,tbMoveset!A2:B112,2,FALSE)="Blunt",Backdoors!AZ17/100,Backdoors!BA17/100)),"")</f>
        <v/>
      </c>
      <c r="CW36" s="49">
        <f>IFERROR(IF(VLOOKUP(tbMoveset!A36,tbMoveset!A2:H112,8,FALSE)="Other",IF(VLOOKUP(tbMoveset!A36,tbMoveset!A2:I112,9,FALSE)="Fire",Backdoors!BB17,IF(VLOOKUP(tbMoveset!A36,tbMoveset!A2:I112,9,FALSE)="Water",Backdoors!BC17,IF(VLOOKUP(tbMoveset!A36,tbMoveset!A2:I112,9,FALSE)="Thunder",Backdoors!BD17,IF(VLOOKUP(tbMoveset!A36,tbMoveset!A2:I112,9,FALSE)="Ice",Backdoors!BE17,IF(VLOOKUP(tbMoveset!A36,tbMoveset!A2:I112,9,FALSE)="Dragon",Backdoors!BF17,Backdoors!BG17)))))/100,Backdoors!BG17/100),"")</f>
        <v>0</v>
      </c>
      <c r="CX36" s="49">
        <f>IFERROR(IF(VLOOKUP(A36,tbMoveset!A2:J112,10,FALSE)=TRUE,IF((Backdoors!AI12+IF(CV36&gt;=0.45,VLOOKUP(Calculator!E23,tbSkills!DH3:DI6,2,FALSE)+IF(AND(Calculator!B8=TRUE,Backdoors!BI17=TRUE),VLOOKUP(Calculator!E23,tbSkills!DH3:DJ6,3,FALSE),0),0))&gt;=0,1+(Backdoors!AL2*(IF((Backdoors!AI12+IF(CV36&gt;=0.45,VLOOKUP(Calculator!E23,tbSkills!DH3:DI6,2,FALSE)+IF(AND(Calculator!B8=TRUE,Backdoors!BI17=TRUE),VLOOKUP(Calculator!E23,tbSkills!DH3:DJ6,3,FALSE),0),0))&gt;=100,100,(Backdoors!AI12+IF(CV36&gt;=0.45,VLOOKUP(Calculator!E23,tbSkills!DH3:DI6,2,FALSE)+IF(AND(Calculator!B8=TRUE,Backdoors!BI17=TRUE),VLOOKUP(Calculator!E23,tbSkills!DH3:DJ6,3,FALSE),0),0)))/100)),(1-(0.25*((-Backdoors!AI12-IF(CV36&gt;=0.45,VLOOKUP(Calculator!E23,tbSkills!DH3:DI6,2,FALSE)+IF(AND(Calculator!B8=TRUE,Backdoors!BI17=TRUE),VLOOKUP(Calculator!E23,tbSkills!DH3:DJ6,3,FALSE),0),0))/100)))),1),"")</f>
        <v>1</v>
      </c>
      <c r="CY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V36)*CX36)*(VLOOKUP(A36,tbMoveset!A2:C112,3,FALSE)/100)*IF(VLOOKUP(A36,tbMoveset!A2:B112,2,FALSE)="Projectile",Backdoors!N10,Backdoors!N9),0),"")</f>
        <v/>
      </c>
      <c r="CZ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V36&gt;=0.45,VLOOKUP(Calculator!E23,tbSkills!DH3:DI6,2,FALSE)+IF(AND(Calculator!B8=TRUE,Backdoors!BI17=TRUE),VLOOKUP(Calculator!E23,tbSkills!DH3:DJ6,3,FALSE),0),0))&gt;=100,100,(Backdoors!AI12+IF(CV36&gt;=0.45,VLOOKUP(Calculator!E23,tbSkills!DH3:DI6,2,FALSE)+IF(AND(Calculator!B8=TRUE,Backdoors!BI17=TRUE),VLOOKUP(Calculator!E23,tbSkills!DH3:DJ6,3,FALSE),0),0)))/100)),1))*IF(VLOOKUP(A36,tbMoveset!A2:K112,11,FALSE)=TRUE,Backdoors!AC5,1))*CW36,0),"")</f>
        <v>0</v>
      </c>
      <c r="DA36" s="49">
        <f>VLOOKUP(A36,tbMoveset!A2:G112,7,FALSE)*IFERROR(IF(Backdoors!AI12&gt;=0,1+(IF(Calculator!E40&gt;0,VLOOKUP(Calculator!E40,tbSkills!AI3:AJ5,2,FALSE),Backdoors!AL4)*(IF((Backdoors!AI12+IF(CV36&gt;=0.45,VLOOKUP(Calculator!E23,tbSkills!DH3:DI6,2,FALSE)+IF(AND(Calculator!B8=TRUE,Backdoors!BI17=TRUE),VLOOKUP(Calculator!E23,tbSkills!DH3:DJ6,3,FALSE),0),0))&gt;=100,100,(Backdoors!AI12+IF(CV36&gt;=0.45,VLOOKUP(Calculator!E23,tbSkills!DH3:DI6,2,FALSE)+IF(AND(Calculator!B8=TRUE,Backdoors!BI17=TRUE),VLOOKUP(Calculator!E23,tbSkills!DH3:DJ6,3,FALSE),0),0)))/100)),1),1)</f>
        <v>0.5</v>
      </c>
      <c r="DB36" s="87">
        <f t="shared" si="8"/>
        <v>0</v>
      </c>
      <c r="DC36" s="86" t="str">
        <f>IFERROR(IF(VLOOKUP(A36,tbMoveset!A2:B112,2,FALSE)="Sever",Backdoors!AY18/100,IF(VLOOKUP(A36,tbMoveset!A2:B112,2,FALSE)="Blunt",Backdoors!AZ18/100,Backdoors!BA18/100)),"")</f>
        <v/>
      </c>
      <c r="DD36" s="49">
        <f>IFERROR(IF(VLOOKUP(tbMoveset!A36,tbMoveset!A2:H112,8,FALSE)="Other",IF(VLOOKUP(tbMoveset!A36,tbMoveset!A2:I112,9,FALSE)="Fire",Backdoors!BB18,IF(VLOOKUP(tbMoveset!A36,tbMoveset!A2:I112,9,FALSE)="Water",Backdoors!BC18,IF(VLOOKUP(tbMoveset!A36,tbMoveset!A2:I112,9,FALSE)="Thunder",Backdoors!BD18,IF(VLOOKUP(tbMoveset!A36,tbMoveset!A2:I112,9,FALSE)="Ice",Backdoors!BE18,IF(VLOOKUP(tbMoveset!A36,tbMoveset!A2:I112,9,FALSE)="Dragon",Backdoors!BF18,Backdoors!BG18)))))/100,Backdoors!BG18/100),"")</f>
        <v>0</v>
      </c>
      <c r="DE36" s="49">
        <f>IFERROR(IF(VLOOKUP(A36,tbMoveset!A2:J112,10,FALSE)=TRUE,IF((Backdoors!AI12+IF(DC36&gt;=0.45,VLOOKUP(Calculator!E23,tbSkills!DH3:DI6,2,FALSE)+IF(AND(Calculator!B8=TRUE,Backdoors!BI18=TRUE),VLOOKUP(Calculator!E23,tbSkills!DH3:DJ6,3,FALSE),0),0))&gt;=0,1+(Backdoors!AL2*(IF((Backdoors!AI12+IF(DC36&gt;=0.45,VLOOKUP(Calculator!E23,tbSkills!DH3:DI6,2,FALSE)+IF(AND(Calculator!B8=TRUE,Backdoors!BI18=TRUE),VLOOKUP(Calculator!E23,tbSkills!DH3:DJ6,3,FALSE),0),0))&gt;=100,100,(Backdoors!AI12+IF(DC36&gt;=0.45,VLOOKUP(Calculator!E23,tbSkills!DH3:DI6,2,FALSE)+IF(AND(Calculator!B8=TRUE,Backdoors!BI18=TRUE),VLOOKUP(Calculator!E23,tbSkills!DH3:DJ6,3,FALSE),0),0)))/100)),(1-(0.25*((-Backdoors!AI12-IF(DC36&gt;=0.45,VLOOKUP(Calculator!E23,tbSkills!DH3:DI6,2,FALSE)+IF(AND(Calculator!B8=TRUE,Backdoors!BI18=TRUE),VLOOKUP(Calculator!E23,tbSkills!DH3:DJ6,3,FALSE),0),0))/100)))),1),"")</f>
        <v>1</v>
      </c>
      <c r="DF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C36)*DE36)*(VLOOKUP(A36,tbMoveset!A2:C112,3,FALSE)/100)*IF(VLOOKUP(A36,tbMoveset!A2:B112,2,FALSE)="Projectile",Backdoors!N10,Backdoors!N9),0),"")</f>
        <v/>
      </c>
      <c r="DG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C36&gt;=0.45,VLOOKUP(Calculator!E23,tbSkills!DH3:DI6,2,FALSE)+IF(AND(Calculator!B8=TRUE,Backdoors!BI18=TRUE),VLOOKUP(Calculator!E23,tbSkills!DH3:DJ6,3,FALSE),0),0))&gt;=100,100,(Backdoors!AI12+IF(DC36&gt;=0.45,VLOOKUP(Calculator!E23,tbSkills!DH3:DI6,2,FALSE)+IF(AND(Calculator!B8=TRUE,Backdoors!BI18=TRUE),VLOOKUP(Calculator!E23,tbSkills!DH3:DJ6,3,FALSE),0),0)))/100)),1))*IF(VLOOKUP(A36,tbMoveset!A2:K112,11,FALSE)=TRUE,Backdoors!AC5,1))*DD36,0),"")</f>
        <v>0</v>
      </c>
      <c r="DH36" s="49">
        <f>VLOOKUP(A36,tbMoveset!A2:G112,7,FALSE)*IFERROR(IF(Backdoors!AI12&gt;=0,1+(IF(Calculator!E40&gt;0,VLOOKUP(Calculator!E40,tbSkills!AI3:AJ5,2,FALSE),Backdoors!AL4)*(IF((Backdoors!AI12+IF(DC36&gt;=0.45,VLOOKUP(Calculator!E23,tbSkills!DH3:DI6,2,FALSE)+IF(AND(Calculator!B8=TRUE,Backdoors!BI18=TRUE),VLOOKUP(Calculator!E23,tbSkills!DH3:DJ6,3,FALSE),0),0))&gt;=100,100,(Backdoors!AI12+IF(DC36&gt;=0.45,VLOOKUP(Calculator!E23,tbSkills!DH3:DI6,2,FALSE)+IF(AND(Calculator!B8=TRUE,Backdoors!BI18=TRUE),VLOOKUP(Calculator!E23,tbSkills!DH3:DJ6,3,FALSE),0),0)))/100)),1),1)</f>
        <v>0.5</v>
      </c>
      <c r="DI36" s="87">
        <f t="shared" si="9"/>
        <v>0</v>
      </c>
      <c r="DJ36" s="86" t="str">
        <f>IFERROR(IF(VLOOKUP(A36,tbMoveset!A2:B112,2,FALSE)="Sever",Backdoors!AY19/100,IF(VLOOKUP(A36,tbMoveset!A2:B112,2,FALSE)="Blunt",Backdoors!AZ19/100,Backdoors!BA19/100)),"")</f>
        <v/>
      </c>
      <c r="DK36" s="49">
        <f>IFERROR(IF(VLOOKUP(tbMoveset!A36,tbMoveset!A2:H112,8,FALSE)="Other",IF(VLOOKUP(tbMoveset!A36,tbMoveset!A2:I112,9,FALSE)="Fire",Backdoors!BB19,IF(VLOOKUP(tbMoveset!A36,tbMoveset!A2:I112,9,FALSE)="Water",Backdoors!BC19,IF(VLOOKUP(tbMoveset!A36,tbMoveset!A2:I112,9,FALSE)="Thunder",Backdoors!BD19,IF(VLOOKUP(tbMoveset!A36,tbMoveset!A2:I112,9,FALSE)="Ice",Backdoors!BE19,IF(VLOOKUP(tbMoveset!A36,tbMoveset!A2:I112,9,FALSE)="Dragon",Backdoors!BF19,Backdoors!BG19)))))/100,Backdoors!BG19/100),"")</f>
        <v>0</v>
      </c>
      <c r="DL36" s="49">
        <f>IFERROR(IF(VLOOKUP(A36,tbMoveset!A2:J112,10,FALSE)=TRUE,IF((Backdoors!AI12+IF(DJ36&gt;=0.45,VLOOKUP(Calculator!E23,tbSkills!DH3:DI6,2,FALSE)+IF(AND(Calculator!B8=TRUE,Backdoors!BI19=TRUE),VLOOKUP(Calculator!E23,tbSkills!DH3:DJ6,3,FALSE),0),0))&gt;=0,1+(Backdoors!AL2*(IF((Backdoors!AI12+IF(DJ36&gt;=0.45,VLOOKUP(Calculator!E23,tbSkills!DH3:DI6,2,FALSE)+IF(AND(Calculator!B8=TRUE,Backdoors!BI19=TRUE),VLOOKUP(Calculator!E23,tbSkills!DH3:DJ6,3,FALSE),0),0))&gt;=100,100,(Backdoors!AI12+IF(DJ36&gt;=0.45,VLOOKUP(Calculator!E23,tbSkills!DH3:DI6,2,FALSE)+IF(AND(Calculator!B8=TRUE,Backdoors!BI19=TRUE),VLOOKUP(Calculator!E23,tbSkills!DH3:DJ6,3,FALSE),0),0)))/100)),(1-(0.25*((-Backdoors!AI12-IF(DJ36&gt;=0.45,VLOOKUP(Calculator!E23,tbSkills!DH3:DI6,2,FALSE)+IF(AND(Calculator!B8=TRUE,Backdoors!BI19=TRUE),VLOOKUP(Calculator!E23,tbSkills!DH3:DJ6,3,FALSE),0),0))/100)))),1),"")</f>
        <v>1</v>
      </c>
      <c r="DM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J36)*DL36)*(VLOOKUP(A36,tbMoveset!A2:C112,3,FALSE)/100)*IF(VLOOKUP(A36,tbMoveset!A2:B112,2,FALSE)="Projectile",Backdoors!N10,Backdoors!N9),0),"")</f>
        <v/>
      </c>
      <c r="DN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J36&gt;=0.45,VLOOKUP(Calculator!E23,tbSkills!DH3:DI6,2,FALSE)+IF(AND(Calculator!B8=TRUE,Backdoors!BI19=TRUE),VLOOKUP(Calculator!E23,tbSkills!DH3:DJ6,3,FALSE),0),0))&gt;=100,100,(Backdoors!AI12+IF(DJ36&gt;=0.45,VLOOKUP(Calculator!E23,tbSkills!DH3:DI6,2,FALSE)+IF(AND(Calculator!B8=TRUE,Backdoors!BI19=TRUE),VLOOKUP(Calculator!E23,tbSkills!DH3:DJ6,3,FALSE),0),0)))/100)),1))*IF(VLOOKUP(A36,tbMoveset!A2:K112,11,FALSE)=TRUE,Backdoors!AC5,1))*DK36,0),"")</f>
        <v>0</v>
      </c>
      <c r="DO36" s="49">
        <f>VLOOKUP(A36,tbMoveset!A2:G112,7,FALSE)*IFERROR(IF(Backdoors!AI12&gt;=0,1+(IF(Calculator!E40&gt;0,VLOOKUP(Calculator!E40,tbSkills!AI3:AJ5,2,FALSE),Backdoors!AL4)*(IF((Backdoors!AI12+IF(DJ36&gt;=0.45,VLOOKUP(Calculator!E23,tbSkills!DH3:DI6,2,FALSE)+IF(AND(Calculator!B8=TRUE,Backdoors!BI19=TRUE),VLOOKUP(Calculator!E23,tbSkills!DH3:DJ6,3,FALSE),0),0))&gt;=100,100,(Backdoors!AI12+IF(DJ36&gt;=0.45,VLOOKUP(Calculator!E23,tbSkills!DH3:DI6,2,FALSE)+IF(AND(Calculator!B8=TRUE,Backdoors!BI19=TRUE),VLOOKUP(Calculator!E23,tbSkills!DH3:DJ6,3,FALSE),0),0)))/100)),1),1)</f>
        <v>0.5</v>
      </c>
      <c r="DP36" s="87">
        <f t="shared" si="41"/>
        <v>0</v>
      </c>
      <c r="DQ36" s="86" t="str">
        <f>IFERROR(IF(VLOOKUP(A36,tbMoveset!A2:B112,2,FALSE)="Sever",Backdoors!AY20/100,IF(VLOOKUP(A36,tbMoveset!A2:B112,2,FALSE)="Blunt",Backdoors!AZ20/100,Backdoors!BA20/100)),"")</f>
        <v/>
      </c>
      <c r="DR36" s="49">
        <f>IFERROR(IF(VLOOKUP(tbMoveset!A36,tbMoveset!A2:H112,8,FALSE)="Other",IF(VLOOKUP(tbMoveset!A36,tbMoveset!A2:I112,9,FALSE)="Fire",Backdoors!BB20,IF(VLOOKUP(tbMoveset!A36,tbMoveset!A2:I112,9,FALSE)="Water",Backdoors!BC20,IF(VLOOKUP(tbMoveset!A36,tbMoveset!A2:I112,9,FALSE)="Thunder",Backdoors!BD20,IF(VLOOKUP(tbMoveset!A36,tbMoveset!A2:I112,9,FALSE)="Ice",Backdoors!BE20,IF(VLOOKUP(tbMoveset!A36,tbMoveset!A2:I112,9,FALSE)="Dragon",Backdoors!BF20,Backdoors!BG20)))))/100,Backdoors!BG20/100),"")</f>
        <v>0</v>
      </c>
      <c r="DS36" s="49">
        <f>IFERROR(IF(VLOOKUP(A36,tbMoveset!A2:J112,10,FALSE)=TRUE,IF((Backdoors!AI12+IF(DQ36&gt;=0.45,VLOOKUP(Calculator!E23,tbSkills!DH3:DI6,2,FALSE)+IF(AND(Calculator!B8=TRUE,Backdoors!BI20=TRUE),VLOOKUP(Calculator!E23,tbSkills!DH3:DJ6,3,FALSE),0),0))&gt;=0,1+(Backdoors!AL2*(IF((Backdoors!AI12+IF(DQ36&gt;=0.45,VLOOKUP(Calculator!E23,tbSkills!DH3:DI6,2,FALSE)+IF(AND(Calculator!B8=TRUE,Backdoors!BI20=TRUE),VLOOKUP(Calculator!E23,tbSkills!DH3:DJ6,3,FALSE),0),0))&gt;=100,100,(Backdoors!AI12+IF(DQ36&gt;=0.45,VLOOKUP(Calculator!E23,tbSkills!DH3:DI6,2,FALSE)+IF(AND(Calculator!B8=TRUE,Backdoors!BI20=TRUE),VLOOKUP(Calculator!E23,tbSkills!DH3:DJ6,3,FALSE),0),0)))/100)),(1-(0.25*((-Backdoors!AI12-IF(DQ36&gt;=0.45,VLOOKUP(Calculator!E23,tbSkills!DH3:DI6,2,FALSE)+IF(AND(Calculator!B8=TRUE,Backdoors!BI20=TRUE),VLOOKUP(Calculator!E23,tbSkills!DH3:DJ6,3,FALSE),0),0))/100)))),1),"")</f>
        <v>1</v>
      </c>
      <c r="DT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Q36)*DS36)*(VLOOKUP(A36,tbMoveset!A2:C112,3,FALSE)/100)*IF(VLOOKUP(A36,tbMoveset!A2:B112,2,FALSE)="Projectile",Backdoors!N10,Backdoors!N9),0),"")</f>
        <v/>
      </c>
      <c r="DU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Q36&gt;=0.45,VLOOKUP(Calculator!E23,tbSkills!DH3:DI6,2,FALSE)+IF(AND(Calculator!B8=TRUE,Backdoors!BI20=TRUE),VLOOKUP(Calculator!E23,tbSkills!DH3:DJ6,3,FALSE),0),0))&gt;=100,100,(Backdoors!AI12+IF(DQ36&gt;=0.45,VLOOKUP(Calculator!E23,tbSkills!DH3:DI6,2,FALSE)+IF(AND(Calculator!B8=TRUE,Backdoors!BI20=TRUE),VLOOKUP(Calculator!E23,tbSkills!DH3:DJ6,3,FALSE),0),0)))/100)),1))*IF(VLOOKUP(A36,tbMoveset!A2:K112,11,FALSE)=TRUE,Backdoors!AC5,1))*DR36,0),"")</f>
        <v>0</v>
      </c>
      <c r="DV36" s="49">
        <f>VLOOKUP(A36,tbMoveset!A2:G112,7,FALSE)*IFERROR(IF(Backdoors!AI12&gt;=0,1+(IF(Calculator!E40&gt;0,VLOOKUP(Calculator!E40,tbSkills!AI3:AJ5,2,FALSE),Backdoors!AL4)*(IF((Backdoors!AI12+IF(DQ36&gt;=0.45,VLOOKUP(Calculator!E23,tbSkills!DH3:DI6,2,FALSE)+IF(AND(Calculator!B8=TRUE,Backdoors!BI20=TRUE),VLOOKUP(Calculator!E23,tbSkills!DH3:DJ6,3,FALSE),0),0))&gt;=100,100,(Backdoors!AI12+IF(DQ36&gt;=0.45,VLOOKUP(Calculator!E23,tbSkills!DH3:DI6,2,FALSE)+IF(AND(Calculator!B8=TRUE,Backdoors!BI20=TRUE),VLOOKUP(Calculator!E23,tbSkills!DH3:DJ6,3,FALSE),0),0)))/100)),1),1)</f>
        <v>0.5</v>
      </c>
      <c r="DW36" s="87">
        <f t="shared" si="10"/>
        <v>0</v>
      </c>
      <c r="DX36" s="86" t="str">
        <f>IFERROR(IF(VLOOKUP(A36,tbMoveset!A2:B112,2,FALSE)="Sever",Backdoors!AY21/100,IF(VLOOKUP(A36,tbMoveset!A2:B112,2,FALSE)="Blunt",Backdoors!AZ21/100,Backdoors!BA21/100)),"")</f>
        <v/>
      </c>
      <c r="DY36" s="49">
        <f>IFERROR(IF(VLOOKUP(tbMoveset!A36,tbMoveset!A2:H112,8,FALSE)="Other",IF(VLOOKUP(tbMoveset!A36,tbMoveset!A2:I112,9,FALSE)="Fire",Backdoors!BB21,IF(VLOOKUP(tbMoveset!A36,tbMoveset!A2:I112,9,FALSE)="Water",Backdoors!BC21,IF(VLOOKUP(tbMoveset!A36,tbMoveset!A2:I112,9,FALSE)="Thunder",Backdoors!BD21,IF(VLOOKUP(tbMoveset!A36,tbMoveset!A2:I112,9,FALSE)="Ice",Backdoors!BE21,IF(VLOOKUP(tbMoveset!A36,tbMoveset!A2:I112,9,FALSE)="Dragon",Backdoors!BF21,Backdoors!BG21)))))/100,Backdoors!BG21/100),"")</f>
        <v>0</v>
      </c>
      <c r="DZ36" s="49">
        <f>IFERROR(IF(VLOOKUP(A36,tbMoveset!A2:J112,10,FALSE)=TRUE,IF((Backdoors!AI12+IF(DX36&gt;=0.45,VLOOKUP(Calculator!E23,tbSkills!DH3:DI6,2,FALSE)+IF(AND(Calculator!B8=TRUE,Backdoors!BI21=TRUE),VLOOKUP(Calculator!E23,tbSkills!DH3:DJ6,3,FALSE),0),0))&gt;=0,1+(Backdoors!AL2*(IF((Backdoors!AI12+IF(DX36&gt;=0.45,VLOOKUP(Calculator!E23,tbSkills!DH3:DI6,2,FALSE)+IF(AND(Calculator!B8=TRUE,Backdoors!BI21=TRUE),VLOOKUP(Calculator!E23,tbSkills!DH3:DJ6,3,FALSE),0),0))&gt;=100,100,(Backdoors!AI12+IF(DX36&gt;=0.45,VLOOKUP(Calculator!E23,tbSkills!DH3:DI6,2,FALSE)+IF(AND(Calculator!B8=TRUE,Backdoors!BI21=TRUE),VLOOKUP(Calculator!E23,tbSkills!DH3:DJ6,3,FALSE),0),0)))/100)),(1-(0.25*((-Backdoors!AI12-IF(DX36&gt;=0.45,VLOOKUP(Calculator!E23,tbSkills!DH3:DI6,2,FALSE)+IF(AND(Calculator!B8=TRUE,Backdoors!BI21=TRUE),VLOOKUP(Calculator!E23,tbSkills!DH3:DJ6,3,FALSE),0),0))/100)))),1),"")</f>
        <v>1</v>
      </c>
      <c r="EA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X36)*DZ36)*(VLOOKUP(A36,tbMoveset!A2:C112,3,FALSE)/100)*IF(VLOOKUP(A36,tbMoveset!A2:B112,2,FALSE)="Projectile",Backdoors!N10,Backdoors!N9),0),"")</f>
        <v/>
      </c>
      <c r="EB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X36&gt;=0.45,VLOOKUP(Calculator!E23,tbSkills!DH3:DI6,2,FALSE)+IF(AND(Calculator!B8=TRUE,Backdoors!BI21=TRUE),VLOOKUP(Calculator!E23,tbSkills!DH3:DJ6,3,FALSE),0),0))&gt;=100,100,(Backdoors!AI12+IF(DX36&gt;=0.45,VLOOKUP(Calculator!E23,tbSkills!DH3:DI6,2,FALSE)+IF(AND(Calculator!B8=TRUE,Backdoors!BI21=TRUE),VLOOKUP(Calculator!E23,tbSkills!DH3:DJ6,3,FALSE),0),0)))/100)),1))*IF(VLOOKUP(A36,tbMoveset!A2:K112,11,FALSE)=TRUE,Backdoors!AC5,1))*DY36,0),"")</f>
        <v>0</v>
      </c>
      <c r="EC36" s="49">
        <f>VLOOKUP(A36,tbMoveset!A2:G112,7,FALSE)*IFERROR(IF(Backdoors!AI12&gt;=0,1+(IF(Calculator!E40&gt;0,VLOOKUP(Calculator!E40,tbSkills!AI3:AJ5,2,FALSE),Backdoors!AL4)*(IF((Backdoors!AI12+IF(DX36&gt;=0.45,VLOOKUP(Calculator!E23,tbSkills!DH3:DI6,2,FALSE)+IF(AND(Calculator!B8=TRUE,Backdoors!BI21=TRUE),VLOOKUP(Calculator!E23,tbSkills!DH3:DJ6,3,FALSE),0),0))&gt;=100,100,(Backdoors!AI12+IF(DX36&gt;=0.45,VLOOKUP(Calculator!E23,tbSkills!DH3:DI6,2,FALSE)+IF(AND(Calculator!B8=TRUE,Backdoors!BI21=TRUE),VLOOKUP(Calculator!E23,tbSkills!DH3:DJ6,3,FALSE),0),0)))/100)),1),1)</f>
        <v>0.5</v>
      </c>
      <c r="ED36" s="87">
        <f t="shared" si="11"/>
        <v>0</v>
      </c>
      <c r="EE36" s="86" t="str">
        <f>IFERROR(IF(VLOOKUP(A36,tbMoveset!A2:B112,2,FALSE)="Sever",Backdoors!AY22/100,IF(VLOOKUP(A36,tbMoveset!A2:B112,2,FALSE)="Blunt",Backdoors!AZ22/100,Backdoors!BA22/100)),"")</f>
        <v/>
      </c>
      <c r="EF36" s="49">
        <f>IFERROR(IF(VLOOKUP(tbMoveset!A36,tbMoveset!A2:H112,8,FALSE)="Other",IF(VLOOKUP(tbMoveset!A36,tbMoveset!A2:I112,9,FALSE)="Fire",Backdoors!BB22,IF(VLOOKUP(tbMoveset!A36,tbMoveset!A2:I112,9,FALSE)="Water",Backdoors!BC22,IF(VLOOKUP(tbMoveset!A36,tbMoveset!A2:I112,9,FALSE)="Thunder",Backdoors!BD22,IF(VLOOKUP(tbMoveset!A36,tbMoveset!A2:I112,9,FALSE)="Ice",Backdoors!BE22,IF(VLOOKUP(tbMoveset!A36,tbMoveset!A2:I112,9,FALSE)="Dragon",Backdoors!BF22,Backdoors!BG22)))))/100,Backdoors!BG22/100),"")</f>
        <v>0</v>
      </c>
      <c r="EG36" s="49">
        <f>IFERROR(IF(VLOOKUP(A36,tbMoveset!A2:J112,10,FALSE)=TRUE,IF((Backdoors!AI12+IF(EE36&gt;=0.45,VLOOKUP(Calculator!E23,tbSkills!DH3:DI6,2,FALSE)+IF(AND(Calculator!B8=TRUE,Backdoors!BI22=TRUE),VLOOKUP(Calculator!E23,tbSkills!DH3:DJ6,3,FALSE),0),0))&gt;=0,1+(Backdoors!AL2*(IF((Backdoors!AI12+IF(EE36&gt;=0.45,VLOOKUP(Calculator!E23,tbSkills!DH3:DI6,2,FALSE)+IF(AND(Calculator!B8=TRUE,Backdoors!BI22=TRUE),VLOOKUP(Calculator!E23,tbSkills!DH3:DJ6,3,FALSE),0),0))&gt;=100,100,(Backdoors!AI12+IF(EE36&gt;=0.45,VLOOKUP(Calculator!E23,tbSkills!DH3:DI6,2,FALSE)+IF(AND(Calculator!B8=TRUE,Backdoors!BI22=TRUE),VLOOKUP(Calculator!E23,tbSkills!DH3:DJ6,3,FALSE),0),0)))/100)),(1-(0.25*((-Backdoors!AI12-IF(EE36&gt;=0.45,VLOOKUP(Calculator!E23,tbSkills!DH3:DI6,2,FALSE)+IF(AND(Calculator!B8=TRUE,Backdoors!BI22=TRUE),VLOOKUP(Calculator!E23,tbSkills!DH3:DJ6,3,FALSE),0),0))/100)))),1),"")</f>
        <v>1</v>
      </c>
      <c r="EH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E36)*EG36)*(VLOOKUP(A36,tbMoveset!A2:C112,3,FALSE)/100)*IF(VLOOKUP(A36,tbMoveset!A2:B112,2,FALSE)="Projectile",Backdoors!N10,Backdoors!N9),0),"")</f>
        <v/>
      </c>
      <c r="EI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E36&gt;=0.45,VLOOKUP(Calculator!E23,tbSkills!DH3:DI6,2,FALSE)+IF(AND(Calculator!B8=TRUE,Backdoors!BI22=TRUE),VLOOKUP(Calculator!E23,tbSkills!DH3:DJ6,3,FALSE),0),0))&gt;=100,100,(Backdoors!AI12+IF(EE36&gt;=0.45,VLOOKUP(Calculator!E23,tbSkills!DH3:DI6,2,FALSE)+IF(AND(Calculator!B8=TRUE,Backdoors!BI22=TRUE),VLOOKUP(Calculator!E23,tbSkills!DH3:DJ6,3,FALSE),0),0)))/100)),1))*IF(VLOOKUP(A36,tbMoveset!A2:K112,11,FALSE)=TRUE,Backdoors!AC5,1))*EF36,0),"")</f>
        <v>0</v>
      </c>
      <c r="EJ36" s="49">
        <f>VLOOKUP(A36,tbMoveset!A2:G112,7,FALSE)*IFERROR(IF(Backdoors!AI12&gt;=0,1+(IF(Calculator!E40&gt;0,VLOOKUP(Calculator!E40,tbSkills!AI3:AJ5,2,FALSE),Backdoors!AL4)*(IF((Backdoors!AI12+IF(EE36&gt;=0.45,VLOOKUP(Calculator!E23,tbSkills!DH3:DI6,2,FALSE)+IF(AND(Calculator!B8=TRUE,Backdoors!BI22=TRUE),VLOOKUP(Calculator!E23,tbSkills!DH3:DJ6,3,FALSE),0),0))&gt;=100,100,(Backdoors!AI12+IF(EE36&gt;=0.45,VLOOKUP(Calculator!E23,tbSkills!DH3:DI6,2,FALSE)+IF(AND(Calculator!B8=TRUE,Backdoors!BI22=TRUE),VLOOKUP(Calculator!E23,tbSkills!DH3:DJ6,3,FALSE),0),0)))/100)),1),1)</f>
        <v>0.5</v>
      </c>
      <c r="EK36" s="87">
        <f t="shared" si="12"/>
        <v>0</v>
      </c>
      <c r="EL36" s="86" t="str">
        <f>IFERROR(IF(VLOOKUP(A36,tbMoveset!A2:B112,2,FALSE)="Sever",Backdoors!AY23/100,IF(VLOOKUP(A36,tbMoveset!A2:B112,2,FALSE)="Blunt",Backdoors!AZ23/100,Backdoors!BA23/100)),"")</f>
        <v/>
      </c>
      <c r="EM36" s="49">
        <f>IFERROR(IF(VLOOKUP(tbMoveset!A36,tbMoveset!A2:H112,8,FALSE)="Other",IF(VLOOKUP(tbMoveset!A36,tbMoveset!A2:I112,9,FALSE)="Fire",Backdoors!BB23,IF(VLOOKUP(tbMoveset!A36,tbMoveset!A2:I112,9,FALSE)="Water",Backdoors!BC23,IF(VLOOKUP(tbMoveset!A36,tbMoveset!A2:I112,9,FALSE)="Thunder",Backdoors!BD23,IF(VLOOKUP(tbMoveset!A36,tbMoveset!A2:I112,9,FALSE)="Ice",Backdoors!BE23,IF(VLOOKUP(tbMoveset!A36,tbMoveset!A2:I112,9,FALSE)="Dragon",Backdoors!BF23,Backdoors!BG23)))))/100,Backdoors!BG23/100),"")</f>
        <v>0</v>
      </c>
      <c r="EN36" s="49">
        <f>IFERROR(IF(VLOOKUP(A36,tbMoveset!A2:J112,10,FALSE)=TRUE,IF((Backdoors!AI12+IF(EL36&gt;=0.45,VLOOKUP(Calculator!E23,tbSkills!DH3:DI6,2,FALSE)+IF(AND(Calculator!B8=TRUE,Backdoors!BI23=TRUE),VLOOKUP(Calculator!E23,tbSkills!DH3:DJ6,3,FALSE),0),0))&gt;=0,1+(Backdoors!AL2*(IF((Backdoors!AI12+IF(EL36&gt;=0.45,VLOOKUP(Calculator!E23,tbSkills!DH3:DI6,2,FALSE)+IF(AND(Calculator!B8=TRUE,Backdoors!BI23=TRUE),VLOOKUP(Calculator!E23,tbSkills!DH3:DJ6,3,FALSE),0),0))&gt;=100,100,(Backdoors!AI12+IF(EL36&gt;=0.45,VLOOKUP(Calculator!E23,tbSkills!DH3:DI6,2,FALSE)+IF(AND(Calculator!B8=TRUE,Backdoors!BI23=TRUE),VLOOKUP(Calculator!E23,tbSkills!DH3:DJ6,3,FALSE),0),0)))/100)),(1-(0.25*((-Backdoors!AI12-IF(EL36&gt;=0.45,VLOOKUP(Calculator!E23,tbSkills!DH3:DI6,2,FALSE)+IF(AND(Calculator!B8=TRUE,Backdoors!BI23=TRUE),VLOOKUP(Calculator!E23,tbSkills!DH3:DJ6,3,FALSE),0),0))/100)))),1),"")</f>
        <v>1</v>
      </c>
      <c r="EO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L36)*EN36)*(VLOOKUP(A36,tbMoveset!A2:C112,3,FALSE)/100)*IF(VLOOKUP(A36,tbMoveset!A2:B112,2,FALSE)="Projectile",Backdoors!N10,Backdoors!N9),0),"")</f>
        <v/>
      </c>
      <c r="EP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L36&gt;=0.45,VLOOKUP(Calculator!E23,tbSkills!DH3:DI6,2,FALSE)+IF(AND(Calculator!B8=TRUE,Backdoors!BI23=TRUE),VLOOKUP(Calculator!E23,tbSkills!DH3:DJ6,3,FALSE),0),0))&gt;=100,100,(Backdoors!AI12+IF(EL36&gt;=0.45,VLOOKUP(Calculator!E23,tbSkills!DH3:DI6,2,FALSE)+IF(AND(Calculator!B8=TRUE,Backdoors!BI23=TRUE),VLOOKUP(Calculator!E23,tbSkills!DH3:DJ6,3,FALSE),0),0)))/100)),1))*IF(VLOOKUP(A36,tbMoveset!A2:K112,11,FALSE)=TRUE,Backdoors!AC5,1))*EM36,0),"")</f>
        <v>0</v>
      </c>
      <c r="EQ36" s="49">
        <f>VLOOKUP(A36,tbMoveset!A2:G112,7,FALSE)*IFERROR(IF(Backdoors!AI12&gt;=0,1+(IF(Calculator!E40&gt;0,VLOOKUP(Calculator!E40,tbSkills!AI3:AJ5,2,FALSE),Backdoors!AL4)*(IF((Backdoors!AI12+IF(EL36&gt;=0.45,VLOOKUP(Calculator!E23,tbSkills!DH3:DI6,2,FALSE)+IF(AND(Calculator!B8=TRUE,Backdoors!BI23=TRUE),VLOOKUP(Calculator!E23,tbSkills!DH3:DJ6,3,FALSE),0),0))&gt;=100,100,(Backdoors!AI12+IF(EL36&gt;=0.45,VLOOKUP(Calculator!E23,tbSkills!DH3:DI6,2,FALSE)+IF(AND(Calculator!B8=TRUE,Backdoors!BI23=TRUE),VLOOKUP(Calculator!E23,tbSkills!DH3:DJ6,3,FALSE),0),0)))/100)),1),1)</f>
        <v>0.5</v>
      </c>
      <c r="ER36" s="87">
        <f t="shared" si="13"/>
        <v>0</v>
      </c>
      <c r="ES36" s="86" t="str">
        <f>IFERROR(IF(VLOOKUP(A36,tbMoveset!A2:B112,2,FALSE)="Sever",Backdoors!AY24/100,IF(VLOOKUP(A36,tbMoveset!A2:B112,2,FALSE)="Blunt",Backdoors!AZ24/100,Backdoors!BA24/100)),"")</f>
        <v/>
      </c>
      <c r="ET36" s="49">
        <f>IFERROR(IF(VLOOKUP(tbMoveset!A36,tbMoveset!A2:H112,8,FALSE)="Other",IF(VLOOKUP(tbMoveset!A36,tbMoveset!A2:I112,9,FALSE)="Fire",Backdoors!BB24,IF(VLOOKUP(tbMoveset!A36,tbMoveset!A2:I112,9,FALSE)="Water",Backdoors!BC24,IF(VLOOKUP(tbMoveset!A36,tbMoveset!A2:I112,9,FALSE)="Thunder",Backdoors!BD24,IF(VLOOKUP(tbMoveset!A36,tbMoveset!A2:I112,9,FALSE)="Ice",Backdoors!BE24,IF(VLOOKUP(tbMoveset!A36,tbMoveset!A2:I112,9,FALSE)="Dragon",Backdoors!BF24,Backdoors!BG24)))))/100,Backdoors!BG24/100),"")</f>
        <v>0</v>
      </c>
      <c r="EU36" s="49">
        <f>IFERROR(IF(VLOOKUP(A36,tbMoveset!A2:J112,10,FALSE)=TRUE,IF((Backdoors!AI12+IF(ES36&gt;=0.45,VLOOKUP(Calculator!E23,tbSkills!DH3:DI6,2,FALSE)+IF(AND(Calculator!B8=TRUE,Backdoors!BI24=TRUE),VLOOKUP(Calculator!E23,tbSkills!DH3:DJ6,3,FALSE),0),0))&gt;=0,1+(Backdoors!AL2*(IF((Backdoors!AI12+IF(ES36&gt;=0.45,VLOOKUP(Calculator!E23,tbSkills!DH3:DI6,2,FALSE)+IF(AND(Calculator!B8=TRUE,Backdoors!BI24=TRUE),VLOOKUP(Calculator!E23,tbSkills!DH3:DJ6,3,FALSE),0),0))&gt;=100,100,(Backdoors!AI12+IF(ES36&gt;=0.45,VLOOKUP(Calculator!E23,tbSkills!DH3:DI6,2,FALSE)+IF(AND(Calculator!B8=TRUE,Backdoors!BI24=TRUE),VLOOKUP(Calculator!E23,tbSkills!DH3:DJ6,3,FALSE),0),0)))/100)),(1-(0.25*((-Backdoors!AI12-IF(ES36&gt;=0.45,VLOOKUP(Calculator!E23,tbSkills!DH3:DI6,2,FALSE)+IF(AND(Calculator!B8=TRUE,Backdoors!BI24=TRUE),VLOOKUP(Calculator!E23,tbSkills!DH3:DJ6,3,FALSE),0),0))/100)))),1),"")</f>
        <v>1</v>
      </c>
      <c r="EV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S36)*EU36)*(VLOOKUP(A36,tbMoveset!A2:C112,3,FALSE)/100)*IF(VLOOKUP(A36,tbMoveset!A2:B112,2,FALSE)="Projectile",Backdoors!N10,Backdoors!N9),0),"")</f>
        <v/>
      </c>
      <c r="EW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S36&gt;=0.45,VLOOKUP(Calculator!E23,tbSkills!DH3:DI6,2,FALSE)+IF(AND(Calculator!B8=TRUE,Backdoors!BI24=TRUE),VLOOKUP(Calculator!E23,tbSkills!DH3:DJ6,3,FALSE),0),0))&gt;=100,100,(Backdoors!AI12+IF(ES36&gt;=0.45,VLOOKUP(Calculator!E23,tbSkills!DH3:DI6,2,FALSE)+IF(AND(Calculator!B8=TRUE,Backdoors!BI24=TRUE),VLOOKUP(Calculator!E23,tbSkills!DH3:DJ6,3,FALSE),0),0)))/100)),1))*IF(VLOOKUP(A36,tbMoveset!A2:K112,11,FALSE)=TRUE,Backdoors!AC5,1))*ET36,0),"")</f>
        <v>0</v>
      </c>
      <c r="EX36" s="49">
        <f>VLOOKUP(A36,tbMoveset!A2:G112,7,FALSE)*IFERROR(IF(Backdoors!AI12&gt;=0,1+(IF(Calculator!E40&gt;0,VLOOKUP(Calculator!E40,tbSkills!AI3:AJ5,2,FALSE),Backdoors!AL4)*(IF((Backdoors!AI12+IF(ES36&gt;=0.45,VLOOKUP(Calculator!E23,tbSkills!DH3:DI6,2,FALSE)+IF(AND(Calculator!B8=TRUE,Backdoors!BI24=TRUE),VLOOKUP(Calculator!E23,tbSkills!DH3:DJ6,3,FALSE),0),0))&gt;=100,100,(Backdoors!AI12+IF(ES36&gt;=0.45,VLOOKUP(Calculator!E23,tbSkills!DH3:DI6,2,FALSE)+IF(AND(Calculator!B8=TRUE,Backdoors!BI24=TRUE),VLOOKUP(Calculator!E23,tbSkills!DH3:DJ6,3,FALSE),0),0)))/100)),1),1)</f>
        <v>0.5</v>
      </c>
      <c r="EY36" s="87">
        <f t="shared" si="14"/>
        <v>0</v>
      </c>
      <c r="EZ36" s="86" t="str">
        <f>IFERROR(IF(VLOOKUP(A36,tbMoveset!A2:B112,2,FALSE)="Sever",Backdoors!AY25/100,IF(VLOOKUP(A36,tbMoveset!A2:B112,2,FALSE)="Blunt",Backdoors!AZ25/100,Backdoors!BA25/100)),"")</f>
        <v/>
      </c>
      <c r="FA36" s="49">
        <f>IFERROR(IF(VLOOKUP(tbMoveset!A36,tbMoveset!A2:H112,8,FALSE)="Other",IF(VLOOKUP(tbMoveset!A36,tbMoveset!A2:I112,9,FALSE)="Fire",Backdoors!BB25,IF(VLOOKUP(tbMoveset!A36,tbMoveset!A2:I112,9,FALSE)="Water",Backdoors!BC25,IF(VLOOKUP(tbMoveset!A36,tbMoveset!A2:I112,9,FALSE)="Thunder",Backdoors!BD25,IF(VLOOKUP(tbMoveset!A36,tbMoveset!A2:I112,9,FALSE)="Ice",Backdoors!BE25,IF(VLOOKUP(tbMoveset!A36,tbMoveset!A2:I112,9,FALSE)="Dragon",Backdoors!BF25,Backdoors!BG25)))))/100,Backdoors!BG25/100),"")</f>
        <v>0</v>
      </c>
      <c r="FB36" s="49">
        <f>IFERROR(IF(VLOOKUP(A36,tbMoveset!A2:J112,10,FALSE)=TRUE,IF((Backdoors!AI12+IF(EZ36&gt;=0.45,VLOOKUP(Calculator!E23,tbSkills!DH3:DI6,2,FALSE)+IF(AND(Calculator!B8=TRUE,Backdoors!BI25=TRUE),VLOOKUP(Calculator!E23,tbSkills!DH3:DJ6,3,FALSE),0),0))&gt;=0,1+(Backdoors!AL2*(IF((Backdoors!AI12+IF(EZ36&gt;=0.45,VLOOKUP(Calculator!E23,tbSkills!DH3:DI6,2,FALSE)+IF(AND(Calculator!B8=TRUE,Backdoors!BI25=TRUE),VLOOKUP(Calculator!E23,tbSkills!DH3:DJ6,3,FALSE),0),0))&gt;=100,100,(Backdoors!AI12+IF(EZ36&gt;=0.45,VLOOKUP(Calculator!E23,tbSkills!DH3:DI6,2,FALSE)+IF(AND(Calculator!B8=TRUE,Backdoors!BI25=TRUE),VLOOKUP(Calculator!E23,tbSkills!DH3:DJ6,3,FALSE),0),0)))/100)),(1-(0.25*((-Backdoors!AI12-IF(EZ36&gt;=0.45,VLOOKUP(Calculator!E23,tbSkills!DH3:DI6,2,FALSE)+IF(AND(Calculator!B8=TRUE,Backdoors!BI25=TRUE),VLOOKUP(Calculator!E23,tbSkills!DH3:DJ6,3,FALSE),0),0))/100)))),1),"")</f>
        <v>1</v>
      </c>
      <c r="FC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Z36)*FB36)*(VLOOKUP(A36,tbMoveset!A2:C112,3,FALSE)/100)*IF(VLOOKUP(A36,tbMoveset!A2:B112,2,FALSE)="Projectile",Backdoors!N10,Backdoors!N9),0),"")</f>
        <v/>
      </c>
      <c r="FD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Z36&gt;=0.45,VLOOKUP(Calculator!E23,tbSkills!DH3:DI6,2,FALSE)+IF(AND(Calculator!B8=TRUE,Backdoors!BI25=TRUE),VLOOKUP(Calculator!E23,tbSkills!DH3:DJ6,3,FALSE),0),0))&gt;=100,100,(Backdoors!AI12+IF(EZ36&gt;=0.45,VLOOKUP(Calculator!E23,tbSkills!DH3:DI6,2,FALSE)+IF(AND(Calculator!B8=TRUE,Backdoors!BI25=TRUE),VLOOKUP(Calculator!E23,tbSkills!DH3:DJ6,3,FALSE),0),0)))/100)),1))*IF(VLOOKUP(A36,tbMoveset!A2:K112,11,FALSE)=TRUE,Backdoors!AC5,1))*FA36,0),"")</f>
        <v>0</v>
      </c>
      <c r="FE36" s="49">
        <f>VLOOKUP(A36,tbMoveset!A2:G112,7,FALSE)*IFERROR(IF(Backdoors!AI12&gt;=0,1+(IF(Calculator!E40&gt;0,VLOOKUP(Calculator!E40,tbSkills!AI3:AJ5,2,FALSE),Backdoors!AL4)*(IF((Backdoors!AI12+IF(EZ36&gt;=0.45,VLOOKUP(Calculator!E23,tbSkills!DH3:DI6,2,FALSE)+IF(AND(Calculator!B8=TRUE,Backdoors!BI25=TRUE),VLOOKUP(Calculator!E23,tbSkills!DH3:DJ6,3,FALSE),0),0))&gt;=100,100,(Backdoors!AI12+IF(EZ36&gt;=0.45,VLOOKUP(Calculator!E23,tbSkills!DH3:DI6,2,FALSE)+IF(AND(Calculator!B8=TRUE,Backdoors!BI25=TRUE),VLOOKUP(Calculator!E23,tbSkills!DH3:DJ6,3,FALSE),0),0)))/100)),1),1)</f>
        <v>0.5</v>
      </c>
      <c r="FF36" s="87">
        <f t="shared" si="15"/>
        <v>0</v>
      </c>
      <c r="FG36" s="86" t="str">
        <f>IFERROR(IF(VLOOKUP(A36,tbMoveset!A2:B112,2,FALSE)="Sever",Backdoors!AY26/100,IF(VLOOKUP(A36,tbMoveset!A2:B112,2,FALSE)="Blunt",Backdoors!AZ26/100,Backdoors!BA26/100)),"")</f>
        <v/>
      </c>
      <c r="FH36" s="49">
        <f>IFERROR(IF(VLOOKUP(tbMoveset!A36,tbMoveset!A2:H112,8,FALSE)="Other",IF(VLOOKUP(tbMoveset!A36,tbMoveset!A2:I112,9,FALSE)="Fire",Backdoors!BB26,IF(VLOOKUP(tbMoveset!A36,tbMoveset!A2:I112,9,FALSE)="Water",Backdoors!BC26,IF(VLOOKUP(tbMoveset!A36,tbMoveset!A2:I112,9,FALSE)="Thunder",Backdoors!BD26,IF(VLOOKUP(tbMoveset!A36,tbMoveset!A2:I112,9,FALSE)="Ice",Backdoors!BE26,IF(VLOOKUP(tbMoveset!A36,tbMoveset!A2:I112,9,FALSE)="Dragon",Backdoors!BF26,Backdoors!BG26)))))/100,Backdoors!BG26/100),"")</f>
        <v>0</v>
      </c>
      <c r="FI36" s="49">
        <f>IFERROR(IF(VLOOKUP(A36,tbMoveset!A2:J112,10,FALSE)=TRUE,IF((Backdoors!AI12+IF(FG36&gt;=0.45,VLOOKUP(Calculator!E23,tbSkills!DH3:DI6,2,FALSE)+IF(AND(Calculator!B8=TRUE,Backdoors!BI26=TRUE),VLOOKUP(Calculator!E23,tbSkills!DH3:DJ6,3,FALSE),0),0))&gt;=0,1+(Backdoors!AL2*(IF((Backdoors!AI12+IF(FG36&gt;=0.45,VLOOKUP(Calculator!E23,tbSkills!DH3:DI6,2,FALSE)+IF(AND(Calculator!B8=TRUE,Backdoors!BI26=TRUE),VLOOKUP(Calculator!E23,tbSkills!DH3:DJ6,3,FALSE),0),0))&gt;=100,100,(Backdoors!AI12+IF(FG36&gt;=0.45,VLOOKUP(Calculator!E23,tbSkills!DH3:DI6,2,FALSE)+IF(AND(Calculator!B8=TRUE,Backdoors!BI26=TRUE),VLOOKUP(Calculator!E23,tbSkills!DH3:DJ6,3,FALSE),0),0)))/100)),(1-(0.25*((-Backdoors!AI12-IF(FG36&gt;=0.45,VLOOKUP(Calculator!E23,tbSkills!DH3:DI6,2,FALSE)+IF(AND(Calculator!B8=TRUE,Backdoors!BI26=TRUE),VLOOKUP(Calculator!E23,tbSkills!DH3:DJ6,3,FALSE),0),0))/100)))),1),"")</f>
        <v>1</v>
      </c>
      <c r="FJ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FG36)*FI36)*(VLOOKUP(A36,tbMoveset!A2:C112,3,FALSE)/100)*IF(VLOOKUP(A36,tbMoveset!A2:B112,2,FALSE)="Projectile",Backdoors!N10,Backdoors!N9),0),"")</f>
        <v/>
      </c>
      <c r="FK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FG36&gt;=0.45,VLOOKUP(Calculator!E23,tbSkills!DH3:DI6,2,FALSE)+IF(AND(Calculator!B8=TRUE,Backdoors!BI26=TRUE),VLOOKUP(Calculator!E23,tbSkills!DH3:DJ6,3,FALSE),0),0))&gt;=100,100,(Backdoors!AI12+IF(FG36&gt;=0.45,VLOOKUP(Calculator!E23,tbSkills!DH3:DI6,2,FALSE)+IF(AND(Calculator!B8=TRUE,Backdoors!BI26=TRUE),VLOOKUP(Calculator!E23,tbSkills!DH3:DJ6,3,FALSE),0),0)))/100)),1))*IF(VLOOKUP(A36,tbMoveset!A2:K112,11,FALSE)=TRUE,Backdoors!AC5,1))*FH36,0),"")</f>
        <v>0</v>
      </c>
      <c r="FL36" s="49">
        <f>VLOOKUP(A36,tbMoveset!A2:G112,7,FALSE)*IFERROR(IF(Backdoors!AI12&gt;=0,1+(IF(Calculator!E40&gt;0,VLOOKUP(Calculator!E40,tbSkills!AI3:AJ5,2,FALSE),Backdoors!AL4)*(IF((Backdoors!AI12+IF(FG36&gt;=0.45,VLOOKUP(Calculator!E23,tbSkills!DH3:DI6,2,FALSE)+IF(AND(Calculator!B8=TRUE,Backdoors!BI26=TRUE),VLOOKUP(Calculator!E23,tbSkills!DH3:DJ6,3,FALSE),0),0))&gt;=100,100,(Backdoors!AI12+IF(FG36&gt;=0.45,VLOOKUP(Calculator!E23,tbSkills!DH3:DI6,2,FALSE)+IF(AND(Calculator!B8=TRUE,Backdoors!BI26=TRUE),VLOOKUP(Calculator!E23,tbSkills!DH3:DJ6,3,FALSE),0),0)))/100)),1),1)</f>
        <v>0.5</v>
      </c>
      <c r="FM36" s="87">
        <f t="shared" si="16"/>
        <v>0</v>
      </c>
      <c r="FN36" s="86" t="str">
        <f>IFERROR(IF(VLOOKUP(A36,tbMoveset!A2:B112,2,FALSE)="Sever",Backdoors!AY27/100,IF(VLOOKUP(A36,tbMoveset!A2:B112,2,FALSE)="Blunt",Backdoors!AZ27/100,Backdoors!BA27/100)),"")</f>
        <v/>
      </c>
      <c r="FO36" s="49">
        <f>IFERROR(IF(VLOOKUP(tbMoveset!A36,tbMoveset!A2:H112,8,FALSE)="Other",IF(VLOOKUP(tbMoveset!A36,tbMoveset!A2:I112,9,FALSE)="Fire",Backdoors!BB27,IF(VLOOKUP(tbMoveset!A36,tbMoveset!A2:I112,9,FALSE)="Water",Backdoors!BC27,IF(VLOOKUP(tbMoveset!A36,tbMoveset!A2:I112,9,FALSE)="Thunder",Backdoors!BD27,IF(VLOOKUP(tbMoveset!A36,tbMoveset!A2:I112,9,FALSE)="Ice",Backdoors!BE27,IF(VLOOKUP(tbMoveset!A36,tbMoveset!A2:I112,9,FALSE)="Dragon",Backdoors!BF27,Backdoors!BG27)))))/100,Backdoors!BG27/100),"")</f>
        <v>0</v>
      </c>
      <c r="FP36" s="49">
        <f>IFERROR(IF(VLOOKUP(A36,tbMoveset!A2:J112,10,FALSE)=TRUE,IF((Backdoors!AI12+IF(FN36&gt;=0.45,VLOOKUP(Calculator!E23,tbSkills!DH3:DI6,2,FALSE)+IF(AND(Calculator!B8=TRUE,Backdoors!BI27=TRUE),VLOOKUP(Calculator!E23,tbSkills!DH3:DJ6,3,FALSE),0),0))&gt;=0,1+(Backdoors!AL2*(IF((Backdoors!AI12+IF(FN36&gt;=0.45,VLOOKUP(Calculator!E23,tbSkills!DH3:DI6,2,FALSE)+IF(AND(Calculator!B8=TRUE,Backdoors!BI27=TRUE),VLOOKUP(Calculator!E23,tbSkills!DH3:DJ6,3,FALSE),0),0))&gt;=100,100,(Backdoors!AI12+IF(FN36&gt;=0.45,VLOOKUP(Calculator!E23,tbSkills!DH3:DI6,2,FALSE)+IF(AND(Calculator!B8=TRUE,Backdoors!BI27=TRUE),VLOOKUP(Calculator!E23,tbSkills!DH3:DJ6,3,FALSE),0),0)))/100)),(1-(0.25*((-Backdoors!AI12-IF(FN36&gt;=0.45,VLOOKUP(Calculator!E23,tbSkills!DH3:DI6,2,FALSE)+IF(AND(Calculator!B8=TRUE,Backdoors!BI27=TRUE),VLOOKUP(Calculator!E23,tbSkills!DH3:DJ6,3,FALSE),0),0))/100)))),1),"")</f>
        <v>1</v>
      </c>
      <c r="FQ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FN36)*FP36)*(VLOOKUP(A36,tbMoveset!A2:C112,3,FALSE)/100)*IF(VLOOKUP(A36,tbMoveset!A2:B112,2,FALSE)="Projectile",Backdoors!N10,Backdoors!N9),0),"")</f>
        <v/>
      </c>
      <c r="FR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FN36&gt;=0.45,VLOOKUP(Calculator!E23,tbSkills!DH3:DI6,2,FALSE)+IF(AND(Calculator!B8=TRUE,Backdoors!BI27=TRUE),VLOOKUP(Calculator!E23,tbSkills!DH3:DJ6,3,FALSE),0),0))&gt;=100,100,(Backdoors!AI12+IF(FN36&gt;=0.45,VLOOKUP(Calculator!E23,tbSkills!DH3:DI6,2,FALSE)+IF(AND(Calculator!B8=TRUE,Backdoors!BI27=TRUE),VLOOKUP(Calculator!E23,tbSkills!DH3:DJ6,3,FALSE),0),0)))/100)),1))*IF(VLOOKUP(A36,tbMoveset!A2:K112,11,FALSE)=TRUE,Backdoors!AC5,1))*FO36,0),"")</f>
        <v>0</v>
      </c>
      <c r="FS36" s="49">
        <f>VLOOKUP(A36,tbMoveset!A2:G112,7,FALSE)*IFERROR(IF(Backdoors!AI12&gt;=0,1+(IF(Calculator!E40&gt;0,VLOOKUP(Calculator!E40,tbSkills!AI3:AJ5,2,FALSE),Backdoors!AL4)*(IF((Backdoors!AI12+IF(FN36&gt;=0.45,VLOOKUP(Calculator!E23,tbSkills!DH3:DI6,2,FALSE)+IF(AND(Calculator!B8=TRUE,Backdoors!BI27=TRUE),VLOOKUP(Calculator!E23,tbSkills!DH3:DJ6,3,FALSE),0),0))&gt;=100,100,(Backdoors!AI12+IF(FN36&gt;=0.45,VLOOKUP(Calculator!E23,tbSkills!DH3:DI6,2,FALSE)+IF(AND(Calculator!B8=TRUE,Backdoors!BI27=TRUE),VLOOKUP(Calculator!E23,tbSkills!DH3:DJ6,3,FALSE),0),0)))/100)),1),1)</f>
        <v>0.5</v>
      </c>
      <c r="FT36" s="87">
        <f t="shared" si="17"/>
        <v>0</v>
      </c>
      <c r="FU36" s="86" t="str">
        <f>IFERROR(IF(VLOOKUP(A36,tbMoveset!A2:B112,2,FALSE)="Sever",Backdoors!AY28/100,IF(VLOOKUP(A36,tbMoveset!A2:B112,2,FALSE)="Blunt",Backdoors!AZ28/100,Backdoors!BA28/100)),"")</f>
        <v/>
      </c>
      <c r="FV36" s="49">
        <f>IFERROR(IF(VLOOKUP(tbMoveset!A36,tbMoveset!A2:H112,8,FALSE)="Other",IF(VLOOKUP(tbMoveset!A36,tbMoveset!A2:I112,9,FALSE)="Fire",Backdoors!BB28,IF(VLOOKUP(tbMoveset!A36,tbMoveset!A2:I112,9,FALSE)="Water",Backdoors!BC28,IF(VLOOKUP(tbMoveset!A36,tbMoveset!A2:I112,9,FALSE)="Thunder",Backdoors!BD28,IF(VLOOKUP(tbMoveset!A36,tbMoveset!A2:I112,9,FALSE)="Ice",Backdoors!BE28,IF(VLOOKUP(tbMoveset!A36,tbMoveset!A2:I112,9,FALSE)="Dragon",Backdoors!BF28,Backdoors!BG28)))))/100,Backdoors!BG28/100),"")</f>
        <v>0</v>
      </c>
      <c r="FW36" s="49">
        <f>IFERROR(IF(VLOOKUP(A36,tbMoveset!A2:J112,10,FALSE)=TRUE,IF((Backdoors!AI12+IF(FU36&gt;=0.45,VLOOKUP(Calculator!E23,tbSkills!DH3:DI6,2,FALSE)+IF(AND(Calculator!B8=TRUE,Backdoors!BI28=TRUE),VLOOKUP(Calculator!E23,tbSkills!DH3:DJ6,3,FALSE),0),0))&gt;=0,1+(Backdoors!AL2*(IF((Backdoors!AI12+IF(FU36&gt;=0.45,VLOOKUP(Calculator!E23,tbSkills!DH3:DI6,2,FALSE)+IF(AND(Calculator!B8=TRUE,Backdoors!BI28=TRUE),VLOOKUP(Calculator!E23,tbSkills!DH3:DJ6,3,FALSE),0),0))&gt;=100,100,(Backdoors!AI12+IF(FU36&gt;=0.45,VLOOKUP(Calculator!E23,tbSkills!DH3:DI6,2,FALSE)+IF(AND(Calculator!B8=TRUE,Backdoors!BI28=TRUE),VLOOKUP(Calculator!E23,tbSkills!DH3:DJ6,3,FALSE),0),0)))/100)),(1-(0.25*((-Backdoors!AI12-IF(FU36&gt;=0.45,VLOOKUP(Calculator!E23,tbSkills!DH3:DI6,2,FALSE)+IF(AND(Calculator!B8=TRUE,Backdoors!BI28=TRUE),VLOOKUP(Calculator!E23,tbSkills!DH3:DJ6,3,FALSE),0),0))/100)))),1),"")</f>
        <v>1</v>
      </c>
      <c r="FX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FU36)*FW36)*(VLOOKUP(A36,tbMoveset!A2:C112,3,FALSE)/100)*IF(VLOOKUP(A36,tbMoveset!A2:B112,2,FALSE)="Projectile",Backdoors!N10,Backdoors!N9),0),"")</f>
        <v/>
      </c>
      <c r="FY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FU36&gt;=0.45,VLOOKUP(Calculator!E23,tbSkills!DH3:DI6,2,FALSE)+IF(AND(Calculator!B8=TRUE,Backdoors!BI28=TRUE),VLOOKUP(Calculator!E23,tbSkills!DH3:DJ6,3,FALSE),0),0))&gt;=100,100,(Backdoors!AI12+IF(FU36&gt;=0.45,VLOOKUP(Calculator!E23,tbSkills!DH3:DI6,2,FALSE)+IF(AND(Calculator!B8=TRUE,Backdoors!BI28=TRUE),VLOOKUP(Calculator!E23,tbSkills!DH3:DJ6,3,FALSE),0),0)))/100)),1))*IF(VLOOKUP(A36,tbMoveset!A2:K112,11,FALSE)=TRUE,Backdoors!AC5,1))*FV36,0),"")</f>
        <v>0</v>
      </c>
      <c r="FZ36" s="49">
        <f>VLOOKUP(A36,tbMoveset!A2:G112,7,FALSE)*IFERROR(IF(Backdoors!AI12&gt;=0,1+(IF(Calculator!E40&gt;0,VLOOKUP(Calculator!E40,tbSkills!AI3:AJ5,2,FALSE),Backdoors!AL4)*(IF((Backdoors!AI12+IF(FU36&gt;=0.45,VLOOKUP(Calculator!E23,tbSkills!DH3:DI6,2,FALSE)+IF(AND(Calculator!B8=TRUE,Backdoors!BI28=TRUE),VLOOKUP(Calculator!E23,tbSkills!DH3:DJ6,3,FALSE),0),0))&gt;=100,100,(Backdoors!AI12+IF(FU36&gt;=0.45,VLOOKUP(Calculator!E23,tbSkills!DH3:DI6,2,FALSE)+IF(AND(Calculator!B8=TRUE,Backdoors!BI28=TRUE),VLOOKUP(Calculator!E23,tbSkills!DH3:DJ6,3,FALSE),0),0)))/100)),1),1)</f>
        <v>0.5</v>
      </c>
      <c r="GA36" s="87">
        <f t="shared" si="18"/>
        <v>0</v>
      </c>
      <c r="GB36" s="86" t="str">
        <f>IFERROR(IF(VLOOKUP(A36,tbMoveset!A2:B112,2,FALSE)="Sever",Backdoors!AY29/100,IF(VLOOKUP(A36,tbMoveset!A2:B112,2,FALSE)="Blunt",Backdoors!AZ29/100,Backdoors!BA29/100)),"")</f>
        <v/>
      </c>
      <c r="GC36" s="49">
        <f>IFERROR(IF(VLOOKUP(tbMoveset!A36,tbMoveset!A2:H112,8,FALSE)="Other",IF(VLOOKUP(tbMoveset!A36,tbMoveset!A2:I112,9,FALSE)="Fire",Backdoors!BB29,IF(VLOOKUP(tbMoveset!A36,tbMoveset!A2:I112,9,FALSE)="Water",Backdoors!BC29,IF(VLOOKUP(tbMoveset!A36,tbMoveset!A2:I112,9,FALSE)="Thunder",Backdoors!BD29,IF(VLOOKUP(tbMoveset!A36,tbMoveset!A2:I112,9,FALSE)="Ice",Backdoors!BE29,IF(VLOOKUP(tbMoveset!A36,tbMoveset!A2:I112,9,FALSE)="Dragon",Backdoors!BF29,Backdoors!BG29)))))/100,Backdoors!BG29/100),"")</f>
        <v>0</v>
      </c>
      <c r="GD36" s="49">
        <f>IFERROR(IF(VLOOKUP(A36,tbMoveset!A2:J112,10,FALSE)=TRUE,IF((Backdoors!AI12+IF(GB36&gt;=0.45,VLOOKUP(Calculator!E23,tbSkills!DH3:DI6,2,FALSE)+IF(AND(Calculator!B8=TRUE,Backdoors!BI29=TRUE),VLOOKUP(Calculator!E23,tbSkills!DH3:DJ6,3,FALSE),0),0))&gt;=0,1+(Backdoors!AL2*(IF((Backdoors!AI12+IF(GB36&gt;=0.45,VLOOKUP(Calculator!E23,tbSkills!DH3:DI6,2,FALSE)+IF(AND(Calculator!B8=TRUE,Backdoors!BI29=TRUE),VLOOKUP(Calculator!E23,tbSkills!DH3:DJ6,3,FALSE),0),0))&gt;=100,100,(Backdoors!AI12+IF(GB36&gt;=0.45,VLOOKUP(Calculator!E23,tbSkills!DH3:DI6,2,FALSE)+IF(AND(Calculator!B8=TRUE,Backdoors!BI29=TRUE),VLOOKUP(Calculator!E23,tbSkills!DH3:DJ6,3,FALSE),0),0)))/100)),(1-(0.25*((-Backdoors!AI12-IF(GB36&gt;=0.45,VLOOKUP(Calculator!E23,tbSkills!DH3:DI6,2,FALSE)+IF(AND(Calculator!B8=TRUE,Backdoors!BI29=TRUE),VLOOKUP(Calculator!E23,tbSkills!DH3:DJ6,3,FALSE),0),0))/100)))),1),"")</f>
        <v>1</v>
      </c>
      <c r="GE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B36)*GD36)*(VLOOKUP(A36,tbMoveset!A2:C112,3,FALSE)/100)*IF(VLOOKUP(A36,tbMoveset!A2:B112,2,FALSE)="Projectile",Backdoors!N10,Backdoors!N9),0),"")</f>
        <v/>
      </c>
      <c r="GF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B36&gt;=0.45,VLOOKUP(Calculator!E23,tbSkills!DH3:DI6,2,FALSE)+IF(AND(Calculator!B8=TRUE,Backdoors!BI29=TRUE),VLOOKUP(Calculator!E23,tbSkills!DH3:DJ6,3,FALSE),0),0))&gt;=100,100,(Backdoors!AI12+IF(GB36&gt;=0.45,VLOOKUP(Calculator!E23,tbSkills!DH3:DI6,2,FALSE)+IF(AND(Calculator!B8=TRUE,Backdoors!BI29=TRUE),VLOOKUP(Calculator!E23,tbSkills!DH3:DJ6,3,FALSE),0),0)))/100)),1))*IF(VLOOKUP(A36,tbMoveset!A2:K112,11,FALSE)=TRUE,Backdoors!AC5,1))*GC36,0),"")</f>
        <v>0</v>
      </c>
      <c r="GG36" s="49">
        <f>VLOOKUP(A36,tbMoveset!A2:G112,7,FALSE)*IFERROR(IF(Backdoors!AI12&gt;=0,1+(IF(Calculator!E40&gt;0,VLOOKUP(Calculator!E40,tbSkills!AI3:AJ5,2,FALSE),Backdoors!AL4)*(IF((Backdoors!AI12+IF(GB36&gt;=0.45,VLOOKUP(Calculator!E23,tbSkills!DH3:DI6,2,FALSE)+IF(AND(Calculator!B8=TRUE,Backdoors!BI29=TRUE),VLOOKUP(Calculator!E23,tbSkills!DH3:DJ6,3,FALSE),0),0))&gt;=100,100,(Backdoors!AI12+IF(GB36&gt;=0.45,VLOOKUP(Calculator!E23,tbSkills!DH3:DI6,2,FALSE)+IF(AND(Calculator!B8=TRUE,Backdoors!BI29=TRUE),VLOOKUP(Calculator!E23,tbSkills!DH3:DJ6,3,FALSE),0),0)))/100)),1),1)</f>
        <v>0.5</v>
      </c>
      <c r="GH36" s="87">
        <f t="shared" si="19"/>
        <v>0</v>
      </c>
      <c r="GI36" s="86" t="str">
        <f>IFERROR(IF(VLOOKUP(A36,tbMoveset!A2:B112,2,FALSE)="Sever",Backdoors!AY30/100,IF(VLOOKUP(A36,tbMoveset!A2:B112,2,FALSE)="Blunt",Backdoors!AZ30/100,Backdoors!BA30/100)),"")</f>
        <v/>
      </c>
      <c r="GJ36" s="49">
        <f>IFERROR(IF(VLOOKUP(tbMoveset!A36,tbMoveset!A2:H112,8,FALSE)="Other",IF(VLOOKUP(tbMoveset!A36,tbMoveset!A2:I112,9,FALSE)="Fire",Backdoors!BB30,IF(VLOOKUP(tbMoveset!A36,tbMoveset!A2:I112,9,FALSE)="Water",Backdoors!BC30,IF(VLOOKUP(tbMoveset!A36,tbMoveset!A2:I112,9,FALSE)="Thunder",Backdoors!BD30,IF(VLOOKUP(tbMoveset!A36,tbMoveset!A2:I112,9,FALSE)="Ice",Backdoors!BE30,IF(VLOOKUP(tbMoveset!A36,tbMoveset!A2:I112,9,FALSE)="Dragon",Backdoors!BF30,Backdoors!BG30)))))/100,Backdoors!BG30/100),"")</f>
        <v>0</v>
      </c>
      <c r="GK36" s="49">
        <f>IFERROR(IF(VLOOKUP(A36,tbMoveset!A2:J112,10,FALSE)=TRUE,IF((Backdoors!AI12+IF(GI36&gt;=0.45,VLOOKUP(Calculator!E23,tbSkills!DH3:DI6,2,FALSE)+IF(AND(Calculator!B8=TRUE,Backdoors!BI30=TRUE),VLOOKUP(Calculator!E23,tbSkills!DH3:DJ6,3,FALSE),0),0))&gt;=0,1+(Backdoors!AL2*(IF((Backdoors!AI12+IF(GI36&gt;=0.45,VLOOKUP(Calculator!E23,tbSkills!DH3:DI6,2,FALSE)+IF(AND(Calculator!B8=TRUE,Backdoors!BI30=TRUE),VLOOKUP(Calculator!E23,tbSkills!DH3:DJ6,3,FALSE),0),0))&gt;=100,100,(Backdoors!AI12+IF(GI36&gt;=0.45,VLOOKUP(Calculator!E23,tbSkills!DH3:DI6,2,FALSE)+IF(AND(Calculator!B8=TRUE,Backdoors!BI30=TRUE),VLOOKUP(Calculator!E23,tbSkills!DH3:DJ6,3,FALSE),0),0)))/100)),(1-(0.25*((-Backdoors!AI12-IF(GI36&gt;=0.45,VLOOKUP(Calculator!E23,tbSkills!DH3:DI6,2,FALSE)+IF(AND(Calculator!B8=TRUE,Backdoors!BI30=TRUE),VLOOKUP(Calculator!E23,tbSkills!DH3:DJ6,3,FALSE),0),0))/100)))),1),"")</f>
        <v>1</v>
      </c>
      <c r="GL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I36)*GK36)*(VLOOKUP(A36,tbMoveset!A2:C112,3,FALSE)/100)*IF(VLOOKUP(A36,tbMoveset!A2:B112,2,FALSE)="Projectile",Backdoors!N10,Backdoors!N9),0),"")</f>
        <v/>
      </c>
      <c r="GM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I36&gt;=0.45,VLOOKUP(Calculator!E23,tbSkills!DH3:DI6,2,FALSE)+IF(AND(Calculator!B8=TRUE,Backdoors!BI30=TRUE),VLOOKUP(Calculator!E23,tbSkills!DH3:DJ6,3,FALSE),0),0))&gt;=100,100,(Backdoors!AI12+IF(GI36&gt;=0.45,VLOOKUP(Calculator!E23,tbSkills!DH3:DI6,2,FALSE)+IF(AND(Calculator!B8=TRUE,Backdoors!BI30=TRUE),VLOOKUP(Calculator!E23,tbSkills!DH3:DJ6,3,FALSE),0),0)))/100)),1))*IF(VLOOKUP(A36,tbMoveset!A2:K112,11,FALSE)=TRUE,Backdoors!AC5,1))*GJ36,0),"")</f>
        <v>0</v>
      </c>
      <c r="GN36" s="49">
        <f>VLOOKUP(A36,tbMoveset!A2:G112,7,FALSE)*IFERROR(IF(Backdoors!AI12&gt;=0,1+(IF(Calculator!E40&gt;0,VLOOKUP(Calculator!E40,tbSkills!AI3:AJ5,2,FALSE),Backdoors!AL4)*(IF((Backdoors!AI12+IF(GI36&gt;=0.45,VLOOKUP(Calculator!E23,tbSkills!DH3:DI6,2,FALSE)+IF(AND(Calculator!B8=TRUE,Backdoors!BI30=TRUE),VLOOKUP(Calculator!E23,tbSkills!DH3:DJ6,3,FALSE),0),0))&gt;=100,100,(Backdoors!AI12+IF(GI36&gt;=0.45,VLOOKUP(Calculator!E23,tbSkills!DH3:DI6,2,FALSE)+IF(AND(Calculator!B8=TRUE,Backdoors!BI30=TRUE),VLOOKUP(Calculator!E23,tbSkills!DH3:DJ6,3,FALSE),0),0)))/100)),1),1)</f>
        <v>0.5</v>
      </c>
      <c r="GO36" s="87">
        <f t="shared" si="20"/>
        <v>0</v>
      </c>
      <c r="GP36" s="86" t="str">
        <f>IFERROR(IF(VLOOKUP(A36,tbMoveset!A2:B112,2,FALSE)="Sever",Backdoors!AY31/100,IF(VLOOKUP(A36,tbMoveset!A2:B112,2,FALSE)="Blunt",Backdoors!AZ31/100,Backdoors!BA31/100)),"")</f>
        <v/>
      </c>
      <c r="GQ36" s="49">
        <f>IFERROR(IF(VLOOKUP(tbMoveset!A36,tbMoveset!A2:H112,8,FALSE)="Other",IF(VLOOKUP(tbMoveset!A36,tbMoveset!A2:I112,9,FALSE)="Fire",Backdoors!BB31,IF(VLOOKUP(tbMoveset!A36,tbMoveset!A2:I112,9,FALSE)="Water",Backdoors!BC31,IF(VLOOKUP(tbMoveset!A36,tbMoveset!A2:I112,9,FALSE)="Thunder",Backdoors!BD31,IF(VLOOKUP(tbMoveset!A36,tbMoveset!A2:I112,9,FALSE)="Ice",Backdoors!BE31,IF(VLOOKUP(tbMoveset!A36,tbMoveset!A2:I112,9,FALSE)="Dragon",Backdoors!BF31,Backdoors!BG31)))))/100,Backdoors!BG31/100),"")</f>
        <v>0</v>
      </c>
      <c r="GR36" s="49">
        <f>IFERROR(IF(VLOOKUP(A36,tbMoveset!A2:J112,10,FALSE)=TRUE,IF((Backdoors!AI12+IF(GP36&gt;=0.45,VLOOKUP(Calculator!E23,tbSkills!DH3:DI6,2,FALSE)+IF(AND(Calculator!B8=TRUE,Backdoors!BI31=TRUE),VLOOKUP(Calculator!E23,tbSkills!DH3:DJ6,3,FALSE),0),0))&gt;=0,1+(Backdoors!AL2*(IF((Backdoors!AI12+IF(GP36&gt;=0.45,VLOOKUP(Calculator!E23,tbSkills!DH3:DI6,2,FALSE)+IF(AND(Calculator!B8=TRUE,Backdoors!BI31=TRUE),VLOOKUP(Calculator!E23,tbSkills!DH3:DJ6,3,FALSE),0),0))&gt;=100,100,(Backdoors!AI12+IF(GP36&gt;=0.45,VLOOKUP(Calculator!E23,tbSkills!DH3:DI6,2,FALSE)+IF(AND(Calculator!B8=TRUE,Backdoors!BI31=TRUE),VLOOKUP(Calculator!E23,tbSkills!DH3:DJ6,3,FALSE),0),0)))/100)),(1-(0.25*((-Backdoors!AI12-IF(GP36&gt;=0.45,VLOOKUP(Calculator!E23,tbSkills!DH3:DI6,2,FALSE)+IF(AND(Calculator!B8=TRUE,Backdoors!BI31=TRUE),VLOOKUP(Calculator!E23,tbSkills!DH3:DJ6,3,FALSE),0),0))/100)))),1),"")</f>
        <v>1</v>
      </c>
      <c r="GS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P36)*GR36)*(VLOOKUP(A36,tbMoveset!A2:C112,3,FALSE)/100)*IF(VLOOKUP(A36,tbMoveset!A2:B112,2,FALSE)="Projectile",Backdoors!N10,Backdoors!N9),0),"")</f>
        <v/>
      </c>
      <c r="GT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P36&gt;=0.45,VLOOKUP(Calculator!E23,tbSkills!DH3:DI6,2,FALSE)+IF(AND(Calculator!B8=TRUE,Backdoors!BI31=TRUE),VLOOKUP(Calculator!E23,tbSkills!DH3:DJ6,3,FALSE),0),0))&gt;=100,100,(Backdoors!AI12+IF(GP36&gt;=0.45,VLOOKUP(Calculator!E23,tbSkills!DH3:DI6,2,FALSE)+IF(AND(Calculator!B8=TRUE,Backdoors!BI31=TRUE),VLOOKUP(Calculator!E23,tbSkills!DH3:DJ6,3,FALSE),0),0)))/100)),1))*IF(VLOOKUP(A36,tbMoveset!A2:K112,11,FALSE)=TRUE,Backdoors!AC5,1))*GQ36,0),"")</f>
        <v>0</v>
      </c>
      <c r="GU36" s="49">
        <f>VLOOKUP(A36,tbMoveset!A2:G112,7,FALSE)*IFERROR(IF(Backdoors!AI12&gt;=0,1+(IF(Calculator!E40&gt;0,VLOOKUP(Calculator!E40,tbSkills!AI3:AJ5,2,FALSE),Backdoors!AL4)*(IF((Backdoors!AI12+IF(GP36&gt;=0.45,VLOOKUP(Calculator!E23,tbSkills!DH3:DI6,2,FALSE)+IF(AND(Calculator!B8=TRUE,Backdoors!BI31=TRUE),VLOOKUP(Calculator!E23,tbSkills!DH3:DJ6,3,FALSE),0),0))&gt;=100,100,(Backdoors!AI12+IF(GP36&gt;=0.45,VLOOKUP(Calculator!E23,tbSkills!DH3:DI6,2,FALSE)+IF(AND(Calculator!B8=TRUE,Backdoors!BI31=TRUE),VLOOKUP(Calculator!E23,tbSkills!DH3:DJ6,3,FALSE),0),0)))/100)),1),1)</f>
        <v>0.5</v>
      </c>
      <c r="GV36" s="87">
        <f t="shared" si="21"/>
        <v>0</v>
      </c>
      <c r="GW36" s="86" t="str">
        <f>IFERROR(IF(VLOOKUP(A36,tbMoveset!A2:B112,2,FALSE)="Sever",Backdoors!AY32/100,IF(VLOOKUP(A36,tbMoveset!A2:B112,2,FALSE)="Blunt",Backdoors!AZ32/100,Backdoors!BA32/100)),"")</f>
        <v/>
      </c>
      <c r="GX36" s="49">
        <f>IFERROR(IF(VLOOKUP(tbMoveset!A36,tbMoveset!A2:H112,8,FALSE)="Other",IF(VLOOKUP(tbMoveset!A36,tbMoveset!A2:I112,9,FALSE)="Fire",Backdoors!BB32,IF(VLOOKUP(tbMoveset!A36,tbMoveset!A2:I112,9,FALSE)="Water",Backdoors!BC32,IF(VLOOKUP(tbMoveset!A36,tbMoveset!A2:I112,9,FALSE)="Thunder",Backdoors!BD32,IF(VLOOKUP(tbMoveset!A36,tbMoveset!A2:I112,9,FALSE)="Ice",Backdoors!BE32,IF(VLOOKUP(tbMoveset!A36,tbMoveset!A2:I112,9,FALSE)="Dragon",Backdoors!BF32,Backdoors!BG32)))))/100,Backdoors!BG32/100),"")</f>
        <v>0</v>
      </c>
      <c r="GY36" s="49">
        <f>IFERROR(IF(VLOOKUP(A36,tbMoveset!A2:J112,10,FALSE)=TRUE,IF((Backdoors!AI12+IF(GW36&gt;=0.45,VLOOKUP(Calculator!E23,tbSkills!DH3:DI6,2,FALSE)+IF(AND(Calculator!B8=TRUE,Backdoors!BI32=TRUE),VLOOKUP(Calculator!E23,tbSkills!DH3:DJ6,3,FALSE),0),0))&gt;=0,1+(Backdoors!AL2*(IF((Backdoors!AI12+IF(GW36&gt;=0.45,VLOOKUP(Calculator!E23,tbSkills!DH3:DI6,2,FALSE)+IF(AND(Calculator!B8=TRUE,Backdoors!BI32=TRUE),VLOOKUP(Calculator!E23,tbSkills!DH3:DJ6,3,FALSE),0),0))&gt;=100,100,(Backdoors!AI12+IF(GW36&gt;=0.45,VLOOKUP(Calculator!E23,tbSkills!DH3:DI6,2,FALSE)+IF(AND(Calculator!B8=TRUE,Backdoors!BI32=TRUE),VLOOKUP(Calculator!E23,tbSkills!DH3:DJ6,3,FALSE),0),0)))/100)),(1-(0.25*((-Backdoors!AI12-IF(GW36&gt;=0.45,VLOOKUP(Calculator!E23,tbSkills!DH3:DI6,2,FALSE)+IF(AND(Calculator!B8=TRUE,Backdoors!BI32=TRUE),VLOOKUP(Calculator!E23,tbSkills!DH3:DJ6,3,FALSE),0),0))/100)))),1),"")</f>
        <v>1</v>
      </c>
      <c r="GZ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W36)*GY36)*(VLOOKUP(A36,tbMoveset!A2:C112,3,FALSE)/100)*IF(VLOOKUP(A36,tbMoveset!A2:B112,2,FALSE)="Projectile",Backdoors!N10,Backdoors!N9),0),"")</f>
        <v/>
      </c>
      <c r="HA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W36&gt;=0.45,VLOOKUP(Calculator!E23,tbSkills!DH3:DI6,2,FALSE)+IF(AND(Calculator!B8=TRUE,Backdoors!BI32=TRUE),VLOOKUP(Calculator!E23,tbSkills!DH3:DJ6,3,FALSE),0),0))&gt;=100,100,(Backdoors!AI12+IF(GW36&gt;=0.45,VLOOKUP(Calculator!E23,tbSkills!DH3:DI6,2,FALSE)+IF(AND(Calculator!B8=TRUE,Backdoors!BI32=TRUE),VLOOKUP(Calculator!E23,tbSkills!DH3:DJ6,3,FALSE),0),0)))/100)),1))*IF(VLOOKUP(A36,tbMoveset!A2:K112,11,FALSE)=TRUE,Backdoors!AC5,1))*GX36,0),"")</f>
        <v>0</v>
      </c>
      <c r="HB36" s="49">
        <f>VLOOKUP(A36,tbMoveset!A2:G112,7,FALSE)*IFERROR(IF(Backdoors!AI12&gt;=0,1+(IF(Calculator!E40&gt;0,VLOOKUP(Calculator!E40,tbSkills!AI3:AJ5,2,FALSE),Backdoors!AL4)*(IF((Backdoors!AI12+IF(GW36&gt;=0.45,VLOOKUP(Calculator!E23,tbSkills!DH3:DI6,2,FALSE)+IF(AND(Calculator!B8=TRUE,Backdoors!BI32=TRUE),VLOOKUP(Calculator!E23,tbSkills!DH3:DJ6,3,FALSE),0),0))&gt;=100,100,(Backdoors!AI12+IF(GW36&gt;=0.45,VLOOKUP(Calculator!E23,tbSkills!DH3:DI6,2,FALSE)+IF(AND(Calculator!B8=TRUE,Backdoors!BI32=TRUE),VLOOKUP(Calculator!E23,tbSkills!DH3:DJ6,3,FALSE),0),0)))/100)),1),1)</f>
        <v>0.5</v>
      </c>
      <c r="HC36" s="87">
        <f t="shared" si="22"/>
        <v>0</v>
      </c>
      <c r="HD36" s="86" t="str">
        <f>IFERROR(IF(VLOOKUP(A36,tbMoveset!A2:B112,2,FALSE)="Sever",Backdoors!AY33/100,IF(VLOOKUP(A36,tbMoveset!A2:B112,2,FALSE)="Blunt",Backdoors!AZ33/100,Backdoors!BA33/100)),"")</f>
        <v/>
      </c>
      <c r="HE36" s="49">
        <f>IFERROR(IF(VLOOKUP(tbMoveset!A36,tbMoveset!A2:H112,8,FALSE)="Other",IF(VLOOKUP(tbMoveset!A36,tbMoveset!A2:I112,9,FALSE)="Fire",Backdoors!BB33,IF(VLOOKUP(tbMoveset!A36,tbMoveset!A2:I112,9,FALSE)="Water",Backdoors!BC33,IF(VLOOKUP(tbMoveset!A36,tbMoveset!A2:I112,9,FALSE)="Thunder",Backdoors!BD33,IF(VLOOKUP(tbMoveset!A36,tbMoveset!A2:I112,9,FALSE)="Ice",Backdoors!BE33,IF(VLOOKUP(tbMoveset!A36,tbMoveset!A2:I112,9,FALSE)="Dragon",Backdoors!BF33,Backdoors!BG33)))))/100,Backdoors!BG33/100),"")</f>
        <v>0</v>
      </c>
      <c r="HF36" s="49">
        <f>IFERROR(IF(VLOOKUP(A36,tbMoveset!A2:J112,10,FALSE)=TRUE,IF((Backdoors!AI12+IF(HD36&gt;=0.45,VLOOKUP(Calculator!E23,tbSkills!DH3:DI6,2,FALSE)+IF(AND(Calculator!B8=TRUE,Backdoors!BI33=TRUE),VLOOKUP(Calculator!E23,tbSkills!DH3:DJ6,3,FALSE),0),0))&gt;=0,1+(Backdoors!AL2*(IF((Backdoors!AI12+IF(HD36&gt;=0.45,VLOOKUP(Calculator!E23,tbSkills!DH3:DI6,2,FALSE)+IF(AND(Calculator!B8=TRUE,Backdoors!BI33=TRUE),VLOOKUP(Calculator!E23,tbSkills!DH3:DJ6,3,FALSE),0),0))&gt;=100,100,(Backdoors!AI12+IF(HD36&gt;=0.45,VLOOKUP(Calculator!E23,tbSkills!DH3:DI6,2,FALSE)+IF(AND(Calculator!B8=TRUE,Backdoors!BI33=TRUE),VLOOKUP(Calculator!E23,tbSkills!DH3:DJ6,3,FALSE),0),0)))/100)),(1-(0.25*((-Backdoors!AI12-IF(HD36&gt;=0.45,VLOOKUP(Calculator!E23,tbSkills!DH3:DI6,2,FALSE)+IF(AND(Calculator!B8=TRUE,Backdoors!BI33=TRUE),VLOOKUP(Calculator!E23,tbSkills!DH3:DJ6,3,FALSE),0),0))/100)))),1),"")</f>
        <v>1</v>
      </c>
      <c r="HG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D36)*HF36)*(VLOOKUP(A36,tbMoveset!A2:C112,3,FALSE)/100)*IF(VLOOKUP(A36,tbMoveset!A2:B112,2,FALSE)="Projectile",Backdoors!N10,Backdoors!N9),0),"")</f>
        <v/>
      </c>
      <c r="HH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D36&gt;=0.45,VLOOKUP(Calculator!E23,tbSkills!DH3:DI6,2,FALSE)+IF(AND(Calculator!B8=TRUE,Backdoors!BI33=TRUE),VLOOKUP(Calculator!E23,tbSkills!DH3:DJ6,3,FALSE),0),0))&gt;=100,100,(Backdoors!AI12+IF(HD36&gt;=0.45,VLOOKUP(Calculator!E23,tbSkills!DH3:DI6,2,FALSE)+IF(AND(Calculator!B8=TRUE,Backdoors!BI33=TRUE),VLOOKUP(Calculator!E23,tbSkills!DH3:DJ6,3,FALSE),0),0)))/100)),1))*IF(VLOOKUP(A36,tbMoveset!A2:K112,11,FALSE)=TRUE,Backdoors!AC5,1))*HE36,0),"")</f>
        <v>0</v>
      </c>
      <c r="HI36" s="49">
        <f>VLOOKUP(A36,tbMoveset!A2:G112,7,FALSE)*IFERROR(IF(Backdoors!AI12&gt;=0,1+(IF(Calculator!E40&gt;0,VLOOKUP(Calculator!E40,tbSkills!AI3:AJ5,2,FALSE),Backdoors!AL4)*(IF((Backdoors!AI12+IF(HD36&gt;=0.45,VLOOKUP(Calculator!E23,tbSkills!DH3:DI6,2,FALSE)+IF(AND(Calculator!B8=TRUE,Backdoors!BI33=TRUE),VLOOKUP(Calculator!E23,tbSkills!DH3:DJ6,3,FALSE),0),0))&gt;=100,100,(Backdoors!AI12+IF(HD36&gt;=0.45,VLOOKUP(Calculator!E23,tbSkills!DH3:DI6,2,FALSE)+IF(AND(Calculator!B8=TRUE,Backdoors!BI33=TRUE),VLOOKUP(Calculator!E23,tbSkills!DH3:DJ6,3,FALSE),0),0)))/100)),1),1)</f>
        <v>0.5</v>
      </c>
      <c r="HJ36" s="87">
        <f t="shared" si="23"/>
        <v>0</v>
      </c>
      <c r="HK36" s="86" t="str">
        <f>IFERROR(IF(VLOOKUP(A36,tbMoveset!A2:B112,2,FALSE)="Sever",Backdoors!AY34/100,IF(VLOOKUP(A36,tbMoveset!A2:B112,2,FALSE)="Blunt",Backdoors!AZ34/100,Backdoors!BA34/100)),"")</f>
        <v/>
      </c>
      <c r="HL36" s="49">
        <f>IFERROR(IF(VLOOKUP(tbMoveset!A36,tbMoveset!A2:H112,8,FALSE)="Other",IF(VLOOKUP(tbMoveset!A36,tbMoveset!A2:I112,9,FALSE)="Fire",Backdoors!BB34,IF(VLOOKUP(tbMoveset!A36,tbMoveset!A2:I112,9,FALSE)="Water",Backdoors!BC34,IF(VLOOKUP(tbMoveset!A36,tbMoveset!A2:I112,9,FALSE)="Thunder",Backdoors!BD34,IF(VLOOKUP(tbMoveset!A36,tbMoveset!A2:I112,9,FALSE)="Ice",Backdoors!BE34,IF(VLOOKUP(tbMoveset!A36,tbMoveset!A2:I112,9,FALSE)="Dragon",Backdoors!BF34,Backdoors!BG34)))))/100,Backdoors!BG34/100),"")</f>
        <v>0</v>
      </c>
      <c r="HM36" s="49">
        <f>IFERROR(IF(VLOOKUP(A36,tbMoveset!A2:J112,10,FALSE)=TRUE,IF((Backdoors!AI12+IF(HK36&gt;=0.45,VLOOKUP(Calculator!E23,tbSkills!DH3:DI6,2,FALSE)+IF(AND(Calculator!B8=TRUE,Backdoors!BI34=TRUE),VLOOKUP(Calculator!E23,tbSkills!DH3:DJ6,3,FALSE),0),0))&gt;=0,1+(Backdoors!AL2*(IF((Backdoors!AI12+IF(HK36&gt;=0.45,VLOOKUP(Calculator!E23,tbSkills!DH3:DI6,2,FALSE)+IF(AND(Calculator!B8=TRUE,Backdoors!BI34=TRUE),VLOOKUP(Calculator!E23,tbSkills!DH3:DJ6,3,FALSE),0),0))&gt;=100,100,(Backdoors!AI12+IF(HK36&gt;=0.45,VLOOKUP(Calculator!E23,tbSkills!DH3:DI6,2,FALSE)+IF(AND(Calculator!B8=TRUE,Backdoors!BI34=TRUE),VLOOKUP(Calculator!E23,tbSkills!DH3:DJ6,3,FALSE),0),0)))/100)),(1-(0.25*((-Backdoors!AI12-IF(HK36&gt;=0.45,VLOOKUP(Calculator!E23,tbSkills!DH3:DI6,2,FALSE)+IF(AND(Calculator!B8=TRUE,Backdoors!BI34=TRUE),VLOOKUP(Calculator!E23,tbSkills!DH3:DJ6,3,FALSE),0),0))/100)))),1),"")</f>
        <v>1</v>
      </c>
      <c r="HN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K36)*HM36)*(VLOOKUP(A36,tbMoveset!A2:C112,3,FALSE)/100)*IF(VLOOKUP(A36,tbMoveset!A2:B112,2,FALSE)="Projectile",Backdoors!N10,Backdoors!N9),0),"")</f>
        <v/>
      </c>
      <c r="HO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K36&gt;=0.45,VLOOKUP(Calculator!E23,tbSkills!DH3:DI6,2,FALSE)+IF(AND(Calculator!B8=TRUE,Backdoors!BI34=TRUE),VLOOKUP(Calculator!E23,tbSkills!DH3:DJ6,3,FALSE),0),0))&gt;=100,100,(Backdoors!AI12+IF(HK36&gt;=0.45,VLOOKUP(Calculator!E23,tbSkills!DH3:DI6,2,FALSE)+IF(AND(Calculator!B8=TRUE,Backdoors!BI34=TRUE),VLOOKUP(Calculator!E23,tbSkills!DH3:DJ6,3,FALSE),0),0)))/100)),1))*IF(VLOOKUP(A36,tbMoveset!A2:K112,11,FALSE)=TRUE,Backdoors!AC5,1))*HL36,0),"")</f>
        <v>0</v>
      </c>
      <c r="HP36" s="49">
        <f>VLOOKUP(A36,tbMoveset!A2:G112,7,FALSE)*IFERROR(IF(Backdoors!AI12&gt;=0,1+(IF(Calculator!E40&gt;0,VLOOKUP(Calculator!E40,tbSkills!AI3:AJ5,2,FALSE),Backdoors!AL4)*(IF((Backdoors!AI12+IF(HK36&gt;=0.45,VLOOKUP(Calculator!E23,tbSkills!DH3:DI6,2,FALSE)+IF(AND(Calculator!B8=TRUE,Backdoors!BI34=TRUE),VLOOKUP(Calculator!E23,tbSkills!DH3:DJ6,3,FALSE),0),0))&gt;=100,100,(Backdoors!AI12+IF(HK36&gt;=0.45,VLOOKUP(Calculator!E23,tbSkills!DH3:DI6,2,FALSE)+IF(AND(Calculator!B8=TRUE,Backdoors!BI34=TRUE),VLOOKUP(Calculator!E23,tbSkills!DH3:DJ6,3,FALSE),0),0)))/100)),1),1)</f>
        <v>0.5</v>
      </c>
      <c r="HQ36" s="87">
        <f t="shared" si="24"/>
        <v>0</v>
      </c>
      <c r="HR36" s="86" t="str">
        <f>IFERROR(IF(VLOOKUP(A36,tbMoveset!A2:B112,2,FALSE)="Sever",Backdoors!AY35/100,IF(VLOOKUP(A36,tbMoveset!A2:B112,2,FALSE)="Blunt",Backdoors!AZ35/100,Backdoors!BA35/100)),"")</f>
        <v/>
      </c>
      <c r="HS36" s="49">
        <f>IFERROR(IF(VLOOKUP(tbMoveset!A36,tbMoveset!A2:H112,8,FALSE)="Other",IF(VLOOKUP(tbMoveset!A36,tbMoveset!A2:I112,9,FALSE)="Fire",Backdoors!BB35,IF(VLOOKUP(tbMoveset!A36,tbMoveset!A2:I112,9,FALSE)="Water",Backdoors!BC35,IF(VLOOKUP(tbMoveset!A36,tbMoveset!A2:I112,9,FALSE)="Thunder",Backdoors!BD35,IF(VLOOKUP(tbMoveset!A36,tbMoveset!A2:I112,9,FALSE)="Ice",Backdoors!BE35,IF(VLOOKUP(tbMoveset!A36,tbMoveset!A2:I112,9,FALSE)="Dragon",Backdoors!BF35,Backdoors!BG35)))))/100,Backdoors!BG35/100),"")</f>
        <v>0</v>
      </c>
      <c r="HT36" s="49">
        <f>IFERROR(IF(VLOOKUP(A36,tbMoveset!A2:J112,10,FALSE)=TRUE,IF((Backdoors!AI12+IF(HR36&gt;=0.45,VLOOKUP(Calculator!E23,tbSkills!DH3:DI6,2,FALSE)+IF(AND(Calculator!B8=TRUE,Backdoors!BI35=TRUE),VLOOKUP(Calculator!E23,tbSkills!DH3:DJ6,3,FALSE),0),0))&gt;=0,1+(Backdoors!AL2*(IF((Backdoors!AI12+IF(HR36&gt;=0.45,VLOOKUP(Calculator!E23,tbSkills!DH3:DI6,2,FALSE)+IF(AND(Calculator!B8=TRUE,Backdoors!BI35=TRUE),VLOOKUP(Calculator!E23,tbSkills!DH3:DJ6,3,FALSE),0),0))&gt;=100,100,(Backdoors!AI12+IF(HR36&gt;=0.45,VLOOKUP(Calculator!E23,tbSkills!DH3:DI6,2,FALSE)+IF(AND(Calculator!B8=TRUE,Backdoors!BI35=TRUE),VLOOKUP(Calculator!E23,tbSkills!DH3:DJ6,3,FALSE),0),0)))/100)),(1-(0.25*((-Backdoors!AI12-IF(HR36&gt;=0.45,VLOOKUP(Calculator!E23,tbSkills!DH3:DI6,2,FALSE)+IF(AND(Calculator!B8=TRUE,Backdoors!BI35=TRUE),VLOOKUP(Calculator!E23,tbSkills!DH3:DJ6,3,FALSE),0),0))/100)))),1),"")</f>
        <v>1</v>
      </c>
      <c r="HU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R36)*HT36)*(VLOOKUP(A36,tbMoveset!A2:C112,3,FALSE)/100)*IF(VLOOKUP(A36,tbMoveset!A2:B112,2,FALSE)="Projectile",Backdoors!N10,Backdoors!N9),0),"")</f>
        <v/>
      </c>
      <c r="HV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R36&gt;=0.45,VLOOKUP(Calculator!E23,tbSkills!DH3:DI6,2,FALSE)+IF(AND(Calculator!B8=TRUE,Backdoors!BI35=TRUE),VLOOKUP(Calculator!E23,tbSkills!DH3:DJ6,3,FALSE),0),0))&gt;=100,100,(Backdoors!AI12+IF(HR36&gt;=0.45,VLOOKUP(Calculator!E23,tbSkills!DH3:DI6,2,FALSE)+IF(AND(Calculator!B8=TRUE,Backdoors!BI35=TRUE),VLOOKUP(Calculator!E23,tbSkills!DH3:DJ6,3,FALSE),0),0)))/100)),1))*IF(VLOOKUP(A36,tbMoveset!A2:K112,11,FALSE)=TRUE,Backdoors!AC5,1))*HS36,0),"")</f>
        <v>0</v>
      </c>
      <c r="HW36" s="49">
        <f>VLOOKUP(A36,tbMoveset!A2:G112,7,FALSE)*IFERROR(IF(Backdoors!AI12&gt;=0,1+(IF(Calculator!E40&gt;0,VLOOKUP(Calculator!E40,tbSkills!AI3:AJ5,2,FALSE),Backdoors!AL4)*(IF((Backdoors!AI12+IF(HR36&gt;=0.45,VLOOKUP(Calculator!E23,tbSkills!DH3:DI6,2,FALSE)+IF(AND(Calculator!B8=TRUE,Backdoors!BI35=TRUE),VLOOKUP(Calculator!E23,tbSkills!DH3:DJ6,3,FALSE),0),0))&gt;=100,100,(Backdoors!AI12+IF(HR36&gt;=0.45,VLOOKUP(Calculator!E23,tbSkills!DH3:DI6,2,FALSE)+IF(AND(Calculator!B8=TRUE,Backdoors!BI35=TRUE),VLOOKUP(Calculator!E23,tbSkills!DH3:DJ6,3,FALSE),0),0)))/100)),1),1)</f>
        <v>0.5</v>
      </c>
      <c r="HX36" s="87">
        <f t="shared" si="25"/>
        <v>0</v>
      </c>
      <c r="HY36" s="86" t="str">
        <f>IFERROR(IF(VLOOKUP(A36,tbMoveset!A2:B112,2,FALSE)="Sever",Backdoors!AY36/100,IF(VLOOKUP(A36,tbMoveset!A2:B112,2,FALSE)="Blunt",Backdoors!AZ36/100,Backdoors!BA36/100)),"")</f>
        <v/>
      </c>
      <c r="HZ36" s="49">
        <f>IFERROR(IF(VLOOKUP(tbMoveset!A36,tbMoveset!A2:H112,8,FALSE)="Other",IF(VLOOKUP(tbMoveset!A36,tbMoveset!A2:I112,9,FALSE)="Fire",Backdoors!BB36,IF(VLOOKUP(tbMoveset!A36,tbMoveset!A2:I112,9,FALSE)="Water",Backdoors!BC36,IF(VLOOKUP(tbMoveset!A36,tbMoveset!A2:I112,9,FALSE)="Thunder",Backdoors!BD36,IF(VLOOKUP(tbMoveset!A36,tbMoveset!A2:I112,9,FALSE)="Ice",Backdoors!BE36,IF(VLOOKUP(tbMoveset!A36,tbMoveset!A2:I112,9,FALSE)="Dragon",Backdoors!BF36,Backdoors!BG36)))))/100,Backdoors!BG36/100),"")</f>
        <v>0</v>
      </c>
      <c r="IA36" s="49">
        <f>IFERROR(IF(VLOOKUP(A36,tbMoveset!A2:J112,10,FALSE)=TRUE,IF((Backdoors!AI12+IF(HY36&gt;=0.45,VLOOKUP(Calculator!E23,tbSkills!DH3:DI6,2,FALSE)+IF(AND(Calculator!B8=TRUE,Backdoors!BI36=TRUE),VLOOKUP(Calculator!E23,tbSkills!DH3:DJ6,3,FALSE),0),0))&gt;=0,1+(Backdoors!AL2*(IF((Backdoors!AI12+IF(HY36&gt;=0.45,VLOOKUP(Calculator!E23,tbSkills!DH3:DI6,2,FALSE)+IF(AND(Calculator!B8=TRUE,Backdoors!BI36=TRUE),VLOOKUP(Calculator!E23,tbSkills!DH3:DJ6,3,FALSE),0),0))&gt;=100,100,(Backdoors!AI12+IF(HY36&gt;=0.45,VLOOKUP(Calculator!E23,tbSkills!DH3:DI6,2,FALSE)+IF(AND(Calculator!B8=TRUE,Backdoors!BI36=TRUE),VLOOKUP(Calculator!E23,tbSkills!DH3:DJ6,3,FALSE),0),0)))/100)),(1-(0.25*((-Backdoors!AI12-IF(HY36&gt;=0.45,VLOOKUP(Calculator!E23,tbSkills!DH3:DI6,2,FALSE)+IF(AND(Calculator!B8=TRUE,Backdoors!BI36=TRUE),VLOOKUP(Calculator!E23,tbSkills!DH3:DJ6,3,FALSE),0),0))/100)))),1),"")</f>
        <v>1</v>
      </c>
      <c r="IB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Y36)*IA36)*(VLOOKUP(A36,tbMoveset!A2:C112,3,FALSE)/100)*IF(VLOOKUP(A36,tbMoveset!A2:B112,2,FALSE)="Projectile",Backdoors!N10,Backdoors!N9),0),"")</f>
        <v/>
      </c>
      <c r="IC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Y36&gt;=0.45,VLOOKUP(Calculator!E23,tbSkills!DH3:DI6,2,FALSE)+IF(AND(Calculator!B8=TRUE,Backdoors!BI36=TRUE),VLOOKUP(Calculator!E23,tbSkills!DH3:DJ6,3,FALSE),0),0))&gt;=100,100,(Backdoors!AI12+IF(HY36&gt;=0.45,VLOOKUP(Calculator!E23,tbSkills!DH3:DI6,2,FALSE)+IF(AND(Calculator!B8=TRUE,Backdoors!BI36=TRUE),VLOOKUP(Calculator!E23,tbSkills!DH3:DJ6,3,FALSE),0),0)))/100)),1))*IF(VLOOKUP(A36,tbMoveset!A2:K112,11,FALSE)=TRUE,Backdoors!AC5,1))*HZ36,0),"")</f>
        <v>0</v>
      </c>
      <c r="ID36" s="49">
        <f>VLOOKUP(A36,tbMoveset!A2:G112,7,FALSE)*IFERROR(IF(Backdoors!AI12&gt;=0,1+(IF(Calculator!E40&gt;0,VLOOKUP(Calculator!E40,tbSkills!AI3:AJ5,2,FALSE),Backdoors!AL4)*(IF((Backdoors!AI12+IF(HY36&gt;=0.45,VLOOKUP(Calculator!E23,tbSkills!DH3:DI6,2,FALSE)+IF(AND(Calculator!B8=TRUE,Backdoors!BI36=TRUE),VLOOKUP(Calculator!E23,tbSkills!DH3:DJ6,3,FALSE),0),0))&gt;=100,100,(Backdoors!AI12+IF(HY36&gt;=0.45,VLOOKUP(Calculator!E23,tbSkills!DH3:DI6,2,FALSE)+IF(AND(Calculator!B8=TRUE,Backdoors!BI36=TRUE),VLOOKUP(Calculator!E23,tbSkills!DH3:DJ6,3,FALSE),0),0)))/100)),1),1)</f>
        <v>0.5</v>
      </c>
      <c r="IE36" s="87">
        <f t="shared" si="26"/>
        <v>0</v>
      </c>
      <c r="IF36" s="86" t="str">
        <f>IFERROR(IF(VLOOKUP(A36,tbMoveset!A2:B112,2,FALSE)="Sever",Backdoors!AY37/100,IF(VLOOKUP(A36,tbMoveset!A2:B112,2,FALSE)="Blunt",Backdoors!AZ37/100,Backdoors!BA37/100)),"")</f>
        <v/>
      </c>
      <c r="IG36" s="49">
        <f>IFERROR(IF(VLOOKUP(tbMoveset!A36,tbMoveset!A2:H112,8,FALSE)="Other",IF(VLOOKUP(tbMoveset!A36,tbMoveset!A2:I112,9,FALSE)="Fire",Backdoors!BB37,IF(VLOOKUP(tbMoveset!A36,tbMoveset!A2:I112,9,FALSE)="Water",Backdoors!BC37,IF(VLOOKUP(tbMoveset!A36,tbMoveset!A2:I112,9,FALSE)="Thunder",Backdoors!BD37,IF(VLOOKUP(tbMoveset!A36,tbMoveset!A2:I112,9,FALSE)="Ice",Backdoors!BE37,IF(VLOOKUP(tbMoveset!A36,tbMoveset!A2:I112,9,FALSE)="Dragon",Backdoors!BF37,Backdoors!BG37)))))/100,Backdoors!BG37/100),"")</f>
        <v>0</v>
      </c>
      <c r="IH36" s="49">
        <f>IFERROR(IF(VLOOKUP(A36,tbMoveset!A2:J112,10,FALSE)=TRUE,IF((Backdoors!AI12+IF(IF36&gt;=0.45,VLOOKUP(Calculator!E23,tbSkills!DH3:DI6,2,FALSE)+IF(AND(Calculator!B8=TRUE,Backdoors!BI37=TRUE),VLOOKUP(Calculator!E23,tbSkills!DH3:DJ6,3,FALSE),0),0))&gt;=0,1+(Backdoors!AL2*(IF((Backdoors!AI12+IF(IF36&gt;=0.45,VLOOKUP(Calculator!E23,tbSkills!DH3:DI6,2,FALSE)+IF(AND(Calculator!B8=TRUE,Backdoors!BI37=TRUE),VLOOKUP(Calculator!E23,tbSkills!DH3:DJ6,3,FALSE),0),0))&gt;=100,100,(Backdoors!AI12+IF(IF36&gt;=0.45,VLOOKUP(Calculator!E23,tbSkills!DH3:DI6,2,FALSE)+IF(AND(Calculator!B8=TRUE,Backdoors!BI37=TRUE),VLOOKUP(Calculator!E23,tbSkills!DH3:DJ6,3,FALSE),0),0)))/100)),(1-(0.25*((-Backdoors!AI12-IF(IF36&gt;=0.45,VLOOKUP(Calculator!E23,tbSkills!DH3:DI6,2,FALSE)+IF(AND(Calculator!B8=TRUE,Backdoors!BI37=TRUE),VLOOKUP(Calculator!E23,tbSkills!DH3:DJ6,3,FALSE),0),0))/100)))),1),"")</f>
        <v>1</v>
      </c>
      <c r="II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F36)*IH36)*(VLOOKUP(A36,tbMoveset!A2:C112,3,FALSE)/100)*IF(VLOOKUP(A36,tbMoveset!A2:B112,2,FALSE)="Projectile",Backdoors!N10,Backdoors!N9),0),"")</f>
        <v/>
      </c>
      <c r="IJ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IF36&gt;=0.45,VLOOKUP(Calculator!E23,tbSkills!DH3:DI6,2,FALSE)+IF(AND(Calculator!B8=TRUE,Backdoors!BI37=TRUE),VLOOKUP(Calculator!E23,tbSkills!DH3:DJ6,3,FALSE),0),0))&gt;=100,100,(Backdoors!AI12+IF(IF36&gt;=0.45,VLOOKUP(Calculator!E23,tbSkills!DH3:DI6,2,FALSE)+IF(AND(Calculator!B8=TRUE,Backdoors!BI37=TRUE),VLOOKUP(Calculator!E23,tbSkills!DH3:DJ6,3,FALSE),0),0)))/100)),1))*IF(VLOOKUP(A36,tbMoveset!A2:K112,11,FALSE)=TRUE,Backdoors!AC5,1))*IG36,0),"")</f>
        <v>0</v>
      </c>
      <c r="IK36" s="49">
        <f>VLOOKUP(A36,tbMoveset!A2:G112,7,FALSE)*IFERROR(IF(Backdoors!AI12&gt;=0,1+(IF(Calculator!E40&gt;0,VLOOKUP(Calculator!E40,tbSkills!AI3:AJ5,2,FALSE),Backdoors!AL4)*(IF((Backdoors!AI12+IF(IF36&gt;=0.45,VLOOKUP(Calculator!E23,tbSkills!DH3:DI6,2,FALSE)+IF(AND(Calculator!B8=TRUE,Backdoors!BI37=TRUE),VLOOKUP(Calculator!E23,tbSkills!DH3:DJ6,3,FALSE),0),0))&gt;=100,100,(Backdoors!AI12+IF(IF36&gt;=0.45,VLOOKUP(Calculator!E23,tbSkills!DH3:DI6,2,FALSE)+IF(AND(Calculator!B8=TRUE,Backdoors!BI37=TRUE),VLOOKUP(Calculator!E23,tbSkills!DH3:DJ6,3,FALSE),0),0)))/100)),1),1)</f>
        <v>0.5</v>
      </c>
      <c r="IL36" s="87">
        <f t="shared" si="27"/>
        <v>0</v>
      </c>
      <c r="IM36" s="86" t="str">
        <f>IFERROR(IF(VLOOKUP(A36,tbMoveset!A2:B112,2,FALSE)="Sever",Backdoors!AY38/100,IF(VLOOKUP(A36,tbMoveset!A2:B112,2,FALSE)="Blunt",Backdoors!AZ38/100,Backdoors!BA38/100)),"")</f>
        <v/>
      </c>
      <c r="IN36" s="49">
        <f>IFERROR(IF(VLOOKUP(tbMoveset!A36,tbMoveset!A2:H112,8,FALSE)="Other",IF(VLOOKUP(tbMoveset!A36,tbMoveset!A2:I112,9,FALSE)="Fire",Backdoors!BB38,IF(VLOOKUP(tbMoveset!A36,tbMoveset!A2:I112,9,FALSE)="Water",Backdoors!BC38,IF(VLOOKUP(tbMoveset!A36,tbMoveset!A2:I112,9,FALSE)="Thunder",Backdoors!BD38,IF(VLOOKUP(tbMoveset!A36,tbMoveset!A2:I112,9,FALSE)="Ice",Backdoors!BE38,IF(VLOOKUP(tbMoveset!A36,tbMoveset!A2:I112,9,FALSE)="Dragon",Backdoors!BF38,Backdoors!BG38)))))/100,Backdoors!BG38/100),"")</f>
        <v>0</v>
      </c>
      <c r="IO36" s="49">
        <f>IFERROR(IF(VLOOKUP(A36,tbMoveset!A2:J112,10,FALSE)=TRUE,IF((Backdoors!AI12+IF(IM36&gt;=0.45,VLOOKUP(Calculator!E23,tbSkills!DH3:DI6,2,FALSE)+IF(AND(Calculator!B8=TRUE,Backdoors!BI38=TRUE),VLOOKUP(Calculator!E23,tbSkills!DH3:DJ6,3,FALSE),0),0))&gt;=0,1+(Backdoors!AL2*(IF((Backdoors!AI12+IF(IM36&gt;=0.45,VLOOKUP(Calculator!E23,tbSkills!DH3:DI6,2,FALSE)+IF(AND(Calculator!B8=TRUE,Backdoors!BI38=TRUE),VLOOKUP(Calculator!E23,tbSkills!DH3:DJ6,3,FALSE),0),0))&gt;=100,100,(Backdoors!AI12+IF(IM36&gt;=0.45,VLOOKUP(Calculator!E23,tbSkills!DH3:DI6,2,FALSE)+IF(AND(Calculator!B8=TRUE,Backdoors!BI38=TRUE),VLOOKUP(Calculator!E23,tbSkills!DH3:DJ6,3,FALSE),0),0)))/100)),(1-(0.25*((-Backdoors!AI12-IF(IM36&gt;=0.45,VLOOKUP(Calculator!E23,tbSkills!DH3:DI6,2,FALSE)+IF(AND(Calculator!B8=TRUE,Backdoors!BI38=TRUE),VLOOKUP(Calculator!E23,tbSkills!DH3:DJ6,3,FALSE),0),0))/100)))),1),"")</f>
        <v>1</v>
      </c>
      <c r="IP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M36)*IO36)*(VLOOKUP(A36,tbMoveset!A2:C112,3,FALSE)/100)*IF(VLOOKUP(A36,tbMoveset!A2:B112,2,FALSE)="Projectile",Backdoors!N10,Backdoors!N9),0),"")</f>
        <v/>
      </c>
      <c r="IQ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IM36&gt;=0.45,VLOOKUP(Calculator!E23,tbSkills!DH3:DI6,2,FALSE)+IF(AND(Calculator!B8=TRUE,Backdoors!BI38=TRUE),VLOOKUP(Calculator!E23,tbSkills!DH3:DJ6,3,FALSE),0),0))&gt;=100,100,(Backdoors!AI12+IF(IM36&gt;=0.45,VLOOKUP(Calculator!E23,tbSkills!DH3:DI6,2,FALSE)+IF(AND(Calculator!B8=TRUE,Backdoors!BI38=TRUE),VLOOKUP(Calculator!E23,tbSkills!DH3:DJ6,3,FALSE),0),0)))/100)),1))*IF(VLOOKUP(A36,tbMoveset!A2:K112,11,FALSE)=TRUE,Backdoors!AC5,1))*IN36,0),"")</f>
        <v>0</v>
      </c>
      <c r="IR36" s="49">
        <f>VLOOKUP(A36,tbMoveset!A2:G112,7,FALSE)*IFERROR(IF(Backdoors!AI12&gt;=0,1+(IF(Calculator!E40&gt;0,VLOOKUP(Calculator!E40,tbSkills!AI3:AJ5,2,FALSE),Backdoors!AL4)*(IF((Backdoors!AI12+IF(IM36&gt;=0.45,VLOOKUP(Calculator!E23,tbSkills!DH3:DI6,2,FALSE)+IF(AND(Calculator!B8=TRUE,Backdoors!BI38=TRUE),VLOOKUP(Calculator!E23,tbSkills!DH3:DJ6,3,FALSE),0),0))&gt;=100,100,(Backdoors!AI12+IF(IM36&gt;=0.45,VLOOKUP(Calculator!E23,tbSkills!DH3:DI6,2,FALSE)+IF(AND(Calculator!B8=TRUE,Backdoors!BI38=TRUE),VLOOKUP(Calculator!E23,tbSkills!DH3:DJ6,3,FALSE),0),0)))/100)),1),1)</f>
        <v>0.5</v>
      </c>
      <c r="IS36" s="87">
        <f t="shared" si="42"/>
        <v>0</v>
      </c>
      <c r="IT36" s="86" t="str">
        <f>IFERROR(IF(VLOOKUP(A36,tbMoveset!A2:B112,2,FALSE)="Sever",Backdoors!AY39/100,IF(VLOOKUP(A36,tbMoveset!A2:B112,2,FALSE)="Blunt",Backdoors!AZ39/100,Backdoors!BA39/100)),"")</f>
        <v/>
      </c>
      <c r="IU36" s="49">
        <f>IFERROR(IF(VLOOKUP(tbMoveset!A36,tbMoveset!A2:H112,8,FALSE)="Other",IF(VLOOKUP(tbMoveset!A36,tbMoveset!A2:I112,9,FALSE)="Fire",Backdoors!BB39,IF(VLOOKUP(tbMoveset!A36,tbMoveset!A2:I112,9,FALSE)="Water",Backdoors!BC39,IF(VLOOKUP(tbMoveset!A36,tbMoveset!A2:I112,9,FALSE)="Thunder",Backdoors!BD39,IF(VLOOKUP(tbMoveset!A36,tbMoveset!A2:I112,9,FALSE)="Ice",Backdoors!BE39,IF(VLOOKUP(tbMoveset!A36,tbMoveset!A2:I112,9,FALSE)="Dragon",Backdoors!BF39,Backdoors!BG39)))))/100,Backdoors!BG39/100),"")</f>
        <v>0</v>
      </c>
      <c r="IV36" s="49">
        <f>IFERROR(IF(VLOOKUP(A36,tbMoveset!A2:J112,10,FALSE)=TRUE,IF((Backdoors!AI12+IF(IT36&gt;=0.45,VLOOKUP(Calculator!E23,tbSkills!DH3:DI6,2,FALSE)+IF(AND(Calculator!B8=TRUE,Backdoors!BI39=TRUE),VLOOKUP(Calculator!E23,tbSkills!DH3:DJ6,3,FALSE),0),0))&gt;=0,1+(Backdoors!AL2*(IF((Backdoors!AI12+IF(IT36&gt;=0.45,VLOOKUP(Calculator!E23,tbSkills!DH3:DI6,2,FALSE)+IF(AND(Calculator!B8=TRUE,Backdoors!BI39=TRUE),VLOOKUP(Calculator!E23,tbSkills!DH3:DJ6,3,FALSE),0),0))&gt;=100,100,(Backdoors!AI12+IF(IT36&gt;=0.45,VLOOKUP(Calculator!E23,tbSkills!DH3:DI6,2,FALSE)+IF(AND(Calculator!B8=TRUE,Backdoors!BI39=TRUE),VLOOKUP(Calculator!E23,tbSkills!DH3:DJ6,3,FALSE),0),0)))/100)),(1-(0.25*((-Backdoors!AI12-IF(IT36&gt;=0.45,VLOOKUP(Calculator!E23,tbSkills!DH3:DI6,2,FALSE)+IF(AND(Calculator!B8=TRUE,Backdoors!BI39=TRUE),VLOOKUP(Calculator!E23,tbSkills!DH3:DJ6,3,FALSE),0),0))/100)))),1),"")</f>
        <v>1</v>
      </c>
      <c r="IW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T36)*IV36)*(VLOOKUP(A36,tbMoveset!A2:C112,3,FALSE)/100)*IF(VLOOKUP(A36,tbMoveset!A2:B112,2,FALSE)="Projectile",Backdoors!N10,Backdoors!N9),0),"")</f>
        <v/>
      </c>
      <c r="IX36" s="49">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40&gt;0,VLOOKUP(Calculator!E40,tbSkills!AC3:AD5,2,FALSE),Backdoors!AL3)*(IF((Backdoors!AI12+IF(IT36&gt;=0.45,VLOOKUP(Calculator!E23,tbSkills!DH3:DI6,2,FALSE)+IF(AND(Calculator!B8=TRUE,Backdoors!BI39=TRUE),VLOOKUP(Calculator!E23,tbSkills!DH3:DJ6,3,FALSE),0),0))&gt;=100,100,(Backdoors!AI12+IF(IT36&gt;=0.45,VLOOKUP(Calculator!E23,tbSkills!DH3:DI6,2,FALSE)+IF(AND(Calculator!B8=TRUE,Backdoors!BI39=TRUE),VLOOKUP(Calculator!E23,tbSkills!DH3:DJ6,3,FALSE),0),0)))/100)),1))*IF(VLOOKUP(A36,tbMoveset!A2:K112,11,FALSE)=TRUE,Backdoors!AC5,1))*IU36,0),"")</f>
        <v>0</v>
      </c>
      <c r="IY36" s="49">
        <f>VLOOKUP(A36,tbMoveset!A2:G112,7,FALSE)*IFERROR(IF(Backdoors!AI12&gt;=0,1+(IF(Calculator!E40&gt;0,VLOOKUP(Calculator!E40,tbSkills!AI3:AJ5,2,FALSE),Backdoors!AL4)*(IF((Backdoors!AI12+IF(IT36&gt;=0.45,VLOOKUP(Calculator!E23,tbSkills!DH3:DI6,2,FALSE)+IF(AND(Calculator!B8=TRUE,Backdoors!BI39=TRUE),VLOOKUP(Calculator!E23,tbSkills!DH3:DJ6,3,FALSE),0),0))&gt;=100,100,(Backdoors!AI12+IF(IT36&gt;=0.45,VLOOKUP(Calculator!E23,tbSkills!DH3:DI6,2,FALSE)+IF(AND(Calculator!B8=TRUE,Backdoors!BI39=TRUE),VLOOKUP(Calculator!E23,tbSkills!DH3:DJ6,3,FALSE),0),0)))/100)),1),1)</f>
        <v>0.5</v>
      </c>
      <c r="IZ36" s="87">
        <f t="shared" si="28"/>
        <v>0</v>
      </c>
      <c r="JA36" s="86" t="str">
        <f>IFERROR(IF(VLOOKUP(A36,tbMoveset!A2:B112,2,FALSE)="Sever",Backdoors!AY40/100,IF(VLOOKUP(A36,tbMoveset!A2:B112,2,FALSE)="Blunt",Backdoors!AZ40/100,Backdoors!BA40/100)),"")</f>
        <v/>
      </c>
      <c r="JB36" s="49">
        <f>IFERROR(IF(VLOOKUP(tbMoveset!A36,tbMoveset!A2:H112,8,FALSE)="Other",IF(VLOOKUP(tbMoveset!A36,tbMoveset!A2:I112,9,FALSE)="Fire",Backdoors!BB40,IF(VLOOKUP(tbMoveset!A36,tbMoveset!A2:I112,9,FALSE)="Water",Backdoors!BC40,IF(VLOOKUP(tbMoveset!A36,tbMoveset!A2:I112,9,FALSE)="Thunder",Backdoors!BD40,IF(VLOOKUP(tbMoveset!A36,tbMoveset!A2:I112,9,FALSE)="Ice",Backdoors!BE40,IF(VLOOKUP(tbMoveset!A36,tbMoveset!A2:I112,9,FALSE)="Dragon",Backdoors!BF40,Backdoors!BG40)))))/100,Backdoors!BG40/100),"")</f>
        <v>0</v>
      </c>
      <c r="JC36" s="49">
        <f>IFERROR(IF(VLOOKUP(A36,tbMoveset!A2:J112,10,FALSE)=TRUE,IF((Backdoors!AI12+IF(JA36&gt;=0.45,VLOOKUP(Calculator!E23,tbSkills!DH3:DI6,2,FALSE)+IF(AND(Calculator!B8=TRUE,Backdoors!BI40=TRUE),VLOOKUP(Calculator!E23,tbSkills!DH3:DJ6,3,FALSE),0),0))&gt;=0,1+(Backdoors!AL2*(IF((Backdoors!AI12+IF(JA36&gt;=0.45,VLOOKUP(Calculator!E23,tbSkills!DH3:DI6,2,FALSE)+IF(AND(Calculator!B8=TRUE,Backdoors!BI40=TRUE),VLOOKUP(Calculator!E23,tbSkills!DH3:DJ6,3,FALSE),0),0))&gt;=100,100,(Backdoors!AI12+IF(JA36&gt;=0.45,VLOOKUP(Calculator!E23,tbSkills!DH3:DI6,2,FALSE)+IF(AND(Calculator!B8=TRUE,Backdoors!BI40=TRUE),VLOOKUP(Calculator!E23,tbSkills!DH3:DJ6,3,FALSE),0),0)))/100)),(1-(0.25*((-Backdoors!AI12-IF(JA36&gt;=0.45,VLOOKUP(Calculator!E23,tbSkills!DH3:DI6,2,FALSE)+IF(AND(Calculator!B8=TRUE,Backdoors!BI40=TRUE),VLOOKUP(Calculator!E23,tbSkills!DH3:DJ6,3,FALSE),0),0))/100)))),1),"")</f>
        <v>1</v>
      </c>
      <c r="JD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A36)*JC36)*(VLOOKUP(A36,tbMoveset!A2:C112,3,FALSE)/100)*IF(VLOOKUP(A36,tbMoveset!A2:B112,2,FALSE)="Projectile",Backdoors!N10,Backdoors!N9),0),"")</f>
        <v/>
      </c>
      <c r="JE36" s="49">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42&gt;0,VLOOKUP(Calculator!E42,tbSkills!AC3:AD5,2,FALSE),Backdoors!AL3)*(IF((Backdoors!AI12+IF(JA36&gt;=0.45,VLOOKUP(Calculator!E23,tbSkills!DH3:DI6,2,FALSE)+IF(AND(Calculator!B8=TRUE,Backdoors!BI40=TRUE),VLOOKUP(Calculator!E23,tbSkills!DH3:DJ6,3,FALSE),0),0))&gt;=100,100,(Backdoors!AI12+IF(JA36&gt;=0.45,VLOOKUP(Calculator!E23,tbSkills!DH3:DI6,2,FALSE)+IF(AND(Calculator!B8=TRUE,Backdoors!BI40=TRUE),VLOOKUP(Calculator!E23,tbSkills!DH3:DJ6,3,FALSE),0),0)))/100)),1))*IF(VLOOKUP(A36,tbMoveset!A2:K112,11,FALSE)=TRUE,Backdoors!AC5,1))*JB36,0),"")</f>
        <v>0</v>
      </c>
      <c r="JF36" s="49">
        <f>VLOOKUP(A36,tbMoveset!A2:G112,7,FALSE)*IFERROR(IF(Backdoors!AI12&gt;=0,1+(IF(Calculator!E40&gt;0,VLOOKUP(Calculator!E40,tbSkills!AI3:AJ5,2,FALSE),Backdoors!AL4)*(IF((Backdoors!AI12+IF(JA36&gt;=0.45,VLOOKUP(Calculator!E23,tbSkills!DH3:DI6,2,FALSE)+IF(AND(Calculator!B8=TRUE,Backdoors!BI40=TRUE),VLOOKUP(Calculator!E23,tbSkills!DH3:DJ6,3,FALSE),0),0))&gt;=100,100,(Backdoors!AI12+IF(JA36&gt;=0.45,VLOOKUP(Calculator!E23,tbSkills!DH3:DI6,2,FALSE)+IF(AND(Calculator!B8=TRUE,Backdoors!BI40=TRUE),VLOOKUP(Calculator!E23,tbSkills!DH3:DJ6,3,FALSE),0),0)))/100)),1),1)</f>
        <v>0.5</v>
      </c>
      <c r="JG36" s="87">
        <f t="shared" si="29"/>
        <v>0</v>
      </c>
      <c r="JH36" s="86" t="str">
        <f>IFERROR(IF(VLOOKUP(A36,tbMoveset!A2:B112,2,FALSE)="Sever",Backdoors!AY41/100,IF(VLOOKUP(A36,tbMoveset!A2:B112,2,FALSE)="Blunt",Backdoors!AZ41/100,Backdoors!BA41/100)),"")</f>
        <v/>
      </c>
      <c r="JI36" s="49">
        <f>IFERROR(IF(VLOOKUP(tbMoveset!A36,tbMoveset!A2:H112,8,FALSE)="Other",IF(VLOOKUP(tbMoveset!A36,tbMoveset!A2:I112,9,FALSE)="Fire",Backdoors!BB41,IF(VLOOKUP(tbMoveset!A36,tbMoveset!A2:I112,9,FALSE)="Water",Backdoors!BC41,IF(VLOOKUP(tbMoveset!A36,tbMoveset!A2:I112,9,FALSE)="Thunder",Backdoors!BD41,IF(VLOOKUP(tbMoveset!A36,tbMoveset!A2:I112,9,FALSE)="Ice",Backdoors!BE41,IF(VLOOKUP(tbMoveset!A36,tbMoveset!A2:I112,9,FALSE)="Dragon",Backdoors!BF41,Backdoors!BG41)))))/100,Backdoors!BG41/100),"")</f>
        <v>0</v>
      </c>
      <c r="JJ36" s="49">
        <f>IFERROR(IF(VLOOKUP(A36,tbMoveset!A2:J112,10,FALSE)=TRUE,IF((Backdoors!AI12+IF(JH36&gt;=0.45,VLOOKUP(Calculator!E23,tbSkills!DH3:DI6,2,FALSE)+IF(AND(Calculator!B8=TRUE,Backdoors!BI41=TRUE),VLOOKUP(Calculator!E23,tbSkills!DH3:DJ6,3,FALSE),0),0))&gt;=0,1+(Backdoors!AL2*(IF((Backdoors!AI12+IF(JH36&gt;=0.45,VLOOKUP(Calculator!E23,tbSkills!DH3:DI6,2,FALSE)+IF(AND(Calculator!B8=TRUE,Backdoors!BI41=TRUE),VLOOKUP(Calculator!E23,tbSkills!DH3:DJ6,3,FALSE),0),0))&gt;=100,100,(Backdoors!AI12+IF(JH36&gt;=0.45,VLOOKUP(Calculator!E23,tbSkills!DH3:DI6,2,FALSE)+IF(AND(Calculator!B8=TRUE,Backdoors!BI41=TRUE),VLOOKUP(Calculator!E23,tbSkills!DH3:DJ6,3,FALSE),0),0)))/100)),(1-(0.25*((-Backdoors!AI12-IF(JH36&gt;=0.45,VLOOKUP(Calculator!E23,tbSkills!DH3:DI6,2,FALSE)+IF(AND(Calculator!B8=TRUE,Backdoors!BI41=TRUE),VLOOKUP(Calculator!E23,tbSkills!DH3:DJ6,3,FALSE),0),0))/100)))),1),"")</f>
        <v>1</v>
      </c>
      <c r="JK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H36)*JJ36)*(VLOOKUP(A36,tbMoveset!A2:C112,3,FALSE)/100)*IF(VLOOKUP(A36,tbMoveset!A2:B112,2,FALSE)="Projectile",Backdoors!N10,Backdoors!N9),0),"")</f>
        <v/>
      </c>
      <c r="JL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43&gt;0,VLOOKUP(Calculator!E43,tbSkills!AC3:AD5,2,FALSE),Backdoors!AL3)*(IF((Backdoors!AI12+IF(JH36&gt;=0.45,VLOOKUP(Calculator!E23,tbSkills!DH3:DI6,2,FALSE)+IF(AND(Calculator!B8=TRUE,Backdoors!BI41=TRUE),VLOOKUP(Calculator!E23,tbSkills!DH3:DJ6,3,FALSE),0),0))&gt;=100,100,(Backdoors!AI12+IF(JH36&gt;=0.45,VLOOKUP(Calculator!E23,tbSkills!DH3:DI6,2,FALSE)+IF(AND(Calculator!B8=TRUE,Backdoors!BI41=TRUE),VLOOKUP(Calculator!E23,tbSkills!DH3:DJ6,3,FALSE),0),0)))/100)),1))*IF(VLOOKUP(A36,tbMoveset!A2:K112,11,FALSE)=TRUE,Backdoors!AC5,1))*JI36,0),"")</f>
        <v/>
      </c>
      <c r="JM36" s="49">
        <f>VLOOKUP(A36,tbMoveset!A2:G112,7,FALSE)*IFERROR(IF(Backdoors!AI12&gt;=0,1+(IF(Calculator!E40&gt;0,VLOOKUP(Calculator!E40,tbSkills!AI3:AJ5,2,FALSE),Backdoors!AL4)*(IF((Backdoors!AI12+IF(JH36&gt;=0.45,VLOOKUP(Calculator!E23,tbSkills!DH3:DI6,2,FALSE)+IF(AND(Calculator!B8=TRUE,Backdoors!BI41=TRUE),VLOOKUP(Calculator!E23,tbSkills!DH3:DJ6,3,FALSE),0),0))&gt;=100,100,(Backdoors!AI12+IF(JH36&gt;=0.45,VLOOKUP(Calculator!E23,tbSkills!DH3:DI6,2,FALSE)+IF(AND(Calculator!B8=TRUE,Backdoors!BI41=TRUE),VLOOKUP(Calculator!E23,tbSkills!DH3:DJ6,3,FALSE),0),0)))/100)),1),1)</f>
        <v>0.5</v>
      </c>
      <c r="JN36" s="87">
        <f t="shared" si="30"/>
        <v>0</v>
      </c>
      <c r="JO36" s="86" t="str">
        <f>IFERROR(IF(VLOOKUP(A36,tbMoveset!A2:B112,2,FALSE)="Sever",Backdoors!AY42/100,IF(VLOOKUP(A36,tbMoveset!A2:B112,2,FALSE)="Blunt",Backdoors!AZ42/100,Backdoors!BA42/100)),"")</f>
        <v/>
      </c>
      <c r="JP36" s="49">
        <f>IFERROR(IF(VLOOKUP(tbMoveset!A36,tbMoveset!A2:H112,8,FALSE)="Other",IF(VLOOKUP(tbMoveset!A36,tbMoveset!A2:I112,9,FALSE)="Fire",Backdoors!BB42,IF(VLOOKUP(tbMoveset!A36,tbMoveset!A2:I112,9,FALSE)="Water",Backdoors!BC42,IF(VLOOKUP(tbMoveset!A36,tbMoveset!A2:I112,9,FALSE)="Thunder",Backdoors!BD42,IF(VLOOKUP(tbMoveset!A36,tbMoveset!A2:I112,9,FALSE)="Ice",Backdoors!BE42,IF(VLOOKUP(tbMoveset!A36,tbMoveset!A2:I112,9,FALSE)="Dragon",Backdoors!BF42,Backdoors!BG42)))))/100,Backdoors!BG42/100),"")</f>
        <v>0</v>
      </c>
      <c r="JQ36" s="49">
        <f>IFERROR(IF(VLOOKUP(A36,tbMoveset!A2:J112,10,FALSE)=TRUE,IF((Backdoors!AI12+IF(JO36&gt;=0.45,VLOOKUP(Calculator!E23,tbSkills!DH3:DI6,2,FALSE)+IF(AND(Calculator!B8=TRUE,Backdoors!BI42=TRUE),VLOOKUP(Calculator!E23,tbSkills!DH3:DJ6,3,FALSE),0),0))&gt;=0,1+(Backdoors!AL2*(IF((Backdoors!AI12+IF(JO36&gt;=0.45,VLOOKUP(Calculator!E23,tbSkills!DH3:DI6,2,FALSE)+IF(AND(Calculator!B8=TRUE,Backdoors!BI42=TRUE),VLOOKUP(Calculator!E23,tbSkills!DH3:DJ6,3,FALSE),0),0))&gt;=100,100,(Backdoors!AI12+IF(JO36&gt;=0.45,VLOOKUP(Calculator!E23,tbSkills!DH3:DI6,2,FALSE)+IF(AND(Calculator!B8=TRUE,Backdoors!BI42=TRUE),VLOOKUP(Calculator!E23,tbSkills!DH3:DJ6,3,FALSE),0),0)))/100)),(1-(0.25*((-Backdoors!AI12-IF(JO36&gt;=0.45,VLOOKUP(Calculator!E23,tbSkills!DH3:DI6,2,FALSE)+IF(AND(Calculator!B8=TRUE,Backdoors!BI42=TRUE),VLOOKUP(Calculator!E23,tbSkills!DH3:DJ6,3,FALSE),0),0))/100)))),1),"")</f>
        <v>1</v>
      </c>
      <c r="JR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O36)*JQ36)*(VLOOKUP(A36,tbMoveset!A2:C112,3,FALSE)/100)*IF(VLOOKUP(A36,tbMoveset!A2:B112,2,FALSE)="Projectile",Backdoors!N10,Backdoors!N9),0),"")</f>
        <v/>
      </c>
      <c r="JS36" s="49">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45&gt;0,VLOOKUP(Calculator!E45,tbSkills!AC3:AD5,2,FALSE),Backdoors!AL3)*(IF((Backdoors!AI12+IF(JO36&gt;=0.45,VLOOKUP(Calculator!E23,tbSkills!DH3:DI6,2,FALSE)+IF(AND(Calculator!B8=TRUE,Backdoors!BI42=TRUE),VLOOKUP(Calculator!E23,tbSkills!DH3:DJ6,3,FALSE),0),0))&gt;=100,100,(Backdoors!AI12+IF(JO36&gt;=0.45,VLOOKUP(Calculator!E23,tbSkills!DH3:DI6,2,FALSE)+IF(AND(Calculator!B8=TRUE,Backdoors!BI42=TRUE),VLOOKUP(Calculator!E23,tbSkills!DH3:DJ6,3,FALSE),0),0)))/100)),1))*IF(VLOOKUP(A36,tbMoveset!A2:K112,11,FALSE)=TRUE,Backdoors!AC5,1))*JP36,0),"")</f>
        <v>0</v>
      </c>
      <c r="JT36" s="49">
        <f>VLOOKUP(A36,tbMoveset!A2:G112,7,FALSE)*IFERROR(IF(Backdoors!AI12&gt;=0,1+(IF(Calculator!E40&gt;0,VLOOKUP(Calculator!E40,tbSkills!AI3:AJ5,2,FALSE),Backdoors!AL4)*(IF((Backdoors!AI12+IF(JO36&gt;=0.45,VLOOKUP(Calculator!E23,tbSkills!DH3:DI6,2,FALSE)+IF(AND(Calculator!B8=TRUE,Backdoors!BI42=TRUE),VLOOKUP(Calculator!E23,tbSkills!DH3:DJ6,3,FALSE),0),0))&gt;=100,100,(Backdoors!AI12+IF(JO36&gt;=0.45,VLOOKUP(Calculator!E23,tbSkills!DH3:DI6,2,FALSE)+IF(AND(Calculator!B8=TRUE,Backdoors!BI42=TRUE),VLOOKUP(Calculator!E23,tbSkills!DH3:DJ6,3,FALSE),0),0)))/100)),1),1)</f>
        <v>0.5</v>
      </c>
      <c r="JU36" s="87">
        <f t="shared" si="31"/>
        <v>0</v>
      </c>
      <c r="JV36" s="86" t="str">
        <f>IFERROR(IF(VLOOKUP(A36,tbMoveset!A2:B112,2,FALSE)="Sever",Backdoors!AY43/100,IF(VLOOKUP(A36,tbMoveset!A2:B112,2,FALSE)="Blunt",Backdoors!AZ43/100,Backdoors!BA43/100)),"")</f>
        <v/>
      </c>
      <c r="JW36" s="49">
        <f>IFERROR(IF(VLOOKUP(tbMoveset!A36,tbMoveset!A2:H112,8,FALSE)="Other",IF(VLOOKUP(tbMoveset!A36,tbMoveset!A2:I112,9,FALSE)="Fire",Backdoors!BB43,IF(VLOOKUP(tbMoveset!A36,tbMoveset!A2:I112,9,FALSE)="Water",Backdoors!BC43,IF(VLOOKUP(tbMoveset!A36,tbMoveset!A2:I112,9,FALSE)="Thunder",Backdoors!BD43,IF(VLOOKUP(tbMoveset!A36,tbMoveset!A2:I112,9,FALSE)="Ice",Backdoors!BE43,IF(VLOOKUP(tbMoveset!A36,tbMoveset!A2:I112,9,FALSE)="Dragon",Backdoors!BF43,Backdoors!BG43)))))/100,Backdoors!BG43/100),"")</f>
        <v>0</v>
      </c>
      <c r="JX36" s="49">
        <f>IFERROR(IF(VLOOKUP(A36,tbMoveset!A2:J112,10,FALSE)=TRUE,IF((Backdoors!AI12+IF(JV36&gt;=0.45,VLOOKUP(Calculator!E23,tbSkills!DH3:DI6,2,FALSE)+IF(AND(Calculator!B8=TRUE,Backdoors!BI43=TRUE),VLOOKUP(Calculator!E23,tbSkills!DH3:DJ6,3,FALSE),0),0))&gt;=0,1+(Backdoors!AL2*(IF((Backdoors!AI12+IF(JV36&gt;=0.45,VLOOKUP(Calculator!E23,tbSkills!DH3:DI6,2,FALSE)+IF(AND(Calculator!B8=TRUE,Backdoors!BI43=TRUE),VLOOKUP(Calculator!E23,tbSkills!DH3:DJ6,3,FALSE),0),0))&gt;=100,100,(Backdoors!AI12+IF(JV36&gt;=0.45,VLOOKUP(Calculator!E23,tbSkills!DH3:DI6,2,FALSE)+IF(AND(Calculator!B8=TRUE,Backdoors!BI43=TRUE),VLOOKUP(Calculator!E23,tbSkills!DH3:DJ6,3,FALSE),0),0)))/100)),(1-(0.25*((-Backdoors!AI12-IF(JV36&gt;=0.45,VLOOKUP(Calculator!E23,tbSkills!DH3:DI6,2,FALSE)+IF(AND(Calculator!B8=TRUE,Backdoors!BI43=TRUE),VLOOKUP(Calculator!E23,tbSkills!DH3:DJ6,3,FALSE),0),0))/100)))),1),"")</f>
        <v>1</v>
      </c>
      <c r="JY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V36)*JX36)*(VLOOKUP(A36,tbMoveset!A2:C112,3,FALSE)/100)*IF(VLOOKUP(A36,tbMoveset!A2:B112,2,FALSE)="Projectile",Backdoors!N10,Backdoors!N9),0),"")</f>
        <v/>
      </c>
      <c r="JZ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46&gt;0,VLOOKUP(Calculator!E46,tbSkills!AC3:AD5,2,FALSE),Backdoors!AL3)*(IF((Backdoors!AI12+IF(JV36&gt;=0.45,VLOOKUP(Calculator!E23,tbSkills!DH3:DI6,2,FALSE)+IF(AND(Calculator!B8=TRUE,Backdoors!BI43=TRUE),VLOOKUP(Calculator!E23,tbSkills!DH3:DJ6,3,FALSE),0),0))&gt;=100,100,(Backdoors!AI12+IF(JV36&gt;=0.45,VLOOKUP(Calculator!E23,tbSkills!DH3:DI6,2,FALSE)+IF(AND(Calculator!B8=TRUE,Backdoors!BI43=TRUE),VLOOKUP(Calculator!E23,tbSkills!DH3:DJ6,3,FALSE),0),0)))/100)),1))*IF(VLOOKUP(A36,tbMoveset!A2:K112,11,FALSE)=TRUE,Backdoors!AC5,1))*JW36,0),"")</f>
        <v/>
      </c>
      <c r="KA36" s="49">
        <f>VLOOKUP(A36,tbMoveset!A2:G112,7,FALSE)*IFERROR(IF(Backdoors!AI12&gt;=0,1+(IF(Calculator!E40&gt;0,VLOOKUP(Calculator!E40,tbSkills!AI3:AJ5,2,FALSE),Backdoors!AL4)*(IF((Backdoors!AI12+IF(JV36&gt;=0.45,VLOOKUP(Calculator!E23,tbSkills!DH3:DI6,2,FALSE)+IF(AND(Calculator!B8=TRUE,Backdoors!BI43=TRUE),VLOOKUP(Calculator!E23,tbSkills!DH3:DJ6,3,FALSE),0),0))&gt;=100,100,(Backdoors!AI12+IF(JV36&gt;=0.45,VLOOKUP(Calculator!E23,tbSkills!DH3:DI6,2,FALSE)+IF(AND(Calculator!B8=TRUE,Backdoors!BI43=TRUE),VLOOKUP(Calculator!E23,tbSkills!DH3:DJ6,3,FALSE),0),0)))/100)),1),1)</f>
        <v>0.5</v>
      </c>
      <c r="KB36" s="87">
        <f t="shared" si="32"/>
        <v>0</v>
      </c>
      <c r="KC36" s="86" t="str">
        <f>IFERROR(IF(VLOOKUP(A36,tbMoveset!A2:B112,2,FALSE)="Sever",Backdoors!AY44/100,IF(VLOOKUP(A36,tbMoveset!A2:B112,2,FALSE)="Blunt",Backdoors!AZ44/100,Backdoors!BA44/100)),"")</f>
        <v/>
      </c>
      <c r="KD36" s="49">
        <f>IFERROR(IF(VLOOKUP(tbMoveset!A36,tbMoveset!A2:H112,8,FALSE)="Other",IF(VLOOKUP(tbMoveset!A36,tbMoveset!A2:I112,9,FALSE)="Fire",Backdoors!BB44,IF(VLOOKUP(tbMoveset!A36,tbMoveset!A2:I112,9,FALSE)="Water",Backdoors!BC44,IF(VLOOKUP(tbMoveset!A36,tbMoveset!A2:I112,9,FALSE)="Thunder",Backdoors!BD44,IF(VLOOKUP(tbMoveset!A36,tbMoveset!A2:I112,9,FALSE)="Ice",Backdoors!BE44,IF(VLOOKUP(tbMoveset!A36,tbMoveset!A2:I112,9,FALSE)="Dragon",Backdoors!BF44,Backdoors!BG44)))))/100,Backdoors!BG44/100),"")</f>
        <v>0</v>
      </c>
      <c r="KE36" s="49">
        <f>IFERROR(IF(VLOOKUP(A36,tbMoveset!A2:J112,10,FALSE)=TRUE,IF((Backdoors!AI12+IF(KC36&gt;=0.45,VLOOKUP(Calculator!E23,tbSkills!DH3:DI6,2,FALSE)+IF(AND(Calculator!B8=TRUE,Backdoors!BI44=TRUE),VLOOKUP(Calculator!E23,tbSkills!DH3:DJ6,3,FALSE),0),0))&gt;=0,1+(Backdoors!AL2*(IF((Backdoors!AI12+IF(KC36&gt;=0.45,VLOOKUP(Calculator!E23,tbSkills!DH3:DI6,2,FALSE)+IF(AND(Calculator!B8=TRUE,Backdoors!BI44=TRUE),VLOOKUP(Calculator!E23,tbSkills!DH3:DJ6,3,FALSE),0),0))&gt;=100,100,(Backdoors!AI12+IF(KC36&gt;=0.45,VLOOKUP(Calculator!E23,tbSkills!DH3:DI6,2,FALSE)+IF(AND(Calculator!B8=TRUE,Backdoors!BI44=TRUE),VLOOKUP(Calculator!E23,tbSkills!DH3:DJ6,3,FALSE),0),0)))/100)),(1-(0.25*((-Backdoors!AI12-IF(KC36&gt;=0.45,VLOOKUP(Calculator!E23,tbSkills!DH3:DI6,2,FALSE)+IF(AND(Calculator!B8=TRUE,Backdoors!BI44=TRUE),VLOOKUP(Calculator!E23,tbSkills!DH3:DJ6,3,FALSE),0),0))/100)))),1),"")</f>
        <v>1</v>
      </c>
      <c r="KF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KC36)*KE36)*(VLOOKUP(A36,tbMoveset!A2:C112,3,FALSE)/100)*IF(VLOOKUP(A36,tbMoveset!A2:B112,2,FALSE)="Projectile",Backdoors!N10,Backdoors!N9),0),"")</f>
        <v/>
      </c>
      <c r="KG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REF!&gt;0,VLOOKUP(Calculator!#REF!,tbSkills!AC3:AD5,2,FALSE),Backdoors!AL3)*(IF((Backdoors!AI12+IF(KC36&gt;=0.45,VLOOKUP(Calculator!E23,tbSkills!DH3:DI6,2,FALSE)+IF(AND(Calculator!B8=TRUE,Backdoors!BI44=TRUE),VLOOKUP(Calculator!E23,tbSkills!DH3:DJ6,3,FALSE),0),0))&gt;=100,100,(Backdoors!AI12+IF(KC36&gt;=0.45,VLOOKUP(Calculator!E23,tbSkills!DH3:DI6,2,FALSE)+IF(AND(Calculator!B8=TRUE,Backdoors!BI44=TRUE),VLOOKUP(Calculator!E23,tbSkills!DH3:DJ6,3,FALSE),0),0)))/100)),1))*IF(VLOOKUP(A36,tbMoveset!A2:K112,11,FALSE)=TRUE,Backdoors!AC5,1))*KD36,0),"")</f>
        <v/>
      </c>
      <c r="KH36" s="49">
        <f>VLOOKUP(A36,tbMoveset!A2:G112,7,FALSE)*IFERROR(IF(Backdoors!AI12&gt;=0,1+(IF(Calculator!E40&gt;0,VLOOKUP(Calculator!E40,tbSkills!AI3:AJ5,2,FALSE),Backdoors!AL4)*(IF((Backdoors!AI12+IF(KC36&gt;=0.45,VLOOKUP(Calculator!E23,tbSkills!DH3:DI6,2,FALSE)+IF(AND(Calculator!B8=TRUE,Backdoors!BI44=TRUE),VLOOKUP(Calculator!E23,tbSkills!DH3:DJ6,3,FALSE),0),0))&gt;=100,100,(Backdoors!AI12+IF(KC36&gt;=0.45,VLOOKUP(Calculator!E23,tbSkills!DH3:DI6,2,FALSE)+IF(AND(Calculator!B8=TRUE,Backdoors!BI44=TRUE),VLOOKUP(Calculator!E23,tbSkills!DH3:DJ6,3,FALSE),0),0)))/100)),1),1)</f>
        <v>0.5</v>
      </c>
      <c r="KI36" s="87">
        <f t="shared" si="33"/>
        <v>0</v>
      </c>
      <c r="KJ36" s="86" t="str">
        <f>IFERROR(IF(VLOOKUP(A36,tbMoveset!A2:B112,2,FALSE)="Sever",Backdoors!AY45/100,IF(VLOOKUP(A36,tbMoveset!A2:B112,2,FALSE)="Blunt",Backdoors!AZ45/100,Backdoors!BA45/100)),"")</f>
        <v/>
      </c>
      <c r="KK36" s="49">
        <f>IFERROR(IF(VLOOKUP(tbMoveset!A36,tbMoveset!A2:H112,8,FALSE)="Other",IF(VLOOKUP(tbMoveset!A36,tbMoveset!A2:I112,9,FALSE)="Fire",Backdoors!BB45,IF(VLOOKUP(tbMoveset!A36,tbMoveset!A2:I112,9,FALSE)="Water",Backdoors!BC45,IF(VLOOKUP(tbMoveset!A36,tbMoveset!A2:I112,9,FALSE)="Thunder",Backdoors!BD45,IF(VLOOKUP(tbMoveset!A36,tbMoveset!A2:I112,9,FALSE)="Ice",Backdoors!BE45,IF(VLOOKUP(tbMoveset!A36,tbMoveset!A2:I112,9,FALSE)="Dragon",Backdoors!BF45,Backdoors!BG45)))))/100,Backdoors!BG45/100),"")</f>
        <v>0</v>
      </c>
      <c r="KL36" s="49">
        <f>IFERROR(IF(VLOOKUP(A36,tbMoveset!A2:J112,10,FALSE)=TRUE,IF((Backdoors!AI12+IF(KJ36&gt;=0.45,VLOOKUP(Calculator!E23,tbSkills!DH3:DI6,2,FALSE)+IF(AND(Calculator!B8=TRUE,Backdoors!BI45=TRUE),VLOOKUP(Calculator!E23,tbSkills!DH3:DJ6,3,FALSE),0),0))&gt;=0,1+(Backdoors!AL2*(IF((Backdoors!AI12+IF(KJ36&gt;=0.45,VLOOKUP(Calculator!E23,tbSkills!DH3:DI6,2,FALSE)+IF(AND(Calculator!B8=TRUE,Backdoors!BI45=TRUE),VLOOKUP(Calculator!E23,tbSkills!DH3:DJ6,3,FALSE),0),0))&gt;=100,100,(Backdoors!AI12+IF(KJ36&gt;=0.45,VLOOKUP(Calculator!E23,tbSkills!DH3:DI6,2,FALSE)+IF(AND(Calculator!B8=TRUE,Backdoors!BI45=TRUE),VLOOKUP(Calculator!E23,tbSkills!DH3:DJ6,3,FALSE),0),0)))/100)),(1-(0.25*((-Backdoors!AI12-IF(KJ36&gt;=0.45,VLOOKUP(Calculator!E23,tbSkills!DH3:DI6,2,FALSE)+IF(AND(Calculator!B8=TRUE,Backdoors!BI45=TRUE),VLOOKUP(Calculator!E23,tbSkills!DH3:DJ6,3,FALSE),0),0))/100)))),1),"")</f>
        <v>1</v>
      </c>
      <c r="KM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KJ36)*KL36)*(VLOOKUP(A36,tbMoveset!A2:C112,3,FALSE)/100)*IF(VLOOKUP(A36,tbMoveset!A2:B112,2,FALSE)="Projectile",Backdoors!N10,Backdoors!N9),0),"")</f>
        <v/>
      </c>
      <c r="KN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REF!&gt;0,VLOOKUP(Calculator!#REF!,tbSkills!AC3:AD5,2,FALSE),Backdoors!AL3)*(IF((Backdoors!AI12+IF(KJ36&gt;=0.45,VLOOKUP(Calculator!E23,tbSkills!DH3:DI6,2,FALSE)+IF(AND(Calculator!B8=TRUE,Backdoors!BI45=TRUE),VLOOKUP(Calculator!E23,tbSkills!DH3:DJ6,3,FALSE),0),0))&gt;=100,100,(Backdoors!AI12+IF(KJ36&gt;=0.45,VLOOKUP(Calculator!E23,tbSkills!DH3:DI6,2,FALSE)+IF(AND(Calculator!B8=TRUE,Backdoors!BI45=TRUE),VLOOKUP(Calculator!E23,tbSkills!DH3:DJ6,3,FALSE),0),0)))/100)),1))*IF(VLOOKUP(A36,tbMoveset!A2:K112,11,FALSE)=TRUE,Backdoors!AC5,1))*KK36,0),"")</f>
        <v/>
      </c>
      <c r="KO36" s="49">
        <f>VLOOKUP(A36,tbMoveset!A2:G112,7,FALSE)*IFERROR(IF(Backdoors!AI12&gt;=0,1+(IF(Calculator!E40&gt;0,VLOOKUP(Calculator!E40,tbSkills!AI3:AJ5,2,FALSE),Backdoors!AL4)*(IF((Backdoors!AI12+IF(KJ36&gt;=0.45,VLOOKUP(Calculator!E23,tbSkills!DH3:DI6,2,FALSE)+IF(AND(Calculator!B8=TRUE,Backdoors!BI45=TRUE),VLOOKUP(Calculator!E23,tbSkills!DH3:DJ6,3,FALSE),0),0))&gt;=100,100,(Backdoors!AI12+IF(KJ36&gt;=0.45,VLOOKUP(Calculator!E23,tbSkills!DH3:DI6,2,FALSE)+IF(AND(Calculator!B8=TRUE,Backdoors!BI45=TRUE),VLOOKUP(Calculator!E23,tbSkills!DH3:DJ6,3,FALSE),0),0)))/100)),1),1)</f>
        <v>0.5</v>
      </c>
      <c r="KP36" s="87">
        <f t="shared" si="34"/>
        <v>0</v>
      </c>
      <c r="KQ36" s="86" t="str">
        <f>IFERROR(IF(VLOOKUP(A36,tbMoveset!A2:B112,2,FALSE)="Sever",Backdoors!AY46/100,IF(VLOOKUP(A36,tbMoveset!A2:B112,2,FALSE)="Blunt",Backdoors!AZ46/100,Backdoors!BA46/100)),"")</f>
        <v/>
      </c>
      <c r="KR36" s="49">
        <f>IFERROR(IF(VLOOKUP(tbMoveset!A36,tbMoveset!A2:H112,8,FALSE)="Other",IF(VLOOKUP(tbMoveset!A36,tbMoveset!A2:I112,9,FALSE)="Fire",Backdoors!BB46,IF(VLOOKUP(tbMoveset!A36,tbMoveset!A2:I112,9,FALSE)="Water",Backdoors!BC46,IF(VLOOKUP(tbMoveset!A36,tbMoveset!A2:I112,9,FALSE)="Thunder",Backdoors!BD46,IF(VLOOKUP(tbMoveset!A36,tbMoveset!A2:I112,9,FALSE)="Ice",Backdoors!BE46,IF(VLOOKUP(tbMoveset!A36,tbMoveset!A2:I112,9,FALSE)="Dragon",Backdoors!BF46,Backdoors!BG46)))))/100,Backdoors!BG46/100),"")</f>
        <v>0</v>
      </c>
      <c r="KS36" s="49">
        <f>IFERROR(IF(VLOOKUP(A36,tbMoveset!A2:J112,10,FALSE)=TRUE,IF((Backdoors!AI12+IF(KQ36&gt;=0.45,VLOOKUP(Calculator!E23,tbSkills!DH3:DI6,2,FALSE)+IF(AND(Calculator!B8=TRUE,Backdoors!BI46=TRUE),VLOOKUP(Calculator!E23,tbSkills!DH3:DJ6,3,FALSE),0),0))&gt;=0,1+(Backdoors!AL2*(IF((Backdoors!AI12+IF(KQ36&gt;=0.45,VLOOKUP(Calculator!E23,tbSkills!DH3:DI6,2,FALSE)+IF(AND(Calculator!B8=TRUE,Backdoors!BI46=TRUE),VLOOKUP(Calculator!E23,tbSkills!DH3:DJ6,3,FALSE),0),0))&gt;=100,100,(Backdoors!AI12+IF(KQ36&gt;=0.45,VLOOKUP(Calculator!E23,tbSkills!DH3:DI6,2,FALSE)+IF(AND(Calculator!B8=TRUE,Backdoors!BI46=TRUE),VLOOKUP(Calculator!E23,tbSkills!DH3:DJ6,3,FALSE),0),0)))/100)),(1-(0.25*((-Backdoors!AI12-IF(KQ36&gt;=0.45,VLOOKUP(Calculator!E23,tbSkills!DH3:DI6,2,FALSE)+IF(AND(Calculator!B8=TRUE,Backdoors!BI46=TRUE),VLOOKUP(Calculator!E23,tbSkills!DH3:DJ6,3,FALSE),0),0))/100)))),1),"")</f>
        <v>1</v>
      </c>
      <c r="KT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KQ36)*KS36)*(VLOOKUP(A36,tbMoveset!A2:C112,3,FALSE)/100)*IF(VLOOKUP(A36,tbMoveset!A2:B112,2,FALSE)="Projectile",Backdoors!N10,Backdoors!N9),0),"")</f>
        <v/>
      </c>
      <c r="KU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REF!&gt;0,VLOOKUP(Calculator!#REF!,tbSkills!AC3:AD5,2,FALSE),Backdoors!AL3)*(IF((Backdoors!AI12+IF(KQ36&gt;=0.45,VLOOKUP(Calculator!E23,tbSkills!DH3:DI6,2,FALSE)+IF(AND(Calculator!B8=TRUE,Backdoors!BI46=TRUE),VLOOKUP(Calculator!E23,tbSkills!DH3:DJ6,3,FALSE),0),0))&gt;=100,100,(Backdoors!AI12+IF(KQ36&gt;=0.45,VLOOKUP(Calculator!E23,tbSkills!DH3:DI6,2,FALSE)+IF(AND(Calculator!B8=TRUE,Backdoors!BI46=TRUE),VLOOKUP(Calculator!E23,tbSkills!DH3:DJ6,3,FALSE),0),0)))/100)),1))*IF(VLOOKUP(A36,tbMoveset!A2:K112,11,FALSE)=TRUE,Backdoors!AC5,1))*KR36,0),"")</f>
        <v/>
      </c>
      <c r="KV36" s="49">
        <f>VLOOKUP(A36,tbMoveset!A2:G112,7,FALSE)*IFERROR(IF(Backdoors!AI12&gt;=0,1+(IF(Calculator!E40&gt;0,VLOOKUP(Calculator!E40,tbSkills!AI3:AJ5,2,FALSE),Backdoors!AL4)*(IF((Backdoors!AI12+IF(KQ36&gt;=0.45,VLOOKUP(Calculator!E23,tbSkills!DH3:DI6,2,FALSE)+IF(AND(Calculator!B8=TRUE,Backdoors!BI46=TRUE),VLOOKUP(Calculator!E23,tbSkills!DH3:DJ6,3,FALSE),0),0))&gt;=100,100,(Backdoors!AI12+IF(KQ36&gt;=0.45,VLOOKUP(Calculator!E23,tbSkills!DH3:DI6,2,FALSE)+IF(AND(Calculator!B8=TRUE,Backdoors!BI46=TRUE),VLOOKUP(Calculator!E23,tbSkills!DH3:DJ6,3,FALSE),0),0)))/100)),1),1)</f>
        <v>0.5</v>
      </c>
      <c r="KW36" s="87">
        <f t="shared" si="35"/>
        <v>0</v>
      </c>
    </row>
    <row r="37" spans="1:309" x14ac:dyDescent="0.25">
      <c r="A37" s="95" t="str">
        <f>tbMoveset!A37</f>
        <v>Twofold Demon Slash (R)</v>
      </c>
      <c r="B37" s="86">
        <f>IFERROR(IF(VLOOKUP(A37,tbMoveset!A2:B112,2,FALSE)="Sever",Backdoors!AY3/100,IF(VLOOKUP(A37,tbMoveset!A2:B112,2,FALSE)="Blunt",Backdoors!AZ3/100,Backdoors!BA3/100)),"")</f>
        <v>0.8</v>
      </c>
      <c r="C37" s="49">
        <f>IFERROR(IF(VLOOKUP(tbMoveset!A37,tbMoveset!A2:H112,8,FALSE)="Other",IF(VLOOKUP(tbMoveset!A37,tbMoveset!A2:I112,9,FALSE)="Fire",Backdoors!BB3,IF(VLOOKUP(tbMoveset!A37,tbMoveset!A2:I112,9,FALSE)="Water",Backdoors!BC3,IF(VLOOKUP(tbMoveset!A37,tbMoveset!A2:I112,9,FALSE)="Thunder",Backdoors!BD3,IF(VLOOKUP(tbMoveset!A37,tbMoveset!A2:I112,9,FALSE)="Ice",Backdoors!BE3,IF(VLOOKUP(tbMoveset!A37,tbMoveset!A2:I112,9,FALSE)="Dragon",Backdoors!BF3,Backdoors!BG3)))))/100,Backdoors!BG3/100),"")</f>
        <v>0</v>
      </c>
      <c r="D37" s="49">
        <f>IFERROR(IF(VLOOKUP(A37,tbMoveset!A2:J112,10,FALSE)=TRUE,IF((Backdoors!AI12+IF(B37&gt;=0.45,VLOOKUP(Calculator!E23,tbSkills!DH3:DI6,2,FALSE)+IF(AND(Calculator!B8=TRUE,Backdoors!BI3=TRUE),VLOOKUP(Calculator!E23,tbSkills!DH3:DJ6,3,FALSE),0),0))&gt;=0,1+(Backdoors!AL2*(IF((Backdoors!AI12+IF(B37&gt;=0.45,VLOOKUP(Calculator!E23,tbSkills!DH3:DI6,2,FALSE)+IF(AND(Calculator!B8=TRUE,Backdoors!BI3=TRUE),VLOOKUP(Calculator!E23,tbSkills!DH3:DJ6,3,FALSE),0),0))&gt;=100,100,(Backdoors!AI12+IF(B37&gt;=0.45,VLOOKUP(Calculator!E23,tbSkills!DH3:DI6,2,FALSE)+IF(AND(Calculator!B8=TRUE,Backdoors!BI3=TRUE),VLOOKUP(Calculator!E23,tbSkills!DH3:DJ6,3,FALSE),0),0)))/100)),(1-(0.25*((-Backdoors!AI12-IF(B37&gt;=0.45,VLOOKUP(Calculator!E23,tbSkills!DH3:DI6,2,FALSE)+IF(AND(Calculator!B8=TRUE,Backdoors!BI3=TRUE),VLOOKUP(Calculator!E23,tbSkills!DH3:DJ6,3,FALSE),0),0))/100)))),1),"")</f>
        <v>1</v>
      </c>
      <c r="E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37)*D37)*(VLOOKUP(A37,tbMoveset!A2:C112,3,FALSE)/100)*IF(VLOOKUP(A37,tbMoveset!A2:B112,2,FALSE)="Projectile",Backdoors!N10,Backdoors!N9),0),"")</f>
        <v>9</v>
      </c>
      <c r="F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37&gt;=0.45,VLOOKUP(Calculator!E23,tbSkills!DH3:DI6,2,FALSE)+IF(AND(Calculator!B8=TRUE,Backdoors!BI3=TRUE),VLOOKUP(Calculator!E23,tbSkills!DH3:DJ6,3,FALSE),0),0))&gt;=100,100,(Backdoors!AI12+IF(B37&gt;=0.45,VLOOKUP(Calculator!E23,tbSkills!DH3:DI6,2,FALSE)+IF(AND(Calculator!B8=TRUE,Backdoors!BI3=TRUE),VLOOKUP(Calculator!E23,tbSkills!DH3:DJ6,3,FALSE),0),0)))/100)),1))*IF(VLOOKUP(A37,tbMoveset!A2:K112,11,FALSE)=TRUE,Backdoors!AC5,1))*C37,0),"")</f>
        <v>0</v>
      </c>
      <c r="G37">
        <f>VLOOKUP(A37,tbMoveset!A2:G112,7,FALSE)*IFERROR(IF(Backdoors!AI12&gt;=0,1+(IF(Calculator!E40&gt;0,VLOOKUP(Calculator!E40,tbSkills!AI3:AJ5,2,FALSE),Backdoors!AL4)*(IF((Backdoors!AI12+IF(B37&gt;=0.45,VLOOKUP(Calculator!E23,tbSkills!DH3:DI6,2,FALSE)+IF(AND(Calculator!B8=TRUE,Backdoors!BI3=TRUE),VLOOKUP(Calculator!E23,tbSkills!DH3:DJ6,3,FALSE),0),0))&gt;=100,100,(Backdoors!AI12+IF(B37&gt;=0.45,VLOOKUP(Calculator!E23,tbSkills!DH3:DI6,2,FALSE)+IF(AND(Calculator!B8=TRUE,Backdoors!BI3=TRUE),VLOOKUP(Calculator!E23,tbSkills!DH3:DJ6,3,FALSE),0),0)))/100)),1),1)</f>
        <v>0.5</v>
      </c>
      <c r="H37" s="87">
        <f t="shared" si="44"/>
        <v>9</v>
      </c>
      <c r="I37" s="86">
        <f>IFERROR(IF(VLOOKUP(A37,tbMoveset!A2:B112,2,FALSE)="Sever",Backdoors!AY4/100,IF(VLOOKUP(A37,tbMoveset!A2:B112,2,FALSE)="Blunt",Backdoors!AZ4/100,Backdoors!BA4/100)),"")</f>
        <v>0.65</v>
      </c>
      <c r="J37" s="49">
        <f>IFERROR(IF(VLOOKUP(tbMoveset!A37,tbMoveset!A2:H112,8,FALSE)="Other",IF(VLOOKUP(tbMoveset!A37,tbMoveset!A2:I112,9,FALSE)="Fire",Backdoors!BB4,IF(VLOOKUP(tbMoveset!A37,tbMoveset!A2:I112,9,FALSE)="Water",Backdoors!BC4,IF(VLOOKUP(tbMoveset!A37,tbMoveset!A2:I112,9,FALSE)="Thunder",Backdoors!BD4,IF(VLOOKUP(tbMoveset!A37,tbMoveset!A2:I112,9,FALSE)="Ice",Backdoors!BE4,IF(VLOOKUP(tbMoveset!A37,tbMoveset!A2:I112,9,FALSE)="Dragon",Backdoors!BF4,Backdoors!BG4)))))/100,Backdoors!BG4/100),"")</f>
        <v>0</v>
      </c>
      <c r="K37" s="49">
        <f>IFERROR(IF(VLOOKUP(A37,tbMoveset!A2:J112,10,FALSE)=TRUE,IF((Backdoors!AI12+IF(I37&gt;=0.45,VLOOKUP(Calculator!E23,tbSkills!DH3:DI6,2,FALSE)+IF(AND(Calculator!B8=TRUE,Backdoors!BI4=TRUE),VLOOKUP(Calculator!E23,tbSkills!DH3:DJ6,3,FALSE),0),0))&gt;=0,1+(Backdoors!AL2*(IF((Backdoors!AI12+IF(I37&gt;=0.45,VLOOKUP(Calculator!E23,tbSkills!DH3:DI6,2,FALSE)+IF(AND(Calculator!B8=TRUE,Backdoors!BI4=TRUE),VLOOKUP(Calculator!E23,tbSkills!DH3:DJ6,3,FALSE),0),0))&gt;=100,100,(Backdoors!AI12+IF(I37&gt;=0.45,VLOOKUP(Calculator!E23,tbSkills!DH3:DI6,2,FALSE)+IF(AND(Calculator!B8=TRUE,Backdoors!BI4=TRUE),VLOOKUP(Calculator!E23,tbSkills!DH3:DJ6,3,FALSE),0),0)))/100)),(1-(0.25*((-Backdoors!AI12-IF(I37&gt;=0.45,VLOOKUP(Calculator!E23,tbSkills!DH3:DI6,2,FALSE)+IF(AND(Calculator!B8=TRUE,Backdoors!BI4=TRUE),VLOOKUP(Calculator!E23,tbSkills!DH3:DJ6,3,FALSE),0),0))/100)))),1),"")</f>
        <v>1</v>
      </c>
      <c r="L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37)*K37)*(VLOOKUP(A37,tbMoveset!A2:C112,3,FALSE)/100)*IF(VLOOKUP(A37,tbMoveset!A2:B112,2,FALSE)="Projectile",Backdoors!N10,Backdoors!N9),0),"")</f>
        <v>8</v>
      </c>
      <c r="M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I37&gt;=0.45,VLOOKUP(Calculator!E23,tbSkills!DH3:DI6,2,FALSE)+IF(AND(Calculator!B8=TRUE,Backdoors!BI4=TRUE),VLOOKUP(Calculator!E23,tbSkills!DH3:DJ6,3,FALSE),0),0))&gt;=100,100,(Backdoors!AI12+IF(I37&gt;=0.45,VLOOKUP(Calculator!E23,tbSkills!DH3:DI6,2,FALSE)+IF(AND(Calculator!B8=TRUE,Backdoors!BI4=TRUE),VLOOKUP(Calculator!E23,tbSkills!DH3:DJ6,3,FALSE),0),0)))/100)),1))*IF(VLOOKUP(A37,tbMoveset!A2:K112,11,FALSE)=TRUE,Backdoors!AC5,1))*J37,0),"")</f>
        <v>0</v>
      </c>
      <c r="N37" s="49">
        <f>VLOOKUP(A37,tbMoveset!A2:G112,7,FALSE)*IFERROR(IF(Backdoors!AI12&gt;=0,1+(IF(Calculator!E40&gt;0,VLOOKUP(Calculator!E40,tbSkills!AI3:AJ5,2,FALSE),Backdoors!AL4)*(IF((Backdoors!AI12+IF(I37&gt;=0.45,VLOOKUP(Calculator!E23,tbSkills!DH3:DI6,2,FALSE)+IF(AND(Calculator!B8=TRUE,Backdoors!BI4=TRUE),VLOOKUP(Calculator!E23,tbSkills!DH3:DJ6,3,FALSE),0),0))&gt;=100,100,(Backdoors!AI12+IF(I37&gt;=0.45,VLOOKUP(Calculator!E23,tbSkills!DH3:DI6,2,FALSE)+IF(AND(Calculator!B8=TRUE,Backdoors!BI4=TRUE),VLOOKUP(Calculator!E23,tbSkills!DH3:DJ6,3,FALSE),0),0)))/100)),1),1)</f>
        <v>0.5</v>
      </c>
      <c r="O37" s="87">
        <f t="shared" si="45"/>
        <v>8</v>
      </c>
      <c r="P37" s="86">
        <f>IFERROR(IF(VLOOKUP(A37,tbMoveset!A2:B112,2,FALSE)="Sever",Backdoors!AY5/100,IF(VLOOKUP(A37,tbMoveset!A2:B112,2,FALSE)="Blunt",Backdoors!AZ5/100,Backdoors!BA5/100)),"")</f>
        <v>0.5</v>
      </c>
      <c r="Q37" s="49">
        <f>IFERROR(IF(VLOOKUP(tbMoveset!A37,tbMoveset!A2:H112,8,FALSE)="Other",IF(VLOOKUP(tbMoveset!A37,tbMoveset!A2:I112,9,FALSE)="Fire",Backdoors!BB5,IF(VLOOKUP(tbMoveset!A37,tbMoveset!A2:I112,9,FALSE)="Water",Backdoors!BC5,IF(VLOOKUP(tbMoveset!A37,tbMoveset!A2:I112,9,FALSE)="Thunder",Backdoors!BD5,IF(VLOOKUP(tbMoveset!A37,tbMoveset!A2:I112,9,FALSE)="Ice",Backdoors!BE5,IF(VLOOKUP(tbMoveset!A37,tbMoveset!A2:I112,9,FALSE)="Dragon",Backdoors!BF5,Backdoors!BG5)))))/100,Backdoors!BG5/100),"")</f>
        <v>0</v>
      </c>
      <c r="R37" s="49">
        <f>IFERROR(IF(VLOOKUP(A37,tbMoveset!A2:J112,10,FALSE)=TRUE,IF((Backdoors!AI12+IF(P37&gt;=0.45,VLOOKUP(Calculator!E23,tbSkills!DH3:DI6,2,FALSE)+IF(AND(Calculator!B8=TRUE,Backdoors!BI5=TRUE),VLOOKUP(Calculator!E23,tbSkills!DH3:DJ6,3,FALSE),0),0))&gt;=0,1+(Backdoors!AL2*(IF((Backdoors!AI12+IF(P37&gt;=0.45,VLOOKUP(Calculator!E23,tbSkills!DH3:DI6,2,FALSE)+IF(AND(Calculator!B8=TRUE,Backdoors!BI5=TRUE),VLOOKUP(Calculator!E23,tbSkills!DH3:DJ6,3,FALSE),0),0))&gt;=100,100,(Backdoors!AI12+IF(P37&gt;=0.45,VLOOKUP(Calculator!E23,tbSkills!DH3:DI6,2,FALSE)+IF(AND(Calculator!B8=TRUE,Backdoors!BI5=TRUE),VLOOKUP(Calculator!E23,tbSkills!DH3:DJ6,3,FALSE),0),0)))/100)),(1-(0.25*((-Backdoors!AI12-IF(P37&gt;=0.45,VLOOKUP(Calculator!E23,tbSkills!DH3:DI6,2,FALSE)+IF(AND(Calculator!B8=TRUE,Backdoors!BI5=TRUE),VLOOKUP(Calculator!E23,tbSkills!DH3:DJ6,3,FALSE),0),0))/100)))),1),"")</f>
        <v>1</v>
      </c>
      <c r="S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P37)*R37)*(VLOOKUP(A37,tbMoveset!A2:C112,3,FALSE)/100)*IF(VLOOKUP(A37,tbMoveset!A2:B112,2,FALSE)="Projectile",Backdoors!N10,Backdoors!N9),0),"")</f>
        <v>6</v>
      </c>
      <c r="T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P37&gt;=0.45,VLOOKUP(Calculator!E23,tbSkills!DH3:DI6,2,FALSE)+IF(AND(Calculator!B8=TRUE,Backdoors!BI5=TRUE),VLOOKUP(Calculator!E23,tbSkills!DH3:DJ6,3,FALSE),0),0))&gt;=100,100,(Backdoors!AI12+IF(P37&gt;=0.45,VLOOKUP(Calculator!E23,tbSkills!DH3:DI6,2,FALSE)+IF(AND(Calculator!B8=TRUE,Backdoors!BI5=TRUE),VLOOKUP(Calculator!E23,tbSkills!DH3:DJ6,3,FALSE),0),0)))/100)),1))*IF(VLOOKUP(A37,tbMoveset!A2:K112,11,FALSE)=TRUE,Backdoors!AC5,1))*Q37,0),"")</f>
        <v>0</v>
      </c>
      <c r="U37" s="49">
        <f>VLOOKUP(A37,tbMoveset!A2:G112,7,FALSE)*IFERROR(IF(Backdoors!AI12&gt;=0,1+(IF(Calculator!E40&gt;0,VLOOKUP(Calculator!E40,tbSkills!AI3:AJ5,2,FALSE),Backdoors!AL4)*(IF((Backdoors!AI12+IF(P37&gt;=0.45,VLOOKUP(Calculator!E23,tbSkills!DH3:DI6,2,FALSE)+IF(AND(Calculator!B8=TRUE,Backdoors!BI5=TRUE),VLOOKUP(Calculator!E23,tbSkills!DH3:DJ6,3,FALSE),0),0))&gt;=100,100,(Backdoors!AI12+IF(P37&gt;=0.45,VLOOKUP(Calculator!E23,tbSkills!DH3:DI6,2,FALSE)+IF(AND(Calculator!B8=TRUE,Backdoors!BI5=TRUE),VLOOKUP(Calculator!E23,tbSkills!DH3:DJ6,3,FALSE),0),0)))/100)),1),1)</f>
        <v>0.5</v>
      </c>
      <c r="V37" s="87">
        <f t="shared" si="46"/>
        <v>6</v>
      </c>
      <c r="W37" s="86">
        <f>IFERROR(IF(VLOOKUP(A37,tbMoveset!A2:B112,2,FALSE)="Sever",Backdoors!AY6/100,IF(VLOOKUP(A37,tbMoveset!A2:B112,2,FALSE)="Blunt",Backdoors!AZ6/100,Backdoors!BA6/100)),"")</f>
        <v>0.45</v>
      </c>
      <c r="X37" s="49">
        <f>IFERROR(IF(VLOOKUP(tbMoveset!A37,tbMoveset!A2:H112,8,FALSE)="Other",IF(VLOOKUP(tbMoveset!A37,tbMoveset!A2:I112,9,FALSE)="Fire",Backdoors!BB6,IF(VLOOKUP(tbMoveset!A37,tbMoveset!A2:I112,9,FALSE)="Water",Backdoors!BC6,IF(VLOOKUP(tbMoveset!A37,tbMoveset!A2:I112,9,FALSE)="Thunder",Backdoors!BD6,IF(VLOOKUP(tbMoveset!A37,tbMoveset!A2:I112,9,FALSE)="Ice",Backdoors!BE6,IF(VLOOKUP(tbMoveset!A37,tbMoveset!A2:I112,9,FALSE)="Dragon",Backdoors!BF6,Backdoors!BG6)))))/100,Backdoors!BG6/100),"")</f>
        <v>0</v>
      </c>
      <c r="Y37" s="49">
        <f>IFERROR(IF(VLOOKUP(A37,tbMoveset!A2:J112,10,FALSE)=TRUE,IF((Backdoors!AI12+IF(W37&gt;=0.45,VLOOKUP(Calculator!E23,tbSkills!DH3:DI6,2,FALSE)+IF(AND(Calculator!B8=TRUE,Backdoors!BI6=TRUE),VLOOKUP(Calculator!E23,tbSkills!DH3:DJ6,3,FALSE),0),0))&gt;=0,1+(Backdoors!AL2*(IF((Backdoors!AI12+IF(W37&gt;=0.45,VLOOKUP(Calculator!E23,tbSkills!DH3:DI6,2,FALSE)+IF(AND(Calculator!B8=TRUE,Backdoors!BI6=TRUE),VLOOKUP(Calculator!E23,tbSkills!DH3:DJ6,3,FALSE),0),0))&gt;=100,100,(Backdoors!AI12+IF(W37&gt;=0.45,VLOOKUP(Calculator!E23,tbSkills!DH3:DI6,2,FALSE)+IF(AND(Calculator!B8=TRUE,Backdoors!BI6=TRUE),VLOOKUP(Calculator!E23,tbSkills!DH3:DJ6,3,FALSE),0),0)))/100)),(1-(0.25*((-Backdoors!AI12-IF(W37&gt;=0.45,VLOOKUP(Calculator!E23,tbSkills!DH3:DI6,2,FALSE)+IF(AND(Calculator!B8=TRUE,Backdoors!BI6=TRUE),VLOOKUP(Calculator!E23,tbSkills!DH3:DJ6,3,FALSE),0),0))/100)))),1),"")</f>
        <v>1</v>
      </c>
      <c r="Z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W37)*Y37)*(VLOOKUP(A37,tbMoveset!A2:C112,3,FALSE)/100)*IF(VLOOKUP(A37,tbMoveset!A2:B112,2,FALSE)="Projectile",Backdoors!N10,Backdoors!N9),0),"")</f>
        <v>5</v>
      </c>
      <c r="AA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W37&gt;=0.45,VLOOKUP(Calculator!E23,tbSkills!DH3:DI6,2,FALSE)+IF(AND(Calculator!B8=TRUE,Backdoors!BI6=TRUE),VLOOKUP(Calculator!E23,tbSkills!DH3:DJ6,3,FALSE),0),0))&gt;=100,100,(Backdoors!AI12+IF(W37&gt;=0.45,VLOOKUP(Calculator!E23,tbSkills!DH3:DI6,2,FALSE)+IF(AND(Calculator!B8=TRUE,Backdoors!BI6=TRUE),VLOOKUP(Calculator!E23,tbSkills!DH3:DJ6,3,FALSE),0),0)))/100)),1))*IF(VLOOKUP(A37,tbMoveset!A2:K112,11,FALSE)=TRUE,Backdoors!AC5,1))*X37,0),"")</f>
        <v>0</v>
      </c>
      <c r="AB37" s="49">
        <f>VLOOKUP(A37,tbMoveset!A2:G112,7,FALSE)*IFERROR(IF(Backdoors!AI12&gt;=0,1+(IF(Calculator!E40&gt;0,VLOOKUP(Calculator!E40,tbSkills!AI3:AJ5,2,FALSE),Backdoors!AL4)*(IF((Backdoors!AI12+IF(W37&gt;=0.45,VLOOKUP(Calculator!E23,tbSkills!DH3:DI6,2,FALSE)+IF(AND(Calculator!B8=TRUE,Backdoors!BI6=TRUE),VLOOKUP(Calculator!E23,tbSkills!DH3:DJ6,3,FALSE),0),0))&gt;=100,100,(Backdoors!AI12+IF(W37&gt;=0.45,VLOOKUP(Calculator!E23,tbSkills!DH3:DI6,2,FALSE)+IF(AND(Calculator!B8=TRUE,Backdoors!BI6=TRUE),VLOOKUP(Calculator!E23,tbSkills!DH3:DJ6,3,FALSE),0),0)))/100)),1),1)</f>
        <v>0.5</v>
      </c>
      <c r="AC37" s="87">
        <f t="shared" si="47"/>
        <v>5</v>
      </c>
      <c r="AD37" s="86">
        <f>IFERROR(IF(VLOOKUP(A37,tbMoveset!A2:B112,2,FALSE)="Sever",Backdoors!AY7/100,IF(VLOOKUP(A37,tbMoveset!A2:B112,2,FALSE)="Blunt",Backdoors!AZ7/100,Backdoors!BA7/100)),"")</f>
        <v>0.65</v>
      </c>
      <c r="AE37" s="49">
        <f>IFERROR(IF(VLOOKUP(tbMoveset!A37,tbMoveset!A2:H112,8,FALSE)="Other",IF(VLOOKUP(tbMoveset!A37,tbMoveset!A2:I112,9,FALSE)="Fire",Backdoors!BB7,IF(VLOOKUP(tbMoveset!A37,tbMoveset!A2:I112,9,FALSE)="Water",Backdoors!BC7,IF(VLOOKUP(tbMoveset!A37,tbMoveset!A2:I112,9,FALSE)="Thunder",Backdoors!BD7,IF(VLOOKUP(tbMoveset!A37,tbMoveset!A2:I112,9,FALSE)="Ice",Backdoors!BE7,IF(VLOOKUP(tbMoveset!A37,tbMoveset!A2:I112,9,FALSE)="Dragon",Backdoors!BF7,Backdoors!BG7)))))/100,Backdoors!BG7/100),"")</f>
        <v>0</v>
      </c>
      <c r="AF37" s="49">
        <f>IFERROR(IF(VLOOKUP(A37,tbMoveset!A2:J112,10,FALSE)=TRUE,IF((Backdoors!AI12+IF(AD37&gt;=0.45,VLOOKUP(Calculator!E23,tbSkills!DH3:DI6,2,FALSE)+IF(AND(Calculator!B8=TRUE,Backdoors!BI7=TRUE),VLOOKUP(Calculator!E23,tbSkills!DH3:DJ6,3,FALSE),0),0))&gt;=0,1+(Backdoors!AL2*(IF((Backdoors!AI12+IF(AD37&gt;=0.45,VLOOKUP(Calculator!E23,tbSkills!DH3:DI6,2,FALSE)+IF(AND(Calculator!B8=TRUE,Backdoors!BI7=TRUE),VLOOKUP(Calculator!E23,tbSkills!DH3:DJ6,3,FALSE),0),0))&gt;=100,100,(Backdoors!AI12+IF(AD37&gt;=0.45,VLOOKUP(Calculator!E23,tbSkills!DH3:DI6,2,FALSE)+IF(AND(Calculator!B8=TRUE,Backdoors!BI7=TRUE),VLOOKUP(Calculator!E23,tbSkills!DH3:DJ6,3,FALSE),0),0)))/100)),(1-(0.25*((-Backdoors!AI12-IF(AD37&gt;=0.45,VLOOKUP(Calculator!E23,tbSkills!DH3:DI6,2,FALSE)+IF(AND(Calculator!B8=TRUE,Backdoors!BI7=TRUE),VLOOKUP(Calculator!E23,tbSkills!DH3:DJ6,3,FALSE),0),0))/100)))),1),"")</f>
        <v>1</v>
      </c>
      <c r="AG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D37)*AF37)*(VLOOKUP(A37,tbMoveset!A2:C112,3,FALSE)/100)*IF(VLOOKUP(A37,tbMoveset!A2:B112,2,FALSE)="Projectile",Backdoors!N10,Backdoors!N9),0),"")</f>
        <v>8</v>
      </c>
      <c r="AH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D37&gt;=0.45,VLOOKUP(Calculator!E23,tbSkills!DH3:DI6,2,FALSE)+IF(AND(Calculator!B8=TRUE,Backdoors!BI7=TRUE),VLOOKUP(Calculator!E23,tbSkills!DH3:DJ6,3,FALSE),0),0))&gt;=100,100,(Backdoors!AI12+IF(AD37&gt;=0.45,VLOOKUP(Calculator!E23,tbSkills!DH3:DI6,2,FALSE)+IF(AND(Calculator!B8=TRUE,Backdoors!BI7=TRUE),VLOOKUP(Calculator!E23,tbSkills!DH3:DJ6,3,FALSE),0),0)))/100)),1))*IF(VLOOKUP(A37,tbMoveset!A2:K112,11,FALSE)=TRUE,Backdoors!AC5,1))*AE37,0),"")</f>
        <v>0</v>
      </c>
      <c r="AI37" s="49">
        <f>VLOOKUP(A37,tbMoveset!A2:G112,7,FALSE)*IFERROR(IF(Backdoors!AI12&gt;=0,1+(IF(Calculator!E40&gt;0,VLOOKUP(Calculator!E40,tbSkills!AI3:AJ5,2,FALSE),Backdoors!AL4)*(IF((Backdoors!AI12+IF(AD37&gt;=0.45,VLOOKUP(Calculator!E23,tbSkills!DH3:DI6,2,FALSE)+IF(AND(Calculator!B8=TRUE,Backdoors!BI7=TRUE),VLOOKUP(Calculator!E23,tbSkills!DH3:DJ6,3,FALSE),0),0))&gt;=100,100,(Backdoors!AI12+IF(AD37&gt;=0.45,VLOOKUP(Calculator!E23,tbSkills!DH3:DI6,2,FALSE)+IF(AND(Calculator!B8=TRUE,Backdoors!BI7=TRUE),VLOOKUP(Calculator!E23,tbSkills!DH3:DJ6,3,FALSE),0),0)))/100)),1),1)</f>
        <v>0.5</v>
      </c>
      <c r="AJ37" s="87">
        <f t="shared" si="48"/>
        <v>8</v>
      </c>
      <c r="AK37" s="91">
        <f>IFERROR(IF(VLOOKUP(A37,tbMoveset!A2:B112,2,FALSE)="Sever",Backdoors!AY8/100,IF(VLOOKUP(A37,tbMoveset!A2:B112,2,FALSE)="Blunt",Backdoors!AZ8/100,Backdoors!BA8/100)),"")</f>
        <v>0.45</v>
      </c>
      <c r="AL37" s="49">
        <f>IFERROR(IF(VLOOKUP(tbMoveset!A37,tbMoveset!A2:H112,8,FALSE)="Other",IF(VLOOKUP(tbMoveset!A37,tbMoveset!A2:I112,9,FALSE)="Fire",Backdoors!BB8,IF(VLOOKUP(tbMoveset!A37,tbMoveset!A2:I112,9,FALSE)="Water",Backdoors!BC8,IF(VLOOKUP(tbMoveset!A37,tbMoveset!A2:I112,9,FALSE)="Thunder",Backdoors!BD8,IF(VLOOKUP(tbMoveset!A37,tbMoveset!A2:I112,9,FALSE)="Ice",Backdoors!BE8,IF(VLOOKUP(tbMoveset!A37,tbMoveset!A2:I112,9,FALSE)="Dragon",Backdoors!BF8,Backdoors!BG8)))))/100,Backdoors!BG8/100),"")</f>
        <v>0</v>
      </c>
      <c r="AM37" s="49">
        <f>IFERROR(IF(VLOOKUP(A37,tbMoveset!A2:J112,10,FALSE)=TRUE,IF((Backdoors!AI12+IF(AK37&gt;=0.45,VLOOKUP(Calculator!E23,tbSkills!DH3:DI6,2,FALSE)+IF(AND(Calculator!B8=TRUE,Backdoors!BI8=TRUE),VLOOKUP(Calculator!E23,tbSkills!DH3:DJ6,3,FALSE),0),0))&gt;=0,1+(Backdoors!AL2*(IF((Backdoors!AI12+IF(AK37&gt;=0.45,VLOOKUP(Calculator!E23,tbSkills!DH3:DI6,2,FALSE)+IF(AND(Calculator!B8=TRUE,Backdoors!BI8=TRUE),VLOOKUP(Calculator!E23,tbSkills!DH3:DJ6,3,FALSE),0),0))&gt;=100,100,(Backdoors!AI12+IF(AK37&gt;=0.45,VLOOKUP(Calculator!E23,tbSkills!DH3:DI6,2,FALSE)+IF(AND(Calculator!B8=TRUE,Backdoors!BI8=TRUE),VLOOKUP(Calculator!E23,tbSkills!DH3:DJ6,3,FALSE),0),0)))/100)),(1-(0.25*((-Backdoors!AI12-IF(AK37&gt;=0.45,VLOOKUP(Calculator!E23,tbSkills!DH3:DI6,2,FALSE)+IF(AND(Calculator!B8=TRUE,Backdoors!BI8=TRUE),VLOOKUP(Calculator!E23,tbSkills!DH3:DJ6,3,FALSE),0),0))/100)))),1),"")</f>
        <v>1</v>
      </c>
      <c r="AN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K37)*AM37)*(VLOOKUP(A37,tbMoveset!A2:C112,3,FALSE)/100)*IF(VLOOKUP(A37,tbMoveset!A2:B112,2,FALSE)="Projectile",Backdoors!N10,Backdoors!N9),0),"")</f>
        <v>5</v>
      </c>
      <c r="AO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K37&gt;=0.45,VLOOKUP(Calculator!E23,tbSkills!DH3:DI6,2,FALSE)+IF(AND(Calculator!B8=TRUE,Backdoors!BI8=TRUE),VLOOKUP(Calculator!E23,tbSkills!DH3:DJ6,3,FALSE),0),0))&gt;=100,100,(Backdoors!AI12+IF(AK37&gt;=0.45,VLOOKUP(Calculator!E23,tbSkills!DH3:DI6,2,FALSE)+IF(AND(Calculator!B8=TRUE,Backdoors!BI8=TRUE),VLOOKUP(Calculator!E23,tbSkills!DH3:DJ6,3,FALSE),0),0)))/100)),1))*IF(VLOOKUP(A37,tbMoveset!A2:K112,11,FALSE)=TRUE,Backdoors!AC5,1))*AL37,0),"")</f>
        <v>0</v>
      </c>
      <c r="AP37" s="49">
        <f>VLOOKUP(A37,tbMoveset!A2:G112,7,FALSE)*IFERROR(IF(Backdoors!AI12&gt;=0,1+(IF(Calculator!E40&gt;0,VLOOKUP(Calculator!E40,tbSkills!AI3:AJ5,2,FALSE),Backdoors!AL4)*(IF((Backdoors!AI12+IF(AK37&gt;=0.45,VLOOKUP(Calculator!E23,tbSkills!DH3:DI6,2,FALSE)+IF(AND(Calculator!B8=TRUE,Backdoors!BI8=TRUE),VLOOKUP(Calculator!E23,tbSkills!DH3:DJ6,3,FALSE),0),0))&gt;=100,100,(Backdoors!AI12+IF(AK37&gt;=0.45,VLOOKUP(Calculator!E23,tbSkills!DH3:DI6,2,FALSE)+IF(AND(Calculator!B8=TRUE,Backdoors!BI8=TRUE),VLOOKUP(Calculator!E23,tbSkills!DH3:DJ6,3,FALSE),0),0)))/100)),1),1)</f>
        <v>0.5</v>
      </c>
      <c r="AQ37" s="87">
        <f t="shared" si="49"/>
        <v>5</v>
      </c>
      <c r="AR37" s="86">
        <f>IFERROR(IF(VLOOKUP(A37,tbMoveset!A2:B112,2,FALSE)="Sever",Backdoors!AY9/100,IF(VLOOKUP(A37,tbMoveset!A2:B112,2,FALSE)="Blunt",Backdoors!AZ9/100,Backdoors!BA9/100)),"")</f>
        <v>0.45</v>
      </c>
      <c r="AS37" s="49">
        <f>IFERROR(IF(VLOOKUP(tbMoveset!A37,tbMoveset!A2:H112,8,FALSE)="Other",IF(VLOOKUP(tbMoveset!A37,tbMoveset!A2:I112,9,FALSE)="Fire",Backdoors!BB9,IF(VLOOKUP(tbMoveset!A37,tbMoveset!A2:I112,9,FALSE)="Water",Backdoors!BC9,IF(VLOOKUP(tbMoveset!A37,tbMoveset!A2:I112,9,FALSE)="Thunder",Backdoors!BD9,IF(VLOOKUP(tbMoveset!A37,tbMoveset!A2:I112,9,FALSE)="Ice",Backdoors!BE9,IF(VLOOKUP(tbMoveset!A37,tbMoveset!A2:I112,9,FALSE)="Dragon",Backdoors!BF9,Backdoors!BG9)))))/100,Backdoors!BG9/100),"")</f>
        <v>0</v>
      </c>
      <c r="AT37" s="49">
        <f>IFERROR(IF(VLOOKUP(A37,tbMoveset!A2:J112,10,FALSE)=TRUE,IF((Backdoors!AI12+IF(AR37&gt;=0.45,VLOOKUP(Calculator!E23,tbSkills!DH3:DI6,2,FALSE)+IF(AND(Calculator!B8=TRUE,Backdoors!BI9=TRUE),VLOOKUP(Calculator!E23,tbSkills!DH3:DJ6,3,FALSE),0),0))&gt;=0,1+(Backdoors!AL2*(IF((Backdoors!AI12+IF(AR37&gt;=0.45,VLOOKUP(Calculator!E23,tbSkills!DH3:DI6,2,FALSE)+IF(AND(Calculator!B8=TRUE,Backdoors!BI9=TRUE),VLOOKUP(Calculator!E23,tbSkills!DH3:DJ6,3,FALSE),0),0))&gt;=100,100,(Backdoors!AI12+IF(AR37&gt;=0.45,VLOOKUP(Calculator!E23,tbSkills!DH3:DI6,2,FALSE)+IF(AND(Calculator!B8=TRUE,Backdoors!BI9=TRUE),VLOOKUP(Calculator!E23,tbSkills!DH3:DJ6,3,FALSE),0),0)))/100)),(1-(0.25*((-Backdoors!AI12-IF(AR37&gt;=0.45,VLOOKUP(Calculator!E23,tbSkills!DH3:DI6,2,FALSE)+IF(AND(Calculator!B8=TRUE,Backdoors!BI9=TRUE),VLOOKUP(Calculator!E23,tbSkills!DH3:DJ6,3,FALSE),0),0))/100)))),1),"")</f>
        <v>1</v>
      </c>
      <c r="AU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R37)*AT37)*(VLOOKUP(A37,tbMoveset!A2:C112,3,FALSE)/100)*IF(VLOOKUP(A37,tbMoveset!A2:B112,2,FALSE)="Projectile",Backdoors!N10,Backdoors!N9),0),"")</f>
        <v>5</v>
      </c>
      <c r="AV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R37&gt;=0.45,VLOOKUP(Calculator!E23,tbSkills!DH3:DI6,2,FALSE)+IF(AND(Calculator!B8=TRUE,Backdoors!BI9=TRUE),VLOOKUP(Calculator!E23,tbSkills!DH3:DJ6,3,FALSE),0),0))&gt;=100,100,(Backdoors!AI12+IF(AR37&gt;=0.45,VLOOKUP(Calculator!E23,tbSkills!DH3:DI6,2,FALSE)+IF(AND(Calculator!B8=TRUE,Backdoors!BI9=TRUE),VLOOKUP(Calculator!E23,tbSkills!DH3:DJ6,3,FALSE),0),0)))/100)),1))*IF(VLOOKUP(A37,tbMoveset!A2:K112,11,FALSE)=TRUE,Backdoors!AC5,1))*AS37,0),"")</f>
        <v>0</v>
      </c>
      <c r="AW37" s="49">
        <f>VLOOKUP(A37,tbMoveset!A2:G112,7,FALSE)*IFERROR(IF(Backdoors!AI12&gt;=0,1+(IF(Calculator!E40&gt;0,VLOOKUP(Calculator!E40,tbSkills!AI3:AJ5,2,FALSE),Backdoors!AL4)*(IF((Backdoors!AI12+IF(AR37&gt;=0.45,VLOOKUP(Calculator!E23,tbSkills!DH3:DI6,2,FALSE)+IF(AND(Calculator!B8=TRUE,Backdoors!BI9=TRUE),VLOOKUP(Calculator!E23,tbSkills!DH3:DJ6,3,FALSE),0),0))&gt;=100,100,(Backdoors!AI12+IF(AR37&gt;=0.45,VLOOKUP(Calculator!E23,tbSkills!DH3:DI6,2,FALSE)+IF(AND(Calculator!B8=TRUE,Backdoors!BI9=TRUE),VLOOKUP(Calculator!E23,tbSkills!DH3:DJ6,3,FALSE),0),0)))/100)),1),1)</f>
        <v>0.5</v>
      </c>
      <c r="AX37" s="87">
        <f t="shared" si="50"/>
        <v>5</v>
      </c>
      <c r="AY37" s="86">
        <f>IFERROR(IF(VLOOKUP(A37,tbMoveset!A2:B112,2,FALSE)="Sever",Backdoors!AY10/100,IF(VLOOKUP(A37,tbMoveset!A2:B112,2,FALSE)="Blunt",Backdoors!AZ10/100,Backdoors!BA10/100)),"")</f>
        <v>0.9</v>
      </c>
      <c r="AZ37" s="49">
        <f>IFERROR(IF(VLOOKUP(tbMoveset!A37,tbMoveset!A2:H112,8,FALSE)="Other",IF(VLOOKUP(tbMoveset!A37,tbMoveset!A2:I112,9,FALSE)="Fire",Backdoors!BB10,IF(VLOOKUP(tbMoveset!A37,tbMoveset!A2:I112,9,FALSE)="Water",Backdoors!BC10,IF(VLOOKUP(tbMoveset!A37,tbMoveset!A2:I112,9,FALSE)="Thunder",Backdoors!BD10,IF(VLOOKUP(tbMoveset!A37,tbMoveset!A2:I112,9,FALSE)="Ice",Backdoors!BE10,IF(VLOOKUP(tbMoveset!A37,tbMoveset!A2:I112,9,FALSE)="Dragon",Backdoors!BF10,Backdoors!BG10)))))/100,Backdoors!BG10/100),"")</f>
        <v>0</v>
      </c>
      <c r="BA37" s="49">
        <f>IFERROR(IF(VLOOKUP(A37,tbMoveset!A2:J112,10,FALSE)=TRUE,IF((Backdoors!AI12+IF(AY37&gt;=0.45,VLOOKUP(Calculator!E23,tbSkills!DH3:DI6,2,FALSE)+IF(AND(Calculator!B8=TRUE,Backdoors!BI10=TRUE),VLOOKUP(Calculator!E23,tbSkills!DH3:DJ6,3,FALSE),0),0))&gt;=0,1+(Backdoors!AL2*(IF((Backdoors!AI12+IF(AY37&gt;=0.45,VLOOKUP(Calculator!E23,tbSkills!DH3:DI6,2,FALSE)+IF(AND(Calculator!B8=TRUE,Backdoors!BI10=TRUE),VLOOKUP(Calculator!E23,tbSkills!DH3:DJ6,3,FALSE),0),0))&gt;=100,100,(Backdoors!AI12+IF(AY37&gt;=0.45,VLOOKUP(Calculator!E23,tbSkills!DH3:DI6,2,FALSE)+IF(AND(Calculator!B8=TRUE,Backdoors!BI10=TRUE),VLOOKUP(Calculator!E23,tbSkills!DH3:DJ6,3,FALSE),0),0)))/100)),(1-(0.25*((-Backdoors!AI12-IF(AY37&gt;=0.45,VLOOKUP(Calculator!E23,tbSkills!DH3:DI6,2,FALSE)+IF(AND(Calculator!B8=TRUE,Backdoors!BI10=TRUE),VLOOKUP(Calculator!E23,tbSkills!DH3:DJ6,3,FALSE),0),0))/100)))),1),"")</f>
        <v>1</v>
      </c>
      <c r="BB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Y37)*BA37)*(VLOOKUP(A37,tbMoveset!A2:C112,3,FALSE)/100)*IF(VLOOKUP(A37,tbMoveset!A2:B112,2,FALSE)="Projectile",Backdoors!N10,Backdoors!N9),0),"")</f>
        <v>11</v>
      </c>
      <c r="BC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Y37&gt;=0.45,VLOOKUP(Calculator!E23,tbSkills!DH3:DI6,2,FALSE)+IF(AND(Calculator!B8=TRUE,Backdoors!BI10=TRUE),VLOOKUP(Calculator!E23,tbSkills!DH3:DJ6,3,FALSE),0),0))&gt;=100,100,(Backdoors!AI12+IF(AY37&gt;=0.45,VLOOKUP(Calculator!E23,tbSkills!DH3:DI6,2,FALSE)+IF(AND(Calculator!B8=TRUE,Backdoors!BI10=TRUE),VLOOKUP(Calculator!E23,tbSkills!DH3:DJ6,3,FALSE),0),0)))/100)),1))*IF(VLOOKUP(A37,tbMoveset!A2:K112,11,FALSE)=TRUE,Backdoors!AC5,1))*AZ37,0),"")</f>
        <v>0</v>
      </c>
      <c r="BD37" s="49">
        <f>VLOOKUP(A37,tbMoveset!A2:G112,7,FALSE)*IFERROR(IF(Backdoors!AI12&gt;=0,1+(IF(Calculator!E40&gt;0,VLOOKUP(Calculator!E40,tbSkills!AI3:AJ5,2,FALSE),Backdoors!AL4)*(IF((Backdoors!AI12+IF(AY37&gt;=0.45,VLOOKUP(Calculator!E23,tbSkills!DH3:DI6,2,FALSE)+IF(AND(Calculator!B8=TRUE,Backdoors!BI10=TRUE),VLOOKUP(Calculator!E23,tbSkills!DH3:DJ6,3,FALSE),0),0))&gt;=100,100,(Backdoors!AI12+IF(AY37&gt;=0.45,VLOOKUP(Calculator!E23,tbSkills!DH3:DI6,2,FALSE)+IF(AND(Calculator!B8=TRUE,Backdoors!BI10=TRUE),VLOOKUP(Calculator!E23,tbSkills!DH3:DJ6,3,FALSE),0),0)))/100)),1),1)</f>
        <v>0.5</v>
      </c>
      <c r="BE37" s="87">
        <f t="shared" si="3"/>
        <v>11</v>
      </c>
      <c r="BF37" s="86" t="str">
        <f>IFERROR(IF(VLOOKUP(A37,tbMoveset!A2:B112,2,FALSE)="Sever",Backdoors!AY11/100,IF(VLOOKUP(A37,tbMoveset!A2:B112,2,FALSE)="Blunt",Backdoors!AZ11/100,Backdoors!BA11/100)),"")</f>
        <v/>
      </c>
      <c r="BG37" s="49">
        <f>IFERROR(IF(VLOOKUP(tbMoveset!A37,tbMoveset!A2:H112,8,FALSE)="Other",IF(VLOOKUP(tbMoveset!A37,tbMoveset!A2:I112,9,FALSE)="Fire",Backdoors!BB11,IF(VLOOKUP(tbMoveset!A37,tbMoveset!A2:I112,9,FALSE)="Water",Backdoors!BC11,IF(VLOOKUP(tbMoveset!A37,tbMoveset!A2:I112,9,FALSE)="Thunder",Backdoors!BD11,IF(VLOOKUP(tbMoveset!A37,tbMoveset!A2:I112,9,FALSE)="Ice",Backdoors!BE11,IF(VLOOKUP(tbMoveset!A37,tbMoveset!A2:I112,9,FALSE)="Dragon",Backdoors!BF11,Backdoors!BG11)))))/100,Backdoors!BG11/100),"")</f>
        <v>0</v>
      </c>
      <c r="BH37" s="49">
        <f>IFERROR(IF(VLOOKUP(A37,tbMoveset!A2:J112,10,FALSE)=TRUE,IF((Backdoors!AI12+IF(BF37&gt;=0.45,VLOOKUP(Calculator!E23,tbSkills!DH3:DI6,2,FALSE)+IF(AND(Calculator!B8=TRUE,Backdoors!BI11=TRUE),VLOOKUP(Calculator!E23,tbSkills!DH3:DJ6,3,FALSE),0),0))&gt;=0,1+(Backdoors!AL2*(IF((Backdoors!AI12+IF(BF37&gt;=0.45,VLOOKUP(Calculator!E23,tbSkills!DH3:DI6,2,FALSE)+IF(AND(Calculator!B8=TRUE,Backdoors!BI11=TRUE),VLOOKUP(Calculator!E23,tbSkills!DH3:DJ6,3,FALSE),0),0))&gt;=100,100,(Backdoors!AI12+IF(BF37&gt;=0.45,VLOOKUP(Calculator!E23,tbSkills!DH3:DI6,2,FALSE)+IF(AND(Calculator!B8=TRUE,Backdoors!BI11=TRUE),VLOOKUP(Calculator!E23,tbSkills!DH3:DJ6,3,FALSE),0),0)))/100)),(1-(0.25*((-Backdoors!AI12-IF(BF37&gt;=0.45,VLOOKUP(Calculator!E23,tbSkills!DH3:DI6,2,FALSE)+IF(AND(Calculator!B8=TRUE,Backdoors!BI11=TRUE),VLOOKUP(Calculator!E23,tbSkills!DH3:DJ6,3,FALSE),0),0))/100)))),1),"")</f>
        <v>1</v>
      </c>
      <c r="BI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F37)*BH37)*(VLOOKUP(A37,tbMoveset!A2:C112,3,FALSE)/100)*IF(VLOOKUP(A37,tbMoveset!A2:B112,2,FALSE)="Projectile",Backdoors!N10,Backdoors!N9),0),"")</f>
        <v/>
      </c>
      <c r="BJ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F37&gt;=0.45,VLOOKUP(Calculator!E23,tbSkills!DH3:DI6,2,FALSE)+IF(AND(Calculator!B8=TRUE,Backdoors!BI11=TRUE),VLOOKUP(Calculator!E23,tbSkills!DH3:DJ6,3,FALSE),0),0))&gt;=100,100,(Backdoors!AI12+IF(BF37&gt;=0.45,VLOOKUP(Calculator!E23,tbSkills!DH3:DI6,2,FALSE)+IF(AND(Calculator!B8=TRUE,Backdoors!BI11=TRUE),VLOOKUP(Calculator!E23,tbSkills!DH3:DJ6,3,FALSE),0),0)))/100)),1))*IF(VLOOKUP(A37,tbMoveset!A2:K112,11,FALSE)=TRUE,Backdoors!AC5,1))*BG37,0),"")</f>
        <v>0</v>
      </c>
      <c r="BK37" s="49">
        <f>VLOOKUP(A37,tbMoveset!A2:G112,7,FALSE)*IFERROR(IF(Backdoors!AI12&gt;=0,1+(IF(Calculator!E40&gt;0,VLOOKUP(Calculator!E40,tbSkills!AI3:AJ5,2,FALSE),Backdoors!AL4)*(IF((Backdoors!AI12+IF(BF37&gt;=0.45,VLOOKUP(Calculator!E23,tbSkills!DH3:DI6,2,FALSE)+IF(AND(Calculator!B8=TRUE,Backdoors!BI11=TRUE),VLOOKUP(Calculator!E23,tbSkills!DH3:DJ6,3,FALSE),0),0))&gt;=100,100,(Backdoors!AI12+IF(BF37&gt;=0.45,VLOOKUP(Calculator!E23,tbSkills!DH3:DI6,2,FALSE)+IF(AND(Calculator!B8=TRUE,Backdoors!BI11=TRUE),VLOOKUP(Calculator!E23,tbSkills!DH3:DJ6,3,FALSE),0),0)))/100)),1),1)</f>
        <v>0.5</v>
      </c>
      <c r="BL37" s="87">
        <f t="shared" si="4"/>
        <v>0</v>
      </c>
      <c r="BM37" s="86" t="str">
        <f>IFERROR(IF(VLOOKUP(A37,tbMoveset!A2:B112,2,FALSE)="Sever",Backdoors!AY12/100,IF(VLOOKUP(A37,tbMoveset!A2:B112,2,FALSE)="Blunt",Backdoors!AZ12/100,Backdoors!BA12/100)),"")</f>
        <v/>
      </c>
      <c r="BN37" s="49">
        <f>IFERROR(IF(VLOOKUP(tbMoveset!A37,tbMoveset!A2:H112,8,FALSE)="Other",IF(VLOOKUP(tbMoveset!A37,tbMoveset!A2:I112,9,FALSE)="Fire",Backdoors!BB12,IF(VLOOKUP(tbMoveset!A37,tbMoveset!A2:I112,9,FALSE)="Water",Backdoors!BC12,IF(VLOOKUP(tbMoveset!A37,tbMoveset!A2:I112,9,FALSE)="Thunder",Backdoors!BD12,IF(VLOOKUP(tbMoveset!A37,tbMoveset!A2:I112,9,FALSE)="Ice",Backdoors!BE12,IF(VLOOKUP(tbMoveset!A37,tbMoveset!A2:I112,9,FALSE)="Dragon",Backdoors!BF12,Backdoors!BG12)))))/100,Backdoors!BG12/100),"")</f>
        <v>0</v>
      </c>
      <c r="BO37" s="49">
        <f>IFERROR(IF(VLOOKUP(A37,tbMoveset!A2:J112,10,FALSE)=TRUE,IF((Backdoors!AI12+IF(BM37&gt;=0.45,VLOOKUP(Calculator!E23,tbSkills!DH3:DI6,2,FALSE)+IF(AND(Calculator!B8=TRUE,Backdoors!BI12=TRUE),VLOOKUP(Calculator!E23,tbSkills!DH3:DJ6,3,FALSE),0),0))&gt;=0,1+(Backdoors!AL2*(IF((Backdoors!AI12+IF(BM37&gt;=0.45,VLOOKUP(Calculator!E23,tbSkills!DH3:DI6,2,FALSE)+IF(AND(Calculator!B8=TRUE,Backdoors!BI12=TRUE),VLOOKUP(Calculator!E23,tbSkills!DH3:DJ6,3,FALSE),0),0))&gt;=100,100,(Backdoors!AI12+IF(BM37&gt;=0.45,VLOOKUP(Calculator!E23,tbSkills!DH3:DI6,2,FALSE)+IF(AND(Calculator!B8=TRUE,Backdoors!BI12=TRUE),VLOOKUP(Calculator!E23,tbSkills!DH3:DJ6,3,FALSE),0),0)))/100)),(1-(0.25*((-Backdoors!AI12-IF(BM37&gt;=0.45,VLOOKUP(Calculator!E23,tbSkills!DH3:DI6,2,FALSE)+IF(AND(Calculator!B8=TRUE,Backdoors!BI12=TRUE),VLOOKUP(Calculator!E23,tbSkills!DH3:DJ6,3,FALSE),0),0))/100)))),1),"")</f>
        <v>1</v>
      </c>
      <c r="BP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M37)*BO37)*(VLOOKUP(A37,tbMoveset!A2:C112,3,FALSE)/100)*IF(VLOOKUP(A37,tbMoveset!A2:B112,2,FALSE)="Projectile",Backdoors!N10,Backdoors!N9),0),"")</f>
        <v/>
      </c>
      <c r="BQ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M37&gt;=0.45,VLOOKUP(Calculator!E23,tbSkills!DH3:DI6,2,FALSE)+IF(AND(Calculator!B8=TRUE,Backdoors!BI12=TRUE),VLOOKUP(Calculator!E23,tbSkills!DH3:DJ6,3,FALSE),0),0))&gt;=100,100,(Backdoors!AI12+IF(BM37&gt;=0.45,VLOOKUP(Calculator!E23,tbSkills!DH3:DI6,2,FALSE)+IF(AND(Calculator!B8=TRUE,Backdoors!BI12=TRUE),VLOOKUP(Calculator!E23,tbSkills!DH3:DJ6,3,FALSE),0),0)))/100)),1))*IF(VLOOKUP(A37,tbMoveset!A2:K112,11,FALSE)=TRUE,Backdoors!AC5,1))*BN37,0),"")</f>
        <v>0</v>
      </c>
      <c r="BR37" s="49">
        <f>VLOOKUP(A37,tbMoveset!A2:G112,7,FALSE)*IFERROR(IF(Backdoors!AI12&gt;=0,1+(IF(Calculator!E40&gt;0,VLOOKUP(Calculator!E40,tbSkills!AI3:AJ5,2,FALSE),Backdoors!AL4)*(IF((Backdoors!AI12+IF(BM37&gt;=0.45,VLOOKUP(Calculator!E23,tbSkills!DH3:DI6,2,FALSE)+IF(AND(Calculator!B8=TRUE,Backdoors!BI12=TRUE),VLOOKUP(Calculator!E23,tbSkills!DH3:DJ6,3,FALSE),0),0))&gt;=100,100,(Backdoors!AI12+IF(BM37&gt;=0.45,VLOOKUP(Calculator!E23,tbSkills!DH3:DI6,2,FALSE)+IF(AND(Calculator!B8=TRUE,Backdoors!BI12=TRUE),VLOOKUP(Calculator!E23,tbSkills!DH3:DJ6,3,FALSE),0),0)))/100)),1),1)</f>
        <v>0.5</v>
      </c>
      <c r="BS37" s="87">
        <f t="shared" si="39"/>
        <v>0</v>
      </c>
      <c r="BT37" s="86" t="str">
        <f>IFERROR(IF(VLOOKUP(A37,tbMoveset!A2:B112,2,FALSE)="Sever",Backdoors!AY13/100,IF(VLOOKUP(A37,tbMoveset!A2:B112,2,FALSE)="Blunt",Backdoors!AZ13/100,Backdoors!BA13/100)),"")</f>
        <v/>
      </c>
      <c r="BU37" s="49">
        <f>IFERROR(IF(VLOOKUP(tbMoveset!A37,tbMoveset!A2:H112,8,FALSE)="Other",IF(VLOOKUP(tbMoveset!A37,tbMoveset!A2:I112,9,FALSE)="Fire",Backdoors!BB13,IF(VLOOKUP(tbMoveset!A37,tbMoveset!A2:I112,9,FALSE)="Water",Backdoors!BC13,IF(VLOOKUP(tbMoveset!A37,tbMoveset!A2:I112,9,FALSE)="Thunder",Backdoors!BD13,IF(VLOOKUP(tbMoveset!A37,tbMoveset!A2:I112,9,FALSE)="Ice",Backdoors!BE13,IF(VLOOKUP(tbMoveset!A37,tbMoveset!A2:I112,9,FALSE)="Dragon",Backdoors!BF13,Backdoors!BG13)))))/100,Backdoors!BG13/100),"")</f>
        <v>0</v>
      </c>
      <c r="BV37" s="49">
        <f>IFERROR(IF(VLOOKUP(A37,tbMoveset!A2:J112,10,FALSE)=TRUE,IF((Backdoors!AI12+IF(BT37&gt;=0.45,VLOOKUP(Calculator!E23,tbSkills!DH3:DI6,2,FALSE)+IF(AND(Calculator!B8=TRUE,Backdoors!BI13=TRUE),VLOOKUP(Calculator!E23,tbSkills!DH3:DJ6,3,FALSE),0),0))&gt;=0,1+(Backdoors!AL2*(IF((Backdoors!AI12+IF(BT37&gt;=0.45,VLOOKUP(Calculator!E23,tbSkills!DH3:DI6,2,FALSE)+IF(AND(Calculator!B8=TRUE,Backdoors!BI13=TRUE),VLOOKUP(Calculator!E23,tbSkills!DH3:DJ6,3,FALSE),0),0))&gt;=100,100,(Backdoors!AI12+IF(BT37&gt;=0.45,VLOOKUP(Calculator!E23,tbSkills!DH3:DI6,2,FALSE)+IF(AND(Calculator!B8=TRUE,Backdoors!BI13=TRUE),VLOOKUP(Calculator!E23,tbSkills!DH3:DJ6,3,FALSE),0),0)))/100)),(1-(0.25*((-Backdoors!AI12-IF(BT37&gt;=0.45,VLOOKUP(Calculator!E23,tbSkills!DH3:DI6,2,FALSE)+IF(AND(Calculator!B8=TRUE,Backdoors!BI13=TRUE),VLOOKUP(Calculator!E23,tbSkills!DH3:DJ6,3,FALSE),0),0))/100)))),1),"")</f>
        <v>1</v>
      </c>
      <c r="BW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T37)*BV37)*(VLOOKUP(A37,tbMoveset!A2:C112,3,FALSE)/100)*IF(VLOOKUP(A37,tbMoveset!A2:B112,2,FALSE)="Projectile",Backdoors!N10,Backdoors!N9),0),"")</f>
        <v/>
      </c>
      <c r="BX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T37&gt;=0.45,VLOOKUP(Calculator!E23,tbSkills!DH3:DI6,2,FALSE)+IF(AND(Calculator!B8=TRUE,Backdoors!BI13=TRUE),VLOOKUP(Calculator!E23,tbSkills!DH3:DJ6,3,FALSE),0),0))&gt;=100,100,(Backdoors!AI12+IF(BT37&gt;=0.45,VLOOKUP(Calculator!E23,tbSkills!DH3:DI6,2,FALSE)+IF(AND(Calculator!B8=TRUE,Backdoors!BI13=TRUE),VLOOKUP(Calculator!E23,tbSkills!DH3:DJ6,3,FALSE),0),0)))/100)),1))*IF(VLOOKUP(A37,tbMoveset!A2:K112,11,FALSE)=TRUE,Backdoors!AC5,1))*BU37,0),"")</f>
        <v>0</v>
      </c>
      <c r="BY37" s="49">
        <f>VLOOKUP(A37,tbMoveset!A2:G112,7,FALSE)*IFERROR(IF(Backdoors!AI12&gt;=0,1+(IF(Calculator!E40&gt;0,VLOOKUP(Calculator!E40,tbSkills!AI3:AJ5,2,FALSE),Backdoors!AL4)*(IF((Backdoors!AI12+IF(BT37&gt;=0.45,VLOOKUP(Calculator!E23,tbSkills!DH3:DI6,2,FALSE)+IF(AND(Calculator!B8=TRUE,Backdoors!BI13=TRUE),VLOOKUP(Calculator!E23,tbSkills!DH3:DJ6,3,FALSE),0),0))&gt;=100,100,(Backdoors!AI12+IF(BT37&gt;=0.45,VLOOKUP(Calculator!E23,tbSkills!DH3:DI6,2,FALSE)+IF(AND(Calculator!B8=TRUE,Backdoors!BI13=TRUE),VLOOKUP(Calculator!E23,tbSkills!DH3:DJ6,3,FALSE),0),0)))/100)),1),1)</f>
        <v>0.5</v>
      </c>
      <c r="BZ37" s="87">
        <f t="shared" si="5"/>
        <v>0</v>
      </c>
      <c r="CA37" s="86" t="str">
        <f>IFERROR(IF(VLOOKUP(A37,tbMoveset!A2:B112,2,FALSE)="Sever",Backdoors!AY14/100,IF(VLOOKUP(A37,tbMoveset!A2:B112,2,FALSE)="Blunt",Backdoors!AZ14/100,Backdoors!BA14/100)),"")</f>
        <v/>
      </c>
      <c r="CB37" s="49">
        <f>IFERROR(IF(VLOOKUP(tbMoveset!A37,tbMoveset!A2:H112,8,FALSE)="Other",IF(VLOOKUP(tbMoveset!A37,tbMoveset!A2:I112,9,FALSE)="Fire",Backdoors!BB14,IF(VLOOKUP(tbMoveset!A37,tbMoveset!A2:I112,9,FALSE)="Water",Backdoors!BC14,IF(VLOOKUP(tbMoveset!A37,tbMoveset!A2:I112,9,FALSE)="Thunder",Backdoors!BD14,IF(VLOOKUP(tbMoveset!A37,tbMoveset!A2:I112,9,FALSE)="Ice",Backdoors!BE14,IF(VLOOKUP(tbMoveset!A37,tbMoveset!A2:I112,9,FALSE)="Dragon",Backdoors!BF14,Backdoors!BG14)))))/100,Backdoors!BG14/100),"")</f>
        <v>0</v>
      </c>
      <c r="CC37" s="49">
        <f>IFERROR(IF(VLOOKUP(A37,tbMoveset!A2:J112,10,FALSE)=TRUE,IF((Backdoors!AI12+IF(CA37&gt;=0.45,VLOOKUP(Calculator!E23,tbSkills!DH3:DI6,2,FALSE)+IF(AND(Calculator!B8=TRUE,Backdoors!BI14=TRUE),VLOOKUP(Calculator!E23,tbSkills!DH3:DJ6,3,FALSE),0),0))&gt;=0,1+(Backdoors!AL2*(IF((Backdoors!AI12+IF(CA37&gt;=0.45,VLOOKUP(Calculator!E23,tbSkills!DH3:DI6,2,FALSE)+IF(AND(Calculator!B8=TRUE,Backdoors!BI14=TRUE),VLOOKUP(Calculator!E23,tbSkills!DH3:DJ6,3,FALSE),0),0))&gt;=100,100,(Backdoors!AI12+IF(CA37&gt;=0.45,VLOOKUP(Calculator!E23,tbSkills!DH3:DI6,2,FALSE)+IF(AND(Calculator!B8=TRUE,Backdoors!BI14=TRUE),VLOOKUP(Calculator!E23,tbSkills!DH3:DJ6,3,FALSE),0),0)))/100)),(1-(0.25*((-Backdoors!AI12-IF(CA37&gt;=0.45,VLOOKUP(Calculator!E23,tbSkills!DH3:DI6,2,FALSE)+IF(AND(Calculator!B8=TRUE,Backdoors!BI14=TRUE),VLOOKUP(Calculator!E23,tbSkills!DH3:DJ6,3,FALSE),0),0))/100)))),1),"")</f>
        <v>1</v>
      </c>
      <c r="CD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A37)*CC37)*(VLOOKUP(A37,tbMoveset!A2:C112,3,FALSE)/100)*IF(VLOOKUP(A37,tbMoveset!A2:B112,2,FALSE)="Projectile",Backdoors!N10,Backdoors!N9),0),"")</f>
        <v/>
      </c>
      <c r="CE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A37&gt;=0.45,VLOOKUP(Calculator!E23,tbSkills!DH3:DI6,2,FALSE)+IF(AND(Calculator!B8=TRUE,Backdoors!BI14=TRUE),VLOOKUP(Calculator!E23,tbSkills!DH3:DJ6,3,FALSE),0),0))&gt;=100,100,(Backdoors!AI12+IF(CA37&gt;=0.45,VLOOKUP(Calculator!E23,tbSkills!DH3:DI6,2,FALSE)+IF(AND(Calculator!B8=TRUE,Backdoors!BI14=TRUE),VLOOKUP(Calculator!E23,tbSkills!DH3:DJ6,3,FALSE),0),0)))/100)),1))*IF(VLOOKUP(A37,tbMoveset!A2:K112,11,FALSE)=TRUE,Backdoors!AC5,1))*CB37,0),"")</f>
        <v>0</v>
      </c>
      <c r="CF37" s="49">
        <f>VLOOKUP(A37,tbMoveset!A2:G112,7,FALSE)*IFERROR(IF(Backdoors!AI12&gt;=0,1+(IF(Calculator!E40&gt;0,VLOOKUP(Calculator!E40,tbSkills!AI3:AJ5,2,FALSE),Backdoors!AL4)*(IF((Backdoors!AI12+IF(CA37&gt;=0.45,VLOOKUP(Calculator!E23,tbSkills!DH3:DI6,2,FALSE)+IF(AND(Calculator!B8=TRUE,Backdoors!BI14=TRUE),VLOOKUP(Calculator!E23,tbSkills!DH3:DJ6,3,FALSE),0),0))&gt;=100,100,(Backdoors!AI12+IF(CA37&gt;=0.45,VLOOKUP(Calculator!E23,tbSkills!DH3:DI6,2,FALSE)+IF(AND(Calculator!B8=TRUE,Backdoors!BI14=TRUE),VLOOKUP(Calculator!E23,tbSkills!DH3:DJ6,3,FALSE),0),0)))/100)),1),1)</f>
        <v>0.5</v>
      </c>
      <c r="CG37" s="87">
        <f t="shared" si="6"/>
        <v>0</v>
      </c>
      <c r="CH37" s="86" t="str">
        <f>IFERROR(IF(VLOOKUP(A37,tbMoveset!A2:B112,2,FALSE)="Sever",Backdoors!AY15/100,IF(VLOOKUP(A37,tbMoveset!A2:B112,2,FALSE)="Blunt",Backdoors!AZ15/100,Backdoors!BA15/100)),"")</f>
        <v/>
      </c>
      <c r="CI37" s="49">
        <f>IFERROR(IF(VLOOKUP(tbMoveset!A37,tbMoveset!A2:H112,8,FALSE)="Other",IF(VLOOKUP(tbMoveset!A37,tbMoveset!A2:I112,9,FALSE)="Fire",Backdoors!BB15,IF(VLOOKUP(tbMoveset!A37,tbMoveset!A2:I112,9,FALSE)="Water",Backdoors!BC15,IF(VLOOKUP(tbMoveset!A37,tbMoveset!A2:I112,9,FALSE)="Thunder",Backdoors!BD15,IF(VLOOKUP(tbMoveset!A37,tbMoveset!A2:I112,9,FALSE)="Ice",Backdoors!BE15,IF(VLOOKUP(tbMoveset!A37,tbMoveset!A2:I112,9,FALSE)="Dragon",Backdoors!BF15,Backdoors!BG15)))))/100,Backdoors!BG15/100),"")</f>
        <v>0</v>
      </c>
      <c r="CJ37" s="49">
        <f>IFERROR(IF(VLOOKUP(A37,tbMoveset!A2:J112,10,FALSE)=TRUE,IF((Backdoors!AI12+IF(CH37&gt;=0.45,VLOOKUP(Calculator!E23,tbSkills!DH3:DI6,2,FALSE)+IF(AND(Calculator!B8=TRUE,Backdoors!BI15=TRUE),VLOOKUP(Calculator!E23,tbSkills!DH3:DJ6,3,FALSE),0),0))&gt;=0,1+(Backdoors!AL2*(IF((Backdoors!AI12+IF(CH37&gt;=0.45,VLOOKUP(Calculator!E23,tbSkills!DH3:DI6,2,FALSE)+IF(AND(Calculator!B8=TRUE,Backdoors!BI15=TRUE),VLOOKUP(Calculator!E23,tbSkills!DH3:DJ6,3,FALSE),0),0))&gt;=100,100,(Backdoors!AI12+IF(CH37&gt;=0.45,VLOOKUP(Calculator!E23,tbSkills!DH3:DI6,2,FALSE)+IF(AND(Calculator!B8=TRUE,Backdoors!BI15=TRUE),VLOOKUP(Calculator!E23,tbSkills!DH3:DJ6,3,FALSE),0),0)))/100)),(1-(0.25*((-Backdoors!AI12-IF(CH37&gt;=0.45,VLOOKUP(Calculator!E23,tbSkills!DH3:DI6,2,FALSE)+IF(AND(Calculator!B8=TRUE,Backdoors!BI15=TRUE),VLOOKUP(Calculator!E23,tbSkills!DH3:DJ6,3,FALSE),0),0))/100)))),1),"")</f>
        <v>1</v>
      </c>
      <c r="CK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H37)*CJ37)*(VLOOKUP(A37,tbMoveset!A2:C112,3,FALSE)/100)*IF(VLOOKUP(A37,tbMoveset!A2:B112,2,FALSE)="Projectile",Backdoors!N10,Backdoors!N9),0),"")</f>
        <v/>
      </c>
      <c r="CL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H37&gt;=0.45,VLOOKUP(Calculator!E23,tbSkills!DH3:DI6,2,FALSE)+IF(AND(Calculator!B8=TRUE,Backdoors!BI15=TRUE),VLOOKUP(Calculator!E23,tbSkills!DH3:DJ6,3,FALSE),0),0))&gt;=100,100,(Backdoors!AI12+IF(CH37&gt;=0.45,VLOOKUP(Calculator!E23,tbSkills!DH3:DI6,2,FALSE)+IF(AND(Calculator!B8=TRUE,Backdoors!BI15=TRUE),VLOOKUP(Calculator!E23,tbSkills!DH3:DJ6,3,FALSE),0),0)))/100)),1))*IF(VLOOKUP(A37,tbMoveset!A2:K112,11,FALSE)=TRUE,Backdoors!AC5,1))*CI37,0),"")</f>
        <v>0</v>
      </c>
      <c r="CM37" s="49">
        <f>VLOOKUP(A37,tbMoveset!A2:G112,7,FALSE)*IFERROR(IF(Backdoors!AI12&gt;=0,1+(IF(Calculator!E40&gt;0,VLOOKUP(Calculator!E40,tbSkills!AI3:AJ5,2,FALSE),Backdoors!AL4)*(IF((Backdoors!AI12+IF(CH37&gt;=0.45,VLOOKUP(Calculator!E23,tbSkills!DH3:DI6,2,FALSE)+IF(AND(Calculator!B8=TRUE,Backdoors!BI15=TRUE),VLOOKUP(Calculator!E23,tbSkills!DH3:DJ6,3,FALSE),0),0))&gt;=100,100,(Backdoors!AI12+IF(CH37&gt;=0.45,VLOOKUP(Calculator!E23,tbSkills!DH3:DI6,2,FALSE)+IF(AND(Calculator!B8=TRUE,Backdoors!BI15=TRUE),VLOOKUP(Calculator!E23,tbSkills!DH3:DJ6,3,FALSE),0),0)))/100)),1),1)</f>
        <v>0.5</v>
      </c>
      <c r="CN37" s="87">
        <f t="shared" si="7"/>
        <v>0</v>
      </c>
      <c r="CO37" s="86" t="str">
        <f>IFERROR(IF(VLOOKUP(A37,tbMoveset!A2:B112,2,FALSE)="Sever",Backdoors!AY16/100,IF(VLOOKUP(A37,tbMoveset!A2:B112,2,FALSE)="Blunt",Backdoors!AZ16/100,Backdoors!BA16/100)),"")</f>
        <v/>
      </c>
      <c r="CP37" s="49">
        <f>IFERROR(IF(VLOOKUP(tbMoveset!A37,tbMoveset!A2:H112,8,FALSE)="Other",IF(VLOOKUP(tbMoveset!A37,tbMoveset!A2:I112,9,FALSE)="Fire",Backdoors!BB16,IF(VLOOKUP(tbMoveset!A37,tbMoveset!A2:I112,9,FALSE)="Water",Backdoors!BC16,IF(VLOOKUP(tbMoveset!A37,tbMoveset!A2:I112,9,FALSE)="Thunder",Backdoors!BD16,IF(VLOOKUP(tbMoveset!A37,tbMoveset!A2:I112,9,FALSE)="Ice",Backdoors!BE16,IF(VLOOKUP(tbMoveset!A37,tbMoveset!A2:I112,9,FALSE)="Dragon",Backdoors!BF16,Backdoors!BG16)))))/100,Backdoors!BG16/100),"")</f>
        <v>0</v>
      </c>
      <c r="CQ37" s="49">
        <f>IFERROR(IF(VLOOKUP(A37,tbMoveset!A2:J112,10,FALSE)=TRUE,IF((Backdoors!AI12+IF(CO37&gt;=0.45,VLOOKUP(Calculator!E23,tbSkills!DH3:DI6,2,FALSE)+IF(AND(Calculator!B8=TRUE,Backdoors!BI16=TRUE),VLOOKUP(Calculator!E23,tbSkills!DH3:DJ6,3,FALSE),0),0))&gt;=0,1+(Backdoors!AL2*(IF((Backdoors!AI12+IF(CO37&gt;=0.45,VLOOKUP(Calculator!E23,tbSkills!DH3:DI6,2,FALSE)+IF(AND(Calculator!B8=TRUE,Backdoors!BI16=TRUE),VLOOKUP(Calculator!E23,tbSkills!DH3:DJ6,3,FALSE),0),0))&gt;=100,100,(Backdoors!AI12+IF(CO37&gt;=0.45,VLOOKUP(Calculator!E23,tbSkills!DH3:DI6,2,FALSE)+IF(AND(Calculator!B8=TRUE,Backdoors!BI16=TRUE),VLOOKUP(Calculator!E23,tbSkills!DH3:DJ6,3,FALSE),0),0)))/100)),(1-(0.25*((-Backdoors!AI12-IF(CO37&gt;=0.45,VLOOKUP(Calculator!E23,tbSkills!DH3:DI6,2,FALSE)+IF(AND(Calculator!B8=TRUE,Backdoors!BI16=TRUE),VLOOKUP(Calculator!E23,tbSkills!DH3:DJ6,3,FALSE),0),0))/100)))),1),"")</f>
        <v>1</v>
      </c>
      <c r="CR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O37)*CQ37)*(VLOOKUP(A37,tbMoveset!A2:C112,3,FALSE)/100)*IF(VLOOKUP(A37,tbMoveset!A2:B112,2,FALSE)="Projectile",Backdoors!N10,Backdoors!N9),0),"")</f>
        <v/>
      </c>
      <c r="CS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O37&gt;=0.45,VLOOKUP(Calculator!E23,tbSkills!DH3:DI6,2,FALSE)+IF(AND(Calculator!B8=TRUE,Backdoors!BI16=TRUE),VLOOKUP(Calculator!E23,tbSkills!DH3:DJ6,3,FALSE),0),0))&gt;=100,100,(Backdoors!AI12+IF(CO37&gt;=0.45,VLOOKUP(Calculator!E23,tbSkills!DH3:DI6,2,FALSE)+IF(AND(Calculator!B8=TRUE,Backdoors!BI16=TRUE),VLOOKUP(Calculator!E23,tbSkills!DH3:DJ6,3,FALSE),0),0)))/100)),1))*IF(VLOOKUP(A37,tbMoveset!A2:K112,11,FALSE)=TRUE,Backdoors!AC5,1))*CP37,0),"")</f>
        <v>0</v>
      </c>
      <c r="CT37" s="49">
        <f>VLOOKUP(A37,tbMoveset!A2:G112,7,FALSE)*IFERROR(IF(Backdoors!AI12&gt;=0,1+(IF(Calculator!E40&gt;0,VLOOKUP(Calculator!E40,tbSkills!AI3:AJ5,2,FALSE),Backdoors!AL4)*(IF((Backdoors!AI12+IF(CO37&gt;=0.45,VLOOKUP(Calculator!E23,tbSkills!DH3:DI6,2,FALSE)+IF(AND(Calculator!B8=TRUE,Backdoors!BI16=TRUE),VLOOKUP(Calculator!E23,tbSkills!DH3:DJ6,3,FALSE),0),0))&gt;=100,100,(Backdoors!AI12+IF(CO37&gt;=0.45,VLOOKUP(Calculator!E23,tbSkills!DH3:DI6,2,FALSE)+IF(AND(Calculator!B8=TRUE,Backdoors!BI16=TRUE),VLOOKUP(Calculator!E23,tbSkills!DH3:DJ6,3,FALSE),0),0)))/100)),1),1)</f>
        <v>0.5</v>
      </c>
      <c r="CU37" s="87">
        <f t="shared" si="40"/>
        <v>0</v>
      </c>
      <c r="CV37" s="86" t="str">
        <f>IFERROR(IF(VLOOKUP(A37,tbMoveset!A2:B112,2,FALSE)="Sever",Backdoors!AY17/100,IF(VLOOKUP(A37,tbMoveset!A2:B112,2,FALSE)="Blunt",Backdoors!AZ17/100,Backdoors!BA17/100)),"")</f>
        <v/>
      </c>
      <c r="CW37" s="49">
        <f>IFERROR(IF(VLOOKUP(tbMoveset!A37,tbMoveset!A2:H112,8,FALSE)="Other",IF(VLOOKUP(tbMoveset!A37,tbMoveset!A2:I112,9,FALSE)="Fire",Backdoors!BB17,IF(VLOOKUP(tbMoveset!A37,tbMoveset!A2:I112,9,FALSE)="Water",Backdoors!BC17,IF(VLOOKUP(tbMoveset!A37,tbMoveset!A2:I112,9,FALSE)="Thunder",Backdoors!BD17,IF(VLOOKUP(tbMoveset!A37,tbMoveset!A2:I112,9,FALSE)="Ice",Backdoors!BE17,IF(VLOOKUP(tbMoveset!A37,tbMoveset!A2:I112,9,FALSE)="Dragon",Backdoors!BF17,Backdoors!BG17)))))/100,Backdoors!BG17/100),"")</f>
        <v>0</v>
      </c>
      <c r="CX37" s="49">
        <f>IFERROR(IF(VLOOKUP(A37,tbMoveset!A2:J112,10,FALSE)=TRUE,IF((Backdoors!AI12+IF(CV37&gt;=0.45,VLOOKUP(Calculator!E23,tbSkills!DH3:DI6,2,FALSE)+IF(AND(Calculator!B8=TRUE,Backdoors!BI17=TRUE),VLOOKUP(Calculator!E23,tbSkills!DH3:DJ6,3,FALSE),0),0))&gt;=0,1+(Backdoors!AL2*(IF((Backdoors!AI12+IF(CV37&gt;=0.45,VLOOKUP(Calculator!E23,tbSkills!DH3:DI6,2,FALSE)+IF(AND(Calculator!B8=TRUE,Backdoors!BI17=TRUE),VLOOKUP(Calculator!E23,tbSkills!DH3:DJ6,3,FALSE),0),0))&gt;=100,100,(Backdoors!AI12+IF(CV37&gt;=0.45,VLOOKUP(Calculator!E23,tbSkills!DH3:DI6,2,FALSE)+IF(AND(Calculator!B8=TRUE,Backdoors!BI17=TRUE),VLOOKUP(Calculator!E23,tbSkills!DH3:DJ6,3,FALSE),0),0)))/100)),(1-(0.25*((-Backdoors!AI12-IF(CV37&gt;=0.45,VLOOKUP(Calculator!E23,tbSkills!DH3:DI6,2,FALSE)+IF(AND(Calculator!B8=TRUE,Backdoors!BI17=TRUE),VLOOKUP(Calculator!E23,tbSkills!DH3:DJ6,3,FALSE),0),0))/100)))),1),"")</f>
        <v>1</v>
      </c>
      <c r="CY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V37)*CX37)*(VLOOKUP(A37,tbMoveset!A2:C112,3,FALSE)/100)*IF(VLOOKUP(A37,tbMoveset!A2:B112,2,FALSE)="Projectile",Backdoors!N10,Backdoors!N9),0),"")</f>
        <v/>
      </c>
      <c r="CZ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V37&gt;=0.45,VLOOKUP(Calculator!E23,tbSkills!DH3:DI6,2,FALSE)+IF(AND(Calculator!B8=TRUE,Backdoors!BI17=TRUE),VLOOKUP(Calculator!E23,tbSkills!DH3:DJ6,3,FALSE),0),0))&gt;=100,100,(Backdoors!AI12+IF(CV37&gt;=0.45,VLOOKUP(Calculator!E23,tbSkills!DH3:DI6,2,FALSE)+IF(AND(Calculator!B8=TRUE,Backdoors!BI17=TRUE),VLOOKUP(Calculator!E23,tbSkills!DH3:DJ6,3,FALSE),0),0)))/100)),1))*IF(VLOOKUP(A37,tbMoveset!A2:K112,11,FALSE)=TRUE,Backdoors!AC5,1))*CW37,0),"")</f>
        <v>0</v>
      </c>
      <c r="DA37" s="49">
        <f>VLOOKUP(A37,tbMoveset!A2:G112,7,FALSE)*IFERROR(IF(Backdoors!AI12&gt;=0,1+(IF(Calculator!E40&gt;0,VLOOKUP(Calculator!E40,tbSkills!AI3:AJ5,2,FALSE),Backdoors!AL4)*(IF((Backdoors!AI12+IF(CV37&gt;=0.45,VLOOKUP(Calculator!E23,tbSkills!DH3:DI6,2,FALSE)+IF(AND(Calculator!B8=TRUE,Backdoors!BI17=TRUE),VLOOKUP(Calculator!E23,tbSkills!DH3:DJ6,3,FALSE),0),0))&gt;=100,100,(Backdoors!AI12+IF(CV37&gt;=0.45,VLOOKUP(Calculator!E23,tbSkills!DH3:DI6,2,FALSE)+IF(AND(Calculator!B8=TRUE,Backdoors!BI17=TRUE),VLOOKUP(Calculator!E23,tbSkills!DH3:DJ6,3,FALSE),0),0)))/100)),1),1)</f>
        <v>0.5</v>
      </c>
      <c r="DB37" s="87">
        <f t="shared" si="8"/>
        <v>0</v>
      </c>
      <c r="DC37" s="86" t="str">
        <f>IFERROR(IF(VLOOKUP(A37,tbMoveset!A2:B112,2,FALSE)="Sever",Backdoors!AY18/100,IF(VLOOKUP(A37,tbMoveset!A2:B112,2,FALSE)="Blunt",Backdoors!AZ18/100,Backdoors!BA18/100)),"")</f>
        <v/>
      </c>
      <c r="DD37" s="49">
        <f>IFERROR(IF(VLOOKUP(tbMoveset!A37,tbMoveset!A2:H112,8,FALSE)="Other",IF(VLOOKUP(tbMoveset!A37,tbMoveset!A2:I112,9,FALSE)="Fire",Backdoors!BB18,IF(VLOOKUP(tbMoveset!A37,tbMoveset!A2:I112,9,FALSE)="Water",Backdoors!BC18,IF(VLOOKUP(tbMoveset!A37,tbMoveset!A2:I112,9,FALSE)="Thunder",Backdoors!BD18,IF(VLOOKUP(tbMoveset!A37,tbMoveset!A2:I112,9,FALSE)="Ice",Backdoors!BE18,IF(VLOOKUP(tbMoveset!A37,tbMoveset!A2:I112,9,FALSE)="Dragon",Backdoors!BF18,Backdoors!BG18)))))/100,Backdoors!BG18/100),"")</f>
        <v>0</v>
      </c>
      <c r="DE37" s="49">
        <f>IFERROR(IF(VLOOKUP(A37,tbMoveset!A2:J112,10,FALSE)=TRUE,IF((Backdoors!AI12+IF(DC37&gt;=0.45,VLOOKUP(Calculator!E23,tbSkills!DH3:DI6,2,FALSE)+IF(AND(Calculator!B8=TRUE,Backdoors!BI18=TRUE),VLOOKUP(Calculator!E23,tbSkills!DH3:DJ6,3,FALSE),0),0))&gt;=0,1+(Backdoors!AL2*(IF((Backdoors!AI12+IF(DC37&gt;=0.45,VLOOKUP(Calculator!E23,tbSkills!DH3:DI6,2,FALSE)+IF(AND(Calculator!B8=TRUE,Backdoors!BI18=TRUE),VLOOKUP(Calculator!E23,tbSkills!DH3:DJ6,3,FALSE),0),0))&gt;=100,100,(Backdoors!AI12+IF(DC37&gt;=0.45,VLOOKUP(Calculator!E23,tbSkills!DH3:DI6,2,FALSE)+IF(AND(Calculator!B8=TRUE,Backdoors!BI18=TRUE),VLOOKUP(Calculator!E23,tbSkills!DH3:DJ6,3,FALSE),0),0)))/100)),(1-(0.25*((-Backdoors!AI12-IF(DC37&gt;=0.45,VLOOKUP(Calculator!E23,tbSkills!DH3:DI6,2,FALSE)+IF(AND(Calculator!B8=TRUE,Backdoors!BI18=TRUE),VLOOKUP(Calculator!E23,tbSkills!DH3:DJ6,3,FALSE),0),0))/100)))),1),"")</f>
        <v>1</v>
      </c>
      <c r="DF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C37)*DE37)*(VLOOKUP(A37,tbMoveset!A2:C112,3,FALSE)/100)*IF(VLOOKUP(A37,tbMoveset!A2:B112,2,FALSE)="Projectile",Backdoors!N10,Backdoors!N9),0),"")</f>
        <v/>
      </c>
      <c r="DG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C37&gt;=0.45,VLOOKUP(Calculator!E23,tbSkills!DH3:DI6,2,FALSE)+IF(AND(Calculator!B8=TRUE,Backdoors!BI18=TRUE),VLOOKUP(Calculator!E23,tbSkills!DH3:DJ6,3,FALSE),0),0))&gt;=100,100,(Backdoors!AI12+IF(DC37&gt;=0.45,VLOOKUP(Calculator!E23,tbSkills!DH3:DI6,2,FALSE)+IF(AND(Calculator!B8=TRUE,Backdoors!BI18=TRUE),VLOOKUP(Calculator!E23,tbSkills!DH3:DJ6,3,FALSE),0),0)))/100)),1))*IF(VLOOKUP(A37,tbMoveset!A2:K112,11,FALSE)=TRUE,Backdoors!AC5,1))*DD37,0),"")</f>
        <v>0</v>
      </c>
      <c r="DH37" s="49">
        <f>VLOOKUP(A37,tbMoveset!A2:G112,7,FALSE)*IFERROR(IF(Backdoors!AI12&gt;=0,1+(IF(Calculator!E40&gt;0,VLOOKUP(Calculator!E40,tbSkills!AI3:AJ5,2,FALSE),Backdoors!AL4)*(IF((Backdoors!AI12+IF(DC37&gt;=0.45,VLOOKUP(Calculator!E23,tbSkills!DH3:DI6,2,FALSE)+IF(AND(Calculator!B8=TRUE,Backdoors!BI18=TRUE),VLOOKUP(Calculator!E23,tbSkills!DH3:DJ6,3,FALSE),0),0))&gt;=100,100,(Backdoors!AI12+IF(DC37&gt;=0.45,VLOOKUP(Calculator!E23,tbSkills!DH3:DI6,2,FALSE)+IF(AND(Calculator!B8=TRUE,Backdoors!BI18=TRUE),VLOOKUP(Calculator!E23,tbSkills!DH3:DJ6,3,FALSE),0),0)))/100)),1),1)</f>
        <v>0.5</v>
      </c>
      <c r="DI37" s="87">
        <f t="shared" si="9"/>
        <v>0</v>
      </c>
      <c r="DJ37" s="86" t="str">
        <f>IFERROR(IF(VLOOKUP(A37,tbMoveset!A2:B112,2,FALSE)="Sever",Backdoors!AY19/100,IF(VLOOKUP(A37,tbMoveset!A2:B112,2,FALSE)="Blunt",Backdoors!AZ19/100,Backdoors!BA19/100)),"")</f>
        <v/>
      </c>
      <c r="DK37" s="49">
        <f>IFERROR(IF(VLOOKUP(tbMoveset!A37,tbMoveset!A2:H112,8,FALSE)="Other",IF(VLOOKUP(tbMoveset!A37,tbMoveset!A2:I112,9,FALSE)="Fire",Backdoors!BB19,IF(VLOOKUP(tbMoveset!A37,tbMoveset!A2:I112,9,FALSE)="Water",Backdoors!BC19,IF(VLOOKUP(tbMoveset!A37,tbMoveset!A2:I112,9,FALSE)="Thunder",Backdoors!BD19,IF(VLOOKUP(tbMoveset!A37,tbMoveset!A2:I112,9,FALSE)="Ice",Backdoors!BE19,IF(VLOOKUP(tbMoveset!A37,tbMoveset!A2:I112,9,FALSE)="Dragon",Backdoors!BF19,Backdoors!BG19)))))/100,Backdoors!BG19/100),"")</f>
        <v>0</v>
      </c>
      <c r="DL37" s="49">
        <f>IFERROR(IF(VLOOKUP(A37,tbMoveset!A2:J112,10,FALSE)=TRUE,IF((Backdoors!AI12+IF(DJ37&gt;=0.45,VLOOKUP(Calculator!E23,tbSkills!DH3:DI6,2,FALSE)+IF(AND(Calculator!B8=TRUE,Backdoors!BI19=TRUE),VLOOKUP(Calculator!E23,tbSkills!DH3:DJ6,3,FALSE),0),0))&gt;=0,1+(Backdoors!AL2*(IF((Backdoors!AI12+IF(DJ37&gt;=0.45,VLOOKUP(Calculator!E23,tbSkills!DH3:DI6,2,FALSE)+IF(AND(Calculator!B8=TRUE,Backdoors!BI19=TRUE),VLOOKUP(Calculator!E23,tbSkills!DH3:DJ6,3,FALSE),0),0))&gt;=100,100,(Backdoors!AI12+IF(DJ37&gt;=0.45,VLOOKUP(Calculator!E23,tbSkills!DH3:DI6,2,FALSE)+IF(AND(Calculator!B8=TRUE,Backdoors!BI19=TRUE),VLOOKUP(Calculator!E23,tbSkills!DH3:DJ6,3,FALSE),0),0)))/100)),(1-(0.25*((-Backdoors!AI12-IF(DJ37&gt;=0.45,VLOOKUP(Calculator!E23,tbSkills!DH3:DI6,2,FALSE)+IF(AND(Calculator!B8=TRUE,Backdoors!BI19=TRUE),VLOOKUP(Calculator!E23,tbSkills!DH3:DJ6,3,FALSE),0),0))/100)))),1),"")</f>
        <v>1</v>
      </c>
      <c r="DM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J37)*DL37)*(VLOOKUP(A37,tbMoveset!A2:C112,3,FALSE)/100)*IF(VLOOKUP(A37,tbMoveset!A2:B112,2,FALSE)="Projectile",Backdoors!N10,Backdoors!N9),0),"")</f>
        <v/>
      </c>
      <c r="DN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J37&gt;=0.45,VLOOKUP(Calculator!E23,tbSkills!DH3:DI6,2,FALSE)+IF(AND(Calculator!B8=TRUE,Backdoors!BI19=TRUE),VLOOKUP(Calculator!E23,tbSkills!DH3:DJ6,3,FALSE),0),0))&gt;=100,100,(Backdoors!AI12+IF(DJ37&gt;=0.45,VLOOKUP(Calculator!E23,tbSkills!DH3:DI6,2,FALSE)+IF(AND(Calculator!B8=TRUE,Backdoors!BI19=TRUE),VLOOKUP(Calculator!E23,tbSkills!DH3:DJ6,3,FALSE),0),0)))/100)),1))*IF(VLOOKUP(A37,tbMoveset!A2:K112,11,FALSE)=TRUE,Backdoors!AC5,1))*DK37,0),"")</f>
        <v>0</v>
      </c>
      <c r="DO37" s="49">
        <f>VLOOKUP(A37,tbMoveset!A2:G112,7,FALSE)*IFERROR(IF(Backdoors!AI12&gt;=0,1+(IF(Calculator!E40&gt;0,VLOOKUP(Calculator!E40,tbSkills!AI3:AJ5,2,FALSE),Backdoors!AL4)*(IF((Backdoors!AI12+IF(DJ37&gt;=0.45,VLOOKUP(Calculator!E23,tbSkills!DH3:DI6,2,FALSE)+IF(AND(Calculator!B8=TRUE,Backdoors!BI19=TRUE),VLOOKUP(Calculator!E23,tbSkills!DH3:DJ6,3,FALSE),0),0))&gt;=100,100,(Backdoors!AI12+IF(DJ37&gt;=0.45,VLOOKUP(Calculator!E23,tbSkills!DH3:DI6,2,FALSE)+IF(AND(Calculator!B8=TRUE,Backdoors!BI19=TRUE),VLOOKUP(Calculator!E23,tbSkills!DH3:DJ6,3,FALSE),0),0)))/100)),1),1)</f>
        <v>0.5</v>
      </c>
      <c r="DP37" s="87">
        <f t="shared" si="41"/>
        <v>0</v>
      </c>
      <c r="DQ37" s="86" t="str">
        <f>IFERROR(IF(VLOOKUP(A37,tbMoveset!A2:B112,2,FALSE)="Sever",Backdoors!AY20/100,IF(VLOOKUP(A37,tbMoveset!A2:B112,2,FALSE)="Blunt",Backdoors!AZ20/100,Backdoors!BA20/100)),"")</f>
        <v/>
      </c>
      <c r="DR37" s="49">
        <f>IFERROR(IF(VLOOKUP(tbMoveset!A37,tbMoveset!A2:H112,8,FALSE)="Other",IF(VLOOKUP(tbMoveset!A37,tbMoveset!A2:I112,9,FALSE)="Fire",Backdoors!BB20,IF(VLOOKUP(tbMoveset!A37,tbMoveset!A2:I112,9,FALSE)="Water",Backdoors!BC20,IF(VLOOKUP(tbMoveset!A37,tbMoveset!A2:I112,9,FALSE)="Thunder",Backdoors!BD20,IF(VLOOKUP(tbMoveset!A37,tbMoveset!A2:I112,9,FALSE)="Ice",Backdoors!BE20,IF(VLOOKUP(tbMoveset!A37,tbMoveset!A2:I112,9,FALSE)="Dragon",Backdoors!BF20,Backdoors!BG20)))))/100,Backdoors!BG20/100),"")</f>
        <v>0</v>
      </c>
      <c r="DS37" s="49">
        <f>IFERROR(IF(VLOOKUP(A37,tbMoveset!A2:J112,10,FALSE)=TRUE,IF((Backdoors!AI12+IF(DQ37&gt;=0.45,VLOOKUP(Calculator!E23,tbSkills!DH3:DI6,2,FALSE)+IF(AND(Calculator!B8=TRUE,Backdoors!BI20=TRUE),VLOOKUP(Calculator!E23,tbSkills!DH3:DJ6,3,FALSE),0),0))&gt;=0,1+(Backdoors!AL2*(IF((Backdoors!AI12+IF(DQ37&gt;=0.45,VLOOKUP(Calculator!E23,tbSkills!DH3:DI6,2,FALSE)+IF(AND(Calculator!B8=TRUE,Backdoors!BI20=TRUE),VLOOKUP(Calculator!E23,tbSkills!DH3:DJ6,3,FALSE),0),0))&gt;=100,100,(Backdoors!AI12+IF(DQ37&gt;=0.45,VLOOKUP(Calculator!E23,tbSkills!DH3:DI6,2,FALSE)+IF(AND(Calculator!B8=TRUE,Backdoors!BI20=TRUE),VLOOKUP(Calculator!E23,tbSkills!DH3:DJ6,3,FALSE),0),0)))/100)),(1-(0.25*((-Backdoors!AI12-IF(DQ37&gt;=0.45,VLOOKUP(Calculator!E23,tbSkills!DH3:DI6,2,FALSE)+IF(AND(Calculator!B8=TRUE,Backdoors!BI20=TRUE),VLOOKUP(Calculator!E23,tbSkills!DH3:DJ6,3,FALSE),0),0))/100)))),1),"")</f>
        <v>1</v>
      </c>
      <c r="DT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Q37)*DS37)*(VLOOKUP(A37,tbMoveset!A2:C112,3,FALSE)/100)*IF(VLOOKUP(A37,tbMoveset!A2:B112,2,FALSE)="Projectile",Backdoors!N10,Backdoors!N9),0),"")</f>
        <v/>
      </c>
      <c r="DU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Q37&gt;=0.45,VLOOKUP(Calculator!E23,tbSkills!DH3:DI6,2,FALSE)+IF(AND(Calculator!B8=TRUE,Backdoors!BI20=TRUE),VLOOKUP(Calculator!E23,tbSkills!DH3:DJ6,3,FALSE),0),0))&gt;=100,100,(Backdoors!AI12+IF(DQ37&gt;=0.45,VLOOKUP(Calculator!E23,tbSkills!DH3:DI6,2,FALSE)+IF(AND(Calculator!B8=TRUE,Backdoors!BI20=TRUE),VLOOKUP(Calculator!E23,tbSkills!DH3:DJ6,3,FALSE),0),0)))/100)),1))*IF(VLOOKUP(A37,tbMoveset!A2:K112,11,FALSE)=TRUE,Backdoors!AC5,1))*DR37,0),"")</f>
        <v>0</v>
      </c>
      <c r="DV37" s="49">
        <f>VLOOKUP(A37,tbMoveset!A2:G112,7,FALSE)*IFERROR(IF(Backdoors!AI12&gt;=0,1+(IF(Calculator!E40&gt;0,VLOOKUP(Calculator!E40,tbSkills!AI3:AJ5,2,FALSE),Backdoors!AL4)*(IF((Backdoors!AI12+IF(DQ37&gt;=0.45,VLOOKUP(Calculator!E23,tbSkills!DH3:DI6,2,FALSE)+IF(AND(Calculator!B8=TRUE,Backdoors!BI20=TRUE),VLOOKUP(Calculator!E23,tbSkills!DH3:DJ6,3,FALSE),0),0))&gt;=100,100,(Backdoors!AI12+IF(DQ37&gt;=0.45,VLOOKUP(Calculator!E23,tbSkills!DH3:DI6,2,FALSE)+IF(AND(Calculator!B8=TRUE,Backdoors!BI20=TRUE),VLOOKUP(Calculator!E23,tbSkills!DH3:DJ6,3,FALSE),0),0)))/100)),1),1)</f>
        <v>0.5</v>
      </c>
      <c r="DW37" s="87">
        <f t="shared" si="10"/>
        <v>0</v>
      </c>
      <c r="DX37" s="86" t="str">
        <f>IFERROR(IF(VLOOKUP(A37,tbMoveset!A2:B112,2,FALSE)="Sever",Backdoors!AY21/100,IF(VLOOKUP(A37,tbMoveset!A2:B112,2,FALSE)="Blunt",Backdoors!AZ21/100,Backdoors!BA21/100)),"")</f>
        <v/>
      </c>
      <c r="DY37" s="49">
        <f>IFERROR(IF(VLOOKUP(tbMoveset!A37,tbMoveset!A2:H112,8,FALSE)="Other",IF(VLOOKUP(tbMoveset!A37,tbMoveset!A2:I112,9,FALSE)="Fire",Backdoors!BB21,IF(VLOOKUP(tbMoveset!A37,tbMoveset!A2:I112,9,FALSE)="Water",Backdoors!BC21,IF(VLOOKUP(tbMoveset!A37,tbMoveset!A2:I112,9,FALSE)="Thunder",Backdoors!BD21,IF(VLOOKUP(tbMoveset!A37,tbMoveset!A2:I112,9,FALSE)="Ice",Backdoors!BE21,IF(VLOOKUP(tbMoveset!A37,tbMoveset!A2:I112,9,FALSE)="Dragon",Backdoors!BF21,Backdoors!BG21)))))/100,Backdoors!BG21/100),"")</f>
        <v>0</v>
      </c>
      <c r="DZ37" s="49">
        <f>IFERROR(IF(VLOOKUP(A37,tbMoveset!A2:J112,10,FALSE)=TRUE,IF((Backdoors!AI12+IF(DX37&gt;=0.45,VLOOKUP(Calculator!E23,tbSkills!DH3:DI6,2,FALSE)+IF(AND(Calculator!B8=TRUE,Backdoors!BI21=TRUE),VLOOKUP(Calculator!E23,tbSkills!DH3:DJ6,3,FALSE),0),0))&gt;=0,1+(Backdoors!AL2*(IF((Backdoors!AI12+IF(DX37&gt;=0.45,VLOOKUP(Calculator!E23,tbSkills!DH3:DI6,2,FALSE)+IF(AND(Calculator!B8=TRUE,Backdoors!BI21=TRUE),VLOOKUP(Calculator!E23,tbSkills!DH3:DJ6,3,FALSE),0),0))&gt;=100,100,(Backdoors!AI12+IF(DX37&gt;=0.45,VLOOKUP(Calculator!E23,tbSkills!DH3:DI6,2,FALSE)+IF(AND(Calculator!B8=TRUE,Backdoors!BI21=TRUE),VLOOKUP(Calculator!E23,tbSkills!DH3:DJ6,3,FALSE),0),0)))/100)),(1-(0.25*((-Backdoors!AI12-IF(DX37&gt;=0.45,VLOOKUP(Calculator!E23,tbSkills!DH3:DI6,2,FALSE)+IF(AND(Calculator!B8=TRUE,Backdoors!BI21=TRUE),VLOOKUP(Calculator!E23,tbSkills!DH3:DJ6,3,FALSE),0),0))/100)))),1),"")</f>
        <v>1</v>
      </c>
      <c r="EA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X37)*DZ37)*(VLOOKUP(A37,tbMoveset!A2:C112,3,FALSE)/100)*IF(VLOOKUP(A37,tbMoveset!A2:B112,2,FALSE)="Projectile",Backdoors!N10,Backdoors!N9),0),"")</f>
        <v/>
      </c>
      <c r="EB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X37&gt;=0.45,VLOOKUP(Calculator!E23,tbSkills!DH3:DI6,2,FALSE)+IF(AND(Calculator!B8=TRUE,Backdoors!BI21=TRUE),VLOOKUP(Calculator!E23,tbSkills!DH3:DJ6,3,FALSE),0),0))&gt;=100,100,(Backdoors!AI12+IF(DX37&gt;=0.45,VLOOKUP(Calculator!E23,tbSkills!DH3:DI6,2,FALSE)+IF(AND(Calculator!B8=TRUE,Backdoors!BI21=TRUE),VLOOKUP(Calculator!E23,tbSkills!DH3:DJ6,3,FALSE),0),0)))/100)),1))*IF(VLOOKUP(A37,tbMoveset!A2:K112,11,FALSE)=TRUE,Backdoors!AC5,1))*DY37,0),"")</f>
        <v>0</v>
      </c>
      <c r="EC37" s="49">
        <f>VLOOKUP(A37,tbMoveset!A2:G112,7,FALSE)*IFERROR(IF(Backdoors!AI12&gt;=0,1+(IF(Calculator!E40&gt;0,VLOOKUP(Calculator!E40,tbSkills!AI3:AJ5,2,FALSE),Backdoors!AL4)*(IF((Backdoors!AI12+IF(DX37&gt;=0.45,VLOOKUP(Calculator!E23,tbSkills!DH3:DI6,2,FALSE)+IF(AND(Calculator!B8=TRUE,Backdoors!BI21=TRUE),VLOOKUP(Calculator!E23,tbSkills!DH3:DJ6,3,FALSE),0),0))&gt;=100,100,(Backdoors!AI12+IF(DX37&gt;=0.45,VLOOKUP(Calculator!E23,tbSkills!DH3:DI6,2,FALSE)+IF(AND(Calculator!B8=TRUE,Backdoors!BI21=TRUE),VLOOKUP(Calculator!E23,tbSkills!DH3:DJ6,3,FALSE),0),0)))/100)),1),1)</f>
        <v>0.5</v>
      </c>
      <c r="ED37" s="87">
        <f t="shared" si="11"/>
        <v>0</v>
      </c>
      <c r="EE37" s="86" t="str">
        <f>IFERROR(IF(VLOOKUP(A37,tbMoveset!A2:B112,2,FALSE)="Sever",Backdoors!AY22/100,IF(VLOOKUP(A37,tbMoveset!A2:B112,2,FALSE)="Blunt",Backdoors!AZ22/100,Backdoors!BA22/100)),"")</f>
        <v/>
      </c>
      <c r="EF37" s="49">
        <f>IFERROR(IF(VLOOKUP(tbMoveset!A37,tbMoveset!A2:H112,8,FALSE)="Other",IF(VLOOKUP(tbMoveset!A37,tbMoveset!A2:I112,9,FALSE)="Fire",Backdoors!BB22,IF(VLOOKUP(tbMoveset!A37,tbMoveset!A2:I112,9,FALSE)="Water",Backdoors!BC22,IF(VLOOKUP(tbMoveset!A37,tbMoveset!A2:I112,9,FALSE)="Thunder",Backdoors!BD22,IF(VLOOKUP(tbMoveset!A37,tbMoveset!A2:I112,9,FALSE)="Ice",Backdoors!BE22,IF(VLOOKUP(tbMoveset!A37,tbMoveset!A2:I112,9,FALSE)="Dragon",Backdoors!BF22,Backdoors!BG22)))))/100,Backdoors!BG22/100),"")</f>
        <v>0</v>
      </c>
      <c r="EG37" s="49">
        <f>IFERROR(IF(VLOOKUP(A37,tbMoveset!A2:J112,10,FALSE)=TRUE,IF((Backdoors!AI12+IF(EE37&gt;=0.45,VLOOKUP(Calculator!E23,tbSkills!DH3:DI6,2,FALSE)+IF(AND(Calculator!B8=TRUE,Backdoors!BI22=TRUE),VLOOKUP(Calculator!E23,tbSkills!DH3:DJ6,3,FALSE),0),0))&gt;=0,1+(Backdoors!AL2*(IF((Backdoors!AI12+IF(EE37&gt;=0.45,VLOOKUP(Calculator!E23,tbSkills!DH3:DI6,2,FALSE)+IF(AND(Calculator!B8=TRUE,Backdoors!BI22=TRUE),VLOOKUP(Calculator!E23,tbSkills!DH3:DJ6,3,FALSE),0),0))&gt;=100,100,(Backdoors!AI12+IF(EE37&gt;=0.45,VLOOKUP(Calculator!E23,tbSkills!DH3:DI6,2,FALSE)+IF(AND(Calculator!B8=TRUE,Backdoors!BI22=TRUE),VLOOKUP(Calculator!E23,tbSkills!DH3:DJ6,3,FALSE),0),0)))/100)),(1-(0.25*((-Backdoors!AI12-IF(EE37&gt;=0.45,VLOOKUP(Calculator!E23,tbSkills!DH3:DI6,2,FALSE)+IF(AND(Calculator!B8=TRUE,Backdoors!BI22=TRUE),VLOOKUP(Calculator!E23,tbSkills!DH3:DJ6,3,FALSE),0),0))/100)))),1),"")</f>
        <v>1</v>
      </c>
      <c r="EH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E37)*EG37)*(VLOOKUP(A37,tbMoveset!A2:C112,3,FALSE)/100)*IF(VLOOKUP(A37,tbMoveset!A2:B112,2,FALSE)="Projectile",Backdoors!N10,Backdoors!N9),0),"")</f>
        <v/>
      </c>
      <c r="EI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E37&gt;=0.45,VLOOKUP(Calculator!E23,tbSkills!DH3:DI6,2,FALSE)+IF(AND(Calculator!B8=TRUE,Backdoors!BI22=TRUE),VLOOKUP(Calculator!E23,tbSkills!DH3:DJ6,3,FALSE),0),0))&gt;=100,100,(Backdoors!AI12+IF(EE37&gt;=0.45,VLOOKUP(Calculator!E23,tbSkills!DH3:DI6,2,FALSE)+IF(AND(Calculator!B8=TRUE,Backdoors!BI22=TRUE),VLOOKUP(Calculator!E23,tbSkills!DH3:DJ6,3,FALSE),0),0)))/100)),1))*IF(VLOOKUP(A37,tbMoveset!A2:K112,11,FALSE)=TRUE,Backdoors!AC5,1))*EF37,0),"")</f>
        <v>0</v>
      </c>
      <c r="EJ37" s="49">
        <f>VLOOKUP(A37,tbMoveset!A2:G112,7,FALSE)*IFERROR(IF(Backdoors!AI12&gt;=0,1+(IF(Calculator!E40&gt;0,VLOOKUP(Calculator!E40,tbSkills!AI3:AJ5,2,FALSE),Backdoors!AL4)*(IF((Backdoors!AI12+IF(EE37&gt;=0.45,VLOOKUP(Calculator!E23,tbSkills!DH3:DI6,2,FALSE)+IF(AND(Calculator!B8=TRUE,Backdoors!BI22=TRUE),VLOOKUP(Calculator!E23,tbSkills!DH3:DJ6,3,FALSE),0),0))&gt;=100,100,(Backdoors!AI12+IF(EE37&gt;=0.45,VLOOKUP(Calculator!E23,tbSkills!DH3:DI6,2,FALSE)+IF(AND(Calculator!B8=TRUE,Backdoors!BI22=TRUE),VLOOKUP(Calculator!E23,tbSkills!DH3:DJ6,3,FALSE),0),0)))/100)),1),1)</f>
        <v>0.5</v>
      </c>
      <c r="EK37" s="87">
        <f t="shared" si="12"/>
        <v>0</v>
      </c>
      <c r="EL37" s="86" t="str">
        <f>IFERROR(IF(VLOOKUP(A37,tbMoveset!A2:B112,2,FALSE)="Sever",Backdoors!AY23/100,IF(VLOOKUP(A37,tbMoveset!A2:B112,2,FALSE)="Blunt",Backdoors!AZ23/100,Backdoors!BA23/100)),"")</f>
        <v/>
      </c>
      <c r="EM37" s="49">
        <f>IFERROR(IF(VLOOKUP(tbMoveset!A37,tbMoveset!A2:H112,8,FALSE)="Other",IF(VLOOKUP(tbMoveset!A37,tbMoveset!A2:I112,9,FALSE)="Fire",Backdoors!BB23,IF(VLOOKUP(tbMoveset!A37,tbMoveset!A2:I112,9,FALSE)="Water",Backdoors!BC23,IF(VLOOKUP(tbMoveset!A37,tbMoveset!A2:I112,9,FALSE)="Thunder",Backdoors!BD23,IF(VLOOKUP(tbMoveset!A37,tbMoveset!A2:I112,9,FALSE)="Ice",Backdoors!BE23,IF(VLOOKUP(tbMoveset!A37,tbMoveset!A2:I112,9,FALSE)="Dragon",Backdoors!BF23,Backdoors!BG23)))))/100,Backdoors!BG23/100),"")</f>
        <v>0</v>
      </c>
      <c r="EN37" s="49">
        <f>IFERROR(IF(VLOOKUP(A37,tbMoveset!A2:J112,10,FALSE)=TRUE,IF((Backdoors!AI12+IF(EL37&gt;=0.45,VLOOKUP(Calculator!E23,tbSkills!DH3:DI6,2,FALSE)+IF(AND(Calculator!B8=TRUE,Backdoors!BI23=TRUE),VLOOKUP(Calculator!E23,tbSkills!DH3:DJ6,3,FALSE),0),0))&gt;=0,1+(Backdoors!AL2*(IF((Backdoors!AI12+IF(EL37&gt;=0.45,VLOOKUP(Calculator!E23,tbSkills!DH3:DI6,2,FALSE)+IF(AND(Calculator!B8=TRUE,Backdoors!BI23=TRUE),VLOOKUP(Calculator!E23,tbSkills!DH3:DJ6,3,FALSE),0),0))&gt;=100,100,(Backdoors!AI12+IF(EL37&gt;=0.45,VLOOKUP(Calculator!E23,tbSkills!DH3:DI6,2,FALSE)+IF(AND(Calculator!B8=TRUE,Backdoors!BI23=TRUE),VLOOKUP(Calculator!E23,tbSkills!DH3:DJ6,3,FALSE),0),0)))/100)),(1-(0.25*((-Backdoors!AI12-IF(EL37&gt;=0.45,VLOOKUP(Calculator!E23,tbSkills!DH3:DI6,2,FALSE)+IF(AND(Calculator!B8=TRUE,Backdoors!BI23=TRUE),VLOOKUP(Calculator!E23,tbSkills!DH3:DJ6,3,FALSE),0),0))/100)))),1),"")</f>
        <v>1</v>
      </c>
      <c r="EO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L37)*EN37)*(VLOOKUP(A37,tbMoveset!A2:C112,3,FALSE)/100)*IF(VLOOKUP(A37,tbMoveset!A2:B112,2,FALSE)="Projectile",Backdoors!N10,Backdoors!N9),0),"")</f>
        <v/>
      </c>
      <c r="EP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L37&gt;=0.45,VLOOKUP(Calculator!E23,tbSkills!DH3:DI6,2,FALSE)+IF(AND(Calculator!B8=TRUE,Backdoors!BI23=TRUE),VLOOKUP(Calculator!E23,tbSkills!DH3:DJ6,3,FALSE),0),0))&gt;=100,100,(Backdoors!AI12+IF(EL37&gt;=0.45,VLOOKUP(Calculator!E23,tbSkills!DH3:DI6,2,FALSE)+IF(AND(Calculator!B8=TRUE,Backdoors!BI23=TRUE),VLOOKUP(Calculator!E23,tbSkills!DH3:DJ6,3,FALSE),0),0)))/100)),1))*IF(VLOOKUP(A37,tbMoveset!A2:K112,11,FALSE)=TRUE,Backdoors!AC5,1))*EM37,0),"")</f>
        <v>0</v>
      </c>
      <c r="EQ37" s="49">
        <f>VLOOKUP(A37,tbMoveset!A2:G112,7,FALSE)*IFERROR(IF(Backdoors!AI12&gt;=0,1+(IF(Calculator!E40&gt;0,VLOOKUP(Calculator!E40,tbSkills!AI3:AJ5,2,FALSE),Backdoors!AL4)*(IF((Backdoors!AI12+IF(EL37&gt;=0.45,VLOOKUP(Calculator!E23,tbSkills!DH3:DI6,2,FALSE)+IF(AND(Calculator!B8=TRUE,Backdoors!BI23=TRUE),VLOOKUP(Calculator!E23,tbSkills!DH3:DJ6,3,FALSE),0),0))&gt;=100,100,(Backdoors!AI12+IF(EL37&gt;=0.45,VLOOKUP(Calculator!E23,tbSkills!DH3:DI6,2,FALSE)+IF(AND(Calculator!B8=TRUE,Backdoors!BI23=TRUE),VLOOKUP(Calculator!E23,tbSkills!DH3:DJ6,3,FALSE),0),0)))/100)),1),1)</f>
        <v>0.5</v>
      </c>
      <c r="ER37" s="87">
        <f t="shared" si="13"/>
        <v>0</v>
      </c>
      <c r="ES37" s="86" t="str">
        <f>IFERROR(IF(VLOOKUP(A37,tbMoveset!A2:B112,2,FALSE)="Sever",Backdoors!AY24/100,IF(VLOOKUP(A37,tbMoveset!A2:B112,2,FALSE)="Blunt",Backdoors!AZ24/100,Backdoors!BA24/100)),"")</f>
        <v/>
      </c>
      <c r="ET37" s="49">
        <f>IFERROR(IF(VLOOKUP(tbMoveset!A37,tbMoveset!A2:H112,8,FALSE)="Other",IF(VLOOKUP(tbMoveset!A37,tbMoveset!A2:I112,9,FALSE)="Fire",Backdoors!BB24,IF(VLOOKUP(tbMoveset!A37,tbMoveset!A2:I112,9,FALSE)="Water",Backdoors!BC24,IF(VLOOKUP(tbMoveset!A37,tbMoveset!A2:I112,9,FALSE)="Thunder",Backdoors!BD24,IF(VLOOKUP(tbMoveset!A37,tbMoveset!A2:I112,9,FALSE)="Ice",Backdoors!BE24,IF(VLOOKUP(tbMoveset!A37,tbMoveset!A2:I112,9,FALSE)="Dragon",Backdoors!BF24,Backdoors!BG24)))))/100,Backdoors!BG24/100),"")</f>
        <v>0</v>
      </c>
      <c r="EU37" s="49">
        <f>IFERROR(IF(VLOOKUP(A37,tbMoveset!A2:J112,10,FALSE)=TRUE,IF((Backdoors!AI12+IF(ES37&gt;=0.45,VLOOKUP(Calculator!E23,tbSkills!DH3:DI6,2,FALSE)+IF(AND(Calculator!B8=TRUE,Backdoors!BI24=TRUE),VLOOKUP(Calculator!E23,tbSkills!DH3:DJ6,3,FALSE),0),0))&gt;=0,1+(Backdoors!AL2*(IF((Backdoors!AI12+IF(ES37&gt;=0.45,VLOOKUP(Calculator!E23,tbSkills!DH3:DI6,2,FALSE)+IF(AND(Calculator!B8=TRUE,Backdoors!BI24=TRUE),VLOOKUP(Calculator!E23,tbSkills!DH3:DJ6,3,FALSE),0),0))&gt;=100,100,(Backdoors!AI12+IF(ES37&gt;=0.45,VLOOKUP(Calculator!E23,tbSkills!DH3:DI6,2,FALSE)+IF(AND(Calculator!B8=TRUE,Backdoors!BI24=TRUE),VLOOKUP(Calculator!E23,tbSkills!DH3:DJ6,3,FALSE),0),0)))/100)),(1-(0.25*((-Backdoors!AI12-IF(ES37&gt;=0.45,VLOOKUP(Calculator!E23,tbSkills!DH3:DI6,2,FALSE)+IF(AND(Calculator!B8=TRUE,Backdoors!BI24=TRUE),VLOOKUP(Calculator!E23,tbSkills!DH3:DJ6,3,FALSE),0),0))/100)))),1),"")</f>
        <v>1</v>
      </c>
      <c r="EV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S37)*EU37)*(VLOOKUP(A37,tbMoveset!A2:C112,3,FALSE)/100)*IF(VLOOKUP(A37,tbMoveset!A2:B112,2,FALSE)="Projectile",Backdoors!N10,Backdoors!N9),0),"")</f>
        <v/>
      </c>
      <c r="EW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S37&gt;=0.45,VLOOKUP(Calculator!E23,tbSkills!DH3:DI6,2,FALSE)+IF(AND(Calculator!B8=TRUE,Backdoors!BI24=TRUE),VLOOKUP(Calculator!E23,tbSkills!DH3:DJ6,3,FALSE),0),0))&gt;=100,100,(Backdoors!AI12+IF(ES37&gt;=0.45,VLOOKUP(Calculator!E23,tbSkills!DH3:DI6,2,FALSE)+IF(AND(Calculator!B8=TRUE,Backdoors!BI24=TRUE),VLOOKUP(Calculator!E23,tbSkills!DH3:DJ6,3,FALSE),0),0)))/100)),1))*IF(VLOOKUP(A37,tbMoveset!A2:K112,11,FALSE)=TRUE,Backdoors!AC5,1))*ET37,0),"")</f>
        <v>0</v>
      </c>
      <c r="EX37" s="49">
        <f>VLOOKUP(A37,tbMoveset!A2:G112,7,FALSE)*IFERROR(IF(Backdoors!AI12&gt;=0,1+(IF(Calculator!E40&gt;0,VLOOKUP(Calculator!E40,tbSkills!AI3:AJ5,2,FALSE),Backdoors!AL4)*(IF((Backdoors!AI12+IF(ES37&gt;=0.45,VLOOKUP(Calculator!E23,tbSkills!DH3:DI6,2,FALSE)+IF(AND(Calculator!B8=TRUE,Backdoors!BI24=TRUE),VLOOKUP(Calculator!E23,tbSkills!DH3:DJ6,3,FALSE),0),0))&gt;=100,100,(Backdoors!AI12+IF(ES37&gt;=0.45,VLOOKUP(Calculator!E23,tbSkills!DH3:DI6,2,FALSE)+IF(AND(Calculator!B8=TRUE,Backdoors!BI24=TRUE),VLOOKUP(Calculator!E23,tbSkills!DH3:DJ6,3,FALSE),0),0)))/100)),1),1)</f>
        <v>0.5</v>
      </c>
      <c r="EY37" s="87">
        <f t="shared" si="14"/>
        <v>0</v>
      </c>
      <c r="EZ37" s="86" t="str">
        <f>IFERROR(IF(VLOOKUP(A37,tbMoveset!A2:B112,2,FALSE)="Sever",Backdoors!AY25/100,IF(VLOOKUP(A37,tbMoveset!A2:B112,2,FALSE)="Blunt",Backdoors!AZ25/100,Backdoors!BA25/100)),"")</f>
        <v/>
      </c>
      <c r="FA37" s="49">
        <f>IFERROR(IF(VLOOKUP(tbMoveset!A37,tbMoveset!A2:H112,8,FALSE)="Other",IF(VLOOKUP(tbMoveset!A37,tbMoveset!A2:I112,9,FALSE)="Fire",Backdoors!BB25,IF(VLOOKUP(tbMoveset!A37,tbMoveset!A2:I112,9,FALSE)="Water",Backdoors!BC25,IF(VLOOKUP(tbMoveset!A37,tbMoveset!A2:I112,9,FALSE)="Thunder",Backdoors!BD25,IF(VLOOKUP(tbMoveset!A37,tbMoveset!A2:I112,9,FALSE)="Ice",Backdoors!BE25,IF(VLOOKUP(tbMoveset!A37,tbMoveset!A2:I112,9,FALSE)="Dragon",Backdoors!BF25,Backdoors!BG25)))))/100,Backdoors!BG25/100),"")</f>
        <v>0</v>
      </c>
      <c r="FB37" s="49">
        <f>IFERROR(IF(VLOOKUP(A37,tbMoveset!A2:J112,10,FALSE)=TRUE,IF((Backdoors!AI12+IF(EZ37&gt;=0.45,VLOOKUP(Calculator!E23,tbSkills!DH3:DI6,2,FALSE)+IF(AND(Calculator!B8=TRUE,Backdoors!BI25=TRUE),VLOOKUP(Calculator!E23,tbSkills!DH3:DJ6,3,FALSE),0),0))&gt;=0,1+(Backdoors!AL2*(IF((Backdoors!AI12+IF(EZ37&gt;=0.45,VLOOKUP(Calculator!E23,tbSkills!DH3:DI6,2,FALSE)+IF(AND(Calculator!B8=TRUE,Backdoors!BI25=TRUE),VLOOKUP(Calculator!E23,tbSkills!DH3:DJ6,3,FALSE),0),0))&gt;=100,100,(Backdoors!AI12+IF(EZ37&gt;=0.45,VLOOKUP(Calculator!E23,tbSkills!DH3:DI6,2,FALSE)+IF(AND(Calculator!B8=TRUE,Backdoors!BI25=TRUE),VLOOKUP(Calculator!E23,tbSkills!DH3:DJ6,3,FALSE),0),0)))/100)),(1-(0.25*((-Backdoors!AI12-IF(EZ37&gt;=0.45,VLOOKUP(Calculator!E23,tbSkills!DH3:DI6,2,FALSE)+IF(AND(Calculator!B8=TRUE,Backdoors!BI25=TRUE),VLOOKUP(Calculator!E23,tbSkills!DH3:DJ6,3,FALSE),0),0))/100)))),1),"")</f>
        <v>1</v>
      </c>
      <c r="FC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Z37)*FB37)*(VLOOKUP(A37,tbMoveset!A2:C112,3,FALSE)/100)*IF(VLOOKUP(A37,tbMoveset!A2:B112,2,FALSE)="Projectile",Backdoors!N10,Backdoors!N9),0),"")</f>
        <v/>
      </c>
      <c r="FD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Z37&gt;=0.45,VLOOKUP(Calculator!E23,tbSkills!DH3:DI6,2,FALSE)+IF(AND(Calculator!B8=TRUE,Backdoors!BI25=TRUE),VLOOKUP(Calculator!E23,tbSkills!DH3:DJ6,3,FALSE),0),0))&gt;=100,100,(Backdoors!AI12+IF(EZ37&gt;=0.45,VLOOKUP(Calculator!E23,tbSkills!DH3:DI6,2,FALSE)+IF(AND(Calculator!B8=TRUE,Backdoors!BI25=TRUE),VLOOKUP(Calculator!E23,tbSkills!DH3:DJ6,3,FALSE),0),0)))/100)),1))*IF(VLOOKUP(A37,tbMoveset!A2:K112,11,FALSE)=TRUE,Backdoors!AC5,1))*FA37,0),"")</f>
        <v>0</v>
      </c>
      <c r="FE37" s="49">
        <f>VLOOKUP(A37,tbMoveset!A2:G112,7,FALSE)*IFERROR(IF(Backdoors!AI12&gt;=0,1+(IF(Calculator!E40&gt;0,VLOOKUP(Calculator!E40,tbSkills!AI3:AJ5,2,FALSE),Backdoors!AL4)*(IF((Backdoors!AI12+IF(EZ37&gt;=0.45,VLOOKUP(Calculator!E23,tbSkills!DH3:DI6,2,FALSE)+IF(AND(Calculator!B8=TRUE,Backdoors!BI25=TRUE),VLOOKUP(Calculator!E23,tbSkills!DH3:DJ6,3,FALSE),0),0))&gt;=100,100,(Backdoors!AI12+IF(EZ37&gt;=0.45,VLOOKUP(Calculator!E23,tbSkills!DH3:DI6,2,FALSE)+IF(AND(Calculator!B8=TRUE,Backdoors!BI25=TRUE),VLOOKUP(Calculator!E23,tbSkills!DH3:DJ6,3,FALSE),0),0)))/100)),1),1)</f>
        <v>0.5</v>
      </c>
      <c r="FF37" s="87">
        <f t="shared" si="15"/>
        <v>0</v>
      </c>
      <c r="FG37" s="86" t="str">
        <f>IFERROR(IF(VLOOKUP(A37,tbMoveset!A2:B112,2,FALSE)="Sever",Backdoors!AY26/100,IF(VLOOKUP(A37,tbMoveset!A2:B112,2,FALSE)="Blunt",Backdoors!AZ26/100,Backdoors!BA26/100)),"")</f>
        <v/>
      </c>
      <c r="FH37" s="49">
        <f>IFERROR(IF(VLOOKUP(tbMoveset!A37,tbMoveset!A2:H112,8,FALSE)="Other",IF(VLOOKUP(tbMoveset!A37,tbMoveset!A2:I112,9,FALSE)="Fire",Backdoors!BB26,IF(VLOOKUP(tbMoveset!A37,tbMoveset!A2:I112,9,FALSE)="Water",Backdoors!BC26,IF(VLOOKUP(tbMoveset!A37,tbMoveset!A2:I112,9,FALSE)="Thunder",Backdoors!BD26,IF(VLOOKUP(tbMoveset!A37,tbMoveset!A2:I112,9,FALSE)="Ice",Backdoors!BE26,IF(VLOOKUP(tbMoveset!A37,tbMoveset!A2:I112,9,FALSE)="Dragon",Backdoors!BF26,Backdoors!BG26)))))/100,Backdoors!BG26/100),"")</f>
        <v>0</v>
      </c>
      <c r="FI37" s="49">
        <f>IFERROR(IF(VLOOKUP(A37,tbMoveset!A2:J112,10,FALSE)=TRUE,IF((Backdoors!AI12+IF(FG37&gt;=0.45,VLOOKUP(Calculator!E23,tbSkills!DH3:DI6,2,FALSE)+IF(AND(Calculator!B8=TRUE,Backdoors!BI26=TRUE),VLOOKUP(Calculator!E23,tbSkills!DH3:DJ6,3,FALSE),0),0))&gt;=0,1+(Backdoors!AL2*(IF((Backdoors!AI12+IF(FG37&gt;=0.45,VLOOKUP(Calculator!E23,tbSkills!DH3:DI6,2,FALSE)+IF(AND(Calculator!B8=TRUE,Backdoors!BI26=TRUE),VLOOKUP(Calculator!E23,tbSkills!DH3:DJ6,3,FALSE),0),0))&gt;=100,100,(Backdoors!AI12+IF(FG37&gt;=0.45,VLOOKUP(Calculator!E23,tbSkills!DH3:DI6,2,FALSE)+IF(AND(Calculator!B8=TRUE,Backdoors!BI26=TRUE),VLOOKUP(Calculator!E23,tbSkills!DH3:DJ6,3,FALSE),0),0)))/100)),(1-(0.25*((-Backdoors!AI12-IF(FG37&gt;=0.45,VLOOKUP(Calculator!E23,tbSkills!DH3:DI6,2,FALSE)+IF(AND(Calculator!B8=TRUE,Backdoors!BI26=TRUE),VLOOKUP(Calculator!E23,tbSkills!DH3:DJ6,3,FALSE),0),0))/100)))),1),"")</f>
        <v>1</v>
      </c>
      <c r="FJ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FG37)*FI37)*(VLOOKUP(A37,tbMoveset!A2:C112,3,FALSE)/100)*IF(VLOOKUP(A37,tbMoveset!A2:B112,2,FALSE)="Projectile",Backdoors!N10,Backdoors!N9),0),"")</f>
        <v/>
      </c>
      <c r="FK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FG37&gt;=0.45,VLOOKUP(Calculator!E23,tbSkills!DH3:DI6,2,FALSE)+IF(AND(Calculator!B8=TRUE,Backdoors!BI26=TRUE),VLOOKUP(Calculator!E23,tbSkills!DH3:DJ6,3,FALSE),0),0))&gt;=100,100,(Backdoors!AI12+IF(FG37&gt;=0.45,VLOOKUP(Calculator!E23,tbSkills!DH3:DI6,2,FALSE)+IF(AND(Calculator!B8=TRUE,Backdoors!BI26=TRUE),VLOOKUP(Calculator!E23,tbSkills!DH3:DJ6,3,FALSE),0),0)))/100)),1))*IF(VLOOKUP(A37,tbMoveset!A2:K112,11,FALSE)=TRUE,Backdoors!AC5,1))*FH37,0),"")</f>
        <v>0</v>
      </c>
      <c r="FL37" s="49">
        <f>VLOOKUP(A37,tbMoveset!A2:G112,7,FALSE)*IFERROR(IF(Backdoors!AI12&gt;=0,1+(IF(Calculator!E40&gt;0,VLOOKUP(Calculator!E40,tbSkills!AI3:AJ5,2,FALSE),Backdoors!AL4)*(IF((Backdoors!AI12+IF(FG37&gt;=0.45,VLOOKUP(Calculator!E23,tbSkills!DH3:DI6,2,FALSE)+IF(AND(Calculator!B8=TRUE,Backdoors!BI26=TRUE),VLOOKUP(Calculator!E23,tbSkills!DH3:DJ6,3,FALSE),0),0))&gt;=100,100,(Backdoors!AI12+IF(FG37&gt;=0.45,VLOOKUP(Calculator!E23,tbSkills!DH3:DI6,2,FALSE)+IF(AND(Calculator!B8=TRUE,Backdoors!BI26=TRUE),VLOOKUP(Calculator!E23,tbSkills!DH3:DJ6,3,FALSE),0),0)))/100)),1),1)</f>
        <v>0.5</v>
      </c>
      <c r="FM37" s="87">
        <f t="shared" si="16"/>
        <v>0</v>
      </c>
      <c r="FN37" s="86" t="str">
        <f>IFERROR(IF(VLOOKUP(A37,tbMoveset!A2:B112,2,FALSE)="Sever",Backdoors!AY27/100,IF(VLOOKUP(A37,tbMoveset!A2:B112,2,FALSE)="Blunt",Backdoors!AZ27/100,Backdoors!BA27/100)),"")</f>
        <v/>
      </c>
      <c r="FO37" s="49">
        <f>IFERROR(IF(VLOOKUP(tbMoveset!A37,tbMoveset!A2:H112,8,FALSE)="Other",IF(VLOOKUP(tbMoveset!A37,tbMoveset!A2:I112,9,FALSE)="Fire",Backdoors!BB27,IF(VLOOKUP(tbMoveset!A37,tbMoveset!A2:I112,9,FALSE)="Water",Backdoors!BC27,IF(VLOOKUP(tbMoveset!A37,tbMoveset!A2:I112,9,FALSE)="Thunder",Backdoors!BD27,IF(VLOOKUP(tbMoveset!A37,tbMoveset!A2:I112,9,FALSE)="Ice",Backdoors!BE27,IF(VLOOKUP(tbMoveset!A37,tbMoveset!A2:I112,9,FALSE)="Dragon",Backdoors!BF27,Backdoors!BG27)))))/100,Backdoors!BG27/100),"")</f>
        <v>0</v>
      </c>
      <c r="FP37" s="49">
        <f>IFERROR(IF(VLOOKUP(A37,tbMoveset!A2:J112,10,FALSE)=TRUE,IF((Backdoors!AI12+IF(FN37&gt;=0.45,VLOOKUP(Calculator!E23,tbSkills!DH3:DI6,2,FALSE)+IF(AND(Calculator!B8=TRUE,Backdoors!BI27=TRUE),VLOOKUP(Calculator!E23,tbSkills!DH3:DJ6,3,FALSE),0),0))&gt;=0,1+(Backdoors!AL2*(IF((Backdoors!AI12+IF(FN37&gt;=0.45,VLOOKUP(Calculator!E23,tbSkills!DH3:DI6,2,FALSE)+IF(AND(Calculator!B8=TRUE,Backdoors!BI27=TRUE),VLOOKUP(Calculator!E23,tbSkills!DH3:DJ6,3,FALSE),0),0))&gt;=100,100,(Backdoors!AI12+IF(FN37&gt;=0.45,VLOOKUP(Calculator!E23,tbSkills!DH3:DI6,2,FALSE)+IF(AND(Calculator!B8=TRUE,Backdoors!BI27=TRUE),VLOOKUP(Calculator!E23,tbSkills!DH3:DJ6,3,FALSE),0),0)))/100)),(1-(0.25*((-Backdoors!AI12-IF(FN37&gt;=0.45,VLOOKUP(Calculator!E23,tbSkills!DH3:DI6,2,FALSE)+IF(AND(Calculator!B8=TRUE,Backdoors!BI27=TRUE),VLOOKUP(Calculator!E23,tbSkills!DH3:DJ6,3,FALSE),0),0))/100)))),1),"")</f>
        <v>1</v>
      </c>
      <c r="FQ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FN37)*FP37)*(VLOOKUP(A37,tbMoveset!A2:C112,3,FALSE)/100)*IF(VLOOKUP(A37,tbMoveset!A2:B112,2,FALSE)="Projectile",Backdoors!N10,Backdoors!N9),0),"")</f>
        <v/>
      </c>
      <c r="FR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FN37&gt;=0.45,VLOOKUP(Calculator!E23,tbSkills!DH3:DI6,2,FALSE)+IF(AND(Calculator!B8=TRUE,Backdoors!BI27=TRUE),VLOOKUP(Calculator!E23,tbSkills!DH3:DJ6,3,FALSE),0),0))&gt;=100,100,(Backdoors!AI12+IF(FN37&gt;=0.45,VLOOKUP(Calculator!E23,tbSkills!DH3:DI6,2,FALSE)+IF(AND(Calculator!B8=TRUE,Backdoors!BI27=TRUE),VLOOKUP(Calculator!E23,tbSkills!DH3:DJ6,3,FALSE),0),0)))/100)),1))*IF(VLOOKUP(A37,tbMoveset!A2:K112,11,FALSE)=TRUE,Backdoors!AC5,1))*FO37,0),"")</f>
        <v>0</v>
      </c>
      <c r="FS37" s="49">
        <f>VLOOKUP(A37,tbMoveset!A2:G112,7,FALSE)*IFERROR(IF(Backdoors!AI12&gt;=0,1+(IF(Calculator!E40&gt;0,VLOOKUP(Calculator!E40,tbSkills!AI3:AJ5,2,FALSE),Backdoors!AL4)*(IF((Backdoors!AI12+IF(FN37&gt;=0.45,VLOOKUP(Calculator!E23,tbSkills!DH3:DI6,2,FALSE)+IF(AND(Calculator!B8=TRUE,Backdoors!BI27=TRUE),VLOOKUP(Calculator!E23,tbSkills!DH3:DJ6,3,FALSE),0),0))&gt;=100,100,(Backdoors!AI12+IF(FN37&gt;=0.45,VLOOKUP(Calculator!E23,tbSkills!DH3:DI6,2,FALSE)+IF(AND(Calculator!B8=TRUE,Backdoors!BI27=TRUE),VLOOKUP(Calculator!E23,tbSkills!DH3:DJ6,3,FALSE),0),0)))/100)),1),1)</f>
        <v>0.5</v>
      </c>
      <c r="FT37" s="87">
        <f t="shared" si="17"/>
        <v>0</v>
      </c>
      <c r="FU37" s="86" t="str">
        <f>IFERROR(IF(VLOOKUP(A37,tbMoveset!A2:B112,2,FALSE)="Sever",Backdoors!AY28/100,IF(VLOOKUP(A37,tbMoveset!A2:B112,2,FALSE)="Blunt",Backdoors!AZ28/100,Backdoors!BA28/100)),"")</f>
        <v/>
      </c>
      <c r="FV37" s="49">
        <f>IFERROR(IF(VLOOKUP(tbMoveset!A37,tbMoveset!A2:H112,8,FALSE)="Other",IF(VLOOKUP(tbMoveset!A37,tbMoveset!A2:I112,9,FALSE)="Fire",Backdoors!BB28,IF(VLOOKUP(tbMoveset!A37,tbMoveset!A2:I112,9,FALSE)="Water",Backdoors!BC28,IF(VLOOKUP(tbMoveset!A37,tbMoveset!A2:I112,9,FALSE)="Thunder",Backdoors!BD28,IF(VLOOKUP(tbMoveset!A37,tbMoveset!A2:I112,9,FALSE)="Ice",Backdoors!BE28,IF(VLOOKUP(tbMoveset!A37,tbMoveset!A2:I112,9,FALSE)="Dragon",Backdoors!BF28,Backdoors!BG28)))))/100,Backdoors!BG28/100),"")</f>
        <v>0</v>
      </c>
      <c r="FW37" s="49">
        <f>IFERROR(IF(VLOOKUP(A37,tbMoveset!A2:J112,10,FALSE)=TRUE,IF((Backdoors!AI12+IF(FU37&gt;=0.45,VLOOKUP(Calculator!E23,tbSkills!DH3:DI6,2,FALSE)+IF(AND(Calculator!B8=TRUE,Backdoors!BI28=TRUE),VLOOKUP(Calculator!E23,tbSkills!DH3:DJ6,3,FALSE),0),0))&gt;=0,1+(Backdoors!AL2*(IF((Backdoors!AI12+IF(FU37&gt;=0.45,VLOOKUP(Calculator!E23,tbSkills!DH3:DI6,2,FALSE)+IF(AND(Calculator!B8=TRUE,Backdoors!BI28=TRUE),VLOOKUP(Calculator!E23,tbSkills!DH3:DJ6,3,FALSE),0),0))&gt;=100,100,(Backdoors!AI12+IF(FU37&gt;=0.45,VLOOKUP(Calculator!E23,tbSkills!DH3:DI6,2,FALSE)+IF(AND(Calculator!B8=TRUE,Backdoors!BI28=TRUE),VLOOKUP(Calculator!E23,tbSkills!DH3:DJ6,3,FALSE),0),0)))/100)),(1-(0.25*((-Backdoors!AI12-IF(FU37&gt;=0.45,VLOOKUP(Calculator!E23,tbSkills!DH3:DI6,2,FALSE)+IF(AND(Calculator!B8=TRUE,Backdoors!BI28=TRUE),VLOOKUP(Calculator!E23,tbSkills!DH3:DJ6,3,FALSE),0),0))/100)))),1),"")</f>
        <v>1</v>
      </c>
      <c r="FX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FU37)*FW37)*(VLOOKUP(A37,tbMoveset!A2:C112,3,FALSE)/100)*IF(VLOOKUP(A37,tbMoveset!A2:B112,2,FALSE)="Projectile",Backdoors!N10,Backdoors!N9),0),"")</f>
        <v/>
      </c>
      <c r="FY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FU37&gt;=0.45,VLOOKUP(Calculator!E23,tbSkills!DH3:DI6,2,FALSE)+IF(AND(Calculator!B8=TRUE,Backdoors!BI28=TRUE),VLOOKUP(Calculator!E23,tbSkills!DH3:DJ6,3,FALSE),0),0))&gt;=100,100,(Backdoors!AI12+IF(FU37&gt;=0.45,VLOOKUP(Calculator!E23,tbSkills!DH3:DI6,2,FALSE)+IF(AND(Calculator!B8=TRUE,Backdoors!BI28=TRUE),VLOOKUP(Calculator!E23,tbSkills!DH3:DJ6,3,FALSE),0),0)))/100)),1))*IF(VLOOKUP(A37,tbMoveset!A2:K112,11,FALSE)=TRUE,Backdoors!AC5,1))*FV37,0),"")</f>
        <v>0</v>
      </c>
      <c r="FZ37" s="49">
        <f>VLOOKUP(A37,tbMoveset!A2:G112,7,FALSE)*IFERROR(IF(Backdoors!AI12&gt;=0,1+(IF(Calculator!E40&gt;0,VLOOKUP(Calculator!E40,tbSkills!AI3:AJ5,2,FALSE),Backdoors!AL4)*(IF((Backdoors!AI12+IF(FU37&gt;=0.45,VLOOKUP(Calculator!E23,tbSkills!DH3:DI6,2,FALSE)+IF(AND(Calculator!B8=TRUE,Backdoors!BI28=TRUE),VLOOKUP(Calculator!E23,tbSkills!DH3:DJ6,3,FALSE),0),0))&gt;=100,100,(Backdoors!AI12+IF(FU37&gt;=0.45,VLOOKUP(Calculator!E23,tbSkills!DH3:DI6,2,FALSE)+IF(AND(Calculator!B8=TRUE,Backdoors!BI28=TRUE),VLOOKUP(Calculator!E23,tbSkills!DH3:DJ6,3,FALSE),0),0)))/100)),1),1)</f>
        <v>0.5</v>
      </c>
      <c r="GA37" s="87">
        <f t="shared" si="18"/>
        <v>0</v>
      </c>
      <c r="GB37" s="86" t="str">
        <f>IFERROR(IF(VLOOKUP(A37,tbMoveset!A2:B112,2,FALSE)="Sever",Backdoors!AY29/100,IF(VLOOKUP(A37,tbMoveset!A2:B112,2,FALSE)="Blunt",Backdoors!AZ29/100,Backdoors!BA29/100)),"")</f>
        <v/>
      </c>
      <c r="GC37" s="49">
        <f>IFERROR(IF(VLOOKUP(tbMoveset!A37,tbMoveset!A2:H112,8,FALSE)="Other",IF(VLOOKUP(tbMoveset!A37,tbMoveset!A2:I112,9,FALSE)="Fire",Backdoors!BB29,IF(VLOOKUP(tbMoveset!A37,tbMoveset!A2:I112,9,FALSE)="Water",Backdoors!BC29,IF(VLOOKUP(tbMoveset!A37,tbMoveset!A2:I112,9,FALSE)="Thunder",Backdoors!BD29,IF(VLOOKUP(tbMoveset!A37,tbMoveset!A2:I112,9,FALSE)="Ice",Backdoors!BE29,IF(VLOOKUP(tbMoveset!A37,tbMoveset!A2:I112,9,FALSE)="Dragon",Backdoors!BF29,Backdoors!BG29)))))/100,Backdoors!BG29/100),"")</f>
        <v>0</v>
      </c>
      <c r="GD37" s="49">
        <f>IFERROR(IF(VLOOKUP(A37,tbMoveset!A2:J112,10,FALSE)=TRUE,IF((Backdoors!AI12+IF(GB37&gt;=0.45,VLOOKUP(Calculator!E23,tbSkills!DH3:DI6,2,FALSE)+IF(AND(Calculator!B8=TRUE,Backdoors!BI29=TRUE),VLOOKUP(Calculator!E23,tbSkills!DH3:DJ6,3,FALSE),0),0))&gt;=0,1+(Backdoors!AL2*(IF((Backdoors!AI12+IF(GB37&gt;=0.45,VLOOKUP(Calculator!E23,tbSkills!DH3:DI6,2,FALSE)+IF(AND(Calculator!B8=TRUE,Backdoors!BI29=TRUE),VLOOKUP(Calculator!E23,tbSkills!DH3:DJ6,3,FALSE),0),0))&gt;=100,100,(Backdoors!AI12+IF(GB37&gt;=0.45,VLOOKUP(Calculator!E23,tbSkills!DH3:DI6,2,FALSE)+IF(AND(Calculator!B8=TRUE,Backdoors!BI29=TRUE),VLOOKUP(Calculator!E23,tbSkills!DH3:DJ6,3,FALSE),0),0)))/100)),(1-(0.25*((-Backdoors!AI12-IF(GB37&gt;=0.45,VLOOKUP(Calculator!E23,tbSkills!DH3:DI6,2,FALSE)+IF(AND(Calculator!B8=TRUE,Backdoors!BI29=TRUE),VLOOKUP(Calculator!E23,tbSkills!DH3:DJ6,3,FALSE),0),0))/100)))),1),"")</f>
        <v>1</v>
      </c>
      <c r="GE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B37)*GD37)*(VLOOKUP(A37,tbMoveset!A2:C112,3,FALSE)/100)*IF(VLOOKUP(A37,tbMoveset!A2:B112,2,FALSE)="Projectile",Backdoors!N10,Backdoors!N9),0),"")</f>
        <v/>
      </c>
      <c r="GF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B37&gt;=0.45,VLOOKUP(Calculator!E23,tbSkills!DH3:DI6,2,FALSE)+IF(AND(Calculator!B8=TRUE,Backdoors!BI29=TRUE),VLOOKUP(Calculator!E23,tbSkills!DH3:DJ6,3,FALSE),0),0))&gt;=100,100,(Backdoors!AI12+IF(GB37&gt;=0.45,VLOOKUP(Calculator!E23,tbSkills!DH3:DI6,2,FALSE)+IF(AND(Calculator!B8=TRUE,Backdoors!BI29=TRUE),VLOOKUP(Calculator!E23,tbSkills!DH3:DJ6,3,FALSE),0),0)))/100)),1))*IF(VLOOKUP(A37,tbMoveset!A2:K112,11,FALSE)=TRUE,Backdoors!AC5,1))*GC37,0),"")</f>
        <v>0</v>
      </c>
      <c r="GG37" s="49">
        <f>VLOOKUP(A37,tbMoveset!A2:G112,7,FALSE)*IFERROR(IF(Backdoors!AI12&gt;=0,1+(IF(Calculator!E40&gt;0,VLOOKUP(Calculator!E40,tbSkills!AI3:AJ5,2,FALSE),Backdoors!AL4)*(IF((Backdoors!AI12+IF(GB37&gt;=0.45,VLOOKUP(Calculator!E23,tbSkills!DH3:DI6,2,FALSE)+IF(AND(Calculator!B8=TRUE,Backdoors!BI29=TRUE),VLOOKUP(Calculator!E23,tbSkills!DH3:DJ6,3,FALSE),0),0))&gt;=100,100,(Backdoors!AI12+IF(GB37&gt;=0.45,VLOOKUP(Calculator!E23,tbSkills!DH3:DI6,2,FALSE)+IF(AND(Calculator!B8=TRUE,Backdoors!BI29=TRUE),VLOOKUP(Calculator!E23,tbSkills!DH3:DJ6,3,FALSE),0),0)))/100)),1),1)</f>
        <v>0.5</v>
      </c>
      <c r="GH37" s="87">
        <f t="shared" si="19"/>
        <v>0</v>
      </c>
      <c r="GI37" s="86" t="str">
        <f>IFERROR(IF(VLOOKUP(A37,tbMoveset!A2:B112,2,FALSE)="Sever",Backdoors!AY30/100,IF(VLOOKUP(A37,tbMoveset!A2:B112,2,FALSE)="Blunt",Backdoors!AZ30/100,Backdoors!BA30/100)),"")</f>
        <v/>
      </c>
      <c r="GJ37" s="49">
        <f>IFERROR(IF(VLOOKUP(tbMoveset!A37,tbMoveset!A2:H112,8,FALSE)="Other",IF(VLOOKUP(tbMoveset!A37,tbMoveset!A2:I112,9,FALSE)="Fire",Backdoors!BB30,IF(VLOOKUP(tbMoveset!A37,tbMoveset!A2:I112,9,FALSE)="Water",Backdoors!BC30,IF(VLOOKUP(tbMoveset!A37,tbMoveset!A2:I112,9,FALSE)="Thunder",Backdoors!BD30,IF(VLOOKUP(tbMoveset!A37,tbMoveset!A2:I112,9,FALSE)="Ice",Backdoors!BE30,IF(VLOOKUP(tbMoveset!A37,tbMoveset!A2:I112,9,FALSE)="Dragon",Backdoors!BF30,Backdoors!BG30)))))/100,Backdoors!BG30/100),"")</f>
        <v>0</v>
      </c>
      <c r="GK37" s="49">
        <f>IFERROR(IF(VLOOKUP(A37,tbMoveset!A2:J112,10,FALSE)=TRUE,IF((Backdoors!AI12+IF(GI37&gt;=0.45,VLOOKUP(Calculator!E23,tbSkills!DH3:DI6,2,FALSE)+IF(AND(Calculator!B8=TRUE,Backdoors!BI30=TRUE),VLOOKUP(Calculator!E23,tbSkills!DH3:DJ6,3,FALSE),0),0))&gt;=0,1+(Backdoors!AL2*(IF((Backdoors!AI12+IF(GI37&gt;=0.45,VLOOKUP(Calculator!E23,tbSkills!DH3:DI6,2,FALSE)+IF(AND(Calculator!B8=TRUE,Backdoors!BI30=TRUE),VLOOKUP(Calculator!E23,tbSkills!DH3:DJ6,3,FALSE),0),0))&gt;=100,100,(Backdoors!AI12+IF(GI37&gt;=0.45,VLOOKUP(Calculator!E23,tbSkills!DH3:DI6,2,FALSE)+IF(AND(Calculator!B8=TRUE,Backdoors!BI30=TRUE),VLOOKUP(Calculator!E23,tbSkills!DH3:DJ6,3,FALSE),0),0)))/100)),(1-(0.25*((-Backdoors!AI12-IF(GI37&gt;=0.45,VLOOKUP(Calculator!E23,tbSkills!DH3:DI6,2,FALSE)+IF(AND(Calculator!B8=TRUE,Backdoors!BI30=TRUE),VLOOKUP(Calculator!E23,tbSkills!DH3:DJ6,3,FALSE),0),0))/100)))),1),"")</f>
        <v>1</v>
      </c>
      <c r="GL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I37)*GK37)*(VLOOKUP(A37,tbMoveset!A2:C112,3,FALSE)/100)*IF(VLOOKUP(A37,tbMoveset!A2:B112,2,FALSE)="Projectile",Backdoors!N10,Backdoors!N9),0),"")</f>
        <v/>
      </c>
      <c r="GM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I37&gt;=0.45,VLOOKUP(Calculator!E23,tbSkills!DH3:DI6,2,FALSE)+IF(AND(Calculator!B8=TRUE,Backdoors!BI30=TRUE),VLOOKUP(Calculator!E23,tbSkills!DH3:DJ6,3,FALSE),0),0))&gt;=100,100,(Backdoors!AI12+IF(GI37&gt;=0.45,VLOOKUP(Calculator!E23,tbSkills!DH3:DI6,2,FALSE)+IF(AND(Calculator!B8=TRUE,Backdoors!BI30=TRUE),VLOOKUP(Calculator!E23,tbSkills!DH3:DJ6,3,FALSE),0),0)))/100)),1))*IF(VLOOKUP(A37,tbMoveset!A2:K112,11,FALSE)=TRUE,Backdoors!AC5,1))*GJ37,0),"")</f>
        <v>0</v>
      </c>
      <c r="GN37" s="49">
        <f>VLOOKUP(A37,tbMoveset!A2:G112,7,FALSE)*IFERROR(IF(Backdoors!AI12&gt;=0,1+(IF(Calculator!E40&gt;0,VLOOKUP(Calculator!E40,tbSkills!AI3:AJ5,2,FALSE),Backdoors!AL4)*(IF((Backdoors!AI12+IF(GI37&gt;=0.45,VLOOKUP(Calculator!E23,tbSkills!DH3:DI6,2,FALSE)+IF(AND(Calculator!B8=TRUE,Backdoors!BI30=TRUE),VLOOKUP(Calculator!E23,tbSkills!DH3:DJ6,3,FALSE),0),0))&gt;=100,100,(Backdoors!AI12+IF(GI37&gt;=0.45,VLOOKUP(Calculator!E23,tbSkills!DH3:DI6,2,FALSE)+IF(AND(Calculator!B8=TRUE,Backdoors!BI30=TRUE),VLOOKUP(Calculator!E23,tbSkills!DH3:DJ6,3,FALSE),0),0)))/100)),1),1)</f>
        <v>0.5</v>
      </c>
      <c r="GO37" s="87">
        <f t="shared" si="20"/>
        <v>0</v>
      </c>
      <c r="GP37" s="86" t="str">
        <f>IFERROR(IF(VLOOKUP(A37,tbMoveset!A2:B112,2,FALSE)="Sever",Backdoors!AY31/100,IF(VLOOKUP(A37,tbMoveset!A2:B112,2,FALSE)="Blunt",Backdoors!AZ31/100,Backdoors!BA31/100)),"")</f>
        <v/>
      </c>
      <c r="GQ37" s="49">
        <f>IFERROR(IF(VLOOKUP(tbMoveset!A37,tbMoveset!A2:H112,8,FALSE)="Other",IF(VLOOKUP(tbMoveset!A37,tbMoveset!A2:I112,9,FALSE)="Fire",Backdoors!BB31,IF(VLOOKUP(tbMoveset!A37,tbMoveset!A2:I112,9,FALSE)="Water",Backdoors!BC31,IF(VLOOKUP(tbMoveset!A37,tbMoveset!A2:I112,9,FALSE)="Thunder",Backdoors!BD31,IF(VLOOKUP(tbMoveset!A37,tbMoveset!A2:I112,9,FALSE)="Ice",Backdoors!BE31,IF(VLOOKUP(tbMoveset!A37,tbMoveset!A2:I112,9,FALSE)="Dragon",Backdoors!BF31,Backdoors!BG31)))))/100,Backdoors!BG31/100),"")</f>
        <v>0</v>
      </c>
      <c r="GR37" s="49">
        <f>IFERROR(IF(VLOOKUP(A37,tbMoveset!A2:J112,10,FALSE)=TRUE,IF((Backdoors!AI12+IF(GP37&gt;=0.45,VLOOKUP(Calculator!E23,tbSkills!DH3:DI6,2,FALSE)+IF(AND(Calculator!B8=TRUE,Backdoors!BI31=TRUE),VLOOKUP(Calculator!E23,tbSkills!DH3:DJ6,3,FALSE),0),0))&gt;=0,1+(Backdoors!AL2*(IF((Backdoors!AI12+IF(GP37&gt;=0.45,VLOOKUP(Calculator!E23,tbSkills!DH3:DI6,2,FALSE)+IF(AND(Calculator!B8=TRUE,Backdoors!BI31=TRUE),VLOOKUP(Calculator!E23,tbSkills!DH3:DJ6,3,FALSE),0),0))&gt;=100,100,(Backdoors!AI12+IF(GP37&gt;=0.45,VLOOKUP(Calculator!E23,tbSkills!DH3:DI6,2,FALSE)+IF(AND(Calculator!B8=TRUE,Backdoors!BI31=TRUE),VLOOKUP(Calculator!E23,tbSkills!DH3:DJ6,3,FALSE),0),0)))/100)),(1-(0.25*((-Backdoors!AI12-IF(GP37&gt;=0.45,VLOOKUP(Calculator!E23,tbSkills!DH3:DI6,2,FALSE)+IF(AND(Calculator!B8=TRUE,Backdoors!BI31=TRUE),VLOOKUP(Calculator!E23,tbSkills!DH3:DJ6,3,FALSE),0),0))/100)))),1),"")</f>
        <v>1</v>
      </c>
      <c r="GS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P37)*GR37)*(VLOOKUP(A37,tbMoveset!A2:C112,3,FALSE)/100)*IF(VLOOKUP(A37,tbMoveset!A2:B112,2,FALSE)="Projectile",Backdoors!N10,Backdoors!N9),0),"")</f>
        <v/>
      </c>
      <c r="GT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P37&gt;=0.45,VLOOKUP(Calculator!E23,tbSkills!DH3:DI6,2,FALSE)+IF(AND(Calculator!B8=TRUE,Backdoors!BI31=TRUE),VLOOKUP(Calculator!E23,tbSkills!DH3:DJ6,3,FALSE),0),0))&gt;=100,100,(Backdoors!AI12+IF(GP37&gt;=0.45,VLOOKUP(Calculator!E23,tbSkills!DH3:DI6,2,FALSE)+IF(AND(Calculator!B8=TRUE,Backdoors!BI31=TRUE),VLOOKUP(Calculator!E23,tbSkills!DH3:DJ6,3,FALSE),0),0)))/100)),1))*IF(VLOOKUP(A37,tbMoveset!A2:K112,11,FALSE)=TRUE,Backdoors!AC5,1))*GQ37,0),"")</f>
        <v>0</v>
      </c>
      <c r="GU37" s="49">
        <f>VLOOKUP(A37,tbMoveset!A2:G112,7,FALSE)*IFERROR(IF(Backdoors!AI12&gt;=0,1+(IF(Calculator!E40&gt;0,VLOOKUP(Calculator!E40,tbSkills!AI3:AJ5,2,FALSE),Backdoors!AL4)*(IF((Backdoors!AI12+IF(GP37&gt;=0.45,VLOOKUP(Calculator!E23,tbSkills!DH3:DI6,2,FALSE)+IF(AND(Calculator!B8=TRUE,Backdoors!BI31=TRUE),VLOOKUP(Calculator!E23,tbSkills!DH3:DJ6,3,FALSE),0),0))&gt;=100,100,(Backdoors!AI12+IF(GP37&gt;=0.45,VLOOKUP(Calculator!E23,tbSkills!DH3:DI6,2,FALSE)+IF(AND(Calculator!B8=TRUE,Backdoors!BI31=TRUE),VLOOKUP(Calculator!E23,tbSkills!DH3:DJ6,3,FALSE),0),0)))/100)),1),1)</f>
        <v>0.5</v>
      </c>
      <c r="GV37" s="87">
        <f t="shared" si="21"/>
        <v>0</v>
      </c>
      <c r="GW37" s="86" t="str">
        <f>IFERROR(IF(VLOOKUP(A37,tbMoveset!A2:B112,2,FALSE)="Sever",Backdoors!AY32/100,IF(VLOOKUP(A37,tbMoveset!A2:B112,2,FALSE)="Blunt",Backdoors!AZ32/100,Backdoors!BA32/100)),"")</f>
        <v/>
      </c>
      <c r="GX37" s="49">
        <f>IFERROR(IF(VLOOKUP(tbMoveset!A37,tbMoveset!A2:H112,8,FALSE)="Other",IF(VLOOKUP(tbMoveset!A37,tbMoveset!A2:I112,9,FALSE)="Fire",Backdoors!BB32,IF(VLOOKUP(tbMoveset!A37,tbMoveset!A2:I112,9,FALSE)="Water",Backdoors!BC32,IF(VLOOKUP(tbMoveset!A37,tbMoveset!A2:I112,9,FALSE)="Thunder",Backdoors!BD32,IF(VLOOKUP(tbMoveset!A37,tbMoveset!A2:I112,9,FALSE)="Ice",Backdoors!BE32,IF(VLOOKUP(tbMoveset!A37,tbMoveset!A2:I112,9,FALSE)="Dragon",Backdoors!BF32,Backdoors!BG32)))))/100,Backdoors!BG32/100),"")</f>
        <v>0</v>
      </c>
      <c r="GY37" s="49">
        <f>IFERROR(IF(VLOOKUP(A37,tbMoveset!A2:J112,10,FALSE)=TRUE,IF((Backdoors!AI12+IF(GW37&gt;=0.45,VLOOKUP(Calculator!E23,tbSkills!DH3:DI6,2,FALSE)+IF(AND(Calculator!B8=TRUE,Backdoors!BI32=TRUE),VLOOKUP(Calculator!E23,tbSkills!DH3:DJ6,3,FALSE),0),0))&gt;=0,1+(Backdoors!AL2*(IF((Backdoors!AI12+IF(GW37&gt;=0.45,VLOOKUP(Calculator!E23,tbSkills!DH3:DI6,2,FALSE)+IF(AND(Calculator!B8=TRUE,Backdoors!BI32=TRUE),VLOOKUP(Calculator!E23,tbSkills!DH3:DJ6,3,FALSE),0),0))&gt;=100,100,(Backdoors!AI12+IF(GW37&gt;=0.45,VLOOKUP(Calculator!E23,tbSkills!DH3:DI6,2,FALSE)+IF(AND(Calculator!B8=TRUE,Backdoors!BI32=TRUE),VLOOKUP(Calculator!E23,tbSkills!DH3:DJ6,3,FALSE),0),0)))/100)),(1-(0.25*((-Backdoors!AI12-IF(GW37&gt;=0.45,VLOOKUP(Calculator!E23,tbSkills!DH3:DI6,2,FALSE)+IF(AND(Calculator!B8=TRUE,Backdoors!BI32=TRUE),VLOOKUP(Calculator!E23,tbSkills!DH3:DJ6,3,FALSE),0),0))/100)))),1),"")</f>
        <v>1</v>
      </c>
      <c r="GZ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W37)*GY37)*(VLOOKUP(A37,tbMoveset!A2:C112,3,FALSE)/100)*IF(VLOOKUP(A37,tbMoveset!A2:B112,2,FALSE)="Projectile",Backdoors!N10,Backdoors!N9),0),"")</f>
        <v/>
      </c>
      <c r="HA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W37&gt;=0.45,VLOOKUP(Calculator!E23,tbSkills!DH3:DI6,2,FALSE)+IF(AND(Calculator!B8=TRUE,Backdoors!BI32=TRUE),VLOOKUP(Calculator!E23,tbSkills!DH3:DJ6,3,FALSE),0),0))&gt;=100,100,(Backdoors!AI12+IF(GW37&gt;=0.45,VLOOKUP(Calculator!E23,tbSkills!DH3:DI6,2,FALSE)+IF(AND(Calculator!B8=TRUE,Backdoors!BI32=TRUE),VLOOKUP(Calculator!E23,tbSkills!DH3:DJ6,3,FALSE),0),0)))/100)),1))*IF(VLOOKUP(A37,tbMoveset!A2:K112,11,FALSE)=TRUE,Backdoors!AC5,1))*GX37,0),"")</f>
        <v>0</v>
      </c>
      <c r="HB37" s="49">
        <f>VLOOKUP(A37,tbMoveset!A2:G112,7,FALSE)*IFERROR(IF(Backdoors!AI12&gt;=0,1+(IF(Calculator!E40&gt;0,VLOOKUP(Calculator!E40,tbSkills!AI3:AJ5,2,FALSE),Backdoors!AL4)*(IF((Backdoors!AI12+IF(GW37&gt;=0.45,VLOOKUP(Calculator!E23,tbSkills!DH3:DI6,2,FALSE)+IF(AND(Calculator!B8=TRUE,Backdoors!BI32=TRUE),VLOOKUP(Calculator!E23,tbSkills!DH3:DJ6,3,FALSE),0),0))&gt;=100,100,(Backdoors!AI12+IF(GW37&gt;=0.45,VLOOKUP(Calculator!E23,tbSkills!DH3:DI6,2,FALSE)+IF(AND(Calculator!B8=TRUE,Backdoors!BI32=TRUE),VLOOKUP(Calculator!E23,tbSkills!DH3:DJ6,3,FALSE),0),0)))/100)),1),1)</f>
        <v>0.5</v>
      </c>
      <c r="HC37" s="87">
        <f t="shared" si="22"/>
        <v>0</v>
      </c>
      <c r="HD37" s="86" t="str">
        <f>IFERROR(IF(VLOOKUP(A37,tbMoveset!A2:B112,2,FALSE)="Sever",Backdoors!AY33/100,IF(VLOOKUP(A37,tbMoveset!A2:B112,2,FALSE)="Blunt",Backdoors!AZ33/100,Backdoors!BA33/100)),"")</f>
        <v/>
      </c>
      <c r="HE37" s="49">
        <f>IFERROR(IF(VLOOKUP(tbMoveset!A37,tbMoveset!A2:H112,8,FALSE)="Other",IF(VLOOKUP(tbMoveset!A37,tbMoveset!A2:I112,9,FALSE)="Fire",Backdoors!BB33,IF(VLOOKUP(tbMoveset!A37,tbMoveset!A2:I112,9,FALSE)="Water",Backdoors!BC33,IF(VLOOKUP(tbMoveset!A37,tbMoveset!A2:I112,9,FALSE)="Thunder",Backdoors!BD33,IF(VLOOKUP(tbMoveset!A37,tbMoveset!A2:I112,9,FALSE)="Ice",Backdoors!BE33,IF(VLOOKUP(tbMoveset!A37,tbMoveset!A2:I112,9,FALSE)="Dragon",Backdoors!BF33,Backdoors!BG33)))))/100,Backdoors!BG33/100),"")</f>
        <v>0</v>
      </c>
      <c r="HF37" s="49">
        <f>IFERROR(IF(VLOOKUP(A37,tbMoveset!A2:J112,10,FALSE)=TRUE,IF((Backdoors!AI12+IF(HD37&gt;=0.45,VLOOKUP(Calculator!E23,tbSkills!DH3:DI6,2,FALSE)+IF(AND(Calculator!B8=TRUE,Backdoors!BI33=TRUE),VLOOKUP(Calculator!E23,tbSkills!DH3:DJ6,3,FALSE),0),0))&gt;=0,1+(Backdoors!AL2*(IF((Backdoors!AI12+IF(HD37&gt;=0.45,VLOOKUP(Calculator!E23,tbSkills!DH3:DI6,2,FALSE)+IF(AND(Calculator!B8=TRUE,Backdoors!BI33=TRUE),VLOOKUP(Calculator!E23,tbSkills!DH3:DJ6,3,FALSE),0),0))&gt;=100,100,(Backdoors!AI12+IF(HD37&gt;=0.45,VLOOKUP(Calculator!E23,tbSkills!DH3:DI6,2,FALSE)+IF(AND(Calculator!B8=TRUE,Backdoors!BI33=TRUE),VLOOKUP(Calculator!E23,tbSkills!DH3:DJ6,3,FALSE),0),0)))/100)),(1-(0.25*((-Backdoors!AI12-IF(HD37&gt;=0.45,VLOOKUP(Calculator!E23,tbSkills!DH3:DI6,2,FALSE)+IF(AND(Calculator!B8=TRUE,Backdoors!BI33=TRUE),VLOOKUP(Calculator!E23,tbSkills!DH3:DJ6,3,FALSE),0),0))/100)))),1),"")</f>
        <v>1</v>
      </c>
      <c r="HG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D37)*HF37)*(VLOOKUP(A37,tbMoveset!A2:C112,3,FALSE)/100)*IF(VLOOKUP(A37,tbMoveset!A2:B112,2,FALSE)="Projectile",Backdoors!N10,Backdoors!N9),0),"")</f>
        <v/>
      </c>
      <c r="HH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D37&gt;=0.45,VLOOKUP(Calculator!E23,tbSkills!DH3:DI6,2,FALSE)+IF(AND(Calculator!B8=TRUE,Backdoors!BI33=TRUE),VLOOKUP(Calculator!E23,tbSkills!DH3:DJ6,3,FALSE),0),0))&gt;=100,100,(Backdoors!AI12+IF(HD37&gt;=0.45,VLOOKUP(Calculator!E23,tbSkills!DH3:DI6,2,FALSE)+IF(AND(Calculator!B8=TRUE,Backdoors!BI33=TRUE),VLOOKUP(Calculator!E23,tbSkills!DH3:DJ6,3,FALSE),0),0)))/100)),1))*IF(VLOOKUP(A37,tbMoveset!A2:K112,11,FALSE)=TRUE,Backdoors!AC5,1))*HE37,0),"")</f>
        <v>0</v>
      </c>
      <c r="HI37" s="49">
        <f>VLOOKUP(A37,tbMoveset!A2:G112,7,FALSE)*IFERROR(IF(Backdoors!AI12&gt;=0,1+(IF(Calculator!E40&gt;0,VLOOKUP(Calculator!E40,tbSkills!AI3:AJ5,2,FALSE),Backdoors!AL4)*(IF((Backdoors!AI12+IF(HD37&gt;=0.45,VLOOKUP(Calculator!E23,tbSkills!DH3:DI6,2,FALSE)+IF(AND(Calculator!B8=TRUE,Backdoors!BI33=TRUE),VLOOKUP(Calculator!E23,tbSkills!DH3:DJ6,3,FALSE),0),0))&gt;=100,100,(Backdoors!AI12+IF(HD37&gt;=0.45,VLOOKUP(Calculator!E23,tbSkills!DH3:DI6,2,FALSE)+IF(AND(Calculator!B8=TRUE,Backdoors!BI33=TRUE),VLOOKUP(Calculator!E23,tbSkills!DH3:DJ6,3,FALSE),0),0)))/100)),1),1)</f>
        <v>0.5</v>
      </c>
      <c r="HJ37" s="87">
        <f t="shared" si="23"/>
        <v>0</v>
      </c>
      <c r="HK37" s="86" t="str">
        <f>IFERROR(IF(VLOOKUP(A37,tbMoveset!A2:B112,2,FALSE)="Sever",Backdoors!AY34/100,IF(VLOOKUP(A37,tbMoveset!A2:B112,2,FALSE)="Blunt",Backdoors!AZ34/100,Backdoors!BA34/100)),"")</f>
        <v/>
      </c>
      <c r="HL37" s="49">
        <f>IFERROR(IF(VLOOKUP(tbMoveset!A37,tbMoveset!A2:H112,8,FALSE)="Other",IF(VLOOKUP(tbMoveset!A37,tbMoveset!A2:I112,9,FALSE)="Fire",Backdoors!BB34,IF(VLOOKUP(tbMoveset!A37,tbMoveset!A2:I112,9,FALSE)="Water",Backdoors!BC34,IF(VLOOKUP(tbMoveset!A37,tbMoveset!A2:I112,9,FALSE)="Thunder",Backdoors!BD34,IF(VLOOKUP(tbMoveset!A37,tbMoveset!A2:I112,9,FALSE)="Ice",Backdoors!BE34,IF(VLOOKUP(tbMoveset!A37,tbMoveset!A2:I112,9,FALSE)="Dragon",Backdoors!BF34,Backdoors!BG34)))))/100,Backdoors!BG34/100),"")</f>
        <v>0</v>
      </c>
      <c r="HM37" s="49">
        <f>IFERROR(IF(VLOOKUP(A37,tbMoveset!A2:J112,10,FALSE)=TRUE,IF((Backdoors!AI12+IF(HK37&gt;=0.45,VLOOKUP(Calculator!E23,tbSkills!DH3:DI6,2,FALSE)+IF(AND(Calculator!B8=TRUE,Backdoors!BI34=TRUE),VLOOKUP(Calculator!E23,tbSkills!DH3:DJ6,3,FALSE),0),0))&gt;=0,1+(Backdoors!AL2*(IF((Backdoors!AI12+IF(HK37&gt;=0.45,VLOOKUP(Calculator!E23,tbSkills!DH3:DI6,2,FALSE)+IF(AND(Calculator!B8=TRUE,Backdoors!BI34=TRUE),VLOOKUP(Calculator!E23,tbSkills!DH3:DJ6,3,FALSE),0),0))&gt;=100,100,(Backdoors!AI12+IF(HK37&gt;=0.45,VLOOKUP(Calculator!E23,tbSkills!DH3:DI6,2,FALSE)+IF(AND(Calculator!B8=TRUE,Backdoors!BI34=TRUE),VLOOKUP(Calculator!E23,tbSkills!DH3:DJ6,3,FALSE),0),0)))/100)),(1-(0.25*((-Backdoors!AI12-IF(HK37&gt;=0.45,VLOOKUP(Calculator!E23,tbSkills!DH3:DI6,2,FALSE)+IF(AND(Calculator!B8=TRUE,Backdoors!BI34=TRUE),VLOOKUP(Calculator!E23,tbSkills!DH3:DJ6,3,FALSE),0),0))/100)))),1),"")</f>
        <v>1</v>
      </c>
      <c r="HN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K37)*HM37)*(VLOOKUP(A37,tbMoveset!A2:C112,3,FALSE)/100)*IF(VLOOKUP(A37,tbMoveset!A2:B112,2,FALSE)="Projectile",Backdoors!N10,Backdoors!N9),0),"")</f>
        <v/>
      </c>
      <c r="HO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K37&gt;=0.45,VLOOKUP(Calculator!E23,tbSkills!DH3:DI6,2,FALSE)+IF(AND(Calculator!B8=TRUE,Backdoors!BI34=TRUE),VLOOKUP(Calculator!E23,tbSkills!DH3:DJ6,3,FALSE),0),0))&gt;=100,100,(Backdoors!AI12+IF(HK37&gt;=0.45,VLOOKUP(Calculator!E23,tbSkills!DH3:DI6,2,FALSE)+IF(AND(Calculator!B8=TRUE,Backdoors!BI34=TRUE),VLOOKUP(Calculator!E23,tbSkills!DH3:DJ6,3,FALSE),0),0)))/100)),1))*IF(VLOOKUP(A37,tbMoveset!A2:K112,11,FALSE)=TRUE,Backdoors!AC5,1))*HL37,0),"")</f>
        <v>0</v>
      </c>
      <c r="HP37" s="49">
        <f>VLOOKUP(A37,tbMoveset!A2:G112,7,FALSE)*IFERROR(IF(Backdoors!AI12&gt;=0,1+(IF(Calculator!E40&gt;0,VLOOKUP(Calculator!E40,tbSkills!AI3:AJ5,2,FALSE),Backdoors!AL4)*(IF((Backdoors!AI12+IF(HK37&gt;=0.45,VLOOKUP(Calculator!E23,tbSkills!DH3:DI6,2,FALSE)+IF(AND(Calculator!B8=TRUE,Backdoors!BI34=TRUE),VLOOKUP(Calculator!E23,tbSkills!DH3:DJ6,3,FALSE),0),0))&gt;=100,100,(Backdoors!AI12+IF(HK37&gt;=0.45,VLOOKUP(Calculator!E23,tbSkills!DH3:DI6,2,FALSE)+IF(AND(Calculator!B8=TRUE,Backdoors!BI34=TRUE),VLOOKUP(Calculator!E23,tbSkills!DH3:DJ6,3,FALSE),0),0)))/100)),1),1)</f>
        <v>0.5</v>
      </c>
      <c r="HQ37" s="87">
        <f t="shared" si="24"/>
        <v>0</v>
      </c>
      <c r="HR37" s="86" t="str">
        <f>IFERROR(IF(VLOOKUP(A37,tbMoveset!A2:B112,2,FALSE)="Sever",Backdoors!AY35/100,IF(VLOOKUP(A37,tbMoveset!A2:B112,2,FALSE)="Blunt",Backdoors!AZ35/100,Backdoors!BA35/100)),"")</f>
        <v/>
      </c>
      <c r="HS37" s="49">
        <f>IFERROR(IF(VLOOKUP(tbMoveset!A37,tbMoveset!A2:H112,8,FALSE)="Other",IF(VLOOKUP(tbMoveset!A37,tbMoveset!A2:I112,9,FALSE)="Fire",Backdoors!BB35,IF(VLOOKUP(tbMoveset!A37,tbMoveset!A2:I112,9,FALSE)="Water",Backdoors!BC35,IF(VLOOKUP(tbMoveset!A37,tbMoveset!A2:I112,9,FALSE)="Thunder",Backdoors!BD35,IF(VLOOKUP(tbMoveset!A37,tbMoveset!A2:I112,9,FALSE)="Ice",Backdoors!BE35,IF(VLOOKUP(tbMoveset!A37,tbMoveset!A2:I112,9,FALSE)="Dragon",Backdoors!BF35,Backdoors!BG35)))))/100,Backdoors!BG35/100),"")</f>
        <v>0</v>
      </c>
      <c r="HT37" s="49">
        <f>IFERROR(IF(VLOOKUP(A37,tbMoveset!A2:J112,10,FALSE)=TRUE,IF((Backdoors!AI12+IF(HR37&gt;=0.45,VLOOKUP(Calculator!E23,tbSkills!DH3:DI6,2,FALSE)+IF(AND(Calculator!B8=TRUE,Backdoors!BI35=TRUE),VLOOKUP(Calculator!E23,tbSkills!DH3:DJ6,3,FALSE),0),0))&gt;=0,1+(Backdoors!AL2*(IF((Backdoors!AI12+IF(HR37&gt;=0.45,VLOOKUP(Calculator!E23,tbSkills!DH3:DI6,2,FALSE)+IF(AND(Calculator!B8=TRUE,Backdoors!BI35=TRUE),VLOOKUP(Calculator!E23,tbSkills!DH3:DJ6,3,FALSE),0),0))&gt;=100,100,(Backdoors!AI12+IF(HR37&gt;=0.45,VLOOKUP(Calculator!E23,tbSkills!DH3:DI6,2,FALSE)+IF(AND(Calculator!B8=TRUE,Backdoors!BI35=TRUE),VLOOKUP(Calculator!E23,tbSkills!DH3:DJ6,3,FALSE),0),0)))/100)),(1-(0.25*((-Backdoors!AI12-IF(HR37&gt;=0.45,VLOOKUP(Calculator!E23,tbSkills!DH3:DI6,2,FALSE)+IF(AND(Calculator!B8=TRUE,Backdoors!BI35=TRUE),VLOOKUP(Calculator!E23,tbSkills!DH3:DJ6,3,FALSE),0),0))/100)))),1),"")</f>
        <v>1</v>
      </c>
      <c r="HU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R37)*HT37)*(VLOOKUP(A37,tbMoveset!A2:C112,3,FALSE)/100)*IF(VLOOKUP(A37,tbMoveset!A2:B112,2,FALSE)="Projectile",Backdoors!N10,Backdoors!N9),0),"")</f>
        <v/>
      </c>
      <c r="HV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R37&gt;=0.45,VLOOKUP(Calculator!E23,tbSkills!DH3:DI6,2,FALSE)+IF(AND(Calculator!B8=TRUE,Backdoors!BI35=TRUE),VLOOKUP(Calculator!E23,tbSkills!DH3:DJ6,3,FALSE),0),0))&gt;=100,100,(Backdoors!AI12+IF(HR37&gt;=0.45,VLOOKUP(Calculator!E23,tbSkills!DH3:DI6,2,FALSE)+IF(AND(Calculator!B8=TRUE,Backdoors!BI35=TRUE),VLOOKUP(Calculator!E23,tbSkills!DH3:DJ6,3,FALSE),0),0)))/100)),1))*IF(VLOOKUP(A37,tbMoveset!A2:K112,11,FALSE)=TRUE,Backdoors!AC5,1))*HS37,0),"")</f>
        <v>0</v>
      </c>
      <c r="HW37" s="49">
        <f>VLOOKUP(A37,tbMoveset!A2:G112,7,FALSE)*IFERROR(IF(Backdoors!AI12&gt;=0,1+(IF(Calculator!E40&gt;0,VLOOKUP(Calculator!E40,tbSkills!AI3:AJ5,2,FALSE),Backdoors!AL4)*(IF((Backdoors!AI12+IF(HR37&gt;=0.45,VLOOKUP(Calculator!E23,tbSkills!DH3:DI6,2,FALSE)+IF(AND(Calculator!B8=TRUE,Backdoors!BI35=TRUE),VLOOKUP(Calculator!E23,tbSkills!DH3:DJ6,3,FALSE),0),0))&gt;=100,100,(Backdoors!AI12+IF(HR37&gt;=0.45,VLOOKUP(Calculator!E23,tbSkills!DH3:DI6,2,FALSE)+IF(AND(Calculator!B8=TRUE,Backdoors!BI35=TRUE),VLOOKUP(Calculator!E23,tbSkills!DH3:DJ6,3,FALSE),0),0)))/100)),1),1)</f>
        <v>0.5</v>
      </c>
      <c r="HX37" s="87">
        <f t="shared" si="25"/>
        <v>0</v>
      </c>
      <c r="HY37" s="86" t="str">
        <f>IFERROR(IF(VLOOKUP(A37,tbMoveset!A2:B112,2,FALSE)="Sever",Backdoors!AY36/100,IF(VLOOKUP(A37,tbMoveset!A2:B112,2,FALSE)="Blunt",Backdoors!AZ36/100,Backdoors!BA36/100)),"")</f>
        <v/>
      </c>
      <c r="HZ37" s="49">
        <f>IFERROR(IF(VLOOKUP(tbMoveset!A37,tbMoveset!A2:H112,8,FALSE)="Other",IF(VLOOKUP(tbMoveset!A37,tbMoveset!A2:I112,9,FALSE)="Fire",Backdoors!BB36,IF(VLOOKUP(tbMoveset!A37,tbMoveset!A2:I112,9,FALSE)="Water",Backdoors!BC36,IF(VLOOKUP(tbMoveset!A37,tbMoveset!A2:I112,9,FALSE)="Thunder",Backdoors!BD36,IF(VLOOKUP(tbMoveset!A37,tbMoveset!A2:I112,9,FALSE)="Ice",Backdoors!BE36,IF(VLOOKUP(tbMoveset!A37,tbMoveset!A2:I112,9,FALSE)="Dragon",Backdoors!BF36,Backdoors!BG36)))))/100,Backdoors!BG36/100),"")</f>
        <v>0</v>
      </c>
      <c r="IA37" s="49">
        <f>IFERROR(IF(VLOOKUP(A37,tbMoveset!A2:J112,10,FALSE)=TRUE,IF((Backdoors!AI12+IF(HY37&gt;=0.45,VLOOKUP(Calculator!E23,tbSkills!DH3:DI6,2,FALSE)+IF(AND(Calculator!B8=TRUE,Backdoors!BI36=TRUE),VLOOKUP(Calculator!E23,tbSkills!DH3:DJ6,3,FALSE),0),0))&gt;=0,1+(Backdoors!AL2*(IF((Backdoors!AI12+IF(HY37&gt;=0.45,VLOOKUP(Calculator!E23,tbSkills!DH3:DI6,2,FALSE)+IF(AND(Calculator!B8=TRUE,Backdoors!BI36=TRUE),VLOOKUP(Calculator!E23,tbSkills!DH3:DJ6,3,FALSE),0),0))&gt;=100,100,(Backdoors!AI12+IF(HY37&gt;=0.45,VLOOKUP(Calculator!E23,tbSkills!DH3:DI6,2,FALSE)+IF(AND(Calculator!B8=TRUE,Backdoors!BI36=TRUE),VLOOKUP(Calculator!E23,tbSkills!DH3:DJ6,3,FALSE),0),0)))/100)),(1-(0.25*((-Backdoors!AI12-IF(HY37&gt;=0.45,VLOOKUP(Calculator!E23,tbSkills!DH3:DI6,2,FALSE)+IF(AND(Calculator!B8=TRUE,Backdoors!BI36=TRUE),VLOOKUP(Calculator!E23,tbSkills!DH3:DJ6,3,FALSE),0),0))/100)))),1),"")</f>
        <v>1</v>
      </c>
      <c r="IB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Y37)*IA37)*(VLOOKUP(A37,tbMoveset!A2:C112,3,FALSE)/100)*IF(VLOOKUP(A37,tbMoveset!A2:B112,2,FALSE)="Projectile",Backdoors!N10,Backdoors!N9),0),"")</f>
        <v/>
      </c>
      <c r="IC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Y37&gt;=0.45,VLOOKUP(Calculator!E23,tbSkills!DH3:DI6,2,FALSE)+IF(AND(Calculator!B8=TRUE,Backdoors!BI36=TRUE),VLOOKUP(Calculator!E23,tbSkills!DH3:DJ6,3,FALSE),0),0))&gt;=100,100,(Backdoors!AI12+IF(HY37&gt;=0.45,VLOOKUP(Calculator!E23,tbSkills!DH3:DI6,2,FALSE)+IF(AND(Calculator!B8=TRUE,Backdoors!BI36=TRUE),VLOOKUP(Calculator!E23,tbSkills!DH3:DJ6,3,FALSE),0),0)))/100)),1))*IF(VLOOKUP(A37,tbMoveset!A2:K112,11,FALSE)=TRUE,Backdoors!AC5,1))*HZ37,0),"")</f>
        <v>0</v>
      </c>
      <c r="ID37" s="49">
        <f>VLOOKUP(A37,tbMoveset!A2:G112,7,FALSE)*IFERROR(IF(Backdoors!AI12&gt;=0,1+(IF(Calculator!E40&gt;0,VLOOKUP(Calculator!E40,tbSkills!AI3:AJ5,2,FALSE),Backdoors!AL4)*(IF((Backdoors!AI12+IF(HY37&gt;=0.45,VLOOKUP(Calculator!E23,tbSkills!DH3:DI6,2,FALSE)+IF(AND(Calculator!B8=TRUE,Backdoors!BI36=TRUE),VLOOKUP(Calculator!E23,tbSkills!DH3:DJ6,3,FALSE),0),0))&gt;=100,100,(Backdoors!AI12+IF(HY37&gt;=0.45,VLOOKUP(Calculator!E23,tbSkills!DH3:DI6,2,FALSE)+IF(AND(Calculator!B8=TRUE,Backdoors!BI36=TRUE),VLOOKUP(Calculator!E23,tbSkills!DH3:DJ6,3,FALSE),0),0)))/100)),1),1)</f>
        <v>0.5</v>
      </c>
      <c r="IE37" s="87">
        <f t="shared" si="26"/>
        <v>0</v>
      </c>
      <c r="IF37" s="86" t="str">
        <f>IFERROR(IF(VLOOKUP(A37,tbMoveset!A2:B112,2,FALSE)="Sever",Backdoors!AY37/100,IF(VLOOKUP(A37,tbMoveset!A2:B112,2,FALSE)="Blunt",Backdoors!AZ37/100,Backdoors!BA37/100)),"")</f>
        <v/>
      </c>
      <c r="IG37" s="49">
        <f>IFERROR(IF(VLOOKUP(tbMoveset!A37,tbMoveset!A2:H112,8,FALSE)="Other",IF(VLOOKUP(tbMoveset!A37,tbMoveset!A2:I112,9,FALSE)="Fire",Backdoors!BB37,IF(VLOOKUP(tbMoveset!A37,tbMoveset!A2:I112,9,FALSE)="Water",Backdoors!BC37,IF(VLOOKUP(tbMoveset!A37,tbMoveset!A2:I112,9,FALSE)="Thunder",Backdoors!BD37,IF(VLOOKUP(tbMoveset!A37,tbMoveset!A2:I112,9,FALSE)="Ice",Backdoors!BE37,IF(VLOOKUP(tbMoveset!A37,tbMoveset!A2:I112,9,FALSE)="Dragon",Backdoors!BF37,Backdoors!BG37)))))/100,Backdoors!BG37/100),"")</f>
        <v>0</v>
      </c>
      <c r="IH37" s="49">
        <f>IFERROR(IF(VLOOKUP(A37,tbMoveset!A2:J112,10,FALSE)=TRUE,IF((Backdoors!AI12+IF(IF37&gt;=0.45,VLOOKUP(Calculator!E23,tbSkills!DH3:DI6,2,FALSE)+IF(AND(Calculator!B8=TRUE,Backdoors!BI37=TRUE),VLOOKUP(Calculator!E23,tbSkills!DH3:DJ6,3,FALSE),0),0))&gt;=0,1+(Backdoors!AL2*(IF((Backdoors!AI12+IF(IF37&gt;=0.45,VLOOKUP(Calculator!E23,tbSkills!DH3:DI6,2,FALSE)+IF(AND(Calculator!B8=TRUE,Backdoors!BI37=TRUE),VLOOKUP(Calculator!E23,tbSkills!DH3:DJ6,3,FALSE),0),0))&gt;=100,100,(Backdoors!AI12+IF(IF37&gt;=0.45,VLOOKUP(Calculator!E23,tbSkills!DH3:DI6,2,FALSE)+IF(AND(Calculator!B8=TRUE,Backdoors!BI37=TRUE),VLOOKUP(Calculator!E23,tbSkills!DH3:DJ6,3,FALSE),0),0)))/100)),(1-(0.25*((-Backdoors!AI12-IF(IF37&gt;=0.45,VLOOKUP(Calculator!E23,tbSkills!DH3:DI6,2,FALSE)+IF(AND(Calculator!B8=TRUE,Backdoors!BI37=TRUE),VLOOKUP(Calculator!E23,tbSkills!DH3:DJ6,3,FALSE),0),0))/100)))),1),"")</f>
        <v>1</v>
      </c>
      <c r="II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F37)*IH37)*(VLOOKUP(A37,tbMoveset!A2:C112,3,FALSE)/100)*IF(VLOOKUP(A37,tbMoveset!A2:B112,2,FALSE)="Projectile",Backdoors!N10,Backdoors!N9),0),"")</f>
        <v/>
      </c>
      <c r="IJ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IF37&gt;=0.45,VLOOKUP(Calculator!E23,tbSkills!DH3:DI6,2,FALSE)+IF(AND(Calculator!B8=TRUE,Backdoors!BI37=TRUE),VLOOKUP(Calculator!E23,tbSkills!DH3:DJ6,3,FALSE),0),0))&gt;=100,100,(Backdoors!AI12+IF(IF37&gt;=0.45,VLOOKUP(Calculator!E23,tbSkills!DH3:DI6,2,FALSE)+IF(AND(Calculator!B8=TRUE,Backdoors!BI37=TRUE),VLOOKUP(Calculator!E23,tbSkills!DH3:DJ6,3,FALSE),0),0)))/100)),1))*IF(VLOOKUP(A37,tbMoveset!A2:K112,11,FALSE)=TRUE,Backdoors!AC5,1))*IG37,0),"")</f>
        <v>0</v>
      </c>
      <c r="IK37" s="49">
        <f>VLOOKUP(A37,tbMoveset!A2:G112,7,FALSE)*IFERROR(IF(Backdoors!AI12&gt;=0,1+(IF(Calculator!E40&gt;0,VLOOKUP(Calculator!E40,tbSkills!AI3:AJ5,2,FALSE),Backdoors!AL4)*(IF((Backdoors!AI12+IF(IF37&gt;=0.45,VLOOKUP(Calculator!E23,tbSkills!DH3:DI6,2,FALSE)+IF(AND(Calculator!B8=TRUE,Backdoors!BI37=TRUE),VLOOKUP(Calculator!E23,tbSkills!DH3:DJ6,3,FALSE),0),0))&gt;=100,100,(Backdoors!AI12+IF(IF37&gt;=0.45,VLOOKUP(Calculator!E23,tbSkills!DH3:DI6,2,FALSE)+IF(AND(Calculator!B8=TRUE,Backdoors!BI37=TRUE),VLOOKUP(Calculator!E23,tbSkills!DH3:DJ6,3,FALSE),0),0)))/100)),1),1)</f>
        <v>0.5</v>
      </c>
      <c r="IL37" s="87">
        <f t="shared" si="27"/>
        <v>0</v>
      </c>
      <c r="IM37" s="86" t="str">
        <f>IFERROR(IF(VLOOKUP(A37,tbMoveset!A2:B112,2,FALSE)="Sever",Backdoors!AY38/100,IF(VLOOKUP(A37,tbMoveset!A2:B112,2,FALSE)="Blunt",Backdoors!AZ38/100,Backdoors!BA38/100)),"")</f>
        <v/>
      </c>
      <c r="IN37" s="49">
        <f>IFERROR(IF(VLOOKUP(tbMoveset!A37,tbMoveset!A2:H112,8,FALSE)="Other",IF(VLOOKUP(tbMoveset!A37,tbMoveset!A2:I112,9,FALSE)="Fire",Backdoors!BB38,IF(VLOOKUP(tbMoveset!A37,tbMoveset!A2:I112,9,FALSE)="Water",Backdoors!BC38,IF(VLOOKUP(tbMoveset!A37,tbMoveset!A2:I112,9,FALSE)="Thunder",Backdoors!BD38,IF(VLOOKUP(tbMoveset!A37,tbMoveset!A2:I112,9,FALSE)="Ice",Backdoors!BE38,IF(VLOOKUP(tbMoveset!A37,tbMoveset!A2:I112,9,FALSE)="Dragon",Backdoors!BF38,Backdoors!BG38)))))/100,Backdoors!BG38/100),"")</f>
        <v>0</v>
      </c>
      <c r="IO37" s="49">
        <f>IFERROR(IF(VLOOKUP(A37,tbMoveset!A2:J112,10,FALSE)=TRUE,IF((Backdoors!AI12+IF(IM37&gt;=0.45,VLOOKUP(Calculator!E23,tbSkills!DH3:DI6,2,FALSE)+IF(AND(Calculator!B8=TRUE,Backdoors!BI38=TRUE),VLOOKUP(Calculator!E23,tbSkills!DH3:DJ6,3,FALSE),0),0))&gt;=0,1+(Backdoors!AL2*(IF((Backdoors!AI12+IF(IM37&gt;=0.45,VLOOKUP(Calculator!E23,tbSkills!DH3:DI6,2,FALSE)+IF(AND(Calculator!B8=TRUE,Backdoors!BI38=TRUE),VLOOKUP(Calculator!E23,tbSkills!DH3:DJ6,3,FALSE),0),0))&gt;=100,100,(Backdoors!AI12+IF(IM37&gt;=0.45,VLOOKUP(Calculator!E23,tbSkills!DH3:DI6,2,FALSE)+IF(AND(Calculator!B8=TRUE,Backdoors!BI38=TRUE),VLOOKUP(Calculator!E23,tbSkills!DH3:DJ6,3,FALSE),0),0)))/100)),(1-(0.25*((-Backdoors!AI12-IF(IM37&gt;=0.45,VLOOKUP(Calculator!E23,tbSkills!DH3:DI6,2,FALSE)+IF(AND(Calculator!B8=TRUE,Backdoors!BI38=TRUE),VLOOKUP(Calculator!E23,tbSkills!DH3:DJ6,3,FALSE),0),0))/100)))),1),"")</f>
        <v>1</v>
      </c>
      <c r="IP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M37)*IO37)*(VLOOKUP(A37,tbMoveset!A2:C112,3,FALSE)/100)*IF(VLOOKUP(A37,tbMoveset!A2:B112,2,FALSE)="Projectile",Backdoors!N10,Backdoors!N9),0),"")</f>
        <v/>
      </c>
      <c r="IQ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IM37&gt;=0.45,VLOOKUP(Calculator!E23,tbSkills!DH3:DI6,2,FALSE)+IF(AND(Calculator!B8=TRUE,Backdoors!BI38=TRUE),VLOOKUP(Calculator!E23,tbSkills!DH3:DJ6,3,FALSE),0),0))&gt;=100,100,(Backdoors!AI12+IF(IM37&gt;=0.45,VLOOKUP(Calculator!E23,tbSkills!DH3:DI6,2,FALSE)+IF(AND(Calculator!B8=TRUE,Backdoors!BI38=TRUE),VLOOKUP(Calculator!E23,tbSkills!DH3:DJ6,3,FALSE),0),0)))/100)),1))*IF(VLOOKUP(A37,tbMoveset!A2:K112,11,FALSE)=TRUE,Backdoors!AC5,1))*IN37,0),"")</f>
        <v>0</v>
      </c>
      <c r="IR37" s="49">
        <f>VLOOKUP(A37,tbMoveset!A2:G112,7,FALSE)*IFERROR(IF(Backdoors!AI12&gt;=0,1+(IF(Calculator!E40&gt;0,VLOOKUP(Calculator!E40,tbSkills!AI3:AJ5,2,FALSE),Backdoors!AL4)*(IF((Backdoors!AI12+IF(IM37&gt;=0.45,VLOOKUP(Calculator!E23,tbSkills!DH3:DI6,2,FALSE)+IF(AND(Calculator!B8=TRUE,Backdoors!BI38=TRUE),VLOOKUP(Calculator!E23,tbSkills!DH3:DJ6,3,FALSE),0),0))&gt;=100,100,(Backdoors!AI12+IF(IM37&gt;=0.45,VLOOKUP(Calculator!E23,tbSkills!DH3:DI6,2,FALSE)+IF(AND(Calculator!B8=TRUE,Backdoors!BI38=TRUE),VLOOKUP(Calculator!E23,tbSkills!DH3:DJ6,3,FALSE),0),0)))/100)),1),1)</f>
        <v>0.5</v>
      </c>
      <c r="IS37" s="87">
        <f t="shared" si="42"/>
        <v>0</v>
      </c>
      <c r="IT37" s="86" t="str">
        <f>IFERROR(IF(VLOOKUP(A37,tbMoveset!A2:B112,2,FALSE)="Sever",Backdoors!AY39/100,IF(VLOOKUP(A37,tbMoveset!A2:B112,2,FALSE)="Blunt",Backdoors!AZ39/100,Backdoors!BA39/100)),"")</f>
        <v/>
      </c>
      <c r="IU37" s="49">
        <f>IFERROR(IF(VLOOKUP(tbMoveset!A37,tbMoveset!A2:H112,8,FALSE)="Other",IF(VLOOKUP(tbMoveset!A37,tbMoveset!A2:I112,9,FALSE)="Fire",Backdoors!BB39,IF(VLOOKUP(tbMoveset!A37,tbMoveset!A2:I112,9,FALSE)="Water",Backdoors!BC39,IF(VLOOKUP(tbMoveset!A37,tbMoveset!A2:I112,9,FALSE)="Thunder",Backdoors!BD39,IF(VLOOKUP(tbMoveset!A37,tbMoveset!A2:I112,9,FALSE)="Ice",Backdoors!BE39,IF(VLOOKUP(tbMoveset!A37,tbMoveset!A2:I112,9,FALSE)="Dragon",Backdoors!BF39,Backdoors!BG39)))))/100,Backdoors!BG39/100),"")</f>
        <v>0</v>
      </c>
      <c r="IV37" s="49">
        <f>IFERROR(IF(VLOOKUP(A37,tbMoveset!A2:J112,10,FALSE)=TRUE,IF((Backdoors!AI12+IF(IT37&gt;=0.45,VLOOKUP(Calculator!E23,tbSkills!DH3:DI6,2,FALSE)+IF(AND(Calculator!B8=TRUE,Backdoors!BI39=TRUE),VLOOKUP(Calculator!E23,tbSkills!DH3:DJ6,3,FALSE),0),0))&gt;=0,1+(Backdoors!AL2*(IF((Backdoors!AI12+IF(IT37&gt;=0.45,VLOOKUP(Calculator!E23,tbSkills!DH3:DI6,2,FALSE)+IF(AND(Calculator!B8=TRUE,Backdoors!BI39=TRUE),VLOOKUP(Calculator!E23,tbSkills!DH3:DJ6,3,FALSE),0),0))&gt;=100,100,(Backdoors!AI12+IF(IT37&gt;=0.45,VLOOKUP(Calculator!E23,tbSkills!DH3:DI6,2,FALSE)+IF(AND(Calculator!B8=TRUE,Backdoors!BI39=TRUE),VLOOKUP(Calculator!E23,tbSkills!DH3:DJ6,3,FALSE),0),0)))/100)),(1-(0.25*((-Backdoors!AI12-IF(IT37&gt;=0.45,VLOOKUP(Calculator!E23,tbSkills!DH3:DI6,2,FALSE)+IF(AND(Calculator!B8=TRUE,Backdoors!BI39=TRUE),VLOOKUP(Calculator!E23,tbSkills!DH3:DJ6,3,FALSE),0),0))/100)))),1),"")</f>
        <v>1</v>
      </c>
      <c r="IW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T37)*IV37)*(VLOOKUP(A37,tbMoveset!A2:C112,3,FALSE)/100)*IF(VLOOKUP(A37,tbMoveset!A2:B112,2,FALSE)="Projectile",Backdoors!N10,Backdoors!N9),0),"")</f>
        <v/>
      </c>
      <c r="IX37" s="49">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40&gt;0,VLOOKUP(Calculator!E40,tbSkills!AC3:AD5,2,FALSE),Backdoors!AL3)*(IF((Backdoors!AI12+IF(IT37&gt;=0.45,VLOOKUP(Calculator!E23,tbSkills!DH3:DI6,2,FALSE)+IF(AND(Calculator!B8=TRUE,Backdoors!BI39=TRUE),VLOOKUP(Calculator!E23,tbSkills!DH3:DJ6,3,FALSE),0),0))&gt;=100,100,(Backdoors!AI12+IF(IT37&gt;=0.45,VLOOKUP(Calculator!E23,tbSkills!DH3:DI6,2,FALSE)+IF(AND(Calculator!B8=TRUE,Backdoors!BI39=TRUE),VLOOKUP(Calculator!E23,tbSkills!DH3:DJ6,3,FALSE),0),0)))/100)),1))*IF(VLOOKUP(A37,tbMoveset!A2:K112,11,FALSE)=TRUE,Backdoors!AC5,1))*IU37,0),"")</f>
        <v>0</v>
      </c>
      <c r="IY37" s="49">
        <f>VLOOKUP(A37,tbMoveset!A2:G112,7,FALSE)*IFERROR(IF(Backdoors!AI12&gt;=0,1+(IF(Calculator!E40&gt;0,VLOOKUP(Calculator!E40,tbSkills!AI3:AJ5,2,FALSE),Backdoors!AL4)*(IF((Backdoors!AI12+IF(IT37&gt;=0.45,VLOOKUP(Calculator!E23,tbSkills!DH3:DI6,2,FALSE)+IF(AND(Calculator!B8=TRUE,Backdoors!BI39=TRUE),VLOOKUP(Calculator!E23,tbSkills!DH3:DJ6,3,FALSE),0),0))&gt;=100,100,(Backdoors!AI12+IF(IT37&gt;=0.45,VLOOKUP(Calculator!E23,tbSkills!DH3:DI6,2,FALSE)+IF(AND(Calculator!B8=TRUE,Backdoors!BI39=TRUE),VLOOKUP(Calculator!E23,tbSkills!DH3:DJ6,3,FALSE),0),0)))/100)),1),1)</f>
        <v>0.5</v>
      </c>
      <c r="IZ37" s="87">
        <f t="shared" si="28"/>
        <v>0</v>
      </c>
      <c r="JA37" s="86" t="str">
        <f>IFERROR(IF(VLOOKUP(A37,tbMoveset!A2:B112,2,FALSE)="Sever",Backdoors!AY40/100,IF(VLOOKUP(A37,tbMoveset!A2:B112,2,FALSE)="Blunt",Backdoors!AZ40/100,Backdoors!BA40/100)),"")</f>
        <v/>
      </c>
      <c r="JB37" s="49">
        <f>IFERROR(IF(VLOOKUP(tbMoveset!A37,tbMoveset!A2:H112,8,FALSE)="Other",IF(VLOOKUP(tbMoveset!A37,tbMoveset!A2:I112,9,FALSE)="Fire",Backdoors!BB40,IF(VLOOKUP(tbMoveset!A37,tbMoveset!A2:I112,9,FALSE)="Water",Backdoors!BC40,IF(VLOOKUP(tbMoveset!A37,tbMoveset!A2:I112,9,FALSE)="Thunder",Backdoors!BD40,IF(VLOOKUP(tbMoveset!A37,tbMoveset!A2:I112,9,FALSE)="Ice",Backdoors!BE40,IF(VLOOKUP(tbMoveset!A37,tbMoveset!A2:I112,9,FALSE)="Dragon",Backdoors!BF40,Backdoors!BG40)))))/100,Backdoors!BG40/100),"")</f>
        <v>0</v>
      </c>
      <c r="JC37" s="49">
        <f>IFERROR(IF(VLOOKUP(A37,tbMoveset!A2:J112,10,FALSE)=TRUE,IF((Backdoors!AI12+IF(JA37&gt;=0.45,VLOOKUP(Calculator!E23,tbSkills!DH3:DI6,2,FALSE)+IF(AND(Calculator!B8=TRUE,Backdoors!BI40=TRUE),VLOOKUP(Calculator!E23,tbSkills!DH3:DJ6,3,FALSE),0),0))&gt;=0,1+(Backdoors!AL2*(IF((Backdoors!AI12+IF(JA37&gt;=0.45,VLOOKUP(Calculator!E23,tbSkills!DH3:DI6,2,FALSE)+IF(AND(Calculator!B8=TRUE,Backdoors!BI40=TRUE),VLOOKUP(Calculator!E23,tbSkills!DH3:DJ6,3,FALSE),0),0))&gt;=100,100,(Backdoors!AI12+IF(JA37&gt;=0.45,VLOOKUP(Calculator!E23,tbSkills!DH3:DI6,2,FALSE)+IF(AND(Calculator!B8=TRUE,Backdoors!BI40=TRUE),VLOOKUP(Calculator!E23,tbSkills!DH3:DJ6,3,FALSE),0),0)))/100)),(1-(0.25*((-Backdoors!AI12-IF(JA37&gt;=0.45,VLOOKUP(Calculator!E23,tbSkills!DH3:DI6,2,FALSE)+IF(AND(Calculator!B8=TRUE,Backdoors!BI40=TRUE),VLOOKUP(Calculator!E23,tbSkills!DH3:DJ6,3,FALSE),0),0))/100)))),1),"")</f>
        <v>1</v>
      </c>
      <c r="JD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A37)*JC37)*(VLOOKUP(A37,tbMoveset!A2:C112,3,FALSE)/100)*IF(VLOOKUP(A37,tbMoveset!A2:B112,2,FALSE)="Projectile",Backdoors!N10,Backdoors!N9),0),"")</f>
        <v/>
      </c>
      <c r="JE37" s="49">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42&gt;0,VLOOKUP(Calculator!E42,tbSkills!AC3:AD5,2,FALSE),Backdoors!AL3)*(IF((Backdoors!AI12+IF(JA37&gt;=0.45,VLOOKUP(Calculator!E23,tbSkills!DH3:DI6,2,FALSE)+IF(AND(Calculator!B8=TRUE,Backdoors!BI40=TRUE),VLOOKUP(Calculator!E23,tbSkills!DH3:DJ6,3,FALSE),0),0))&gt;=100,100,(Backdoors!AI12+IF(JA37&gt;=0.45,VLOOKUP(Calculator!E23,tbSkills!DH3:DI6,2,FALSE)+IF(AND(Calculator!B8=TRUE,Backdoors!BI40=TRUE),VLOOKUP(Calculator!E23,tbSkills!DH3:DJ6,3,FALSE),0),0)))/100)),1))*IF(VLOOKUP(A37,tbMoveset!A2:K112,11,FALSE)=TRUE,Backdoors!AC5,1))*JB37,0),"")</f>
        <v>0</v>
      </c>
      <c r="JF37" s="49">
        <f>VLOOKUP(A37,tbMoveset!A2:G112,7,FALSE)*IFERROR(IF(Backdoors!AI12&gt;=0,1+(IF(Calculator!E40&gt;0,VLOOKUP(Calculator!E40,tbSkills!AI3:AJ5,2,FALSE),Backdoors!AL4)*(IF((Backdoors!AI12+IF(JA37&gt;=0.45,VLOOKUP(Calculator!E23,tbSkills!DH3:DI6,2,FALSE)+IF(AND(Calculator!B8=TRUE,Backdoors!BI40=TRUE),VLOOKUP(Calculator!E23,tbSkills!DH3:DJ6,3,FALSE),0),0))&gt;=100,100,(Backdoors!AI12+IF(JA37&gt;=0.45,VLOOKUP(Calculator!E23,tbSkills!DH3:DI6,2,FALSE)+IF(AND(Calculator!B8=TRUE,Backdoors!BI40=TRUE),VLOOKUP(Calculator!E23,tbSkills!DH3:DJ6,3,FALSE),0),0)))/100)),1),1)</f>
        <v>0.5</v>
      </c>
      <c r="JG37" s="87">
        <f t="shared" si="29"/>
        <v>0</v>
      </c>
      <c r="JH37" s="86" t="str">
        <f>IFERROR(IF(VLOOKUP(A37,tbMoveset!A2:B112,2,FALSE)="Sever",Backdoors!AY41/100,IF(VLOOKUP(A37,tbMoveset!A2:B112,2,FALSE)="Blunt",Backdoors!AZ41/100,Backdoors!BA41/100)),"")</f>
        <v/>
      </c>
      <c r="JI37" s="49">
        <f>IFERROR(IF(VLOOKUP(tbMoveset!A37,tbMoveset!A2:H112,8,FALSE)="Other",IF(VLOOKUP(tbMoveset!A37,tbMoveset!A2:I112,9,FALSE)="Fire",Backdoors!BB41,IF(VLOOKUP(tbMoveset!A37,tbMoveset!A2:I112,9,FALSE)="Water",Backdoors!BC41,IF(VLOOKUP(tbMoveset!A37,tbMoveset!A2:I112,9,FALSE)="Thunder",Backdoors!BD41,IF(VLOOKUP(tbMoveset!A37,tbMoveset!A2:I112,9,FALSE)="Ice",Backdoors!BE41,IF(VLOOKUP(tbMoveset!A37,tbMoveset!A2:I112,9,FALSE)="Dragon",Backdoors!BF41,Backdoors!BG41)))))/100,Backdoors!BG41/100),"")</f>
        <v>0</v>
      </c>
      <c r="JJ37" s="49">
        <f>IFERROR(IF(VLOOKUP(A37,tbMoveset!A2:J112,10,FALSE)=TRUE,IF((Backdoors!AI12+IF(JH37&gt;=0.45,VLOOKUP(Calculator!E23,tbSkills!DH3:DI6,2,FALSE)+IF(AND(Calculator!B8=TRUE,Backdoors!BI41=TRUE),VLOOKUP(Calculator!E23,tbSkills!DH3:DJ6,3,FALSE),0),0))&gt;=0,1+(Backdoors!AL2*(IF((Backdoors!AI12+IF(JH37&gt;=0.45,VLOOKUP(Calculator!E23,tbSkills!DH3:DI6,2,FALSE)+IF(AND(Calculator!B8=TRUE,Backdoors!BI41=TRUE),VLOOKUP(Calculator!E23,tbSkills!DH3:DJ6,3,FALSE),0),0))&gt;=100,100,(Backdoors!AI12+IF(JH37&gt;=0.45,VLOOKUP(Calculator!E23,tbSkills!DH3:DI6,2,FALSE)+IF(AND(Calculator!B8=TRUE,Backdoors!BI41=TRUE),VLOOKUP(Calculator!E23,tbSkills!DH3:DJ6,3,FALSE),0),0)))/100)),(1-(0.25*((-Backdoors!AI12-IF(JH37&gt;=0.45,VLOOKUP(Calculator!E23,tbSkills!DH3:DI6,2,FALSE)+IF(AND(Calculator!B8=TRUE,Backdoors!BI41=TRUE),VLOOKUP(Calculator!E23,tbSkills!DH3:DJ6,3,FALSE),0),0))/100)))),1),"")</f>
        <v>1</v>
      </c>
      <c r="JK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H37)*JJ37)*(VLOOKUP(A37,tbMoveset!A2:C112,3,FALSE)/100)*IF(VLOOKUP(A37,tbMoveset!A2:B112,2,FALSE)="Projectile",Backdoors!N10,Backdoors!N9),0),"")</f>
        <v/>
      </c>
      <c r="JL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43&gt;0,VLOOKUP(Calculator!E43,tbSkills!AC3:AD5,2,FALSE),Backdoors!AL3)*(IF((Backdoors!AI12+IF(JH37&gt;=0.45,VLOOKUP(Calculator!E23,tbSkills!DH3:DI6,2,FALSE)+IF(AND(Calculator!B8=TRUE,Backdoors!BI41=TRUE),VLOOKUP(Calculator!E23,tbSkills!DH3:DJ6,3,FALSE),0),0))&gt;=100,100,(Backdoors!AI12+IF(JH37&gt;=0.45,VLOOKUP(Calculator!E23,tbSkills!DH3:DI6,2,FALSE)+IF(AND(Calculator!B8=TRUE,Backdoors!BI41=TRUE),VLOOKUP(Calculator!E23,tbSkills!DH3:DJ6,3,FALSE),0),0)))/100)),1))*IF(VLOOKUP(A37,tbMoveset!A2:K112,11,FALSE)=TRUE,Backdoors!AC5,1))*JI37,0),"")</f>
        <v/>
      </c>
      <c r="JM37" s="49">
        <f>VLOOKUP(A37,tbMoveset!A2:G112,7,FALSE)*IFERROR(IF(Backdoors!AI12&gt;=0,1+(IF(Calculator!E40&gt;0,VLOOKUP(Calculator!E40,tbSkills!AI3:AJ5,2,FALSE),Backdoors!AL4)*(IF((Backdoors!AI12+IF(JH37&gt;=0.45,VLOOKUP(Calculator!E23,tbSkills!DH3:DI6,2,FALSE)+IF(AND(Calculator!B8=TRUE,Backdoors!BI41=TRUE),VLOOKUP(Calculator!E23,tbSkills!DH3:DJ6,3,FALSE),0),0))&gt;=100,100,(Backdoors!AI12+IF(JH37&gt;=0.45,VLOOKUP(Calculator!E23,tbSkills!DH3:DI6,2,FALSE)+IF(AND(Calculator!B8=TRUE,Backdoors!BI41=TRUE),VLOOKUP(Calculator!E23,tbSkills!DH3:DJ6,3,FALSE),0),0)))/100)),1),1)</f>
        <v>0.5</v>
      </c>
      <c r="JN37" s="87">
        <f t="shared" si="30"/>
        <v>0</v>
      </c>
      <c r="JO37" s="86" t="str">
        <f>IFERROR(IF(VLOOKUP(A37,tbMoveset!A2:B112,2,FALSE)="Sever",Backdoors!AY42/100,IF(VLOOKUP(A37,tbMoveset!A2:B112,2,FALSE)="Blunt",Backdoors!AZ42/100,Backdoors!BA42/100)),"")</f>
        <v/>
      </c>
      <c r="JP37" s="49">
        <f>IFERROR(IF(VLOOKUP(tbMoveset!A37,tbMoveset!A2:H112,8,FALSE)="Other",IF(VLOOKUP(tbMoveset!A37,tbMoveset!A2:I112,9,FALSE)="Fire",Backdoors!BB42,IF(VLOOKUP(tbMoveset!A37,tbMoveset!A2:I112,9,FALSE)="Water",Backdoors!BC42,IF(VLOOKUP(tbMoveset!A37,tbMoveset!A2:I112,9,FALSE)="Thunder",Backdoors!BD42,IF(VLOOKUP(tbMoveset!A37,tbMoveset!A2:I112,9,FALSE)="Ice",Backdoors!BE42,IF(VLOOKUP(tbMoveset!A37,tbMoveset!A2:I112,9,FALSE)="Dragon",Backdoors!BF42,Backdoors!BG42)))))/100,Backdoors!BG42/100),"")</f>
        <v>0</v>
      </c>
      <c r="JQ37" s="49">
        <f>IFERROR(IF(VLOOKUP(A37,tbMoveset!A2:J112,10,FALSE)=TRUE,IF((Backdoors!AI12+IF(JO37&gt;=0.45,VLOOKUP(Calculator!E23,tbSkills!DH3:DI6,2,FALSE)+IF(AND(Calculator!B8=TRUE,Backdoors!BI42=TRUE),VLOOKUP(Calculator!E23,tbSkills!DH3:DJ6,3,FALSE),0),0))&gt;=0,1+(Backdoors!AL2*(IF((Backdoors!AI12+IF(JO37&gt;=0.45,VLOOKUP(Calculator!E23,tbSkills!DH3:DI6,2,FALSE)+IF(AND(Calculator!B8=TRUE,Backdoors!BI42=TRUE),VLOOKUP(Calculator!E23,tbSkills!DH3:DJ6,3,FALSE),0),0))&gt;=100,100,(Backdoors!AI12+IF(JO37&gt;=0.45,VLOOKUP(Calculator!E23,tbSkills!DH3:DI6,2,FALSE)+IF(AND(Calculator!B8=TRUE,Backdoors!BI42=TRUE),VLOOKUP(Calculator!E23,tbSkills!DH3:DJ6,3,FALSE),0),0)))/100)),(1-(0.25*((-Backdoors!AI12-IF(JO37&gt;=0.45,VLOOKUP(Calculator!E23,tbSkills!DH3:DI6,2,FALSE)+IF(AND(Calculator!B8=TRUE,Backdoors!BI42=TRUE),VLOOKUP(Calculator!E23,tbSkills!DH3:DJ6,3,FALSE),0),0))/100)))),1),"")</f>
        <v>1</v>
      </c>
      <c r="JR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O37)*JQ37)*(VLOOKUP(A37,tbMoveset!A2:C112,3,FALSE)/100)*IF(VLOOKUP(A37,tbMoveset!A2:B112,2,FALSE)="Projectile",Backdoors!N10,Backdoors!N9),0),"")</f>
        <v/>
      </c>
      <c r="JS37" s="49">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45&gt;0,VLOOKUP(Calculator!E45,tbSkills!AC3:AD5,2,FALSE),Backdoors!AL3)*(IF((Backdoors!AI12+IF(JO37&gt;=0.45,VLOOKUP(Calculator!E23,tbSkills!DH3:DI6,2,FALSE)+IF(AND(Calculator!B8=TRUE,Backdoors!BI42=TRUE),VLOOKUP(Calculator!E23,tbSkills!DH3:DJ6,3,FALSE),0),0))&gt;=100,100,(Backdoors!AI12+IF(JO37&gt;=0.45,VLOOKUP(Calculator!E23,tbSkills!DH3:DI6,2,FALSE)+IF(AND(Calculator!B8=TRUE,Backdoors!BI42=TRUE),VLOOKUP(Calculator!E23,tbSkills!DH3:DJ6,3,FALSE),0),0)))/100)),1))*IF(VLOOKUP(A37,tbMoveset!A2:K112,11,FALSE)=TRUE,Backdoors!AC5,1))*JP37,0),"")</f>
        <v>0</v>
      </c>
      <c r="JT37" s="49">
        <f>VLOOKUP(A37,tbMoveset!A2:G112,7,FALSE)*IFERROR(IF(Backdoors!AI12&gt;=0,1+(IF(Calculator!E40&gt;0,VLOOKUP(Calculator!E40,tbSkills!AI3:AJ5,2,FALSE),Backdoors!AL4)*(IF((Backdoors!AI12+IF(JO37&gt;=0.45,VLOOKUP(Calculator!E23,tbSkills!DH3:DI6,2,FALSE)+IF(AND(Calculator!B8=TRUE,Backdoors!BI42=TRUE),VLOOKUP(Calculator!E23,tbSkills!DH3:DJ6,3,FALSE),0),0))&gt;=100,100,(Backdoors!AI12+IF(JO37&gt;=0.45,VLOOKUP(Calculator!E23,tbSkills!DH3:DI6,2,FALSE)+IF(AND(Calculator!B8=TRUE,Backdoors!BI42=TRUE),VLOOKUP(Calculator!E23,tbSkills!DH3:DJ6,3,FALSE),0),0)))/100)),1),1)</f>
        <v>0.5</v>
      </c>
      <c r="JU37" s="87">
        <f t="shared" si="31"/>
        <v>0</v>
      </c>
      <c r="JV37" s="86" t="str">
        <f>IFERROR(IF(VLOOKUP(A37,tbMoveset!A2:B112,2,FALSE)="Sever",Backdoors!AY43/100,IF(VLOOKUP(A37,tbMoveset!A2:B112,2,FALSE)="Blunt",Backdoors!AZ43/100,Backdoors!BA43/100)),"")</f>
        <v/>
      </c>
      <c r="JW37" s="49">
        <f>IFERROR(IF(VLOOKUP(tbMoveset!A37,tbMoveset!A2:H112,8,FALSE)="Other",IF(VLOOKUP(tbMoveset!A37,tbMoveset!A2:I112,9,FALSE)="Fire",Backdoors!BB43,IF(VLOOKUP(tbMoveset!A37,tbMoveset!A2:I112,9,FALSE)="Water",Backdoors!BC43,IF(VLOOKUP(tbMoveset!A37,tbMoveset!A2:I112,9,FALSE)="Thunder",Backdoors!BD43,IF(VLOOKUP(tbMoveset!A37,tbMoveset!A2:I112,9,FALSE)="Ice",Backdoors!BE43,IF(VLOOKUP(tbMoveset!A37,tbMoveset!A2:I112,9,FALSE)="Dragon",Backdoors!BF43,Backdoors!BG43)))))/100,Backdoors!BG43/100),"")</f>
        <v>0</v>
      </c>
      <c r="JX37" s="49">
        <f>IFERROR(IF(VLOOKUP(A37,tbMoveset!A2:J112,10,FALSE)=TRUE,IF((Backdoors!AI12+IF(JV37&gt;=0.45,VLOOKUP(Calculator!E23,tbSkills!DH3:DI6,2,FALSE)+IF(AND(Calculator!B8=TRUE,Backdoors!BI43=TRUE),VLOOKUP(Calculator!E23,tbSkills!DH3:DJ6,3,FALSE),0),0))&gt;=0,1+(Backdoors!AL2*(IF((Backdoors!AI12+IF(JV37&gt;=0.45,VLOOKUP(Calculator!E23,tbSkills!DH3:DI6,2,FALSE)+IF(AND(Calculator!B8=TRUE,Backdoors!BI43=TRUE),VLOOKUP(Calculator!E23,tbSkills!DH3:DJ6,3,FALSE),0),0))&gt;=100,100,(Backdoors!AI12+IF(JV37&gt;=0.45,VLOOKUP(Calculator!E23,tbSkills!DH3:DI6,2,FALSE)+IF(AND(Calculator!B8=TRUE,Backdoors!BI43=TRUE),VLOOKUP(Calculator!E23,tbSkills!DH3:DJ6,3,FALSE),0),0)))/100)),(1-(0.25*((-Backdoors!AI12-IF(JV37&gt;=0.45,VLOOKUP(Calculator!E23,tbSkills!DH3:DI6,2,FALSE)+IF(AND(Calculator!B8=TRUE,Backdoors!BI43=TRUE),VLOOKUP(Calculator!E23,tbSkills!DH3:DJ6,3,FALSE),0),0))/100)))),1),"")</f>
        <v>1</v>
      </c>
      <c r="JY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V37)*JX37)*(VLOOKUP(A37,tbMoveset!A2:C112,3,FALSE)/100)*IF(VLOOKUP(A37,tbMoveset!A2:B112,2,FALSE)="Projectile",Backdoors!N10,Backdoors!N9),0),"")</f>
        <v/>
      </c>
      <c r="JZ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46&gt;0,VLOOKUP(Calculator!E46,tbSkills!AC3:AD5,2,FALSE),Backdoors!AL3)*(IF((Backdoors!AI12+IF(JV37&gt;=0.45,VLOOKUP(Calculator!E23,tbSkills!DH3:DI6,2,FALSE)+IF(AND(Calculator!B8=TRUE,Backdoors!BI43=TRUE),VLOOKUP(Calculator!E23,tbSkills!DH3:DJ6,3,FALSE),0),0))&gt;=100,100,(Backdoors!AI12+IF(JV37&gt;=0.45,VLOOKUP(Calculator!E23,tbSkills!DH3:DI6,2,FALSE)+IF(AND(Calculator!B8=TRUE,Backdoors!BI43=TRUE),VLOOKUP(Calculator!E23,tbSkills!DH3:DJ6,3,FALSE),0),0)))/100)),1))*IF(VLOOKUP(A37,tbMoveset!A2:K112,11,FALSE)=TRUE,Backdoors!AC5,1))*JW37,0),"")</f>
        <v/>
      </c>
      <c r="KA37" s="49">
        <f>VLOOKUP(A37,tbMoveset!A2:G112,7,FALSE)*IFERROR(IF(Backdoors!AI12&gt;=0,1+(IF(Calculator!E40&gt;0,VLOOKUP(Calculator!E40,tbSkills!AI3:AJ5,2,FALSE),Backdoors!AL4)*(IF((Backdoors!AI12+IF(JV37&gt;=0.45,VLOOKUP(Calculator!E23,tbSkills!DH3:DI6,2,FALSE)+IF(AND(Calculator!B8=TRUE,Backdoors!BI43=TRUE),VLOOKUP(Calculator!E23,tbSkills!DH3:DJ6,3,FALSE),0),0))&gt;=100,100,(Backdoors!AI12+IF(JV37&gt;=0.45,VLOOKUP(Calculator!E23,tbSkills!DH3:DI6,2,FALSE)+IF(AND(Calculator!B8=TRUE,Backdoors!BI43=TRUE),VLOOKUP(Calculator!E23,tbSkills!DH3:DJ6,3,FALSE),0),0)))/100)),1),1)</f>
        <v>0.5</v>
      </c>
      <c r="KB37" s="87">
        <f t="shared" si="32"/>
        <v>0</v>
      </c>
      <c r="KC37" s="86" t="str">
        <f>IFERROR(IF(VLOOKUP(A37,tbMoveset!A2:B112,2,FALSE)="Sever",Backdoors!AY44/100,IF(VLOOKUP(A37,tbMoveset!A2:B112,2,FALSE)="Blunt",Backdoors!AZ44/100,Backdoors!BA44/100)),"")</f>
        <v/>
      </c>
      <c r="KD37" s="49">
        <f>IFERROR(IF(VLOOKUP(tbMoveset!A37,tbMoveset!A2:H112,8,FALSE)="Other",IF(VLOOKUP(tbMoveset!A37,tbMoveset!A2:I112,9,FALSE)="Fire",Backdoors!BB44,IF(VLOOKUP(tbMoveset!A37,tbMoveset!A2:I112,9,FALSE)="Water",Backdoors!BC44,IF(VLOOKUP(tbMoveset!A37,tbMoveset!A2:I112,9,FALSE)="Thunder",Backdoors!BD44,IF(VLOOKUP(tbMoveset!A37,tbMoveset!A2:I112,9,FALSE)="Ice",Backdoors!BE44,IF(VLOOKUP(tbMoveset!A37,tbMoveset!A2:I112,9,FALSE)="Dragon",Backdoors!BF44,Backdoors!BG44)))))/100,Backdoors!BG44/100),"")</f>
        <v>0</v>
      </c>
      <c r="KE37" s="49">
        <f>IFERROR(IF(VLOOKUP(A37,tbMoveset!A2:J112,10,FALSE)=TRUE,IF((Backdoors!AI12+IF(KC37&gt;=0.45,VLOOKUP(Calculator!E23,tbSkills!DH3:DI6,2,FALSE)+IF(AND(Calculator!B8=TRUE,Backdoors!BI44=TRUE),VLOOKUP(Calculator!E23,tbSkills!DH3:DJ6,3,FALSE),0),0))&gt;=0,1+(Backdoors!AL2*(IF((Backdoors!AI12+IF(KC37&gt;=0.45,VLOOKUP(Calculator!E23,tbSkills!DH3:DI6,2,FALSE)+IF(AND(Calculator!B8=TRUE,Backdoors!BI44=TRUE),VLOOKUP(Calculator!E23,tbSkills!DH3:DJ6,3,FALSE),0),0))&gt;=100,100,(Backdoors!AI12+IF(KC37&gt;=0.45,VLOOKUP(Calculator!E23,tbSkills!DH3:DI6,2,FALSE)+IF(AND(Calculator!B8=TRUE,Backdoors!BI44=TRUE),VLOOKUP(Calculator!E23,tbSkills!DH3:DJ6,3,FALSE),0),0)))/100)),(1-(0.25*((-Backdoors!AI12-IF(KC37&gt;=0.45,VLOOKUP(Calculator!E23,tbSkills!DH3:DI6,2,FALSE)+IF(AND(Calculator!B8=TRUE,Backdoors!BI44=TRUE),VLOOKUP(Calculator!E23,tbSkills!DH3:DJ6,3,FALSE),0),0))/100)))),1),"")</f>
        <v>1</v>
      </c>
      <c r="KF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KC37)*KE37)*(VLOOKUP(A37,tbMoveset!A2:C112,3,FALSE)/100)*IF(VLOOKUP(A37,tbMoveset!A2:B112,2,FALSE)="Projectile",Backdoors!N10,Backdoors!N9),0),"")</f>
        <v/>
      </c>
      <c r="KG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REF!&gt;0,VLOOKUP(Calculator!#REF!,tbSkills!AC3:AD5,2,FALSE),Backdoors!AL3)*(IF((Backdoors!AI12+IF(KC37&gt;=0.45,VLOOKUP(Calculator!E23,tbSkills!DH3:DI6,2,FALSE)+IF(AND(Calculator!B8=TRUE,Backdoors!BI44=TRUE),VLOOKUP(Calculator!E23,tbSkills!DH3:DJ6,3,FALSE),0),0))&gt;=100,100,(Backdoors!AI12+IF(KC37&gt;=0.45,VLOOKUP(Calculator!E23,tbSkills!DH3:DI6,2,FALSE)+IF(AND(Calculator!B8=TRUE,Backdoors!BI44=TRUE),VLOOKUP(Calculator!E23,tbSkills!DH3:DJ6,3,FALSE),0),0)))/100)),1))*IF(VLOOKUP(A37,tbMoveset!A2:K112,11,FALSE)=TRUE,Backdoors!AC5,1))*KD37,0),"")</f>
        <v/>
      </c>
      <c r="KH37" s="49">
        <f>VLOOKUP(A37,tbMoveset!A2:G112,7,FALSE)*IFERROR(IF(Backdoors!AI12&gt;=0,1+(IF(Calculator!E40&gt;0,VLOOKUP(Calculator!E40,tbSkills!AI3:AJ5,2,FALSE),Backdoors!AL4)*(IF((Backdoors!AI12+IF(KC37&gt;=0.45,VLOOKUP(Calculator!E23,tbSkills!DH3:DI6,2,FALSE)+IF(AND(Calculator!B8=TRUE,Backdoors!BI44=TRUE),VLOOKUP(Calculator!E23,tbSkills!DH3:DJ6,3,FALSE),0),0))&gt;=100,100,(Backdoors!AI12+IF(KC37&gt;=0.45,VLOOKUP(Calculator!E23,tbSkills!DH3:DI6,2,FALSE)+IF(AND(Calculator!B8=TRUE,Backdoors!BI44=TRUE),VLOOKUP(Calculator!E23,tbSkills!DH3:DJ6,3,FALSE),0),0)))/100)),1),1)</f>
        <v>0.5</v>
      </c>
      <c r="KI37" s="87">
        <f t="shared" si="33"/>
        <v>0</v>
      </c>
      <c r="KJ37" s="86" t="str">
        <f>IFERROR(IF(VLOOKUP(A37,tbMoveset!A2:B112,2,FALSE)="Sever",Backdoors!AY45/100,IF(VLOOKUP(A37,tbMoveset!A2:B112,2,FALSE)="Blunt",Backdoors!AZ45/100,Backdoors!BA45/100)),"")</f>
        <v/>
      </c>
      <c r="KK37" s="49">
        <f>IFERROR(IF(VLOOKUP(tbMoveset!A37,tbMoveset!A2:H112,8,FALSE)="Other",IF(VLOOKUP(tbMoveset!A37,tbMoveset!A2:I112,9,FALSE)="Fire",Backdoors!BB45,IF(VLOOKUP(tbMoveset!A37,tbMoveset!A2:I112,9,FALSE)="Water",Backdoors!BC45,IF(VLOOKUP(tbMoveset!A37,tbMoveset!A2:I112,9,FALSE)="Thunder",Backdoors!BD45,IF(VLOOKUP(tbMoveset!A37,tbMoveset!A2:I112,9,FALSE)="Ice",Backdoors!BE45,IF(VLOOKUP(tbMoveset!A37,tbMoveset!A2:I112,9,FALSE)="Dragon",Backdoors!BF45,Backdoors!BG45)))))/100,Backdoors!BG45/100),"")</f>
        <v>0</v>
      </c>
      <c r="KL37" s="49">
        <f>IFERROR(IF(VLOOKUP(A37,tbMoveset!A2:J112,10,FALSE)=TRUE,IF((Backdoors!AI12+IF(KJ37&gt;=0.45,VLOOKUP(Calculator!E23,tbSkills!DH3:DI6,2,FALSE)+IF(AND(Calculator!B8=TRUE,Backdoors!BI45=TRUE),VLOOKUP(Calculator!E23,tbSkills!DH3:DJ6,3,FALSE),0),0))&gt;=0,1+(Backdoors!AL2*(IF((Backdoors!AI12+IF(KJ37&gt;=0.45,VLOOKUP(Calculator!E23,tbSkills!DH3:DI6,2,FALSE)+IF(AND(Calculator!B8=TRUE,Backdoors!BI45=TRUE),VLOOKUP(Calculator!E23,tbSkills!DH3:DJ6,3,FALSE),0),0))&gt;=100,100,(Backdoors!AI12+IF(KJ37&gt;=0.45,VLOOKUP(Calculator!E23,tbSkills!DH3:DI6,2,FALSE)+IF(AND(Calculator!B8=TRUE,Backdoors!BI45=TRUE),VLOOKUP(Calculator!E23,tbSkills!DH3:DJ6,3,FALSE),0),0)))/100)),(1-(0.25*((-Backdoors!AI12-IF(KJ37&gt;=0.45,VLOOKUP(Calculator!E23,tbSkills!DH3:DI6,2,FALSE)+IF(AND(Calculator!B8=TRUE,Backdoors!BI45=TRUE),VLOOKUP(Calculator!E23,tbSkills!DH3:DJ6,3,FALSE),0),0))/100)))),1),"")</f>
        <v>1</v>
      </c>
      <c r="KM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KJ37)*KL37)*(VLOOKUP(A37,tbMoveset!A2:C112,3,FALSE)/100)*IF(VLOOKUP(A37,tbMoveset!A2:B112,2,FALSE)="Projectile",Backdoors!N10,Backdoors!N9),0),"")</f>
        <v/>
      </c>
      <c r="KN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REF!&gt;0,VLOOKUP(Calculator!#REF!,tbSkills!AC3:AD5,2,FALSE),Backdoors!AL3)*(IF((Backdoors!AI12+IF(KJ37&gt;=0.45,VLOOKUP(Calculator!E23,tbSkills!DH3:DI6,2,FALSE)+IF(AND(Calculator!B8=TRUE,Backdoors!BI45=TRUE),VLOOKUP(Calculator!E23,tbSkills!DH3:DJ6,3,FALSE),0),0))&gt;=100,100,(Backdoors!AI12+IF(KJ37&gt;=0.45,VLOOKUP(Calculator!E23,tbSkills!DH3:DI6,2,FALSE)+IF(AND(Calculator!B8=TRUE,Backdoors!BI45=TRUE),VLOOKUP(Calculator!E23,tbSkills!DH3:DJ6,3,FALSE),0),0)))/100)),1))*IF(VLOOKUP(A37,tbMoveset!A2:K112,11,FALSE)=TRUE,Backdoors!AC5,1))*KK37,0),"")</f>
        <v/>
      </c>
      <c r="KO37" s="49">
        <f>VLOOKUP(A37,tbMoveset!A2:G112,7,FALSE)*IFERROR(IF(Backdoors!AI12&gt;=0,1+(IF(Calculator!E40&gt;0,VLOOKUP(Calculator!E40,tbSkills!AI3:AJ5,2,FALSE),Backdoors!AL4)*(IF((Backdoors!AI12+IF(KJ37&gt;=0.45,VLOOKUP(Calculator!E23,tbSkills!DH3:DI6,2,FALSE)+IF(AND(Calculator!B8=TRUE,Backdoors!BI45=TRUE),VLOOKUP(Calculator!E23,tbSkills!DH3:DJ6,3,FALSE),0),0))&gt;=100,100,(Backdoors!AI12+IF(KJ37&gt;=0.45,VLOOKUP(Calculator!E23,tbSkills!DH3:DI6,2,FALSE)+IF(AND(Calculator!B8=TRUE,Backdoors!BI45=TRUE),VLOOKUP(Calculator!E23,tbSkills!DH3:DJ6,3,FALSE),0),0)))/100)),1),1)</f>
        <v>0.5</v>
      </c>
      <c r="KP37" s="87">
        <f t="shared" si="34"/>
        <v>0</v>
      </c>
      <c r="KQ37" s="86" t="str">
        <f>IFERROR(IF(VLOOKUP(A37,tbMoveset!A2:B112,2,FALSE)="Sever",Backdoors!AY46/100,IF(VLOOKUP(A37,tbMoveset!A2:B112,2,FALSE)="Blunt",Backdoors!AZ46/100,Backdoors!BA46/100)),"")</f>
        <v/>
      </c>
      <c r="KR37" s="49">
        <f>IFERROR(IF(VLOOKUP(tbMoveset!A37,tbMoveset!A2:H112,8,FALSE)="Other",IF(VLOOKUP(tbMoveset!A37,tbMoveset!A2:I112,9,FALSE)="Fire",Backdoors!BB46,IF(VLOOKUP(tbMoveset!A37,tbMoveset!A2:I112,9,FALSE)="Water",Backdoors!BC46,IF(VLOOKUP(tbMoveset!A37,tbMoveset!A2:I112,9,FALSE)="Thunder",Backdoors!BD46,IF(VLOOKUP(tbMoveset!A37,tbMoveset!A2:I112,9,FALSE)="Ice",Backdoors!BE46,IF(VLOOKUP(tbMoveset!A37,tbMoveset!A2:I112,9,FALSE)="Dragon",Backdoors!BF46,Backdoors!BG46)))))/100,Backdoors!BG46/100),"")</f>
        <v>0</v>
      </c>
      <c r="KS37" s="49">
        <f>IFERROR(IF(VLOOKUP(A37,tbMoveset!A2:J112,10,FALSE)=TRUE,IF((Backdoors!AI12+IF(KQ37&gt;=0.45,VLOOKUP(Calculator!E23,tbSkills!DH3:DI6,2,FALSE)+IF(AND(Calculator!B8=TRUE,Backdoors!BI46=TRUE),VLOOKUP(Calculator!E23,tbSkills!DH3:DJ6,3,FALSE),0),0))&gt;=0,1+(Backdoors!AL2*(IF((Backdoors!AI12+IF(KQ37&gt;=0.45,VLOOKUP(Calculator!E23,tbSkills!DH3:DI6,2,FALSE)+IF(AND(Calculator!B8=TRUE,Backdoors!BI46=TRUE),VLOOKUP(Calculator!E23,tbSkills!DH3:DJ6,3,FALSE),0),0))&gt;=100,100,(Backdoors!AI12+IF(KQ37&gt;=0.45,VLOOKUP(Calculator!E23,tbSkills!DH3:DI6,2,FALSE)+IF(AND(Calculator!B8=TRUE,Backdoors!BI46=TRUE),VLOOKUP(Calculator!E23,tbSkills!DH3:DJ6,3,FALSE),0),0)))/100)),(1-(0.25*((-Backdoors!AI12-IF(KQ37&gt;=0.45,VLOOKUP(Calculator!E23,tbSkills!DH3:DI6,2,FALSE)+IF(AND(Calculator!B8=TRUE,Backdoors!BI46=TRUE),VLOOKUP(Calculator!E23,tbSkills!DH3:DJ6,3,FALSE),0),0))/100)))),1),"")</f>
        <v>1</v>
      </c>
      <c r="KT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KQ37)*KS37)*(VLOOKUP(A37,tbMoveset!A2:C112,3,FALSE)/100)*IF(VLOOKUP(A37,tbMoveset!A2:B112,2,FALSE)="Projectile",Backdoors!N10,Backdoors!N9),0),"")</f>
        <v/>
      </c>
      <c r="KU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REF!&gt;0,VLOOKUP(Calculator!#REF!,tbSkills!AC3:AD5,2,FALSE),Backdoors!AL3)*(IF((Backdoors!AI12+IF(KQ37&gt;=0.45,VLOOKUP(Calculator!E23,tbSkills!DH3:DI6,2,FALSE)+IF(AND(Calculator!B8=TRUE,Backdoors!BI46=TRUE),VLOOKUP(Calculator!E23,tbSkills!DH3:DJ6,3,FALSE),0),0))&gt;=100,100,(Backdoors!AI12+IF(KQ37&gt;=0.45,VLOOKUP(Calculator!E23,tbSkills!DH3:DI6,2,FALSE)+IF(AND(Calculator!B8=TRUE,Backdoors!BI46=TRUE),VLOOKUP(Calculator!E23,tbSkills!DH3:DJ6,3,FALSE),0),0)))/100)),1))*IF(VLOOKUP(A37,tbMoveset!A2:K112,11,FALSE)=TRUE,Backdoors!AC5,1))*KR37,0),"")</f>
        <v/>
      </c>
      <c r="KV37" s="49">
        <f>VLOOKUP(A37,tbMoveset!A2:G112,7,FALSE)*IFERROR(IF(Backdoors!AI12&gt;=0,1+(IF(Calculator!E40&gt;0,VLOOKUP(Calculator!E40,tbSkills!AI3:AJ5,2,FALSE),Backdoors!AL4)*(IF((Backdoors!AI12+IF(KQ37&gt;=0.45,VLOOKUP(Calculator!E23,tbSkills!DH3:DI6,2,FALSE)+IF(AND(Calculator!B8=TRUE,Backdoors!BI46=TRUE),VLOOKUP(Calculator!E23,tbSkills!DH3:DJ6,3,FALSE),0),0))&gt;=100,100,(Backdoors!AI12+IF(KQ37&gt;=0.45,VLOOKUP(Calculator!E23,tbSkills!DH3:DI6,2,FALSE)+IF(AND(Calculator!B8=TRUE,Backdoors!BI46=TRUE),VLOOKUP(Calculator!E23,tbSkills!DH3:DJ6,3,FALSE),0),0)))/100)),1),1)</f>
        <v>0.5</v>
      </c>
      <c r="KW37" s="87">
        <f t="shared" si="35"/>
        <v>0</v>
      </c>
    </row>
    <row r="38" spans="1:309" x14ac:dyDescent="0.25">
      <c r="A38" s="95" t="str">
        <f>tbMoveset!A38</f>
        <v>Twofold Demon Slash (L)</v>
      </c>
      <c r="B38" s="86">
        <f>IFERROR(IF(VLOOKUP(A38,tbMoveset!A2:B112,2,FALSE)="Sever",Backdoors!AY3/100,IF(VLOOKUP(A38,tbMoveset!A2:B112,2,FALSE)="Blunt",Backdoors!AZ3/100,Backdoors!BA3/100)),"")</f>
        <v>0.8</v>
      </c>
      <c r="C38" s="49">
        <f>IFERROR(IF(VLOOKUP(tbMoveset!A38,tbMoveset!A2:H112,8,FALSE)="Other",IF(VLOOKUP(tbMoveset!A38,tbMoveset!A2:I112,9,FALSE)="Fire",Backdoors!BB3,IF(VLOOKUP(tbMoveset!A38,tbMoveset!A2:I112,9,FALSE)="Water",Backdoors!BC3,IF(VLOOKUP(tbMoveset!A38,tbMoveset!A2:I112,9,FALSE)="Thunder",Backdoors!BD3,IF(VLOOKUP(tbMoveset!A38,tbMoveset!A2:I112,9,FALSE)="Ice",Backdoors!BE3,IF(VLOOKUP(tbMoveset!A38,tbMoveset!A2:I112,9,FALSE)="Dragon",Backdoors!BF3,Backdoors!BG3)))))/100,Backdoors!BG3/100),"")</f>
        <v>0</v>
      </c>
      <c r="D38" s="49">
        <f>IFERROR(IF(VLOOKUP(A38,tbMoveset!A2:J112,10,FALSE)=TRUE,IF((Backdoors!AI12+IF(B38&gt;=0.45,VLOOKUP(Calculator!E23,tbSkills!DH3:DI6,2,FALSE)+IF(AND(Calculator!B8=TRUE,Backdoors!BI3=TRUE),VLOOKUP(Calculator!E23,tbSkills!DH3:DJ6,3,FALSE),0),0))&gt;=0,1+(Backdoors!AL2*(IF((Backdoors!AI12+IF(B38&gt;=0.45,VLOOKUP(Calculator!E23,tbSkills!DH3:DI6,2,FALSE)+IF(AND(Calculator!B8=TRUE,Backdoors!BI3=TRUE),VLOOKUP(Calculator!E23,tbSkills!DH3:DJ6,3,FALSE),0),0))&gt;=100,100,(Backdoors!AI12+IF(B38&gt;=0.45,VLOOKUP(Calculator!E23,tbSkills!DH3:DI6,2,FALSE)+IF(AND(Calculator!B8=TRUE,Backdoors!BI3=TRUE),VLOOKUP(Calculator!E23,tbSkills!DH3:DJ6,3,FALSE),0),0)))/100)),(1-(0.25*((-Backdoors!AI12-IF(B38&gt;=0.45,VLOOKUP(Calculator!E23,tbSkills!DH3:DI6,2,FALSE)+IF(AND(Calculator!B8=TRUE,Backdoors!BI3=TRUE),VLOOKUP(Calculator!E23,tbSkills!DH3:DJ6,3,FALSE),0),0))/100)))),1),"")</f>
        <v>1</v>
      </c>
      <c r="E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38)*D38)*(VLOOKUP(A38,tbMoveset!A2:C112,3,FALSE)/100)*IF(VLOOKUP(A38,tbMoveset!A2:B112,2,FALSE)="Projectile",Backdoors!N10,Backdoors!N9),0),"")</f>
        <v>5</v>
      </c>
      <c r="F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38&gt;=0.45,VLOOKUP(Calculator!E23,tbSkills!DH3:DI6,2,FALSE)+IF(AND(Calculator!B8=TRUE,Backdoors!BI3=TRUE),VLOOKUP(Calculator!E23,tbSkills!DH3:DJ6,3,FALSE),0),0))&gt;=100,100,(Backdoors!AI12+IF(B38&gt;=0.45,VLOOKUP(Calculator!E23,tbSkills!DH3:DI6,2,FALSE)+IF(AND(Calculator!B8=TRUE,Backdoors!BI3=TRUE),VLOOKUP(Calculator!E23,tbSkills!DH3:DJ6,3,FALSE),0),0)))/100)),1))*IF(VLOOKUP(A38,tbMoveset!A2:K112,11,FALSE)=TRUE,Backdoors!AC5,1))*C38,0),"")</f>
        <v>0</v>
      </c>
      <c r="G38">
        <f>VLOOKUP(A38,tbMoveset!A2:G112,7,FALSE)*IFERROR(IF(Backdoors!AI12&gt;=0,1+(IF(Calculator!E40&gt;0,VLOOKUP(Calculator!E40,tbSkills!AI3:AJ5,2,FALSE),Backdoors!AL4)*(IF((Backdoors!AI12+IF(B38&gt;=0.45,VLOOKUP(Calculator!E23,tbSkills!DH3:DI6,2,FALSE)+IF(AND(Calculator!B8=TRUE,Backdoors!BI3=TRUE),VLOOKUP(Calculator!E23,tbSkills!DH3:DJ6,3,FALSE),0),0))&gt;=100,100,(Backdoors!AI12+IF(B38&gt;=0.45,VLOOKUP(Calculator!E23,tbSkills!DH3:DI6,2,FALSE)+IF(AND(Calculator!B8=TRUE,Backdoors!BI3=TRUE),VLOOKUP(Calculator!E23,tbSkills!DH3:DJ6,3,FALSE),0),0)))/100)),1),1)</f>
        <v>0.5</v>
      </c>
      <c r="H38" s="87">
        <f t="shared" si="44"/>
        <v>5</v>
      </c>
      <c r="I38" s="86">
        <f>IFERROR(IF(VLOOKUP(A38,tbMoveset!A2:B112,2,FALSE)="Sever",Backdoors!AY4/100,IF(VLOOKUP(A38,tbMoveset!A2:B112,2,FALSE)="Blunt",Backdoors!AZ4/100,Backdoors!BA4/100)),"")</f>
        <v>0.65</v>
      </c>
      <c r="J38" s="49">
        <f>IFERROR(IF(VLOOKUP(tbMoveset!A38,tbMoveset!A2:H112,8,FALSE)="Other",IF(VLOOKUP(tbMoveset!A38,tbMoveset!A2:I112,9,FALSE)="Fire",Backdoors!BB4,IF(VLOOKUP(tbMoveset!A38,tbMoveset!A2:I112,9,FALSE)="Water",Backdoors!BC4,IF(VLOOKUP(tbMoveset!A38,tbMoveset!A2:I112,9,FALSE)="Thunder",Backdoors!BD4,IF(VLOOKUP(tbMoveset!A38,tbMoveset!A2:I112,9,FALSE)="Ice",Backdoors!BE4,IF(VLOOKUP(tbMoveset!A38,tbMoveset!A2:I112,9,FALSE)="Dragon",Backdoors!BF4,Backdoors!BG4)))))/100,Backdoors!BG4/100),"")</f>
        <v>0</v>
      </c>
      <c r="K38" s="49">
        <f>IFERROR(IF(VLOOKUP(A38,tbMoveset!A2:J112,10,FALSE)=TRUE,IF((Backdoors!AI12+IF(I38&gt;=0.45,VLOOKUP(Calculator!E23,tbSkills!DH3:DI6,2,FALSE)+IF(AND(Calculator!B8=TRUE,Backdoors!BI4=TRUE),VLOOKUP(Calculator!E23,tbSkills!DH3:DJ6,3,FALSE),0),0))&gt;=0,1+(Backdoors!AL2*(IF((Backdoors!AI12+IF(I38&gt;=0.45,VLOOKUP(Calculator!E23,tbSkills!DH3:DI6,2,FALSE)+IF(AND(Calculator!B8=TRUE,Backdoors!BI4=TRUE),VLOOKUP(Calculator!E23,tbSkills!DH3:DJ6,3,FALSE),0),0))&gt;=100,100,(Backdoors!AI12+IF(I38&gt;=0.45,VLOOKUP(Calculator!E23,tbSkills!DH3:DI6,2,FALSE)+IF(AND(Calculator!B8=TRUE,Backdoors!BI4=TRUE),VLOOKUP(Calculator!E23,tbSkills!DH3:DJ6,3,FALSE),0),0)))/100)),(1-(0.25*((-Backdoors!AI12-IF(I38&gt;=0.45,VLOOKUP(Calculator!E23,tbSkills!DH3:DI6,2,FALSE)+IF(AND(Calculator!B8=TRUE,Backdoors!BI4=TRUE),VLOOKUP(Calculator!E23,tbSkills!DH3:DJ6,3,FALSE),0),0))/100)))),1),"")</f>
        <v>1</v>
      </c>
      <c r="L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38)*K38)*(VLOOKUP(A38,tbMoveset!A2:C112,3,FALSE)/100)*IF(VLOOKUP(A38,tbMoveset!A2:B112,2,FALSE)="Projectile",Backdoors!N10,Backdoors!N9),0),"")</f>
        <v>4</v>
      </c>
      <c r="M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I38&gt;=0.45,VLOOKUP(Calculator!E23,tbSkills!DH3:DI6,2,FALSE)+IF(AND(Calculator!B8=TRUE,Backdoors!BI4=TRUE),VLOOKUP(Calculator!E23,tbSkills!DH3:DJ6,3,FALSE),0),0))&gt;=100,100,(Backdoors!AI12+IF(I38&gt;=0.45,VLOOKUP(Calculator!E23,tbSkills!DH3:DI6,2,FALSE)+IF(AND(Calculator!B8=TRUE,Backdoors!BI4=TRUE),VLOOKUP(Calculator!E23,tbSkills!DH3:DJ6,3,FALSE),0),0)))/100)),1))*IF(VLOOKUP(A38,tbMoveset!A2:K112,11,FALSE)=TRUE,Backdoors!AC5,1))*J38,0),"")</f>
        <v>0</v>
      </c>
      <c r="N38" s="49">
        <f>VLOOKUP(A38,tbMoveset!A2:G112,7,FALSE)*IFERROR(IF(Backdoors!AI12&gt;=0,1+(IF(Calculator!E40&gt;0,VLOOKUP(Calculator!E40,tbSkills!AI3:AJ5,2,FALSE),Backdoors!AL4)*(IF((Backdoors!AI12+IF(I38&gt;=0.45,VLOOKUP(Calculator!E23,tbSkills!DH3:DI6,2,FALSE)+IF(AND(Calculator!B8=TRUE,Backdoors!BI4=TRUE),VLOOKUP(Calculator!E23,tbSkills!DH3:DJ6,3,FALSE),0),0))&gt;=100,100,(Backdoors!AI12+IF(I38&gt;=0.45,VLOOKUP(Calculator!E23,tbSkills!DH3:DI6,2,FALSE)+IF(AND(Calculator!B8=TRUE,Backdoors!BI4=TRUE),VLOOKUP(Calculator!E23,tbSkills!DH3:DJ6,3,FALSE),0),0)))/100)),1),1)</f>
        <v>0.5</v>
      </c>
      <c r="O38" s="87">
        <f t="shared" si="45"/>
        <v>4</v>
      </c>
      <c r="P38" s="86">
        <f>IFERROR(IF(VLOOKUP(A38,tbMoveset!A2:B112,2,FALSE)="Sever",Backdoors!AY5/100,IF(VLOOKUP(A38,tbMoveset!A2:B112,2,FALSE)="Blunt",Backdoors!AZ5/100,Backdoors!BA5/100)),"")</f>
        <v>0.5</v>
      </c>
      <c r="Q38" s="49">
        <f>IFERROR(IF(VLOOKUP(tbMoveset!A38,tbMoveset!A2:H112,8,FALSE)="Other",IF(VLOOKUP(tbMoveset!A38,tbMoveset!A2:I112,9,FALSE)="Fire",Backdoors!BB5,IF(VLOOKUP(tbMoveset!A38,tbMoveset!A2:I112,9,FALSE)="Water",Backdoors!BC5,IF(VLOOKUP(tbMoveset!A38,tbMoveset!A2:I112,9,FALSE)="Thunder",Backdoors!BD5,IF(VLOOKUP(tbMoveset!A38,tbMoveset!A2:I112,9,FALSE)="Ice",Backdoors!BE5,IF(VLOOKUP(tbMoveset!A38,tbMoveset!A2:I112,9,FALSE)="Dragon",Backdoors!BF5,Backdoors!BG5)))))/100,Backdoors!BG5/100),"")</f>
        <v>0</v>
      </c>
      <c r="R38" s="49">
        <f>IFERROR(IF(VLOOKUP(A38,tbMoveset!A2:J112,10,FALSE)=TRUE,IF((Backdoors!AI12+IF(P38&gt;=0.45,VLOOKUP(Calculator!E23,tbSkills!DH3:DI6,2,FALSE)+IF(AND(Calculator!B8=TRUE,Backdoors!BI5=TRUE),VLOOKUP(Calculator!E23,tbSkills!DH3:DJ6,3,FALSE),0),0))&gt;=0,1+(Backdoors!AL2*(IF((Backdoors!AI12+IF(P38&gt;=0.45,VLOOKUP(Calculator!E23,tbSkills!DH3:DI6,2,FALSE)+IF(AND(Calculator!B8=TRUE,Backdoors!BI5=TRUE),VLOOKUP(Calculator!E23,tbSkills!DH3:DJ6,3,FALSE),0),0))&gt;=100,100,(Backdoors!AI12+IF(P38&gt;=0.45,VLOOKUP(Calculator!E23,tbSkills!DH3:DI6,2,FALSE)+IF(AND(Calculator!B8=TRUE,Backdoors!BI5=TRUE),VLOOKUP(Calculator!E23,tbSkills!DH3:DJ6,3,FALSE),0),0)))/100)),(1-(0.25*((-Backdoors!AI12-IF(P38&gt;=0.45,VLOOKUP(Calculator!E23,tbSkills!DH3:DI6,2,FALSE)+IF(AND(Calculator!B8=TRUE,Backdoors!BI5=TRUE),VLOOKUP(Calculator!E23,tbSkills!DH3:DJ6,3,FALSE),0),0))/100)))),1),"")</f>
        <v>1</v>
      </c>
      <c r="S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P38)*R38)*(VLOOKUP(A38,tbMoveset!A2:C112,3,FALSE)/100)*IF(VLOOKUP(A38,tbMoveset!A2:B112,2,FALSE)="Projectile",Backdoors!N10,Backdoors!N9),0),"")</f>
        <v>3</v>
      </c>
      <c r="T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P38&gt;=0.45,VLOOKUP(Calculator!E23,tbSkills!DH3:DI6,2,FALSE)+IF(AND(Calculator!B8=TRUE,Backdoors!BI5=TRUE),VLOOKUP(Calculator!E23,tbSkills!DH3:DJ6,3,FALSE),0),0))&gt;=100,100,(Backdoors!AI12+IF(P38&gt;=0.45,VLOOKUP(Calculator!E23,tbSkills!DH3:DI6,2,FALSE)+IF(AND(Calculator!B8=TRUE,Backdoors!BI5=TRUE),VLOOKUP(Calculator!E23,tbSkills!DH3:DJ6,3,FALSE),0),0)))/100)),1))*IF(VLOOKUP(A38,tbMoveset!A2:K112,11,FALSE)=TRUE,Backdoors!AC5,1))*Q38,0),"")</f>
        <v>0</v>
      </c>
      <c r="U38" s="49">
        <f>VLOOKUP(A38,tbMoveset!A2:G112,7,FALSE)*IFERROR(IF(Backdoors!AI12&gt;=0,1+(IF(Calculator!E40&gt;0,VLOOKUP(Calculator!E40,tbSkills!AI3:AJ5,2,FALSE),Backdoors!AL4)*(IF((Backdoors!AI12+IF(P38&gt;=0.45,VLOOKUP(Calculator!E23,tbSkills!DH3:DI6,2,FALSE)+IF(AND(Calculator!B8=TRUE,Backdoors!BI5=TRUE),VLOOKUP(Calculator!E23,tbSkills!DH3:DJ6,3,FALSE),0),0))&gt;=100,100,(Backdoors!AI12+IF(P38&gt;=0.45,VLOOKUP(Calculator!E23,tbSkills!DH3:DI6,2,FALSE)+IF(AND(Calculator!B8=TRUE,Backdoors!BI5=TRUE),VLOOKUP(Calculator!E23,tbSkills!DH3:DJ6,3,FALSE),0),0)))/100)),1),1)</f>
        <v>0.5</v>
      </c>
      <c r="V38" s="87">
        <f t="shared" si="46"/>
        <v>3</v>
      </c>
      <c r="W38" s="86">
        <f>IFERROR(IF(VLOOKUP(A38,tbMoveset!A2:B112,2,FALSE)="Sever",Backdoors!AY6/100,IF(VLOOKUP(A38,tbMoveset!A2:B112,2,FALSE)="Blunt",Backdoors!AZ6/100,Backdoors!BA6/100)),"")</f>
        <v>0.45</v>
      </c>
      <c r="X38" s="49">
        <f>IFERROR(IF(VLOOKUP(tbMoveset!A38,tbMoveset!A2:H112,8,FALSE)="Other",IF(VLOOKUP(tbMoveset!A38,tbMoveset!A2:I112,9,FALSE)="Fire",Backdoors!BB6,IF(VLOOKUP(tbMoveset!A38,tbMoveset!A2:I112,9,FALSE)="Water",Backdoors!BC6,IF(VLOOKUP(tbMoveset!A38,tbMoveset!A2:I112,9,FALSE)="Thunder",Backdoors!BD6,IF(VLOOKUP(tbMoveset!A38,tbMoveset!A2:I112,9,FALSE)="Ice",Backdoors!BE6,IF(VLOOKUP(tbMoveset!A38,tbMoveset!A2:I112,9,FALSE)="Dragon",Backdoors!BF6,Backdoors!BG6)))))/100,Backdoors!BG6/100),"")</f>
        <v>0</v>
      </c>
      <c r="Y38" s="49">
        <f>IFERROR(IF(VLOOKUP(A38,tbMoveset!A2:J112,10,FALSE)=TRUE,IF((Backdoors!AI12+IF(W38&gt;=0.45,VLOOKUP(Calculator!E23,tbSkills!DH3:DI6,2,FALSE)+IF(AND(Calculator!B8=TRUE,Backdoors!BI6=TRUE),VLOOKUP(Calculator!E23,tbSkills!DH3:DJ6,3,FALSE),0),0))&gt;=0,1+(Backdoors!AL2*(IF((Backdoors!AI12+IF(W38&gt;=0.45,VLOOKUP(Calculator!E23,tbSkills!DH3:DI6,2,FALSE)+IF(AND(Calculator!B8=TRUE,Backdoors!BI6=TRUE),VLOOKUP(Calculator!E23,tbSkills!DH3:DJ6,3,FALSE),0),0))&gt;=100,100,(Backdoors!AI12+IF(W38&gt;=0.45,VLOOKUP(Calculator!E23,tbSkills!DH3:DI6,2,FALSE)+IF(AND(Calculator!B8=TRUE,Backdoors!BI6=TRUE),VLOOKUP(Calculator!E23,tbSkills!DH3:DJ6,3,FALSE),0),0)))/100)),(1-(0.25*((-Backdoors!AI12-IF(W38&gt;=0.45,VLOOKUP(Calculator!E23,tbSkills!DH3:DI6,2,FALSE)+IF(AND(Calculator!B8=TRUE,Backdoors!BI6=TRUE),VLOOKUP(Calculator!E23,tbSkills!DH3:DJ6,3,FALSE),0),0))/100)))),1),"")</f>
        <v>1</v>
      </c>
      <c r="Z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W38)*Y38)*(VLOOKUP(A38,tbMoveset!A2:C112,3,FALSE)/100)*IF(VLOOKUP(A38,tbMoveset!A2:B112,2,FALSE)="Projectile",Backdoors!N10,Backdoors!N9),0),"")</f>
        <v>3</v>
      </c>
      <c r="AA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W38&gt;=0.45,VLOOKUP(Calculator!E23,tbSkills!DH3:DI6,2,FALSE)+IF(AND(Calculator!B8=TRUE,Backdoors!BI6=TRUE),VLOOKUP(Calculator!E23,tbSkills!DH3:DJ6,3,FALSE),0),0))&gt;=100,100,(Backdoors!AI12+IF(W38&gt;=0.45,VLOOKUP(Calculator!E23,tbSkills!DH3:DI6,2,FALSE)+IF(AND(Calculator!B8=TRUE,Backdoors!BI6=TRUE),VLOOKUP(Calculator!E23,tbSkills!DH3:DJ6,3,FALSE),0),0)))/100)),1))*IF(VLOOKUP(A38,tbMoveset!A2:K112,11,FALSE)=TRUE,Backdoors!AC5,1))*X38,0),"")</f>
        <v>0</v>
      </c>
      <c r="AB38" s="49">
        <f>VLOOKUP(A38,tbMoveset!A2:G112,7,FALSE)*IFERROR(IF(Backdoors!AI12&gt;=0,1+(IF(Calculator!E40&gt;0,VLOOKUP(Calculator!E40,tbSkills!AI3:AJ5,2,FALSE),Backdoors!AL4)*(IF((Backdoors!AI12+IF(W38&gt;=0.45,VLOOKUP(Calculator!E23,tbSkills!DH3:DI6,2,FALSE)+IF(AND(Calculator!B8=TRUE,Backdoors!BI6=TRUE),VLOOKUP(Calculator!E23,tbSkills!DH3:DJ6,3,FALSE),0),0))&gt;=100,100,(Backdoors!AI12+IF(W38&gt;=0.45,VLOOKUP(Calculator!E23,tbSkills!DH3:DI6,2,FALSE)+IF(AND(Calculator!B8=TRUE,Backdoors!BI6=TRUE),VLOOKUP(Calculator!E23,tbSkills!DH3:DJ6,3,FALSE),0),0)))/100)),1),1)</f>
        <v>0.5</v>
      </c>
      <c r="AC38" s="87">
        <f t="shared" si="47"/>
        <v>3</v>
      </c>
      <c r="AD38" s="86">
        <f>IFERROR(IF(VLOOKUP(A38,tbMoveset!A2:B112,2,FALSE)="Sever",Backdoors!AY7/100,IF(VLOOKUP(A38,tbMoveset!A2:B112,2,FALSE)="Blunt",Backdoors!AZ7/100,Backdoors!BA7/100)),"")</f>
        <v>0.65</v>
      </c>
      <c r="AE38" s="49">
        <f>IFERROR(IF(VLOOKUP(tbMoveset!A38,tbMoveset!A2:H112,8,FALSE)="Other",IF(VLOOKUP(tbMoveset!A38,tbMoveset!A2:I112,9,FALSE)="Fire",Backdoors!BB7,IF(VLOOKUP(tbMoveset!A38,tbMoveset!A2:I112,9,FALSE)="Water",Backdoors!BC7,IF(VLOOKUP(tbMoveset!A38,tbMoveset!A2:I112,9,FALSE)="Thunder",Backdoors!BD7,IF(VLOOKUP(tbMoveset!A38,tbMoveset!A2:I112,9,FALSE)="Ice",Backdoors!BE7,IF(VLOOKUP(tbMoveset!A38,tbMoveset!A2:I112,9,FALSE)="Dragon",Backdoors!BF7,Backdoors!BG7)))))/100,Backdoors!BG7/100),"")</f>
        <v>0</v>
      </c>
      <c r="AF38" s="49">
        <f>IFERROR(IF(VLOOKUP(A38,tbMoveset!A2:J112,10,FALSE)=TRUE,IF((Backdoors!AI12+IF(AD38&gt;=0.45,VLOOKUP(Calculator!E23,tbSkills!DH3:DI6,2,FALSE)+IF(AND(Calculator!B8=TRUE,Backdoors!BI7=TRUE),VLOOKUP(Calculator!E23,tbSkills!DH3:DJ6,3,FALSE),0),0))&gt;=0,1+(Backdoors!AL2*(IF((Backdoors!AI12+IF(AD38&gt;=0.45,VLOOKUP(Calculator!E23,tbSkills!DH3:DI6,2,FALSE)+IF(AND(Calculator!B8=TRUE,Backdoors!BI7=TRUE),VLOOKUP(Calculator!E23,tbSkills!DH3:DJ6,3,FALSE),0),0))&gt;=100,100,(Backdoors!AI12+IF(AD38&gt;=0.45,VLOOKUP(Calculator!E23,tbSkills!DH3:DI6,2,FALSE)+IF(AND(Calculator!B8=TRUE,Backdoors!BI7=TRUE),VLOOKUP(Calculator!E23,tbSkills!DH3:DJ6,3,FALSE),0),0)))/100)),(1-(0.25*((-Backdoors!AI12-IF(AD38&gt;=0.45,VLOOKUP(Calculator!E23,tbSkills!DH3:DI6,2,FALSE)+IF(AND(Calculator!B8=TRUE,Backdoors!BI7=TRUE),VLOOKUP(Calculator!E23,tbSkills!DH3:DJ6,3,FALSE),0),0))/100)))),1),"")</f>
        <v>1</v>
      </c>
      <c r="AG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D38)*AF38)*(VLOOKUP(A38,tbMoveset!A2:C112,3,FALSE)/100)*IF(VLOOKUP(A38,tbMoveset!A2:B112,2,FALSE)="Projectile",Backdoors!N10,Backdoors!N9),0),"")</f>
        <v>4</v>
      </c>
      <c r="AH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D38&gt;=0.45,VLOOKUP(Calculator!E23,tbSkills!DH3:DI6,2,FALSE)+IF(AND(Calculator!B8=TRUE,Backdoors!BI7=TRUE),VLOOKUP(Calculator!E23,tbSkills!DH3:DJ6,3,FALSE),0),0))&gt;=100,100,(Backdoors!AI12+IF(AD38&gt;=0.45,VLOOKUP(Calculator!E23,tbSkills!DH3:DI6,2,FALSE)+IF(AND(Calculator!B8=TRUE,Backdoors!BI7=TRUE),VLOOKUP(Calculator!E23,tbSkills!DH3:DJ6,3,FALSE),0),0)))/100)),1))*IF(VLOOKUP(A38,tbMoveset!A2:K112,11,FALSE)=TRUE,Backdoors!AC5,1))*AE38,0),"")</f>
        <v>0</v>
      </c>
      <c r="AI38" s="49">
        <f>VLOOKUP(A38,tbMoveset!A2:G112,7,FALSE)*IFERROR(IF(Backdoors!AI12&gt;=0,1+(IF(Calculator!E40&gt;0,VLOOKUP(Calculator!E40,tbSkills!AI3:AJ5,2,FALSE),Backdoors!AL4)*(IF((Backdoors!AI12+IF(AD38&gt;=0.45,VLOOKUP(Calculator!E23,tbSkills!DH3:DI6,2,FALSE)+IF(AND(Calculator!B8=TRUE,Backdoors!BI7=TRUE),VLOOKUP(Calculator!E23,tbSkills!DH3:DJ6,3,FALSE),0),0))&gt;=100,100,(Backdoors!AI12+IF(AD38&gt;=0.45,VLOOKUP(Calculator!E23,tbSkills!DH3:DI6,2,FALSE)+IF(AND(Calculator!B8=TRUE,Backdoors!BI7=TRUE),VLOOKUP(Calculator!E23,tbSkills!DH3:DJ6,3,FALSE),0),0)))/100)),1),1)</f>
        <v>0.5</v>
      </c>
      <c r="AJ38" s="87">
        <f t="shared" si="48"/>
        <v>4</v>
      </c>
      <c r="AK38" s="91">
        <f>IFERROR(IF(VLOOKUP(A38,tbMoveset!A2:B112,2,FALSE)="Sever",Backdoors!AY8/100,IF(VLOOKUP(A38,tbMoveset!A2:B112,2,FALSE)="Blunt",Backdoors!AZ8/100,Backdoors!BA8/100)),"")</f>
        <v>0.45</v>
      </c>
      <c r="AL38" s="49">
        <f>IFERROR(IF(VLOOKUP(tbMoveset!A38,tbMoveset!A2:H112,8,FALSE)="Other",IF(VLOOKUP(tbMoveset!A38,tbMoveset!A2:I112,9,FALSE)="Fire",Backdoors!BB8,IF(VLOOKUP(tbMoveset!A38,tbMoveset!A2:I112,9,FALSE)="Water",Backdoors!BC8,IF(VLOOKUP(tbMoveset!A38,tbMoveset!A2:I112,9,FALSE)="Thunder",Backdoors!BD8,IF(VLOOKUP(tbMoveset!A38,tbMoveset!A2:I112,9,FALSE)="Ice",Backdoors!BE8,IF(VLOOKUP(tbMoveset!A38,tbMoveset!A2:I112,9,FALSE)="Dragon",Backdoors!BF8,Backdoors!BG8)))))/100,Backdoors!BG8/100),"")</f>
        <v>0</v>
      </c>
      <c r="AM38" s="49">
        <f>IFERROR(IF(VLOOKUP(A38,tbMoveset!A2:J112,10,FALSE)=TRUE,IF((Backdoors!AI12+IF(AK38&gt;=0.45,VLOOKUP(Calculator!E23,tbSkills!DH3:DI6,2,FALSE)+IF(AND(Calculator!B8=TRUE,Backdoors!BI8=TRUE),VLOOKUP(Calculator!E23,tbSkills!DH3:DJ6,3,FALSE),0),0))&gt;=0,1+(Backdoors!AL2*(IF((Backdoors!AI12+IF(AK38&gt;=0.45,VLOOKUP(Calculator!E23,tbSkills!DH3:DI6,2,FALSE)+IF(AND(Calculator!B8=TRUE,Backdoors!BI8=TRUE),VLOOKUP(Calculator!E23,tbSkills!DH3:DJ6,3,FALSE),0),0))&gt;=100,100,(Backdoors!AI12+IF(AK38&gt;=0.45,VLOOKUP(Calculator!E23,tbSkills!DH3:DI6,2,FALSE)+IF(AND(Calculator!B8=TRUE,Backdoors!BI8=TRUE),VLOOKUP(Calculator!E23,tbSkills!DH3:DJ6,3,FALSE),0),0)))/100)),(1-(0.25*((-Backdoors!AI12-IF(AK38&gt;=0.45,VLOOKUP(Calculator!E23,tbSkills!DH3:DI6,2,FALSE)+IF(AND(Calculator!B8=TRUE,Backdoors!BI8=TRUE),VLOOKUP(Calculator!E23,tbSkills!DH3:DJ6,3,FALSE),0),0))/100)))),1),"")</f>
        <v>1</v>
      </c>
      <c r="AN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K38)*AM38)*(VLOOKUP(A38,tbMoveset!A2:C112,3,FALSE)/100)*IF(VLOOKUP(A38,tbMoveset!A2:B112,2,FALSE)="Projectile",Backdoors!N10,Backdoors!N9),0),"")</f>
        <v>3</v>
      </c>
      <c r="AO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K38&gt;=0.45,VLOOKUP(Calculator!E23,tbSkills!DH3:DI6,2,FALSE)+IF(AND(Calculator!B8=TRUE,Backdoors!BI8=TRUE),VLOOKUP(Calculator!E23,tbSkills!DH3:DJ6,3,FALSE),0),0))&gt;=100,100,(Backdoors!AI12+IF(AK38&gt;=0.45,VLOOKUP(Calculator!E23,tbSkills!DH3:DI6,2,FALSE)+IF(AND(Calculator!B8=TRUE,Backdoors!BI8=TRUE),VLOOKUP(Calculator!E23,tbSkills!DH3:DJ6,3,FALSE),0),0)))/100)),1))*IF(VLOOKUP(A38,tbMoveset!A2:K112,11,FALSE)=TRUE,Backdoors!AC5,1))*AL38,0),"")</f>
        <v>0</v>
      </c>
      <c r="AP38" s="49">
        <f>VLOOKUP(A38,tbMoveset!A2:G112,7,FALSE)*IFERROR(IF(Backdoors!AI12&gt;=0,1+(IF(Calculator!E40&gt;0,VLOOKUP(Calculator!E40,tbSkills!AI3:AJ5,2,FALSE),Backdoors!AL4)*(IF((Backdoors!AI12+IF(AK38&gt;=0.45,VLOOKUP(Calculator!E23,tbSkills!DH3:DI6,2,FALSE)+IF(AND(Calculator!B8=TRUE,Backdoors!BI8=TRUE),VLOOKUP(Calculator!E23,tbSkills!DH3:DJ6,3,FALSE),0),0))&gt;=100,100,(Backdoors!AI12+IF(AK38&gt;=0.45,VLOOKUP(Calculator!E23,tbSkills!DH3:DI6,2,FALSE)+IF(AND(Calculator!B8=TRUE,Backdoors!BI8=TRUE),VLOOKUP(Calculator!E23,tbSkills!DH3:DJ6,3,FALSE),0),0)))/100)),1),1)</f>
        <v>0.5</v>
      </c>
      <c r="AQ38" s="87">
        <f t="shared" si="49"/>
        <v>3</v>
      </c>
      <c r="AR38" s="86">
        <f>IFERROR(IF(VLOOKUP(A38,tbMoveset!A2:B112,2,FALSE)="Sever",Backdoors!AY9/100,IF(VLOOKUP(A38,tbMoveset!A2:B112,2,FALSE)="Blunt",Backdoors!AZ9/100,Backdoors!BA9/100)),"")</f>
        <v>0.45</v>
      </c>
      <c r="AS38" s="49">
        <f>IFERROR(IF(VLOOKUP(tbMoveset!A38,tbMoveset!A2:H112,8,FALSE)="Other",IF(VLOOKUP(tbMoveset!A38,tbMoveset!A2:I112,9,FALSE)="Fire",Backdoors!BB9,IF(VLOOKUP(tbMoveset!A38,tbMoveset!A2:I112,9,FALSE)="Water",Backdoors!BC9,IF(VLOOKUP(tbMoveset!A38,tbMoveset!A2:I112,9,FALSE)="Thunder",Backdoors!BD9,IF(VLOOKUP(tbMoveset!A38,tbMoveset!A2:I112,9,FALSE)="Ice",Backdoors!BE9,IF(VLOOKUP(tbMoveset!A38,tbMoveset!A2:I112,9,FALSE)="Dragon",Backdoors!BF9,Backdoors!BG9)))))/100,Backdoors!BG9/100),"")</f>
        <v>0</v>
      </c>
      <c r="AT38" s="49">
        <f>IFERROR(IF(VLOOKUP(A38,tbMoveset!A2:J112,10,FALSE)=TRUE,IF((Backdoors!AI12+IF(AR38&gt;=0.45,VLOOKUP(Calculator!E23,tbSkills!DH3:DI6,2,FALSE)+IF(AND(Calculator!B8=TRUE,Backdoors!BI9=TRUE),VLOOKUP(Calculator!E23,tbSkills!DH3:DJ6,3,FALSE),0),0))&gt;=0,1+(Backdoors!AL2*(IF((Backdoors!AI12+IF(AR38&gt;=0.45,VLOOKUP(Calculator!E23,tbSkills!DH3:DI6,2,FALSE)+IF(AND(Calculator!B8=TRUE,Backdoors!BI9=TRUE),VLOOKUP(Calculator!E23,tbSkills!DH3:DJ6,3,FALSE),0),0))&gt;=100,100,(Backdoors!AI12+IF(AR38&gt;=0.45,VLOOKUP(Calculator!E23,tbSkills!DH3:DI6,2,FALSE)+IF(AND(Calculator!B8=TRUE,Backdoors!BI9=TRUE),VLOOKUP(Calculator!E23,tbSkills!DH3:DJ6,3,FALSE),0),0)))/100)),(1-(0.25*((-Backdoors!AI12-IF(AR38&gt;=0.45,VLOOKUP(Calculator!E23,tbSkills!DH3:DI6,2,FALSE)+IF(AND(Calculator!B8=TRUE,Backdoors!BI9=TRUE),VLOOKUP(Calculator!E23,tbSkills!DH3:DJ6,3,FALSE),0),0))/100)))),1),"")</f>
        <v>1</v>
      </c>
      <c r="AU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R38)*AT38)*(VLOOKUP(A38,tbMoveset!A2:C112,3,FALSE)/100)*IF(VLOOKUP(A38,tbMoveset!A2:B112,2,FALSE)="Projectile",Backdoors!N10,Backdoors!N9),0),"")</f>
        <v>3</v>
      </c>
      <c r="AV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R38&gt;=0.45,VLOOKUP(Calculator!E23,tbSkills!DH3:DI6,2,FALSE)+IF(AND(Calculator!B8=TRUE,Backdoors!BI9=TRUE),VLOOKUP(Calculator!E23,tbSkills!DH3:DJ6,3,FALSE),0),0))&gt;=100,100,(Backdoors!AI12+IF(AR38&gt;=0.45,VLOOKUP(Calculator!E23,tbSkills!DH3:DI6,2,FALSE)+IF(AND(Calculator!B8=TRUE,Backdoors!BI9=TRUE),VLOOKUP(Calculator!E23,tbSkills!DH3:DJ6,3,FALSE),0),0)))/100)),1))*IF(VLOOKUP(A38,tbMoveset!A2:K112,11,FALSE)=TRUE,Backdoors!AC5,1))*AS38,0),"")</f>
        <v>0</v>
      </c>
      <c r="AW38" s="49">
        <f>VLOOKUP(A38,tbMoveset!A2:G112,7,FALSE)*IFERROR(IF(Backdoors!AI12&gt;=0,1+(IF(Calculator!E40&gt;0,VLOOKUP(Calculator!E40,tbSkills!AI3:AJ5,2,FALSE),Backdoors!AL4)*(IF((Backdoors!AI12+IF(AR38&gt;=0.45,VLOOKUP(Calculator!E23,tbSkills!DH3:DI6,2,FALSE)+IF(AND(Calculator!B8=TRUE,Backdoors!BI9=TRUE),VLOOKUP(Calculator!E23,tbSkills!DH3:DJ6,3,FALSE),0),0))&gt;=100,100,(Backdoors!AI12+IF(AR38&gt;=0.45,VLOOKUP(Calculator!E23,tbSkills!DH3:DI6,2,FALSE)+IF(AND(Calculator!B8=TRUE,Backdoors!BI9=TRUE),VLOOKUP(Calculator!E23,tbSkills!DH3:DJ6,3,FALSE),0),0)))/100)),1),1)</f>
        <v>0.5</v>
      </c>
      <c r="AX38" s="87">
        <f t="shared" si="50"/>
        <v>3</v>
      </c>
      <c r="AY38" s="86">
        <f>IFERROR(IF(VLOOKUP(A38,tbMoveset!A2:B112,2,FALSE)="Sever",Backdoors!AY10/100,IF(VLOOKUP(A38,tbMoveset!A2:B112,2,FALSE)="Blunt",Backdoors!AZ10/100,Backdoors!BA10/100)),"")</f>
        <v>0.9</v>
      </c>
      <c r="AZ38" s="49">
        <f>IFERROR(IF(VLOOKUP(tbMoveset!A38,tbMoveset!A2:H112,8,FALSE)="Other",IF(VLOOKUP(tbMoveset!A38,tbMoveset!A2:I112,9,FALSE)="Fire",Backdoors!BB10,IF(VLOOKUP(tbMoveset!A38,tbMoveset!A2:I112,9,FALSE)="Water",Backdoors!BC10,IF(VLOOKUP(tbMoveset!A38,tbMoveset!A2:I112,9,FALSE)="Thunder",Backdoors!BD10,IF(VLOOKUP(tbMoveset!A38,tbMoveset!A2:I112,9,FALSE)="Ice",Backdoors!BE10,IF(VLOOKUP(tbMoveset!A38,tbMoveset!A2:I112,9,FALSE)="Dragon",Backdoors!BF10,Backdoors!BG10)))))/100,Backdoors!BG10/100),"")</f>
        <v>0</v>
      </c>
      <c r="BA38" s="49">
        <f>IFERROR(IF(VLOOKUP(A38,tbMoveset!A2:J112,10,FALSE)=TRUE,IF((Backdoors!AI12+IF(AY38&gt;=0.45,VLOOKUP(Calculator!E23,tbSkills!DH3:DI6,2,FALSE)+IF(AND(Calculator!B8=TRUE,Backdoors!BI10=TRUE),VLOOKUP(Calculator!E23,tbSkills!DH3:DJ6,3,FALSE),0),0))&gt;=0,1+(Backdoors!AL2*(IF((Backdoors!AI12+IF(AY38&gt;=0.45,VLOOKUP(Calculator!E23,tbSkills!DH3:DI6,2,FALSE)+IF(AND(Calculator!B8=TRUE,Backdoors!BI10=TRUE),VLOOKUP(Calculator!E23,tbSkills!DH3:DJ6,3,FALSE),0),0))&gt;=100,100,(Backdoors!AI12+IF(AY38&gt;=0.45,VLOOKUP(Calculator!E23,tbSkills!DH3:DI6,2,FALSE)+IF(AND(Calculator!B8=TRUE,Backdoors!BI10=TRUE),VLOOKUP(Calculator!E23,tbSkills!DH3:DJ6,3,FALSE),0),0)))/100)),(1-(0.25*((-Backdoors!AI12-IF(AY38&gt;=0.45,VLOOKUP(Calculator!E23,tbSkills!DH3:DI6,2,FALSE)+IF(AND(Calculator!B8=TRUE,Backdoors!BI10=TRUE),VLOOKUP(Calculator!E23,tbSkills!DH3:DJ6,3,FALSE),0),0))/100)))),1),"")</f>
        <v>1</v>
      </c>
      <c r="BB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Y38)*BA38)*(VLOOKUP(A38,tbMoveset!A2:C112,3,FALSE)/100)*IF(VLOOKUP(A38,tbMoveset!A2:B112,2,FALSE)="Projectile",Backdoors!N10,Backdoors!N9),0),"")</f>
        <v>5</v>
      </c>
      <c r="BC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Y38&gt;=0.45,VLOOKUP(Calculator!E23,tbSkills!DH3:DI6,2,FALSE)+IF(AND(Calculator!B8=TRUE,Backdoors!BI10=TRUE),VLOOKUP(Calculator!E23,tbSkills!DH3:DJ6,3,FALSE),0),0))&gt;=100,100,(Backdoors!AI12+IF(AY38&gt;=0.45,VLOOKUP(Calculator!E23,tbSkills!DH3:DI6,2,FALSE)+IF(AND(Calculator!B8=TRUE,Backdoors!BI10=TRUE),VLOOKUP(Calculator!E23,tbSkills!DH3:DJ6,3,FALSE),0),0)))/100)),1))*IF(VLOOKUP(A38,tbMoveset!A2:K112,11,FALSE)=TRUE,Backdoors!AC5,1))*AZ38,0),"")</f>
        <v>0</v>
      </c>
      <c r="BD38" s="49">
        <f>VLOOKUP(A38,tbMoveset!A2:G112,7,FALSE)*IFERROR(IF(Backdoors!AI12&gt;=0,1+(IF(Calculator!E40&gt;0,VLOOKUP(Calculator!E40,tbSkills!AI3:AJ5,2,FALSE),Backdoors!AL4)*(IF((Backdoors!AI12+IF(AY38&gt;=0.45,VLOOKUP(Calculator!E23,tbSkills!DH3:DI6,2,FALSE)+IF(AND(Calculator!B8=TRUE,Backdoors!BI10=TRUE),VLOOKUP(Calculator!E23,tbSkills!DH3:DJ6,3,FALSE),0),0))&gt;=100,100,(Backdoors!AI12+IF(AY38&gt;=0.45,VLOOKUP(Calculator!E23,tbSkills!DH3:DI6,2,FALSE)+IF(AND(Calculator!B8=TRUE,Backdoors!BI10=TRUE),VLOOKUP(Calculator!E23,tbSkills!DH3:DJ6,3,FALSE),0),0)))/100)),1),1)</f>
        <v>0.5</v>
      </c>
      <c r="BE38" s="87">
        <f t="shared" si="3"/>
        <v>5</v>
      </c>
      <c r="BF38" s="86" t="str">
        <f>IFERROR(IF(VLOOKUP(A38,tbMoveset!A2:B112,2,FALSE)="Sever",Backdoors!AY11/100,IF(VLOOKUP(A38,tbMoveset!A2:B112,2,FALSE)="Blunt",Backdoors!AZ11/100,Backdoors!BA11/100)),"")</f>
        <v/>
      </c>
      <c r="BG38" s="49">
        <f>IFERROR(IF(VLOOKUP(tbMoveset!A38,tbMoveset!A2:H112,8,FALSE)="Other",IF(VLOOKUP(tbMoveset!A38,tbMoveset!A2:I112,9,FALSE)="Fire",Backdoors!BB11,IF(VLOOKUP(tbMoveset!A38,tbMoveset!A2:I112,9,FALSE)="Water",Backdoors!BC11,IF(VLOOKUP(tbMoveset!A38,tbMoveset!A2:I112,9,FALSE)="Thunder",Backdoors!BD11,IF(VLOOKUP(tbMoveset!A38,tbMoveset!A2:I112,9,FALSE)="Ice",Backdoors!BE11,IF(VLOOKUP(tbMoveset!A38,tbMoveset!A2:I112,9,FALSE)="Dragon",Backdoors!BF11,Backdoors!BG11)))))/100,Backdoors!BG11/100),"")</f>
        <v>0</v>
      </c>
      <c r="BH38" s="49">
        <f>IFERROR(IF(VLOOKUP(A38,tbMoveset!A2:J112,10,FALSE)=TRUE,IF((Backdoors!AI12+IF(BF38&gt;=0.45,VLOOKUP(Calculator!E23,tbSkills!DH3:DI6,2,FALSE)+IF(AND(Calculator!B8=TRUE,Backdoors!BI11=TRUE),VLOOKUP(Calculator!E23,tbSkills!DH3:DJ6,3,FALSE),0),0))&gt;=0,1+(Backdoors!AL2*(IF((Backdoors!AI12+IF(BF38&gt;=0.45,VLOOKUP(Calculator!E23,tbSkills!DH3:DI6,2,FALSE)+IF(AND(Calculator!B8=TRUE,Backdoors!BI11=TRUE),VLOOKUP(Calculator!E23,tbSkills!DH3:DJ6,3,FALSE),0),0))&gt;=100,100,(Backdoors!AI12+IF(BF38&gt;=0.45,VLOOKUP(Calculator!E23,tbSkills!DH3:DI6,2,FALSE)+IF(AND(Calculator!B8=TRUE,Backdoors!BI11=TRUE),VLOOKUP(Calculator!E23,tbSkills!DH3:DJ6,3,FALSE),0),0)))/100)),(1-(0.25*((-Backdoors!AI12-IF(BF38&gt;=0.45,VLOOKUP(Calculator!E23,tbSkills!DH3:DI6,2,FALSE)+IF(AND(Calculator!B8=TRUE,Backdoors!BI11=TRUE),VLOOKUP(Calculator!E23,tbSkills!DH3:DJ6,3,FALSE),0),0))/100)))),1),"")</f>
        <v>1</v>
      </c>
      <c r="BI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F38)*BH38)*(VLOOKUP(A38,tbMoveset!A2:C112,3,FALSE)/100)*IF(VLOOKUP(A38,tbMoveset!A2:B112,2,FALSE)="Projectile",Backdoors!N10,Backdoors!N9),0),"")</f>
        <v/>
      </c>
      <c r="BJ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F38&gt;=0.45,VLOOKUP(Calculator!E23,tbSkills!DH3:DI6,2,FALSE)+IF(AND(Calculator!B8=TRUE,Backdoors!BI11=TRUE),VLOOKUP(Calculator!E23,tbSkills!DH3:DJ6,3,FALSE),0),0))&gt;=100,100,(Backdoors!AI12+IF(BF38&gt;=0.45,VLOOKUP(Calculator!E23,tbSkills!DH3:DI6,2,FALSE)+IF(AND(Calculator!B8=TRUE,Backdoors!BI11=TRUE),VLOOKUP(Calculator!E23,tbSkills!DH3:DJ6,3,FALSE),0),0)))/100)),1))*IF(VLOOKUP(A38,tbMoveset!A2:K112,11,FALSE)=TRUE,Backdoors!AC5,1))*BG38,0),"")</f>
        <v>0</v>
      </c>
      <c r="BK38" s="49">
        <f>VLOOKUP(A38,tbMoveset!A2:G112,7,FALSE)*IFERROR(IF(Backdoors!AI12&gt;=0,1+(IF(Calculator!E40&gt;0,VLOOKUP(Calculator!E40,tbSkills!AI3:AJ5,2,FALSE),Backdoors!AL4)*(IF((Backdoors!AI12+IF(BF38&gt;=0.45,VLOOKUP(Calculator!E23,tbSkills!DH3:DI6,2,FALSE)+IF(AND(Calculator!B8=TRUE,Backdoors!BI11=TRUE),VLOOKUP(Calculator!E23,tbSkills!DH3:DJ6,3,FALSE),0),0))&gt;=100,100,(Backdoors!AI12+IF(BF38&gt;=0.45,VLOOKUP(Calculator!E23,tbSkills!DH3:DI6,2,FALSE)+IF(AND(Calculator!B8=TRUE,Backdoors!BI11=TRUE),VLOOKUP(Calculator!E23,tbSkills!DH3:DJ6,3,FALSE),0),0)))/100)),1),1)</f>
        <v>0.5</v>
      </c>
      <c r="BL38" s="87">
        <f t="shared" si="4"/>
        <v>0</v>
      </c>
      <c r="BM38" s="86" t="str">
        <f>IFERROR(IF(VLOOKUP(A38,tbMoveset!A2:B112,2,FALSE)="Sever",Backdoors!AY12/100,IF(VLOOKUP(A38,tbMoveset!A2:B112,2,FALSE)="Blunt",Backdoors!AZ12/100,Backdoors!BA12/100)),"")</f>
        <v/>
      </c>
      <c r="BN38" s="49">
        <f>IFERROR(IF(VLOOKUP(tbMoveset!A38,tbMoveset!A2:H112,8,FALSE)="Other",IF(VLOOKUP(tbMoveset!A38,tbMoveset!A2:I112,9,FALSE)="Fire",Backdoors!BB12,IF(VLOOKUP(tbMoveset!A38,tbMoveset!A2:I112,9,FALSE)="Water",Backdoors!BC12,IF(VLOOKUP(tbMoveset!A38,tbMoveset!A2:I112,9,FALSE)="Thunder",Backdoors!BD12,IF(VLOOKUP(tbMoveset!A38,tbMoveset!A2:I112,9,FALSE)="Ice",Backdoors!BE12,IF(VLOOKUP(tbMoveset!A38,tbMoveset!A2:I112,9,FALSE)="Dragon",Backdoors!BF12,Backdoors!BG12)))))/100,Backdoors!BG12/100),"")</f>
        <v>0</v>
      </c>
      <c r="BO38" s="49">
        <f>IFERROR(IF(VLOOKUP(A38,tbMoveset!A2:J112,10,FALSE)=TRUE,IF((Backdoors!AI12+IF(BM38&gt;=0.45,VLOOKUP(Calculator!E23,tbSkills!DH3:DI6,2,FALSE)+IF(AND(Calculator!B8=TRUE,Backdoors!BI12=TRUE),VLOOKUP(Calculator!E23,tbSkills!DH3:DJ6,3,FALSE),0),0))&gt;=0,1+(Backdoors!AL2*(IF((Backdoors!AI12+IF(BM38&gt;=0.45,VLOOKUP(Calculator!E23,tbSkills!DH3:DI6,2,FALSE)+IF(AND(Calculator!B8=TRUE,Backdoors!BI12=TRUE),VLOOKUP(Calculator!E23,tbSkills!DH3:DJ6,3,FALSE),0),0))&gt;=100,100,(Backdoors!AI12+IF(BM38&gt;=0.45,VLOOKUP(Calculator!E23,tbSkills!DH3:DI6,2,FALSE)+IF(AND(Calculator!B8=TRUE,Backdoors!BI12=TRUE),VLOOKUP(Calculator!E23,tbSkills!DH3:DJ6,3,FALSE),0),0)))/100)),(1-(0.25*((-Backdoors!AI12-IF(BM38&gt;=0.45,VLOOKUP(Calculator!E23,tbSkills!DH3:DI6,2,FALSE)+IF(AND(Calculator!B8=TRUE,Backdoors!BI12=TRUE),VLOOKUP(Calculator!E23,tbSkills!DH3:DJ6,3,FALSE),0),0))/100)))),1),"")</f>
        <v>1</v>
      </c>
      <c r="BP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M38)*BO38)*(VLOOKUP(A38,tbMoveset!A2:C112,3,FALSE)/100)*IF(VLOOKUP(A38,tbMoveset!A2:B112,2,FALSE)="Projectile",Backdoors!N10,Backdoors!N9),0),"")</f>
        <v/>
      </c>
      <c r="BQ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M38&gt;=0.45,VLOOKUP(Calculator!E23,tbSkills!DH3:DI6,2,FALSE)+IF(AND(Calculator!B8=TRUE,Backdoors!BI12=TRUE),VLOOKUP(Calculator!E23,tbSkills!DH3:DJ6,3,FALSE),0),0))&gt;=100,100,(Backdoors!AI12+IF(BM38&gt;=0.45,VLOOKUP(Calculator!E23,tbSkills!DH3:DI6,2,FALSE)+IF(AND(Calculator!B8=TRUE,Backdoors!BI12=TRUE),VLOOKUP(Calculator!E23,tbSkills!DH3:DJ6,3,FALSE),0),0)))/100)),1))*IF(VLOOKUP(A38,tbMoveset!A2:K112,11,FALSE)=TRUE,Backdoors!AC5,1))*BN38,0),"")</f>
        <v>0</v>
      </c>
      <c r="BR38" s="49">
        <f>VLOOKUP(A38,tbMoveset!A2:G112,7,FALSE)*IFERROR(IF(Backdoors!AI12&gt;=0,1+(IF(Calculator!E40&gt;0,VLOOKUP(Calculator!E40,tbSkills!AI3:AJ5,2,FALSE),Backdoors!AL4)*(IF((Backdoors!AI12+IF(BM38&gt;=0.45,VLOOKUP(Calculator!E23,tbSkills!DH3:DI6,2,FALSE)+IF(AND(Calculator!B8=TRUE,Backdoors!BI12=TRUE),VLOOKUP(Calculator!E23,tbSkills!DH3:DJ6,3,FALSE),0),0))&gt;=100,100,(Backdoors!AI12+IF(BM38&gt;=0.45,VLOOKUP(Calculator!E23,tbSkills!DH3:DI6,2,FALSE)+IF(AND(Calculator!B8=TRUE,Backdoors!BI12=TRUE),VLOOKUP(Calculator!E23,tbSkills!DH3:DJ6,3,FALSE),0),0)))/100)),1),1)</f>
        <v>0.5</v>
      </c>
      <c r="BS38" s="87">
        <f t="shared" si="39"/>
        <v>0</v>
      </c>
      <c r="BT38" s="86" t="str">
        <f>IFERROR(IF(VLOOKUP(A38,tbMoveset!A2:B112,2,FALSE)="Sever",Backdoors!AY13/100,IF(VLOOKUP(A38,tbMoveset!A2:B112,2,FALSE)="Blunt",Backdoors!AZ13/100,Backdoors!BA13/100)),"")</f>
        <v/>
      </c>
      <c r="BU38" s="49">
        <f>IFERROR(IF(VLOOKUP(tbMoveset!A38,tbMoveset!A2:H112,8,FALSE)="Other",IF(VLOOKUP(tbMoveset!A38,tbMoveset!A2:I112,9,FALSE)="Fire",Backdoors!BB13,IF(VLOOKUP(tbMoveset!A38,tbMoveset!A2:I112,9,FALSE)="Water",Backdoors!BC13,IF(VLOOKUP(tbMoveset!A38,tbMoveset!A2:I112,9,FALSE)="Thunder",Backdoors!BD13,IF(VLOOKUP(tbMoveset!A38,tbMoveset!A2:I112,9,FALSE)="Ice",Backdoors!BE13,IF(VLOOKUP(tbMoveset!A38,tbMoveset!A2:I112,9,FALSE)="Dragon",Backdoors!BF13,Backdoors!BG13)))))/100,Backdoors!BG13/100),"")</f>
        <v>0</v>
      </c>
      <c r="BV38" s="49">
        <f>IFERROR(IF(VLOOKUP(A38,tbMoveset!A2:J112,10,FALSE)=TRUE,IF((Backdoors!AI12+IF(BT38&gt;=0.45,VLOOKUP(Calculator!E23,tbSkills!DH3:DI6,2,FALSE)+IF(AND(Calculator!B8=TRUE,Backdoors!BI13=TRUE),VLOOKUP(Calculator!E23,tbSkills!DH3:DJ6,3,FALSE),0),0))&gt;=0,1+(Backdoors!AL2*(IF((Backdoors!AI12+IF(BT38&gt;=0.45,VLOOKUP(Calculator!E23,tbSkills!DH3:DI6,2,FALSE)+IF(AND(Calculator!B8=TRUE,Backdoors!BI13=TRUE),VLOOKUP(Calculator!E23,tbSkills!DH3:DJ6,3,FALSE),0),0))&gt;=100,100,(Backdoors!AI12+IF(BT38&gt;=0.45,VLOOKUP(Calculator!E23,tbSkills!DH3:DI6,2,FALSE)+IF(AND(Calculator!B8=TRUE,Backdoors!BI13=TRUE),VLOOKUP(Calculator!E23,tbSkills!DH3:DJ6,3,FALSE),0),0)))/100)),(1-(0.25*((-Backdoors!AI12-IF(BT38&gt;=0.45,VLOOKUP(Calculator!E23,tbSkills!DH3:DI6,2,FALSE)+IF(AND(Calculator!B8=TRUE,Backdoors!BI13=TRUE),VLOOKUP(Calculator!E23,tbSkills!DH3:DJ6,3,FALSE),0),0))/100)))),1),"")</f>
        <v>1</v>
      </c>
      <c r="BW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T38)*BV38)*(VLOOKUP(A38,tbMoveset!A2:C112,3,FALSE)/100)*IF(VLOOKUP(A38,tbMoveset!A2:B112,2,FALSE)="Projectile",Backdoors!N10,Backdoors!N9),0),"")</f>
        <v/>
      </c>
      <c r="BX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T38&gt;=0.45,VLOOKUP(Calculator!E23,tbSkills!DH3:DI6,2,FALSE)+IF(AND(Calculator!B8=TRUE,Backdoors!BI13=TRUE),VLOOKUP(Calculator!E23,tbSkills!DH3:DJ6,3,FALSE),0),0))&gt;=100,100,(Backdoors!AI12+IF(BT38&gt;=0.45,VLOOKUP(Calculator!E23,tbSkills!DH3:DI6,2,FALSE)+IF(AND(Calculator!B8=TRUE,Backdoors!BI13=TRUE),VLOOKUP(Calculator!E23,tbSkills!DH3:DJ6,3,FALSE),0),0)))/100)),1))*IF(VLOOKUP(A38,tbMoveset!A2:K112,11,FALSE)=TRUE,Backdoors!AC5,1))*BU38,0),"")</f>
        <v>0</v>
      </c>
      <c r="BY38" s="49">
        <f>VLOOKUP(A38,tbMoveset!A2:G112,7,FALSE)*IFERROR(IF(Backdoors!AI12&gt;=0,1+(IF(Calculator!E40&gt;0,VLOOKUP(Calculator!E40,tbSkills!AI3:AJ5,2,FALSE),Backdoors!AL4)*(IF((Backdoors!AI12+IF(BT38&gt;=0.45,VLOOKUP(Calculator!E23,tbSkills!DH3:DI6,2,FALSE)+IF(AND(Calculator!B8=TRUE,Backdoors!BI13=TRUE),VLOOKUP(Calculator!E23,tbSkills!DH3:DJ6,3,FALSE),0),0))&gt;=100,100,(Backdoors!AI12+IF(BT38&gt;=0.45,VLOOKUP(Calculator!E23,tbSkills!DH3:DI6,2,FALSE)+IF(AND(Calculator!B8=TRUE,Backdoors!BI13=TRUE),VLOOKUP(Calculator!E23,tbSkills!DH3:DJ6,3,FALSE),0),0)))/100)),1),1)</f>
        <v>0.5</v>
      </c>
      <c r="BZ38" s="87">
        <f t="shared" si="5"/>
        <v>0</v>
      </c>
      <c r="CA38" s="86" t="str">
        <f>IFERROR(IF(VLOOKUP(A38,tbMoveset!A2:B112,2,FALSE)="Sever",Backdoors!AY14/100,IF(VLOOKUP(A38,tbMoveset!A2:B112,2,FALSE)="Blunt",Backdoors!AZ14/100,Backdoors!BA14/100)),"")</f>
        <v/>
      </c>
      <c r="CB38" s="49">
        <f>IFERROR(IF(VLOOKUP(tbMoveset!A38,tbMoveset!A2:H112,8,FALSE)="Other",IF(VLOOKUP(tbMoveset!A38,tbMoveset!A2:I112,9,FALSE)="Fire",Backdoors!BB14,IF(VLOOKUP(tbMoveset!A38,tbMoveset!A2:I112,9,FALSE)="Water",Backdoors!BC14,IF(VLOOKUP(tbMoveset!A38,tbMoveset!A2:I112,9,FALSE)="Thunder",Backdoors!BD14,IF(VLOOKUP(tbMoveset!A38,tbMoveset!A2:I112,9,FALSE)="Ice",Backdoors!BE14,IF(VLOOKUP(tbMoveset!A38,tbMoveset!A2:I112,9,FALSE)="Dragon",Backdoors!BF14,Backdoors!BG14)))))/100,Backdoors!BG14/100),"")</f>
        <v>0</v>
      </c>
      <c r="CC38" s="49">
        <f>IFERROR(IF(VLOOKUP(A38,tbMoveset!A2:J112,10,FALSE)=TRUE,IF((Backdoors!AI12+IF(CA38&gt;=0.45,VLOOKUP(Calculator!E23,tbSkills!DH3:DI6,2,FALSE)+IF(AND(Calculator!B8=TRUE,Backdoors!BI14=TRUE),VLOOKUP(Calculator!E23,tbSkills!DH3:DJ6,3,FALSE),0),0))&gt;=0,1+(Backdoors!AL2*(IF((Backdoors!AI12+IF(CA38&gt;=0.45,VLOOKUP(Calculator!E23,tbSkills!DH3:DI6,2,FALSE)+IF(AND(Calculator!B8=TRUE,Backdoors!BI14=TRUE),VLOOKUP(Calculator!E23,tbSkills!DH3:DJ6,3,FALSE),0),0))&gt;=100,100,(Backdoors!AI12+IF(CA38&gt;=0.45,VLOOKUP(Calculator!E23,tbSkills!DH3:DI6,2,FALSE)+IF(AND(Calculator!B8=TRUE,Backdoors!BI14=TRUE),VLOOKUP(Calculator!E23,tbSkills!DH3:DJ6,3,FALSE),0),0)))/100)),(1-(0.25*((-Backdoors!AI12-IF(CA38&gt;=0.45,VLOOKUP(Calculator!E23,tbSkills!DH3:DI6,2,FALSE)+IF(AND(Calculator!B8=TRUE,Backdoors!BI14=TRUE),VLOOKUP(Calculator!E23,tbSkills!DH3:DJ6,3,FALSE),0),0))/100)))),1),"")</f>
        <v>1</v>
      </c>
      <c r="CD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A38)*CC38)*(VLOOKUP(A38,tbMoveset!A2:C112,3,FALSE)/100)*IF(VLOOKUP(A38,tbMoveset!A2:B112,2,FALSE)="Projectile",Backdoors!N10,Backdoors!N9),0),"")</f>
        <v/>
      </c>
      <c r="CE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A38&gt;=0.45,VLOOKUP(Calculator!E23,tbSkills!DH3:DI6,2,FALSE)+IF(AND(Calculator!B8=TRUE,Backdoors!BI14=TRUE),VLOOKUP(Calculator!E23,tbSkills!DH3:DJ6,3,FALSE),0),0))&gt;=100,100,(Backdoors!AI12+IF(CA38&gt;=0.45,VLOOKUP(Calculator!E23,tbSkills!DH3:DI6,2,FALSE)+IF(AND(Calculator!B8=TRUE,Backdoors!BI14=TRUE),VLOOKUP(Calculator!E23,tbSkills!DH3:DJ6,3,FALSE),0),0)))/100)),1))*IF(VLOOKUP(A38,tbMoveset!A2:K112,11,FALSE)=TRUE,Backdoors!AC5,1))*CB38,0),"")</f>
        <v>0</v>
      </c>
      <c r="CF38" s="49">
        <f>VLOOKUP(A38,tbMoveset!A2:G112,7,FALSE)*IFERROR(IF(Backdoors!AI12&gt;=0,1+(IF(Calculator!E40&gt;0,VLOOKUP(Calculator!E40,tbSkills!AI3:AJ5,2,FALSE),Backdoors!AL4)*(IF((Backdoors!AI12+IF(CA38&gt;=0.45,VLOOKUP(Calculator!E23,tbSkills!DH3:DI6,2,FALSE)+IF(AND(Calculator!B8=TRUE,Backdoors!BI14=TRUE),VLOOKUP(Calculator!E23,tbSkills!DH3:DJ6,3,FALSE),0),0))&gt;=100,100,(Backdoors!AI12+IF(CA38&gt;=0.45,VLOOKUP(Calculator!E23,tbSkills!DH3:DI6,2,FALSE)+IF(AND(Calculator!B8=TRUE,Backdoors!BI14=TRUE),VLOOKUP(Calculator!E23,tbSkills!DH3:DJ6,3,FALSE),0),0)))/100)),1),1)</f>
        <v>0.5</v>
      </c>
      <c r="CG38" s="87">
        <f t="shared" si="6"/>
        <v>0</v>
      </c>
      <c r="CH38" s="86" t="str">
        <f>IFERROR(IF(VLOOKUP(A38,tbMoveset!A2:B112,2,FALSE)="Sever",Backdoors!AY15/100,IF(VLOOKUP(A38,tbMoveset!A2:B112,2,FALSE)="Blunt",Backdoors!AZ15/100,Backdoors!BA15/100)),"")</f>
        <v/>
      </c>
      <c r="CI38" s="49">
        <f>IFERROR(IF(VLOOKUP(tbMoveset!A38,tbMoveset!A2:H112,8,FALSE)="Other",IF(VLOOKUP(tbMoveset!A38,tbMoveset!A2:I112,9,FALSE)="Fire",Backdoors!BB15,IF(VLOOKUP(tbMoveset!A38,tbMoveset!A2:I112,9,FALSE)="Water",Backdoors!BC15,IF(VLOOKUP(tbMoveset!A38,tbMoveset!A2:I112,9,FALSE)="Thunder",Backdoors!BD15,IF(VLOOKUP(tbMoveset!A38,tbMoveset!A2:I112,9,FALSE)="Ice",Backdoors!BE15,IF(VLOOKUP(tbMoveset!A38,tbMoveset!A2:I112,9,FALSE)="Dragon",Backdoors!BF15,Backdoors!BG15)))))/100,Backdoors!BG15/100),"")</f>
        <v>0</v>
      </c>
      <c r="CJ38" s="49">
        <f>IFERROR(IF(VLOOKUP(A38,tbMoveset!A2:J112,10,FALSE)=TRUE,IF((Backdoors!AI12+IF(CH38&gt;=0.45,VLOOKUP(Calculator!E23,tbSkills!DH3:DI6,2,FALSE)+IF(AND(Calculator!B8=TRUE,Backdoors!BI15=TRUE),VLOOKUP(Calculator!E23,tbSkills!DH3:DJ6,3,FALSE),0),0))&gt;=0,1+(Backdoors!AL2*(IF((Backdoors!AI12+IF(CH38&gt;=0.45,VLOOKUP(Calculator!E23,tbSkills!DH3:DI6,2,FALSE)+IF(AND(Calculator!B8=TRUE,Backdoors!BI15=TRUE),VLOOKUP(Calculator!E23,tbSkills!DH3:DJ6,3,FALSE),0),0))&gt;=100,100,(Backdoors!AI12+IF(CH38&gt;=0.45,VLOOKUP(Calculator!E23,tbSkills!DH3:DI6,2,FALSE)+IF(AND(Calculator!B8=TRUE,Backdoors!BI15=TRUE),VLOOKUP(Calculator!E23,tbSkills!DH3:DJ6,3,FALSE),0),0)))/100)),(1-(0.25*((-Backdoors!AI12-IF(CH38&gt;=0.45,VLOOKUP(Calculator!E23,tbSkills!DH3:DI6,2,FALSE)+IF(AND(Calculator!B8=TRUE,Backdoors!BI15=TRUE),VLOOKUP(Calculator!E23,tbSkills!DH3:DJ6,3,FALSE),0),0))/100)))),1),"")</f>
        <v>1</v>
      </c>
      <c r="CK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H38)*CJ38)*(VLOOKUP(A38,tbMoveset!A2:C112,3,FALSE)/100)*IF(VLOOKUP(A38,tbMoveset!A2:B112,2,FALSE)="Projectile",Backdoors!N10,Backdoors!N9),0),"")</f>
        <v/>
      </c>
      <c r="CL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H38&gt;=0.45,VLOOKUP(Calculator!E23,tbSkills!DH3:DI6,2,FALSE)+IF(AND(Calculator!B8=TRUE,Backdoors!BI15=TRUE),VLOOKUP(Calculator!E23,tbSkills!DH3:DJ6,3,FALSE),0),0))&gt;=100,100,(Backdoors!AI12+IF(CH38&gt;=0.45,VLOOKUP(Calculator!E23,tbSkills!DH3:DI6,2,FALSE)+IF(AND(Calculator!B8=TRUE,Backdoors!BI15=TRUE),VLOOKUP(Calculator!E23,tbSkills!DH3:DJ6,3,FALSE),0),0)))/100)),1))*IF(VLOOKUP(A38,tbMoveset!A2:K112,11,FALSE)=TRUE,Backdoors!AC5,1))*CI38,0),"")</f>
        <v>0</v>
      </c>
      <c r="CM38" s="49">
        <f>VLOOKUP(A38,tbMoveset!A2:G112,7,FALSE)*IFERROR(IF(Backdoors!AI12&gt;=0,1+(IF(Calculator!E40&gt;0,VLOOKUP(Calculator!E40,tbSkills!AI3:AJ5,2,FALSE),Backdoors!AL4)*(IF((Backdoors!AI12+IF(CH38&gt;=0.45,VLOOKUP(Calculator!E23,tbSkills!DH3:DI6,2,FALSE)+IF(AND(Calculator!B8=TRUE,Backdoors!BI15=TRUE),VLOOKUP(Calculator!E23,tbSkills!DH3:DJ6,3,FALSE),0),0))&gt;=100,100,(Backdoors!AI12+IF(CH38&gt;=0.45,VLOOKUP(Calculator!E23,tbSkills!DH3:DI6,2,FALSE)+IF(AND(Calculator!B8=TRUE,Backdoors!BI15=TRUE),VLOOKUP(Calculator!E23,tbSkills!DH3:DJ6,3,FALSE),0),0)))/100)),1),1)</f>
        <v>0.5</v>
      </c>
      <c r="CN38" s="87">
        <f t="shared" si="7"/>
        <v>0</v>
      </c>
      <c r="CO38" s="86" t="str">
        <f>IFERROR(IF(VLOOKUP(A38,tbMoveset!A2:B112,2,FALSE)="Sever",Backdoors!AY16/100,IF(VLOOKUP(A38,tbMoveset!A2:B112,2,FALSE)="Blunt",Backdoors!AZ16/100,Backdoors!BA16/100)),"")</f>
        <v/>
      </c>
      <c r="CP38" s="49">
        <f>IFERROR(IF(VLOOKUP(tbMoveset!A38,tbMoveset!A2:H112,8,FALSE)="Other",IF(VLOOKUP(tbMoveset!A38,tbMoveset!A2:I112,9,FALSE)="Fire",Backdoors!BB16,IF(VLOOKUP(tbMoveset!A38,tbMoveset!A2:I112,9,FALSE)="Water",Backdoors!BC16,IF(VLOOKUP(tbMoveset!A38,tbMoveset!A2:I112,9,FALSE)="Thunder",Backdoors!BD16,IF(VLOOKUP(tbMoveset!A38,tbMoveset!A2:I112,9,FALSE)="Ice",Backdoors!BE16,IF(VLOOKUP(tbMoveset!A38,tbMoveset!A2:I112,9,FALSE)="Dragon",Backdoors!BF16,Backdoors!BG16)))))/100,Backdoors!BG16/100),"")</f>
        <v>0</v>
      </c>
      <c r="CQ38" s="49">
        <f>IFERROR(IF(VLOOKUP(A38,tbMoveset!A2:J112,10,FALSE)=TRUE,IF((Backdoors!AI12+IF(CO38&gt;=0.45,VLOOKUP(Calculator!E23,tbSkills!DH3:DI6,2,FALSE)+IF(AND(Calculator!B8=TRUE,Backdoors!BI16=TRUE),VLOOKUP(Calculator!E23,tbSkills!DH3:DJ6,3,FALSE),0),0))&gt;=0,1+(Backdoors!AL2*(IF((Backdoors!AI12+IF(CO38&gt;=0.45,VLOOKUP(Calculator!E23,tbSkills!DH3:DI6,2,FALSE)+IF(AND(Calculator!B8=TRUE,Backdoors!BI16=TRUE),VLOOKUP(Calculator!E23,tbSkills!DH3:DJ6,3,FALSE),0),0))&gt;=100,100,(Backdoors!AI12+IF(CO38&gt;=0.45,VLOOKUP(Calculator!E23,tbSkills!DH3:DI6,2,FALSE)+IF(AND(Calculator!B8=TRUE,Backdoors!BI16=TRUE),VLOOKUP(Calculator!E23,tbSkills!DH3:DJ6,3,FALSE),0),0)))/100)),(1-(0.25*((-Backdoors!AI12-IF(CO38&gt;=0.45,VLOOKUP(Calculator!E23,tbSkills!DH3:DI6,2,FALSE)+IF(AND(Calculator!B8=TRUE,Backdoors!BI16=TRUE),VLOOKUP(Calculator!E23,tbSkills!DH3:DJ6,3,FALSE),0),0))/100)))),1),"")</f>
        <v>1</v>
      </c>
      <c r="CR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O38)*CQ38)*(VLOOKUP(A38,tbMoveset!A2:C112,3,FALSE)/100)*IF(VLOOKUP(A38,tbMoveset!A2:B112,2,FALSE)="Projectile",Backdoors!N10,Backdoors!N9),0),"")</f>
        <v/>
      </c>
      <c r="CS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O38&gt;=0.45,VLOOKUP(Calculator!E23,tbSkills!DH3:DI6,2,FALSE)+IF(AND(Calculator!B8=TRUE,Backdoors!BI16=TRUE),VLOOKUP(Calculator!E23,tbSkills!DH3:DJ6,3,FALSE),0),0))&gt;=100,100,(Backdoors!AI12+IF(CO38&gt;=0.45,VLOOKUP(Calculator!E23,tbSkills!DH3:DI6,2,FALSE)+IF(AND(Calculator!B8=TRUE,Backdoors!BI16=TRUE),VLOOKUP(Calculator!E23,tbSkills!DH3:DJ6,3,FALSE),0),0)))/100)),1))*IF(VLOOKUP(A38,tbMoveset!A2:K112,11,FALSE)=TRUE,Backdoors!AC5,1))*CP38,0),"")</f>
        <v>0</v>
      </c>
      <c r="CT38" s="49">
        <f>VLOOKUP(A38,tbMoveset!A2:G112,7,FALSE)*IFERROR(IF(Backdoors!AI12&gt;=0,1+(IF(Calculator!E40&gt;0,VLOOKUP(Calculator!E40,tbSkills!AI3:AJ5,2,FALSE),Backdoors!AL4)*(IF((Backdoors!AI12+IF(CO38&gt;=0.45,VLOOKUP(Calculator!E23,tbSkills!DH3:DI6,2,FALSE)+IF(AND(Calculator!B8=TRUE,Backdoors!BI16=TRUE),VLOOKUP(Calculator!E23,tbSkills!DH3:DJ6,3,FALSE),0),0))&gt;=100,100,(Backdoors!AI12+IF(CO38&gt;=0.45,VLOOKUP(Calculator!E23,tbSkills!DH3:DI6,2,FALSE)+IF(AND(Calculator!B8=TRUE,Backdoors!BI16=TRUE),VLOOKUP(Calculator!E23,tbSkills!DH3:DJ6,3,FALSE),0),0)))/100)),1),1)</f>
        <v>0.5</v>
      </c>
      <c r="CU38" s="87">
        <f t="shared" si="40"/>
        <v>0</v>
      </c>
      <c r="CV38" s="86" t="str">
        <f>IFERROR(IF(VLOOKUP(A38,tbMoveset!A2:B112,2,FALSE)="Sever",Backdoors!AY17/100,IF(VLOOKUP(A38,tbMoveset!A2:B112,2,FALSE)="Blunt",Backdoors!AZ17/100,Backdoors!BA17/100)),"")</f>
        <v/>
      </c>
      <c r="CW38" s="49">
        <f>IFERROR(IF(VLOOKUP(tbMoveset!A38,tbMoveset!A2:H112,8,FALSE)="Other",IF(VLOOKUP(tbMoveset!A38,tbMoveset!A2:I112,9,FALSE)="Fire",Backdoors!BB17,IF(VLOOKUP(tbMoveset!A38,tbMoveset!A2:I112,9,FALSE)="Water",Backdoors!BC17,IF(VLOOKUP(tbMoveset!A38,tbMoveset!A2:I112,9,FALSE)="Thunder",Backdoors!BD17,IF(VLOOKUP(tbMoveset!A38,tbMoveset!A2:I112,9,FALSE)="Ice",Backdoors!BE17,IF(VLOOKUP(tbMoveset!A38,tbMoveset!A2:I112,9,FALSE)="Dragon",Backdoors!BF17,Backdoors!BG17)))))/100,Backdoors!BG17/100),"")</f>
        <v>0</v>
      </c>
      <c r="CX38" s="49">
        <f>IFERROR(IF(VLOOKUP(A38,tbMoveset!A2:J112,10,FALSE)=TRUE,IF((Backdoors!AI12+IF(CV38&gt;=0.45,VLOOKUP(Calculator!E23,tbSkills!DH3:DI6,2,FALSE)+IF(AND(Calculator!B8=TRUE,Backdoors!BI17=TRUE),VLOOKUP(Calculator!E23,tbSkills!DH3:DJ6,3,FALSE),0),0))&gt;=0,1+(Backdoors!AL2*(IF((Backdoors!AI12+IF(CV38&gt;=0.45,VLOOKUP(Calculator!E23,tbSkills!DH3:DI6,2,FALSE)+IF(AND(Calculator!B8=TRUE,Backdoors!BI17=TRUE),VLOOKUP(Calculator!E23,tbSkills!DH3:DJ6,3,FALSE),0),0))&gt;=100,100,(Backdoors!AI12+IF(CV38&gt;=0.45,VLOOKUP(Calculator!E23,tbSkills!DH3:DI6,2,FALSE)+IF(AND(Calculator!B8=TRUE,Backdoors!BI17=TRUE),VLOOKUP(Calculator!E23,tbSkills!DH3:DJ6,3,FALSE),0),0)))/100)),(1-(0.25*((-Backdoors!AI12-IF(CV38&gt;=0.45,VLOOKUP(Calculator!E23,tbSkills!DH3:DI6,2,FALSE)+IF(AND(Calculator!B8=TRUE,Backdoors!BI17=TRUE),VLOOKUP(Calculator!E23,tbSkills!DH3:DJ6,3,FALSE),0),0))/100)))),1),"")</f>
        <v>1</v>
      </c>
      <c r="CY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V38)*CX38)*(VLOOKUP(A38,tbMoveset!A2:C112,3,FALSE)/100)*IF(VLOOKUP(A38,tbMoveset!A2:B112,2,FALSE)="Projectile",Backdoors!N10,Backdoors!N9),0),"")</f>
        <v/>
      </c>
      <c r="CZ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V38&gt;=0.45,VLOOKUP(Calculator!E23,tbSkills!DH3:DI6,2,FALSE)+IF(AND(Calculator!B8=TRUE,Backdoors!BI17=TRUE),VLOOKUP(Calculator!E23,tbSkills!DH3:DJ6,3,FALSE),0),0))&gt;=100,100,(Backdoors!AI12+IF(CV38&gt;=0.45,VLOOKUP(Calculator!E23,tbSkills!DH3:DI6,2,FALSE)+IF(AND(Calculator!B8=TRUE,Backdoors!BI17=TRUE),VLOOKUP(Calculator!E23,tbSkills!DH3:DJ6,3,FALSE),0),0)))/100)),1))*IF(VLOOKUP(A38,tbMoveset!A2:K112,11,FALSE)=TRUE,Backdoors!AC5,1))*CW38,0),"")</f>
        <v>0</v>
      </c>
      <c r="DA38" s="49">
        <f>VLOOKUP(A38,tbMoveset!A2:G112,7,FALSE)*IFERROR(IF(Backdoors!AI12&gt;=0,1+(IF(Calculator!E40&gt;0,VLOOKUP(Calculator!E40,tbSkills!AI3:AJ5,2,FALSE),Backdoors!AL4)*(IF((Backdoors!AI12+IF(CV38&gt;=0.45,VLOOKUP(Calculator!E23,tbSkills!DH3:DI6,2,FALSE)+IF(AND(Calculator!B8=TRUE,Backdoors!BI17=TRUE),VLOOKUP(Calculator!E23,tbSkills!DH3:DJ6,3,FALSE),0),0))&gt;=100,100,(Backdoors!AI12+IF(CV38&gt;=0.45,VLOOKUP(Calculator!E23,tbSkills!DH3:DI6,2,FALSE)+IF(AND(Calculator!B8=TRUE,Backdoors!BI17=TRUE),VLOOKUP(Calculator!E23,tbSkills!DH3:DJ6,3,FALSE),0),0)))/100)),1),1)</f>
        <v>0.5</v>
      </c>
      <c r="DB38" s="87">
        <f t="shared" si="8"/>
        <v>0</v>
      </c>
      <c r="DC38" s="86" t="str">
        <f>IFERROR(IF(VLOOKUP(A38,tbMoveset!A2:B112,2,FALSE)="Sever",Backdoors!AY18/100,IF(VLOOKUP(A38,tbMoveset!A2:B112,2,FALSE)="Blunt",Backdoors!AZ18/100,Backdoors!BA18/100)),"")</f>
        <v/>
      </c>
      <c r="DD38" s="49">
        <f>IFERROR(IF(VLOOKUP(tbMoveset!A38,tbMoveset!A2:H112,8,FALSE)="Other",IF(VLOOKUP(tbMoveset!A38,tbMoveset!A2:I112,9,FALSE)="Fire",Backdoors!BB18,IF(VLOOKUP(tbMoveset!A38,tbMoveset!A2:I112,9,FALSE)="Water",Backdoors!BC18,IF(VLOOKUP(tbMoveset!A38,tbMoveset!A2:I112,9,FALSE)="Thunder",Backdoors!BD18,IF(VLOOKUP(tbMoveset!A38,tbMoveset!A2:I112,9,FALSE)="Ice",Backdoors!BE18,IF(VLOOKUP(tbMoveset!A38,tbMoveset!A2:I112,9,FALSE)="Dragon",Backdoors!BF18,Backdoors!BG18)))))/100,Backdoors!BG18/100),"")</f>
        <v>0</v>
      </c>
      <c r="DE38" s="49">
        <f>IFERROR(IF(VLOOKUP(A38,tbMoveset!A2:J112,10,FALSE)=TRUE,IF((Backdoors!AI12+IF(DC38&gt;=0.45,VLOOKUP(Calculator!E23,tbSkills!DH3:DI6,2,FALSE)+IF(AND(Calculator!B8=TRUE,Backdoors!BI18=TRUE),VLOOKUP(Calculator!E23,tbSkills!DH3:DJ6,3,FALSE),0),0))&gt;=0,1+(Backdoors!AL2*(IF((Backdoors!AI12+IF(DC38&gt;=0.45,VLOOKUP(Calculator!E23,tbSkills!DH3:DI6,2,FALSE)+IF(AND(Calculator!B8=TRUE,Backdoors!BI18=TRUE),VLOOKUP(Calculator!E23,tbSkills!DH3:DJ6,3,FALSE),0),0))&gt;=100,100,(Backdoors!AI12+IF(DC38&gt;=0.45,VLOOKUP(Calculator!E23,tbSkills!DH3:DI6,2,FALSE)+IF(AND(Calculator!B8=TRUE,Backdoors!BI18=TRUE),VLOOKUP(Calculator!E23,tbSkills!DH3:DJ6,3,FALSE),0),0)))/100)),(1-(0.25*((-Backdoors!AI12-IF(DC38&gt;=0.45,VLOOKUP(Calculator!E23,tbSkills!DH3:DI6,2,FALSE)+IF(AND(Calculator!B8=TRUE,Backdoors!BI18=TRUE),VLOOKUP(Calculator!E23,tbSkills!DH3:DJ6,3,FALSE),0),0))/100)))),1),"")</f>
        <v>1</v>
      </c>
      <c r="DF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C38)*DE38)*(VLOOKUP(A38,tbMoveset!A2:C112,3,FALSE)/100)*IF(VLOOKUP(A38,tbMoveset!A2:B112,2,FALSE)="Projectile",Backdoors!N10,Backdoors!N9),0),"")</f>
        <v/>
      </c>
      <c r="DG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C38&gt;=0.45,VLOOKUP(Calculator!E23,tbSkills!DH3:DI6,2,FALSE)+IF(AND(Calculator!B8=TRUE,Backdoors!BI18=TRUE),VLOOKUP(Calculator!E23,tbSkills!DH3:DJ6,3,FALSE),0),0))&gt;=100,100,(Backdoors!AI12+IF(DC38&gt;=0.45,VLOOKUP(Calculator!E23,tbSkills!DH3:DI6,2,FALSE)+IF(AND(Calculator!B8=TRUE,Backdoors!BI18=TRUE),VLOOKUP(Calculator!E23,tbSkills!DH3:DJ6,3,FALSE),0),0)))/100)),1))*IF(VLOOKUP(A38,tbMoveset!A2:K112,11,FALSE)=TRUE,Backdoors!AC5,1))*DD38,0),"")</f>
        <v>0</v>
      </c>
      <c r="DH38" s="49">
        <f>VLOOKUP(A38,tbMoveset!A2:G112,7,FALSE)*IFERROR(IF(Backdoors!AI12&gt;=0,1+(IF(Calculator!E40&gt;0,VLOOKUP(Calculator!E40,tbSkills!AI3:AJ5,2,FALSE),Backdoors!AL4)*(IF((Backdoors!AI12+IF(DC38&gt;=0.45,VLOOKUP(Calculator!E23,tbSkills!DH3:DI6,2,FALSE)+IF(AND(Calculator!B8=TRUE,Backdoors!BI18=TRUE),VLOOKUP(Calculator!E23,tbSkills!DH3:DJ6,3,FALSE),0),0))&gt;=100,100,(Backdoors!AI12+IF(DC38&gt;=0.45,VLOOKUP(Calculator!E23,tbSkills!DH3:DI6,2,FALSE)+IF(AND(Calculator!B8=TRUE,Backdoors!BI18=TRUE),VLOOKUP(Calculator!E23,tbSkills!DH3:DJ6,3,FALSE),0),0)))/100)),1),1)</f>
        <v>0.5</v>
      </c>
      <c r="DI38" s="87">
        <f t="shared" si="9"/>
        <v>0</v>
      </c>
      <c r="DJ38" s="86" t="str">
        <f>IFERROR(IF(VLOOKUP(A38,tbMoveset!A2:B112,2,FALSE)="Sever",Backdoors!AY19/100,IF(VLOOKUP(A38,tbMoveset!A2:B112,2,FALSE)="Blunt",Backdoors!AZ19/100,Backdoors!BA19/100)),"")</f>
        <v/>
      </c>
      <c r="DK38" s="49">
        <f>IFERROR(IF(VLOOKUP(tbMoveset!A38,tbMoveset!A2:H112,8,FALSE)="Other",IF(VLOOKUP(tbMoveset!A38,tbMoveset!A2:I112,9,FALSE)="Fire",Backdoors!BB19,IF(VLOOKUP(tbMoveset!A38,tbMoveset!A2:I112,9,FALSE)="Water",Backdoors!BC19,IF(VLOOKUP(tbMoveset!A38,tbMoveset!A2:I112,9,FALSE)="Thunder",Backdoors!BD19,IF(VLOOKUP(tbMoveset!A38,tbMoveset!A2:I112,9,FALSE)="Ice",Backdoors!BE19,IF(VLOOKUP(tbMoveset!A38,tbMoveset!A2:I112,9,FALSE)="Dragon",Backdoors!BF19,Backdoors!BG19)))))/100,Backdoors!BG19/100),"")</f>
        <v>0</v>
      </c>
      <c r="DL38" s="49">
        <f>IFERROR(IF(VLOOKUP(A38,tbMoveset!A2:J112,10,FALSE)=TRUE,IF((Backdoors!AI12+IF(DJ38&gt;=0.45,VLOOKUP(Calculator!E23,tbSkills!DH3:DI6,2,FALSE)+IF(AND(Calculator!B8=TRUE,Backdoors!BI19=TRUE),VLOOKUP(Calculator!E23,tbSkills!DH3:DJ6,3,FALSE),0),0))&gt;=0,1+(Backdoors!AL2*(IF((Backdoors!AI12+IF(DJ38&gt;=0.45,VLOOKUP(Calculator!E23,tbSkills!DH3:DI6,2,FALSE)+IF(AND(Calculator!B8=TRUE,Backdoors!BI19=TRUE),VLOOKUP(Calculator!E23,tbSkills!DH3:DJ6,3,FALSE),0),0))&gt;=100,100,(Backdoors!AI12+IF(DJ38&gt;=0.45,VLOOKUP(Calculator!E23,tbSkills!DH3:DI6,2,FALSE)+IF(AND(Calculator!B8=TRUE,Backdoors!BI19=TRUE),VLOOKUP(Calculator!E23,tbSkills!DH3:DJ6,3,FALSE),0),0)))/100)),(1-(0.25*((-Backdoors!AI12-IF(DJ38&gt;=0.45,VLOOKUP(Calculator!E23,tbSkills!DH3:DI6,2,FALSE)+IF(AND(Calculator!B8=TRUE,Backdoors!BI19=TRUE),VLOOKUP(Calculator!E23,tbSkills!DH3:DJ6,3,FALSE),0),0))/100)))),1),"")</f>
        <v>1</v>
      </c>
      <c r="DM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J38)*DL38)*(VLOOKUP(A38,tbMoveset!A2:C112,3,FALSE)/100)*IF(VLOOKUP(A38,tbMoveset!A2:B112,2,FALSE)="Projectile",Backdoors!N10,Backdoors!N9),0),"")</f>
        <v/>
      </c>
      <c r="DN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J38&gt;=0.45,VLOOKUP(Calculator!E23,tbSkills!DH3:DI6,2,FALSE)+IF(AND(Calculator!B8=TRUE,Backdoors!BI19=TRUE),VLOOKUP(Calculator!E23,tbSkills!DH3:DJ6,3,FALSE),0),0))&gt;=100,100,(Backdoors!AI12+IF(DJ38&gt;=0.45,VLOOKUP(Calculator!E23,tbSkills!DH3:DI6,2,FALSE)+IF(AND(Calculator!B8=TRUE,Backdoors!BI19=TRUE),VLOOKUP(Calculator!E23,tbSkills!DH3:DJ6,3,FALSE),0),0)))/100)),1))*IF(VLOOKUP(A38,tbMoveset!A2:K112,11,FALSE)=TRUE,Backdoors!AC5,1))*DK38,0),"")</f>
        <v>0</v>
      </c>
      <c r="DO38" s="49">
        <f>VLOOKUP(A38,tbMoveset!A2:G112,7,FALSE)*IFERROR(IF(Backdoors!AI12&gt;=0,1+(IF(Calculator!E40&gt;0,VLOOKUP(Calculator!E40,tbSkills!AI3:AJ5,2,FALSE),Backdoors!AL4)*(IF((Backdoors!AI12+IF(DJ38&gt;=0.45,VLOOKUP(Calculator!E23,tbSkills!DH3:DI6,2,FALSE)+IF(AND(Calculator!B8=TRUE,Backdoors!BI19=TRUE),VLOOKUP(Calculator!E23,tbSkills!DH3:DJ6,3,FALSE),0),0))&gt;=100,100,(Backdoors!AI12+IF(DJ38&gt;=0.45,VLOOKUP(Calculator!E23,tbSkills!DH3:DI6,2,FALSE)+IF(AND(Calculator!B8=TRUE,Backdoors!BI19=TRUE),VLOOKUP(Calculator!E23,tbSkills!DH3:DJ6,3,FALSE),0),0)))/100)),1),1)</f>
        <v>0.5</v>
      </c>
      <c r="DP38" s="87">
        <f t="shared" si="41"/>
        <v>0</v>
      </c>
      <c r="DQ38" s="86" t="str">
        <f>IFERROR(IF(VLOOKUP(A38,tbMoveset!A2:B112,2,FALSE)="Sever",Backdoors!AY20/100,IF(VLOOKUP(A38,tbMoveset!A2:B112,2,FALSE)="Blunt",Backdoors!AZ20/100,Backdoors!BA20/100)),"")</f>
        <v/>
      </c>
      <c r="DR38" s="49">
        <f>IFERROR(IF(VLOOKUP(tbMoveset!A38,tbMoveset!A2:H112,8,FALSE)="Other",IF(VLOOKUP(tbMoveset!A38,tbMoveset!A2:I112,9,FALSE)="Fire",Backdoors!BB20,IF(VLOOKUP(tbMoveset!A38,tbMoveset!A2:I112,9,FALSE)="Water",Backdoors!BC20,IF(VLOOKUP(tbMoveset!A38,tbMoveset!A2:I112,9,FALSE)="Thunder",Backdoors!BD20,IF(VLOOKUP(tbMoveset!A38,tbMoveset!A2:I112,9,FALSE)="Ice",Backdoors!BE20,IF(VLOOKUP(tbMoveset!A38,tbMoveset!A2:I112,9,FALSE)="Dragon",Backdoors!BF20,Backdoors!BG20)))))/100,Backdoors!BG20/100),"")</f>
        <v>0</v>
      </c>
      <c r="DS38" s="49">
        <f>IFERROR(IF(VLOOKUP(A38,tbMoveset!A2:J112,10,FALSE)=TRUE,IF((Backdoors!AI12+IF(DQ38&gt;=0.45,VLOOKUP(Calculator!E23,tbSkills!DH3:DI6,2,FALSE)+IF(AND(Calculator!B8=TRUE,Backdoors!BI20=TRUE),VLOOKUP(Calculator!E23,tbSkills!DH3:DJ6,3,FALSE),0),0))&gt;=0,1+(Backdoors!AL2*(IF((Backdoors!AI12+IF(DQ38&gt;=0.45,VLOOKUP(Calculator!E23,tbSkills!DH3:DI6,2,FALSE)+IF(AND(Calculator!B8=TRUE,Backdoors!BI20=TRUE),VLOOKUP(Calculator!E23,tbSkills!DH3:DJ6,3,FALSE),0),0))&gt;=100,100,(Backdoors!AI12+IF(DQ38&gt;=0.45,VLOOKUP(Calculator!E23,tbSkills!DH3:DI6,2,FALSE)+IF(AND(Calculator!B8=TRUE,Backdoors!BI20=TRUE),VLOOKUP(Calculator!E23,tbSkills!DH3:DJ6,3,FALSE),0),0)))/100)),(1-(0.25*((-Backdoors!AI12-IF(DQ38&gt;=0.45,VLOOKUP(Calculator!E23,tbSkills!DH3:DI6,2,FALSE)+IF(AND(Calculator!B8=TRUE,Backdoors!BI20=TRUE),VLOOKUP(Calculator!E23,tbSkills!DH3:DJ6,3,FALSE),0),0))/100)))),1),"")</f>
        <v>1</v>
      </c>
      <c r="DT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Q38)*DS38)*(VLOOKUP(A38,tbMoveset!A2:C112,3,FALSE)/100)*IF(VLOOKUP(A38,tbMoveset!A2:B112,2,FALSE)="Projectile",Backdoors!N10,Backdoors!N9),0),"")</f>
        <v/>
      </c>
      <c r="DU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Q38&gt;=0.45,VLOOKUP(Calculator!E23,tbSkills!DH3:DI6,2,FALSE)+IF(AND(Calculator!B8=TRUE,Backdoors!BI20=TRUE),VLOOKUP(Calculator!E23,tbSkills!DH3:DJ6,3,FALSE),0),0))&gt;=100,100,(Backdoors!AI12+IF(DQ38&gt;=0.45,VLOOKUP(Calculator!E23,tbSkills!DH3:DI6,2,FALSE)+IF(AND(Calculator!B8=TRUE,Backdoors!BI20=TRUE),VLOOKUP(Calculator!E23,tbSkills!DH3:DJ6,3,FALSE),0),0)))/100)),1))*IF(VLOOKUP(A38,tbMoveset!A2:K112,11,FALSE)=TRUE,Backdoors!AC5,1))*DR38,0),"")</f>
        <v>0</v>
      </c>
      <c r="DV38" s="49">
        <f>VLOOKUP(A38,tbMoveset!A2:G112,7,FALSE)*IFERROR(IF(Backdoors!AI12&gt;=0,1+(IF(Calculator!E40&gt;0,VLOOKUP(Calculator!E40,tbSkills!AI3:AJ5,2,FALSE),Backdoors!AL4)*(IF((Backdoors!AI12+IF(DQ38&gt;=0.45,VLOOKUP(Calculator!E23,tbSkills!DH3:DI6,2,FALSE)+IF(AND(Calculator!B8=TRUE,Backdoors!BI20=TRUE),VLOOKUP(Calculator!E23,tbSkills!DH3:DJ6,3,FALSE),0),0))&gt;=100,100,(Backdoors!AI12+IF(DQ38&gt;=0.45,VLOOKUP(Calculator!E23,tbSkills!DH3:DI6,2,FALSE)+IF(AND(Calculator!B8=TRUE,Backdoors!BI20=TRUE),VLOOKUP(Calculator!E23,tbSkills!DH3:DJ6,3,FALSE),0),0)))/100)),1),1)</f>
        <v>0.5</v>
      </c>
      <c r="DW38" s="87">
        <f t="shared" si="10"/>
        <v>0</v>
      </c>
      <c r="DX38" s="86" t="str">
        <f>IFERROR(IF(VLOOKUP(A38,tbMoveset!A2:B112,2,FALSE)="Sever",Backdoors!AY21/100,IF(VLOOKUP(A38,tbMoveset!A2:B112,2,FALSE)="Blunt",Backdoors!AZ21/100,Backdoors!BA21/100)),"")</f>
        <v/>
      </c>
      <c r="DY38" s="49">
        <f>IFERROR(IF(VLOOKUP(tbMoveset!A38,tbMoveset!A2:H112,8,FALSE)="Other",IF(VLOOKUP(tbMoveset!A38,tbMoveset!A2:I112,9,FALSE)="Fire",Backdoors!BB21,IF(VLOOKUP(tbMoveset!A38,tbMoveset!A2:I112,9,FALSE)="Water",Backdoors!BC21,IF(VLOOKUP(tbMoveset!A38,tbMoveset!A2:I112,9,FALSE)="Thunder",Backdoors!BD21,IF(VLOOKUP(tbMoveset!A38,tbMoveset!A2:I112,9,FALSE)="Ice",Backdoors!BE21,IF(VLOOKUP(tbMoveset!A38,tbMoveset!A2:I112,9,FALSE)="Dragon",Backdoors!BF21,Backdoors!BG21)))))/100,Backdoors!BG21/100),"")</f>
        <v>0</v>
      </c>
      <c r="DZ38" s="49">
        <f>IFERROR(IF(VLOOKUP(A38,tbMoveset!A2:J112,10,FALSE)=TRUE,IF((Backdoors!AI12+IF(DX38&gt;=0.45,VLOOKUP(Calculator!E23,tbSkills!DH3:DI6,2,FALSE)+IF(AND(Calculator!B8=TRUE,Backdoors!BI21=TRUE),VLOOKUP(Calculator!E23,tbSkills!DH3:DJ6,3,FALSE),0),0))&gt;=0,1+(Backdoors!AL2*(IF((Backdoors!AI12+IF(DX38&gt;=0.45,VLOOKUP(Calculator!E23,tbSkills!DH3:DI6,2,FALSE)+IF(AND(Calculator!B8=TRUE,Backdoors!BI21=TRUE),VLOOKUP(Calculator!E23,tbSkills!DH3:DJ6,3,FALSE),0),0))&gt;=100,100,(Backdoors!AI12+IF(DX38&gt;=0.45,VLOOKUP(Calculator!E23,tbSkills!DH3:DI6,2,FALSE)+IF(AND(Calculator!B8=TRUE,Backdoors!BI21=TRUE),VLOOKUP(Calculator!E23,tbSkills!DH3:DJ6,3,FALSE),0),0)))/100)),(1-(0.25*((-Backdoors!AI12-IF(DX38&gt;=0.45,VLOOKUP(Calculator!E23,tbSkills!DH3:DI6,2,FALSE)+IF(AND(Calculator!B8=TRUE,Backdoors!BI21=TRUE),VLOOKUP(Calculator!E23,tbSkills!DH3:DJ6,3,FALSE),0),0))/100)))),1),"")</f>
        <v>1</v>
      </c>
      <c r="EA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X38)*DZ38)*(VLOOKUP(A38,tbMoveset!A2:C112,3,FALSE)/100)*IF(VLOOKUP(A38,tbMoveset!A2:B112,2,FALSE)="Projectile",Backdoors!N10,Backdoors!N9),0),"")</f>
        <v/>
      </c>
      <c r="EB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X38&gt;=0.45,VLOOKUP(Calculator!E23,tbSkills!DH3:DI6,2,FALSE)+IF(AND(Calculator!B8=TRUE,Backdoors!BI21=TRUE),VLOOKUP(Calculator!E23,tbSkills!DH3:DJ6,3,FALSE),0),0))&gt;=100,100,(Backdoors!AI12+IF(DX38&gt;=0.45,VLOOKUP(Calculator!E23,tbSkills!DH3:DI6,2,FALSE)+IF(AND(Calculator!B8=TRUE,Backdoors!BI21=TRUE),VLOOKUP(Calculator!E23,tbSkills!DH3:DJ6,3,FALSE),0),0)))/100)),1))*IF(VLOOKUP(A38,tbMoveset!A2:K112,11,FALSE)=TRUE,Backdoors!AC5,1))*DY38,0),"")</f>
        <v>0</v>
      </c>
      <c r="EC38" s="49">
        <f>VLOOKUP(A38,tbMoveset!A2:G112,7,FALSE)*IFERROR(IF(Backdoors!AI12&gt;=0,1+(IF(Calculator!E40&gt;0,VLOOKUP(Calculator!E40,tbSkills!AI3:AJ5,2,FALSE),Backdoors!AL4)*(IF((Backdoors!AI12+IF(DX38&gt;=0.45,VLOOKUP(Calculator!E23,tbSkills!DH3:DI6,2,FALSE)+IF(AND(Calculator!B8=TRUE,Backdoors!BI21=TRUE),VLOOKUP(Calculator!E23,tbSkills!DH3:DJ6,3,FALSE),0),0))&gt;=100,100,(Backdoors!AI12+IF(DX38&gt;=0.45,VLOOKUP(Calculator!E23,tbSkills!DH3:DI6,2,FALSE)+IF(AND(Calculator!B8=TRUE,Backdoors!BI21=TRUE),VLOOKUP(Calculator!E23,tbSkills!DH3:DJ6,3,FALSE),0),0)))/100)),1),1)</f>
        <v>0.5</v>
      </c>
      <c r="ED38" s="87">
        <f t="shared" si="11"/>
        <v>0</v>
      </c>
      <c r="EE38" s="86" t="str">
        <f>IFERROR(IF(VLOOKUP(A38,tbMoveset!A2:B112,2,FALSE)="Sever",Backdoors!AY22/100,IF(VLOOKUP(A38,tbMoveset!A2:B112,2,FALSE)="Blunt",Backdoors!AZ22/100,Backdoors!BA22/100)),"")</f>
        <v/>
      </c>
      <c r="EF38" s="49">
        <f>IFERROR(IF(VLOOKUP(tbMoveset!A38,tbMoveset!A2:H112,8,FALSE)="Other",IF(VLOOKUP(tbMoveset!A38,tbMoveset!A2:I112,9,FALSE)="Fire",Backdoors!BB22,IF(VLOOKUP(tbMoveset!A38,tbMoveset!A2:I112,9,FALSE)="Water",Backdoors!BC22,IF(VLOOKUP(tbMoveset!A38,tbMoveset!A2:I112,9,FALSE)="Thunder",Backdoors!BD22,IF(VLOOKUP(tbMoveset!A38,tbMoveset!A2:I112,9,FALSE)="Ice",Backdoors!BE22,IF(VLOOKUP(tbMoveset!A38,tbMoveset!A2:I112,9,FALSE)="Dragon",Backdoors!BF22,Backdoors!BG22)))))/100,Backdoors!BG22/100),"")</f>
        <v>0</v>
      </c>
      <c r="EG38" s="49">
        <f>IFERROR(IF(VLOOKUP(A38,tbMoveset!A2:J112,10,FALSE)=TRUE,IF((Backdoors!AI12+IF(EE38&gt;=0.45,VLOOKUP(Calculator!E23,tbSkills!DH3:DI6,2,FALSE)+IF(AND(Calculator!B8=TRUE,Backdoors!BI22=TRUE),VLOOKUP(Calculator!E23,tbSkills!DH3:DJ6,3,FALSE),0),0))&gt;=0,1+(Backdoors!AL2*(IF((Backdoors!AI12+IF(EE38&gt;=0.45,VLOOKUP(Calculator!E23,tbSkills!DH3:DI6,2,FALSE)+IF(AND(Calculator!B8=TRUE,Backdoors!BI22=TRUE),VLOOKUP(Calculator!E23,tbSkills!DH3:DJ6,3,FALSE),0),0))&gt;=100,100,(Backdoors!AI12+IF(EE38&gt;=0.45,VLOOKUP(Calculator!E23,tbSkills!DH3:DI6,2,FALSE)+IF(AND(Calculator!B8=TRUE,Backdoors!BI22=TRUE),VLOOKUP(Calculator!E23,tbSkills!DH3:DJ6,3,FALSE),0),0)))/100)),(1-(0.25*((-Backdoors!AI12-IF(EE38&gt;=0.45,VLOOKUP(Calculator!E23,tbSkills!DH3:DI6,2,FALSE)+IF(AND(Calculator!B8=TRUE,Backdoors!BI22=TRUE),VLOOKUP(Calculator!E23,tbSkills!DH3:DJ6,3,FALSE),0),0))/100)))),1),"")</f>
        <v>1</v>
      </c>
      <c r="EH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E38)*EG38)*(VLOOKUP(A38,tbMoveset!A2:C112,3,FALSE)/100)*IF(VLOOKUP(A38,tbMoveset!A2:B112,2,FALSE)="Projectile",Backdoors!N10,Backdoors!N9),0),"")</f>
        <v/>
      </c>
      <c r="EI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E38&gt;=0.45,VLOOKUP(Calculator!E23,tbSkills!DH3:DI6,2,FALSE)+IF(AND(Calculator!B8=TRUE,Backdoors!BI22=TRUE),VLOOKUP(Calculator!E23,tbSkills!DH3:DJ6,3,FALSE),0),0))&gt;=100,100,(Backdoors!AI12+IF(EE38&gt;=0.45,VLOOKUP(Calculator!E23,tbSkills!DH3:DI6,2,FALSE)+IF(AND(Calculator!B8=TRUE,Backdoors!BI22=TRUE),VLOOKUP(Calculator!E23,tbSkills!DH3:DJ6,3,FALSE),0),0)))/100)),1))*IF(VLOOKUP(A38,tbMoveset!A2:K112,11,FALSE)=TRUE,Backdoors!AC5,1))*EF38,0),"")</f>
        <v>0</v>
      </c>
      <c r="EJ38" s="49">
        <f>VLOOKUP(A38,tbMoveset!A2:G112,7,FALSE)*IFERROR(IF(Backdoors!AI12&gt;=0,1+(IF(Calculator!E40&gt;0,VLOOKUP(Calculator!E40,tbSkills!AI3:AJ5,2,FALSE),Backdoors!AL4)*(IF((Backdoors!AI12+IF(EE38&gt;=0.45,VLOOKUP(Calculator!E23,tbSkills!DH3:DI6,2,FALSE)+IF(AND(Calculator!B8=TRUE,Backdoors!BI22=TRUE),VLOOKUP(Calculator!E23,tbSkills!DH3:DJ6,3,FALSE),0),0))&gt;=100,100,(Backdoors!AI12+IF(EE38&gt;=0.45,VLOOKUP(Calculator!E23,tbSkills!DH3:DI6,2,FALSE)+IF(AND(Calculator!B8=TRUE,Backdoors!BI22=TRUE),VLOOKUP(Calculator!E23,tbSkills!DH3:DJ6,3,FALSE),0),0)))/100)),1),1)</f>
        <v>0.5</v>
      </c>
      <c r="EK38" s="87">
        <f t="shared" si="12"/>
        <v>0</v>
      </c>
      <c r="EL38" s="86" t="str">
        <f>IFERROR(IF(VLOOKUP(A38,tbMoveset!A2:B112,2,FALSE)="Sever",Backdoors!AY23/100,IF(VLOOKUP(A38,tbMoveset!A2:B112,2,FALSE)="Blunt",Backdoors!AZ23/100,Backdoors!BA23/100)),"")</f>
        <v/>
      </c>
      <c r="EM38" s="49">
        <f>IFERROR(IF(VLOOKUP(tbMoveset!A38,tbMoveset!A2:H112,8,FALSE)="Other",IF(VLOOKUP(tbMoveset!A38,tbMoveset!A2:I112,9,FALSE)="Fire",Backdoors!BB23,IF(VLOOKUP(tbMoveset!A38,tbMoveset!A2:I112,9,FALSE)="Water",Backdoors!BC23,IF(VLOOKUP(tbMoveset!A38,tbMoveset!A2:I112,9,FALSE)="Thunder",Backdoors!BD23,IF(VLOOKUP(tbMoveset!A38,tbMoveset!A2:I112,9,FALSE)="Ice",Backdoors!BE23,IF(VLOOKUP(tbMoveset!A38,tbMoveset!A2:I112,9,FALSE)="Dragon",Backdoors!BF23,Backdoors!BG23)))))/100,Backdoors!BG23/100),"")</f>
        <v>0</v>
      </c>
      <c r="EN38" s="49">
        <f>IFERROR(IF(VLOOKUP(A38,tbMoveset!A2:J112,10,FALSE)=TRUE,IF((Backdoors!AI12+IF(EL38&gt;=0.45,VLOOKUP(Calculator!E23,tbSkills!DH3:DI6,2,FALSE)+IF(AND(Calculator!B8=TRUE,Backdoors!BI23=TRUE),VLOOKUP(Calculator!E23,tbSkills!DH3:DJ6,3,FALSE),0),0))&gt;=0,1+(Backdoors!AL2*(IF((Backdoors!AI12+IF(EL38&gt;=0.45,VLOOKUP(Calculator!E23,tbSkills!DH3:DI6,2,FALSE)+IF(AND(Calculator!B8=TRUE,Backdoors!BI23=TRUE),VLOOKUP(Calculator!E23,tbSkills!DH3:DJ6,3,FALSE),0),0))&gt;=100,100,(Backdoors!AI12+IF(EL38&gt;=0.45,VLOOKUP(Calculator!E23,tbSkills!DH3:DI6,2,FALSE)+IF(AND(Calculator!B8=TRUE,Backdoors!BI23=TRUE),VLOOKUP(Calculator!E23,tbSkills!DH3:DJ6,3,FALSE),0),0)))/100)),(1-(0.25*((-Backdoors!AI12-IF(EL38&gt;=0.45,VLOOKUP(Calculator!E23,tbSkills!DH3:DI6,2,FALSE)+IF(AND(Calculator!B8=TRUE,Backdoors!BI23=TRUE),VLOOKUP(Calculator!E23,tbSkills!DH3:DJ6,3,FALSE),0),0))/100)))),1),"")</f>
        <v>1</v>
      </c>
      <c r="EO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L38)*EN38)*(VLOOKUP(A38,tbMoveset!A2:C112,3,FALSE)/100)*IF(VLOOKUP(A38,tbMoveset!A2:B112,2,FALSE)="Projectile",Backdoors!N10,Backdoors!N9),0),"")</f>
        <v/>
      </c>
      <c r="EP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L38&gt;=0.45,VLOOKUP(Calculator!E23,tbSkills!DH3:DI6,2,FALSE)+IF(AND(Calculator!B8=TRUE,Backdoors!BI23=TRUE),VLOOKUP(Calculator!E23,tbSkills!DH3:DJ6,3,FALSE),0),0))&gt;=100,100,(Backdoors!AI12+IF(EL38&gt;=0.45,VLOOKUP(Calculator!E23,tbSkills!DH3:DI6,2,FALSE)+IF(AND(Calculator!B8=TRUE,Backdoors!BI23=TRUE),VLOOKUP(Calculator!E23,tbSkills!DH3:DJ6,3,FALSE),0),0)))/100)),1))*IF(VLOOKUP(A38,tbMoveset!A2:K112,11,FALSE)=TRUE,Backdoors!AC5,1))*EM38,0),"")</f>
        <v>0</v>
      </c>
      <c r="EQ38" s="49">
        <f>VLOOKUP(A38,tbMoveset!A2:G112,7,FALSE)*IFERROR(IF(Backdoors!AI12&gt;=0,1+(IF(Calculator!E40&gt;0,VLOOKUP(Calculator!E40,tbSkills!AI3:AJ5,2,FALSE),Backdoors!AL4)*(IF((Backdoors!AI12+IF(EL38&gt;=0.45,VLOOKUP(Calculator!E23,tbSkills!DH3:DI6,2,FALSE)+IF(AND(Calculator!B8=TRUE,Backdoors!BI23=TRUE),VLOOKUP(Calculator!E23,tbSkills!DH3:DJ6,3,FALSE),0),0))&gt;=100,100,(Backdoors!AI12+IF(EL38&gt;=0.45,VLOOKUP(Calculator!E23,tbSkills!DH3:DI6,2,FALSE)+IF(AND(Calculator!B8=TRUE,Backdoors!BI23=TRUE),VLOOKUP(Calculator!E23,tbSkills!DH3:DJ6,3,FALSE),0),0)))/100)),1),1)</f>
        <v>0.5</v>
      </c>
      <c r="ER38" s="87">
        <f t="shared" si="13"/>
        <v>0</v>
      </c>
      <c r="ES38" s="86" t="str">
        <f>IFERROR(IF(VLOOKUP(A38,tbMoveset!A2:B112,2,FALSE)="Sever",Backdoors!AY24/100,IF(VLOOKUP(A38,tbMoveset!A2:B112,2,FALSE)="Blunt",Backdoors!AZ24/100,Backdoors!BA24/100)),"")</f>
        <v/>
      </c>
      <c r="ET38" s="49">
        <f>IFERROR(IF(VLOOKUP(tbMoveset!A38,tbMoveset!A2:H112,8,FALSE)="Other",IF(VLOOKUP(tbMoveset!A38,tbMoveset!A2:I112,9,FALSE)="Fire",Backdoors!BB24,IF(VLOOKUP(tbMoveset!A38,tbMoveset!A2:I112,9,FALSE)="Water",Backdoors!BC24,IF(VLOOKUP(tbMoveset!A38,tbMoveset!A2:I112,9,FALSE)="Thunder",Backdoors!BD24,IF(VLOOKUP(tbMoveset!A38,tbMoveset!A2:I112,9,FALSE)="Ice",Backdoors!BE24,IF(VLOOKUP(tbMoveset!A38,tbMoveset!A2:I112,9,FALSE)="Dragon",Backdoors!BF24,Backdoors!BG24)))))/100,Backdoors!BG24/100),"")</f>
        <v>0</v>
      </c>
      <c r="EU38" s="49">
        <f>IFERROR(IF(VLOOKUP(A38,tbMoveset!A2:J112,10,FALSE)=TRUE,IF((Backdoors!AI12+IF(ES38&gt;=0.45,VLOOKUP(Calculator!E23,tbSkills!DH3:DI6,2,FALSE)+IF(AND(Calculator!B8=TRUE,Backdoors!BI24=TRUE),VLOOKUP(Calculator!E23,tbSkills!DH3:DJ6,3,FALSE),0),0))&gt;=0,1+(Backdoors!AL2*(IF((Backdoors!AI12+IF(ES38&gt;=0.45,VLOOKUP(Calculator!E23,tbSkills!DH3:DI6,2,FALSE)+IF(AND(Calculator!B8=TRUE,Backdoors!BI24=TRUE),VLOOKUP(Calculator!E23,tbSkills!DH3:DJ6,3,FALSE),0),0))&gt;=100,100,(Backdoors!AI12+IF(ES38&gt;=0.45,VLOOKUP(Calculator!E23,tbSkills!DH3:DI6,2,FALSE)+IF(AND(Calculator!B8=TRUE,Backdoors!BI24=TRUE),VLOOKUP(Calculator!E23,tbSkills!DH3:DJ6,3,FALSE),0),0)))/100)),(1-(0.25*((-Backdoors!AI12-IF(ES38&gt;=0.45,VLOOKUP(Calculator!E23,tbSkills!DH3:DI6,2,FALSE)+IF(AND(Calculator!B8=TRUE,Backdoors!BI24=TRUE),VLOOKUP(Calculator!E23,tbSkills!DH3:DJ6,3,FALSE),0),0))/100)))),1),"")</f>
        <v>1</v>
      </c>
      <c r="EV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S38)*EU38)*(VLOOKUP(A38,tbMoveset!A2:C112,3,FALSE)/100)*IF(VLOOKUP(A38,tbMoveset!A2:B112,2,FALSE)="Projectile",Backdoors!N10,Backdoors!N9),0),"")</f>
        <v/>
      </c>
      <c r="EW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S38&gt;=0.45,VLOOKUP(Calculator!E23,tbSkills!DH3:DI6,2,FALSE)+IF(AND(Calculator!B8=TRUE,Backdoors!BI24=TRUE),VLOOKUP(Calculator!E23,tbSkills!DH3:DJ6,3,FALSE),0),0))&gt;=100,100,(Backdoors!AI12+IF(ES38&gt;=0.45,VLOOKUP(Calculator!E23,tbSkills!DH3:DI6,2,FALSE)+IF(AND(Calculator!B8=TRUE,Backdoors!BI24=TRUE),VLOOKUP(Calculator!E23,tbSkills!DH3:DJ6,3,FALSE),0),0)))/100)),1))*IF(VLOOKUP(A38,tbMoveset!A2:K112,11,FALSE)=TRUE,Backdoors!AC5,1))*ET38,0),"")</f>
        <v>0</v>
      </c>
      <c r="EX38" s="49">
        <f>VLOOKUP(A38,tbMoveset!A2:G112,7,FALSE)*IFERROR(IF(Backdoors!AI12&gt;=0,1+(IF(Calculator!E40&gt;0,VLOOKUP(Calculator!E40,tbSkills!AI3:AJ5,2,FALSE),Backdoors!AL4)*(IF((Backdoors!AI12+IF(ES38&gt;=0.45,VLOOKUP(Calculator!E23,tbSkills!DH3:DI6,2,FALSE)+IF(AND(Calculator!B8=TRUE,Backdoors!BI24=TRUE),VLOOKUP(Calculator!E23,tbSkills!DH3:DJ6,3,FALSE),0),0))&gt;=100,100,(Backdoors!AI12+IF(ES38&gt;=0.45,VLOOKUP(Calculator!E23,tbSkills!DH3:DI6,2,FALSE)+IF(AND(Calculator!B8=TRUE,Backdoors!BI24=TRUE),VLOOKUP(Calculator!E23,tbSkills!DH3:DJ6,3,FALSE),0),0)))/100)),1),1)</f>
        <v>0.5</v>
      </c>
      <c r="EY38" s="87">
        <f t="shared" si="14"/>
        <v>0</v>
      </c>
      <c r="EZ38" s="86" t="str">
        <f>IFERROR(IF(VLOOKUP(A38,tbMoveset!A2:B112,2,FALSE)="Sever",Backdoors!AY25/100,IF(VLOOKUP(A38,tbMoveset!A2:B112,2,FALSE)="Blunt",Backdoors!AZ25/100,Backdoors!BA25/100)),"")</f>
        <v/>
      </c>
      <c r="FA38" s="49">
        <f>IFERROR(IF(VLOOKUP(tbMoveset!A38,tbMoveset!A2:H112,8,FALSE)="Other",IF(VLOOKUP(tbMoveset!A38,tbMoveset!A2:I112,9,FALSE)="Fire",Backdoors!BB25,IF(VLOOKUP(tbMoveset!A38,tbMoveset!A2:I112,9,FALSE)="Water",Backdoors!BC25,IF(VLOOKUP(tbMoveset!A38,tbMoveset!A2:I112,9,FALSE)="Thunder",Backdoors!BD25,IF(VLOOKUP(tbMoveset!A38,tbMoveset!A2:I112,9,FALSE)="Ice",Backdoors!BE25,IF(VLOOKUP(tbMoveset!A38,tbMoveset!A2:I112,9,FALSE)="Dragon",Backdoors!BF25,Backdoors!BG25)))))/100,Backdoors!BG25/100),"")</f>
        <v>0</v>
      </c>
      <c r="FB38" s="49">
        <f>IFERROR(IF(VLOOKUP(A38,tbMoveset!A2:J112,10,FALSE)=TRUE,IF((Backdoors!AI12+IF(EZ38&gt;=0.45,VLOOKUP(Calculator!E23,tbSkills!DH3:DI6,2,FALSE)+IF(AND(Calculator!B8=TRUE,Backdoors!BI25=TRUE),VLOOKUP(Calculator!E23,tbSkills!DH3:DJ6,3,FALSE),0),0))&gt;=0,1+(Backdoors!AL2*(IF((Backdoors!AI12+IF(EZ38&gt;=0.45,VLOOKUP(Calculator!E23,tbSkills!DH3:DI6,2,FALSE)+IF(AND(Calculator!B8=TRUE,Backdoors!BI25=TRUE),VLOOKUP(Calculator!E23,tbSkills!DH3:DJ6,3,FALSE),0),0))&gt;=100,100,(Backdoors!AI12+IF(EZ38&gt;=0.45,VLOOKUP(Calculator!E23,tbSkills!DH3:DI6,2,FALSE)+IF(AND(Calculator!B8=TRUE,Backdoors!BI25=TRUE),VLOOKUP(Calculator!E23,tbSkills!DH3:DJ6,3,FALSE),0),0)))/100)),(1-(0.25*((-Backdoors!AI12-IF(EZ38&gt;=0.45,VLOOKUP(Calculator!E23,tbSkills!DH3:DI6,2,FALSE)+IF(AND(Calculator!B8=TRUE,Backdoors!BI25=TRUE),VLOOKUP(Calculator!E23,tbSkills!DH3:DJ6,3,FALSE),0),0))/100)))),1),"")</f>
        <v>1</v>
      </c>
      <c r="FC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Z38)*FB38)*(VLOOKUP(A38,tbMoveset!A2:C112,3,FALSE)/100)*IF(VLOOKUP(A38,tbMoveset!A2:B112,2,FALSE)="Projectile",Backdoors!N10,Backdoors!N9),0),"")</f>
        <v/>
      </c>
      <c r="FD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Z38&gt;=0.45,VLOOKUP(Calculator!E23,tbSkills!DH3:DI6,2,FALSE)+IF(AND(Calculator!B8=TRUE,Backdoors!BI25=TRUE),VLOOKUP(Calculator!E23,tbSkills!DH3:DJ6,3,FALSE),0),0))&gt;=100,100,(Backdoors!AI12+IF(EZ38&gt;=0.45,VLOOKUP(Calculator!E23,tbSkills!DH3:DI6,2,FALSE)+IF(AND(Calculator!B8=TRUE,Backdoors!BI25=TRUE),VLOOKUP(Calculator!E23,tbSkills!DH3:DJ6,3,FALSE),0),0)))/100)),1))*IF(VLOOKUP(A38,tbMoveset!A2:K112,11,FALSE)=TRUE,Backdoors!AC5,1))*FA38,0),"")</f>
        <v>0</v>
      </c>
      <c r="FE38" s="49">
        <f>VLOOKUP(A38,tbMoveset!A2:G112,7,FALSE)*IFERROR(IF(Backdoors!AI12&gt;=0,1+(IF(Calculator!E40&gt;0,VLOOKUP(Calculator!E40,tbSkills!AI3:AJ5,2,FALSE),Backdoors!AL4)*(IF((Backdoors!AI12+IF(EZ38&gt;=0.45,VLOOKUP(Calculator!E23,tbSkills!DH3:DI6,2,FALSE)+IF(AND(Calculator!B8=TRUE,Backdoors!BI25=TRUE),VLOOKUP(Calculator!E23,tbSkills!DH3:DJ6,3,FALSE),0),0))&gt;=100,100,(Backdoors!AI12+IF(EZ38&gt;=0.45,VLOOKUP(Calculator!E23,tbSkills!DH3:DI6,2,FALSE)+IF(AND(Calculator!B8=TRUE,Backdoors!BI25=TRUE),VLOOKUP(Calculator!E23,tbSkills!DH3:DJ6,3,FALSE),0),0)))/100)),1),1)</f>
        <v>0.5</v>
      </c>
      <c r="FF38" s="87">
        <f t="shared" si="15"/>
        <v>0</v>
      </c>
      <c r="FG38" s="86" t="str">
        <f>IFERROR(IF(VLOOKUP(A38,tbMoveset!A2:B112,2,FALSE)="Sever",Backdoors!AY26/100,IF(VLOOKUP(A38,tbMoveset!A2:B112,2,FALSE)="Blunt",Backdoors!AZ26/100,Backdoors!BA26/100)),"")</f>
        <v/>
      </c>
      <c r="FH38" s="49">
        <f>IFERROR(IF(VLOOKUP(tbMoveset!A38,tbMoveset!A2:H112,8,FALSE)="Other",IF(VLOOKUP(tbMoveset!A38,tbMoveset!A2:I112,9,FALSE)="Fire",Backdoors!BB26,IF(VLOOKUP(tbMoveset!A38,tbMoveset!A2:I112,9,FALSE)="Water",Backdoors!BC26,IF(VLOOKUP(tbMoveset!A38,tbMoveset!A2:I112,9,FALSE)="Thunder",Backdoors!BD26,IF(VLOOKUP(tbMoveset!A38,tbMoveset!A2:I112,9,FALSE)="Ice",Backdoors!BE26,IF(VLOOKUP(tbMoveset!A38,tbMoveset!A2:I112,9,FALSE)="Dragon",Backdoors!BF26,Backdoors!BG26)))))/100,Backdoors!BG26/100),"")</f>
        <v>0</v>
      </c>
      <c r="FI38" s="49">
        <f>IFERROR(IF(VLOOKUP(A38,tbMoveset!A2:J112,10,FALSE)=TRUE,IF((Backdoors!AI12+IF(FG38&gt;=0.45,VLOOKUP(Calculator!E23,tbSkills!DH3:DI6,2,FALSE)+IF(AND(Calculator!B8=TRUE,Backdoors!BI26=TRUE),VLOOKUP(Calculator!E23,tbSkills!DH3:DJ6,3,FALSE),0),0))&gt;=0,1+(Backdoors!AL2*(IF((Backdoors!AI12+IF(FG38&gt;=0.45,VLOOKUP(Calculator!E23,tbSkills!DH3:DI6,2,FALSE)+IF(AND(Calculator!B8=TRUE,Backdoors!BI26=TRUE),VLOOKUP(Calculator!E23,tbSkills!DH3:DJ6,3,FALSE),0),0))&gt;=100,100,(Backdoors!AI12+IF(FG38&gt;=0.45,VLOOKUP(Calculator!E23,tbSkills!DH3:DI6,2,FALSE)+IF(AND(Calculator!B8=TRUE,Backdoors!BI26=TRUE),VLOOKUP(Calculator!E23,tbSkills!DH3:DJ6,3,FALSE),0),0)))/100)),(1-(0.25*((-Backdoors!AI12-IF(FG38&gt;=0.45,VLOOKUP(Calculator!E23,tbSkills!DH3:DI6,2,FALSE)+IF(AND(Calculator!B8=TRUE,Backdoors!BI26=TRUE),VLOOKUP(Calculator!E23,tbSkills!DH3:DJ6,3,FALSE),0),0))/100)))),1),"")</f>
        <v>1</v>
      </c>
      <c r="FJ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FG38)*FI38)*(VLOOKUP(A38,tbMoveset!A2:C112,3,FALSE)/100)*IF(VLOOKUP(A38,tbMoveset!A2:B112,2,FALSE)="Projectile",Backdoors!N10,Backdoors!N9),0),"")</f>
        <v/>
      </c>
      <c r="FK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FG38&gt;=0.45,VLOOKUP(Calculator!E23,tbSkills!DH3:DI6,2,FALSE)+IF(AND(Calculator!B8=TRUE,Backdoors!BI26=TRUE),VLOOKUP(Calculator!E23,tbSkills!DH3:DJ6,3,FALSE),0),0))&gt;=100,100,(Backdoors!AI12+IF(FG38&gt;=0.45,VLOOKUP(Calculator!E23,tbSkills!DH3:DI6,2,FALSE)+IF(AND(Calculator!B8=TRUE,Backdoors!BI26=TRUE),VLOOKUP(Calculator!E23,tbSkills!DH3:DJ6,3,FALSE),0),0)))/100)),1))*IF(VLOOKUP(A38,tbMoveset!A2:K112,11,FALSE)=TRUE,Backdoors!AC5,1))*FH38,0),"")</f>
        <v>0</v>
      </c>
      <c r="FL38" s="49">
        <f>VLOOKUP(A38,tbMoveset!A2:G112,7,FALSE)*IFERROR(IF(Backdoors!AI12&gt;=0,1+(IF(Calculator!E40&gt;0,VLOOKUP(Calculator!E40,tbSkills!AI3:AJ5,2,FALSE),Backdoors!AL4)*(IF((Backdoors!AI12+IF(FG38&gt;=0.45,VLOOKUP(Calculator!E23,tbSkills!DH3:DI6,2,FALSE)+IF(AND(Calculator!B8=TRUE,Backdoors!BI26=TRUE),VLOOKUP(Calculator!E23,tbSkills!DH3:DJ6,3,FALSE),0),0))&gt;=100,100,(Backdoors!AI12+IF(FG38&gt;=0.45,VLOOKUP(Calculator!E23,tbSkills!DH3:DI6,2,FALSE)+IF(AND(Calculator!B8=TRUE,Backdoors!BI26=TRUE),VLOOKUP(Calculator!E23,tbSkills!DH3:DJ6,3,FALSE),0),0)))/100)),1),1)</f>
        <v>0.5</v>
      </c>
      <c r="FM38" s="87">
        <f t="shared" si="16"/>
        <v>0</v>
      </c>
      <c r="FN38" s="86" t="str">
        <f>IFERROR(IF(VLOOKUP(A38,tbMoveset!A2:B112,2,FALSE)="Sever",Backdoors!AY27/100,IF(VLOOKUP(A38,tbMoveset!A2:B112,2,FALSE)="Blunt",Backdoors!AZ27/100,Backdoors!BA27/100)),"")</f>
        <v/>
      </c>
      <c r="FO38" s="49">
        <f>IFERROR(IF(VLOOKUP(tbMoveset!A38,tbMoveset!A2:H112,8,FALSE)="Other",IF(VLOOKUP(tbMoveset!A38,tbMoveset!A2:I112,9,FALSE)="Fire",Backdoors!BB27,IF(VLOOKUP(tbMoveset!A38,tbMoveset!A2:I112,9,FALSE)="Water",Backdoors!BC27,IF(VLOOKUP(tbMoveset!A38,tbMoveset!A2:I112,9,FALSE)="Thunder",Backdoors!BD27,IF(VLOOKUP(tbMoveset!A38,tbMoveset!A2:I112,9,FALSE)="Ice",Backdoors!BE27,IF(VLOOKUP(tbMoveset!A38,tbMoveset!A2:I112,9,FALSE)="Dragon",Backdoors!BF27,Backdoors!BG27)))))/100,Backdoors!BG27/100),"")</f>
        <v>0</v>
      </c>
      <c r="FP38" s="49">
        <f>IFERROR(IF(VLOOKUP(A38,tbMoveset!A2:J112,10,FALSE)=TRUE,IF((Backdoors!AI12+IF(FN38&gt;=0.45,VLOOKUP(Calculator!E23,tbSkills!DH3:DI6,2,FALSE)+IF(AND(Calculator!B8=TRUE,Backdoors!BI27=TRUE),VLOOKUP(Calculator!E23,tbSkills!DH3:DJ6,3,FALSE),0),0))&gt;=0,1+(Backdoors!AL2*(IF((Backdoors!AI12+IF(FN38&gt;=0.45,VLOOKUP(Calculator!E23,tbSkills!DH3:DI6,2,FALSE)+IF(AND(Calculator!B8=TRUE,Backdoors!BI27=TRUE),VLOOKUP(Calculator!E23,tbSkills!DH3:DJ6,3,FALSE),0),0))&gt;=100,100,(Backdoors!AI12+IF(FN38&gt;=0.45,VLOOKUP(Calculator!E23,tbSkills!DH3:DI6,2,FALSE)+IF(AND(Calculator!B8=TRUE,Backdoors!BI27=TRUE),VLOOKUP(Calculator!E23,tbSkills!DH3:DJ6,3,FALSE),0),0)))/100)),(1-(0.25*((-Backdoors!AI12-IF(FN38&gt;=0.45,VLOOKUP(Calculator!E23,tbSkills!DH3:DI6,2,FALSE)+IF(AND(Calculator!B8=TRUE,Backdoors!BI27=TRUE),VLOOKUP(Calculator!E23,tbSkills!DH3:DJ6,3,FALSE),0),0))/100)))),1),"")</f>
        <v>1</v>
      </c>
      <c r="FQ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FN38)*FP38)*(VLOOKUP(A38,tbMoveset!A2:C112,3,FALSE)/100)*IF(VLOOKUP(A38,tbMoveset!A2:B112,2,FALSE)="Projectile",Backdoors!N10,Backdoors!N9),0),"")</f>
        <v/>
      </c>
      <c r="FR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FN38&gt;=0.45,VLOOKUP(Calculator!E23,tbSkills!DH3:DI6,2,FALSE)+IF(AND(Calculator!B8=TRUE,Backdoors!BI27=TRUE),VLOOKUP(Calculator!E23,tbSkills!DH3:DJ6,3,FALSE),0),0))&gt;=100,100,(Backdoors!AI12+IF(FN38&gt;=0.45,VLOOKUP(Calculator!E23,tbSkills!DH3:DI6,2,FALSE)+IF(AND(Calculator!B8=TRUE,Backdoors!BI27=TRUE),VLOOKUP(Calculator!E23,tbSkills!DH3:DJ6,3,FALSE),0),0)))/100)),1))*IF(VLOOKUP(A38,tbMoveset!A2:K112,11,FALSE)=TRUE,Backdoors!AC5,1))*FO38,0),"")</f>
        <v>0</v>
      </c>
      <c r="FS38" s="49">
        <f>VLOOKUP(A38,tbMoveset!A2:G112,7,FALSE)*IFERROR(IF(Backdoors!AI12&gt;=0,1+(IF(Calculator!E40&gt;0,VLOOKUP(Calculator!E40,tbSkills!AI3:AJ5,2,FALSE),Backdoors!AL4)*(IF((Backdoors!AI12+IF(FN38&gt;=0.45,VLOOKUP(Calculator!E23,tbSkills!DH3:DI6,2,FALSE)+IF(AND(Calculator!B8=TRUE,Backdoors!BI27=TRUE),VLOOKUP(Calculator!E23,tbSkills!DH3:DJ6,3,FALSE),0),0))&gt;=100,100,(Backdoors!AI12+IF(FN38&gt;=0.45,VLOOKUP(Calculator!E23,tbSkills!DH3:DI6,2,FALSE)+IF(AND(Calculator!B8=TRUE,Backdoors!BI27=TRUE),VLOOKUP(Calculator!E23,tbSkills!DH3:DJ6,3,FALSE),0),0)))/100)),1),1)</f>
        <v>0.5</v>
      </c>
      <c r="FT38" s="87">
        <f t="shared" si="17"/>
        <v>0</v>
      </c>
      <c r="FU38" s="86" t="str">
        <f>IFERROR(IF(VLOOKUP(A38,tbMoveset!A2:B112,2,FALSE)="Sever",Backdoors!AY28/100,IF(VLOOKUP(A38,tbMoveset!A2:B112,2,FALSE)="Blunt",Backdoors!AZ28/100,Backdoors!BA28/100)),"")</f>
        <v/>
      </c>
      <c r="FV38" s="49">
        <f>IFERROR(IF(VLOOKUP(tbMoveset!A38,tbMoveset!A2:H112,8,FALSE)="Other",IF(VLOOKUP(tbMoveset!A38,tbMoveset!A2:I112,9,FALSE)="Fire",Backdoors!BB28,IF(VLOOKUP(tbMoveset!A38,tbMoveset!A2:I112,9,FALSE)="Water",Backdoors!BC28,IF(VLOOKUP(tbMoveset!A38,tbMoveset!A2:I112,9,FALSE)="Thunder",Backdoors!BD28,IF(VLOOKUP(tbMoveset!A38,tbMoveset!A2:I112,9,FALSE)="Ice",Backdoors!BE28,IF(VLOOKUP(tbMoveset!A38,tbMoveset!A2:I112,9,FALSE)="Dragon",Backdoors!BF28,Backdoors!BG28)))))/100,Backdoors!BG28/100),"")</f>
        <v>0</v>
      </c>
      <c r="FW38" s="49">
        <f>IFERROR(IF(VLOOKUP(A38,tbMoveset!A2:J112,10,FALSE)=TRUE,IF((Backdoors!AI12+IF(FU38&gt;=0.45,VLOOKUP(Calculator!E23,tbSkills!DH3:DI6,2,FALSE)+IF(AND(Calculator!B8=TRUE,Backdoors!BI28=TRUE),VLOOKUP(Calculator!E23,tbSkills!DH3:DJ6,3,FALSE),0),0))&gt;=0,1+(Backdoors!AL2*(IF((Backdoors!AI12+IF(FU38&gt;=0.45,VLOOKUP(Calculator!E23,tbSkills!DH3:DI6,2,FALSE)+IF(AND(Calculator!B8=TRUE,Backdoors!BI28=TRUE),VLOOKUP(Calculator!E23,tbSkills!DH3:DJ6,3,FALSE),0),0))&gt;=100,100,(Backdoors!AI12+IF(FU38&gt;=0.45,VLOOKUP(Calculator!E23,tbSkills!DH3:DI6,2,FALSE)+IF(AND(Calculator!B8=TRUE,Backdoors!BI28=TRUE),VLOOKUP(Calculator!E23,tbSkills!DH3:DJ6,3,FALSE),0),0)))/100)),(1-(0.25*((-Backdoors!AI12-IF(FU38&gt;=0.45,VLOOKUP(Calculator!E23,tbSkills!DH3:DI6,2,FALSE)+IF(AND(Calculator!B8=TRUE,Backdoors!BI28=TRUE),VLOOKUP(Calculator!E23,tbSkills!DH3:DJ6,3,FALSE),0),0))/100)))),1),"")</f>
        <v>1</v>
      </c>
      <c r="FX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FU38)*FW38)*(VLOOKUP(A38,tbMoveset!A2:C112,3,FALSE)/100)*IF(VLOOKUP(A38,tbMoveset!A2:B112,2,FALSE)="Projectile",Backdoors!N10,Backdoors!N9),0),"")</f>
        <v/>
      </c>
      <c r="FY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FU38&gt;=0.45,VLOOKUP(Calculator!E23,tbSkills!DH3:DI6,2,FALSE)+IF(AND(Calculator!B8=TRUE,Backdoors!BI28=TRUE),VLOOKUP(Calculator!E23,tbSkills!DH3:DJ6,3,FALSE),0),0))&gt;=100,100,(Backdoors!AI12+IF(FU38&gt;=0.45,VLOOKUP(Calculator!E23,tbSkills!DH3:DI6,2,FALSE)+IF(AND(Calculator!B8=TRUE,Backdoors!BI28=TRUE),VLOOKUP(Calculator!E23,tbSkills!DH3:DJ6,3,FALSE),0),0)))/100)),1))*IF(VLOOKUP(A38,tbMoveset!A2:K112,11,FALSE)=TRUE,Backdoors!AC5,1))*FV38,0),"")</f>
        <v>0</v>
      </c>
      <c r="FZ38" s="49">
        <f>VLOOKUP(A38,tbMoveset!A2:G112,7,FALSE)*IFERROR(IF(Backdoors!AI12&gt;=0,1+(IF(Calculator!E40&gt;0,VLOOKUP(Calculator!E40,tbSkills!AI3:AJ5,2,FALSE),Backdoors!AL4)*(IF((Backdoors!AI12+IF(FU38&gt;=0.45,VLOOKUP(Calculator!E23,tbSkills!DH3:DI6,2,FALSE)+IF(AND(Calculator!B8=TRUE,Backdoors!BI28=TRUE),VLOOKUP(Calculator!E23,tbSkills!DH3:DJ6,3,FALSE),0),0))&gt;=100,100,(Backdoors!AI12+IF(FU38&gt;=0.45,VLOOKUP(Calculator!E23,tbSkills!DH3:DI6,2,FALSE)+IF(AND(Calculator!B8=TRUE,Backdoors!BI28=TRUE),VLOOKUP(Calculator!E23,tbSkills!DH3:DJ6,3,FALSE),0),0)))/100)),1),1)</f>
        <v>0.5</v>
      </c>
      <c r="GA38" s="87">
        <f t="shared" si="18"/>
        <v>0</v>
      </c>
      <c r="GB38" s="86" t="str">
        <f>IFERROR(IF(VLOOKUP(A38,tbMoveset!A2:B112,2,FALSE)="Sever",Backdoors!AY29/100,IF(VLOOKUP(A38,tbMoveset!A2:B112,2,FALSE)="Blunt",Backdoors!AZ29/100,Backdoors!BA29/100)),"")</f>
        <v/>
      </c>
      <c r="GC38" s="49">
        <f>IFERROR(IF(VLOOKUP(tbMoveset!A38,tbMoveset!A2:H112,8,FALSE)="Other",IF(VLOOKUP(tbMoveset!A38,tbMoveset!A2:I112,9,FALSE)="Fire",Backdoors!BB29,IF(VLOOKUP(tbMoveset!A38,tbMoveset!A2:I112,9,FALSE)="Water",Backdoors!BC29,IF(VLOOKUP(tbMoveset!A38,tbMoveset!A2:I112,9,FALSE)="Thunder",Backdoors!BD29,IF(VLOOKUP(tbMoveset!A38,tbMoveset!A2:I112,9,FALSE)="Ice",Backdoors!BE29,IF(VLOOKUP(tbMoveset!A38,tbMoveset!A2:I112,9,FALSE)="Dragon",Backdoors!BF29,Backdoors!BG29)))))/100,Backdoors!BG29/100),"")</f>
        <v>0</v>
      </c>
      <c r="GD38" s="49">
        <f>IFERROR(IF(VLOOKUP(A38,tbMoveset!A2:J112,10,FALSE)=TRUE,IF((Backdoors!AI12+IF(GB38&gt;=0.45,VLOOKUP(Calculator!E23,tbSkills!DH3:DI6,2,FALSE)+IF(AND(Calculator!B8=TRUE,Backdoors!BI29=TRUE),VLOOKUP(Calculator!E23,tbSkills!DH3:DJ6,3,FALSE),0),0))&gt;=0,1+(Backdoors!AL2*(IF((Backdoors!AI12+IF(GB38&gt;=0.45,VLOOKUP(Calculator!E23,tbSkills!DH3:DI6,2,FALSE)+IF(AND(Calculator!B8=TRUE,Backdoors!BI29=TRUE),VLOOKUP(Calculator!E23,tbSkills!DH3:DJ6,3,FALSE),0),0))&gt;=100,100,(Backdoors!AI12+IF(GB38&gt;=0.45,VLOOKUP(Calculator!E23,tbSkills!DH3:DI6,2,FALSE)+IF(AND(Calculator!B8=TRUE,Backdoors!BI29=TRUE),VLOOKUP(Calculator!E23,tbSkills!DH3:DJ6,3,FALSE),0),0)))/100)),(1-(0.25*((-Backdoors!AI12-IF(GB38&gt;=0.45,VLOOKUP(Calculator!E23,tbSkills!DH3:DI6,2,FALSE)+IF(AND(Calculator!B8=TRUE,Backdoors!BI29=TRUE),VLOOKUP(Calculator!E23,tbSkills!DH3:DJ6,3,FALSE),0),0))/100)))),1),"")</f>
        <v>1</v>
      </c>
      <c r="GE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B38)*GD38)*(VLOOKUP(A38,tbMoveset!A2:C112,3,FALSE)/100)*IF(VLOOKUP(A38,tbMoveset!A2:B112,2,FALSE)="Projectile",Backdoors!N10,Backdoors!N9),0),"")</f>
        <v/>
      </c>
      <c r="GF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B38&gt;=0.45,VLOOKUP(Calculator!E23,tbSkills!DH3:DI6,2,FALSE)+IF(AND(Calculator!B8=TRUE,Backdoors!BI29=TRUE),VLOOKUP(Calculator!E23,tbSkills!DH3:DJ6,3,FALSE),0),0))&gt;=100,100,(Backdoors!AI12+IF(GB38&gt;=0.45,VLOOKUP(Calculator!E23,tbSkills!DH3:DI6,2,FALSE)+IF(AND(Calculator!B8=TRUE,Backdoors!BI29=TRUE),VLOOKUP(Calculator!E23,tbSkills!DH3:DJ6,3,FALSE),0),0)))/100)),1))*IF(VLOOKUP(A38,tbMoveset!A2:K112,11,FALSE)=TRUE,Backdoors!AC5,1))*GC38,0),"")</f>
        <v>0</v>
      </c>
      <c r="GG38" s="49">
        <f>VLOOKUP(A38,tbMoveset!A2:G112,7,FALSE)*IFERROR(IF(Backdoors!AI12&gt;=0,1+(IF(Calculator!E40&gt;0,VLOOKUP(Calculator!E40,tbSkills!AI3:AJ5,2,FALSE),Backdoors!AL4)*(IF((Backdoors!AI12+IF(GB38&gt;=0.45,VLOOKUP(Calculator!E23,tbSkills!DH3:DI6,2,FALSE)+IF(AND(Calculator!B8=TRUE,Backdoors!BI29=TRUE),VLOOKUP(Calculator!E23,tbSkills!DH3:DJ6,3,FALSE),0),0))&gt;=100,100,(Backdoors!AI12+IF(GB38&gt;=0.45,VLOOKUP(Calculator!E23,tbSkills!DH3:DI6,2,FALSE)+IF(AND(Calculator!B8=TRUE,Backdoors!BI29=TRUE),VLOOKUP(Calculator!E23,tbSkills!DH3:DJ6,3,FALSE),0),0)))/100)),1),1)</f>
        <v>0.5</v>
      </c>
      <c r="GH38" s="87">
        <f t="shared" si="19"/>
        <v>0</v>
      </c>
      <c r="GI38" s="86" t="str">
        <f>IFERROR(IF(VLOOKUP(A38,tbMoveset!A2:B112,2,FALSE)="Sever",Backdoors!AY30/100,IF(VLOOKUP(A38,tbMoveset!A2:B112,2,FALSE)="Blunt",Backdoors!AZ30/100,Backdoors!BA30/100)),"")</f>
        <v/>
      </c>
      <c r="GJ38" s="49">
        <f>IFERROR(IF(VLOOKUP(tbMoveset!A38,tbMoveset!A2:H112,8,FALSE)="Other",IF(VLOOKUP(tbMoveset!A38,tbMoveset!A2:I112,9,FALSE)="Fire",Backdoors!BB30,IF(VLOOKUP(tbMoveset!A38,tbMoveset!A2:I112,9,FALSE)="Water",Backdoors!BC30,IF(VLOOKUP(tbMoveset!A38,tbMoveset!A2:I112,9,FALSE)="Thunder",Backdoors!BD30,IF(VLOOKUP(tbMoveset!A38,tbMoveset!A2:I112,9,FALSE)="Ice",Backdoors!BE30,IF(VLOOKUP(tbMoveset!A38,tbMoveset!A2:I112,9,FALSE)="Dragon",Backdoors!BF30,Backdoors!BG30)))))/100,Backdoors!BG30/100),"")</f>
        <v>0</v>
      </c>
      <c r="GK38" s="49">
        <f>IFERROR(IF(VLOOKUP(A38,tbMoveset!A2:J112,10,FALSE)=TRUE,IF((Backdoors!AI12+IF(GI38&gt;=0.45,VLOOKUP(Calculator!E23,tbSkills!DH3:DI6,2,FALSE)+IF(AND(Calculator!B8=TRUE,Backdoors!BI30=TRUE),VLOOKUP(Calculator!E23,tbSkills!DH3:DJ6,3,FALSE),0),0))&gt;=0,1+(Backdoors!AL2*(IF((Backdoors!AI12+IF(GI38&gt;=0.45,VLOOKUP(Calculator!E23,tbSkills!DH3:DI6,2,FALSE)+IF(AND(Calculator!B8=TRUE,Backdoors!BI30=TRUE),VLOOKUP(Calculator!E23,tbSkills!DH3:DJ6,3,FALSE),0),0))&gt;=100,100,(Backdoors!AI12+IF(GI38&gt;=0.45,VLOOKUP(Calculator!E23,tbSkills!DH3:DI6,2,FALSE)+IF(AND(Calculator!B8=TRUE,Backdoors!BI30=TRUE),VLOOKUP(Calculator!E23,tbSkills!DH3:DJ6,3,FALSE),0),0)))/100)),(1-(0.25*((-Backdoors!AI12-IF(GI38&gt;=0.45,VLOOKUP(Calculator!E23,tbSkills!DH3:DI6,2,FALSE)+IF(AND(Calculator!B8=TRUE,Backdoors!BI30=TRUE),VLOOKUP(Calculator!E23,tbSkills!DH3:DJ6,3,FALSE),0),0))/100)))),1),"")</f>
        <v>1</v>
      </c>
      <c r="GL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I38)*GK38)*(VLOOKUP(A38,tbMoveset!A2:C112,3,FALSE)/100)*IF(VLOOKUP(A38,tbMoveset!A2:B112,2,FALSE)="Projectile",Backdoors!N10,Backdoors!N9),0),"")</f>
        <v/>
      </c>
      <c r="GM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I38&gt;=0.45,VLOOKUP(Calculator!E23,tbSkills!DH3:DI6,2,FALSE)+IF(AND(Calculator!B8=TRUE,Backdoors!BI30=TRUE),VLOOKUP(Calculator!E23,tbSkills!DH3:DJ6,3,FALSE),0),0))&gt;=100,100,(Backdoors!AI12+IF(GI38&gt;=0.45,VLOOKUP(Calculator!E23,tbSkills!DH3:DI6,2,FALSE)+IF(AND(Calculator!B8=TRUE,Backdoors!BI30=TRUE),VLOOKUP(Calculator!E23,tbSkills!DH3:DJ6,3,FALSE),0),0)))/100)),1))*IF(VLOOKUP(A38,tbMoveset!A2:K112,11,FALSE)=TRUE,Backdoors!AC5,1))*GJ38,0),"")</f>
        <v>0</v>
      </c>
      <c r="GN38" s="49">
        <f>VLOOKUP(A38,tbMoveset!A2:G112,7,FALSE)*IFERROR(IF(Backdoors!AI12&gt;=0,1+(IF(Calculator!E40&gt;0,VLOOKUP(Calculator!E40,tbSkills!AI3:AJ5,2,FALSE),Backdoors!AL4)*(IF((Backdoors!AI12+IF(GI38&gt;=0.45,VLOOKUP(Calculator!E23,tbSkills!DH3:DI6,2,FALSE)+IF(AND(Calculator!B8=TRUE,Backdoors!BI30=TRUE),VLOOKUP(Calculator!E23,tbSkills!DH3:DJ6,3,FALSE),0),0))&gt;=100,100,(Backdoors!AI12+IF(GI38&gt;=0.45,VLOOKUP(Calculator!E23,tbSkills!DH3:DI6,2,FALSE)+IF(AND(Calculator!B8=TRUE,Backdoors!BI30=TRUE),VLOOKUP(Calculator!E23,tbSkills!DH3:DJ6,3,FALSE),0),0)))/100)),1),1)</f>
        <v>0.5</v>
      </c>
      <c r="GO38" s="87">
        <f t="shared" si="20"/>
        <v>0</v>
      </c>
      <c r="GP38" s="86" t="str">
        <f>IFERROR(IF(VLOOKUP(A38,tbMoveset!A2:B112,2,FALSE)="Sever",Backdoors!AY31/100,IF(VLOOKUP(A38,tbMoveset!A2:B112,2,FALSE)="Blunt",Backdoors!AZ31/100,Backdoors!BA31/100)),"")</f>
        <v/>
      </c>
      <c r="GQ38" s="49">
        <f>IFERROR(IF(VLOOKUP(tbMoveset!A38,tbMoveset!A2:H112,8,FALSE)="Other",IF(VLOOKUP(tbMoveset!A38,tbMoveset!A2:I112,9,FALSE)="Fire",Backdoors!BB31,IF(VLOOKUP(tbMoveset!A38,tbMoveset!A2:I112,9,FALSE)="Water",Backdoors!BC31,IF(VLOOKUP(tbMoveset!A38,tbMoveset!A2:I112,9,FALSE)="Thunder",Backdoors!BD31,IF(VLOOKUP(tbMoveset!A38,tbMoveset!A2:I112,9,FALSE)="Ice",Backdoors!BE31,IF(VLOOKUP(tbMoveset!A38,tbMoveset!A2:I112,9,FALSE)="Dragon",Backdoors!BF31,Backdoors!BG31)))))/100,Backdoors!BG31/100),"")</f>
        <v>0</v>
      </c>
      <c r="GR38" s="49">
        <f>IFERROR(IF(VLOOKUP(A38,tbMoveset!A2:J112,10,FALSE)=TRUE,IF((Backdoors!AI12+IF(GP38&gt;=0.45,VLOOKUP(Calculator!E23,tbSkills!DH3:DI6,2,FALSE)+IF(AND(Calculator!B8=TRUE,Backdoors!BI31=TRUE),VLOOKUP(Calculator!E23,tbSkills!DH3:DJ6,3,FALSE),0),0))&gt;=0,1+(Backdoors!AL2*(IF((Backdoors!AI12+IF(GP38&gt;=0.45,VLOOKUP(Calculator!E23,tbSkills!DH3:DI6,2,FALSE)+IF(AND(Calculator!B8=TRUE,Backdoors!BI31=TRUE),VLOOKUP(Calculator!E23,tbSkills!DH3:DJ6,3,FALSE),0),0))&gt;=100,100,(Backdoors!AI12+IF(GP38&gt;=0.45,VLOOKUP(Calculator!E23,tbSkills!DH3:DI6,2,FALSE)+IF(AND(Calculator!B8=TRUE,Backdoors!BI31=TRUE),VLOOKUP(Calculator!E23,tbSkills!DH3:DJ6,3,FALSE),0),0)))/100)),(1-(0.25*((-Backdoors!AI12-IF(GP38&gt;=0.45,VLOOKUP(Calculator!E23,tbSkills!DH3:DI6,2,FALSE)+IF(AND(Calculator!B8=TRUE,Backdoors!BI31=TRUE),VLOOKUP(Calculator!E23,tbSkills!DH3:DJ6,3,FALSE),0),0))/100)))),1),"")</f>
        <v>1</v>
      </c>
      <c r="GS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P38)*GR38)*(VLOOKUP(A38,tbMoveset!A2:C112,3,FALSE)/100)*IF(VLOOKUP(A38,tbMoveset!A2:B112,2,FALSE)="Projectile",Backdoors!N10,Backdoors!N9),0),"")</f>
        <v/>
      </c>
      <c r="GT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P38&gt;=0.45,VLOOKUP(Calculator!E23,tbSkills!DH3:DI6,2,FALSE)+IF(AND(Calculator!B8=TRUE,Backdoors!BI31=TRUE),VLOOKUP(Calculator!E23,tbSkills!DH3:DJ6,3,FALSE),0),0))&gt;=100,100,(Backdoors!AI12+IF(GP38&gt;=0.45,VLOOKUP(Calculator!E23,tbSkills!DH3:DI6,2,FALSE)+IF(AND(Calculator!B8=TRUE,Backdoors!BI31=TRUE),VLOOKUP(Calculator!E23,tbSkills!DH3:DJ6,3,FALSE),0),0)))/100)),1))*IF(VLOOKUP(A38,tbMoveset!A2:K112,11,FALSE)=TRUE,Backdoors!AC5,1))*GQ38,0),"")</f>
        <v>0</v>
      </c>
      <c r="GU38" s="49">
        <f>VLOOKUP(A38,tbMoveset!A2:G112,7,FALSE)*IFERROR(IF(Backdoors!AI12&gt;=0,1+(IF(Calculator!E40&gt;0,VLOOKUP(Calculator!E40,tbSkills!AI3:AJ5,2,FALSE),Backdoors!AL4)*(IF((Backdoors!AI12+IF(GP38&gt;=0.45,VLOOKUP(Calculator!E23,tbSkills!DH3:DI6,2,FALSE)+IF(AND(Calculator!B8=TRUE,Backdoors!BI31=TRUE),VLOOKUP(Calculator!E23,tbSkills!DH3:DJ6,3,FALSE),0),0))&gt;=100,100,(Backdoors!AI12+IF(GP38&gt;=0.45,VLOOKUP(Calculator!E23,tbSkills!DH3:DI6,2,FALSE)+IF(AND(Calculator!B8=TRUE,Backdoors!BI31=TRUE),VLOOKUP(Calculator!E23,tbSkills!DH3:DJ6,3,FALSE),0),0)))/100)),1),1)</f>
        <v>0.5</v>
      </c>
      <c r="GV38" s="87">
        <f t="shared" si="21"/>
        <v>0</v>
      </c>
      <c r="GW38" s="86" t="str">
        <f>IFERROR(IF(VLOOKUP(A38,tbMoveset!A2:B112,2,FALSE)="Sever",Backdoors!AY32/100,IF(VLOOKUP(A38,tbMoveset!A2:B112,2,FALSE)="Blunt",Backdoors!AZ32/100,Backdoors!BA32/100)),"")</f>
        <v/>
      </c>
      <c r="GX38" s="49">
        <f>IFERROR(IF(VLOOKUP(tbMoveset!A38,tbMoveset!A2:H112,8,FALSE)="Other",IF(VLOOKUP(tbMoveset!A38,tbMoveset!A2:I112,9,FALSE)="Fire",Backdoors!BB32,IF(VLOOKUP(tbMoveset!A38,tbMoveset!A2:I112,9,FALSE)="Water",Backdoors!BC32,IF(VLOOKUP(tbMoveset!A38,tbMoveset!A2:I112,9,FALSE)="Thunder",Backdoors!BD32,IF(VLOOKUP(tbMoveset!A38,tbMoveset!A2:I112,9,FALSE)="Ice",Backdoors!BE32,IF(VLOOKUP(tbMoveset!A38,tbMoveset!A2:I112,9,FALSE)="Dragon",Backdoors!BF32,Backdoors!BG32)))))/100,Backdoors!BG32/100),"")</f>
        <v>0</v>
      </c>
      <c r="GY38" s="49">
        <f>IFERROR(IF(VLOOKUP(A38,tbMoveset!A2:J112,10,FALSE)=TRUE,IF((Backdoors!AI12+IF(GW38&gt;=0.45,VLOOKUP(Calculator!E23,tbSkills!DH3:DI6,2,FALSE)+IF(AND(Calculator!B8=TRUE,Backdoors!BI32=TRUE),VLOOKUP(Calculator!E23,tbSkills!DH3:DJ6,3,FALSE),0),0))&gt;=0,1+(Backdoors!AL2*(IF((Backdoors!AI12+IF(GW38&gt;=0.45,VLOOKUP(Calculator!E23,tbSkills!DH3:DI6,2,FALSE)+IF(AND(Calculator!B8=TRUE,Backdoors!BI32=TRUE),VLOOKUP(Calculator!E23,tbSkills!DH3:DJ6,3,FALSE),0),0))&gt;=100,100,(Backdoors!AI12+IF(GW38&gt;=0.45,VLOOKUP(Calculator!E23,tbSkills!DH3:DI6,2,FALSE)+IF(AND(Calculator!B8=TRUE,Backdoors!BI32=TRUE),VLOOKUP(Calculator!E23,tbSkills!DH3:DJ6,3,FALSE),0),0)))/100)),(1-(0.25*((-Backdoors!AI12-IF(GW38&gt;=0.45,VLOOKUP(Calculator!E23,tbSkills!DH3:DI6,2,FALSE)+IF(AND(Calculator!B8=TRUE,Backdoors!BI32=TRUE),VLOOKUP(Calculator!E23,tbSkills!DH3:DJ6,3,FALSE),0),0))/100)))),1),"")</f>
        <v>1</v>
      </c>
      <c r="GZ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W38)*GY38)*(VLOOKUP(A38,tbMoveset!A2:C112,3,FALSE)/100)*IF(VLOOKUP(A38,tbMoveset!A2:B112,2,FALSE)="Projectile",Backdoors!N10,Backdoors!N9),0),"")</f>
        <v/>
      </c>
      <c r="HA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W38&gt;=0.45,VLOOKUP(Calculator!E23,tbSkills!DH3:DI6,2,FALSE)+IF(AND(Calculator!B8=TRUE,Backdoors!BI32=TRUE),VLOOKUP(Calculator!E23,tbSkills!DH3:DJ6,3,FALSE),0),0))&gt;=100,100,(Backdoors!AI12+IF(GW38&gt;=0.45,VLOOKUP(Calculator!E23,tbSkills!DH3:DI6,2,FALSE)+IF(AND(Calculator!B8=TRUE,Backdoors!BI32=TRUE),VLOOKUP(Calculator!E23,tbSkills!DH3:DJ6,3,FALSE),0),0)))/100)),1))*IF(VLOOKUP(A38,tbMoveset!A2:K112,11,FALSE)=TRUE,Backdoors!AC5,1))*GX38,0),"")</f>
        <v>0</v>
      </c>
      <c r="HB38" s="49">
        <f>VLOOKUP(A38,tbMoveset!A2:G112,7,FALSE)*IFERROR(IF(Backdoors!AI12&gt;=0,1+(IF(Calculator!E40&gt;0,VLOOKUP(Calculator!E40,tbSkills!AI3:AJ5,2,FALSE),Backdoors!AL4)*(IF((Backdoors!AI12+IF(GW38&gt;=0.45,VLOOKUP(Calculator!E23,tbSkills!DH3:DI6,2,FALSE)+IF(AND(Calculator!B8=TRUE,Backdoors!BI32=TRUE),VLOOKUP(Calculator!E23,tbSkills!DH3:DJ6,3,FALSE),0),0))&gt;=100,100,(Backdoors!AI12+IF(GW38&gt;=0.45,VLOOKUP(Calculator!E23,tbSkills!DH3:DI6,2,FALSE)+IF(AND(Calculator!B8=TRUE,Backdoors!BI32=TRUE),VLOOKUP(Calculator!E23,tbSkills!DH3:DJ6,3,FALSE),0),0)))/100)),1),1)</f>
        <v>0.5</v>
      </c>
      <c r="HC38" s="87">
        <f t="shared" si="22"/>
        <v>0</v>
      </c>
      <c r="HD38" s="86" t="str">
        <f>IFERROR(IF(VLOOKUP(A38,tbMoveset!A2:B112,2,FALSE)="Sever",Backdoors!AY33/100,IF(VLOOKUP(A38,tbMoveset!A2:B112,2,FALSE)="Blunt",Backdoors!AZ33/100,Backdoors!BA33/100)),"")</f>
        <v/>
      </c>
      <c r="HE38" s="49">
        <f>IFERROR(IF(VLOOKUP(tbMoveset!A38,tbMoveset!A2:H112,8,FALSE)="Other",IF(VLOOKUP(tbMoveset!A38,tbMoveset!A2:I112,9,FALSE)="Fire",Backdoors!BB33,IF(VLOOKUP(tbMoveset!A38,tbMoveset!A2:I112,9,FALSE)="Water",Backdoors!BC33,IF(VLOOKUP(tbMoveset!A38,tbMoveset!A2:I112,9,FALSE)="Thunder",Backdoors!BD33,IF(VLOOKUP(tbMoveset!A38,tbMoveset!A2:I112,9,FALSE)="Ice",Backdoors!BE33,IF(VLOOKUP(tbMoveset!A38,tbMoveset!A2:I112,9,FALSE)="Dragon",Backdoors!BF33,Backdoors!BG33)))))/100,Backdoors!BG33/100),"")</f>
        <v>0</v>
      </c>
      <c r="HF38" s="49">
        <f>IFERROR(IF(VLOOKUP(A38,tbMoveset!A2:J112,10,FALSE)=TRUE,IF((Backdoors!AI12+IF(HD38&gt;=0.45,VLOOKUP(Calculator!E23,tbSkills!DH3:DI6,2,FALSE)+IF(AND(Calculator!B8=TRUE,Backdoors!BI33=TRUE),VLOOKUP(Calculator!E23,tbSkills!DH3:DJ6,3,FALSE),0),0))&gt;=0,1+(Backdoors!AL2*(IF((Backdoors!AI12+IF(HD38&gt;=0.45,VLOOKUP(Calculator!E23,tbSkills!DH3:DI6,2,FALSE)+IF(AND(Calculator!B8=TRUE,Backdoors!BI33=TRUE),VLOOKUP(Calculator!E23,tbSkills!DH3:DJ6,3,FALSE),0),0))&gt;=100,100,(Backdoors!AI12+IF(HD38&gt;=0.45,VLOOKUP(Calculator!E23,tbSkills!DH3:DI6,2,FALSE)+IF(AND(Calculator!B8=TRUE,Backdoors!BI33=TRUE),VLOOKUP(Calculator!E23,tbSkills!DH3:DJ6,3,FALSE),0),0)))/100)),(1-(0.25*((-Backdoors!AI12-IF(HD38&gt;=0.45,VLOOKUP(Calculator!E23,tbSkills!DH3:DI6,2,FALSE)+IF(AND(Calculator!B8=TRUE,Backdoors!BI33=TRUE),VLOOKUP(Calculator!E23,tbSkills!DH3:DJ6,3,FALSE),0),0))/100)))),1),"")</f>
        <v>1</v>
      </c>
      <c r="HG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D38)*HF38)*(VLOOKUP(A38,tbMoveset!A2:C112,3,FALSE)/100)*IF(VLOOKUP(A38,tbMoveset!A2:B112,2,FALSE)="Projectile",Backdoors!N10,Backdoors!N9),0),"")</f>
        <v/>
      </c>
      <c r="HH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D38&gt;=0.45,VLOOKUP(Calculator!E23,tbSkills!DH3:DI6,2,FALSE)+IF(AND(Calculator!B8=TRUE,Backdoors!BI33=TRUE),VLOOKUP(Calculator!E23,tbSkills!DH3:DJ6,3,FALSE),0),0))&gt;=100,100,(Backdoors!AI12+IF(HD38&gt;=0.45,VLOOKUP(Calculator!E23,tbSkills!DH3:DI6,2,FALSE)+IF(AND(Calculator!B8=TRUE,Backdoors!BI33=TRUE),VLOOKUP(Calculator!E23,tbSkills!DH3:DJ6,3,FALSE),0),0)))/100)),1))*IF(VLOOKUP(A38,tbMoveset!A2:K112,11,FALSE)=TRUE,Backdoors!AC5,1))*HE38,0),"")</f>
        <v>0</v>
      </c>
      <c r="HI38" s="49">
        <f>VLOOKUP(A38,tbMoveset!A2:G112,7,FALSE)*IFERROR(IF(Backdoors!AI12&gt;=0,1+(IF(Calculator!E40&gt;0,VLOOKUP(Calculator!E40,tbSkills!AI3:AJ5,2,FALSE),Backdoors!AL4)*(IF((Backdoors!AI12+IF(HD38&gt;=0.45,VLOOKUP(Calculator!E23,tbSkills!DH3:DI6,2,FALSE)+IF(AND(Calculator!B8=TRUE,Backdoors!BI33=TRUE),VLOOKUP(Calculator!E23,tbSkills!DH3:DJ6,3,FALSE),0),0))&gt;=100,100,(Backdoors!AI12+IF(HD38&gt;=0.45,VLOOKUP(Calculator!E23,tbSkills!DH3:DI6,2,FALSE)+IF(AND(Calculator!B8=TRUE,Backdoors!BI33=TRUE),VLOOKUP(Calculator!E23,tbSkills!DH3:DJ6,3,FALSE),0),0)))/100)),1),1)</f>
        <v>0.5</v>
      </c>
      <c r="HJ38" s="87">
        <f t="shared" si="23"/>
        <v>0</v>
      </c>
      <c r="HK38" s="86" t="str">
        <f>IFERROR(IF(VLOOKUP(A38,tbMoveset!A2:B112,2,FALSE)="Sever",Backdoors!AY34/100,IF(VLOOKUP(A38,tbMoveset!A2:B112,2,FALSE)="Blunt",Backdoors!AZ34/100,Backdoors!BA34/100)),"")</f>
        <v/>
      </c>
      <c r="HL38" s="49">
        <f>IFERROR(IF(VLOOKUP(tbMoveset!A38,tbMoveset!A2:H112,8,FALSE)="Other",IF(VLOOKUP(tbMoveset!A38,tbMoveset!A2:I112,9,FALSE)="Fire",Backdoors!BB34,IF(VLOOKUP(tbMoveset!A38,tbMoveset!A2:I112,9,FALSE)="Water",Backdoors!BC34,IF(VLOOKUP(tbMoveset!A38,tbMoveset!A2:I112,9,FALSE)="Thunder",Backdoors!BD34,IF(VLOOKUP(tbMoveset!A38,tbMoveset!A2:I112,9,FALSE)="Ice",Backdoors!BE34,IF(VLOOKUP(tbMoveset!A38,tbMoveset!A2:I112,9,FALSE)="Dragon",Backdoors!BF34,Backdoors!BG34)))))/100,Backdoors!BG34/100),"")</f>
        <v>0</v>
      </c>
      <c r="HM38" s="49">
        <f>IFERROR(IF(VLOOKUP(A38,tbMoveset!A2:J112,10,FALSE)=TRUE,IF((Backdoors!AI12+IF(HK38&gt;=0.45,VLOOKUP(Calculator!E23,tbSkills!DH3:DI6,2,FALSE)+IF(AND(Calculator!B8=TRUE,Backdoors!BI34=TRUE),VLOOKUP(Calculator!E23,tbSkills!DH3:DJ6,3,FALSE),0),0))&gt;=0,1+(Backdoors!AL2*(IF((Backdoors!AI12+IF(HK38&gt;=0.45,VLOOKUP(Calculator!E23,tbSkills!DH3:DI6,2,FALSE)+IF(AND(Calculator!B8=TRUE,Backdoors!BI34=TRUE),VLOOKUP(Calculator!E23,tbSkills!DH3:DJ6,3,FALSE),0),0))&gt;=100,100,(Backdoors!AI12+IF(HK38&gt;=0.45,VLOOKUP(Calculator!E23,tbSkills!DH3:DI6,2,FALSE)+IF(AND(Calculator!B8=TRUE,Backdoors!BI34=TRUE),VLOOKUP(Calculator!E23,tbSkills!DH3:DJ6,3,FALSE),0),0)))/100)),(1-(0.25*((-Backdoors!AI12-IF(HK38&gt;=0.45,VLOOKUP(Calculator!E23,tbSkills!DH3:DI6,2,FALSE)+IF(AND(Calculator!B8=TRUE,Backdoors!BI34=TRUE),VLOOKUP(Calculator!E23,tbSkills!DH3:DJ6,3,FALSE),0),0))/100)))),1),"")</f>
        <v>1</v>
      </c>
      <c r="HN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K38)*HM38)*(VLOOKUP(A38,tbMoveset!A2:C112,3,FALSE)/100)*IF(VLOOKUP(A38,tbMoveset!A2:B112,2,FALSE)="Projectile",Backdoors!N10,Backdoors!N9),0),"")</f>
        <v/>
      </c>
      <c r="HO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K38&gt;=0.45,VLOOKUP(Calculator!E23,tbSkills!DH3:DI6,2,FALSE)+IF(AND(Calculator!B8=TRUE,Backdoors!BI34=TRUE),VLOOKUP(Calculator!E23,tbSkills!DH3:DJ6,3,FALSE),0),0))&gt;=100,100,(Backdoors!AI12+IF(HK38&gt;=0.45,VLOOKUP(Calculator!E23,tbSkills!DH3:DI6,2,FALSE)+IF(AND(Calculator!B8=TRUE,Backdoors!BI34=TRUE),VLOOKUP(Calculator!E23,tbSkills!DH3:DJ6,3,FALSE),0),0)))/100)),1))*IF(VLOOKUP(A38,tbMoveset!A2:K112,11,FALSE)=TRUE,Backdoors!AC5,1))*HL38,0),"")</f>
        <v>0</v>
      </c>
      <c r="HP38" s="49">
        <f>VLOOKUP(A38,tbMoveset!A2:G112,7,FALSE)*IFERROR(IF(Backdoors!AI12&gt;=0,1+(IF(Calculator!E40&gt;0,VLOOKUP(Calculator!E40,tbSkills!AI3:AJ5,2,FALSE),Backdoors!AL4)*(IF((Backdoors!AI12+IF(HK38&gt;=0.45,VLOOKUP(Calculator!E23,tbSkills!DH3:DI6,2,FALSE)+IF(AND(Calculator!B8=TRUE,Backdoors!BI34=TRUE),VLOOKUP(Calculator!E23,tbSkills!DH3:DJ6,3,FALSE),0),0))&gt;=100,100,(Backdoors!AI12+IF(HK38&gt;=0.45,VLOOKUP(Calculator!E23,tbSkills!DH3:DI6,2,FALSE)+IF(AND(Calculator!B8=TRUE,Backdoors!BI34=TRUE),VLOOKUP(Calculator!E23,tbSkills!DH3:DJ6,3,FALSE),0),0)))/100)),1),1)</f>
        <v>0.5</v>
      </c>
      <c r="HQ38" s="87">
        <f t="shared" si="24"/>
        <v>0</v>
      </c>
      <c r="HR38" s="86" t="str">
        <f>IFERROR(IF(VLOOKUP(A38,tbMoveset!A2:B112,2,FALSE)="Sever",Backdoors!AY35/100,IF(VLOOKUP(A38,tbMoveset!A2:B112,2,FALSE)="Blunt",Backdoors!AZ35/100,Backdoors!BA35/100)),"")</f>
        <v/>
      </c>
      <c r="HS38" s="49">
        <f>IFERROR(IF(VLOOKUP(tbMoveset!A38,tbMoveset!A2:H112,8,FALSE)="Other",IF(VLOOKUP(tbMoveset!A38,tbMoveset!A2:I112,9,FALSE)="Fire",Backdoors!BB35,IF(VLOOKUP(tbMoveset!A38,tbMoveset!A2:I112,9,FALSE)="Water",Backdoors!BC35,IF(VLOOKUP(tbMoveset!A38,tbMoveset!A2:I112,9,FALSE)="Thunder",Backdoors!BD35,IF(VLOOKUP(tbMoveset!A38,tbMoveset!A2:I112,9,FALSE)="Ice",Backdoors!BE35,IF(VLOOKUP(tbMoveset!A38,tbMoveset!A2:I112,9,FALSE)="Dragon",Backdoors!BF35,Backdoors!BG35)))))/100,Backdoors!BG35/100),"")</f>
        <v>0</v>
      </c>
      <c r="HT38" s="49">
        <f>IFERROR(IF(VLOOKUP(A38,tbMoveset!A2:J112,10,FALSE)=TRUE,IF((Backdoors!AI12+IF(HR38&gt;=0.45,VLOOKUP(Calculator!E23,tbSkills!DH3:DI6,2,FALSE)+IF(AND(Calculator!B8=TRUE,Backdoors!BI35=TRUE),VLOOKUP(Calculator!E23,tbSkills!DH3:DJ6,3,FALSE),0),0))&gt;=0,1+(Backdoors!AL2*(IF((Backdoors!AI12+IF(HR38&gt;=0.45,VLOOKUP(Calculator!E23,tbSkills!DH3:DI6,2,FALSE)+IF(AND(Calculator!B8=TRUE,Backdoors!BI35=TRUE),VLOOKUP(Calculator!E23,tbSkills!DH3:DJ6,3,FALSE),0),0))&gt;=100,100,(Backdoors!AI12+IF(HR38&gt;=0.45,VLOOKUP(Calculator!E23,tbSkills!DH3:DI6,2,FALSE)+IF(AND(Calculator!B8=TRUE,Backdoors!BI35=TRUE),VLOOKUP(Calculator!E23,tbSkills!DH3:DJ6,3,FALSE),0),0)))/100)),(1-(0.25*((-Backdoors!AI12-IF(HR38&gt;=0.45,VLOOKUP(Calculator!E23,tbSkills!DH3:DI6,2,FALSE)+IF(AND(Calculator!B8=TRUE,Backdoors!BI35=TRUE),VLOOKUP(Calculator!E23,tbSkills!DH3:DJ6,3,FALSE),0),0))/100)))),1),"")</f>
        <v>1</v>
      </c>
      <c r="HU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R38)*HT38)*(VLOOKUP(A38,tbMoveset!A2:C112,3,FALSE)/100)*IF(VLOOKUP(A38,tbMoveset!A2:B112,2,FALSE)="Projectile",Backdoors!N10,Backdoors!N9),0),"")</f>
        <v/>
      </c>
      <c r="HV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R38&gt;=0.45,VLOOKUP(Calculator!E23,tbSkills!DH3:DI6,2,FALSE)+IF(AND(Calculator!B8=TRUE,Backdoors!BI35=TRUE),VLOOKUP(Calculator!E23,tbSkills!DH3:DJ6,3,FALSE),0),0))&gt;=100,100,(Backdoors!AI12+IF(HR38&gt;=0.45,VLOOKUP(Calculator!E23,tbSkills!DH3:DI6,2,FALSE)+IF(AND(Calculator!B8=TRUE,Backdoors!BI35=TRUE),VLOOKUP(Calculator!E23,tbSkills!DH3:DJ6,3,FALSE),0),0)))/100)),1))*IF(VLOOKUP(A38,tbMoveset!A2:K112,11,FALSE)=TRUE,Backdoors!AC5,1))*HS38,0),"")</f>
        <v>0</v>
      </c>
      <c r="HW38" s="49">
        <f>VLOOKUP(A38,tbMoveset!A2:G112,7,FALSE)*IFERROR(IF(Backdoors!AI12&gt;=0,1+(IF(Calculator!E40&gt;0,VLOOKUP(Calculator!E40,tbSkills!AI3:AJ5,2,FALSE),Backdoors!AL4)*(IF((Backdoors!AI12+IF(HR38&gt;=0.45,VLOOKUP(Calculator!E23,tbSkills!DH3:DI6,2,FALSE)+IF(AND(Calculator!B8=TRUE,Backdoors!BI35=TRUE),VLOOKUP(Calculator!E23,tbSkills!DH3:DJ6,3,FALSE),0),0))&gt;=100,100,(Backdoors!AI12+IF(HR38&gt;=0.45,VLOOKUP(Calculator!E23,tbSkills!DH3:DI6,2,FALSE)+IF(AND(Calculator!B8=TRUE,Backdoors!BI35=TRUE),VLOOKUP(Calculator!E23,tbSkills!DH3:DJ6,3,FALSE),0),0)))/100)),1),1)</f>
        <v>0.5</v>
      </c>
      <c r="HX38" s="87">
        <f t="shared" si="25"/>
        <v>0</v>
      </c>
      <c r="HY38" s="86" t="str">
        <f>IFERROR(IF(VLOOKUP(A38,tbMoveset!A2:B112,2,FALSE)="Sever",Backdoors!AY36/100,IF(VLOOKUP(A38,tbMoveset!A2:B112,2,FALSE)="Blunt",Backdoors!AZ36/100,Backdoors!BA36/100)),"")</f>
        <v/>
      </c>
      <c r="HZ38" s="49">
        <f>IFERROR(IF(VLOOKUP(tbMoveset!A38,tbMoveset!A2:H112,8,FALSE)="Other",IF(VLOOKUP(tbMoveset!A38,tbMoveset!A2:I112,9,FALSE)="Fire",Backdoors!BB36,IF(VLOOKUP(tbMoveset!A38,tbMoveset!A2:I112,9,FALSE)="Water",Backdoors!BC36,IF(VLOOKUP(tbMoveset!A38,tbMoveset!A2:I112,9,FALSE)="Thunder",Backdoors!BD36,IF(VLOOKUP(tbMoveset!A38,tbMoveset!A2:I112,9,FALSE)="Ice",Backdoors!BE36,IF(VLOOKUP(tbMoveset!A38,tbMoveset!A2:I112,9,FALSE)="Dragon",Backdoors!BF36,Backdoors!BG36)))))/100,Backdoors!BG36/100),"")</f>
        <v>0</v>
      </c>
      <c r="IA38" s="49">
        <f>IFERROR(IF(VLOOKUP(A38,tbMoveset!A2:J112,10,FALSE)=TRUE,IF((Backdoors!AI12+IF(HY38&gt;=0.45,VLOOKUP(Calculator!E23,tbSkills!DH3:DI6,2,FALSE)+IF(AND(Calculator!B8=TRUE,Backdoors!BI36=TRUE),VLOOKUP(Calculator!E23,tbSkills!DH3:DJ6,3,FALSE),0),0))&gt;=0,1+(Backdoors!AL2*(IF((Backdoors!AI12+IF(HY38&gt;=0.45,VLOOKUP(Calculator!E23,tbSkills!DH3:DI6,2,FALSE)+IF(AND(Calculator!B8=TRUE,Backdoors!BI36=TRUE),VLOOKUP(Calculator!E23,tbSkills!DH3:DJ6,3,FALSE),0),0))&gt;=100,100,(Backdoors!AI12+IF(HY38&gt;=0.45,VLOOKUP(Calculator!E23,tbSkills!DH3:DI6,2,FALSE)+IF(AND(Calculator!B8=TRUE,Backdoors!BI36=TRUE),VLOOKUP(Calculator!E23,tbSkills!DH3:DJ6,3,FALSE),0),0)))/100)),(1-(0.25*((-Backdoors!AI12-IF(HY38&gt;=0.45,VLOOKUP(Calculator!E23,tbSkills!DH3:DI6,2,FALSE)+IF(AND(Calculator!B8=TRUE,Backdoors!BI36=TRUE),VLOOKUP(Calculator!E23,tbSkills!DH3:DJ6,3,FALSE),0),0))/100)))),1),"")</f>
        <v>1</v>
      </c>
      <c r="IB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Y38)*IA38)*(VLOOKUP(A38,tbMoveset!A2:C112,3,FALSE)/100)*IF(VLOOKUP(A38,tbMoveset!A2:B112,2,FALSE)="Projectile",Backdoors!N10,Backdoors!N9),0),"")</f>
        <v/>
      </c>
      <c r="IC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Y38&gt;=0.45,VLOOKUP(Calculator!E23,tbSkills!DH3:DI6,2,FALSE)+IF(AND(Calculator!B8=TRUE,Backdoors!BI36=TRUE),VLOOKUP(Calculator!E23,tbSkills!DH3:DJ6,3,FALSE),0),0))&gt;=100,100,(Backdoors!AI12+IF(HY38&gt;=0.45,VLOOKUP(Calculator!E23,tbSkills!DH3:DI6,2,FALSE)+IF(AND(Calculator!B8=TRUE,Backdoors!BI36=TRUE),VLOOKUP(Calculator!E23,tbSkills!DH3:DJ6,3,FALSE),0),0)))/100)),1))*IF(VLOOKUP(A38,tbMoveset!A2:K112,11,FALSE)=TRUE,Backdoors!AC5,1))*HZ38,0),"")</f>
        <v>0</v>
      </c>
      <c r="ID38" s="49">
        <f>VLOOKUP(A38,tbMoveset!A2:G112,7,FALSE)*IFERROR(IF(Backdoors!AI12&gt;=0,1+(IF(Calculator!E40&gt;0,VLOOKUP(Calculator!E40,tbSkills!AI3:AJ5,2,FALSE),Backdoors!AL4)*(IF((Backdoors!AI12+IF(HY38&gt;=0.45,VLOOKUP(Calculator!E23,tbSkills!DH3:DI6,2,FALSE)+IF(AND(Calculator!B8=TRUE,Backdoors!BI36=TRUE),VLOOKUP(Calculator!E23,tbSkills!DH3:DJ6,3,FALSE),0),0))&gt;=100,100,(Backdoors!AI12+IF(HY38&gt;=0.45,VLOOKUP(Calculator!E23,tbSkills!DH3:DI6,2,FALSE)+IF(AND(Calculator!B8=TRUE,Backdoors!BI36=TRUE),VLOOKUP(Calculator!E23,tbSkills!DH3:DJ6,3,FALSE),0),0)))/100)),1),1)</f>
        <v>0.5</v>
      </c>
      <c r="IE38" s="87">
        <f t="shared" si="26"/>
        <v>0</v>
      </c>
      <c r="IF38" s="86" t="str">
        <f>IFERROR(IF(VLOOKUP(A38,tbMoveset!A2:B112,2,FALSE)="Sever",Backdoors!AY37/100,IF(VLOOKUP(A38,tbMoveset!A2:B112,2,FALSE)="Blunt",Backdoors!AZ37/100,Backdoors!BA37/100)),"")</f>
        <v/>
      </c>
      <c r="IG38" s="49">
        <f>IFERROR(IF(VLOOKUP(tbMoveset!A38,tbMoveset!A2:H112,8,FALSE)="Other",IF(VLOOKUP(tbMoveset!A38,tbMoveset!A2:I112,9,FALSE)="Fire",Backdoors!BB37,IF(VLOOKUP(tbMoveset!A38,tbMoveset!A2:I112,9,FALSE)="Water",Backdoors!BC37,IF(VLOOKUP(tbMoveset!A38,tbMoveset!A2:I112,9,FALSE)="Thunder",Backdoors!BD37,IF(VLOOKUP(tbMoveset!A38,tbMoveset!A2:I112,9,FALSE)="Ice",Backdoors!BE37,IF(VLOOKUP(tbMoveset!A38,tbMoveset!A2:I112,9,FALSE)="Dragon",Backdoors!BF37,Backdoors!BG37)))))/100,Backdoors!BG37/100),"")</f>
        <v>0</v>
      </c>
      <c r="IH38" s="49">
        <f>IFERROR(IF(VLOOKUP(A38,tbMoveset!A2:J112,10,FALSE)=TRUE,IF((Backdoors!AI12+IF(IF38&gt;=0.45,VLOOKUP(Calculator!E23,tbSkills!DH3:DI6,2,FALSE)+IF(AND(Calculator!B8=TRUE,Backdoors!BI37=TRUE),VLOOKUP(Calculator!E23,tbSkills!DH3:DJ6,3,FALSE),0),0))&gt;=0,1+(Backdoors!AL2*(IF((Backdoors!AI12+IF(IF38&gt;=0.45,VLOOKUP(Calculator!E23,tbSkills!DH3:DI6,2,FALSE)+IF(AND(Calculator!B8=TRUE,Backdoors!BI37=TRUE),VLOOKUP(Calculator!E23,tbSkills!DH3:DJ6,3,FALSE),0),0))&gt;=100,100,(Backdoors!AI12+IF(IF38&gt;=0.45,VLOOKUP(Calculator!E23,tbSkills!DH3:DI6,2,FALSE)+IF(AND(Calculator!B8=TRUE,Backdoors!BI37=TRUE),VLOOKUP(Calculator!E23,tbSkills!DH3:DJ6,3,FALSE),0),0)))/100)),(1-(0.25*((-Backdoors!AI12-IF(IF38&gt;=0.45,VLOOKUP(Calculator!E23,tbSkills!DH3:DI6,2,FALSE)+IF(AND(Calculator!B8=TRUE,Backdoors!BI37=TRUE),VLOOKUP(Calculator!E23,tbSkills!DH3:DJ6,3,FALSE),0),0))/100)))),1),"")</f>
        <v>1</v>
      </c>
      <c r="II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F38)*IH38)*(VLOOKUP(A38,tbMoveset!A2:C112,3,FALSE)/100)*IF(VLOOKUP(A38,tbMoveset!A2:B112,2,FALSE)="Projectile",Backdoors!N10,Backdoors!N9),0),"")</f>
        <v/>
      </c>
      <c r="IJ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IF38&gt;=0.45,VLOOKUP(Calculator!E23,tbSkills!DH3:DI6,2,FALSE)+IF(AND(Calculator!B8=TRUE,Backdoors!BI37=TRUE),VLOOKUP(Calculator!E23,tbSkills!DH3:DJ6,3,FALSE),0),0))&gt;=100,100,(Backdoors!AI12+IF(IF38&gt;=0.45,VLOOKUP(Calculator!E23,tbSkills!DH3:DI6,2,FALSE)+IF(AND(Calculator!B8=TRUE,Backdoors!BI37=TRUE),VLOOKUP(Calculator!E23,tbSkills!DH3:DJ6,3,FALSE),0),0)))/100)),1))*IF(VLOOKUP(A38,tbMoveset!A2:K112,11,FALSE)=TRUE,Backdoors!AC5,1))*IG38,0),"")</f>
        <v>0</v>
      </c>
      <c r="IK38" s="49">
        <f>VLOOKUP(A38,tbMoveset!A2:G112,7,FALSE)*IFERROR(IF(Backdoors!AI12&gt;=0,1+(IF(Calculator!E40&gt;0,VLOOKUP(Calculator!E40,tbSkills!AI3:AJ5,2,FALSE),Backdoors!AL4)*(IF((Backdoors!AI12+IF(IF38&gt;=0.45,VLOOKUP(Calculator!E23,tbSkills!DH3:DI6,2,FALSE)+IF(AND(Calculator!B8=TRUE,Backdoors!BI37=TRUE),VLOOKUP(Calculator!E23,tbSkills!DH3:DJ6,3,FALSE),0),0))&gt;=100,100,(Backdoors!AI12+IF(IF38&gt;=0.45,VLOOKUP(Calculator!E23,tbSkills!DH3:DI6,2,FALSE)+IF(AND(Calculator!B8=TRUE,Backdoors!BI37=TRUE),VLOOKUP(Calculator!E23,tbSkills!DH3:DJ6,3,FALSE),0),0)))/100)),1),1)</f>
        <v>0.5</v>
      </c>
      <c r="IL38" s="87">
        <f t="shared" si="27"/>
        <v>0</v>
      </c>
      <c r="IM38" s="86" t="str">
        <f>IFERROR(IF(VLOOKUP(A38,tbMoveset!A2:B112,2,FALSE)="Sever",Backdoors!AY38/100,IF(VLOOKUP(A38,tbMoveset!A2:B112,2,FALSE)="Blunt",Backdoors!AZ38/100,Backdoors!BA38/100)),"")</f>
        <v/>
      </c>
      <c r="IN38" s="49">
        <f>IFERROR(IF(VLOOKUP(tbMoveset!A38,tbMoveset!A2:H112,8,FALSE)="Other",IF(VLOOKUP(tbMoveset!A38,tbMoveset!A2:I112,9,FALSE)="Fire",Backdoors!BB38,IF(VLOOKUP(tbMoveset!A38,tbMoveset!A2:I112,9,FALSE)="Water",Backdoors!BC38,IF(VLOOKUP(tbMoveset!A38,tbMoveset!A2:I112,9,FALSE)="Thunder",Backdoors!BD38,IF(VLOOKUP(tbMoveset!A38,tbMoveset!A2:I112,9,FALSE)="Ice",Backdoors!BE38,IF(VLOOKUP(tbMoveset!A38,tbMoveset!A2:I112,9,FALSE)="Dragon",Backdoors!BF38,Backdoors!BG38)))))/100,Backdoors!BG38/100),"")</f>
        <v>0</v>
      </c>
      <c r="IO38" s="49">
        <f>IFERROR(IF(VLOOKUP(A38,tbMoveset!A2:J112,10,FALSE)=TRUE,IF((Backdoors!AI12+IF(IM38&gt;=0.45,VLOOKUP(Calculator!E23,tbSkills!DH3:DI6,2,FALSE)+IF(AND(Calculator!B8=TRUE,Backdoors!BI38=TRUE),VLOOKUP(Calculator!E23,tbSkills!DH3:DJ6,3,FALSE),0),0))&gt;=0,1+(Backdoors!AL2*(IF((Backdoors!AI12+IF(IM38&gt;=0.45,VLOOKUP(Calculator!E23,tbSkills!DH3:DI6,2,FALSE)+IF(AND(Calculator!B8=TRUE,Backdoors!BI38=TRUE),VLOOKUP(Calculator!E23,tbSkills!DH3:DJ6,3,FALSE),0),0))&gt;=100,100,(Backdoors!AI12+IF(IM38&gt;=0.45,VLOOKUP(Calculator!E23,tbSkills!DH3:DI6,2,FALSE)+IF(AND(Calculator!B8=TRUE,Backdoors!BI38=TRUE),VLOOKUP(Calculator!E23,tbSkills!DH3:DJ6,3,FALSE),0),0)))/100)),(1-(0.25*((-Backdoors!AI12-IF(IM38&gt;=0.45,VLOOKUP(Calculator!E23,tbSkills!DH3:DI6,2,FALSE)+IF(AND(Calculator!B8=TRUE,Backdoors!BI38=TRUE),VLOOKUP(Calculator!E23,tbSkills!DH3:DJ6,3,FALSE),0),0))/100)))),1),"")</f>
        <v>1</v>
      </c>
      <c r="IP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M38)*IO38)*(VLOOKUP(A38,tbMoveset!A2:C112,3,FALSE)/100)*IF(VLOOKUP(A38,tbMoveset!A2:B112,2,FALSE)="Projectile",Backdoors!N10,Backdoors!N9),0),"")</f>
        <v/>
      </c>
      <c r="IQ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IM38&gt;=0.45,VLOOKUP(Calculator!E23,tbSkills!DH3:DI6,2,FALSE)+IF(AND(Calculator!B8=TRUE,Backdoors!BI38=TRUE),VLOOKUP(Calculator!E23,tbSkills!DH3:DJ6,3,FALSE),0),0))&gt;=100,100,(Backdoors!AI12+IF(IM38&gt;=0.45,VLOOKUP(Calculator!E23,tbSkills!DH3:DI6,2,FALSE)+IF(AND(Calculator!B8=TRUE,Backdoors!BI38=TRUE),VLOOKUP(Calculator!E23,tbSkills!DH3:DJ6,3,FALSE),0),0)))/100)),1))*IF(VLOOKUP(A38,tbMoveset!A2:K112,11,FALSE)=TRUE,Backdoors!AC5,1))*IN38,0),"")</f>
        <v>0</v>
      </c>
      <c r="IR38" s="49">
        <f>VLOOKUP(A38,tbMoveset!A2:G112,7,FALSE)*IFERROR(IF(Backdoors!AI12&gt;=0,1+(IF(Calculator!E40&gt;0,VLOOKUP(Calculator!E40,tbSkills!AI3:AJ5,2,FALSE),Backdoors!AL4)*(IF((Backdoors!AI12+IF(IM38&gt;=0.45,VLOOKUP(Calculator!E23,tbSkills!DH3:DI6,2,FALSE)+IF(AND(Calculator!B8=TRUE,Backdoors!BI38=TRUE),VLOOKUP(Calculator!E23,tbSkills!DH3:DJ6,3,FALSE),0),0))&gt;=100,100,(Backdoors!AI12+IF(IM38&gt;=0.45,VLOOKUP(Calculator!E23,tbSkills!DH3:DI6,2,FALSE)+IF(AND(Calculator!B8=TRUE,Backdoors!BI38=TRUE),VLOOKUP(Calculator!E23,tbSkills!DH3:DJ6,3,FALSE),0),0)))/100)),1),1)</f>
        <v>0.5</v>
      </c>
      <c r="IS38" s="87">
        <f t="shared" si="42"/>
        <v>0</v>
      </c>
      <c r="IT38" s="86" t="str">
        <f>IFERROR(IF(VLOOKUP(A38,tbMoveset!A2:B112,2,FALSE)="Sever",Backdoors!AY39/100,IF(VLOOKUP(A38,tbMoveset!A2:B112,2,FALSE)="Blunt",Backdoors!AZ39/100,Backdoors!BA39/100)),"")</f>
        <v/>
      </c>
      <c r="IU38" s="49">
        <f>IFERROR(IF(VLOOKUP(tbMoveset!A38,tbMoveset!A2:H112,8,FALSE)="Other",IF(VLOOKUP(tbMoveset!A38,tbMoveset!A2:I112,9,FALSE)="Fire",Backdoors!BB39,IF(VLOOKUP(tbMoveset!A38,tbMoveset!A2:I112,9,FALSE)="Water",Backdoors!BC39,IF(VLOOKUP(tbMoveset!A38,tbMoveset!A2:I112,9,FALSE)="Thunder",Backdoors!BD39,IF(VLOOKUP(tbMoveset!A38,tbMoveset!A2:I112,9,FALSE)="Ice",Backdoors!BE39,IF(VLOOKUP(tbMoveset!A38,tbMoveset!A2:I112,9,FALSE)="Dragon",Backdoors!BF39,Backdoors!BG39)))))/100,Backdoors!BG39/100),"")</f>
        <v>0</v>
      </c>
      <c r="IV38" s="49">
        <f>IFERROR(IF(VLOOKUP(A38,tbMoveset!A2:J112,10,FALSE)=TRUE,IF((Backdoors!AI12+IF(IT38&gt;=0.45,VLOOKUP(Calculator!E23,tbSkills!DH3:DI6,2,FALSE)+IF(AND(Calculator!B8=TRUE,Backdoors!BI39=TRUE),VLOOKUP(Calculator!E23,tbSkills!DH3:DJ6,3,FALSE),0),0))&gt;=0,1+(Backdoors!AL2*(IF((Backdoors!AI12+IF(IT38&gt;=0.45,VLOOKUP(Calculator!E23,tbSkills!DH3:DI6,2,FALSE)+IF(AND(Calculator!B8=TRUE,Backdoors!BI39=TRUE),VLOOKUP(Calculator!E23,tbSkills!DH3:DJ6,3,FALSE),0),0))&gt;=100,100,(Backdoors!AI12+IF(IT38&gt;=0.45,VLOOKUP(Calculator!E23,tbSkills!DH3:DI6,2,FALSE)+IF(AND(Calculator!B8=TRUE,Backdoors!BI39=TRUE),VLOOKUP(Calculator!E23,tbSkills!DH3:DJ6,3,FALSE),0),0)))/100)),(1-(0.25*((-Backdoors!AI12-IF(IT38&gt;=0.45,VLOOKUP(Calculator!E23,tbSkills!DH3:DI6,2,FALSE)+IF(AND(Calculator!B8=TRUE,Backdoors!BI39=TRUE),VLOOKUP(Calculator!E23,tbSkills!DH3:DJ6,3,FALSE),0),0))/100)))),1),"")</f>
        <v>1</v>
      </c>
      <c r="IW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T38)*IV38)*(VLOOKUP(A38,tbMoveset!A2:C112,3,FALSE)/100)*IF(VLOOKUP(A38,tbMoveset!A2:B112,2,FALSE)="Projectile",Backdoors!N10,Backdoors!N9),0),"")</f>
        <v/>
      </c>
      <c r="IX38" s="49">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40&gt;0,VLOOKUP(Calculator!E40,tbSkills!AC3:AD5,2,FALSE),Backdoors!AL3)*(IF((Backdoors!AI12+IF(IT38&gt;=0.45,VLOOKUP(Calculator!E23,tbSkills!DH3:DI6,2,FALSE)+IF(AND(Calculator!B8=TRUE,Backdoors!BI39=TRUE),VLOOKUP(Calculator!E23,tbSkills!DH3:DJ6,3,FALSE),0),0))&gt;=100,100,(Backdoors!AI12+IF(IT38&gt;=0.45,VLOOKUP(Calculator!E23,tbSkills!DH3:DI6,2,FALSE)+IF(AND(Calculator!B8=TRUE,Backdoors!BI39=TRUE),VLOOKUP(Calculator!E23,tbSkills!DH3:DJ6,3,FALSE),0),0)))/100)),1))*IF(VLOOKUP(A38,tbMoveset!A2:K112,11,FALSE)=TRUE,Backdoors!AC5,1))*IU38,0),"")</f>
        <v>0</v>
      </c>
      <c r="IY38" s="49">
        <f>VLOOKUP(A38,tbMoveset!A2:G112,7,FALSE)*IFERROR(IF(Backdoors!AI12&gt;=0,1+(IF(Calculator!E40&gt;0,VLOOKUP(Calculator!E40,tbSkills!AI3:AJ5,2,FALSE),Backdoors!AL4)*(IF((Backdoors!AI12+IF(IT38&gt;=0.45,VLOOKUP(Calculator!E23,tbSkills!DH3:DI6,2,FALSE)+IF(AND(Calculator!B8=TRUE,Backdoors!BI39=TRUE),VLOOKUP(Calculator!E23,tbSkills!DH3:DJ6,3,FALSE),0),0))&gt;=100,100,(Backdoors!AI12+IF(IT38&gt;=0.45,VLOOKUP(Calculator!E23,tbSkills!DH3:DI6,2,FALSE)+IF(AND(Calculator!B8=TRUE,Backdoors!BI39=TRUE),VLOOKUP(Calculator!E23,tbSkills!DH3:DJ6,3,FALSE),0),0)))/100)),1),1)</f>
        <v>0.5</v>
      </c>
      <c r="IZ38" s="87">
        <f t="shared" si="28"/>
        <v>0</v>
      </c>
      <c r="JA38" s="86" t="str">
        <f>IFERROR(IF(VLOOKUP(A38,tbMoveset!A2:B112,2,FALSE)="Sever",Backdoors!AY40/100,IF(VLOOKUP(A38,tbMoveset!A2:B112,2,FALSE)="Blunt",Backdoors!AZ40/100,Backdoors!BA40/100)),"")</f>
        <v/>
      </c>
      <c r="JB38" s="49">
        <f>IFERROR(IF(VLOOKUP(tbMoveset!A38,tbMoveset!A2:H112,8,FALSE)="Other",IF(VLOOKUP(tbMoveset!A38,tbMoveset!A2:I112,9,FALSE)="Fire",Backdoors!BB40,IF(VLOOKUP(tbMoveset!A38,tbMoveset!A2:I112,9,FALSE)="Water",Backdoors!BC40,IF(VLOOKUP(tbMoveset!A38,tbMoveset!A2:I112,9,FALSE)="Thunder",Backdoors!BD40,IF(VLOOKUP(tbMoveset!A38,tbMoveset!A2:I112,9,FALSE)="Ice",Backdoors!BE40,IF(VLOOKUP(tbMoveset!A38,tbMoveset!A2:I112,9,FALSE)="Dragon",Backdoors!BF40,Backdoors!BG40)))))/100,Backdoors!BG40/100),"")</f>
        <v>0</v>
      </c>
      <c r="JC38" s="49">
        <f>IFERROR(IF(VLOOKUP(A38,tbMoveset!A2:J112,10,FALSE)=TRUE,IF((Backdoors!AI12+IF(JA38&gt;=0.45,VLOOKUP(Calculator!E23,tbSkills!DH3:DI6,2,FALSE)+IF(AND(Calculator!B8=TRUE,Backdoors!BI40=TRUE),VLOOKUP(Calculator!E23,tbSkills!DH3:DJ6,3,FALSE),0),0))&gt;=0,1+(Backdoors!AL2*(IF((Backdoors!AI12+IF(JA38&gt;=0.45,VLOOKUP(Calculator!E23,tbSkills!DH3:DI6,2,FALSE)+IF(AND(Calculator!B8=TRUE,Backdoors!BI40=TRUE),VLOOKUP(Calculator!E23,tbSkills!DH3:DJ6,3,FALSE),0),0))&gt;=100,100,(Backdoors!AI12+IF(JA38&gt;=0.45,VLOOKUP(Calculator!E23,tbSkills!DH3:DI6,2,FALSE)+IF(AND(Calculator!B8=TRUE,Backdoors!BI40=TRUE),VLOOKUP(Calculator!E23,tbSkills!DH3:DJ6,3,FALSE),0),0)))/100)),(1-(0.25*((-Backdoors!AI12-IF(JA38&gt;=0.45,VLOOKUP(Calculator!E23,tbSkills!DH3:DI6,2,FALSE)+IF(AND(Calculator!B8=TRUE,Backdoors!BI40=TRUE),VLOOKUP(Calculator!E23,tbSkills!DH3:DJ6,3,FALSE),0),0))/100)))),1),"")</f>
        <v>1</v>
      </c>
      <c r="JD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A38)*JC38)*(VLOOKUP(A38,tbMoveset!A2:C112,3,FALSE)/100)*IF(VLOOKUP(A38,tbMoveset!A2:B112,2,FALSE)="Projectile",Backdoors!N10,Backdoors!N9),0),"")</f>
        <v/>
      </c>
      <c r="JE38" s="49">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42&gt;0,VLOOKUP(Calculator!E42,tbSkills!AC3:AD5,2,FALSE),Backdoors!AL3)*(IF((Backdoors!AI12+IF(JA38&gt;=0.45,VLOOKUP(Calculator!E23,tbSkills!DH3:DI6,2,FALSE)+IF(AND(Calculator!B8=TRUE,Backdoors!BI40=TRUE),VLOOKUP(Calculator!E23,tbSkills!DH3:DJ6,3,FALSE),0),0))&gt;=100,100,(Backdoors!AI12+IF(JA38&gt;=0.45,VLOOKUP(Calculator!E23,tbSkills!DH3:DI6,2,FALSE)+IF(AND(Calculator!B8=TRUE,Backdoors!BI40=TRUE),VLOOKUP(Calculator!E23,tbSkills!DH3:DJ6,3,FALSE),0),0)))/100)),1))*IF(VLOOKUP(A38,tbMoveset!A2:K112,11,FALSE)=TRUE,Backdoors!AC5,1))*JB38,0),"")</f>
        <v>0</v>
      </c>
      <c r="JF38" s="49">
        <f>VLOOKUP(A38,tbMoveset!A2:G112,7,FALSE)*IFERROR(IF(Backdoors!AI12&gt;=0,1+(IF(Calculator!E40&gt;0,VLOOKUP(Calculator!E40,tbSkills!AI3:AJ5,2,FALSE),Backdoors!AL4)*(IF((Backdoors!AI12+IF(JA38&gt;=0.45,VLOOKUP(Calculator!E23,tbSkills!DH3:DI6,2,FALSE)+IF(AND(Calculator!B8=TRUE,Backdoors!BI40=TRUE),VLOOKUP(Calculator!E23,tbSkills!DH3:DJ6,3,FALSE),0),0))&gt;=100,100,(Backdoors!AI12+IF(JA38&gt;=0.45,VLOOKUP(Calculator!E23,tbSkills!DH3:DI6,2,FALSE)+IF(AND(Calculator!B8=TRUE,Backdoors!BI40=TRUE),VLOOKUP(Calculator!E23,tbSkills!DH3:DJ6,3,FALSE),0),0)))/100)),1),1)</f>
        <v>0.5</v>
      </c>
      <c r="JG38" s="87">
        <f t="shared" si="29"/>
        <v>0</v>
      </c>
      <c r="JH38" s="86" t="str">
        <f>IFERROR(IF(VLOOKUP(A38,tbMoveset!A2:B112,2,FALSE)="Sever",Backdoors!AY41/100,IF(VLOOKUP(A38,tbMoveset!A2:B112,2,FALSE)="Blunt",Backdoors!AZ41/100,Backdoors!BA41/100)),"")</f>
        <v/>
      </c>
      <c r="JI38" s="49">
        <f>IFERROR(IF(VLOOKUP(tbMoveset!A38,tbMoveset!A2:H112,8,FALSE)="Other",IF(VLOOKUP(tbMoveset!A38,tbMoveset!A2:I112,9,FALSE)="Fire",Backdoors!BB41,IF(VLOOKUP(tbMoveset!A38,tbMoveset!A2:I112,9,FALSE)="Water",Backdoors!BC41,IF(VLOOKUP(tbMoveset!A38,tbMoveset!A2:I112,9,FALSE)="Thunder",Backdoors!BD41,IF(VLOOKUP(tbMoveset!A38,tbMoveset!A2:I112,9,FALSE)="Ice",Backdoors!BE41,IF(VLOOKUP(tbMoveset!A38,tbMoveset!A2:I112,9,FALSE)="Dragon",Backdoors!BF41,Backdoors!BG41)))))/100,Backdoors!BG41/100),"")</f>
        <v>0</v>
      </c>
      <c r="JJ38" s="49">
        <f>IFERROR(IF(VLOOKUP(A38,tbMoveset!A2:J112,10,FALSE)=TRUE,IF((Backdoors!AI12+IF(JH38&gt;=0.45,VLOOKUP(Calculator!E23,tbSkills!DH3:DI6,2,FALSE)+IF(AND(Calculator!B8=TRUE,Backdoors!BI41=TRUE),VLOOKUP(Calculator!E23,tbSkills!DH3:DJ6,3,FALSE),0),0))&gt;=0,1+(Backdoors!AL2*(IF((Backdoors!AI12+IF(JH38&gt;=0.45,VLOOKUP(Calculator!E23,tbSkills!DH3:DI6,2,FALSE)+IF(AND(Calculator!B8=TRUE,Backdoors!BI41=TRUE),VLOOKUP(Calculator!E23,tbSkills!DH3:DJ6,3,FALSE),0),0))&gt;=100,100,(Backdoors!AI12+IF(JH38&gt;=0.45,VLOOKUP(Calculator!E23,tbSkills!DH3:DI6,2,FALSE)+IF(AND(Calculator!B8=TRUE,Backdoors!BI41=TRUE),VLOOKUP(Calculator!E23,tbSkills!DH3:DJ6,3,FALSE),0),0)))/100)),(1-(0.25*((-Backdoors!AI12-IF(JH38&gt;=0.45,VLOOKUP(Calculator!E23,tbSkills!DH3:DI6,2,FALSE)+IF(AND(Calculator!B8=TRUE,Backdoors!BI41=TRUE),VLOOKUP(Calculator!E23,tbSkills!DH3:DJ6,3,FALSE),0),0))/100)))),1),"")</f>
        <v>1</v>
      </c>
      <c r="JK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H38)*JJ38)*(VLOOKUP(A38,tbMoveset!A2:C112,3,FALSE)/100)*IF(VLOOKUP(A38,tbMoveset!A2:B112,2,FALSE)="Projectile",Backdoors!N10,Backdoors!N9),0),"")</f>
        <v/>
      </c>
      <c r="JL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43&gt;0,VLOOKUP(Calculator!E43,tbSkills!AC3:AD5,2,FALSE),Backdoors!AL3)*(IF((Backdoors!AI12+IF(JH38&gt;=0.45,VLOOKUP(Calculator!E23,tbSkills!DH3:DI6,2,FALSE)+IF(AND(Calculator!B8=TRUE,Backdoors!BI41=TRUE),VLOOKUP(Calculator!E23,tbSkills!DH3:DJ6,3,FALSE),0),0))&gt;=100,100,(Backdoors!AI12+IF(JH38&gt;=0.45,VLOOKUP(Calculator!E23,tbSkills!DH3:DI6,2,FALSE)+IF(AND(Calculator!B8=TRUE,Backdoors!BI41=TRUE),VLOOKUP(Calculator!E23,tbSkills!DH3:DJ6,3,FALSE),0),0)))/100)),1))*IF(VLOOKUP(A38,tbMoveset!A2:K112,11,FALSE)=TRUE,Backdoors!AC5,1))*JI38,0),"")</f>
        <v/>
      </c>
      <c r="JM38" s="49">
        <f>VLOOKUP(A38,tbMoveset!A2:G112,7,FALSE)*IFERROR(IF(Backdoors!AI12&gt;=0,1+(IF(Calculator!E40&gt;0,VLOOKUP(Calculator!E40,tbSkills!AI3:AJ5,2,FALSE),Backdoors!AL4)*(IF((Backdoors!AI12+IF(JH38&gt;=0.45,VLOOKUP(Calculator!E23,tbSkills!DH3:DI6,2,FALSE)+IF(AND(Calculator!B8=TRUE,Backdoors!BI41=TRUE),VLOOKUP(Calculator!E23,tbSkills!DH3:DJ6,3,FALSE),0),0))&gt;=100,100,(Backdoors!AI12+IF(JH38&gt;=0.45,VLOOKUP(Calculator!E23,tbSkills!DH3:DI6,2,FALSE)+IF(AND(Calculator!B8=TRUE,Backdoors!BI41=TRUE),VLOOKUP(Calculator!E23,tbSkills!DH3:DJ6,3,FALSE),0),0)))/100)),1),1)</f>
        <v>0.5</v>
      </c>
      <c r="JN38" s="87">
        <f t="shared" si="30"/>
        <v>0</v>
      </c>
      <c r="JO38" s="86" t="str">
        <f>IFERROR(IF(VLOOKUP(A38,tbMoveset!A2:B112,2,FALSE)="Sever",Backdoors!AY42/100,IF(VLOOKUP(A38,tbMoveset!A2:B112,2,FALSE)="Blunt",Backdoors!AZ42/100,Backdoors!BA42/100)),"")</f>
        <v/>
      </c>
      <c r="JP38" s="49">
        <f>IFERROR(IF(VLOOKUP(tbMoveset!A38,tbMoveset!A2:H112,8,FALSE)="Other",IF(VLOOKUP(tbMoveset!A38,tbMoveset!A2:I112,9,FALSE)="Fire",Backdoors!BB42,IF(VLOOKUP(tbMoveset!A38,tbMoveset!A2:I112,9,FALSE)="Water",Backdoors!BC42,IF(VLOOKUP(tbMoveset!A38,tbMoveset!A2:I112,9,FALSE)="Thunder",Backdoors!BD42,IF(VLOOKUP(tbMoveset!A38,tbMoveset!A2:I112,9,FALSE)="Ice",Backdoors!BE42,IF(VLOOKUP(tbMoveset!A38,tbMoveset!A2:I112,9,FALSE)="Dragon",Backdoors!BF42,Backdoors!BG42)))))/100,Backdoors!BG42/100),"")</f>
        <v>0</v>
      </c>
      <c r="JQ38" s="49">
        <f>IFERROR(IF(VLOOKUP(A38,tbMoveset!A2:J112,10,FALSE)=TRUE,IF((Backdoors!AI12+IF(JO38&gt;=0.45,VLOOKUP(Calculator!E23,tbSkills!DH3:DI6,2,FALSE)+IF(AND(Calculator!B8=TRUE,Backdoors!BI42=TRUE),VLOOKUP(Calculator!E23,tbSkills!DH3:DJ6,3,FALSE),0),0))&gt;=0,1+(Backdoors!AL2*(IF((Backdoors!AI12+IF(JO38&gt;=0.45,VLOOKUP(Calculator!E23,tbSkills!DH3:DI6,2,FALSE)+IF(AND(Calculator!B8=TRUE,Backdoors!BI42=TRUE),VLOOKUP(Calculator!E23,tbSkills!DH3:DJ6,3,FALSE),0),0))&gt;=100,100,(Backdoors!AI12+IF(JO38&gt;=0.45,VLOOKUP(Calculator!E23,tbSkills!DH3:DI6,2,FALSE)+IF(AND(Calculator!B8=TRUE,Backdoors!BI42=TRUE),VLOOKUP(Calculator!E23,tbSkills!DH3:DJ6,3,FALSE),0),0)))/100)),(1-(0.25*((-Backdoors!AI12-IF(JO38&gt;=0.45,VLOOKUP(Calculator!E23,tbSkills!DH3:DI6,2,FALSE)+IF(AND(Calculator!B8=TRUE,Backdoors!BI42=TRUE),VLOOKUP(Calculator!E23,tbSkills!DH3:DJ6,3,FALSE),0),0))/100)))),1),"")</f>
        <v>1</v>
      </c>
      <c r="JR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O38)*JQ38)*(VLOOKUP(A38,tbMoveset!A2:C112,3,FALSE)/100)*IF(VLOOKUP(A38,tbMoveset!A2:B112,2,FALSE)="Projectile",Backdoors!N10,Backdoors!N9),0),"")</f>
        <v/>
      </c>
      <c r="JS38" s="49">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45&gt;0,VLOOKUP(Calculator!E45,tbSkills!AC3:AD5,2,FALSE),Backdoors!AL3)*(IF((Backdoors!AI12+IF(JO38&gt;=0.45,VLOOKUP(Calculator!E23,tbSkills!DH3:DI6,2,FALSE)+IF(AND(Calculator!B8=TRUE,Backdoors!BI42=TRUE),VLOOKUP(Calculator!E23,tbSkills!DH3:DJ6,3,FALSE),0),0))&gt;=100,100,(Backdoors!AI12+IF(JO38&gt;=0.45,VLOOKUP(Calculator!E23,tbSkills!DH3:DI6,2,FALSE)+IF(AND(Calculator!B8=TRUE,Backdoors!BI42=TRUE),VLOOKUP(Calculator!E23,tbSkills!DH3:DJ6,3,FALSE),0),0)))/100)),1))*IF(VLOOKUP(A38,tbMoveset!A2:K112,11,FALSE)=TRUE,Backdoors!AC5,1))*JP38,0),"")</f>
        <v>0</v>
      </c>
      <c r="JT38" s="49">
        <f>VLOOKUP(A38,tbMoveset!A2:G112,7,FALSE)*IFERROR(IF(Backdoors!AI12&gt;=0,1+(IF(Calculator!E40&gt;0,VLOOKUP(Calculator!E40,tbSkills!AI3:AJ5,2,FALSE),Backdoors!AL4)*(IF((Backdoors!AI12+IF(JO38&gt;=0.45,VLOOKUP(Calculator!E23,tbSkills!DH3:DI6,2,FALSE)+IF(AND(Calculator!B8=TRUE,Backdoors!BI42=TRUE),VLOOKUP(Calculator!E23,tbSkills!DH3:DJ6,3,FALSE),0),0))&gt;=100,100,(Backdoors!AI12+IF(JO38&gt;=0.45,VLOOKUP(Calculator!E23,tbSkills!DH3:DI6,2,FALSE)+IF(AND(Calculator!B8=TRUE,Backdoors!BI42=TRUE),VLOOKUP(Calculator!E23,tbSkills!DH3:DJ6,3,FALSE),0),0)))/100)),1),1)</f>
        <v>0.5</v>
      </c>
      <c r="JU38" s="87">
        <f t="shared" si="31"/>
        <v>0</v>
      </c>
      <c r="JV38" s="86" t="str">
        <f>IFERROR(IF(VLOOKUP(A38,tbMoveset!A2:B112,2,FALSE)="Sever",Backdoors!AY43/100,IF(VLOOKUP(A38,tbMoveset!A2:B112,2,FALSE)="Blunt",Backdoors!AZ43/100,Backdoors!BA43/100)),"")</f>
        <v/>
      </c>
      <c r="JW38" s="49">
        <f>IFERROR(IF(VLOOKUP(tbMoveset!A38,tbMoveset!A2:H112,8,FALSE)="Other",IF(VLOOKUP(tbMoveset!A38,tbMoveset!A2:I112,9,FALSE)="Fire",Backdoors!BB43,IF(VLOOKUP(tbMoveset!A38,tbMoveset!A2:I112,9,FALSE)="Water",Backdoors!BC43,IF(VLOOKUP(tbMoveset!A38,tbMoveset!A2:I112,9,FALSE)="Thunder",Backdoors!BD43,IF(VLOOKUP(tbMoveset!A38,tbMoveset!A2:I112,9,FALSE)="Ice",Backdoors!BE43,IF(VLOOKUP(tbMoveset!A38,tbMoveset!A2:I112,9,FALSE)="Dragon",Backdoors!BF43,Backdoors!BG43)))))/100,Backdoors!BG43/100),"")</f>
        <v>0</v>
      </c>
      <c r="JX38" s="49">
        <f>IFERROR(IF(VLOOKUP(A38,tbMoveset!A2:J112,10,FALSE)=TRUE,IF((Backdoors!AI12+IF(JV38&gt;=0.45,VLOOKUP(Calculator!E23,tbSkills!DH3:DI6,2,FALSE)+IF(AND(Calculator!B8=TRUE,Backdoors!BI43=TRUE),VLOOKUP(Calculator!E23,tbSkills!DH3:DJ6,3,FALSE),0),0))&gt;=0,1+(Backdoors!AL2*(IF((Backdoors!AI12+IF(JV38&gt;=0.45,VLOOKUP(Calculator!E23,tbSkills!DH3:DI6,2,FALSE)+IF(AND(Calculator!B8=TRUE,Backdoors!BI43=TRUE),VLOOKUP(Calculator!E23,tbSkills!DH3:DJ6,3,FALSE),0),0))&gt;=100,100,(Backdoors!AI12+IF(JV38&gt;=0.45,VLOOKUP(Calculator!E23,tbSkills!DH3:DI6,2,FALSE)+IF(AND(Calculator!B8=TRUE,Backdoors!BI43=TRUE),VLOOKUP(Calculator!E23,tbSkills!DH3:DJ6,3,FALSE),0),0)))/100)),(1-(0.25*((-Backdoors!AI12-IF(JV38&gt;=0.45,VLOOKUP(Calculator!E23,tbSkills!DH3:DI6,2,FALSE)+IF(AND(Calculator!B8=TRUE,Backdoors!BI43=TRUE),VLOOKUP(Calculator!E23,tbSkills!DH3:DJ6,3,FALSE),0),0))/100)))),1),"")</f>
        <v>1</v>
      </c>
      <c r="JY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V38)*JX38)*(VLOOKUP(A38,tbMoveset!A2:C112,3,FALSE)/100)*IF(VLOOKUP(A38,tbMoveset!A2:B112,2,FALSE)="Projectile",Backdoors!N10,Backdoors!N9),0),"")</f>
        <v/>
      </c>
      <c r="JZ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46&gt;0,VLOOKUP(Calculator!E46,tbSkills!AC3:AD5,2,FALSE),Backdoors!AL3)*(IF((Backdoors!AI12+IF(JV38&gt;=0.45,VLOOKUP(Calculator!E23,tbSkills!DH3:DI6,2,FALSE)+IF(AND(Calculator!B8=TRUE,Backdoors!BI43=TRUE),VLOOKUP(Calculator!E23,tbSkills!DH3:DJ6,3,FALSE),0),0))&gt;=100,100,(Backdoors!AI12+IF(JV38&gt;=0.45,VLOOKUP(Calculator!E23,tbSkills!DH3:DI6,2,FALSE)+IF(AND(Calculator!B8=TRUE,Backdoors!BI43=TRUE),VLOOKUP(Calculator!E23,tbSkills!DH3:DJ6,3,FALSE),0),0)))/100)),1))*IF(VLOOKUP(A38,tbMoveset!A2:K112,11,FALSE)=TRUE,Backdoors!AC5,1))*JW38,0),"")</f>
        <v/>
      </c>
      <c r="KA38" s="49">
        <f>VLOOKUP(A38,tbMoveset!A2:G112,7,FALSE)*IFERROR(IF(Backdoors!AI12&gt;=0,1+(IF(Calculator!E40&gt;0,VLOOKUP(Calculator!E40,tbSkills!AI3:AJ5,2,FALSE),Backdoors!AL4)*(IF((Backdoors!AI12+IF(JV38&gt;=0.45,VLOOKUP(Calculator!E23,tbSkills!DH3:DI6,2,FALSE)+IF(AND(Calculator!B8=TRUE,Backdoors!BI43=TRUE),VLOOKUP(Calculator!E23,tbSkills!DH3:DJ6,3,FALSE),0),0))&gt;=100,100,(Backdoors!AI12+IF(JV38&gt;=0.45,VLOOKUP(Calculator!E23,tbSkills!DH3:DI6,2,FALSE)+IF(AND(Calculator!B8=TRUE,Backdoors!BI43=TRUE),VLOOKUP(Calculator!E23,tbSkills!DH3:DJ6,3,FALSE),0),0)))/100)),1),1)</f>
        <v>0.5</v>
      </c>
      <c r="KB38" s="87">
        <f t="shared" si="32"/>
        <v>0</v>
      </c>
      <c r="KC38" s="86" t="str">
        <f>IFERROR(IF(VLOOKUP(A38,tbMoveset!A2:B112,2,FALSE)="Sever",Backdoors!AY44/100,IF(VLOOKUP(A38,tbMoveset!A2:B112,2,FALSE)="Blunt",Backdoors!AZ44/100,Backdoors!BA44/100)),"")</f>
        <v/>
      </c>
      <c r="KD38" s="49">
        <f>IFERROR(IF(VLOOKUP(tbMoveset!A38,tbMoveset!A2:H112,8,FALSE)="Other",IF(VLOOKUP(tbMoveset!A38,tbMoveset!A2:I112,9,FALSE)="Fire",Backdoors!BB44,IF(VLOOKUP(tbMoveset!A38,tbMoveset!A2:I112,9,FALSE)="Water",Backdoors!BC44,IF(VLOOKUP(tbMoveset!A38,tbMoveset!A2:I112,9,FALSE)="Thunder",Backdoors!BD44,IF(VLOOKUP(tbMoveset!A38,tbMoveset!A2:I112,9,FALSE)="Ice",Backdoors!BE44,IF(VLOOKUP(tbMoveset!A38,tbMoveset!A2:I112,9,FALSE)="Dragon",Backdoors!BF44,Backdoors!BG44)))))/100,Backdoors!BG44/100),"")</f>
        <v>0</v>
      </c>
      <c r="KE38" s="49">
        <f>IFERROR(IF(VLOOKUP(A38,tbMoveset!A2:J112,10,FALSE)=TRUE,IF((Backdoors!AI12+IF(KC38&gt;=0.45,VLOOKUP(Calculator!E23,tbSkills!DH3:DI6,2,FALSE)+IF(AND(Calculator!B8=TRUE,Backdoors!BI44=TRUE),VLOOKUP(Calculator!E23,tbSkills!DH3:DJ6,3,FALSE),0),0))&gt;=0,1+(Backdoors!AL2*(IF((Backdoors!AI12+IF(KC38&gt;=0.45,VLOOKUP(Calculator!E23,tbSkills!DH3:DI6,2,FALSE)+IF(AND(Calculator!B8=TRUE,Backdoors!BI44=TRUE),VLOOKUP(Calculator!E23,tbSkills!DH3:DJ6,3,FALSE),0),0))&gt;=100,100,(Backdoors!AI12+IF(KC38&gt;=0.45,VLOOKUP(Calculator!E23,tbSkills!DH3:DI6,2,FALSE)+IF(AND(Calculator!B8=TRUE,Backdoors!BI44=TRUE),VLOOKUP(Calculator!E23,tbSkills!DH3:DJ6,3,FALSE),0),0)))/100)),(1-(0.25*((-Backdoors!AI12-IF(KC38&gt;=0.45,VLOOKUP(Calculator!E23,tbSkills!DH3:DI6,2,FALSE)+IF(AND(Calculator!B8=TRUE,Backdoors!BI44=TRUE),VLOOKUP(Calculator!E23,tbSkills!DH3:DJ6,3,FALSE),0),0))/100)))),1),"")</f>
        <v>1</v>
      </c>
      <c r="KF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KC38)*KE38)*(VLOOKUP(A38,tbMoveset!A2:C112,3,FALSE)/100)*IF(VLOOKUP(A38,tbMoveset!A2:B112,2,FALSE)="Projectile",Backdoors!N10,Backdoors!N9),0),"")</f>
        <v/>
      </c>
      <c r="KG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REF!&gt;0,VLOOKUP(Calculator!#REF!,tbSkills!AC3:AD5,2,FALSE),Backdoors!AL3)*(IF((Backdoors!AI12+IF(KC38&gt;=0.45,VLOOKUP(Calculator!E23,tbSkills!DH3:DI6,2,FALSE)+IF(AND(Calculator!B8=TRUE,Backdoors!BI44=TRUE),VLOOKUP(Calculator!E23,tbSkills!DH3:DJ6,3,FALSE),0),0))&gt;=100,100,(Backdoors!AI12+IF(KC38&gt;=0.45,VLOOKUP(Calculator!E23,tbSkills!DH3:DI6,2,FALSE)+IF(AND(Calculator!B8=TRUE,Backdoors!BI44=TRUE),VLOOKUP(Calculator!E23,tbSkills!DH3:DJ6,3,FALSE),0),0)))/100)),1))*IF(VLOOKUP(A38,tbMoveset!A2:K112,11,FALSE)=TRUE,Backdoors!AC5,1))*KD38,0),"")</f>
        <v/>
      </c>
      <c r="KH38" s="49">
        <f>VLOOKUP(A38,tbMoveset!A2:G112,7,FALSE)*IFERROR(IF(Backdoors!AI12&gt;=0,1+(IF(Calculator!E40&gt;0,VLOOKUP(Calculator!E40,tbSkills!AI3:AJ5,2,FALSE),Backdoors!AL4)*(IF((Backdoors!AI12+IF(KC38&gt;=0.45,VLOOKUP(Calculator!E23,tbSkills!DH3:DI6,2,FALSE)+IF(AND(Calculator!B8=TRUE,Backdoors!BI44=TRUE),VLOOKUP(Calculator!E23,tbSkills!DH3:DJ6,3,FALSE),0),0))&gt;=100,100,(Backdoors!AI12+IF(KC38&gt;=0.45,VLOOKUP(Calculator!E23,tbSkills!DH3:DI6,2,FALSE)+IF(AND(Calculator!B8=TRUE,Backdoors!BI44=TRUE),VLOOKUP(Calculator!E23,tbSkills!DH3:DJ6,3,FALSE),0),0)))/100)),1),1)</f>
        <v>0.5</v>
      </c>
      <c r="KI38" s="87">
        <f t="shared" si="33"/>
        <v>0</v>
      </c>
      <c r="KJ38" s="86" t="str">
        <f>IFERROR(IF(VLOOKUP(A38,tbMoveset!A2:B112,2,FALSE)="Sever",Backdoors!AY45/100,IF(VLOOKUP(A38,tbMoveset!A2:B112,2,FALSE)="Blunt",Backdoors!AZ45/100,Backdoors!BA45/100)),"")</f>
        <v/>
      </c>
      <c r="KK38" s="49">
        <f>IFERROR(IF(VLOOKUP(tbMoveset!A38,tbMoveset!A2:H112,8,FALSE)="Other",IF(VLOOKUP(tbMoveset!A38,tbMoveset!A2:I112,9,FALSE)="Fire",Backdoors!BB45,IF(VLOOKUP(tbMoveset!A38,tbMoveset!A2:I112,9,FALSE)="Water",Backdoors!BC45,IF(VLOOKUP(tbMoveset!A38,tbMoveset!A2:I112,9,FALSE)="Thunder",Backdoors!BD45,IF(VLOOKUP(tbMoveset!A38,tbMoveset!A2:I112,9,FALSE)="Ice",Backdoors!BE45,IF(VLOOKUP(tbMoveset!A38,tbMoveset!A2:I112,9,FALSE)="Dragon",Backdoors!BF45,Backdoors!BG45)))))/100,Backdoors!BG45/100),"")</f>
        <v>0</v>
      </c>
      <c r="KL38" s="49">
        <f>IFERROR(IF(VLOOKUP(A38,tbMoveset!A2:J112,10,FALSE)=TRUE,IF((Backdoors!AI12+IF(KJ38&gt;=0.45,VLOOKUP(Calculator!E23,tbSkills!DH3:DI6,2,FALSE)+IF(AND(Calculator!B8=TRUE,Backdoors!BI45=TRUE),VLOOKUP(Calculator!E23,tbSkills!DH3:DJ6,3,FALSE),0),0))&gt;=0,1+(Backdoors!AL2*(IF((Backdoors!AI12+IF(KJ38&gt;=0.45,VLOOKUP(Calculator!E23,tbSkills!DH3:DI6,2,FALSE)+IF(AND(Calculator!B8=TRUE,Backdoors!BI45=TRUE),VLOOKUP(Calculator!E23,tbSkills!DH3:DJ6,3,FALSE),0),0))&gt;=100,100,(Backdoors!AI12+IF(KJ38&gt;=0.45,VLOOKUP(Calculator!E23,tbSkills!DH3:DI6,2,FALSE)+IF(AND(Calculator!B8=TRUE,Backdoors!BI45=TRUE),VLOOKUP(Calculator!E23,tbSkills!DH3:DJ6,3,FALSE),0),0)))/100)),(1-(0.25*((-Backdoors!AI12-IF(KJ38&gt;=0.45,VLOOKUP(Calculator!E23,tbSkills!DH3:DI6,2,FALSE)+IF(AND(Calculator!B8=TRUE,Backdoors!BI45=TRUE),VLOOKUP(Calculator!E23,tbSkills!DH3:DJ6,3,FALSE),0),0))/100)))),1),"")</f>
        <v>1</v>
      </c>
      <c r="KM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KJ38)*KL38)*(VLOOKUP(A38,tbMoveset!A2:C112,3,FALSE)/100)*IF(VLOOKUP(A38,tbMoveset!A2:B112,2,FALSE)="Projectile",Backdoors!N10,Backdoors!N9),0),"")</f>
        <v/>
      </c>
      <c r="KN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REF!&gt;0,VLOOKUP(Calculator!#REF!,tbSkills!AC3:AD5,2,FALSE),Backdoors!AL3)*(IF((Backdoors!AI12+IF(KJ38&gt;=0.45,VLOOKUP(Calculator!E23,tbSkills!DH3:DI6,2,FALSE)+IF(AND(Calculator!B8=TRUE,Backdoors!BI45=TRUE),VLOOKUP(Calculator!E23,tbSkills!DH3:DJ6,3,FALSE),0),0))&gt;=100,100,(Backdoors!AI12+IF(KJ38&gt;=0.45,VLOOKUP(Calculator!E23,tbSkills!DH3:DI6,2,FALSE)+IF(AND(Calculator!B8=TRUE,Backdoors!BI45=TRUE),VLOOKUP(Calculator!E23,tbSkills!DH3:DJ6,3,FALSE),0),0)))/100)),1))*IF(VLOOKUP(A38,tbMoveset!A2:K112,11,FALSE)=TRUE,Backdoors!AC5,1))*KK38,0),"")</f>
        <v/>
      </c>
      <c r="KO38" s="49">
        <f>VLOOKUP(A38,tbMoveset!A2:G112,7,FALSE)*IFERROR(IF(Backdoors!AI12&gt;=0,1+(IF(Calculator!E40&gt;0,VLOOKUP(Calculator!E40,tbSkills!AI3:AJ5,2,FALSE),Backdoors!AL4)*(IF((Backdoors!AI12+IF(KJ38&gt;=0.45,VLOOKUP(Calculator!E23,tbSkills!DH3:DI6,2,FALSE)+IF(AND(Calculator!B8=TRUE,Backdoors!BI45=TRUE),VLOOKUP(Calculator!E23,tbSkills!DH3:DJ6,3,FALSE),0),0))&gt;=100,100,(Backdoors!AI12+IF(KJ38&gt;=0.45,VLOOKUP(Calculator!E23,tbSkills!DH3:DI6,2,FALSE)+IF(AND(Calculator!B8=TRUE,Backdoors!BI45=TRUE),VLOOKUP(Calculator!E23,tbSkills!DH3:DJ6,3,FALSE),0),0)))/100)),1),1)</f>
        <v>0.5</v>
      </c>
      <c r="KP38" s="87">
        <f t="shared" si="34"/>
        <v>0</v>
      </c>
      <c r="KQ38" s="86" t="str">
        <f>IFERROR(IF(VLOOKUP(A38,tbMoveset!A2:B112,2,FALSE)="Sever",Backdoors!AY46/100,IF(VLOOKUP(A38,tbMoveset!A2:B112,2,FALSE)="Blunt",Backdoors!AZ46/100,Backdoors!BA46/100)),"")</f>
        <v/>
      </c>
      <c r="KR38" s="49">
        <f>IFERROR(IF(VLOOKUP(tbMoveset!A38,tbMoveset!A2:H112,8,FALSE)="Other",IF(VLOOKUP(tbMoveset!A38,tbMoveset!A2:I112,9,FALSE)="Fire",Backdoors!BB46,IF(VLOOKUP(tbMoveset!A38,tbMoveset!A2:I112,9,FALSE)="Water",Backdoors!BC46,IF(VLOOKUP(tbMoveset!A38,tbMoveset!A2:I112,9,FALSE)="Thunder",Backdoors!BD46,IF(VLOOKUP(tbMoveset!A38,tbMoveset!A2:I112,9,FALSE)="Ice",Backdoors!BE46,IF(VLOOKUP(tbMoveset!A38,tbMoveset!A2:I112,9,FALSE)="Dragon",Backdoors!BF46,Backdoors!BG46)))))/100,Backdoors!BG46/100),"")</f>
        <v>0</v>
      </c>
      <c r="KS38" s="49">
        <f>IFERROR(IF(VLOOKUP(A38,tbMoveset!A2:J112,10,FALSE)=TRUE,IF((Backdoors!AI12+IF(KQ38&gt;=0.45,VLOOKUP(Calculator!E23,tbSkills!DH3:DI6,2,FALSE)+IF(AND(Calculator!B8=TRUE,Backdoors!BI46=TRUE),VLOOKUP(Calculator!E23,tbSkills!DH3:DJ6,3,FALSE),0),0))&gt;=0,1+(Backdoors!AL2*(IF((Backdoors!AI12+IF(KQ38&gt;=0.45,VLOOKUP(Calculator!E23,tbSkills!DH3:DI6,2,FALSE)+IF(AND(Calculator!B8=TRUE,Backdoors!BI46=TRUE),VLOOKUP(Calculator!E23,tbSkills!DH3:DJ6,3,FALSE),0),0))&gt;=100,100,(Backdoors!AI12+IF(KQ38&gt;=0.45,VLOOKUP(Calculator!E23,tbSkills!DH3:DI6,2,FALSE)+IF(AND(Calculator!B8=TRUE,Backdoors!BI46=TRUE),VLOOKUP(Calculator!E23,tbSkills!DH3:DJ6,3,FALSE),0),0)))/100)),(1-(0.25*((-Backdoors!AI12-IF(KQ38&gt;=0.45,VLOOKUP(Calculator!E23,tbSkills!DH3:DI6,2,FALSE)+IF(AND(Calculator!B8=TRUE,Backdoors!BI46=TRUE),VLOOKUP(Calculator!E23,tbSkills!DH3:DJ6,3,FALSE),0),0))/100)))),1),"")</f>
        <v>1</v>
      </c>
      <c r="KT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KQ38)*KS38)*(VLOOKUP(A38,tbMoveset!A2:C112,3,FALSE)/100)*IF(VLOOKUP(A38,tbMoveset!A2:B112,2,FALSE)="Projectile",Backdoors!N10,Backdoors!N9),0),"")</f>
        <v/>
      </c>
      <c r="KU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REF!&gt;0,VLOOKUP(Calculator!#REF!,tbSkills!AC3:AD5,2,FALSE),Backdoors!AL3)*(IF((Backdoors!AI12+IF(KQ38&gt;=0.45,VLOOKUP(Calculator!E23,tbSkills!DH3:DI6,2,FALSE)+IF(AND(Calculator!B8=TRUE,Backdoors!BI46=TRUE),VLOOKUP(Calculator!E23,tbSkills!DH3:DJ6,3,FALSE),0),0))&gt;=100,100,(Backdoors!AI12+IF(KQ38&gt;=0.45,VLOOKUP(Calculator!E23,tbSkills!DH3:DI6,2,FALSE)+IF(AND(Calculator!B8=TRUE,Backdoors!BI46=TRUE),VLOOKUP(Calculator!E23,tbSkills!DH3:DJ6,3,FALSE),0),0)))/100)),1))*IF(VLOOKUP(A38,tbMoveset!A2:K112,11,FALSE)=TRUE,Backdoors!AC5,1))*KR38,0),"")</f>
        <v/>
      </c>
      <c r="KV38" s="49">
        <f>VLOOKUP(A38,tbMoveset!A2:G112,7,FALSE)*IFERROR(IF(Backdoors!AI12&gt;=0,1+(IF(Calculator!E40&gt;0,VLOOKUP(Calculator!E40,tbSkills!AI3:AJ5,2,FALSE),Backdoors!AL4)*(IF((Backdoors!AI12+IF(KQ38&gt;=0.45,VLOOKUP(Calculator!E23,tbSkills!DH3:DI6,2,FALSE)+IF(AND(Calculator!B8=TRUE,Backdoors!BI46=TRUE),VLOOKUP(Calculator!E23,tbSkills!DH3:DJ6,3,FALSE),0),0))&gt;=100,100,(Backdoors!AI12+IF(KQ38&gt;=0.45,VLOOKUP(Calculator!E23,tbSkills!DH3:DI6,2,FALSE)+IF(AND(Calculator!B8=TRUE,Backdoors!BI46=TRUE),VLOOKUP(Calculator!E23,tbSkills!DH3:DJ6,3,FALSE),0),0)))/100)),1),1)</f>
        <v>0.5</v>
      </c>
      <c r="KW38" s="87">
        <f t="shared" si="35"/>
        <v>0</v>
      </c>
    </row>
    <row r="39" spans="1:309" x14ac:dyDescent="0.25">
      <c r="A39" s="95" t="str">
        <f>tbMoveset!A39</f>
        <v>Sixfold Demon Slash (L1)</v>
      </c>
      <c r="B39" s="86">
        <f>IFERROR(IF(VLOOKUP(A39,tbMoveset!A2:B112,2,FALSE)="Sever",Backdoors!AY3/100,IF(VLOOKUP(A39,tbMoveset!A2:B112,2,FALSE)="Blunt",Backdoors!AZ3/100,Backdoors!BA3/100)),"")</f>
        <v>0.8</v>
      </c>
      <c r="C39" s="49">
        <f>IFERROR(IF(VLOOKUP(tbMoveset!A39,tbMoveset!A2:H112,8,FALSE)="Other",IF(VLOOKUP(tbMoveset!A39,tbMoveset!A2:I112,9,FALSE)="Fire",Backdoors!BB3,IF(VLOOKUP(tbMoveset!A39,tbMoveset!A2:I112,9,FALSE)="Water",Backdoors!BC3,IF(VLOOKUP(tbMoveset!A39,tbMoveset!A2:I112,9,FALSE)="Thunder",Backdoors!BD3,IF(VLOOKUP(tbMoveset!A39,tbMoveset!A2:I112,9,FALSE)="Ice",Backdoors!BE3,IF(VLOOKUP(tbMoveset!A39,tbMoveset!A2:I112,9,FALSE)="Dragon",Backdoors!BF3,Backdoors!BG3)))))/100,Backdoors!BG3/100),"")</f>
        <v>0</v>
      </c>
      <c r="D39" s="49">
        <f>IFERROR(IF(VLOOKUP(A39,tbMoveset!A2:J112,10,FALSE)=TRUE,IF((Backdoors!AI12+IF(B39&gt;=0.45,VLOOKUP(Calculator!E23,tbSkills!DH3:DI6,2,FALSE)+IF(AND(Calculator!B8=TRUE,Backdoors!BI3=TRUE),VLOOKUP(Calculator!E23,tbSkills!DH3:DJ6,3,FALSE),0),0))&gt;=0,1+(Backdoors!AL2*(IF((Backdoors!AI12+IF(B39&gt;=0.45,VLOOKUP(Calculator!E23,tbSkills!DH3:DI6,2,FALSE)+IF(AND(Calculator!B8=TRUE,Backdoors!BI3=TRUE),VLOOKUP(Calculator!E23,tbSkills!DH3:DJ6,3,FALSE),0),0))&gt;=100,100,(Backdoors!AI12+IF(B39&gt;=0.45,VLOOKUP(Calculator!E23,tbSkills!DH3:DI6,2,FALSE)+IF(AND(Calculator!B8=TRUE,Backdoors!BI3=TRUE),VLOOKUP(Calculator!E23,tbSkills!DH3:DJ6,3,FALSE),0),0)))/100)),(1-(0.25*((-Backdoors!AI12-IF(B39&gt;=0.45,VLOOKUP(Calculator!E23,tbSkills!DH3:DI6,2,FALSE)+IF(AND(Calculator!B8=TRUE,Backdoors!BI3=TRUE),VLOOKUP(Calculator!E23,tbSkills!DH3:DJ6,3,FALSE),0),0))/100)))),1),"")</f>
        <v>1</v>
      </c>
      <c r="E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39)*D39)*(VLOOKUP(A39,tbMoveset!A2:C112,3,FALSE)/100)*IF(VLOOKUP(A39,tbMoveset!A2:B112,2,FALSE)="Projectile",Backdoors!N10,Backdoors!N9),0),"")</f>
        <v>7</v>
      </c>
      <c r="F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39&gt;=0.45,VLOOKUP(Calculator!E23,tbSkills!DH3:DI6,2,FALSE)+IF(AND(Calculator!B8=TRUE,Backdoors!BI3=TRUE),VLOOKUP(Calculator!E23,tbSkills!DH3:DJ6,3,FALSE),0),0))&gt;=100,100,(Backdoors!AI12+IF(B39&gt;=0.45,VLOOKUP(Calculator!E23,tbSkills!DH3:DI6,2,FALSE)+IF(AND(Calculator!B8=TRUE,Backdoors!BI3=TRUE),VLOOKUP(Calculator!E23,tbSkills!DH3:DJ6,3,FALSE),0),0)))/100)),1))*IF(VLOOKUP(A39,tbMoveset!A2:K112,11,FALSE)=TRUE,Backdoors!AC5,1))*C39,0),"")</f>
        <v>0</v>
      </c>
      <c r="G39">
        <f>VLOOKUP(A39,tbMoveset!A2:G112,7,FALSE)*IFERROR(IF(Backdoors!AI12&gt;=0,1+(IF(Calculator!E40&gt;0,VLOOKUP(Calculator!E40,tbSkills!AI3:AJ5,2,FALSE),Backdoors!AL4)*(IF((Backdoors!AI12+IF(B39&gt;=0.45,VLOOKUP(Calculator!E23,tbSkills!DH3:DI6,2,FALSE)+IF(AND(Calculator!B8=TRUE,Backdoors!BI3=TRUE),VLOOKUP(Calculator!E23,tbSkills!DH3:DJ6,3,FALSE),0),0))&gt;=100,100,(Backdoors!AI12+IF(B39&gt;=0.45,VLOOKUP(Calculator!E23,tbSkills!DH3:DI6,2,FALSE)+IF(AND(Calculator!B8=TRUE,Backdoors!BI3=TRUE),VLOOKUP(Calculator!E23,tbSkills!DH3:DJ6,3,FALSE),0),0)))/100)),1),1)</f>
        <v>0.5</v>
      </c>
      <c r="H39" s="87">
        <f t="shared" si="44"/>
        <v>7</v>
      </c>
      <c r="I39" s="86">
        <f>IFERROR(IF(VLOOKUP(A39,tbMoveset!A2:B112,2,FALSE)="Sever",Backdoors!AY4/100,IF(VLOOKUP(A39,tbMoveset!A2:B112,2,FALSE)="Blunt",Backdoors!AZ4/100,Backdoors!BA4/100)),"")</f>
        <v>0.65</v>
      </c>
      <c r="J39" s="49">
        <f>IFERROR(IF(VLOOKUP(tbMoveset!A39,tbMoveset!A2:H112,8,FALSE)="Other",IF(VLOOKUP(tbMoveset!A39,tbMoveset!A2:I112,9,FALSE)="Fire",Backdoors!BB4,IF(VLOOKUP(tbMoveset!A39,tbMoveset!A2:I112,9,FALSE)="Water",Backdoors!BC4,IF(VLOOKUP(tbMoveset!A39,tbMoveset!A2:I112,9,FALSE)="Thunder",Backdoors!BD4,IF(VLOOKUP(tbMoveset!A39,tbMoveset!A2:I112,9,FALSE)="Ice",Backdoors!BE4,IF(VLOOKUP(tbMoveset!A39,tbMoveset!A2:I112,9,FALSE)="Dragon",Backdoors!BF4,Backdoors!BG4)))))/100,Backdoors!BG4/100),"")</f>
        <v>0</v>
      </c>
      <c r="K39" s="49">
        <f>IFERROR(IF(VLOOKUP(A39,tbMoveset!A2:J112,10,FALSE)=TRUE,IF((Backdoors!AI12+IF(I39&gt;=0.45,VLOOKUP(Calculator!E23,tbSkills!DH3:DI6,2,FALSE)+IF(AND(Calculator!B8=TRUE,Backdoors!BI4=TRUE),VLOOKUP(Calculator!E23,tbSkills!DH3:DJ6,3,FALSE),0),0))&gt;=0,1+(Backdoors!AL2*(IF((Backdoors!AI12+IF(I39&gt;=0.45,VLOOKUP(Calculator!E23,tbSkills!DH3:DI6,2,FALSE)+IF(AND(Calculator!B8=TRUE,Backdoors!BI4=TRUE),VLOOKUP(Calculator!E23,tbSkills!DH3:DJ6,3,FALSE),0),0))&gt;=100,100,(Backdoors!AI12+IF(I39&gt;=0.45,VLOOKUP(Calculator!E23,tbSkills!DH3:DI6,2,FALSE)+IF(AND(Calculator!B8=TRUE,Backdoors!BI4=TRUE),VLOOKUP(Calculator!E23,tbSkills!DH3:DJ6,3,FALSE),0),0)))/100)),(1-(0.25*((-Backdoors!AI12-IF(I39&gt;=0.45,VLOOKUP(Calculator!E23,tbSkills!DH3:DI6,2,FALSE)+IF(AND(Calculator!B8=TRUE,Backdoors!BI4=TRUE),VLOOKUP(Calculator!E23,tbSkills!DH3:DJ6,3,FALSE),0),0))/100)))),1),"")</f>
        <v>1</v>
      </c>
      <c r="L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39)*K39)*(VLOOKUP(A39,tbMoveset!A2:C112,3,FALSE)/100)*IF(VLOOKUP(A39,tbMoveset!A2:B112,2,FALSE)="Projectile",Backdoors!N10,Backdoors!N9),0),"")</f>
        <v>5</v>
      </c>
      <c r="M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I39&gt;=0.45,VLOOKUP(Calculator!E23,tbSkills!DH3:DI6,2,FALSE)+IF(AND(Calculator!B8=TRUE,Backdoors!BI4=TRUE),VLOOKUP(Calculator!E23,tbSkills!DH3:DJ6,3,FALSE),0),0))&gt;=100,100,(Backdoors!AI12+IF(I39&gt;=0.45,VLOOKUP(Calculator!E23,tbSkills!DH3:DI6,2,FALSE)+IF(AND(Calculator!B8=TRUE,Backdoors!BI4=TRUE),VLOOKUP(Calculator!E23,tbSkills!DH3:DJ6,3,FALSE),0),0)))/100)),1))*IF(VLOOKUP(A39,tbMoveset!A2:K112,11,FALSE)=TRUE,Backdoors!AC5,1))*J39,0),"")</f>
        <v>0</v>
      </c>
      <c r="N39" s="49">
        <f>VLOOKUP(A39,tbMoveset!A2:G112,7,FALSE)*IFERROR(IF(Backdoors!AI12&gt;=0,1+(IF(Calculator!E40&gt;0,VLOOKUP(Calculator!E40,tbSkills!AI3:AJ5,2,FALSE),Backdoors!AL4)*(IF((Backdoors!AI12+IF(I39&gt;=0.45,VLOOKUP(Calculator!E23,tbSkills!DH3:DI6,2,FALSE)+IF(AND(Calculator!B8=TRUE,Backdoors!BI4=TRUE),VLOOKUP(Calculator!E23,tbSkills!DH3:DJ6,3,FALSE),0),0))&gt;=100,100,(Backdoors!AI12+IF(I39&gt;=0.45,VLOOKUP(Calculator!E23,tbSkills!DH3:DI6,2,FALSE)+IF(AND(Calculator!B8=TRUE,Backdoors!BI4=TRUE),VLOOKUP(Calculator!E23,tbSkills!DH3:DJ6,3,FALSE),0),0)))/100)),1),1)</f>
        <v>0.5</v>
      </c>
      <c r="O39" s="87">
        <f t="shared" si="45"/>
        <v>5</v>
      </c>
      <c r="P39" s="86">
        <f>IFERROR(IF(VLOOKUP(A39,tbMoveset!A2:B112,2,FALSE)="Sever",Backdoors!AY5/100,IF(VLOOKUP(A39,tbMoveset!A2:B112,2,FALSE)="Blunt",Backdoors!AZ5/100,Backdoors!BA5/100)),"")</f>
        <v>0.5</v>
      </c>
      <c r="Q39" s="49">
        <f>IFERROR(IF(VLOOKUP(tbMoveset!A39,tbMoveset!A2:H112,8,FALSE)="Other",IF(VLOOKUP(tbMoveset!A39,tbMoveset!A2:I112,9,FALSE)="Fire",Backdoors!BB5,IF(VLOOKUP(tbMoveset!A39,tbMoveset!A2:I112,9,FALSE)="Water",Backdoors!BC5,IF(VLOOKUP(tbMoveset!A39,tbMoveset!A2:I112,9,FALSE)="Thunder",Backdoors!BD5,IF(VLOOKUP(tbMoveset!A39,tbMoveset!A2:I112,9,FALSE)="Ice",Backdoors!BE5,IF(VLOOKUP(tbMoveset!A39,tbMoveset!A2:I112,9,FALSE)="Dragon",Backdoors!BF5,Backdoors!BG5)))))/100,Backdoors!BG5/100),"")</f>
        <v>0</v>
      </c>
      <c r="R39" s="49">
        <f>IFERROR(IF(VLOOKUP(A39,tbMoveset!A2:J112,10,FALSE)=TRUE,IF((Backdoors!AI12+IF(P39&gt;=0.45,VLOOKUP(Calculator!E23,tbSkills!DH3:DI6,2,FALSE)+IF(AND(Calculator!B8=TRUE,Backdoors!BI5=TRUE),VLOOKUP(Calculator!E23,tbSkills!DH3:DJ6,3,FALSE),0),0))&gt;=0,1+(Backdoors!AL2*(IF((Backdoors!AI12+IF(P39&gt;=0.45,VLOOKUP(Calculator!E23,tbSkills!DH3:DI6,2,FALSE)+IF(AND(Calculator!B8=TRUE,Backdoors!BI5=TRUE),VLOOKUP(Calculator!E23,tbSkills!DH3:DJ6,3,FALSE),0),0))&gt;=100,100,(Backdoors!AI12+IF(P39&gt;=0.45,VLOOKUP(Calculator!E23,tbSkills!DH3:DI6,2,FALSE)+IF(AND(Calculator!B8=TRUE,Backdoors!BI5=TRUE),VLOOKUP(Calculator!E23,tbSkills!DH3:DJ6,3,FALSE),0),0)))/100)),(1-(0.25*((-Backdoors!AI12-IF(P39&gt;=0.45,VLOOKUP(Calculator!E23,tbSkills!DH3:DI6,2,FALSE)+IF(AND(Calculator!B8=TRUE,Backdoors!BI5=TRUE),VLOOKUP(Calculator!E23,tbSkills!DH3:DJ6,3,FALSE),0),0))/100)))),1),"")</f>
        <v>1</v>
      </c>
      <c r="S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P39)*R39)*(VLOOKUP(A39,tbMoveset!A2:C112,3,FALSE)/100)*IF(VLOOKUP(A39,tbMoveset!A2:B112,2,FALSE)="Projectile",Backdoors!N10,Backdoors!N9),0),"")</f>
        <v>4</v>
      </c>
      <c r="T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P39&gt;=0.45,VLOOKUP(Calculator!E23,tbSkills!DH3:DI6,2,FALSE)+IF(AND(Calculator!B8=TRUE,Backdoors!BI5=TRUE),VLOOKUP(Calculator!E23,tbSkills!DH3:DJ6,3,FALSE),0),0))&gt;=100,100,(Backdoors!AI12+IF(P39&gt;=0.45,VLOOKUP(Calculator!E23,tbSkills!DH3:DI6,2,FALSE)+IF(AND(Calculator!B8=TRUE,Backdoors!BI5=TRUE),VLOOKUP(Calculator!E23,tbSkills!DH3:DJ6,3,FALSE),0),0)))/100)),1))*IF(VLOOKUP(A39,tbMoveset!A2:K112,11,FALSE)=TRUE,Backdoors!AC5,1))*Q39,0),"")</f>
        <v>0</v>
      </c>
      <c r="U39" s="49">
        <f>VLOOKUP(A39,tbMoveset!A2:G112,7,FALSE)*IFERROR(IF(Backdoors!AI12&gt;=0,1+(IF(Calculator!E40&gt;0,VLOOKUP(Calculator!E40,tbSkills!AI3:AJ5,2,FALSE),Backdoors!AL4)*(IF((Backdoors!AI12+IF(P39&gt;=0.45,VLOOKUP(Calculator!E23,tbSkills!DH3:DI6,2,FALSE)+IF(AND(Calculator!B8=TRUE,Backdoors!BI5=TRUE),VLOOKUP(Calculator!E23,tbSkills!DH3:DJ6,3,FALSE),0),0))&gt;=100,100,(Backdoors!AI12+IF(P39&gt;=0.45,VLOOKUP(Calculator!E23,tbSkills!DH3:DI6,2,FALSE)+IF(AND(Calculator!B8=TRUE,Backdoors!BI5=TRUE),VLOOKUP(Calculator!E23,tbSkills!DH3:DJ6,3,FALSE),0),0)))/100)),1),1)</f>
        <v>0.5</v>
      </c>
      <c r="V39" s="87">
        <f t="shared" si="46"/>
        <v>4</v>
      </c>
      <c r="W39" s="86">
        <f>IFERROR(IF(VLOOKUP(A39,tbMoveset!A2:B112,2,FALSE)="Sever",Backdoors!AY6/100,IF(VLOOKUP(A39,tbMoveset!A2:B112,2,FALSE)="Blunt",Backdoors!AZ6/100,Backdoors!BA6/100)),"")</f>
        <v>0.45</v>
      </c>
      <c r="X39" s="49">
        <f>IFERROR(IF(VLOOKUP(tbMoveset!A39,tbMoveset!A2:H112,8,FALSE)="Other",IF(VLOOKUP(tbMoveset!A39,tbMoveset!A2:I112,9,FALSE)="Fire",Backdoors!BB6,IF(VLOOKUP(tbMoveset!A39,tbMoveset!A2:I112,9,FALSE)="Water",Backdoors!BC6,IF(VLOOKUP(tbMoveset!A39,tbMoveset!A2:I112,9,FALSE)="Thunder",Backdoors!BD6,IF(VLOOKUP(tbMoveset!A39,tbMoveset!A2:I112,9,FALSE)="Ice",Backdoors!BE6,IF(VLOOKUP(tbMoveset!A39,tbMoveset!A2:I112,9,FALSE)="Dragon",Backdoors!BF6,Backdoors!BG6)))))/100,Backdoors!BG6/100),"")</f>
        <v>0</v>
      </c>
      <c r="Y39" s="49">
        <f>IFERROR(IF(VLOOKUP(A39,tbMoveset!A2:J112,10,FALSE)=TRUE,IF((Backdoors!AI12+IF(W39&gt;=0.45,VLOOKUP(Calculator!E23,tbSkills!DH3:DI6,2,FALSE)+IF(AND(Calculator!B8=TRUE,Backdoors!BI6=TRUE),VLOOKUP(Calculator!E23,tbSkills!DH3:DJ6,3,FALSE),0),0))&gt;=0,1+(Backdoors!AL2*(IF((Backdoors!AI12+IF(W39&gt;=0.45,VLOOKUP(Calculator!E23,tbSkills!DH3:DI6,2,FALSE)+IF(AND(Calculator!B8=TRUE,Backdoors!BI6=TRUE),VLOOKUP(Calculator!E23,tbSkills!DH3:DJ6,3,FALSE),0),0))&gt;=100,100,(Backdoors!AI12+IF(W39&gt;=0.45,VLOOKUP(Calculator!E23,tbSkills!DH3:DI6,2,FALSE)+IF(AND(Calculator!B8=TRUE,Backdoors!BI6=TRUE),VLOOKUP(Calculator!E23,tbSkills!DH3:DJ6,3,FALSE),0),0)))/100)),(1-(0.25*((-Backdoors!AI12-IF(W39&gt;=0.45,VLOOKUP(Calculator!E23,tbSkills!DH3:DI6,2,FALSE)+IF(AND(Calculator!B8=TRUE,Backdoors!BI6=TRUE),VLOOKUP(Calculator!E23,tbSkills!DH3:DJ6,3,FALSE),0),0))/100)))),1),"")</f>
        <v>1</v>
      </c>
      <c r="Z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W39)*Y39)*(VLOOKUP(A39,tbMoveset!A2:C112,3,FALSE)/100)*IF(VLOOKUP(A39,tbMoveset!A2:B112,2,FALSE)="Projectile",Backdoors!N10,Backdoors!N9),0),"")</f>
        <v>4</v>
      </c>
      <c r="AA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W39&gt;=0.45,VLOOKUP(Calculator!E23,tbSkills!DH3:DI6,2,FALSE)+IF(AND(Calculator!B8=TRUE,Backdoors!BI6=TRUE),VLOOKUP(Calculator!E23,tbSkills!DH3:DJ6,3,FALSE),0),0))&gt;=100,100,(Backdoors!AI12+IF(W39&gt;=0.45,VLOOKUP(Calculator!E23,tbSkills!DH3:DI6,2,FALSE)+IF(AND(Calculator!B8=TRUE,Backdoors!BI6=TRUE),VLOOKUP(Calculator!E23,tbSkills!DH3:DJ6,3,FALSE),0),0)))/100)),1))*IF(VLOOKUP(A39,tbMoveset!A2:K112,11,FALSE)=TRUE,Backdoors!AC5,1))*X39,0),"")</f>
        <v>0</v>
      </c>
      <c r="AB39" s="49">
        <f>VLOOKUP(A39,tbMoveset!A2:G112,7,FALSE)*IFERROR(IF(Backdoors!AI12&gt;=0,1+(IF(Calculator!E40&gt;0,VLOOKUP(Calculator!E40,tbSkills!AI3:AJ5,2,FALSE),Backdoors!AL4)*(IF((Backdoors!AI12+IF(W39&gt;=0.45,VLOOKUP(Calculator!E23,tbSkills!DH3:DI6,2,FALSE)+IF(AND(Calculator!B8=TRUE,Backdoors!BI6=TRUE),VLOOKUP(Calculator!E23,tbSkills!DH3:DJ6,3,FALSE),0),0))&gt;=100,100,(Backdoors!AI12+IF(W39&gt;=0.45,VLOOKUP(Calculator!E23,tbSkills!DH3:DI6,2,FALSE)+IF(AND(Calculator!B8=TRUE,Backdoors!BI6=TRUE),VLOOKUP(Calculator!E23,tbSkills!DH3:DJ6,3,FALSE),0),0)))/100)),1),1)</f>
        <v>0.5</v>
      </c>
      <c r="AC39" s="87">
        <f t="shared" si="47"/>
        <v>4</v>
      </c>
      <c r="AD39" s="86">
        <f>IFERROR(IF(VLOOKUP(A39,tbMoveset!A2:B112,2,FALSE)="Sever",Backdoors!AY7/100,IF(VLOOKUP(A39,tbMoveset!A2:B112,2,FALSE)="Blunt",Backdoors!AZ7/100,Backdoors!BA7/100)),"")</f>
        <v>0.65</v>
      </c>
      <c r="AE39" s="49">
        <f>IFERROR(IF(VLOOKUP(tbMoveset!A39,tbMoveset!A2:H112,8,FALSE)="Other",IF(VLOOKUP(tbMoveset!A39,tbMoveset!A2:I112,9,FALSE)="Fire",Backdoors!BB7,IF(VLOOKUP(tbMoveset!A39,tbMoveset!A2:I112,9,FALSE)="Water",Backdoors!BC7,IF(VLOOKUP(tbMoveset!A39,tbMoveset!A2:I112,9,FALSE)="Thunder",Backdoors!BD7,IF(VLOOKUP(tbMoveset!A39,tbMoveset!A2:I112,9,FALSE)="Ice",Backdoors!BE7,IF(VLOOKUP(tbMoveset!A39,tbMoveset!A2:I112,9,FALSE)="Dragon",Backdoors!BF7,Backdoors!BG7)))))/100,Backdoors!BG7/100),"")</f>
        <v>0</v>
      </c>
      <c r="AF39" s="49">
        <f>IFERROR(IF(VLOOKUP(A39,tbMoveset!A2:J112,10,FALSE)=TRUE,IF((Backdoors!AI12+IF(AD39&gt;=0.45,VLOOKUP(Calculator!E23,tbSkills!DH3:DI6,2,FALSE)+IF(AND(Calculator!B8=TRUE,Backdoors!BI7=TRUE),VLOOKUP(Calculator!E23,tbSkills!DH3:DJ6,3,FALSE),0),0))&gt;=0,1+(Backdoors!AL2*(IF((Backdoors!AI12+IF(AD39&gt;=0.45,VLOOKUP(Calculator!E23,tbSkills!DH3:DI6,2,FALSE)+IF(AND(Calculator!B8=TRUE,Backdoors!BI7=TRUE),VLOOKUP(Calculator!E23,tbSkills!DH3:DJ6,3,FALSE),0),0))&gt;=100,100,(Backdoors!AI12+IF(AD39&gt;=0.45,VLOOKUP(Calculator!E23,tbSkills!DH3:DI6,2,FALSE)+IF(AND(Calculator!B8=TRUE,Backdoors!BI7=TRUE),VLOOKUP(Calculator!E23,tbSkills!DH3:DJ6,3,FALSE),0),0)))/100)),(1-(0.25*((-Backdoors!AI12-IF(AD39&gt;=0.45,VLOOKUP(Calculator!E23,tbSkills!DH3:DI6,2,FALSE)+IF(AND(Calculator!B8=TRUE,Backdoors!BI7=TRUE),VLOOKUP(Calculator!E23,tbSkills!DH3:DJ6,3,FALSE),0),0))/100)))),1),"")</f>
        <v>1</v>
      </c>
      <c r="AG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D39)*AF39)*(VLOOKUP(A39,tbMoveset!A2:C112,3,FALSE)/100)*IF(VLOOKUP(A39,tbMoveset!A2:B112,2,FALSE)="Projectile",Backdoors!N10,Backdoors!N9),0),"")</f>
        <v>5</v>
      </c>
      <c r="AH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D39&gt;=0.45,VLOOKUP(Calculator!E23,tbSkills!DH3:DI6,2,FALSE)+IF(AND(Calculator!B8=TRUE,Backdoors!BI7=TRUE),VLOOKUP(Calculator!E23,tbSkills!DH3:DJ6,3,FALSE),0),0))&gt;=100,100,(Backdoors!AI12+IF(AD39&gt;=0.45,VLOOKUP(Calculator!E23,tbSkills!DH3:DI6,2,FALSE)+IF(AND(Calculator!B8=TRUE,Backdoors!BI7=TRUE),VLOOKUP(Calculator!E23,tbSkills!DH3:DJ6,3,FALSE),0),0)))/100)),1))*IF(VLOOKUP(A39,tbMoveset!A2:K112,11,FALSE)=TRUE,Backdoors!AC5,1))*AE39,0),"")</f>
        <v>0</v>
      </c>
      <c r="AI39" s="49">
        <f>VLOOKUP(A39,tbMoveset!A2:G112,7,FALSE)*IFERROR(IF(Backdoors!AI12&gt;=0,1+(IF(Calculator!E40&gt;0,VLOOKUP(Calculator!E40,tbSkills!AI3:AJ5,2,FALSE),Backdoors!AL4)*(IF((Backdoors!AI12+IF(AD39&gt;=0.45,VLOOKUP(Calculator!E23,tbSkills!DH3:DI6,2,FALSE)+IF(AND(Calculator!B8=TRUE,Backdoors!BI7=TRUE),VLOOKUP(Calculator!E23,tbSkills!DH3:DJ6,3,FALSE),0),0))&gt;=100,100,(Backdoors!AI12+IF(AD39&gt;=0.45,VLOOKUP(Calculator!E23,tbSkills!DH3:DI6,2,FALSE)+IF(AND(Calculator!B8=TRUE,Backdoors!BI7=TRUE),VLOOKUP(Calculator!E23,tbSkills!DH3:DJ6,3,FALSE),0),0)))/100)),1),1)</f>
        <v>0.5</v>
      </c>
      <c r="AJ39" s="87">
        <f t="shared" si="48"/>
        <v>5</v>
      </c>
      <c r="AK39" s="91">
        <f>IFERROR(IF(VLOOKUP(A39,tbMoveset!A2:B112,2,FALSE)="Sever",Backdoors!AY8/100,IF(VLOOKUP(A39,tbMoveset!A2:B112,2,FALSE)="Blunt",Backdoors!AZ8/100,Backdoors!BA8/100)),"")</f>
        <v>0.45</v>
      </c>
      <c r="AL39" s="49">
        <f>IFERROR(IF(VLOOKUP(tbMoveset!A39,tbMoveset!A2:H112,8,FALSE)="Other",IF(VLOOKUP(tbMoveset!A39,tbMoveset!A2:I112,9,FALSE)="Fire",Backdoors!BB8,IF(VLOOKUP(tbMoveset!A39,tbMoveset!A2:I112,9,FALSE)="Water",Backdoors!BC8,IF(VLOOKUP(tbMoveset!A39,tbMoveset!A2:I112,9,FALSE)="Thunder",Backdoors!BD8,IF(VLOOKUP(tbMoveset!A39,tbMoveset!A2:I112,9,FALSE)="Ice",Backdoors!BE8,IF(VLOOKUP(tbMoveset!A39,tbMoveset!A2:I112,9,FALSE)="Dragon",Backdoors!BF8,Backdoors!BG8)))))/100,Backdoors!BG8/100),"")</f>
        <v>0</v>
      </c>
      <c r="AM39" s="49">
        <f>IFERROR(IF(VLOOKUP(A39,tbMoveset!A2:J112,10,FALSE)=TRUE,IF((Backdoors!AI12+IF(AK39&gt;=0.45,VLOOKUP(Calculator!E23,tbSkills!DH3:DI6,2,FALSE)+IF(AND(Calculator!B8=TRUE,Backdoors!BI8=TRUE),VLOOKUP(Calculator!E23,tbSkills!DH3:DJ6,3,FALSE),0),0))&gt;=0,1+(Backdoors!AL2*(IF((Backdoors!AI12+IF(AK39&gt;=0.45,VLOOKUP(Calculator!E23,tbSkills!DH3:DI6,2,FALSE)+IF(AND(Calculator!B8=TRUE,Backdoors!BI8=TRUE),VLOOKUP(Calculator!E23,tbSkills!DH3:DJ6,3,FALSE),0),0))&gt;=100,100,(Backdoors!AI12+IF(AK39&gt;=0.45,VLOOKUP(Calculator!E23,tbSkills!DH3:DI6,2,FALSE)+IF(AND(Calculator!B8=TRUE,Backdoors!BI8=TRUE),VLOOKUP(Calculator!E23,tbSkills!DH3:DJ6,3,FALSE),0),0)))/100)),(1-(0.25*((-Backdoors!AI12-IF(AK39&gt;=0.45,VLOOKUP(Calculator!E23,tbSkills!DH3:DI6,2,FALSE)+IF(AND(Calculator!B8=TRUE,Backdoors!BI8=TRUE),VLOOKUP(Calculator!E23,tbSkills!DH3:DJ6,3,FALSE),0),0))/100)))),1),"")</f>
        <v>1</v>
      </c>
      <c r="AN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K39)*AM39)*(VLOOKUP(A39,tbMoveset!A2:C112,3,FALSE)/100)*IF(VLOOKUP(A39,tbMoveset!A2:B112,2,FALSE)="Projectile",Backdoors!N10,Backdoors!N9),0),"")</f>
        <v>4</v>
      </c>
      <c r="AO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K39&gt;=0.45,VLOOKUP(Calculator!E23,tbSkills!DH3:DI6,2,FALSE)+IF(AND(Calculator!B8=TRUE,Backdoors!BI8=TRUE),VLOOKUP(Calculator!E23,tbSkills!DH3:DJ6,3,FALSE),0),0))&gt;=100,100,(Backdoors!AI12+IF(AK39&gt;=0.45,VLOOKUP(Calculator!E23,tbSkills!DH3:DI6,2,FALSE)+IF(AND(Calculator!B8=TRUE,Backdoors!BI8=TRUE),VLOOKUP(Calculator!E23,tbSkills!DH3:DJ6,3,FALSE),0),0)))/100)),1))*IF(VLOOKUP(A39,tbMoveset!A2:K112,11,FALSE)=TRUE,Backdoors!AC5,1))*AL39,0),"")</f>
        <v>0</v>
      </c>
      <c r="AP39" s="49">
        <f>VLOOKUP(A39,tbMoveset!A2:G112,7,FALSE)*IFERROR(IF(Backdoors!AI12&gt;=0,1+(IF(Calculator!E40&gt;0,VLOOKUP(Calculator!E40,tbSkills!AI3:AJ5,2,FALSE),Backdoors!AL4)*(IF((Backdoors!AI12+IF(AK39&gt;=0.45,VLOOKUP(Calculator!E23,tbSkills!DH3:DI6,2,FALSE)+IF(AND(Calculator!B8=TRUE,Backdoors!BI8=TRUE),VLOOKUP(Calculator!E23,tbSkills!DH3:DJ6,3,FALSE),0),0))&gt;=100,100,(Backdoors!AI12+IF(AK39&gt;=0.45,VLOOKUP(Calculator!E23,tbSkills!DH3:DI6,2,FALSE)+IF(AND(Calculator!B8=TRUE,Backdoors!BI8=TRUE),VLOOKUP(Calculator!E23,tbSkills!DH3:DJ6,3,FALSE),0),0)))/100)),1),1)</f>
        <v>0.5</v>
      </c>
      <c r="AQ39" s="87">
        <f t="shared" si="49"/>
        <v>4</v>
      </c>
      <c r="AR39" s="86">
        <f>IFERROR(IF(VLOOKUP(A39,tbMoveset!A2:B112,2,FALSE)="Sever",Backdoors!AY9/100,IF(VLOOKUP(A39,tbMoveset!A2:B112,2,FALSE)="Blunt",Backdoors!AZ9/100,Backdoors!BA9/100)),"")</f>
        <v>0.45</v>
      </c>
      <c r="AS39" s="49">
        <f>IFERROR(IF(VLOOKUP(tbMoveset!A39,tbMoveset!A2:H112,8,FALSE)="Other",IF(VLOOKUP(tbMoveset!A39,tbMoveset!A2:I112,9,FALSE)="Fire",Backdoors!BB9,IF(VLOOKUP(tbMoveset!A39,tbMoveset!A2:I112,9,FALSE)="Water",Backdoors!BC9,IF(VLOOKUP(tbMoveset!A39,tbMoveset!A2:I112,9,FALSE)="Thunder",Backdoors!BD9,IF(VLOOKUP(tbMoveset!A39,tbMoveset!A2:I112,9,FALSE)="Ice",Backdoors!BE9,IF(VLOOKUP(tbMoveset!A39,tbMoveset!A2:I112,9,FALSE)="Dragon",Backdoors!BF9,Backdoors!BG9)))))/100,Backdoors!BG9/100),"")</f>
        <v>0</v>
      </c>
      <c r="AT39" s="49">
        <f>IFERROR(IF(VLOOKUP(A39,tbMoveset!A2:J112,10,FALSE)=TRUE,IF((Backdoors!AI12+IF(AR39&gt;=0.45,VLOOKUP(Calculator!E23,tbSkills!DH3:DI6,2,FALSE)+IF(AND(Calculator!B8=TRUE,Backdoors!BI9=TRUE),VLOOKUP(Calculator!E23,tbSkills!DH3:DJ6,3,FALSE),0),0))&gt;=0,1+(Backdoors!AL2*(IF((Backdoors!AI12+IF(AR39&gt;=0.45,VLOOKUP(Calculator!E23,tbSkills!DH3:DI6,2,FALSE)+IF(AND(Calculator!B8=TRUE,Backdoors!BI9=TRUE),VLOOKUP(Calculator!E23,tbSkills!DH3:DJ6,3,FALSE),0),0))&gt;=100,100,(Backdoors!AI12+IF(AR39&gt;=0.45,VLOOKUP(Calculator!E23,tbSkills!DH3:DI6,2,FALSE)+IF(AND(Calculator!B8=TRUE,Backdoors!BI9=TRUE),VLOOKUP(Calculator!E23,tbSkills!DH3:DJ6,3,FALSE),0),0)))/100)),(1-(0.25*((-Backdoors!AI12-IF(AR39&gt;=0.45,VLOOKUP(Calculator!E23,tbSkills!DH3:DI6,2,FALSE)+IF(AND(Calculator!B8=TRUE,Backdoors!BI9=TRUE),VLOOKUP(Calculator!E23,tbSkills!DH3:DJ6,3,FALSE),0),0))/100)))),1),"")</f>
        <v>1</v>
      </c>
      <c r="AU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R39)*AT39)*(VLOOKUP(A39,tbMoveset!A2:C112,3,FALSE)/100)*IF(VLOOKUP(A39,tbMoveset!A2:B112,2,FALSE)="Projectile",Backdoors!N10,Backdoors!N9),0),"")</f>
        <v>4</v>
      </c>
      <c r="AV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R39&gt;=0.45,VLOOKUP(Calculator!E23,tbSkills!DH3:DI6,2,FALSE)+IF(AND(Calculator!B8=TRUE,Backdoors!BI9=TRUE),VLOOKUP(Calculator!E23,tbSkills!DH3:DJ6,3,FALSE),0),0))&gt;=100,100,(Backdoors!AI12+IF(AR39&gt;=0.45,VLOOKUP(Calculator!E23,tbSkills!DH3:DI6,2,FALSE)+IF(AND(Calculator!B8=TRUE,Backdoors!BI9=TRUE),VLOOKUP(Calculator!E23,tbSkills!DH3:DJ6,3,FALSE),0),0)))/100)),1))*IF(VLOOKUP(A39,tbMoveset!A2:K112,11,FALSE)=TRUE,Backdoors!AC5,1))*AS39,0),"")</f>
        <v>0</v>
      </c>
      <c r="AW39" s="49">
        <f>VLOOKUP(A39,tbMoveset!A2:G112,7,FALSE)*IFERROR(IF(Backdoors!AI12&gt;=0,1+(IF(Calculator!E40&gt;0,VLOOKUP(Calculator!E40,tbSkills!AI3:AJ5,2,FALSE),Backdoors!AL4)*(IF((Backdoors!AI12+IF(AR39&gt;=0.45,VLOOKUP(Calculator!E23,tbSkills!DH3:DI6,2,FALSE)+IF(AND(Calculator!B8=TRUE,Backdoors!BI9=TRUE),VLOOKUP(Calculator!E23,tbSkills!DH3:DJ6,3,FALSE),0),0))&gt;=100,100,(Backdoors!AI12+IF(AR39&gt;=0.45,VLOOKUP(Calculator!E23,tbSkills!DH3:DI6,2,FALSE)+IF(AND(Calculator!B8=TRUE,Backdoors!BI9=TRUE),VLOOKUP(Calculator!E23,tbSkills!DH3:DJ6,3,FALSE),0),0)))/100)),1),1)</f>
        <v>0.5</v>
      </c>
      <c r="AX39" s="87">
        <f t="shared" si="50"/>
        <v>4</v>
      </c>
      <c r="AY39" s="86">
        <f>IFERROR(IF(VLOOKUP(A39,tbMoveset!A2:B112,2,FALSE)="Sever",Backdoors!AY10/100,IF(VLOOKUP(A39,tbMoveset!A2:B112,2,FALSE)="Blunt",Backdoors!AZ10/100,Backdoors!BA10/100)),"")</f>
        <v>0.9</v>
      </c>
      <c r="AZ39" s="49">
        <f>IFERROR(IF(VLOOKUP(tbMoveset!A39,tbMoveset!A2:H112,8,FALSE)="Other",IF(VLOOKUP(tbMoveset!A39,tbMoveset!A2:I112,9,FALSE)="Fire",Backdoors!BB10,IF(VLOOKUP(tbMoveset!A39,tbMoveset!A2:I112,9,FALSE)="Water",Backdoors!BC10,IF(VLOOKUP(tbMoveset!A39,tbMoveset!A2:I112,9,FALSE)="Thunder",Backdoors!BD10,IF(VLOOKUP(tbMoveset!A39,tbMoveset!A2:I112,9,FALSE)="Ice",Backdoors!BE10,IF(VLOOKUP(tbMoveset!A39,tbMoveset!A2:I112,9,FALSE)="Dragon",Backdoors!BF10,Backdoors!BG10)))))/100,Backdoors!BG10/100),"")</f>
        <v>0</v>
      </c>
      <c r="BA39" s="49">
        <f>IFERROR(IF(VLOOKUP(A39,tbMoveset!A2:J112,10,FALSE)=TRUE,IF((Backdoors!AI12+IF(AY39&gt;=0.45,VLOOKUP(Calculator!E23,tbSkills!DH3:DI6,2,FALSE)+IF(AND(Calculator!B8=TRUE,Backdoors!BI10=TRUE),VLOOKUP(Calculator!E23,tbSkills!DH3:DJ6,3,FALSE),0),0))&gt;=0,1+(Backdoors!AL2*(IF((Backdoors!AI12+IF(AY39&gt;=0.45,VLOOKUP(Calculator!E23,tbSkills!DH3:DI6,2,FALSE)+IF(AND(Calculator!B8=TRUE,Backdoors!BI10=TRUE),VLOOKUP(Calculator!E23,tbSkills!DH3:DJ6,3,FALSE),0),0))&gt;=100,100,(Backdoors!AI12+IF(AY39&gt;=0.45,VLOOKUP(Calculator!E23,tbSkills!DH3:DI6,2,FALSE)+IF(AND(Calculator!B8=TRUE,Backdoors!BI10=TRUE),VLOOKUP(Calculator!E23,tbSkills!DH3:DJ6,3,FALSE),0),0)))/100)),(1-(0.25*((-Backdoors!AI12-IF(AY39&gt;=0.45,VLOOKUP(Calculator!E23,tbSkills!DH3:DI6,2,FALSE)+IF(AND(Calculator!B8=TRUE,Backdoors!BI10=TRUE),VLOOKUP(Calculator!E23,tbSkills!DH3:DJ6,3,FALSE),0),0))/100)))),1),"")</f>
        <v>1</v>
      </c>
      <c r="BB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Y39)*BA39)*(VLOOKUP(A39,tbMoveset!A2:C112,3,FALSE)/100)*IF(VLOOKUP(A39,tbMoveset!A2:B112,2,FALSE)="Projectile",Backdoors!N10,Backdoors!N9),0),"")</f>
        <v>8</v>
      </c>
      <c r="BC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Y39&gt;=0.45,VLOOKUP(Calculator!E23,tbSkills!DH3:DI6,2,FALSE)+IF(AND(Calculator!B8=TRUE,Backdoors!BI10=TRUE),VLOOKUP(Calculator!E23,tbSkills!DH3:DJ6,3,FALSE),0),0))&gt;=100,100,(Backdoors!AI12+IF(AY39&gt;=0.45,VLOOKUP(Calculator!E23,tbSkills!DH3:DI6,2,FALSE)+IF(AND(Calculator!B8=TRUE,Backdoors!BI10=TRUE),VLOOKUP(Calculator!E23,tbSkills!DH3:DJ6,3,FALSE),0),0)))/100)),1))*IF(VLOOKUP(A39,tbMoveset!A2:K112,11,FALSE)=TRUE,Backdoors!AC5,1))*AZ39,0),"")</f>
        <v>0</v>
      </c>
      <c r="BD39" s="49">
        <f>VLOOKUP(A39,tbMoveset!A2:G112,7,FALSE)*IFERROR(IF(Backdoors!AI12&gt;=0,1+(IF(Calculator!E40&gt;0,VLOOKUP(Calculator!E40,tbSkills!AI3:AJ5,2,FALSE),Backdoors!AL4)*(IF((Backdoors!AI12+IF(AY39&gt;=0.45,VLOOKUP(Calculator!E23,tbSkills!DH3:DI6,2,FALSE)+IF(AND(Calculator!B8=TRUE,Backdoors!BI10=TRUE),VLOOKUP(Calculator!E23,tbSkills!DH3:DJ6,3,FALSE),0),0))&gt;=100,100,(Backdoors!AI12+IF(AY39&gt;=0.45,VLOOKUP(Calculator!E23,tbSkills!DH3:DI6,2,FALSE)+IF(AND(Calculator!B8=TRUE,Backdoors!BI10=TRUE),VLOOKUP(Calculator!E23,tbSkills!DH3:DJ6,3,FALSE),0),0)))/100)),1),1)</f>
        <v>0.5</v>
      </c>
      <c r="BE39" s="87">
        <f t="shared" si="3"/>
        <v>8</v>
      </c>
      <c r="BF39" s="86" t="str">
        <f>IFERROR(IF(VLOOKUP(A39,tbMoveset!A2:B112,2,FALSE)="Sever",Backdoors!AY11/100,IF(VLOOKUP(A39,tbMoveset!A2:B112,2,FALSE)="Blunt",Backdoors!AZ11/100,Backdoors!BA11/100)),"")</f>
        <v/>
      </c>
      <c r="BG39" s="49">
        <f>IFERROR(IF(VLOOKUP(tbMoveset!A39,tbMoveset!A2:H112,8,FALSE)="Other",IF(VLOOKUP(tbMoveset!A39,tbMoveset!A2:I112,9,FALSE)="Fire",Backdoors!BB11,IF(VLOOKUP(tbMoveset!A39,tbMoveset!A2:I112,9,FALSE)="Water",Backdoors!BC11,IF(VLOOKUP(tbMoveset!A39,tbMoveset!A2:I112,9,FALSE)="Thunder",Backdoors!BD11,IF(VLOOKUP(tbMoveset!A39,tbMoveset!A2:I112,9,FALSE)="Ice",Backdoors!BE11,IF(VLOOKUP(tbMoveset!A39,tbMoveset!A2:I112,9,FALSE)="Dragon",Backdoors!BF11,Backdoors!BG11)))))/100,Backdoors!BG11/100),"")</f>
        <v>0</v>
      </c>
      <c r="BH39" s="49">
        <f>IFERROR(IF(VLOOKUP(A39,tbMoveset!A2:J112,10,FALSE)=TRUE,IF((Backdoors!AI12+IF(BF39&gt;=0.45,VLOOKUP(Calculator!E23,tbSkills!DH3:DI6,2,FALSE)+IF(AND(Calculator!B8=TRUE,Backdoors!BI11=TRUE),VLOOKUP(Calculator!E23,tbSkills!DH3:DJ6,3,FALSE),0),0))&gt;=0,1+(Backdoors!AL2*(IF((Backdoors!AI12+IF(BF39&gt;=0.45,VLOOKUP(Calculator!E23,tbSkills!DH3:DI6,2,FALSE)+IF(AND(Calculator!B8=TRUE,Backdoors!BI11=TRUE),VLOOKUP(Calculator!E23,tbSkills!DH3:DJ6,3,FALSE),0),0))&gt;=100,100,(Backdoors!AI12+IF(BF39&gt;=0.45,VLOOKUP(Calculator!E23,tbSkills!DH3:DI6,2,FALSE)+IF(AND(Calculator!B8=TRUE,Backdoors!BI11=TRUE),VLOOKUP(Calculator!E23,tbSkills!DH3:DJ6,3,FALSE),0),0)))/100)),(1-(0.25*((-Backdoors!AI12-IF(BF39&gt;=0.45,VLOOKUP(Calculator!E23,tbSkills!DH3:DI6,2,FALSE)+IF(AND(Calculator!B8=TRUE,Backdoors!BI11=TRUE),VLOOKUP(Calculator!E23,tbSkills!DH3:DJ6,3,FALSE),0),0))/100)))),1),"")</f>
        <v>1</v>
      </c>
      <c r="BI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F39)*BH39)*(VLOOKUP(A39,tbMoveset!A2:C112,3,FALSE)/100)*IF(VLOOKUP(A39,tbMoveset!A2:B112,2,FALSE)="Projectile",Backdoors!N10,Backdoors!N9),0),"")</f>
        <v/>
      </c>
      <c r="BJ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F39&gt;=0.45,VLOOKUP(Calculator!E23,tbSkills!DH3:DI6,2,FALSE)+IF(AND(Calculator!B8=TRUE,Backdoors!BI11=TRUE),VLOOKUP(Calculator!E23,tbSkills!DH3:DJ6,3,FALSE),0),0))&gt;=100,100,(Backdoors!AI12+IF(BF39&gt;=0.45,VLOOKUP(Calculator!E23,tbSkills!DH3:DI6,2,FALSE)+IF(AND(Calculator!B8=TRUE,Backdoors!BI11=TRUE),VLOOKUP(Calculator!E23,tbSkills!DH3:DJ6,3,FALSE),0),0)))/100)),1))*IF(VLOOKUP(A39,tbMoveset!A2:K112,11,FALSE)=TRUE,Backdoors!AC5,1))*BG39,0),"")</f>
        <v>0</v>
      </c>
      <c r="BK39" s="49">
        <f>VLOOKUP(A39,tbMoveset!A2:G112,7,FALSE)*IFERROR(IF(Backdoors!AI12&gt;=0,1+(IF(Calculator!E40&gt;0,VLOOKUP(Calculator!E40,tbSkills!AI3:AJ5,2,FALSE),Backdoors!AL4)*(IF((Backdoors!AI12+IF(BF39&gt;=0.45,VLOOKUP(Calculator!E23,tbSkills!DH3:DI6,2,FALSE)+IF(AND(Calculator!B8=TRUE,Backdoors!BI11=TRUE),VLOOKUP(Calculator!E23,tbSkills!DH3:DJ6,3,FALSE),0),0))&gt;=100,100,(Backdoors!AI12+IF(BF39&gt;=0.45,VLOOKUP(Calculator!E23,tbSkills!DH3:DI6,2,FALSE)+IF(AND(Calculator!B8=TRUE,Backdoors!BI11=TRUE),VLOOKUP(Calculator!E23,tbSkills!DH3:DJ6,3,FALSE),0),0)))/100)),1),1)</f>
        <v>0.5</v>
      </c>
      <c r="BL39" s="87">
        <f t="shared" si="4"/>
        <v>0</v>
      </c>
      <c r="BM39" s="86" t="str">
        <f>IFERROR(IF(VLOOKUP(A39,tbMoveset!A2:B112,2,FALSE)="Sever",Backdoors!AY12/100,IF(VLOOKUP(A39,tbMoveset!A2:B112,2,FALSE)="Blunt",Backdoors!AZ12/100,Backdoors!BA12/100)),"")</f>
        <v/>
      </c>
      <c r="BN39" s="49">
        <f>IFERROR(IF(VLOOKUP(tbMoveset!A39,tbMoveset!A2:H112,8,FALSE)="Other",IF(VLOOKUP(tbMoveset!A39,tbMoveset!A2:I112,9,FALSE)="Fire",Backdoors!BB12,IF(VLOOKUP(tbMoveset!A39,tbMoveset!A2:I112,9,FALSE)="Water",Backdoors!BC12,IF(VLOOKUP(tbMoveset!A39,tbMoveset!A2:I112,9,FALSE)="Thunder",Backdoors!BD12,IF(VLOOKUP(tbMoveset!A39,tbMoveset!A2:I112,9,FALSE)="Ice",Backdoors!BE12,IF(VLOOKUP(tbMoveset!A39,tbMoveset!A2:I112,9,FALSE)="Dragon",Backdoors!BF12,Backdoors!BG12)))))/100,Backdoors!BG12/100),"")</f>
        <v>0</v>
      </c>
      <c r="BO39" s="49">
        <f>IFERROR(IF(VLOOKUP(A39,tbMoveset!A2:J112,10,FALSE)=TRUE,IF((Backdoors!AI12+IF(BM39&gt;=0.45,VLOOKUP(Calculator!E23,tbSkills!DH3:DI6,2,FALSE)+IF(AND(Calculator!B8=TRUE,Backdoors!BI12=TRUE),VLOOKUP(Calculator!E23,tbSkills!DH3:DJ6,3,FALSE),0),0))&gt;=0,1+(Backdoors!AL2*(IF((Backdoors!AI12+IF(BM39&gt;=0.45,VLOOKUP(Calculator!E23,tbSkills!DH3:DI6,2,FALSE)+IF(AND(Calculator!B8=TRUE,Backdoors!BI12=TRUE),VLOOKUP(Calculator!E23,tbSkills!DH3:DJ6,3,FALSE),0),0))&gt;=100,100,(Backdoors!AI12+IF(BM39&gt;=0.45,VLOOKUP(Calculator!E23,tbSkills!DH3:DI6,2,FALSE)+IF(AND(Calculator!B8=TRUE,Backdoors!BI12=TRUE),VLOOKUP(Calculator!E23,tbSkills!DH3:DJ6,3,FALSE),0),0)))/100)),(1-(0.25*((-Backdoors!AI12-IF(BM39&gt;=0.45,VLOOKUP(Calculator!E23,tbSkills!DH3:DI6,2,FALSE)+IF(AND(Calculator!B8=TRUE,Backdoors!BI12=TRUE),VLOOKUP(Calculator!E23,tbSkills!DH3:DJ6,3,FALSE),0),0))/100)))),1),"")</f>
        <v>1</v>
      </c>
      <c r="BP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M39)*BO39)*(VLOOKUP(A39,tbMoveset!A2:C112,3,FALSE)/100)*IF(VLOOKUP(A39,tbMoveset!A2:B112,2,FALSE)="Projectile",Backdoors!N10,Backdoors!N9),0),"")</f>
        <v/>
      </c>
      <c r="BQ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M39&gt;=0.45,VLOOKUP(Calculator!E23,tbSkills!DH3:DI6,2,FALSE)+IF(AND(Calculator!B8=TRUE,Backdoors!BI12=TRUE),VLOOKUP(Calculator!E23,tbSkills!DH3:DJ6,3,FALSE),0),0))&gt;=100,100,(Backdoors!AI12+IF(BM39&gt;=0.45,VLOOKUP(Calculator!E23,tbSkills!DH3:DI6,2,FALSE)+IF(AND(Calculator!B8=TRUE,Backdoors!BI12=TRUE),VLOOKUP(Calculator!E23,tbSkills!DH3:DJ6,3,FALSE),0),0)))/100)),1))*IF(VLOOKUP(A39,tbMoveset!A2:K112,11,FALSE)=TRUE,Backdoors!AC5,1))*BN39,0),"")</f>
        <v>0</v>
      </c>
      <c r="BR39" s="49">
        <f>VLOOKUP(A39,tbMoveset!A2:G112,7,FALSE)*IFERROR(IF(Backdoors!AI12&gt;=0,1+(IF(Calculator!E40&gt;0,VLOOKUP(Calculator!E40,tbSkills!AI3:AJ5,2,FALSE),Backdoors!AL4)*(IF((Backdoors!AI12+IF(BM39&gt;=0.45,VLOOKUP(Calculator!E23,tbSkills!DH3:DI6,2,FALSE)+IF(AND(Calculator!B8=TRUE,Backdoors!BI12=TRUE),VLOOKUP(Calculator!E23,tbSkills!DH3:DJ6,3,FALSE),0),0))&gt;=100,100,(Backdoors!AI12+IF(BM39&gt;=0.45,VLOOKUP(Calculator!E23,tbSkills!DH3:DI6,2,FALSE)+IF(AND(Calculator!B8=TRUE,Backdoors!BI12=TRUE),VLOOKUP(Calculator!E23,tbSkills!DH3:DJ6,3,FALSE),0),0)))/100)),1),1)</f>
        <v>0.5</v>
      </c>
      <c r="BS39" s="87">
        <f t="shared" si="39"/>
        <v>0</v>
      </c>
      <c r="BT39" s="86" t="str">
        <f>IFERROR(IF(VLOOKUP(A39,tbMoveset!A2:B112,2,FALSE)="Sever",Backdoors!AY13/100,IF(VLOOKUP(A39,tbMoveset!A2:B112,2,FALSE)="Blunt",Backdoors!AZ13/100,Backdoors!BA13/100)),"")</f>
        <v/>
      </c>
      <c r="BU39" s="49">
        <f>IFERROR(IF(VLOOKUP(tbMoveset!A39,tbMoveset!A2:H112,8,FALSE)="Other",IF(VLOOKUP(tbMoveset!A39,tbMoveset!A2:I112,9,FALSE)="Fire",Backdoors!BB13,IF(VLOOKUP(tbMoveset!A39,tbMoveset!A2:I112,9,FALSE)="Water",Backdoors!BC13,IF(VLOOKUP(tbMoveset!A39,tbMoveset!A2:I112,9,FALSE)="Thunder",Backdoors!BD13,IF(VLOOKUP(tbMoveset!A39,tbMoveset!A2:I112,9,FALSE)="Ice",Backdoors!BE13,IF(VLOOKUP(tbMoveset!A39,tbMoveset!A2:I112,9,FALSE)="Dragon",Backdoors!BF13,Backdoors!BG13)))))/100,Backdoors!BG13/100),"")</f>
        <v>0</v>
      </c>
      <c r="BV39" s="49">
        <f>IFERROR(IF(VLOOKUP(A39,tbMoveset!A2:J112,10,FALSE)=TRUE,IF((Backdoors!AI12+IF(BT39&gt;=0.45,VLOOKUP(Calculator!E23,tbSkills!DH3:DI6,2,FALSE)+IF(AND(Calculator!B8=TRUE,Backdoors!BI13=TRUE),VLOOKUP(Calculator!E23,tbSkills!DH3:DJ6,3,FALSE),0),0))&gt;=0,1+(Backdoors!AL2*(IF((Backdoors!AI12+IF(BT39&gt;=0.45,VLOOKUP(Calculator!E23,tbSkills!DH3:DI6,2,FALSE)+IF(AND(Calculator!B8=TRUE,Backdoors!BI13=TRUE),VLOOKUP(Calculator!E23,tbSkills!DH3:DJ6,3,FALSE),0),0))&gt;=100,100,(Backdoors!AI12+IF(BT39&gt;=0.45,VLOOKUP(Calculator!E23,tbSkills!DH3:DI6,2,FALSE)+IF(AND(Calculator!B8=TRUE,Backdoors!BI13=TRUE),VLOOKUP(Calculator!E23,tbSkills!DH3:DJ6,3,FALSE),0),0)))/100)),(1-(0.25*((-Backdoors!AI12-IF(BT39&gt;=0.45,VLOOKUP(Calculator!E23,tbSkills!DH3:DI6,2,FALSE)+IF(AND(Calculator!B8=TRUE,Backdoors!BI13=TRUE),VLOOKUP(Calculator!E23,tbSkills!DH3:DJ6,3,FALSE),0),0))/100)))),1),"")</f>
        <v>1</v>
      </c>
      <c r="BW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T39)*BV39)*(VLOOKUP(A39,tbMoveset!A2:C112,3,FALSE)/100)*IF(VLOOKUP(A39,tbMoveset!A2:B112,2,FALSE)="Projectile",Backdoors!N10,Backdoors!N9),0),"")</f>
        <v/>
      </c>
      <c r="BX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T39&gt;=0.45,VLOOKUP(Calculator!E23,tbSkills!DH3:DI6,2,FALSE)+IF(AND(Calculator!B8=TRUE,Backdoors!BI13=TRUE),VLOOKUP(Calculator!E23,tbSkills!DH3:DJ6,3,FALSE),0),0))&gt;=100,100,(Backdoors!AI12+IF(BT39&gt;=0.45,VLOOKUP(Calculator!E23,tbSkills!DH3:DI6,2,FALSE)+IF(AND(Calculator!B8=TRUE,Backdoors!BI13=TRUE),VLOOKUP(Calculator!E23,tbSkills!DH3:DJ6,3,FALSE),0),0)))/100)),1))*IF(VLOOKUP(A39,tbMoveset!A2:K112,11,FALSE)=TRUE,Backdoors!AC5,1))*BU39,0),"")</f>
        <v>0</v>
      </c>
      <c r="BY39" s="49">
        <f>VLOOKUP(A39,tbMoveset!A2:G112,7,FALSE)*IFERROR(IF(Backdoors!AI12&gt;=0,1+(IF(Calculator!E40&gt;0,VLOOKUP(Calculator!E40,tbSkills!AI3:AJ5,2,FALSE),Backdoors!AL4)*(IF((Backdoors!AI12+IF(BT39&gt;=0.45,VLOOKUP(Calculator!E23,tbSkills!DH3:DI6,2,FALSE)+IF(AND(Calculator!B8=TRUE,Backdoors!BI13=TRUE),VLOOKUP(Calculator!E23,tbSkills!DH3:DJ6,3,FALSE),0),0))&gt;=100,100,(Backdoors!AI12+IF(BT39&gt;=0.45,VLOOKUP(Calculator!E23,tbSkills!DH3:DI6,2,FALSE)+IF(AND(Calculator!B8=TRUE,Backdoors!BI13=TRUE),VLOOKUP(Calculator!E23,tbSkills!DH3:DJ6,3,FALSE),0),0)))/100)),1),1)</f>
        <v>0.5</v>
      </c>
      <c r="BZ39" s="87">
        <f t="shared" si="5"/>
        <v>0</v>
      </c>
      <c r="CA39" s="86" t="str">
        <f>IFERROR(IF(VLOOKUP(A39,tbMoveset!A2:B112,2,FALSE)="Sever",Backdoors!AY14/100,IF(VLOOKUP(A39,tbMoveset!A2:B112,2,FALSE)="Blunt",Backdoors!AZ14/100,Backdoors!BA14/100)),"")</f>
        <v/>
      </c>
      <c r="CB39" s="49">
        <f>IFERROR(IF(VLOOKUP(tbMoveset!A39,tbMoveset!A2:H112,8,FALSE)="Other",IF(VLOOKUP(tbMoveset!A39,tbMoveset!A2:I112,9,FALSE)="Fire",Backdoors!BB14,IF(VLOOKUP(tbMoveset!A39,tbMoveset!A2:I112,9,FALSE)="Water",Backdoors!BC14,IF(VLOOKUP(tbMoveset!A39,tbMoveset!A2:I112,9,FALSE)="Thunder",Backdoors!BD14,IF(VLOOKUP(tbMoveset!A39,tbMoveset!A2:I112,9,FALSE)="Ice",Backdoors!BE14,IF(VLOOKUP(tbMoveset!A39,tbMoveset!A2:I112,9,FALSE)="Dragon",Backdoors!BF14,Backdoors!BG14)))))/100,Backdoors!BG14/100),"")</f>
        <v>0</v>
      </c>
      <c r="CC39" s="49">
        <f>IFERROR(IF(VLOOKUP(A39,tbMoveset!A2:J112,10,FALSE)=TRUE,IF((Backdoors!AI12+IF(CA39&gt;=0.45,VLOOKUP(Calculator!E23,tbSkills!DH3:DI6,2,FALSE)+IF(AND(Calculator!B8=TRUE,Backdoors!BI14=TRUE),VLOOKUP(Calculator!E23,tbSkills!DH3:DJ6,3,FALSE),0),0))&gt;=0,1+(Backdoors!AL2*(IF((Backdoors!AI12+IF(CA39&gt;=0.45,VLOOKUP(Calculator!E23,tbSkills!DH3:DI6,2,FALSE)+IF(AND(Calculator!B8=TRUE,Backdoors!BI14=TRUE),VLOOKUP(Calculator!E23,tbSkills!DH3:DJ6,3,FALSE),0),0))&gt;=100,100,(Backdoors!AI12+IF(CA39&gt;=0.45,VLOOKUP(Calculator!E23,tbSkills!DH3:DI6,2,FALSE)+IF(AND(Calculator!B8=TRUE,Backdoors!BI14=TRUE),VLOOKUP(Calculator!E23,tbSkills!DH3:DJ6,3,FALSE),0),0)))/100)),(1-(0.25*((-Backdoors!AI12-IF(CA39&gt;=0.45,VLOOKUP(Calculator!E23,tbSkills!DH3:DI6,2,FALSE)+IF(AND(Calculator!B8=TRUE,Backdoors!BI14=TRUE),VLOOKUP(Calculator!E23,tbSkills!DH3:DJ6,3,FALSE),0),0))/100)))),1),"")</f>
        <v>1</v>
      </c>
      <c r="CD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A39)*CC39)*(VLOOKUP(A39,tbMoveset!A2:C112,3,FALSE)/100)*IF(VLOOKUP(A39,tbMoveset!A2:B112,2,FALSE)="Projectile",Backdoors!N10,Backdoors!N9),0),"")</f>
        <v/>
      </c>
      <c r="CE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A39&gt;=0.45,VLOOKUP(Calculator!E23,tbSkills!DH3:DI6,2,FALSE)+IF(AND(Calculator!B8=TRUE,Backdoors!BI14=TRUE),VLOOKUP(Calculator!E23,tbSkills!DH3:DJ6,3,FALSE),0),0))&gt;=100,100,(Backdoors!AI12+IF(CA39&gt;=0.45,VLOOKUP(Calculator!E23,tbSkills!DH3:DI6,2,FALSE)+IF(AND(Calculator!B8=TRUE,Backdoors!BI14=TRUE),VLOOKUP(Calculator!E23,tbSkills!DH3:DJ6,3,FALSE),0),0)))/100)),1))*IF(VLOOKUP(A39,tbMoveset!A2:K112,11,FALSE)=TRUE,Backdoors!AC5,1))*CB39,0),"")</f>
        <v>0</v>
      </c>
      <c r="CF39" s="49">
        <f>VLOOKUP(A39,tbMoveset!A2:G112,7,FALSE)*IFERROR(IF(Backdoors!AI12&gt;=0,1+(IF(Calculator!E40&gt;0,VLOOKUP(Calculator!E40,tbSkills!AI3:AJ5,2,FALSE),Backdoors!AL4)*(IF((Backdoors!AI12+IF(CA39&gt;=0.45,VLOOKUP(Calculator!E23,tbSkills!DH3:DI6,2,FALSE)+IF(AND(Calculator!B8=TRUE,Backdoors!BI14=TRUE),VLOOKUP(Calculator!E23,tbSkills!DH3:DJ6,3,FALSE),0),0))&gt;=100,100,(Backdoors!AI12+IF(CA39&gt;=0.45,VLOOKUP(Calculator!E23,tbSkills!DH3:DI6,2,FALSE)+IF(AND(Calculator!B8=TRUE,Backdoors!BI14=TRUE),VLOOKUP(Calculator!E23,tbSkills!DH3:DJ6,3,FALSE),0),0)))/100)),1),1)</f>
        <v>0.5</v>
      </c>
      <c r="CG39" s="87">
        <f t="shared" si="6"/>
        <v>0</v>
      </c>
      <c r="CH39" s="86" t="str">
        <f>IFERROR(IF(VLOOKUP(A39,tbMoveset!A2:B112,2,FALSE)="Sever",Backdoors!AY15/100,IF(VLOOKUP(A39,tbMoveset!A2:B112,2,FALSE)="Blunt",Backdoors!AZ15/100,Backdoors!BA15/100)),"")</f>
        <v/>
      </c>
      <c r="CI39" s="49">
        <f>IFERROR(IF(VLOOKUP(tbMoveset!A39,tbMoveset!A2:H112,8,FALSE)="Other",IF(VLOOKUP(tbMoveset!A39,tbMoveset!A2:I112,9,FALSE)="Fire",Backdoors!BB15,IF(VLOOKUP(tbMoveset!A39,tbMoveset!A2:I112,9,FALSE)="Water",Backdoors!BC15,IF(VLOOKUP(tbMoveset!A39,tbMoveset!A2:I112,9,FALSE)="Thunder",Backdoors!BD15,IF(VLOOKUP(tbMoveset!A39,tbMoveset!A2:I112,9,FALSE)="Ice",Backdoors!BE15,IF(VLOOKUP(tbMoveset!A39,tbMoveset!A2:I112,9,FALSE)="Dragon",Backdoors!BF15,Backdoors!BG15)))))/100,Backdoors!BG15/100),"")</f>
        <v>0</v>
      </c>
      <c r="CJ39" s="49">
        <f>IFERROR(IF(VLOOKUP(A39,tbMoveset!A2:J112,10,FALSE)=TRUE,IF((Backdoors!AI12+IF(CH39&gt;=0.45,VLOOKUP(Calculator!E23,tbSkills!DH3:DI6,2,FALSE)+IF(AND(Calculator!B8=TRUE,Backdoors!BI15=TRUE),VLOOKUP(Calculator!E23,tbSkills!DH3:DJ6,3,FALSE),0),0))&gt;=0,1+(Backdoors!AL2*(IF((Backdoors!AI12+IF(CH39&gt;=0.45,VLOOKUP(Calculator!E23,tbSkills!DH3:DI6,2,FALSE)+IF(AND(Calculator!B8=TRUE,Backdoors!BI15=TRUE),VLOOKUP(Calculator!E23,tbSkills!DH3:DJ6,3,FALSE),0),0))&gt;=100,100,(Backdoors!AI12+IF(CH39&gt;=0.45,VLOOKUP(Calculator!E23,tbSkills!DH3:DI6,2,FALSE)+IF(AND(Calculator!B8=TRUE,Backdoors!BI15=TRUE),VLOOKUP(Calculator!E23,tbSkills!DH3:DJ6,3,FALSE),0),0)))/100)),(1-(0.25*((-Backdoors!AI12-IF(CH39&gt;=0.45,VLOOKUP(Calculator!E23,tbSkills!DH3:DI6,2,FALSE)+IF(AND(Calculator!B8=TRUE,Backdoors!BI15=TRUE),VLOOKUP(Calculator!E23,tbSkills!DH3:DJ6,3,FALSE),0),0))/100)))),1),"")</f>
        <v>1</v>
      </c>
      <c r="CK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H39)*CJ39)*(VLOOKUP(A39,tbMoveset!A2:C112,3,FALSE)/100)*IF(VLOOKUP(A39,tbMoveset!A2:B112,2,FALSE)="Projectile",Backdoors!N10,Backdoors!N9),0),"")</f>
        <v/>
      </c>
      <c r="CL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H39&gt;=0.45,VLOOKUP(Calculator!E23,tbSkills!DH3:DI6,2,FALSE)+IF(AND(Calculator!B8=TRUE,Backdoors!BI15=TRUE),VLOOKUP(Calculator!E23,tbSkills!DH3:DJ6,3,FALSE),0),0))&gt;=100,100,(Backdoors!AI12+IF(CH39&gt;=0.45,VLOOKUP(Calculator!E23,tbSkills!DH3:DI6,2,FALSE)+IF(AND(Calculator!B8=TRUE,Backdoors!BI15=TRUE),VLOOKUP(Calculator!E23,tbSkills!DH3:DJ6,3,FALSE),0),0)))/100)),1))*IF(VLOOKUP(A39,tbMoveset!A2:K112,11,FALSE)=TRUE,Backdoors!AC5,1))*CI39,0),"")</f>
        <v>0</v>
      </c>
      <c r="CM39" s="49">
        <f>VLOOKUP(A39,tbMoveset!A2:G112,7,FALSE)*IFERROR(IF(Backdoors!AI12&gt;=0,1+(IF(Calculator!E40&gt;0,VLOOKUP(Calculator!E40,tbSkills!AI3:AJ5,2,FALSE),Backdoors!AL4)*(IF((Backdoors!AI12+IF(CH39&gt;=0.45,VLOOKUP(Calculator!E23,tbSkills!DH3:DI6,2,FALSE)+IF(AND(Calculator!B8=TRUE,Backdoors!BI15=TRUE),VLOOKUP(Calculator!E23,tbSkills!DH3:DJ6,3,FALSE),0),0))&gt;=100,100,(Backdoors!AI12+IF(CH39&gt;=0.45,VLOOKUP(Calculator!E23,tbSkills!DH3:DI6,2,FALSE)+IF(AND(Calculator!B8=TRUE,Backdoors!BI15=TRUE),VLOOKUP(Calculator!E23,tbSkills!DH3:DJ6,3,FALSE),0),0)))/100)),1),1)</f>
        <v>0.5</v>
      </c>
      <c r="CN39" s="87">
        <f t="shared" si="7"/>
        <v>0</v>
      </c>
      <c r="CO39" s="86" t="str">
        <f>IFERROR(IF(VLOOKUP(A39,tbMoveset!A2:B112,2,FALSE)="Sever",Backdoors!AY16/100,IF(VLOOKUP(A39,tbMoveset!A2:B112,2,FALSE)="Blunt",Backdoors!AZ16/100,Backdoors!BA16/100)),"")</f>
        <v/>
      </c>
      <c r="CP39" s="49">
        <f>IFERROR(IF(VLOOKUP(tbMoveset!A39,tbMoveset!A2:H112,8,FALSE)="Other",IF(VLOOKUP(tbMoveset!A39,tbMoveset!A2:I112,9,FALSE)="Fire",Backdoors!BB16,IF(VLOOKUP(tbMoveset!A39,tbMoveset!A2:I112,9,FALSE)="Water",Backdoors!BC16,IF(VLOOKUP(tbMoveset!A39,tbMoveset!A2:I112,9,FALSE)="Thunder",Backdoors!BD16,IF(VLOOKUP(tbMoveset!A39,tbMoveset!A2:I112,9,FALSE)="Ice",Backdoors!BE16,IF(VLOOKUP(tbMoveset!A39,tbMoveset!A2:I112,9,FALSE)="Dragon",Backdoors!BF16,Backdoors!BG16)))))/100,Backdoors!BG16/100),"")</f>
        <v>0</v>
      </c>
      <c r="CQ39" s="49">
        <f>IFERROR(IF(VLOOKUP(A39,tbMoveset!A2:J112,10,FALSE)=TRUE,IF((Backdoors!AI12+IF(CO39&gt;=0.45,VLOOKUP(Calculator!E23,tbSkills!DH3:DI6,2,FALSE)+IF(AND(Calculator!B8=TRUE,Backdoors!BI16=TRUE),VLOOKUP(Calculator!E23,tbSkills!DH3:DJ6,3,FALSE),0),0))&gt;=0,1+(Backdoors!AL2*(IF((Backdoors!AI12+IF(CO39&gt;=0.45,VLOOKUP(Calculator!E23,tbSkills!DH3:DI6,2,FALSE)+IF(AND(Calculator!B8=TRUE,Backdoors!BI16=TRUE),VLOOKUP(Calculator!E23,tbSkills!DH3:DJ6,3,FALSE),0),0))&gt;=100,100,(Backdoors!AI12+IF(CO39&gt;=0.45,VLOOKUP(Calculator!E23,tbSkills!DH3:DI6,2,FALSE)+IF(AND(Calculator!B8=TRUE,Backdoors!BI16=TRUE),VLOOKUP(Calculator!E23,tbSkills!DH3:DJ6,3,FALSE),0),0)))/100)),(1-(0.25*((-Backdoors!AI12-IF(CO39&gt;=0.45,VLOOKUP(Calculator!E23,tbSkills!DH3:DI6,2,FALSE)+IF(AND(Calculator!B8=TRUE,Backdoors!BI16=TRUE),VLOOKUP(Calculator!E23,tbSkills!DH3:DJ6,3,FALSE),0),0))/100)))),1),"")</f>
        <v>1</v>
      </c>
      <c r="CR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O39)*CQ39)*(VLOOKUP(A39,tbMoveset!A2:C112,3,FALSE)/100)*IF(VLOOKUP(A39,tbMoveset!A2:B112,2,FALSE)="Projectile",Backdoors!N10,Backdoors!N9),0),"")</f>
        <v/>
      </c>
      <c r="CS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O39&gt;=0.45,VLOOKUP(Calculator!E23,tbSkills!DH3:DI6,2,FALSE)+IF(AND(Calculator!B8=TRUE,Backdoors!BI16=TRUE),VLOOKUP(Calculator!E23,tbSkills!DH3:DJ6,3,FALSE),0),0))&gt;=100,100,(Backdoors!AI12+IF(CO39&gt;=0.45,VLOOKUP(Calculator!E23,tbSkills!DH3:DI6,2,FALSE)+IF(AND(Calculator!B8=TRUE,Backdoors!BI16=TRUE),VLOOKUP(Calculator!E23,tbSkills!DH3:DJ6,3,FALSE),0),0)))/100)),1))*IF(VLOOKUP(A39,tbMoveset!A2:K112,11,FALSE)=TRUE,Backdoors!AC5,1))*CP39,0),"")</f>
        <v>0</v>
      </c>
      <c r="CT39" s="49">
        <f>VLOOKUP(A39,tbMoveset!A2:G112,7,FALSE)*IFERROR(IF(Backdoors!AI12&gt;=0,1+(IF(Calculator!E40&gt;0,VLOOKUP(Calculator!E40,tbSkills!AI3:AJ5,2,FALSE),Backdoors!AL4)*(IF((Backdoors!AI12+IF(CO39&gt;=0.45,VLOOKUP(Calculator!E23,tbSkills!DH3:DI6,2,FALSE)+IF(AND(Calculator!B8=TRUE,Backdoors!BI16=TRUE),VLOOKUP(Calculator!E23,tbSkills!DH3:DJ6,3,FALSE),0),0))&gt;=100,100,(Backdoors!AI12+IF(CO39&gt;=0.45,VLOOKUP(Calculator!E23,tbSkills!DH3:DI6,2,FALSE)+IF(AND(Calculator!B8=TRUE,Backdoors!BI16=TRUE),VLOOKUP(Calculator!E23,tbSkills!DH3:DJ6,3,FALSE),0),0)))/100)),1),1)</f>
        <v>0.5</v>
      </c>
      <c r="CU39" s="87">
        <f t="shared" si="40"/>
        <v>0</v>
      </c>
      <c r="CV39" s="86" t="str">
        <f>IFERROR(IF(VLOOKUP(A39,tbMoveset!A2:B112,2,FALSE)="Sever",Backdoors!AY17/100,IF(VLOOKUP(A39,tbMoveset!A2:B112,2,FALSE)="Blunt",Backdoors!AZ17/100,Backdoors!BA17/100)),"")</f>
        <v/>
      </c>
      <c r="CW39" s="49">
        <f>IFERROR(IF(VLOOKUP(tbMoveset!A39,tbMoveset!A2:H112,8,FALSE)="Other",IF(VLOOKUP(tbMoveset!A39,tbMoveset!A2:I112,9,FALSE)="Fire",Backdoors!BB17,IF(VLOOKUP(tbMoveset!A39,tbMoveset!A2:I112,9,FALSE)="Water",Backdoors!BC17,IF(VLOOKUP(tbMoveset!A39,tbMoveset!A2:I112,9,FALSE)="Thunder",Backdoors!BD17,IF(VLOOKUP(tbMoveset!A39,tbMoveset!A2:I112,9,FALSE)="Ice",Backdoors!BE17,IF(VLOOKUP(tbMoveset!A39,tbMoveset!A2:I112,9,FALSE)="Dragon",Backdoors!BF17,Backdoors!BG17)))))/100,Backdoors!BG17/100),"")</f>
        <v>0</v>
      </c>
      <c r="CX39" s="49">
        <f>IFERROR(IF(VLOOKUP(A39,tbMoveset!A2:J112,10,FALSE)=TRUE,IF((Backdoors!AI12+IF(CV39&gt;=0.45,VLOOKUP(Calculator!E23,tbSkills!DH3:DI6,2,FALSE)+IF(AND(Calculator!B8=TRUE,Backdoors!BI17=TRUE),VLOOKUP(Calculator!E23,tbSkills!DH3:DJ6,3,FALSE),0),0))&gt;=0,1+(Backdoors!AL2*(IF((Backdoors!AI12+IF(CV39&gt;=0.45,VLOOKUP(Calculator!E23,tbSkills!DH3:DI6,2,FALSE)+IF(AND(Calculator!B8=TRUE,Backdoors!BI17=TRUE),VLOOKUP(Calculator!E23,tbSkills!DH3:DJ6,3,FALSE),0),0))&gt;=100,100,(Backdoors!AI12+IF(CV39&gt;=0.45,VLOOKUP(Calculator!E23,tbSkills!DH3:DI6,2,FALSE)+IF(AND(Calculator!B8=TRUE,Backdoors!BI17=TRUE),VLOOKUP(Calculator!E23,tbSkills!DH3:DJ6,3,FALSE),0),0)))/100)),(1-(0.25*((-Backdoors!AI12-IF(CV39&gt;=0.45,VLOOKUP(Calculator!E23,tbSkills!DH3:DI6,2,FALSE)+IF(AND(Calculator!B8=TRUE,Backdoors!BI17=TRUE),VLOOKUP(Calculator!E23,tbSkills!DH3:DJ6,3,FALSE),0),0))/100)))),1),"")</f>
        <v>1</v>
      </c>
      <c r="CY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V39)*CX39)*(VLOOKUP(A39,tbMoveset!A2:C112,3,FALSE)/100)*IF(VLOOKUP(A39,tbMoveset!A2:B112,2,FALSE)="Projectile",Backdoors!N10,Backdoors!N9),0),"")</f>
        <v/>
      </c>
      <c r="CZ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V39&gt;=0.45,VLOOKUP(Calculator!E23,tbSkills!DH3:DI6,2,FALSE)+IF(AND(Calculator!B8=TRUE,Backdoors!BI17=TRUE),VLOOKUP(Calculator!E23,tbSkills!DH3:DJ6,3,FALSE),0),0))&gt;=100,100,(Backdoors!AI12+IF(CV39&gt;=0.45,VLOOKUP(Calculator!E23,tbSkills!DH3:DI6,2,FALSE)+IF(AND(Calculator!B8=TRUE,Backdoors!BI17=TRUE),VLOOKUP(Calculator!E23,tbSkills!DH3:DJ6,3,FALSE),0),0)))/100)),1))*IF(VLOOKUP(A39,tbMoveset!A2:K112,11,FALSE)=TRUE,Backdoors!AC5,1))*CW39,0),"")</f>
        <v>0</v>
      </c>
      <c r="DA39" s="49">
        <f>VLOOKUP(A39,tbMoveset!A2:G112,7,FALSE)*IFERROR(IF(Backdoors!AI12&gt;=0,1+(IF(Calculator!E40&gt;0,VLOOKUP(Calculator!E40,tbSkills!AI3:AJ5,2,FALSE),Backdoors!AL4)*(IF((Backdoors!AI12+IF(CV39&gt;=0.45,VLOOKUP(Calculator!E23,tbSkills!DH3:DI6,2,FALSE)+IF(AND(Calculator!B8=TRUE,Backdoors!BI17=TRUE),VLOOKUP(Calculator!E23,tbSkills!DH3:DJ6,3,FALSE),0),0))&gt;=100,100,(Backdoors!AI12+IF(CV39&gt;=0.45,VLOOKUP(Calculator!E23,tbSkills!DH3:DI6,2,FALSE)+IF(AND(Calculator!B8=TRUE,Backdoors!BI17=TRUE),VLOOKUP(Calculator!E23,tbSkills!DH3:DJ6,3,FALSE),0),0)))/100)),1),1)</f>
        <v>0.5</v>
      </c>
      <c r="DB39" s="87">
        <f t="shared" si="8"/>
        <v>0</v>
      </c>
      <c r="DC39" s="86" t="str">
        <f>IFERROR(IF(VLOOKUP(A39,tbMoveset!A2:B112,2,FALSE)="Sever",Backdoors!AY18/100,IF(VLOOKUP(A39,tbMoveset!A2:B112,2,FALSE)="Blunt",Backdoors!AZ18/100,Backdoors!BA18/100)),"")</f>
        <v/>
      </c>
      <c r="DD39" s="49">
        <f>IFERROR(IF(VLOOKUP(tbMoveset!A39,tbMoveset!A2:H112,8,FALSE)="Other",IF(VLOOKUP(tbMoveset!A39,tbMoveset!A2:I112,9,FALSE)="Fire",Backdoors!BB18,IF(VLOOKUP(tbMoveset!A39,tbMoveset!A2:I112,9,FALSE)="Water",Backdoors!BC18,IF(VLOOKUP(tbMoveset!A39,tbMoveset!A2:I112,9,FALSE)="Thunder",Backdoors!BD18,IF(VLOOKUP(tbMoveset!A39,tbMoveset!A2:I112,9,FALSE)="Ice",Backdoors!BE18,IF(VLOOKUP(tbMoveset!A39,tbMoveset!A2:I112,9,FALSE)="Dragon",Backdoors!BF18,Backdoors!BG18)))))/100,Backdoors!BG18/100),"")</f>
        <v>0</v>
      </c>
      <c r="DE39" s="49">
        <f>IFERROR(IF(VLOOKUP(A39,tbMoveset!A2:J112,10,FALSE)=TRUE,IF((Backdoors!AI12+IF(DC39&gt;=0.45,VLOOKUP(Calculator!E23,tbSkills!DH3:DI6,2,FALSE)+IF(AND(Calculator!B8=TRUE,Backdoors!BI18=TRUE),VLOOKUP(Calculator!E23,tbSkills!DH3:DJ6,3,FALSE),0),0))&gt;=0,1+(Backdoors!AL2*(IF((Backdoors!AI12+IF(DC39&gt;=0.45,VLOOKUP(Calculator!E23,tbSkills!DH3:DI6,2,FALSE)+IF(AND(Calculator!B8=TRUE,Backdoors!BI18=TRUE),VLOOKUP(Calculator!E23,tbSkills!DH3:DJ6,3,FALSE),0),0))&gt;=100,100,(Backdoors!AI12+IF(DC39&gt;=0.45,VLOOKUP(Calculator!E23,tbSkills!DH3:DI6,2,FALSE)+IF(AND(Calculator!B8=TRUE,Backdoors!BI18=TRUE),VLOOKUP(Calculator!E23,tbSkills!DH3:DJ6,3,FALSE),0),0)))/100)),(1-(0.25*((-Backdoors!AI12-IF(DC39&gt;=0.45,VLOOKUP(Calculator!E23,tbSkills!DH3:DI6,2,FALSE)+IF(AND(Calculator!B8=TRUE,Backdoors!BI18=TRUE),VLOOKUP(Calculator!E23,tbSkills!DH3:DJ6,3,FALSE),0),0))/100)))),1),"")</f>
        <v>1</v>
      </c>
      <c r="DF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C39)*DE39)*(VLOOKUP(A39,tbMoveset!A2:C112,3,FALSE)/100)*IF(VLOOKUP(A39,tbMoveset!A2:B112,2,FALSE)="Projectile",Backdoors!N10,Backdoors!N9),0),"")</f>
        <v/>
      </c>
      <c r="DG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C39&gt;=0.45,VLOOKUP(Calculator!E23,tbSkills!DH3:DI6,2,FALSE)+IF(AND(Calculator!B8=TRUE,Backdoors!BI18=TRUE),VLOOKUP(Calculator!E23,tbSkills!DH3:DJ6,3,FALSE),0),0))&gt;=100,100,(Backdoors!AI12+IF(DC39&gt;=0.45,VLOOKUP(Calculator!E23,tbSkills!DH3:DI6,2,FALSE)+IF(AND(Calculator!B8=TRUE,Backdoors!BI18=TRUE),VLOOKUP(Calculator!E23,tbSkills!DH3:DJ6,3,FALSE),0),0)))/100)),1))*IF(VLOOKUP(A39,tbMoveset!A2:K112,11,FALSE)=TRUE,Backdoors!AC5,1))*DD39,0),"")</f>
        <v>0</v>
      </c>
      <c r="DH39" s="49">
        <f>VLOOKUP(A39,tbMoveset!A2:G112,7,FALSE)*IFERROR(IF(Backdoors!AI12&gt;=0,1+(IF(Calculator!E40&gt;0,VLOOKUP(Calculator!E40,tbSkills!AI3:AJ5,2,FALSE),Backdoors!AL4)*(IF((Backdoors!AI12+IF(DC39&gt;=0.45,VLOOKUP(Calculator!E23,tbSkills!DH3:DI6,2,FALSE)+IF(AND(Calculator!B8=TRUE,Backdoors!BI18=TRUE),VLOOKUP(Calculator!E23,tbSkills!DH3:DJ6,3,FALSE),0),0))&gt;=100,100,(Backdoors!AI12+IF(DC39&gt;=0.45,VLOOKUP(Calculator!E23,tbSkills!DH3:DI6,2,FALSE)+IF(AND(Calculator!B8=TRUE,Backdoors!BI18=TRUE),VLOOKUP(Calculator!E23,tbSkills!DH3:DJ6,3,FALSE),0),0)))/100)),1),1)</f>
        <v>0.5</v>
      </c>
      <c r="DI39" s="87">
        <f t="shared" si="9"/>
        <v>0</v>
      </c>
      <c r="DJ39" s="86" t="str">
        <f>IFERROR(IF(VLOOKUP(A39,tbMoveset!A2:B112,2,FALSE)="Sever",Backdoors!AY19/100,IF(VLOOKUP(A39,tbMoveset!A2:B112,2,FALSE)="Blunt",Backdoors!AZ19/100,Backdoors!BA19/100)),"")</f>
        <v/>
      </c>
      <c r="DK39" s="49">
        <f>IFERROR(IF(VLOOKUP(tbMoveset!A39,tbMoveset!A2:H112,8,FALSE)="Other",IF(VLOOKUP(tbMoveset!A39,tbMoveset!A2:I112,9,FALSE)="Fire",Backdoors!BB19,IF(VLOOKUP(tbMoveset!A39,tbMoveset!A2:I112,9,FALSE)="Water",Backdoors!BC19,IF(VLOOKUP(tbMoveset!A39,tbMoveset!A2:I112,9,FALSE)="Thunder",Backdoors!BD19,IF(VLOOKUP(tbMoveset!A39,tbMoveset!A2:I112,9,FALSE)="Ice",Backdoors!BE19,IF(VLOOKUP(tbMoveset!A39,tbMoveset!A2:I112,9,FALSE)="Dragon",Backdoors!BF19,Backdoors!BG19)))))/100,Backdoors!BG19/100),"")</f>
        <v>0</v>
      </c>
      <c r="DL39" s="49">
        <f>IFERROR(IF(VLOOKUP(A39,tbMoveset!A2:J112,10,FALSE)=TRUE,IF((Backdoors!AI12+IF(DJ39&gt;=0.45,VLOOKUP(Calculator!E23,tbSkills!DH3:DI6,2,FALSE)+IF(AND(Calculator!B8=TRUE,Backdoors!BI19=TRUE),VLOOKUP(Calculator!E23,tbSkills!DH3:DJ6,3,FALSE),0),0))&gt;=0,1+(Backdoors!AL2*(IF((Backdoors!AI12+IF(DJ39&gt;=0.45,VLOOKUP(Calculator!E23,tbSkills!DH3:DI6,2,FALSE)+IF(AND(Calculator!B8=TRUE,Backdoors!BI19=TRUE),VLOOKUP(Calculator!E23,tbSkills!DH3:DJ6,3,FALSE),0),0))&gt;=100,100,(Backdoors!AI12+IF(DJ39&gt;=0.45,VLOOKUP(Calculator!E23,tbSkills!DH3:DI6,2,FALSE)+IF(AND(Calculator!B8=TRUE,Backdoors!BI19=TRUE),VLOOKUP(Calculator!E23,tbSkills!DH3:DJ6,3,FALSE),0),0)))/100)),(1-(0.25*((-Backdoors!AI12-IF(DJ39&gt;=0.45,VLOOKUP(Calculator!E23,tbSkills!DH3:DI6,2,FALSE)+IF(AND(Calculator!B8=TRUE,Backdoors!BI19=TRUE),VLOOKUP(Calculator!E23,tbSkills!DH3:DJ6,3,FALSE),0),0))/100)))),1),"")</f>
        <v>1</v>
      </c>
      <c r="DM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J39)*DL39)*(VLOOKUP(A39,tbMoveset!A2:C112,3,FALSE)/100)*IF(VLOOKUP(A39,tbMoveset!A2:B112,2,FALSE)="Projectile",Backdoors!N10,Backdoors!N9),0),"")</f>
        <v/>
      </c>
      <c r="DN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J39&gt;=0.45,VLOOKUP(Calculator!E23,tbSkills!DH3:DI6,2,FALSE)+IF(AND(Calculator!B8=TRUE,Backdoors!BI19=TRUE),VLOOKUP(Calculator!E23,tbSkills!DH3:DJ6,3,FALSE),0),0))&gt;=100,100,(Backdoors!AI12+IF(DJ39&gt;=0.45,VLOOKUP(Calculator!E23,tbSkills!DH3:DI6,2,FALSE)+IF(AND(Calculator!B8=TRUE,Backdoors!BI19=TRUE),VLOOKUP(Calculator!E23,tbSkills!DH3:DJ6,3,FALSE),0),0)))/100)),1))*IF(VLOOKUP(A39,tbMoveset!A2:K112,11,FALSE)=TRUE,Backdoors!AC5,1))*DK39,0),"")</f>
        <v>0</v>
      </c>
      <c r="DO39" s="49">
        <f>VLOOKUP(A39,tbMoveset!A2:G112,7,FALSE)*IFERROR(IF(Backdoors!AI12&gt;=0,1+(IF(Calculator!E40&gt;0,VLOOKUP(Calculator!E40,tbSkills!AI3:AJ5,2,FALSE),Backdoors!AL4)*(IF((Backdoors!AI12+IF(DJ39&gt;=0.45,VLOOKUP(Calculator!E23,tbSkills!DH3:DI6,2,FALSE)+IF(AND(Calculator!B8=TRUE,Backdoors!BI19=TRUE),VLOOKUP(Calculator!E23,tbSkills!DH3:DJ6,3,FALSE),0),0))&gt;=100,100,(Backdoors!AI12+IF(DJ39&gt;=0.45,VLOOKUP(Calculator!E23,tbSkills!DH3:DI6,2,FALSE)+IF(AND(Calculator!B8=TRUE,Backdoors!BI19=TRUE),VLOOKUP(Calculator!E23,tbSkills!DH3:DJ6,3,FALSE),0),0)))/100)),1),1)</f>
        <v>0.5</v>
      </c>
      <c r="DP39" s="87">
        <f t="shared" si="41"/>
        <v>0</v>
      </c>
      <c r="DQ39" s="86" t="str">
        <f>IFERROR(IF(VLOOKUP(A39,tbMoveset!A2:B112,2,FALSE)="Sever",Backdoors!AY20/100,IF(VLOOKUP(A39,tbMoveset!A2:B112,2,FALSE)="Blunt",Backdoors!AZ20/100,Backdoors!BA20/100)),"")</f>
        <v/>
      </c>
      <c r="DR39" s="49">
        <f>IFERROR(IF(VLOOKUP(tbMoveset!A39,tbMoveset!A2:H112,8,FALSE)="Other",IF(VLOOKUP(tbMoveset!A39,tbMoveset!A2:I112,9,FALSE)="Fire",Backdoors!BB20,IF(VLOOKUP(tbMoveset!A39,tbMoveset!A2:I112,9,FALSE)="Water",Backdoors!BC20,IF(VLOOKUP(tbMoveset!A39,tbMoveset!A2:I112,9,FALSE)="Thunder",Backdoors!BD20,IF(VLOOKUP(tbMoveset!A39,tbMoveset!A2:I112,9,FALSE)="Ice",Backdoors!BE20,IF(VLOOKUP(tbMoveset!A39,tbMoveset!A2:I112,9,FALSE)="Dragon",Backdoors!BF20,Backdoors!BG20)))))/100,Backdoors!BG20/100),"")</f>
        <v>0</v>
      </c>
      <c r="DS39" s="49">
        <f>IFERROR(IF(VLOOKUP(A39,tbMoveset!A2:J112,10,FALSE)=TRUE,IF((Backdoors!AI12+IF(DQ39&gt;=0.45,VLOOKUP(Calculator!E23,tbSkills!DH3:DI6,2,FALSE)+IF(AND(Calculator!B8=TRUE,Backdoors!BI20=TRUE),VLOOKUP(Calculator!E23,tbSkills!DH3:DJ6,3,FALSE),0),0))&gt;=0,1+(Backdoors!AL2*(IF((Backdoors!AI12+IF(DQ39&gt;=0.45,VLOOKUP(Calculator!E23,tbSkills!DH3:DI6,2,FALSE)+IF(AND(Calculator!B8=TRUE,Backdoors!BI20=TRUE),VLOOKUP(Calculator!E23,tbSkills!DH3:DJ6,3,FALSE),0),0))&gt;=100,100,(Backdoors!AI12+IF(DQ39&gt;=0.45,VLOOKUP(Calculator!E23,tbSkills!DH3:DI6,2,FALSE)+IF(AND(Calculator!B8=TRUE,Backdoors!BI20=TRUE),VLOOKUP(Calculator!E23,tbSkills!DH3:DJ6,3,FALSE),0),0)))/100)),(1-(0.25*((-Backdoors!AI12-IF(DQ39&gt;=0.45,VLOOKUP(Calculator!E23,tbSkills!DH3:DI6,2,FALSE)+IF(AND(Calculator!B8=TRUE,Backdoors!BI20=TRUE),VLOOKUP(Calculator!E23,tbSkills!DH3:DJ6,3,FALSE),0),0))/100)))),1),"")</f>
        <v>1</v>
      </c>
      <c r="DT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Q39)*DS39)*(VLOOKUP(A39,tbMoveset!A2:C112,3,FALSE)/100)*IF(VLOOKUP(A39,tbMoveset!A2:B112,2,FALSE)="Projectile",Backdoors!N10,Backdoors!N9),0),"")</f>
        <v/>
      </c>
      <c r="DU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Q39&gt;=0.45,VLOOKUP(Calculator!E23,tbSkills!DH3:DI6,2,FALSE)+IF(AND(Calculator!B8=TRUE,Backdoors!BI20=TRUE),VLOOKUP(Calculator!E23,tbSkills!DH3:DJ6,3,FALSE),0),0))&gt;=100,100,(Backdoors!AI12+IF(DQ39&gt;=0.45,VLOOKUP(Calculator!E23,tbSkills!DH3:DI6,2,FALSE)+IF(AND(Calculator!B8=TRUE,Backdoors!BI20=TRUE),VLOOKUP(Calculator!E23,tbSkills!DH3:DJ6,3,FALSE),0),0)))/100)),1))*IF(VLOOKUP(A39,tbMoveset!A2:K112,11,FALSE)=TRUE,Backdoors!AC5,1))*DR39,0),"")</f>
        <v>0</v>
      </c>
      <c r="DV39" s="49">
        <f>VLOOKUP(A39,tbMoveset!A2:G112,7,FALSE)*IFERROR(IF(Backdoors!AI12&gt;=0,1+(IF(Calculator!E40&gt;0,VLOOKUP(Calculator!E40,tbSkills!AI3:AJ5,2,FALSE),Backdoors!AL4)*(IF((Backdoors!AI12+IF(DQ39&gt;=0.45,VLOOKUP(Calculator!E23,tbSkills!DH3:DI6,2,FALSE)+IF(AND(Calculator!B8=TRUE,Backdoors!BI20=TRUE),VLOOKUP(Calculator!E23,tbSkills!DH3:DJ6,3,FALSE),0),0))&gt;=100,100,(Backdoors!AI12+IF(DQ39&gt;=0.45,VLOOKUP(Calculator!E23,tbSkills!DH3:DI6,2,FALSE)+IF(AND(Calculator!B8=TRUE,Backdoors!BI20=TRUE),VLOOKUP(Calculator!E23,tbSkills!DH3:DJ6,3,FALSE),0),0)))/100)),1),1)</f>
        <v>0.5</v>
      </c>
      <c r="DW39" s="87">
        <f t="shared" si="10"/>
        <v>0</v>
      </c>
      <c r="DX39" s="86" t="str">
        <f>IFERROR(IF(VLOOKUP(A39,tbMoveset!A2:B112,2,FALSE)="Sever",Backdoors!AY21/100,IF(VLOOKUP(A39,tbMoveset!A2:B112,2,FALSE)="Blunt",Backdoors!AZ21/100,Backdoors!BA21/100)),"")</f>
        <v/>
      </c>
      <c r="DY39" s="49">
        <f>IFERROR(IF(VLOOKUP(tbMoveset!A39,tbMoveset!A2:H112,8,FALSE)="Other",IF(VLOOKUP(tbMoveset!A39,tbMoveset!A2:I112,9,FALSE)="Fire",Backdoors!BB21,IF(VLOOKUP(tbMoveset!A39,tbMoveset!A2:I112,9,FALSE)="Water",Backdoors!BC21,IF(VLOOKUP(tbMoveset!A39,tbMoveset!A2:I112,9,FALSE)="Thunder",Backdoors!BD21,IF(VLOOKUP(tbMoveset!A39,tbMoveset!A2:I112,9,FALSE)="Ice",Backdoors!BE21,IF(VLOOKUP(tbMoveset!A39,tbMoveset!A2:I112,9,FALSE)="Dragon",Backdoors!BF21,Backdoors!BG21)))))/100,Backdoors!BG21/100),"")</f>
        <v>0</v>
      </c>
      <c r="DZ39" s="49">
        <f>IFERROR(IF(VLOOKUP(A39,tbMoveset!A2:J112,10,FALSE)=TRUE,IF((Backdoors!AI12+IF(DX39&gt;=0.45,VLOOKUP(Calculator!E23,tbSkills!DH3:DI6,2,FALSE)+IF(AND(Calculator!B8=TRUE,Backdoors!BI21=TRUE),VLOOKUP(Calculator!E23,tbSkills!DH3:DJ6,3,FALSE),0),0))&gt;=0,1+(Backdoors!AL2*(IF((Backdoors!AI12+IF(DX39&gt;=0.45,VLOOKUP(Calculator!E23,tbSkills!DH3:DI6,2,FALSE)+IF(AND(Calculator!B8=TRUE,Backdoors!BI21=TRUE),VLOOKUP(Calculator!E23,tbSkills!DH3:DJ6,3,FALSE),0),0))&gt;=100,100,(Backdoors!AI12+IF(DX39&gt;=0.45,VLOOKUP(Calculator!E23,tbSkills!DH3:DI6,2,FALSE)+IF(AND(Calculator!B8=TRUE,Backdoors!BI21=TRUE),VLOOKUP(Calculator!E23,tbSkills!DH3:DJ6,3,FALSE),0),0)))/100)),(1-(0.25*((-Backdoors!AI12-IF(DX39&gt;=0.45,VLOOKUP(Calculator!E23,tbSkills!DH3:DI6,2,FALSE)+IF(AND(Calculator!B8=TRUE,Backdoors!BI21=TRUE),VLOOKUP(Calculator!E23,tbSkills!DH3:DJ6,3,FALSE),0),0))/100)))),1),"")</f>
        <v>1</v>
      </c>
      <c r="EA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X39)*DZ39)*(VLOOKUP(A39,tbMoveset!A2:C112,3,FALSE)/100)*IF(VLOOKUP(A39,tbMoveset!A2:B112,2,FALSE)="Projectile",Backdoors!N10,Backdoors!N9),0),"")</f>
        <v/>
      </c>
      <c r="EB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X39&gt;=0.45,VLOOKUP(Calculator!E23,tbSkills!DH3:DI6,2,FALSE)+IF(AND(Calculator!B8=TRUE,Backdoors!BI21=TRUE),VLOOKUP(Calculator!E23,tbSkills!DH3:DJ6,3,FALSE),0),0))&gt;=100,100,(Backdoors!AI12+IF(DX39&gt;=0.45,VLOOKUP(Calculator!E23,tbSkills!DH3:DI6,2,FALSE)+IF(AND(Calculator!B8=TRUE,Backdoors!BI21=TRUE),VLOOKUP(Calculator!E23,tbSkills!DH3:DJ6,3,FALSE),0),0)))/100)),1))*IF(VLOOKUP(A39,tbMoveset!A2:K112,11,FALSE)=TRUE,Backdoors!AC5,1))*DY39,0),"")</f>
        <v>0</v>
      </c>
      <c r="EC39" s="49">
        <f>VLOOKUP(A39,tbMoveset!A2:G112,7,FALSE)*IFERROR(IF(Backdoors!AI12&gt;=0,1+(IF(Calculator!E40&gt;0,VLOOKUP(Calculator!E40,tbSkills!AI3:AJ5,2,FALSE),Backdoors!AL4)*(IF((Backdoors!AI12+IF(DX39&gt;=0.45,VLOOKUP(Calculator!E23,tbSkills!DH3:DI6,2,FALSE)+IF(AND(Calculator!B8=TRUE,Backdoors!BI21=TRUE),VLOOKUP(Calculator!E23,tbSkills!DH3:DJ6,3,FALSE),0),0))&gt;=100,100,(Backdoors!AI12+IF(DX39&gt;=0.45,VLOOKUP(Calculator!E23,tbSkills!DH3:DI6,2,FALSE)+IF(AND(Calculator!B8=TRUE,Backdoors!BI21=TRUE),VLOOKUP(Calculator!E23,tbSkills!DH3:DJ6,3,FALSE),0),0)))/100)),1),1)</f>
        <v>0.5</v>
      </c>
      <c r="ED39" s="87">
        <f t="shared" si="11"/>
        <v>0</v>
      </c>
      <c r="EE39" s="86" t="str">
        <f>IFERROR(IF(VLOOKUP(A39,tbMoveset!A2:B112,2,FALSE)="Sever",Backdoors!AY22/100,IF(VLOOKUP(A39,tbMoveset!A2:B112,2,FALSE)="Blunt",Backdoors!AZ22/100,Backdoors!BA22/100)),"")</f>
        <v/>
      </c>
      <c r="EF39" s="49">
        <f>IFERROR(IF(VLOOKUP(tbMoveset!A39,tbMoveset!A2:H112,8,FALSE)="Other",IF(VLOOKUP(tbMoveset!A39,tbMoveset!A2:I112,9,FALSE)="Fire",Backdoors!BB22,IF(VLOOKUP(tbMoveset!A39,tbMoveset!A2:I112,9,FALSE)="Water",Backdoors!BC22,IF(VLOOKUP(tbMoveset!A39,tbMoveset!A2:I112,9,FALSE)="Thunder",Backdoors!BD22,IF(VLOOKUP(tbMoveset!A39,tbMoveset!A2:I112,9,FALSE)="Ice",Backdoors!BE22,IF(VLOOKUP(tbMoveset!A39,tbMoveset!A2:I112,9,FALSE)="Dragon",Backdoors!BF22,Backdoors!BG22)))))/100,Backdoors!BG22/100),"")</f>
        <v>0</v>
      </c>
      <c r="EG39" s="49">
        <f>IFERROR(IF(VLOOKUP(A39,tbMoveset!A2:J112,10,FALSE)=TRUE,IF((Backdoors!AI12+IF(EE39&gt;=0.45,VLOOKUP(Calculator!E23,tbSkills!DH3:DI6,2,FALSE)+IF(AND(Calculator!B8=TRUE,Backdoors!BI22=TRUE),VLOOKUP(Calculator!E23,tbSkills!DH3:DJ6,3,FALSE),0),0))&gt;=0,1+(Backdoors!AL2*(IF((Backdoors!AI12+IF(EE39&gt;=0.45,VLOOKUP(Calculator!E23,tbSkills!DH3:DI6,2,FALSE)+IF(AND(Calculator!B8=TRUE,Backdoors!BI22=TRUE),VLOOKUP(Calculator!E23,tbSkills!DH3:DJ6,3,FALSE),0),0))&gt;=100,100,(Backdoors!AI12+IF(EE39&gt;=0.45,VLOOKUP(Calculator!E23,tbSkills!DH3:DI6,2,FALSE)+IF(AND(Calculator!B8=TRUE,Backdoors!BI22=TRUE),VLOOKUP(Calculator!E23,tbSkills!DH3:DJ6,3,FALSE),0),0)))/100)),(1-(0.25*((-Backdoors!AI12-IF(EE39&gt;=0.45,VLOOKUP(Calculator!E23,tbSkills!DH3:DI6,2,FALSE)+IF(AND(Calculator!B8=TRUE,Backdoors!BI22=TRUE),VLOOKUP(Calculator!E23,tbSkills!DH3:DJ6,3,FALSE),0),0))/100)))),1),"")</f>
        <v>1</v>
      </c>
      <c r="EH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E39)*EG39)*(VLOOKUP(A39,tbMoveset!A2:C112,3,FALSE)/100)*IF(VLOOKUP(A39,tbMoveset!A2:B112,2,FALSE)="Projectile",Backdoors!N10,Backdoors!N9),0),"")</f>
        <v/>
      </c>
      <c r="EI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E39&gt;=0.45,VLOOKUP(Calculator!E23,tbSkills!DH3:DI6,2,FALSE)+IF(AND(Calculator!B8=TRUE,Backdoors!BI22=TRUE),VLOOKUP(Calculator!E23,tbSkills!DH3:DJ6,3,FALSE),0),0))&gt;=100,100,(Backdoors!AI12+IF(EE39&gt;=0.45,VLOOKUP(Calculator!E23,tbSkills!DH3:DI6,2,FALSE)+IF(AND(Calculator!B8=TRUE,Backdoors!BI22=TRUE),VLOOKUP(Calculator!E23,tbSkills!DH3:DJ6,3,FALSE),0),0)))/100)),1))*IF(VLOOKUP(A39,tbMoveset!A2:K112,11,FALSE)=TRUE,Backdoors!AC5,1))*EF39,0),"")</f>
        <v>0</v>
      </c>
      <c r="EJ39" s="49">
        <f>VLOOKUP(A39,tbMoveset!A2:G112,7,FALSE)*IFERROR(IF(Backdoors!AI12&gt;=0,1+(IF(Calculator!E40&gt;0,VLOOKUP(Calculator!E40,tbSkills!AI3:AJ5,2,FALSE),Backdoors!AL4)*(IF((Backdoors!AI12+IF(EE39&gt;=0.45,VLOOKUP(Calculator!E23,tbSkills!DH3:DI6,2,FALSE)+IF(AND(Calculator!B8=TRUE,Backdoors!BI22=TRUE),VLOOKUP(Calculator!E23,tbSkills!DH3:DJ6,3,FALSE),0),0))&gt;=100,100,(Backdoors!AI12+IF(EE39&gt;=0.45,VLOOKUP(Calculator!E23,tbSkills!DH3:DI6,2,FALSE)+IF(AND(Calculator!B8=TRUE,Backdoors!BI22=TRUE),VLOOKUP(Calculator!E23,tbSkills!DH3:DJ6,3,FALSE),0),0)))/100)),1),1)</f>
        <v>0.5</v>
      </c>
      <c r="EK39" s="87">
        <f t="shared" si="12"/>
        <v>0</v>
      </c>
      <c r="EL39" s="86" t="str">
        <f>IFERROR(IF(VLOOKUP(A39,tbMoveset!A2:B112,2,FALSE)="Sever",Backdoors!AY23/100,IF(VLOOKUP(A39,tbMoveset!A2:B112,2,FALSE)="Blunt",Backdoors!AZ23/100,Backdoors!BA23/100)),"")</f>
        <v/>
      </c>
      <c r="EM39" s="49">
        <f>IFERROR(IF(VLOOKUP(tbMoveset!A39,tbMoveset!A2:H112,8,FALSE)="Other",IF(VLOOKUP(tbMoveset!A39,tbMoveset!A2:I112,9,FALSE)="Fire",Backdoors!BB23,IF(VLOOKUP(tbMoveset!A39,tbMoveset!A2:I112,9,FALSE)="Water",Backdoors!BC23,IF(VLOOKUP(tbMoveset!A39,tbMoveset!A2:I112,9,FALSE)="Thunder",Backdoors!BD23,IF(VLOOKUP(tbMoveset!A39,tbMoveset!A2:I112,9,FALSE)="Ice",Backdoors!BE23,IF(VLOOKUP(tbMoveset!A39,tbMoveset!A2:I112,9,FALSE)="Dragon",Backdoors!BF23,Backdoors!BG23)))))/100,Backdoors!BG23/100),"")</f>
        <v>0</v>
      </c>
      <c r="EN39" s="49">
        <f>IFERROR(IF(VLOOKUP(A39,tbMoveset!A2:J112,10,FALSE)=TRUE,IF((Backdoors!AI12+IF(EL39&gt;=0.45,VLOOKUP(Calculator!E23,tbSkills!DH3:DI6,2,FALSE)+IF(AND(Calculator!B8=TRUE,Backdoors!BI23=TRUE),VLOOKUP(Calculator!E23,tbSkills!DH3:DJ6,3,FALSE),0),0))&gt;=0,1+(Backdoors!AL2*(IF((Backdoors!AI12+IF(EL39&gt;=0.45,VLOOKUP(Calculator!E23,tbSkills!DH3:DI6,2,FALSE)+IF(AND(Calculator!B8=TRUE,Backdoors!BI23=TRUE),VLOOKUP(Calculator!E23,tbSkills!DH3:DJ6,3,FALSE),0),0))&gt;=100,100,(Backdoors!AI12+IF(EL39&gt;=0.45,VLOOKUP(Calculator!E23,tbSkills!DH3:DI6,2,FALSE)+IF(AND(Calculator!B8=TRUE,Backdoors!BI23=TRUE),VLOOKUP(Calculator!E23,tbSkills!DH3:DJ6,3,FALSE),0),0)))/100)),(1-(0.25*((-Backdoors!AI12-IF(EL39&gt;=0.45,VLOOKUP(Calculator!E23,tbSkills!DH3:DI6,2,FALSE)+IF(AND(Calculator!B8=TRUE,Backdoors!BI23=TRUE),VLOOKUP(Calculator!E23,tbSkills!DH3:DJ6,3,FALSE),0),0))/100)))),1),"")</f>
        <v>1</v>
      </c>
      <c r="EO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L39)*EN39)*(VLOOKUP(A39,tbMoveset!A2:C112,3,FALSE)/100)*IF(VLOOKUP(A39,tbMoveset!A2:B112,2,FALSE)="Projectile",Backdoors!N10,Backdoors!N9),0),"")</f>
        <v/>
      </c>
      <c r="EP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L39&gt;=0.45,VLOOKUP(Calculator!E23,tbSkills!DH3:DI6,2,FALSE)+IF(AND(Calculator!B8=TRUE,Backdoors!BI23=TRUE),VLOOKUP(Calculator!E23,tbSkills!DH3:DJ6,3,FALSE),0),0))&gt;=100,100,(Backdoors!AI12+IF(EL39&gt;=0.45,VLOOKUP(Calculator!E23,tbSkills!DH3:DI6,2,FALSE)+IF(AND(Calculator!B8=TRUE,Backdoors!BI23=TRUE),VLOOKUP(Calculator!E23,tbSkills!DH3:DJ6,3,FALSE),0),0)))/100)),1))*IF(VLOOKUP(A39,tbMoveset!A2:K112,11,FALSE)=TRUE,Backdoors!AC5,1))*EM39,0),"")</f>
        <v>0</v>
      </c>
      <c r="EQ39" s="49">
        <f>VLOOKUP(A39,tbMoveset!A2:G112,7,FALSE)*IFERROR(IF(Backdoors!AI12&gt;=0,1+(IF(Calculator!E40&gt;0,VLOOKUP(Calculator!E40,tbSkills!AI3:AJ5,2,FALSE),Backdoors!AL4)*(IF((Backdoors!AI12+IF(EL39&gt;=0.45,VLOOKUP(Calculator!E23,tbSkills!DH3:DI6,2,FALSE)+IF(AND(Calculator!B8=TRUE,Backdoors!BI23=TRUE),VLOOKUP(Calculator!E23,tbSkills!DH3:DJ6,3,FALSE),0),0))&gt;=100,100,(Backdoors!AI12+IF(EL39&gt;=0.45,VLOOKUP(Calculator!E23,tbSkills!DH3:DI6,2,FALSE)+IF(AND(Calculator!B8=TRUE,Backdoors!BI23=TRUE),VLOOKUP(Calculator!E23,tbSkills!DH3:DJ6,3,FALSE),0),0)))/100)),1),1)</f>
        <v>0.5</v>
      </c>
      <c r="ER39" s="87">
        <f t="shared" si="13"/>
        <v>0</v>
      </c>
      <c r="ES39" s="86" t="str">
        <f>IFERROR(IF(VLOOKUP(A39,tbMoveset!A2:B112,2,FALSE)="Sever",Backdoors!AY24/100,IF(VLOOKUP(A39,tbMoveset!A2:B112,2,FALSE)="Blunt",Backdoors!AZ24/100,Backdoors!BA24/100)),"")</f>
        <v/>
      </c>
      <c r="ET39" s="49">
        <f>IFERROR(IF(VLOOKUP(tbMoveset!A39,tbMoveset!A2:H112,8,FALSE)="Other",IF(VLOOKUP(tbMoveset!A39,tbMoveset!A2:I112,9,FALSE)="Fire",Backdoors!BB24,IF(VLOOKUP(tbMoveset!A39,tbMoveset!A2:I112,9,FALSE)="Water",Backdoors!BC24,IF(VLOOKUP(tbMoveset!A39,tbMoveset!A2:I112,9,FALSE)="Thunder",Backdoors!BD24,IF(VLOOKUP(tbMoveset!A39,tbMoveset!A2:I112,9,FALSE)="Ice",Backdoors!BE24,IF(VLOOKUP(tbMoveset!A39,tbMoveset!A2:I112,9,FALSE)="Dragon",Backdoors!BF24,Backdoors!BG24)))))/100,Backdoors!BG24/100),"")</f>
        <v>0</v>
      </c>
      <c r="EU39" s="49">
        <f>IFERROR(IF(VLOOKUP(A39,tbMoveset!A2:J112,10,FALSE)=TRUE,IF((Backdoors!AI12+IF(ES39&gt;=0.45,VLOOKUP(Calculator!E23,tbSkills!DH3:DI6,2,FALSE)+IF(AND(Calculator!B8=TRUE,Backdoors!BI24=TRUE),VLOOKUP(Calculator!E23,tbSkills!DH3:DJ6,3,FALSE),0),0))&gt;=0,1+(Backdoors!AL2*(IF((Backdoors!AI12+IF(ES39&gt;=0.45,VLOOKUP(Calculator!E23,tbSkills!DH3:DI6,2,FALSE)+IF(AND(Calculator!B8=TRUE,Backdoors!BI24=TRUE),VLOOKUP(Calculator!E23,tbSkills!DH3:DJ6,3,FALSE),0),0))&gt;=100,100,(Backdoors!AI12+IF(ES39&gt;=0.45,VLOOKUP(Calculator!E23,tbSkills!DH3:DI6,2,FALSE)+IF(AND(Calculator!B8=TRUE,Backdoors!BI24=TRUE),VLOOKUP(Calculator!E23,tbSkills!DH3:DJ6,3,FALSE),0),0)))/100)),(1-(0.25*((-Backdoors!AI12-IF(ES39&gt;=0.45,VLOOKUP(Calculator!E23,tbSkills!DH3:DI6,2,FALSE)+IF(AND(Calculator!B8=TRUE,Backdoors!BI24=TRUE),VLOOKUP(Calculator!E23,tbSkills!DH3:DJ6,3,FALSE),0),0))/100)))),1),"")</f>
        <v>1</v>
      </c>
      <c r="EV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S39)*EU39)*(VLOOKUP(A39,tbMoveset!A2:C112,3,FALSE)/100)*IF(VLOOKUP(A39,tbMoveset!A2:B112,2,FALSE)="Projectile",Backdoors!N10,Backdoors!N9),0),"")</f>
        <v/>
      </c>
      <c r="EW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S39&gt;=0.45,VLOOKUP(Calculator!E23,tbSkills!DH3:DI6,2,FALSE)+IF(AND(Calculator!B8=TRUE,Backdoors!BI24=TRUE),VLOOKUP(Calculator!E23,tbSkills!DH3:DJ6,3,FALSE),0),0))&gt;=100,100,(Backdoors!AI12+IF(ES39&gt;=0.45,VLOOKUP(Calculator!E23,tbSkills!DH3:DI6,2,FALSE)+IF(AND(Calculator!B8=TRUE,Backdoors!BI24=TRUE),VLOOKUP(Calculator!E23,tbSkills!DH3:DJ6,3,FALSE),0),0)))/100)),1))*IF(VLOOKUP(A39,tbMoveset!A2:K112,11,FALSE)=TRUE,Backdoors!AC5,1))*ET39,0),"")</f>
        <v>0</v>
      </c>
      <c r="EX39" s="49">
        <f>VLOOKUP(A39,tbMoveset!A2:G112,7,FALSE)*IFERROR(IF(Backdoors!AI12&gt;=0,1+(IF(Calculator!E40&gt;0,VLOOKUP(Calculator!E40,tbSkills!AI3:AJ5,2,FALSE),Backdoors!AL4)*(IF((Backdoors!AI12+IF(ES39&gt;=0.45,VLOOKUP(Calculator!E23,tbSkills!DH3:DI6,2,FALSE)+IF(AND(Calculator!B8=TRUE,Backdoors!BI24=TRUE),VLOOKUP(Calculator!E23,tbSkills!DH3:DJ6,3,FALSE),0),0))&gt;=100,100,(Backdoors!AI12+IF(ES39&gt;=0.45,VLOOKUP(Calculator!E23,tbSkills!DH3:DI6,2,FALSE)+IF(AND(Calculator!B8=TRUE,Backdoors!BI24=TRUE),VLOOKUP(Calculator!E23,tbSkills!DH3:DJ6,3,FALSE),0),0)))/100)),1),1)</f>
        <v>0.5</v>
      </c>
      <c r="EY39" s="87">
        <f t="shared" si="14"/>
        <v>0</v>
      </c>
      <c r="EZ39" s="86" t="str">
        <f>IFERROR(IF(VLOOKUP(A39,tbMoveset!A2:B112,2,FALSE)="Sever",Backdoors!AY25/100,IF(VLOOKUP(A39,tbMoveset!A2:B112,2,FALSE)="Blunt",Backdoors!AZ25/100,Backdoors!BA25/100)),"")</f>
        <v/>
      </c>
      <c r="FA39" s="49">
        <f>IFERROR(IF(VLOOKUP(tbMoveset!A39,tbMoveset!A2:H112,8,FALSE)="Other",IF(VLOOKUP(tbMoveset!A39,tbMoveset!A2:I112,9,FALSE)="Fire",Backdoors!BB25,IF(VLOOKUP(tbMoveset!A39,tbMoveset!A2:I112,9,FALSE)="Water",Backdoors!BC25,IF(VLOOKUP(tbMoveset!A39,tbMoveset!A2:I112,9,FALSE)="Thunder",Backdoors!BD25,IF(VLOOKUP(tbMoveset!A39,tbMoveset!A2:I112,9,FALSE)="Ice",Backdoors!BE25,IF(VLOOKUP(tbMoveset!A39,tbMoveset!A2:I112,9,FALSE)="Dragon",Backdoors!BF25,Backdoors!BG25)))))/100,Backdoors!BG25/100),"")</f>
        <v>0</v>
      </c>
      <c r="FB39" s="49">
        <f>IFERROR(IF(VLOOKUP(A39,tbMoveset!A2:J112,10,FALSE)=TRUE,IF((Backdoors!AI12+IF(EZ39&gt;=0.45,VLOOKUP(Calculator!E23,tbSkills!DH3:DI6,2,FALSE)+IF(AND(Calculator!B8=TRUE,Backdoors!BI25=TRUE),VLOOKUP(Calculator!E23,tbSkills!DH3:DJ6,3,FALSE),0),0))&gt;=0,1+(Backdoors!AL2*(IF((Backdoors!AI12+IF(EZ39&gt;=0.45,VLOOKUP(Calculator!E23,tbSkills!DH3:DI6,2,FALSE)+IF(AND(Calculator!B8=TRUE,Backdoors!BI25=TRUE),VLOOKUP(Calculator!E23,tbSkills!DH3:DJ6,3,FALSE),0),0))&gt;=100,100,(Backdoors!AI12+IF(EZ39&gt;=0.45,VLOOKUP(Calculator!E23,tbSkills!DH3:DI6,2,FALSE)+IF(AND(Calculator!B8=TRUE,Backdoors!BI25=TRUE),VLOOKUP(Calculator!E23,tbSkills!DH3:DJ6,3,FALSE),0),0)))/100)),(1-(0.25*((-Backdoors!AI12-IF(EZ39&gt;=0.45,VLOOKUP(Calculator!E23,tbSkills!DH3:DI6,2,FALSE)+IF(AND(Calculator!B8=TRUE,Backdoors!BI25=TRUE),VLOOKUP(Calculator!E23,tbSkills!DH3:DJ6,3,FALSE),0),0))/100)))),1),"")</f>
        <v>1</v>
      </c>
      <c r="FC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Z39)*FB39)*(VLOOKUP(A39,tbMoveset!A2:C112,3,FALSE)/100)*IF(VLOOKUP(A39,tbMoveset!A2:B112,2,FALSE)="Projectile",Backdoors!N10,Backdoors!N9),0),"")</f>
        <v/>
      </c>
      <c r="FD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Z39&gt;=0.45,VLOOKUP(Calculator!E23,tbSkills!DH3:DI6,2,FALSE)+IF(AND(Calculator!B8=TRUE,Backdoors!BI25=TRUE),VLOOKUP(Calculator!E23,tbSkills!DH3:DJ6,3,FALSE),0),0))&gt;=100,100,(Backdoors!AI12+IF(EZ39&gt;=0.45,VLOOKUP(Calculator!E23,tbSkills!DH3:DI6,2,FALSE)+IF(AND(Calculator!B8=TRUE,Backdoors!BI25=TRUE),VLOOKUP(Calculator!E23,tbSkills!DH3:DJ6,3,FALSE),0),0)))/100)),1))*IF(VLOOKUP(A39,tbMoveset!A2:K112,11,FALSE)=TRUE,Backdoors!AC5,1))*FA39,0),"")</f>
        <v>0</v>
      </c>
      <c r="FE39" s="49">
        <f>VLOOKUP(A39,tbMoveset!A2:G112,7,FALSE)*IFERROR(IF(Backdoors!AI12&gt;=0,1+(IF(Calculator!E40&gt;0,VLOOKUP(Calculator!E40,tbSkills!AI3:AJ5,2,FALSE),Backdoors!AL4)*(IF((Backdoors!AI12+IF(EZ39&gt;=0.45,VLOOKUP(Calculator!E23,tbSkills!DH3:DI6,2,FALSE)+IF(AND(Calculator!B8=TRUE,Backdoors!BI25=TRUE),VLOOKUP(Calculator!E23,tbSkills!DH3:DJ6,3,FALSE),0),0))&gt;=100,100,(Backdoors!AI12+IF(EZ39&gt;=0.45,VLOOKUP(Calculator!E23,tbSkills!DH3:DI6,2,FALSE)+IF(AND(Calculator!B8=TRUE,Backdoors!BI25=TRUE),VLOOKUP(Calculator!E23,tbSkills!DH3:DJ6,3,FALSE),0),0)))/100)),1),1)</f>
        <v>0.5</v>
      </c>
      <c r="FF39" s="87">
        <f t="shared" si="15"/>
        <v>0</v>
      </c>
      <c r="FG39" s="86" t="str">
        <f>IFERROR(IF(VLOOKUP(A39,tbMoveset!A2:B112,2,FALSE)="Sever",Backdoors!AY26/100,IF(VLOOKUP(A39,tbMoveset!A2:B112,2,FALSE)="Blunt",Backdoors!AZ26/100,Backdoors!BA26/100)),"")</f>
        <v/>
      </c>
      <c r="FH39" s="49">
        <f>IFERROR(IF(VLOOKUP(tbMoveset!A39,tbMoveset!A2:H112,8,FALSE)="Other",IF(VLOOKUP(tbMoveset!A39,tbMoveset!A2:I112,9,FALSE)="Fire",Backdoors!BB26,IF(VLOOKUP(tbMoveset!A39,tbMoveset!A2:I112,9,FALSE)="Water",Backdoors!BC26,IF(VLOOKUP(tbMoveset!A39,tbMoveset!A2:I112,9,FALSE)="Thunder",Backdoors!BD26,IF(VLOOKUP(tbMoveset!A39,tbMoveset!A2:I112,9,FALSE)="Ice",Backdoors!BE26,IF(VLOOKUP(tbMoveset!A39,tbMoveset!A2:I112,9,FALSE)="Dragon",Backdoors!BF26,Backdoors!BG26)))))/100,Backdoors!BG26/100),"")</f>
        <v>0</v>
      </c>
      <c r="FI39" s="49">
        <f>IFERROR(IF(VLOOKUP(A39,tbMoveset!A2:J112,10,FALSE)=TRUE,IF((Backdoors!AI12+IF(FG39&gt;=0.45,VLOOKUP(Calculator!E23,tbSkills!DH3:DI6,2,FALSE)+IF(AND(Calculator!B8=TRUE,Backdoors!BI26=TRUE),VLOOKUP(Calculator!E23,tbSkills!DH3:DJ6,3,FALSE),0),0))&gt;=0,1+(Backdoors!AL2*(IF((Backdoors!AI12+IF(FG39&gt;=0.45,VLOOKUP(Calculator!E23,tbSkills!DH3:DI6,2,FALSE)+IF(AND(Calculator!B8=TRUE,Backdoors!BI26=TRUE),VLOOKUP(Calculator!E23,tbSkills!DH3:DJ6,3,FALSE),0),0))&gt;=100,100,(Backdoors!AI12+IF(FG39&gt;=0.45,VLOOKUP(Calculator!E23,tbSkills!DH3:DI6,2,FALSE)+IF(AND(Calculator!B8=TRUE,Backdoors!BI26=TRUE),VLOOKUP(Calculator!E23,tbSkills!DH3:DJ6,3,FALSE),0),0)))/100)),(1-(0.25*((-Backdoors!AI12-IF(FG39&gt;=0.45,VLOOKUP(Calculator!E23,tbSkills!DH3:DI6,2,FALSE)+IF(AND(Calculator!B8=TRUE,Backdoors!BI26=TRUE),VLOOKUP(Calculator!E23,tbSkills!DH3:DJ6,3,FALSE),0),0))/100)))),1),"")</f>
        <v>1</v>
      </c>
      <c r="FJ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FG39)*FI39)*(VLOOKUP(A39,tbMoveset!A2:C112,3,FALSE)/100)*IF(VLOOKUP(A39,tbMoveset!A2:B112,2,FALSE)="Projectile",Backdoors!N10,Backdoors!N9),0),"")</f>
        <v/>
      </c>
      <c r="FK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FG39&gt;=0.45,VLOOKUP(Calculator!E23,tbSkills!DH3:DI6,2,FALSE)+IF(AND(Calculator!B8=TRUE,Backdoors!BI26=TRUE),VLOOKUP(Calculator!E23,tbSkills!DH3:DJ6,3,FALSE),0),0))&gt;=100,100,(Backdoors!AI12+IF(FG39&gt;=0.45,VLOOKUP(Calculator!E23,tbSkills!DH3:DI6,2,FALSE)+IF(AND(Calculator!B8=TRUE,Backdoors!BI26=TRUE),VLOOKUP(Calculator!E23,tbSkills!DH3:DJ6,3,FALSE),0),0)))/100)),1))*IF(VLOOKUP(A39,tbMoveset!A2:K112,11,FALSE)=TRUE,Backdoors!AC5,1))*FH39,0),"")</f>
        <v>0</v>
      </c>
      <c r="FL39" s="49">
        <f>VLOOKUP(A39,tbMoveset!A2:G112,7,FALSE)*IFERROR(IF(Backdoors!AI12&gt;=0,1+(IF(Calculator!E40&gt;0,VLOOKUP(Calculator!E40,tbSkills!AI3:AJ5,2,FALSE),Backdoors!AL4)*(IF((Backdoors!AI12+IF(FG39&gt;=0.45,VLOOKUP(Calculator!E23,tbSkills!DH3:DI6,2,FALSE)+IF(AND(Calculator!B8=TRUE,Backdoors!BI26=TRUE),VLOOKUP(Calculator!E23,tbSkills!DH3:DJ6,3,FALSE),0),0))&gt;=100,100,(Backdoors!AI12+IF(FG39&gt;=0.45,VLOOKUP(Calculator!E23,tbSkills!DH3:DI6,2,FALSE)+IF(AND(Calculator!B8=TRUE,Backdoors!BI26=TRUE),VLOOKUP(Calculator!E23,tbSkills!DH3:DJ6,3,FALSE),0),0)))/100)),1),1)</f>
        <v>0.5</v>
      </c>
      <c r="FM39" s="87">
        <f t="shared" si="16"/>
        <v>0</v>
      </c>
      <c r="FN39" s="86" t="str">
        <f>IFERROR(IF(VLOOKUP(A39,tbMoveset!A2:B112,2,FALSE)="Sever",Backdoors!AY27/100,IF(VLOOKUP(A39,tbMoveset!A2:B112,2,FALSE)="Blunt",Backdoors!AZ27/100,Backdoors!BA27/100)),"")</f>
        <v/>
      </c>
      <c r="FO39" s="49">
        <f>IFERROR(IF(VLOOKUP(tbMoveset!A39,tbMoveset!A2:H112,8,FALSE)="Other",IF(VLOOKUP(tbMoveset!A39,tbMoveset!A2:I112,9,FALSE)="Fire",Backdoors!BB27,IF(VLOOKUP(tbMoveset!A39,tbMoveset!A2:I112,9,FALSE)="Water",Backdoors!BC27,IF(VLOOKUP(tbMoveset!A39,tbMoveset!A2:I112,9,FALSE)="Thunder",Backdoors!BD27,IF(VLOOKUP(tbMoveset!A39,tbMoveset!A2:I112,9,FALSE)="Ice",Backdoors!BE27,IF(VLOOKUP(tbMoveset!A39,tbMoveset!A2:I112,9,FALSE)="Dragon",Backdoors!BF27,Backdoors!BG27)))))/100,Backdoors!BG27/100),"")</f>
        <v>0</v>
      </c>
      <c r="FP39" s="49">
        <f>IFERROR(IF(VLOOKUP(A39,tbMoveset!A2:J112,10,FALSE)=TRUE,IF((Backdoors!AI12+IF(FN39&gt;=0.45,VLOOKUP(Calculator!E23,tbSkills!DH3:DI6,2,FALSE)+IF(AND(Calculator!B8=TRUE,Backdoors!BI27=TRUE),VLOOKUP(Calculator!E23,tbSkills!DH3:DJ6,3,FALSE),0),0))&gt;=0,1+(Backdoors!AL2*(IF((Backdoors!AI12+IF(FN39&gt;=0.45,VLOOKUP(Calculator!E23,tbSkills!DH3:DI6,2,FALSE)+IF(AND(Calculator!B8=TRUE,Backdoors!BI27=TRUE),VLOOKUP(Calculator!E23,tbSkills!DH3:DJ6,3,FALSE),0),0))&gt;=100,100,(Backdoors!AI12+IF(FN39&gt;=0.45,VLOOKUP(Calculator!E23,tbSkills!DH3:DI6,2,FALSE)+IF(AND(Calculator!B8=TRUE,Backdoors!BI27=TRUE),VLOOKUP(Calculator!E23,tbSkills!DH3:DJ6,3,FALSE),0),0)))/100)),(1-(0.25*((-Backdoors!AI12-IF(FN39&gt;=0.45,VLOOKUP(Calculator!E23,tbSkills!DH3:DI6,2,FALSE)+IF(AND(Calculator!B8=TRUE,Backdoors!BI27=TRUE),VLOOKUP(Calculator!E23,tbSkills!DH3:DJ6,3,FALSE),0),0))/100)))),1),"")</f>
        <v>1</v>
      </c>
      <c r="FQ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FN39)*FP39)*(VLOOKUP(A39,tbMoveset!A2:C112,3,FALSE)/100)*IF(VLOOKUP(A39,tbMoveset!A2:B112,2,FALSE)="Projectile",Backdoors!N10,Backdoors!N9),0),"")</f>
        <v/>
      </c>
      <c r="FR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FN39&gt;=0.45,VLOOKUP(Calculator!E23,tbSkills!DH3:DI6,2,FALSE)+IF(AND(Calculator!B8=TRUE,Backdoors!BI27=TRUE),VLOOKUP(Calculator!E23,tbSkills!DH3:DJ6,3,FALSE),0),0))&gt;=100,100,(Backdoors!AI12+IF(FN39&gt;=0.45,VLOOKUP(Calculator!E23,tbSkills!DH3:DI6,2,FALSE)+IF(AND(Calculator!B8=TRUE,Backdoors!BI27=TRUE),VLOOKUP(Calculator!E23,tbSkills!DH3:DJ6,3,FALSE),0),0)))/100)),1))*IF(VLOOKUP(A39,tbMoveset!A2:K112,11,FALSE)=TRUE,Backdoors!AC5,1))*FO39,0),"")</f>
        <v>0</v>
      </c>
      <c r="FS39" s="49">
        <f>VLOOKUP(A39,tbMoveset!A2:G112,7,FALSE)*IFERROR(IF(Backdoors!AI12&gt;=0,1+(IF(Calculator!E40&gt;0,VLOOKUP(Calculator!E40,tbSkills!AI3:AJ5,2,FALSE),Backdoors!AL4)*(IF((Backdoors!AI12+IF(FN39&gt;=0.45,VLOOKUP(Calculator!E23,tbSkills!DH3:DI6,2,FALSE)+IF(AND(Calculator!B8=TRUE,Backdoors!BI27=TRUE),VLOOKUP(Calculator!E23,tbSkills!DH3:DJ6,3,FALSE),0),0))&gt;=100,100,(Backdoors!AI12+IF(FN39&gt;=0.45,VLOOKUP(Calculator!E23,tbSkills!DH3:DI6,2,FALSE)+IF(AND(Calculator!B8=TRUE,Backdoors!BI27=TRUE),VLOOKUP(Calculator!E23,tbSkills!DH3:DJ6,3,FALSE),0),0)))/100)),1),1)</f>
        <v>0.5</v>
      </c>
      <c r="FT39" s="87">
        <f t="shared" si="17"/>
        <v>0</v>
      </c>
      <c r="FU39" s="86" t="str">
        <f>IFERROR(IF(VLOOKUP(A39,tbMoveset!A2:B112,2,FALSE)="Sever",Backdoors!AY28/100,IF(VLOOKUP(A39,tbMoveset!A2:B112,2,FALSE)="Blunt",Backdoors!AZ28/100,Backdoors!BA28/100)),"")</f>
        <v/>
      </c>
      <c r="FV39" s="49">
        <f>IFERROR(IF(VLOOKUP(tbMoveset!A39,tbMoveset!A2:H112,8,FALSE)="Other",IF(VLOOKUP(tbMoveset!A39,tbMoveset!A2:I112,9,FALSE)="Fire",Backdoors!BB28,IF(VLOOKUP(tbMoveset!A39,tbMoveset!A2:I112,9,FALSE)="Water",Backdoors!BC28,IF(VLOOKUP(tbMoveset!A39,tbMoveset!A2:I112,9,FALSE)="Thunder",Backdoors!BD28,IF(VLOOKUP(tbMoveset!A39,tbMoveset!A2:I112,9,FALSE)="Ice",Backdoors!BE28,IF(VLOOKUP(tbMoveset!A39,tbMoveset!A2:I112,9,FALSE)="Dragon",Backdoors!BF28,Backdoors!BG28)))))/100,Backdoors!BG28/100),"")</f>
        <v>0</v>
      </c>
      <c r="FW39" s="49">
        <f>IFERROR(IF(VLOOKUP(A39,tbMoveset!A2:J112,10,FALSE)=TRUE,IF((Backdoors!AI12+IF(FU39&gt;=0.45,VLOOKUP(Calculator!E23,tbSkills!DH3:DI6,2,FALSE)+IF(AND(Calculator!B8=TRUE,Backdoors!BI28=TRUE),VLOOKUP(Calculator!E23,tbSkills!DH3:DJ6,3,FALSE),0),0))&gt;=0,1+(Backdoors!AL2*(IF((Backdoors!AI12+IF(FU39&gt;=0.45,VLOOKUP(Calculator!E23,tbSkills!DH3:DI6,2,FALSE)+IF(AND(Calculator!B8=TRUE,Backdoors!BI28=TRUE),VLOOKUP(Calculator!E23,tbSkills!DH3:DJ6,3,FALSE),0),0))&gt;=100,100,(Backdoors!AI12+IF(FU39&gt;=0.45,VLOOKUP(Calculator!E23,tbSkills!DH3:DI6,2,FALSE)+IF(AND(Calculator!B8=TRUE,Backdoors!BI28=TRUE),VLOOKUP(Calculator!E23,tbSkills!DH3:DJ6,3,FALSE),0),0)))/100)),(1-(0.25*((-Backdoors!AI12-IF(FU39&gt;=0.45,VLOOKUP(Calculator!E23,tbSkills!DH3:DI6,2,FALSE)+IF(AND(Calculator!B8=TRUE,Backdoors!BI28=TRUE),VLOOKUP(Calculator!E23,tbSkills!DH3:DJ6,3,FALSE),0),0))/100)))),1),"")</f>
        <v>1</v>
      </c>
      <c r="FX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FU39)*FW39)*(VLOOKUP(A39,tbMoveset!A2:C112,3,FALSE)/100)*IF(VLOOKUP(A39,tbMoveset!A2:B112,2,FALSE)="Projectile",Backdoors!N10,Backdoors!N9),0),"")</f>
        <v/>
      </c>
      <c r="FY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FU39&gt;=0.45,VLOOKUP(Calculator!E23,tbSkills!DH3:DI6,2,FALSE)+IF(AND(Calculator!B8=TRUE,Backdoors!BI28=TRUE),VLOOKUP(Calculator!E23,tbSkills!DH3:DJ6,3,FALSE),0),0))&gt;=100,100,(Backdoors!AI12+IF(FU39&gt;=0.45,VLOOKUP(Calculator!E23,tbSkills!DH3:DI6,2,FALSE)+IF(AND(Calculator!B8=TRUE,Backdoors!BI28=TRUE),VLOOKUP(Calculator!E23,tbSkills!DH3:DJ6,3,FALSE),0),0)))/100)),1))*IF(VLOOKUP(A39,tbMoveset!A2:K112,11,FALSE)=TRUE,Backdoors!AC5,1))*FV39,0),"")</f>
        <v>0</v>
      </c>
      <c r="FZ39" s="49">
        <f>VLOOKUP(A39,tbMoveset!A2:G112,7,FALSE)*IFERROR(IF(Backdoors!AI12&gt;=0,1+(IF(Calculator!E40&gt;0,VLOOKUP(Calculator!E40,tbSkills!AI3:AJ5,2,FALSE),Backdoors!AL4)*(IF((Backdoors!AI12+IF(FU39&gt;=0.45,VLOOKUP(Calculator!E23,tbSkills!DH3:DI6,2,FALSE)+IF(AND(Calculator!B8=TRUE,Backdoors!BI28=TRUE),VLOOKUP(Calculator!E23,tbSkills!DH3:DJ6,3,FALSE),0),0))&gt;=100,100,(Backdoors!AI12+IF(FU39&gt;=0.45,VLOOKUP(Calculator!E23,tbSkills!DH3:DI6,2,FALSE)+IF(AND(Calculator!B8=TRUE,Backdoors!BI28=TRUE),VLOOKUP(Calculator!E23,tbSkills!DH3:DJ6,3,FALSE),0),0)))/100)),1),1)</f>
        <v>0.5</v>
      </c>
      <c r="GA39" s="87">
        <f t="shared" si="18"/>
        <v>0</v>
      </c>
      <c r="GB39" s="86" t="str">
        <f>IFERROR(IF(VLOOKUP(A39,tbMoveset!A2:B112,2,FALSE)="Sever",Backdoors!AY29/100,IF(VLOOKUP(A39,tbMoveset!A2:B112,2,FALSE)="Blunt",Backdoors!AZ29/100,Backdoors!BA29/100)),"")</f>
        <v/>
      </c>
      <c r="GC39" s="49">
        <f>IFERROR(IF(VLOOKUP(tbMoveset!A39,tbMoveset!A2:H112,8,FALSE)="Other",IF(VLOOKUP(tbMoveset!A39,tbMoveset!A2:I112,9,FALSE)="Fire",Backdoors!BB29,IF(VLOOKUP(tbMoveset!A39,tbMoveset!A2:I112,9,FALSE)="Water",Backdoors!BC29,IF(VLOOKUP(tbMoveset!A39,tbMoveset!A2:I112,9,FALSE)="Thunder",Backdoors!BD29,IF(VLOOKUP(tbMoveset!A39,tbMoveset!A2:I112,9,FALSE)="Ice",Backdoors!BE29,IF(VLOOKUP(tbMoveset!A39,tbMoveset!A2:I112,9,FALSE)="Dragon",Backdoors!BF29,Backdoors!BG29)))))/100,Backdoors!BG29/100),"")</f>
        <v>0</v>
      </c>
      <c r="GD39" s="49">
        <f>IFERROR(IF(VLOOKUP(A39,tbMoveset!A2:J112,10,FALSE)=TRUE,IF((Backdoors!AI12+IF(GB39&gt;=0.45,VLOOKUP(Calculator!E23,tbSkills!DH3:DI6,2,FALSE)+IF(AND(Calculator!B8=TRUE,Backdoors!BI29=TRUE),VLOOKUP(Calculator!E23,tbSkills!DH3:DJ6,3,FALSE),0),0))&gt;=0,1+(Backdoors!AL2*(IF((Backdoors!AI12+IF(GB39&gt;=0.45,VLOOKUP(Calculator!E23,tbSkills!DH3:DI6,2,FALSE)+IF(AND(Calculator!B8=TRUE,Backdoors!BI29=TRUE),VLOOKUP(Calculator!E23,tbSkills!DH3:DJ6,3,FALSE),0),0))&gt;=100,100,(Backdoors!AI12+IF(GB39&gt;=0.45,VLOOKUP(Calculator!E23,tbSkills!DH3:DI6,2,FALSE)+IF(AND(Calculator!B8=TRUE,Backdoors!BI29=TRUE),VLOOKUP(Calculator!E23,tbSkills!DH3:DJ6,3,FALSE),0),0)))/100)),(1-(0.25*((-Backdoors!AI12-IF(GB39&gt;=0.45,VLOOKUP(Calculator!E23,tbSkills!DH3:DI6,2,FALSE)+IF(AND(Calculator!B8=TRUE,Backdoors!BI29=TRUE),VLOOKUP(Calculator!E23,tbSkills!DH3:DJ6,3,FALSE),0),0))/100)))),1),"")</f>
        <v>1</v>
      </c>
      <c r="GE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B39)*GD39)*(VLOOKUP(A39,tbMoveset!A2:C112,3,FALSE)/100)*IF(VLOOKUP(A39,tbMoveset!A2:B112,2,FALSE)="Projectile",Backdoors!N10,Backdoors!N9),0),"")</f>
        <v/>
      </c>
      <c r="GF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B39&gt;=0.45,VLOOKUP(Calculator!E23,tbSkills!DH3:DI6,2,FALSE)+IF(AND(Calculator!B8=TRUE,Backdoors!BI29=TRUE),VLOOKUP(Calculator!E23,tbSkills!DH3:DJ6,3,FALSE),0),0))&gt;=100,100,(Backdoors!AI12+IF(GB39&gt;=0.45,VLOOKUP(Calculator!E23,tbSkills!DH3:DI6,2,FALSE)+IF(AND(Calculator!B8=TRUE,Backdoors!BI29=TRUE),VLOOKUP(Calculator!E23,tbSkills!DH3:DJ6,3,FALSE),0),0)))/100)),1))*IF(VLOOKUP(A39,tbMoveset!A2:K112,11,FALSE)=TRUE,Backdoors!AC5,1))*GC39,0),"")</f>
        <v>0</v>
      </c>
      <c r="GG39" s="49">
        <f>VLOOKUP(A39,tbMoveset!A2:G112,7,FALSE)*IFERROR(IF(Backdoors!AI12&gt;=0,1+(IF(Calculator!E40&gt;0,VLOOKUP(Calculator!E40,tbSkills!AI3:AJ5,2,FALSE),Backdoors!AL4)*(IF((Backdoors!AI12+IF(GB39&gt;=0.45,VLOOKUP(Calculator!E23,tbSkills!DH3:DI6,2,FALSE)+IF(AND(Calculator!B8=TRUE,Backdoors!BI29=TRUE),VLOOKUP(Calculator!E23,tbSkills!DH3:DJ6,3,FALSE),0),0))&gt;=100,100,(Backdoors!AI12+IF(GB39&gt;=0.45,VLOOKUP(Calculator!E23,tbSkills!DH3:DI6,2,FALSE)+IF(AND(Calculator!B8=TRUE,Backdoors!BI29=TRUE),VLOOKUP(Calculator!E23,tbSkills!DH3:DJ6,3,FALSE),0),0)))/100)),1),1)</f>
        <v>0.5</v>
      </c>
      <c r="GH39" s="87">
        <f t="shared" si="19"/>
        <v>0</v>
      </c>
      <c r="GI39" s="86" t="str">
        <f>IFERROR(IF(VLOOKUP(A39,tbMoveset!A2:B112,2,FALSE)="Sever",Backdoors!AY30/100,IF(VLOOKUP(A39,tbMoveset!A2:B112,2,FALSE)="Blunt",Backdoors!AZ30/100,Backdoors!BA30/100)),"")</f>
        <v/>
      </c>
      <c r="GJ39" s="49">
        <f>IFERROR(IF(VLOOKUP(tbMoveset!A39,tbMoveset!A2:H112,8,FALSE)="Other",IF(VLOOKUP(tbMoveset!A39,tbMoveset!A2:I112,9,FALSE)="Fire",Backdoors!BB30,IF(VLOOKUP(tbMoveset!A39,tbMoveset!A2:I112,9,FALSE)="Water",Backdoors!BC30,IF(VLOOKUP(tbMoveset!A39,tbMoveset!A2:I112,9,FALSE)="Thunder",Backdoors!BD30,IF(VLOOKUP(tbMoveset!A39,tbMoveset!A2:I112,9,FALSE)="Ice",Backdoors!BE30,IF(VLOOKUP(tbMoveset!A39,tbMoveset!A2:I112,9,FALSE)="Dragon",Backdoors!BF30,Backdoors!BG30)))))/100,Backdoors!BG30/100),"")</f>
        <v>0</v>
      </c>
      <c r="GK39" s="49">
        <f>IFERROR(IF(VLOOKUP(A39,tbMoveset!A2:J112,10,FALSE)=TRUE,IF((Backdoors!AI12+IF(GI39&gt;=0.45,VLOOKUP(Calculator!E23,tbSkills!DH3:DI6,2,FALSE)+IF(AND(Calculator!B8=TRUE,Backdoors!BI30=TRUE),VLOOKUP(Calculator!E23,tbSkills!DH3:DJ6,3,FALSE),0),0))&gt;=0,1+(Backdoors!AL2*(IF((Backdoors!AI12+IF(GI39&gt;=0.45,VLOOKUP(Calculator!E23,tbSkills!DH3:DI6,2,FALSE)+IF(AND(Calculator!B8=TRUE,Backdoors!BI30=TRUE),VLOOKUP(Calculator!E23,tbSkills!DH3:DJ6,3,FALSE),0),0))&gt;=100,100,(Backdoors!AI12+IF(GI39&gt;=0.45,VLOOKUP(Calculator!E23,tbSkills!DH3:DI6,2,FALSE)+IF(AND(Calculator!B8=TRUE,Backdoors!BI30=TRUE),VLOOKUP(Calculator!E23,tbSkills!DH3:DJ6,3,FALSE),0),0)))/100)),(1-(0.25*((-Backdoors!AI12-IF(GI39&gt;=0.45,VLOOKUP(Calculator!E23,tbSkills!DH3:DI6,2,FALSE)+IF(AND(Calculator!B8=TRUE,Backdoors!BI30=TRUE),VLOOKUP(Calculator!E23,tbSkills!DH3:DJ6,3,FALSE),0),0))/100)))),1),"")</f>
        <v>1</v>
      </c>
      <c r="GL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I39)*GK39)*(VLOOKUP(A39,tbMoveset!A2:C112,3,FALSE)/100)*IF(VLOOKUP(A39,tbMoveset!A2:B112,2,FALSE)="Projectile",Backdoors!N10,Backdoors!N9),0),"")</f>
        <v/>
      </c>
      <c r="GM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I39&gt;=0.45,VLOOKUP(Calculator!E23,tbSkills!DH3:DI6,2,FALSE)+IF(AND(Calculator!B8=TRUE,Backdoors!BI30=TRUE),VLOOKUP(Calculator!E23,tbSkills!DH3:DJ6,3,FALSE),0),0))&gt;=100,100,(Backdoors!AI12+IF(GI39&gt;=0.45,VLOOKUP(Calculator!E23,tbSkills!DH3:DI6,2,FALSE)+IF(AND(Calculator!B8=TRUE,Backdoors!BI30=TRUE),VLOOKUP(Calculator!E23,tbSkills!DH3:DJ6,3,FALSE),0),0)))/100)),1))*IF(VLOOKUP(A39,tbMoveset!A2:K112,11,FALSE)=TRUE,Backdoors!AC5,1))*GJ39,0),"")</f>
        <v>0</v>
      </c>
      <c r="GN39" s="49">
        <f>VLOOKUP(A39,tbMoveset!A2:G112,7,FALSE)*IFERROR(IF(Backdoors!AI12&gt;=0,1+(IF(Calculator!E40&gt;0,VLOOKUP(Calculator!E40,tbSkills!AI3:AJ5,2,FALSE),Backdoors!AL4)*(IF((Backdoors!AI12+IF(GI39&gt;=0.45,VLOOKUP(Calculator!E23,tbSkills!DH3:DI6,2,FALSE)+IF(AND(Calculator!B8=TRUE,Backdoors!BI30=TRUE),VLOOKUP(Calculator!E23,tbSkills!DH3:DJ6,3,FALSE),0),0))&gt;=100,100,(Backdoors!AI12+IF(GI39&gt;=0.45,VLOOKUP(Calculator!E23,tbSkills!DH3:DI6,2,FALSE)+IF(AND(Calculator!B8=TRUE,Backdoors!BI30=TRUE),VLOOKUP(Calculator!E23,tbSkills!DH3:DJ6,3,FALSE),0),0)))/100)),1),1)</f>
        <v>0.5</v>
      </c>
      <c r="GO39" s="87">
        <f t="shared" si="20"/>
        <v>0</v>
      </c>
      <c r="GP39" s="86" t="str">
        <f>IFERROR(IF(VLOOKUP(A39,tbMoveset!A2:B112,2,FALSE)="Sever",Backdoors!AY31/100,IF(VLOOKUP(A39,tbMoveset!A2:B112,2,FALSE)="Blunt",Backdoors!AZ31/100,Backdoors!BA31/100)),"")</f>
        <v/>
      </c>
      <c r="GQ39" s="49">
        <f>IFERROR(IF(VLOOKUP(tbMoveset!A39,tbMoveset!A2:H112,8,FALSE)="Other",IF(VLOOKUP(tbMoveset!A39,tbMoveset!A2:I112,9,FALSE)="Fire",Backdoors!BB31,IF(VLOOKUP(tbMoveset!A39,tbMoveset!A2:I112,9,FALSE)="Water",Backdoors!BC31,IF(VLOOKUP(tbMoveset!A39,tbMoveset!A2:I112,9,FALSE)="Thunder",Backdoors!BD31,IF(VLOOKUP(tbMoveset!A39,tbMoveset!A2:I112,9,FALSE)="Ice",Backdoors!BE31,IF(VLOOKUP(tbMoveset!A39,tbMoveset!A2:I112,9,FALSE)="Dragon",Backdoors!BF31,Backdoors!BG31)))))/100,Backdoors!BG31/100),"")</f>
        <v>0</v>
      </c>
      <c r="GR39" s="49">
        <f>IFERROR(IF(VLOOKUP(A39,tbMoveset!A2:J112,10,FALSE)=TRUE,IF((Backdoors!AI12+IF(GP39&gt;=0.45,VLOOKUP(Calculator!E23,tbSkills!DH3:DI6,2,FALSE)+IF(AND(Calculator!B8=TRUE,Backdoors!BI31=TRUE),VLOOKUP(Calculator!E23,tbSkills!DH3:DJ6,3,FALSE),0),0))&gt;=0,1+(Backdoors!AL2*(IF((Backdoors!AI12+IF(GP39&gt;=0.45,VLOOKUP(Calculator!E23,tbSkills!DH3:DI6,2,FALSE)+IF(AND(Calculator!B8=TRUE,Backdoors!BI31=TRUE),VLOOKUP(Calculator!E23,tbSkills!DH3:DJ6,3,FALSE),0),0))&gt;=100,100,(Backdoors!AI12+IF(GP39&gt;=0.45,VLOOKUP(Calculator!E23,tbSkills!DH3:DI6,2,FALSE)+IF(AND(Calculator!B8=TRUE,Backdoors!BI31=TRUE),VLOOKUP(Calculator!E23,tbSkills!DH3:DJ6,3,FALSE),0),0)))/100)),(1-(0.25*((-Backdoors!AI12-IF(GP39&gt;=0.45,VLOOKUP(Calculator!E23,tbSkills!DH3:DI6,2,FALSE)+IF(AND(Calculator!B8=TRUE,Backdoors!BI31=TRUE),VLOOKUP(Calculator!E23,tbSkills!DH3:DJ6,3,FALSE),0),0))/100)))),1),"")</f>
        <v>1</v>
      </c>
      <c r="GS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P39)*GR39)*(VLOOKUP(A39,tbMoveset!A2:C112,3,FALSE)/100)*IF(VLOOKUP(A39,tbMoveset!A2:B112,2,FALSE)="Projectile",Backdoors!N10,Backdoors!N9),0),"")</f>
        <v/>
      </c>
      <c r="GT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P39&gt;=0.45,VLOOKUP(Calculator!E23,tbSkills!DH3:DI6,2,FALSE)+IF(AND(Calculator!B8=TRUE,Backdoors!BI31=TRUE),VLOOKUP(Calculator!E23,tbSkills!DH3:DJ6,3,FALSE),0),0))&gt;=100,100,(Backdoors!AI12+IF(GP39&gt;=0.45,VLOOKUP(Calculator!E23,tbSkills!DH3:DI6,2,FALSE)+IF(AND(Calculator!B8=TRUE,Backdoors!BI31=TRUE),VLOOKUP(Calculator!E23,tbSkills!DH3:DJ6,3,FALSE),0),0)))/100)),1))*IF(VLOOKUP(A39,tbMoveset!A2:K112,11,FALSE)=TRUE,Backdoors!AC5,1))*GQ39,0),"")</f>
        <v>0</v>
      </c>
      <c r="GU39" s="49">
        <f>VLOOKUP(A39,tbMoveset!A2:G112,7,FALSE)*IFERROR(IF(Backdoors!AI12&gt;=0,1+(IF(Calculator!E40&gt;0,VLOOKUP(Calculator!E40,tbSkills!AI3:AJ5,2,FALSE),Backdoors!AL4)*(IF((Backdoors!AI12+IF(GP39&gt;=0.45,VLOOKUP(Calculator!E23,tbSkills!DH3:DI6,2,FALSE)+IF(AND(Calculator!B8=TRUE,Backdoors!BI31=TRUE),VLOOKUP(Calculator!E23,tbSkills!DH3:DJ6,3,FALSE),0),0))&gt;=100,100,(Backdoors!AI12+IF(GP39&gt;=0.45,VLOOKUP(Calculator!E23,tbSkills!DH3:DI6,2,FALSE)+IF(AND(Calculator!B8=TRUE,Backdoors!BI31=TRUE),VLOOKUP(Calculator!E23,tbSkills!DH3:DJ6,3,FALSE),0),0)))/100)),1),1)</f>
        <v>0.5</v>
      </c>
      <c r="GV39" s="87">
        <f t="shared" si="21"/>
        <v>0</v>
      </c>
      <c r="GW39" s="86" t="str">
        <f>IFERROR(IF(VLOOKUP(A39,tbMoveset!A2:B112,2,FALSE)="Sever",Backdoors!AY32/100,IF(VLOOKUP(A39,tbMoveset!A2:B112,2,FALSE)="Blunt",Backdoors!AZ32/100,Backdoors!BA32/100)),"")</f>
        <v/>
      </c>
      <c r="GX39" s="49">
        <f>IFERROR(IF(VLOOKUP(tbMoveset!A39,tbMoveset!A2:H112,8,FALSE)="Other",IF(VLOOKUP(tbMoveset!A39,tbMoveset!A2:I112,9,FALSE)="Fire",Backdoors!BB32,IF(VLOOKUP(tbMoveset!A39,tbMoveset!A2:I112,9,FALSE)="Water",Backdoors!BC32,IF(VLOOKUP(tbMoveset!A39,tbMoveset!A2:I112,9,FALSE)="Thunder",Backdoors!BD32,IF(VLOOKUP(tbMoveset!A39,tbMoveset!A2:I112,9,FALSE)="Ice",Backdoors!BE32,IF(VLOOKUP(tbMoveset!A39,tbMoveset!A2:I112,9,FALSE)="Dragon",Backdoors!BF32,Backdoors!BG32)))))/100,Backdoors!BG32/100),"")</f>
        <v>0</v>
      </c>
      <c r="GY39" s="49">
        <f>IFERROR(IF(VLOOKUP(A39,tbMoveset!A2:J112,10,FALSE)=TRUE,IF((Backdoors!AI12+IF(GW39&gt;=0.45,VLOOKUP(Calculator!E23,tbSkills!DH3:DI6,2,FALSE)+IF(AND(Calculator!B8=TRUE,Backdoors!BI32=TRUE),VLOOKUP(Calculator!E23,tbSkills!DH3:DJ6,3,FALSE),0),0))&gt;=0,1+(Backdoors!AL2*(IF((Backdoors!AI12+IF(GW39&gt;=0.45,VLOOKUP(Calculator!E23,tbSkills!DH3:DI6,2,FALSE)+IF(AND(Calculator!B8=TRUE,Backdoors!BI32=TRUE),VLOOKUP(Calculator!E23,tbSkills!DH3:DJ6,3,FALSE),0),0))&gt;=100,100,(Backdoors!AI12+IF(GW39&gt;=0.45,VLOOKUP(Calculator!E23,tbSkills!DH3:DI6,2,FALSE)+IF(AND(Calculator!B8=TRUE,Backdoors!BI32=TRUE),VLOOKUP(Calculator!E23,tbSkills!DH3:DJ6,3,FALSE),0),0)))/100)),(1-(0.25*((-Backdoors!AI12-IF(GW39&gt;=0.45,VLOOKUP(Calculator!E23,tbSkills!DH3:DI6,2,FALSE)+IF(AND(Calculator!B8=TRUE,Backdoors!BI32=TRUE),VLOOKUP(Calculator!E23,tbSkills!DH3:DJ6,3,FALSE),0),0))/100)))),1),"")</f>
        <v>1</v>
      </c>
      <c r="GZ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W39)*GY39)*(VLOOKUP(A39,tbMoveset!A2:C112,3,FALSE)/100)*IF(VLOOKUP(A39,tbMoveset!A2:B112,2,FALSE)="Projectile",Backdoors!N10,Backdoors!N9),0),"")</f>
        <v/>
      </c>
      <c r="HA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W39&gt;=0.45,VLOOKUP(Calculator!E23,tbSkills!DH3:DI6,2,FALSE)+IF(AND(Calculator!B8=TRUE,Backdoors!BI32=TRUE),VLOOKUP(Calculator!E23,tbSkills!DH3:DJ6,3,FALSE),0),0))&gt;=100,100,(Backdoors!AI12+IF(GW39&gt;=0.45,VLOOKUP(Calculator!E23,tbSkills!DH3:DI6,2,FALSE)+IF(AND(Calculator!B8=TRUE,Backdoors!BI32=TRUE),VLOOKUP(Calculator!E23,tbSkills!DH3:DJ6,3,FALSE),0),0)))/100)),1))*IF(VLOOKUP(A39,tbMoveset!A2:K112,11,FALSE)=TRUE,Backdoors!AC5,1))*GX39,0),"")</f>
        <v>0</v>
      </c>
      <c r="HB39" s="49">
        <f>VLOOKUP(A39,tbMoveset!A2:G112,7,FALSE)*IFERROR(IF(Backdoors!AI12&gt;=0,1+(IF(Calculator!E40&gt;0,VLOOKUP(Calculator!E40,tbSkills!AI3:AJ5,2,FALSE),Backdoors!AL4)*(IF((Backdoors!AI12+IF(GW39&gt;=0.45,VLOOKUP(Calculator!E23,tbSkills!DH3:DI6,2,FALSE)+IF(AND(Calculator!B8=TRUE,Backdoors!BI32=TRUE),VLOOKUP(Calculator!E23,tbSkills!DH3:DJ6,3,FALSE),0),0))&gt;=100,100,(Backdoors!AI12+IF(GW39&gt;=0.45,VLOOKUP(Calculator!E23,tbSkills!DH3:DI6,2,FALSE)+IF(AND(Calculator!B8=TRUE,Backdoors!BI32=TRUE),VLOOKUP(Calculator!E23,tbSkills!DH3:DJ6,3,FALSE),0),0)))/100)),1),1)</f>
        <v>0.5</v>
      </c>
      <c r="HC39" s="87">
        <f t="shared" si="22"/>
        <v>0</v>
      </c>
      <c r="HD39" s="86" t="str">
        <f>IFERROR(IF(VLOOKUP(A39,tbMoveset!A2:B112,2,FALSE)="Sever",Backdoors!AY33/100,IF(VLOOKUP(A39,tbMoveset!A2:B112,2,FALSE)="Blunt",Backdoors!AZ33/100,Backdoors!BA33/100)),"")</f>
        <v/>
      </c>
      <c r="HE39" s="49">
        <f>IFERROR(IF(VLOOKUP(tbMoveset!A39,tbMoveset!A2:H112,8,FALSE)="Other",IF(VLOOKUP(tbMoveset!A39,tbMoveset!A2:I112,9,FALSE)="Fire",Backdoors!BB33,IF(VLOOKUP(tbMoveset!A39,tbMoveset!A2:I112,9,FALSE)="Water",Backdoors!BC33,IF(VLOOKUP(tbMoveset!A39,tbMoveset!A2:I112,9,FALSE)="Thunder",Backdoors!BD33,IF(VLOOKUP(tbMoveset!A39,tbMoveset!A2:I112,9,FALSE)="Ice",Backdoors!BE33,IF(VLOOKUP(tbMoveset!A39,tbMoveset!A2:I112,9,FALSE)="Dragon",Backdoors!BF33,Backdoors!BG33)))))/100,Backdoors!BG33/100),"")</f>
        <v>0</v>
      </c>
      <c r="HF39" s="49">
        <f>IFERROR(IF(VLOOKUP(A39,tbMoveset!A2:J112,10,FALSE)=TRUE,IF((Backdoors!AI12+IF(HD39&gt;=0.45,VLOOKUP(Calculator!E23,tbSkills!DH3:DI6,2,FALSE)+IF(AND(Calculator!B8=TRUE,Backdoors!BI33=TRUE),VLOOKUP(Calculator!E23,tbSkills!DH3:DJ6,3,FALSE),0),0))&gt;=0,1+(Backdoors!AL2*(IF((Backdoors!AI12+IF(HD39&gt;=0.45,VLOOKUP(Calculator!E23,tbSkills!DH3:DI6,2,FALSE)+IF(AND(Calculator!B8=TRUE,Backdoors!BI33=TRUE),VLOOKUP(Calculator!E23,tbSkills!DH3:DJ6,3,FALSE),0),0))&gt;=100,100,(Backdoors!AI12+IF(HD39&gt;=0.45,VLOOKUP(Calculator!E23,tbSkills!DH3:DI6,2,FALSE)+IF(AND(Calculator!B8=TRUE,Backdoors!BI33=TRUE),VLOOKUP(Calculator!E23,tbSkills!DH3:DJ6,3,FALSE),0),0)))/100)),(1-(0.25*((-Backdoors!AI12-IF(HD39&gt;=0.45,VLOOKUP(Calculator!E23,tbSkills!DH3:DI6,2,FALSE)+IF(AND(Calculator!B8=TRUE,Backdoors!BI33=TRUE),VLOOKUP(Calculator!E23,tbSkills!DH3:DJ6,3,FALSE),0),0))/100)))),1),"")</f>
        <v>1</v>
      </c>
      <c r="HG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D39)*HF39)*(VLOOKUP(A39,tbMoveset!A2:C112,3,FALSE)/100)*IF(VLOOKUP(A39,tbMoveset!A2:B112,2,FALSE)="Projectile",Backdoors!N10,Backdoors!N9),0),"")</f>
        <v/>
      </c>
      <c r="HH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D39&gt;=0.45,VLOOKUP(Calculator!E23,tbSkills!DH3:DI6,2,FALSE)+IF(AND(Calculator!B8=TRUE,Backdoors!BI33=TRUE),VLOOKUP(Calculator!E23,tbSkills!DH3:DJ6,3,FALSE),0),0))&gt;=100,100,(Backdoors!AI12+IF(HD39&gt;=0.45,VLOOKUP(Calculator!E23,tbSkills!DH3:DI6,2,FALSE)+IF(AND(Calculator!B8=TRUE,Backdoors!BI33=TRUE),VLOOKUP(Calculator!E23,tbSkills!DH3:DJ6,3,FALSE),0),0)))/100)),1))*IF(VLOOKUP(A39,tbMoveset!A2:K112,11,FALSE)=TRUE,Backdoors!AC5,1))*HE39,0),"")</f>
        <v>0</v>
      </c>
      <c r="HI39" s="49">
        <f>VLOOKUP(A39,tbMoveset!A2:G112,7,FALSE)*IFERROR(IF(Backdoors!AI12&gt;=0,1+(IF(Calculator!E40&gt;0,VLOOKUP(Calculator!E40,tbSkills!AI3:AJ5,2,FALSE),Backdoors!AL4)*(IF((Backdoors!AI12+IF(HD39&gt;=0.45,VLOOKUP(Calculator!E23,tbSkills!DH3:DI6,2,FALSE)+IF(AND(Calculator!B8=TRUE,Backdoors!BI33=TRUE),VLOOKUP(Calculator!E23,tbSkills!DH3:DJ6,3,FALSE),0),0))&gt;=100,100,(Backdoors!AI12+IF(HD39&gt;=0.45,VLOOKUP(Calculator!E23,tbSkills!DH3:DI6,2,FALSE)+IF(AND(Calculator!B8=TRUE,Backdoors!BI33=TRUE),VLOOKUP(Calculator!E23,tbSkills!DH3:DJ6,3,FALSE),0),0)))/100)),1),1)</f>
        <v>0.5</v>
      </c>
      <c r="HJ39" s="87">
        <f t="shared" si="23"/>
        <v>0</v>
      </c>
      <c r="HK39" s="86" t="str">
        <f>IFERROR(IF(VLOOKUP(A39,tbMoveset!A2:B112,2,FALSE)="Sever",Backdoors!AY34/100,IF(VLOOKUP(A39,tbMoveset!A2:B112,2,FALSE)="Blunt",Backdoors!AZ34/100,Backdoors!BA34/100)),"")</f>
        <v/>
      </c>
      <c r="HL39" s="49">
        <f>IFERROR(IF(VLOOKUP(tbMoveset!A39,tbMoveset!A2:H112,8,FALSE)="Other",IF(VLOOKUP(tbMoveset!A39,tbMoveset!A2:I112,9,FALSE)="Fire",Backdoors!BB34,IF(VLOOKUP(tbMoveset!A39,tbMoveset!A2:I112,9,FALSE)="Water",Backdoors!BC34,IF(VLOOKUP(tbMoveset!A39,tbMoveset!A2:I112,9,FALSE)="Thunder",Backdoors!BD34,IF(VLOOKUP(tbMoveset!A39,tbMoveset!A2:I112,9,FALSE)="Ice",Backdoors!BE34,IF(VLOOKUP(tbMoveset!A39,tbMoveset!A2:I112,9,FALSE)="Dragon",Backdoors!BF34,Backdoors!BG34)))))/100,Backdoors!BG34/100),"")</f>
        <v>0</v>
      </c>
      <c r="HM39" s="49">
        <f>IFERROR(IF(VLOOKUP(A39,tbMoveset!A2:J112,10,FALSE)=TRUE,IF((Backdoors!AI12+IF(HK39&gt;=0.45,VLOOKUP(Calculator!E23,tbSkills!DH3:DI6,2,FALSE)+IF(AND(Calculator!B8=TRUE,Backdoors!BI34=TRUE),VLOOKUP(Calculator!E23,tbSkills!DH3:DJ6,3,FALSE),0),0))&gt;=0,1+(Backdoors!AL2*(IF((Backdoors!AI12+IF(HK39&gt;=0.45,VLOOKUP(Calculator!E23,tbSkills!DH3:DI6,2,FALSE)+IF(AND(Calculator!B8=TRUE,Backdoors!BI34=TRUE),VLOOKUP(Calculator!E23,tbSkills!DH3:DJ6,3,FALSE),0),0))&gt;=100,100,(Backdoors!AI12+IF(HK39&gt;=0.45,VLOOKUP(Calculator!E23,tbSkills!DH3:DI6,2,FALSE)+IF(AND(Calculator!B8=TRUE,Backdoors!BI34=TRUE),VLOOKUP(Calculator!E23,tbSkills!DH3:DJ6,3,FALSE),0),0)))/100)),(1-(0.25*((-Backdoors!AI12-IF(HK39&gt;=0.45,VLOOKUP(Calculator!E23,tbSkills!DH3:DI6,2,FALSE)+IF(AND(Calculator!B8=TRUE,Backdoors!BI34=TRUE),VLOOKUP(Calculator!E23,tbSkills!DH3:DJ6,3,FALSE),0),0))/100)))),1),"")</f>
        <v>1</v>
      </c>
      <c r="HN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K39)*HM39)*(VLOOKUP(A39,tbMoveset!A2:C112,3,FALSE)/100)*IF(VLOOKUP(A39,tbMoveset!A2:B112,2,FALSE)="Projectile",Backdoors!N10,Backdoors!N9),0),"")</f>
        <v/>
      </c>
      <c r="HO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K39&gt;=0.45,VLOOKUP(Calculator!E23,tbSkills!DH3:DI6,2,FALSE)+IF(AND(Calculator!B8=TRUE,Backdoors!BI34=TRUE),VLOOKUP(Calculator!E23,tbSkills!DH3:DJ6,3,FALSE),0),0))&gt;=100,100,(Backdoors!AI12+IF(HK39&gt;=0.45,VLOOKUP(Calculator!E23,tbSkills!DH3:DI6,2,FALSE)+IF(AND(Calculator!B8=TRUE,Backdoors!BI34=TRUE),VLOOKUP(Calculator!E23,tbSkills!DH3:DJ6,3,FALSE),0),0)))/100)),1))*IF(VLOOKUP(A39,tbMoveset!A2:K112,11,FALSE)=TRUE,Backdoors!AC5,1))*HL39,0),"")</f>
        <v>0</v>
      </c>
      <c r="HP39" s="49">
        <f>VLOOKUP(A39,tbMoveset!A2:G112,7,FALSE)*IFERROR(IF(Backdoors!AI12&gt;=0,1+(IF(Calculator!E40&gt;0,VLOOKUP(Calculator!E40,tbSkills!AI3:AJ5,2,FALSE),Backdoors!AL4)*(IF((Backdoors!AI12+IF(HK39&gt;=0.45,VLOOKUP(Calculator!E23,tbSkills!DH3:DI6,2,FALSE)+IF(AND(Calculator!B8=TRUE,Backdoors!BI34=TRUE),VLOOKUP(Calculator!E23,tbSkills!DH3:DJ6,3,FALSE),0),0))&gt;=100,100,(Backdoors!AI12+IF(HK39&gt;=0.45,VLOOKUP(Calculator!E23,tbSkills!DH3:DI6,2,FALSE)+IF(AND(Calculator!B8=TRUE,Backdoors!BI34=TRUE),VLOOKUP(Calculator!E23,tbSkills!DH3:DJ6,3,FALSE),0),0)))/100)),1),1)</f>
        <v>0.5</v>
      </c>
      <c r="HQ39" s="87">
        <f t="shared" si="24"/>
        <v>0</v>
      </c>
      <c r="HR39" s="86" t="str">
        <f>IFERROR(IF(VLOOKUP(A39,tbMoveset!A2:B112,2,FALSE)="Sever",Backdoors!AY35/100,IF(VLOOKUP(A39,tbMoveset!A2:B112,2,FALSE)="Blunt",Backdoors!AZ35/100,Backdoors!BA35/100)),"")</f>
        <v/>
      </c>
      <c r="HS39" s="49">
        <f>IFERROR(IF(VLOOKUP(tbMoveset!A39,tbMoveset!A2:H112,8,FALSE)="Other",IF(VLOOKUP(tbMoveset!A39,tbMoveset!A2:I112,9,FALSE)="Fire",Backdoors!BB35,IF(VLOOKUP(tbMoveset!A39,tbMoveset!A2:I112,9,FALSE)="Water",Backdoors!BC35,IF(VLOOKUP(tbMoveset!A39,tbMoveset!A2:I112,9,FALSE)="Thunder",Backdoors!BD35,IF(VLOOKUP(tbMoveset!A39,tbMoveset!A2:I112,9,FALSE)="Ice",Backdoors!BE35,IF(VLOOKUP(tbMoveset!A39,tbMoveset!A2:I112,9,FALSE)="Dragon",Backdoors!BF35,Backdoors!BG35)))))/100,Backdoors!BG35/100),"")</f>
        <v>0</v>
      </c>
      <c r="HT39" s="49">
        <f>IFERROR(IF(VLOOKUP(A39,tbMoveset!A2:J112,10,FALSE)=TRUE,IF((Backdoors!AI12+IF(HR39&gt;=0.45,VLOOKUP(Calculator!E23,tbSkills!DH3:DI6,2,FALSE)+IF(AND(Calculator!B8=TRUE,Backdoors!BI35=TRUE),VLOOKUP(Calculator!E23,tbSkills!DH3:DJ6,3,FALSE),0),0))&gt;=0,1+(Backdoors!AL2*(IF((Backdoors!AI12+IF(HR39&gt;=0.45,VLOOKUP(Calculator!E23,tbSkills!DH3:DI6,2,FALSE)+IF(AND(Calculator!B8=TRUE,Backdoors!BI35=TRUE),VLOOKUP(Calculator!E23,tbSkills!DH3:DJ6,3,FALSE),0),0))&gt;=100,100,(Backdoors!AI12+IF(HR39&gt;=0.45,VLOOKUP(Calculator!E23,tbSkills!DH3:DI6,2,FALSE)+IF(AND(Calculator!B8=TRUE,Backdoors!BI35=TRUE),VLOOKUP(Calculator!E23,tbSkills!DH3:DJ6,3,FALSE),0),0)))/100)),(1-(0.25*((-Backdoors!AI12-IF(HR39&gt;=0.45,VLOOKUP(Calculator!E23,tbSkills!DH3:DI6,2,FALSE)+IF(AND(Calculator!B8=TRUE,Backdoors!BI35=TRUE),VLOOKUP(Calculator!E23,tbSkills!DH3:DJ6,3,FALSE),0),0))/100)))),1),"")</f>
        <v>1</v>
      </c>
      <c r="HU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R39)*HT39)*(VLOOKUP(A39,tbMoveset!A2:C112,3,FALSE)/100)*IF(VLOOKUP(A39,tbMoveset!A2:B112,2,FALSE)="Projectile",Backdoors!N10,Backdoors!N9),0),"")</f>
        <v/>
      </c>
      <c r="HV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R39&gt;=0.45,VLOOKUP(Calculator!E23,tbSkills!DH3:DI6,2,FALSE)+IF(AND(Calculator!B8=TRUE,Backdoors!BI35=TRUE),VLOOKUP(Calculator!E23,tbSkills!DH3:DJ6,3,FALSE),0),0))&gt;=100,100,(Backdoors!AI12+IF(HR39&gt;=0.45,VLOOKUP(Calculator!E23,tbSkills!DH3:DI6,2,FALSE)+IF(AND(Calculator!B8=TRUE,Backdoors!BI35=TRUE),VLOOKUP(Calculator!E23,tbSkills!DH3:DJ6,3,FALSE),0),0)))/100)),1))*IF(VLOOKUP(A39,tbMoveset!A2:K112,11,FALSE)=TRUE,Backdoors!AC5,1))*HS39,0),"")</f>
        <v>0</v>
      </c>
      <c r="HW39" s="49">
        <f>VLOOKUP(A39,tbMoveset!A2:G112,7,FALSE)*IFERROR(IF(Backdoors!AI12&gt;=0,1+(IF(Calculator!E40&gt;0,VLOOKUP(Calculator!E40,tbSkills!AI3:AJ5,2,FALSE),Backdoors!AL4)*(IF((Backdoors!AI12+IF(HR39&gt;=0.45,VLOOKUP(Calculator!E23,tbSkills!DH3:DI6,2,FALSE)+IF(AND(Calculator!B8=TRUE,Backdoors!BI35=TRUE),VLOOKUP(Calculator!E23,tbSkills!DH3:DJ6,3,FALSE),0),0))&gt;=100,100,(Backdoors!AI12+IF(HR39&gt;=0.45,VLOOKUP(Calculator!E23,tbSkills!DH3:DI6,2,FALSE)+IF(AND(Calculator!B8=TRUE,Backdoors!BI35=TRUE),VLOOKUP(Calculator!E23,tbSkills!DH3:DJ6,3,FALSE),0),0)))/100)),1),1)</f>
        <v>0.5</v>
      </c>
      <c r="HX39" s="87">
        <f t="shared" si="25"/>
        <v>0</v>
      </c>
      <c r="HY39" s="86" t="str">
        <f>IFERROR(IF(VLOOKUP(A39,tbMoveset!A2:B112,2,FALSE)="Sever",Backdoors!AY36/100,IF(VLOOKUP(A39,tbMoveset!A2:B112,2,FALSE)="Blunt",Backdoors!AZ36/100,Backdoors!BA36/100)),"")</f>
        <v/>
      </c>
      <c r="HZ39" s="49">
        <f>IFERROR(IF(VLOOKUP(tbMoveset!A39,tbMoveset!A2:H112,8,FALSE)="Other",IF(VLOOKUP(tbMoveset!A39,tbMoveset!A2:I112,9,FALSE)="Fire",Backdoors!BB36,IF(VLOOKUP(tbMoveset!A39,tbMoveset!A2:I112,9,FALSE)="Water",Backdoors!BC36,IF(VLOOKUP(tbMoveset!A39,tbMoveset!A2:I112,9,FALSE)="Thunder",Backdoors!BD36,IF(VLOOKUP(tbMoveset!A39,tbMoveset!A2:I112,9,FALSE)="Ice",Backdoors!BE36,IF(VLOOKUP(tbMoveset!A39,tbMoveset!A2:I112,9,FALSE)="Dragon",Backdoors!BF36,Backdoors!BG36)))))/100,Backdoors!BG36/100),"")</f>
        <v>0</v>
      </c>
      <c r="IA39" s="49">
        <f>IFERROR(IF(VLOOKUP(A39,tbMoveset!A2:J112,10,FALSE)=TRUE,IF((Backdoors!AI12+IF(HY39&gt;=0.45,VLOOKUP(Calculator!E23,tbSkills!DH3:DI6,2,FALSE)+IF(AND(Calculator!B8=TRUE,Backdoors!BI36=TRUE),VLOOKUP(Calculator!E23,tbSkills!DH3:DJ6,3,FALSE),0),0))&gt;=0,1+(Backdoors!AL2*(IF((Backdoors!AI12+IF(HY39&gt;=0.45,VLOOKUP(Calculator!E23,tbSkills!DH3:DI6,2,FALSE)+IF(AND(Calculator!B8=TRUE,Backdoors!BI36=TRUE),VLOOKUP(Calculator!E23,tbSkills!DH3:DJ6,3,FALSE),0),0))&gt;=100,100,(Backdoors!AI12+IF(HY39&gt;=0.45,VLOOKUP(Calculator!E23,tbSkills!DH3:DI6,2,FALSE)+IF(AND(Calculator!B8=TRUE,Backdoors!BI36=TRUE),VLOOKUP(Calculator!E23,tbSkills!DH3:DJ6,3,FALSE),0),0)))/100)),(1-(0.25*((-Backdoors!AI12-IF(HY39&gt;=0.45,VLOOKUP(Calculator!E23,tbSkills!DH3:DI6,2,FALSE)+IF(AND(Calculator!B8=TRUE,Backdoors!BI36=TRUE),VLOOKUP(Calculator!E23,tbSkills!DH3:DJ6,3,FALSE),0),0))/100)))),1),"")</f>
        <v>1</v>
      </c>
      <c r="IB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Y39)*IA39)*(VLOOKUP(A39,tbMoveset!A2:C112,3,FALSE)/100)*IF(VLOOKUP(A39,tbMoveset!A2:B112,2,FALSE)="Projectile",Backdoors!N10,Backdoors!N9),0),"")</f>
        <v/>
      </c>
      <c r="IC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Y39&gt;=0.45,VLOOKUP(Calculator!E23,tbSkills!DH3:DI6,2,FALSE)+IF(AND(Calculator!B8=TRUE,Backdoors!BI36=TRUE),VLOOKUP(Calculator!E23,tbSkills!DH3:DJ6,3,FALSE),0),0))&gt;=100,100,(Backdoors!AI12+IF(HY39&gt;=0.45,VLOOKUP(Calculator!E23,tbSkills!DH3:DI6,2,FALSE)+IF(AND(Calculator!B8=TRUE,Backdoors!BI36=TRUE),VLOOKUP(Calculator!E23,tbSkills!DH3:DJ6,3,FALSE),0),0)))/100)),1))*IF(VLOOKUP(A39,tbMoveset!A2:K112,11,FALSE)=TRUE,Backdoors!AC5,1))*HZ39,0),"")</f>
        <v>0</v>
      </c>
      <c r="ID39" s="49">
        <f>VLOOKUP(A39,tbMoveset!A2:G112,7,FALSE)*IFERROR(IF(Backdoors!AI12&gt;=0,1+(IF(Calculator!E40&gt;0,VLOOKUP(Calculator!E40,tbSkills!AI3:AJ5,2,FALSE),Backdoors!AL4)*(IF((Backdoors!AI12+IF(HY39&gt;=0.45,VLOOKUP(Calculator!E23,tbSkills!DH3:DI6,2,FALSE)+IF(AND(Calculator!B8=TRUE,Backdoors!BI36=TRUE),VLOOKUP(Calculator!E23,tbSkills!DH3:DJ6,3,FALSE),0),0))&gt;=100,100,(Backdoors!AI12+IF(HY39&gt;=0.45,VLOOKUP(Calculator!E23,tbSkills!DH3:DI6,2,FALSE)+IF(AND(Calculator!B8=TRUE,Backdoors!BI36=TRUE),VLOOKUP(Calculator!E23,tbSkills!DH3:DJ6,3,FALSE),0),0)))/100)),1),1)</f>
        <v>0.5</v>
      </c>
      <c r="IE39" s="87">
        <f t="shared" si="26"/>
        <v>0</v>
      </c>
      <c r="IF39" s="86" t="str">
        <f>IFERROR(IF(VLOOKUP(A39,tbMoveset!A2:B112,2,FALSE)="Sever",Backdoors!AY37/100,IF(VLOOKUP(A39,tbMoveset!A2:B112,2,FALSE)="Blunt",Backdoors!AZ37/100,Backdoors!BA37/100)),"")</f>
        <v/>
      </c>
      <c r="IG39" s="49">
        <f>IFERROR(IF(VLOOKUP(tbMoveset!A39,tbMoveset!A2:H112,8,FALSE)="Other",IF(VLOOKUP(tbMoveset!A39,tbMoveset!A2:I112,9,FALSE)="Fire",Backdoors!BB37,IF(VLOOKUP(tbMoveset!A39,tbMoveset!A2:I112,9,FALSE)="Water",Backdoors!BC37,IF(VLOOKUP(tbMoveset!A39,tbMoveset!A2:I112,9,FALSE)="Thunder",Backdoors!BD37,IF(VLOOKUP(tbMoveset!A39,tbMoveset!A2:I112,9,FALSE)="Ice",Backdoors!BE37,IF(VLOOKUP(tbMoveset!A39,tbMoveset!A2:I112,9,FALSE)="Dragon",Backdoors!BF37,Backdoors!BG37)))))/100,Backdoors!BG37/100),"")</f>
        <v>0</v>
      </c>
      <c r="IH39" s="49">
        <f>IFERROR(IF(VLOOKUP(A39,tbMoveset!A2:J112,10,FALSE)=TRUE,IF((Backdoors!AI12+IF(IF39&gt;=0.45,VLOOKUP(Calculator!E23,tbSkills!DH3:DI6,2,FALSE)+IF(AND(Calculator!B8=TRUE,Backdoors!BI37=TRUE),VLOOKUP(Calculator!E23,tbSkills!DH3:DJ6,3,FALSE),0),0))&gt;=0,1+(Backdoors!AL2*(IF((Backdoors!AI12+IF(IF39&gt;=0.45,VLOOKUP(Calculator!E23,tbSkills!DH3:DI6,2,FALSE)+IF(AND(Calculator!B8=TRUE,Backdoors!BI37=TRUE),VLOOKUP(Calculator!E23,tbSkills!DH3:DJ6,3,FALSE),0),0))&gt;=100,100,(Backdoors!AI12+IF(IF39&gt;=0.45,VLOOKUP(Calculator!E23,tbSkills!DH3:DI6,2,FALSE)+IF(AND(Calculator!B8=TRUE,Backdoors!BI37=TRUE),VLOOKUP(Calculator!E23,tbSkills!DH3:DJ6,3,FALSE),0),0)))/100)),(1-(0.25*((-Backdoors!AI12-IF(IF39&gt;=0.45,VLOOKUP(Calculator!E23,tbSkills!DH3:DI6,2,FALSE)+IF(AND(Calculator!B8=TRUE,Backdoors!BI37=TRUE),VLOOKUP(Calculator!E23,tbSkills!DH3:DJ6,3,FALSE),0),0))/100)))),1),"")</f>
        <v>1</v>
      </c>
      <c r="II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F39)*IH39)*(VLOOKUP(A39,tbMoveset!A2:C112,3,FALSE)/100)*IF(VLOOKUP(A39,tbMoveset!A2:B112,2,FALSE)="Projectile",Backdoors!N10,Backdoors!N9),0),"")</f>
        <v/>
      </c>
      <c r="IJ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IF39&gt;=0.45,VLOOKUP(Calculator!E23,tbSkills!DH3:DI6,2,FALSE)+IF(AND(Calculator!B8=TRUE,Backdoors!BI37=TRUE),VLOOKUP(Calculator!E23,tbSkills!DH3:DJ6,3,FALSE),0),0))&gt;=100,100,(Backdoors!AI12+IF(IF39&gt;=0.45,VLOOKUP(Calculator!E23,tbSkills!DH3:DI6,2,FALSE)+IF(AND(Calculator!B8=TRUE,Backdoors!BI37=TRUE),VLOOKUP(Calculator!E23,tbSkills!DH3:DJ6,3,FALSE),0),0)))/100)),1))*IF(VLOOKUP(A39,tbMoveset!A2:K112,11,FALSE)=TRUE,Backdoors!AC5,1))*IG39,0),"")</f>
        <v>0</v>
      </c>
      <c r="IK39" s="49">
        <f>VLOOKUP(A39,tbMoveset!A2:G112,7,FALSE)*IFERROR(IF(Backdoors!AI12&gt;=0,1+(IF(Calculator!E40&gt;0,VLOOKUP(Calculator!E40,tbSkills!AI3:AJ5,2,FALSE),Backdoors!AL4)*(IF((Backdoors!AI12+IF(IF39&gt;=0.45,VLOOKUP(Calculator!E23,tbSkills!DH3:DI6,2,FALSE)+IF(AND(Calculator!B8=TRUE,Backdoors!BI37=TRUE),VLOOKUP(Calculator!E23,tbSkills!DH3:DJ6,3,FALSE),0),0))&gt;=100,100,(Backdoors!AI12+IF(IF39&gt;=0.45,VLOOKUP(Calculator!E23,tbSkills!DH3:DI6,2,FALSE)+IF(AND(Calculator!B8=TRUE,Backdoors!BI37=TRUE),VLOOKUP(Calculator!E23,tbSkills!DH3:DJ6,3,FALSE),0),0)))/100)),1),1)</f>
        <v>0.5</v>
      </c>
      <c r="IL39" s="87">
        <f t="shared" si="27"/>
        <v>0</v>
      </c>
      <c r="IM39" s="86" t="str">
        <f>IFERROR(IF(VLOOKUP(A39,tbMoveset!A2:B112,2,FALSE)="Sever",Backdoors!AY38/100,IF(VLOOKUP(A39,tbMoveset!A2:B112,2,FALSE)="Blunt",Backdoors!AZ38/100,Backdoors!BA38/100)),"")</f>
        <v/>
      </c>
      <c r="IN39" s="49">
        <f>IFERROR(IF(VLOOKUP(tbMoveset!A39,tbMoveset!A2:H112,8,FALSE)="Other",IF(VLOOKUP(tbMoveset!A39,tbMoveset!A2:I112,9,FALSE)="Fire",Backdoors!BB38,IF(VLOOKUP(tbMoveset!A39,tbMoveset!A2:I112,9,FALSE)="Water",Backdoors!BC38,IF(VLOOKUP(tbMoveset!A39,tbMoveset!A2:I112,9,FALSE)="Thunder",Backdoors!BD38,IF(VLOOKUP(tbMoveset!A39,tbMoveset!A2:I112,9,FALSE)="Ice",Backdoors!BE38,IF(VLOOKUP(tbMoveset!A39,tbMoveset!A2:I112,9,FALSE)="Dragon",Backdoors!BF38,Backdoors!BG38)))))/100,Backdoors!BG38/100),"")</f>
        <v>0</v>
      </c>
      <c r="IO39" s="49">
        <f>IFERROR(IF(VLOOKUP(A39,tbMoveset!A2:J112,10,FALSE)=TRUE,IF((Backdoors!AI12+IF(IM39&gt;=0.45,VLOOKUP(Calculator!E23,tbSkills!DH3:DI6,2,FALSE)+IF(AND(Calculator!B8=TRUE,Backdoors!BI38=TRUE),VLOOKUP(Calculator!E23,tbSkills!DH3:DJ6,3,FALSE),0),0))&gt;=0,1+(Backdoors!AL2*(IF((Backdoors!AI12+IF(IM39&gt;=0.45,VLOOKUP(Calculator!E23,tbSkills!DH3:DI6,2,FALSE)+IF(AND(Calculator!B8=TRUE,Backdoors!BI38=TRUE),VLOOKUP(Calculator!E23,tbSkills!DH3:DJ6,3,FALSE),0),0))&gt;=100,100,(Backdoors!AI12+IF(IM39&gt;=0.45,VLOOKUP(Calculator!E23,tbSkills!DH3:DI6,2,FALSE)+IF(AND(Calculator!B8=TRUE,Backdoors!BI38=TRUE),VLOOKUP(Calculator!E23,tbSkills!DH3:DJ6,3,FALSE),0),0)))/100)),(1-(0.25*((-Backdoors!AI12-IF(IM39&gt;=0.45,VLOOKUP(Calculator!E23,tbSkills!DH3:DI6,2,FALSE)+IF(AND(Calculator!B8=TRUE,Backdoors!BI38=TRUE),VLOOKUP(Calculator!E23,tbSkills!DH3:DJ6,3,FALSE),0),0))/100)))),1),"")</f>
        <v>1</v>
      </c>
      <c r="IP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M39)*IO39)*(VLOOKUP(A39,tbMoveset!A2:C112,3,FALSE)/100)*IF(VLOOKUP(A39,tbMoveset!A2:B112,2,FALSE)="Projectile",Backdoors!N10,Backdoors!N9),0),"")</f>
        <v/>
      </c>
      <c r="IQ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IM39&gt;=0.45,VLOOKUP(Calculator!E23,tbSkills!DH3:DI6,2,FALSE)+IF(AND(Calculator!B8=TRUE,Backdoors!BI38=TRUE),VLOOKUP(Calculator!E23,tbSkills!DH3:DJ6,3,FALSE),0),0))&gt;=100,100,(Backdoors!AI12+IF(IM39&gt;=0.45,VLOOKUP(Calculator!E23,tbSkills!DH3:DI6,2,FALSE)+IF(AND(Calculator!B8=TRUE,Backdoors!BI38=TRUE),VLOOKUP(Calculator!E23,tbSkills!DH3:DJ6,3,FALSE),0),0)))/100)),1))*IF(VLOOKUP(A39,tbMoveset!A2:K112,11,FALSE)=TRUE,Backdoors!AC5,1))*IN39,0),"")</f>
        <v>0</v>
      </c>
      <c r="IR39" s="49">
        <f>VLOOKUP(A39,tbMoveset!A2:G112,7,FALSE)*IFERROR(IF(Backdoors!AI12&gt;=0,1+(IF(Calculator!E40&gt;0,VLOOKUP(Calculator!E40,tbSkills!AI3:AJ5,2,FALSE),Backdoors!AL4)*(IF((Backdoors!AI12+IF(IM39&gt;=0.45,VLOOKUP(Calculator!E23,tbSkills!DH3:DI6,2,FALSE)+IF(AND(Calculator!B8=TRUE,Backdoors!BI38=TRUE),VLOOKUP(Calculator!E23,tbSkills!DH3:DJ6,3,FALSE),0),0))&gt;=100,100,(Backdoors!AI12+IF(IM39&gt;=0.45,VLOOKUP(Calculator!E23,tbSkills!DH3:DI6,2,FALSE)+IF(AND(Calculator!B8=TRUE,Backdoors!BI38=TRUE),VLOOKUP(Calculator!E23,tbSkills!DH3:DJ6,3,FALSE),0),0)))/100)),1),1)</f>
        <v>0.5</v>
      </c>
      <c r="IS39" s="87">
        <f t="shared" si="42"/>
        <v>0</v>
      </c>
      <c r="IT39" s="86" t="str">
        <f>IFERROR(IF(VLOOKUP(A39,tbMoveset!A2:B112,2,FALSE)="Sever",Backdoors!AY39/100,IF(VLOOKUP(A39,tbMoveset!A2:B112,2,FALSE)="Blunt",Backdoors!AZ39/100,Backdoors!BA39/100)),"")</f>
        <v/>
      </c>
      <c r="IU39" s="49">
        <f>IFERROR(IF(VLOOKUP(tbMoveset!A39,tbMoveset!A2:H112,8,FALSE)="Other",IF(VLOOKUP(tbMoveset!A39,tbMoveset!A2:I112,9,FALSE)="Fire",Backdoors!BB39,IF(VLOOKUP(tbMoveset!A39,tbMoveset!A2:I112,9,FALSE)="Water",Backdoors!BC39,IF(VLOOKUP(tbMoveset!A39,tbMoveset!A2:I112,9,FALSE)="Thunder",Backdoors!BD39,IF(VLOOKUP(tbMoveset!A39,tbMoveset!A2:I112,9,FALSE)="Ice",Backdoors!BE39,IF(VLOOKUP(tbMoveset!A39,tbMoveset!A2:I112,9,FALSE)="Dragon",Backdoors!BF39,Backdoors!BG39)))))/100,Backdoors!BG39/100),"")</f>
        <v>0</v>
      </c>
      <c r="IV39" s="49">
        <f>IFERROR(IF(VLOOKUP(A39,tbMoveset!A2:J112,10,FALSE)=TRUE,IF((Backdoors!AI12+IF(IT39&gt;=0.45,VLOOKUP(Calculator!E23,tbSkills!DH3:DI6,2,FALSE)+IF(AND(Calculator!B8=TRUE,Backdoors!BI39=TRUE),VLOOKUP(Calculator!E23,tbSkills!DH3:DJ6,3,FALSE),0),0))&gt;=0,1+(Backdoors!AL2*(IF((Backdoors!AI12+IF(IT39&gt;=0.45,VLOOKUP(Calculator!E23,tbSkills!DH3:DI6,2,FALSE)+IF(AND(Calculator!B8=TRUE,Backdoors!BI39=TRUE),VLOOKUP(Calculator!E23,tbSkills!DH3:DJ6,3,FALSE),0),0))&gt;=100,100,(Backdoors!AI12+IF(IT39&gt;=0.45,VLOOKUP(Calculator!E23,tbSkills!DH3:DI6,2,FALSE)+IF(AND(Calculator!B8=TRUE,Backdoors!BI39=TRUE),VLOOKUP(Calculator!E23,tbSkills!DH3:DJ6,3,FALSE),0),0)))/100)),(1-(0.25*((-Backdoors!AI12-IF(IT39&gt;=0.45,VLOOKUP(Calculator!E23,tbSkills!DH3:DI6,2,FALSE)+IF(AND(Calculator!B8=TRUE,Backdoors!BI39=TRUE),VLOOKUP(Calculator!E23,tbSkills!DH3:DJ6,3,FALSE),0),0))/100)))),1),"")</f>
        <v>1</v>
      </c>
      <c r="IW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T39)*IV39)*(VLOOKUP(A39,tbMoveset!A2:C112,3,FALSE)/100)*IF(VLOOKUP(A39,tbMoveset!A2:B112,2,FALSE)="Projectile",Backdoors!N10,Backdoors!N9),0),"")</f>
        <v/>
      </c>
      <c r="IX39" s="49">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40&gt;0,VLOOKUP(Calculator!E40,tbSkills!AC3:AD5,2,FALSE),Backdoors!AL3)*(IF((Backdoors!AI12+IF(IT39&gt;=0.45,VLOOKUP(Calculator!E23,tbSkills!DH3:DI6,2,FALSE)+IF(AND(Calculator!B8=TRUE,Backdoors!BI39=TRUE),VLOOKUP(Calculator!E23,tbSkills!DH3:DJ6,3,FALSE),0),0))&gt;=100,100,(Backdoors!AI12+IF(IT39&gt;=0.45,VLOOKUP(Calculator!E23,tbSkills!DH3:DI6,2,FALSE)+IF(AND(Calculator!B8=TRUE,Backdoors!BI39=TRUE),VLOOKUP(Calculator!E23,tbSkills!DH3:DJ6,3,FALSE),0),0)))/100)),1))*IF(VLOOKUP(A39,tbMoveset!A2:K112,11,FALSE)=TRUE,Backdoors!AC5,1))*IU39,0),"")</f>
        <v>0</v>
      </c>
      <c r="IY39" s="49">
        <f>VLOOKUP(A39,tbMoveset!A2:G112,7,FALSE)*IFERROR(IF(Backdoors!AI12&gt;=0,1+(IF(Calculator!E40&gt;0,VLOOKUP(Calculator!E40,tbSkills!AI3:AJ5,2,FALSE),Backdoors!AL4)*(IF((Backdoors!AI12+IF(IT39&gt;=0.45,VLOOKUP(Calculator!E23,tbSkills!DH3:DI6,2,FALSE)+IF(AND(Calculator!B8=TRUE,Backdoors!BI39=TRUE),VLOOKUP(Calculator!E23,tbSkills!DH3:DJ6,3,FALSE),0),0))&gt;=100,100,(Backdoors!AI12+IF(IT39&gt;=0.45,VLOOKUP(Calculator!E23,tbSkills!DH3:DI6,2,FALSE)+IF(AND(Calculator!B8=TRUE,Backdoors!BI39=TRUE),VLOOKUP(Calculator!E23,tbSkills!DH3:DJ6,3,FALSE),0),0)))/100)),1),1)</f>
        <v>0.5</v>
      </c>
      <c r="IZ39" s="87">
        <f t="shared" si="28"/>
        <v>0</v>
      </c>
      <c r="JA39" s="86" t="str">
        <f>IFERROR(IF(VLOOKUP(A39,tbMoveset!A2:B112,2,FALSE)="Sever",Backdoors!AY40/100,IF(VLOOKUP(A39,tbMoveset!A2:B112,2,FALSE)="Blunt",Backdoors!AZ40/100,Backdoors!BA40/100)),"")</f>
        <v/>
      </c>
      <c r="JB39" s="49">
        <f>IFERROR(IF(VLOOKUP(tbMoveset!A39,tbMoveset!A2:H112,8,FALSE)="Other",IF(VLOOKUP(tbMoveset!A39,tbMoveset!A2:I112,9,FALSE)="Fire",Backdoors!BB40,IF(VLOOKUP(tbMoveset!A39,tbMoveset!A2:I112,9,FALSE)="Water",Backdoors!BC40,IF(VLOOKUP(tbMoveset!A39,tbMoveset!A2:I112,9,FALSE)="Thunder",Backdoors!BD40,IF(VLOOKUP(tbMoveset!A39,tbMoveset!A2:I112,9,FALSE)="Ice",Backdoors!BE40,IF(VLOOKUP(tbMoveset!A39,tbMoveset!A2:I112,9,FALSE)="Dragon",Backdoors!BF40,Backdoors!BG40)))))/100,Backdoors!BG40/100),"")</f>
        <v>0</v>
      </c>
      <c r="JC39" s="49">
        <f>IFERROR(IF(VLOOKUP(A39,tbMoveset!A2:J112,10,FALSE)=TRUE,IF((Backdoors!AI12+IF(JA39&gt;=0.45,VLOOKUP(Calculator!E23,tbSkills!DH3:DI6,2,FALSE)+IF(AND(Calculator!B8=TRUE,Backdoors!BI40=TRUE),VLOOKUP(Calculator!E23,tbSkills!DH3:DJ6,3,FALSE),0),0))&gt;=0,1+(Backdoors!AL2*(IF((Backdoors!AI12+IF(JA39&gt;=0.45,VLOOKUP(Calculator!E23,tbSkills!DH3:DI6,2,FALSE)+IF(AND(Calculator!B8=TRUE,Backdoors!BI40=TRUE),VLOOKUP(Calculator!E23,tbSkills!DH3:DJ6,3,FALSE),0),0))&gt;=100,100,(Backdoors!AI12+IF(JA39&gt;=0.45,VLOOKUP(Calculator!E23,tbSkills!DH3:DI6,2,FALSE)+IF(AND(Calculator!B8=TRUE,Backdoors!BI40=TRUE),VLOOKUP(Calculator!E23,tbSkills!DH3:DJ6,3,FALSE),0),0)))/100)),(1-(0.25*((-Backdoors!AI12-IF(JA39&gt;=0.45,VLOOKUP(Calculator!E23,tbSkills!DH3:DI6,2,FALSE)+IF(AND(Calculator!B8=TRUE,Backdoors!BI40=TRUE),VLOOKUP(Calculator!E23,tbSkills!DH3:DJ6,3,FALSE),0),0))/100)))),1),"")</f>
        <v>1</v>
      </c>
      <c r="JD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A39)*JC39)*(VLOOKUP(A39,tbMoveset!A2:C112,3,FALSE)/100)*IF(VLOOKUP(A39,tbMoveset!A2:B112,2,FALSE)="Projectile",Backdoors!N10,Backdoors!N9),0),"")</f>
        <v/>
      </c>
      <c r="JE39" s="49">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42&gt;0,VLOOKUP(Calculator!E42,tbSkills!AC3:AD5,2,FALSE),Backdoors!AL3)*(IF((Backdoors!AI12+IF(JA39&gt;=0.45,VLOOKUP(Calculator!E23,tbSkills!DH3:DI6,2,FALSE)+IF(AND(Calculator!B8=TRUE,Backdoors!BI40=TRUE),VLOOKUP(Calculator!E23,tbSkills!DH3:DJ6,3,FALSE),0),0))&gt;=100,100,(Backdoors!AI12+IF(JA39&gt;=0.45,VLOOKUP(Calculator!E23,tbSkills!DH3:DI6,2,FALSE)+IF(AND(Calculator!B8=TRUE,Backdoors!BI40=TRUE),VLOOKUP(Calculator!E23,tbSkills!DH3:DJ6,3,FALSE),0),0)))/100)),1))*IF(VLOOKUP(A39,tbMoveset!A2:K112,11,FALSE)=TRUE,Backdoors!AC5,1))*JB39,0),"")</f>
        <v>0</v>
      </c>
      <c r="JF39" s="49">
        <f>VLOOKUP(A39,tbMoveset!A2:G112,7,FALSE)*IFERROR(IF(Backdoors!AI12&gt;=0,1+(IF(Calculator!E40&gt;0,VLOOKUP(Calculator!E40,tbSkills!AI3:AJ5,2,FALSE),Backdoors!AL4)*(IF((Backdoors!AI12+IF(JA39&gt;=0.45,VLOOKUP(Calculator!E23,tbSkills!DH3:DI6,2,FALSE)+IF(AND(Calculator!B8=TRUE,Backdoors!BI40=TRUE),VLOOKUP(Calculator!E23,tbSkills!DH3:DJ6,3,FALSE),0),0))&gt;=100,100,(Backdoors!AI12+IF(JA39&gt;=0.45,VLOOKUP(Calculator!E23,tbSkills!DH3:DI6,2,FALSE)+IF(AND(Calculator!B8=TRUE,Backdoors!BI40=TRUE),VLOOKUP(Calculator!E23,tbSkills!DH3:DJ6,3,FALSE),0),0)))/100)),1),1)</f>
        <v>0.5</v>
      </c>
      <c r="JG39" s="87">
        <f t="shared" si="29"/>
        <v>0</v>
      </c>
      <c r="JH39" s="86" t="str">
        <f>IFERROR(IF(VLOOKUP(A39,tbMoveset!A2:B112,2,FALSE)="Sever",Backdoors!AY41/100,IF(VLOOKUP(A39,tbMoveset!A2:B112,2,FALSE)="Blunt",Backdoors!AZ41/100,Backdoors!BA41/100)),"")</f>
        <v/>
      </c>
      <c r="JI39" s="49">
        <f>IFERROR(IF(VLOOKUP(tbMoveset!A39,tbMoveset!A2:H112,8,FALSE)="Other",IF(VLOOKUP(tbMoveset!A39,tbMoveset!A2:I112,9,FALSE)="Fire",Backdoors!BB41,IF(VLOOKUP(tbMoveset!A39,tbMoveset!A2:I112,9,FALSE)="Water",Backdoors!BC41,IF(VLOOKUP(tbMoveset!A39,tbMoveset!A2:I112,9,FALSE)="Thunder",Backdoors!BD41,IF(VLOOKUP(tbMoveset!A39,tbMoveset!A2:I112,9,FALSE)="Ice",Backdoors!BE41,IF(VLOOKUP(tbMoveset!A39,tbMoveset!A2:I112,9,FALSE)="Dragon",Backdoors!BF41,Backdoors!BG41)))))/100,Backdoors!BG41/100),"")</f>
        <v>0</v>
      </c>
      <c r="JJ39" s="49">
        <f>IFERROR(IF(VLOOKUP(A39,tbMoveset!A2:J112,10,FALSE)=TRUE,IF((Backdoors!AI12+IF(JH39&gt;=0.45,VLOOKUP(Calculator!E23,tbSkills!DH3:DI6,2,FALSE)+IF(AND(Calculator!B8=TRUE,Backdoors!BI41=TRUE),VLOOKUP(Calculator!E23,tbSkills!DH3:DJ6,3,FALSE),0),0))&gt;=0,1+(Backdoors!AL2*(IF((Backdoors!AI12+IF(JH39&gt;=0.45,VLOOKUP(Calculator!E23,tbSkills!DH3:DI6,2,FALSE)+IF(AND(Calculator!B8=TRUE,Backdoors!BI41=TRUE),VLOOKUP(Calculator!E23,tbSkills!DH3:DJ6,3,FALSE),0),0))&gt;=100,100,(Backdoors!AI12+IF(JH39&gt;=0.45,VLOOKUP(Calculator!E23,tbSkills!DH3:DI6,2,FALSE)+IF(AND(Calculator!B8=TRUE,Backdoors!BI41=TRUE),VLOOKUP(Calculator!E23,tbSkills!DH3:DJ6,3,FALSE),0),0)))/100)),(1-(0.25*((-Backdoors!AI12-IF(JH39&gt;=0.45,VLOOKUP(Calculator!E23,tbSkills!DH3:DI6,2,FALSE)+IF(AND(Calculator!B8=TRUE,Backdoors!BI41=TRUE),VLOOKUP(Calculator!E23,tbSkills!DH3:DJ6,3,FALSE),0),0))/100)))),1),"")</f>
        <v>1</v>
      </c>
      <c r="JK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H39)*JJ39)*(VLOOKUP(A39,tbMoveset!A2:C112,3,FALSE)/100)*IF(VLOOKUP(A39,tbMoveset!A2:B112,2,FALSE)="Projectile",Backdoors!N10,Backdoors!N9),0),"")</f>
        <v/>
      </c>
      <c r="JL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43&gt;0,VLOOKUP(Calculator!E43,tbSkills!AC3:AD5,2,FALSE),Backdoors!AL3)*(IF((Backdoors!AI12+IF(JH39&gt;=0.45,VLOOKUP(Calculator!E23,tbSkills!DH3:DI6,2,FALSE)+IF(AND(Calculator!B8=TRUE,Backdoors!BI41=TRUE),VLOOKUP(Calculator!E23,tbSkills!DH3:DJ6,3,FALSE),0),0))&gt;=100,100,(Backdoors!AI12+IF(JH39&gt;=0.45,VLOOKUP(Calculator!E23,tbSkills!DH3:DI6,2,FALSE)+IF(AND(Calculator!B8=TRUE,Backdoors!BI41=TRUE),VLOOKUP(Calculator!E23,tbSkills!DH3:DJ6,3,FALSE),0),0)))/100)),1))*IF(VLOOKUP(A39,tbMoveset!A2:K112,11,FALSE)=TRUE,Backdoors!AC5,1))*JI39,0),"")</f>
        <v/>
      </c>
      <c r="JM39" s="49">
        <f>VLOOKUP(A39,tbMoveset!A2:G112,7,FALSE)*IFERROR(IF(Backdoors!AI12&gt;=0,1+(IF(Calculator!E40&gt;0,VLOOKUP(Calculator!E40,tbSkills!AI3:AJ5,2,FALSE),Backdoors!AL4)*(IF((Backdoors!AI12+IF(JH39&gt;=0.45,VLOOKUP(Calculator!E23,tbSkills!DH3:DI6,2,FALSE)+IF(AND(Calculator!B8=TRUE,Backdoors!BI41=TRUE),VLOOKUP(Calculator!E23,tbSkills!DH3:DJ6,3,FALSE),0),0))&gt;=100,100,(Backdoors!AI12+IF(JH39&gt;=0.45,VLOOKUP(Calculator!E23,tbSkills!DH3:DI6,2,FALSE)+IF(AND(Calculator!B8=TRUE,Backdoors!BI41=TRUE),VLOOKUP(Calculator!E23,tbSkills!DH3:DJ6,3,FALSE),0),0)))/100)),1),1)</f>
        <v>0.5</v>
      </c>
      <c r="JN39" s="87">
        <f t="shared" si="30"/>
        <v>0</v>
      </c>
      <c r="JO39" s="86" t="str">
        <f>IFERROR(IF(VLOOKUP(A39,tbMoveset!A2:B112,2,FALSE)="Sever",Backdoors!AY42/100,IF(VLOOKUP(A39,tbMoveset!A2:B112,2,FALSE)="Blunt",Backdoors!AZ42/100,Backdoors!BA42/100)),"")</f>
        <v/>
      </c>
      <c r="JP39" s="49">
        <f>IFERROR(IF(VLOOKUP(tbMoveset!A39,tbMoveset!A2:H112,8,FALSE)="Other",IF(VLOOKUP(tbMoveset!A39,tbMoveset!A2:I112,9,FALSE)="Fire",Backdoors!BB42,IF(VLOOKUP(tbMoveset!A39,tbMoveset!A2:I112,9,FALSE)="Water",Backdoors!BC42,IF(VLOOKUP(tbMoveset!A39,tbMoveset!A2:I112,9,FALSE)="Thunder",Backdoors!BD42,IF(VLOOKUP(tbMoveset!A39,tbMoveset!A2:I112,9,FALSE)="Ice",Backdoors!BE42,IF(VLOOKUP(tbMoveset!A39,tbMoveset!A2:I112,9,FALSE)="Dragon",Backdoors!BF42,Backdoors!BG42)))))/100,Backdoors!BG42/100),"")</f>
        <v>0</v>
      </c>
      <c r="JQ39" s="49">
        <f>IFERROR(IF(VLOOKUP(A39,tbMoveset!A2:J112,10,FALSE)=TRUE,IF((Backdoors!AI12+IF(JO39&gt;=0.45,VLOOKUP(Calculator!E23,tbSkills!DH3:DI6,2,FALSE)+IF(AND(Calculator!B8=TRUE,Backdoors!BI42=TRUE),VLOOKUP(Calculator!E23,tbSkills!DH3:DJ6,3,FALSE),0),0))&gt;=0,1+(Backdoors!AL2*(IF((Backdoors!AI12+IF(JO39&gt;=0.45,VLOOKUP(Calculator!E23,tbSkills!DH3:DI6,2,FALSE)+IF(AND(Calculator!B8=TRUE,Backdoors!BI42=TRUE),VLOOKUP(Calculator!E23,tbSkills!DH3:DJ6,3,FALSE),0),0))&gt;=100,100,(Backdoors!AI12+IF(JO39&gt;=0.45,VLOOKUP(Calculator!E23,tbSkills!DH3:DI6,2,FALSE)+IF(AND(Calculator!B8=TRUE,Backdoors!BI42=TRUE),VLOOKUP(Calculator!E23,tbSkills!DH3:DJ6,3,FALSE),0),0)))/100)),(1-(0.25*((-Backdoors!AI12-IF(JO39&gt;=0.45,VLOOKUP(Calculator!E23,tbSkills!DH3:DI6,2,FALSE)+IF(AND(Calculator!B8=TRUE,Backdoors!BI42=TRUE),VLOOKUP(Calculator!E23,tbSkills!DH3:DJ6,3,FALSE),0),0))/100)))),1),"")</f>
        <v>1</v>
      </c>
      <c r="JR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O39)*JQ39)*(VLOOKUP(A39,tbMoveset!A2:C112,3,FALSE)/100)*IF(VLOOKUP(A39,tbMoveset!A2:B112,2,FALSE)="Projectile",Backdoors!N10,Backdoors!N9),0),"")</f>
        <v/>
      </c>
      <c r="JS39" s="49">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45&gt;0,VLOOKUP(Calculator!E45,tbSkills!AC3:AD5,2,FALSE),Backdoors!AL3)*(IF((Backdoors!AI12+IF(JO39&gt;=0.45,VLOOKUP(Calculator!E23,tbSkills!DH3:DI6,2,FALSE)+IF(AND(Calculator!B8=TRUE,Backdoors!BI42=TRUE),VLOOKUP(Calculator!E23,tbSkills!DH3:DJ6,3,FALSE),0),0))&gt;=100,100,(Backdoors!AI12+IF(JO39&gt;=0.45,VLOOKUP(Calculator!E23,tbSkills!DH3:DI6,2,FALSE)+IF(AND(Calculator!B8=TRUE,Backdoors!BI42=TRUE),VLOOKUP(Calculator!E23,tbSkills!DH3:DJ6,3,FALSE),0),0)))/100)),1))*IF(VLOOKUP(A39,tbMoveset!A2:K112,11,FALSE)=TRUE,Backdoors!AC5,1))*JP39,0),"")</f>
        <v>0</v>
      </c>
      <c r="JT39" s="49">
        <f>VLOOKUP(A39,tbMoveset!A2:G112,7,FALSE)*IFERROR(IF(Backdoors!AI12&gt;=0,1+(IF(Calculator!E40&gt;0,VLOOKUP(Calculator!E40,tbSkills!AI3:AJ5,2,FALSE),Backdoors!AL4)*(IF((Backdoors!AI12+IF(JO39&gt;=0.45,VLOOKUP(Calculator!E23,tbSkills!DH3:DI6,2,FALSE)+IF(AND(Calculator!B8=TRUE,Backdoors!BI42=TRUE),VLOOKUP(Calculator!E23,tbSkills!DH3:DJ6,3,FALSE),0),0))&gt;=100,100,(Backdoors!AI12+IF(JO39&gt;=0.45,VLOOKUP(Calculator!E23,tbSkills!DH3:DI6,2,FALSE)+IF(AND(Calculator!B8=TRUE,Backdoors!BI42=TRUE),VLOOKUP(Calculator!E23,tbSkills!DH3:DJ6,3,FALSE),0),0)))/100)),1),1)</f>
        <v>0.5</v>
      </c>
      <c r="JU39" s="87">
        <f t="shared" si="31"/>
        <v>0</v>
      </c>
      <c r="JV39" s="86" t="str">
        <f>IFERROR(IF(VLOOKUP(A39,tbMoveset!A2:B112,2,FALSE)="Sever",Backdoors!AY43/100,IF(VLOOKUP(A39,tbMoveset!A2:B112,2,FALSE)="Blunt",Backdoors!AZ43/100,Backdoors!BA43/100)),"")</f>
        <v/>
      </c>
      <c r="JW39" s="49">
        <f>IFERROR(IF(VLOOKUP(tbMoveset!A39,tbMoveset!A2:H112,8,FALSE)="Other",IF(VLOOKUP(tbMoveset!A39,tbMoveset!A2:I112,9,FALSE)="Fire",Backdoors!BB43,IF(VLOOKUP(tbMoveset!A39,tbMoveset!A2:I112,9,FALSE)="Water",Backdoors!BC43,IF(VLOOKUP(tbMoveset!A39,tbMoveset!A2:I112,9,FALSE)="Thunder",Backdoors!BD43,IF(VLOOKUP(tbMoveset!A39,tbMoveset!A2:I112,9,FALSE)="Ice",Backdoors!BE43,IF(VLOOKUP(tbMoveset!A39,tbMoveset!A2:I112,9,FALSE)="Dragon",Backdoors!BF43,Backdoors!BG43)))))/100,Backdoors!BG43/100),"")</f>
        <v>0</v>
      </c>
      <c r="JX39" s="49">
        <f>IFERROR(IF(VLOOKUP(A39,tbMoveset!A2:J112,10,FALSE)=TRUE,IF((Backdoors!AI12+IF(JV39&gt;=0.45,VLOOKUP(Calculator!E23,tbSkills!DH3:DI6,2,FALSE)+IF(AND(Calculator!B8=TRUE,Backdoors!BI43=TRUE),VLOOKUP(Calculator!E23,tbSkills!DH3:DJ6,3,FALSE),0),0))&gt;=0,1+(Backdoors!AL2*(IF((Backdoors!AI12+IF(JV39&gt;=0.45,VLOOKUP(Calculator!E23,tbSkills!DH3:DI6,2,FALSE)+IF(AND(Calculator!B8=TRUE,Backdoors!BI43=TRUE),VLOOKUP(Calculator!E23,tbSkills!DH3:DJ6,3,FALSE),0),0))&gt;=100,100,(Backdoors!AI12+IF(JV39&gt;=0.45,VLOOKUP(Calculator!E23,tbSkills!DH3:DI6,2,FALSE)+IF(AND(Calculator!B8=TRUE,Backdoors!BI43=TRUE),VLOOKUP(Calculator!E23,tbSkills!DH3:DJ6,3,FALSE),0),0)))/100)),(1-(0.25*((-Backdoors!AI12-IF(JV39&gt;=0.45,VLOOKUP(Calculator!E23,tbSkills!DH3:DI6,2,FALSE)+IF(AND(Calculator!B8=TRUE,Backdoors!BI43=TRUE),VLOOKUP(Calculator!E23,tbSkills!DH3:DJ6,3,FALSE),0),0))/100)))),1),"")</f>
        <v>1</v>
      </c>
      <c r="JY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V39)*JX39)*(VLOOKUP(A39,tbMoveset!A2:C112,3,FALSE)/100)*IF(VLOOKUP(A39,tbMoveset!A2:B112,2,FALSE)="Projectile",Backdoors!N10,Backdoors!N9),0),"")</f>
        <v/>
      </c>
      <c r="JZ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46&gt;0,VLOOKUP(Calculator!E46,tbSkills!AC3:AD5,2,FALSE),Backdoors!AL3)*(IF((Backdoors!AI12+IF(JV39&gt;=0.45,VLOOKUP(Calculator!E23,tbSkills!DH3:DI6,2,FALSE)+IF(AND(Calculator!B8=TRUE,Backdoors!BI43=TRUE),VLOOKUP(Calculator!E23,tbSkills!DH3:DJ6,3,FALSE),0),0))&gt;=100,100,(Backdoors!AI12+IF(JV39&gt;=0.45,VLOOKUP(Calculator!E23,tbSkills!DH3:DI6,2,FALSE)+IF(AND(Calculator!B8=TRUE,Backdoors!BI43=TRUE),VLOOKUP(Calculator!E23,tbSkills!DH3:DJ6,3,FALSE),0),0)))/100)),1))*IF(VLOOKUP(A39,tbMoveset!A2:K112,11,FALSE)=TRUE,Backdoors!AC5,1))*JW39,0),"")</f>
        <v/>
      </c>
      <c r="KA39" s="49">
        <f>VLOOKUP(A39,tbMoveset!A2:G112,7,FALSE)*IFERROR(IF(Backdoors!AI12&gt;=0,1+(IF(Calculator!E40&gt;0,VLOOKUP(Calculator!E40,tbSkills!AI3:AJ5,2,FALSE),Backdoors!AL4)*(IF((Backdoors!AI12+IF(JV39&gt;=0.45,VLOOKUP(Calculator!E23,tbSkills!DH3:DI6,2,FALSE)+IF(AND(Calculator!B8=TRUE,Backdoors!BI43=TRUE),VLOOKUP(Calculator!E23,tbSkills!DH3:DJ6,3,FALSE),0),0))&gt;=100,100,(Backdoors!AI12+IF(JV39&gt;=0.45,VLOOKUP(Calculator!E23,tbSkills!DH3:DI6,2,FALSE)+IF(AND(Calculator!B8=TRUE,Backdoors!BI43=TRUE),VLOOKUP(Calculator!E23,tbSkills!DH3:DJ6,3,FALSE),0),0)))/100)),1),1)</f>
        <v>0.5</v>
      </c>
      <c r="KB39" s="87">
        <f t="shared" si="32"/>
        <v>0</v>
      </c>
      <c r="KC39" s="86" t="str">
        <f>IFERROR(IF(VLOOKUP(A39,tbMoveset!A2:B112,2,FALSE)="Sever",Backdoors!AY44/100,IF(VLOOKUP(A39,tbMoveset!A2:B112,2,FALSE)="Blunt",Backdoors!AZ44/100,Backdoors!BA44/100)),"")</f>
        <v/>
      </c>
      <c r="KD39" s="49">
        <f>IFERROR(IF(VLOOKUP(tbMoveset!A39,tbMoveset!A2:H112,8,FALSE)="Other",IF(VLOOKUP(tbMoveset!A39,tbMoveset!A2:I112,9,FALSE)="Fire",Backdoors!BB44,IF(VLOOKUP(tbMoveset!A39,tbMoveset!A2:I112,9,FALSE)="Water",Backdoors!BC44,IF(VLOOKUP(tbMoveset!A39,tbMoveset!A2:I112,9,FALSE)="Thunder",Backdoors!BD44,IF(VLOOKUP(tbMoveset!A39,tbMoveset!A2:I112,9,FALSE)="Ice",Backdoors!BE44,IF(VLOOKUP(tbMoveset!A39,tbMoveset!A2:I112,9,FALSE)="Dragon",Backdoors!BF44,Backdoors!BG44)))))/100,Backdoors!BG44/100),"")</f>
        <v>0</v>
      </c>
      <c r="KE39" s="49">
        <f>IFERROR(IF(VLOOKUP(A39,tbMoveset!A2:J112,10,FALSE)=TRUE,IF((Backdoors!AI12+IF(KC39&gt;=0.45,VLOOKUP(Calculator!E23,tbSkills!DH3:DI6,2,FALSE)+IF(AND(Calculator!B8=TRUE,Backdoors!BI44=TRUE),VLOOKUP(Calculator!E23,tbSkills!DH3:DJ6,3,FALSE),0),0))&gt;=0,1+(Backdoors!AL2*(IF((Backdoors!AI12+IF(KC39&gt;=0.45,VLOOKUP(Calculator!E23,tbSkills!DH3:DI6,2,FALSE)+IF(AND(Calculator!B8=TRUE,Backdoors!BI44=TRUE),VLOOKUP(Calculator!E23,tbSkills!DH3:DJ6,3,FALSE),0),0))&gt;=100,100,(Backdoors!AI12+IF(KC39&gt;=0.45,VLOOKUP(Calculator!E23,tbSkills!DH3:DI6,2,FALSE)+IF(AND(Calculator!B8=TRUE,Backdoors!BI44=TRUE),VLOOKUP(Calculator!E23,tbSkills!DH3:DJ6,3,FALSE),0),0)))/100)),(1-(0.25*((-Backdoors!AI12-IF(KC39&gt;=0.45,VLOOKUP(Calculator!E23,tbSkills!DH3:DI6,2,FALSE)+IF(AND(Calculator!B8=TRUE,Backdoors!BI44=TRUE),VLOOKUP(Calculator!E23,tbSkills!DH3:DJ6,3,FALSE),0),0))/100)))),1),"")</f>
        <v>1</v>
      </c>
      <c r="KF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KC39)*KE39)*(VLOOKUP(A39,tbMoveset!A2:C112,3,FALSE)/100)*IF(VLOOKUP(A39,tbMoveset!A2:B112,2,FALSE)="Projectile",Backdoors!N10,Backdoors!N9),0),"")</f>
        <v/>
      </c>
      <c r="KG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REF!&gt;0,VLOOKUP(Calculator!#REF!,tbSkills!AC3:AD5,2,FALSE),Backdoors!AL3)*(IF((Backdoors!AI12+IF(KC39&gt;=0.45,VLOOKUP(Calculator!E23,tbSkills!DH3:DI6,2,FALSE)+IF(AND(Calculator!B8=TRUE,Backdoors!BI44=TRUE),VLOOKUP(Calculator!E23,tbSkills!DH3:DJ6,3,FALSE),0),0))&gt;=100,100,(Backdoors!AI12+IF(KC39&gt;=0.45,VLOOKUP(Calculator!E23,tbSkills!DH3:DI6,2,FALSE)+IF(AND(Calculator!B8=TRUE,Backdoors!BI44=TRUE),VLOOKUP(Calculator!E23,tbSkills!DH3:DJ6,3,FALSE),0),0)))/100)),1))*IF(VLOOKUP(A39,tbMoveset!A2:K112,11,FALSE)=TRUE,Backdoors!AC5,1))*KD39,0),"")</f>
        <v/>
      </c>
      <c r="KH39" s="49">
        <f>VLOOKUP(A39,tbMoveset!A2:G112,7,FALSE)*IFERROR(IF(Backdoors!AI12&gt;=0,1+(IF(Calculator!E40&gt;0,VLOOKUP(Calculator!E40,tbSkills!AI3:AJ5,2,FALSE),Backdoors!AL4)*(IF((Backdoors!AI12+IF(KC39&gt;=0.45,VLOOKUP(Calculator!E23,tbSkills!DH3:DI6,2,FALSE)+IF(AND(Calculator!B8=TRUE,Backdoors!BI44=TRUE),VLOOKUP(Calculator!E23,tbSkills!DH3:DJ6,3,FALSE),0),0))&gt;=100,100,(Backdoors!AI12+IF(KC39&gt;=0.45,VLOOKUP(Calculator!E23,tbSkills!DH3:DI6,2,FALSE)+IF(AND(Calculator!B8=TRUE,Backdoors!BI44=TRUE),VLOOKUP(Calculator!E23,tbSkills!DH3:DJ6,3,FALSE),0),0)))/100)),1),1)</f>
        <v>0.5</v>
      </c>
      <c r="KI39" s="87">
        <f t="shared" si="33"/>
        <v>0</v>
      </c>
      <c r="KJ39" s="86" t="str">
        <f>IFERROR(IF(VLOOKUP(A39,tbMoveset!A2:B112,2,FALSE)="Sever",Backdoors!AY45/100,IF(VLOOKUP(A39,tbMoveset!A2:B112,2,FALSE)="Blunt",Backdoors!AZ45/100,Backdoors!BA45/100)),"")</f>
        <v/>
      </c>
      <c r="KK39" s="49">
        <f>IFERROR(IF(VLOOKUP(tbMoveset!A39,tbMoveset!A2:H112,8,FALSE)="Other",IF(VLOOKUP(tbMoveset!A39,tbMoveset!A2:I112,9,FALSE)="Fire",Backdoors!BB45,IF(VLOOKUP(tbMoveset!A39,tbMoveset!A2:I112,9,FALSE)="Water",Backdoors!BC45,IF(VLOOKUP(tbMoveset!A39,tbMoveset!A2:I112,9,FALSE)="Thunder",Backdoors!BD45,IF(VLOOKUP(tbMoveset!A39,tbMoveset!A2:I112,9,FALSE)="Ice",Backdoors!BE45,IF(VLOOKUP(tbMoveset!A39,tbMoveset!A2:I112,9,FALSE)="Dragon",Backdoors!BF45,Backdoors!BG45)))))/100,Backdoors!BG45/100),"")</f>
        <v>0</v>
      </c>
      <c r="KL39" s="49">
        <f>IFERROR(IF(VLOOKUP(A39,tbMoveset!A2:J112,10,FALSE)=TRUE,IF((Backdoors!AI12+IF(KJ39&gt;=0.45,VLOOKUP(Calculator!E23,tbSkills!DH3:DI6,2,FALSE)+IF(AND(Calculator!B8=TRUE,Backdoors!BI45=TRUE),VLOOKUP(Calculator!E23,tbSkills!DH3:DJ6,3,FALSE),0),0))&gt;=0,1+(Backdoors!AL2*(IF((Backdoors!AI12+IF(KJ39&gt;=0.45,VLOOKUP(Calculator!E23,tbSkills!DH3:DI6,2,FALSE)+IF(AND(Calculator!B8=TRUE,Backdoors!BI45=TRUE),VLOOKUP(Calculator!E23,tbSkills!DH3:DJ6,3,FALSE),0),0))&gt;=100,100,(Backdoors!AI12+IF(KJ39&gt;=0.45,VLOOKUP(Calculator!E23,tbSkills!DH3:DI6,2,FALSE)+IF(AND(Calculator!B8=TRUE,Backdoors!BI45=TRUE),VLOOKUP(Calculator!E23,tbSkills!DH3:DJ6,3,FALSE),0),0)))/100)),(1-(0.25*((-Backdoors!AI12-IF(KJ39&gt;=0.45,VLOOKUP(Calculator!E23,tbSkills!DH3:DI6,2,FALSE)+IF(AND(Calculator!B8=TRUE,Backdoors!BI45=TRUE),VLOOKUP(Calculator!E23,tbSkills!DH3:DJ6,3,FALSE),0),0))/100)))),1),"")</f>
        <v>1</v>
      </c>
      <c r="KM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KJ39)*KL39)*(VLOOKUP(A39,tbMoveset!A2:C112,3,FALSE)/100)*IF(VLOOKUP(A39,tbMoveset!A2:B112,2,FALSE)="Projectile",Backdoors!N10,Backdoors!N9),0),"")</f>
        <v/>
      </c>
      <c r="KN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REF!&gt;0,VLOOKUP(Calculator!#REF!,tbSkills!AC3:AD5,2,FALSE),Backdoors!AL3)*(IF((Backdoors!AI12+IF(KJ39&gt;=0.45,VLOOKUP(Calculator!E23,tbSkills!DH3:DI6,2,FALSE)+IF(AND(Calculator!B8=TRUE,Backdoors!BI45=TRUE),VLOOKUP(Calculator!E23,tbSkills!DH3:DJ6,3,FALSE),0),0))&gt;=100,100,(Backdoors!AI12+IF(KJ39&gt;=0.45,VLOOKUP(Calculator!E23,tbSkills!DH3:DI6,2,FALSE)+IF(AND(Calculator!B8=TRUE,Backdoors!BI45=TRUE),VLOOKUP(Calculator!E23,tbSkills!DH3:DJ6,3,FALSE),0),0)))/100)),1))*IF(VLOOKUP(A39,tbMoveset!A2:K112,11,FALSE)=TRUE,Backdoors!AC5,1))*KK39,0),"")</f>
        <v/>
      </c>
      <c r="KO39" s="49">
        <f>VLOOKUP(A39,tbMoveset!A2:G112,7,FALSE)*IFERROR(IF(Backdoors!AI12&gt;=0,1+(IF(Calculator!E40&gt;0,VLOOKUP(Calculator!E40,tbSkills!AI3:AJ5,2,FALSE),Backdoors!AL4)*(IF((Backdoors!AI12+IF(KJ39&gt;=0.45,VLOOKUP(Calculator!E23,tbSkills!DH3:DI6,2,FALSE)+IF(AND(Calculator!B8=TRUE,Backdoors!BI45=TRUE),VLOOKUP(Calculator!E23,tbSkills!DH3:DJ6,3,FALSE),0),0))&gt;=100,100,(Backdoors!AI12+IF(KJ39&gt;=0.45,VLOOKUP(Calculator!E23,tbSkills!DH3:DI6,2,FALSE)+IF(AND(Calculator!B8=TRUE,Backdoors!BI45=TRUE),VLOOKUP(Calculator!E23,tbSkills!DH3:DJ6,3,FALSE),0),0)))/100)),1),1)</f>
        <v>0.5</v>
      </c>
      <c r="KP39" s="87">
        <f t="shared" si="34"/>
        <v>0</v>
      </c>
      <c r="KQ39" s="86" t="str">
        <f>IFERROR(IF(VLOOKUP(A39,tbMoveset!A2:B112,2,FALSE)="Sever",Backdoors!AY46/100,IF(VLOOKUP(A39,tbMoveset!A2:B112,2,FALSE)="Blunt",Backdoors!AZ46/100,Backdoors!BA46/100)),"")</f>
        <v/>
      </c>
      <c r="KR39" s="49">
        <f>IFERROR(IF(VLOOKUP(tbMoveset!A39,tbMoveset!A2:H112,8,FALSE)="Other",IF(VLOOKUP(tbMoveset!A39,tbMoveset!A2:I112,9,FALSE)="Fire",Backdoors!BB46,IF(VLOOKUP(tbMoveset!A39,tbMoveset!A2:I112,9,FALSE)="Water",Backdoors!BC46,IF(VLOOKUP(tbMoveset!A39,tbMoveset!A2:I112,9,FALSE)="Thunder",Backdoors!BD46,IF(VLOOKUP(tbMoveset!A39,tbMoveset!A2:I112,9,FALSE)="Ice",Backdoors!BE46,IF(VLOOKUP(tbMoveset!A39,tbMoveset!A2:I112,9,FALSE)="Dragon",Backdoors!BF46,Backdoors!BG46)))))/100,Backdoors!BG46/100),"")</f>
        <v>0</v>
      </c>
      <c r="KS39" s="49">
        <f>IFERROR(IF(VLOOKUP(A39,tbMoveset!A2:J112,10,FALSE)=TRUE,IF((Backdoors!AI12+IF(KQ39&gt;=0.45,VLOOKUP(Calculator!E23,tbSkills!DH3:DI6,2,FALSE)+IF(AND(Calculator!B8=TRUE,Backdoors!BI46=TRUE),VLOOKUP(Calculator!E23,tbSkills!DH3:DJ6,3,FALSE),0),0))&gt;=0,1+(Backdoors!AL2*(IF((Backdoors!AI12+IF(KQ39&gt;=0.45,VLOOKUP(Calculator!E23,tbSkills!DH3:DI6,2,FALSE)+IF(AND(Calculator!B8=TRUE,Backdoors!BI46=TRUE),VLOOKUP(Calculator!E23,tbSkills!DH3:DJ6,3,FALSE),0),0))&gt;=100,100,(Backdoors!AI12+IF(KQ39&gt;=0.45,VLOOKUP(Calculator!E23,tbSkills!DH3:DI6,2,FALSE)+IF(AND(Calculator!B8=TRUE,Backdoors!BI46=TRUE),VLOOKUP(Calculator!E23,tbSkills!DH3:DJ6,3,FALSE),0),0)))/100)),(1-(0.25*((-Backdoors!AI12-IF(KQ39&gt;=0.45,VLOOKUP(Calculator!E23,tbSkills!DH3:DI6,2,FALSE)+IF(AND(Calculator!B8=TRUE,Backdoors!BI46=TRUE),VLOOKUP(Calculator!E23,tbSkills!DH3:DJ6,3,FALSE),0),0))/100)))),1),"")</f>
        <v>1</v>
      </c>
      <c r="KT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KQ39)*KS39)*(VLOOKUP(A39,tbMoveset!A2:C112,3,FALSE)/100)*IF(VLOOKUP(A39,tbMoveset!A2:B112,2,FALSE)="Projectile",Backdoors!N10,Backdoors!N9),0),"")</f>
        <v/>
      </c>
      <c r="KU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REF!&gt;0,VLOOKUP(Calculator!#REF!,tbSkills!AC3:AD5,2,FALSE),Backdoors!AL3)*(IF((Backdoors!AI12+IF(KQ39&gt;=0.45,VLOOKUP(Calculator!E23,tbSkills!DH3:DI6,2,FALSE)+IF(AND(Calculator!B8=TRUE,Backdoors!BI46=TRUE),VLOOKUP(Calculator!E23,tbSkills!DH3:DJ6,3,FALSE),0),0))&gt;=100,100,(Backdoors!AI12+IF(KQ39&gt;=0.45,VLOOKUP(Calculator!E23,tbSkills!DH3:DI6,2,FALSE)+IF(AND(Calculator!B8=TRUE,Backdoors!BI46=TRUE),VLOOKUP(Calculator!E23,tbSkills!DH3:DJ6,3,FALSE),0),0)))/100)),1))*IF(VLOOKUP(A39,tbMoveset!A2:K112,11,FALSE)=TRUE,Backdoors!AC5,1))*KR39,0),"")</f>
        <v/>
      </c>
      <c r="KV39" s="49">
        <f>VLOOKUP(A39,tbMoveset!A2:G112,7,FALSE)*IFERROR(IF(Backdoors!AI12&gt;=0,1+(IF(Calculator!E40&gt;0,VLOOKUP(Calculator!E40,tbSkills!AI3:AJ5,2,FALSE),Backdoors!AL4)*(IF((Backdoors!AI12+IF(KQ39&gt;=0.45,VLOOKUP(Calculator!E23,tbSkills!DH3:DI6,2,FALSE)+IF(AND(Calculator!B8=TRUE,Backdoors!BI46=TRUE),VLOOKUP(Calculator!E23,tbSkills!DH3:DJ6,3,FALSE),0),0))&gt;=100,100,(Backdoors!AI12+IF(KQ39&gt;=0.45,VLOOKUP(Calculator!E23,tbSkills!DH3:DI6,2,FALSE)+IF(AND(Calculator!B8=TRUE,Backdoors!BI46=TRUE),VLOOKUP(Calculator!E23,tbSkills!DH3:DJ6,3,FALSE),0),0)))/100)),1),1)</f>
        <v>0.5</v>
      </c>
      <c r="KW39" s="87">
        <f t="shared" si="35"/>
        <v>0</v>
      </c>
    </row>
    <row r="40" spans="1:309" x14ac:dyDescent="0.25">
      <c r="A40" s="95" t="str">
        <f>tbMoveset!A40</f>
        <v>Sixfold Demon Slash (R1)</v>
      </c>
      <c r="B40" s="86">
        <f>IFERROR(IF(VLOOKUP(A40,tbMoveset!A2:B112,2,FALSE)="Sever",Backdoors!AY3/100,IF(VLOOKUP(A40,tbMoveset!A2:B112,2,FALSE)="Blunt",Backdoors!AZ3/100,Backdoors!BA3/100)),"")</f>
        <v>0.8</v>
      </c>
      <c r="C40" s="49">
        <f>IFERROR(IF(VLOOKUP(tbMoveset!A40,tbMoveset!A2:H112,8,FALSE)="Other",IF(VLOOKUP(tbMoveset!A40,tbMoveset!A2:I112,9,FALSE)="Fire",Backdoors!BB3,IF(VLOOKUP(tbMoveset!A40,tbMoveset!A2:I112,9,FALSE)="Water",Backdoors!BC3,IF(VLOOKUP(tbMoveset!A40,tbMoveset!A2:I112,9,FALSE)="Thunder",Backdoors!BD3,IF(VLOOKUP(tbMoveset!A40,tbMoveset!A2:I112,9,FALSE)="Ice",Backdoors!BE3,IF(VLOOKUP(tbMoveset!A40,tbMoveset!A2:I112,9,FALSE)="Dragon",Backdoors!BF3,Backdoors!BG3)))))/100,Backdoors!BG3/100),"")</f>
        <v>0</v>
      </c>
      <c r="D40" s="49">
        <f>IFERROR(IF(VLOOKUP(A40,tbMoveset!A2:J112,10,FALSE)=TRUE,IF((Backdoors!AI12+IF(B40&gt;=0.45,VLOOKUP(Calculator!E23,tbSkills!DH3:DI6,2,FALSE)+IF(AND(Calculator!B8=TRUE,Backdoors!BI3=TRUE),VLOOKUP(Calculator!E23,tbSkills!DH3:DJ6,3,FALSE),0),0))&gt;=0,1+(Backdoors!AL2*(IF((Backdoors!AI12+IF(B40&gt;=0.45,VLOOKUP(Calculator!E23,tbSkills!DH3:DI6,2,FALSE)+IF(AND(Calculator!B8=TRUE,Backdoors!BI3=TRUE),VLOOKUP(Calculator!E23,tbSkills!DH3:DJ6,3,FALSE),0),0))&gt;=100,100,(Backdoors!AI12+IF(B40&gt;=0.45,VLOOKUP(Calculator!E23,tbSkills!DH3:DI6,2,FALSE)+IF(AND(Calculator!B8=TRUE,Backdoors!BI3=TRUE),VLOOKUP(Calculator!E23,tbSkills!DH3:DJ6,3,FALSE),0),0)))/100)),(1-(0.25*((-Backdoors!AI12-IF(B40&gt;=0.45,VLOOKUP(Calculator!E23,tbSkills!DH3:DI6,2,FALSE)+IF(AND(Calculator!B8=TRUE,Backdoors!BI3=TRUE),VLOOKUP(Calculator!E23,tbSkills!DH3:DJ6,3,FALSE),0),0))/100)))),1),"")</f>
        <v>1</v>
      </c>
      <c r="E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40)*D40)*(VLOOKUP(A40,tbMoveset!A2:C112,3,FALSE)/100)*IF(VLOOKUP(A40,tbMoveset!A2:B112,2,FALSE)="Projectile",Backdoors!N10,Backdoors!N9),0),"")</f>
        <v>7</v>
      </c>
      <c r="F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40&gt;=0.45,VLOOKUP(Calculator!E23,tbSkills!DH3:DI6,2,FALSE)+IF(AND(Calculator!B8=TRUE,Backdoors!BI3=TRUE),VLOOKUP(Calculator!E23,tbSkills!DH3:DJ6,3,FALSE),0),0))&gt;=100,100,(Backdoors!AI12+IF(B40&gt;=0.45,VLOOKUP(Calculator!E23,tbSkills!DH3:DI6,2,FALSE)+IF(AND(Calculator!B8=TRUE,Backdoors!BI3=TRUE),VLOOKUP(Calculator!E23,tbSkills!DH3:DJ6,3,FALSE),0),0)))/100)),1))*IF(VLOOKUP(A40,tbMoveset!A2:K112,11,FALSE)=TRUE,Backdoors!AC5,1))*C40,0),"")</f>
        <v>0</v>
      </c>
      <c r="G40">
        <f>VLOOKUP(A40,tbMoveset!A2:G112,7,FALSE)*IFERROR(IF(Backdoors!AI12&gt;=0,1+(IF(Calculator!E40&gt;0,VLOOKUP(Calculator!E40,tbSkills!AI3:AJ5,2,FALSE),Backdoors!AL4)*(IF((Backdoors!AI12+IF(B40&gt;=0.45,VLOOKUP(Calculator!E23,tbSkills!DH3:DI6,2,FALSE)+IF(AND(Calculator!B8=TRUE,Backdoors!BI3=TRUE),VLOOKUP(Calculator!E23,tbSkills!DH3:DJ6,3,FALSE),0),0))&gt;=100,100,(Backdoors!AI12+IF(B40&gt;=0.45,VLOOKUP(Calculator!E23,tbSkills!DH3:DI6,2,FALSE)+IF(AND(Calculator!B8=TRUE,Backdoors!BI3=TRUE),VLOOKUP(Calculator!E23,tbSkills!DH3:DJ6,3,FALSE),0),0)))/100)),1),1)</f>
        <v>0.5</v>
      </c>
      <c r="H40" s="87">
        <f t="shared" si="44"/>
        <v>7</v>
      </c>
      <c r="I40" s="86">
        <f>IFERROR(IF(VLOOKUP(A40,tbMoveset!A2:B112,2,FALSE)="Sever",Backdoors!AY4/100,IF(VLOOKUP(A40,tbMoveset!A2:B112,2,FALSE)="Blunt",Backdoors!AZ4/100,Backdoors!BA4/100)),"")</f>
        <v>0.65</v>
      </c>
      <c r="J40" s="49">
        <f>IFERROR(IF(VLOOKUP(tbMoveset!A40,tbMoveset!A2:H112,8,FALSE)="Other",IF(VLOOKUP(tbMoveset!A40,tbMoveset!A2:I112,9,FALSE)="Fire",Backdoors!BB4,IF(VLOOKUP(tbMoveset!A40,tbMoveset!A2:I112,9,FALSE)="Water",Backdoors!BC4,IF(VLOOKUP(tbMoveset!A40,tbMoveset!A2:I112,9,FALSE)="Thunder",Backdoors!BD4,IF(VLOOKUP(tbMoveset!A40,tbMoveset!A2:I112,9,FALSE)="Ice",Backdoors!BE4,IF(VLOOKUP(tbMoveset!A40,tbMoveset!A2:I112,9,FALSE)="Dragon",Backdoors!BF4,Backdoors!BG4)))))/100,Backdoors!BG4/100),"")</f>
        <v>0</v>
      </c>
      <c r="K40" s="49">
        <f>IFERROR(IF(VLOOKUP(A40,tbMoveset!A2:J112,10,FALSE)=TRUE,IF((Backdoors!AI12+IF(I40&gt;=0.45,VLOOKUP(Calculator!E23,tbSkills!DH3:DI6,2,FALSE)+IF(AND(Calculator!B8=TRUE,Backdoors!BI4=TRUE),VLOOKUP(Calculator!E23,tbSkills!DH3:DJ6,3,FALSE),0),0))&gt;=0,1+(Backdoors!AL2*(IF((Backdoors!AI12+IF(I40&gt;=0.45,VLOOKUP(Calculator!E23,tbSkills!DH3:DI6,2,FALSE)+IF(AND(Calculator!B8=TRUE,Backdoors!BI4=TRUE),VLOOKUP(Calculator!E23,tbSkills!DH3:DJ6,3,FALSE),0),0))&gt;=100,100,(Backdoors!AI12+IF(I40&gt;=0.45,VLOOKUP(Calculator!E23,tbSkills!DH3:DI6,2,FALSE)+IF(AND(Calculator!B8=TRUE,Backdoors!BI4=TRUE),VLOOKUP(Calculator!E23,tbSkills!DH3:DJ6,3,FALSE),0),0)))/100)),(1-(0.25*((-Backdoors!AI12-IF(I40&gt;=0.45,VLOOKUP(Calculator!E23,tbSkills!DH3:DI6,2,FALSE)+IF(AND(Calculator!B8=TRUE,Backdoors!BI4=TRUE),VLOOKUP(Calculator!E23,tbSkills!DH3:DJ6,3,FALSE),0),0))/100)))),1),"")</f>
        <v>1</v>
      </c>
      <c r="L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40)*K40)*(VLOOKUP(A40,tbMoveset!A2:C112,3,FALSE)/100)*IF(VLOOKUP(A40,tbMoveset!A2:B112,2,FALSE)="Projectile",Backdoors!N10,Backdoors!N9),0),"")</f>
        <v>5</v>
      </c>
      <c r="M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I40&gt;=0.45,VLOOKUP(Calculator!E23,tbSkills!DH3:DI6,2,FALSE)+IF(AND(Calculator!B8=TRUE,Backdoors!BI4=TRUE),VLOOKUP(Calculator!E23,tbSkills!DH3:DJ6,3,FALSE),0),0))&gt;=100,100,(Backdoors!AI12+IF(I40&gt;=0.45,VLOOKUP(Calculator!E23,tbSkills!DH3:DI6,2,FALSE)+IF(AND(Calculator!B8=TRUE,Backdoors!BI4=TRUE),VLOOKUP(Calculator!E23,tbSkills!DH3:DJ6,3,FALSE),0),0)))/100)),1))*IF(VLOOKUP(A40,tbMoveset!A2:K112,11,FALSE)=TRUE,Backdoors!AC5,1))*J40,0),"")</f>
        <v>0</v>
      </c>
      <c r="N40" s="49">
        <f>VLOOKUP(A40,tbMoveset!A2:G112,7,FALSE)*IFERROR(IF(Backdoors!AI12&gt;=0,1+(IF(Calculator!E40&gt;0,VLOOKUP(Calculator!E40,tbSkills!AI3:AJ5,2,FALSE),Backdoors!AL4)*(IF((Backdoors!AI12+IF(I40&gt;=0.45,VLOOKUP(Calculator!E23,tbSkills!DH3:DI6,2,FALSE)+IF(AND(Calculator!B8=TRUE,Backdoors!BI4=TRUE),VLOOKUP(Calculator!E23,tbSkills!DH3:DJ6,3,FALSE),0),0))&gt;=100,100,(Backdoors!AI12+IF(I40&gt;=0.45,VLOOKUP(Calculator!E23,tbSkills!DH3:DI6,2,FALSE)+IF(AND(Calculator!B8=TRUE,Backdoors!BI4=TRUE),VLOOKUP(Calculator!E23,tbSkills!DH3:DJ6,3,FALSE),0),0)))/100)),1),1)</f>
        <v>0.5</v>
      </c>
      <c r="O40" s="87">
        <f t="shared" si="45"/>
        <v>5</v>
      </c>
      <c r="P40" s="86">
        <f>IFERROR(IF(VLOOKUP(A40,tbMoveset!A2:B112,2,FALSE)="Sever",Backdoors!AY5/100,IF(VLOOKUP(A40,tbMoveset!A2:B112,2,FALSE)="Blunt",Backdoors!AZ5/100,Backdoors!BA5/100)),"")</f>
        <v>0.5</v>
      </c>
      <c r="Q40" s="49">
        <f>IFERROR(IF(VLOOKUP(tbMoveset!A40,tbMoveset!A2:H112,8,FALSE)="Other",IF(VLOOKUP(tbMoveset!A40,tbMoveset!A2:I112,9,FALSE)="Fire",Backdoors!BB5,IF(VLOOKUP(tbMoveset!A40,tbMoveset!A2:I112,9,FALSE)="Water",Backdoors!BC5,IF(VLOOKUP(tbMoveset!A40,tbMoveset!A2:I112,9,FALSE)="Thunder",Backdoors!BD5,IF(VLOOKUP(tbMoveset!A40,tbMoveset!A2:I112,9,FALSE)="Ice",Backdoors!BE5,IF(VLOOKUP(tbMoveset!A40,tbMoveset!A2:I112,9,FALSE)="Dragon",Backdoors!BF5,Backdoors!BG5)))))/100,Backdoors!BG5/100),"")</f>
        <v>0</v>
      </c>
      <c r="R40" s="49">
        <f>IFERROR(IF(VLOOKUP(A40,tbMoveset!A2:J112,10,FALSE)=TRUE,IF((Backdoors!AI12+IF(P40&gt;=0.45,VLOOKUP(Calculator!E23,tbSkills!DH3:DI6,2,FALSE)+IF(AND(Calculator!B8=TRUE,Backdoors!BI5=TRUE),VLOOKUP(Calculator!E23,tbSkills!DH3:DJ6,3,FALSE),0),0))&gt;=0,1+(Backdoors!AL2*(IF((Backdoors!AI12+IF(P40&gt;=0.45,VLOOKUP(Calculator!E23,tbSkills!DH3:DI6,2,FALSE)+IF(AND(Calculator!B8=TRUE,Backdoors!BI5=TRUE),VLOOKUP(Calculator!E23,tbSkills!DH3:DJ6,3,FALSE),0),0))&gt;=100,100,(Backdoors!AI12+IF(P40&gt;=0.45,VLOOKUP(Calculator!E23,tbSkills!DH3:DI6,2,FALSE)+IF(AND(Calculator!B8=TRUE,Backdoors!BI5=TRUE),VLOOKUP(Calculator!E23,tbSkills!DH3:DJ6,3,FALSE),0),0)))/100)),(1-(0.25*((-Backdoors!AI12-IF(P40&gt;=0.45,VLOOKUP(Calculator!E23,tbSkills!DH3:DI6,2,FALSE)+IF(AND(Calculator!B8=TRUE,Backdoors!BI5=TRUE),VLOOKUP(Calculator!E23,tbSkills!DH3:DJ6,3,FALSE),0),0))/100)))),1),"")</f>
        <v>1</v>
      </c>
      <c r="S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P40)*R40)*(VLOOKUP(A40,tbMoveset!A2:C112,3,FALSE)/100)*IF(VLOOKUP(A40,tbMoveset!A2:B112,2,FALSE)="Projectile",Backdoors!N10,Backdoors!N9),0),"")</f>
        <v>4</v>
      </c>
      <c r="T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P40&gt;=0.45,VLOOKUP(Calculator!E23,tbSkills!DH3:DI6,2,FALSE)+IF(AND(Calculator!B8=TRUE,Backdoors!BI5=TRUE),VLOOKUP(Calculator!E23,tbSkills!DH3:DJ6,3,FALSE),0),0))&gt;=100,100,(Backdoors!AI12+IF(P40&gt;=0.45,VLOOKUP(Calculator!E23,tbSkills!DH3:DI6,2,FALSE)+IF(AND(Calculator!B8=TRUE,Backdoors!BI5=TRUE),VLOOKUP(Calculator!E23,tbSkills!DH3:DJ6,3,FALSE),0),0)))/100)),1))*IF(VLOOKUP(A40,tbMoveset!A2:K112,11,FALSE)=TRUE,Backdoors!AC5,1))*Q40,0),"")</f>
        <v>0</v>
      </c>
      <c r="U40" s="49">
        <f>VLOOKUP(A40,tbMoveset!A2:G112,7,FALSE)*IFERROR(IF(Backdoors!AI12&gt;=0,1+(IF(Calculator!E40&gt;0,VLOOKUP(Calculator!E40,tbSkills!AI3:AJ5,2,FALSE),Backdoors!AL4)*(IF((Backdoors!AI12+IF(P40&gt;=0.45,VLOOKUP(Calculator!E23,tbSkills!DH3:DI6,2,FALSE)+IF(AND(Calculator!B8=TRUE,Backdoors!BI5=TRUE),VLOOKUP(Calculator!E23,tbSkills!DH3:DJ6,3,FALSE),0),0))&gt;=100,100,(Backdoors!AI12+IF(P40&gt;=0.45,VLOOKUP(Calculator!E23,tbSkills!DH3:DI6,2,FALSE)+IF(AND(Calculator!B8=TRUE,Backdoors!BI5=TRUE),VLOOKUP(Calculator!E23,tbSkills!DH3:DJ6,3,FALSE),0),0)))/100)),1),1)</f>
        <v>0.5</v>
      </c>
      <c r="V40" s="87">
        <f t="shared" si="46"/>
        <v>4</v>
      </c>
      <c r="W40" s="86">
        <f>IFERROR(IF(VLOOKUP(A40,tbMoveset!A2:B112,2,FALSE)="Sever",Backdoors!AY6/100,IF(VLOOKUP(A40,tbMoveset!A2:B112,2,FALSE)="Blunt",Backdoors!AZ6/100,Backdoors!BA6/100)),"")</f>
        <v>0.45</v>
      </c>
      <c r="X40" s="49">
        <f>IFERROR(IF(VLOOKUP(tbMoveset!A40,tbMoveset!A2:H112,8,FALSE)="Other",IF(VLOOKUP(tbMoveset!A40,tbMoveset!A2:I112,9,FALSE)="Fire",Backdoors!BB6,IF(VLOOKUP(tbMoveset!A40,tbMoveset!A2:I112,9,FALSE)="Water",Backdoors!BC6,IF(VLOOKUP(tbMoveset!A40,tbMoveset!A2:I112,9,FALSE)="Thunder",Backdoors!BD6,IF(VLOOKUP(tbMoveset!A40,tbMoveset!A2:I112,9,FALSE)="Ice",Backdoors!BE6,IF(VLOOKUP(tbMoveset!A40,tbMoveset!A2:I112,9,FALSE)="Dragon",Backdoors!BF6,Backdoors!BG6)))))/100,Backdoors!BG6/100),"")</f>
        <v>0</v>
      </c>
      <c r="Y40" s="49">
        <f>IFERROR(IF(VLOOKUP(A40,tbMoveset!A2:J112,10,FALSE)=TRUE,IF((Backdoors!AI12+IF(W40&gt;=0.45,VLOOKUP(Calculator!E23,tbSkills!DH3:DI6,2,FALSE)+IF(AND(Calculator!B8=TRUE,Backdoors!BI6=TRUE),VLOOKUP(Calculator!E23,tbSkills!DH3:DJ6,3,FALSE),0),0))&gt;=0,1+(Backdoors!AL2*(IF((Backdoors!AI12+IF(W40&gt;=0.45,VLOOKUP(Calculator!E23,tbSkills!DH3:DI6,2,FALSE)+IF(AND(Calculator!B8=TRUE,Backdoors!BI6=TRUE),VLOOKUP(Calculator!E23,tbSkills!DH3:DJ6,3,FALSE),0),0))&gt;=100,100,(Backdoors!AI12+IF(W40&gt;=0.45,VLOOKUP(Calculator!E23,tbSkills!DH3:DI6,2,FALSE)+IF(AND(Calculator!B8=TRUE,Backdoors!BI6=TRUE),VLOOKUP(Calculator!E23,tbSkills!DH3:DJ6,3,FALSE),0),0)))/100)),(1-(0.25*((-Backdoors!AI12-IF(W40&gt;=0.45,VLOOKUP(Calculator!E23,tbSkills!DH3:DI6,2,FALSE)+IF(AND(Calculator!B8=TRUE,Backdoors!BI6=TRUE),VLOOKUP(Calculator!E23,tbSkills!DH3:DJ6,3,FALSE),0),0))/100)))),1),"")</f>
        <v>1</v>
      </c>
      <c r="Z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W40)*Y40)*(VLOOKUP(A40,tbMoveset!A2:C112,3,FALSE)/100)*IF(VLOOKUP(A40,tbMoveset!A2:B112,2,FALSE)="Projectile",Backdoors!N10,Backdoors!N9),0),"")</f>
        <v>4</v>
      </c>
      <c r="AA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W40&gt;=0.45,VLOOKUP(Calculator!E23,tbSkills!DH3:DI6,2,FALSE)+IF(AND(Calculator!B8=TRUE,Backdoors!BI6=TRUE),VLOOKUP(Calculator!E23,tbSkills!DH3:DJ6,3,FALSE),0),0))&gt;=100,100,(Backdoors!AI12+IF(W40&gt;=0.45,VLOOKUP(Calculator!E23,tbSkills!DH3:DI6,2,FALSE)+IF(AND(Calculator!B8=TRUE,Backdoors!BI6=TRUE),VLOOKUP(Calculator!E23,tbSkills!DH3:DJ6,3,FALSE),0),0)))/100)),1))*IF(VLOOKUP(A40,tbMoveset!A2:K112,11,FALSE)=TRUE,Backdoors!AC5,1))*X40,0),"")</f>
        <v>0</v>
      </c>
      <c r="AB40" s="49">
        <f>VLOOKUP(A40,tbMoveset!A2:G112,7,FALSE)*IFERROR(IF(Backdoors!AI12&gt;=0,1+(IF(Calculator!E40&gt;0,VLOOKUP(Calculator!E40,tbSkills!AI3:AJ5,2,FALSE),Backdoors!AL4)*(IF((Backdoors!AI12+IF(W40&gt;=0.45,VLOOKUP(Calculator!E23,tbSkills!DH3:DI6,2,FALSE)+IF(AND(Calculator!B8=TRUE,Backdoors!BI6=TRUE),VLOOKUP(Calculator!E23,tbSkills!DH3:DJ6,3,FALSE),0),0))&gt;=100,100,(Backdoors!AI12+IF(W40&gt;=0.45,VLOOKUP(Calculator!E23,tbSkills!DH3:DI6,2,FALSE)+IF(AND(Calculator!B8=TRUE,Backdoors!BI6=TRUE),VLOOKUP(Calculator!E23,tbSkills!DH3:DJ6,3,FALSE),0),0)))/100)),1),1)</f>
        <v>0.5</v>
      </c>
      <c r="AC40" s="87">
        <f t="shared" si="47"/>
        <v>4</v>
      </c>
      <c r="AD40" s="86">
        <f>IFERROR(IF(VLOOKUP(A40,tbMoveset!A2:B112,2,FALSE)="Sever",Backdoors!AY7/100,IF(VLOOKUP(A40,tbMoveset!A2:B112,2,FALSE)="Blunt",Backdoors!AZ7/100,Backdoors!BA7/100)),"")</f>
        <v>0.65</v>
      </c>
      <c r="AE40" s="49">
        <f>IFERROR(IF(VLOOKUP(tbMoveset!A40,tbMoveset!A2:H112,8,FALSE)="Other",IF(VLOOKUP(tbMoveset!A40,tbMoveset!A2:I112,9,FALSE)="Fire",Backdoors!BB7,IF(VLOOKUP(tbMoveset!A40,tbMoveset!A2:I112,9,FALSE)="Water",Backdoors!BC7,IF(VLOOKUP(tbMoveset!A40,tbMoveset!A2:I112,9,FALSE)="Thunder",Backdoors!BD7,IF(VLOOKUP(tbMoveset!A40,tbMoveset!A2:I112,9,FALSE)="Ice",Backdoors!BE7,IF(VLOOKUP(tbMoveset!A40,tbMoveset!A2:I112,9,FALSE)="Dragon",Backdoors!BF7,Backdoors!BG7)))))/100,Backdoors!BG7/100),"")</f>
        <v>0</v>
      </c>
      <c r="AF40" s="49">
        <f>IFERROR(IF(VLOOKUP(A40,tbMoveset!A2:J112,10,FALSE)=TRUE,IF((Backdoors!AI12+IF(AD40&gt;=0.45,VLOOKUP(Calculator!E23,tbSkills!DH3:DI6,2,FALSE)+IF(AND(Calculator!B8=TRUE,Backdoors!BI7=TRUE),VLOOKUP(Calculator!E23,tbSkills!DH3:DJ6,3,FALSE),0),0))&gt;=0,1+(Backdoors!AL2*(IF((Backdoors!AI12+IF(AD40&gt;=0.45,VLOOKUP(Calculator!E23,tbSkills!DH3:DI6,2,FALSE)+IF(AND(Calculator!B8=TRUE,Backdoors!BI7=TRUE),VLOOKUP(Calculator!E23,tbSkills!DH3:DJ6,3,FALSE),0),0))&gt;=100,100,(Backdoors!AI12+IF(AD40&gt;=0.45,VLOOKUP(Calculator!E23,tbSkills!DH3:DI6,2,FALSE)+IF(AND(Calculator!B8=TRUE,Backdoors!BI7=TRUE),VLOOKUP(Calculator!E23,tbSkills!DH3:DJ6,3,FALSE),0),0)))/100)),(1-(0.25*((-Backdoors!AI12-IF(AD40&gt;=0.45,VLOOKUP(Calculator!E23,tbSkills!DH3:DI6,2,FALSE)+IF(AND(Calculator!B8=TRUE,Backdoors!BI7=TRUE),VLOOKUP(Calculator!E23,tbSkills!DH3:DJ6,3,FALSE),0),0))/100)))),1),"")</f>
        <v>1</v>
      </c>
      <c r="AG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D40)*AF40)*(VLOOKUP(A40,tbMoveset!A2:C112,3,FALSE)/100)*IF(VLOOKUP(A40,tbMoveset!A2:B112,2,FALSE)="Projectile",Backdoors!N10,Backdoors!N9),0),"")</f>
        <v>5</v>
      </c>
      <c r="AH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D40&gt;=0.45,VLOOKUP(Calculator!E23,tbSkills!DH3:DI6,2,FALSE)+IF(AND(Calculator!B8=TRUE,Backdoors!BI7=TRUE),VLOOKUP(Calculator!E23,tbSkills!DH3:DJ6,3,FALSE),0),0))&gt;=100,100,(Backdoors!AI12+IF(AD40&gt;=0.45,VLOOKUP(Calculator!E23,tbSkills!DH3:DI6,2,FALSE)+IF(AND(Calculator!B8=TRUE,Backdoors!BI7=TRUE),VLOOKUP(Calculator!E23,tbSkills!DH3:DJ6,3,FALSE),0),0)))/100)),1))*IF(VLOOKUP(A40,tbMoveset!A2:K112,11,FALSE)=TRUE,Backdoors!AC5,1))*AE40,0),"")</f>
        <v>0</v>
      </c>
      <c r="AI40" s="49">
        <f>VLOOKUP(A40,tbMoveset!A2:G112,7,FALSE)*IFERROR(IF(Backdoors!AI12&gt;=0,1+(IF(Calculator!E40&gt;0,VLOOKUP(Calculator!E40,tbSkills!AI3:AJ5,2,FALSE),Backdoors!AL4)*(IF((Backdoors!AI12+IF(AD40&gt;=0.45,VLOOKUP(Calculator!E23,tbSkills!DH3:DI6,2,FALSE)+IF(AND(Calculator!B8=TRUE,Backdoors!BI7=TRUE),VLOOKUP(Calculator!E23,tbSkills!DH3:DJ6,3,FALSE),0),0))&gt;=100,100,(Backdoors!AI12+IF(AD40&gt;=0.45,VLOOKUP(Calculator!E23,tbSkills!DH3:DI6,2,FALSE)+IF(AND(Calculator!B8=TRUE,Backdoors!BI7=TRUE),VLOOKUP(Calculator!E23,tbSkills!DH3:DJ6,3,FALSE),0),0)))/100)),1),1)</f>
        <v>0.5</v>
      </c>
      <c r="AJ40" s="87">
        <f t="shared" si="48"/>
        <v>5</v>
      </c>
      <c r="AK40" s="91">
        <f>IFERROR(IF(VLOOKUP(A40,tbMoveset!A2:B112,2,FALSE)="Sever",Backdoors!AY8/100,IF(VLOOKUP(A40,tbMoveset!A2:B112,2,FALSE)="Blunt",Backdoors!AZ8/100,Backdoors!BA8/100)),"")</f>
        <v>0.45</v>
      </c>
      <c r="AL40" s="49">
        <f>IFERROR(IF(VLOOKUP(tbMoveset!A40,tbMoveset!A2:H112,8,FALSE)="Other",IF(VLOOKUP(tbMoveset!A40,tbMoveset!A2:I112,9,FALSE)="Fire",Backdoors!BB8,IF(VLOOKUP(tbMoveset!A40,tbMoveset!A2:I112,9,FALSE)="Water",Backdoors!BC8,IF(VLOOKUP(tbMoveset!A40,tbMoveset!A2:I112,9,FALSE)="Thunder",Backdoors!BD8,IF(VLOOKUP(tbMoveset!A40,tbMoveset!A2:I112,9,FALSE)="Ice",Backdoors!BE8,IF(VLOOKUP(tbMoveset!A40,tbMoveset!A2:I112,9,FALSE)="Dragon",Backdoors!BF8,Backdoors!BG8)))))/100,Backdoors!BG8/100),"")</f>
        <v>0</v>
      </c>
      <c r="AM40" s="49">
        <f>IFERROR(IF(VLOOKUP(A40,tbMoveset!A2:J112,10,FALSE)=TRUE,IF((Backdoors!AI12+IF(AK40&gt;=0.45,VLOOKUP(Calculator!E23,tbSkills!DH3:DI6,2,FALSE)+IF(AND(Calculator!B8=TRUE,Backdoors!BI8=TRUE),VLOOKUP(Calculator!E23,tbSkills!DH3:DJ6,3,FALSE),0),0))&gt;=0,1+(Backdoors!AL2*(IF((Backdoors!AI12+IF(AK40&gt;=0.45,VLOOKUP(Calculator!E23,tbSkills!DH3:DI6,2,FALSE)+IF(AND(Calculator!B8=TRUE,Backdoors!BI8=TRUE),VLOOKUP(Calculator!E23,tbSkills!DH3:DJ6,3,FALSE),0),0))&gt;=100,100,(Backdoors!AI12+IF(AK40&gt;=0.45,VLOOKUP(Calculator!E23,tbSkills!DH3:DI6,2,FALSE)+IF(AND(Calculator!B8=TRUE,Backdoors!BI8=TRUE),VLOOKUP(Calculator!E23,tbSkills!DH3:DJ6,3,FALSE),0),0)))/100)),(1-(0.25*((-Backdoors!AI12-IF(AK40&gt;=0.45,VLOOKUP(Calculator!E23,tbSkills!DH3:DI6,2,FALSE)+IF(AND(Calculator!B8=TRUE,Backdoors!BI8=TRUE),VLOOKUP(Calculator!E23,tbSkills!DH3:DJ6,3,FALSE),0),0))/100)))),1),"")</f>
        <v>1</v>
      </c>
      <c r="AN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K40)*AM40)*(VLOOKUP(A40,tbMoveset!A2:C112,3,FALSE)/100)*IF(VLOOKUP(A40,tbMoveset!A2:B112,2,FALSE)="Projectile",Backdoors!N10,Backdoors!N9),0),"")</f>
        <v>4</v>
      </c>
      <c r="AO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K40&gt;=0.45,VLOOKUP(Calculator!E23,tbSkills!DH3:DI6,2,FALSE)+IF(AND(Calculator!B8=TRUE,Backdoors!BI8=TRUE),VLOOKUP(Calculator!E23,tbSkills!DH3:DJ6,3,FALSE),0),0))&gt;=100,100,(Backdoors!AI12+IF(AK40&gt;=0.45,VLOOKUP(Calculator!E23,tbSkills!DH3:DI6,2,FALSE)+IF(AND(Calculator!B8=TRUE,Backdoors!BI8=TRUE),VLOOKUP(Calculator!E23,tbSkills!DH3:DJ6,3,FALSE),0),0)))/100)),1))*IF(VLOOKUP(A40,tbMoveset!A2:K112,11,FALSE)=TRUE,Backdoors!AC5,1))*AL40,0),"")</f>
        <v>0</v>
      </c>
      <c r="AP40" s="49">
        <f>VLOOKUP(A40,tbMoveset!A2:G112,7,FALSE)*IFERROR(IF(Backdoors!AI12&gt;=0,1+(IF(Calculator!E40&gt;0,VLOOKUP(Calculator!E40,tbSkills!AI3:AJ5,2,FALSE),Backdoors!AL4)*(IF((Backdoors!AI12+IF(AK40&gt;=0.45,VLOOKUP(Calculator!E23,tbSkills!DH3:DI6,2,FALSE)+IF(AND(Calculator!B8=TRUE,Backdoors!BI8=TRUE),VLOOKUP(Calculator!E23,tbSkills!DH3:DJ6,3,FALSE),0),0))&gt;=100,100,(Backdoors!AI12+IF(AK40&gt;=0.45,VLOOKUP(Calculator!E23,tbSkills!DH3:DI6,2,FALSE)+IF(AND(Calculator!B8=TRUE,Backdoors!BI8=TRUE),VLOOKUP(Calculator!E23,tbSkills!DH3:DJ6,3,FALSE),0),0)))/100)),1),1)</f>
        <v>0.5</v>
      </c>
      <c r="AQ40" s="87">
        <f t="shared" si="49"/>
        <v>4</v>
      </c>
      <c r="AR40" s="86">
        <f>IFERROR(IF(VLOOKUP(A40,tbMoveset!A2:B112,2,FALSE)="Sever",Backdoors!AY9/100,IF(VLOOKUP(A40,tbMoveset!A2:B112,2,FALSE)="Blunt",Backdoors!AZ9/100,Backdoors!BA9/100)),"")</f>
        <v>0.45</v>
      </c>
      <c r="AS40" s="49">
        <f>IFERROR(IF(VLOOKUP(tbMoveset!A40,tbMoveset!A2:H112,8,FALSE)="Other",IF(VLOOKUP(tbMoveset!A40,tbMoveset!A2:I112,9,FALSE)="Fire",Backdoors!BB9,IF(VLOOKUP(tbMoveset!A40,tbMoveset!A2:I112,9,FALSE)="Water",Backdoors!BC9,IF(VLOOKUP(tbMoveset!A40,tbMoveset!A2:I112,9,FALSE)="Thunder",Backdoors!BD9,IF(VLOOKUP(tbMoveset!A40,tbMoveset!A2:I112,9,FALSE)="Ice",Backdoors!BE9,IF(VLOOKUP(tbMoveset!A40,tbMoveset!A2:I112,9,FALSE)="Dragon",Backdoors!BF9,Backdoors!BG9)))))/100,Backdoors!BG9/100),"")</f>
        <v>0</v>
      </c>
      <c r="AT40" s="49">
        <f>IFERROR(IF(VLOOKUP(A40,tbMoveset!A2:J112,10,FALSE)=TRUE,IF((Backdoors!AI12+IF(AR40&gt;=0.45,VLOOKUP(Calculator!E23,tbSkills!DH3:DI6,2,FALSE)+IF(AND(Calculator!B8=TRUE,Backdoors!BI9=TRUE),VLOOKUP(Calculator!E23,tbSkills!DH3:DJ6,3,FALSE),0),0))&gt;=0,1+(Backdoors!AL2*(IF((Backdoors!AI12+IF(AR40&gt;=0.45,VLOOKUP(Calculator!E23,tbSkills!DH3:DI6,2,FALSE)+IF(AND(Calculator!B8=TRUE,Backdoors!BI9=TRUE),VLOOKUP(Calculator!E23,tbSkills!DH3:DJ6,3,FALSE),0),0))&gt;=100,100,(Backdoors!AI12+IF(AR40&gt;=0.45,VLOOKUP(Calculator!E23,tbSkills!DH3:DI6,2,FALSE)+IF(AND(Calculator!B8=TRUE,Backdoors!BI9=TRUE),VLOOKUP(Calculator!E23,tbSkills!DH3:DJ6,3,FALSE),0),0)))/100)),(1-(0.25*((-Backdoors!AI12-IF(AR40&gt;=0.45,VLOOKUP(Calculator!E23,tbSkills!DH3:DI6,2,FALSE)+IF(AND(Calculator!B8=TRUE,Backdoors!BI9=TRUE),VLOOKUP(Calculator!E23,tbSkills!DH3:DJ6,3,FALSE),0),0))/100)))),1),"")</f>
        <v>1</v>
      </c>
      <c r="AU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R40)*AT40)*(VLOOKUP(A40,tbMoveset!A2:C112,3,FALSE)/100)*IF(VLOOKUP(A40,tbMoveset!A2:B112,2,FALSE)="Projectile",Backdoors!N10,Backdoors!N9),0),"")</f>
        <v>4</v>
      </c>
      <c r="AV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R40&gt;=0.45,VLOOKUP(Calculator!E23,tbSkills!DH3:DI6,2,FALSE)+IF(AND(Calculator!B8=TRUE,Backdoors!BI9=TRUE),VLOOKUP(Calculator!E23,tbSkills!DH3:DJ6,3,FALSE),0),0))&gt;=100,100,(Backdoors!AI12+IF(AR40&gt;=0.45,VLOOKUP(Calculator!E23,tbSkills!DH3:DI6,2,FALSE)+IF(AND(Calculator!B8=TRUE,Backdoors!BI9=TRUE),VLOOKUP(Calculator!E23,tbSkills!DH3:DJ6,3,FALSE),0),0)))/100)),1))*IF(VLOOKUP(A40,tbMoveset!A2:K112,11,FALSE)=TRUE,Backdoors!AC5,1))*AS40,0),"")</f>
        <v>0</v>
      </c>
      <c r="AW40" s="49">
        <f>VLOOKUP(A40,tbMoveset!A2:G112,7,FALSE)*IFERROR(IF(Backdoors!AI12&gt;=0,1+(IF(Calculator!E40&gt;0,VLOOKUP(Calculator!E40,tbSkills!AI3:AJ5,2,FALSE),Backdoors!AL4)*(IF((Backdoors!AI12+IF(AR40&gt;=0.45,VLOOKUP(Calculator!E23,tbSkills!DH3:DI6,2,FALSE)+IF(AND(Calculator!B8=TRUE,Backdoors!BI9=TRUE),VLOOKUP(Calculator!E23,tbSkills!DH3:DJ6,3,FALSE),0),0))&gt;=100,100,(Backdoors!AI12+IF(AR40&gt;=0.45,VLOOKUP(Calculator!E23,tbSkills!DH3:DI6,2,FALSE)+IF(AND(Calculator!B8=TRUE,Backdoors!BI9=TRUE),VLOOKUP(Calculator!E23,tbSkills!DH3:DJ6,3,FALSE),0),0)))/100)),1),1)</f>
        <v>0.5</v>
      </c>
      <c r="AX40" s="87">
        <f t="shared" si="50"/>
        <v>4</v>
      </c>
      <c r="AY40" s="86">
        <f>IFERROR(IF(VLOOKUP(A40,tbMoveset!A2:B112,2,FALSE)="Sever",Backdoors!AY10/100,IF(VLOOKUP(A40,tbMoveset!A2:B112,2,FALSE)="Blunt",Backdoors!AZ10/100,Backdoors!BA10/100)),"")</f>
        <v>0.9</v>
      </c>
      <c r="AZ40" s="49">
        <f>IFERROR(IF(VLOOKUP(tbMoveset!A40,tbMoveset!A2:H112,8,FALSE)="Other",IF(VLOOKUP(tbMoveset!A40,tbMoveset!A2:I112,9,FALSE)="Fire",Backdoors!BB10,IF(VLOOKUP(tbMoveset!A40,tbMoveset!A2:I112,9,FALSE)="Water",Backdoors!BC10,IF(VLOOKUP(tbMoveset!A40,tbMoveset!A2:I112,9,FALSE)="Thunder",Backdoors!BD10,IF(VLOOKUP(tbMoveset!A40,tbMoveset!A2:I112,9,FALSE)="Ice",Backdoors!BE10,IF(VLOOKUP(tbMoveset!A40,tbMoveset!A2:I112,9,FALSE)="Dragon",Backdoors!BF10,Backdoors!BG10)))))/100,Backdoors!BG10/100),"")</f>
        <v>0</v>
      </c>
      <c r="BA40" s="49">
        <f>IFERROR(IF(VLOOKUP(A40,tbMoveset!A2:J112,10,FALSE)=TRUE,IF((Backdoors!AI12+IF(AY40&gt;=0.45,VLOOKUP(Calculator!E23,tbSkills!DH3:DI6,2,FALSE)+IF(AND(Calculator!B8=TRUE,Backdoors!BI10=TRUE),VLOOKUP(Calculator!E23,tbSkills!DH3:DJ6,3,FALSE),0),0))&gt;=0,1+(Backdoors!AL2*(IF((Backdoors!AI12+IF(AY40&gt;=0.45,VLOOKUP(Calculator!E23,tbSkills!DH3:DI6,2,FALSE)+IF(AND(Calculator!B8=TRUE,Backdoors!BI10=TRUE),VLOOKUP(Calculator!E23,tbSkills!DH3:DJ6,3,FALSE),0),0))&gt;=100,100,(Backdoors!AI12+IF(AY40&gt;=0.45,VLOOKUP(Calculator!E23,tbSkills!DH3:DI6,2,FALSE)+IF(AND(Calculator!B8=TRUE,Backdoors!BI10=TRUE),VLOOKUP(Calculator!E23,tbSkills!DH3:DJ6,3,FALSE),0),0)))/100)),(1-(0.25*((-Backdoors!AI12-IF(AY40&gt;=0.45,VLOOKUP(Calculator!E23,tbSkills!DH3:DI6,2,FALSE)+IF(AND(Calculator!B8=TRUE,Backdoors!BI10=TRUE),VLOOKUP(Calculator!E23,tbSkills!DH3:DJ6,3,FALSE),0),0))/100)))),1),"")</f>
        <v>1</v>
      </c>
      <c r="BB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Y40)*BA40)*(VLOOKUP(A40,tbMoveset!A2:C112,3,FALSE)/100)*IF(VLOOKUP(A40,tbMoveset!A2:B112,2,FALSE)="Projectile",Backdoors!N10,Backdoors!N9),0),"")</f>
        <v>8</v>
      </c>
      <c r="BC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Y40&gt;=0.45,VLOOKUP(Calculator!E23,tbSkills!DH3:DI6,2,FALSE)+IF(AND(Calculator!B8=TRUE,Backdoors!BI10=TRUE),VLOOKUP(Calculator!E23,tbSkills!DH3:DJ6,3,FALSE),0),0))&gt;=100,100,(Backdoors!AI12+IF(AY40&gt;=0.45,VLOOKUP(Calculator!E23,tbSkills!DH3:DI6,2,FALSE)+IF(AND(Calculator!B8=TRUE,Backdoors!BI10=TRUE),VLOOKUP(Calculator!E23,tbSkills!DH3:DJ6,3,FALSE),0),0)))/100)),1))*IF(VLOOKUP(A40,tbMoveset!A2:K112,11,FALSE)=TRUE,Backdoors!AC5,1))*AZ40,0),"")</f>
        <v>0</v>
      </c>
      <c r="BD40" s="49">
        <f>VLOOKUP(A40,tbMoveset!A2:G112,7,FALSE)*IFERROR(IF(Backdoors!AI12&gt;=0,1+(IF(Calculator!E40&gt;0,VLOOKUP(Calculator!E40,tbSkills!AI3:AJ5,2,FALSE),Backdoors!AL4)*(IF((Backdoors!AI12+IF(AY40&gt;=0.45,VLOOKUP(Calculator!E23,tbSkills!DH3:DI6,2,FALSE)+IF(AND(Calculator!B8=TRUE,Backdoors!BI10=TRUE),VLOOKUP(Calculator!E23,tbSkills!DH3:DJ6,3,FALSE),0),0))&gt;=100,100,(Backdoors!AI12+IF(AY40&gt;=0.45,VLOOKUP(Calculator!E23,tbSkills!DH3:DI6,2,FALSE)+IF(AND(Calculator!B8=TRUE,Backdoors!BI10=TRUE),VLOOKUP(Calculator!E23,tbSkills!DH3:DJ6,3,FALSE),0),0)))/100)),1),1)</f>
        <v>0.5</v>
      </c>
      <c r="BE40" s="87">
        <f t="shared" si="3"/>
        <v>8</v>
      </c>
      <c r="BF40" s="86" t="str">
        <f>IFERROR(IF(VLOOKUP(A40,tbMoveset!A2:B112,2,FALSE)="Sever",Backdoors!AY11/100,IF(VLOOKUP(A40,tbMoveset!A2:B112,2,FALSE)="Blunt",Backdoors!AZ11/100,Backdoors!BA11/100)),"")</f>
        <v/>
      </c>
      <c r="BG40" s="49">
        <f>IFERROR(IF(VLOOKUP(tbMoveset!A40,tbMoveset!A2:H112,8,FALSE)="Other",IF(VLOOKUP(tbMoveset!A40,tbMoveset!A2:I112,9,FALSE)="Fire",Backdoors!BB11,IF(VLOOKUP(tbMoveset!A40,tbMoveset!A2:I112,9,FALSE)="Water",Backdoors!BC11,IF(VLOOKUP(tbMoveset!A40,tbMoveset!A2:I112,9,FALSE)="Thunder",Backdoors!BD11,IF(VLOOKUP(tbMoveset!A40,tbMoveset!A2:I112,9,FALSE)="Ice",Backdoors!BE11,IF(VLOOKUP(tbMoveset!A40,tbMoveset!A2:I112,9,FALSE)="Dragon",Backdoors!BF11,Backdoors!BG11)))))/100,Backdoors!BG11/100),"")</f>
        <v>0</v>
      </c>
      <c r="BH40" s="49">
        <f>IFERROR(IF(VLOOKUP(A40,tbMoveset!A2:J112,10,FALSE)=TRUE,IF((Backdoors!AI12+IF(BF40&gt;=0.45,VLOOKUP(Calculator!E23,tbSkills!DH3:DI6,2,FALSE)+IF(AND(Calculator!B8=TRUE,Backdoors!BI11=TRUE),VLOOKUP(Calculator!E23,tbSkills!DH3:DJ6,3,FALSE),0),0))&gt;=0,1+(Backdoors!AL2*(IF((Backdoors!AI12+IF(BF40&gt;=0.45,VLOOKUP(Calculator!E23,tbSkills!DH3:DI6,2,FALSE)+IF(AND(Calculator!B8=TRUE,Backdoors!BI11=TRUE),VLOOKUP(Calculator!E23,tbSkills!DH3:DJ6,3,FALSE),0),0))&gt;=100,100,(Backdoors!AI12+IF(BF40&gt;=0.45,VLOOKUP(Calculator!E23,tbSkills!DH3:DI6,2,FALSE)+IF(AND(Calculator!B8=TRUE,Backdoors!BI11=TRUE),VLOOKUP(Calculator!E23,tbSkills!DH3:DJ6,3,FALSE),0),0)))/100)),(1-(0.25*((-Backdoors!AI12-IF(BF40&gt;=0.45,VLOOKUP(Calculator!E23,tbSkills!DH3:DI6,2,FALSE)+IF(AND(Calculator!B8=TRUE,Backdoors!BI11=TRUE),VLOOKUP(Calculator!E23,tbSkills!DH3:DJ6,3,FALSE),0),0))/100)))),1),"")</f>
        <v>1</v>
      </c>
      <c r="BI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F40)*BH40)*(VLOOKUP(A40,tbMoveset!A2:C112,3,FALSE)/100)*IF(VLOOKUP(A40,tbMoveset!A2:B112,2,FALSE)="Projectile",Backdoors!N10,Backdoors!N9),0),"")</f>
        <v/>
      </c>
      <c r="BJ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F40&gt;=0.45,VLOOKUP(Calculator!E23,tbSkills!DH3:DI6,2,FALSE)+IF(AND(Calculator!B8=TRUE,Backdoors!BI11=TRUE),VLOOKUP(Calculator!E23,tbSkills!DH3:DJ6,3,FALSE),0),0))&gt;=100,100,(Backdoors!AI12+IF(BF40&gt;=0.45,VLOOKUP(Calculator!E23,tbSkills!DH3:DI6,2,FALSE)+IF(AND(Calculator!B8=TRUE,Backdoors!BI11=TRUE),VLOOKUP(Calculator!E23,tbSkills!DH3:DJ6,3,FALSE),0),0)))/100)),1))*IF(VLOOKUP(A40,tbMoveset!A2:K112,11,FALSE)=TRUE,Backdoors!AC5,1))*BG40,0),"")</f>
        <v>0</v>
      </c>
      <c r="BK40" s="49">
        <f>VLOOKUP(A40,tbMoveset!A2:G112,7,FALSE)*IFERROR(IF(Backdoors!AI12&gt;=0,1+(IF(Calculator!E40&gt;0,VLOOKUP(Calculator!E40,tbSkills!AI3:AJ5,2,FALSE),Backdoors!AL4)*(IF((Backdoors!AI12+IF(BF40&gt;=0.45,VLOOKUP(Calculator!E23,tbSkills!DH3:DI6,2,FALSE)+IF(AND(Calculator!B8=TRUE,Backdoors!BI11=TRUE),VLOOKUP(Calculator!E23,tbSkills!DH3:DJ6,3,FALSE),0),0))&gt;=100,100,(Backdoors!AI12+IF(BF40&gt;=0.45,VLOOKUP(Calculator!E23,tbSkills!DH3:DI6,2,FALSE)+IF(AND(Calculator!B8=TRUE,Backdoors!BI11=TRUE),VLOOKUP(Calculator!E23,tbSkills!DH3:DJ6,3,FALSE),0),0)))/100)),1),1)</f>
        <v>0.5</v>
      </c>
      <c r="BL40" s="87">
        <f t="shared" si="4"/>
        <v>0</v>
      </c>
      <c r="BM40" s="86" t="str">
        <f>IFERROR(IF(VLOOKUP(A40,tbMoveset!A2:B112,2,FALSE)="Sever",Backdoors!AY12/100,IF(VLOOKUP(A40,tbMoveset!A2:B112,2,FALSE)="Blunt",Backdoors!AZ12/100,Backdoors!BA12/100)),"")</f>
        <v/>
      </c>
      <c r="BN40" s="49">
        <f>IFERROR(IF(VLOOKUP(tbMoveset!A40,tbMoveset!A2:H112,8,FALSE)="Other",IF(VLOOKUP(tbMoveset!A40,tbMoveset!A2:I112,9,FALSE)="Fire",Backdoors!BB12,IF(VLOOKUP(tbMoveset!A40,tbMoveset!A2:I112,9,FALSE)="Water",Backdoors!BC12,IF(VLOOKUP(tbMoveset!A40,tbMoveset!A2:I112,9,FALSE)="Thunder",Backdoors!BD12,IF(VLOOKUP(tbMoveset!A40,tbMoveset!A2:I112,9,FALSE)="Ice",Backdoors!BE12,IF(VLOOKUP(tbMoveset!A40,tbMoveset!A2:I112,9,FALSE)="Dragon",Backdoors!BF12,Backdoors!BG12)))))/100,Backdoors!BG12/100),"")</f>
        <v>0</v>
      </c>
      <c r="BO40" s="49">
        <f>IFERROR(IF(VLOOKUP(A40,tbMoveset!A2:J112,10,FALSE)=TRUE,IF((Backdoors!AI12+IF(BM40&gt;=0.45,VLOOKUP(Calculator!E23,tbSkills!DH3:DI6,2,FALSE)+IF(AND(Calculator!B8=TRUE,Backdoors!BI12=TRUE),VLOOKUP(Calculator!E23,tbSkills!DH3:DJ6,3,FALSE),0),0))&gt;=0,1+(Backdoors!AL2*(IF((Backdoors!AI12+IF(BM40&gt;=0.45,VLOOKUP(Calculator!E23,tbSkills!DH3:DI6,2,FALSE)+IF(AND(Calculator!B8=TRUE,Backdoors!BI12=TRUE),VLOOKUP(Calculator!E23,tbSkills!DH3:DJ6,3,FALSE),0),0))&gt;=100,100,(Backdoors!AI12+IF(BM40&gt;=0.45,VLOOKUP(Calculator!E23,tbSkills!DH3:DI6,2,FALSE)+IF(AND(Calculator!B8=TRUE,Backdoors!BI12=TRUE),VLOOKUP(Calculator!E23,tbSkills!DH3:DJ6,3,FALSE),0),0)))/100)),(1-(0.25*((-Backdoors!AI12-IF(BM40&gt;=0.45,VLOOKUP(Calculator!E23,tbSkills!DH3:DI6,2,FALSE)+IF(AND(Calculator!B8=TRUE,Backdoors!BI12=TRUE),VLOOKUP(Calculator!E23,tbSkills!DH3:DJ6,3,FALSE),0),0))/100)))),1),"")</f>
        <v>1</v>
      </c>
      <c r="BP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M40)*BO40)*(VLOOKUP(A40,tbMoveset!A2:C112,3,FALSE)/100)*IF(VLOOKUP(A40,tbMoveset!A2:B112,2,FALSE)="Projectile",Backdoors!N10,Backdoors!N9),0),"")</f>
        <v/>
      </c>
      <c r="BQ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M40&gt;=0.45,VLOOKUP(Calculator!E23,tbSkills!DH3:DI6,2,FALSE)+IF(AND(Calculator!B8=TRUE,Backdoors!BI12=TRUE),VLOOKUP(Calculator!E23,tbSkills!DH3:DJ6,3,FALSE),0),0))&gt;=100,100,(Backdoors!AI12+IF(BM40&gt;=0.45,VLOOKUP(Calculator!E23,tbSkills!DH3:DI6,2,FALSE)+IF(AND(Calculator!B8=TRUE,Backdoors!BI12=TRUE),VLOOKUP(Calculator!E23,tbSkills!DH3:DJ6,3,FALSE),0),0)))/100)),1))*IF(VLOOKUP(A40,tbMoveset!A2:K112,11,FALSE)=TRUE,Backdoors!AC5,1))*BN40,0),"")</f>
        <v>0</v>
      </c>
      <c r="BR40" s="49">
        <f>VLOOKUP(A40,tbMoveset!A2:G112,7,FALSE)*IFERROR(IF(Backdoors!AI12&gt;=0,1+(IF(Calculator!E40&gt;0,VLOOKUP(Calculator!E40,tbSkills!AI3:AJ5,2,FALSE),Backdoors!AL4)*(IF((Backdoors!AI12+IF(BM40&gt;=0.45,VLOOKUP(Calculator!E23,tbSkills!DH3:DI6,2,FALSE)+IF(AND(Calculator!B8=TRUE,Backdoors!BI12=TRUE),VLOOKUP(Calculator!E23,tbSkills!DH3:DJ6,3,FALSE),0),0))&gt;=100,100,(Backdoors!AI12+IF(BM40&gt;=0.45,VLOOKUP(Calculator!E23,tbSkills!DH3:DI6,2,FALSE)+IF(AND(Calculator!B8=TRUE,Backdoors!BI12=TRUE),VLOOKUP(Calculator!E23,tbSkills!DH3:DJ6,3,FALSE),0),0)))/100)),1),1)</f>
        <v>0.5</v>
      </c>
      <c r="BS40" s="87">
        <f t="shared" si="39"/>
        <v>0</v>
      </c>
      <c r="BT40" s="86" t="str">
        <f>IFERROR(IF(VLOOKUP(A40,tbMoveset!A2:B112,2,FALSE)="Sever",Backdoors!AY13/100,IF(VLOOKUP(A40,tbMoveset!A2:B112,2,FALSE)="Blunt",Backdoors!AZ13/100,Backdoors!BA13/100)),"")</f>
        <v/>
      </c>
      <c r="BU40" s="49">
        <f>IFERROR(IF(VLOOKUP(tbMoveset!A40,tbMoveset!A2:H112,8,FALSE)="Other",IF(VLOOKUP(tbMoveset!A40,tbMoveset!A2:I112,9,FALSE)="Fire",Backdoors!BB13,IF(VLOOKUP(tbMoveset!A40,tbMoveset!A2:I112,9,FALSE)="Water",Backdoors!BC13,IF(VLOOKUP(tbMoveset!A40,tbMoveset!A2:I112,9,FALSE)="Thunder",Backdoors!BD13,IF(VLOOKUP(tbMoveset!A40,tbMoveset!A2:I112,9,FALSE)="Ice",Backdoors!BE13,IF(VLOOKUP(tbMoveset!A40,tbMoveset!A2:I112,9,FALSE)="Dragon",Backdoors!BF13,Backdoors!BG13)))))/100,Backdoors!BG13/100),"")</f>
        <v>0</v>
      </c>
      <c r="BV40" s="49">
        <f>IFERROR(IF(VLOOKUP(A40,tbMoveset!A2:J112,10,FALSE)=TRUE,IF((Backdoors!AI12+IF(BT40&gt;=0.45,VLOOKUP(Calculator!E23,tbSkills!DH3:DI6,2,FALSE)+IF(AND(Calculator!B8=TRUE,Backdoors!BI13=TRUE),VLOOKUP(Calculator!E23,tbSkills!DH3:DJ6,3,FALSE),0),0))&gt;=0,1+(Backdoors!AL2*(IF((Backdoors!AI12+IF(BT40&gt;=0.45,VLOOKUP(Calculator!E23,tbSkills!DH3:DI6,2,FALSE)+IF(AND(Calculator!B8=TRUE,Backdoors!BI13=TRUE),VLOOKUP(Calculator!E23,tbSkills!DH3:DJ6,3,FALSE),0),0))&gt;=100,100,(Backdoors!AI12+IF(BT40&gt;=0.45,VLOOKUP(Calculator!E23,tbSkills!DH3:DI6,2,FALSE)+IF(AND(Calculator!B8=TRUE,Backdoors!BI13=TRUE),VLOOKUP(Calculator!E23,tbSkills!DH3:DJ6,3,FALSE),0),0)))/100)),(1-(0.25*((-Backdoors!AI12-IF(BT40&gt;=0.45,VLOOKUP(Calculator!E23,tbSkills!DH3:DI6,2,FALSE)+IF(AND(Calculator!B8=TRUE,Backdoors!BI13=TRUE),VLOOKUP(Calculator!E23,tbSkills!DH3:DJ6,3,FALSE),0),0))/100)))),1),"")</f>
        <v>1</v>
      </c>
      <c r="BW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T40)*BV40)*(VLOOKUP(A40,tbMoveset!A2:C112,3,FALSE)/100)*IF(VLOOKUP(A40,tbMoveset!A2:B112,2,FALSE)="Projectile",Backdoors!N10,Backdoors!N9),0),"")</f>
        <v/>
      </c>
      <c r="BX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T40&gt;=0.45,VLOOKUP(Calculator!E23,tbSkills!DH3:DI6,2,FALSE)+IF(AND(Calculator!B8=TRUE,Backdoors!BI13=TRUE),VLOOKUP(Calculator!E23,tbSkills!DH3:DJ6,3,FALSE),0),0))&gt;=100,100,(Backdoors!AI12+IF(BT40&gt;=0.45,VLOOKUP(Calculator!E23,tbSkills!DH3:DI6,2,FALSE)+IF(AND(Calculator!B8=TRUE,Backdoors!BI13=TRUE),VLOOKUP(Calculator!E23,tbSkills!DH3:DJ6,3,FALSE),0),0)))/100)),1))*IF(VLOOKUP(A40,tbMoveset!A2:K112,11,FALSE)=TRUE,Backdoors!AC5,1))*BU40,0),"")</f>
        <v>0</v>
      </c>
      <c r="BY40" s="49">
        <f>VLOOKUP(A40,tbMoveset!A2:G112,7,FALSE)*IFERROR(IF(Backdoors!AI12&gt;=0,1+(IF(Calculator!E40&gt;0,VLOOKUP(Calculator!E40,tbSkills!AI3:AJ5,2,FALSE),Backdoors!AL4)*(IF((Backdoors!AI12+IF(BT40&gt;=0.45,VLOOKUP(Calculator!E23,tbSkills!DH3:DI6,2,FALSE)+IF(AND(Calculator!B8=TRUE,Backdoors!BI13=TRUE),VLOOKUP(Calculator!E23,tbSkills!DH3:DJ6,3,FALSE),0),0))&gt;=100,100,(Backdoors!AI12+IF(BT40&gt;=0.45,VLOOKUP(Calculator!E23,tbSkills!DH3:DI6,2,FALSE)+IF(AND(Calculator!B8=TRUE,Backdoors!BI13=TRUE),VLOOKUP(Calculator!E23,tbSkills!DH3:DJ6,3,FALSE),0),0)))/100)),1),1)</f>
        <v>0.5</v>
      </c>
      <c r="BZ40" s="87">
        <f t="shared" si="5"/>
        <v>0</v>
      </c>
      <c r="CA40" s="86" t="str">
        <f>IFERROR(IF(VLOOKUP(A40,tbMoveset!A2:B112,2,FALSE)="Sever",Backdoors!AY14/100,IF(VLOOKUP(A40,tbMoveset!A2:B112,2,FALSE)="Blunt",Backdoors!AZ14/100,Backdoors!BA14/100)),"")</f>
        <v/>
      </c>
      <c r="CB40" s="49">
        <f>IFERROR(IF(VLOOKUP(tbMoveset!A40,tbMoveset!A2:H112,8,FALSE)="Other",IF(VLOOKUP(tbMoveset!A40,tbMoveset!A2:I112,9,FALSE)="Fire",Backdoors!BB14,IF(VLOOKUP(tbMoveset!A40,tbMoveset!A2:I112,9,FALSE)="Water",Backdoors!BC14,IF(VLOOKUP(tbMoveset!A40,tbMoveset!A2:I112,9,FALSE)="Thunder",Backdoors!BD14,IF(VLOOKUP(tbMoveset!A40,tbMoveset!A2:I112,9,FALSE)="Ice",Backdoors!BE14,IF(VLOOKUP(tbMoveset!A40,tbMoveset!A2:I112,9,FALSE)="Dragon",Backdoors!BF14,Backdoors!BG14)))))/100,Backdoors!BG14/100),"")</f>
        <v>0</v>
      </c>
      <c r="CC40" s="49">
        <f>IFERROR(IF(VLOOKUP(A40,tbMoveset!A2:J112,10,FALSE)=TRUE,IF((Backdoors!AI12+IF(CA40&gt;=0.45,VLOOKUP(Calculator!E23,tbSkills!DH3:DI6,2,FALSE)+IF(AND(Calculator!B8=TRUE,Backdoors!BI14=TRUE),VLOOKUP(Calculator!E23,tbSkills!DH3:DJ6,3,FALSE),0),0))&gt;=0,1+(Backdoors!AL2*(IF((Backdoors!AI12+IF(CA40&gt;=0.45,VLOOKUP(Calculator!E23,tbSkills!DH3:DI6,2,FALSE)+IF(AND(Calculator!B8=TRUE,Backdoors!BI14=TRUE),VLOOKUP(Calculator!E23,tbSkills!DH3:DJ6,3,FALSE),0),0))&gt;=100,100,(Backdoors!AI12+IF(CA40&gt;=0.45,VLOOKUP(Calculator!E23,tbSkills!DH3:DI6,2,FALSE)+IF(AND(Calculator!B8=TRUE,Backdoors!BI14=TRUE),VLOOKUP(Calculator!E23,tbSkills!DH3:DJ6,3,FALSE),0),0)))/100)),(1-(0.25*((-Backdoors!AI12-IF(CA40&gt;=0.45,VLOOKUP(Calculator!E23,tbSkills!DH3:DI6,2,FALSE)+IF(AND(Calculator!B8=TRUE,Backdoors!BI14=TRUE),VLOOKUP(Calculator!E23,tbSkills!DH3:DJ6,3,FALSE),0),0))/100)))),1),"")</f>
        <v>1</v>
      </c>
      <c r="CD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A40)*CC40)*(VLOOKUP(A40,tbMoveset!A2:C112,3,FALSE)/100)*IF(VLOOKUP(A40,tbMoveset!A2:B112,2,FALSE)="Projectile",Backdoors!N10,Backdoors!N9),0),"")</f>
        <v/>
      </c>
      <c r="CE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A40&gt;=0.45,VLOOKUP(Calculator!E23,tbSkills!DH3:DI6,2,FALSE)+IF(AND(Calculator!B8=TRUE,Backdoors!BI14=TRUE),VLOOKUP(Calculator!E23,tbSkills!DH3:DJ6,3,FALSE),0),0))&gt;=100,100,(Backdoors!AI12+IF(CA40&gt;=0.45,VLOOKUP(Calculator!E23,tbSkills!DH3:DI6,2,FALSE)+IF(AND(Calculator!B8=TRUE,Backdoors!BI14=TRUE),VLOOKUP(Calculator!E23,tbSkills!DH3:DJ6,3,FALSE),0),0)))/100)),1))*IF(VLOOKUP(A40,tbMoveset!A2:K112,11,FALSE)=TRUE,Backdoors!AC5,1))*CB40,0),"")</f>
        <v>0</v>
      </c>
      <c r="CF40" s="49">
        <f>VLOOKUP(A40,tbMoveset!A2:G112,7,FALSE)*IFERROR(IF(Backdoors!AI12&gt;=0,1+(IF(Calculator!E40&gt;0,VLOOKUP(Calculator!E40,tbSkills!AI3:AJ5,2,FALSE),Backdoors!AL4)*(IF((Backdoors!AI12+IF(CA40&gt;=0.45,VLOOKUP(Calculator!E23,tbSkills!DH3:DI6,2,FALSE)+IF(AND(Calculator!B8=TRUE,Backdoors!BI14=TRUE),VLOOKUP(Calculator!E23,tbSkills!DH3:DJ6,3,FALSE),0),0))&gt;=100,100,(Backdoors!AI12+IF(CA40&gt;=0.45,VLOOKUP(Calculator!E23,tbSkills!DH3:DI6,2,FALSE)+IF(AND(Calculator!B8=TRUE,Backdoors!BI14=TRUE),VLOOKUP(Calculator!E23,tbSkills!DH3:DJ6,3,FALSE),0),0)))/100)),1),1)</f>
        <v>0.5</v>
      </c>
      <c r="CG40" s="87">
        <f t="shared" si="6"/>
        <v>0</v>
      </c>
      <c r="CH40" s="86" t="str">
        <f>IFERROR(IF(VLOOKUP(A40,tbMoveset!A2:B112,2,FALSE)="Sever",Backdoors!AY15/100,IF(VLOOKUP(A40,tbMoveset!A2:B112,2,FALSE)="Blunt",Backdoors!AZ15/100,Backdoors!BA15/100)),"")</f>
        <v/>
      </c>
      <c r="CI40" s="49">
        <f>IFERROR(IF(VLOOKUP(tbMoveset!A40,tbMoveset!A2:H112,8,FALSE)="Other",IF(VLOOKUP(tbMoveset!A40,tbMoveset!A2:I112,9,FALSE)="Fire",Backdoors!BB15,IF(VLOOKUP(tbMoveset!A40,tbMoveset!A2:I112,9,FALSE)="Water",Backdoors!BC15,IF(VLOOKUP(tbMoveset!A40,tbMoveset!A2:I112,9,FALSE)="Thunder",Backdoors!BD15,IF(VLOOKUP(tbMoveset!A40,tbMoveset!A2:I112,9,FALSE)="Ice",Backdoors!BE15,IF(VLOOKUP(tbMoveset!A40,tbMoveset!A2:I112,9,FALSE)="Dragon",Backdoors!BF15,Backdoors!BG15)))))/100,Backdoors!BG15/100),"")</f>
        <v>0</v>
      </c>
      <c r="CJ40" s="49">
        <f>IFERROR(IF(VLOOKUP(A40,tbMoveset!A2:J112,10,FALSE)=TRUE,IF((Backdoors!AI12+IF(CH40&gt;=0.45,VLOOKUP(Calculator!E23,tbSkills!DH3:DI6,2,FALSE)+IF(AND(Calculator!B8=TRUE,Backdoors!BI15=TRUE),VLOOKUP(Calculator!E23,tbSkills!DH3:DJ6,3,FALSE),0),0))&gt;=0,1+(Backdoors!AL2*(IF((Backdoors!AI12+IF(CH40&gt;=0.45,VLOOKUP(Calculator!E23,tbSkills!DH3:DI6,2,FALSE)+IF(AND(Calculator!B8=TRUE,Backdoors!BI15=TRUE),VLOOKUP(Calculator!E23,tbSkills!DH3:DJ6,3,FALSE),0),0))&gt;=100,100,(Backdoors!AI12+IF(CH40&gt;=0.45,VLOOKUP(Calculator!E23,tbSkills!DH3:DI6,2,FALSE)+IF(AND(Calculator!B8=TRUE,Backdoors!BI15=TRUE),VLOOKUP(Calculator!E23,tbSkills!DH3:DJ6,3,FALSE),0),0)))/100)),(1-(0.25*((-Backdoors!AI12-IF(CH40&gt;=0.45,VLOOKUP(Calculator!E23,tbSkills!DH3:DI6,2,FALSE)+IF(AND(Calculator!B8=TRUE,Backdoors!BI15=TRUE),VLOOKUP(Calculator!E23,tbSkills!DH3:DJ6,3,FALSE),0),0))/100)))),1),"")</f>
        <v>1</v>
      </c>
      <c r="CK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H40)*CJ40)*(VLOOKUP(A40,tbMoveset!A2:C112,3,FALSE)/100)*IF(VLOOKUP(A40,tbMoveset!A2:B112,2,FALSE)="Projectile",Backdoors!N10,Backdoors!N9),0),"")</f>
        <v/>
      </c>
      <c r="CL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H40&gt;=0.45,VLOOKUP(Calculator!E23,tbSkills!DH3:DI6,2,FALSE)+IF(AND(Calculator!B8=TRUE,Backdoors!BI15=TRUE),VLOOKUP(Calculator!E23,tbSkills!DH3:DJ6,3,FALSE),0),0))&gt;=100,100,(Backdoors!AI12+IF(CH40&gt;=0.45,VLOOKUP(Calculator!E23,tbSkills!DH3:DI6,2,FALSE)+IF(AND(Calculator!B8=TRUE,Backdoors!BI15=TRUE),VLOOKUP(Calculator!E23,tbSkills!DH3:DJ6,3,FALSE),0),0)))/100)),1))*IF(VLOOKUP(A40,tbMoveset!A2:K112,11,FALSE)=TRUE,Backdoors!AC5,1))*CI40,0),"")</f>
        <v>0</v>
      </c>
      <c r="CM40" s="49">
        <f>VLOOKUP(A40,tbMoveset!A2:G112,7,FALSE)*IFERROR(IF(Backdoors!AI12&gt;=0,1+(IF(Calculator!E40&gt;0,VLOOKUP(Calculator!E40,tbSkills!AI3:AJ5,2,FALSE),Backdoors!AL4)*(IF((Backdoors!AI12+IF(CH40&gt;=0.45,VLOOKUP(Calculator!E23,tbSkills!DH3:DI6,2,FALSE)+IF(AND(Calculator!B8=TRUE,Backdoors!BI15=TRUE),VLOOKUP(Calculator!E23,tbSkills!DH3:DJ6,3,FALSE),0),0))&gt;=100,100,(Backdoors!AI12+IF(CH40&gt;=0.45,VLOOKUP(Calculator!E23,tbSkills!DH3:DI6,2,FALSE)+IF(AND(Calculator!B8=TRUE,Backdoors!BI15=TRUE),VLOOKUP(Calculator!E23,tbSkills!DH3:DJ6,3,FALSE),0),0)))/100)),1),1)</f>
        <v>0.5</v>
      </c>
      <c r="CN40" s="87">
        <f t="shared" si="7"/>
        <v>0</v>
      </c>
      <c r="CO40" s="86" t="str">
        <f>IFERROR(IF(VLOOKUP(A40,tbMoveset!A2:B112,2,FALSE)="Sever",Backdoors!AY16/100,IF(VLOOKUP(A40,tbMoveset!A2:B112,2,FALSE)="Blunt",Backdoors!AZ16/100,Backdoors!BA16/100)),"")</f>
        <v/>
      </c>
      <c r="CP40" s="49">
        <f>IFERROR(IF(VLOOKUP(tbMoveset!A40,tbMoveset!A2:H112,8,FALSE)="Other",IF(VLOOKUP(tbMoveset!A40,tbMoveset!A2:I112,9,FALSE)="Fire",Backdoors!BB16,IF(VLOOKUP(tbMoveset!A40,tbMoveset!A2:I112,9,FALSE)="Water",Backdoors!BC16,IF(VLOOKUP(tbMoveset!A40,tbMoveset!A2:I112,9,FALSE)="Thunder",Backdoors!BD16,IF(VLOOKUP(tbMoveset!A40,tbMoveset!A2:I112,9,FALSE)="Ice",Backdoors!BE16,IF(VLOOKUP(tbMoveset!A40,tbMoveset!A2:I112,9,FALSE)="Dragon",Backdoors!BF16,Backdoors!BG16)))))/100,Backdoors!BG16/100),"")</f>
        <v>0</v>
      </c>
      <c r="CQ40" s="49">
        <f>IFERROR(IF(VLOOKUP(A40,tbMoveset!A2:J112,10,FALSE)=TRUE,IF((Backdoors!AI12+IF(CO40&gt;=0.45,VLOOKUP(Calculator!E23,tbSkills!DH3:DI6,2,FALSE)+IF(AND(Calculator!B8=TRUE,Backdoors!BI16=TRUE),VLOOKUP(Calculator!E23,tbSkills!DH3:DJ6,3,FALSE),0),0))&gt;=0,1+(Backdoors!AL2*(IF((Backdoors!AI12+IF(CO40&gt;=0.45,VLOOKUP(Calculator!E23,tbSkills!DH3:DI6,2,FALSE)+IF(AND(Calculator!B8=TRUE,Backdoors!BI16=TRUE),VLOOKUP(Calculator!E23,tbSkills!DH3:DJ6,3,FALSE),0),0))&gt;=100,100,(Backdoors!AI12+IF(CO40&gt;=0.45,VLOOKUP(Calculator!E23,tbSkills!DH3:DI6,2,FALSE)+IF(AND(Calculator!B8=TRUE,Backdoors!BI16=TRUE),VLOOKUP(Calculator!E23,tbSkills!DH3:DJ6,3,FALSE),0),0)))/100)),(1-(0.25*((-Backdoors!AI12-IF(CO40&gt;=0.45,VLOOKUP(Calculator!E23,tbSkills!DH3:DI6,2,FALSE)+IF(AND(Calculator!B8=TRUE,Backdoors!BI16=TRUE),VLOOKUP(Calculator!E23,tbSkills!DH3:DJ6,3,FALSE),0),0))/100)))),1),"")</f>
        <v>1</v>
      </c>
      <c r="CR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O40)*CQ40)*(VLOOKUP(A40,tbMoveset!A2:C112,3,FALSE)/100)*IF(VLOOKUP(A40,tbMoveset!A2:B112,2,FALSE)="Projectile",Backdoors!N10,Backdoors!N9),0),"")</f>
        <v/>
      </c>
      <c r="CS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O40&gt;=0.45,VLOOKUP(Calculator!E23,tbSkills!DH3:DI6,2,FALSE)+IF(AND(Calculator!B8=TRUE,Backdoors!BI16=TRUE),VLOOKUP(Calculator!E23,tbSkills!DH3:DJ6,3,FALSE),0),0))&gt;=100,100,(Backdoors!AI12+IF(CO40&gt;=0.45,VLOOKUP(Calculator!E23,tbSkills!DH3:DI6,2,FALSE)+IF(AND(Calculator!B8=TRUE,Backdoors!BI16=TRUE),VLOOKUP(Calculator!E23,tbSkills!DH3:DJ6,3,FALSE),0),0)))/100)),1))*IF(VLOOKUP(A40,tbMoveset!A2:K112,11,FALSE)=TRUE,Backdoors!AC5,1))*CP40,0),"")</f>
        <v>0</v>
      </c>
      <c r="CT40" s="49">
        <f>VLOOKUP(A40,tbMoveset!A2:G112,7,FALSE)*IFERROR(IF(Backdoors!AI12&gt;=0,1+(IF(Calculator!E40&gt;0,VLOOKUP(Calculator!E40,tbSkills!AI3:AJ5,2,FALSE),Backdoors!AL4)*(IF((Backdoors!AI12+IF(CO40&gt;=0.45,VLOOKUP(Calculator!E23,tbSkills!DH3:DI6,2,FALSE)+IF(AND(Calculator!B8=TRUE,Backdoors!BI16=TRUE),VLOOKUP(Calculator!E23,tbSkills!DH3:DJ6,3,FALSE),0),0))&gt;=100,100,(Backdoors!AI12+IF(CO40&gt;=0.45,VLOOKUP(Calculator!E23,tbSkills!DH3:DI6,2,FALSE)+IF(AND(Calculator!B8=TRUE,Backdoors!BI16=TRUE),VLOOKUP(Calculator!E23,tbSkills!DH3:DJ6,3,FALSE),0),0)))/100)),1),1)</f>
        <v>0.5</v>
      </c>
      <c r="CU40" s="87">
        <f t="shared" si="40"/>
        <v>0</v>
      </c>
      <c r="CV40" s="86" t="str">
        <f>IFERROR(IF(VLOOKUP(A40,tbMoveset!A2:B112,2,FALSE)="Sever",Backdoors!AY17/100,IF(VLOOKUP(A40,tbMoveset!A2:B112,2,FALSE)="Blunt",Backdoors!AZ17/100,Backdoors!BA17/100)),"")</f>
        <v/>
      </c>
      <c r="CW40" s="49">
        <f>IFERROR(IF(VLOOKUP(tbMoveset!A40,tbMoveset!A2:H112,8,FALSE)="Other",IF(VLOOKUP(tbMoveset!A40,tbMoveset!A2:I112,9,FALSE)="Fire",Backdoors!BB17,IF(VLOOKUP(tbMoveset!A40,tbMoveset!A2:I112,9,FALSE)="Water",Backdoors!BC17,IF(VLOOKUP(tbMoveset!A40,tbMoveset!A2:I112,9,FALSE)="Thunder",Backdoors!BD17,IF(VLOOKUP(tbMoveset!A40,tbMoveset!A2:I112,9,FALSE)="Ice",Backdoors!BE17,IF(VLOOKUP(tbMoveset!A40,tbMoveset!A2:I112,9,FALSE)="Dragon",Backdoors!BF17,Backdoors!BG17)))))/100,Backdoors!BG17/100),"")</f>
        <v>0</v>
      </c>
      <c r="CX40" s="49">
        <f>IFERROR(IF(VLOOKUP(A40,tbMoveset!A2:J112,10,FALSE)=TRUE,IF((Backdoors!AI12+IF(CV40&gt;=0.45,VLOOKUP(Calculator!E23,tbSkills!DH3:DI6,2,FALSE)+IF(AND(Calculator!B8=TRUE,Backdoors!BI17=TRUE),VLOOKUP(Calculator!E23,tbSkills!DH3:DJ6,3,FALSE),0),0))&gt;=0,1+(Backdoors!AL2*(IF((Backdoors!AI12+IF(CV40&gt;=0.45,VLOOKUP(Calculator!E23,tbSkills!DH3:DI6,2,FALSE)+IF(AND(Calculator!B8=TRUE,Backdoors!BI17=TRUE),VLOOKUP(Calculator!E23,tbSkills!DH3:DJ6,3,FALSE),0),0))&gt;=100,100,(Backdoors!AI12+IF(CV40&gt;=0.45,VLOOKUP(Calculator!E23,tbSkills!DH3:DI6,2,FALSE)+IF(AND(Calculator!B8=TRUE,Backdoors!BI17=TRUE),VLOOKUP(Calculator!E23,tbSkills!DH3:DJ6,3,FALSE),0),0)))/100)),(1-(0.25*((-Backdoors!AI12-IF(CV40&gt;=0.45,VLOOKUP(Calculator!E23,tbSkills!DH3:DI6,2,FALSE)+IF(AND(Calculator!B8=TRUE,Backdoors!BI17=TRUE),VLOOKUP(Calculator!E23,tbSkills!DH3:DJ6,3,FALSE),0),0))/100)))),1),"")</f>
        <v>1</v>
      </c>
      <c r="CY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V40)*CX40)*(VLOOKUP(A40,tbMoveset!A2:C112,3,FALSE)/100)*IF(VLOOKUP(A40,tbMoveset!A2:B112,2,FALSE)="Projectile",Backdoors!N10,Backdoors!N9),0),"")</f>
        <v/>
      </c>
      <c r="CZ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V40&gt;=0.45,VLOOKUP(Calculator!E23,tbSkills!DH3:DI6,2,FALSE)+IF(AND(Calculator!B8=TRUE,Backdoors!BI17=TRUE),VLOOKUP(Calculator!E23,tbSkills!DH3:DJ6,3,FALSE),0),0))&gt;=100,100,(Backdoors!AI12+IF(CV40&gt;=0.45,VLOOKUP(Calculator!E23,tbSkills!DH3:DI6,2,FALSE)+IF(AND(Calculator!B8=TRUE,Backdoors!BI17=TRUE),VLOOKUP(Calculator!E23,tbSkills!DH3:DJ6,3,FALSE),0),0)))/100)),1))*IF(VLOOKUP(A40,tbMoveset!A2:K112,11,FALSE)=TRUE,Backdoors!AC5,1))*CW40,0),"")</f>
        <v>0</v>
      </c>
      <c r="DA40" s="49">
        <f>VLOOKUP(A40,tbMoveset!A2:G112,7,FALSE)*IFERROR(IF(Backdoors!AI12&gt;=0,1+(IF(Calculator!E40&gt;0,VLOOKUP(Calculator!E40,tbSkills!AI3:AJ5,2,FALSE),Backdoors!AL4)*(IF((Backdoors!AI12+IF(CV40&gt;=0.45,VLOOKUP(Calculator!E23,tbSkills!DH3:DI6,2,FALSE)+IF(AND(Calculator!B8=TRUE,Backdoors!BI17=TRUE),VLOOKUP(Calculator!E23,tbSkills!DH3:DJ6,3,FALSE),0),0))&gt;=100,100,(Backdoors!AI12+IF(CV40&gt;=0.45,VLOOKUP(Calculator!E23,tbSkills!DH3:DI6,2,FALSE)+IF(AND(Calculator!B8=TRUE,Backdoors!BI17=TRUE),VLOOKUP(Calculator!E23,tbSkills!DH3:DJ6,3,FALSE),0),0)))/100)),1),1)</f>
        <v>0.5</v>
      </c>
      <c r="DB40" s="87">
        <f t="shared" si="8"/>
        <v>0</v>
      </c>
      <c r="DC40" s="86" t="str">
        <f>IFERROR(IF(VLOOKUP(A40,tbMoveset!A2:B112,2,FALSE)="Sever",Backdoors!AY18/100,IF(VLOOKUP(A40,tbMoveset!A2:B112,2,FALSE)="Blunt",Backdoors!AZ18/100,Backdoors!BA18/100)),"")</f>
        <v/>
      </c>
      <c r="DD40" s="49">
        <f>IFERROR(IF(VLOOKUP(tbMoveset!A40,tbMoveset!A2:H112,8,FALSE)="Other",IF(VLOOKUP(tbMoveset!A40,tbMoveset!A2:I112,9,FALSE)="Fire",Backdoors!BB18,IF(VLOOKUP(tbMoveset!A40,tbMoveset!A2:I112,9,FALSE)="Water",Backdoors!BC18,IF(VLOOKUP(tbMoveset!A40,tbMoveset!A2:I112,9,FALSE)="Thunder",Backdoors!BD18,IF(VLOOKUP(tbMoveset!A40,tbMoveset!A2:I112,9,FALSE)="Ice",Backdoors!BE18,IF(VLOOKUP(tbMoveset!A40,tbMoveset!A2:I112,9,FALSE)="Dragon",Backdoors!BF18,Backdoors!BG18)))))/100,Backdoors!BG18/100),"")</f>
        <v>0</v>
      </c>
      <c r="DE40" s="49">
        <f>IFERROR(IF(VLOOKUP(A40,tbMoveset!A2:J112,10,FALSE)=TRUE,IF((Backdoors!AI12+IF(DC40&gt;=0.45,VLOOKUP(Calculator!E23,tbSkills!DH3:DI6,2,FALSE)+IF(AND(Calculator!B8=TRUE,Backdoors!BI18=TRUE),VLOOKUP(Calculator!E23,tbSkills!DH3:DJ6,3,FALSE),0),0))&gt;=0,1+(Backdoors!AL2*(IF((Backdoors!AI12+IF(DC40&gt;=0.45,VLOOKUP(Calculator!E23,tbSkills!DH3:DI6,2,FALSE)+IF(AND(Calculator!B8=TRUE,Backdoors!BI18=TRUE),VLOOKUP(Calculator!E23,tbSkills!DH3:DJ6,3,FALSE),0),0))&gt;=100,100,(Backdoors!AI12+IF(DC40&gt;=0.45,VLOOKUP(Calculator!E23,tbSkills!DH3:DI6,2,FALSE)+IF(AND(Calculator!B8=TRUE,Backdoors!BI18=TRUE),VLOOKUP(Calculator!E23,tbSkills!DH3:DJ6,3,FALSE),0),0)))/100)),(1-(0.25*((-Backdoors!AI12-IF(DC40&gt;=0.45,VLOOKUP(Calculator!E23,tbSkills!DH3:DI6,2,FALSE)+IF(AND(Calculator!B8=TRUE,Backdoors!BI18=TRUE),VLOOKUP(Calculator!E23,tbSkills!DH3:DJ6,3,FALSE),0),0))/100)))),1),"")</f>
        <v>1</v>
      </c>
      <c r="DF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C40)*DE40)*(VLOOKUP(A40,tbMoveset!A2:C112,3,FALSE)/100)*IF(VLOOKUP(A40,tbMoveset!A2:B112,2,FALSE)="Projectile",Backdoors!N10,Backdoors!N9),0),"")</f>
        <v/>
      </c>
      <c r="DG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C40&gt;=0.45,VLOOKUP(Calculator!E23,tbSkills!DH3:DI6,2,FALSE)+IF(AND(Calculator!B8=TRUE,Backdoors!BI18=TRUE),VLOOKUP(Calculator!E23,tbSkills!DH3:DJ6,3,FALSE),0),0))&gt;=100,100,(Backdoors!AI12+IF(DC40&gt;=0.45,VLOOKUP(Calculator!E23,tbSkills!DH3:DI6,2,FALSE)+IF(AND(Calculator!B8=TRUE,Backdoors!BI18=TRUE),VLOOKUP(Calculator!E23,tbSkills!DH3:DJ6,3,FALSE),0),0)))/100)),1))*IF(VLOOKUP(A40,tbMoveset!A2:K112,11,FALSE)=TRUE,Backdoors!AC5,1))*DD40,0),"")</f>
        <v>0</v>
      </c>
      <c r="DH40" s="49">
        <f>VLOOKUP(A40,tbMoveset!A2:G112,7,FALSE)*IFERROR(IF(Backdoors!AI12&gt;=0,1+(IF(Calculator!E40&gt;0,VLOOKUP(Calculator!E40,tbSkills!AI3:AJ5,2,FALSE),Backdoors!AL4)*(IF((Backdoors!AI12+IF(DC40&gt;=0.45,VLOOKUP(Calculator!E23,tbSkills!DH3:DI6,2,FALSE)+IF(AND(Calculator!B8=TRUE,Backdoors!BI18=TRUE),VLOOKUP(Calculator!E23,tbSkills!DH3:DJ6,3,FALSE),0),0))&gt;=100,100,(Backdoors!AI12+IF(DC40&gt;=0.45,VLOOKUP(Calculator!E23,tbSkills!DH3:DI6,2,FALSE)+IF(AND(Calculator!B8=TRUE,Backdoors!BI18=TRUE),VLOOKUP(Calculator!E23,tbSkills!DH3:DJ6,3,FALSE),0),0)))/100)),1),1)</f>
        <v>0.5</v>
      </c>
      <c r="DI40" s="87">
        <f t="shared" si="9"/>
        <v>0</v>
      </c>
      <c r="DJ40" s="86" t="str">
        <f>IFERROR(IF(VLOOKUP(A40,tbMoveset!A2:B112,2,FALSE)="Sever",Backdoors!AY19/100,IF(VLOOKUP(A40,tbMoveset!A2:B112,2,FALSE)="Blunt",Backdoors!AZ19/100,Backdoors!BA19/100)),"")</f>
        <v/>
      </c>
      <c r="DK40" s="49">
        <f>IFERROR(IF(VLOOKUP(tbMoveset!A40,tbMoveset!A2:H112,8,FALSE)="Other",IF(VLOOKUP(tbMoveset!A40,tbMoveset!A2:I112,9,FALSE)="Fire",Backdoors!BB19,IF(VLOOKUP(tbMoveset!A40,tbMoveset!A2:I112,9,FALSE)="Water",Backdoors!BC19,IF(VLOOKUP(tbMoveset!A40,tbMoveset!A2:I112,9,FALSE)="Thunder",Backdoors!BD19,IF(VLOOKUP(tbMoveset!A40,tbMoveset!A2:I112,9,FALSE)="Ice",Backdoors!BE19,IF(VLOOKUP(tbMoveset!A40,tbMoveset!A2:I112,9,FALSE)="Dragon",Backdoors!BF19,Backdoors!BG19)))))/100,Backdoors!BG19/100),"")</f>
        <v>0</v>
      </c>
      <c r="DL40" s="49">
        <f>IFERROR(IF(VLOOKUP(A40,tbMoveset!A2:J112,10,FALSE)=TRUE,IF((Backdoors!AI12+IF(DJ40&gt;=0.45,VLOOKUP(Calculator!E23,tbSkills!DH3:DI6,2,FALSE)+IF(AND(Calculator!B8=TRUE,Backdoors!BI19=TRUE),VLOOKUP(Calculator!E23,tbSkills!DH3:DJ6,3,FALSE),0),0))&gt;=0,1+(Backdoors!AL2*(IF((Backdoors!AI12+IF(DJ40&gt;=0.45,VLOOKUP(Calculator!E23,tbSkills!DH3:DI6,2,FALSE)+IF(AND(Calculator!B8=TRUE,Backdoors!BI19=TRUE),VLOOKUP(Calculator!E23,tbSkills!DH3:DJ6,3,FALSE),0),0))&gt;=100,100,(Backdoors!AI12+IF(DJ40&gt;=0.45,VLOOKUP(Calculator!E23,tbSkills!DH3:DI6,2,FALSE)+IF(AND(Calculator!B8=TRUE,Backdoors!BI19=TRUE),VLOOKUP(Calculator!E23,tbSkills!DH3:DJ6,3,FALSE),0),0)))/100)),(1-(0.25*((-Backdoors!AI12-IF(DJ40&gt;=0.45,VLOOKUP(Calculator!E23,tbSkills!DH3:DI6,2,FALSE)+IF(AND(Calculator!B8=TRUE,Backdoors!BI19=TRUE),VLOOKUP(Calculator!E23,tbSkills!DH3:DJ6,3,FALSE),0),0))/100)))),1),"")</f>
        <v>1</v>
      </c>
      <c r="DM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J40)*DL40)*(VLOOKUP(A40,tbMoveset!A2:C112,3,FALSE)/100)*IF(VLOOKUP(A40,tbMoveset!A2:B112,2,FALSE)="Projectile",Backdoors!N10,Backdoors!N9),0),"")</f>
        <v/>
      </c>
      <c r="DN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J40&gt;=0.45,VLOOKUP(Calculator!E23,tbSkills!DH3:DI6,2,FALSE)+IF(AND(Calculator!B8=TRUE,Backdoors!BI19=TRUE),VLOOKUP(Calculator!E23,tbSkills!DH3:DJ6,3,FALSE),0),0))&gt;=100,100,(Backdoors!AI12+IF(DJ40&gt;=0.45,VLOOKUP(Calculator!E23,tbSkills!DH3:DI6,2,FALSE)+IF(AND(Calculator!B8=TRUE,Backdoors!BI19=TRUE),VLOOKUP(Calculator!E23,tbSkills!DH3:DJ6,3,FALSE),0),0)))/100)),1))*IF(VLOOKUP(A40,tbMoveset!A2:K112,11,FALSE)=TRUE,Backdoors!AC5,1))*DK40,0),"")</f>
        <v>0</v>
      </c>
      <c r="DO40" s="49">
        <f>VLOOKUP(A40,tbMoveset!A2:G112,7,FALSE)*IFERROR(IF(Backdoors!AI12&gt;=0,1+(IF(Calculator!E40&gt;0,VLOOKUP(Calculator!E40,tbSkills!AI3:AJ5,2,FALSE),Backdoors!AL4)*(IF((Backdoors!AI12+IF(DJ40&gt;=0.45,VLOOKUP(Calculator!E23,tbSkills!DH3:DI6,2,FALSE)+IF(AND(Calculator!B8=TRUE,Backdoors!BI19=TRUE),VLOOKUP(Calculator!E23,tbSkills!DH3:DJ6,3,FALSE),0),0))&gt;=100,100,(Backdoors!AI12+IF(DJ40&gt;=0.45,VLOOKUP(Calculator!E23,tbSkills!DH3:DI6,2,FALSE)+IF(AND(Calculator!B8=TRUE,Backdoors!BI19=TRUE),VLOOKUP(Calculator!E23,tbSkills!DH3:DJ6,3,FALSE),0),0)))/100)),1),1)</f>
        <v>0.5</v>
      </c>
      <c r="DP40" s="87">
        <f t="shared" si="41"/>
        <v>0</v>
      </c>
      <c r="DQ40" s="86" t="str">
        <f>IFERROR(IF(VLOOKUP(A40,tbMoveset!A2:B112,2,FALSE)="Sever",Backdoors!AY20/100,IF(VLOOKUP(A40,tbMoveset!A2:B112,2,FALSE)="Blunt",Backdoors!AZ20/100,Backdoors!BA20/100)),"")</f>
        <v/>
      </c>
      <c r="DR40" s="49">
        <f>IFERROR(IF(VLOOKUP(tbMoveset!A40,tbMoveset!A2:H112,8,FALSE)="Other",IF(VLOOKUP(tbMoveset!A40,tbMoveset!A2:I112,9,FALSE)="Fire",Backdoors!BB20,IF(VLOOKUP(tbMoveset!A40,tbMoveset!A2:I112,9,FALSE)="Water",Backdoors!BC20,IF(VLOOKUP(tbMoveset!A40,tbMoveset!A2:I112,9,FALSE)="Thunder",Backdoors!BD20,IF(VLOOKUP(tbMoveset!A40,tbMoveset!A2:I112,9,FALSE)="Ice",Backdoors!BE20,IF(VLOOKUP(tbMoveset!A40,tbMoveset!A2:I112,9,FALSE)="Dragon",Backdoors!BF20,Backdoors!BG20)))))/100,Backdoors!BG20/100),"")</f>
        <v>0</v>
      </c>
      <c r="DS40" s="49">
        <f>IFERROR(IF(VLOOKUP(A40,tbMoveset!A2:J112,10,FALSE)=TRUE,IF((Backdoors!AI12+IF(DQ40&gt;=0.45,VLOOKUP(Calculator!E23,tbSkills!DH3:DI6,2,FALSE)+IF(AND(Calculator!B8=TRUE,Backdoors!BI20=TRUE),VLOOKUP(Calculator!E23,tbSkills!DH3:DJ6,3,FALSE),0),0))&gt;=0,1+(Backdoors!AL2*(IF((Backdoors!AI12+IF(DQ40&gt;=0.45,VLOOKUP(Calculator!E23,tbSkills!DH3:DI6,2,FALSE)+IF(AND(Calculator!B8=TRUE,Backdoors!BI20=TRUE),VLOOKUP(Calculator!E23,tbSkills!DH3:DJ6,3,FALSE),0),0))&gt;=100,100,(Backdoors!AI12+IF(DQ40&gt;=0.45,VLOOKUP(Calculator!E23,tbSkills!DH3:DI6,2,FALSE)+IF(AND(Calculator!B8=TRUE,Backdoors!BI20=TRUE),VLOOKUP(Calculator!E23,tbSkills!DH3:DJ6,3,FALSE),0),0)))/100)),(1-(0.25*((-Backdoors!AI12-IF(DQ40&gt;=0.45,VLOOKUP(Calculator!E23,tbSkills!DH3:DI6,2,FALSE)+IF(AND(Calculator!B8=TRUE,Backdoors!BI20=TRUE),VLOOKUP(Calculator!E23,tbSkills!DH3:DJ6,3,FALSE),0),0))/100)))),1),"")</f>
        <v>1</v>
      </c>
      <c r="DT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Q40)*DS40)*(VLOOKUP(A40,tbMoveset!A2:C112,3,FALSE)/100)*IF(VLOOKUP(A40,tbMoveset!A2:B112,2,FALSE)="Projectile",Backdoors!N10,Backdoors!N9),0),"")</f>
        <v/>
      </c>
      <c r="DU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Q40&gt;=0.45,VLOOKUP(Calculator!E23,tbSkills!DH3:DI6,2,FALSE)+IF(AND(Calculator!B8=TRUE,Backdoors!BI20=TRUE),VLOOKUP(Calculator!E23,tbSkills!DH3:DJ6,3,FALSE),0),0))&gt;=100,100,(Backdoors!AI12+IF(DQ40&gt;=0.45,VLOOKUP(Calculator!E23,tbSkills!DH3:DI6,2,FALSE)+IF(AND(Calculator!B8=TRUE,Backdoors!BI20=TRUE),VLOOKUP(Calculator!E23,tbSkills!DH3:DJ6,3,FALSE),0),0)))/100)),1))*IF(VLOOKUP(A40,tbMoveset!A2:K112,11,FALSE)=TRUE,Backdoors!AC5,1))*DR40,0),"")</f>
        <v>0</v>
      </c>
      <c r="DV40" s="49">
        <f>VLOOKUP(A40,tbMoveset!A2:G112,7,FALSE)*IFERROR(IF(Backdoors!AI12&gt;=0,1+(IF(Calculator!E40&gt;0,VLOOKUP(Calculator!E40,tbSkills!AI3:AJ5,2,FALSE),Backdoors!AL4)*(IF((Backdoors!AI12+IF(DQ40&gt;=0.45,VLOOKUP(Calculator!E23,tbSkills!DH3:DI6,2,FALSE)+IF(AND(Calculator!B8=TRUE,Backdoors!BI20=TRUE),VLOOKUP(Calculator!E23,tbSkills!DH3:DJ6,3,FALSE),0),0))&gt;=100,100,(Backdoors!AI12+IF(DQ40&gt;=0.45,VLOOKUP(Calculator!E23,tbSkills!DH3:DI6,2,FALSE)+IF(AND(Calculator!B8=TRUE,Backdoors!BI20=TRUE),VLOOKUP(Calculator!E23,tbSkills!DH3:DJ6,3,FALSE),0),0)))/100)),1),1)</f>
        <v>0.5</v>
      </c>
      <c r="DW40" s="87">
        <f t="shared" si="10"/>
        <v>0</v>
      </c>
      <c r="DX40" s="86" t="str">
        <f>IFERROR(IF(VLOOKUP(A40,tbMoveset!A2:B112,2,FALSE)="Sever",Backdoors!AY21/100,IF(VLOOKUP(A40,tbMoveset!A2:B112,2,FALSE)="Blunt",Backdoors!AZ21/100,Backdoors!BA21/100)),"")</f>
        <v/>
      </c>
      <c r="DY40" s="49">
        <f>IFERROR(IF(VLOOKUP(tbMoveset!A40,tbMoveset!A2:H112,8,FALSE)="Other",IF(VLOOKUP(tbMoveset!A40,tbMoveset!A2:I112,9,FALSE)="Fire",Backdoors!BB21,IF(VLOOKUP(tbMoveset!A40,tbMoveset!A2:I112,9,FALSE)="Water",Backdoors!BC21,IF(VLOOKUP(tbMoveset!A40,tbMoveset!A2:I112,9,FALSE)="Thunder",Backdoors!BD21,IF(VLOOKUP(tbMoveset!A40,tbMoveset!A2:I112,9,FALSE)="Ice",Backdoors!BE21,IF(VLOOKUP(tbMoveset!A40,tbMoveset!A2:I112,9,FALSE)="Dragon",Backdoors!BF21,Backdoors!BG21)))))/100,Backdoors!BG21/100),"")</f>
        <v>0</v>
      </c>
      <c r="DZ40" s="49">
        <f>IFERROR(IF(VLOOKUP(A40,tbMoveset!A2:J112,10,FALSE)=TRUE,IF((Backdoors!AI12+IF(DX40&gt;=0.45,VLOOKUP(Calculator!E23,tbSkills!DH3:DI6,2,FALSE)+IF(AND(Calculator!B8=TRUE,Backdoors!BI21=TRUE),VLOOKUP(Calculator!E23,tbSkills!DH3:DJ6,3,FALSE),0),0))&gt;=0,1+(Backdoors!AL2*(IF((Backdoors!AI12+IF(DX40&gt;=0.45,VLOOKUP(Calculator!E23,tbSkills!DH3:DI6,2,FALSE)+IF(AND(Calculator!B8=TRUE,Backdoors!BI21=TRUE),VLOOKUP(Calculator!E23,tbSkills!DH3:DJ6,3,FALSE),0),0))&gt;=100,100,(Backdoors!AI12+IF(DX40&gt;=0.45,VLOOKUP(Calculator!E23,tbSkills!DH3:DI6,2,FALSE)+IF(AND(Calculator!B8=TRUE,Backdoors!BI21=TRUE),VLOOKUP(Calculator!E23,tbSkills!DH3:DJ6,3,FALSE),0),0)))/100)),(1-(0.25*((-Backdoors!AI12-IF(DX40&gt;=0.45,VLOOKUP(Calculator!E23,tbSkills!DH3:DI6,2,FALSE)+IF(AND(Calculator!B8=TRUE,Backdoors!BI21=TRUE),VLOOKUP(Calculator!E23,tbSkills!DH3:DJ6,3,FALSE),0),0))/100)))),1),"")</f>
        <v>1</v>
      </c>
      <c r="EA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X40)*DZ40)*(VLOOKUP(A40,tbMoveset!A2:C112,3,FALSE)/100)*IF(VLOOKUP(A40,tbMoveset!A2:B112,2,FALSE)="Projectile",Backdoors!N10,Backdoors!N9),0),"")</f>
        <v/>
      </c>
      <c r="EB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X40&gt;=0.45,VLOOKUP(Calculator!E23,tbSkills!DH3:DI6,2,FALSE)+IF(AND(Calculator!B8=TRUE,Backdoors!BI21=TRUE),VLOOKUP(Calculator!E23,tbSkills!DH3:DJ6,3,FALSE),0),0))&gt;=100,100,(Backdoors!AI12+IF(DX40&gt;=0.45,VLOOKUP(Calculator!E23,tbSkills!DH3:DI6,2,FALSE)+IF(AND(Calculator!B8=TRUE,Backdoors!BI21=TRUE),VLOOKUP(Calculator!E23,tbSkills!DH3:DJ6,3,FALSE),0),0)))/100)),1))*IF(VLOOKUP(A40,tbMoveset!A2:K112,11,FALSE)=TRUE,Backdoors!AC5,1))*DY40,0),"")</f>
        <v>0</v>
      </c>
      <c r="EC40" s="49">
        <f>VLOOKUP(A40,tbMoveset!A2:G112,7,FALSE)*IFERROR(IF(Backdoors!AI12&gt;=0,1+(IF(Calculator!E40&gt;0,VLOOKUP(Calculator!E40,tbSkills!AI3:AJ5,2,FALSE),Backdoors!AL4)*(IF((Backdoors!AI12+IF(DX40&gt;=0.45,VLOOKUP(Calculator!E23,tbSkills!DH3:DI6,2,FALSE)+IF(AND(Calculator!B8=TRUE,Backdoors!BI21=TRUE),VLOOKUP(Calculator!E23,tbSkills!DH3:DJ6,3,FALSE),0),0))&gt;=100,100,(Backdoors!AI12+IF(DX40&gt;=0.45,VLOOKUP(Calculator!E23,tbSkills!DH3:DI6,2,FALSE)+IF(AND(Calculator!B8=TRUE,Backdoors!BI21=TRUE),VLOOKUP(Calculator!E23,tbSkills!DH3:DJ6,3,FALSE),0),0)))/100)),1),1)</f>
        <v>0.5</v>
      </c>
      <c r="ED40" s="87">
        <f t="shared" si="11"/>
        <v>0</v>
      </c>
      <c r="EE40" s="86" t="str">
        <f>IFERROR(IF(VLOOKUP(A40,tbMoveset!A2:B112,2,FALSE)="Sever",Backdoors!AY22/100,IF(VLOOKUP(A40,tbMoveset!A2:B112,2,FALSE)="Blunt",Backdoors!AZ22/100,Backdoors!BA22/100)),"")</f>
        <v/>
      </c>
      <c r="EF40" s="49">
        <f>IFERROR(IF(VLOOKUP(tbMoveset!A40,tbMoveset!A2:H112,8,FALSE)="Other",IF(VLOOKUP(tbMoveset!A40,tbMoveset!A2:I112,9,FALSE)="Fire",Backdoors!BB22,IF(VLOOKUP(tbMoveset!A40,tbMoveset!A2:I112,9,FALSE)="Water",Backdoors!BC22,IF(VLOOKUP(tbMoveset!A40,tbMoveset!A2:I112,9,FALSE)="Thunder",Backdoors!BD22,IF(VLOOKUP(tbMoveset!A40,tbMoveset!A2:I112,9,FALSE)="Ice",Backdoors!BE22,IF(VLOOKUP(tbMoveset!A40,tbMoveset!A2:I112,9,FALSE)="Dragon",Backdoors!BF22,Backdoors!BG22)))))/100,Backdoors!BG22/100),"")</f>
        <v>0</v>
      </c>
      <c r="EG40" s="49">
        <f>IFERROR(IF(VLOOKUP(A40,tbMoveset!A2:J112,10,FALSE)=TRUE,IF((Backdoors!AI12+IF(EE40&gt;=0.45,VLOOKUP(Calculator!E23,tbSkills!DH3:DI6,2,FALSE)+IF(AND(Calculator!B8=TRUE,Backdoors!BI22=TRUE),VLOOKUP(Calculator!E23,tbSkills!DH3:DJ6,3,FALSE),0),0))&gt;=0,1+(Backdoors!AL2*(IF((Backdoors!AI12+IF(EE40&gt;=0.45,VLOOKUP(Calculator!E23,tbSkills!DH3:DI6,2,FALSE)+IF(AND(Calculator!B8=TRUE,Backdoors!BI22=TRUE),VLOOKUP(Calculator!E23,tbSkills!DH3:DJ6,3,FALSE),0),0))&gt;=100,100,(Backdoors!AI12+IF(EE40&gt;=0.45,VLOOKUP(Calculator!E23,tbSkills!DH3:DI6,2,FALSE)+IF(AND(Calculator!B8=TRUE,Backdoors!BI22=TRUE),VLOOKUP(Calculator!E23,tbSkills!DH3:DJ6,3,FALSE),0),0)))/100)),(1-(0.25*((-Backdoors!AI12-IF(EE40&gt;=0.45,VLOOKUP(Calculator!E23,tbSkills!DH3:DI6,2,FALSE)+IF(AND(Calculator!B8=TRUE,Backdoors!BI22=TRUE),VLOOKUP(Calculator!E23,tbSkills!DH3:DJ6,3,FALSE),0),0))/100)))),1),"")</f>
        <v>1</v>
      </c>
      <c r="EH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E40)*EG40)*(VLOOKUP(A40,tbMoveset!A2:C112,3,FALSE)/100)*IF(VLOOKUP(A40,tbMoveset!A2:B112,2,FALSE)="Projectile",Backdoors!N10,Backdoors!N9),0),"")</f>
        <v/>
      </c>
      <c r="EI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E40&gt;=0.45,VLOOKUP(Calculator!E23,tbSkills!DH3:DI6,2,FALSE)+IF(AND(Calculator!B8=TRUE,Backdoors!BI22=TRUE),VLOOKUP(Calculator!E23,tbSkills!DH3:DJ6,3,FALSE),0),0))&gt;=100,100,(Backdoors!AI12+IF(EE40&gt;=0.45,VLOOKUP(Calculator!E23,tbSkills!DH3:DI6,2,FALSE)+IF(AND(Calculator!B8=TRUE,Backdoors!BI22=TRUE),VLOOKUP(Calculator!E23,tbSkills!DH3:DJ6,3,FALSE),0),0)))/100)),1))*IF(VLOOKUP(A40,tbMoveset!A2:K112,11,FALSE)=TRUE,Backdoors!AC5,1))*EF40,0),"")</f>
        <v>0</v>
      </c>
      <c r="EJ40" s="49">
        <f>VLOOKUP(A40,tbMoveset!A2:G112,7,FALSE)*IFERROR(IF(Backdoors!AI12&gt;=0,1+(IF(Calculator!E40&gt;0,VLOOKUP(Calculator!E40,tbSkills!AI3:AJ5,2,FALSE),Backdoors!AL4)*(IF((Backdoors!AI12+IF(EE40&gt;=0.45,VLOOKUP(Calculator!E23,tbSkills!DH3:DI6,2,FALSE)+IF(AND(Calculator!B8=TRUE,Backdoors!BI22=TRUE),VLOOKUP(Calculator!E23,tbSkills!DH3:DJ6,3,FALSE),0),0))&gt;=100,100,(Backdoors!AI12+IF(EE40&gt;=0.45,VLOOKUP(Calculator!E23,tbSkills!DH3:DI6,2,FALSE)+IF(AND(Calculator!B8=TRUE,Backdoors!BI22=TRUE),VLOOKUP(Calculator!E23,tbSkills!DH3:DJ6,3,FALSE),0),0)))/100)),1),1)</f>
        <v>0.5</v>
      </c>
      <c r="EK40" s="87">
        <f t="shared" si="12"/>
        <v>0</v>
      </c>
      <c r="EL40" s="86" t="str">
        <f>IFERROR(IF(VLOOKUP(A40,tbMoveset!A2:B112,2,FALSE)="Sever",Backdoors!AY23/100,IF(VLOOKUP(A40,tbMoveset!A2:B112,2,FALSE)="Blunt",Backdoors!AZ23/100,Backdoors!BA23/100)),"")</f>
        <v/>
      </c>
      <c r="EM40" s="49">
        <f>IFERROR(IF(VLOOKUP(tbMoveset!A40,tbMoveset!A2:H112,8,FALSE)="Other",IF(VLOOKUP(tbMoveset!A40,tbMoveset!A2:I112,9,FALSE)="Fire",Backdoors!BB23,IF(VLOOKUP(tbMoveset!A40,tbMoveset!A2:I112,9,FALSE)="Water",Backdoors!BC23,IF(VLOOKUP(tbMoveset!A40,tbMoveset!A2:I112,9,FALSE)="Thunder",Backdoors!BD23,IF(VLOOKUP(tbMoveset!A40,tbMoveset!A2:I112,9,FALSE)="Ice",Backdoors!BE23,IF(VLOOKUP(tbMoveset!A40,tbMoveset!A2:I112,9,FALSE)="Dragon",Backdoors!BF23,Backdoors!BG23)))))/100,Backdoors!BG23/100),"")</f>
        <v>0</v>
      </c>
      <c r="EN40" s="49">
        <f>IFERROR(IF(VLOOKUP(A40,tbMoveset!A2:J112,10,FALSE)=TRUE,IF((Backdoors!AI12+IF(EL40&gt;=0.45,VLOOKUP(Calculator!E23,tbSkills!DH3:DI6,2,FALSE)+IF(AND(Calculator!B8=TRUE,Backdoors!BI23=TRUE),VLOOKUP(Calculator!E23,tbSkills!DH3:DJ6,3,FALSE),0),0))&gt;=0,1+(Backdoors!AL2*(IF((Backdoors!AI12+IF(EL40&gt;=0.45,VLOOKUP(Calculator!E23,tbSkills!DH3:DI6,2,FALSE)+IF(AND(Calculator!B8=TRUE,Backdoors!BI23=TRUE),VLOOKUP(Calculator!E23,tbSkills!DH3:DJ6,3,FALSE),0),0))&gt;=100,100,(Backdoors!AI12+IF(EL40&gt;=0.45,VLOOKUP(Calculator!E23,tbSkills!DH3:DI6,2,FALSE)+IF(AND(Calculator!B8=TRUE,Backdoors!BI23=TRUE),VLOOKUP(Calculator!E23,tbSkills!DH3:DJ6,3,FALSE),0),0)))/100)),(1-(0.25*((-Backdoors!AI12-IF(EL40&gt;=0.45,VLOOKUP(Calculator!E23,tbSkills!DH3:DI6,2,FALSE)+IF(AND(Calculator!B8=TRUE,Backdoors!BI23=TRUE),VLOOKUP(Calculator!E23,tbSkills!DH3:DJ6,3,FALSE),0),0))/100)))),1),"")</f>
        <v>1</v>
      </c>
      <c r="EO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L40)*EN40)*(VLOOKUP(A40,tbMoveset!A2:C112,3,FALSE)/100)*IF(VLOOKUP(A40,tbMoveset!A2:B112,2,FALSE)="Projectile",Backdoors!N10,Backdoors!N9),0),"")</f>
        <v/>
      </c>
      <c r="EP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L40&gt;=0.45,VLOOKUP(Calculator!E23,tbSkills!DH3:DI6,2,FALSE)+IF(AND(Calculator!B8=TRUE,Backdoors!BI23=TRUE),VLOOKUP(Calculator!E23,tbSkills!DH3:DJ6,3,FALSE),0),0))&gt;=100,100,(Backdoors!AI12+IF(EL40&gt;=0.45,VLOOKUP(Calculator!E23,tbSkills!DH3:DI6,2,FALSE)+IF(AND(Calculator!B8=TRUE,Backdoors!BI23=TRUE),VLOOKUP(Calculator!E23,tbSkills!DH3:DJ6,3,FALSE),0),0)))/100)),1))*IF(VLOOKUP(A40,tbMoveset!A2:K112,11,FALSE)=TRUE,Backdoors!AC5,1))*EM40,0),"")</f>
        <v>0</v>
      </c>
      <c r="EQ40" s="49">
        <f>VLOOKUP(A40,tbMoveset!A2:G112,7,FALSE)*IFERROR(IF(Backdoors!AI12&gt;=0,1+(IF(Calculator!E40&gt;0,VLOOKUP(Calculator!E40,tbSkills!AI3:AJ5,2,FALSE),Backdoors!AL4)*(IF((Backdoors!AI12+IF(EL40&gt;=0.45,VLOOKUP(Calculator!E23,tbSkills!DH3:DI6,2,FALSE)+IF(AND(Calculator!B8=TRUE,Backdoors!BI23=TRUE),VLOOKUP(Calculator!E23,tbSkills!DH3:DJ6,3,FALSE),0),0))&gt;=100,100,(Backdoors!AI12+IF(EL40&gt;=0.45,VLOOKUP(Calculator!E23,tbSkills!DH3:DI6,2,FALSE)+IF(AND(Calculator!B8=TRUE,Backdoors!BI23=TRUE),VLOOKUP(Calculator!E23,tbSkills!DH3:DJ6,3,FALSE),0),0)))/100)),1),1)</f>
        <v>0.5</v>
      </c>
      <c r="ER40" s="87">
        <f t="shared" si="13"/>
        <v>0</v>
      </c>
      <c r="ES40" s="86" t="str">
        <f>IFERROR(IF(VLOOKUP(A40,tbMoveset!A2:B112,2,FALSE)="Sever",Backdoors!AY24/100,IF(VLOOKUP(A40,tbMoveset!A2:B112,2,FALSE)="Blunt",Backdoors!AZ24/100,Backdoors!BA24/100)),"")</f>
        <v/>
      </c>
      <c r="ET40" s="49">
        <f>IFERROR(IF(VLOOKUP(tbMoveset!A40,tbMoveset!A2:H112,8,FALSE)="Other",IF(VLOOKUP(tbMoveset!A40,tbMoveset!A2:I112,9,FALSE)="Fire",Backdoors!BB24,IF(VLOOKUP(tbMoveset!A40,tbMoveset!A2:I112,9,FALSE)="Water",Backdoors!BC24,IF(VLOOKUP(tbMoveset!A40,tbMoveset!A2:I112,9,FALSE)="Thunder",Backdoors!BD24,IF(VLOOKUP(tbMoveset!A40,tbMoveset!A2:I112,9,FALSE)="Ice",Backdoors!BE24,IF(VLOOKUP(tbMoveset!A40,tbMoveset!A2:I112,9,FALSE)="Dragon",Backdoors!BF24,Backdoors!BG24)))))/100,Backdoors!BG24/100),"")</f>
        <v>0</v>
      </c>
      <c r="EU40" s="49">
        <f>IFERROR(IF(VLOOKUP(A40,tbMoveset!A2:J112,10,FALSE)=TRUE,IF((Backdoors!AI12+IF(ES40&gt;=0.45,VLOOKUP(Calculator!E23,tbSkills!DH3:DI6,2,FALSE)+IF(AND(Calculator!B8=TRUE,Backdoors!BI24=TRUE),VLOOKUP(Calculator!E23,tbSkills!DH3:DJ6,3,FALSE),0),0))&gt;=0,1+(Backdoors!AL2*(IF((Backdoors!AI12+IF(ES40&gt;=0.45,VLOOKUP(Calculator!E23,tbSkills!DH3:DI6,2,FALSE)+IF(AND(Calculator!B8=TRUE,Backdoors!BI24=TRUE),VLOOKUP(Calculator!E23,tbSkills!DH3:DJ6,3,FALSE),0),0))&gt;=100,100,(Backdoors!AI12+IF(ES40&gt;=0.45,VLOOKUP(Calculator!E23,tbSkills!DH3:DI6,2,FALSE)+IF(AND(Calculator!B8=TRUE,Backdoors!BI24=TRUE),VLOOKUP(Calculator!E23,tbSkills!DH3:DJ6,3,FALSE),0),0)))/100)),(1-(0.25*((-Backdoors!AI12-IF(ES40&gt;=0.45,VLOOKUP(Calculator!E23,tbSkills!DH3:DI6,2,FALSE)+IF(AND(Calculator!B8=TRUE,Backdoors!BI24=TRUE),VLOOKUP(Calculator!E23,tbSkills!DH3:DJ6,3,FALSE),0),0))/100)))),1),"")</f>
        <v>1</v>
      </c>
      <c r="EV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S40)*EU40)*(VLOOKUP(A40,tbMoveset!A2:C112,3,FALSE)/100)*IF(VLOOKUP(A40,tbMoveset!A2:B112,2,FALSE)="Projectile",Backdoors!N10,Backdoors!N9),0),"")</f>
        <v/>
      </c>
      <c r="EW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S40&gt;=0.45,VLOOKUP(Calculator!E23,tbSkills!DH3:DI6,2,FALSE)+IF(AND(Calculator!B8=TRUE,Backdoors!BI24=TRUE),VLOOKUP(Calculator!E23,tbSkills!DH3:DJ6,3,FALSE),0),0))&gt;=100,100,(Backdoors!AI12+IF(ES40&gt;=0.45,VLOOKUP(Calculator!E23,tbSkills!DH3:DI6,2,FALSE)+IF(AND(Calculator!B8=TRUE,Backdoors!BI24=TRUE),VLOOKUP(Calculator!E23,tbSkills!DH3:DJ6,3,FALSE),0),0)))/100)),1))*IF(VLOOKUP(A40,tbMoveset!A2:K112,11,FALSE)=TRUE,Backdoors!AC5,1))*ET40,0),"")</f>
        <v>0</v>
      </c>
      <c r="EX40" s="49">
        <f>VLOOKUP(A40,tbMoveset!A2:G112,7,FALSE)*IFERROR(IF(Backdoors!AI12&gt;=0,1+(IF(Calculator!E40&gt;0,VLOOKUP(Calculator!E40,tbSkills!AI3:AJ5,2,FALSE),Backdoors!AL4)*(IF((Backdoors!AI12+IF(ES40&gt;=0.45,VLOOKUP(Calculator!E23,tbSkills!DH3:DI6,2,FALSE)+IF(AND(Calculator!B8=TRUE,Backdoors!BI24=TRUE),VLOOKUP(Calculator!E23,tbSkills!DH3:DJ6,3,FALSE),0),0))&gt;=100,100,(Backdoors!AI12+IF(ES40&gt;=0.45,VLOOKUP(Calculator!E23,tbSkills!DH3:DI6,2,FALSE)+IF(AND(Calculator!B8=TRUE,Backdoors!BI24=TRUE),VLOOKUP(Calculator!E23,tbSkills!DH3:DJ6,3,FALSE),0),0)))/100)),1),1)</f>
        <v>0.5</v>
      </c>
      <c r="EY40" s="87">
        <f t="shared" si="14"/>
        <v>0</v>
      </c>
      <c r="EZ40" s="86" t="str">
        <f>IFERROR(IF(VLOOKUP(A40,tbMoveset!A2:B112,2,FALSE)="Sever",Backdoors!AY25/100,IF(VLOOKUP(A40,tbMoveset!A2:B112,2,FALSE)="Blunt",Backdoors!AZ25/100,Backdoors!BA25/100)),"")</f>
        <v/>
      </c>
      <c r="FA40" s="49">
        <f>IFERROR(IF(VLOOKUP(tbMoveset!A40,tbMoveset!A2:H112,8,FALSE)="Other",IF(VLOOKUP(tbMoveset!A40,tbMoveset!A2:I112,9,FALSE)="Fire",Backdoors!BB25,IF(VLOOKUP(tbMoveset!A40,tbMoveset!A2:I112,9,FALSE)="Water",Backdoors!BC25,IF(VLOOKUP(tbMoveset!A40,tbMoveset!A2:I112,9,FALSE)="Thunder",Backdoors!BD25,IF(VLOOKUP(tbMoveset!A40,tbMoveset!A2:I112,9,FALSE)="Ice",Backdoors!BE25,IF(VLOOKUP(tbMoveset!A40,tbMoveset!A2:I112,9,FALSE)="Dragon",Backdoors!BF25,Backdoors!BG25)))))/100,Backdoors!BG25/100),"")</f>
        <v>0</v>
      </c>
      <c r="FB40" s="49">
        <f>IFERROR(IF(VLOOKUP(A40,tbMoveset!A2:J112,10,FALSE)=TRUE,IF((Backdoors!AI12+IF(EZ40&gt;=0.45,VLOOKUP(Calculator!E23,tbSkills!DH3:DI6,2,FALSE)+IF(AND(Calculator!B8=TRUE,Backdoors!BI25=TRUE),VLOOKUP(Calculator!E23,tbSkills!DH3:DJ6,3,FALSE),0),0))&gt;=0,1+(Backdoors!AL2*(IF((Backdoors!AI12+IF(EZ40&gt;=0.45,VLOOKUP(Calculator!E23,tbSkills!DH3:DI6,2,FALSE)+IF(AND(Calculator!B8=TRUE,Backdoors!BI25=TRUE),VLOOKUP(Calculator!E23,tbSkills!DH3:DJ6,3,FALSE),0),0))&gt;=100,100,(Backdoors!AI12+IF(EZ40&gt;=0.45,VLOOKUP(Calculator!E23,tbSkills!DH3:DI6,2,FALSE)+IF(AND(Calculator!B8=TRUE,Backdoors!BI25=TRUE),VLOOKUP(Calculator!E23,tbSkills!DH3:DJ6,3,FALSE),0),0)))/100)),(1-(0.25*((-Backdoors!AI12-IF(EZ40&gt;=0.45,VLOOKUP(Calculator!E23,tbSkills!DH3:DI6,2,FALSE)+IF(AND(Calculator!B8=TRUE,Backdoors!BI25=TRUE),VLOOKUP(Calculator!E23,tbSkills!DH3:DJ6,3,FALSE),0),0))/100)))),1),"")</f>
        <v>1</v>
      </c>
      <c r="FC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Z40)*FB40)*(VLOOKUP(A40,tbMoveset!A2:C112,3,FALSE)/100)*IF(VLOOKUP(A40,tbMoveset!A2:B112,2,FALSE)="Projectile",Backdoors!N10,Backdoors!N9),0),"")</f>
        <v/>
      </c>
      <c r="FD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Z40&gt;=0.45,VLOOKUP(Calculator!E23,tbSkills!DH3:DI6,2,FALSE)+IF(AND(Calculator!B8=TRUE,Backdoors!BI25=TRUE),VLOOKUP(Calculator!E23,tbSkills!DH3:DJ6,3,FALSE),0),0))&gt;=100,100,(Backdoors!AI12+IF(EZ40&gt;=0.45,VLOOKUP(Calculator!E23,tbSkills!DH3:DI6,2,FALSE)+IF(AND(Calculator!B8=TRUE,Backdoors!BI25=TRUE),VLOOKUP(Calculator!E23,tbSkills!DH3:DJ6,3,FALSE),0),0)))/100)),1))*IF(VLOOKUP(A40,tbMoveset!A2:K112,11,FALSE)=TRUE,Backdoors!AC5,1))*FA40,0),"")</f>
        <v>0</v>
      </c>
      <c r="FE40" s="49">
        <f>VLOOKUP(A40,tbMoveset!A2:G112,7,FALSE)*IFERROR(IF(Backdoors!AI12&gt;=0,1+(IF(Calculator!E40&gt;0,VLOOKUP(Calculator!E40,tbSkills!AI3:AJ5,2,FALSE),Backdoors!AL4)*(IF((Backdoors!AI12+IF(EZ40&gt;=0.45,VLOOKUP(Calculator!E23,tbSkills!DH3:DI6,2,FALSE)+IF(AND(Calculator!B8=TRUE,Backdoors!BI25=TRUE),VLOOKUP(Calculator!E23,tbSkills!DH3:DJ6,3,FALSE),0),0))&gt;=100,100,(Backdoors!AI12+IF(EZ40&gt;=0.45,VLOOKUP(Calculator!E23,tbSkills!DH3:DI6,2,FALSE)+IF(AND(Calculator!B8=TRUE,Backdoors!BI25=TRUE),VLOOKUP(Calculator!E23,tbSkills!DH3:DJ6,3,FALSE),0),0)))/100)),1),1)</f>
        <v>0.5</v>
      </c>
      <c r="FF40" s="87">
        <f t="shared" si="15"/>
        <v>0</v>
      </c>
      <c r="FG40" s="86" t="str">
        <f>IFERROR(IF(VLOOKUP(A40,tbMoveset!A2:B112,2,FALSE)="Sever",Backdoors!AY26/100,IF(VLOOKUP(A40,tbMoveset!A2:B112,2,FALSE)="Blunt",Backdoors!AZ26/100,Backdoors!BA26/100)),"")</f>
        <v/>
      </c>
      <c r="FH40" s="49">
        <f>IFERROR(IF(VLOOKUP(tbMoveset!A40,tbMoveset!A2:H112,8,FALSE)="Other",IF(VLOOKUP(tbMoveset!A40,tbMoveset!A2:I112,9,FALSE)="Fire",Backdoors!BB26,IF(VLOOKUP(tbMoveset!A40,tbMoveset!A2:I112,9,FALSE)="Water",Backdoors!BC26,IF(VLOOKUP(tbMoveset!A40,tbMoveset!A2:I112,9,FALSE)="Thunder",Backdoors!BD26,IF(VLOOKUP(tbMoveset!A40,tbMoveset!A2:I112,9,FALSE)="Ice",Backdoors!BE26,IF(VLOOKUP(tbMoveset!A40,tbMoveset!A2:I112,9,FALSE)="Dragon",Backdoors!BF26,Backdoors!BG26)))))/100,Backdoors!BG26/100),"")</f>
        <v>0</v>
      </c>
      <c r="FI40" s="49">
        <f>IFERROR(IF(VLOOKUP(A40,tbMoveset!A2:J112,10,FALSE)=TRUE,IF((Backdoors!AI12+IF(FG40&gt;=0.45,VLOOKUP(Calculator!E23,tbSkills!DH3:DI6,2,FALSE)+IF(AND(Calculator!B8=TRUE,Backdoors!BI26=TRUE),VLOOKUP(Calculator!E23,tbSkills!DH3:DJ6,3,FALSE),0),0))&gt;=0,1+(Backdoors!AL2*(IF((Backdoors!AI12+IF(FG40&gt;=0.45,VLOOKUP(Calculator!E23,tbSkills!DH3:DI6,2,FALSE)+IF(AND(Calculator!B8=TRUE,Backdoors!BI26=TRUE),VLOOKUP(Calculator!E23,tbSkills!DH3:DJ6,3,FALSE),0),0))&gt;=100,100,(Backdoors!AI12+IF(FG40&gt;=0.45,VLOOKUP(Calculator!E23,tbSkills!DH3:DI6,2,FALSE)+IF(AND(Calculator!B8=TRUE,Backdoors!BI26=TRUE),VLOOKUP(Calculator!E23,tbSkills!DH3:DJ6,3,FALSE),0),0)))/100)),(1-(0.25*((-Backdoors!AI12-IF(FG40&gt;=0.45,VLOOKUP(Calculator!E23,tbSkills!DH3:DI6,2,FALSE)+IF(AND(Calculator!B8=TRUE,Backdoors!BI26=TRUE),VLOOKUP(Calculator!E23,tbSkills!DH3:DJ6,3,FALSE),0),0))/100)))),1),"")</f>
        <v>1</v>
      </c>
      <c r="FJ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FG40)*FI40)*(VLOOKUP(A40,tbMoveset!A2:C112,3,FALSE)/100)*IF(VLOOKUP(A40,tbMoveset!A2:B112,2,FALSE)="Projectile",Backdoors!N10,Backdoors!N9),0),"")</f>
        <v/>
      </c>
      <c r="FK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FG40&gt;=0.45,VLOOKUP(Calculator!E23,tbSkills!DH3:DI6,2,FALSE)+IF(AND(Calculator!B8=TRUE,Backdoors!BI26=TRUE),VLOOKUP(Calculator!E23,tbSkills!DH3:DJ6,3,FALSE),0),0))&gt;=100,100,(Backdoors!AI12+IF(FG40&gt;=0.45,VLOOKUP(Calculator!E23,tbSkills!DH3:DI6,2,FALSE)+IF(AND(Calculator!B8=TRUE,Backdoors!BI26=TRUE),VLOOKUP(Calculator!E23,tbSkills!DH3:DJ6,3,FALSE),0),0)))/100)),1))*IF(VLOOKUP(A40,tbMoveset!A2:K112,11,FALSE)=TRUE,Backdoors!AC5,1))*FH40,0),"")</f>
        <v>0</v>
      </c>
      <c r="FL40" s="49">
        <f>VLOOKUP(A40,tbMoveset!A2:G112,7,FALSE)*IFERROR(IF(Backdoors!AI12&gt;=0,1+(IF(Calculator!E40&gt;0,VLOOKUP(Calculator!E40,tbSkills!AI3:AJ5,2,FALSE),Backdoors!AL4)*(IF((Backdoors!AI12+IF(FG40&gt;=0.45,VLOOKUP(Calculator!E23,tbSkills!DH3:DI6,2,FALSE)+IF(AND(Calculator!B8=TRUE,Backdoors!BI26=TRUE),VLOOKUP(Calculator!E23,tbSkills!DH3:DJ6,3,FALSE),0),0))&gt;=100,100,(Backdoors!AI12+IF(FG40&gt;=0.45,VLOOKUP(Calculator!E23,tbSkills!DH3:DI6,2,FALSE)+IF(AND(Calculator!B8=TRUE,Backdoors!BI26=TRUE),VLOOKUP(Calculator!E23,tbSkills!DH3:DJ6,3,FALSE),0),0)))/100)),1),1)</f>
        <v>0.5</v>
      </c>
      <c r="FM40" s="87">
        <f t="shared" si="16"/>
        <v>0</v>
      </c>
      <c r="FN40" s="86" t="str">
        <f>IFERROR(IF(VLOOKUP(A40,tbMoveset!A2:B112,2,FALSE)="Sever",Backdoors!AY27/100,IF(VLOOKUP(A40,tbMoveset!A2:B112,2,FALSE)="Blunt",Backdoors!AZ27/100,Backdoors!BA27/100)),"")</f>
        <v/>
      </c>
      <c r="FO40" s="49">
        <f>IFERROR(IF(VLOOKUP(tbMoveset!A40,tbMoveset!A2:H112,8,FALSE)="Other",IF(VLOOKUP(tbMoveset!A40,tbMoveset!A2:I112,9,FALSE)="Fire",Backdoors!BB27,IF(VLOOKUP(tbMoveset!A40,tbMoveset!A2:I112,9,FALSE)="Water",Backdoors!BC27,IF(VLOOKUP(tbMoveset!A40,tbMoveset!A2:I112,9,FALSE)="Thunder",Backdoors!BD27,IF(VLOOKUP(tbMoveset!A40,tbMoveset!A2:I112,9,FALSE)="Ice",Backdoors!BE27,IF(VLOOKUP(tbMoveset!A40,tbMoveset!A2:I112,9,FALSE)="Dragon",Backdoors!BF27,Backdoors!BG27)))))/100,Backdoors!BG27/100),"")</f>
        <v>0</v>
      </c>
      <c r="FP40" s="49">
        <f>IFERROR(IF(VLOOKUP(A40,tbMoveset!A2:J112,10,FALSE)=TRUE,IF((Backdoors!AI12+IF(FN40&gt;=0.45,VLOOKUP(Calculator!E23,tbSkills!DH3:DI6,2,FALSE)+IF(AND(Calculator!B8=TRUE,Backdoors!BI27=TRUE),VLOOKUP(Calculator!E23,tbSkills!DH3:DJ6,3,FALSE),0),0))&gt;=0,1+(Backdoors!AL2*(IF((Backdoors!AI12+IF(FN40&gt;=0.45,VLOOKUP(Calculator!E23,tbSkills!DH3:DI6,2,FALSE)+IF(AND(Calculator!B8=TRUE,Backdoors!BI27=TRUE),VLOOKUP(Calculator!E23,tbSkills!DH3:DJ6,3,FALSE),0),0))&gt;=100,100,(Backdoors!AI12+IF(FN40&gt;=0.45,VLOOKUP(Calculator!E23,tbSkills!DH3:DI6,2,FALSE)+IF(AND(Calculator!B8=TRUE,Backdoors!BI27=TRUE),VLOOKUP(Calculator!E23,tbSkills!DH3:DJ6,3,FALSE),0),0)))/100)),(1-(0.25*((-Backdoors!AI12-IF(FN40&gt;=0.45,VLOOKUP(Calculator!E23,tbSkills!DH3:DI6,2,FALSE)+IF(AND(Calculator!B8=TRUE,Backdoors!BI27=TRUE),VLOOKUP(Calculator!E23,tbSkills!DH3:DJ6,3,FALSE),0),0))/100)))),1),"")</f>
        <v>1</v>
      </c>
      <c r="FQ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FN40)*FP40)*(VLOOKUP(A40,tbMoveset!A2:C112,3,FALSE)/100)*IF(VLOOKUP(A40,tbMoveset!A2:B112,2,FALSE)="Projectile",Backdoors!N10,Backdoors!N9),0),"")</f>
        <v/>
      </c>
      <c r="FR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FN40&gt;=0.45,VLOOKUP(Calculator!E23,tbSkills!DH3:DI6,2,FALSE)+IF(AND(Calculator!B8=TRUE,Backdoors!BI27=TRUE),VLOOKUP(Calculator!E23,tbSkills!DH3:DJ6,3,FALSE),0),0))&gt;=100,100,(Backdoors!AI12+IF(FN40&gt;=0.45,VLOOKUP(Calculator!E23,tbSkills!DH3:DI6,2,FALSE)+IF(AND(Calculator!B8=TRUE,Backdoors!BI27=TRUE),VLOOKUP(Calculator!E23,tbSkills!DH3:DJ6,3,FALSE),0),0)))/100)),1))*IF(VLOOKUP(A40,tbMoveset!A2:K112,11,FALSE)=TRUE,Backdoors!AC5,1))*FO40,0),"")</f>
        <v>0</v>
      </c>
      <c r="FS40" s="49">
        <f>VLOOKUP(A40,tbMoveset!A2:G112,7,FALSE)*IFERROR(IF(Backdoors!AI12&gt;=0,1+(IF(Calculator!E40&gt;0,VLOOKUP(Calculator!E40,tbSkills!AI3:AJ5,2,FALSE),Backdoors!AL4)*(IF((Backdoors!AI12+IF(FN40&gt;=0.45,VLOOKUP(Calculator!E23,tbSkills!DH3:DI6,2,FALSE)+IF(AND(Calculator!B8=TRUE,Backdoors!BI27=TRUE),VLOOKUP(Calculator!E23,tbSkills!DH3:DJ6,3,FALSE),0),0))&gt;=100,100,(Backdoors!AI12+IF(FN40&gt;=0.45,VLOOKUP(Calculator!E23,tbSkills!DH3:DI6,2,FALSE)+IF(AND(Calculator!B8=TRUE,Backdoors!BI27=TRUE),VLOOKUP(Calculator!E23,tbSkills!DH3:DJ6,3,FALSE),0),0)))/100)),1),1)</f>
        <v>0.5</v>
      </c>
      <c r="FT40" s="87">
        <f t="shared" si="17"/>
        <v>0</v>
      </c>
      <c r="FU40" s="86" t="str">
        <f>IFERROR(IF(VLOOKUP(A40,tbMoveset!A2:B112,2,FALSE)="Sever",Backdoors!AY28/100,IF(VLOOKUP(A40,tbMoveset!A2:B112,2,FALSE)="Blunt",Backdoors!AZ28/100,Backdoors!BA28/100)),"")</f>
        <v/>
      </c>
      <c r="FV40" s="49">
        <f>IFERROR(IF(VLOOKUP(tbMoveset!A40,tbMoveset!A2:H112,8,FALSE)="Other",IF(VLOOKUP(tbMoveset!A40,tbMoveset!A2:I112,9,FALSE)="Fire",Backdoors!BB28,IF(VLOOKUP(tbMoveset!A40,tbMoveset!A2:I112,9,FALSE)="Water",Backdoors!BC28,IF(VLOOKUP(tbMoveset!A40,tbMoveset!A2:I112,9,FALSE)="Thunder",Backdoors!BD28,IF(VLOOKUP(tbMoveset!A40,tbMoveset!A2:I112,9,FALSE)="Ice",Backdoors!BE28,IF(VLOOKUP(tbMoveset!A40,tbMoveset!A2:I112,9,FALSE)="Dragon",Backdoors!BF28,Backdoors!BG28)))))/100,Backdoors!BG28/100),"")</f>
        <v>0</v>
      </c>
      <c r="FW40" s="49">
        <f>IFERROR(IF(VLOOKUP(A40,tbMoveset!A2:J112,10,FALSE)=TRUE,IF((Backdoors!AI12+IF(FU40&gt;=0.45,VLOOKUP(Calculator!E23,tbSkills!DH3:DI6,2,FALSE)+IF(AND(Calculator!B8=TRUE,Backdoors!BI28=TRUE),VLOOKUP(Calculator!E23,tbSkills!DH3:DJ6,3,FALSE),0),0))&gt;=0,1+(Backdoors!AL2*(IF((Backdoors!AI12+IF(FU40&gt;=0.45,VLOOKUP(Calculator!E23,tbSkills!DH3:DI6,2,FALSE)+IF(AND(Calculator!B8=TRUE,Backdoors!BI28=TRUE),VLOOKUP(Calculator!E23,tbSkills!DH3:DJ6,3,FALSE),0),0))&gt;=100,100,(Backdoors!AI12+IF(FU40&gt;=0.45,VLOOKUP(Calculator!E23,tbSkills!DH3:DI6,2,FALSE)+IF(AND(Calculator!B8=TRUE,Backdoors!BI28=TRUE),VLOOKUP(Calculator!E23,tbSkills!DH3:DJ6,3,FALSE),0),0)))/100)),(1-(0.25*((-Backdoors!AI12-IF(FU40&gt;=0.45,VLOOKUP(Calculator!E23,tbSkills!DH3:DI6,2,FALSE)+IF(AND(Calculator!B8=TRUE,Backdoors!BI28=TRUE),VLOOKUP(Calculator!E23,tbSkills!DH3:DJ6,3,FALSE),0),0))/100)))),1),"")</f>
        <v>1</v>
      </c>
      <c r="FX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FU40)*FW40)*(VLOOKUP(A40,tbMoveset!A2:C112,3,FALSE)/100)*IF(VLOOKUP(A40,tbMoveset!A2:B112,2,FALSE)="Projectile",Backdoors!N10,Backdoors!N9),0),"")</f>
        <v/>
      </c>
      <c r="FY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FU40&gt;=0.45,VLOOKUP(Calculator!E23,tbSkills!DH3:DI6,2,FALSE)+IF(AND(Calculator!B8=TRUE,Backdoors!BI28=TRUE),VLOOKUP(Calculator!E23,tbSkills!DH3:DJ6,3,FALSE),0),0))&gt;=100,100,(Backdoors!AI12+IF(FU40&gt;=0.45,VLOOKUP(Calculator!E23,tbSkills!DH3:DI6,2,FALSE)+IF(AND(Calculator!B8=TRUE,Backdoors!BI28=TRUE),VLOOKUP(Calculator!E23,tbSkills!DH3:DJ6,3,FALSE),0),0)))/100)),1))*IF(VLOOKUP(A40,tbMoveset!A2:K112,11,FALSE)=TRUE,Backdoors!AC5,1))*FV40,0),"")</f>
        <v>0</v>
      </c>
      <c r="FZ40" s="49">
        <f>VLOOKUP(A40,tbMoveset!A2:G112,7,FALSE)*IFERROR(IF(Backdoors!AI12&gt;=0,1+(IF(Calculator!E40&gt;0,VLOOKUP(Calculator!E40,tbSkills!AI3:AJ5,2,FALSE),Backdoors!AL4)*(IF((Backdoors!AI12+IF(FU40&gt;=0.45,VLOOKUP(Calculator!E23,tbSkills!DH3:DI6,2,FALSE)+IF(AND(Calculator!B8=TRUE,Backdoors!BI28=TRUE),VLOOKUP(Calculator!E23,tbSkills!DH3:DJ6,3,FALSE),0),0))&gt;=100,100,(Backdoors!AI12+IF(FU40&gt;=0.45,VLOOKUP(Calculator!E23,tbSkills!DH3:DI6,2,FALSE)+IF(AND(Calculator!B8=TRUE,Backdoors!BI28=TRUE),VLOOKUP(Calculator!E23,tbSkills!DH3:DJ6,3,FALSE),0),0)))/100)),1),1)</f>
        <v>0.5</v>
      </c>
      <c r="GA40" s="87">
        <f t="shared" si="18"/>
        <v>0</v>
      </c>
      <c r="GB40" s="86" t="str">
        <f>IFERROR(IF(VLOOKUP(A40,tbMoveset!A2:B112,2,FALSE)="Sever",Backdoors!AY29/100,IF(VLOOKUP(A40,tbMoveset!A2:B112,2,FALSE)="Blunt",Backdoors!AZ29/100,Backdoors!BA29/100)),"")</f>
        <v/>
      </c>
      <c r="GC40" s="49">
        <f>IFERROR(IF(VLOOKUP(tbMoveset!A40,tbMoveset!A2:H112,8,FALSE)="Other",IF(VLOOKUP(tbMoveset!A40,tbMoveset!A2:I112,9,FALSE)="Fire",Backdoors!BB29,IF(VLOOKUP(tbMoveset!A40,tbMoveset!A2:I112,9,FALSE)="Water",Backdoors!BC29,IF(VLOOKUP(tbMoveset!A40,tbMoveset!A2:I112,9,FALSE)="Thunder",Backdoors!BD29,IF(VLOOKUP(tbMoveset!A40,tbMoveset!A2:I112,9,FALSE)="Ice",Backdoors!BE29,IF(VLOOKUP(tbMoveset!A40,tbMoveset!A2:I112,9,FALSE)="Dragon",Backdoors!BF29,Backdoors!BG29)))))/100,Backdoors!BG29/100),"")</f>
        <v>0</v>
      </c>
      <c r="GD40" s="49">
        <f>IFERROR(IF(VLOOKUP(A40,tbMoveset!A2:J112,10,FALSE)=TRUE,IF((Backdoors!AI12+IF(GB40&gt;=0.45,VLOOKUP(Calculator!E23,tbSkills!DH3:DI6,2,FALSE)+IF(AND(Calculator!B8=TRUE,Backdoors!BI29=TRUE),VLOOKUP(Calculator!E23,tbSkills!DH3:DJ6,3,FALSE),0),0))&gt;=0,1+(Backdoors!AL2*(IF((Backdoors!AI12+IF(GB40&gt;=0.45,VLOOKUP(Calculator!E23,tbSkills!DH3:DI6,2,FALSE)+IF(AND(Calculator!B8=TRUE,Backdoors!BI29=TRUE),VLOOKUP(Calculator!E23,tbSkills!DH3:DJ6,3,FALSE),0),0))&gt;=100,100,(Backdoors!AI12+IF(GB40&gt;=0.45,VLOOKUP(Calculator!E23,tbSkills!DH3:DI6,2,FALSE)+IF(AND(Calculator!B8=TRUE,Backdoors!BI29=TRUE),VLOOKUP(Calculator!E23,tbSkills!DH3:DJ6,3,FALSE),0),0)))/100)),(1-(0.25*((-Backdoors!AI12-IF(GB40&gt;=0.45,VLOOKUP(Calculator!E23,tbSkills!DH3:DI6,2,FALSE)+IF(AND(Calculator!B8=TRUE,Backdoors!BI29=TRUE),VLOOKUP(Calculator!E23,tbSkills!DH3:DJ6,3,FALSE),0),0))/100)))),1),"")</f>
        <v>1</v>
      </c>
      <c r="GE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B40)*GD40)*(VLOOKUP(A40,tbMoveset!A2:C112,3,FALSE)/100)*IF(VLOOKUP(A40,tbMoveset!A2:B112,2,FALSE)="Projectile",Backdoors!N10,Backdoors!N9),0),"")</f>
        <v/>
      </c>
      <c r="GF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B40&gt;=0.45,VLOOKUP(Calculator!E23,tbSkills!DH3:DI6,2,FALSE)+IF(AND(Calculator!B8=TRUE,Backdoors!BI29=TRUE),VLOOKUP(Calculator!E23,tbSkills!DH3:DJ6,3,FALSE),0),0))&gt;=100,100,(Backdoors!AI12+IF(GB40&gt;=0.45,VLOOKUP(Calculator!E23,tbSkills!DH3:DI6,2,FALSE)+IF(AND(Calculator!B8=TRUE,Backdoors!BI29=TRUE),VLOOKUP(Calculator!E23,tbSkills!DH3:DJ6,3,FALSE),0),0)))/100)),1))*IF(VLOOKUP(A40,tbMoveset!A2:K112,11,FALSE)=TRUE,Backdoors!AC5,1))*GC40,0),"")</f>
        <v>0</v>
      </c>
      <c r="GG40" s="49">
        <f>VLOOKUP(A40,tbMoveset!A2:G112,7,FALSE)*IFERROR(IF(Backdoors!AI12&gt;=0,1+(IF(Calculator!E40&gt;0,VLOOKUP(Calculator!E40,tbSkills!AI3:AJ5,2,FALSE),Backdoors!AL4)*(IF((Backdoors!AI12+IF(GB40&gt;=0.45,VLOOKUP(Calculator!E23,tbSkills!DH3:DI6,2,FALSE)+IF(AND(Calculator!B8=TRUE,Backdoors!BI29=TRUE),VLOOKUP(Calculator!E23,tbSkills!DH3:DJ6,3,FALSE),0),0))&gt;=100,100,(Backdoors!AI12+IF(GB40&gt;=0.45,VLOOKUP(Calculator!E23,tbSkills!DH3:DI6,2,FALSE)+IF(AND(Calculator!B8=TRUE,Backdoors!BI29=TRUE),VLOOKUP(Calculator!E23,tbSkills!DH3:DJ6,3,FALSE),0),0)))/100)),1),1)</f>
        <v>0.5</v>
      </c>
      <c r="GH40" s="87">
        <f t="shared" si="19"/>
        <v>0</v>
      </c>
      <c r="GI40" s="86" t="str">
        <f>IFERROR(IF(VLOOKUP(A40,tbMoveset!A2:B112,2,FALSE)="Sever",Backdoors!AY30/100,IF(VLOOKUP(A40,tbMoveset!A2:B112,2,FALSE)="Blunt",Backdoors!AZ30/100,Backdoors!BA30/100)),"")</f>
        <v/>
      </c>
      <c r="GJ40" s="49">
        <f>IFERROR(IF(VLOOKUP(tbMoveset!A40,tbMoveset!A2:H112,8,FALSE)="Other",IF(VLOOKUP(tbMoveset!A40,tbMoveset!A2:I112,9,FALSE)="Fire",Backdoors!BB30,IF(VLOOKUP(tbMoveset!A40,tbMoveset!A2:I112,9,FALSE)="Water",Backdoors!BC30,IF(VLOOKUP(tbMoveset!A40,tbMoveset!A2:I112,9,FALSE)="Thunder",Backdoors!BD30,IF(VLOOKUP(tbMoveset!A40,tbMoveset!A2:I112,9,FALSE)="Ice",Backdoors!BE30,IF(VLOOKUP(tbMoveset!A40,tbMoveset!A2:I112,9,FALSE)="Dragon",Backdoors!BF30,Backdoors!BG30)))))/100,Backdoors!BG30/100),"")</f>
        <v>0</v>
      </c>
      <c r="GK40" s="49">
        <f>IFERROR(IF(VLOOKUP(A40,tbMoveset!A2:J112,10,FALSE)=TRUE,IF((Backdoors!AI12+IF(GI40&gt;=0.45,VLOOKUP(Calculator!E23,tbSkills!DH3:DI6,2,FALSE)+IF(AND(Calculator!B8=TRUE,Backdoors!BI30=TRUE),VLOOKUP(Calculator!E23,tbSkills!DH3:DJ6,3,FALSE),0),0))&gt;=0,1+(Backdoors!AL2*(IF((Backdoors!AI12+IF(GI40&gt;=0.45,VLOOKUP(Calculator!E23,tbSkills!DH3:DI6,2,FALSE)+IF(AND(Calculator!B8=TRUE,Backdoors!BI30=TRUE),VLOOKUP(Calculator!E23,tbSkills!DH3:DJ6,3,FALSE),0),0))&gt;=100,100,(Backdoors!AI12+IF(GI40&gt;=0.45,VLOOKUP(Calculator!E23,tbSkills!DH3:DI6,2,FALSE)+IF(AND(Calculator!B8=TRUE,Backdoors!BI30=TRUE),VLOOKUP(Calculator!E23,tbSkills!DH3:DJ6,3,FALSE),0),0)))/100)),(1-(0.25*((-Backdoors!AI12-IF(GI40&gt;=0.45,VLOOKUP(Calculator!E23,tbSkills!DH3:DI6,2,FALSE)+IF(AND(Calculator!B8=TRUE,Backdoors!BI30=TRUE),VLOOKUP(Calculator!E23,tbSkills!DH3:DJ6,3,FALSE),0),0))/100)))),1),"")</f>
        <v>1</v>
      </c>
      <c r="GL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I40)*GK40)*(VLOOKUP(A40,tbMoveset!A2:C112,3,FALSE)/100)*IF(VLOOKUP(A40,tbMoveset!A2:B112,2,FALSE)="Projectile",Backdoors!N10,Backdoors!N9),0),"")</f>
        <v/>
      </c>
      <c r="GM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I40&gt;=0.45,VLOOKUP(Calculator!E23,tbSkills!DH3:DI6,2,FALSE)+IF(AND(Calculator!B8=TRUE,Backdoors!BI30=TRUE),VLOOKUP(Calculator!E23,tbSkills!DH3:DJ6,3,FALSE),0),0))&gt;=100,100,(Backdoors!AI12+IF(GI40&gt;=0.45,VLOOKUP(Calculator!E23,tbSkills!DH3:DI6,2,FALSE)+IF(AND(Calculator!B8=TRUE,Backdoors!BI30=TRUE),VLOOKUP(Calculator!E23,tbSkills!DH3:DJ6,3,FALSE),0),0)))/100)),1))*IF(VLOOKUP(A40,tbMoveset!A2:K112,11,FALSE)=TRUE,Backdoors!AC5,1))*GJ40,0),"")</f>
        <v>0</v>
      </c>
      <c r="GN40" s="49">
        <f>VLOOKUP(A40,tbMoveset!A2:G112,7,FALSE)*IFERROR(IF(Backdoors!AI12&gt;=0,1+(IF(Calculator!E40&gt;0,VLOOKUP(Calculator!E40,tbSkills!AI3:AJ5,2,FALSE),Backdoors!AL4)*(IF((Backdoors!AI12+IF(GI40&gt;=0.45,VLOOKUP(Calculator!E23,tbSkills!DH3:DI6,2,FALSE)+IF(AND(Calculator!B8=TRUE,Backdoors!BI30=TRUE),VLOOKUP(Calculator!E23,tbSkills!DH3:DJ6,3,FALSE),0),0))&gt;=100,100,(Backdoors!AI12+IF(GI40&gt;=0.45,VLOOKUP(Calculator!E23,tbSkills!DH3:DI6,2,FALSE)+IF(AND(Calculator!B8=TRUE,Backdoors!BI30=TRUE),VLOOKUP(Calculator!E23,tbSkills!DH3:DJ6,3,FALSE),0),0)))/100)),1),1)</f>
        <v>0.5</v>
      </c>
      <c r="GO40" s="87">
        <f t="shared" si="20"/>
        <v>0</v>
      </c>
      <c r="GP40" s="86" t="str">
        <f>IFERROR(IF(VLOOKUP(A40,tbMoveset!A2:B112,2,FALSE)="Sever",Backdoors!AY31/100,IF(VLOOKUP(A40,tbMoveset!A2:B112,2,FALSE)="Blunt",Backdoors!AZ31/100,Backdoors!BA31/100)),"")</f>
        <v/>
      </c>
      <c r="GQ40" s="49">
        <f>IFERROR(IF(VLOOKUP(tbMoveset!A40,tbMoveset!A2:H112,8,FALSE)="Other",IF(VLOOKUP(tbMoveset!A40,tbMoveset!A2:I112,9,FALSE)="Fire",Backdoors!BB31,IF(VLOOKUP(tbMoveset!A40,tbMoveset!A2:I112,9,FALSE)="Water",Backdoors!BC31,IF(VLOOKUP(tbMoveset!A40,tbMoveset!A2:I112,9,FALSE)="Thunder",Backdoors!BD31,IF(VLOOKUP(tbMoveset!A40,tbMoveset!A2:I112,9,FALSE)="Ice",Backdoors!BE31,IF(VLOOKUP(tbMoveset!A40,tbMoveset!A2:I112,9,FALSE)="Dragon",Backdoors!BF31,Backdoors!BG31)))))/100,Backdoors!BG31/100),"")</f>
        <v>0</v>
      </c>
      <c r="GR40" s="49">
        <f>IFERROR(IF(VLOOKUP(A40,tbMoveset!A2:J112,10,FALSE)=TRUE,IF((Backdoors!AI12+IF(GP40&gt;=0.45,VLOOKUP(Calculator!E23,tbSkills!DH3:DI6,2,FALSE)+IF(AND(Calculator!B8=TRUE,Backdoors!BI31=TRUE),VLOOKUP(Calculator!E23,tbSkills!DH3:DJ6,3,FALSE),0),0))&gt;=0,1+(Backdoors!AL2*(IF((Backdoors!AI12+IF(GP40&gt;=0.45,VLOOKUP(Calculator!E23,tbSkills!DH3:DI6,2,FALSE)+IF(AND(Calculator!B8=TRUE,Backdoors!BI31=TRUE),VLOOKUP(Calculator!E23,tbSkills!DH3:DJ6,3,FALSE),0),0))&gt;=100,100,(Backdoors!AI12+IF(GP40&gt;=0.45,VLOOKUP(Calculator!E23,tbSkills!DH3:DI6,2,FALSE)+IF(AND(Calculator!B8=TRUE,Backdoors!BI31=TRUE),VLOOKUP(Calculator!E23,tbSkills!DH3:DJ6,3,FALSE),0),0)))/100)),(1-(0.25*((-Backdoors!AI12-IF(GP40&gt;=0.45,VLOOKUP(Calculator!E23,tbSkills!DH3:DI6,2,FALSE)+IF(AND(Calculator!B8=TRUE,Backdoors!BI31=TRUE),VLOOKUP(Calculator!E23,tbSkills!DH3:DJ6,3,FALSE),0),0))/100)))),1),"")</f>
        <v>1</v>
      </c>
      <c r="GS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P40)*GR40)*(VLOOKUP(A40,tbMoveset!A2:C112,3,FALSE)/100)*IF(VLOOKUP(A40,tbMoveset!A2:B112,2,FALSE)="Projectile",Backdoors!N10,Backdoors!N9),0),"")</f>
        <v/>
      </c>
      <c r="GT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P40&gt;=0.45,VLOOKUP(Calculator!E23,tbSkills!DH3:DI6,2,FALSE)+IF(AND(Calculator!B8=TRUE,Backdoors!BI31=TRUE),VLOOKUP(Calculator!E23,tbSkills!DH3:DJ6,3,FALSE),0),0))&gt;=100,100,(Backdoors!AI12+IF(GP40&gt;=0.45,VLOOKUP(Calculator!E23,tbSkills!DH3:DI6,2,FALSE)+IF(AND(Calculator!B8=TRUE,Backdoors!BI31=TRUE),VLOOKUP(Calculator!E23,tbSkills!DH3:DJ6,3,FALSE),0),0)))/100)),1))*IF(VLOOKUP(A40,tbMoveset!A2:K112,11,FALSE)=TRUE,Backdoors!AC5,1))*GQ40,0),"")</f>
        <v>0</v>
      </c>
      <c r="GU40" s="49">
        <f>VLOOKUP(A40,tbMoveset!A2:G112,7,FALSE)*IFERROR(IF(Backdoors!AI12&gt;=0,1+(IF(Calculator!E40&gt;0,VLOOKUP(Calculator!E40,tbSkills!AI3:AJ5,2,FALSE),Backdoors!AL4)*(IF((Backdoors!AI12+IF(GP40&gt;=0.45,VLOOKUP(Calculator!E23,tbSkills!DH3:DI6,2,FALSE)+IF(AND(Calculator!B8=TRUE,Backdoors!BI31=TRUE),VLOOKUP(Calculator!E23,tbSkills!DH3:DJ6,3,FALSE),0),0))&gt;=100,100,(Backdoors!AI12+IF(GP40&gt;=0.45,VLOOKUP(Calculator!E23,tbSkills!DH3:DI6,2,FALSE)+IF(AND(Calculator!B8=TRUE,Backdoors!BI31=TRUE),VLOOKUP(Calculator!E23,tbSkills!DH3:DJ6,3,FALSE),0),0)))/100)),1),1)</f>
        <v>0.5</v>
      </c>
      <c r="GV40" s="87">
        <f t="shared" si="21"/>
        <v>0</v>
      </c>
      <c r="GW40" s="86" t="str">
        <f>IFERROR(IF(VLOOKUP(A40,tbMoveset!A2:B112,2,FALSE)="Sever",Backdoors!AY32/100,IF(VLOOKUP(A40,tbMoveset!A2:B112,2,FALSE)="Blunt",Backdoors!AZ32/100,Backdoors!BA32/100)),"")</f>
        <v/>
      </c>
      <c r="GX40" s="49">
        <f>IFERROR(IF(VLOOKUP(tbMoveset!A40,tbMoveset!A2:H112,8,FALSE)="Other",IF(VLOOKUP(tbMoveset!A40,tbMoveset!A2:I112,9,FALSE)="Fire",Backdoors!BB32,IF(VLOOKUP(tbMoveset!A40,tbMoveset!A2:I112,9,FALSE)="Water",Backdoors!BC32,IF(VLOOKUP(tbMoveset!A40,tbMoveset!A2:I112,9,FALSE)="Thunder",Backdoors!BD32,IF(VLOOKUP(tbMoveset!A40,tbMoveset!A2:I112,9,FALSE)="Ice",Backdoors!BE32,IF(VLOOKUP(tbMoveset!A40,tbMoveset!A2:I112,9,FALSE)="Dragon",Backdoors!BF32,Backdoors!BG32)))))/100,Backdoors!BG32/100),"")</f>
        <v>0</v>
      </c>
      <c r="GY40" s="49">
        <f>IFERROR(IF(VLOOKUP(A40,tbMoveset!A2:J112,10,FALSE)=TRUE,IF((Backdoors!AI12+IF(GW40&gt;=0.45,VLOOKUP(Calculator!E23,tbSkills!DH3:DI6,2,FALSE)+IF(AND(Calculator!B8=TRUE,Backdoors!BI32=TRUE),VLOOKUP(Calculator!E23,tbSkills!DH3:DJ6,3,FALSE),0),0))&gt;=0,1+(Backdoors!AL2*(IF((Backdoors!AI12+IF(GW40&gt;=0.45,VLOOKUP(Calculator!E23,tbSkills!DH3:DI6,2,FALSE)+IF(AND(Calculator!B8=TRUE,Backdoors!BI32=TRUE),VLOOKUP(Calculator!E23,tbSkills!DH3:DJ6,3,FALSE),0),0))&gt;=100,100,(Backdoors!AI12+IF(GW40&gt;=0.45,VLOOKUP(Calculator!E23,tbSkills!DH3:DI6,2,FALSE)+IF(AND(Calculator!B8=TRUE,Backdoors!BI32=TRUE),VLOOKUP(Calculator!E23,tbSkills!DH3:DJ6,3,FALSE),0),0)))/100)),(1-(0.25*((-Backdoors!AI12-IF(GW40&gt;=0.45,VLOOKUP(Calculator!E23,tbSkills!DH3:DI6,2,FALSE)+IF(AND(Calculator!B8=TRUE,Backdoors!BI32=TRUE),VLOOKUP(Calculator!E23,tbSkills!DH3:DJ6,3,FALSE),0),0))/100)))),1),"")</f>
        <v>1</v>
      </c>
      <c r="GZ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W40)*GY40)*(VLOOKUP(A40,tbMoveset!A2:C112,3,FALSE)/100)*IF(VLOOKUP(A40,tbMoveset!A2:B112,2,FALSE)="Projectile",Backdoors!N10,Backdoors!N9),0),"")</f>
        <v/>
      </c>
      <c r="HA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W40&gt;=0.45,VLOOKUP(Calculator!E23,tbSkills!DH3:DI6,2,FALSE)+IF(AND(Calculator!B8=TRUE,Backdoors!BI32=TRUE),VLOOKUP(Calculator!E23,tbSkills!DH3:DJ6,3,FALSE),0),0))&gt;=100,100,(Backdoors!AI12+IF(GW40&gt;=0.45,VLOOKUP(Calculator!E23,tbSkills!DH3:DI6,2,FALSE)+IF(AND(Calculator!B8=TRUE,Backdoors!BI32=TRUE),VLOOKUP(Calculator!E23,tbSkills!DH3:DJ6,3,FALSE),0),0)))/100)),1))*IF(VLOOKUP(A40,tbMoveset!A2:K112,11,FALSE)=TRUE,Backdoors!AC5,1))*GX40,0),"")</f>
        <v>0</v>
      </c>
      <c r="HB40" s="49">
        <f>VLOOKUP(A40,tbMoveset!A2:G112,7,FALSE)*IFERROR(IF(Backdoors!AI12&gt;=0,1+(IF(Calculator!E40&gt;0,VLOOKUP(Calculator!E40,tbSkills!AI3:AJ5,2,FALSE),Backdoors!AL4)*(IF((Backdoors!AI12+IF(GW40&gt;=0.45,VLOOKUP(Calculator!E23,tbSkills!DH3:DI6,2,FALSE)+IF(AND(Calculator!B8=TRUE,Backdoors!BI32=TRUE),VLOOKUP(Calculator!E23,tbSkills!DH3:DJ6,3,FALSE),0),0))&gt;=100,100,(Backdoors!AI12+IF(GW40&gt;=0.45,VLOOKUP(Calculator!E23,tbSkills!DH3:DI6,2,FALSE)+IF(AND(Calculator!B8=TRUE,Backdoors!BI32=TRUE),VLOOKUP(Calculator!E23,tbSkills!DH3:DJ6,3,FALSE),0),0)))/100)),1),1)</f>
        <v>0.5</v>
      </c>
      <c r="HC40" s="87">
        <f t="shared" si="22"/>
        <v>0</v>
      </c>
      <c r="HD40" s="86" t="str">
        <f>IFERROR(IF(VLOOKUP(A40,tbMoveset!A2:B112,2,FALSE)="Sever",Backdoors!AY33/100,IF(VLOOKUP(A40,tbMoveset!A2:B112,2,FALSE)="Blunt",Backdoors!AZ33/100,Backdoors!BA33/100)),"")</f>
        <v/>
      </c>
      <c r="HE40" s="49">
        <f>IFERROR(IF(VLOOKUP(tbMoveset!A40,tbMoveset!A2:H112,8,FALSE)="Other",IF(VLOOKUP(tbMoveset!A40,tbMoveset!A2:I112,9,FALSE)="Fire",Backdoors!BB33,IF(VLOOKUP(tbMoveset!A40,tbMoveset!A2:I112,9,FALSE)="Water",Backdoors!BC33,IF(VLOOKUP(tbMoveset!A40,tbMoveset!A2:I112,9,FALSE)="Thunder",Backdoors!BD33,IF(VLOOKUP(tbMoveset!A40,tbMoveset!A2:I112,9,FALSE)="Ice",Backdoors!BE33,IF(VLOOKUP(tbMoveset!A40,tbMoveset!A2:I112,9,FALSE)="Dragon",Backdoors!BF33,Backdoors!BG33)))))/100,Backdoors!BG33/100),"")</f>
        <v>0</v>
      </c>
      <c r="HF40" s="49">
        <f>IFERROR(IF(VLOOKUP(A40,tbMoveset!A2:J112,10,FALSE)=TRUE,IF((Backdoors!AI12+IF(HD40&gt;=0.45,VLOOKUP(Calculator!E23,tbSkills!DH3:DI6,2,FALSE)+IF(AND(Calculator!B8=TRUE,Backdoors!BI33=TRUE),VLOOKUP(Calculator!E23,tbSkills!DH3:DJ6,3,FALSE),0),0))&gt;=0,1+(Backdoors!AL2*(IF((Backdoors!AI12+IF(HD40&gt;=0.45,VLOOKUP(Calculator!E23,tbSkills!DH3:DI6,2,FALSE)+IF(AND(Calculator!B8=TRUE,Backdoors!BI33=TRUE),VLOOKUP(Calculator!E23,tbSkills!DH3:DJ6,3,FALSE),0),0))&gt;=100,100,(Backdoors!AI12+IF(HD40&gt;=0.45,VLOOKUP(Calculator!E23,tbSkills!DH3:DI6,2,FALSE)+IF(AND(Calculator!B8=TRUE,Backdoors!BI33=TRUE),VLOOKUP(Calculator!E23,tbSkills!DH3:DJ6,3,FALSE),0),0)))/100)),(1-(0.25*((-Backdoors!AI12-IF(HD40&gt;=0.45,VLOOKUP(Calculator!E23,tbSkills!DH3:DI6,2,FALSE)+IF(AND(Calculator!B8=TRUE,Backdoors!BI33=TRUE),VLOOKUP(Calculator!E23,tbSkills!DH3:DJ6,3,FALSE),0),0))/100)))),1),"")</f>
        <v>1</v>
      </c>
      <c r="HG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D40)*HF40)*(VLOOKUP(A40,tbMoveset!A2:C112,3,FALSE)/100)*IF(VLOOKUP(A40,tbMoveset!A2:B112,2,FALSE)="Projectile",Backdoors!N10,Backdoors!N9),0),"")</f>
        <v/>
      </c>
      <c r="HH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D40&gt;=0.45,VLOOKUP(Calculator!E23,tbSkills!DH3:DI6,2,FALSE)+IF(AND(Calculator!B8=TRUE,Backdoors!BI33=TRUE),VLOOKUP(Calculator!E23,tbSkills!DH3:DJ6,3,FALSE),0),0))&gt;=100,100,(Backdoors!AI12+IF(HD40&gt;=0.45,VLOOKUP(Calculator!E23,tbSkills!DH3:DI6,2,FALSE)+IF(AND(Calculator!B8=TRUE,Backdoors!BI33=TRUE),VLOOKUP(Calculator!E23,tbSkills!DH3:DJ6,3,FALSE),0),0)))/100)),1))*IF(VLOOKUP(A40,tbMoveset!A2:K112,11,FALSE)=TRUE,Backdoors!AC5,1))*HE40,0),"")</f>
        <v>0</v>
      </c>
      <c r="HI40" s="49">
        <f>VLOOKUP(A40,tbMoveset!A2:G112,7,FALSE)*IFERROR(IF(Backdoors!AI12&gt;=0,1+(IF(Calculator!E40&gt;0,VLOOKUP(Calculator!E40,tbSkills!AI3:AJ5,2,FALSE),Backdoors!AL4)*(IF((Backdoors!AI12+IF(HD40&gt;=0.45,VLOOKUP(Calculator!E23,tbSkills!DH3:DI6,2,FALSE)+IF(AND(Calculator!B8=TRUE,Backdoors!BI33=TRUE),VLOOKUP(Calculator!E23,tbSkills!DH3:DJ6,3,FALSE),0),0))&gt;=100,100,(Backdoors!AI12+IF(HD40&gt;=0.45,VLOOKUP(Calculator!E23,tbSkills!DH3:DI6,2,FALSE)+IF(AND(Calculator!B8=TRUE,Backdoors!BI33=TRUE),VLOOKUP(Calculator!E23,tbSkills!DH3:DJ6,3,FALSE),0),0)))/100)),1),1)</f>
        <v>0.5</v>
      </c>
      <c r="HJ40" s="87">
        <f t="shared" si="23"/>
        <v>0</v>
      </c>
      <c r="HK40" s="86" t="str">
        <f>IFERROR(IF(VLOOKUP(A40,tbMoveset!A2:B112,2,FALSE)="Sever",Backdoors!AY34/100,IF(VLOOKUP(A40,tbMoveset!A2:B112,2,FALSE)="Blunt",Backdoors!AZ34/100,Backdoors!BA34/100)),"")</f>
        <v/>
      </c>
      <c r="HL40" s="49">
        <f>IFERROR(IF(VLOOKUP(tbMoveset!A40,tbMoveset!A2:H112,8,FALSE)="Other",IF(VLOOKUP(tbMoveset!A40,tbMoveset!A2:I112,9,FALSE)="Fire",Backdoors!BB34,IF(VLOOKUP(tbMoveset!A40,tbMoveset!A2:I112,9,FALSE)="Water",Backdoors!BC34,IF(VLOOKUP(tbMoveset!A40,tbMoveset!A2:I112,9,FALSE)="Thunder",Backdoors!BD34,IF(VLOOKUP(tbMoveset!A40,tbMoveset!A2:I112,9,FALSE)="Ice",Backdoors!BE34,IF(VLOOKUP(tbMoveset!A40,tbMoveset!A2:I112,9,FALSE)="Dragon",Backdoors!BF34,Backdoors!BG34)))))/100,Backdoors!BG34/100),"")</f>
        <v>0</v>
      </c>
      <c r="HM40" s="49">
        <f>IFERROR(IF(VLOOKUP(A40,tbMoveset!A2:J112,10,FALSE)=TRUE,IF((Backdoors!AI12+IF(HK40&gt;=0.45,VLOOKUP(Calculator!E23,tbSkills!DH3:DI6,2,FALSE)+IF(AND(Calculator!B8=TRUE,Backdoors!BI34=TRUE),VLOOKUP(Calculator!E23,tbSkills!DH3:DJ6,3,FALSE),0),0))&gt;=0,1+(Backdoors!AL2*(IF((Backdoors!AI12+IF(HK40&gt;=0.45,VLOOKUP(Calculator!E23,tbSkills!DH3:DI6,2,FALSE)+IF(AND(Calculator!B8=TRUE,Backdoors!BI34=TRUE),VLOOKUP(Calculator!E23,tbSkills!DH3:DJ6,3,FALSE),0),0))&gt;=100,100,(Backdoors!AI12+IF(HK40&gt;=0.45,VLOOKUP(Calculator!E23,tbSkills!DH3:DI6,2,FALSE)+IF(AND(Calculator!B8=TRUE,Backdoors!BI34=TRUE),VLOOKUP(Calculator!E23,tbSkills!DH3:DJ6,3,FALSE),0),0)))/100)),(1-(0.25*((-Backdoors!AI12-IF(HK40&gt;=0.45,VLOOKUP(Calculator!E23,tbSkills!DH3:DI6,2,FALSE)+IF(AND(Calculator!B8=TRUE,Backdoors!BI34=TRUE),VLOOKUP(Calculator!E23,tbSkills!DH3:DJ6,3,FALSE),0),0))/100)))),1),"")</f>
        <v>1</v>
      </c>
      <c r="HN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K40)*HM40)*(VLOOKUP(A40,tbMoveset!A2:C112,3,FALSE)/100)*IF(VLOOKUP(A40,tbMoveset!A2:B112,2,FALSE)="Projectile",Backdoors!N10,Backdoors!N9),0),"")</f>
        <v/>
      </c>
      <c r="HO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K40&gt;=0.45,VLOOKUP(Calculator!E23,tbSkills!DH3:DI6,2,FALSE)+IF(AND(Calculator!B8=TRUE,Backdoors!BI34=TRUE),VLOOKUP(Calculator!E23,tbSkills!DH3:DJ6,3,FALSE),0),0))&gt;=100,100,(Backdoors!AI12+IF(HK40&gt;=0.45,VLOOKUP(Calculator!E23,tbSkills!DH3:DI6,2,FALSE)+IF(AND(Calculator!B8=TRUE,Backdoors!BI34=TRUE),VLOOKUP(Calculator!E23,tbSkills!DH3:DJ6,3,FALSE),0),0)))/100)),1))*IF(VLOOKUP(A40,tbMoveset!A2:K112,11,FALSE)=TRUE,Backdoors!AC5,1))*HL40,0),"")</f>
        <v>0</v>
      </c>
      <c r="HP40" s="49">
        <f>VLOOKUP(A40,tbMoveset!A2:G112,7,FALSE)*IFERROR(IF(Backdoors!AI12&gt;=0,1+(IF(Calculator!E40&gt;0,VLOOKUP(Calculator!E40,tbSkills!AI3:AJ5,2,FALSE),Backdoors!AL4)*(IF((Backdoors!AI12+IF(HK40&gt;=0.45,VLOOKUP(Calculator!E23,tbSkills!DH3:DI6,2,FALSE)+IF(AND(Calculator!B8=TRUE,Backdoors!BI34=TRUE),VLOOKUP(Calculator!E23,tbSkills!DH3:DJ6,3,FALSE),0),0))&gt;=100,100,(Backdoors!AI12+IF(HK40&gt;=0.45,VLOOKUP(Calculator!E23,tbSkills!DH3:DI6,2,FALSE)+IF(AND(Calculator!B8=TRUE,Backdoors!BI34=TRUE),VLOOKUP(Calculator!E23,tbSkills!DH3:DJ6,3,FALSE),0),0)))/100)),1),1)</f>
        <v>0.5</v>
      </c>
      <c r="HQ40" s="87">
        <f t="shared" si="24"/>
        <v>0</v>
      </c>
      <c r="HR40" s="86" t="str">
        <f>IFERROR(IF(VLOOKUP(A40,tbMoveset!A2:B112,2,FALSE)="Sever",Backdoors!AY35/100,IF(VLOOKUP(A40,tbMoveset!A2:B112,2,FALSE)="Blunt",Backdoors!AZ35/100,Backdoors!BA35/100)),"")</f>
        <v/>
      </c>
      <c r="HS40" s="49">
        <f>IFERROR(IF(VLOOKUP(tbMoveset!A40,tbMoveset!A2:H112,8,FALSE)="Other",IF(VLOOKUP(tbMoveset!A40,tbMoveset!A2:I112,9,FALSE)="Fire",Backdoors!BB35,IF(VLOOKUP(tbMoveset!A40,tbMoveset!A2:I112,9,FALSE)="Water",Backdoors!BC35,IF(VLOOKUP(tbMoveset!A40,tbMoveset!A2:I112,9,FALSE)="Thunder",Backdoors!BD35,IF(VLOOKUP(tbMoveset!A40,tbMoveset!A2:I112,9,FALSE)="Ice",Backdoors!BE35,IF(VLOOKUP(tbMoveset!A40,tbMoveset!A2:I112,9,FALSE)="Dragon",Backdoors!BF35,Backdoors!BG35)))))/100,Backdoors!BG35/100),"")</f>
        <v>0</v>
      </c>
      <c r="HT40" s="49">
        <f>IFERROR(IF(VLOOKUP(A40,tbMoveset!A2:J112,10,FALSE)=TRUE,IF((Backdoors!AI12+IF(HR40&gt;=0.45,VLOOKUP(Calculator!E23,tbSkills!DH3:DI6,2,FALSE)+IF(AND(Calculator!B8=TRUE,Backdoors!BI35=TRUE),VLOOKUP(Calculator!E23,tbSkills!DH3:DJ6,3,FALSE),0),0))&gt;=0,1+(Backdoors!AL2*(IF((Backdoors!AI12+IF(HR40&gt;=0.45,VLOOKUP(Calculator!E23,tbSkills!DH3:DI6,2,FALSE)+IF(AND(Calculator!B8=TRUE,Backdoors!BI35=TRUE),VLOOKUP(Calculator!E23,tbSkills!DH3:DJ6,3,FALSE),0),0))&gt;=100,100,(Backdoors!AI12+IF(HR40&gt;=0.45,VLOOKUP(Calculator!E23,tbSkills!DH3:DI6,2,FALSE)+IF(AND(Calculator!B8=TRUE,Backdoors!BI35=TRUE),VLOOKUP(Calculator!E23,tbSkills!DH3:DJ6,3,FALSE),0),0)))/100)),(1-(0.25*((-Backdoors!AI12-IF(HR40&gt;=0.45,VLOOKUP(Calculator!E23,tbSkills!DH3:DI6,2,FALSE)+IF(AND(Calculator!B8=TRUE,Backdoors!BI35=TRUE),VLOOKUP(Calculator!E23,tbSkills!DH3:DJ6,3,FALSE),0),0))/100)))),1),"")</f>
        <v>1</v>
      </c>
      <c r="HU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R40)*HT40)*(VLOOKUP(A40,tbMoveset!A2:C112,3,FALSE)/100)*IF(VLOOKUP(A40,tbMoveset!A2:B112,2,FALSE)="Projectile",Backdoors!N10,Backdoors!N9),0),"")</f>
        <v/>
      </c>
      <c r="HV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R40&gt;=0.45,VLOOKUP(Calculator!E23,tbSkills!DH3:DI6,2,FALSE)+IF(AND(Calculator!B8=TRUE,Backdoors!BI35=TRUE),VLOOKUP(Calculator!E23,tbSkills!DH3:DJ6,3,FALSE),0),0))&gt;=100,100,(Backdoors!AI12+IF(HR40&gt;=0.45,VLOOKUP(Calculator!E23,tbSkills!DH3:DI6,2,FALSE)+IF(AND(Calculator!B8=TRUE,Backdoors!BI35=TRUE),VLOOKUP(Calculator!E23,tbSkills!DH3:DJ6,3,FALSE),0),0)))/100)),1))*IF(VLOOKUP(A40,tbMoveset!A2:K112,11,FALSE)=TRUE,Backdoors!AC5,1))*HS40,0),"")</f>
        <v>0</v>
      </c>
      <c r="HW40" s="49">
        <f>VLOOKUP(A40,tbMoveset!A2:G112,7,FALSE)*IFERROR(IF(Backdoors!AI12&gt;=0,1+(IF(Calculator!E40&gt;0,VLOOKUP(Calculator!E40,tbSkills!AI3:AJ5,2,FALSE),Backdoors!AL4)*(IF((Backdoors!AI12+IF(HR40&gt;=0.45,VLOOKUP(Calculator!E23,tbSkills!DH3:DI6,2,FALSE)+IF(AND(Calculator!B8=TRUE,Backdoors!BI35=TRUE),VLOOKUP(Calculator!E23,tbSkills!DH3:DJ6,3,FALSE),0),0))&gt;=100,100,(Backdoors!AI12+IF(HR40&gt;=0.45,VLOOKUP(Calculator!E23,tbSkills!DH3:DI6,2,FALSE)+IF(AND(Calculator!B8=TRUE,Backdoors!BI35=TRUE),VLOOKUP(Calculator!E23,tbSkills!DH3:DJ6,3,FALSE),0),0)))/100)),1),1)</f>
        <v>0.5</v>
      </c>
      <c r="HX40" s="87">
        <f t="shared" si="25"/>
        <v>0</v>
      </c>
      <c r="HY40" s="86" t="str">
        <f>IFERROR(IF(VLOOKUP(A40,tbMoveset!A2:B112,2,FALSE)="Sever",Backdoors!AY36/100,IF(VLOOKUP(A40,tbMoveset!A2:B112,2,FALSE)="Blunt",Backdoors!AZ36/100,Backdoors!BA36/100)),"")</f>
        <v/>
      </c>
      <c r="HZ40" s="49">
        <f>IFERROR(IF(VLOOKUP(tbMoveset!A40,tbMoveset!A2:H112,8,FALSE)="Other",IF(VLOOKUP(tbMoveset!A40,tbMoveset!A2:I112,9,FALSE)="Fire",Backdoors!BB36,IF(VLOOKUP(tbMoveset!A40,tbMoveset!A2:I112,9,FALSE)="Water",Backdoors!BC36,IF(VLOOKUP(tbMoveset!A40,tbMoveset!A2:I112,9,FALSE)="Thunder",Backdoors!BD36,IF(VLOOKUP(tbMoveset!A40,tbMoveset!A2:I112,9,FALSE)="Ice",Backdoors!BE36,IF(VLOOKUP(tbMoveset!A40,tbMoveset!A2:I112,9,FALSE)="Dragon",Backdoors!BF36,Backdoors!BG36)))))/100,Backdoors!BG36/100),"")</f>
        <v>0</v>
      </c>
      <c r="IA40" s="49">
        <f>IFERROR(IF(VLOOKUP(A40,tbMoveset!A2:J112,10,FALSE)=TRUE,IF((Backdoors!AI12+IF(HY40&gt;=0.45,VLOOKUP(Calculator!E23,tbSkills!DH3:DI6,2,FALSE)+IF(AND(Calculator!B8=TRUE,Backdoors!BI36=TRUE),VLOOKUP(Calculator!E23,tbSkills!DH3:DJ6,3,FALSE),0),0))&gt;=0,1+(Backdoors!AL2*(IF((Backdoors!AI12+IF(HY40&gt;=0.45,VLOOKUP(Calculator!E23,tbSkills!DH3:DI6,2,FALSE)+IF(AND(Calculator!B8=TRUE,Backdoors!BI36=TRUE),VLOOKUP(Calculator!E23,tbSkills!DH3:DJ6,3,FALSE),0),0))&gt;=100,100,(Backdoors!AI12+IF(HY40&gt;=0.45,VLOOKUP(Calculator!E23,tbSkills!DH3:DI6,2,FALSE)+IF(AND(Calculator!B8=TRUE,Backdoors!BI36=TRUE),VLOOKUP(Calculator!E23,tbSkills!DH3:DJ6,3,FALSE),0),0)))/100)),(1-(0.25*((-Backdoors!AI12-IF(HY40&gt;=0.45,VLOOKUP(Calculator!E23,tbSkills!DH3:DI6,2,FALSE)+IF(AND(Calculator!B8=TRUE,Backdoors!BI36=TRUE),VLOOKUP(Calculator!E23,tbSkills!DH3:DJ6,3,FALSE),0),0))/100)))),1),"")</f>
        <v>1</v>
      </c>
      <c r="IB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Y40)*IA40)*(VLOOKUP(A40,tbMoveset!A2:C112,3,FALSE)/100)*IF(VLOOKUP(A40,tbMoveset!A2:B112,2,FALSE)="Projectile",Backdoors!N10,Backdoors!N9),0),"")</f>
        <v/>
      </c>
      <c r="IC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Y40&gt;=0.45,VLOOKUP(Calculator!E23,tbSkills!DH3:DI6,2,FALSE)+IF(AND(Calculator!B8=TRUE,Backdoors!BI36=TRUE),VLOOKUP(Calculator!E23,tbSkills!DH3:DJ6,3,FALSE),0),0))&gt;=100,100,(Backdoors!AI12+IF(HY40&gt;=0.45,VLOOKUP(Calculator!E23,tbSkills!DH3:DI6,2,FALSE)+IF(AND(Calculator!B8=TRUE,Backdoors!BI36=TRUE),VLOOKUP(Calculator!E23,tbSkills!DH3:DJ6,3,FALSE),0),0)))/100)),1))*IF(VLOOKUP(A40,tbMoveset!A2:K112,11,FALSE)=TRUE,Backdoors!AC5,1))*HZ40,0),"")</f>
        <v>0</v>
      </c>
      <c r="ID40" s="49">
        <f>VLOOKUP(A40,tbMoveset!A2:G112,7,FALSE)*IFERROR(IF(Backdoors!AI12&gt;=0,1+(IF(Calculator!E40&gt;0,VLOOKUP(Calculator!E40,tbSkills!AI3:AJ5,2,FALSE),Backdoors!AL4)*(IF((Backdoors!AI12+IF(HY40&gt;=0.45,VLOOKUP(Calculator!E23,tbSkills!DH3:DI6,2,FALSE)+IF(AND(Calculator!B8=TRUE,Backdoors!BI36=TRUE),VLOOKUP(Calculator!E23,tbSkills!DH3:DJ6,3,FALSE),0),0))&gt;=100,100,(Backdoors!AI12+IF(HY40&gt;=0.45,VLOOKUP(Calculator!E23,tbSkills!DH3:DI6,2,FALSE)+IF(AND(Calculator!B8=TRUE,Backdoors!BI36=TRUE),VLOOKUP(Calculator!E23,tbSkills!DH3:DJ6,3,FALSE),0),0)))/100)),1),1)</f>
        <v>0.5</v>
      </c>
      <c r="IE40" s="87">
        <f t="shared" si="26"/>
        <v>0</v>
      </c>
      <c r="IF40" s="86" t="str">
        <f>IFERROR(IF(VLOOKUP(A40,tbMoveset!A2:B112,2,FALSE)="Sever",Backdoors!AY37/100,IF(VLOOKUP(A40,tbMoveset!A2:B112,2,FALSE)="Blunt",Backdoors!AZ37/100,Backdoors!BA37/100)),"")</f>
        <v/>
      </c>
      <c r="IG40" s="49">
        <f>IFERROR(IF(VLOOKUP(tbMoveset!A40,tbMoveset!A2:H112,8,FALSE)="Other",IF(VLOOKUP(tbMoveset!A40,tbMoveset!A2:I112,9,FALSE)="Fire",Backdoors!BB37,IF(VLOOKUP(tbMoveset!A40,tbMoveset!A2:I112,9,FALSE)="Water",Backdoors!BC37,IF(VLOOKUP(tbMoveset!A40,tbMoveset!A2:I112,9,FALSE)="Thunder",Backdoors!BD37,IF(VLOOKUP(tbMoveset!A40,tbMoveset!A2:I112,9,FALSE)="Ice",Backdoors!BE37,IF(VLOOKUP(tbMoveset!A40,tbMoveset!A2:I112,9,FALSE)="Dragon",Backdoors!BF37,Backdoors!BG37)))))/100,Backdoors!BG37/100),"")</f>
        <v>0</v>
      </c>
      <c r="IH40" s="49">
        <f>IFERROR(IF(VLOOKUP(A40,tbMoveset!A2:J112,10,FALSE)=TRUE,IF((Backdoors!AI12+IF(IF40&gt;=0.45,VLOOKUP(Calculator!E23,tbSkills!DH3:DI6,2,FALSE)+IF(AND(Calculator!B8=TRUE,Backdoors!BI37=TRUE),VLOOKUP(Calculator!E23,tbSkills!DH3:DJ6,3,FALSE),0),0))&gt;=0,1+(Backdoors!AL2*(IF((Backdoors!AI12+IF(IF40&gt;=0.45,VLOOKUP(Calculator!E23,tbSkills!DH3:DI6,2,FALSE)+IF(AND(Calculator!B8=TRUE,Backdoors!BI37=TRUE),VLOOKUP(Calculator!E23,tbSkills!DH3:DJ6,3,FALSE),0),0))&gt;=100,100,(Backdoors!AI12+IF(IF40&gt;=0.45,VLOOKUP(Calculator!E23,tbSkills!DH3:DI6,2,FALSE)+IF(AND(Calculator!B8=TRUE,Backdoors!BI37=TRUE),VLOOKUP(Calculator!E23,tbSkills!DH3:DJ6,3,FALSE),0),0)))/100)),(1-(0.25*((-Backdoors!AI12-IF(IF40&gt;=0.45,VLOOKUP(Calculator!E23,tbSkills!DH3:DI6,2,FALSE)+IF(AND(Calculator!B8=TRUE,Backdoors!BI37=TRUE),VLOOKUP(Calculator!E23,tbSkills!DH3:DJ6,3,FALSE),0),0))/100)))),1),"")</f>
        <v>1</v>
      </c>
      <c r="II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F40)*IH40)*(VLOOKUP(A40,tbMoveset!A2:C112,3,FALSE)/100)*IF(VLOOKUP(A40,tbMoveset!A2:B112,2,FALSE)="Projectile",Backdoors!N10,Backdoors!N9),0),"")</f>
        <v/>
      </c>
      <c r="IJ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IF40&gt;=0.45,VLOOKUP(Calculator!E23,tbSkills!DH3:DI6,2,FALSE)+IF(AND(Calculator!B8=TRUE,Backdoors!BI37=TRUE),VLOOKUP(Calculator!E23,tbSkills!DH3:DJ6,3,FALSE),0),0))&gt;=100,100,(Backdoors!AI12+IF(IF40&gt;=0.45,VLOOKUP(Calculator!E23,tbSkills!DH3:DI6,2,FALSE)+IF(AND(Calculator!B8=TRUE,Backdoors!BI37=TRUE),VLOOKUP(Calculator!E23,tbSkills!DH3:DJ6,3,FALSE),0),0)))/100)),1))*IF(VLOOKUP(A40,tbMoveset!A2:K112,11,FALSE)=TRUE,Backdoors!AC5,1))*IG40,0),"")</f>
        <v>0</v>
      </c>
      <c r="IK40" s="49">
        <f>VLOOKUP(A40,tbMoveset!A2:G112,7,FALSE)*IFERROR(IF(Backdoors!AI12&gt;=0,1+(IF(Calculator!E40&gt;0,VLOOKUP(Calculator!E40,tbSkills!AI3:AJ5,2,FALSE),Backdoors!AL4)*(IF((Backdoors!AI12+IF(IF40&gt;=0.45,VLOOKUP(Calculator!E23,tbSkills!DH3:DI6,2,FALSE)+IF(AND(Calculator!B8=TRUE,Backdoors!BI37=TRUE),VLOOKUP(Calculator!E23,tbSkills!DH3:DJ6,3,FALSE),0),0))&gt;=100,100,(Backdoors!AI12+IF(IF40&gt;=0.45,VLOOKUP(Calculator!E23,tbSkills!DH3:DI6,2,FALSE)+IF(AND(Calculator!B8=TRUE,Backdoors!BI37=TRUE),VLOOKUP(Calculator!E23,tbSkills!DH3:DJ6,3,FALSE),0),0)))/100)),1),1)</f>
        <v>0.5</v>
      </c>
      <c r="IL40" s="87">
        <f t="shared" si="27"/>
        <v>0</v>
      </c>
      <c r="IM40" s="86" t="str">
        <f>IFERROR(IF(VLOOKUP(A40,tbMoveset!A2:B112,2,FALSE)="Sever",Backdoors!AY38/100,IF(VLOOKUP(A40,tbMoveset!A2:B112,2,FALSE)="Blunt",Backdoors!AZ38/100,Backdoors!BA38/100)),"")</f>
        <v/>
      </c>
      <c r="IN40" s="49">
        <f>IFERROR(IF(VLOOKUP(tbMoveset!A40,tbMoveset!A2:H112,8,FALSE)="Other",IF(VLOOKUP(tbMoveset!A40,tbMoveset!A2:I112,9,FALSE)="Fire",Backdoors!BB38,IF(VLOOKUP(tbMoveset!A40,tbMoveset!A2:I112,9,FALSE)="Water",Backdoors!BC38,IF(VLOOKUP(tbMoveset!A40,tbMoveset!A2:I112,9,FALSE)="Thunder",Backdoors!BD38,IF(VLOOKUP(tbMoveset!A40,tbMoveset!A2:I112,9,FALSE)="Ice",Backdoors!BE38,IF(VLOOKUP(tbMoveset!A40,tbMoveset!A2:I112,9,FALSE)="Dragon",Backdoors!BF38,Backdoors!BG38)))))/100,Backdoors!BG38/100),"")</f>
        <v>0</v>
      </c>
      <c r="IO40" s="49">
        <f>IFERROR(IF(VLOOKUP(A40,tbMoveset!A2:J112,10,FALSE)=TRUE,IF((Backdoors!AI12+IF(IM40&gt;=0.45,VLOOKUP(Calculator!E23,tbSkills!DH3:DI6,2,FALSE)+IF(AND(Calculator!B8=TRUE,Backdoors!BI38=TRUE),VLOOKUP(Calculator!E23,tbSkills!DH3:DJ6,3,FALSE),0),0))&gt;=0,1+(Backdoors!AL2*(IF((Backdoors!AI12+IF(IM40&gt;=0.45,VLOOKUP(Calculator!E23,tbSkills!DH3:DI6,2,FALSE)+IF(AND(Calculator!B8=TRUE,Backdoors!BI38=TRUE),VLOOKUP(Calculator!E23,tbSkills!DH3:DJ6,3,FALSE),0),0))&gt;=100,100,(Backdoors!AI12+IF(IM40&gt;=0.45,VLOOKUP(Calculator!E23,tbSkills!DH3:DI6,2,FALSE)+IF(AND(Calculator!B8=TRUE,Backdoors!BI38=TRUE),VLOOKUP(Calculator!E23,tbSkills!DH3:DJ6,3,FALSE),0),0)))/100)),(1-(0.25*((-Backdoors!AI12-IF(IM40&gt;=0.45,VLOOKUP(Calculator!E23,tbSkills!DH3:DI6,2,FALSE)+IF(AND(Calculator!B8=TRUE,Backdoors!BI38=TRUE),VLOOKUP(Calculator!E23,tbSkills!DH3:DJ6,3,FALSE),0),0))/100)))),1),"")</f>
        <v>1</v>
      </c>
      <c r="IP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M40)*IO40)*(VLOOKUP(A40,tbMoveset!A2:C112,3,FALSE)/100)*IF(VLOOKUP(A40,tbMoveset!A2:B112,2,FALSE)="Projectile",Backdoors!N10,Backdoors!N9),0),"")</f>
        <v/>
      </c>
      <c r="IQ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IM40&gt;=0.45,VLOOKUP(Calculator!E23,tbSkills!DH3:DI6,2,FALSE)+IF(AND(Calculator!B8=TRUE,Backdoors!BI38=TRUE),VLOOKUP(Calculator!E23,tbSkills!DH3:DJ6,3,FALSE),0),0))&gt;=100,100,(Backdoors!AI12+IF(IM40&gt;=0.45,VLOOKUP(Calculator!E23,tbSkills!DH3:DI6,2,FALSE)+IF(AND(Calculator!B8=TRUE,Backdoors!BI38=TRUE),VLOOKUP(Calculator!E23,tbSkills!DH3:DJ6,3,FALSE),0),0)))/100)),1))*IF(VLOOKUP(A40,tbMoveset!A2:K112,11,FALSE)=TRUE,Backdoors!AC5,1))*IN40,0),"")</f>
        <v>0</v>
      </c>
      <c r="IR40" s="49">
        <f>VLOOKUP(A40,tbMoveset!A2:G112,7,FALSE)*IFERROR(IF(Backdoors!AI12&gt;=0,1+(IF(Calculator!E40&gt;0,VLOOKUP(Calculator!E40,tbSkills!AI3:AJ5,2,FALSE),Backdoors!AL4)*(IF((Backdoors!AI12+IF(IM40&gt;=0.45,VLOOKUP(Calculator!E23,tbSkills!DH3:DI6,2,FALSE)+IF(AND(Calculator!B8=TRUE,Backdoors!BI38=TRUE),VLOOKUP(Calculator!E23,tbSkills!DH3:DJ6,3,FALSE),0),0))&gt;=100,100,(Backdoors!AI12+IF(IM40&gt;=0.45,VLOOKUP(Calculator!E23,tbSkills!DH3:DI6,2,FALSE)+IF(AND(Calculator!B8=TRUE,Backdoors!BI38=TRUE),VLOOKUP(Calculator!E23,tbSkills!DH3:DJ6,3,FALSE),0),0)))/100)),1),1)</f>
        <v>0.5</v>
      </c>
      <c r="IS40" s="87">
        <f t="shared" si="42"/>
        <v>0</v>
      </c>
      <c r="IT40" s="86" t="str">
        <f>IFERROR(IF(VLOOKUP(A40,tbMoveset!A2:B112,2,FALSE)="Sever",Backdoors!AY39/100,IF(VLOOKUP(A40,tbMoveset!A2:B112,2,FALSE)="Blunt",Backdoors!AZ39/100,Backdoors!BA39/100)),"")</f>
        <v/>
      </c>
      <c r="IU40" s="49">
        <f>IFERROR(IF(VLOOKUP(tbMoveset!A40,tbMoveset!A2:H112,8,FALSE)="Other",IF(VLOOKUP(tbMoveset!A40,tbMoveset!A2:I112,9,FALSE)="Fire",Backdoors!BB39,IF(VLOOKUP(tbMoveset!A40,tbMoveset!A2:I112,9,FALSE)="Water",Backdoors!BC39,IF(VLOOKUP(tbMoveset!A40,tbMoveset!A2:I112,9,FALSE)="Thunder",Backdoors!BD39,IF(VLOOKUP(tbMoveset!A40,tbMoveset!A2:I112,9,FALSE)="Ice",Backdoors!BE39,IF(VLOOKUP(tbMoveset!A40,tbMoveset!A2:I112,9,FALSE)="Dragon",Backdoors!BF39,Backdoors!BG39)))))/100,Backdoors!BG39/100),"")</f>
        <v>0</v>
      </c>
      <c r="IV40" s="49">
        <f>IFERROR(IF(VLOOKUP(A40,tbMoveset!A2:J112,10,FALSE)=TRUE,IF((Backdoors!AI12+IF(IT40&gt;=0.45,VLOOKUP(Calculator!E23,tbSkills!DH3:DI6,2,FALSE)+IF(AND(Calculator!B8=TRUE,Backdoors!BI39=TRUE),VLOOKUP(Calculator!E23,tbSkills!DH3:DJ6,3,FALSE),0),0))&gt;=0,1+(Backdoors!AL2*(IF((Backdoors!AI12+IF(IT40&gt;=0.45,VLOOKUP(Calculator!E23,tbSkills!DH3:DI6,2,FALSE)+IF(AND(Calculator!B8=TRUE,Backdoors!BI39=TRUE),VLOOKUP(Calculator!E23,tbSkills!DH3:DJ6,3,FALSE),0),0))&gt;=100,100,(Backdoors!AI12+IF(IT40&gt;=0.45,VLOOKUP(Calculator!E23,tbSkills!DH3:DI6,2,FALSE)+IF(AND(Calculator!B8=TRUE,Backdoors!BI39=TRUE),VLOOKUP(Calculator!E23,tbSkills!DH3:DJ6,3,FALSE),0),0)))/100)),(1-(0.25*((-Backdoors!AI12-IF(IT40&gt;=0.45,VLOOKUP(Calculator!E23,tbSkills!DH3:DI6,2,FALSE)+IF(AND(Calculator!B8=TRUE,Backdoors!BI39=TRUE),VLOOKUP(Calculator!E23,tbSkills!DH3:DJ6,3,FALSE),0),0))/100)))),1),"")</f>
        <v>1</v>
      </c>
      <c r="IW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T40)*IV40)*(VLOOKUP(A40,tbMoveset!A2:C112,3,FALSE)/100)*IF(VLOOKUP(A40,tbMoveset!A2:B112,2,FALSE)="Projectile",Backdoors!N10,Backdoors!N9),0),"")</f>
        <v/>
      </c>
      <c r="IX40" s="49">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40&gt;0,VLOOKUP(Calculator!E40,tbSkills!AC3:AD5,2,FALSE),Backdoors!AL3)*(IF((Backdoors!AI12+IF(IT40&gt;=0.45,VLOOKUP(Calculator!E23,tbSkills!DH3:DI6,2,FALSE)+IF(AND(Calculator!B8=TRUE,Backdoors!BI39=TRUE),VLOOKUP(Calculator!E23,tbSkills!DH3:DJ6,3,FALSE),0),0))&gt;=100,100,(Backdoors!AI12+IF(IT40&gt;=0.45,VLOOKUP(Calculator!E23,tbSkills!DH3:DI6,2,FALSE)+IF(AND(Calculator!B8=TRUE,Backdoors!BI39=TRUE),VLOOKUP(Calculator!E23,tbSkills!DH3:DJ6,3,FALSE),0),0)))/100)),1))*IF(VLOOKUP(A40,tbMoveset!A2:K112,11,FALSE)=TRUE,Backdoors!AC5,1))*IU40,0),"")</f>
        <v>0</v>
      </c>
      <c r="IY40" s="49">
        <f>VLOOKUP(A40,tbMoveset!A2:G112,7,FALSE)*IFERROR(IF(Backdoors!AI12&gt;=0,1+(IF(Calculator!E40&gt;0,VLOOKUP(Calculator!E40,tbSkills!AI3:AJ5,2,FALSE),Backdoors!AL4)*(IF((Backdoors!AI12+IF(IT40&gt;=0.45,VLOOKUP(Calculator!E23,tbSkills!DH3:DI6,2,FALSE)+IF(AND(Calculator!B8=TRUE,Backdoors!BI39=TRUE),VLOOKUP(Calculator!E23,tbSkills!DH3:DJ6,3,FALSE),0),0))&gt;=100,100,(Backdoors!AI12+IF(IT40&gt;=0.45,VLOOKUP(Calculator!E23,tbSkills!DH3:DI6,2,FALSE)+IF(AND(Calculator!B8=TRUE,Backdoors!BI39=TRUE),VLOOKUP(Calculator!E23,tbSkills!DH3:DJ6,3,FALSE),0),0)))/100)),1),1)</f>
        <v>0.5</v>
      </c>
      <c r="IZ40" s="87">
        <f t="shared" si="28"/>
        <v>0</v>
      </c>
      <c r="JA40" s="86" t="str">
        <f>IFERROR(IF(VLOOKUP(A40,tbMoveset!A2:B112,2,FALSE)="Sever",Backdoors!AY40/100,IF(VLOOKUP(A40,tbMoveset!A2:B112,2,FALSE)="Blunt",Backdoors!AZ40/100,Backdoors!BA40/100)),"")</f>
        <v/>
      </c>
      <c r="JB40" s="49">
        <f>IFERROR(IF(VLOOKUP(tbMoveset!A40,tbMoveset!A2:H112,8,FALSE)="Other",IF(VLOOKUP(tbMoveset!A40,tbMoveset!A2:I112,9,FALSE)="Fire",Backdoors!BB40,IF(VLOOKUP(tbMoveset!A40,tbMoveset!A2:I112,9,FALSE)="Water",Backdoors!BC40,IF(VLOOKUP(tbMoveset!A40,tbMoveset!A2:I112,9,FALSE)="Thunder",Backdoors!BD40,IF(VLOOKUP(tbMoveset!A40,tbMoveset!A2:I112,9,FALSE)="Ice",Backdoors!BE40,IF(VLOOKUP(tbMoveset!A40,tbMoveset!A2:I112,9,FALSE)="Dragon",Backdoors!BF40,Backdoors!BG40)))))/100,Backdoors!BG40/100),"")</f>
        <v>0</v>
      </c>
      <c r="JC40" s="49">
        <f>IFERROR(IF(VLOOKUP(A40,tbMoveset!A2:J112,10,FALSE)=TRUE,IF((Backdoors!AI12+IF(JA40&gt;=0.45,VLOOKUP(Calculator!E23,tbSkills!DH3:DI6,2,FALSE)+IF(AND(Calculator!B8=TRUE,Backdoors!BI40=TRUE),VLOOKUP(Calculator!E23,tbSkills!DH3:DJ6,3,FALSE),0),0))&gt;=0,1+(Backdoors!AL2*(IF((Backdoors!AI12+IF(JA40&gt;=0.45,VLOOKUP(Calculator!E23,tbSkills!DH3:DI6,2,FALSE)+IF(AND(Calculator!B8=TRUE,Backdoors!BI40=TRUE),VLOOKUP(Calculator!E23,tbSkills!DH3:DJ6,3,FALSE),0),0))&gt;=100,100,(Backdoors!AI12+IF(JA40&gt;=0.45,VLOOKUP(Calculator!E23,tbSkills!DH3:DI6,2,FALSE)+IF(AND(Calculator!B8=TRUE,Backdoors!BI40=TRUE),VLOOKUP(Calculator!E23,tbSkills!DH3:DJ6,3,FALSE),0),0)))/100)),(1-(0.25*((-Backdoors!AI12-IF(JA40&gt;=0.45,VLOOKUP(Calculator!E23,tbSkills!DH3:DI6,2,FALSE)+IF(AND(Calculator!B8=TRUE,Backdoors!BI40=TRUE),VLOOKUP(Calculator!E23,tbSkills!DH3:DJ6,3,FALSE),0),0))/100)))),1),"")</f>
        <v>1</v>
      </c>
      <c r="JD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A40)*JC40)*(VLOOKUP(A40,tbMoveset!A2:C112,3,FALSE)/100)*IF(VLOOKUP(A40,tbMoveset!A2:B112,2,FALSE)="Projectile",Backdoors!N10,Backdoors!N9),0),"")</f>
        <v/>
      </c>
      <c r="JE40" s="49">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42&gt;0,VLOOKUP(Calculator!E42,tbSkills!AC3:AD5,2,FALSE),Backdoors!AL3)*(IF((Backdoors!AI12+IF(JA40&gt;=0.45,VLOOKUP(Calculator!E23,tbSkills!DH3:DI6,2,FALSE)+IF(AND(Calculator!B8=TRUE,Backdoors!BI40=TRUE),VLOOKUP(Calculator!E23,tbSkills!DH3:DJ6,3,FALSE),0),0))&gt;=100,100,(Backdoors!AI12+IF(JA40&gt;=0.45,VLOOKUP(Calculator!E23,tbSkills!DH3:DI6,2,FALSE)+IF(AND(Calculator!B8=TRUE,Backdoors!BI40=TRUE),VLOOKUP(Calculator!E23,tbSkills!DH3:DJ6,3,FALSE),0),0)))/100)),1))*IF(VLOOKUP(A40,tbMoveset!A2:K112,11,FALSE)=TRUE,Backdoors!AC5,1))*JB40,0),"")</f>
        <v>0</v>
      </c>
      <c r="JF40" s="49">
        <f>VLOOKUP(A40,tbMoveset!A2:G112,7,FALSE)*IFERROR(IF(Backdoors!AI12&gt;=0,1+(IF(Calculator!E40&gt;0,VLOOKUP(Calculator!E40,tbSkills!AI3:AJ5,2,FALSE),Backdoors!AL4)*(IF((Backdoors!AI12+IF(JA40&gt;=0.45,VLOOKUP(Calculator!E23,tbSkills!DH3:DI6,2,FALSE)+IF(AND(Calculator!B8=TRUE,Backdoors!BI40=TRUE),VLOOKUP(Calculator!E23,tbSkills!DH3:DJ6,3,FALSE),0),0))&gt;=100,100,(Backdoors!AI12+IF(JA40&gt;=0.45,VLOOKUP(Calculator!E23,tbSkills!DH3:DI6,2,FALSE)+IF(AND(Calculator!B8=TRUE,Backdoors!BI40=TRUE),VLOOKUP(Calculator!E23,tbSkills!DH3:DJ6,3,FALSE),0),0)))/100)),1),1)</f>
        <v>0.5</v>
      </c>
      <c r="JG40" s="87">
        <f t="shared" si="29"/>
        <v>0</v>
      </c>
      <c r="JH40" s="86" t="str">
        <f>IFERROR(IF(VLOOKUP(A40,tbMoveset!A2:B112,2,FALSE)="Sever",Backdoors!AY41/100,IF(VLOOKUP(A40,tbMoveset!A2:B112,2,FALSE)="Blunt",Backdoors!AZ41/100,Backdoors!BA41/100)),"")</f>
        <v/>
      </c>
      <c r="JI40" s="49">
        <f>IFERROR(IF(VLOOKUP(tbMoveset!A40,tbMoveset!A2:H112,8,FALSE)="Other",IF(VLOOKUP(tbMoveset!A40,tbMoveset!A2:I112,9,FALSE)="Fire",Backdoors!BB41,IF(VLOOKUP(tbMoveset!A40,tbMoveset!A2:I112,9,FALSE)="Water",Backdoors!BC41,IF(VLOOKUP(tbMoveset!A40,tbMoveset!A2:I112,9,FALSE)="Thunder",Backdoors!BD41,IF(VLOOKUP(tbMoveset!A40,tbMoveset!A2:I112,9,FALSE)="Ice",Backdoors!BE41,IF(VLOOKUP(tbMoveset!A40,tbMoveset!A2:I112,9,FALSE)="Dragon",Backdoors!BF41,Backdoors!BG41)))))/100,Backdoors!BG41/100),"")</f>
        <v>0</v>
      </c>
      <c r="JJ40" s="49">
        <f>IFERROR(IF(VLOOKUP(A40,tbMoveset!A2:J112,10,FALSE)=TRUE,IF((Backdoors!AI12+IF(JH40&gt;=0.45,VLOOKUP(Calculator!E23,tbSkills!DH3:DI6,2,FALSE)+IF(AND(Calculator!B8=TRUE,Backdoors!BI41=TRUE),VLOOKUP(Calculator!E23,tbSkills!DH3:DJ6,3,FALSE),0),0))&gt;=0,1+(Backdoors!AL2*(IF((Backdoors!AI12+IF(JH40&gt;=0.45,VLOOKUP(Calculator!E23,tbSkills!DH3:DI6,2,FALSE)+IF(AND(Calculator!B8=TRUE,Backdoors!BI41=TRUE),VLOOKUP(Calculator!E23,tbSkills!DH3:DJ6,3,FALSE),0),0))&gt;=100,100,(Backdoors!AI12+IF(JH40&gt;=0.45,VLOOKUP(Calculator!E23,tbSkills!DH3:DI6,2,FALSE)+IF(AND(Calculator!B8=TRUE,Backdoors!BI41=TRUE),VLOOKUP(Calculator!E23,tbSkills!DH3:DJ6,3,FALSE),0),0)))/100)),(1-(0.25*((-Backdoors!AI12-IF(JH40&gt;=0.45,VLOOKUP(Calculator!E23,tbSkills!DH3:DI6,2,FALSE)+IF(AND(Calculator!B8=TRUE,Backdoors!BI41=TRUE),VLOOKUP(Calculator!E23,tbSkills!DH3:DJ6,3,FALSE),0),0))/100)))),1),"")</f>
        <v>1</v>
      </c>
      <c r="JK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H40)*JJ40)*(VLOOKUP(A40,tbMoveset!A2:C112,3,FALSE)/100)*IF(VLOOKUP(A40,tbMoveset!A2:B112,2,FALSE)="Projectile",Backdoors!N10,Backdoors!N9),0),"")</f>
        <v/>
      </c>
      <c r="JL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43&gt;0,VLOOKUP(Calculator!E43,tbSkills!AC3:AD5,2,FALSE),Backdoors!AL3)*(IF((Backdoors!AI12+IF(JH40&gt;=0.45,VLOOKUP(Calculator!E23,tbSkills!DH3:DI6,2,FALSE)+IF(AND(Calculator!B8=TRUE,Backdoors!BI41=TRUE),VLOOKUP(Calculator!E23,tbSkills!DH3:DJ6,3,FALSE),0),0))&gt;=100,100,(Backdoors!AI12+IF(JH40&gt;=0.45,VLOOKUP(Calculator!E23,tbSkills!DH3:DI6,2,FALSE)+IF(AND(Calculator!B8=TRUE,Backdoors!BI41=TRUE),VLOOKUP(Calculator!E23,tbSkills!DH3:DJ6,3,FALSE),0),0)))/100)),1))*IF(VLOOKUP(A40,tbMoveset!A2:K112,11,FALSE)=TRUE,Backdoors!AC5,1))*JI40,0),"")</f>
        <v/>
      </c>
      <c r="JM40" s="49">
        <f>VLOOKUP(A40,tbMoveset!A2:G112,7,FALSE)*IFERROR(IF(Backdoors!AI12&gt;=0,1+(IF(Calculator!E40&gt;0,VLOOKUP(Calculator!E40,tbSkills!AI3:AJ5,2,FALSE),Backdoors!AL4)*(IF((Backdoors!AI12+IF(JH40&gt;=0.45,VLOOKUP(Calculator!E23,tbSkills!DH3:DI6,2,FALSE)+IF(AND(Calculator!B8=TRUE,Backdoors!BI41=TRUE),VLOOKUP(Calculator!E23,tbSkills!DH3:DJ6,3,FALSE),0),0))&gt;=100,100,(Backdoors!AI12+IF(JH40&gt;=0.45,VLOOKUP(Calculator!E23,tbSkills!DH3:DI6,2,FALSE)+IF(AND(Calculator!B8=TRUE,Backdoors!BI41=TRUE),VLOOKUP(Calculator!E23,tbSkills!DH3:DJ6,3,FALSE),0),0)))/100)),1),1)</f>
        <v>0.5</v>
      </c>
      <c r="JN40" s="87">
        <f t="shared" si="30"/>
        <v>0</v>
      </c>
      <c r="JO40" s="86" t="str">
        <f>IFERROR(IF(VLOOKUP(A40,tbMoveset!A2:B112,2,FALSE)="Sever",Backdoors!AY42/100,IF(VLOOKUP(A40,tbMoveset!A2:B112,2,FALSE)="Blunt",Backdoors!AZ42/100,Backdoors!BA42/100)),"")</f>
        <v/>
      </c>
      <c r="JP40" s="49">
        <f>IFERROR(IF(VLOOKUP(tbMoveset!A40,tbMoveset!A2:H112,8,FALSE)="Other",IF(VLOOKUP(tbMoveset!A40,tbMoveset!A2:I112,9,FALSE)="Fire",Backdoors!BB42,IF(VLOOKUP(tbMoveset!A40,tbMoveset!A2:I112,9,FALSE)="Water",Backdoors!BC42,IF(VLOOKUP(tbMoveset!A40,tbMoveset!A2:I112,9,FALSE)="Thunder",Backdoors!BD42,IF(VLOOKUP(tbMoveset!A40,tbMoveset!A2:I112,9,FALSE)="Ice",Backdoors!BE42,IF(VLOOKUP(tbMoveset!A40,tbMoveset!A2:I112,9,FALSE)="Dragon",Backdoors!BF42,Backdoors!BG42)))))/100,Backdoors!BG42/100),"")</f>
        <v>0</v>
      </c>
      <c r="JQ40" s="49">
        <f>IFERROR(IF(VLOOKUP(A40,tbMoveset!A2:J112,10,FALSE)=TRUE,IF((Backdoors!AI12+IF(JO40&gt;=0.45,VLOOKUP(Calculator!E23,tbSkills!DH3:DI6,2,FALSE)+IF(AND(Calculator!B8=TRUE,Backdoors!BI42=TRUE),VLOOKUP(Calculator!E23,tbSkills!DH3:DJ6,3,FALSE),0),0))&gt;=0,1+(Backdoors!AL2*(IF((Backdoors!AI12+IF(JO40&gt;=0.45,VLOOKUP(Calculator!E23,tbSkills!DH3:DI6,2,FALSE)+IF(AND(Calculator!B8=TRUE,Backdoors!BI42=TRUE),VLOOKUP(Calculator!E23,tbSkills!DH3:DJ6,3,FALSE),0),0))&gt;=100,100,(Backdoors!AI12+IF(JO40&gt;=0.45,VLOOKUP(Calculator!E23,tbSkills!DH3:DI6,2,FALSE)+IF(AND(Calculator!B8=TRUE,Backdoors!BI42=TRUE),VLOOKUP(Calculator!E23,tbSkills!DH3:DJ6,3,FALSE),0),0)))/100)),(1-(0.25*((-Backdoors!AI12-IF(JO40&gt;=0.45,VLOOKUP(Calculator!E23,tbSkills!DH3:DI6,2,FALSE)+IF(AND(Calculator!B8=TRUE,Backdoors!BI42=TRUE),VLOOKUP(Calculator!E23,tbSkills!DH3:DJ6,3,FALSE),0),0))/100)))),1),"")</f>
        <v>1</v>
      </c>
      <c r="JR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O40)*JQ40)*(VLOOKUP(A40,tbMoveset!A2:C112,3,FALSE)/100)*IF(VLOOKUP(A40,tbMoveset!A2:B112,2,FALSE)="Projectile",Backdoors!N10,Backdoors!N9),0),"")</f>
        <v/>
      </c>
      <c r="JS40" s="49">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45&gt;0,VLOOKUP(Calculator!E45,tbSkills!AC3:AD5,2,FALSE),Backdoors!AL3)*(IF((Backdoors!AI12+IF(JO40&gt;=0.45,VLOOKUP(Calculator!E23,tbSkills!DH3:DI6,2,FALSE)+IF(AND(Calculator!B8=TRUE,Backdoors!BI42=TRUE),VLOOKUP(Calculator!E23,tbSkills!DH3:DJ6,3,FALSE),0),0))&gt;=100,100,(Backdoors!AI12+IF(JO40&gt;=0.45,VLOOKUP(Calculator!E23,tbSkills!DH3:DI6,2,FALSE)+IF(AND(Calculator!B8=TRUE,Backdoors!BI42=TRUE),VLOOKUP(Calculator!E23,tbSkills!DH3:DJ6,3,FALSE),0),0)))/100)),1))*IF(VLOOKUP(A40,tbMoveset!A2:K112,11,FALSE)=TRUE,Backdoors!AC5,1))*JP40,0),"")</f>
        <v>0</v>
      </c>
      <c r="JT40" s="49">
        <f>VLOOKUP(A40,tbMoveset!A2:G112,7,FALSE)*IFERROR(IF(Backdoors!AI12&gt;=0,1+(IF(Calculator!E40&gt;0,VLOOKUP(Calculator!E40,tbSkills!AI3:AJ5,2,FALSE),Backdoors!AL4)*(IF((Backdoors!AI12+IF(JO40&gt;=0.45,VLOOKUP(Calculator!E23,tbSkills!DH3:DI6,2,FALSE)+IF(AND(Calculator!B8=TRUE,Backdoors!BI42=TRUE),VLOOKUP(Calculator!E23,tbSkills!DH3:DJ6,3,FALSE),0),0))&gt;=100,100,(Backdoors!AI12+IF(JO40&gt;=0.45,VLOOKUP(Calculator!E23,tbSkills!DH3:DI6,2,FALSE)+IF(AND(Calculator!B8=TRUE,Backdoors!BI42=TRUE),VLOOKUP(Calculator!E23,tbSkills!DH3:DJ6,3,FALSE),0),0)))/100)),1),1)</f>
        <v>0.5</v>
      </c>
      <c r="JU40" s="87">
        <f t="shared" si="31"/>
        <v>0</v>
      </c>
      <c r="JV40" s="86" t="str">
        <f>IFERROR(IF(VLOOKUP(A40,tbMoveset!A2:B112,2,FALSE)="Sever",Backdoors!AY43/100,IF(VLOOKUP(A40,tbMoveset!A2:B112,2,FALSE)="Blunt",Backdoors!AZ43/100,Backdoors!BA43/100)),"")</f>
        <v/>
      </c>
      <c r="JW40" s="49">
        <f>IFERROR(IF(VLOOKUP(tbMoveset!A40,tbMoveset!A2:H112,8,FALSE)="Other",IF(VLOOKUP(tbMoveset!A40,tbMoveset!A2:I112,9,FALSE)="Fire",Backdoors!BB43,IF(VLOOKUP(tbMoveset!A40,tbMoveset!A2:I112,9,FALSE)="Water",Backdoors!BC43,IF(VLOOKUP(tbMoveset!A40,tbMoveset!A2:I112,9,FALSE)="Thunder",Backdoors!BD43,IF(VLOOKUP(tbMoveset!A40,tbMoveset!A2:I112,9,FALSE)="Ice",Backdoors!BE43,IF(VLOOKUP(tbMoveset!A40,tbMoveset!A2:I112,9,FALSE)="Dragon",Backdoors!BF43,Backdoors!BG43)))))/100,Backdoors!BG43/100),"")</f>
        <v>0</v>
      </c>
      <c r="JX40" s="49">
        <f>IFERROR(IF(VLOOKUP(A40,tbMoveset!A2:J112,10,FALSE)=TRUE,IF((Backdoors!AI12+IF(JV40&gt;=0.45,VLOOKUP(Calculator!E23,tbSkills!DH3:DI6,2,FALSE)+IF(AND(Calculator!B8=TRUE,Backdoors!BI43=TRUE),VLOOKUP(Calculator!E23,tbSkills!DH3:DJ6,3,FALSE),0),0))&gt;=0,1+(Backdoors!AL2*(IF((Backdoors!AI12+IF(JV40&gt;=0.45,VLOOKUP(Calculator!E23,tbSkills!DH3:DI6,2,FALSE)+IF(AND(Calculator!B8=TRUE,Backdoors!BI43=TRUE),VLOOKUP(Calculator!E23,tbSkills!DH3:DJ6,3,FALSE),0),0))&gt;=100,100,(Backdoors!AI12+IF(JV40&gt;=0.45,VLOOKUP(Calculator!E23,tbSkills!DH3:DI6,2,FALSE)+IF(AND(Calculator!B8=TRUE,Backdoors!BI43=TRUE),VLOOKUP(Calculator!E23,tbSkills!DH3:DJ6,3,FALSE),0),0)))/100)),(1-(0.25*((-Backdoors!AI12-IF(JV40&gt;=0.45,VLOOKUP(Calculator!E23,tbSkills!DH3:DI6,2,FALSE)+IF(AND(Calculator!B8=TRUE,Backdoors!BI43=TRUE),VLOOKUP(Calculator!E23,tbSkills!DH3:DJ6,3,FALSE),0),0))/100)))),1),"")</f>
        <v>1</v>
      </c>
      <c r="JY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V40)*JX40)*(VLOOKUP(A40,tbMoveset!A2:C112,3,FALSE)/100)*IF(VLOOKUP(A40,tbMoveset!A2:B112,2,FALSE)="Projectile",Backdoors!N10,Backdoors!N9),0),"")</f>
        <v/>
      </c>
      <c r="JZ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46&gt;0,VLOOKUP(Calculator!E46,tbSkills!AC3:AD5,2,FALSE),Backdoors!AL3)*(IF((Backdoors!AI12+IF(JV40&gt;=0.45,VLOOKUP(Calculator!E23,tbSkills!DH3:DI6,2,FALSE)+IF(AND(Calculator!B8=TRUE,Backdoors!BI43=TRUE),VLOOKUP(Calculator!E23,tbSkills!DH3:DJ6,3,FALSE),0),0))&gt;=100,100,(Backdoors!AI12+IF(JV40&gt;=0.45,VLOOKUP(Calculator!E23,tbSkills!DH3:DI6,2,FALSE)+IF(AND(Calculator!B8=TRUE,Backdoors!BI43=TRUE),VLOOKUP(Calculator!E23,tbSkills!DH3:DJ6,3,FALSE),0),0)))/100)),1))*IF(VLOOKUP(A40,tbMoveset!A2:K112,11,FALSE)=TRUE,Backdoors!AC5,1))*JW40,0),"")</f>
        <v/>
      </c>
      <c r="KA40" s="49">
        <f>VLOOKUP(A40,tbMoveset!A2:G112,7,FALSE)*IFERROR(IF(Backdoors!AI12&gt;=0,1+(IF(Calculator!E40&gt;0,VLOOKUP(Calculator!E40,tbSkills!AI3:AJ5,2,FALSE),Backdoors!AL4)*(IF((Backdoors!AI12+IF(JV40&gt;=0.45,VLOOKUP(Calculator!E23,tbSkills!DH3:DI6,2,FALSE)+IF(AND(Calculator!B8=TRUE,Backdoors!BI43=TRUE),VLOOKUP(Calculator!E23,tbSkills!DH3:DJ6,3,FALSE),0),0))&gt;=100,100,(Backdoors!AI12+IF(JV40&gt;=0.45,VLOOKUP(Calculator!E23,tbSkills!DH3:DI6,2,FALSE)+IF(AND(Calculator!B8=TRUE,Backdoors!BI43=TRUE),VLOOKUP(Calculator!E23,tbSkills!DH3:DJ6,3,FALSE),0),0)))/100)),1),1)</f>
        <v>0.5</v>
      </c>
      <c r="KB40" s="87">
        <f t="shared" si="32"/>
        <v>0</v>
      </c>
      <c r="KC40" s="86" t="str">
        <f>IFERROR(IF(VLOOKUP(A40,tbMoveset!A2:B112,2,FALSE)="Sever",Backdoors!AY44/100,IF(VLOOKUP(A40,tbMoveset!A2:B112,2,FALSE)="Blunt",Backdoors!AZ44/100,Backdoors!BA44/100)),"")</f>
        <v/>
      </c>
      <c r="KD40" s="49">
        <f>IFERROR(IF(VLOOKUP(tbMoveset!A40,tbMoveset!A2:H112,8,FALSE)="Other",IF(VLOOKUP(tbMoveset!A40,tbMoveset!A2:I112,9,FALSE)="Fire",Backdoors!BB44,IF(VLOOKUP(tbMoveset!A40,tbMoveset!A2:I112,9,FALSE)="Water",Backdoors!BC44,IF(VLOOKUP(tbMoveset!A40,tbMoveset!A2:I112,9,FALSE)="Thunder",Backdoors!BD44,IF(VLOOKUP(tbMoveset!A40,tbMoveset!A2:I112,9,FALSE)="Ice",Backdoors!BE44,IF(VLOOKUP(tbMoveset!A40,tbMoveset!A2:I112,9,FALSE)="Dragon",Backdoors!BF44,Backdoors!BG44)))))/100,Backdoors!BG44/100),"")</f>
        <v>0</v>
      </c>
      <c r="KE40" s="49">
        <f>IFERROR(IF(VLOOKUP(A40,tbMoveset!A2:J112,10,FALSE)=TRUE,IF((Backdoors!AI12+IF(KC40&gt;=0.45,VLOOKUP(Calculator!E23,tbSkills!DH3:DI6,2,FALSE)+IF(AND(Calculator!B8=TRUE,Backdoors!BI44=TRUE),VLOOKUP(Calculator!E23,tbSkills!DH3:DJ6,3,FALSE),0),0))&gt;=0,1+(Backdoors!AL2*(IF((Backdoors!AI12+IF(KC40&gt;=0.45,VLOOKUP(Calculator!E23,tbSkills!DH3:DI6,2,FALSE)+IF(AND(Calculator!B8=TRUE,Backdoors!BI44=TRUE),VLOOKUP(Calculator!E23,tbSkills!DH3:DJ6,3,FALSE),0),0))&gt;=100,100,(Backdoors!AI12+IF(KC40&gt;=0.45,VLOOKUP(Calculator!E23,tbSkills!DH3:DI6,2,FALSE)+IF(AND(Calculator!B8=TRUE,Backdoors!BI44=TRUE),VLOOKUP(Calculator!E23,tbSkills!DH3:DJ6,3,FALSE),0),0)))/100)),(1-(0.25*((-Backdoors!AI12-IF(KC40&gt;=0.45,VLOOKUP(Calculator!E23,tbSkills!DH3:DI6,2,FALSE)+IF(AND(Calculator!B8=TRUE,Backdoors!BI44=TRUE),VLOOKUP(Calculator!E23,tbSkills!DH3:DJ6,3,FALSE),0),0))/100)))),1),"")</f>
        <v>1</v>
      </c>
      <c r="KF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KC40)*KE40)*(VLOOKUP(A40,tbMoveset!A2:C112,3,FALSE)/100)*IF(VLOOKUP(A40,tbMoveset!A2:B112,2,FALSE)="Projectile",Backdoors!N10,Backdoors!N9),0),"")</f>
        <v/>
      </c>
      <c r="KG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REF!&gt;0,VLOOKUP(Calculator!#REF!,tbSkills!AC3:AD5,2,FALSE),Backdoors!AL3)*(IF((Backdoors!AI12+IF(KC40&gt;=0.45,VLOOKUP(Calculator!E23,tbSkills!DH3:DI6,2,FALSE)+IF(AND(Calculator!B8=TRUE,Backdoors!BI44=TRUE),VLOOKUP(Calculator!E23,tbSkills!DH3:DJ6,3,FALSE),0),0))&gt;=100,100,(Backdoors!AI12+IF(KC40&gt;=0.45,VLOOKUP(Calculator!E23,tbSkills!DH3:DI6,2,FALSE)+IF(AND(Calculator!B8=TRUE,Backdoors!BI44=TRUE),VLOOKUP(Calculator!E23,tbSkills!DH3:DJ6,3,FALSE),0),0)))/100)),1))*IF(VLOOKUP(A40,tbMoveset!A2:K112,11,FALSE)=TRUE,Backdoors!AC5,1))*KD40,0),"")</f>
        <v/>
      </c>
      <c r="KH40" s="49">
        <f>VLOOKUP(A40,tbMoveset!A2:G112,7,FALSE)*IFERROR(IF(Backdoors!AI12&gt;=0,1+(IF(Calculator!E40&gt;0,VLOOKUP(Calculator!E40,tbSkills!AI3:AJ5,2,FALSE),Backdoors!AL4)*(IF((Backdoors!AI12+IF(KC40&gt;=0.45,VLOOKUP(Calculator!E23,tbSkills!DH3:DI6,2,FALSE)+IF(AND(Calculator!B8=TRUE,Backdoors!BI44=TRUE),VLOOKUP(Calculator!E23,tbSkills!DH3:DJ6,3,FALSE),0),0))&gt;=100,100,(Backdoors!AI12+IF(KC40&gt;=0.45,VLOOKUP(Calculator!E23,tbSkills!DH3:DI6,2,FALSE)+IF(AND(Calculator!B8=TRUE,Backdoors!BI44=TRUE),VLOOKUP(Calculator!E23,tbSkills!DH3:DJ6,3,FALSE),0),0)))/100)),1),1)</f>
        <v>0.5</v>
      </c>
      <c r="KI40" s="87">
        <f t="shared" si="33"/>
        <v>0</v>
      </c>
      <c r="KJ40" s="86" t="str">
        <f>IFERROR(IF(VLOOKUP(A40,tbMoveset!A2:B112,2,FALSE)="Sever",Backdoors!AY45/100,IF(VLOOKUP(A40,tbMoveset!A2:B112,2,FALSE)="Blunt",Backdoors!AZ45/100,Backdoors!BA45/100)),"")</f>
        <v/>
      </c>
      <c r="KK40" s="49">
        <f>IFERROR(IF(VLOOKUP(tbMoveset!A40,tbMoveset!A2:H112,8,FALSE)="Other",IF(VLOOKUP(tbMoveset!A40,tbMoveset!A2:I112,9,FALSE)="Fire",Backdoors!BB45,IF(VLOOKUP(tbMoveset!A40,tbMoveset!A2:I112,9,FALSE)="Water",Backdoors!BC45,IF(VLOOKUP(tbMoveset!A40,tbMoveset!A2:I112,9,FALSE)="Thunder",Backdoors!BD45,IF(VLOOKUP(tbMoveset!A40,tbMoveset!A2:I112,9,FALSE)="Ice",Backdoors!BE45,IF(VLOOKUP(tbMoveset!A40,tbMoveset!A2:I112,9,FALSE)="Dragon",Backdoors!BF45,Backdoors!BG45)))))/100,Backdoors!BG45/100),"")</f>
        <v>0</v>
      </c>
      <c r="KL40" s="49">
        <f>IFERROR(IF(VLOOKUP(A40,tbMoveset!A2:J112,10,FALSE)=TRUE,IF((Backdoors!AI12+IF(KJ40&gt;=0.45,VLOOKUP(Calculator!E23,tbSkills!DH3:DI6,2,FALSE)+IF(AND(Calculator!B8=TRUE,Backdoors!BI45=TRUE),VLOOKUP(Calculator!E23,tbSkills!DH3:DJ6,3,FALSE),0),0))&gt;=0,1+(Backdoors!AL2*(IF((Backdoors!AI12+IF(KJ40&gt;=0.45,VLOOKUP(Calculator!E23,tbSkills!DH3:DI6,2,FALSE)+IF(AND(Calculator!B8=TRUE,Backdoors!BI45=TRUE),VLOOKUP(Calculator!E23,tbSkills!DH3:DJ6,3,FALSE),0),0))&gt;=100,100,(Backdoors!AI12+IF(KJ40&gt;=0.45,VLOOKUP(Calculator!E23,tbSkills!DH3:DI6,2,FALSE)+IF(AND(Calculator!B8=TRUE,Backdoors!BI45=TRUE),VLOOKUP(Calculator!E23,tbSkills!DH3:DJ6,3,FALSE),0),0)))/100)),(1-(0.25*((-Backdoors!AI12-IF(KJ40&gt;=0.45,VLOOKUP(Calculator!E23,tbSkills!DH3:DI6,2,FALSE)+IF(AND(Calculator!B8=TRUE,Backdoors!BI45=TRUE),VLOOKUP(Calculator!E23,tbSkills!DH3:DJ6,3,FALSE),0),0))/100)))),1),"")</f>
        <v>1</v>
      </c>
      <c r="KM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KJ40)*KL40)*(VLOOKUP(A40,tbMoveset!A2:C112,3,FALSE)/100)*IF(VLOOKUP(A40,tbMoveset!A2:B112,2,FALSE)="Projectile",Backdoors!N10,Backdoors!N9),0),"")</f>
        <v/>
      </c>
      <c r="KN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REF!&gt;0,VLOOKUP(Calculator!#REF!,tbSkills!AC3:AD5,2,FALSE),Backdoors!AL3)*(IF((Backdoors!AI12+IF(KJ40&gt;=0.45,VLOOKUP(Calculator!E23,tbSkills!DH3:DI6,2,FALSE)+IF(AND(Calculator!B8=TRUE,Backdoors!BI45=TRUE),VLOOKUP(Calculator!E23,tbSkills!DH3:DJ6,3,FALSE),0),0))&gt;=100,100,(Backdoors!AI12+IF(KJ40&gt;=0.45,VLOOKUP(Calculator!E23,tbSkills!DH3:DI6,2,FALSE)+IF(AND(Calculator!B8=TRUE,Backdoors!BI45=TRUE),VLOOKUP(Calculator!E23,tbSkills!DH3:DJ6,3,FALSE),0),0)))/100)),1))*IF(VLOOKUP(A40,tbMoveset!A2:K112,11,FALSE)=TRUE,Backdoors!AC5,1))*KK40,0),"")</f>
        <v/>
      </c>
      <c r="KO40" s="49">
        <f>VLOOKUP(A40,tbMoveset!A2:G112,7,FALSE)*IFERROR(IF(Backdoors!AI12&gt;=0,1+(IF(Calculator!E40&gt;0,VLOOKUP(Calculator!E40,tbSkills!AI3:AJ5,2,FALSE),Backdoors!AL4)*(IF((Backdoors!AI12+IF(KJ40&gt;=0.45,VLOOKUP(Calculator!E23,tbSkills!DH3:DI6,2,FALSE)+IF(AND(Calculator!B8=TRUE,Backdoors!BI45=TRUE),VLOOKUP(Calculator!E23,tbSkills!DH3:DJ6,3,FALSE),0),0))&gt;=100,100,(Backdoors!AI12+IF(KJ40&gt;=0.45,VLOOKUP(Calculator!E23,tbSkills!DH3:DI6,2,FALSE)+IF(AND(Calculator!B8=TRUE,Backdoors!BI45=TRUE),VLOOKUP(Calculator!E23,tbSkills!DH3:DJ6,3,FALSE),0),0)))/100)),1),1)</f>
        <v>0.5</v>
      </c>
      <c r="KP40" s="87">
        <f t="shared" si="34"/>
        <v>0</v>
      </c>
      <c r="KQ40" s="86" t="str">
        <f>IFERROR(IF(VLOOKUP(A40,tbMoveset!A2:B112,2,FALSE)="Sever",Backdoors!AY46/100,IF(VLOOKUP(A40,tbMoveset!A2:B112,2,FALSE)="Blunt",Backdoors!AZ46/100,Backdoors!BA46/100)),"")</f>
        <v/>
      </c>
      <c r="KR40" s="49">
        <f>IFERROR(IF(VLOOKUP(tbMoveset!A40,tbMoveset!A2:H112,8,FALSE)="Other",IF(VLOOKUP(tbMoveset!A40,tbMoveset!A2:I112,9,FALSE)="Fire",Backdoors!BB46,IF(VLOOKUP(tbMoveset!A40,tbMoveset!A2:I112,9,FALSE)="Water",Backdoors!BC46,IF(VLOOKUP(tbMoveset!A40,tbMoveset!A2:I112,9,FALSE)="Thunder",Backdoors!BD46,IF(VLOOKUP(tbMoveset!A40,tbMoveset!A2:I112,9,FALSE)="Ice",Backdoors!BE46,IF(VLOOKUP(tbMoveset!A40,tbMoveset!A2:I112,9,FALSE)="Dragon",Backdoors!BF46,Backdoors!BG46)))))/100,Backdoors!BG46/100),"")</f>
        <v>0</v>
      </c>
      <c r="KS40" s="49">
        <f>IFERROR(IF(VLOOKUP(A40,tbMoveset!A2:J112,10,FALSE)=TRUE,IF((Backdoors!AI12+IF(KQ40&gt;=0.45,VLOOKUP(Calculator!E23,tbSkills!DH3:DI6,2,FALSE)+IF(AND(Calculator!B8=TRUE,Backdoors!BI46=TRUE),VLOOKUP(Calculator!E23,tbSkills!DH3:DJ6,3,FALSE),0),0))&gt;=0,1+(Backdoors!AL2*(IF((Backdoors!AI12+IF(KQ40&gt;=0.45,VLOOKUP(Calculator!E23,tbSkills!DH3:DI6,2,FALSE)+IF(AND(Calculator!B8=TRUE,Backdoors!BI46=TRUE),VLOOKUP(Calculator!E23,tbSkills!DH3:DJ6,3,FALSE),0),0))&gt;=100,100,(Backdoors!AI12+IF(KQ40&gt;=0.45,VLOOKUP(Calculator!E23,tbSkills!DH3:DI6,2,FALSE)+IF(AND(Calculator!B8=TRUE,Backdoors!BI46=TRUE),VLOOKUP(Calculator!E23,tbSkills!DH3:DJ6,3,FALSE),0),0)))/100)),(1-(0.25*((-Backdoors!AI12-IF(KQ40&gt;=0.45,VLOOKUP(Calculator!E23,tbSkills!DH3:DI6,2,FALSE)+IF(AND(Calculator!B8=TRUE,Backdoors!BI46=TRUE),VLOOKUP(Calculator!E23,tbSkills!DH3:DJ6,3,FALSE),0),0))/100)))),1),"")</f>
        <v>1</v>
      </c>
      <c r="KT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KQ40)*KS40)*(VLOOKUP(A40,tbMoveset!A2:C112,3,FALSE)/100)*IF(VLOOKUP(A40,tbMoveset!A2:B112,2,FALSE)="Projectile",Backdoors!N10,Backdoors!N9),0),"")</f>
        <v/>
      </c>
      <c r="KU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REF!&gt;0,VLOOKUP(Calculator!#REF!,tbSkills!AC3:AD5,2,FALSE),Backdoors!AL3)*(IF((Backdoors!AI12+IF(KQ40&gt;=0.45,VLOOKUP(Calculator!E23,tbSkills!DH3:DI6,2,FALSE)+IF(AND(Calculator!B8=TRUE,Backdoors!BI46=TRUE),VLOOKUP(Calculator!E23,tbSkills!DH3:DJ6,3,FALSE),0),0))&gt;=100,100,(Backdoors!AI12+IF(KQ40&gt;=0.45,VLOOKUP(Calculator!E23,tbSkills!DH3:DI6,2,FALSE)+IF(AND(Calculator!B8=TRUE,Backdoors!BI46=TRUE),VLOOKUP(Calculator!E23,tbSkills!DH3:DJ6,3,FALSE),0),0)))/100)),1))*IF(VLOOKUP(A40,tbMoveset!A2:K112,11,FALSE)=TRUE,Backdoors!AC5,1))*KR40,0),"")</f>
        <v/>
      </c>
      <c r="KV40" s="49">
        <f>VLOOKUP(A40,tbMoveset!A2:G112,7,FALSE)*IFERROR(IF(Backdoors!AI12&gt;=0,1+(IF(Calculator!E40&gt;0,VLOOKUP(Calculator!E40,tbSkills!AI3:AJ5,2,FALSE),Backdoors!AL4)*(IF((Backdoors!AI12+IF(KQ40&gt;=0.45,VLOOKUP(Calculator!E23,tbSkills!DH3:DI6,2,FALSE)+IF(AND(Calculator!B8=TRUE,Backdoors!BI46=TRUE),VLOOKUP(Calculator!E23,tbSkills!DH3:DJ6,3,FALSE),0),0))&gt;=100,100,(Backdoors!AI12+IF(KQ40&gt;=0.45,VLOOKUP(Calculator!E23,tbSkills!DH3:DI6,2,FALSE)+IF(AND(Calculator!B8=TRUE,Backdoors!BI46=TRUE),VLOOKUP(Calculator!E23,tbSkills!DH3:DJ6,3,FALSE),0),0)))/100)),1),1)</f>
        <v>0.5</v>
      </c>
      <c r="KW40" s="87">
        <f t="shared" si="35"/>
        <v>0</v>
      </c>
    </row>
    <row r="41" spans="1:309" x14ac:dyDescent="0.25">
      <c r="A41" s="95" t="str">
        <f>tbMoveset!A41</f>
        <v>Sixfold Demon Slash (R2)</v>
      </c>
      <c r="B41" s="86">
        <f>IFERROR(IF(VLOOKUP(A41,tbMoveset!A2:B112,2,FALSE)="Sever",Backdoors!AY3/100,IF(VLOOKUP(A41,tbMoveset!A2:B112,2,FALSE)="Blunt",Backdoors!AZ3/100,Backdoors!BA3/100)),"")</f>
        <v>0.8</v>
      </c>
      <c r="C41" s="49">
        <f>IFERROR(IF(VLOOKUP(tbMoveset!A41,tbMoveset!A2:H112,8,FALSE)="Other",IF(VLOOKUP(tbMoveset!A41,tbMoveset!A2:I112,9,FALSE)="Fire",Backdoors!BB3,IF(VLOOKUP(tbMoveset!A41,tbMoveset!A2:I112,9,FALSE)="Water",Backdoors!BC3,IF(VLOOKUP(tbMoveset!A41,tbMoveset!A2:I112,9,FALSE)="Thunder",Backdoors!BD3,IF(VLOOKUP(tbMoveset!A41,tbMoveset!A2:I112,9,FALSE)="Ice",Backdoors!BE3,IF(VLOOKUP(tbMoveset!A41,tbMoveset!A2:I112,9,FALSE)="Dragon",Backdoors!BF3,Backdoors!BG3)))))/100,Backdoors!BG3/100),"")</f>
        <v>0</v>
      </c>
      <c r="D41" s="49">
        <f>IFERROR(IF(VLOOKUP(A41,tbMoveset!A2:J112,10,FALSE)=TRUE,IF((Backdoors!AI12+IF(B41&gt;=0.45,VLOOKUP(Calculator!E23,tbSkills!DH3:DI6,2,FALSE)+IF(AND(Calculator!B8=TRUE,Backdoors!BI3=TRUE),VLOOKUP(Calculator!E23,tbSkills!DH3:DJ6,3,FALSE),0),0))&gt;=0,1+(Backdoors!AL2*(IF((Backdoors!AI12+IF(B41&gt;=0.45,VLOOKUP(Calculator!E23,tbSkills!DH3:DI6,2,FALSE)+IF(AND(Calculator!B8=TRUE,Backdoors!BI3=TRUE),VLOOKUP(Calculator!E23,tbSkills!DH3:DJ6,3,FALSE),0),0))&gt;=100,100,(Backdoors!AI12+IF(B41&gt;=0.45,VLOOKUP(Calculator!E23,tbSkills!DH3:DI6,2,FALSE)+IF(AND(Calculator!B8=TRUE,Backdoors!BI3=TRUE),VLOOKUP(Calculator!E23,tbSkills!DH3:DJ6,3,FALSE),0),0)))/100)),(1-(0.25*((-Backdoors!AI12-IF(B41&gt;=0.45,VLOOKUP(Calculator!E23,tbSkills!DH3:DI6,2,FALSE)+IF(AND(Calculator!B8=TRUE,Backdoors!BI3=TRUE),VLOOKUP(Calculator!E23,tbSkills!DH3:DJ6,3,FALSE),0),0))/100)))),1),"")</f>
        <v>1</v>
      </c>
      <c r="E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41)*D41)*(VLOOKUP(A41,tbMoveset!A2:C112,3,FALSE)/100)*IF(VLOOKUP(A41,tbMoveset!A2:B112,2,FALSE)="Projectile",Backdoors!N10,Backdoors!N9),0),"")</f>
        <v>6</v>
      </c>
      <c r="F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41&gt;=0.45,VLOOKUP(Calculator!E23,tbSkills!DH3:DI6,2,FALSE)+IF(AND(Calculator!B8=TRUE,Backdoors!BI3=TRUE),VLOOKUP(Calculator!E23,tbSkills!DH3:DJ6,3,FALSE),0),0))&gt;=100,100,(Backdoors!AI12+IF(B41&gt;=0.45,VLOOKUP(Calculator!E23,tbSkills!DH3:DI6,2,FALSE)+IF(AND(Calculator!B8=TRUE,Backdoors!BI3=TRUE),VLOOKUP(Calculator!E23,tbSkills!DH3:DJ6,3,FALSE),0),0)))/100)),1))*IF(VLOOKUP(A41,tbMoveset!A2:K112,11,FALSE)=TRUE,Backdoors!AC5,1))*C41,0),"")</f>
        <v>0</v>
      </c>
      <c r="G41">
        <f>VLOOKUP(A41,tbMoveset!A2:G112,7,FALSE)*IFERROR(IF(Backdoors!AI12&gt;=0,1+(IF(Calculator!E40&gt;0,VLOOKUP(Calculator!E40,tbSkills!AI3:AJ5,2,FALSE),Backdoors!AL4)*(IF((Backdoors!AI12+IF(B41&gt;=0.45,VLOOKUP(Calculator!E23,tbSkills!DH3:DI6,2,FALSE)+IF(AND(Calculator!B8=TRUE,Backdoors!BI3=TRUE),VLOOKUP(Calculator!E23,tbSkills!DH3:DJ6,3,FALSE),0),0))&gt;=100,100,(Backdoors!AI12+IF(B41&gt;=0.45,VLOOKUP(Calculator!E23,tbSkills!DH3:DI6,2,FALSE)+IF(AND(Calculator!B8=TRUE,Backdoors!BI3=TRUE),VLOOKUP(Calculator!E23,tbSkills!DH3:DJ6,3,FALSE),0),0)))/100)),1),1)</f>
        <v>0.5</v>
      </c>
      <c r="H41" s="87">
        <f t="shared" si="44"/>
        <v>6</v>
      </c>
      <c r="I41" s="86">
        <f>IFERROR(IF(VLOOKUP(A41,tbMoveset!A2:B112,2,FALSE)="Sever",Backdoors!AY4/100,IF(VLOOKUP(A41,tbMoveset!A2:B112,2,FALSE)="Blunt",Backdoors!AZ4/100,Backdoors!BA4/100)),"")</f>
        <v>0.65</v>
      </c>
      <c r="J41" s="49">
        <f>IFERROR(IF(VLOOKUP(tbMoveset!A41,tbMoveset!A2:H112,8,FALSE)="Other",IF(VLOOKUP(tbMoveset!A41,tbMoveset!A2:I112,9,FALSE)="Fire",Backdoors!BB4,IF(VLOOKUP(tbMoveset!A41,tbMoveset!A2:I112,9,FALSE)="Water",Backdoors!BC4,IF(VLOOKUP(tbMoveset!A41,tbMoveset!A2:I112,9,FALSE)="Thunder",Backdoors!BD4,IF(VLOOKUP(tbMoveset!A41,tbMoveset!A2:I112,9,FALSE)="Ice",Backdoors!BE4,IF(VLOOKUP(tbMoveset!A41,tbMoveset!A2:I112,9,FALSE)="Dragon",Backdoors!BF4,Backdoors!BG4)))))/100,Backdoors!BG4/100),"")</f>
        <v>0</v>
      </c>
      <c r="K41" s="49">
        <f>IFERROR(IF(VLOOKUP(A41,tbMoveset!A2:J112,10,FALSE)=TRUE,IF((Backdoors!AI12+IF(I41&gt;=0.45,VLOOKUP(Calculator!E23,tbSkills!DH3:DI6,2,FALSE)+IF(AND(Calculator!B8=TRUE,Backdoors!BI4=TRUE),VLOOKUP(Calculator!E23,tbSkills!DH3:DJ6,3,FALSE),0),0))&gt;=0,1+(Backdoors!AL2*(IF((Backdoors!AI12+IF(I41&gt;=0.45,VLOOKUP(Calculator!E23,tbSkills!DH3:DI6,2,FALSE)+IF(AND(Calculator!B8=TRUE,Backdoors!BI4=TRUE),VLOOKUP(Calculator!E23,tbSkills!DH3:DJ6,3,FALSE),0),0))&gt;=100,100,(Backdoors!AI12+IF(I41&gt;=0.45,VLOOKUP(Calculator!E23,tbSkills!DH3:DI6,2,FALSE)+IF(AND(Calculator!B8=TRUE,Backdoors!BI4=TRUE),VLOOKUP(Calculator!E23,tbSkills!DH3:DJ6,3,FALSE),0),0)))/100)),(1-(0.25*((-Backdoors!AI12-IF(I41&gt;=0.45,VLOOKUP(Calculator!E23,tbSkills!DH3:DI6,2,FALSE)+IF(AND(Calculator!B8=TRUE,Backdoors!BI4=TRUE),VLOOKUP(Calculator!E23,tbSkills!DH3:DJ6,3,FALSE),0),0))/100)))),1),"")</f>
        <v>1</v>
      </c>
      <c r="L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41)*K41)*(VLOOKUP(A41,tbMoveset!A2:C112,3,FALSE)/100)*IF(VLOOKUP(A41,tbMoveset!A2:B112,2,FALSE)="Projectile",Backdoors!N10,Backdoors!N9),0),"")</f>
        <v>5</v>
      </c>
      <c r="M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I41&gt;=0.45,VLOOKUP(Calculator!E23,tbSkills!DH3:DI6,2,FALSE)+IF(AND(Calculator!B8=TRUE,Backdoors!BI4=TRUE),VLOOKUP(Calculator!E23,tbSkills!DH3:DJ6,3,FALSE),0),0))&gt;=100,100,(Backdoors!AI12+IF(I41&gt;=0.45,VLOOKUP(Calculator!E23,tbSkills!DH3:DI6,2,FALSE)+IF(AND(Calculator!B8=TRUE,Backdoors!BI4=TRUE),VLOOKUP(Calculator!E23,tbSkills!DH3:DJ6,3,FALSE),0),0)))/100)),1))*IF(VLOOKUP(A41,tbMoveset!A2:K112,11,FALSE)=TRUE,Backdoors!AC5,1))*J41,0),"")</f>
        <v>0</v>
      </c>
      <c r="N41" s="49">
        <f>VLOOKUP(A41,tbMoveset!A2:G112,7,FALSE)*IFERROR(IF(Backdoors!AI12&gt;=0,1+(IF(Calculator!E40&gt;0,VLOOKUP(Calculator!E40,tbSkills!AI3:AJ5,2,FALSE),Backdoors!AL4)*(IF((Backdoors!AI12+IF(I41&gt;=0.45,VLOOKUP(Calculator!E23,tbSkills!DH3:DI6,2,FALSE)+IF(AND(Calculator!B8=TRUE,Backdoors!BI4=TRUE),VLOOKUP(Calculator!E23,tbSkills!DH3:DJ6,3,FALSE),0),0))&gt;=100,100,(Backdoors!AI12+IF(I41&gt;=0.45,VLOOKUP(Calculator!E23,tbSkills!DH3:DI6,2,FALSE)+IF(AND(Calculator!B8=TRUE,Backdoors!BI4=TRUE),VLOOKUP(Calculator!E23,tbSkills!DH3:DJ6,3,FALSE),0),0)))/100)),1),1)</f>
        <v>0.5</v>
      </c>
      <c r="O41" s="87">
        <f t="shared" si="45"/>
        <v>5</v>
      </c>
      <c r="P41" s="86">
        <f>IFERROR(IF(VLOOKUP(A41,tbMoveset!A2:B112,2,FALSE)="Sever",Backdoors!AY5/100,IF(VLOOKUP(A41,tbMoveset!A2:B112,2,FALSE)="Blunt",Backdoors!AZ5/100,Backdoors!BA5/100)),"")</f>
        <v>0.5</v>
      </c>
      <c r="Q41" s="49">
        <f>IFERROR(IF(VLOOKUP(tbMoveset!A41,tbMoveset!A2:H112,8,FALSE)="Other",IF(VLOOKUP(tbMoveset!A41,tbMoveset!A2:I112,9,FALSE)="Fire",Backdoors!BB5,IF(VLOOKUP(tbMoveset!A41,tbMoveset!A2:I112,9,FALSE)="Water",Backdoors!BC5,IF(VLOOKUP(tbMoveset!A41,tbMoveset!A2:I112,9,FALSE)="Thunder",Backdoors!BD5,IF(VLOOKUP(tbMoveset!A41,tbMoveset!A2:I112,9,FALSE)="Ice",Backdoors!BE5,IF(VLOOKUP(tbMoveset!A41,tbMoveset!A2:I112,9,FALSE)="Dragon",Backdoors!BF5,Backdoors!BG5)))))/100,Backdoors!BG5/100),"")</f>
        <v>0</v>
      </c>
      <c r="R41" s="49">
        <f>IFERROR(IF(VLOOKUP(A41,tbMoveset!A2:J112,10,FALSE)=TRUE,IF((Backdoors!AI12+IF(P41&gt;=0.45,VLOOKUP(Calculator!E23,tbSkills!DH3:DI6,2,FALSE)+IF(AND(Calculator!B8=TRUE,Backdoors!BI5=TRUE),VLOOKUP(Calculator!E23,tbSkills!DH3:DJ6,3,FALSE),0),0))&gt;=0,1+(Backdoors!AL2*(IF((Backdoors!AI12+IF(P41&gt;=0.45,VLOOKUP(Calculator!E23,tbSkills!DH3:DI6,2,FALSE)+IF(AND(Calculator!B8=TRUE,Backdoors!BI5=TRUE),VLOOKUP(Calculator!E23,tbSkills!DH3:DJ6,3,FALSE),0),0))&gt;=100,100,(Backdoors!AI12+IF(P41&gt;=0.45,VLOOKUP(Calculator!E23,tbSkills!DH3:DI6,2,FALSE)+IF(AND(Calculator!B8=TRUE,Backdoors!BI5=TRUE),VLOOKUP(Calculator!E23,tbSkills!DH3:DJ6,3,FALSE),0),0)))/100)),(1-(0.25*((-Backdoors!AI12-IF(P41&gt;=0.45,VLOOKUP(Calculator!E23,tbSkills!DH3:DI6,2,FALSE)+IF(AND(Calculator!B8=TRUE,Backdoors!BI5=TRUE),VLOOKUP(Calculator!E23,tbSkills!DH3:DJ6,3,FALSE),0),0))/100)))),1),"")</f>
        <v>1</v>
      </c>
      <c r="S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P41)*R41)*(VLOOKUP(A41,tbMoveset!A2:C112,3,FALSE)/100)*IF(VLOOKUP(A41,tbMoveset!A2:B112,2,FALSE)="Projectile",Backdoors!N10,Backdoors!N9),0),"")</f>
        <v>4</v>
      </c>
      <c r="T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P41&gt;=0.45,VLOOKUP(Calculator!E23,tbSkills!DH3:DI6,2,FALSE)+IF(AND(Calculator!B8=TRUE,Backdoors!BI5=TRUE),VLOOKUP(Calculator!E23,tbSkills!DH3:DJ6,3,FALSE),0),0))&gt;=100,100,(Backdoors!AI12+IF(P41&gt;=0.45,VLOOKUP(Calculator!E23,tbSkills!DH3:DI6,2,FALSE)+IF(AND(Calculator!B8=TRUE,Backdoors!BI5=TRUE),VLOOKUP(Calculator!E23,tbSkills!DH3:DJ6,3,FALSE),0),0)))/100)),1))*IF(VLOOKUP(A41,tbMoveset!A2:K112,11,FALSE)=TRUE,Backdoors!AC5,1))*Q41,0),"")</f>
        <v>0</v>
      </c>
      <c r="U41" s="49">
        <f>VLOOKUP(A41,tbMoveset!A2:G112,7,FALSE)*IFERROR(IF(Backdoors!AI12&gt;=0,1+(IF(Calculator!E40&gt;0,VLOOKUP(Calculator!E40,tbSkills!AI3:AJ5,2,FALSE),Backdoors!AL4)*(IF((Backdoors!AI12+IF(P41&gt;=0.45,VLOOKUP(Calculator!E23,tbSkills!DH3:DI6,2,FALSE)+IF(AND(Calculator!B8=TRUE,Backdoors!BI5=TRUE),VLOOKUP(Calculator!E23,tbSkills!DH3:DJ6,3,FALSE),0),0))&gt;=100,100,(Backdoors!AI12+IF(P41&gt;=0.45,VLOOKUP(Calculator!E23,tbSkills!DH3:DI6,2,FALSE)+IF(AND(Calculator!B8=TRUE,Backdoors!BI5=TRUE),VLOOKUP(Calculator!E23,tbSkills!DH3:DJ6,3,FALSE),0),0)))/100)),1),1)</f>
        <v>0.5</v>
      </c>
      <c r="V41" s="87">
        <f t="shared" si="46"/>
        <v>4</v>
      </c>
      <c r="W41" s="86">
        <f>IFERROR(IF(VLOOKUP(A41,tbMoveset!A2:B112,2,FALSE)="Sever",Backdoors!AY6/100,IF(VLOOKUP(A41,tbMoveset!A2:B112,2,FALSE)="Blunt",Backdoors!AZ6/100,Backdoors!BA6/100)),"")</f>
        <v>0.45</v>
      </c>
      <c r="X41" s="49">
        <f>IFERROR(IF(VLOOKUP(tbMoveset!A41,tbMoveset!A2:H112,8,FALSE)="Other",IF(VLOOKUP(tbMoveset!A41,tbMoveset!A2:I112,9,FALSE)="Fire",Backdoors!BB6,IF(VLOOKUP(tbMoveset!A41,tbMoveset!A2:I112,9,FALSE)="Water",Backdoors!BC6,IF(VLOOKUP(tbMoveset!A41,tbMoveset!A2:I112,9,FALSE)="Thunder",Backdoors!BD6,IF(VLOOKUP(tbMoveset!A41,tbMoveset!A2:I112,9,FALSE)="Ice",Backdoors!BE6,IF(VLOOKUP(tbMoveset!A41,tbMoveset!A2:I112,9,FALSE)="Dragon",Backdoors!BF6,Backdoors!BG6)))))/100,Backdoors!BG6/100),"")</f>
        <v>0</v>
      </c>
      <c r="Y41" s="49">
        <f>IFERROR(IF(VLOOKUP(A41,tbMoveset!A2:J112,10,FALSE)=TRUE,IF((Backdoors!AI12+IF(W41&gt;=0.45,VLOOKUP(Calculator!E23,tbSkills!DH3:DI6,2,FALSE)+IF(AND(Calculator!B8=TRUE,Backdoors!BI6=TRUE),VLOOKUP(Calculator!E23,tbSkills!DH3:DJ6,3,FALSE),0),0))&gt;=0,1+(Backdoors!AL2*(IF((Backdoors!AI12+IF(W41&gt;=0.45,VLOOKUP(Calculator!E23,tbSkills!DH3:DI6,2,FALSE)+IF(AND(Calculator!B8=TRUE,Backdoors!BI6=TRUE),VLOOKUP(Calculator!E23,tbSkills!DH3:DJ6,3,FALSE),0),0))&gt;=100,100,(Backdoors!AI12+IF(W41&gt;=0.45,VLOOKUP(Calculator!E23,tbSkills!DH3:DI6,2,FALSE)+IF(AND(Calculator!B8=TRUE,Backdoors!BI6=TRUE),VLOOKUP(Calculator!E23,tbSkills!DH3:DJ6,3,FALSE),0),0)))/100)),(1-(0.25*((-Backdoors!AI12-IF(W41&gt;=0.45,VLOOKUP(Calculator!E23,tbSkills!DH3:DI6,2,FALSE)+IF(AND(Calculator!B8=TRUE,Backdoors!BI6=TRUE),VLOOKUP(Calculator!E23,tbSkills!DH3:DJ6,3,FALSE),0),0))/100)))),1),"")</f>
        <v>1</v>
      </c>
      <c r="Z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W41)*Y41)*(VLOOKUP(A41,tbMoveset!A2:C112,3,FALSE)/100)*IF(VLOOKUP(A41,tbMoveset!A2:B112,2,FALSE)="Projectile",Backdoors!N10,Backdoors!N9),0),"")</f>
        <v>3</v>
      </c>
      <c r="AA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W41&gt;=0.45,VLOOKUP(Calculator!E23,tbSkills!DH3:DI6,2,FALSE)+IF(AND(Calculator!B8=TRUE,Backdoors!BI6=TRUE),VLOOKUP(Calculator!E23,tbSkills!DH3:DJ6,3,FALSE),0),0))&gt;=100,100,(Backdoors!AI12+IF(W41&gt;=0.45,VLOOKUP(Calculator!E23,tbSkills!DH3:DI6,2,FALSE)+IF(AND(Calculator!B8=TRUE,Backdoors!BI6=TRUE),VLOOKUP(Calculator!E23,tbSkills!DH3:DJ6,3,FALSE),0),0)))/100)),1))*IF(VLOOKUP(A41,tbMoveset!A2:K112,11,FALSE)=TRUE,Backdoors!AC5,1))*X41,0),"")</f>
        <v>0</v>
      </c>
      <c r="AB41" s="49">
        <f>VLOOKUP(A41,tbMoveset!A2:G112,7,FALSE)*IFERROR(IF(Backdoors!AI12&gt;=0,1+(IF(Calculator!E40&gt;0,VLOOKUP(Calculator!E40,tbSkills!AI3:AJ5,2,FALSE),Backdoors!AL4)*(IF((Backdoors!AI12+IF(W41&gt;=0.45,VLOOKUP(Calculator!E23,tbSkills!DH3:DI6,2,FALSE)+IF(AND(Calculator!B8=TRUE,Backdoors!BI6=TRUE),VLOOKUP(Calculator!E23,tbSkills!DH3:DJ6,3,FALSE),0),0))&gt;=100,100,(Backdoors!AI12+IF(W41&gt;=0.45,VLOOKUP(Calculator!E23,tbSkills!DH3:DI6,2,FALSE)+IF(AND(Calculator!B8=TRUE,Backdoors!BI6=TRUE),VLOOKUP(Calculator!E23,tbSkills!DH3:DJ6,3,FALSE),0),0)))/100)),1),1)</f>
        <v>0.5</v>
      </c>
      <c r="AC41" s="87">
        <f t="shared" si="47"/>
        <v>3</v>
      </c>
      <c r="AD41" s="86">
        <f>IFERROR(IF(VLOOKUP(A41,tbMoveset!A2:B112,2,FALSE)="Sever",Backdoors!AY7/100,IF(VLOOKUP(A41,tbMoveset!A2:B112,2,FALSE)="Blunt",Backdoors!AZ7/100,Backdoors!BA7/100)),"")</f>
        <v>0.65</v>
      </c>
      <c r="AE41" s="49">
        <f>IFERROR(IF(VLOOKUP(tbMoveset!A41,tbMoveset!A2:H112,8,FALSE)="Other",IF(VLOOKUP(tbMoveset!A41,tbMoveset!A2:I112,9,FALSE)="Fire",Backdoors!BB7,IF(VLOOKUP(tbMoveset!A41,tbMoveset!A2:I112,9,FALSE)="Water",Backdoors!BC7,IF(VLOOKUP(tbMoveset!A41,tbMoveset!A2:I112,9,FALSE)="Thunder",Backdoors!BD7,IF(VLOOKUP(tbMoveset!A41,tbMoveset!A2:I112,9,FALSE)="Ice",Backdoors!BE7,IF(VLOOKUP(tbMoveset!A41,tbMoveset!A2:I112,9,FALSE)="Dragon",Backdoors!BF7,Backdoors!BG7)))))/100,Backdoors!BG7/100),"")</f>
        <v>0</v>
      </c>
      <c r="AF41" s="49">
        <f>IFERROR(IF(VLOOKUP(A41,tbMoveset!A2:J112,10,FALSE)=TRUE,IF((Backdoors!AI12+IF(AD41&gt;=0.45,VLOOKUP(Calculator!E23,tbSkills!DH3:DI6,2,FALSE)+IF(AND(Calculator!B8=TRUE,Backdoors!BI7=TRUE),VLOOKUP(Calculator!E23,tbSkills!DH3:DJ6,3,FALSE),0),0))&gt;=0,1+(Backdoors!AL2*(IF((Backdoors!AI12+IF(AD41&gt;=0.45,VLOOKUP(Calculator!E23,tbSkills!DH3:DI6,2,FALSE)+IF(AND(Calculator!B8=TRUE,Backdoors!BI7=TRUE),VLOOKUP(Calculator!E23,tbSkills!DH3:DJ6,3,FALSE),0),0))&gt;=100,100,(Backdoors!AI12+IF(AD41&gt;=0.45,VLOOKUP(Calculator!E23,tbSkills!DH3:DI6,2,FALSE)+IF(AND(Calculator!B8=TRUE,Backdoors!BI7=TRUE),VLOOKUP(Calculator!E23,tbSkills!DH3:DJ6,3,FALSE),0),0)))/100)),(1-(0.25*((-Backdoors!AI12-IF(AD41&gt;=0.45,VLOOKUP(Calculator!E23,tbSkills!DH3:DI6,2,FALSE)+IF(AND(Calculator!B8=TRUE,Backdoors!BI7=TRUE),VLOOKUP(Calculator!E23,tbSkills!DH3:DJ6,3,FALSE),0),0))/100)))),1),"")</f>
        <v>1</v>
      </c>
      <c r="AG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D41)*AF41)*(VLOOKUP(A41,tbMoveset!A2:C112,3,FALSE)/100)*IF(VLOOKUP(A41,tbMoveset!A2:B112,2,FALSE)="Projectile",Backdoors!N10,Backdoors!N9),0),"")</f>
        <v>5</v>
      </c>
      <c r="AH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D41&gt;=0.45,VLOOKUP(Calculator!E23,tbSkills!DH3:DI6,2,FALSE)+IF(AND(Calculator!B8=TRUE,Backdoors!BI7=TRUE),VLOOKUP(Calculator!E23,tbSkills!DH3:DJ6,3,FALSE),0),0))&gt;=100,100,(Backdoors!AI12+IF(AD41&gt;=0.45,VLOOKUP(Calculator!E23,tbSkills!DH3:DI6,2,FALSE)+IF(AND(Calculator!B8=TRUE,Backdoors!BI7=TRUE),VLOOKUP(Calculator!E23,tbSkills!DH3:DJ6,3,FALSE),0),0)))/100)),1))*IF(VLOOKUP(A41,tbMoveset!A2:K112,11,FALSE)=TRUE,Backdoors!AC5,1))*AE41,0),"")</f>
        <v>0</v>
      </c>
      <c r="AI41" s="49">
        <f>VLOOKUP(A41,tbMoveset!A2:G112,7,FALSE)*IFERROR(IF(Backdoors!AI12&gt;=0,1+(IF(Calculator!E40&gt;0,VLOOKUP(Calculator!E40,tbSkills!AI3:AJ5,2,FALSE),Backdoors!AL4)*(IF((Backdoors!AI12+IF(AD41&gt;=0.45,VLOOKUP(Calculator!E23,tbSkills!DH3:DI6,2,FALSE)+IF(AND(Calculator!B8=TRUE,Backdoors!BI7=TRUE),VLOOKUP(Calculator!E23,tbSkills!DH3:DJ6,3,FALSE),0),0))&gt;=100,100,(Backdoors!AI12+IF(AD41&gt;=0.45,VLOOKUP(Calculator!E23,tbSkills!DH3:DI6,2,FALSE)+IF(AND(Calculator!B8=TRUE,Backdoors!BI7=TRUE),VLOOKUP(Calculator!E23,tbSkills!DH3:DJ6,3,FALSE),0),0)))/100)),1),1)</f>
        <v>0.5</v>
      </c>
      <c r="AJ41" s="87">
        <f t="shared" si="48"/>
        <v>5</v>
      </c>
      <c r="AK41" s="91">
        <f>IFERROR(IF(VLOOKUP(A41,tbMoveset!A2:B112,2,FALSE)="Sever",Backdoors!AY8/100,IF(VLOOKUP(A41,tbMoveset!A2:B112,2,FALSE)="Blunt",Backdoors!AZ8/100,Backdoors!BA8/100)),"")</f>
        <v>0.45</v>
      </c>
      <c r="AL41" s="49">
        <f>IFERROR(IF(VLOOKUP(tbMoveset!A41,tbMoveset!A2:H112,8,FALSE)="Other",IF(VLOOKUP(tbMoveset!A41,tbMoveset!A2:I112,9,FALSE)="Fire",Backdoors!BB8,IF(VLOOKUP(tbMoveset!A41,tbMoveset!A2:I112,9,FALSE)="Water",Backdoors!BC8,IF(VLOOKUP(tbMoveset!A41,tbMoveset!A2:I112,9,FALSE)="Thunder",Backdoors!BD8,IF(VLOOKUP(tbMoveset!A41,tbMoveset!A2:I112,9,FALSE)="Ice",Backdoors!BE8,IF(VLOOKUP(tbMoveset!A41,tbMoveset!A2:I112,9,FALSE)="Dragon",Backdoors!BF8,Backdoors!BG8)))))/100,Backdoors!BG8/100),"")</f>
        <v>0</v>
      </c>
      <c r="AM41" s="49">
        <f>IFERROR(IF(VLOOKUP(A41,tbMoveset!A2:J112,10,FALSE)=TRUE,IF((Backdoors!AI12+IF(AK41&gt;=0.45,VLOOKUP(Calculator!E23,tbSkills!DH3:DI6,2,FALSE)+IF(AND(Calculator!B8=TRUE,Backdoors!BI8=TRUE),VLOOKUP(Calculator!E23,tbSkills!DH3:DJ6,3,FALSE),0),0))&gt;=0,1+(Backdoors!AL2*(IF((Backdoors!AI12+IF(AK41&gt;=0.45,VLOOKUP(Calculator!E23,tbSkills!DH3:DI6,2,FALSE)+IF(AND(Calculator!B8=TRUE,Backdoors!BI8=TRUE),VLOOKUP(Calculator!E23,tbSkills!DH3:DJ6,3,FALSE),0),0))&gt;=100,100,(Backdoors!AI12+IF(AK41&gt;=0.45,VLOOKUP(Calculator!E23,tbSkills!DH3:DI6,2,FALSE)+IF(AND(Calculator!B8=TRUE,Backdoors!BI8=TRUE),VLOOKUP(Calculator!E23,tbSkills!DH3:DJ6,3,FALSE),0),0)))/100)),(1-(0.25*((-Backdoors!AI12-IF(AK41&gt;=0.45,VLOOKUP(Calculator!E23,tbSkills!DH3:DI6,2,FALSE)+IF(AND(Calculator!B8=TRUE,Backdoors!BI8=TRUE),VLOOKUP(Calculator!E23,tbSkills!DH3:DJ6,3,FALSE),0),0))/100)))),1),"")</f>
        <v>1</v>
      </c>
      <c r="AN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K41)*AM41)*(VLOOKUP(A41,tbMoveset!A2:C112,3,FALSE)/100)*IF(VLOOKUP(A41,tbMoveset!A2:B112,2,FALSE)="Projectile",Backdoors!N10,Backdoors!N9),0),"")</f>
        <v>3</v>
      </c>
      <c r="AO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K41&gt;=0.45,VLOOKUP(Calculator!E23,tbSkills!DH3:DI6,2,FALSE)+IF(AND(Calculator!B8=TRUE,Backdoors!BI8=TRUE),VLOOKUP(Calculator!E23,tbSkills!DH3:DJ6,3,FALSE),0),0))&gt;=100,100,(Backdoors!AI12+IF(AK41&gt;=0.45,VLOOKUP(Calculator!E23,tbSkills!DH3:DI6,2,FALSE)+IF(AND(Calculator!B8=TRUE,Backdoors!BI8=TRUE),VLOOKUP(Calculator!E23,tbSkills!DH3:DJ6,3,FALSE),0),0)))/100)),1))*IF(VLOOKUP(A41,tbMoveset!A2:K112,11,FALSE)=TRUE,Backdoors!AC5,1))*AL41,0),"")</f>
        <v>0</v>
      </c>
      <c r="AP41" s="49">
        <f>VLOOKUP(A41,tbMoveset!A2:G112,7,FALSE)*IFERROR(IF(Backdoors!AI12&gt;=0,1+(IF(Calculator!E40&gt;0,VLOOKUP(Calculator!E40,tbSkills!AI3:AJ5,2,FALSE),Backdoors!AL4)*(IF((Backdoors!AI12+IF(AK41&gt;=0.45,VLOOKUP(Calculator!E23,tbSkills!DH3:DI6,2,FALSE)+IF(AND(Calculator!B8=TRUE,Backdoors!BI8=TRUE),VLOOKUP(Calculator!E23,tbSkills!DH3:DJ6,3,FALSE),0),0))&gt;=100,100,(Backdoors!AI12+IF(AK41&gt;=0.45,VLOOKUP(Calculator!E23,tbSkills!DH3:DI6,2,FALSE)+IF(AND(Calculator!B8=TRUE,Backdoors!BI8=TRUE),VLOOKUP(Calculator!E23,tbSkills!DH3:DJ6,3,FALSE),0),0)))/100)),1),1)</f>
        <v>0.5</v>
      </c>
      <c r="AQ41" s="87">
        <f t="shared" si="49"/>
        <v>3</v>
      </c>
      <c r="AR41" s="86">
        <f>IFERROR(IF(VLOOKUP(A41,tbMoveset!A2:B112,2,FALSE)="Sever",Backdoors!AY9/100,IF(VLOOKUP(A41,tbMoveset!A2:B112,2,FALSE)="Blunt",Backdoors!AZ9/100,Backdoors!BA9/100)),"")</f>
        <v>0.45</v>
      </c>
      <c r="AS41" s="49">
        <f>IFERROR(IF(VLOOKUP(tbMoveset!A41,tbMoveset!A2:H112,8,FALSE)="Other",IF(VLOOKUP(tbMoveset!A41,tbMoveset!A2:I112,9,FALSE)="Fire",Backdoors!BB9,IF(VLOOKUP(tbMoveset!A41,tbMoveset!A2:I112,9,FALSE)="Water",Backdoors!BC9,IF(VLOOKUP(tbMoveset!A41,tbMoveset!A2:I112,9,FALSE)="Thunder",Backdoors!BD9,IF(VLOOKUP(tbMoveset!A41,tbMoveset!A2:I112,9,FALSE)="Ice",Backdoors!BE9,IF(VLOOKUP(tbMoveset!A41,tbMoveset!A2:I112,9,FALSE)="Dragon",Backdoors!BF9,Backdoors!BG9)))))/100,Backdoors!BG9/100),"")</f>
        <v>0</v>
      </c>
      <c r="AT41" s="49">
        <f>IFERROR(IF(VLOOKUP(A41,tbMoveset!A2:J112,10,FALSE)=TRUE,IF((Backdoors!AI12+IF(AR41&gt;=0.45,VLOOKUP(Calculator!E23,tbSkills!DH3:DI6,2,FALSE)+IF(AND(Calculator!B8=TRUE,Backdoors!BI9=TRUE),VLOOKUP(Calculator!E23,tbSkills!DH3:DJ6,3,FALSE),0),0))&gt;=0,1+(Backdoors!AL2*(IF((Backdoors!AI12+IF(AR41&gt;=0.45,VLOOKUP(Calculator!E23,tbSkills!DH3:DI6,2,FALSE)+IF(AND(Calculator!B8=TRUE,Backdoors!BI9=TRUE),VLOOKUP(Calculator!E23,tbSkills!DH3:DJ6,3,FALSE),0),0))&gt;=100,100,(Backdoors!AI12+IF(AR41&gt;=0.45,VLOOKUP(Calculator!E23,tbSkills!DH3:DI6,2,FALSE)+IF(AND(Calculator!B8=TRUE,Backdoors!BI9=TRUE),VLOOKUP(Calculator!E23,tbSkills!DH3:DJ6,3,FALSE),0),0)))/100)),(1-(0.25*((-Backdoors!AI12-IF(AR41&gt;=0.45,VLOOKUP(Calculator!E23,tbSkills!DH3:DI6,2,FALSE)+IF(AND(Calculator!B8=TRUE,Backdoors!BI9=TRUE),VLOOKUP(Calculator!E23,tbSkills!DH3:DJ6,3,FALSE),0),0))/100)))),1),"")</f>
        <v>1</v>
      </c>
      <c r="AU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R41)*AT41)*(VLOOKUP(A41,tbMoveset!A2:C112,3,FALSE)/100)*IF(VLOOKUP(A41,tbMoveset!A2:B112,2,FALSE)="Projectile",Backdoors!N10,Backdoors!N9),0),"")</f>
        <v>3</v>
      </c>
      <c r="AV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R41&gt;=0.45,VLOOKUP(Calculator!E23,tbSkills!DH3:DI6,2,FALSE)+IF(AND(Calculator!B8=TRUE,Backdoors!BI9=TRUE),VLOOKUP(Calculator!E23,tbSkills!DH3:DJ6,3,FALSE),0),0))&gt;=100,100,(Backdoors!AI12+IF(AR41&gt;=0.45,VLOOKUP(Calculator!E23,tbSkills!DH3:DI6,2,FALSE)+IF(AND(Calculator!B8=TRUE,Backdoors!BI9=TRUE),VLOOKUP(Calculator!E23,tbSkills!DH3:DJ6,3,FALSE),0),0)))/100)),1))*IF(VLOOKUP(A41,tbMoveset!A2:K112,11,FALSE)=TRUE,Backdoors!AC5,1))*AS41,0),"")</f>
        <v>0</v>
      </c>
      <c r="AW41" s="49">
        <f>VLOOKUP(A41,tbMoveset!A2:G112,7,FALSE)*IFERROR(IF(Backdoors!AI12&gt;=0,1+(IF(Calculator!E40&gt;0,VLOOKUP(Calculator!E40,tbSkills!AI3:AJ5,2,FALSE),Backdoors!AL4)*(IF((Backdoors!AI12+IF(AR41&gt;=0.45,VLOOKUP(Calculator!E23,tbSkills!DH3:DI6,2,FALSE)+IF(AND(Calculator!B8=TRUE,Backdoors!BI9=TRUE),VLOOKUP(Calculator!E23,tbSkills!DH3:DJ6,3,FALSE),0),0))&gt;=100,100,(Backdoors!AI12+IF(AR41&gt;=0.45,VLOOKUP(Calculator!E23,tbSkills!DH3:DI6,2,FALSE)+IF(AND(Calculator!B8=TRUE,Backdoors!BI9=TRUE),VLOOKUP(Calculator!E23,tbSkills!DH3:DJ6,3,FALSE),0),0)))/100)),1),1)</f>
        <v>0.5</v>
      </c>
      <c r="AX41" s="87">
        <f t="shared" si="50"/>
        <v>3</v>
      </c>
      <c r="AY41" s="86">
        <f>IFERROR(IF(VLOOKUP(A41,tbMoveset!A2:B112,2,FALSE)="Sever",Backdoors!AY10/100,IF(VLOOKUP(A41,tbMoveset!A2:B112,2,FALSE)="Blunt",Backdoors!AZ10/100,Backdoors!BA10/100)),"")</f>
        <v>0.9</v>
      </c>
      <c r="AZ41" s="49">
        <f>IFERROR(IF(VLOOKUP(tbMoveset!A41,tbMoveset!A2:H112,8,FALSE)="Other",IF(VLOOKUP(tbMoveset!A41,tbMoveset!A2:I112,9,FALSE)="Fire",Backdoors!BB10,IF(VLOOKUP(tbMoveset!A41,tbMoveset!A2:I112,9,FALSE)="Water",Backdoors!BC10,IF(VLOOKUP(tbMoveset!A41,tbMoveset!A2:I112,9,FALSE)="Thunder",Backdoors!BD10,IF(VLOOKUP(tbMoveset!A41,tbMoveset!A2:I112,9,FALSE)="Ice",Backdoors!BE10,IF(VLOOKUP(tbMoveset!A41,tbMoveset!A2:I112,9,FALSE)="Dragon",Backdoors!BF10,Backdoors!BG10)))))/100,Backdoors!BG10/100),"")</f>
        <v>0</v>
      </c>
      <c r="BA41" s="49">
        <f>IFERROR(IF(VLOOKUP(A41,tbMoveset!A2:J112,10,FALSE)=TRUE,IF((Backdoors!AI12+IF(AY41&gt;=0.45,VLOOKUP(Calculator!E23,tbSkills!DH3:DI6,2,FALSE)+IF(AND(Calculator!B8=TRUE,Backdoors!BI10=TRUE),VLOOKUP(Calculator!E23,tbSkills!DH3:DJ6,3,FALSE),0),0))&gt;=0,1+(Backdoors!AL2*(IF((Backdoors!AI12+IF(AY41&gt;=0.45,VLOOKUP(Calculator!E23,tbSkills!DH3:DI6,2,FALSE)+IF(AND(Calculator!B8=TRUE,Backdoors!BI10=TRUE),VLOOKUP(Calculator!E23,tbSkills!DH3:DJ6,3,FALSE),0),0))&gt;=100,100,(Backdoors!AI12+IF(AY41&gt;=0.45,VLOOKUP(Calculator!E23,tbSkills!DH3:DI6,2,FALSE)+IF(AND(Calculator!B8=TRUE,Backdoors!BI10=TRUE),VLOOKUP(Calculator!E23,tbSkills!DH3:DJ6,3,FALSE),0),0)))/100)),(1-(0.25*((-Backdoors!AI12-IF(AY41&gt;=0.45,VLOOKUP(Calculator!E23,tbSkills!DH3:DI6,2,FALSE)+IF(AND(Calculator!B8=TRUE,Backdoors!BI10=TRUE),VLOOKUP(Calculator!E23,tbSkills!DH3:DJ6,3,FALSE),0),0))/100)))),1),"")</f>
        <v>1</v>
      </c>
      <c r="BB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Y41)*BA41)*(VLOOKUP(A41,tbMoveset!A2:C112,3,FALSE)/100)*IF(VLOOKUP(A41,tbMoveset!A2:B112,2,FALSE)="Projectile",Backdoors!N10,Backdoors!N9),0),"")</f>
        <v>7</v>
      </c>
      <c r="BC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Y41&gt;=0.45,VLOOKUP(Calculator!E23,tbSkills!DH3:DI6,2,FALSE)+IF(AND(Calculator!B8=TRUE,Backdoors!BI10=TRUE),VLOOKUP(Calculator!E23,tbSkills!DH3:DJ6,3,FALSE),0),0))&gt;=100,100,(Backdoors!AI12+IF(AY41&gt;=0.45,VLOOKUP(Calculator!E23,tbSkills!DH3:DI6,2,FALSE)+IF(AND(Calculator!B8=TRUE,Backdoors!BI10=TRUE),VLOOKUP(Calculator!E23,tbSkills!DH3:DJ6,3,FALSE),0),0)))/100)),1))*IF(VLOOKUP(A41,tbMoveset!A2:K112,11,FALSE)=TRUE,Backdoors!AC5,1))*AZ41,0),"")</f>
        <v>0</v>
      </c>
      <c r="BD41" s="49">
        <f>VLOOKUP(A41,tbMoveset!A2:G112,7,FALSE)*IFERROR(IF(Backdoors!AI12&gt;=0,1+(IF(Calculator!E40&gt;0,VLOOKUP(Calculator!E40,tbSkills!AI3:AJ5,2,FALSE),Backdoors!AL4)*(IF((Backdoors!AI12+IF(AY41&gt;=0.45,VLOOKUP(Calculator!E23,tbSkills!DH3:DI6,2,FALSE)+IF(AND(Calculator!B8=TRUE,Backdoors!BI10=TRUE),VLOOKUP(Calculator!E23,tbSkills!DH3:DJ6,3,FALSE),0),0))&gt;=100,100,(Backdoors!AI12+IF(AY41&gt;=0.45,VLOOKUP(Calculator!E23,tbSkills!DH3:DI6,2,FALSE)+IF(AND(Calculator!B8=TRUE,Backdoors!BI10=TRUE),VLOOKUP(Calculator!E23,tbSkills!DH3:DJ6,3,FALSE),0),0)))/100)),1),1)</f>
        <v>0.5</v>
      </c>
      <c r="BE41" s="87">
        <f t="shared" si="3"/>
        <v>7</v>
      </c>
      <c r="BF41" s="86" t="str">
        <f>IFERROR(IF(VLOOKUP(A41,tbMoveset!A2:B112,2,FALSE)="Sever",Backdoors!AY11/100,IF(VLOOKUP(A41,tbMoveset!A2:B112,2,FALSE)="Blunt",Backdoors!AZ11/100,Backdoors!BA11/100)),"")</f>
        <v/>
      </c>
      <c r="BG41" s="49">
        <f>IFERROR(IF(VLOOKUP(tbMoveset!A41,tbMoveset!A2:H112,8,FALSE)="Other",IF(VLOOKUP(tbMoveset!A41,tbMoveset!A2:I112,9,FALSE)="Fire",Backdoors!BB11,IF(VLOOKUP(tbMoveset!A41,tbMoveset!A2:I112,9,FALSE)="Water",Backdoors!BC11,IF(VLOOKUP(tbMoveset!A41,tbMoveset!A2:I112,9,FALSE)="Thunder",Backdoors!BD11,IF(VLOOKUP(tbMoveset!A41,tbMoveset!A2:I112,9,FALSE)="Ice",Backdoors!BE11,IF(VLOOKUP(tbMoveset!A41,tbMoveset!A2:I112,9,FALSE)="Dragon",Backdoors!BF11,Backdoors!BG11)))))/100,Backdoors!BG11/100),"")</f>
        <v>0</v>
      </c>
      <c r="BH41" s="49">
        <f>IFERROR(IF(VLOOKUP(A41,tbMoveset!A2:J112,10,FALSE)=TRUE,IF((Backdoors!AI12+IF(BF41&gt;=0.45,VLOOKUP(Calculator!E23,tbSkills!DH3:DI6,2,FALSE)+IF(AND(Calculator!B8=TRUE,Backdoors!BI11=TRUE),VLOOKUP(Calculator!E23,tbSkills!DH3:DJ6,3,FALSE),0),0))&gt;=0,1+(Backdoors!AL2*(IF((Backdoors!AI12+IF(BF41&gt;=0.45,VLOOKUP(Calculator!E23,tbSkills!DH3:DI6,2,FALSE)+IF(AND(Calculator!B8=TRUE,Backdoors!BI11=TRUE),VLOOKUP(Calculator!E23,tbSkills!DH3:DJ6,3,FALSE),0),0))&gt;=100,100,(Backdoors!AI12+IF(BF41&gt;=0.45,VLOOKUP(Calculator!E23,tbSkills!DH3:DI6,2,FALSE)+IF(AND(Calculator!B8=TRUE,Backdoors!BI11=TRUE),VLOOKUP(Calculator!E23,tbSkills!DH3:DJ6,3,FALSE),0),0)))/100)),(1-(0.25*((-Backdoors!AI12-IF(BF41&gt;=0.45,VLOOKUP(Calculator!E23,tbSkills!DH3:DI6,2,FALSE)+IF(AND(Calculator!B8=TRUE,Backdoors!BI11=TRUE),VLOOKUP(Calculator!E23,tbSkills!DH3:DJ6,3,FALSE),0),0))/100)))),1),"")</f>
        <v>1</v>
      </c>
      <c r="BI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F41)*BH41)*(VLOOKUP(A41,tbMoveset!A2:C112,3,FALSE)/100)*IF(VLOOKUP(A41,tbMoveset!A2:B112,2,FALSE)="Projectile",Backdoors!N10,Backdoors!N9),0),"")</f>
        <v/>
      </c>
      <c r="BJ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F41&gt;=0.45,VLOOKUP(Calculator!E23,tbSkills!DH3:DI6,2,FALSE)+IF(AND(Calculator!B8=TRUE,Backdoors!BI11=TRUE),VLOOKUP(Calculator!E23,tbSkills!DH3:DJ6,3,FALSE),0),0))&gt;=100,100,(Backdoors!AI12+IF(BF41&gt;=0.45,VLOOKUP(Calculator!E23,tbSkills!DH3:DI6,2,FALSE)+IF(AND(Calculator!B8=TRUE,Backdoors!BI11=TRUE),VLOOKUP(Calculator!E23,tbSkills!DH3:DJ6,3,FALSE),0),0)))/100)),1))*IF(VLOOKUP(A41,tbMoveset!A2:K112,11,FALSE)=TRUE,Backdoors!AC5,1))*BG41,0),"")</f>
        <v>0</v>
      </c>
      <c r="BK41" s="49">
        <f>VLOOKUP(A41,tbMoveset!A2:G112,7,FALSE)*IFERROR(IF(Backdoors!AI12&gt;=0,1+(IF(Calculator!E40&gt;0,VLOOKUP(Calculator!E40,tbSkills!AI3:AJ5,2,FALSE),Backdoors!AL4)*(IF((Backdoors!AI12+IF(BF41&gt;=0.45,VLOOKUP(Calculator!E23,tbSkills!DH3:DI6,2,FALSE)+IF(AND(Calculator!B8=TRUE,Backdoors!BI11=TRUE),VLOOKUP(Calculator!E23,tbSkills!DH3:DJ6,3,FALSE),0),0))&gt;=100,100,(Backdoors!AI12+IF(BF41&gt;=0.45,VLOOKUP(Calculator!E23,tbSkills!DH3:DI6,2,FALSE)+IF(AND(Calculator!B8=TRUE,Backdoors!BI11=TRUE),VLOOKUP(Calculator!E23,tbSkills!DH3:DJ6,3,FALSE),0),0)))/100)),1),1)</f>
        <v>0.5</v>
      </c>
      <c r="BL41" s="87">
        <f t="shared" si="4"/>
        <v>0</v>
      </c>
      <c r="BM41" s="86" t="str">
        <f>IFERROR(IF(VLOOKUP(A41,tbMoveset!A2:B112,2,FALSE)="Sever",Backdoors!AY12/100,IF(VLOOKUP(A41,tbMoveset!A2:B112,2,FALSE)="Blunt",Backdoors!AZ12/100,Backdoors!BA12/100)),"")</f>
        <v/>
      </c>
      <c r="BN41" s="49">
        <f>IFERROR(IF(VLOOKUP(tbMoveset!A41,tbMoveset!A2:H112,8,FALSE)="Other",IF(VLOOKUP(tbMoveset!A41,tbMoveset!A2:I112,9,FALSE)="Fire",Backdoors!BB12,IF(VLOOKUP(tbMoveset!A41,tbMoveset!A2:I112,9,FALSE)="Water",Backdoors!BC12,IF(VLOOKUP(tbMoveset!A41,tbMoveset!A2:I112,9,FALSE)="Thunder",Backdoors!BD12,IF(VLOOKUP(tbMoveset!A41,tbMoveset!A2:I112,9,FALSE)="Ice",Backdoors!BE12,IF(VLOOKUP(tbMoveset!A41,tbMoveset!A2:I112,9,FALSE)="Dragon",Backdoors!BF12,Backdoors!BG12)))))/100,Backdoors!BG12/100),"")</f>
        <v>0</v>
      </c>
      <c r="BO41" s="49">
        <f>IFERROR(IF(VLOOKUP(A41,tbMoveset!A2:J112,10,FALSE)=TRUE,IF((Backdoors!AI12+IF(BM41&gt;=0.45,VLOOKUP(Calculator!E23,tbSkills!DH3:DI6,2,FALSE)+IF(AND(Calculator!B8=TRUE,Backdoors!BI12=TRUE),VLOOKUP(Calculator!E23,tbSkills!DH3:DJ6,3,FALSE),0),0))&gt;=0,1+(Backdoors!AL2*(IF((Backdoors!AI12+IF(BM41&gt;=0.45,VLOOKUP(Calculator!E23,tbSkills!DH3:DI6,2,FALSE)+IF(AND(Calculator!B8=TRUE,Backdoors!BI12=TRUE),VLOOKUP(Calculator!E23,tbSkills!DH3:DJ6,3,FALSE),0),0))&gt;=100,100,(Backdoors!AI12+IF(BM41&gt;=0.45,VLOOKUP(Calculator!E23,tbSkills!DH3:DI6,2,FALSE)+IF(AND(Calculator!B8=TRUE,Backdoors!BI12=TRUE),VLOOKUP(Calculator!E23,tbSkills!DH3:DJ6,3,FALSE),0),0)))/100)),(1-(0.25*((-Backdoors!AI12-IF(BM41&gt;=0.45,VLOOKUP(Calculator!E23,tbSkills!DH3:DI6,2,FALSE)+IF(AND(Calculator!B8=TRUE,Backdoors!BI12=TRUE),VLOOKUP(Calculator!E23,tbSkills!DH3:DJ6,3,FALSE),0),0))/100)))),1),"")</f>
        <v>1</v>
      </c>
      <c r="BP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M41)*BO41)*(VLOOKUP(A41,tbMoveset!A2:C112,3,FALSE)/100)*IF(VLOOKUP(A41,tbMoveset!A2:B112,2,FALSE)="Projectile",Backdoors!N10,Backdoors!N9),0),"")</f>
        <v/>
      </c>
      <c r="BQ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M41&gt;=0.45,VLOOKUP(Calculator!E23,tbSkills!DH3:DI6,2,FALSE)+IF(AND(Calculator!B8=TRUE,Backdoors!BI12=TRUE),VLOOKUP(Calculator!E23,tbSkills!DH3:DJ6,3,FALSE),0),0))&gt;=100,100,(Backdoors!AI12+IF(BM41&gt;=0.45,VLOOKUP(Calculator!E23,tbSkills!DH3:DI6,2,FALSE)+IF(AND(Calculator!B8=TRUE,Backdoors!BI12=TRUE),VLOOKUP(Calculator!E23,tbSkills!DH3:DJ6,3,FALSE),0),0)))/100)),1))*IF(VLOOKUP(A41,tbMoveset!A2:K112,11,FALSE)=TRUE,Backdoors!AC5,1))*BN41,0),"")</f>
        <v>0</v>
      </c>
      <c r="BR41" s="49">
        <f>VLOOKUP(A41,tbMoveset!A2:G112,7,FALSE)*IFERROR(IF(Backdoors!AI12&gt;=0,1+(IF(Calculator!E40&gt;0,VLOOKUP(Calculator!E40,tbSkills!AI3:AJ5,2,FALSE),Backdoors!AL4)*(IF((Backdoors!AI12+IF(BM41&gt;=0.45,VLOOKUP(Calculator!E23,tbSkills!DH3:DI6,2,FALSE)+IF(AND(Calculator!B8=TRUE,Backdoors!BI12=TRUE),VLOOKUP(Calculator!E23,tbSkills!DH3:DJ6,3,FALSE),0),0))&gt;=100,100,(Backdoors!AI12+IF(BM41&gt;=0.45,VLOOKUP(Calculator!E23,tbSkills!DH3:DI6,2,FALSE)+IF(AND(Calculator!B8=TRUE,Backdoors!BI12=TRUE),VLOOKUP(Calculator!E23,tbSkills!DH3:DJ6,3,FALSE),0),0)))/100)),1),1)</f>
        <v>0.5</v>
      </c>
      <c r="BS41" s="87">
        <f t="shared" si="39"/>
        <v>0</v>
      </c>
      <c r="BT41" s="86" t="str">
        <f>IFERROR(IF(VLOOKUP(A41,tbMoveset!A2:B112,2,FALSE)="Sever",Backdoors!AY13/100,IF(VLOOKUP(A41,tbMoveset!A2:B112,2,FALSE)="Blunt",Backdoors!AZ13/100,Backdoors!BA13/100)),"")</f>
        <v/>
      </c>
      <c r="BU41" s="49">
        <f>IFERROR(IF(VLOOKUP(tbMoveset!A41,tbMoveset!A2:H112,8,FALSE)="Other",IF(VLOOKUP(tbMoveset!A41,tbMoveset!A2:I112,9,FALSE)="Fire",Backdoors!BB13,IF(VLOOKUP(tbMoveset!A41,tbMoveset!A2:I112,9,FALSE)="Water",Backdoors!BC13,IF(VLOOKUP(tbMoveset!A41,tbMoveset!A2:I112,9,FALSE)="Thunder",Backdoors!BD13,IF(VLOOKUP(tbMoveset!A41,tbMoveset!A2:I112,9,FALSE)="Ice",Backdoors!BE13,IF(VLOOKUP(tbMoveset!A41,tbMoveset!A2:I112,9,FALSE)="Dragon",Backdoors!BF13,Backdoors!BG13)))))/100,Backdoors!BG13/100),"")</f>
        <v>0</v>
      </c>
      <c r="BV41" s="49">
        <f>IFERROR(IF(VLOOKUP(A41,tbMoveset!A2:J112,10,FALSE)=TRUE,IF((Backdoors!AI12+IF(BT41&gt;=0.45,VLOOKUP(Calculator!E23,tbSkills!DH3:DI6,2,FALSE)+IF(AND(Calculator!B8=TRUE,Backdoors!BI13=TRUE),VLOOKUP(Calculator!E23,tbSkills!DH3:DJ6,3,FALSE),0),0))&gt;=0,1+(Backdoors!AL2*(IF((Backdoors!AI12+IF(BT41&gt;=0.45,VLOOKUP(Calculator!E23,tbSkills!DH3:DI6,2,FALSE)+IF(AND(Calculator!B8=TRUE,Backdoors!BI13=TRUE),VLOOKUP(Calculator!E23,tbSkills!DH3:DJ6,3,FALSE),0),0))&gt;=100,100,(Backdoors!AI12+IF(BT41&gt;=0.45,VLOOKUP(Calculator!E23,tbSkills!DH3:DI6,2,FALSE)+IF(AND(Calculator!B8=TRUE,Backdoors!BI13=TRUE),VLOOKUP(Calculator!E23,tbSkills!DH3:DJ6,3,FALSE),0),0)))/100)),(1-(0.25*((-Backdoors!AI12-IF(BT41&gt;=0.45,VLOOKUP(Calculator!E23,tbSkills!DH3:DI6,2,FALSE)+IF(AND(Calculator!B8=TRUE,Backdoors!BI13=TRUE),VLOOKUP(Calculator!E23,tbSkills!DH3:DJ6,3,FALSE),0),0))/100)))),1),"")</f>
        <v>1</v>
      </c>
      <c r="BW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T41)*BV41)*(VLOOKUP(A41,tbMoveset!A2:C112,3,FALSE)/100)*IF(VLOOKUP(A41,tbMoveset!A2:B112,2,FALSE)="Projectile",Backdoors!N10,Backdoors!N9),0),"")</f>
        <v/>
      </c>
      <c r="BX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T41&gt;=0.45,VLOOKUP(Calculator!E23,tbSkills!DH3:DI6,2,FALSE)+IF(AND(Calculator!B8=TRUE,Backdoors!BI13=TRUE),VLOOKUP(Calculator!E23,tbSkills!DH3:DJ6,3,FALSE),0),0))&gt;=100,100,(Backdoors!AI12+IF(BT41&gt;=0.45,VLOOKUP(Calculator!E23,tbSkills!DH3:DI6,2,FALSE)+IF(AND(Calculator!B8=TRUE,Backdoors!BI13=TRUE),VLOOKUP(Calculator!E23,tbSkills!DH3:DJ6,3,FALSE),0),0)))/100)),1))*IF(VLOOKUP(A41,tbMoveset!A2:K112,11,FALSE)=TRUE,Backdoors!AC5,1))*BU41,0),"")</f>
        <v>0</v>
      </c>
      <c r="BY41" s="49">
        <f>VLOOKUP(A41,tbMoveset!A2:G112,7,FALSE)*IFERROR(IF(Backdoors!AI12&gt;=0,1+(IF(Calculator!E40&gt;0,VLOOKUP(Calculator!E40,tbSkills!AI3:AJ5,2,FALSE),Backdoors!AL4)*(IF((Backdoors!AI12+IF(BT41&gt;=0.45,VLOOKUP(Calculator!E23,tbSkills!DH3:DI6,2,FALSE)+IF(AND(Calculator!B8=TRUE,Backdoors!BI13=TRUE),VLOOKUP(Calculator!E23,tbSkills!DH3:DJ6,3,FALSE),0),0))&gt;=100,100,(Backdoors!AI12+IF(BT41&gt;=0.45,VLOOKUP(Calculator!E23,tbSkills!DH3:DI6,2,FALSE)+IF(AND(Calculator!B8=TRUE,Backdoors!BI13=TRUE),VLOOKUP(Calculator!E23,tbSkills!DH3:DJ6,3,FALSE),0),0)))/100)),1),1)</f>
        <v>0.5</v>
      </c>
      <c r="BZ41" s="87">
        <f t="shared" si="5"/>
        <v>0</v>
      </c>
      <c r="CA41" s="86" t="str">
        <f>IFERROR(IF(VLOOKUP(A41,tbMoveset!A2:B112,2,FALSE)="Sever",Backdoors!AY14/100,IF(VLOOKUP(A41,tbMoveset!A2:B112,2,FALSE)="Blunt",Backdoors!AZ14/100,Backdoors!BA14/100)),"")</f>
        <v/>
      </c>
      <c r="CB41" s="49">
        <f>IFERROR(IF(VLOOKUP(tbMoveset!A41,tbMoveset!A2:H112,8,FALSE)="Other",IF(VLOOKUP(tbMoveset!A41,tbMoveset!A2:I112,9,FALSE)="Fire",Backdoors!BB14,IF(VLOOKUP(tbMoveset!A41,tbMoveset!A2:I112,9,FALSE)="Water",Backdoors!BC14,IF(VLOOKUP(tbMoveset!A41,tbMoveset!A2:I112,9,FALSE)="Thunder",Backdoors!BD14,IF(VLOOKUP(tbMoveset!A41,tbMoveset!A2:I112,9,FALSE)="Ice",Backdoors!BE14,IF(VLOOKUP(tbMoveset!A41,tbMoveset!A2:I112,9,FALSE)="Dragon",Backdoors!BF14,Backdoors!BG14)))))/100,Backdoors!BG14/100),"")</f>
        <v>0</v>
      </c>
      <c r="CC41" s="49">
        <f>IFERROR(IF(VLOOKUP(A41,tbMoveset!A2:J112,10,FALSE)=TRUE,IF((Backdoors!AI12+IF(CA41&gt;=0.45,VLOOKUP(Calculator!E23,tbSkills!DH3:DI6,2,FALSE)+IF(AND(Calculator!B8=TRUE,Backdoors!BI14=TRUE),VLOOKUP(Calculator!E23,tbSkills!DH3:DJ6,3,FALSE),0),0))&gt;=0,1+(Backdoors!AL2*(IF((Backdoors!AI12+IF(CA41&gt;=0.45,VLOOKUP(Calculator!E23,tbSkills!DH3:DI6,2,FALSE)+IF(AND(Calculator!B8=TRUE,Backdoors!BI14=TRUE),VLOOKUP(Calculator!E23,tbSkills!DH3:DJ6,3,FALSE),0),0))&gt;=100,100,(Backdoors!AI12+IF(CA41&gt;=0.45,VLOOKUP(Calculator!E23,tbSkills!DH3:DI6,2,FALSE)+IF(AND(Calculator!B8=TRUE,Backdoors!BI14=TRUE),VLOOKUP(Calculator!E23,tbSkills!DH3:DJ6,3,FALSE),0),0)))/100)),(1-(0.25*((-Backdoors!AI12-IF(CA41&gt;=0.45,VLOOKUP(Calculator!E23,tbSkills!DH3:DI6,2,FALSE)+IF(AND(Calculator!B8=TRUE,Backdoors!BI14=TRUE),VLOOKUP(Calculator!E23,tbSkills!DH3:DJ6,3,FALSE),0),0))/100)))),1),"")</f>
        <v>1</v>
      </c>
      <c r="CD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A41)*CC41)*(VLOOKUP(A41,tbMoveset!A2:C112,3,FALSE)/100)*IF(VLOOKUP(A41,tbMoveset!A2:B112,2,FALSE)="Projectile",Backdoors!N10,Backdoors!N9),0),"")</f>
        <v/>
      </c>
      <c r="CE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A41&gt;=0.45,VLOOKUP(Calculator!E23,tbSkills!DH3:DI6,2,FALSE)+IF(AND(Calculator!B8=TRUE,Backdoors!BI14=TRUE),VLOOKUP(Calculator!E23,tbSkills!DH3:DJ6,3,FALSE),0),0))&gt;=100,100,(Backdoors!AI12+IF(CA41&gt;=0.45,VLOOKUP(Calculator!E23,tbSkills!DH3:DI6,2,FALSE)+IF(AND(Calculator!B8=TRUE,Backdoors!BI14=TRUE),VLOOKUP(Calculator!E23,tbSkills!DH3:DJ6,3,FALSE),0),0)))/100)),1))*IF(VLOOKUP(A41,tbMoveset!A2:K112,11,FALSE)=TRUE,Backdoors!AC5,1))*CB41,0),"")</f>
        <v>0</v>
      </c>
      <c r="CF41" s="49">
        <f>VLOOKUP(A41,tbMoveset!A2:G112,7,FALSE)*IFERROR(IF(Backdoors!AI12&gt;=0,1+(IF(Calculator!E40&gt;0,VLOOKUP(Calculator!E40,tbSkills!AI3:AJ5,2,FALSE),Backdoors!AL4)*(IF((Backdoors!AI12+IF(CA41&gt;=0.45,VLOOKUP(Calculator!E23,tbSkills!DH3:DI6,2,FALSE)+IF(AND(Calculator!B8=TRUE,Backdoors!BI14=TRUE),VLOOKUP(Calculator!E23,tbSkills!DH3:DJ6,3,FALSE),0),0))&gt;=100,100,(Backdoors!AI12+IF(CA41&gt;=0.45,VLOOKUP(Calculator!E23,tbSkills!DH3:DI6,2,FALSE)+IF(AND(Calculator!B8=TRUE,Backdoors!BI14=TRUE),VLOOKUP(Calculator!E23,tbSkills!DH3:DJ6,3,FALSE),0),0)))/100)),1),1)</f>
        <v>0.5</v>
      </c>
      <c r="CG41" s="87">
        <f t="shared" si="6"/>
        <v>0</v>
      </c>
      <c r="CH41" s="86" t="str">
        <f>IFERROR(IF(VLOOKUP(A41,tbMoveset!A2:B112,2,FALSE)="Sever",Backdoors!AY15/100,IF(VLOOKUP(A41,tbMoveset!A2:B112,2,FALSE)="Blunt",Backdoors!AZ15/100,Backdoors!BA15/100)),"")</f>
        <v/>
      </c>
      <c r="CI41" s="49">
        <f>IFERROR(IF(VLOOKUP(tbMoveset!A41,tbMoveset!A2:H112,8,FALSE)="Other",IF(VLOOKUP(tbMoveset!A41,tbMoveset!A2:I112,9,FALSE)="Fire",Backdoors!BB15,IF(VLOOKUP(tbMoveset!A41,tbMoveset!A2:I112,9,FALSE)="Water",Backdoors!BC15,IF(VLOOKUP(tbMoveset!A41,tbMoveset!A2:I112,9,FALSE)="Thunder",Backdoors!BD15,IF(VLOOKUP(tbMoveset!A41,tbMoveset!A2:I112,9,FALSE)="Ice",Backdoors!BE15,IF(VLOOKUP(tbMoveset!A41,tbMoveset!A2:I112,9,FALSE)="Dragon",Backdoors!BF15,Backdoors!BG15)))))/100,Backdoors!BG15/100),"")</f>
        <v>0</v>
      </c>
      <c r="CJ41" s="49">
        <f>IFERROR(IF(VLOOKUP(A41,tbMoveset!A2:J112,10,FALSE)=TRUE,IF((Backdoors!AI12+IF(CH41&gt;=0.45,VLOOKUP(Calculator!E23,tbSkills!DH3:DI6,2,FALSE)+IF(AND(Calculator!B8=TRUE,Backdoors!BI15=TRUE),VLOOKUP(Calculator!E23,tbSkills!DH3:DJ6,3,FALSE),0),0))&gt;=0,1+(Backdoors!AL2*(IF((Backdoors!AI12+IF(CH41&gt;=0.45,VLOOKUP(Calculator!E23,tbSkills!DH3:DI6,2,FALSE)+IF(AND(Calculator!B8=TRUE,Backdoors!BI15=TRUE),VLOOKUP(Calculator!E23,tbSkills!DH3:DJ6,3,FALSE),0),0))&gt;=100,100,(Backdoors!AI12+IF(CH41&gt;=0.45,VLOOKUP(Calculator!E23,tbSkills!DH3:DI6,2,FALSE)+IF(AND(Calculator!B8=TRUE,Backdoors!BI15=TRUE),VLOOKUP(Calculator!E23,tbSkills!DH3:DJ6,3,FALSE),0),0)))/100)),(1-(0.25*((-Backdoors!AI12-IF(CH41&gt;=0.45,VLOOKUP(Calculator!E23,tbSkills!DH3:DI6,2,FALSE)+IF(AND(Calculator!B8=TRUE,Backdoors!BI15=TRUE),VLOOKUP(Calculator!E23,tbSkills!DH3:DJ6,3,FALSE),0),0))/100)))),1),"")</f>
        <v>1</v>
      </c>
      <c r="CK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H41)*CJ41)*(VLOOKUP(A41,tbMoveset!A2:C112,3,FALSE)/100)*IF(VLOOKUP(A41,tbMoveset!A2:B112,2,FALSE)="Projectile",Backdoors!N10,Backdoors!N9),0),"")</f>
        <v/>
      </c>
      <c r="CL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H41&gt;=0.45,VLOOKUP(Calculator!E23,tbSkills!DH3:DI6,2,FALSE)+IF(AND(Calculator!B8=TRUE,Backdoors!BI15=TRUE),VLOOKUP(Calculator!E23,tbSkills!DH3:DJ6,3,FALSE),0),0))&gt;=100,100,(Backdoors!AI12+IF(CH41&gt;=0.45,VLOOKUP(Calculator!E23,tbSkills!DH3:DI6,2,FALSE)+IF(AND(Calculator!B8=TRUE,Backdoors!BI15=TRUE),VLOOKUP(Calculator!E23,tbSkills!DH3:DJ6,3,FALSE),0),0)))/100)),1))*IF(VLOOKUP(A41,tbMoveset!A2:K112,11,FALSE)=TRUE,Backdoors!AC5,1))*CI41,0),"")</f>
        <v>0</v>
      </c>
      <c r="CM41" s="49">
        <f>VLOOKUP(A41,tbMoveset!A2:G112,7,FALSE)*IFERROR(IF(Backdoors!AI12&gt;=0,1+(IF(Calculator!E40&gt;0,VLOOKUP(Calculator!E40,tbSkills!AI3:AJ5,2,FALSE),Backdoors!AL4)*(IF((Backdoors!AI12+IF(CH41&gt;=0.45,VLOOKUP(Calculator!E23,tbSkills!DH3:DI6,2,FALSE)+IF(AND(Calculator!B8=TRUE,Backdoors!BI15=TRUE),VLOOKUP(Calculator!E23,tbSkills!DH3:DJ6,3,FALSE),0),0))&gt;=100,100,(Backdoors!AI12+IF(CH41&gt;=0.45,VLOOKUP(Calculator!E23,tbSkills!DH3:DI6,2,FALSE)+IF(AND(Calculator!B8=TRUE,Backdoors!BI15=TRUE),VLOOKUP(Calculator!E23,tbSkills!DH3:DJ6,3,FALSE),0),0)))/100)),1),1)</f>
        <v>0.5</v>
      </c>
      <c r="CN41" s="87">
        <f t="shared" si="7"/>
        <v>0</v>
      </c>
      <c r="CO41" s="86" t="str">
        <f>IFERROR(IF(VLOOKUP(A41,tbMoveset!A2:B112,2,FALSE)="Sever",Backdoors!AY16/100,IF(VLOOKUP(A41,tbMoveset!A2:B112,2,FALSE)="Blunt",Backdoors!AZ16/100,Backdoors!BA16/100)),"")</f>
        <v/>
      </c>
      <c r="CP41" s="49">
        <f>IFERROR(IF(VLOOKUP(tbMoveset!A41,tbMoveset!A2:H112,8,FALSE)="Other",IF(VLOOKUP(tbMoveset!A41,tbMoveset!A2:I112,9,FALSE)="Fire",Backdoors!BB16,IF(VLOOKUP(tbMoveset!A41,tbMoveset!A2:I112,9,FALSE)="Water",Backdoors!BC16,IF(VLOOKUP(tbMoveset!A41,tbMoveset!A2:I112,9,FALSE)="Thunder",Backdoors!BD16,IF(VLOOKUP(tbMoveset!A41,tbMoveset!A2:I112,9,FALSE)="Ice",Backdoors!BE16,IF(VLOOKUP(tbMoveset!A41,tbMoveset!A2:I112,9,FALSE)="Dragon",Backdoors!BF16,Backdoors!BG16)))))/100,Backdoors!BG16/100),"")</f>
        <v>0</v>
      </c>
      <c r="CQ41" s="49">
        <f>IFERROR(IF(VLOOKUP(A41,tbMoveset!A2:J112,10,FALSE)=TRUE,IF((Backdoors!AI12+IF(CO41&gt;=0.45,VLOOKUP(Calculator!E23,tbSkills!DH3:DI6,2,FALSE)+IF(AND(Calculator!B8=TRUE,Backdoors!BI16=TRUE),VLOOKUP(Calculator!E23,tbSkills!DH3:DJ6,3,FALSE),0),0))&gt;=0,1+(Backdoors!AL2*(IF((Backdoors!AI12+IF(CO41&gt;=0.45,VLOOKUP(Calculator!E23,tbSkills!DH3:DI6,2,FALSE)+IF(AND(Calculator!B8=TRUE,Backdoors!BI16=TRUE),VLOOKUP(Calculator!E23,tbSkills!DH3:DJ6,3,FALSE),0),0))&gt;=100,100,(Backdoors!AI12+IF(CO41&gt;=0.45,VLOOKUP(Calculator!E23,tbSkills!DH3:DI6,2,FALSE)+IF(AND(Calculator!B8=TRUE,Backdoors!BI16=TRUE),VLOOKUP(Calculator!E23,tbSkills!DH3:DJ6,3,FALSE),0),0)))/100)),(1-(0.25*((-Backdoors!AI12-IF(CO41&gt;=0.45,VLOOKUP(Calculator!E23,tbSkills!DH3:DI6,2,FALSE)+IF(AND(Calculator!B8=TRUE,Backdoors!BI16=TRUE),VLOOKUP(Calculator!E23,tbSkills!DH3:DJ6,3,FALSE),0),0))/100)))),1),"")</f>
        <v>1</v>
      </c>
      <c r="CR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O41)*CQ41)*(VLOOKUP(A41,tbMoveset!A2:C112,3,FALSE)/100)*IF(VLOOKUP(A41,tbMoveset!A2:B112,2,FALSE)="Projectile",Backdoors!N10,Backdoors!N9),0),"")</f>
        <v/>
      </c>
      <c r="CS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O41&gt;=0.45,VLOOKUP(Calculator!E23,tbSkills!DH3:DI6,2,FALSE)+IF(AND(Calculator!B8=TRUE,Backdoors!BI16=TRUE),VLOOKUP(Calculator!E23,tbSkills!DH3:DJ6,3,FALSE),0),0))&gt;=100,100,(Backdoors!AI12+IF(CO41&gt;=0.45,VLOOKUP(Calculator!E23,tbSkills!DH3:DI6,2,FALSE)+IF(AND(Calculator!B8=TRUE,Backdoors!BI16=TRUE),VLOOKUP(Calculator!E23,tbSkills!DH3:DJ6,3,FALSE),0),0)))/100)),1))*IF(VLOOKUP(A41,tbMoveset!A2:K112,11,FALSE)=TRUE,Backdoors!AC5,1))*CP41,0),"")</f>
        <v>0</v>
      </c>
      <c r="CT41" s="49">
        <f>VLOOKUP(A41,tbMoveset!A2:G112,7,FALSE)*IFERROR(IF(Backdoors!AI12&gt;=0,1+(IF(Calculator!E40&gt;0,VLOOKUP(Calculator!E40,tbSkills!AI3:AJ5,2,FALSE),Backdoors!AL4)*(IF((Backdoors!AI12+IF(CO41&gt;=0.45,VLOOKUP(Calculator!E23,tbSkills!DH3:DI6,2,FALSE)+IF(AND(Calculator!B8=TRUE,Backdoors!BI16=TRUE),VLOOKUP(Calculator!E23,tbSkills!DH3:DJ6,3,FALSE),0),0))&gt;=100,100,(Backdoors!AI12+IF(CO41&gt;=0.45,VLOOKUP(Calculator!E23,tbSkills!DH3:DI6,2,FALSE)+IF(AND(Calculator!B8=TRUE,Backdoors!BI16=TRUE),VLOOKUP(Calculator!E23,tbSkills!DH3:DJ6,3,FALSE),0),0)))/100)),1),1)</f>
        <v>0.5</v>
      </c>
      <c r="CU41" s="87">
        <f t="shared" si="40"/>
        <v>0</v>
      </c>
      <c r="CV41" s="86" t="str">
        <f>IFERROR(IF(VLOOKUP(A41,tbMoveset!A2:B112,2,FALSE)="Sever",Backdoors!AY17/100,IF(VLOOKUP(A41,tbMoveset!A2:B112,2,FALSE)="Blunt",Backdoors!AZ17/100,Backdoors!BA17/100)),"")</f>
        <v/>
      </c>
      <c r="CW41" s="49">
        <f>IFERROR(IF(VLOOKUP(tbMoveset!A41,tbMoveset!A2:H112,8,FALSE)="Other",IF(VLOOKUP(tbMoveset!A41,tbMoveset!A2:I112,9,FALSE)="Fire",Backdoors!BB17,IF(VLOOKUP(tbMoveset!A41,tbMoveset!A2:I112,9,FALSE)="Water",Backdoors!BC17,IF(VLOOKUP(tbMoveset!A41,tbMoveset!A2:I112,9,FALSE)="Thunder",Backdoors!BD17,IF(VLOOKUP(tbMoveset!A41,tbMoveset!A2:I112,9,FALSE)="Ice",Backdoors!BE17,IF(VLOOKUP(tbMoveset!A41,tbMoveset!A2:I112,9,FALSE)="Dragon",Backdoors!BF17,Backdoors!BG17)))))/100,Backdoors!BG17/100),"")</f>
        <v>0</v>
      </c>
      <c r="CX41" s="49">
        <f>IFERROR(IF(VLOOKUP(A41,tbMoveset!A2:J112,10,FALSE)=TRUE,IF((Backdoors!AI12+IF(CV41&gt;=0.45,VLOOKUP(Calculator!E23,tbSkills!DH3:DI6,2,FALSE)+IF(AND(Calculator!B8=TRUE,Backdoors!BI17=TRUE),VLOOKUP(Calculator!E23,tbSkills!DH3:DJ6,3,FALSE),0),0))&gt;=0,1+(Backdoors!AL2*(IF((Backdoors!AI12+IF(CV41&gt;=0.45,VLOOKUP(Calculator!E23,tbSkills!DH3:DI6,2,FALSE)+IF(AND(Calculator!B8=TRUE,Backdoors!BI17=TRUE),VLOOKUP(Calculator!E23,tbSkills!DH3:DJ6,3,FALSE),0),0))&gt;=100,100,(Backdoors!AI12+IF(CV41&gt;=0.45,VLOOKUP(Calculator!E23,tbSkills!DH3:DI6,2,FALSE)+IF(AND(Calculator!B8=TRUE,Backdoors!BI17=TRUE),VLOOKUP(Calculator!E23,tbSkills!DH3:DJ6,3,FALSE),0),0)))/100)),(1-(0.25*((-Backdoors!AI12-IF(CV41&gt;=0.45,VLOOKUP(Calculator!E23,tbSkills!DH3:DI6,2,FALSE)+IF(AND(Calculator!B8=TRUE,Backdoors!BI17=TRUE),VLOOKUP(Calculator!E23,tbSkills!DH3:DJ6,3,FALSE),0),0))/100)))),1),"")</f>
        <v>1</v>
      </c>
      <c r="CY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V41)*CX41)*(VLOOKUP(A41,tbMoveset!A2:C112,3,FALSE)/100)*IF(VLOOKUP(A41,tbMoveset!A2:B112,2,FALSE)="Projectile",Backdoors!N10,Backdoors!N9),0),"")</f>
        <v/>
      </c>
      <c r="CZ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V41&gt;=0.45,VLOOKUP(Calculator!E23,tbSkills!DH3:DI6,2,FALSE)+IF(AND(Calculator!B8=TRUE,Backdoors!BI17=TRUE),VLOOKUP(Calculator!E23,tbSkills!DH3:DJ6,3,FALSE),0),0))&gt;=100,100,(Backdoors!AI12+IF(CV41&gt;=0.45,VLOOKUP(Calculator!E23,tbSkills!DH3:DI6,2,FALSE)+IF(AND(Calculator!B8=TRUE,Backdoors!BI17=TRUE),VLOOKUP(Calculator!E23,tbSkills!DH3:DJ6,3,FALSE),0),0)))/100)),1))*IF(VLOOKUP(A41,tbMoveset!A2:K112,11,FALSE)=TRUE,Backdoors!AC5,1))*CW41,0),"")</f>
        <v>0</v>
      </c>
      <c r="DA41" s="49">
        <f>VLOOKUP(A41,tbMoveset!A2:G112,7,FALSE)*IFERROR(IF(Backdoors!AI12&gt;=0,1+(IF(Calculator!E40&gt;0,VLOOKUP(Calculator!E40,tbSkills!AI3:AJ5,2,FALSE),Backdoors!AL4)*(IF((Backdoors!AI12+IF(CV41&gt;=0.45,VLOOKUP(Calculator!E23,tbSkills!DH3:DI6,2,FALSE)+IF(AND(Calculator!B8=TRUE,Backdoors!BI17=TRUE),VLOOKUP(Calculator!E23,tbSkills!DH3:DJ6,3,FALSE),0),0))&gt;=100,100,(Backdoors!AI12+IF(CV41&gt;=0.45,VLOOKUP(Calculator!E23,tbSkills!DH3:DI6,2,FALSE)+IF(AND(Calculator!B8=TRUE,Backdoors!BI17=TRUE),VLOOKUP(Calculator!E23,tbSkills!DH3:DJ6,3,FALSE),0),0)))/100)),1),1)</f>
        <v>0.5</v>
      </c>
      <c r="DB41" s="87">
        <f t="shared" si="8"/>
        <v>0</v>
      </c>
      <c r="DC41" s="86" t="str">
        <f>IFERROR(IF(VLOOKUP(A41,tbMoveset!A2:B112,2,FALSE)="Sever",Backdoors!AY18/100,IF(VLOOKUP(A41,tbMoveset!A2:B112,2,FALSE)="Blunt",Backdoors!AZ18/100,Backdoors!BA18/100)),"")</f>
        <v/>
      </c>
      <c r="DD41" s="49">
        <f>IFERROR(IF(VLOOKUP(tbMoveset!A41,tbMoveset!A2:H112,8,FALSE)="Other",IF(VLOOKUP(tbMoveset!A41,tbMoveset!A2:I112,9,FALSE)="Fire",Backdoors!BB18,IF(VLOOKUP(tbMoveset!A41,tbMoveset!A2:I112,9,FALSE)="Water",Backdoors!BC18,IF(VLOOKUP(tbMoveset!A41,tbMoveset!A2:I112,9,FALSE)="Thunder",Backdoors!BD18,IF(VLOOKUP(tbMoveset!A41,tbMoveset!A2:I112,9,FALSE)="Ice",Backdoors!BE18,IF(VLOOKUP(tbMoveset!A41,tbMoveset!A2:I112,9,FALSE)="Dragon",Backdoors!BF18,Backdoors!BG18)))))/100,Backdoors!BG18/100),"")</f>
        <v>0</v>
      </c>
      <c r="DE41" s="49">
        <f>IFERROR(IF(VLOOKUP(A41,tbMoveset!A2:J112,10,FALSE)=TRUE,IF((Backdoors!AI12+IF(DC41&gt;=0.45,VLOOKUP(Calculator!E23,tbSkills!DH3:DI6,2,FALSE)+IF(AND(Calculator!B8=TRUE,Backdoors!BI18=TRUE),VLOOKUP(Calculator!E23,tbSkills!DH3:DJ6,3,FALSE),0),0))&gt;=0,1+(Backdoors!AL2*(IF((Backdoors!AI12+IF(DC41&gt;=0.45,VLOOKUP(Calculator!E23,tbSkills!DH3:DI6,2,FALSE)+IF(AND(Calculator!B8=TRUE,Backdoors!BI18=TRUE),VLOOKUP(Calculator!E23,tbSkills!DH3:DJ6,3,FALSE),0),0))&gt;=100,100,(Backdoors!AI12+IF(DC41&gt;=0.45,VLOOKUP(Calculator!E23,tbSkills!DH3:DI6,2,FALSE)+IF(AND(Calculator!B8=TRUE,Backdoors!BI18=TRUE),VLOOKUP(Calculator!E23,tbSkills!DH3:DJ6,3,FALSE),0),0)))/100)),(1-(0.25*((-Backdoors!AI12-IF(DC41&gt;=0.45,VLOOKUP(Calculator!E23,tbSkills!DH3:DI6,2,FALSE)+IF(AND(Calculator!B8=TRUE,Backdoors!BI18=TRUE),VLOOKUP(Calculator!E23,tbSkills!DH3:DJ6,3,FALSE),0),0))/100)))),1),"")</f>
        <v>1</v>
      </c>
      <c r="DF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C41)*DE41)*(VLOOKUP(A41,tbMoveset!A2:C112,3,FALSE)/100)*IF(VLOOKUP(A41,tbMoveset!A2:B112,2,FALSE)="Projectile",Backdoors!N10,Backdoors!N9),0),"")</f>
        <v/>
      </c>
      <c r="DG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C41&gt;=0.45,VLOOKUP(Calculator!E23,tbSkills!DH3:DI6,2,FALSE)+IF(AND(Calculator!B8=TRUE,Backdoors!BI18=TRUE),VLOOKUP(Calculator!E23,tbSkills!DH3:DJ6,3,FALSE),0),0))&gt;=100,100,(Backdoors!AI12+IF(DC41&gt;=0.45,VLOOKUP(Calculator!E23,tbSkills!DH3:DI6,2,FALSE)+IF(AND(Calculator!B8=TRUE,Backdoors!BI18=TRUE),VLOOKUP(Calculator!E23,tbSkills!DH3:DJ6,3,FALSE),0),0)))/100)),1))*IF(VLOOKUP(A41,tbMoveset!A2:K112,11,FALSE)=TRUE,Backdoors!AC5,1))*DD41,0),"")</f>
        <v>0</v>
      </c>
      <c r="DH41" s="49">
        <f>VLOOKUP(A41,tbMoveset!A2:G112,7,FALSE)*IFERROR(IF(Backdoors!AI12&gt;=0,1+(IF(Calculator!E40&gt;0,VLOOKUP(Calculator!E40,tbSkills!AI3:AJ5,2,FALSE),Backdoors!AL4)*(IF((Backdoors!AI12+IF(DC41&gt;=0.45,VLOOKUP(Calculator!E23,tbSkills!DH3:DI6,2,FALSE)+IF(AND(Calculator!B8=TRUE,Backdoors!BI18=TRUE),VLOOKUP(Calculator!E23,tbSkills!DH3:DJ6,3,FALSE),0),0))&gt;=100,100,(Backdoors!AI12+IF(DC41&gt;=0.45,VLOOKUP(Calculator!E23,tbSkills!DH3:DI6,2,FALSE)+IF(AND(Calculator!B8=TRUE,Backdoors!BI18=TRUE),VLOOKUP(Calculator!E23,tbSkills!DH3:DJ6,3,FALSE),0),0)))/100)),1),1)</f>
        <v>0.5</v>
      </c>
      <c r="DI41" s="87">
        <f t="shared" si="9"/>
        <v>0</v>
      </c>
      <c r="DJ41" s="86" t="str">
        <f>IFERROR(IF(VLOOKUP(A41,tbMoveset!A2:B112,2,FALSE)="Sever",Backdoors!AY19/100,IF(VLOOKUP(A41,tbMoveset!A2:B112,2,FALSE)="Blunt",Backdoors!AZ19/100,Backdoors!BA19/100)),"")</f>
        <v/>
      </c>
      <c r="DK41" s="49">
        <f>IFERROR(IF(VLOOKUP(tbMoveset!A41,tbMoveset!A2:H112,8,FALSE)="Other",IF(VLOOKUP(tbMoveset!A41,tbMoveset!A2:I112,9,FALSE)="Fire",Backdoors!BB19,IF(VLOOKUP(tbMoveset!A41,tbMoveset!A2:I112,9,FALSE)="Water",Backdoors!BC19,IF(VLOOKUP(tbMoveset!A41,tbMoveset!A2:I112,9,FALSE)="Thunder",Backdoors!BD19,IF(VLOOKUP(tbMoveset!A41,tbMoveset!A2:I112,9,FALSE)="Ice",Backdoors!BE19,IF(VLOOKUP(tbMoveset!A41,tbMoveset!A2:I112,9,FALSE)="Dragon",Backdoors!BF19,Backdoors!BG19)))))/100,Backdoors!BG19/100),"")</f>
        <v>0</v>
      </c>
      <c r="DL41" s="49">
        <f>IFERROR(IF(VLOOKUP(A41,tbMoveset!A2:J112,10,FALSE)=TRUE,IF((Backdoors!AI12+IF(DJ41&gt;=0.45,VLOOKUP(Calculator!E23,tbSkills!DH3:DI6,2,FALSE)+IF(AND(Calculator!B8=TRUE,Backdoors!BI19=TRUE),VLOOKUP(Calculator!E23,tbSkills!DH3:DJ6,3,FALSE),0),0))&gt;=0,1+(Backdoors!AL2*(IF((Backdoors!AI12+IF(DJ41&gt;=0.45,VLOOKUP(Calculator!E23,tbSkills!DH3:DI6,2,FALSE)+IF(AND(Calculator!B8=TRUE,Backdoors!BI19=TRUE),VLOOKUP(Calculator!E23,tbSkills!DH3:DJ6,3,FALSE),0),0))&gt;=100,100,(Backdoors!AI12+IF(DJ41&gt;=0.45,VLOOKUP(Calculator!E23,tbSkills!DH3:DI6,2,FALSE)+IF(AND(Calculator!B8=TRUE,Backdoors!BI19=TRUE),VLOOKUP(Calculator!E23,tbSkills!DH3:DJ6,3,FALSE),0),0)))/100)),(1-(0.25*((-Backdoors!AI12-IF(DJ41&gt;=0.45,VLOOKUP(Calculator!E23,tbSkills!DH3:DI6,2,FALSE)+IF(AND(Calculator!B8=TRUE,Backdoors!BI19=TRUE),VLOOKUP(Calculator!E23,tbSkills!DH3:DJ6,3,FALSE),0),0))/100)))),1),"")</f>
        <v>1</v>
      </c>
      <c r="DM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J41)*DL41)*(VLOOKUP(A41,tbMoveset!A2:C112,3,FALSE)/100)*IF(VLOOKUP(A41,tbMoveset!A2:B112,2,FALSE)="Projectile",Backdoors!N10,Backdoors!N9),0),"")</f>
        <v/>
      </c>
      <c r="DN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J41&gt;=0.45,VLOOKUP(Calculator!E23,tbSkills!DH3:DI6,2,FALSE)+IF(AND(Calculator!B8=TRUE,Backdoors!BI19=TRUE),VLOOKUP(Calculator!E23,tbSkills!DH3:DJ6,3,FALSE),0),0))&gt;=100,100,(Backdoors!AI12+IF(DJ41&gt;=0.45,VLOOKUP(Calculator!E23,tbSkills!DH3:DI6,2,FALSE)+IF(AND(Calculator!B8=TRUE,Backdoors!BI19=TRUE),VLOOKUP(Calculator!E23,tbSkills!DH3:DJ6,3,FALSE),0),0)))/100)),1))*IF(VLOOKUP(A41,tbMoveset!A2:K112,11,FALSE)=TRUE,Backdoors!AC5,1))*DK41,0),"")</f>
        <v>0</v>
      </c>
      <c r="DO41" s="49">
        <f>VLOOKUP(A41,tbMoveset!A2:G112,7,FALSE)*IFERROR(IF(Backdoors!AI12&gt;=0,1+(IF(Calculator!E40&gt;0,VLOOKUP(Calculator!E40,tbSkills!AI3:AJ5,2,FALSE),Backdoors!AL4)*(IF((Backdoors!AI12+IF(DJ41&gt;=0.45,VLOOKUP(Calculator!E23,tbSkills!DH3:DI6,2,FALSE)+IF(AND(Calculator!B8=TRUE,Backdoors!BI19=TRUE),VLOOKUP(Calculator!E23,tbSkills!DH3:DJ6,3,FALSE),0),0))&gt;=100,100,(Backdoors!AI12+IF(DJ41&gt;=0.45,VLOOKUP(Calculator!E23,tbSkills!DH3:DI6,2,FALSE)+IF(AND(Calculator!B8=TRUE,Backdoors!BI19=TRUE),VLOOKUP(Calculator!E23,tbSkills!DH3:DJ6,3,FALSE),0),0)))/100)),1),1)</f>
        <v>0.5</v>
      </c>
      <c r="DP41" s="87">
        <f t="shared" si="41"/>
        <v>0</v>
      </c>
      <c r="DQ41" s="86" t="str">
        <f>IFERROR(IF(VLOOKUP(A41,tbMoveset!A2:B112,2,FALSE)="Sever",Backdoors!AY20/100,IF(VLOOKUP(A41,tbMoveset!A2:B112,2,FALSE)="Blunt",Backdoors!AZ20/100,Backdoors!BA20/100)),"")</f>
        <v/>
      </c>
      <c r="DR41" s="49">
        <f>IFERROR(IF(VLOOKUP(tbMoveset!A41,tbMoveset!A2:H112,8,FALSE)="Other",IF(VLOOKUP(tbMoveset!A41,tbMoveset!A2:I112,9,FALSE)="Fire",Backdoors!BB20,IF(VLOOKUP(tbMoveset!A41,tbMoveset!A2:I112,9,FALSE)="Water",Backdoors!BC20,IF(VLOOKUP(tbMoveset!A41,tbMoveset!A2:I112,9,FALSE)="Thunder",Backdoors!BD20,IF(VLOOKUP(tbMoveset!A41,tbMoveset!A2:I112,9,FALSE)="Ice",Backdoors!BE20,IF(VLOOKUP(tbMoveset!A41,tbMoveset!A2:I112,9,FALSE)="Dragon",Backdoors!BF20,Backdoors!BG20)))))/100,Backdoors!BG20/100),"")</f>
        <v>0</v>
      </c>
      <c r="DS41" s="49">
        <f>IFERROR(IF(VLOOKUP(A41,tbMoveset!A2:J112,10,FALSE)=TRUE,IF((Backdoors!AI12+IF(DQ41&gt;=0.45,VLOOKUP(Calculator!E23,tbSkills!DH3:DI6,2,FALSE)+IF(AND(Calculator!B8=TRUE,Backdoors!BI20=TRUE),VLOOKUP(Calculator!E23,tbSkills!DH3:DJ6,3,FALSE),0),0))&gt;=0,1+(Backdoors!AL2*(IF((Backdoors!AI12+IF(DQ41&gt;=0.45,VLOOKUP(Calculator!E23,tbSkills!DH3:DI6,2,FALSE)+IF(AND(Calculator!B8=TRUE,Backdoors!BI20=TRUE),VLOOKUP(Calculator!E23,tbSkills!DH3:DJ6,3,FALSE),0),0))&gt;=100,100,(Backdoors!AI12+IF(DQ41&gt;=0.45,VLOOKUP(Calculator!E23,tbSkills!DH3:DI6,2,FALSE)+IF(AND(Calculator!B8=TRUE,Backdoors!BI20=TRUE),VLOOKUP(Calculator!E23,tbSkills!DH3:DJ6,3,FALSE),0),0)))/100)),(1-(0.25*((-Backdoors!AI12-IF(DQ41&gt;=0.45,VLOOKUP(Calculator!E23,tbSkills!DH3:DI6,2,FALSE)+IF(AND(Calculator!B8=TRUE,Backdoors!BI20=TRUE),VLOOKUP(Calculator!E23,tbSkills!DH3:DJ6,3,FALSE),0),0))/100)))),1),"")</f>
        <v>1</v>
      </c>
      <c r="DT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Q41)*DS41)*(VLOOKUP(A41,tbMoveset!A2:C112,3,FALSE)/100)*IF(VLOOKUP(A41,tbMoveset!A2:B112,2,FALSE)="Projectile",Backdoors!N10,Backdoors!N9),0),"")</f>
        <v/>
      </c>
      <c r="DU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Q41&gt;=0.45,VLOOKUP(Calculator!E23,tbSkills!DH3:DI6,2,FALSE)+IF(AND(Calculator!B8=TRUE,Backdoors!BI20=TRUE),VLOOKUP(Calculator!E23,tbSkills!DH3:DJ6,3,FALSE),0),0))&gt;=100,100,(Backdoors!AI12+IF(DQ41&gt;=0.45,VLOOKUP(Calculator!E23,tbSkills!DH3:DI6,2,FALSE)+IF(AND(Calculator!B8=TRUE,Backdoors!BI20=TRUE),VLOOKUP(Calculator!E23,tbSkills!DH3:DJ6,3,FALSE),0),0)))/100)),1))*IF(VLOOKUP(A41,tbMoveset!A2:K112,11,FALSE)=TRUE,Backdoors!AC5,1))*DR41,0),"")</f>
        <v>0</v>
      </c>
      <c r="DV41" s="49">
        <f>VLOOKUP(A41,tbMoveset!A2:G112,7,FALSE)*IFERROR(IF(Backdoors!AI12&gt;=0,1+(IF(Calculator!E40&gt;0,VLOOKUP(Calculator!E40,tbSkills!AI3:AJ5,2,FALSE),Backdoors!AL4)*(IF((Backdoors!AI12+IF(DQ41&gt;=0.45,VLOOKUP(Calculator!E23,tbSkills!DH3:DI6,2,FALSE)+IF(AND(Calculator!B8=TRUE,Backdoors!BI20=TRUE),VLOOKUP(Calculator!E23,tbSkills!DH3:DJ6,3,FALSE),0),0))&gt;=100,100,(Backdoors!AI12+IF(DQ41&gt;=0.45,VLOOKUP(Calculator!E23,tbSkills!DH3:DI6,2,FALSE)+IF(AND(Calculator!B8=TRUE,Backdoors!BI20=TRUE),VLOOKUP(Calculator!E23,tbSkills!DH3:DJ6,3,FALSE),0),0)))/100)),1),1)</f>
        <v>0.5</v>
      </c>
      <c r="DW41" s="87">
        <f t="shared" si="10"/>
        <v>0</v>
      </c>
      <c r="DX41" s="86" t="str">
        <f>IFERROR(IF(VLOOKUP(A41,tbMoveset!A2:B112,2,FALSE)="Sever",Backdoors!AY21/100,IF(VLOOKUP(A41,tbMoveset!A2:B112,2,FALSE)="Blunt",Backdoors!AZ21/100,Backdoors!BA21/100)),"")</f>
        <v/>
      </c>
      <c r="DY41" s="49">
        <f>IFERROR(IF(VLOOKUP(tbMoveset!A41,tbMoveset!A2:H112,8,FALSE)="Other",IF(VLOOKUP(tbMoveset!A41,tbMoveset!A2:I112,9,FALSE)="Fire",Backdoors!BB21,IF(VLOOKUP(tbMoveset!A41,tbMoveset!A2:I112,9,FALSE)="Water",Backdoors!BC21,IF(VLOOKUP(tbMoveset!A41,tbMoveset!A2:I112,9,FALSE)="Thunder",Backdoors!BD21,IF(VLOOKUP(tbMoveset!A41,tbMoveset!A2:I112,9,FALSE)="Ice",Backdoors!BE21,IF(VLOOKUP(tbMoveset!A41,tbMoveset!A2:I112,9,FALSE)="Dragon",Backdoors!BF21,Backdoors!BG21)))))/100,Backdoors!BG21/100),"")</f>
        <v>0</v>
      </c>
      <c r="DZ41" s="49">
        <f>IFERROR(IF(VLOOKUP(A41,tbMoveset!A2:J112,10,FALSE)=TRUE,IF((Backdoors!AI12+IF(DX41&gt;=0.45,VLOOKUP(Calculator!E23,tbSkills!DH3:DI6,2,FALSE)+IF(AND(Calculator!B8=TRUE,Backdoors!BI21=TRUE),VLOOKUP(Calculator!E23,tbSkills!DH3:DJ6,3,FALSE),0),0))&gt;=0,1+(Backdoors!AL2*(IF((Backdoors!AI12+IF(DX41&gt;=0.45,VLOOKUP(Calculator!E23,tbSkills!DH3:DI6,2,FALSE)+IF(AND(Calculator!B8=TRUE,Backdoors!BI21=TRUE),VLOOKUP(Calculator!E23,tbSkills!DH3:DJ6,3,FALSE),0),0))&gt;=100,100,(Backdoors!AI12+IF(DX41&gt;=0.45,VLOOKUP(Calculator!E23,tbSkills!DH3:DI6,2,FALSE)+IF(AND(Calculator!B8=TRUE,Backdoors!BI21=TRUE),VLOOKUP(Calculator!E23,tbSkills!DH3:DJ6,3,FALSE),0),0)))/100)),(1-(0.25*((-Backdoors!AI12-IF(DX41&gt;=0.45,VLOOKUP(Calculator!E23,tbSkills!DH3:DI6,2,FALSE)+IF(AND(Calculator!B8=TRUE,Backdoors!BI21=TRUE),VLOOKUP(Calculator!E23,tbSkills!DH3:DJ6,3,FALSE),0),0))/100)))),1),"")</f>
        <v>1</v>
      </c>
      <c r="EA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X41)*DZ41)*(VLOOKUP(A41,tbMoveset!A2:C112,3,FALSE)/100)*IF(VLOOKUP(A41,tbMoveset!A2:B112,2,FALSE)="Projectile",Backdoors!N10,Backdoors!N9),0),"")</f>
        <v/>
      </c>
      <c r="EB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X41&gt;=0.45,VLOOKUP(Calculator!E23,tbSkills!DH3:DI6,2,FALSE)+IF(AND(Calculator!B8=TRUE,Backdoors!BI21=TRUE),VLOOKUP(Calculator!E23,tbSkills!DH3:DJ6,3,FALSE),0),0))&gt;=100,100,(Backdoors!AI12+IF(DX41&gt;=0.45,VLOOKUP(Calculator!E23,tbSkills!DH3:DI6,2,FALSE)+IF(AND(Calculator!B8=TRUE,Backdoors!BI21=TRUE),VLOOKUP(Calculator!E23,tbSkills!DH3:DJ6,3,FALSE),0),0)))/100)),1))*IF(VLOOKUP(A41,tbMoveset!A2:K112,11,FALSE)=TRUE,Backdoors!AC5,1))*DY41,0),"")</f>
        <v>0</v>
      </c>
      <c r="EC41" s="49">
        <f>VLOOKUP(A41,tbMoveset!A2:G112,7,FALSE)*IFERROR(IF(Backdoors!AI12&gt;=0,1+(IF(Calculator!E40&gt;0,VLOOKUP(Calculator!E40,tbSkills!AI3:AJ5,2,FALSE),Backdoors!AL4)*(IF((Backdoors!AI12+IF(DX41&gt;=0.45,VLOOKUP(Calculator!E23,tbSkills!DH3:DI6,2,FALSE)+IF(AND(Calculator!B8=TRUE,Backdoors!BI21=TRUE),VLOOKUP(Calculator!E23,tbSkills!DH3:DJ6,3,FALSE),0),0))&gt;=100,100,(Backdoors!AI12+IF(DX41&gt;=0.45,VLOOKUP(Calculator!E23,tbSkills!DH3:DI6,2,FALSE)+IF(AND(Calculator!B8=TRUE,Backdoors!BI21=TRUE),VLOOKUP(Calculator!E23,tbSkills!DH3:DJ6,3,FALSE),0),0)))/100)),1),1)</f>
        <v>0.5</v>
      </c>
      <c r="ED41" s="87">
        <f t="shared" si="11"/>
        <v>0</v>
      </c>
      <c r="EE41" s="86" t="str">
        <f>IFERROR(IF(VLOOKUP(A41,tbMoveset!A2:B112,2,FALSE)="Sever",Backdoors!AY22/100,IF(VLOOKUP(A41,tbMoveset!A2:B112,2,FALSE)="Blunt",Backdoors!AZ22/100,Backdoors!BA22/100)),"")</f>
        <v/>
      </c>
      <c r="EF41" s="49">
        <f>IFERROR(IF(VLOOKUP(tbMoveset!A41,tbMoveset!A2:H112,8,FALSE)="Other",IF(VLOOKUP(tbMoveset!A41,tbMoveset!A2:I112,9,FALSE)="Fire",Backdoors!BB22,IF(VLOOKUP(tbMoveset!A41,tbMoveset!A2:I112,9,FALSE)="Water",Backdoors!BC22,IF(VLOOKUP(tbMoveset!A41,tbMoveset!A2:I112,9,FALSE)="Thunder",Backdoors!BD22,IF(VLOOKUP(tbMoveset!A41,tbMoveset!A2:I112,9,FALSE)="Ice",Backdoors!BE22,IF(VLOOKUP(tbMoveset!A41,tbMoveset!A2:I112,9,FALSE)="Dragon",Backdoors!BF22,Backdoors!BG22)))))/100,Backdoors!BG22/100),"")</f>
        <v>0</v>
      </c>
      <c r="EG41" s="49">
        <f>IFERROR(IF(VLOOKUP(A41,tbMoveset!A2:J112,10,FALSE)=TRUE,IF((Backdoors!AI12+IF(EE41&gt;=0.45,VLOOKUP(Calculator!E23,tbSkills!DH3:DI6,2,FALSE)+IF(AND(Calculator!B8=TRUE,Backdoors!BI22=TRUE),VLOOKUP(Calculator!E23,tbSkills!DH3:DJ6,3,FALSE),0),0))&gt;=0,1+(Backdoors!AL2*(IF((Backdoors!AI12+IF(EE41&gt;=0.45,VLOOKUP(Calculator!E23,tbSkills!DH3:DI6,2,FALSE)+IF(AND(Calculator!B8=TRUE,Backdoors!BI22=TRUE),VLOOKUP(Calculator!E23,tbSkills!DH3:DJ6,3,FALSE),0),0))&gt;=100,100,(Backdoors!AI12+IF(EE41&gt;=0.45,VLOOKUP(Calculator!E23,tbSkills!DH3:DI6,2,FALSE)+IF(AND(Calculator!B8=TRUE,Backdoors!BI22=TRUE),VLOOKUP(Calculator!E23,tbSkills!DH3:DJ6,3,FALSE),0),0)))/100)),(1-(0.25*((-Backdoors!AI12-IF(EE41&gt;=0.45,VLOOKUP(Calculator!E23,tbSkills!DH3:DI6,2,FALSE)+IF(AND(Calculator!B8=TRUE,Backdoors!BI22=TRUE),VLOOKUP(Calculator!E23,tbSkills!DH3:DJ6,3,FALSE),0),0))/100)))),1),"")</f>
        <v>1</v>
      </c>
      <c r="EH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E41)*EG41)*(VLOOKUP(A41,tbMoveset!A2:C112,3,FALSE)/100)*IF(VLOOKUP(A41,tbMoveset!A2:B112,2,FALSE)="Projectile",Backdoors!N10,Backdoors!N9),0),"")</f>
        <v/>
      </c>
      <c r="EI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E41&gt;=0.45,VLOOKUP(Calculator!E23,tbSkills!DH3:DI6,2,FALSE)+IF(AND(Calculator!B8=TRUE,Backdoors!BI22=TRUE),VLOOKUP(Calculator!E23,tbSkills!DH3:DJ6,3,FALSE),0),0))&gt;=100,100,(Backdoors!AI12+IF(EE41&gt;=0.45,VLOOKUP(Calculator!E23,tbSkills!DH3:DI6,2,FALSE)+IF(AND(Calculator!B8=TRUE,Backdoors!BI22=TRUE),VLOOKUP(Calculator!E23,tbSkills!DH3:DJ6,3,FALSE),0),0)))/100)),1))*IF(VLOOKUP(A41,tbMoveset!A2:K112,11,FALSE)=TRUE,Backdoors!AC5,1))*EF41,0),"")</f>
        <v>0</v>
      </c>
      <c r="EJ41" s="49">
        <f>VLOOKUP(A41,tbMoveset!A2:G112,7,FALSE)*IFERROR(IF(Backdoors!AI12&gt;=0,1+(IF(Calculator!E40&gt;0,VLOOKUP(Calculator!E40,tbSkills!AI3:AJ5,2,FALSE),Backdoors!AL4)*(IF((Backdoors!AI12+IF(EE41&gt;=0.45,VLOOKUP(Calculator!E23,tbSkills!DH3:DI6,2,FALSE)+IF(AND(Calculator!B8=TRUE,Backdoors!BI22=TRUE),VLOOKUP(Calculator!E23,tbSkills!DH3:DJ6,3,FALSE),0),0))&gt;=100,100,(Backdoors!AI12+IF(EE41&gt;=0.45,VLOOKUP(Calculator!E23,tbSkills!DH3:DI6,2,FALSE)+IF(AND(Calculator!B8=TRUE,Backdoors!BI22=TRUE),VLOOKUP(Calculator!E23,tbSkills!DH3:DJ6,3,FALSE),0),0)))/100)),1),1)</f>
        <v>0.5</v>
      </c>
      <c r="EK41" s="87">
        <f t="shared" si="12"/>
        <v>0</v>
      </c>
      <c r="EL41" s="86" t="str">
        <f>IFERROR(IF(VLOOKUP(A41,tbMoveset!A2:B112,2,FALSE)="Sever",Backdoors!AY23/100,IF(VLOOKUP(A41,tbMoveset!A2:B112,2,FALSE)="Blunt",Backdoors!AZ23/100,Backdoors!BA23/100)),"")</f>
        <v/>
      </c>
      <c r="EM41" s="49">
        <f>IFERROR(IF(VLOOKUP(tbMoveset!A41,tbMoveset!A2:H112,8,FALSE)="Other",IF(VLOOKUP(tbMoveset!A41,tbMoveset!A2:I112,9,FALSE)="Fire",Backdoors!BB23,IF(VLOOKUP(tbMoveset!A41,tbMoveset!A2:I112,9,FALSE)="Water",Backdoors!BC23,IF(VLOOKUP(tbMoveset!A41,tbMoveset!A2:I112,9,FALSE)="Thunder",Backdoors!BD23,IF(VLOOKUP(tbMoveset!A41,tbMoveset!A2:I112,9,FALSE)="Ice",Backdoors!BE23,IF(VLOOKUP(tbMoveset!A41,tbMoveset!A2:I112,9,FALSE)="Dragon",Backdoors!BF23,Backdoors!BG23)))))/100,Backdoors!BG23/100),"")</f>
        <v>0</v>
      </c>
      <c r="EN41" s="49">
        <f>IFERROR(IF(VLOOKUP(A41,tbMoveset!A2:J112,10,FALSE)=TRUE,IF((Backdoors!AI12+IF(EL41&gt;=0.45,VLOOKUP(Calculator!E23,tbSkills!DH3:DI6,2,FALSE)+IF(AND(Calculator!B8=TRUE,Backdoors!BI23=TRUE),VLOOKUP(Calculator!E23,tbSkills!DH3:DJ6,3,FALSE),0),0))&gt;=0,1+(Backdoors!AL2*(IF((Backdoors!AI12+IF(EL41&gt;=0.45,VLOOKUP(Calculator!E23,tbSkills!DH3:DI6,2,FALSE)+IF(AND(Calculator!B8=TRUE,Backdoors!BI23=TRUE),VLOOKUP(Calculator!E23,tbSkills!DH3:DJ6,3,FALSE),0),0))&gt;=100,100,(Backdoors!AI12+IF(EL41&gt;=0.45,VLOOKUP(Calculator!E23,tbSkills!DH3:DI6,2,FALSE)+IF(AND(Calculator!B8=TRUE,Backdoors!BI23=TRUE),VLOOKUP(Calculator!E23,tbSkills!DH3:DJ6,3,FALSE),0),0)))/100)),(1-(0.25*((-Backdoors!AI12-IF(EL41&gt;=0.45,VLOOKUP(Calculator!E23,tbSkills!DH3:DI6,2,FALSE)+IF(AND(Calculator!B8=TRUE,Backdoors!BI23=TRUE),VLOOKUP(Calculator!E23,tbSkills!DH3:DJ6,3,FALSE),0),0))/100)))),1),"")</f>
        <v>1</v>
      </c>
      <c r="EO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L41)*EN41)*(VLOOKUP(A41,tbMoveset!A2:C112,3,FALSE)/100)*IF(VLOOKUP(A41,tbMoveset!A2:B112,2,FALSE)="Projectile",Backdoors!N10,Backdoors!N9),0),"")</f>
        <v/>
      </c>
      <c r="EP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L41&gt;=0.45,VLOOKUP(Calculator!E23,tbSkills!DH3:DI6,2,FALSE)+IF(AND(Calculator!B8=TRUE,Backdoors!BI23=TRUE),VLOOKUP(Calculator!E23,tbSkills!DH3:DJ6,3,FALSE),0),0))&gt;=100,100,(Backdoors!AI12+IF(EL41&gt;=0.45,VLOOKUP(Calculator!E23,tbSkills!DH3:DI6,2,FALSE)+IF(AND(Calculator!B8=TRUE,Backdoors!BI23=TRUE),VLOOKUP(Calculator!E23,tbSkills!DH3:DJ6,3,FALSE),0),0)))/100)),1))*IF(VLOOKUP(A41,tbMoveset!A2:K112,11,FALSE)=TRUE,Backdoors!AC5,1))*EM41,0),"")</f>
        <v>0</v>
      </c>
      <c r="EQ41" s="49">
        <f>VLOOKUP(A41,tbMoveset!A2:G112,7,FALSE)*IFERROR(IF(Backdoors!AI12&gt;=0,1+(IF(Calculator!E40&gt;0,VLOOKUP(Calculator!E40,tbSkills!AI3:AJ5,2,FALSE),Backdoors!AL4)*(IF((Backdoors!AI12+IF(EL41&gt;=0.45,VLOOKUP(Calculator!E23,tbSkills!DH3:DI6,2,FALSE)+IF(AND(Calculator!B8=TRUE,Backdoors!BI23=TRUE),VLOOKUP(Calculator!E23,tbSkills!DH3:DJ6,3,FALSE),0),0))&gt;=100,100,(Backdoors!AI12+IF(EL41&gt;=0.45,VLOOKUP(Calculator!E23,tbSkills!DH3:DI6,2,FALSE)+IF(AND(Calculator!B8=TRUE,Backdoors!BI23=TRUE),VLOOKUP(Calculator!E23,tbSkills!DH3:DJ6,3,FALSE),0),0)))/100)),1),1)</f>
        <v>0.5</v>
      </c>
      <c r="ER41" s="87">
        <f t="shared" si="13"/>
        <v>0</v>
      </c>
      <c r="ES41" s="86" t="str">
        <f>IFERROR(IF(VLOOKUP(A41,tbMoveset!A2:B112,2,FALSE)="Sever",Backdoors!AY24/100,IF(VLOOKUP(A41,tbMoveset!A2:B112,2,FALSE)="Blunt",Backdoors!AZ24/100,Backdoors!BA24/100)),"")</f>
        <v/>
      </c>
      <c r="ET41" s="49">
        <f>IFERROR(IF(VLOOKUP(tbMoveset!A41,tbMoveset!A2:H112,8,FALSE)="Other",IF(VLOOKUP(tbMoveset!A41,tbMoveset!A2:I112,9,FALSE)="Fire",Backdoors!BB24,IF(VLOOKUP(tbMoveset!A41,tbMoveset!A2:I112,9,FALSE)="Water",Backdoors!BC24,IF(VLOOKUP(tbMoveset!A41,tbMoveset!A2:I112,9,FALSE)="Thunder",Backdoors!BD24,IF(VLOOKUP(tbMoveset!A41,tbMoveset!A2:I112,9,FALSE)="Ice",Backdoors!BE24,IF(VLOOKUP(tbMoveset!A41,tbMoveset!A2:I112,9,FALSE)="Dragon",Backdoors!BF24,Backdoors!BG24)))))/100,Backdoors!BG24/100),"")</f>
        <v>0</v>
      </c>
      <c r="EU41" s="49">
        <f>IFERROR(IF(VLOOKUP(A41,tbMoveset!A2:J112,10,FALSE)=TRUE,IF((Backdoors!AI12+IF(ES41&gt;=0.45,VLOOKUP(Calculator!E23,tbSkills!DH3:DI6,2,FALSE)+IF(AND(Calculator!B8=TRUE,Backdoors!BI24=TRUE),VLOOKUP(Calculator!E23,tbSkills!DH3:DJ6,3,FALSE),0),0))&gt;=0,1+(Backdoors!AL2*(IF((Backdoors!AI12+IF(ES41&gt;=0.45,VLOOKUP(Calculator!E23,tbSkills!DH3:DI6,2,FALSE)+IF(AND(Calculator!B8=TRUE,Backdoors!BI24=TRUE),VLOOKUP(Calculator!E23,tbSkills!DH3:DJ6,3,FALSE),0),0))&gt;=100,100,(Backdoors!AI12+IF(ES41&gt;=0.45,VLOOKUP(Calculator!E23,tbSkills!DH3:DI6,2,FALSE)+IF(AND(Calculator!B8=TRUE,Backdoors!BI24=TRUE),VLOOKUP(Calculator!E23,tbSkills!DH3:DJ6,3,FALSE),0),0)))/100)),(1-(0.25*((-Backdoors!AI12-IF(ES41&gt;=0.45,VLOOKUP(Calculator!E23,tbSkills!DH3:DI6,2,FALSE)+IF(AND(Calculator!B8=TRUE,Backdoors!BI24=TRUE),VLOOKUP(Calculator!E23,tbSkills!DH3:DJ6,3,FALSE),0),0))/100)))),1),"")</f>
        <v>1</v>
      </c>
      <c r="EV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S41)*EU41)*(VLOOKUP(A41,tbMoveset!A2:C112,3,FALSE)/100)*IF(VLOOKUP(A41,tbMoveset!A2:B112,2,FALSE)="Projectile",Backdoors!N10,Backdoors!N9),0),"")</f>
        <v/>
      </c>
      <c r="EW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S41&gt;=0.45,VLOOKUP(Calculator!E23,tbSkills!DH3:DI6,2,FALSE)+IF(AND(Calculator!B8=TRUE,Backdoors!BI24=TRUE),VLOOKUP(Calculator!E23,tbSkills!DH3:DJ6,3,FALSE),0),0))&gt;=100,100,(Backdoors!AI12+IF(ES41&gt;=0.45,VLOOKUP(Calculator!E23,tbSkills!DH3:DI6,2,FALSE)+IF(AND(Calculator!B8=TRUE,Backdoors!BI24=TRUE),VLOOKUP(Calculator!E23,tbSkills!DH3:DJ6,3,FALSE),0),0)))/100)),1))*IF(VLOOKUP(A41,tbMoveset!A2:K112,11,FALSE)=TRUE,Backdoors!AC5,1))*ET41,0),"")</f>
        <v>0</v>
      </c>
      <c r="EX41" s="49">
        <f>VLOOKUP(A41,tbMoveset!A2:G112,7,FALSE)*IFERROR(IF(Backdoors!AI12&gt;=0,1+(IF(Calculator!E40&gt;0,VLOOKUP(Calculator!E40,tbSkills!AI3:AJ5,2,FALSE),Backdoors!AL4)*(IF((Backdoors!AI12+IF(ES41&gt;=0.45,VLOOKUP(Calculator!E23,tbSkills!DH3:DI6,2,FALSE)+IF(AND(Calculator!B8=TRUE,Backdoors!BI24=TRUE),VLOOKUP(Calculator!E23,tbSkills!DH3:DJ6,3,FALSE),0),0))&gt;=100,100,(Backdoors!AI12+IF(ES41&gt;=0.45,VLOOKUP(Calculator!E23,tbSkills!DH3:DI6,2,FALSE)+IF(AND(Calculator!B8=TRUE,Backdoors!BI24=TRUE),VLOOKUP(Calculator!E23,tbSkills!DH3:DJ6,3,FALSE),0),0)))/100)),1),1)</f>
        <v>0.5</v>
      </c>
      <c r="EY41" s="87">
        <f t="shared" si="14"/>
        <v>0</v>
      </c>
      <c r="EZ41" s="86" t="str">
        <f>IFERROR(IF(VLOOKUP(A41,tbMoveset!A2:B112,2,FALSE)="Sever",Backdoors!AY25/100,IF(VLOOKUP(A41,tbMoveset!A2:B112,2,FALSE)="Blunt",Backdoors!AZ25/100,Backdoors!BA25/100)),"")</f>
        <v/>
      </c>
      <c r="FA41" s="49">
        <f>IFERROR(IF(VLOOKUP(tbMoveset!A41,tbMoveset!A2:H112,8,FALSE)="Other",IF(VLOOKUP(tbMoveset!A41,tbMoveset!A2:I112,9,FALSE)="Fire",Backdoors!BB25,IF(VLOOKUP(tbMoveset!A41,tbMoveset!A2:I112,9,FALSE)="Water",Backdoors!BC25,IF(VLOOKUP(tbMoveset!A41,tbMoveset!A2:I112,9,FALSE)="Thunder",Backdoors!BD25,IF(VLOOKUP(tbMoveset!A41,tbMoveset!A2:I112,9,FALSE)="Ice",Backdoors!BE25,IF(VLOOKUP(tbMoveset!A41,tbMoveset!A2:I112,9,FALSE)="Dragon",Backdoors!BF25,Backdoors!BG25)))))/100,Backdoors!BG25/100),"")</f>
        <v>0</v>
      </c>
      <c r="FB41" s="49">
        <f>IFERROR(IF(VLOOKUP(A41,tbMoveset!A2:J112,10,FALSE)=TRUE,IF((Backdoors!AI12+IF(EZ41&gt;=0.45,VLOOKUP(Calculator!E23,tbSkills!DH3:DI6,2,FALSE)+IF(AND(Calculator!B8=TRUE,Backdoors!BI25=TRUE),VLOOKUP(Calculator!E23,tbSkills!DH3:DJ6,3,FALSE),0),0))&gt;=0,1+(Backdoors!AL2*(IF((Backdoors!AI12+IF(EZ41&gt;=0.45,VLOOKUP(Calculator!E23,tbSkills!DH3:DI6,2,FALSE)+IF(AND(Calculator!B8=TRUE,Backdoors!BI25=TRUE),VLOOKUP(Calculator!E23,tbSkills!DH3:DJ6,3,FALSE),0),0))&gt;=100,100,(Backdoors!AI12+IF(EZ41&gt;=0.45,VLOOKUP(Calculator!E23,tbSkills!DH3:DI6,2,FALSE)+IF(AND(Calculator!B8=TRUE,Backdoors!BI25=TRUE),VLOOKUP(Calculator!E23,tbSkills!DH3:DJ6,3,FALSE),0),0)))/100)),(1-(0.25*((-Backdoors!AI12-IF(EZ41&gt;=0.45,VLOOKUP(Calculator!E23,tbSkills!DH3:DI6,2,FALSE)+IF(AND(Calculator!B8=TRUE,Backdoors!BI25=TRUE),VLOOKUP(Calculator!E23,tbSkills!DH3:DJ6,3,FALSE),0),0))/100)))),1),"")</f>
        <v>1</v>
      </c>
      <c r="FC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Z41)*FB41)*(VLOOKUP(A41,tbMoveset!A2:C112,3,FALSE)/100)*IF(VLOOKUP(A41,tbMoveset!A2:B112,2,FALSE)="Projectile",Backdoors!N10,Backdoors!N9),0),"")</f>
        <v/>
      </c>
      <c r="FD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Z41&gt;=0.45,VLOOKUP(Calculator!E23,tbSkills!DH3:DI6,2,FALSE)+IF(AND(Calculator!B8=TRUE,Backdoors!BI25=TRUE),VLOOKUP(Calculator!E23,tbSkills!DH3:DJ6,3,FALSE),0),0))&gt;=100,100,(Backdoors!AI12+IF(EZ41&gt;=0.45,VLOOKUP(Calculator!E23,tbSkills!DH3:DI6,2,FALSE)+IF(AND(Calculator!B8=TRUE,Backdoors!BI25=TRUE),VLOOKUP(Calculator!E23,tbSkills!DH3:DJ6,3,FALSE),0),0)))/100)),1))*IF(VLOOKUP(A41,tbMoveset!A2:K112,11,FALSE)=TRUE,Backdoors!AC5,1))*FA41,0),"")</f>
        <v>0</v>
      </c>
      <c r="FE41" s="49">
        <f>VLOOKUP(A41,tbMoveset!A2:G112,7,FALSE)*IFERROR(IF(Backdoors!AI12&gt;=0,1+(IF(Calculator!E40&gt;0,VLOOKUP(Calculator!E40,tbSkills!AI3:AJ5,2,FALSE),Backdoors!AL4)*(IF((Backdoors!AI12+IF(EZ41&gt;=0.45,VLOOKUP(Calculator!E23,tbSkills!DH3:DI6,2,FALSE)+IF(AND(Calculator!B8=TRUE,Backdoors!BI25=TRUE),VLOOKUP(Calculator!E23,tbSkills!DH3:DJ6,3,FALSE),0),0))&gt;=100,100,(Backdoors!AI12+IF(EZ41&gt;=0.45,VLOOKUP(Calculator!E23,tbSkills!DH3:DI6,2,FALSE)+IF(AND(Calculator!B8=TRUE,Backdoors!BI25=TRUE),VLOOKUP(Calculator!E23,tbSkills!DH3:DJ6,3,FALSE),0),0)))/100)),1),1)</f>
        <v>0.5</v>
      </c>
      <c r="FF41" s="87">
        <f t="shared" si="15"/>
        <v>0</v>
      </c>
      <c r="FG41" s="86" t="str">
        <f>IFERROR(IF(VLOOKUP(A41,tbMoveset!A2:B112,2,FALSE)="Sever",Backdoors!AY26/100,IF(VLOOKUP(A41,tbMoveset!A2:B112,2,FALSE)="Blunt",Backdoors!AZ26/100,Backdoors!BA26/100)),"")</f>
        <v/>
      </c>
      <c r="FH41" s="49">
        <f>IFERROR(IF(VLOOKUP(tbMoveset!A41,tbMoveset!A2:H112,8,FALSE)="Other",IF(VLOOKUP(tbMoveset!A41,tbMoveset!A2:I112,9,FALSE)="Fire",Backdoors!BB26,IF(VLOOKUP(tbMoveset!A41,tbMoveset!A2:I112,9,FALSE)="Water",Backdoors!BC26,IF(VLOOKUP(tbMoveset!A41,tbMoveset!A2:I112,9,FALSE)="Thunder",Backdoors!BD26,IF(VLOOKUP(tbMoveset!A41,tbMoveset!A2:I112,9,FALSE)="Ice",Backdoors!BE26,IF(VLOOKUP(tbMoveset!A41,tbMoveset!A2:I112,9,FALSE)="Dragon",Backdoors!BF26,Backdoors!BG26)))))/100,Backdoors!BG26/100),"")</f>
        <v>0</v>
      </c>
      <c r="FI41" s="49">
        <f>IFERROR(IF(VLOOKUP(A41,tbMoveset!A2:J112,10,FALSE)=TRUE,IF((Backdoors!AI12+IF(FG41&gt;=0.45,VLOOKUP(Calculator!E23,tbSkills!DH3:DI6,2,FALSE)+IF(AND(Calculator!B8=TRUE,Backdoors!BI26=TRUE),VLOOKUP(Calculator!E23,tbSkills!DH3:DJ6,3,FALSE),0),0))&gt;=0,1+(Backdoors!AL2*(IF((Backdoors!AI12+IF(FG41&gt;=0.45,VLOOKUP(Calculator!E23,tbSkills!DH3:DI6,2,FALSE)+IF(AND(Calculator!B8=TRUE,Backdoors!BI26=TRUE),VLOOKUP(Calculator!E23,tbSkills!DH3:DJ6,3,FALSE),0),0))&gt;=100,100,(Backdoors!AI12+IF(FG41&gt;=0.45,VLOOKUP(Calculator!E23,tbSkills!DH3:DI6,2,FALSE)+IF(AND(Calculator!B8=TRUE,Backdoors!BI26=TRUE),VLOOKUP(Calculator!E23,tbSkills!DH3:DJ6,3,FALSE),0),0)))/100)),(1-(0.25*((-Backdoors!AI12-IF(FG41&gt;=0.45,VLOOKUP(Calculator!E23,tbSkills!DH3:DI6,2,FALSE)+IF(AND(Calculator!B8=TRUE,Backdoors!BI26=TRUE),VLOOKUP(Calculator!E23,tbSkills!DH3:DJ6,3,FALSE),0),0))/100)))),1),"")</f>
        <v>1</v>
      </c>
      <c r="FJ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FG41)*FI41)*(VLOOKUP(A41,tbMoveset!A2:C112,3,FALSE)/100)*IF(VLOOKUP(A41,tbMoveset!A2:B112,2,FALSE)="Projectile",Backdoors!N10,Backdoors!N9),0),"")</f>
        <v/>
      </c>
      <c r="FK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FG41&gt;=0.45,VLOOKUP(Calculator!E23,tbSkills!DH3:DI6,2,FALSE)+IF(AND(Calculator!B8=TRUE,Backdoors!BI26=TRUE),VLOOKUP(Calculator!E23,tbSkills!DH3:DJ6,3,FALSE),0),0))&gt;=100,100,(Backdoors!AI12+IF(FG41&gt;=0.45,VLOOKUP(Calculator!E23,tbSkills!DH3:DI6,2,FALSE)+IF(AND(Calculator!B8=TRUE,Backdoors!BI26=TRUE),VLOOKUP(Calculator!E23,tbSkills!DH3:DJ6,3,FALSE),0),0)))/100)),1))*IF(VLOOKUP(A41,tbMoveset!A2:K112,11,FALSE)=TRUE,Backdoors!AC5,1))*FH41,0),"")</f>
        <v>0</v>
      </c>
      <c r="FL41" s="49">
        <f>VLOOKUP(A41,tbMoveset!A2:G112,7,FALSE)*IFERROR(IF(Backdoors!AI12&gt;=0,1+(IF(Calculator!E40&gt;0,VLOOKUP(Calculator!E40,tbSkills!AI3:AJ5,2,FALSE),Backdoors!AL4)*(IF((Backdoors!AI12+IF(FG41&gt;=0.45,VLOOKUP(Calculator!E23,tbSkills!DH3:DI6,2,FALSE)+IF(AND(Calculator!B8=TRUE,Backdoors!BI26=TRUE),VLOOKUP(Calculator!E23,tbSkills!DH3:DJ6,3,FALSE),0),0))&gt;=100,100,(Backdoors!AI12+IF(FG41&gt;=0.45,VLOOKUP(Calculator!E23,tbSkills!DH3:DI6,2,FALSE)+IF(AND(Calculator!B8=TRUE,Backdoors!BI26=TRUE),VLOOKUP(Calculator!E23,tbSkills!DH3:DJ6,3,FALSE),0),0)))/100)),1),1)</f>
        <v>0.5</v>
      </c>
      <c r="FM41" s="87">
        <f t="shared" si="16"/>
        <v>0</v>
      </c>
      <c r="FN41" s="86" t="str">
        <f>IFERROR(IF(VLOOKUP(A41,tbMoveset!A2:B112,2,FALSE)="Sever",Backdoors!AY27/100,IF(VLOOKUP(A41,tbMoveset!A2:B112,2,FALSE)="Blunt",Backdoors!AZ27/100,Backdoors!BA27/100)),"")</f>
        <v/>
      </c>
      <c r="FO41" s="49">
        <f>IFERROR(IF(VLOOKUP(tbMoveset!A41,tbMoveset!A2:H112,8,FALSE)="Other",IF(VLOOKUP(tbMoveset!A41,tbMoveset!A2:I112,9,FALSE)="Fire",Backdoors!BB27,IF(VLOOKUP(tbMoveset!A41,tbMoveset!A2:I112,9,FALSE)="Water",Backdoors!BC27,IF(VLOOKUP(tbMoveset!A41,tbMoveset!A2:I112,9,FALSE)="Thunder",Backdoors!BD27,IF(VLOOKUP(tbMoveset!A41,tbMoveset!A2:I112,9,FALSE)="Ice",Backdoors!BE27,IF(VLOOKUP(tbMoveset!A41,tbMoveset!A2:I112,9,FALSE)="Dragon",Backdoors!BF27,Backdoors!BG27)))))/100,Backdoors!BG27/100),"")</f>
        <v>0</v>
      </c>
      <c r="FP41" s="49">
        <f>IFERROR(IF(VLOOKUP(A41,tbMoveset!A2:J112,10,FALSE)=TRUE,IF((Backdoors!AI12+IF(FN41&gt;=0.45,VLOOKUP(Calculator!E23,tbSkills!DH3:DI6,2,FALSE)+IF(AND(Calculator!B8=TRUE,Backdoors!BI27=TRUE),VLOOKUP(Calculator!E23,tbSkills!DH3:DJ6,3,FALSE),0),0))&gt;=0,1+(Backdoors!AL2*(IF((Backdoors!AI12+IF(FN41&gt;=0.45,VLOOKUP(Calculator!E23,tbSkills!DH3:DI6,2,FALSE)+IF(AND(Calculator!B8=TRUE,Backdoors!BI27=TRUE),VLOOKUP(Calculator!E23,tbSkills!DH3:DJ6,3,FALSE),0),0))&gt;=100,100,(Backdoors!AI12+IF(FN41&gt;=0.45,VLOOKUP(Calculator!E23,tbSkills!DH3:DI6,2,FALSE)+IF(AND(Calculator!B8=TRUE,Backdoors!BI27=TRUE),VLOOKUP(Calculator!E23,tbSkills!DH3:DJ6,3,FALSE),0),0)))/100)),(1-(0.25*((-Backdoors!AI12-IF(FN41&gt;=0.45,VLOOKUP(Calculator!E23,tbSkills!DH3:DI6,2,FALSE)+IF(AND(Calculator!B8=TRUE,Backdoors!BI27=TRUE),VLOOKUP(Calculator!E23,tbSkills!DH3:DJ6,3,FALSE),0),0))/100)))),1),"")</f>
        <v>1</v>
      </c>
      <c r="FQ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FN41)*FP41)*(VLOOKUP(A41,tbMoveset!A2:C112,3,FALSE)/100)*IF(VLOOKUP(A41,tbMoveset!A2:B112,2,FALSE)="Projectile",Backdoors!N10,Backdoors!N9),0),"")</f>
        <v/>
      </c>
      <c r="FR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FN41&gt;=0.45,VLOOKUP(Calculator!E23,tbSkills!DH3:DI6,2,FALSE)+IF(AND(Calculator!B8=TRUE,Backdoors!BI27=TRUE),VLOOKUP(Calculator!E23,tbSkills!DH3:DJ6,3,FALSE),0),0))&gt;=100,100,(Backdoors!AI12+IF(FN41&gt;=0.45,VLOOKUP(Calculator!E23,tbSkills!DH3:DI6,2,FALSE)+IF(AND(Calculator!B8=TRUE,Backdoors!BI27=TRUE),VLOOKUP(Calculator!E23,tbSkills!DH3:DJ6,3,FALSE),0),0)))/100)),1))*IF(VLOOKUP(A41,tbMoveset!A2:K112,11,FALSE)=TRUE,Backdoors!AC5,1))*FO41,0),"")</f>
        <v>0</v>
      </c>
      <c r="FS41" s="49">
        <f>VLOOKUP(A41,tbMoveset!A2:G112,7,FALSE)*IFERROR(IF(Backdoors!AI12&gt;=0,1+(IF(Calculator!E40&gt;0,VLOOKUP(Calculator!E40,tbSkills!AI3:AJ5,2,FALSE),Backdoors!AL4)*(IF((Backdoors!AI12+IF(FN41&gt;=0.45,VLOOKUP(Calculator!E23,tbSkills!DH3:DI6,2,FALSE)+IF(AND(Calculator!B8=TRUE,Backdoors!BI27=TRUE),VLOOKUP(Calculator!E23,tbSkills!DH3:DJ6,3,FALSE),0),0))&gt;=100,100,(Backdoors!AI12+IF(FN41&gt;=0.45,VLOOKUP(Calculator!E23,tbSkills!DH3:DI6,2,FALSE)+IF(AND(Calculator!B8=TRUE,Backdoors!BI27=TRUE),VLOOKUP(Calculator!E23,tbSkills!DH3:DJ6,3,FALSE),0),0)))/100)),1),1)</f>
        <v>0.5</v>
      </c>
      <c r="FT41" s="87">
        <f t="shared" si="17"/>
        <v>0</v>
      </c>
      <c r="FU41" s="86" t="str">
        <f>IFERROR(IF(VLOOKUP(A41,tbMoveset!A2:B112,2,FALSE)="Sever",Backdoors!AY28/100,IF(VLOOKUP(A41,tbMoveset!A2:B112,2,FALSE)="Blunt",Backdoors!AZ28/100,Backdoors!BA28/100)),"")</f>
        <v/>
      </c>
      <c r="FV41" s="49">
        <f>IFERROR(IF(VLOOKUP(tbMoveset!A41,tbMoveset!A2:H112,8,FALSE)="Other",IF(VLOOKUP(tbMoveset!A41,tbMoveset!A2:I112,9,FALSE)="Fire",Backdoors!BB28,IF(VLOOKUP(tbMoveset!A41,tbMoveset!A2:I112,9,FALSE)="Water",Backdoors!BC28,IF(VLOOKUP(tbMoveset!A41,tbMoveset!A2:I112,9,FALSE)="Thunder",Backdoors!BD28,IF(VLOOKUP(tbMoveset!A41,tbMoveset!A2:I112,9,FALSE)="Ice",Backdoors!BE28,IF(VLOOKUP(tbMoveset!A41,tbMoveset!A2:I112,9,FALSE)="Dragon",Backdoors!BF28,Backdoors!BG28)))))/100,Backdoors!BG28/100),"")</f>
        <v>0</v>
      </c>
      <c r="FW41" s="49">
        <f>IFERROR(IF(VLOOKUP(A41,tbMoveset!A2:J112,10,FALSE)=TRUE,IF((Backdoors!AI12+IF(FU41&gt;=0.45,VLOOKUP(Calculator!E23,tbSkills!DH3:DI6,2,FALSE)+IF(AND(Calculator!B8=TRUE,Backdoors!BI28=TRUE),VLOOKUP(Calculator!E23,tbSkills!DH3:DJ6,3,FALSE),0),0))&gt;=0,1+(Backdoors!AL2*(IF((Backdoors!AI12+IF(FU41&gt;=0.45,VLOOKUP(Calculator!E23,tbSkills!DH3:DI6,2,FALSE)+IF(AND(Calculator!B8=TRUE,Backdoors!BI28=TRUE),VLOOKUP(Calculator!E23,tbSkills!DH3:DJ6,3,FALSE),0),0))&gt;=100,100,(Backdoors!AI12+IF(FU41&gt;=0.45,VLOOKUP(Calculator!E23,tbSkills!DH3:DI6,2,FALSE)+IF(AND(Calculator!B8=TRUE,Backdoors!BI28=TRUE),VLOOKUP(Calculator!E23,tbSkills!DH3:DJ6,3,FALSE),0),0)))/100)),(1-(0.25*((-Backdoors!AI12-IF(FU41&gt;=0.45,VLOOKUP(Calculator!E23,tbSkills!DH3:DI6,2,FALSE)+IF(AND(Calculator!B8=TRUE,Backdoors!BI28=TRUE),VLOOKUP(Calculator!E23,tbSkills!DH3:DJ6,3,FALSE),0),0))/100)))),1),"")</f>
        <v>1</v>
      </c>
      <c r="FX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FU41)*FW41)*(VLOOKUP(A41,tbMoveset!A2:C112,3,FALSE)/100)*IF(VLOOKUP(A41,tbMoveset!A2:B112,2,FALSE)="Projectile",Backdoors!N10,Backdoors!N9),0),"")</f>
        <v/>
      </c>
      <c r="FY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FU41&gt;=0.45,VLOOKUP(Calculator!E23,tbSkills!DH3:DI6,2,FALSE)+IF(AND(Calculator!B8=TRUE,Backdoors!BI28=TRUE),VLOOKUP(Calculator!E23,tbSkills!DH3:DJ6,3,FALSE),0),0))&gt;=100,100,(Backdoors!AI12+IF(FU41&gt;=0.45,VLOOKUP(Calculator!E23,tbSkills!DH3:DI6,2,FALSE)+IF(AND(Calculator!B8=TRUE,Backdoors!BI28=TRUE),VLOOKUP(Calculator!E23,tbSkills!DH3:DJ6,3,FALSE),0),0)))/100)),1))*IF(VLOOKUP(A41,tbMoveset!A2:K112,11,FALSE)=TRUE,Backdoors!AC5,1))*FV41,0),"")</f>
        <v>0</v>
      </c>
      <c r="FZ41" s="49">
        <f>VLOOKUP(A41,tbMoveset!A2:G112,7,FALSE)*IFERROR(IF(Backdoors!AI12&gt;=0,1+(IF(Calculator!E40&gt;0,VLOOKUP(Calculator!E40,tbSkills!AI3:AJ5,2,FALSE),Backdoors!AL4)*(IF((Backdoors!AI12+IF(FU41&gt;=0.45,VLOOKUP(Calculator!E23,tbSkills!DH3:DI6,2,FALSE)+IF(AND(Calculator!B8=TRUE,Backdoors!BI28=TRUE),VLOOKUP(Calculator!E23,tbSkills!DH3:DJ6,3,FALSE),0),0))&gt;=100,100,(Backdoors!AI12+IF(FU41&gt;=0.45,VLOOKUP(Calculator!E23,tbSkills!DH3:DI6,2,FALSE)+IF(AND(Calculator!B8=TRUE,Backdoors!BI28=TRUE),VLOOKUP(Calculator!E23,tbSkills!DH3:DJ6,3,FALSE),0),0)))/100)),1),1)</f>
        <v>0.5</v>
      </c>
      <c r="GA41" s="87">
        <f t="shared" si="18"/>
        <v>0</v>
      </c>
      <c r="GB41" s="86" t="str">
        <f>IFERROR(IF(VLOOKUP(A41,tbMoveset!A2:B112,2,FALSE)="Sever",Backdoors!AY29/100,IF(VLOOKUP(A41,tbMoveset!A2:B112,2,FALSE)="Blunt",Backdoors!AZ29/100,Backdoors!BA29/100)),"")</f>
        <v/>
      </c>
      <c r="GC41" s="49">
        <f>IFERROR(IF(VLOOKUP(tbMoveset!A41,tbMoveset!A2:H112,8,FALSE)="Other",IF(VLOOKUP(tbMoveset!A41,tbMoveset!A2:I112,9,FALSE)="Fire",Backdoors!BB29,IF(VLOOKUP(tbMoveset!A41,tbMoveset!A2:I112,9,FALSE)="Water",Backdoors!BC29,IF(VLOOKUP(tbMoveset!A41,tbMoveset!A2:I112,9,FALSE)="Thunder",Backdoors!BD29,IF(VLOOKUP(tbMoveset!A41,tbMoveset!A2:I112,9,FALSE)="Ice",Backdoors!BE29,IF(VLOOKUP(tbMoveset!A41,tbMoveset!A2:I112,9,FALSE)="Dragon",Backdoors!BF29,Backdoors!BG29)))))/100,Backdoors!BG29/100),"")</f>
        <v>0</v>
      </c>
      <c r="GD41" s="49">
        <f>IFERROR(IF(VLOOKUP(A41,tbMoveset!A2:J112,10,FALSE)=TRUE,IF((Backdoors!AI12+IF(GB41&gt;=0.45,VLOOKUP(Calculator!E23,tbSkills!DH3:DI6,2,FALSE)+IF(AND(Calculator!B8=TRUE,Backdoors!BI29=TRUE),VLOOKUP(Calculator!E23,tbSkills!DH3:DJ6,3,FALSE),0),0))&gt;=0,1+(Backdoors!AL2*(IF((Backdoors!AI12+IF(GB41&gt;=0.45,VLOOKUP(Calculator!E23,tbSkills!DH3:DI6,2,FALSE)+IF(AND(Calculator!B8=TRUE,Backdoors!BI29=TRUE),VLOOKUP(Calculator!E23,tbSkills!DH3:DJ6,3,FALSE),0),0))&gt;=100,100,(Backdoors!AI12+IF(GB41&gt;=0.45,VLOOKUP(Calculator!E23,tbSkills!DH3:DI6,2,FALSE)+IF(AND(Calculator!B8=TRUE,Backdoors!BI29=TRUE),VLOOKUP(Calculator!E23,tbSkills!DH3:DJ6,3,FALSE),0),0)))/100)),(1-(0.25*((-Backdoors!AI12-IF(GB41&gt;=0.45,VLOOKUP(Calculator!E23,tbSkills!DH3:DI6,2,FALSE)+IF(AND(Calculator!B8=TRUE,Backdoors!BI29=TRUE),VLOOKUP(Calculator!E23,tbSkills!DH3:DJ6,3,FALSE),0),0))/100)))),1),"")</f>
        <v>1</v>
      </c>
      <c r="GE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B41)*GD41)*(VLOOKUP(A41,tbMoveset!A2:C112,3,FALSE)/100)*IF(VLOOKUP(A41,tbMoveset!A2:B112,2,FALSE)="Projectile",Backdoors!N10,Backdoors!N9),0),"")</f>
        <v/>
      </c>
      <c r="GF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B41&gt;=0.45,VLOOKUP(Calculator!E23,tbSkills!DH3:DI6,2,FALSE)+IF(AND(Calculator!B8=TRUE,Backdoors!BI29=TRUE),VLOOKUP(Calculator!E23,tbSkills!DH3:DJ6,3,FALSE),0),0))&gt;=100,100,(Backdoors!AI12+IF(GB41&gt;=0.45,VLOOKUP(Calculator!E23,tbSkills!DH3:DI6,2,FALSE)+IF(AND(Calculator!B8=TRUE,Backdoors!BI29=TRUE),VLOOKUP(Calculator!E23,tbSkills!DH3:DJ6,3,FALSE),0),0)))/100)),1))*IF(VLOOKUP(A41,tbMoveset!A2:K112,11,FALSE)=TRUE,Backdoors!AC5,1))*GC41,0),"")</f>
        <v>0</v>
      </c>
      <c r="GG41" s="49">
        <f>VLOOKUP(A41,tbMoveset!A2:G112,7,FALSE)*IFERROR(IF(Backdoors!AI12&gt;=0,1+(IF(Calculator!E40&gt;0,VLOOKUP(Calculator!E40,tbSkills!AI3:AJ5,2,FALSE),Backdoors!AL4)*(IF((Backdoors!AI12+IF(GB41&gt;=0.45,VLOOKUP(Calculator!E23,tbSkills!DH3:DI6,2,FALSE)+IF(AND(Calculator!B8=TRUE,Backdoors!BI29=TRUE),VLOOKUP(Calculator!E23,tbSkills!DH3:DJ6,3,FALSE),0),0))&gt;=100,100,(Backdoors!AI12+IF(GB41&gt;=0.45,VLOOKUP(Calculator!E23,tbSkills!DH3:DI6,2,FALSE)+IF(AND(Calculator!B8=TRUE,Backdoors!BI29=TRUE),VLOOKUP(Calculator!E23,tbSkills!DH3:DJ6,3,FALSE),0),0)))/100)),1),1)</f>
        <v>0.5</v>
      </c>
      <c r="GH41" s="87">
        <f t="shared" si="19"/>
        <v>0</v>
      </c>
      <c r="GI41" s="86" t="str">
        <f>IFERROR(IF(VLOOKUP(A41,tbMoveset!A2:B112,2,FALSE)="Sever",Backdoors!AY30/100,IF(VLOOKUP(A41,tbMoveset!A2:B112,2,FALSE)="Blunt",Backdoors!AZ30/100,Backdoors!BA30/100)),"")</f>
        <v/>
      </c>
      <c r="GJ41" s="49">
        <f>IFERROR(IF(VLOOKUP(tbMoveset!A41,tbMoveset!A2:H112,8,FALSE)="Other",IF(VLOOKUP(tbMoveset!A41,tbMoveset!A2:I112,9,FALSE)="Fire",Backdoors!BB30,IF(VLOOKUP(tbMoveset!A41,tbMoveset!A2:I112,9,FALSE)="Water",Backdoors!BC30,IF(VLOOKUP(tbMoveset!A41,tbMoveset!A2:I112,9,FALSE)="Thunder",Backdoors!BD30,IF(VLOOKUP(tbMoveset!A41,tbMoveset!A2:I112,9,FALSE)="Ice",Backdoors!BE30,IF(VLOOKUP(tbMoveset!A41,tbMoveset!A2:I112,9,FALSE)="Dragon",Backdoors!BF30,Backdoors!BG30)))))/100,Backdoors!BG30/100),"")</f>
        <v>0</v>
      </c>
      <c r="GK41" s="49">
        <f>IFERROR(IF(VLOOKUP(A41,tbMoveset!A2:J112,10,FALSE)=TRUE,IF((Backdoors!AI12+IF(GI41&gt;=0.45,VLOOKUP(Calculator!E23,tbSkills!DH3:DI6,2,FALSE)+IF(AND(Calculator!B8=TRUE,Backdoors!BI30=TRUE),VLOOKUP(Calculator!E23,tbSkills!DH3:DJ6,3,FALSE),0),0))&gt;=0,1+(Backdoors!AL2*(IF((Backdoors!AI12+IF(GI41&gt;=0.45,VLOOKUP(Calculator!E23,tbSkills!DH3:DI6,2,FALSE)+IF(AND(Calculator!B8=TRUE,Backdoors!BI30=TRUE),VLOOKUP(Calculator!E23,tbSkills!DH3:DJ6,3,FALSE),0),0))&gt;=100,100,(Backdoors!AI12+IF(GI41&gt;=0.45,VLOOKUP(Calculator!E23,tbSkills!DH3:DI6,2,FALSE)+IF(AND(Calculator!B8=TRUE,Backdoors!BI30=TRUE),VLOOKUP(Calculator!E23,tbSkills!DH3:DJ6,3,FALSE),0),0)))/100)),(1-(0.25*((-Backdoors!AI12-IF(GI41&gt;=0.45,VLOOKUP(Calculator!E23,tbSkills!DH3:DI6,2,FALSE)+IF(AND(Calculator!B8=TRUE,Backdoors!BI30=TRUE),VLOOKUP(Calculator!E23,tbSkills!DH3:DJ6,3,FALSE),0),0))/100)))),1),"")</f>
        <v>1</v>
      </c>
      <c r="GL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I41)*GK41)*(VLOOKUP(A41,tbMoveset!A2:C112,3,FALSE)/100)*IF(VLOOKUP(A41,tbMoveset!A2:B112,2,FALSE)="Projectile",Backdoors!N10,Backdoors!N9),0),"")</f>
        <v/>
      </c>
      <c r="GM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I41&gt;=0.45,VLOOKUP(Calculator!E23,tbSkills!DH3:DI6,2,FALSE)+IF(AND(Calculator!B8=TRUE,Backdoors!BI30=TRUE),VLOOKUP(Calculator!E23,tbSkills!DH3:DJ6,3,FALSE),0),0))&gt;=100,100,(Backdoors!AI12+IF(GI41&gt;=0.45,VLOOKUP(Calculator!E23,tbSkills!DH3:DI6,2,FALSE)+IF(AND(Calculator!B8=TRUE,Backdoors!BI30=TRUE),VLOOKUP(Calculator!E23,tbSkills!DH3:DJ6,3,FALSE),0),0)))/100)),1))*IF(VLOOKUP(A41,tbMoveset!A2:K112,11,FALSE)=TRUE,Backdoors!AC5,1))*GJ41,0),"")</f>
        <v>0</v>
      </c>
      <c r="GN41" s="49">
        <f>VLOOKUP(A41,tbMoveset!A2:G112,7,FALSE)*IFERROR(IF(Backdoors!AI12&gt;=0,1+(IF(Calculator!E40&gt;0,VLOOKUP(Calculator!E40,tbSkills!AI3:AJ5,2,FALSE),Backdoors!AL4)*(IF((Backdoors!AI12+IF(GI41&gt;=0.45,VLOOKUP(Calculator!E23,tbSkills!DH3:DI6,2,FALSE)+IF(AND(Calculator!B8=TRUE,Backdoors!BI30=TRUE),VLOOKUP(Calculator!E23,tbSkills!DH3:DJ6,3,FALSE),0),0))&gt;=100,100,(Backdoors!AI12+IF(GI41&gt;=0.45,VLOOKUP(Calculator!E23,tbSkills!DH3:DI6,2,FALSE)+IF(AND(Calculator!B8=TRUE,Backdoors!BI30=TRUE),VLOOKUP(Calculator!E23,tbSkills!DH3:DJ6,3,FALSE),0),0)))/100)),1),1)</f>
        <v>0.5</v>
      </c>
      <c r="GO41" s="87">
        <f t="shared" si="20"/>
        <v>0</v>
      </c>
      <c r="GP41" s="86" t="str">
        <f>IFERROR(IF(VLOOKUP(A41,tbMoveset!A2:B112,2,FALSE)="Sever",Backdoors!AY31/100,IF(VLOOKUP(A41,tbMoveset!A2:B112,2,FALSE)="Blunt",Backdoors!AZ31/100,Backdoors!BA31/100)),"")</f>
        <v/>
      </c>
      <c r="GQ41" s="49">
        <f>IFERROR(IF(VLOOKUP(tbMoveset!A41,tbMoveset!A2:H112,8,FALSE)="Other",IF(VLOOKUP(tbMoveset!A41,tbMoveset!A2:I112,9,FALSE)="Fire",Backdoors!BB31,IF(VLOOKUP(tbMoveset!A41,tbMoveset!A2:I112,9,FALSE)="Water",Backdoors!BC31,IF(VLOOKUP(tbMoveset!A41,tbMoveset!A2:I112,9,FALSE)="Thunder",Backdoors!BD31,IF(VLOOKUP(tbMoveset!A41,tbMoveset!A2:I112,9,FALSE)="Ice",Backdoors!BE31,IF(VLOOKUP(tbMoveset!A41,tbMoveset!A2:I112,9,FALSE)="Dragon",Backdoors!BF31,Backdoors!BG31)))))/100,Backdoors!BG31/100),"")</f>
        <v>0</v>
      </c>
      <c r="GR41" s="49">
        <f>IFERROR(IF(VLOOKUP(A41,tbMoveset!A2:J112,10,FALSE)=TRUE,IF((Backdoors!AI12+IF(GP41&gt;=0.45,VLOOKUP(Calculator!E23,tbSkills!DH3:DI6,2,FALSE)+IF(AND(Calculator!B8=TRUE,Backdoors!BI31=TRUE),VLOOKUP(Calculator!E23,tbSkills!DH3:DJ6,3,FALSE),0),0))&gt;=0,1+(Backdoors!AL2*(IF((Backdoors!AI12+IF(GP41&gt;=0.45,VLOOKUP(Calculator!E23,tbSkills!DH3:DI6,2,FALSE)+IF(AND(Calculator!B8=TRUE,Backdoors!BI31=TRUE),VLOOKUP(Calculator!E23,tbSkills!DH3:DJ6,3,FALSE),0),0))&gt;=100,100,(Backdoors!AI12+IF(GP41&gt;=0.45,VLOOKUP(Calculator!E23,tbSkills!DH3:DI6,2,FALSE)+IF(AND(Calculator!B8=TRUE,Backdoors!BI31=TRUE),VLOOKUP(Calculator!E23,tbSkills!DH3:DJ6,3,FALSE),0),0)))/100)),(1-(0.25*((-Backdoors!AI12-IF(GP41&gt;=0.45,VLOOKUP(Calculator!E23,tbSkills!DH3:DI6,2,FALSE)+IF(AND(Calculator!B8=TRUE,Backdoors!BI31=TRUE),VLOOKUP(Calculator!E23,tbSkills!DH3:DJ6,3,FALSE),0),0))/100)))),1),"")</f>
        <v>1</v>
      </c>
      <c r="GS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P41)*GR41)*(VLOOKUP(A41,tbMoveset!A2:C112,3,FALSE)/100)*IF(VLOOKUP(A41,tbMoveset!A2:B112,2,FALSE)="Projectile",Backdoors!N10,Backdoors!N9),0),"")</f>
        <v/>
      </c>
      <c r="GT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P41&gt;=0.45,VLOOKUP(Calculator!E23,tbSkills!DH3:DI6,2,FALSE)+IF(AND(Calculator!B8=TRUE,Backdoors!BI31=TRUE),VLOOKUP(Calculator!E23,tbSkills!DH3:DJ6,3,FALSE),0),0))&gt;=100,100,(Backdoors!AI12+IF(GP41&gt;=0.45,VLOOKUP(Calculator!E23,tbSkills!DH3:DI6,2,FALSE)+IF(AND(Calculator!B8=TRUE,Backdoors!BI31=TRUE),VLOOKUP(Calculator!E23,tbSkills!DH3:DJ6,3,FALSE),0),0)))/100)),1))*IF(VLOOKUP(A41,tbMoveset!A2:K112,11,FALSE)=TRUE,Backdoors!AC5,1))*GQ41,0),"")</f>
        <v>0</v>
      </c>
      <c r="GU41" s="49">
        <f>VLOOKUP(A41,tbMoveset!A2:G112,7,FALSE)*IFERROR(IF(Backdoors!AI12&gt;=0,1+(IF(Calculator!E40&gt;0,VLOOKUP(Calculator!E40,tbSkills!AI3:AJ5,2,FALSE),Backdoors!AL4)*(IF((Backdoors!AI12+IF(GP41&gt;=0.45,VLOOKUP(Calculator!E23,tbSkills!DH3:DI6,2,FALSE)+IF(AND(Calculator!B8=TRUE,Backdoors!BI31=TRUE),VLOOKUP(Calculator!E23,tbSkills!DH3:DJ6,3,FALSE),0),0))&gt;=100,100,(Backdoors!AI12+IF(GP41&gt;=0.45,VLOOKUP(Calculator!E23,tbSkills!DH3:DI6,2,FALSE)+IF(AND(Calculator!B8=TRUE,Backdoors!BI31=TRUE),VLOOKUP(Calculator!E23,tbSkills!DH3:DJ6,3,FALSE),0),0)))/100)),1),1)</f>
        <v>0.5</v>
      </c>
      <c r="GV41" s="87">
        <f t="shared" si="21"/>
        <v>0</v>
      </c>
      <c r="GW41" s="86" t="str">
        <f>IFERROR(IF(VLOOKUP(A41,tbMoveset!A2:B112,2,FALSE)="Sever",Backdoors!AY32/100,IF(VLOOKUP(A41,tbMoveset!A2:B112,2,FALSE)="Blunt",Backdoors!AZ32/100,Backdoors!BA32/100)),"")</f>
        <v/>
      </c>
      <c r="GX41" s="49">
        <f>IFERROR(IF(VLOOKUP(tbMoveset!A41,tbMoveset!A2:H112,8,FALSE)="Other",IF(VLOOKUP(tbMoveset!A41,tbMoveset!A2:I112,9,FALSE)="Fire",Backdoors!BB32,IF(VLOOKUP(tbMoveset!A41,tbMoveset!A2:I112,9,FALSE)="Water",Backdoors!BC32,IF(VLOOKUP(tbMoveset!A41,tbMoveset!A2:I112,9,FALSE)="Thunder",Backdoors!BD32,IF(VLOOKUP(tbMoveset!A41,tbMoveset!A2:I112,9,FALSE)="Ice",Backdoors!BE32,IF(VLOOKUP(tbMoveset!A41,tbMoveset!A2:I112,9,FALSE)="Dragon",Backdoors!BF32,Backdoors!BG32)))))/100,Backdoors!BG32/100),"")</f>
        <v>0</v>
      </c>
      <c r="GY41" s="49">
        <f>IFERROR(IF(VLOOKUP(A41,tbMoveset!A2:J112,10,FALSE)=TRUE,IF((Backdoors!AI12+IF(GW41&gt;=0.45,VLOOKUP(Calculator!E23,tbSkills!DH3:DI6,2,FALSE)+IF(AND(Calculator!B8=TRUE,Backdoors!BI32=TRUE),VLOOKUP(Calculator!E23,tbSkills!DH3:DJ6,3,FALSE),0),0))&gt;=0,1+(Backdoors!AL2*(IF((Backdoors!AI12+IF(GW41&gt;=0.45,VLOOKUP(Calculator!E23,tbSkills!DH3:DI6,2,FALSE)+IF(AND(Calculator!B8=TRUE,Backdoors!BI32=TRUE),VLOOKUP(Calculator!E23,tbSkills!DH3:DJ6,3,FALSE),0),0))&gt;=100,100,(Backdoors!AI12+IF(GW41&gt;=0.45,VLOOKUP(Calculator!E23,tbSkills!DH3:DI6,2,FALSE)+IF(AND(Calculator!B8=TRUE,Backdoors!BI32=TRUE),VLOOKUP(Calculator!E23,tbSkills!DH3:DJ6,3,FALSE),0),0)))/100)),(1-(0.25*((-Backdoors!AI12-IF(GW41&gt;=0.45,VLOOKUP(Calculator!E23,tbSkills!DH3:DI6,2,FALSE)+IF(AND(Calculator!B8=TRUE,Backdoors!BI32=TRUE),VLOOKUP(Calculator!E23,tbSkills!DH3:DJ6,3,FALSE),0),0))/100)))),1),"")</f>
        <v>1</v>
      </c>
      <c r="GZ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W41)*GY41)*(VLOOKUP(A41,tbMoveset!A2:C112,3,FALSE)/100)*IF(VLOOKUP(A41,tbMoveset!A2:B112,2,FALSE)="Projectile",Backdoors!N10,Backdoors!N9),0),"")</f>
        <v/>
      </c>
      <c r="HA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W41&gt;=0.45,VLOOKUP(Calculator!E23,tbSkills!DH3:DI6,2,FALSE)+IF(AND(Calculator!B8=TRUE,Backdoors!BI32=TRUE),VLOOKUP(Calculator!E23,tbSkills!DH3:DJ6,3,FALSE),0),0))&gt;=100,100,(Backdoors!AI12+IF(GW41&gt;=0.45,VLOOKUP(Calculator!E23,tbSkills!DH3:DI6,2,FALSE)+IF(AND(Calculator!B8=TRUE,Backdoors!BI32=TRUE),VLOOKUP(Calculator!E23,tbSkills!DH3:DJ6,3,FALSE),0),0)))/100)),1))*IF(VLOOKUP(A41,tbMoveset!A2:K112,11,FALSE)=TRUE,Backdoors!AC5,1))*GX41,0),"")</f>
        <v>0</v>
      </c>
      <c r="HB41" s="49">
        <f>VLOOKUP(A41,tbMoveset!A2:G112,7,FALSE)*IFERROR(IF(Backdoors!AI12&gt;=0,1+(IF(Calculator!E40&gt;0,VLOOKUP(Calculator!E40,tbSkills!AI3:AJ5,2,FALSE),Backdoors!AL4)*(IF((Backdoors!AI12+IF(GW41&gt;=0.45,VLOOKUP(Calculator!E23,tbSkills!DH3:DI6,2,FALSE)+IF(AND(Calculator!B8=TRUE,Backdoors!BI32=TRUE),VLOOKUP(Calculator!E23,tbSkills!DH3:DJ6,3,FALSE),0),0))&gt;=100,100,(Backdoors!AI12+IF(GW41&gt;=0.45,VLOOKUP(Calculator!E23,tbSkills!DH3:DI6,2,FALSE)+IF(AND(Calculator!B8=TRUE,Backdoors!BI32=TRUE),VLOOKUP(Calculator!E23,tbSkills!DH3:DJ6,3,FALSE),0),0)))/100)),1),1)</f>
        <v>0.5</v>
      </c>
      <c r="HC41" s="87">
        <f t="shared" si="22"/>
        <v>0</v>
      </c>
      <c r="HD41" s="86" t="str">
        <f>IFERROR(IF(VLOOKUP(A41,tbMoveset!A2:B112,2,FALSE)="Sever",Backdoors!AY33/100,IF(VLOOKUP(A41,tbMoveset!A2:B112,2,FALSE)="Blunt",Backdoors!AZ33/100,Backdoors!BA33/100)),"")</f>
        <v/>
      </c>
      <c r="HE41" s="49">
        <f>IFERROR(IF(VLOOKUP(tbMoveset!A41,tbMoveset!A2:H112,8,FALSE)="Other",IF(VLOOKUP(tbMoveset!A41,tbMoveset!A2:I112,9,FALSE)="Fire",Backdoors!BB33,IF(VLOOKUP(tbMoveset!A41,tbMoveset!A2:I112,9,FALSE)="Water",Backdoors!BC33,IF(VLOOKUP(tbMoveset!A41,tbMoveset!A2:I112,9,FALSE)="Thunder",Backdoors!BD33,IF(VLOOKUP(tbMoveset!A41,tbMoveset!A2:I112,9,FALSE)="Ice",Backdoors!BE33,IF(VLOOKUP(tbMoveset!A41,tbMoveset!A2:I112,9,FALSE)="Dragon",Backdoors!BF33,Backdoors!BG33)))))/100,Backdoors!BG33/100),"")</f>
        <v>0</v>
      </c>
      <c r="HF41" s="49">
        <f>IFERROR(IF(VLOOKUP(A41,tbMoveset!A2:J112,10,FALSE)=TRUE,IF((Backdoors!AI12+IF(HD41&gt;=0.45,VLOOKUP(Calculator!E23,tbSkills!DH3:DI6,2,FALSE)+IF(AND(Calculator!B8=TRUE,Backdoors!BI33=TRUE),VLOOKUP(Calculator!E23,tbSkills!DH3:DJ6,3,FALSE),0),0))&gt;=0,1+(Backdoors!AL2*(IF((Backdoors!AI12+IF(HD41&gt;=0.45,VLOOKUP(Calculator!E23,tbSkills!DH3:DI6,2,FALSE)+IF(AND(Calculator!B8=TRUE,Backdoors!BI33=TRUE),VLOOKUP(Calculator!E23,tbSkills!DH3:DJ6,3,FALSE),0),0))&gt;=100,100,(Backdoors!AI12+IF(HD41&gt;=0.45,VLOOKUP(Calculator!E23,tbSkills!DH3:DI6,2,FALSE)+IF(AND(Calculator!B8=TRUE,Backdoors!BI33=TRUE),VLOOKUP(Calculator!E23,tbSkills!DH3:DJ6,3,FALSE),0),0)))/100)),(1-(0.25*((-Backdoors!AI12-IF(HD41&gt;=0.45,VLOOKUP(Calculator!E23,tbSkills!DH3:DI6,2,FALSE)+IF(AND(Calculator!B8=TRUE,Backdoors!BI33=TRUE),VLOOKUP(Calculator!E23,tbSkills!DH3:DJ6,3,FALSE),0),0))/100)))),1),"")</f>
        <v>1</v>
      </c>
      <c r="HG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D41)*HF41)*(VLOOKUP(A41,tbMoveset!A2:C112,3,FALSE)/100)*IF(VLOOKUP(A41,tbMoveset!A2:B112,2,FALSE)="Projectile",Backdoors!N10,Backdoors!N9),0),"")</f>
        <v/>
      </c>
      <c r="HH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D41&gt;=0.45,VLOOKUP(Calculator!E23,tbSkills!DH3:DI6,2,FALSE)+IF(AND(Calculator!B8=TRUE,Backdoors!BI33=TRUE),VLOOKUP(Calculator!E23,tbSkills!DH3:DJ6,3,FALSE),0),0))&gt;=100,100,(Backdoors!AI12+IF(HD41&gt;=0.45,VLOOKUP(Calculator!E23,tbSkills!DH3:DI6,2,FALSE)+IF(AND(Calculator!B8=TRUE,Backdoors!BI33=TRUE),VLOOKUP(Calculator!E23,tbSkills!DH3:DJ6,3,FALSE),0),0)))/100)),1))*IF(VLOOKUP(A41,tbMoveset!A2:K112,11,FALSE)=TRUE,Backdoors!AC5,1))*HE41,0),"")</f>
        <v>0</v>
      </c>
      <c r="HI41" s="49">
        <f>VLOOKUP(A41,tbMoveset!A2:G112,7,FALSE)*IFERROR(IF(Backdoors!AI12&gt;=0,1+(IF(Calculator!E40&gt;0,VLOOKUP(Calculator!E40,tbSkills!AI3:AJ5,2,FALSE),Backdoors!AL4)*(IF((Backdoors!AI12+IF(HD41&gt;=0.45,VLOOKUP(Calculator!E23,tbSkills!DH3:DI6,2,FALSE)+IF(AND(Calculator!B8=TRUE,Backdoors!BI33=TRUE),VLOOKUP(Calculator!E23,tbSkills!DH3:DJ6,3,FALSE),0),0))&gt;=100,100,(Backdoors!AI12+IF(HD41&gt;=0.45,VLOOKUP(Calculator!E23,tbSkills!DH3:DI6,2,FALSE)+IF(AND(Calculator!B8=TRUE,Backdoors!BI33=TRUE),VLOOKUP(Calculator!E23,tbSkills!DH3:DJ6,3,FALSE),0),0)))/100)),1),1)</f>
        <v>0.5</v>
      </c>
      <c r="HJ41" s="87">
        <f t="shared" si="23"/>
        <v>0</v>
      </c>
      <c r="HK41" s="86" t="str">
        <f>IFERROR(IF(VLOOKUP(A41,tbMoveset!A2:B112,2,FALSE)="Sever",Backdoors!AY34/100,IF(VLOOKUP(A41,tbMoveset!A2:B112,2,FALSE)="Blunt",Backdoors!AZ34/100,Backdoors!BA34/100)),"")</f>
        <v/>
      </c>
      <c r="HL41" s="49">
        <f>IFERROR(IF(VLOOKUP(tbMoveset!A41,tbMoveset!A2:H112,8,FALSE)="Other",IF(VLOOKUP(tbMoveset!A41,tbMoveset!A2:I112,9,FALSE)="Fire",Backdoors!BB34,IF(VLOOKUP(tbMoveset!A41,tbMoveset!A2:I112,9,FALSE)="Water",Backdoors!BC34,IF(VLOOKUP(tbMoveset!A41,tbMoveset!A2:I112,9,FALSE)="Thunder",Backdoors!BD34,IF(VLOOKUP(tbMoveset!A41,tbMoveset!A2:I112,9,FALSE)="Ice",Backdoors!BE34,IF(VLOOKUP(tbMoveset!A41,tbMoveset!A2:I112,9,FALSE)="Dragon",Backdoors!BF34,Backdoors!BG34)))))/100,Backdoors!BG34/100),"")</f>
        <v>0</v>
      </c>
      <c r="HM41" s="49">
        <f>IFERROR(IF(VLOOKUP(A41,tbMoveset!A2:J112,10,FALSE)=TRUE,IF((Backdoors!AI12+IF(HK41&gt;=0.45,VLOOKUP(Calculator!E23,tbSkills!DH3:DI6,2,FALSE)+IF(AND(Calculator!B8=TRUE,Backdoors!BI34=TRUE),VLOOKUP(Calculator!E23,tbSkills!DH3:DJ6,3,FALSE),0),0))&gt;=0,1+(Backdoors!AL2*(IF((Backdoors!AI12+IF(HK41&gt;=0.45,VLOOKUP(Calculator!E23,tbSkills!DH3:DI6,2,FALSE)+IF(AND(Calculator!B8=TRUE,Backdoors!BI34=TRUE),VLOOKUP(Calculator!E23,tbSkills!DH3:DJ6,3,FALSE),0),0))&gt;=100,100,(Backdoors!AI12+IF(HK41&gt;=0.45,VLOOKUP(Calculator!E23,tbSkills!DH3:DI6,2,FALSE)+IF(AND(Calculator!B8=TRUE,Backdoors!BI34=TRUE),VLOOKUP(Calculator!E23,tbSkills!DH3:DJ6,3,FALSE),0),0)))/100)),(1-(0.25*((-Backdoors!AI12-IF(HK41&gt;=0.45,VLOOKUP(Calculator!E23,tbSkills!DH3:DI6,2,FALSE)+IF(AND(Calculator!B8=TRUE,Backdoors!BI34=TRUE),VLOOKUP(Calculator!E23,tbSkills!DH3:DJ6,3,FALSE),0),0))/100)))),1),"")</f>
        <v>1</v>
      </c>
      <c r="HN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K41)*HM41)*(VLOOKUP(A41,tbMoveset!A2:C112,3,FALSE)/100)*IF(VLOOKUP(A41,tbMoveset!A2:B112,2,FALSE)="Projectile",Backdoors!N10,Backdoors!N9),0),"")</f>
        <v/>
      </c>
      <c r="HO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K41&gt;=0.45,VLOOKUP(Calculator!E23,tbSkills!DH3:DI6,2,FALSE)+IF(AND(Calculator!B8=TRUE,Backdoors!BI34=TRUE),VLOOKUP(Calculator!E23,tbSkills!DH3:DJ6,3,FALSE),0),0))&gt;=100,100,(Backdoors!AI12+IF(HK41&gt;=0.45,VLOOKUP(Calculator!E23,tbSkills!DH3:DI6,2,FALSE)+IF(AND(Calculator!B8=TRUE,Backdoors!BI34=TRUE),VLOOKUP(Calculator!E23,tbSkills!DH3:DJ6,3,FALSE),0),0)))/100)),1))*IF(VLOOKUP(A41,tbMoveset!A2:K112,11,FALSE)=TRUE,Backdoors!AC5,1))*HL41,0),"")</f>
        <v>0</v>
      </c>
      <c r="HP41" s="49">
        <f>VLOOKUP(A41,tbMoveset!A2:G112,7,FALSE)*IFERROR(IF(Backdoors!AI12&gt;=0,1+(IF(Calculator!E40&gt;0,VLOOKUP(Calculator!E40,tbSkills!AI3:AJ5,2,FALSE),Backdoors!AL4)*(IF((Backdoors!AI12+IF(HK41&gt;=0.45,VLOOKUP(Calculator!E23,tbSkills!DH3:DI6,2,FALSE)+IF(AND(Calculator!B8=TRUE,Backdoors!BI34=TRUE),VLOOKUP(Calculator!E23,tbSkills!DH3:DJ6,3,FALSE),0),0))&gt;=100,100,(Backdoors!AI12+IF(HK41&gt;=0.45,VLOOKUP(Calculator!E23,tbSkills!DH3:DI6,2,FALSE)+IF(AND(Calculator!B8=TRUE,Backdoors!BI34=TRUE),VLOOKUP(Calculator!E23,tbSkills!DH3:DJ6,3,FALSE),0),0)))/100)),1),1)</f>
        <v>0.5</v>
      </c>
      <c r="HQ41" s="87">
        <f t="shared" si="24"/>
        <v>0</v>
      </c>
      <c r="HR41" s="86" t="str">
        <f>IFERROR(IF(VLOOKUP(A41,tbMoveset!A2:B112,2,FALSE)="Sever",Backdoors!AY35/100,IF(VLOOKUP(A41,tbMoveset!A2:B112,2,FALSE)="Blunt",Backdoors!AZ35/100,Backdoors!BA35/100)),"")</f>
        <v/>
      </c>
      <c r="HS41" s="49">
        <f>IFERROR(IF(VLOOKUP(tbMoveset!A41,tbMoveset!A2:H112,8,FALSE)="Other",IF(VLOOKUP(tbMoveset!A41,tbMoveset!A2:I112,9,FALSE)="Fire",Backdoors!BB35,IF(VLOOKUP(tbMoveset!A41,tbMoveset!A2:I112,9,FALSE)="Water",Backdoors!BC35,IF(VLOOKUP(tbMoveset!A41,tbMoveset!A2:I112,9,FALSE)="Thunder",Backdoors!BD35,IF(VLOOKUP(tbMoveset!A41,tbMoveset!A2:I112,9,FALSE)="Ice",Backdoors!BE35,IF(VLOOKUP(tbMoveset!A41,tbMoveset!A2:I112,9,FALSE)="Dragon",Backdoors!BF35,Backdoors!BG35)))))/100,Backdoors!BG35/100),"")</f>
        <v>0</v>
      </c>
      <c r="HT41" s="49">
        <f>IFERROR(IF(VLOOKUP(A41,tbMoveset!A2:J112,10,FALSE)=TRUE,IF((Backdoors!AI12+IF(HR41&gt;=0.45,VLOOKUP(Calculator!E23,tbSkills!DH3:DI6,2,FALSE)+IF(AND(Calculator!B8=TRUE,Backdoors!BI35=TRUE),VLOOKUP(Calculator!E23,tbSkills!DH3:DJ6,3,FALSE),0),0))&gt;=0,1+(Backdoors!AL2*(IF((Backdoors!AI12+IF(HR41&gt;=0.45,VLOOKUP(Calculator!E23,tbSkills!DH3:DI6,2,FALSE)+IF(AND(Calculator!B8=TRUE,Backdoors!BI35=TRUE),VLOOKUP(Calculator!E23,tbSkills!DH3:DJ6,3,FALSE),0),0))&gt;=100,100,(Backdoors!AI12+IF(HR41&gt;=0.45,VLOOKUP(Calculator!E23,tbSkills!DH3:DI6,2,FALSE)+IF(AND(Calculator!B8=TRUE,Backdoors!BI35=TRUE),VLOOKUP(Calculator!E23,tbSkills!DH3:DJ6,3,FALSE),0),0)))/100)),(1-(0.25*((-Backdoors!AI12-IF(HR41&gt;=0.45,VLOOKUP(Calculator!E23,tbSkills!DH3:DI6,2,FALSE)+IF(AND(Calculator!B8=TRUE,Backdoors!BI35=TRUE),VLOOKUP(Calculator!E23,tbSkills!DH3:DJ6,3,FALSE),0),0))/100)))),1),"")</f>
        <v>1</v>
      </c>
      <c r="HU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R41)*HT41)*(VLOOKUP(A41,tbMoveset!A2:C112,3,FALSE)/100)*IF(VLOOKUP(A41,tbMoveset!A2:B112,2,FALSE)="Projectile",Backdoors!N10,Backdoors!N9),0),"")</f>
        <v/>
      </c>
      <c r="HV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R41&gt;=0.45,VLOOKUP(Calculator!E23,tbSkills!DH3:DI6,2,FALSE)+IF(AND(Calculator!B8=TRUE,Backdoors!BI35=TRUE),VLOOKUP(Calculator!E23,tbSkills!DH3:DJ6,3,FALSE),0),0))&gt;=100,100,(Backdoors!AI12+IF(HR41&gt;=0.45,VLOOKUP(Calculator!E23,tbSkills!DH3:DI6,2,FALSE)+IF(AND(Calculator!B8=TRUE,Backdoors!BI35=TRUE),VLOOKUP(Calculator!E23,tbSkills!DH3:DJ6,3,FALSE),0),0)))/100)),1))*IF(VLOOKUP(A41,tbMoveset!A2:K112,11,FALSE)=TRUE,Backdoors!AC5,1))*HS41,0),"")</f>
        <v>0</v>
      </c>
      <c r="HW41" s="49">
        <f>VLOOKUP(A41,tbMoveset!A2:G112,7,FALSE)*IFERROR(IF(Backdoors!AI12&gt;=0,1+(IF(Calculator!E40&gt;0,VLOOKUP(Calculator!E40,tbSkills!AI3:AJ5,2,FALSE),Backdoors!AL4)*(IF((Backdoors!AI12+IF(HR41&gt;=0.45,VLOOKUP(Calculator!E23,tbSkills!DH3:DI6,2,FALSE)+IF(AND(Calculator!B8=TRUE,Backdoors!BI35=TRUE),VLOOKUP(Calculator!E23,tbSkills!DH3:DJ6,3,FALSE),0),0))&gt;=100,100,(Backdoors!AI12+IF(HR41&gt;=0.45,VLOOKUP(Calculator!E23,tbSkills!DH3:DI6,2,FALSE)+IF(AND(Calculator!B8=TRUE,Backdoors!BI35=TRUE),VLOOKUP(Calculator!E23,tbSkills!DH3:DJ6,3,FALSE),0),0)))/100)),1),1)</f>
        <v>0.5</v>
      </c>
      <c r="HX41" s="87">
        <f t="shared" si="25"/>
        <v>0</v>
      </c>
      <c r="HY41" s="86" t="str">
        <f>IFERROR(IF(VLOOKUP(A41,tbMoveset!A2:B112,2,FALSE)="Sever",Backdoors!AY36/100,IF(VLOOKUP(A41,tbMoveset!A2:B112,2,FALSE)="Blunt",Backdoors!AZ36/100,Backdoors!BA36/100)),"")</f>
        <v/>
      </c>
      <c r="HZ41" s="49">
        <f>IFERROR(IF(VLOOKUP(tbMoveset!A41,tbMoveset!A2:H112,8,FALSE)="Other",IF(VLOOKUP(tbMoveset!A41,tbMoveset!A2:I112,9,FALSE)="Fire",Backdoors!BB36,IF(VLOOKUP(tbMoveset!A41,tbMoveset!A2:I112,9,FALSE)="Water",Backdoors!BC36,IF(VLOOKUP(tbMoveset!A41,tbMoveset!A2:I112,9,FALSE)="Thunder",Backdoors!BD36,IF(VLOOKUP(tbMoveset!A41,tbMoveset!A2:I112,9,FALSE)="Ice",Backdoors!BE36,IF(VLOOKUP(tbMoveset!A41,tbMoveset!A2:I112,9,FALSE)="Dragon",Backdoors!BF36,Backdoors!BG36)))))/100,Backdoors!BG36/100),"")</f>
        <v>0</v>
      </c>
      <c r="IA41" s="49">
        <f>IFERROR(IF(VLOOKUP(A41,tbMoveset!A2:J112,10,FALSE)=TRUE,IF((Backdoors!AI12+IF(HY41&gt;=0.45,VLOOKUP(Calculator!E23,tbSkills!DH3:DI6,2,FALSE)+IF(AND(Calculator!B8=TRUE,Backdoors!BI36=TRUE),VLOOKUP(Calculator!E23,tbSkills!DH3:DJ6,3,FALSE),0),0))&gt;=0,1+(Backdoors!AL2*(IF((Backdoors!AI12+IF(HY41&gt;=0.45,VLOOKUP(Calculator!E23,tbSkills!DH3:DI6,2,FALSE)+IF(AND(Calculator!B8=TRUE,Backdoors!BI36=TRUE),VLOOKUP(Calculator!E23,tbSkills!DH3:DJ6,3,FALSE),0),0))&gt;=100,100,(Backdoors!AI12+IF(HY41&gt;=0.45,VLOOKUP(Calculator!E23,tbSkills!DH3:DI6,2,FALSE)+IF(AND(Calculator!B8=TRUE,Backdoors!BI36=TRUE),VLOOKUP(Calculator!E23,tbSkills!DH3:DJ6,3,FALSE),0),0)))/100)),(1-(0.25*((-Backdoors!AI12-IF(HY41&gt;=0.45,VLOOKUP(Calculator!E23,tbSkills!DH3:DI6,2,FALSE)+IF(AND(Calculator!B8=TRUE,Backdoors!BI36=TRUE),VLOOKUP(Calculator!E23,tbSkills!DH3:DJ6,3,FALSE),0),0))/100)))),1),"")</f>
        <v>1</v>
      </c>
      <c r="IB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Y41)*IA41)*(VLOOKUP(A41,tbMoveset!A2:C112,3,FALSE)/100)*IF(VLOOKUP(A41,tbMoveset!A2:B112,2,FALSE)="Projectile",Backdoors!N10,Backdoors!N9),0),"")</f>
        <v/>
      </c>
      <c r="IC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Y41&gt;=0.45,VLOOKUP(Calculator!E23,tbSkills!DH3:DI6,2,FALSE)+IF(AND(Calculator!B8=TRUE,Backdoors!BI36=TRUE),VLOOKUP(Calculator!E23,tbSkills!DH3:DJ6,3,FALSE),0),0))&gt;=100,100,(Backdoors!AI12+IF(HY41&gt;=0.45,VLOOKUP(Calculator!E23,tbSkills!DH3:DI6,2,FALSE)+IF(AND(Calculator!B8=TRUE,Backdoors!BI36=TRUE),VLOOKUP(Calculator!E23,tbSkills!DH3:DJ6,3,FALSE),0),0)))/100)),1))*IF(VLOOKUP(A41,tbMoveset!A2:K112,11,FALSE)=TRUE,Backdoors!AC5,1))*HZ41,0),"")</f>
        <v>0</v>
      </c>
      <c r="ID41" s="49">
        <f>VLOOKUP(A41,tbMoveset!A2:G112,7,FALSE)*IFERROR(IF(Backdoors!AI12&gt;=0,1+(IF(Calculator!E40&gt;0,VLOOKUP(Calculator!E40,tbSkills!AI3:AJ5,2,FALSE),Backdoors!AL4)*(IF((Backdoors!AI12+IF(HY41&gt;=0.45,VLOOKUP(Calculator!E23,tbSkills!DH3:DI6,2,FALSE)+IF(AND(Calculator!B8=TRUE,Backdoors!BI36=TRUE),VLOOKUP(Calculator!E23,tbSkills!DH3:DJ6,3,FALSE),0),0))&gt;=100,100,(Backdoors!AI12+IF(HY41&gt;=0.45,VLOOKUP(Calculator!E23,tbSkills!DH3:DI6,2,FALSE)+IF(AND(Calculator!B8=TRUE,Backdoors!BI36=TRUE),VLOOKUP(Calculator!E23,tbSkills!DH3:DJ6,3,FALSE),0),0)))/100)),1),1)</f>
        <v>0.5</v>
      </c>
      <c r="IE41" s="87">
        <f t="shared" si="26"/>
        <v>0</v>
      </c>
      <c r="IF41" s="86" t="str">
        <f>IFERROR(IF(VLOOKUP(A41,tbMoveset!A2:B112,2,FALSE)="Sever",Backdoors!AY37/100,IF(VLOOKUP(A41,tbMoveset!A2:B112,2,FALSE)="Blunt",Backdoors!AZ37/100,Backdoors!BA37/100)),"")</f>
        <v/>
      </c>
      <c r="IG41" s="49">
        <f>IFERROR(IF(VLOOKUP(tbMoveset!A41,tbMoveset!A2:H112,8,FALSE)="Other",IF(VLOOKUP(tbMoveset!A41,tbMoveset!A2:I112,9,FALSE)="Fire",Backdoors!BB37,IF(VLOOKUP(tbMoveset!A41,tbMoveset!A2:I112,9,FALSE)="Water",Backdoors!BC37,IF(VLOOKUP(tbMoveset!A41,tbMoveset!A2:I112,9,FALSE)="Thunder",Backdoors!BD37,IF(VLOOKUP(tbMoveset!A41,tbMoveset!A2:I112,9,FALSE)="Ice",Backdoors!BE37,IF(VLOOKUP(tbMoveset!A41,tbMoveset!A2:I112,9,FALSE)="Dragon",Backdoors!BF37,Backdoors!BG37)))))/100,Backdoors!BG37/100),"")</f>
        <v>0</v>
      </c>
      <c r="IH41" s="49">
        <f>IFERROR(IF(VLOOKUP(A41,tbMoveset!A2:J112,10,FALSE)=TRUE,IF((Backdoors!AI12+IF(IF41&gt;=0.45,VLOOKUP(Calculator!E23,tbSkills!DH3:DI6,2,FALSE)+IF(AND(Calculator!B8=TRUE,Backdoors!BI37=TRUE),VLOOKUP(Calculator!E23,tbSkills!DH3:DJ6,3,FALSE),0),0))&gt;=0,1+(Backdoors!AL2*(IF((Backdoors!AI12+IF(IF41&gt;=0.45,VLOOKUP(Calculator!E23,tbSkills!DH3:DI6,2,FALSE)+IF(AND(Calculator!B8=TRUE,Backdoors!BI37=TRUE),VLOOKUP(Calculator!E23,tbSkills!DH3:DJ6,3,FALSE),0),0))&gt;=100,100,(Backdoors!AI12+IF(IF41&gt;=0.45,VLOOKUP(Calculator!E23,tbSkills!DH3:DI6,2,FALSE)+IF(AND(Calculator!B8=TRUE,Backdoors!BI37=TRUE),VLOOKUP(Calculator!E23,tbSkills!DH3:DJ6,3,FALSE),0),0)))/100)),(1-(0.25*((-Backdoors!AI12-IF(IF41&gt;=0.45,VLOOKUP(Calculator!E23,tbSkills!DH3:DI6,2,FALSE)+IF(AND(Calculator!B8=TRUE,Backdoors!BI37=TRUE),VLOOKUP(Calculator!E23,tbSkills!DH3:DJ6,3,FALSE),0),0))/100)))),1),"")</f>
        <v>1</v>
      </c>
      <c r="II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F41)*IH41)*(VLOOKUP(A41,tbMoveset!A2:C112,3,FALSE)/100)*IF(VLOOKUP(A41,tbMoveset!A2:B112,2,FALSE)="Projectile",Backdoors!N10,Backdoors!N9),0),"")</f>
        <v/>
      </c>
      <c r="IJ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IF41&gt;=0.45,VLOOKUP(Calculator!E23,tbSkills!DH3:DI6,2,FALSE)+IF(AND(Calculator!B8=TRUE,Backdoors!BI37=TRUE),VLOOKUP(Calculator!E23,tbSkills!DH3:DJ6,3,FALSE),0),0))&gt;=100,100,(Backdoors!AI12+IF(IF41&gt;=0.45,VLOOKUP(Calculator!E23,tbSkills!DH3:DI6,2,FALSE)+IF(AND(Calculator!B8=TRUE,Backdoors!BI37=TRUE),VLOOKUP(Calculator!E23,tbSkills!DH3:DJ6,3,FALSE),0),0)))/100)),1))*IF(VLOOKUP(A41,tbMoveset!A2:K112,11,FALSE)=TRUE,Backdoors!AC5,1))*IG41,0),"")</f>
        <v>0</v>
      </c>
      <c r="IK41" s="49">
        <f>VLOOKUP(A41,tbMoveset!A2:G112,7,FALSE)*IFERROR(IF(Backdoors!AI12&gt;=0,1+(IF(Calculator!E40&gt;0,VLOOKUP(Calculator!E40,tbSkills!AI3:AJ5,2,FALSE),Backdoors!AL4)*(IF((Backdoors!AI12+IF(IF41&gt;=0.45,VLOOKUP(Calculator!E23,tbSkills!DH3:DI6,2,FALSE)+IF(AND(Calculator!B8=TRUE,Backdoors!BI37=TRUE),VLOOKUP(Calculator!E23,tbSkills!DH3:DJ6,3,FALSE),0),0))&gt;=100,100,(Backdoors!AI12+IF(IF41&gt;=0.45,VLOOKUP(Calculator!E23,tbSkills!DH3:DI6,2,FALSE)+IF(AND(Calculator!B8=TRUE,Backdoors!BI37=TRUE),VLOOKUP(Calculator!E23,tbSkills!DH3:DJ6,3,FALSE),0),0)))/100)),1),1)</f>
        <v>0.5</v>
      </c>
      <c r="IL41" s="87">
        <f t="shared" si="27"/>
        <v>0</v>
      </c>
      <c r="IM41" s="86" t="str">
        <f>IFERROR(IF(VLOOKUP(A41,tbMoveset!A2:B112,2,FALSE)="Sever",Backdoors!AY38/100,IF(VLOOKUP(A41,tbMoveset!A2:B112,2,FALSE)="Blunt",Backdoors!AZ38/100,Backdoors!BA38/100)),"")</f>
        <v/>
      </c>
      <c r="IN41" s="49">
        <f>IFERROR(IF(VLOOKUP(tbMoveset!A41,tbMoveset!A2:H112,8,FALSE)="Other",IF(VLOOKUP(tbMoveset!A41,tbMoveset!A2:I112,9,FALSE)="Fire",Backdoors!BB38,IF(VLOOKUP(tbMoveset!A41,tbMoveset!A2:I112,9,FALSE)="Water",Backdoors!BC38,IF(VLOOKUP(tbMoveset!A41,tbMoveset!A2:I112,9,FALSE)="Thunder",Backdoors!BD38,IF(VLOOKUP(tbMoveset!A41,tbMoveset!A2:I112,9,FALSE)="Ice",Backdoors!BE38,IF(VLOOKUP(tbMoveset!A41,tbMoveset!A2:I112,9,FALSE)="Dragon",Backdoors!BF38,Backdoors!BG38)))))/100,Backdoors!BG38/100),"")</f>
        <v>0</v>
      </c>
      <c r="IO41" s="49">
        <f>IFERROR(IF(VLOOKUP(A41,tbMoveset!A2:J112,10,FALSE)=TRUE,IF((Backdoors!AI12+IF(IM41&gt;=0.45,VLOOKUP(Calculator!E23,tbSkills!DH3:DI6,2,FALSE)+IF(AND(Calculator!B8=TRUE,Backdoors!BI38=TRUE),VLOOKUP(Calculator!E23,tbSkills!DH3:DJ6,3,FALSE),0),0))&gt;=0,1+(Backdoors!AL2*(IF((Backdoors!AI12+IF(IM41&gt;=0.45,VLOOKUP(Calculator!E23,tbSkills!DH3:DI6,2,FALSE)+IF(AND(Calculator!B8=TRUE,Backdoors!BI38=TRUE),VLOOKUP(Calculator!E23,tbSkills!DH3:DJ6,3,FALSE),0),0))&gt;=100,100,(Backdoors!AI12+IF(IM41&gt;=0.45,VLOOKUP(Calculator!E23,tbSkills!DH3:DI6,2,FALSE)+IF(AND(Calculator!B8=TRUE,Backdoors!BI38=TRUE),VLOOKUP(Calculator!E23,tbSkills!DH3:DJ6,3,FALSE),0),0)))/100)),(1-(0.25*((-Backdoors!AI12-IF(IM41&gt;=0.45,VLOOKUP(Calculator!E23,tbSkills!DH3:DI6,2,FALSE)+IF(AND(Calculator!B8=TRUE,Backdoors!BI38=TRUE),VLOOKUP(Calculator!E23,tbSkills!DH3:DJ6,3,FALSE),0),0))/100)))),1),"")</f>
        <v>1</v>
      </c>
      <c r="IP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M41)*IO41)*(VLOOKUP(A41,tbMoveset!A2:C112,3,FALSE)/100)*IF(VLOOKUP(A41,tbMoveset!A2:B112,2,FALSE)="Projectile",Backdoors!N10,Backdoors!N9),0),"")</f>
        <v/>
      </c>
      <c r="IQ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IM41&gt;=0.45,VLOOKUP(Calculator!E23,tbSkills!DH3:DI6,2,FALSE)+IF(AND(Calculator!B8=TRUE,Backdoors!BI38=TRUE),VLOOKUP(Calculator!E23,tbSkills!DH3:DJ6,3,FALSE),0),0))&gt;=100,100,(Backdoors!AI12+IF(IM41&gt;=0.45,VLOOKUP(Calculator!E23,tbSkills!DH3:DI6,2,FALSE)+IF(AND(Calculator!B8=TRUE,Backdoors!BI38=TRUE),VLOOKUP(Calculator!E23,tbSkills!DH3:DJ6,3,FALSE),0),0)))/100)),1))*IF(VLOOKUP(A41,tbMoveset!A2:K112,11,FALSE)=TRUE,Backdoors!AC5,1))*IN41,0),"")</f>
        <v>0</v>
      </c>
      <c r="IR41" s="49">
        <f>VLOOKUP(A41,tbMoveset!A2:G112,7,FALSE)*IFERROR(IF(Backdoors!AI12&gt;=0,1+(IF(Calculator!E40&gt;0,VLOOKUP(Calculator!E40,tbSkills!AI3:AJ5,2,FALSE),Backdoors!AL4)*(IF((Backdoors!AI12+IF(IM41&gt;=0.45,VLOOKUP(Calculator!E23,tbSkills!DH3:DI6,2,FALSE)+IF(AND(Calculator!B8=TRUE,Backdoors!BI38=TRUE),VLOOKUP(Calculator!E23,tbSkills!DH3:DJ6,3,FALSE),0),0))&gt;=100,100,(Backdoors!AI12+IF(IM41&gt;=0.45,VLOOKUP(Calculator!E23,tbSkills!DH3:DI6,2,FALSE)+IF(AND(Calculator!B8=TRUE,Backdoors!BI38=TRUE),VLOOKUP(Calculator!E23,tbSkills!DH3:DJ6,3,FALSE),0),0)))/100)),1),1)</f>
        <v>0.5</v>
      </c>
      <c r="IS41" s="87">
        <f t="shared" si="42"/>
        <v>0</v>
      </c>
      <c r="IT41" s="86" t="str">
        <f>IFERROR(IF(VLOOKUP(A41,tbMoveset!A2:B112,2,FALSE)="Sever",Backdoors!AY39/100,IF(VLOOKUP(A41,tbMoveset!A2:B112,2,FALSE)="Blunt",Backdoors!AZ39/100,Backdoors!BA39/100)),"")</f>
        <v/>
      </c>
      <c r="IU41" s="49">
        <f>IFERROR(IF(VLOOKUP(tbMoveset!A41,tbMoveset!A2:H112,8,FALSE)="Other",IF(VLOOKUP(tbMoveset!A41,tbMoveset!A2:I112,9,FALSE)="Fire",Backdoors!BB39,IF(VLOOKUP(tbMoveset!A41,tbMoveset!A2:I112,9,FALSE)="Water",Backdoors!BC39,IF(VLOOKUP(tbMoveset!A41,tbMoveset!A2:I112,9,FALSE)="Thunder",Backdoors!BD39,IF(VLOOKUP(tbMoveset!A41,tbMoveset!A2:I112,9,FALSE)="Ice",Backdoors!BE39,IF(VLOOKUP(tbMoveset!A41,tbMoveset!A2:I112,9,FALSE)="Dragon",Backdoors!BF39,Backdoors!BG39)))))/100,Backdoors!BG39/100),"")</f>
        <v>0</v>
      </c>
      <c r="IV41" s="49">
        <f>IFERROR(IF(VLOOKUP(A41,tbMoveset!A2:J112,10,FALSE)=TRUE,IF((Backdoors!AI12+IF(IT41&gt;=0.45,VLOOKUP(Calculator!E23,tbSkills!DH3:DI6,2,FALSE)+IF(AND(Calculator!B8=TRUE,Backdoors!BI39=TRUE),VLOOKUP(Calculator!E23,tbSkills!DH3:DJ6,3,FALSE),0),0))&gt;=0,1+(Backdoors!AL2*(IF((Backdoors!AI12+IF(IT41&gt;=0.45,VLOOKUP(Calculator!E23,tbSkills!DH3:DI6,2,FALSE)+IF(AND(Calculator!B8=TRUE,Backdoors!BI39=TRUE),VLOOKUP(Calculator!E23,tbSkills!DH3:DJ6,3,FALSE),0),0))&gt;=100,100,(Backdoors!AI12+IF(IT41&gt;=0.45,VLOOKUP(Calculator!E23,tbSkills!DH3:DI6,2,FALSE)+IF(AND(Calculator!B8=TRUE,Backdoors!BI39=TRUE),VLOOKUP(Calculator!E23,tbSkills!DH3:DJ6,3,FALSE),0),0)))/100)),(1-(0.25*((-Backdoors!AI12-IF(IT41&gt;=0.45,VLOOKUP(Calculator!E23,tbSkills!DH3:DI6,2,FALSE)+IF(AND(Calculator!B8=TRUE,Backdoors!BI39=TRUE),VLOOKUP(Calculator!E23,tbSkills!DH3:DJ6,3,FALSE),0),0))/100)))),1),"")</f>
        <v>1</v>
      </c>
      <c r="IW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T41)*IV41)*(VLOOKUP(A41,tbMoveset!A2:C112,3,FALSE)/100)*IF(VLOOKUP(A41,tbMoveset!A2:B112,2,FALSE)="Projectile",Backdoors!N10,Backdoors!N9),0),"")</f>
        <v/>
      </c>
      <c r="IX41" s="49">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40&gt;0,VLOOKUP(Calculator!E40,tbSkills!AC3:AD5,2,FALSE),Backdoors!AL3)*(IF((Backdoors!AI12+IF(IT41&gt;=0.45,VLOOKUP(Calculator!E23,tbSkills!DH3:DI6,2,FALSE)+IF(AND(Calculator!B8=TRUE,Backdoors!BI39=TRUE),VLOOKUP(Calculator!E23,tbSkills!DH3:DJ6,3,FALSE),0),0))&gt;=100,100,(Backdoors!AI12+IF(IT41&gt;=0.45,VLOOKUP(Calculator!E23,tbSkills!DH3:DI6,2,FALSE)+IF(AND(Calculator!B8=TRUE,Backdoors!BI39=TRUE),VLOOKUP(Calculator!E23,tbSkills!DH3:DJ6,3,FALSE),0),0)))/100)),1))*IF(VLOOKUP(A41,tbMoveset!A2:K112,11,FALSE)=TRUE,Backdoors!AC5,1))*IU41,0),"")</f>
        <v>0</v>
      </c>
      <c r="IY41" s="49">
        <f>VLOOKUP(A41,tbMoveset!A2:G112,7,FALSE)*IFERROR(IF(Backdoors!AI12&gt;=0,1+(IF(Calculator!E40&gt;0,VLOOKUP(Calculator!E40,tbSkills!AI3:AJ5,2,FALSE),Backdoors!AL4)*(IF((Backdoors!AI12+IF(IT41&gt;=0.45,VLOOKUP(Calculator!E23,tbSkills!DH3:DI6,2,FALSE)+IF(AND(Calculator!B8=TRUE,Backdoors!BI39=TRUE),VLOOKUP(Calculator!E23,tbSkills!DH3:DJ6,3,FALSE),0),0))&gt;=100,100,(Backdoors!AI12+IF(IT41&gt;=0.45,VLOOKUP(Calculator!E23,tbSkills!DH3:DI6,2,FALSE)+IF(AND(Calculator!B8=TRUE,Backdoors!BI39=TRUE),VLOOKUP(Calculator!E23,tbSkills!DH3:DJ6,3,FALSE),0),0)))/100)),1),1)</f>
        <v>0.5</v>
      </c>
      <c r="IZ41" s="87">
        <f t="shared" si="28"/>
        <v>0</v>
      </c>
      <c r="JA41" s="86" t="str">
        <f>IFERROR(IF(VLOOKUP(A41,tbMoveset!A2:B112,2,FALSE)="Sever",Backdoors!AY40/100,IF(VLOOKUP(A41,tbMoveset!A2:B112,2,FALSE)="Blunt",Backdoors!AZ40/100,Backdoors!BA40/100)),"")</f>
        <v/>
      </c>
      <c r="JB41" s="49">
        <f>IFERROR(IF(VLOOKUP(tbMoveset!A41,tbMoveset!A2:H112,8,FALSE)="Other",IF(VLOOKUP(tbMoveset!A41,tbMoveset!A2:I112,9,FALSE)="Fire",Backdoors!BB40,IF(VLOOKUP(tbMoveset!A41,tbMoveset!A2:I112,9,FALSE)="Water",Backdoors!BC40,IF(VLOOKUP(tbMoveset!A41,tbMoveset!A2:I112,9,FALSE)="Thunder",Backdoors!BD40,IF(VLOOKUP(tbMoveset!A41,tbMoveset!A2:I112,9,FALSE)="Ice",Backdoors!BE40,IF(VLOOKUP(tbMoveset!A41,tbMoveset!A2:I112,9,FALSE)="Dragon",Backdoors!BF40,Backdoors!BG40)))))/100,Backdoors!BG40/100),"")</f>
        <v>0</v>
      </c>
      <c r="JC41" s="49">
        <f>IFERROR(IF(VLOOKUP(A41,tbMoveset!A2:J112,10,FALSE)=TRUE,IF((Backdoors!AI12+IF(JA41&gt;=0.45,VLOOKUP(Calculator!E23,tbSkills!DH3:DI6,2,FALSE)+IF(AND(Calculator!B8=TRUE,Backdoors!BI40=TRUE),VLOOKUP(Calculator!E23,tbSkills!DH3:DJ6,3,FALSE),0),0))&gt;=0,1+(Backdoors!AL2*(IF((Backdoors!AI12+IF(JA41&gt;=0.45,VLOOKUP(Calculator!E23,tbSkills!DH3:DI6,2,FALSE)+IF(AND(Calculator!B8=TRUE,Backdoors!BI40=TRUE),VLOOKUP(Calculator!E23,tbSkills!DH3:DJ6,3,FALSE),0),0))&gt;=100,100,(Backdoors!AI12+IF(JA41&gt;=0.45,VLOOKUP(Calculator!E23,tbSkills!DH3:DI6,2,FALSE)+IF(AND(Calculator!B8=TRUE,Backdoors!BI40=TRUE),VLOOKUP(Calculator!E23,tbSkills!DH3:DJ6,3,FALSE),0),0)))/100)),(1-(0.25*((-Backdoors!AI12-IF(JA41&gt;=0.45,VLOOKUP(Calculator!E23,tbSkills!DH3:DI6,2,FALSE)+IF(AND(Calculator!B8=TRUE,Backdoors!BI40=TRUE),VLOOKUP(Calculator!E23,tbSkills!DH3:DJ6,3,FALSE),0),0))/100)))),1),"")</f>
        <v>1</v>
      </c>
      <c r="JD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A41)*JC41)*(VLOOKUP(A41,tbMoveset!A2:C112,3,FALSE)/100)*IF(VLOOKUP(A41,tbMoveset!A2:B112,2,FALSE)="Projectile",Backdoors!N10,Backdoors!N9),0),"")</f>
        <v/>
      </c>
      <c r="JE41" s="49">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42&gt;0,VLOOKUP(Calculator!E42,tbSkills!AC3:AD5,2,FALSE),Backdoors!AL3)*(IF((Backdoors!AI12+IF(JA41&gt;=0.45,VLOOKUP(Calculator!E23,tbSkills!DH3:DI6,2,FALSE)+IF(AND(Calculator!B8=TRUE,Backdoors!BI40=TRUE),VLOOKUP(Calculator!E23,tbSkills!DH3:DJ6,3,FALSE),0),0))&gt;=100,100,(Backdoors!AI12+IF(JA41&gt;=0.45,VLOOKUP(Calculator!E23,tbSkills!DH3:DI6,2,FALSE)+IF(AND(Calculator!B8=TRUE,Backdoors!BI40=TRUE),VLOOKUP(Calculator!E23,tbSkills!DH3:DJ6,3,FALSE),0),0)))/100)),1))*IF(VLOOKUP(A41,tbMoveset!A2:K112,11,FALSE)=TRUE,Backdoors!AC5,1))*JB41,0),"")</f>
        <v>0</v>
      </c>
      <c r="JF41" s="49">
        <f>VLOOKUP(A41,tbMoveset!A2:G112,7,FALSE)*IFERROR(IF(Backdoors!AI12&gt;=0,1+(IF(Calculator!E40&gt;0,VLOOKUP(Calculator!E40,tbSkills!AI3:AJ5,2,FALSE),Backdoors!AL4)*(IF((Backdoors!AI12+IF(JA41&gt;=0.45,VLOOKUP(Calculator!E23,tbSkills!DH3:DI6,2,FALSE)+IF(AND(Calculator!B8=TRUE,Backdoors!BI40=TRUE),VLOOKUP(Calculator!E23,tbSkills!DH3:DJ6,3,FALSE),0),0))&gt;=100,100,(Backdoors!AI12+IF(JA41&gt;=0.45,VLOOKUP(Calculator!E23,tbSkills!DH3:DI6,2,FALSE)+IF(AND(Calculator!B8=TRUE,Backdoors!BI40=TRUE),VLOOKUP(Calculator!E23,tbSkills!DH3:DJ6,3,FALSE),0),0)))/100)),1),1)</f>
        <v>0.5</v>
      </c>
      <c r="JG41" s="87">
        <f t="shared" si="29"/>
        <v>0</v>
      </c>
      <c r="JH41" s="86" t="str">
        <f>IFERROR(IF(VLOOKUP(A41,tbMoveset!A2:B112,2,FALSE)="Sever",Backdoors!AY41/100,IF(VLOOKUP(A41,tbMoveset!A2:B112,2,FALSE)="Blunt",Backdoors!AZ41/100,Backdoors!BA41/100)),"")</f>
        <v/>
      </c>
      <c r="JI41" s="49">
        <f>IFERROR(IF(VLOOKUP(tbMoveset!A41,tbMoveset!A2:H112,8,FALSE)="Other",IF(VLOOKUP(tbMoveset!A41,tbMoveset!A2:I112,9,FALSE)="Fire",Backdoors!BB41,IF(VLOOKUP(tbMoveset!A41,tbMoveset!A2:I112,9,FALSE)="Water",Backdoors!BC41,IF(VLOOKUP(tbMoveset!A41,tbMoveset!A2:I112,9,FALSE)="Thunder",Backdoors!BD41,IF(VLOOKUP(tbMoveset!A41,tbMoveset!A2:I112,9,FALSE)="Ice",Backdoors!BE41,IF(VLOOKUP(tbMoveset!A41,tbMoveset!A2:I112,9,FALSE)="Dragon",Backdoors!BF41,Backdoors!BG41)))))/100,Backdoors!BG41/100),"")</f>
        <v>0</v>
      </c>
      <c r="JJ41" s="49">
        <f>IFERROR(IF(VLOOKUP(A41,tbMoveset!A2:J112,10,FALSE)=TRUE,IF((Backdoors!AI12+IF(JH41&gt;=0.45,VLOOKUP(Calculator!E23,tbSkills!DH3:DI6,2,FALSE)+IF(AND(Calculator!B8=TRUE,Backdoors!BI41=TRUE),VLOOKUP(Calculator!E23,tbSkills!DH3:DJ6,3,FALSE),0),0))&gt;=0,1+(Backdoors!AL2*(IF((Backdoors!AI12+IF(JH41&gt;=0.45,VLOOKUP(Calculator!E23,tbSkills!DH3:DI6,2,FALSE)+IF(AND(Calculator!B8=TRUE,Backdoors!BI41=TRUE),VLOOKUP(Calculator!E23,tbSkills!DH3:DJ6,3,FALSE),0),0))&gt;=100,100,(Backdoors!AI12+IF(JH41&gt;=0.45,VLOOKUP(Calculator!E23,tbSkills!DH3:DI6,2,FALSE)+IF(AND(Calculator!B8=TRUE,Backdoors!BI41=TRUE),VLOOKUP(Calculator!E23,tbSkills!DH3:DJ6,3,FALSE),0),0)))/100)),(1-(0.25*((-Backdoors!AI12-IF(JH41&gt;=0.45,VLOOKUP(Calculator!E23,tbSkills!DH3:DI6,2,FALSE)+IF(AND(Calculator!B8=TRUE,Backdoors!BI41=TRUE),VLOOKUP(Calculator!E23,tbSkills!DH3:DJ6,3,FALSE),0),0))/100)))),1),"")</f>
        <v>1</v>
      </c>
      <c r="JK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H41)*JJ41)*(VLOOKUP(A41,tbMoveset!A2:C112,3,FALSE)/100)*IF(VLOOKUP(A41,tbMoveset!A2:B112,2,FALSE)="Projectile",Backdoors!N10,Backdoors!N9),0),"")</f>
        <v/>
      </c>
      <c r="JL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43&gt;0,VLOOKUP(Calculator!E43,tbSkills!AC3:AD5,2,FALSE),Backdoors!AL3)*(IF((Backdoors!AI12+IF(JH41&gt;=0.45,VLOOKUP(Calculator!E23,tbSkills!DH3:DI6,2,FALSE)+IF(AND(Calculator!B8=TRUE,Backdoors!BI41=TRUE),VLOOKUP(Calculator!E23,tbSkills!DH3:DJ6,3,FALSE),0),0))&gt;=100,100,(Backdoors!AI12+IF(JH41&gt;=0.45,VLOOKUP(Calculator!E23,tbSkills!DH3:DI6,2,FALSE)+IF(AND(Calculator!B8=TRUE,Backdoors!BI41=TRUE),VLOOKUP(Calculator!E23,tbSkills!DH3:DJ6,3,FALSE),0),0)))/100)),1))*IF(VLOOKUP(A41,tbMoveset!A2:K112,11,FALSE)=TRUE,Backdoors!AC5,1))*JI41,0),"")</f>
        <v/>
      </c>
      <c r="JM41" s="49">
        <f>VLOOKUP(A41,tbMoveset!A2:G112,7,FALSE)*IFERROR(IF(Backdoors!AI12&gt;=0,1+(IF(Calculator!E40&gt;0,VLOOKUP(Calculator!E40,tbSkills!AI3:AJ5,2,FALSE),Backdoors!AL4)*(IF((Backdoors!AI12+IF(JH41&gt;=0.45,VLOOKUP(Calculator!E23,tbSkills!DH3:DI6,2,FALSE)+IF(AND(Calculator!B8=TRUE,Backdoors!BI41=TRUE),VLOOKUP(Calculator!E23,tbSkills!DH3:DJ6,3,FALSE),0),0))&gt;=100,100,(Backdoors!AI12+IF(JH41&gt;=0.45,VLOOKUP(Calculator!E23,tbSkills!DH3:DI6,2,FALSE)+IF(AND(Calculator!B8=TRUE,Backdoors!BI41=TRUE),VLOOKUP(Calculator!E23,tbSkills!DH3:DJ6,3,FALSE),0),0)))/100)),1),1)</f>
        <v>0.5</v>
      </c>
      <c r="JN41" s="87">
        <f t="shared" si="30"/>
        <v>0</v>
      </c>
      <c r="JO41" s="86" t="str">
        <f>IFERROR(IF(VLOOKUP(A41,tbMoveset!A2:B112,2,FALSE)="Sever",Backdoors!AY42/100,IF(VLOOKUP(A41,tbMoveset!A2:B112,2,FALSE)="Blunt",Backdoors!AZ42/100,Backdoors!BA42/100)),"")</f>
        <v/>
      </c>
      <c r="JP41" s="49">
        <f>IFERROR(IF(VLOOKUP(tbMoveset!A41,tbMoveset!A2:H112,8,FALSE)="Other",IF(VLOOKUP(tbMoveset!A41,tbMoveset!A2:I112,9,FALSE)="Fire",Backdoors!BB42,IF(VLOOKUP(tbMoveset!A41,tbMoveset!A2:I112,9,FALSE)="Water",Backdoors!BC42,IF(VLOOKUP(tbMoveset!A41,tbMoveset!A2:I112,9,FALSE)="Thunder",Backdoors!BD42,IF(VLOOKUP(tbMoveset!A41,tbMoveset!A2:I112,9,FALSE)="Ice",Backdoors!BE42,IF(VLOOKUP(tbMoveset!A41,tbMoveset!A2:I112,9,FALSE)="Dragon",Backdoors!BF42,Backdoors!BG42)))))/100,Backdoors!BG42/100),"")</f>
        <v>0</v>
      </c>
      <c r="JQ41" s="49">
        <f>IFERROR(IF(VLOOKUP(A41,tbMoveset!A2:J112,10,FALSE)=TRUE,IF((Backdoors!AI12+IF(JO41&gt;=0.45,VLOOKUP(Calculator!E23,tbSkills!DH3:DI6,2,FALSE)+IF(AND(Calculator!B8=TRUE,Backdoors!BI42=TRUE),VLOOKUP(Calculator!E23,tbSkills!DH3:DJ6,3,FALSE),0),0))&gt;=0,1+(Backdoors!AL2*(IF((Backdoors!AI12+IF(JO41&gt;=0.45,VLOOKUP(Calculator!E23,tbSkills!DH3:DI6,2,FALSE)+IF(AND(Calculator!B8=TRUE,Backdoors!BI42=TRUE),VLOOKUP(Calculator!E23,tbSkills!DH3:DJ6,3,FALSE),0),0))&gt;=100,100,(Backdoors!AI12+IF(JO41&gt;=0.45,VLOOKUP(Calculator!E23,tbSkills!DH3:DI6,2,FALSE)+IF(AND(Calculator!B8=TRUE,Backdoors!BI42=TRUE),VLOOKUP(Calculator!E23,tbSkills!DH3:DJ6,3,FALSE),0),0)))/100)),(1-(0.25*((-Backdoors!AI12-IF(JO41&gt;=0.45,VLOOKUP(Calculator!E23,tbSkills!DH3:DI6,2,FALSE)+IF(AND(Calculator!B8=TRUE,Backdoors!BI42=TRUE),VLOOKUP(Calculator!E23,tbSkills!DH3:DJ6,3,FALSE),0),0))/100)))),1),"")</f>
        <v>1</v>
      </c>
      <c r="JR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O41)*JQ41)*(VLOOKUP(A41,tbMoveset!A2:C112,3,FALSE)/100)*IF(VLOOKUP(A41,tbMoveset!A2:B112,2,FALSE)="Projectile",Backdoors!N10,Backdoors!N9),0),"")</f>
        <v/>
      </c>
      <c r="JS41" s="49">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45&gt;0,VLOOKUP(Calculator!E45,tbSkills!AC3:AD5,2,FALSE),Backdoors!AL3)*(IF((Backdoors!AI12+IF(JO41&gt;=0.45,VLOOKUP(Calculator!E23,tbSkills!DH3:DI6,2,FALSE)+IF(AND(Calculator!B8=TRUE,Backdoors!BI42=TRUE),VLOOKUP(Calculator!E23,tbSkills!DH3:DJ6,3,FALSE),0),0))&gt;=100,100,(Backdoors!AI12+IF(JO41&gt;=0.45,VLOOKUP(Calculator!E23,tbSkills!DH3:DI6,2,FALSE)+IF(AND(Calculator!B8=TRUE,Backdoors!BI42=TRUE),VLOOKUP(Calculator!E23,tbSkills!DH3:DJ6,3,FALSE),0),0)))/100)),1))*IF(VLOOKUP(A41,tbMoveset!A2:K112,11,FALSE)=TRUE,Backdoors!AC5,1))*JP41,0),"")</f>
        <v>0</v>
      </c>
      <c r="JT41" s="49">
        <f>VLOOKUP(A41,tbMoveset!A2:G112,7,FALSE)*IFERROR(IF(Backdoors!AI12&gt;=0,1+(IF(Calculator!E40&gt;0,VLOOKUP(Calculator!E40,tbSkills!AI3:AJ5,2,FALSE),Backdoors!AL4)*(IF((Backdoors!AI12+IF(JO41&gt;=0.45,VLOOKUP(Calculator!E23,tbSkills!DH3:DI6,2,FALSE)+IF(AND(Calculator!B8=TRUE,Backdoors!BI42=TRUE),VLOOKUP(Calculator!E23,tbSkills!DH3:DJ6,3,FALSE),0),0))&gt;=100,100,(Backdoors!AI12+IF(JO41&gt;=0.45,VLOOKUP(Calculator!E23,tbSkills!DH3:DI6,2,FALSE)+IF(AND(Calculator!B8=TRUE,Backdoors!BI42=TRUE),VLOOKUP(Calculator!E23,tbSkills!DH3:DJ6,3,FALSE),0),0)))/100)),1),1)</f>
        <v>0.5</v>
      </c>
      <c r="JU41" s="87">
        <f t="shared" si="31"/>
        <v>0</v>
      </c>
      <c r="JV41" s="86" t="str">
        <f>IFERROR(IF(VLOOKUP(A41,tbMoveset!A2:B112,2,FALSE)="Sever",Backdoors!AY43/100,IF(VLOOKUP(A41,tbMoveset!A2:B112,2,FALSE)="Blunt",Backdoors!AZ43/100,Backdoors!BA43/100)),"")</f>
        <v/>
      </c>
      <c r="JW41" s="49">
        <f>IFERROR(IF(VLOOKUP(tbMoveset!A41,tbMoveset!A2:H112,8,FALSE)="Other",IF(VLOOKUP(tbMoveset!A41,tbMoveset!A2:I112,9,FALSE)="Fire",Backdoors!BB43,IF(VLOOKUP(tbMoveset!A41,tbMoveset!A2:I112,9,FALSE)="Water",Backdoors!BC43,IF(VLOOKUP(tbMoveset!A41,tbMoveset!A2:I112,9,FALSE)="Thunder",Backdoors!BD43,IF(VLOOKUP(tbMoveset!A41,tbMoveset!A2:I112,9,FALSE)="Ice",Backdoors!BE43,IF(VLOOKUP(tbMoveset!A41,tbMoveset!A2:I112,9,FALSE)="Dragon",Backdoors!BF43,Backdoors!BG43)))))/100,Backdoors!BG43/100),"")</f>
        <v>0</v>
      </c>
      <c r="JX41" s="49">
        <f>IFERROR(IF(VLOOKUP(A41,tbMoveset!A2:J112,10,FALSE)=TRUE,IF((Backdoors!AI12+IF(JV41&gt;=0.45,VLOOKUP(Calculator!E23,tbSkills!DH3:DI6,2,FALSE)+IF(AND(Calculator!B8=TRUE,Backdoors!BI43=TRUE),VLOOKUP(Calculator!E23,tbSkills!DH3:DJ6,3,FALSE),0),0))&gt;=0,1+(Backdoors!AL2*(IF((Backdoors!AI12+IF(JV41&gt;=0.45,VLOOKUP(Calculator!E23,tbSkills!DH3:DI6,2,FALSE)+IF(AND(Calculator!B8=TRUE,Backdoors!BI43=TRUE),VLOOKUP(Calculator!E23,tbSkills!DH3:DJ6,3,FALSE),0),0))&gt;=100,100,(Backdoors!AI12+IF(JV41&gt;=0.45,VLOOKUP(Calculator!E23,tbSkills!DH3:DI6,2,FALSE)+IF(AND(Calculator!B8=TRUE,Backdoors!BI43=TRUE),VLOOKUP(Calculator!E23,tbSkills!DH3:DJ6,3,FALSE),0),0)))/100)),(1-(0.25*((-Backdoors!AI12-IF(JV41&gt;=0.45,VLOOKUP(Calculator!E23,tbSkills!DH3:DI6,2,FALSE)+IF(AND(Calculator!B8=TRUE,Backdoors!BI43=TRUE),VLOOKUP(Calculator!E23,tbSkills!DH3:DJ6,3,FALSE),0),0))/100)))),1),"")</f>
        <v>1</v>
      </c>
      <c r="JY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V41)*JX41)*(VLOOKUP(A41,tbMoveset!A2:C112,3,FALSE)/100)*IF(VLOOKUP(A41,tbMoveset!A2:B112,2,FALSE)="Projectile",Backdoors!N10,Backdoors!N9),0),"")</f>
        <v/>
      </c>
      <c r="JZ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46&gt;0,VLOOKUP(Calculator!E46,tbSkills!AC3:AD5,2,FALSE),Backdoors!AL3)*(IF((Backdoors!AI12+IF(JV41&gt;=0.45,VLOOKUP(Calculator!E23,tbSkills!DH3:DI6,2,FALSE)+IF(AND(Calculator!B8=TRUE,Backdoors!BI43=TRUE),VLOOKUP(Calculator!E23,tbSkills!DH3:DJ6,3,FALSE),0),0))&gt;=100,100,(Backdoors!AI12+IF(JV41&gt;=0.45,VLOOKUP(Calculator!E23,tbSkills!DH3:DI6,2,FALSE)+IF(AND(Calculator!B8=TRUE,Backdoors!BI43=TRUE),VLOOKUP(Calculator!E23,tbSkills!DH3:DJ6,3,FALSE),0),0)))/100)),1))*IF(VLOOKUP(A41,tbMoveset!A2:K112,11,FALSE)=TRUE,Backdoors!AC5,1))*JW41,0),"")</f>
        <v/>
      </c>
      <c r="KA41" s="49">
        <f>VLOOKUP(A41,tbMoveset!A2:G112,7,FALSE)*IFERROR(IF(Backdoors!AI12&gt;=0,1+(IF(Calculator!E40&gt;0,VLOOKUP(Calculator!E40,tbSkills!AI3:AJ5,2,FALSE),Backdoors!AL4)*(IF((Backdoors!AI12+IF(JV41&gt;=0.45,VLOOKUP(Calculator!E23,tbSkills!DH3:DI6,2,FALSE)+IF(AND(Calculator!B8=TRUE,Backdoors!BI43=TRUE),VLOOKUP(Calculator!E23,tbSkills!DH3:DJ6,3,FALSE),0),0))&gt;=100,100,(Backdoors!AI12+IF(JV41&gt;=0.45,VLOOKUP(Calculator!E23,tbSkills!DH3:DI6,2,FALSE)+IF(AND(Calculator!B8=TRUE,Backdoors!BI43=TRUE),VLOOKUP(Calculator!E23,tbSkills!DH3:DJ6,3,FALSE),0),0)))/100)),1),1)</f>
        <v>0.5</v>
      </c>
      <c r="KB41" s="87">
        <f t="shared" si="32"/>
        <v>0</v>
      </c>
      <c r="KC41" s="86" t="str">
        <f>IFERROR(IF(VLOOKUP(A41,tbMoveset!A2:B112,2,FALSE)="Sever",Backdoors!AY44/100,IF(VLOOKUP(A41,tbMoveset!A2:B112,2,FALSE)="Blunt",Backdoors!AZ44/100,Backdoors!BA44/100)),"")</f>
        <v/>
      </c>
      <c r="KD41" s="49">
        <f>IFERROR(IF(VLOOKUP(tbMoveset!A41,tbMoveset!A2:H112,8,FALSE)="Other",IF(VLOOKUP(tbMoveset!A41,tbMoveset!A2:I112,9,FALSE)="Fire",Backdoors!BB44,IF(VLOOKUP(tbMoveset!A41,tbMoveset!A2:I112,9,FALSE)="Water",Backdoors!BC44,IF(VLOOKUP(tbMoveset!A41,tbMoveset!A2:I112,9,FALSE)="Thunder",Backdoors!BD44,IF(VLOOKUP(tbMoveset!A41,tbMoveset!A2:I112,9,FALSE)="Ice",Backdoors!BE44,IF(VLOOKUP(tbMoveset!A41,tbMoveset!A2:I112,9,FALSE)="Dragon",Backdoors!BF44,Backdoors!BG44)))))/100,Backdoors!BG44/100),"")</f>
        <v>0</v>
      </c>
      <c r="KE41" s="49">
        <f>IFERROR(IF(VLOOKUP(A41,tbMoveset!A2:J112,10,FALSE)=TRUE,IF((Backdoors!AI12+IF(KC41&gt;=0.45,VLOOKUP(Calculator!E23,tbSkills!DH3:DI6,2,FALSE)+IF(AND(Calculator!B8=TRUE,Backdoors!BI44=TRUE),VLOOKUP(Calculator!E23,tbSkills!DH3:DJ6,3,FALSE),0),0))&gt;=0,1+(Backdoors!AL2*(IF((Backdoors!AI12+IF(KC41&gt;=0.45,VLOOKUP(Calculator!E23,tbSkills!DH3:DI6,2,FALSE)+IF(AND(Calculator!B8=TRUE,Backdoors!BI44=TRUE),VLOOKUP(Calculator!E23,tbSkills!DH3:DJ6,3,FALSE),0),0))&gt;=100,100,(Backdoors!AI12+IF(KC41&gt;=0.45,VLOOKUP(Calculator!E23,tbSkills!DH3:DI6,2,FALSE)+IF(AND(Calculator!B8=TRUE,Backdoors!BI44=TRUE),VLOOKUP(Calculator!E23,tbSkills!DH3:DJ6,3,FALSE),0),0)))/100)),(1-(0.25*((-Backdoors!AI12-IF(KC41&gt;=0.45,VLOOKUP(Calculator!E23,tbSkills!DH3:DI6,2,FALSE)+IF(AND(Calculator!B8=TRUE,Backdoors!BI44=TRUE),VLOOKUP(Calculator!E23,tbSkills!DH3:DJ6,3,FALSE),0),0))/100)))),1),"")</f>
        <v>1</v>
      </c>
      <c r="KF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KC41)*KE41)*(VLOOKUP(A41,tbMoveset!A2:C112,3,FALSE)/100)*IF(VLOOKUP(A41,tbMoveset!A2:B112,2,FALSE)="Projectile",Backdoors!N10,Backdoors!N9),0),"")</f>
        <v/>
      </c>
      <c r="KG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REF!&gt;0,VLOOKUP(Calculator!#REF!,tbSkills!AC3:AD5,2,FALSE),Backdoors!AL3)*(IF((Backdoors!AI12+IF(KC41&gt;=0.45,VLOOKUP(Calculator!E23,tbSkills!DH3:DI6,2,FALSE)+IF(AND(Calculator!B8=TRUE,Backdoors!BI44=TRUE),VLOOKUP(Calculator!E23,tbSkills!DH3:DJ6,3,FALSE),0),0))&gt;=100,100,(Backdoors!AI12+IF(KC41&gt;=0.45,VLOOKUP(Calculator!E23,tbSkills!DH3:DI6,2,FALSE)+IF(AND(Calculator!B8=TRUE,Backdoors!BI44=TRUE),VLOOKUP(Calculator!E23,tbSkills!DH3:DJ6,3,FALSE),0),0)))/100)),1))*IF(VLOOKUP(A41,tbMoveset!A2:K112,11,FALSE)=TRUE,Backdoors!AC5,1))*KD41,0),"")</f>
        <v/>
      </c>
      <c r="KH41" s="49">
        <f>VLOOKUP(A41,tbMoveset!A2:G112,7,FALSE)*IFERROR(IF(Backdoors!AI12&gt;=0,1+(IF(Calculator!E40&gt;0,VLOOKUP(Calculator!E40,tbSkills!AI3:AJ5,2,FALSE),Backdoors!AL4)*(IF((Backdoors!AI12+IF(KC41&gt;=0.45,VLOOKUP(Calculator!E23,tbSkills!DH3:DI6,2,FALSE)+IF(AND(Calculator!B8=TRUE,Backdoors!BI44=TRUE),VLOOKUP(Calculator!E23,tbSkills!DH3:DJ6,3,FALSE),0),0))&gt;=100,100,(Backdoors!AI12+IF(KC41&gt;=0.45,VLOOKUP(Calculator!E23,tbSkills!DH3:DI6,2,FALSE)+IF(AND(Calculator!B8=TRUE,Backdoors!BI44=TRUE),VLOOKUP(Calculator!E23,tbSkills!DH3:DJ6,3,FALSE),0),0)))/100)),1),1)</f>
        <v>0.5</v>
      </c>
      <c r="KI41" s="87">
        <f t="shared" si="33"/>
        <v>0</v>
      </c>
      <c r="KJ41" s="86" t="str">
        <f>IFERROR(IF(VLOOKUP(A41,tbMoveset!A2:B112,2,FALSE)="Sever",Backdoors!AY45/100,IF(VLOOKUP(A41,tbMoveset!A2:B112,2,FALSE)="Blunt",Backdoors!AZ45/100,Backdoors!BA45/100)),"")</f>
        <v/>
      </c>
      <c r="KK41" s="49">
        <f>IFERROR(IF(VLOOKUP(tbMoveset!A41,tbMoveset!A2:H112,8,FALSE)="Other",IF(VLOOKUP(tbMoveset!A41,tbMoveset!A2:I112,9,FALSE)="Fire",Backdoors!BB45,IF(VLOOKUP(tbMoveset!A41,tbMoveset!A2:I112,9,FALSE)="Water",Backdoors!BC45,IF(VLOOKUP(tbMoveset!A41,tbMoveset!A2:I112,9,FALSE)="Thunder",Backdoors!BD45,IF(VLOOKUP(tbMoveset!A41,tbMoveset!A2:I112,9,FALSE)="Ice",Backdoors!BE45,IF(VLOOKUP(tbMoveset!A41,tbMoveset!A2:I112,9,FALSE)="Dragon",Backdoors!BF45,Backdoors!BG45)))))/100,Backdoors!BG45/100),"")</f>
        <v>0</v>
      </c>
      <c r="KL41" s="49">
        <f>IFERROR(IF(VLOOKUP(A41,tbMoveset!A2:J112,10,FALSE)=TRUE,IF((Backdoors!AI12+IF(KJ41&gt;=0.45,VLOOKUP(Calculator!E23,tbSkills!DH3:DI6,2,FALSE)+IF(AND(Calculator!B8=TRUE,Backdoors!BI45=TRUE),VLOOKUP(Calculator!E23,tbSkills!DH3:DJ6,3,FALSE),0),0))&gt;=0,1+(Backdoors!AL2*(IF((Backdoors!AI12+IF(KJ41&gt;=0.45,VLOOKUP(Calculator!E23,tbSkills!DH3:DI6,2,FALSE)+IF(AND(Calculator!B8=TRUE,Backdoors!BI45=TRUE),VLOOKUP(Calculator!E23,tbSkills!DH3:DJ6,3,FALSE),0),0))&gt;=100,100,(Backdoors!AI12+IF(KJ41&gt;=0.45,VLOOKUP(Calculator!E23,tbSkills!DH3:DI6,2,FALSE)+IF(AND(Calculator!B8=TRUE,Backdoors!BI45=TRUE),VLOOKUP(Calculator!E23,tbSkills!DH3:DJ6,3,FALSE),0),0)))/100)),(1-(0.25*((-Backdoors!AI12-IF(KJ41&gt;=0.45,VLOOKUP(Calculator!E23,tbSkills!DH3:DI6,2,FALSE)+IF(AND(Calculator!B8=TRUE,Backdoors!BI45=TRUE),VLOOKUP(Calculator!E23,tbSkills!DH3:DJ6,3,FALSE),0),0))/100)))),1),"")</f>
        <v>1</v>
      </c>
      <c r="KM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KJ41)*KL41)*(VLOOKUP(A41,tbMoveset!A2:C112,3,FALSE)/100)*IF(VLOOKUP(A41,tbMoveset!A2:B112,2,FALSE)="Projectile",Backdoors!N10,Backdoors!N9),0),"")</f>
        <v/>
      </c>
      <c r="KN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REF!&gt;0,VLOOKUP(Calculator!#REF!,tbSkills!AC3:AD5,2,FALSE),Backdoors!AL3)*(IF((Backdoors!AI12+IF(KJ41&gt;=0.45,VLOOKUP(Calculator!E23,tbSkills!DH3:DI6,2,FALSE)+IF(AND(Calculator!B8=TRUE,Backdoors!BI45=TRUE),VLOOKUP(Calculator!E23,tbSkills!DH3:DJ6,3,FALSE),0),0))&gt;=100,100,(Backdoors!AI12+IF(KJ41&gt;=0.45,VLOOKUP(Calculator!E23,tbSkills!DH3:DI6,2,FALSE)+IF(AND(Calculator!B8=TRUE,Backdoors!BI45=TRUE),VLOOKUP(Calculator!E23,tbSkills!DH3:DJ6,3,FALSE),0),0)))/100)),1))*IF(VLOOKUP(A41,tbMoveset!A2:K112,11,FALSE)=TRUE,Backdoors!AC5,1))*KK41,0),"")</f>
        <v/>
      </c>
      <c r="KO41" s="49">
        <f>VLOOKUP(A41,tbMoveset!A2:G112,7,FALSE)*IFERROR(IF(Backdoors!AI12&gt;=0,1+(IF(Calculator!E40&gt;0,VLOOKUP(Calculator!E40,tbSkills!AI3:AJ5,2,FALSE),Backdoors!AL4)*(IF((Backdoors!AI12+IF(KJ41&gt;=0.45,VLOOKUP(Calculator!E23,tbSkills!DH3:DI6,2,FALSE)+IF(AND(Calculator!B8=TRUE,Backdoors!BI45=TRUE),VLOOKUP(Calculator!E23,tbSkills!DH3:DJ6,3,FALSE),0),0))&gt;=100,100,(Backdoors!AI12+IF(KJ41&gt;=0.45,VLOOKUP(Calculator!E23,tbSkills!DH3:DI6,2,FALSE)+IF(AND(Calculator!B8=TRUE,Backdoors!BI45=TRUE),VLOOKUP(Calculator!E23,tbSkills!DH3:DJ6,3,FALSE),0),0)))/100)),1),1)</f>
        <v>0.5</v>
      </c>
      <c r="KP41" s="87">
        <f t="shared" si="34"/>
        <v>0</v>
      </c>
      <c r="KQ41" s="86" t="str">
        <f>IFERROR(IF(VLOOKUP(A41,tbMoveset!A2:B112,2,FALSE)="Sever",Backdoors!AY46/100,IF(VLOOKUP(A41,tbMoveset!A2:B112,2,FALSE)="Blunt",Backdoors!AZ46/100,Backdoors!BA46/100)),"")</f>
        <v/>
      </c>
      <c r="KR41" s="49">
        <f>IFERROR(IF(VLOOKUP(tbMoveset!A41,tbMoveset!A2:H112,8,FALSE)="Other",IF(VLOOKUP(tbMoveset!A41,tbMoveset!A2:I112,9,FALSE)="Fire",Backdoors!BB46,IF(VLOOKUP(tbMoveset!A41,tbMoveset!A2:I112,9,FALSE)="Water",Backdoors!BC46,IF(VLOOKUP(tbMoveset!A41,tbMoveset!A2:I112,9,FALSE)="Thunder",Backdoors!BD46,IF(VLOOKUP(tbMoveset!A41,tbMoveset!A2:I112,9,FALSE)="Ice",Backdoors!BE46,IF(VLOOKUP(tbMoveset!A41,tbMoveset!A2:I112,9,FALSE)="Dragon",Backdoors!BF46,Backdoors!BG46)))))/100,Backdoors!BG46/100),"")</f>
        <v>0</v>
      </c>
      <c r="KS41" s="49">
        <f>IFERROR(IF(VLOOKUP(A41,tbMoveset!A2:J112,10,FALSE)=TRUE,IF((Backdoors!AI12+IF(KQ41&gt;=0.45,VLOOKUP(Calculator!E23,tbSkills!DH3:DI6,2,FALSE)+IF(AND(Calculator!B8=TRUE,Backdoors!BI46=TRUE),VLOOKUP(Calculator!E23,tbSkills!DH3:DJ6,3,FALSE),0),0))&gt;=0,1+(Backdoors!AL2*(IF((Backdoors!AI12+IF(KQ41&gt;=0.45,VLOOKUP(Calculator!E23,tbSkills!DH3:DI6,2,FALSE)+IF(AND(Calculator!B8=TRUE,Backdoors!BI46=TRUE),VLOOKUP(Calculator!E23,tbSkills!DH3:DJ6,3,FALSE),0),0))&gt;=100,100,(Backdoors!AI12+IF(KQ41&gt;=0.45,VLOOKUP(Calculator!E23,tbSkills!DH3:DI6,2,FALSE)+IF(AND(Calculator!B8=TRUE,Backdoors!BI46=TRUE),VLOOKUP(Calculator!E23,tbSkills!DH3:DJ6,3,FALSE),0),0)))/100)),(1-(0.25*((-Backdoors!AI12-IF(KQ41&gt;=0.45,VLOOKUP(Calculator!E23,tbSkills!DH3:DI6,2,FALSE)+IF(AND(Calculator!B8=TRUE,Backdoors!BI46=TRUE),VLOOKUP(Calculator!E23,tbSkills!DH3:DJ6,3,FALSE),0),0))/100)))),1),"")</f>
        <v>1</v>
      </c>
      <c r="KT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KQ41)*KS41)*(VLOOKUP(A41,tbMoveset!A2:C112,3,FALSE)/100)*IF(VLOOKUP(A41,tbMoveset!A2:B112,2,FALSE)="Projectile",Backdoors!N10,Backdoors!N9),0),"")</f>
        <v/>
      </c>
      <c r="KU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REF!&gt;0,VLOOKUP(Calculator!#REF!,tbSkills!AC3:AD5,2,FALSE),Backdoors!AL3)*(IF((Backdoors!AI12+IF(KQ41&gt;=0.45,VLOOKUP(Calculator!E23,tbSkills!DH3:DI6,2,FALSE)+IF(AND(Calculator!B8=TRUE,Backdoors!BI46=TRUE),VLOOKUP(Calculator!E23,tbSkills!DH3:DJ6,3,FALSE),0),0))&gt;=100,100,(Backdoors!AI12+IF(KQ41&gt;=0.45,VLOOKUP(Calculator!E23,tbSkills!DH3:DI6,2,FALSE)+IF(AND(Calculator!B8=TRUE,Backdoors!BI46=TRUE),VLOOKUP(Calculator!E23,tbSkills!DH3:DJ6,3,FALSE),0),0)))/100)),1))*IF(VLOOKUP(A41,tbMoveset!A2:K112,11,FALSE)=TRUE,Backdoors!AC5,1))*KR41,0),"")</f>
        <v/>
      </c>
      <c r="KV41" s="49">
        <f>VLOOKUP(A41,tbMoveset!A2:G112,7,FALSE)*IFERROR(IF(Backdoors!AI12&gt;=0,1+(IF(Calculator!E40&gt;0,VLOOKUP(Calculator!E40,tbSkills!AI3:AJ5,2,FALSE),Backdoors!AL4)*(IF((Backdoors!AI12+IF(KQ41&gt;=0.45,VLOOKUP(Calculator!E23,tbSkills!DH3:DI6,2,FALSE)+IF(AND(Calculator!B8=TRUE,Backdoors!BI46=TRUE),VLOOKUP(Calculator!E23,tbSkills!DH3:DJ6,3,FALSE),0),0))&gt;=100,100,(Backdoors!AI12+IF(KQ41&gt;=0.45,VLOOKUP(Calculator!E23,tbSkills!DH3:DI6,2,FALSE)+IF(AND(Calculator!B8=TRUE,Backdoors!BI46=TRUE),VLOOKUP(Calculator!E23,tbSkills!DH3:DJ6,3,FALSE),0),0)))/100)),1),1)</f>
        <v>0.5</v>
      </c>
      <c r="KW41" s="87">
        <f t="shared" si="35"/>
        <v>0</v>
      </c>
    </row>
    <row r="42" spans="1:309" x14ac:dyDescent="0.25">
      <c r="A42" s="95" t="str">
        <f>tbMoveset!A42</f>
        <v>Sixfold Demon Slash (L2)</v>
      </c>
      <c r="B42" s="86">
        <f>IFERROR(IF(VLOOKUP(A42,tbMoveset!A2:B112,2,FALSE)="Sever",Backdoors!AY3/100,IF(VLOOKUP(A42,tbMoveset!A2:B112,2,FALSE)="Blunt",Backdoors!AZ3/100,Backdoors!BA3/100)),"")</f>
        <v>0.8</v>
      </c>
      <c r="C42" s="49">
        <f>IFERROR(IF(VLOOKUP(tbMoveset!A42,tbMoveset!A2:H112,8,FALSE)="Other",IF(VLOOKUP(tbMoveset!A42,tbMoveset!A2:I112,9,FALSE)="Fire",Backdoors!BB3,IF(VLOOKUP(tbMoveset!A42,tbMoveset!A2:I112,9,FALSE)="Water",Backdoors!BC3,IF(VLOOKUP(tbMoveset!A42,tbMoveset!A2:I112,9,FALSE)="Thunder",Backdoors!BD3,IF(VLOOKUP(tbMoveset!A42,tbMoveset!A2:I112,9,FALSE)="Ice",Backdoors!BE3,IF(VLOOKUP(tbMoveset!A42,tbMoveset!A2:I112,9,FALSE)="Dragon",Backdoors!BF3,Backdoors!BG3)))))/100,Backdoors!BG3/100),"")</f>
        <v>0</v>
      </c>
      <c r="D42" s="49">
        <f>IFERROR(IF(VLOOKUP(A42,tbMoveset!A2:J112,10,FALSE)=TRUE,IF((Backdoors!AI12+IF(B42&gt;=0.45,VLOOKUP(Calculator!E23,tbSkills!DH3:DI6,2,FALSE)+IF(AND(Calculator!B8=TRUE,Backdoors!BI3=TRUE),VLOOKUP(Calculator!E23,tbSkills!DH3:DJ6,3,FALSE),0),0))&gt;=0,1+(Backdoors!AL2*(IF((Backdoors!AI12+IF(B42&gt;=0.45,VLOOKUP(Calculator!E23,tbSkills!DH3:DI6,2,FALSE)+IF(AND(Calculator!B8=TRUE,Backdoors!BI3=TRUE),VLOOKUP(Calculator!E23,tbSkills!DH3:DJ6,3,FALSE),0),0))&gt;=100,100,(Backdoors!AI12+IF(B42&gt;=0.45,VLOOKUP(Calculator!E23,tbSkills!DH3:DI6,2,FALSE)+IF(AND(Calculator!B8=TRUE,Backdoors!BI3=TRUE),VLOOKUP(Calculator!E23,tbSkills!DH3:DJ6,3,FALSE),0),0)))/100)),(1-(0.25*((-Backdoors!AI12-IF(B42&gt;=0.45,VLOOKUP(Calculator!E23,tbSkills!DH3:DI6,2,FALSE)+IF(AND(Calculator!B8=TRUE,Backdoors!BI3=TRUE),VLOOKUP(Calculator!E23,tbSkills!DH3:DJ6,3,FALSE),0),0))/100)))),1),"")</f>
        <v>1</v>
      </c>
      <c r="E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42)*D42)*(VLOOKUP(A42,tbMoveset!A2:C112,3,FALSE)/100)*IF(VLOOKUP(A42,tbMoveset!A2:B112,2,FALSE)="Projectile",Backdoors!N10,Backdoors!N9),0),"")</f>
        <v>6</v>
      </c>
      <c r="F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42&gt;=0.45,VLOOKUP(Calculator!E23,tbSkills!DH3:DI6,2,FALSE)+IF(AND(Calculator!B8=TRUE,Backdoors!BI3=TRUE),VLOOKUP(Calculator!E23,tbSkills!DH3:DJ6,3,FALSE),0),0))&gt;=100,100,(Backdoors!AI12+IF(B42&gt;=0.45,VLOOKUP(Calculator!E23,tbSkills!DH3:DI6,2,FALSE)+IF(AND(Calculator!B8=TRUE,Backdoors!BI3=TRUE),VLOOKUP(Calculator!E23,tbSkills!DH3:DJ6,3,FALSE),0),0)))/100)),1))*IF(VLOOKUP(A42,tbMoveset!A2:K112,11,FALSE)=TRUE,Backdoors!AC5,1))*C42,0),"")</f>
        <v>0</v>
      </c>
      <c r="G42">
        <f>VLOOKUP(A42,tbMoveset!A2:G112,7,FALSE)*IFERROR(IF(Backdoors!AI12&gt;=0,1+(IF(Calculator!E40&gt;0,VLOOKUP(Calculator!E40,tbSkills!AI3:AJ5,2,FALSE),Backdoors!AL4)*(IF((Backdoors!AI12+IF(B42&gt;=0.45,VLOOKUP(Calculator!E23,tbSkills!DH3:DI6,2,FALSE)+IF(AND(Calculator!B8=TRUE,Backdoors!BI3=TRUE),VLOOKUP(Calculator!E23,tbSkills!DH3:DJ6,3,FALSE),0),0))&gt;=100,100,(Backdoors!AI12+IF(B42&gt;=0.45,VLOOKUP(Calculator!E23,tbSkills!DH3:DI6,2,FALSE)+IF(AND(Calculator!B8=TRUE,Backdoors!BI3=TRUE),VLOOKUP(Calculator!E23,tbSkills!DH3:DJ6,3,FALSE),0),0)))/100)),1),1)</f>
        <v>0.5</v>
      </c>
      <c r="H42" s="87">
        <f t="shared" si="44"/>
        <v>6</v>
      </c>
      <c r="I42" s="86">
        <f>IFERROR(IF(VLOOKUP(A42,tbMoveset!A2:B112,2,FALSE)="Sever",Backdoors!AY4/100,IF(VLOOKUP(A42,tbMoveset!A2:B112,2,FALSE)="Blunt",Backdoors!AZ4/100,Backdoors!BA4/100)),"")</f>
        <v>0.65</v>
      </c>
      <c r="J42" s="49">
        <f>IFERROR(IF(VLOOKUP(tbMoveset!A42,tbMoveset!A2:H112,8,FALSE)="Other",IF(VLOOKUP(tbMoveset!A42,tbMoveset!A2:I112,9,FALSE)="Fire",Backdoors!BB4,IF(VLOOKUP(tbMoveset!A42,tbMoveset!A2:I112,9,FALSE)="Water",Backdoors!BC4,IF(VLOOKUP(tbMoveset!A42,tbMoveset!A2:I112,9,FALSE)="Thunder",Backdoors!BD4,IF(VLOOKUP(tbMoveset!A42,tbMoveset!A2:I112,9,FALSE)="Ice",Backdoors!BE4,IF(VLOOKUP(tbMoveset!A42,tbMoveset!A2:I112,9,FALSE)="Dragon",Backdoors!BF4,Backdoors!BG4)))))/100,Backdoors!BG4/100),"")</f>
        <v>0</v>
      </c>
      <c r="K42" s="49">
        <f>IFERROR(IF(VLOOKUP(A42,tbMoveset!A2:J112,10,FALSE)=TRUE,IF((Backdoors!AI12+IF(I42&gt;=0.45,VLOOKUP(Calculator!E23,tbSkills!DH3:DI6,2,FALSE)+IF(AND(Calculator!B8=TRUE,Backdoors!BI4=TRUE),VLOOKUP(Calculator!E23,tbSkills!DH3:DJ6,3,FALSE),0),0))&gt;=0,1+(Backdoors!AL2*(IF((Backdoors!AI12+IF(I42&gt;=0.45,VLOOKUP(Calculator!E23,tbSkills!DH3:DI6,2,FALSE)+IF(AND(Calculator!B8=TRUE,Backdoors!BI4=TRUE),VLOOKUP(Calculator!E23,tbSkills!DH3:DJ6,3,FALSE),0),0))&gt;=100,100,(Backdoors!AI12+IF(I42&gt;=0.45,VLOOKUP(Calculator!E23,tbSkills!DH3:DI6,2,FALSE)+IF(AND(Calculator!B8=TRUE,Backdoors!BI4=TRUE),VLOOKUP(Calculator!E23,tbSkills!DH3:DJ6,3,FALSE),0),0)))/100)),(1-(0.25*((-Backdoors!AI12-IF(I42&gt;=0.45,VLOOKUP(Calculator!E23,tbSkills!DH3:DI6,2,FALSE)+IF(AND(Calculator!B8=TRUE,Backdoors!BI4=TRUE),VLOOKUP(Calculator!E23,tbSkills!DH3:DJ6,3,FALSE),0),0))/100)))),1),"")</f>
        <v>1</v>
      </c>
      <c r="L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42)*K42)*(VLOOKUP(A42,tbMoveset!A2:C112,3,FALSE)/100)*IF(VLOOKUP(A42,tbMoveset!A2:B112,2,FALSE)="Projectile",Backdoors!N10,Backdoors!N9),0),"")</f>
        <v>5</v>
      </c>
      <c r="M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I42&gt;=0.45,VLOOKUP(Calculator!E23,tbSkills!DH3:DI6,2,FALSE)+IF(AND(Calculator!B8=TRUE,Backdoors!BI4=TRUE),VLOOKUP(Calculator!E23,tbSkills!DH3:DJ6,3,FALSE),0),0))&gt;=100,100,(Backdoors!AI12+IF(I42&gt;=0.45,VLOOKUP(Calculator!E23,tbSkills!DH3:DI6,2,FALSE)+IF(AND(Calculator!B8=TRUE,Backdoors!BI4=TRUE),VLOOKUP(Calculator!E23,tbSkills!DH3:DJ6,3,FALSE),0),0)))/100)),1))*IF(VLOOKUP(A42,tbMoveset!A2:K112,11,FALSE)=TRUE,Backdoors!AC5,1))*J42,0),"")</f>
        <v>0</v>
      </c>
      <c r="N42" s="49">
        <f>VLOOKUP(A42,tbMoveset!A2:G112,7,FALSE)*IFERROR(IF(Backdoors!AI12&gt;=0,1+(IF(Calculator!E40&gt;0,VLOOKUP(Calculator!E40,tbSkills!AI3:AJ5,2,FALSE),Backdoors!AL4)*(IF((Backdoors!AI12+IF(I42&gt;=0.45,VLOOKUP(Calculator!E23,tbSkills!DH3:DI6,2,FALSE)+IF(AND(Calculator!B8=TRUE,Backdoors!BI4=TRUE),VLOOKUP(Calculator!E23,tbSkills!DH3:DJ6,3,FALSE),0),0))&gt;=100,100,(Backdoors!AI12+IF(I42&gt;=0.45,VLOOKUP(Calculator!E23,tbSkills!DH3:DI6,2,FALSE)+IF(AND(Calculator!B8=TRUE,Backdoors!BI4=TRUE),VLOOKUP(Calculator!E23,tbSkills!DH3:DJ6,3,FALSE),0),0)))/100)),1),1)</f>
        <v>0.5</v>
      </c>
      <c r="O42" s="87">
        <f t="shared" si="45"/>
        <v>5</v>
      </c>
      <c r="P42" s="86">
        <f>IFERROR(IF(VLOOKUP(A42,tbMoveset!A2:B112,2,FALSE)="Sever",Backdoors!AY5/100,IF(VLOOKUP(A42,tbMoveset!A2:B112,2,FALSE)="Blunt",Backdoors!AZ5/100,Backdoors!BA5/100)),"")</f>
        <v>0.5</v>
      </c>
      <c r="Q42" s="49">
        <f>IFERROR(IF(VLOOKUP(tbMoveset!A42,tbMoveset!A2:H112,8,FALSE)="Other",IF(VLOOKUP(tbMoveset!A42,tbMoveset!A2:I112,9,FALSE)="Fire",Backdoors!BB5,IF(VLOOKUP(tbMoveset!A42,tbMoveset!A2:I112,9,FALSE)="Water",Backdoors!BC5,IF(VLOOKUP(tbMoveset!A42,tbMoveset!A2:I112,9,FALSE)="Thunder",Backdoors!BD5,IF(VLOOKUP(tbMoveset!A42,tbMoveset!A2:I112,9,FALSE)="Ice",Backdoors!BE5,IF(VLOOKUP(tbMoveset!A42,tbMoveset!A2:I112,9,FALSE)="Dragon",Backdoors!BF5,Backdoors!BG5)))))/100,Backdoors!BG5/100),"")</f>
        <v>0</v>
      </c>
      <c r="R42" s="49">
        <f>IFERROR(IF(VLOOKUP(A42,tbMoveset!A2:J112,10,FALSE)=TRUE,IF((Backdoors!AI12+IF(P42&gt;=0.45,VLOOKUP(Calculator!E23,tbSkills!DH3:DI6,2,FALSE)+IF(AND(Calculator!B8=TRUE,Backdoors!BI5=TRUE),VLOOKUP(Calculator!E23,tbSkills!DH3:DJ6,3,FALSE),0),0))&gt;=0,1+(Backdoors!AL2*(IF((Backdoors!AI12+IF(P42&gt;=0.45,VLOOKUP(Calculator!E23,tbSkills!DH3:DI6,2,FALSE)+IF(AND(Calculator!B8=TRUE,Backdoors!BI5=TRUE),VLOOKUP(Calculator!E23,tbSkills!DH3:DJ6,3,FALSE),0),0))&gt;=100,100,(Backdoors!AI12+IF(P42&gt;=0.45,VLOOKUP(Calculator!E23,tbSkills!DH3:DI6,2,FALSE)+IF(AND(Calculator!B8=TRUE,Backdoors!BI5=TRUE),VLOOKUP(Calculator!E23,tbSkills!DH3:DJ6,3,FALSE),0),0)))/100)),(1-(0.25*((-Backdoors!AI12-IF(P42&gt;=0.45,VLOOKUP(Calculator!E23,tbSkills!DH3:DI6,2,FALSE)+IF(AND(Calculator!B8=TRUE,Backdoors!BI5=TRUE),VLOOKUP(Calculator!E23,tbSkills!DH3:DJ6,3,FALSE),0),0))/100)))),1),"")</f>
        <v>1</v>
      </c>
      <c r="S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P42)*R42)*(VLOOKUP(A42,tbMoveset!A2:C112,3,FALSE)/100)*IF(VLOOKUP(A42,tbMoveset!A2:B112,2,FALSE)="Projectile",Backdoors!N10,Backdoors!N9),0),"")</f>
        <v>4</v>
      </c>
      <c r="T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P42&gt;=0.45,VLOOKUP(Calculator!E23,tbSkills!DH3:DI6,2,FALSE)+IF(AND(Calculator!B8=TRUE,Backdoors!BI5=TRUE),VLOOKUP(Calculator!E23,tbSkills!DH3:DJ6,3,FALSE),0),0))&gt;=100,100,(Backdoors!AI12+IF(P42&gt;=0.45,VLOOKUP(Calculator!E23,tbSkills!DH3:DI6,2,FALSE)+IF(AND(Calculator!B8=TRUE,Backdoors!BI5=TRUE),VLOOKUP(Calculator!E23,tbSkills!DH3:DJ6,3,FALSE),0),0)))/100)),1))*IF(VLOOKUP(A42,tbMoveset!A2:K112,11,FALSE)=TRUE,Backdoors!AC5,1))*Q42,0),"")</f>
        <v>0</v>
      </c>
      <c r="U42" s="49">
        <f>VLOOKUP(A42,tbMoveset!A2:G112,7,FALSE)*IFERROR(IF(Backdoors!AI12&gt;=0,1+(IF(Calculator!E40&gt;0,VLOOKUP(Calculator!E40,tbSkills!AI3:AJ5,2,FALSE),Backdoors!AL4)*(IF((Backdoors!AI12+IF(P42&gt;=0.45,VLOOKUP(Calculator!E23,tbSkills!DH3:DI6,2,FALSE)+IF(AND(Calculator!B8=TRUE,Backdoors!BI5=TRUE),VLOOKUP(Calculator!E23,tbSkills!DH3:DJ6,3,FALSE),0),0))&gt;=100,100,(Backdoors!AI12+IF(P42&gt;=0.45,VLOOKUP(Calculator!E23,tbSkills!DH3:DI6,2,FALSE)+IF(AND(Calculator!B8=TRUE,Backdoors!BI5=TRUE),VLOOKUP(Calculator!E23,tbSkills!DH3:DJ6,3,FALSE),0),0)))/100)),1),1)</f>
        <v>0.5</v>
      </c>
      <c r="V42" s="87">
        <f t="shared" si="46"/>
        <v>4</v>
      </c>
      <c r="W42" s="86">
        <f>IFERROR(IF(VLOOKUP(A42,tbMoveset!A2:B112,2,FALSE)="Sever",Backdoors!AY6/100,IF(VLOOKUP(A42,tbMoveset!A2:B112,2,FALSE)="Blunt",Backdoors!AZ6/100,Backdoors!BA6/100)),"")</f>
        <v>0.45</v>
      </c>
      <c r="X42" s="49">
        <f>IFERROR(IF(VLOOKUP(tbMoveset!A42,tbMoveset!A2:H112,8,FALSE)="Other",IF(VLOOKUP(tbMoveset!A42,tbMoveset!A2:I112,9,FALSE)="Fire",Backdoors!BB6,IF(VLOOKUP(tbMoveset!A42,tbMoveset!A2:I112,9,FALSE)="Water",Backdoors!BC6,IF(VLOOKUP(tbMoveset!A42,tbMoveset!A2:I112,9,FALSE)="Thunder",Backdoors!BD6,IF(VLOOKUP(tbMoveset!A42,tbMoveset!A2:I112,9,FALSE)="Ice",Backdoors!BE6,IF(VLOOKUP(tbMoveset!A42,tbMoveset!A2:I112,9,FALSE)="Dragon",Backdoors!BF6,Backdoors!BG6)))))/100,Backdoors!BG6/100),"")</f>
        <v>0</v>
      </c>
      <c r="Y42" s="49">
        <f>IFERROR(IF(VLOOKUP(A42,tbMoveset!A2:J112,10,FALSE)=TRUE,IF((Backdoors!AI12+IF(W42&gt;=0.45,VLOOKUP(Calculator!E23,tbSkills!DH3:DI6,2,FALSE)+IF(AND(Calculator!B8=TRUE,Backdoors!BI6=TRUE),VLOOKUP(Calculator!E23,tbSkills!DH3:DJ6,3,FALSE),0),0))&gt;=0,1+(Backdoors!AL2*(IF((Backdoors!AI12+IF(W42&gt;=0.45,VLOOKUP(Calculator!E23,tbSkills!DH3:DI6,2,FALSE)+IF(AND(Calculator!B8=TRUE,Backdoors!BI6=TRUE),VLOOKUP(Calculator!E23,tbSkills!DH3:DJ6,3,FALSE),0),0))&gt;=100,100,(Backdoors!AI12+IF(W42&gt;=0.45,VLOOKUP(Calculator!E23,tbSkills!DH3:DI6,2,FALSE)+IF(AND(Calculator!B8=TRUE,Backdoors!BI6=TRUE),VLOOKUP(Calculator!E23,tbSkills!DH3:DJ6,3,FALSE),0),0)))/100)),(1-(0.25*((-Backdoors!AI12-IF(W42&gt;=0.45,VLOOKUP(Calculator!E23,tbSkills!DH3:DI6,2,FALSE)+IF(AND(Calculator!B8=TRUE,Backdoors!BI6=TRUE),VLOOKUP(Calculator!E23,tbSkills!DH3:DJ6,3,FALSE),0),0))/100)))),1),"")</f>
        <v>1</v>
      </c>
      <c r="Z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W42)*Y42)*(VLOOKUP(A42,tbMoveset!A2:C112,3,FALSE)/100)*IF(VLOOKUP(A42,tbMoveset!A2:B112,2,FALSE)="Projectile",Backdoors!N10,Backdoors!N9),0),"")</f>
        <v>3</v>
      </c>
      <c r="AA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W42&gt;=0.45,VLOOKUP(Calculator!E23,tbSkills!DH3:DI6,2,FALSE)+IF(AND(Calculator!B8=TRUE,Backdoors!BI6=TRUE),VLOOKUP(Calculator!E23,tbSkills!DH3:DJ6,3,FALSE),0),0))&gt;=100,100,(Backdoors!AI12+IF(W42&gt;=0.45,VLOOKUP(Calculator!E23,tbSkills!DH3:DI6,2,FALSE)+IF(AND(Calculator!B8=TRUE,Backdoors!BI6=TRUE),VLOOKUP(Calculator!E23,tbSkills!DH3:DJ6,3,FALSE),0),0)))/100)),1))*IF(VLOOKUP(A42,tbMoveset!A2:K112,11,FALSE)=TRUE,Backdoors!AC5,1))*X42,0),"")</f>
        <v>0</v>
      </c>
      <c r="AB42" s="49">
        <f>VLOOKUP(A42,tbMoveset!A2:G112,7,FALSE)*IFERROR(IF(Backdoors!AI12&gt;=0,1+(IF(Calculator!E40&gt;0,VLOOKUP(Calculator!E40,tbSkills!AI3:AJ5,2,FALSE),Backdoors!AL4)*(IF((Backdoors!AI12+IF(W42&gt;=0.45,VLOOKUP(Calculator!E23,tbSkills!DH3:DI6,2,FALSE)+IF(AND(Calculator!B8=TRUE,Backdoors!BI6=TRUE),VLOOKUP(Calculator!E23,tbSkills!DH3:DJ6,3,FALSE),0),0))&gt;=100,100,(Backdoors!AI12+IF(W42&gt;=0.45,VLOOKUP(Calculator!E23,tbSkills!DH3:DI6,2,FALSE)+IF(AND(Calculator!B8=TRUE,Backdoors!BI6=TRUE),VLOOKUP(Calculator!E23,tbSkills!DH3:DJ6,3,FALSE),0),0)))/100)),1),1)</f>
        <v>0.5</v>
      </c>
      <c r="AC42" s="87">
        <f t="shared" si="47"/>
        <v>3</v>
      </c>
      <c r="AD42" s="86">
        <f>IFERROR(IF(VLOOKUP(A42,tbMoveset!A2:B112,2,FALSE)="Sever",Backdoors!AY7/100,IF(VLOOKUP(A42,tbMoveset!A2:B112,2,FALSE)="Blunt",Backdoors!AZ7/100,Backdoors!BA7/100)),"")</f>
        <v>0.65</v>
      </c>
      <c r="AE42" s="49">
        <f>IFERROR(IF(VLOOKUP(tbMoveset!A42,tbMoveset!A2:H112,8,FALSE)="Other",IF(VLOOKUP(tbMoveset!A42,tbMoveset!A2:I112,9,FALSE)="Fire",Backdoors!BB7,IF(VLOOKUP(tbMoveset!A42,tbMoveset!A2:I112,9,FALSE)="Water",Backdoors!BC7,IF(VLOOKUP(tbMoveset!A42,tbMoveset!A2:I112,9,FALSE)="Thunder",Backdoors!BD7,IF(VLOOKUP(tbMoveset!A42,tbMoveset!A2:I112,9,FALSE)="Ice",Backdoors!BE7,IF(VLOOKUP(tbMoveset!A42,tbMoveset!A2:I112,9,FALSE)="Dragon",Backdoors!BF7,Backdoors!BG7)))))/100,Backdoors!BG7/100),"")</f>
        <v>0</v>
      </c>
      <c r="AF42" s="49">
        <f>IFERROR(IF(VLOOKUP(A42,tbMoveset!A2:J112,10,FALSE)=TRUE,IF((Backdoors!AI12+IF(AD42&gt;=0.45,VLOOKUP(Calculator!E23,tbSkills!DH3:DI6,2,FALSE)+IF(AND(Calculator!B8=TRUE,Backdoors!BI7=TRUE),VLOOKUP(Calculator!E23,tbSkills!DH3:DJ6,3,FALSE),0),0))&gt;=0,1+(Backdoors!AL2*(IF((Backdoors!AI12+IF(AD42&gt;=0.45,VLOOKUP(Calculator!E23,tbSkills!DH3:DI6,2,FALSE)+IF(AND(Calculator!B8=TRUE,Backdoors!BI7=TRUE),VLOOKUP(Calculator!E23,tbSkills!DH3:DJ6,3,FALSE),0),0))&gt;=100,100,(Backdoors!AI12+IF(AD42&gt;=0.45,VLOOKUP(Calculator!E23,tbSkills!DH3:DI6,2,FALSE)+IF(AND(Calculator!B8=TRUE,Backdoors!BI7=TRUE),VLOOKUP(Calculator!E23,tbSkills!DH3:DJ6,3,FALSE),0),0)))/100)),(1-(0.25*((-Backdoors!AI12-IF(AD42&gt;=0.45,VLOOKUP(Calculator!E23,tbSkills!DH3:DI6,2,FALSE)+IF(AND(Calculator!B8=TRUE,Backdoors!BI7=TRUE),VLOOKUP(Calculator!E23,tbSkills!DH3:DJ6,3,FALSE),0),0))/100)))),1),"")</f>
        <v>1</v>
      </c>
      <c r="AG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D42)*AF42)*(VLOOKUP(A42,tbMoveset!A2:C112,3,FALSE)/100)*IF(VLOOKUP(A42,tbMoveset!A2:B112,2,FALSE)="Projectile",Backdoors!N10,Backdoors!N9),0),"")</f>
        <v>5</v>
      </c>
      <c r="AH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D42&gt;=0.45,VLOOKUP(Calculator!E23,tbSkills!DH3:DI6,2,FALSE)+IF(AND(Calculator!B8=TRUE,Backdoors!BI7=TRUE),VLOOKUP(Calculator!E23,tbSkills!DH3:DJ6,3,FALSE),0),0))&gt;=100,100,(Backdoors!AI12+IF(AD42&gt;=0.45,VLOOKUP(Calculator!E23,tbSkills!DH3:DI6,2,FALSE)+IF(AND(Calculator!B8=TRUE,Backdoors!BI7=TRUE),VLOOKUP(Calculator!E23,tbSkills!DH3:DJ6,3,FALSE),0),0)))/100)),1))*IF(VLOOKUP(A42,tbMoveset!A2:K112,11,FALSE)=TRUE,Backdoors!AC5,1))*AE42,0),"")</f>
        <v>0</v>
      </c>
      <c r="AI42" s="49">
        <f>VLOOKUP(A42,tbMoveset!A2:G112,7,FALSE)*IFERROR(IF(Backdoors!AI12&gt;=0,1+(IF(Calculator!E40&gt;0,VLOOKUP(Calculator!E40,tbSkills!AI3:AJ5,2,FALSE),Backdoors!AL4)*(IF((Backdoors!AI12+IF(AD42&gt;=0.45,VLOOKUP(Calculator!E23,tbSkills!DH3:DI6,2,FALSE)+IF(AND(Calculator!B8=TRUE,Backdoors!BI7=TRUE),VLOOKUP(Calculator!E23,tbSkills!DH3:DJ6,3,FALSE),0),0))&gt;=100,100,(Backdoors!AI12+IF(AD42&gt;=0.45,VLOOKUP(Calculator!E23,tbSkills!DH3:DI6,2,FALSE)+IF(AND(Calculator!B8=TRUE,Backdoors!BI7=TRUE),VLOOKUP(Calculator!E23,tbSkills!DH3:DJ6,3,FALSE),0),0)))/100)),1),1)</f>
        <v>0.5</v>
      </c>
      <c r="AJ42" s="87">
        <f t="shared" si="48"/>
        <v>5</v>
      </c>
      <c r="AK42" s="91">
        <f>IFERROR(IF(VLOOKUP(A42,tbMoveset!A2:B112,2,FALSE)="Sever",Backdoors!AY8/100,IF(VLOOKUP(A42,tbMoveset!A2:B112,2,FALSE)="Blunt",Backdoors!AZ8/100,Backdoors!BA8/100)),"")</f>
        <v>0.45</v>
      </c>
      <c r="AL42" s="49">
        <f>IFERROR(IF(VLOOKUP(tbMoveset!A42,tbMoveset!A2:H112,8,FALSE)="Other",IF(VLOOKUP(tbMoveset!A42,tbMoveset!A2:I112,9,FALSE)="Fire",Backdoors!BB8,IF(VLOOKUP(tbMoveset!A42,tbMoveset!A2:I112,9,FALSE)="Water",Backdoors!BC8,IF(VLOOKUP(tbMoveset!A42,tbMoveset!A2:I112,9,FALSE)="Thunder",Backdoors!BD8,IF(VLOOKUP(tbMoveset!A42,tbMoveset!A2:I112,9,FALSE)="Ice",Backdoors!BE8,IF(VLOOKUP(tbMoveset!A42,tbMoveset!A2:I112,9,FALSE)="Dragon",Backdoors!BF8,Backdoors!BG8)))))/100,Backdoors!BG8/100),"")</f>
        <v>0</v>
      </c>
      <c r="AM42" s="49">
        <f>IFERROR(IF(VLOOKUP(A42,tbMoveset!A2:J112,10,FALSE)=TRUE,IF((Backdoors!AI12+IF(AK42&gt;=0.45,VLOOKUP(Calculator!E23,tbSkills!DH3:DI6,2,FALSE)+IF(AND(Calculator!B8=TRUE,Backdoors!BI8=TRUE),VLOOKUP(Calculator!E23,tbSkills!DH3:DJ6,3,FALSE),0),0))&gt;=0,1+(Backdoors!AL2*(IF((Backdoors!AI12+IF(AK42&gt;=0.45,VLOOKUP(Calculator!E23,tbSkills!DH3:DI6,2,FALSE)+IF(AND(Calculator!B8=TRUE,Backdoors!BI8=TRUE),VLOOKUP(Calculator!E23,tbSkills!DH3:DJ6,3,FALSE),0),0))&gt;=100,100,(Backdoors!AI12+IF(AK42&gt;=0.45,VLOOKUP(Calculator!E23,tbSkills!DH3:DI6,2,FALSE)+IF(AND(Calculator!B8=TRUE,Backdoors!BI8=TRUE),VLOOKUP(Calculator!E23,tbSkills!DH3:DJ6,3,FALSE),0),0)))/100)),(1-(0.25*((-Backdoors!AI12-IF(AK42&gt;=0.45,VLOOKUP(Calculator!E23,tbSkills!DH3:DI6,2,FALSE)+IF(AND(Calculator!B8=TRUE,Backdoors!BI8=TRUE),VLOOKUP(Calculator!E23,tbSkills!DH3:DJ6,3,FALSE),0),0))/100)))),1),"")</f>
        <v>1</v>
      </c>
      <c r="AN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K42)*AM42)*(VLOOKUP(A42,tbMoveset!A2:C112,3,FALSE)/100)*IF(VLOOKUP(A42,tbMoveset!A2:B112,2,FALSE)="Projectile",Backdoors!N10,Backdoors!N9),0),"")</f>
        <v>3</v>
      </c>
      <c r="AO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K42&gt;=0.45,VLOOKUP(Calculator!E23,tbSkills!DH3:DI6,2,FALSE)+IF(AND(Calculator!B8=TRUE,Backdoors!BI8=TRUE),VLOOKUP(Calculator!E23,tbSkills!DH3:DJ6,3,FALSE),0),0))&gt;=100,100,(Backdoors!AI12+IF(AK42&gt;=0.45,VLOOKUP(Calculator!E23,tbSkills!DH3:DI6,2,FALSE)+IF(AND(Calculator!B8=TRUE,Backdoors!BI8=TRUE),VLOOKUP(Calculator!E23,tbSkills!DH3:DJ6,3,FALSE),0),0)))/100)),1))*IF(VLOOKUP(A42,tbMoveset!A2:K112,11,FALSE)=TRUE,Backdoors!AC5,1))*AL42,0),"")</f>
        <v>0</v>
      </c>
      <c r="AP42" s="49">
        <f>VLOOKUP(A42,tbMoveset!A2:G112,7,FALSE)*IFERROR(IF(Backdoors!AI12&gt;=0,1+(IF(Calculator!E40&gt;0,VLOOKUP(Calculator!E40,tbSkills!AI3:AJ5,2,FALSE),Backdoors!AL4)*(IF((Backdoors!AI12+IF(AK42&gt;=0.45,VLOOKUP(Calculator!E23,tbSkills!DH3:DI6,2,FALSE)+IF(AND(Calculator!B8=TRUE,Backdoors!BI8=TRUE),VLOOKUP(Calculator!E23,tbSkills!DH3:DJ6,3,FALSE),0),0))&gt;=100,100,(Backdoors!AI12+IF(AK42&gt;=0.45,VLOOKUP(Calculator!E23,tbSkills!DH3:DI6,2,FALSE)+IF(AND(Calculator!B8=TRUE,Backdoors!BI8=TRUE),VLOOKUP(Calculator!E23,tbSkills!DH3:DJ6,3,FALSE),0),0)))/100)),1),1)</f>
        <v>0.5</v>
      </c>
      <c r="AQ42" s="87">
        <f t="shared" si="49"/>
        <v>3</v>
      </c>
      <c r="AR42" s="86">
        <f>IFERROR(IF(VLOOKUP(A42,tbMoveset!A2:B112,2,FALSE)="Sever",Backdoors!AY9/100,IF(VLOOKUP(A42,tbMoveset!A2:B112,2,FALSE)="Blunt",Backdoors!AZ9/100,Backdoors!BA9/100)),"")</f>
        <v>0.45</v>
      </c>
      <c r="AS42" s="49">
        <f>IFERROR(IF(VLOOKUP(tbMoveset!A42,tbMoveset!A2:H112,8,FALSE)="Other",IF(VLOOKUP(tbMoveset!A42,tbMoveset!A2:I112,9,FALSE)="Fire",Backdoors!BB9,IF(VLOOKUP(tbMoveset!A42,tbMoveset!A2:I112,9,FALSE)="Water",Backdoors!BC9,IF(VLOOKUP(tbMoveset!A42,tbMoveset!A2:I112,9,FALSE)="Thunder",Backdoors!BD9,IF(VLOOKUP(tbMoveset!A42,tbMoveset!A2:I112,9,FALSE)="Ice",Backdoors!BE9,IF(VLOOKUP(tbMoveset!A42,tbMoveset!A2:I112,9,FALSE)="Dragon",Backdoors!BF9,Backdoors!BG9)))))/100,Backdoors!BG9/100),"")</f>
        <v>0</v>
      </c>
      <c r="AT42" s="49">
        <f>IFERROR(IF(VLOOKUP(A42,tbMoveset!A2:J112,10,FALSE)=TRUE,IF((Backdoors!AI12+IF(AR42&gt;=0.45,VLOOKUP(Calculator!E23,tbSkills!DH3:DI6,2,FALSE)+IF(AND(Calculator!B8=TRUE,Backdoors!BI9=TRUE),VLOOKUP(Calculator!E23,tbSkills!DH3:DJ6,3,FALSE),0),0))&gt;=0,1+(Backdoors!AL2*(IF((Backdoors!AI12+IF(AR42&gt;=0.45,VLOOKUP(Calculator!E23,tbSkills!DH3:DI6,2,FALSE)+IF(AND(Calculator!B8=TRUE,Backdoors!BI9=TRUE),VLOOKUP(Calculator!E23,tbSkills!DH3:DJ6,3,FALSE),0),0))&gt;=100,100,(Backdoors!AI12+IF(AR42&gt;=0.45,VLOOKUP(Calculator!E23,tbSkills!DH3:DI6,2,FALSE)+IF(AND(Calculator!B8=TRUE,Backdoors!BI9=TRUE),VLOOKUP(Calculator!E23,tbSkills!DH3:DJ6,3,FALSE),0),0)))/100)),(1-(0.25*((-Backdoors!AI12-IF(AR42&gt;=0.45,VLOOKUP(Calculator!E23,tbSkills!DH3:DI6,2,FALSE)+IF(AND(Calculator!B8=TRUE,Backdoors!BI9=TRUE),VLOOKUP(Calculator!E23,tbSkills!DH3:DJ6,3,FALSE),0),0))/100)))),1),"")</f>
        <v>1</v>
      </c>
      <c r="AU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R42)*AT42)*(VLOOKUP(A42,tbMoveset!A2:C112,3,FALSE)/100)*IF(VLOOKUP(A42,tbMoveset!A2:B112,2,FALSE)="Projectile",Backdoors!N10,Backdoors!N9),0),"")</f>
        <v>3</v>
      </c>
      <c r="AV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R42&gt;=0.45,VLOOKUP(Calculator!E23,tbSkills!DH3:DI6,2,FALSE)+IF(AND(Calculator!B8=TRUE,Backdoors!BI9=TRUE),VLOOKUP(Calculator!E23,tbSkills!DH3:DJ6,3,FALSE),0),0))&gt;=100,100,(Backdoors!AI12+IF(AR42&gt;=0.45,VLOOKUP(Calculator!E23,tbSkills!DH3:DI6,2,FALSE)+IF(AND(Calculator!B8=TRUE,Backdoors!BI9=TRUE),VLOOKUP(Calculator!E23,tbSkills!DH3:DJ6,3,FALSE),0),0)))/100)),1))*IF(VLOOKUP(A42,tbMoveset!A2:K112,11,FALSE)=TRUE,Backdoors!AC5,1))*AS42,0),"")</f>
        <v>0</v>
      </c>
      <c r="AW42" s="49">
        <f>VLOOKUP(A42,tbMoveset!A2:G112,7,FALSE)*IFERROR(IF(Backdoors!AI12&gt;=0,1+(IF(Calculator!E40&gt;0,VLOOKUP(Calculator!E40,tbSkills!AI3:AJ5,2,FALSE),Backdoors!AL4)*(IF((Backdoors!AI12+IF(AR42&gt;=0.45,VLOOKUP(Calculator!E23,tbSkills!DH3:DI6,2,FALSE)+IF(AND(Calculator!B8=TRUE,Backdoors!BI9=TRUE),VLOOKUP(Calculator!E23,tbSkills!DH3:DJ6,3,FALSE),0),0))&gt;=100,100,(Backdoors!AI12+IF(AR42&gt;=0.45,VLOOKUP(Calculator!E23,tbSkills!DH3:DI6,2,FALSE)+IF(AND(Calculator!B8=TRUE,Backdoors!BI9=TRUE),VLOOKUP(Calculator!E23,tbSkills!DH3:DJ6,3,FALSE),0),0)))/100)),1),1)</f>
        <v>0.5</v>
      </c>
      <c r="AX42" s="87">
        <f t="shared" si="50"/>
        <v>3</v>
      </c>
      <c r="AY42" s="86">
        <f>IFERROR(IF(VLOOKUP(A42,tbMoveset!A2:B112,2,FALSE)="Sever",Backdoors!AY10/100,IF(VLOOKUP(A42,tbMoveset!A2:B112,2,FALSE)="Blunt",Backdoors!AZ10/100,Backdoors!BA10/100)),"")</f>
        <v>0.9</v>
      </c>
      <c r="AZ42" s="49">
        <f>IFERROR(IF(VLOOKUP(tbMoveset!A42,tbMoveset!A2:H112,8,FALSE)="Other",IF(VLOOKUP(tbMoveset!A42,tbMoveset!A2:I112,9,FALSE)="Fire",Backdoors!BB10,IF(VLOOKUP(tbMoveset!A42,tbMoveset!A2:I112,9,FALSE)="Water",Backdoors!BC10,IF(VLOOKUP(tbMoveset!A42,tbMoveset!A2:I112,9,FALSE)="Thunder",Backdoors!BD10,IF(VLOOKUP(tbMoveset!A42,tbMoveset!A2:I112,9,FALSE)="Ice",Backdoors!BE10,IF(VLOOKUP(tbMoveset!A42,tbMoveset!A2:I112,9,FALSE)="Dragon",Backdoors!BF10,Backdoors!BG10)))))/100,Backdoors!BG10/100),"")</f>
        <v>0</v>
      </c>
      <c r="BA42" s="49">
        <f>IFERROR(IF(VLOOKUP(A42,tbMoveset!A2:J112,10,FALSE)=TRUE,IF((Backdoors!AI12+IF(AY42&gt;=0.45,VLOOKUP(Calculator!E23,tbSkills!DH3:DI6,2,FALSE)+IF(AND(Calculator!B8=TRUE,Backdoors!BI10=TRUE),VLOOKUP(Calculator!E23,tbSkills!DH3:DJ6,3,FALSE),0),0))&gt;=0,1+(Backdoors!AL2*(IF((Backdoors!AI12+IF(AY42&gt;=0.45,VLOOKUP(Calculator!E23,tbSkills!DH3:DI6,2,FALSE)+IF(AND(Calculator!B8=TRUE,Backdoors!BI10=TRUE),VLOOKUP(Calculator!E23,tbSkills!DH3:DJ6,3,FALSE),0),0))&gt;=100,100,(Backdoors!AI12+IF(AY42&gt;=0.45,VLOOKUP(Calculator!E23,tbSkills!DH3:DI6,2,FALSE)+IF(AND(Calculator!B8=TRUE,Backdoors!BI10=TRUE),VLOOKUP(Calculator!E23,tbSkills!DH3:DJ6,3,FALSE),0),0)))/100)),(1-(0.25*((-Backdoors!AI12-IF(AY42&gt;=0.45,VLOOKUP(Calculator!E23,tbSkills!DH3:DI6,2,FALSE)+IF(AND(Calculator!B8=TRUE,Backdoors!BI10=TRUE),VLOOKUP(Calculator!E23,tbSkills!DH3:DJ6,3,FALSE),0),0))/100)))),1),"")</f>
        <v>1</v>
      </c>
      <c r="BB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Y42)*BA42)*(VLOOKUP(A42,tbMoveset!A2:C112,3,FALSE)/100)*IF(VLOOKUP(A42,tbMoveset!A2:B112,2,FALSE)="Projectile",Backdoors!N10,Backdoors!N9),0),"")</f>
        <v>7</v>
      </c>
      <c r="BC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Y42&gt;=0.45,VLOOKUP(Calculator!E23,tbSkills!DH3:DI6,2,FALSE)+IF(AND(Calculator!B8=TRUE,Backdoors!BI10=TRUE),VLOOKUP(Calculator!E23,tbSkills!DH3:DJ6,3,FALSE),0),0))&gt;=100,100,(Backdoors!AI12+IF(AY42&gt;=0.45,VLOOKUP(Calculator!E23,tbSkills!DH3:DI6,2,FALSE)+IF(AND(Calculator!B8=TRUE,Backdoors!BI10=TRUE),VLOOKUP(Calculator!E23,tbSkills!DH3:DJ6,3,FALSE),0),0)))/100)),1))*IF(VLOOKUP(A42,tbMoveset!A2:K112,11,FALSE)=TRUE,Backdoors!AC5,1))*AZ42,0),"")</f>
        <v>0</v>
      </c>
      <c r="BD42" s="49">
        <f>VLOOKUP(A42,tbMoveset!A2:G112,7,FALSE)*IFERROR(IF(Backdoors!AI12&gt;=0,1+(IF(Calculator!E40&gt;0,VLOOKUP(Calculator!E40,tbSkills!AI3:AJ5,2,FALSE),Backdoors!AL4)*(IF((Backdoors!AI12+IF(AY42&gt;=0.45,VLOOKUP(Calculator!E23,tbSkills!DH3:DI6,2,FALSE)+IF(AND(Calculator!B8=TRUE,Backdoors!BI10=TRUE),VLOOKUP(Calculator!E23,tbSkills!DH3:DJ6,3,FALSE),0),0))&gt;=100,100,(Backdoors!AI12+IF(AY42&gt;=0.45,VLOOKUP(Calculator!E23,tbSkills!DH3:DI6,2,FALSE)+IF(AND(Calculator!B8=TRUE,Backdoors!BI10=TRUE),VLOOKUP(Calculator!E23,tbSkills!DH3:DJ6,3,FALSE),0),0)))/100)),1),1)</f>
        <v>0.5</v>
      </c>
      <c r="BE42" s="87">
        <f t="shared" si="3"/>
        <v>7</v>
      </c>
      <c r="BF42" s="86" t="str">
        <f>IFERROR(IF(VLOOKUP(A42,tbMoveset!A2:B112,2,FALSE)="Sever",Backdoors!AY11/100,IF(VLOOKUP(A42,tbMoveset!A2:B112,2,FALSE)="Blunt",Backdoors!AZ11/100,Backdoors!BA11/100)),"")</f>
        <v/>
      </c>
      <c r="BG42" s="49">
        <f>IFERROR(IF(VLOOKUP(tbMoveset!A42,tbMoveset!A2:H112,8,FALSE)="Other",IF(VLOOKUP(tbMoveset!A42,tbMoveset!A2:I112,9,FALSE)="Fire",Backdoors!BB11,IF(VLOOKUP(tbMoveset!A42,tbMoveset!A2:I112,9,FALSE)="Water",Backdoors!BC11,IF(VLOOKUP(tbMoveset!A42,tbMoveset!A2:I112,9,FALSE)="Thunder",Backdoors!BD11,IF(VLOOKUP(tbMoveset!A42,tbMoveset!A2:I112,9,FALSE)="Ice",Backdoors!BE11,IF(VLOOKUP(tbMoveset!A42,tbMoveset!A2:I112,9,FALSE)="Dragon",Backdoors!BF11,Backdoors!BG11)))))/100,Backdoors!BG11/100),"")</f>
        <v>0</v>
      </c>
      <c r="BH42" s="49">
        <f>IFERROR(IF(VLOOKUP(A42,tbMoveset!A2:J112,10,FALSE)=TRUE,IF((Backdoors!AI12+IF(BF42&gt;=0.45,VLOOKUP(Calculator!E23,tbSkills!DH3:DI6,2,FALSE)+IF(AND(Calculator!B8=TRUE,Backdoors!BI11=TRUE),VLOOKUP(Calculator!E23,tbSkills!DH3:DJ6,3,FALSE),0),0))&gt;=0,1+(Backdoors!AL2*(IF((Backdoors!AI12+IF(BF42&gt;=0.45,VLOOKUP(Calculator!E23,tbSkills!DH3:DI6,2,FALSE)+IF(AND(Calculator!B8=TRUE,Backdoors!BI11=TRUE),VLOOKUP(Calculator!E23,tbSkills!DH3:DJ6,3,FALSE),0),0))&gt;=100,100,(Backdoors!AI12+IF(BF42&gt;=0.45,VLOOKUP(Calculator!E23,tbSkills!DH3:DI6,2,FALSE)+IF(AND(Calculator!B8=TRUE,Backdoors!BI11=TRUE),VLOOKUP(Calculator!E23,tbSkills!DH3:DJ6,3,FALSE),0),0)))/100)),(1-(0.25*((-Backdoors!AI12-IF(BF42&gt;=0.45,VLOOKUP(Calculator!E23,tbSkills!DH3:DI6,2,FALSE)+IF(AND(Calculator!B8=TRUE,Backdoors!BI11=TRUE),VLOOKUP(Calculator!E23,tbSkills!DH3:DJ6,3,FALSE),0),0))/100)))),1),"")</f>
        <v>1</v>
      </c>
      <c r="BI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F42)*BH42)*(VLOOKUP(A42,tbMoveset!A2:C112,3,FALSE)/100)*IF(VLOOKUP(A42,tbMoveset!A2:B112,2,FALSE)="Projectile",Backdoors!N10,Backdoors!N9),0),"")</f>
        <v/>
      </c>
      <c r="BJ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F42&gt;=0.45,VLOOKUP(Calculator!E23,tbSkills!DH3:DI6,2,FALSE)+IF(AND(Calculator!B8=TRUE,Backdoors!BI11=TRUE),VLOOKUP(Calculator!E23,tbSkills!DH3:DJ6,3,FALSE),0),0))&gt;=100,100,(Backdoors!AI12+IF(BF42&gt;=0.45,VLOOKUP(Calculator!E23,tbSkills!DH3:DI6,2,FALSE)+IF(AND(Calculator!B8=TRUE,Backdoors!BI11=TRUE),VLOOKUP(Calculator!E23,tbSkills!DH3:DJ6,3,FALSE),0),0)))/100)),1))*IF(VLOOKUP(A42,tbMoveset!A2:K112,11,FALSE)=TRUE,Backdoors!AC5,1))*BG42,0),"")</f>
        <v>0</v>
      </c>
      <c r="BK42" s="49">
        <f>VLOOKUP(A42,tbMoveset!A2:G112,7,FALSE)*IFERROR(IF(Backdoors!AI12&gt;=0,1+(IF(Calculator!E40&gt;0,VLOOKUP(Calculator!E40,tbSkills!AI3:AJ5,2,FALSE),Backdoors!AL4)*(IF((Backdoors!AI12+IF(BF42&gt;=0.45,VLOOKUP(Calculator!E23,tbSkills!DH3:DI6,2,FALSE)+IF(AND(Calculator!B8=TRUE,Backdoors!BI11=TRUE),VLOOKUP(Calculator!E23,tbSkills!DH3:DJ6,3,FALSE),0),0))&gt;=100,100,(Backdoors!AI12+IF(BF42&gt;=0.45,VLOOKUP(Calculator!E23,tbSkills!DH3:DI6,2,FALSE)+IF(AND(Calculator!B8=TRUE,Backdoors!BI11=TRUE),VLOOKUP(Calculator!E23,tbSkills!DH3:DJ6,3,FALSE),0),0)))/100)),1),1)</f>
        <v>0.5</v>
      </c>
      <c r="BL42" s="87">
        <f t="shared" si="4"/>
        <v>0</v>
      </c>
      <c r="BM42" s="86" t="str">
        <f>IFERROR(IF(VLOOKUP(A42,tbMoveset!A2:B112,2,FALSE)="Sever",Backdoors!AY12/100,IF(VLOOKUP(A42,tbMoveset!A2:B112,2,FALSE)="Blunt",Backdoors!AZ12/100,Backdoors!BA12/100)),"")</f>
        <v/>
      </c>
      <c r="BN42" s="49">
        <f>IFERROR(IF(VLOOKUP(tbMoveset!A42,tbMoveset!A2:H112,8,FALSE)="Other",IF(VLOOKUP(tbMoveset!A42,tbMoveset!A2:I112,9,FALSE)="Fire",Backdoors!BB12,IF(VLOOKUP(tbMoveset!A42,tbMoveset!A2:I112,9,FALSE)="Water",Backdoors!BC12,IF(VLOOKUP(tbMoveset!A42,tbMoveset!A2:I112,9,FALSE)="Thunder",Backdoors!BD12,IF(VLOOKUP(tbMoveset!A42,tbMoveset!A2:I112,9,FALSE)="Ice",Backdoors!BE12,IF(VLOOKUP(tbMoveset!A42,tbMoveset!A2:I112,9,FALSE)="Dragon",Backdoors!BF12,Backdoors!BG12)))))/100,Backdoors!BG12/100),"")</f>
        <v>0</v>
      </c>
      <c r="BO42" s="49">
        <f>IFERROR(IF(VLOOKUP(A42,tbMoveset!A2:J112,10,FALSE)=TRUE,IF((Backdoors!AI12+IF(BM42&gt;=0.45,VLOOKUP(Calculator!E23,tbSkills!DH3:DI6,2,FALSE)+IF(AND(Calculator!B8=TRUE,Backdoors!BI12=TRUE),VLOOKUP(Calculator!E23,tbSkills!DH3:DJ6,3,FALSE),0),0))&gt;=0,1+(Backdoors!AL2*(IF((Backdoors!AI12+IF(BM42&gt;=0.45,VLOOKUP(Calculator!E23,tbSkills!DH3:DI6,2,FALSE)+IF(AND(Calculator!B8=TRUE,Backdoors!BI12=TRUE),VLOOKUP(Calculator!E23,tbSkills!DH3:DJ6,3,FALSE),0),0))&gt;=100,100,(Backdoors!AI12+IF(BM42&gt;=0.45,VLOOKUP(Calculator!E23,tbSkills!DH3:DI6,2,FALSE)+IF(AND(Calculator!B8=TRUE,Backdoors!BI12=TRUE),VLOOKUP(Calculator!E23,tbSkills!DH3:DJ6,3,FALSE),0),0)))/100)),(1-(0.25*((-Backdoors!AI12-IF(BM42&gt;=0.45,VLOOKUP(Calculator!E23,tbSkills!DH3:DI6,2,FALSE)+IF(AND(Calculator!B8=TRUE,Backdoors!BI12=TRUE),VLOOKUP(Calculator!E23,tbSkills!DH3:DJ6,3,FALSE),0),0))/100)))),1),"")</f>
        <v>1</v>
      </c>
      <c r="BP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M42)*BO42)*(VLOOKUP(A42,tbMoveset!A2:C112,3,FALSE)/100)*IF(VLOOKUP(A42,tbMoveset!A2:B112,2,FALSE)="Projectile",Backdoors!N10,Backdoors!N9),0),"")</f>
        <v/>
      </c>
      <c r="BQ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M42&gt;=0.45,VLOOKUP(Calculator!E23,tbSkills!DH3:DI6,2,FALSE)+IF(AND(Calculator!B8=TRUE,Backdoors!BI12=TRUE),VLOOKUP(Calculator!E23,tbSkills!DH3:DJ6,3,FALSE),0),0))&gt;=100,100,(Backdoors!AI12+IF(BM42&gt;=0.45,VLOOKUP(Calculator!E23,tbSkills!DH3:DI6,2,FALSE)+IF(AND(Calculator!B8=TRUE,Backdoors!BI12=TRUE),VLOOKUP(Calculator!E23,tbSkills!DH3:DJ6,3,FALSE),0),0)))/100)),1))*IF(VLOOKUP(A42,tbMoveset!A2:K112,11,FALSE)=TRUE,Backdoors!AC5,1))*BN42,0),"")</f>
        <v>0</v>
      </c>
      <c r="BR42" s="49">
        <f>VLOOKUP(A42,tbMoveset!A2:G112,7,FALSE)*IFERROR(IF(Backdoors!AI12&gt;=0,1+(IF(Calculator!E40&gt;0,VLOOKUP(Calculator!E40,tbSkills!AI3:AJ5,2,FALSE),Backdoors!AL4)*(IF((Backdoors!AI12+IF(BM42&gt;=0.45,VLOOKUP(Calculator!E23,tbSkills!DH3:DI6,2,FALSE)+IF(AND(Calculator!B8=TRUE,Backdoors!BI12=TRUE),VLOOKUP(Calculator!E23,tbSkills!DH3:DJ6,3,FALSE),0),0))&gt;=100,100,(Backdoors!AI12+IF(BM42&gt;=0.45,VLOOKUP(Calculator!E23,tbSkills!DH3:DI6,2,FALSE)+IF(AND(Calculator!B8=TRUE,Backdoors!BI12=TRUE),VLOOKUP(Calculator!E23,tbSkills!DH3:DJ6,3,FALSE),0),0)))/100)),1),1)</f>
        <v>0.5</v>
      </c>
      <c r="BS42" s="87">
        <f t="shared" si="39"/>
        <v>0</v>
      </c>
      <c r="BT42" s="86" t="str">
        <f>IFERROR(IF(VLOOKUP(A42,tbMoveset!A2:B112,2,FALSE)="Sever",Backdoors!AY13/100,IF(VLOOKUP(A42,tbMoveset!A2:B112,2,FALSE)="Blunt",Backdoors!AZ13/100,Backdoors!BA13/100)),"")</f>
        <v/>
      </c>
      <c r="BU42" s="49">
        <f>IFERROR(IF(VLOOKUP(tbMoveset!A42,tbMoveset!A2:H112,8,FALSE)="Other",IF(VLOOKUP(tbMoveset!A42,tbMoveset!A2:I112,9,FALSE)="Fire",Backdoors!BB13,IF(VLOOKUP(tbMoveset!A42,tbMoveset!A2:I112,9,FALSE)="Water",Backdoors!BC13,IF(VLOOKUP(tbMoveset!A42,tbMoveset!A2:I112,9,FALSE)="Thunder",Backdoors!BD13,IF(VLOOKUP(tbMoveset!A42,tbMoveset!A2:I112,9,FALSE)="Ice",Backdoors!BE13,IF(VLOOKUP(tbMoveset!A42,tbMoveset!A2:I112,9,FALSE)="Dragon",Backdoors!BF13,Backdoors!BG13)))))/100,Backdoors!BG13/100),"")</f>
        <v>0</v>
      </c>
      <c r="BV42" s="49">
        <f>IFERROR(IF(VLOOKUP(A42,tbMoveset!A2:J112,10,FALSE)=TRUE,IF((Backdoors!AI12+IF(BT42&gt;=0.45,VLOOKUP(Calculator!E23,tbSkills!DH3:DI6,2,FALSE)+IF(AND(Calculator!B8=TRUE,Backdoors!BI13=TRUE),VLOOKUP(Calculator!E23,tbSkills!DH3:DJ6,3,FALSE),0),0))&gt;=0,1+(Backdoors!AL2*(IF((Backdoors!AI12+IF(BT42&gt;=0.45,VLOOKUP(Calculator!E23,tbSkills!DH3:DI6,2,FALSE)+IF(AND(Calculator!B8=TRUE,Backdoors!BI13=TRUE),VLOOKUP(Calculator!E23,tbSkills!DH3:DJ6,3,FALSE),0),0))&gt;=100,100,(Backdoors!AI12+IF(BT42&gt;=0.45,VLOOKUP(Calculator!E23,tbSkills!DH3:DI6,2,FALSE)+IF(AND(Calculator!B8=TRUE,Backdoors!BI13=TRUE),VLOOKUP(Calculator!E23,tbSkills!DH3:DJ6,3,FALSE),0),0)))/100)),(1-(0.25*((-Backdoors!AI12-IF(BT42&gt;=0.45,VLOOKUP(Calculator!E23,tbSkills!DH3:DI6,2,FALSE)+IF(AND(Calculator!B8=TRUE,Backdoors!BI13=TRUE),VLOOKUP(Calculator!E23,tbSkills!DH3:DJ6,3,FALSE),0),0))/100)))),1),"")</f>
        <v>1</v>
      </c>
      <c r="BW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T42)*BV42)*(VLOOKUP(A42,tbMoveset!A2:C112,3,FALSE)/100)*IF(VLOOKUP(A42,tbMoveset!A2:B112,2,FALSE)="Projectile",Backdoors!N10,Backdoors!N9),0),"")</f>
        <v/>
      </c>
      <c r="BX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T42&gt;=0.45,VLOOKUP(Calculator!E23,tbSkills!DH3:DI6,2,FALSE)+IF(AND(Calculator!B8=TRUE,Backdoors!BI13=TRUE),VLOOKUP(Calculator!E23,tbSkills!DH3:DJ6,3,FALSE),0),0))&gt;=100,100,(Backdoors!AI12+IF(BT42&gt;=0.45,VLOOKUP(Calculator!E23,tbSkills!DH3:DI6,2,FALSE)+IF(AND(Calculator!B8=TRUE,Backdoors!BI13=TRUE),VLOOKUP(Calculator!E23,tbSkills!DH3:DJ6,3,FALSE),0),0)))/100)),1))*IF(VLOOKUP(A42,tbMoveset!A2:K112,11,FALSE)=TRUE,Backdoors!AC5,1))*BU42,0),"")</f>
        <v>0</v>
      </c>
      <c r="BY42" s="49">
        <f>VLOOKUP(A42,tbMoveset!A2:G112,7,FALSE)*IFERROR(IF(Backdoors!AI12&gt;=0,1+(IF(Calculator!E40&gt;0,VLOOKUP(Calculator!E40,tbSkills!AI3:AJ5,2,FALSE),Backdoors!AL4)*(IF((Backdoors!AI12+IF(BT42&gt;=0.45,VLOOKUP(Calculator!E23,tbSkills!DH3:DI6,2,FALSE)+IF(AND(Calculator!B8=TRUE,Backdoors!BI13=TRUE),VLOOKUP(Calculator!E23,tbSkills!DH3:DJ6,3,FALSE),0),0))&gt;=100,100,(Backdoors!AI12+IF(BT42&gt;=0.45,VLOOKUP(Calculator!E23,tbSkills!DH3:DI6,2,FALSE)+IF(AND(Calculator!B8=TRUE,Backdoors!BI13=TRUE),VLOOKUP(Calculator!E23,tbSkills!DH3:DJ6,3,FALSE),0),0)))/100)),1),1)</f>
        <v>0.5</v>
      </c>
      <c r="BZ42" s="87">
        <f t="shared" si="5"/>
        <v>0</v>
      </c>
      <c r="CA42" s="86" t="str">
        <f>IFERROR(IF(VLOOKUP(A42,tbMoveset!A2:B112,2,FALSE)="Sever",Backdoors!AY14/100,IF(VLOOKUP(A42,tbMoveset!A2:B112,2,FALSE)="Blunt",Backdoors!AZ14/100,Backdoors!BA14/100)),"")</f>
        <v/>
      </c>
      <c r="CB42" s="49">
        <f>IFERROR(IF(VLOOKUP(tbMoveset!A42,tbMoveset!A2:H112,8,FALSE)="Other",IF(VLOOKUP(tbMoveset!A42,tbMoveset!A2:I112,9,FALSE)="Fire",Backdoors!BB14,IF(VLOOKUP(tbMoveset!A42,tbMoveset!A2:I112,9,FALSE)="Water",Backdoors!BC14,IF(VLOOKUP(tbMoveset!A42,tbMoveset!A2:I112,9,FALSE)="Thunder",Backdoors!BD14,IF(VLOOKUP(tbMoveset!A42,tbMoveset!A2:I112,9,FALSE)="Ice",Backdoors!BE14,IF(VLOOKUP(tbMoveset!A42,tbMoveset!A2:I112,9,FALSE)="Dragon",Backdoors!BF14,Backdoors!BG14)))))/100,Backdoors!BG14/100),"")</f>
        <v>0</v>
      </c>
      <c r="CC42" s="49">
        <f>IFERROR(IF(VLOOKUP(A42,tbMoveset!A2:J112,10,FALSE)=TRUE,IF((Backdoors!AI12+IF(CA42&gt;=0.45,VLOOKUP(Calculator!E23,tbSkills!DH3:DI6,2,FALSE)+IF(AND(Calculator!B8=TRUE,Backdoors!BI14=TRUE),VLOOKUP(Calculator!E23,tbSkills!DH3:DJ6,3,FALSE),0),0))&gt;=0,1+(Backdoors!AL2*(IF((Backdoors!AI12+IF(CA42&gt;=0.45,VLOOKUP(Calculator!E23,tbSkills!DH3:DI6,2,FALSE)+IF(AND(Calculator!B8=TRUE,Backdoors!BI14=TRUE),VLOOKUP(Calculator!E23,tbSkills!DH3:DJ6,3,FALSE),0),0))&gt;=100,100,(Backdoors!AI12+IF(CA42&gt;=0.45,VLOOKUP(Calculator!E23,tbSkills!DH3:DI6,2,FALSE)+IF(AND(Calculator!B8=TRUE,Backdoors!BI14=TRUE),VLOOKUP(Calculator!E23,tbSkills!DH3:DJ6,3,FALSE),0),0)))/100)),(1-(0.25*((-Backdoors!AI12-IF(CA42&gt;=0.45,VLOOKUP(Calculator!E23,tbSkills!DH3:DI6,2,FALSE)+IF(AND(Calculator!B8=TRUE,Backdoors!BI14=TRUE),VLOOKUP(Calculator!E23,tbSkills!DH3:DJ6,3,FALSE),0),0))/100)))),1),"")</f>
        <v>1</v>
      </c>
      <c r="CD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A42)*CC42)*(VLOOKUP(A42,tbMoveset!A2:C112,3,FALSE)/100)*IF(VLOOKUP(A42,tbMoveset!A2:B112,2,FALSE)="Projectile",Backdoors!N10,Backdoors!N9),0),"")</f>
        <v/>
      </c>
      <c r="CE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A42&gt;=0.45,VLOOKUP(Calculator!E23,tbSkills!DH3:DI6,2,FALSE)+IF(AND(Calculator!B8=TRUE,Backdoors!BI14=TRUE),VLOOKUP(Calculator!E23,tbSkills!DH3:DJ6,3,FALSE),0),0))&gt;=100,100,(Backdoors!AI12+IF(CA42&gt;=0.45,VLOOKUP(Calculator!E23,tbSkills!DH3:DI6,2,FALSE)+IF(AND(Calculator!B8=TRUE,Backdoors!BI14=TRUE),VLOOKUP(Calculator!E23,tbSkills!DH3:DJ6,3,FALSE),0),0)))/100)),1))*IF(VLOOKUP(A42,tbMoveset!A2:K112,11,FALSE)=TRUE,Backdoors!AC5,1))*CB42,0),"")</f>
        <v>0</v>
      </c>
      <c r="CF42" s="49">
        <f>VLOOKUP(A42,tbMoveset!A2:G112,7,FALSE)*IFERROR(IF(Backdoors!AI12&gt;=0,1+(IF(Calculator!E40&gt;0,VLOOKUP(Calculator!E40,tbSkills!AI3:AJ5,2,FALSE),Backdoors!AL4)*(IF((Backdoors!AI12+IF(CA42&gt;=0.45,VLOOKUP(Calculator!E23,tbSkills!DH3:DI6,2,FALSE)+IF(AND(Calculator!B8=TRUE,Backdoors!BI14=TRUE),VLOOKUP(Calculator!E23,tbSkills!DH3:DJ6,3,FALSE),0),0))&gt;=100,100,(Backdoors!AI12+IF(CA42&gt;=0.45,VLOOKUP(Calculator!E23,tbSkills!DH3:DI6,2,FALSE)+IF(AND(Calculator!B8=TRUE,Backdoors!BI14=TRUE),VLOOKUP(Calculator!E23,tbSkills!DH3:DJ6,3,FALSE),0),0)))/100)),1),1)</f>
        <v>0.5</v>
      </c>
      <c r="CG42" s="87">
        <f t="shared" si="6"/>
        <v>0</v>
      </c>
      <c r="CH42" s="86" t="str">
        <f>IFERROR(IF(VLOOKUP(A42,tbMoveset!A2:B112,2,FALSE)="Sever",Backdoors!AY15/100,IF(VLOOKUP(A42,tbMoveset!A2:B112,2,FALSE)="Blunt",Backdoors!AZ15/100,Backdoors!BA15/100)),"")</f>
        <v/>
      </c>
      <c r="CI42" s="49">
        <f>IFERROR(IF(VLOOKUP(tbMoveset!A42,tbMoveset!A2:H112,8,FALSE)="Other",IF(VLOOKUP(tbMoveset!A42,tbMoveset!A2:I112,9,FALSE)="Fire",Backdoors!BB15,IF(VLOOKUP(tbMoveset!A42,tbMoveset!A2:I112,9,FALSE)="Water",Backdoors!BC15,IF(VLOOKUP(tbMoveset!A42,tbMoveset!A2:I112,9,FALSE)="Thunder",Backdoors!BD15,IF(VLOOKUP(tbMoveset!A42,tbMoveset!A2:I112,9,FALSE)="Ice",Backdoors!BE15,IF(VLOOKUP(tbMoveset!A42,tbMoveset!A2:I112,9,FALSE)="Dragon",Backdoors!BF15,Backdoors!BG15)))))/100,Backdoors!BG15/100),"")</f>
        <v>0</v>
      </c>
      <c r="CJ42" s="49">
        <f>IFERROR(IF(VLOOKUP(A42,tbMoveset!A2:J112,10,FALSE)=TRUE,IF((Backdoors!AI12+IF(CH42&gt;=0.45,VLOOKUP(Calculator!E23,tbSkills!DH3:DI6,2,FALSE)+IF(AND(Calculator!B8=TRUE,Backdoors!BI15=TRUE),VLOOKUP(Calculator!E23,tbSkills!DH3:DJ6,3,FALSE),0),0))&gt;=0,1+(Backdoors!AL2*(IF((Backdoors!AI12+IF(CH42&gt;=0.45,VLOOKUP(Calculator!E23,tbSkills!DH3:DI6,2,FALSE)+IF(AND(Calculator!B8=TRUE,Backdoors!BI15=TRUE),VLOOKUP(Calculator!E23,tbSkills!DH3:DJ6,3,FALSE),0),0))&gt;=100,100,(Backdoors!AI12+IF(CH42&gt;=0.45,VLOOKUP(Calculator!E23,tbSkills!DH3:DI6,2,FALSE)+IF(AND(Calculator!B8=TRUE,Backdoors!BI15=TRUE),VLOOKUP(Calculator!E23,tbSkills!DH3:DJ6,3,FALSE),0),0)))/100)),(1-(0.25*((-Backdoors!AI12-IF(CH42&gt;=0.45,VLOOKUP(Calculator!E23,tbSkills!DH3:DI6,2,FALSE)+IF(AND(Calculator!B8=TRUE,Backdoors!BI15=TRUE),VLOOKUP(Calculator!E23,tbSkills!DH3:DJ6,3,FALSE),0),0))/100)))),1),"")</f>
        <v>1</v>
      </c>
      <c r="CK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H42)*CJ42)*(VLOOKUP(A42,tbMoveset!A2:C112,3,FALSE)/100)*IF(VLOOKUP(A42,tbMoveset!A2:B112,2,FALSE)="Projectile",Backdoors!N10,Backdoors!N9),0),"")</f>
        <v/>
      </c>
      <c r="CL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H42&gt;=0.45,VLOOKUP(Calculator!E23,tbSkills!DH3:DI6,2,FALSE)+IF(AND(Calculator!B8=TRUE,Backdoors!BI15=TRUE),VLOOKUP(Calculator!E23,tbSkills!DH3:DJ6,3,FALSE),0),0))&gt;=100,100,(Backdoors!AI12+IF(CH42&gt;=0.45,VLOOKUP(Calculator!E23,tbSkills!DH3:DI6,2,FALSE)+IF(AND(Calculator!B8=TRUE,Backdoors!BI15=TRUE),VLOOKUP(Calculator!E23,tbSkills!DH3:DJ6,3,FALSE),0),0)))/100)),1))*IF(VLOOKUP(A42,tbMoveset!A2:K112,11,FALSE)=TRUE,Backdoors!AC5,1))*CI42,0),"")</f>
        <v>0</v>
      </c>
      <c r="CM42" s="49">
        <f>VLOOKUP(A42,tbMoveset!A2:G112,7,FALSE)*IFERROR(IF(Backdoors!AI12&gt;=0,1+(IF(Calculator!E40&gt;0,VLOOKUP(Calculator!E40,tbSkills!AI3:AJ5,2,FALSE),Backdoors!AL4)*(IF((Backdoors!AI12+IF(CH42&gt;=0.45,VLOOKUP(Calculator!E23,tbSkills!DH3:DI6,2,FALSE)+IF(AND(Calculator!B8=TRUE,Backdoors!BI15=TRUE),VLOOKUP(Calculator!E23,tbSkills!DH3:DJ6,3,FALSE),0),0))&gt;=100,100,(Backdoors!AI12+IF(CH42&gt;=0.45,VLOOKUP(Calculator!E23,tbSkills!DH3:DI6,2,FALSE)+IF(AND(Calculator!B8=TRUE,Backdoors!BI15=TRUE),VLOOKUP(Calculator!E23,tbSkills!DH3:DJ6,3,FALSE),0),0)))/100)),1),1)</f>
        <v>0.5</v>
      </c>
      <c r="CN42" s="87">
        <f t="shared" si="7"/>
        <v>0</v>
      </c>
      <c r="CO42" s="86" t="str">
        <f>IFERROR(IF(VLOOKUP(A42,tbMoveset!A2:B112,2,FALSE)="Sever",Backdoors!AY16/100,IF(VLOOKUP(A42,tbMoveset!A2:B112,2,FALSE)="Blunt",Backdoors!AZ16/100,Backdoors!BA16/100)),"")</f>
        <v/>
      </c>
      <c r="CP42" s="49">
        <f>IFERROR(IF(VLOOKUP(tbMoveset!A42,tbMoveset!A2:H112,8,FALSE)="Other",IF(VLOOKUP(tbMoveset!A42,tbMoveset!A2:I112,9,FALSE)="Fire",Backdoors!BB16,IF(VLOOKUP(tbMoveset!A42,tbMoveset!A2:I112,9,FALSE)="Water",Backdoors!BC16,IF(VLOOKUP(tbMoveset!A42,tbMoveset!A2:I112,9,FALSE)="Thunder",Backdoors!BD16,IF(VLOOKUP(tbMoveset!A42,tbMoveset!A2:I112,9,FALSE)="Ice",Backdoors!BE16,IF(VLOOKUP(tbMoveset!A42,tbMoveset!A2:I112,9,FALSE)="Dragon",Backdoors!BF16,Backdoors!BG16)))))/100,Backdoors!BG16/100),"")</f>
        <v>0</v>
      </c>
      <c r="CQ42" s="49">
        <f>IFERROR(IF(VLOOKUP(A42,tbMoveset!A2:J112,10,FALSE)=TRUE,IF((Backdoors!AI12+IF(CO42&gt;=0.45,VLOOKUP(Calculator!E23,tbSkills!DH3:DI6,2,FALSE)+IF(AND(Calculator!B8=TRUE,Backdoors!BI16=TRUE),VLOOKUP(Calculator!E23,tbSkills!DH3:DJ6,3,FALSE),0),0))&gt;=0,1+(Backdoors!AL2*(IF((Backdoors!AI12+IF(CO42&gt;=0.45,VLOOKUP(Calculator!E23,tbSkills!DH3:DI6,2,FALSE)+IF(AND(Calculator!B8=TRUE,Backdoors!BI16=TRUE),VLOOKUP(Calculator!E23,tbSkills!DH3:DJ6,3,FALSE),0),0))&gt;=100,100,(Backdoors!AI12+IF(CO42&gt;=0.45,VLOOKUP(Calculator!E23,tbSkills!DH3:DI6,2,FALSE)+IF(AND(Calculator!B8=TRUE,Backdoors!BI16=TRUE),VLOOKUP(Calculator!E23,tbSkills!DH3:DJ6,3,FALSE),0),0)))/100)),(1-(0.25*((-Backdoors!AI12-IF(CO42&gt;=0.45,VLOOKUP(Calculator!E23,tbSkills!DH3:DI6,2,FALSE)+IF(AND(Calculator!B8=TRUE,Backdoors!BI16=TRUE),VLOOKUP(Calculator!E23,tbSkills!DH3:DJ6,3,FALSE),0),0))/100)))),1),"")</f>
        <v>1</v>
      </c>
      <c r="CR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O42)*CQ42)*(VLOOKUP(A42,tbMoveset!A2:C112,3,FALSE)/100)*IF(VLOOKUP(A42,tbMoveset!A2:B112,2,FALSE)="Projectile",Backdoors!N10,Backdoors!N9),0),"")</f>
        <v/>
      </c>
      <c r="CS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O42&gt;=0.45,VLOOKUP(Calculator!E23,tbSkills!DH3:DI6,2,FALSE)+IF(AND(Calculator!B8=TRUE,Backdoors!BI16=TRUE),VLOOKUP(Calculator!E23,tbSkills!DH3:DJ6,3,FALSE),0),0))&gt;=100,100,(Backdoors!AI12+IF(CO42&gt;=0.45,VLOOKUP(Calculator!E23,tbSkills!DH3:DI6,2,FALSE)+IF(AND(Calculator!B8=TRUE,Backdoors!BI16=TRUE),VLOOKUP(Calculator!E23,tbSkills!DH3:DJ6,3,FALSE),0),0)))/100)),1))*IF(VLOOKUP(A42,tbMoveset!A2:K112,11,FALSE)=TRUE,Backdoors!AC5,1))*CP42,0),"")</f>
        <v>0</v>
      </c>
      <c r="CT42" s="49">
        <f>VLOOKUP(A42,tbMoveset!A2:G112,7,FALSE)*IFERROR(IF(Backdoors!AI12&gt;=0,1+(IF(Calculator!E40&gt;0,VLOOKUP(Calculator!E40,tbSkills!AI3:AJ5,2,FALSE),Backdoors!AL4)*(IF((Backdoors!AI12+IF(CO42&gt;=0.45,VLOOKUP(Calculator!E23,tbSkills!DH3:DI6,2,FALSE)+IF(AND(Calculator!B8=TRUE,Backdoors!BI16=TRUE),VLOOKUP(Calculator!E23,tbSkills!DH3:DJ6,3,FALSE),0),0))&gt;=100,100,(Backdoors!AI12+IF(CO42&gt;=0.45,VLOOKUP(Calculator!E23,tbSkills!DH3:DI6,2,FALSE)+IF(AND(Calculator!B8=TRUE,Backdoors!BI16=TRUE),VLOOKUP(Calculator!E23,tbSkills!DH3:DJ6,3,FALSE),0),0)))/100)),1),1)</f>
        <v>0.5</v>
      </c>
      <c r="CU42" s="87">
        <f t="shared" si="40"/>
        <v>0</v>
      </c>
      <c r="CV42" s="86" t="str">
        <f>IFERROR(IF(VLOOKUP(A42,tbMoveset!A2:B112,2,FALSE)="Sever",Backdoors!AY17/100,IF(VLOOKUP(A42,tbMoveset!A2:B112,2,FALSE)="Blunt",Backdoors!AZ17/100,Backdoors!BA17/100)),"")</f>
        <v/>
      </c>
      <c r="CW42" s="49">
        <f>IFERROR(IF(VLOOKUP(tbMoveset!A42,tbMoveset!A2:H112,8,FALSE)="Other",IF(VLOOKUP(tbMoveset!A42,tbMoveset!A2:I112,9,FALSE)="Fire",Backdoors!BB17,IF(VLOOKUP(tbMoveset!A42,tbMoveset!A2:I112,9,FALSE)="Water",Backdoors!BC17,IF(VLOOKUP(tbMoveset!A42,tbMoveset!A2:I112,9,FALSE)="Thunder",Backdoors!BD17,IF(VLOOKUP(tbMoveset!A42,tbMoveset!A2:I112,9,FALSE)="Ice",Backdoors!BE17,IF(VLOOKUP(tbMoveset!A42,tbMoveset!A2:I112,9,FALSE)="Dragon",Backdoors!BF17,Backdoors!BG17)))))/100,Backdoors!BG17/100),"")</f>
        <v>0</v>
      </c>
      <c r="CX42" s="49">
        <f>IFERROR(IF(VLOOKUP(A42,tbMoveset!A2:J112,10,FALSE)=TRUE,IF((Backdoors!AI12+IF(CV42&gt;=0.45,VLOOKUP(Calculator!E23,tbSkills!DH3:DI6,2,FALSE)+IF(AND(Calculator!B8=TRUE,Backdoors!BI17=TRUE),VLOOKUP(Calculator!E23,tbSkills!DH3:DJ6,3,FALSE),0),0))&gt;=0,1+(Backdoors!AL2*(IF((Backdoors!AI12+IF(CV42&gt;=0.45,VLOOKUP(Calculator!E23,tbSkills!DH3:DI6,2,FALSE)+IF(AND(Calculator!B8=TRUE,Backdoors!BI17=TRUE),VLOOKUP(Calculator!E23,tbSkills!DH3:DJ6,3,FALSE),0),0))&gt;=100,100,(Backdoors!AI12+IF(CV42&gt;=0.45,VLOOKUP(Calculator!E23,tbSkills!DH3:DI6,2,FALSE)+IF(AND(Calculator!B8=TRUE,Backdoors!BI17=TRUE),VLOOKUP(Calculator!E23,tbSkills!DH3:DJ6,3,FALSE),0),0)))/100)),(1-(0.25*((-Backdoors!AI12-IF(CV42&gt;=0.45,VLOOKUP(Calculator!E23,tbSkills!DH3:DI6,2,FALSE)+IF(AND(Calculator!B8=TRUE,Backdoors!BI17=TRUE),VLOOKUP(Calculator!E23,tbSkills!DH3:DJ6,3,FALSE),0),0))/100)))),1),"")</f>
        <v>1</v>
      </c>
      <c r="CY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V42)*CX42)*(VLOOKUP(A42,tbMoveset!A2:C112,3,FALSE)/100)*IF(VLOOKUP(A42,tbMoveset!A2:B112,2,FALSE)="Projectile",Backdoors!N10,Backdoors!N9),0),"")</f>
        <v/>
      </c>
      <c r="CZ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V42&gt;=0.45,VLOOKUP(Calculator!E23,tbSkills!DH3:DI6,2,FALSE)+IF(AND(Calculator!B8=TRUE,Backdoors!BI17=TRUE),VLOOKUP(Calculator!E23,tbSkills!DH3:DJ6,3,FALSE),0),0))&gt;=100,100,(Backdoors!AI12+IF(CV42&gt;=0.45,VLOOKUP(Calculator!E23,tbSkills!DH3:DI6,2,FALSE)+IF(AND(Calculator!B8=TRUE,Backdoors!BI17=TRUE),VLOOKUP(Calculator!E23,tbSkills!DH3:DJ6,3,FALSE),0),0)))/100)),1))*IF(VLOOKUP(A42,tbMoveset!A2:K112,11,FALSE)=TRUE,Backdoors!AC5,1))*CW42,0),"")</f>
        <v>0</v>
      </c>
      <c r="DA42" s="49">
        <f>VLOOKUP(A42,tbMoveset!A2:G112,7,FALSE)*IFERROR(IF(Backdoors!AI12&gt;=0,1+(IF(Calculator!E40&gt;0,VLOOKUP(Calculator!E40,tbSkills!AI3:AJ5,2,FALSE),Backdoors!AL4)*(IF((Backdoors!AI12+IF(CV42&gt;=0.45,VLOOKUP(Calculator!E23,tbSkills!DH3:DI6,2,FALSE)+IF(AND(Calculator!B8=TRUE,Backdoors!BI17=TRUE),VLOOKUP(Calculator!E23,tbSkills!DH3:DJ6,3,FALSE),0),0))&gt;=100,100,(Backdoors!AI12+IF(CV42&gt;=0.45,VLOOKUP(Calculator!E23,tbSkills!DH3:DI6,2,FALSE)+IF(AND(Calculator!B8=TRUE,Backdoors!BI17=TRUE),VLOOKUP(Calculator!E23,tbSkills!DH3:DJ6,3,FALSE),0),0)))/100)),1),1)</f>
        <v>0.5</v>
      </c>
      <c r="DB42" s="87">
        <f t="shared" si="8"/>
        <v>0</v>
      </c>
      <c r="DC42" s="86" t="str">
        <f>IFERROR(IF(VLOOKUP(A42,tbMoveset!A2:B112,2,FALSE)="Sever",Backdoors!AY18/100,IF(VLOOKUP(A42,tbMoveset!A2:B112,2,FALSE)="Blunt",Backdoors!AZ18/100,Backdoors!BA18/100)),"")</f>
        <v/>
      </c>
      <c r="DD42" s="49">
        <f>IFERROR(IF(VLOOKUP(tbMoveset!A42,tbMoveset!A2:H112,8,FALSE)="Other",IF(VLOOKUP(tbMoveset!A42,tbMoveset!A2:I112,9,FALSE)="Fire",Backdoors!BB18,IF(VLOOKUP(tbMoveset!A42,tbMoveset!A2:I112,9,FALSE)="Water",Backdoors!BC18,IF(VLOOKUP(tbMoveset!A42,tbMoveset!A2:I112,9,FALSE)="Thunder",Backdoors!BD18,IF(VLOOKUP(tbMoveset!A42,tbMoveset!A2:I112,9,FALSE)="Ice",Backdoors!BE18,IF(VLOOKUP(tbMoveset!A42,tbMoveset!A2:I112,9,FALSE)="Dragon",Backdoors!BF18,Backdoors!BG18)))))/100,Backdoors!BG18/100),"")</f>
        <v>0</v>
      </c>
      <c r="DE42" s="49">
        <f>IFERROR(IF(VLOOKUP(A42,tbMoveset!A2:J112,10,FALSE)=TRUE,IF((Backdoors!AI12+IF(DC42&gt;=0.45,VLOOKUP(Calculator!E23,tbSkills!DH3:DI6,2,FALSE)+IF(AND(Calculator!B8=TRUE,Backdoors!BI18=TRUE),VLOOKUP(Calculator!E23,tbSkills!DH3:DJ6,3,FALSE),0),0))&gt;=0,1+(Backdoors!AL2*(IF((Backdoors!AI12+IF(DC42&gt;=0.45,VLOOKUP(Calculator!E23,tbSkills!DH3:DI6,2,FALSE)+IF(AND(Calculator!B8=TRUE,Backdoors!BI18=TRUE),VLOOKUP(Calculator!E23,tbSkills!DH3:DJ6,3,FALSE),0),0))&gt;=100,100,(Backdoors!AI12+IF(DC42&gt;=0.45,VLOOKUP(Calculator!E23,tbSkills!DH3:DI6,2,FALSE)+IF(AND(Calculator!B8=TRUE,Backdoors!BI18=TRUE),VLOOKUP(Calculator!E23,tbSkills!DH3:DJ6,3,FALSE),0),0)))/100)),(1-(0.25*((-Backdoors!AI12-IF(DC42&gt;=0.45,VLOOKUP(Calculator!E23,tbSkills!DH3:DI6,2,FALSE)+IF(AND(Calculator!B8=TRUE,Backdoors!BI18=TRUE),VLOOKUP(Calculator!E23,tbSkills!DH3:DJ6,3,FALSE),0),0))/100)))),1),"")</f>
        <v>1</v>
      </c>
      <c r="DF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C42)*DE42)*(VLOOKUP(A42,tbMoveset!A2:C112,3,FALSE)/100)*IF(VLOOKUP(A42,tbMoveset!A2:B112,2,FALSE)="Projectile",Backdoors!N10,Backdoors!N9),0),"")</f>
        <v/>
      </c>
      <c r="DG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C42&gt;=0.45,VLOOKUP(Calculator!E23,tbSkills!DH3:DI6,2,FALSE)+IF(AND(Calculator!B8=TRUE,Backdoors!BI18=TRUE),VLOOKUP(Calculator!E23,tbSkills!DH3:DJ6,3,FALSE),0),0))&gt;=100,100,(Backdoors!AI12+IF(DC42&gt;=0.45,VLOOKUP(Calculator!E23,tbSkills!DH3:DI6,2,FALSE)+IF(AND(Calculator!B8=TRUE,Backdoors!BI18=TRUE),VLOOKUP(Calculator!E23,tbSkills!DH3:DJ6,3,FALSE),0),0)))/100)),1))*IF(VLOOKUP(A42,tbMoveset!A2:K112,11,FALSE)=TRUE,Backdoors!AC5,1))*DD42,0),"")</f>
        <v>0</v>
      </c>
      <c r="DH42" s="49">
        <f>VLOOKUP(A42,tbMoveset!A2:G112,7,FALSE)*IFERROR(IF(Backdoors!AI12&gt;=0,1+(IF(Calculator!E40&gt;0,VLOOKUP(Calculator!E40,tbSkills!AI3:AJ5,2,FALSE),Backdoors!AL4)*(IF((Backdoors!AI12+IF(DC42&gt;=0.45,VLOOKUP(Calculator!E23,tbSkills!DH3:DI6,2,FALSE)+IF(AND(Calculator!B8=TRUE,Backdoors!BI18=TRUE),VLOOKUP(Calculator!E23,tbSkills!DH3:DJ6,3,FALSE),0),0))&gt;=100,100,(Backdoors!AI12+IF(DC42&gt;=0.45,VLOOKUP(Calculator!E23,tbSkills!DH3:DI6,2,FALSE)+IF(AND(Calculator!B8=TRUE,Backdoors!BI18=TRUE),VLOOKUP(Calculator!E23,tbSkills!DH3:DJ6,3,FALSE),0),0)))/100)),1),1)</f>
        <v>0.5</v>
      </c>
      <c r="DI42" s="87">
        <f t="shared" si="9"/>
        <v>0</v>
      </c>
      <c r="DJ42" s="86" t="str">
        <f>IFERROR(IF(VLOOKUP(A42,tbMoveset!A2:B112,2,FALSE)="Sever",Backdoors!AY19/100,IF(VLOOKUP(A42,tbMoveset!A2:B112,2,FALSE)="Blunt",Backdoors!AZ19/100,Backdoors!BA19/100)),"")</f>
        <v/>
      </c>
      <c r="DK42" s="49">
        <f>IFERROR(IF(VLOOKUP(tbMoveset!A42,tbMoveset!A2:H112,8,FALSE)="Other",IF(VLOOKUP(tbMoveset!A42,tbMoveset!A2:I112,9,FALSE)="Fire",Backdoors!BB19,IF(VLOOKUP(tbMoveset!A42,tbMoveset!A2:I112,9,FALSE)="Water",Backdoors!BC19,IF(VLOOKUP(tbMoveset!A42,tbMoveset!A2:I112,9,FALSE)="Thunder",Backdoors!BD19,IF(VLOOKUP(tbMoveset!A42,tbMoveset!A2:I112,9,FALSE)="Ice",Backdoors!BE19,IF(VLOOKUP(tbMoveset!A42,tbMoveset!A2:I112,9,FALSE)="Dragon",Backdoors!BF19,Backdoors!BG19)))))/100,Backdoors!BG19/100),"")</f>
        <v>0</v>
      </c>
      <c r="DL42" s="49">
        <f>IFERROR(IF(VLOOKUP(A42,tbMoveset!A2:J112,10,FALSE)=TRUE,IF((Backdoors!AI12+IF(DJ42&gt;=0.45,VLOOKUP(Calculator!E23,tbSkills!DH3:DI6,2,FALSE)+IF(AND(Calculator!B8=TRUE,Backdoors!BI19=TRUE),VLOOKUP(Calculator!E23,tbSkills!DH3:DJ6,3,FALSE),0),0))&gt;=0,1+(Backdoors!AL2*(IF((Backdoors!AI12+IF(DJ42&gt;=0.45,VLOOKUP(Calculator!E23,tbSkills!DH3:DI6,2,FALSE)+IF(AND(Calculator!B8=TRUE,Backdoors!BI19=TRUE),VLOOKUP(Calculator!E23,tbSkills!DH3:DJ6,3,FALSE),0),0))&gt;=100,100,(Backdoors!AI12+IF(DJ42&gt;=0.45,VLOOKUP(Calculator!E23,tbSkills!DH3:DI6,2,FALSE)+IF(AND(Calculator!B8=TRUE,Backdoors!BI19=TRUE),VLOOKUP(Calculator!E23,tbSkills!DH3:DJ6,3,FALSE),0),0)))/100)),(1-(0.25*((-Backdoors!AI12-IF(DJ42&gt;=0.45,VLOOKUP(Calculator!E23,tbSkills!DH3:DI6,2,FALSE)+IF(AND(Calculator!B8=TRUE,Backdoors!BI19=TRUE),VLOOKUP(Calculator!E23,tbSkills!DH3:DJ6,3,FALSE),0),0))/100)))),1),"")</f>
        <v>1</v>
      </c>
      <c r="DM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J42)*DL42)*(VLOOKUP(A42,tbMoveset!A2:C112,3,FALSE)/100)*IF(VLOOKUP(A42,tbMoveset!A2:B112,2,FALSE)="Projectile",Backdoors!N10,Backdoors!N9),0),"")</f>
        <v/>
      </c>
      <c r="DN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J42&gt;=0.45,VLOOKUP(Calculator!E23,tbSkills!DH3:DI6,2,FALSE)+IF(AND(Calculator!B8=TRUE,Backdoors!BI19=TRUE),VLOOKUP(Calculator!E23,tbSkills!DH3:DJ6,3,FALSE),0),0))&gt;=100,100,(Backdoors!AI12+IF(DJ42&gt;=0.45,VLOOKUP(Calculator!E23,tbSkills!DH3:DI6,2,FALSE)+IF(AND(Calculator!B8=TRUE,Backdoors!BI19=TRUE),VLOOKUP(Calculator!E23,tbSkills!DH3:DJ6,3,FALSE),0),0)))/100)),1))*IF(VLOOKUP(A42,tbMoveset!A2:K112,11,FALSE)=TRUE,Backdoors!AC5,1))*DK42,0),"")</f>
        <v>0</v>
      </c>
      <c r="DO42" s="49">
        <f>VLOOKUP(A42,tbMoveset!A2:G112,7,FALSE)*IFERROR(IF(Backdoors!AI12&gt;=0,1+(IF(Calculator!E40&gt;0,VLOOKUP(Calculator!E40,tbSkills!AI3:AJ5,2,FALSE),Backdoors!AL4)*(IF((Backdoors!AI12+IF(DJ42&gt;=0.45,VLOOKUP(Calculator!E23,tbSkills!DH3:DI6,2,FALSE)+IF(AND(Calculator!B8=TRUE,Backdoors!BI19=TRUE),VLOOKUP(Calculator!E23,tbSkills!DH3:DJ6,3,FALSE),0),0))&gt;=100,100,(Backdoors!AI12+IF(DJ42&gt;=0.45,VLOOKUP(Calculator!E23,tbSkills!DH3:DI6,2,FALSE)+IF(AND(Calculator!B8=TRUE,Backdoors!BI19=TRUE),VLOOKUP(Calculator!E23,tbSkills!DH3:DJ6,3,FALSE),0),0)))/100)),1),1)</f>
        <v>0.5</v>
      </c>
      <c r="DP42" s="87">
        <f t="shared" si="41"/>
        <v>0</v>
      </c>
      <c r="DQ42" s="86" t="str">
        <f>IFERROR(IF(VLOOKUP(A42,tbMoveset!A2:B112,2,FALSE)="Sever",Backdoors!AY20/100,IF(VLOOKUP(A42,tbMoveset!A2:B112,2,FALSE)="Blunt",Backdoors!AZ20/100,Backdoors!BA20/100)),"")</f>
        <v/>
      </c>
      <c r="DR42" s="49">
        <f>IFERROR(IF(VLOOKUP(tbMoveset!A42,tbMoveset!A2:H112,8,FALSE)="Other",IF(VLOOKUP(tbMoveset!A42,tbMoveset!A2:I112,9,FALSE)="Fire",Backdoors!BB20,IF(VLOOKUP(tbMoveset!A42,tbMoveset!A2:I112,9,FALSE)="Water",Backdoors!BC20,IF(VLOOKUP(tbMoveset!A42,tbMoveset!A2:I112,9,FALSE)="Thunder",Backdoors!BD20,IF(VLOOKUP(tbMoveset!A42,tbMoveset!A2:I112,9,FALSE)="Ice",Backdoors!BE20,IF(VLOOKUP(tbMoveset!A42,tbMoveset!A2:I112,9,FALSE)="Dragon",Backdoors!BF20,Backdoors!BG20)))))/100,Backdoors!BG20/100),"")</f>
        <v>0</v>
      </c>
      <c r="DS42" s="49">
        <f>IFERROR(IF(VLOOKUP(A42,tbMoveset!A2:J112,10,FALSE)=TRUE,IF((Backdoors!AI12+IF(DQ42&gt;=0.45,VLOOKUP(Calculator!E23,tbSkills!DH3:DI6,2,FALSE)+IF(AND(Calculator!B8=TRUE,Backdoors!BI20=TRUE),VLOOKUP(Calculator!E23,tbSkills!DH3:DJ6,3,FALSE),0),0))&gt;=0,1+(Backdoors!AL2*(IF((Backdoors!AI12+IF(DQ42&gt;=0.45,VLOOKUP(Calculator!E23,tbSkills!DH3:DI6,2,FALSE)+IF(AND(Calculator!B8=TRUE,Backdoors!BI20=TRUE),VLOOKUP(Calculator!E23,tbSkills!DH3:DJ6,3,FALSE),0),0))&gt;=100,100,(Backdoors!AI12+IF(DQ42&gt;=0.45,VLOOKUP(Calculator!E23,tbSkills!DH3:DI6,2,FALSE)+IF(AND(Calculator!B8=TRUE,Backdoors!BI20=TRUE),VLOOKUP(Calculator!E23,tbSkills!DH3:DJ6,3,FALSE),0),0)))/100)),(1-(0.25*((-Backdoors!AI12-IF(DQ42&gt;=0.45,VLOOKUP(Calculator!E23,tbSkills!DH3:DI6,2,FALSE)+IF(AND(Calculator!B8=TRUE,Backdoors!BI20=TRUE),VLOOKUP(Calculator!E23,tbSkills!DH3:DJ6,3,FALSE),0),0))/100)))),1),"")</f>
        <v>1</v>
      </c>
      <c r="DT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Q42)*DS42)*(VLOOKUP(A42,tbMoveset!A2:C112,3,FALSE)/100)*IF(VLOOKUP(A42,tbMoveset!A2:B112,2,FALSE)="Projectile",Backdoors!N10,Backdoors!N9),0),"")</f>
        <v/>
      </c>
      <c r="DU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Q42&gt;=0.45,VLOOKUP(Calculator!E23,tbSkills!DH3:DI6,2,FALSE)+IF(AND(Calculator!B8=TRUE,Backdoors!BI20=TRUE),VLOOKUP(Calculator!E23,tbSkills!DH3:DJ6,3,FALSE),0),0))&gt;=100,100,(Backdoors!AI12+IF(DQ42&gt;=0.45,VLOOKUP(Calculator!E23,tbSkills!DH3:DI6,2,FALSE)+IF(AND(Calculator!B8=TRUE,Backdoors!BI20=TRUE),VLOOKUP(Calculator!E23,tbSkills!DH3:DJ6,3,FALSE),0),0)))/100)),1))*IF(VLOOKUP(A42,tbMoveset!A2:K112,11,FALSE)=TRUE,Backdoors!AC5,1))*DR42,0),"")</f>
        <v>0</v>
      </c>
      <c r="DV42" s="49">
        <f>VLOOKUP(A42,tbMoveset!A2:G112,7,FALSE)*IFERROR(IF(Backdoors!AI12&gt;=0,1+(IF(Calculator!E40&gt;0,VLOOKUP(Calculator!E40,tbSkills!AI3:AJ5,2,FALSE),Backdoors!AL4)*(IF((Backdoors!AI12+IF(DQ42&gt;=0.45,VLOOKUP(Calculator!E23,tbSkills!DH3:DI6,2,FALSE)+IF(AND(Calculator!B8=TRUE,Backdoors!BI20=TRUE),VLOOKUP(Calculator!E23,tbSkills!DH3:DJ6,3,FALSE),0),0))&gt;=100,100,(Backdoors!AI12+IF(DQ42&gt;=0.45,VLOOKUP(Calculator!E23,tbSkills!DH3:DI6,2,FALSE)+IF(AND(Calculator!B8=TRUE,Backdoors!BI20=TRUE),VLOOKUP(Calculator!E23,tbSkills!DH3:DJ6,3,FALSE),0),0)))/100)),1),1)</f>
        <v>0.5</v>
      </c>
      <c r="DW42" s="87">
        <f t="shared" si="10"/>
        <v>0</v>
      </c>
      <c r="DX42" s="86" t="str">
        <f>IFERROR(IF(VLOOKUP(A42,tbMoveset!A2:B112,2,FALSE)="Sever",Backdoors!AY21/100,IF(VLOOKUP(A42,tbMoveset!A2:B112,2,FALSE)="Blunt",Backdoors!AZ21/100,Backdoors!BA21/100)),"")</f>
        <v/>
      </c>
      <c r="DY42" s="49">
        <f>IFERROR(IF(VLOOKUP(tbMoveset!A42,tbMoveset!A2:H112,8,FALSE)="Other",IF(VLOOKUP(tbMoveset!A42,tbMoveset!A2:I112,9,FALSE)="Fire",Backdoors!BB21,IF(VLOOKUP(tbMoveset!A42,tbMoveset!A2:I112,9,FALSE)="Water",Backdoors!BC21,IF(VLOOKUP(tbMoveset!A42,tbMoveset!A2:I112,9,FALSE)="Thunder",Backdoors!BD21,IF(VLOOKUP(tbMoveset!A42,tbMoveset!A2:I112,9,FALSE)="Ice",Backdoors!BE21,IF(VLOOKUP(tbMoveset!A42,tbMoveset!A2:I112,9,FALSE)="Dragon",Backdoors!BF21,Backdoors!BG21)))))/100,Backdoors!BG21/100),"")</f>
        <v>0</v>
      </c>
      <c r="DZ42" s="49">
        <f>IFERROR(IF(VLOOKUP(A42,tbMoveset!A2:J112,10,FALSE)=TRUE,IF((Backdoors!AI12+IF(DX42&gt;=0.45,VLOOKUP(Calculator!E23,tbSkills!DH3:DI6,2,FALSE)+IF(AND(Calculator!B8=TRUE,Backdoors!BI21=TRUE),VLOOKUP(Calculator!E23,tbSkills!DH3:DJ6,3,FALSE),0),0))&gt;=0,1+(Backdoors!AL2*(IF((Backdoors!AI12+IF(DX42&gt;=0.45,VLOOKUP(Calculator!E23,tbSkills!DH3:DI6,2,FALSE)+IF(AND(Calculator!B8=TRUE,Backdoors!BI21=TRUE),VLOOKUP(Calculator!E23,tbSkills!DH3:DJ6,3,FALSE),0),0))&gt;=100,100,(Backdoors!AI12+IF(DX42&gt;=0.45,VLOOKUP(Calculator!E23,tbSkills!DH3:DI6,2,FALSE)+IF(AND(Calculator!B8=TRUE,Backdoors!BI21=TRUE),VLOOKUP(Calculator!E23,tbSkills!DH3:DJ6,3,FALSE),0),0)))/100)),(1-(0.25*((-Backdoors!AI12-IF(DX42&gt;=0.45,VLOOKUP(Calculator!E23,tbSkills!DH3:DI6,2,FALSE)+IF(AND(Calculator!B8=TRUE,Backdoors!BI21=TRUE),VLOOKUP(Calculator!E23,tbSkills!DH3:DJ6,3,FALSE),0),0))/100)))),1),"")</f>
        <v>1</v>
      </c>
      <c r="EA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X42)*DZ42)*(VLOOKUP(A42,tbMoveset!A2:C112,3,FALSE)/100)*IF(VLOOKUP(A42,tbMoveset!A2:B112,2,FALSE)="Projectile",Backdoors!N10,Backdoors!N9),0),"")</f>
        <v/>
      </c>
      <c r="EB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X42&gt;=0.45,VLOOKUP(Calculator!E23,tbSkills!DH3:DI6,2,FALSE)+IF(AND(Calculator!B8=TRUE,Backdoors!BI21=TRUE),VLOOKUP(Calculator!E23,tbSkills!DH3:DJ6,3,FALSE),0),0))&gt;=100,100,(Backdoors!AI12+IF(DX42&gt;=0.45,VLOOKUP(Calculator!E23,tbSkills!DH3:DI6,2,FALSE)+IF(AND(Calculator!B8=TRUE,Backdoors!BI21=TRUE),VLOOKUP(Calculator!E23,tbSkills!DH3:DJ6,3,FALSE),0),0)))/100)),1))*IF(VLOOKUP(A42,tbMoveset!A2:K112,11,FALSE)=TRUE,Backdoors!AC5,1))*DY42,0),"")</f>
        <v>0</v>
      </c>
      <c r="EC42" s="49">
        <f>VLOOKUP(A42,tbMoveset!A2:G112,7,FALSE)*IFERROR(IF(Backdoors!AI12&gt;=0,1+(IF(Calculator!E40&gt;0,VLOOKUP(Calculator!E40,tbSkills!AI3:AJ5,2,FALSE),Backdoors!AL4)*(IF((Backdoors!AI12+IF(DX42&gt;=0.45,VLOOKUP(Calculator!E23,tbSkills!DH3:DI6,2,FALSE)+IF(AND(Calculator!B8=TRUE,Backdoors!BI21=TRUE),VLOOKUP(Calculator!E23,tbSkills!DH3:DJ6,3,FALSE),0),0))&gt;=100,100,(Backdoors!AI12+IF(DX42&gt;=0.45,VLOOKUP(Calculator!E23,tbSkills!DH3:DI6,2,FALSE)+IF(AND(Calculator!B8=TRUE,Backdoors!BI21=TRUE),VLOOKUP(Calculator!E23,tbSkills!DH3:DJ6,3,FALSE),0),0)))/100)),1),1)</f>
        <v>0.5</v>
      </c>
      <c r="ED42" s="87">
        <f t="shared" si="11"/>
        <v>0</v>
      </c>
      <c r="EE42" s="86" t="str">
        <f>IFERROR(IF(VLOOKUP(A42,tbMoveset!A2:B112,2,FALSE)="Sever",Backdoors!AY22/100,IF(VLOOKUP(A42,tbMoveset!A2:B112,2,FALSE)="Blunt",Backdoors!AZ22/100,Backdoors!BA22/100)),"")</f>
        <v/>
      </c>
      <c r="EF42" s="49">
        <f>IFERROR(IF(VLOOKUP(tbMoveset!A42,tbMoveset!A2:H112,8,FALSE)="Other",IF(VLOOKUP(tbMoveset!A42,tbMoveset!A2:I112,9,FALSE)="Fire",Backdoors!BB22,IF(VLOOKUP(tbMoveset!A42,tbMoveset!A2:I112,9,FALSE)="Water",Backdoors!BC22,IF(VLOOKUP(tbMoveset!A42,tbMoveset!A2:I112,9,FALSE)="Thunder",Backdoors!BD22,IF(VLOOKUP(tbMoveset!A42,tbMoveset!A2:I112,9,FALSE)="Ice",Backdoors!BE22,IF(VLOOKUP(tbMoveset!A42,tbMoveset!A2:I112,9,FALSE)="Dragon",Backdoors!BF22,Backdoors!BG22)))))/100,Backdoors!BG22/100),"")</f>
        <v>0</v>
      </c>
      <c r="EG42" s="49">
        <f>IFERROR(IF(VLOOKUP(A42,tbMoveset!A2:J112,10,FALSE)=TRUE,IF((Backdoors!AI12+IF(EE42&gt;=0.45,VLOOKUP(Calculator!E23,tbSkills!DH3:DI6,2,FALSE)+IF(AND(Calculator!B8=TRUE,Backdoors!BI22=TRUE),VLOOKUP(Calculator!E23,tbSkills!DH3:DJ6,3,FALSE),0),0))&gt;=0,1+(Backdoors!AL2*(IF((Backdoors!AI12+IF(EE42&gt;=0.45,VLOOKUP(Calculator!E23,tbSkills!DH3:DI6,2,FALSE)+IF(AND(Calculator!B8=TRUE,Backdoors!BI22=TRUE),VLOOKUP(Calculator!E23,tbSkills!DH3:DJ6,3,FALSE),0),0))&gt;=100,100,(Backdoors!AI12+IF(EE42&gt;=0.45,VLOOKUP(Calculator!E23,tbSkills!DH3:DI6,2,FALSE)+IF(AND(Calculator!B8=TRUE,Backdoors!BI22=TRUE),VLOOKUP(Calculator!E23,tbSkills!DH3:DJ6,3,FALSE),0),0)))/100)),(1-(0.25*((-Backdoors!AI12-IF(EE42&gt;=0.45,VLOOKUP(Calculator!E23,tbSkills!DH3:DI6,2,FALSE)+IF(AND(Calculator!B8=TRUE,Backdoors!BI22=TRUE),VLOOKUP(Calculator!E23,tbSkills!DH3:DJ6,3,FALSE),0),0))/100)))),1),"")</f>
        <v>1</v>
      </c>
      <c r="EH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E42)*EG42)*(VLOOKUP(A42,tbMoveset!A2:C112,3,FALSE)/100)*IF(VLOOKUP(A42,tbMoveset!A2:B112,2,FALSE)="Projectile",Backdoors!N10,Backdoors!N9),0),"")</f>
        <v/>
      </c>
      <c r="EI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E42&gt;=0.45,VLOOKUP(Calculator!E23,tbSkills!DH3:DI6,2,FALSE)+IF(AND(Calculator!B8=TRUE,Backdoors!BI22=TRUE),VLOOKUP(Calculator!E23,tbSkills!DH3:DJ6,3,FALSE),0),0))&gt;=100,100,(Backdoors!AI12+IF(EE42&gt;=0.45,VLOOKUP(Calculator!E23,tbSkills!DH3:DI6,2,FALSE)+IF(AND(Calculator!B8=TRUE,Backdoors!BI22=TRUE),VLOOKUP(Calculator!E23,tbSkills!DH3:DJ6,3,FALSE),0),0)))/100)),1))*IF(VLOOKUP(A42,tbMoveset!A2:K112,11,FALSE)=TRUE,Backdoors!AC5,1))*EF42,0),"")</f>
        <v>0</v>
      </c>
      <c r="EJ42" s="49">
        <f>VLOOKUP(A42,tbMoveset!A2:G112,7,FALSE)*IFERROR(IF(Backdoors!AI12&gt;=0,1+(IF(Calculator!E40&gt;0,VLOOKUP(Calculator!E40,tbSkills!AI3:AJ5,2,FALSE),Backdoors!AL4)*(IF((Backdoors!AI12+IF(EE42&gt;=0.45,VLOOKUP(Calculator!E23,tbSkills!DH3:DI6,2,FALSE)+IF(AND(Calculator!B8=TRUE,Backdoors!BI22=TRUE),VLOOKUP(Calculator!E23,tbSkills!DH3:DJ6,3,FALSE),0),0))&gt;=100,100,(Backdoors!AI12+IF(EE42&gt;=0.45,VLOOKUP(Calculator!E23,tbSkills!DH3:DI6,2,FALSE)+IF(AND(Calculator!B8=TRUE,Backdoors!BI22=TRUE),VLOOKUP(Calculator!E23,tbSkills!DH3:DJ6,3,FALSE),0),0)))/100)),1),1)</f>
        <v>0.5</v>
      </c>
      <c r="EK42" s="87">
        <f t="shared" si="12"/>
        <v>0</v>
      </c>
      <c r="EL42" s="86" t="str">
        <f>IFERROR(IF(VLOOKUP(A42,tbMoveset!A2:B112,2,FALSE)="Sever",Backdoors!AY23/100,IF(VLOOKUP(A42,tbMoveset!A2:B112,2,FALSE)="Blunt",Backdoors!AZ23/100,Backdoors!BA23/100)),"")</f>
        <v/>
      </c>
      <c r="EM42" s="49">
        <f>IFERROR(IF(VLOOKUP(tbMoveset!A42,tbMoveset!A2:H112,8,FALSE)="Other",IF(VLOOKUP(tbMoveset!A42,tbMoveset!A2:I112,9,FALSE)="Fire",Backdoors!BB23,IF(VLOOKUP(tbMoveset!A42,tbMoveset!A2:I112,9,FALSE)="Water",Backdoors!BC23,IF(VLOOKUP(tbMoveset!A42,tbMoveset!A2:I112,9,FALSE)="Thunder",Backdoors!BD23,IF(VLOOKUP(tbMoveset!A42,tbMoveset!A2:I112,9,FALSE)="Ice",Backdoors!BE23,IF(VLOOKUP(tbMoveset!A42,tbMoveset!A2:I112,9,FALSE)="Dragon",Backdoors!BF23,Backdoors!BG23)))))/100,Backdoors!BG23/100),"")</f>
        <v>0</v>
      </c>
      <c r="EN42" s="49">
        <f>IFERROR(IF(VLOOKUP(A42,tbMoveset!A2:J112,10,FALSE)=TRUE,IF((Backdoors!AI12+IF(EL42&gt;=0.45,VLOOKUP(Calculator!E23,tbSkills!DH3:DI6,2,FALSE)+IF(AND(Calculator!B8=TRUE,Backdoors!BI23=TRUE),VLOOKUP(Calculator!E23,tbSkills!DH3:DJ6,3,FALSE),0),0))&gt;=0,1+(Backdoors!AL2*(IF((Backdoors!AI12+IF(EL42&gt;=0.45,VLOOKUP(Calculator!E23,tbSkills!DH3:DI6,2,FALSE)+IF(AND(Calculator!B8=TRUE,Backdoors!BI23=TRUE),VLOOKUP(Calculator!E23,tbSkills!DH3:DJ6,3,FALSE),0),0))&gt;=100,100,(Backdoors!AI12+IF(EL42&gt;=0.45,VLOOKUP(Calculator!E23,tbSkills!DH3:DI6,2,FALSE)+IF(AND(Calculator!B8=TRUE,Backdoors!BI23=TRUE),VLOOKUP(Calculator!E23,tbSkills!DH3:DJ6,3,FALSE),0),0)))/100)),(1-(0.25*((-Backdoors!AI12-IF(EL42&gt;=0.45,VLOOKUP(Calculator!E23,tbSkills!DH3:DI6,2,FALSE)+IF(AND(Calculator!B8=TRUE,Backdoors!BI23=TRUE),VLOOKUP(Calculator!E23,tbSkills!DH3:DJ6,3,FALSE),0),0))/100)))),1),"")</f>
        <v>1</v>
      </c>
      <c r="EO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L42)*EN42)*(VLOOKUP(A42,tbMoveset!A2:C112,3,FALSE)/100)*IF(VLOOKUP(A42,tbMoveset!A2:B112,2,FALSE)="Projectile",Backdoors!N10,Backdoors!N9),0),"")</f>
        <v/>
      </c>
      <c r="EP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L42&gt;=0.45,VLOOKUP(Calculator!E23,tbSkills!DH3:DI6,2,FALSE)+IF(AND(Calculator!B8=TRUE,Backdoors!BI23=TRUE),VLOOKUP(Calculator!E23,tbSkills!DH3:DJ6,3,FALSE),0),0))&gt;=100,100,(Backdoors!AI12+IF(EL42&gt;=0.45,VLOOKUP(Calculator!E23,tbSkills!DH3:DI6,2,FALSE)+IF(AND(Calculator!B8=TRUE,Backdoors!BI23=TRUE),VLOOKUP(Calculator!E23,tbSkills!DH3:DJ6,3,FALSE),0),0)))/100)),1))*IF(VLOOKUP(A42,tbMoveset!A2:K112,11,FALSE)=TRUE,Backdoors!AC5,1))*EM42,0),"")</f>
        <v>0</v>
      </c>
      <c r="EQ42" s="49">
        <f>VLOOKUP(A42,tbMoveset!A2:G112,7,FALSE)*IFERROR(IF(Backdoors!AI12&gt;=0,1+(IF(Calculator!E40&gt;0,VLOOKUP(Calculator!E40,tbSkills!AI3:AJ5,2,FALSE),Backdoors!AL4)*(IF((Backdoors!AI12+IF(EL42&gt;=0.45,VLOOKUP(Calculator!E23,tbSkills!DH3:DI6,2,FALSE)+IF(AND(Calculator!B8=TRUE,Backdoors!BI23=TRUE),VLOOKUP(Calculator!E23,tbSkills!DH3:DJ6,3,FALSE),0),0))&gt;=100,100,(Backdoors!AI12+IF(EL42&gt;=0.45,VLOOKUP(Calculator!E23,tbSkills!DH3:DI6,2,FALSE)+IF(AND(Calculator!B8=TRUE,Backdoors!BI23=TRUE),VLOOKUP(Calculator!E23,tbSkills!DH3:DJ6,3,FALSE),0),0)))/100)),1),1)</f>
        <v>0.5</v>
      </c>
      <c r="ER42" s="87">
        <f t="shared" si="13"/>
        <v>0</v>
      </c>
      <c r="ES42" s="86" t="str">
        <f>IFERROR(IF(VLOOKUP(A42,tbMoveset!A2:B112,2,FALSE)="Sever",Backdoors!AY24/100,IF(VLOOKUP(A42,tbMoveset!A2:B112,2,FALSE)="Blunt",Backdoors!AZ24/100,Backdoors!BA24/100)),"")</f>
        <v/>
      </c>
      <c r="ET42" s="49">
        <f>IFERROR(IF(VLOOKUP(tbMoveset!A42,tbMoveset!A2:H112,8,FALSE)="Other",IF(VLOOKUP(tbMoveset!A42,tbMoveset!A2:I112,9,FALSE)="Fire",Backdoors!BB24,IF(VLOOKUP(tbMoveset!A42,tbMoveset!A2:I112,9,FALSE)="Water",Backdoors!BC24,IF(VLOOKUP(tbMoveset!A42,tbMoveset!A2:I112,9,FALSE)="Thunder",Backdoors!BD24,IF(VLOOKUP(tbMoveset!A42,tbMoveset!A2:I112,9,FALSE)="Ice",Backdoors!BE24,IF(VLOOKUP(tbMoveset!A42,tbMoveset!A2:I112,9,FALSE)="Dragon",Backdoors!BF24,Backdoors!BG24)))))/100,Backdoors!BG24/100),"")</f>
        <v>0</v>
      </c>
      <c r="EU42" s="49">
        <f>IFERROR(IF(VLOOKUP(A42,tbMoveset!A2:J112,10,FALSE)=TRUE,IF((Backdoors!AI12+IF(ES42&gt;=0.45,VLOOKUP(Calculator!E23,tbSkills!DH3:DI6,2,FALSE)+IF(AND(Calculator!B8=TRUE,Backdoors!BI24=TRUE),VLOOKUP(Calculator!E23,tbSkills!DH3:DJ6,3,FALSE),0),0))&gt;=0,1+(Backdoors!AL2*(IF((Backdoors!AI12+IF(ES42&gt;=0.45,VLOOKUP(Calculator!E23,tbSkills!DH3:DI6,2,FALSE)+IF(AND(Calculator!B8=TRUE,Backdoors!BI24=TRUE),VLOOKUP(Calculator!E23,tbSkills!DH3:DJ6,3,FALSE),0),0))&gt;=100,100,(Backdoors!AI12+IF(ES42&gt;=0.45,VLOOKUP(Calculator!E23,tbSkills!DH3:DI6,2,FALSE)+IF(AND(Calculator!B8=TRUE,Backdoors!BI24=TRUE),VLOOKUP(Calculator!E23,tbSkills!DH3:DJ6,3,FALSE),0),0)))/100)),(1-(0.25*((-Backdoors!AI12-IF(ES42&gt;=0.45,VLOOKUP(Calculator!E23,tbSkills!DH3:DI6,2,FALSE)+IF(AND(Calculator!B8=TRUE,Backdoors!BI24=TRUE),VLOOKUP(Calculator!E23,tbSkills!DH3:DJ6,3,FALSE),0),0))/100)))),1),"")</f>
        <v>1</v>
      </c>
      <c r="EV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S42)*EU42)*(VLOOKUP(A42,tbMoveset!A2:C112,3,FALSE)/100)*IF(VLOOKUP(A42,tbMoveset!A2:B112,2,FALSE)="Projectile",Backdoors!N10,Backdoors!N9),0),"")</f>
        <v/>
      </c>
      <c r="EW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S42&gt;=0.45,VLOOKUP(Calculator!E23,tbSkills!DH3:DI6,2,FALSE)+IF(AND(Calculator!B8=TRUE,Backdoors!BI24=TRUE),VLOOKUP(Calculator!E23,tbSkills!DH3:DJ6,3,FALSE),0),0))&gt;=100,100,(Backdoors!AI12+IF(ES42&gt;=0.45,VLOOKUP(Calculator!E23,tbSkills!DH3:DI6,2,FALSE)+IF(AND(Calculator!B8=TRUE,Backdoors!BI24=TRUE),VLOOKUP(Calculator!E23,tbSkills!DH3:DJ6,3,FALSE),0),0)))/100)),1))*IF(VLOOKUP(A42,tbMoveset!A2:K112,11,FALSE)=TRUE,Backdoors!AC5,1))*ET42,0),"")</f>
        <v>0</v>
      </c>
      <c r="EX42" s="49">
        <f>VLOOKUP(A42,tbMoveset!A2:G112,7,FALSE)*IFERROR(IF(Backdoors!AI12&gt;=0,1+(IF(Calculator!E40&gt;0,VLOOKUP(Calculator!E40,tbSkills!AI3:AJ5,2,FALSE),Backdoors!AL4)*(IF((Backdoors!AI12+IF(ES42&gt;=0.45,VLOOKUP(Calculator!E23,tbSkills!DH3:DI6,2,FALSE)+IF(AND(Calculator!B8=TRUE,Backdoors!BI24=TRUE),VLOOKUP(Calculator!E23,tbSkills!DH3:DJ6,3,FALSE),0),0))&gt;=100,100,(Backdoors!AI12+IF(ES42&gt;=0.45,VLOOKUP(Calculator!E23,tbSkills!DH3:DI6,2,FALSE)+IF(AND(Calculator!B8=TRUE,Backdoors!BI24=TRUE),VLOOKUP(Calculator!E23,tbSkills!DH3:DJ6,3,FALSE),0),0)))/100)),1),1)</f>
        <v>0.5</v>
      </c>
      <c r="EY42" s="87">
        <f t="shared" si="14"/>
        <v>0</v>
      </c>
      <c r="EZ42" s="86" t="str">
        <f>IFERROR(IF(VLOOKUP(A42,tbMoveset!A2:B112,2,FALSE)="Sever",Backdoors!AY25/100,IF(VLOOKUP(A42,tbMoveset!A2:B112,2,FALSE)="Blunt",Backdoors!AZ25/100,Backdoors!BA25/100)),"")</f>
        <v/>
      </c>
      <c r="FA42" s="49">
        <f>IFERROR(IF(VLOOKUP(tbMoveset!A42,tbMoveset!A2:H112,8,FALSE)="Other",IF(VLOOKUP(tbMoveset!A42,tbMoveset!A2:I112,9,FALSE)="Fire",Backdoors!BB25,IF(VLOOKUP(tbMoveset!A42,tbMoveset!A2:I112,9,FALSE)="Water",Backdoors!BC25,IF(VLOOKUP(tbMoveset!A42,tbMoveset!A2:I112,9,FALSE)="Thunder",Backdoors!BD25,IF(VLOOKUP(tbMoveset!A42,tbMoveset!A2:I112,9,FALSE)="Ice",Backdoors!BE25,IF(VLOOKUP(tbMoveset!A42,tbMoveset!A2:I112,9,FALSE)="Dragon",Backdoors!BF25,Backdoors!BG25)))))/100,Backdoors!BG25/100),"")</f>
        <v>0</v>
      </c>
      <c r="FB42" s="49">
        <f>IFERROR(IF(VLOOKUP(A42,tbMoveset!A2:J112,10,FALSE)=TRUE,IF((Backdoors!AI12+IF(EZ42&gt;=0.45,VLOOKUP(Calculator!E23,tbSkills!DH3:DI6,2,FALSE)+IF(AND(Calculator!B8=TRUE,Backdoors!BI25=TRUE),VLOOKUP(Calculator!E23,tbSkills!DH3:DJ6,3,FALSE),0),0))&gt;=0,1+(Backdoors!AL2*(IF((Backdoors!AI12+IF(EZ42&gt;=0.45,VLOOKUP(Calculator!E23,tbSkills!DH3:DI6,2,FALSE)+IF(AND(Calculator!B8=TRUE,Backdoors!BI25=TRUE),VLOOKUP(Calculator!E23,tbSkills!DH3:DJ6,3,FALSE),0),0))&gt;=100,100,(Backdoors!AI12+IF(EZ42&gt;=0.45,VLOOKUP(Calculator!E23,tbSkills!DH3:DI6,2,FALSE)+IF(AND(Calculator!B8=TRUE,Backdoors!BI25=TRUE),VLOOKUP(Calculator!E23,tbSkills!DH3:DJ6,3,FALSE),0),0)))/100)),(1-(0.25*((-Backdoors!AI12-IF(EZ42&gt;=0.45,VLOOKUP(Calculator!E23,tbSkills!DH3:DI6,2,FALSE)+IF(AND(Calculator!B8=TRUE,Backdoors!BI25=TRUE),VLOOKUP(Calculator!E23,tbSkills!DH3:DJ6,3,FALSE),0),0))/100)))),1),"")</f>
        <v>1</v>
      </c>
      <c r="FC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Z42)*FB42)*(VLOOKUP(A42,tbMoveset!A2:C112,3,FALSE)/100)*IF(VLOOKUP(A42,tbMoveset!A2:B112,2,FALSE)="Projectile",Backdoors!N10,Backdoors!N9),0),"")</f>
        <v/>
      </c>
      <c r="FD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Z42&gt;=0.45,VLOOKUP(Calculator!E23,tbSkills!DH3:DI6,2,FALSE)+IF(AND(Calculator!B8=TRUE,Backdoors!BI25=TRUE),VLOOKUP(Calculator!E23,tbSkills!DH3:DJ6,3,FALSE),0),0))&gt;=100,100,(Backdoors!AI12+IF(EZ42&gt;=0.45,VLOOKUP(Calculator!E23,tbSkills!DH3:DI6,2,FALSE)+IF(AND(Calculator!B8=TRUE,Backdoors!BI25=TRUE),VLOOKUP(Calculator!E23,tbSkills!DH3:DJ6,3,FALSE),0),0)))/100)),1))*IF(VLOOKUP(A42,tbMoveset!A2:K112,11,FALSE)=TRUE,Backdoors!AC5,1))*FA42,0),"")</f>
        <v>0</v>
      </c>
      <c r="FE42" s="49">
        <f>VLOOKUP(A42,tbMoveset!A2:G112,7,FALSE)*IFERROR(IF(Backdoors!AI12&gt;=0,1+(IF(Calculator!E40&gt;0,VLOOKUP(Calculator!E40,tbSkills!AI3:AJ5,2,FALSE),Backdoors!AL4)*(IF((Backdoors!AI12+IF(EZ42&gt;=0.45,VLOOKUP(Calculator!E23,tbSkills!DH3:DI6,2,FALSE)+IF(AND(Calculator!B8=TRUE,Backdoors!BI25=TRUE),VLOOKUP(Calculator!E23,tbSkills!DH3:DJ6,3,FALSE),0),0))&gt;=100,100,(Backdoors!AI12+IF(EZ42&gt;=0.45,VLOOKUP(Calculator!E23,tbSkills!DH3:DI6,2,FALSE)+IF(AND(Calculator!B8=TRUE,Backdoors!BI25=TRUE),VLOOKUP(Calculator!E23,tbSkills!DH3:DJ6,3,FALSE),0),0)))/100)),1),1)</f>
        <v>0.5</v>
      </c>
      <c r="FF42" s="87">
        <f t="shared" si="15"/>
        <v>0</v>
      </c>
      <c r="FG42" s="86" t="str">
        <f>IFERROR(IF(VLOOKUP(A42,tbMoveset!A2:B112,2,FALSE)="Sever",Backdoors!AY26/100,IF(VLOOKUP(A42,tbMoveset!A2:B112,2,FALSE)="Blunt",Backdoors!AZ26/100,Backdoors!BA26/100)),"")</f>
        <v/>
      </c>
      <c r="FH42" s="49">
        <f>IFERROR(IF(VLOOKUP(tbMoveset!A42,tbMoveset!A2:H112,8,FALSE)="Other",IF(VLOOKUP(tbMoveset!A42,tbMoveset!A2:I112,9,FALSE)="Fire",Backdoors!BB26,IF(VLOOKUP(tbMoveset!A42,tbMoveset!A2:I112,9,FALSE)="Water",Backdoors!BC26,IF(VLOOKUP(tbMoveset!A42,tbMoveset!A2:I112,9,FALSE)="Thunder",Backdoors!BD26,IF(VLOOKUP(tbMoveset!A42,tbMoveset!A2:I112,9,FALSE)="Ice",Backdoors!BE26,IF(VLOOKUP(tbMoveset!A42,tbMoveset!A2:I112,9,FALSE)="Dragon",Backdoors!BF26,Backdoors!BG26)))))/100,Backdoors!BG26/100),"")</f>
        <v>0</v>
      </c>
      <c r="FI42" s="49">
        <f>IFERROR(IF(VLOOKUP(A42,tbMoveset!A2:J112,10,FALSE)=TRUE,IF((Backdoors!AI12+IF(FG42&gt;=0.45,VLOOKUP(Calculator!E23,tbSkills!DH3:DI6,2,FALSE)+IF(AND(Calculator!B8=TRUE,Backdoors!BI26=TRUE),VLOOKUP(Calculator!E23,tbSkills!DH3:DJ6,3,FALSE),0),0))&gt;=0,1+(Backdoors!AL2*(IF((Backdoors!AI12+IF(FG42&gt;=0.45,VLOOKUP(Calculator!E23,tbSkills!DH3:DI6,2,FALSE)+IF(AND(Calculator!B8=TRUE,Backdoors!BI26=TRUE),VLOOKUP(Calculator!E23,tbSkills!DH3:DJ6,3,FALSE),0),0))&gt;=100,100,(Backdoors!AI12+IF(FG42&gt;=0.45,VLOOKUP(Calculator!E23,tbSkills!DH3:DI6,2,FALSE)+IF(AND(Calculator!B8=TRUE,Backdoors!BI26=TRUE),VLOOKUP(Calculator!E23,tbSkills!DH3:DJ6,3,FALSE),0),0)))/100)),(1-(0.25*((-Backdoors!AI12-IF(FG42&gt;=0.45,VLOOKUP(Calculator!E23,tbSkills!DH3:DI6,2,FALSE)+IF(AND(Calculator!B8=TRUE,Backdoors!BI26=TRUE),VLOOKUP(Calculator!E23,tbSkills!DH3:DJ6,3,FALSE),0),0))/100)))),1),"")</f>
        <v>1</v>
      </c>
      <c r="FJ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FG42)*FI42)*(VLOOKUP(A42,tbMoveset!A2:C112,3,FALSE)/100)*IF(VLOOKUP(A42,tbMoveset!A2:B112,2,FALSE)="Projectile",Backdoors!N10,Backdoors!N9),0),"")</f>
        <v/>
      </c>
      <c r="FK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FG42&gt;=0.45,VLOOKUP(Calculator!E23,tbSkills!DH3:DI6,2,FALSE)+IF(AND(Calculator!B8=TRUE,Backdoors!BI26=TRUE),VLOOKUP(Calculator!E23,tbSkills!DH3:DJ6,3,FALSE),0),0))&gt;=100,100,(Backdoors!AI12+IF(FG42&gt;=0.45,VLOOKUP(Calculator!E23,tbSkills!DH3:DI6,2,FALSE)+IF(AND(Calculator!B8=TRUE,Backdoors!BI26=TRUE),VLOOKUP(Calculator!E23,tbSkills!DH3:DJ6,3,FALSE),0),0)))/100)),1))*IF(VLOOKUP(A42,tbMoveset!A2:K112,11,FALSE)=TRUE,Backdoors!AC5,1))*FH42,0),"")</f>
        <v>0</v>
      </c>
      <c r="FL42" s="49">
        <f>VLOOKUP(A42,tbMoveset!A2:G112,7,FALSE)*IFERROR(IF(Backdoors!AI12&gt;=0,1+(IF(Calculator!E40&gt;0,VLOOKUP(Calculator!E40,tbSkills!AI3:AJ5,2,FALSE),Backdoors!AL4)*(IF((Backdoors!AI12+IF(FG42&gt;=0.45,VLOOKUP(Calculator!E23,tbSkills!DH3:DI6,2,FALSE)+IF(AND(Calculator!B8=TRUE,Backdoors!BI26=TRUE),VLOOKUP(Calculator!E23,tbSkills!DH3:DJ6,3,FALSE),0),0))&gt;=100,100,(Backdoors!AI12+IF(FG42&gt;=0.45,VLOOKUP(Calculator!E23,tbSkills!DH3:DI6,2,FALSE)+IF(AND(Calculator!B8=TRUE,Backdoors!BI26=TRUE),VLOOKUP(Calculator!E23,tbSkills!DH3:DJ6,3,FALSE),0),0)))/100)),1),1)</f>
        <v>0.5</v>
      </c>
      <c r="FM42" s="87">
        <f t="shared" si="16"/>
        <v>0</v>
      </c>
      <c r="FN42" s="86" t="str">
        <f>IFERROR(IF(VLOOKUP(A42,tbMoveset!A2:B112,2,FALSE)="Sever",Backdoors!AY27/100,IF(VLOOKUP(A42,tbMoveset!A2:B112,2,FALSE)="Blunt",Backdoors!AZ27/100,Backdoors!BA27/100)),"")</f>
        <v/>
      </c>
      <c r="FO42" s="49">
        <f>IFERROR(IF(VLOOKUP(tbMoveset!A42,tbMoveset!A2:H112,8,FALSE)="Other",IF(VLOOKUP(tbMoveset!A42,tbMoveset!A2:I112,9,FALSE)="Fire",Backdoors!BB27,IF(VLOOKUP(tbMoveset!A42,tbMoveset!A2:I112,9,FALSE)="Water",Backdoors!BC27,IF(VLOOKUP(tbMoveset!A42,tbMoveset!A2:I112,9,FALSE)="Thunder",Backdoors!BD27,IF(VLOOKUP(tbMoveset!A42,tbMoveset!A2:I112,9,FALSE)="Ice",Backdoors!BE27,IF(VLOOKUP(tbMoveset!A42,tbMoveset!A2:I112,9,FALSE)="Dragon",Backdoors!BF27,Backdoors!BG27)))))/100,Backdoors!BG27/100),"")</f>
        <v>0</v>
      </c>
      <c r="FP42" s="49">
        <f>IFERROR(IF(VLOOKUP(A42,tbMoveset!A2:J112,10,FALSE)=TRUE,IF((Backdoors!AI12+IF(FN42&gt;=0.45,VLOOKUP(Calculator!E23,tbSkills!DH3:DI6,2,FALSE)+IF(AND(Calculator!B8=TRUE,Backdoors!BI27=TRUE),VLOOKUP(Calculator!E23,tbSkills!DH3:DJ6,3,FALSE),0),0))&gt;=0,1+(Backdoors!AL2*(IF((Backdoors!AI12+IF(FN42&gt;=0.45,VLOOKUP(Calculator!E23,tbSkills!DH3:DI6,2,FALSE)+IF(AND(Calculator!B8=TRUE,Backdoors!BI27=TRUE),VLOOKUP(Calculator!E23,tbSkills!DH3:DJ6,3,FALSE),0),0))&gt;=100,100,(Backdoors!AI12+IF(FN42&gt;=0.45,VLOOKUP(Calculator!E23,tbSkills!DH3:DI6,2,FALSE)+IF(AND(Calculator!B8=TRUE,Backdoors!BI27=TRUE),VLOOKUP(Calculator!E23,tbSkills!DH3:DJ6,3,FALSE),0),0)))/100)),(1-(0.25*((-Backdoors!AI12-IF(FN42&gt;=0.45,VLOOKUP(Calculator!E23,tbSkills!DH3:DI6,2,FALSE)+IF(AND(Calculator!B8=TRUE,Backdoors!BI27=TRUE),VLOOKUP(Calculator!E23,tbSkills!DH3:DJ6,3,FALSE),0),0))/100)))),1),"")</f>
        <v>1</v>
      </c>
      <c r="FQ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FN42)*FP42)*(VLOOKUP(A42,tbMoveset!A2:C112,3,FALSE)/100)*IF(VLOOKUP(A42,tbMoveset!A2:B112,2,FALSE)="Projectile",Backdoors!N10,Backdoors!N9),0),"")</f>
        <v/>
      </c>
      <c r="FR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FN42&gt;=0.45,VLOOKUP(Calculator!E23,tbSkills!DH3:DI6,2,FALSE)+IF(AND(Calculator!B8=TRUE,Backdoors!BI27=TRUE),VLOOKUP(Calculator!E23,tbSkills!DH3:DJ6,3,FALSE),0),0))&gt;=100,100,(Backdoors!AI12+IF(FN42&gt;=0.45,VLOOKUP(Calculator!E23,tbSkills!DH3:DI6,2,FALSE)+IF(AND(Calculator!B8=TRUE,Backdoors!BI27=TRUE),VLOOKUP(Calculator!E23,tbSkills!DH3:DJ6,3,FALSE),0),0)))/100)),1))*IF(VLOOKUP(A42,tbMoveset!A2:K112,11,FALSE)=TRUE,Backdoors!AC5,1))*FO42,0),"")</f>
        <v>0</v>
      </c>
      <c r="FS42" s="49">
        <f>VLOOKUP(A42,tbMoveset!A2:G112,7,FALSE)*IFERROR(IF(Backdoors!AI12&gt;=0,1+(IF(Calculator!E40&gt;0,VLOOKUP(Calculator!E40,tbSkills!AI3:AJ5,2,FALSE),Backdoors!AL4)*(IF((Backdoors!AI12+IF(FN42&gt;=0.45,VLOOKUP(Calculator!E23,tbSkills!DH3:DI6,2,FALSE)+IF(AND(Calculator!B8=TRUE,Backdoors!BI27=TRUE),VLOOKUP(Calculator!E23,tbSkills!DH3:DJ6,3,FALSE),0),0))&gt;=100,100,(Backdoors!AI12+IF(FN42&gt;=0.45,VLOOKUP(Calculator!E23,tbSkills!DH3:DI6,2,FALSE)+IF(AND(Calculator!B8=TRUE,Backdoors!BI27=TRUE),VLOOKUP(Calculator!E23,tbSkills!DH3:DJ6,3,FALSE),0),0)))/100)),1),1)</f>
        <v>0.5</v>
      </c>
      <c r="FT42" s="87">
        <f t="shared" si="17"/>
        <v>0</v>
      </c>
      <c r="FU42" s="86" t="str">
        <f>IFERROR(IF(VLOOKUP(A42,tbMoveset!A2:B112,2,FALSE)="Sever",Backdoors!AY28/100,IF(VLOOKUP(A42,tbMoveset!A2:B112,2,FALSE)="Blunt",Backdoors!AZ28/100,Backdoors!BA28/100)),"")</f>
        <v/>
      </c>
      <c r="FV42" s="49">
        <f>IFERROR(IF(VLOOKUP(tbMoveset!A42,tbMoveset!A2:H112,8,FALSE)="Other",IF(VLOOKUP(tbMoveset!A42,tbMoveset!A2:I112,9,FALSE)="Fire",Backdoors!BB28,IF(VLOOKUP(tbMoveset!A42,tbMoveset!A2:I112,9,FALSE)="Water",Backdoors!BC28,IF(VLOOKUP(tbMoveset!A42,tbMoveset!A2:I112,9,FALSE)="Thunder",Backdoors!BD28,IF(VLOOKUP(tbMoveset!A42,tbMoveset!A2:I112,9,FALSE)="Ice",Backdoors!BE28,IF(VLOOKUP(tbMoveset!A42,tbMoveset!A2:I112,9,FALSE)="Dragon",Backdoors!BF28,Backdoors!BG28)))))/100,Backdoors!BG28/100),"")</f>
        <v>0</v>
      </c>
      <c r="FW42" s="49">
        <f>IFERROR(IF(VLOOKUP(A42,tbMoveset!A2:J112,10,FALSE)=TRUE,IF((Backdoors!AI12+IF(FU42&gt;=0.45,VLOOKUP(Calculator!E23,tbSkills!DH3:DI6,2,FALSE)+IF(AND(Calculator!B8=TRUE,Backdoors!BI28=TRUE),VLOOKUP(Calculator!E23,tbSkills!DH3:DJ6,3,FALSE),0),0))&gt;=0,1+(Backdoors!AL2*(IF((Backdoors!AI12+IF(FU42&gt;=0.45,VLOOKUP(Calculator!E23,tbSkills!DH3:DI6,2,FALSE)+IF(AND(Calculator!B8=TRUE,Backdoors!BI28=TRUE),VLOOKUP(Calculator!E23,tbSkills!DH3:DJ6,3,FALSE),0),0))&gt;=100,100,(Backdoors!AI12+IF(FU42&gt;=0.45,VLOOKUP(Calculator!E23,tbSkills!DH3:DI6,2,FALSE)+IF(AND(Calculator!B8=TRUE,Backdoors!BI28=TRUE),VLOOKUP(Calculator!E23,tbSkills!DH3:DJ6,3,FALSE),0),0)))/100)),(1-(0.25*((-Backdoors!AI12-IF(FU42&gt;=0.45,VLOOKUP(Calculator!E23,tbSkills!DH3:DI6,2,FALSE)+IF(AND(Calculator!B8=TRUE,Backdoors!BI28=TRUE),VLOOKUP(Calculator!E23,tbSkills!DH3:DJ6,3,FALSE),0),0))/100)))),1),"")</f>
        <v>1</v>
      </c>
      <c r="FX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FU42)*FW42)*(VLOOKUP(A42,tbMoveset!A2:C112,3,FALSE)/100)*IF(VLOOKUP(A42,tbMoveset!A2:B112,2,FALSE)="Projectile",Backdoors!N10,Backdoors!N9),0),"")</f>
        <v/>
      </c>
      <c r="FY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FU42&gt;=0.45,VLOOKUP(Calculator!E23,tbSkills!DH3:DI6,2,FALSE)+IF(AND(Calculator!B8=TRUE,Backdoors!BI28=TRUE),VLOOKUP(Calculator!E23,tbSkills!DH3:DJ6,3,FALSE),0),0))&gt;=100,100,(Backdoors!AI12+IF(FU42&gt;=0.45,VLOOKUP(Calculator!E23,tbSkills!DH3:DI6,2,FALSE)+IF(AND(Calculator!B8=TRUE,Backdoors!BI28=TRUE),VLOOKUP(Calculator!E23,tbSkills!DH3:DJ6,3,FALSE),0),0)))/100)),1))*IF(VLOOKUP(A42,tbMoveset!A2:K112,11,FALSE)=TRUE,Backdoors!AC5,1))*FV42,0),"")</f>
        <v>0</v>
      </c>
      <c r="FZ42" s="49">
        <f>VLOOKUP(A42,tbMoveset!A2:G112,7,FALSE)*IFERROR(IF(Backdoors!AI12&gt;=0,1+(IF(Calculator!E40&gt;0,VLOOKUP(Calculator!E40,tbSkills!AI3:AJ5,2,FALSE),Backdoors!AL4)*(IF((Backdoors!AI12+IF(FU42&gt;=0.45,VLOOKUP(Calculator!E23,tbSkills!DH3:DI6,2,FALSE)+IF(AND(Calculator!B8=TRUE,Backdoors!BI28=TRUE),VLOOKUP(Calculator!E23,tbSkills!DH3:DJ6,3,FALSE),0),0))&gt;=100,100,(Backdoors!AI12+IF(FU42&gt;=0.45,VLOOKUP(Calculator!E23,tbSkills!DH3:DI6,2,FALSE)+IF(AND(Calculator!B8=TRUE,Backdoors!BI28=TRUE),VLOOKUP(Calculator!E23,tbSkills!DH3:DJ6,3,FALSE),0),0)))/100)),1),1)</f>
        <v>0.5</v>
      </c>
      <c r="GA42" s="87">
        <f t="shared" si="18"/>
        <v>0</v>
      </c>
      <c r="GB42" s="86" t="str">
        <f>IFERROR(IF(VLOOKUP(A42,tbMoveset!A2:B112,2,FALSE)="Sever",Backdoors!AY29/100,IF(VLOOKUP(A42,tbMoveset!A2:B112,2,FALSE)="Blunt",Backdoors!AZ29/100,Backdoors!BA29/100)),"")</f>
        <v/>
      </c>
      <c r="GC42" s="49">
        <f>IFERROR(IF(VLOOKUP(tbMoveset!A42,tbMoveset!A2:H112,8,FALSE)="Other",IF(VLOOKUP(tbMoveset!A42,tbMoveset!A2:I112,9,FALSE)="Fire",Backdoors!BB29,IF(VLOOKUP(tbMoveset!A42,tbMoveset!A2:I112,9,FALSE)="Water",Backdoors!BC29,IF(VLOOKUP(tbMoveset!A42,tbMoveset!A2:I112,9,FALSE)="Thunder",Backdoors!BD29,IF(VLOOKUP(tbMoveset!A42,tbMoveset!A2:I112,9,FALSE)="Ice",Backdoors!BE29,IF(VLOOKUP(tbMoveset!A42,tbMoveset!A2:I112,9,FALSE)="Dragon",Backdoors!BF29,Backdoors!BG29)))))/100,Backdoors!BG29/100),"")</f>
        <v>0</v>
      </c>
      <c r="GD42" s="49">
        <f>IFERROR(IF(VLOOKUP(A42,tbMoveset!A2:J112,10,FALSE)=TRUE,IF((Backdoors!AI12+IF(GB42&gt;=0.45,VLOOKUP(Calculator!E23,tbSkills!DH3:DI6,2,FALSE)+IF(AND(Calculator!B8=TRUE,Backdoors!BI29=TRUE),VLOOKUP(Calculator!E23,tbSkills!DH3:DJ6,3,FALSE),0),0))&gt;=0,1+(Backdoors!AL2*(IF((Backdoors!AI12+IF(GB42&gt;=0.45,VLOOKUP(Calculator!E23,tbSkills!DH3:DI6,2,FALSE)+IF(AND(Calculator!B8=TRUE,Backdoors!BI29=TRUE),VLOOKUP(Calculator!E23,tbSkills!DH3:DJ6,3,FALSE),0),0))&gt;=100,100,(Backdoors!AI12+IF(GB42&gt;=0.45,VLOOKUP(Calculator!E23,tbSkills!DH3:DI6,2,FALSE)+IF(AND(Calculator!B8=TRUE,Backdoors!BI29=TRUE),VLOOKUP(Calculator!E23,tbSkills!DH3:DJ6,3,FALSE),0),0)))/100)),(1-(0.25*((-Backdoors!AI12-IF(GB42&gt;=0.45,VLOOKUP(Calculator!E23,tbSkills!DH3:DI6,2,FALSE)+IF(AND(Calculator!B8=TRUE,Backdoors!BI29=TRUE),VLOOKUP(Calculator!E23,tbSkills!DH3:DJ6,3,FALSE),0),0))/100)))),1),"")</f>
        <v>1</v>
      </c>
      <c r="GE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B42)*GD42)*(VLOOKUP(A42,tbMoveset!A2:C112,3,FALSE)/100)*IF(VLOOKUP(A42,tbMoveset!A2:B112,2,FALSE)="Projectile",Backdoors!N10,Backdoors!N9),0),"")</f>
        <v/>
      </c>
      <c r="GF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B42&gt;=0.45,VLOOKUP(Calculator!E23,tbSkills!DH3:DI6,2,FALSE)+IF(AND(Calculator!B8=TRUE,Backdoors!BI29=TRUE),VLOOKUP(Calculator!E23,tbSkills!DH3:DJ6,3,FALSE),0),0))&gt;=100,100,(Backdoors!AI12+IF(GB42&gt;=0.45,VLOOKUP(Calculator!E23,tbSkills!DH3:DI6,2,FALSE)+IF(AND(Calculator!B8=TRUE,Backdoors!BI29=TRUE),VLOOKUP(Calculator!E23,tbSkills!DH3:DJ6,3,FALSE),0),0)))/100)),1))*IF(VLOOKUP(A42,tbMoveset!A2:K112,11,FALSE)=TRUE,Backdoors!AC5,1))*GC42,0),"")</f>
        <v>0</v>
      </c>
      <c r="GG42" s="49">
        <f>VLOOKUP(A42,tbMoveset!A2:G112,7,FALSE)*IFERROR(IF(Backdoors!AI12&gt;=0,1+(IF(Calculator!E40&gt;0,VLOOKUP(Calculator!E40,tbSkills!AI3:AJ5,2,FALSE),Backdoors!AL4)*(IF((Backdoors!AI12+IF(GB42&gt;=0.45,VLOOKUP(Calculator!E23,tbSkills!DH3:DI6,2,FALSE)+IF(AND(Calculator!B8=TRUE,Backdoors!BI29=TRUE),VLOOKUP(Calculator!E23,tbSkills!DH3:DJ6,3,FALSE),0),0))&gt;=100,100,(Backdoors!AI12+IF(GB42&gt;=0.45,VLOOKUP(Calculator!E23,tbSkills!DH3:DI6,2,FALSE)+IF(AND(Calculator!B8=TRUE,Backdoors!BI29=TRUE),VLOOKUP(Calculator!E23,tbSkills!DH3:DJ6,3,FALSE),0),0)))/100)),1),1)</f>
        <v>0.5</v>
      </c>
      <c r="GH42" s="87">
        <f t="shared" si="19"/>
        <v>0</v>
      </c>
      <c r="GI42" s="86" t="str">
        <f>IFERROR(IF(VLOOKUP(A42,tbMoveset!A2:B112,2,FALSE)="Sever",Backdoors!AY30/100,IF(VLOOKUP(A42,tbMoveset!A2:B112,2,FALSE)="Blunt",Backdoors!AZ30/100,Backdoors!BA30/100)),"")</f>
        <v/>
      </c>
      <c r="GJ42" s="49">
        <f>IFERROR(IF(VLOOKUP(tbMoveset!A42,tbMoveset!A2:H112,8,FALSE)="Other",IF(VLOOKUP(tbMoveset!A42,tbMoveset!A2:I112,9,FALSE)="Fire",Backdoors!BB30,IF(VLOOKUP(tbMoveset!A42,tbMoveset!A2:I112,9,FALSE)="Water",Backdoors!BC30,IF(VLOOKUP(tbMoveset!A42,tbMoveset!A2:I112,9,FALSE)="Thunder",Backdoors!BD30,IF(VLOOKUP(tbMoveset!A42,tbMoveset!A2:I112,9,FALSE)="Ice",Backdoors!BE30,IF(VLOOKUP(tbMoveset!A42,tbMoveset!A2:I112,9,FALSE)="Dragon",Backdoors!BF30,Backdoors!BG30)))))/100,Backdoors!BG30/100),"")</f>
        <v>0</v>
      </c>
      <c r="GK42" s="49">
        <f>IFERROR(IF(VLOOKUP(A42,tbMoveset!A2:J112,10,FALSE)=TRUE,IF((Backdoors!AI12+IF(GI42&gt;=0.45,VLOOKUP(Calculator!E23,tbSkills!DH3:DI6,2,FALSE)+IF(AND(Calculator!B8=TRUE,Backdoors!BI30=TRUE),VLOOKUP(Calculator!E23,tbSkills!DH3:DJ6,3,FALSE),0),0))&gt;=0,1+(Backdoors!AL2*(IF((Backdoors!AI12+IF(GI42&gt;=0.45,VLOOKUP(Calculator!E23,tbSkills!DH3:DI6,2,FALSE)+IF(AND(Calculator!B8=TRUE,Backdoors!BI30=TRUE),VLOOKUP(Calculator!E23,tbSkills!DH3:DJ6,3,FALSE),0),0))&gt;=100,100,(Backdoors!AI12+IF(GI42&gt;=0.45,VLOOKUP(Calculator!E23,tbSkills!DH3:DI6,2,FALSE)+IF(AND(Calculator!B8=TRUE,Backdoors!BI30=TRUE),VLOOKUP(Calculator!E23,tbSkills!DH3:DJ6,3,FALSE),0),0)))/100)),(1-(0.25*((-Backdoors!AI12-IF(GI42&gt;=0.45,VLOOKUP(Calculator!E23,tbSkills!DH3:DI6,2,FALSE)+IF(AND(Calculator!B8=TRUE,Backdoors!BI30=TRUE),VLOOKUP(Calculator!E23,tbSkills!DH3:DJ6,3,FALSE),0),0))/100)))),1),"")</f>
        <v>1</v>
      </c>
      <c r="GL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I42)*GK42)*(VLOOKUP(A42,tbMoveset!A2:C112,3,FALSE)/100)*IF(VLOOKUP(A42,tbMoveset!A2:B112,2,FALSE)="Projectile",Backdoors!N10,Backdoors!N9),0),"")</f>
        <v/>
      </c>
      <c r="GM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I42&gt;=0.45,VLOOKUP(Calculator!E23,tbSkills!DH3:DI6,2,FALSE)+IF(AND(Calculator!B8=TRUE,Backdoors!BI30=TRUE),VLOOKUP(Calculator!E23,tbSkills!DH3:DJ6,3,FALSE),0),0))&gt;=100,100,(Backdoors!AI12+IF(GI42&gt;=0.45,VLOOKUP(Calculator!E23,tbSkills!DH3:DI6,2,FALSE)+IF(AND(Calculator!B8=TRUE,Backdoors!BI30=TRUE),VLOOKUP(Calculator!E23,tbSkills!DH3:DJ6,3,FALSE),0),0)))/100)),1))*IF(VLOOKUP(A42,tbMoveset!A2:K112,11,FALSE)=TRUE,Backdoors!AC5,1))*GJ42,0),"")</f>
        <v>0</v>
      </c>
      <c r="GN42" s="49">
        <f>VLOOKUP(A42,tbMoveset!A2:G112,7,FALSE)*IFERROR(IF(Backdoors!AI12&gt;=0,1+(IF(Calculator!E40&gt;0,VLOOKUP(Calculator!E40,tbSkills!AI3:AJ5,2,FALSE),Backdoors!AL4)*(IF((Backdoors!AI12+IF(GI42&gt;=0.45,VLOOKUP(Calculator!E23,tbSkills!DH3:DI6,2,FALSE)+IF(AND(Calculator!B8=TRUE,Backdoors!BI30=TRUE),VLOOKUP(Calculator!E23,tbSkills!DH3:DJ6,3,FALSE),0),0))&gt;=100,100,(Backdoors!AI12+IF(GI42&gt;=0.45,VLOOKUP(Calculator!E23,tbSkills!DH3:DI6,2,FALSE)+IF(AND(Calculator!B8=TRUE,Backdoors!BI30=TRUE),VLOOKUP(Calculator!E23,tbSkills!DH3:DJ6,3,FALSE),0),0)))/100)),1),1)</f>
        <v>0.5</v>
      </c>
      <c r="GO42" s="87">
        <f t="shared" si="20"/>
        <v>0</v>
      </c>
      <c r="GP42" s="86" t="str">
        <f>IFERROR(IF(VLOOKUP(A42,tbMoveset!A2:B112,2,FALSE)="Sever",Backdoors!AY31/100,IF(VLOOKUP(A42,tbMoveset!A2:B112,2,FALSE)="Blunt",Backdoors!AZ31/100,Backdoors!BA31/100)),"")</f>
        <v/>
      </c>
      <c r="GQ42" s="49">
        <f>IFERROR(IF(VLOOKUP(tbMoveset!A42,tbMoveset!A2:H112,8,FALSE)="Other",IF(VLOOKUP(tbMoveset!A42,tbMoveset!A2:I112,9,FALSE)="Fire",Backdoors!BB31,IF(VLOOKUP(tbMoveset!A42,tbMoveset!A2:I112,9,FALSE)="Water",Backdoors!BC31,IF(VLOOKUP(tbMoveset!A42,tbMoveset!A2:I112,9,FALSE)="Thunder",Backdoors!BD31,IF(VLOOKUP(tbMoveset!A42,tbMoveset!A2:I112,9,FALSE)="Ice",Backdoors!BE31,IF(VLOOKUP(tbMoveset!A42,tbMoveset!A2:I112,9,FALSE)="Dragon",Backdoors!BF31,Backdoors!BG31)))))/100,Backdoors!BG31/100),"")</f>
        <v>0</v>
      </c>
      <c r="GR42" s="49">
        <f>IFERROR(IF(VLOOKUP(A42,tbMoveset!A2:J112,10,FALSE)=TRUE,IF((Backdoors!AI12+IF(GP42&gt;=0.45,VLOOKUP(Calculator!E23,tbSkills!DH3:DI6,2,FALSE)+IF(AND(Calculator!B8=TRUE,Backdoors!BI31=TRUE),VLOOKUP(Calculator!E23,tbSkills!DH3:DJ6,3,FALSE),0),0))&gt;=0,1+(Backdoors!AL2*(IF((Backdoors!AI12+IF(GP42&gt;=0.45,VLOOKUP(Calculator!E23,tbSkills!DH3:DI6,2,FALSE)+IF(AND(Calculator!B8=TRUE,Backdoors!BI31=TRUE),VLOOKUP(Calculator!E23,tbSkills!DH3:DJ6,3,FALSE),0),0))&gt;=100,100,(Backdoors!AI12+IF(GP42&gt;=0.45,VLOOKUP(Calculator!E23,tbSkills!DH3:DI6,2,FALSE)+IF(AND(Calculator!B8=TRUE,Backdoors!BI31=TRUE),VLOOKUP(Calculator!E23,tbSkills!DH3:DJ6,3,FALSE),0),0)))/100)),(1-(0.25*((-Backdoors!AI12-IF(GP42&gt;=0.45,VLOOKUP(Calculator!E23,tbSkills!DH3:DI6,2,FALSE)+IF(AND(Calculator!B8=TRUE,Backdoors!BI31=TRUE),VLOOKUP(Calculator!E23,tbSkills!DH3:DJ6,3,FALSE),0),0))/100)))),1),"")</f>
        <v>1</v>
      </c>
      <c r="GS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P42)*GR42)*(VLOOKUP(A42,tbMoveset!A2:C112,3,FALSE)/100)*IF(VLOOKUP(A42,tbMoveset!A2:B112,2,FALSE)="Projectile",Backdoors!N10,Backdoors!N9),0),"")</f>
        <v/>
      </c>
      <c r="GT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P42&gt;=0.45,VLOOKUP(Calculator!E23,tbSkills!DH3:DI6,2,FALSE)+IF(AND(Calculator!B8=TRUE,Backdoors!BI31=TRUE),VLOOKUP(Calculator!E23,tbSkills!DH3:DJ6,3,FALSE),0),0))&gt;=100,100,(Backdoors!AI12+IF(GP42&gt;=0.45,VLOOKUP(Calculator!E23,tbSkills!DH3:DI6,2,FALSE)+IF(AND(Calculator!B8=TRUE,Backdoors!BI31=TRUE),VLOOKUP(Calculator!E23,tbSkills!DH3:DJ6,3,FALSE),0),0)))/100)),1))*IF(VLOOKUP(A42,tbMoveset!A2:K112,11,FALSE)=TRUE,Backdoors!AC5,1))*GQ42,0),"")</f>
        <v>0</v>
      </c>
      <c r="GU42" s="49">
        <f>VLOOKUP(A42,tbMoveset!A2:G112,7,FALSE)*IFERROR(IF(Backdoors!AI12&gt;=0,1+(IF(Calculator!E40&gt;0,VLOOKUP(Calculator!E40,tbSkills!AI3:AJ5,2,FALSE),Backdoors!AL4)*(IF((Backdoors!AI12+IF(GP42&gt;=0.45,VLOOKUP(Calculator!E23,tbSkills!DH3:DI6,2,FALSE)+IF(AND(Calculator!B8=TRUE,Backdoors!BI31=TRUE),VLOOKUP(Calculator!E23,tbSkills!DH3:DJ6,3,FALSE),0),0))&gt;=100,100,(Backdoors!AI12+IF(GP42&gt;=0.45,VLOOKUP(Calculator!E23,tbSkills!DH3:DI6,2,FALSE)+IF(AND(Calculator!B8=TRUE,Backdoors!BI31=TRUE),VLOOKUP(Calculator!E23,tbSkills!DH3:DJ6,3,FALSE),0),0)))/100)),1),1)</f>
        <v>0.5</v>
      </c>
      <c r="GV42" s="87">
        <f t="shared" si="21"/>
        <v>0</v>
      </c>
      <c r="GW42" s="86" t="str">
        <f>IFERROR(IF(VLOOKUP(A42,tbMoveset!A2:B112,2,FALSE)="Sever",Backdoors!AY32/100,IF(VLOOKUP(A42,tbMoveset!A2:B112,2,FALSE)="Blunt",Backdoors!AZ32/100,Backdoors!BA32/100)),"")</f>
        <v/>
      </c>
      <c r="GX42" s="49">
        <f>IFERROR(IF(VLOOKUP(tbMoveset!A42,tbMoveset!A2:H112,8,FALSE)="Other",IF(VLOOKUP(tbMoveset!A42,tbMoveset!A2:I112,9,FALSE)="Fire",Backdoors!BB32,IF(VLOOKUP(tbMoveset!A42,tbMoveset!A2:I112,9,FALSE)="Water",Backdoors!BC32,IF(VLOOKUP(tbMoveset!A42,tbMoveset!A2:I112,9,FALSE)="Thunder",Backdoors!BD32,IF(VLOOKUP(tbMoveset!A42,tbMoveset!A2:I112,9,FALSE)="Ice",Backdoors!BE32,IF(VLOOKUP(tbMoveset!A42,tbMoveset!A2:I112,9,FALSE)="Dragon",Backdoors!BF32,Backdoors!BG32)))))/100,Backdoors!BG32/100),"")</f>
        <v>0</v>
      </c>
      <c r="GY42" s="49">
        <f>IFERROR(IF(VLOOKUP(A42,tbMoveset!A2:J112,10,FALSE)=TRUE,IF((Backdoors!AI12+IF(GW42&gt;=0.45,VLOOKUP(Calculator!E23,tbSkills!DH3:DI6,2,FALSE)+IF(AND(Calculator!B8=TRUE,Backdoors!BI32=TRUE),VLOOKUP(Calculator!E23,tbSkills!DH3:DJ6,3,FALSE),0),0))&gt;=0,1+(Backdoors!AL2*(IF((Backdoors!AI12+IF(GW42&gt;=0.45,VLOOKUP(Calculator!E23,tbSkills!DH3:DI6,2,FALSE)+IF(AND(Calculator!B8=TRUE,Backdoors!BI32=TRUE),VLOOKUP(Calculator!E23,tbSkills!DH3:DJ6,3,FALSE),0),0))&gt;=100,100,(Backdoors!AI12+IF(GW42&gt;=0.45,VLOOKUP(Calculator!E23,tbSkills!DH3:DI6,2,FALSE)+IF(AND(Calculator!B8=TRUE,Backdoors!BI32=TRUE),VLOOKUP(Calculator!E23,tbSkills!DH3:DJ6,3,FALSE),0),0)))/100)),(1-(0.25*((-Backdoors!AI12-IF(GW42&gt;=0.45,VLOOKUP(Calculator!E23,tbSkills!DH3:DI6,2,FALSE)+IF(AND(Calculator!B8=TRUE,Backdoors!BI32=TRUE),VLOOKUP(Calculator!E23,tbSkills!DH3:DJ6,3,FALSE),0),0))/100)))),1),"")</f>
        <v>1</v>
      </c>
      <c r="GZ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W42)*GY42)*(VLOOKUP(A42,tbMoveset!A2:C112,3,FALSE)/100)*IF(VLOOKUP(A42,tbMoveset!A2:B112,2,FALSE)="Projectile",Backdoors!N10,Backdoors!N9),0),"")</f>
        <v/>
      </c>
      <c r="HA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W42&gt;=0.45,VLOOKUP(Calculator!E23,tbSkills!DH3:DI6,2,FALSE)+IF(AND(Calculator!B8=TRUE,Backdoors!BI32=TRUE),VLOOKUP(Calculator!E23,tbSkills!DH3:DJ6,3,FALSE),0),0))&gt;=100,100,(Backdoors!AI12+IF(GW42&gt;=0.45,VLOOKUP(Calculator!E23,tbSkills!DH3:DI6,2,FALSE)+IF(AND(Calculator!B8=TRUE,Backdoors!BI32=TRUE),VLOOKUP(Calculator!E23,tbSkills!DH3:DJ6,3,FALSE),0),0)))/100)),1))*IF(VLOOKUP(A42,tbMoveset!A2:K112,11,FALSE)=TRUE,Backdoors!AC5,1))*GX42,0),"")</f>
        <v>0</v>
      </c>
      <c r="HB42" s="49">
        <f>VLOOKUP(A42,tbMoveset!A2:G112,7,FALSE)*IFERROR(IF(Backdoors!AI12&gt;=0,1+(IF(Calculator!E40&gt;0,VLOOKUP(Calculator!E40,tbSkills!AI3:AJ5,2,FALSE),Backdoors!AL4)*(IF((Backdoors!AI12+IF(GW42&gt;=0.45,VLOOKUP(Calculator!E23,tbSkills!DH3:DI6,2,FALSE)+IF(AND(Calculator!B8=TRUE,Backdoors!BI32=TRUE),VLOOKUP(Calculator!E23,tbSkills!DH3:DJ6,3,FALSE),0),0))&gt;=100,100,(Backdoors!AI12+IF(GW42&gt;=0.45,VLOOKUP(Calculator!E23,tbSkills!DH3:DI6,2,FALSE)+IF(AND(Calculator!B8=TRUE,Backdoors!BI32=TRUE),VLOOKUP(Calculator!E23,tbSkills!DH3:DJ6,3,FALSE),0),0)))/100)),1),1)</f>
        <v>0.5</v>
      </c>
      <c r="HC42" s="87">
        <f t="shared" si="22"/>
        <v>0</v>
      </c>
      <c r="HD42" s="86" t="str">
        <f>IFERROR(IF(VLOOKUP(A42,tbMoveset!A2:B112,2,FALSE)="Sever",Backdoors!AY33/100,IF(VLOOKUP(A42,tbMoveset!A2:B112,2,FALSE)="Blunt",Backdoors!AZ33/100,Backdoors!BA33/100)),"")</f>
        <v/>
      </c>
      <c r="HE42" s="49">
        <f>IFERROR(IF(VLOOKUP(tbMoveset!A42,tbMoveset!A2:H112,8,FALSE)="Other",IF(VLOOKUP(tbMoveset!A42,tbMoveset!A2:I112,9,FALSE)="Fire",Backdoors!BB33,IF(VLOOKUP(tbMoveset!A42,tbMoveset!A2:I112,9,FALSE)="Water",Backdoors!BC33,IF(VLOOKUP(tbMoveset!A42,tbMoveset!A2:I112,9,FALSE)="Thunder",Backdoors!BD33,IF(VLOOKUP(tbMoveset!A42,tbMoveset!A2:I112,9,FALSE)="Ice",Backdoors!BE33,IF(VLOOKUP(tbMoveset!A42,tbMoveset!A2:I112,9,FALSE)="Dragon",Backdoors!BF33,Backdoors!BG33)))))/100,Backdoors!BG33/100),"")</f>
        <v>0</v>
      </c>
      <c r="HF42" s="49">
        <f>IFERROR(IF(VLOOKUP(A42,tbMoveset!A2:J112,10,FALSE)=TRUE,IF((Backdoors!AI12+IF(HD42&gt;=0.45,VLOOKUP(Calculator!E23,tbSkills!DH3:DI6,2,FALSE)+IF(AND(Calculator!B8=TRUE,Backdoors!BI33=TRUE),VLOOKUP(Calculator!E23,tbSkills!DH3:DJ6,3,FALSE),0),0))&gt;=0,1+(Backdoors!AL2*(IF((Backdoors!AI12+IF(HD42&gt;=0.45,VLOOKUP(Calculator!E23,tbSkills!DH3:DI6,2,FALSE)+IF(AND(Calculator!B8=TRUE,Backdoors!BI33=TRUE),VLOOKUP(Calculator!E23,tbSkills!DH3:DJ6,3,FALSE),0),0))&gt;=100,100,(Backdoors!AI12+IF(HD42&gt;=0.45,VLOOKUP(Calculator!E23,tbSkills!DH3:DI6,2,FALSE)+IF(AND(Calculator!B8=TRUE,Backdoors!BI33=TRUE),VLOOKUP(Calculator!E23,tbSkills!DH3:DJ6,3,FALSE),0),0)))/100)),(1-(0.25*((-Backdoors!AI12-IF(HD42&gt;=0.45,VLOOKUP(Calculator!E23,tbSkills!DH3:DI6,2,FALSE)+IF(AND(Calculator!B8=TRUE,Backdoors!BI33=TRUE),VLOOKUP(Calculator!E23,tbSkills!DH3:DJ6,3,FALSE),0),0))/100)))),1),"")</f>
        <v>1</v>
      </c>
      <c r="HG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D42)*HF42)*(VLOOKUP(A42,tbMoveset!A2:C112,3,FALSE)/100)*IF(VLOOKUP(A42,tbMoveset!A2:B112,2,FALSE)="Projectile",Backdoors!N10,Backdoors!N9),0),"")</f>
        <v/>
      </c>
      <c r="HH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D42&gt;=0.45,VLOOKUP(Calculator!E23,tbSkills!DH3:DI6,2,FALSE)+IF(AND(Calculator!B8=TRUE,Backdoors!BI33=TRUE),VLOOKUP(Calculator!E23,tbSkills!DH3:DJ6,3,FALSE),0),0))&gt;=100,100,(Backdoors!AI12+IF(HD42&gt;=0.45,VLOOKUP(Calculator!E23,tbSkills!DH3:DI6,2,FALSE)+IF(AND(Calculator!B8=TRUE,Backdoors!BI33=TRUE),VLOOKUP(Calculator!E23,tbSkills!DH3:DJ6,3,FALSE),0),0)))/100)),1))*IF(VLOOKUP(A42,tbMoveset!A2:K112,11,FALSE)=TRUE,Backdoors!AC5,1))*HE42,0),"")</f>
        <v>0</v>
      </c>
      <c r="HI42" s="49">
        <f>VLOOKUP(A42,tbMoveset!A2:G112,7,FALSE)*IFERROR(IF(Backdoors!AI12&gt;=0,1+(IF(Calculator!E40&gt;0,VLOOKUP(Calculator!E40,tbSkills!AI3:AJ5,2,FALSE),Backdoors!AL4)*(IF((Backdoors!AI12+IF(HD42&gt;=0.45,VLOOKUP(Calculator!E23,tbSkills!DH3:DI6,2,FALSE)+IF(AND(Calculator!B8=TRUE,Backdoors!BI33=TRUE),VLOOKUP(Calculator!E23,tbSkills!DH3:DJ6,3,FALSE),0),0))&gt;=100,100,(Backdoors!AI12+IF(HD42&gt;=0.45,VLOOKUP(Calculator!E23,tbSkills!DH3:DI6,2,FALSE)+IF(AND(Calculator!B8=TRUE,Backdoors!BI33=TRUE),VLOOKUP(Calculator!E23,tbSkills!DH3:DJ6,3,FALSE),0),0)))/100)),1),1)</f>
        <v>0.5</v>
      </c>
      <c r="HJ42" s="87">
        <f t="shared" si="23"/>
        <v>0</v>
      </c>
      <c r="HK42" s="86" t="str">
        <f>IFERROR(IF(VLOOKUP(A42,tbMoveset!A2:B112,2,FALSE)="Sever",Backdoors!AY34/100,IF(VLOOKUP(A42,tbMoveset!A2:B112,2,FALSE)="Blunt",Backdoors!AZ34/100,Backdoors!BA34/100)),"")</f>
        <v/>
      </c>
      <c r="HL42" s="49">
        <f>IFERROR(IF(VLOOKUP(tbMoveset!A42,tbMoveset!A2:H112,8,FALSE)="Other",IF(VLOOKUP(tbMoveset!A42,tbMoveset!A2:I112,9,FALSE)="Fire",Backdoors!BB34,IF(VLOOKUP(tbMoveset!A42,tbMoveset!A2:I112,9,FALSE)="Water",Backdoors!BC34,IF(VLOOKUP(tbMoveset!A42,tbMoveset!A2:I112,9,FALSE)="Thunder",Backdoors!BD34,IF(VLOOKUP(tbMoveset!A42,tbMoveset!A2:I112,9,FALSE)="Ice",Backdoors!BE34,IF(VLOOKUP(tbMoveset!A42,tbMoveset!A2:I112,9,FALSE)="Dragon",Backdoors!BF34,Backdoors!BG34)))))/100,Backdoors!BG34/100),"")</f>
        <v>0</v>
      </c>
      <c r="HM42" s="49">
        <f>IFERROR(IF(VLOOKUP(A42,tbMoveset!A2:J112,10,FALSE)=TRUE,IF((Backdoors!AI12+IF(HK42&gt;=0.45,VLOOKUP(Calculator!E23,tbSkills!DH3:DI6,2,FALSE)+IF(AND(Calculator!B8=TRUE,Backdoors!BI34=TRUE),VLOOKUP(Calculator!E23,tbSkills!DH3:DJ6,3,FALSE),0),0))&gt;=0,1+(Backdoors!AL2*(IF((Backdoors!AI12+IF(HK42&gt;=0.45,VLOOKUP(Calculator!E23,tbSkills!DH3:DI6,2,FALSE)+IF(AND(Calculator!B8=TRUE,Backdoors!BI34=TRUE),VLOOKUP(Calculator!E23,tbSkills!DH3:DJ6,3,FALSE),0),0))&gt;=100,100,(Backdoors!AI12+IF(HK42&gt;=0.45,VLOOKUP(Calculator!E23,tbSkills!DH3:DI6,2,FALSE)+IF(AND(Calculator!B8=TRUE,Backdoors!BI34=TRUE),VLOOKUP(Calculator!E23,tbSkills!DH3:DJ6,3,FALSE),0),0)))/100)),(1-(0.25*((-Backdoors!AI12-IF(HK42&gt;=0.45,VLOOKUP(Calculator!E23,tbSkills!DH3:DI6,2,FALSE)+IF(AND(Calculator!B8=TRUE,Backdoors!BI34=TRUE),VLOOKUP(Calculator!E23,tbSkills!DH3:DJ6,3,FALSE),0),0))/100)))),1),"")</f>
        <v>1</v>
      </c>
      <c r="HN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K42)*HM42)*(VLOOKUP(A42,tbMoveset!A2:C112,3,FALSE)/100)*IF(VLOOKUP(A42,tbMoveset!A2:B112,2,FALSE)="Projectile",Backdoors!N10,Backdoors!N9),0),"")</f>
        <v/>
      </c>
      <c r="HO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K42&gt;=0.45,VLOOKUP(Calculator!E23,tbSkills!DH3:DI6,2,FALSE)+IF(AND(Calculator!B8=TRUE,Backdoors!BI34=TRUE),VLOOKUP(Calculator!E23,tbSkills!DH3:DJ6,3,FALSE),0),0))&gt;=100,100,(Backdoors!AI12+IF(HK42&gt;=0.45,VLOOKUP(Calculator!E23,tbSkills!DH3:DI6,2,FALSE)+IF(AND(Calculator!B8=TRUE,Backdoors!BI34=TRUE),VLOOKUP(Calculator!E23,tbSkills!DH3:DJ6,3,FALSE),0),0)))/100)),1))*IF(VLOOKUP(A42,tbMoveset!A2:K112,11,FALSE)=TRUE,Backdoors!AC5,1))*HL42,0),"")</f>
        <v>0</v>
      </c>
      <c r="HP42" s="49">
        <f>VLOOKUP(A42,tbMoveset!A2:G112,7,FALSE)*IFERROR(IF(Backdoors!AI12&gt;=0,1+(IF(Calculator!E40&gt;0,VLOOKUP(Calculator!E40,tbSkills!AI3:AJ5,2,FALSE),Backdoors!AL4)*(IF((Backdoors!AI12+IF(HK42&gt;=0.45,VLOOKUP(Calculator!E23,tbSkills!DH3:DI6,2,FALSE)+IF(AND(Calculator!B8=TRUE,Backdoors!BI34=TRUE),VLOOKUP(Calculator!E23,tbSkills!DH3:DJ6,3,FALSE),0),0))&gt;=100,100,(Backdoors!AI12+IF(HK42&gt;=0.45,VLOOKUP(Calculator!E23,tbSkills!DH3:DI6,2,FALSE)+IF(AND(Calculator!B8=TRUE,Backdoors!BI34=TRUE),VLOOKUP(Calculator!E23,tbSkills!DH3:DJ6,3,FALSE),0),0)))/100)),1),1)</f>
        <v>0.5</v>
      </c>
      <c r="HQ42" s="87">
        <f t="shared" si="24"/>
        <v>0</v>
      </c>
      <c r="HR42" s="86" t="str">
        <f>IFERROR(IF(VLOOKUP(A42,tbMoveset!A2:B112,2,FALSE)="Sever",Backdoors!AY35/100,IF(VLOOKUP(A42,tbMoveset!A2:B112,2,FALSE)="Blunt",Backdoors!AZ35/100,Backdoors!BA35/100)),"")</f>
        <v/>
      </c>
      <c r="HS42" s="49">
        <f>IFERROR(IF(VLOOKUP(tbMoveset!A42,tbMoveset!A2:H112,8,FALSE)="Other",IF(VLOOKUP(tbMoveset!A42,tbMoveset!A2:I112,9,FALSE)="Fire",Backdoors!BB35,IF(VLOOKUP(tbMoveset!A42,tbMoveset!A2:I112,9,FALSE)="Water",Backdoors!BC35,IF(VLOOKUP(tbMoveset!A42,tbMoveset!A2:I112,9,FALSE)="Thunder",Backdoors!BD35,IF(VLOOKUP(tbMoveset!A42,tbMoveset!A2:I112,9,FALSE)="Ice",Backdoors!BE35,IF(VLOOKUP(tbMoveset!A42,tbMoveset!A2:I112,9,FALSE)="Dragon",Backdoors!BF35,Backdoors!BG35)))))/100,Backdoors!BG35/100),"")</f>
        <v>0</v>
      </c>
      <c r="HT42" s="49">
        <f>IFERROR(IF(VLOOKUP(A42,tbMoveset!A2:J112,10,FALSE)=TRUE,IF((Backdoors!AI12+IF(HR42&gt;=0.45,VLOOKUP(Calculator!E23,tbSkills!DH3:DI6,2,FALSE)+IF(AND(Calculator!B8=TRUE,Backdoors!BI35=TRUE),VLOOKUP(Calculator!E23,tbSkills!DH3:DJ6,3,FALSE),0),0))&gt;=0,1+(Backdoors!AL2*(IF((Backdoors!AI12+IF(HR42&gt;=0.45,VLOOKUP(Calculator!E23,tbSkills!DH3:DI6,2,FALSE)+IF(AND(Calculator!B8=TRUE,Backdoors!BI35=TRUE),VLOOKUP(Calculator!E23,tbSkills!DH3:DJ6,3,FALSE),0),0))&gt;=100,100,(Backdoors!AI12+IF(HR42&gt;=0.45,VLOOKUP(Calculator!E23,tbSkills!DH3:DI6,2,FALSE)+IF(AND(Calculator!B8=TRUE,Backdoors!BI35=TRUE),VLOOKUP(Calculator!E23,tbSkills!DH3:DJ6,3,FALSE),0),0)))/100)),(1-(0.25*((-Backdoors!AI12-IF(HR42&gt;=0.45,VLOOKUP(Calculator!E23,tbSkills!DH3:DI6,2,FALSE)+IF(AND(Calculator!B8=TRUE,Backdoors!BI35=TRUE),VLOOKUP(Calculator!E23,tbSkills!DH3:DJ6,3,FALSE),0),0))/100)))),1),"")</f>
        <v>1</v>
      </c>
      <c r="HU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R42)*HT42)*(VLOOKUP(A42,tbMoveset!A2:C112,3,FALSE)/100)*IF(VLOOKUP(A42,tbMoveset!A2:B112,2,FALSE)="Projectile",Backdoors!N10,Backdoors!N9),0),"")</f>
        <v/>
      </c>
      <c r="HV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R42&gt;=0.45,VLOOKUP(Calculator!E23,tbSkills!DH3:DI6,2,FALSE)+IF(AND(Calculator!B8=TRUE,Backdoors!BI35=TRUE),VLOOKUP(Calculator!E23,tbSkills!DH3:DJ6,3,FALSE),0),0))&gt;=100,100,(Backdoors!AI12+IF(HR42&gt;=0.45,VLOOKUP(Calculator!E23,tbSkills!DH3:DI6,2,FALSE)+IF(AND(Calculator!B8=TRUE,Backdoors!BI35=TRUE),VLOOKUP(Calculator!E23,tbSkills!DH3:DJ6,3,FALSE),0),0)))/100)),1))*IF(VLOOKUP(A42,tbMoveset!A2:K112,11,FALSE)=TRUE,Backdoors!AC5,1))*HS42,0),"")</f>
        <v>0</v>
      </c>
      <c r="HW42" s="49">
        <f>VLOOKUP(A42,tbMoveset!A2:G112,7,FALSE)*IFERROR(IF(Backdoors!AI12&gt;=0,1+(IF(Calculator!E40&gt;0,VLOOKUP(Calculator!E40,tbSkills!AI3:AJ5,2,FALSE),Backdoors!AL4)*(IF((Backdoors!AI12+IF(HR42&gt;=0.45,VLOOKUP(Calculator!E23,tbSkills!DH3:DI6,2,FALSE)+IF(AND(Calculator!B8=TRUE,Backdoors!BI35=TRUE),VLOOKUP(Calculator!E23,tbSkills!DH3:DJ6,3,FALSE),0),0))&gt;=100,100,(Backdoors!AI12+IF(HR42&gt;=0.45,VLOOKUP(Calculator!E23,tbSkills!DH3:DI6,2,FALSE)+IF(AND(Calculator!B8=TRUE,Backdoors!BI35=TRUE),VLOOKUP(Calculator!E23,tbSkills!DH3:DJ6,3,FALSE),0),0)))/100)),1),1)</f>
        <v>0.5</v>
      </c>
      <c r="HX42" s="87">
        <f t="shared" si="25"/>
        <v>0</v>
      </c>
      <c r="HY42" s="86" t="str">
        <f>IFERROR(IF(VLOOKUP(A42,tbMoveset!A2:B112,2,FALSE)="Sever",Backdoors!AY36/100,IF(VLOOKUP(A42,tbMoveset!A2:B112,2,FALSE)="Blunt",Backdoors!AZ36/100,Backdoors!BA36/100)),"")</f>
        <v/>
      </c>
      <c r="HZ42" s="49">
        <f>IFERROR(IF(VLOOKUP(tbMoveset!A42,tbMoveset!A2:H112,8,FALSE)="Other",IF(VLOOKUP(tbMoveset!A42,tbMoveset!A2:I112,9,FALSE)="Fire",Backdoors!BB36,IF(VLOOKUP(tbMoveset!A42,tbMoveset!A2:I112,9,FALSE)="Water",Backdoors!BC36,IF(VLOOKUP(tbMoveset!A42,tbMoveset!A2:I112,9,FALSE)="Thunder",Backdoors!BD36,IF(VLOOKUP(tbMoveset!A42,tbMoveset!A2:I112,9,FALSE)="Ice",Backdoors!BE36,IF(VLOOKUP(tbMoveset!A42,tbMoveset!A2:I112,9,FALSE)="Dragon",Backdoors!BF36,Backdoors!BG36)))))/100,Backdoors!BG36/100),"")</f>
        <v>0</v>
      </c>
      <c r="IA42" s="49">
        <f>IFERROR(IF(VLOOKUP(A42,tbMoveset!A2:J112,10,FALSE)=TRUE,IF((Backdoors!AI12+IF(HY42&gt;=0.45,VLOOKUP(Calculator!E23,tbSkills!DH3:DI6,2,FALSE)+IF(AND(Calculator!B8=TRUE,Backdoors!BI36=TRUE),VLOOKUP(Calculator!E23,tbSkills!DH3:DJ6,3,FALSE),0),0))&gt;=0,1+(Backdoors!AL2*(IF((Backdoors!AI12+IF(HY42&gt;=0.45,VLOOKUP(Calculator!E23,tbSkills!DH3:DI6,2,FALSE)+IF(AND(Calculator!B8=TRUE,Backdoors!BI36=TRUE),VLOOKUP(Calculator!E23,tbSkills!DH3:DJ6,3,FALSE),0),0))&gt;=100,100,(Backdoors!AI12+IF(HY42&gt;=0.45,VLOOKUP(Calculator!E23,tbSkills!DH3:DI6,2,FALSE)+IF(AND(Calculator!B8=TRUE,Backdoors!BI36=TRUE),VLOOKUP(Calculator!E23,tbSkills!DH3:DJ6,3,FALSE),0),0)))/100)),(1-(0.25*((-Backdoors!AI12-IF(HY42&gt;=0.45,VLOOKUP(Calculator!E23,tbSkills!DH3:DI6,2,FALSE)+IF(AND(Calculator!B8=TRUE,Backdoors!BI36=TRUE),VLOOKUP(Calculator!E23,tbSkills!DH3:DJ6,3,FALSE),0),0))/100)))),1),"")</f>
        <v>1</v>
      </c>
      <c r="IB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Y42)*IA42)*(VLOOKUP(A42,tbMoveset!A2:C112,3,FALSE)/100)*IF(VLOOKUP(A42,tbMoveset!A2:B112,2,FALSE)="Projectile",Backdoors!N10,Backdoors!N9),0),"")</f>
        <v/>
      </c>
      <c r="IC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Y42&gt;=0.45,VLOOKUP(Calculator!E23,tbSkills!DH3:DI6,2,FALSE)+IF(AND(Calculator!B8=TRUE,Backdoors!BI36=TRUE),VLOOKUP(Calculator!E23,tbSkills!DH3:DJ6,3,FALSE),0),0))&gt;=100,100,(Backdoors!AI12+IF(HY42&gt;=0.45,VLOOKUP(Calculator!E23,tbSkills!DH3:DI6,2,FALSE)+IF(AND(Calculator!B8=TRUE,Backdoors!BI36=TRUE),VLOOKUP(Calculator!E23,tbSkills!DH3:DJ6,3,FALSE),0),0)))/100)),1))*IF(VLOOKUP(A42,tbMoveset!A2:K112,11,FALSE)=TRUE,Backdoors!AC5,1))*HZ42,0),"")</f>
        <v>0</v>
      </c>
      <c r="ID42" s="49">
        <f>VLOOKUP(A42,tbMoveset!A2:G112,7,FALSE)*IFERROR(IF(Backdoors!AI12&gt;=0,1+(IF(Calculator!E40&gt;0,VLOOKUP(Calculator!E40,tbSkills!AI3:AJ5,2,FALSE),Backdoors!AL4)*(IF((Backdoors!AI12+IF(HY42&gt;=0.45,VLOOKUP(Calculator!E23,tbSkills!DH3:DI6,2,FALSE)+IF(AND(Calculator!B8=TRUE,Backdoors!BI36=TRUE),VLOOKUP(Calculator!E23,tbSkills!DH3:DJ6,3,FALSE),0),0))&gt;=100,100,(Backdoors!AI12+IF(HY42&gt;=0.45,VLOOKUP(Calculator!E23,tbSkills!DH3:DI6,2,FALSE)+IF(AND(Calculator!B8=TRUE,Backdoors!BI36=TRUE),VLOOKUP(Calculator!E23,tbSkills!DH3:DJ6,3,FALSE),0),0)))/100)),1),1)</f>
        <v>0.5</v>
      </c>
      <c r="IE42" s="87">
        <f t="shared" si="26"/>
        <v>0</v>
      </c>
      <c r="IF42" s="86" t="str">
        <f>IFERROR(IF(VLOOKUP(A42,tbMoveset!A2:B112,2,FALSE)="Sever",Backdoors!AY37/100,IF(VLOOKUP(A42,tbMoveset!A2:B112,2,FALSE)="Blunt",Backdoors!AZ37/100,Backdoors!BA37/100)),"")</f>
        <v/>
      </c>
      <c r="IG42" s="49">
        <f>IFERROR(IF(VLOOKUP(tbMoveset!A42,tbMoveset!A2:H112,8,FALSE)="Other",IF(VLOOKUP(tbMoveset!A42,tbMoveset!A2:I112,9,FALSE)="Fire",Backdoors!BB37,IF(VLOOKUP(tbMoveset!A42,tbMoveset!A2:I112,9,FALSE)="Water",Backdoors!BC37,IF(VLOOKUP(tbMoveset!A42,tbMoveset!A2:I112,9,FALSE)="Thunder",Backdoors!BD37,IF(VLOOKUP(tbMoveset!A42,tbMoveset!A2:I112,9,FALSE)="Ice",Backdoors!BE37,IF(VLOOKUP(tbMoveset!A42,tbMoveset!A2:I112,9,FALSE)="Dragon",Backdoors!BF37,Backdoors!BG37)))))/100,Backdoors!BG37/100),"")</f>
        <v>0</v>
      </c>
      <c r="IH42" s="49">
        <f>IFERROR(IF(VLOOKUP(A42,tbMoveset!A2:J112,10,FALSE)=TRUE,IF((Backdoors!AI12+IF(IF42&gt;=0.45,VLOOKUP(Calculator!E23,tbSkills!DH3:DI6,2,FALSE)+IF(AND(Calculator!B8=TRUE,Backdoors!BI37=TRUE),VLOOKUP(Calculator!E23,tbSkills!DH3:DJ6,3,FALSE),0),0))&gt;=0,1+(Backdoors!AL2*(IF((Backdoors!AI12+IF(IF42&gt;=0.45,VLOOKUP(Calculator!E23,tbSkills!DH3:DI6,2,FALSE)+IF(AND(Calculator!B8=TRUE,Backdoors!BI37=TRUE),VLOOKUP(Calculator!E23,tbSkills!DH3:DJ6,3,FALSE),0),0))&gt;=100,100,(Backdoors!AI12+IF(IF42&gt;=0.45,VLOOKUP(Calculator!E23,tbSkills!DH3:DI6,2,FALSE)+IF(AND(Calculator!B8=TRUE,Backdoors!BI37=TRUE),VLOOKUP(Calculator!E23,tbSkills!DH3:DJ6,3,FALSE),0),0)))/100)),(1-(0.25*((-Backdoors!AI12-IF(IF42&gt;=0.45,VLOOKUP(Calculator!E23,tbSkills!DH3:DI6,2,FALSE)+IF(AND(Calculator!B8=TRUE,Backdoors!BI37=TRUE),VLOOKUP(Calculator!E23,tbSkills!DH3:DJ6,3,FALSE),0),0))/100)))),1),"")</f>
        <v>1</v>
      </c>
      <c r="II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F42)*IH42)*(VLOOKUP(A42,tbMoveset!A2:C112,3,FALSE)/100)*IF(VLOOKUP(A42,tbMoveset!A2:B112,2,FALSE)="Projectile",Backdoors!N10,Backdoors!N9),0),"")</f>
        <v/>
      </c>
      <c r="IJ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IF42&gt;=0.45,VLOOKUP(Calculator!E23,tbSkills!DH3:DI6,2,FALSE)+IF(AND(Calculator!B8=TRUE,Backdoors!BI37=TRUE),VLOOKUP(Calculator!E23,tbSkills!DH3:DJ6,3,FALSE),0),0))&gt;=100,100,(Backdoors!AI12+IF(IF42&gt;=0.45,VLOOKUP(Calculator!E23,tbSkills!DH3:DI6,2,FALSE)+IF(AND(Calculator!B8=TRUE,Backdoors!BI37=TRUE),VLOOKUP(Calculator!E23,tbSkills!DH3:DJ6,3,FALSE),0),0)))/100)),1))*IF(VLOOKUP(A42,tbMoveset!A2:K112,11,FALSE)=TRUE,Backdoors!AC5,1))*IG42,0),"")</f>
        <v>0</v>
      </c>
      <c r="IK42" s="49">
        <f>VLOOKUP(A42,tbMoveset!A2:G112,7,FALSE)*IFERROR(IF(Backdoors!AI12&gt;=0,1+(IF(Calculator!E40&gt;0,VLOOKUP(Calculator!E40,tbSkills!AI3:AJ5,2,FALSE),Backdoors!AL4)*(IF((Backdoors!AI12+IF(IF42&gt;=0.45,VLOOKUP(Calculator!E23,tbSkills!DH3:DI6,2,FALSE)+IF(AND(Calculator!B8=TRUE,Backdoors!BI37=TRUE),VLOOKUP(Calculator!E23,tbSkills!DH3:DJ6,3,FALSE),0),0))&gt;=100,100,(Backdoors!AI12+IF(IF42&gt;=0.45,VLOOKUP(Calculator!E23,tbSkills!DH3:DI6,2,FALSE)+IF(AND(Calculator!B8=TRUE,Backdoors!BI37=TRUE),VLOOKUP(Calculator!E23,tbSkills!DH3:DJ6,3,FALSE),0),0)))/100)),1),1)</f>
        <v>0.5</v>
      </c>
      <c r="IL42" s="87">
        <f t="shared" si="27"/>
        <v>0</v>
      </c>
      <c r="IM42" s="86" t="str">
        <f>IFERROR(IF(VLOOKUP(A42,tbMoveset!A2:B112,2,FALSE)="Sever",Backdoors!AY38/100,IF(VLOOKUP(A42,tbMoveset!A2:B112,2,FALSE)="Blunt",Backdoors!AZ38/100,Backdoors!BA38/100)),"")</f>
        <v/>
      </c>
      <c r="IN42" s="49">
        <f>IFERROR(IF(VLOOKUP(tbMoveset!A42,tbMoveset!A2:H112,8,FALSE)="Other",IF(VLOOKUP(tbMoveset!A42,tbMoveset!A2:I112,9,FALSE)="Fire",Backdoors!BB38,IF(VLOOKUP(tbMoveset!A42,tbMoveset!A2:I112,9,FALSE)="Water",Backdoors!BC38,IF(VLOOKUP(tbMoveset!A42,tbMoveset!A2:I112,9,FALSE)="Thunder",Backdoors!BD38,IF(VLOOKUP(tbMoveset!A42,tbMoveset!A2:I112,9,FALSE)="Ice",Backdoors!BE38,IF(VLOOKUP(tbMoveset!A42,tbMoveset!A2:I112,9,FALSE)="Dragon",Backdoors!BF38,Backdoors!BG38)))))/100,Backdoors!BG38/100),"")</f>
        <v>0</v>
      </c>
      <c r="IO42" s="49">
        <f>IFERROR(IF(VLOOKUP(A42,tbMoveset!A2:J112,10,FALSE)=TRUE,IF((Backdoors!AI12+IF(IM42&gt;=0.45,VLOOKUP(Calculator!E23,tbSkills!DH3:DI6,2,FALSE)+IF(AND(Calculator!B8=TRUE,Backdoors!BI38=TRUE),VLOOKUP(Calculator!E23,tbSkills!DH3:DJ6,3,FALSE),0),0))&gt;=0,1+(Backdoors!AL2*(IF((Backdoors!AI12+IF(IM42&gt;=0.45,VLOOKUP(Calculator!E23,tbSkills!DH3:DI6,2,FALSE)+IF(AND(Calculator!B8=TRUE,Backdoors!BI38=TRUE),VLOOKUP(Calculator!E23,tbSkills!DH3:DJ6,3,FALSE),0),0))&gt;=100,100,(Backdoors!AI12+IF(IM42&gt;=0.45,VLOOKUP(Calculator!E23,tbSkills!DH3:DI6,2,FALSE)+IF(AND(Calculator!B8=TRUE,Backdoors!BI38=TRUE),VLOOKUP(Calculator!E23,tbSkills!DH3:DJ6,3,FALSE),0),0)))/100)),(1-(0.25*((-Backdoors!AI12-IF(IM42&gt;=0.45,VLOOKUP(Calculator!E23,tbSkills!DH3:DI6,2,FALSE)+IF(AND(Calculator!B8=TRUE,Backdoors!BI38=TRUE),VLOOKUP(Calculator!E23,tbSkills!DH3:DJ6,3,FALSE),0),0))/100)))),1),"")</f>
        <v>1</v>
      </c>
      <c r="IP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M42)*IO42)*(VLOOKUP(A42,tbMoveset!A2:C112,3,FALSE)/100)*IF(VLOOKUP(A42,tbMoveset!A2:B112,2,FALSE)="Projectile",Backdoors!N10,Backdoors!N9),0),"")</f>
        <v/>
      </c>
      <c r="IQ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IM42&gt;=0.45,VLOOKUP(Calculator!E23,tbSkills!DH3:DI6,2,FALSE)+IF(AND(Calculator!B8=TRUE,Backdoors!BI38=TRUE),VLOOKUP(Calculator!E23,tbSkills!DH3:DJ6,3,FALSE),0),0))&gt;=100,100,(Backdoors!AI12+IF(IM42&gt;=0.45,VLOOKUP(Calculator!E23,tbSkills!DH3:DI6,2,FALSE)+IF(AND(Calculator!B8=TRUE,Backdoors!BI38=TRUE),VLOOKUP(Calculator!E23,tbSkills!DH3:DJ6,3,FALSE),0),0)))/100)),1))*IF(VLOOKUP(A42,tbMoveset!A2:K112,11,FALSE)=TRUE,Backdoors!AC5,1))*IN42,0),"")</f>
        <v>0</v>
      </c>
      <c r="IR42" s="49">
        <f>VLOOKUP(A42,tbMoveset!A2:G112,7,FALSE)*IFERROR(IF(Backdoors!AI12&gt;=0,1+(IF(Calculator!E40&gt;0,VLOOKUP(Calculator!E40,tbSkills!AI3:AJ5,2,FALSE),Backdoors!AL4)*(IF((Backdoors!AI12+IF(IM42&gt;=0.45,VLOOKUP(Calculator!E23,tbSkills!DH3:DI6,2,FALSE)+IF(AND(Calculator!B8=TRUE,Backdoors!BI38=TRUE),VLOOKUP(Calculator!E23,tbSkills!DH3:DJ6,3,FALSE),0),0))&gt;=100,100,(Backdoors!AI12+IF(IM42&gt;=0.45,VLOOKUP(Calculator!E23,tbSkills!DH3:DI6,2,FALSE)+IF(AND(Calculator!B8=TRUE,Backdoors!BI38=TRUE),VLOOKUP(Calculator!E23,tbSkills!DH3:DJ6,3,FALSE),0),0)))/100)),1),1)</f>
        <v>0.5</v>
      </c>
      <c r="IS42" s="87">
        <f t="shared" si="42"/>
        <v>0</v>
      </c>
      <c r="IT42" s="86" t="str">
        <f>IFERROR(IF(VLOOKUP(A42,tbMoveset!A2:B112,2,FALSE)="Sever",Backdoors!AY39/100,IF(VLOOKUP(A42,tbMoveset!A2:B112,2,FALSE)="Blunt",Backdoors!AZ39/100,Backdoors!BA39/100)),"")</f>
        <v/>
      </c>
      <c r="IU42" s="49">
        <f>IFERROR(IF(VLOOKUP(tbMoveset!A42,tbMoveset!A2:H112,8,FALSE)="Other",IF(VLOOKUP(tbMoveset!A42,tbMoveset!A2:I112,9,FALSE)="Fire",Backdoors!BB39,IF(VLOOKUP(tbMoveset!A42,tbMoveset!A2:I112,9,FALSE)="Water",Backdoors!BC39,IF(VLOOKUP(tbMoveset!A42,tbMoveset!A2:I112,9,FALSE)="Thunder",Backdoors!BD39,IF(VLOOKUP(tbMoveset!A42,tbMoveset!A2:I112,9,FALSE)="Ice",Backdoors!BE39,IF(VLOOKUP(tbMoveset!A42,tbMoveset!A2:I112,9,FALSE)="Dragon",Backdoors!BF39,Backdoors!BG39)))))/100,Backdoors!BG39/100),"")</f>
        <v>0</v>
      </c>
      <c r="IV42" s="49">
        <f>IFERROR(IF(VLOOKUP(A42,tbMoveset!A2:J112,10,FALSE)=TRUE,IF((Backdoors!AI12+IF(IT42&gt;=0.45,VLOOKUP(Calculator!E23,tbSkills!DH3:DI6,2,FALSE)+IF(AND(Calculator!B8=TRUE,Backdoors!BI39=TRUE),VLOOKUP(Calculator!E23,tbSkills!DH3:DJ6,3,FALSE),0),0))&gt;=0,1+(Backdoors!AL2*(IF((Backdoors!AI12+IF(IT42&gt;=0.45,VLOOKUP(Calculator!E23,tbSkills!DH3:DI6,2,FALSE)+IF(AND(Calculator!B8=TRUE,Backdoors!BI39=TRUE),VLOOKUP(Calculator!E23,tbSkills!DH3:DJ6,3,FALSE),0),0))&gt;=100,100,(Backdoors!AI12+IF(IT42&gt;=0.45,VLOOKUP(Calculator!E23,tbSkills!DH3:DI6,2,FALSE)+IF(AND(Calculator!B8=TRUE,Backdoors!BI39=TRUE),VLOOKUP(Calculator!E23,tbSkills!DH3:DJ6,3,FALSE),0),0)))/100)),(1-(0.25*((-Backdoors!AI12-IF(IT42&gt;=0.45,VLOOKUP(Calculator!E23,tbSkills!DH3:DI6,2,FALSE)+IF(AND(Calculator!B8=TRUE,Backdoors!BI39=TRUE),VLOOKUP(Calculator!E23,tbSkills!DH3:DJ6,3,FALSE),0),0))/100)))),1),"")</f>
        <v>1</v>
      </c>
      <c r="IW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T42)*IV42)*(VLOOKUP(A42,tbMoveset!A2:C112,3,FALSE)/100)*IF(VLOOKUP(A42,tbMoveset!A2:B112,2,FALSE)="Projectile",Backdoors!N10,Backdoors!N9),0),"")</f>
        <v/>
      </c>
      <c r="IX42" s="49">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40&gt;0,VLOOKUP(Calculator!E40,tbSkills!AC3:AD5,2,FALSE),Backdoors!AL3)*(IF((Backdoors!AI12+IF(IT42&gt;=0.45,VLOOKUP(Calculator!E23,tbSkills!DH3:DI6,2,FALSE)+IF(AND(Calculator!B8=TRUE,Backdoors!BI39=TRUE),VLOOKUP(Calculator!E23,tbSkills!DH3:DJ6,3,FALSE),0),0))&gt;=100,100,(Backdoors!AI12+IF(IT42&gt;=0.45,VLOOKUP(Calculator!E23,tbSkills!DH3:DI6,2,FALSE)+IF(AND(Calculator!B8=TRUE,Backdoors!BI39=TRUE),VLOOKUP(Calculator!E23,tbSkills!DH3:DJ6,3,FALSE),0),0)))/100)),1))*IF(VLOOKUP(A42,tbMoveset!A2:K112,11,FALSE)=TRUE,Backdoors!AC5,1))*IU42,0),"")</f>
        <v>0</v>
      </c>
      <c r="IY42" s="49">
        <f>VLOOKUP(A42,tbMoveset!A2:G112,7,FALSE)*IFERROR(IF(Backdoors!AI12&gt;=0,1+(IF(Calculator!E40&gt;0,VLOOKUP(Calculator!E40,tbSkills!AI3:AJ5,2,FALSE),Backdoors!AL4)*(IF((Backdoors!AI12+IF(IT42&gt;=0.45,VLOOKUP(Calculator!E23,tbSkills!DH3:DI6,2,FALSE)+IF(AND(Calculator!B8=TRUE,Backdoors!BI39=TRUE),VLOOKUP(Calculator!E23,tbSkills!DH3:DJ6,3,FALSE),0),0))&gt;=100,100,(Backdoors!AI12+IF(IT42&gt;=0.45,VLOOKUP(Calculator!E23,tbSkills!DH3:DI6,2,FALSE)+IF(AND(Calculator!B8=TRUE,Backdoors!BI39=TRUE),VLOOKUP(Calculator!E23,tbSkills!DH3:DJ6,3,FALSE),0),0)))/100)),1),1)</f>
        <v>0.5</v>
      </c>
      <c r="IZ42" s="87">
        <f t="shared" si="28"/>
        <v>0</v>
      </c>
      <c r="JA42" s="86" t="str">
        <f>IFERROR(IF(VLOOKUP(A42,tbMoveset!A2:B112,2,FALSE)="Sever",Backdoors!AY40/100,IF(VLOOKUP(A42,tbMoveset!A2:B112,2,FALSE)="Blunt",Backdoors!AZ40/100,Backdoors!BA40/100)),"")</f>
        <v/>
      </c>
      <c r="JB42" s="49">
        <f>IFERROR(IF(VLOOKUP(tbMoveset!A42,tbMoveset!A2:H112,8,FALSE)="Other",IF(VLOOKUP(tbMoveset!A42,tbMoveset!A2:I112,9,FALSE)="Fire",Backdoors!BB40,IF(VLOOKUP(tbMoveset!A42,tbMoveset!A2:I112,9,FALSE)="Water",Backdoors!BC40,IF(VLOOKUP(tbMoveset!A42,tbMoveset!A2:I112,9,FALSE)="Thunder",Backdoors!BD40,IF(VLOOKUP(tbMoveset!A42,tbMoveset!A2:I112,9,FALSE)="Ice",Backdoors!BE40,IF(VLOOKUP(tbMoveset!A42,tbMoveset!A2:I112,9,FALSE)="Dragon",Backdoors!BF40,Backdoors!BG40)))))/100,Backdoors!BG40/100),"")</f>
        <v>0</v>
      </c>
      <c r="JC42" s="49">
        <f>IFERROR(IF(VLOOKUP(A42,tbMoveset!A2:J112,10,FALSE)=TRUE,IF((Backdoors!AI12+IF(JA42&gt;=0.45,VLOOKUP(Calculator!E23,tbSkills!DH3:DI6,2,FALSE)+IF(AND(Calculator!B8=TRUE,Backdoors!BI40=TRUE),VLOOKUP(Calculator!E23,tbSkills!DH3:DJ6,3,FALSE),0),0))&gt;=0,1+(Backdoors!AL2*(IF((Backdoors!AI12+IF(JA42&gt;=0.45,VLOOKUP(Calculator!E23,tbSkills!DH3:DI6,2,FALSE)+IF(AND(Calculator!B8=TRUE,Backdoors!BI40=TRUE),VLOOKUP(Calculator!E23,tbSkills!DH3:DJ6,3,FALSE),0),0))&gt;=100,100,(Backdoors!AI12+IF(JA42&gt;=0.45,VLOOKUP(Calculator!E23,tbSkills!DH3:DI6,2,FALSE)+IF(AND(Calculator!B8=TRUE,Backdoors!BI40=TRUE),VLOOKUP(Calculator!E23,tbSkills!DH3:DJ6,3,FALSE),0),0)))/100)),(1-(0.25*((-Backdoors!AI12-IF(JA42&gt;=0.45,VLOOKUP(Calculator!E23,tbSkills!DH3:DI6,2,FALSE)+IF(AND(Calculator!B8=TRUE,Backdoors!BI40=TRUE),VLOOKUP(Calculator!E23,tbSkills!DH3:DJ6,3,FALSE),0),0))/100)))),1),"")</f>
        <v>1</v>
      </c>
      <c r="JD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A42)*JC42)*(VLOOKUP(A42,tbMoveset!A2:C112,3,FALSE)/100)*IF(VLOOKUP(A42,tbMoveset!A2:B112,2,FALSE)="Projectile",Backdoors!N10,Backdoors!N9),0),"")</f>
        <v/>
      </c>
      <c r="JE42" s="49">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42&gt;0,VLOOKUP(Calculator!E42,tbSkills!AC3:AD5,2,FALSE),Backdoors!AL3)*(IF((Backdoors!AI12+IF(JA42&gt;=0.45,VLOOKUP(Calculator!E23,tbSkills!DH3:DI6,2,FALSE)+IF(AND(Calculator!B8=TRUE,Backdoors!BI40=TRUE),VLOOKUP(Calculator!E23,tbSkills!DH3:DJ6,3,FALSE),0),0))&gt;=100,100,(Backdoors!AI12+IF(JA42&gt;=0.45,VLOOKUP(Calculator!E23,tbSkills!DH3:DI6,2,FALSE)+IF(AND(Calculator!B8=TRUE,Backdoors!BI40=TRUE),VLOOKUP(Calculator!E23,tbSkills!DH3:DJ6,3,FALSE),0),0)))/100)),1))*IF(VLOOKUP(A42,tbMoveset!A2:K112,11,FALSE)=TRUE,Backdoors!AC5,1))*JB42,0),"")</f>
        <v>0</v>
      </c>
      <c r="JF42" s="49">
        <f>VLOOKUP(A42,tbMoveset!A2:G112,7,FALSE)*IFERROR(IF(Backdoors!AI12&gt;=0,1+(IF(Calculator!E40&gt;0,VLOOKUP(Calculator!E40,tbSkills!AI3:AJ5,2,FALSE),Backdoors!AL4)*(IF((Backdoors!AI12+IF(JA42&gt;=0.45,VLOOKUP(Calculator!E23,tbSkills!DH3:DI6,2,FALSE)+IF(AND(Calculator!B8=TRUE,Backdoors!BI40=TRUE),VLOOKUP(Calculator!E23,tbSkills!DH3:DJ6,3,FALSE),0),0))&gt;=100,100,(Backdoors!AI12+IF(JA42&gt;=0.45,VLOOKUP(Calculator!E23,tbSkills!DH3:DI6,2,FALSE)+IF(AND(Calculator!B8=TRUE,Backdoors!BI40=TRUE),VLOOKUP(Calculator!E23,tbSkills!DH3:DJ6,3,FALSE),0),0)))/100)),1),1)</f>
        <v>0.5</v>
      </c>
      <c r="JG42" s="87">
        <f t="shared" si="29"/>
        <v>0</v>
      </c>
      <c r="JH42" s="86" t="str">
        <f>IFERROR(IF(VLOOKUP(A42,tbMoveset!A2:B112,2,FALSE)="Sever",Backdoors!AY41/100,IF(VLOOKUP(A42,tbMoveset!A2:B112,2,FALSE)="Blunt",Backdoors!AZ41/100,Backdoors!BA41/100)),"")</f>
        <v/>
      </c>
      <c r="JI42" s="49">
        <f>IFERROR(IF(VLOOKUP(tbMoveset!A42,tbMoveset!A2:H112,8,FALSE)="Other",IF(VLOOKUP(tbMoveset!A42,tbMoveset!A2:I112,9,FALSE)="Fire",Backdoors!BB41,IF(VLOOKUP(tbMoveset!A42,tbMoveset!A2:I112,9,FALSE)="Water",Backdoors!BC41,IF(VLOOKUP(tbMoveset!A42,tbMoveset!A2:I112,9,FALSE)="Thunder",Backdoors!BD41,IF(VLOOKUP(tbMoveset!A42,tbMoveset!A2:I112,9,FALSE)="Ice",Backdoors!BE41,IF(VLOOKUP(tbMoveset!A42,tbMoveset!A2:I112,9,FALSE)="Dragon",Backdoors!BF41,Backdoors!BG41)))))/100,Backdoors!BG41/100),"")</f>
        <v>0</v>
      </c>
      <c r="JJ42" s="49">
        <f>IFERROR(IF(VLOOKUP(A42,tbMoveset!A2:J112,10,FALSE)=TRUE,IF((Backdoors!AI12+IF(JH42&gt;=0.45,VLOOKUP(Calculator!E23,tbSkills!DH3:DI6,2,FALSE)+IF(AND(Calculator!B8=TRUE,Backdoors!BI41=TRUE),VLOOKUP(Calculator!E23,tbSkills!DH3:DJ6,3,FALSE),0),0))&gt;=0,1+(Backdoors!AL2*(IF((Backdoors!AI12+IF(JH42&gt;=0.45,VLOOKUP(Calculator!E23,tbSkills!DH3:DI6,2,FALSE)+IF(AND(Calculator!B8=TRUE,Backdoors!BI41=TRUE),VLOOKUP(Calculator!E23,tbSkills!DH3:DJ6,3,FALSE),0),0))&gt;=100,100,(Backdoors!AI12+IF(JH42&gt;=0.45,VLOOKUP(Calculator!E23,tbSkills!DH3:DI6,2,FALSE)+IF(AND(Calculator!B8=TRUE,Backdoors!BI41=TRUE),VLOOKUP(Calculator!E23,tbSkills!DH3:DJ6,3,FALSE),0),0)))/100)),(1-(0.25*((-Backdoors!AI12-IF(JH42&gt;=0.45,VLOOKUP(Calculator!E23,tbSkills!DH3:DI6,2,FALSE)+IF(AND(Calculator!B8=TRUE,Backdoors!BI41=TRUE),VLOOKUP(Calculator!E23,tbSkills!DH3:DJ6,3,FALSE),0),0))/100)))),1),"")</f>
        <v>1</v>
      </c>
      <c r="JK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H42)*JJ42)*(VLOOKUP(A42,tbMoveset!A2:C112,3,FALSE)/100)*IF(VLOOKUP(A42,tbMoveset!A2:B112,2,FALSE)="Projectile",Backdoors!N10,Backdoors!N9),0),"")</f>
        <v/>
      </c>
      <c r="JL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43&gt;0,VLOOKUP(Calculator!E43,tbSkills!AC3:AD5,2,FALSE),Backdoors!AL3)*(IF((Backdoors!AI12+IF(JH42&gt;=0.45,VLOOKUP(Calculator!E23,tbSkills!DH3:DI6,2,FALSE)+IF(AND(Calculator!B8=TRUE,Backdoors!BI41=TRUE),VLOOKUP(Calculator!E23,tbSkills!DH3:DJ6,3,FALSE),0),0))&gt;=100,100,(Backdoors!AI12+IF(JH42&gt;=0.45,VLOOKUP(Calculator!E23,tbSkills!DH3:DI6,2,FALSE)+IF(AND(Calculator!B8=TRUE,Backdoors!BI41=TRUE),VLOOKUP(Calculator!E23,tbSkills!DH3:DJ6,3,FALSE),0),0)))/100)),1))*IF(VLOOKUP(A42,tbMoveset!A2:K112,11,FALSE)=TRUE,Backdoors!AC5,1))*JI42,0),"")</f>
        <v/>
      </c>
      <c r="JM42" s="49">
        <f>VLOOKUP(A42,tbMoveset!A2:G112,7,FALSE)*IFERROR(IF(Backdoors!AI12&gt;=0,1+(IF(Calculator!E40&gt;0,VLOOKUP(Calculator!E40,tbSkills!AI3:AJ5,2,FALSE),Backdoors!AL4)*(IF((Backdoors!AI12+IF(JH42&gt;=0.45,VLOOKUP(Calculator!E23,tbSkills!DH3:DI6,2,FALSE)+IF(AND(Calculator!B8=TRUE,Backdoors!BI41=TRUE),VLOOKUP(Calculator!E23,tbSkills!DH3:DJ6,3,FALSE),0),0))&gt;=100,100,(Backdoors!AI12+IF(JH42&gt;=0.45,VLOOKUP(Calculator!E23,tbSkills!DH3:DI6,2,FALSE)+IF(AND(Calculator!B8=TRUE,Backdoors!BI41=TRUE),VLOOKUP(Calculator!E23,tbSkills!DH3:DJ6,3,FALSE),0),0)))/100)),1),1)</f>
        <v>0.5</v>
      </c>
      <c r="JN42" s="87">
        <f t="shared" si="30"/>
        <v>0</v>
      </c>
      <c r="JO42" s="86" t="str">
        <f>IFERROR(IF(VLOOKUP(A42,tbMoveset!A2:B112,2,FALSE)="Sever",Backdoors!AY42/100,IF(VLOOKUP(A42,tbMoveset!A2:B112,2,FALSE)="Blunt",Backdoors!AZ42/100,Backdoors!BA42/100)),"")</f>
        <v/>
      </c>
      <c r="JP42" s="49">
        <f>IFERROR(IF(VLOOKUP(tbMoveset!A42,tbMoveset!A2:H112,8,FALSE)="Other",IF(VLOOKUP(tbMoveset!A42,tbMoveset!A2:I112,9,FALSE)="Fire",Backdoors!BB42,IF(VLOOKUP(tbMoveset!A42,tbMoveset!A2:I112,9,FALSE)="Water",Backdoors!BC42,IF(VLOOKUP(tbMoveset!A42,tbMoveset!A2:I112,9,FALSE)="Thunder",Backdoors!BD42,IF(VLOOKUP(tbMoveset!A42,tbMoveset!A2:I112,9,FALSE)="Ice",Backdoors!BE42,IF(VLOOKUP(tbMoveset!A42,tbMoveset!A2:I112,9,FALSE)="Dragon",Backdoors!BF42,Backdoors!BG42)))))/100,Backdoors!BG42/100),"")</f>
        <v>0</v>
      </c>
      <c r="JQ42" s="49">
        <f>IFERROR(IF(VLOOKUP(A42,tbMoveset!A2:J112,10,FALSE)=TRUE,IF((Backdoors!AI12+IF(JO42&gt;=0.45,VLOOKUP(Calculator!E23,tbSkills!DH3:DI6,2,FALSE)+IF(AND(Calculator!B8=TRUE,Backdoors!BI42=TRUE),VLOOKUP(Calculator!E23,tbSkills!DH3:DJ6,3,FALSE),0),0))&gt;=0,1+(Backdoors!AL2*(IF((Backdoors!AI12+IF(JO42&gt;=0.45,VLOOKUP(Calculator!E23,tbSkills!DH3:DI6,2,FALSE)+IF(AND(Calculator!B8=TRUE,Backdoors!BI42=TRUE),VLOOKUP(Calculator!E23,tbSkills!DH3:DJ6,3,FALSE),0),0))&gt;=100,100,(Backdoors!AI12+IF(JO42&gt;=0.45,VLOOKUP(Calculator!E23,tbSkills!DH3:DI6,2,FALSE)+IF(AND(Calculator!B8=TRUE,Backdoors!BI42=TRUE),VLOOKUP(Calculator!E23,tbSkills!DH3:DJ6,3,FALSE),0),0)))/100)),(1-(0.25*((-Backdoors!AI12-IF(JO42&gt;=0.45,VLOOKUP(Calculator!E23,tbSkills!DH3:DI6,2,FALSE)+IF(AND(Calculator!B8=TRUE,Backdoors!BI42=TRUE),VLOOKUP(Calculator!E23,tbSkills!DH3:DJ6,3,FALSE),0),0))/100)))),1),"")</f>
        <v>1</v>
      </c>
      <c r="JR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O42)*JQ42)*(VLOOKUP(A42,tbMoveset!A2:C112,3,FALSE)/100)*IF(VLOOKUP(A42,tbMoveset!A2:B112,2,FALSE)="Projectile",Backdoors!N10,Backdoors!N9),0),"")</f>
        <v/>
      </c>
      <c r="JS42" s="49">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45&gt;0,VLOOKUP(Calculator!E45,tbSkills!AC3:AD5,2,FALSE),Backdoors!AL3)*(IF((Backdoors!AI12+IF(JO42&gt;=0.45,VLOOKUP(Calculator!E23,tbSkills!DH3:DI6,2,FALSE)+IF(AND(Calculator!B8=TRUE,Backdoors!BI42=TRUE),VLOOKUP(Calculator!E23,tbSkills!DH3:DJ6,3,FALSE),0),0))&gt;=100,100,(Backdoors!AI12+IF(JO42&gt;=0.45,VLOOKUP(Calculator!E23,tbSkills!DH3:DI6,2,FALSE)+IF(AND(Calculator!B8=TRUE,Backdoors!BI42=TRUE),VLOOKUP(Calculator!E23,tbSkills!DH3:DJ6,3,FALSE),0),0)))/100)),1))*IF(VLOOKUP(A42,tbMoveset!A2:K112,11,FALSE)=TRUE,Backdoors!AC5,1))*JP42,0),"")</f>
        <v>0</v>
      </c>
      <c r="JT42" s="49">
        <f>VLOOKUP(A42,tbMoveset!A2:G112,7,FALSE)*IFERROR(IF(Backdoors!AI12&gt;=0,1+(IF(Calculator!E40&gt;0,VLOOKUP(Calculator!E40,tbSkills!AI3:AJ5,2,FALSE),Backdoors!AL4)*(IF((Backdoors!AI12+IF(JO42&gt;=0.45,VLOOKUP(Calculator!E23,tbSkills!DH3:DI6,2,FALSE)+IF(AND(Calculator!B8=TRUE,Backdoors!BI42=TRUE),VLOOKUP(Calculator!E23,tbSkills!DH3:DJ6,3,FALSE),0),0))&gt;=100,100,(Backdoors!AI12+IF(JO42&gt;=0.45,VLOOKUP(Calculator!E23,tbSkills!DH3:DI6,2,FALSE)+IF(AND(Calculator!B8=TRUE,Backdoors!BI42=TRUE),VLOOKUP(Calculator!E23,tbSkills!DH3:DJ6,3,FALSE),0),0)))/100)),1),1)</f>
        <v>0.5</v>
      </c>
      <c r="JU42" s="87">
        <f t="shared" si="31"/>
        <v>0</v>
      </c>
      <c r="JV42" s="86" t="str">
        <f>IFERROR(IF(VLOOKUP(A42,tbMoveset!A2:B112,2,FALSE)="Sever",Backdoors!AY43/100,IF(VLOOKUP(A42,tbMoveset!A2:B112,2,FALSE)="Blunt",Backdoors!AZ43/100,Backdoors!BA43/100)),"")</f>
        <v/>
      </c>
      <c r="JW42" s="49">
        <f>IFERROR(IF(VLOOKUP(tbMoveset!A42,tbMoveset!A2:H112,8,FALSE)="Other",IF(VLOOKUP(tbMoveset!A42,tbMoveset!A2:I112,9,FALSE)="Fire",Backdoors!BB43,IF(VLOOKUP(tbMoveset!A42,tbMoveset!A2:I112,9,FALSE)="Water",Backdoors!BC43,IF(VLOOKUP(tbMoveset!A42,tbMoveset!A2:I112,9,FALSE)="Thunder",Backdoors!BD43,IF(VLOOKUP(tbMoveset!A42,tbMoveset!A2:I112,9,FALSE)="Ice",Backdoors!BE43,IF(VLOOKUP(tbMoveset!A42,tbMoveset!A2:I112,9,FALSE)="Dragon",Backdoors!BF43,Backdoors!BG43)))))/100,Backdoors!BG43/100),"")</f>
        <v>0</v>
      </c>
      <c r="JX42" s="49">
        <f>IFERROR(IF(VLOOKUP(A42,tbMoveset!A2:J112,10,FALSE)=TRUE,IF((Backdoors!AI12+IF(JV42&gt;=0.45,VLOOKUP(Calculator!E23,tbSkills!DH3:DI6,2,FALSE)+IF(AND(Calculator!B8=TRUE,Backdoors!BI43=TRUE),VLOOKUP(Calculator!E23,tbSkills!DH3:DJ6,3,FALSE),0),0))&gt;=0,1+(Backdoors!AL2*(IF((Backdoors!AI12+IF(JV42&gt;=0.45,VLOOKUP(Calculator!E23,tbSkills!DH3:DI6,2,FALSE)+IF(AND(Calculator!B8=TRUE,Backdoors!BI43=TRUE),VLOOKUP(Calculator!E23,tbSkills!DH3:DJ6,3,FALSE),0),0))&gt;=100,100,(Backdoors!AI12+IF(JV42&gt;=0.45,VLOOKUP(Calculator!E23,tbSkills!DH3:DI6,2,FALSE)+IF(AND(Calculator!B8=TRUE,Backdoors!BI43=TRUE),VLOOKUP(Calculator!E23,tbSkills!DH3:DJ6,3,FALSE),0),0)))/100)),(1-(0.25*((-Backdoors!AI12-IF(JV42&gt;=0.45,VLOOKUP(Calculator!E23,tbSkills!DH3:DI6,2,FALSE)+IF(AND(Calculator!B8=TRUE,Backdoors!BI43=TRUE),VLOOKUP(Calculator!E23,tbSkills!DH3:DJ6,3,FALSE),0),0))/100)))),1),"")</f>
        <v>1</v>
      </c>
      <c r="JY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V42)*JX42)*(VLOOKUP(A42,tbMoveset!A2:C112,3,FALSE)/100)*IF(VLOOKUP(A42,tbMoveset!A2:B112,2,FALSE)="Projectile",Backdoors!N10,Backdoors!N9),0),"")</f>
        <v/>
      </c>
      <c r="JZ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46&gt;0,VLOOKUP(Calculator!E46,tbSkills!AC3:AD5,2,FALSE),Backdoors!AL3)*(IF((Backdoors!AI12+IF(JV42&gt;=0.45,VLOOKUP(Calculator!E23,tbSkills!DH3:DI6,2,FALSE)+IF(AND(Calculator!B8=TRUE,Backdoors!BI43=TRUE),VLOOKUP(Calculator!E23,tbSkills!DH3:DJ6,3,FALSE),0),0))&gt;=100,100,(Backdoors!AI12+IF(JV42&gt;=0.45,VLOOKUP(Calculator!E23,tbSkills!DH3:DI6,2,FALSE)+IF(AND(Calculator!B8=TRUE,Backdoors!BI43=TRUE),VLOOKUP(Calculator!E23,tbSkills!DH3:DJ6,3,FALSE),0),0)))/100)),1))*IF(VLOOKUP(A42,tbMoveset!A2:K112,11,FALSE)=TRUE,Backdoors!AC5,1))*JW42,0),"")</f>
        <v/>
      </c>
      <c r="KA42" s="49">
        <f>VLOOKUP(A42,tbMoveset!A2:G112,7,FALSE)*IFERROR(IF(Backdoors!AI12&gt;=0,1+(IF(Calculator!E40&gt;0,VLOOKUP(Calculator!E40,tbSkills!AI3:AJ5,2,FALSE),Backdoors!AL4)*(IF((Backdoors!AI12+IF(JV42&gt;=0.45,VLOOKUP(Calculator!E23,tbSkills!DH3:DI6,2,FALSE)+IF(AND(Calculator!B8=TRUE,Backdoors!BI43=TRUE),VLOOKUP(Calculator!E23,tbSkills!DH3:DJ6,3,FALSE),0),0))&gt;=100,100,(Backdoors!AI12+IF(JV42&gt;=0.45,VLOOKUP(Calculator!E23,tbSkills!DH3:DI6,2,FALSE)+IF(AND(Calculator!B8=TRUE,Backdoors!BI43=TRUE),VLOOKUP(Calculator!E23,tbSkills!DH3:DJ6,3,FALSE),0),0)))/100)),1),1)</f>
        <v>0.5</v>
      </c>
      <c r="KB42" s="87">
        <f t="shared" si="32"/>
        <v>0</v>
      </c>
      <c r="KC42" s="86" t="str">
        <f>IFERROR(IF(VLOOKUP(A42,tbMoveset!A2:B112,2,FALSE)="Sever",Backdoors!AY44/100,IF(VLOOKUP(A42,tbMoveset!A2:B112,2,FALSE)="Blunt",Backdoors!AZ44/100,Backdoors!BA44/100)),"")</f>
        <v/>
      </c>
      <c r="KD42" s="49">
        <f>IFERROR(IF(VLOOKUP(tbMoveset!A42,tbMoveset!A2:H112,8,FALSE)="Other",IF(VLOOKUP(tbMoveset!A42,tbMoveset!A2:I112,9,FALSE)="Fire",Backdoors!BB44,IF(VLOOKUP(tbMoveset!A42,tbMoveset!A2:I112,9,FALSE)="Water",Backdoors!BC44,IF(VLOOKUP(tbMoveset!A42,tbMoveset!A2:I112,9,FALSE)="Thunder",Backdoors!BD44,IF(VLOOKUP(tbMoveset!A42,tbMoveset!A2:I112,9,FALSE)="Ice",Backdoors!BE44,IF(VLOOKUP(tbMoveset!A42,tbMoveset!A2:I112,9,FALSE)="Dragon",Backdoors!BF44,Backdoors!BG44)))))/100,Backdoors!BG44/100),"")</f>
        <v>0</v>
      </c>
      <c r="KE42" s="49">
        <f>IFERROR(IF(VLOOKUP(A42,tbMoveset!A2:J112,10,FALSE)=TRUE,IF((Backdoors!AI12+IF(KC42&gt;=0.45,VLOOKUP(Calculator!E23,tbSkills!DH3:DI6,2,FALSE)+IF(AND(Calculator!B8=TRUE,Backdoors!BI44=TRUE),VLOOKUP(Calculator!E23,tbSkills!DH3:DJ6,3,FALSE),0),0))&gt;=0,1+(Backdoors!AL2*(IF((Backdoors!AI12+IF(KC42&gt;=0.45,VLOOKUP(Calculator!E23,tbSkills!DH3:DI6,2,FALSE)+IF(AND(Calculator!B8=TRUE,Backdoors!BI44=TRUE),VLOOKUP(Calculator!E23,tbSkills!DH3:DJ6,3,FALSE),0),0))&gt;=100,100,(Backdoors!AI12+IF(KC42&gt;=0.45,VLOOKUP(Calculator!E23,tbSkills!DH3:DI6,2,FALSE)+IF(AND(Calculator!B8=TRUE,Backdoors!BI44=TRUE),VLOOKUP(Calculator!E23,tbSkills!DH3:DJ6,3,FALSE),0),0)))/100)),(1-(0.25*((-Backdoors!AI12-IF(KC42&gt;=0.45,VLOOKUP(Calculator!E23,tbSkills!DH3:DI6,2,FALSE)+IF(AND(Calculator!B8=TRUE,Backdoors!BI44=TRUE),VLOOKUP(Calculator!E23,tbSkills!DH3:DJ6,3,FALSE),0),0))/100)))),1),"")</f>
        <v>1</v>
      </c>
      <c r="KF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KC42)*KE42)*(VLOOKUP(A42,tbMoveset!A2:C112,3,FALSE)/100)*IF(VLOOKUP(A42,tbMoveset!A2:B112,2,FALSE)="Projectile",Backdoors!N10,Backdoors!N9),0),"")</f>
        <v/>
      </c>
      <c r="KG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REF!&gt;0,VLOOKUP(Calculator!#REF!,tbSkills!AC3:AD5,2,FALSE),Backdoors!AL3)*(IF((Backdoors!AI12+IF(KC42&gt;=0.45,VLOOKUP(Calculator!E23,tbSkills!DH3:DI6,2,FALSE)+IF(AND(Calculator!B8=TRUE,Backdoors!BI44=TRUE),VLOOKUP(Calculator!E23,tbSkills!DH3:DJ6,3,FALSE),0),0))&gt;=100,100,(Backdoors!AI12+IF(KC42&gt;=0.45,VLOOKUP(Calculator!E23,tbSkills!DH3:DI6,2,FALSE)+IF(AND(Calculator!B8=TRUE,Backdoors!BI44=TRUE),VLOOKUP(Calculator!E23,tbSkills!DH3:DJ6,3,FALSE),0),0)))/100)),1))*IF(VLOOKUP(A42,tbMoveset!A2:K112,11,FALSE)=TRUE,Backdoors!AC5,1))*KD42,0),"")</f>
        <v/>
      </c>
      <c r="KH42" s="49">
        <f>VLOOKUP(A42,tbMoveset!A2:G112,7,FALSE)*IFERROR(IF(Backdoors!AI12&gt;=0,1+(IF(Calculator!E40&gt;0,VLOOKUP(Calculator!E40,tbSkills!AI3:AJ5,2,FALSE),Backdoors!AL4)*(IF((Backdoors!AI12+IF(KC42&gt;=0.45,VLOOKUP(Calculator!E23,tbSkills!DH3:DI6,2,FALSE)+IF(AND(Calculator!B8=TRUE,Backdoors!BI44=TRUE),VLOOKUP(Calculator!E23,tbSkills!DH3:DJ6,3,FALSE),0),0))&gt;=100,100,(Backdoors!AI12+IF(KC42&gt;=0.45,VLOOKUP(Calculator!E23,tbSkills!DH3:DI6,2,FALSE)+IF(AND(Calculator!B8=TRUE,Backdoors!BI44=TRUE),VLOOKUP(Calculator!E23,tbSkills!DH3:DJ6,3,FALSE),0),0)))/100)),1),1)</f>
        <v>0.5</v>
      </c>
      <c r="KI42" s="87">
        <f t="shared" si="33"/>
        <v>0</v>
      </c>
      <c r="KJ42" s="86" t="str">
        <f>IFERROR(IF(VLOOKUP(A42,tbMoveset!A2:B112,2,FALSE)="Sever",Backdoors!AY45/100,IF(VLOOKUP(A42,tbMoveset!A2:B112,2,FALSE)="Blunt",Backdoors!AZ45/100,Backdoors!BA45/100)),"")</f>
        <v/>
      </c>
      <c r="KK42" s="49">
        <f>IFERROR(IF(VLOOKUP(tbMoveset!A42,tbMoveset!A2:H112,8,FALSE)="Other",IF(VLOOKUP(tbMoveset!A42,tbMoveset!A2:I112,9,FALSE)="Fire",Backdoors!BB45,IF(VLOOKUP(tbMoveset!A42,tbMoveset!A2:I112,9,FALSE)="Water",Backdoors!BC45,IF(VLOOKUP(tbMoveset!A42,tbMoveset!A2:I112,9,FALSE)="Thunder",Backdoors!BD45,IF(VLOOKUP(tbMoveset!A42,tbMoveset!A2:I112,9,FALSE)="Ice",Backdoors!BE45,IF(VLOOKUP(tbMoveset!A42,tbMoveset!A2:I112,9,FALSE)="Dragon",Backdoors!BF45,Backdoors!BG45)))))/100,Backdoors!BG45/100),"")</f>
        <v>0</v>
      </c>
      <c r="KL42" s="49">
        <f>IFERROR(IF(VLOOKUP(A42,tbMoveset!A2:J112,10,FALSE)=TRUE,IF((Backdoors!AI12+IF(KJ42&gt;=0.45,VLOOKUP(Calculator!E23,tbSkills!DH3:DI6,2,FALSE)+IF(AND(Calculator!B8=TRUE,Backdoors!BI45=TRUE),VLOOKUP(Calculator!E23,tbSkills!DH3:DJ6,3,FALSE),0),0))&gt;=0,1+(Backdoors!AL2*(IF((Backdoors!AI12+IF(KJ42&gt;=0.45,VLOOKUP(Calculator!E23,tbSkills!DH3:DI6,2,FALSE)+IF(AND(Calculator!B8=TRUE,Backdoors!BI45=TRUE),VLOOKUP(Calculator!E23,tbSkills!DH3:DJ6,3,FALSE),0),0))&gt;=100,100,(Backdoors!AI12+IF(KJ42&gt;=0.45,VLOOKUP(Calculator!E23,tbSkills!DH3:DI6,2,FALSE)+IF(AND(Calculator!B8=TRUE,Backdoors!BI45=TRUE),VLOOKUP(Calculator!E23,tbSkills!DH3:DJ6,3,FALSE),0),0)))/100)),(1-(0.25*((-Backdoors!AI12-IF(KJ42&gt;=0.45,VLOOKUP(Calculator!E23,tbSkills!DH3:DI6,2,FALSE)+IF(AND(Calculator!B8=TRUE,Backdoors!BI45=TRUE),VLOOKUP(Calculator!E23,tbSkills!DH3:DJ6,3,FALSE),0),0))/100)))),1),"")</f>
        <v>1</v>
      </c>
      <c r="KM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KJ42)*KL42)*(VLOOKUP(A42,tbMoveset!A2:C112,3,FALSE)/100)*IF(VLOOKUP(A42,tbMoveset!A2:B112,2,FALSE)="Projectile",Backdoors!N10,Backdoors!N9),0),"")</f>
        <v/>
      </c>
      <c r="KN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REF!&gt;0,VLOOKUP(Calculator!#REF!,tbSkills!AC3:AD5,2,FALSE),Backdoors!AL3)*(IF((Backdoors!AI12+IF(KJ42&gt;=0.45,VLOOKUP(Calculator!E23,tbSkills!DH3:DI6,2,FALSE)+IF(AND(Calculator!B8=TRUE,Backdoors!BI45=TRUE),VLOOKUP(Calculator!E23,tbSkills!DH3:DJ6,3,FALSE),0),0))&gt;=100,100,(Backdoors!AI12+IF(KJ42&gt;=0.45,VLOOKUP(Calculator!E23,tbSkills!DH3:DI6,2,FALSE)+IF(AND(Calculator!B8=TRUE,Backdoors!BI45=TRUE),VLOOKUP(Calculator!E23,tbSkills!DH3:DJ6,3,FALSE),0),0)))/100)),1))*IF(VLOOKUP(A42,tbMoveset!A2:K112,11,FALSE)=TRUE,Backdoors!AC5,1))*KK42,0),"")</f>
        <v/>
      </c>
      <c r="KO42" s="49">
        <f>VLOOKUP(A42,tbMoveset!A2:G112,7,FALSE)*IFERROR(IF(Backdoors!AI12&gt;=0,1+(IF(Calculator!E40&gt;0,VLOOKUP(Calculator!E40,tbSkills!AI3:AJ5,2,FALSE),Backdoors!AL4)*(IF((Backdoors!AI12+IF(KJ42&gt;=0.45,VLOOKUP(Calculator!E23,tbSkills!DH3:DI6,2,FALSE)+IF(AND(Calculator!B8=TRUE,Backdoors!BI45=TRUE),VLOOKUP(Calculator!E23,tbSkills!DH3:DJ6,3,FALSE),0),0))&gt;=100,100,(Backdoors!AI12+IF(KJ42&gt;=0.45,VLOOKUP(Calculator!E23,tbSkills!DH3:DI6,2,FALSE)+IF(AND(Calculator!B8=TRUE,Backdoors!BI45=TRUE),VLOOKUP(Calculator!E23,tbSkills!DH3:DJ6,3,FALSE),0),0)))/100)),1),1)</f>
        <v>0.5</v>
      </c>
      <c r="KP42" s="87">
        <f t="shared" si="34"/>
        <v>0</v>
      </c>
      <c r="KQ42" s="86" t="str">
        <f>IFERROR(IF(VLOOKUP(A42,tbMoveset!A2:B112,2,FALSE)="Sever",Backdoors!AY46/100,IF(VLOOKUP(A42,tbMoveset!A2:B112,2,FALSE)="Blunt",Backdoors!AZ46/100,Backdoors!BA46/100)),"")</f>
        <v/>
      </c>
      <c r="KR42" s="49">
        <f>IFERROR(IF(VLOOKUP(tbMoveset!A42,tbMoveset!A2:H112,8,FALSE)="Other",IF(VLOOKUP(tbMoveset!A42,tbMoveset!A2:I112,9,FALSE)="Fire",Backdoors!BB46,IF(VLOOKUP(tbMoveset!A42,tbMoveset!A2:I112,9,FALSE)="Water",Backdoors!BC46,IF(VLOOKUP(tbMoveset!A42,tbMoveset!A2:I112,9,FALSE)="Thunder",Backdoors!BD46,IF(VLOOKUP(tbMoveset!A42,tbMoveset!A2:I112,9,FALSE)="Ice",Backdoors!BE46,IF(VLOOKUP(tbMoveset!A42,tbMoveset!A2:I112,9,FALSE)="Dragon",Backdoors!BF46,Backdoors!BG46)))))/100,Backdoors!BG46/100),"")</f>
        <v>0</v>
      </c>
      <c r="KS42" s="49">
        <f>IFERROR(IF(VLOOKUP(A42,tbMoveset!A2:J112,10,FALSE)=TRUE,IF((Backdoors!AI12+IF(KQ42&gt;=0.45,VLOOKUP(Calculator!E23,tbSkills!DH3:DI6,2,FALSE)+IF(AND(Calculator!B8=TRUE,Backdoors!BI46=TRUE),VLOOKUP(Calculator!E23,tbSkills!DH3:DJ6,3,FALSE),0),0))&gt;=0,1+(Backdoors!AL2*(IF((Backdoors!AI12+IF(KQ42&gt;=0.45,VLOOKUP(Calculator!E23,tbSkills!DH3:DI6,2,FALSE)+IF(AND(Calculator!B8=TRUE,Backdoors!BI46=TRUE),VLOOKUP(Calculator!E23,tbSkills!DH3:DJ6,3,FALSE),0),0))&gt;=100,100,(Backdoors!AI12+IF(KQ42&gt;=0.45,VLOOKUP(Calculator!E23,tbSkills!DH3:DI6,2,FALSE)+IF(AND(Calculator!B8=TRUE,Backdoors!BI46=TRUE),VLOOKUP(Calculator!E23,tbSkills!DH3:DJ6,3,FALSE),0),0)))/100)),(1-(0.25*((-Backdoors!AI12-IF(KQ42&gt;=0.45,VLOOKUP(Calculator!E23,tbSkills!DH3:DI6,2,FALSE)+IF(AND(Calculator!B8=TRUE,Backdoors!BI46=TRUE),VLOOKUP(Calculator!E23,tbSkills!DH3:DJ6,3,FALSE),0),0))/100)))),1),"")</f>
        <v>1</v>
      </c>
      <c r="KT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KQ42)*KS42)*(VLOOKUP(A42,tbMoveset!A2:C112,3,FALSE)/100)*IF(VLOOKUP(A42,tbMoveset!A2:B112,2,FALSE)="Projectile",Backdoors!N10,Backdoors!N9),0),"")</f>
        <v/>
      </c>
      <c r="KU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REF!&gt;0,VLOOKUP(Calculator!#REF!,tbSkills!AC3:AD5,2,FALSE),Backdoors!AL3)*(IF((Backdoors!AI12+IF(KQ42&gt;=0.45,VLOOKUP(Calculator!E23,tbSkills!DH3:DI6,2,FALSE)+IF(AND(Calculator!B8=TRUE,Backdoors!BI46=TRUE),VLOOKUP(Calculator!E23,tbSkills!DH3:DJ6,3,FALSE),0),0))&gt;=100,100,(Backdoors!AI12+IF(KQ42&gt;=0.45,VLOOKUP(Calculator!E23,tbSkills!DH3:DI6,2,FALSE)+IF(AND(Calculator!B8=TRUE,Backdoors!BI46=TRUE),VLOOKUP(Calculator!E23,tbSkills!DH3:DJ6,3,FALSE),0),0)))/100)),1))*IF(VLOOKUP(A42,tbMoveset!A2:K112,11,FALSE)=TRUE,Backdoors!AC5,1))*KR42,0),"")</f>
        <v/>
      </c>
      <c r="KV42" s="49">
        <f>VLOOKUP(A42,tbMoveset!A2:G112,7,FALSE)*IFERROR(IF(Backdoors!AI12&gt;=0,1+(IF(Calculator!E40&gt;0,VLOOKUP(Calculator!E40,tbSkills!AI3:AJ5,2,FALSE),Backdoors!AL4)*(IF((Backdoors!AI12+IF(KQ42&gt;=0.45,VLOOKUP(Calculator!E23,tbSkills!DH3:DI6,2,FALSE)+IF(AND(Calculator!B8=TRUE,Backdoors!BI46=TRUE),VLOOKUP(Calculator!E23,tbSkills!DH3:DJ6,3,FALSE),0),0))&gt;=100,100,(Backdoors!AI12+IF(KQ42&gt;=0.45,VLOOKUP(Calculator!E23,tbSkills!DH3:DI6,2,FALSE)+IF(AND(Calculator!B8=TRUE,Backdoors!BI46=TRUE),VLOOKUP(Calculator!E23,tbSkills!DH3:DJ6,3,FALSE),0),0)))/100)),1),1)</f>
        <v>0.5</v>
      </c>
      <c r="KW42" s="87">
        <f t="shared" si="35"/>
        <v>0</v>
      </c>
    </row>
    <row r="43" spans="1:309" x14ac:dyDescent="0.25">
      <c r="A43" s="95" t="str">
        <f>tbMoveset!A43</f>
        <v>Sixfold Demon Slash (L3)</v>
      </c>
      <c r="B43" s="86">
        <f>IFERROR(IF(VLOOKUP(A43,tbMoveset!A2:B112,2,FALSE)="Sever",Backdoors!AY3/100,IF(VLOOKUP(A43,tbMoveset!A2:B112,2,FALSE)="Blunt",Backdoors!AZ3/100,Backdoors!BA3/100)),"")</f>
        <v>0.8</v>
      </c>
      <c r="C43" s="49">
        <f>IFERROR(IF(VLOOKUP(tbMoveset!A43,tbMoveset!A2:H112,8,FALSE)="Other",IF(VLOOKUP(tbMoveset!A43,tbMoveset!A2:I112,9,FALSE)="Fire",Backdoors!BB3,IF(VLOOKUP(tbMoveset!A43,tbMoveset!A2:I112,9,FALSE)="Water",Backdoors!BC3,IF(VLOOKUP(tbMoveset!A43,tbMoveset!A2:I112,9,FALSE)="Thunder",Backdoors!BD3,IF(VLOOKUP(tbMoveset!A43,tbMoveset!A2:I112,9,FALSE)="Ice",Backdoors!BE3,IF(VLOOKUP(tbMoveset!A43,tbMoveset!A2:I112,9,FALSE)="Dragon",Backdoors!BF3,Backdoors!BG3)))))/100,Backdoors!BG3/100),"")</f>
        <v>0</v>
      </c>
      <c r="D43" s="49">
        <f>IFERROR(IF(VLOOKUP(A43,tbMoveset!A2:J112,10,FALSE)=TRUE,IF((Backdoors!AI12+IF(B43&gt;=0.45,VLOOKUP(Calculator!E23,tbSkills!DH3:DI6,2,FALSE)+IF(AND(Calculator!B8=TRUE,Backdoors!BI3=TRUE),VLOOKUP(Calculator!E23,tbSkills!DH3:DJ6,3,FALSE),0),0))&gt;=0,1+(Backdoors!AL2*(IF((Backdoors!AI12+IF(B43&gt;=0.45,VLOOKUP(Calculator!E23,tbSkills!DH3:DI6,2,FALSE)+IF(AND(Calculator!B8=TRUE,Backdoors!BI3=TRUE),VLOOKUP(Calculator!E23,tbSkills!DH3:DJ6,3,FALSE),0),0))&gt;=100,100,(Backdoors!AI12+IF(B43&gt;=0.45,VLOOKUP(Calculator!E23,tbSkills!DH3:DI6,2,FALSE)+IF(AND(Calculator!B8=TRUE,Backdoors!BI3=TRUE),VLOOKUP(Calculator!E23,tbSkills!DH3:DJ6,3,FALSE),0),0)))/100)),(1-(0.25*((-Backdoors!AI12-IF(B43&gt;=0.45,VLOOKUP(Calculator!E23,tbSkills!DH3:DI6,2,FALSE)+IF(AND(Calculator!B8=TRUE,Backdoors!BI3=TRUE),VLOOKUP(Calculator!E23,tbSkills!DH3:DJ6,3,FALSE),0),0))/100)))),1),"")</f>
        <v>1</v>
      </c>
      <c r="E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43)*D43)*(VLOOKUP(A43,tbMoveset!A2:C112,3,FALSE)/100)*IF(VLOOKUP(A43,tbMoveset!A2:B112,2,FALSE)="Projectile",Backdoors!N10,Backdoors!N9),0),"")</f>
        <v>11</v>
      </c>
      <c r="F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43&gt;=0.45,VLOOKUP(Calculator!E23,tbSkills!DH3:DI6,2,FALSE)+IF(AND(Calculator!B8=TRUE,Backdoors!BI3=TRUE),VLOOKUP(Calculator!E23,tbSkills!DH3:DJ6,3,FALSE),0),0))&gt;=100,100,(Backdoors!AI12+IF(B43&gt;=0.45,VLOOKUP(Calculator!E23,tbSkills!DH3:DI6,2,FALSE)+IF(AND(Calculator!B8=TRUE,Backdoors!BI3=TRUE),VLOOKUP(Calculator!E23,tbSkills!DH3:DJ6,3,FALSE),0),0)))/100)),1))*IF(VLOOKUP(A43,tbMoveset!A2:K112,11,FALSE)=TRUE,Backdoors!AC5,1))*C43,0),"")</f>
        <v>0</v>
      </c>
      <c r="G43">
        <f>VLOOKUP(A43,tbMoveset!A2:G112,7,FALSE)*IFERROR(IF(Backdoors!AI12&gt;=0,1+(IF(Calculator!E40&gt;0,VLOOKUP(Calculator!E40,tbSkills!AI3:AJ5,2,FALSE),Backdoors!AL4)*(IF((Backdoors!AI12+IF(B43&gt;=0.45,VLOOKUP(Calculator!E23,tbSkills!DH3:DI6,2,FALSE)+IF(AND(Calculator!B8=TRUE,Backdoors!BI3=TRUE),VLOOKUP(Calculator!E23,tbSkills!DH3:DJ6,3,FALSE),0),0))&gt;=100,100,(Backdoors!AI12+IF(B43&gt;=0.45,VLOOKUP(Calculator!E23,tbSkills!DH3:DI6,2,FALSE)+IF(AND(Calculator!B8=TRUE,Backdoors!BI3=TRUE),VLOOKUP(Calculator!E23,tbSkills!DH3:DJ6,3,FALSE),0),0)))/100)),1),1)</f>
        <v>0.5</v>
      </c>
      <c r="H43" s="87">
        <f t="shared" si="44"/>
        <v>11</v>
      </c>
      <c r="I43" s="86">
        <f>IFERROR(IF(VLOOKUP(A43,tbMoveset!A2:B112,2,FALSE)="Sever",Backdoors!AY4/100,IF(VLOOKUP(A43,tbMoveset!A2:B112,2,FALSE)="Blunt",Backdoors!AZ4/100,Backdoors!BA4/100)),"")</f>
        <v>0.65</v>
      </c>
      <c r="J43" s="49">
        <f>IFERROR(IF(VLOOKUP(tbMoveset!A43,tbMoveset!A2:H112,8,FALSE)="Other",IF(VLOOKUP(tbMoveset!A43,tbMoveset!A2:I112,9,FALSE)="Fire",Backdoors!BB4,IF(VLOOKUP(tbMoveset!A43,tbMoveset!A2:I112,9,FALSE)="Water",Backdoors!BC4,IF(VLOOKUP(tbMoveset!A43,tbMoveset!A2:I112,9,FALSE)="Thunder",Backdoors!BD4,IF(VLOOKUP(tbMoveset!A43,tbMoveset!A2:I112,9,FALSE)="Ice",Backdoors!BE4,IF(VLOOKUP(tbMoveset!A43,tbMoveset!A2:I112,9,FALSE)="Dragon",Backdoors!BF4,Backdoors!BG4)))))/100,Backdoors!BG4/100),"")</f>
        <v>0</v>
      </c>
      <c r="K43" s="49">
        <f>IFERROR(IF(VLOOKUP(A43,tbMoveset!A2:J112,10,FALSE)=TRUE,IF((Backdoors!AI12+IF(I43&gt;=0.45,VLOOKUP(Calculator!E23,tbSkills!DH3:DI6,2,FALSE)+IF(AND(Calculator!B8=TRUE,Backdoors!BI4=TRUE),VLOOKUP(Calculator!E23,tbSkills!DH3:DJ6,3,FALSE),0),0))&gt;=0,1+(Backdoors!AL2*(IF((Backdoors!AI12+IF(I43&gt;=0.45,VLOOKUP(Calculator!E23,tbSkills!DH3:DI6,2,FALSE)+IF(AND(Calculator!B8=TRUE,Backdoors!BI4=TRUE),VLOOKUP(Calculator!E23,tbSkills!DH3:DJ6,3,FALSE),0),0))&gt;=100,100,(Backdoors!AI12+IF(I43&gt;=0.45,VLOOKUP(Calculator!E23,tbSkills!DH3:DI6,2,FALSE)+IF(AND(Calculator!B8=TRUE,Backdoors!BI4=TRUE),VLOOKUP(Calculator!E23,tbSkills!DH3:DJ6,3,FALSE),0),0)))/100)),(1-(0.25*((-Backdoors!AI12-IF(I43&gt;=0.45,VLOOKUP(Calculator!E23,tbSkills!DH3:DI6,2,FALSE)+IF(AND(Calculator!B8=TRUE,Backdoors!BI4=TRUE),VLOOKUP(Calculator!E23,tbSkills!DH3:DJ6,3,FALSE),0),0))/100)))),1),"")</f>
        <v>1</v>
      </c>
      <c r="L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43)*K43)*(VLOOKUP(A43,tbMoveset!A2:C112,3,FALSE)/100)*IF(VLOOKUP(A43,tbMoveset!A2:B112,2,FALSE)="Projectile",Backdoors!N10,Backdoors!N9),0),"")</f>
        <v>9</v>
      </c>
      <c r="M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I43&gt;=0.45,VLOOKUP(Calculator!E23,tbSkills!DH3:DI6,2,FALSE)+IF(AND(Calculator!B8=TRUE,Backdoors!BI4=TRUE),VLOOKUP(Calculator!E23,tbSkills!DH3:DJ6,3,FALSE),0),0))&gt;=100,100,(Backdoors!AI12+IF(I43&gt;=0.45,VLOOKUP(Calculator!E23,tbSkills!DH3:DI6,2,FALSE)+IF(AND(Calculator!B8=TRUE,Backdoors!BI4=TRUE),VLOOKUP(Calculator!E23,tbSkills!DH3:DJ6,3,FALSE),0),0)))/100)),1))*IF(VLOOKUP(A43,tbMoveset!A2:K112,11,FALSE)=TRUE,Backdoors!AC5,1))*J43,0),"")</f>
        <v>0</v>
      </c>
      <c r="N43" s="49">
        <f>VLOOKUP(A43,tbMoveset!A2:G112,7,FALSE)*IFERROR(IF(Backdoors!AI12&gt;=0,1+(IF(Calculator!E40&gt;0,VLOOKUP(Calculator!E40,tbSkills!AI3:AJ5,2,FALSE),Backdoors!AL4)*(IF((Backdoors!AI12+IF(I43&gt;=0.45,VLOOKUP(Calculator!E23,tbSkills!DH3:DI6,2,FALSE)+IF(AND(Calculator!B8=TRUE,Backdoors!BI4=TRUE),VLOOKUP(Calculator!E23,tbSkills!DH3:DJ6,3,FALSE),0),0))&gt;=100,100,(Backdoors!AI12+IF(I43&gt;=0.45,VLOOKUP(Calculator!E23,tbSkills!DH3:DI6,2,FALSE)+IF(AND(Calculator!B8=TRUE,Backdoors!BI4=TRUE),VLOOKUP(Calculator!E23,tbSkills!DH3:DJ6,3,FALSE),0),0)))/100)),1),1)</f>
        <v>0.5</v>
      </c>
      <c r="O43" s="87">
        <f t="shared" si="45"/>
        <v>9</v>
      </c>
      <c r="P43" s="86">
        <f>IFERROR(IF(VLOOKUP(A43,tbMoveset!A2:B112,2,FALSE)="Sever",Backdoors!AY5/100,IF(VLOOKUP(A43,tbMoveset!A2:B112,2,FALSE)="Blunt",Backdoors!AZ5/100,Backdoors!BA5/100)),"")</f>
        <v>0.5</v>
      </c>
      <c r="Q43" s="49">
        <f>IFERROR(IF(VLOOKUP(tbMoveset!A43,tbMoveset!A2:H112,8,FALSE)="Other",IF(VLOOKUP(tbMoveset!A43,tbMoveset!A2:I112,9,FALSE)="Fire",Backdoors!BB5,IF(VLOOKUP(tbMoveset!A43,tbMoveset!A2:I112,9,FALSE)="Water",Backdoors!BC5,IF(VLOOKUP(tbMoveset!A43,tbMoveset!A2:I112,9,FALSE)="Thunder",Backdoors!BD5,IF(VLOOKUP(tbMoveset!A43,tbMoveset!A2:I112,9,FALSE)="Ice",Backdoors!BE5,IF(VLOOKUP(tbMoveset!A43,tbMoveset!A2:I112,9,FALSE)="Dragon",Backdoors!BF5,Backdoors!BG5)))))/100,Backdoors!BG5/100),"")</f>
        <v>0</v>
      </c>
      <c r="R43" s="49">
        <f>IFERROR(IF(VLOOKUP(A43,tbMoveset!A2:J112,10,FALSE)=TRUE,IF((Backdoors!AI12+IF(P43&gt;=0.45,VLOOKUP(Calculator!E23,tbSkills!DH3:DI6,2,FALSE)+IF(AND(Calculator!B8=TRUE,Backdoors!BI5=TRUE),VLOOKUP(Calculator!E23,tbSkills!DH3:DJ6,3,FALSE),0),0))&gt;=0,1+(Backdoors!AL2*(IF((Backdoors!AI12+IF(P43&gt;=0.45,VLOOKUP(Calculator!E23,tbSkills!DH3:DI6,2,FALSE)+IF(AND(Calculator!B8=TRUE,Backdoors!BI5=TRUE),VLOOKUP(Calculator!E23,tbSkills!DH3:DJ6,3,FALSE),0),0))&gt;=100,100,(Backdoors!AI12+IF(P43&gt;=0.45,VLOOKUP(Calculator!E23,tbSkills!DH3:DI6,2,FALSE)+IF(AND(Calculator!B8=TRUE,Backdoors!BI5=TRUE),VLOOKUP(Calculator!E23,tbSkills!DH3:DJ6,3,FALSE),0),0)))/100)),(1-(0.25*((-Backdoors!AI12-IF(P43&gt;=0.45,VLOOKUP(Calculator!E23,tbSkills!DH3:DI6,2,FALSE)+IF(AND(Calculator!B8=TRUE,Backdoors!BI5=TRUE),VLOOKUP(Calculator!E23,tbSkills!DH3:DJ6,3,FALSE),0),0))/100)))),1),"")</f>
        <v>1</v>
      </c>
      <c r="S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P43)*R43)*(VLOOKUP(A43,tbMoveset!A2:C112,3,FALSE)/100)*IF(VLOOKUP(A43,tbMoveset!A2:B112,2,FALSE)="Projectile",Backdoors!N10,Backdoors!N9),0),"")</f>
        <v>7</v>
      </c>
      <c r="T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P43&gt;=0.45,VLOOKUP(Calculator!E23,tbSkills!DH3:DI6,2,FALSE)+IF(AND(Calculator!B8=TRUE,Backdoors!BI5=TRUE),VLOOKUP(Calculator!E23,tbSkills!DH3:DJ6,3,FALSE),0),0))&gt;=100,100,(Backdoors!AI12+IF(P43&gt;=0.45,VLOOKUP(Calculator!E23,tbSkills!DH3:DI6,2,FALSE)+IF(AND(Calculator!B8=TRUE,Backdoors!BI5=TRUE),VLOOKUP(Calculator!E23,tbSkills!DH3:DJ6,3,FALSE),0),0)))/100)),1))*IF(VLOOKUP(A43,tbMoveset!A2:K112,11,FALSE)=TRUE,Backdoors!AC5,1))*Q43,0),"")</f>
        <v>0</v>
      </c>
      <c r="U43" s="49">
        <f>VLOOKUP(A43,tbMoveset!A2:G112,7,FALSE)*IFERROR(IF(Backdoors!AI12&gt;=0,1+(IF(Calculator!E40&gt;0,VLOOKUP(Calculator!E40,tbSkills!AI3:AJ5,2,FALSE),Backdoors!AL4)*(IF((Backdoors!AI12+IF(P43&gt;=0.45,VLOOKUP(Calculator!E23,tbSkills!DH3:DI6,2,FALSE)+IF(AND(Calculator!B8=TRUE,Backdoors!BI5=TRUE),VLOOKUP(Calculator!E23,tbSkills!DH3:DJ6,3,FALSE),0),0))&gt;=100,100,(Backdoors!AI12+IF(P43&gt;=0.45,VLOOKUP(Calculator!E23,tbSkills!DH3:DI6,2,FALSE)+IF(AND(Calculator!B8=TRUE,Backdoors!BI5=TRUE),VLOOKUP(Calculator!E23,tbSkills!DH3:DJ6,3,FALSE),0),0)))/100)),1),1)</f>
        <v>0.5</v>
      </c>
      <c r="V43" s="87">
        <f t="shared" si="46"/>
        <v>7</v>
      </c>
      <c r="W43" s="86">
        <f>IFERROR(IF(VLOOKUP(A43,tbMoveset!A2:B112,2,FALSE)="Sever",Backdoors!AY6/100,IF(VLOOKUP(A43,tbMoveset!A2:B112,2,FALSE)="Blunt",Backdoors!AZ6/100,Backdoors!BA6/100)),"")</f>
        <v>0.45</v>
      </c>
      <c r="X43" s="49">
        <f>IFERROR(IF(VLOOKUP(tbMoveset!A43,tbMoveset!A2:H112,8,FALSE)="Other",IF(VLOOKUP(tbMoveset!A43,tbMoveset!A2:I112,9,FALSE)="Fire",Backdoors!BB6,IF(VLOOKUP(tbMoveset!A43,tbMoveset!A2:I112,9,FALSE)="Water",Backdoors!BC6,IF(VLOOKUP(tbMoveset!A43,tbMoveset!A2:I112,9,FALSE)="Thunder",Backdoors!BD6,IF(VLOOKUP(tbMoveset!A43,tbMoveset!A2:I112,9,FALSE)="Ice",Backdoors!BE6,IF(VLOOKUP(tbMoveset!A43,tbMoveset!A2:I112,9,FALSE)="Dragon",Backdoors!BF6,Backdoors!BG6)))))/100,Backdoors!BG6/100),"")</f>
        <v>0</v>
      </c>
      <c r="Y43" s="49">
        <f>IFERROR(IF(VLOOKUP(A43,tbMoveset!A2:J112,10,FALSE)=TRUE,IF((Backdoors!AI12+IF(W43&gt;=0.45,VLOOKUP(Calculator!E23,tbSkills!DH3:DI6,2,FALSE)+IF(AND(Calculator!B8=TRUE,Backdoors!BI6=TRUE),VLOOKUP(Calculator!E23,tbSkills!DH3:DJ6,3,FALSE),0),0))&gt;=0,1+(Backdoors!AL2*(IF((Backdoors!AI12+IF(W43&gt;=0.45,VLOOKUP(Calculator!E23,tbSkills!DH3:DI6,2,FALSE)+IF(AND(Calculator!B8=TRUE,Backdoors!BI6=TRUE),VLOOKUP(Calculator!E23,tbSkills!DH3:DJ6,3,FALSE),0),0))&gt;=100,100,(Backdoors!AI12+IF(W43&gt;=0.45,VLOOKUP(Calculator!E23,tbSkills!DH3:DI6,2,FALSE)+IF(AND(Calculator!B8=TRUE,Backdoors!BI6=TRUE),VLOOKUP(Calculator!E23,tbSkills!DH3:DJ6,3,FALSE),0),0)))/100)),(1-(0.25*((-Backdoors!AI12-IF(W43&gt;=0.45,VLOOKUP(Calculator!E23,tbSkills!DH3:DI6,2,FALSE)+IF(AND(Calculator!B8=TRUE,Backdoors!BI6=TRUE),VLOOKUP(Calculator!E23,tbSkills!DH3:DJ6,3,FALSE),0),0))/100)))),1),"")</f>
        <v>1</v>
      </c>
      <c r="Z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W43)*Y43)*(VLOOKUP(A43,tbMoveset!A2:C112,3,FALSE)/100)*IF(VLOOKUP(A43,tbMoveset!A2:B112,2,FALSE)="Projectile",Backdoors!N10,Backdoors!N9),0),"")</f>
        <v>6</v>
      </c>
      <c r="AA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W43&gt;=0.45,VLOOKUP(Calculator!E23,tbSkills!DH3:DI6,2,FALSE)+IF(AND(Calculator!B8=TRUE,Backdoors!BI6=TRUE),VLOOKUP(Calculator!E23,tbSkills!DH3:DJ6,3,FALSE),0),0))&gt;=100,100,(Backdoors!AI12+IF(W43&gt;=0.45,VLOOKUP(Calculator!E23,tbSkills!DH3:DI6,2,FALSE)+IF(AND(Calculator!B8=TRUE,Backdoors!BI6=TRUE),VLOOKUP(Calculator!E23,tbSkills!DH3:DJ6,3,FALSE),0),0)))/100)),1))*IF(VLOOKUP(A43,tbMoveset!A2:K112,11,FALSE)=TRUE,Backdoors!AC5,1))*X43,0),"")</f>
        <v>0</v>
      </c>
      <c r="AB43" s="49">
        <f>VLOOKUP(A43,tbMoveset!A2:G112,7,FALSE)*IFERROR(IF(Backdoors!AI12&gt;=0,1+(IF(Calculator!E40&gt;0,VLOOKUP(Calculator!E40,tbSkills!AI3:AJ5,2,FALSE),Backdoors!AL4)*(IF((Backdoors!AI12+IF(W43&gt;=0.45,VLOOKUP(Calculator!E23,tbSkills!DH3:DI6,2,FALSE)+IF(AND(Calculator!B8=TRUE,Backdoors!BI6=TRUE),VLOOKUP(Calculator!E23,tbSkills!DH3:DJ6,3,FALSE),0),0))&gt;=100,100,(Backdoors!AI12+IF(W43&gt;=0.45,VLOOKUP(Calculator!E23,tbSkills!DH3:DI6,2,FALSE)+IF(AND(Calculator!B8=TRUE,Backdoors!BI6=TRUE),VLOOKUP(Calculator!E23,tbSkills!DH3:DJ6,3,FALSE),0),0)))/100)),1),1)</f>
        <v>0.5</v>
      </c>
      <c r="AC43" s="87">
        <f t="shared" si="47"/>
        <v>6</v>
      </c>
      <c r="AD43" s="86">
        <f>IFERROR(IF(VLOOKUP(A43,tbMoveset!A2:B112,2,FALSE)="Sever",Backdoors!AY7/100,IF(VLOOKUP(A43,tbMoveset!A2:B112,2,FALSE)="Blunt",Backdoors!AZ7/100,Backdoors!BA7/100)),"")</f>
        <v>0.65</v>
      </c>
      <c r="AE43" s="49">
        <f>IFERROR(IF(VLOOKUP(tbMoveset!A43,tbMoveset!A2:H112,8,FALSE)="Other",IF(VLOOKUP(tbMoveset!A43,tbMoveset!A2:I112,9,FALSE)="Fire",Backdoors!BB7,IF(VLOOKUP(tbMoveset!A43,tbMoveset!A2:I112,9,FALSE)="Water",Backdoors!BC7,IF(VLOOKUP(tbMoveset!A43,tbMoveset!A2:I112,9,FALSE)="Thunder",Backdoors!BD7,IF(VLOOKUP(tbMoveset!A43,tbMoveset!A2:I112,9,FALSE)="Ice",Backdoors!BE7,IF(VLOOKUP(tbMoveset!A43,tbMoveset!A2:I112,9,FALSE)="Dragon",Backdoors!BF7,Backdoors!BG7)))))/100,Backdoors!BG7/100),"")</f>
        <v>0</v>
      </c>
      <c r="AF43" s="49">
        <f>IFERROR(IF(VLOOKUP(A43,tbMoveset!A2:J112,10,FALSE)=TRUE,IF((Backdoors!AI12+IF(AD43&gt;=0.45,VLOOKUP(Calculator!E23,tbSkills!DH3:DI6,2,FALSE)+IF(AND(Calculator!B8=TRUE,Backdoors!BI7=TRUE),VLOOKUP(Calculator!E23,tbSkills!DH3:DJ6,3,FALSE),0),0))&gt;=0,1+(Backdoors!AL2*(IF((Backdoors!AI12+IF(AD43&gt;=0.45,VLOOKUP(Calculator!E23,tbSkills!DH3:DI6,2,FALSE)+IF(AND(Calculator!B8=TRUE,Backdoors!BI7=TRUE),VLOOKUP(Calculator!E23,tbSkills!DH3:DJ6,3,FALSE),0),0))&gt;=100,100,(Backdoors!AI12+IF(AD43&gt;=0.45,VLOOKUP(Calculator!E23,tbSkills!DH3:DI6,2,FALSE)+IF(AND(Calculator!B8=TRUE,Backdoors!BI7=TRUE),VLOOKUP(Calculator!E23,tbSkills!DH3:DJ6,3,FALSE),0),0)))/100)),(1-(0.25*((-Backdoors!AI12-IF(AD43&gt;=0.45,VLOOKUP(Calculator!E23,tbSkills!DH3:DI6,2,FALSE)+IF(AND(Calculator!B8=TRUE,Backdoors!BI7=TRUE),VLOOKUP(Calculator!E23,tbSkills!DH3:DJ6,3,FALSE),0),0))/100)))),1),"")</f>
        <v>1</v>
      </c>
      <c r="AG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D43)*AF43)*(VLOOKUP(A43,tbMoveset!A2:C112,3,FALSE)/100)*IF(VLOOKUP(A43,tbMoveset!A2:B112,2,FALSE)="Projectile",Backdoors!N10,Backdoors!N9),0),"")</f>
        <v>9</v>
      </c>
      <c r="AH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D43&gt;=0.45,VLOOKUP(Calculator!E23,tbSkills!DH3:DI6,2,FALSE)+IF(AND(Calculator!B8=TRUE,Backdoors!BI7=TRUE),VLOOKUP(Calculator!E23,tbSkills!DH3:DJ6,3,FALSE),0),0))&gt;=100,100,(Backdoors!AI12+IF(AD43&gt;=0.45,VLOOKUP(Calculator!E23,tbSkills!DH3:DI6,2,FALSE)+IF(AND(Calculator!B8=TRUE,Backdoors!BI7=TRUE),VLOOKUP(Calculator!E23,tbSkills!DH3:DJ6,3,FALSE),0),0)))/100)),1))*IF(VLOOKUP(A43,tbMoveset!A2:K112,11,FALSE)=TRUE,Backdoors!AC5,1))*AE43,0),"")</f>
        <v>0</v>
      </c>
      <c r="AI43" s="49">
        <f>VLOOKUP(A43,tbMoveset!A2:G112,7,FALSE)*IFERROR(IF(Backdoors!AI12&gt;=0,1+(IF(Calculator!E40&gt;0,VLOOKUP(Calculator!E40,tbSkills!AI3:AJ5,2,FALSE),Backdoors!AL4)*(IF((Backdoors!AI12+IF(AD43&gt;=0.45,VLOOKUP(Calculator!E23,tbSkills!DH3:DI6,2,FALSE)+IF(AND(Calculator!B8=TRUE,Backdoors!BI7=TRUE),VLOOKUP(Calculator!E23,tbSkills!DH3:DJ6,3,FALSE),0),0))&gt;=100,100,(Backdoors!AI12+IF(AD43&gt;=0.45,VLOOKUP(Calculator!E23,tbSkills!DH3:DI6,2,FALSE)+IF(AND(Calculator!B8=TRUE,Backdoors!BI7=TRUE),VLOOKUP(Calculator!E23,tbSkills!DH3:DJ6,3,FALSE),0),0)))/100)),1),1)</f>
        <v>0.5</v>
      </c>
      <c r="AJ43" s="87">
        <f t="shared" si="48"/>
        <v>9</v>
      </c>
      <c r="AK43" s="91">
        <f>IFERROR(IF(VLOOKUP(A43,tbMoveset!A2:B112,2,FALSE)="Sever",Backdoors!AY8/100,IF(VLOOKUP(A43,tbMoveset!A2:B112,2,FALSE)="Blunt",Backdoors!AZ8/100,Backdoors!BA8/100)),"")</f>
        <v>0.45</v>
      </c>
      <c r="AL43" s="49">
        <f>IFERROR(IF(VLOOKUP(tbMoveset!A43,tbMoveset!A2:H112,8,FALSE)="Other",IF(VLOOKUP(tbMoveset!A43,tbMoveset!A2:I112,9,FALSE)="Fire",Backdoors!BB8,IF(VLOOKUP(tbMoveset!A43,tbMoveset!A2:I112,9,FALSE)="Water",Backdoors!BC8,IF(VLOOKUP(tbMoveset!A43,tbMoveset!A2:I112,9,FALSE)="Thunder",Backdoors!BD8,IF(VLOOKUP(tbMoveset!A43,tbMoveset!A2:I112,9,FALSE)="Ice",Backdoors!BE8,IF(VLOOKUP(tbMoveset!A43,tbMoveset!A2:I112,9,FALSE)="Dragon",Backdoors!BF8,Backdoors!BG8)))))/100,Backdoors!BG8/100),"")</f>
        <v>0</v>
      </c>
      <c r="AM43" s="49">
        <f>IFERROR(IF(VLOOKUP(A43,tbMoveset!A2:J112,10,FALSE)=TRUE,IF((Backdoors!AI12+IF(AK43&gt;=0.45,VLOOKUP(Calculator!E23,tbSkills!DH3:DI6,2,FALSE)+IF(AND(Calculator!B8=TRUE,Backdoors!BI8=TRUE),VLOOKUP(Calculator!E23,tbSkills!DH3:DJ6,3,FALSE),0),0))&gt;=0,1+(Backdoors!AL2*(IF((Backdoors!AI12+IF(AK43&gt;=0.45,VLOOKUP(Calculator!E23,tbSkills!DH3:DI6,2,FALSE)+IF(AND(Calculator!B8=TRUE,Backdoors!BI8=TRUE),VLOOKUP(Calculator!E23,tbSkills!DH3:DJ6,3,FALSE),0),0))&gt;=100,100,(Backdoors!AI12+IF(AK43&gt;=0.45,VLOOKUP(Calculator!E23,tbSkills!DH3:DI6,2,FALSE)+IF(AND(Calculator!B8=TRUE,Backdoors!BI8=TRUE),VLOOKUP(Calculator!E23,tbSkills!DH3:DJ6,3,FALSE),0),0)))/100)),(1-(0.25*((-Backdoors!AI12-IF(AK43&gt;=0.45,VLOOKUP(Calculator!E23,tbSkills!DH3:DI6,2,FALSE)+IF(AND(Calculator!B8=TRUE,Backdoors!BI8=TRUE),VLOOKUP(Calculator!E23,tbSkills!DH3:DJ6,3,FALSE),0),0))/100)))),1),"")</f>
        <v>1</v>
      </c>
      <c r="AN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K43)*AM43)*(VLOOKUP(A43,tbMoveset!A2:C112,3,FALSE)/100)*IF(VLOOKUP(A43,tbMoveset!A2:B112,2,FALSE)="Projectile",Backdoors!N10,Backdoors!N9),0),"")</f>
        <v>6</v>
      </c>
      <c r="AO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K43&gt;=0.45,VLOOKUP(Calculator!E23,tbSkills!DH3:DI6,2,FALSE)+IF(AND(Calculator!B8=TRUE,Backdoors!BI8=TRUE),VLOOKUP(Calculator!E23,tbSkills!DH3:DJ6,3,FALSE),0),0))&gt;=100,100,(Backdoors!AI12+IF(AK43&gt;=0.45,VLOOKUP(Calculator!E23,tbSkills!DH3:DI6,2,FALSE)+IF(AND(Calculator!B8=TRUE,Backdoors!BI8=TRUE),VLOOKUP(Calculator!E23,tbSkills!DH3:DJ6,3,FALSE),0),0)))/100)),1))*IF(VLOOKUP(A43,tbMoveset!A2:K112,11,FALSE)=TRUE,Backdoors!AC5,1))*AL43,0),"")</f>
        <v>0</v>
      </c>
      <c r="AP43" s="49">
        <f>VLOOKUP(A43,tbMoveset!A2:G112,7,FALSE)*IFERROR(IF(Backdoors!AI12&gt;=0,1+(IF(Calculator!E40&gt;0,VLOOKUP(Calculator!E40,tbSkills!AI3:AJ5,2,FALSE),Backdoors!AL4)*(IF((Backdoors!AI12+IF(AK43&gt;=0.45,VLOOKUP(Calculator!E23,tbSkills!DH3:DI6,2,FALSE)+IF(AND(Calculator!B8=TRUE,Backdoors!BI8=TRUE),VLOOKUP(Calculator!E23,tbSkills!DH3:DJ6,3,FALSE),0),0))&gt;=100,100,(Backdoors!AI12+IF(AK43&gt;=0.45,VLOOKUP(Calculator!E23,tbSkills!DH3:DI6,2,FALSE)+IF(AND(Calculator!B8=TRUE,Backdoors!BI8=TRUE),VLOOKUP(Calculator!E23,tbSkills!DH3:DJ6,3,FALSE),0),0)))/100)),1),1)</f>
        <v>0.5</v>
      </c>
      <c r="AQ43" s="87">
        <f t="shared" si="49"/>
        <v>6</v>
      </c>
      <c r="AR43" s="86">
        <f>IFERROR(IF(VLOOKUP(A43,tbMoveset!A2:B112,2,FALSE)="Sever",Backdoors!AY9/100,IF(VLOOKUP(A43,tbMoveset!A2:B112,2,FALSE)="Blunt",Backdoors!AZ9/100,Backdoors!BA9/100)),"")</f>
        <v>0.45</v>
      </c>
      <c r="AS43" s="49">
        <f>IFERROR(IF(VLOOKUP(tbMoveset!A43,tbMoveset!A2:H112,8,FALSE)="Other",IF(VLOOKUP(tbMoveset!A43,tbMoveset!A2:I112,9,FALSE)="Fire",Backdoors!BB9,IF(VLOOKUP(tbMoveset!A43,tbMoveset!A2:I112,9,FALSE)="Water",Backdoors!BC9,IF(VLOOKUP(tbMoveset!A43,tbMoveset!A2:I112,9,FALSE)="Thunder",Backdoors!BD9,IF(VLOOKUP(tbMoveset!A43,tbMoveset!A2:I112,9,FALSE)="Ice",Backdoors!BE9,IF(VLOOKUP(tbMoveset!A43,tbMoveset!A2:I112,9,FALSE)="Dragon",Backdoors!BF9,Backdoors!BG9)))))/100,Backdoors!BG9/100),"")</f>
        <v>0</v>
      </c>
      <c r="AT43" s="49">
        <f>IFERROR(IF(VLOOKUP(A43,tbMoveset!A2:J112,10,FALSE)=TRUE,IF((Backdoors!AI12+IF(AR43&gt;=0.45,VLOOKUP(Calculator!E23,tbSkills!DH3:DI6,2,FALSE)+IF(AND(Calculator!B8=TRUE,Backdoors!BI9=TRUE),VLOOKUP(Calculator!E23,tbSkills!DH3:DJ6,3,FALSE),0),0))&gt;=0,1+(Backdoors!AL2*(IF((Backdoors!AI12+IF(AR43&gt;=0.45,VLOOKUP(Calculator!E23,tbSkills!DH3:DI6,2,FALSE)+IF(AND(Calculator!B8=TRUE,Backdoors!BI9=TRUE),VLOOKUP(Calculator!E23,tbSkills!DH3:DJ6,3,FALSE),0),0))&gt;=100,100,(Backdoors!AI12+IF(AR43&gt;=0.45,VLOOKUP(Calculator!E23,tbSkills!DH3:DI6,2,FALSE)+IF(AND(Calculator!B8=TRUE,Backdoors!BI9=TRUE),VLOOKUP(Calculator!E23,tbSkills!DH3:DJ6,3,FALSE),0),0)))/100)),(1-(0.25*((-Backdoors!AI12-IF(AR43&gt;=0.45,VLOOKUP(Calculator!E23,tbSkills!DH3:DI6,2,FALSE)+IF(AND(Calculator!B8=TRUE,Backdoors!BI9=TRUE),VLOOKUP(Calculator!E23,tbSkills!DH3:DJ6,3,FALSE),0),0))/100)))),1),"")</f>
        <v>1</v>
      </c>
      <c r="AU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R43)*AT43)*(VLOOKUP(A43,tbMoveset!A2:C112,3,FALSE)/100)*IF(VLOOKUP(A43,tbMoveset!A2:B112,2,FALSE)="Projectile",Backdoors!N10,Backdoors!N9),0),"")</f>
        <v>6</v>
      </c>
      <c r="AV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R43&gt;=0.45,VLOOKUP(Calculator!E23,tbSkills!DH3:DI6,2,FALSE)+IF(AND(Calculator!B8=TRUE,Backdoors!BI9=TRUE),VLOOKUP(Calculator!E23,tbSkills!DH3:DJ6,3,FALSE),0),0))&gt;=100,100,(Backdoors!AI12+IF(AR43&gt;=0.45,VLOOKUP(Calculator!E23,tbSkills!DH3:DI6,2,FALSE)+IF(AND(Calculator!B8=TRUE,Backdoors!BI9=TRUE),VLOOKUP(Calculator!E23,tbSkills!DH3:DJ6,3,FALSE),0),0)))/100)),1))*IF(VLOOKUP(A43,tbMoveset!A2:K112,11,FALSE)=TRUE,Backdoors!AC5,1))*AS43,0),"")</f>
        <v>0</v>
      </c>
      <c r="AW43" s="49">
        <f>VLOOKUP(A43,tbMoveset!A2:G112,7,FALSE)*IFERROR(IF(Backdoors!AI12&gt;=0,1+(IF(Calculator!E40&gt;0,VLOOKUP(Calculator!E40,tbSkills!AI3:AJ5,2,FALSE),Backdoors!AL4)*(IF((Backdoors!AI12+IF(AR43&gt;=0.45,VLOOKUP(Calculator!E23,tbSkills!DH3:DI6,2,FALSE)+IF(AND(Calculator!B8=TRUE,Backdoors!BI9=TRUE),VLOOKUP(Calculator!E23,tbSkills!DH3:DJ6,3,FALSE),0),0))&gt;=100,100,(Backdoors!AI12+IF(AR43&gt;=0.45,VLOOKUP(Calculator!E23,tbSkills!DH3:DI6,2,FALSE)+IF(AND(Calculator!B8=TRUE,Backdoors!BI9=TRUE),VLOOKUP(Calculator!E23,tbSkills!DH3:DJ6,3,FALSE),0),0)))/100)),1),1)</f>
        <v>0.5</v>
      </c>
      <c r="AX43" s="87">
        <f t="shared" si="50"/>
        <v>6</v>
      </c>
      <c r="AY43" s="86">
        <f>IFERROR(IF(VLOOKUP(A43,tbMoveset!A2:B112,2,FALSE)="Sever",Backdoors!AY10/100,IF(VLOOKUP(A43,tbMoveset!A2:B112,2,FALSE)="Blunt",Backdoors!AZ10/100,Backdoors!BA10/100)),"")</f>
        <v>0.9</v>
      </c>
      <c r="AZ43" s="49">
        <f>IFERROR(IF(VLOOKUP(tbMoveset!A43,tbMoveset!A2:H112,8,FALSE)="Other",IF(VLOOKUP(tbMoveset!A43,tbMoveset!A2:I112,9,FALSE)="Fire",Backdoors!BB10,IF(VLOOKUP(tbMoveset!A43,tbMoveset!A2:I112,9,FALSE)="Water",Backdoors!BC10,IF(VLOOKUP(tbMoveset!A43,tbMoveset!A2:I112,9,FALSE)="Thunder",Backdoors!BD10,IF(VLOOKUP(tbMoveset!A43,tbMoveset!A2:I112,9,FALSE)="Ice",Backdoors!BE10,IF(VLOOKUP(tbMoveset!A43,tbMoveset!A2:I112,9,FALSE)="Dragon",Backdoors!BF10,Backdoors!BG10)))))/100,Backdoors!BG10/100),"")</f>
        <v>0</v>
      </c>
      <c r="BA43" s="49">
        <f>IFERROR(IF(VLOOKUP(A43,tbMoveset!A2:J112,10,FALSE)=TRUE,IF((Backdoors!AI12+IF(AY43&gt;=0.45,VLOOKUP(Calculator!E23,tbSkills!DH3:DI6,2,FALSE)+IF(AND(Calculator!B8=TRUE,Backdoors!BI10=TRUE),VLOOKUP(Calculator!E23,tbSkills!DH3:DJ6,3,FALSE),0),0))&gt;=0,1+(Backdoors!AL2*(IF((Backdoors!AI12+IF(AY43&gt;=0.45,VLOOKUP(Calculator!E23,tbSkills!DH3:DI6,2,FALSE)+IF(AND(Calculator!B8=TRUE,Backdoors!BI10=TRUE),VLOOKUP(Calculator!E23,tbSkills!DH3:DJ6,3,FALSE),0),0))&gt;=100,100,(Backdoors!AI12+IF(AY43&gt;=0.45,VLOOKUP(Calculator!E23,tbSkills!DH3:DI6,2,FALSE)+IF(AND(Calculator!B8=TRUE,Backdoors!BI10=TRUE),VLOOKUP(Calculator!E23,tbSkills!DH3:DJ6,3,FALSE),0),0)))/100)),(1-(0.25*((-Backdoors!AI12-IF(AY43&gt;=0.45,VLOOKUP(Calculator!E23,tbSkills!DH3:DI6,2,FALSE)+IF(AND(Calculator!B8=TRUE,Backdoors!BI10=TRUE),VLOOKUP(Calculator!E23,tbSkills!DH3:DJ6,3,FALSE),0),0))/100)))),1),"")</f>
        <v>1</v>
      </c>
      <c r="BB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Y43)*BA43)*(VLOOKUP(A43,tbMoveset!A2:C112,3,FALSE)/100)*IF(VLOOKUP(A43,tbMoveset!A2:B112,2,FALSE)="Projectile",Backdoors!N10,Backdoors!N9),0),"")</f>
        <v>12</v>
      </c>
      <c r="BC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Y43&gt;=0.45,VLOOKUP(Calculator!E23,tbSkills!DH3:DI6,2,FALSE)+IF(AND(Calculator!B8=TRUE,Backdoors!BI10=TRUE),VLOOKUP(Calculator!E23,tbSkills!DH3:DJ6,3,FALSE),0),0))&gt;=100,100,(Backdoors!AI12+IF(AY43&gt;=0.45,VLOOKUP(Calculator!E23,tbSkills!DH3:DI6,2,FALSE)+IF(AND(Calculator!B8=TRUE,Backdoors!BI10=TRUE),VLOOKUP(Calculator!E23,tbSkills!DH3:DJ6,3,FALSE),0),0)))/100)),1))*IF(VLOOKUP(A43,tbMoveset!A2:K112,11,FALSE)=TRUE,Backdoors!AC5,1))*AZ43,0),"")</f>
        <v>0</v>
      </c>
      <c r="BD43" s="49">
        <f>VLOOKUP(A43,tbMoveset!A2:G112,7,FALSE)*IFERROR(IF(Backdoors!AI12&gt;=0,1+(IF(Calculator!E40&gt;0,VLOOKUP(Calculator!E40,tbSkills!AI3:AJ5,2,FALSE),Backdoors!AL4)*(IF((Backdoors!AI12+IF(AY43&gt;=0.45,VLOOKUP(Calculator!E23,tbSkills!DH3:DI6,2,FALSE)+IF(AND(Calculator!B8=TRUE,Backdoors!BI10=TRUE),VLOOKUP(Calculator!E23,tbSkills!DH3:DJ6,3,FALSE),0),0))&gt;=100,100,(Backdoors!AI12+IF(AY43&gt;=0.45,VLOOKUP(Calculator!E23,tbSkills!DH3:DI6,2,FALSE)+IF(AND(Calculator!B8=TRUE,Backdoors!BI10=TRUE),VLOOKUP(Calculator!E23,tbSkills!DH3:DJ6,3,FALSE),0),0)))/100)),1),1)</f>
        <v>0.5</v>
      </c>
      <c r="BE43" s="87">
        <f t="shared" si="3"/>
        <v>12</v>
      </c>
      <c r="BF43" s="86" t="str">
        <f>IFERROR(IF(VLOOKUP(A43,tbMoveset!A2:B112,2,FALSE)="Sever",Backdoors!AY11/100,IF(VLOOKUP(A43,tbMoveset!A2:B112,2,FALSE)="Blunt",Backdoors!AZ11/100,Backdoors!BA11/100)),"")</f>
        <v/>
      </c>
      <c r="BG43" s="49">
        <f>IFERROR(IF(VLOOKUP(tbMoveset!A43,tbMoveset!A2:H112,8,FALSE)="Other",IF(VLOOKUP(tbMoveset!A43,tbMoveset!A2:I112,9,FALSE)="Fire",Backdoors!BB11,IF(VLOOKUP(tbMoveset!A43,tbMoveset!A2:I112,9,FALSE)="Water",Backdoors!BC11,IF(VLOOKUP(tbMoveset!A43,tbMoveset!A2:I112,9,FALSE)="Thunder",Backdoors!BD11,IF(VLOOKUP(tbMoveset!A43,tbMoveset!A2:I112,9,FALSE)="Ice",Backdoors!BE11,IF(VLOOKUP(tbMoveset!A43,tbMoveset!A2:I112,9,FALSE)="Dragon",Backdoors!BF11,Backdoors!BG11)))))/100,Backdoors!BG11/100),"")</f>
        <v>0</v>
      </c>
      <c r="BH43" s="49">
        <f>IFERROR(IF(VLOOKUP(A43,tbMoveset!A2:J112,10,FALSE)=TRUE,IF((Backdoors!AI12+IF(BF43&gt;=0.45,VLOOKUP(Calculator!E23,tbSkills!DH3:DI6,2,FALSE)+IF(AND(Calculator!B8=TRUE,Backdoors!BI11=TRUE),VLOOKUP(Calculator!E23,tbSkills!DH3:DJ6,3,FALSE),0),0))&gt;=0,1+(Backdoors!AL2*(IF((Backdoors!AI12+IF(BF43&gt;=0.45,VLOOKUP(Calculator!E23,tbSkills!DH3:DI6,2,FALSE)+IF(AND(Calculator!B8=TRUE,Backdoors!BI11=TRUE),VLOOKUP(Calculator!E23,tbSkills!DH3:DJ6,3,FALSE),0),0))&gt;=100,100,(Backdoors!AI12+IF(BF43&gt;=0.45,VLOOKUP(Calculator!E23,tbSkills!DH3:DI6,2,FALSE)+IF(AND(Calculator!B8=TRUE,Backdoors!BI11=TRUE),VLOOKUP(Calculator!E23,tbSkills!DH3:DJ6,3,FALSE),0),0)))/100)),(1-(0.25*((-Backdoors!AI12-IF(BF43&gt;=0.45,VLOOKUP(Calculator!E23,tbSkills!DH3:DI6,2,FALSE)+IF(AND(Calculator!B8=TRUE,Backdoors!BI11=TRUE),VLOOKUP(Calculator!E23,tbSkills!DH3:DJ6,3,FALSE),0),0))/100)))),1),"")</f>
        <v>1</v>
      </c>
      <c r="BI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F43)*BH43)*(VLOOKUP(A43,tbMoveset!A2:C112,3,FALSE)/100)*IF(VLOOKUP(A43,tbMoveset!A2:B112,2,FALSE)="Projectile",Backdoors!N10,Backdoors!N9),0),"")</f>
        <v/>
      </c>
      <c r="BJ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F43&gt;=0.45,VLOOKUP(Calculator!E23,tbSkills!DH3:DI6,2,FALSE)+IF(AND(Calculator!B8=TRUE,Backdoors!BI11=TRUE),VLOOKUP(Calculator!E23,tbSkills!DH3:DJ6,3,FALSE),0),0))&gt;=100,100,(Backdoors!AI12+IF(BF43&gt;=0.45,VLOOKUP(Calculator!E23,tbSkills!DH3:DI6,2,FALSE)+IF(AND(Calculator!B8=TRUE,Backdoors!BI11=TRUE),VLOOKUP(Calculator!E23,tbSkills!DH3:DJ6,3,FALSE),0),0)))/100)),1))*IF(VLOOKUP(A43,tbMoveset!A2:K112,11,FALSE)=TRUE,Backdoors!AC5,1))*BG43,0),"")</f>
        <v>0</v>
      </c>
      <c r="BK43" s="49">
        <f>VLOOKUP(A43,tbMoveset!A2:G112,7,FALSE)*IFERROR(IF(Backdoors!AI12&gt;=0,1+(IF(Calculator!E40&gt;0,VLOOKUP(Calculator!E40,tbSkills!AI3:AJ5,2,FALSE),Backdoors!AL4)*(IF((Backdoors!AI12+IF(BF43&gt;=0.45,VLOOKUP(Calculator!E23,tbSkills!DH3:DI6,2,FALSE)+IF(AND(Calculator!B8=TRUE,Backdoors!BI11=TRUE),VLOOKUP(Calculator!E23,tbSkills!DH3:DJ6,3,FALSE),0),0))&gt;=100,100,(Backdoors!AI12+IF(BF43&gt;=0.45,VLOOKUP(Calculator!E23,tbSkills!DH3:DI6,2,FALSE)+IF(AND(Calculator!B8=TRUE,Backdoors!BI11=TRUE),VLOOKUP(Calculator!E23,tbSkills!DH3:DJ6,3,FALSE),0),0)))/100)),1),1)</f>
        <v>0.5</v>
      </c>
      <c r="BL43" s="87">
        <f t="shared" si="4"/>
        <v>0</v>
      </c>
      <c r="BM43" s="86" t="str">
        <f>IFERROR(IF(VLOOKUP(A43,tbMoveset!A2:B112,2,FALSE)="Sever",Backdoors!AY12/100,IF(VLOOKUP(A43,tbMoveset!A2:B112,2,FALSE)="Blunt",Backdoors!AZ12/100,Backdoors!BA12/100)),"")</f>
        <v/>
      </c>
      <c r="BN43" s="49">
        <f>IFERROR(IF(VLOOKUP(tbMoveset!A43,tbMoveset!A2:H112,8,FALSE)="Other",IF(VLOOKUP(tbMoveset!A43,tbMoveset!A2:I112,9,FALSE)="Fire",Backdoors!BB12,IF(VLOOKUP(tbMoveset!A43,tbMoveset!A2:I112,9,FALSE)="Water",Backdoors!BC12,IF(VLOOKUP(tbMoveset!A43,tbMoveset!A2:I112,9,FALSE)="Thunder",Backdoors!BD12,IF(VLOOKUP(tbMoveset!A43,tbMoveset!A2:I112,9,FALSE)="Ice",Backdoors!BE12,IF(VLOOKUP(tbMoveset!A43,tbMoveset!A2:I112,9,FALSE)="Dragon",Backdoors!BF12,Backdoors!BG12)))))/100,Backdoors!BG12/100),"")</f>
        <v>0</v>
      </c>
      <c r="BO43" s="49">
        <f>IFERROR(IF(VLOOKUP(A43,tbMoveset!A2:J112,10,FALSE)=TRUE,IF((Backdoors!AI12+IF(BM43&gt;=0.45,VLOOKUP(Calculator!E23,tbSkills!DH3:DI6,2,FALSE)+IF(AND(Calculator!B8=TRUE,Backdoors!BI12=TRUE),VLOOKUP(Calculator!E23,tbSkills!DH3:DJ6,3,FALSE),0),0))&gt;=0,1+(Backdoors!AL2*(IF((Backdoors!AI12+IF(BM43&gt;=0.45,VLOOKUP(Calculator!E23,tbSkills!DH3:DI6,2,FALSE)+IF(AND(Calculator!B8=TRUE,Backdoors!BI12=TRUE),VLOOKUP(Calculator!E23,tbSkills!DH3:DJ6,3,FALSE),0),0))&gt;=100,100,(Backdoors!AI12+IF(BM43&gt;=0.45,VLOOKUP(Calculator!E23,tbSkills!DH3:DI6,2,FALSE)+IF(AND(Calculator!B8=TRUE,Backdoors!BI12=TRUE),VLOOKUP(Calculator!E23,tbSkills!DH3:DJ6,3,FALSE),0),0)))/100)),(1-(0.25*((-Backdoors!AI12-IF(BM43&gt;=0.45,VLOOKUP(Calculator!E23,tbSkills!DH3:DI6,2,FALSE)+IF(AND(Calculator!B8=TRUE,Backdoors!BI12=TRUE),VLOOKUP(Calculator!E23,tbSkills!DH3:DJ6,3,FALSE),0),0))/100)))),1),"")</f>
        <v>1</v>
      </c>
      <c r="BP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M43)*BO43)*(VLOOKUP(A43,tbMoveset!A2:C112,3,FALSE)/100)*IF(VLOOKUP(A43,tbMoveset!A2:B112,2,FALSE)="Projectile",Backdoors!N10,Backdoors!N9),0),"")</f>
        <v/>
      </c>
      <c r="BQ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M43&gt;=0.45,VLOOKUP(Calculator!E23,tbSkills!DH3:DI6,2,FALSE)+IF(AND(Calculator!B8=TRUE,Backdoors!BI12=TRUE),VLOOKUP(Calculator!E23,tbSkills!DH3:DJ6,3,FALSE),0),0))&gt;=100,100,(Backdoors!AI12+IF(BM43&gt;=0.45,VLOOKUP(Calculator!E23,tbSkills!DH3:DI6,2,FALSE)+IF(AND(Calculator!B8=TRUE,Backdoors!BI12=TRUE),VLOOKUP(Calculator!E23,tbSkills!DH3:DJ6,3,FALSE),0),0)))/100)),1))*IF(VLOOKUP(A43,tbMoveset!A2:K112,11,FALSE)=TRUE,Backdoors!AC5,1))*BN43,0),"")</f>
        <v>0</v>
      </c>
      <c r="BR43" s="49">
        <f>VLOOKUP(A43,tbMoveset!A2:G112,7,FALSE)*IFERROR(IF(Backdoors!AI12&gt;=0,1+(IF(Calculator!E40&gt;0,VLOOKUP(Calculator!E40,tbSkills!AI3:AJ5,2,FALSE),Backdoors!AL4)*(IF((Backdoors!AI12+IF(BM43&gt;=0.45,VLOOKUP(Calculator!E23,tbSkills!DH3:DI6,2,FALSE)+IF(AND(Calculator!B8=TRUE,Backdoors!BI12=TRUE),VLOOKUP(Calculator!E23,tbSkills!DH3:DJ6,3,FALSE),0),0))&gt;=100,100,(Backdoors!AI12+IF(BM43&gt;=0.45,VLOOKUP(Calculator!E23,tbSkills!DH3:DI6,2,FALSE)+IF(AND(Calculator!B8=TRUE,Backdoors!BI12=TRUE),VLOOKUP(Calculator!E23,tbSkills!DH3:DJ6,3,FALSE),0),0)))/100)),1),1)</f>
        <v>0.5</v>
      </c>
      <c r="BS43" s="87">
        <f t="shared" si="39"/>
        <v>0</v>
      </c>
      <c r="BT43" s="86" t="str">
        <f>IFERROR(IF(VLOOKUP(A43,tbMoveset!A2:B112,2,FALSE)="Sever",Backdoors!AY13/100,IF(VLOOKUP(A43,tbMoveset!A2:B112,2,FALSE)="Blunt",Backdoors!AZ13/100,Backdoors!BA13/100)),"")</f>
        <v/>
      </c>
      <c r="BU43" s="49">
        <f>IFERROR(IF(VLOOKUP(tbMoveset!A43,tbMoveset!A2:H112,8,FALSE)="Other",IF(VLOOKUP(tbMoveset!A43,tbMoveset!A2:I112,9,FALSE)="Fire",Backdoors!BB13,IF(VLOOKUP(tbMoveset!A43,tbMoveset!A2:I112,9,FALSE)="Water",Backdoors!BC13,IF(VLOOKUP(tbMoveset!A43,tbMoveset!A2:I112,9,FALSE)="Thunder",Backdoors!BD13,IF(VLOOKUP(tbMoveset!A43,tbMoveset!A2:I112,9,FALSE)="Ice",Backdoors!BE13,IF(VLOOKUP(tbMoveset!A43,tbMoveset!A2:I112,9,FALSE)="Dragon",Backdoors!BF13,Backdoors!BG13)))))/100,Backdoors!BG13/100),"")</f>
        <v>0</v>
      </c>
      <c r="BV43" s="49">
        <f>IFERROR(IF(VLOOKUP(A43,tbMoveset!A2:J112,10,FALSE)=TRUE,IF((Backdoors!AI12+IF(BT43&gt;=0.45,VLOOKUP(Calculator!E23,tbSkills!DH3:DI6,2,FALSE)+IF(AND(Calculator!B8=TRUE,Backdoors!BI13=TRUE),VLOOKUP(Calculator!E23,tbSkills!DH3:DJ6,3,FALSE),0),0))&gt;=0,1+(Backdoors!AL2*(IF((Backdoors!AI12+IF(BT43&gt;=0.45,VLOOKUP(Calculator!E23,tbSkills!DH3:DI6,2,FALSE)+IF(AND(Calculator!B8=TRUE,Backdoors!BI13=TRUE),VLOOKUP(Calculator!E23,tbSkills!DH3:DJ6,3,FALSE),0),0))&gt;=100,100,(Backdoors!AI12+IF(BT43&gt;=0.45,VLOOKUP(Calculator!E23,tbSkills!DH3:DI6,2,FALSE)+IF(AND(Calculator!B8=TRUE,Backdoors!BI13=TRUE),VLOOKUP(Calculator!E23,tbSkills!DH3:DJ6,3,FALSE),0),0)))/100)),(1-(0.25*((-Backdoors!AI12-IF(BT43&gt;=0.45,VLOOKUP(Calculator!E23,tbSkills!DH3:DI6,2,FALSE)+IF(AND(Calculator!B8=TRUE,Backdoors!BI13=TRUE),VLOOKUP(Calculator!E23,tbSkills!DH3:DJ6,3,FALSE),0),0))/100)))),1),"")</f>
        <v>1</v>
      </c>
      <c r="BW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T43)*BV43)*(VLOOKUP(A43,tbMoveset!A2:C112,3,FALSE)/100)*IF(VLOOKUP(A43,tbMoveset!A2:B112,2,FALSE)="Projectile",Backdoors!N10,Backdoors!N9),0),"")</f>
        <v/>
      </c>
      <c r="BX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T43&gt;=0.45,VLOOKUP(Calculator!E23,tbSkills!DH3:DI6,2,FALSE)+IF(AND(Calculator!B8=TRUE,Backdoors!BI13=TRUE),VLOOKUP(Calculator!E23,tbSkills!DH3:DJ6,3,FALSE),0),0))&gt;=100,100,(Backdoors!AI12+IF(BT43&gt;=0.45,VLOOKUP(Calculator!E23,tbSkills!DH3:DI6,2,FALSE)+IF(AND(Calculator!B8=TRUE,Backdoors!BI13=TRUE),VLOOKUP(Calculator!E23,tbSkills!DH3:DJ6,3,FALSE),0),0)))/100)),1))*IF(VLOOKUP(A43,tbMoveset!A2:K112,11,FALSE)=TRUE,Backdoors!AC5,1))*BU43,0),"")</f>
        <v>0</v>
      </c>
      <c r="BY43" s="49">
        <f>VLOOKUP(A43,tbMoveset!A2:G112,7,FALSE)*IFERROR(IF(Backdoors!AI12&gt;=0,1+(IF(Calculator!E40&gt;0,VLOOKUP(Calculator!E40,tbSkills!AI3:AJ5,2,FALSE),Backdoors!AL4)*(IF((Backdoors!AI12+IF(BT43&gt;=0.45,VLOOKUP(Calculator!E23,tbSkills!DH3:DI6,2,FALSE)+IF(AND(Calculator!B8=TRUE,Backdoors!BI13=TRUE),VLOOKUP(Calculator!E23,tbSkills!DH3:DJ6,3,FALSE),0),0))&gt;=100,100,(Backdoors!AI12+IF(BT43&gt;=0.45,VLOOKUP(Calculator!E23,tbSkills!DH3:DI6,2,FALSE)+IF(AND(Calculator!B8=TRUE,Backdoors!BI13=TRUE),VLOOKUP(Calculator!E23,tbSkills!DH3:DJ6,3,FALSE),0),0)))/100)),1),1)</f>
        <v>0.5</v>
      </c>
      <c r="BZ43" s="87">
        <f t="shared" si="5"/>
        <v>0</v>
      </c>
      <c r="CA43" s="86" t="str">
        <f>IFERROR(IF(VLOOKUP(A43,tbMoveset!A2:B112,2,FALSE)="Sever",Backdoors!AY14/100,IF(VLOOKUP(A43,tbMoveset!A2:B112,2,FALSE)="Blunt",Backdoors!AZ14/100,Backdoors!BA14/100)),"")</f>
        <v/>
      </c>
      <c r="CB43" s="49">
        <f>IFERROR(IF(VLOOKUP(tbMoveset!A43,tbMoveset!A2:H112,8,FALSE)="Other",IF(VLOOKUP(tbMoveset!A43,tbMoveset!A2:I112,9,FALSE)="Fire",Backdoors!BB14,IF(VLOOKUP(tbMoveset!A43,tbMoveset!A2:I112,9,FALSE)="Water",Backdoors!BC14,IF(VLOOKUP(tbMoveset!A43,tbMoveset!A2:I112,9,FALSE)="Thunder",Backdoors!BD14,IF(VLOOKUP(tbMoveset!A43,tbMoveset!A2:I112,9,FALSE)="Ice",Backdoors!BE14,IF(VLOOKUP(tbMoveset!A43,tbMoveset!A2:I112,9,FALSE)="Dragon",Backdoors!BF14,Backdoors!BG14)))))/100,Backdoors!BG14/100),"")</f>
        <v>0</v>
      </c>
      <c r="CC43" s="49">
        <f>IFERROR(IF(VLOOKUP(A43,tbMoveset!A2:J112,10,FALSE)=TRUE,IF((Backdoors!AI12+IF(CA43&gt;=0.45,VLOOKUP(Calculator!E23,tbSkills!DH3:DI6,2,FALSE)+IF(AND(Calculator!B8=TRUE,Backdoors!BI14=TRUE),VLOOKUP(Calculator!E23,tbSkills!DH3:DJ6,3,FALSE),0),0))&gt;=0,1+(Backdoors!AL2*(IF((Backdoors!AI12+IF(CA43&gt;=0.45,VLOOKUP(Calculator!E23,tbSkills!DH3:DI6,2,FALSE)+IF(AND(Calculator!B8=TRUE,Backdoors!BI14=TRUE),VLOOKUP(Calculator!E23,tbSkills!DH3:DJ6,3,FALSE),0),0))&gt;=100,100,(Backdoors!AI12+IF(CA43&gt;=0.45,VLOOKUP(Calculator!E23,tbSkills!DH3:DI6,2,FALSE)+IF(AND(Calculator!B8=TRUE,Backdoors!BI14=TRUE),VLOOKUP(Calculator!E23,tbSkills!DH3:DJ6,3,FALSE),0),0)))/100)),(1-(0.25*((-Backdoors!AI12-IF(CA43&gt;=0.45,VLOOKUP(Calculator!E23,tbSkills!DH3:DI6,2,FALSE)+IF(AND(Calculator!B8=TRUE,Backdoors!BI14=TRUE),VLOOKUP(Calculator!E23,tbSkills!DH3:DJ6,3,FALSE),0),0))/100)))),1),"")</f>
        <v>1</v>
      </c>
      <c r="CD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A43)*CC43)*(VLOOKUP(A43,tbMoveset!A2:C112,3,FALSE)/100)*IF(VLOOKUP(A43,tbMoveset!A2:B112,2,FALSE)="Projectile",Backdoors!N10,Backdoors!N9),0),"")</f>
        <v/>
      </c>
      <c r="CE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A43&gt;=0.45,VLOOKUP(Calculator!E23,tbSkills!DH3:DI6,2,FALSE)+IF(AND(Calculator!B8=TRUE,Backdoors!BI14=TRUE),VLOOKUP(Calculator!E23,tbSkills!DH3:DJ6,3,FALSE),0),0))&gt;=100,100,(Backdoors!AI12+IF(CA43&gt;=0.45,VLOOKUP(Calculator!E23,tbSkills!DH3:DI6,2,FALSE)+IF(AND(Calculator!B8=TRUE,Backdoors!BI14=TRUE),VLOOKUP(Calculator!E23,tbSkills!DH3:DJ6,3,FALSE),0),0)))/100)),1))*IF(VLOOKUP(A43,tbMoveset!A2:K112,11,FALSE)=TRUE,Backdoors!AC5,1))*CB43,0),"")</f>
        <v>0</v>
      </c>
      <c r="CF43" s="49">
        <f>VLOOKUP(A43,tbMoveset!A2:G112,7,FALSE)*IFERROR(IF(Backdoors!AI12&gt;=0,1+(IF(Calculator!E40&gt;0,VLOOKUP(Calculator!E40,tbSkills!AI3:AJ5,2,FALSE),Backdoors!AL4)*(IF((Backdoors!AI12+IF(CA43&gt;=0.45,VLOOKUP(Calculator!E23,tbSkills!DH3:DI6,2,FALSE)+IF(AND(Calculator!B8=TRUE,Backdoors!BI14=TRUE),VLOOKUP(Calculator!E23,tbSkills!DH3:DJ6,3,FALSE),0),0))&gt;=100,100,(Backdoors!AI12+IF(CA43&gt;=0.45,VLOOKUP(Calculator!E23,tbSkills!DH3:DI6,2,FALSE)+IF(AND(Calculator!B8=TRUE,Backdoors!BI14=TRUE),VLOOKUP(Calculator!E23,tbSkills!DH3:DJ6,3,FALSE),0),0)))/100)),1),1)</f>
        <v>0.5</v>
      </c>
      <c r="CG43" s="87">
        <f t="shared" si="6"/>
        <v>0</v>
      </c>
      <c r="CH43" s="86" t="str">
        <f>IFERROR(IF(VLOOKUP(A43,tbMoveset!A2:B112,2,FALSE)="Sever",Backdoors!AY15/100,IF(VLOOKUP(A43,tbMoveset!A2:B112,2,FALSE)="Blunt",Backdoors!AZ15/100,Backdoors!BA15/100)),"")</f>
        <v/>
      </c>
      <c r="CI43" s="49">
        <f>IFERROR(IF(VLOOKUP(tbMoveset!A43,tbMoveset!A2:H112,8,FALSE)="Other",IF(VLOOKUP(tbMoveset!A43,tbMoveset!A2:I112,9,FALSE)="Fire",Backdoors!BB15,IF(VLOOKUP(tbMoveset!A43,tbMoveset!A2:I112,9,FALSE)="Water",Backdoors!BC15,IF(VLOOKUP(tbMoveset!A43,tbMoveset!A2:I112,9,FALSE)="Thunder",Backdoors!BD15,IF(VLOOKUP(tbMoveset!A43,tbMoveset!A2:I112,9,FALSE)="Ice",Backdoors!BE15,IF(VLOOKUP(tbMoveset!A43,tbMoveset!A2:I112,9,FALSE)="Dragon",Backdoors!BF15,Backdoors!BG15)))))/100,Backdoors!BG15/100),"")</f>
        <v>0</v>
      </c>
      <c r="CJ43" s="49">
        <f>IFERROR(IF(VLOOKUP(A43,tbMoveset!A2:J112,10,FALSE)=TRUE,IF((Backdoors!AI12+IF(CH43&gt;=0.45,VLOOKUP(Calculator!E23,tbSkills!DH3:DI6,2,FALSE)+IF(AND(Calculator!B8=TRUE,Backdoors!BI15=TRUE),VLOOKUP(Calculator!E23,tbSkills!DH3:DJ6,3,FALSE),0),0))&gt;=0,1+(Backdoors!AL2*(IF((Backdoors!AI12+IF(CH43&gt;=0.45,VLOOKUP(Calculator!E23,tbSkills!DH3:DI6,2,FALSE)+IF(AND(Calculator!B8=TRUE,Backdoors!BI15=TRUE),VLOOKUP(Calculator!E23,tbSkills!DH3:DJ6,3,FALSE),0),0))&gt;=100,100,(Backdoors!AI12+IF(CH43&gt;=0.45,VLOOKUP(Calculator!E23,tbSkills!DH3:DI6,2,FALSE)+IF(AND(Calculator!B8=TRUE,Backdoors!BI15=TRUE),VLOOKUP(Calculator!E23,tbSkills!DH3:DJ6,3,FALSE),0),0)))/100)),(1-(0.25*((-Backdoors!AI12-IF(CH43&gt;=0.45,VLOOKUP(Calculator!E23,tbSkills!DH3:DI6,2,FALSE)+IF(AND(Calculator!B8=TRUE,Backdoors!BI15=TRUE),VLOOKUP(Calculator!E23,tbSkills!DH3:DJ6,3,FALSE),0),0))/100)))),1),"")</f>
        <v>1</v>
      </c>
      <c r="CK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H43)*CJ43)*(VLOOKUP(A43,tbMoveset!A2:C112,3,FALSE)/100)*IF(VLOOKUP(A43,tbMoveset!A2:B112,2,FALSE)="Projectile",Backdoors!N10,Backdoors!N9),0),"")</f>
        <v/>
      </c>
      <c r="CL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H43&gt;=0.45,VLOOKUP(Calculator!E23,tbSkills!DH3:DI6,2,FALSE)+IF(AND(Calculator!B8=TRUE,Backdoors!BI15=TRUE),VLOOKUP(Calculator!E23,tbSkills!DH3:DJ6,3,FALSE),0),0))&gt;=100,100,(Backdoors!AI12+IF(CH43&gt;=0.45,VLOOKUP(Calculator!E23,tbSkills!DH3:DI6,2,FALSE)+IF(AND(Calculator!B8=TRUE,Backdoors!BI15=TRUE),VLOOKUP(Calculator!E23,tbSkills!DH3:DJ6,3,FALSE),0),0)))/100)),1))*IF(VLOOKUP(A43,tbMoveset!A2:K112,11,FALSE)=TRUE,Backdoors!AC5,1))*CI43,0),"")</f>
        <v>0</v>
      </c>
      <c r="CM43" s="49">
        <f>VLOOKUP(A43,tbMoveset!A2:G112,7,FALSE)*IFERROR(IF(Backdoors!AI12&gt;=0,1+(IF(Calculator!E40&gt;0,VLOOKUP(Calculator!E40,tbSkills!AI3:AJ5,2,FALSE),Backdoors!AL4)*(IF((Backdoors!AI12+IF(CH43&gt;=0.45,VLOOKUP(Calculator!E23,tbSkills!DH3:DI6,2,FALSE)+IF(AND(Calculator!B8=TRUE,Backdoors!BI15=TRUE),VLOOKUP(Calculator!E23,tbSkills!DH3:DJ6,3,FALSE),0),0))&gt;=100,100,(Backdoors!AI12+IF(CH43&gt;=0.45,VLOOKUP(Calculator!E23,tbSkills!DH3:DI6,2,FALSE)+IF(AND(Calculator!B8=TRUE,Backdoors!BI15=TRUE),VLOOKUP(Calculator!E23,tbSkills!DH3:DJ6,3,FALSE),0),0)))/100)),1),1)</f>
        <v>0.5</v>
      </c>
      <c r="CN43" s="87">
        <f t="shared" si="7"/>
        <v>0</v>
      </c>
      <c r="CO43" s="86" t="str">
        <f>IFERROR(IF(VLOOKUP(A43,tbMoveset!A2:B112,2,FALSE)="Sever",Backdoors!AY16/100,IF(VLOOKUP(A43,tbMoveset!A2:B112,2,FALSE)="Blunt",Backdoors!AZ16/100,Backdoors!BA16/100)),"")</f>
        <v/>
      </c>
      <c r="CP43" s="49">
        <f>IFERROR(IF(VLOOKUP(tbMoveset!A43,tbMoveset!A2:H112,8,FALSE)="Other",IF(VLOOKUP(tbMoveset!A43,tbMoveset!A2:I112,9,FALSE)="Fire",Backdoors!BB16,IF(VLOOKUP(tbMoveset!A43,tbMoveset!A2:I112,9,FALSE)="Water",Backdoors!BC16,IF(VLOOKUP(tbMoveset!A43,tbMoveset!A2:I112,9,FALSE)="Thunder",Backdoors!BD16,IF(VLOOKUP(tbMoveset!A43,tbMoveset!A2:I112,9,FALSE)="Ice",Backdoors!BE16,IF(VLOOKUP(tbMoveset!A43,tbMoveset!A2:I112,9,FALSE)="Dragon",Backdoors!BF16,Backdoors!BG16)))))/100,Backdoors!BG16/100),"")</f>
        <v>0</v>
      </c>
      <c r="CQ43" s="49">
        <f>IFERROR(IF(VLOOKUP(A43,tbMoveset!A2:J112,10,FALSE)=TRUE,IF((Backdoors!AI12+IF(CO43&gt;=0.45,VLOOKUP(Calculator!E23,tbSkills!DH3:DI6,2,FALSE)+IF(AND(Calculator!B8=TRUE,Backdoors!BI16=TRUE),VLOOKUP(Calculator!E23,tbSkills!DH3:DJ6,3,FALSE),0),0))&gt;=0,1+(Backdoors!AL2*(IF((Backdoors!AI12+IF(CO43&gt;=0.45,VLOOKUP(Calculator!E23,tbSkills!DH3:DI6,2,FALSE)+IF(AND(Calculator!B8=TRUE,Backdoors!BI16=TRUE),VLOOKUP(Calculator!E23,tbSkills!DH3:DJ6,3,FALSE),0),0))&gt;=100,100,(Backdoors!AI12+IF(CO43&gt;=0.45,VLOOKUP(Calculator!E23,tbSkills!DH3:DI6,2,FALSE)+IF(AND(Calculator!B8=TRUE,Backdoors!BI16=TRUE),VLOOKUP(Calculator!E23,tbSkills!DH3:DJ6,3,FALSE),0),0)))/100)),(1-(0.25*((-Backdoors!AI12-IF(CO43&gt;=0.45,VLOOKUP(Calculator!E23,tbSkills!DH3:DI6,2,FALSE)+IF(AND(Calculator!B8=TRUE,Backdoors!BI16=TRUE),VLOOKUP(Calculator!E23,tbSkills!DH3:DJ6,3,FALSE),0),0))/100)))),1),"")</f>
        <v>1</v>
      </c>
      <c r="CR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O43)*CQ43)*(VLOOKUP(A43,tbMoveset!A2:C112,3,FALSE)/100)*IF(VLOOKUP(A43,tbMoveset!A2:B112,2,FALSE)="Projectile",Backdoors!N10,Backdoors!N9),0),"")</f>
        <v/>
      </c>
      <c r="CS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O43&gt;=0.45,VLOOKUP(Calculator!E23,tbSkills!DH3:DI6,2,FALSE)+IF(AND(Calculator!B8=TRUE,Backdoors!BI16=TRUE),VLOOKUP(Calculator!E23,tbSkills!DH3:DJ6,3,FALSE),0),0))&gt;=100,100,(Backdoors!AI12+IF(CO43&gt;=0.45,VLOOKUP(Calculator!E23,tbSkills!DH3:DI6,2,FALSE)+IF(AND(Calculator!B8=TRUE,Backdoors!BI16=TRUE),VLOOKUP(Calculator!E23,tbSkills!DH3:DJ6,3,FALSE),0),0)))/100)),1))*IF(VLOOKUP(A43,tbMoveset!A2:K112,11,FALSE)=TRUE,Backdoors!AC5,1))*CP43,0),"")</f>
        <v>0</v>
      </c>
      <c r="CT43" s="49">
        <f>VLOOKUP(A43,tbMoveset!A2:G112,7,FALSE)*IFERROR(IF(Backdoors!AI12&gt;=0,1+(IF(Calculator!E40&gt;0,VLOOKUP(Calculator!E40,tbSkills!AI3:AJ5,2,FALSE),Backdoors!AL4)*(IF((Backdoors!AI12+IF(CO43&gt;=0.45,VLOOKUP(Calculator!E23,tbSkills!DH3:DI6,2,FALSE)+IF(AND(Calculator!B8=TRUE,Backdoors!BI16=TRUE),VLOOKUP(Calculator!E23,tbSkills!DH3:DJ6,3,FALSE),0),0))&gt;=100,100,(Backdoors!AI12+IF(CO43&gt;=0.45,VLOOKUP(Calculator!E23,tbSkills!DH3:DI6,2,FALSE)+IF(AND(Calculator!B8=TRUE,Backdoors!BI16=TRUE),VLOOKUP(Calculator!E23,tbSkills!DH3:DJ6,3,FALSE),0),0)))/100)),1),1)</f>
        <v>0.5</v>
      </c>
      <c r="CU43" s="87">
        <f t="shared" si="40"/>
        <v>0</v>
      </c>
      <c r="CV43" s="86" t="str">
        <f>IFERROR(IF(VLOOKUP(A43,tbMoveset!A2:B112,2,FALSE)="Sever",Backdoors!AY17/100,IF(VLOOKUP(A43,tbMoveset!A2:B112,2,FALSE)="Blunt",Backdoors!AZ17/100,Backdoors!BA17/100)),"")</f>
        <v/>
      </c>
      <c r="CW43" s="49">
        <f>IFERROR(IF(VLOOKUP(tbMoveset!A43,tbMoveset!A2:H112,8,FALSE)="Other",IF(VLOOKUP(tbMoveset!A43,tbMoveset!A2:I112,9,FALSE)="Fire",Backdoors!BB17,IF(VLOOKUP(tbMoveset!A43,tbMoveset!A2:I112,9,FALSE)="Water",Backdoors!BC17,IF(VLOOKUP(tbMoveset!A43,tbMoveset!A2:I112,9,FALSE)="Thunder",Backdoors!BD17,IF(VLOOKUP(tbMoveset!A43,tbMoveset!A2:I112,9,FALSE)="Ice",Backdoors!BE17,IF(VLOOKUP(tbMoveset!A43,tbMoveset!A2:I112,9,FALSE)="Dragon",Backdoors!BF17,Backdoors!BG17)))))/100,Backdoors!BG17/100),"")</f>
        <v>0</v>
      </c>
      <c r="CX43" s="49">
        <f>IFERROR(IF(VLOOKUP(A43,tbMoveset!A2:J112,10,FALSE)=TRUE,IF((Backdoors!AI12+IF(CV43&gt;=0.45,VLOOKUP(Calculator!E23,tbSkills!DH3:DI6,2,FALSE)+IF(AND(Calculator!B8=TRUE,Backdoors!BI17=TRUE),VLOOKUP(Calculator!E23,tbSkills!DH3:DJ6,3,FALSE),0),0))&gt;=0,1+(Backdoors!AL2*(IF((Backdoors!AI12+IF(CV43&gt;=0.45,VLOOKUP(Calculator!E23,tbSkills!DH3:DI6,2,FALSE)+IF(AND(Calculator!B8=TRUE,Backdoors!BI17=TRUE),VLOOKUP(Calculator!E23,tbSkills!DH3:DJ6,3,FALSE),0),0))&gt;=100,100,(Backdoors!AI12+IF(CV43&gt;=0.45,VLOOKUP(Calculator!E23,tbSkills!DH3:DI6,2,FALSE)+IF(AND(Calculator!B8=TRUE,Backdoors!BI17=TRUE),VLOOKUP(Calculator!E23,tbSkills!DH3:DJ6,3,FALSE),0),0)))/100)),(1-(0.25*((-Backdoors!AI12-IF(CV43&gt;=0.45,VLOOKUP(Calculator!E23,tbSkills!DH3:DI6,2,FALSE)+IF(AND(Calculator!B8=TRUE,Backdoors!BI17=TRUE),VLOOKUP(Calculator!E23,tbSkills!DH3:DJ6,3,FALSE),0),0))/100)))),1),"")</f>
        <v>1</v>
      </c>
      <c r="CY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V43)*CX43)*(VLOOKUP(A43,tbMoveset!A2:C112,3,FALSE)/100)*IF(VLOOKUP(A43,tbMoveset!A2:B112,2,FALSE)="Projectile",Backdoors!N10,Backdoors!N9),0),"")</f>
        <v/>
      </c>
      <c r="CZ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V43&gt;=0.45,VLOOKUP(Calculator!E23,tbSkills!DH3:DI6,2,FALSE)+IF(AND(Calculator!B8=TRUE,Backdoors!BI17=TRUE),VLOOKUP(Calculator!E23,tbSkills!DH3:DJ6,3,FALSE),0),0))&gt;=100,100,(Backdoors!AI12+IF(CV43&gt;=0.45,VLOOKUP(Calculator!E23,tbSkills!DH3:DI6,2,FALSE)+IF(AND(Calculator!B8=TRUE,Backdoors!BI17=TRUE),VLOOKUP(Calculator!E23,tbSkills!DH3:DJ6,3,FALSE),0),0)))/100)),1))*IF(VLOOKUP(A43,tbMoveset!A2:K112,11,FALSE)=TRUE,Backdoors!AC5,1))*CW43,0),"")</f>
        <v>0</v>
      </c>
      <c r="DA43" s="49">
        <f>VLOOKUP(A43,tbMoveset!A2:G112,7,FALSE)*IFERROR(IF(Backdoors!AI12&gt;=0,1+(IF(Calculator!E40&gt;0,VLOOKUP(Calculator!E40,tbSkills!AI3:AJ5,2,FALSE),Backdoors!AL4)*(IF((Backdoors!AI12+IF(CV43&gt;=0.45,VLOOKUP(Calculator!E23,tbSkills!DH3:DI6,2,FALSE)+IF(AND(Calculator!B8=TRUE,Backdoors!BI17=TRUE),VLOOKUP(Calculator!E23,tbSkills!DH3:DJ6,3,FALSE),0),0))&gt;=100,100,(Backdoors!AI12+IF(CV43&gt;=0.45,VLOOKUP(Calculator!E23,tbSkills!DH3:DI6,2,FALSE)+IF(AND(Calculator!B8=TRUE,Backdoors!BI17=TRUE),VLOOKUP(Calculator!E23,tbSkills!DH3:DJ6,3,FALSE),0),0)))/100)),1),1)</f>
        <v>0.5</v>
      </c>
      <c r="DB43" s="87">
        <f t="shared" si="8"/>
        <v>0</v>
      </c>
      <c r="DC43" s="86" t="str">
        <f>IFERROR(IF(VLOOKUP(A43,tbMoveset!A2:B112,2,FALSE)="Sever",Backdoors!AY18/100,IF(VLOOKUP(A43,tbMoveset!A2:B112,2,FALSE)="Blunt",Backdoors!AZ18/100,Backdoors!BA18/100)),"")</f>
        <v/>
      </c>
      <c r="DD43" s="49">
        <f>IFERROR(IF(VLOOKUP(tbMoveset!A43,tbMoveset!A2:H112,8,FALSE)="Other",IF(VLOOKUP(tbMoveset!A43,tbMoveset!A2:I112,9,FALSE)="Fire",Backdoors!BB18,IF(VLOOKUP(tbMoveset!A43,tbMoveset!A2:I112,9,FALSE)="Water",Backdoors!BC18,IF(VLOOKUP(tbMoveset!A43,tbMoveset!A2:I112,9,FALSE)="Thunder",Backdoors!BD18,IF(VLOOKUP(tbMoveset!A43,tbMoveset!A2:I112,9,FALSE)="Ice",Backdoors!BE18,IF(VLOOKUP(tbMoveset!A43,tbMoveset!A2:I112,9,FALSE)="Dragon",Backdoors!BF18,Backdoors!BG18)))))/100,Backdoors!BG18/100),"")</f>
        <v>0</v>
      </c>
      <c r="DE43" s="49">
        <f>IFERROR(IF(VLOOKUP(A43,tbMoveset!A2:J112,10,FALSE)=TRUE,IF((Backdoors!AI12+IF(DC43&gt;=0.45,VLOOKUP(Calculator!E23,tbSkills!DH3:DI6,2,FALSE)+IF(AND(Calculator!B8=TRUE,Backdoors!BI18=TRUE),VLOOKUP(Calculator!E23,tbSkills!DH3:DJ6,3,FALSE),0),0))&gt;=0,1+(Backdoors!AL2*(IF((Backdoors!AI12+IF(DC43&gt;=0.45,VLOOKUP(Calculator!E23,tbSkills!DH3:DI6,2,FALSE)+IF(AND(Calculator!B8=TRUE,Backdoors!BI18=TRUE),VLOOKUP(Calculator!E23,tbSkills!DH3:DJ6,3,FALSE),0),0))&gt;=100,100,(Backdoors!AI12+IF(DC43&gt;=0.45,VLOOKUP(Calculator!E23,tbSkills!DH3:DI6,2,FALSE)+IF(AND(Calculator!B8=TRUE,Backdoors!BI18=TRUE),VLOOKUP(Calculator!E23,tbSkills!DH3:DJ6,3,FALSE),0),0)))/100)),(1-(0.25*((-Backdoors!AI12-IF(DC43&gt;=0.45,VLOOKUP(Calculator!E23,tbSkills!DH3:DI6,2,FALSE)+IF(AND(Calculator!B8=TRUE,Backdoors!BI18=TRUE),VLOOKUP(Calculator!E23,tbSkills!DH3:DJ6,3,FALSE),0),0))/100)))),1),"")</f>
        <v>1</v>
      </c>
      <c r="DF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C43)*DE43)*(VLOOKUP(A43,tbMoveset!A2:C112,3,FALSE)/100)*IF(VLOOKUP(A43,tbMoveset!A2:B112,2,FALSE)="Projectile",Backdoors!N10,Backdoors!N9),0),"")</f>
        <v/>
      </c>
      <c r="DG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C43&gt;=0.45,VLOOKUP(Calculator!E23,tbSkills!DH3:DI6,2,FALSE)+IF(AND(Calculator!B8=TRUE,Backdoors!BI18=TRUE),VLOOKUP(Calculator!E23,tbSkills!DH3:DJ6,3,FALSE),0),0))&gt;=100,100,(Backdoors!AI12+IF(DC43&gt;=0.45,VLOOKUP(Calculator!E23,tbSkills!DH3:DI6,2,FALSE)+IF(AND(Calculator!B8=TRUE,Backdoors!BI18=TRUE),VLOOKUP(Calculator!E23,tbSkills!DH3:DJ6,3,FALSE),0),0)))/100)),1))*IF(VLOOKUP(A43,tbMoveset!A2:K112,11,FALSE)=TRUE,Backdoors!AC5,1))*DD43,0),"")</f>
        <v>0</v>
      </c>
      <c r="DH43" s="49">
        <f>VLOOKUP(A43,tbMoveset!A2:G112,7,FALSE)*IFERROR(IF(Backdoors!AI12&gt;=0,1+(IF(Calculator!E40&gt;0,VLOOKUP(Calculator!E40,tbSkills!AI3:AJ5,2,FALSE),Backdoors!AL4)*(IF((Backdoors!AI12+IF(DC43&gt;=0.45,VLOOKUP(Calculator!E23,tbSkills!DH3:DI6,2,FALSE)+IF(AND(Calculator!B8=TRUE,Backdoors!BI18=TRUE),VLOOKUP(Calculator!E23,tbSkills!DH3:DJ6,3,FALSE),0),0))&gt;=100,100,(Backdoors!AI12+IF(DC43&gt;=0.45,VLOOKUP(Calculator!E23,tbSkills!DH3:DI6,2,FALSE)+IF(AND(Calculator!B8=TRUE,Backdoors!BI18=TRUE),VLOOKUP(Calculator!E23,tbSkills!DH3:DJ6,3,FALSE),0),0)))/100)),1),1)</f>
        <v>0.5</v>
      </c>
      <c r="DI43" s="87">
        <f t="shared" si="9"/>
        <v>0</v>
      </c>
      <c r="DJ43" s="86" t="str">
        <f>IFERROR(IF(VLOOKUP(A43,tbMoveset!A2:B112,2,FALSE)="Sever",Backdoors!AY19/100,IF(VLOOKUP(A43,tbMoveset!A2:B112,2,FALSE)="Blunt",Backdoors!AZ19/100,Backdoors!BA19/100)),"")</f>
        <v/>
      </c>
      <c r="DK43" s="49">
        <f>IFERROR(IF(VLOOKUP(tbMoveset!A43,tbMoveset!A2:H112,8,FALSE)="Other",IF(VLOOKUP(tbMoveset!A43,tbMoveset!A2:I112,9,FALSE)="Fire",Backdoors!BB19,IF(VLOOKUP(tbMoveset!A43,tbMoveset!A2:I112,9,FALSE)="Water",Backdoors!BC19,IF(VLOOKUP(tbMoveset!A43,tbMoveset!A2:I112,9,FALSE)="Thunder",Backdoors!BD19,IF(VLOOKUP(tbMoveset!A43,tbMoveset!A2:I112,9,FALSE)="Ice",Backdoors!BE19,IF(VLOOKUP(tbMoveset!A43,tbMoveset!A2:I112,9,FALSE)="Dragon",Backdoors!BF19,Backdoors!BG19)))))/100,Backdoors!BG19/100),"")</f>
        <v>0</v>
      </c>
      <c r="DL43" s="49">
        <f>IFERROR(IF(VLOOKUP(A43,tbMoveset!A2:J112,10,FALSE)=TRUE,IF((Backdoors!AI12+IF(DJ43&gt;=0.45,VLOOKUP(Calculator!E23,tbSkills!DH3:DI6,2,FALSE)+IF(AND(Calculator!B8=TRUE,Backdoors!BI19=TRUE),VLOOKUP(Calculator!E23,tbSkills!DH3:DJ6,3,FALSE),0),0))&gt;=0,1+(Backdoors!AL2*(IF((Backdoors!AI12+IF(DJ43&gt;=0.45,VLOOKUP(Calculator!E23,tbSkills!DH3:DI6,2,FALSE)+IF(AND(Calculator!B8=TRUE,Backdoors!BI19=TRUE),VLOOKUP(Calculator!E23,tbSkills!DH3:DJ6,3,FALSE),0),0))&gt;=100,100,(Backdoors!AI12+IF(DJ43&gt;=0.45,VLOOKUP(Calculator!E23,tbSkills!DH3:DI6,2,FALSE)+IF(AND(Calculator!B8=TRUE,Backdoors!BI19=TRUE),VLOOKUP(Calculator!E23,tbSkills!DH3:DJ6,3,FALSE),0),0)))/100)),(1-(0.25*((-Backdoors!AI12-IF(DJ43&gt;=0.45,VLOOKUP(Calculator!E23,tbSkills!DH3:DI6,2,FALSE)+IF(AND(Calculator!B8=TRUE,Backdoors!BI19=TRUE),VLOOKUP(Calculator!E23,tbSkills!DH3:DJ6,3,FALSE),0),0))/100)))),1),"")</f>
        <v>1</v>
      </c>
      <c r="DM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J43)*DL43)*(VLOOKUP(A43,tbMoveset!A2:C112,3,FALSE)/100)*IF(VLOOKUP(A43,tbMoveset!A2:B112,2,FALSE)="Projectile",Backdoors!N10,Backdoors!N9),0),"")</f>
        <v/>
      </c>
      <c r="DN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J43&gt;=0.45,VLOOKUP(Calculator!E23,tbSkills!DH3:DI6,2,FALSE)+IF(AND(Calculator!B8=TRUE,Backdoors!BI19=TRUE),VLOOKUP(Calculator!E23,tbSkills!DH3:DJ6,3,FALSE),0),0))&gt;=100,100,(Backdoors!AI12+IF(DJ43&gt;=0.45,VLOOKUP(Calculator!E23,tbSkills!DH3:DI6,2,FALSE)+IF(AND(Calculator!B8=TRUE,Backdoors!BI19=TRUE),VLOOKUP(Calculator!E23,tbSkills!DH3:DJ6,3,FALSE),0),0)))/100)),1))*IF(VLOOKUP(A43,tbMoveset!A2:K112,11,FALSE)=TRUE,Backdoors!AC5,1))*DK43,0),"")</f>
        <v>0</v>
      </c>
      <c r="DO43" s="49">
        <f>VLOOKUP(A43,tbMoveset!A2:G112,7,FALSE)*IFERROR(IF(Backdoors!AI12&gt;=0,1+(IF(Calculator!E40&gt;0,VLOOKUP(Calculator!E40,tbSkills!AI3:AJ5,2,FALSE),Backdoors!AL4)*(IF((Backdoors!AI12+IF(DJ43&gt;=0.45,VLOOKUP(Calculator!E23,tbSkills!DH3:DI6,2,FALSE)+IF(AND(Calculator!B8=TRUE,Backdoors!BI19=TRUE),VLOOKUP(Calculator!E23,tbSkills!DH3:DJ6,3,FALSE),0),0))&gt;=100,100,(Backdoors!AI12+IF(DJ43&gt;=0.45,VLOOKUP(Calculator!E23,tbSkills!DH3:DI6,2,FALSE)+IF(AND(Calculator!B8=TRUE,Backdoors!BI19=TRUE),VLOOKUP(Calculator!E23,tbSkills!DH3:DJ6,3,FALSE),0),0)))/100)),1),1)</f>
        <v>0.5</v>
      </c>
      <c r="DP43" s="87">
        <f t="shared" si="41"/>
        <v>0</v>
      </c>
      <c r="DQ43" s="86" t="str">
        <f>IFERROR(IF(VLOOKUP(A43,tbMoveset!A2:B112,2,FALSE)="Sever",Backdoors!AY20/100,IF(VLOOKUP(A43,tbMoveset!A2:B112,2,FALSE)="Blunt",Backdoors!AZ20/100,Backdoors!BA20/100)),"")</f>
        <v/>
      </c>
      <c r="DR43" s="49">
        <f>IFERROR(IF(VLOOKUP(tbMoveset!A43,tbMoveset!A2:H112,8,FALSE)="Other",IF(VLOOKUP(tbMoveset!A43,tbMoveset!A2:I112,9,FALSE)="Fire",Backdoors!BB20,IF(VLOOKUP(tbMoveset!A43,tbMoveset!A2:I112,9,FALSE)="Water",Backdoors!BC20,IF(VLOOKUP(tbMoveset!A43,tbMoveset!A2:I112,9,FALSE)="Thunder",Backdoors!BD20,IF(VLOOKUP(tbMoveset!A43,tbMoveset!A2:I112,9,FALSE)="Ice",Backdoors!BE20,IF(VLOOKUP(tbMoveset!A43,tbMoveset!A2:I112,9,FALSE)="Dragon",Backdoors!BF20,Backdoors!BG20)))))/100,Backdoors!BG20/100),"")</f>
        <v>0</v>
      </c>
      <c r="DS43" s="49">
        <f>IFERROR(IF(VLOOKUP(A43,tbMoveset!A2:J112,10,FALSE)=TRUE,IF((Backdoors!AI12+IF(DQ43&gt;=0.45,VLOOKUP(Calculator!E23,tbSkills!DH3:DI6,2,FALSE)+IF(AND(Calculator!B8=TRUE,Backdoors!BI20=TRUE),VLOOKUP(Calculator!E23,tbSkills!DH3:DJ6,3,FALSE),0),0))&gt;=0,1+(Backdoors!AL2*(IF((Backdoors!AI12+IF(DQ43&gt;=0.45,VLOOKUP(Calculator!E23,tbSkills!DH3:DI6,2,FALSE)+IF(AND(Calculator!B8=TRUE,Backdoors!BI20=TRUE),VLOOKUP(Calculator!E23,tbSkills!DH3:DJ6,3,FALSE),0),0))&gt;=100,100,(Backdoors!AI12+IF(DQ43&gt;=0.45,VLOOKUP(Calculator!E23,tbSkills!DH3:DI6,2,FALSE)+IF(AND(Calculator!B8=TRUE,Backdoors!BI20=TRUE),VLOOKUP(Calculator!E23,tbSkills!DH3:DJ6,3,FALSE),0),0)))/100)),(1-(0.25*((-Backdoors!AI12-IF(DQ43&gt;=0.45,VLOOKUP(Calculator!E23,tbSkills!DH3:DI6,2,FALSE)+IF(AND(Calculator!B8=TRUE,Backdoors!BI20=TRUE),VLOOKUP(Calculator!E23,tbSkills!DH3:DJ6,3,FALSE),0),0))/100)))),1),"")</f>
        <v>1</v>
      </c>
      <c r="DT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Q43)*DS43)*(VLOOKUP(A43,tbMoveset!A2:C112,3,FALSE)/100)*IF(VLOOKUP(A43,tbMoveset!A2:B112,2,FALSE)="Projectile",Backdoors!N10,Backdoors!N9),0),"")</f>
        <v/>
      </c>
      <c r="DU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Q43&gt;=0.45,VLOOKUP(Calculator!E23,tbSkills!DH3:DI6,2,FALSE)+IF(AND(Calculator!B8=TRUE,Backdoors!BI20=TRUE),VLOOKUP(Calculator!E23,tbSkills!DH3:DJ6,3,FALSE),0),0))&gt;=100,100,(Backdoors!AI12+IF(DQ43&gt;=0.45,VLOOKUP(Calculator!E23,tbSkills!DH3:DI6,2,FALSE)+IF(AND(Calculator!B8=TRUE,Backdoors!BI20=TRUE),VLOOKUP(Calculator!E23,tbSkills!DH3:DJ6,3,FALSE),0),0)))/100)),1))*IF(VLOOKUP(A43,tbMoveset!A2:K112,11,FALSE)=TRUE,Backdoors!AC5,1))*DR43,0),"")</f>
        <v>0</v>
      </c>
      <c r="DV43" s="49">
        <f>VLOOKUP(A43,tbMoveset!A2:G112,7,FALSE)*IFERROR(IF(Backdoors!AI12&gt;=0,1+(IF(Calculator!E40&gt;0,VLOOKUP(Calculator!E40,tbSkills!AI3:AJ5,2,FALSE),Backdoors!AL4)*(IF((Backdoors!AI12+IF(DQ43&gt;=0.45,VLOOKUP(Calculator!E23,tbSkills!DH3:DI6,2,FALSE)+IF(AND(Calculator!B8=TRUE,Backdoors!BI20=TRUE),VLOOKUP(Calculator!E23,tbSkills!DH3:DJ6,3,FALSE),0),0))&gt;=100,100,(Backdoors!AI12+IF(DQ43&gt;=0.45,VLOOKUP(Calculator!E23,tbSkills!DH3:DI6,2,FALSE)+IF(AND(Calculator!B8=TRUE,Backdoors!BI20=TRUE),VLOOKUP(Calculator!E23,tbSkills!DH3:DJ6,3,FALSE),0),0)))/100)),1),1)</f>
        <v>0.5</v>
      </c>
      <c r="DW43" s="87">
        <f t="shared" si="10"/>
        <v>0</v>
      </c>
      <c r="DX43" s="86" t="str">
        <f>IFERROR(IF(VLOOKUP(A43,tbMoveset!A2:B112,2,FALSE)="Sever",Backdoors!AY21/100,IF(VLOOKUP(A43,tbMoveset!A2:B112,2,FALSE)="Blunt",Backdoors!AZ21/100,Backdoors!BA21/100)),"")</f>
        <v/>
      </c>
      <c r="DY43" s="49">
        <f>IFERROR(IF(VLOOKUP(tbMoveset!A43,tbMoveset!A2:H112,8,FALSE)="Other",IF(VLOOKUP(tbMoveset!A43,tbMoveset!A2:I112,9,FALSE)="Fire",Backdoors!BB21,IF(VLOOKUP(tbMoveset!A43,tbMoveset!A2:I112,9,FALSE)="Water",Backdoors!BC21,IF(VLOOKUP(tbMoveset!A43,tbMoveset!A2:I112,9,FALSE)="Thunder",Backdoors!BD21,IF(VLOOKUP(tbMoveset!A43,tbMoveset!A2:I112,9,FALSE)="Ice",Backdoors!BE21,IF(VLOOKUP(tbMoveset!A43,tbMoveset!A2:I112,9,FALSE)="Dragon",Backdoors!BF21,Backdoors!BG21)))))/100,Backdoors!BG21/100),"")</f>
        <v>0</v>
      </c>
      <c r="DZ43" s="49">
        <f>IFERROR(IF(VLOOKUP(A43,tbMoveset!A2:J112,10,FALSE)=TRUE,IF((Backdoors!AI12+IF(DX43&gt;=0.45,VLOOKUP(Calculator!E23,tbSkills!DH3:DI6,2,FALSE)+IF(AND(Calculator!B8=TRUE,Backdoors!BI21=TRUE),VLOOKUP(Calculator!E23,tbSkills!DH3:DJ6,3,FALSE),0),0))&gt;=0,1+(Backdoors!AL2*(IF((Backdoors!AI12+IF(DX43&gt;=0.45,VLOOKUP(Calculator!E23,tbSkills!DH3:DI6,2,FALSE)+IF(AND(Calculator!B8=TRUE,Backdoors!BI21=TRUE),VLOOKUP(Calculator!E23,tbSkills!DH3:DJ6,3,FALSE),0),0))&gt;=100,100,(Backdoors!AI12+IF(DX43&gt;=0.45,VLOOKUP(Calculator!E23,tbSkills!DH3:DI6,2,FALSE)+IF(AND(Calculator!B8=TRUE,Backdoors!BI21=TRUE),VLOOKUP(Calculator!E23,tbSkills!DH3:DJ6,3,FALSE),0),0)))/100)),(1-(0.25*((-Backdoors!AI12-IF(DX43&gt;=0.45,VLOOKUP(Calculator!E23,tbSkills!DH3:DI6,2,FALSE)+IF(AND(Calculator!B8=TRUE,Backdoors!BI21=TRUE),VLOOKUP(Calculator!E23,tbSkills!DH3:DJ6,3,FALSE),0),0))/100)))),1),"")</f>
        <v>1</v>
      </c>
      <c r="EA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X43)*DZ43)*(VLOOKUP(A43,tbMoveset!A2:C112,3,FALSE)/100)*IF(VLOOKUP(A43,tbMoveset!A2:B112,2,FALSE)="Projectile",Backdoors!N10,Backdoors!N9),0),"")</f>
        <v/>
      </c>
      <c r="EB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X43&gt;=0.45,VLOOKUP(Calculator!E23,tbSkills!DH3:DI6,2,FALSE)+IF(AND(Calculator!B8=TRUE,Backdoors!BI21=TRUE),VLOOKUP(Calculator!E23,tbSkills!DH3:DJ6,3,FALSE),0),0))&gt;=100,100,(Backdoors!AI12+IF(DX43&gt;=0.45,VLOOKUP(Calculator!E23,tbSkills!DH3:DI6,2,FALSE)+IF(AND(Calculator!B8=TRUE,Backdoors!BI21=TRUE),VLOOKUP(Calculator!E23,tbSkills!DH3:DJ6,3,FALSE),0),0)))/100)),1))*IF(VLOOKUP(A43,tbMoveset!A2:K112,11,FALSE)=TRUE,Backdoors!AC5,1))*DY43,0),"")</f>
        <v>0</v>
      </c>
      <c r="EC43" s="49">
        <f>VLOOKUP(A43,tbMoveset!A2:G112,7,FALSE)*IFERROR(IF(Backdoors!AI12&gt;=0,1+(IF(Calculator!E40&gt;0,VLOOKUP(Calculator!E40,tbSkills!AI3:AJ5,2,FALSE),Backdoors!AL4)*(IF((Backdoors!AI12+IF(DX43&gt;=0.45,VLOOKUP(Calculator!E23,tbSkills!DH3:DI6,2,FALSE)+IF(AND(Calculator!B8=TRUE,Backdoors!BI21=TRUE),VLOOKUP(Calculator!E23,tbSkills!DH3:DJ6,3,FALSE),0),0))&gt;=100,100,(Backdoors!AI12+IF(DX43&gt;=0.45,VLOOKUP(Calculator!E23,tbSkills!DH3:DI6,2,FALSE)+IF(AND(Calculator!B8=TRUE,Backdoors!BI21=TRUE),VLOOKUP(Calculator!E23,tbSkills!DH3:DJ6,3,FALSE),0),0)))/100)),1),1)</f>
        <v>0.5</v>
      </c>
      <c r="ED43" s="87">
        <f t="shared" si="11"/>
        <v>0</v>
      </c>
      <c r="EE43" s="86" t="str">
        <f>IFERROR(IF(VLOOKUP(A43,tbMoveset!A2:B112,2,FALSE)="Sever",Backdoors!AY22/100,IF(VLOOKUP(A43,tbMoveset!A2:B112,2,FALSE)="Blunt",Backdoors!AZ22/100,Backdoors!BA22/100)),"")</f>
        <v/>
      </c>
      <c r="EF43" s="49">
        <f>IFERROR(IF(VLOOKUP(tbMoveset!A43,tbMoveset!A2:H112,8,FALSE)="Other",IF(VLOOKUP(tbMoveset!A43,tbMoveset!A2:I112,9,FALSE)="Fire",Backdoors!BB22,IF(VLOOKUP(tbMoveset!A43,tbMoveset!A2:I112,9,FALSE)="Water",Backdoors!BC22,IF(VLOOKUP(tbMoveset!A43,tbMoveset!A2:I112,9,FALSE)="Thunder",Backdoors!BD22,IF(VLOOKUP(tbMoveset!A43,tbMoveset!A2:I112,9,FALSE)="Ice",Backdoors!BE22,IF(VLOOKUP(tbMoveset!A43,tbMoveset!A2:I112,9,FALSE)="Dragon",Backdoors!BF22,Backdoors!BG22)))))/100,Backdoors!BG22/100),"")</f>
        <v>0</v>
      </c>
      <c r="EG43" s="49">
        <f>IFERROR(IF(VLOOKUP(A43,tbMoveset!A2:J112,10,FALSE)=TRUE,IF((Backdoors!AI12+IF(EE43&gt;=0.45,VLOOKUP(Calculator!E23,tbSkills!DH3:DI6,2,FALSE)+IF(AND(Calculator!B8=TRUE,Backdoors!BI22=TRUE),VLOOKUP(Calculator!E23,tbSkills!DH3:DJ6,3,FALSE),0),0))&gt;=0,1+(Backdoors!AL2*(IF((Backdoors!AI12+IF(EE43&gt;=0.45,VLOOKUP(Calculator!E23,tbSkills!DH3:DI6,2,FALSE)+IF(AND(Calculator!B8=TRUE,Backdoors!BI22=TRUE),VLOOKUP(Calculator!E23,tbSkills!DH3:DJ6,3,FALSE),0),0))&gt;=100,100,(Backdoors!AI12+IF(EE43&gt;=0.45,VLOOKUP(Calculator!E23,tbSkills!DH3:DI6,2,FALSE)+IF(AND(Calculator!B8=TRUE,Backdoors!BI22=TRUE),VLOOKUP(Calculator!E23,tbSkills!DH3:DJ6,3,FALSE),0),0)))/100)),(1-(0.25*((-Backdoors!AI12-IF(EE43&gt;=0.45,VLOOKUP(Calculator!E23,tbSkills!DH3:DI6,2,FALSE)+IF(AND(Calculator!B8=TRUE,Backdoors!BI22=TRUE),VLOOKUP(Calculator!E23,tbSkills!DH3:DJ6,3,FALSE),0),0))/100)))),1),"")</f>
        <v>1</v>
      </c>
      <c r="EH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E43)*EG43)*(VLOOKUP(A43,tbMoveset!A2:C112,3,FALSE)/100)*IF(VLOOKUP(A43,tbMoveset!A2:B112,2,FALSE)="Projectile",Backdoors!N10,Backdoors!N9),0),"")</f>
        <v/>
      </c>
      <c r="EI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E43&gt;=0.45,VLOOKUP(Calculator!E23,tbSkills!DH3:DI6,2,FALSE)+IF(AND(Calculator!B8=TRUE,Backdoors!BI22=TRUE),VLOOKUP(Calculator!E23,tbSkills!DH3:DJ6,3,FALSE),0),0))&gt;=100,100,(Backdoors!AI12+IF(EE43&gt;=0.45,VLOOKUP(Calculator!E23,tbSkills!DH3:DI6,2,FALSE)+IF(AND(Calculator!B8=TRUE,Backdoors!BI22=TRUE),VLOOKUP(Calculator!E23,tbSkills!DH3:DJ6,3,FALSE),0),0)))/100)),1))*IF(VLOOKUP(A43,tbMoveset!A2:K112,11,FALSE)=TRUE,Backdoors!AC5,1))*EF43,0),"")</f>
        <v>0</v>
      </c>
      <c r="EJ43" s="49">
        <f>VLOOKUP(A43,tbMoveset!A2:G112,7,FALSE)*IFERROR(IF(Backdoors!AI12&gt;=0,1+(IF(Calculator!E40&gt;0,VLOOKUP(Calculator!E40,tbSkills!AI3:AJ5,2,FALSE),Backdoors!AL4)*(IF((Backdoors!AI12+IF(EE43&gt;=0.45,VLOOKUP(Calculator!E23,tbSkills!DH3:DI6,2,FALSE)+IF(AND(Calculator!B8=TRUE,Backdoors!BI22=TRUE),VLOOKUP(Calculator!E23,tbSkills!DH3:DJ6,3,FALSE),0),0))&gt;=100,100,(Backdoors!AI12+IF(EE43&gt;=0.45,VLOOKUP(Calculator!E23,tbSkills!DH3:DI6,2,FALSE)+IF(AND(Calculator!B8=TRUE,Backdoors!BI22=TRUE),VLOOKUP(Calculator!E23,tbSkills!DH3:DJ6,3,FALSE),0),0)))/100)),1),1)</f>
        <v>0.5</v>
      </c>
      <c r="EK43" s="87">
        <f t="shared" si="12"/>
        <v>0</v>
      </c>
      <c r="EL43" s="86" t="str">
        <f>IFERROR(IF(VLOOKUP(A43,tbMoveset!A2:B112,2,FALSE)="Sever",Backdoors!AY23/100,IF(VLOOKUP(A43,tbMoveset!A2:B112,2,FALSE)="Blunt",Backdoors!AZ23/100,Backdoors!BA23/100)),"")</f>
        <v/>
      </c>
      <c r="EM43" s="49">
        <f>IFERROR(IF(VLOOKUP(tbMoveset!A43,tbMoveset!A2:H112,8,FALSE)="Other",IF(VLOOKUP(tbMoveset!A43,tbMoveset!A2:I112,9,FALSE)="Fire",Backdoors!BB23,IF(VLOOKUP(tbMoveset!A43,tbMoveset!A2:I112,9,FALSE)="Water",Backdoors!BC23,IF(VLOOKUP(tbMoveset!A43,tbMoveset!A2:I112,9,FALSE)="Thunder",Backdoors!BD23,IF(VLOOKUP(tbMoveset!A43,tbMoveset!A2:I112,9,FALSE)="Ice",Backdoors!BE23,IF(VLOOKUP(tbMoveset!A43,tbMoveset!A2:I112,9,FALSE)="Dragon",Backdoors!BF23,Backdoors!BG23)))))/100,Backdoors!BG23/100),"")</f>
        <v>0</v>
      </c>
      <c r="EN43" s="49">
        <f>IFERROR(IF(VLOOKUP(A43,tbMoveset!A2:J112,10,FALSE)=TRUE,IF((Backdoors!AI12+IF(EL43&gt;=0.45,VLOOKUP(Calculator!E23,tbSkills!DH3:DI6,2,FALSE)+IF(AND(Calculator!B8=TRUE,Backdoors!BI23=TRUE),VLOOKUP(Calculator!E23,tbSkills!DH3:DJ6,3,FALSE),0),0))&gt;=0,1+(Backdoors!AL2*(IF((Backdoors!AI12+IF(EL43&gt;=0.45,VLOOKUP(Calculator!E23,tbSkills!DH3:DI6,2,FALSE)+IF(AND(Calculator!B8=TRUE,Backdoors!BI23=TRUE),VLOOKUP(Calculator!E23,tbSkills!DH3:DJ6,3,FALSE),0),0))&gt;=100,100,(Backdoors!AI12+IF(EL43&gt;=0.45,VLOOKUP(Calculator!E23,tbSkills!DH3:DI6,2,FALSE)+IF(AND(Calculator!B8=TRUE,Backdoors!BI23=TRUE),VLOOKUP(Calculator!E23,tbSkills!DH3:DJ6,3,FALSE),0),0)))/100)),(1-(0.25*((-Backdoors!AI12-IF(EL43&gt;=0.45,VLOOKUP(Calculator!E23,tbSkills!DH3:DI6,2,FALSE)+IF(AND(Calculator!B8=TRUE,Backdoors!BI23=TRUE),VLOOKUP(Calculator!E23,tbSkills!DH3:DJ6,3,FALSE),0),0))/100)))),1),"")</f>
        <v>1</v>
      </c>
      <c r="EO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L43)*EN43)*(VLOOKUP(A43,tbMoveset!A2:C112,3,FALSE)/100)*IF(VLOOKUP(A43,tbMoveset!A2:B112,2,FALSE)="Projectile",Backdoors!N10,Backdoors!N9),0),"")</f>
        <v/>
      </c>
      <c r="EP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L43&gt;=0.45,VLOOKUP(Calculator!E23,tbSkills!DH3:DI6,2,FALSE)+IF(AND(Calculator!B8=TRUE,Backdoors!BI23=TRUE),VLOOKUP(Calculator!E23,tbSkills!DH3:DJ6,3,FALSE),0),0))&gt;=100,100,(Backdoors!AI12+IF(EL43&gt;=0.45,VLOOKUP(Calculator!E23,tbSkills!DH3:DI6,2,FALSE)+IF(AND(Calculator!B8=TRUE,Backdoors!BI23=TRUE),VLOOKUP(Calculator!E23,tbSkills!DH3:DJ6,3,FALSE),0),0)))/100)),1))*IF(VLOOKUP(A43,tbMoveset!A2:K112,11,FALSE)=TRUE,Backdoors!AC5,1))*EM43,0),"")</f>
        <v>0</v>
      </c>
      <c r="EQ43" s="49">
        <f>VLOOKUP(A43,tbMoveset!A2:G112,7,FALSE)*IFERROR(IF(Backdoors!AI12&gt;=0,1+(IF(Calculator!E40&gt;0,VLOOKUP(Calculator!E40,tbSkills!AI3:AJ5,2,FALSE),Backdoors!AL4)*(IF((Backdoors!AI12+IF(EL43&gt;=0.45,VLOOKUP(Calculator!E23,tbSkills!DH3:DI6,2,FALSE)+IF(AND(Calculator!B8=TRUE,Backdoors!BI23=TRUE),VLOOKUP(Calculator!E23,tbSkills!DH3:DJ6,3,FALSE),0),0))&gt;=100,100,(Backdoors!AI12+IF(EL43&gt;=0.45,VLOOKUP(Calculator!E23,tbSkills!DH3:DI6,2,FALSE)+IF(AND(Calculator!B8=TRUE,Backdoors!BI23=TRUE),VLOOKUP(Calculator!E23,tbSkills!DH3:DJ6,3,FALSE),0),0)))/100)),1),1)</f>
        <v>0.5</v>
      </c>
      <c r="ER43" s="87">
        <f t="shared" si="13"/>
        <v>0</v>
      </c>
      <c r="ES43" s="86" t="str">
        <f>IFERROR(IF(VLOOKUP(A43,tbMoveset!A2:B112,2,FALSE)="Sever",Backdoors!AY24/100,IF(VLOOKUP(A43,tbMoveset!A2:B112,2,FALSE)="Blunt",Backdoors!AZ24/100,Backdoors!BA24/100)),"")</f>
        <v/>
      </c>
      <c r="ET43" s="49">
        <f>IFERROR(IF(VLOOKUP(tbMoveset!A43,tbMoveset!A2:H112,8,FALSE)="Other",IF(VLOOKUP(tbMoveset!A43,tbMoveset!A2:I112,9,FALSE)="Fire",Backdoors!BB24,IF(VLOOKUP(tbMoveset!A43,tbMoveset!A2:I112,9,FALSE)="Water",Backdoors!BC24,IF(VLOOKUP(tbMoveset!A43,tbMoveset!A2:I112,9,FALSE)="Thunder",Backdoors!BD24,IF(VLOOKUP(tbMoveset!A43,tbMoveset!A2:I112,9,FALSE)="Ice",Backdoors!BE24,IF(VLOOKUP(tbMoveset!A43,tbMoveset!A2:I112,9,FALSE)="Dragon",Backdoors!BF24,Backdoors!BG24)))))/100,Backdoors!BG24/100),"")</f>
        <v>0</v>
      </c>
      <c r="EU43" s="49">
        <f>IFERROR(IF(VLOOKUP(A43,tbMoveset!A2:J112,10,FALSE)=TRUE,IF((Backdoors!AI12+IF(ES43&gt;=0.45,VLOOKUP(Calculator!E23,tbSkills!DH3:DI6,2,FALSE)+IF(AND(Calculator!B8=TRUE,Backdoors!BI24=TRUE),VLOOKUP(Calculator!E23,tbSkills!DH3:DJ6,3,FALSE),0),0))&gt;=0,1+(Backdoors!AL2*(IF((Backdoors!AI12+IF(ES43&gt;=0.45,VLOOKUP(Calculator!E23,tbSkills!DH3:DI6,2,FALSE)+IF(AND(Calculator!B8=TRUE,Backdoors!BI24=TRUE),VLOOKUP(Calculator!E23,tbSkills!DH3:DJ6,3,FALSE),0),0))&gt;=100,100,(Backdoors!AI12+IF(ES43&gt;=0.45,VLOOKUP(Calculator!E23,tbSkills!DH3:DI6,2,FALSE)+IF(AND(Calculator!B8=TRUE,Backdoors!BI24=TRUE),VLOOKUP(Calculator!E23,tbSkills!DH3:DJ6,3,FALSE),0),0)))/100)),(1-(0.25*((-Backdoors!AI12-IF(ES43&gt;=0.45,VLOOKUP(Calculator!E23,tbSkills!DH3:DI6,2,FALSE)+IF(AND(Calculator!B8=TRUE,Backdoors!BI24=TRUE),VLOOKUP(Calculator!E23,tbSkills!DH3:DJ6,3,FALSE),0),0))/100)))),1),"")</f>
        <v>1</v>
      </c>
      <c r="EV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S43)*EU43)*(VLOOKUP(A43,tbMoveset!A2:C112,3,FALSE)/100)*IF(VLOOKUP(A43,tbMoveset!A2:B112,2,FALSE)="Projectile",Backdoors!N10,Backdoors!N9),0),"")</f>
        <v/>
      </c>
      <c r="EW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S43&gt;=0.45,VLOOKUP(Calculator!E23,tbSkills!DH3:DI6,2,FALSE)+IF(AND(Calculator!B8=TRUE,Backdoors!BI24=TRUE),VLOOKUP(Calculator!E23,tbSkills!DH3:DJ6,3,FALSE),0),0))&gt;=100,100,(Backdoors!AI12+IF(ES43&gt;=0.45,VLOOKUP(Calculator!E23,tbSkills!DH3:DI6,2,FALSE)+IF(AND(Calculator!B8=TRUE,Backdoors!BI24=TRUE),VLOOKUP(Calculator!E23,tbSkills!DH3:DJ6,3,FALSE),0),0)))/100)),1))*IF(VLOOKUP(A43,tbMoveset!A2:K112,11,FALSE)=TRUE,Backdoors!AC5,1))*ET43,0),"")</f>
        <v>0</v>
      </c>
      <c r="EX43" s="49">
        <f>VLOOKUP(A43,tbMoveset!A2:G112,7,FALSE)*IFERROR(IF(Backdoors!AI12&gt;=0,1+(IF(Calculator!E40&gt;0,VLOOKUP(Calculator!E40,tbSkills!AI3:AJ5,2,FALSE),Backdoors!AL4)*(IF((Backdoors!AI12+IF(ES43&gt;=0.45,VLOOKUP(Calculator!E23,tbSkills!DH3:DI6,2,FALSE)+IF(AND(Calculator!B8=TRUE,Backdoors!BI24=TRUE),VLOOKUP(Calculator!E23,tbSkills!DH3:DJ6,3,FALSE),0),0))&gt;=100,100,(Backdoors!AI12+IF(ES43&gt;=0.45,VLOOKUP(Calculator!E23,tbSkills!DH3:DI6,2,FALSE)+IF(AND(Calculator!B8=TRUE,Backdoors!BI24=TRUE),VLOOKUP(Calculator!E23,tbSkills!DH3:DJ6,3,FALSE),0),0)))/100)),1),1)</f>
        <v>0.5</v>
      </c>
      <c r="EY43" s="87">
        <f t="shared" si="14"/>
        <v>0</v>
      </c>
      <c r="EZ43" s="86" t="str">
        <f>IFERROR(IF(VLOOKUP(A43,tbMoveset!A2:B112,2,FALSE)="Sever",Backdoors!AY25/100,IF(VLOOKUP(A43,tbMoveset!A2:B112,2,FALSE)="Blunt",Backdoors!AZ25/100,Backdoors!BA25/100)),"")</f>
        <v/>
      </c>
      <c r="FA43" s="49">
        <f>IFERROR(IF(VLOOKUP(tbMoveset!A43,tbMoveset!A2:H112,8,FALSE)="Other",IF(VLOOKUP(tbMoveset!A43,tbMoveset!A2:I112,9,FALSE)="Fire",Backdoors!BB25,IF(VLOOKUP(tbMoveset!A43,tbMoveset!A2:I112,9,FALSE)="Water",Backdoors!BC25,IF(VLOOKUP(tbMoveset!A43,tbMoveset!A2:I112,9,FALSE)="Thunder",Backdoors!BD25,IF(VLOOKUP(tbMoveset!A43,tbMoveset!A2:I112,9,FALSE)="Ice",Backdoors!BE25,IF(VLOOKUP(tbMoveset!A43,tbMoveset!A2:I112,9,FALSE)="Dragon",Backdoors!BF25,Backdoors!BG25)))))/100,Backdoors!BG25/100),"")</f>
        <v>0</v>
      </c>
      <c r="FB43" s="49">
        <f>IFERROR(IF(VLOOKUP(A43,tbMoveset!A2:J112,10,FALSE)=TRUE,IF((Backdoors!AI12+IF(EZ43&gt;=0.45,VLOOKUP(Calculator!E23,tbSkills!DH3:DI6,2,FALSE)+IF(AND(Calculator!B8=TRUE,Backdoors!BI25=TRUE),VLOOKUP(Calculator!E23,tbSkills!DH3:DJ6,3,FALSE),0),0))&gt;=0,1+(Backdoors!AL2*(IF((Backdoors!AI12+IF(EZ43&gt;=0.45,VLOOKUP(Calculator!E23,tbSkills!DH3:DI6,2,FALSE)+IF(AND(Calculator!B8=TRUE,Backdoors!BI25=TRUE),VLOOKUP(Calculator!E23,tbSkills!DH3:DJ6,3,FALSE),0),0))&gt;=100,100,(Backdoors!AI12+IF(EZ43&gt;=0.45,VLOOKUP(Calculator!E23,tbSkills!DH3:DI6,2,FALSE)+IF(AND(Calculator!B8=TRUE,Backdoors!BI25=TRUE),VLOOKUP(Calculator!E23,tbSkills!DH3:DJ6,3,FALSE),0),0)))/100)),(1-(0.25*((-Backdoors!AI12-IF(EZ43&gt;=0.45,VLOOKUP(Calculator!E23,tbSkills!DH3:DI6,2,FALSE)+IF(AND(Calculator!B8=TRUE,Backdoors!BI25=TRUE),VLOOKUP(Calculator!E23,tbSkills!DH3:DJ6,3,FALSE),0),0))/100)))),1),"")</f>
        <v>1</v>
      </c>
      <c r="FC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Z43)*FB43)*(VLOOKUP(A43,tbMoveset!A2:C112,3,FALSE)/100)*IF(VLOOKUP(A43,tbMoveset!A2:B112,2,FALSE)="Projectile",Backdoors!N10,Backdoors!N9),0),"")</f>
        <v/>
      </c>
      <c r="FD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Z43&gt;=0.45,VLOOKUP(Calculator!E23,tbSkills!DH3:DI6,2,FALSE)+IF(AND(Calculator!B8=TRUE,Backdoors!BI25=TRUE),VLOOKUP(Calculator!E23,tbSkills!DH3:DJ6,3,FALSE),0),0))&gt;=100,100,(Backdoors!AI12+IF(EZ43&gt;=0.45,VLOOKUP(Calculator!E23,tbSkills!DH3:DI6,2,FALSE)+IF(AND(Calculator!B8=TRUE,Backdoors!BI25=TRUE),VLOOKUP(Calculator!E23,tbSkills!DH3:DJ6,3,FALSE),0),0)))/100)),1))*IF(VLOOKUP(A43,tbMoveset!A2:K112,11,FALSE)=TRUE,Backdoors!AC5,1))*FA43,0),"")</f>
        <v>0</v>
      </c>
      <c r="FE43" s="49">
        <f>VLOOKUP(A43,tbMoveset!A2:G112,7,FALSE)*IFERROR(IF(Backdoors!AI12&gt;=0,1+(IF(Calculator!E40&gt;0,VLOOKUP(Calculator!E40,tbSkills!AI3:AJ5,2,FALSE),Backdoors!AL4)*(IF((Backdoors!AI12+IF(EZ43&gt;=0.45,VLOOKUP(Calculator!E23,tbSkills!DH3:DI6,2,FALSE)+IF(AND(Calculator!B8=TRUE,Backdoors!BI25=TRUE),VLOOKUP(Calculator!E23,tbSkills!DH3:DJ6,3,FALSE),0),0))&gt;=100,100,(Backdoors!AI12+IF(EZ43&gt;=0.45,VLOOKUP(Calculator!E23,tbSkills!DH3:DI6,2,FALSE)+IF(AND(Calculator!B8=TRUE,Backdoors!BI25=TRUE),VLOOKUP(Calculator!E23,tbSkills!DH3:DJ6,3,FALSE),0),0)))/100)),1),1)</f>
        <v>0.5</v>
      </c>
      <c r="FF43" s="87">
        <f t="shared" si="15"/>
        <v>0</v>
      </c>
      <c r="FG43" s="86" t="str">
        <f>IFERROR(IF(VLOOKUP(A43,tbMoveset!A2:B112,2,FALSE)="Sever",Backdoors!AY26/100,IF(VLOOKUP(A43,tbMoveset!A2:B112,2,FALSE)="Blunt",Backdoors!AZ26/100,Backdoors!BA26/100)),"")</f>
        <v/>
      </c>
      <c r="FH43" s="49">
        <f>IFERROR(IF(VLOOKUP(tbMoveset!A43,tbMoveset!A2:H112,8,FALSE)="Other",IF(VLOOKUP(tbMoveset!A43,tbMoveset!A2:I112,9,FALSE)="Fire",Backdoors!BB26,IF(VLOOKUP(tbMoveset!A43,tbMoveset!A2:I112,9,FALSE)="Water",Backdoors!BC26,IF(VLOOKUP(tbMoveset!A43,tbMoveset!A2:I112,9,FALSE)="Thunder",Backdoors!BD26,IF(VLOOKUP(tbMoveset!A43,tbMoveset!A2:I112,9,FALSE)="Ice",Backdoors!BE26,IF(VLOOKUP(tbMoveset!A43,tbMoveset!A2:I112,9,FALSE)="Dragon",Backdoors!BF26,Backdoors!BG26)))))/100,Backdoors!BG26/100),"")</f>
        <v>0</v>
      </c>
      <c r="FI43" s="49">
        <f>IFERROR(IF(VLOOKUP(A43,tbMoveset!A2:J112,10,FALSE)=TRUE,IF((Backdoors!AI12+IF(FG43&gt;=0.45,VLOOKUP(Calculator!E23,tbSkills!DH3:DI6,2,FALSE)+IF(AND(Calculator!B8=TRUE,Backdoors!BI26=TRUE),VLOOKUP(Calculator!E23,tbSkills!DH3:DJ6,3,FALSE),0),0))&gt;=0,1+(Backdoors!AL2*(IF((Backdoors!AI12+IF(FG43&gt;=0.45,VLOOKUP(Calculator!E23,tbSkills!DH3:DI6,2,FALSE)+IF(AND(Calculator!B8=TRUE,Backdoors!BI26=TRUE),VLOOKUP(Calculator!E23,tbSkills!DH3:DJ6,3,FALSE),0),0))&gt;=100,100,(Backdoors!AI12+IF(FG43&gt;=0.45,VLOOKUP(Calculator!E23,tbSkills!DH3:DI6,2,FALSE)+IF(AND(Calculator!B8=TRUE,Backdoors!BI26=TRUE),VLOOKUP(Calculator!E23,tbSkills!DH3:DJ6,3,FALSE),0),0)))/100)),(1-(0.25*((-Backdoors!AI12-IF(FG43&gt;=0.45,VLOOKUP(Calculator!E23,tbSkills!DH3:DI6,2,FALSE)+IF(AND(Calculator!B8=TRUE,Backdoors!BI26=TRUE),VLOOKUP(Calculator!E23,tbSkills!DH3:DJ6,3,FALSE),0),0))/100)))),1),"")</f>
        <v>1</v>
      </c>
      <c r="FJ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FG43)*FI43)*(VLOOKUP(A43,tbMoveset!A2:C112,3,FALSE)/100)*IF(VLOOKUP(A43,tbMoveset!A2:B112,2,FALSE)="Projectile",Backdoors!N10,Backdoors!N9),0),"")</f>
        <v/>
      </c>
      <c r="FK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FG43&gt;=0.45,VLOOKUP(Calculator!E23,tbSkills!DH3:DI6,2,FALSE)+IF(AND(Calculator!B8=TRUE,Backdoors!BI26=TRUE),VLOOKUP(Calculator!E23,tbSkills!DH3:DJ6,3,FALSE),0),0))&gt;=100,100,(Backdoors!AI12+IF(FG43&gt;=0.45,VLOOKUP(Calculator!E23,tbSkills!DH3:DI6,2,FALSE)+IF(AND(Calculator!B8=TRUE,Backdoors!BI26=TRUE),VLOOKUP(Calculator!E23,tbSkills!DH3:DJ6,3,FALSE),0),0)))/100)),1))*IF(VLOOKUP(A43,tbMoveset!A2:K112,11,FALSE)=TRUE,Backdoors!AC5,1))*FH43,0),"")</f>
        <v>0</v>
      </c>
      <c r="FL43" s="49">
        <f>VLOOKUP(A43,tbMoveset!A2:G112,7,FALSE)*IFERROR(IF(Backdoors!AI12&gt;=0,1+(IF(Calculator!E40&gt;0,VLOOKUP(Calculator!E40,tbSkills!AI3:AJ5,2,FALSE),Backdoors!AL4)*(IF((Backdoors!AI12+IF(FG43&gt;=0.45,VLOOKUP(Calculator!E23,tbSkills!DH3:DI6,2,FALSE)+IF(AND(Calculator!B8=TRUE,Backdoors!BI26=TRUE),VLOOKUP(Calculator!E23,tbSkills!DH3:DJ6,3,FALSE),0),0))&gt;=100,100,(Backdoors!AI12+IF(FG43&gt;=0.45,VLOOKUP(Calculator!E23,tbSkills!DH3:DI6,2,FALSE)+IF(AND(Calculator!B8=TRUE,Backdoors!BI26=TRUE),VLOOKUP(Calculator!E23,tbSkills!DH3:DJ6,3,FALSE),0),0)))/100)),1),1)</f>
        <v>0.5</v>
      </c>
      <c r="FM43" s="87">
        <f t="shared" si="16"/>
        <v>0</v>
      </c>
      <c r="FN43" s="86" t="str">
        <f>IFERROR(IF(VLOOKUP(A43,tbMoveset!A2:B112,2,FALSE)="Sever",Backdoors!AY27/100,IF(VLOOKUP(A43,tbMoveset!A2:B112,2,FALSE)="Blunt",Backdoors!AZ27/100,Backdoors!BA27/100)),"")</f>
        <v/>
      </c>
      <c r="FO43" s="49">
        <f>IFERROR(IF(VLOOKUP(tbMoveset!A43,tbMoveset!A2:H112,8,FALSE)="Other",IF(VLOOKUP(tbMoveset!A43,tbMoveset!A2:I112,9,FALSE)="Fire",Backdoors!BB27,IF(VLOOKUP(tbMoveset!A43,tbMoveset!A2:I112,9,FALSE)="Water",Backdoors!BC27,IF(VLOOKUP(tbMoveset!A43,tbMoveset!A2:I112,9,FALSE)="Thunder",Backdoors!BD27,IF(VLOOKUP(tbMoveset!A43,tbMoveset!A2:I112,9,FALSE)="Ice",Backdoors!BE27,IF(VLOOKUP(tbMoveset!A43,tbMoveset!A2:I112,9,FALSE)="Dragon",Backdoors!BF27,Backdoors!BG27)))))/100,Backdoors!BG27/100),"")</f>
        <v>0</v>
      </c>
      <c r="FP43" s="49">
        <f>IFERROR(IF(VLOOKUP(A43,tbMoveset!A2:J112,10,FALSE)=TRUE,IF((Backdoors!AI12+IF(FN43&gt;=0.45,VLOOKUP(Calculator!E23,tbSkills!DH3:DI6,2,FALSE)+IF(AND(Calculator!B8=TRUE,Backdoors!BI27=TRUE),VLOOKUP(Calculator!E23,tbSkills!DH3:DJ6,3,FALSE),0),0))&gt;=0,1+(Backdoors!AL2*(IF((Backdoors!AI12+IF(FN43&gt;=0.45,VLOOKUP(Calculator!E23,tbSkills!DH3:DI6,2,FALSE)+IF(AND(Calculator!B8=TRUE,Backdoors!BI27=TRUE),VLOOKUP(Calculator!E23,tbSkills!DH3:DJ6,3,FALSE),0),0))&gt;=100,100,(Backdoors!AI12+IF(FN43&gt;=0.45,VLOOKUP(Calculator!E23,tbSkills!DH3:DI6,2,FALSE)+IF(AND(Calculator!B8=TRUE,Backdoors!BI27=TRUE),VLOOKUP(Calculator!E23,tbSkills!DH3:DJ6,3,FALSE),0),0)))/100)),(1-(0.25*((-Backdoors!AI12-IF(FN43&gt;=0.45,VLOOKUP(Calculator!E23,tbSkills!DH3:DI6,2,FALSE)+IF(AND(Calculator!B8=TRUE,Backdoors!BI27=TRUE),VLOOKUP(Calculator!E23,tbSkills!DH3:DJ6,3,FALSE),0),0))/100)))),1),"")</f>
        <v>1</v>
      </c>
      <c r="FQ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FN43)*FP43)*(VLOOKUP(A43,tbMoveset!A2:C112,3,FALSE)/100)*IF(VLOOKUP(A43,tbMoveset!A2:B112,2,FALSE)="Projectile",Backdoors!N10,Backdoors!N9),0),"")</f>
        <v/>
      </c>
      <c r="FR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FN43&gt;=0.45,VLOOKUP(Calculator!E23,tbSkills!DH3:DI6,2,FALSE)+IF(AND(Calculator!B8=TRUE,Backdoors!BI27=TRUE),VLOOKUP(Calculator!E23,tbSkills!DH3:DJ6,3,FALSE),0),0))&gt;=100,100,(Backdoors!AI12+IF(FN43&gt;=0.45,VLOOKUP(Calculator!E23,tbSkills!DH3:DI6,2,FALSE)+IF(AND(Calculator!B8=TRUE,Backdoors!BI27=TRUE),VLOOKUP(Calculator!E23,tbSkills!DH3:DJ6,3,FALSE),0),0)))/100)),1))*IF(VLOOKUP(A43,tbMoveset!A2:K112,11,FALSE)=TRUE,Backdoors!AC5,1))*FO43,0),"")</f>
        <v>0</v>
      </c>
      <c r="FS43" s="49">
        <f>VLOOKUP(A43,tbMoveset!A2:G112,7,FALSE)*IFERROR(IF(Backdoors!AI12&gt;=0,1+(IF(Calculator!E40&gt;0,VLOOKUP(Calculator!E40,tbSkills!AI3:AJ5,2,FALSE),Backdoors!AL4)*(IF((Backdoors!AI12+IF(FN43&gt;=0.45,VLOOKUP(Calculator!E23,tbSkills!DH3:DI6,2,FALSE)+IF(AND(Calculator!B8=TRUE,Backdoors!BI27=TRUE),VLOOKUP(Calculator!E23,tbSkills!DH3:DJ6,3,FALSE),0),0))&gt;=100,100,(Backdoors!AI12+IF(FN43&gt;=0.45,VLOOKUP(Calculator!E23,tbSkills!DH3:DI6,2,FALSE)+IF(AND(Calculator!B8=TRUE,Backdoors!BI27=TRUE),VLOOKUP(Calculator!E23,tbSkills!DH3:DJ6,3,FALSE),0),0)))/100)),1),1)</f>
        <v>0.5</v>
      </c>
      <c r="FT43" s="87">
        <f t="shared" si="17"/>
        <v>0</v>
      </c>
      <c r="FU43" s="86" t="str">
        <f>IFERROR(IF(VLOOKUP(A43,tbMoveset!A2:B112,2,FALSE)="Sever",Backdoors!AY28/100,IF(VLOOKUP(A43,tbMoveset!A2:B112,2,FALSE)="Blunt",Backdoors!AZ28/100,Backdoors!BA28/100)),"")</f>
        <v/>
      </c>
      <c r="FV43" s="49">
        <f>IFERROR(IF(VLOOKUP(tbMoveset!A43,tbMoveset!A2:H112,8,FALSE)="Other",IF(VLOOKUP(tbMoveset!A43,tbMoveset!A2:I112,9,FALSE)="Fire",Backdoors!BB28,IF(VLOOKUP(tbMoveset!A43,tbMoveset!A2:I112,9,FALSE)="Water",Backdoors!BC28,IF(VLOOKUP(tbMoveset!A43,tbMoveset!A2:I112,9,FALSE)="Thunder",Backdoors!BD28,IF(VLOOKUP(tbMoveset!A43,tbMoveset!A2:I112,9,FALSE)="Ice",Backdoors!BE28,IF(VLOOKUP(tbMoveset!A43,tbMoveset!A2:I112,9,FALSE)="Dragon",Backdoors!BF28,Backdoors!BG28)))))/100,Backdoors!BG28/100),"")</f>
        <v>0</v>
      </c>
      <c r="FW43" s="49">
        <f>IFERROR(IF(VLOOKUP(A43,tbMoveset!A2:J112,10,FALSE)=TRUE,IF((Backdoors!AI12+IF(FU43&gt;=0.45,VLOOKUP(Calculator!E23,tbSkills!DH3:DI6,2,FALSE)+IF(AND(Calculator!B8=TRUE,Backdoors!BI28=TRUE),VLOOKUP(Calculator!E23,tbSkills!DH3:DJ6,3,FALSE),0),0))&gt;=0,1+(Backdoors!AL2*(IF((Backdoors!AI12+IF(FU43&gt;=0.45,VLOOKUP(Calculator!E23,tbSkills!DH3:DI6,2,FALSE)+IF(AND(Calculator!B8=TRUE,Backdoors!BI28=TRUE),VLOOKUP(Calculator!E23,tbSkills!DH3:DJ6,3,FALSE),0),0))&gt;=100,100,(Backdoors!AI12+IF(FU43&gt;=0.45,VLOOKUP(Calculator!E23,tbSkills!DH3:DI6,2,FALSE)+IF(AND(Calculator!B8=TRUE,Backdoors!BI28=TRUE),VLOOKUP(Calculator!E23,tbSkills!DH3:DJ6,3,FALSE),0),0)))/100)),(1-(0.25*((-Backdoors!AI12-IF(FU43&gt;=0.45,VLOOKUP(Calculator!E23,tbSkills!DH3:DI6,2,FALSE)+IF(AND(Calculator!B8=TRUE,Backdoors!BI28=TRUE),VLOOKUP(Calculator!E23,tbSkills!DH3:DJ6,3,FALSE),0),0))/100)))),1),"")</f>
        <v>1</v>
      </c>
      <c r="FX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FU43)*FW43)*(VLOOKUP(A43,tbMoveset!A2:C112,3,FALSE)/100)*IF(VLOOKUP(A43,tbMoveset!A2:B112,2,FALSE)="Projectile",Backdoors!N10,Backdoors!N9),0),"")</f>
        <v/>
      </c>
      <c r="FY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FU43&gt;=0.45,VLOOKUP(Calculator!E23,tbSkills!DH3:DI6,2,FALSE)+IF(AND(Calculator!B8=TRUE,Backdoors!BI28=TRUE),VLOOKUP(Calculator!E23,tbSkills!DH3:DJ6,3,FALSE),0),0))&gt;=100,100,(Backdoors!AI12+IF(FU43&gt;=0.45,VLOOKUP(Calculator!E23,tbSkills!DH3:DI6,2,FALSE)+IF(AND(Calculator!B8=TRUE,Backdoors!BI28=TRUE),VLOOKUP(Calculator!E23,tbSkills!DH3:DJ6,3,FALSE),0),0)))/100)),1))*IF(VLOOKUP(A43,tbMoveset!A2:K112,11,FALSE)=TRUE,Backdoors!AC5,1))*FV43,0),"")</f>
        <v>0</v>
      </c>
      <c r="FZ43" s="49">
        <f>VLOOKUP(A43,tbMoveset!A2:G112,7,FALSE)*IFERROR(IF(Backdoors!AI12&gt;=0,1+(IF(Calculator!E40&gt;0,VLOOKUP(Calculator!E40,tbSkills!AI3:AJ5,2,FALSE),Backdoors!AL4)*(IF((Backdoors!AI12+IF(FU43&gt;=0.45,VLOOKUP(Calculator!E23,tbSkills!DH3:DI6,2,FALSE)+IF(AND(Calculator!B8=TRUE,Backdoors!BI28=TRUE),VLOOKUP(Calculator!E23,tbSkills!DH3:DJ6,3,FALSE),0),0))&gt;=100,100,(Backdoors!AI12+IF(FU43&gt;=0.45,VLOOKUP(Calculator!E23,tbSkills!DH3:DI6,2,FALSE)+IF(AND(Calculator!B8=TRUE,Backdoors!BI28=TRUE),VLOOKUP(Calculator!E23,tbSkills!DH3:DJ6,3,FALSE),0),0)))/100)),1),1)</f>
        <v>0.5</v>
      </c>
      <c r="GA43" s="87">
        <f t="shared" si="18"/>
        <v>0</v>
      </c>
      <c r="GB43" s="86" t="str">
        <f>IFERROR(IF(VLOOKUP(A43,tbMoveset!A2:B112,2,FALSE)="Sever",Backdoors!AY29/100,IF(VLOOKUP(A43,tbMoveset!A2:B112,2,FALSE)="Blunt",Backdoors!AZ29/100,Backdoors!BA29/100)),"")</f>
        <v/>
      </c>
      <c r="GC43" s="49">
        <f>IFERROR(IF(VLOOKUP(tbMoveset!A43,tbMoveset!A2:H112,8,FALSE)="Other",IF(VLOOKUP(tbMoveset!A43,tbMoveset!A2:I112,9,FALSE)="Fire",Backdoors!BB29,IF(VLOOKUP(tbMoveset!A43,tbMoveset!A2:I112,9,FALSE)="Water",Backdoors!BC29,IF(VLOOKUP(tbMoveset!A43,tbMoveset!A2:I112,9,FALSE)="Thunder",Backdoors!BD29,IF(VLOOKUP(tbMoveset!A43,tbMoveset!A2:I112,9,FALSE)="Ice",Backdoors!BE29,IF(VLOOKUP(tbMoveset!A43,tbMoveset!A2:I112,9,FALSE)="Dragon",Backdoors!BF29,Backdoors!BG29)))))/100,Backdoors!BG29/100),"")</f>
        <v>0</v>
      </c>
      <c r="GD43" s="49">
        <f>IFERROR(IF(VLOOKUP(A43,tbMoveset!A2:J112,10,FALSE)=TRUE,IF((Backdoors!AI12+IF(GB43&gt;=0.45,VLOOKUP(Calculator!E23,tbSkills!DH3:DI6,2,FALSE)+IF(AND(Calculator!B8=TRUE,Backdoors!BI29=TRUE),VLOOKUP(Calculator!E23,tbSkills!DH3:DJ6,3,FALSE),0),0))&gt;=0,1+(Backdoors!AL2*(IF((Backdoors!AI12+IF(GB43&gt;=0.45,VLOOKUP(Calculator!E23,tbSkills!DH3:DI6,2,FALSE)+IF(AND(Calculator!B8=TRUE,Backdoors!BI29=TRUE),VLOOKUP(Calculator!E23,tbSkills!DH3:DJ6,3,FALSE),0),0))&gt;=100,100,(Backdoors!AI12+IF(GB43&gt;=0.45,VLOOKUP(Calculator!E23,tbSkills!DH3:DI6,2,FALSE)+IF(AND(Calculator!B8=TRUE,Backdoors!BI29=TRUE),VLOOKUP(Calculator!E23,tbSkills!DH3:DJ6,3,FALSE),0),0)))/100)),(1-(0.25*((-Backdoors!AI12-IF(GB43&gt;=0.45,VLOOKUP(Calculator!E23,tbSkills!DH3:DI6,2,FALSE)+IF(AND(Calculator!B8=TRUE,Backdoors!BI29=TRUE),VLOOKUP(Calculator!E23,tbSkills!DH3:DJ6,3,FALSE),0),0))/100)))),1),"")</f>
        <v>1</v>
      </c>
      <c r="GE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B43)*GD43)*(VLOOKUP(A43,tbMoveset!A2:C112,3,FALSE)/100)*IF(VLOOKUP(A43,tbMoveset!A2:B112,2,FALSE)="Projectile",Backdoors!N10,Backdoors!N9),0),"")</f>
        <v/>
      </c>
      <c r="GF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B43&gt;=0.45,VLOOKUP(Calculator!E23,tbSkills!DH3:DI6,2,FALSE)+IF(AND(Calculator!B8=TRUE,Backdoors!BI29=TRUE),VLOOKUP(Calculator!E23,tbSkills!DH3:DJ6,3,FALSE),0),0))&gt;=100,100,(Backdoors!AI12+IF(GB43&gt;=0.45,VLOOKUP(Calculator!E23,tbSkills!DH3:DI6,2,FALSE)+IF(AND(Calculator!B8=TRUE,Backdoors!BI29=TRUE),VLOOKUP(Calculator!E23,tbSkills!DH3:DJ6,3,FALSE),0),0)))/100)),1))*IF(VLOOKUP(A43,tbMoveset!A2:K112,11,FALSE)=TRUE,Backdoors!AC5,1))*GC43,0),"")</f>
        <v>0</v>
      </c>
      <c r="GG43" s="49">
        <f>VLOOKUP(A43,tbMoveset!A2:G112,7,FALSE)*IFERROR(IF(Backdoors!AI12&gt;=0,1+(IF(Calculator!E40&gt;0,VLOOKUP(Calculator!E40,tbSkills!AI3:AJ5,2,FALSE),Backdoors!AL4)*(IF((Backdoors!AI12+IF(GB43&gt;=0.45,VLOOKUP(Calculator!E23,tbSkills!DH3:DI6,2,FALSE)+IF(AND(Calculator!B8=TRUE,Backdoors!BI29=TRUE),VLOOKUP(Calculator!E23,tbSkills!DH3:DJ6,3,FALSE),0),0))&gt;=100,100,(Backdoors!AI12+IF(GB43&gt;=0.45,VLOOKUP(Calculator!E23,tbSkills!DH3:DI6,2,FALSE)+IF(AND(Calculator!B8=TRUE,Backdoors!BI29=TRUE),VLOOKUP(Calculator!E23,tbSkills!DH3:DJ6,3,FALSE),0),0)))/100)),1),1)</f>
        <v>0.5</v>
      </c>
      <c r="GH43" s="87">
        <f t="shared" si="19"/>
        <v>0</v>
      </c>
      <c r="GI43" s="86" t="str">
        <f>IFERROR(IF(VLOOKUP(A43,tbMoveset!A2:B112,2,FALSE)="Sever",Backdoors!AY30/100,IF(VLOOKUP(A43,tbMoveset!A2:B112,2,FALSE)="Blunt",Backdoors!AZ30/100,Backdoors!BA30/100)),"")</f>
        <v/>
      </c>
      <c r="GJ43" s="49">
        <f>IFERROR(IF(VLOOKUP(tbMoveset!A43,tbMoveset!A2:H112,8,FALSE)="Other",IF(VLOOKUP(tbMoveset!A43,tbMoveset!A2:I112,9,FALSE)="Fire",Backdoors!BB30,IF(VLOOKUP(tbMoveset!A43,tbMoveset!A2:I112,9,FALSE)="Water",Backdoors!BC30,IF(VLOOKUP(tbMoveset!A43,tbMoveset!A2:I112,9,FALSE)="Thunder",Backdoors!BD30,IF(VLOOKUP(tbMoveset!A43,tbMoveset!A2:I112,9,FALSE)="Ice",Backdoors!BE30,IF(VLOOKUP(tbMoveset!A43,tbMoveset!A2:I112,9,FALSE)="Dragon",Backdoors!BF30,Backdoors!BG30)))))/100,Backdoors!BG30/100),"")</f>
        <v>0</v>
      </c>
      <c r="GK43" s="49">
        <f>IFERROR(IF(VLOOKUP(A43,tbMoveset!A2:J112,10,FALSE)=TRUE,IF((Backdoors!AI12+IF(GI43&gt;=0.45,VLOOKUP(Calculator!E23,tbSkills!DH3:DI6,2,FALSE)+IF(AND(Calculator!B8=TRUE,Backdoors!BI30=TRUE),VLOOKUP(Calculator!E23,tbSkills!DH3:DJ6,3,FALSE),0),0))&gt;=0,1+(Backdoors!AL2*(IF((Backdoors!AI12+IF(GI43&gt;=0.45,VLOOKUP(Calculator!E23,tbSkills!DH3:DI6,2,FALSE)+IF(AND(Calculator!B8=TRUE,Backdoors!BI30=TRUE),VLOOKUP(Calculator!E23,tbSkills!DH3:DJ6,3,FALSE),0),0))&gt;=100,100,(Backdoors!AI12+IF(GI43&gt;=0.45,VLOOKUP(Calculator!E23,tbSkills!DH3:DI6,2,FALSE)+IF(AND(Calculator!B8=TRUE,Backdoors!BI30=TRUE),VLOOKUP(Calculator!E23,tbSkills!DH3:DJ6,3,FALSE),0),0)))/100)),(1-(0.25*((-Backdoors!AI12-IF(GI43&gt;=0.45,VLOOKUP(Calculator!E23,tbSkills!DH3:DI6,2,FALSE)+IF(AND(Calculator!B8=TRUE,Backdoors!BI30=TRUE),VLOOKUP(Calculator!E23,tbSkills!DH3:DJ6,3,FALSE),0),0))/100)))),1),"")</f>
        <v>1</v>
      </c>
      <c r="GL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I43)*GK43)*(VLOOKUP(A43,tbMoveset!A2:C112,3,FALSE)/100)*IF(VLOOKUP(A43,tbMoveset!A2:B112,2,FALSE)="Projectile",Backdoors!N10,Backdoors!N9),0),"")</f>
        <v/>
      </c>
      <c r="GM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I43&gt;=0.45,VLOOKUP(Calculator!E23,tbSkills!DH3:DI6,2,FALSE)+IF(AND(Calculator!B8=TRUE,Backdoors!BI30=TRUE),VLOOKUP(Calculator!E23,tbSkills!DH3:DJ6,3,FALSE),0),0))&gt;=100,100,(Backdoors!AI12+IF(GI43&gt;=0.45,VLOOKUP(Calculator!E23,tbSkills!DH3:DI6,2,FALSE)+IF(AND(Calculator!B8=TRUE,Backdoors!BI30=TRUE),VLOOKUP(Calculator!E23,tbSkills!DH3:DJ6,3,FALSE),0),0)))/100)),1))*IF(VLOOKUP(A43,tbMoveset!A2:K112,11,FALSE)=TRUE,Backdoors!AC5,1))*GJ43,0),"")</f>
        <v>0</v>
      </c>
      <c r="GN43" s="49">
        <f>VLOOKUP(A43,tbMoveset!A2:G112,7,FALSE)*IFERROR(IF(Backdoors!AI12&gt;=0,1+(IF(Calculator!E40&gt;0,VLOOKUP(Calculator!E40,tbSkills!AI3:AJ5,2,FALSE),Backdoors!AL4)*(IF((Backdoors!AI12+IF(GI43&gt;=0.45,VLOOKUP(Calculator!E23,tbSkills!DH3:DI6,2,FALSE)+IF(AND(Calculator!B8=TRUE,Backdoors!BI30=TRUE),VLOOKUP(Calculator!E23,tbSkills!DH3:DJ6,3,FALSE),0),0))&gt;=100,100,(Backdoors!AI12+IF(GI43&gt;=0.45,VLOOKUP(Calculator!E23,tbSkills!DH3:DI6,2,FALSE)+IF(AND(Calculator!B8=TRUE,Backdoors!BI30=TRUE),VLOOKUP(Calculator!E23,tbSkills!DH3:DJ6,3,FALSE),0),0)))/100)),1),1)</f>
        <v>0.5</v>
      </c>
      <c r="GO43" s="87">
        <f t="shared" si="20"/>
        <v>0</v>
      </c>
      <c r="GP43" s="86" t="str">
        <f>IFERROR(IF(VLOOKUP(A43,tbMoveset!A2:B112,2,FALSE)="Sever",Backdoors!AY31/100,IF(VLOOKUP(A43,tbMoveset!A2:B112,2,FALSE)="Blunt",Backdoors!AZ31/100,Backdoors!BA31/100)),"")</f>
        <v/>
      </c>
      <c r="GQ43" s="49">
        <f>IFERROR(IF(VLOOKUP(tbMoveset!A43,tbMoveset!A2:H112,8,FALSE)="Other",IF(VLOOKUP(tbMoveset!A43,tbMoveset!A2:I112,9,FALSE)="Fire",Backdoors!BB31,IF(VLOOKUP(tbMoveset!A43,tbMoveset!A2:I112,9,FALSE)="Water",Backdoors!BC31,IF(VLOOKUP(tbMoveset!A43,tbMoveset!A2:I112,9,FALSE)="Thunder",Backdoors!BD31,IF(VLOOKUP(tbMoveset!A43,tbMoveset!A2:I112,9,FALSE)="Ice",Backdoors!BE31,IF(VLOOKUP(tbMoveset!A43,tbMoveset!A2:I112,9,FALSE)="Dragon",Backdoors!BF31,Backdoors!BG31)))))/100,Backdoors!BG31/100),"")</f>
        <v>0</v>
      </c>
      <c r="GR43" s="49">
        <f>IFERROR(IF(VLOOKUP(A43,tbMoveset!A2:J112,10,FALSE)=TRUE,IF((Backdoors!AI12+IF(GP43&gt;=0.45,VLOOKUP(Calculator!E23,tbSkills!DH3:DI6,2,FALSE)+IF(AND(Calculator!B8=TRUE,Backdoors!BI31=TRUE),VLOOKUP(Calculator!E23,tbSkills!DH3:DJ6,3,FALSE),0),0))&gt;=0,1+(Backdoors!AL2*(IF((Backdoors!AI12+IF(GP43&gt;=0.45,VLOOKUP(Calculator!E23,tbSkills!DH3:DI6,2,FALSE)+IF(AND(Calculator!B8=TRUE,Backdoors!BI31=TRUE),VLOOKUP(Calculator!E23,tbSkills!DH3:DJ6,3,FALSE),0),0))&gt;=100,100,(Backdoors!AI12+IF(GP43&gt;=0.45,VLOOKUP(Calculator!E23,tbSkills!DH3:DI6,2,FALSE)+IF(AND(Calculator!B8=TRUE,Backdoors!BI31=TRUE),VLOOKUP(Calculator!E23,tbSkills!DH3:DJ6,3,FALSE),0),0)))/100)),(1-(0.25*((-Backdoors!AI12-IF(GP43&gt;=0.45,VLOOKUP(Calculator!E23,tbSkills!DH3:DI6,2,FALSE)+IF(AND(Calculator!B8=TRUE,Backdoors!BI31=TRUE),VLOOKUP(Calculator!E23,tbSkills!DH3:DJ6,3,FALSE),0),0))/100)))),1),"")</f>
        <v>1</v>
      </c>
      <c r="GS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P43)*GR43)*(VLOOKUP(A43,tbMoveset!A2:C112,3,FALSE)/100)*IF(VLOOKUP(A43,tbMoveset!A2:B112,2,FALSE)="Projectile",Backdoors!N10,Backdoors!N9),0),"")</f>
        <v/>
      </c>
      <c r="GT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P43&gt;=0.45,VLOOKUP(Calculator!E23,tbSkills!DH3:DI6,2,FALSE)+IF(AND(Calculator!B8=TRUE,Backdoors!BI31=TRUE),VLOOKUP(Calculator!E23,tbSkills!DH3:DJ6,3,FALSE),0),0))&gt;=100,100,(Backdoors!AI12+IF(GP43&gt;=0.45,VLOOKUP(Calculator!E23,tbSkills!DH3:DI6,2,FALSE)+IF(AND(Calculator!B8=TRUE,Backdoors!BI31=TRUE),VLOOKUP(Calculator!E23,tbSkills!DH3:DJ6,3,FALSE),0),0)))/100)),1))*IF(VLOOKUP(A43,tbMoveset!A2:K112,11,FALSE)=TRUE,Backdoors!AC5,1))*GQ43,0),"")</f>
        <v>0</v>
      </c>
      <c r="GU43" s="49">
        <f>VLOOKUP(A43,tbMoveset!A2:G112,7,FALSE)*IFERROR(IF(Backdoors!AI12&gt;=0,1+(IF(Calculator!E40&gt;0,VLOOKUP(Calculator!E40,tbSkills!AI3:AJ5,2,FALSE),Backdoors!AL4)*(IF((Backdoors!AI12+IF(GP43&gt;=0.45,VLOOKUP(Calculator!E23,tbSkills!DH3:DI6,2,FALSE)+IF(AND(Calculator!B8=TRUE,Backdoors!BI31=TRUE),VLOOKUP(Calculator!E23,tbSkills!DH3:DJ6,3,FALSE),0),0))&gt;=100,100,(Backdoors!AI12+IF(GP43&gt;=0.45,VLOOKUP(Calculator!E23,tbSkills!DH3:DI6,2,FALSE)+IF(AND(Calculator!B8=TRUE,Backdoors!BI31=TRUE),VLOOKUP(Calculator!E23,tbSkills!DH3:DJ6,3,FALSE),0),0)))/100)),1),1)</f>
        <v>0.5</v>
      </c>
      <c r="GV43" s="87">
        <f t="shared" si="21"/>
        <v>0</v>
      </c>
      <c r="GW43" s="86" t="str">
        <f>IFERROR(IF(VLOOKUP(A43,tbMoveset!A2:B112,2,FALSE)="Sever",Backdoors!AY32/100,IF(VLOOKUP(A43,tbMoveset!A2:B112,2,FALSE)="Blunt",Backdoors!AZ32/100,Backdoors!BA32/100)),"")</f>
        <v/>
      </c>
      <c r="GX43" s="49">
        <f>IFERROR(IF(VLOOKUP(tbMoveset!A43,tbMoveset!A2:H112,8,FALSE)="Other",IF(VLOOKUP(tbMoveset!A43,tbMoveset!A2:I112,9,FALSE)="Fire",Backdoors!BB32,IF(VLOOKUP(tbMoveset!A43,tbMoveset!A2:I112,9,FALSE)="Water",Backdoors!BC32,IF(VLOOKUP(tbMoveset!A43,tbMoveset!A2:I112,9,FALSE)="Thunder",Backdoors!BD32,IF(VLOOKUP(tbMoveset!A43,tbMoveset!A2:I112,9,FALSE)="Ice",Backdoors!BE32,IF(VLOOKUP(tbMoveset!A43,tbMoveset!A2:I112,9,FALSE)="Dragon",Backdoors!BF32,Backdoors!BG32)))))/100,Backdoors!BG32/100),"")</f>
        <v>0</v>
      </c>
      <c r="GY43" s="49">
        <f>IFERROR(IF(VLOOKUP(A43,tbMoveset!A2:J112,10,FALSE)=TRUE,IF((Backdoors!AI12+IF(GW43&gt;=0.45,VLOOKUP(Calculator!E23,tbSkills!DH3:DI6,2,FALSE)+IF(AND(Calculator!B8=TRUE,Backdoors!BI32=TRUE),VLOOKUP(Calculator!E23,tbSkills!DH3:DJ6,3,FALSE),0),0))&gt;=0,1+(Backdoors!AL2*(IF((Backdoors!AI12+IF(GW43&gt;=0.45,VLOOKUP(Calculator!E23,tbSkills!DH3:DI6,2,FALSE)+IF(AND(Calculator!B8=TRUE,Backdoors!BI32=TRUE),VLOOKUP(Calculator!E23,tbSkills!DH3:DJ6,3,FALSE),0),0))&gt;=100,100,(Backdoors!AI12+IF(GW43&gt;=0.45,VLOOKUP(Calculator!E23,tbSkills!DH3:DI6,2,FALSE)+IF(AND(Calculator!B8=TRUE,Backdoors!BI32=TRUE),VLOOKUP(Calculator!E23,tbSkills!DH3:DJ6,3,FALSE),0),0)))/100)),(1-(0.25*((-Backdoors!AI12-IF(GW43&gt;=0.45,VLOOKUP(Calculator!E23,tbSkills!DH3:DI6,2,FALSE)+IF(AND(Calculator!B8=TRUE,Backdoors!BI32=TRUE),VLOOKUP(Calculator!E23,tbSkills!DH3:DJ6,3,FALSE),0),0))/100)))),1),"")</f>
        <v>1</v>
      </c>
      <c r="GZ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W43)*GY43)*(VLOOKUP(A43,tbMoveset!A2:C112,3,FALSE)/100)*IF(VLOOKUP(A43,tbMoveset!A2:B112,2,FALSE)="Projectile",Backdoors!N10,Backdoors!N9),0),"")</f>
        <v/>
      </c>
      <c r="HA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W43&gt;=0.45,VLOOKUP(Calculator!E23,tbSkills!DH3:DI6,2,FALSE)+IF(AND(Calculator!B8=TRUE,Backdoors!BI32=TRUE),VLOOKUP(Calculator!E23,tbSkills!DH3:DJ6,3,FALSE),0),0))&gt;=100,100,(Backdoors!AI12+IF(GW43&gt;=0.45,VLOOKUP(Calculator!E23,tbSkills!DH3:DI6,2,FALSE)+IF(AND(Calculator!B8=TRUE,Backdoors!BI32=TRUE),VLOOKUP(Calculator!E23,tbSkills!DH3:DJ6,3,FALSE),0),0)))/100)),1))*IF(VLOOKUP(A43,tbMoveset!A2:K112,11,FALSE)=TRUE,Backdoors!AC5,1))*GX43,0),"")</f>
        <v>0</v>
      </c>
      <c r="HB43" s="49">
        <f>VLOOKUP(A43,tbMoveset!A2:G112,7,FALSE)*IFERROR(IF(Backdoors!AI12&gt;=0,1+(IF(Calculator!E40&gt;0,VLOOKUP(Calculator!E40,tbSkills!AI3:AJ5,2,FALSE),Backdoors!AL4)*(IF((Backdoors!AI12+IF(GW43&gt;=0.45,VLOOKUP(Calculator!E23,tbSkills!DH3:DI6,2,FALSE)+IF(AND(Calculator!B8=TRUE,Backdoors!BI32=TRUE),VLOOKUP(Calculator!E23,tbSkills!DH3:DJ6,3,FALSE),0),0))&gt;=100,100,(Backdoors!AI12+IF(GW43&gt;=0.45,VLOOKUP(Calculator!E23,tbSkills!DH3:DI6,2,FALSE)+IF(AND(Calculator!B8=TRUE,Backdoors!BI32=TRUE),VLOOKUP(Calculator!E23,tbSkills!DH3:DJ6,3,FALSE),0),0)))/100)),1),1)</f>
        <v>0.5</v>
      </c>
      <c r="HC43" s="87">
        <f t="shared" si="22"/>
        <v>0</v>
      </c>
      <c r="HD43" s="86" t="str">
        <f>IFERROR(IF(VLOOKUP(A43,tbMoveset!A2:B112,2,FALSE)="Sever",Backdoors!AY33/100,IF(VLOOKUP(A43,tbMoveset!A2:B112,2,FALSE)="Blunt",Backdoors!AZ33/100,Backdoors!BA33/100)),"")</f>
        <v/>
      </c>
      <c r="HE43" s="49">
        <f>IFERROR(IF(VLOOKUP(tbMoveset!A43,tbMoveset!A2:H112,8,FALSE)="Other",IF(VLOOKUP(tbMoveset!A43,tbMoveset!A2:I112,9,FALSE)="Fire",Backdoors!BB33,IF(VLOOKUP(tbMoveset!A43,tbMoveset!A2:I112,9,FALSE)="Water",Backdoors!BC33,IF(VLOOKUP(tbMoveset!A43,tbMoveset!A2:I112,9,FALSE)="Thunder",Backdoors!BD33,IF(VLOOKUP(tbMoveset!A43,tbMoveset!A2:I112,9,FALSE)="Ice",Backdoors!BE33,IF(VLOOKUP(tbMoveset!A43,tbMoveset!A2:I112,9,FALSE)="Dragon",Backdoors!BF33,Backdoors!BG33)))))/100,Backdoors!BG33/100),"")</f>
        <v>0</v>
      </c>
      <c r="HF43" s="49">
        <f>IFERROR(IF(VLOOKUP(A43,tbMoveset!A2:J112,10,FALSE)=TRUE,IF((Backdoors!AI12+IF(HD43&gt;=0.45,VLOOKUP(Calculator!E23,tbSkills!DH3:DI6,2,FALSE)+IF(AND(Calculator!B8=TRUE,Backdoors!BI33=TRUE),VLOOKUP(Calculator!E23,tbSkills!DH3:DJ6,3,FALSE),0),0))&gt;=0,1+(Backdoors!AL2*(IF((Backdoors!AI12+IF(HD43&gt;=0.45,VLOOKUP(Calculator!E23,tbSkills!DH3:DI6,2,FALSE)+IF(AND(Calculator!B8=TRUE,Backdoors!BI33=TRUE),VLOOKUP(Calculator!E23,tbSkills!DH3:DJ6,3,FALSE),0),0))&gt;=100,100,(Backdoors!AI12+IF(HD43&gt;=0.45,VLOOKUP(Calculator!E23,tbSkills!DH3:DI6,2,FALSE)+IF(AND(Calculator!B8=TRUE,Backdoors!BI33=TRUE),VLOOKUP(Calculator!E23,tbSkills!DH3:DJ6,3,FALSE),0),0)))/100)),(1-(0.25*((-Backdoors!AI12-IF(HD43&gt;=0.45,VLOOKUP(Calculator!E23,tbSkills!DH3:DI6,2,FALSE)+IF(AND(Calculator!B8=TRUE,Backdoors!BI33=TRUE),VLOOKUP(Calculator!E23,tbSkills!DH3:DJ6,3,FALSE),0),0))/100)))),1),"")</f>
        <v>1</v>
      </c>
      <c r="HG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D43)*HF43)*(VLOOKUP(A43,tbMoveset!A2:C112,3,FALSE)/100)*IF(VLOOKUP(A43,tbMoveset!A2:B112,2,FALSE)="Projectile",Backdoors!N10,Backdoors!N9),0),"")</f>
        <v/>
      </c>
      <c r="HH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D43&gt;=0.45,VLOOKUP(Calculator!E23,tbSkills!DH3:DI6,2,FALSE)+IF(AND(Calculator!B8=TRUE,Backdoors!BI33=TRUE),VLOOKUP(Calculator!E23,tbSkills!DH3:DJ6,3,FALSE),0),0))&gt;=100,100,(Backdoors!AI12+IF(HD43&gt;=0.45,VLOOKUP(Calculator!E23,tbSkills!DH3:DI6,2,FALSE)+IF(AND(Calculator!B8=TRUE,Backdoors!BI33=TRUE),VLOOKUP(Calculator!E23,tbSkills!DH3:DJ6,3,FALSE),0),0)))/100)),1))*IF(VLOOKUP(A43,tbMoveset!A2:K112,11,FALSE)=TRUE,Backdoors!AC5,1))*HE43,0),"")</f>
        <v>0</v>
      </c>
      <c r="HI43" s="49">
        <f>VLOOKUP(A43,tbMoveset!A2:G112,7,FALSE)*IFERROR(IF(Backdoors!AI12&gt;=0,1+(IF(Calculator!E40&gt;0,VLOOKUP(Calculator!E40,tbSkills!AI3:AJ5,2,FALSE),Backdoors!AL4)*(IF((Backdoors!AI12+IF(HD43&gt;=0.45,VLOOKUP(Calculator!E23,tbSkills!DH3:DI6,2,FALSE)+IF(AND(Calculator!B8=TRUE,Backdoors!BI33=TRUE),VLOOKUP(Calculator!E23,tbSkills!DH3:DJ6,3,FALSE),0),0))&gt;=100,100,(Backdoors!AI12+IF(HD43&gt;=0.45,VLOOKUP(Calculator!E23,tbSkills!DH3:DI6,2,FALSE)+IF(AND(Calculator!B8=TRUE,Backdoors!BI33=TRUE),VLOOKUP(Calculator!E23,tbSkills!DH3:DJ6,3,FALSE),0),0)))/100)),1),1)</f>
        <v>0.5</v>
      </c>
      <c r="HJ43" s="87">
        <f t="shared" si="23"/>
        <v>0</v>
      </c>
      <c r="HK43" s="86" t="str">
        <f>IFERROR(IF(VLOOKUP(A43,tbMoveset!A2:B112,2,FALSE)="Sever",Backdoors!AY34/100,IF(VLOOKUP(A43,tbMoveset!A2:B112,2,FALSE)="Blunt",Backdoors!AZ34/100,Backdoors!BA34/100)),"")</f>
        <v/>
      </c>
      <c r="HL43" s="49">
        <f>IFERROR(IF(VLOOKUP(tbMoveset!A43,tbMoveset!A2:H112,8,FALSE)="Other",IF(VLOOKUP(tbMoveset!A43,tbMoveset!A2:I112,9,FALSE)="Fire",Backdoors!BB34,IF(VLOOKUP(tbMoveset!A43,tbMoveset!A2:I112,9,FALSE)="Water",Backdoors!BC34,IF(VLOOKUP(tbMoveset!A43,tbMoveset!A2:I112,9,FALSE)="Thunder",Backdoors!BD34,IF(VLOOKUP(tbMoveset!A43,tbMoveset!A2:I112,9,FALSE)="Ice",Backdoors!BE34,IF(VLOOKUP(tbMoveset!A43,tbMoveset!A2:I112,9,FALSE)="Dragon",Backdoors!BF34,Backdoors!BG34)))))/100,Backdoors!BG34/100),"")</f>
        <v>0</v>
      </c>
      <c r="HM43" s="49">
        <f>IFERROR(IF(VLOOKUP(A43,tbMoveset!A2:J112,10,FALSE)=TRUE,IF((Backdoors!AI12+IF(HK43&gt;=0.45,VLOOKUP(Calculator!E23,tbSkills!DH3:DI6,2,FALSE)+IF(AND(Calculator!B8=TRUE,Backdoors!BI34=TRUE),VLOOKUP(Calculator!E23,tbSkills!DH3:DJ6,3,FALSE),0),0))&gt;=0,1+(Backdoors!AL2*(IF((Backdoors!AI12+IF(HK43&gt;=0.45,VLOOKUP(Calculator!E23,tbSkills!DH3:DI6,2,FALSE)+IF(AND(Calculator!B8=TRUE,Backdoors!BI34=TRUE),VLOOKUP(Calculator!E23,tbSkills!DH3:DJ6,3,FALSE),0),0))&gt;=100,100,(Backdoors!AI12+IF(HK43&gt;=0.45,VLOOKUP(Calculator!E23,tbSkills!DH3:DI6,2,FALSE)+IF(AND(Calculator!B8=TRUE,Backdoors!BI34=TRUE),VLOOKUP(Calculator!E23,tbSkills!DH3:DJ6,3,FALSE),0),0)))/100)),(1-(0.25*((-Backdoors!AI12-IF(HK43&gt;=0.45,VLOOKUP(Calculator!E23,tbSkills!DH3:DI6,2,FALSE)+IF(AND(Calculator!B8=TRUE,Backdoors!BI34=TRUE),VLOOKUP(Calculator!E23,tbSkills!DH3:DJ6,3,FALSE),0),0))/100)))),1),"")</f>
        <v>1</v>
      </c>
      <c r="HN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K43)*HM43)*(VLOOKUP(A43,tbMoveset!A2:C112,3,FALSE)/100)*IF(VLOOKUP(A43,tbMoveset!A2:B112,2,FALSE)="Projectile",Backdoors!N10,Backdoors!N9),0),"")</f>
        <v/>
      </c>
      <c r="HO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K43&gt;=0.45,VLOOKUP(Calculator!E23,tbSkills!DH3:DI6,2,FALSE)+IF(AND(Calculator!B8=TRUE,Backdoors!BI34=TRUE),VLOOKUP(Calculator!E23,tbSkills!DH3:DJ6,3,FALSE),0),0))&gt;=100,100,(Backdoors!AI12+IF(HK43&gt;=0.45,VLOOKUP(Calculator!E23,tbSkills!DH3:DI6,2,FALSE)+IF(AND(Calculator!B8=TRUE,Backdoors!BI34=TRUE),VLOOKUP(Calculator!E23,tbSkills!DH3:DJ6,3,FALSE),0),0)))/100)),1))*IF(VLOOKUP(A43,tbMoveset!A2:K112,11,FALSE)=TRUE,Backdoors!AC5,1))*HL43,0),"")</f>
        <v>0</v>
      </c>
      <c r="HP43" s="49">
        <f>VLOOKUP(A43,tbMoveset!A2:G112,7,FALSE)*IFERROR(IF(Backdoors!AI12&gt;=0,1+(IF(Calculator!E40&gt;0,VLOOKUP(Calculator!E40,tbSkills!AI3:AJ5,2,FALSE),Backdoors!AL4)*(IF((Backdoors!AI12+IF(HK43&gt;=0.45,VLOOKUP(Calculator!E23,tbSkills!DH3:DI6,2,FALSE)+IF(AND(Calculator!B8=TRUE,Backdoors!BI34=TRUE),VLOOKUP(Calculator!E23,tbSkills!DH3:DJ6,3,FALSE),0),0))&gt;=100,100,(Backdoors!AI12+IF(HK43&gt;=0.45,VLOOKUP(Calculator!E23,tbSkills!DH3:DI6,2,FALSE)+IF(AND(Calculator!B8=TRUE,Backdoors!BI34=TRUE),VLOOKUP(Calculator!E23,tbSkills!DH3:DJ6,3,FALSE),0),0)))/100)),1),1)</f>
        <v>0.5</v>
      </c>
      <c r="HQ43" s="87">
        <f t="shared" si="24"/>
        <v>0</v>
      </c>
      <c r="HR43" s="86" t="str">
        <f>IFERROR(IF(VLOOKUP(A43,tbMoveset!A2:B112,2,FALSE)="Sever",Backdoors!AY35/100,IF(VLOOKUP(A43,tbMoveset!A2:B112,2,FALSE)="Blunt",Backdoors!AZ35/100,Backdoors!BA35/100)),"")</f>
        <v/>
      </c>
      <c r="HS43" s="49">
        <f>IFERROR(IF(VLOOKUP(tbMoveset!A43,tbMoveset!A2:H112,8,FALSE)="Other",IF(VLOOKUP(tbMoveset!A43,tbMoveset!A2:I112,9,FALSE)="Fire",Backdoors!BB35,IF(VLOOKUP(tbMoveset!A43,tbMoveset!A2:I112,9,FALSE)="Water",Backdoors!BC35,IF(VLOOKUP(tbMoveset!A43,tbMoveset!A2:I112,9,FALSE)="Thunder",Backdoors!BD35,IF(VLOOKUP(tbMoveset!A43,tbMoveset!A2:I112,9,FALSE)="Ice",Backdoors!BE35,IF(VLOOKUP(tbMoveset!A43,tbMoveset!A2:I112,9,FALSE)="Dragon",Backdoors!BF35,Backdoors!BG35)))))/100,Backdoors!BG35/100),"")</f>
        <v>0</v>
      </c>
      <c r="HT43" s="49">
        <f>IFERROR(IF(VLOOKUP(A43,tbMoveset!A2:J112,10,FALSE)=TRUE,IF((Backdoors!AI12+IF(HR43&gt;=0.45,VLOOKUP(Calculator!E23,tbSkills!DH3:DI6,2,FALSE)+IF(AND(Calculator!B8=TRUE,Backdoors!BI35=TRUE),VLOOKUP(Calculator!E23,tbSkills!DH3:DJ6,3,FALSE),0),0))&gt;=0,1+(Backdoors!AL2*(IF((Backdoors!AI12+IF(HR43&gt;=0.45,VLOOKUP(Calculator!E23,tbSkills!DH3:DI6,2,FALSE)+IF(AND(Calculator!B8=TRUE,Backdoors!BI35=TRUE),VLOOKUP(Calculator!E23,tbSkills!DH3:DJ6,3,FALSE),0),0))&gt;=100,100,(Backdoors!AI12+IF(HR43&gt;=0.45,VLOOKUP(Calculator!E23,tbSkills!DH3:DI6,2,FALSE)+IF(AND(Calculator!B8=TRUE,Backdoors!BI35=TRUE),VLOOKUP(Calculator!E23,tbSkills!DH3:DJ6,3,FALSE),0),0)))/100)),(1-(0.25*((-Backdoors!AI12-IF(HR43&gt;=0.45,VLOOKUP(Calculator!E23,tbSkills!DH3:DI6,2,FALSE)+IF(AND(Calculator!B8=TRUE,Backdoors!BI35=TRUE),VLOOKUP(Calculator!E23,tbSkills!DH3:DJ6,3,FALSE),0),0))/100)))),1),"")</f>
        <v>1</v>
      </c>
      <c r="HU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R43)*HT43)*(VLOOKUP(A43,tbMoveset!A2:C112,3,FALSE)/100)*IF(VLOOKUP(A43,tbMoveset!A2:B112,2,FALSE)="Projectile",Backdoors!N10,Backdoors!N9),0),"")</f>
        <v/>
      </c>
      <c r="HV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R43&gt;=0.45,VLOOKUP(Calculator!E23,tbSkills!DH3:DI6,2,FALSE)+IF(AND(Calculator!B8=TRUE,Backdoors!BI35=TRUE),VLOOKUP(Calculator!E23,tbSkills!DH3:DJ6,3,FALSE),0),0))&gt;=100,100,(Backdoors!AI12+IF(HR43&gt;=0.45,VLOOKUP(Calculator!E23,tbSkills!DH3:DI6,2,FALSE)+IF(AND(Calculator!B8=TRUE,Backdoors!BI35=TRUE),VLOOKUP(Calculator!E23,tbSkills!DH3:DJ6,3,FALSE),0),0)))/100)),1))*IF(VLOOKUP(A43,tbMoveset!A2:K112,11,FALSE)=TRUE,Backdoors!AC5,1))*HS43,0),"")</f>
        <v>0</v>
      </c>
      <c r="HW43" s="49">
        <f>VLOOKUP(A43,tbMoveset!A2:G112,7,FALSE)*IFERROR(IF(Backdoors!AI12&gt;=0,1+(IF(Calculator!E40&gt;0,VLOOKUP(Calculator!E40,tbSkills!AI3:AJ5,2,FALSE),Backdoors!AL4)*(IF((Backdoors!AI12+IF(HR43&gt;=0.45,VLOOKUP(Calculator!E23,tbSkills!DH3:DI6,2,FALSE)+IF(AND(Calculator!B8=TRUE,Backdoors!BI35=TRUE),VLOOKUP(Calculator!E23,tbSkills!DH3:DJ6,3,FALSE),0),0))&gt;=100,100,(Backdoors!AI12+IF(HR43&gt;=0.45,VLOOKUP(Calculator!E23,tbSkills!DH3:DI6,2,FALSE)+IF(AND(Calculator!B8=TRUE,Backdoors!BI35=TRUE),VLOOKUP(Calculator!E23,tbSkills!DH3:DJ6,3,FALSE),0),0)))/100)),1),1)</f>
        <v>0.5</v>
      </c>
      <c r="HX43" s="87">
        <f t="shared" si="25"/>
        <v>0</v>
      </c>
      <c r="HY43" s="86" t="str">
        <f>IFERROR(IF(VLOOKUP(A43,tbMoveset!A2:B112,2,FALSE)="Sever",Backdoors!AY36/100,IF(VLOOKUP(A43,tbMoveset!A2:B112,2,FALSE)="Blunt",Backdoors!AZ36/100,Backdoors!BA36/100)),"")</f>
        <v/>
      </c>
      <c r="HZ43" s="49">
        <f>IFERROR(IF(VLOOKUP(tbMoveset!A43,tbMoveset!A2:H112,8,FALSE)="Other",IF(VLOOKUP(tbMoveset!A43,tbMoveset!A2:I112,9,FALSE)="Fire",Backdoors!BB36,IF(VLOOKUP(tbMoveset!A43,tbMoveset!A2:I112,9,FALSE)="Water",Backdoors!BC36,IF(VLOOKUP(tbMoveset!A43,tbMoveset!A2:I112,9,FALSE)="Thunder",Backdoors!BD36,IF(VLOOKUP(tbMoveset!A43,tbMoveset!A2:I112,9,FALSE)="Ice",Backdoors!BE36,IF(VLOOKUP(tbMoveset!A43,tbMoveset!A2:I112,9,FALSE)="Dragon",Backdoors!BF36,Backdoors!BG36)))))/100,Backdoors!BG36/100),"")</f>
        <v>0</v>
      </c>
      <c r="IA43" s="49">
        <f>IFERROR(IF(VLOOKUP(A43,tbMoveset!A2:J112,10,FALSE)=TRUE,IF((Backdoors!AI12+IF(HY43&gt;=0.45,VLOOKUP(Calculator!E23,tbSkills!DH3:DI6,2,FALSE)+IF(AND(Calculator!B8=TRUE,Backdoors!BI36=TRUE),VLOOKUP(Calculator!E23,tbSkills!DH3:DJ6,3,FALSE),0),0))&gt;=0,1+(Backdoors!AL2*(IF((Backdoors!AI12+IF(HY43&gt;=0.45,VLOOKUP(Calculator!E23,tbSkills!DH3:DI6,2,FALSE)+IF(AND(Calculator!B8=TRUE,Backdoors!BI36=TRUE),VLOOKUP(Calculator!E23,tbSkills!DH3:DJ6,3,FALSE),0),0))&gt;=100,100,(Backdoors!AI12+IF(HY43&gt;=0.45,VLOOKUP(Calculator!E23,tbSkills!DH3:DI6,2,FALSE)+IF(AND(Calculator!B8=TRUE,Backdoors!BI36=TRUE),VLOOKUP(Calculator!E23,tbSkills!DH3:DJ6,3,FALSE),0),0)))/100)),(1-(0.25*((-Backdoors!AI12-IF(HY43&gt;=0.45,VLOOKUP(Calculator!E23,tbSkills!DH3:DI6,2,FALSE)+IF(AND(Calculator!B8=TRUE,Backdoors!BI36=TRUE),VLOOKUP(Calculator!E23,tbSkills!DH3:DJ6,3,FALSE),0),0))/100)))),1),"")</f>
        <v>1</v>
      </c>
      <c r="IB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Y43)*IA43)*(VLOOKUP(A43,tbMoveset!A2:C112,3,FALSE)/100)*IF(VLOOKUP(A43,tbMoveset!A2:B112,2,FALSE)="Projectile",Backdoors!N10,Backdoors!N9),0),"")</f>
        <v/>
      </c>
      <c r="IC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Y43&gt;=0.45,VLOOKUP(Calculator!E23,tbSkills!DH3:DI6,2,FALSE)+IF(AND(Calculator!B8=TRUE,Backdoors!BI36=TRUE),VLOOKUP(Calculator!E23,tbSkills!DH3:DJ6,3,FALSE),0),0))&gt;=100,100,(Backdoors!AI12+IF(HY43&gt;=0.45,VLOOKUP(Calculator!E23,tbSkills!DH3:DI6,2,FALSE)+IF(AND(Calculator!B8=TRUE,Backdoors!BI36=TRUE),VLOOKUP(Calculator!E23,tbSkills!DH3:DJ6,3,FALSE),0),0)))/100)),1))*IF(VLOOKUP(A43,tbMoveset!A2:K112,11,FALSE)=TRUE,Backdoors!AC5,1))*HZ43,0),"")</f>
        <v>0</v>
      </c>
      <c r="ID43" s="49">
        <f>VLOOKUP(A43,tbMoveset!A2:G112,7,FALSE)*IFERROR(IF(Backdoors!AI12&gt;=0,1+(IF(Calculator!E40&gt;0,VLOOKUP(Calculator!E40,tbSkills!AI3:AJ5,2,FALSE),Backdoors!AL4)*(IF((Backdoors!AI12+IF(HY43&gt;=0.45,VLOOKUP(Calculator!E23,tbSkills!DH3:DI6,2,FALSE)+IF(AND(Calculator!B8=TRUE,Backdoors!BI36=TRUE),VLOOKUP(Calculator!E23,tbSkills!DH3:DJ6,3,FALSE),0),0))&gt;=100,100,(Backdoors!AI12+IF(HY43&gt;=0.45,VLOOKUP(Calculator!E23,tbSkills!DH3:DI6,2,FALSE)+IF(AND(Calculator!B8=TRUE,Backdoors!BI36=TRUE),VLOOKUP(Calculator!E23,tbSkills!DH3:DJ6,3,FALSE),0),0)))/100)),1),1)</f>
        <v>0.5</v>
      </c>
      <c r="IE43" s="87">
        <f t="shared" si="26"/>
        <v>0</v>
      </c>
      <c r="IF43" s="86" t="str">
        <f>IFERROR(IF(VLOOKUP(A43,tbMoveset!A2:B112,2,FALSE)="Sever",Backdoors!AY37/100,IF(VLOOKUP(A43,tbMoveset!A2:B112,2,FALSE)="Blunt",Backdoors!AZ37/100,Backdoors!BA37/100)),"")</f>
        <v/>
      </c>
      <c r="IG43" s="49">
        <f>IFERROR(IF(VLOOKUP(tbMoveset!A43,tbMoveset!A2:H112,8,FALSE)="Other",IF(VLOOKUP(tbMoveset!A43,tbMoveset!A2:I112,9,FALSE)="Fire",Backdoors!BB37,IF(VLOOKUP(tbMoveset!A43,tbMoveset!A2:I112,9,FALSE)="Water",Backdoors!BC37,IF(VLOOKUP(tbMoveset!A43,tbMoveset!A2:I112,9,FALSE)="Thunder",Backdoors!BD37,IF(VLOOKUP(tbMoveset!A43,tbMoveset!A2:I112,9,FALSE)="Ice",Backdoors!BE37,IF(VLOOKUP(tbMoveset!A43,tbMoveset!A2:I112,9,FALSE)="Dragon",Backdoors!BF37,Backdoors!BG37)))))/100,Backdoors!BG37/100),"")</f>
        <v>0</v>
      </c>
      <c r="IH43" s="49">
        <f>IFERROR(IF(VLOOKUP(A43,tbMoveset!A2:J112,10,FALSE)=TRUE,IF((Backdoors!AI12+IF(IF43&gt;=0.45,VLOOKUP(Calculator!E23,tbSkills!DH3:DI6,2,FALSE)+IF(AND(Calculator!B8=TRUE,Backdoors!BI37=TRUE),VLOOKUP(Calculator!E23,tbSkills!DH3:DJ6,3,FALSE),0),0))&gt;=0,1+(Backdoors!AL2*(IF((Backdoors!AI12+IF(IF43&gt;=0.45,VLOOKUP(Calculator!E23,tbSkills!DH3:DI6,2,FALSE)+IF(AND(Calculator!B8=TRUE,Backdoors!BI37=TRUE),VLOOKUP(Calculator!E23,tbSkills!DH3:DJ6,3,FALSE),0),0))&gt;=100,100,(Backdoors!AI12+IF(IF43&gt;=0.45,VLOOKUP(Calculator!E23,tbSkills!DH3:DI6,2,FALSE)+IF(AND(Calculator!B8=TRUE,Backdoors!BI37=TRUE),VLOOKUP(Calculator!E23,tbSkills!DH3:DJ6,3,FALSE),0),0)))/100)),(1-(0.25*((-Backdoors!AI12-IF(IF43&gt;=0.45,VLOOKUP(Calculator!E23,tbSkills!DH3:DI6,2,FALSE)+IF(AND(Calculator!B8=TRUE,Backdoors!BI37=TRUE),VLOOKUP(Calculator!E23,tbSkills!DH3:DJ6,3,FALSE),0),0))/100)))),1),"")</f>
        <v>1</v>
      </c>
      <c r="II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F43)*IH43)*(VLOOKUP(A43,tbMoveset!A2:C112,3,FALSE)/100)*IF(VLOOKUP(A43,tbMoveset!A2:B112,2,FALSE)="Projectile",Backdoors!N10,Backdoors!N9),0),"")</f>
        <v/>
      </c>
      <c r="IJ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IF43&gt;=0.45,VLOOKUP(Calculator!E23,tbSkills!DH3:DI6,2,FALSE)+IF(AND(Calculator!B8=TRUE,Backdoors!BI37=TRUE),VLOOKUP(Calculator!E23,tbSkills!DH3:DJ6,3,FALSE),0),0))&gt;=100,100,(Backdoors!AI12+IF(IF43&gt;=0.45,VLOOKUP(Calculator!E23,tbSkills!DH3:DI6,2,FALSE)+IF(AND(Calculator!B8=TRUE,Backdoors!BI37=TRUE),VLOOKUP(Calculator!E23,tbSkills!DH3:DJ6,3,FALSE),0),0)))/100)),1))*IF(VLOOKUP(A43,tbMoveset!A2:K112,11,FALSE)=TRUE,Backdoors!AC5,1))*IG43,0),"")</f>
        <v>0</v>
      </c>
      <c r="IK43" s="49">
        <f>VLOOKUP(A43,tbMoveset!A2:G112,7,FALSE)*IFERROR(IF(Backdoors!AI12&gt;=0,1+(IF(Calculator!E40&gt;0,VLOOKUP(Calculator!E40,tbSkills!AI3:AJ5,2,FALSE),Backdoors!AL4)*(IF((Backdoors!AI12+IF(IF43&gt;=0.45,VLOOKUP(Calculator!E23,tbSkills!DH3:DI6,2,FALSE)+IF(AND(Calculator!B8=TRUE,Backdoors!BI37=TRUE),VLOOKUP(Calculator!E23,tbSkills!DH3:DJ6,3,FALSE),0),0))&gt;=100,100,(Backdoors!AI12+IF(IF43&gt;=0.45,VLOOKUP(Calculator!E23,tbSkills!DH3:DI6,2,FALSE)+IF(AND(Calculator!B8=TRUE,Backdoors!BI37=TRUE),VLOOKUP(Calculator!E23,tbSkills!DH3:DJ6,3,FALSE),0),0)))/100)),1),1)</f>
        <v>0.5</v>
      </c>
      <c r="IL43" s="87">
        <f t="shared" si="27"/>
        <v>0</v>
      </c>
      <c r="IM43" s="86" t="str">
        <f>IFERROR(IF(VLOOKUP(A43,tbMoveset!A2:B112,2,FALSE)="Sever",Backdoors!AY38/100,IF(VLOOKUP(A43,tbMoveset!A2:B112,2,FALSE)="Blunt",Backdoors!AZ38/100,Backdoors!BA38/100)),"")</f>
        <v/>
      </c>
      <c r="IN43" s="49">
        <f>IFERROR(IF(VLOOKUP(tbMoveset!A43,tbMoveset!A2:H112,8,FALSE)="Other",IF(VLOOKUP(tbMoveset!A43,tbMoveset!A2:I112,9,FALSE)="Fire",Backdoors!BB38,IF(VLOOKUP(tbMoveset!A43,tbMoveset!A2:I112,9,FALSE)="Water",Backdoors!BC38,IF(VLOOKUP(tbMoveset!A43,tbMoveset!A2:I112,9,FALSE)="Thunder",Backdoors!BD38,IF(VLOOKUP(tbMoveset!A43,tbMoveset!A2:I112,9,FALSE)="Ice",Backdoors!BE38,IF(VLOOKUP(tbMoveset!A43,tbMoveset!A2:I112,9,FALSE)="Dragon",Backdoors!BF38,Backdoors!BG38)))))/100,Backdoors!BG38/100),"")</f>
        <v>0</v>
      </c>
      <c r="IO43" s="49">
        <f>IFERROR(IF(VLOOKUP(A43,tbMoveset!A2:J112,10,FALSE)=TRUE,IF((Backdoors!AI12+IF(IM43&gt;=0.45,VLOOKUP(Calculator!E23,tbSkills!DH3:DI6,2,FALSE)+IF(AND(Calculator!B8=TRUE,Backdoors!BI38=TRUE),VLOOKUP(Calculator!E23,tbSkills!DH3:DJ6,3,FALSE),0),0))&gt;=0,1+(Backdoors!AL2*(IF((Backdoors!AI12+IF(IM43&gt;=0.45,VLOOKUP(Calculator!E23,tbSkills!DH3:DI6,2,FALSE)+IF(AND(Calculator!B8=TRUE,Backdoors!BI38=TRUE),VLOOKUP(Calculator!E23,tbSkills!DH3:DJ6,3,FALSE),0),0))&gt;=100,100,(Backdoors!AI12+IF(IM43&gt;=0.45,VLOOKUP(Calculator!E23,tbSkills!DH3:DI6,2,FALSE)+IF(AND(Calculator!B8=TRUE,Backdoors!BI38=TRUE),VLOOKUP(Calculator!E23,tbSkills!DH3:DJ6,3,FALSE),0),0)))/100)),(1-(0.25*((-Backdoors!AI12-IF(IM43&gt;=0.45,VLOOKUP(Calculator!E23,tbSkills!DH3:DI6,2,FALSE)+IF(AND(Calculator!B8=TRUE,Backdoors!BI38=TRUE),VLOOKUP(Calculator!E23,tbSkills!DH3:DJ6,3,FALSE),0),0))/100)))),1),"")</f>
        <v>1</v>
      </c>
      <c r="IP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M43)*IO43)*(VLOOKUP(A43,tbMoveset!A2:C112,3,FALSE)/100)*IF(VLOOKUP(A43,tbMoveset!A2:B112,2,FALSE)="Projectile",Backdoors!N10,Backdoors!N9),0),"")</f>
        <v/>
      </c>
      <c r="IQ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IM43&gt;=0.45,VLOOKUP(Calculator!E23,tbSkills!DH3:DI6,2,FALSE)+IF(AND(Calculator!B8=TRUE,Backdoors!BI38=TRUE),VLOOKUP(Calculator!E23,tbSkills!DH3:DJ6,3,FALSE),0),0))&gt;=100,100,(Backdoors!AI12+IF(IM43&gt;=0.45,VLOOKUP(Calculator!E23,tbSkills!DH3:DI6,2,FALSE)+IF(AND(Calculator!B8=TRUE,Backdoors!BI38=TRUE),VLOOKUP(Calculator!E23,tbSkills!DH3:DJ6,3,FALSE),0),0)))/100)),1))*IF(VLOOKUP(A43,tbMoveset!A2:K112,11,FALSE)=TRUE,Backdoors!AC5,1))*IN43,0),"")</f>
        <v>0</v>
      </c>
      <c r="IR43" s="49">
        <f>VLOOKUP(A43,tbMoveset!A2:G112,7,FALSE)*IFERROR(IF(Backdoors!AI12&gt;=0,1+(IF(Calculator!E40&gt;0,VLOOKUP(Calculator!E40,tbSkills!AI3:AJ5,2,FALSE),Backdoors!AL4)*(IF((Backdoors!AI12+IF(IM43&gt;=0.45,VLOOKUP(Calculator!E23,tbSkills!DH3:DI6,2,FALSE)+IF(AND(Calculator!B8=TRUE,Backdoors!BI38=TRUE),VLOOKUP(Calculator!E23,tbSkills!DH3:DJ6,3,FALSE),0),0))&gt;=100,100,(Backdoors!AI12+IF(IM43&gt;=0.45,VLOOKUP(Calculator!E23,tbSkills!DH3:DI6,2,FALSE)+IF(AND(Calculator!B8=TRUE,Backdoors!BI38=TRUE),VLOOKUP(Calculator!E23,tbSkills!DH3:DJ6,3,FALSE),0),0)))/100)),1),1)</f>
        <v>0.5</v>
      </c>
      <c r="IS43" s="87">
        <f t="shared" si="42"/>
        <v>0</v>
      </c>
      <c r="IT43" s="86" t="str">
        <f>IFERROR(IF(VLOOKUP(A43,tbMoveset!A2:B112,2,FALSE)="Sever",Backdoors!AY39/100,IF(VLOOKUP(A43,tbMoveset!A2:B112,2,FALSE)="Blunt",Backdoors!AZ39/100,Backdoors!BA39/100)),"")</f>
        <v/>
      </c>
      <c r="IU43" s="49">
        <f>IFERROR(IF(VLOOKUP(tbMoveset!A43,tbMoveset!A2:H112,8,FALSE)="Other",IF(VLOOKUP(tbMoveset!A43,tbMoveset!A2:I112,9,FALSE)="Fire",Backdoors!BB39,IF(VLOOKUP(tbMoveset!A43,tbMoveset!A2:I112,9,FALSE)="Water",Backdoors!BC39,IF(VLOOKUP(tbMoveset!A43,tbMoveset!A2:I112,9,FALSE)="Thunder",Backdoors!BD39,IF(VLOOKUP(tbMoveset!A43,tbMoveset!A2:I112,9,FALSE)="Ice",Backdoors!BE39,IF(VLOOKUP(tbMoveset!A43,tbMoveset!A2:I112,9,FALSE)="Dragon",Backdoors!BF39,Backdoors!BG39)))))/100,Backdoors!BG39/100),"")</f>
        <v>0</v>
      </c>
      <c r="IV43" s="49">
        <f>IFERROR(IF(VLOOKUP(A43,tbMoveset!A2:J112,10,FALSE)=TRUE,IF((Backdoors!AI12+IF(IT43&gt;=0.45,VLOOKUP(Calculator!E23,tbSkills!DH3:DI6,2,FALSE)+IF(AND(Calculator!B8=TRUE,Backdoors!BI39=TRUE),VLOOKUP(Calculator!E23,tbSkills!DH3:DJ6,3,FALSE),0),0))&gt;=0,1+(Backdoors!AL2*(IF((Backdoors!AI12+IF(IT43&gt;=0.45,VLOOKUP(Calculator!E23,tbSkills!DH3:DI6,2,FALSE)+IF(AND(Calculator!B8=TRUE,Backdoors!BI39=TRUE),VLOOKUP(Calculator!E23,tbSkills!DH3:DJ6,3,FALSE),0),0))&gt;=100,100,(Backdoors!AI12+IF(IT43&gt;=0.45,VLOOKUP(Calculator!E23,tbSkills!DH3:DI6,2,FALSE)+IF(AND(Calculator!B8=TRUE,Backdoors!BI39=TRUE),VLOOKUP(Calculator!E23,tbSkills!DH3:DJ6,3,FALSE),0),0)))/100)),(1-(0.25*((-Backdoors!AI12-IF(IT43&gt;=0.45,VLOOKUP(Calculator!E23,tbSkills!DH3:DI6,2,FALSE)+IF(AND(Calculator!B8=TRUE,Backdoors!BI39=TRUE),VLOOKUP(Calculator!E23,tbSkills!DH3:DJ6,3,FALSE),0),0))/100)))),1),"")</f>
        <v>1</v>
      </c>
      <c r="IW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T43)*IV43)*(VLOOKUP(A43,tbMoveset!A2:C112,3,FALSE)/100)*IF(VLOOKUP(A43,tbMoveset!A2:B112,2,FALSE)="Projectile",Backdoors!N10,Backdoors!N9),0),"")</f>
        <v/>
      </c>
      <c r="IX43" s="49">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40&gt;0,VLOOKUP(Calculator!E40,tbSkills!AC3:AD5,2,FALSE),Backdoors!AL3)*(IF((Backdoors!AI12+IF(IT43&gt;=0.45,VLOOKUP(Calculator!E23,tbSkills!DH3:DI6,2,FALSE)+IF(AND(Calculator!B8=TRUE,Backdoors!BI39=TRUE),VLOOKUP(Calculator!E23,tbSkills!DH3:DJ6,3,FALSE),0),0))&gt;=100,100,(Backdoors!AI12+IF(IT43&gt;=0.45,VLOOKUP(Calculator!E23,tbSkills!DH3:DI6,2,FALSE)+IF(AND(Calculator!B8=TRUE,Backdoors!BI39=TRUE),VLOOKUP(Calculator!E23,tbSkills!DH3:DJ6,3,FALSE),0),0)))/100)),1))*IF(VLOOKUP(A43,tbMoveset!A2:K112,11,FALSE)=TRUE,Backdoors!AC5,1))*IU43,0),"")</f>
        <v>0</v>
      </c>
      <c r="IY43" s="49">
        <f>VLOOKUP(A43,tbMoveset!A2:G112,7,FALSE)*IFERROR(IF(Backdoors!AI12&gt;=0,1+(IF(Calculator!E40&gt;0,VLOOKUP(Calculator!E40,tbSkills!AI3:AJ5,2,FALSE),Backdoors!AL4)*(IF((Backdoors!AI12+IF(IT43&gt;=0.45,VLOOKUP(Calculator!E23,tbSkills!DH3:DI6,2,FALSE)+IF(AND(Calculator!B8=TRUE,Backdoors!BI39=TRUE),VLOOKUP(Calculator!E23,tbSkills!DH3:DJ6,3,FALSE),0),0))&gt;=100,100,(Backdoors!AI12+IF(IT43&gt;=0.45,VLOOKUP(Calculator!E23,tbSkills!DH3:DI6,2,FALSE)+IF(AND(Calculator!B8=TRUE,Backdoors!BI39=TRUE),VLOOKUP(Calculator!E23,tbSkills!DH3:DJ6,3,FALSE),0),0)))/100)),1),1)</f>
        <v>0.5</v>
      </c>
      <c r="IZ43" s="87">
        <f t="shared" si="28"/>
        <v>0</v>
      </c>
      <c r="JA43" s="86" t="str">
        <f>IFERROR(IF(VLOOKUP(A43,tbMoveset!A2:B112,2,FALSE)="Sever",Backdoors!AY40/100,IF(VLOOKUP(A43,tbMoveset!A2:B112,2,FALSE)="Blunt",Backdoors!AZ40/100,Backdoors!BA40/100)),"")</f>
        <v/>
      </c>
      <c r="JB43" s="49">
        <f>IFERROR(IF(VLOOKUP(tbMoveset!A43,tbMoveset!A2:H112,8,FALSE)="Other",IF(VLOOKUP(tbMoveset!A43,tbMoveset!A2:I112,9,FALSE)="Fire",Backdoors!BB40,IF(VLOOKUP(tbMoveset!A43,tbMoveset!A2:I112,9,FALSE)="Water",Backdoors!BC40,IF(VLOOKUP(tbMoveset!A43,tbMoveset!A2:I112,9,FALSE)="Thunder",Backdoors!BD40,IF(VLOOKUP(tbMoveset!A43,tbMoveset!A2:I112,9,FALSE)="Ice",Backdoors!BE40,IF(VLOOKUP(tbMoveset!A43,tbMoveset!A2:I112,9,FALSE)="Dragon",Backdoors!BF40,Backdoors!BG40)))))/100,Backdoors!BG40/100),"")</f>
        <v>0</v>
      </c>
      <c r="JC43" s="49">
        <f>IFERROR(IF(VLOOKUP(A43,tbMoveset!A2:J112,10,FALSE)=TRUE,IF((Backdoors!AI12+IF(JA43&gt;=0.45,VLOOKUP(Calculator!E23,tbSkills!DH3:DI6,2,FALSE)+IF(AND(Calculator!B8=TRUE,Backdoors!BI40=TRUE),VLOOKUP(Calculator!E23,tbSkills!DH3:DJ6,3,FALSE),0),0))&gt;=0,1+(Backdoors!AL2*(IF((Backdoors!AI12+IF(JA43&gt;=0.45,VLOOKUP(Calculator!E23,tbSkills!DH3:DI6,2,FALSE)+IF(AND(Calculator!B8=TRUE,Backdoors!BI40=TRUE),VLOOKUP(Calculator!E23,tbSkills!DH3:DJ6,3,FALSE),0),0))&gt;=100,100,(Backdoors!AI12+IF(JA43&gt;=0.45,VLOOKUP(Calculator!E23,tbSkills!DH3:DI6,2,FALSE)+IF(AND(Calculator!B8=TRUE,Backdoors!BI40=TRUE),VLOOKUP(Calculator!E23,tbSkills!DH3:DJ6,3,FALSE),0),0)))/100)),(1-(0.25*((-Backdoors!AI12-IF(JA43&gt;=0.45,VLOOKUP(Calculator!E23,tbSkills!DH3:DI6,2,FALSE)+IF(AND(Calculator!B8=TRUE,Backdoors!BI40=TRUE),VLOOKUP(Calculator!E23,tbSkills!DH3:DJ6,3,FALSE),0),0))/100)))),1),"")</f>
        <v>1</v>
      </c>
      <c r="JD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A43)*JC43)*(VLOOKUP(A43,tbMoveset!A2:C112,3,FALSE)/100)*IF(VLOOKUP(A43,tbMoveset!A2:B112,2,FALSE)="Projectile",Backdoors!N10,Backdoors!N9),0),"")</f>
        <v/>
      </c>
      <c r="JE43" s="49">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42&gt;0,VLOOKUP(Calculator!E42,tbSkills!AC3:AD5,2,FALSE),Backdoors!AL3)*(IF((Backdoors!AI12+IF(JA43&gt;=0.45,VLOOKUP(Calculator!E23,tbSkills!DH3:DI6,2,FALSE)+IF(AND(Calculator!B8=TRUE,Backdoors!BI40=TRUE),VLOOKUP(Calculator!E23,tbSkills!DH3:DJ6,3,FALSE),0),0))&gt;=100,100,(Backdoors!AI12+IF(JA43&gt;=0.45,VLOOKUP(Calculator!E23,tbSkills!DH3:DI6,2,FALSE)+IF(AND(Calculator!B8=TRUE,Backdoors!BI40=TRUE),VLOOKUP(Calculator!E23,tbSkills!DH3:DJ6,3,FALSE),0),0)))/100)),1))*IF(VLOOKUP(A43,tbMoveset!A2:K112,11,FALSE)=TRUE,Backdoors!AC5,1))*JB43,0),"")</f>
        <v>0</v>
      </c>
      <c r="JF43" s="49">
        <f>VLOOKUP(A43,tbMoveset!A2:G112,7,FALSE)*IFERROR(IF(Backdoors!AI12&gt;=0,1+(IF(Calculator!E40&gt;0,VLOOKUP(Calculator!E40,tbSkills!AI3:AJ5,2,FALSE),Backdoors!AL4)*(IF((Backdoors!AI12+IF(JA43&gt;=0.45,VLOOKUP(Calculator!E23,tbSkills!DH3:DI6,2,FALSE)+IF(AND(Calculator!B8=TRUE,Backdoors!BI40=TRUE),VLOOKUP(Calculator!E23,tbSkills!DH3:DJ6,3,FALSE),0),0))&gt;=100,100,(Backdoors!AI12+IF(JA43&gt;=0.45,VLOOKUP(Calculator!E23,tbSkills!DH3:DI6,2,FALSE)+IF(AND(Calculator!B8=TRUE,Backdoors!BI40=TRUE),VLOOKUP(Calculator!E23,tbSkills!DH3:DJ6,3,FALSE),0),0)))/100)),1),1)</f>
        <v>0.5</v>
      </c>
      <c r="JG43" s="87">
        <f t="shared" si="29"/>
        <v>0</v>
      </c>
      <c r="JH43" s="86" t="str">
        <f>IFERROR(IF(VLOOKUP(A43,tbMoveset!A2:B112,2,FALSE)="Sever",Backdoors!AY41/100,IF(VLOOKUP(A43,tbMoveset!A2:B112,2,FALSE)="Blunt",Backdoors!AZ41/100,Backdoors!BA41/100)),"")</f>
        <v/>
      </c>
      <c r="JI43" s="49">
        <f>IFERROR(IF(VLOOKUP(tbMoveset!A43,tbMoveset!A2:H112,8,FALSE)="Other",IF(VLOOKUP(tbMoveset!A43,tbMoveset!A2:I112,9,FALSE)="Fire",Backdoors!BB41,IF(VLOOKUP(tbMoveset!A43,tbMoveset!A2:I112,9,FALSE)="Water",Backdoors!BC41,IF(VLOOKUP(tbMoveset!A43,tbMoveset!A2:I112,9,FALSE)="Thunder",Backdoors!BD41,IF(VLOOKUP(tbMoveset!A43,tbMoveset!A2:I112,9,FALSE)="Ice",Backdoors!BE41,IF(VLOOKUP(tbMoveset!A43,tbMoveset!A2:I112,9,FALSE)="Dragon",Backdoors!BF41,Backdoors!BG41)))))/100,Backdoors!BG41/100),"")</f>
        <v>0</v>
      </c>
      <c r="JJ43" s="49">
        <f>IFERROR(IF(VLOOKUP(A43,tbMoveset!A2:J112,10,FALSE)=TRUE,IF((Backdoors!AI12+IF(JH43&gt;=0.45,VLOOKUP(Calculator!E23,tbSkills!DH3:DI6,2,FALSE)+IF(AND(Calculator!B8=TRUE,Backdoors!BI41=TRUE),VLOOKUP(Calculator!E23,tbSkills!DH3:DJ6,3,FALSE),0),0))&gt;=0,1+(Backdoors!AL2*(IF((Backdoors!AI12+IF(JH43&gt;=0.45,VLOOKUP(Calculator!E23,tbSkills!DH3:DI6,2,FALSE)+IF(AND(Calculator!B8=TRUE,Backdoors!BI41=TRUE),VLOOKUP(Calculator!E23,tbSkills!DH3:DJ6,3,FALSE),0),0))&gt;=100,100,(Backdoors!AI12+IF(JH43&gt;=0.45,VLOOKUP(Calculator!E23,tbSkills!DH3:DI6,2,FALSE)+IF(AND(Calculator!B8=TRUE,Backdoors!BI41=TRUE),VLOOKUP(Calculator!E23,tbSkills!DH3:DJ6,3,FALSE),0),0)))/100)),(1-(0.25*((-Backdoors!AI12-IF(JH43&gt;=0.45,VLOOKUP(Calculator!E23,tbSkills!DH3:DI6,2,FALSE)+IF(AND(Calculator!B8=TRUE,Backdoors!BI41=TRUE),VLOOKUP(Calculator!E23,tbSkills!DH3:DJ6,3,FALSE),0),0))/100)))),1),"")</f>
        <v>1</v>
      </c>
      <c r="JK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H43)*JJ43)*(VLOOKUP(A43,tbMoveset!A2:C112,3,FALSE)/100)*IF(VLOOKUP(A43,tbMoveset!A2:B112,2,FALSE)="Projectile",Backdoors!N10,Backdoors!N9),0),"")</f>
        <v/>
      </c>
      <c r="JL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43&gt;0,VLOOKUP(Calculator!E43,tbSkills!AC3:AD5,2,FALSE),Backdoors!AL3)*(IF((Backdoors!AI12+IF(JH43&gt;=0.45,VLOOKUP(Calculator!E23,tbSkills!DH3:DI6,2,FALSE)+IF(AND(Calculator!B8=TRUE,Backdoors!BI41=TRUE),VLOOKUP(Calculator!E23,tbSkills!DH3:DJ6,3,FALSE),0),0))&gt;=100,100,(Backdoors!AI12+IF(JH43&gt;=0.45,VLOOKUP(Calculator!E23,tbSkills!DH3:DI6,2,FALSE)+IF(AND(Calculator!B8=TRUE,Backdoors!BI41=TRUE),VLOOKUP(Calculator!E23,tbSkills!DH3:DJ6,3,FALSE),0),0)))/100)),1))*IF(VLOOKUP(A43,tbMoveset!A2:K112,11,FALSE)=TRUE,Backdoors!AC5,1))*JI43,0),"")</f>
        <v/>
      </c>
      <c r="JM43" s="49">
        <f>VLOOKUP(A43,tbMoveset!A2:G112,7,FALSE)*IFERROR(IF(Backdoors!AI12&gt;=0,1+(IF(Calculator!E40&gt;0,VLOOKUP(Calculator!E40,tbSkills!AI3:AJ5,2,FALSE),Backdoors!AL4)*(IF((Backdoors!AI12+IF(JH43&gt;=0.45,VLOOKUP(Calculator!E23,tbSkills!DH3:DI6,2,FALSE)+IF(AND(Calculator!B8=TRUE,Backdoors!BI41=TRUE),VLOOKUP(Calculator!E23,tbSkills!DH3:DJ6,3,FALSE),0),0))&gt;=100,100,(Backdoors!AI12+IF(JH43&gt;=0.45,VLOOKUP(Calculator!E23,tbSkills!DH3:DI6,2,FALSE)+IF(AND(Calculator!B8=TRUE,Backdoors!BI41=TRUE),VLOOKUP(Calculator!E23,tbSkills!DH3:DJ6,3,FALSE),0),0)))/100)),1),1)</f>
        <v>0.5</v>
      </c>
      <c r="JN43" s="87">
        <f t="shared" si="30"/>
        <v>0</v>
      </c>
      <c r="JO43" s="86" t="str">
        <f>IFERROR(IF(VLOOKUP(A43,tbMoveset!A2:B112,2,FALSE)="Sever",Backdoors!AY42/100,IF(VLOOKUP(A43,tbMoveset!A2:B112,2,FALSE)="Blunt",Backdoors!AZ42/100,Backdoors!BA42/100)),"")</f>
        <v/>
      </c>
      <c r="JP43" s="49">
        <f>IFERROR(IF(VLOOKUP(tbMoveset!A43,tbMoveset!A2:H112,8,FALSE)="Other",IF(VLOOKUP(tbMoveset!A43,tbMoveset!A2:I112,9,FALSE)="Fire",Backdoors!BB42,IF(VLOOKUP(tbMoveset!A43,tbMoveset!A2:I112,9,FALSE)="Water",Backdoors!BC42,IF(VLOOKUP(tbMoveset!A43,tbMoveset!A2:I112,9,FALSE)="Thunder",Backdoors!BD42,IF(VLOOKUP(tbMoveset!A43,tbMoveset!A2:I112,9,FALSE)="Ice",Backdoors!BE42,IF(VLOOKUP(tbMoveset!A43,tbMoveset!A2:I112,9,FALSE)="Dragon",Backdoors!BF42,Backdoors!BG42)))))/100,Backdoors!BG42/100),"")</f>
        <v>0</v>
      </c>
      <c r="JQ43" s="49">
        <f>IFERROR(IF(VLOOKUP(A43,tbMoveset!A2:J112,10,FALSE)=TRUE,IF((Backdoors!AI12+IF(JO43&gt;=0.45,VLOOKUP(Calculator!E23,tbSkills!DH3:DI6,2,FALSE)+IF(AND(Calculator!B8=TRUE,Backdoors!BI42=TRUE),VLOOKUP(Calculator!E23,tbSkills!DH3:DJ6,3,FALSE),0),0))&gt;=0,1+(Backdoors!AL2*(IF((Backdoors!AI12+IF(JO43&gt;=0.45,VLOOKUP(Calculator!E23,tbSkills!DH3:DI6,2,FALSE)+IF(AND(Calculator!B8=TRUE,Backdoors!BI42=TRUE),VLOOKUP(Calculator!E23,tbSkills!DH3:DJ6,3,FALSE),0),0))&gt;=100,100,(Backdoors!AI12+IF(JO43&gt;=0.45,VLOOKUP(Calculator!E23,tbSkills!DH3:DI6,2,FALSE)+IF(AND(Calculator!B8=TRUE,Backdoors!BI42=TRUE),VLOOKUP(Calculator!E23,tbSkills!DH3:DJ6,3,FALSE),0),0)))/100)),(1-(0.25*((-Backdoors!AI12-IF(JO43&gt;=0.45,VLOOKUP(Calculator!E23,tbSkills!DH3:DI6,2,FALSE)+IF(AND(Calculator!B8=TRUE,Backdoors!BI42=TRUE),VLOOKUP(Calculator!E23,tbSkills!DH3:DJ6,3,FALSE),0),0))/100)))),1),"")</f>
        <v>1</v>
      </c>
      <c r="JR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O43)*JQ43)*(VLOOKUP(A43,tbMoveset!A2:C112,3,FALSE)/100)*IF(VLOOKUP(A43,tbMoveset!A2:B112,2,FALSE)="Projectile",Backdoors!N10,Backdoors!N9),0),"")</f>
        <v/>
      </c>
      <c r="JS43" s="49">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45&gt;0,VLOOKUP(Calculator!E45,tbSkills!AC3:AD5,2,FALSE),Backdoors!AL3)*(IF((Backdoors!AI12+IF(JO43&gt;=0.45,VLOOKUP(Calculator!E23,tbSkills!DH3:DI6,2,FALSE)+IF(AND(Calculator!B8=TRUE,Backdoors!BI42=TRUE),VLOOKUP(Calculator!E23,tbSkills!DH3:DJ6,3,FALSE),0),0))&gt;=100,100,(Backdoors!AI12+IF(JO43&gt;=0.45,VLOOKUP(Calculator!E23,tbSkills!DH3:DI6,2,FALSE)+IF(AND(Calculator!B8=TRUE,Backdoors!BI42=TRUE),VLOOKUP(Calculator!E23,tbSkills!DH3:DJ6,3,FALSE),0),0)))/100)),1))*IF(VLOOKUP(A43,tbMoveset!A2:K112,11,FALSE)=TRUE,Backdoors!AC5,1))*JP43,0),"")</f>
        <v>0</v>
      </c>
      <c r="JT43" s="49">
        <f>VLOOKUP(A43,tbMoveset!A2:G112,7,FALSE)*IFERROR(IF(Backdoors!AI12&gt;=0,1+(IF(Calculator!E40&gt;0,VLOOKUP(Calculator!E40,tbSkills!AI3:AJ5,2,FALSE),Backdoors!AL4)*(IF((Backdoors!AI12+IF(JO43&gt;=0.45,VLOOKUP(Calculator!E23,tbSkills!DH3:DI6,2,FALSE)+IF(AND(Calculator!B8=TRUE,Backdoors!BI42=TRUE),VLOOKUP(Calculator!E23,tbSkills!DH3:DJ6,3,FALSE),0),0))&gt;=100,100,(Backdoors!AI12+IF(JO43&gt;=0.45,VLOOKUP(Calculator!E23,tbSkills!DH3:DI6,2,FALSE)+IF(AND(Calculator!B8=TRUE,Backdoors!BI42=TRUE),VLOOKUP(Calculator!E23,tbSkills!DH3:DJ6,3,FALSE),0),0)))/100)),1),1)</f>
        <v>0.5</v>
      </c>
      <c r="JU43" s="87">
        <f t="shared" si="31"/>
        <v>0</v>
      </c>
      <c r="JV43" s="86" t="str">
        <f>IFERROR(IF(VLOOKUP(A43,tbMoveset!A2:B112,2,FALSE)="Sever",Backdoors!AY43/100,IF(VLOOKUP(A43,tbMoveset!A2:B112,2,FALSE)="Blunt",Backdoors!AZ43/100,Backdoors!BA43/100)),"")</f>
        <v/>
      </c>
      <c r="JW43" s="49">
        <f>IFERROR(IF(VLOOKUP(tbMoveset!A43,tbMoveset!A2:H112,8,FALSE)="Other",IF(VLOOKUP(tbMoveset!A43,tbMoveset!A2:I112,9,FALSE)="Fire",Backdoors!BB43,IF(VLOOKUP(tbMoveset!A43,tbMoveset!A2:I112,9,FALSE)="Water",Backdoors!BC43,IF(VLOOKUP(tbMoveset!A43,tbMoveset!A2:I112,9,FALSE)="Thunder",Backdoors!BD43,IF(VLOOKUP(tbMoveset!A43,tbMoveset!A2:I112,9,FALSE)="Ice",Backdoors!BE43,IF(VLOOKUP(tbMoveset!A43,tbMoveset!A2:I112,9,FALSE)="Dragon",Backdoors!BF43,Backdoors!BG43)))))/100,Backdoors!BG43/100),"")</f>
        <v>0</v>
      </c>
      <c r="JX43" s="49">
        <f>IFERROR(IF(VLOOKUP(A43,tbMoveset!A2:J112,10,FALSE)=TRUE,IF((Backdoors!AI12+IF(JV43&gt;=0.45,VLOOKUP(Calculator!E23,tbSkills!DH3:DI6,2,FALSE)+IF(AND(Calculator!B8=TRUE,Backdoors!BI43=TRUE),VLOOKUP(Calculator!E23,tbSkills!DH3:DJ6,3,FALSE),0),0))&gt;=0,1+(Backdoors!AL2*(IF((Backdoors!AI12+IF(JV43&gt;=0.45,VLOOKUP(Calculator!E23,tbSkills!DH3:DI6,2,FALSE)+IF(AND(Calculator!B8=TRUE,Backdoors!BI43=TRUE),VLOOKUP(Calculator!E23,tbSkills!DH3:DJ6,3,FALSE),0),0))&gt;=100,100,(Backdoors!AI12+IF(JV43&gt;=0.45,VLOOKUP(Calculator!E23,tbSkills!DH3:DI6,2,FALSE)+IF(AND(Calculator!B8=TRUE,Backdoors!BI43=TRUE),VLOOKUP(Calculator!E23,tbSkills!DH3:DJ6,3,FALSE),0),0)))/100)),(1-(0.25*((-Backdoors!AI12-IF(JV43&gt;=0.45,VLOOKUP(Calculator!E23,tbSkills!DH3:DI6,2,FALSE)+IF(AND(Calculator!B8=TRUE,Backdoors!BI43=TRUE),VLOOKUP(Calculator!E23,tbSkills!DH3:DJ6,3,FALSE),0),0))/100)))),1),"")</f>
        <v>1</v>
      </c>
      <c r="JY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V43)*JX43)*(VLOOKUP(A43,tbMoveset!A2:C112,3,FALSE)/100)*IF(VLOOKUP(A43,tbMoveset!A2:B112,2,FALSE)="Projectile",Backdoors!N10,Backdoors!N9),0),"")</f>
        <v/>
      </c>
      <c r="JZ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46&gt;0,VLOOKUP(Calculator!E46,tbSkills!AC3:AD5,2,FALSE),Backdoors!AL3)*(IF((Backdoors!AI12+IF(JV43&gt;=0.45,VLOOKUP(Calculator!E23,tbSkills!DH3:DI6,2,FALSE)+IF(AND(Calculator!B8=TRUE,Backdoors!BI43=TRUE),VLOOKUP(Calculator!E23,tbSkills!DH3:DJ6,3,FALSE),0),0))&gt;=100,100,(Backdoors!AI12+IF(JV43&gt;=0.45,VLOOKUP(Calculator!E23,tbSkills!DH3:DI6,2,FALSE)+IF(AND(Calculator!B8=TRUE,Backdoors!BI43=TRUE),VLOOKUP(Calculator!E23,tbSkills!DH3:DJ6,3,FALSE),0),0)))/100)),1))*IF(VLOOKUP(A43,tbMoveset!A2:K112,11,FALSE)=TRUE,Backdoors!AC5,1))*JW43,0),"")</f>
        <v/>
      </c>
      <c r="KA43" s="49">
        <f>VLOOKUP(A43,tbMoveset!A2:G112,7,FALSE)*IFERROR(IF(Backdoors!AI12&gt;=0,1+(IF(Calculator!E40&gt;0,VLOOKUP(Calculator!E40,tbSkills!AI3:AJ5,2,FALSE),Backdoors!AL4)*(IF((Backdoors!AI12+IF(JV43&gt;=0.45,VLOOKUP(Calculator!E23,tbSkills!DH3:DI6,2,FALSE)+IF(AND(Calculator!B8=TRUE,Backdoors!BI43=TRUE),VLOOKUP(Calculator!E23,tbSkills!DH3:DJ6,3,FALSE),0),0))&gt;=100,100,(Backdoors!AI12+IF(JV43&gt;=0.45,VLOOKUP(Calculator!E23,tbSkills!DH3:DI6,2,FALSE)+IF(AND(Calculator!B8=TRUE,Backdoors!BI43=TRUE),VLOOKUP(Calculator!E23,tbSkills!DH3:DJ6,3,FALSE),0),0)))/100)),1),1)</f>
        <v>0.5</v>
      </c>
      <c r="KB43" s="87">
        <f t="shared" si="32"/>
        <v>0</v>
      </c>
      <c r="KC43" s="86" t="str">
        <f>IFERROR(IF(VLOOKUP(A43,tbMoveset!A2:B112,2,FALSE)="Sever",Backdoors!AY44/100,IF(VLOOKUP(A43,tbMoveset!A2:B112,2,FALSE)="Blunt",Backdoors!AZ44/100,Backdoors!BA44/100)),"")</f>
        <v/>
      </c>
      <c r="KD43" s="49">
        <f>IFERROR(IF(VLOOKUP(tbMoveset!A43,tbMoveset!A2:H112,8,FALSE)="Other",IF(VLOOKUP(tbMoveset!A43,tbMoveset!A2:I112,9,FALSE)="Fire",Backdoors!BB44,IF(VLOOKUP(tbMoveset!A43,tbMoveset!A2:I112,9,FALSE)="Water",Backdoors!BC44,IF(VLOOKUP(tbMoveset!A43,tbMoveset!A2:I112,9,FALSE)="Thunder",Backdoors!BD44,IF(VLOOKUP(tbMoveset!A43,tbMoveset!A2:I112,9,FALSE)="Ice",Backdoors!BE44,IF(VLOOKUP(tbMoveset!A43,tbMoveset!A2:I112,9,FALSE)="Dragon",Backdoors!BF44,Backdoors!BG44)))))/100,Backdoors!BG44/100),"")</f>
        <v>0</v>
      </c>
      <c r="KE43" s="49">
        <f>IFERROR(IF(VLOOKUP(A43,tbMoveset!A2:J112,10,FALSE)=TRUE,IF((Backdoors!AI12+IF(KC43&gt;=0.45,VLOOKUP(Calculator!E23,tbSkills!DH3:DI6,2,FALSE)+IF(AND(Calculator!B8=TRUE,Backdoors!BI44=TRUE),VLOOKUP(Calculator!E23,tbSkills!DH3:DJ6,3,FALSE),0),0))&gt;=0,1+(Backdoors!AL2*(IF((Backdoors!AI12+IF(KC43&gt;=0.45,VLOOKUP(Calculator!E23,tbSkills!DH3:DI6,2,FALSE)+IF(AND(Calculator!B8=TRUE,Backdoors!BI44=TRUE),VLOOKUP(Calculator!E23,tbSkills!DH3:DJ6,3,FALSE),0),0))&gt;=100,100,(Backdoors!AI12+IF(KC43&gt;=0.45,VLOOKUP(Calculator!E23,tbSkills!DH3:DI6,2,FALSE)+IF(AND(Calculator!B8=TRUE,Backdoors!BI44=TRUE),VLOOKUP(Calculator!E23,tbSkills!DH3:DJ6,3,FALSE),0),0)))/100)),(1-(0.25*((-Backdoors!AI12-IF(KC43&gt;=0.45,VLOOKUP(Calculator!E23,tbSkills!DH3:DI6,2,FALSE)+IF(AND(Calculator!B8=TRUE,Backdoors!BI44=TRUE),VLOOKUP(Calculator!E23,tbSkills!DH3:DJ6,3,FALSE),0),0))/100)))),1),"")</f>
        <v>1</v>
      </c>
      <c r="KF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KC43)*KE43)*(VLOOKUP(A43,tbMoveset!A2:C112,3,FALSE)/100)*IF(VLOOKUP(A43,tbMoveset!A2:B112,2,FALSE)="Projectile",Backdoors!N10,Backdoors!N9),0),"")</f>
        <v/>
      </c>
      <c r="KG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REF!&gt;0,VLOOKUP(Calculator!#REF!,tbSkills!AC3:AD5,2,FALSE),Backdoors!AL3)*(IF((Backdoors!AI12+IF(KC43&gt;=0.45,VLOOKUP(Calculator!E23,tbSkills!DH3:DI6,2,FALSE)+IF(AND(Calculator!B8=TRUE,Backdoors!BI44=TRUE),VLOOKUP(Calculator!E23,tbSkills!DH3:DJ6,3,FALSE),0),0))&gt;=100,100,(Backdoors!AI12+IF(KC43&gt;=0.45,VLOOKUP(Calculator!E23,tbSkills!DH3:DI6,2,FALSE)+IF(AND(Calculator!B8=TRUE,Backdoors!BI44=TRUE),VLOOKUP(Calculator!E23,tbSkills!DH3:DJ6,3,FALSE),0),0)))/100)),1))*IF(VLOOKUP(A43,tbMoveset!A2:K112,11,FALSE)=TRUE,Backdoors!AC5,1))*KD43,0),"")</f>
        <v/>
      </c>
      <c r="KH43" s="49">
        <f>VLOOKUP(A43,tbMoveset!A2:G112,7,FALSE)*IFERROR(IF(Backdoors!AI12&gt;=0,1+(IF(Calculator!E40&gt;0,VLOOKUP(Calculator!E40,tbSkills!AI3:AJ5,2,FALSE),Backdoors!AL4)*(IF((Backdoors!AI12+IF(KC43&gt;=0.45,VLOOKUP(Calculator!E23,tbSkills!DH3:DI6,2,FALSE)+IF(AND(Calculator!B8=TRUE,Backdoors!BI44=TRUE),VLOOKUP(Calculator!E23,tbSkills!DH3:DJ6,3,FALSE),0),0))&gt;=100,100,(Backdoors!AI12+IF(KC43&gt;=0.45,VLOOKUP(Calculator!E23,tbSkills!DH3:DI6,2,FALSE)+IF(AND(Calculator!B8=TRUE,Backdoors!BI44=TRUE),VLOOKUP(Calculator!E23,tbSkills!DH3:DJ6,3,FALSE),0),0)))/100)),1),1)</f>
        <v>0.5</v>
      </c>
      <c r="KI43" s="87">
        <f t="shared" si="33"/>
        <v>0</v>
      </c>
      <c r="KJ43" s="86" t="str">
        <f>IFERROR(IF(VLOOKUP(A43,tbMoveset!A2:B112,2,FALSE)="Sever",Backdoors!AY45/100,IF(VLOOKUP(A43,tbMoveset!A2:B112,2,FALSE)="Blunt",Backdoors!AZ45/100,Backdoors!BA45/100)),"")</f>
        <v/>
      </c>
      <c r="KK43" s="49">
        <f>IFERROR(IF(VLOOKUP(tbMoveset!A43,tbMoveset!A2:H112,8,FALSE)="Other",IF(VLOOKUP(tbMoveset!A43,tbMoveset!A2:I112,9,FALSE)="Fire",Backdoors!BB45,IF(VLOOKUP(tbMoveset!A43,tbMoveset!A2:I112,9,FALSE)="Water",Backdoors!BC45,IF(VLOOKUP(tbMoveset!A43,tbMoveset!A2:I112,9,FALSE)="Thunder",Backdoors!BD45,IF(VLOOKUP(tbMoveset!A43,tbMoveset!A2:I112,9,FALSE)="Ice",Backdoors!BE45,IF(VLOOKUP(tbMoveset!A43,tbMoveset!A2:I112,9,FALSE)="Dragon",Backdoors!BF45,Backdoors!BG45)))))/100,Backdoors!BG45/100),"")</f>
        <v>0</v>
      </c>
      <c r="KL43" s="49">
        <f>IFERROR(IF(VLOOKUP(A43,tbMoveset!A2:J112,10,FALSE)=TRUE,IF((Backdoors!AI12+IF(KJ43&gt;=0.45,VLOOKUP(Calculator!E23,tbSkills!DH3:DI6,2,FALSE)+IF(AND(Calculator!B8=TRUE,Backdoors!BI45=TRUE),VLOOKUP(Calculator!E23,tbSkills!DH3:DJ6,3,FALSE),0),0))&gt;=0,1+(Backdoors!AL2*(IF((Backdoors!AI12+IF(KJ43&gt;=0.45,VLOOKUP(Calculator!E23,tbSkills!DH3:DI6,2,FALSE)+IF(AND(Calculator!B8=TRUE,Backdoors!BI45=TRUE),VLOOKUP(Calculator!E23,tbSkills!DH3:DJ6,3,FALSE),0),0))&gt;=100,100,(Backdoors!AI12+IF(KJ43&gt;=0.45,VLOOKUP(Calculator!E23,tbSkills!DH3:DI6,2,FALSE)+IF(AND(Calculator!B8=TRUE,Backdoors!BI45=TRUE),VLOOKUP(Calculator!E23,tbSkills!DH3:DJ6,3,FALSE),0),0)))/100)),(1-(0.25*((-Backdoors!AI12-IF(KJ43&gt;=0.45,VLOOKUP(Calculator!E23,tbSkills!DH3:DI6,2,FALSE)+IF(AND(Calculator!B8=TRUE,Backdoors!BI45=TRUE),VLOOKUP(Calculator!E23,tbSkills!DH3:DJ6,3,FALSE),0),0))/100)))),1),"")</f>
        <v>1</v>
      </c>
      <c r="KM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KJ43)*KL43)*(VLOOKUP(A43,tbMoveset!A2:C112,3,FALSE)/100)*IF(VLOOKUP(A43,tbMoveset!A2:B112,2,FALSE)="Projectile",Backdoors!N10,Backdoors!N9),0),"")</f>
        <v/>
      </c>
      <c r="KN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REF!&gt;0,VLOOKUP(Calculator!#REF!,tbSkills!AC3:AD5,2,FALSE),Backdoors!AL3)*(IF((Backdoors!AI12+IF(KJ43&gt;=0.45,VLOOKUP(Calculator!E23,tbSkills!DH3:DI6,2,FALSE)+IF(AND(Calculator!B8=TRUE,Backdoors!BI45=TRUE),VLOOKUP(Calculator!E23,tbSkills!DH3:DJ6,3,FALSE),0),0))&gt;=100,100,(Backdoors!AI12+IF(KJ43&gt;=0.45,VLOOKUP(Calculator!E23,tbSkills!DH3:DI6,2,FALSE)+IF(AND(Calculator!B8=TRUE,Backdoors!BI45=TRUE),VLOOKUP(Calculator!E23,tbSkills!DH3:DJ6,3,FALSE),0),0)))/100)),1))*IF(VLOOKUP(A43,tbMoveset!A2:K112,11,FALSE)=TRUE,Backdoors!AC5,1))*KK43,0),"")</f>
        <v/>
      </c>
      <c r="KO43" s="49">
        <f>VLOOKUP(A43,tbMoveset!A2:G112,7,FALSE)*IFERROR(IF(Backdoors!AI12&gt;=0,1+(IF(Calculator!E40&gt;0,VLOOKUP(Calculator!E40,tbSkills!AI3:AJ5,2,FALSE),Backdoors!AL4)*(IF((Backdoors!AI12+IF(KJ43&gt;=0.45,VLOOKUP(Calculator!E23,tbSkills!DH3:DI6,2,FALSE)+IF(AND(Calculator!B8=TRUE,Backdoors!BI45=TRUE),VLOOKUP(Calculator!E23,tbSkills!DH3:DJ6,3,FALSE),0),0))&gt;=100,100,(Backdoors!AI12+IF(KJ43&gt;=0.45,VLOOKUP(Calculator!E23,tbSkills!DH3:DI6,2,FALSE)+IF(AND(Calculator!B8=TRUE,Backdoors!BI45=TRUE),VLOOKUP(Calculator!E23,tbSkills!DH3:DJ6,3,FALSE),0),0)))/100)),1),1)</f>
        <v>0.5</v>
      </c>
      <c r="KP43" s="87">
        <f t="shared" si="34"/>
        <v>0</v>
      </c>
      <c r="KQ43" s="86" t="str">
        <f>IFERROR(IF(VLOOKUP(A43,tbMoveset!A2:B112,2,FALSE)="Sever",Backdoors!AY46/100,IF(VLOOKUP(A43,tbMoveset!A2:B112,2,FALSE)="Blunt",Backdoors!AZ46/100,Backdoors!BA46/100)),"")</f>
        <v/>
      </c>
      <c r="KR43" s="49">
        <f>IFERROR(IF(VLOOKUP(tbMoveset!A43,tbMoveset!A2:H112,8,FALSE)="Other",IF(VLOOKUP(tbMoveset!A43,tbMoveset!A2:I112,9,FALSE)="Fire",Backdoors!BB46,IF(VLOOKUP(tbMoveset!A43,tbMoveset!A2:I112,9,FALSE)="Water",Backdoors!BC46,IF(VLOOKUP(tbMoveset!A43,tbMoveset!A2:I112,9,FALSE)="Thunder",Backdoors!BD46,IF(VLOOKUP(tbMoveset!A43,tbMoveset!A2:I112,9,FALSE)="Ice",Backdoors!BE46,IF(VLOOKUP(tbMoveset!A43,tbMoveset!A2:I112,9,FALSE)="Dragon",Backdoors!BF46,Backdoors!BG46)))))/100,Backdoors!BG46/100),"")</f>
        <v>0</v>
      </c>
      <c r="KS43" s="49">
        <f>IFERROR(IF(VLOOKUP(A43,tbMoveset!A2:J112,10,FALSE)=TRUE,IF((Backdoors!AI12+IF(KQ43&gt;=0.45,VLOOKUP(Calculator!E23,tbSkills!DH3:DI6,2,FALSE)+IF(AND(Calculator!B8=TRUE,Backdoors!BI46=TRUE),VLOOKUP(Calculator!E23,tbSkills!DH3:DJ6,3,FALSE),0),0))&gt;=0,1+(Backdoors!AL2*(IF((Backdoors!AI12+IF(KQ43&gt;=0.45,VLOOKUP(Calculator!E23,tbSkills!DH3:DI6,2,FALSE)+IF(AND(Calculator!B8=TRUE,Backdoors!BI46=TRUE),VLOOKUP(Calculator!E23,tbSkills!DH3:DJ6,3,FALSE),0),0))&gt;=100,100,(Backdoors!AI12+IF(KQ43&gt;=0.45,VLOOKUP(Calculator!E23,tbSkills!DH3:DI6,2,FALSE)+IF(AND(Calculator!B8=TRUE,Backdoors!BI46=TRUE),VLOOKUP(Calculator!E23,tbSkills!DH3:DJ6,3,FALSE),0),0)))/100)),(1-(0.25*((-Backdoors!AI12-IF(KQ43&gt;=0.45,VLOOKUP(Calculator!E23,tbSkills!DH3:DI6,2,FALSE)+IF(AND(Calculator!B8=TRUE,Backdoors!BI46=TRUE),VLOOKUP(Calculator!E23,tbSkills!DH3:DJ6,3,FALSE),0),0))/100)))),1),"")</f>
        <v>1</v>
      </c>
      <c r="KT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KQ43)*KS43)*(VLOOKUP(A43,tbMoveset!A2:C112,3,FALSE)/100)*IF(VLOOKUP(A43,tbMoveset!A2:B112,2,FALSE)="Projectile",Backdoors!N10,Backdoors!N9),0),"")</f>
        <v/>
      </c>
      <c r="KU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REF!&gt;0,VLOOKUP(Calculator!#REF!,tbSkills!AC3:AD5,2,FALSE),Backdoors!AL3)*(IF((Backdoors!AI12+IF(KQ43&gt;=0.45,VLOOKUP(Calculator!E23,tbSkills!DH3:DI6,2,FALSE)+IF(AND(Calculator!B8=TRUE,Backdoors!BI46=TRUE),VLOOKUP(Calculator!E23,tbSkills!DH3:DJ6,3,FALSE),0),0))&gt;=100,100,(Backdoors!AI12+IF(KQ43&gt;=0.45,VLOOKUP(Calculator!E23,tbSkills!DH3:DI6,2,FALSE)+IF(AND(Calculator!B8=TRUE,Backdoors!BI46=TRUE),VLOOKUP(Calculator!E23,tbSkills!DH3:DJ6,3,FALSE),0),0)))/100)),1))*IF(VLOOKUP(A43,tbMoveset!A2:K112,11,FALSE)=TRUE,Backdoors!AC5,1))*KR43,0),"")</f>
        <v/>
      </c>
      <c r="KV43" s="49">
        <f>VLOOKUP(A43,tbMoveset!A2:G112,7,FALSE)*IFERROR(IF(Backdoors!AI12&gt;=0,1+(IF(Calculator!E40&gt;0,VLOOKUP(Calculator!E40,tbSkills!AI3:AJ5,2,FALSE),Backdoors!AL4)*(IF((Backdoors!AI12+IF(KQ43&gt;=0.45,VLOOKUP(Calculator!E23,tbSkills!DH3:DI6,2,FALSE)+IF(AND(Calculator!B8=TRUE,Backdoors!BI46=TRUE),VLOOKUP(Calculator!E23,tbSkills!DH3:DJ6,3,FALSE),0),0))&gt;=100,100,(Backdoors!AI12+IF(KQ43&gt;=0.45,VLOOKUP(Calculator!E23,tbSkills!DH3:DI6,2,FALSE)+IF(AND(Calculator!B8=TRUE,Backdoors!BI46=TRUE),VLOOKUP(Calculator!E23,tbSkills!DH3:DJ6,3,FALSE),0),0)))/100)),1),1)</f>
        <v>0.5</v>
      </c>
      <c r="KW43" s="87">
        <f t="shared" si="35"/>
        <v>0</v>
      </c>
    </row>
    <row r="44" spans="1:309" x14ac:dyDescent="0.25">
      <c r="A44" s="95" t="str">
        <f>tbMoveset!A44</f>
        <v>Sixfold Demon Slash (R3)</v>
      </c>
      <c r="B44" s="86">
        <f>IFERROR(IF(VLOOKUP(A44,tbMoveset!A2:B112,2,FALSE)="Sever",Backdoors!AY3/100,IF(VLOOKUP(A44,tbMoveset!A2:B112,2,FALSE)="Blunt",Backdoors!AZ3/100,Backdoors!BA3/100)),"")</f>
        <v>0.8</v>
      </c>
      <c r="C44" s="49">
        <f>IFERROR(IF(VLOOKUP(tbMoveset!A44,tbMoveset!A2:H112,8,FALSE)="Other",IF(VLOOKUP(tbMoveset!A44,tbMoveset!A2:I112,9,FALSE)="Fire",Backdoors!BB3,IF(VLOOKUP(tbMoveset!A44,tbMoveset!A2:I112,9,FALSE)="Water",Backdoors!BC3,IF(VLOOKUP(tbMoveset!A44,tbMoveset!A2:I112,9,FALSE)="Thunder",Backdoors!BD3,IF(VLOOKUP(tbMoveset!A44,tbMoveset!A2:I112,9,FALSE)="Ice",Backdoors!BE3,IF(VLOOKUP(tbMoveset!A44,tbMoveset!A2:I112,9,FALSE)="Dragon",Backdoors!BF3,Backdoors!BG3)))))/100,Backdoors!BG3/100),"")</f>
        <v>0</v>
      </c>
      <c r="D44" s="49">
        <f>IFERROR(IF(VLOOKUP(A44,tbMoveset!A2:J112,10,FALSE)=TRUE,IF((Backdoors!AI12+IF(B44&gt;=0.45,VLOOKUP(Calculator!E23,tbSkills!DH3:DI6,2,FALSE)+IF(AND(Calculator!B8=TRUE,Backdoors!BI3=TRUE),VLOOKUP(Calculator!E23,tbSkills!DH3:DJ6,3,FALSE),0),0))&gt;=0,1+(Backdoors!AL2*(IF((Backdoors!AI12+IF(B44&gt;=0.45,VLOOKUP(Calculator!E23,tbSkills!DH3:DI6,2,FALSE)+IF(AND(Calculator!B8=TRUE,Backdoors!BI3=TRUE),VLOOKUP(Calculator!E23,tbSkills!DH3:DJ6,3,FALSE),0),0))&gt;=100,100,(Backdoors!AI12+IF(B44&gt;=0.45,VLOOKUP(Calculator!E23,tbSkills!DH3:DI6,2,FALSE)+IF(AND(Calculator!B8=TRUE,Backdoors!BI3=TRUE),VLOOKUP(Calculator!E23,tbSkills!DH3:DJ6,3,FALSE),0),0)))/100)),(1-(0.25*((-Backdoors!AI12-IF(B44&gt;=0.45,VLOOKUP(Calculator!E23,tbSkills!DH3:DI6,2,FALSE)+IF(AND(Calculator!B8=TRUE,Backdoors!BI3=TRUE),VLOOKUP(Calculator!E23,tbSkills!DH3:DJ6,3,FALSE),0),0))/100)))),1),"")</f>
        <v>1</v>
      </c>
      <c r="E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44)*D44)*(VLOOKUP(A44,tbMoveset!A2:C112,3,FALSE)/100)*IF(VLOOKUP(A44,tbMoveset!A2:B112,2,FALSE)="Projectile",Backdoors!N10,Backdoors!N9),0),"")</f>
        <v>11</v>
      </c>
      <c r="F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44&gt;=0.45,VLOOKUP(Calculator!E23,tbSkills!DH3:DI6,2,FALSE)+IF(AND(Calculator!B8=TRUE,Backdoors!BI3=TRUE),VLOOKUP(Calculator!E23,tbSkills!DH3:DJ6,3,FALSE),0),0))&gt;=100,100,(Backdoors!AI12+IF(B44&gt;=0.45,VLOOKUP(Calculator!E23,tbSkills!DH3:DI6,2,FALSE)+IF(AND(Calculator!B8=TRUE,Backdoors!BI3=TRUE),VLOOKUP(Calculator!E23,tbSkills!DH3:DJ6,3,FALSE),0),0)))/100)),1))*IF(VLOOKUP(A44,tbMoveset!A2:K112,11,FALSE)=TRUE,Backdoors!AC5,1))*C44,0),"")</f>
        <v>0</v>
      </c>
      <c r="G44">
        <f>VLOOKUP(A44,tbMoveset!A2:G112,7,FALSE)*IFERROR(IF(Backdoors!AI12&gt;=0,1+(IF(Calculator!E40&gt;0,VLOOKUP(Calculator!E40,tbSkills!AI3:AJ5,2,FALSE),Backdoors!AL4)*(IF((Backdoors!AI12+IF(B44&gt;=0.45,VLOOKUP(Calculator!E23,tbSkills!DH3:DI6,2,FALSE)+IF(AND(Calculator!B8=TRUE,Backdoors!BI3=TRUE),VLOOKUP(Calculator!E23,tbSkills!DH3:DJ6,3,FALSE),0),0))&gt;=100,100,(Backdoors!AI12+IF(B44&gt;=0.45,VLOOKUP(Calculator!E23,tbSkills!DH3:DI6,2,FALSE)+IF(AND(Calculator!B8=TRUE,Backdoors!BI3=TRUE),VLOOKUP(Calculator!E23,tbSkills!DH3:DJ6,3,FALSE),0),0)))/100)),1),1)</f>
        <v>0.5</v>
      </c>
      <c r="H44" s="87">
        <f t="shared" si="44"/>
        <v>11</v>
      </c>
      <c r="I44" s="86">
        <f>IFERROR(IF(VLOOKUP(A44,tbMoveset!A2:B112,2,FALSE)="Sever",Backdoors!AY4/100,IF(VLOOKUP(A44,tbMoveset!A2:B112,2,FALSE)="Blunt",Backdoors!AZ4/100,Backdoors!BA4/100)),"")</f>
        <v>0.65</v>
      </c>
      <c r="J44" s="49">
        <f>IFERROR(IF(VLOOKUP(tbMoveset!A44,tbMoveset!A2:H112,8,FALSE)="Other",IF(VLOOKUP(tbMoveset!A44,tbMoveset!A2:I112,9,FALSE)="Fire",Backdoors!BB4,IF(VLOOKUP(tbMoveset!A44,tbMoveset!A2:I112,9,FALSE)="Water",Backdoors!BC4,IF(VLOOKUP(tbMoveset!A44,tbMoveset!A2:I112,9,FALSE)="Thunder",Backdoors!BD4,IF(VLOOKUP(tbMoveset!A44,tbMoveset!A2:I112,9,FALSE)="Ice",Backdoors!BE4,IF(VLOOKUP(tbMoveset!A44,tbMoveset!A2:I112,9,FALSE)="Dragon",Backdoors!BF4,Backdoors!BG4)))))/100,Backdoors!BG4/100),"")</f>
        <v>0</v>
      </c>
      <c r="K44" s="49">
        <f>IFERROR(IF(VLOOKUP(A44,tbMoveset!A2:J112,10,FALSE)=TRUE,IF((Backdoors!AI12+IF(I44&gt;=0.45,VLOOKUP(Calculator!E23,tbSkills!DH3:DI6,2,FALSE)+IF(AND(Calculator!B8=TRUE,Backdoors!BI4=TRUE),VLOOKUP(Calculator!E23,tbSkills!DH3:DJ6,3,FALSE),0),0))&gt;=0,1+(Backdoors!AL2*(IF((Backdoors!AI12+IF(I44&gt;=0.45,VLOOKUP(Calculator!E23,tbSkills!DH3:DI6,2,FALSE)+IF(AND(Calculator!B8=TRUE,Backdoors!BI4=TRUE),VLOOKUP(Calculator!E23,tbSkills!DH3:DJ6,3,FALSE),0),0))&gt;=100,100,(Backdoors!AI12+IF(I44&gt;=0.45,VLOOKUP(Calculator!E23,tbSkills!DH3:DI6,2,FALSE)+IF(AND(Calculator!B8=TRUE,Backdoors!BI4=TRUE),VLOOKUP(Calculator!E23,tbSkills!DH3:DJ6,3,FALSE),0),0)))/100)),(1-(0.25*((-Backdoors!AI12-IF(I44&gt;=0.45,VLOOKUP(Calculator!E23,tbSkills!DH3:DI6,2,FALSE)+IF(AND(Calculator!B8=TRUE,Backdoors!BI4=TRUE),VLOOKUP(Calculator!E23,tbSkills!DH3:DJ6,3,FALSE),0),0))/100)))),1),"")</f>
        <v>1</v>
      </c>
      <c r="L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44)*K44)*(VLOOKUP(A44,tbMoveset!A2:C112,3,FALSE)/100)*IF(VLOOKUP(A44,tbMoveset!A2:B112,2,FALSE)="Projectile",Backdoors!N10,Backdoors!N9),0),"")</f>
        <v>9</v>
      </c>
      <c r="M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I44&gt;=0.45,VLOOKUP(Calculator!E23,tbSkills!DH3:DI6,2,FALSE)+IF(AND(Calculator!B8=TRUE,Backdoors!BI4=TRUE),VLOOKUP(Calculator!E23,tbSkills!DH3:DJ6,3,FALSE),0),0))&gt;=100,100,(Backdoors!AI12+IF(I44&gt;=0.45,VLOOKUP(Calculator!E23,tbSkills!DH3:DI6,2,FALSE)+IF(AND(Calculator!B8=TRUE,Backdoors!BI4=TRUE),VLOOKUP(Calculator!E23,tbSkills!DH3:DJ6,3,FALSE),0),0)))/100)),1))*IF(VLOOKUP(A44,tbMoveset!A2:K112,11,FALSE)=TRUE,Backdoors!AC5,1))*J44,0),"")</f>
        <v>0</v>
      </c>
      <c r="N44" s="49">
        <f>VLOOKUP(A44,tbMoveset!A2:G112,7,FALSE)*IFERROR(IF(Backdoors!AI12&gt;=0,1+(IF(Calculator!E40&gt;0,VLOOKUP(Calculator!E40,tbSkills!AI3:AJ5,2,FALSE),Backdoors!AL4)*(IF((Backdoors!AI12+IF(I44&gt;=0.45,VLOOKUP(Calculator!E23,tbSkills!DH3:DI6,2,FALSE)+IF(AND(Calculator!B8=TRUE,Backdoors!BI4=TRUE),VLOOKUP(Calculator!E23,tbSkills!DH3:DJ6,3,FALSE),0),0))&gt;=100,100,(Backdoors!AI12+IF(I44&gt;=0.45,VLOOKUP(Calculator!E23,tbSkills!DH3:DI6,2,FALSE)+IF(AND(Calculator!B8=TRUE,Backdoors!BI4=TRUE),VLOOKUP(Calculator!E23,tbSkills!DH3:DJ6,3,FALSE),0),0)))/100)),1),1)</f>
        <v>0.5</v>
      </c>
      <c r="O44" s="87">
        <f t="shared" si="45"/>
        <v>9</v>
      </c>
      <c r="P44" s="86">
        <f>IFERROR(IF(VLOOKUP(A44,tbMoveset!A2:B112,2,FALSE)="Sever",Backdoors!AY5/100,IF(VLOOKUP(A44,tbMoveset!A2:B112,2,FALSE)="Blunt",Backdoors!AZ5/100,Backdoors!BA5/100)),"")</f>
        <v>0.5</v>
      </c>
      <c r="Q44" s="49">
        <f>IFERROR(IF(VLOOKUP(tbMoveset!A44,tbMoveset!A2:H112,8,FALSE)="Other",IF(VLOOKUP(tbMoveset!A44,tbMoveset!A2:I112,9,FALSE)="Fire",Backdoors!BB5,IF(VLOOKUP(tbMoveset!A44,tbMoveset!A2:I112,9,FALSE)="Water",Backdoors!BC5,IF(VLOOKUP(tbMoveset!A44,tbMoveset!A2:I112,9,FALSE)="Thunder",Backdoors!BD5,IF(VLOOKUP(tbMoveset!A44,tbMoveset!A2:I112,9,FALSE)="Ice",Backdoors!BE5,IF(VLOOKUP(tbMoveset!A44,tbMoveset!A2:I112,9,FALSE)="Dragon",Backdoors!BF5,Backdoors!BG5)))))/100,Backdoors!BG5/100),"")</f>
        <v>0</v>
      </c>
      <c r="R44" s="49">
        <f>IFERROR(IF(VLOOKUP(A44,tbMoveset!A2:J112,10,FALSE)=TRUE,IF((Backdoors!AI12+IF(P44&gt;=0.45,VLOOKUP(Calculator!E23,tbSkills!DH3:DI6,2,FALSE)+IF(AND(Calculator!B8=TRUE,Backdoors!BI5=TRUE),VLOOKUP(Calculator!E23,tbSkills!DH3:DJ6,3,FALSE),0),0))&gt;=0,1+(Backdoors!AL2*(IF((Backdoors!AI12+IF(P44&gt;=0.45,VLOOKUP(Calculator!E23,tbSkills!DH3:DI6,2,FALSE)+IF(AND(Calculator!B8=TRUE,Backdoors!BI5=TRUE),VLOOKUP(Calculator!E23,tbSkills!DH3:DJ6,3,FALSE),0),0))&gt;=100,100,(Backdoors!AI12+IF(P44&gt;=0.45,VLOOKUP(Calculator!E23,tbSkills!DH3:DI6,2,FALSE)+IF(AND(Calculator!B8=TRUE,Backdoors!BI5=TRUE),VLOOKUP(Calculator!E23,tbSkills!DH3:DJ6,3,FALSE),0),0)))/100)),(1-(0.25*((-Backdoors!AI12-IF(P44&gt;=0.45,VLOOKUP(Calculator!E23,tbSkills!DH3:DI6,2,FALSE)+IF(AND(Calculator!B8=TRUE,Backdoors!BI5=TRUE),VLOOKUP(Calculator!E23,tbSkills!DH3:DJ6,3,FALSE),0),0))/100)))),1),"")</f>
        <v>1</v>
      </c>
      <c r="S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P44)*R44)*(VLOOKUP(A44,tbMoveset!A2:C112,3,FALSE)/100)*IF(VLOOKUP(A44,tbMoveset!A2:B112,2,FALSE)="Projectile",Backdoors!N10,Backdoors!N9),0),"")</f>
        <v>7</v>
      </c>
      <c r="T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P44&gt;=0.45,VLOOKUP(Calculator!E23,tbSkills!DH3:DI6,2,FALSE)+IF(AND(Calculator!B8=TRUE,Backdoors!BI5=TRUE),VLOOKUP(Calculator!E23,tbSkills!DH3:DJ6,3,FALSE),0),0))&gt;=100,100,(Backdoors!AI12+IF(P44&gt;=0.45,VLOOKUP(Calculator!E23,tbSkills!DH3:DI6,2,FALSE)+IF(AND(Calculator!B8=TRUE,Backdoors!BI5=TRUE),VLOOKUP(Calculator!E23,tbSkills!DH3:DJ6,3,FALSE),0),0)))/100)),1))*IF(VLOOKUP(A44,tbMoveset!A2:K112,11,FALSE)=TRUE,Backdoors!AC5,1))*Q44,0),"")</f>
        <v>0</v>
      </c>
      <c r="U44" s="49">
        <f>VLOOKUP(A44,tbMoveset!A2:G112,7,FALSE)*IFERROR(IF(Backdoors!AI12&gt;=0,1+(IF(Calculator!E40&gt;0,VLOOKUP(Calculator!E40,tbSkills!AI3:AJ5,2,FALSE),Backdoors!AL4)*(IF((Backdoors!AI12+IF(P44&gt;=0.45,VLOOKUP(Calculator!E23,tbSkills!DH3:DI6,2,FALSE)+IF(AND(Calculator!B8=TRUE,Backdoors!BI5=TRUE),VLOOKUP(Calculator!E23,tbSkills!DH3:DJ6,3,FALSE),0),0))&gt;=100,100,(Backdoors!AI12+IF(P44&gt;=0.45,VLOOKUP(Calculator!E23,tbSkills!DH3:DI6,2,FALSE)+IF(AND(Calculator!B8=TRUE,Backdoors!BI5=TRUE),VLOOKUP(Calculator!E23,tbSkills!DH3:DJ6,3,FALSE),0),0)))/100)),1),1)</f>
        <v>0.5</v>
      </c>
      <c r="V44" s="87">
        <f t="shared" si="46"/>
        <v>7</v>
      </c>
      <c r="W44" s="86">
        <f>IFERROR(IF(VLOOKUP(A44,tbMoveset!A2:B112,2,FALSE)="Sever",Backdoors!AY6/100,IF(VLOOKUP(A44,tbMoveset!A2:B112,2,FALSE)="Blunt",Backdoors!AZ6/100,Backdoors!BA6/100)),"")</f>
        <v>0.45</v>
      </c>
      <c r="X44" s="49">
        <f>IFERROR(IF(VLOOKUP(tbMoveset!A44,tbMoveset!A2:H112,8,FALSE)="Other",IF(VLOOKUP(tbMoveset!A44,tbMoveset!A2:I112,9,FALSE)="Fire",Backdoors!BB6,IF(VLOOKUP(tbMoveset!A44,tbMoveset!A2:I112,9,FALSE)="Water",Backdoors!BC6,IF(VLOOKUP(tbMoveset!A44,tbMoveset!A2:I112,9,FALSE)="Thunder",Backdoors!BD6,IF(VLOOKUP(tbMoveset!A44,tbMoveset!A2:I112,9,FALSE)="Ice",Backdoors!BE6,IF(VLOOKUP(tbMoveset!A44,tbMoveset!A2:I112,9,FALSE)="Dragon",Backdoors!BF6,Backdoors!BG6)))))/100,Backdoors!BG6/100),"")</f>
        <v>0</v>
      </c>
      <c r="Y44" s="49">
        <f>IFERROR(IF(VLOOKUP(A44,tbMoveset!A2:J112,10,FALSE)=TRUE,IF((Backdoors!AI12+IF(W44&gt;=0.45,VLOOKUP(Calculator!E23,tbSkills!DH3:DI6,2,FALSE)+IF(AND(Calculator!B8=TRUE,Backdoors!BI6=TRUE),VLOOKUP(Calculator!E23,tbSkills!DH3:DJ6,3,FALSE),0),0))&gt;=0,1+(Backdoors!AL2*(IF((Backdoors!AI12+IF(W44&gt;=0.45,VLOOKUP(Calculator!E23,tbSkills!DH3:DI6,2,FALSE)+IF(AND(Calculator!B8=TRUE,Backdoors!BI6=TRUE),VLOOKUP(Calculator!E23,tbSkills!DH3:DJ6,3,FALSE),0),0))&gt;=100,100,(Backdoors!AI12+IF(W44&gt;=0.45,VLOOKUP(Calculator!E23,tbSkills!DH3:DI6,2,FALSE)+IF(AND(Calculator!B8=TRUE,Backdoors!BI6=TRUE),VLOOKUP(Calculator!E23,tbSkills!DH3:DJ6,3,FALSE),0),0)))/100)),(1-(0.25*((-Backdoors!AI12-IF(W44&gt;=0.45,VLOOKUP(Calculator!E23,tbSkills!DH3:DI6,2,FALSE)+IF(AND(Calculator!B8=TRUE,Backdoors!BI6=TRUE),VLOOKUP(Calculator!E23,tbSkills!DH3:DJ6,3,FALSE),0),0))/100)))),1),"")</f>
        <v>1</v>
      </c>
      <c r="Z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W44)*Y44)*(VLOOKUP(A44,tbMoveset!A2:C112,3,FALSE)/100)*IF(VLOOKUP(A44,tbMoveset!A2:B112,2,FALSE)="Projectile",Backdoors!N10,Backdoors!N9),0),"")</f>
        <v>6</v>
      </c>
      <c r="AA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W44&gt;=0.45,VLOOKUP(Calculator!E23,tbSkills!DH3:DI6,2,FALSE)+IF(AND(Calculator!B8=TRUE,Backdoors!BI6=TRUE),VLOOKUP(Calculator!E23,tbSkills!DH3:DJ6,3,FALSE),0),0))&gt;=100,100,(Backdoors!AI12+IF(W44&gt;=0.45,VLOOKUP(Calculator!E23,tbSkills!DH3:DI6,2,FALSE)+IF(AND(Calculator!B8=TRUE,Backdoors!BI6=TRUE),VLOOKUP(Calculator!E23,tbSkills!DH3:DJ6,3,FALSE),0),0)))/100)),1))*IF(VLOOKUP(A44,tbMoveset!A2:K112,11,FALSE)=TRUE,Backdoors!AC5,1))*X44,0),"")</f>
        <v>0</v>
      </c>
      <c r="AB44" s="49">
        <f>VLOOKUP(A44,tbMoveset!A2:G112,7,FALSE)*IFERROR(IF(Backdoors!AI12&gt;=0,1+(IF(Calculator!E40&gt;0,VLOOKUP(Calculator!E40,tbSkills!AI3:AJ5,2,FALSE),Backdoors!AL4)*(IF((Backdoors!AI12+IF(W44&gt;=0.45,VLOOKUP(Calculator!E23,tbSkills!DH3:DI6,2,FALSE)+IF(AND(Calculator!B8=TRUE,Backdoors!BI6=TRUE),VLOOKUP(Calculator!E23,tbSkills!DH3:DJ6,3,FALSE),0),0))&gt;=100,100,(Backdoors!AI12+IF(W44&gt;=0.45,VLOOKUP(Calculator!E23,tbSkills!DH3:DI6,2,FALSE)+IF(AND(Calculator!B8=TRUE,Backdoors!BI6=TRUE),VLOOKUP(Calculator!E23,tbSkills!DH3:DJ6,3,FALSE),0),0)))/100)),1),1)</f>
        <v>0.5</v>
      </c>
      <c r="AC44" s="87">
        <f t="shared" si="47"/>
        <v>6</v>
      </c>
      <c r="AD44" s="86">
        <f>IFERROR(IF(VLOOKUP(A44,tbMoveset!A2:B112,2,FALSE)="Sever",Backdoors!AY7/100,IF(VLOOKUP(A44,tbMoveset!A2:B112,2,FALSE)="Blunt",Backdoors!AZ7/100,Backdoors!BA7/100)),"")</f>
        <v>0.65</v>
      </c>
      <c r="AE44" s="49">
        <f>IFERROR(IF(VLOOKUP(tbMoveset!A44,tbMoveset!A2:H112,8,FALSE)="Other",IF(VLOOKUP(tbMoveset!A44,tbMoveset!A2:I112,9,FALSE)="Fire",Backdoors!BB7,IF(VLOOKUP(tbMoveset!A44,tbMoveset!A2:I112,9,FALSE)="Water",Backdoors!BC7,IF(VLOOKUP(tbMoveset!A44,tbMoveset!A2:I112,9,FALSE)="Thunder",Backdoors!BD7,IF(VLOOKUP(tbMoveset!A44,tbMoveset!A2:I112,9,FALSE)="Ice",Backdoors!BE7,IF(VLOOKUP(tbMoveset!A44,tbMoveset!A2:I112,9,FALSE)="Dragon",Backdoors!BF7,Backdoors!BG7)))))/100,Backdoors!BG7/100),"")</f>
        <v>0</v>
      </c>
      <c r="AF44" s="49">
        <f>IFERROR(IF(VLOOKUP(A44,tbMoveset!A2:J112,10,FALSE)=TRUE,IF((Backdoors!AI12+IF(AD44&gt;=0.45,VLOOKUP(Calculator!E23,tbSkills!DH3:DI6,2,FALSE)+IF(AND(Calculator!B8=TRUE,Backdoors!BI7=TRUE),VLOOKUP(Calculator!E23,tbSkills!DH3:DJ6,3,FALSE),0),0))&gt;=0,1+(Backdoors!AL2*(IF((Backdoors!AI12+IF(AD44&gt;=0.45,VLOOKUP(Calculator!E23,tbSkills!DH3:DI6,2,FALSE)+IF(AND(Calculator!B8=TRUE,Backdoors!BI7=TRUE),VLOOKUP(Calculator!E23,tbSkills!DH3:DJ6,3,FALSE),0),0))&gt;=100,100,(Backdoors!AI12+IF(AD44&gt;=0.45,VLOOKUP(Calculator!E23,tbSkills!DH3:DI6,2,FALSE)+IF(AND(Calculator!B8=TRUE,Backdoors!BI7=TRUE),VLOOKUP(Calculator!E23,tbSkills!DH3:DJ6,3,FALSE),0),0)))/100)),(1-(0.25*((-Backdoors!AI12-IF(AD44&gt;=0.45,VLOOKUP(Calculator!E23,tbSkills!DH3:DI6,2,FALSE)+IF(AND(Calculator!B8=TRUE,Backdoors!BI7=TRUE),VLOOKUP(Calculator!E23,tbSkills!DH3:DJ6,3,FALSE),0),0))/100)))),1),"")</f>
        <v>1</v>
      </c>
      <c r="AG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D44)*AF44)*(VLOOKUP(A44,tbMoveset!A2:C112,3,FALSE)/100)*IF(VLOOKUP(A44,tbMoveset!A2:B112,2,FALSE)="Projectile",Backdoors!N10,Backdoors!N9),0),"")</f>
        <v>9</v>
      </c>
      <c r="AH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D44&gt;=0.45,VLOOKUP(Calculator!E23,tbSkills!DH3:DI6,2,FALSE)+IF(AND(Calculator!B8=TRUE,Backdoors!BI7=TRUE),VLOOKUP(Calculator!E23,tbSkills!DH3:DJ6,3,FALSE),0),0))&gt;=100,100,(Backdoors!AI12+IF(AD44&gt;=0.45,VLOOKUP(Calculator!E23,tbSkills!DH3:DI6,2,FALSE)+IF(AND(Calculator!B8=TRUE,Backdoors!BI7=TRUE),VLOOKUP(Calculator!E23,tbSkills!DH3:DJ6,3,FALSE),0),0)))/100)),1))*IF(VLOOKUP(A44,tbMoveset!A2:K112,11,FALSE)=TRUE,Backdoors!AC5,1))*AE44,0),"")</f>
        <v>0</v>
      </c>
      <c r="AI44" s="49">
        <f>VLOOKUP(A44,tbMoveset!A2:G112,7,FALSE)*IFERROR(IF(Backdoors!AI12&gt;=0,1+(IF(Calculator!E40&gt;0,VLOOKUP(Calculator!E40,tbSkills!AI3:AJ5,2,FALSE),Backdoors!AL4)*(IF((Backdoors!AI12+IF(AD44&gt;=0.45,VLOOKUP(Calculator!E23,tbSkills!DH3:DI6,2,FALSE)+IF(AND(Calculator!B8=TRUE,Backdoors!BI7=TRUE),VLOOKUP(Calculator!E23,tbSkills!DH3:DJ6,3,FALSE),0),0))&gt;=100,100,(Backdoors!AI12+IF(AD44&gt;=0.45,VLOOKUP(Calculator!E23,tbSkills!DH3:DI6,2,FALSE)+IF(AND(Calculator!B8=TRUE,Backdoors!BI7=TRUE),VLOOKUP(Calculator!E23,tbSkills!DH3:DJ6,3,FALSE),0),0)))/100)),1),1)</f>
        <v>0.5</v>
      </c>
      <c r="AJ44" s="87">
        <f t="shared" si="48"/>
        <v>9</v>
      </c>
      <c r="AK44" s="91">
        <f>IFERROR(IF(VLOOKUP(A44,tbMoveset!A2:B112,2,FALSE)="Sever",Backdoors!AY8/100,IF(VLOOKUP(A44,tbMoveset!A2:B112,2,FALSE)="Blunt",Backdoors!AZ8/100,Backdoors!BA8/100)),"")</f>
        <v>0.45</v>
      </c>
      <c r="AL44" s="49">
        <f>IFERROR(IF(VLOOKUP(tbMoveset!A44,tbMoveset!A2:H112,8,FALSE)="Other",IF(VLOOKUP(tbMoveset!A44,tbMoveset!A2:I112,9,FALSE)="Fire",Backdoors!BB8,IF(VLOOKUP(tbMoveset!A44,tbMoveset!A2:I112,9,FALSE)="Water",Backdoors!BC8,IF(VLOOKUP(tbMoveset!A44,tbMoveset!A2:I112,9,FALSE)="Thunder",Backdoors!BD8,IF(VLOOKUP(tbMoveset!A44,tbMoveset!A2:I112,9,FALSE)="Ice",Backdoors!BE8,IF(VLOOKUP(tbMoveset!A44,tbMoveset!A2:I112,9,FALSE)="Dragon",Backdoors!BF8,Backdoors!BG8)))))/100,Backdoors!BG8/100),"")</f>
        <v>0</v>
      </c>
      <c r="AM44" s="49">
        <f>IFERROR(IF(VLOOKUP(A44,tbMoveset!A2:J112,10,FALSE)=TRUE,IF((Backdoors!AI12+IF(AK44&gt;=0.45,VLOOKUP(Calculator!E23,tbSkills!DH3:DI6,2,FALSE)+IF(AND(Calculator!B8=TRUE,Backdoors!BI8=TRUE),VLOOKUP(Calculator!E23,tbSkills!DH3:DJ6,3,FALSE),0),0))&gt;=0,1+(Backdoors!AL2*(IF((Backdoors!AI12+IF(AK44&gt;=0.45,VLOOKUP(Calculator!E23,tbSkills!DH3:DI6,2,FALSE)+IF(AND(Calculator!B8=TRUE,Backdoors!BI8=TRUE),VLOOKUP(Calculator!E23,tbSkills!DH3:DJ6,3,FALSE),0),0))&gt;=100,100,(Backdoors!AI12+IF(AK44&gt;=0.45,VLOOKUP(Calculator!E23,tbSkills!DH3:DI6,2,FALSE)+IF(AND(Calculator!B8=TRUE,Backdoors!BI8=TRUE),VLOOKUP(Calculator!E23,tbSkills!DH3:DJ6,3,FALSE),0),0)))/100)),(1-(0.25*((-Backdoors!AI12-IF(AK44&gt;=0.45,VLOOKUP(Calculator!E23,tbSkills!DH3:DI6,2,FALSE)+IF(AND(Calculator!B8=TRUE,Backdoors!BI8=TRUE),VLOOKUP(Calculator!E23,tbSkills!DH3:DJ6,3,FALSE),0),0))/100)))),1),"")</f>
        <v>1</v>
      </c>
      <c r="AN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K44)*AM44)*(VLOOKUP(A44,tbMoveset!A2:C112,3,FALSE)/100)*IF(VLOOKUP(A44,tbMoveset!A2:B112,2,FALSE)="Projectile",Backdoors!N10,Backdoors!N9),0),"")</f>
        <v>6</v>
      </c>
      <c r="AO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K44&gt;=0.45,VLOOKUP(Calculator!E23,tbSkills!DH3:DI6,2,FALSE)+IF(AND(Calculator!B8=TRUE,Backdoors!BI8=TRUE),VLOOKUP(Calculator!E23,tbSkills!DH3:DJ6,3,FALSE),0),0))&gt;=100,100,(Backdoors!AI12+IF(AK44&gt;=0.45,VLOOKUP(Calculator!E23,tbSkills!DH3:DI6,2,FALSE)+IF(AND(Calculator!B8=TRUE,Backdoors!BI8=TRUE),VLOOKUP(Calculator!E23,tbSkills!DH3:DJ6,3,FALSE),0),0)))/100)),1))*IF(VLOOKUP(A44,tbMoveset!A2:K112,11,FALSE)=TRUE,Backdoors!AC5,1))*AL44,0),"")</f>
        <v>0</v>
      </c>
      <c r="AP44" s="49">
        <f>VLOOKUP(A44,tbMoveset!A2:G112,7,FALSE)*IFERROR(IF(Backdoors!AI12&gt;=0,1+(IF(Calculator!E40&gt;0,VLOOKUP(Calculator!E40,tbSkills!AI3:AJ5,2,FALSE),Backdoors!AL4)*(IF((Backdoors!AI12+IF(AK44&gt;=0.45,VLOOKUP(Calculator!E23,tbSkills!DH3:DI6,2,FALSE)+IF(AND(Calculator!B8=TRUE,Backdoors!BI8=TRUE),VLOOKUP(Calculator!E23,tbSkills!DH3:DJ6,3,FALSE),0),0))&gt;=100,100,(Backdoors!AI12+IF(AK44&gt;=0.45,VLOOKUP(Calculator!E23,tbSkills!DH3:DI6,2,FALSE)+IF(AND(Calculator!B8=TRUE,Backdoors!BI8=TRUE),VLOOKUP(Calculator!E23,tbSkills!DH3:DJ6,3,FALSE),0),0)))/100)),1),1)</f>
        <v>0.5</v>
      </c>
      <c r="AQ44" s="87">
        <f t="shared" si="49"/>
        <v>6</v>
      </c>
      <c r="AR44" s="86">
        <f>IFERROR(IF(VLOOKUP(A44,tbMoveset!A2:B112,2,FALSE)="Sever",Backdoors!AY9/100,IF(VLOOKUP(A44,tbMoveset!A2:B112,2,FALSE)="Blunt",Backdoors!AZ9/100,Backdoors!BA9/100)),"")</f>
        <v>0.45</v>
      </c>
      <c r="AS44" s="49">
        <f>IFERROR(IF(VLOOKUP(tbMoveset!A44,tbMoveset!A2:H112,8,FALSE)="Other",IF(VLOOKUP(tbMoveset!A44,tbMoveset!A2:I112,9,FALSE)="Fire",Backdoors!BB9,IF(VLOOKUP(tbMoveset!A44,tbMoveset!A2:I112,9,FALSE)="Water",Backdoors!BC9,IF(VLOOKUP(tbMoveset!A44,tbMoveset!A2:I112,9,FALSE)="Thunder",Backdoors!BD9,IF(VLOOKUP(tbMoveset!A44,tbMoveset!A2:I112,9,FALSE)="Ice",Backdoors!BE9,IF(VLOOKUP(tbMoveset!A44,tbMoveset!A2:I112,9,FALSE)="Dragon",Backdoors!BF9,Backdoors!BG9)))))/100,Backdoors!BG9/100),"")</f>
        <v>0</v>
      </c>
      <c r="AT44" s="49">
        <f>IFERROR(IF(VLOOKUP(A44,tbMoveset!A2:J112,10,FALSE)=TRUE,IF((Backdoors!AI12+IF(AR44&gt;=0.45,VLOOKUP(Calculator!E23,tbSkills!DH3:DI6,2,FALSE)+IF(AND(Calculator!B8=TRUE,Backdoors!BI9=TRUE),VLOOKUP(Calculator!E23,tbSkills!DH3:DJ6,3,FALSE),0),0))&gt;=0,1+(Backdoors!AL2*(IF((Backdoors!AI12+IF(AR44&gt;=0.45,VLOOKUP(Calculator!E23,tbSkills!DH3:DI6,2,FALSE)+IF(AND(Calculator!B8=TRUE,Backdoors!BI9=TRUE),VLOOKUP(Calculator!E23,tbSkills!DH3:DJ6,3,FALSE),0),0))&gt;=100,100,(Backdoors!AI12+IF(AR44&gt;=0.45,VLOOKUP(Calculator!E23,tbSkills!DH3:DI6,2,FALSE)+IF(AND(Calculator!B8=TRUE,Backdoors!BI9=TRUE),VLOOKUP(Calculator!E23,tbSkills!DH3:DJ6,3,FALSE),0),0)))/100)),(1-(0.25*((-Backdoors!AI12-IF(AR44&gt;=0.45,VLOOKUP(Calculator!E23,tbSkills!DH3:DI6,2,FALSE)+IF(AND(Calculator!B8=TRUE,Backdoors!BI9=TRUE),VLOOKUP(Calculator!E23,tbSkills!DH3:DJ6,3,FALSE),0),0))/100)))),1),"")</f>
        <v>1</v>
      </c>
      <c r="AU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R44)*AT44)*(VLOOKUP(A44,tbMoveset!A2:C112,3,FALSE)/100)*IF(VLOOKUP(A44,tbMoveset!A2:B112,2,FALSE)="Projectile",Backdoors!N10,Backdoors!N9),0),"")</f>
        <v>6</v>
      </c>
      <c r="AV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R44&gt;=0.45,VLOOKUP(Calculator!E23,tbSkills!DH3:DI6,2,FALSE)+IF(AND(Calculator!B8=TRUE,Backdoors!BI9=TRUE),VLOOKUP(Calculator!E23,tbSkills!DH3:DJ6,3,FALSE),0),0))&gt;=100,100,(Backdoors!AI12+IF(AR44&gt;=0.45,VLOOKUP(Calculator!E23,tbSkills!DH3:DI6,2,FALSE)+IF(AND(Calculator!B8=TRUE,Backdoors!BI9=TRUE),VLOOKUP(Calculator!E23,tbSkills!DH3:DJ6,3,FALSE),0),0)))/100)),1))*IF(VLOOKUP(A44,tbMoveset!A2:K112,11,FALSE)=TRUE,Backdoors!AC5,1))*AS44,0),"")</f>
        <v>0</v>
      </c>
      <c r="AW44" s="49">
        <f>VLOOKUP(A44,tbMoveset!A2:G112,7,FALSE)*IFERROR(IF(Backdoors!AI12&gt;=0,1+(IF(Calculator!E40&gt;0,VLOOKUP(Calculator!E40,tbSkills!AI3:AJ5,2,FALSE),Backdoors!AL4)*(IF((Backdoors!AI12+IF(AR44&gt;=0.45,VLOOKUP(Calculator!E23,tbSkills!DH3:DI6,2,FALSE)+IF(AND(Calculator!B8=TRUE,Backdoors!BI9=TRUE),VLOOKUP(Calculator!E23,tbSkills!DH3:DJ6,3,FALSE),0),0))&gt;=100,100,(Backdoors!AI12+IF(AR44&gt;=0.45,VLOOKUP(Calculator!E23,tbSkills!DH3:DI6,2,FALSE)+IF(AND(Calculator!B8=TRUE,Backdoors!BI9=TRUE),VLOOKUP(Calculator!E23,tbSkills!DH3:DJ6,3,FALSE),0),0)))/100)),1),1)</f>
        <v>0.5</v>
      </c>
      <c r="AX44" s="87">
        <f t="shared" si="50"/>
        <v>6</v>
      </c>
      <c r="AY44" s="86">
        <f>IFERROR(IF(VLOOKUP(A44,tbMoveset!A2:B112,2,FALSE)="Sever",Backdoors!AY10/100,IF(VLOOKUP(A44,tbMoveset!A2:B112,2,FALSE)="Blunt",Backdoors!AZ10/100,Backdoors!BA10/100)),"")</f>
        <v>0.9</v>
      </c>
      <c r="AZ44" s="49">
        <f>IFERROR(IF(VLOOKUP(tbMoveset!A44,tbMoveset!A2:H112,8,FALSE)="Other",IF(VLOOKUP(tbMoveset!A44,tbMoveset!A2:I112,9,FALSE)="Fire",Backdoors!BB10,IF(VLOOKUP(tbMoveset!A44,tbMoveset!A2:I112,9,FALSE)="Water",Backdoors!BC10,IF(VLOOKUP(tbMoveset!A44,tbMoveset!A2:I112,9,FALSE)="Thunder",Backdoors!BD10,IF(VLOOKUP(tbMoveset!A44,tbMoveset!A2:I112,9,FALSE)="Ice",Backdoors!BE10,IF(VLOOKUP(tbMoveset!A44,tbMoveset!A2:I112,9,FALSE)="Dragon",Backdoors!BF10,Backdoors!BG10)))))/100,Backdoors!BG10/100),"")</f>
        <v>0</v>
      </c>
      <c r="BA44" s="49">
        <f>IFERROR(IF(VLOOKUP(A44,tbMoveset!A2:J112,10,FALSE)=TRUE,IF((Backdoors!AI12+IF(AY44&gt;=0.45,VLOOKUP(Calculator!E23,tbSkills!DH3:DI6,2,FALSE)+IF(AND(Calculator!B8=TRUE,Backdoors!BI10=TRUE),VLOOKUP(Calculator!E23,tbSkills!DH3:DJ6,3,FALSE),0),0))&gt;=0,1+(Backdoors!AL2*(IF((Backdoors!AI12+IF(AY44&gt;=0.45,VLOOKUP(Calculator!E23,tbSkills!DH3:DI6,2,FALSE)+IF(AND(Calculator!B8=TRUE,Backdoors!BI10=TRUE),VLOOKUP(Calculator!E23,tbSkills!DH3:DJ6,3,FALSE),0),0))&gt;=100,100,(Backdoors!AI12+IF(AY44&gt;=0.45,VLOOKUP(Calculator!E23,tbSkills!DH3:DI6,2,FALSE)+IF(AND(Calculator!B8=TRUE,Backdoors!BI10=TRUE),VLOOKUP(Calculator!E23,tbSkills!DH3:DJ6,3,FALSE),0),0)))/100)),(1-(0.25*((-Backdoors!AI12-IF(AY44&gt;=0.45,VLOOKUP(Calculator!E23,tbSkills!DH3:DI6,2,FALSE)+IF(AND(Calculator!B8=TRUE,Backdoors!BI10=TRUE),VLOOKUP(Calculator!E23,tbSkills!DH3:DJ6,3,FALSE),0),0))/100)))),1),"")</f>
        <v>1</v>
      </c>
      <c r="BB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Y44)*BA44)*(VLOOKUP(A44,tbMoveset!A2:C112,3,FALSE)/100)*IF(VLOOKUP(A44,tbMoveset!A2:B112,2,FALSE)="Projectile",Backdoors!N10,Backdoors!N9),0),"")</f>
        <v>12</v>
      </c>
      <c r="BC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Y44&gt;=0.45,VLOOKUP(Calculator!E23,tbSkills!DH3:DI6,2,FALSE)+IF(AND(Calculator!B8=TRUE,Backdoors!BI10=TRUE),VLOOKUP(Calculator!E23,tbSkills!DH3:DJ6,3,FALSE),0),0))&gt;=100,100,(Backdoors!AI12+IF(AY44&gt;=0.45,VLOOKUP(Calculator!E23,tbSkills!DH3:DI6,2,FALSE)+IF(AND(Calculator!B8=TRUE,Backdoors!BI10=TRUE),VLOOKUP(Calculator!E23,tbSkills!DH3:DJ6,3,FALSE),0),0)))/100)),1))*IF(VLOOKUP(A44,tbMoveset!A2:K112,11,FALSE)=TRUE,Backdoors!AC5,1))*AZ44,0),"")</f>
        <v>0</v>
      </c>
      <c r="BD44" s="49">
        <f>VLOOKUP(A44,tbMoveset!A2:G112,7,FALSE)*IFERROR(IF(Backdoors!AI12&gt;=0,1+(IF(Calculator!E40&gt;0,VLOOKUP(Calculator!E40,tbSkills!AI3:AJ5,2,FALSE),Backdoors!AL4)*(IF((Backdoors!AI12+IF(AY44&gt;=0.45,VLOOKUP(Calculator!E23,tbSkills!DH3:DI6,2,FALSE)+IF(AND(Calculator!B8=TRUE,Backdoors!BI10=TRUE),VLOOKUP(Calculator!E23,tbSkills!DH3:DJ6,3,FALSE),0),0))&gt;=100,100,(Backdoors!AI12+IF(AY44&gt;=0.45,VLOOKUP(Calculator!E23,tbSkills!DH3:DI6,2,FALSE)+IF(AND(Calculator!B8=TRUE,Backdoors!BI10=TRUE),VLOOKUP(Calculator!E23,tbSkills!DH3:DJ6,3,FALSE),0),0)))/100)),1),1)</f>
        <v>0.5</v>
      </c>
      <c r="BE44" s="87">
        <f t="shared" si="3"/>
        <v>12</v>
      </c>
      <c r="BF44" s="86" t="str">
        <f>IFERROR(IF(VLOOKUP(A44,tbMoveset!A2:B112,2,FALSE)="Sever",Backdoors!AY11/100,IF(VLOOKUP(A44,tbMoveset!A2:B112,2,FALSE)="Blunt",Backdoors!AZ11/100,Backdoors!BA11/100)),"")</f>
        <v/>
      </c>
      <c r="BG44" s="49">
        <f>IFERROR(IF(VLOOKUP(tbMoveset!A44,tbMoveset!A2:H112,8,FALSE)="Other",IF(VLOOKUP(tbMoveset!A44,tbMoveset!A2:I112,9,FALSE)="Fire",Backdoors!BB11,IF(VLOOKUP(tbMoveset!A44,tbMoveset!A2:I112,9,FALSE)="Water",Backdoors!BC11,IF(VLOOKUP(tbMoveset!A44,tbMoveset!A2:I112,9,FALSE)="Thunder",Backdoors!BD11,IF(VLOOKUP(tbMoveset!A44,tbMoveset!A2:I112,9,FALSE)="Ice",Backdoors!BE11,IF(VLOOKUP(tbMoveset!A44,tbMoveset!A2:I112,9,FALSE)="Dragon",Backdoors!BF11,Backdoors!BG11)))))/100,Backdoors!BG11/100),"")</f>
        <v>0</v>
      </c>
      <c r="BH44" s="49">
        <f>IFERROR(IF(VLOOKUP(A44,tbMoveset!A2:J112,10,FALSE)=TRUE,IF((Backdoors!AI12+IF(BF44&gt;=0.45,VLOOKUP(Calculator!E23,tbSkills!DH3:DI6,2,FALSE)+IF(AND(Calculator!B8=TRUE,Backdoors!BI11=TRUE),VLOOKUP(Calculator!E23,tbSkills!DH3:DJ6,3,FALSE),0),0))&gt;=0,1+(Backdoors!AL2*(IF((Backdoors!AI12+IF(BF44&gt;=0.45,VLOOKUP(Calculator!E23,tbSkills!DH3:DI6,2,FALSE)+IF(AND(Calculator!B8=TRUE,Backdoors!BI11=TRUE),VLOOKUP(Calculator!E23,tbSkills!DH3:DJ6,3,FALSE),0),0))&gt;=100,100,(Backdoors!AI12+IF(BF44&gt;=0.45,VLOOKUP(Calculator!E23,tbSkills!DH3:DI6,2,FALSE)+IF(AND(Calculator!B8=TRUE,Backdoors!BI11=TRUE),VLOOKUP(Calculator!E23,tbSkills!DH3:DJ6,3,FALSE),0),0)))/100)),(1-(0.25*((-Backdoors!AI12-IF(BF44&gt;=0.45,VLOOKUP(Calculator!E23,tbSkills!DH3:DI6,2,FALSE)+IF(AND(Calculator!B8=TRUE,Backdoors!BI11=TRUE),VLOOKUP(Calculator!E23,tbSkills!DH3:DJ6,3,FALSE),0),0))/100)))),1),"")</f>
        <v>1</v>
      </c>
      <c r="BI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F44)*BH44)*(VLOOKUP(A44,tbMoveset!A2:C112,3,FALSE)/100)*IF(VLOOKUP(A44,tbMoveset!A2:B112,2,FALSE)="Projectile",Backdoors!N10,Backdoors!N9),0),"")</f>
        <v/>
      </c>
      <c r="BJ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F44&gt;=0.45,VLOOKUP(Calculator!E23,tbSkills!DH3:DI6,2,FALSE)+IF(AND(Calculator!B8=TRUE,Backdoors!BI11=TRUE),VLOOKUP(Calculator!E23,tbSkills!DH3:DJ6,3,FALSE),0),0))&gt;=100,100,(Backdoors!AI12+IF(BF44&gt;=0.45,VLOOKUP(Calculator!E23,tbSkills!DH3:DI6,2,FALSE)+IF(AND(Calculator!B8=TRUE,Backdoors!BI11=TRUE),VLOOKUP(Calculator!E23,tbSkills!DH3:DJ6,3,FALSE),0),0)))/100)),1))*IF(VLOOKUP(A44,tbMoveset!A2:K112,11,FALSE)=TRUE,Backdoors!AC5,1))*BG44,0),"")</f>
        <v>0</v>
      </c>
      <c r="BK44" s="49">
        <f>VLOOKUP(A44,tbMoveset!A2:G112,7,FALSE)*IFERROR(IF(Backdoors!AI12&gt;=0,1+(IF(Calculator!E40&gt;0,VLOOKUP(Calculator!E40,tbSkills!AI3:AJ5,2,FALSE),Backdoors!AL4)*(IF((Backdoors!AI12+IF(BF44&gt;=0.45,VLOOKUP(Calculator!E23,tbSkills!DH3:DI6,2,FALSE)+IF(AND(Calculator!B8=TRUE,Backdoors!BI11=TRUE),VLOOKUP(Calculator!E23,tbSkills!DH3:DJ6,3,FALSE),0),0))&gt;=100,100,(Backdoors!AI12+IF(BF44&gt;=0.45,VLOOKUP(Calculator!E23,tbSkills!DH3:DI6,2,FALSE)+IF(AND(Calculator!B8=TRUE,Backdoors!BI11=TRUE),VLOOKUP(Calculator!E23,tbSkills!DH3:DJ6,3,FALSE),0),0)))/100)),1),1)</f>
        <v>0.5</v>
      </c>
      <c r="BL44" s="87">
        <f t="shared" si="4"/>
        <v>0</v>
      </c>
      <c r="BM44" s="86" t="str">
        <f>IFERROR(IF(VLOOKUP(A44,tbMoveset!A2:B112,2,FALSE)="Sever",Backdoors!AY12/100,IF(VLOOKUP(A44,tbMoveset!A2:B112,2,FALSE)="Blunt",Backdoors!AZ12/100,Backdoors!BA12/100)),"")</f>
        <v/>
      </c>
      <c r="BN44" s="49">
        <f>IFERROR(IF(VLOOKUP(tbMoveset!A44,tbMoveset!A2:H112,8,FALSE)="Other",IF(VLOOKUP(tbMoveset!A44,tbMoveset!A2:I112,9,FALSE)="Fire",Backdoors!BB12,IF(VLOOKUP(tbMoveset!A44,tbMoveset!A2:I112,9,FALSE)="Water",Backdoors!BC12,IF(VLOOKUP(tbMoveset!A44,tbMoveset!A2:I112,9,FALSE)="Thunder",Backdoors!BD12,IF(VLOOKUP(tbMoveset!A44,tbMoveset!A2:I112,9,FALSE)="Ice",Backdoors!BE12,IF(VLOOKUP(tbMoveset!A44,tbMoveset!A2:I112,9,FALSE)="Dragon",Backdoors!BF12,Backdoors!BG12)))))/100,Backdoors!BG12/100),"")</f>
        <v>0</v>
      </c>
      <c r="BO44" s="49">
        <f>IFERROR(IF(VLOOKUP(A44,tbMoveset!A2:J112,10,FALSE)=TRUE,IF((Backdoors!AI12+IF(BM44&gt;=0.45,VLOOKUP(Calculator!E23,tbSkills!DH3:DI6,2,FALSE)+IF(AND(Calculator!B8=TRUE,Backdoors!BI12=TRUE),VLOOKUP(Calculator!E23,tbSkills!DH3:DJ6,3,FALSE),0),0))&gt;=0,1+(Backdoors!AL2*(IF((Backdoors!AI12+IF(BM44&gt;=0.45,VLOOKUP(Calculator!E23,tbSkills!DH3:DI6,2,FALSE)+IF(AND(Calculator!B8=TRUE,Backdoors!BI12=TRUE),VLOOKUP(Calculator!E23,tbSkills!DH3:DJ6,3,FALSE),0),0))&gt;=100,100,(Backdoors!AI12+IF(BM44&gt;=0.45,VLOOKUP(Calculator!E23,tbSkills!DH3:DI6,2,FALSE)+IF(AND(Calculator!B8=TRUE,Backdoors!BI12=TRUE),VLOOKUP(Calculator!E23,tbSkills!DH3:DJ6,3,FALSE),0),0)))/100)),(1-(0.25*((-Backdoors!AI12-IF(BM44&gt;=0.45,VLOOKUP(Calculator!E23,tbSkills!DH3:DI6,2,FALSE)+IF(AND(Calculator!B8=TRUE,Backdoors!BI12=TRUE),VLOOKUP(Calculator!E23,tbSkills!DH3:DJ6,3,FALSE),0),0))/100)))),1),"")</f>
        <v>1</v>
      </c>
      <c r="BP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M44)*BO44)*(VLOOKUP(A44,tbMoveset!A2:C112,3,FALSE)/100)*IF(VLOOKUP(A44,tbMoveset!A2:B112,2,FALSE)="Projectile",Backdoors!N10,Backdoors!N9),0),"")</f>
        <v/>
      </c>
      <c r="BQ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M44&gt;=0.45,VLOOKUP(Calculator!E23,tbSkills!DH3:DI6,2,FALSE)+IF(AND(Calculator!B8=TRUE,Backdoors!BI12=TRUE),VLOOKUP(Calculator!E23,tbSkills!DH3:DJ6,3,FALSE),0),0))&gt;=100,100,(Backdoors!AI12+IF(BM44&gt;=0.45,VLOOKUP(Calculator!E23,tbSkills!DH3:DI6,2,FALSE)+IF(AND(Calculator!B8=TRUE,Backdoors!BI12=TRUE),VLOOKUP(Calculator!E23,tbSkills!DH3:DJ6,3,FALSE),0),0)))/100)),1))*IF(VLOOKUP(A44,tbMoveset!A2:K112,11,FALSE)=TRUE,Backdoors!AC5,1))*BN44,0),"")</f>
        <v>0</v>
      </c>
      <c r="BR44" s="49">
        <f>VLOOKUP(A44,tbMoveset!A2:G112,7,FALSE)*IFERROR(IF(Backdoors!AI12&gt;=0,1+(IF(Calculator!E40&gt;0,VLOOKUP(Calculator!E40,tbSkills!AI3:AJ5,2,FALSE),Backdoors!AL4)*(IF((Backdoors!AI12+IF(BM44&gt;=0.45,VLOOKUP(Calculator!E23,tbSkills!DH3:DI6,2,FALSE)+IF(AND(Calculator!B8=TRUE,Backdoors!BI12=TRUE),VLOOKUP(Calculator!E23,tbSkills!DH3:DJ6,3,FALSE),0),0))&gt;=100,100,(Backdoors!AI12+IF(BM44&gt;=0.45,VLOOKUP(Calculator!E23,tbSkills!DH3:DI6,2,FALSE)+IF(AND(Calculator!B8=TRUE,Backdoors!BI12=TRUE),VLOOKUP(Calculator!E23,tbSkills!DH3:DJ6,3,FALSE),0),0)))/100)),1),1)</f>
        <v>0.5</v>
      </c>
      <c r="BS44" s="87">
        <f t="shared" si="39"/>
        <v>0</v>
      </c>
      <c r="BT44" s="86" t="str">
        <f>IFERROR(IF(VLOOKUP(A44,tbMoveset!A2:B112,2,FALSE)="Sever",Backdoors!AY13/100,IF(VLOOKUP(A44,tbMoveset!A2:B112,2,FALSE)="Blunt",Backdoors!AZ13/100,Backdoors!BA13/100)),"")</f>
        <v/>
      </c>
      <c r="BU44" s="49">
        <f>IFERROR(IF(VLOOKUP(tbMoveset!A44,tbMoveset!A2:H112,8,FALSE)="Other",IF(VLOOKUP(tbMoveset!A44,tbMoveset!A2:I112,9,FALSE)="Fire",Backdoors!BB13,IF(VLOOKUP(tbMoveset!A44,tbMoveset!A2:I112,9,FALSE)="Water",Backdoors!BC13,IF(VLOOKUP(tbMoveset!A44,tbMoveset!A2:I112,9,FALSE)="Thunder",Backdoors!BD13,IF(VLOOKUP(tbMoveset!A44,tbMoveset!A2:I112,9,FALSE)="Ice",Backdoors!BE13,IF(VLOOKUP(tbMoveset!A44,tbMoveset!A2:I112,9,FALSE)="Dragon",Backdoors!BF13,Backdoors!BG13)))))/100,Backdoors!BG13/100),"")</f>
        <v>0</v>
      </c>
      <c r="BV44" s="49">
        <f>IFERROR(IF(VLOOKUP(A44,tbMoveset!A2:J112,10,FALSE)=TRUE,IF((Backdoors!AI12+IF(BT44&gt;=0.45,VLOOKUP(Calculator!E23,tbSkills!DH3:DI6,2,FALSE)+IF(AND(Calculator!B8=TRUE,Backdoors!BI13=TRUE),VLOOKUP(Calculator!E23,tbSkills!DH3:DJ6,3,FALSE),0),0))&gt;=0,1+(Backdoors!AL2*(IF((Backdoors!AI12+IF(BT44&gt;=0.45,VLOOKUP(Calculator!E23,tbSkills!DH3:DI6,2,FALSE)+IF(AND(Calculator!B8=TRUE,Backdoors!BI13=TRUE),VLOOKUP(Calculator!E23,tbSkills!DH3:DJ6,3,FALSE),0),0))&gt;=100,100,(Backdoors!AI12+IF(BT44&gt;=0.45,VLOOKUP(Calculator!E23,tbSkills!DH3:DI6,2,FALSE)+IF(AND(Calculator!B8=TRUE,Backdoors!BI13=TRUE),VLOOKUP(Calculator!E23,tbSkills!DH3:DJ6,3,FALSE),0),0)))/100)),(1-(0.25*((-Backdoors!AI12-IF(BT44&gt;=0.45,VLOOKUP(Calculator!E23,tbSkills!DH3:DI6,2,FALSE)+IF(AND(Calculator!B8=TRUE,Backdoors!BI13=TRUE),VLOOKUP(Calculator!E23,tbSkills!DH3:DJ6,3,FALSE),0),0))/100)))),1),"")</f>
        <v>1</v>
      </c>
      <c r="BW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T44)*BV44)*(VLOOKUP(A44,tbMoveset!A2:C112,3,FALSE)/100)*IF(VLOOKUP(A44,tbMoveset!A2:B112,2,FALSE)="Projectile",Backdoors!N10,Backdoors!N9),0),"")</f>
        <v/>
      </c>
      <c r="BX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T44&gt;=0.45,VLOOKUP(Calculator!E23,tbSkills!DH3:DI6,2,FALSE)+IF(AND(Calculator!B8=TRUE,Backdoors!BI13=TRUE),VLOOKUP(Calculator!E23,tbSkills!DH3:DJ6,3,FALSE),0),0))&gt;=100,100,(Backdoors!AI12+IF(BT44&gt;=0.45,VLOOKUP(Calculator!E23,tbSkills!DH3:DI6,2,FALSE)+IF(AND(Calculator!B8=TRUE,Backdoors!BI13=TRUE),VLOOKUP(Calculator!E23,tbSkills!DH3:DJ6,3,FALSE),0),0)))/100)),1))*IF(VLOOKUP(A44,tbMoveset!A2:K112,11,FALSE)=TRUE,Backdoors!AC5,1))*BU44,0),"")</f>
        <v>0</v>
      </c>
      <c r="BY44" s="49">
        <f>VLOOKUP(A44,tbMoveset!A2:G112,7,FALSE)*IFERROR(IF(Backdoors!AI12&gt;=0,1+(IF(Calculator!E40&gt;0,VLOOKUP(Calculator!E40,tbSkills!AI3:AJ5,2,FALSE),Backdoors!AL4)*(IF((Backdoors!AI12+IF(BT44&gt;=0.45,VLOOKUP(Calculator!E23,tbSkills!DH3:DI6,2,FALSE)+IF(AND(Calculator!B8=TRUE,Backdoors!BI13=TRUE),VLOOKUP(Calculator!E23,tbSkills!DH3:DJ6,3,FALSE),0),0))&gt;=100,100,(Backdoors!AI12+IF(BT44&gt;=0.45,VLOOKUP(Calculator!E23,tbSkills!DH3:DI6,2,FALSE)+IF(AND(Calculator!B8=TRUE,Backdoors!BI13=TRUE),VLOOKUP(Calculator!E23,tbSkills!DH3:DJ6,3,FALSE),0),0)))/100)),1),1)</f>
        <v>0.5</v>
      </c>
      <c r="BZ44" s="87">
        <f t="shared" si="5"/>
        <v>0</v>
      </c>
      <c r="CA44" s="86" t="str">
        <f>IFERROR(IF(VLOOKUP(A44,tbMoveset!A2:B112,2,FALSE)="Sever",Backdoors!AY14/100,IF(VLOOKUP(A44,tbMoveset!A2:B112,2,FALSE)="Blunt",Backdoors!AZ14/100,Backdoors!BA14/100)),"")</f>
        <v/>
      </c>
      <c r="CB44" s="49">
        <f>IFERROR(IF(VLOOKUP(tbMoveset!A44,tbMoveset!A2:H112,8,FALSE)="Other",IF(VLOOKUP(tbMoveset!A44,tbMoveset!A2:I112,9,FALSE)="Fire",Backdoors!BB14,IF(VLOOKUP(tbMoveset!A44,tbMoveset!A2:I112,9,FALSE)="Water",Backdoors!BC14,IF(VLOOKUP(tbMoveset!A44,tbMoveset!A2:I112,9,FALSE)="Thunder",Backdoors!BD14,IF(VLOOKUP(tbMoveset!A44,tbMoveset!A2:I112,9,FALSE)="Ice",Backdoors!BE14,IF(VLOOKUP(tbMoveset!A44,tbMoveset!A2:I112,9,FALSE)="Dragon",Backdoors!BF14,Backdoors!BG14)))))/100,Backdoors!BG14/100),"")</f>
        <v>0</v>
      </c>
      <c r="CC44" s="49">
        <f>IFERROR(IF(VLOOKUP(A44,tbMoveset!A2:J112,10,FALSE)=TRUE,IF((Backdoors!AI12+IF(CA44&gt;=0.45,VLOOKUP(Calculator!E23,tbSkills!DH3:DI6,2,FALSE)+IF(AND(Calculator!B8=TRUE,Backdoors!BI14=TRUE),VLOOKUP(Calculator!E23,tbSkills!DH3:DJ6,3,FALSE),0),0))&gt;=0,1+(Backdoors!AL2*(IF((Backdoors!AI12+IF(CA44&gt;=0.45,VLOOKUP(Calculator!E23,tbSkills!DH3:DI6,2,FALSE)+IF(AND(Calculator!B8=TRUE,Backdoors!BI14=TRUE),VLOOKUP(Calculator!E23,tbSkills!DH3:DJ6,3,FALSE),0),0))&gt;=100,100,(Backdoors!AI12+IF(CA44&gt;=0.45,VLOOKUP(Calculator!E23,tbSkills!DH3:DI6,2,FALSE)+IF(AND(Calculator!B8=TRUE,Backdoors!BI14=TRUE),VLOOKUP(Calculator!E23,tbSkills!DH3:DJ6,3,FALSE),0),0)))/100)),(1-(0.25*((-Backdoors!AI12-IF(CA44&gt;=0.45,VLOOKUP(Calculator!E23,tbSkills!DH3:DI6,2,FALSE)+IF(AND(Calculator!B8=TRUE,Backdoors!BI14=TRUE),VLOOKUP(Calculator!E23,tbSkills!DH3:DJ6,3,FALSE),0),0))/100)))),1),"")</f>
        <v>1</v>
      </c>
      <c r="CD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A44)*CC44)*(VLOOKUP(A44,tbMoveset!A2:C112,3,FALSE)/100)*IF(VLOOKUP(A44,tbMoveset!A2:B112,2,FALSE)="Projectile",Backdoors!N10,Backdoors!N9),0),"")</f>
        <v/>
      </c>
      <c r="CE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A44&gt;=0.45,VLOOKUP(Calculator!E23,tbSkills!DH3:DI6,2,FALSE)+IF(AND(Calculator!B8=TRUE,Backdoors!BI14=TRUE),VLOOKUP(Calculator!E23,tbSkills!DH3:DJ6,3,FALSE),0),0))&gt;=100,100,(Backdoors!AI12+IF(CA44&gt;=0.45,VLOOKUP(Calculator!E23,tbSkills!DH3:DI6,2,FALSE)+IF(AND(Calculator!B8=TRUE,Backdoors!BI14=TRUE),VLOOKUP(Calculator!E23,tbSkills!DH3:DJ6,3,FALSE),0),0)))/100)),1))*IF(VLOOKUP(A44,tbMoveset!A2:K112,11,FALSE)=TRUE,Backdoors!AC5,1))*CB44,0),"")</f>
        <v>0</v>
      </c>
      <c r="CF44" s="49">
        <f>VLOOKUP(A44,tbMoveset!A2:G112,7,FALSE)*IFERROR(IF(Backdoors!AI12&gt;=0,1+(IF(Calculator!E40&gt;0,VLOOKUP(Calculator!E40,tbSkills!AI3:AJ5,2,FALSE),Backdoors!AL4)*(IF((Backdoors!AI12+IF(CA44&gt;=0.45,VLOOKUP(Calculator!E23,tbSkills!DH3:DI6,2,FALSE)+IF(AND(Calculator!B8=TRUE,Backdoors!BI14=TRUE),VLOOKUP(Calculator!E23,tbSkills!DH3:DJ6,3,FALSE),0),0))&gt;=100,100,(Backdoors!AI12+IF(CA44&gt;=0.45,VLOOKUP(Calculator!E23,tbSkills!DH3:DI6,2,FALSE)+IF(AND(Calculator!B8=TRUE,Backdoors!BI14=TRUE),VLOOKUP(Calculator!E23,tbSkills!DH3:DJ6,3,FALSE),0),0)))/100)),1),1)</f>
        <v>0.5</v>
      </c>
      <c r="CG44" s="87">
        <f t="shared" si="6"/>
        <v>0</v>
      </c>
      <c r="CH44" s="86" t="str">
        <f>IFERROR(IF(VLOOKUP(A44,tbMoveset!A2:B112,2,FALSE)="Sever",Backdoors!AY15/100,IF(VLOOKUP(A44,tbMoveset!A2:B112,2,FALSE)="Blunt",Backdoors!AZ15/100,Backdoors!BA15/100)),"")</f>
        <v/>
      </c>
      <c r="CI44" s="49">
        <f>IFERROR(IF(VLOOKUP(tbMoveset!A44,tbMoveset!A2:H112,8,FALSE)="Other",IF(VLOOKUP(tbMoveset!A44,tbMoveset!A2:I112,9,FALSE)="Fire",Backdoors!BB15,IF(VLOOKUP(tbMoveset!A44,tbMoveset!A2:I112,9,FALSE)="Water",Backdoors!BC15,IF(VLOOKUP(tbMoveset!A44,tbMoveset!A2:I112,9,FALSE)="Thunder",Backdoors!BD15,IF(VLOOKUP(tbMoveset!A44,tbMoveset!A2:I112,9,FALSE)="Ice",Backdoors!BE15,IF(VLOOKUP(tbMoveset!A44,tbMoveset!A2:I112,9,FALSE)="Dragon",Backdoors!BF15,Backdoors!BG15)))))/100,Backdoors!BG15/100),"")</f>
        <v>0</v>
      </c>
      <c r="CJ44" s="49">
        <f>IFERROR(IF(VLOOKUP(A44,tbMoveset!A2:J112,10,FALSE)=TRUE,IF((Backdoors!AI12+IF(CH44&gt;=0.45,VLOOKUP(Calculator!E23,tbSkills!DH3:DI6,2,FALSE)+IF(AND(Calculator!B8=TRUE,Backdoors!BI15=TRUE),VLOOKUP(Calculator!E23,tbSkills!DH3:DJ6,3,FALSE),0),0))&gt;=0,1+(Backdoors!AL2*(IF((Backdoors!AI12+IF(CH44&gt;=0.45,VLOOKUP(Calculator!E23,tbSkills!DH3:DI6,2,FALSE)+IF(AND(Calculator!B8=TRUE,Backdoors!BI15=TRUE),VLOOKUP(Calculator!E23,tbSkills!DH3:DJ6,3,FALSE),0),0))&gt;=100,100,(Backdoors!AI12+IF(CH44&gt;=0.45,VLOOKUP(Calculator!E23,tbSkills!DH3:DI6,2,FALSE)+IF(AND(Calculator!B8=TRUE,Backdoors!BI15=TRUE),VLOOKUP(Calculator!E23,tbSkills!DH3:DJ6,3,FALSE),0),0)))/100)),(1-(0.25*((-Backdoors!AI12-IF(CH44&gt;=0.45,VLOOKUP(Calculator!E23,tbSkills!DH3:DI6,2,FALSE)+IF(AND(Calculator!B8=TRUE,Backdoors!BI15=TRUE),VLOOKUP(Calculator!E23,tbSkills!DH3:DJ6,3,FALSE),0),0))/100)))),1),"")</f>
        <v>1</v>
      </c>
      <c r="CK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H44)*CJ44)*(VLOOKUP(A44,tbMoveset!A2:C112,3,FALSE)/100)*IF(VLOOKUP(A44,tbMoveset!A2:B112,2,FALSE)="Projectile",Backdoors!N10,Backdoors!N9),0),"")</f>
        <v/>
      </c>
      <c r="CL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H44&gt;=0.45,VLOOKUP(Calculator!E23,tbSkills!DH3:DI6,2,FALSE)+IF(AND(Calculator!B8=TRUE,Backdoors!BI15=TRUE),VLOOKUP(Calculator!E23,tbSkills!DH3:DJ6,3,FALSE),0),0))&gt;=100,100,(Backdoors!AI12+IF(CH44&gt;=0.45,VLOOKUP(Calculator!E23,tbSkills!DH3:DI6,2,FALSE)+IF(AND(Calculator!B8=TRUE,Backdoors!BI15=TRUE),VLOOKUP(Calculator!E23,tbSkills!DH3:DJ6,3,FALSE),0),0)))/100)),1))*IF(VLOOKUP(A44,tbMoveset!A2:K112,11,FALSE)=TRUE,Backdoors!AC5,1))*CI44,0),"")</f>
        <v>0</v>
      </c>
      <c r="CM44" s="49">
        <f>VLOOKUP(A44,tbMoveset!A2:G112,7,FALSE)*IFERROR(IF(Backdoors!AI12&gt;=0,1+(IF(Calculator!E40&gt;0,VLOOKUP(Calculator!E40,tbSkills!AI3:AJ5,2,FALSE),Backdoors!AL4)*(IF((Backdoors!AI12+IF(CH44&gt;=0.45,VLOOKUP(Calculator!E23,tbSkills!DH3:DI6,2,FALSE)+IF(AND(Calculator!B8=TRUE,Backdoors!BI15=TRUE),VLOOKUP(Calculator!E23,tbSkills!DH3:DJ6,3,FALSE),0),0))&gt;=100,100,(Backdoors!AI12+IF(CH44&gt;=0.45,VLOOKUP(Calculator!E23,tbSkills!DH3:DI6,2,FALSE)+IF(AND(Calculator!B8=TRUE,Backdoors!BI15=TRUE),VLOOKUP(Calculator!E23,tbSkills!DH3:DJ6,3,FALSE),0),0)))/100)),1),1)</f>
        <v>0.5</v>
      </c>
      <c r="CN44" s="87">
        <f t="shared" si="7"/>
        <v>0</v>
      </c>
      <c r="CO44" s="86" t="str">
        <f>IFERROR(IF(VLOOKUP(A44,tbMoveset!A2:B112,2,FALSE)="Sever",Backdoors!AY16/100,IF(VLOOKUP(A44,tbMoveset!A2:B112,2,FALSE)="Blunt",Backdoors!AZ16/100,Backdoors!BA16/100)),"")</f>
        <v/>
      </c>
      <c r="CP44" s="49">
        <f>IFERROR(IF(VLOOKUP(tbMoveset!A44,tbMoveset!A2:H112,8,FALSE)="Other",IF(VLOOKUP(tbMoveset!A44,tbMoveset!A2:I112,9,FALSE)="Fire",Backdoors!BB16,IF(VLOOKUP(tbMoveset!A44,tbMoveset!A2:I112,9,FALSE)="Water",Backdoors!BC16,IF(VLOOKUP(tbMoveset!A44,tbMoveset!A2:I112,9,FALSE)="Thunder",Backdoors!BD16,IF(VLOOKUP(tbMoveset!A44,tbMoveset!A2:I112,9,FALSE)="Ice",Backdoors!BE16,IF(VLOOKUP(tbMoveset!A44,tbMoveset!A2:I112,9,FALSE)="Dragon",Backdoors!BF16,Backdoors!BG16)))))/100,Backdoors!BG16/100),"")</f>
        <v>0</v>
      </c>
      <c r="CQ44" s="49">
        <f>IFERROR(IF(VLOOKUP(A44,tbMoveset!A2:J112,10,FALSE)=TRUE,IF((Backdoors!AI12+IF(CO44&gt;=0.45,VLOOKUP(Calculator!E23,tbSkills!DH3:DI6,2,FALSE)+IF(AND(Calculator!B8=TRUE,Backdoors!BI16=TRUE),VLOOKUP(Calculator!E23,tbSkills!DH3:DJ6,3,FALSE),0),0))&gt;=0,1+(Backdoors!AL2*(IF((Backdoors!AI12+IF(CO44&gt;=0.45,VLOOKUP(Calculator!E23,tbSkills!DH3:DI6,2,FALSE)+IF(AND(Calculator!B8=TRUE,Backdoors!BI16=TRUE),VLOOKUP(Calculator!E23,tbSkills!DH3:DJ6,3,FALSE),0),0))&gt;=100,100,(Backdoors!AI12+IF(CO44&gt;=0.45,VLOOKUP(Calculator!E23,tbSkills!DH3:DI6,2,FALSE)+IF(AND(Calculator!B8=TRUE,Backdoors!BI16=TRUE),VLOOKUP(Calculator!E23,tbSkills!DH3:DJ6,3,FALSE),0),0)))/100)),(1-(0.25*((-Backdoors!AI12-IF(CO44&gt;=0.45,VLOOKUP(Calculator!E23,tbSkills!DH3:DI6,2,FALSE)+IF(AND(Calculator!B8=TRUE,Backdoors!BI16=TRUE),VLOOKUP(Calculator!E23,tbSkills!DH3:DJ6,3,FALSE),0),0))/100)))),1),"")</f>
        <v>1</v>
      </c>
      <c r="CR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O44)*CQ44)*(VLOOKUP(A44,tbMoveset!A2:C112,3,FALSE)/100)*IF(VLOOKUP(A44,tbMoveset!A2:B112,2,FALSE)="Projectile",Backdoors!N10,Backdoors!N9),0),"")</f>
        <v/>
      </c>
      <c r="CS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O44&gt;=0.45,VLOOKUP(Calculator!E23,tbSkills!DH3:DI6,2,FALSE)+IF(AND(Calculator!B8=TRUE,Backdoors!BI16=TRUE),VLOOKUP(Calculator!E23,tbSkills!DH3:DJ6,3,FALSE),0),0))&gt;=100,100,(Backdoors!AI12+IF(CO44&gt;=0.45,VLOOKUP(Calculator!E23,tbSkills!DH3:DI6,2,FALSE)+IF(AND(Calculator!B8=TRUE,Backdoors!BI16=TRUE),VLOOKUP(Calculator!E23,tbSkills!DH3:DJ6,3,FALSE),0),0)))/100)),1))*IF(VLOOKUP(A44,tbMoveset!A2:K112,11,FALSE)=TRUE,Backdoors!AC5,1))*CP44,0),"")</f>
        <v>0</v>
      </c>
      <c r="CT44" s="49">
        <f>VLOOKUP(A44,tbMoveset!A2:G112,7,FALSE)*IFERROR(IF(Backdoors!AI12&gt;=0,1+(IF(Calculator!E40&gt;0,VLOOKUP(Calculator!E40,tbSkills!AI3:AJ5,2,FALSE),Backdoors!AL4)*(IF((Backdoors!AI12+IF(CO44&gt;=0.45,VLOOKUP(Calculator!E23,tbSkills!DH3:DI6,2,FALSE)+IF(AND(Calculator!B8=TRUE,Backdoors!BI16=TRUE),VLOOKUP(Calculator!E23,tbSkills!DH3:DJ6,3,FALSE),0),0))&gt;=100,100,(Backdoors!AI12+IF(CO44&gt;=0.45,VLOOKUP(Calculator!E23,tbSkills!DH3:DI6,2,FALSE)+IF(AND(Calculator!B8=TRUE,Backdoors!BI16=TRUE),VLOOKUP(Calculator!E23,tbSkills!DH3:DJ6,3,FALSE),0),0)))/100)),1),1)</f>
        <v>0.5</v>
      </c>
      <c r="CU44" s="87">
        <f t="shared" si="40"/>
        <v>0</v>
      </c>
      <c r="CV44" s="86" t="str">
        <f>IFERROR(IF(VLOOKUP(A44,tbMoveset!A2:B112,2,FALSE)="Sever",Backdoors!AY17/100,IF(VLOOKUP(A44,tbMoveset!A2:B112,2,FALSE)="Blunt",Backdoors!AZ17/100,Backdoors!BA17/100)),"")</f>
        <v/>
      </c>
      <c r="CW44" s="49">
        <f>IFERROR(IF(VLOOKUP(tbMoveset!A44,tbMoveset!A2:H112,8,FALSE)="Other",IF(VLOOKUP(tbMoveset!A44,tbMoveset!A2:I112,9,FALSE)="Fire",Backdoors!BB17,IF(VLOOKUP(tbMoveset!A44,tbMoveset!A2:I112,9,FALSE)="Water",Backdoors!BC17,IF(VLOOKUP(tbMoveset!A44,tbMoveset!A2:I112,9,FALSE)="Thunder",Backdoors!BD17,IF(VLOOKUP(tbMoveset!A44,tbMoveset!A2:I112,9,FALSE)="Ice",Backdoors!BE17,IF(VLOOKUP(tbMoveset!A44,tbMoveset!A2:I112,9,FALSE)="Dragon",Backdoors!BF17,Backdoors!BG17)))))/100,Backdoors!BG17/100),"")</f>
        <v>0</v>
      </c>
      <c r="CX44" s="49">
        <f>IFERROR(IF(VLOOKUP(A44,tbMoveset!A2:J112,10,FALSE)=TRUE,IF((Backdoors!AI12+IF(CV44&gt;=0.45,VLOOKUP(Calculator!E23,tbSkills!DH3:DI6,2,FALSE)+IF(AND(Calculator!B8=TRUE,Backdoors!BI17=TRUE),VLOOKUP(Calculator!E23,tbSkills!DH3:DJ6,3,FALSE),0),0))&gt;=0,1+(Backdoors!AL2*(IF((Backdoors!AI12+IF(CV44&gt;=0.45,VLOOKUP(Calculator!E23,tbSkills!DH3:DI6,2,FALSE)+IF(AND(Calculator!B8=TRUE,Backdoors!BI17=TRUE),VLOOKUP(Calculator!E23,tbSkills!DH3:DJ6,3,FALSE),0),0))&gt;=100,100,(Backdoors!AI12+IF(CV44&gt;=0.45,VLOOKUP(Calculator!E23,tbSkills!DH3:DI6,2,FALSE)+IF(AND(Calculator!B8=TRUE,Backdoors!BI17=TRUE),VLOOKUP(Calculator!E23,tbSkills!DH3:DJ6,3,FALSE),0),0)))/100)),(1-(0.25*((-Backdoors!AI12-IF(CV44&gt;=0.45,VLOOKUP(Calculator!E23,tbSkills!DH3:DI6,2,FALSE)+IF(AND(Calculator!B8=TRUE,Backdoors!BI17=TRUE),VLOOKUP(Calculator!E23,tbSkills!DH3:DJ6,3,FALSE),0),0))/100)))),1),"")</f>
        <v>1</v>
      </c>
      <c r="CY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V44)*CX44)*(VLOOKUP(A44,tbMoveset!A2:C112,3,FALSE)/100)*IF(VLOOKUP(A44,tbMoveset!A2:B112,2,FALSE)="Projectile",Backdoors!N10,Backdoors!N9),0),"")</f>
        <v/>
      </c>
      <c r="CZ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V44&gt;=0.45,VLOOKUP(Calculator!E23,tbSkills!DH3:DI6,2,FALSE)+IF(AND(Calculator!B8=TRUE,Backdoors!BI17=TRUE),VLOOKUP(Calculator!E23,tbSkills!DH3:DJ6,3,FALSE),0),0))&gt;=100,100,(Backdoors!AI12+IF(CV44&gt;=0.45,VLOOKUP(Calculator!E23,tbSkills!DH3:DI6,2,FALSE)+IF(AND(Calculator!B8=TRUE,Backdoors!BI17=TRUE),VLOOKUP(Calculator!E23,tbSkills!DH3:DJ6,3,FALSE),0),0)))/100)),1))*IF(VLOOKUP(A44,tbMoveset!A2:K112,11,FALSE)=TRUE,Backdoors!AC5,1))*CW44,0),"")</f>
        <v>0</v>
      </c>
      <c r="DA44" s="49">
        <f>VLOOKUP(A44,tbMoveset!A2:G112,7,FALSE)*IFERROR(IF(Backdoors!AI12&gt;=0,1+(IF(Calculator!E40&gt;0,VLOOKUP(Calculator!E40,tbSkills!AI3:AJ5,2,FALSE),Backdoors!AL4)*(IF((Backdoors!AI12+IF(CV44&gt;=0.45,VLOOKUP(Calculator!E23,tbSkills!DH3:DI6,2,FALSE)+IF(AND(Calculator!B8=TRUE,Backdoors!BI17=TRUE),VLOOKUP(Calculator!E23,tbSkills!DH3:DJ6,3,FALSE),0),0))&gt;=100,100,(Backdoors!AI12+IF(CV44&gt;=0.45,VLOOKUP(Calculator!E23,tbSkills!DH3:DI6,2,FALSE)+IF(AND(Calculator!B8=TRUE,Backdoors!BI17=TRUE),VLOOKUP(Calculator!E23,tbSkills!DH3:DJ6,3,FALSE),0),0)))/100)),1),1)</f>
        <v>0.5</v>
      </c>
      <c r="DB44" s="87">
        <f t="shared" si="8"/>
        <v>0</v>
      </c>
      <c r="DC44" s="86" t="str">
        <f>IFERROR(IF(VLOOKUP(A44,tbMoveset!A2:B112,2,FALSE)="Sever",Backdoors!AY18/100,IF(VLOOKUP(A44,tbMoveset!A2:B112,2,FALSE)="Blunt",Backdoors!AZ18/100,Backdoors!BA18/100)),"")</f>
        <v/>
      </c>
      <c r="DD44" s="49">
        <f>IFERROR(IF(VLOOKUP(tbMoveset!A44,tbMoveset!A2:H112,8,FALSE)="Other",IF(VLOOKUP(tbMoveset!A44,tbMoveset!A2:I112,9,FALSE)="Fire",Backdoors!BB18,IF(VLOOKUP(tbMoveset!A44,tbMoveset!A2:I112,9,FALSE)="Water",Backdoors!BC18,IF(VLOOKUP(tbMoveset!A44,tbMoveset!A2:I112,9,FALSE)="Thunder",Backdoors!BD18,IF(VLOOKUP(tbMoveset!A44,tbMoveset!A2:I112,9,FALSE)="Ice",Backdoors!BE18,IF(VLOOKUP(tbMoveset!A44,tbMoveset!A2:I112,9,FALSE)="Dragon",Backdoors!BF18,Backdoors!BG18)))))/100,Backdoors!BG18/100),"")</f>
        <v>0</v>
      </c>
      <c r="DE44" s="49">
        <f>IFERROR(IF(VLOOKUP(A44,tbMoveset!A2:J112,10,FALSE)=TRUE,IF((Backdoors!AI12+IF(DC44&gt;=0.45,VLOOKUP(Calculator!E23,tbSkills!DH3:DI6,2,FALSE)+IF(AND(Calculator!B8=TRUE,Backdoors!BI18=TRUE),VLOOKUP(Calculator!E23,tbSkills!DH3:DJ6,3,FALSE),0),0))&gt;=0,1+(Backdoors!AL2*(IF((Backdoors!AI12+IF(DC44&gt;=0.45,VLOOKUP(Calculator!E23,tbSkills!DH3:DI6,2,FALSE)+IF(AND(Calculator!B8=TRUE,Backdoors!BI18=TRUE),VLOOKUP(Calculator!E23,tbSkills!DH3:DJ6,3,FALSE),0),0))&gt;=100,100,(Backdoors!AI12+IF(DC44&gt;=0.45,VLOOKUP(Calculator!E23,tbSkills!DH3:DI6,2,FALSE)+IF(AND(Calculator!B8=TRUE,Backdoors!BI18=TRUE),VLOOKUP(Calculator!E23,tbSkills!DH3:DJ6,3,FALSE),0),0)))/100)),(1-(0.25*((-Backdoors!AI12-IF(DC44&gt;=0.45,VLOOKUP(Calculator!E23,tbSkills!DH3:DI6,2,FALSE)+IF(AND(Calculator!B8=TRUE,Backdoors!BI18=TRUE),VLOOKUP(Calculator!E23,tbSkills!DH3:DJ6,3,FALSE),0),0))/100)))),1),"")</f>
        <v>1</v>
      </c>
      <c r="DF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C44)*DE44)*(VLOOKUP(A44,tbMoveset!A2:C112,3,FALSE)/100)*IF(VLOOKUP(A44,tbMoveset!A2:B112,2,FALSE)="Projectile",Backdoors!N10,Backdoors!N9),0),"")</f>
        <v/>
      </c>
      <c r="DG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C44&gt;=0.45,VLOOKUP(Calculator!E23,tbSkills!DH3:DI6,2,FALSE)+IF(AND(Calculator!B8=TRUE,Backdoors!BI18=TRUE),VLOOKUP(Calculator!E23,tbSkills!DH3:DJ6,3,FALSE),0),0))&gt;=100,100,(Backdoors!AI12+IF(DC44&gt;=0.45,VLOOKUP(Calculator!E23,tbSkills!DH3:DI6,2,FALSE)+IF(AND(Calculator!B8=TRUE,Backdoors!BI18=TRUE),VLOOKUP(Calculator!E23,tbSkills!DH3:DJ6,3,FALSE),0),0)))/100)),1))*IF(VLOOKUP(A44,tbMoveset!A2:K112,11,FALSE)=TRUE,Backdoors!AC5,1))*DD44,0),"")</f>
        <v>0</v>
      </c>
      <c r="DH44" s="49">
        <f>VLOOKUP(A44,tbMoveset!A2:G112,7,FALSE)*IFERROR(IF(Backdoors!AI12&gt;=0,1+(IF(Calculator!E40&gt;0,VLOOKUP(Calculator!E40,tbSkills!AI3:AJ5,2,FALSE),Backdoors!AL4)*(IF((Backdoors!AI12+IF(DC44&gt;=0.45,VLOOKUP(Calculator!E23,tbSkills!DH3:DI6,2,FALSE)+IF(AND(Calculator!B8=TRUE,Backdoors!BI18=TRUE),VLOOKUP(Calculator!E23,tbSkills!DH3:DJ6,3,FALSE),0),0))&gt;=100,100,(Backdoors!AI12+IF(DC44&gt;=0.45,VLOOKUP(Calculator!E23,tbSkills!DH3:DI6,2,FALSE)+IF(AND(Calculator!B8=TRUE,Backdoors!BI18=TRUE),VLOOKUP(Calculator!E23,tbSkills!DH3:DJ6,3,FALSE),0),0)))/100)),1),1)</f>
        <v>0.5</v>
      </c>
      <c r="DI44" s="87">
        <f t="shared" si="9"/>
        <v>0</v>
      </c>
      <c r="DJ44" s="86" t="str">
        <f>IFERROR(IF(VLOOKUP(A44,tbMoveset!A2:B112,2,FALSE)="Sever",Backdoors!AY19/100,IF(VLOOKUP(A44,tbMoveset!A2:B112,2,FALSE)="Blunt",Backdoors!AZ19/100,Backdoors!BA19/100)),"")</f>
        <v/>
      </c>
      <c r="DK44" s="49">
        <f>IFERROR(IF(VLOOKUP(tbMoveset!A44,tbMoveset!A2:H112,8,FALSE)="Other",IF(VLOOKUP(tbMoveset!A44,tbMoveset!A2:I112,9,FALSE)="Fire",Backdoors!BB19,IF(VLOOKUP(tbMoveset!A44,tbMoveset!A2:I112,9,FALSE)="Water",Backdoors!BC19,IF(VLOOKUP(tbMoveset!A44,tbMoveset!A2:I112,9,FALSE)="Thunder",Backdoors!BD19,IF(VLOOKUP(tbMoveset!A44,tbMoveset!A2:I112,9,FALSE)="Ice",Backdoors!BE19,IF(VLOOKUP(tbMoveset!A44,tbMoveset!A2:I112,9,FALSE)="Dragon",Backdoors!BF19,Backdoors!BG19)))))/100,Backdoors!BG19/100),"")</f>
        <v>0</v>
      </c>
      <c r="DL44" s="49">
        <f>IFERROR(IF(VLOOKUP(A44,tbMoveset!A2:J112,10,FALSE)=TRUE,IF((Backdoors!AI12+IF(DJ44&gt;=0.45,VLOOKUP(Calculator!E23,tbSkills!DH3:DI6,2,FALSE)+IF(AND(Calculator!B8=TRUE,Backdoors!BI19=TRUE),VLOOKUP(Calculator!E23,tbSkills!DH3:DJ6,3,FALSE),0),0))&gt;=0,1+(Backdoors!AL2*(IF((Backdoors!AI12+IF(DJ44&gt;=0.45,VLOOKUP(Calculator!E23,tbSkills!DH3:DI6,2,FALSE)+IF(AND(Calculator!B8=TRUE,Backdoors!BI19=TRUE),VLOOKUP(Calculator!E23,tbSkills!DH3:DJ6,3,FALSE),0),0))&gt;=100,100,(Backdoors!AI12+IF(DJ44&gt;=0.45,VLOOKUP(Calculator!E23,tbSkills!DH3:DI6,2,FALSE)+IF(AND(Calculator!B8=TRUE,Backdoors!BI19=TRUE),VLOOKUP(Calculator!E23,tbSkills!DH3:DJ6,3,FALSE),0),0)))/100)),(1-(0.25*((-Backdoors!AI12-IF(DJ44&gt;=0.45,VLOOKUP(Calculator!E23,tbSkills!DH3:DI6,2,FALSE)+IF(AND(Calculator!B8=TRUE,Backdoors!BI19=TRUE),VLOOKUP(Calculator!E23,tbSkills!DH3:DJ6,3,FALSE),0),0))/100)))),1),"")</f>
        <v>1</v>
      </c>
      <c r="DM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J44)*DL44)*(VLOOKUP(A44,tbMoveset!A2:C112,3,FALSE)/100)*IF(VLOOKUP(A44,tbMoveset!A2:B112,2,FALSE)="Projectile",Backdoors!N10,Backdoors!N9),0),"")</f>
        <v/>
      </c>
      <c r="DN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J44&gt;=0.45,VLOOKUP(Calculator!E23,tbSkills!DH3:DI6,2,FALSE)+IF(AND(Calculator!B8=TRUE,Backdoors!BI19=TRUE),VLOOKUP(Calculator!E23,tbSkills!DH3:DJ6,3,FALSE),0),0))&gt;=100,100,(Backdoors!AI12+IF(DJ44&gt;=0.45,VLOOKUP(Calculator!E23,tbSkills!DH3:DI6,2,FALSE)+IF(AND(Calculator!B8=TRUE,Backdoors!BI19=TRUE),VLOOKUP(Calculator!E23,tbSkills!DH3:DJ6,3,FALSE),0),0)))/100)),1))*IF(VLOOKUP(A44,tbMoveset!A2:K112,11,FALSE)=TRUE,Backdoors!AC5,1))*DK44,0),"")</f>
        <v>0</v>
      </c>
      <c r="DO44" s="49">
        <f>VLOOKUP(A44,tbMoveset!A2:G112,7,FALSE)*IFERROR(IF(Backdoors!AI12&gt;=0,1+(IF(Calculator!E40&gt;0,VLOOKUP(Calculator!E40,tbSkills!AI3:AJ5,2,FALSE),Backdoors!AL4)*(IF((Backdoors!AI12+IF(DJ44&gt;=0.45,VLOOKUP(Calculator!E23,tbSkills!DH3:DI6,2,FALSE)+IF(AND(Calculator!B8=TRUE,Backdoors!BI19=TRUE),VLOOKUP(Calculator!E23,tbSkills!DH3:DJ6,3,FALSE),0),0))&gt;=100,100,(Backdoors!AI12+IF(DJ44&gt;=0.45,VLOOKUP(Calculator!E23,tbSkills!DH3:DI6,2,FALSE)+IF(AND(Calculator!B8=TRUE,Backdoors!BI19=TRUE),VLOOKUP(Calculator!E23,tbSkills!DH3:DJ6,3,FALSE),0),0)))/100)),1),1)</f>
        <v>0.5</v>
      </c>
      <c r="DP44" s="87">
        <f t="shared" si="41"/>
        <v>0</v>
      </c>
      <c r="DQ44" s="86" t="str">
        <f>IFERROR(IF(VLOOKUP(A44,tbMoveset!A2:B112,2,FALSE)="Sever",Backdoors!AY20/100,IF(VLOOKUP(A44,tbMoveset!A2:B112,2,FALSE)="Blunt",Backdoors!AZ20/100,Backdoors!BA20/100)),"")</f>
        <v/>
      </c>
      <c r="DR44" s="49">
        <f>IFERROR(IF(VLOOKUP(tbMoveset!A44,tbMoveset!A2:H112,8,FALSE)="Other",IF(VLOOKUP(tbMoveset!A44,tbMoveset!A2:I112,9,FALSE)="Fire",Backdoors!BB20,IF(VLOOKUP(tbMoveset!A44,tbMoveset!A2:I112,9,FALSE)="Water",Backdoors!BC20,IF(VLOOKUP(tbMoveset!A44,tbMoveset!A2:I112,9,FALSE)="Thunder",Backdoors!BD20,IF(VLOOKUP(tbMoveset!A44,tbMoveset!A2:I112,9,FALSE)="Ice",Backdoors!BE20,IF(VLOOKUP(tbMoveset!A44,tbMoveset!A2:I112,9,FALSE)="Dragon",Backdoors!BF20,Backdoors!BG20)))))/100,Backdoors!BG20/100),"")</f>
        <v>0</v>
      </c>
      <c r="DS44" s="49">
        <f>IFERROR(IF(VLOOKUP(A44,tbMoveset!A2:J112,10,FALSE)=TRUE,IF((Backdoors!AI12+IF(DQ44&gt;=0.45,VLOOKUP(Calculator!E23,tbSkills!DH3:DI6,2,FALSE)+IF(AND(Calculator!B8=TRUE,Backdoors!BI20=TRUE),VLOOKUP(Calculator!E23,tbSkills!DH3:DJ6,3,FALSE),0),0))&gt;=0,1+(Backdoors!AL2*(IF((Backdoors!AI12+IF(DQ44&gt;=0.45,VLOOKUP(Calculator!E23,tbSkills!DH3:DI6,2,FALSE)+IF(AND(Calculator!B8=TRUE,Backdoors!BI20=TRUE),VLOOKUP(Calculator!E23,tbSkills!DH3:DJ6,3,FALSE),0),0))&gt;=100,100,(Backdoors!AI12+IF(DQ44&gt;=0.45,VLOOKUP(Calculator!E23,tbSkills!DH3:DI6,2,FALSE)+IF(AND(Calculator!B8=TRUE,Backdoors!BI20=TRUE),VLOOKUP(Calculator!E23,tbSkills!DH3:DJ6,3,FALSE),0),0)))/100)),(1-(0.25*((-Backdoors!AI12-IF(DQ44&gt;=0.45,VLOOKUP(Calculator!E23,tbSkills!DH3:DI6,2,FALSE)+IF(AND(Calculator!B8=TRUE,Backdoors!BI20=TRUE),VLOOKUP(Calculator!E23,tbSkills!DH3:DJ6,3,FALSE),0),0))/100)))),1),"")</f>
        <v>1</v>
      </c>
      <c r="DT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Q44)*DS44)*(VLOOKUP(A44,tbMoveset!A2:C112,3,FALSE)/100)*IF(VLOOKUP(A44,tbMoveset!A2:B112,2,FALSE)="Projectile",Backdoors!N10,Backdoors!N9),0),"")</f>
        <v/>
      </c>
      <c r="DU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Q44&gt;=0.45,VLOOKUP(Calculator!E23,tbSkills!DH3:DI6,2,FALSE)+IF(AND(Calculator!B8=TRUE,Backdoors!BI20=TRUE),VLOOKUP(Calculator!E23,tbSkills!DH3:DJ6,3,FALSE),0),0))&gt;=100,100,(Backdoors!AI12+IF(DQ44&gt;=0.45,VLOOKUP(Calculator!E23,tbSkills!DH3:DI6,2,FALSE)+IF(AND(Calculator!B8=TRUE,Backdoors!BI20=TRUE),VLOOKUP(Calculator!E23,tbSkills!DH3:DJ6,3,FALSE),0),0)))/100)),1))*IF(VLOOKUP(A44,tbMoveset!A2:K112,11,FALSE)=TRUE,Backdoors!AC5,1))*DR44,0),"")</f>
        <v>0</v>
      </c>
      <c r="DV44" s="49">
        <f>VLOOKUP(A44,tbMoveset!A2:G112,7,FALSE)*IFERROR(IF(Backdoors!AI12&gt;=0,1+(IF(Calculator!E40&gt;0,VLOOKUP(Calculator!E40,tbSkills!AI3:AJ5,2,FALSE),Backdoors!AL4)*(IF((Backdoors!AI12+IF(DQ44&gt;=0.45,VLOOKUP(Calculator!E23,tbSkills!DH3:DI6,2,FALSE)+IF(AND(Calculator!B8=TRUE,Backdoors!BI20=TRUE),VLOOKUP(Calculator!E23,tbSkills!DH3:DJ6,3,FALSE),0),0))&gt;=100,100,(Backdoors!AI12+IF(DQ44&gt;=0.45,VLOOKUP(Calculator!E23,tbSkills!DH3:DI6,2,FALSE)+IF(AND(Calculator!B8=TRUE,Backdoors!BI20=TRUE),VLOOKUP(Calculator!E23,tbSkills!DH3:DJ6,3,FALSE),0),0)))/100)),1),1)</f>
        <v>0.5</v>
      </c>
      <c r="DW44" s="87">
        <f t="shared" si="10"/>
        <v>0</v>
      </c>
      <c r="DX44" s="86" t="str">
        <f>IFERROR(IF(VLOOKUP(A44,tbMoveset!A2:B112,2,FALSE)="Sever",Backdoors!AY21/100,IF(VLOOKUP(A44,tbMoveset!A2:B112,2,FALSE)="Blunt",Backdoors!AZ21/100,Backdoors!BA21/100)),"")</f>
        <v/>
      </c>
      <c r="DY44" s="49">
        <f>IFERROR(IF(VLOOKUP(tbMoveset!A44,tbMoveset!A2:H112,8,FALSE)="Other",IF(VLOOKUP(tbMoveset!A44,tbMoveset!A2:I112,9,FALSE)="Fire",Backdoors!BB21,IF(VLOOKUP(tbMoveset!A44,tbMoveset!A2:I112,9,FALSE)="Water",Backdoors!BC21,IF(VLOOKUP(tbMoveset!A44,tbMoveset!A2:I112,9,FALSE)="Thunder",Backdoors!BD21,IF(VLOOKUP(tbMoveset!A44,tbMoveset!A2:I112,9,FALSE)="Ice",Backdoors!BE21,IF(VLOOKUP(tbMoveset!A44,tbMoveset!A2:I112,9,FALSE)="Dragon",Backdoors!BF21,Backdoors!BG21)))))/100,Backdoors!BG21/100),"")</f>
        <v>0</v>
      </c>
      <c r="DZ44" s="49">
        <f>IFERROR(IF(VLOOKUP(A44,tbMoveset!A2:J112,10,FALSE)=TRUE,IF((Backdoors!AI12+IF(DX44&gt;=0.45,VLOOKUP(Calculator!E23,tbSkills!DH3:DI6,2,FALSE)+IF(AND(Calculator!B8=TRUE,Backdoors!BI21=TRUE),VLOOKUP(Calculator!E23,tbSkills!DH3:DJ6,3,FALSE),0),0))&gt;=0,1+(Backdoors!AL2*(IF((Backdoors!AI12+IF(DX44&gt;=0.45,VLOOKUP(Calculator!E23,tbSkills!DH3:DI6,2,FALSE)+IF(AND(Calculator!B8=TRUE,Backdoors!BI21=TRUE),VLOOKUP(Calculator!E23,tbSkills!DH3:DJ6,3,FALSE),0),0))&gt;=100,100,(Backdoors!AI12+IF(DX44&gt;=0.45,VLOOKUP(Calculator!E23,tbSkills!DH3:DI6,2,FALSE)+IF(AND(Calculator!B8=TRUE,Backdoors!BI21=TRUE),VLOOKUP(Calculator!E23,tbSkills!DH3:DJ6,3,FALSE),0),0)))/100)),(1-(0.25*((-Backdoors!AI12-IF(DX44&gt;=0.45,VLOOKUP(Calculator!E23,tbSkills!DH3:DI6,2,FALSE)+IF(AND(Calculator!B8=TRUE,Backdoors!BI21=TRUE),VLOOKUP(Calculator!E23,tbSkills!DH3:DJ6,3,FALSE),0),0))/100)))),1),"")</f>
        <v>1</v>
      </c>
      <c r="EA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X44)*DZ44)*(VLOOKUP(A44,tbMoveset!A2:C112,3,FALSE)/100)*IF(VLOOKUP(A44,tbMoveset!A2:B112,2,FALSE)="Projectile",Backdoors!N10,Backdoors!N9),0),"")</f>
        <v/>
      </c>
      <c r="EB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X44&gt;=0.45,VLOOKUP(Calculator!E23,tbSkills!DH3:DI6,2,FALSE)+IF(AND(Calculator!B8=TRUE,Backdoors!BI21=TRUE),VLOOKUP(Calculator!E23,tbSkills!DH3:DJ6,3,FALSE),0),0))&gt;=100,100,(Backdoors!AI12+IF(DX44&gt;=0.45,VLOOKUP(Calculator!E23,tbSkills!DH3:DI6,2,FALSE)+IF(AND(Calculator!B8=TRUE,Backdoors!BI21=TRUE),VLOOKUP(Calculator!E23,tbSkills!DH3:DJ6,3,FALSE),0),0)))/100)),1))*IF(VLOOKUP(A44,tbMoveset!A2:K112,11,FALSE)=TRUE,Backdoors!AC5,1))*DY44,0),"")</f>
        <v>0</v>
      </c>
      <c r="EC44" s="49">
        <f>VLOOKUP(A44,tbMoveset!A2:G112,7,FALSE)*IFERROR(IF(Backdoors!AI12&gt;=0,1+(IF(Calculator!E40&gt;0,VLOOKUP(Calculator!E40,tbSkills!AI3:AJ5,2,FALSE),Backdoors!AL4)*(IF((Backdoors!AI12+IF(DX44&gt;=0.45,VLOOKUP(Calculator!E23,tbSkills!DH3:DI6,2,FALSE)+IF(AND(Calculator!B8=TRUE,Backdoors!BI21=TRUE),VLOOKUP(Calculator!E23,tbSkills!DH3:DJ6,3,FALSE),0),0))&gt;=100,100,(Backdoors!AI12+IF(DX44&gt;=0.45,VLOOKUP(Calculator!E23,tbSkills!DH3:DI6,2,FALSE)+IF(AND(Calculator!B8=TRUE,Backdoors!BI21=TRUE),VLOOKUP(Calculator!E23,tbSkills!DH3:DJ6,3,FALSE),0),0)))/100)),1),1)</f>
        <v>0.5</v>
      </c>
      <c r="ED44" s="87">
        <f t="shared" si="11"/>
        <v>0</v>
      </c>
      <c r="EE44" s="86" t="str">
        <f>IFERROR(IF(VLOOKUP(A44,tbMoveset!A2:B112,2,FALSE)="Sever",Backdoors!AY22/100,IF(VLOOKUP(A44,tbMoveset!A2:B112,2,FALSE)="Blunt",Backdoors!AZ22/100,Backdoors!BA22/100)),"")</f>
        <v/>
      </c>
      <c r="EF44" s="49">
        <f>IFERROR(IF(VLOOKUP(tbMoveset!A44,tbMoveset!A2:H112,8,FALSE)="Other",IF(VLOOKUP(tbMoveset!A44,tbMoveset!A2:I112,9,FALSE)="Fire",Backdoors!BB22,IF(VLOOKUP(tbMoveset!A44,tbMoveset!A2:I112,9,FALSE)="Water",Backdoors!BC22,IF(VLOOKUP(tbMoveset!A44,tbMoveset!A2:I112,9,FALSE)="Thunder",Backdoors!BD22,IF(VLOOKUP(tbMoveset!A44,tbMoveset!A2:I112,9,FALSE)="Ice",Backdoors!BE22,IF(VLOOKUP(tbMoveset!A44,tbMoveset!A2:I112,9,FALSE)="Dragon",Backdoors!BF22,Backdoors!BG22)))))/100,Backdoors!BG22/100),"")</f>
        <v>0</v>
      </c>
      <c r="EG44" s="49">
        <f>IFERROR(IF(VLOOKUP(A44,tbMoveset!A2:J112,10,FALSE)=TRUE,IF((Backdoors!AI12+IF(EE44&gt;=0.45,VLOOKUP(Calculator!E23,tbSkills!DH3:DI6,2,FALSE)+IF(AND(Calculator!B8=TRUE,Backdoors!BI22=TRUE),VLOOKUP(Calculator!E23,tbSkills!DH3:DJ6,3,FALSE),0),0))&gt;=0,1+(Backdoors!AL2*(IF((Backdoors!AI12+IF(EE44&gt;=0.45,VLOOKUP(Calculator!E23,tbSkills!DH3:DI6,2,FALSE)+IF(AND(Calculator!B8=TRUE,Backdoors!BI22=TRUE),VLOOKUP(Calculator!E23,tbSkills!DH3:DJ6,3,FALSE),0),0))&gt;=100,100,(Backdoors!AI12+IF(EE44&gt;=0.45,VLOOKUP(Calculator!E23,tbSkills!DH3:DI6,2,FALSE)+IF(AND(Calculator!B8=TRUE,Backdoors!BI22=TRUE),VLOOKUP(Calculator!E23,tbSkills!DH3:DJ6,3,FALSE),0),0)))/100)),(1-(0.25*((-Backdoors!AI12-IF(EE44&gt;=0.45,VLOOKUP(Calculator!E23,tbSkills!DH3:DI6,2,FALSE)+IF(AND(Calculator!B8=TRUE,Backdoors!BI22=TRUE),VLOOKUP(Calculator!E23,tbSkills!DH3:DJ6,3,FALSE),0),0))/100)))),1),"")</f>
        <v>1</v>
      </c>
      <c r="EH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E44)*EG44)*(VLOOKUP(A44,tbMoveset!A2:C112,3,FALSE)/100)*IF(VLOOKUP(A44,tbMoveset!A2:B112,2,FALSE)="Projectile",Backdoors!N10,Backdoors!N9),0),"")</f>
        <v/>
      </c>
      <c r="EI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E44&gt;=0.45,VLOOKUP(Calculator!E23,tbSkills!DH3:DI6,2,FALSE)+IF(AND(Calculator!B8=TRUE,Backdoors!BI22=TRUE),VLOOKUP(Calculator!E23,tbSkills!DH3:DJ6,3,FALSE),0),0))&gt;=100,100,(Backdoors!AI12+IF(EE44&gt;=0.45,VLOOKUP(Calculator!E23,tbSkills!DH3:DI6,2,FALSE)+IF(AND(Calculator!B8=TRUE,Backdoors!BI22=TRUE),VLOOKUP(Calculator!E23,tbSkills!DH3:DJ6,3,FALSE),0),0)))/100)),1))*IF(VLOOKUP(A44,tbMoveset!A2:K112,11,FALSE)=TRUE,Backdoors!AC5,1))*EF44,0),"")</f>
        <v>0</v>
      </c>
      <c r="EJ44" s="49">
        <f>VLOOKUP(A44,tbMoveset!A2:G112,7,FALSE)*IFERROR(IF(Backdoors!AI12&gt;=0,1+(IF(Calculator!E40&gt;0,VLOOKUP(Calculator!E40,tbSkills!AI3:AJ5,2,FALSE),Backdoors!AL4)*(IF((Backdoors!AI12+IF(EE44&gt;=0.45,VLOOKUP(Calculator!E23,tbSkills!DH3:DI6,2,FALSE)+IF(AND(Calculator!B8=TRUE,Backdoors!BI22=TRUE),VLOOKUP(Calculator!E23,tbSkills!DH3:DJ6,3,FALSE),0),0))&gt;=100,100,(Backdoors!AI12+IF(EE44&gt;=0.45,VLOOKUP(Calculator!E23,tbSkills!DH3:DI6,2,FALSE)+IF(AND(Calculator!B8=TRUE,Backdoors!BI22=TRUE),VLOOKUP(Calculator!E23,tbSkills!DH3:DJ6,3,FALSE),0),0)))/100)),1),1)</f>
        <v>0.5</v>
      </c>
      <c r="EK44" s="87">
        <f t="shared" si="12"/>
        <v>0</v>
      </c>
      <c r="EL44" s="86" t="str">
        <f>IFERROR(IF(VLOOKUP(A44,tbMoveset!A2:B112,2,FALSE)="Sever",Backdoors!AY23/100,IF(VLOOKUP(A44,tbMoveset!A2:B112,2,FALSE)="Blunt",Backdoors!AZ23/100,Backdoors!BA23/100)),"")</f>
        <v/>
      </c>
      <c r="EM44" s="49">
        <f>IFERROR(IF(VLOOKUP(tbMoveset!A44,tbMoveset!A2:H112,8,FALSE)="Other",IF(VLOOKUP(tbMoveset!A44,tbMoveset!A2:I112,9,FALSE)="Fire",Backdoors!BB23,IF(VLOOKUP(tbMoveset!A44,tbMoveset!A2:I112,9,FALSE)="Water",Backdoors!BC23,IF(VLOOKUP(tbMoveset!A44,tbMoveset!A2:I112,9,FALSE)="Thunder",Backdoors!BD23,IF(VLOOKUP(tbMoveset!A44,tbMoveset!A2:I112,9,FALSE)="Ice",Backdoors!BE23,IF(VLOOKUP(tbMoveset!A44,tbMoveset!A2:I112,9,FALSE)="Dragon",Backdoors!BF23,Backdoors!BG23)))))/100,Backdoors!BG23/100),"")</f>
        <v>0</v>
      </c>
      <c r="EN44" s="49">
        <f>IFERROR(IF(VLOOKUP(A44,tbMoveset!A2:J112,10,FALSE)=TRUE,IF((Backdoors!AI12+IF(EL44&gt;=0.45,VLOOKUP(Calculator!E23,tbSkills!DH3:DI6,2,FALSE)+IF(AND(Calculator!B8=TRUE,Backdoors!BI23=TRUE),VLOOKUP(Calculator!E23,tbSkills!DH3:DJ6,3,FALSE),0),0))&gt;=0,1+(Backdoors!AL2*(IF((Backdoors!AI12+IF(EL44&gt;=0.45,VLOOKUP(Calculator!E23,tbSkills!DH3:DI6,2,FALSE)+IF(AND(Calculator!B8=TRUE,Backdoors!BI23=TRUE),VLOOKUP(Calculator!E23,tbSkills!DH3:DJ6,3,FALSE),0),0))&gt;=100,100,(Backdoors!AI12+IF(EL44&gt;=0.45,VLOOKUP(Calculator!E23,tbSkills!DH3:DI6,2,FALSE)+IF(AND(Calculator!B8=TRUE,Backdoors!BI23=TRUE),VLOOKUP(Calculator!E23,tbSkills!DH3:DJ6,3,FALSE),0),0)))/100)),(1-(0.25*((-Backdoors!AI12-IF(EL44&gt;=0.45,VLOOKUP(Calculator!E23,tbSkills!DH3:DI6,2,FALSE)+IF(AND(Calculator!B8=TRUE,Backdoors!BI23=TRUE),VLOOKUP(Calculator!E23,tbSkills!DH3:DJ6,3,FALSE),0),0))/100)))),1),"")</f>
        <v>1</v>
      </c>
      <c r="EO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L44)*EN44)*(VLOOKUP(A44,tbMoveset!A2:C112,3,FALSE)/100)*IF(VLOOKUP(A44,tbMoveset!A2:B112,2,FALSE)="Projectile",Backdoors!N10,Backdoors!N9),0),"")</f>
        <v/>
      </c>
      <c r="EP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L44&gt;=0.45,VLOOKUP(Calculator!E23,tbSkills!DH3:DI6,2,FALSE)+IF(AND(Calculator!B8=TRUE,Backdoors!BI23=TRUE),VLOOKUP(Calculator!E23,tbSkills!DH3:DJ6,3,FALSE),0),0))&gt;=100,100,(Backdoors!AI12+IF(EL44&gt;=0.45,VLOOKUP(Calculator!E23,tbSkills!DH3:DI6,2,FALSE)+IF(AND(Calculator!B8=TRUE,Backdoors!BI23=TRUE),VLOOKUP(Calculator!E23,tbSkills!DH3:DJ6,3,FALSE),0),0)))/100)),1))*IF(VLOOKUP(A44,tbMoveset!A2:K112,11,FALSE)=TRUE,Backdoors!AC5,1))*EM44,0),"")</f>
        <v>0</v>
      </c>
      <c r="EQ44" s="49">
        <f>VLOOKUP(A44,tbMoveset!A2:G112,7,FALSE)*IFERROR(IF(Backdoors!AI12&gt;=0,1+(IF(Calculator!E40&gt;0,VLOOKUP(Calculator!E40,tbSkills!AI3:AJ5,2,FALSE),Backdoors!AL4)*(IF((Backdoors!AI12+IF(EL44&gt;=0.45,VLOOKUP(Calculator!E23,tbSkills!DH3:DI6,2,FALSE)+IF(AND(Calculator!B8=TRUE,Backdoors!BI23=TRUE),VLOOKUP(Calculator!E23,tbSkills!DH3:DJ6,3,FALSE),0),0))&gt;=100,100,(Backdoors!AI12+IF(EL44&gt;=0.45,VLOOKUP(Calculator!E23,tbSkills!DH3:DI6,2,FALSE)+IF(AND(Calculator!B8=TRUE,Backdoors!BI23=TRUE),VLOOKUP(Calculator!E23,tbSkills!DH3:DJ6,3,FALSE),0),0)))/100)),1),1)</f>
        <v>0.5</v>
      </c>
      <c r="ER44" s="87">
        <f t="shared" si="13"/>
        <v>0</v>
      </c>
      <c r="ES44" s="86" t="str">
        <f>IFERROR(IF(VLOOKUP(A44,tbMoveset!A2:B112,2,FALSE)="Sever",Backdoors!AY24/100,IF(VLOOKUP(A44,tbMoveset!A2:B112,2,FALSE)="Blunt",Backdoors!AZ24/100,Backdoors!BA24/100)),"")</f>
        <v/>
      </c>
      <c r="ET44" s="49">
        <f>IFERROR(IF(VLOOKUP(tbMoveset!A44,tbMoveset!A2:H112,8,FALSE)="Other",IF(VLOOKUP(tbMoveset!A44,tbMoveset!A2:I112,9,FALSE)="Fire",Backdoors!BB24,IF(VLOOKUP(tbMoveset!A44,tbMoveset!A2:I112,9,FALSE)="Water",Backdoors!BC24,IF(VLOOKUP(tbMoveset!A44,tbMoveset!A2:I112,9,FALSE)="Thunder",Backdoors!BD24,IF(VLOOKUP(tbMoveset!A44,tbMoveset!A2:I112,9,FALSE)="Ice",Backdoors!BE24,IF(VLOOKUP(tbMoveset!A44,tbMoveset!A2:I112,9,FALSE)="Dragon",Backdoors!BF24,Backdoors!BG24)))))/100,Backdoors!BG24/100),"")</f>
        <v>0</v>
      </c>
      <c r="EU44" s="49">
        <f>IFERROR(IF(VLOOKUP(A44,tbMoveset!A2:J112,10,FALSE)=TRUE,IF((Backdoors!AI12+IF(ES44&gt;=0.45,VLOOKUP(Calculator!E23,tbSkills!DH3:DI6,2,FALSE)+IF(AND(Calculator!B8=TRUE,Backdoors!BI24=TRUE),VLOOKUP(Calculator!E23,tbSkills!DH3:DJ6,3,FALSE),0),0))&gt;=0,1+(Backdoors!AL2*(IF((Backdoors!AI12+IF(ES44&gt;=0.45,VLOOKUP(Calculator!E23,tbSkills!DH3:DI6,2,FALSE)+IF(AND(Calculator!B8=TRUE,Backdoors!BI24=TRUE),VLOOKUP(Calculator!E23,tbSkills!DH3:DJ6,3,FALSE),0),0))&gt;=100,100,(Backdoors!AI12+IF(ES44&gt;=0.45,VLOOKUP(Calculator!E23,tbSkills!DH3:DI6,2,FALSE)+IF(AND(Calculator!B8=TRUE,Backdoors!BI24=TRUE),VLOOKUP(Calculator!E23,tbSkills!DH3:DJ6,3,FALSE),0),0)))/100)),(1-(0.25*((-Backdoors!AI12-IF(ES44&gt;=0.45,VLOOKUP(Calculator!E23,tbSkills!DH3:DI6,2,FALSE)+IF(AND(Calculator!B8=TRUE,Backdoors!BI24=TRUE),VLOOKUP(Calculator!E23,tbSkills!DH3:DJ6,3,FALSE),0),0))/100)))),1),"")</f>
        <v>1</v>
      </c>
      <c r="EV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S44)*EU44)*(VLOOKUP(A44,tbMoveset!A2:C112,3,FALSE)/100)*IF(VLOOKUP(A44,tbMoveset!A2:B112,2,FALSE)="Projectile",Backdoors!N10,Backdoors!N9),0),"")</f>
        <v/>
      </c>
      <c r="EW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S44&gt;=0.45,VLOOKUP(Calculator!E23,tbSkills!DH3:DI6,2,FALSE)+IF(AND(Calculator!B8=TRUE,Backdoors!BI24=TRUE),VLOOKUP(Calculator!E23,tbSkills!DH3:DJ6,3,FALSE),0),0))&gt;=100,100,(Backdoors!AI12+IF(ES44&gt;=0.45,VLOOKUP(Calculator!E23,tbSkills!DH3:DI6,2,FALSE)+IF(AND(Calculator!B8=TRUE,Backdoors!BI24=TRUE),VLOOKUP(Calculator!E23,tbSkills!DH3:DJ6,3,FALSE),0),0)))/100)),1))*IF(VLOOKUP(A44,tbMoveset!A2:K112,11,FALSE)=TRUE,Backdoors!AC5,1))*ET44,0),"")</f>
        <v>0</v>
      </c>
      <c r="EX44" s="49">
        <f>VLOOKUP(A44,tbMoveset!A2:G112,7,FALSE)*IFERROR(IF(Backdoors!AI12&gt;=0,1+(IF(Calculator!E40&gt;0,VLOOKUP(Calculator!E40,tbSkills!AI3:AJ5,2,FALSE),Backdoors!AL4)*(IF((Backdoors!AI12+IF(ES44&gt;=0.45,VLOOKUP(Calculator!E23,tbSkills!DH3:DI6,2,FALSE)+IF(AND(Calculator!B8=TRUE,Backdoors!BI24=TRUE),VLOOKUP(Calculator!E23,tbSkills!DH3:DJ6,3,FALSE),0),0))&gt;=100,100,(Backdoors!AI12+IF(ES44&gt;=0.45,VLOOKUP(Calculator!E23,tbSkills!DH3:DI6,2,FALSE)+IF(AND(Calculator!B8=TRUE,Backdoors!BI24=TRUE),VLOOKUP(Calculator!E23,tbSkills!DH3:DJ6,3,FALSE),0),0)))/100)),1),1)</f>
        <v>0.5</v>
      </c>
      <c r="EY44" s="87">
        <f t="shared" si="14"/>
        <v>0</v>
      </c>
      <c r="EZ44" s="86" t="str">
        <f>IFERROR(IF(VLOOKUP(A44,tbMoveset!A2:B112,2,FALSE)="Sever",Backdoors!AY25/100,IF(VLOOKUP(A44,tbMoveset!A2:B112,2,FALSE)="Blunt",Backdoors!AZ25/100,Backdoors!BA25/100)),"")</f>
        <v/>
      </c>
      <c r="FA44" s="49">
        <f>IFERROR(IF(VLOOKUP(tbMoveset!A44,tbMoveset!A2:H112,8,FALSE)="Other",IF(VLOOKUP(tbMoveset!A44,tbMoveset!A2:I112,9,FALSE)="Fire",Backdoors!BB25,IF(VLOOKUP(tbMoveset!A44,tbMoveset!A2:I112,9,FALSE)="Water",Backdoors!BC25,IF(VLOOKUP(tbMoveset!A44,tbMoveset!A2:I112,9,FALSE)="Thunder",Backdoors!BD25,IF(VLOOKUP(tbMoveset!A44,tbMoveset!A2:I112,9,FALSE)="Ice",Backdoors!BE25,IF(VLOOKUP(tbMoveset!A44,tbMoveset!A2:I112,9,FALSE)="Dragon",Backdoors!BF25,Backdoors!BG25)))))/100,Backdoors!BG25/100),"")</f>
        <v>0</v>
      </c>
      <c r="FB44" s="49">
        <f>IFERROR(IF(VLOOKUP(A44,tbMoveset!A2:J112,10,FALSE)=TRUE,IF((Backdoors!AI12+IF(EZ44&gt;=0.45,VLOOKUP(Calculator!E23,tbSkills!DH3:DI6,2,FALSE)+IF(AND(Calculator!B8=TRUE,Backdoors!BI25=TRUE),VLOOKUP(Calculator!E23,tbSkills!DH3:DJ6,3,FALSE),0),0))&gt;=0,1+(Backdoors!AL2*(IF((Backdoors!AI12+IF(EZ44&gt;=0.45,VLOOKUP(Calculator!E23,tbSkills!DH3:DI6,2,FALSE)+IF(AND(Calculator!B8=TRUE,Backdoors!BI25=TRUE),VLOOKUP(Calculator!E23,tbSkills!DH3:DJ6,3,FALSE),0),0))&gt;=100,100,(Backdoors!AI12+IF(EZ44&gt;=0.45,VLOOKUP(Calculator!E23,tbSkills!DH3:DI6,2,FALSE)+IF(AND(Calculator!B8=TRUE,Backdoors!BI25=TRUE),VLOOKUP(Calculator!E23,tbSkills!DH3:DJ6,3,FALSE),0),0)))/100)),(1-(0.25*((-Backdoors!AI12-IF(EZ44&gt;=0.45,VLOOKUP(Calculator!E23,tbSkills!DH3:DI6,2,FALSE)+IF(AND(Calculator!B8=TRUE,Backdoors!BI25=TRUE),VLOOKUP(Calculator!E23,tbSkills!DH3:DJ6,3,FALSE),0),0))/100)))),1),"")</f>
        <v>1</v>
      </c>
      <c r="FC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Z44)*FB44)*(VLOOKUP(A44,tbMoveset!A2:C112,3,FALSE)/100)*IF(VLOOKUP(A44,tbMoveset!A2:B112,2,FALSE)="Projectile",Backdoors!N10,Backdoors!N9),0),"")</f>
        <v/>
      </c>
      <c r="FD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Z44&gt;=0.45,VLOOKUP(Calculator!E23,tbSkills!DH3:DI6,2,FALSE)+IF(AND(Calculator!B8=TRUE,Backdoors!BI25=TRUE),VLOOKUP(Calculator!E23,tbSkills!DH3:DJ6,3,FALSE),0),0))&gt;=100,100,(Backdoors!AI12+IF(EZ44&gt;=0.45,VLOOKUP(Calculator!E23,tbSkills!DH3:DI6,2,FALSE)+IF(AND(Calculator!B8=TRUE,Backdoors!BI25=TRUE),VLOOKUP(Calculator!E23,tbSkills!DH3:DJ6,3,FALSE),0),0)))/100)),1))*IF(VLOOKUP(A44,tbMoveset!A2:K112,11,FALSE)=TRUE,Backdoors!AC5,1))*FA44,0),"")</f>
        <v>0</v>
      </c>
      <c r="FE44" s="49">
        <f>VLOOKUP(A44,tbMoveset!A2:G112,7,FALSE)*IFERROR(IF(Backdoors!AI12&gt;=0,1+(IF(Calculator!E40&gt;0,VLOOKUP(Calculator!E40,tbSkills!AI3:AJ5,2,FALSE),Backdoors!AL4)*(IF((Backdoors!AI12+IF(EZ44&gt;=0.45,VLOOKUP(Calculator!E23,tbSkills!DH3:DI6,2,FALSE)+IF(AND(Calculator!B8=TRUE,Backdoors!BI25=TRUE),VLOOKUP(Calculator!E23,tbSkills!DH3:DJ6,3,FALSE),0),0))&gt;=100,100,(Backdoors!AI12+IF(EZ44&gt;=0.45,VLOOKUP(Calculator!E23,tbSkills!DH3:DI6,2,FALSE)+IF(AND(Calculator!B8=TRUE,Backdoors!BI25=TRUE),VLOOKUP(Calculator!E23,tbSkills!DH3:DJ6,3,FALSE),0),0)))/100)),1),1)</f>
        <v>0.5</v>
      </c>
      <c r="FF44" s="87">
        <f t="shared" si="15"/>
        <v>0</v>
      </c>
      <c r="FG44" s="86" t="str">
        <f>IFERROR(IF(VLOOKUP(A44,tbMoveset!A2:B112,2,FALSE)="Sever",Backdoors!AY26/100,IF(VLOOKUP(A44,tbMoveset!A2:B112,2,FALSE)="Blunt",Backdoors!AZ26/100,Backdoors!BA26/100)),"")</f>
        <v/>
      </c>
      <c r="FH44" s="49">
        <f>IFERROR(IF(VLOOKUP(tbMoveset!A44,tbMoveset!A2:H112,8,FALSE)="Other",IF(VLOOKUP(tbMoveset!A44,tbMoveset!A2:I112,9,FALSE)="Fire",Backdoors!BB26,IF(VLOOKUP(tbMoveset!A44,tbMoveset!A2:I112,9,FALSE)="Water",Backdoors!BC26,IF(VLOOKUP(tbMoveset!A44,tbMoveset!A2:I112,9,FALSE)="Thunder",Backdoors!BD26,IF(VLOOKUP(tbMoveset!A44,tbMoveset!A2:I112,9,FALSE)="Ice",Backdoors!BE26,IF(VLOOKUP(tbMoveset!A44,tbMoveset!A2:I112,9,FALSE)="Dragon",Backdoors!BF26,Backdoors!BG26)))))/100,Backdoors!BG26/100),"")</f>
        <v>0</v>
      </c>
      <c r="FI44" s="49">
        <f>IFERROR(IF(VLOOKUP(A44,tbMoveset!A2:J112,10,FALSE)=TRUE,IF((Backdoors!AI12+IF(FG44&gt;=0.45,VLOOKUP(Calculator!E23,tbSkills!DH3:DI6,2,FALSE)+IF(AND(Calculator!B8=TRUE,Backdoors!BI26=TRUE),VLOOKUP(Calculator!E23,tbSkills!DH3:DJ6,3,FALSE),0),0))&gt;=0,1+(Backdoors!AL2*(IF((Backdoors!AI12+IF(FG44&gt;=0.45,VLOOKUP(Calculator!E23,tbSkills!DH3:DI6,2,FALSE)+IF(AND(Calculator!B8=TRUE,Backdoors!BI26=TRUE),VLOOKUP(Calculator!E23,tbSkills!DH3:DJ6,3,FALSE),0),0))&gt;=100,100,(Backdoors!AI12+IF(FG44&gt;=0.45,VLOOKUP(Calculator!E23,tbSkills!DH3:DI6,2,FALSE)+IF(AND(Calculator!B8=TRUE,Backdoors!BI26=TRUE),VLOOKUP(Calculator!E23,tbSkills!DH3:DJ6,3,FALSE),0),0)))/100)),(1-(0.25*((-Backdoors!AI12-IF(FG44&gt;=0.45,VLOOKUP(Calculator!E23,tbSkills!DH3:DI6,2,FALSE)+IF(AND(Calculator!B8=TRUE,Backdoors!BI26=TRUE),VLOOKUP(Calculator!E23,tbSkills!DH3:DJ6,3,FALSE),0),0))/100)))),1),"")</f>
        <v>1</v>
      </c>
      <c r="FJ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FG44)*FI44)*(VLOOKUP(A44,tbMoveset!A2:C112,3,FALSE)/100)*IF(VLOOKUP(A44,tbMoveset!A2:B112,2,FALSE)="Projectile",Backdoors!N10,Backdoors!N9),0),"")</f>
        <v/>
      </c>
      <c r="FK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FG44&gt;=0.45,VLOOKUP(Calculator!E23,tbSkills!DH3:DI6,2,FALSE)+IF(AND(Calculator!B8=TRUE,Backdoors!BI26=TRUE),VLOOKUP(Calculator!E23,tbSkills!DH3:DJ6,3,FALSE),0),0))&gt;=100,100,(Backdoors!AI12+IF(FG44&gt;=0.45,VLOOKUP(Calculator!E23,tbSkills!DH3:DI6,2,FALSE)+IF(AND(Calculator!B8=TRUE,Backdoors!BI26=TRUE),VLOOKUP(Calculator!E23,tbSkills!DH3:DJ6,3,FALSE),0),0)))/100)),1))*IF(VLOOKUP(A44,tbMoveset!A2:K112,11,FALSE)=TRUE,Backdoors!AC5,1))*FH44,0),"")</f>
        <v>0</v>
      </c>
      <c r="FL44" s="49">
        <f>VLOOKUP(A44,tbMoveset!A2:G112,7,FALSE)*IFERROR(IF(Backdoors!AI12&gt;=0,1+(IF(Calculator!E40&gt;0,VLOOKUP(Calculator!E40,tbSkills!AI3:AJ5,2,FALSE),Backdoors!AL4)*(IF((Backdoors!AI12+IF(FG44&gt;=0.45,VLOOKUP(Calculator!E23,tbSkills!DH3:DI6,2,FALSE)+IF(AND(Calculator!B8=TRUE,Backdoors!BI26=TRUE),VLOOKUP(Calculator!E23,tbSkills!DH3:DJ6,3,FALSE),0),0))&gt;=100,100,(Backdoors!AI12+IF(FG44&gt;=0.45,VLOOKUP(Calculator!E23,tbSkills!DH3:DI6,2,FALSE)+IF(AND(Calculator!B8=TRUE,Backdoors!BI26=TRUE),VLOOKUP(Calculator!E23,tbSkills!DH3:DJ6,3,FALSE),0),0)))/100)),1),1)</f>
        <v>0.5</v>
      </c>
      <c r="FM44" s="87">
        <f t="shared" si="16"/>
        <v>0</v>
      </c>
      <c r="FN44" s="86" t="str">
        <f>IFERROR(IF(VLOOKUP(A44,tbMoveset!A2:B112,2,FALSE)="Sever",Backdoors!AY27/100,IF(VLOOKUP(A44,tbMoveset!A2:B112,2,FALSE)="Blunt",Backdoors!AZ27/100,Backdoors!BA27/100)),"")</f>
        <v/>
      </c>
      <c r="FO44" s="49">
        <f>IFERROR(IF(VLOOKUP(tbMoveset!A44,tbMoveset!A2:H112,8,FALSE)="Other",IF(VLOOKUP(tbMoveset!A44,tbMoveset!A2:I112,9,FALSE)="Fire",Backdoors!BB27,IF(VLOOKUP(tbMoveset!A44,tbMoveset!A2:I112,9,FALSE)="Water",Backdoors!BC27,IF(VLOOKUP(tbMoveset!A44,tbMoveset!A2:I112,9,FALSE)="Thunder",Backdoors!BD27,IF(VLOOKUP(tbMoveset!A44,tbMoveset!A2:I112,9,FALSE)="Ice",Backdoors!BE27,IF(VLOOKUP(tbMoveset!A44,tbMoveset!A2:I112,9,FALSE)="Dragon",Backdoors!BF27,Backdoors!BG27)))))/100,Backdoors!BG27/100),"")</f>
        <v>0</v>
      </c>
      <c r="FP44" s="49">
        <f>IFERROR(IF(VLOOKUP(A44,tbMoveset!A2:J112,10,FALSE)=TRUE,IF((Backdoors!AI12+IF(FN44&gt;=0.45,VLOOKUP(Calculator!E23,tbSkills!DH3:DI6,2,FALSE)+IF(AND(Calculator!B8=TRUE,Backdoors!BI27=TRUE),VLOOKUP(Calculator!E23,tbSkills!DH3:DJ6,3,FALSE),0),0))&gt;=0,1+(Backdoors!AL2*(IF((Backdoors!AI12+IF(FN44&gt;=0.45,VLOOKUP(Calculator!E23,tbSkills!DH3:DI6,2,FALSE)+IF(AND(Calculator!B8=TRUE,Backdoors!BI27=TRUE),VLOOKUP(Calculator!E23,tbSkills!DH3:DJ6,3,FALSE),0),0))&gt;=100,100,(Backdoors!AI12+IF(FN44&gt;=0.45,VLOOKUP(Calculator!E23,tbSkills!DH3:DI6,2,FALSE)+IF(AND(Calculator!B8=TRUE,Backdoors!BI27=TRUE),VLOOKUP(Calculator!E23,tbSkills!DH3:DJ6,3,FALSE),0),0)))/100)),(1-(0.25*((-Backdoors!AI12-IF(FN44&gt;=0.45,VLOOKUP(Calculator!E23,tbSkills!DH3:DI6,2,FALSE)+IF(AND(Calculator!B8=TRUE,Backdoors!BI27=TRUE),VLOOKUP(Calculator!E23,tbSkills!DH3:DJ6,3,FALSE),0),0))/100)))),1),"")</f>
        <v>1</v>
      </c>
      <c r="FQ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FN44)*FP44)*(VLOOKUP(A44,tbMoveset!A2:C112,3,FALSE)/100)*IF(VLOOKUP(A44,tbMoveset!A2:B112,2,FALSE)="Projectile",Backdoors!N10,Backdoors!N9),0),"")</f>
        <v/>
      </c>
      <c r="FR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FN44&gt;=0.45,VLOOKUP(Calculator!E23,tbSkills!DH3:DI6,2,FALSE)+IF(AND(Calculator!B8=TRUE,Backdoors!BI27=TRUE),VLOOKUP(Calculator!E23,tbSkills!DH3:DJ6,3,FALSE),0),0))&gt;=100,100,(Backdoors!AI12+IF(FN44&gt;=0.45,VLOOKUP(Calculator!E23,tbSkills!DH3:DI6,2,FALSE)+IF(AND(Calculator!B8=TRUE,Backdoors!BI27=TRUE),VLOOKUP(Calculator!E23,tbSkills!DH3:DJ6,3,FALSE),0),0)))/100)),1))*IF(VLOOKUP(A44,tbMoveset!A2:K112,11,FALSE)=TRUE,Backdoors!AC5,1))*FO44,0),"")</f>
        <v>0</v>
      </c>
      <c r="FS44" s="49">
        <f>VLOOKUP(A44,tbMoveset!A2:G112,7,FALSE)*IFERROR(IF(Backdoors!AI12&gt;=0,1+(IF(Calculator!E40&gt;0,VLOOKUP(Calculator!E40,tbSkills!AI3:AJ5,2,FALSE),Backdoors!AL4)*(IF((Backdoors!AI12+IF(FN44&gt;=0.45,VLOOKUP(Calculator!E23,tbSkills!DH3:DI6,2,FALSE)+IF(AND(Calculator!B8=TRUE,Backdoors!BI27=TRUE),VLOOKUP(Calculator!E23,tbSkills!DH3:DJ6,3,FALSE),0),0))&gt;=100,100,(Backdoors!AI12+IF(FN44&gt;=0.45,VLOOKUP(Calculator!E23,tbSkills!DH3:DI6,2,FALSE)+IF(AND(Calculator!B8=TRUE,Backdoors!BI27=TRUE),VLOOKUP(Calculator!E23,tbSkills!DH3:DJ6,3,FALSE),0),0)))/100)),1),1)</f>
        <v>0.5</v>
      </c>
      <c r="FT44" s="87">
        <f t="shared" si="17"/>
        <v>0</v>
      </c>
      <c r="FU44" s="86" t="str">
        <f>IFERROR(IF(VLOOKUP(A44,tbMoveset!A2:B112,2,FALSE)="Sever",Backdoors!AY28/100,IF(VLOOKUP(A44,tbMoveset!A2:B112,2,FALSE)="Blunt",Backdoors!AZ28/100,Backdoors!BA28/100)),"")</f>
        <v/>
      </c>
      <c r="FV44" s="49">
        <f>IFERROR(IF(VLOOKUP(tbMoveset!A44,tbMoveset!A2:H112,8,FALSE)="Other",IF(VLOOKUP(tbMoveset!A44,tbMoveset!A2:I112,9,FALSE)="Fire",Backdoors!BB28,IF(VLOOKUP(tbMoveset!A44,tbMoveset!A2:I112,9,FALSE)="Water",Backdoors!BC28,IF(VLOOKUP(tbMoveset!A44,tbMoveset!A2:I112,9,FALSE)="Thunder",Backdoors!BD28,IF(VLOOKUP(tbMoveset!A44,tbMoveset!A2:I112,9,FALSE)="Ice",Backdoors!BE28,IF(VLOOKUP(tbMoveset!A44,tbMoveset!A2:I112,9,FALSE)="Dragon",Backdoors!BF28,Backdoors!BG28)))))/100,Backdoors!BG28/100),"")</f>
        <v>0</v>
      </c>
      <c r="FW44" s="49">
        <f>IFERROR(IF(VLOOKUP(A44,tbMoveset!A2:J112,10,FALSE)=TRUE,IF((Backdoors!AI12+IF(FU44&gt;=0.45,VLOOKUP(Calculator!E23,tbSkills!DH3:DI6,2,FALSE)+IF(AND(Calculator!B8=TRUE,Backdoors!BI28=TRUE),VLOOKUP(Calculator!E23,tbSkills!DH3:DJ6,3,FALSE),0),0))&gt;=0,1+(Backdoors!AL2*(IF((Backdoors!AI12+IF(FU44&gt;=0.45,VLOOKUP(Calculator!E23,tbSkills!DH3:DI6,2,FALSE)+IF(AND(Calculator!B8=TRUE,Backdoors!BI28=TRUE),VLOOKUP(Calculator!E23,tbSkills!DH3:DJ6,3,FALSE),0),0))&gt;=100,100,(Backdoors!AI12+IF(FU44&gt;=0.45,VLOOKUP(Calculator!E23,tbSkills!DH3:DI6,2,FALSE)+IF(AND(Calculator!B8=TRUE,Backdoors!BI28=TRUE),VLOOKUP(Calculator!E23,tbSkills!DH3:DJ6,3,FALSE),0),0)))/100)),(1-(0.25*((-Backdoors!AI12-IF(FU44&gt;=0.45,VLOOKUP(Calculator!E23,tbSkills!DH3:DI6,2,FALSE)+IF(AND(Calculator!B8=TRUE,Backdoors!BI28=TRUE),VLOOKUP(Calculator!E23,tbSkills!DH3:DJ6,3,FALSE),0),0))/100)))),1),"")</f>
        <v>1</v>
      </c>
      <c r="FX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FU44)*FW44)*(VLOOKUP(A44,tbMoveset!A2:C112,3,FALSE)/100)*IF(VLOOKUP(A44,tbMoveset!A2:B112,2,FALSE)="Projectile",Backdoors!N10,Backdoors!N9),0),"")</f>
        <v/>
      </c>
      <c r="FY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FU44&gt;=0.45,VLOOKUP(Calculator!E23,tbSkills!DH3:DI6,2,FALSE)+IF(AND(Calculator!B8=TRUE,Backdoors!BI28=TRUE),VLOOKUP(Calculator!E23,tbSkills!DH3:DJ6,3,FALSE),0),0))&gt;=100,100,(Backdoors!AI12+IF(FU44&gt;=0.45,VLOOKUP(Calculator!E23,tbSkills!DH3:DI6,2,FALSE)+IF(AND(Calculator!B8=TRUE,Backdoors!BI28=TRUE),VLOOKUP(Calculator!E23,tbSkills!DH3:DJ6,3,FALSE),0),0)))/100)),1))*IF(VLOOKUP(A44,tbMoveset!A2:K112,11,FALSE)=TRUE,Backdoors!AC5,1))*FV44,0),"")</f>
        <v>0</v>
      </c>
      <c r="FZ44" s="49">
        <f>VLOOKUP(A44,tbMoveset!A2:G112,7,FALSE)*IFERROR(IF(Backdoors!AI12&gt;=0,1+(IF(Calculator!E40&gt;0,VLOOKUP(Calculator!E40,tbSkills!AI3:AJ5,2,FALSE),Backdoors!AL4)*(IF((Backdoors!AI12+IF(FU44&gt;=0.45,VLOOKUP(Calculator!E23,tbSkills!DH3:DI6,2,FALSE)+IF(AND(Calculator!B8=TRUE,Backdoors!BI28=TRUE),VLOOKUP(Calculator!E23,tbSkills!DH3:DJ6,3,FALSE),0),0))&gt;=100,100,(Backdoors!AI12+IF(FU44&gt;=0.45,VLOOKUP(Calculator!E23,tbSkills!DH3:DI6,2,FALSE)+IF(AND(Calculator!B8=TRUE,Backdoors!BI28=TRUE),VLOOKUP(Calculator!E23,tbSkills!DH3:DJ6,3,FALSE),0),0)))/100)),1),1)</f>
        <v>0.5</v>
      </c>
      <c r="GA44" s="87">
        <f t="shared" si="18"/>
        <v>0</v>
      </c>
      <c r="GB44" s="86" t="str">
        <f>IFERROR(IF(VLOOKUP(A44,tbMoveset!A2:B112,2,FALSE)="Sever",Backdoors!AY29/100,IF(VLOOKUP(A44,tbMoveset!A2:B112,2,FALSE)="Blunt",Backdoors!AZ29/100,Backdoors!BA29/100)),"")</f>
        <v/>
      </c>
      <c r="GC44" s="49">
        <f>IFERROR(IF(VLOOKUP(tbMoveset!A44,tbMoveset!A2:H112,8,FALSE)="Other",IF(VLOOKUP(tbMoveset!A44,tbMoveset!A2:I112,9,FALSE)="Fire",Backdoors!BB29,IF(VLOOKUP(tbMoveset!A44,tbMoveset!A2:I112,9,FALSE)="Water",Backdoors!BC29,IF(VLOOKUP(tbMoveset!A44,tbMoveset!A2:I112,9,FALSE)="Thunder",Backdoors!BD29,IF(VLOOKUP(tbMoveset!A44,tbMoveset!A2:I112,9,FALSE)="Ice",Backdoors!BE29,IF(VLOOKUP(tbMoveset!A44,tbMoveset!A2:I112,9,FALSE)="Dragon",Backdoors!BF29,Backdoors!BG29)))))/100,Backdoors!BG29/100),"")</f>
        <v>0</v>
      </c>
      <c r="GD44" s="49">
        <f>IFERROR(IF(VLOOKUP(A44,tbMoveset!A2:J112,10,FALSE)=TRUE,IF((Backdoors!AI12+IF(GB44&gt;=0.45,VLOOKUP(Calculator!E23,tbSkills!DH3:DI6,2,FALSE)+IF(AND(Calculator!B8=TRUE,Backdoors!BI29=TRUE),VLOOKUP(Calculator!E23,tbSkills!DH3:DJ6,3,FALSE),0),0))&gt;=0,1+(Backdoors!AL2*(IF((Backdoors!AI12+IF(GB44&gt;=0.45,VLOOKUP(Calculator!E23,tbSkills!DH3:DI6,2,FALSE)+IF(AND(Calculator!B8=TRUE,Backdoors!BI29=TRUE),VLOOKUP(Calculator!E23,tbSkills!DH3:DJ6,3,FALSE),0),0))&gt;=100,100,(Backdoors!AI12+IF(GB44&gt;=0.45,VLOOKUP(Calculator!E23,tbSkills!DH3:DI6,2,FALSE)+IF(AND(Calculator!B8=TRUE,Backdoors!BI29=TRUE),VLOOKUP(Calculator!E23,tbSkills!DH3:DJ6,3,FALSE),0),0)))/100)),(1-(0.25*((-Backdoors!AI12-IF(GB44&gt;=0.45,VLOOKUP(Calculator!E23,tbSkills!DH3:DI6,2,FALSE)+IF(AND(Calculator!B8=TRUE,Backdoors!BI29=TRUE),VLOOKUP(Calculator!E23,tbSkills!DH3:DJ6,3,FALSE),0),0))/100)))),1),"")</f>
        <v>1</v>
      </c>
      <c r="GE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B44)*GD44)*(VLOOKUP(A44,tbMoveset!A2:C112,3,FALSE)/100)*IF(VLOOKUP(A44,tbMoveset!A2:B112,2,FALSE)="Projectile",Backdoors!N10,Backdoors!N9),0),"")</f>
        <v/>
      </c>
      <c r="GF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B44&gt;=0.45,VLOOKUP(Calculator!E23,tbSkills!DH3:DI6,2,FALSE)+IF(AND(Calculator!B8=TRUE,Backdoors!BI29=TRUE),VLOOKUP(Calculator!E23,tbSkills!DH3:DJ6,3,FALSE),0),0))&gt;=100,100,(Backdoors!AI12+IF(GB44&gt;=0.45,VLOOKUP(Calculator!E23,tbSkills!DH3:DI6,2,FALSE)+IF(AND(Calculator!B8=TRUE,Backdoors!BI29=TRUE),VLOOKUP(Calculator!E23,tbSkills!DH3:DJ6,3,FALSE),0),0)))/100)),1))*IF(VLOOKUP(A44,tbMoveset!A2:K112,11,FALSE)=TRUE,Backdoors!AC5,1))*GC44,0),"")</f>
        <v>0</v>
      </c>
      <c r="GG44" s="49">
        <f>VLOOKUP(A44,tbMoveset!A2:G112,7,FALSE)*IFERROR(IF(Backdoors!AI12&gt;=0,1+(IF(Calculator!E40&gt;0,VLOOKUP(Calculator!E40,tbSkills!AI3:AJ5,2,FALSE),Backdoors!AL4)*(IF((Backdoors!AI12+IF(GB44&gt;=0.45,VLOOKUP(Calculator!E23,tbSkills!DH3:DI6,2,FALSE)+IF(AND(Calculator!B8=TRUE,Backdoors!BI29=TRUE),VLOOKUP(Calculator!E23,tbSkills!DH3:DJ6,3,FALSE),0),0))&gt;=100,100,(Backdoors!AI12+IF(GB44&gt;=0.45,VLOOKUP(Calculator!E23,tbSkills!DH3:DI6,2,FALSE)+IF(AND(Calculator!B8=TRUE,Backdoors!BI29=TRUE),VLOOKUP(Calculator!E23,tbSkills!DH3:DJ6,3,FALSE),0),0)))/100)),1),1)</f>
        <v>0.5</v>
      </c>
      <c r="GH44" s="87">
        <f t="shared" si="19"/>
        <v>0</v>
      </c>
      <c r="GI44" s="86" t="str">
        <f>IFERROR(IF(VLOOKUP(A44,tbMoveset!A2:B112,2,FALSE)="Sever",Backdoors!AY30/100,IF(VLOOKUP(A44,tbMoveset!A2:B112,2,FALSE)="Blunt",Backdoors!AZ30/100,Backdoors!BA30/100)),"")</f>
        <v/>
      </c>
      <c r="GJ44" s="49">
        <f>IFERROR(IF(VLOOKUP(tbMoveset!A44,tbMoveset!A2:H112,8,FALSE)="Other",IF(VLOOKUP(tbMoveset!A44,tbMoveset!A2:I112,9,FALSE)="Fire",Backdoors!BB30,IF(VLOOKUP(tbMoveset!A44,tbMoveset!A2:I112,9,FALSE)="Water",Backdoors!BC30,IF(VLOOKUP(tbMoveset!A44,tbMoveset!A2:I112,9,FALSE)="Thunder",Backdoors!BD30,IF(VLOOKUP(tbMoveset!A44,tbMoveset!A2:I112,9,FALSE)="Ice",Backdoors!BE30,IF(VLOOKUP(tbMoveset!A44,tbMoveset!A2:I112,9,FALSE)="Dragon",Backdoors!BF30,Backdoors!BG30)))))/100,Backdoors!BG30/100),"")</f>
        <v>0</v>
      </c>
      <c r="GK44" s="49">
        <f>IFERROR(IF(VLOOKUP(A44,tbMoveset!A2:J112,10,FALSE)=TRUE,IF((Backdoors!AI12+IF(GI44&gt;=0.45,VLOOKUP(Calculator!E23,tbSkills!DH3:DI6,2,FALSE)+IF(AND(Calculator!B8=TRUE,Backdoors!BI30=TRUE),VLOOKUP(Calculator!E23,tbSkills!DH3:DJ6,3,FALSE),0),0))&gt;=0,1+(Backdoors!AL2*(IF((Backdoors!AI12+IF(GI44&gt;=0.45,VLOOKUP(Calculator!E23,tbSkills!DH3:DI6,2,FALSE)+IF(AND(Calculator!B8=TRUE,Backdoors!BI30=TRUE),VLOOKUP(Calculator!E23,tbSkills!DH3:DJ6,3,FALSE),0),0))&gt;=100,100,(Backdoors!AI12+IF(GI44&gt;=0.45,VLOOKUP(Calculator!E23,tbSkills!DH3:DI6,2,FALSE)+IF(AND(Calculator!B8=TRUE,Backdoors!BI30=TRUE),VLOOKUP(Calculator!E23,tbSkills!DH3:DJ6,3,FALSE),0),0)))/100)),(1-(0.25*((-Backdoors!AI12-IF(GI44&gt;=0.45,VLOOKUP(Calculator!E23,tbSkills!DH3:DI6,2,FALSE)+IF(AND(Calculator!B8=TRUE,Backdoors!BI30=TRUE),VLOOKUP(Calculator!E23,tbSkills!DH3:DJ6,3,FALSE),0),0))/100)))),1),"")</f>
        <v>1</v>
      </c>
      <c r="GL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I44)*GK44)*(VLOOKUP(A44,tbMoveset!A2:C112,3,FALSE)/100)*IF(VLOOKUP(A44,tbMoveset!A2:B112,2,FALSE)="Projectile",Backdoors!N10,Backdoors!N9),0),"")</f>
        <v/>
      </c>
      <c r="GM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I44&gt;=0.45,VLOOKUP(Calculator!E23,tbSkills!DH3:DI6,2,FALSE)+IF(AND(Calculator!B8=TRUE,Backdoors!BI30=TRUE),VLOOKUP(Calculator!E23,tbSkills!DH3:DJ6,3,FALSE),0),0))&gt;=100,100,(Backdoors!AI12+IF(GI44&gt;=0.45,VLOOKUP(Calculator!E23,tbSkills!DH3:DI6,2,FALSE)+IF(AND(Calculator!B8=TRUE,Backdoors!BI30=TRUE),VLOOKUP(Calculator!E23,tbSkills!DH3:DJ6,3,FALSE),0),0)))/100)),1))*IF(VLOOKUP(A44,tbMoveset!A2:K112,11,FALSE)=TRUE,Backdoors!AC5,1))*GJ44,0),"")</f>
        <v>0</v>
      </c>
      <c r="GN44" s="49">
        <f>VLOOKUP(A44,tbMoveset!A2:G112,7,FALSE)*IFERROR(IF(Backdoors!AI12&gt;=0,1+(IF(Calculator!E40&gt;0,VLOOKUP(Calculator!E40,tbSkills!AI3:AJ5,2,FALSE),Backdoors!AL4)*(IF((Backdoors!AI12+IF(GI44&gt;=0.45,VLOOKUP(Calculator!E23,tbSkills!DH3:DI6,2,FALSE)+IF(AND(Calculator!B8=TRUE,Backdoors!BI30=TRUE),VLOOKUP(Calculator!E23,tbSkills!DH3:DJ6,3,FALSE),0),0))&gt;=100,100,(Backdoors!AI12+IF(GI44&gt;=0.45,VLOOKUP(Calculator!E23,tbSkills!DH3:DI6,2,FALSE)+IF(AND(Calculator!B8=TRUE,Backdoors!BI30=TRUE),VLOOKUP(Calculator!E23,tbSkills!DH3:DJ6,3,FALSE),0),0)))/100)),1),1)</f>
        <v>0.5</v>
      </c>
      <c r="GO44" s="87">
        <f t="shared" si="20"/>
        <v>0</v>
      </c>
      <c r="GP44" s="86" t="str">
        <f>IFERROR(IF(VLOOKUP(A44,tbMoveset!A2:B112,2,FALSE)="Sever",Backdoors!AY31/100,IF(VLOOKUP(A44,tbMoveset!A2:B112,2,FALSE)="Blunt",Backdoors!AZ31/100,Backdoors!BA31/100)),"")</f>
        <v/>
      </c>
      <c r="GQ44" s="49">
        <f>IFERROR(IF(VLOOKUP(tbMoveset!A44,tbMoveset!A2:H112,8,FALSE)="Other",IF(VLOOKUP(tbMoveset!A44,tbMoveset!A2:I112,9,FALSE)="Fire",Backdoors!BB31,IF(VLOOKUP(tbMoveset!A44,tbMoveset!A2:I112,9,FALSE)="Water",Backdoors!BC31,IF(VLOOKUP(tbMoveset!A44,tbMoveset!A2:I112,9,FALSE)="Thunder",Backdoors!BD31,IF(VLOOKUP(tbMoveset!A44,tbMoveset!A2:I112,9,FALSE)="Ice",Backdoors!BE31,IF(VLOOKUP(tbMoveset!A44,tbMoveset!A2:I112,9,FALSE)="Dragon",Backdoors!BF31,Backdoors!BG31)))))/100,Backdoors!BG31/100),"")</f>
        <v>0</v>
      </c>
      <c r="GR44" s="49">
        <f>IFERROR(IF(VLOOKUP(A44,tbMoveset!A2:J112,10,FALSE)=TRUE,IF((Backdoors!AI12+IF(GP44&gt;=0.45,VLOOKUP(Calculator!E23,tbSkills!DH3:DI6,2,FALSE)+IF(AND(Calculator!B8=TRUE,Backdoors!BI31=TRUE),VLOOKUP(Calculator!E23,tbSkills!DH3:DJ6,3,FALSE),0),0))&gt;=0,1+(Backdoors!AL2*(IF((Backdoors!AI12+IF(GP44&gt;=0.45,VLOOKUP(Calculator!E23,tbSkills!DH3:DI6,2,FALSE)+IF(AND(Calculator!B8=TRUE,Backdoors!BI31=TRUE),VLOOKUP(Calculator!E23,tbSkills!DH3:DJ6,3,FALSE),0),0))&gt;=100,100,(Backdoors!AI12+IF(GP44&gt;=0.45,VLOOKUP(Calculator!E23,tbSkills!DH3:DI6,2,FALSE)+IF(AND(Calculator!B8=TRUE,Backdoors!BI31=TRUE),VLOOKUP(Calculator!E23,tbSkills!DH3:DJ6,3,FALSE),0),0)))/100)),(1-(0.25*((-Backdoors!AI12-IF(GP44&gt;=0.45,VLOOKUP(Calculator!E23,tbSkills!DH3:DI6,2,FALSE)+IF(AND(Calculator!B8=TRUE,Backdoors!BI31=TRUE),VLOOKUP(Calculator!E23,tbSkills!DH3:DJ6,3,FALSE),0),0))/100)))),1),"")</f>
        <v>1</v>
      </c>
      <c r="GS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P44)*GR44)*(VLOOKUP(A44,tbMoveset!A2:C112,3,FALSE)/100)*IF(VLOOKUP(A44,tbMoveset!A2:B112,2,FALSE)="Projectile",Backdoors!N10,Backdoors!N9),0),"")</f>
        <v/>
      </c>
      <c r="GT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P44&gt;=0.45,VLOOKUP(Calculator!E23,tbSkills!DH3:DI6,2,FALSE)+IF(AND(Calculator!B8=TRUE,Backdoors!BI31=TRUE),VLOOKUP(Calculator!E23,tbSkills!DH3:DJ6,3,FALSE),0),0))&gt;=100,100,(Backdoors!AI12+IF(GP44&gt;=0.45,VLOOKUP(Calculator!E23,tbSkills!DH3:DI6,2,FALSE)+IF(AND(Calculator!B8=TRUE,Backdoors!BI31=TRUE),VLOOKUP(Calculator!E23,tbSkills!DH3:DJ6,3,FALSE),0),0)))/100)),1))*IF(VLOOKUP(A44,tbMoveset!A2:K112,11,FALSE)=TRUE,Backdoors!AC5,1))*GQ44,0),"")</f>
        <v>0</v>
      </c>
      <c r="GU44" s="49">
        <f>VLOOKUP(A44,tbMoveset!A2:G112,7,FALSE)*IFERROR(IF(Backdoors!AI12&gt;=0,1+(IF(Calculator!E40&gt;0,VLOOKUP(Calculator!E40,tbSkills!AI3:AJ5,2,FALSE),Backdoors!AL4)*(IF((Backdoors!AI12+IF(GP44&gt;=0.45,VLOOKUP(Calculator!E23,tbSkills!DH3:DI6,2,FALSE)+IF(AND(Calculator!B8=TRUE,Backdoors!BI31=TRUE),VLOOKUP(Calculator!E23,tbSkills!DH3:DJ6,3,FALSE),0),0))&gt;=100,100,(Backdoors!AI12+IF(GP44&gt;=0.45,VLOOKUP(Calculator!E23,tbSkills!DH3:DI6,2,FALSE)+IF(AND(Calculator!B8=TRUE,Backdoors!BI31=TRUE),VLOOKUP(Calculator!E23,tbSkills!DH3:DJ6,3,FALSE),0),0)))/100)),1),1)</f>
        <v>0.5</v>
      </c>
      <c r="GV44" s="87">
        <f t="shared" si="21"/>
        <v>0</v>
      </c>
      <c r="GW44" s="86" t="str">
        <f>IFERROR(IF(VLOOKUP(A44,tbMoveset!A2:B112,2,FALSE)="Sever",Backdoors!AY32/100,IF(VLOOKUP(A44,tbMoveset!A2:B112,2,FALSE)="Blunt",Backdoors!AZ32/100,Backdoors!BA32/100)),"")</f>
        <v/>
      </c>
      <c r="GX44" s="49">
        <f>IFERROR(IF(VLOOKUP(tbMoveset!A44,tbMoveset!A2:H112,8,FALSE)="Other",IF(VLOOKUP(tbMoveset!A44,tbMoveset!A2:I112,9,FALSE)="Fire",Backdoors!BB32,IF(VLOOKUP(tbMoveset!A44,tbMoveset!A2:I112,9,FALSE)="Water",Backdoors!BC32,IF(VLOOKUP(tbMoveset!A44,tbMoveset!A2:I112,9,FALSE)="Thunder",Backdoors!BD32,IF(VLOOKUP(tbMoveset!A44,tbMoveset!A2:I112,9,FALSE)="Ice",Backdoors!BE32,IF(VLOOKUP(tbMoveset!A44,tbMoveset!A2:I112,9,FALSE)="Dragon",Backdoors!BF32,Backdoors!BG32)))))/100,Backdoors!BG32/100),"")</f>
        <v>0</v>
      </c>
      <c r="GY44" s="49">
        <f>IFERROR(IF(VLOOKUP(A44,tbMoveset!A2:J112,10,FALSE)=TRUE,IF((Backdoors!AI12+IF(GW44&gt;=0.45,VLOOKUP(Calculator!E23,tbSkills!DH3:DI6,2,FALSE)+IF(AND(Calculator!B8=TRUE,Backdoors!BI32=TRUE),VLOOKUP(Calculator!E23,tbSkills!DH3:DJ6,3,FALSE),0),0))&gt;=0,1+(Backdoors!AL2*(IF((Backdoors!AI12+IF(GW44&gt;=0.45,VLOOKUP(Calculator!E23,tbSkills!DH3:DI6,2,FALSE)+IF(AND(Calculator!B8=TRUE,Backdoors!BI32=TRUE),VLOOKUP(Calculator!E23,tbSkills!DH3:DJ6,3,FALSE),0),0))&gt;=100,100,(Backdoors!AI12+IF(GW44&gt;=0.45,VLOOKUP(Calculator!E23,tbSkills!DH3:DI6,2,FALSE)+IF(AND(Calculator!B8=TRUE,Backdoors!BI32=TRUE),VLOOKUP(Calculator!E23,tbSkills!DH3:DJ6,3,FALSE),0),0)))/100)),(1-(0.25*((-Backdoors!AI12-IF(GW44&gt;=0.45,VLOOKUP(Calculator!E23,tbSkills!DH3:DI6,2,FALSE)+IF(AND(Calculator!B8=TRUE,Backdoors!BI32=TRUE),VLOOKUP(Calculator!E23,tbSkills!DH3:DJ6,3,FALSE),0),0))/100)))),1),"")</f>
        <v>1</v>
      </c>
      <c r="GZ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W44)*GY44)*(VLOOKUP(A44,tbMoveset!A2:C112,3,FALSE)/100)*IF(VLOOKUP(A44,tbMoveset!A2:B112,2,FALSE)="Projectile",Backdoors!N10,Backdoors!N9),0),"")</f>
        <v/>
      </c>
      <c r="HA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W44&gt;=0.45,VLOOKUP(Calculator!E23,tbSkills!DH3:DI6,2,FALSE)+IF(AND(Calculator!B8=TRUE,Backdoors!BI32=TRUE),VLOOKUP(Calculator!E23,tbSkills!DH3:DJ6,3,FALSE),0),0))&gt;=100,100,(Backdoors!AI12+IF(GW44&gt;=0.45,VLOOKUP(Calculator!E23,tbSkills!DH3:DI6,2,FALSE)+IF(AND(Calculator!B8=TRUE,Backdoors!BI32=TRUE),VLOOKUP(Calculator!E23,tbSkills!DH3:DJ6,3,FALSE),0),0)))/100)),1))*IF(VLOOKUP(A44,tbMoveset!A2:K112,11,FALSE)=TRUE,Backdoors!AC5,1))*GX44,0),"")</f>
        <v>0</v>
      </c>
      <c r="HB44" s="49">
        <f>VLOOKUP(A44,tbMoveset!A2:G112,7,FALSE)*IFERROR(IF(Backdoors!AI12&gt;=0,1+(IF(Calculator!E40&gt;0,VLOOKUP(Calculator!E40,tbSkills!AI3:AJ5,2,FALSE),Backdoors!AL4)*(IF((Backdoors!AI12+IF(GW44&gt;=0.45,VLOOKUP(Calculator!E23,tbSkills!DH3:DI6,2,FALSE)+IF(AND(Calculator!B8=TRUE,Backdoors!BI32=TRUE),VLOOKUP(Calculator!E23,tbSkills!DH3:DJ6,3,FALSE),0),0))&gt;=100,100,(Backdoors!AI12+IF(GW44&gt;=0.45,VLOOKUP(Calculator!E23,tbSkills!DH3:DI6,2,FALSE)+IF(AND(Calculator!B8=TRUE,Backdoors!BI32=TRUE),VLOOKUP(Calculator!E23,tbSkills!DH3:DJ6,3,FALSE),0),0)))/100)),1),1)</f>
        <v>0.5</v>
      </c>
      <c r="HC44" s="87">
        <f t="shared" si="22"/>
        <v>0</v>
      </c>
      <c r="HD44" s="86" t="str">
        <f>IFERROR(IF(VLOOKUP(A44,tbMoveset!A2:B112,2,FALSE)="Sever",Backdoors!AY33/100,IF(VLOOKUP(A44,tbMoveset!A2:B112,2,FALSE)="Blunt",Backdoors!AZ33/100,Backdoors!BA33/100)),"")</f>
        <v/>
      </c>
      <c r="HE44" s="49">
        <f>IFERROR(IF(VLOOKUP(tbMoveset!A44,tbMoveset!A2:H112,8,FALSE)="Other",IF(VLOOKUP(tbMoveset!A44,tbMoveset!A2:I112,9,FALSE)="Fire",Backdoors!BB33,IF(VLOOKUP(tbMoveset!A44,tbMoveset!A2:I112,9,FALSE)="Water",Backdoors!BC33,IF(VLOOKUP(tbMoveset!A44,tbMoveset!A2:I112,9,FALSE)="Thunder",Backdoors!BD33,IF(VLOOKUP(tbMoveset!A44,tbMoveset!A2:I112,9,FALSE)="Ice",Backdoors!BE33,IF(VLOOKUP(tbMoveset!A44,tbMoveset!A2:I112,9,FALSE)="Dragon",Backdoors!BF33,Backdoors!BG33)))))/100,Backdoors!BG33/100),"")</f>
        <v>0</v>
      </c>
      <c r="HF44" s="49">
        <f>IFERROR(IF(VLOOKUP(A44,tbMoveset!A2:J112,10,FALSE)=TRUE,IF((Backdoors!AI12+IF(HD44&gt;=0.45,VLOOKUP(Calculator!E23,tbSkills!DH3:DI6,2,FALSE)+IF(AND(Calculator!B8=TRUE,Backdoors!BI33=TRUE),VLOOKUP(Calculator!E23,tbSkills!DH3:DJ6,3,FALSE),0),0))&gt;=0,1+(Backdoors!AL2*(IF((Backdoors!AI12+IF(HD44&gt;=0.45,VLOOKUP(Calculator!E23,tbSkills!DH3:DI6,2,FALSE)+IF(AND(Calculator!B8=TRUE,Backdoors!BI33=TRUE),VLOOKUP(Calculator!E23,tbSkills!DH3:DJ6,3,FALSE),0),0))&gt;=100,100,(Backdoors!AI12+IF(HD44&gt;=0.45,VLOOKUP(Calculator!E23,tbSkills!DH3:DI6,2,FALSE)+IF(AND(Calculator!B8=TRUE,Backdoors!BI33=TRUE),VLOOKUP(Calculator!E23,tbSkills!DH3:DJ6,3,FALSE),0),0)))/100)),(1-(0.25*((-Backdoors!AI12-IF(HD44&gt;=0.45,VLOOKUP(Calculator!E23,tbSkills!DH3:DI6,2,FALSE)+IF(AND(Calculator!B8=TRUE,Backdoors!BI33=TRUE),VLOOKUP(Calculator!E23,tbSkills!DH3:DJ6,3,FALSE),0),0))/100)))),1),"")</f>
        <v>1</v>
      </c>
      <c r="HG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D44)*HF44)*(VLOOKUP(A44,tbMoveset!A2:C112,3,FALSE)/100)*IF(VLOOKUP(A44,tbMoveset!A2:B112,2,FALSE)="Projectile",Backdoors!N10,Backdoors!N9),0),"")</f>
        <v/>
      </c>
      <c r="HH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D44&gt;=0.45,VLOOKUP(Calculator!E23,tbSkills!DH3:DI6,2,FALSE)+IF(AND(Calculator!B8=TRUE,Backdoors!BI33=TRUE),VLOOKUP(Calculator!E23,tbSkills!DH3:DJ6,3,FALSE),0),0))&gt;=100,100,(Backdoors!AI12+IF(HD44&gt;=0.45,VLOOKUP(Calculator!E23,tbSkills!DH3:DI6,2,FALSE)+IF(AND(Calculator!B8=TRUE,Backdoors!BI33=TRUE),VLOOKUP(Calculator!E23,tbSkills!DH3:DJ6,3,FALSE),0),0)))/100)),1))*IF(VLOOKUP(A44,tbMoveset!A2:K112,11,FALSE)=TRUE,Backdoors!AC5,1))*HE44,0),"")</f>
        <v>0</v>
      </c>
      <c r="HI44" s="49">
        <f>VLOOKUP(A44,tbMoveset!A2:G112,7,FALSE)*IFERROR(IF(Backdoors!AI12&gt;=0,1+(IF(Calculator!E40&gt;0,VLOOKUP(Calculator!E40,tbSkills!AI3:AJ5,2,FALSE),Backdoors!AL4)*(IF((Backdoors!AI12+IF(HD44&gt;=0.45,VLOOKUP(Calculator!E23,tbSkills!DH3:DI6,2,FALSE)+IF(AND(Calculator!B8=TRUE,Backdoors!BI33=TRUE),VLOOKUP(Calculator!E23,tbSkills!DH3:DJ6,3,FALSE),0),0))&gt;=100,100,(Backdoors!AI12+IF(HD44&gt;=0.45,VLOOKUP(Calculator!E23,tbSkills!DH3:DI6,2,FALSE)+IF(AND(Calculator!B8=TRUE,Backdoors!BI33=TRUE),VLOOKUP(Calculator!E23,tbSkills!DH3:DJ6,3,FALSE),0),0)))/100)),1),1)</f>
        <v>0.5</v>
      </c>
      <c r="HJ44" s="87">
        <f t="shared" si="23"/>
        <v>0</v>
      </c>
      <c r="HK44" s="86" t="str">
        <f>IFERROR(IF(VLOOKUP(A44,tbMoveset!A2:B112,2,FALSE)="Sever",Backdoors!AY34/100,IF(VLOOKUP(A44,tbMoveset!A2:B112,2,FALSE)="Blunt",Backdoors!AZ34/100,Backdoors!BA34/100)),"")</f>
        <v/>
      </c>
      <c r="HL44" s="49">
        <f>IFERROR(IF(VLOOKUP(tbMoveset!A44,tbMoveset!A2:H112,8,FALSE)="Other",IF(VLOOKUP(tbMoveset!A44,tbMoveset!A2:I112,9,FALSE)="Fire",Backdoors!BB34,IF(VLOOKUP(tbMoveset!A44,tbMoveset!A2:I112,9,FALSE)="Water",Backdoors!BC34,IF(VLOOKUP(tbMoveset!A44,tbMoveset!A2:I112,9,FALSE)="Thunder",Backdoors!BD34,IF(VLOOKUP(tbMoveset!A44,tbMoveset!A2:I112,9,FALSE)="Ice",Backdoors!BE34,IF(VLOOKUP(tbMoveset!A44,tbMoveset!A2:I112,9,FALSE)="Dragon",Backdoors!BF34,Backdoors!BG34)))))/100,Backdoors!BG34/100),"")</f>
        <v>0</v>
      </c>
      <c r="HM44" s="49">
        <f>IFERROR(IF(VLOOKUP(A44,tbMoveset!A2:J112,10,FALSE)=TRUE,IF((Backdoors!AI12+IF(HK44&gt;=0.45,VLOOKUP(Calculator!E23,tbSkills!DH3:DI6,2,FALSE)+IF(AND(Calculator!B8=TRUE,Backdoors!BI34=TRUE),VLOOKUP(Calculator!E23,tbSkills!DH3:DJ6,3,FALSE),0),0))&gt;=0,1+(Backdoors!AL2*(IF((Backdoors!AI12+IF(HK44&gt;=0.45,VLOOKUP(Calculator!E23,tbSkills!DH3:DI6,2,FALSE)+IF(AND(Calculator!B8=TRUE,Backdoors!BI34=TRUE),VLOOKUP(Calculator!E23,tbSkills!DH3:DJ6,3,FALSE),0),0))&gt;=100,100,(Backdoors!AI12+IF(HK44&gt;=0.45,VLOOKUP(Calculator!E23,tbSkills!DH3:DI6,2,FALSE)+IF(AND(Calculator!B8=TRUE,Backdoors!BI34=TRUE),VLOOKUP(Calculator!E23,tbSkills!DH3:DJ6,3,FALSE),0),0)))/100)),(1-(0.25*((-Backdoors!AI12-IF(HK44&gt;=0.45,VLOOKUP(Calculator!E23,tbSkills!DH3:DI6,2,FALSE)+IF(AND(Calculator!B8=TRUE,Backdoors!BI34=TRUE),VLOOKUP(Calculator!E23,tbSkills!DH3:DJ6,3,FALSE),0),0))/100)))),1),"")</f>
        <v>1</v>
      </c>
      <c r="HN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K44)*HM44)*(VLOOKUP(A44,tbMoveset!A2:C112,3,FALSE)/100)*IF(VLOOKUP(A44,tbMoveset!A2:B112,2,FALSE)="Projectile",Backdoors!N10,Backdoors!N9),0),"")</f>
        <v/>
      </c>
      <c r="HO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K44&gt;=0.45,VLOOKUP(Calculator!E23,tbSkills!DH3:DI6,2,FALSE)+IF(AND(Calculator!B8=TRUE,Backdoors!BI34=TRUE),VLOOKUP(Calculator!E23,tbSkills!DH3:DJ6,3,FALSE),0),0))&gt;=100,100,(Backdoors!AI12+IF(HK44&gt;=0.45,VLOOKUP(Calculator!E23,tbSkills!DH3:DI6,2,FALSE)+IF(AND(Calculator!B8=TRUE,Backdoors!BI34=TRUE),VLOOKUP(Calculator!E23,tbSkills!DH3:DJ6,3,FALSE),0),0)))/100)),1))*IF(VLOOKUP(A44,tbMoveset!A2:K112,11,FALSE)=TRUE,Backdoors!AC5,1))*HL44,0),"")</f>
        <v>0</v>
      </c>
      <c r="HP44" s="49">
        <f>VLOOKUP(A44,tbMoveset!A2:G112,7,FALSE)*IFERROR(IF(Backdoors!AI12&gt;=0,1+(IF(Calculator!E40&gt;0,VLOOKUP(Calculator!E40,tbSkills!AI3:AJ5,2,FALSE),Backdoors!AL4)*(IF((Backdoors!AI12+IF(HK44&gt;=0.45,VLOOKUP(Calculator!E23,tbSkills!DH3:DI6,2,FALSE)+IF(AND(Calculator!B8=TRUE,Backdoors!BI34=TRUE),VLOOKUP(Calculator!E23,tbSkills!DH3:DJ6,3,FALSE),0),0))&gt;=100,100,(Backdoors!AI12+IF(HK44&gt;=0.45,VLOOKUP(Calculator!E23,tbSkills!DH3:DI6,2,FALSE)+IF(AND(Calculator!B8=TRUE,Backdoors!BI34=TRUE),VLOOKUP(Calculator!E23,tbSkills!DH3:DJ6,3,FALSE),0),0)))/100)),1),1)</f>
        <v>0.5</v>
      </c>
      <c r="HQ44" s="87">
        <f t="shared" si="24"/>
        <v>0</v>
      </c>
      <c r="HR44" s="86" t="str">
        <f>IFERROR(IF(VLOOKUP(A44,tbMoveset!A2:B112,2,FALSE)="Sever",Backdoors!AY35/100,IF(VLOOKUP(A44,tbMoveset!A2:B112,2,FALSE)="Blunt",Backdoors!AZ35/100,Backdoors!BA35/100)),"")</f>
        <v/>
      </c>
      <c r="HS44" s="49">
        <f>IFERROR(IF(VLOOKUP(tbMoveset!A44,tbMoveset!A2:H112,8,FALSE)="Other",IF(VLOOKUP(tbMoveset!A44,tbMoveset!A2:I112,9,FALSE)="Fire",Backdoors!BB35,IF(VLOOKUP(tbMoveset!A44,tbMoveset!A2:I112,9,FALSE)="Water",Backdoors!BC35,IF(VLOOKUP(tbMoveset!A44,tbMoveset!A2:I112,9,FALSE)="Thunder",Backdoors!BD35,IF(VLOOKUP(tbMoveset!A44,tbMoveset!A2:I112,9,FALSE)="Ice",Backdoors!BE35,IF(VLOOKUP(tbMoveset!A44,tbMoveset!A2:I112,9,FALSE)="Dragon",Backdoors!BF35,Backdoors!BG35)))))/100,Backdoors!BG35/100),"")</f>
        <v>0</v>
      </c>
      <c r="HT44" s="49">
        <f>IFERROR(IF(VLOOKUP(A44,tbMoveset!A2:J112,10,FALSE)=TRUE,IF((Backdoors!AI12+IF(HR44&gt;=0.45,VLOOKUP(Calculator!E23,tbSkills!DH3:DI6,2,FALSE)+IF(AND(Calculator!B8=TRUE,Backdoors!BI35=TRUE),VLOOKUP(Calculator!E23,tbSkills!DH3:DJ6,3,FALSE),0),0))&gt;=0,1+(Backdoors!AL2*(IF((Backdoors!AI12+IF(HR44&gt;=0.45,VLOOKUP(Calculator!E23,tbSkills!DH3:DI6,2,FALSE)+IF(AND(Calculator!B8=TRUE,Backdoors!BI35=TRUE),VLOOKUP(Calculator!E23,tbSkills!DH3:DJ6,3,FALSE),0),0))&gt;=100,100,(Backdoors!AI12+IF(HR44&gt;=0.45,VLOOKUP(Calculator!E23,tbSkills!DH3:DI6,2,FALSE)+IF(AND(Calculator!B8=TRUE,Backdoors!BI35=TRUE),VLOOKUP(Calculator!E23,tbSkills!DH3:DJ6,3,FALSE),0),0)))/100)),(1-(0.25*((-Backdoors!AI12-IF(HR44&gt;=0.45,VLOOKUP(Calculator!E23,tbSkills!DH3:DI6,2,FALSE)+IF(AND(Calculator!B8=TRUE,Backdoors!BI35=TRUE),VLOOKUP(Calculator!E23,tbSkills!DH3:DJ6,3,FALSE),0),0))/100)))),1),"")</f>
        <v>1</v>
      </c>
      <c r="HU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R44)*HT44)*(VLOOKUP(A44,tbMoveset!A2:C112,3,FALSE)/100)*IF(VLOOKUP(A44,tbMoveset!A2:B112,2,FALSE)="Projectile",Backdoors!N10,Backdoors!N9),0),"")</f>
        <v/>
      </c>
      <c r="HV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R44&gt;=0.45,VLOOKUP(Calculator!E23,tbSkills!DH3:DI6,2,FALSE)+IF(AND(Calculator!B8=TRUE,Backdoors!BI35=TRUE),VLOOKUP(Calculator!E23,tbSkills!DH3:DJ6,3,FALSE),0),0))&gt;=100,100,(Backdoors!AI12+IF(HR44&gt;=0.45,VLOOKUP(Calculator!E23,tbSkills!DH3:DI6,2,FALSE)+IF(AND(Calculator!B8=TRUE,Backdoors!BI35=TRUE),VLOOKUP(Calculator!E23,tbSkills!DH3:DJ6,3,FALSE),0),0)))/100)),1))*IF(VLOOKUP(A44,tbMoveset!A2:K112,11,FALSE)=TRUE,Backdoors!AC5,1))*HS44,0),"")</f>
        <v>0</v>
      </c>
      <c r="HW44" s="49">
        <f>VLOOKUP(A44,tbMoveset!A2:G112,7,FALSE)*IFERROR(IF(Backdoors!AI12&gt;=0,1+(IF(Calculator!E40&gt;0,VLOOKUP(Calculator!E40,tbSkills!AI3:AJ5,2,FALSE),Backdoors!AL4)*(IF((Backdoors!AI12+IF(HR44&gt;=0.45,VLOOKUP(Calculator!E23,tbSkills!DH3:DI6,2,FALSE)+IF(AND(Calculator!B8=TRUE,Backdoors!BI35=TRUE),VLOOKUP(Calculator!E23,tbSkills!DH3:DJ6,3,FALSE),0),0))&gt;=100,100,(Backdoors!AI12+IF(HR44&gt;=0.45,VLOOKUP(Calculator!E23,tbSkills!DH3:DI6,2,FALSE)+IF(AND(Calculator!B8=TRUE,Backdoors!BI35=TRUE),VLOOKUP(Calculator!E23,tbSkills!DH3:DJ6,3,FALSE),0),0)))/100)),1),1)</f>
        <v>0.5</v>
      </c>
      <c r="HX44" s="87">
        <f t="shared" si="25"/>
        <v>0</v>
      </c>
      <c r="HY44" s="86" t="str">
        <f>IFERROR(IF(VLOOKUP(A44,tbMoveset!A2:B112,2,FALSE)="Sever",Backdoors!AY36/100,IF(VLOOKUP(A44,tbMoveset!A2:B112,2,FALSE)="Blunt",Backdoors!AZ36/100,Backdoors!BA36/100)),"")</f>
        <v/>
      </c>
      <c r="HZ44" s="49">
        <f>IFERROR(IF(VLOOKUP(tbMoveset!A44,tbMoveset!A2:H112,8,FALSE)="Other",IF(VLOOKUP(tbMoveset!A44,tbMoveset!A2:I112,9,FALSE)="Fire",Backdoors!BB36,IF(VLOOKUP(tbMoveset!A44,tbMoveset!A2:I112,9,FALSE)="Water",Backdoors!BC36,IF(VLOOKUP(tbMoveset!A44,tbMoveset!A2:I112,9,FALSE)="Thunder",Backdoors!BD36,IF(VLOOKUP(tbMoveset!A44,tbMoveset!A2:I112,9,FALSE)="Ice",Backdoors!BE36,IF(VLOOKUP(tbMoveset!A44,tbMoveset!A2:I112,9,FALSE)="Dragon",Backdoors!BF36,Backdoors!BG36)))))/100,Backdoors!BG36/100),"")</f>
        <v>0</v>
      </c>
      <c r="IA44" s="49">
        <f>IFERROR(IF(VLOOKUP(A44,tbMoveset!A2:J112,10,FALSE)=TRUE,IF((Backdoors!AI12+IF(HY44&gt;=0.45,VLOOKUP(Calculator!E23,tbSkills!DH3:DI6,2,FALSE)+IF(AND(Calculator!B8=TRUE,Backdoors!BI36=TRUE),VLOOKUP(Calculator!E23,tbSkills!DH3:DJ6,3,FALSE),0),0))&gt;=0,1+(Backdoors!AL2*(IF((Backdoors!AI12+IF(HY44&gt;=0.45,VLOOKUP(Calculator!E23,tbSkills!DH3:DI6,2,FALSE)+IF(AND(Calculator!B8=TRUE,Backdoors!BI36=TRUE),VLOOKUP(Calculator!E23,tbSkills!DH3:DJ6,3,FALSE),0),0))&gt;=100,100,(Backdoors!AI12+IF(HY44&gt;=0.45,VLOOKUP(Calculator!E23,tbSkills!DH3:DI6,2,FALSE)+IF(AND(Calculator!B8=TRUE,Backdoors!BI36=TRUE),VLOOKUP(Calculator!E23,tbSkills!DH3:DJ6,3,FALSE),0),0)))/100)),(1-(0.25*((-Backdoors!AI12-IF(HY44&gt;=0.45,VLOOKUP(Calculator!E23,tbSkills!DH3:DI6,2,FALSE)+IF(AND(Calculator!B8=TRUE,Backdoors!BI36=TRUE),VLOOKUP(Calculator!E23,tbSkills!DH3:DJ6,3,FALSE),0),0))/100)))),1),"")</f>
        <v>1</v>
      </c>
      <c r="IB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Y44)*IA44)*(VLOOKUP(A44,tbMoveset!A2:C112,3,FALSE)/100)*IF(VLOOKUP(A44,tbMoveset!A2:B112,2,FALSE)="Projectile",Backdoors!N10,Backdoors!N9),0),"")</f>
        <v/>
      </c>
      <c r="IC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Y44&gt;=0.45,VLOOKUP(Calculator!E23,tbSkills!DH3:DI6,2,FALSE)+IF(AND(Calculator!B8=TRUE,Backdoors!BI36=TRUE),VLOOKUP(Calculator!E23,tbSkills!DH3:DJ6,3,FALSE),0),0))&gt;=100,100,(Backdoors!AI12+IF(HY44&gt;=0.45,VLOOKUP(Calculator!E23,tbSkills!DH3:DI6,2,FALSE)+IF(AND(Calculator!B8=TRUE,Backdoors!BI36=TRUE),VLOOKUP(Calculator!E23,tbSkills!DH3:DJ6,3,FALSE),0),0)))/100)),1))*IF(VLOOKUP(A44,tbMoveset!A2:K112,11,FALSE)=TRUE,Backdoors!AC5,1))*HZ44,0),"")</f>
        <v>0</v>
      </c>
      <c r="ID44" s="49">
        <f>VLOOKUP(A44,tbMoveset!A2:G112,7,FALSE)*IFERROR(IF(Backdoors!AI12&gt;=0,1+(IF(Calculator!E40&gt;0,VLOOKUP(Calculator!E40,tbSkills!AI3:AJ5,2,FALSE),Backdoors!AL4)*(IF((Backdoors!AI12+IF(HY44&gt;=0.45,VLOOKUP(Calculator!E23,tbSkills!DH3:DI6,2,FALSE)+IF(AND(Calculator!B8=TRUE,Backdoors!BI36=TRUE),VLOOKUP(Calculator!E23,tbSkills!DH3:DJ6,3,FALSE),0),0))&gt;=100,100,(Backdoors!AI12+IF(HY44&gt;=0.45,VLOOKUP(Calculator!E23,tbSkills!DH3:DI6,2,FALSE)+IF(AND(Calculator!B8=TRUE,Backdoors!BI36=TRUE),VLOOKUP(Calculator!E23,tbSkills!DH3:DJ6,3,FALSE),0),0)))/100)),1),1)</f>
        <v>0.5</v>
      </c>
      <c r="IE44" s="87">
        <f t="shared" si="26"/>
        <v>0</v>
      </c>
      <c r="IF44" s="86" t="str">
        <f>IFERROR(IF(VLOOKUP(A44,tbMoveset!A2:B112,2,FALSE)="Sever",Backdoors!AY37/100,IF(VLOOKUP(A44,tbMoveset!A2:B112,2,FALSE)="Blunt",Backdoors!AZ37/100,Backdoors!BA37/100)),"")</f>
        <v/>
      </c>
      <c r="IG44" s="49">
        <f>IFERROR(IF(VLOOKUP(tbMoveset!A44,tbMoveset!A2:H112,8,FALSE)="Other",IF(VLOOKUP(tbMoveset!A44,tbMoveset!A2:I112,9,FALSE)="Fire",Backdoors!BB37,IF(VLOOKUP(tbMoveset!A44,tbMoveset!A2:I112,9,FALSE)="Water",Backdoors!BC37,IF(VLOOKUP(tbMoveset!A44,tbMoveset!A2:I112,9,FALSE)="Thunder",Backdoors!BD37,IF(VLOOKUP(tbMoveset!A44,tbMoveset!A2:I112,9,FALSE)="Ice",Backdoors!BE37,IF(VLOOKUP(tbMoveset!A44,tbMoveset!A2:I112,9,FALSE)="Dragon",Backdoors!BF37,Backdoors!BG37)))))/100,Backdoors!BG37/100),"")</f>
        <v>0</v>
      </c>
      <c r="IH44" s="49">
        <f>IFERROR(IF(VLOOKUP(A44,tbMoveset!A2:J112,10,FALSE)=TRUE,IF((Backdoors!AI12+IF(IF44&gt;=0.45,VLOOKUP(Calculator!E23,tbSkills!DH3:DI6,2,FALSE)+IF(AND(Calculator!B8=TRUE,Backdoors!BI37=TRUE),VLOOKUP(Calculator!E23,tbSkills!DH3:DJ6,3,FALSE),0),0))&gt;=0,1+(Backdoors!AL2*(IF((Backdoors!AI12+IF(IF44&gt;=0.45,VLOOKUP(Calculator!E23,tbSkills!DH3:DI6,2,FALSE)+IF(AND(Calculator!B8=TRUE,Backdoors!BI37=TRUE),VLOOKUP(Calculator!E23,tbSkills!DH3:DJ6,3,FALSE),0),0))&gt;=100,100,(Backdoors!AI12+IF(IF44&gt;=0.45,VLOOKUP(Calculator!E23,tbSkills!DH3:DI6,2,FALSE)+IF(AND(Calculator!B8=TRUE,Backdoors!BI37=TRUE),VLOOKUP(Calculator!E23,tbSkills!DH3:DJ6,3,FALSE),0),0)))/100)),(1-(0.25*((-Backdoors!AI12-IF(IF44&gt;=0.45,VLOOKUP(Calculator!E23,tbSkills!DH3:DI6,2,FALSE)+IF(AND(Calculator!B8=TRUE,Backdoors!BI37=TRUE),VLOOKUP(Calculator!E23,tbSkills!DH3:DJ6,3,FALSE),0),0))/100)))),1),"")</f>
        <v>1</v>
      </c>
      <c r="II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F44)*IH44)*(VLOOKUP(A44,tbMoveset!A2:C112,3,FALSE)/100)*IF(VLOOKUP(A44,tbMoveset!A2:B112,2,FALSE)="Projectile",Backdoors!N10,Backdoors!N9),0),"")</f>
        <v/>
      </c>
      <c r="IJ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IF44&gt;=0.45,VLOOKUP(Calculator!E23,tbSkills!DH3:DI6,2,FALSE)+IF(AND(Calculator!B8=TRUE,Backdoors!BI37=TRUE),VLOOKUP(Calculator!E23,tbSkills!DH3:DJ6,3,FALSE),0),0))&gt;=100,100,(Backdoors!AI12+IF(IF44&gt;=0.45,VLOOKUP(Calculator!E23,tbSkills!DH3:DI6,2,FALSE)+IF(AND(Calculator!B8=TRUE,Backdoors!BI37=TRUE),VLOOKUP(Calculator!E23,tbSkills!DH3:DJ6,3,FALSE),0),0)))/100)),1))*IF(VLOOKUP(A44,tbMoveset!A2:K112,11,FALSE)=TRUE,Backdoors!AC5,1))*IG44,0),"")</f>
        <v>0</v>
      </c>
      <c r="IK44" s="49">
        <f>VLOOKUP(A44,tbMoveset!A2:G112,7,FALSE)*IFERROR(IF(Backdoors!AI12&gt;=0,1+(IF(Calculator!E40&gt;0,VLOOKUP(Calculator!E40,tbSkills!AI3:AJ5,2,FALSE),Backdoors!AL4)*(IF((Backdoors!AI12+IF(IF44&gt;=0.45,VLOOKUP(Calculator!E23,tbSkills!DH3:DI6,2,FALSE)+IF(AND(Calculator!B8=TRUE,Backdoors!BI37=TRUE),VLOOKUP(Calculator!E23,tbSkills!DH3:DJ6,3,FALSE),0),0))&gt;=100,100,(Backdoors!AI12+IF(IF44&gt;=0.45,VLOOKUP(Calculator!E23,tbSkills!DH3:DI6,2,FALSE)+IF(AND(Calculator!B8=TRUE,Backdoors!BI37=TRUE),VLOOKUP(Calculator!E23,tbSkills!DH3:DJ6,3,FALSE),0),0)))/100)),1),1)</f>
        <v>0.5</v>
      </c>
      <c r="IL44" s="87">
        <f t="shared" si="27"/>
        <v>0</v>
      </c>
      <c r="IM44" s="86" t="str">
        <f>IFERROR(IF(VLOOKUP(A44,tbMoveset!A2:B112,2,FALSE)="Sever",Backdoors!AY38/100,IF(VLOOKUP(A44,tbMoveset!A2:B112,2,FALSE)="Blunt",Backdoors!AZ38/100,Backdoors!BA38/100)),"")</f>
        <v/>
      </c>
      <c r="IN44" s="49">
        <f>IFERROR(IF(VLOOKUP(tbMoveset!A44,tbMoveset!A2:H112,8,FALSE)="Other",IF(VLOOKUP(tbMoveset!A44,tbMoveset!A2:I112,9,FALSE)="Fire",Backdoors!BB38,IF(VLOOKUP(tbMoveset!A44,tbMoveset!A2:I112,9,FALSE)="Water",Backdoors!BC38,IF(VLOOKUP(tbMoveset!A44,tbMoveset!A2:I112,9,FALSE)="Thunder",Backdoors!BD38,IF(VLOOKUP(tbMoveset!A44,tbMoveset!A2:I112,9,FALSE)="Ice",Backdoors!BE38,IF(VLOOKUP(tbMoveset!A44,tbMoveset!A2:I112,9,FALSE)="Dragon",Backdoors!BF38,Backdoors!BG38)))))/100,Backdoors!BG38/100),"")</f>
        <v>0</v>
      </c>
      <c r="IO44" s="49">
        <f>IFERROR(IF(VLOOKUP(A44,tbMoveset!A2:J112,10,FALSE)=TRUE,IF((Backdoors!AI12+IF(IM44&gt;=0.45,VLOOKUP(Calculator!E23,tbSkills!DH3:DI6,2,FALSE)+IF(AND(Calculator!B8=TRUE,Backdoors!BI38=TRUE),VLOOKUP(Calculator!E23,tbSkills!DH3:DJ6,3,FALSE),0),0))&gt;=0,1+(Backdoors!AL2*(IF((Backdoors!AI12+IF(IM44&gt;=0.45,VLOOKUP(Calculator!E23,tbSkills!DH3:DI6,2,FALSE)+IF(AND(Calculator!B8=TRUE,Backdoors!BI38=TRUE),VLOOKUP(Calculator!E23,tbSkills!DH3:DJ6,3,FALSE),0),0))&gt;=100,100,(Backdoors!AI12+IF(IM44&gt;=0.45,VLOOKUP(Calculator!E23,tbSkills!DH3:DI6,2,FALSE)+IF(AND(Calculator!B8=TRUE,Backdoors!BI38=TRUE),VLOOKUP(Calculator!E23,tbSkills!DH3:DJ6,3,FALSE),0),0)))/100)),(1-(0.25*((-Backdoors!AI12-IF(IM44&gt;=0.45,VLOOKUP(Calculator!E23,tbSkills!DH3:DI6,2,FALSE)+IF(AND(Calculator!B8=TRUE,Backdoors!BI38=TRUE),VLOOKUP(Calculator!E23,tbSkills!DH3:DJ6,3,FALSE),0),0))/100)))),1),"")</f>
        <v>1</v>
      </c>
      <c r="IP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M44)*IO44)*(VLOOKUP(A44,tbMoveset!A2:C112,3,FALSE)/100)*IF(VLOOKUP(A44,tbMoveset!A2:B112,2,FALSE)="Projectile",Backdoors!N10,Backdoors!N9),0),"")</f>
        <v/>
      </c>
      <c r="IQ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IM44&gt;=0.45,VLOOKUP(Calculator!E23,tbSkills!DH3:DI6,2,FALSE)+IF(AND(Calculator!B8=TRUE,Backdoors!BI38=TRUE),VLOOKUP(Calculator!E23,tbSkills!DH3:DJ6,3,FALSE),0),0))&gt;=100,100,(Backdoors!AI12+IF(IM44&gt;=0.45,VLOOKUP(Calculator!E23,tbSkills!DH3:DI6,2,FALSE)+IF(AND(Calculator!B8=TRUE,Backdoors!BI38=TRUE),VLOOKUP(Calculator!E23,tbSkills!DH3:DJ6,3,FALSE),0),0)))/100)),1))*IF(VLOOKUP(A44,tbMoveset!A2:K112,11,FALSE)=TRUE,Backdoors!AC5,1))*IN44,0),"")</f>
        <v>0</v>
      </c>
      <c r="IR44" s="49">
        <f>VLOOKUP(A44,tbMoveset!A2:G112,7,FALSE)*IFERROR(IF(Backdoors!AI12&gt;=0,1+(IF(Calculator!E40&gt;0,VLOOKUP(Calculator!E40,tbSkills!AI3:AJ5,2,FALSE),Backdoors!AL4)*(IF((Backdoors!AI12+IF(IM44&gt;=0.45,VLOOKUP(Calculator!E23,tbSkills!DH3:DI6,2,FALSE)+IF(AND(Calculator!B8=TRUE,Backdoors!BI38=TRUE),VLOOKUP(Calculator!E23,tbSkills!DH3:DJ6,3,FALSE),0),0))&gt;=100,100,(Backdoors!AI12+IF(IM44&gt;=0.45,VLOOKUP(Calculator!E23,tbSkills!DH3:DI6,2,FALSE)+IF(AND(Calculator!B8=TRUE,Backdoors!BI38=TRUE),VLOOKUP(Calculator!E23,tbSkills!DH3:DJ6,3,FALSE),0),0)))/100)),1),1)</f>
        <v>0.5</v>
      </c>
      <c r="IS44" s="87">
        <f t="shared" si="42"/>
        <v>0</v>
      </c>
      <c r="IT44" s="86" t="str">
        <f>IFERROR(IF(VLOOKUP(A44,tbMoveset!A2:B112,2,FALSE)="Sever",Backdoors!AY39/100,IF(VLOOKUP(A44,tbMoveset!A2:B112,2,FALSE)="Blunt",Backdoors!AZ39/100,Backdoors!BA39/100)),"")</f>
        <v/>
      </c>
      <c r="IU44" s="49">
        <f>IFERROR(IF(VLOOKUP(tbMoveset!A44,tbMoveset!A2:H112,8,FALSE)="Other",IF(VLOOKUP(tbMoveset!A44,tbMoveset!A2:I112,9,FALSE)="Fire",Backdoors!BB39,IF(VLOOKUP(tbMoveset!A44,tbMoveset!A2:I112,9,FALSE)="Water",Backdoors!BC39,IF(VLOOKUP(tbMoveset!A44,tbMoveset!A2:I112,9,FALSE)="Thunder",Backdoors!BD39,IF(VLOOKUP(tbMoveset!A44,tbMoveset!A2:I112,9,FALSE)="Ice",Backdoors!BE39,IF(VLOOKUP(tbMoveset!A44,tbMoveset!A2:I112,9,FALSE)="Dragon",Backdoors!BF39,Backdoors!BG39)))))/100,Backdoors!BG39/100),"")</f>
        <v>0</v>
      </c>
      <c r="IV44" s="49">
        <f>IFERROR(IF(VLOOKUP(A44,tbMoveset!A2:J112,10,FALSE)=TRUE,IF((Backdoors!AI12+IF(IT44&gt;=0.45,VLOOKUP(Calculator!E23,tbSkills!DH3:DI6,2,FALSE)+IF(AND(Calculator!B8=TRUE,Backdoors!BI39=TRUE),VLOOKUP(Calculator!E23,tbSkills!DH3:DJ6,3,FALSE),0),0))&gt;=0,1+(Backdoors!AL2*(IF((Backdoors!AI12+IF(IT44&gt;=0.45,VLOOKUP(Calculator!E23,tbSkills!DH3:DI6,2,FALSE)+IF(AND(Calculator!B8=TRUE,Backdoors!BI39=TRUE),VLOOKUP(Calculator!E23,tbSkills!DH3:DJ6,3,FALSE),0),0))&gt;=100,100,(Backdoors!AI12+IF(IT44&gt;=0.45,VLOOKUP(Calculator!E23,tbSkills!DH3:DI6,2,FALSE)+IF(AND(Calculator!B8=TRUE,Backdoors!BI39=TRUE),VLOOKUP(Calculator!E23,tbSkills!DH3:DJ6,3,FALSE),0),0)))/100)),(1-(0.25*((-Backdoors!AI12-IF(IT44&gt;=0.45,VLOOKUP(Calculator!E23,tbSkills!DH3:DI6,2,FALSE)+IF(AND(Calculator!B8=TRUE,Backdoors!BI39=TRUE),VLOOKUP(Calculator!E23,tbSkills!DH3:DJ6,3,FALSE),0),0))/100)))),1),"")</f>
        <v>1</v>
      </c>
      <c r="IW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T44)*IV44)*(VLOOKUP(A44,tbMoveset!A2:C112,3,FALSE)/100)*IF(VLOOKUP(A44,tbMoveset!A2:B112,2,FALSE)="Projectile",Backdoors!N10,Backdoors!N9),0),"")</f>
        <v/>
      </c>
      <c r="IX44" s="49">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40&gt;0,VLOOKUP(Calculator!E40,tbSkills!AC3:AD5,2,FALSE),Backdoors!AL3)*(IF((Backdoors!AI12+IF(IT44&gt;=0.45,VLOOKUP(Calculator!E23,tbSkills!DH3:DI6,2,FALSE)+IF(AND(Calculator!B8=TRUE,Backdoors!BI39=TRUE),VLOOKUP(Calculator!E23,tbSkills!DH3:DJ6,3,FALSE),0),0))&gt;=100,100,(Backdoors!AI12+IF(IT44&gt;=0.45,VLOOKUP(Calculator!E23,tbSkills!DH3:DI6,2,FALSE)+IF(AND(Calculator!B8=TRUE,Backdoors!BI39=TRUE),VLOOKUP(Calculator!E23,tbSkills!DH3:DJ6,3,FALSE),0),0)))/100)),1))*IF(VLOOKUP(A44,tbMoveset!A2:K112,11,FALSE)=TRUE,Backdoors!AC5,1))*IU44,0),"")</f>
        <v>0</v>
      </c>
      <c r="IY44" s="49">
        <f>VLOOKUP(A44,tbMoveset!A2:G112,7,FALSE)*IFERROR(IF(Backdoors!AI12&gt;=0,1+(IF(Calculator!E40&gt;0,VLOOKUP(Calculator!E40,tbSkills!AI3:AJ5,2,FALSE),Backdoors!AL4)*(IF((Backdoors!AI12+IF(IT44&gt;=0.45,VLOOKUP(Calculator!E23,tbSkills!DH3:DI6,2,FALSE)+IF(AND(Calculator!B8=TRUE,Backdoors!BI39=TRUE),VLOOKUP(Calculator!E23,tbSkills!DH3:DJ6,3,FALSE),0),0))&gt;=100,100,(Backdoors!AI12+IF(IT44&gt;=0.45,VLOOKUP(Calculator!E23,tbSkills!DH3:DI6,2,FALSE)+IF(AND(Calculator!B8=TRUE,Backdoors!BI39=TRUE),VLOOKUP(Calculator!E23,tbSkills!DH3:DJ6,3,FALSE),0),0)))/100)),1),1)</f>
        <v>0.5</v>
      </c>
      <c r="IZ44" s="87">
        <f t="shared" si="28"/>
        <v>0</v>
      </c>
      <c r="JA44" s="86" t="str">
        <f>IFERROR(IF(VLOOKUP(A44,tbMoveset!A2:B112,2,FALSE)="Sever",Backdoors!AY40/100,IF(VLOOKUP(A44,tbMoveset!A2:B112,2,FALSE)="Blunt",Backdoors!AZ40/100,Backdoors!BA40/100)),"")</f>
        <v/>
      </c>
      <c r="JB44" s="49">
        <f>IFERROR(IF(VLOOKUP(tbMoveset!A44,tbMoveset!A2:H112,8,FALSE)="Other",IF(VLOOKUP(tbMoveset!A44,tbMoveset!A2:I112,9,FALSE)="Fire",Backdoors!BB40,IF(VLOOKUP(tbMoveset!A44,tbMoveset!A2:I112,9,FALSE)="Water",Backdoors!BC40,IF(VLOOKUP(tbMoveset!A44,tbMoveset!A2:I112,9,FALSE)="Thunder",Backdoors!BD40,IF(VLOOKUP(tbMoveset!A44,tbMoveset!A2:I112,9,FALSE)="Ice",Backdoors!BE40,IF(VLOOKUP(tbMoveset!A44,tbMoveset!A2:I112,9,FALSE)="Dragon",Backdoors!BF40,Backdoors!BG40)))))/100,Backdoors!BG40/100),"")</f>
        <v>0</v>
      </c>
      <c r="JC44" s="49">
        <f>IFERROR(IF(VLOOKUP(A44,tbMoveset!A2:J112,10,FALSE)=TRUE,IF((Backdoors!AI12+IF(JA44&gt;=0.45,VLOOKUP(Calculator!E23,tbSkills!DH3:DI6,2,FALSE)+IF(AND(Calculator!B8=TRUE,Backdoors!BI40=TRUE),VLOOKUP(Calculator!E23,tbSkills!DH3:DJ6,3,FALSE),0),0))&gt;=0,1+(Backdoors!AL2*(IF((Backdoors!AI12+IF(JA44&gt;=0.45,VLOOKUP(Calculator!E23,tbSkills!DH3:DI6,2,FALSE)+IF(AND(Calculator!B8=TRUE,Backdoors!BI40=TRUE),VLOOKUP(Calculator!E23,tbSkills!DH3:DJ6,3,FALSE),0),0))&gt;=100,100,(Backdoors!AI12+IF(JA44&gt;=0.45,VLOOKUP(Calculator!E23,tbSkills!DH3:DI6,2,FALSE)+IF(AND(Calculator!B8=TRUE,Backdoors!BI40=TRUE),VLOOKUP(Calculator!E23,tbSkills!DH3:DJ6,3,FALSE),0),0)))/100)),(1-(0.25*((-Backdoors!AI12-IF(JA44&gt;=0.45,VLOOKUP(Calculator!E23,tbSkills!DH3:DI6,2,FALSE)+IF(AND(Calculator!B8=TRUE,Backdoors!BI40=TRUE),VLOOKUP(Calculator!E23,tbSkills!DH3:DJ6,3,FALSE),0),0))/100)))),1),"")</f>
        <v>1</v>
      </c>
      <c r="JD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A44)*JC44)*(VLOOKUP(A44,tbMoveset!A2:C112,3,FALSE)/100)*IF(VLOOKUP(A44,tbMoveset!A2:B112,2,FALSE)="Projectile",Backdoors!N10,Backdoors!N9),0),"")</f>
        <v/>
      </c>
      <c r="JE44" s="49">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42&gt;0,VLOOKUP(Calculator!E42,tbSkills!AC3:AD5,2,FALSE),Backdoors!AL3)*(IF((Backdoors!AI12+IF(JA44&gt;=0.45,VLOOKUP(Calculator!E23,tbSkills!DH3:DI6,2,FALSE)+IF(AND(Calculator!B8=TRUE,Backdoors!BI40=TRUE),VLOOKUP(Calculator!E23,tbSkills!DH3:DJ6,3,FALSE),0),0))&gt;=100,100,(Backdoors!AI12+IF(JA44&gt;=0.45,VLOOKUP(Calculator!E23,tbSkills!DH3:DI6,2,FALSE)+IF(AND(Calculator!B8=TRUE,Backdoors!BI40=TRUE),VLOOKUP(Calculator!E23,tbSkills!DH3:DJ6,3,FALSE),0),0)))/100)),1))*IF(VLOOKUP(A44,tbMoveset!A2:K112,11,FALSE)=TRUE,Backdoors!AC5,1))*JB44,0),"")</f>
        <v>0</v>
      </c>
      <c r="JF44" s="49">
        <f>VLOOKUP(A44,tbMoveset!A2:G112,7,FALSE)*IFERROR(IF(Backdoors!AI12&gt;=0,1+(IF(Calculator!E40&gt;0,VLOOKUP(Calculator!E40,tbSkills!AI3:AJ5,2,FALSE),Backdoors!AL4)*(IF((Backdoors!AI12+IF(JA44&gt;=0.45,VLOOKUP(Calculator!E23,tbSkills!DH3:DI6,2,FALSE)+IF(AND(Calculator!B8=TRUE,Backdoors!BI40=TRUE),VLOOKUP(Calculator!E23,tbSkills!DH3:DJ6,3,FALSE),0),0))&gt;=100,100,(Backdoors!AI12+IF(JA44&gt;=0.45,VLOOKUP(Calculator!E23,tbSkills!DH3:DI6,2,FALSE)+IF(AND(Calculator!B8=TRUE,Backdoors!BI40=TRUE),VLOOKUP(Calculator!E23,tbSkills!DH3:DJ6,3,FALSE),0),0)))/100)),1),1)</f>
        <v>0.5</v>
      </c>
      <c r="JG44" s="87">
        <f t="shared" si="29"/>
        <v>0</v>
      </c>
      <c r="JH44" s="86" t="str">
        <f>IFERROR(IF(VLOOKUP(A44,tbMoveset!A2:B112,2,FALSE)="Sever",Backdoors!AY41/100,IF(VLOOKUP(A44,tbMoveset!A2:B112,2,FALSE)="Blunt",Backdoors!AZ41/100,Backdoors!BA41/100)),"")</f>
        <v/>
      </c>
      <c r="JI44" s="49">
        <f>IFERROR(IF(VLOOKUP(tbMoveset!A44,tbMoveset!A2:H112,8,FALSE)="Other",IF(VLOOKUP(tbMoveset!A44,tbMoveset!A2:I112,9,FALSE)="Fire",Backdoors!BB41,IF(VLOOKUP(tbMoveset!A44,tbMoveset!A2:I112,9,FALSE)="Water",Backdoors!BC41,IF(VLOOKUP(tbMoveset!A44,tbMoveset!A2:I112,9,FALSE)="Thunder",Backdoors!BD41,IF(VLOOKUP(tbMoveset!A44,tbMoveset!A2:I112,9,FALSE)="Ice",Backdoors!BE41,IF(VLOOKUP(tbMoveset!A44,tbMoveset!A2:I112,9,FALSE)="Dragon",Backdoors!BF41,Backdoors!BG41)))))/100,Backdoors!BG41/100),"")</f>
        <v>0</v>
      </c>
      <c r="JJ44" s="49">
        <f>IFERROR(IF(VLOOKUP(A44,tbMoveset!A2:J112,10,FALSE)=TRUE,IF((Backdoors!AI12+IF(JH44&gt;=0.45,VLOOKUP(Calculator!E23,tbSkills!DH3:DI6,2,FALSE)+IF(AND(Calculator!B8=TRUE,Backdoors!BI41=TRUE),VLOOKUP(Calculator!E23,tbSkills!DH3:DJ6,3,FALSE),0),0))&gt;=0,1+(Backdoors!AL2*(IF((Backdoors!AI12+IF(JH44&gt;=0.45,VLOOKUP(Calculator!E23,tbSkills!DH3:DI6,2,FALSE)+IF(AND(Calculator!B8=TRUE,Backdoors!BI41=TRUE),VLOOKUP(Calculator!E23,tbSkills!DH3:DJ6,3,FALSE),0),0))&gt;=100,100,(Backdoors!AI12+IF(JH44&gt;=0.45,VLOOKUP(Calculator!E23,tbSkills!DH3:DI6,2,FALSE)+IF(AND(Calculator!B8=TRUE,Backdoors!BI41=TRUE),VLOOKUP(Calculator!E23,tbSkills!DH3:DJ6,3,FALSE),0),0)))/100)),(1-(0.25*((-Backdoors!AI12-IF(JH44&gt;=0.45,VLOOKUP(Calculator!E23,tbSkills!DH3:DI6,2,FALSE)+IF(AND(Calculator!B8=TRUE,Backdoors!BI41=TRUE),VLOOKUP(Calculator!E23,tbSkills!DH3:DJ6,3,FALSE),0),0))/100)))),1),"")</f>
        <v>1</v>
      </c>
      <c r="JK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H44)*JJ44)*(VLOOKUP(A44,tbMoveset!A2:C112,3,FALSE)/100)*IF(VLOOKUP(A44,tbMoveset!A2:B112,2,FALSE)="Projectile",Backdoors!N10,Backdoors!N9),0),"")</f>
        <v/>
      </c>
      <c r="JL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43&gt;0,VLOOKUP(Calculator!E43,tbSkills!AC3:AD5,2,FALSE),Backdoors!AL3)*(IF((Backdoors!AI12+IF(JH44&gt;=0.45,VLOOKUP(Calculator!E23,tbSkills!DH3:DI6,2,FALSE)+IF(AND(Calculator!B8=TRUE,Backdoors!BI41=TRUE),VLOOKUP(Calculator!E23,tbSkills!DH3:DJ6,3,FALSE),0),0))&gt;=100,100,(Backdoors!AI12+IF(JH44&gt;=0.45,VLOOKUP(Calculator!E23,tbSkills!DH3:DI6,2,FALSE)+IF(AND(Calculator!B8=TRUE,Backdoors!BI41=TRUE),VLOOKUP(Calculator!E23,tbSkills!DH3:DJ6,3,FALSE),0),0)))/100)),1))*IF(VLOOKUP(A44,tbMoveset!A2:K112,11,FALSE)=TRUE,Backdoors!AC5,1))*JI44,0),"")</f>
        <v/>
      </c>
      <c r="JM44" s="49">
        <f>VLOOKUP(A44,tbMoveset!A2:G112,7,FALSE)*IFERROR(IF(Backdoors!AI12&gt;=0,1+(IF(Calculator!E40&gt;0,VLOOKUP(Calculator!E40,tbSkills!AI3:AJ5,2,FALSE),Backdoors!AL4)*(IF((Backdoors!AI12+IF(JH44&gt;=0.45,VLOOKUP(Calculator!E23,tbSkills!DH3:DI6,2,FALSE)+IF(AND(Calculator!B8=TRUE,Backdoors!BI41=TRUE),VLOOKUP(Calculator!E23,tbSkills!DH3:DJ6,3,FALSE),0),0))&gt;=100,100,(Backdoors!AI12+IF(JH44&gt;=0.45,VLOOKUP(Calculator!E23,tbSkills!DH3:DI6,2,FALSE)+IF(AND(Calculator!B8=TRUE,Backdoors!BI41=TRUE),VLOOKUP(Calculator!E23,tbSkills!DH3:DJ6,3,FALSE),0),0)))/100)),1),1)</f>
        <v>0.5</v>
      </c>
      <c r="JN44" s="87">
        <f t="shared" si="30"/>
        <v>0</v>
      </c>
      <c r="JO44" s="86" t="str">
        <f>IFERROR(IF(VLOOKUP(A44,tbMoveset!A2:B112,2,FALSE)="Sever",Backdoors!AY42/100,IF(VLOOKUP(A44,tbMoveset!A2:B112,2,FALSE)="Blunt",Backdoors!AZ42/100,Backdoors!BA42/100)),"")</f>
        <v/>
      </c>
      <c r="JP44" s="49">
        <f>IFERROR(IF(VLOOKUP(tbMoveset!A44,tbMoveset!A2:H112,8,FALSE)="Other",IF(VLOOKUP(tbMoveset!A44,tbMoveset!A2:I112,9,FALSE)="Fire",Backdoors!BB42,IF(VLOOKUP(tbMoveset!A44,tbMoveset!A2:I112,9,FALSE)="Water",Backdoors!BC42,IF(VLOOKUP(tbMoveset!A44,tbMoveset!A2:I112,9,FALSE)="Thunder",Backdoors!BD42,IF(VLOOKUP(tbMoveset!A44,tbMoveset!A2:I112,9,FALSE)="Ice",Backdoors!BE42,IF(VLOOKUP(tbMoveset!A44,tbMoveset!A2:I112,9,FALSE)="Dragon",Backdoors!BF42,Backdoors!BG42)))))/100,Backdoors!BG42/100),"")</f>
        <v>0</v>
      </c>
      <c r="JQ44" s="49">
        <f>IFERROR(IF(VLOOKUP(A44,tbMoveset!A2:J112,10,FALSE)=TRUE,IF((Backdoors!AI12+IF(JO44&gt;=0.45,VLOOKUP(Calculator!E23,tbSkills!DH3:DI6,2,FALSE)+IF(AND(Calculator!B8=TRUE,Backdoors!BI42=TRUE),VLOOKUP(Calculator!E23,tbSkills!DH3:DJ6,3,FALSE),0),0))&gt;=0,1+(Backdoors!AL2*(IF((Backdoors!AI12+IF(JO44&gt;=0.45,VLOOKUP(Calculator!E23,tbSkills!DH3:DI6,2,FALSE)+IF(AND(Calculator!B8=TRUE,Backdoors!BI42=TRUE),VLOOKUP(Calculator!E23,tbSkills!DH3:DJ6,3,FALSE),0),0))&gt;=100,100,(Backdoors!AI12+IF(JO44&gt;=0.45,VLOOKUP(Calculator!E23,tbSkills!DH3:DI6,2,FALSE)+IF(AND(Calculator!B8=TRUE,Backdoors!BI42=TRUE),VLOOKUP(Calculator!E23,tbSkills!DH3:DJ6,3,FALSE),0),0)))/100)),(1-(0.25*((-Backdoors!AI12-IF(JO44&gt;=0.45,VLOOKUP(Calculator!E23,tbSkills!DH3:DI6,2,FALSE)+IF(AND(Calculator!B8=TRUE,Backdoors!BI42=TRUE),VLOOKUP(Calculator!E23,tbSkills!DH3:DJ6,3,FALSE),0),0))/100)))),1),"")</f>
        <v>1</v>
      </c>
      <c r="JR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O44)*JQ44)*(VLOOKUP(A44,tbMoveset!A2:C112,3,FALSE)/100)*IF(VLOOKUP(A44,tbMoveset!A2:B112,2,FALSE)="Projectile",Backdoors!N10,Backdoors!N9),0),"")</f>
        <v/>
      </c>
      <c r="JS44" s="49">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45&gt;0,VLOOKUP(Calculator!E45,tbSkills!AC3:AD5,2,FALSE),Backdoors!AL3)*(IF((Backdoors!AI12+IF(JO44&gt;=0.45,VLOOKUP(Calculator!E23,tbSkills!DH3:DI6,2,FALSE)+IF(AND(Calculator!B8=TRUE,Backdoors!BI42=TRUE),VLOOKUP(Calculator!E23,tbSkills!DH3:DJ6,3,FALSE),0),0))&gt;=100,100,(Backdoors!AI12+IF(JO44&gt;=0.45,VLOOKUP(Calculator!E23,tbSkills!DH3:DI6,2,FALSE)+IF(AND(Calculator!B8=TRUE,Backdoors!BI42=TRUE),VLOOKUP(Calculator!E23,tbSkills!DH3:DJ6,3,FALSE),0),0)))/100)),1))*IF(VLOOKUP(A44,tbMoveset!A2:K112,11,FALSE)=TRUE,Backdoors!AC5,1))*JP44,0),"")</f>
        <v>0</v>
      </c>
      <c r="JT44" s="49">
        <f>VLOOKUP(A44,tbMoveset!A2:G112,7,FALSE)*IFERROR(IF(Backdoors!AI12&gt;=0,1+(IF(Calculator!E40&gt;0,VLOOKUP(Calculator!E40,tbSkills!AI3:AJ5,2,FALSE),Backdoors!AL4)*(IF((Backdoors!AI12+IF(JO44&gt;=0.45,VLOOKUP(Calculator!E23,tbSkills!DH3:DI6,2,FALSE)+IF(AND(Calculator!B8=TRUE,Backdoors!BI42=TRUE),VLOOKUP(Calculator!E23,tbSkills!DH3:DJ6,3,FALSE),0),0))&gt;=100,100,(Backdoors!AI12+IF(JO44&gt;=0.45,VLOOKUP(Calculator!E23,tbSkills!DH3:DI6,2,FALSE)+IF(AND(Calculator!B8=TRUE,Backdoors!BI42=TRUE),VLOOKUP(Calculator!E23,tbSkills!DH3:DJ6,3,FALSE),0),0)))/100)),1),1)</f>
        <v>0.5</v>
      </c>
      <c r="JU44" s="87">
        <f t="shared" si="31"/>
        <v>0</v>
      </c>
      <c r="JV44" s="86" t="str">
        <f>IFERROR(IF(VLOOKUP(A44,tbMoveset!A2:B112,2,FALSE)="Sever",Backdoors!AY43/100,IF(VLOOKUP(A44,tbMoveset!A2:B112,2,FALSE)="Blunt",Backdoors!AZ43/100,Backdoors!BA43/100)),"")</f>
        <v/>
      </c>
      <c r="JW44" s="49">
        <f>IFERROR(IF(VLOOKUP(tbMoveset!A44,tbMoveset!A2:H112,8,FALSE)="Other",IF(VLOOKUP(tbMoveset!A44,tbMoveset!A2:I112,9,FALSE)="Fire",Backdoors!BB43,IF(VLOOKUP(tbMoveset!A44,tbMoveset!A2:I112,9,FALSE)="Water",Backdoors!BC43,IF(VLOOKUP(tbMoveset!A44,tbMoveset!A2:I112,9,FALSE)="Thunder",Backdoors!BD43,IF(VLOOKUP(tbMoveset!A44,tbMoveset!A2:I112,9,FALSE)="Ice",Backdoors!BE43,IF(VLOOKUP(tbMoveset!A44,tbMoveset!A2:I112,9,FALSE)="Dragon",Backdoors!BF43,Backdoors!BG43)))))/100,Backdoors!BG43/100),"")</f>
        <v>0</v>
      </c>
      <c r="JX44" s="49">
        <f>IFERROR(IF(VLOOKUP(A44,tbMoveset!A2:J112,10,FALSE)=TRUE,IF((Backdoors!AI12+IF(JV44&gt;=0.45,VLOOKUP(Calculator!E23,tbSkills!DH3:DI6,2,FALSE)+IF(AND(Calculator!B8=TRUE,Backdoors!BI43=TRUE),VLOOKUP(Calculator!E23,tbSkills!DH3:DJ6,3,FALSE),0),0))&gt;=0,1+(Backdoors!AL2*(IF((Backdoors!AI12+IF(JV44&gt;=0.45,VLOOKUP(Calculator!E23,tbSkills!DH3:DI6,2,FALSE)+IF(AND(Calculator!B8=TRUE,Backdoors!BI43=TRUE),VLOOKUP(Calculator!E23,tbSkills!DH3:DJ6,3,FALSE),0),0))&gt;=100,100,(Backdoors!AI12+IF(JV44&gt;=0.45,VLOOKUP(Calculator!E23,tbSkills!DH3:DI6,2,FALSE)+IF(AND(Calculator!B8=TRUE,Backdoors!BI43=TRUE),VLOOKUP(Calculator!E23,tbSkills!DH3:DJ6,3,FALSE),0),0)))/100)),(1-(0.25*((-Backdoors!AI12-IF(JV44&gt;=0.45,VLOOKUP(Calculator!E23,tbSkills!DH3:DI6,2,FALSE)+IF(AND(Calculator!B8=TRUE,Backdoors!BI43=TRUE),VLOOKUP(Calculator!E23,tbSkills!DH3:DJ6,3,FALSE),0),0))/100)))),1),"")</f>
        <v>1</v>
      </c>
      <c r="JY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V44)*JX44)*(VLOOKUP(A44,tbMoveset!A2:C112,3,FALSE)/100)*IF(VLOOKUP(A44,tbMoveset!A2:B112,2,FALSE)="Projectile",Backdoors!N10,Backdoors!N9),0),"")</f>
        <v/>
      </c>
      <c r="JZ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46&gt;0,VLOOKUP(Calculator!E46,tbSkills!AC3:AD5,2,FALSE),Backdoors!AL3)*(IF((Backdoors!AI12+IF(JV44&gt;=0.45,VLOOKUP(Calculator!E23,tbSkills!DH3:DI6,2,FALSE)+IF(AND(Calculator!B8=TRUE,Backdoors!BI43=TRUE),VLOOKUP(Calculator!E23,tbSkills!DH3:DJ6,3,FALSE),0),0))&gt;=100,100,(Backdoors!AI12+IF(JV44&gt;=0.45,VLOOKUP(Calculator!E23,tbSkills!DH3:DI6,2,FALSE)+IF(AND(Calculator!B8=TRUE,Backdoors!BI43=TRUE),VLOOKUP(Calculator!E23,tbSkills!DH3:DJ6,3,FALSE),0),0)))/100)),1))*IF(VLOOKUP(A44,tbMoveset!A2:K112,11,FALSE)=TRUE,Backdoors!AC5,1))*JW44,0),"")</f>
        <v/>
      </c>
      <c r="KA44" s="49">
        <f>VLOOKUP(A44,tbMoveset!A2:G112,7,FALSE)*IFERROR(IF(Backdoors!AI12&gt;=0,1+(IF(Calculator!E40&gt;0,VLOOKUP(Calculator!E40,tbSkills!AI3:AJ5,2,FALSE),Backdoors!AL4)*(IF((Backdoors!AI12+IF(JV44&gt;=0.45,VLOOKUP(Calculator!E23,tbSkills!DH3:DI6,2,FALSE)+IF(AND(Calculator!B8=TRUE,Backdoors!BI43=TRUE),VLOOKUP(Calculator!E23,tbSkills!DH3:DJ6,3,FALSE),0),0))&gt;=100,100,(Backdoors!AI12+IF(JV44&gt;=0.45,VLOOKUP(Calculator!E23,tbSkills!DH3:DI6,2,FALSE)+IF(AND(Calculator!B8=TRUE,Backdoors!BI43=TRUE),VLOOKUP(Calculator!E23,tbSkills!DH3:DJ6,3,FALSE),0),0)))/100)),1),1)</f>
        <v>0.5</v>
      </c>
      <c r="KB44" s="87">
        <f t="shared" si="32"/>
        <v>0</v>
      </c>
      <c r="KC44" s="86" t="str">
        <f>IFERROR(IF(VLOOKUP(A44,tbMoveset!A2:B112,2,FALSE)="Sever",Backdoors!AY44/100,IF(VLOOKUP(A44,tbMoveset!A2:B112,2,FALSE)="Blunt",Backdoors!AZ44/100,Backdoors!BA44/100)),"")</f>
        <v/>
      </c>
      <c r="KD44" s="49">
        <f>IFERROR(IF(VLOOKUP(tbMoveset!A44,tbMoveset!A2:H112,8,FALSE)="Other",IF(VLOOKUP(tbMoveset!A44,tbMoveset!A2:I112,9,FALSE)="Fire",Backdoors!BB44,IF(VLOOKUP(tbMoveset!A44,tbMoveset!A2:I112,9,FALSE)="Water",Backdoors!BC44,IF(VLOOKUP(tbMoveset!A44,tbMoveset!A2:I112,9,FALSE)="Thunder",Backdoors!BD44,IF(VLOOKUP(tbMoveset!A44,tbMoveset!A2:I112,9,FALSE)="Ice",Backdoors!BE44,IF(VLOOKUP(tbMoveset!A44,tbMoveset!A2:I112,9,FALSE)="Dragon",Backdoors!BF44,Backdoors!BG44)))))/100,Backdoors!BG44/100),"")</f>
        <v>0</v>
      </c>
      <c r="KE44" s="49">
        <f>IFERROR(IF(VLOOKUP(A44,tbMoveset!A2:J112,10,FALSE)=TRUE,IF((Backdoors!AI12+IF(KC44&gt;=0.45,VLOOKUP(Calculator!E23,tbSkills!DH3:DI6,2,FALSE)+IF(AND(Calculator!B8=TRUE,Backdoors!BI44=TRUE),VLOOKUP(Calculator!E23,tbSkills!DH3:DJ6,3,FALSE),0),0))&gt;=0,1+(Backdoors!AL2*(IF((Backdoors!AI12+IF(KC44&gt;=0.45,VLOOKUP(Calculator!E23,tbSkills!DH3:DI6,2,FALSE)+IF(AND(Calculator!B8=TRUE,Backdoors!BI44=TRUE),VLOOKUP(Calculator!E23,tbSkills!DH3:DJ6,3,FALSE),0),0))&gt;=100,100,(Backdoors!AI12+IF(KC44&gt;=0.45,VLOOKUP(Calculator!E23,tbSkills!DH3:DI6,2,FALSE)+IF(AND(Calculator!B8=TRUE,Backdoors!BI44=TRUE),VLOOKUP(Calculator!E23,tbSkills!DH3:DJ6,3,FALSE),0),0)))/100)),(1-(0.25*((-Backdoors!AI12-IF(KC44&gt;=0.45,VLOOKUP(Calculator!E23,tbSkills!DH3:DI6,2,FALSE)+IF(AND(Calculator!B8=TRUE,Backdoors!BI44=TRUE),VLOOKUP(Calculator!E23,tbSkills!DH3:DJ6,3,FALSE),0),0))/100)))),1),"")</f>
        <v>1</v>
      </c>
      <c r="KF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KC44)*KE44)*(VLOOKUP(A44,tbMoveset!A2:C112,3,FALSE)/100)*IF(VLOOKUP(A44,tbMoveset!A2:B112,2,FALSE)="Projectile",Backdoors!N10,Backdoors!N9),0),"")</f>
        <v/>
      </c>
      <c r="KG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REF!&gt;0,VLOOKUP(Calculator!#REF!,tbSkills!AC3:AD5,2,FALSE),Backdoors!AL3)*(IF((Backdoors!AI12+IF(KC44&gt;=0.45,VLOOKUP(Calculator!E23,tbSkills!DH3:DI6,2,FALSE)+IF(AND(Calculator!B8=TRUE,Backdoors!BI44=TRUE),VLOOKUP(Calculator!E23,tbSkills!DH3:DJ6,3,FALSE),0),0))&gt;=100,100,(Backdoors!AI12+IF(KC44&gt;=0.45,VLOOKUP(Calculator!E23,tbSkills!DH3:DI6,2,FALSE)+IF(AND(Calculator!B8=TRUE,Backdoors!BI44=TRUE),VLOOKUP(Calculator!E23,tbSkills!DH3:DJ6,3,FALSE),0),0)))/100)),1))*IF(VLOOKUP(A44,tbMoveset!A2:K112,11,FALSE)=TRUE,Backdoors!AC5,1))*KD44,0),"")</f>
        <v/>
      </c>
      <c r="KH44" s="49">
        <f>VLOOKUP(A44,tbMoveset!A2:G112,7,FALSE)*IFERROR(IF(Backdoors!AI12&gt;=0,1+(IF(Calculator!E40&gt;0,VLOOKUP(Calculator!E40,tbSkills!AI3:AJ5,2,FALSE),Backdoors!AL4)*(IF((Backdoors!AI12+IF(KC44&gt;=0.45,VLOOKUP(Calculator!E23,tbSkills!DH3:DI6,2,FALSE)+IF(AND(Calculator!B8=TRUE,Backdoors!BI44=TRUE),VLOOKUP(Calculator!E23,tbSkills!DH3:DJ6,3,FALSE),0),0))&gt;=100,100,(Backdoors!AI12+IF(KC44&gt;=0.45,VLOOKUP(Calculator!E23,tbSkills!DH3:DI6,2,FALSE)+IF(AND(Calculator!B8=TRUE,Backdoors!BI44=TRUE),VLOOKUP(Calculator!E23,tbSkills!DH3:DJ6,3,FALSE),0),0)))/100)),1),1)</f>
        <v>0.5</v>
      </c>
      <c r="KI44" s="87">
        <f t="shared" si="33"/>
        <v>0</v>
      </c>
      <c r="KJ44" s="86" t="str">
        <f>IFERROR(IF(VLOOKUP(A44,tbMoveset!A2:B112,2,FALSE)="Sever",Backdoors!AY45/100,IF(VLOOKUP(A44,tbMoveset!A2:B112,2,FALSE)="Blunt",Backdoors!AZ45/100,Backdoors!BA45/100)),"")</f>
        <v/>
      </c>
      <c r="KK44" s="49">
        <f>IFERROR(IF(VLOOKUP(tbMoveset!A44,tbMoveset!A2:H112,8,FALSE)="Other",IF(VLOOKUP(tbMoveset!A44,tbMoveset!A2:I112,9,FALSE)="Fire",Backdoors!BB45,IF(VLOOKUP(tbMoveset!A44,tbMoveset!A2:I112,9,FALSE)="Water",Backdoors!BC45,IF(VLOOKUP(tbMoveset!A44,tbMoveset!A2:I112,9,FALSE)="Thunder",Backdoors!BD45,IF(VLOOKUP(tbMoveset!A44,tbMoveset!A2:I112,9,FALSE)="Ice",Backdoors!BE45,IF(VLOOKUP(tbMoveset!A44,tbMoveset!A2:I112,9,FALSE)="Dragon",Backdoors!BF45,Backdoors!BG45)))))/100,Backdoors!BG45/100),"")</f>
        <v>0</v>
      </c>
      <c r="KL44" s="49">
        <f>IFERROR(IF(VLOOKUP(A44,tbMoveset!A2:J112,10,FALSE)=TRUE,IF((Backdoors!AI12+IF(KJ44&gt;=0.45,VLOOKUP(Calculator!E23,tbSkills!DH3:DI6,2,FALSE)+IF(AND(Calculator!B8=TRUE,Backdoors!BI45=TRUE),VLOOKUP(Calculator!E23,tbSkills!DH3:DJ6,3,FALSE),0),0))&gt;=0,1+(Backdoors!AL2*(IF((Backdoors!AI12+IF(KJ44&gt;=0.45,VLOOKUP(Calculator!E23,tbSkills!DH3:DI6,2,FALSE)+IF(AND(Calculator!B8=TRUE,Backdoors!BI45=TRUE),VLOOKUP(Calculator!E23,tbSkills!DH3:DJ6,3,FALSE),0),0))&gt;=100,100,(Backdoors!AI12+IF(KJ44&gt;=0.45,VLOOKUP(Calculator!E23,tbSkills!DH3:DI6,2,FALSE)+IF(AND(Calculator!B8=TRUE,Backdoors!BI45=TRUE),VLOOKUP(Calculator!E23,tbSkills!DH3:DJ6,3,FALSE),0),0)))/100)),(1-(0.25*((-Backdoors!AI12-IF(KJ44&gt;=0.45,VLOOKUP(Calculator!E23,tbSkills!DH3:DI6,2,FALSE)+IF(AND(Calculator!B8=TRUE,Backdoors!BI45=TRUE),VLOOKUP(Calculator!E23,tbSkills!DH3:DJ6,3,FALSE),0),0))/100)))),1),"")</f>
        <v>1</v>
      </c>
      <c r="KM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KJ44)*KL44)*(VLOOKUP(A44,tbMoveset!A2:C112,3,FALSE)/100)*IF(VLOOKUP(A44,tbMoveset!A2:B112,2,FALSE)="Projectile",Backdoors!N10,Backdoors!N9),0),"")</f>
        <v/>
      </c>
      <c r="KN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REF!&gt;0,VLOOKUP(Calculator!#REF!,tbSkills!AC3:AD5,2,FALSE),Backdoors!AL3)*(IF((Backdoors!AI12+IF(KJ44&gt;=0.45,VLOOKUP(Calculator!E23,tbSkills!DH3:DI6,2,FALSE)+IF(AND(Calculator!B8=TRUE,Backdoors!BI45=TRUE),VLOOKUP(Calculator!E23,tbSkills!DH3:DJ6,3,FALSE),0),0))&gt;=100,100,(Backdoors!AI12+IF(KJ44&gt;=0.45,VLOOKUP(Calculator!E23,tbSkills!DH3:DI6,2,FALSE)+IF(AND(Calculator!B8=TRUE,Backdoors!BI45=TRUE),VLOOKUP(Calculator!E23,tbSkills!DH3:DJ6,3,FALSE),0),0)))/100)),1))*IF(VLOOKUP(A44,tbMoveset!A2:K112,11,FALSE)=TRUE,Backdoors!AC5,1))*KK44,0),"")</f>
        <v/>
      </c>
      <c r="KO44" s="49">
        <f>VLOOKUP(A44,tbMoveset!A2:G112,7,FALSE)*IFERROR(IF(Backdoors!AI12&gt;=0,1+(IF(Calculator!E40&gt;0,VLOOKUP(Calculator!E40,tbSkills!AI3:AJ5,2,FALSE),Backdoors!AL4)*(IF((Backdoors!AI12+IF(KJ44&gt;=0.45,VLOOKUP(Calculator!E23,tbSkills!DH3:DI6,2,FALSE)+IF(AND(Calculator!B8=TRUE,Backdoors!BI45=TRUE),VLOOKUP(Calculator!E23,tbSkills!DH3:DJ6,3,FALSE),0),0))&gt;=100,100,(Backdoors!AI12+IF(KJ44&gt;=0.45,VLOOKUP(Calculator!E23,tbSkills!DH3:DI6,2,FALSE)+IF(AND(Calculator!B8=TRUE,Backdoors!BI45=TRUE),VLOOKUP(Calculator!E23,tbSkills!DH3:DJ6,3,FALSE),0),0)))/100)),1),1)</f>
        <v>0.5</v>
      </c>
      <c r="KP44" s="87">
        <f t="shared" si="34"/>
        <v>0</v>
      </c>
      <c r="KQ44" s="86" t="str">
        <f>IFERROR(IF(VLOOKUP(A44,tbMoveset!A2:B112,2,FALSE)="Sever",Backdoors!AY46/100,IF(VLOOKUP(A44,tbMoveset!A2:B112,2,FALSE)="Blunt",Backdoors!AZ46/100,Backdoors!BA46/100)),"")</f>
        <v/>
      </c>
      <c r="KR44" s="49">
        <f>IFERROR(IF(VLOOKUP(tbMoveset!A44,tbMoveset!A2:H112,8,FALSE)="Other",IF(VLOOKUP(tbMoveset!A44,tbMoveset!A2:I112,9,FALSE)="Fire",Backdoors!BB46,IF(VLOOKUP(tbMoveset!A44,tbMoveset!A2:I112,9,FALSE)="Water",Backdoors!BC46,IF(VLOOKUP(tbMoveset!A44,tbMoveset!A2:I112,9,FALSE)="Thunder",Backdoors!BD46,IF(VLOOKUP(tbMoveset!A44,tbMoveset!A2:I112,9,FALSE)="Ice",Backdoors!BE46,IF(VLOOKUP(tbMoveset!A44,tbMoveset!A2:I112,9,FALSE)="Dragon",Backdoors!BF46,Backdoors!BG46)))))/100,Backdoors!BG46/100),"")</f>
        <v>0</v>
      </c>
      <c r="KS44" s="49">
        <f>IFERROR(IF(VLOOKUP(A44,tbMoveset!A2:J112,10,FALSE)=TRUE,IF((Backdoors!AI12+IF(KQ44&gt;=0.45,VLOOKUP(Calculator!E23,tbSkills!DH3:DI6,2,FALSE)+IF(AND(Calculator!B8=TRUE,Backdoors!BI46=TRUE),VLOOKUP(Calculator!E23,tbSkills!DH3:DJ6,3,FALSE),0),0))&gt;=0,1+(Backdoors!AL2*(IF((Backdoors!AI12+IF(KQ44&gt;=0.45,VLOOKUP(Calculator!E23,tbSkills!DH3:DI6,2,FALSE)+IF(AND(Calculator!B8=TRUE,Backdoors!BI46=TRUE),VLOOKUP(Calculator!E23,tbSkills!DH3:DJ6,3,FALSE),0),0))&gt;=100,100,(Backdoors!AI12+IF(KQ44&gt;=0.45,VLOOKUP(Calculator!E23,tbSkills!DH3:DI6,2,FALSE)+IF(AND(Calculator!B8=TRUE,Backdoors!BI46=TRUE),VLOOKUP(Calculator!E23,tbSkills!DH3:DJ6,3,FALSE),0),0)))/100)),(1-(0.25*((-Backdoors!AI12-IF(KQ44&gt;=0.45,VLOOKUP(Calculator!E23,tbSkills!DH3:DI6,2,FALSE)+IF(AND(Calculator!B8=TRUE,Backdoors!BI46=TRUE),VLOOKUP(Calculator!E23,tbSkills!DH3:DJ6,3,FALSE),0),0))/100)))),1),"")</f>
        <v>1</v>
      </c>
      <c r="KT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KQ44)*KS44)*(VLOOKUP(A44,tbMoveset!A2:C112,3,FALSE)/100)*IF(VLOOKUP(A44,tbMoveset!A2:B112,2,FALSE)="Projectile",Backdoors!N10,Backdoors!N9),0),"")</f>
        <v/>
      </c>
      <c r="KU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REF!&gt;0,VLOOKUP(Calculator!#REF!,tbSkills!AC3:AD5,2,FALSE),Backdoors!AL3)*(IF((Backdoors!AI12+IF(KQ44&gt;=0.45,VLOOKUP(Calculator!E23,tbSkills!DH3:DI6,2,FALSE)+IF(AND(Calculator!B8=TRUE,Backdoors!BI46=TRUE),VLOOKUP(Calculator!E23,tbSkills!DH3:DJ6,3,FALSE),0),0))&gt;=100,100,(Backdoors!AI12+IF(KQ44&gt;=0.45,VLOOKUP(Calculator!E23,tbSkills!DH3:DI6,2,FALSE)+IF(AND(Calculator!B8=TRUE,Backdoors!BI46=TRUE),VLOOKUP(Calculator!E23,tbSkills!DH3:DJ6,3,FALSE),0),0)))/100)),1))*IF(VLOOKUP(A44,tbMoveset!A2:K112,11,FALSE)=TRUE,Backdoors!AC5,1))*KR44,0),"")</f>
        <v/>
      </c>
      <c r="KV44" s="49">
        <f>VLOOKUP(A44,tbMoveset!A2:G112,7,FALSE)*IFERROR(IF(Backdoors!AI12&gt;=0,1+(IF(Calculator!E40&gt;0,VLOOKUP(Calculator!E40,tbSkills!AI3:AJ5,2,FALSE),Backdoors!AL4)*(IF((Backdoors!AI12+IF(KQ44&gt;=0.45,VLOOKUP(Calculator!E23,tbSkills!DH3:DI6,2,FALSE)+IF(AND(Calculator!B8=TRUE,Backdoors!BI46=TRUE),VLOOKUP(Calculator!E23,tbSkills!DH3:DJ6,3,FALSE),0),0))&gt;=100,100,(Backdoors!AI12+IF(KQ44&gt;=0.45,VLOOKUP(Calculator!E23,tbSkills!DH3:DI6,2,FALSE)+IF(AND(Calculator!B8=TRUE,Backdoors!BI46=TRUE),VLOOKUP(Calculator!E23,tbSkills!DH3:DJ6,3,FALSE),0),0)))/100)),1),1)</f>
        <v>0.5</v>
      </c>
      <c r="KW44" s="87">
        <f t="shared" si="35"/>
        <v>0</v>
      </c>
    </row>
    <row r="45" spans="1:309" x14ac:dyDescent="0.25">
      <c r="A45" s="95" t="str">
        <f>tbMoveset!A45</f>
        <v>Left Fade Slash</v>
      </c>
      <c r="B45" s="86">
        <f>IFERROR(IF(VLOOKUP(A45,tbMoveset!A2:B112,2,FALSE)="Sever",Backdoors!AY3/100,IF(VLOOKUP(A45,tbMoveset!A2:B112,2,FALSE)="Blunt",Backdoors!AZ3/100,Backdoors!BA3/100)),"")</f>
        <v>0.8</v>
      </c>
      <c r="C45" s="49">
        <f>IFERROR(IF(VLOOKUP(tbMoveset!A45,tbMoveset!A2:H112,8,FALSE)="Other",IF(VLOOKUP(tbMoveset!A45,tbMoveset!A2:I112,9,FALSE)="Fire",Backdoors!BB3,IF(VLOOKUP(tbMoveset!A45,tbMoveset!A2:I112,9,FALSE)="Water",Backdoors!BC3,IF(VLOOKUP(tbMoveset!A45,tbMoveset!A2:I112,9,FALSE)="Thunder",Backdoors!BD3,IF(VLOOKUP(tbMoveset!A45,tbMoveset!A2:I112,9,FALSE)="Ice",Backdoors!BE3,IF(VLOOKUP(tbMoveset!A45,tbMoveset!A2:I112,9,FALSE)="Dragon",Backdoors!BF3,Backdoors!BG3)))))/100,Backdoors!BG3/100),"")</f>
        <v>0</v>
      </c>
      <c r="D45" s="49">
        <f>IFERROR(IF(VLOOKUP(A45,tbMoveset!A2:J112,10,FALSE)=TRUE,IF((Backdoors!AI12+IF(B45&gt;=0.45,VLOOKUP(Calculator!E23,tbSkills!DH3:DI6,2,FALSE)+IF(AND(Calculator!B8=TRUE,Backdoors!BI3=TRUE),VLOOKUP(Calculator!E23,tbSkills!DH3:DJ6,3,FALSE),0),0))&gt;=0,1+(Backdoors!AL2*(IF((Backdoors!AI12+IF(B45&gt;=0.45,VLOOKUP(Calculator!E23,tbSkills!DH3:DI6,2,FALSE)+IF(AND(Calculator!B8=TRUE,Backdoors!BI3=TRUE),VLOOKUP(Calculator!E23,tbSkills!DH3:DJ6,3,FALSE),0),0))&gt;=100,100,(Backdoors!AI12+IF(B45&gt;=0.45,VLOOKUP(Calculator!E23,tbSkills!DH3:DI6,2,FALSE)+IF(AND(Calculator!B8=TRUE,Backdoors!BI3=TRUE),VLOOKUP(Calculator!E23,tbSkills!DH3:DJ6,3,FALSE),0),0)))/100)),(1-(0.25*((-Backdoors!AI12-IF(B45&gt;=0.45,VLOOKUP(Calculator!E23,tbSkills!DH3:DI6,2,FALSE)+IF(AND(Calculator!B8=TRUE,Backdoors!BI3=TRUE),VLOOKUP(Calculator!E23,tbSkills!DH3:DJ6,3,FALSE),0),0))/100)))),1),"")</f>
        <v>1</v>
      </c>
      <c r="E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45)*D45)*(VLOOKUP(A45,tbMoveset!A2:C112,3,FALSE)/100)*IF(VLOOKUP(A45,tbMoveset!A2:B112,2,FALSE)="Projectile",Backdoors!N10,Backdoors!N9),0),"")</f>
        <v>5</v>
      </c>
      <c r="F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45&gt;=0.45,VLOOKUP(Calculator!E23,tbSkills!DH3:DI6,2,FALSE)+IF(AND(Calculator!B8=TRUE,Backdoors!BI3=TRUE),VLOOKUP(Calculator!E23,tbSkills!DH3:DJ6,3,FALSE),0),0))&gt;=100,100,(Backdoors!AI12+IF(B45&gt;=0.45,VLOOKUP(Calculator!E23,tbSkills!DH3:DI6,2,FALSE)+IF(AND(Calculator!B8=TRUE,Backdoors!BI3=TRUE),VLOOKUP(Calculator!E23,tbSkills!DH3:DJ6,3,FALSE),0),0)))/100)),1))*IF(VLOOKUP(A45,tbMoveset!A2:K112,11,FALSE)=TRUE,Backdoors!AC5,1))*C45,0),"")</f>
        <v>0</v>
      </c>
      <c r="G45">
        <f>VLOOKUP(A45,tbMoveset!A2:G112,7,FALSE)*IFERROR(IF(Backdoors!AI12&gt;=0,1+(IF(Calculator!E40&gt;0,VLOOKUP(Calculator!E40,tbSkills!AI3:AJ5,2,FALSE),Backdoors!AL4)*(IF((Backdoors!AI12+IF(B45&gt;=0.45,VLOOKUP(Calculator!E23,tbSkills!DH3:DI6,2,FALSE)+IF(AND(Calculator!B8=TRUE,Backdoors!BI3=TRUE),VLOOKUP(Calculator!E23,tbSkills!DH3:DJ6,3,FALSE),0),0))&gt;=100,100,(Backdoors!AI12+IF(B45&gt;=0.45,VLOOKUP(Calculator!E23,tbSkills!DH3:DI6,2,FALSE)+IF(AND(Calculator!B8=TRUE,Backdoors!BI3=TRUE),VLOOKUP(Calculator!E23,tbSkills!DH3:DJ6,3,FALSE),0),0)))/100)),1),1)</f>
        <v>0.6</v>
      </c>
      <c r="H45" s="87">
        <f t="shared" si="44"/>
        <v>5</v>
      </c>
      <c r="I45" s="86">
        <f>IFERROR(IF(VLOOKUP(A45,tbMoveset!A2:B112,2,FALSE)="Sever",Backdoors!AY4/100,IF(VLOOKUP(A45,tbMoveset!A2:B112,2,FALSE)="Blunt",Backdoors!AZ4/100,Backdoors!BA4/100)),"")</f>
        <v>0.65</v>
      </c>
      <c r="J45" s="49">
        <f>IFERROR(IF(VLOOKUP(tbMoveset!A45,tbMoveset!A2:H112,8,FALSE)="Other",IF(VLOOKUP(tbMoveset!A45,tbMoveset!A2:I112,9,FALSE)="Fire",Backdoors!BB4,IF(VLOOKUP(tbMoveset!A45,tbMoveset!A2:I112,9,FALSE)="Water",Backdoors!BC4,IF(VLOOKUP(tbMoveset!A45,tbMoveset!A2:I112,9,FALSE)="Thunder",Backdoors!BD4,IF(VLOOKUP(tbMoveset!A45,tbMoveset!A2:I112,9,FALSE)="Ice",Backdoors!BE4,IF(VLOOKUP(tbMoveset!A45,tbMoveset!A2:I112,9,FALSE)="Dragon",Backdoors!BF4,Backdoors!BG4)))))/100,Backdoors!BG4/100),"")</f>
        <v>0</v>
      </c>
      <c r="K45" s="49">
        <f>IFERROR(IF(VLOOKUP(A45,tbMoveset!A2:J112,10,FALSE)=TRUE,IF((Backdoors!AI12+IF(I45&gt;=0.45,VLOOKUP(Calculator!E23,tbSkills!DH3:DI6,2,FALSE)+IF(AND(Calculator!B8=TRUE,Backdoors!BI4=TRUE),VLOOKUP(Calculator!E23,tbSkills!DH3:DJ6,3,FALSE),0),0))&gt;=0,1+(Backdoors!AL2*(IF((Backdoors!AI12+IF(I45&gt;=0.45,VLOOKUP(Calculator!E23,tbSkills!DH3:DI6,2,FALSE)+IF(AND(Calculator!B8=TRUE,Backdoors!BI4=TRUE),VLOOKUP(Calculator!E23,tbSkills!DH3:DJ6,3,FALSE),0),0))&gt;=100,100,(Backdoors!AI12+IF(I45&gt;=0.45,VLOOKUP(Calculator!E23,tbSkills!DH3:DI6,2,FALSE)+IF(AND(Calculator!B8=TRUE,Backdoors!BI4=TRUE),VLOOKUP(Calculator!E23,tbSkills!DH3:DJ6,3,FALSE),0),0)))/100)),(1-(0.25*((-Backdoors!AI12-IF(I45&gt;=0.45,VLOOKUP(Calculator!E23,tbSkills!DH3:DI6,2,FALSE)+IF(AND(Calculator!B8=TRUE,Backdoors!BI4=TRUE),VLOOKUP(Calculator!E23,tbSkills!DH3:DJ6,3,FALSE),0),0))/100)))),1),"")</f>
        <v>1</v>
      </c>
      <c r="L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45)*K45)*(VLOOKUP(A45,tbMoveset!A2:C112,3,FALSE)/100)*IF(VLOOKUP(A45,tbMoveset!A2:B112,2,FALSE)="Projectile",Backdoors!N10,Backdoors!N9),0),"")</f>
        <v>4</v>
      </c>
      <c r="M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I45&gt;=0.45,VLOOKUP(Calculator!E23,tbSkills!DH3:DI6,2,FALSE)+IF(AND(Calculator!B8=TRUE,Backdoors!BI4=TRUE),VLOOKUP(Calculator!E23,tbSkills!DH3:DJ6,3,FALSE),0),0))&gt;=100,100,(Backdoors!AI12+IF(I45&gt;=0.45,VLOOKUP(Calculator!E23,tbSkills!DH3:DI6,2,FALSE)+IF(AND(Calculator!B8=TRUE,Backdoors!BI4=TRUE),VLOOKUP(Calculator!E23,tbSkills!DH3:DJ6,3,FALSE),0),0)))/100)),1))*IF(VLOOKUP(A45,tbMoveset!A2:K112,11,FALSE)=TRUE,Backdoors!AC5,1))*J45,0),"")</f>
        <v>0</v>
      </c>
      <c r="N45" s="49">
        <f>VLOOKUP(A45,tbMoveset!A2:G112,7,FALSE)*IFERROR(IF(Backdoors!AI12&gt;=0,1+(IF(Calculator!E40&gt;0,VLOOKUP(Calculator!E40,tbSkills!AI3:AJ5,2,FALSE),Backdoors!AL4)*(IF((Backdoors!AI12+IF(I45&gt;=0.45,VLOOKUP(Calculator!E23,tbSkills!DH3:DI6,2,FALSE)+IF(AND(Calculator!B8=TRUE,Backdoors!BI4=TRUE),VLOOKUP(Calculator!E23,tbSkills!DH3:DJ6,3,FALSE),0),0))&gt;=100,100,(Backdoors!AI12+IF(I45&gt;=0.45,VLOOKUP(Calculator!E23,tbSkills!DH3:DI6,2,FALSE)+IF(AND(Calculator!B8=TRUE,Backdoors!BI4=TRUE),VLOOKUP(Calculator!E23,tbSkills!DH3:DJ6,3,FALSE),0),0)))/100)),1),1)</f>
        <v>0.6</v>
      </c>
      <c r="O45" s="87">
        <f t="shared" si="45"/>
        <v>4</v>
      </c>
      <c r="P45" s="86">
        <f>IFERROR(IF(VLOOKUP(A45,tbMoveset!A2:B112,2,FALSE)="Sever",Backdoors!AY5/100,IF(VLOOKUP(A45,tbMoveset!A2:B112,2,FALSE)="Blunt",Backdoors!AZ5/100,Backdoors!BA5/100)),"")</f>
        <v>0.5</v>
      </c>
      <c r="Q45" s="49">
        <f>IFERROR(IF(VLOOKUP(tbMoveset!A45,tbMoveset!A2:H112,8,FALSE)="Other",IF(VLOOKUP(tbMoveset!A45,tbMoveset!A2:I112,9,FALSE)="Fire",Backdoors!BB5,IF(VLOOKUP(tbMoveset!A45,tbMoveset!A2:I112,9,FALSE)="Water",Backdoors!BC5,IF(VLOOKUP(tbMoveset!A45,tbMoveset!A2:I112,9,FALSE)="Thunder",Backdoors!BD5,IF(VLOOKUP(tbMoveset!A45,tbMoveset!A2:I112,9,FALSE)="Ice",Backdoors!BE5,IF(VLOOKUP(tbMoveset!A45,tbMoveset!A2:I112,9,FALSE)="Dragon",Backdoors!BF5,Backdoors!BG5)))))/100,Backdoors!BG5/100),"")</f>
        <v>0</v>
      </c>
      <c r="R45" s="49">
        <f>IFERROR(IF(VLOOKUP(A45,tbMoveset!A2:J112,10,FALSE)=TRUE,IF((Backdoors!AI12+IF(P45&gt;=0.45,VLOOKUP(Calculator!E23,tbSkills!DH3:DI6,2,FALSE)+IF(AND(Calculator!B8=TRUE,Backdoors!BI5=TRUE),VLOOKUP(Calculator!E23,tbSkills!DH3:DJ6,3,FALSE),0),0))&gt;=0,1+(Backdoors!AL2*(IF((Backdoors!AI12+IF(P45&gt;=0.45,VLOOKUP(Calculator!E23,tbSkills!DH3:DI6,2,FALSE)+IF(AND(Calculator!B8=TRUE,Backdoors!BI5=TRUE),VLOOKUP(Calculator!E23,tbSkills!DH3:DJ6,3,FALSE),0),0))&gt;=100,100,(Backdoors!AI12+IF(P45&gt;=0.45,VLOOKUP(Calculator!E23,tbSkills!DH3:DI6,2,FALSE)+IF(AND(Calculator!B8=TRUE,Backdoors!BI5=TRUE),VLOOKUP(Calculator!E23,tbSkills!DH3:DJ6,3,FALSE),0),0)))/100)),(1-(0.25*((-Backdoors!AI12-IF(P45&gt;=0.45,VLOOKUP(Calculator!E23,tbSkills!DH3:DI6,2,FALSE)+IF(AND(Calculator!B8=TRUE,Backdoors!BI5=TRUE),VLOOKUP(Calculator!E23,tbSkills!DH3:DJ6,3,FALSE),0),0))/100)))),1),"")</f>
        <v>1</v>
      </c>
      <c r="S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P45)*R45)*(VLOOKUP(A45,tbMoveset!A2:C112,3,FALSE)/100)*IF(VLOOKUP(A45,tbMoveset!A2:B112,2,FALSE)="Projectile",Backdoors!N10,Backdoors!N9),0),"")</f>
        <v>3</v>
      </c>
      <c r="T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P45&gt;=0.45,VLOOKUP(Calculator!E23,tbSkills!DH3:DI6,2,FALSE)+IF(AND(Calculator!B8=TRUE,Backdoors!BI5=TRUE),VLOOKUP(Calculator!E23,tbSkills!DH3:DJ6,3,FALSE),0),0))&gt;=100,100,(Backdoors!AI12+IF(P45&gt;=0.45,VLOOKUP(Calculator!E23,tbSkills!DH3:DI6,2,FALSE)+IF(AND(Calculator!B8=TRUE,Backdoors!BI5=TRUE),VLOOKUP(Calculator!E23,tbSkills!DH3:DJ6,3,FALSE),0),0)))/100)),1))*IF(VLOOKUP(A45,tbMoveset!A2:K112,11,FALSE)=TRUE,Backdoors!AC5,1))*Q45,0),"")</f>
        <v>0</v>
      </c>
      <c r="U45" s="49">
        <f>VLOOKUP(A45,tbMoveset!A2:G112,7,FALSE)*IFERROR(IF(Backdoors!AI12&gt;=0,1+(IF(Calculator!E40&gt;0,VLOOKUP(Calculator!E40,tbSkills!AI3:AJ5,2,FALSE),Backdoors!AL4)*(IF((Backdoors!AI12+IF(P45&gt;=0.45,VLOOKUP(Calculator!E23,tbSkills!DH3:DI6,2,FALSE)+IF(AND(Calculator!B8=TRUE,Backdoors!BI5=TRUE),VLOOKUP(Calculator!E23,tbSkills!DH3:DJ6,3,FALSE),0),0))&gt;=100,100,(Backdoors!AI12+IF(P45&gt;=0.45,VLOOKUP(Calculator!E23,tbSkills!DH3:DI6,2,FALSE)+IF(AND(Calculator!B8=TRUE,Backdoors!BI5=TRUE),VLOOKUP(Calculator!E23,tbSkills!DH3:DJ6,3,FALSE),0),0)))/100)),1),1)</f>
        <v>0.6</v>
      </c>
      <c r="V45" s="87">
        <f t="shared" si="46"/>
        <v>3</v>
      </c>
      <c r="W45" s="86">
        <f>IFERROR(IF(VLOOKUP(A45,tbMoveset!A2:B112,2,FALSE)="Sever",Backdoors!AY6/100,IF(VLOOKUP(A45,tbMoveset!A2:B112,2,FALSE)="Blunt",Backdoors!AZ6/100,Backdoors!BA6/100)),"")</f>
        <v>0.45</v>
      </c>
      <c r="X45" s="49">
        <f>IFERROR(IF(VLOOKUP(tbMoveset!A45,tbMoveset!A2:H112,8,FALSE)="Other",IF(VLOOKUP(tbMoveset!A45,tbMoveset!A2:I112,9,FALSE)="Fire",Backdoors!BB6,IF(VLOOKUP(tbMoveset!A45,tbMoveset!A2:I112,9,FALSE)="Water",Backdoors!BC6,IF(VLOOKUP(tbMoveset!A45,tbMoveset!A2:I112,9,FALSE)="Thunder",Backdoors!BD6,IF(VLOOKUP(tbMoveset!A45,tbMoveset!A2:I112,9,FALSE)="Ice",Backdoors!BE6,IF(VLOOKUP(tbMoveset!A45,tbMoveset!A2:I112,9,FALSE)="Dragon",Backdoors!BF6,Backdoors!BG6)))))/100,Backdoors!BG6/100),"")</f>
        <v>0</v>
      </c>
      <c r="Y45" s="49">
        <f>IFERROR(IF(VLOOKUP(A45,tbMoveset!A2:J112,10,FALSE)=TRUE,IF((Backdoors!AI12+IF(W45&gt;=0.45,VLOOKUP(Calculator!E23,tbSkills!DH3:DI6,2,FALSE)+IF(AND(Calculator!B8=TRUE,Backdoors!BI6=TRUE),VLOOKUP(Calculator!E23,tbSkills!DH3:DJ6,3,FALSE),0),0))&gt;=0,1+(Backdoors!AL2*(IF((Backdoors!AI12+IF(W45&gt;=0.45,VLOOKUP(Calculator!E23,tbSkills!DH3:DI6,2,FALSE)+IF(AND(Calculator!B8=TRUE,Backdoors!BI6=TRUE),VLOOKUP(Calculator!E23,tbSkills!DH3:DJ6,3,FALSE),0),0))&gt;=100,100,(Backdoors!AI12+IF(W45&gt;=0.45,VLOOKUP(Calculator!E23,tbSkills!DH3:DI6,2,FALSE)+IF(AND(Calculator!B8=TRUE,Backdoors!BI6=TRUE),VLOOKUP(Calculator!E23,tbSkills!DH3:DJ6,3,FALSE),0),0)))/100)),(1-(0.25*((-Backdoors!AI12-IF(W45&gt;=0.45,VLOOKUP(Calculator!E23,tbSkills!DH3:DI6,2,FALSE)+IF(AND(Calculator!B8=TRUE,Backdoors!BI6=TRUE),VLOOKUP(Calculator!E23,tbSkills!DH3:DJ6,3,FALSE),0),0))/100)))),1),"")</f>
        <v>1</v>
      </c>
      <c r="Z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W45)*Y45)*(VLOOKUP(A45,tbMoveset!A2:C112,3,FALSE)/100)*IF(VLOOKUP(A45,tbMoveset!A2:B112,2,FALSE)="Projectile",Backdoors!N10,Backdoors!N9),0),"")</f>
        <v>3</v>
      </c>
      <c r="AA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W45&gt;=0.45,VLOOKUP(Calculator!E23,tbSkills!DH3:DI6,2,FALSE)+IF(AND(Calculator!B8=TRUE,Backdoors!BI6=TRUE),VLOOKUP(Calculator!E23,tbSkills!DH3:DJ6,3,FALSE),0),0))&gt;=100,100,(Backdoors!AI12+IF(W45&gt;=0.45,VLOOKUP(Calculator!E23,tbSkills!DH3:DI6,2,FALSE)+IF(AND(Calculator!B8=TRUE,Backdoors!BI6=TRUE),VLOOKUP(Calculator!E23,tbSkills!DH3:DJ6,3,FALSE),0),0)))/100)),1))*IF(VLOOKUP(A45,tbMoveset!A2:K112,11,FALSE)=TRUE,Backdoors!AC5,1))*X45,0),"")</f>
        <v>0</v>
      </c>
      <c r="AB45" s="49">
        <f>VLOOKUP(A45,tbMoveset!A2:G112,7,FALSE)*IFERROR(IF(Backdoors!AI12&gt;=0,1+(IF(Calculator!E40&gt;0,VLOOKUP(Calculator!E40,tbSkills!AI3:AJ5,2,FALSE),Backdoors!AL4)*(IF((Backdoors!AI12+IF(W45&gt;=0.45,VLOOKUP(Calculator!E23,tbSkills!DH3:DI6,2,FALSE)+IF(AND(Calculator!B8=TRUE,Backdoors!BI6=TRUE),VLOOKUP(Calculator!E23,tbSkills!DH3:DJ6,3,FALSE),0),0))&gt;=100,100,(Backdoors!AI12+IF(W45&gt;=0.45,VLOOKUP(Calculator!E23,tbSkills!DH3:DI6,2,FALSE)+IF(AND(Calculator!B8=TRUE,Backdoors!BI6=TRUE),VLOOKUP(Calculator!E23,tbSkills!DH3:DJ6,3,FALSE),0),0)))/100)),1),1)</f>
        <v>0.6</v>
      </c>
      <c r="AC45" s="87">
        <f t="shared" si="47"/>
        <v>3</v>
      </c>
      <c r="AD45" s="86">
        <f>IFERROR(IF(VLOOKUP(A45,tbMoveset!A2:B112,2,FALSE)="Sever",Backdoors!AY7/100,IF(VLOOKUP(A45,tbMoveset!A2:B112,2,FALSE)="Blunt",Backdoors!AZ7/100,Backdoors!BA7/100)),"")</f>
        <v>0.65</v>
      </c>
      <c r="AE45" s="49">
        <f>IFERROR(IF(VLOOKUP(tbMoveset!A45,tbMoveset!A2:H112,8,FALSE)="Other",IF(VLOOKUP(tbMoveset!A45,tbMoveset!A2:I112,9,FALSE)="Fire",Backdoors!BB7,IF(VLOOKUP(tbMoveset!A45,tbMoveset!A2:I112,9,FALSE)="Water",Backdoors!BC7,IF(VLOOKUP(tbMoveset!A45,tbMoveset!A2:I112,9,FALSE)="Thunder",Backdoors!BD7,IF(VLOOKUP(tbMoveset!A45,tbMoveset!A2:I112,9,FALSE)="Ice",Backdoors!BE7,IF(VLOOKUP(tbMoveset!A45,tbMoveset!A2:I112,9,FALSE)="Dragon",Backdoors!BF7,Backdoors!BG7)))))/100,Backdoors!BG7/100),"")</f>
        <v>0</v>
      </c>
      <c r="AF45" s="49">
        <f>IFERROR(IF(VLOOKUP(A45,tbMoveset!A2:J112,10,FALSE)=TRUE,IF((Backdoors!AI12+IF(AD45&gt;=0.45,VLOOKUP(Calculator!E23,tbSkills!DH3:DI6,2,FALSE)+IF(AND(Calculator!B8=TRUE,Backdoors!BI7=TRUE),VLOOKUP(Calculator!E23,tbSkills!DH3:DJ6,3,FALSE),0),0))&gt;=0,1+(Backdoors!AL2*(IF((Backdoors!AI12+IF(AD45&gt;=0.45,VLOOKUP(Calculator!E23,tbSkills!DH3:DI6,2,FALSE)+IF(AND(Calculator!B8=TRUE,Backdoors!BI7=TRUE),VLOOKUP(Calculator!E23,tbSkills!DH3:DJ6,3,FALSE),0),0))&gt;=100,100,(Backdoors!AI12+IF(AD45&gt;=0.45,VLOOKUP(Calculator!E23,tbSkills!DH3:DI6,2,FALSE)+IF(AND(Calculator!B8=TRUE,Backdoors!BI7=TRUE),VLOOKUP(Calculator!E23,tbSkills!DH3:DJ6,3,FALSE),0),0)))/100)),(1-(0.25*((-Backdoors!AI12-IF(AD45&gt;=0.45,VLOOKUP(Calculator!E23,tbSkills!DH3:DI6,2,FALSE)+IF(AND(Calculator!B8=TRUE,Backdoors!BI7=TRUE),VLOOKUP(Calculator!E23,tbSkills!DH3:DJ6,3,FALSE),0),0))/100)))),1),"")</f>
        <v>1</v>
      </c>
      <c r="AG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D45)*AF45)*(VLOOKUP(A45,tbMoveset!A2:C112,3,FALSE)/100)*IF(VLOOKUP(A45,tbMoveset!A2:B112,2,FALSE)="Projectile",Backdoors!N10,Backdoors!N9),0),"")</f>
        <v>4</v>
      </c>
      <c r="AH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D45&gt;=0.45,VLOOKUP(Calculator!E23,tbSkills!DH3:DI6,2,FALSE)+IF(AND(Calculator!B8=TRUE,Backdoors!BI7=TRUE),VLOOKUP(Calculator!E23,tbSkills!DH3:DJ6,3,FALSE),0),0))&gt;=100,100,(Backdoors!AI12+IF(AD45&gt;=0.45,VLOOKUP(Calculator!E23,tbSkills!DH3:DI6,2,FALSE)+IF(AND(Calculator!B8=TRUE,Backdoors!BI7=TRUE),VLOOKUP(Calculator!E23,tbSkills!DH3:DJ6,3,FALSE),0),0)))/100)),1))*IF(VLOOKUP(A45,tbMoveset!A2:K112,11,FALSE)=TRUE,Backdoors!AC5,1))*AE45,0),"")</f>
        <v>0</v>
      </c>
      <c r="AI45" s="49">
        <f>VLOOKUP(A45,tbMoveset!A2:G112,7,FALSE)*IFERROR(IF(Backdoors!AI12&gt;=0,1+(IF(Calculator!E40&gt;0,VLOOKUP(Calculator!E40,tbSkills!AI3:AJ5,2,FALSE),Backdoors!AL4)*(IF((Backdoors!AI12+IF(AD45&gt;=0.45,VLOOKUP(Calculator!E23,tbSkills!DH3:DI6,2,FALSE)+IF(AND(Calculator!B8=TRUE,Backdoors!BI7=TRUE),VLOOKUP(Calculator!E23,tbSkills!DH3:DJ6,3,FALSE),0),0))&gt;=100,100,(Backdoors!AI12+IF(AD45&gt;=0.45,VLOOKUP(Calculator!E23,tbSkills!DH3:DI6,2,FALSE)+IF(AND(Calculator!B8=TRUE,Backdoors!BI7=TRUE),VLOOKUP(Calculator!E23,tbSkills!DH3:DJ6,3,FALSE),0),0)))/100)),1),1)</f>
        <v>0.6</v>
      </c>
      <c r="AJ45" s="87">
        <f t="shared" si="48"/>
        <v>4</v>
      </c>
      <c r="AK45" s="91">
        <f>IFERROR(IF(VLOOKUP(A45,tbMoveset!A2:B112,2,FALSE)="Sever",Backdoors!AY8/100,IF(VLOOKUP(A45,tbMoveset!A2:B112,2,FALSE)="Blunt",Backdoors!AZ8/100,Backdoors!BA8/100)),"")</f>
        <v>0.45</v>
      </c>
      <c r="AL45" s="49">
        <f>IFERROR(IF(VLOOKUP(tbMoveset!A45,tbMoveset!A2:H112,8,FALSE)="Other",IF(VLOOKUP(tbMoveset!A45,tbMoveset!A2:I112,9,FALSE)="Fire",Backdoors!BB8,IF(VLOOKUP(tbMoveset!A45,tbMoveset!A2:I112,9,FALSE)="Water",Backdoors!BC8,IF(VLOOKUP(tbMoveset!A45,tbMoveset!A2:I112,9,FALSE)="Thunder",Backdoors!BD8,IF(VLOOKUP(tbMoveset!A45,tbMoveset!A2:I112,9,FALSE)="Ice",Backdoors!BE8,IF(VLOOKUP(tbMoveset!A45,tbMoveset!A2:I112,9,FALSE)="Dragon",Backdoors!BF8,Backdoors!BG8)))))/100,Backdoors!BG8/100),"")</f>
        <v>0</v>
      </c>
      <c r="AM45" s="49">
        <f>IFERROR(IF(VLOOKUP(A45,tbMoveset!A2:J112,10,FALSE)=TRUE,IF((Backdoors!AI12+IF(AK45&gt;=0.45,VLOOKUP(Calculator!E23,tbSkills!DH3:DI6,2,FALSE)+IF(AND(Calculator!B8=TRUE,Backdoors!BI8=TRUE),VLOOKUP(Calculator!E23,tbSkills!DH3:DJ6,3,FALSE),0),0))&gt;=0,1+(Backdoors!AL2*(IF((Backdoors!AI12+IF(AK45&gt;=0.45,VLOOKUP(Calculator!E23,tbSkills!DH3:DI6,2,FALSE)+IF(AND(Calculator!B8=TRUE,Backdoors!BI8=TRUE),VLOOKUP(Calculator!E23,tbSkills!DH3:DJ6,3,FALSE),0),0))&gt;=100,100,(Backdoors!AI12+IF(AK45&gt;=0.45,VLOOKUP(Calculator!E23,tbSkills!DH3:DI6,2,FALSE)+IF(AND(Calculator!B8=TRUE,Backdoors!BI8=TRUE),VLOOKUP(Calculator!E23,tbSkills!DH3:DJ6,3,FALSE),0),0)))/100)),(1-(0.25*((-Backdoors!AI12-IF(AK45&gt;=0.45,VLOOKUP(Calculator!E23,tbSkills!DH3:DI6,2,FALSE)+IF(AND(Calculator!B8=TRUE,Backdoors!BI8=TRUE),VLOOKUP(Calculator!E23,tbSkills!DH3:DJ6,3,FALSE),0),0))/100)))),1),"")</f>
        <v>1</v>
      </c>
      <c r="AN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K45)*AM45)*(VLOOKUP(A45,tbMoveset!A2:C112,3,FALSE)/100)*IF(VLOOKUP(A45,tbMoveset!A2:B112,2,FALSE)="Projectile",Backdoors!N10,Backdoors!N9),0),"")</f>
        <v>3</v>
      </c>
      <c r="AO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K45&gt;=0.45,VLOOKUP(Calculator!E23,tbSkills!DH3:DI6,2,FALSE)+IF(AND(Calculator!B8=TRUE,Backdoors!BI8=TRUE),VLOOKUP(Calculator!E23,tbSkills!DH3:DJ6,3,FALSE),0),0))&gt;=100,100,(Backdoors!AI12+IF(AK45&gt;=0.45,VLOOKUP(Calculator!E23,tbSkills!DH3:DI6,2,FALSE)+IF(AND(Calculator!B8=TRUE,Backdoors!BI8=TRUE),VLOOKUP(Calculator!E23,tbSkills!DH3:DJ6,3,FALSE),0),0)))/100)),1))*IF(VLOOKUP(A45,tbMoveset!A2:K112,11,FALSE)=TRUE,Backdoors!AC5,1))*AL45,0),"")</f>
        <v>0</v>
      </c>
      <c r="AP45" s="49">
        <f>VLOOKUP(A45,tbMoveset!A2:G112,7,FALSE)*IFERROR(IF(Backdoors!AI12&gt;=0,1+(IF(Calculator!E40&gt;0,VLOOKUP(Calculator!E40,tbSkills!AI3:AJ5,2,FALSE),Backdoors!AL4)*(IF((Backdoors!AI12+IF(AK45&gt;=0.45,VLOOKUP(Calculator!E23,tbSkills!DH3:DI6,2,FALSE)+IF(AND(Calculator!B8=TRUE,Backdoors!BI8=TRUE),VLOOKUP(Calculator!E23,tbSkills!DH3:DJ6,3,FALSE),0),0))&gt;=100,100,(Backdoors!AI12+IF(AK45&gt;=0.45,VLOOKUP(Calculator!E23,tbSkills!DH3:DI6,2,FALSE)+IF(AND(Calculator!B8=TRUE,Backdoors!BI8=TRUE),VLOOKUP(Calculator!E23,tbSkills!DH3:DJ6,3,FALSE),0),0)))/100)),1),1)</f>
        <v>0.6</v>
      </c>
      <c r="AQ45" s="87">
        <f t="shared" si="49"/>
        <v>3</v>
      </c>
      <c r="AR45" s="86">
        <f>IFERROR(IF(VLOOKUP(A45,tbMoveset!A2:B112,2,FALSE)="Sever",Backdoors!AY9/100,IF(VLOOKUP(A45,tbMoveset!A2:B112,2,FALSE)="Blunt",Backdoors!AZ9/100,Backdoors!BA9/100)),"")</f>
        <v>0.45</v>
      </c>
      <c r="AS45" s="49">
        <f>IFERROR(IF(VLOOKUP(tbMoveset!A45,tbMoveset!A2:H112,8,FALSE)="Other",IF(VLOOKUP(tbMoveset!A45,tbMoveset!A2:I112,9,FALSE)="Fire",Backdoors!BB9,IF(VLOOKUP(tbMoveset!A45,tbMoveset!A2:I112,9,FALSE)="Water",Backdoors!BC9,IF(VLOOKUP(tbMoveset!A45,tbMoveset!A2:I112,9,FALSE)="Thunder",Backdoors!BD9,IF(VLOOKUP(tbMoveset!A45,tbMoveset!A2:I112,9,FALSE)="Ice",Backdoors!BE9,IF(VLOOKUP(tbMoveset!A45,tbMoveset!A2:I112,9,FALSE)="Dragon",Backdoors!BF9,Backdoors!BG9)))))/100,Backdoors!BG9/100),"")</f>
        <v>0</v>
      </c>
      <c r="AT45" s="49">
        <f>IFERROR(IF(VLOOKUP(A45,tbMoveset!A2:J112,10,FALSE)=TRUE,IF((Backdoors!AI12+IF(AR45&gt;=0.45,VLOOKUP(Calculator!E23,tbSkills!DH3:DI6,2,FALSE)+IF(AND(Calculator!B8=TRUE,Backdoors!BI9=TRUE),VLOOKUP(Calculator!E23,tbSkills!DH3:DJ6,3,FALSE),0),0))&gt;=0,1+(Backdoors!AL2*(IF((Backdoors!AI12+IF(AR45&gt;=0.45,VLOOKUP(Calculator!E23,tbSkills!DH3:DI6,2,FALSE)+IF(AND(Calculator!B8=TRUE,Backdoors!BI9=TRUE),VLOOKUP(Calculator!E23,tbSkills!DH3:DJ6,3,FALSE),0),0))&gt;=100,100,(Backdoors!AI12+IF(AR45&gt;=0.45,VLOOKUP(Calculator!E23,tbSkills!DH3:DI6,2,FALSE)+IF(AND(Calculator!B8=TRUE,Backdoors!BI9=TRUE),VLOOKUP(Calculator!E23,tbSkills!DH3:DJ6,3,FALSE),0),0)))/100)),(1-(0.25*((-Backdoors!AI12-IF(AR45&gt;=0.45,VLOOKUP(Calculator!E23,tbSkills!DH3:DI6,2,FALSE)+IF(AND(Calculator!B8=TRUE,Backdoors!BI9=TRUE),VLOOKUP(Calculator!E23,tbSkills!DH3:DJ6,3,FALSE),0),0))/100)))),1),"")</f>
        <v>1</v>
      </c>
      <c r="AU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R45)*AT45)*(VLOOKUP(A45,tbMoveset!A2:C112,3,FALSE)/100)*IF(VLOOKUP(A45,tbMoveset!A2:B112,2,FALSE)="Projectile",Backdoors!N10,Backdoors!N9),0),"")</f>
        <v>3</v>
      </c>
      <c r="AV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R45&gt;=0.45,VLOOKUP(Calculator!E23,tbSkills!DH3:DI6,2,FALSE)+IF(AND(Calculator!B8=TRUE,Backdoors!BI9=TRUE),VLOOKUP(Calculator!E23,tbSkills!DH3:DJ6,3,FALSE),0),0))&gt;=100,100,(Backdoors!AI12+IF(AR45&gt;=0.45,VLOOKUP(Calculator!E23,tbSkills!DH3:DI6,2,FALSE)+IF(AND(Calculator!B8=TRUE,Backdoors!BI9=TRUE),VLOOKUP(Calculator!E23,tbSkills!DH3:DJ6,3,FALSE),0),0)))/100)),1))*IF(VLOOKUP(A45,tbMoveset!A2:K112,11,FALSE)=TRUE,Backdoors!AC5,1))*AS45,0),"")</f>
        <v>0</v>
      </c>
      <c r="AW45" s="49">
        <f>VLOOKUP(A45,tbMoveset!A2:G112,7,FALSE)*IFERROR(IF(Backdoors!AI12&gt;=0,1+(IF(Calculator!E40&gt;0,VLOOKUP(Calculator!E40,tbSkills!AI3:AJ5,2,FALSE),Backdoors!AL4)*(IF((Backdoors!AI12+IF(AR45&gt;=0.45,VLOOKUP(Calculator!E23,tbSkills!DH3:DI6,2,FALSE)+IF(AND(Calculator!B8=TRUE,Backdoors!BI9=TRUE),VLOOKUP(Calculator!E23,tbSkills!DH3:DJ6,3,FALSE),0),0))&gt;=100,100,(Backdoors!AI12+IF(AR45&gt;=0.45,VLOOKUP(Calculator!E23,tbSkills!DH3:DI6,2,FALSE)+IF(AND(Calculator!B8=TRUE,Backdoors!BI9=TRUE),VLOOKUP(Calculator!E23,tbSkills!DH3:DJ6,3,FALSE),0),0)))/100)),1),1)</f>
        <v>0.6</v>
      </c>
      <c r="AX45" s="87">
        <f t="shared" si="50"/>
        <v>3</v>
      </c>
      <c r="AY45" s="86">
        <f>IFERROR(IF(VLOOKUP(A45,tbMoveset!A2:B112,2,FALSE)="Sever",Backdoors!AY10/100,IF(VLOOKUP(A45,tbMoveset!A2:B112,2,FALSE)="Blunt",Backdoors!AZ10/100,Backdoors!BA10/100)),"")</f>
        <v>0.9</v>
      </c>
      <c r="AZ45" s="49">
        <f>IFERROR(IF(VLOOKUP(tbMoveset!A45,tbMoveset!A2:H112,8,FALSE)="Other",IF(VLOOKUP(tbMoveset!A45,tbMoveset!A2:I112,9,FALSE)="Fire",Backdoors!BB10,IF(VLOOKUP(tbMoveset!A45,tbMoveset!A2:I112,9,FALSE)="Water",Backdoors!BC10,IF(VLOOKUP(tbMoveset!A45,tbMoveset!A2:I112,9,FALSE)="Thunder",Backdoors!BD10,IF(VLOOKUP(tbMoveset!A45,tbMoveset!A2:I112,9,FALSE)="Ice",Backdoors!BE10,IF(VLOOKUP(tbMoveset!A45,tbMoveset!A2:I112,9,FALSE)="Dragon",Backdoors!BF10,Backdoors!BG10)))))/100,Backdoors!BG10/100),"")</f>
        <v>0</v>
      </c>
      <c r="BA45" s="49">
        <f>IFERROR(IF(VLOOKUP(A45,tbMoveset!A2:J112,10,FALSE)=TRUE,IF((Backdoors!AI12+IF(AY45&gt;=0.45,VLOOKUP(Calculator!E23,tbSkills!DH3:DI6,2,FALSE)+IF(AND(Calculator!B8=TRUE,Backdoors!BI10=TRUE),VLOOKUP(Calculator!E23,tbSkills!DH3:DJ6,3,FALSE),0),0))&gt;=0,1+(Backdoors!AL2*(IF((Backdoors!AI12+IF(AY45&gt;=0.45,VLOOKUP(Calculator!E23,tbSkills!DH3:DI6,2,FALSE)+IF(AND(Calculator!B8=TRUE,Backdoors!BI10=TRUE),VLOOKUP(Calculator!E23,tbSkills!DH3:DJ6,3,FALSE),0),0))&gt;=100,100,(Backdoors!AI12+IF(AY45&gt;=0.45,VLOOKUP(Calculator!E23,tbSkills!DH3:DI6,2,FALSE)+IF(AND(Calculator!B8=TRUE,Backdoors!BI10=TRUE),VLOOKUP(Calculator!E23,tbSkills!DH3:DJ6,3,FALSE),0),0)))/100)),(1-(0.25*((-Backdoors!AI12-IF(AY45&gt;=0.45,VLOOKUP(Calculator!E23,tbSkills!DH3:DI6,2,FALSE)+IF(AND(Calculator!B8=TRUE,Backdoors!BI10=TRUE),VLOOKUP(Calculator!E23,tbSkills!DH3:DJ6,3,FALSE),0),0))/100)))),1),"")</f>
        <v>1</v>
      </c>
      <c r="BB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Y45)*BA45)*(VLOOKUP(A45,tbMoveset!A2:C112,3,FALSE)/100)*IF(VLOOKUP(A45,tbMoveset!A2:B112,2,FALSE)="Projectile",Backdoors!N10,Backdoors!N9),0),"")</f>
        <v>5</v>
      </c>
      <c r="BC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Y45&gt;=0.45,VLOOKUP(Calculator!E23,tbSkills!DH3:DI6,2,FALSE)+IF(AND(Calculator!B8=TRUE,Backdoors!BI10=TRUE),VLOOKUP(Calculator!E23,tbSkills!DH3:DJ6,3,FALSE),0),0))&gt;=100,100,(Backdoors!AI12+IF(AY45&gt;=0.45,VLOOKUP(Calculator!E23,tbSkills!DH3:DI6,2,FALSE)+IF(AND(Calculator!B8=TRUE,Backdoors!BI10=TRUE),VLOOKUP(Calculator!E23,tbSkills!DH3:DJ6,3,FALSE),0),0)))/100)),1))*IF(VLOOKUP(A45,tbMoveset!A2:K112,11,FALSE)=TRUE,Backdoors!AC5,1))*AZ45,0),"")</f>
        <v>0</v>
      </c>
      <c r="BD45" s="49">
        <f>VLOOKUP(A45,tbMoveset!A2:G112,7,FALSE)*IFERROR(IF(Backdoors!AI12&gt;=0,1+(IF(Calculator!E40&gt;0,VLOOKUP(Calculator!E40,tbSkills!AI3:AJ5,2,FALSE),Backdoors!AL4)*(IF((Backdoors!AI12+IF(AY45&gt;=0.45,VLOOKUP(Calculator!E23,tbSkills!DH3:DI6,2,FALSE)+IF(AND(Calculator!B8=TRUE,Backdoors!BI10=TRUE),VLOOKUP(Calculator!E23,tbSkills!DH3:DJ6,3,FALSE),0),0))&gt;=100,100,(Backdoors!AI12+IF(AY45&gt;=0.45,VLOOKUP(Calculator!E23,tbSkills!DH3:DI6,2,FALSE)+IF(AND(Calculator!B8=TRUE,Backdoors!BI10=TRUE),VLOOKUP(Calculator!E23,tbSkills!DH3:DJ6,3,FALSE),0),0)))/100)),1),1)</f>
        <v>0.6</v>
      </c>
      <c r="BE45" s="87">
        <f t="shared" si="3"/>
        <v>5</v>
      </c>
      <c r="BF45" s="86" t="str">
        <f>IFERROR(IF(VLOOKUP(A45,tbMoveset!A2:B112,2,FALSE)="Sever",Backdoors!AY11/100,IF(VLOOKUP(A45,tbMoveset!A2:B112,2,FALSE)="Blunt",Backdoors!AZ11/100,Backdoors!BA11/100)),"")</f>
        <v/>
      </c>
      <c r="BG45" s="49">
        <f>IFERROR(IF(VLOOKUP(tbMoveset!A45,tbMoveset!A2:H112,8,FALSE)="Other",IF(VLOOKUP(tbMoveset!A45,tbMoveset!A2:I112,9,FALSE)="Fire",Backdoors!BB11,IF(VLOOKUP(tbMoveset!A45,tbMoveset!A2:I112,9,FALSE)="Water",Backdoors!BC11,IF(VLOOKUP(tbMoveset!A45,tbMoveset!A2:I112,9,FALSE)="Thunder",Backdoors!BD11,IF(VLOOKUP(tbMoveset!A45,tbMoveset!A2:I112,9,FALSE)="Ice",Backdoors!BE11,IF(VLOOKUP(tbMoveset!A45,tbMoveset!A2:I112,9,FALSE)="Dragon",Backdoors!BF11,Backdoors!BG11)))))/100,Backdoors!BG11/100),"")</f>
        <v>0</v>
      </c>
      <c r="BH45" s="49">
        <f>IFERROR(IF(VLOOKUP(A45,tbMoveset!A2:J112,10,FALSE)=TRUE,IF((Backdoors!AI12+IF(BF45&gt;=0.45,VLOOKUP(Calculator!E23,tbSkills!DH3:DI6,2,FALSE)+IF(AND(Calculator!B8=TRUE,Backdoors!BI11=TRUE),VLOOKUP(Calculator!E23,tbSkills!DH3:DJ6,3,FALSE),0),0))&gt;=0,1+(Backdoors!AL2*(IF((Backdoors!AI12+IF(BF45&gt;=0.45,VLOOKUP(Calculator!E23,tbSkills!DH3:DI6,2,FALSE)+IF(AND(Calculator!B8=TRUE,Backdoors!BI11=TRUE),VLOOKUP(Calculator!E23,tbSkills!DH3:DJ6,3,FALSE),0),0))&gt;=100,100,(Backdoors!AI12+IF(BF45&gt;=0.45,VLOOKUP(Calculator!E23,tbSkills!DH3:DI6,2,FALSE)+IF(AND(Calculator!B8=TRUE,Backdoors!BI11=TRUE),VLOOKUP(Calculator!E23,tbSkills!DH3:DJ6,3,FALSE),0),0)))/100)),(1-(0.25*((-Backdoors!AI12-IF(BF45&gt;=0.45,VLOOKUP(Calculator!E23,tbSkills!DH3:DI6,2,FALSE)+IF(AND(Calculator!B8=TRUE,Backdoors!BI11=TRUE),VLOOKUP(Calculator!E23,tbSkills!DH3:DJ6,3,FALSE),0),0))/100)))),1),"")</f>
        <v>1</v>
      </c>
      <c r="BI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F45)*BH45)*(VLOOKUP(A45,tbMoveset!A2:C112,3,FALSE)/100)*IF(VLOOKUP(A45,tbMoveset!A2:B112,2,FALSE)="Projectile",Backdoors!N10,Backdoors!N9),0),"")</f>
        <v/>
      </c>
      <c r="BJ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F45&gt;=0.45,VLOOKUP(Calculator!E23,tbSkills!DH3:DI6,2,FALSE)+IF(AND(Calculator!B8=TRUE,Backdoors!BI11=TRUE),VLOOKUP(Calculator!E23,tbSkills!DH3:DJ6,3,FALSE),0),0))&gt;=100,100,(Backdoors!AI12+IF(BF45&gt;=0.45,VLOOKUP(Calculator!E23,tbSkills!DH3:DI6,2,FALSE)+IF(AND(Calculator!B8=TRUE,Backdoors!BI11=TRUE),VLOOKUP(Calculator!E23,tbSkills!DH3:DJ6,3,FALSE),0),0)))/100)),1))*IF(VLOOKUP(A45,tbMoveset!A2:K112,11,FALSE)=TRUE,Backdoors!AC5,1))*BG45,0),"")</f>
        <v>0</v>
      </c>
      <c r="BK45" s="49">
        <f>VLOOKUP(A45,tbMoveset!A2:G112,7,FALSE)*IFERROR(IF(Backdoors!AI12&gt;=0,1+(IF(Calculator!E40&gt;0,VLOOKUP(Calculator!E40,tbSkills!AI3:AJ5,2,FALSE),Backdoors!AL4)*(IF((Backdoors!AI12+IF(BF45&gt;=0.45,VLOOKUP(Calculator!E23,tbSkills!DH3:DI6,2,FALSE)+IF(AND(Calculator!B8=TRUE,Backdoors!BI11=TRUE),VLOOKUP(Calculator!E23,tbSkills!DH3:DJ6,3,FALSE),0),0))&gt;=100,100,(Backdoors!AI12+IF(BF45&gt;=0.45,VLOOKUP(Calculator!E23,tbSkills!DH3:DI6,2,FALSE)+IF(AND(Calculator!B8=TRUE,Backdoors!BI11=TRUE),VLOOKUP(Calculator!E23,tbSkills!DH3:DJ6,3,FALSE),0),0)))/100)),1),1)</f>
        <v>0.6</v>
      </c>
      <c r="BL45" s="87">
        <f t="shared" si="4"/>
        <v>0</v>
      </c>
      <c r="BM45" s="86" t="str">
        <f>IFERROR(IF(VLOOKUP(A45,tbMoveset!A2:B112,2,FALSE)="Sever",Backdoors!AY12/100,IF(VLOOKUP(A45,tbMoveset!A2:B112,2,FALSE)="Blunt",Backdoors!AZ12/100,Backdoors!BA12/100)),"")</f>
        <v/>
      </c>
      <c r="BN45" s="49">
        <f>IFERROR(IF(VLOOKUP(tbMoveset!A45,tbMoveset!A2:H112,8,FALSE)="Other",IF(VLOOKUP(tbMoveset!A45,tbMoveset!A2:I112,9,FALSE)="Fire",Backdoors!BB12,IF(VLOOKUP(tbMoveset!A45,tbMoveset!A2:I112,9,FALSE)="Water",Backdoors!BC12,IF(VLOOKUP(tbMoveset!A45,tbMoveset!A2:I112,9,FALSE)="Thunder",Backdoors!BD12,IF(VLOOKUP(tbMoveset!A45,tbMoveset!A2:I112,9,FALSE)="Ice",Backdoors!BE12,IF(VLOOKUP(tbMoveset!A45,tbMoveset!A2:I112,9,FALSE)="Dragon",Backdoors!BF12,Backdoors!BG12)))))/100,Backdoors!BG12/100),"")</f>
        <v>0</v>
      </c>
      <c r="BO45" s="49">
        <f>IFERROR(IF(VLOOKUP(A45,tbMoveset!A2:J112,10,FALSE)=TRUE,IF((Backdoors!AI12+IF(BM45&gt;=0.45,VLOOKUP(Calculator!E23,tbSkills!DH3:DI6,2,FALSE)+IF(AND(Calculator!B8=TRUE,Backdoors!BI12=TRUE),VLOOKUP(Calculator!E23,tbSkills!DH3:DJ6,3,FALSE),0),0))&gt;=0,1+(Backdoors!AL2*(IF((Backdoors!AI12+IF(BM45&gt;=0.45,VLOOKUP(Calculator!E23,tbSkills!DH3:DI6,2,FALSE)+IF(AND(Calculator!B8=TRUE,Backdoors!BI12=TRUE),VLOOKUP(Calculator!E23,tbSkills!DH3:DJ6,3,FALSE),0),0))&gt;=100,100,(Backdoors!AI12+IF(BM45&gt;=0.45,VLOOKUP(Calculator!E23,tbSkills!DH3:DI6,2,FALSE)+IF(AND(Calculator!B8=TRUE,Backdoors!BI12=TRUE),VLOOKUP(Calculator!E23,tbSkills!DH3:DJ6,3,FALSE),0),0)))/100)),(1-(0.25*((-Backdoors!AI12-IF(BM45&gt;=0.45,VLOOKUP(Calculator!E23,tbSkills!DH3:DI6,2,FALSE)+IF(AND(Calculator!B8=TRUE,Backdoors!BI12=TRUE),VLOOKUP(Calculator!E23,tbSkills!DH3:DJ6,3,FALSE),0),0))/100)))),1),"")</f>
        <v>1</v>
      </c>
      <c r="BP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M45)*BO45)*(VLOOKUP(A45,tbMoveset!A2:C112,3,FALSE)/100)*IF(VLOOKUP(A45,tbMoveset!A2:B112,2,FALSE)="Projectile",Backdoors!N10,Backdoors!N9),0),"")</f>
        <v/>
      </c>
      <c r="BQ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M45&gt;=0.45,VLOOKUP(Calculator!E23,tbSkills!DH3:DI6,2,FALSE)+IF(AND(Calculator!B8=TRUE,Backdoors!BI12=TRUE),VLOOKUP(Calculator!E23,tbSkills!DH3:DJ6,3,FALSE),0),0))&gt;=100,100,(Backdoors!AI12+IF(BM45&gt;=0.45,VLOOKUP(Calculator!E23,tbSkills!DH3:DI6,2,FALSE)+IF(AND(Calculator!B8=TRUE,Backdoors!BI12=TRUE),VLOOKUP(Calculator!E23,tbSkills!DH3:DJ6,3,FALSE),0),0)))/100)),1))*IF(VLOOKUP(A45,tbMoveset!A2:K112,11,FALSE)=TRUE,Backdoors!AC5,1))*BN45,0),"")</f>
        <v>0</v>
      </c>
      <c r="BR45" s="49">
        <f>VLOOKUP(A45,tbMoveset!A2:G112,7,FALSE)*IFERROR(IF(Backdoors!AI12&gt;=0,1+(IF(Calculator!E40&gt;0,VLOOKUP(Calculator!E40,tbSkills!AI3:AJ5,2,FALSE),Backdoors!AL4)*(IF((Backdoors!AI12+IF(BM45&gt;=0.45,VLOOKUP(Calculator!E23,tbSkills!DH3:DI6,2,FALSE)+IF(AND(Calculator!B8=TRUE,Backdoors!BI12=TRUE),VLOOKUP(Calculator!E23,tbSkills!DH3:DJ6,3,FALSE),0),0))&gt;=100,100,(Backdoors!AI12+IF(BM45&gt;=0.45,VLOOKUP(Calculator!E23,tbSkills!DH3:DI6,2,FALSE)+IF(AND(Calculator!B8=TRUE,Backdoors!BI12=TRUE),VLOOKUP(Calculator!E23,tbSkills!DH3:DJ6,3,FALSE),0),0)))/100)),1),1)</f>
        <v>0.6</v>
      </c>
      <c r="BS45" s="87">
        <f t="shared" si="39"/>
        <v>0</v>
      </c>
      <c r="BT45" s="86" t="str">
        <f>IFERROR(IF(VLOOKUP(A45,tbMoveset!A2:B112,2,FALSE)="Sever",Backdoors!AY13/100,IF(VLOOKUP(A45,tbMoveset!A2:B112,2,FALSE)="Blunt",Backdoors!AZ13/100,Backdoors!BA13/100)),"")</f>
        <v/>
      </c>
      <c r="BU45" s="49">
        <f>IFERROR(IF(VLOOKUP(tbMoveset!A45,tbMoveset!A2:H112,8,FALSE)="Other",IF(VLOOKUP(tbMoveset!A45,tbMoveset!A2:I112,9,FALSE)="Fire",Backdoors!BB13,IF(VLOOKUP(tbMoveset!A45,tbMoveset!A2:I112,9,FALSE)="Water",Backdoors!BC13,IF(VLOOKUP(tbMoveset!A45,tbMoveset!A2:I112,9,FALSE)="Thunder",Backdoors!BD13,IF(VLOOKUP(tbMoveset!A45,tbMoveset!A2:I112,9,FALSE)="Ice",Backdoors!BE13,IF(VLOOKUP(tbMoveset!A45,tbMoveset!A2:I112,9,FALSE)="Dragon",Backdoors!BF13,Backdoors!BG13)))))/100,Backdoors!BG13/100),"")</f>
        <v>0</v>
      </c>
      <c r="BV45" s="49">
        <f>IFERROR(IF(VLOOKUP(A45,tbMoveset!A2:J112,10,FALSE)=TRUE,IF((Backdoors!AI12+IF(BT45&gt;=0.45,VLOOKUP(Calculator!E23,tbSkills!DH3:DI6,2,FALSE)+IF(AND(Calculator!B8=TRUE,Backdoors!BI13=TRUE),VLOOKUP(Calculator!E23,tbSkills!DH3:DJ6,3,FALSE),0),0))&gt;=0,1+(Backdoors!AL2*(IF((Backdoors!AI12+IF(BT45&gt;=0.45,VLOOKUP(Calculator!E23,tbSkills!DH3:DI6,2,FALSE)+IF(AND(Calculator!B8=TRUE,Backdoors!BI13=TRUE),VLOOKUP(Calculator!E23,tbSkills!DH3:DJ6,3,FALSE),0),0))&gt;=100,100,(Backdoors!AI12+IF(BT45&gt;=0.45,VLOOKUP(Calculator!E23,tbSkills!DH3:DI6,2,FALSE)+IF(AND(Calculator!B8=TRUE,Backdoors!BI13=TRUE),VLOOKUP(Calculator!E23,tbSkills!DH3:DJ6,3,FALSE),0),0)))/100)),(1-(0.25*((-Backdoors!AI12-IF(BT45&gt;=0.45,VLOOKUP(Calculator!E23,tbSkills!DH3:DI6,2,FALSE)+IF(AND(Calculator!B8=TRUE,Backdoors!BI13=TRUE),VLOOKUP(Calculator!E23,tbSkills!DH3:DJ6,3,FALSE),0),0))/100)))),1),"")</f>
        <v>1</v>
      </c>
      <c r="BW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T45)*BV45)*(VLOOKUP(A45,tbMoveset!A2:C112,3,FALSE)/100)*IF(VLOOKUP(A45,tbMoveset!A2:B112,2,FALSE)="Projectile",Backdoors!N10,Backdoors!N9),0),"")</f>
        <v/>
      </c>
      <c r="BX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T45&gt;=0.45,VLOOKUP(Calculator!E23,tbSkills!DH3:DI6,2,FALSE)+IF(AND(Calculator!B8=TRUE,Backdoors!BI13=TRUE),VLOOKUP(Calculator!E23,tbSkills!DH3:DJ6,3,FALSE),0),0))&gt;=100,100,(Backdoors!AI12+IF(BT45&gt;=0.45,VLOOKUP(Calculator!E23,tbSkills!DH3:DI6,2,FALSE)+IF(AND(Calculator!B8=TRUE,Backdoors!BI13=TRUE),VLOOKUP(Calculator!E23,tbSkills!DH3:DJ6,3,FALSE),0),0)))/100)),1))*IF(VLOOKUP(A45,tbMoveset!A2:K112,11,FALSE)=TRUE,Backdoors!AC5,1))*BU45,0),"")</f>
        <v>0</v>
      </c>
      <c r="BY45" s="49">
        <f>VLOOKUP(A45,tbMoveset!A2:G112,7,FALSE)*IFERROR(IF(Backdoors!AI12&gt;=0,1+(IF(Calculator!E40&gt;0,VLOOKUP(Calculator!E40,tbSkills!AI3:AJ5,2,FALSE),Backdoors!AL4)*(IF((Backdoors!AI12+IF(BT45&gt;=0.45,VLOOKUP(Calculator!E23,tbSkills!DH3:DI6,2,FALSE)+IF(AND(Calculator!B8=TRUE,Backdoors!BI13=TRUE),VLOOKUP(Calculator!E23,tbSkills!DH3:DJ6,3,FALSE),0),0))&gt;=100,100,(Backdoors!AI12+IF(BT45&gt;=0.45,VLOOKUP(Calculator!E23,tbSkills!DH3:DI6,2,FALSE)+IF(AND(Calculator!B8=TRUE,Backdoors!BI13=TRUE),VLOOKUP(Calculator!E23,tbSkills!DH3:DJ6,3,FALSE),0),0)))/100)),1),1)</f>
        <v>0.6</v>
      </c>
      <c r="BZ45" s="87">
        <f t="shared" si="5"/>
        <v>0</v>
      </c>
      <c r="CA45" s="86" t="str">
        <f>IFERROR(IF(VLOOKUP(A45,tbMoveset!A2:B112,2,FALSE)="Sever",Backdoors!AY14/100,IF(VLOOKUP(A45,tbMoveset!A2:B112,2,FALSE)="Blunt",Backdoors!AZ14/100,Backdoors!BA14/100)),"")</f>
        <v/>
      </c>
      <c r="CB45" s="49">
        <f>IFERROR(IF(VLOOKUP(tbMoveset!A45,tbMoveset!A2:H112,8,FALSE)="Other",IF(VLOOKUP(tbMoveset!A45,tbMoveset!A2:I112,9,FALSE)="Fire",Backdoors!BB14,IF(VLOOKUP(tbMoveset!A45,tbMoveset!A2:I112,9,FALSE)="Water",Backdoors!BC14,IF(VLOOKUP(tbMoveset!A45,tbMoveset!A2:I112,9,FALSE)="Thunder",Backdoors!BD14,IF(VLOOKUP(tbMoveset!A45,tbMoveset!A2:I112,9,FALSE)="Ice",Backdoors!BE14,IF(VLOOKUP(tbMoveset!A45,tbMoveset!A2:I112,9,FALSE)="Dragon",Backdoors!BF14,Backdoors!BG14)))))/100,Backdoors!BG14/100),"")</f>
        <v>0</v>
      </c>
      <c r="CC45" s="49">
        <f>IFERROR(IF(VLOOKUP(A45,tbMoveset!A2:J112,10,FALSE)=TRUE,IF((Backdoors!AI12+IF(CA45&gt;=0.45,VLOOKUP(Calculator!E23,tbSkills!DH3:DI6,2,FALSE)+IF(AND(Calculator!B8=TRUE,Backdoors!BI14=TRUE),VLOOKUP(Calculator!E23,tbSkills!DH3:DJ6,3,FALSE),0),0))&gt;=0,1+(Backdoors!AL2*(IF((Backdoors!AI12+IF(CA45&gt;=0.45,VLOOKUP(Calculator!E23,tbSkills!DH3:DI6,2,FALSE)+IF(AND(Calculator!B8=TRUE,Backdoors!BI14=TRUE),VLOOKUP(Calculator!E23,tbSkills!DH3:DJ6,3,FALSE),0),0))&gt;=100,100,(Backdoors!AI12+IF(CA45&gt;=0.45,VLOOKUP(Calculator!E23,tbSkills!DH3:DI6,2,FALSE)+IF(AND(Calculator!B8=TRUE,Backdoors!BI14=TRUE),VLOOKUP(Calculator!E23,tbSkills!DH3:DJ6,3,FALSE),0),0)))/100)),(1-(0.25*((-Backdoors!AI12-IF(CA45&gt;=0.45,VLOOKUP(Calculator!E23,tbSkills!DH3:DI6,2,FALSE)+IF(AND(Calculator!B8=TRUE,Backdoors!BI14=TRUE),VLOOKUP(Calculator!E23,tbSkills!DH3:DJ6,3,FALSE),0),0))/100)))),1),"")</f>
        <v>1</v>
      </c>
      <c r="CD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A45)*CC45)*(VLOOKUP(A45,tbMoveset!A2:C112,3,FALSE)/100)*IF(VLOOKUP(A45,tbMoveset!A2:B112,2,FALSE)="Projectile",Backdoors!N10,Backdoors!N9),0),"")</f>
        <v/>
      </c>
      <c r="CE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A45&gt;=0.45,VLOOKUP(Calculator!E23,tbSkills!DH3:DI6,2,FALSE)+IF(AND(Calculator!B8=TRUE,Backdoors!BI14=TRUE),VLOOKUP(Calculator!E23,tbSkills!DH3:DJ6,3,FALSE),0),0))&gt;=100,100,(Backdoors!AI12+IF(CA45&gt;=0.45,VLOOKUP(Calculator!E23,tbSkills!DH3:DI6,2,FALSE)+IF(AND(Calculator!B8=TRUE,Backdoors!BI14=TRUE),VLOOKUP(Calculator!E23,tbSkills!DH3:DJ6,3,FALSE),0),0)))/100)),1))*IF(VLOOKUP(A45,tbMoveset!A2:K112,11,FALSE)=TRUE,Backdoors!AC5,1))*CB45,0),"")</f>
        <v>0</v>
      </c>
      <c r="CF45" s="49">
        <f>VLOOKUP(A45,tbMoveset!A2:G112,7,FALSE)*IFERROR(IF(Backdoors!AI12&gt;=0,1+(IF(Calculator!E40&gt;0,VLOOKUP(Calculator!E40,tbSkills!AI3:AJ5,2,FALSE),Backdoors!AL4)*(IF((Backdoors!AI12+IF(CA45&gt;=0.45,VLOOKUP(Calculator!E23,tbSkills!DH3:DI6,2,FALSE)+IF(AND(Calculator!B8=TRUE,Backdoors!BI14=TRUE),VLOOKUP(Calculator!E23,tbSkills!DH3:DJ6,3,FALSE),0),0))&gt;=100,100,(Backdoors!AI12+IF(CA45&gt;=0.45,VLOOKUP(Calculator!E23,tbSkills!DH3:DI6,2,FALSE)+IF(AND(Calculator!B8=TRUE,Backdoors!BI14=TRUE),VLOOKUP(Calculator!E23,tbSkills!DH3:DJ6,3,FALSE),0),0)))/100)),1),1)</f>
        <v>0.6</v>
      </c>
      <c r="CG45" s="87">
        <f t="shared" si="6"/>
        <v>0</v>
      </c>
      <c r="CH45" s="86" t="str">
        <f>IFERROR(IF(VLOOKUP(A45,tbMoveset!A2:B112,2,FALSE)="Sever",Backdoors!AY15/100,IF(VLOOKUP(A45,tbMoveset!A2:B112,2,FALSE)="Blunt",Backdoors!AZ15/100,Backdoors!BA15/100)),"")</f>
        <v/>
      </c>
      <c r="CI45" s="49">
        <f>IFERROR(IF(VLOOKUP(tbMoveset!A45,tbMoveset!A2:H112,8,FALSE)="Other",IF(VLOOKUP(tbMoveset!A45,tbMoveset!A2:I112,9,FALSE)="Fire",Backdoors!BB15,IF(VLOOKUP(tbMoveset!A45,tbMoveset!A2:I112,9,FALSE)="Water",Backdoors!BC15,IF(VLOOKUP(tbMoveset!A45,tbMoveset!A2:I112,9,FALSE)="Thunder",Backdoors!BD15,IF(VLOOKUP(tbMoveset!A45,tbMoveset!A2:I112,9,FALSE)="Ice",Backdoors!BE15,IF(VLOOKUP(tbMoveset!A45,tbMoveset!A2:I112,9,FALSE)="Dragon",Backdoors!BF15,Backdoors!BG15)))))/100,Backdoors!BG15/100),"")</f>
        <v>0</v>
      </c>
      <c r="CJ45" s="49">
        <f>IFERROR(IF(VLOOKUP(A45,tbMoveset!A2:J112,10,FALSE)=TRUE,IF((Backdoors!AI12+IF(CH45&gt;=0.45,VLOOKUP(Calculator!E23,tbSkills!DH3:DI6,2,FALSE)+IF(AND(Calculator!B8=TRUE,Backdoors!BI15=TRUE),VLOOKUP(Calculator!E23,tbSkills!DH3:DJ6,3,FALSE),0),0))&gt;=0,1+(Backdoors!AL2*(IF((Backdoors!AI12+IF(CH45&gt;=0.45,VLOOKUP(Calculator!E23,tbSkills!DH3:DI6,2,FALSE)+IF(AND(Calculator!B8=TRUE,Backdoors!BI15=TRUE),VLOOKUP(Calculator!E23,tbSkills!DH3:DJ6,3,FALSE),0),0))&gt;=100,100,(Backdoors!AI12+IF(CH45&gt;=0.45,VLOOKUP(Calculator!E23,tbSkills!DH3:DI6,2,FALSE)+IF(AND(Calculator!B8=TRUE,Backdoors!BI15=TRUE),VLOOKUP(Calculator!E23,tbSkills!DH3:DJ6,3,FALSE),0),0)))/100)),(1-(0.25*((-Backdoors!AI12-IF(CH45&gt;=0.45,VLOOKUP(Calculator!E23,tbSkills!DH3:DI6,2,FALSE)+IF(AND(Calculator!B8=TRUE,Backdoors!BI15=TRUE),VLOOKUP(Calculator!E23,tbSkills!DH3:DJ6,3,FALSE),0),0))/100)))),1),"")</f>
        <v>1</v>
      </c>
      <c r="CK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H45)*CJ45)*(VLOOKUP(A45,tbMoveset!A2:C112,3,FALSE)/100)*IF(VLOOKUP(A45,tbMoveset!A2:B112,2,FALSE)="Projectile",Backdoors!N10,Backdoors!N9),0),"")</f>
        <v/>
      </c>
      <c r="CL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H45&gt;=0.45,VLOOKUP(Calculator!E23,tbSkills!DH3:DI6,2,FALSE)+IF(AND(Calculator!B8=TRUE,Backdoors!BI15=TRUE),VLOOKUP(Calculator!E23,tbSkills!DH3:DJ6,3,FALSE),0),0))&gt;=100,100,(Backdoors!AI12+IF(CH45&gt;=0.45,VLOOKUP(Calculator!E23,tbSkills!DH3:DI6,2,FALSE)+IF(AND(Calculator!B8=TRUE,Backdoors!BI15=TRUE),VLOOKUP(Calculator!E23,tbSkills!DH3:DJ6,3,FALSE),0),0)))/100)),1))*IF(VLOOKUP(A45,tbMoveset!A2:K112,11,FALSE)=TRUE,Backdoors!AC5,1))*CI45,0),"")</f>
        <v>0</v>
      </c>
      <c r="CM45" s="49">
        <f>VLOOKUP(A45,tbMoveset!A2:G112,7,FALSE)*IFERROR(IF(Backdoors!AI12&gt;=0,1+(IF(Calculator!E40&gt;0,VLOOKUP(Calculator!E40,tbSkills!AI3:AJ5,2,FALSE),Backdoors!AL4)*(IF((Backdoors!AI12+IF(CH45&gt;=0.45,VLOOKUP(Calculator!E23,tbSkills!DH3:DI6,2,FALSE)+IF(AND(Calculator!B8=TRUE,Backdoors!BI15=TRUE),VLOOKUP(Calculator!E23,tbSkills!DH3:DJ6,3,FALSE),0),0))&gt;=100,100,(Backdoors!AI12+IF(CH45&gt;=0.45,VLOOKUP(Calculator!E23,tbSkills!DH3:DI6,2,FALSE)+IF(AND(Calculator!B8=TRUE,Backdoors!BI15=TRUE),VLOOKUP(Calculator!E23,tbSkills!DH3:DJ6,3,FALSE),0),0)))/100)),1),1)</f>
        <v>0.6</v>
      </c>
      <c r="CN45" s="87">
        <f t="shared" si="7"/>
        <v>0</v>
      </c>
      <c r="CO45" s="86" t="str">
        <f>IFERROR(IF(VLOOKUP(A45,tbMoveset!A2:B112,2,FALSE)="Sever",Backdoors!AY16/100,IF(VLOOKUP(A45,tbMoveset!A2:B112,2,FALSE)="Blunt",Backdoors!AZ16/100,Backdoors!BA16/100)),"")</f>
        <v/>
      </c>
      <c r="CP45" s="49">
        <f>IFERROR(IF(VLOOKUP(tbMoveset!A45,tbMoveset!A2:H112,8,FALSE)="Other",IF(VLOOKUP(tbMoveset!A45,tbMoveset!A2:I112,9,FALSE)="Fire",Backdoors!BB16,IF(VLOOKUP(tbMoveset!A45,tbMoveset!A2:I112,9,FALSE)="Water",Backdoors!BC16,IF(VLOOKUP(tbMoveset!A45,tbMoveset!A2:I112,9,FALSE)="Thunder",Backdoors!BD16,IF(VLOOKUP(tbMoveset!A45,tbMoveset!A2:I112,9,FALSE)="Ice",Backdoors!BE16,IF(VLOOKUP(tbMoveset!A45,tbMoveset!A2:I112,9,FALSE)="Dragon",Backdoors!BF16,Backdoors!BG16)))))/100,Backdoors!BG16/100),"")</f>
        <v>0</v>
      </c>
      <c r="CQ45" s="49">
        <f>IFERROR(IF(VLOOKUP(A45,tbMoveset!A2:J112,10,FALSE)=TRUE,IF((Backdoors!AI12+IF(CO45&gt;=0.45,VLOOKUP(Calculator!E23,tbSkills!DH3:DI6,2,FALSE)+IF(AND(Calculator!B8=TRUE,Backdoors!BI16=TRUE),VLOOKUP(Calculator!E23,tbSkills!DH3:DJ6,3,FALSE),0),0))&gt;=0,1+(Backdoors!AL2*(IF((Backdoors!AI12+IF(CO45&gt;=0.45,VLOOKUP(Calculator!E23,tbSkills!DH3:DI6,2,FALSE)+IF(AND(Calculator!B8=TRUE,Backdoors!BI16=TRUE),VLOOKUP(Calculator!E23,tbSkills!DH3:DJ6,3,FALSE),0),0))&gt;=100,100,(Backdoors!AI12+IF(CO45&gt;=0.45,VLOOKUP(Calculator!E23,tbSkills!DH3:DI6,2,FALSE)+IF(AND(Calculator!B8=TRUE,Backdoors!BI16=TRUE),VLOOKUP(Calculator!E23,tbSkills!DH3:DJ6,3,FALSE),0),0)))/100)),(1-(0.25*((-Backdoors!AI12-IF(CO45&gt;=0.45,VLOOKUP(Calculator!E23,tbSkills!DH3:DI6,2,FALSE)+IF(AND(Calculator!B8=TRUE,Backdoors!BI16=TRUE),VLOOKUP(Calculator!E23,tbSkills!DH3:DJ6,3,FALSE),0),0))/100)))),1),"")</f>
        <v>1</v>
      </c>
      <c r="CR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O45)*CQ45)*(VLOOKUP(A45,tbMoveset!A2:C112,3,FALSE)/100)*IF(VLOOKUP(A45,tbMoveset!A2:B112,2,FALSE)="Projectile",Backdoors!N10,Backdoors!N9),0),"")</f>
        <v/>
      </c>
      <c r="CS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O45&gt;=0.45,VLOOKUP(Calculator!E23,tbSkills!DH3:DI6,2,FALSE)+IF(AND(Calculator!B8=TRUE,Backdoors!BI16=TRUE),VLOOKUP(Calculator!E23,tbSkills!DH3:DJ6,3,FALSE),0),0))&gt;=100,100,(Backdoors!AI12+IF(CO45&gt;=0.45,VLOOKUP(Calculator!E23,tbSkills!DH3:DI6,2,FALSE)+IF(AND(Calculator!B8=TRUE,Backdoors!BI16=TRUE),VLOOKUP(Calculator!E23,tbSkills!DH3:DJ6,3,FALSE),0),0)))/100)),1))*IF(VLOOKUP(A45,tbMoveset!A2:K112,11,FALSE)=TRUE,Backdoors!AC5,1))*CP45,0),"")</f>
        <v>0</v>
      </c>
      <c r="CT45" s="49">
        <f>VLOOKUP(A45,tbMoveset!A2:G112,7,FALSE)*IFERROR(IF(Backdoors!AI12&gt;=0,1+(IF(Calculator!E40&gt;0,VLOOKUP(Calculator!E40,tbSkills!AI3:AJ5,2,FALSE),Backdoors!AL4)*(IF((Backdoors!AI12+IF(CO45&gt;=0.45,VLOOKUP(Calculator!E23,tbSkills!DH3:DI6,2,FALSE)+IF(AND(Calculator!B8=TRUE,Backdoors!BI16=TRUE),VLOOKUP(Calculator!E23,tbSkills!DH3:DJ6,3,FALSE),0),0))&gt;=100,100,(Backdoors!AI12+IF(CO45&gt;=0.45,VLOOKUP(Calculator!E23,tbSkills!DH3:DI6,2,FALSE)+IF(AND(Calculator!B8=TRUE,Backdoors!BI16=TRUE),VLOOKUP(Calculator!E23,tbSkills!DH3:DJ6,3,FALSE),0),0)))/100)),1),1)</f>
        <v>0.6</v>
      </c>
      <c r="CU45" s="87">
        <f t="shared" si="40"/>
        <v>0</v>
      </c>
      <c r="CV45" s="86" t="str">
        <f>IFERROR(IF(VLOOKUP(A45,tbMoveset!A2:B112,2,FALSE)="Sever",Backdoors!AY17/100,IF(VLOOKUP(A45,tbMoveset!A2:B112,2,FALSE)="Blunt",Backdoors!AZ17/100,Backdoors!BA17/100)),"")</f>
        <v/>
      </c>
      <c r="CW45" s="49">
        <f>IFERROR(IF(VLOOKUP(tbMoveset!A45,tbMoveset!A2:H112,8,FALSE)="Other",IF(VLOOKUP(tbMoveset!A45,tbMoveset!A2:I112,9,FALSE)="Fire",Backdoors!BB17,IF(VLOOKUP(tbMoveset!A45,tbMoveset!A2:I112,9,FALSE)="Water",Backdoors!BC17,IF(VLOOKUP(tbMoveset!A45,tbMoveset!A2:I112,9,FALSE)="Thunder",Backdoors!BD17,IF(VLOOKUP(tbMoveset!A45,tbMoveset!A2:I112,9,FALSE)="Ice",Backdoors!BE17,IF(VLOOKUP(tbMoveset!A45,tbMoveset!A2:I112,9,FALSE)="Dragon",Backdoors!BF17,Backdoors!BG17)))))/100,Backdoors!BG17/100),"")</f>
        <v>0</v>
      </c>
      <c r="CX45" s="49">
        <f>IFERROR(IF(VLOOKUP(A45,tbMoveset!A2:J112,10,FALSE)=TRUE,IF((Backdoors!AI12+IF(CV45&gt;=0.45,VLOOKUP(Calculator!E23,tbSkills!DH3:DI6,2,FALSE)+IF(AND(Calculator!B8=TRUE,Backdoors!BI17=TRUE),VLOOKUP(Calculator!E23,tbSkills!DH3:DJ6,3,FALSE),0),0))&gt;=0,1+(Backdoors!AL2*(IF((Backdoors!AI12+IF(CV45&gt;=0.45,VLOOKUP(Calculator!E23,tbSkills!DH3:DI6,2,FALSE)+IF(AND(Calculator!B8=TRUE,Backdoors!BI17=TRUE),VLOOKUP(Calculator!E23,tbSkills!DH3:DJ6,3,FALSE),0),0))&gt;=100,100,(Backdoors!AI12+IF(CV45&gt;=0.45,VLOOKUP(Calculator!E23,tbSkills!DH3:DI6,2,FALSE)+IF(AND(Calculator!B8=TRUE,Backdoors!BI17=TRUE),VLOOKUP(Calculator!E23,tbSkills!DH3:DJ6,3,FALSE),0),0)))/100)),(1-(0.25*((-Backdoors!AI12-IF(CV45&gt;=0.45,VLOOKUP(Calculator!E23,tbSkills!DH3:DI6,2,FALSE)+IF(AND(Calculator!B8=TRUE,Backdoors!BI17=TRUE),VLOOKUP(Calculator!E23,tbSkills!DH3:DJ6,3,FALSE),0),0))/100)))),1),"")</f>
        <v>1</v>
      </c>
      <c r="CY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V45)*CX45)*(VLOOKUP(A45,tbMoveset!A2:C112,3,FALSE)/100)*IF(VLOOKUP(A45,tbMoveset!A2:B112,2,FALSE)="Projectile",Backdoors!N10,Backdoors!N9),0),"")</f>
        <v/>
      </c>
      <c r="CZ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V45&gt;=0.45,VLOOKUP(Calculator!E23,tbSkills!DH3:DI6,2,FALSE)+IF(AND(Calculator!B8=TRUE,Backdoors!BI17=TRUE),VLOOKUP(Calculator!E23,tbSkills!DH3:DJ6,3,FALSE),0),0))&gt;=100,100,(Backdoors!AI12+IF(CV45&gt;=0.45,VLOOKUP(Calculator!E23,tbSkills!DH3:DI6,2,FALSE)+IF(AND(Calculator!B8=TRUE,Backdoors!BI17=TRUE),VLOOKUP(Calculator!E23,tbSkills!DH3:DJ6,3,FALSE),0),0)))/100)),1))*IF(VLOOKUP(A45,tbMoveset!A2:K112,11,FALSE)=TRUE,Backdoors!AC5,1))*CW45,0),"")</f>
        <v>0</v>
      </c>
      <c r="DA45" s="49">
        <f>VLOOKUP(A45,tbMoveset!A2:G112,7,FALSE)*IFERROR(IF(Backdoors!AI12&gt;=0,1+(IF(Calculator!E40&gt;0,VLOOKUP(Calculator!E40,tbSkills!AI3:AJ5,2,FALSE),Backdoors!AL4)*(IF((Backdoors!AI12+IF(CV45&gt;=0.45,VLOOKUP(Calculator!E23,tbSkills!DH3:DI6,2,FALSE)+IF(AND(Calculator!B8=TRUE,Backdoors!BI17=TRUE),VLOOKUP(Calculator!E23,tbSkills!DH3:DJ6,3,FALSE),0),0))&gt;=100,100,(Backdoors!AI12+IF(CV45&gt;=0.45,VLOOKUP(Calculator!E23,tbSkills!DH3:DI6,2,FALSE)+IF(AND(Calculator!B8=TRUE,Backdoors!BI17=TRUE),VLOOKUP(Calculator!E23,tbSkills!DH3:DJ6,3,FALSE),0),0)))/100)),1),1)</f>
        <v>0.6</v>
      </c>
      <c r="DB45" s="87">
        <f t="shared" si="8"/>
        <v>0</v>
      </c>
      <c r="DC45" s="86" t="str">
        <f>IFERROR(IF(VLOOKUP(A45,tbMoveset!A2:B112,2,FALSE)="Sever",Backdoors!AY18/100,IF(VLOOKUP(A45,tbMoveset!A2:B112,2,FALSE)="Blunt",Backdoors!AZ18/100,Backdoors!BA18/100)),"")</f>
        <v/>
      </c>
      <c r="DD45" s="49">
        <f>IFERROR(IF(VLOOKUP(tbMoveset!A45,tbMoveset!A2:H112,8,FALSE)="Other",IF(VLOOKUP(tbMoveset!A45,tbMoveset!A2:I112,9,FALSE)="Fire",Backdoors!BB18,IF(VLOOKUP(tbMoveset!A45,tbMoveset!A2:I112,9,FALSE)="Water",Backdoors!BC18,IF(VLOOKUP(tbMoveset!A45,tbMoveset!A2:I112,9,FALSE)="Thunder",Backdoors!BD18,IF(VLOOKUP(tbMoveset!A45,tbMoveset!A2:I112,9,FALSE)="Ice",Backdoors!BE18,IF(VLOOKUP(tbMoveset!A45,tbMoveset!A2:I112,9,FALSE)="Dragon",Backdoors!BF18,Backdoors!BG18)))))/100,Backdoors!BG18/100),"")</f>
        <v>0</v>
      </c>
      <c r="DE45" s="49">
        <f>IFERROR(IF(VLOOKUP(A45,tbMoveset!A2:J112,10,FALSE)=TRUE,IF((Backdoors!AI12+IF(DC45&gt;=0.45,VLOOKUP(Calculator!E23,tbSkills!DH3:DI6,2,FALSE)+IF(AND(Calculator!B8=TRUE,Backdoors!BI18=TRUE),VLOOKUP(Calculator!E23,tbSkills!DH3:DJ6,3,FALSE),0),0))&gt;=0,1+(Backdoors!AL2*(IF((Backdoors!AI12+IF(DC45&gt;=0.45,VLOOKUP(Calculator!E23,tbSkills!DH3:DI6,2,FALSE)+IF(AND(Calculator!B8=TRUE,Backdoors!BI18=TRUE),VLOOKUP(Calculator!E23,tbSkills!DH3:DJ6,3,FALSE),0),0))&gt;=100,100,(Backdoors!AI12+IF(DC45&gt;=0.45,VLOOKUP(Calculator!E23,tbSkills!DH3:DI6,2,FALSE)+IF(AND(Calculator!B8=TRUE,Backdoors!BI18=TRUE),VLOOKUP(Calculator!E23,tbSkills!DH3:DJ6,3,FALSE),0),0)))/100)),(1-(0.25*((-Backdoors!AI12-IF(DC45&gt;=0.45,VLOOKUP(Calculator!E23,tbSkills!DH3:DI6,2,FALSE)+IF(AND(Calculator!B8=TRUE,Backdoors!BI18=TRUE),VLOOKUP(Calculator!E23,tbSkills!DH3:DJ6,3,FALSE),0),0))/100)))),1),"")</f>
        <v>1</v>
      </c>
      <c r="DF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C45)*DE45)*(VLOOKUP(A45,tbMoveset!A2:C112,3,FALSE)/100)*IF(VLOOKUP(A45,tbMoveset!A2:B112,2,FALSE)="Projectile",Backdoors!N10,Backdoors!N9),0),"")</f>
        <v/>
      </c>
      <c r="DG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C45&gt;=0.45,VLOOKUP(Calculator!E23,tbSkills!DH3:DI6,2,FALSE)+IF(AND(Calculator!B8=TRUE,Backdoors!BI18=TRUE),VLOOKUP(Calculator!E23,tbSkills!DH3:DJ6,3,FALSE),0),0))&gt;=100,100,(Backdoors!AI12+IF(DC45&gt;=0.45,VLOOKUP(Calculator!E23,tbSkills!DH3:DI6,2,FALSE)+IF(AND(Calculator!B8=TRUE,Backdoors!BI18=TRUE),VLOOKUP(Calculator!E23,tbSkills!DH3:DJ6,3,FALSE),0),0)))/100)),1))*IF(VLOOKUP(A45,tbMoveset!A2:K112,11,FALSE)=TRUE,Backdoors!AC5,1))*DD45,0),"")</f>
        <v>0</v>
      </c>
      <c r="DH45" s="49">
        <f>VLOOKUP(A45,tbMoveset!A2:G112,7,FALSE)*IFERROR(IF(Backdoors!AI12&gt;=0,1+(IF(Calculator!E40&gt;0,VLOOKUP(Calculator!E40,tbSkills!AI3:AJ5,2,FALSE),Backdoors!AL4)*(IF((Backdoors!AI12+IF(DC45&gt;=0.45,VLOOKUP(Calculator!E23,tbSkills!DH3:DI6,2,FALSE)+IF(AND(Calculator!B8=TRUE,Backdoors!BI18=TRUE),VLOOKUP(Calculator!E23,tbSkills!DH3:DJ6,3,FALSE),0),0))&gt;=100,100,(Backdoors!AI12+IF(DC45&gt;=0.45,VLOOKUP(Calculator!E23,tbSkills!DH3:DI6,2,FALSE)+IF(AND(Calculator!B8=TRUE,Backdoors!BI18=TRUE),VLOOKUP(Calculator!E23,tbSkills!DH3:DJ6,3,FALSE),0),0)))/100)),1),1)</f>
        <v>0.6</v>
      </c>
      <c r="DI45" s="87">
        <f t="shared" si="9"/>
        <v>0</v>
      </c>
      <c r="DJ45" s="86" t="str">
        <f>IFERROR(IF(VLOOKUP(A45,tbMoveset!A2:B112,2,FALSE)="Sever",Backdoors!AY19/100,IF(VLOOKUP(A45,tbMoveset!A2:B112,2,FALSE)="Blunt",Backdoors!AZ19/100,Backdoors!BA19/100)),"")</f>
        <v/>
      </c>
      <c r="DK45" s="49">
        <f>IFERROR(IF(VLOOKUP(tbMoveset!A45,tbMoveset!A2:H112,8,FALSE)="Other",IF(VLOOKUP(tbMoveset!A45,tbMoveset!A2:I112,9,FALSE)="Fire",Backdoors!BB19,IF(VLOOKUP(tbMoveset!A45,tbMoveset!A2:I112,9,FALSE)="Water",Backdoors!BC19,IF(VLOOKUP(tbMoveset!A45,tbMoveset!A2:I112,9,FALSE)="Thunder",Backdoors!BD19,IF(VLOOKUP(tbMoveset!A45,tbMoveset!A2:I112,9,FALSE)="Ice",Backdoors!BE19,IF(VLOOKUP(tbMoveset!A45,tbMoveset!A2:I112,9,FALSE)="Dragon",Backdoors!BF19,Backdoors!BG19)))))/100,Backdoors!BG19/100),"")</f>
        <v>0</v>
      </c>
      <c r="DL45" s="49">
        <f>IFERROR(IF(VLOOKUP(A45,tbMoveset!A2:J112,10,FALSE)=TRUE,IF((Backdoors!AI12+IF(DJ45&gt;=0.45,VLOOKUP(Calculator!E23,tbSkills!DH3:DI6,2,FALSE)+IF(AND(Calculator!B8=TRUE,Backdoors!BI19=TRUE),VLOOKUP(Calculator!E23,tbSkills!DH3:DJ6,3,FALSE),0),0))&gt;=0,1+(Backdoors!AL2*(IF((Backdoors!AI12+IF(DJ45&gt;=0.45,VLOOKUP(Calculator!E23,tbSkills!DH3:DI6,2,FALSE)+IF(AND(Calculator!B8=TRUE,Backdoors!BI19=TRUE),VLOOKUP(Calculator!E23,tbSkills!DH3:DJ6,3,FALSE),0),0))&gt;=100,100,(Backdoors!AI12+IF(DJ45&gt;=0.45,VLOOKUP(Calculator!E23,tbSkills!DH3:DI6,2,FALSE)+IF(AND(Calculator!B8=TRUE,Backdoors!BI19=TRUE),VLOOKUP(Calculator!E23,tbSkills!DH3:DJ6,3,FALSE),0),0)))/100)),(1-(0.25*((-Backdoors!AI12-IF(DJ45&gt;=0.45,VLOOKUP(Calculator!E23,tbSkills!DH3:DI6,2,FALSE)+IF(AND(Calculator!B8=TRUE,Backdoors!BI19=TRUE),VLOOKUP(Calculator!E23,tbSkills!DH3:DJ6,3,FALSE),0),0))/100)))),1),"")</f>
        <v>1</v>
      </c>
      <c r="DM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J45)*DL45)*(VLOOKUP(A45,tbMoveset!A2:C112,3,FALSE)/100)*IF(VLOOKUP(A45,tbMoveset!A2:B112,2,FALSE)="Projectile",Backdoors!N10,Backdoors!N9),0),"")</f>
        <v/>
      </c>
      <c r="DN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J45&gt;=0.45,VLOOKUP(Calculator!E23,tbSkills!DH3:DI6,2,FALSE)+IF(AND(Calculator!B8=TRUE,Backdoors!BI19=TRUE),VLOOKUP(Calculator!E23,tbSkills!DH3:DJ6,3,FALSE),0),0))&gt;=100,100,(Backdoors!AI12+IF(DJ45&gt;=0.45,VLOOKUP(Calculator!E23,tbSkills!DH3:DI6,2,FALSE)+IF(AND(Calculator!B8=TRUE,Backdoors!BI19=TRUE),VLOOKUP(Calculator!E23,tbSkills!DH3:DJ6,3,FALSE),0),0)))/100)),1))*IF(VLOOKUP(A45,tbMoveset!A2:K112,11,FALSE)=TRUE,Backdoors!AC5,1))*DK45,0),"")</f>
        <v>0</v>
      </c>
      <c r="DO45" s="49">
        <f>VLOOKUP(A45,tbMoveset!A2:G112,7,FALSE)*IFERROR(IF(Backdoors!AI12&gt;=0,1+(IF(Calculator!E40&gt;0,VLOOKUP(Calculator!E40,tbSkills!AI3:AJ5,2,FALSE),Backdoors!AL4)*(IF((Backdoors!AI12+IF(DJ45&gt;=0.45,VLOOKUP(Calculator!E23,tbSkills!DH3:DI6,2,FALSE)+IF(AND(Calculator!B8=TRUE,Backdoors!BI19=TRUE),VLOOKUP(Calculator!E23,tbSkills!DH3:DJ6,3,FALSE),0),0))&gt;=100,100,(Backdoors!AI12+IF(DJ45&gt;=0.45,VLOOKUP(Calculator!E23,tbSkills!DH3:DI6,2,FALSE)+IF(AND(Calculator!B8=TRUE,Backdoors!BI19=TRUE),VLOOKUP(Calculator!E23,tbSkills!DH3:DJ6,3,FALSE),0),0)))/100)),1),1)</f>
        <v>0.6</v>
      </c>
      <c r="DP45" s="87">
        <f t="shared" si="41"/>
        <v>0</v>
      </c>
      <c r="DQ45" s="86" t="str">
        <f>IFERROR(IF(VLOOKUP(A45,tbMoveset!A2:B112,2,FALSE)="Sever",Backdoors!AY20/100,IF(VLOOKUP(A45,tbMoveset!A2:B112,2,FALSE)="Blunt",Backdoors!AZ20/100,Backdoors!BA20/100)),"")</f>
        <v/>
      </c>
      <c r="DR45" s="49">
        <f>IFERROR(IF(VLOOKUP(tbMoveset!A45,tbMoveset!A2:H112,8,FALSE)="Other",IF(VLOOKUP(tbMoveset!A45,tbMoveset!A2:I112,9,FALSE)="Fire",Backdoors!BB20,IF(VLOOKUP(tbMoveset!A45,tbMoveset!A2:I112,9,FALSE)="Water",Backdoors!BC20,IF(VLOOKUP(tbMoveset!A45,tbMoveset!A2:I112,9,FALSE)="Thunder",Backdoors!BD20,IF(VLOOKUP(tbMoveset!A45,tbMoveset!A2:I112,9,FALSE)="Ice",Backdoors!BE20,IF(VLOOKUP(tbMoveset!A45,tbMoveset!A2:I112,9,FALSE)="Dragon",Backdoors!BF20,Backdoors!BG20)))))/100,Backdoors!BG20/100),"")</f>
        <v>0</v>
      </c>
      <c r="DS45" s="49">
        <f>IFERROR(IF(VLOOKUP(A45,tbMoveset!A2:J112,10,FALSE)=TRUE,IF((Backdoors!AI12+IF(DQ45&gt;=0.45,VLOOKUP(Calculator!E23,tbSkills!DH3:DI6,2,FALSE)+IF(AND(Calculator!B8=TRUE,Backdoors!BI20=TRUE),VLOOKUP(Calculator!E23,tbSkills!DH3:DJ6,3,FALSE),0),0))&gt;=0,1+(Backdoors!AL2*(IF((Backdoors!AI12+IF(DQ45&gt;=0.45,VLOOKUP(Calculator!E23,tbSkills!DH3:DI6,2,FALSE)+IF(AND(Calculator!B8=TRUE,Backdoors!BI20=TRUE),VLOOKUP(Calculator!E23,tbSkills!DH3:DJ6,3,FALSE),0),0))&gt;=100,100,(Backdoors!AI12+IF(DQ45&gt;=0.45,VLOOKUP(Calculator!E23,tbSkills!DH3:DI6,2,FALSE)+IF(AND(Calculator!B8=TRUE,Backdoors!BI20=TRUE),VLOOKUP(Calculator!E23,tbSkills!DH3:DJ6,3,FALSE),0),0)))/100)),(1-(0.25*((-Backdoors!AI12-IF(DQ45&gt;=0.45,VLOOKUP(Calculator!E23,tbSkills!DH3:DI6,2,FALSE)+IF(AND(Calculator!B8=TRUE,Backdoors!BI20=TRUE),VLOOKUP(Calculator!E23,tbSkills!DH3:DJ6,3,FALSE),0),0))/100)))),1),"")</f>
        <v>1</v>
      </c>
      <c r="DT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Q45)*DS45)*(VLOOKUP(A45,tbMoveset!A2:C112,3,FALSE)/100)*IF(VLOOKUP(A45,tbMoveset!A2:B112,2,FALSE)="Projectile",Backdoors!N10,Backdoors!N9),0),"")</f>
        <v/>
      </c>
      <c r="DU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Q45&gt;=0.45,VLOOKUP(Calculator!E23,tbSkills!DH3:DI6,2,FALSE)+IF(AND(Calculator!B8=TRUE,Backdoors!BI20=TRUE),VLOOKUP(Calculator!E23,tbSkills!DH3:DJ6,3,FALSE),0),0))&gt;=100,100,(Backdoors!AI12+IF(DQ45&gt;=0.45,VLOOKUP(Calculator!E23,tbSkills!DH3:DI6,2,FALSE)+IF(AND(Calculator!B8=TRUE,Backdoors!BI20=TRUE),VLOOKUP(Calculator!E23,tbSkills!DH3:DJ6,3,FALSE),0),0)))/100)),1))*IF(VLOOKUP(A45,tbMoveset!A2:K112,11,FALSE)=TRUE,Backdoors!AC5,1))*DR45,0),"")</f>
        <v>0</v>
      </c>
      <c r="DV45" s="49">
        <f>VLOOKUP(A45,tbMoveset!A2:G112,7,FALSE)*IFERROR(IF(Backdoors!AI12&gt;=0,1+(IF(Calculator!E40&gt;0,VLOOKUP(Calculator!E40,tbSkills!AI3:AJ5,2,FALSE),Backdoors!AL4)*(IF((Backdoors!AI12+IF(DQ45&gt;=0.45,VLOOKUP(Calculator!E23,tbSkills!DH3:DI6,2,FALSE)+IF(AND(Calculator!B8=TRUE,Backdoors!BI20=TRUE),VLOOKUP(Calculator!E23,tbSkills!DH3:DJ6,3,FALSE),0),0))&gt;=100,100,(Backdoors!AI12+IF(DQ45&gt;=0.45,VLOOKUP(Calculator!E23,tbSkills!DH3:DI6,2,FALSE)+IF(AND(Calculator!B8=TRUE,Backdoors!BI20=TRUE),VLOOKUP(Calculator!E23,tbSkills!DH3:DJ6,3,FALSE),0),0)))/100)),1),1)</f>
        <v>0.6</v>
      </c>
      <c r="DW45" s="87">
        <f t="shared" si="10"/>
        <v>0</v>
      </c>
      <c r="DX45" s="86" t="str">
        <f>IFERROR(IF(VLOOKUP(A45,tbMoveset!A2:B112,2,FALSE)="Sever",Backdoors!AY21/100,IF(VLOOKUP(A45,tbMoveset!A2:B112,2,FALSE)="Blunt",Backdoors!AZ21/100,Backdoors!BA21/100)),"")</f>
        <v/>
      </c>
      <c r="DY45" s="49">
        <f>IFERROR(IF(VLOOKUP(tbMoveset!A45,tbMoveset!A2:H112,8,FALSE)="Other",IF(VLOOKUP(tbMoveset!A45,tbMoveset!A2:I112,9,FALSE)="Fire",Backdoors!BB21,IF(VLOOKUP(tbMoveset!A45,tbMoveset!A2:I112,9,FALSE)="Water",Backdoors!BC21,IF(VLOOKUP(tbMoveset!A45,tbMoveset!A2:I112,9,FALSE)="Thunder",Backdoors!BD21,IF(VLOOKUP(tbMoveset!A45,tbMoveset!A2:I112,9,FALSE)="Ice",Backdoors!BE21,IF(VLOOKUP(tbMoveset!A45,tbMoveset!A2:I112,9,FALSE)="Dragon",Backdoors!BF21,Backdoors!BG21)))))/100,Backdoors!BG21/100),"")</f>
        <v>0</v>
      </c>
      <c r="DZ45" s="49">
        <f>IFERROR(IF(VLOOKUP(A45,tbMoveset!A2:J112,10,FALSE)=TRUE,IF((Backdoors!AI12+IF(DX45&gt;=0.45,VLOOKUP(Calculator!E23,tbSkills!DH3:DI6,2,FALSE)+IF(AND(Calculator!B8=TRUE,Backdoors!BI21=TRUE),VLOOKUP(Calculator!E23,tbSkills!DH3:DJ6,3,FALSE),0),0))&gt;=0,1+(Backdoors!AL2*(IF((Backdoors!AI12+IF(DX45&gt;=0.45,VLOOKUP(Calculator!E23,tbSkills!DH3:DI6,2,FALSE)+IF(AND(Calculator!B8=TRUE,Backdoors!BI21=TRUE),VLOOKUP(Calculator!E23,tbSkills!DH3:DJ6,3,FALSE),0),0))&gt;=100,100,(Backdoors!AI12+IF(DX45&gt;=0.45,VLOOKUP(Calculator!E23,tbSkills!DH3:DI6,2,FALSE)+IF(AND(Calculator!B8=TRUE,Backdoors!BI21=TRUE),VLOOKUP(Calculator!E23,tbSkills!DH3:DJ6,3,FALSE),0),0)))/100)),(1-(0.25*((-Backdoors!AI12-IF(DX45&gt;=0.45,VLOOKUP(Calculator!E23,tbSkills!DH3:DI6,2,FALSE)+IF(AND(Calculator!B8=TRUE,Backdoors!BI21=TRUE),VLOOKUP(Calculator!E23,tbSkills!DH3:DJ6,3,FALSE),0),0))/100)))),1),"")</f>
        <v>1</v>
      </c>
      <c r="EA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X45)*DZ45)*(VLOOKUP(A45,tbMoveset!A2:C112,3,FALSE)/100)*IF(VLOOKUP(A45,tbMoveset!A2:B112,2,FALSE)="Projectile",Backdoors!N10,Backdoors!N9),0),"")</f>
        <v/>
      </c>
      <c r="EB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X45&gt;=0.45,VLOOKUP(Calculator!E23,tbSkills!DH3:DI6,2,FALSE)+IF(AND(Calculator!B8=TRUE,Backdoors!BI21=TRUE),VLOOKUP(Calculator!E23,tbSkills!DH3:DJ6,3,FALSE),0),0))&gt;=100,100,(Backdoors!AI12+IF(DX45&gt;=0.45,VLOOKUP(Calculator!E23,tbSkills!DH3:DI6,2,FALSE)+IF(AND(Calculator!B8=TRUE,Backdoors!BI21=TRUE),VLOOKUP(Calculator!E23,tbSkills!DH3:DJ6,3,FALSE),0),0)))/100)),1))*IF(VLOOKUP(A45,tbMoveset!A2:K112,11,FALSE)=TRUE,Backdoors!AC5,1))*DY45,0),"")</f>
        <v>0</v>
      </c>
      <c r="EC45" s="49">
        <f>VLOOKUP(A45,tbMoveset!A2:G112,7,FALSE)*IFERROR(IF(Backdoors!AI12&gt;=0,1+(IF(Calculator!E40&gt;0,VLOOKUP(Calculator!E40,tbSkills!AI3:AJ5,2,FALSE),Backdoors!AL4)*(IF((Backdoors!AI12+IF(DX45&gt;=0.45,VLOOKUP(Calculator!E23,tbSkills!DH3:DI6,2,FALSE)+IF(AND(Calculator!B8=TRUE,Backdoors!BI21=TRUE),VLOOKUP(Calculator!E23,tbSkills!DH3:DJ6,3,FALSE),0),0))&gt;=100,100,(Backdoors!AI12+IF(DX45&gt;=0.45,VLOOKUP(Calculator!E23,tbSkills!DH3:DI6,2,FALSE)+IF(AND(Calculator!B8=TRUE,Backdoors!BI21=TRUE),VLOOKUP(Calculator!E23,tbSkills!DH3:DJ6,3,FALSE),0),0)))/100)),1),1)</f>
        <v>0.6</v>
      </c>
      <c r="ED45" s="87">
        <f t="shared" si="11"/>
        <v>0</v>
      </c>
      <c r="EE45" s="86" t="str">
        <f>IFERROR(IF(VLOOKUP(A45,tbMoveset!A2:B112,2,FALSE)="Sever",Backdoors!AY22/100,IF(VLOOKUP(A45,tbMoveset!A2:B112,2,FALSE)="Blunt",Backdoors!AZ22/100,Backdoors!BA22/100)),"")</f>
        <v/>
      </c>
      <c r="EF45" s="49">
        <f>IFERROR(IF(VLOOKUP(tbMoveset!A45,tbMoveset!A2:H112,8,FALSE)="Other",IF(VLOOKUP(tbMoveset!A45,tbMoveset!A2:I112,9,FALSE)="Fire",Backdoors!BB22,IF(VLOOKUP(tbMoveset!A45,tbMoveset!A2:I112,9,FALSE)="Water",Backdoors!BC22,IF(VLOOKUP(tbMoveset!A45,tbMoveset!A2:I112,9,FALSE)="Thunder",Backdoors!BD22,IF(VLOOKUP(tbMoveset!A45,tbMoveset!A2:I112,9,FALSE)="Ice",Backdoors!BE22,IF(VLOOKUP(tbMoveset!A45,tbMoveset!A2:I112,9,FALSE)="Dragon",Backdoors!BF22,Backdoors!BG22)))))/100,Backdoors!BG22/100),"")</f>
        <v>0</v>
      </c>
      <c r="EG45" s="49">
        <f>IFERROR(IF(VLOOKUP(A45,tbMoveset!A2:J112,10,FALSE)=TRUE,IF((Backdoors!AI12+IF(EE45&gt;=0.45,VLOOKUP(Calculator!E23,tbSkills!DH3:DI6,2,FALSE)+IF(AND(Calculator!B8=TRUE,Backdoors!BI22=TRUE),VLOOKUP(Calculator!E23,tbSkills!DH3:DJ6,3,FALSE),0),0))&gt;=0,1+(Backdoors!AL2*(IF((Backdoors!AI12+IF(EE45&gt;=0.45,VLOOKUP(Calculator!E23,tbSkills!DH3:DI6,2,FALSE)+IF(AND(Calculator!B8=TRUE,Backdoors!BI22=TRUE),VLOOKUP(Calculator!E23,tbSkills!DH3:DJ6,3,FALSE),0),0))&gt;=100,100,(Backdoors!AI12+IF(EE45&gt;=0.45,VLOOKUP(Calculator!E23,tbSkills!DH3:DI6,2,FALSE)+IF(AND(Calculator!B8=TRUE,Backdoors!BI22=TRUE),VLOOKUP(Calculator!E23,tbSkills!DH3:DJ6,3,FALSE),0),0)))/100)),(1-(0.25*((-Backdoors!AI12-IF(EE45&gt;=0.45,VLOOKUP(Calculator!E23,tbSkills!DH3:DI6,2,FALSE)+IF(AND(Calculator!B8=TRUE,Backdoors!BI22=TRUE),VLOOKUP(Calculator!E23,tbSkills!DH3:DJ6,3,FALSE),0),0))/100)))),1),"")</f>
        <v>1</v>
      </c>
      <c r="EH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E45)*EG45)*(VLOOKUP(A45,tbMoveset!A2:C112,3,FALSE)/100)*IF(VLOOKUP(A45,tbMoveset!A2:B112,2,FALSE)="Projectile",Backdoors!N10,Backdoors!N9),0),"")</f>
        <v/>
      </c>
      <c r="EI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E45&gt;=0.45,VLOOKUP(Calculator!E23,tbSkills!DH3:DI6,2,FALSE)+IF(AND(Calculator!B8=TRUE,Backdoors!BI22=TRUE),VLOOKUP(Calculator!E23,tbSkills!DH3:DJ6,3,FALSE),0),0))&gt;=100,100,(Backdoors!AI12+IF(EE45&gt;=0.45,VLOOKUP(Calculator!E23,tbSkills!DH3:DI6,2,FALSE)+IF(AND(Calculator!B8=TRUE,Backdoors!BI22=TRUE),VLOOKUP(Calculator!E23,tbSkills!DH3:DJ6,3,FALSE),0),0)))/100)),1))*IF(VLOOKUP(A45,tbMoveset!A2:K112,11,FALSE)=TRUE,Backdoors!AC5,1))*EF45,0),"")</f>
        <v>0</v>
      </c>
      <c r="EJ45" s="49">
        <f>VLOOKUP(A45,tbMoveset!A2:G112,7,FALSE)*IFERROR(IF(Backdoors!AI12&gt;=0,1+(IF(Calculator!E40&gt;0,VLOOKUP(Calculator!E40,tbSkills!AI3:AJ5,2,FALSE),Backdoors!AL4)*(IF((Backdoors!AI12+IF(EE45&gt;=0.45,VLOOKUP(Calculator!E23,tbSkills!DH3:DI6,2,FALSE)+IF(AND(Calculator!B8=TRUE,Backdoors!BI22=TRUE),VLOOKUP(Calculator!E23,tbSkills!DH3:DJ6,3,FALSE),0),0))&gt;=100,100,(Backdoors!AI12+IF(EE45&gt;=0.45,VLOOKUP(Calculator!E23,tbSkills!DH3:DI6,2,FALSE)+IF(AND(Calculator!B8=TRUE,Backdoors!BI22=TRUE),VLOOKUP(Calculator!E23,tbSkills!DH3:DJ6,3,FALSE),0),0)))/100)),1),1)</f>
        <v>0.6</v>
      </c>
      <c r="EK45" s="87">
        <f t="shared" si="12"/>
        <v>0</v>
      </c>
      <c r="EL45" s="86" t="str">
        <f>IFERROR(IF(VLOOKUP(A45,tbMoveset!A2:B112,2,FALSE)="Sever",Backdoors!AY23/100,IF(VLOOKUP(A45,tbMoveset!A2:B112,2,FALSE)="Blunt",Backdoors!AZ23/100,Backdoors!BA23/100)),"")</f>
        <v/>
      </c>
      <c r="EM45" s="49">
        <f>IFERROR(IF(VLOOKUP(tbMoveset!A45,tbMoveset!A2:H112,8,FALSE)="Other",IF(VLOOKUP(tbMoveset!A45,tbMoveset!A2:I112,9,FALSE)="Fire",Backdoors!BB23,IF(VLOOKUP(tbMoveset!A45,tbMoveset!A2:I112,9,FALSE)="Water",Backdoors!BC23,IF(VLOOKUP(tbMoveset!A45,tbMoveset!A2:I112,9,FALSE)="Thunder",Backdoors!BD23,IF(VLOOKUP(tbMoveset!A45,tbMoveset!A2:I112,9,FALSE)="Ice",Backdoors!BE23,IF(VLOOKUP(tbMoveset!A45,tbMoveset!A2:I112,9,FALSE)="Dragon",Backdoors!BF23,Backdoors!BG23)))))/100,Backdoors!BG23/100),"")</f>
        <v>0</v>
      </c>
      <c r="EN45" s="49">
        <f>IFERROR(IF(VLOOKUP(A45,tbMoveset!A2:J112,10,FALSE)=TRUE,IF((Backdoors!AI12+IF(EL45&gt;=0.45,VLOOKUP(Calculator!E23,tbSkills!DH3:DI6,2,FALSE)+IF(AND(Calculator!B8=TRUE,Backdoors!BI23=TRUE),VLOOKUP(Calculator!E23,tbSkills!DH3:DJ6,3,FALSE),0),0))&gt;=0,1+(Backdoors!AL2*(IF((Backdoors!AI12+IF(EL45&gt;=0.45,VLOOKUP(Calculator!E23,tbSkills!DH3:DI6,2,FALSE)+IF(AND(Calculator!B8=TRUE,Backdoors!BI23=TRUE),VLOOKUP(Calculator!E23,tbSkills!DH3:DJ6,3,FALSE),0),0))&gt;=100,100,(Backdoors!AI12+IF(EL45&gt;=0.45,VLOOKUP(Calculator!E23,tbSkills!DH3:DI6,2,FALSE)+IF(AND(Calculator!B8=TRUE,Backdoors!BI23=TRUE),VLOOKUP(Calculator!E23,tbSkills!DH3:DJ6,3,FALSE),0),0)))/100)),(1-(0.25*((-Backdoors!AI12-IF(EL45&gt;=0.45,VLOOKUP(Calculator!E23,tbSkills!DH3:DI6,2,FALSE)+IF(AND(Calculator!B8=TRUE,Backdoors!BI23=TRUE),VLOOKUP(Calculator!E23,tbSkills!DH3:DJ6,3,FALSE),0),0))/100)))),1),"")</f>
        <v>1</v>
      </c>
      <c r="EO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L45)*EN45)*(VLOOKUP(A45,tbMoveset!A2:C112,3,FALSE)/100)*IF(VLOOKUP(A45,tbMoveset!A2:B112,2,FALSE)="Projectile",Backdoors!N10,Backdoors!N9),0),"")</f>
        <v/>
      </c>
      <c r="EP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L45&gt;=0.45,VLOOKUP(Calculator!E23,tbSkills!DH3:DI6,2,FALSE)+IF(AND(Calculator!B8=TRUE,Backdoors!BI23=TRUE),VLOOKUP(Calculator!E23,tbSkills!DH3:DJ6,3,FALSE),0),0))&gt;=100,100,(Backdoors!AI12+IF(EL45&gt;=0.45,VLOOKUP(Calculator!E23,tbSkills!DH3:DI6,2,FALSE)+IF(AND(Calculator!B8=TRUE,Backdoors!BI23=TRUE),VLOOKUP(Calculator!E23,tbSkills!DH3:DJ6,3,FALSE),0),0)))/100)),1))*IF(VLOOKUP(A45,tbMoveset!A2:K112,11,FALSE)=TRUE,Backdoors!AC5,1))*EM45,0),"")</f>
        <v>0</v>
      </c>
      <c r="EQ45" s="49">
        <f>VLOOKUP(A45,tbMoveset!A2:G112,7,FALSE)*IFERROR(IF(Backdoors!AI12&gt;=0,1+(IF(Calculator!E40&gt;0,VLOOKUP(Calculator!E40,tbSkills!AI3:AJ5,2,FALSE),Backdoors!AL4)*(IF((Backdoors!AI12+IF(EL45&gt;=0.45,VLOOKUP(Calculator!E23,tbSkills!DH3:DI6,2,FALSE)+IF(AND(Calculator!B8=TRUE,Backdoors!BI23=TRUE),VLOOKUP(Calculator!E23,tbSkills!DH3:DJ6,3,FALSE),0),0))&gt;=100,100,(Backdoors!AI12+IF(EL45&gt;=0.45,VLOOKUP(Calculator!E23,tbSkills!DH3:DI6,2,FALSE)+IF(AND(Calculator!B8=TRUE,Backdoors!BI23=TRUE),VLOOKUP(Calculator!E23,tbSkills!DH3:DJ6,3,FALSE),0),0)))/100)),1),1)</f>
        <v>0.6</v>
      </c>
      <c r="ER45" s="87">
        <f t="shared" si="13"/>
        <v>0</v>
      </c>
      <c r="ES45" s="86" t="str">
        <f>IFERROR(IF(VLOOKUP(A45,tbMoveset!A2:B112,2,FALSE)="Sever",Backdoors!AY24/100,IF(VLOOKUP(A45,tbMoveset!A2:B112,2,FALSE)="Blunt",Backdoors!AZ24/100,Backdoors!BA24/100)),"")</f>
        <v/>
      </c>
      <c r="ET45" s="49">
        <f>IFERROR(IF(VLOOKUP(tbMoveset!A45,tbMoveset!A2:H112,8,FALSE)="Other",IF(VLOOKUP(tbMoveset!A45,tbMoveset!A2:I112,9,FALSE)="Fire",Backdoors!BB24,IF(VLOOKUP(tbMoveset!A45,tbMoveset!A2:I112,9,FALSE)="Water",Backdoors!BC24,IF(VLOOKUP(tbMoveset!A45,tbMoveset!A2:I112,9,FALSE)="Thunder",Backdoors!BD24,IF(VLOOKUP(tbMoveset!A45,tbMoveset!A2:I112,9,FALSE)="Ice",Backdoors!BE24,IF(VLOOKUP(tbMoveset!A45,tbMoveset!A2:I112,9,FALSE)="Dragon",Backdoors!BF24,Backdoors!BG24)))))/100,Backdoors!BG24/100),"")</f>
        <v>0</v>
      </c>
      <c r="EU45" s="49">
        <f>IFERROR(IF(VLOOKUP(A45,tbMoveset!A2:J112,10,FALSE)=TRUE,IF((Backdoors!AI12+IF(ES45&gt;=0.45,VLOOKUP(Calculator!E23,tbSkills!DH3:DI6,2,FALSE)+IF(AND(Calculator!B8=TRUE,Backdoors!BI24=TRUE),VLOOKUP(Calculator!E23,tbSkills!DH3:DJ6,3,FALSE),0),0))&gt;=0,1+(Backdoors!AL2*(IF((Backdoors!AI12+IF(ES45&gt;=0.45,VLOOKUP(Calculator!E23,tbSkills!DH3:DI6,2,FALSE)+IF(AND(Calculator!B8=TRUE,Backdoors!BI24=TRUE),VLOOKUP(Calculator!E23,tbSkills!DH3:DJ6,3,FALSE),0),0))&gt;=100,100,(Backdoors!AI12+IF(ES45&gt;=0.45,VLOOKUP(Calculator!E23,tbSkills!DH3:DI6,2,FALSE)+IF(AND(Calculator!B8=TRUE,Backdoors!BI24=TRUE),VLOOKUP(Calculator!E23,tbSkills!DH3:DJ6,3,FALSE),0),0)))/100)),(1-(0.25*((-Backdoors!AI12-IF(ES45&gt;=0.45,VLOOKUP(Calculator!E23,tbSkills!DH3:DI6,2,FALSE)+IF(AND(Calculator!B8=TRUE,Backdoors!BI24=TRUE),VLOOKUP(Calculator!E23,tbSkills!DH3:DJ6,3,FALSE),0),0))/100)))),1),"")</f>
        <v>1</v>
      </c>
      <c r="EV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S45)*EU45)*(VLOOKUP(A45,tbMoveset!A2:C112,3,FALSE)/100)*IF(VLOOKUP(A45,tbMoveset!A2:B112,2,FALSE)="Projectile",Backdoors!N10,Backdoors!N9),0),"")</f>
        <v/>
      </c>
      <c r="EW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S45&gt;=0.45,VLOOKUP(Calculator!E23,tbSkills!DH3:DI6,2,FALSE)+IF(AND(Calculator!B8=TRUE,Backdoors!BI24=TRUE),VLOOKUP(Calculator!E23,tbSkills!DH3:DJ6,3,FALSE),0),0))&gt;=100,100,(Backdoors!AI12+IF(ES45&gt;=0.45,VLOOKUP(Calculator!E23,tbSkills!DH3:DI6,2,FALSE)+IF(AND(Calculator!B8=TRUE,Backdoors!BI24=TRUE),VLOOKUP(Calculator!E23,tbSkills!DH3:DJ6,3,FALSE),0),0)))/100)),1))*IF(VLOOKUP(A45,tbMoveset!A2:K112,11,FALSE)=TRUE,Backdoors!AC5,1))*ET45,0),"")</f>
        <v>0</v>
      </c>
      <c r="EX45" s="49">
        <f>VLOOKUP(A45,tbMoveset!A2:G112,7,FALSE)*IFERROR(IF(Backdoors!AI12&gt;=0,1+(IF(Calculator!E40&gt;0,VLOOKUP(Calculator!E40,tbSkills!AI3:AJ5,2,FALSE),Backdoors!AL4)*(IF((Backdoors!AI12+IF(ES45&gt;=0.45,VLOOKUP(Calculator!E23,tbSkills!DH3:DI6,2,FALSE)+IF(AND(Calculator!B8=TRUE,Backdoors!BI24=TRUE),VLOOKUP(Calculator!E23,tbSkills!DH3:DJ6,3,FALSE),0),0))&gt;=100,100,(Backdoors!AI12+IF(ES45&gt;=0.45,VLOOKUP(Calculator!E23,tbSkills!DH3:DI6,2,FALSE)+IF(AND(Calculator!B8=TRUE,Backdoors!BI24=TRUE),VLOOKUP(Calculator!E23,tbSkills!DH3:DJ6,3,FALSE),0),0)))/100)),1),1)</f>
        <v>0.6</v>
      </c>
      <c r="EY45" s="87">
        <f t="shared" si="14"/>
        <v>0</v>
      </c>
      <c r="EZ45" s="86" t="str">
        <f>IFERROR(IF(VLOOKUP(A45,tbMoveset!A2:B112,2,FALSE)="Sever",Backdoors!AY25/100,IF(VLOOKUP(A45,tbMoveset!A2:B112,2,FALSE)="Blunt",Backdoors!AZ25/100,Backdoors!BA25/100)),"")</f>
        <v/>
      </c>
      <c r="FA45" s="49">
        <f>IFERROR(IF(VLOOKUP(tbMoveset!A45,tbMoveset!A2:H112,8,FALSE)="Other",IF(VLOOKUP(tbMoveset!A45,tbMoveset!A2:I112,9,FALSE)="Fire",Backdoors!BB25,IF(VLOOKUP(tbMoveset!A45,tbMoveset!A2:I112,9,FALSE)="Water",Backdoors!BC25,IF(VLOOKUP(tbMoveset!A45,tbMoveset!A2:I112,9,FALSE)="Thunder",Backdoors!BD25,IF(VLOOKUP(tbMoveset!A45,tbMoveset!A2:I112,9,FALSE)="Ice",Backdoors!BE25,IF(VLOOKUP(tbMoveset!A45,tbMoveset!A2:I112,9,FALSE)="Dragon",Backdoors!BF25,Backdoors!BG25)))))/100,Backdoors!BG25/100),"")</f>
        <v>0</v>
      </c>
      <c r="FB45" s="49">
        <f>IFERROR(IF(VLOOKUP(A45,tbMoveset!A2:J112,10,FALSE)=TRUE,IF((Backdoors!AI12+IF(EZ45&gt;=0.45,VLOOKUP(Calculator!E23,tbSkills!DH3:DI6,2,FALSE)+IF(AND(Calculator!B8=TRUE,Backdoors!BI25=TRUE),VLOOKUP(Calculator!E23,tbSkills!DH3:DJ6,3,FALSE),0),0))&gt;=0,1+(Backdoors!AL2*(IF((Backdoors!AI12+IF(EZ45&gt;=0.45,VLOOKUP(Calculator!E23,tbSkills!DH3:DI6,2,FALSE)+IF(AND(Calculator!B8=TRUE,Backdoors!BI25=TRUE),VLOOKUP(Calculator!E23,tbSkills!DH3:DJ6,3,FALSE),0),0))&gt;=100,100,(Backdoors!AI12+IF(EZ45&gt;=0.45,VLOOKUP(Calculator!E23,tbSkills!DH3:DI6,2,FALSE)+IF(AND(Calculator!B8=TRUE,Backdoors!BI25=TRUE),VLOOKUP(Calculator!E23,tbSkills!DH3:DJ6,3,FALSE),0),0)))/100)),(1-(0.25*((-Backdoors!AI12-IF(EZ45&gt;=0.45,VLOOKUP(Calculator!E23,tbSkills!DH3:DI6,2,FALSE)+IF(AND(Calculator!B8=TRUE,Backdoors!BI25=TRUE),VLOOKUP(Calculator!E23,tbSkills!DH3:DJ6,3,FALSE),0),0))/100)))),1),"")</f>
        <v>1</v>
      </c>
      <c r="FC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Z45)*FB45)*(VLOOKUP(A45,tbMoveset!A2:C112,3,FALSE)/100)*IF(VLOOKUP(A45,tbMoveset!A2:B112,2,FALSE)="Projectile",Backdoors!N10,Backdoors!N9),0),"")</f>
        <v/>
      </c>
      <c r="FD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Z45&gt;=0.45,VLOOKUP(Calculator!E23,tbSkills!DH3:DI6,2,FALSE)+IF(AND(Calculator!B8=TRUE,Backdoors!BI25=TRUE),VLOOKUP(Calculator!E23,tbSkills!DH3:DJ6,3,FALSE),0),0))&gt;=100,100,(Backdoors!AI12+IF(EZ45&gt;=0.45,VLOOKUP(Calculator!E23,tbSkills!DH3:DI6,2,FALSE)+IF(AND(Calculator!B8=TRUE,Backdoors!BI25=TRUE),VLOOKUP(Calculator!E23,tbSkills!DH3:DJ6,3,FALSE),0),0)))/100)),1))*IF(VLOOKUP(A45,tbMoveset!A2:K112,11,FALSE)=TRUE,Backdoors!AC5,1))*FA45,0),"")</f>
        <v>0</v>
      </c>
      <c r="FE45" s="49">
        <f>VLOOKUP(A45,tbMoveset!A2:G112,7,FALSE)*IFERROR(IF(Backdoors!AI12&gt;=0,1+(IF(Calculator!E40&gt;0,VLOOKUP(Calculator!E40,tbSkills!AI3:AJ5,2,FALSE),Backdoors!AL4)*(IF((Backdoors!AI12+IF(EZ45&gt;=0.45,VLOOKUP(Calculator!E23,tbSkills!DH3:DI6,2,FALSE)+IF(AND(Calculator!B8=TRUE,Backdoors!BI25=TRUE),VLOOKUP(Calculator!E23,tbSkills!DH3:DJ6,3,FALSE),0),0))&gt;=100,100,(Backdoors!AI12+IF(EZ45&gt;=0.45,VLOOKUP(Calculator!E23,tbSkills!DH3:DI6,2,FALSE)+IF(AND(Calculator!B8=TRUE,Backdoors!BI25=TRUE),VLOOKUP(Calculator!E23,tbSkills!DH3:DJ6,3,FALSE),0),0)))/100)),1),1)</f>
        <v>0.6</v>
      </c>
      <c r="FF45" s="87">
        <f t="shared" si="15"/>
        <v>0</v>
      </c>
      <c r="FG45" s="86" t="str">
        <f>IFERROR(IF(VLOOKUP(A45,tbMoveset!A2:B112,2,FALSE)="Sever",Backdoors!AY26/100,IF(VLOOKUP(A45,tbMoveset!A2:B112,2,FALSE)="Blunt",Backdoors!AZ26/100,Backdoors!BA26/100)),"")</f>
        <v/>
      </c>
      <c r="FH45" s="49">
        <f>IFERROR(IF(VLOOKUP(tbMoveset!A45,tbMoveset!A2:H112,8,FALSE)="Other",IF(VLOOKUP(tbMoveset!A45,tbMoveset!A2:I112,9,FALSE)="Fire",Backdoors!BB26,IF(VLOOKUP(tbMoveset!A45,tbMoveset!A2:I112,9,FALSE)="Water",Backdoors!BC26,IF(VLOOKUP(tbMoveset!A45,tbMoveset!A2:I112,9,FALSE)="Thunder",Backdoors!BD26,IF(VLOOKUP(tbMoveset!A45,tbMoveset!A2:I112,9,FALSE)="Ice",Backdoors!BE26,IF(VLOOKUP(tbMoveset!A45,tbMoveset!A2:I112,9,FALSE)="Dragon",Backdoors!BF26,Backdoors!BG26)))))/100,Backdoors!BG26/100),"")</f>
        <v>0</v>
      </c>
      <c r="FI45" s="49">
        <f>IFERROR(IF(VLOOKUP(A45,tbMoveset!A2:J112,10,FALSE)=TRUE,IF((Backdoors!AI12+IF(FG45&gt;=0.45,VLOOKUP(Calculator!E23,tbSkills!DH3:DI6,2,FALSE)+IF(AND(Calculator!B8=TRUE,Backdoors!BI26=TRUE),VLOOKUP(Calculator!E23,tbSkills!DH3:DJ6,3,FALSE),0),0))&gt;=0,1+(Backdoors!AL2*(IF((Backdoors!AI12+IF(FG45&gt;=0.45,VLOOKUP(Calculator!E23,tbSkills!DH3:DI6,2,FALSE)+IF(AND(Calculator!B8=TRUE,Backdoors!BI26=TRUE),VLOOKUP(Calculator!E23,tbSkills!DH3:DJ6,3,FALSE),0),0))&gt;=100,100,(Backdoors!AI12+IF(FG45&gt;=0.45,VLOOKUP(Calculator!E23,tbSkills!DH3:DI6,2,FALSE)+IF(AND(Calculator!B8=TRUE,Backdoors!BI26=TRUE),VLOOKUP(Calculator!E23,tbSkills!DH3:DJ6,3,FALSE),0),0)))/100)),(1-(0.25*((-Backdoors!AI12-IF(FG45&gt;=0.45,VLOOKUP(Calculator!E23,tbSkills!DH3:DI6,2,FALSE)+IF(AND(Calculator!B8=TRUE,Backdoors!BI26=TRUE),VLOOKUP(Calculator!E23,tbSkills!DH3:DJ6,3,FALSE),0),0))/100)))),1),"")</f>
        <v>1</v>
      </c>
      <c r="FJ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FG45)*FI45)*(VLOOKUP(A45,tbMoveset!A2:C112,3,FALSE)/100)*IF(VLOOKUP(A45,tbMoveset!A2:B112,2,FALSE)="Projectile",Backdoors!N10,Backdoors!N9),0),"")</f>
        <v/>
      </c>
      <c r="FK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FG45&gt;=0.45,VLOOKUP(Calculator!E23,tbSkills!DH3:DI6,2,FALSE)+IF(AND(Calculator!B8=TRUE,Backdoors!BI26=TRUE),VLOOKUP(Calculator!E23,tbSkills!DH3:DJ6,3,FALSE),0),0))&gt;=100,100,(Backdoors!AI12+IF(FG45&gt;=0.45,VLOOKUP(Calculator!E23,tbSkills!DH3:DI6,2,FALSE)+IF(AND(Calculator!B8=TRUE,Backdoors!BI26=TRUE),VLOOKUP(Calculator!E23,tbSkills!DH3:DJ6,3,FALSE),0),0)))/100)),1))*IF(VLOOKUP(A45,tbMoveset!A2:K112,11,FALSE)=TRUE,Backdoors!AC5,1))*FH45,0),"")</f>
        <v>0</v>
      </c>
      <c r="FL45" s="49">
        <f>VLOOKUP(A45,tbMoveset!A2:G112,7,FALSE)*IFERROR(IF(Backdoors!AI12&gt;=0,1+(IF(Calculator!E40&gt;0,VLOOKUP(Calculator!E40,tbSkills!AI3:AJ5,2,FALSE),Backdoors!AL4)*(IF((Backdoors!AI12+IF(FG45&gt;=0.45,VLOOKUP(Calculator!E23,tbSkills!DH3:DI6,2,FALSE)+IF(AND(Calculator!B8=TRUE,Backdoors!BI26=TRUE),VLOOKUP(Calculator!E23,tbSkills!DH3:DJ6,3,FALSE),0),0))&gt;=100,100,(Backdoors!AI12+IF(FG45&gt;=0.45,VLOOKUP(Calculator!E23,tbSkills!DH3:DI6,2,FALSE)+IF(AND(Calculator!B8=TRUE,Backdoors!BI26=TRUE),VLOOKUP(Calculator!E23,tbSkills!DH3:DJ6,3,FALSE),0),0)))/100)),1),1)</f>
        <v>0.6</v>
      </c>
      <c r="FM45" s="87">
        <f t="shared" si="16"/>
        <v>0</v>
      </c>
      <c r="FN45" s="86" t="str">
        <f>IFERROR(IF(VLOOKUP(A45,tbMoveset!A2:B112,2,FALSE)="Sever",Backdoors!AY27/100,IF(VLOOKUP(A45,tbMoveset!A2:B112,2,FALSE)="Blunt",Backdoors!AZ27/100,Backdoors!BA27/100)),"")</f>
        <v/>
      </c>
      <c r="FO45" s="49">
        <f>IFERROR(IF(VLOOKUP(tbMoveset!A45,tbMoveset!A2:H112,8,FALSE)="Other",IF(VLOOKUP(tbMoveset!A45,tbMoveset!A2:I112,9,FALSE)="Fire",Backdoors!BB27,IF(VLOOKUP(tbMoveset!A45,tbMoveset!A2:I112,9,FALSE)="Water",Backdoors!BC27,IF(VLOOKUP(tbMoveset!A45,tbMoveset!A2:I112,9,FALSE)="Thunder",Backdoors!BD27,IF(VLOOKUP(tbMoveset!A45,tbMoveset!A2:I112,9,FALSE)="Ice",Backdoors!BE27,IF(VLOOKUP(tbMoveset!A45,tbMoveset!A2:I112,9,FALSE)="Dragon",Backdoors!BF27,Backdoors!BG27)))))/100,Backdoors!BG27/100),"")</f>
        <v>0</v>
      </c>
      <c r="FP45" s="49">
        <f>IFERROR(IF(VLOOKUP(A45,tbMoveset!A2:J112,10,FALSE)=TRUE,IF((Backdoors!AI12+IF(FN45&gt;=0.45,VLOOKUP(Calculator!E23,tbSkills!DH3:DI6,2,FALSE)+IF(AND(Calculator!B8=TRUE,Backdoors!BI27=TRUE),VLOOKUP(Calculator!E23,tbSkills!DH3:DJ6,3,FALSE),0),0))&gt;=0,1+(Backdoors!AL2*(IF((Backdoors!AI12+IF(FN45&gt;=0.45,VLOOKUP(Calculator!E23,tbSkills!DH3:DI6,2,FALSE)+IF(AND(Calculator!B8=TRUE,Backdoors!BI27=TRUE),VLOOKUP(Calculator!E23,tbSkills!DH3:DJ6,3,FALSE),0),0))&gt;=100,100,(Backdoors!AI12+IF(FN45&gt;=0.45,VLOOKUP(Calculator!E23,tbSkills!DH3:DI6,2,FALSE)+IF(AND(Calculator!B8=TRUE,Backdoors!BI27=TRUE),VLOOKUP(Calculator!E23,tbSkills!DH3:DJ6,3,FALSE),0),0)))/100)),(1-(0.25*((-Backdoors!AI12-IF(FN45&gt;=0.45,VLOOKUP(Calculator!E23,tbSkills!DH3:DI6,2,FALSE)+IF(AND(Calculator!B8=TRUE,Backdoors!BI27=TRUE),VLOOKUP(Calculator!E23,tbSkills!DH3:DJ6,3,FALSE),0),0))/100)))),1),"")</f>
        <v>1</v>
      </c>
      <c r="FQ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FN45)*FP45)*(VLOOKUP(A45,tbMoveset!A2:C112,3,FALSE)/100)*IF(VLOOKUP(A45,tbMoveset!A2:B112,2,FALSE)="Projectile",Backdoors!N10,Backdoors!N9),0),"")</f>
        <v/>
      </c>
      <c r="FR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FN45&gt;=0.45,VLOOKUP(Calculator!E23,tbSkills!DH3:DI6,2,FALSE)+IF(AND(Calculator!B8=TRUE,Backdoors!BI27=TRUE),VLOOKUP(Calculator!E23,tbSkills!DH3:DJ6,3,FALSE),0),0))&gt;=100,100,(Backdoors!AI12+IF(FN45&gt;=0.45,VLOOKUP(Calculator!E23,tbSkills!DH3:DI6,2,FALSE)+IF(AND(Calculator!B8=TRUE,Backdoors!BI27=TRUE),VLOOKUP(Calculator!E23,tbSkills!DH3:DJ6,3,FALSE),0),0)))/100)),1))*IF(VLOOKUP(A45,tbMoveset!A2:K112,11,FALSE)=TRUE,Backdoors!AC5,1))*FO45,0),"")</f>
        <v>0</v>
      </c>
      <c r="FS45" s="49">
        <f>VLOOKUP(A45,tbMoveset!A2:G112,7,FALSE)*IFERROR(IF(Backdoors!AI12&gt;=0,1+(IF(Calculator!E40&gt;0,VLOOKUP(Calculator!E40,tbSkills!AI3:AJ5,2,FALSE),Backdoors!AL4)*(IF((Backdoors!AI12+IF(FN45&gt;=0.45,VLOOKUP(Calculator!E23,tbSkills!DH3:DI6,2,FALSE)+IF(AND(Calculator!B8=TRUE,Backdoors!BI27=TRUE),VLOOKUP(Calculator!E23,tbSkills!DH3:DJ6,3,FALSE),0),0))&gt;=100,100,(Backdoors!AI12+IF(FN45&gt;=0.45,VLOOKUP(Calculator!E23,tbSkills!DH3:DI6,2,FALSE)+IF(AND(Calculator!B8=TRUE,Backdoors!BI27=TRUE),VLOOKUP(Calculator!E23,tbSkills!DH3:DJ6,3,FALSE),0),0)))/100)),1),1)</f>
        <v>0.6</v>
      </c>
      <c r="FT45" s="87">
        <f t="shared" si="17"/>
        <v>0</v>
      </c>
      <c r="FU45" s="86" t="str">
        <f>IFERROR(IF(VLOOKUP(A45,tbMoveset!A2:B112,2,FALSE)="Sever",Backdoors!AY28/100,IF(VLOOKUP(A45,tbMoveset!A2:B112,2,FALSE)="Blunt",Backdoors!AZ28/100,Backdoors!BA28/100)),"")</f>
        <v/>
      </c>
      <c r="FV45" s="49">
        <f>IFERROR(IF(VLOOKUP(tbMoveset!A45,tbMoveset!A2:H112,8,FALSE)="Other",IF(VLOOKUP(tbMoveset!A45,tbMoveset!A2:I112,9,FALSE)="Fire",Backdoors!BB28,IF(VLOOKUP(tbMoveset!A45,tbMoveset!A2:I112,9,FALSE)="Water",Backdoors!BC28,IF(VLOOKUP(tbMoveset!A45,tbMoveset!A2:I112,9,FALSE)="Thunder",Backdoors!BD28,IF(VLOOKUP(tbMoveset!A45,tbMoveset!A2:I112,9,FALSE)="Ice",Backdoors!BE28,IF(VLOOKUP(tbMoveset!A45,tbMoveset!A2:I112,9,FALSE)="Dragon",Backdoors!BF28,Backdoors!BG28)))))/100,Backdoors!BG28/100),"")</f>
        <v>0</v>
      </c>
      <c r="FW45" s="49">
        <f>IFERROR(IF(VLOOKUP(A45,tbMoveset!A2:J112,10,FALSE)=TRUE,IF((Backdoors!AI12+IF(FU45&gt;=0.45,VLOOKUP(Calculator!E23,tbSkills!DH3:DI6,2,FALSE)+IF(AND(Calculator!B8=TRUE,Backdoors!BI28=TRUE),VLOOKUP(Calculator!E23,tbSkills!DH3:DJ6,3,FALSE),0),0))&gt;=0,1+(Backdoors!AL2*(IF((Backdoors!AI12+IF(FU45&gt;=0.45,VLOOKUP(Calculator!E23,tbSkills!DH3:DI6,2,FALSE)+IF(AND(Calculator!B8=TRUE,Backdoors!BI28=TRUE),VLOOKUP(Calculator!E23,tbSkills!DH3:DJ6,3,FALSE),0),0))&gt;=100,100,(Backdoors!AI12+IF(FU45&gt;=0.45,VLOOKUP(Calculator!E23,tbSkills!DH3:DI6,2,FALSE)+IF(AND(Calculator!B8=TRUE,Backdoors!BI28=TRUE),VLOOKUP(Calculator!E23,tbSkills!DH3:DJ6,3,FALSE),0),0)))/100)),(1-(0.25*((-Backdoors!AI12-IF(FU45&gt;=0.45,VLOOKUP(Calculator!E23,tbSkills!DH3:DI6,2,FALSE)+IF(AND(Calculator!B8=TRUE,Backdoors!BI28=TRUE),VLOOKUP(Calculator!E23,tbSkills!DH3:DJ6,3,FALSE),0),0))/100)))),1),"")</f>
        <v>1</v>
      </c>
      <c r="FX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FU45)*FW45)*(VLOOKUP(A45,tbMoveset!A2:C112,3,FALSE)/100)*IF(VLOOKUP(A45,tbMoveset!A2:B112,2,FALSE)="Projectile",Backdoors!N10,Backdoors!N9),0),"")</f>
        <v/>
      </c>
      <c r="FY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FU45&gt;=0.45,VLOOKUP(Calculator!E23,tbSkills!DH3:DI6,2,FALSE)+IF(AND(Calculator!B8=TRUE,Backdoors!BI28=TRUE),VLOOKUP(Calculator!E23,tbSkills!DH3:DJ6,3,FALSE),0),0))&gt;=100,100,(Backdoors!AI12+IF(FU45&gt;=0.45,VLOOKUP(Calculator!E23,tbSkills!DH3:DI6,2,FALSE)+IF(AND(Calculator!B8=TRUE,Backdoors!BI28=TRUE),VLOOKUP(Calculator!E23,tbSkills!DH3:DJ6,3,FALSE),0),0)))/100)),1))*IF(VLOOKUP(A45,tbMoveset!A2:K112,11,FALSE)=TRUE,Backdoors!AC5,1))*FV45,0),"")</f>
        <v>0</v>
      </c>
      <c r="FZ45" s="49">
        <f>VLOOKUP(A45,tbMoveset!A2:G112,7,FALSE)*IFERROR(IF(Backdoors!AI12&gt;=0,1+(IF(Calculator!E40&gt;0,VLOOKUP(Calculator!E40,tbSkills!AI3:AJ5,2,FALSE),Backdoors!AL4)*(IF((Backdoors!AI12+IF(FU45&gt;=0.45,VLOOKUP(Calculator!E23,tbSkills!DH3:DI6,2,FALSE)+IF(AND(Calculator!B8=TRUE,Backdoors!BI28=TRUE),VLOOKUP(Calculator!E23,tbSkills!DH3:DJ6,3,FALSE),0),0))&gt;=100,100,(Backdoors!AI12+IF(FU45&gt;=0.45,VLOOKUP(Calculator!E23,tbSkills!DH3:DI6,2,FALSE)+IF(AND(Calculator!B8=TRUE,Backdoors!BI28=TRUE),VLOOKUP(Calculator!E23,tbSkills!DH3:DJ6,3,FALSE),0),0)))/100)),1),1)</f>
        <v>0.6</v>
      </c>
      <c r="GA45" s="87">
        <f t="shared" si="18"/>
        <v>0</v>
      </c>
      <c r="GB45" s="86" t="str">
        <f>IFERROR(IF(VLOOKUP(A45,tbMoveset!A2:B112,2,FALSE)="Sever",Backdoors!AY29/100,IF(VLOOKUP(A45,tbMoveset!A2:B112,2,FALSE)="Blunt",Backdoors!AZ29/100,Backdoors!BA29/100)),"")</f>
        <v/>
      </c>
      <c r="GC45" s="49">
        <f>IFERROR(IF(VLOOKUP(tbMoveset!A45,tbMoveset!A2:H112,8,FALSE)="Other",IF(VLOOKUP(tbMoveset!A45,tbMoveset!A2:I112,9,FALSE)="Fire",Backdoors!BB29,IF(VLOOKUP(tbMoveset!A45,tbMoveset!A2:I112,9,FALSE)="Water",Backdoors!BC29,IF(VLOOKUP(tbMoveset!A45,tbMoveset!A2:I112,9,FALSE)="Thunder",Backdoors!BD29,IF(VLOOKUP(tbMoveset!A45,tbMoveset!A2:I112,9,FALSE)="Ice",Backdoors!BE29,IF(VLOOKUP(tbMoveset!A45,tbMoveset!A2:I112,9,FALSE)="Dragon",Backdoors!BF29,Backdoors!BG29)))))/100,Backdoors!BG29/100),"")</f>
        <v>0</v>
      </c>
      <c r="GD45" s="49">
        <f>IFERROR(IF(VLOOKUP(A45,tbMoveset!A2:J112,10,FALSE)=TRUE,IF((Backdoors!AI12+IF(GB45&gt;=0.45,VLOOKUP(Calculator!E23,tbSkills!DH3:DI6,2,FALSE)+IF(AND(Calculator!B8=TRUE,Backdoors!BI29=TRUE),VLOOKUP(Calculator!E23,tbSkills!DH3:DJ6,3,FALSE),0),0))&gt;=0,1+(Backdoors!AL2*(IF((Backdoors!AI12+IF(GB45&gt;=0.45,VLOOKUP(Calculator!E23,tbSkills!DH3:DI6,2,FALSE)+IF(AND(Calculator!B8=TRUE,Backdoors!BI29=TRUE),VLOOKUP(Calculator!E23,tbSkills!DH3:DJ6,3,FALSE),0),0))&gt;=100,100,(Backdoors!AI12+IF(GB45&gt;=0.45,VLOOKUP(Calculator!E23,tbSkills!DH3:DI6,2,FALSE)+IF(AND(Calculator!B8=TRUE,Backdoors!BI29=TRUE),VLOOKUP(Calculator!E23,tbSkills!DH3:DJ6,3,FALSE),0),0)))/100)),(1-(0.25*((-Backdoors!AI12-IF(GB45&gt;=0.45,VLOOKUP(Calculator!E23,tbSkills!DH3:DI6,2,FALSE)+IF(AND(Calculator!B8=TRUE,Backdoors!BI29=TRUE),VLOOKUP(Calculator!E23,tbSkills!DH3:DJ6,3,FALSE),0),0))/100)))),1),"")</f>
        <v>1</v>
      </c>
      <c r="GE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B45)*GD45)*(VLOOKUP(A45,tbMoveset!A2:C112,3,FALSE)/100)*IF(VLOOKUP(A45,tbMoveset!A2:B112,2,FALSE)="Projectile",Backdoors!N10,Backdoors!N9),0),"")</f>
        <v/>
      </c>
      <c r="GF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B45&gt;=0.45,VLOOKUP(Calculator!E23,tbSkills!DH3:DI6,2,FALSE)+IF(AND(Calculator!B8=TRUE,Backdoors!BI29=TRUE),VLOOKUP(Calculator!E23,tbSkills!DH3:DJ6,3,FALSE),0),0))&gt;=100,100,(Backdoors!AI12+IF(GB45&gt;=0.45,VLOOKUP(Calculator!E23,tbSkills!DH3:DI6,2,FALSE)+IF(AND(Calculator!B8=TRUE,Backdoors!BI29=TRUE),VLOOKUP(Calculator!E23,tbSkills!DH3:DJ6,3,FALSE),0),0)))/100)),1))*IF(VLOOKUP(A45,tbMoveset!A2:K112,11,FALSE)=TRUE,Backdoors!AC5,1))*GC45,0),"")</f>
        <v>0</v>
      </c>
      <c r="GG45" s="49">
        <f>VLOOKUP(A45,tbMoveset!A2:G112,7,FALSE)*IFERROR(IF(Backdoors!AI12&gt;=0,1+(IF(Calculator!E40&gt;0,VLOOKUP(Calculator!E40,tbSkills!AI3:AJ5,2,FALSE),Backdoors!AL4)*(IF((Backdoors!AI12+IF(GB45&gt;=0.45,VLOOKUP(Calculator!E23,tbSkills!DH3:DI6,2,FALSE)+IF(AND(Calculator!B8=TRUE,Backdoors!BI29=TRUE),VLOOKUP(Calculator!E23,tbSkills!DH3:DJ6,3,FALSE),0),0))&gt;=100,100,(Backdoors!AI12+IF(GB45&gt;=0.45,VLOOKUP(Calculator!E23,tbSkills!DH3:DI6,2,FALSE)+IF(AND(Calculator!B8=TRUE,Backdoors!BI29=TRUE),VLOOKUP(Calculator!E23,tbSkills!DH3:DJ6,3,FALSE),0),0)))/100)),1),1)</f>
        <v>0.6</v>
      </c>
      <c r="GH45" s="87">
        <f t="shared" si="19"/>
        <v>0</v>
      </c>
      <c r="GI45" s="86" t="str">
        <f>IFERROR(IF(VLOOKUP(A45,tbMoveset!A2:B112,2,FALSE)="Sever",Backdoors!AY30/100,IF(VLOOKUP(A45,tbMoveset!A2:B112,2,FALSE)="Blunt",Backdoors!AZ30/100,Backdoors!BA30/100)),"")</f>
        <v/>
      </c>
      <c r="GJ45" s="49">
        <f>IFERROR(IF(VLOOKUP(tbMoveset!A45,tbMoveset!A2:H112,8,FALSE)="Other",IF(VLOOKUP(tbMoveset!A45,tbMoveset!A2:I112,9,FALSE)="Fire",Backdoors!BB30,IF(VLOOKUP(tbMoveset!A45,tbMoveset!A2:I112,9,FALSE)="Water",Backdoors!BC30,IF(VLOOKUP(tbMoveset!A45,tbMoveset!A2:I112,9,FALSE)="Thunder",Backdoors!BD30,IF(VLOOKUP(tbMoveset!A45,tbMoveset!A2:I112,9,FALSE)="Ice",Backdoors!BE30,IF(VLOOKUP(tbMoveset!A45,tbMoveset!A2:I112,9,FALSE)="Dragon",Backdoors!BF30,Backdoors!BG30)))))/100,Backdoors!BG30/100),"")</f>
        <v>0</v>
      </c>
      <c r="GK45" s="49">
        <f>IFERROR(IF(VLOOKUP(A45,tbMoveset!A2:J112,10,FALSE)=TRUE,IF((Backdoors!AI12+IF(GI45&gt;=0.45,VLOOKUP(Calculator!E23,tbSkills!DH3:DI6,2,FALSE)+IF(AND(Calculator!B8=TRUE,Backdoors!BI30=TRUE),VLOOKUP(Calculator!E23,tbSkills!DH3:DJ6,3,FALSE),0),0))&gt;=0,1+(Backdoors!AL2*(IF((Backdoors!AI12+IF(GI45&gt;=0.45,VLOOKUP(Calculator!E23,tbSkills!DH3:DI6,2,FALSE)+IF(AND(Calculator!B8=TRUE,Backdoors!BI30=TRUE),VLOOKUP(Calculator!E23,tbSkills!DH3:DJ6,3,FALSE),0),0))&gt;=100,100,(Backdoors!AI12+IF(GI45&gt;=0.45,VLOOKUP(Calculator!E23,tbSkills!DH3:DI6,2,FALSE)+IF(AND(Calculator!B8=TRUE,Backdoors!BI30=TRUE),VLOOKUP(Calculator!E23,tbSkills!DH3:DJ6,3,FALSE),0),0)))/100)),(1-(0.25*((-Backdoors!AI12-IF(GI45&gt;=0.45,VLOOKUP(Calculator!E23,tbSkills!DH3:DI6,2,FALSE)+IF(AND(Calculator!B8=TRUE,Backdoors!BI30=TRUE),VLOOKUP(Calculator!E23,tbSkills!DH3:DJ6,3,FALSE),0),0))/100)))),1),"")</f>
        <v>1</v>
      </c>
      <c r="GL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I45)*GK45)*(VLOOKUP(A45,tbMoveset!A2:C112,3,FALSE)/100)*IF(VLOOKUP(A45,tbMoveset!A2:B112,2,FALSE)="Projectile",Backdoors!N10,Backdoors!N9),0),"")</f>
        <v/>
      </c>
      <c r="GM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I45&gt;=0.45,VLOOKUP(Calculator!E23,tbSkills!DH3:DI6,2,FALSE)+IF(AND(Calculator!B8=TRUE,Backdoors!BI30=TRUE),VLOOKUP(Calculator!E23,tbSkills!DH3:DJ6,3,FALSE),0),0))&gt;=100,100,(Backdoors!AI12+IF(GI45&gt;=0.45,VLOOKUP(Calculator!E23,tbSkills!DH3:DI6,2,FALSE)+IF(AND(Calculator!B8=TRUE,Backdoors!BI30=TRUE),VLOOKUP(Calculator!E23,tbSkills!DH3:DJ6,3,FALSE),0),0)))/100)),1))*IF(VLOOKUP(A45,tbMoveset!A2:K112,11,FALSE)=TRUE,Backdoors!AC5,1))*GJ45,0),"")</f>
        <v>0</v>
      </c>
      <c r="GN45" s="49">
        <f>VLOOKUP(A45,tbMoveset!A2:G112,7,FALSE)*IFERROR(IF(Backdoors!AI12&gt;=0,1+(IF(Calculator!E40&gt;0,VLOOKUP(Calculator!E40,tbSkills!AI3:AJ5,2,FALSE),Backdoors!AL4)*(IF((Backdoors!AI12+IF(GI45&gt;=0.45,VLOOKUP(Calculator!E23,tbSkills!DH3:DI6,2,FALSE)+IF(AND(Calculator!B8=TRUE,Backdoors!BI30=TRUE),VLOOKUP(Calculator!E23,tbSkills!DH3:DJ6,3,FALSE),0),0))&gt;=100,100,(Backdoors!AI12+IF(GI45&gt;=0.45,VLOOKUP(Calculator!E23,tbSkills!DH3:DI6,2,FALSE)+IF(AND(Calculator!B8=TRUE,Backdoors!BI30=TRUE),VLOOKUP(Calculator!E23,tbSkills!DH3:DJ6,3,FALSE),0),0)))/100)),1),1)</f>
        <v>0.6</v>
      </c>
      <c r="GO45" s="87">
        <f t="shared" si="20"/>
        <v>0</v>
      </c>
      <c r="GP45" s="86" t="str">
        <f>IFERROR(IF(VLOOKUP(A45,tbMoveset!A2:B112,2,FALSE)="Sever",Backdoors!AY31/100,IF(VLOOKUP(A45,tbMoveset!A2:B112,2,FALSE)="Blunt",Backdoors!AZ31/100,Backdoors!BA31/100)),"")</f>
        <v/>
      </c>
      <c r="GQ45" s="49">
        <f>IFERROR(IF(VLOOKUP(tbMoveset!A45,tbMoveset!A2:H112,8,FALSE)="Other",IF(VLOOKUP(tbMoveset!A45,tbMoveset!A2:I112,9,FALSE)="Fire",Backdoors!BB31,IF(VLOOKUP(tbMoveset!A45,tbMoveset!A2:I112,9,FALSE)="Water",Backdoors!BC31,IF(VLOOKUP(tbMoveset!A45,tbMoveset!A2:I112,9,FALSE)="Thunder",Backdoors!BD31,IF(VLOOKUP(tbMoveset!A45,tbMoveset!A2:I112,9,FALSE)="Ice",Backdoors!BE31,IF(VLOOKUP(tbMoveset!A45,tbMoveset!A2:I112,9,FALSE)="Dragon",Backdoors!BF31,Backdoors!BG31)))))/100,Backdoors!BG31/100),"")</f>
        <v>0</v>
      </c>
      <c r="GR45" s="49">
        <f>IFERROR(IF(VLOOKUP(A45,tbMoveset!A2:J112,10,FALSE)=TRUE,IF((Backdoors!AI12+IF(GP45&gt;=0.45,VLOOKUP(Calculator!E23,tbSkills!DH3:DI6,2,FALSE)+IF(AND(Calculator!B8=TRUE,Backdoors!BI31=TRUE),VLOOKUP(Calculator!E23,tbSkills!DH3:DJ6,3,FALSE),0),0))&gt;=0,1+(Backdoors!AL2*(IF((Backdoors!AI12+IF(GP45&gt;=0.45,VLOOKUP(Calculator!E23,tbSkills!DH3:DI6,2,FALSE)+IF(AND(Calculator!B8=TRUE,Backdoors!BI31=TRUE),VLOOKUP(Calculator!E23,tbSkills!DH3:DJ6,3,FALSE),0),0))&gt;=100,100,(Backdoors!AI12+IF(GP45&gt;=0.45,VLOOKUP(Calculator!E23,tbSkills!DH3:DI6,2,FALSE)+IF(AND(Calculator!B8=TRUE,Backdoors!BI31=TRUE),VLOOKUP(Calculator!E23,tbSkills!DH3:DJ6,3,FALSE),0),0)))/100)),(1-(0.25*((-Backdoors!AI12-IF(GP45&gt;=0.45,VLOOKUP(Calculator!E23,tbSkills!DH3:DI6,2,FALSE)+IF(AND(Calculator!B8=TRUE,Backdoors!BI31=TRUE),VLOOKUP(Calculator!E23,tbSkills!DH3:DJ6,3,FALSE),0),0))/100)))),1),"")</f>
        <v>1</v>
      </c>
      <c r="GS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P45)*GR45)*(VLOOKUP(A45,tbMoveset!A2:C112,3,FALSE)/100)*IF(VLOOKUP(A45,tbMoveset!A2:B112,2,FALSE)="Projectile",Backdoors!N10,Backdoors!N9),0),"")</f>
        <v/>
      </c>
      <c r="GT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P45&gt;=0.45,VLOOKUP(Calculator!E23,tbSkills!DH3:DI6,2,FALSE)+IF(AND(Calculator!B8=TRUE,Backdoors!BI31=TRUE),VLOOKUP(Calculator!E23,tbSkills!DH3:DJ6,3,FALSE),0),0))&gt;=100,100,(Backdoors!AI12+IF(GP45&gt;=0.45,VLOOKUP(Calculator!E23,tbSkills!DH3:DI6,2,FALSE)+IF(AND(Calculator!B8=TRUE,Backdoors!BI31=TRUE),VLOOKUP(Calculator!E23,tbSkills!DH3:DJ6,3,FALSE),0),0)))/100)),1))*IF(VLOOKUP(A45,tbMoveset!A2:K112,11,FALSE)=TRUE,Backdoors!AC5,1))*GQ45,0),"")</f>
        <v>0</v>
      </c>
      <c r="GU45" s="49">
        <f>VLOOKUP(A45,tbMoveset!A2:G112,7,FALSE)*IFERROR(IF(Backdoors!AI12&gt;=0,1+(IF(Calculator!E40&gt;0,VLOOKUP(Calculator!E40,tbSkills!AI3:AJ5,2,FALSE),Backdoors!AL4)*(IF((Backdoors!AI12+IF(GP45&gt;=0.45,VLOOKUP(Calculator!E23,tbSkills!DH3:DI6,2,FALSE)+IF(AND(Calculator!B8=TRUE,Backdoors!BI31=TRUE),VLOOKUP(Calculator!E23,tbSkills!DH3:DJ6,3,FALSE),0),0))&gt;=100,100,(Backdoors!AI12+IF(GP45&gt;=0.45,VLOOKUP(Calculator!E23,tbSkills!DH3:DI6,2,FALSE)+IF(AND(Calculator!B8=TRUE,Backdoors!BI31=TRUE),VLOOKUP(Calculator!E23,tbSkills!DH3:DJ6,3,FALSE),0),0)))/100)),1),1)</f>
        <v>0.6</v>
      </c>
      <c r="GV45" s="87">
        <f t="shared" si="21"/>
        <v>0</v>
      </c>
      <c r="GW45" s="86" t="str">
        <f>IFERROR(IF(VLOOKUP(A45,tbMoveset!A2:B112,2,FALSE)="Sever",Backdoors!AY32/100,IF(VLOOKUP(A45,tbMoveset!A2:B112,2,FALSE)="Blunt",Backdoors!AZ32/100,Backdoors!BA32/100)),"")</f>
        <v/>
      </c>
      <c r="GX45" s="49">
        <f>IFERROR(IF(VLOOKUP(tbMoveset!A45,tbMoveset!A2:H112,8,FALSE)="Other",IF(VLOOKUP(tbMoveset!A45,tbMoveset!A2:I112,9,FALSE)="Fire",Backdoors!BB32,IF(VLOOKUP(tbMoveset!A45,tbMoveset!A2:I112,9,FALSE)="Water",Backdoors!BC32,IF(VLOOKUP(tbMoveset!A45,tbMoveset!A2:I112,9,FALSE)="Thunder",Backdoors!BD32,IF(VLOOKUP(tbMoveset!A45,tbMoveset!A2:I112,9,FALSE)="Ice",Backdoors!BE32,IF(VLOOKUP(tbMoveset!A45,tbMoveset!A2:I112,9,FALSE)="Dragon",Backdoors!BF32,Backdoors!BG32)))))/100,Backdoors!BG32/100),"")</f>
        <v>0</v>
      </c>
      <c r="GY45" s="49">
        <f>IFERROR(IF(VLOOKUP(A45,tbMoveset!A2:J112,10,FALSE)=TRUE,IF((Backdoors!AI12+IF(GW45&gt;=0.45,VLOOKUP(Calculator!E23,tbSkills!DH3:DI6,2,FALSE)+IF(AND(Calculator!B8=TRUE,Backdoors!BI32=TRUE),VLOOKUP(Calculator!E23,tbSkills!DH3:DJ6,3,FALSE),0),0))&gt;=0,1+(Backdoors!AL2*(IF((Backdoors!AI12+IF(GW45&gt;=0.45,VLOOKUP(Calculator!E23,tbSkills!DH3:DI6,2,FALSE)+IF(AND(Calculator!B8=TRUE,Backdoors!BI32=TRUE),VLOOKUP(Calculator!E23,tbSkills!DH3:DJ6,3,FALSE),0),0))&gt;=100,100,(Backdoors!AI12+IF(GW45&gt;=0.45,VLOOKUP(Calculator!E23,tbSkills!DH3:DI6,2,FALSE)+IF(AND(Calculator!B8=TRUE,Backdoors!BI32=TRUE),VLOOKUP(Calculator!E23,tbSkills!DH3:DJ6,3,FALSE),0),0)))/100)),(1-(0.25*((-Backdoors!AI12-IF(GW45&gt;=0.45,VLOOKUP(Calculator!E23,tbSkills!DH3:DI6,2,FALSE)+IF(AND(Calculator!B8=TRUE,Backdoors!BI32=TRUE),VLOOKUP(Calculator!E23,tbSkills!DH3:DJ6,3,FALSE),0),0))/100)))),1),"")</f>
        <v>1</v>
      </c>
      <c r="GZ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W45)*GY45)*(VLOOKUP(A45,tbMoveset!A2:C112,3,FALSE)/100)*IF(VLOOKUP(A45,tbMoveset!A2:B112,2,FALSE)="Projectile",Backdoors!N10,Backdoors!N9),0),"")</f>
        <v/>
      </c>
      <c r="HA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W45&gt;=0.45,VLOOKUP(Calculator!E23,tbSkills!DH3:DI6,2,FALSE)+IF(AND(Calculator!B8=TRUE,Backdoors!BI32=TRUE),VLOOKUP(Calculator!E23,tbSkills!DH3:DJ6,3,FALSE),0),0))&gt;=100,100,(Backdoors!AI12+IF(GW45&gt;=0.45,VLOOKUP(Calculator!E23,tbSkills!DH3:DI6,2,FALSE)+IF(AND(Calculator!B8=TRUE,Backdoors!BI32=TRUE),VLOOKUP(Calculator!E23,tbSkills!DH3:DJ6,3,FALSE),0),0)))/100)),1))*IF(VLOOKUP(A45,tbMoveset!A2:K112,11,FALSE)=TRUE,Backdoors!AC5,1))*GX45,0),"")</f>
        <v>0</v>
      </c>
      <c r="HB45" s="49">
        <f>VLOOKUP(A45,tbMoveset!A2:G112,7,FALSE)*IFERROR(IF(Backdoors!AI12&gt;=0,1+(IF(Calculator!E40&gt;0,VLOOKUP(Calculator!E40,tbSkills!AI3:AJ5,2,FALSE),Backdoors!AL4)*(IF((Backdoors!AI12+IF(GW45&gt;=0.45,VLOOKUP(Calculator!E23,tbSkills!DH3:DI6,2,FALSE)+IF(AND(Calculator!B8=TRUE,Backdoors!BI32=TRUE),VLOOKUP(Calculator!E23,tbSkills!DH3:DJ6,3,FALSE),0),0))&gt;=100,100,(Backdoors!AI12+IF(GW45&gt;=0.45,VLOOKUP(Calculator!E23,tbSkills!DH3:DI6,2,FALSE)+IF(AND(Calculator!B8=TRUE,Backdoors!BI32=TRUE),VLOOKUP(Calculator!E23,tbSkills!DH3:DJ6,3,FALSE),0),0)))/100)),1),1)</f>
        <v>0.6</v>
      </c>
      <c r="HC45" s="87">
        <f t="shared" si="22"/>
        <v>0</v>
      </c>
      <c r="HD45" s="86" t="str">
        <f>IFERROR(IF(VLOOKUP(A45,tbMoveset!A2:B112,2,FALSE)="Sever",Backdoors!AY33/100,IF(VLOOKUP(A45,tbMoveset!A2:B112,2,FALSE)="Blunt",Backdoors!AZ33/100,Backdoors!BA33/100)),"")</f>
        <v/>
      </c>
      <c r="HE45" s="49">
        <f>IFERROR(IF(VLOOKUP(tbMoveset!A45,tbMoveset!A2:H112,8,FALSE)="Other",IF(VLOOKUP(tbMoveset!A45,tbMoveset!A2:I112,9,FALSE)="Fire",Backdoors!BB33,IF(VLOOKUP(tbMoveset!A45,tbMoveset!A2:I112,9,FALSE)="Water",Backdoors!BC33,IF(VLOOKUP(tbMoveset!A45,tbMoveset!A2:I112,9,FALSE)="Thunder",Backdoors!BD33,IF(VLOOKUP(tbMoveset!A45,tbMoveset!A2:I112,9,FALSE)="Ice",Backdoors!BE33,IF(VLOOKUP(tbMoveset!A45,tbMoveset!A2:I112,9,FALSE)="Dragon",Backdoors!BF33,Backdoors!BG33)))))/100,Backdoors!BG33/100),"")</f>
        <v>0</v>
      </c>
      <c r="HF45" s="49">
        <f>IFERROR(IF(VLOOKUP(A45,tbMoveset!A2:J112,10,FALSE)=TRUE,IF((Backdoors!AI12+IF(HD45&gt;=0.45,VLOOKUP(Calculator!E23,tbSkills!DH3:DI6,2,FALSE)+IF(AND(Calculator!B8=TRUE,Backdoors!BI33=TRUE),VLOOKUP(Calculator!E23,tbSkills!DH3:DJ6,3,FALSE),0),0))&gt;=0,1+(Backdoors!AL2*(IF((Backdoors!AI12+IF(HD45&gt;=0.45,VLOOKUP(Calculator!E23,tbSkills!DH3:DI6,2,FALSE)+IF(AND(Calculator!B8=TRUE,Backdoors!BI33=TRUE),VLOOKUP(Calculator!E23,tbSkills!DH3:DJ6,3,FALSE),0),0))&gt;=100,100,(Backdoors!AI12+IF(HD45&gt;=0.45,VLOOKUP(Calculator!E23,tbSkills!DH3:DI6,2,FALSE)+IF(AND(Calculator!B8=TRUE,Backdoors!BI33=TRUE),VLOOKUP(Calculator!E23,tbSkills!DH3:DJ6,3,FALSE),0),0)))/100)),(1-(0.25*((-Backdoors!AI12-IF(HD45&gt;=0.45,VLOOKUP(Calculator!E23,tbSkills!DH3:DI6,2,FALSE)+IF(AND(Calculator!B8=TRUE,Backdoors!BI33=TRUE),VLOOKUP(Calculator!E23,tbSkills!DH3:DJ6,3,FALSE),0),0))/100)))),1),"")</f>
        <v>1</v>
      </c>
      <c r="HG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D45)*HF45)*(VLOOKUP(A45,tbMoveset!A2:C112,3,FALSE)/100)*IF(VLOOKUP(A45,tbMoveset!A2:B112,2,FALSE)="Projectile",Backdoors!N10,Backdoors!N9),0),"")</f>
        <v/>
      </c>
      <c r="HH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D45&gt;=0.45,VLOOKUP(Calculator!E23,tbSkills!DH3:DI6,2,FALSE)+IF(AND(Calculator!B8=TRUE,Backdoors!BI33=TRUE),VLOOKUP(Calculator!E23,tbSkills!DH3:DJ6,3,FALSE),0),0))&gt;=100,100,(Backdoors!AI12+IF(HD45&gt;=0.45,VLOOKUP(Calculator!E23,tbSkills!DH3:DI6,2,FALSE)+IF(AND(Calculator!B8=TRUE,Backdoors!BI33=TRUE),VLOOKUP(Calculator!E23,tbSkills!DH3:DJ6,3,FALSE),0),0)))/100)),1))*IF(VLOOKUP(A45,tbMoveset!A2:K112,11,FALSE)=TRUE,Backdoors!AC5,1))*HE45,0),"")</f>
        <v>0</v>
      </c>
      <c r="HI45" s="49">
        <f>VLOOKUP(A45,tbMoveset!A2:G112,7,FALSE)*IFERROR(IF(Backdoors!AI12&gt;=0,1+(IF(Calculator!E40&gt;0,VLOOKUP(Calculator!E40,tbSkills!AI3:AJ5,2,FALSE),Backdoors!AL4)*(IF((Backdoors!AI12+IF(HD45&gt;=0.45,VLOOKUP(Calculator!E23,tbSkills!DH3:DI6,2,FALSE)+IF(AND(Calculator!B8=TRUE,Backdoors!BI33=TRUE),VLOOKUP(Calculator!E23,tbSkills!DH3:DJ6,3,FALSE),0),0))&gt;=100,100,(Backdoors!AI12+IF(HD45&gt;=0.45,VLOOKUP(Calculator!E23,tbSkills!DH3:DI6,2,FALSE)+IF(AND(Calculator!B8=TRUE,Backdoors!BI33=TRUE),VLOOKUP(Calculator!E23,tbSkills!DH3:DJ6,3,FALSE),0),0)))/100)),1),1)</f>
        <v>0.6</v>
      </c>
      <c r="HJ45" s="87">
        <f t="shared" si="23"/>
        <v>0</v>
      </c>
      <c r="HK45" s="86" t="str">
        <f>IFERROR(IF(VLOOKUP(A45,tbMoveset!A2:B112,2,FALSE)="Sever",Backdoors!AY34/100,IF(VLOOKUP(A45,tbMoveset!A2:B112,2,FALSE)="Blunt",Backdoors!AZ34/100,Backdoors!BA34/100)),"")</f>
        <v/>
      </c>
      <c r="HL45" s="49">
        <f>IFERROR(IF(VLOOKUP(tbMoveset!A45,tbMoveset!A2:H112,8,FALSE)="Other",IF(VLOOKUP(tbMoveset!A45,tbMoveset!A2:I112,9,FALSE)="Fire",Backdoors!BB34,IF(VLOOKUP(tbMoveset!A45,tbMoveset!A2:I112,9,FALSE)="Water",Backdoors!BC34,IF(VLOOKUP(tbMoveset!A45,tbMoveset!A2:I112,9,FALSE)="Thunder",Backdoors!BD34,IF(VLOOKUP(tbMoveset!A45,tbMoveset!A2:I112,9,FALSE)="Ice",Backdoors!BE34,IF(VLOOKUP(tbMoveset!A45,tbMoveset!A2:I112,9,FALSE)="Dragon",Backdoors!BF34,Backdoors!BG34)))))/100,Backdoors!BG34/100),"")</f>
        <v>0</v>
      </c>
      <c r="HM45" s="49">
        <f>IFERROR(IF(VLOOKUP(A45,tbMoveset!A2:J112,10,FALSE)=TRUE,IF((Backdoors!AI12+IF(HK45&gt;=0.45,VLOOKUP(Calculator!E23,tbSkills!DH3:DI6,2,FALSE)+IF(AND(Calculator!B8=TRUE,Backdoors!BI34=TRUE),VLOOKUP(Calculator!E23,tbSkills!DH3:DJ6,3,FALSE),0),0))&gt;=0,1+(Backdoors!AL2*(IF((Backdoors!AI12+IF(HK45&gt;=0.45,VLOOKUP(Calculator!E23,tbSkills!DH3:DI6,2,FALSE)+IF(AND(Calculator!B8=TRUE,Backdoors!BI34=TRUE),VLOOKUP(Calculator!E23,tbSkills!DH3:DJ6,3,FALSE),0),0))&gt;=100,100,(Backdoors!AI12+IF(HK45&gt;=0.45,VLOOKUP(Calculator!E23,tbSkills!DH3:DI6,2,FALSE)+IF(AND(Calculator!B8=TRUE,Backdoors!BI34=TRUE),VLOOKUP(Calculator!E23,tbSkills!DH3:DJ6,3,FALSE),0),0)))/100)),(1-(0.25*((-Backdoors!AI12-IF(HK45&gt;=0.45,VLOOKUP(Calculator!E23,tbSkills!DH3:DI6,2,FALSE)+IF(AND(Calculator!B8=TRUE,Backdoors!BI34=TRUE),VLOOKUP(Calculator!E23,tbSkills!DH3:DJ6,3,FALSE),0),0))/100)))),1),"")</f>
        <v>1</v>
      </c>
      <c r="HN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K45)*HM45)*(VLOOKUP(A45,tbMoveset!A2:C112,3,FALSE)/100)*IF(VLOOKUP(A45,tbMoveset!A2:B112,2,FALSE)="Projectile",Backdoors!N10,Backdoors!N9),0),"")</f>
        <v/>
      </c>
      <c r="HO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K45&gt;=0.45,VLOOKUP(Calculator!E23,tbSkills!DH3:DI6,2,FALSE)+IF(AND(Calculator!B8=TRUE,Backdoors!BI34=TRUE),VLOOKUP(Calculator!E23,tbSkills!DH3:DJ6,3,FALSE),0),0))&gt;=100,100,(Backdoors!AI12+IF(HK45&gt;=0.45,VLOOKUP(Calculator!E23,tbSkills!DH3:DI6,2,FALSE)+IF(AND(Calculator!B8=TRUE,Backdoors!BI34=TRUE),VLOOKUP(Calculator!E23,tbSkills!DH3:DJ6,3,FALSE),0),0)))/100)),1))*IF(VLOOKUP(A45,tbMoveset!A2:K112,11,FALSE)=TRUE,Backdoors!AC5,1))*HL45,0),"")</f>
        <v>0</v>
      </c>
      <c r="HP45" s="49">
        <f>VLOOKUP(A45,tbMoveset!A2:G112,7,FALSE)*IFERROR(IF(Backdoors!AI12&gt;=0,1+(IF(Calculator!E40&gt;0,VLOOKUP(Calculator!E40,tbSkills!AI3:AJ5,2,FALSE),Backdoors!AL4)*(IF((Backdoors!AI12+IF(HK45&gt;=0.45,VLOOKUP(Calculator!E23,tbSkills!DH3:DI6,2,FALSE)+IF(AND(Calculator!B8=TRUE,Backdoors!BI34=TRUE),VLOOKUP(Calculator!E23,tbSkills!DH3:DJ6,3,FALSE),0),0))&gt;=100,100,(Backdoors!AI12+IF(HK45&gt;=0.45,VLOOKUP(Calculator!E23,tbSkills!DH3:DI6,2,FALSE)+IF(AND(Calculator!B8=TRUE,Backdoors!BI34=TRUE),VLOOKUP(Calculator!E23,tbSkills!DH3:DJ6,3,FALSE),0),0)))/100)),1),1)</f>
        <v>0.6</v>
      </c>
      <c r="HQ45" s="87">
        <f t="shared" si="24"/>
        <v>0</v>
      </c>
      <c r="HR45" s="86" t="str">
        <f>IFERROR(IF(VLOOKUP(A45,tbMoveset!A2:B112,2,FALSE)="Sever",Backdoors!AY35/100,IF(VLOOKUP(A45,tbMoveset!A2:B112,2,FALSE)="Blunt",Backdoors!AZ35/100,Backdoors!BA35/100)),"")</f>
        <v/>
      </c>
      <c r="HS45" s="49">
        <f>IFERROR(IF(VLOOKUP(tbMoveset!A45,tbMoveset!A2:H112,8,FALSE)="Other",IF(VLOOKUP(tbMoveset!A45,tbMoveset!A2:I112,9,FALSE)="Fire",Backdoors!BB35,IF(VLOOKUP(tbMoveset!A45,tbMoveset!A2:I112,9,FALSE)="Water",Backdoors!BC35,IF(VLOOKUP(tbMoveset!A45,tbMoveset!A2:I112,9,FALSE)="Thunder",Backdoors!BD35,IF(VLOOKUP(tbMoveset!A45,tbMoveset!A2:I112,9,FALSE)="Ice",Backdoors!BE35,IF(VLOOKUP(tbMoveset!A45,tbMoveset!A2:I112,9,FALSE)="Dragon",Backdoors!BF35,Backdoors!BG35)))))/100,Backdoors!BG35/100),"")</f>
        <v>0</v>
      </c>
      <c r="HT45" s="49">
        <f>IFERROR(IF(VLOOKUP(A45,tbMoveset!A2:J112,10,FALSE)=TRUE,IF((Backdoors!AI12+IF(HR45&gt;=0.45,VLOOKUP(Calculator!E23,tbSkills!DH3:DI6,2,FALSE)+IF(AND(Calculator!B8=TRUE,Backdoors!BI35=TRUE),VLOOKUP(Calculator!E23,tbSkills!DH3:DJ6,3,FALSE),0),0))&gt;=0,1+(Backdoors!AL2*(IF((Backdoors!AI12+IF(HR45&gt;=0.45,VLOOKUP(Calculator!E23,tbSkills!DH3:DI6,2,FALSE)+IF(AND(Calculator!B8=TRUE,Backdoors!BI35=TRUE),VLOOKUP(Calculator!E23,tbSkills!DH3:DJ6,3,FALSE),0),0))&gt;=100,100,(Backdoors!AI12+IF(HR45&gt;=0.45,VLOOKUP(Calculator!E23,tbSkills!DH3:DI6,2,FALSE)+IF(AND(Calculator!B8=TRUE,Backdoors!BI35=TRUE),VLOOKUP(Calculator!E23,tbSkills!DH3:DJ6,3,FALSE),0),0)))/100)),(1-(0.25*((-Backdoors!AI12-IF(HR45&gt;=0.45,VLOOKUP(Calculator!E23,tbSkills!DH3:DI6,2,FALSE)+IF(AND(Calculator!B8=TRUE,Backdoors!BI35=TRUE),VLOOKUP(Calculator!E23,tbSkills!DH3:DJ6,3,FALSE),0),0))/100)))),1),"")</f>
        <v>1</v>
      </c>
      <c r="HU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R45)*HT45)*(VLOOKUP(A45,tbMoveset!A2:C112,3,FALSE)/100)*IF(VLOOKUP(A45,tbMoveset!A2:B112,2,FALSE)="Projectile",Backdoors!N10,Backdoors!N9),0),"")</f>
        <v/>
      </c>
      <c r="HV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R45&gt;=0.45,VLOOKUP(Calculator!E23,tbSkills!DH3:DI6,2,FALSE)+IF(AND(Calculator!B8=TRUE,Backdoors!BI35=TRUE),VLOOKUP(Calculator!E23,tbSkills!DH3:DJ6,3,FALSE),0),0))&gt;=100,100,(Backdoors!AI12+IF(HR45&gt;=0.45,VLOOKUP(Calculator!E23,tbSkills!DH3:DI6,2,FALSE)+IF(AND(Calculator!B8=TRUE,Backdoors!BI35=TRUE),VLOOKUP(Calculator!E23,tbSkills!DH3:DJ6,3,FALSE),0),0)))/100)),1))*IF(VLOOKUP(A45,tbMoveset!A2:K112,11,FALSE)=TRUE,Backdoors!AC5,1))*HS45,0),"")</f>
        <v>0</v>
      </c>
      <c r="HW45" s="49">
        <f>VLOOKUP(A45,tbMoveset!A2:G112,7,FALSE)*IFERROR(IF(Backdoors!AI12&gt;=0,1+(IF(Calculator!E40&gt;0,VLOOKUP(Calculator!E40,tbSkills!AI3:AJ5,2,FALSE),Backdoors!AL4)*(IF((Backdoors!AI12+IF(HR45&gt;=0.45,VLOOKUP(Calculator!E23,tbSkills!DH3:DI6,2,FALSE)+IF(AND(Calculator!B8=TRUE,Backdoors!BI35=TRUE),VLOOKUP(Calculator!E23,tbSkills!DH3:DJ6,3,FALSE),0),0))&gt;=100,100,(Backdoors!AI12+IF(HR45&gt;=0.45,VLOOKUP(Calculator!E23,tbSkills!DH3:DI6,2,FALSE)+IF(AND(Calculator!B8=TRUE,Backdoors!BI35=TRUE),VLOOKUP(Calculator!E23,tbSkills!DH3:DJ6,3,FALSE),0),0)))/100)),1),1)</f>
        <v>0.6</v>
      </c>
      <c r="HX45" s="87">
        <f t="shared" si="25"/>
        <v>0</v>
      </c>
      <c r="HY45" s="86" t="str">
        <f>IFERROR(IF(VLOOKUP(A45,tbMoveset!A2:B112,2,FALSE)="Sever",Backdoors!AY36/100,IF(VLOOKUP(A45,tbMoveset!A2:B112,2,FALSE)="Blunt",Backdoors!AZ36/100,Backdoors!BA36/100)),"")</f>
        <v/>
      </c>
      <c r="HZ45" s="49">
        <f>IFERROR(IF(VLOOKUP(tbMoveset!A45,tbMoveset!A2:H112,8,FALSE)="Other",IF(VLOOKUP(tbMoveset!A45,tbMoveset!A2:I112,9,FALSE)="Fire",Backdoors!BB36,IF(VLOOKUP(tbMoveset!A45,tbMoveset!A2:I112,9,FALSE)="Water",Backdoors!BC36,IF(VLOOKUP(tbMoveset!A45,tbMoveset!A2:I112,9,FALSE)="Thunder",Backdoors!BD36,IF(VLOOKUP(tbMoveset!A45,tbMoveset!A2:I112,9,FALSE)="Ice",Backdoors!BE36,IF(VLOOKUP(tbMoveset!A45,tbMoveset!A2:I112,9,FALSE)="Dragon",Backdoors!BF36,Backdoors!BG36)))))/100,Backdoors!BG36/100),"")</f>
        <v>0</v>
      </c>
      <c r="IA45" s="49">
        <f>IFERROR(IF(VLOOKUP(A45,tbMoveset!A2:J112,10,FALSE)=TRUE,IF((Backdoors!AI12+IF(HY45&gt;=0.45,VLOOKUP(Calculator!E23,tbSkills!DH3:DI6,2,FALSE)+IF(AND(Calculator!B8=TRUE,Backdoors!BI36=TRUE),VLOOKUP(Calculator!E23,tbSkills!DH3:DJ6,3,FALSE),0),0))&gt;=0,1+(Backdoors!AL2*(IF((Backdoors!AI12+IF(HY45&gt;=0.45,VLOOKUP(Calculator!E23,tbSkills!DH3:DI6,2,FALSE)+IF(AND(Calculator!B8=TRUE,Backdoors!BI36=TRUE),VLOOKUP(Calculator!E23,tbSkills!DH3:DJ6,3,FALSE),0),0))&gt;=100,100,(Backdoors!AI12+IF(HY45&gt;=0.45,VLOOKUP(Calculator!E23,tbSkills!DH3:DI6,2,FALSE)+IF(AND(Calculator!B8=TRUE,Backdoors!BI36=TRUE),VLOOKUP(Calculator!E23,tbSkills!DH3:DJ6,3,FALSE),0),0)))/100)),(1-(0.25*((-Backdoors!AI12-IF(HY45&gt;=0.45,VLOOKUP(Calculator!E23,tbSkills!DH3:DI6,2,FALSE)+IF(AND(Calculator!B8=TRUE,Backdoors!BI36=TRUE),VLOOKUP(Calculator!E23,tbSkills!DH3:DJ6,3,FALSE),0),0))/100)))),1),"")</f>
        <v>1</v>
      </c>
      <c r="IB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Y45)*IA45)*(VLOOKUP(A45,tbMoveset!A2:C112,3,FALSE)/100)*IF(VLOOKUP(A45,tbMoveset!A2:B112,2,FALSE)="Projectile",Backdoors!N10,Backdoors!N9),0),"")</f>
        <v/>
      </c>
      <c r="IC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Y45&gt;=0.45,VLOOKUP(Calculator!E23,tbSkills!DH3:DI6,2,FALSE)+IF(AND(Calculator!B8=TRUE,Backdoors!BI36=TRUE),VLOOKUP(Calculator!E23,tbSkills!DH3:DJ6,3,FALSE),0),0))&gt;=100,100,(Backdoors!AI12+IF(HY45&gt;=0.45,VLOOKUP(Calculator!E23,tbSkills!DH3:DI6,2,FALSE)+IF(AND(Calculator!B8=TRUE,Backdoors!BI36=TRUE),VLOOKUP(Calculator!E23,tbSkills!DH3:DJ6,3,FALSE),0),0)))/100)),1))*IF(VLOOKUP(A45,tbMoveset!A2:K112,11,FALSE)=TRUE,Backdoors!AC5,1))*HZ45,0),"")</f>
        <v>0</v>
      </c>
      <c r="ID45" s="49">
        <f>VLOOKUP(A45,tbMoveset!A2:G112,7,FALSE)*IFERROR(IF(Backdoors!AI12&gt;=0,1+(IF(Calculator!E40&gt;0,VLOOKUP(Calculator!E40,tbSkills!AI3:AJ5,2,FALSE),Backdoors!AL4)*(IF((Backdoors!AI12+IF(HY45&gt;=0.45,VLOOKUP(Calculator!E23,tbSkills!DH3:DI6,2,FALSE)+IF(AND(Calculator!B8=TRUE,Backdoors!BI36=TRUE),VLOOKUP(Calculator!E23,tbSkills!DH3:DJ6,3,FALSE),0),0))&gt;=100,100,(Backdoors!AI12+IF(HY45&gt;=0.45,VLOOKUP(Calculator!E23,tbSkills!DH3:DI6,2,FALSE)+IF(AND(Calculator!B8=TRUE,Backdoors!BI36=TRUE),VLOOKUP(Calculator!E23,tbSkills!DH3:DJ6,3,FALSE),0),0)))/100)),1),1)</f>
        <v>0.6</v>
      </c>
      <c r="IE45" s="87">
        <f t="shared" si="26"/>
        <v>0</v>
      </c>
      <c r="IF45" s="86" t="str">
        <f>IFERROR(IF(VLOOKUP(A45,tbMoveset!A2:B112,2,FALSE)="Sever",Backdoors!AY37/100,IF(VLOOKUP(A45,tbMoveset!A2:B112,2,FALSE)="Blunt",Backdoors!AZ37/100,Backdoors!BA37/100)),"")</f>
        <v/>
      </c>
      <c r="IG45" s="49">
        <f>IFERROR(IF(VLOOKUP(tbMoveset!A45,tbMoveset!A2:H112,8,FALSE)="Other",IF(VLOOKUP(tbMoveset!A45,tbMoveset!A2:I112,9,FALSE)="Fire",Backdoors!BB37,IF(VLOOKUP(tbMoveset!A45,tbMoveset!A2:I112,9,FALSE)="Water",Backdoors!BC37,IF(VLOOKUP(tbMoveset!A45,tbMoveset!A2:I112,9,FALSE)="Thunder",Backdoors!BD37,IF(VLOOKUP(tbMoveset!A45,tbMoveset!A2:I112,9,FALSE)="Ice",Backdoors!BE37,IF(VLOOKUP(tbMoveset!A45,tbMoveset!A2:I112,9,FALSE)="Dragon",Backdoors!BF37,Backdoors!BG37)))))/100,Backdoors!BG37/100),"")</f>
        <v>0</v>
      </c>
      <c r="IH45" s="49">
        <f>IFERROR(IF(VLOOKUP(A45,tbMoveset!A2:J112,10,FALSE)=TRUE,IF((Backdoors!AI12+IF(IF45&gt;=0.45,VLOOKUP(Calculator!E23,tbSkills!DH3:DI6,2,FALSE)+IF(AND(Calculator!B8=TRUE,Backdoors!BI37=TRUE),VLOOKUP(Calculator!E23,tbSkills!DH3:DJ6,3,FALSE),0),0))&gt;=0,1+(Backdoors!AL2*(IF((Backdoors!AI12+IF(IF45&gt;=0.45,VLOOKUP(Calculator!E23,tbSkills!DH3:DI6,2,FALSE)+IF(AND(Calculator!B8=TRUE,Backdoors!BI37=TRUE),VLOOKUP(Calculator!E23,tbSkills!DH3:DJ6,3,FALSE),0),0))&gt;=100,100,(Backdoors!AI12+IF(IF45&gt;=0.45,VLOOKUP(Calculator!E23,tbSkills!DH3:DI6,2,FALSE)+IF(AND(Calculator!B8=TRUE,Backdoors!BI37=TRUE),VLOOKUP(Calculator!E23,tbSkills!DH3:DJ6,3,FALSE),0),0)))/100)),(1-(0.25*((-Backdoors!AI12-IF(IF45&gt;=0.45,VLOOKUP(Calculator!E23,tbSkills!DH3:DI6,2,FALSE)+IF(AND(Calculator!B8=TRUE,Backdoors!BI37=TRUE),VLOOKUP(Calculator!E23,tbSkills!DH3:DJ6,3,FALSE),0),0))/100)))),1),"")</f>
        <v>1</v>
      </c>
      <c r="II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F45)*IH45)*(VLOOKUP(A45,tbMoveset!A2:C112,3,FALSE)/100)*IF(VLOOKUP(A45,tbMoveset!A2:B112,2,FALSE)="Projectile",Backdoors!N10,Backdoors!N9),0),"")</f>
        <v/>
      </c>
      <c r="IJ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IF45&gt;=0.45,VLOOKUP(Calculator!E23,tbSkills!DH3:DI6,2,FALSE)+IF(AND(Calculator!B8=TRUE,Backdoors!BI37=TRUE),VLOOKUP(Calculator!E23,tbSkills!DH3:DJ6,3,FALSE),0),0))&gt;=100,100,(Backdoors!AI12+IF(IF45&gt;=0.45,VLOOKUP(Calculator!E23,tbSkills!DH3:DI6,2,FALSE)+IF(AND(Calculator!B8=TRUE,Backdoors!BI37=TRUE),VLOOKUP(Calculator!E23,tbSkills!DH3:DJ6,3,FALSE),0),0)))/100)),1))*IF(VLOOKUP(A45,tbMoveset!A2:K112,11,FALSE)=TRUE,Backdoors!AC5,1))*IG45,0),"")</f>
        <v>0</v>
      </c>
      <c r="IK45" s="49">
        <f>VLOOKUP(A45,tbMoveset!A2:G112,7,FALSE)*IFERROR(IF(Backdoors!AI12&gt;=0,1+(IF(Calculator!E40&gt;0,VLOOKUP(Calculator!E40,tbSkills!AI3:AJ5,2,FALSE),Backdoors!AL4)*(IF((Backdoors!AI12+IF(IF45&gt;=0.45,VLOOKUP(Calculator!E23,tbSkills!DH3:DI6,2,FALSE)+IF(AND(Calculator!B8=TRUE,Backdoors!BI37=TRUE),VLOOKUP(Calculator!E23,tbSkills!DH3:DJ6,3,FALSE),0),0))&gt;=100,100,(Backdoors!AI12+IF(IF45&gt;=0.45,VLOOKUP(Calculator!E23,tbSkills!DH3:DI6,2,FALSE)+IF(AND(Calculator!B8=TRUE,Backdoors!BI37=TRUE),VLOOKUP(Calculator!E23,tbSkills!DH3:DJ6,3,FALSE),0),0)))/100)),1),1)</f>
        <v>0.6</v>
      </c>
      <c r="IL45" s="87">
        <f t="shared" si="27"/>
        <v>0</v>
      </c>
      <c r="IM45" s="86" t="str">
        <f>IFERROR(IF(VLOOKUP(A45,tbMoveset!A2:B112,2,FALSE)="Sever",Backdoors!AY38/100,IF(VLOOKUP(A45,tbMoveset!A2:B112,2,FALSE)="Blunt",Backdoors!AZ38/100,Backdoors!BA38/100)),"")</f>
        <v/>
      </c>
      <c r="IN45" s="49">
        <f>IFERROR(IF(VLOOKUP(tbMoveset!A45,tbMoveset!A2:H112,8,FALSE)="Other",IF(VLOOKUP(tbMoveset!A45,tbMoveset!A2:I112,9,FALSE)="Fire",Backdoors!BB38,IF(VLOOKUP(tbMoveset!A45,tbMoveset!A2:I112,9,FALSE)="Water",Backdoors!BC38,IF(VLOOKUP(tbMoveset!A45,tbMoveset!A2:I112,9,FALSE)="Thunder",Backdoors!BD38,IF(VLOOKUP(tbMoveset!A45,tbMoveset!A2:I112,9,FALSE)="Ice",Backdoors!BE38,IF(VLOOKUP(tbMoveset!A45,tbMoveset!A2:I112,9,FALSE)="Dragon",Backdoors!BF38,Backdoors!BG38)))))/100,Backdoors!BG38/100),"")</f>
        <v>0</v>
      </c>
      <c r="IO45" s="49">
        <f>IFERROR(IF(VLOOKUP(A45,tbMoveset!A2:J112,10,FALSE)=TRUE,IF((Backdoors!AI12+IF(IM45&gt;=0.45,VLOOKUP(Calculator!E23,tbSkills!DH3:DI6,2,FALSE)+IF(AND(Calculator!B8=TRUE,Backdoors!BI38=TRUE),VLOOKUP(Calculator!E23,tbSkills!DH3:DJ6,3,FALSE),0),0))&gt;=0,1+(Backdoors!AL2*(IF((Backdoors!AI12+IF(IM45&gt;=0.45,VLOOKUP(Calculator!E23,tbSkills!DH3:DI6,2,FALSE)+IF(AND(Calculator!B8=TRUE,Backdoors!BI38=TRUE),VLOOKUP(Calculator!E23,tbSkills!DH3:DJ6,3,FALSE),0),0))&gt;=100,100,(Backdoors!AI12+IF(IM45&gt;=0.45,VLOOKUP(Calculator!E23,tbSkills!DH3:DI6,2,FALSE)+IF(AND(Calculator!B8=TRUE,Backdoors!BI38=TRUE),VLOOKUP(Calculator!E23,tbSkills!DH3:DJ6,3,FALSE),0),0)))/100)),(1-(0.25*((-Backdoors!AI12-IF(IM45&gt;=0.45,VLOOKUP(Calculator!E23,tbSkills!DH3:DI6,2,FALSE)+IF(AND(Calculator!B8=TRUE,Backdoors!BI38=TRUE),VLOOKUP(Calculator!E23,tbSkills!DH3:DJ6,3,FALSE),0),0))/100)))),1),"")</f>
        <v>1</v>
      </c>
      <c r="IP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M45)*IO45)*(VLOOKUP(A45,tbMoveset!A2:C112,3,FALSE)/100)*IF(VLOOKUP(A45,tbMoveset!A2:B112,2,FALSE)="Projectile",Backdoors!N10,Backdoors!N9),0),"")</f>
        <v/>
      </c>
      <c r="IQ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IM45&gt;=0.45,VLOOKUP(Calculator!E23,tbSkills!DH3:DI6,2,FALSE)+IF(AND(Calculator!B8=TRUE,Backdoors!BI38=TRUE),VLOOKUP(Calculator!E23,tbSkills!DH3:DJ6,3,FALSE),0),0))&gt;=100,100,(Backdoors!AI12+IF(IM45&gt;=0.45,VLOOKUP(Calculator!E23,tbSkills!DH3:DI6,2,FALSE)+IF(AND(Calculator!B8=TRUE,Backdoors!BI38=TRUE),VLOOKUP(Calculator!E23,tbSkills!DH3:DJ6,3,FALSE),0),0)))/100)),1))*IF(VLOOKUP(A45,tbMoveset!A2:K112,11,FALSE)=TRUE,Backdoors!AC5,1))*IN45,0),"")</f>
        <v>0</v>
      </c>
      <c r="IR45" s="49">
        <f>VLOOKUP(A45,tbMoveset!A2:G112,7,FALSE)*IFERROR(IF(Backdoors!AI12&gt;=0,1+(IF(Calculator!E40&gt;0,VLOOKUP(Calculator!E40,tbSkills!AI3:AJ5,2,FALSE),Backdoors!AL4)*(IF((Backdoors!AI12+IF(IM45&gt;=0.45,VLOOKUP(Calculator!E23,tbSkills!DH3:DI6,2,FALSE)+IF(AND(Calculator!B8=TRUE,Backdoors!BI38=TRUE),VLOOKUP(Calculator!E23,tbSkills!DH3:DJ6,3,FALSE),0),0))&gt;=100,100,(Backdoors!AI12+IF(IM45&gt;=0.45,VLOOKUP(Calculator!E23,tbSkills!DH3:DI6,2,FALSE)+IF(AND(Calculator!B8=TRUE,Backdoors!BI38=TRUE),VLOOKUP(Calculator!E23,tbSkills!DH3:DJ6,3,FALSE),0),0)))/100)),1),1)</f>
        <v>0.6</v>
      </c>
      <c r="IS45" s="87">
        <f t="shared" si="42"/>
        <v>0</v>
      </c>
      <c r="IT45" s="86" t="str">
        <f>IFERROR(IF(VLOOKUP(A45,tbMoveset!A2:B112,2,FALSE)="Sever",Backdoors!AY39/100,IF(VLOOKUP(A45,tbMoveset!A2:B112,2,FALSE)="Blunt",Backdoors!AZ39/100,Backdoors!BA39/100)),"")</f>
        <v/>
      </c>
      <c r="IU45" s="49">
        <f>IFERROR(IF(VLOOKUP(tbMoveset!A45,tbMoveset!A2:H112,8,FALSE)="Other",IF(VLOOKUP(tbMoveset!A45,tbMoveset!A2:I112,9,FALSE)="Fire",Backdoors!BB39,IF(VLOOKUP(tbMoveset!A45,tbMoveset!A2:I112,9,FALSE)="Water",Backdoors!BC39,IF(VLOOKUP(tbMoveset!A45,tbMoveset!A2:I112,9,FALSE)="Thunder",Backdoors!BD39,IF(VLOOKUP(tbMoveset!A45,tbMoveset!A2:I112,9,FALSE)="Ice",Backdoors!BE39,IF(VLOOKUP(tbMoveset!A45,tbMoveset!A2:I112,9,FALSE)="Dragon",Backdoors!BF39,Backdoors!BG39)))))/100,Backdoors!BG39/100),"")</f>
        <v>0</v>
      </c>
      <c r="IV45" s="49">
        <f>IFERROR(IF(VLOOKUP(A45,tbMoveset!A2:J112,10,FALSE)=TRUE,IF((Backdoors!AI12+IF(IT45&gt;=0.45,VLOOKUP(Calculator!E23,tbSkills!DH3:DI6,2,FALSE)+IF(AND(Calculator!B8=TRUE,Backdoors!BI39=TRUE),VLOOKUP(Calculator!E23,tbSkills!DH3:DJ6,3,FALSE),0),0))&gt;=0,1+(Backdoors!AL2*(IF((Backdoors!AI12+IF(IT45&gt;=0.45,VLOOKUP(Calculator!E23,tbSkills!DH3:DI6,2,FALSE)+IF(AND(Calculator!B8=TRUE,Backdoors!BI39=TRUE),VLOOKUP(Calculator!E23,tbSkills!DH3:DJ6,3,FALSE),0),0))&gt;=100,100,(Backdoors!AI12+IF(IT45&gt;=0.45,VLOOKUP(Calculator!E23,tbSkills!DH3:DI6,2,FALSE)+IF(AND(Calculator!B8=TRUE,Backdoors!BI39=TRUE),VLOOKUP(Calculator!E23,tbSkills!DH3:DJ6,3,FALSE),0),0)))/100)),(1-(0.25*((-Backdoors!AI12-IF(IT45&gt;=0.45,VLOOKUP(Calculator!E23,tbSkills!DH3:DI6,2,FALSE)+IF(AND(Calculator!B8=TRUE,Backdoors!BI39=TRUE),VLOOKUP(Calculator!E23,tbSkills!DH3:DJ6,3,FALSE),0),0))/100)))),1),"")</f>
        <v>1</v>
      </c>
      <c r="IW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T45)*IV45)*(VLOOKUP(A45,tbMoveset!A2:C112,3,FALSE)/100)*IF(VLOOKUP(A45,tbMoveset!A2:B112,2,FALSE)="Projectile",Backdoors!N10,Backdoors!N9),0),"")</f>
        <v/>
      </c>
      <c r="IX45" s="49">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40&gt;0,VLOOKUP(Calculator!E40,tbSkills!AC3:AD5,2,FALSE),Backdoors!AL3)*(IF((Backdoors!AI12+IF(IT45&gt;=0.45,VLOOKUP(Calculator!E23,tbSkills!DH3:DI6,2,FALSE)+IF(AND(Calculator!B8=TRUE,Backdoors!BI39=TRUE),VLOOKUP(Calculator!E23,tbSkills!DH3:DJ6,3,FALSE),0),0))&gt;=100,100,(Backdoors!AI12+IF(IT45&gt;=0.45,VLOOKUP(Calculator!E23,tbSkills!DH3:DI6,2,FALSE)+IF(AND(Calculator!B8=TRUE,Backdoors!BI39=TRUE),VLOOKUP(Calculator!E23,tbSkills!DH3:DJ6,3,FALSE),0),0)))/100)),1))*IF(VLOOKUP(A45,tbMoveset!A2:K112,11,FALSE)=TRUE,Backdoors!AC5,1))*IU45,0),"")</f>
        <v>0</v>
      </c>
      <c r="IY45" s="49">
        <f>VLOOKUP(A45,tbMoveset!A2:G112,7,FALSE)*IFERROR(IF(Backdoors!AI12&gt;=0,1+(IF(Calculator!E40&gt;0,VLOOKUP(Calculator!E40,tbSkills!AI3:AJ5,2,FALSE),Backdoors!AL4)*(IF((Backdoors!AI12+IF(IT45&gt;=0.45,VLOOKUP(Calculator!E23,tbSkills!DH3:DI6,2,FALSE)+IF(AND(Calculator!B8=TRUE,Backdoors!BI39=TRUE),VLOOKUP(Calculator!E23,tbSkills!DH3:DJ6,3,FALSE),0),0))&gt;=100,100,(Backdoors!AI12+IF(IT45&gt;=0.45,VLOOKUP(Calculator!E23,tbSkills!DH3:DI6,2,FALSE)+IF(AND(Calculator!B8=TRUE,Backdoors!BI39=TRUE),VLOOKUP(Calculator!E23,tbSkills!DH3:DJ6,3,FALSE),0),0)))/100)),1),1)</f>
        <v>0.6</v>
      </c>
      <c r="IZ45" s="87">
        <f t="shared" si="28"/>
        <v>0</v>
      </c>
      <c r="JA45" s="86" t="str">
        <f>IFERROR(IF(VLOOKUP(A45,tbMoveset!A2:B112,2,FALSE)="Sever",Backdoors!AY40/100,IF(VLOOKUP(A45,tbMoveset!A2:B112,2,FALSE)="Blunt",Backdoors!AZ40/100,Backdoors!BA40/100)),"")</f>
        <v/>
      </c>
      <c r="JB45" s="49">
        <f>IFERROR(IF(VLOOKUP(tbMoveset!A45,tbMoveset!A2:H112,8,FALSE)="Other",IF(VLOOKUP(tbMoveset!A45,tbMoveset!A2:I112,9,FALSE)="Fire",Backdoors!BB40,IF(VLOOKUP(tbMoveset!A45,tbMoveset!A2:I112,9,FALSE)="Water",Backdoors!BC40,IF(VLOOKUP(tbMoveset!A45,tbMoveset!A2:I112,9,FALSE)="Thunder",Backdoors!BD40,IF(VLOOKUP(tbMoveset!A45,tbMoveset!A2:I112,9,FALSE)="Ice",Backdoors!BE40,IF(VLOOKUP(tbMoveset!A45,tbMoveset!A2:I112,9,FALSE)="Dragon",Backdoors!BF40,Backdoors!BG40)))))/100,Backdoors!BG40/100),"")</f>
        <v>0</v>
      </c>
      <c r="JC45" s="49">
        <f>IFERROR(IF(VLOOKUP(A45,tbMoveset!A2:J112,10,FALSE)=TRUE,IF((Backdoors!AI12+IF(JA45&gt;=0.45,VLOOKUP(Calculator!E23,tbSkills!DH3:DI6,2,FALSE)+IF(AND(Calculator!B8=TRUE,Backdoors!BI40=TRUE),VLOOKUP(Calculator!E23,tbSkills!DH3:DJ6,3,FALSE),0),0))&gt;=0,1+(Backdoors!AL2*(IF((Backdoors!AI12+IF(JA45&gt;=0.45,VLOOKUP(Calculator!E23,tbSkills!DH3:DI6,2,FALSE)+IF(AND(Calculator!B8=TRUE,Backdoors!BI40=TRUE),VLOOKUP(Calculator!E23,tbSkills!DH3:DJ6,3,FALSE),0),0))&gt;=100,100,(Backdoors!AI12+IF(JA45&gt;=0.45,VLOOKUP(Calculator!E23,tbSkills!DH3:DI6,2,FALSE)+IF(AND(Calculator!B8=TRUE,Backdoors!BI40=TRUE),VLOOKUP(Calculator!E23,tbSkills!DH3:DJ6,3,FALSE),0),0)))/100)),(1-(0.25*((-Backdoors!AI12-IF(JA45&gt;=0.45,VLOOKUP(Calculator!E23,tbSkills!DH3:DI6,2,FALSE)+IF(AND(Calculator!B8=TRUE,Backdoors!BI40=TRUE),VLOOKUP(Calculator!E23,tbSkills!DH3:DJ6,3,FALSE),0),0))/100)))),1),"")</f>
        <v>1</v>
      </c>
      <c r="JD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A45)*JC45)*(VLOOKUP(A45,tbMoveset!A2:C112,3,FALSE)/100)*IF(VLOOKUP(A45,tbMoveset!A2:B112,2,FALSE)="Projectile",Backdoors!N10,Backdoors!N9),0),"")</f>
        <v/>
      </c>
      <c r="JE45" s="49">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42&gt;0,VLOOKUP(Calculator!E42,tbSkills!AC3:AD5,2,FALSE),Backdoors!AL3)*(IF((Backdoors!AI12+IF(JA45&gt;=0.45,VLOOKUP(Calculator!E23,tbSkills!DH3:DI6,2,FALSE)+IF(AND(Calculator!B8=TRUE,Backdoors!BI40=TRUE),VLOOKUP(Calculator!E23,tbSkills!DH3:DJ6,3,FALSE),0),0))&gt;=100,100,(Backdoors!AI12+IF(JA45&gt;=0.45,VLOOKUP(Calculator!E23,tbSkills!DH3:DI6,2,FALSE)+IF(AND(Calculator!B8=TRUE,Backdoors!BI40=TRUE),VLOOKUP(Calculator!E23,tbSkills!DH3:DJ6,3,FALSE),0),0)))/100)),1))*IF(VLOOKUP(A45,tbMoveset!A2:K112,11,FALSE)=TRUE,Backdoors!AC5,1))*JB45,0),"")</f>
        <v>0</v>
      </c>
      <c r="JF45" s="49">
        <f>VLOOKUP(A45,tbMoveset!A2:G112,7,FALSE)*IFERROR(IF(Backdoors!AI12&gt;=0,1+(IF(Calculator!E40&gt;0,VLOOKUP(Calculator!E40,tbSkills!AI3:AJ5,2,FALSE),Backdoors!AL4)*(IF((Backdoors!AI12+IF(JA45&gt;=0.45,VLOOKUP(Calculator!E23,tbSkills!DH3:DI6,2,FALSE)+IF(AND(Calculator!B8=TRUE,Backdoors!BI40=TRUE),VLOOKUP(Calculator!E23,tbSkills!DH3:DJ6,3,FALSE),0),0))&gt;=100,100,(Backdoors!AI12+IF(JA45&gt;=0.45,VLOOKUP(Calculator!E23,tbSkills!DH3:DI6,2,FALSE)+IF(AND(Calculator!B8=TRUE,Backdoors!BI40=TRUE),VLOOKUP(Calculator!E23,tbSkills!DH3:DJ6,3,FALSE),0),0)))/100)),1),1)</f>
        <v>0.6</v>
      </c>
      <c r="JG45" s="87">
        <f t="shared" si="29"/>
        <v>0</v>
      </c>
      <c r="JH45" s="86" t="str">
        <f>IFERROR(IF(VLOOKUP(A45,tbMoveset!A2:B112,2,FALSE)="Sever",Backdoors!AY41/100,IF(VLOOKUP(A45,tbMoveset!A2:B112,2,FALSE)="Blunt",Backdoors!AZ41/100,Backdoors!BA41/100)),"")</f>
        <v/>
      </c>
      <c r="JI45" s="49">
        <f>IFERROR(IF(VLOOKUP(tbMoveset!A45,tbMoveset!A2:H112,8,FALSE)="Other",IF(VLOOKUP(tbMoveset!A45,tbMoveset!A2:I112,9,FALSE)="Fire",Backdoors!BB41,IF(VLOOKUP(tbMoveset!A45,tbMoveset!A2:I112,9,FALSE)="Water",Backdoors!BC41,IF(VLOOKUP(tbMoveset!A45,tbMoveset!A2:I112,9,FALSE)="Thunder",Backdoors!BD41,IF(VLOOKUP(tbMoveset!A45,tbMoveset!A2:I112,9,FALSE)="Ice",Backdoors!BE41,IF(VLOOKUP(tbMoveset!A45,tbMoveset!A2:I112,9,FALSE)="Dragon",Backdoors!BF41,Backdoors!BG41)))))/100,Backdoors!BG41/100),"")</f>
        <v>0</v>
      </c>
      <c r="JJ45" s="49">
        <f>IFERROR(IF(VLOOKUP(A45,tbMoveset!A2:J112,10,FALSE)=TRUE,IF((Backdoors!AI12+IF(JH45&gt;=0.45,VLOOKUP(Calculator!E23,tbSkills!DH3:DI6,2,FALSE)+IF(AND(Calculator!B8=TRUE,Backdoors!BI41=TRUE),VLOOKUP(Calculator!E23,tbSkills!DH3:DJ6,3,FALSE),0),0))&gt;=0,1+(Backdoors!AL2*(IF((Backdoors!AI12+IF(JH45&gt;=0.45,VLOOKUP(Calculator!E23,tbSkills!DH3:DI6,2,FALSE)+IF(AND(Calculator!B8=TRUE,Backdoors!BI41=TRUE),VLOOKUP(Calculator!E23,tbSkills!DH3:DJ6,3,FALSE),0),0))&gt;=100,100,(Backdoors!AI12+IF(JH45&gt;=0.45,VLOOKUP(Calculator!E23,tbSkills!DH3:DI6,2,FALSE)+IF(AND(Calculator!B8=TRUE,Backdoors!BI41=TRUE),VLOOKUP(Calculator!E23,tbSkills!DH3:DJ6,3,FALSE),0),0)))/100)),(1-(0.25*((-Backdoors!AI12-IF(JH45&gt;=0.45,VLOOKUP(Calculator!E23,tbSkills!DH3:DI6,2,FALSE)+IF(AND(Calculator!B8=TRUE,Backdoors!BI41=TRUE),VLOOKUP(Calculator!E23,tbSkills!DH3:DJ6,3,FALSE),0),0))/100)))),1),"")</f>
        <v>1</v>
      </c>
      <c r="JK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H45)*JJ45)*(VLOOKUP(A45,tbMoveset!A2:C112,3,FALSE)/100)*IF(VLOOKUP(A45,tbMoveset!A2:B112,2,FALSE)="Projectile",Backdoors!N10,Backdoors!N9),0),"")</f>
        <v/>
      </c>
      <c r="JL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43&gt;0,VLOOKUP(Calculator!E43,tbSkills!AC3:AD5,2,FALSE),Backdoors!AL3)*(IF((Backdoors!AI12+IF(JH45&gt;=0.45,VLOOKUP(Calculator!E23,tbSkills!DH3:DI6,2,FALSE)+IF(AND(Calculator!B8=TRUE,Backdoors!BI41=TRUE),VLOOKUP(Calculator!E23,tbSkills!DH3:DJ6,3,FALSE),0),0))&gt;=100,100,(Backdoors!AI12+IF(JH45&gt;=0.45,VLOOKUP(Calculator!E23,tbSkills!DH3:DI6,2,FALSE)+IF(AND(Calculator!B8=TRUE,Backdoors!BI41=TRUE),VLOOKUP(Calculator!E23,tbSkills!DH3:DJ6,3,FALSE),0),0)))/100)),1))*IF(VLOOKUP(A45,tbMoveset!A2:K112,11,FALSE)=TRUE,Backdoors!AC5,1))*JI45,0),"")</f>
        <v/>
      </c>
      <c r="JM45" s="49">
        <f>VLOOKUP(A45,tbMoveset!A2:G112,7,FALSE)*IFERROR(IF(Backdoors!AI12&gt;=0,1+(IF(Calculator!E40&gt;0,VLOOKUP(Calculator!E40,tbSkills!AI3:AJ5,2,FALSE),Backdoors!AL4)*(IF((Backdoors!AI12+IF(JH45&gt;=0.45,VLOOKUP(Calculator!E23,tbSkills!DH3:DI6,2,FALSE)+IF(AND(Calculator!B8=TRUE,Backdoors!BI41=TRUE),VLOOKUP(Calculator!E23,tbSkills!DH3:DJ6,3,FALSE),0),0))&gt;=100,100,(Backdoors!AI12+IF(JH45&gt;=0.45,VLOOKUP(Calculator!E23,tbSkills!DH3:DI6,2,FALSE)+IF(AND(Calculator!B8=TRUE,Backdoors!BI41=TRUE),VLOOKUP(Calculator!E23,tbSkills!DH3:DJ6,3,FALSE),0),0)))/100)),1),1)</f>
        <v>0.6</v>
      </c>
      <c r="JN45" s="87">
        <f t="shared" si="30"/>
        <v>0</v>
      </c>
      <c r="JO45" s="86" t="str">
        <f>IFERROR(IF(VLOOKUP(A45,tbMoveset!A2:B112,2,FALSE)="Sever",Backdoors!AY42/100,IF(VLOOKUP(A45,tbMoveset!A2:B112,2,FALSE)="Blunt",Backdoors!AZ42/100,Backdoors!BA42/100)),"")</f>
        <v/>
      </c>
      <c r="JP45" s="49">
        <f>IFERROR(IF(VLOOKUP(tbMoveset!A45,tbMoveset!A2:H112,8,FALSE)="Other",IF(VLOOKUP(tbMoveset!A45,tbMoveset!A2:I112,9,FALSE)="Fire",Backdoors!BB42,IF(VLOOKUP(tbMoveset!A45,tbMoveset!A2:I112,9,FALSE)="Water",Backdoors!BC42,IF(VLOOKUP(tbMoveset!A45,tbMoveset!A2:I112,9,FALSE)="Thunder",Backdoors!BD42,IF(VLOOKUP(tbMoveset!A45,tbMoveset!A2:I112,9,FALSE)="Ice",Backdoors!BE42,IF(VLOOKUP(tbMoveset!A45,tbMoveset!A2:I112,9,FALSE)="Dragon",Backdoors!BF42,Backdoors!BG42)))))/100,Backdoors!BG42/100),"")</f>
        <v>0</v>
      </c>
      <c r="JQ45" s="49">
        <f>IFERROR(IF(VLOOKUP(A45,tbMoveset!A2:J112,10,FALSE)=TRUE,IF((Backdoors!AI12+IF(JO45&gt;=0.45,VLOOKUP(Calculator!E23,tbSkills!DH3:DI6,2,FALSE)+IF(AND(Calculator!B8=TRUE,Backdoors!BI42=TRUE),VLOOKUP(Calculator!E23,tbSkills!DH3:DJ6,3,FALSE),0),0))&gt;=0,1+(Backdoors!AL2*(IF((Backdoors!AI12+IF(JO45&gt;=0.45,VLOOKUP(Calculator!E23,tbSkills!DH3:DI6,2,FALSE)+IF(AND(Calculator!B8=TRUE,Backdoors!BI42=TRUE),VLOOKUP(Calculator!E23,tbSkills!DH3:DJ6,3,FALSE),0),0))&gt;=100,100,(Backdoors!AI12+IF(JO45&gt;=0.45,VLOOKUP(Calculator!E23,tbSkills!DH3:DI6,2,FALSE)+IF(AND(Calculator!B8=TRUE,Backdoors!BI42=TRUE),VLOOKUP(Calculator!E23,tbSkills!DH3:DJ6,3,FALSE),0),0)))/100)),(1-(0.25*((-Backdoors!AI12-IF(JO45&gt;=0.45,VLOOKUP(Calculator!E23,tbSkills!DH3:DI6,2,FALSE)+IF(AND(Calculator!B8=TRUE,Backdoors!BI42=TRUE),VLOOKUP(Calculator!E23,tbSkills!DH3:DJ6,3,FALSE),0),0))/100)))),1),"")</f>
        <v>1</v>
      </c>
      <c r="JR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O45)*JQ45)*(VLOOKUP(A45,tbMoveset!A2:C112,3,FALSE)/100)*IF(VLOOKUP(A45,tbMoveset!A2:B112,2,FALSE)="Projectile",Backdoors!N10,Backdoors!N9),0),"")</f>
        <v/>
      </c>
      <c r="JS45" s="49">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45&gt;0,VLOOKUP(Calculator!E45,tbSkills!AC3:AD5,2,FALSE),Backdoors!AL3)*(IF((Backdoors!AI12+IF(JO45&gt;=0.45,VLOOKUP(Calculator!E23,tbSkills!DH3:DI6,2,FALSE)+IF(AND(Calculator!B8=TRUE,Backdoors!BI42=TRUE),VLOOKUP(Calculator!E23,tbSkills!DH3:DJ6,3,FALSE),0),0))&gt;=100,100,(Backdoors!AI12+IF(JO45&gt;=0.45,VLOOKUP(Calculator!E23,tbSkills!DH3:DI6,2,FALSE)+IF(AND(Calculator!B8=TRUE,Backdoors!BI42=TRUE),VLOOKUP(Calculator!E23,tbSkills!DH3:DJ6,3,FALSE),0),0)))/100)),1))*IF(VLOOKUP(A45,tbMoveset!A2:K112,11,FALSE)=TRUE,Backdoors!AC5,1))*JP45,0),"")</f>
        <v>0</v>
      </c>
      <c r="JT45" s="49">
        <f>VLOOKUP(A45,tbMoveset!A2:G112,7,FALSE)*IFERROR(IF(Backdoors!AI12&gt;=0,1+(IF(Calculator!E40&gt;0,VLOOKUP(Calculator!E40,tbSkills!AI3:AJ5,2,FALSE),Backdoors!AL4)*(IF((Backdoors!AI12+IF(JO45&gt;=0.45,VLOOKUP(Calculator!E23,tbSkills!DH3:DI6,2,FALSE)+IF(AND(Calculator!B8=TRUE,Backdoors!BI42=TRUE),VLOOKUP(Calculator!E23,tbSkills!DH3:DJ6,3,FALSE),0),0))&gt;=100,100,(Backdoors!AI12+IF(JO45&gt;=0.45,VLOOKUP(Calculator!E23,tbSkills!DH3:DI6,2,FALSE)+IF(AND(Calculator!B8=TRUE,Backdoors!BI42=TRUE),VLOOKUP(Calculator!E23,tbSkills!DH3:DJ6,3,FALSE),0),0)))/100)),1),1)</f>
        <v>0.6</v>
      </c>
      <c r="JU45" s="87">
        <f t="shared" si="31"/>
        <v>0</v>
      </c>
      <c r="JV45" s="86" t="str">
        <f>IFERROR(IF(VLOOKUP(A45,tbMoveset!A2:B112,2,FALSE)="Sever",Backdoors!AY43/100,IF(VLOOKUP(A45,tbMoveset!A2:B112,2,FALSE)="Blunt",Backdoors!AZ43/100,Backdoors!BA43/100)),"")</f>
        <v/>
      </c>
      <c r="JW45" s="49">
        <f>IFERROR(IF(VLOOKUP(tbMoveset!A45,tbMoveset!A2:H112,8,FALSE)="Other",IF(VLOOKUP(tbMoveset!A45,tbMoveset!A2:I112,9,FALSE)="Fire",Backdoors!BB43,IF(VLOOKUP(tbMoveset!A45,tbMoveset!A2:I112,9,FALSE)="Water",Backdoors!BC43,IF(VLOOKUP(tbMoveset!A45,tbMoveset!A2:I112,9,FALSE)="Thunder",Backdoors!BD43,IF(VLOOKUP(tbMoveset!A45,tbMoveset!A2:I112,9,FALSE)="Ice",Backdoors!BE43,IF(VLOOKUP(tbMoveset!A45,tbMoveset!A2:I112,9,FALSE)="Dragon",Backdoors!BF43,Backdoors!BG43)))))/100,Backdoors!BG43/100),"")</f>
        <v>0</v>
      </c>
      <c r="JX45" s="49">
        <f>IFERROR(IF(VLOOKUP(A45,tbMoveset!A2:J112,10,FALSE)=TRUE,IF((Backdoors!AI12+IF(JV45&gt;=0.45,VLOOKUP(Calculator!E23,tbSkills!DH3:DI6,2,FALSE)+IF(AND(Calculator!B8=TRUE,Backdoors!BI43=TRUE),VLOOKUP(Calculator!E23,tbSkills!DH3:DJ6,3,FALSE),0),0))&gt;=0,1+(Backdoors!AL2*(IF((Backdoors!AI12+IF(JV45&gt;=0.45,VLOOKUP(Calculator!E23,tbSkills!DH3:DI6,2,FALSE)+IF(AND(Calculator!B8=TRUE,Backdoors!BI43=TRUE),VLOOKUP(Calculator!E23,tbSkills!DH3:DJ6,3,FALSE),0),0))&gt;=100,100,(Backdoors!AI12+IF(JV45&gt;=0.45,VLOOKUP(Calculator!E23,tbSkills!DH3:DI6,2,FALSE)+IF(AND(Calculator!B8=TRUE,Backdoors!BI43=TRUE),VLOOKUP(Calculator!E23,tbSkills!DH3:DJ6,3,FALSE),0),0)))/100)),(1-(0.25*((-Backdoors!AI12-IF(JV45&gt;=0.45,VLOOKUP(Calculator!E23,tbSkills!DH3:DI6,2,FALSE)+IF(AND(Calculator!B8=TRUE,Backdoors!BI43=TRUE),VLOOKUP(Calculator!E23,tbSkills!DH3:DJ6,3,FALSE),0),0))/100)))),1),"")</f>
        <v>1</v>
      </c>
      <c r="JY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V45)*JX45)*(VLOOKUP(A45,tbMoveset!A2:C112,3,FALSE)/100)*IF(VLOOKUP(A45,tbMoveset!A2:B112,2,FALSE)="Projectile",Backdoors!N10,Backdoors!N9),0),"")</f>
        <v/>
      </c>
      <c r="JZ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46&gt;0,VLOOKUP(Calculator!E46,tbSkills!AC3:AD5,2,FALSE),Backdoors!AL3)*(IF((Backdoors!AI12+IF(JV45&gt;=0.45,VLOOKUP(Calculator!E23,tbSkills!DH3:DI6,2,FALSE)+IF(AND(Calculator!B8=TRUE,Backdoors!BI43=TRUE),VLOOKUP(Calculator!E23,tbSkills!DH3:DJ6,3,FALSE),0),0))&gt;=100,100,(Backdoors!AI12+IF(JV45&gt;=0.45,VLOOKUP(Calculator!E23,tbSkills!DH3:DI6,2,FALSE)+IF(AND(Calculator!B8=TRUE,Backdoors!BI43=TRUE),VLOOKUP(Calculator!E23,tbSkills!DH3:DJ6,3,FALSE),0),0)))/100)),1))*IF(VLOOKUP(A45,tbMoveset!A2:K112,11,FALSE)=TRUE,Backdoors!AC5,1))*JW45,0),"")</f>
        <v/>
      </c>
      <c r="KA45" s="49">
        <f>VLOOKUP(A45,tbMoveset!A2:G112,7,FALSE)*IFERROR(IF(Backdoors!AI12&gt;=0,1+(IF(Calculator!E40&gt;0,VLOOKUP(Calculator!E40,tbSkills!AI3:AJ5,2,FALSE),Backdoors!AL4)*(IF((Backdoors!AI12+IF(JV45&gt;=0.45,VLOOKUP(Calculator!E23,tbSkills!DH3:DI6,2,FALSE)+IF(AND(Calculator!B8=TRUE,Backdoors!BI43=TRUE),VLOOKUP(Calculator!E23,tbSkills!DH3:DJ6,3,FALSE),0),0))&gt;=100,100,(Backdoors!AI12+IF(JV45&gt;=0.45,VLOOKUP(Calculator!E23,tbSkills!DH3:DI6,2,FALSE)+IF(AND(Calculator!B8=TRUE,Backdoors!BI43=TRUE),VLOOKUP(Calculator!E23,tbSkills!DH3:DJ6,3,FALSE),0),0)))/100)),1),1)</f>
        <v>0.6</v>
      </c>
      <c r="KB45" s="87">
        <f t="shared" si="32"/>
        <v>0</v>
      </c>
      <c r="KC45" s="86" t="str">
        <f>IFERROR(IF(VLOOKUP(A45,tbMoveset!A2:B112,2,FALSE)="Sever",Backdoors!AY44/100,IF(VLOOKUP(A45,tbMoveset!A2:B112,2,FALSE)="Blunt",Backdoors!AZ44/100,Backdoors!BA44/100)),"")</f>
        <v/>
      </c>
      <c r="KD45" s="49">
        <f>IFERROR(IF(VLOOKUP(tbMoveset!A45,tbMoveset!A2:H112,8,FALSE)="Other",IF(VLOOKUP(tbMoveset!A45,tbMoveset!A2:I112,9,FALSE)="Fire",Backdoors!BB44,IF(VLOOKUP(tbMoveset!A45,tbMoveset!A2:I112,9,FALSE)="Water",Backdoors!BC44,IF(VLOOKUP(tbMoveset!A45,tbMoveset!A2:I112,9,FALSE)="Thunder",Backdoors!BD44,IF(VLOOKUP(tbMoveset!A45,tbMoveset!A2:I112,9,FALSE)="Ice",Backdoors!BE44,IF(VLOOKUP(tbMoveset!A45,tbMoveset!A2:I112,9,FALSE)="Dragon",Backdoors!BF44,Backdoors!BG44)))))/100,Backdoors!BG44/100),"")</f>
        <v>0</v>
      </c>
      <c r="KE45" s="49">
        <f>IFERROR(IF(VLOOKUP(A45,tbMoveset!A2:J112,10,FALSE)=TRUE,IF((Backdoors!AI12+IF(KC45&gt;=0.45,VLOOKUP(Calculator!E23,tbSkills!DH3:DI6,2,FALSE)+IF(AND(Calculator!B8=TRUE,Backdoors!BI44=TRUE),VLOOKUP(Calculator!E23,tbSkills!DH3:DJ6,3,FALSE),0),0))&gt;=0,1+(Backdoors!AL2*(IF((Backdoors!AI12+IF(KC45&gt;=0.45,VLOOKUP(Calculator!E23,tbSkills!DH3:DI6,2,FALSE)+IF(AND(Calculator!B8=TRUE,Backdoors!BI44=TRUE),VLOOKUP(Calculator!E23,tbSkills!DH3:DJ6,3,FALSE),0),0))&gt;=100,100,(Backdoors!AI12+IF(KC45&gt;=0.45,VLOOKUP(Calculator!E23,tbSkills!DH3:DI6,2,FALSE)+IF(AND(Calculator!B8=TRUE,Backdoors!BI44=TRUE),VLOOKUP(Calculator!E23,tbSkills!DH3:DJ6,3,FALSE),0),0)))/100)),(1-(0.25*((-Backdoors!AI12-IF(KC45&gt;=0.45,VLOOKUP(Calculator!E23,tbSkills!DH3:DI6,2,FALSE)+IF(AND(Calculator!B8=TRUE,Backdoors!BI44=TRUE),VLOOKUP(Calculator!E23,tbSkills!DH3:DJ6,3,FALSE),0),0))/100)))),1),"")</f>
        <v>1</v>
      </c>
      <c r="KF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KC45)*KE45)*(VLOOKUP(A45,tbMoveset!A2:C112,3,FALSE)/100)*IF(VLOOKUP(A45,tbMoveset!A2:B112,2,FALSE)="Projectile",Backdoors!N10,Backdoors!N9),0),"")</f>
        <v/>
      </c>
      <c r="KG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REF!&gt;0,VLOOKUP(Calculator!#REF!,tbSkills!AC3:AD5,2,FALSE),Backdoors!AL3)*(IF((Backdoors!AI12+IF(KC45&gt;=0.45,VLOOKUP(Calculator!E23,tbSkills!DH3:DI6,2,FALSE)+IF(AND(Calculator!B8=TRUE,Backdoors!BI44=TRUE),VLOOKUP(Calculator!E23,tbSkills!DH3:DJ6,3,FALSE),0),0))&gt;=100,100,(Backdoors!AI12+IF(KC45&gt;=0.45,VLOOKUP(Calculator!E23,tbSkills!DH3:DI6,2,FALSE)+IF(AND(Calculator!B8=TRUE,Backdoors!BI44=TRUE),VLOOKUP(Calculator!E23,tbSkills!DH3:DJ6,3,FALSE),0),0)))/100)),1))*IF(VLOOKUP(A45,tbMoveset!A2:K112,11,FALSE)=TRUE,Backdoors!AC5,1))*KD45,0),"")</f>
        <v/>
      </c>
      <c r="KH45" s="49">
        <f>VLOOKUP(A45,tbMoveset!A2:G112,7,FALSE)*IFERROR(IF(Backdoors!AI12&gt;=0,1+(IF(Calculator!E40&gt;0,VLOOKUP(Calculator!E40,tbSkills!AI3:AJ5,2,FALSE),Backdoors!AL4)*(IF((Backdoors!AI12+IF(KC45&gt;=0.45,VLOOKUP(Calculator!E23,tbSkills!DH3:DI6,2,FALSE)+IF(AND(Calculator!B8=TRUE,Backdoors!BI44=TRUE),VLOOKUP(Calculator!E23,tbSkills!DH3:DJ6,3,FALSE),0),0))&gt;=100,100,(Backdoors!AI12+IF(KC45&gt;=0.45,VLOOKUP(Calculator!E23,tbSkills!DH3:DI6,2,FALSE)+IF(AND(Calculator!B8=TRUE,Backdoors!BI44=TRUE),VLOOKUP(Calculator!E23,tbSkills!DH3:DJ6,3,FALSE),0),0)))/100)),1),1)</f>
        <v>0.6</v>
      </c>
      <c r="KI45" s="87">
        <f t="shared" si="33"/>
        <v>0</v>
      </c>
      <c r="KJ45" s="86" t="str">
        <f>IFERROR(IF(VLOOKUP(A45,tbMoveset!A2:B112,2,FALSE)="Sever",Backdoors!AY45/100,IF(VLOOKUP(A45,tbMoveset!A2:B112,2,FALSE)="Blunt",Backdoors!AZ45/100,Backdoors!BA45/100)),"")</f>
        <v/>
      </c>
      <c r="KK45" s="49">
        <f>IFERROR(IF(VLOOKUP(tbMoveset!A45,tbMoveset!A2:H112,8,FALSE)="Other",IF(VLOOKUP(tbMoveset!A45,tbMoveset!A2:I112,9,FALSE)="Fire",Backdoors!BB45,IF(VLOOKUP(tbMoveset!A45,tbMoveset!A2:I112,9,FALSE)="Water",Backdoors!BC45,IF(VLOOKUP(tbMoveset!A45,tbMoveset!A2:I112,9,FALSE)="Thunder",Backdoors!BD45,IF(VLOOKUP(tbMoveset!A45,tbMoveset!A2:I112,9,FALSE)="Ice",Backdoors!BE45,IF(VLOOKUP(tbMoveset!A45,tbMoveset!A2:I112,9,FALSE)="Dragon",Backdoors!BF45,Backdoors!BG45)))))/100,Backdoors!BG45/100),"")</f>
        <v>0</v>
      </c>
      <c r="KL45" s="49">
        <f>IFERROR(IF(VLOOKUP(A45,tbMoveset!A2:J112,10,FALSE)=TRUE,IF((Backdoors!AI12+IF(KJ45&gt;=0.45,VLOOKUP(Calculator!E23,tbSkills!DH3:DI6,2,FALSE)+IF(AND(Calculator!B8=TRUE,Backdoors!BI45=TRUE),VLOOKUP(Calculator!E23,tbSkills!DH3:DJ6,3,FALSE),0),0))&gt;=0,1+(Backdoors!AL2*(IF((Backdoors!AI12+IF(KJ45&gt;=0.45,VLOOKUP(Calculator!E23,tbSkills!DH3:DI6,2,FALSE)+IF(AND(Calculator!B8=TRUE,Backdoors!BI45=TRUE),VLOOKUP(Calculator!E23,tbSkills!DH3:DJ6,3,FALSE),0),0))&gt;=100,100,(Backdoors!AI12+IF(KJ45&gt;=0.45,VLOOKUP(Calculator!E23,tbSkills!DH3:DI6,2,FALSE)+IF(AND(Calculator!B8=TRUE,Backdoors!BI45=TRUE),VLOOKUP(Calculator!E23,tbSkills!DH3:DJ6,3,FALSE),0),0)))/100)),(1-(0.25*((-Backdoors!AI12-IF(KJ45&gt;=0.45,VLOOKUP(Calculator!E23,tbSkills!DH3:DI6,2,FALSE)+IF(AND(Calculator!B8=TRUE,Backdoors!BI45=TRUE),VLOOKUP(Calculator!E23,tbSkills!DH3:DJ6,3,FALSE),0),0))/100)))),1),"")</f>
        <v>1</v>
      </c>
      <c r="KM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KJ45)*KL45)*(VLOOKUP(A45,tbMoveset!A2:C112,3,FALSE)/100)*IF(VLOOKUP(A45,tbMoveset!A2:B112,2,FALSE)="Projectile",Backdoors!N10,Backdoors!N9),0),"")</f>
        <v/>
      </c>
      <c r="KN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REF!&gt;0,VLOOKUP(Calculator!#REF!,tbSkills!AC3:AD5,2,FALSE),Backdoors!AL3)*(IF((Backdoors!AI12+IF(KJ45&gt;=0.45,VLOOKUP(Calculator!E23,tbSkills!DH3:DI6,2,FALSE)+IF(AND(Calculator!B8=TRUE,Backdoors!BI45=TRUE),VLOOKUP(Calculator!E23,tbSkills!DH3:DJ6,3,FALSE),0),0))&gt;=100,100,(Backdoors!AI12+IF(KJ45&gt;=0.45,VLOOKUP(Calculator!E23,tbSkills!DH3:DI6,2,FALSE)+IF(AND(Calculator!B8=TRUE,Backdoors!BI45=TRUE),VLOOKUP(Calculator!E23,tbSkills!DH3:DJ6,3,FALSE),0),0)))/100)),1))*IF(VLOOKUP(A45,tbMoveset!A2:K112,11,FALSE)=TRUE,Backdoors!AC5,1))*KK45,0),"")</f>
        <v/>
      </c>
      <c r="KO45" s="49">
        <f>VLOOKUP(A45,tbMoveset!A2:G112,7,FALSE)*IFERROR(IF(Backdoors!AI12&gt;=0,1+(IF(Calculator!E40&gt;0,VLOOKUP(Calculator!E40,tbSkills!AI3:AJ5,2,FALSE),Backdoors!AL4)*(IF((Backdoors!AI12+IF(KJ45&gt;=0.45,VLOOKUP(Calculator!E23,tbSkills!DH3:DI6,2,FALSE)+IF(AND(Calculator!B8=TRUE,Backdoors!BI45=TRUE),VLOOKUP(Calculator!E23,tbSkills!DH3:DJ6,3,FALSE),0),0))&gt;=100,100,(Backdoors!AI12+IF(KJ45&gt;=0.45,VLOOKUP(Calculator!E23,tbSkills!DH3:DI6,2,FALSE)+IF(AND(Calculator!B8=TRUE,Backdoors!BI45=TRUE),VLOOKUP(Calculator!E23,tbSkills!DH3:DJ6,3,FALSE),0),0)))/100)),1),1)</f>
        <v>0.6</v>
      </c>
      <c r="KP45" s="87">
        <f t="shared" si="34"/>
        <v>0</v>
      </c>
      <c r="KQ45" s="86" t="str">
        <f>IFERROR(IF(VLOOKUP(A45,tbMoveset!A2:B112,2,FALSE)="Sever",Backdoors!AY46/100,IF(VLOOKUP(A45,tbMoveset!A2:B112,2,FALSE)="Blunt",Backdoors!AZ46/100,Backdoors!BA46/100)),"")</f>
        <v/>
      </c>
      <c r="KR45" s="49">
        <f>IFERROR(IF(VLOOKUP(tbMoveset!A45,tbMoveset!A2:H112,8,FALSE)="Other",IF(VLOOKUP(tbMoveset!A45,tbMoveset!A2:I112,9,FALSE)="Fire",Backdoors!BB46,IF(VLOOKUP(tbMoveset!A45,tbMoveset!A2:I112,9,FALSE)="Water",Backdoors!BC46,IF(VLOOKUP(tbMoveset!A45,tbMoveset!A2:I112,9,FALSE)="Thunder",Backdoors!BD46,IF(VLOOKUP(tbMoveset!A45,tbMoveset!A2:I112,9,FALSE)="Ice",Backdoors!BE46,IF(VLOOKUP(tbMoveset!A45,tbMoveset!A2:I112,9,FALSE)="Dragon",Backdoors!BF46,Backdoors!BG46)))))/100,Backdoors!BG46/100),"")</f>
        <v>0</v>
      </c>
      <c r="KS45" s="49">
        <f>IFERROR(IF(VLOOKUP(A45,tbMoveset!A2:J112,10,FALSE)=TRUE,IF((Backdoors!AI12+IF(KQ45&gt;=0.45,VLOOKUP(Calculator!E23,tbSkills!DH3:DI6,2,FALSE)+IF(AND(Calculator!B8=TRUE,Backdoors!BI46=TRUE),VLOOKUP(Calculator!E23,tbSkills!DH3:DJ6,3,FALSE),0),0))&gt;=0,1+(Backdoors!AL2*(IF((Backdoors!AI12+IF(KQ45&gt;=0.45,VLOOKUP(Calculator!E23,tbSkills!DH3:DI6,2,FALSE)+IF(AND(Calculator!B8=TRUE,Backdoors!BI46=TRUE),VLOOKUP(Calculator!E23,tbSkills!DH3:DJ6,3,FALSE),0),0))&gt;=100,100,(Backdoors!AI12+IF(KQ45&gt;=0.45,VLOOKUP(Calculator!E23,tbSkills!DH3:DI6,2,FALSE)+IF(AND(Calculator!B8=TRUE,Backdoors!BI46=TRUE),VLOOKUP(Calculator!E23,tbSkills!DH3:DJ6,3,FALSE),0),0)))/100)),(1-(0.25*((-Backdoors!AI12-IF(KQ45&gt;=0.45,VLOOKUP(Calculator!E23,tbSkills!DH3:DI6,2,FALSE)+IF(AND(Calculator!B8=TRUE,Backdoors!BI46=TRUE),VLOOKUP(Calculator!E23,tbSkills!DH3:DJ6,3,FALSE),0),0))/100)))),1),"")</f>
        <v>1</v>
      </c>
      <c r="KT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KQ45)*KS45)*(VLOOKUP(A45,tbMoveset!A2:C112,3,FALSE)/100)*IF(VLOOKUP(A45,tbMoveset!A2:B112,2,FALSE)="Projectile",Backdoors!N10,Backdoors!N9),0),"")</f>
        <v/>
      </c>
      <c r="KU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REF!&gt;0,VLOOKUP(Calculator!#REF!,tbSkills!AC3:AD5,2,FALSE),Backdoors!AL3)*(IF((Backdoors!AI12+IF(KQ45&gt;=0.45,VLOOKUP(Calculator!E23,tbSkills!DH3:DI6,2,FALSE)+IF(AND(Calculator!B8=TRUE,Backdoors!BI46=TRUE),VLOOKUP(Calculator!E23,tbSkills!DH3:DJ6,3,FALSE),0),0))&gt;=100,100,(Backdoors!AI12+IF(KQ45&gt;=0.45,VLOOKUP(Calculator!E23,tbSkills!DH3:DI6,2,FALSE)+IF(AND(Calculator!B8=TRUE,Backdoors!BI46=TRUE),VLOOKUP(Calculator!E23,tbSkills!DH3:DJ6,3,FALSE),0),0)))/100)),1))*IF(VLOOKUP(A45,tbMoveset!A2:K112,11,FALSE)=TRUE,Backdoors!AC5,1))*KR45,0),"")</f>
        <v/>
      </c>
      <c r="KV45" s="49">
        <f>VLOOKUP(A45,tbMoveset!A2:G112,7,FALSE)*IFERROR(IF(Backdoors!AI12&gt;=0,1+(IF(Calculator!E40&gt;0,VLOOKUP(Calculator!E40,tbSkills!AI3:AJ5,2,FALSE),Backdoors!AL4)*(IF((Backdoors!AI12+IF(KQ45&gt;=0.45,VLOOKUP(Calculator!E23,tbSkills!DH3:DI6,2,FALSE)+IF(AND(Calculator!B8=TRUE,Backdoors!BI46=TRUE),VLOOKUP(Calculator!E23,tbSkills!DH3:DJ6,3,FALSE),0),0))&gt;=100,100,(Backdoors!AI12+IF(KQ45&gt;=0.45,VLOOKUP(Calculator!E23,tbSkills!DH3:DI6,2,FALSE)+IF(AND(Calculator!B8=TRUE,Backdoors!BI46=TRUE),VLOOKUP(Calculator!E23,tbSkills!DH3:DJ6,3,FALSE),0),0)))/100)),1),1)</f>
        <v>0.6</v>
      </c>
      <c r="KW45" s="87">
        <f t="shared" si="35"/>
        <v>0</v>
      </c>
    </row>
    <row r="46" spans="1:309" x14ac:dyDescent="0.25">
      <c r="A46" s="95" t="str">
        <f>tbMoveset!A46</f>
        <v>Right Fade Slash</v>
      </c>
      <c r="B46" s="86">
        <f>IFERROR(IF(VLOOKUP(A46,tbMoveset!A2:B112,2,FALSE)="Sever",Backdoors!AY3/100,IF(VLOOKUP(A46,tbMoveset!A2:B112,2,FALSE)="Blunt",Backdoors!AZ3/100,Backdoors!BA3/100)),"")</f>
        <v>0.8</v>
      </c>
      <c r="C46" s="49">
        <f>IFERROR(IF(VLOOKUP(tbMoveset!A46,tbMoveset!A2:H112,8,FALSE)="Other",IF(VLOOKUP(tbMoveset!A46,tbMoveset!A2:I112,9,FALSE)="Fire",Backdoors!BB3,IF(VLOOKUP(tbMoveset!A46,tbMoveset!A2:I112,9,FALSE)="Water",Backdoors!BC3,IF(VLOOKUP(tbMoveset!A46,tbMoveset!A2:I112,9,FALSE)="Thunder",Backdoors!BD3,IF(VLOOKUP(tbMoveset!A46,tbMoveset!A2:I112,9,FALSE)="Ice",Backdoors!BE3,IF(VLOOKUP(tbMoveset!A46,tbMoveset!A2:I112,9,FALSE)="Dragon",Backdoors!BF3,Backdoors!BG3)))))/100,Backdoors!BG3/100),"")</f>
        <v>0</v>
      </c>
      <c r="D46" s="49">
        <f>IFERROR(IF(VLOOKUP(A46,tbMoveset!A2:J112,10,FALSE)=TRUE,IF((Backdoors!AI12+IF(B46&gt;=0.45,VLOOKUP(Calculator!E23,tbSkills!DH3:DI6,2,FALSE)+IF(AND(Calculator!B8=TRUE,Backdoors!BI3=TRUE),VLOOKUP(Calculator!E23,tbSkills!DH3:DJ6,3,FALSE),0),0))&gt;=0,1+(Backdoors!AL2*(IF((Backdoors!AI12+IF(B46&gt;=0.45,VLOOKUP(Calculator!E23,tbSkills!DH3:DI6,2,FALSE)+IF(AND(Calculator!B8=TRUE,Backdoors!BI3=TRUE),VLOOKUP(Calculator!E23,tbSkills!DH3:DJ6,3,FALSE),0),0))&gt;=100,100,(Backdoors!AI12+IF(B46&gt;=0.45,VLOOKUP(Calculator!E23,tbSkills!DH3:DI6,2,FALSE)+IF(AND(Calculator!B8=TRUE,Backdoors!BI3=TRUE),VLOOKUP(Calculator!E23,tbSkills!DH3:DJ6,3,FALSE),0),0)))/100)),(1-(0.25*((-Backdoors!AI12-IF(B46&gt;=0.45,VLOOKUP(Calculator!E23,tbSkills!DH3:DI6,2,FALSE)+IF(AND(Calculator!B8=TRUE,Backdoors!BI3=TRUE),VLOOKUP(Calculator!E23,tbSkills!DH3:DJ6,3,FALSE),0),0))/100)))),1),"")</f>
        <v>1</v>
      </c>
      <c r="E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46)*D46)*(VLOOKUP(A46,tbMoveset!A2:C112,3,FALSE)/100)*IF(VLOOKUP(A46,tbMoveset!A2:B112,2,FALSE)="Projectile",Backdoors!N10,Backdoors!N9),0),"")</f>
        <v>5</v>
      </c>
      <c r="F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46&gt;=0.45,VLOOKUP(Calculator!E23,tbSkills!DH3:DI6,2,FALSE)+IF(AND(Calculator!B8=TRUE,Backdoors!BI3=TRUE),VLOOKUP(Calculator!E23,tbSkills!DH3:DJ6,3,FALSE),0),0))&gt;=100,100,(Backdoors!AI12+IF(B46&gt;=0.45,VLOOKUP(Calculator!E23,tbSkills!DH3:DI6,2,FALSE)+IF(AND(Calculator!B8=TRUE,Backdoors!BI3=TRUE),VLOOKUP(Calculator!E23,tbSkills!DH3:DJ6,3,FALSE),0),0)))/100)),1))*IF(VLOOKUP(A46,tbMoveset!A2:K112,11,FALSE)=TRUE,Backdoors!AC5,1))*C46,0),"")</f>
        <v>0</v>
      </c>
      <c r="G46">
        <f>VLOOKUP(A46,tbMoveset!A2:G112,7,FALSE)*IFERROR(IF(Backdoors!AI12&gt;=0,1+(IF(Calculator!E40&gt;0,VLOOKUP(Calculator!E40,tbSkills!AI3:AJ5,2,FALSE),Backdoors!AL4)*(IF((Backdoors!AI12+IF(B46&gt;=0.45,VLOOKUP(Calculator!E23,tbSkills!DH3:DI6,2,FALSE)+IF(AND(Calculator!B8=TRUE,Backdoors!BI3=TRUE),VLOOKUP(Calculator!E23,tbSkills!DH3:DJ6,3,FALSE),0),0))&gt;=100,100,(Backdoors!AI12+IF(B46&gt;=0.45,VLOOKUP(Calculator!E23,tbSkills!DH3:DI6,2,FALSE)+IF(AND(Calculator!B8=TRUE,Backdoors!BI3=TRUE),VLOOKUP(Calculator!E23,tbSkills!DH3:DJ6,3,FALSE),0),0)))/100)),1),1)</f>
        <v>0.6</v>
      </c>
      <c r="H46" s="87">
        <f t="shared" si="44"/>
        <v>5</v>
      </c>
      <c r="I46" s="86">
        <f>IFERROR(IF(VLOOKUP(A46,tbMoveset!A2:B112,2,FALSE)="Sever",Backdoors!AY4/100,IF(VLOOKUP(A46,tbMoveset!A2:B112,2,FALSE)="Blunt",Backdoors!AZ4/100,Backdoors!BA4/100)),"")</f>
        <v>0.65</v>
      </c>
      <c r="J46" s="49">
        <f>IFERROR(IF(VLOOKUP(tbMoveset!A46,tbMoveset!A2:H112,8,FALSE)="Other",IF(VLOOKUP(tbMoveset!A46,tbMoveset!A2:I112,9,FALSE)="Fire",Backdoors!BB4,IF(VLOOKUP(tbMoveset!A46,tbMoveset!A2:I112,9,FALSE)="Water",Backdoors!BC4,IF(VLOOKUP(tbMoveset!A46,tbMoveset!A2:I112,9,FALSE)="Thunder",Backdoors!BD4,IF(VLOOKUP(tbMoveset!A46,tbMoveset!A2:I112,9,FALSE)="Ice",Backdoors!BE4,IF(VLOOKUP(tbMoveset!A46,tbMoveset!A2:I112,9,FALSE)="Dragon",Backdoors!BF4,Backdoors!BG4)))))/100,Backdoors!BG4/100),"")</f>
        <v>0</v>
      </c>
      <c r="K46" s="49">
        <f>IFERROR(IF(VLOOKUP(A46,tbMoveset!A2:J112,10,FALSE)=TRUE,IF((Backdoors!AI12+IF(I46&gt;=0.45,VLOOKUP(Calculator!E23,tbSkills!DH3:DI6,2,FALSE)+IF(AND(Calculator!B8=TRUE,Backdoors!BI4=TRUE),VLOOKUP(Calculator!E23,tbSkills!DH3:DJ6,3,FALSE),0),0))&gt;=0,1+(Backdoors!AL2*(IF((Backdoors!AI12+IF(I46&gt;=0.45,VLOOKUP(Calculator!E23,tbSkills!DH3:DI6,2,FALSE)+IF(AND(Calculator!B8=TRUE,Backdoors!BI4=TRUE),VLOOKUP(Calculator!E23,tbSkills!DH3:DJ6,3,FALSE),0),0))&gt;=100,100,(Backdoors!AI12+IF(I46&gt;=0.45,VLOOKUP(Calculator!E23,tbSkills!DH3:DI6,2,FALSE)+IF(AND(Calculator!B8=TRUE,Backdoors!BI4=TRUE),VLOOKUP(Calculator!E23,tbSkills!DH3:DJ6,3,FALSE),0),0)))/100)),(1-(0.25*((-Backdoors!AI12-IF(I46&gt;=0.45,VLOOKUP(Calculator!E23,tbSkills!DH3:DI6,2,FALSE)+IF(AND(Calculator!B8=TRUE,Backdoors!BI4=TRUE),VLOOKUP(Calculator!E23,tbSkills!DH3:DJ6,3,FALSE),0),0))/100)))),1),"")</f>
        <v>1</v>
      </c>
      <c r="L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46)*K46)*(VLOOKUP(A46,tbMoveset!A2:C112,3,FALSE)/100)*IF(VLOOKUP(A46,tbMoveset!A2:B112,2,FALSE)="Projectile",Backdoors!N10,Backdoors!N9),0),"")</f>
        <v>4</v>
      </c>
      <c r="M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I46&gt;=0.45,VLOOKUP(Calculator!E23,tbSkills!DH3:DI6,2,FALSE)+IF(AND(Calculator!B8=TRUE,Backdoors!BI4=TRUE),VLOOKUP(Calculator!E23,tbSkills!DH3:DJ6,3,FALSE),0),0))&gt;=100,100,(Backdoors!AI12+IF(I46&gt;=0.45,VLOOKUP(Calculator!E23,tbSkills!DH3:DI6,2,FALSE)+IF(AND(Calculator!B8=TRUE,Backdoors!BI4=TRUE),VLOOKUP(Calculator!E23,tbSkills!DH3:DJ6,3,FALSE),0),0)))/100)),1))*IF(VLOOKUP(A46,tbMoveset!A2:K112,11,FALSE)=TRUE,Backdoors!AC5,1))*J46,0),"")</f>
        <v>0</v>
      </c>
      <c r="N46" s="49">
        <f>VLOOKUP(A46,tbMoveset!A2:G112,7,FALSE)*IFERROR(IF(Backdoors!AI12&gt;=0,1+(IF(Calculator!E40&gt;0,VLOOKUP(Calculator!E40,tbSkills!AI3:AJ5,2,FALSE),Backdoors!AL4)*(IF((Backdoors!AI12+IF(I46&gt;=0.45,VLOOKUP(Calculator!E23,tbSkills!DH3:DI6,2,FALSE)+IF(AND(Calculator!B8=TRUE,Backdoors!BI4=TRUE),VLOOKUP(Calculator!E23,tbSkills!DH3:DJ6,3,FALSE),0),0))&gt;=100,100,(Backdoors!AI12+IF(I46&gt;=0.45,VLOOKUP(Calculator!E23,tbSkills!DH3:DI6,2,FALSE)+IF(AND(Calculator!B8=TRUE,Backdoors!BI4=TRUE),VLOOKUP(Calculator!E23,tbSkills!DH3:DJ6,3,FALSE),0),0)))/100)),1),1)</f>
        <v>0.6</v>
      </c>
      <c r="O46" s="87">
        <f t="shared" si="45"/>
        <v>4</v>
      </c>
      <c r="P46" s="86">
        <f>IFERROR(IF(VLOOKUP(A46,tbMoveset!A2:B112,2,FALSE)="Sever",Backdoors!AY5/100,IF(VLOOKUP(A46,tbMoveset!A2:B112,2,FALSE)="Blunt",Backdoors!AZ5/100,Backdoors!BA5/100)),"")</f>
        <v>0.5</v>
      </c>
      <c r="Q46" s="49">
        <f>IFERROR(IF(VLOOKUP(tbMoveset!A46,tbMoveset!A2:H112,8,FALSE)="Other",IF(VLOOKUP(tbMoveset!A46,tbMoveset!A2:I112,9,FALSE)="Fire",Backdoors!BB5,IF(VLOOKUP(tbMoveset!A46,tbMoveset!A2:I112,9,FALSE)="Water",Backdoors!BC5,IF(VLOOKUP(tbMoveset!A46,tbMoveset!A2:I112,9,FALSE)="Thunder",Backdoors!BD5,IF(VLOOKUP(tbMoveset!A46,tbMoveset!A2:I112,9,FALSE)="Ice",Backdoors!BE5,IF(VLOOKUP(tbMoveset!A46,tbMoveset!A2:I112,9,FALSE)="Dragon",Backdoors!BF5,Backdoors!BG5)))))/100,Backdoors!BG5/100),"")</f>
        <v>0</v>
      </c>
      <c r="R46" s="49">
        <f>IFERROR(IF(VLOOKUP(A46,tbMoveset!A2:J112,10,FALSE)=TRUE,IF((Backdoors!AI12+IF(P46&gt;=0.45,VLOOKUP(Calculator!E23,tbSkills!DH3:DI6,2,FALSE)+IF(AND(Calculator!B8=TRUE,Backdoors!BI5=TRUE),VLOOKUP(Calculator!E23,tbSkills!DH3:DJ6,3,FALSE),0),0))&gt;=0,1+(Backdoors!AL2*(IF((Backdoors!AI12+IF(P46&gt;=0.45,VLOOKUP(Calculator!E23,tbSkills!DH3:DI6,2,FALSE)+IF(AND(Calculator!B8=TRUE,Backdoors!BI5=TRUE),VLOOKUP(Calculator!E23,tbSkills!DH3:DJ6,3,FALSE),0),0))&gt;=100,100,(Backdoors!AI12+IF(P46&gt;=0.45,VLOOKUP(Calculator!E23,tbSkills!DH3:DI6,2,FALSE)+IF(AND(Calculator!B8=TRUE,Backdoors!BI5=TRUE),VLOOKUP(Calculator!E23,tbSkills!DH3:DJ6,3,FALSE),0),0)))/100)),(1-(0.25*((-Backdoors!AI12-IF(P46&gt;=0.45,VLOOKUP(Calculator!E23,tbSkills!DH3:DI6,2,FALSE)+IF(AND(Calculator!B8=TRUE,Backdoors!BI5=TRUE),VLOOKUP(Calculator!E23,tbSkills!DH3:DJ6,3,FALSE),0),0))/100)))),1),"")</f>
        <v>1</v>
      </c>
      <c r="S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P46)*R46)*(VLOOKUP(A46,tbMoveset!A2:C112,3,FALSE)/100)*IF(VLOOKUP(A46,tbMoveset!A2:B112,2,FALSE)="Projectile",Backdoors!N10,Backdoors!N9),0),"")</f>
        <v>3</v>
      </c>
      <c r="T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P46&gt;=0.45,VLOOKUP(Calculator!E23,tbSkills!DH3:DI6,2,FALSE)+IF(AND(Calculator!B8=TRUE,Backdoors!BI5=TRUE),VLOOKUP(Calculator!E23,tbSkills!DH3:DJ6,3,FALSE),0),0))&gt;=100,100,(Backdoors!AI12+IF(P46&gt;=0.45,VLOOKUP(Calculator!E23,tbSkills!DH3:DI6,2,FALSE)+IF(AND(Calculator!B8=TRUE,Backdoors!BI5=TRUE),VLOOKUP(Calculator!E23,tbSkills!DH3:DJ6,3,FALSE),0),0)))/100)),1))*IF(VLOOKUP(A46,tbMoveset!A2:K112,11,FALSE)=TRUE,Backdoors!AC5,1))*Q46,0),"")</f>
        <v>0</v>
      </c>
      <c r="U46" s="49">
        <f>VLOOKUP(A46,tbMoveset!A2:G112,7,FALSE)*IFERROR(IF(Backdoors!AI12&gt;=0,1+(IF(Calculator!E40&gt;0,VLOOKUP(Calculator!E40,tbSkills!AI3:AJ5,2,FALSE),Backdoors!AL4)*(IF((Backdoors!AI12+IF(P46&gt;=0.45,VLOOKUP(Calculator!E23,tbSkills!DH3:DI6,2,FALSE)+IF(AND(Calculator!B8=TRUE,Backdoors!BI5=TRUE),VLOOKUP(Calculator!E23,tbSkills!DH3:DJ6,3,FALSE),0),0))&gt;=100,100,(Backdoors!AI12+IF(P46&gt;=0.45,VLOOKUP(Calculator!E23,tbSkills!DH3:DI6,2,FALSE)+IF(AND(Calculator!B8=TRUE,Backdoors!BI5=TRUE),VLOOKUP(Calculator!E23,tbSkills!DH3:DJ6,3,FALSE),0),0)))/100)),1),1)</f>
        <v>0.6</v>
      </c>
      <c r="V46" s="87">
        <f t="shared" si="46"/>
        <v>3</v>
      </c>
      <c r="W46" s="86">
        <f>IFERROR(IF(VLOOKUP(A46,tbMoveset!A2:B112,2,FALSE)="Sever",Backdoors!AY6/100,IF(VLOOKUP(A46,tbMoveset!A2:B112,2,FALSE)="Blunt",Backdoors!AZ6/100,Backdoors!BA6/100)),"")</f>
        <v>0.45</v>
      </c>
      <c r="X46" s="49">
        <f>IFERROR(IF(VLOOKUP(tbMoveset!A46,tbMoveset!A2:H112,8,FALSE)="Other",IF(VLOOKUP(tbMoveset!A46,tbMoveset!A2:I112,9,FALSE)="Fire",Backdoors!BB6,IF(VLOOKUP(tbMoveset!A46,tbMoveset!A2:I112,9,FALSE)="Water",Backdoors!BC6,IF(VLOOKUP(tbMoveset!A46,tbMoveset!A2:I112,9,FALSE)="Thunder",Backdoors!BD6,IF(VLOOKUP(tbMoveset!A46,tbMoveset!A2:I112,9,FALSE)="Ice",Backdoors!BE6,IF(VLOOKUP(tbMoveset!A46,tbMoveset!A2:I112,9,FALSE)="Dragon",Backdoors!BF6,Backdoors!BG6)))))/100,Backdoors!BG6/100),"")</f>
        <v>0</v>
      </c>
      <c r="Y46" s="49">
        <f>IFERROR(IF(VLOOKUP(A46,tbMoveset!A2:J112,10,FALSE)=TRUE,IF((Backdoors!AI12+IF(W46&gt;=0.45,VLOOKUP(Calculator!E23,tbSkills!DH3:DI6,2,FALSE)+IF(AND(Calculator!B8=TRUE,Backdoors!BI6=TRUE),VLOOKUP(Calculator!E23,tbSkills!DH3:DJ6,3,FALSE),0),0))&gt;=0,1+(Backdoors!AL2*(IF((Backdoors!AI12+IF(W46&gt;=0.45,VLOOKUP(Calculator!E23,tbSkills!DH3:DI6,2,FALSE)+IF(AND(Calculator!B8=TRUE,Backdoors!BI6=TRUE),VLOOKUP(Calculator!E23,tbSkills!DH3:DJ6,3,FALSE),0),0))&gt;=100,100,(Backdoors!AI12+IF(W46&gt;=0.45,VLOOKUP(Calculator!E23,tbSkills!DH3:DI6,2,FALSE)+IF(AND(Calculator!B8=TRUE,Backdoors!BI6=TRUE),VLOOKUP(Calculator!E23,tbSkills!DH3:DJ6,3,FALSE),0),0)))/100)),(1-(0.25*((-Backdoors!AI12-IF(W46&gt;=0.45,VLOOKUP(Calculator!E23,tbSkills!DH3:DI6,2,FALSE)+IF(AND(Calculator!B8=TRUE,Backdoors!BI6=TRUE),VLOOKUP(Calculator!E23,tbSkills!DH3:DJ6,3,FALSE),0),0))/100)))),1),"")</f>
        <v>1</v>
      </c>
      <c r="Z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W46)*Y46)*(VLOOKUP(A46,tbMoveset!A2:C112,3,FALSE)/100)*IF(VLOOKUP(A46,tbMoveset!A2:B112,2,FALSE)="Projectile",Backdoors!N10,Backdoors!N9),0),"")</f>
        <v>3</v>
      </c>
      <c r="AA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W46&gt;=0.45,VLOOKUP(Calculator!E23,tbSkills!DH3:DI6,2,FALSE)+IF(AND(Calculator!B8=TRUE,Backdoors!BI6=TRUE),VLOOKUP(Calculator!E23,tbSkills!DH3:DJ6,3,FALSE),0),0))&gt;=100,100,(Backdoors!AI12+IF(W46&gt;=0.45,VLOOKUP(Calculator!E23,tbSkills!DH3:DI6,2,FALSE)+IF(AND(Calculator!B8=TRUE,Backdoors!BI6=TRUE),VLOOKUP(Calculator!E23,tbSkills!DH3:DJ6,3,FALSE),0),0)))/100)),1))*IF(VLOOKUP(A46,tbMoveset!A2:K112,11,FALSE)=TRUE,Backdoors!AC5,1))*X46,0),"")</f>
        <v>0</v>
      </c>
      <c r="AB46" s="49">
        <f>VLOOKUP(A46,tbMoveset!A2:G112,7,FALSE)*IFERROR(IF(Backdoors!AI12&gt;=0,1+(IF(Calculator!E40&gt;0,VLOOKUP(Calculator!E40,tbSkills!AI3:AJ5,2,FALSE),Backdoors!AL4)*(IF((Backdoors!AI12+IF(W46&gt;=0.45,VLOOKUP(Calculator!E23,tbSkills!DH3:DI6,2,FALSE)+IF(AND(Calculator!B8=TRUE,Backdoors!BI6=TRUE),VLOOKUP(Calculator!E23,tbSkills!DH3:DJ6,3,FALSE),0),0))&gt;=100,100,(Backdoors!AI12+IF(W46&gt;=0.45,VLOOKUP(Calculator!E23,tbSkills!DH3:DI6,2,FALSE)+IF(AND(Calculator!B8=TRUE,Backdoors!BI6=TRUE),VLOOKUP(Calculator!E23,tbSkills!DH3:DJ6,3,FALSE),0),0)))/100)),1),1)</f>
        <v>0.6</v>
      </c>
      <c r="AC46" s="87">
        <f t="shared" si="47"/>
        <v>3</v>
      </c>
      <c r="AD46" s="86">
        <f>IFERROR(IF(VLOOKUP(A46,tbMoveset!A2:B112,2,FALSE)="Sever",Backdoors!AY7/100,IF(VLOOKUP(A46,tbMoveset!A2:B112,2,FALSE)="Blunt",Backdoors!AZ7/100,Backdoors!BA7/100)),"")</f>
        <v>0.65</v>
      </c>
      <c r="AE46" s="49">
        <f>IFERROR(IF(VLOOKUP(tbMoveset!A46,tbMoveset!A2:H112,8,FALSE)="Other",IF(VLOOKUP(tbMoveset!A46,tbMoveset!A2:I112,9,FALSE)="Fire",Backdoors!BB7,IF(VLOOKUP(tbMoveset!A46,tbMoveset!A2:I112,9,FALSE)="Water",Backdoors!BC7,IF(VLOOKUP(tbMoveset!A46,tbMoveset!A2:I112,9,FALSE)="Thunder",Backdoors!BD7,IF(VLOOKUP(tbMoveset!A46,tbMoveset!A2:I112,9,FALSE)="Ice",Backdoors!BE7,IF(VLOOKUP(tbMoveset!A46,tbMoveset!A2:I112,9,FALSE)="Dragon",Backdoors!BF7,Backdoors!BG7)))))/100,Backdoors!BG7/100),"")</f>
        <v>0</v>
      </c>
      <c r="AF46" s="49">
        <f>IFERROR(IF(VLOOKUP(A46,tbMoveset!A2:J112,10,FALSE)=TRUE,IF((Backdoors!AI12+IF(AD46&gt;=0.45,VLOOKUP(Calculator!E23,tbSkills!DH3:DI6,2,FALSE)+IF(AND(Calculator!B8=TRUE,Backdoors!BI7=TRUE),VLOOKUP(Calculator!E23,tbSkills!DH3:DJ6,3,FALSE),0),0))&gt;=0,1+(Backdoors!AL2*(IF((Backdoors!AI12+IF(AD46&gt;=0.45,VLOOKUP(Calculator!E23,tbSkills!DH3:DI6,2,FALSE)+IF(AND(Calculator!B8=TRUE,Backdoors!BI7=TRUE),VLOOKUP(Calculator!E23,tbSkills!DH3:DJ6,3,FALSE),0),0))&gt;=100,100,(Backdoors!AI12+IF(AD46&gt;=0.45,VLOOKUP(Calculator!E23,tbSkills!DH3:DI6,2,FALSE)+IF(AND(Calculator!B8=TRUE,Backdoors!BI7=TRUE),VLOOKUP(Calculator!E23,tbSkills!DH3:DJ6,3,FALSE),0),0)))/100)),(1-(0.25*((-Backdoors!AI12-IF(AD46&gt;=0.45,VLOOKUP(Calculator!E23,tbSkills!DH3:DI6,2,FALSE)+IF(AND(Calculator!B8=TRUE,Backdoors!BI7=TRUE),VLOOKUP(Calculator!E23,tbSkills!DH3:DJ6,3,FALSE),0),0))/100)))),1),"")</f>
        <v>1</v>
      </c>
      <c r="AG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D46)*AF46)*(VLOOKUP(A46,tbMoveset!A2:C112,3,FALSE)/100)*IF(VLOOKUP(A46,tbMoveset!A2:B112,2,FALSE)="Projectile",Backdoors!N10,Backdoors!N9),0),"")</f>
        <v>4</v>
      </c>
      <c r="AH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D46&gt;=0.45,VLOOKUP(Calculator!E23,tbSkills!DH3:DI6,2,FALSE)+IF(AND(Calculator!B8=TRUE,Backdoors!BI7=TRUE),VLOOKUP(Calculator!E23,tbSkills!DH3:DJ6,3,FALSE),0),0))&gt;=100,100,(Backdoors!AI12+IF(AD46&gt;=0.45,VLOOKUP(Calculator!E23,tbSkills!DH3:DI6,2,FALSE)+IF(AND(Calculator!B8=TRUE,Backdoors!BI7=TRUE),VLOOKUP(Calculator!E23,tbSkills!DH3:DJ6,3,FALSE),0),0)))/100)),1))*IF(VLOOKUP(A46,tbMoveset!A2:K112,11,FALSE)=TRUE,Backdoors!AC5,1))*AE46,0),"")</f>
        <v>0</v>
      </c>
      <c r="AI46" s="49">
        <f>VLOOKUP(A46,tbMoveset!A2:G112,7,FALSE)*IFERROR(IF(Backdoors!AI12&gt;=0,1+(IF(Calculator!E40&gt;0,VLOOKUP(Calculator!E40,tbSkills!AI3:AJ5,2,FALSE),Backdoors!AL4)*(IF((Backdoors!AI12+IF(AD46&gt;=0.45,VLOOKUP(Calculator!E23,tbSkills!DH3:DI6,2,FALSE)+IF(AND(Calculator!B8=TRUE,Backdoors!BI7=TRUE),VLOOKUP(Calculator!E23,tbSkills!DH3:DJ6,3,FALSE),0),0))&gt;=100,100,(Backdoors!AI12+IF(AD46&gt;=0.45,VLOOKUP(Calculator!E23,tbSkills!DH3:DI6,2,FALSE)+IF(AND(Calculator!B8=TRUE,Backdoors!BI7=TRUE),VLOOKUP(Calculator!E23,tbSkills!DH3:DJ6,3,FALSE),0),0)))/100)),1),1)</f>
        <v>0.6</v>
      </c>
      <c r="AJ46" s="87">
        <f t="shared" si="48"/>
        <v>4</v>
      </c>
      <c r="AK46" s="91">
        <f>IFERROR(IF(VLOOKUP(A46,tbMoveset!A2:B112,2,FALSE)="Sever",Backdoors!AY8/100,IF(VLOOKUP(A46,tbMoveset!A2:B112,2,FALSE)="Blunt",Backdoors!AZ8/100,Backdoors!BA8/100)),"")</f>
        <v>0.45</v>
      </c>
      <c r="AL46" s="49">
        <f>IFERROR(IF(VLOOKUP(tbMoveset!A46,tbMoveset!A2:H112,8,FALSE)="Other",IF(VLOOKUP(tbMoveset!A46,tbMoveset!A2:I112,9,FALSE)="Fire",Backdoors!BB8,IF(VLOOKUP(tbMoveset!A46,tbMoveset!A2:I112,9,FALSE)="Water",Backdoors!BC8,IF(VLOOKUP(tbMoveset!A46,tbMoveset!A2:I112,9,FALSE)="Thunder",Backdoors!BD8,IF(VLOOKUP(tbMoveset!A46,tbMoveset!A2:I112,9,FALSE)="Ice",Backdoors!BE8,IF(VLOOKUP(tbMoveset!A46,tbMoveset!A2:I112,9,FALSE)="Dragon",Backdoors!BF8,Backdoors!BG8)))))/100,Backdoors!BG8/100),"")</f>
        <v>0</v>
      </c>
      <c r="AM46" s="49">
        <f>IFERROR(IF(VLOOKUP(A46,tbMoveset!A2:J112,10,FALSE)=TRUE,IF((Backdoors!AI12+IF(AK46&gt;=0.45,VLOOKUP(Calculator!E23,tbSkills!DH3:DI6,2,FALSE)+IF(AND(Calculator!B8=TRUE,Backdoors!BI8=TRUE),VLOOKUP(Calculator!E23,tbSkills!DH3:DJ6,3,FALSE),0),0))&gt;=0,1+(Backdoors!AL2*(IF((Backdoors!AI12+IF(AK46&gt;=0.45,VLOOKUP(Calculator!E23,tbSkills!DH3:DI6,2,FALSE)+IF(AND(Calculator!B8=TRUE,Backdoors!BI8=TRUE),VLOOKUP(Calculator!E23,tbSkills!DH3:DJ6,3,FALSE),0),0))&gt;=100,100,(Backdoors!AI12+IF(AK46&gt;=0.45,VLOOKUP(Calculator!E23,tbSkills!DH3:DI6,2,FALSE)+IF(AND(Calculator!B8=TRUE,Backdoors!BI8=TRUE),VLOOKUP(Calculator!E23,tbSkills!DH3:DJ6,3,FALSE),0),0)))/100)),(1-(0.25*((-Backdoors!AI12-IF(AK46&gt;=0.45,VLOOKUP(Calculator!E23,tbSkills!DH3:DI6,2,FALSE)+IF(AND(Calculator!B8=TRUE,Backdoors!BI8=TRUE),VLOOKUP(Calculator!E23,tbSkills!DH3:DJ6,3,FALSE),0),0))/100)))),1),"")</f>
        <v>1</v>
      </c>
      <c r="AN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K46)*AM46)*(VLOOKUP(A46,tbMoveset!A2:C112,3,FALSE)/100)*IF(VLOOKUP(A46,tbMoveset!A2:B112,2,FALSE)="Projectile",Backdoors!N10,Backdoors!N9),0),"")</f>
        <v>3</v>
      </c>
      <c r="AO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K46&gt;=0.45,VLOOKUP(Calculator!E23,tbSkills!DH3:DI6,2,FALSE)+IF(AND(Calculator!B8=TRUE,Backdoors!BI8=TRUE),VLOOKUP(Calculator!E23,tbSkills!DH3:DJ6,3,FALSE),0),0))&gt;=100,100,(Backdoors!AI12+IF(AK46&gt;=0.45,VLOOKUP(Calculator!E23,tbSkills!DH3:DI6,2,FALSE)+IF(AND(Calculator!B8=TRUE,Backdoors!BI8=TRUE),VLOOKUP(Calculator!E23,tbSkills!DH3:DJ6,3,FALSE),0),0)))/100)),1))*IF(VLOOKUP(A46,tbMoveset!A2:K112,11,FALSE)=TRUE,Backdoors!AC5,1))*AL46,0),"")</f>
        <v>0</v>
      </c>
      <c r="AP46" s="49">
        <f>VLOOKUP(A46,tbMoveset!A2:G112,7,FALSE)*IFERROR(IF(Backdoors!AI12&gt;=0,1+(IF(Calculator!E40&gt;0,VLOOKUP(Calculator!E40,tbSkills!AI3:AJ5,2,FALSE),Backdoors!AL4)*(IF((Backdoors!AI12+IF(AK46&gt;=0.45,VLOOKUP(Calculator!E23,tbSkills!DH3:DI6,2,FALSE)+IF(AND(Calculator!B8=TRUE,Backdoors!BI8=TRUE),VLOOKUP(Calculator!E23,tbSkills!DH3:DJ6,3,FALSE),0),0))&gt;=100,100,(Backdoors!AI12+IF(AK46&gt;=0.45,VLOOKUP(Calculator!E23,tbSkills!DH3:DI6,2,FALSE)+IF(AND(Calculator!B8=TRUE,Backdoors!BI8=TRUE),VLOOKUP(Calculator!E23,tbSkills!DH3:DJ6,3,FALSE),0),0)))/100)),1),1)</f>
        <v>0.6</v>
      </c>
      <c r="AQ46" s="87">
        <f t="shared" si="49"/>
        <v>3</v>
      </c>
      <c r="AR46" s="86">
        <f>IFERROR(IF(VLOOKUP(A46,tbMoveset!A2:B112,2,FALSE)="Sever",Backdoors!AY9/100,IF(VLOOKUP(A46,tbMoveset!A2:B112,2,FALSE)="Blunt",Backdoors!AZ9/100,Backdoors!BA9/100)),"")</f>
        <v>0.45</v>
      </c>
      <c r="AS46" s="49">
        <f>IFERROR(IF(VLOOKUP(tbMoveset!A46,tbMoveset!A2:H112,8,FALSE)="Other",IF(VLOOKUP(tbMoveset!A46,tbMoveset!A2:I112,9,FALSE)="Fire",Backdoors!BB9,IF(VLOOKUP(tbMoveset!A46,tbMoveset!A2:I112,9,FALSE)="Water",Backdoors!BC9,IF(VLOOKUP(tbMoveset!A46,tbMoveset!A2:I112,9,FALSE)="Thunder",Backdoors!BD9,IF(VLOOKUP(tbMoveset!A46,tbMoveset!A2:I112,9,FALSE)="Ice",Backdoors!BE9,IF(VLOOKUP(tbMoveset!A46,tbMoveset!A2:I112,9,FALSE)="Dragon",Backdoors!BF9,Backdoors!BG9)))))/100,Backdoors!BG9/100),"")</f>
        <v>0</v>
      </c>
      <c r="AT46" s="49">
        <f>IFERROR(IF(VLOOKUP(A46,tbMoveset!A2:J112,10,FALSE)=TRUE,IF((Backdoors!AI12+IF(AR46&gt;=0.45,VLOOKUP(Calculator!E23,tbSkills!DH3:DI6,2,FALSE)+IF(AND(Calculator!B8=TRUE,Backdoors!BI9=TRUE),VLOOKUP(Calculator!E23,tbSkills!DH3:DJ6,3,FALSE),0),0))&gt;=0,1+(Backdoors!AL2*(IF((Backdoors!AI12+IF(AR46&gt;=0.45,VLOOKUP(Calculator!E23,tbSkills!DH3:DI6,2,FALSE)+IF(AND(Calculator!B8=TRUE,Backdoors!BI9=TRUE),VLOOKUP(Calculator!E23,tbSkills!DH3:DJ6,3,FALSE),0),0))&gt;=100,100,(Backdoors!AI12+IF(AR46&gt;=0.45,VLOOKUP(Calculator!E23,tbSkills!DH3:DI6,2,FALSE)+IF(AND(Calculator!B8=TRUE,Backdoors!BI9=TRUE),VLOOKUP(Calculator!E23,tbSkills!DH3:DJ6,3,FALSE),0),0)))/100)),(1-(0.25*((-Backdoors!AI12-IF(AR46&gt;=0.45,VLOOKUP(Calculator!E23,tbSkills!DH3:DI6,2,FALSE)+IF(AND(Calculator!B8=TRUE,Backdoors!BI9=TRUE),VLOOKUP(Calculator!E23,tbSkills!DH3:DJ6,3,FALSE),0),0))/100)))),1),"")</f>
        <v>1</v>
      </c>
      <c r="AU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R46)*AT46)*(VLOOKUP(A46,tbMoveset!A2:C112,3,FALSE)/100)*IF(VLOOKUP(A46,tbMoveset!A2:B112,2,FALSE)="Projectile",Backdoors!N10,Backdoors!N9),0),"")</f>
        <v>3</v>
      </c>
      <c r="AV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R46&gt;=0.45,VLOOKUP(Calculator!E23,tbSkills!DH3:DI6,2,FALSE)+IF(AND(Calculator!B8=TRUE,Backdoors!BI9=TRUE),VLOOKUP(Calculator!E23,tbSkills!DH3:DJ6,3,FALSE),0),0))&gt;=100,100,(Backdoors!AI12+IF(AR46&gt;=0.45,VLOOKUP(Calculator!E23,tbSkills!DH3:DI6,2,FALSE)+IF(AND(Calculator!B8=TRUE,Backdoors!BI9=TRUE),VLOOKUP(Calculator!E23,tbSkills!DH3:DJ6,3,FALSE),0),0)))/100)),1))*IF(VLOOKUP(A46,tbMoveset!A2:K112,11,FALSE)=TRUE,Backdoors!AC5,1))*AS46,0),"")</f>
        <v>0</v>
      </c>
      <c r="AW46" s="49">
        <f>VLOOKUP(A46,tbMoveset!A2:G112,7,FALSE)*IFERROR(IF(Backdoors!AI12&gt;=0,1+(IF(Calculator!E40&gt;0,VLOOKUP(Calculator!E40,tbSkills!AI3:AJ5,2,FALSE),Backdoors!AL4)*(IF((Backdoors!AI12+IF(AR46&gt;=0.45,VLOOKUP(Calculator!E23,tbSkills!DH3:DI6,2,FALSE)+IF(AND(Calculator!B8=TRUE,Backdoors!BI9=TRUE),VLOOKUP(Calculator!E23,tbSkills!DH3:DJ6,3,FALSE),0),0))&gt;=100,100,(Backdoors!AI12+IF(AR46&gt;=0.45,VLOOKUP(Calculator!E23,tbSkills!DH3:DI6,2,FALSE)+IF(AND(Calculator!B8=TRUE,Backdoors!BI9=TRUE),VLOOKUP(Calculator!E23,tbSkills!DH3:DJ6,3,FALSE),0),0)))/100)),1),1)</f>
        <v>0.6</v>
      </c>
      <c r="AX46" s="87">
        <f t="shared" si="50"/>
        <v>3</v>
      </c>
      <c r="AY46" s="86">
        <f>IFERROR(IF(VLOOKUP(A46,tbMoveset!A2:B112,2,FALSE)="Sever",Backdoors!AY10/100,IF(VLOOKUP(A46,tbMoveset!A2:B112,2,FALSE)="Blunt",Backdoors!AZ10/100,Backdoors!BA10/100)),"")</f>
        <v>0.9</v>
      </c>
      <c r="AZ46" s="49">
        <f>IFERROR(IF(VLOOKUP(tbMoveset!A46,tbMoveset!A2:H112,8,FALSE)="Other",IF(VLOOKUP(tbMoveset!A46,tbMoveset!A2:I112,9,FALSE)="Fire",Backdoors!BB10,IF(VLOOKUP(tbMoveset!A46,tbMoveset!A2:I112,9,FALSE)="Water",Backdoors!BC10,IF(VLOOKUP(tbMoveset!A46,tbMoveset!A2:I112,9,FALSE)="Thunder",Backdoors!BD10,IF(VLOOKUP(tbMoveset!A46,tbMoveset!A2:I112,9,FALSE)="Ice",Backdoors!BE10,IF(VLOOKUP(tbMoveset!A46,tbMoveset!A2:I112,9,FALSE)="Dragon",Backdoors!BF10,Backdoors!BG10)))))/100,Backdoors!BG10/100),"")</f>
        <v>0</v>
      </c>
      <c r="BA46" s="49">
        <f>IFERROR(IF(VLOOKUP(A46,tbMoveset!A2:J112,10,FALSE)=TRUE,IF((Backdoors!AI12+IF(AY46&gt;=0.45,VLOOKUP(Calculator!E23,tbSkills!DH3:DI6,2,FALSE)+IF(AND(Calculator!B8=TRUE,Backdoors!BI10=TRUE),VLOOKUP(Calculator!E23,tbSkills!DH3:DJ6,3,FALSE),0),0))&gt;=0,1+(Backdoors!AL2*(IF((Backdoors!AI12+IF(AY46&gt;=0.45,VLOOKUP(Calculator!E23,tbSkills!DH3:DI6,2,FALSE)+IF(AND(Calculator!B8=TRUE,Backdoors!BI10=TRUE),VLOOKUP(Calculator!E23,tbSkills!DH3:DJ6,3,FALSE),0),0))&gt;=100,100,(Backdoors!AI12+IF(AY46&gt;=0.45,VLOOKUP(Calculator!E23,tbSkills!DH3:DI6,2,FALSE)+IF(AND(Calculator!B8=TRUE,Backdoors!BI10=TRUE),VLOOKUP(Calculator!E23,tbSkills!DH3:DJ6,3,FALSE),0),0)))/100)),(1-(0.25*((-Backdoors!AI12-IF(AY46&gt;=0.45,VLOOKUP(Calculator!E23,tbSkills!DH3:DI6,2,FALSE)+IF(AND(Calculator!B8=TRUE,Backdoors!BI10=TRUE),VLOOKUP(Calculator!E23,tbSkills!DH3:DJ6,3,FALSE),0),0))/100)))),1),"")</f>
        <v>1</v>
      </c>
      <c r="BB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Y46)*BA46)*(VLOOKUP(A46,tbMoveset!A2:C112,3,FALSE)/100)*IF(VLOOKUP(A46,tbMoveset!A2:B112,2,FALSE)="Projectile",Backdoors!N10,Backdoors!N9),0),"")</f>
        <v>5</v>
      </c>
      <c r="BC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Y46&gt;=0.45,VLOOKUP(Calculator!E23,tbSkills!DH3:DI6,2,FALSE)+IF(AND(Calculator!B8=TRUE,Backdoors!BI10=TRUE),VLOOKUP(Calculator!E23,tbSkills!DH3:DJ6,3,FALSE),0),0))&gt;=100,100,(Backdoors!AI12+IF(AY46&gt;=0.45,VLOOKUP(Calculator!E23,tbSkills!DH3:DI6,2,FALSE)+IF(AND(Calculator!B8=TRUE,Backdoors!BI10=TRUE),VLOOKUP(Calculator!E23,tbSkills!DH3:DJ6,3,FALSE),0),0)))/100)),1))*IF(VLOOKUP(A46,tbMoveset!A2:K112,11,FALSE)=TRUE,Backdoors!AC5,1))*AZ46,0),"")</f>
        <v>0</v>
      </c>
      <c r="BD46" s="49">
        <f>VLOOKUP(A46,tbMoveset!A2:G112,7,FALSE)*IFERROR(IF(Backdoors!AI12&gt;=0,1+(IF(Calculator!E40&gt;0,VLOOKUP(Calculator!E40,tbSkills!AI3:AJ5,2,FALSE),Backdoors!AL4)*(IF((Backdoors!AI12+IF(AY46&gt;=0.45,VLOOKUP(Calculator!E23,tbSkills!DH3:DI6,2,FALSE)+IF(AND(Calculator!B8=TRUE,Backdoors!BI10=TRUE),VLOOKUP(Calculator!E23,tbSkills!DH3:DJ6,3,FALSE),0),0))&gt;=100,100,(Backdoors!AI12+IF(AY46&gt;=0.45,VLOOKUP(Calculator!E23,tbSkills!DH3:DI6,2,FALSE)+IF(AND(Calculator!B8=TRUE,Backdoors!BI10=TRUE),VLOOKUP(Calculator!E23,tbSkills!DH3:DJ6,3,FALSE),0),0)))/100)),1),1)</f>
        <v>0.6</v>
      </c>
      <c r="BE46" s="87">
        <f t="shared" si="3"/>
        <v>5</v>
      </c>
      <c r="BF46" s="86" t="str">
        <f>IFERROR(IF(VLOOKUP(A46,tbMoveset!A2:B112,2,FALSE)="Sever",Backdoors!AY11/100,IF(VLOOKUP(A46,tbMoveset!A2:B112,2,FALSE)="Blunt",Backdoors!AZ11/100,Backdoors!BA11/100)),"")</f>
        <v/>
      </c>
      <c r="BG46" s="49">
        <f>IFERROR(IF(VLOOKUP(tbMoveset!A46,tbMoveset!A2:H112,8,FALSE)="Other",IF(VLOOKUP(tbMoveset!A46,tbMoveset!A2:I112,9,FALSE)="Fire",Backdoors!BB11,IF(VLOOKUP(tbMoveset!A46,tbMoveset!A2:I112,9,FALSE)="Water",Backdoors!BC11,IF(VLOOKUP(tbMoveset!A46,tbMoveset!A2:I112,9,FALSE)="Thunder",Backdoors!BD11,IF(VLOOKUP(tbMoveset!A46,tbMoveset!A2:I112,9,FALSE)="Ice",Backdoors!BE11,IF(VLOOKUP(tbMoveset!A46,tbMoveset!A2:I112,9,FALSE)="Dragon",Backdoors!BF11,Backdoors!BG11)))))/100,Backdoors!BG11/100),"")</f>
        <v>0</v>
      </c>
      <c r="BH46" s="49">
        <f>IFERROR(IF(VLOOKUP(A46,tbMoveset!A2:J112,10,FALSE)=TRUE,IF((Backdoors!AI12+IF(BF46&gt;=0.45,VLOOKUP(Calculator!E23,tbSkills!DH3:DI6,2,FALSE)+IF(AND(Calculator!B8=TRUE,Backdoors!BI11=TRUE),VLOOKUP(Calculator!E23,tbSkills!DH3:DJ6,3,FALSE),0),0))&gt;=0,1+(Backdoors!AL2*(IF((Backdoors!AI12+IF(BF46&gt;=0.45,VLOOKUP(Calculator!E23,tbSkills!DH3:DI6,2,FALSE)+IF(AND(Calculator!B8=TRUE,Backdoors!BI11=TRUE),VLOOKUP(Calculator!E23,tbSkills!DH3:DJ6,3,FALSE),0),0))&gt;=100,100,(Backdoors!AI12+IF(BF46&gt;=0.45,VLOOKUP(Calculator!E23,tbSkills!DH3:DI6,2,FALSE)+IF(AND(Calculator!B8=TRUE,Backdoors!BI11=TRUE),VLOOKUP(Calculator!E23,tbSkills!DH3:DJ6,3,FALSE),0),0)))/100)),(1-(0.25*((-Backdoors!AI12-IF(BF46&gt;=0.45,VLOOKUP(Calculator!E23,tbSkills!DH3:DI6,2,FALSE)+IF(AND(Calculator!B8=TRUE,Backdoors!BI11=TRUE),VLOOKUP(Calculator!E23,tbSkills!DH3:DJ6,3,FALSE),0),0))/100)))),1),"")</f>
        <v>1</v>
      </c>
      <c r="BI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F46)*BH46)*(VLOOKUP(A46,tbMoveset!A2:C112,3,FALSE)/100)*IF(VLOOKUP(A46,tbMoveset!A2:B112,2,FALSE)="Projectile",Backdoors!N10,Backdoors!N9),0),"")</f>
        <v/>
      </c>
      <c r="BJ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F46&gt;=0.45,VLOOKUP(Calculator!E23,tbSkills!DH3:DI6,2,FALSE)+IF(AND(Calculator!B8=TRUE,Backdoors!BI11=TRUE),VLOOKUP(Calculator!E23,tbSkills!DH3:DJ6,3,FALSE),0),0))&gt;=100,100,(Backdoors!AI12+IF(BF46&gt;=0.45,VLOOKUP(Calculator!E23,tbSkills!DH3:DI6,2,FALSE)+IF(AND(Calculator!B8=TRUE,Backdoors!BI11=TRUE),VLOOKUP(Calculator!E23,tbSkills!DH3:DJ6,3,FALSE),0),0)))/100)),1))*IF(VLOOKUP(A46,tbMoveset!A2:K112,11,FALSE)=TRUE,Backdoors!AC5,1))*BG46,0),"")</f>
        <v>0</v>
      </c>
      <c r="BK46" s="49">
        <f>VLOOKUP(A46,tbMoveset!A2:G112,7,FALSE)*IFERROR(IF(Backdoors!AI12&gt;=0,1+(IF(Calculator!E40&gt;0,VLOOKUP(Calculator!E40,tbSkills!AI3:AJ5,2,FALSE),Backdoors!AL4)*(IF((Backdoors!AI12+IF(BF46&gt;=0.45,VLOOKUP(Calculator!E23,tbSkills!DH3:DI6,2,FALSE)+IF(AND(Calculator!B8=TRUE,Backdoors!BI11=TRUE),VLOOKUP(Calculator!E23,tbSkills!DH3:DJ6,3,FALSE),0),0))&gt;=100,100,(Backdoors!AI12+IF(BF46&gt;=0.45,VLOOKUP(Calculator!E23,tbSkills!DH3:DI6,2,FALSE)+IF(AND(Calculator!B8=TRUE,Backdoors!BI11=TRUE),VLOOKUP(Calculator!E23,tbSkills!DH3:DJ6,3,FALSE),0),0)))/100)),1),1)</f>
        <v>0.6</v>
      </c>
      <c r="BL46" s="87">
        <f t="shared" si="4"/>
        <v>0</v>
      </c>
      <c r="BM46" s="86" t="str">
        <f>IFERROR(IF(VLOOKUP(A46,tbMoveset!A2:B112,2,FALSE)="Sever",Backdoors!AY12/100,IF(VLOOKUP(A46,tbMoveset!A2:B112,2,FALSE)="Blunt",Backdoors!AZ12/100,Backdoors!BA12/100)),"")</f>
        <v/>
      </c>
      <c r="BN46" s="49">
        <f>IFERROR(IF(VLOOKUP(tbMoveset!A46,tbMoveset!A2:H112,8,FALSE)="Other",IF(VLOOKUP(tbMoveset!A46,tbMoveset!A2:I112,9,FALSE)="Fire",Backdoors!BB12,IF(VLOOKUP(tbMoveset!A46,tbMoveset!A2:I112,9,FALSE)="Water",Backdoors!BC12,IF(VLOOKUP(tbMoveset!A46,tbMoveset!A2:I112,9,FALSE)="Thunder",Backdoors!BD12,IF(VLOOKUP(tbMoveset!A46,tbMoveset!A2:I112,9,FALSE)="Ice",Backdoors!BE12,IF(VLOOKUP(tbMoveset!A46,tbMoveset!A2:I112,9,FALSE)="Dragon",Backdoors!BF12,Backdoors!BG12)))))/100,Backdoors!BG12/100),"")</f>
        <v>0</v>
      </c>
      <c r="BO46" s="49">
        <f>IFERROR(IF(VLOOKUP(A46,tbMoveset!A2:J112,10,FALSE)=TRUE,IF((Backdoors!AI12+IF(BM46&gt;=0.45,VLOOKUP(Calculator!E23,tbSkills!DH3:DI6,2,FALSE)+IF(AND(Calculator!B8=TRUE,Backdoors!BI12=TRUE),VLOOKUP(Calculator!E23,tbSkills!DH3:DJ6,3,FALSE),0),0))&gt;=0,1+(Backdoors!AL2*(IF((Backdoors!AI12+IF(BM46&gt;=0.45,VLOOKUP(Calculator!E23,tbSkills!DH3:DI6,2,FALSE)+IF(AND(Calculator!B8=TRUE,Backdoors!BI12=TRUE),VLOOKUP(Calculator!E23,tbSkills!DH3:DJ6,3,FALSE),0),0))&gt;=100,100,(Backdoors!AI12+IF(BM46&gt;=0.45,VLOOKUP(Calculator!E23,tbSkills!DH3:DI6,2,FALSE)+IF(AND(Calculator!B8=TRUE,Backdoors!BI12=TRUE),VLOOKUP(Calculator!E23,tbSkills!DH3:DJ6,3,FALSE),0),0)))/100)),(1-(0.25*((-Backdoors!AI12-IF(BM46&gt;=0.45,VLOOKUP(Calculator!E23,tbSkills!DH3:DI6,2,FALSE)+IF(AND(Calculator!B8=TRUE,Backdoors!BI12=TRUE),VLOOKUP(Calculator!E23,tbSkills!DH3:DJ6,3,FALSE),0),0))/100)))),1),"")</f>
        <v>1</v>
      </c>
      <c r="BP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M46)*BO46)*(VLOOKUP(A46,tbMoveset!A2:C112,3,FALSE)/100)*IF(VLOOKUP(A46,tbMoveset!A2:B112,2,FALSE)="Projectile",Backdoors!N10,Backdoors!N9),0),"")</f>
        <v/>
      </c>
      <c r="BQ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M46&gt;=0.45,VLOOKUP(Calculator!E23,tbSkills!DH3:DI6,2,FALSE)+IF(AND(Calculator!B8=TRUE,Backdoors!BI12=TRUE),VLOOKUP(Calculator!E23,tbSkills!DH3:DJ6,3,FALSE),0),0))&gt;=100,100,(Backdoors!AI12+IF(BM46&gt;=0.45,VLOOKUP(Calculator!E23,tbSkills!DH3:DI6,2,FALSE)+IF(AND(Calculator!B8=TRUE,Backdoors!BI12=TRUE),VLOOKUP(Calculator!E23,tbSkills!DH3:DJ6,3,FALSE),0),0)))/100)),1))*IF(VLOOKUP(A46,tbMoveset!A2:K112,11,FALSE)=TRUE,Backdoors!AC5,1))*BN46,0),"")</f>
        <v>0</v>
      </c>
      <c r="BR46" s="49">
        <f>VLOOKUP(A46,tbMoveset!A2:G112,7,FALSE)*IFERROR(IF(Backdoors!AI12&gt;=0,1+(IF(Calculator!E40&gt;0,VLOOKUP(Calculator!E40,tbSkills!AI3:AJ5,2,FALSE),Backdoors!AL4)*(IF((Backdoors!AI12+IF(BM46&gt;=0.45,VLOOKUP(Calculator!E23,tbSkills!DH3:DI6,2,FALSE)+IF(AND(Calculator!B8=TRUE,Backdoors!BI12=TRUE),VLOOKUP(Calculator!E23,tbSkills!DH3:DJ6,3,FALSE),0),0))&gt;=100,100,(Backdoors!AI12+IF(BM46&gt;=0.45,VLOOKUP(Calculator!E23,tbSkills!DH3:DI6,2,FALSE)+IF(AND(Calculator!B8=TRUE,Backdoors!BI12=TRUE),VLOOKUP(Calculator!E23,tbSkills!DH3:DJ6,3,FALSE),0),0)))/100)),1),1)</f>
        <v>0.6</v>
      </c>
      <c r="BS46" s="87">
        <f t="shared" si="39"/>
        <v>0</v>
      </c>
      <c r="BT46" s="86" t="str">
        <f>IFERROR(IF(VLOOKUP(A46,tbMoveset!A2:B112,2,FALSE)="Sever",Backdoors!AY13/100,IF(VLOOKUP(A46,tbMoveset!A2:B112,2,FALSE)="Blunt",Backdoors!AZ13/100,Backdoors!BA13/100)),"")</f>
        <v/>
      </c>
      <c r="BU46" s="49">
        <f>IFERROR(IF(VLOOKUP(tbMoveset!A46,tbMoveset!A2:H112,8,FALSE)="Other",IF(VLOOKUP(tbMoveset!A46,tbMoveset!A2:I112,9,FALSE)="Fire",Backdoors!BB13,IF(VLOOKUP(tbMoveset!A46,tbMoveset!A2:I112,9,FALSE)="Water",Backdoors!BC13,IF(VLOOKUP(tbMoveset!A46,tbMoveset!A2:I112,9,FALSE)="Thunder",Backdoors!BD13,IF(VLOOKUP(tbMoveset!A46,tbMoveset!A2:I112,9,FALSE)="Ice",Backdoors!BE13,IF(VLOOKUP(tbMoveset!A46,tbMoveset!A2:I112,9,FALSE)="Dragon",Backdoors!BF13,Backdoors!BG13)))))/100,Backdoors!BG13/100),"")</f>
        <v>0</v>
      </c>
      <c r="BV46" s="49">
        <f>IFERROR(IF(VLOOKUP(A46,tbMoveset!A2:J112,10,FALSE)=TRUE,IF((Backdoors!AI12+IF(BT46&gt;=0.45,VLOOKUP(Calculator!E23,tbSkills!DH3:DI6,2,FALSE)+IF(AND(Calculator!B8=TRUE,Backdoors!BI13=TRUE),VLOOKUP(Calculator!E23,tbSkills!DH3:DJ6,3,FALSE),0),0))&gt;=0,1+(Backdoors!AL2*(IF((Backdoors!AI12+IF(BT46&gt;=0.45,VLOOKUP(Calculator!E23,tbSkills!DH3:DI6,2,FALSE)+IF(AND(Calculator!B8=TRUE,Backdoors!BI13=TRUE),VLOOKUP(Calculator!E23,tbSkills!DH3:DJ6,3,FALSE),0),0))&gt;=100,100,(Backdoors!AI12+IF(BT46&gt;=0.45,VLOOKUP(Calculator!E23,tbSkills!DH3:DI6,2,FALSE)+IF(AND(Calculator!B8=TRUE,Backdoors!BI13=TRUE),VLOOKUP(Calculator!E23,tbSkills!DH3:DJ6,3,FALSE),0),0)))/100)),(1-(0.25*((-Backdoors!AI12-IF(BT46&gt;=0.45,VLOOKUP(Calculator!E23,tbSkills!DH3:DI6,2,FALSE)+IF(AND(Calculator!B8=TRUE,Backdoors!BI13=TRUE),VLOOKUP(Calculator!E23,tbSkills!DH3:DJ6,3,FALSE),0),0))/100)))),1),"")</f>
        <v>1</v>
      </c>
      <c r="BW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T46)*BV46)*(VLOOKUP(A46,tbMoveset!A2:C112,3,FALSE)/100)*IF(VLOOKUP(A46,tbMoveset!A2:B112,2,FALSE)="Projectile",Backdoors!N10,Backdoors!N9),0),"")</f>
        <v/>
      </c>
      <c r="BX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T46&gt;=0.45,VLOOKUP(Calculator!E23,tbSkills!DH3:DI6,2,FALSE)+IF(AND(Calculator!B8=TRUE,Backdoors!BI13=TRUE),VLOOKUP(Calculator!E23,tbSkills!DH3:DJ6,3,FALSE),0),0))&gt;=100,100,(Backdoors!AI12+IF(BT46&gt;=0.45,VLOOKUP(Calculator!E23,tbSkills!DH3:DI6,2,FALSE)+IF(AND(Calculator!B8=TRUE,Backdoors!BI13=TRUE),VLOOKUP(Calculator!E23,tbSkills!DH3:DJ6,3,FALSE),0),0)))/100)),1))*IF(VLOOKUP(A46,tbMoveset!A2:K112,11,FALSE)=TRUE,Backdoors!AC5,1))*BU46,0),"")</f>
        <v>0</v>
      </c>
      <c r="BY46" s="49">
        <f>VLOOKUP(A46,tbMoveset!A2:G112,7,FALSE)*IFERROR(IF(Backdoors!AI12&gt;=0,1+(IF(Calculator!E40&gt;0,VLOOKUP(Calculator!E40,tbSkills!AI3:AJ5,2,FALSE),Backdoors!AL4)*(IF((Backdoors!AI12+IF(BT46&gt;=0.45,VLOOKUP(Calculator!E23,tbSkills!DH3:DI6,2,FALSE)+IF(AND(Calculator!B8=TRUE,Backdoors!BI13=TRUE),VLOOKUP(Calculator!E23,tbSkills!DH3:DJ6,3,FALSE),0),0))&gt;=100,100,(Backdoors!AI12+IF(BT46&gt;=0.45,VLOOKUP(Calculator!E23,tbSkills!DH3:DI6,2,FALSE)+IF(AND(Calculator!B8=TRUE,Backdoors!BI13=TRUE),VLOOKUP(Calculator!E23,tbSkills!DH3:DJ6,3,FALSE),0),0)))/100)),1),1)</f>
        <v>0.6</v>
      </c>
      <c r="BZ46" s="87">
        <f t="shared" si="5"/>
        <v>0</v>
      </c>
      <c r="CA46" s="86" t="str">
        <f>IFERROR(IF(VLOOKUP(A46,tbMoveset!A2:B112,2,FALSE)="Sever",Backdoors!AY14/100,IF(VLOOKUP(A46,tbMoveset!A2:B112,2,FALSE)="Blunt",Backdoors!AZ14/100,Backdoors!BA14/100)),"")</f>
        <v/>
      </c>
      <c r="CB46" s="49">
        <f>IFERROR(IF(VLOOKUP(tbMoveset!A46,tbMoveset!A2:H112,8,FALSE)="Other",IF(VLOOKUP(tbMoveset!A46,tbMoveset!A2:I112,9,FALSE)="Fire",Backdoors!BB14,IF(VLOOKUP(tbMoveset!A46,tbMoveset!A2:I112,9,FALSE)="Water",Backdoors!BC14,IF(VLOOKUP(tbMoveset!A46,tbMoveset!A2:I112,9,FALSE)="Thunder",Backdoors!BD14,IF(VLOOKUP(tbMoveset!A46,tbMoveset!A2:I112,9,FALSE)="Ice",Backdoors!BE14,IF(VLOOKUP(tbMoveset!A46,tbMoveset!A2:I112,9,FALSE)="Dragon",Backdoors!BF14,Backdoors!BG14)))))/100,Backdoors!BG14/100),"")</f>
        <v>0</v>
      </c>
      <c r="CC46" s="49">
        <f>IFERROR(IF(VLOOKUP(A46,tbMoveset!A2:J112,10,FALSE)=TRUE,IF((Backdoors!AI12+IF(CA46&gt;=0.45,VLOOKUP(Calculator!E23,tbSkills!DH3:DI6,2,FALSE)+IF(AND(Calculator!B8=TRUE,Backdoors!BI14=TRUE),VLOOKUP(Calculator!E23,tbSkills!DH3:DJ6,3,FALSE),0),0))&gt;=0,1+(Backdoors!AL2*(IF((Backdoors!AI12+IF(CA46&gt;=0.45,VLOOKUP(Calculator!E23,tbSkills!DH3:DI6,2,FALSE)+IF(AND(Calculator!B8=TRUE,Backdoors!BI14=TRUE),VLOOKUP(Calculator!E23,tbSkills!DH3:DJ6,3,FALSE),0),0))&gt;=100,100,(Backdoors!AI12+IF(CA46&gt;=0.45,VLOOKUP(Calculator!E23,tbSkills!DH3:DI6,2,FALSE)+IF(AND(Calculator!B8=TRUE,Backdoors!BI14=TRUE),VLOOKUP(Calculator!E23,tbSkills!DH3:DJ6,3,FALSE),0),0)))/100)),(1-(0.25*((-Backdoors!AI12-IF(CA46&gt;=0.45,VLOOKUP(Calculator!E23,tbSkills!DH3:DI6,2,FALSE)+IF(AND(Calculator!B8=TRUE,Backdoors!BI14=TRUE),VLOOKUP(Calculator!E23,tbSkills!DH3:DJ6,3,FALSE),0),0))/100)))),1),"")</f>
        <v>1</v>
      </c>
      <c r="CD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A46)*CC46)*(VLOOKUP(A46,tbMoveset!A2:C112,3,FALSE)/100)*IF(VLOOKUP(A46,tbMoveset!A2:B112,2,FALSE)="Projectile",Backdoors!N10,Backdoors!N9),0),"")</f>
        <v/>
      </c>
      <c r="CE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A46&gt;=0.45,VLOOKUP(Calculator!E23,tbSkills!DH3:DI6,2,FALSE)+IF(AND(Calculator!B8=TRUE,Backdoors!BI14=TRUE),VLOOKUP(Calculator!E23,tbSkills!DH3:DJ6,3,FALSE),0),0))&gt;=100,100,(Backdoors!AI12+IF(CA46&gt;=0.45,VLOOKUP(Calculator!E23,tbSkills!DH3:DI6,2,FALSE)+IF(AND(Calculator!B8=TRUE,Backdoors!BI14=TRUE),VLOOKUP(Calculator!E23,tbSkills!DH3:DJ6,3,FALSE),0),0)))/100)),1))*IF(VLOOKUP(A46,tbMoveset!A2:K112,11,FALSE)=TRUE,Backdoors!AC5,1))*CB46,0),"")</f>
        <v>0</v>
      </c>
      <c r="CF46" s="49">
        <f>VLOOKUP(A46,tbMoveset!A2:G112,7,FALSE)*IFERROR(IF(Backdoors!AI12&gt;=0,1+(IF(Calculator!E40&gt;0,VLOOKUP(Calculator!E40,tbSkills!AI3:AJ5,2,FALSE),Backdoors!AL4)*(IF((Backdoors!AI12+IF(CA46&gt;=0.45,VLOOKUP(Calculator!E23,tbSkills!DH3:DI6,2,FALSE)+IF(AND(Calculator!B8=TRUE,Backdoors!BI14=TRUE),VLOOKUP(Calculator!E23,tbSkills!DH3:DJ6,3,FALSE),0),0))&gt;=100,100,(Backdoors!AI12+IF(CA46&gt;=0.45,VLOOKUP(Calculator!E23,tbSkills!DH3:DI6,2,FALSE)+IF(AND(Calculator!B8=TRUE,Backdoors!BI14=TRUE),VLOOKUP(Calculator!E23,tbSkills!DH3:DJ6,3,FALSE),0),0)))/100)),1),1)</f>
        <v>0.6</v>
      </c>
      <c r="CG46" s="87">
        <f t="shared" si="6"/>
        <v>0</v>
      </c>
      <c r="CH46" s="86" t="str">
        <f>IFERROR(IF(VLOOKUP(A46,tbMoveset!A2:B112,2,FALSE)="Sever",Backdoors!AY15/100,IF(VLOOKUP(A46,tbMoveset!A2:B112,2,FALSE)="Blunt",Backdoors!AZ15/100,Backdoors!BA15/100)),"")</f>
        <v/>
      </c>
      <c r="CI46" s="49">
        <f>IFERROR(IF(VLOOKUP(tbMoveset!A46,tbMoveset!A2:H112,8,FALSE)="Other",IF(VLOOKUP(tbMoveset!A46,tbMoveset!A2:I112,9,FALSE)="Fire",Backdoors!BB15,IF(VLOOKUP(tbMoveset!A46,tbMoveset!A2:I112,9,FALSE)="Water",Backdoors!BC15,IF(VLOOKUP(tbMoveset!A46,tbMoveset!A2:I112,9,FALSE)="Thunder",Backdoors!BD15,IF(VLOOKUP(tbMoveset!A46,tbMoveset!A2:I112,9,FALSE)="Ice",Backdoors!BE15,IF(VLOOKUP(tbMoveset!A46,tbMoveset!A2:I112,9,FALSE)="Dragon",Backdoors!BF15,Backdoors!BG15)))))/100,Backdoors!BG15/100),"")</f>
        <v>0</v>
      </c>
      <c r="CJ46" s="49">
        <f>IFERROR(IF(VLOOKUP(A46,tbMoveset!A2:J112,10,FALSE)=TRUE,IF((Backdoors!AI12+IF(CH46&gt;=0.45,VLOOKUP(Calculator!E23,tbSkills!DH3:DI6,2,FALSE)+IF(AND(Calculator!B8=TRUE,Backdoors!BI15=TRUE),VLOOKUP(Calculator!E23,tbSkills!DH3:DJ6,3,FALSE),0),0))&gt;=0,1+(Backdoors!AL2*(IF((Backdoors!AI12+IF(CH46&gt;=0.45,VLOOKUP(Calculator!E23,tbSkills!DH3:DI6,2,FALSE)+IF(AND(Calculator!B8=TRUE,Backdoors!BI15=TRUE),VLOOKUP(Calculator!E23,tbSkills!DH3:DJ6,3,FALSE),0),0))&gt;=100,100,(Backdoors!AI12+IF(CH46&gt;=0.45,VLOOKUP(Calculator!E23,tbSkills!DH3:DI6,2,FALSE)+IF(AND(Calculator!B8=TRUE,Backdoors!BI15=TRUE),VLOOKUP(Calculator!E23,tbSkills!DH3:DJ6,3,FALSE),0),0)))/100)),(1-(0.25*((-Backdoors!AI12-IF(CH46&gt;=0.45,VLOOKUP(Calculator!E23,tbSkills!DH3:DI6,2,FALSE)+IF(AND(Calculator!B8=TRUE,Backdoors!BI15=TRUE),VLOOKUP(Calculator!E23,tbSkills!DH3:DJ6,3,FALSE),0),0))/100)))),1),"")</f>
        <v>1</v>
      </c>
      <c r="CK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H46)*CJ46)*(VLOOKUP(A46,tbMoveset!A2:C112,3,FALSE)/100)*IF(VLOOKUP(A46,tbMoveset!A2:B112,2,FALSE)="Projectile",Backdoors!N10,Backdoors!N9),0),"")</f>
        <v/>
      </c>
      <c r="CL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H46&gt;=0.45,VLOOKUP(Calculator!E23,tbSkills!DH3:DI6,2,FALSE)+IF(AND(Calculator!B8=TRUE,Backdoors!BI15=TRUE),VLOOKUP(Calculator!E23,tbSkills!DH3:DJ6,3,FALSE),0),0))&gt;=100,100,(Backdoors!AI12+IF(CH46&gt;=0.45,VLOOKUP(Calculator!E23,tbSkills!DH3:DI6,2,FALSE)+IF(AND(Calculator!B8=TRUE,Backdoors!BI15=TRUE),VLOOKUP(Calculator!E23,tbSkills!DH3:DJ6,3,FALSE),0),0)))/100)),1))*IF(VLOOKUP(A46,tbMoveset!A2:K112,11,FALSE)=TRUE,Backdoors!AC5,1))*CI46,0),"")</f>
        <v>0</v>
      </c>
      <c r="CM46" s="49">
        <f>VLOOKUP(A46,tbMoveset!A2:G112,7,FALSE)*IFERROR(IF(Backdoors!AI12&gt;=0,1+(IF(Calculator!E40&gt;0,VLOOKUP(Calculator!E40,tbSkills!AI3:AJ5,2,FALSE),Backdoors!AL4)*(IF((Backdoors!AI12+IF(CH46&gt;=0.45,VLOOKUP(Calculator!E23,tbSkills!DH3:DI6,2,FALSE)+IF(AND(Calculator!B8=TRUE,Backdoors!BI15=TRUE),VLOOKUP(Calculator!E23,tbSkills!DH3:DJ6,3,FALSE),0),0))&gt;=100,100,(Backdoors!AI12+IF(CH46&gt;=0.45,VLOOKUP(Calculator!E23,tbSkills!DH3:DI6,2,FALSE)+IF(AND(Calculator!B8=TRUE,Backdoors!BI15=TRUE),VLOOKUP(Calculator!E23,tbSkills!DH3:DJ6,3,FALSE),0),0)))/100)),1),1)</f>
        <v>0.6</v>
      </c>
      <c r="CN46" s="87">
        <f t="shared" si="7"/>
        <v>0</v>
      </c>
      <c r="CO46" s="86" t="str">
        <f>IFERROR(IF(VLOOKUP(A46,tbMoveset!A2:B112,2,FALSE)="Sever",Backdoors!AY16/100,IF(VLOOKUP(A46,tbMoveset!A2:B112,2,FALSE)="Blunt",Backdoors!AZ16/100,Backdoors!BA16/100)),"")</f>
        <v/>
      </c>
      <c r="CP46" s="49">
        <f>IFERROR(IF(VLOOKUP(tbMoveset!A46,tbMoveset!A2:H112,8,FALSE)="Other",IF(VLOOKUP(tbMoveset!A46,tbMoveset!A2:I112,9,FALSE)="Fire",Backdoors!BB16,IF(VLOOKUP(tbMoveset!A46,tbMoveset!A2:I112,9,FALSE)="Water",Backdoors!BC16,IF(VLOOKUP(tbMoveset!A46,tbMoveset!A2:I112,9,FALSE)="Thunder",Backdoors!BD16,IF(VLOOKUP(tbMoveset!A46,tbMoveset!A2:I112,9,FALSE)="Ice",Backdoors!BE16,IF(VLOOKUP(tbMoveset!A46,tbMoveset!A2:I112,9,FALSE)="Dragon",Backdoors!BF16,Backdoors!BG16)))))/100,Backdoors!BG16/100),"")</f>
        <v>0</v>
      </c>
      <c r="CQ46" s="49">
        <f>IFERROR(IF(VLOOKUP(A46,tbMoveset!A2:J112,10,FALSE)=TRUE,IF((Backdoors!AI12+IF(CO46&gt;=0.45,VLOOKUP(Calculator!E23,tbSkills!DH3:DI6,2,FALSE)+IF(AND(Calculator!B8=TRUE,Backdoors!BI16=TRUE),VLOOKUP(Calculator!E23,tbSkills!DH3:DJ6,3,FALSE),0),0))&gt;=0,1+(Backdoors!AL2*(IF((Backdoors!AI12+IF(CO46&gt;=0.45,VLOOKUP(Calculator!E23,tbSkills!DH3:DI6,2,FALSE)+IF(AND(Calculator!B8=TRUE,Backdoors!BI16=TRUE),VLOOKUP(Calculator!E23,tbSkills!DH3:DJ6,3,FALSE),0),0))&gt;=100,100,(Backdoors!AI12+IF(CO46&gt;=0.45,VLOOKUP(Calculator!E23,tbSkills!DH3:DI6,2,FALSE)+IF(AND(Calculator!B8=TRUE,Backdoors!BI16=TRUE),VLOOKUP(Calculator!E23,tbSkills!DH3:DJ6,3,FALSE),0),0)))/100)),(1-(0.25*((-Backdoors!AI12-IF(CO46&gt;=0.45,VLOOKUP(Calculator!E23,tbSkills!DH3:DI6,2,FALSE)+IF(AND(Calculator!B8=TRUE,Backdoors!BI16=TRUE),VLOOKUP(Calculator!E23,tbSkills!DH3:DJ6,3,FALSE),0),0))/100)))),1),"")</f>
        <v>1</v>
      </c>
      <c r="CR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O46)*CQ46)*(VLOOKUP(A46,tbMoveset!A2:C112,3,FALSE)/100)*IF(VLOOKUP(A46,tbMoveset!A2:B112,2,FALSE)="Projectile",Backdoors!N10,Backdoors!N9),0),"")</f>
        <v/>
      </c>
      <c r="CS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O46&gt;=0.45,VLOOKUP(Calculator!E23,tbSkills!DH3:DI6,2,FALSE)+IF(AND(Calculator!B8=TRUE,Backdoors!BI16=TRUE),VLOOKUP(Calculator!E23,tbSkills!DH3:DJ6,3,FALSE),0),0))&gt;=100,100,(Backdoors!AI12+IF(CO46&gt;=0.45,VLOOKUP(Calculator!E23,tbSkills!DH3:DI6,2,FALSE)+IF(AND(Calculator!B8=TRUE,Backdoors!BI16=TRUE),VLOOKUP(Calculator!E23,tbSkills!DH3:DJ6,3,FALSE),0),0)))/100)),1))*IF(VLOOKUP(A46,tbMoveset!A2:K112,11,FALSE)=TRUE,Backdoors!AC5,1))*CP46,0),"")</f>
        <v>0</v>
      </c>
      <c r="CT46" s="49">
        <f>VLOOKUP(A46,tbMoveset!A2:G112,7,FALSE)*IFERROR(IF(Backdoors!AI12&gt;=0,1+(IF(Calculator!E40&gt;0,VLOOKUP(Calculator!E40,tbSkills!AI3:AJ5,2,FALSE),Backdoors!AL4)*(IF((Backdoors!AI12+IF(CO46&gt;=0.45,VLOOKUP(Calculator!E23,tbSkills!DH3:DI6,2,FALSE)+IF(AND(Calculator!B8=TRUE,Backdoors!BI16=TRUE),VLOOKUP(Calculator!E23,tbSkills!DH3:DJ6,3,FALSE),0),0))&gt;=100,100,(Backdoors!AI12+IF(CO46&gt;=0.45,VLOOKUP(Calculator!E23,tbSkills!DH3:DI6,2,FALSE)+IF(AND(Calculator!B8=TRUE,Backdoors!BI16=TRUE),VLOOKUP(Calculator!E23,tbSkills!DH3:DJ6,3,FALSE),0),0)))/100)),1),1)</f>
        <v>0.6</v>
      </c>
      <c r="CU46" s="87">
        <f t="shared" si="40"/>
        <v>0</v>
      </c>
      <c r="CV46" s="86" t="str">
        <f>IFERROR(IF(VLOOKUP(A46,tbMoveset!A2:B112,2,FALSE)="Sever",Backdoors!AY17/100,IF(VLOOKUP(A46,tbMoveset!A2:B112,2,FALSE)="Blunt",Backdoors!AZ17/100,Backdoors!BA17/100)),"")</f>
        <v/>
      </c>
      <c r="CW46" s="49">
        <f>IFERROR(IF(VLOOKUP(tbMoveset!A46,tbMoveset!A2:H112,8,FALSE)="Other",IF(VLOOKUP(tbMoveset!A46,tbMoveset!A2:I112,9,FALSE)="Fire",Backdoors!BB17,IF(VLOOKUP(tbMoveset!A46,tbMoveset!A2:I112,9,FALSE)="Water",Backdoors!BC17,IF(VLOOKUP(tbMoveset!A46,tbMoveset!A2:I112,9,FALSE)="Thunder",Backdoors!BD17,IF(VLOOKUP(tbMoveset!A46,tbMoveset!A2:I112,9,FALSE)="Ice",Backdoors!BE17,IF(VLOOKUP(tbMoveset!A46,tbMoveset!A2:I112,9,FALSE)="Dragon",Backdoors!BF17,Backdoors!BG17)))))/100,Backdoors!BG17/100),"")</f>
        <v>0</v>
      </c>
      <c r="CX46" s="49">
        <f>IFERROR(IF(VLOOKUP(A46,tbMoveset!A2:J112,10,FALSE)=TRUE,IF((Backdoors!AI12+IF(CV46&gt;=0.45,VLOOKUP(Calculator!E23,tbSkills!DH3:DI6,2,FALSE)+IF(AND(Calculator!B8=TRUE,Backdoors!BI17=TRUE),VLOOKUP(Calculator!E23,tbSkills!DH3:DJ6,3,FALSE),0),0))&gt;=0,1+(Backdoors!AL2*(IF((Backdoors!AI12+IF(CV46&gt;=0.45,VLOOKUP(Calculator!E23,tbSkills!DH3:DI6,2,FALSE)+IF(AND(Calculator!B8=TRUE,Backdoors!BI17=TRUE),VLOOKUP(Calculator!E23,tbSkills!DH3:DJ6,3,FALSE),0),0))&gt;=100,100,(Backdoors!AI12+IF(CV46&gt;=0.45,VLOOKUP(Calculator!E23,tbSkills!DH3:DI6,2,FALSE)+IF(AND(Calculator!B8=TRUE,Backdoors!BI17=TRUE),VLOOKUP(Calculator!E23,tbSkills!DH3:DJ6,3,FALSE),0),0)))/100)),(1-(0.25*((-Backdoors!AI12-IF(CV46&gt;=0.45,VLOOKUP(Calculator!E23,tbSkills!DH3:DI6,2,FALSE)+IF(AND(Calculator!B8=TRUE,Backdoors!BI17=TRUE),VLOOKUP(Calculator!E23,tbSkills!DH3:DJ6,3,FALSE),0),0))/100)))),1),"")</f>
        <v>1</v>
      </c>
      <c r="CY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V46)*CX46)*(VLOOKUP(A46,tbMoveset!A2:C112,3,FALSE)/100)*IF(VLOOKUP(A46,tbMoveset!A2:B112,2,FALSE)="Projectile",Backdoors!N10,Backdoors!N9),0),"")</f>
        <v/>
      </c>
      <c r="CZ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V46&gt;=0.45,VLOOKUP(Calculator!E23,tbSkills!DH3:DI6,2,FALSE)+IF(AND(Calculator!B8=TRUE,Backdoors!BI17=TRUE),VLOOKUP(Calculator!E23,tbSkills!DH3:DJ6,3,FALSE),0),0))&gt;=100,100,(Backdoors!AI12+IF(CV46&gt;=0.45,VLOOKUP(Calculator!E23,tbSkills!DH3:DI6,2,FALSE)+IF(AND(Calculator!B8=TRUE,Backdoors!BI17=TRUE),VLOOKUP(Calculator!E23,tbSkills!DH3:DJ6,3,FALSE),0),0)))/100)),1))*IF(VLOOKUP(A46,tbMoveset!A2:K112,11,FALSE)=TRUE,Backdoors!AC5,1))*CW46,0),"")</f>
        <v>0</v>
      </c>
      <c r="DA46" s="49">
        <f>VLOOKUP(A46,tbMoveset!A2:G112,7,FALSE)*IFERROR(IF(Backdoors!AI12&gt;=0,1+(IF(Calculator!E40&gt;0,VLOOKUP(Calculator!E40,tbSkills!AI3:AJ5,2,FALSE),Backdoors!AL4)*(IF((Backdoors!AI12+IF(CV46&gt;=0.45,VLOOKUP(Calculator!E23,tbSkills!DH3:DI6,2,FALSE)+IF(AND(Calculator!B8=TRUE,Backdoors!BI17=TRUE),VLOOKUP(Calculator!E23,tbSkills!DH3:DJ6,3,FALSE),0),0))&gt;=100,100,(Backdoors!AI12+IF(CV46&gt;=0.45,VLOOKUP(Calculator!E23,tbSkills!DH3:DI6,2,FALSE)+IF(AND(Calculator!B8=TRUE,Backdoors!BI17=TRUE),VLOOKUP(Calculator!E23,tbSkills!DH3:DJ6,3,FALSE),0),0)))/100)),1),1)</f>
        <v>0.6</v>
      </c>
      <c r="DB46" s="87">
        <f t="shared" si="8"/>
        <v>0</v>
      </c>
      <c r="DC46" s="86" t="str">
        <f>IFERROR(IF(VLOOKUP(A46,tbMoveset!A2:B112,2,FALSE)="Sever",Backdoors!AY18/100,IF(VLOOKUP(A46,tbMoveset!A2:B112,2,FALSE)="Blunt",Backdoors!AZ18/100,Backdoors!BA18/100)),"")</f>
        <v/>
      </c>
      <c r="DD46" s="49">
        <f>IFERROR(IF(VLOOKUP(tbMoveset!A46,tbMoveset!A2:H112,8,FALSE)="Other",IF(VLOOKUP(tbMoveset!A46,tbMoveset!A2:I112,9,FALSE)="Fire",Backdoors!BB18,IF(VLOOKUP(tbMoveset!A46,tbMoveset!A2:I112,9,FALSE)="Water",Backdoors!BC18,IF(VLOOKUP(tbMoveset!A46,tbMoveset!A2:I112,9,FALSE)="Thunder",Backdoors!BD18,IF(VLOOKUP(tbMoveset!A46,tbMoveset!A2:I112,9,FALSE)="Ice",Backdoors!BE18,IF(VLOOKUP(tbMoveset!A46,tbMoveset!A2:I112,9,FALSE)="Dragon",Backdoors!BF18,Backdoors!BG18)))))/100,Backdoors!BG18/100),"")</f>
        <v>0</v>
      </c>
      <c r="DE46" s="49">
        <f>IFERROR(IF(VLOOKUP(A46,tbMoveset!A2:J112,10,FALSE)=TRUE,IF((Backdoors!AI12+IF(DC46&gt;=0.45,VLOOKUP(Calculator!E23,tbSkills!DH3:DI6,2,FALSE)+IF(AND(Calculator!B8=TRUE,Backdoors!BI18=TRUE),VLOOKUP(Calculator!E23,tbSkills!DH3:DJ6,3,FALSE),0),0))&gt;=0,1+(Backdoors!AL2*(IF((Backdoors!AI12+IF(DC46&gt;=0.45,VLOOKUP(Calculator!E23,tbSkills!DH3:DI6,2,FALSE)+IF(AND(Calculator!B8=TRUE,Backdoors!BI18=TRUE),VLOOKUP(Calculator!E23,tbSkills!DH3:DJ6,3,FALSE),0),0))&gt;=100,100,(Backdoors!AI12+IF(DC46&gt;=0.45,VLOOKUP(Calculator!E23,tbSkills!DH3:DI6,2,FALSE)+IF(AND(Calculator!B8=TRUE,Backdoors!BI18=TRUE),VLOOKUP(Calculator!E23,tbSkills!DH3:DJ6,3,FALSE),0),0)))/100)),(1-(0.25*((-Backdoors!AI12-IF(DC46&gt;=0.45,VLOOKUP(Calculator!E23,tbSkills!DH3:DI6,2,FALSE)+IF(AND(Calculator!B8=TRUE,Backdoors!BI18=TRUE),VLOOKUP(Calculator!E23,tbSkills!DH3:DJ6,3,FALSE),0),0))/100)))),1),"")</f>
        <v>1</v>
      </c>
      <c r="DF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C46)*DE46)*(VLOOKUP(A46,tbMoveset!A2:C112,3,FALSE)/100)*IF(VLOOKUP(A46,tbMoveset!A2:B112,2,FALSE)="Projectile",Backdoors!N10,Backdoors!N9),0),"")</f>
        <v/>
      </c>
      <c r="DG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C46&gt;=0.45,VLOOKUP(Calculator!E23,tbSkills!DH3:DI6,2,FALSE)+IF(AND(Calculator!B8=TRUE,Backdoors!BI18=TRUE),VLOOKUP(Calculator!E23,tbSkills!DH3:DJ6,3,FALSE),0),0))&gt;=100,100,(Backdoors!AI12+IF(DC46&gt;=0.45,VLOOKUP(Calculator!E23,tbSkills!DH3:DI6,2,FALSE)+IF(AND(Calculator!B8=TRUE,Backdoors!BI18=TRUE),VLOOKUP(Calculator!E23,tbSkills!DH3:DJ6,3,FALSE),0),0)))/100)),1))*IF(VLOOKUP(A46,tbMoveset!A2:K112,11,FALSE)=TRUE,Backdoors!AC5,1))*DD46,0),"")</f>
        <v>0</v>
      </c>
      <c r="DH46" s="49">
        <f>VLOOKUP(A46,tbMoveset!A2:G112,7,FALSE)*IFERROR(IF(Backdoors!AI12&gt;=0,1+(IF(Calculator!E40&gt;0,VLOOKUP(Calculator!E40,tbSkills!AI3:AJ5,2,FALSE),Backdoors!AL4)*(IF((Backdoors!AI12+IF(DC46&gt;=0.45,VLOOKUP(Calculator!E23,tbSkills!DH3:DI6,2,FALSE)+IF(AND(Calculator!B8=TRUE,Backdoors!BI18=TRUE),VLOOKUP(Calculator!E23,tbSkills!DH3:DJ6,3,FALSE),0),0))&gt;=100,100,(Backdoors!AI12+IF(DC46&gt;=0.45,VLOOKUP(Calculator!E23,tbSkills!DH3:DI6,2,FALSE)+IF(AND(Calculator!B8=TRUE,Backdoors!BI18=TRUE),VLOOKUP(Calculator!E23,tbSkills!DH3:DJ6,3,FALSE),0),0)))/100)),1),1)</f>
        <v>0.6</v>
      </c>
      <c r="DI46" s="87">
        <f t="shared" si="9"/>
        <v>0</v>
      </c>
      <c r="DJ46" s="86" t="str">
        <f>IFERROR(IF(VLOOKUP(A46,tbMoveset!A2:B112,2,FALSE)="Sever",Backdoors!AY19/100,IF(VLOOKUP(A46,tbMoveset!A2:B112,2,FALSE)="Blunt",Backdoors!AZ19/100,Backdoors!BA19/100)),"")</f>
        <v/>
      </c>
      <c r="DK46" s="49">
        <f>IFERROR(IF(VLOOKUP(tbMoveset!A46,tbMoveset!A2:H112,8,FALSE)="Other",IF(VLOOKUP(tbMoveset!A46,tbMoveset!A2:I112,9,FALSE)="Fire",Backdoors!BB19,IF(VLOOKUP(tbMoveset!A46,tbMoveset!A2:I112,9,FALSE)="Water",Backdoors!BC19,IF(VLOOKUP(tbMoveset!A46,tbMoveset!A2:I112,9,FALSE)="Thunder",Backdoors!BD19,IF(VLOOKUP(tbMoveset!A46,tbMoveset!A2:I112,9,FALSE)="Ice",Backdoors!BE19,IF(VLOOKUP(tbMoveset!A46,tbMoveset!A2:I112,9,FALSE)="Dragon",Backdoors!BF19,Backdoors!BG19)))))/100,Backdoors!BG19/100),"")</f>
        <v>0</v>
      </c>
      <c r="DL46" s="49">
        <f>IFERROR(IF(VLOOKUP(A46,tbMoveset!A2:J112,10,FALSE)=TRUE,IF((Backdoors!AI12+IF(DJ46&gt;=0.45,VLOOKUP(Calculator!E23,tbSkills!DH3:DI6,2,FALSE)+IF(AND(Calculator!B8=TRUE,Backdoors!BI19=TRUE),VLOOKUP(Calculator!E23,tbSkills!DH3:DJ6,3,FALSE),0),0))&gt;=0,1+(Backdoors!AL2*(IF((Backdoors!AI12+IF(DJ46&gt;=0.45,VLOOKUP(Calculator!E23,tbSkills!DH3:DI6,2,FALSE)+IF(AND(Calculator!B8=TRUE,Backdoors!BI19=TRUE),VLOOKUP(Calculator!E23,tbSkills!DH3:DJ6,3,FALSE),0),0))&gt;=100,100,(Backdoors!AI12+IF(DJ46&gt;=0.45,VLOOKUP(Calculator!E23,tbSkills!DH3:DI6,2,FALSE)+IF(AND(Calculator!B8=TRUE,Backdoors!BI19=TRUE),VLOOKUP(Calculator!E23,tbSkills!DH3:DJ6,3,FALSE),0),0)))/100)),(1-(0.25*((-Backdoors!AI12-IF(DJ46&gt;=0.45,VLOOKUP(Calculator!E23,tbSkills!DH3:DI6,2,FALSE)+IF(AND(Calculator!B8=TRUE,Backdoors!BI19=TRUE),VLOOKUP(Calculator!E23,tbSkills!DH3:DJ6,3,FALSE),0),0))/100)))),1),"")</f>
        <v>1</v>
      </c>
      <c r="DM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J46)*DL46)*(VLOOKUP(A46,tbMoveset!A2:C112,3,FALSE)/100)*IF(VLOOKUP(A46,tbMoveset!A2:B112,2,FALSE)="Projectile",Backdoors!N10,Backdoors!N9),0),"")</f>
        <v/>
      </c>
      <c r="DN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J46&gt;=0.45,VLOOKUP(Calculator!E23,tbSkills!DH3:DI6,2,FALSE)+IF(AND(Calculator!B8=TRUE,Backdoors!BI19=TRUE),VLOOKUP(Calculator!E23,tbSkills!DH3:DJ6,3,FALSE),0),0))&gt;=100,100,(Backdoors!AI12+IF(DJ46&gt;=0.45,VLOOKUP(Calculator!E23,tbSkills!DH3:DI6,2,FALSE)+IF(AND(Calculator!B8=TRUE,Backdoors!BI19=TRUE),VLOOKUP(Calculator!E23,tbSkills!DH3:DJ6,3,FALSE),0),0)))/100)),1))*IF(VLOOKUP(A46,tbMoveset!A2:K112,11,FALSE)=TRUE,Backdoors!AC5,1))*DK46,0),"")</f>
        <v>0</v>
      </c>
      <c r="DO46" s="49">
        <f>VLOOKUP(A46,tbMoveset!A2:G112,7,FALSE)*IFERROR(IF(Backdoors!AI12&gt;=0,1+(IF(Calculator!E40&gt;0,VLOOKUP(Calculator!E40,tbSkills!AI3:AJ5,2,FALSE),Backdoors!AL4)*(IF((Backdoors!AI12+IF(DJ46&gt;=0.45,VLOOKUP(Calculator!E23,tbSkills!DH3:DI6,2,FALSE)+IF(AND(Calculator!B8=TRUE,Backdoors!BI19=TRUE),VLOOKUP(Calculator!E23,tbSkills!DH3:DJ6,3,FALSE),0),0))&gt;=100,100,(Backdoors!AI12+IF(DJ46&gt;=0.45,VLOOKUP(Calculator!E23,tbSkills!DH3:DI6,2,FALSE)+IF(AND(Calculator!B8=TRUE,Backdoors!BI19=TRUE),VLOOKUP(Calculator!E23,tbSkills!DH3:DJ6,3,FALSE),0),0)))/100)),1),1)</f>
        <v>0.6</v>
      </c>
      <c r="DP46" s="87">
        <f t="shared" si="41"/>
        <v>0</v>
      </c>
      <c r="DQ46" s="86" t="str">
        <f>IFERROR(IF(VLOOKUP(A46,tbMoveset!A2:B112,2,FALSE)="Sever",Backdoors!AY20/100,IF(VLOOKUP(A46,tbMoveset!A2:B112,2,FALSE)="Blunt",Backdoors!AZ20/100,Backdoors!BA20/100)),"")</f>
        <v/>
      </c>
      <c r="DR46" s="49">
        <f>IFERROR(IF(VLOOKUP(tbMoveset!A46,tbMoveset!A2:H112,8,FALSE)="Other",IF(VLOOKUP(tbMoveset!A46,tbMoveset!A2:I112,9,FALSE)="Fire",Backdoors!BB20,IF(VLOOKUP(tbMoveset!A46,tbMoveset!A2:I112,9,FALSE)="Water",Backdoors!BC20,IF(VLOOKUP(tbMoveset!A46,tbMoveset!A2:I112,9,FALSE)="Thunder",Backdoors!BD20,IF(VLOOKUP(tbMoveset!A46,tbMoveset!A2:I112,9,FALSE)="Ice",Backdoors!BE20,IF(VLOOKUP(tbMoveset!A46,tbMoveset!A2:I112,9,FALSE)="Dragon",Backdoors!BF20,Backdoors!BG20)))))/100,Backdoors!BG20/100),"")</f>
        <v>0</v>
      </c>
      <c r="DS46" s="49">
        <f>IFERROR(IF(VLOOKUP(A46,tbMoveset!A2:J112,10,FALSE)=TRUE,IF((Backdoors!AI12+IF(DQ46&gt;=0.45,VLOOKUP(Calculator!E23,tbSkills!DH3:DI6,2,FALSE)+IF(AND(Calculator!B8=TRUE,Backdoors!BI20=TRUE),VLOOKUP(Calculator!E23,tbSkills!DH3:DJ6,3,FALSE),0),0))&gt;=0,1+(Backdoors!AL2*(IF((Backdoors!AI12+IF(DQ46&gt;=0.45,VLOOKUP(Calculator!E23,tbSkills!DH3:DI6,2,FALSE)+IF(AND(Calculator!B8=TRUE,Backdoors!BI20=TRUE),VLOOKUP(Calculator!E23,tbSkills!DH3:DJ6,3,FALSE),0),0))&gt;=100,100,(Backdoors!AI12+IF(DQ46&gt;=0.45,VLOOKUP(Calculator!E23,tbSkills!DH3:DI6,2,FALSE)+IF(AND(Calculator!B8=TRUE,Backdoors!BI20=TRUE),VLOOKUP(Calculator!E23,tbSkills!DH3:DJ6,3,FALSE),0),0)))/100)),(1-(0.25*((-Backdoors!AI12-IF(DQ46&gt;=0.45,VLOOKUP(Calculator!E23,tbSkills!DH3:DI6,2,FALSE)+IF(AND(Calculator!B8=TRUE,Backdoors!BI20=TRUE),VLOOKUP(Calculator!E23,tbSkills!DH3:DJ6,3,FALSE),0),0))/100)))),1),"")</f>
        <v>1</v>
      </c>
      <c r="DT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Q46)*DS46)*(VLOOKUP(A46,tbMoveset!A2:C112,3,FALSE)/100)*IF(VLOOKUP(A46,tbMoveset!A2:B112,2,FALSE)="Projectile",Backdoors!N10,Backdoors!N9),0),"")</f>
        <v/>
      </c>
      <c r="DU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Q46&gt;=0.45,VLOOKUP(Calculator!E23,tbSkills!DH3:DI6,2,FALSE)+IF(AND(Calculator!B8=TRUE,Backdoors!BI20=TRUE),VLOOKUP(Calculator!E23,tbSkills!DH3:DJ6,3,FALSE),0),0))&gt;=100,100,(Backdoors!AI12+IF(DQ46&gt;=0.45,VLOOKUP(Calculator!E23,tbSkills!DH3:DI6,2,FALSE)+IF(AND(Calculator!B8=TRUE,Backdoors!BI20=TRUE),VLOOKUP(Calculator!E23,tbSkills!DH3:DJ6,3,FALSE),0),0)))/100)),1))*IF(VLOOKUP(A46,tbMoveset!A2:K112,11,FALSE)=TRUE,Backdoors!AC5,1))*DR46,0),"")</f>
        <v>0</v>
      </c>
      <c r="DV46" s="49">
        <f>VLOOKUP(A46,tbMoveset!A2:G112,7,FALSE)*IFERROR(IF(Backdoors!AI12&gt;=0,1+(IF(Calculator!E40&gt;0,VLOOKUP(Calculator!E40,tbSkills!AI3:AJ5,2,FALSE),Backdoors!AL4)*(IF((Backdoors!AI12+IF(DQ46&gt;=0.45,VLOOKUP(Calculator!E23,tbSkills!DH3:DI6,2,FALSE)+IF(AND(Calculator!B8=TRUE,Backdoors!BI20=TRUE),VLOOKUP(Calculator!E23,tbSkills!DH3:DJ6,3,FALSE),0),0))&gt;=100,100,(Backdoors!AI12+IF(DQ46&gt;=0.45,VLOOKUP(Calculator!E23,tbSkills!DH3:DI6,2,FALSE)+IF(AND(Calculator!B8=TRUE,Backdoors!BI20=TRUE),VLOOKUP(Calculator!E23,tbSkills!DH3:DJ6,3,FALSE),0),0)))/100)),1),1)</f>
        <v>0.6</v>
      </c>
      <c r="DW46" s="87">
        <f t="shared" si="10"/>
        <v>0</v>
      </c>
      <c r="DX46" s="86" t="str">
        <f>IFERROR(IF(VLOOKUP(A46,tbMoveset!A2:B112,2,FALSE)="Sever",Backdoors!AY21/100,IF(VLOOKUP(A46,tbMoveset!A2:B112,2,FALSE)="Blunt",Backdoors!AZ21/100,Backdoors!BA21/100)),"")</f>
        <v/>
      </c>
      <c r="DY46" s="49">
        <f>IFERROR(IF(VLOOKUP(tbMoveset!A46,tbMoveset!A2:H112,8,FALSE)="Other",IF(VLOOKUP(tbMoveset!A46,tbMoveset!A2:I112,9,FALSE)="Fire",Backdoors!BB21,IF(VLOOKUP(tbMoveset!A46,tbMoveset!A2:I112,9,FALSE)="Water",Backdoors!BC21,IF(VLOOKUP(tbMoveset!A46,tbMoveset!A2:I112,9,FALSE)="Thunder",Backdoors!BD21,IF(VLOOKUP(tbMoveset!A46,tbMoveset!A2:I112,9,FALSE)="Ice",Backdoors!BE21,IF(VLOOKUP(tbMoveset!A46,tbMoveset!A2:I112,9,FALSE)="Dragon",Backdoors!BF21,Backdoors!BG21)))))/100,Backdoors!BG21/100),"")</f>
        <v>0</v>
      </c>
      <c r="DZ46" s="49">
        <f>IFERROR(IF(VLOOKUP(A46,tbMoveset!A2:J112,10,FALSE)=TRUE,IF((Backdoors!AI12+IF(DX46&gt;=0.45,VLOOKUP(Calculator!E23,tbSkills!DH3:DI6,2,FALSE)+IF(AND(Calculator!B8=TRUE,Backdoors!BI21=TRUE),VLOOKUP(Calculator!E23,tbSkills!DH3:DJ6,3,FALSE),0),0))&gt;=0,1+(Backdoors!AL2*(IF((Backdoors!AI12+IF(DX46&gt;=0.45,VLOOKUP(Calculator!E23,tbSkills!DH3:DI6,2,FALSE)+IF(AND(Calculator!B8=TRUE,Backdoors!BI21=TRUE),VLOOKUP(Calculator!E23,tbSkills!DH3:DJ6,3,FALSE),0),0))&gt;=100,100,(Backdoors!AI12+IF(DX46&gt;=0.45,VLOOKUP(Calculator!E23,tbSkills!DH3:DI6,2,FALSE)+IF(AND(Calculator!B8=TRUE,Backdoors!BI21=TRUE),VLOOKUP(Calculator!E23,tbSkills!DH3:DJ6,3,FALSE),0),0)))/100)),(1-(0.25*((-Backdoors!AI12-IF(DX46&gt;=0.45,VLOOKUP(Calculator!E23,tbSkills!DH3:DI6,2,FALSE)+IF(AND(Calculator!B8=TRUE,Backdoors!BI21=TRUE),VLOOKUP(Calculator!E23,tbSkills!DH3:DJ6,3,FALSE),0),0))/100)))),1),"")</f>
        <v>1</v>
      </c>
      <c r="EA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X46)*DZ46)*(VLOOKUP(A46,tbMoveset!A2:C112,3,FALSE)/100)*IF(VLOOKUP(A46,tbMoveset!A2:B112,2,FALSE)="Projectile",Backdoors!N10,Backdoors!N9),0),"")</f>
        <v/>
      </c>
      <c r="EB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X46&gt;=0.45,VLOOKUP(Calculator!E23,tbSkills!DH3:DI6,2,FALSE)+IF(AND(Calculator!B8=TRUE,Backdoors!BI21=TRUE),VLOOKUP(Calculator!E23,tbSkills!DH3:DJ6,3,FALSE),0),0))&gt;=100,100,(Backdoors!AI12+IF(DX46&gt;=0.45,VLOOKUP(Calculator!E23,tbSkills!DH3:DI6,2,FALSE)+IF(AND(Calculator!B8=TRUE,Backdoors!BI21=TRUE),VLOOKUP(Calculator!E23,tbSkills!DH3:DJ6,3,FALSE),0),0)))/100)),1))*IF(VLOOKUP(A46,tbMoveset!A2:K112,11,FALSE)=TRUE,Backdoors!AC5,1))*DY46,0),"")</f>
        <v>0</v>
      </c>
      <c r="EC46" s="49">
        <f>VLOOKUP(A46,tbMoveset!A2:G112,7,FALSE)*IFERROR(IF(Backdoors!AI12&gt;=0,1+(IF(Calculator!E40&gt;0,VLOOKUP(Calculator!E40,tbSkills!AI3:AJ5,2,FALSE),Backdoors!AL4)*(IF((Backdoors!AI12+IF(DX46&gt;=0.45,VLOOKUP(Calculator!E23,tbSkills!DH3:DI6,2,FALSE)+IF(AND(Calculator!B8=TRUE,Backdoors!BI21=TRUE),VLOOKUP(Calculator!E23,tbSkills!DH3:DJ6,3,FALSE),0),0))&gt;=100,100,(Backdoors!AI12+IF(DX46&gt;=0.45,VLOOKUP(Calculator!E23,tbSkills!DH3:DI6,2,FALSE)+IF(AND(Calculator!B8=TRUE,Backdoors!BI21=TRUE),VLOOKUP(Calculator!E23,tbSkills!DH3:DJ6,3,FALSE),0),0)))/100)),1),1)</f>
        <v>0.6</v>
      </c>
      <c r="ED46" s="87">
        <f t="shared" si="11"/>
        <v>0</v>
      </c>
      <c r="EE46" s="86" t="str">
        <f>IFERROR(IF(VLOOKUP(A46,tbMoveset!A2:B112,2,FALSE)="Sever",Backdoors!AY22/100,IF(VLOOKUP(A46,tbMoveset!A2:B112,2,FALSE)="Blunt",Backdoors!AZ22/100,Backdoors!BA22/100)),"")</f>
        <v/>
      </c>
      <c r="EF46" s="49">
        <f>IFERROR(IF(VLOOKUP(tbMoveset!A46,tbMoveset!A2:H112,8,FALSE)="Other",IF(VLOOKUP(tbMoveset!A46,tbMoveset!A2:I112,9,FALSE)="Fire",Backdoors!BB22,IF(VLOOKUP(tbMoveset!A46,tbMoveset!A2:I112,9,FALSE)="Water",Backdoors!BC22,IF(VLOOKUP(tbMoveset!A46,tbMoveset!A2:I112,9,FALSE)="Thunder",Backdoors!BD22,IF(VLOOKUP(tbMoveset!A46,tbMoveset!A2:I112,9,FALSE)="Ice",Backdoors!BE22,IF(VLOOKUP(tbMoveset!A46,tbMoveset!A2:I112,9,FALSE)="Dragon",Backdoors!BF22,Backdoors!BG22)))))/100,Backdoors!BG22/100),"")</f>
        <v>0</v>
      </c>
      <c r="EG46" s="49">
        <f>IFERROR(IF(VLOOKUP(A46,tbMoveset!A2:J112,10,FALSE)=TRUE,IF((Backdoors!AI12+IF(EE46&gt;=0.45,VLOOKUP(Calculator!E23,tbSkills!DH3:DI6,2,FALSE)+IF(AND(Calculator!B8=TRUE,Backdoors!BI22=TRUE),VLOOKUP(Calculator!E23,tbSkills!DH3:DJ6,3,FALSE),0),0))&gt;=0,1+(Backdoors!AL2*(IF((Backdoors!AI12+IF(EE46&gt;=0.45,VLOOKUP(Calculator!E23,tbSkills!DH3:DI6,2,FALSE)+IF(AND(Calculator!B8=TRUE,Backdoors!BI22=TRUE),VLOOKUP(Calculator!E23,tbSkills!DH3:DJ6,3,FALSE),0),0))&gt;=100,100,(Backdoors!AI12+IF(EE46&gt;=0.45,VLOOKUP(Calculator!E23,tbSkills!DH3:DI6,2,FALSE)+IF(AND(Calculator!B8=TRUE,Backdoors!BI22=TRUE),VLOOKUP(Calculator!E23,tbSkills!DH3:DJ6,3,FALSE),0),0)))/100)),(1-(0.25*((-Backdoors!AI12-IF(EE46&gt;=0.45,VLOOKUP(Calculator!E23,tbSkills!DH3:DI6,2,FALSE)+IF(AND(Calculator!B8=TRUE,Backdoors!BI22=TRUE),VLOOKUP(Calculator!E23,tbSkills!DH3:DJ6,3,FALSE),0),0))/100)))),1),"")</f>
        <v>1</v>
      </c>
      <c r="EH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E46)*EG46)*(VLOOKUP(A46,tbMoveset!A2:C112,3,FALSE)/100)*IF(VLOOKUP(A46,tbMoveset!A2:B112,2,FALSE)="Projectile",Backdoors!N10,Backdoors!N9),0),"")</f>
        <v/>
      </c>
      <c r="EI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E46&gt;=0.45,VLOOKUP(Calculator!E23,tbSkills!DH3:DI6,2,FALSE)+IF(AND(Calculator!B8=TRUE,Backdoors!BI22=TRUE),VLOOKUP(Calculator!E23,tbSkills!DH3:DJ6,3,FALSE),0),0))&gt;=100,100,(Backdoors!AI12+IF(EE46&gt;=0.45,VLOOKUP(Calculator!E23,tbSkills!DH3:DI6,2,FALSE)+IF(AND(Calculator!B8=TRUE,Backdoors!BI22=TRUE),VLOOKUP(Calculator!E23,tbSkills!DH3:DJ6,3,FALSE),0),0)))/100)),1))*IF(VLOOKUP(A46,tbMoveset!A2:K112,11,FALSE)=TRUE,Backdoors!AC5,1))*EF46,0),"")</f>
        <v>0</v>
      </c>
      <c r="EJ46" s="49">
        <f>VLOOKUP(A46,tbMoveset!A2:G112,7,FALSE)*IFERROR(IF(Backdoors!AI12&gt;=0,1+(IF(Calculator!E40&gt;0,VLOOKUP(Calculator!E40,tbSkills!AI3:AJ5,2,FALSE),Backdoors!AL4)*(IF((Backdoors!AI12+IF(EE46&gt;=0.45,VLOOKUP(Calculator!E23,tbSkills!DH3:DI6,2,FALSE)+IF(AND(Calculator!B8=TRUE,Backdoors!BI22=TRUE),VLOOKUP(Calculator!E23,tbSkills!DH3:DJ6,3,FALSE),0),0))&gt;=100,100,(Backdoors!AI12+IF(EE46&gt;=0.45,VLOOKUP(Calculator!E23,tbSkills!DH3:DI6,2,FALSE)+IF(AND(Calculator!B8=TRUE,Backdoors!BI22=TRUE),VLOOKUP(Calculator!E23,tbSkills!DH3:DJ6,3,FALSE),0),0)))/100)),1),1)</f>
        <v>0.6</v>
      </c>
      <c r="EK46" s="87">
        <f t="shared" si="12"/>
        <v>0</v>
      </c>
      <c r="EL46" s="86" t="str">
        <f>IFERROR(IF(VLOOKUP(A46,tbMoveset!A2:B112,2,FALSE)="Sever",Backdoors!AY23/100,IF(VLOOKUP(A46,tbMoveset!A2:B112,2,FALSE)="Blunt",Backdoors!AZ23/100,Backdoors!BA23/100)),"")</f>
        <v/>
      </c>
      <c r="EM46" s="49">
        <f>IFERROR(IF(VLOOKUP(tbMoveset!A46,tbMoveset!A2:H112,8,FALSE)="Other",IF(VLOOKUP(tbMoveset!A46,tbMoveset!A2:I112,9,FALSE)="Fire",Backdoors!BB23,IF(VLOOKUP(tbMoveset!A46,tbMoveset!A2:I112,9,FALSE)="Water",Backdoors!BC23,IF(VLOOKUP(tbMoveset!A46,tbMoveset!A2:I112,9,FALSE)="Thunder",Backdoors!BD23,IF(VLOOKUP(tbMoveset!A46,tbMoveset!A2:I112,9,FALSE)="Ice",Backdoors!BE23,IF(VLOOKUP(tbMoveset!A46,tbMoveset!A2:I112,9,FALSE)="Dragon",Backdoors!BF23,Backdoors!BG23)))))/100,Backdoors!BG23/100),"")</f>
        <v>0</v>
      </c>
      <c r="EN46" s="49">
        <f>IFERROR(IF(VLOOKUP(A46,tbMoveset!A2:J112,10,FALSE)=TRUE,IF((Backdoors!AI12+IF(EL46&gt;=0.45,VLOOKUP(Calculator!E23,tbSkills!DH3:DI6,2,FALSE)+IF(AND(Calculator!B8=TRUE,Backdoors!BI23=TRUE),VLOOKUP(Calculator!E23,tbSkills!DH3:DJ6,3,FALSE),0),0))&gt;=0,1+(Backdoors!AL2*(IF((Backdoors!AI12+IF(EL46&gt;=0.45,VLOOKUP(Calculator!E23,tbSkills!DH3:DI6,2,FALSE)+IF(AND(Calculator!B8=TRUE,Backdoors!BI23=TRUE),VLOOKUP(Calculator!E23,tbSkills!DH3:DJ6,3,FALSE),0),0))&gt;=100,100,(Backdoors!AI12+IF(EL46&gt;=0.45,VLOOKUP(Calculator!E23,tbSkills!DH3:DI6,2,FALSE)+IF(AND(Calculator!B8=TRUE,Backdoors!BI23=TRUE),VLOOKUP(Calculator!E23,tbSkills!DH3:DJ6,3,FALSE),0),0)))/100)),(1-(0.25*((-Backdoors!AI12-IF(EL46&gt;=0.45,VLOOKUP(Calculator!E23,tbSkills!DH3:DI6,2,FALSE)+IF(AND(Calculator!B8=TRUE,Backdoors!BI23=TRUE),VLOOKUP(Calculator!E23,tbSkills!DH3:DJ6,3,FALSE),0),0))/100)))),1),"")</f>
        <v>1</v>
      </c>
      <c r="EO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L46)*EN46)*(VLOOKUP(A46,tbMoveset!A2:C112,3,FALSE)/100)*IF(VLOOKUP(A46,tbMoveset!A2:B112,2,FALSE)="Projectile",Backdoors!N10,Backdoors!N9),0),"")</f>
        <v/>
      </c>
      <c r="EP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L46&gt;=0.45,VLOOKUP(Calculator!E23,tbSkills!DH3:DI6,2,FALSE)+IF(AND(Calculator!B8=TRUE,Backdoors!BI23=TRUE),VLOOKUP(Calculator!E23,tbSkills!DH3:DJ6,3,FALSE),0),0))&gt;=100,100,(Backdoors!AI12+IF(EL46&gt;=0.45,VLOOKUP(Calculator!E23,tbSkills!DH3:DI6,2,FALSE)+IF(AND(Calculator!B8=TRUE,Backdoors!BI23=TRUE),VLOOKUP(Calculator!E23,tbSkills!DH3:DJ6,3,FALSE),0),0)))/100)),1))*IF(VLOOKUP(A46,tbMoveset!A2:K112,11,FALSE)=TRUE,Backdoors!AC5,1))*EM46,0),"")</f>
        <v>0</v>
      </c>
      <c r="EQ46" s="49">
        <f>VLOOKUP(A46,tbMoveset!A2:G112,7,FALSE)*IFERROR(IF(Backdoors!AI12&gt;=0,1+(IF(Calculator!E40&gt;0,VLOOKUP(Calculator!E40,tbSkills!AI3:AJ5,2,FALSE),Backdoors!AL4)*(IF((Backdoors!AI12+IF(EL46&gt;=0.45,VLOOKUP(Calculator!E23,tbSkills!DH3:DI6,2,FALSE)+IF(AND(Calculator!B8=TRUE,Backdoors!BI23=TRUE),VLOOKUP(Calculator!E23,tbSkills!DH3:DJ6,3,FALSE),0),0))&gt;=100,100,(Backdoors!AI12+IF(EL46&gt;=0.45,VLOOKUP(Calculator!E23,tbSkills!DH3:DI6,2,FALSE)+IF(AND(Calculator!B8=TRUE,Backdoors!BI23=TRUE),VLOOKUP(Calculator!E23,tbSkills!DH3:DJ6,3,FALSE),0),0)))/100)),1),1)</f>
        <v>0.6</v>
      </c>
      <c r="ER46" s="87">
        <f t="shared" si="13"/>
        <v>0</v>
      </c>
      <c r="ES46" s="86" t="str">
        <f>IFERROR(IF(VLOOKUP(A46,tbMoveset!A2:B112,2,FALSE)="Sever",Backdoors!AY24/100,IF(VLOOKUP(A46,tbMoveset!A2:B112,2,FALSE)="Blunt",Backdoors!AZ24/100,Backdoors!BA24/100)),"")</f>
        <v/>
      </c>
      <c r="ET46" s="49">
        <f>IFERROR(IF(VLOOKUP(tbMoveset!A46,tbMoveset!A2:H112,8,FALSE)="Other",IF(VLOOKUP(tbMoveset!A46,tbMoveset!A2:I112,9,FALSE)="Fire",Backdoors!BB24,IF(VLOOKUP(tbMoveset!A46,tbMoveset!A2:I112,9,FALSE)="Water",Backdoors!BC24,IF(VLOOKUP(tbMoveset!A46,tbMoveset!A2:I112,9,FALSE)="Thunder",Backdoors!BD24,IF(VLOOKUP(tbMoveset!A46,tbMoveset!A2:I112,9,FALSE)="Ice",Backdoors!BE24,IF(VLOOKUP(tbMoveset!A46,tbMoveset!A2:I112,9,FALSE)="Dragon",Backdoors!BF24,Backdoors!BG24)))))/100,Backdoors!BG24/100),"")</f>
        <v>0</v>
      </c>
      <c r="EU46" s="49">
        <f>IFERROR(IF(VLOOKUP(A46,tbMoveset!A2:J112,10,FALSE)=TRUE,IF((Backdoors!AI12+IF(ES46&gt;=0.45,VLOOKUP(Calculator!E23,tbSkills!DH3:DI6,2,FALSE)+IF(AND(Calculator!B8=TRUE,Backdoors!BI24=TRUE),VLOOKUP(Calculator!E23,tbSkills!DH3:DJ6,3,FALSE),0),0))&gt;=0,1+(Backdoors!AL2*(IF((Backdoors!AI12+IF(ES46&gt;=0.45,VLOOKUP(Calculator!E23,tbSkills!DH3:DI6,2,FALSE)+IF(AND(Calculator!B8=TRUE,Backdoors!BI24=TRUE),VLOOKUP(Calculator!E23,tbSkills!DH3:DJ6,3,FALSE),0),0))&gt;=100,100,(Backdoors!AI12+IF(ES46&gt;=0.45,VLOOKUP(Calculator!E23,tbSkills!DH3:DI6,2,FALSE)+IF(AND(Calculator!B8=TRUE,Backdoors!BI24=TRUE),VLOOKUP(Calculator!E23,tbSkills!DH3:DJ6,3,FALSE),0),0)))/100)),(1-(0.25*((-Backdoors!AI12-IF(ES46&gt;=0.45,VLOOKUP(Calculator!E23,tbSkills!DH3:DI6,2,FALSE)+IF(AND(Calculator!B8=TRUE,Backdoors!BI24=TRUE),VLOOKUP(Calculator!E23,tbSkills!DH3:DJ6,3,FALSE),0),0))/100)))),1),"")</f>
        <v>1</v>
      </c>
      <c r="EV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S46)*EU46)*(VLOOKUP(A46,tbMoveset!A2:C112,3,FALSE)/100)*IF(VLOOKUP(A46,tbMoveset!A2:B112,2,FALSE)="Projectile",Backdoors!N10,Backdoors!N9),0),"")</f>
        <v/>
      </c>
      <c r="EW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S46&gt;=0.45,VLOOKUP(Calculator!E23,tbSkills!DH3:DI6,2,FALSE)+IF(AND(Calculator!B8=TRUE,Backdoors!BI24=TRUE),VLOOKUP(Calculator!E23,tbSkills!DH3:DJ6,3,FALSE),0),0))&gt;=100,100,(Backdoors!AI12+IF(ES46&gt;=0.45,VLOOKUP(Calculator!E23,tbSkills!DH3:DI6,2,FALSE)+IF(AND(Calculator!B8=TRUE,Backdoors!BI24=TRUE),VLOOKUP(Calculator!E23,tbSkills!DH3:DJ6,3,FALSE),0),0)))/100)),1))*IF(VLOOKUP(A46,tbMoveset!A2:K112,11,FALSE)=TRUE,Backdoors!AC5,1))*ET46,0),"")</f>
        <v>0</v>
      </c>
      <c r="EX46" s="49">
        <f>VLOOKUP(A46,tbMoveset!A2:G112,7,FALSE)*IFERROR(IF(Backdoors!AI12&gt;=0,1+(IF(Calculator!E40&gt;0,VLOOKUP(Calculator!E40,tbSkills!AI3:AJ5,2,FALSE),Backdoors!AL4)*(IF((Backdoors!AI12+IF(ES46&gt;=0.45,VLOOKUP(Calculator!E23,tbSkills!DH3:DI6,2,FALSE)+IF(AND(Calculator!B8=TRUE,Backdoors!BI24=TRUE),VLOOKUP(Calculator!E23,tbSkills!DH3:DJ6,3,FALSE),0),0))&gt;=100,100,(Backdoors!AI12+IF(ES46&gt;=0.45,VLOOKUP(Calculator!E23,tbSkills!DH3:DI6,2,FALSE)+IF(AND(Calculator!B8=TRUE,Backdoors!BI24=TRUE),VLOOKUP(Calculator!E23,tbSkills!DH3:DJ6,3,FALSE),0),0)))/100)),1),1)</f>
        <v>0.6</v>
      </c>
      <c r="EY46" s="87">
        <f t="shared" si="14"/>
        <v>0</v>
      </c>
      <c r="EZ46" s="86" t="str">
        <f>IFERROR(IF(VLOOKUP(A46,tbMoveset!A2:B112,2,FALSE)="Sever",Backdoors!AY25/100,IF(VLOOKUP(A46,tbMoveset!A2:B112,2,FALSE)="Blunt",Backdoors!AZ25/100,Backdoors!BA25/100)),"")</f>
        <v/>
      </c>
      <c r="FA46" s="49">
        <f>IFERROR(IF(VLOOKUP(tbMoveset!A46,tbMoveset!A2:H112,8,FALSE)="Other",IF(VLOOKUP(tbMoveset!A46,tbMoveset!A2:I112,9,FALSE)="Fire",Backdoors!BB25,IF(VLOOKUP(tbMoveset!A46,tbMoveset!A2:I112,9,FALSE)="Water",Backdoors!BC25,IF(VLOOKUP(tbMoveset!A46,tbMoveset!A2:I112,9,FALSE)="Thunder",Backdoors!BD25,IF(VLOOKUP(tbMoveset!A46,tbMoveset!A2:I112,9,FALSE)="Ice",Backdoors!BE25,IF(VLOOKUP(tbMoveset!A46,tbMoveset!A2:I112,9,FALSE)="Dragon",Backdoors!BF25,Backdoors!BG25)))))/100,Backdoors!BG25/100),"")</f>
        <v>0</v>
      </c>
      <c r="FB46" s="49">
        <f>IFERROR(IF(VLOOKUP(A46,tbMoveset!A2:J112,10,FALSE)=TRUE,IF((Backdoors!AI12+IF(EZ46&gt;=0.45,VLOOKUP(Calculator!E23,tbSkills!DH3:DI6,2,FALSE)+IF(AND(Calculator!B8=TRUE,Backdoors!BI25=TRUE),VLOOKUP(Calculator!E23,tbSkills!DH3:DJ6,3,FALSE),0),0))&gt;=0,1+(Backdoors!AL2*(IF((Backdoors!AI12+IF(EZ46&gt;=0.45,VLOOKUP(Calculator!E23,tbSkills!DH3:DI6,2,FALSE)+IF(AND(Calculator!B8=TRUE,Backdoors!BI25=TRUE),VLOOKUP(Calculator!E23,tbSkills!DH3:DJ6,3,FALSE),0),0))&gt;=100,100,(Backdoors!AI12+IF(EZ46&gt;=0.45,VLOOKUP(Calculator!E23,tbSkills!DH3:DI6,2,FALSE)+IF(AND(Calculator!B8=TRUE,Backdoors!BI25=TRUE),VLOOKUP(Calculator!E23,tbSkills!DH3:DJ6,3,FALSE),0),0)))/100)),(1-(0.25*((-Backdoors!AI12-IF(EZ46&gt;=0.45,VLOOKUP(Calculator!E23,tbSkills!DH3:DI6,2,FALSE)+IF(AND(Calculator!B8=TRUE,Backdoors!BI25=TRUE),VLOOKUP(Calculator!E23,tbSkills!DH3:DJ6,3,FALSE),0),0))/100)))),1),"")</f>
        <v>1</v>
      </c>
      <c r="FC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Z46)*FB46)*(VLOOKUP(A46,tbMoveset!A2:C112,3,FALSE)/100)*IF(VLOOKUP(A46,tbMoveset!A2:B112,2,FALSE)="Projectile",Backdoors!N10,Backdoors!N9),0),"")</f>
        <v/>
      </c>
      <c r="FD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Z46&gt;=0.45,VLOOKUP(Calculator!E23,tbSkills!DH3:DI6,2,FALSE)+IF(AND(Calculator!B8=TRUE,Backdoors!BI25=TRUE),VLOOKUP(Calculator!E23,tbSkills!DH3:DJ6,3,FALSE),0),0))&gt;=100,100,(Backdoors!AI12+IF(EZ46&gt;=0.45,VLOOKUP(Calculator!E23,tbSkills!DH3:DI6,2,FALSE)+IF(AND(Calculator!B8=TRUE,Backdoors!BI25=TRUE),VLOOKUP(Calculator!E23,tbSkills!DH3:DJ6,3,FALSE),0),0)))/100)),1))*IF(VLOOKUP(A46,tbMoveset!A2:K112,11,FALSE)=TRUE,Backdoors!AC5,1))*FA46,0),"")</f>
        <v>0</v>
      </c>
      <c r="FE46" s="49">
        <f>VLOOKUP(A46,tbMoveset!A2:G112,7,FALSE)*IFERROR(IF(Backdoors!AI12&gt;=0,1+(IF(Calculator!E40&gt;0,VLOOKUP(Calculator!E40,tbSkills!AI3:AJ5,2,FALSE),Backdoors!AL4)*(IF((Backdoors!AI12+IF(EZ46&gt;=0.45,VLOOKUP(Calculator!E23,tbSkills!DH3:DI6,2,FALSE)+IF(AND(Calculator!B8=TRUE,Backdoors!BI25=TRUE),VLOOKUP(Calculator!E23,tbSkills!DH3:DJ6,3,FALSE),0),0))&gt;=100,100,(Backdoors!AI12+IF(EZ46&gt;=0.45,VLOOKUP(Calculator!E23,tbSkills!DH3:DI6,2,FALSE)+IF(AND(Calculator!B8=TRUE,Backdoors!BI25=TRUE),VLOOKUP(Calculator!E23,tbSkills!DH3:DJ6,3,FALSE),0),0)))/100)),1),1)</f>
        <v>0.6</v>
      </c>
      <c r="FF46" s="87">
        <f t="shared" si="15"/>
        <v>0</v>
      </c>
      <c r="FG46" s="86" t="str">
        <f>IFERROR(IF(VLOOKUP(A46,tbMoveset!A2:B112,2,FALSE)="Sever",Backdoors!AY26/100,IF(VLOOKUP(A46,tbMoveset!A2:B112,2,FALSE)="Blunt",Backdoors!AZ26/100,Backdoors!BA26/100)),"")</f>
        <v/>
      </c>
      <c r="FH46" s="49">
        <f>IFERROR(IF(VLOOKUP(tbMoveset!A46,tbMoveset!A2:H112,8,FALSE)="Other",IF(VLOOKUP(tbMoveset!A46,tbMoveset!A2:I112,9,FALSE)="Fire",Backdoors!BB26,IF(VLOOKUP(tbMoveset!A46,tbMoveset!A2:I112,9,FALSE)="Water",Backdoors!BC26,IF(VLOOKUP(tbMoveset!A46,tbMoveset!A2:I112,9,FALSE)="Thunder",Backdoors!BD26,IF(VLOOKUP(tbMoveset!A46,tbMoveset!A2:I112,9,FALSE)="Ice",Backdoors!BE26,IF(VLOOKUP(tbMoveset!A46,tbMoveset!A2:I112,9,FALSE)="Dragon",Backdoors!BF26,Backdoors!BG26)))))/100,Backdoors!BG26/100),"")</f>
        <v>0</v>
      </c>
      <c r="FI46" s="49">
        <f>IFERROR(IF(VLOOKUP(A46,tbMoveset!A2:J112,10,FALSE)=TRUE,IF((Backdoors!AI12+IF(FG46&gt;=0.45,VLOOKUP(Calculator!E23,tbSkills!DH3:DI6,2,FALSE)+IF(AND(Calculator!B8=TRUE,Backdoors!BI26=TRUE),VLOOKUP(Calculator!E23,tbSkills!DH3:DJ6,3,FALSE),0),0))&gt;=0,1+(Backdoors!AL2*(IF((Backdoors!AI12+IF(FG46&gt;=0.45,VLOOKUP(Calculator!E23,tbSkills!DH3:DI6,2,FALSE)+IF(AND(Calculator!B8=TRUE,Backdoors!BI26=TRUE),VLOOKUP(Calculator!E23,tbSkills!DH3:DJ6,3,FALSE),0),0))&gt;=100,100,(Backdoors!AI12+IF(FG46&gt;=0.45,VLOOKUP(Calculator!E23,tbSkills!DH3:DI6,2,FALSE)+IF(AND(Calculator!B8=TRUE,Backdoors!BI26=TRUE),VLOOKUP(Calculator!E23,tbSkills!DH3:DJ6,3,FALSE),0),0)))/100)),(1-(0.25*((-Backdoors!AI12-IF(FG46&gt;=0.45,VLOOKUP(Calculator!E23,tbSkills!DH3:DI6,2,FALSE)+IF(AND(Calculator!B8=TRUE,Backdoors!BI26=TRUE),VLOOKUP(Calculator!E23,tbSkills!DH3:DJ6,3,FALSE),0),0))/100)))),1),"")</f>
        <v>1</v>
      </c>
      <c r="FJ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FG46)*FI46)*(VLOOKUP(A46,tbMoveset!A2:C112,3,FALSE)/100)*IF(VLOOKUP(A46,tbMoveset!A2:B112,2,FALSE)="Projectile",Backdoors!N10,Backdoors!N9),0),"")</f>
        <v/>
      </c>
      <c r="FK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FG46&gt;=0.45,VLOOKUP(Calculator!E23,tbSkills!DH3:DI6,2,FALSE)+IF(AND(Calculator!B8=TRUE,Backdoors!BI26=TRUE),VLOOKUP(Calculator!E23,tbSkills!DH3:DJ6,3,FALSE),0),0))&gt;=100,100,(Backdoors!AI12+IF(FG46&gt;=0.45,VLOOKUP(Calculator!E23,tbSkills!DH3:DI6,2,FALSE)+IF(AND(Calculator!B8=TRUE,Backdoors!BI26=TRUE),VLOOKUP(Calculator!E23,tbSkills!DH3:DJ6,3,FALSE),0),0)))/100)),1))*IF(VLOOKUP(A46,tbMoveset!A2:K112,11,FALSE)=TRUE,Backdoors!AC5,1))*FH46,0),"")</f>
        <v>0</v>
      </c>
      <c r="FL46" s="49">
        <f>VLOOKUP(A46,tbMoveset!A2:G112,7,FALSE)*IFERROR(IF(Backdoors!AI12&gt;=0,1+(IF(Calculator!E40&gt;0,VLOOKUP(Calculator!E40,tbSkills!AI3:AJ5,2,FALSE),Backdoors!AL4)*(IF((Backdoors!AI12+IF(FG46&gt;=0.45,VLOOKUP(Calculator!E23,tbSkills!DH3:DI6,2,FALSE)+IF(AND(Calculator!B8=TRUE,Backdoors!BI26=TRUE),VLOOKUP(Calculator!E23,tbSkills!DH3:DJ6,3,FALSE),0),0))&gt;=100,100,(Backdoors!AI12+IF(FG46&gt;=0.45,VLOOKUP(Calculator!E23,tbSkills!DH3:DI6,2,FALSE)+IF(AND(Calculator!B8=TRUE,Backdoors!BI26=TRUE),VLOOKUP(Calculator!E23,tbSkills!DH3:DJ6,3,FALSE),0),0)))/100)),1),1)</f>
        <v>0.6</v>
      </c>
      <c r="FM46" s="87">
        <f t="shared" si="16"/>
        <v>0</v>
      </c>
      <c r="FN46" s="86" t="str">
        <f>IFERROR(IF(VLOOKUP(A46,tbMoveset!A2:B112,2,FALSE)="Sever",Backdoors!AY27/100,IF(VLOOKUP(A46,tbMoveset!A2:B112,2,FALSE)="Blunt",Backdoors!AZ27/100,Backdoors!BA27/100)),"")</f>
        <v/>
      </c>
      <c r="FO46" s="49">
        <f>IFERROR(IF(VLOOKUP(tbMoveset!A46,tbMoveset!A2:H112,8,FALSE)="Other",IF(VLOOKUP(tbMoveset!A46,tbMoveset!A2:I112,9,FALSE)="Fire",Backdoors!BB27,IF(VLOOKUP(tbMoveset!A46,tbMoveset!A2:I112,9,FALSE)="Water",Backdoors!BC27,IF(VLOOKUP(tbMoveset!A46,tbMoveset!A2:I112,9,FALSE)="Thunder",Backdoors!BD27,IF(VLOOKUP(tbMoveset!A46,tbMoveset!A2:I112,9,FALSE)="Ice",Backdoors!BE27,IF(VLOOKUP(tbMoveset!A46,tbMoveset!A2:I112,9,FALSE)="Dragon",Backdoors!BF27,Backdoors!BG27)))))/100,Backdoors!BG27/100),"")</f>
        <v>0</v>
      </c>
      <c r="FP46" s="49">
        <f>IFERROR(IF(VLOOKUP(A46,tbMoveset!A2:J112,10,FALSE)=TRUE,IF((Backdoors!AI12+IF(FN46&gt;=0.45,VLOOKUP(Calculator!E23,tbSkills!DH3:DI6,2,FALSE)+IF(AND(Calculator!B8=TRUE,Backdoors!BI27=TRUE),VLOOKUP(Calculator!E23,tbSkills!DH3:DJ6,3,FALSE),0),0))&gt;=0,1+(Backdoors!AL2*(IF((Backdoors!AI12+IF(FN46&gt;=0.45,VLOOKUP(Calculator!E23,tbSkills!DH3:DI6,2,FALSE)+IF(AND(Calculator!B8=TRUE,Backdoors!BI27=TRUE),VLOOKUP(Calculator!E23,tbSkills!DH3:DJ6,3,FALSE),0),0))&gt;=100,100,(Backdoors!AI12+IF(FN46&gt;=0.45,VLOOKUP(Calculator!E23,tbSkills!DH3:DI6,2,FALSE)+IF(AND(Calculator!B8=TRUE,Backdoors!BI27=TRUE),VLOOKUP(Calculator!E23,tbSkills!DH3:DJ6,3,FALSE),0),0)))/100)),(1-(0.25*((-Backdoors!AI12-IF(FN46&gt;=0.45,VLOOKUP(Calculator!E23,tbSkills!DH3:DI6,2,FALSE)+IF(AND(Calculator!B8=TRUE,Backdoors!BI27=TRUE),VLOOKUP(Calculator!E23,tbSkills!DH3:DJ6,3,FALSE),0),0))/100)))),1),"")</f>
        <v>1</v>
      </c>
      <c r="FQ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FN46)*FP46)*(VLOOKUP(A46,tbMoveset!A2:C112,3,FALSE)/100)*IF(VLOOKUP(A46,tbMoveset!A2:B112,2,FALSE)="Projectile",Backdoors!N10,Backdoors!N9),0),"")</f>
        <v/>
      </c>
      <c r="FR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FN46&gt;=0.45,VLOOKUP(Calculator!E23,tbSkills!DH3:DI6,2,FALSE)+IF(AND(Calculator!B8=TRUE,Backdoors!BI27=TRUE),VLOOKUP(Calculator!E23,tbSkills!DH3:DJ6,3,FALSE),0),0))&gt;=100,100,(Backdoors!AI12+IF(FN46&gt;=0.45,VLOOKUP(Calculator!E23,tbSkills!DH3:DI6,2,FALSE)+IF(AND(Calculator!B8=TRUE,Backdoors!BI27=TRUE),VLOOKUP(Calculator!E23,tbSkills!DH3:DJ6,3,FALSE),0),0)))/100)),1))*IF(VLOOKUP(A46,tbMoveset!A2:K112,11,FALSE)=TRUE,Backdoors!AC5,1))*FO46,0),"")</f>
        <v>0</v>
      </c>
      <c r="FS46" s="49">
        <f>VLOOKUP(A46,tbMoveset!A2:G112,7,FALSE)*IFERROR(IF(Backdoors!AI12&gt;=0,1+(IF(Calculator!E40&gt;0,VLOOKUP(Calculator!E40,tbSkills!AI3:AJ5,2,FALSE),Backdoors!AL4)*(IF((Backdoors!AI12+IF(FN46&gt;=0.45,VLOOKUP(Calculator!E23,tbSkills!DH3:DI6,2,FALSE)+IF(AND(Calculator!B8=TRUE,Backdoors!BI27=TRUE),VLOOKUP(Calculator!E23,tbSkills!DH3:DJ6,3,FALSE),0),0))&gt;=100,100,(Backdoors!AI12+IF(FN46&gt;=0.45,VLOOKUP(Calculator!E23,tbSkills!DH3:DI6,2,FALSE)+IF(AND(Calculator!B8=TRUE,Backdoors!BI27=TRUE),VLOOKUP(Calculator!E23,tbSkills!DH3:DJ6,3,FALSE),0),0)))/100)),1),1)</f>
        <v>0.6</v>
      </c>
      <c r="FT46" s="87">
        <f t="shared" si="17"/>
        <v>0</v>
      </c>
      <c r="FU46" s="86" t="str">
        <f>IFERROR(IF(VLOOKUP(A46,tbMoveset!A2:B112,2,FALSE)="Sever",Backdoors!AY28/100,IF(VLOOKUP(A46,tbMoveset!A2:B112,2,FALSE)="Blunt",Backdoors!AZ28/100,Backdoors!BA28/100)),"")</f>
        <v/>
      </c>
      <c r="FV46" s="49">
        <f>IFERROR(IF(VLOOKUP(tbMoveset!A46,tbMoveset!A2:H112,8,FALSE)="Other",IF(VLOOKUP(tbMoveset!A46,tbMoveset!A2:I112,9,FALSE)="Fire",Backdoors!BB28,IF(VLOOKUP(tbMoveset!A46,tbMoveset!A2:I112,9,FALSE)="Water",Backdoors!BC28,IF(VLOOKUP(tbMoveset!A46,tbMoveset!A2:I112,9,FALSE)="Thunder",Backdoors!BD28,IF(VLOOKUP(tbMoveset!A46,tbMoveset!A2:I112,9,FALSE)="Ice",Backdoors!BE28,IF(VLOOKUP(tbMoveset!A46,tbMoveset!A2:I112,9,FALSE)="Dragon",Backdoors!BF28,Backdoors!BG28)))))/100,Backdoors!BG28/100),"")</f>
        <v>0</v>
      </c>
      <c r="FW46" s="49">
        <f>IFERROR(IF(VLOOKUP(A46,tbMoveset!A2:J112,10,FALSE)=TRUE,IF((Backdoors!AI12+IF(FU46&gt;=0.45,VLOOKUP(Calculator!E23,tbSkills!DH3:DI6,2,FALSE)+IF(AND(Calculator!B8=TRUE,Backdoors!BI28=TRUE),VLOOKUP(Calculator!E23,tbSkills!DH3:DJ6,3,FALSE),0),0))&gt;=0,1+(Backdoors!AL2*(IF((Backdoors!AI12+IF(FU46&gt;=0.45,VLOOKUP(Calculator!E23,tbSkills!DH3:DI6,2,FALSE)+IF(AND(Calculator!B8=TRUE,Backdoors!BI28=TRUE),VLOOKUP(Calculator!E23,tbSkills!DH3:DJ6,3,FALSE),0),0))&gt;=100,100,(Backdoors!AI12+IF(FU46&gt;=0.45,VLOOKUP(Calculator!E23,tbSkills!DH3:DI6,2,FALSE)+IF(AND(Calculator!B8=TRUE,Backdoors!BI28=TRUE),VLOOKUP(Calculator!E23,tbSkills!DH3:DJ6,3,FALSE),0),0)))/100)),(1-(0.25*((-Backdoors!AI12-IF(FU46&gt;=0.45,VLOOKUP(Calculator!E23,tbSkills!DH3:DI6,2,FALSE)+IF(AND(Calculator!B8=TRUE,Backdoors!BI28=TRUE),VLOOKUP(Calculator!E23,tbSkills!DH3:DJ6,3,FALSE),0),0))/100)))),1),"")</f>
        <v>1</v>
      </c>
      <c r="FX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FU46)*FW46)*(VLOOKUP(A46,tbMoveset!A2:C112,3,FALSE)/100)*IF(VLOOKUP(A46,tbMoveset!A2:B112,2,FALSE)="Projectile",Backdoors!N10,Backdoors!N9),0),"")</f>
        <v/>
      </c>
      <c r="FY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FU46&gt;=0.45,VLOOKUP(Calculator!E23,tbSkills!DH3:DI6,2,FALSE)+IF(AND(Calculator!B8=TRUE,Backdoors!BI28=TRUE),VLOOKUP(Calculator!E23,tbSkills!DH3:DJ6,3,FALSE),0),0))&gt;=100,100,(Backdoors!AI12+IF(FU46&gt;=0.45,VLOOKUP(Calculator!E23,tbSkills!DH3:DI6,2,FALSE)+IF(AND(Calculator!B8=TRUE,Backdoors!BI28=TRUE),VLOOKUP(Calculator!E23,tbSkills!DH3:DJ6,3,FALSE),0),0)))/100)),1))*IF(VLOOKUP(A46,tbMoveset!A2:K112,11,FALSE)=TRUE,Backdoors!AC5,1))*FV46,0),"")</f>
        <v>0</v>
      </c>
      <c r="FZ46" s="49">
        <f>VLOOKUP(A46,tbMoveset!A2:G112,7,FALSE)*IFERROR(IF(Backdoors!AI12&gt;=0,1+(IF(Calculator!E40&gt;0,VLOOKUP(Calculator!E40,tbSkills!AI3:AJ5,2,FALSE),Backdoors!AL4)*(IF((Backdoors!AI12+IF(FU46&gt;=0.45,VLOOKUP(Calculator!E23,tbSkills!DH3:DI6,2,FALSE)+IF(AND(Calculator!B8=TRUE,Backdoors!BI28=TRUE),VLOOKUP(Calculator!E23,tbSkills!DH3:DJ6,3,FALSE),0),0))&gt;=100,100,(Backdoors!AI12+IF(FU46&gt;=0.45,VLOOKUP(Calculator!E23,tbSkills!DH3:DI6,2,FALSE)+IF(AND(Calculator!B8=TRUE,Backdoors!BI28=TRUE),VLOOKUP(Calculator!E23,tbSkills!DH3:DJ6,3,FALSE),0),0)))/100)),1),1)</f>
        <v>0.6</v>
      </c>
      <c r="GA46" s="87">
        <f t="shared" si="18"/>
        <v>0</v>
      </c>
      <c r="GB46" s="86" t="str">
        <f>IFERROR(IF(VLOOKUP(A46,tbMoveset!A2:B112,2,FALSE)="Sever",Backdoors!AY29/100,IF(VLOOKUP(A46,tbMoveset!A2:B112,2,FALSE)="Blunt",Backdoors!AZ29/100,Backdoors!BA29/100)),"")</f>
        <v/>
      </c>
      <c r="GC46" s="49">
        <f>IFERROR(IF(VLOOKUP(tbMoveset!A46,tbMoveset!A2:H112,8,FALSE)="Other",IF(VLOOKUP(tbMoveset!A46,tbMoveset!A2:I112,9,FALSE)="Fire",Backdoors!BB29,IF(VLOOKUP(tbMoveset!A46,tbMoveset!A2:I112,9,FALSE)="Water",Backdoors!BC29,IF(VLOOKUP(tbMoveset!A46,tbMoveset!A2:I112,9,FALSE)="Thunder",Backdoors!BD29,IF(VLOOKUP(tbMoveset!A46,tbMoveset!A2:I112,9,FALSE)="Ice",Backdoors!BE29,IF(VLOOKUP(tbMoveset!A46,tbMoveset!A2:I112,9,FALSE)="Dragon",Backdoors!BF29,Backdoors!BG29)))))/100,Backdoors!BG29/100),"")</f>
        <v>0</v>
      </c>
      <c r="GD46" s="49">
        <f>IFERROR(IF(VLOOKUP(A46,tbMoveset!A2:J112,10,FALSE)=TRUE,IF((Backdoors!AI12+IF(GB46&gt;=0.45,VLOOKUP(Calculator!E23,tbSkills!DH3:DI6,2,FALSE)+IF(AND(Calculator!B8=TRUE,Backdoors!BI29=TRUE),VLOOKUP(Calculator!E23,tbSkills!DH3:DJ6,3,FALSE),0),0))&gt;=0,1+(Backdoors!AL2*(IF((Backdoors!AI12+IF(GB46&gt;=0.45,VLOOKUP(Calculator!E23,tbSkills!DH3:DI6,2,FALSE)+IF(AND(Calculator!B8=TRUE,Backdoors!BI29=TRUE),VLOOKUP(Calculator!E23,tbSkills!DH3:DJ6,3,FALSE),0),0))&gt;=100,100,(Backdoors!AI12+IF(GB46&gt;=0.45,VLOOKUP(Calculator!E23,tbSkills!DH3:DI6,2,FALSE)+IF(AND(Calculator!B8=TRUE,Backdoors!BI29=TRUE),VLOOKUP(Calculator!E23,tbSkills!DH3:DJ6,3,FALSE),0),0)))/100)),(1-(0.25*((-Backdoors!AI12-IF(GB46&gt;=0.45,VLOOKUP(Calculator!E23,tbSkills!DH3:DI6,2,FALSE)+IF(AND(Calculator!B8=TRUE,Backdoors!BI29=TRUE),VLOOKUP(Calculator!E23,tbSkills!DH3:DJ6,3,FALSE),0),0))/100)))),1),"")</f>
        <v>1</v>
      </c>
      <c r="GE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B46)*GD46)*(VLOOKUP(A46,tbMoveset!A2:C112,3,FALSE)/100)*IF(VLOOKUP(A46,tbMoveset!A2:B112,2,FALSE)="Projectile",Backdoors!N10,Backdoors!N9),0),"")</f>
        <v/>
      </c>
      <c r="GF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B46&gt;=0.45,VLOOKUP(Calculator!E23,tbSkills!DH3:DI6,2,FALSE)+IF(AND(Calculator!B8=TRUE,Backdoors!BI29=TRUE),VLOOKUP(Calculator!E23,tbSkills!DH3:DJ6,3,FALSE),0),0))&gt;=100,100,(Backdoors!AI12+IF(GB46&gt;=0.45,VLOOKUP(Calculator!E23,tbSkills!DH3:DI6,2,FALSE)+IF(AND(Calculator!B8=TRUE,Backdoors!BI29=TRUE),VLOOKUP(Calculator!E23,tbSkills!DH3:DJ6,3,FALSE),0),0)))/100)),1))*IF(VLOOKUP(A46,tbMoveset!A2:K112,11,FALSE)=TRUE,Backdoors!AC5,1))*GC46,0),"")</f>
        <v>0</v>
      </c>
      <c r="GG46" s="49">
        <f>VLOOKUP(A46,tbMoveset!A2:G112,7,FALSE)*IFERROR(IF(Backdoors!AI12&gt;=0,1+(IF(Calculator!E40&gt;0,VLOOKUP(Calculator!E40,tbSkills!AI3:AJ5,2,FALSE),Backdoors!AL4)*(IF((Backdoors!AI12+IF(GB46&gt;=0.45,VLOOKUP(Calculator!E23,tbSkills!DH3:DI6,2,FALSE)+IF(AND(Calculator!B8=TRUE,Backdoors!BI29=TRUE),VLOOKUP(Calculator!E23,tbSkills!DH3:DJ6,3,FALSE),0),0))&gt;=100,100,(Backdoors!AI12+IF(GB46&gt;=0.45,VLOOKUP(Calculator!E23,tbSkills!DH3:DI6,2,FALSE)+IF(AND(Calculator!B8=TRUE,Backdoors!BI29=TRUE),VLOOKUP(Calculator!E23,tbSkills!DH3:DJ6,3,FALSE),0),0)))/100)),1),1)</f>
        <v>0.6</v>
      </c>
      <c r="GH46" s="87">
        <f t="shared" si="19"/>
        <v>0</v>
      </c>
      <c r="GI46" s="86" t="str">
        <f>IFERROR(IF(VLOOKUP(A46,tbMoveset!A2:B112,2,FALSE)="Sever",Backdoors!AY30/100,IF(VLOOKUP(A46,tbMoveset!A2:B112,2,FALSE)="Blunt",Backdoors!AZ30/100,Backdoors!BA30/100)),"")</f>
        <v/>
      </c>
      <c r="GJ46" s="49">
        <f>IFERROR(IF(VLOOKUP(tbMoveset!A46,tbMoveset!A2:H112,8,FALSE)="Other",IF(VLOOKUP(tbMoveset!A46,tbMoveset!A2:I112,9,FALSE)="Fire",Backdoors!BB30,IF(VLOOKUP(tbMoveset!A46,tbMoveset!A2:I112,9,FALSE)="Water",Backdoors!BC30,IF(VLOOKUP(tbMoveset!A46,tbMoveset!A2:I112,9,FALSE)="Thunder",Backdoors!BD30,IF(VLOOKUP(tbMoveset!A46,tbMoveset!A2:I112,9,FALSE)="Ice",Backdoors!BE30,IF(VLOOKUP(tbMoveset!A46,tbMoveset!A2:I112,9,FALSE)="Dragon",Backdoors!BF30,Backdoors!BG30)))))/100,Backdoors!BG30/100),"")</f>
        <v>0</v>
      </c>
      <c r="GK46" s="49">
        <f>IFERROR(IF(VLOOKUP(A46,tbMoveset!A2:J112,10,FALSE)=TRUE,IF((Backdoors!AI12+IF(GI46&gt;=0.45,VLOOKUP(Calculator!E23,tbSkills!DH3:DI6,2,FALSE)+IF(AND(Calculator!B8=TRUE,Backdoors!BI30=TRUE),VLOOKUP(Calculator!E23,tbSkills!DH3:DJ6,3,FALSE),0),0))&gt;=0,1+(Backdoors!AL2*(IF((Backdoors!AI12+IF(GI46&gt;=0.45,VLOOKUP(Calculator!E23,tbSkills!DH3:DI6,2,FALSE)+IF(AND(Calculator!B8=TRUE,Backdoors!BI30=TRUE),VLOOKUP(Calculator!E23,tbSkills!DH3:DJ6,3,FALSE),0),0))&gt;=100,100,(Backdoors!AI12+IF(GI46&gt;=0.45,VLOOKUP(Calculator!E23,tbSkills!DH3:DI6,2,FALSE)+IF(AND(Calculator!B8=TRUE,Backdoors!BI30=TRUE),VLOOKUP(Calculator!E23,tbSkills!DH3:DJ6,3,FALSE),0),0)))/100)),(1-(0.25*((-Backdoors!AI12-IF(GI46&gt;=0.45,VLOOKUP(Calculator!E23,tbSkills!DH3:DI6,2,FALSE)+IF(AND(Calculator!B8=TRUE,Backdoors!BI30=TRUE),VLOOKUP(Calculator!E23,tbSkills!DH3:DJ6,3,FALSE),0),0))/100)))),1),"")</f>
        <v>1</v>
      </c>
      <c r="GL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I46)*GK46)*(VLOOKUP(A46,tbMoveset!A2:C112,3,FALSE)/100)*IF(VLOOKUP(A46,tbMoveset!A2:B112,2,FALSE)="Projectile",Backdoors!N10,Backdoors!N9),0),"")</f>
        <v/>
      </c>
      <c r="GM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I46&gt;=0.45,VLOOKUP(Calculator!E23,tbSkills!DH3:DI6,2,FALSE)+IF(AND(Calculator!B8=TRUE,Backdoors!BI30=TRUE),VLOOKUP(Calculator!E23,tbSkills!DH3:DJ6,3,FALSE),0),0))&gt;=100,100,(Backdoors!AI12+IF(GI46&gt;=0.45,VLOOKUP(Calculator!E23,tbSkills!DH3:DI6,2,FALSE)+IF(AND(Calculator!B8=TRUE,Backdoors!BI30=TRUE),VLOOKUP(Calculator!E23,tbSkills!DH3:DJ6,3,FALSE),0),0)))/100)),1))*IF(VLOOKUP(A46,tbMoveset!A2:K112,11,FALSE)=TRUE,Backdoors!AC5,1))*GJ46,0),"")</f>
        <v>0</v>
      </c>
      <c r="GN46" s="49">
        <f>VLOOKUP(A46,tbMoveset!A2:G112,7,FALSE)*IFERROR(IF(Backdoors!AI12&gt;=0,1+(IF(Calculator!E40&gt;0,VLOOKUP(Calculator!E40,tbSkills!AI3:AJ5,2,FALSE),Backdoors!AL4)*(IF((Backdoors!AI12+IF(GI46&gt;=0.45,VLOOKUP(Calculator!E23,tbSkills!DH3:DI6,2,FALSE)+IF(AND(Calculator!B8=TRUE,Backdoors!BI30=TRUE),VLOOKUP(Calculator!E23,tbSkills!DH3:DJ6,3,FALSE),0),0))&gt;=100,100,(Backdoors!AI12+IF(GI46&gt;=0.45,VLOOKUP(Calculator!E23,tbSkills!DH3:DI6,2,FALSE)+IF(AND(Calculator!B8=TRUE,Backdoors!BI30=TRUE),VLOOKUP(Calculator!E23,tbSkills!DH3:DJ6,3,FALSE),0),0)))/100)),1),1)</f>
        <v>0.6</v>
      </c>
      <c r="GO46" s="87">
        <f t="shared" si="20"/>
        <v>0</v>
      </c>
      <c r="GP46" s="86" t="str">
        <f>IFERROR(IF(VLOOKUP(A46,tbMoveset!A2:B112,2,FALSE)="Sever",Backdoors!AY31/100,IF(VLOOKUP(A46,tbMoveset!A2:B112,2,FALSE)="Blunt",Backdoors!AZ31/100,Backdoors!BA31/100)),"")</f>
        <v/>
      </c>
      <c r="GQ46" s="49">
        <f>IFERROR(IF(VLOOKUP(tbMoveset!A46,tbMoveset!A2:H112,8,FALSE)="Other",IF(VLOOKUP(tbMoveset!A46,tbMoveset!A2:I112,9,FALSE)="Fire",Backdoors!BB31,IF(VLOOKUP(tbMoveset!A46,tbMoveset!A2:I112,9,FALSE)="Water",Backdoors!BC31,IF(VLOOKUP(tbMoveset!A46,tbMoveset!A2:I112,9,FALSE)="Thunder",Backdoors!BD31,IF(VLOOKUP(tbMoveset!A46,tbMoveset!A2:I112,9,FALSE)="Ice",Backdoors!BE31,IF(VLOOKUP(tbMoveset!A46,tbMoveset!A2:I112,9,FALSE)="Dragon",Backdoors!BF31,Backdoors!BG31)))))/100,Backdoors!BG31/100),"")</f>
        <v>0</v>
      </c>
      <c r="GR46" s="49">
        <f>IFERROR(IF(VLOOKUP(A46,tbMoveset!A2:J112,10,FALSE)=TRUE,IF((Backdoors!AI12+IF(GP46&gt;=0.45,VLOOKUP(Calculator!E23,tbSkills!DH3:DI6,2,FALSE)+IF(AND(Calculator!B8=TRUE,Backdoors!BI31=TRUE),VLOOKUP(Calculator!E23,tbSkills!DH3:DJ6,3,FALSE),0),0))&gt;=0,1+(Backdoors!AL2*(IF((Backdoors!AI12+IF(GP46&gt;=0.45,VLOOKUP(Calculator!E23,tbSkills!DH3:DI6,2,FALSE)+IF(AND(Calculator!B8=TRUE,Backdoors!BI31=TRUE),VLOOKUP(Calculator!E23,tbSkills!DH3:DJ6,3,FALSE),0),0))&gt;=100,100,(Backdoors!AI12+IF(GP46&gt;=0.45,VLOOKUP(Calculator!E23,tbSkills!DH3:DI6,2,FALSE)+IF(AND(Calculator!B8=TRUE,Backdoors!BI31=TRUE),VLOOKUP(Calculator!E23,tbSkills!DH3:DJ6,3,FALSE),0),0)))/100)),(1-(0.25*((-Backdoors!AI12-IF(GP46&gt;=0.45,VLOOKUP(Calculator!E23,tbSkills!DH3:DI6,2,FALSE)+IF(AND(Calculator!B8=TRUE,Backdoors!BI31=TRUE),VLOOKUP(Calculator!E23,tbSkills!DH3:DJ6,3,FALSE),0),0))/100)))),1),"")</f>
        <v>1</v>
      </c>
      <c r="GS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P46)*GR46)*(VLOOKUP(A46,tbMoveset!A2:C112,3,FALSE)/100)*IF(VLOOKUP(A46,tbMoveset!A2:B112,2,FALSE)="Projectile",Backdoors!N10,Backdoors!N9),0),"")</f>
        <v/>
      </c>
      <c r="GT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P46&gt;=0.45,VLOOKUP(Calculator!E23,tbSkills!DH3:DI6,2,FALSE)+IF(AND(Calculator!B8=TRUE,Backdoors!BI31=TRUE),VLOOKUP(Calculator!E23,tbSkills!DH3:DJ6,3,FALSE),0),0))&gt;=100,100,(Backdoors!AI12+IF(GP46&gt;=0.45,VLOOKUP(Calculator!E23,tbSkills!DH3:DI6,2,FALSE)+IF(AND(Calculator!B8=TRUE,Backdoors!BI31=TRUE),VLOOKUP(Calculator!E23,tbSkills!DH3:DJ6,3,FALSE),0),0)))/100)),1))*IF(VLOOKUP(A46,tbMoveset!A2:K112,11,FALSE)=TRUE,Backdoors!AC5,1))*GQ46,0),"")</f>
        <v>0</v>
      </c>
      <c r="GU46" s="49">
        <f>VLOOKUP(A46,tbMoveset!A2:G112,7,FALSE)*IFERROR(IF(Backdoors!AI12&gt;=0,1+(IF(Calculator!E40&gt;0,VLOOKUP(Calculator!E40,tbSkills!AI3:AJ5,2,FALSE),Backdoors!AL4)*(IF((Backdoors!AI12+IF(GP46&gt;=0.45,VLOOKUP(Calculator!E23,tbSkills!DH3:DI6,2,FALSE)+IF(AND(Calculator!B8=TRUE,Backdoors!BI31=TRUE),VLOOKUP(Calculator!E23,tbSkills!DH3:DJ6,3,FALSE),0),0))&gt;=100,100,(Backdoors!AI12+IF(GP46&gt;=0.45,VLOOKUP(Calculator!E23,tbSkills!DH3:DI6,2,FALSE)+IF(AND(Calculator!B8=TRUE,Backdoors!BI31=TRUE),VLOOKUP(Calculator!E23,tbSkills!DH3:DJ6,3,FALSE),0),0)))/100)),1),1)</f>
        <v>0.6</v>
      </c>
      <c r="GV46" s="87">
        <f t="shared" si="21"/>
        <v>0</v>
      </c>
      <c r="GW46" s="86" t="str">
        <f>IFERROR(IF(VLOOKUP(A46,tbMoveset!A2:B112,2,FALSE)="Sever",Backdoors!AY32/100,IF(VLOOKUP(A46,tbMoveset!A2:B112,2,FALSE)="Blunt",Backdoors!AZ32/100,Backdoors!BA32/100)),"")</f>
        <v/>
      </c>
      <c r="GX46" s="49">
        <f>IFERROR(IF(VLOOKUP(tbMoveset!A46,tbMoveset!A2:H112,8,FALSE)="Other",IF(VLOOKUP(tbMoveset!A46,tbMoveset!A2:I112,9,FALSE)="Fire",Backdoors!BB32,IF(VLOOKUP(tbMoveset!A46,tbMoveset!A2:I112,9,FALSE)="Water",Backdoors!BC32,IF(VLOOKUP(tbMoveset!A46,tbMoveset!A2:I112,9,FALSE)="Thunder",Backdoors!BD32,IF(VLOOKUP(tbMoveset!A46,tbMoveset!A2:I112,9,FALSE)="Ice",Backdoors!BE32,IF(VLOOKUP(tbMoveset!A46,tbMoveset!A2:I112,9,FALSE)="Dragon",Backdoors!BF32,Backdoors!BG32)))))/100,Backdoors!BG32/100),"")</f>
        <v>0</v>
      </c>
      <c r="GY46" s="49">
        <f>IFERROR(IF(VLOOKUP(A46,tbMoveset!A2:J112,10,FALSE)=TRUE,IF((Backdoors!AI12+IF(GW46&gt;=0.45,VLOOKUP(Calculator!E23,tbSkills!DH3:DI6,2,FALSE)+IF(AND(Calculator!B8=TRUE,Backdoors!BI32=TRUE),VLOOKUP(Calculator!E23,tbSkills!DH3:DJ6,3,FALSE),0),0))&gt;=0,1+(Backdoors!AL2*(IF((Backdoors!AI12+IF(GW46&gt;=0.45,VLOOKUP(Calculator!E23,tbSkills!DH3:DI6,2,FALSE)+IF(AND(Calculator!B8=TRUE,Backdoors!BI32=TRUE),VLOOKUP(Calculator!E23,tbSkills!DH3:DJ6,3,FALSE),0),0))&gt;=100,100,(Backdoors!AI12+IF(GW46&gt;=0.45,VLOOKUP(Calculator!E23,tbSkills!DH3:DI6,2,FALSE)+IF(AND(Calculator!B8=TRUE,Backdoors!BI32=TRUE),VLOOKUP(Calculator!E23,tbSkills!DH3:DJ6,3,FALSE),0),0)))/100)),(1-(0.25*((-Backdoors!AI12-IF(GW46&gt;=0.45,VLOOKUP(Calculator!E23,tbSkills!DH3:DI6,2,FALSE)+IF(AND(Calculator!B8=TRUE,Backdoors!BI32=TRUE),VLOOKUP(Calculator!E23,tbSkills!DH3:DJ6,3,FALSE),0),0))/100)))),1),"")</f>
        <v>1</v>
      </c>
      <c r="GZ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W46)*GY46)*(VLOOKUP(A46,tbMoveset!A2:C112,3,FALSE)/100)*IF(VLOOKUP(A46,tbMoveset!A2:B112,2,FALSE)="Projectile",Backdoors!N10,Backdoors!N9),0),"")</f>
        <v/>
      </c>
      <c r="HA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W46&gt;=0.45,VLOOKUP(Calculator!E23,tbSkills!DH3:DI6,2,FALSE)+IF(AND(Calculator!B8=TRUE,Backdoors!BI32=TRUE),VLOOKUP(Calculator!E23,tbSkills!DH3:DJ6,3,FALSE),0),0))&gt;=100,100,(Backdoors!AI12+IF(GW46&gt;=0.45,VLOOKUP(Calculator!E23,tbSkills!DH3:DI6,2,FALSE)+IF(AND(Calculator!B8=TRUE,Backdoors!BI32=TRUE),VLOOKUP(Calculator!E23,tbSkills!DH3:DJ6,3,FALSE),0),0)))/100)),1))*IF(VLOOKUP(A46,tbMoveset!A2:K112,11,FALSE)=TRUE,Backdoors!AC5,1))*GX46,0),"")</f>
        <v>0</v>
      </c>
      <c r="HB46" s="49">
        <f>VLOOKUP(A46,tbMoveset!A2:G112,7,FALSE)*IFERROR(IF(Backdoors!AI12&gt;=0,1+(IF(Calculator!E40&gt;0,VLOOKUP(Calculator!E40,tbSkills!AI3:AJ5,2,FALSE),Backdoors!AL4)*(IF((Backdoors!AI12+IF(GW46&gt;=0.45,VLOOKUP(Calculator!E23,tbSkills!DH3:DI6,2,FALSE)+IF(AND(Calculator!B8=TRUE,Backdoors!BI32=TRUE),VLOOKUP(Calculator!E23,tbSkills!DH3:DJ6,3,FALSE),0),0))&gt;=100,100,(Backdoors!AI12+IF(GW46&gt;=0.45,VLOOKUP(Calculator!E23,tbSkills!DH3:DI6,2,FALSE)+IF(AND(Calculator!B8=TRUE,Backdoors!BI32=TRUE),VLOOKUP(Calculator!E23,tbSkills!DH3:DJ6,3,FALSE),0),0)))/100)),1),1)</f>
        <v>0.6</v>
      </c>
      <c r="HC46" s="87">
        <f t="shared" si="22"/>
        <v>0</v>
      </c>
      <c r="HD46" s="86" t="str">
        <f>IFERROR(IF(VLOOKUP(A46,tbMoveset!A2:B112,2,FALSE)="Sever",Backdoors!AY33/100,IF(VLOOKUP(A46,tbMoveset!A2:B112,2,FALSE)="Blunt",Backdoors!AZ33/100,Backdoors!BA33/100)),"")</f>
        <v/>
      </c>
      <c r="HE46" s="49">
        <f>IFERROR(IF(VLOOKUP(tbMoveset!A46,tbMoveset!A2:H112,8,FALSE)="Other",IF(VLOOKUP(tbMoveset!A46,tbMoveset!A2:I112,9,FALSE)="Fire",Backdoors!BB33,IF(VLOOKUP(tbMoveset!A46,tbMoveset!A2:I112,9,FALSE)="Water",Backdoors!BC33,IF(VLOOKUP(tbMoveset!A46,tbMoveset!A2:I112,9,FALSE)="Thunder",Backdoors!BD33,IF(VLOOKUP(tbMoveset!A46,tbMoveset!A2:I112,9,FALSE)="Ice",Backdoors!BE33,IF(VLOOKUP(tbMoveset!A46,tbMoveset!A2:I112,9,FALSE)="Dragon",Backdoors!BF33,Backdoors!BG33)))))/100,Backdoors!BG33/100),"")</f>
        <v>0</v>
      </c>
      <c r="HF46" s="49">
        <f>IFERROR(IF(VLOOKUP(A46,tbMoveset!A2:J112,10,FALSE)=TRUE,IF((Backdoors!AI12+IF(HD46&gt;=0.45,VLOOKUP(Calculator!E23,tbSkills!DH3:DI6,2,FALSE)+IF(AND(Calculator!B8=TRUE,Backdoors!BI33=TRUE),VLOOKUP(Calculator!E23,tbSkills!DH3:DJ6,3,FALSE),0),0))&gt;=0,1+(Backdoors!AL2*(IF((Backdoors!AI12+IF(HD46&gt;=0.45,VLOOKUP(Calculator!E23,tbSkills!DH3:DI6,2,FALSE)+IF(AND(Calculator!B8=TRUE,Backdoors!BI33=TRUE),VLOOKUP(Calculator!E23,tbSkills!DH3:DJ6,3,FALSE),0),0))&gt;=100,100,(Backdoors!AI12+IF(HD46&gt;=0.45,VLOOKUP(Calculator!E23,tbSkills!DH3:DI6,2,FALSE)+IF(AND(Calculator!B8=TRUE,Backdoors!BI33=TRUE),VLOOKUP(Calculator!E23,tbSkills!DH3:DJ6,3,FALSE),0),0)))/100)),(1-(0.25*((-Backdoors!AI12-IF(HD46&gt;=0.45,VLOOKUP(Calculator!E23,tbSkills!DH3:DI6,2,FALSE)+IF(AND(Calculator!B8=TRUE,Backdoors!BI33=TRUE),VLOOKUP(Calculator!E23,tbSkills!DH3:DJ6,3,FALSE),0),0))/100)))),1),"")</f>
        <v>1</v>
      </c>
      <c r="HG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D46)*HF46)*(VLOOKUP(A46,tbMoveset!A2:C112,3,FALSE)/100)*IF(VLOOKUP(A46,tbMoveset!A2:B112,2,FALSE)="Projectile",Backdoors!N10,Backdoors!N9),0),"")</f>
        <v/>
      </c>
      <c r="HH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D46&gt;=0.45,VLOOKUP(Calculator!E23,tbSkills!DH3:DI6,2,FALSE)+IF(AND(Calculator!B8=TRUE,Backdoors!BI33=TRUE),VLOOKUP(Calculator!E23,tbSkills!DH3:DJ6,3,FALSE),0),0))&gt;=100,100,(Backdoors!AI12+IF(HD46&gt;=0.45,VLOOKUP(Calculator!E23,tbSkills!DH3:DI6,2,FALSE)+IF(AND(Calculator!B8=TRUE,Backdoors!BI33=TRUE),VLOOKUP(Calculator!E23,tbSkills!DH3:DJ6,3,FALSE),0),0)))/100)),1))*IF(VLOOKUP(A46,tbMoveset!A2:K112,11,FALSE)=TRUE,Backdoors!AC5,1))*HE46,0),"")</f>
        <v>0</v>
      </c>
      <c r="HI46" s="49">
        <f>VLOOKUP(A46,tbMoveset!A2:G112,7,FALSE)*IFERROR(IF(Backdoors!AI12&gt;=0,1+(IF(Calculator!E40&gt;0,VLOOKUP(Calculator!E40,tbSkills!AI3:AJ5,2,FALSE),Backdoors!AL4)*(IF((Backdoors!AI12+IF(HD46&gt;=0.45,VLOOKUP(Calculator!E23,tbSkills!DH3:DI6,2,FALSE)+IF(AND(Calculator!B8=TRUE,Backdoors!BI33=TRUE),VLOOKUP(Calculator!E23,tbSkills!DH3:DJ6,3,FALSE),0),0))&gt;=100,100,(Backdoors!AI12+IF(HD46&gt;=0.45,VLOOKUP(Calculator!E23,tbSkills!DH3:DI6,2,FALSE)+IF(AND(Calculator!B8=TRUE,Backdoors!BI33=TRUE),VLOOKUP(Calculator!E23,tbSkills!DH3:DJ6,3,FALSE),0),0)))/100)),1),1)</f>
        <v>0.6</v>
      </c>
      <c r="HJ46" s="87">
        <f t="shared" si="23"/>
        <v>0</v>
      </c>
      <c r="HK46" s="86" t="str">
        <f>IFERROR(IF(VLOOKUP(A46,tbMoveset!A2:B112,2,FALSE)="Sever",Backdoors!AY34/100,IF(VLOOKUP(A46,tbMoveset!A2:B112,2,FALSE)="Blunt",Backdoors!AZ34/100,Backdoors!BA34/100)),"")</f>
        <v/>
      </c>
      <c r="HL46" s="49">
        <f>IFERROR(IF(VLOOKUP(tbMoveset!A46,tbMoveset!A2:H112,8,FALSE)="Other",IF(VLOOKUP(tbMoveset!A46,tbMoveset!A2:I112,9,FALSE)="Fire",Backdoors!BB34,IF(VLOOKUP(tbMoveset!A46,tbMoveset!A2:I112,9,FALSE)="Water",Backdoors!BC34,IF(VLOOKUP(tbMoveset!A46,tbMoveset!A2:I112,9,FALSE)="Thunder",Backdoors!BD34,IF(VLOOKUP(tbMoveset!A46,tbMoveset!A2:I112,9,FALSE)="Ice",Backdoors!BE34,IF(VLOOKUP(tbMoveset!A46,tbMoveset!A2:I112,9,FALSE)="Dragon",Backdoors!BF34,Backdoors!BG34)))))/100,Backdoors!BG34/100),"")</f>
        <v>0</v>
      </c>
      <c r="HM46" s="49">
        <f>IFERROR(IF(VLOOKUP(A46,tbMoveset!A2:J112,10,FALSE)=TRUE,IF((Backdoors!AI12+IF(HK46&gt;=0.45,VLOOKUP(Calculator!E23,tbSkills!DH3:DI6,2,FALSE)+IF(AND(Calculator!B8=TRUE,Backdoors!BI34=TRUE),VLOOKUP(Calculator!E23,tbSkills!DH3:DJ6,3,FALSE),0),0))&gt;=0,1+(Backdoors!AL2*(IF((Backdoors!AI12+IF(HK46&gt;=0.45,VLOOKUP(Calculator!E23,tbSkills!DH3:DI6,2,FALSE)+IF(AND(Calculator!B8=TRUE,Backdoors!BI34=TRUE),VLOOKUP(Calculator!E23,tbSkills!DH3:DJ6,3,FALSE),0),0))&gt;=100,100,(Backdoors!AI12+IF(HK46&gt;=0.45,VLOOKUP(Calculator!E23,tbSkills!DH3:DI6,2,FALSE)+IF(AND(Calculator!B8=TRUE,Backdoors!BI34=TRUE),VLOOKUP(Calculator!E23,tbSkills!DH3:DJ6,3,FALSE),0),0)))/100)),(1-(0.25*((-Backdoors!AI12-IF(HK46&gt;=0.45,VLOOKUP(Calculator!E23,tbSkills!DH3:DI6,2,FALSE)+IF(AND(Calculator!B8=TRUE,Backdoors!BI34=TRUE),VLOOKUP(Calculator!E23,tbSkills!DH3:DJ6,3,FALSE),0),0))/100)))),1),"")</f>
        <v>1</v>
      </c>
      <c r="HN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K46)*HM46)*(VLOOKUP(A46,tbMoveset!A2:C112,3,FALSE)/100)*IF(VLOOKUP(A46,tbMoveset!A2:B112,2,FALSE)="Projectile",Backdoors!N10,Backdoors!N9),0),"")</f>
        <v/>
      </c>
      <c r="HO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K46&gt;=0.45,VLOOKUP(Calculator!E23,tbSkills!DH3:DI6,2,FALSE)+IF(AND(Calculator!B8=TRUE,Backdoors!BI34=TRUE),VLOOKUP(Calculator!E23,tbSkills!DH3:DJ6,3,FALSE),0),0))&gt;=100,100,(Backdoors!AI12+IF(HK46&gt;=0.45,VLOOKUP(Calculator!E23,tbSkills!DH3:DI6,2,FALSE)+IF(AND(Calculator!B8=TRUE,Backdoors!BI34=TRUE),VLOOKUP(Calculator!E23,tbSkills!DH3:DJ6,3,FALSE),0),0)))/100)),1))*IF(VLOOKUP(A46,tbMoveset!A2:K112,11,FALSE)=TRUE,Backdoors!AC5,1))*HL46,0),"")</f>
        <v>0</v>
      </c>
      <c r="HP46" s="49">
        <f>VLOOKUP(A46,tbMoveset!A2:G112,7,FALSE)*IFERROR(IF(Backdoors!AI12&gt;=0,1+(IF(Calculator!E40&gt;0,VLOOKUP(Calculator!E40,tbSkills!AI3:AJ5,2,FALSE),Backdoors!AL4)*(IF((Backdoors!AI12+IF(HK46&gt;=0.45,VLOOKUP(Calculator!E23,tbSkills!DH3:DI6,2,FALSE)+IF(AND(Calculator!B8=TRUE,Backdoors!BI34=TRUE),VLOOKUP(Calculator!E23,tbSkills!DH3:DJ6,3,FALSE),0),0))&gt;=100,100,(Backdoors!AI12+IF(HK46&gt;=0.45,VLOOKUP(Calculator!E23,tbSkills!DH3:DI6,2,FALSE)+IF(AND(Calculator!B8=TRUE,Backdoors!BI34=TRUE),VLOOKUP(Calculator!E23,tbSkills!DH3:DJ6,3,FALSE),0),0)))/100)),1),1)</f>
        <v>0.6</v>
      </c>
      <c r="HQ46" s="87">
        <f t="shared" si="24"/>
        <v>0</v>
      </c>
      <c r="HR46" s="86" t="str">
        <f>IFERROR(IF(VLOOKUP(A46,tbMoveset!A2:B112,2,FALSE)="Sever",Backdoors!AY35/100,IF(VLOOKUP(A46,tbMoveset!A2:B112,2,FALSE)="Blunt",Backdoors!AZ35/100,Backdoors!BA35/100)),"")</f>
        <v/>
      </c>
      <c r="HS46" s="49">
        <f>IFERROR(IF(VLOOKUP(tbMoveset!A46,tbMoveset!A2:H112,8,FALSE)="Other",IF(VLOOKUP(tbMoveset!A46,tbMoveset!A2:I112,9,FALSE)="Fire",Backdoors!BB35,IF(VLOOKUP(tbMoveset!A46,tbMoveset!A2:I112,9,FALSE)="Water",Backdoors!BC35,IF(VLOOKUP(tbMoveset!A46,tbMoveset!A2:I112,9,FALSE)="Thunder",Backdoors!BD35,IF(VLOOKUP(tbMoveset!A46,tbMoveset!A2:I112,9,FALSE)="Ice",Backdoors!BE35,IF(VLOOKUP(tbMoveset!A46,tbMoveset!A2:I112,9,FALSE)="Dragon",Backdoors!BF35,Backdoors!BG35)))))/100,Backdoors!BG35/100),"")</f>
        <v>0</v>
      </c>
      <c r="HT46" s="49">
        <f>IFERROR(IF(VLOOKUP(A46,tbMoveset!A2:J112,10,FALSE)=TRUE,IF((Backdoors!AI12+IF(HR46&gt;=0.45,VLOOKUP(Calculator!E23,tbSkills!DH3:DI6,2,FALSE)+IF(AND(Calculator!B8=TRUE,Backdoors!BI35=TRUE),VLOOKUP(Calculator!E23,tbSkills!DH3:DJ6,3,FALSE),0),0))&gt;=0,1+(Backdoors!AL2*(IF((Backdoors!AI12+IF(HR46&gt;=0.45,VLOOKUP(Calculator!E23,tbSkills!DH3:DI6,2,FALSE)+IF(AND(Calculator!B8=TRUE,Backdoors!BI35=TRUE),VLOOKUP(Calculator!E23,tbSkills!DH3:DJ6,3,FALSE),0),0))&gt;=100,100,(Backdoors!AI12+IF(HR46&gt;=0.45,VLOOKUP(Calculator!E23,tbSkills!DH3:DI6,2,FALSE)+IF(AND(Calculator!B8=TRUE,Backdoors!BI35=TRUE),VLOOKUP(Calculator!E23,tbSkills!DH3:DJ6,3,FALSE),0),0)))/100)),(1-(0.25*((-Backdoors!AI12-IF(HR46&gt;=0.45,VLOOKUP(Calculator!E23,tbSkills!DH3:DI6,2,FALSE)+IF(AND(Calculator!B8=TRUE,Backdoors!BI35=TRUE),VLOOKUP(Calculator!E23,tbSkills!DH3:DJ6,3,FALSE),0),0))/100)))),1),"")</f>
        <v>1</v>
      </c>
      <c r="HU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R46)*HT46)*(VLOOKUP(A46,tbMoveset!A2:C112,3,FALSE)/100)*IF(VLOOKUP(A46,tbMoveset!A2:B112,2,FALSE)="Projectile",Backdoors!N10,Backdoors!N9),0),"")</f>
        <v/>
      </c>
      <c r="HV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R46&gt;=0.45,VLOOKUP(Calculator!E23,tbSkills!DH3:DI6,2,FALSE)+IF(AND(Calculator!B8=TRUE,Backdoors!BI35=TRUE),VLOOKUP(Calculator!E23,tbSkills!DH3:DJ6,3,FALSE),0),0))&gt;=100,100,(Backdoors!AI12+IF(HR46&gt;=0.45,VLOOKUP(Calculator!E23,tbSkills!DH3:DI6,2,FALSE)+IF(AND(Calculator!B8=TRUE,Backdoors!BI35=TRUE),VLOOKUP(Calculator!E23,tbSkills!DH3:DJ6,3,FALSE),0),0)))/100)),1))*IF(VLOOKUP(A46,tbMoveset!A2:K112,11,FALSE)=TRUE,Backdoors!AC5,1))*HS46,0),"")</f>
        <v>0</v>
      </c>
      <c r="HW46" s="49">
        <f>VLOOKUP(A46,tbMoveset!A2:G112,7,FALSE)*IFERROR(IF(Backdoors!AI12&gt;=0,1+(IF(Calculator!E40&gt;0,VLOOKUP(Calculator!E40,tbSkills!AI3:AJ5,2,FALSE),Backdoors!AL4)*(IF((Backdoors!AI12+IF(HR46&gt;=0.45,VLOOKUP(Calculator!E23,tbSkills!DH3:DI6,2,FALSE)+IF(AND(Calculator!B8=TRUE,Backdoors!BI35=TRUE),VLOOKUP(Calculator!E23,tbSkills!DH3:DJ6,3,FALSE),0),0))&gt;=100,100,(Backdoors!AI12+IF(HR46&gt;=0.45,VLOOKUP(Calculator!E23,tbSkills!DH3:DI6,2,FALSE)+IF(AND(Calculator!B8=TRUE,Backdoors!BI35=TRUE),VLOOKUP(Calculator!E23,tbSkills!DH3:DJ6,3,FALSE),0),0)))/100)),1),1)</f>
        <v>0.6</v>
      </c>
      <c r="HX46" s="87">
        <f t="shared" si="25"/>
        <v>0</v>
      </c>
      <c r="HY46" s="86" t="str">
        <f>IFERROR(IF(VLOOKUP(A46,tbMoveset!A2:B112,2,FALSE)="Sever",Backdoors!AY36/100,IF(VLOOKUP(A46,tbMoveset!A2:B112,2,FALSE)="Blunt",Backdoors!AZ36/100,Backdoors!BA36/100)),"")</f>
        <v/>
      </c>
      <c r="HZ46" s="49">
        <f>IFERROR(IF(VLOOKUP(tbMoveset!A46,tbMoveset!A2:H112,8,FALSE)="Other",IF(VLOOKUP(tbMoveset!A46,tbMoveset!A2:I112,9,FALSE)="Fire",Backdoors!BB36,IF(VLOOKUP(tbMoveset!A46,tbMoveset!A2:I112,9,FALSE)="Water",Backdoors!BC36,IF(VLOOKUP(tbMoveset!A46,tbMoveset!A2:I112,9,FALSE)="Thunder",Backdoors!BD36,IF(VLOOKUP(tbMoveset!A46,tbMoveset!A2:I112,9,FALSE)="Ice",Backdoors!BE36,IF(VLOOKUP(tbMoveset!A46,tbMoveset!A2:I112,9,FALSE)="Dragon",Backdoors!BF36,Backdoors!BG36)))))/100,Backdoors!BG36/100),"")</f>
        <v>0</v>
      </c>
      <c r="IA46" s="49">
        <f>IFERROR(IF(VLOOKUP(A46,tbMoveset!A2:J112,10,FALSE)=TRUE,IF((Backdoors!AI12+IF(HY46&gt;=0.45,VLOOKUP(Calculator!E23,tbSkills!DH3:DI6,2,FALSE)+IF(AND(Calculator!B8=TRUE,Backdoors!BI36=TRUE),VLOOKUP(Calculator!E23,tbSkills!DH3:DJ6,3,FALSE),0),0))&gt;=0,1+(Backdoors!AL2*(IF((Backdoors!AI12+IF(HY46&gt;=0.45,VLOOKUP(Calculator!E23,tbSkills!DH3:DI6,2,FALSE)+IF(AND(Calculator!B8=TRUE,Backdoors!BI36=TRUE),VLOOKUP(Calculator!E23,tbSkills!DH3:DJ6,3,FALSE),0),0))&gt;=100,100,(Backdoors!AI12+IF(HY46&gt;=0.45,VLOOKUP(Calculator!E23,tbSkills!DH3:DI6,2,FALSE)+IF(AND(Calculator!B8=TRUE,Backdoors!BI36=TRUE),VLOOKUP(Calculator!E23,tbSkills!DH3:DJ6,3,FALSE),0),0)))/100)),(1-(0.25*((-Backdoors!AI12-IF(HY46&gt;=0.45,VLOOKUP(Calculator!E23,tbSkills!DH3:DI6,2,FALSE)+IF(AND(Calculator!B8=TRUE,Backdoors!BI36=TRUE),VLOOKUP(Calculator!E23,tbSkills!DH3:DJ6,3,FALSE),0),0))/100)))),1),"")</f>
        <v>1</v>
      </c>
      <c r="IB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Y46)*IA46)*(VLOOKUP(A46,tbMoveset!A2:C112,3,FALSE)/100)*IF(VLOOKUP(A46,tbMoveset!A2:B112,2,FALSE)="Projectile",Backdoors!N10,Backdoors!N9),0),"")</f>
        <v/>
      </c>
      <c r="IC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Y46&gt;=0.45,VLOOKUP(Calculator!E23,tbSkills!DH3:DI6,2,FALSE)+IF(AND(Calculator!B8=TRUE,Backdoors!BI36=TRUE),VLOOKUP(Calculator!E23,tbSkills!DH3:DJ6,3,FALSE),0),0))&gt;=100,100,(Backdoors!AI12+IF(HY46&gt;=0.45,VLOOKUP(Calculator!E23,tbSkills!DH3:DI6,2,FALSE)+IF(AND(Calculator!B8=TRUE,Backdoors!BI36=TRUE),VLOOKUP(Calculator!E23,tbSkills!DH3:DJ6,3,FALSE),0),0)))/100)),1))*IF(VLOOKUP(A46,tbMoveset!A2:K112,11,FALSE)=TRUE,Backdoors!AC5,1))*HZ46,0),"")</f>
        <v>0</v>
      </c>
      <c r="ID46" s="49">
        <f>VLOOKUP(A46,tbMoveset!A2:G112,7,FALSE)*IFERROR(IF(Backdoors!AI12&gt;=0,1+(IF(Calculator!E40&gt;0,VLOOKUP(Calculator!E40,tbSkills!AI3:AJ5,2,FALSE),Backdoors!AL4)*(IF((Backdoors!AI12+IF(HY46&gt;=0.45,VLOOKUP(Calculator!E23,tbSkills!DH3:DI6,2,FALSE)+IF(AND(Calculator!B8=TRUE,Backdoors!BI36=TRUE),VLOOKUP(Calculator!E23,tbSkills!DH3:DJ6,3,FALSE),0),0))&gt;=100,100,(Backdoors!AI12+IF(HY46&gt;=0.45,VLOOKUP(Calculator!E23,tbSkills!DH3:DI6,2,FALSE)+IF(AND(Calculator!B8=TRUE,Backdoors!BI36=TRUE),VLOOKUP(Calculator!E23,tbSkills!DH3:DJ6,3,FALSE),0),0)))/100)),1),1)</f>
        <v>0.6</v>
      </c>
      <c r="IE46" s="87">
        <f t="shared" si="26"/>
        <v>0</v>
      </c>
      <c r="IF46" s="86" t="str">
        <f>IFERROR(IF(VLOOKUP(A46,tbMoveset!A2:B112,2,FALSE)="Sever",Backdoors!AY37/100,IF(VLOOKUP(A46,tbMoveset!A2:B112,2,FALSE)="Blunt",Backdoors!AZ37/100,Backdoors!BA37/100)),"")</f>
        <v/>
      </c>
      <c r="IG46" s="49">
        <f>IFERROR(IF(VLOOKUP(tbMoveset!A46,tbMoveset!A2:H112,8,FALSE)="Other",IF(VLOOKUP(tbMoveset!A46,tbMoveset!A2:I112,9,FALSE)="Fire",Backdoors!BB37,IF(VLOOKUP(tbMoveset!A46,tbMoveset!A2:I112,9,FALSE)="Water",Backdoors!BC37,IF(VLOOKUP(tbMoveset!A46,tbMoveset!A2:I112,9,FALSE)="Thunder",Backdoors!BD37,IF(VLOOKUP(tbMoveset!A46,tbMoveset!A2:I112,9,FALSE)="Ice",Backdoors!BE37,IF(VLOOKUP(tbMoveset!A46,tbMoveset!A2:I112,9,FALSE)="Dragon",Backdoors!BF37,Backdoors!BG37)))))/100,Backdoors!BG37/100),"")</f>
        <v>0</v>
      </c>
      <c r="IH46" s="49">
        <f>IFERROR(IF(VLOOKUP(A46,tbMoveset!A2:J112,10,FALSE)=TRUE,IF((Backdoors!AI12+IF(IF46&gt;=0.45,VLOOKUP(Calculator!E23,tbSkills!DH3:DI6,2,FALSE)+IF(AND(Calculator!B8=TRUE,Backdoors!BI37=TRUE),VLOOKUP(Calculator!E23,tbSkills!DH3:DJ6,3,FALSE),0),0))&gt;=0,1+(Backdoors!AL2*(IF((Backdoors!AI12+IF(IF46&gt;=0.45,VLOOKUP(Calculator!E23,tbSkills!DH3:DI6,2,FALSE)+IF(AND(Calculator!B8=TRUE,Backdoors!BI37=TRUE),VLOOKUP(Calculator!E23,tbSkills!DH3:DJ6,3,FALSE),0),0))&gt;=100,100,(Backdoors!AI12+IF(IF46&gt;=0.45,VLOOKUP(Calculator!E23,tbSkills!DH3:DI6,2,FALSE)+IF(AND(Calculator!B8=TRUE,Backdoors!BI37=TRUE),VLOOKUP(Calculator!E23,tbSkills!DH3:DJ6,3,FALSE),0),0)))/100)),(1-(0.25*((-Backdoors!AI12-IF(IF46&gt;=0.45,VLOOKUP(Calculator!E23,tbSkills!DH3:DI6,2,FALSE)+IF(AND(Calculator!B8=TRUE,Backdoors!BI37=TRUE),VLOOKUP(Calculator!E23,tbSkills!DH3:DJ6,3,FALSE),0),0))/100)))),1),"")</f>
        <v>1</v>
      </c>
      <c r="II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F46)*IH46)*(VLOOKUP(A46,tbMoveset!A2:C112,3,FALSE)/100)*IF(VLOOKUP(A46,tbMoveset!A2:B112,2,FALSE)="Projectile",Backdoors!N10,Backdoors!N9),0),"")</f>
        <v/>
      </c>
      <c r="IJ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IF46&gt;=0.45,VLOOKUP(Calculator!E23,tbSkills!DH3:DI6,2,FALSE)+IF(AND(Calculator!B8=TRUE,Backdoors!BI37=TRUE),VLOOKUP(Calculator!E23,tbSkills!DH3:DJ6,3,FALSE),0),0))&gt;=100,100,(Backdoors!AI12+IF(IF46&gt;=0.45,VLOOKUP(Calculator!E23,tbSkills!DH3:DI6,2,FALSE)+IF(AND(Calculator!B8=TRUE,Backdoors!BI37=TRUE),VLOOKUP(Calculator!E23,tbSkills!DH3:DJ6,3,FALSE),0),0)))/100)),1))*IF(VLOOKUP(A46,tbMoveset!A2:K112,11,FALSE)=TRUE,Backdoors!AC5,1))*IG46,0),"")</f>
        <v>0</v>
      </c>
      <c r="IK46" s="49">
        <f>VLOOKUP(A46,tbMoveset!A2:G112,7,FALSE)*IFERROR(IF(Backdoors!AI12&gt;=0,1+(IF(Calculator!E40&gt;0,VLOOKUP(Calculator!E40,tbSkills!AI3:AJ5,2,FALSE),Backdoors!AL4)*(IF((Backdoors!AI12+IF(IF46&gt;=0.45,VLOOKUP(Calculator!E23,tbSkills!DH3:DI6,2,FALSE)+IF(AND(Calculator!B8=TRUE,Backdoors!BI37=TRUE),VLOOKUP(Calculator!E23,tbSkills!DH3:DJ6,3,FALSE),0),0))&gt;=100,100,(Backdoors!AI12+IF(IF46&gt;=0.45,VLOOKUP(Calculator!E23,tbSkills!DH3:DI6,2,FALSE)+IF(AND(Calculator!B8=TRUE,Backdoors!BI37=TRUE),VLOOKUP(Calculator!E23,tbSkills!DH3:DJ6,3,FALSE),0),0)))/100)),1),1)</f>
        <v>0.6</v>
      </c>
      <c r="IL46" s="87">
        <f t="shared" si="27"/>
        <v>0</v>
      </c>
      <c r="IM46" s="86" t="str">
        <f>IFERROR(IF(VLOOKUP(A46,tbMoveset!A2:B112,2,FALSE)="Sever",Backdoors!AY38/100,IF(VLOOKUP(A46,tbMoveset!A2:B112,2,FALSE)="Blunt",Backdoors!AZ38/100,Backdoors!BA38/100)),"")</f>
        <v/>
      </c>
      <c r="IN46" s="49">
        <f>IFERROR(IF(VLOOKUP(tbMoveset!A46,tbMoveset!A2:H112,8,FALSE)="Other",IF(VLOOKUP(tbMoveset!A46,tbMoveset!A2:I112,9,FALSE)="Fire",Backdoors!BB38,IF(VLOOKUP(tbMoveset!A46,tbMoveset!A2:I112,9,FALSE)="Water",Backdoors!BC38,IF(VLOOKUP(tbMoveset!A46,tbMoveset!A2:I112,9,FALSE)="Thunder",Backdoors!BD38,IF(VLOOKUP(tbMoveset!A46,tbMoveset!A2:I112,9,FALSE)="Ice",Backdoors!BE38,IF(VLOOKUP(tbMoveset!A46,tbMoveset!A2:I112,9,FALSE)="Dragon",Backdoors!BF38,Backdoors!BG38)))))/100,Backdoors!BG38/100),"")</f>
        <v>0</v>
      </c>
      <c r="IO46" s="49">
        <f>IFERROR(IF(VLOOKUP(A46,tbMoveset!A2:J112,10,FALSE)=TRUE,IF((Backdoors!AI12+IF(IM46&gt;=0.45,VLOOKUP(Calculator!E23,tbSkills!DH3:DI6,2,FALSE)+IF(AND(Calculator!B8=TRUE,Backdoors!BI38=TRUE),VLOOKUP(Calculator!E23,tbSkills!DH3:DJ6,3,FALSE),0),0))&gt;=0,1+(Backdoors!AL2*(IF((Backdoors!AI12+IF(IM46&gt;=0.45,VLOOKUP(Calculator!E23,tbSkills!DH3:DI6,2,FALSE)+IF(AND(Calculator!B8=TRUE,Backdoors!BI38=TRUE),VLOOKUP(Calculator!E23,tbSkills!DH3:DJ6,3,FALSE),0),0))&gt;=100,100,(Backdoors!AI12+IF(IM46&gt;=0.45,VLOOKUP(Calculator!E23,tbSkills!DH3:DI6,2,FALSE)+IF(AND(Calculator!B8=TRUE,Backdoors!BI38=TRUE),VLOOKUP(Calculator!E23,tbSkills!DH3:DJ6,3,FALSE),0),0)))/100)),(1-(0.25*((-Backdoors!AI12-IF(IM46&gt;=0.45,VLOOKUP(Calculator!E23,tbSkills!DH3:DI6,2,FALSE)+IF(AND(Calculator!B8=TRUE,Backdoors!BI38=TRUE),VLOOKUP(Calculator!E23,tbSkills!DH3:DJ6,3,FALSE),0),0))/100)))),1),"")</f>
        <v>1</v>
      </c>
      <c r="IP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M46)*IO46)*(VLOOKUP(A46,tbMoveset!A2:C112,3,FALSE)/100)*IF(VLOOKUP(A46,tbMoveset!A2:B112,2,FALSE)="Projectile",Backdoors!N10,Backdoors!N9),0),"")</f>
        <v/>
      </c>
      <c r="IQ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IM46&gt;=0.45,VLOOKUP(Calculator!E23,tbSkills!DH3:DI6,2,FALSE)+IF(AND(Calculator!B8=TRUE,Backdoors!BI38=TRUE),VLOOKUP(Calculator!E23,tbSkills!DH3:DJ6,3,FALSE),0),0))&gt;=100,100,(Backdoors!AI12+IF(IM46&gt;=0.45,VLOOKUP(Calculator!E23,tbSkills!DH3:DI6,2,FALSE)+IF(AND(Calculator!B8=TRUE,Backdoors!BI38=TRUE),VLOOKUP(Calculator!E23,tbSkills!DH3:DJ6,3,FALSE),0),0)))/100)),1))*IF(VLOOKUP(A46,tbMoveset!A2:K112,11,FALSE)=TRUE,Backdoors!AC5,1))*IN46,0),"")</f>
        <v>0</v>
      </c>
      <c r="IR46" s="49">
        <f>VLOOKUP(A46,tbMoveset!A2:G112,7,FALSE)*IFERROR(IF(Backdoors!AI12&gt;=0,1+(IF(Calculator!E40&gt;0,VLOOKUP(Calculator!E40,tbSkills!AI3:AJ5,2,FALSE),Backdoors!AL4)*(IF((Backdoors!AI12+IF(IM46&gt;=0.45,VLOOKUP(Calculator!E23,tbSkills!DH3:DI6,2,FALSE)+IF(AND(Calculator!B8=TRUE,Backdoors!BI38=TRUE),VLOOKUP(Calculator!E23,tbSkills!DH3:DJ6,3,FALSE),0),0))&gt;=100,100,(Backdoors!AI12+IF(IM46&gt;=0.45,VLOOKUP(Calculator!E23,tbSkills!DH3:DI6,2,FALSE)+IF(AND(Calculator!B8=TRUE,Backdoors!BI38=TRUE),VLOOKUP(Calculator!E23,tbSkills!DH3:DJ6,3,FALSE),0),0)))/100)),1),1)</f>
        <v>0.6</v>
      </c>
      <c r="IS46" s="87">
        <f t="shared" si="42"/>
        <v>0</v>
      </c>
      <c r="IT46" s="86" t="str">
        <f>IFERROR(IF(VLOOKUP(A46,tbMoveset!A2:B112,2,FALSE)="Sever",Backdoors!AY39/100,IF(VLOOKUP(A46,tbMoveset!A2:B112,2,FALSE)="Blunt",Backdoors!AZ39/100,Backdoors!BA39/100)),"")</f>
        <v/>
      </c>
      <c r="IU46" s="49">
        <f>IFERROR(IF(VLOOKUP(tbMoveset!A46,tbMoveset!A2:H112,8,FALSE)="Other",IF(VLOOKUP(tbMoveset!A46,tbMoveset!A2:I112,9,FALSE)="Fire",Backdoors!BB39,IF(VLOOKUP(tbMoveset!A46,tbMoveset!A2:I112,9,FALSE)="Water",Backdoors!BC39,IF(VLOOKUP(tbMoveset!A46,tbMoveset!A2:I112,9,FALSE)="Thunder",Backdoors!BD39,IF(VLOOKUP(tbMoveset!A46,tbMoveset!A2:I112,9,FALSE)="Ice",Backdoors!BE39,IF(VLOOKUP(tbMoveset!A46,tbMoveset!A2:I112,9,FALSE)="Dragon",Backdoors!BF39,Backdoors!BG39)))))/100,Backdoors!BG39/100),"")</f>
        <v>0</v>
      </c>
      <c r="IV46" s="49">
        <f>IFERROR(IF(VLOOKUP(A46,tbMoveset!A2:J112,10,FALSE)=TRUE,IF((Backdoors!AI12+IF(IT46&gt;=0.45,VLOOKUP(Calculator!E23,tbSkills!DH3:DI6,2,FALSE)+IF(AND(Calculator!B8=TRUE,Backdoors!BI39=TRUE),VLOOKUP(Calculator!E23,tbSkills!DH3:DJ6,3,FALSE),0),0))&gt;=0,1+(Backdoors!AL2*(IF((Backdoors!AI12+IF(IT46&gt;=0.45,VLOOKUP(Calculator!E23,tbSkills!DH3:DI6,2,FALSE)+IF(AND(Calculator!B8=TRUE,Backdoors!BI39=TRUE),VLOOKUP(Calculator!E23,tbSkills!DH3:DJ6,3,FALSE),0),0))&gt;=100,100,(Backdoors!AI12+IF(IT46&gt;=0.45,VLOOKUP(Calculator!E23,tbSkills!DH3:DI6,2,FALSE)+IF(AND(Calculator!B8=TRUE,Backdoors!BI39=TRUE),VLOOKUP(Calculator!E23,tbSkills!DH3:DJ6,3,FALSE),0),0)))/100)),(1-(0.25*((-Backdoors!AI12-IF(IT46&gt;=0.45,VLOOKUP(Calculator!E23,tbSkills!DH3:DI6,2,FALSE)+IF(AND(Calculator!B8=TRUE,Backdoors!BI39=TRUE),VLOOKUP(Calculator!E23,tbSkills!DH3:DJ6,3,FALSE),0),0))/100)))),1),"")</f>
        <v>1</v>
      </c>
      <c r="IW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T46)*IV46)*(VLOOKUP(A46,tbMoveset!A2:C112,3,FALSE)/100)*IF(VLOOKUP(A46,tbMoveset!A2:B112,2,FALSE)="Projectile",Backdoors!N10,Backdoors!N9),0),"")</f>
        <v/>
      </c>
      <c r="IX46" s="49">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40&gt;0,VLOOKUP(Calculator!E40,tbSkills!AC3:AD5,2,FALSE),Backdoors!AL3)*(IF((Backdoors!AI12+IF(IT46&gt;=0.45,VLOOKUP(Calculator!E23,tbSkills!DH3:DI6,2,FALSE)+IF(AND(Calculator!B8=TRUE,Backdoors!BI39=TRUE),VLOOKUP(Calculator!E23,tbSkills!DH3:DJ6,3,FALSE),0),0))&gt;=100,100,(Backdoors!AI12+IF(IT46&gt;=0.45,VLOOKUP(Calculator!E23,tbSkills!DH3:DI6,2,FALSE)+IF(AND(Calculator!B8=TRUE,Backdoors!BI39=TRUE),VLOOKUP(Calculator!E23,tbSkills!DH3:DJ6,3,FALSE),0),0)))/100)),1))*IF(VLOOKUP(A46,tbMoveset!A2:K112,11,FALSE)=TRUE,Backdoors!AC5,1))*IU46,0),"")</f>
        <v>0</v>
      </c>
      <c r="IY46" s="49">
        <f>VLOOKUP(A46,tbMoveset!A2:G112,7,FALSE)*IFERROR(IF(Backdoors!AI12&gt;=0,1+(IF(Calculator!E40&gt;0,VLOOKUP(Calculator!E40,tbSkills!AI3:AJ5,2,FALSE),Backdoors!AL4)*(IF((Backdoors!AI12+IF(IT46&gt;=0.45,VLOOKUP(Calculator!E23,tbSkills!DH3:DI6,2,FALSE)+IF(AND(Calculator!B8=TRUE,Backdoors!BI39=TRUE),VLOOKUP(Calculator!E23,tbSkills!DH3:DJ6,3,FALSE),0),0))&gt;=100,100,(Backdoors!AI12+IF(IT46&gt;=0.45,VLOOKUP(Calculator!E23,tbSkills!DH3:DI6,2,FALSE)+IF(AND(Calculator!B8=TRUE,Backdoors!BI39=TRUE),VLOOKUP(Calculator!E23,tbSkills!DH3:DJ6,3,FALSE),0),0)))/100)),1),1)</f>
        <v>0.6</v>
      </c>
      <c r="IZ46" s="87">
        <f t="shared" si="28"/>
        <v>0</v>
      </c>
      <c r="JA46" s="86" t="str">
        <f>IFERROR(IF(VLOOKUP(A46,tbMoveset!A2:B112,2,FALSE)="Sever",Backdoors!AY40/100,IF(VLOOKUP(A46,tbMoveset!A2:B112,2,FALSE)="Blunt",Backdoors!AZ40/100,Backdoors!BA40/100)),"")</f>
        <v/>
      </c>
      <c r="JB46" s="49">
        <f>IFERROR(IF(VLOOKUP(tbMoveset!A46,tbMoveset!A2:H112,8,FALSE)="Other",IF(VLOOKUP(tbMoveset!A46,tbMoveset!A2:I112,9,FALSE)="Fire",Backdoors!BB40,IF(VLOOKUP(tbMoveset!A46,tbMoveset!A2:I112,9,FALSE)="Water",Backdoors!BC40,IF(VLOOKUP(tbMoveset!A46,tbMoveset!A2:I112,9,FALSE)="Thunder",Backdoors!BD40,IF(VLOOKUP(tbMoveset!A46,tbMoveset!A2:I112,9,FALSE)="Ice",Backdoors!BE40,IF(VLOOKUP(tbMoveset!A46,tbMoveset!A2:I112,9,FALSE)="Dragon",Backdoors!BF40,Backdoors!BG40)))))/100,Backdoors!BG40/100),"")</f>
        <v>0</v>
      </c>
      <c r="JC46" s="49">
        <f>IFERROR(IF(VLOOKUP(A46,tbMoveset!A2:J112,10,FALSE)=TRUE,IF((Backdoors!AI12+IF(JA46&gt;=0.45,VLOOKUP(Calculator!E23,tbSkills!DH3:DI6,2,FALSE)+IF(AND(Calculator!B8=TRUE,Backdoors!BI40=TRUE),VLOOKUP(Calculator!E23,tbSkills!DH3:DJ6,3,FALSE),0),0))&gt;=0,1+(Backdoors!AL2*(IF((Backdoors!AI12+IF(JA46&gt;=0.45,VLOOKUP(Calculator!E23,tbSkills!DH3:DI6,2,FALSE)+IF(AND(Calculator!B8=TRUE,Backdoors!BI40=TRUE),VLOOKUP(Calculator!E23,tbSkills!DH3:DJ6,3,FALSE),0),0))&gt;=100,100,(Backdoors!AI12+IF(JA46&gt;=0.45,VLOOKUP(Calculator!E23,tbSkills!DH3:DI6,2,FALSE)+IF(AND(Calculator!B8=TRUE,Backdoors!BI40=TRUE),VLOOKUP(Calculator!E23,tbSkills!DH3:DJ6,3,FALSE),0),0)))/100)),(1-(0.25*((-Backdoors!AI12-IF(JA46&gt;=0.45,VLOOKUP(Calculator!E23,tbSkills!DH3:DI6,2,FALSE)+IF(AND(Calculator!B8=TRUE,Backdoors!BI40=TRUE),VLOOKUP(Calculator!E23,tbSkills!DH3:DJ6,3,FALSE),0),0))/100)))),1),"")</f>
        <v>1</v>
      </c>
      <c r="JD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A46)*JC46)*(VLOOKUP(A46,tbMoveset!A2:C112,3,FALSE)/100)*IF(VLOOKUP(A46,tbMoveset!A2:B112,2,FALSE)="Projectile",Backdoors!N10,Backdoors!N9),0),"")</f>
        <v/>
      </c>
      <c r="JE46" s="49">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42&gt;0,VLOOKUP(Calculator!E42,tbSkills!AC3:AD5,2,FALSE),Backdoors!AL3)*(IF((Backdoors!AI12+IF(JA46&gt;=0.45,VLOOKUP(Calculator!E23,tbSkills!DH3:DI6,2,FALSE)+IF(AND(Calculator!B8=TRUE,Backdoors!BI40=TRUE),VLOOKUP(Calculator!E23,tbSkills!DH3:DJ6,3,FALSE),0),0))&gt;=100,100,(Backdoors!AI12+IF(JA46&gt;=0.45,VLOOKUP(Calculator!E23,tbSkills!DH3:DI6,2,FALSE)+IF(AND(Calculator!B8=TRUE,Backdoors!BI40=TRUE),VLOOKUP(Calculator!E23,tbSkills!DH3:DJ6,3,FALSE),0),0)))/100)),1))*IF(VLOOKUP(A46,tbMoveset!A2:K112,11,FALSE)=TRUE,Backdoors!AC5,1))*JB46,0),"")</f>
        <v>0</v>
      </c>
      <c r="JF46" s="49">
        <f>VLOOKUP(A46,tbMoveset!A2:G112,7,FALSE)*IFERROR(IF(Backdoors!AI12&gt;=0,1+(IF(Calculator!E40&gt;0,VLOOKUP(Calculator!E40,tbSkills!AI3:AJ5,2,FALSE),Backdoors!AL4)*(IF((Backdoors!AI12+IF(JA46&gt;=0.45,VLOOKUP(Calculator!E23,tbSkills!DH3:DI6,2,FALSE)+IF(AND(Calculator!B8=TRUE,Backdoors!BI40=TRUE),VLOOKUP(Calculator!E23,tbSkills!DH3:DJ6,3,FALSE),0),0))&gt;=100,100,(Backdoors!AI12+IF(JA46&gt;=0.45,VLOOKUP(Calculator!E23,tbSkills!DH3:DI6,2,FALSE)+IF(AND(Calculator!B8=TRUE,Backdoors!BI40=TRUE),VLOOKUP(Calculator!E23,tbSkills!DH3:DJ6,3,FALSE),0),0)))/100)),1),1)</f>
        <v>0.6</v>
      </c>
      <c r="JG46" s="87">
        <f t="shared" si="29"/>
        <v>0</v>
      </c>
      <c r="JH46" s="86" t="str">
        <f>IFERROR(IF(VLOOKUP(A46,tbMoveset!A2:B112,2,FALSE)="Sever",Backdoors!AY41/100,IF(VLOOKUP(A46,tbMoveset!A2:B112,2,FALSE)="Blunt",Backdoors!AZ41/100,Backdoors!BA41/100)),"")</f>
        <v/>
      </c>
      <c r="JI46" s="49">
        <f>IFERROR(IF(VLOOKUP(tbMoveset!A46,tbMoveset!A2:H112,8,FALSE)="Other",IF(VLOOKUP(tbMoveset!A46,tbMoveset!A2:I112,9,FALSE)="Fire",Backdoors!BB41,IF(VLOOKUP(tbMoveset!A46,tbMoveset!A2:I112,9,FALSE)="Water",Backdoors!BC41,IF(VLOOKUP(tbMoveset!A46,tbMoveset!A2:I112,9,FALSE)="Thunder",Backdoors!BD41,IF(VLOOKUP(tbMoveset!A46,tbMoveset!A2:I112,9,FALSE)="Ice",Backdoors!BE41,IF(VLOOKUP(tbMoveset!A46,tbMoveset!A2:I112,9,FALSE)="Dragon",Backdoors!BF41,Backdoors!BG41)))))/100,Backdoors!BG41/100),"")</f>
        <v>0</v>
      </c>
      <c r="JJ46" s="49">
        <f>IFERROR(IF(VLOOKUP(A46,tbMoveset!A2:J112,10,FALSE)=TRUE,IF((Backdoors!AI12+IF(JH46&gt;=0.45,VLOOKUP(Calculator!E23,tbSkills!DH3:DI6,2,FALSE)+IF(AND(Calculator!B8=TRUE,Backdoors!BI41=TRUE),VLOOKUP(Calculator!E23,tbSkills!DH3:DJ6,3,FALSE),0),0))&gt;=0,1+(Backdoors!AL2*(IF((Backdoors!AI12+IF(JH46&gt;=0.45,VLOOKUP(Calculator!E23,tbSkills!DH3:DI6,2,FALSE)+IF(AND(Calculator!B8=TRUE,Backdoors!BI41=TRUE),VLOOKUP(Calculator!E23,tbSkills!DH3:DJ6,3,FALSE),0),0))&gt;=100,100,(Backdoors!AI12+IF(JH46&gt;=0.45,VLOOKUP(Calculator!E23,tbSkills!DH3:DI6,2,FALSE)+IF(AND(Calculator!B8=TRUE,Backdoors!BI41=TRUE),VLOOKUP(Calculator!E23,tbSkills!DH3:DJ6,3,FALSE),0),0)))/100)),(1-(0.25*((-Backdoors!AI12-IF(JH46&gt;=0.45,VLOOKUP(Calculator!E23,tbSkills!DH3:DI6,2,FALSE)+IF(AND(Calculator!B8=TRUE,Backdoors!BI41=TRUE),VLOOKUP(Calculator!E23,tbSkills!DH3:DJ6,3,FALSE),0),0))/100)))),1),"")</f>
        <v>1</v>
      </c>
      <c r="JK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H46)*JJ46)*(VLOOKUP(A46,tbMoveset!A2:C112,3,FALSE)/100)*IF(VLOOKUP(A46,tbMoveset!A2:B112,2,FALSE)="Projectile",Backdoors!N10,Backdoors!N9),0),"")</f>
        <v/>
      </c>
      <c r="JL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43&gt;0,VLOOKUP(Calculator!E43,tbSkills!AC3:AD5,2,FALSE),Backdoors!AL3)*(IF((Backdoors!AI12+IF(JH46&gt;=0.45,VLOOKUP(Calculator!E23,tbSkills!DH3:DI6,2,FALSE)+IF(AND(Calculator!B8=TRUE,Backdoors!BI41=TRUE),VLOOKUP(Calculator!E23,tbSkills!DH3:DJ6,3,FALSE),0),0))&gt;=100,100,(Backdoors!AI12+IF(JH46&gt;=0.45,VLOOKUP(Calculator!E23,tbSkills!DH3:DI6,2,FALSE)+IF(AND(Calculator!B8=TRUE,Backdoors!BI41=TRUE),VLOOKUP(Calculator!E23,tbSkills!DH3:DJ6,3,FALSE),0),0)))/100)),1))*IF(VLOOKUP(A46,tbMoveset!A2:K112,11,FALSE)=TRUE,Backdoors!AC5,1))*JI46,0),"")</f>
        <v/>
      </c>
      <c r="JM46" s="49">
        <f>VLOOKUP(A46,tbMoveset!A2:G112,7,FALSE)*IFERROR(IF(Backdoors!AI12&gt;=0,1+(IF(Calculator!E40&gt;0,VLOOKUP(Calculator!E40,tbSkills!AI3:AJ5,2,FALSE),Backdoors!AL4)*(IF((Backdoors!AI12+IF(JH46&gt;=0.45,VLOOKUP(Calculator!E23,tbSkills!DH3:DI6,2,FALSE)+IF(AND(Calculator!B8=TRUE,Backdoors!BI41=TRUE),VLOOKUP(Calculator!E23,tbSkills!DH3:DJ6,3,FALSE),0),0))&gt;=100,100,(Backdoors!AI12+IF(JH46&gt;=0.45,VLOOKUP(Calculator!E23,tbSkills!DH3:DI6,2,FALSE)+IF(AND(Calculator!B8=TRUE,Backdoors!BI41=TRUE),VLOOKUP(Calculator!E23,tbSkills!DH3:DJ6,3,FALSE),0),0)))/100)),1),1)</f>
        <v>0.6</v>
      </c>
      <c r="JN46" s="87">
        <f t="shared" si="30"/>
        <v>0</v>
      </c>
      <c r="JO46" s="86" t="str">
        <f>IFERROR(IF(VLOOKUP(A46,tbMoveset!A2:B112,2,FALSE)="Sever",Backdoors!AY42/100,IF(VLOOKUP(A46,tbMoveset!A2:B112,2,FALSE)="Blunt",Backdoors!AZ42/100,Backdoors!BA42/100)),"")</f>
        <v/>
      </c>
      <c r="JP46" s="49">
        <f>IFERROR(IF(VLOOKUP(tbMoveset!A46,tbMoveset!A2:H112,8,FALSE)="Other",IF(VLOOKUP(tbMoveset!A46,tbMoveset!A2:I112,9,FALSE)="Fire",Backdoors!BB42,IF(VLOOKUP(tbMoveset!A46,tbMoveset!A2:I112,9,FALSE)="Water",Backdoors!BC42,IF(VLOOKUP(tbMoveset!A46,tbMoveset!A2:I112,9,FALSE)="Thunder",Backdoors!BD42,IF(VLOOKUP(tbMoveset!A46,tbMoveset!A2:I112,9,FALSE)="Ice",Backdoors!BE42,IF(VLOOKUP(tbMoveset!A46,tbMoveset!A2:I112,9,FALSE)="Dragon",Backdoors!BF42,Backdoors!BG42)))))/100,Backdoors!BG42/100),"")</f>
        <v>0</v>
      </c>
      <c r="JQ46" s="49">
        <f>IFERROR(IF(VLOOKUP(A46,tbMoveset!A2:J112,10,FALSE)=TRUE,IF((Backdoors!AI12+IF(JO46&gt;=0.45,VLOOKUP(Calculator!E23,tbSkills!DH3:DI6,2,FALSE)+IF(AND(Calculator!B8=TRUE,Backdoors!BI42=TRUE),VLOOKUP(Calculator!E23,tbSkills!DH3:DJ6,3,FALSE),0),0))&gt;=0,1+(Backdoors!AL2*(IF((Backdoors!AI12+IF(JO46&gt;=0.45,VLOOKUP(Calculator!E23,tbSkills!DH3:DI6,2,FALSE)+IF(AND(Calculator!B8=TRUE,Backdoors!BI42=TRUE),VLOOKUP(Calculator!E23,tbSkills!DH3:DJ6,3,FALSE),0),0))&gt;=100,100,(Backdoors!AI12+IF(JO46&gt;=0.45,VLOOKUP(Calculator!E23,tbSkills!DH3:DI6,2,FALSE)+IF(AND(Calculator!B8=TRUE,Backdoors!BI42=TRUE),VLOOKUP(Calculator!E23,tbSkills!DH3:DJ6,3,FALSE),0),0)))/100)),(1-(0.25*((-Backdoors!AI12-IF(JO46&gt;=0.45,VLOOKUP(Calculator!E23,tbSkills!DH3:DI6,2,FALSE)+IF(AND(Calculator!B8=TRUE,Backdoors!BI42=TRUE),VLOOKUP(Calculator!E23,tbSkills!DH3:DJ6,3,FALSE),0),0))/100)))),1),"")</f>
        <v>1</v>
      </c>
      <c r="JR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O46)*JQ46)*(VLOOKUP(A46,tbMoveset!A2:C112,3,FALSE)/100)*IF(VLOOKUP(A46,tbMoveset!A2:B112,2,FALSE)="Projectile",Backdoors!N10,Backdoors!N9),0),"")</f>
        <v/>
      </c>
      <c r="JS46" s="49">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45&gt;0,VLOOKUP(Calculator!E45,tbSkills!AC3:AD5,2,FALSE),Backdoors!AL3)*(IF((Backdoors!AI12+IF(JO46&gt;=0.45,VLOOKUP(Calculator!E23,tbSkills!DH3:DI6,2,FALSE)+IF(AND(Calculator!B8=TRUE,Backdoors!BI42=TRUE),VLOOKUP(Calculator!E23,tbSkills!DH3:DJ6,3,FALSE),0),0))&gt;=100,100,(Backdoors!AI12+IF(JO46&gt;=0.45,VLOOKUP(Calculator!E23,tbSkills!DH3:DI6,2,FALSE)+IF(AND(Calculator!B8=TRUE,Backdoors!BI42=TRUE),VLOOKUP(Calculator!E23,tbSkills!DH3:DJ6,3,FALSE),0),0)))/100)),1))*IF(VLOOKUP(A46,tbMoveset!A2:K112,11,FALSE)=TRUE,Backdoors!AC5,1))*JP46,0),"")</f>
        <v>0</v>
      </c>
      <c r="JT46" s="49">
        <f>VLOOKUP(A46,tbMoveset!A2:G112,7,FALSE)*IFERROR(IF(Backdoors!AI12&gt;=0,1+(IF(Calculator!E40&gt;0,VLOOKUP(Calculator!E40,tbSkills!AI3:AJ5,2,FALSE),Backdoors!AL4)*(IF((Backdoors!AI12+IF(JO46&gt;=0.45,VLOOKUP(Calculator!E23,tbSkills!DH3:DI6,2,FALSE)+IF(AND(Calculator!B8=TRUE,Backdoors!BI42=TRUE),VLOOKUP(Calculator!E23,tbSkills!DH3:DJ6,3,FALSE),0),0))&gt;=100,100,(Backdoors!AI12+IF(JO46&gt;=0.45,VLOOKUP(Calculator!E23,tbSkills!DH3:DI6,2,FALSE)+IF(AND(Calculator!B8=TRUE,Backdoors!BI42=TRUE),VLOOKUP(Calculator!E23,tbSkills!DH3:DJ6,3,FALSE),0),0)))/100)),1),1)</f>
        <v>0.6</v>
      </c>
      <c r="JU46" s="87">
        <f t="shared" si="31"/>
        <v>0</v>
      </c>
      <c r="JV46" s="86" t="str">
        <f>IFERROR(IF(VLOOKUP(A46,tbMoveset!A2:B112,2,FALSE)="Sever",Backdoors!AY43/100,IF(VLOOKUP(A46,tbMoveset!A2:B112,2,FALSE)="Blunt",Backdoors!AZ43/100,Backdoors!BA43/100)),"")</f>
        <v/>
      </c>
      <c r="JW46" s="49">
        <f>IFERROR(IF(VLOOKUP(tbMoveset!A46,tbMoveset!A2:H112,8,FALSE)="Other",IF(VLOOKUP(tbMoveset!A46,tbMoveset!A2:I112,9,FALSE)="Fire",Backdoors!BB43,IF(VLOOKUP(tbMoveset!A46,tbMoveset!A2:I112,9,FALSE)="Water",Backdoors!BC43,IF(VLOOKUP(tbMoveset!A46,tbMoveset!A2:I112,9,FALSE)="Thunder",Backdoors!BD43,IF(VLOOKUP(tbMoveset!A46,tbMoveset!A2:I112,9,FALSE)="Ice",Backdoors!BE43,IF(VLOOKUP(tbMoveset!A46,tbMoveset!A2:I112,9,FALSE)="Dragon",Backdoors!BF43,Backdoors!BG43)))))/100,Backdoors!BG43/100),"")</f>
        <v>0</v>
      </c>
      <c r="JX46" s="49">
        <f>IFERROR(IF(VLOOKUP(A46,tbMoveset!A2:J112,10,FALSE)=TRUE,IF((Backdoors!AI12+IF(JV46&gt;=0.45,VLOOKUP(Calculator!E23,tbSkills!DH3:DI6,2,FALSE)+IF(AND(Calculator!B8=TRUE,Backdoors!BI43=TRUE),VLOOKUP(Calculator!E23,tbSkills!DH3:DJ6,3,FALSE),0),0))&gt;=0,1+(Backdoors!AL2*(IF((Backdoors!AI12+IF(JV46&gt;=0.45,VLOOKUP(Calculator!E23,tbSkills!DH3:DI6,2,FALSE)+IF(AND(Calculator!B8=TRUE,Backdoors!BI43=TRUE),VLOOKUP(Calculator!E23,tbSkills!DH3:DJ6,3,FALSE),0),0))&gt;=100,100,(Backdoors!AI12+IF(JV46&gt;=0.45,VLOOKUP(Calculator!E23,tbSkills!DH3:DI6,2,FALSE)+IF(AND(Calculator!B8=TRUE,Backdoors!BI43=TRUE),VLOOKUP(Calculator!E23,tbSkills!DH3:DJ6,3,FALSE),0),0)))/100)),(1-(0.25*((-Backdoors!AI12-IF(JV46&gt;=0.45,VLOOKUP(Calculator!E23,tbSkills!DH3:DI6,2,FALSE)+IF(AND(Calculator!B8=TRUE,Backdoors!BI43=TRUE),VLOOKUP(Calculator!E23,tbSkills!DH3:DJ6,3,FALSE),0),0))/100)))),1),"")</f>
        <v>1</v>
      </c>
      <c r="JY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V46)*JX46)*(VLOOKUP(A46,tbMoveset!A2:C112,3,FALSE)/100)*IF(VLOOKUP(A46,tbMoveset!A2:B112,2,FALSE)="Projectile",Backdoors!N10,Backdoors!N9),0),"")</f>
        <v/>
      </c>
      <c r="JZ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46&gt;0,VLOOKUP(Calculator!E46,tbSkills!AC3:AD5,2,FALSE),Backdoors!AL3)*(IF((Backdoors!AI12+IF(JV46&gt;=0.45,VLOOKUP(Calculator!E23,tbSkills!DH3:DI6,2,FALSE)+IF(AND(Calculator!B8=TRUE,Backdoors!BI43=TRUE),VLOOKUP(Calculator!E23,tbSkills!DH3:DJ6,3,FALSE),0),0))&gt;=100,100,(Backdoors!AI12+IF(JV46&gt;=0.45,VLOOKUP(Calculator!E23,tbSkills!DH3:DI6,2,FALSE)+IF(AND(Calculator!B8=TRUE,Backdoors!BI43=TRUE),VLOOKUP(Calculator!E23,tbSkills!DH3:DJ6,3,FALSE),0),0)))/100)),1))*IF(VLOOKUP(A46,tbMoveset!A2:K112,11,FALSE)=TRUE,Backdoors!AC5,1))*JW46,0),"")</f>
        <v/>
      </c>
      <c r="KA46" s="49">
        <f>VLOOKUP(A46,tbMoveset!A2:G112,7,FALSE)*IFERROR(IF(Backdoors!AI12&gt;=0,1+(IF(Calculator!E40&gt;0,VLOOKUP(Calculator!E40,tbSkills!AI3:AJ5,2,FALSE),Backdoors!AL4)*(IF((Backdoors!AI12+IF(JV46&gt;=0.45,VLOOKUP(Calculator!E23,tbSkills!DH3:DI6,2,FALSE)+IF(AND(Calculator!B8=TRUE,Backdoors!BI43=TRUE),VLOOKUP(Calculator!E23,tbSkills!DH3:DJ6,3,FALSE),0),0))&gt;=100,100,(Backdoors!AI12+IF(JV46&gt;=0.45,VLOOKUP(Calculator!E23,tbSkills!DH3:DI6,2,FALSE)+IF(AND(Calculator!B8=TRUE,Backdoors!BI43=TRUE),VLOOKUP(Calculator!E23,tbSkills!DH3:DJ6,3,FALSE),0),0)))/100)),1),1)</f>
        <v>0.6</v>
      </c>
      <c r="KB46" s="87">
        <f t="shared" si="32"/>
        <v>0</v>
      </c>
      <c r="KC46" s="86" t="str">
        <f>IFERROR(IF(VLOOKUP(A46,tbMoveset!A2:B112,2,FALSE)="Sever",Backdoors!AY44/100,IF(VLOOKUP(A46,tbMoveset!A2:B112,2,FALSE)="Blunt",Backdoors!AZ44/100,Backdoors!BA44/100)),"")</f>
        <v/>
      </c>
      <c r="KD46" s="49">
        <f>IFERROR(IF(VLOOKUP(tbMoveset!A46,tbMoveset!A2:H112,8,FALSE)="Other",IF(VLOOKUP(tbMoveset!A46,tbMoveset!A2:I112,9,FALSE)="Fire",Backdoors!BB44,IF(VLOOKUP(tbMoveset!A46,tbMoveset!A2:I112,9,FALSE)="Water",Backdoors!BC44,IF(VLOOKUP(tbMoveset!A46,tbMoveset!A2:I112,9,FALSE)="Thunder",Backdoors!BD44,IF(VLOOKUP(tbMoveset!A46,tbMoveset!A2:I112,9,FALSE)="Ice",Backdoors!BE44,IF(VLOOKUP(tbMoveset!A46,tbMoveset!A2:I112,9,FALSE)="Dragon",Backdoors!BF44,Backdoors!BG44)))))/100,Backdoors!BG44/100),"")</f>
        <v>0</v>
      </c>
      <c r="KE46" s="49">
        <f>IFERROR(IF(VLOOKUP(A46,tbMoveset!A2:J112,10,FALSE)=TRUE,IF((Backdoors!AI12+IF(KC46&gt;=0.45,VLOOKUP(Calculator!E23,tbSkills!DH3:DI6,2,FALSE)+IF(AND(Calculator!B8=TRUE,Backdoors!BI44=TRUE),VLOOKUP(Calculator!E23,tbSkills!DH3:DJ6,3,FALSE),0),0))&gt;=0,1+(Backdoors!AL2*(IF((Backdoors!AI12+IF(KC46&gt;=0.45,VLOOKUP(Calculator!E23,tbSkills!DH3:DI6,2,FALSE)+IF(AND(Calculator!B8=TRUE,Backdoors!BI44=TRUE),VLOOKUP(Calculator!E23,tbSkills!DH3:DJ6,3,FALSE),0),0))&gt;=100,100,(Backdoors!AI12+IF(KC46&gt;=0.45,VLOOKUP(Calculator!E23,tbSkills!DH3:DI6,2,FALSE)+IF(AND(Calculator!B8=TRUE,Backdoors!BI44=TRUE),VLOOKUP(Calculator!E23,tbSkills!DH3:DJ6,3,FALSE),0),0)))/100)),(1-(0.25*((-Backdoors!AI12-IF(KC46&gt;=0.45,VLOOKUP(Calculator!E23,tbSkills!DH3:DI6,2,FALSE)+IF(AND(Calculator!B8=TRUE,Backdoors!BI44=TRUE),VLOOKUP(Calculator!E23,tbSkills!DH3:DJ6,3,FALSE),0),0))/100)))),1),"")</f>
        <v>1</v>
      </c>
      <c r="KF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KC46)*KE46)*(VLOOKUP(A46,tbMoveset!A2:C112,3,FALSE)/100)*IF(VLOOKUP(A46,tbMoveset!A2:B112,2,FALSE)="Projectile",Backdoors!N10,Backdoors!N9),0),"")</f>
        <v/>
      </c>
      <c r="KG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REF!&gt;0,VLOOKUP(Calculator!#REF!,tbSkills!AC3:AD5,2,FALSE),Backdoors!AL3)*(IF((Backdoors!AI12+IF(KC46&gt;=0.45,VLOOKUP(Calculator!E23,tbSkills!DH3:DI6,2,FALSE)+IF(AND(Calculator!B8=TRUE,Backdoors!BI44=TRUE),VLOOKUP(Calculator!E23,tbSkills!DH3:DJ6,3,FALSE),0),0))&gt;=100,100,(Backdoors!AI12+IF(KC46&gt;=0.45,VLOOKUP(Calculator!E23,tbSkills!DH3:DI6,2,FALSE)+IF(AND(Calculator!B8=TRUE,Backdoors!BI44=TRUE),VLOOKUP(Calculator!E23,tbSkills!DH3:DJ6,3,FALSE),0),0)))/100)),1))*IF(VLOOKUP(A46,tbMoveset!A2:K112,11,FALSE)=TRUE,Backdoors!AC5,1))*KD46,0),"")</f>
        <v/>
      </c>
      <c r="KH46" s="49">
        <f>VLOOKUP(A46,tbMoveset!A2:G112,7,FALSE)*IFERROR(IF(Backdoors!AI12&gt;=0,1+(IF(Calculator!E40&gt;0,VLOOKUP(Calculator!E40,tbSkills!AI3:AJ5,2,FALSE),Backdoors!AL4)*(IF((Backdoors!AI12+IF(KC46&gt;=0.45,VLOOKUP(Calculator!E23,tbSkills!DH3:DI6,2,FALSE)+IF(AND(Calculator!B8=TRUE,Backdoors!BI44=TRUE),VLOOKUP(Calculator!E23,tbSkills!DH3:DJ6,3,FALSE),0),0))&gt;=100,100,(Backdoors!AI12+IF(KC46&gt;=0.45,VLOOKUP(Calculator!E23,tbSkills!DH3:DI6,2,FALSE)+IF(AND(Calculator!B8=TRUE,Backdoors!BI44=TRUE),VLOOKUP(Calculator!E23,tbSkills!DH3:DJ6,3,FALSE),0),0)))/100)),1),1)</f>
        <v>0.6</v>
      </c>
      <c r="KI46" s="87">
        <f t="shared" si="33"/>
        <v>0</v>
      </c>
      <c r="KJ46" s="86" t="str">
        <f>IFERROR(IF(VLOOKUP(A46,tbMoveset!A2:B112,2,FALSE)="Sever",Backdoors!AY45/100,IF(VLOOKUP(A46,tbMoveset!A2:B112,2,FALSE)="Blunt",Backdoors!AZ45/100,Backdoors!BA45/100)),"")</f>
        <v/>
      </c>
      <c r="KK46" s="49">
        <f>IFERROR(IF(VLOOKUP(tbMoveset!A46,tbMoveset!A2:H112,8,FALSE)="Other",IF(VLOOKUP(tbMoveset!A46,tbMoveset!A2:I112,9,FALSE)="Fire",Backdoors!BB45,IF(VLOOKUP(tbMoveset!A46,tbMoveset!A2:I112,9,FALSE)="Water",Backdoors!BC45,IF(VLOOKUP(tbMoveset!A46,tbMoveset!A2:I112,9,FALSE)="Thunder",Backdoors!BD45,IF(VLOOKUP(tbMoveset!A46,tbMoveset!A2:I112,9,FALSE)="Ice",Backdoors!BE45,IF(VLOOKUP(tbMoveset!A46,tbMoveset!A2:I112,9,FALSE)="Dragon",Backdoors!BF45,Backdoors!BG45)))))/100,Backdoors!BG45/100),"")</f>
        <v>0</v>
      </c>
      <c r="KL46" s="49">
        <f>IFERROR(IF(VLOOKUP(A46,tbMoveset!A2:J112,10,FALSE)=TRUE,IF((Backdoors!AI12+IF(KJ46&gt;=0.45,VLOOKUP(Calculator!E23,tbSkills!DH3:DI6,2,FALSE)+IF(AND(Calculator!B8=TRUE,Backdoors!BI45=TRUE),VLOOKUP(Calculator!E23,tbSkills!DH3:DJ6,3,FALSE),0),0))&gt;=0,1+(Backdoors!AL2*(IF((Backdoors!AI12+IF(KJ46&gt;=0.45,VLOOKUP(Calculator!E23,tbSkills!DH3:DI6,2,FALSE)+IF(AND(Calculator!B8=TRUE,Backdoors!BI45=TRUE),VLOOKUP(Calculator!E23,tbSkills!DH3:DJ6,3,FALSE),0),0))&gt;=100,100,(Backdoors!AI12+IF(KJ46&gt;=0.45,VLOOKUP(Calculator!E23,tbSkills!DH3:DI6,2,FALSE)+IF(AND(Calculator!B8=TRUE,Backdoors!BI45=TRUE),VLOOKUP(Calculator!E23,tbSkills!DH3:DJ6,3,FALSE),0),0)))/100)),(1-(0.25*((-Backdoors!AI12-IF(KJ46&gt;=0.45,VLOOKUP(Calculator!E23,tbSkills!DH3:DI6,2,FALSE)+IF(AND(Calculator!B8=TRUE,Backdoors!BI45=TRUE),VLOOKUP(Calculator!E23,tbSkills!DH3:DJ6,3,FALSE),0),0))/100)))),1),"")</f>
        <v>1</v>
      </c>
      <c r="KM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KJ46)*KL46)*(VLOOKUP(A46,tbMoveset!A2:C112,3,FALSE)/100)*IF(VLOOKUP(A46,tbMoveset!A2:B112,2,FALSE)="Projectile",Backdoors!N10,Backdoors!N9),0),"")</f>
        <v/>
      </c>
      <c r="KN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REF!&gt;0,VLOOKUP(Calculator!#REF!,tbSkills!AC3:AD5,2,FALSE),Backdoors!AL3)*(IF((Backdoors!AI12+IF(KJ46&gt;=0.45,VLOOKUP(Calculator!E23,tbSkills!DH3:DI6,2,FALSE)+IF(AND(Calculator!B8=TRUE,Backdoors!BI45=TRUE),VLOOKUP(Calculator!E23,tbSkills!DH3:DJ6,3,FALSE),0),0))&gt;=100,100,(Backdoors!AI12+IF(KJ46&gt;=0.45,VLOOKUP(Calculator!E23,tbSkills!DH3:DI6,2,FALSE)+IF(AND(Calculator!B8=TRUE,Backdoors!BI45=TRUE),VLOOKUP(Calculator!E23,tbSkills!DH3:DJ6,3,FALSE),0),0)))/100)),1))*IF(VLOOKUP(A46,tbMoveset!A2:K112,11,FALSE)=TRUE,Backdoors!AC5,1))*KK46,0),"")</f>
        <v/>
      </c>
      <c r="KO46" s="49">
        <f>VLOOKUP(A46,tbMoveset!A2:G112,7,FALSE)*IFERROR(IF(Backdoors!AI12&gt;=0,1+(IF(Calculator!E40&gt;0,VLOOKUP(Calculator!E40,tbSkills!AI3:AJ5,2,FALSE),Backdoors!AL4)*(IF((Backdoors!AI12+IF(KJ46&gt;=0.45,VLOOKUP(Calculator!E23,tbSkills!DH3:DI6,2,FALSE)+IF(AND(Calculator!B8=TRUE,Backdoors!BI45=TRUE),VLOOKUP(Calculator!E23,tbSkills!DH3:DJ6,3,FALSE),0),0))&gt;=100,100,(Backdoors!AI12+IF(KJ46&gt;=0.45,VLOOKUP(Calculator!E23,tbSkills!DH3:DI6,2,FALSE)+IF(AND(Calculator!B8=TRUE,Backdoors!BI45=TRUE),VLOOKUP(Calculator!E23,tbSkills!DH3:DJ6,3,FALSE),0),0)))/100)),1),1)</f>
        <v>0.6</v>
      </c>
      <c r="KP46" s="87">
        <f t="shared" si="34"/>
        <v>0</v>
      </c>
      <c r="KQ46" s="86" t="str">
        <f>IFERROR(IF(VLOOKUP(A46,tbMoveset!A2:B112,2,FALSE)="Sever",Backdoors!AY46/100,IF(VLOOKUP(A46,tbMoveset!A2:B112,2,FALSE)="Blunt",Backdoors!AZ46/100,Backdoors!BA46/100)),"")</f>
        <v/>
      </c>
      <c r="KR46" s="49">
        <f>IFERROR(IF(VLOOKUP(tbMoveset!A46,tbMoveset!A2:H112,8,FALSE)="Other",IF(VLOOKUP(tbMoveset!A46,tbMoveset!A2:I112,9,FALSE)="Fire",Backdoors!BB46,IF(VLOOKUP(tbMoveset!A46,tbMoveset!A2:I112,9,FALSE)="Water",Backdoors!BC46,IF(VLOOKUP(tbMoveset!A46,tbMoveset!A2:I112,9,FALSE)="Thunder",Backdoors!BD46,IF(VLOOKUP(tbMoveset!A46,tbMoveset!A2:I112,9,FALSE)="Ice",Backdoors!BE46,IF(VLOOKUP(tbMoveset!A46,tbMoveset!A2:I112,9,FALSE)="Dragon",Backdoors!BF46,Backdoors!BG46)))))/100,Backdoors!BG46/100),"")</f>
        <v>0</v>
      </c>
      <c r="KS46" s="49">
        <f>IFERROR(IF(VLOOKUP(A46,tbMoveset!A2:J112,10,FALSE)=TRUE,IF((Backdoors!AI12+IF(KQ46&gt;=0.45,VLOOKUP(Calculator!E23,tbSkills!DH3:DI6,2,FALSE)+IF(AND(Calculator!B8=TRUE,Backdoors!BI46=TRUE),VLOOKUP(Calculator!E23,tbSkills!DH3:DJ6,3,FALSE),0),0))&gt;=0,1+(Backdoors!AL2*(IF((Backdoors!AI12+IF(KQ46&gt;=0.45,VLOOKUP(Calculator!E23,tbSkills!DH3:DI6,2,FALSE)+IF(AND(Calculator!B8=TRUE,Backdoors!BI46=TRUE),VLOOKUP(Calculator!E23,tbSkills!DH3:DJ6,3,FALSE),0),0))&gt;=100,100,(Backdoors!AI12+IF(KQ46&gt;=0.45,VLOOKUP(Calculator!E23,tbSkills!DH3:DI6,2,FALSE)+IF(AND(Calculator!B8=TRUE,Backdoors!BI46=TRUE),VLOOKUP(Calculator!E23,tbSkills!DH3:DJ6,3,FALSE),0),0)))/100)),(1-(0.25*((-Backdoors!AI12-IF(KQ46&gt;=0.45,VLOOKUP(Calculator!E23,tbSkills!DH3:DI6,2,FALSE)+IF(AND(Calculator!B8=TRUE,Backdoors!BI46=TRUE),VLOOKUP(Calculator!E23,tbSkills!DH3:DJ6,3,FALSE),0),0))/100)))),1),"")</f>
        <v>1</v>
      </c>
      <c r="KT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KQ46)*KS46)*(VLOOKUP(A46,tbMoveset!A2:C112,3,FALSE)/100)*IF(VLOOKUP(A46,tbMoveset!A2:B112,2,FALSE)="Projectile",Backdoors!N10,Backdoors!N9),0),"")</f>
        <v/>
      </c>
      <c r="KU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REF!&gt;0,VLOOKUP(Calculator!#REF!,tbSkills!AC3:AD5,2,FALSE),Backdoors!AL3)*(IF((Backdoors!AI12+IF(KQ46&gt;=0.45,VLOOKUP(Calculator!E23,tbSkills!DH3:DI6,2,FALSE)+IF(AND(Calculator!B8=TRUE,Backdoors!BI46=TRUE),VLOOKUP(Calculator!E23,tbSkills!DH3:DJ6,3,FALSE),0),0))&gt;=100,100,(Backdoors!AI12+IF(KQ46&gt;=0.45,VLOOKUP(Calculator!E23,tbSkills!DH3:DI6,2,FALSE)+IF(AND(Calculator!B8=TRUE,Backdoors!BI46=TRUE),VLOOKUP(Calculator!E23,tbSkills!DH3:DJ6,3,FALSE),0),0)))/100)),1))*IF(VLOOKUP(A46,tbMoveset!A2:K112,11,FALSE)=TRUE,Backdoors!AC5,1))*KR46,0),"")</f>
        <v/>
      </c>
      <c r="KV46" s="49">
        <f>VLOOKUP(A46,tbMoveset!A2:G112,7,FALSE)*IFERROR(IF(Backdoors!AI12&gt;=0,1+(IF(Calculator!E40&gt;0,VLOOKUP(Calculator!E40,tbSkills!AI3:AJ5,2,FALSE),Backdoors!AL4)*(IF((Backdoors!AI12+IF(KQ46&gt;=0.45,VLOOKUP(Calculator!E23,tbSkills!DH3:DI6,2,FALSE)+IF(AND(Calculator!B8=TRUE,Backdoors!BI46=TRUE),VLOOKUP(Calculator!E23,tbSkills!DH3:DJ6,3,FALSE),0),0))&gt;=100,100,(Backdoors!AI12+IF(KQ46&gt;=0.45,VLOOKUP(Calculator!E23,tbSkills!DH3:DI6,2,FALSE)+IF(AND(Calculator!B8=TRUE,Backdoors!BI46=TRUE),VLOOKUP(Calculator!E23,tbSkills!DH3:DJ6,3,FALSE),0),0)))/100)),1),1)</f>
        <v>0.6</v>
      </c>
      <c r="KW46" s="87">
        <f t="shared" si="35"/>
        <v>0</v>
      </c>
    </row>
    <row r="47" spans="1:309" x14ac:dyDescent="0.25">
      <c r="A47" s="95" t="str">
        <f>tbMoveset!A47</f>
        <v>Rising Slash (After Fade Slash)</v>
      </c>
      <c r="B47" s="86">
        <f>IFERROR(IF(VLOOKUP(A47,tbMoveset!A2:B112,2,FALSE)="Sever",Backdoors!AY3/100,IF(VLOOKUP(A47,tbMoveset!A2:B112,2,FALSE)="Blunt",Backdoors!AZ3/100,Backdoors!BA3/100)),"")</f>
        <v>0.8</v>
      </c>
      <c r="C47" s="49">
        <f>IFERROR(IF(VLOOKUP(tbMoveset!A47,tbMoveset!A2:H112,8,FALSE)="Other",IF(VLOOKUP(tbMoveset!A47,tbMoveset!A2:I112,9,FALSE)="Fire",Backdoors!BB3,IF(VLOOKUP(tbMoveset!A47,tbMoveset!A2:I112,9,FALSE)="Water",Backdoors!BC3,IF(VLOOKUP(tbMoveset!A47,tbMoveset!A2:I112,9,FALSE)="Thunder",Backdoors!BD3,IF(VLOOKUP(tbMoveset!A47,tbMoveset!A2:I112,9,FALSE)="Ice",Backdoors!BE3,IF(VLOOKUP(tbMoveset!A47,tbMoveset!A2:I112,9,FALSE)="Dragon",Backdoors!BF3,Backdoors!BG3)))))/100,Backdoors!BG3/100),"")</f>
        <v>0</v>
      </c>
      <c r="D47" s="49">
        <f>IFERROR(IF(VLOOKUP(A47,tbMoveset!A2:J112,10,FALSE)=TRUE,IF((Backdoors!AI12+IF(B47&gt;=0.45,VLOOKUP(Calculator!E23,tbSkills!DH3:DI6,2,FALSE)+IF(AND(Calculator!B8=TRUE,Backdoors!BI3=TRUE),VLOOKUP(Calculator!E23,tbSkills!DH3:DJ6,3,FALSE),0),0))&gt;=0,1+(Backdoors!AL2*(IF((Backdoors!AI12+IF(B47&gt;=0.45,VLOOKUP(Calculator!E23,tbSkills!DH3:DI6,2,FALSE)+IF(AND(Calculator!B8=TRUE,Backdoors!BI3=TRUE),VLOOKUP(Calculator!E23,tbSkills!DH3:DJ6,3,FALSE),0),0))&gt;=100,100,(Backdoors!AI12+IF(B47&gt;=0.45,VLOOKUP(Calculator!E23,tbSkills!DH3:DI6,2,FALSE)+IF(AND(Calculator!B8=TRUE,Backdoors!BI3=TRUE),VLOOKUP(Calculator!E23,tbSkills!DH3:DJ6,3,FALSE),0),0)))/100)),(1-(0.25*((-Backdoors!AI12-IF(B47&gt;=0.45,VLOOKUP(Calculator!E23,tbSkills!DH3:DI6,2,FALSE)+IF(AND(Calculator!B8=TRUE,Backdoors!BI3=TRUE),VLOOKUP(Calculator!E23,tbSkills!DH3:DJ6,3,FALSE),0),0))/100)))),1),"")</f>
        <v>1</v>
      </c>
      <c r="E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47)*D47)*(VLOOKUP(A47,tbMoveset!A2:C112,3,FALSE)/100)*IF(VLOOKUP(A47,tbMoveset!A2:B112,2,FALSE)="Projectile",Backdoors!N10,Backdoors!N9),0),"")</f>
        <v>6</v>
      </c>
      <c r="F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47&gt;=0.45,VLOOKUP(Calculator!E23,tbSkills!DH3:DI6,2,FALSE)+IF(AND(Calculator!B8=TRUE,Backdoors!BI3=TRUE),VLOOKUP(Calculator!E23,tbSkills!DH3:DJ6,3,FALSE),0),0))&gt;=100,100,(Backdoors!AI12+IF(B47&gt;=0.45,VLOOKUP(Calculator!E23,tbSkills!DH3:DI6,2,FALSE)+IF(AND(Calculator!B8=TRUE,Backdoors!BI3=TRUE),VLOOKUP(Calculator!E23,tbSkills!DH3:DJ6,3,FALSE),0),0)))/100)),1))*IF(VLOOKUP(A47,tbMoveset!A2:K112,11,FALSE)=TRUE,Backdoors!AC5,1))*C47,0),"")</f>
        <v>0</v>
      </c>
      <c r="G47">
        <f>VLOOKUP(A47,tbMoveset!A2:G112,7,FALSE)*IFERROR(IF(Backdoors!AI12&gt;=0,1+(IF(Calculator!E40&gt;0,VLOOKUP(Calculator!E40,tbSkills!AI3:AJ5,2,FALSE),Backdoors!AL4)*(IF((Backdoors!AI12+IF(B47&gt;=0.45,VLOOKUP(Calculator!E23,tbSkills!DH3:DI6,2,FALSE)+IF(AND(Calculator!B8=TRUE,Backdoors!BI3=TRUE),VLOOKUP(Calculator!E23,tbSkills!DH3:DJ6,3,FALSE),0),0))&gt;=100,100,(Backdoors!AI12+IF(B47&gt;=0.45,VLOOKUP(Calculator!E23,tbSkills!DH3:DI6,2,FALSE)+IF(AND(Calculator!B8=TRUE,Backdoors!BI3=TRUE),VLOOKUP(Calculator!E23,tbSkills!DH3:DJ6,3,FALSE),0),0)))/100)),1),1)</f>
        <v>0.6</v>
      </c>
      <c r="H47" s="87">
        <f t="shared" si="44"/>
        <v>6</v>
      </c>
      <c r="I47" s="86">
        <f>IFERROR(IF(VLOOKUP(A47,tbMoveset!A2:B112,2,FALSE)="Sever",Backdoors!AY4/100,IF(VLOOKUP(A47,tbMoveset!A2:B112,2,FALSE)="Blunt",Backdoors!AZ4/100,Backdoors!BA4/100)),"")</f>
        <v>0.65</v>
      </c>
      <c r="J47" s="49">
        <f>IFERROR(IF(VLOOKUP(tbMoveset!A47,tbMoveset!A2:H112,8,FALSE)="Other",IF(VLOOKUP(tbMoveset!A47,tbMoveset!A2:I112,9,FALSE)="Fire",Backdoors!BB4,IF(VLOOKUP(tbMoveset!A47,tbMoveset!A2:I112,9,FALSE)="Water",Backdoors!BC4,IF(VLOOKUP(tbMoveset!A47,tbMoveset!A2:I112,9,FALSE)="Thunder",Backdoors!BD4,IF(VLOOKUP(tbMoveset!A47,tbMoveset!A2:I112,9,FALSE)="Ice",Backdoors!BE4,IF(VLOOKUP(tbMoveset!A47,tbMoveset!A2:I112,9,FALSE)="Dragon",Backdoors!BF4,Backdoors!BG4)))))/100,Backdoors!BG4/100),"")</f>
        <v>0</v>
      </c>
      <c r="K47" s="49">
        <f>IFERROR(IF(VLOOKUP(A47,tbMoveset!A2:J112,10,FALSE)=TRUE,IF((Backdoors!AI12+IF(I47&gt;=0.45,VLOOKUP(Calculator!E23,tbSkills!DH3:DI6,2,FALSE)+IF(AND(Calculator!B8=TRUE,Backdoors!BI4=TRUE),VLOOKUP(Calculator!E23,tbSkills!DH3:DJ6,3,FALSE),0),0))&gt;=0,1+(Backdoors!AL2*(IF((Backdoors!AI12+IF(I47&gt;=0.45,VLOOKUP(Calculator!E23,tbSkills!DH3:DI6,2,FALSE)+IF(AND(Calculator!B8=TRUE,Backdoors!BI4=TRUE),VLOOKUP(Calculator!E23,tbSkills!DH3:DJ6,3,FALSE),0),0))&gt;=100,100,(Backdoors!AI12+IF(I47&gt;=0.45,VLOOKUP(Calculator!E23,tbSkills!DH3:DI6,2,FALSE)+IF(AND(Calculator!B8=TRUE,Backdoors!BI4=TRUE),VLOOKUP(Calculator!E23,tbSkills!DH3:DJ6,3,FALSE),0),0)))/100)),(1-(0.25*((-Backdoors!AI12-IF(I47&gt;=0.45,VLOOKUP(Calculator!E23,tbSkills!DH3:DI6,2,FALSE)+IF(AND(Calculator!B8=TRUE,Backdoors!BI4=TRUE),VLOOKUP(Calculator!E23,tbSkills!DH3:DJ6,3,FALSE),0),0))/100)))),1),"")</f>
        <v>1</v>
      </c>
      <c r="L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47)*K47)*(VLOOKUP(A47,tbMoveset!A2:C112,3,FALSE)/100)*IF(VLOOKUP(A47,tbMoveset!A2:B112,2,FALSE)="Projectile",Backdoors!N10,Backdoors!N9),0),"")</f>
        <v>5</v>
      </c>
      <c r="M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I47&gt;=0.45,VLOOKUP(Calculator!E23,tbSkills!DH3:DI6,2,FALSE)+IF(AND(Calculator!B8=TRUE,Backdoors!BI4=TRUE),VLOOKUP(Calculator!E23,tbSkills!DH3:DJ6,3,FALSE),0),0))&gt;=100,100,(Backdoors!AI12+IF(I47&gt;=0.45,VLOOKUP(Calculator!E23,tbSkills!DH3:DI6,2,FALSE)+IF(AND(Calculator!B8=TRUE,Backdoors!BI4=TRUE),VLOOKUP(Calculator!E23,tbSkills!DH3:DJ6,3,FALSE),0),0)))/100)),1))*IF(VLOOKUP(A47,tbMoveset!A2:K112,11,FALSE)=TRUE,Backdoors!AC5,1))*J47,0),"")</f>
        <v>0</v>
      </c>
      <c r="N47" s="49">
        <f>VLOOKUP(A47,tbMoveset!A2:G112,7,FALSE)*IFERROR(IF(Backdoors!AI12&gt;=0,1+(IF(Calculator!E40&gt;0,VLOOKUP(Calculator!E40,tbSkills!AI3:AJ5,2,FALSE),Backdoors!AL4)*(IF((Backdoors!AI12+IF(I47&gt;=0.45,VLOOKUP(Calculator!E23,tbSkills!DH3:DI6,2,FALSE)+IF(AND(Calculator!B8=TRUE,Backdoors!BI4=TRUE),VLOOKUP(Calculator!E23,tbSkills!DH3:DJ6,3,FALSE),0),0))&gt;=100,100,(Backdoors!AI12+IF(I47&gt;=0.45,VLOOKUP(Calculator!E23,tbSkills!DH3:DI6,2,FALSE)+IF(AND(Calculator!B8=TRUE,Backdoors!BI4=TRUE),VLOOKUP(Calculator!E23,tbSkills!DH3:DJ6,3,FALSE),0),0)))/100)),1),1)</f>
        <v>0.6</v>
      </c>
      <c r="O47" s="87">
        <f t="shared" si="45"/>
        <v>5</v>
      </c>
      <c r="P47" s="86">
        <f>IFERROR(IF(VLOOKUP(A47,tbMoveset!A2:B112,2,FALSE)="Sever",Backdoors!AY5/100,IF(VLOOKUP(A47,tbMoveset!A2:B112,2,FALSE)="Blunt",Backdoors!AZ5/100,Backdoors!BA5/100)),"")</f>
        <v>0.5</v>
      </c>
      <c r="Q47" s="49">
        <f>IFERROR(IF(VLOOKUP(tbMoveset!A47,tbMoveset!A2:H112,8,FALSE)="Other",IF(VLOOKUP(tbMoveset!A47,tbMoveset!A2:I112,9,FALSE)="Fire",Backdoors!BB5,IF(VLOOKUP(tbMoveset!A47,tbMoveset!A2:I112,9,FALSE)="Water",Backdoors!BC5,IF(VLOOKUP(tbMoveset!A47,tbMoveset!A2:I112,9,FALSE)="Thunder",Backdoors!BD5,IF(VLOOKUP(tbMoveset!A47,tbMoveset!A2:I112,9,FALSE)="Ice",Backdoors!BE5,IF(VLOOKUP(tbMoveset!A47,tbMoveset!A2:I112,9,FALSE)="Dragon",Backdoors!BF5,Backdoors!BG5)))))/100,Backdoors!BG5/100),"")</f>
        <v>0</v>
      </c>
      <c r="R47" s="49">
        <f>IFERROR(IF(VLOOKUP(A47,tbMoveset!A2:J112,10,FALSE)=TRUE,IF((Backdoors!AI12+IF(P47&gt;=0.45,VLOOKUP(Calculator!E23,tbSkills!DH3:DI6,2,FALSE)+IF(AND(Calculator!B8=TRUE,Backdoors!BI5=TRUE),VLOOKUP(Calculator!E23,tbSkills!DH3:DJ6,3,FALSE),0),0))&gt;=0,1+(Backdoors!AL2*(IF((Backdoors!AI12+IF(P47&gt;=0.45,VLOOKUP(Calculator!E23,tbSkills!DH3:DI6,2,FALSE)+IF(AND(Calculator!B8=TRUE,Backdoors!BI5=TRUE),VLOOKUP(Calculator!E23,tbSkills!DH3:DJ6,3,FALSE),0),0))&gt;=100,100,(Backdoors!AI12+IF(P47&gt;=0.45,VLOOKUP(Calculator!E23,tbSkills!DH3:DI6,2,FALSE)+IF(AND(Calculator!B8=TRUE,Backdoors!BI5=TRUE),VLOOKUP(Calculator!E23,tbSkills!DH3:DJ6,3,FALSE),0),0)))/100)),(1-(0.25*((-Backdoors!AI12-IF(P47&gt;=0.45,VLOOKUP(Calculator!E23,tbSkills!DH3:DI6,2,FALSE)+IF(AND(Calculator!B8=TRUE,Backdoors!BI5=TRUE),VLOOKUP(Calculator!E23,tbSkills!DH3:DJ6,3,FALSE),0),0))/100)))),1),"")</f>
        <v>1</v>
      </c>
      <c r="S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P47)*R47)*(VLOOKUP(A47,tbMoveset!A2:C112,3,FALSE)/100)*IF(VLOOKUP(A47,tbMoveset!A2:B112,2,FALSE)="Projectile",Backdoors!N10,Backdoors!N9),0),"")</f>
        <v>4</v>
      </c>
      <c r="T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P47&gt;=0.45,VLOOKUP(Calculator!E23,tbSkills!DH3:DI6,2,FALSE)+IF(AND(Calculator!B8=TRUE,Backdoors!BI5=TRUE),VLOOKUP(Calculator!E23,tbSkills!DH3:DJ6,3,FALSE),0),0))&gt;=100,100,(Backdoors!AI12+IF(P47&gt;=0.45,VLOOKUP(Calculator!E23,tbSkills!DH3:DI6,2,FALSE)+IF(AND(Calculator!B8=TRUE,Backdoors!BI5=TRUE),VLOOKUP(Calculator!E23,tbSkills!DH3:DJ6,3,FALSE),0),0)))/100)),1))*IF(VLOOKUP(A47,tbMoveset!A2:K112,11,FALSE)=TRUE,Backdoors!AC5,1))*Q47,0),"")</f>
        <v>0</v>
      </c>
      <c r="U47" s="49">
        <f>VLOOKUP(A47,tbMoveset!A2:G112,7,FALSE)*IFERROR(IF(Backdoors!AI12&gt;=0,1+(IF(Calculator!E40&gt;0,VLOOKUP(Calculator!E40,tbSkills!AI3:AJ5,2,FALSE),Backdoors!AL4)*(IF((Backdoors!AI12+IF(P47&gt;=0.45,VLOOKUP(Calculator!E23,tbSkills!DH3:DI6,2,FALSE)+IF(AND(Calculator!B8=TRUE,Backdoors!BI5=TRUE),VLOOKUP(Calculator!E23,tbSkills!DH3:DJ6,3,FALSE),0),0))&gt;=100,100,(Backdoors!AI12+IF(P47&gt;=0.45,VLOOKUP(Calculator!E23,tbSkills!DH3:DI6,2,FALSE)+IF(AND(Calculator!B8=TRUE,Backdoors!BI5=TRUE),VLOOKUP(Calculator!E23,tbSkills!DH3:DJ6,3,FALSE),0),0)))/100)),1),1)</f>
        <v>0.6</v>
      </c>
      <c r="V47" s="87">
        <f t="shared" si="46"/>
        <v>4</v>
      </c>
      <c r="W47" s="86">
        <f>IFERROR(IF(VLOOKUP(A47,tbMoveset!A2:B112,2,FALSE)="Sever",Backdoors!AY6/100,IF(VLOOKUP(A47,tbMoveset!A2:B112,2,FALSE)="Blunt",Backdoors!AZ6/100,Backdoors!BA6/100)),"")</f>
        <v>0.45</v>
      </c>
      <c r="X47" s="49">
        <f>IFERROR(IF(VLOOKUP(tbMoveset!A47,tbMoveset!A2:H112,8,FALSE)="Other",IF(VLOOKUP(tbMoveset!A47,tbMoveset!A2:I112,9,FALSE)="Fire",Backdoors!BB6,IF(VLOOKUP(tbMoveset!A47,tbMoveset!A2:I112,9,FALSE)="Water",Backdoors!BC6,IF(VLOOKUP(tbMoveset!A47,tbMoveset!A2:I112,9,FALSE)="Thunder",Backdoors!BD6,IF(VLOOKUP(tbMoveset!A47,tbMoveset!A2:I112,9,FALSE)="Ice",Backdoors!BE6,IF(VLOOKUP(tbMoveset!A47,tbMoveset!A2:I112,9,FALSE)="Dragon",Backdoors!BF6,Backdoors!BG6)))))/100,Backdoors!BG6/100),"")</f>
        <v>0</v>
      </c>
      <c r="Y47" s="49">
        <f>IFERROR(IF(VLOOKUP(A47,tbMoveset!A2:J112,10,FALSE)=TRUE,IF((Backdoors!AI12+IF(W47&gt;=0.45,VLOOKUP(Calculator!E23,tbSkills!DH3:DI6,2,FALSE)+IF(AND(Calculator!B8=TRUE,Backdoors!BI6=TRUE),VLOOKUP(Calculator!E23,tbSkills!DH3:DJ6,3,FALSE),0),0))&gt;=0,1+(Backdoors!AL2*(IF((Backdoors!AI12+IF(W47&gt;=0.45,VLOOKUP(Calculator!E23,tbSkills!DH3:DI6,2,FALSE)+IF(AND(Calculator!B8=TRUE,Backdoors!BI6=TRUE),VLOOKUP(Calculator!E23,tbSkills!DH3:DJ6,3,FALSE),0),0))&gt;=100,100,(Backdoors!AI12+IF(W47&gt;=0.45,VLOOKUP(Calculator!E23,tbSkills!DH3:DI6,2,FALSE)+IF(AND(Calculator!B8=TRUE,Backdoors!BI6=TRUE),VLOOKUP(Calculator!E23,tbSkills!DH3:DJ6,3,FALSE),0),0)))/100)),(1-(0.25*((-Backdoors!AI12-IF(W47&gt;=0.45,VLOOKUP(Calculator!E23,tbSkills!DH3:DI6,2,FALSE)+IF(AND(Calculator!B8=TRUE,Backdoors!BI6=TRUE),VLOOKUP(Calculator!E23,tbSkills!DH3:DJ6,3,FALSE),0),0))/100)))),1),"")</f>
        <v>1</v>
      </c>
      <c r="Z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W47)*Y47)*(VLOOKUP(A47,tbMoveset!A2:C112,3,FALSE)/100)*IF(VLOOKUP(A47,tbMoveset!A2:B112,2,FALSE)="Projectile",Backdoors!N10,Backdoors!N9),0),"")</f>
        <v>3</v>
      </c>
      <c r="AA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W47&gt;=0.45,VLOOKUP(Calculator!E23,tbSkills!DH3:DI6,2,FALSE)+IF(AND(Calculator!B8=TRUE,Backdoors!BI6=TRUE),VLOOKUP(Calculator!E23,tbSkills!DH3:DJ6,3,FALSE),0),0))&gt;=100,100,(Backdoors!AI12+IF(W47&gt;=0.45,VLOOKUP(Calculator!E23,tbSkills!DH3:DI6,2,FALSE)+IF(AND(Calculator!B8=TRUE,Backdoors!BI6=TRUE),VLOOKUP(Calculator!E23,tbSkills!DH3:DJ6,3,FALSE),0),0)))/100)),1))*IF(VLOOKUP(A47,tbMoveset!A2:K112,11,FALSE)=TRUE,Backdoors!AC5,1))*X47,0),"")</f>
        <v>0</v>
      </c>
      <c r="AB47" s="49">
        <f>VLOOKUP(A47,tbMoveset!A2:G112,7,FALSE)*IFERROR(IF(Backdoors!AI12&gt;=0,1+(IF(Calculator!E40&gt;0,VLOOKUP(Calculator!E40,tbSkills!AI3:AJ5,2,FALSE),Backdoors!AL4)*(IF((Backdoors!AI12+IF(W47&gt;=0.45,VLOOKUP(Calculator!E23,tbSkills!DH3:DI6,2,FALSE)+IF(AND(Calculator!B8=TRUE,Backdoors!BI6=TRUE),VLOOKUP(Calculator!E23,tbSkills!DH3:DJ6,3,FALSE),0),0))&gt;=100,100,(Backdoors!AI12+IF(W47&gt;=0.45,VLOOKUP(Calculator!E23,tbSkills!DH3:DI6,2,FALSE)+IF(AND(Calculator!B8=TRUE,Backdoors!BI6=TRUE),VLOOKUP(Calculator!E23,tbSkills!DH3:DJ6,3,FALSE),0),0)))/100)),1),1)</f>
        <v>0.6</v>
      </c>
      <c r="AC47" s="87">
        <f t="shared" si="47"/>
        <v>3</v>
      </c>
      <c r="AD47" s="86">
        <f>IFERROR(IF(VLOOKUP(A47,tbMoveset!A2:B112,2,FALSE)="Sever",Backdoors!AY7/100,IF(VLOOKUP(A47,tbMoveset!A2:B112,2,FALSE)="Blunt",Backdoors!AZ7/100,Backdoors!BA7/100)),"")</f>
        <v>0.65</v>
      </c>
      <c r="AE47" s="49">
        <f>IFERROR(IF(VLOOKUP(tbMoveset!A47,tbMoveset!A2:H112,8,FALSE)="Other",IF(VLOOKUP(tbMoveset!A47,tbMoveset!A2:I112,9,FALSE)="Fire",Backdoors!BB7,IF(VLOOKUP(tbMoveset!A47,tbMoveset!A2:I112,9,FALSE)="Water",Backdoors!BC7,IF(VLOOKUP(tbMoveset!A47,tbMoveset!A2:I112,9,FALSE)="Thunder",Backdoors!BD7,IF(VLOOKUP(tbMoveset!A47,tbMoveset!A2:I112,9,FALSE)="Ice",Backdoors!BE7,IF(VLOOKUP(tbMoveset!A47,tbMoveset!A2:I112,9,FALSE)="Dragon",Backdoors!BF7,Backdoors!BG7)))))/100,Backdoors!BG7/100),"")</f>
        <v>0</v>
      </c>
      <c r="AF47" s="49">
        <f>IFERROR(IF(VLOOKUP(A47,tbMoveset!A2:J112,10,FALSE)=TRUE,IF((Backdoors!AI12+IF(AD47&gt;=0.45,VLOOKUP(Calculator!E23,tbSkills!DH3:DI6,2,FALSE)+IF(AND(Calculator!B8=TRUE,Backdoors!BI7=TRUE),VLOOKUP(Calculator!E23,tbSkills!DH3:DJ6,3,FALSE),0),0))&gt;=0,1+(Backdoors!AL2*(IF((Backdoors!AI12+IF(AD47&gt;=0.45,VLOOKUP(Calculator!E23,tbSkills!DH3:DI6,2,FALSE)+IF(AND(Calculator!B8=TRUE,Backdoors!BI7=TRUE),VLOOKUP(Calculator!E23,tbSkills!DH3:DJ6,3,FALSE),0),0))&gt;=100,100,(Backdoors!AI12+IF(AD47&gt;=0.45,VLOOKUP(Calculator!E23,tbSkills!DH3:DI6,2,FALSE)+IF(AND(Calculator!B8=TRUE,Backdoors!BI7=TRUE),VLOOKUP(Calculator!E23,tbSkills!DH3:DJ6,3,FALSE),0),0)))/100)),(1-(0.25*((-Backdoors!AI12-IF(AD47&gt;=0.45,VLOOKUP(Calculator!E23,tbSkills!DH3:DI6,2,FALSE)+IF(AND(Calculator!B8=TRUE,Backdoors!BI7=TRUE),VLOOKUP(Calculator!E23,tbSkills!DH3:DJ6,3,FALSE),0),0))/100)))),1),"")</f>
        <v>1</v>
      </c>
      <c r="AG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D47)*AF47)*(VLOOKUP(A47,tbMoveset!A2:C112,3,FALSE)/100)*IF(VLOOKUP(A47,tbMoveset!A2:B112,2,FALSE)="Projectile",Backdoors!N10,Backdoors!N9),0),"")</f>
        <v>5</v>
      </c>
      <c r="AH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D47&gt;=0.45,VLOOKUP(Calculator!E23,tbSkills!DH3:DI6,2,FALSE)+IF(AND(Calculator!B8=TRUE,Backdoors!BI7=TRUE),VLOOKUP(Calculator!E23,tbSkills!DH3:DJ6,3,FALSE),0),0))&gt;=100,100,(Backdoors!AI12+IF(AD47&gt;=0.45,VLOOKUP(Calculator!E23,tbSkills!DH3:DI6,2,FALSE)+IF(AND(Calculator!B8=TRUE,Backdoors!BI7=TRUE),VLOOKUP(Calculator!E23,tbSkills!DH3:DJ6,3,FALSE),0),0)))/100)),1))*IF(VLOOKUP(A47,tbMoveset!A2:K112,11,FALSE)=TRUE,Backdoors!AC5,1))*AE47,0),"")</f>
        <v>0</v>
      </c>
      <c r="AI47" s="49">
        <f>VLOOKUP(A47,tbMoveset!A2:G112,7,FALSE)*IFERROR(IF(Backdoors!AI12&gt;=0,1+(IF(Calculator!E40&gt;0,VLOOKUP(Calculator!E40,tbSkills!AI3:AJ5,2,FALSE),Backdoors!AL4)*(IF((Backdoors!AI12+IF(AD47&gt;=0.45,VLOOKUP(Calculator!E23,tbSkills!DH3:DI6,2,FALSE)+IF(AND(Calculator!B8=TRUE,Backdoors!BI7=TRUE),VLOOKUP(Calculator!E23,tbSkills!DH3:DJ6,3,FALSE),0),0))&gt;=100,100,(Backdoors!AI12+IF(AD47&gt;=0.45,VLOOKUP(Calculator!E23,tbSkills!DH3:DI6,2,FALSE)+IF(AND(Calculator!B8=TRUE,Backdoors!BI7=TRUE),VLOOKUP(Calculator!E23,tbSkills!DH3:DJ6,3,FALSE),0),0)))/100)),1),1)</f>
        <v>0.6</v>
      </c>
      <c r="AJ47" s="87">
        <f t="shared" si="48"/>
        <v>5</v>
      </c>
      <c r="AK47" s="91">
        <f>IFERROR(IF(VLOOKUP(A47,tbMoveset!A2:B112,2,FALSE)="Sever",Backdoors!AY8/100,IF(VLOOKUP(A47,tbMoveset!A2:B112,2,FALSE)="Blunt",Backdoors!AZ8/100,Backdoors!BA8/100)),"")</f>
        <v>0.45</v>
      </c>
      <c r="AL47" s="49">
        <f>IFERROR(IF(VLOOKUP(tbMoveset!A47,tbMoveset!A2:H112,8,FALSE)="Other",IF(VLOOKUP(tbMoveset!A47,tbMoveset!A2:I112,9,FALSE)="Fire",Backdoors!BB8,IF(VLOOKUP(tbMoveset!A47,tbMoveset!A2:I112,9,FALSE)="Water",Backdoors!BC8,IF(VLOOKUP(tbMoveset!A47,tbMoveset!A2:I112,9,FALSE)="Thunder",Backdoors!BD8,IF(VLOOKUP(tbMoveset!A47,tbMoveset!A2:I112,9,FALSE)="Ice",Backdoors!BE8,IF(VLOOKUP(tbMoveset!A47,tbMoveset!A2:I112,9,FALSE)="Dragon",Backdoors!BF8,Backdoors!BG8)))))/100,Backdoors!BG8/100),"")</f>
        <v>0</v>
      </c>
      <c r="AM47" s="49">
        <f>IFERROR(IF(VLOOKUP(A47,tbMoveset!A2:J112,10,FALSE)=TRUE,IF((Backdoors!AI12+IF(AK47&gt;=0.45,VLOOKUP(Calculator!E23,tbSkills!DH3:DI6,2,FALSE)+IF(AND(Calculator!B8=TRUE,Backdoors!BI8=TRUE),VLOOKUP(Calculator!E23,tbSkills!DH3:DJ6,3,FALSE),0),0))&gt;=0,1+(Backdoors!AL2*(IF((Backdoors!AI12+IF(AK47&gt;=0.45,VLOOKUP(Calculator!E23,tbSkills!DH3:DI6,2,FALSE)+IF(AND(Calculator!B8=TRUE,Backdoors!BI8=TRUE),VLOOKUP(Calculator!E23,tbSkills!DH3:DJ6,3,FALSE),0),0))&gt;=100,100,(Backdoors!AI12+IF(AK47&gt;=0.45,VLOOKUP(Calculator!E23,tbSkills!DH3:DI6,2,FALSE)+IF(AND(Calculator!B8=TRUE,Backdoors!BI8=TRUE),VLOOKUP(Calculator!E23,tbSkills!DH3:DJ6,3,FALSE),0),0)))/100)),(1-(0.25*((-Backdoors!AI12-IF(AK47&gt;=0.45,VLOOKUP(Calculator!E23,tbSkills!DH3:DI6,2,FALSE)+IF(AND(Calculator!B8=TRUE,Backdoors!BI8=TRUE),VLOOKUP(Calculator!E23,tbSkills!DH3:DJ6,3,FALSE),0),0))/100)))),1),"")</f>
        <v>1</v>
      </c>
      <c r="AN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K47)*AM47)*(VLOOKUP(A47,tbMoveset!A2:C112,3,FALSE)/100)*IF(VLOOKUP(A47,tbMoveset!A2:B112,2,FALSE)="Projectile",Backdoors!N10,Backdoors!N9),0),"")</f>
        <v>3</v>
      </c>
      <c r="AO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K47&gt;=0.45,VLOOKUP(Calculator!E23,tbSkills!DH3:DI6,2,FALSE)+IF(AND(Calculator!B8=TRUE,Backdoors!BI8=TRUE),VLOOKUP(Calculator!E23,tbSkills!DH3:DJ6,3,FALSE),0),0))&gt;=100,100,(Backdoors!AI12+IF(AK47&gt;=0.45,VLOOKUP(Calculator!E23,tbSkills!DH3:DI6,2,FALSE)+IF(AND(Calculator!B8=TRUE,Backdoors!BI8=TRUE),VLOOKUP(Calculator!E23,tbSkills!DH3:DJ6,3,FALSE),0),0)))/100)),1))*IF(VLOOKUP(A47,tbMoveset!A2:K112,11,FALSE)=TRUE,Backdoors!AC5,1))*AL47,0),"")</f>
        <v>0</v>
      </c>
      <c r="AP47" s="49">
        <f>VLOOKUP(A47,tbMoveset!A2:G112,7,FALSE)*IFERROR(IF(Backdoors!AI12&gt;=0,1+(IF(Calculator!E40&gt;0,VLOOKUP(Calculator!E40,tbSkills!AI3:AJ5,2,FALSE),Backdoors!AL4)*(IF((Backdoors!AI12+IF(AK47&gt;=0.45,VLOOKUP(Calculator!E23,tbSkills!DH3:DI6,2,FALSE)+IF(AND(Calculator!B8=TRUE,Backdoors!BI8=TRUE),VLOOKUP(Calculator!E23,tbSkills!DH3:DJ6,3,FALSE),0),0))&gt;=100,100,(Backdoors!AI12+IF(AK47&gt;=0.45,VLOOKUP(Calculator!E23,tbSkills!DH3:DI6,2,FALSE)+IF(AND(Calculator!B8=TRUE,Backdoors!BI8=TRUE),VLOOKUP(Calculator!E23,tbSkills!DH3:DJ6,3,FALSE),0),0)))/100)),1),1)</f>
        <v>0.6</v>
      </c>
      <c r="AQ47" s="87">
        <f t="shared" si="49"/>
        <v>3</v>
      </c>
      <c r="AR47" s="86">
        <f>IFERROR(IF(VLOOKUP(A47,tbMoveset!A2:B112,2,FALSE)="Sever",Backdoors!AY9/100,IF(VLOOKUP(A47,tbMoveset!A2:B112,2,FALSE)="Blunt",Backdoors!AZ9/100,Backdoors!BA9/100)),"")</f>
        <v>0.45</v>
      </c>
      <c r="AS47" s="49">
        <f>IFERROR(IF(VLOOKUP(tbMoveset!A47,tbMoveset!A2:H112,8,FALSE)="Other",IF(VLOOKUP(tbMoveset!A47,tbMoveset!A2:I112,9,FALSE)="Fire",Backdoors!BB9,IF(VLOOKUP(tbMoveset!A47,tbMoveset!A2:I112,9,FALSE)="Water",Backdoors!BC9,IF(VLOOKUP(tbMoveset!A47,tbMoveset!A2:I112,9,FALSE)="Thunder",Backdoors!BD9,IF(VLOOKUP(tbMoveset!A47,tbMoveset!A2:I112,9,FALSE)="Ice",Backdoors!BE9,IF(VLOOKUP(tbMoveset!A47,tbMoveset!A2:I112,9,FALSE)="Dragon",Backdoors!BF9,Backdoors!BG9)))))/100,Backdoors!BG9/100),"")</f>
        <v>0</v>
      </c>
      <c r="AT47" s="49">
        <f>IFERROR(IF(VLOOKUP(A47,tbMoveset!A2:J112,10,FALSE)=TRUE,IF((Backdoors!AI12+IF(AR47&gt;=0.45,VLOOKUP(Calculator!E23,tbSkills!DH3:DI6,2,FALSE)+IF(AND(Calculator!B8=TRUE,Backdoors!BI9=TRUE),VLOOKUP(Calculator!E23,tbSkills!DH3:DJ6,3,FALSE),0),0))&gt;=0,1+(Backdoors!AL2*(IF((Backdoors!AI12+IF(AR47&gt;=0.45,VLOOKUP(Calculator!E23,tbSkills!DH3:DI6,2,FALSE)+IF(AND(Calculator!B8=TRUE,Backdoors!BI9=TRUE),VLOOKUP(Calculator!E23,tbSkills!DH3:DJ6,3,FALSE),0),0))&gt;=100,100,(Backdoors!AI12+IF(AR47&gt;=0.45,VLOOKUP(Calculator!E23,tbSkills!DH3:DI6,2,FALSE)+IF(AND(Calculator!B8=TRUE,Backdoors!BI9=TRUE),VLOOKUP(Calculator!E23,tbSkills!DH3:DJ6,3,FALSE),0),0)))/100)),(1-(0.25*((-Backdoors!AI12-IF(AR47&gt;=0.45,VLOOKUP(Calculator!E23,tbSkills!DH3:DI6,2,FALSE)+IF(AND(Calculator!B8=TRUE,Backdoors!BI9=TRUE),VLOOKUP(Calculator!E23,tbSkills!DH3:DJ6,3,FALSE),0),0))/100)))),1),"")</f>
        <v>1</v>
      </c>
      <c r="AU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R47)*AT47)*(VLOOKUP(A47,tbMoveset!A2:C112,3,FALSE)/100)*IF(VLOOKUP(A47,tbMoveset!A2:B112,2,FALSE)="Projectile",Backdoors!N10,Backdoors!N9),0),"")</f>
        <v>3</v>
      </c>
      <c r="AV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R47&gt;=0.45,VLOOKUP(Calculator!E23,tbSkills!DH3:DI6,2,FALSE)+IF(AND(Calculator!B8=TRUE,Backdoors!BI9=TRUE),VLOOKUP(Calculator!E23,tbSkills!DH3:DJ6,3,FALSE),0),0))&gt;=100,100,(Backdoors!AI12+IF(AR47&gt;=0.45,VLOOKUP(Calculator!E23,tbSkills!DH3:DI6,2,FALSE)+IF(AND(Calculator!B8=TRUE,Backdoors!BI9=TRUE),VLOOKUP(Calculator!E23,tbSkills!DH3:DJ6,3,FALSE),0),0)))/100)),1))*IF(VLOOKUP(A47,tbMoveset!A2:K112,11,FALSE)=TRUE,Backdoors!AC5,1))*AS47,0),"")</f>
        <v>0</v>
      </c>
      <c r="AW47" s="49">
        <f>VLOOKUP(A47,tbMoveset!A2:G112,7,FALSE)*IFERROR(IF(Backdoors!AI12&gt;=0,1+(IF(Calculator!E40&gt;0,VLOOKUP(Calculator!E40,tbSkills!AI3:AJ5,2,FALSE),Backdoors!AL4)*(IF((Backdoors!AI12+IF(AR47&gt;=0.45,VLOOKUP(Calculator!E23,tbSkills!DH3:DI6,2,FALSE)+IF(AND(Calculator!B8=TRUE,Backdoors!BI9=TRUE),VLOOKUP(Calculator!E23,tbSkills!DH3:DJ6,3,FALSE),0),0))&gt;=100,100,(Backdoors!AI12+IF(AR47&gt;=0.45,VLOOKUP(Calculator!E23,tbSkills!DH3:DI6,2,FALSE)+IF(AND(Calculator!B8=TRUE,Backdoors!BI9=TRUE),VLOOKUP(Calculator!E23,tbSkills!DH3:DJ6,3,FALSE),0),0)))/100)),1),1)</f>
        <v>0.6</v>
      </c>
      <c r="AX47" s="87">
        <f t="shared" si="50"/>
        <v>3</v>
      </c>
      <c r="AY47" s="86">
        <f>IFERROR(IF(VLOOKUP(A47,tbMoveset!A2:B112,2,FALSE)="Sever",Backdoors!AY10/100,IF(VLOOKUP(A47,tbMoveset!A2:B112,2,FALSE)="Blunt",Backdoors!AZ10/100,Backdoors!BA10/100)),"")</f>
        <v>0.9</v>
      </c>
      <c r="AZ47" s="49">
        <f>IFERROR(IF(VLOOKUP(tbMoveset!A47,tbMoveset!A2:H112,8,FALSE)="Other",IF(VLOOKUP(tbMoveset!A47,tbMoveset!A2:I112,9,FALSE)="Fire",Backdoors!BB10,IF(VLOOKUP(tbMoveset!A47,tbMoveset!A2:I112,9,FALSE)="Water",Backdoors!BC10,IF(VLOOKUP(tbMoveset!A47,tbMoveset!A2:I112,9,FALSE)="Thunder",Backdoors!BD10,IF(VLOOKUP(tbMoveset!A47,tbMoveset!A2:I112,9,FALSE)="Ice",Backdoors!BE10,IF(VLOOKUP(tbMoveset!A47,tbMoveset!A2:I112,9,FALSE)="Dragon",Backdoors!BF10,Backdoors!BG10)))))/100,Backdoors!BG10/100),"")</f>
        <v>0</v>
      </c>
      <c r="BA47" s="49">
        <f>IFERROR(IF(VLOOKUP(A47,tbMoveset!A2:J112,10,FALSE)=TRUE,IF((Backdoors!AI12+IF(AY47&gt;=0.45,VLOOKUP(Calculator!E23,tbSkills!DH3:DI6,2,FALSE)+IF(AND(Calculator!B8=TRUE,Backdoors!BI10=TRUE),VLOOKUP(Calculator!E23,tbSkills!DH3:DJ6,3,FALSE),0),0))&gt;=0,1+(Backdoors!AL2*(IF((Backdoors!AI12+IF(AY47&gt;=0.45,VLOOKUP(Calculator!E23,tbSkills!DH3:DI6,2,FALSE)+IF(AND(Calculator!B8=TRUE,Backdoors!BI10=TRUE),VLOOKUP(Calculator!E23,tbSkills!DH3:DJ6,3,FALSE),0),0))&gt;=100,100,(Backdoors!AI12+IF(AY47&gt;=0.45,VLOOKUP(Calculator!E23,tbSkills!DH3:DI6,2,FALSE)+IF(AND(Calculator!B8=TRUE,Backdoors!BI10=TRUE),VLOOKUP(Calculator!E23,tbSkills!DH3:DJ6,3,FALSE),0),0)))/100)),(1-(0.25*((-Backdoors!AI12-IF(AY47&gt;=0.45,VLOOKUP(Calculator!E23,tbSkills!DH3:DI6,2,FALSE)+IF(AND(Calculator!B8=TRUE,Backdoors!BI10=TRUE),VLOOKUP(Calculator!E23,tbSkills!DH3:DJ6,3,FALSE),0),0))/100)))),1),"")</f>
        <v>1</v>
      </c>
      <c r="BB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Y47)*BA47)*(VLOOKUP(A47,tbMoveset!A2:C112,3,FALSE)/100)*IF(VLOOKUP(A47,tbMoveset!A2:B112,2,FALSE)="Projectile",Backdoors!N10,Backdoors!N9),0),"")</f>
        <v>7</v>
      </c>
      <c r="BC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Y47&gt;=0.45,VLOOKUP(Calculator!E23,tbSkills!DH3:DI6,2,FALSE)+IF(AND(Calculator!B8=TRUE,Backdoors!BI10=TRUE),VLOOKUP(Calculator!E23,tbSkills!DH3:DJ6,3,FALSE),0),0))&gt;=100,100,(Backdoors!AI12+IF(AY47&gt;=0.45,VLOOKUP(Calculator!E23,tbSkills!DH3:DI6,2,FALSE)+IF(AND(Calculator!B8=TRUE,Backdoors!BI10=TRUE),VLOOKUP(Calculator!E23,tbSkills!DH3:DJ6,3,FALSE),0),0)))/100)),1))*IF(VLOOKUP(A47,tbMoveset!A2:K112,11,FALSE)=TRUE,Backdoors!AC5,1))*AZ47,0),"")</f>
        <v>0</v>
      </c>
      <c r="BD47" s="49">
        <f>VLOOKUP(A47,tbMoveset!A2:G112,7,FALSE)*IFERROR(IF(Backdoors!AI12&gt;=0,1+(IF(Calculator!E40&gt;0,VLOOKUP(Calculator!E40,tbSkills!AI3:AJ5,2,FALSE),Backdoors!AL4)*(IF((Backdoors!AI12+IF(AY47&gt;=0.45,VLOOKUP(Calculator!E23,tbSkills!DH3:DI6,2,FALSE)+IF(AND(Calculator!B8=TRUE,Backdoors!BI10=TRUE),VLOOKUP(Calculator!E23,tbSkills!DH3:DJ6,3,FALSE),0),0))&gt;=100,100,(Backdoors!AI12+IF(AY47&gt;=0.45,VLOOKUP(Calculator!E23,tbSkills!DH3:DI6,2,FALSE)+IF(AND(Calculator!B8=TRUE,Backdoors!BI10=TRUE),VLOOKUP(Calculator!E23,tbSkills!DH3:DJ6,3,FALSE),0),0)))/100)),1),1)</f>
        <v>0.6</v>
      </c>
      <c r="BE47" s="87">
        <f t="shared" si="3"/>
        <v>7</v>
      </c>
      <c r="BF47" s="86" t="str">
        <f>IFERROR(IF(VLOOKUP(A47,tbMoveset!A2:B112,2,FALSE)="Sever",Backdoors!AY11/100,IF(VLOOKUP(A47,tbMoveset!A2:B112,2,FALSE)="Blunt",Backdoors!AZ11/100,Backdoors!BA11/100)),"")</f>
        <v/>
      </c>
      <c r="BG47" s="49">
        <f>IFERROR(IF(VLOOKUP(tbMoveset!A47,tbMoveset!A2:H112,8,FALSE)="Other",IF(VLOOKUP(tbMoveset!A47,tbMoveset!A2:I112,9,FALSE)="Fire",Backdoors!BB11,IF(VLOOKUP(tbMoveset!A47,tbMoveset!A2:I112,9,FALSE)="Water",Backdoors!BC11,IF(VLOOKUP(tbMoveset!A47,tbMoveset!A2:I112,9,FALSE)="Thunder",Backdoors!BD11,IF(VLOOKUP(tbMoveset!A47,tbMoveset!A2:I112,9,FALSE)="Ice",Backdoors!BE11,IF(VLOOKUP(tbMoveset!A47,tbMoveset!A2:I112,9,FALSE)="Dragon",Backdoors!BF11,Backdoors!BG11)))))/100,Backdoors!BG11/100),"")</f>
        <v>0</v>
      </c>
      <c r="BH47" s="49">
        <f>IFERROR(IF(VLOOKUP(A47,tbMoveset!A2:J112,10,FALSE)=TRUE,IF((Backdoors!AI12+IF(BF47&gt;=0.45,VLOOKUP(Calculator!E23,tbSkills!DH3:DI6,2,FALSE)+IF(AND(Calculator!B8=TRUE,Backdoors!BI11=TRUE),VLOOKUP(Calculator!E23,tbSkills!DH3:DJ6,3,FALSE),0),0))&gt;=0,1+(Backdoors!AL2*(IF((Backdoors!AI12+IF(BF47&gt;=0.45,VLOOKUP(Calculator!E23,tbSkills!DH3:DI6,2,FALSE)+IF(AND(Calculator!B8=TRUE,Backdoors!BI11=TRUE),VLOOKUP(Calculator!E23,tbSkills!DH3:DJ6,3,FALSE),0),0))&gt;=100,100,(Backdoors!AI12+IF(BF47&gt;=0.45,VLOOKUP(Calculator!E23,tbSkills!DH3:DI6,2,FALSE)+IF(AND(Calculator!B8=TRUE,Backdoors!BI11=TRUE),VLOOKUP(Calculator!E23,tbSkills!DH3:DJ6,3,FALSE),0),0)))/100)),(1-(0.25*((-Backdoors!AI12-IF(BF47&gt;=0.45,VLOOKUP(Calculator!E23,tbSkills!DH3:DI6,2,FALSE)+IF(AND(Calculator!B8=TRUE,Backdoors!BI11=TRUE),VLOOKUP(Calculator!E23,tbSkills!DH3:DJ6,3,FALSE),0),0))/100)))),1),"")</f>
        <v>1</v>
      </c>
      <c r="BI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F47)*BH47)*(VLOOKUP(A47,tbMoveset!A2:C112,3,FALSE)/100)*IF(VLOOKUP(A47,tbMoveset!A2:B112,2,FALSE)="Projectile",Backdoors!N10,Backdoors!N9),0),"")</f>
        <v/>
      </c>
      <c r="BJ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F47&gt;=0.45,VLOOKUP(Calculator!E23,tbSkills!DH3:DI6,2,FALSE)+IF(AND(Calculator!B8=TRUE,Backdoors!BI11=TRUE),VLOOKUP(Calculator!E23,tbSkills!DH3:DJ6,3,FALSE),0),0))&gt;=100,100,(Backdoors!AI12+IF(BF47&gt;=0.45,VLOOKUP(Calculator!E23,tbSkills!DH3:DI6,2,FALSE)+IF(AND(Calculator!B8=TRUE,Backdoors!BI11=TRUE),VLOOKUP(Calculator!E23,tbSkills!DH3:DJ6,3,FALSE),0),0)))/100)),1))*IF(VLOOKUP(A47,tbMoveset!A2:K112,11,FALSE)=TRUE,Backdoors!AC5,1))*BG47,0),"")</f>
        <v>0</v>
      </c>
      <c r="BK47" s="49">
        <f>VLOOKUP(A47,tbMoveset!A2:G112,7,FALSE)*IFERROR(IF(Backdoors!AI12&gt;=0,1+(IF(Calculator!E40&gt;0,VLOOKUP(Calculator!E40,tbSkills!AI3:AJ5,2,FALSE),Backdoors!AL4)*(IF((Backdoors!AI12+IF(BF47&gt;=0.45,VLOOKUP(Calculator!E23,tbSkills!DH3:DI6,2,FALSE)+IF(AND(Calculator!B8=TRUE,Backdoors!BI11=TRUE),VLOOKUP(Calculator!E23,tbSkills!DH3:DJ6,3,FALSE),0),0))&gt;=100,100,(Backdoors!AI12+IF(BF47&gt;=0.45,VLOOKUP(Calculator!E23,tbSkills!DH3:DI6,2,FALSE)+IF(AND(Calculator!B8=TRUE,Backdoors!BI11=TRUE),VLOOKUP(Calculator!E23,tbSkills!DH3:DJ6,3,FALSE),0),0)))/100)),1),1)</f>
        <v>0.6</v>
      </c>
      <c r="BL47" s="87">
        <f t="shared" si="4"/>
        <v>0</v>
      </c>
      <c r="BM47" s="86" t="str">
        <f>IFERROR(IF(VLOOKUP(A47,tbMoveset!A2:B112,2,FALSE)="Sever",Backdoors!AY12/100,IF(VLOOKUP(A47,tbMoveset!A2:B112,2,FALSE)="Blunt",Backdoors!AZ12/100,Backdoors!BA12/100)),"")</f>
        <v/>
      </c>
      <c r="BN47" s="49">
        <f>IFERROR(IF(VLOOKUP(tbMoveset!A47,tbMoveset!A2:H112,8,FALSE)="Other",IF(VLOOKUP(tbMoveset!A47,tbMoveset!A2:I112,9,FALSE)="Fire",Backdoors!BB12,IF(VLOOKUP(tbMoveset!A47,tbMoveset!A2:I112,9,FALSE)="Water",Backdoors!BC12,IF(VLOOKUP(tbMoveset!A47,tbMoveset!A2:I112,9,FALSE)="Thunder",Backdoors!BD12,IF(VLOOKUP(tbMoveset!A47,tbMoveset!A2:I112,9,FALSE)="Ice",Backdoors!BE12,IF(VLOOKUP(tbMoveset!A47,tbMoveset!A2:I112,9,FALSE)="Dragon",Backdoors!BF12,Backdoors!BG12)))))/100,Backdoors!BG12/100),"")</f>
        <v>0</v>
      </c>
      <c r="BO47" s="49">
        <f>IFERROR(IF(VLOOKUP(A47,tbMoveset!A2:J112,10,FALSE)=TRUE,IF((Backdoors!AI12+IF(BM47&gt;=0.45,VLOOKUP(Calculator!E23,tbSkills!DH3:DI6,2,FALSE)+IF(AND(Calculator!B8=TRUE,Backdoors!BI12=TRUE),VLOOKUP(Calculator!E23,tbSkills!DH3:DJ6,3,FALSE),0),0))&gt;=0,1+(Backdoors!AL2*(IF((Backdoors!AI12+IF(BM47&gt;=0.45,VLOOKUP(Calculator!E23,tbSkills!DH3:DI6,2,FALSE)+IF(AND(Calculator!B8=TRUE,Backdoors!BI12=TRUE),VLOOKUP(Calculator!E23,tbSkills!DH3:DJ6,3,FALSE),0),0))&gt;=100,100,(Backdoors!AI12+IF(BM47&gt;=0.45,VLOOKUP(Calculator!E23,tbSkills!DH3:DI6,2,FALSE)+IF(AND(Calculator!B8=TRUE,Backdoors!BI12=TRUE),VLOOKUP(Calculator!E23,tbSkills!DH3:DJ6,3,FALSE),0),0)))/100)),(1-(0.25*((-Backdoors!AI12-IF(BM47&gt;=0.45,VLOOKUP(Calculator!E23,tbSkills!DH3:DI6,2,FALSE)+IF(AND(Calculator!B8=TRUE,Backdoors!BI12=TRUE),VLOOKUP(Calculator!E23,tbSkills!DH3:DJ6,3,FALSE),0),0))/100)))),1),"")</f>
        <v>1</v>
      </c>
      <c r="BP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M47)*BO47)*(VLOOKUP(A47,tbMoveset!A2:C112,3,FALSE)/100)*IF(VLOOKUP(A47,tbMoveset!A2:B112,2,FALSE)="Projectile",Backdoors!N10,Backdoors!N9),0),"")</f>
        <v/>
      </c>
      <c r="BQ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M47&gt;=0.45,VLOOKUP(Calculator!E23,tbSkills!DH3:DI6,2,FALSE)+IF(AND(Calculator!B8=TRUE,Backdoors!BI12=TRUE),VLOOKUP(Calculator!E23,tbSkills!DH3:DJ6,3,FALSE),0),0))&gt;=100,100,(Backdoors!AI12+IF(BM47&gt;=0.45,VLOOKUP(Calculator!E23,tbSkills!DH3:DI6,2,FALSE)+IF(AND(Calculator!B8=TRUE,Backdoors!BI12=TRUE),VLOOKUP(Calculator!E23,tbSkills!DH3:DJ6,3,FALSE),0),0)))/100)),1))*IF(VLOOKUP(A47,tbMoveset!A2:K112,11,FALSE)=TRUE,Backdoors!AC5,1))*BN47,0),"")</f>
        <v>0</v>
      </c>
      <c r="BR47" s="49">
        <f>VLOOKUP(A47,tbMoveset!A2:G112,7,FALSE)*IFERROR(IF(Backdoors!AI12&gt;=0,1+(IF(Calculator!E40&gt;0,VLOOKUP(Calculator!E40,tbSkills!AI3:AJ5,2,FALSE),Backdoors!AL4)*(IF((Backdoors!AI12+IF(BM47&gt;=0.45,VLOOKUP(Calculator!E23,tbSkills!DH3:DI6,2,FALSE)+IF(AND(Calculator!B8=TRUE,Backdoors!BI12=TRUE),VLOOKUP(Calculator!E23,tbSkills!DH3:DJ6,3,FALSE),0),0))&gt;=100,100,(Backdoors!AI12+IF(BM47&gt;=0.45,VLOOKUP(Calculator!E23,tbSkills!DH3:DI6,2,FALSE)+IF(AND(Calculator!B8=TRUE,Backdoors!BI12=TRUE),VLOOKUP(Calculator!E23,tbSkills!DH3:DJ6,3,FALSE),0),0)))/100)),1),1)</f>
        <v>0.6</v>
      </c>
      <c r="BS47" s="87">
        <f t="shared" si="39"/>
        <v>0</v>
      </c>
      <c r="BT47" s="86" t="str">
        <f>IFERROR(IF(VLOOKUP(A47,tbMoveset!A2:B112,2,FALSE)="Sever",Backdoors!AY13/100,IF(VLOOKUP(A47,tbMoveset!A2:B112,2,FALSE)="Blunt",Backdoors!AZ13/100,Backdoors!BA13/100)),"")</f>
        <v/>
      </c>
      <c r="BU47" s="49">
        <f>IFERROR(IF(VLOOKUP(tbMoveset!A47,tbMoveset!A2:H112,8,FALSE)="Other",IF(VLOOKUP(tbMoveset!A47,tbMoveset!A2:I112,9,FALSE)="Fire",Backdoors!BB13,IF(VLOOKUP(tbMoveset!A47,tbMoveset!A2:I112,9,FALSE)="Water",Backdoors!BC13,IF(VLOOKUP(tbMoveset!A47,tbMoveset!A2:I112,9,FALSE)="Thunder",Backdoors!BD13,IF(VLOOKUP(tbMoveset!A47,tbMoveset!A2:I112,9,FALSE)="Ice",Backdoors!BE13,IF(VLOOKUP(tbMoveset!A47,tbMoveset!A2:I112,9,FALSE)="Dragon",Backdoors!BF13,Backdoors!BG13)))))/100,Backdoors!BG13/100),"")</f>
        <v>0</v>
      </c>
      <c r="BV47" s="49">
        <f>IFERROR(IF(VLOOKUP(A47,tbMoveset!A2:J112,10,FALSE)=TRUE,IF((Backdoors!AI12+IF(BT47&gt;=0.45,VLOOKUP(Calculator!E23,tbSkills!DH3:DI6,2,FALSE)+IF(AND(Calculator!B8=TRUE,Backdoors!BI13=TRUE),VLOOKUP(Calculator!E23,tbSkills!DH3:DJ6,3,FALSE),0),0))&gt;=0,1+(Backdoors!AL2*(IF((Backdoors!AI12+IF(BT47&gt;=0.45,VLOOKUP(Calculator!E23,tbSkills!DH3:DI6,2,FALSE)+IF(AND(Calculator!B8=TRUE,Backdoors!BI13=TRUE),VLOOKUP(Calculator!E23,tbSkills!DH3:DJ6,3,FALSE),0),0))&gt;=100,100,(Backdoors!AI12+IF(BT47&gt;=0.45,VLOOKUP(Calculator!E23,tbSkills!DH3:DI6,2,FALSE)+IF(AND(Calculator!B8=TRUE,Backdoors!BI13=TRUE),VLOOKUP(Calculator!E23,tbSkills!DH3:DJ6,3,FALSE),0),0)))/100)),(1-(0.25*((-Backdoors!AI12-IF(BT47&gt;=0.45,VLOOKUP(Calculator!E23,tbSkills!DH3:DI6,2,FALSE)+IF(AND(Calculator!B8=TRUE,Backdoors!BI13=TRUE),VLOOKUP(Calculator!E23,tbSkills!DH3:DJ6,3,FALSE),0),0))/100)))),1),"")</f>
        <v>1</v>
      </c>
      <c r="BW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T47)*BV47)*(VLOOKUP(A47,tbMoveset!A2:C112,3,FALSE)/100)*IF(VLOOKUP(A47,tbMoveset!A2:B112,2,FALSE)="Projectile",Backdoors!N10,Backdoors!N9),0),"")</f>
        <v/>
      </c>
      <c r="BX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T47&gt;=0.45,VLOOKUP(Calculator!E23,tbSkills!DH3:DI6,2,FALSE)+IF(AND(Calculator!B8=TRUE,Backdoors!BI13=TRUE),VLOOKUP(Calculator!E23,tbSkills!DH3:DJ6,3,FALSE),0),0))&gt;=100,100,(Backdoors!AI12+IF(BT47&gt;=0.45,VLOOKUP(Calculator!E23,tbSkills!DH3:DI6,2,FALSE)+IF(AND(Calculator!B8=TRUE,Backdoors!BI13=TRUE),VLOOKUP(Calculator!E23,tbSkills!DH3:DJ6,3,FALSE),0),0)))/100)),1))*IF(VLOOKUP(A47,tbMoveset!A2:K112,11,FALSE)=TRUE,Backdoors!AC5,1))*BU47,0),"")</f>
        <v>0</v>
      </c>
      <c r="BY47" s="49">
        <f>VLOOKUP(A47,tbMoveset!A2:G112,7,FALSE)*IFERROR(IF(Backdoors!AI12&gt;=0,1+(IF(Calculator!E40&gt;0,VLOOKUP(Calculator!E40,tbSkills!AI3:AJ5,2,FALSE),Backdoors!AL4)*(IF((Backdoors!AI12+IF(BT47&gt;=0.45,VLOOKUP(Calculator!E23,tbSkills!DH3:DI6,2,FALSE)+IF(AND(Calculator!B8=TRUE,Backdoors!BI13=TRUE),VLOOKUP(Calculator!E23,tbSkills!DH3:DJ6,3,FALSE),0),0))&gt;=100,100,(Backdoors!AI12+IF(BT47&gt;=0.45,VLOOKUP(Calculator!E23,tbSkills!DH3:DI6,2,FALSE)+IF(AND(Calculator!B8=TRUE,Backdoors!BI13=TRUE),VLOOKUP(Calculator!E23,tbSkills!DH3:DJ6,3,FALSE),0),0)))/100)),1),1)</f>
        <v>0.6</v>
      </c>
      <c r="BZ47" s="87">
        <f t="shared" si="5"/>
        <v>0</v>
      </c>
      <c r="CA47" s="86" t="str">
        <f>IFERROR(IF(VLOOKUP(A47,tbMoveset!A2:B112,2,FALSE)="Sever",Backdoors!AY14/100,IF(VLOOKUP(A47,tbMoveset!A2:B112,2,FALSE)="Blunt",Backdoors!AZ14/100,Backdoors!BA14/100)),"")</f>
        <v/>
      </c>
      <c r="CB47" s="49">
        <f>IFERROR(IF(VLOOKUP(tbMoveset!A47,tbMoveset!A2:H112,8,FALSE)="Other",IF(VLOOKUP(tbMoveset!A47,tbMoveset!A2:I112,9,FALSE)="Fire",Backdoors!BB14,IF(VLOOKUP(tbMoveset!A47,tbMoveset!A2:I112,9,FALSE)="Water",Backdoors!BC14,IF(VLOOKUP(tbMoveset!A47,tbMoveset!A2:I112,9,FALSE)="Thunder",Backdoors!BD14,IF(VLOOKUP(tbMoveset!A47,tbMoveset!A2:I112,9,FALSE)="Ice",Backdoors!BE14,IF(VLOOKUP(tbMoveset!A47,tbMoveset!A2:I112,9,FALSE)="Dragon",Backdoors!BF14,Backdoors!BG14)))))/100,Backdoors!BG14/100),"")</f>
        <v>0</v>
      </c>
      <c r="CC47" s="49">
        <f>IFERROR(IF(VLOOKUP(A47,tbMoveset!A2:J112,10,FALSE)=TRUE,IF((Backdoors!AI12+IF(CA47&gt;=0.45,VLOOKUP(Calculator!E23,tbSkills!DH3:DI6,2,FALSE)+IF(AND(Calculator!B8=TRUE,Backdoors!BI14=TRUE),VLOOKUP(Calculator!E23,tbSkills!DH3:DJ6,3,FALSE),0),0))&gt;=0,1+(Backdoors!AL2*(IF((Backdoors!AI12+IF(CA47&gt;=0.45,VLOOKUP(Calculator!E23,tbSkills!DH3:DI6,2,FALSE)+IF(AND(Calculator!B8=TRUE,Backdoors!BI14=TRUE),VLOOKUP(Calculator!E23,tbSkills!DH3:DJ6,3,FALSE),0),0))&gt;=100,100,(Backdoors!AI12+IF(CA47&gt;=0.45,VLOOKUP(Calculator!E23,tbSkills!DH3:DI6,2,FALSE)+IF(AND(Calculator!B8=TRUE,Backdoors!BI14=TRUE),VLOOKUP(Calculator!E23,tbSkills!DH3:DJ6,3,FALSE),0),0)))/100)),(1-(0.25*((-Backdoors!AI12-IF(CA47&gt;=0.45,VLOOKUP(Calculator!E23,tbSkills!DH3:DI6,2,FALSE)+IF(AND(Calculator!B8=TRUE,Backdoors!BI14=TRUE),VLOOKUP(Calculator!E23,tbSkills!DH3:DJ6,3,FALSE),0),0))/100)))),1),"")</f>
        <v>1</v>
      </c>
      <c r="CD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A47)*CC47)*(VLOOKUP(A47,tbMoveset!A2:C112,3,FALSE)/100)*IF(VLOOKUP(A47,tbMoveset!A2:B112,2,FALSE)="Projectile",Backdoors!N10,Backdoors!N9),0),"")</f>
        <v/>
      </c>
      <c r="CE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A47&gt;=0.45,VLOOKUP(Calculator!E23,tbSkills!DH3:DI6,2,FALSE)+IF(AND(Calculator!B8=TRUE,Backdoors!BI14=TRUE),VLOOKUP(Calculator!E23,tbSkills!DH3:DJ6,3,FALSE),0),0))&gt;=100,100,(Backdoors!AI12+IF(CA47&gt;=0.45,VLOOKUP(Calculator!E23,tbSkills!DH3:DI6,2,FALSE)+IF(AND(Calculator!B8=TRUE,Backdoors!BI14=TRUE),VLOOKUP(Calculator!E23,tbSkills!DH3:DJ6,3,FALSE),0),0)))/100)),1))*IF(VLOOKUP(A47,tbMoveset!A2:K112,11,FALSE)=TRUE,Backdoors!AC5,1))*CB47,0),"")</f>
        <v>0</v>
      </c>
      <c r="CF47" s="49">
        <f>VLOOKUP(A47,tbMoveset!A2:G112,7,FALSE)*IFERROR(IF(Backdoors!AI12&gt;=0,1+(IF(Calculator!E40&gt;0,VLOOKUP(Calculator!E40,tbSkills!AI3:AJ5,2,FALSE),Backdoors!AL4)*(IF((Backdoors!AI12+IF(CA47&gt;=0.45,VLOOKUP(Calculator!E23,tbSkills!DH3:DI6,2,FALSE)+IF(AND(Calculator!B8=TRUE,Backdoors!BI14=TRUE),VLOOKUP(Calculator!E23,tbSkills!DH3:DJ6,3,FALSE),0),0))&gt;=100,100,(Backdoors!AI12+IF(CA47&gt;=0.45,VLOOKUP(Calculator!E23,tbSkills!DH3:DI6,2,FALSE)+IF(AND(Calculator!B8=TRUE,Backdoors!BI14=TRUE),VLOOKUP(Calculator!E23,tbSkills!DH3:DJ6,3,FALSE),0),0)))/100)),1),1)</f>
        <v>0.6</v>
      </c>
      <c r="CG47" s="87">
        <f t="shared" si="6"/>
        <v>0</v>
      </c>
      <c r="CH47" s="86" t="str">
        <f>IFERROR(IF(VLOOKUP(A47,tbMoveset!A2:B112,2,FALSE)="Sever",Backdoors!AY15/100,IF(VLOOKUP(A47,tbMoveset!A2:B112,2,FALSE)="Blunt",Backdoors!AZ15/100,Backdoors!BA15/100)),"")</f>
        <v/>
      </c>
      <c r="CI47" s="49">
        <f>IFERROR(IF(VLOOKUP(tbMoveset!A47,tbMoveset!A2:H112,8,FALSE)="Other",IF(VLOOKUP(tbMoveset!A47,tbMoveset!A2:I112,9,FALSE)="Fire",Backdoors!BB15,IF(VLOOKUP(tbMoveset!A47,tbMoveset!A2:I112,9,FALSE)="Water",Backdoors!BC15,IF(VLOOKUP(tbMoveset!A47,tbMoveset!A2:I112,9,FALSE)="Thunder",Backdoors!BD15,IF(VLOOKUP(tbMoveset!A47,tbMoveset!A2:I112,9,FALSE)="Ice",Backdoors!BE15,IF(VLOOKUP(tbMoveset!A47,tbMoveset!A2:I112,9,FALSE)="Dragon",Backdoors!BF15,Backdoors!BG15)))))/100,Backdoors!BG15/100),"")</f>
        <v>0</v>
      </c>
      <c r="CJ47" s="49">
        <f>IFERROR(IF(VLOOKUP(A47,tbMoveset!A2:J112,10,FALSE)=TRUE,IF((Backdoors!AI12+IF(CH47&gt;=0.45,VLOOKUP(Calculator!E23,tbSkills!DH3:DI6,2,FALSE)+IF(AND(Calculator!B8=TRUE,Backdoors!BI15=TRUE),VLOOKUP(Calculator!E23,tbSkills!DH3:DJ6,3,FALSE),0),0))&gt;=0,1+(Backdoors!AL2*(IF((Backdoors!AI12+IF(CH47&gt;=0.45,VLOOKUP(Calculator!E23,tbSkills!DH3:DI6,2,FALSE)+IF(AND(Calculator!B8=TRUE,Backdoors!BI15=TRUE),VLOOKUP(Calculator!E23,tbSkills!DH3:DJ6,3,FALSE),0),0))&gt;=100,100,(Backdoors!AI12+IF(CH47&gt;=0.45,VLOOKUP(Calculator!E23,tbSkills!DH3:DI6,2,FALSE)+IF(AND(Calculator!B8=TRUE,Backdoors!BI15=TRUE),VLOOKUP(Calculator!E23,tbSkills!DH3:DJ6,3,FALSE),0),0)))/100)),(1-(0.25*((-Backdoors!AI12-IF(CH47&gt;=0.45,VLOOKUP(Calculator!E23,tbSkills!DH3:DI6,2,FALSE)+IF(AND(Calculator!B8=TRUE,Backdoors!BI15=TRUE),VLOOKUP(Calculator!E23,tbSkills!DH3:DJ6,3,FALSE),0),0))/100)))),1),"")</f>
        <v>1</v>
      </c>
      <c r="CK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H47)*CJ47)*(VLOOKUP(A47,tbMoveset!A2:C112,3,FALSE)/100)*IF(VLOOKUP(A47,tbMoveset!A2:B112,2,FALSE)="Projectile",Backdoors!N10,Backdoors!N9),0),"")</f>
        <v/>
      </c>
      <c r="CL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H47&gt;=0.45,VLOOKUP(Calculator!E23,tbSkills!DH3:DI6,2,FALSE)+IF(AND(Calculator!B8=TRUE,Backdoors!BI15=TRUE),VLOOKUP(Calculator!E23,tbSkills!DH3:DJ6,3,FALSE),0),0))&gt;=100,100,(Backdoors!AI12+IF(CH47&gt;=0.45,VLOOKUP(Calculator!E23,tbSkills!DH3:DI6,2,FALSE)+IF(AND(Calculator!B8=TRUE,Backdoors!BI15=TRUE),VLOOKUP(Calculator!E23,tbSkills!DH3:DJ6,3,FALSE),0),0)))/100)),1))*IF(VLOOKUP(A47,tbMoveset!A2:K112,11,FALSE)=TRUE,Backdoors!AC5,1))*CI47,0),"")</f>
        <v>0</v>
      </c>
      <c r="CM47" s="49">
        <f>VLOOKUP(A47,tbMoveset!A2:G112,7,FALSE)*IFERROR(IF(Backdoors!AI12&gt;=0,1+(IF(Calculator!E40&gt;0,VLOOKUP(Calculator!E40,tbSkills!AI3:AJ5,2,FALSE),Backdoors!AL4)*(IF((Backdoors!AI12+IF(CH47&gt;=0.45,VLOOKUP(Calculator!E23,tbSkills!DH3:DI6,2,FALSE)+IF(AND(Calculator!B8=TRUE,Backdoors!BI15=TRUE),VLOOKUP(Calculator!E23,tbSkills!DH3:DJ6,3,FALSE),0),0))&gt;=100,100,(Backdoors!AI12+IF(CH47&gt;=0.45,VLOOKUP(Calculator!E23,tbSkills!DH3:DI6,2,FALSE)+IF(AND(Calculator!B8=TRUE,Backdoors!BI15=TRUE),VLOOKUP(Calculator!E23,tbSkills!DH3:DJ6,3,FALSE),0),0)))/100)),1),1)</f>
        <v>0.6</v>
      </c>
      <c r="CN47" s="87">
        <f t="shared" si="7"/>
        <v>0</v>
      </c>
      <c r="CO47" s="86" t="str">
        <f>IFERROR(IF(VLOOKUP(A47,tbMoveset!A2:B112,2,FALSE)="Sever",Backdoors!AY16/100,IF(VLOOKUP(A47,tbMoveset!A2:B112,2,FALSE)="Blunt",Backdoors!AZ16/100,Backdoors!BA16/100)),"")</f>
        <v/>
      </c>
      <c r="CP47" s="49">
        <f>IFERROR(IF(VLOOKUP(tbMoveset!A47,tbMoveset!A2:H112,8,FALSE)="Other",IF(VLOOKUP(tbMoveset!A47,tbMoveset!A2:I112,9,FALSE)="Fire",Backdoors!BB16,IF(VLOOKUP(tbMoveset!A47,tbMoveset!A2:I112,9,FALSE)="Water",Backdoors!BC16,IF(VLOOKUP(tbMoveset!A47,tbMoveset!A2:I112,9,FALSE)="Thunder",Backdoors!BD16,IF(VLOOKUP(tbMoveset!A47,tbMoveset!A2:I112,9,FALSE)="Ice",Backdoors!BE16,IF(VLOOKUP(tbMoveset!A47,tbMoveset!A2:I112,9,FALSE)="Dragon",Backdoors!BF16,Backdoors!BG16)))))/100,Backdoors!BG16/100),"")</f>
        <v>0</v>
      </c>
      <c r="CQ47" s="49">
        <f>IFERROR(IF(VLOOKUP(A47,tbMoveset!A2:J112,10,FALSE)=TRUE,IF((Backdoors!AI12+IF(CO47&gt;=0.45,VLOOKUP(Calculator!E23,tbSkills!DH3:DI6,2,FALSE)+IF(AND(Calculator!B8=TRUE,Backdoors!BI16=TRUE),VLOOKUP(Calculator!E23,tbSkills!DH3:DJ6,3,FALSE),0),0))&gt;=0,1+(Backdoors!AL2*(IF((Backdoors!AI12+IF(CO47&gt;=0.45,VLOOKUP(Calculator!E23,tbSkills!DH3:DI6,2,FALSE)+IF(AND(Calculator!B8=TRUE,Backdoors!BI16=TRUE),VLOOKUP(Calculator!E23,tbSkills!DH3:DJ6,3,FALSE),0),0))&gt;=100,100,(Backdoors!AI12+IF(CO47&gt;=0.45,VLOOKUP(Calculator!E23,tbSkills!DH3:DI6,2,FALSE)+IF(AND(Calculator!B8=TRUE,Backdoors!BI16=TRUE),VLOOKUP(Calculator!E23,tbSkills!DH3:DJ6,3,FALSE),0),0)))/100)),(1-(0.25*((-Backdoors!AI12-IF(CO47&gt;=0.45,VLOOKUP(Calculator!E23,tbSkills!DH3:DI6,2,FALSE)+IF(AND(Calculator!B8=TRUE,Backdoors!BI16=TRUE),VLOOKUP(Calculator!E23,tbSkills!DH3:DJ6,3,FALSE),0),0))/100)))),1),"")</f>
        <v>1</v>
      </c>
      <c r="CR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O47)*CQ47)*(VLOOKUP(A47,tbMoveset!A2:C112,3,FALSE)/100)*IF(VLOOKUP(A47,tbMoveset!A2:B112,2,FALSE)="Projectile",Backdoors!N10,Backdoors!N9),0),"")</f>
        <v/>
      </c>
      <c r="CS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O47&gt;=0.45,VLOOKUP(Calculator!E23,tbSkills!DH3:DI6,2,FALSE)+IF(AND(Calculator!B8=TRUE,Backdoors!BI16=TRUE),VLOOKUP(Calculator!E23,tbSkills!DH3:DJ6,3,FALSE),0),0))&gt;=100,100,(Backdoors!AI12+IF(CO47&gt;=0.45,VLOOKUP(Calculator!E23,tbSkills!DH3:DI6,2,FALSE)+IF(AND(Calculator!B8=TRUE,Backdoors!BI16=TRUE),VLOOKUP(Calculator!E23,tbSkills!DH3:DJ6,3,FALSE),0),0)))/100)),1))*IF(VLOOKUP(A47,tbMoveset!A2:K112,11,FALSE)=TRUE,Backdoors!AC5,1))*CP47,0),"")</f>
        <v>0</v>
      </c>
      <c r="CT47" s="49">
        <f>VLOOKUP(A47,tbMoveset!A2:G112,7,FALSE)*IFERROR(IF(Backdoors!AI12&gt;=0,1+(IF(Calculator!E40&gt;0,VLOOKUP(Calculator!E40,tbSkills!AI3:AJ5,2,FALSE),Backdoors!AL4)*(IF((Backdoors!AI12+IF(CO47&gt;=0.45,VLOOKUP(Calculator!E23,tbSkills!DH3:DI6,2,FALSE)+IF(AND(Calculator!B8=TRUE,Backdoors!BI16=TRUE),VLOOKUP(Calculator!E23,tbSkills!DH3:DJ6,3,FALSE),0),0))&gt;=100,100,(Backdoors!AI12+IF(CO47&gt;=0.45,VLOOKUP(Calculator!E23,tbSkills!DH3:DI6,2,FALSE)+IF(AND(Calculator!B8=TRUE,Backdoors!BI16=TRUE),VLOOKUP(Calculator!E23,tbSkills!DH3:DJ6,3,FALSE),0),0)))/100)),1),1)</f>
        <v>0.6</v>
      </c>
      <c r="CU47" s="87">
        <f t="shared" si="40"/>
        <v>0</v>
      </c>
      <c r="CV47" s="86" t="str">
        <f>IFERROR(IF(VLOOKUP(A47,tbMoveset!A2:B112,2,FALSE)="Sever",Backdoors!AY17/100,IF(VLOOKUP(A47,tbMoveset!A2:B112,2,FALSE)="Blunt",Backdoors!AZ17/100,Backdoors!BA17/100)),"")</f>
        <v/>
      </c>
      <c r="CW47" s="49">
        <f>IFERROR(IF(VLOOKUP(tbMoveset!A47,tbMoveset!A2:H112,8,FALSE)="Other",IF(VLOOKUP(tbMoveset!A47,tbMoveset!A2:I112,9,FALSE)="Fire",Backdoors!BB17,IF(VLOOKUP(tbMoveset!A47,tbMoveset!A2:I112,9,FALSE)="Water",Backdoors!BC17,IF(VLOOKUP(tbMoveset!A47,tbMoveset!A2:I112,9,FALSE)="Thunder",Backdoors!BD17,IF(VLOOKUP(tbMoveset!A47,tbMoveset!A2:I112,9,FALSE)="Ice",Backdoors!BE17,IF(VLOOKUP(tbMoveset!A47,tbMoveset!A2:I112,9,FALSE)="Dragon",Backdoors!BF17,Backdoors!BG17)))))/100,Backdoors!BG17/100),"")</f>
        <v>0</v>
      </c>
      <c r="CX47" s="49">
        <f>IFERROR(IF(VLOOKUP(A47,tbMoveset!A2:J112,10,FALSE)=TRUE,IF((Backdoors!AI12+IF(CV47&gt;=0.45,VLOOKUP(Calculator!E23,tbSkills!DH3:DI6,2,FALSE)+IF(AND(Calculator!B8=TRUE,Backdoors!BI17=TRUE),VLOOKUP(Calculator!E23,tbSkills!DH3:DJ6,3,FALSE),0),0))&gt;=0,1+(Backdoors!AL2*(IF((Backdoors!AI12+IF(CV47&gt;=0.45,VLOOKUP(Calculator!E23,tbSkills!DH3:DI6,2,FALSE)+IF(AND(Calculator!B8=TRUE,Backdoors!BI17=TRUE),VLOOKUP(Calculator!E23,tbSkills!DH3:DJ6,3,FALSE),0),0))&gt;=100,100,(Backdoors!AI12+IF(CV47&gt;=0.45,VLOOKUP(Calculator!E23,tbSkills!DH3:DI6,2,FALSE)+IF(AND(Calculator!B8=TRUE,Backdoors!BI17=TRUE),VLOOKUP(Calculator!E23,tbSkills!DH3:DJ6,3,FALSE),0),0)))/100)),(1-(0.25*((-Backdoors!AI12-IF(CV47&gt;=0.45,VLOOKUP(Calculator!E23,tbSkills!DH3:DI6,2,FALSE)+IF(AND(Calculator!B8=TRUE,Backdoors!BI17=TRUE),VLOOKUP(Calculator!E23,tbSkills!DH3:DJ6,3,FALSE),0),0))/100)))),1),"")</f>
        <v>1</v>
      </c>
      <c r="CY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V47)*CX47)*(VLOOKUP(A47,tbMoveset!A2:C112,3,FALSE)/100)*IF(VLOOKUP(A47,tbMoveset!A2:B112,2,FALSE)="Projectile",Backdoors!N10,Backdoors!N9),0),"")</f>
        <v/>
      </c>
      <c r="CZ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V47&gt;=0.45,VLOOKUP(Calculator!E23,tbSkills!DH3:DI6,2,FALSE)+IF(AND(Calculator!B8=TRUE,Backdoors!BI17=TRUE),VLOOKUP(Calculator!E23,tbSkills!DH3:DJ6,3,FALSE),0),0))&gt;=100,100,(Backdoors!AI12+IF(CV47&gt;=0.45,VLOOKUP(Calculator!E23,tbSkills!DH3:DI6,2,FALSE)+IF(AND(Calculator!B8=TRUE,Backdoors!BI17=TRUE),VLOOKUP(Calculator!E23,tbSkills!DH3:DJ6,3,FALSE),0),0)))/100)),1))*IF(VLOOKUP(A47,tbMoveset!A2:K112,11,FALSE)=TRUE,Backdoors!AC5,1))*CW47,0),"")</f>
        <v>0</v>
      </c>
      <c r="DA47" s="49">
        <f>VLOOKUP(A47,tbMoveset!A2:G112,7,FALSE)*IFERROR(IF(Backdoors!AI12&gt;=0,1+(IF(Calculator!E40&gt;0,VLOOKUP(Calculator!E40,tbSkills!AI3:AJ5,2,FALSE),Backdoors!AL4)*(IF((Backdoors!AI12+IF(CV47&gt;=0.45,VLOOKUP(Calculator!E23,tbSkills!DH3:DI6,2,FALSE)+IF(AND(Calculator!B8=TRUE,Backdoors!BI17=TRUE),VLOOKUP(Calculator!E23,tbSkills!DH3:DJ6,3,FALSE),0),0))&gt;=100,100,(Backdoors!AI12+IF(CV47&gt;=0.45,VLOOKUP(Calculator!E23,tbSkills!DH3:DI6,2,FALSE)+IF(AND(Calculator!B8=TRUE,Backdoors!BI17=TRUE),VLOOKUP(Calculator!E23,tbSkills!DH3:DJ6,3,FALSE),0),0)))/100)),1),1)</f>
        <v>0.6</v>
      </c>
      <c r="DB47" s="87">
        <f t="shared" si="8"/>
        <v>0</v>
      </c>
      <c r="DC47" s="86" t="str">
        <f>IFERROR(IF(VLOOKUP(A47,tbMoveset!A2:B112,2,FALSE)="Sever",Backdoors!AY18/100,IF(VLOOKUP(A47,tbMoveset!A2:B112,2,FALSE)="Blunt",Backdoors!AZ18/100,Backdoors!BA18/100)),"")</f>
        <v/>
      </c>
      <c r="DD47" s="49">
        <f>IFERROR(IF(VLOOKUP(tbMoveset!A47,tbMoveset!A2:H112,8,FALSE)="Other",IF(VLOOKUP(tbMoveset!A47,tbMoveset!A2:I112,9,FALSE)="Fire",Backdoors!BB18,IF(VLOOKUP(tbMoveset!A47,tbMoveset!A2:I112,9,FALSE)="Water",Backdoors!BC18,IF(VLOOKUP(tbMoveset!A47,tbMoveset!A2:I112,9,FALSE)="Thunder",Backdoors!BD18,IF(VLOOKUP(tbMoveset!A47,tbMoveset!A2:I112,9,FALSE)="Ice",Backdoors!BE18,IF(VLOOKUP(tbMoveset!A47,tbMoveset!A2:I112,9,FALSE)="Dragon",Backdoors!BF18,Backdoors!BG18)))))/100,Backdoors!BG18/100),"")</f>
        <v>0</v>
      </c>
      <c r="DE47" s="49">
        <f>IFERROR(IF(VLOOKUP(A47,tbMoveset!A2:J112,10,FALSE)=TRUE,IF((Backdoors!AI12+IF(DC47&gt;=0.45,VLOOKUP(Calculator!E23,tbSkills!DH3:DI6,2,FALSE)+IF(AND(Calculator!B8=TRUE,Backdoors!BI18=TRUE),VLOOKUP(Calculator!E23,tbSkills!DH3:DJ6,3,FALSE),0),0))&gt;=0,1+(Backdoors!AL2*(IF((Backdoors!AI12+IF(DC47&gt;=0.45,VLOOKUP(Calculator!E23,tbSkills!DH3:DI6,2,FALSE)+IF(AND(Calculator!B8=TRUE,Backdoors!BI18=TRUE),VLOOKUP(Calculator!E23,tbSkills!DH3:DJ6,3,FALSE),0),0))&gt;=100,100,(Backdoors!AI12+IF(DC47&gt;=0.45,VLOOKUP(Calculator!E23,tbSkills!DH3:DI6,2,FALSE)+IF(AND(Calculator!B8=TRUE,Backdoors!BI18=TRUE),VLOOKUP(Calculator!E23,tbSkills!DH3:DJ6,3,FALSE),0),0)))/100)),(1-(0.25*((-Backdoors!AI12-IF(DC47&gt;=0.45,VLOOKUP(Calculator!E23,tbSkills!DH3:DI6,2,FALSE)+IF(AND(Calculator!B8=TRUE,Backdoors!BI18=TRUE),VLOOKUP(Calculator!E23,tbSkills!DH3:DJ6,3,FALSE),0),0))/100)))),1),"")</f>
        <v>1</v>
      </c>
      <c r="DF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C47)*DE47)*(VLOOKUP(A47,tbMoveset!A2:C112,3,FALSE)/100)*IF(VLOOKUP(A47,tbMoveset!A2:B112,2,FALSE)="Projectile",Backdoors!N10,Backdoors!N9),0),"")</f>
        <v/>
      </c>
      <c r="DG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C47&gt;=0.45,VLOOKUP(Calculator!E23,tbSkills!DH3:DI6,2,FALSE)+IF(AND(Calculator!B8=TRUE,Backdoors!BI18=TRUE),VLOOKUP(Calculator!E23,tbSkills!DH3:DJ6,3,FALSE),0),0))&gt;=100,100,(Backdoors!AI12+IF(DC47&gt;=0.45,VLOOKUP(Calculator!E23,tbSkills!DH3:DI6,2,FALSE)+IF(AND(Calculator!B8=TRUE,Backdoors!BI18=TRUE),VLOOKUP(Calculator!E23,tbSkills!DH3:DJ6,3,FALSE),0),0)))/100)),1))*IF(VLOOKUP(A47,tbMoveset!A2:K112,11,FALSE)=TRUE,Backdoors!AC5,1))*DD47,0),"")</f>
        <v>0</v>
      </c>
      <c r="DH47" s="49">
        <f>VLOOKUP(A47,tbMoveset!A2:G112,7,FALSE)*IFERROR(IF(Backdoors!AI12&gt;=0,1+(IF(Calculator!E40&gt;0,VLOOKUP(Calculator!E40,tbSkills!AI3:AJ5,2,FALSE),Backdoors!AL4)*(IF((Backdoors!AI12+IF(DC47&gt;=0.45,VLOOKUP(Calculator!E23,tbSkills!DH3:DI6,2,FALSE)+IF(AND(Calculator!B8=TRUE,Backdoors!BI18=TRUE),VLOOKUP(Calculator!E23,tbSkills!DH3:DJ6,3,FALSE),0),0))&gt;=100,100,(Backdoors!AI12+IF(DC47&gt;=0.45,VLOOKUP(Calculator!E23,tbSkills!DH3:DI6,2,FALSE)+IF(AND(Calculator!B8=TRUE,Backdoors!BI18=TRUE),VLOOKUP(Calculator!E23,tbSkills!DH3:DJ6,3,FALSE),0),0)))/100)),1),1)</f>
        <v>0.6</v>
      </c>
      <c r="DI47" s="87">
        <f t="shared" si="9"/>
        <v>0</v>
      </c>
      <c r="DJ47" s="86" t="str">
        <f>IFERROR(IF(VLOOKUP(A47,tbMoveset!A2:B112,2,FALSE)="Sever",Backdoors!AY19/100,IF(VLOOKUP(A47,tbMoveset!A2:B112,2,FALSE)="Blunt",Backdoors!AZ19/100,Backdoors!BA19/100)),"")</f>
        <v/>
      </c>
      <c r="DK47" s="49">
        <f>IFERROR(IF(VLOOKUP(tbMoveset!A47,tbMoveset!A2:H112,8,FALSE)="Other",IF(VLOOKUP(tbMoveset!A47,tbMoveset!A2:I112,9,FALSE)="Fire",Backdoors!BB19,IF(VLOOKUP(tbMoveset!A47,tbMoveset!A2:I112,9,FALSE)="Water",Backdoors!BC19,IF(VLOOKUP(tbMoveset!A47,tbMoveset!A2:I112,9,FALSE)="Thunder",Backdoors!BD19,IF(VLOOKUP(tbMoveset!A47,tbMoveset!A2:I112,9,FALSE)="Ice",Backdoors!BE19,IF(VLOOKUP(tbMoveset!A47,tbMoveset!A2:I112,9,FALSE)="Dragon",Backdoors!BF19,Backdoors!BG19)))))/100,Backdoors!BG19/100),"")</f>
        <v>0</v>
      </c>
      <c r="DL47" s="49">
        <f>IFERROR(IF(VLOOKUP(A47,tbMoveset!A2:J112,10,FALSE)=TRUE,IF((Backdoors!AI12+IF(DJ47&gt;=0.45,VLOOKUP(Calculator!E23,tbSkills!DH3:DI6,2,FALSE)+IF(AND(Calculator!B8=TRUE,Backdoors!BI19=TRUE),VLOOKUP(Calculator!E23,tbSkills!DH3:DJ6,3,FALSE),0),0))&gt;=0,1+(Backdoors!AL2*(IF((Backdoors!AI12+IF(DJ47&gt;=0.45,VLOOKUP(Calculator!E23,tbSkills!DH3:DI6,2,FALSE)+IF(AND(Calculator!B8=TRUE,Backdoors!BI19=TRUE),VLOOKUP(Calculator!E23,tbSkills!DH3:DJ6,3,FALSE),0),0))&gt;=100,100,(Backdoors!AI12+IF(DJ47&gt;=0.45,VLOOKUP(Calculator!E23,tbSkills!DH3:DI6,2,FALSE)+IF(AND(Calculator!B8=TRUE,Backdoors!BI19=TRUE),VLOOKUP(Calculator!E23,tbSkills!DH3:DJ6,3,FALSE),0),0)))/100)),(1-(0.25*((-Backdoors!AI12-IF(DJ47&gt;=0.45,VLOOKUP(Calculator!E23,tbSkills!DH3:DI6,2,FALSE)+IF(AND(Calculator!B8=TRUE,Backdoors!BI19=TRUE),VLOOKUP(Calculator!E23,tbSkills!DH3:DJ6,3,FALSE),0),0))/100)))),1),"")</f>
        <v>1</v>
      </c>
      <c r="DM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J47)*DL47)*(VLOOKUP(A47,tbMoveset!A2:C112,3,FALSE)/100)*IF(VLOOKUP(A47,tbMoveset!A2:B112,2,FALSE)="Projectile",Backdoors!N10,Backdoors!N9),0),"")</f>
        <v/>
      </c>
      <c r="DN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J47&gt;=0.45,VLOOKUP(Calculator!E23,tbSkills!DH3:DI6,2,FALSE)+IF(AND(Calculator!B8=TRUE,Backdoors!BI19=TRUE),VLOOKUP(Calculator!E23,tbSkills!DH3:DJ6,3,FALSE),0),0))&gt;=100,100,(Backdoors!AI12+IF(DJ47&gt;=0.45,VLOOKUP(Calculator!E23,tbSkills!DH3:DI6,2,FALSE)+IF(AND(Calculator!B8=TRUE,Backdoors!BI19=TRUE),VLOOKUP(Calculator!E23,tbSkills!DH3:DJ6,3,FALSE),0),0)))/100)),1))*IF(VLOOKUP(A47,tbMoveset!A2:K112,11,FALSE)=TRUE,Backdoors!AC5,1))*DK47,0),"")</f>
        <v>0</v>
      </c>
      <c r="DO47" s="49">
        <f>VLOOKUP(A47,tbMoveset!A2:G112,7,FALSE)*IFERROR(IF(Backdoors!AI12&gt;=0,1+(IF(Calculator!E40&gt;0,VLOOKUP(Calculator!E40,tbSkills!AI3:AJ5,2,FALSE),Backdoors!AL4)*(IF((Backdoors!AI12+IF(DJ47&gt;=0.45,VLOOKUP(Calculator!E23,tbSkills!DH3:DI6,2,FALSE)+IF(AND(Calculator!B8=TRUE,Backdoors!BI19=TRUE),VLOOKUP(Calculator!E23,tbSkills!DH3:DJ6,3,FALSE),0),0))&gt;=100,100,(Backdoors!AI12+IF(DJ47&gt;=0.45,VLOOKUP(Calculator!E23,tbSkills!DH3:DI6,2,FALSE)+IF(AND(Calculator!B8=TRUE,Backdoors!BI19=TRUE),VLOOKUP(Calculator!E23,tbSkills!DH3:DJ6,3,FALSE),0),0)))/100)),1),1)</f>
        <v>0.6</v>
      </c>
      <c r="DP47" s="87">
        <f t="shared" si="41"/>
        <v>0</v>
      </c>
      <c r="DQ47" s="86" t="str">
        <f>IFERROR(IF(VLOOKUP(A47,tbMoveset!A2:B112,2,FALSE)="Sever",Backdoors!AY20/100,IF(VLOOKUP(A47,tbMoveset!A2:B112,2,FALSE)="Blunt",Backdoors!AZ20/100,Backdoors!BA20/100)),"")</f>
        <v/>
      </c>
      <c r="DR47" s="49">
        <f>IFERROR(IF(VLOOKUP(tbMoveset!A47,tbMoveset!A2:H112,8,FALSE)="Other",IF(VLOOKUP(tbMoveset!A47,tbMoveset!A2:I112,9,FALSE)="Fire",Backdoors!BB20,IF(VLOOKUP(tbMoveset!A47,tbMoveset!A2:I112,9,FALSE)="Water",Backdoors!BC20,IF(VLOOKUP(tbMoveset!A47,tbMoveset!A2:I112,9,FALSE)="Thunder",Backdoors!BD20,IF(VLOOKUP(tbMoveset!A47,tbMoveset!A2:I112,9,FALSE)="Ice",Backdoors!BE20,IF(VLOOKUP(tbMoveset!A47,tbMoveset!A2:I112,9,FALSE)="Dragon",Backdoors!BF20,Backdoors!BG20)))))/100,Backdoors!BG20/100),"")</f>
        <v>0</v>
      </c>
      <c r="DS47" s="49">
        <f>IFERROR(IF(VLOOKUP(A47,tbMoveset!A2:J112,10,FALSE)=TRUE,IF((Backdoors!AI12+IF(DQ47&gt;=0.45,VLOOKUP(Calculator!E23,tbSkills!DH3:DI6,2,FALSE)+IF(AND(Calculator!B8=TRUE,Backdoors!BI20=TRUE),VLOOKUP(Calculator!E23,tbSkills!DH3:DJ6,3,FALSE),0),0))&gt;=0,1+(Backdoors!AL2*(IF((Backdoors!AI12+IF(DQ47&gt;=0.45,VLOOKUP(Calculator!E23,tbSkills!DH3:DI6,2,FALSE)+IF(AND(Calculator!B8=TRUE,Backdoors!BI20=TRUE),VLOOKUP(Calculator!E23,tbSkills!DH3:DJ6,3,FALSE),0),0))&gt;=100,100,(Backdoors!AI12+IF(DQ47&gt;=0.45,VLOOKUP(Calculator!E23,tbSkills!DH3:DI6,2,FALSE)+IF(AND(Calculator!B8=TRUE,Backdoors!BI20=TRUE),VLOOKUP(Calculator!E23,tbSkills!DH3:DJ6,3,FALSE),0),0)))/100)),(1-(0.25*((-Backdoors!AI12-IF(DQ47&gt;=0.45,VLOOKUP(Calculator!E23,tbSkills!DH3:DI6,2,FALSE)+IF(AND(Calculator!B8=TRUE,Backdoors!BI20=TRUE),VLOOKUP(Calculator!E23,tbSkills!DH3:DJ6,3,FALSE),0),0))/100)))),1),"")</f>
        <v>1</v>
      </c>
      <c r="DT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Q47)*DS47)*(VLOOKUP(A47,tbMoveset!A2:C112,3,FALSE)/100)*IF(VLOOKUP(A47,tbMoveset!A2:B112,2,FALSE)="Projectile",Backdoors!N10,Backdoors!N9),0),"")</f>
        <v/>
      </c>
      <c r="DU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Q47&gt;=0.45,VLOOKUP(Calculator!E23,tbSkills!DH3:DI6,2,FALSE)+IF(AND(Calculator!B8=TRUE,Backdoors!BI20=TRUE),VLOOKUP(Calculator!E23,tbSkills!DH3:DJ6,3,FALSE),0),0))&gt;=100,100,(Backdoors!AI12+IF(DQ47&gt;=0.45,VLOOKUP(Calculator!E23,tbSkills!DH3:DI6,2,FALSE)+IF(AND(Calculator!B8=TRUE,Backdoors!BI20=TRUE),VLOOKUP(Calculator!E23,tbSkills!DH3:DJ6,3,FALSE),0),0)))/100)),1))*IF(VLOOKUP(A47,tbMoveset!A2:K112,11,FALSE)=TRUE,Backdoors!AC5,1))*DR47,0),"")</f>
        <v>0</v>
      </c>
      <c r="DV47" s="49">
        <f>VLOOKUP(A47,tbMoveset!A2:G112,7,FALSE)*IFERROR(IF(Backdoors!AI12&gt;=0,1+(IF(Calculator!E40&gt;0,VLOOKUP(Calculator!E40,tbSkills!AI3:AJ5,2,FALSE),Backdoors!AL4)*(IF((Backdoors!AI12+IF(DQ47&gt;=0.45,VLOOKUP(Calculator!E23,tbSkills!DH3:DI6,2,FALSE)+IF(AND(Calculator!B8=TRUE,Backdoors!BI20=TRUE),VLOOKUP(Calculator!E23,tbSkills!DH3:DJ6,3,FALSE),0),0))&gt;=100,100,(Backdoors!AI12+IF(DQ47&gt;=0.45,VLOOKUP(Calculator!E23,tbSkills!DH3:DI6,2,FALSE)+IF(AND(Calculator!B8=TRUE,Backdoors!BI20=TRUE),VLOOKUP(Calculator!E23,tbSkills!DH3:DJ6,3,FALSE),0),0)))/100)),1),1)</f>
        <v>0.6</v>
      </c>
      <c r="DW47" s="87">
        <f t="shared" si="10"/>
        <v>0</v>
      </c>
      <c r="DX47" s="86" t="str">
        <f>IFERROR(IF(VLOOKUP(A47,tbMoveset!A2:B112,2,FALSE)="Sever",Backdoors!AY21/100,IF(VLOOKUP(A47,tbMoveset!A2:B112,2,FALSE)="Blunt",Backdoors!AZ21/100,Backdoors!BA21/100)),"")</f>
        <v/>
      </c>
      <c r="DY47" s="49">
        <f>IFERROR(IF(VLOOKUP(tbMoveset!A47,tbMoveset!A2:H112,8,FALSE)="Other",IF(VLOOKUP(tbMoveset!A47,tbMoveset!A2:I112,9,FALSE)="Fire",Backdoors!BB21,IF(VLOOKUP(tbMoveset!A47,tbMoveset!A2:I112,9,FALSE)="Water",Backdoors!BC21,IF(VLOOKUP(tbMoveset!A47,tbMoveset!A2:I112,9,FALSE)="Thunder",Backdoors!BD21,IF(VLOOKUP(tbMoveset!A47,tbMoveset!A2:I112,9,FALSE)="Ice",Backdoors!BE21,IF(VLOOKUP(tbMoveset!A47,tbMoveset!A2:I112,9,FALSE)="Dragon",Backdoors!BF21,Backdoors!BG21)))))/100,Backdoors!BG21/100),"")</f>
        <v>0</v>
      </c>
      <c r="DZ47" s="49">
        <f>IFERROR(IF(VLOOKUP(A47,tbMoveset!A2:J112,10,FALSE)=TRUE,IF((Backdoors!AI12+IF(DX47&gt;=0.45,VLOOKUP(Calculator!E23,tbSkills!DH3:DI6,2,FALSE)+IF(AND(Calculator!B8=TRUE,Backdoors!BI21=TRUE),VLOOKUP(Calculator!E23,tbSkills!DH3:DJ6,3,FALSE),0),0))&gt;=0,1+(Backdoors!AL2*(IF((Backdoors!AI12+IF(DX47&gt;=0.45,VLOOKUP(Calculator!E23,tbSkills!DH3:DI6,2,FALSE)+IF(AND(Calculator!B8=TRUE,Backdoors!BI21=TRUE),VLOOKUP(Calculator!E23,tbSkills!DH3:DJ6,3,FALSE),0),0))&gt;=100,100,(Backdoors!AI12+IF(DX47&gt;=0.45,VLOOKUP(Calculator!E23,tbSkills!DH3:DI6,2,FALSE)+IF(AND(Calculator!B8=TRUE,Backdoors!BI21=TRUE),VLOOKUP(Calculator!E23,tbSkills!DH3:DJ6,3,FALSE),0),0)))/100)),(1-(0.25*((-Backdoors!AI12-IF(DX47&gt;=0.45,VLOOKUP(Calculator!E23,tbSkills!DH3:DI6,2,FALSE)+IF(AND(Calculator!B8=TRUE,Backdoors!BI21=TRUE),VLOOKUP(Calculator!E23,tbSkills!DH3:DJ6,3,FALSE),0),0))/100)))),1),"")</f>
        <v>1</v>
      </c>
      <c r="EA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X47)*DZ47)*(VLOOKUP(A47,tbMoveset!A2:C112,3,FALSE)/100)*IF(VLOOKUP(A47,tbMoveset!A2:B112,2,FALSE)="Projectile",Backdoors!N10,Backdoors!N9),0),"")</f>
        <v/>
      </c>
      <c r="EB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X47&gt;=0.45,VLOOKUP(Calculator!E23,tbSkills!DH3:DI6,2,FALSE)+IF(AND(Calculator!B8=TRUE,Backdoors!BI21=TRUE),VLOOKUP(Calculator!E23,tbSkills!DH3:DJ6,3,FALSE),0),0))&gt;=100,100,(Backdoors!AI12+IF(DX47&gt;=0.45,VLOOKUP(Calculator!E23,tbSkills!DH3:DI6,2,FALSE)+IF(AND(Calculator!B8=TRUE,Backdoors!BI21=TRUE),VLOOKUP(Calculator!E23,tbSkills!DH3:DJ6,3,FALSE),0),0)))/100)),1))*IF(VLOOKUP(A47,tbMoveset!A2:K112,11,FALSE)=TRUE,Backdoors!AC5,1))*DY47,0),"")</f>
        <v>0</v>
      </c>
      <c r="EC47" s="49">
        <f>VLOOKUP(A47,tbMoveset!A2:G112,7,FALSE)*IFERROR(IF(Backdoors!AI12&gt;=0,1+(IF(Calculator!E40&gt;0,VLOOKUP(Calculator!E40,tbSkills!AI3:AJ5,2,FALSE),Backdoors!AL4)*(IF((Backdoors!AI12+IF(DX47&gt;=0.45,VLOOKUP(Calculator!E23,tbSkills!DH3:DI6,2,FALSE)+IF(AND(Calculator!B8=TRUE,Backdoors!BI21=TRUE),VLOOKUP(Calculator!E23,tbSkills!DH3:DJ6,3,FALSE),0),0))&gt;=100,100,(Backdoors!AI12+IF(DX47&gt;=0.45,VLOOKUP(Calculator!E23,tbSkills!DH3:DI6,2,FALSE)+IF(AND(Calculator!B8=TRUE,Backdoors!BI21=TRUE),VLOOKUP(Calculator!E23,tbSkills!DH3:DJ6,3,FALSE),0),0)))/100)),1),1)</f>
        <v>0.6</v>
      </c>
      <c r="ED47" s="87">
        <f t="shared" si="11"/>
        <v>0</v>
      </c>
      <c r="EE47" s="86" t="str">
        <f>IFERROR(IF(VLOOKUP(A47,tbMoveset!A2:B112,2,FALSE)="Sever",Backdoors!AY22/100,IF(VLOOKUP(A47,tbMoveset!A2:B112,2,FALSE)="Blunt",Backdoors!AZ22/100,Backdoors!BA22/100)),"")</f>
        <v/>
      </c>
      <c r="EF47" s="49">
        <f>IFERROR(IF(VLOOKUP(tbMoveset!A47,tbMoveset!A2:H112,8,FALSE)="Other",IF(VLOOKUP(tbMoveset!A47,tbMoveset!A2:I112,9,FALSE)="Fire",Backdoors!BB22,IF(VLOOKUP(tbMoveset!A47,tbMoveset!A2:I112,9,FALSE)="Water",Backdoors!BC22,IF(VLOOKUP(tbMoveset!A47,tbMoveset!A2:I112,9,FALSE)="Thunder",Backdoors!BD22,IF(VLOOKUP(tbMoveset!A47,tbMoveset!A2:I112,9,FALSE)="Ice",Backdoors!BE22,IF(VLOOKUP(tbMoveset!A47,tbMoveset!A2:I112,9,FALSE)="Dragon",Backdoors!BF22,Backdoors!BG22)))))/100,Backdoors!BG22/100),"")</f>
        <v>0</v>
      </c>
      <c r="EG47" s="49">
        <f>IFERROR(IF(VLOOKUP(A47,tbMoveset!A2:J112,10,FALSE)=TRUE,IF((Backdoors!AI12+IF(EE47&gt;=0.45,VLOOKUP(Calculator!E23,tbSkills!DH3:DI6,2,FALSE)+IF(AND(Calculator!B8=TRUE,Backdoors!BI22=TRUE),VLOOKUP(Calculator!E23,tbSkills!DH3:DJ6,3,FALSE),0),0))&gt;=0,1+(Backdoors!AL2*(IF((Backdoors!AI12+IF(EE47&gt;=0.45,VLOOKUP(Calculator!E23,tbSkills!DH3:DI6,2,FALSE)+IF(AND(Calculator!B8=TRUE,Backdoors!BI22=TRUE),VLOOKUP(Calculator!E23,tbSkills!DH3:DJ6,3,FALSE),0),0))&gt;=100,100,(Backdoors!AI12+IF(EE47&gt;=0.45,VLOOKUP(Calculator!E23,tbSkills!DH3:DI6,2,FALSE)+IF(AND(Calculator!B8=TRUE,Backdoors!BI22=TRUE),VLOOKUP(Calculator!E23,tbSkills!DH3:DJ6,3,FALSE),0),0)))/100)),(1-(0.25*((-Backdoors!AI12-IF(EE47&gt;=0.45,VLOOKUP(Calculator!E23,tbSkills!DH3:DI6,2,FALSE)+IF(AND(Calculator!B8=TRUE,Backdoors!BI22=TRUE),VLOOKUP(Calculator!E23,tbSkills!DH3:DJ6,3,FALSE),0),0))/100)))),1),"")</f>
        <v>1</v>
      </c>
      <c r="EH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E47)*EG47)*(VLOOKUP(A47,tbMoveset!A2:C112,3,FALSE)/100)*IF(VLOOKUP(A47,tbMoveset!A2:B112,2,FALSE)="Projectile",Backdoors!N10,Backdoors!N9),0),"")</f>
        <v/>
      </c>
      <c r="EI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E47&gt;=0.45,VLOOKUP(Calculator!E23,tbSkills!DH3:DI6,2,FALSE)+IF(AND(Calculator!B8=TRUE,Backdoors!BI22=TRUE),VLOOKUP(Calculator!E23,tbSkills!DH3:DJ6,3,FALSE),0),0))&gt;=100,100,(Backdoors!AI12+IF(EE47&gt;=0.45,VLOOKUP(Calculator!E23,tbSkills!DH3:DI6,2,FALSE)+IF(AND(Calculator!B8=TRUE,Backdoors!BI22=TRUE),VLOOKUP(Calculator!E23,tbSkills!DH3:DJ6,3,FALSE),0),0)))/100)),1))*IF(VLOOKUP(A47,tbMoveset!A2:K112,11,FALSE)=TRUE,Backdoors!AC5,1))*EF47,0),"")</f>
        <v>0</v>
      </c>
      <c r="EJ47" s="49">
        <f>VLOOKUP(A47,tbMoveset!A2:G112,7,FALSE)*IFERROR(IF(Backdoors!AI12&gt;=0,1+(IF(Calculator!E40&gt;0,VLOOKUP(Calculator!E40,tbSkills!AI3:AJ5,2,FALSE),Backdoors!AL4)*(IF((Backdoors!AI12+IF(EE47&gt;=0.45,VLOOKUP(Calculator!E23,tbSkills!DH3:DI6,2,FALSE)+IF(AND(Calculator!B8=TRUE,Backdoors!BI22=TRUE),VLOOKUP(Calculator!E23,tbSkills!DH3:DJ6,3,FALSE),0),0))&gt;=100,100,(Backdoors!AI12+IF(EE47&gt;=0.45,VLOOKUP(Calculator!E23,tbSkills!DH3:DI6,2,FALSE)+IF(AND(Calculator!B8=TRUE,Backdoors!BI22=TRUE),VLOOKUP(Calculator!E23,tbSkills!DH3:DJ6,3,FALSE),0),0)))/100)),1),1)</f>
        <v>0.6</v>
      </c>
      <c r="EK47" s="87">
        <f t="shared" si="12"/>
        <v>0</v>
      </c>
      <c r="EL47" s="86" t="str">
        <f>IFERROR(IF(VLOOKUP(A47,tbMoveset!A2:B112,2,FALSE)="Sever",Backdoors!AY23/100,IF(VLOOKUP(A47,tbMoveset!A2:B112,2,FALSE)="Blunt",Backdoors!AZ23/100,Backdoors!BA23/100)),"")</f>
        <v/>
      </c>
      <c r="EM47" s="49">
        <f>IFERROR(IF(VLOOKUP(tbMoveset!A47,tbMoveset!A2:H112,8,FALSE)="Other",IF(VLOOKUP(tbMoveset!A47,tbMoveset!A2:I112,9,FALSE)="Fire",Backdoors!BB23,IF(VLOOKUP(tbMoveset!A47,tbMoveset!A2:I112,9,FALSE)="Water",Backdoors!BC23,IF(VLOOKUP(tbMoveset!A47,tbMoveset!A2:I112,9,FALSE)="Thunder",Backdoors!BD23,IF(VLOOKUP(tbMoveset!A47,tbMoveset!A2:I112,9,FALSE)="Ice",Backdoors!BE23,IF(VLOOKUP(tbMoveset!A47,tbMoveset!A2:I112,9,FALSE)="Dragon",Backdoors!BF23,Backdoors!BG23)))))/100,Backdoors!BG23/100),"")</f>
        <v>0</v>
      </c>
      <c r="EN47" s="49">
        <f>IFERROR(IF(VLOOKUP(A47,tbMoveset!A2:J112,10,FALSE)=TRUE,IF((Backdoors!AI12+IF(EL47&gt;=0.45,VLOOKUP(Calculator!E23,tbSkills!DH3:DI6,2,FALSE)+IF(AND(Calculator!B8=TRUE,Backdoors!BI23=TRUE),VLOOKUP(Calculator!E23,tbSkills!DH3:DJ6,3,FALSE),0),0))&gt;=0,1+(Backdoors!AL2*(IF((Backdoors!AI12+IF(EL47&gt;=0.45,VLOOKUP(Calculator!E23,tbSkills!DH3:DI6,2,FALSE)+IF(AND(Calculator!B8=TRUE,Backdoors!BI23=TRUE),VLOOKUP(Calculator!E23,tbSkills!DH3:DJ6,3,FALSE),0),0))&gt;=100,100,(Backdoors!AI12+IF(EL47&gt;=0.45,VLOOKUP(Calculator!E23,tbSkills!DH3:DI6,2,FALSE)+IF(AND(Calculator!B8=TRUE,Backdoors!BI23=TRUE),VLOOKUP(Calculator!E23,tbSkills!DH3:DJ6,3,FALSE),0),0)))/100)),(1-(0.25*((-Backdoors!AI12-IF(EL47&gt;=0.45,VLOOKUP(Calculator!E23,tbSkills!DH3:DI6,2,FALSE)+IF(AND(Calculator!B8=TRUE,Backdoors!BI23=TRUE),VLOOKUP(Calculator!E23,tbSkills!DH3:DJ6,3,FALSE),0),0))/100)))),1),"")</f>
        <v>1</v>
      </c>
      <c r="EO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L47)*EN47)*(VLOOKUP(A47,tbMoveset!A2:C112,3,FALSE)/100)*IF(VLOOKUP(A47,tbMoveset!A2:B112,2,FALSE)="Projectile",Backdoors!N10,Backdoors!N9),0),"")</f>
        <v/>
      </c>
      <c r="EP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L47&gt;=0.45,VLOOKUP(Calculator!E23,tbSkills!DH3:DI6,2,FALSE)+IF(AND(Calculator!B8=TRUE,Backdoors!BI23=TRUE),VLOOKUP(Calculator!E23,tbSkills!DH3:DJ6,3,FALSE),0),0))&gt;=100,100,(Backdoors!AI12+IF(EL47&gt;=0.45,VLOOKUP(Calculator!E23,tbSkills!DH3:DI6,2,FALSE)+IF(AND(Calculator!B8=TRUE,Backdoors!BI23=TRUE),VLOOKUP(Calculator!E23,tbSkills!DH3:DJ6,3,FALSE),0),0)))/100)),1))*IF(VLOOKUP(A47,tbMoveset!A2:K112,11,FALSE)=TRUE,Backdoors!AC5,1))*EM47,0),"")</f>
        <v>0</v>
      </c>
      <c r="EQ47" s="49">
        <f>VLOOKUP(A47,tbMoveset!A2:G112,7,FALSE)*IFERROR(IF(Backdoors!AI12&gt;=0,1+(IF(Calculator!E40&gt;0,VLOOKUP(Calculator!E40,tbSkills!AI3:AJ5,2,FALSE),Backdoors!AL4)*(IF((Backdoors!AI12+IF(EL47&gt;=0.45,VLOOKUP(Calculator!E23,tbSkills!DH3:DI6,2,FALSE)+IF(AND(Calculator!B8=TRUE,Backdoors!BI23=TRUE),VLOOKUP(Calculator!E23,tbSkills!DH3:DJ6,3,FALSE),0),0))&gt;=100,100,(Backdoors!AI12+IF(EL47&gt;=0.45,VLOOKUP(Calculator!E23,tbSkills!DH3:DI6,2,FALSE)+IF(AND(Calculator!B8=TRUE,Backdoors!BI23=TRUE),VLOOKUP(Calculator!E23,tbSkills!DH3:DJ6,3,FALSE),0),0)))/100)),1),1)</f>
        <v>0.6</v>
      </c>
      <c r="ER47" s="87">
        <f t="shared" si="13"/>
        <v>0</v>
      </c>
      <c r="ES47" s="86" t="str">
        <f>IFERROR(IF(VLOOKUP(A47,tbMoveset!A2:B112,2,FALSE)="Sever",Backdoors!AY24/100,IF(VLOOKUP(A47,tbMoveset!A2:B112,2,FALSE)="Blunt",Backdoors!AZ24/100,Backdoors!BA24/100)),"")</f>
        <v/>
      </c>
      <c r="ET47" s="49">
        <f>IFERROR(IF(VLOOKUP(tbMoveset!A47,tbMoveset!A2:H112,8,FALSE)="Other",IF(VLOOKUP(tbMoveset!A47,tbMoveset!A2:I112,9,FALSE)="Fire",Backdoors!BB24,IF(VLOOKUP(tbMoveset!A47,tbMoveset!A2:I112,9,FALSE)="Water",Backdoors!BC24,IF(VLOOKUP(tbMoveset!A47,tbMoveset!A2:I112,9,FALSE)="Thunder",Backdoors!BD24,IF(VLOOKUP(tbMoveset!A47,tbMoveset!A2:I112,9,FALSE)="Ice",Backdoors!BE24,IF(VLOOKUP(tbMoveset!A47,tbMoveset!A2:I112,9,FALSE)="Dragon",Backdoors!BF24,Backdoors!BG24)))))/100,Backdoors!BG24/100),"")</f>
        <v>0</v>
      </c>
      <c r="EU47" s="49">
        <f>IFERROR(IF(VLOOKUP(A47,tbMoveset!A2:J112,10,FALSE)=TRUE,IF((Backdoors!AI12+IF(ES47&gt;=0.45,VLOOKUP(Calculator!E23,tbSkills!DH3:DI6,2,FALSE)+IF(AND(Calculator!B8=TRUE,Backdoors!BI24=TRUE),VLOOKUP(Calculator!E23,tbSkills!DH3:DJ6,3,FALSE),0),0))&gt;=0,1+(Backdoors!AL2*(IF((Backdoors!AI12+IF(ES47&gt;=0.45,VLOOKUP(Calculator!E23,tbSkills!DH3:DI6,2,FALSE)+IF(AND(Calculator!B8=TRUE,Backdoors!BI24=TRUE),VLOOKUP(Calculator!E23,tbSkills!DH3:DJ6,3,FALSE),0),0))&gt;=100,100,(Backdoors!AI12+IF(ES47&gt;=0.45,VLOOKUP(Calculator!E23,tbSkills!DH3:DI6,2,FALSE)+IF(AND(Calculator!B8=TRUE,Backdoors!BI24=TRUE),VLOOKUP(Calculator!E23,tbSkills!DH3:DJ6,3,FALSE),0),0)))/100)),(1-(0.25*((-Backdoors!AI12-IF(ES47&gt;=0.45,VLOOKUP(Calculator!E23,tbSkills!DH3:DI6,2,FALSE)+IF(AND(Calculator!B8=TRUE,Backdoors!BI24=TRUE),VLOOKUP(Calculator!E23,tbSkills!DH3:DJ6,3,FALSE),0),0))/100)))),1),"")</f>
        <v>1</v>
      </c>
      <c r="EV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S47)*EU47)*(VLOOKUP(A47,tbMoveset!A2:C112,3,FALSE)/100)*IF(VLOOKUP(A47,tbMoveset!A2:B112,2,FALSE)="Projectile",Backdoors!N10,Backdoors!N9),0),"")</f>
        <v/>
      </c>
      <c r="EW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S47&gt;=0.45,VLOOKUP(Calculator!E23,tbSkills!DH3:DI6,2,FALSE)+IF(AND(Calculator!B8=TRUE,Backdoors!BI24=TRUE),VLOOKUP(Calculator!E23,tbSkills!DH3:DJ6,3,FALSE),0),0))&gt;=100,100,(Backdoors!AI12+IF(ES47&gt;=0.45,VLOOKUP(Calculator!E23,tbSkills!DH3:DI6,2,FALSE)+IF(AND(Calculator!B8=TRUE,Backdoors!BI24=TRUE),VLOOKUP(Calculator!E23,tbSkills!DH3:DJ6,3,FALSE),0),0)))/100)),1))*IF(VLOOKUP(A47,tbMoveset!A2:K112,11,FALSE)=TRUE,Backdoors!AC5,1))*ET47,0),"")</f>
        <v>0</v>
      </c>
      <c r="EX47" s="49">
        <f>VLOOKUP(A47,tbMoveset!A2:G112,7,FALSE)*IFERROR(IF(Backdoors!AI12&gt;=0,1+(IF(Calculator!E40&gt;0,VLOOKUP(Calculator!E40,tbSkills!AI3:AJ5,2,FALSE),Backdoors!AL4)*(IF((Backdoors!AI12+IF(ES47&gt;=0.45,VLOOKUP(Calculator!E23,tbSkills!DH3:DI6,2,FALSE)+IF(AND(Calculator!B8=TRUE,Backdoors!BI24=TRUE),VLOOKUP(Calculator!E23,tbSkills!DH3:DJ6,3,FALSE),0),0))&gt;=100,100,(Backdoors!AI12+IF(ES47&gt;=0.45,VLOOKUP(Calculator!E23,tbSkills!DH3:DI6,2,FALSE)+IF(AND(Calculator!B8=TRUE,Backdoors!BI24=TRUE),VLOOKUP(Calculator!E23,tbSkills!DH3:DJ6,3,FALSE),0),0)))/100)),1),1)</f>
        <v>0.6</v>
      </c>
      <c r="EY47" s="87">
        <f t="shared" si="14"/>
        <v>0</v>
      </c>
      <c r="EZ47" s="86" t="str">
        <f>IFERROR(IF(VLOOKUP(A47,tbMoveset!A2:B112,2,FALSE)="Sever",Backdoors!AY25/100,IF(VLOOKUP(A47,tbMoveset!A2:B112,2,FALSE)="Blunt",Backdoors!AZ25/100,Backdoors!BA25/100)),"")</f>
        <v/>
      </c>
      <c r="FA47" s="49">
        <f>IFERROR(IF(VLOOKUP(tbMoveset!A47,tbMoveset!A2:H112,8,FALSE)="Other",IF(VLOOKUP(tbMoveset!A47,tbMoveset!A2:I112,9,FALSE)="Fire",Backdoors!BB25,IF(VLOOKUP(tbMoveset!A47,tbMoveset!A2:I112,9,FALSE)="Water",Backdoors!BC25,IF(VLOOKUP(tbMoveset!A47,tbMoveset!A2:I112,9,FALSE)="Thunder",Backdoors!BD25,IF(VLOOKUP(tbMoveset!A47,tbMoveset!A2:I112,9,FALSE)="Ice",Backdoors!BE25,IF(VLOOKUP(tbMoveset!A47,tbMoveset!A2:I112,9,FALSE)="Dragon",Backdoors!BF25,Backdoors!BG25)))))/100,Backdoors!BG25/100),"")</f>
        <v>0</v>
      </c>
      <c r="FB47" s="49">
        <f>IFERROR(IF(VLOOKUP(A47,tbMoveset!A2:J112,10,FALSE)=TRUE,IF((Backdoors!AI12+IF(EZ47&gt;=0.45,VLOOKUP(Calculator!E23,tbSkills!DH3:DI6,2,FALSE)+IF(AND(Calculator!B8=TRUE,Backdoors!BI25=TRUE),VLOOKUP(Calculator!E23,tbSkills!DH3:DJ6,3,FALSE),0),0))&gt;=0,1+(Backdoors!AL2*(IF((Backdoors!AI12+IF(EZ47&gt;=0.45,VLOOKUP(Calculator!E23,tbSkills!DH3:DI6,2,FALSE)+IF(AND(Calculator!B8=TRUE,Backdoors!BI25=TRUE),VLOOKUP(Calculator!E23,tbSkills!DH3:DJ6,3,FALSE),0),0))&gt;=100,100,(Backdoors!AI12+IF(EZ47&gt;=0.45,VLOOKUP(Calculator!E23,tbSkills!DH3:DI6,2,FALSE)+IF(AND(Calculator!B8=TRUE,Backdoors!BI25=TRUE),VLOOKUP(Calculator!E23,tbSkills!DH3:DJ6,3,FALSE),0),0)))/100)),(1-(0.25*((-Backdoors!AI12-IF(EZ47&gt;=0.45,VLOOKUP(Calculator!E23,tbSkills!DH3:DI6,2,FALSE)+IF(AND(Calculator!B8=TRUE,Backdoors!BI25=TRUE),VLOOKUP(Calculator!E23,tbSkills!DH3:DJ6,3,FALSE),0),0))/100)))),1),"")</f>
        <v>1</v>
      </c>
      <c r="FC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Z47)*FB47)*(VLOOKUP(A47,tbMoveset!A2:C112,3,FALSE)/100)*IF(VLOOKUP(A47,tbMoveset!A2:B112,2,FALSE)="Projectile",Backdoors!N10,Backdoors!N9),0),"")</f>
        <v/>
      </c>
      <c r="FD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Z47&gt;=0.45,VLOOKUP(Calculator!E23,tbSkills!DH3:DI6,2,FALSE)+IF(AND(Calculator!B8=TRUE,Backdoors!BI25=TRUE),VLOOKUP(Calculator!E23,tbSkills!DH3:DJ6,3,FALSE),0),0))&gt;=100,100,(Backdoors!AI12+IF(EZ47&gt;=0.45,VLOOKUP(Calculator!E23,tbSkills!DH3:DI6,2,FALSE)+IF(AND(Calculator!B8=TRUE,Backdoors!BI25=TRUE),VLOOKUP(Calculator!E23,tbSkills!DH3:DJ6,3,FALSE),0),0)))/100)),1))*IF(VLOOKUP(A47,tbMoveset!A2:K112,11,FALSE)=TRUE,Backdoors!AC5,1))*FA47,0),"")</f>
        <v>0</v>
      </c>
      <c r="FE47" s="49">
        <f>VLOOKUP(A47,tbMoveset!A2:G112,7,FALSE)*IFERROR(IF(Backdoors!AI12&gt;=0,1+(IF(Calculator!E40&gt;0,VLOOKUP(Calculator!E40,tbSkills!AI3:AJ5,2,FALSE),Backdoors!AL4)*(IF((Backdoors!AI12+IF(EZ47&gt;=0.45,VLOOKUP(Calculator!E23,tbSkills!DH3:DI6,2,FALSE)+IF(AND(Calculator!B8=TRUE,Backdoors!BI25=TRUE),VLOOKUP(Calculator!E23,tbSkills!DH3:DJ6,3,FALSE),0),0))&gt;=100,100,(Backdoors!AI12+IF(EZ47&gt;=0.45,VLOOKUP(Calculator!E23,tbSkills!DH3:DI6,2,FALSE)+IF(AND(Calculator!B8=TRUE,Backdoors!BI25=TRUE),VLOOKUP(Calculator!E23,tbSkills!DH3:DJ6,3,FALSE),0),0)))/100)),1),1)</f>
        <v>0.6</v>
      </c>
      <c r="FF47" s="87">
        <f t="shared" si="15"/>
        <v>0</v>
      </c>
      <c r="FG47" s="86" t="str">
        <f>IFERROR(IF(VLOOKUP(A47,tbMoveset!A2:B112,2,FALSE)="Sever",Backdoors!AY26/100,IF(VLOOKUP(A47,tbMoveset!A2:B112,2,FALSE)="Blunt",Backdoors!AZ26/100,Backdoors!BA26/100)),"")</f>
        <v/>
      </c>
      <c r="FH47" s="49">
        <f>IFERROR(IF(VLOOKUP(tbMoveset!A47,tbMoveset!A2:H112,8,FALSE)="Other",IF(VLOOKUP(tbMoveset!A47,tbMoveset!A2:I112,9,FALSE)="Fire",Backdoors!BB26,IF(VLOOKUP(tbMoveset!A47,tbMoveset!A2:I112,9,FALSE)="Water",Backdoors!BC26,IF(VLOOKUP(tbMoveset!A47,tbMoveset!A2:I112,9,FALSE)="Thunder",Backdoors!BD26,IF(VLOOKUP(tbMoveset!A47,tbMoveset!A2:I112,9,FALSE)="Ice",Backdoors!BE26,IF(VLOOKUP(tbMoveset!A47,tbMoveset!A2:I112,9,FALSE)="Dragon",Backdoors!BF26,Backdoors!BG26)))))/100,Backdoors!BG26/100),"")</f>
        <v>0</v>
      </c>
      <c r="FI47" s="49">
        <f>IFERROR(IF(VLOOKUP(A47,tbMoveset!A2:J112,10,FALSE)=TRUE,IF((Backdoors!AI12+IF(FG47&gt;=0.45,VLOOKUP(Calculator!E23,tbSkills!DH3:DI6,2,FALSE)+IF(AND(Calculator!B8=TRUE,Backdoors!BI26=TRUE),VLOOKUP(Calculator!E23,tbSkills!DH3:DJ6,3,FALSE),0),0))&gt;=0,1+(Backdoors!AL2*(IF((Backdoors!AI12+IF(FG47&gt;=0.45,VLOOKUP(Calculator!E23,tbSkills!DH3:DI6,2,FALSE)+IF(AND(Calculator!B8=TRUE,Backdoors!BI26=TRUE),VLOOKUP(Calculator!E23,tbSkills!DH3:DJ6,3,FALSE),0),0))&gt;=100,100,(Backdoors!AI12+IF(FG47&gt;=0.45,VLOOKUP(Calculator!E23,tbSkills!DH3:DI6,2,FALSE)+IF(AND(Calculator!B8=TRUE,Backdoors!BI26=TRUE),VLOOKUP(Calculator!E23,tbSkills!DH3:DJ6,3,FALSE),0),0)))/100)),(1-(0.25*((-Backdoors!AI12-IF(FG47&gt;=0.45,VLOOKUP(Calculator!E23,tbSkills!DH3:DI6,2,FALSE)+IF(AND(Calculator!B8=TRUE,Backdoors!BI26=TRUE),VLOOKUP(Calculator!E23,tbSkills!DH3:DJ6,3,FALSE),0),0))/100)))),1),"")</f>
        <v>1</v>
      </c>
      <c r="FJ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FG47)*FI47)*(VLOOKUP(A47,tbMoveset!A2:C112,3,FALSE)/100)*IF(VLOOKUP(A47,tbMoveset!A2:B112,2,FALSE)="Projectile",Backdoors!N10,Backdoors!N9),0),"")</f>
        <v/>
      </c>
      <c r="FK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FG47&gt;=0.45,VLOOKUP(Calculator!E23,tbSkills!DH3:DI6,2,FALSE)+IF(AND(Calculator!B8=TRUE,Backdoors!BI26=TRUE),VLOOKUP(Calculator!E23,tbSkills!DH3:DJ6,3,FALSE),0),0))&gt;=100,100,(Backdoors!AI12+IF(FG47&gt;=0.45,VLOOKUP(Calculator!E23,tbSkills!DH3:DI6,2,FALSE)+IF(AND(Calculator!B8=TRUE,Backdoors!BI26=TRUE),VLOOKUP(Calculator!E23,tbSkills!DH3:DJ6,3,FALSE),0),0)))/100)),1))*IF(VLOOKUP(A47,tbMoveset!A2:K112,11,FALSE)=TRUE,Backdoors!AC5,1))*FH47,0),"")</f>
        <v>0</v>
      </c>
      <c r="FL47" s="49">
        <f>VLOOKUP(A47,tbMoveset!A2:G112,7,FALSE)*IFERROR(IF(Backdoors!AI12&gt;=0,1+(IF(Calculator!E40&gt;0,VLOOKUP(Calculator!E40,tbSkills!AI3:AJ5,2,FALSE),Backdoors!AL4)*(IF((Backdoors!AI12+IF(FG47&gt;=0.45,VLOOKUP(Calculator!E23,tbSkills!DH3:DI6,2,FALSE)+IF(AND(Calculator!B8=TRUE,Backdoors!BI26=TRUE),VLOOKUP(Calculator!E23,tbSkills!DH3:DJ6,3,FALSE),0),0))&gt;=100,100,(Backdoors!AI12+IF(FG47&gt;=0.45,VLOOKUP(Calculator!E23,tbSkills!DH3:DI6,2,FALSE)+IF(AND(Calculator!B8=TRUE,Backdoors!BI26=TRUE),VLOOKUP(Calculator!E23,tbSkills!DH3:DJ6,3,FALSE),0),0)))/100)),1),1)</f>
        <v>0.6</v>
      </c>
      <c r="FM47" s="87">
        <f t="shared" si="16"/>
        <v>0</v>
      </c>
      <c r="FN47" s="86" t="str">
        <f>IFERROR(IF(VLOOKUP(A47,tbMoveset!A2:B112,2,FALSE)="Sever",Backdoors!AY27/100,IF(VLOOKUP(A47,tbMoveset!A2:B112,2,FALSE)="Blunt",Backdoors!AZ27/100,Backdoors!BA27/100)),"")</f>
        <v/>
      </c>
      <c r="FO47" s="49">
        <f>IFERROR(IF(VLOOKUP(tbMoveset!A47,tbMoveset!A2:H112,8,FALSE)="Other",IF(VLOOKUP(tbMoveset!A47,tbMoveset!A2:I112,9,FALSE)="Fire",Backdoors!BB27,IF(VLOOKUP(tbMoveset!A47,tbMoveset!A2:I112,9,FALSE)="Water",Backdoors!BC27,IF(VLOOKUP(tbMoveset!A47,tbMoveset!A2:I112,9,FALSE)="Thunder",Backdoors!BD27,IF(VLOOKUP(tbMoveset!A47,tbMoveset!A2:I112,9,FALSE)="Ice",Backdoors!BE27,IF(VLOOKUP(tbMoveset!A47,tbMoveset!A2:I112,9,FALSE)="Dragon",Backdoors!BF27,Backdoors!BG27)))))/100,Backdoors!BG27/100),"")</f>
        <v>0</v>
      </c>
      <c r="FP47" s="49">
        <f>IFERROR(IF(VLOOKUP(A47,tbMoveset!A2:J112,10,FALSE)=TRUE,IF((Backdoors!AI12+IF(FN47&gt;=0.45,VLOOKUP(Calculator!E23,tbSkills!DH3:DI6,2,FALSE)+IF(AND(Calculator!B8=TRUE,Backdoors!BI27=TRUE),VLOOKUP(Calculator!E23,tbSkills!DH3:DJ6,3,FALSE),0),0))&gt;=0,1+(Backdoors!AL2*(IF((Backdoors!AI12+IF(FN47&gt;=0.45,VLOOKUP(Calculator!E23,tbSkills!DH3:DI6,2,FALSE)+IF(AND(Calculator!B8=TRUE,Backdoors!BI27=TRUE),VLOOKUP(Calculator!E23,tbSkills!DH3:DJ6,3,FALSE),0),0))&gt;=100,100,(Backdoors!AI12+IF(FN47&gt;=0.45,VLOOKUP(Calculator!E23,tbSkills!DH3:DI6,2,FALSE)+IF(AND(Calculator!B8=TRUE,Backdoors!BI27=TRUE),VLOOKUP(Calculator!E23,tbSkills!DH3:DJ6,3,FALSE),0),0)))/100)),(1-(0.25*((-Backdoors!AI12-IF(FN47&gt;=0.45,VLOOKUP(Calculator!E23,tbSkills!DH3:DI6,2,FALSE)+IF(AND(Calculator!B8=TRUE,Backdoors!BI27=TRUE),VLOOKUP(Calculator!E23,tbSkills!DH3:DJ6,3,FALSE),0),0))/100)))),1),"")</f>
        <v>1</v>
      </c>
      <c r="FQ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FN47)*FP47)*(VLOOKUP(A47,tbMoveset!A2:C112,3,FALSE)/100)*IF(VLOOKUP(A47,tbMoveset!A2:B112,2,FALSE)="Projectile",Backdoors!N10,Backdoors!N9),0),"")</f>
        <v/>
      </c>
      <c r="FR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FN47&gt;=0.45,VLOOKUP(Calculator!E23,tbSkills!DH3:DI6,2,FALSE)+IF(AND(Calculator!B8=TRUE,Backdoors!BI27=TRUE),VLOOKUP(Calculator!E23,tbSkills!DH3:DJ6,3,FALSE),0),0))&gt;=100,100,(Backdoors!AI12+IF(FN47&gt;=0.45,VLOOKUP(Calculator!E23,tbSkills!DH3:DI6,2,FALSE)+IF(AND(Calculator!B8=TRUE,Backdoors!BI27=TRUE),VLOOKUP(Calculator!E23,tbSkills!DH3:DJ6,3,FALSE),0),0)))/100)),1))*IF(VLOOKUP(A47,tbMoveset!A2:K112,11,FALSE)=TRUE,Backdoors!AC5,1))*FO47,0),"")</f>
        <v>0</v>
      </c>
      <c r="FS47" s="49">
        <f>VLOOKUP(A47,tbMoveset!A2:G112,7,FALSE)*IFERROR(IF(Backdoors!AI12&gt;=0,1+(IF(Calculator!E40&gt;0,VLOOKUP(Calculator!E40,tbSkills!AI3:AJ5,2,FALSE),Backdoors!AL4)*(IF((Backdoors!AI12+IF(FN47&gt;=0.45,VLOOKUP(Calculator!E23,tbSkills!DH3:DI6,2,FALSE)+IF(AND(Calculator!B8=TRUE,Backdoors!BI27=TRUE),VLOOKUP(Calculator!E23,tbSkills!DH3:DJ6,3,FALSE),0),0))&gt;=100,100,(Backdoors!AI12+IF(FN47&gt;=0.45,VLOOKUP(Calculator!E23,tbSkills!DH3:DI6,2,FALSE)+IF(AND(Calculator!B8=TRUE,Backdoors!BI27=TRUE),VLOOKUP(Calculator!E23,tbSkills!DH3:DJ6,3,FALSE),0),0)))/100)),1),1)</f>
        <v>0.6</v>
      </c>
      <c r="FT47" s="87">
        <f t="shared" si="17"/>
        <v>0</v>
      </c>
      <c r="FU47" s="86" t="str">
        <f>IFERROR(IF(VLOOKUP(A47,tbMoveset!A2:B112,2,FALSE)="Sever",Backdoors!AY28/100,IF(VLOOKUP(A47,tbMoveset!A2:B112,2,FALSE)="Blunt",Backdoors!AZ28/100,Backdoors!BA28/100)),"")</f>
        <v/>
      </c>
      <c r="FV47" s="49">
        <f>IFERROR(IF(VLOOKUP(tbMoveset!A47,tbMoveset!A2:H112,8,FALSE)="Other",IF(VLOOKUP(tbMoveset!A47,tbMoveset!A2:I112,9,FALSE)="Fire",Backdoors!BB28,IF(VLOOKUP(tbMoveset!A47,tbMoveset!A2:I112,9,FALSE)="Water",Backdoors!BC28,IF(VLOOKUP(tbMoveset!A47,tbMoveset!A2:I112,9,FALSE)="Thunder",Backdoors!BD28,IF(VLOOKUP(tbMoveset!A47,tbMoveset!A2:I112,9,FALSE)="Ice",Backdoors!BE28,IF(VLOOKUP(tbMoveset!A47,tbMoveset!A2:I112,9,FALSE)="Dragon",Backdoors!BF28,Backdoors!BG28)))))/100,Backdoors!BG28/100),"")</f>
        <v>0</v>
      </c>
      <c r="FW47" s="49">
        <f>IFERROR(IF(VLOOKUP(A47,tbMoveset!A2:J112,10,FALSE)=TRUE,IF((Backdoors!AI12+IF(FU47&gt;=0.45,VLOOKUP(Calculator!E23,tbSkills!DH3:DI6,2,FALSE)+IF(AND(Calculator!B8=TRUE,Backdoors!BI28=TRUE),VLOOKUP(Calculator!E23,tbSkills!DH3:DJ6,3,FALSE),0),0))&gt;=0,1+(Backdoors!AL2*(IF((Backdoors!AI12+IF(FU47&gt;=0.45,VLOOKUP(Calculator!E23,tbSkills!DH3:DI6,2,FALSE)+IF(AND(Calculator!B8=TRUE,Backdoors!BI28=TRUE),VLOOKUP(Calculator!E23,tbSkills!DH3:DJ6,3,FALSE),0),0))&gt;=100,100,(Backdoors!AI12+IF(FU47&gt;=0.45,VLOOKUP(Calculator!E23,tbSkills!DH3:DI6,2,FALSE)+IF(AND(Calculator!B8=TRUE,Backdoors!BI28=TRUE),VLOOKUP(Calculator!E23,tbSkills!DH3:DJ6,3,FALSE),0),0)))/100)),(1-(0.25*((-Backdoors!AI12-IF(FU47&gt;=0.45,VLOOKUP(Calculator!E23,tbSkills!DH3:DI6,2,FALSE)+IF(AND(Calculator!B8=TRUE,Backdoors!BI28=TRUE),VLOOKUP(Calculator!E23,tbSkills!DH3:DJ6,3,FALSE),0),0))/100)))),1),"")</f>
        <v>1</v>
      </c>
      <c r="FX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FU47)*FW47)*(VLOOKUP(A47,tbMoveset!A2:C112,3,FALSE)/100)*IF(VLOOKUP(A47,tbMoveset!A2:B112,2,FALSE)="Projectile",Backdoors!N10,Backdoors!N9),0),"")</f>
        <v/>
      </c>
      <c r="FY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FU47&gt;=0.45,VLOOKUP(Calculator!E23,tbSkills!DH3:DI6,2,FALSE)+IF(AND(Calculator!B8=TRUE,Backdoors!BI28=TRUE),VLOOKUP(Calculator!E23,tbSkills!DH3:DJ6,3,FALSE),0),0))&gt;=100,100,(Backdoors!AI12+IF(FU47&gt;=0.45,VLOOKUP(Calculator!E23,tbSkills!DH3:DI6,2,FALSE)+IF(AND(Calculator!B8=TRUE,Backdoors!BI28=TRUE),VLOOKUP(Calculator!E23,tbSkills!DH3:DJ6,3,FALSE),0),0)))/100)),1))*IF(VLOOKUP(A47,tbMoveset!A2:K112,11,FALSE)=TRUE,Backdoors!AC5,1))*FV47,0),"")</f>
        <v>0</v>
      </c>
      <c r="FZ47" s="49">
        <f>VLOOKUP(A47,tbMoveset!A2:G112,7,FALSE)*IFERROR(IF(Backdoors!AI12&gt;=0,1+(IF(Calculator!E40&gt;0,VLOOKUP(Calculator!E40,tbSkills!AI3:AJ5,2,FALSE),Backdoors!AL4)*(IF((Backdoors!AI12+IF(FU47&gt;=0.45,VLOOKUP(Calculator!E23,tbSkills!DH3:DI6,2,FALSE)+IF(AND(Calculator!B8=TRUE,Backdoors!BI28=TRUE),VLOOKUP(Calculator!E23,tbSkills!DH3:DJ6,3,FALSE),0),0))&gt;=100,100,(Backdoors!AI12+IF(FU47&gt;=0.45,VLOOKUP(Calculator!E23,tbSkills!DH3:DI6,2,FALSE)+IF(AND(Calculator!B8=TRUE,Backdoors!BI28=TRUE),VLOOKUP(Calculator!E23,tbSkills!DH3:DJ6,3,FALSE),0),0)))/100)),1),1)</f>
        <v>0.6</v>
      </c>
      <c r="GA47" s="87">
        <f t="shared" si="18"/>
        <v>0</v>
      </c>
      <c r="GB47" s="86" t="str">
        <f>IFERROR(IF(VLOOKUP(A47,tbMoveset!A2:B112,2,FALSE)="Sever",Backdoors!AY29/100,IF(VLOOKUP(A47,tbMoveset!A2:B112,2,FALSE)="Blunt",Backdoors!AZ29/100,Backdoors!BA29/100)),"")</f>
        <v/>
      </c>
      <c r="GC47" s="49">
        <f>IFERROR(IF(VLOOKUP(tbMoveset!A47,tbMoveset!A2:H112,8,FALSE)="Other",IF(VLOOKUP(tbMoveset!A47,tbMoveset!A2:I112,9,FALSE)="Fire",Backdoors!BB29,IF(VLOOKUP(tbMoveset!A47,tbMoveset!A2:I112,9,FALSE)="Water",Backdoors!BC29,IF(VLOOKUP(tbMoveset!A47,tbMoveset!A2:I112,9,FALSE)="Thunder",Backdoors!BD29,IF(VLOOKUP(tbMoveset!A47,tbMoveset!A2:I112,9,FALSE)="Ice",Backdoors!BE29,IF(VLOOKUP(tbMoveset!A47,tbMoveset!A2:I112,9,FALSE)="Dragon",Backdoors!BF29,Backdoors!BG29)))))/100,Backdoors!BG29/100),"")</f>
        <v>0</v>
      </c>
      <c r="GD47" s="49">
        <f>IFERROR(IF(VLOOKUP(A47,tbMoveset!A2:J112,10,FALSE)=TRUE,IF((Backdoors!AI12+IF(GB47&gt;=0.45,VLOOKUP(Calculator!E23,tbSkills!DH3:DI6,2,FALSE)+IF(AND(Calculator!B8=TRUE,Backdoors!BI29=TRUE),VLOOKUP(Calculator!E23,tbSkills!DH3:DJ6,3,FALSE),0),0))&gt;=0,1+(Backdoors!AL2*(IF((Backdoors!AI12+IF(GB47&gt;=0.45,VLOOKUP(Calculator!E23,tbSkills!DH3:DI6,2,FALSE)+IF(AND(Calculator!B8=TRUE,Backdoors!BI29=TRUE),VLOOKUP(Calculator!E23,tbSkills!DH3:DJ6,3,FALSE),0),0))&gt;=100,100,(Backdoors!AI12+IF(GB47&gt;=0.45,VLOOKUP(Calculator!E23,tbSkills!DH3:DI6,2,FALSE)+IF(AND(Calculator!B8=TRUE,Backdoors!BI29=TRUE),VLOOKUP(Calculator!E23,tbSkills!DH3:DJ6,3,FALSE),0),0)))/100)),(1-(0.25*((-Backdoors!AI12-IF(GB47&gt;=0.45,VLOOKUP(Calculator!E23,tbSkills!DH3:DI6,2,FALSE)+IF(AND(Calculator!B8=TRUE,Backdoors!BI29=TRUE),VLOOKUP(Calculator!E23,tbSkills!DH3:DJ6,3,FALSE),0),0))/100)))),1),"")</f>
        <v>1</v>
      </c>
      <c r="GE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B47)*GD47)*(VLOOKUP(A47,tbMoveset!A2:C112,3,FALSE)/100)*IF(VLOOKUP(A47,tbMoveset!A2:B112,2,FALSE)="Projectile",Backdoors!N10,Backdoors!N9),0),"")</f>
        <v/>
      </c>
      <c r="GF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B47&gt;=0.45,VLOOKUP(Calculator!E23,tbSkills!DH3:DI6,2,FALSE)+IF(AND(Calculator!B8=TRUE,Backdoors!BI29=TRUE),VLOOKUP(Calculator!E23,tbSkills!DH3:DJ6,3,FALSE),0),0))&gt;=100,100,(Backdoors!AI12+IF(GB47&gt;=0.45,VLOOKUP(Calculator!E23,tbSkills!DH3:DI6,2,FALSE)+IF(AND(Calculator!B8=TRUE,Backdoors!BI29=TRUE),VLOOKUP(Calculator!E23,tbSkills!DH3:DJ6,3,FALSE),0),0)))/100)),1))*IF(VLOOKUP(A47,tbMoveset!A2:K112,11,FALSE)=TRUE,Backdoors!AC5,1))*GC47,0),"")</f>
        <v>0</v>
      </c>
      <c r="GG47" s="49">
        <f>VLOOKUP(A47,tbMoveset!A2:G112,7,FALSE)*IFERROR(IF(Backdoors!AI12&gt;=0,1+(IF(Calculator!E40&gt;0,VLOOKUP(Calculator!E40,tbSkills!AI3:AJ5,2,FALSE),Backdoors!AL4)*(IF((Backdoors!AI12+IF(GB47&gt;=0.45,VLOOKUP(Calculator!E23,tbSkills!DH3:DI6,2,FALSE)+IF(AND(Calculator!B8=TRUE,Backdoors!BI29=TRUE),VLOOKUP(Calculator!E23,tbSkills!DH3:DJ6,3,FALSE),0),0))&gt;=100,100,(Backdoors!AI12+IF(GB47&gt;=0.45,VLOOKUP(Calculator!E23,tbSkills!DH3:DI6,2,FALSE)+IF(AND(Calculator!B8=TRUE,Backdoors!BI29=TRUE),VLOOKUP(Calculator!E23,tbSkills!DH3:DJ6,3,FALSE),0),0)))/100)),1),1)</f>
        <v>0.6</v>
      </c>
      <c r="GH47" s="87">
        <f t="shared" si="19"/>
        <v>0</v>
      </c>
      <c r="GI47" s="86" t="str">
        <f>IFERROR(IF(VLOOKUP(A47,tbMoveset!A2:B112,2,FALSE)="Sever",Backdoors!AY30/100,IF(VLOOKUP(A47,tbMoveset!A2:B112,2,FALSE)="Blunt",Backdoors!AZ30/100,Backdoors!BA30/100)),"")</f>
        <v/>
      </c>
      <c r="GJ47" s="49">
        <f>IFERROR(IF(VLOOKUP(tbMoveset!A47,tbMoveset!A2:H112,8,FALSE)="Other",IF(VLOOKUP(tbMoveset!A47,tbMoveset!A2:I112,9,FALSE)="Fire",Backdoors!BB30,IF(VLOOKUP(tbMoveset!A47,tbMoveset!A2:I112,9,FALSE)="Water",Backdoors!BC30,IF(VLOOKUP(tbMoveset!A47,tbMoveset!A2:I112,9,FALSE)="Thunder",Backdoors!BD30,IF(VLOOKUP(tbMoveset!A47,tbMoveset!A2:I112,9,FALSE)="Ice",Backdoors!BE30,IF(VLOOKUP(tbMoveset!A47,tbMoveset!A2:I112,9,FALSE)="Dragon",Backdoors!BF30,Backdoors!BG30)))))/100,Backdoors!BG30/100),"")</f>
        <v>0</v>
      </c>
      <c r="GK47" s="49">
        <f>IFERROR(IF(VLOOKUP(A47,tbMoveset!A2:J112,10,FALSE)=TRUE,IF((Backdoors!AI12+IF(GI47&gt;=0.45,VLOOKUP(Calculator!E23,tbSkills!DH3:DI6,2,FALSE)+IF(AND(Calculator!B8=TRUE,Backdoors!BI30=TRUE),VLOOKUP(Calculator!E23,tbSkills!DH3:DJ6,3,FALSE),0),0))&gt;=0,1+(Backdoors!AL2*(IF((Backdoors!AI12+IF(GI47&gt;=0.45,VLOOKUP(Calculator!E23,tbSkills!DH3:DI6,2,FALSE)+IF(AND(Calculator!B8=TRUE,Backdoors!BI30=TRUE),VLOOKUP(Calculator!E23,tbSkills!DH3:DJ6,3,FALSE),0),0))&gt;=100,100,(Backdoors!AI12+IF(GI47&gt;=0.45,VLOOKUP(Calculator!E23,tbSkills!DH3:DI6,2,FALSE)+IF(AND(Calculator!B8=TRUE,Backdoors!BI30=TRUE),VLOOKUP(Calculator!E23,tbSkills!DH3:DJ6,3,FALSE),0),0)))/100)),(1-(0.25*((-Backdoors!AI12-IF(GI47&gt;=0.45,VLOOKUP(Calculator!E23,tbSkills!DH3:DI6,2,FALSE)+IF(AND(Calculator!B8=TRUE,Backdoors!BI30=TRUE),VLOOKUP(Calculator!E23,tbSkills!DH3:DJ6,3,FALSE),0),0))/100)))),1),"")</f>
        <v>1</v>
      </c>
      <c r="GL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I47)*GK47)*(VLOOKUP(A47,tbMoveset!A2:C112,3,FALSE)/100)*IF(VLOOKUP(A47,tbMoveset!A2:B112,2,FALSE)="Projectile",Backdoors!N10,Backdoors!N9),0),"")</f>
        <v/>
      </c>
      <c r="GM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I47&gt;=0.45,VLOOKUP(Calculator!E23,tbSkills!DH3:DI6,2,FALSE)+IF(AND(Calculator!B8=TRUE,Backdoors!BI30=TRUE),VLOOKUP(Calculator!E23,tbSkills!DH3:DJ6,3,FALSE),0),0))&gt;=100,100,(Backdoors!AI12+IF(GI47&gt;=0.45,VLOOKUP(Calculator!E23,tbSkills!DH3:DI6,2,FALSE)+IF(AND(Calculator!B8=TRUE,Backdoors!BI30=TRUE),VLOOKUP(Calculator!E23,tbSkills!DH3:DJ6,3,FALSE),0),0)))/100)),1))*IF(VLOOKUP(A47,tbMoveset!A2:K112,11,FALSE)=TRUE,Backdoors!AC5,1))*GJ47,0),"")</f>
        <v>0</v>
      </c>
      <c r="GN47" s="49">
        <f>VLOOKUP(A47,tbMoveset!A2:G112,7,FALSE)*IFERROR(IF(Backdoors!AI12&gt;=0,1+(IF(Calculator!E40&gt;0,VLOOKUP(Calculator!E40,tbSkills!AI3:AJ5,2,FALSE),Backdoors!AL4)*(IF((Backdoors!AI12+IF(GI47&gt;=0.45,VLOOKUP(Calculator!E23,tbSkills!DH3:DI6,2,FALSE)+IF(AND(Calculator!B8=TRUE,Backdoors!BI30=TRUE),VLOOKUP(Calculator!E23,tbSkills!DH3:DJ6,3,FALSE),0),0))&gt;=100,100,(Backdoors!AI12+IF(GI47&gt;=0.45,VLOOKUP(Calculator!E23,tbSkills!DH3:DI6,2,FALSE)+IF(AND(Calculator!B8=TRUE,Backdoors!BI30=TRUE),VLOOKUP(Calculator!E23,tbSkills!DH3:DJ6,3,FALSE),0),0)))/100)),1),1)</f>
        <v>0.6</v>
      </c>
      <c r="GO47" s="87">
        <f t="shared" si="20"/>
        <v>0</v>
      </c>
      <c r="GP47" s="86" t="str">
        <f>IFERROR(IF(VLOOKUP(A47,tbMoveset!A2:B112,2,FALSE)="Sever",Backdoors!AY31/100,IF(VLOOKUP(A47,tbMoveset!A2:B112,2,FALSE)="Blunt",Backdoors!AZ31/100,Backdoors!BA31/100)),"")</f>
        <v/>
      </c>
      <c r="GQ47" s="49">
        <f>IFERROR(IF(VLOOKUP(tbMoveset!A47,tbMoveset!A2:H112,8,FALSE)="Other",IF(VLOOKUP(tbMoveset!A47,tbMoveset!A2:I112,9,FALSE)="Fire",Backdoors!BB31,IF(VLOOKUP(tbMoveset!A47,tbMoveset!A2:I112,9,FALSE)="Water",Backdoors!BC31,IF(VLOOKUP(tbMoveset!A47,tbMoveset!A2:I112,9,FALSE)="Thunder",Backdoors!BD31,IF(VLOOKUP(tbMoveset!A47,tbMoveset!A2:I112,9,FALSE)="Ice",Backdoors!BE31,IF(VLOOKUP(tbMoveset!A47,tbMoveset!A2:I112,9,FALSE)="Dragon",Backdoors!BF31,Backdoors!BG31)))))/100,Backdoors!BG31/100),"")</f>
        <v>0</v>
      </c>
      <c r="GR47" s="49">
        <f>IFERROR(IF(VLOOKUP(A47,tbMoveset!A2:J112,10,FALSE)=TRUE,IF((Backdoors!AI12+IF(GP47&gt;=0.45,VLOOKUP(Calculator!E23,tbSkills!DH3:DI6,2,FALSE)+IF(AND(Calculator!B8=TRUE,Backdoors!BI31=TRUE),VLOOKUP(Calculator!E23,tbSkills!DH3:DJ6,3,FALSE),0),0))&gt;=0,1+(Backdoors!AL2*(IF((Backdoors!AI12+IF(GP47&gt;=0.45,VLOOKUP(Calculator!E23,tbSkills!DH3:DI6,2,FALSE)+IF(AND(Calculator!B8=TRUE,Backdoors!BI31=TRUE),VLOOKUP(Calculator!E23,tbSkills!DH3:DJ6,3,FALSE),0),0))&gt;=100,100,(Backdoors!AI12+IF(GP47&gt;=0.45,VLOOKUP(Calculator!E23,tbSkills!DH3:DI6,2,FALSE)+IF(AND(Calculator!B8=TRUE,Backdoors!BI31=TRUE),VLOOKUP(Calculator!E23,tbSkills!DH3:DJ6,3,FALSE),0),0)))/100)),(1-(0.25*((-Backdoors!AI12-IF(GP47&gt;=0.45,VLOOKUP(Calculator!E23,tbSkills!DH3:DI6,2,FALSE)+IF(AND(Calculator!B8=TRUE,Backdoors!BI31=TRUE),VLOOKUP(Calculator!E23,tbSkills!DH3:DJ6,3,FALSE),0),0))/100)))),1),"")</f>
        <v>1</v>
      </c>
      <c r="GS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P47)*GR47)*(VLOOKUP(A47,tbMoveset!A2:C112,3,FALSE)/100)*IF(VLOOKUP(A47,tbMoveset!A2:B112,2,FALSE)="Projectile",Backdoors!N10,Backdoors!N9),0),"")</f>
        <v/>
      </c>
      <c r="GT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P47&gt;=0.45,VLOOKUP(Calculator!E23,tbSkills!DH3:DI6,2,FALSE)+IF(AND(Calculator!B8=TRUE,Backdoors!BI31=TRUE),VLOOKUP(Calculator!E23,tbSkills!DH3:DJ6,3,FALSE),0),0))&gt;=100,100,(Backdoors!AI12+IF(GP47&gt;=0.45,VLOOKUP(Calculator!E23,tbSkills!DH3:DI6,2,FALSE)+IF(AND(Calculator!B8=TRUE,Backdoors!BI31=TRUE),VLOOKUP(Calculator!E23,tbSkills!DH3:DJ6,3,FALSE),0),0)))/100)),1))*IF(VLOOKUP(A47,tbMoveset!A2:K112,11,FALSE)=TRUE,Backdoors!AC5,1))*GQ47,0),"")</f>
        <v>0</v>
      </c>
      <c r="GU47" s="49">
        <f>VLOOKUP(A47,tbMoveset!A2:G112,7,FALSE)*IFERROR(IF(Backdoors!AI12&gt;=0,1+(IF(Calculator!E40&gt;0,VLOOKUP(Calculator!E40,tbSkills!AI3:AJ5,2,FALSE),Backdoors!AL4)*(IF((Backdoors!AI12+IF(GP47&gt;=0.45,VLOOKUP(Calculator!E23,tbSkills!DH3:DI6,2,FALSE)+IF(AND(Calculator!B8=TRUE,Backdoors!BI31=TRUE),VLOOKUP(Calculator!E23,tbSkills!DH3:DJ6,3,FALSE),0),0))&gt;=100,100,(Backdoors!AI12+IF(GP47&gt;=0.45,VLOOKUP(Calculator!E23,tbSkills!DH3:DI6,2,FALSE)+IF(AND(Calculator!B8=TRUE,Backdoors!BI31=TRUE),VLOOKUP(Calculator!E23,tbSkills!DH3:DJ6,3,FALSE),0),0)))/100)),1),1)</f>
        <v>0.6</v>
      </c>
      <c r="GV47" s="87">
        <f t="shared" si="21"/>
        <v>0</v>
      </c>
      <c r="GW47" s="86" t="str">
        <f>IFERROR(IF(VLOOKUP(A47,tbMoveset!A2:B112,2,FALSE)="Sever",Backdoors!AY32/100,IF(VLOOKUP(A47,tbMoveset!A2:B112,2,FALSE)="Blunt",Backdoors!AZ32/100,Backdoors!BA32/100)),"")</f>
        <v/>
      </c>
      <c r="GX47" s="49">
        <f>IFERROR(IF(VLOOKUP(tbMoveset!A47,tbMoveset!A2:H112,8,FALSE)="Other",IF(VLOOKUP(tbMoveset!A47,tbMoveset!A2:I112,9,FALSE)="Fire",Backdoors!BB32,IF(VLOOKUP(tbMoveset!A47,tbMoveset!A2:I112,9,FALSE)="Water",Backdoors!BC32,IF(VLOOKUP(tbMoveset!A47,tbMoveset!A2:I112,9,FALSE)="Thunder",Backdoors!BD32,IF(VLOOKUP(tbMoveset!A47,tbMoveset!A2:I112,9,FALSE)="Ice",Backdoors!BE32,IF(VLOOKUP(tbMoveset!A47,tbMoveset!A2:I112,9,FALSE)="Dragon",Backdoors!BF32,Backdoors!BG32)))))/100,Backdoors!BG32/100),"")</f>
        <v>0</v>
      </c>
      <c r="GY47" s="49">
        <f>IFERROR(IF(VLOOKUP(A47,tbMoveset!A2:J112,10,FALSE)=TRUE,IF((Backdoors!AI12+IF(GW47&gt;=0.45,VLOOKUP(Calculator!E23,tbSkills!DH3:DI6,2,FALSE)+IF(AND(Calculator!B8=TRUE,Backdoors!BI32=TRUE),VLOOKUP(Calculator!E23,tbSkills!DH3:DJ6,3,FALSE),0),0))&gt;=0,1+(Backdoors!AL2*(IF((Backdoors!AI12+IF(GW47&gt;=0.45,VLOOKUP(Calculator!E23,tbSkills!DH3:DI6,2,FALSE)+IF(AND(Calculator!B8=TRUE,Backdoors!BI32=TRUE),VLOOKUP(Calculator!E23,tbSkills!DH3:DJ6,3,FALSE),0),0))&gt;=100,100,(Backdoors!AI12+IF(GW47&gt;=0.45,VLOOKUP(Calculator!E23,tbSkills!DH3:DI6,2,FALSE)+IF(AND(Calculator!B8=TRUE,Backdoors!BI32=TRUE),VLOOKUP(Calculator!E23,tbSkills!DH3:DJ6,3,FALSE),0),0)))/100)),(1-(0.25*((-Backdoors!AI12-IF(GW47&gt;=0.45,VLOOKUP(Calculator!E23,tbSkills!DH3:DI6,2,FALSE)+IF(AND(Calculator!B8=TRUE,Backdoors!BI32=TRUE),VLOOKUP(Calculator!E23,tbSkills!DH3:DJ6,3,FALSE),0),0))/100)))),1),"")</f>
        <v>1</v>
      </c>
      <c r="GZ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W47)*GY47)*(VLOOKUP(A47,tbMoveset!A2:C112,3,FALSE)/100)*IF(VLOOKUP(A47,tbMoveset!A2:B112,2,FALSE)="Projectile",Backdoors!N10,Backdoors!N9),0),"")</f>
        <v/>
      </c>
      <c r="HA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W47&gt;=0.45,VLOOKUP(Calculator!E23,tbSkills!DH3:DI6,2,FALSE)+IF(AND(Calculator!B8=TRUE,Backdoors!BI32=TRUE),VLOOKUP(Calculator!E23,tbSkills!DH3:DJ6,3,FALSE),0),0))&gt;=100,100,(Backdoors!AI12+IF(GW47&gt;=0.45,VLOOKUP(Calculator!E23,tbSkills!DH3:DI6,2,FALSE)+IF(AND(Calculator!B8=TRUE,Backdoors!BI32=TRUE),VLOOKUP(Calculator!E23,tbSkills!DH3:DJ6,3,FALSE),0),0)))/100)),1))*IF(VLOOKUP(A47,tbMoveset!A2:K112,11,FALSE)=TRUE,Backdoors!AC5,1))*GX47,0),"")</f>
        <v>0</v>
      </c>
      <c r="HB47" s="49">
        <f>VLOOKUP(A47,tbMoveset!A2:G112,7,FALSE)*IFERROR(IF(Backdoors!AI12&gt;=0,1+(IF(Calculator!E40&gt;0,VLOOKUP(Calculator!E40,tbSkills!AI3:AJ5,2,FALSE),Backdoors!AL4)*(IF((Backdoors!AI12+IF(GW47&gt;=0.45,VLOOKUP(Calculator!E23,tbSkills!DH3:DI6,2,FALSE)+IF(AND(Calculator!B8=TRUE,Backdoors!BI32=TRUE),VLOOKUP(Calculator!E23,tbSkills!DH3:DJ6,3,FALSE),0),0))&gt;=100,100,(Backdoors!AI12+IF(GW47&gt;=0.45,VLOOKUP(Calculator!E23,tbSkills!DH3:DI6,2,FALSE)+IF(AND(Calculator!B8=TRUE,Backdoors!BI32=TRUE),VLOOKUP(Calculator!E23,tbSkills!DH3:DJ6,3,FALSE),0),0)))/100)),1),1)</f>
        <v>0.6</v>
      </c>
      <c r="HC47" s="87">
        <f t="shared" si="22"/>
        <v>0</v>
      </c>
      <c r="HD47" s="86" t="str">
        <f>IFERROR(IF(VLOOKUP(A47,tbMoveset!A2:B112,2,FALSE)="Sever",Backdoors!AY33/100,IF(VLOOKUP(A47,tbMoveset!A2:B112,2,FALSE)="Blunt",Backdoors!AZ33/100,Backdoors!BA33/100)),"")</f>
        <v/>
      </c>
      <c r="HE47" s="49">
        <f>IFERROR(IF(VLOOKUP(tbMoveset!A47,tbMoveset!A2:H112,8,FALSE)="Other",IF(VLOOKUP(tbMoveset!A47,tbMoveset!A2:I112,9,FALSE)="Fire",Backdoors!BB33,IF(VLOOKUP(tbMoveset!A47,tbMoveset!A2:I112,9,FALSE)="Water",Backdoors!BC33,IF(VLOOKUP(tbMoveset!A47,tbMoveset!A2:I112,9,FALSE)="Thunder",Backdoors!BD33,IF(VLOOKUP(tbMoveset!A47,tbMoveset!A2:I112,9,FALSE)="Ice",Backdoors!BE33,IF(VLOOKUP(tbMoveset!A47,tbMoveset!A2:I112,9,FALSE)="Dragon",Backdoors!BF33,Backdoors!BG33)))))/100,Backdoors!BG33/100),"")</f>
        <v>0</v>
      </c>
      <c r="HF47" s="49">
        <f>IFERROR(IF(VLOOKUP(A47,tbMoveset!A2:J112,10,FALSE)=TRUE,IF((Backdoors!AI12+IF(HD47&gt;=0.45,VLOOKUP(Calculator!E23,tbSkills!DH3:DI6,2,FALSE)+IF(AND(Calculator!B8=TRUE,Backdoors!BI33=TRUE),VLOOKUP(Calculator!E23,tbSkills!DH3:DJ6,3,FALSE),0),0))&gt;=0,1+(Backdoors!AL2*(IF((Backdoors!AI12+IF(HD47&gt;=0.45,VLOOKUP(Calculator!E23,tbSkills!DH3:DI6,2,FALSE)+IF(AND(Calculator!B8=TRUE,Backdoors!BI33=TRUE),VLOOKUP(Calculator!E23,tbSkills!DH3:DJ6,3,FALSE),0),0))&gt;=100,100,(Backdoors!AI12+IF(HD47&gt;=0.45,VLOOKUP(Calculator!E23,tbSkills!DH3:DI6,2,FALSE)+IF(AND(Calculator!B8=TRUE,Backdoors!BI33=TRUE),VLOOKUP(Calculator!E23,tbSkills!DH3:DJ6,3,FALSE),0),0)))/100)),(1-(0.25*((-Backdoors!AI12-IF(HD47&gt;=0.45,VLOOKUP(Calculator!E23,tbSkills!DH3:DI6,2,FALSE)+IF(AND(Calculator!B8=TRUE,Backdoors!BI33=TRUE),VLOOKUP(Calculator!E23,tbSkills!DH3:DJ6,3,FALSE),0),0))/100)))),1),"")</f>
        <v>1</v>
      </c>
      <c r="HG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D47)*HF47)*(VLOOKUP(A47,tbMoveset!A2:C112,3,FALSE)/100)*IF(VLOOKUP(A47,tbMoveset!A2:B112,2,FALSE)="Projectile",Backdoors!N10,Backdoors!N9),0),"")</f>
        <v/>
      </c>
      <c r="HH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D47&gt;=0.45,VLOOKUP(Calculator!E23,tbSkills!DH3:DI6,2,FALSE)+IF(AND(Calculator!B8=TRUE,Backdoors!BI33=TRUE),VLOOKUP(Calculator!E23,tbSkills!DH3:DJ6,3,FALSE),0),0))&gt;=100,100,(Backdoors!AI12+IF(HD47&gt;=0.45,VLOOKUP(Calculator!E23,tbSkills!DH3:DI6,2,FALSE)+IF(AND(Calculator!B8=TRUE,Backdoors!BI33=TRUE),VLOOKUP(Calculator!E23,tbSkills!DH3:DJ6,3,FALSE),0),0)))/100)),1))*IF(VLOOKUP(A47,tbMoveset!A2:K112,11,FALSE)=TRUE,Backdoors!AC5,1))*HE47,0),"")</f>
        <v>0</v>
      </c>
      <c r="HI47" s="49">
        <f>VLOOKUP(A47,tbMoveset!A2:G112,7,FALSE)*IFERROR(IF(Backdoors!AI12&gt;=0,1+(IF(Calculator!E40&gt;0,VLOOKUP(Calculator!E40,tbSkills!AI3:AJ5,2,FALSE),Backdoors!AL4)*(IF((Backdoors!AI12+IF(HD47&gt;=0.45,VLOOKUP(Calculator!E23,tbSkills!DH3:DI6,2,FALSE)+IF(AND(Calculator!B8=TRUE,Backdoors!BI33=TRUE),VLOOKUP(Calculator!E23,tbSkills!DH3:DJ6,3,FALSE),0),0))&gt;=100,100,(Backdoors!AI12+IF(HD47&gt;=0.45,VLOOKUP(Calculator!E23,tbSkills!DH3:DI6,2,FALSE)+IF(AND(Calculator!B8=TRUE,Backdoors!BI33=TRUE),VLOOKUP(Calculator!E23,tbSkills!DH3:DJ6,3,FALSE),0),0)))/100)),1),1)</f>
        <v>0.6</v>
      </c>
      <c r="HJ47" s="87">
        <f t="shared" si="23"/>
        <v>0</v>
      </c>
      <c r="HK47" s="86" t="str">
        <f>IFERROR(IF(VLOOKUP(A47,tbMoveset!A2:B112,2,FALSE)="Sever",Backdoors!AY34/100,IF(VLOOKUP(A47,tbMoveset!A2:B112,2,FALSE)="Blunt",Backdoors!AZ34/100,Backdoors!BA34/100)),"")</f>
        <v/>
      </c>
      <c r="HL47" s="49">
        <f>IFERROR(IF(VLOOKUP(tbMoveset!A47,tbMoveset!A2:H112,8,FALSE)="Other",IF(VLOOKUP(tbMoveset!A47,tbMoveset!A2:I112,9,FALSE)="Fire",Backdoors!BB34,IF(VLOOKUP(tbMoveset!A47,tbMoveset!A2:I112,9,FALSE)="Water",Backdoors!BC34,IF(VLOOKUP(tbMoveset!A47,tbMoveset!A2:I112,9,FALSE)="Thunder",Backdoors!BD34,IF(VLOOKUP(tbMoveset!A47,tbMoveset!A2:I112,9,FALSE)="Ice",Backdoors!BE34,IF(VLOOKUP(tbMoveset!A47,tbMoveset!A2:I112,9,FALSE)="Dragon",Backdoors!BF34,Backdoors!BG34)))))/100,Backdoors!BG34/100),"")</f>
        <v>0</v>
      </c>
      <c r="HM47" s="49">
        <f>IFERROR(IF(VLOOKUP(A47,tbMoveset!A2:J112,10,FALSE)=TRUE,IF((Backdoors!AI12+IF(HK47&gt;=0.45,VLOOKUP(Calculator!E23,tbSkills!DH3:DI6,2,FALSE)+IF(AND(Calculator!B8=TRUE,Backdoors!BI34=TRUE),VLOOKUP(Calculator!E23,tbSkills!DH3:DJ6,3,FALSE),0),0))&gt;=0,1+(Backdoors!AL2*(IF((Backdoors!AI12+IF(HK47&gt;=0.45,VLOOKUP(Calculator!E23,tbSkills!DH3:DI6,2,FALSE)+IF(AND(Calculator!B8=TRUE,Backdoors!BI34=TRUE),VLOOKUP(Calculator!E23,tbSkills!DH3:DJ6,3,FALSE),0),0))&gt;=100,100,(Backdoors!AI12+IF(HK47&gt;=0.45,VLOOKUP(Calculator!E23,tbSkills!DH3:DI6,2,FALSE)+IF(AND(Calculator!B8=TRUE,Backdoors!BI34=TRUE),VLOOKUP(Calculator!E23,tbSkills!DH3:DJ6,3,FALSE),0),0)))/100)),(1-(0.25*((-Backdoors!AI12-IF(HK47&gt;=0.45,VLOOKUP(Calculator!E23,tbSkills!DH3:DI6,2,FALSE)+IF(AND(Calculator!B8=TRUE,Backdoors!BI34=TRUE),VLOOKUP(Calculator!E23,tbSkills!DH3:DJ6,3,FALSE),0),0))/100)))),1),"")</f>
        <v>1</v>
      </c>
      <c r="HN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K47)*HM47)*(VLOOKUP(A47,tbMoveset!A2:C112,3,FALSE)/100)*IF(VLOOKUP(A47,tbMoveset!A2:B112,2,FALSE)="Projectile",Backdoors!N10,Backdoors!N9),0),"")</f>
        <v/>
      </c>
      <c r="HO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K47&gt;=0.45,VLOOKUP(Calculator!E23,tbSkills!DH3:DI6,2,FALSE)+IF(AND(Calculator!B8=TRUE,Backdoors!BI34=TRUE),VLOOKUP(Calculator!E23,tbSkills!DH3:DJ6,3,FALSE),0),0))&gt;=100,100,(Backdoors!AI12+IF(HK47&gt;=0.45,VLOOKUP(Calculator!E23,tbSkills!DH3:DI6,2,FALSE)+IF(AND(Calculator!B8=TRUE,Backdoors!BI34=TRUE),VLOOKUP(Calculator!E23,tbSkills!DH3:DJ6,3,FALSE),0),0)))/100)),1))*IF(VLOOKUP(A47,tbMoveset!A2:K112,11,FALSE)=TRUE,Backdoors!AC5,1))*HL47,0),"")</f>
        <v>0</v>
      </c>
      <c r="HP47" s="49">
        <f>VLOOKUP(A47,tbMoveset!A2:G112,7,FALSE)*IFERROR(IF(Backdoors!AI12&gt;=0,1+(IF(Calculator!E40&gt;0,VLOOKUP(Calculator!E40,tbSkills!AI3:AJ5,2,FALSE),Backdoors!AL4)*(IF((Backdoors!AI12+IF(HK47&gt;=0.45,VLOOKUP(Calculator!E23,tbSkills!DH3:DI6,2,FALSE)+IF(AND(Calculator!B8=TRUE,Backdoors!BI34=TRUE),VLOOKUP(Calculator!E23,tbSkills!DH3:DJ6,3,FALSE),0),0))&gt;=100,100,(Backdoors!AI12+IF(HK47&gt;=0.45,VLOOKUP(Calculator!E23,tbSkills!DH3:DI6,2,FALSE)+IF(AND(Calculator!B8=TRUE,Backdoors!BI34=TRUE),VLOOKUP(Calculator!E23,tbSkills!DH3:DJ6,3,FALSE),0),0)))/100)),1),1)</f>
        <v>0.6</v>
      </c>
      <c r="HQ47" s="87">
        <f t="shared" si="24"/>
        <v>0</v>
      </c>
      <c r="HR47" s="86" t="str">
        <f>IFERROR(IF(VLOOKUP(A47,tbMoveset!A2:B112,2,FALSE)="Sever",Backdoors!AY35/100,IF(VLOOKUP(A47,tbMoveset!A2:B112,2,FALSE)="Blunt",Backdoors!AZ35/100,Backdoors!BA35/100)),"")</f>
        <v/>
      </c>
      <c r="HS47" s="49">
        <f>IFERROR(IF(VLOOKUP(tbMoveset!A47,tbMoveset!A2:H112,8,FALSE)="Other",IF(VLOOKUP(tbMoveset!A47,tbMoveset!A2:I112,9,FALSE)="Fire",Backdoors!BB35,IF(VLOOKUP(tbMoveset!A47,tbMoveset!A2:I112,9,FALSE)="Water",Backdoors!BC35,IF(VLOOKUP(tbMoveset!A47,tbMoveset!A2:I112,9,FALSE)="Thunder",Backdoors!BD35,IF(VLOOKUP(tbMoveset!A47,tbMoveset!A2:I112,9,FALSE)="Ice",Backdoors!BE35,IF(VLOOKUP(tbMoveset!A47,tbMoveset!A2:I112,9,FALSE)="Dragon",Backdoors!BF35,Backdoors!BG35)))))/100,Backdoors!BG35/100),"")</f>
        <v>0</v>
      </c>
      <c r="HT47" s="49">
        <f>IFERROR(IF(VLOOKUP(A47,tbMoveset!A2:J112,10,FALSE)=TRUE,IF((Backdoors!AI12+IF(HR47&gt;=0.45,VLOOKUP(Calculator!E23,tbSkills!DH3:DI6,2,FALSE)+IF(AND(Calculator!B8=TRUE,Backdoors!BI35=TRUE),VLOOKUP(Calculator!E23,tbSkills!DH3:DJ6,3,FALSE),0),0))&gt;=0,1+(Backdoors!AL2*(IF((Backdoors!AI12+IF(HR47&gt;=0.45,VLOOKUP(Calculator!E23,tbSkills!DH3:DI6,2,FALSE)+IF(AND(Calculator!B8=TRUE,Backdoors!BI35=TRUE),VLOOKUP(Calculator!E23,tbSkills!DH3:DJ6,3,FALSE),0),0))&gt;=100,100,(Backdoors!AI12+IF(HR47&gt;=0.45,VLOOKUP(Calculator!E23,tbSkills!DH3:DI6,2,FALSE)+IF(AND(Calculator!B8=TRUE,Backdoors!BI35=TRUE),VLOOKUP(Calculator!E23,tbSkills!DH3:DJ6,3,FALSE),0),0)))/100)),(1-(0.25*((-Backdoors!AI12-IF(HR47&gt;=0.45,VLOOKUP(Calculator!E23,tbSkills!DH3:DI6,2,FALSE)+IF(AND(Calculator!B8=TRUE,Backdoors!BI35=TRUE),VLOOKUP(Calculator!E23,tbSkills!DH3:DJ6,3,FALSE),0),0))/100)))),1),"")</f>
        <v>1</v>
      </c>
      <c r="HU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R47)*HT47)*(VLOOKUP(A47,tbMoveset!A2:C112,3,FALSE)/100)*IF(VLOOKUP(A47,tbMoveset!A2:B112,2,FALSE)="Projectile",Backdoors!N10,Backdoors!N9),0),"")</f>
        <v/>
      </c>
      <c r="HV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R47&gt;=0.45,VLOOKUP(Calculator!E23,tbSkills!DH3:DI6,2,FALSE)+IF(AND(Calculator!B8=TRUE,Backdoors!BI35=TRUE),VLOOKUP(Calculator!E23,tbSkills!DH3:DJ6,3,FALSE),0),0))&gt;=100,100,(Backdoors!AI12+IF(HR47&gt;=0.45,VLOOKUP(Calculator!E23,tbSkills!DH3:DI6,2,FALSE)+IF(AND(Calculator!B8=TRUE,Backdoors!BI35=TRUE),VLOOKUP(Calculator!E23,tbSkills!DH3:DJ6,3,FALSE),0),0)))/100)),1))*IF(VLOOKUP(A47,tbMoveset!A2:K112,11,FALSE)=TRUE,Backdoors!AC5,1))*HS47,0),"")</f>
        <v>0</v>
      </c>
      <c r="HW47" s="49">
        <f>VLOOKUP(A47,tbMoveset!A2:G112,7,FALSE)*IFERROR(IF(Backdoors!AI12&gt;=0,1+(IF(Calculator!E40&gt;0,VLOOKUP(Calculator!E40,tbSkills!AI3:AJ5,2,FALSE),Backdoors!AL4)*(IF((Backdoors!AI12+IF(HR47&gt;=0.45,VLOOKUP(Calculator!E23,tbSkills!DH3:DI6,2,FALSE)+IF(AND(Calculator!B8=TRUE,Backdoors!BI35=TRUE),VLOOKUP(Calculator!E23,tbSkills!DH3:DJ6,3,FALSE),0),0))&gt;=100,100,(Backdoors!AI12+IF(HR47&gt;=0.45,VLOOKUP(Calculator!E23,tbSkills!DH3:DI6,2,FALSE)+IF(AND(Calculator!B8=TRUE,Backdoors!BI35=TRUE),VLOOKUP(Calculator!E23,tbSkills!DH3:DJ6,3,FALSE),0),0)))/100)),1),1)</f>
        <v>0.6</v>
      </c>
      <c r="HX47" s="87">
        <f t="shared" si="25"/>
        <v>0</v>
      </c>
      <c r="HY47" s="86" t="str">
        <f>IFERROR(IF(VLOOKUP(A47,tbMoveset!A2:B112,2,FALSE)="Sever",Backdoors!AY36/100,IF(VLOOKUP(A47,tbMoveset!A2:B112,2,FALSE)="Blunt",Backdoors!AZ36/100,Backdoors!BA36/100)),"")</f>
        <v/>
      </c>
      <c r="HZ47" s="49">
        <f>IFERROR(IF(VLOOKUP(tbMoveset!A47,tbMoveset!A2:H112,8,FALSE)="Other",IF(VLOOKUP(tbMoveset!A47,tbMoveset!A2:I112,9,FALSE)="Fire",Backdoors!BB36,IF(VLOOKUP(tbMoveset!A47,tbMoveset!A2:I112,9,FALSE)="Water",Backdoors!BC36,IF(VLOOKUP(tbMoveset!A47,tbMoveset!A2:I112,9,FALSE)="Thunder",Backdoors!BD36,IF(VLOOKUP(tbMoveset!A47,tbMoveset!A2:I112,9,FALSE)="Ice",Backdoors!BE36,IF(VLOOKUP(tbMoveset!A47,tbMoveset!A2:I112,9,FALSE)="Dragon",Backdoors!BF36,Backdoors!BG36)))))/100,Backdoors!BG36/100),"")</f>
        <v>0</v>
      </c>
      <c r="IA47" s="49">
        <f>IFERROR(IF(VLOOKUP(A47,tbMoveset!A2:J112,10,FALSE)=TRUE,IF((Backdoors!AI12+IF(HY47&gt;=0.45,VLOOKUP(Calculator!E23,tbSkills!DH3:DI6,2,FALSE)+IF(AND(Calculator!B8=TRUE,Backdoors!BI36=TRUE),VLOOKUP(Calculator!E23,tbSkills!DH3:DJ6,3,FALSE),0),0))&gt;=0,1+(Backdoors!AL2*(IF((Backdoors!AI12+IF(HY47&gt;=0.45,VLOOKUP(Calculator!E23,tbSkills!DH3:DI6,2,FALSE)+IF(AND(Calculator!B8=TRUE,Backdoors!BI36=TRUE),VLOOKUP(Calculator!E23,tbSkills!DH3:DJ6,3,FALSE),0),0))&gt;=100,100,(Backdoors!AI12+IF(HY47&gt;=0.45,VLOOKUP(Calculator!E23,tbSkills!DH3:DI6,2,FALSE)+IF(AND(Calculator!B8=TRUE,Backdoors!BI36=TRUE),VLOOKUP(Calculator!E23,tbSkills!DH3:DJ6,3,FALSE),0),0)))/100)),(1-(0.25*((-Backdoors!AI12-IF(HY47&gt;=0.45,VLOOKUP(Calculator!E23,tbSkills!DH3:DI6,2,FALSE)+IF(AND(Calculator!B8=TRUE,Backdoors!BI36=TRUE),VLOOKUP(Calculator!E23,tbSkills!DH3:DJ6,3,FALSE),0),0))/100)))),1),"")</f>
        <v>1</v>
      </c>
      <c r="IB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Y47)*IA47)*(VLOOKUP(A47,tbMoveset!A2:C112,3,FALSE)/100)*IF(VLOOKUP(A47,tbMoveset!A2:B112,2,FALSE)="Projectile",Backdoors!N10,Backdoors!N9),0),"")</f>
        <v/>
      </c>
      <c r="IC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Y47&gt;=0.45,VLOOKUP(Calculator!E23,tbSkills!DH3:DI6,2,FALSE)+IF(AND(Calculator!B8=TRUE,Backdoors!BI36=TRUE),VLOOKUP(Calculator!E23,tbSkills!DH3:DJ6,3,FALSE),0),0))&gt;=100,100,(Backdoors!AI12+IF(HY47&gt;=0.45,VLOOKUP(Calculator!E23,tbSkills!DH3:DI6,2,FALSE)+IF(AND(Calculator!B8=TRUE,Backdoors!BI36=TRUE),VLOOKUP(Calculator!E23,tbSkills!DH3:DJ6,3,FALSE),0),0)))/100)),1))*IF(VLOOKUP(A47,tbMoveset!A2:K112,11,FALSE)=TRUE,Backdoors!AC5,1))*HZ47,0),"")</f>
        <v>0</v>
      </c>
      <c r="ID47" s="49">
        <f>VLOOKUP(A47,tbMoveset!A2:G112,7,FALSE)*IFERROR(IF(Backdoors!AI12&gt;=0,1+(IF(Calculator!E40&gt;0,VLOOKUP(Calculator!E40,tbSkills!AI3:AJ5,2,FALSE),Backdoors!AL4)*(IF((Backdoors!AI12+IF(HY47&gt;=0.45,VLOOKUP(Calculator!E23,tbSkills!DH3:DI6,2,FALSE)+IF(AND(Calculator!B8=TRUE,Backdoors!BI36=TRUE),VLOOKUP(Calculator!E23,tbSkills!DH3:DJ6,3,FALSE),0),0))&gt;=100,100,(Backdoors!AI12+IF(HY47&gt;=0.45,VLOOKUP(Calculator!E23,tbSkills!DH3:DI6,2,FALSE)+IF(AND(Calculator!B8=TRUE,Backdoors!BI36=TRUE),VLOOKUP(Calculator!E23,tbSkills!DH3:DJ6,3,FALSE),0),0)))/100)),1),1)</f>
        <v>0.6</v>
      </c>
      <c r="IE47" s="87">
        <f t="shared" si="26"/>
        <v>0</v>
      </c>
      <c r="IF47" s="86" t="str">
        <f>IFERROR(IF(VLOOKUP(A47,tbMoveset!A2:B112,2,FALSE)="Sever",Backdoors!AY37/100,IF(VLOOKUP(A47,tbMoveset!A2:B112,2,FALSE)="Blunt",Backdoors!AZ37/100,Backdoors!BA37/100)),"")</f>
        <v/>
      </c>
      <c r="IG47" s="49">
        <f>IFERROR(IF(VLOOKUP(tbMoveset!A47,tbMoveset!A2:H112,8,FALSE)="Other",IF(VLOOKUP(tbMoveset!A47,tbMoveset!A2:I112,9,FALSE)="Fire",Backdoors!BB37,IF(VLOOKUP(tbMoveset!A47,tbMoveset!A2:I112,9,FALSE)="Water",Backdoors!BC37,IF(VLOOKUP(tbMoveset!A47,tbMoveset!A2:I112,9,FALSE)="Thunder",Backdoors!BD37,IF(VLOOKUP(tbMoveset!A47,tbMoveset!A2:I112,9,FALSE)="Ice",Backdoors!BE37,IF(VLOOKUP(tbMoveset!A47,tbMoveset!A2:I112,9,FALSE)="Dragon",Backdoors!BF37,Backdoors!BG37)))))/100,Backdoors!BG37/100),"")</f>
        <v>0</v>
      </c>
      <c r="IH47" s="49">
        <f>IFERROR(IF(VLOOKUP(A47,tbMoveset!A2:J112,10,FALSE)=TRUE,IF((Backdoors!AI12+IF(IF47&gt;=0.45,VLOOKUP(Calculator!E23,tbSkills!DH3:DI6,2,FALSE)+IF(AND(Calculator!B8=TRUE,Backdoors!BI37=TRUE),VLOOKUP(Calculator!E23,tbSkills!DH3:DJ6,3,FALSE),0),0))&gt;=0,1+(Backdoors!AL2*(IF((Backdoors!AI12+IF(IF47&gt;=0.45,VLOOKUP(Calculator!E23,tbSkills!DH3:DI6,2,FALSE)+IF(AND(Calculator!B8=TRUE,Backdoors!BI37=TRUE),VLOOKUP(Calculator!E23,tbSkills!DH3:DJ6,3,FALSE),0),0))&gt;=100,100,(Backdoors!AI12+IF(IF47&gt;=0.45,VLOOKUP(Calculator!E23,tbSkills!DH3:DI6,2,FALSE)+IF(AND(Calculator!B8=TRUE,Backdoors!BI37=TRUE),VLOOKUP(Calculator!E23,tbSkills!DH3:DJ6,3,FALSE),0),0)))/100)),(1-(0.25*((-Backdoors!AI12-IF(IF47&gt;=0.45,VLOOKUP(Calculator!E23,tbSkills!DH3:DI6,2,FALSE)+IF(AND(Calculator!B8=TRUE,Backdoors!BI37=TRUE),VLOOKUP(Calculator!E23,tbSkills!DH3:DJ6,3,FALSE),0),0))/100)))),1),"")</f>
        <v>1</v>
      </c>
      <c r="II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F47)*IH47)*(VLOOKUP(A47,tbMoveset!A2:C112,3,FALSE)/100)*IF(VLOOKUP(A47,tbMoveset!A2:B112,2,FALSE)="Projectile",Backdoors!N10,Backdoors!N9),0),"")</f>
        <v/>
      </c>
      <c r="IJ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IF47&gt;=0.45,VLOOKUP(Calculator!E23,tbSkills!DH3:DI6,2,FALSE)+IF(AND(Calculator!B8=TRUE,Backdoors!BI37=TRUE),VLOOKUP(Calculator!E23,tbSkills!DH3:DJ6,3,FALSE),0),0))&gt;=100,100,(Backdoors!AI12+IF(IF47&gt;=0.45,VLOOKUP(Calculator!E23,tbSkills!DH3:DI6,2,FALSE)+IF(AND(Calculator!B8=TRUE,Backdoors!BI37=TRUE),VLOOKUP(Calculator!E23,tbSkills!DH3:DJ6,3,FALSE),0),0)))/100)),1))*IF(VLOOKUP(A47,tbMoveset!A2:K112,11,FALSE)=TRUE,Backdoors!AC5,1))*IG47,0),"")</f>
        <v>0</v>
      </c>
      <c r="IK47" s="49">
        <f>VLOOKUP(A47,tbMoveset!A2:G112,7,FALSE)*IFERROR(IF(Backdoors!AI12&gt;=0,1+(IF(Calculator!E40&gt;0,VLOOKUP(Calculator!E40,tbSkills!AI3:AJ5,2,FALSE),Backdoors!AL4)*(IF((Backdoors!AI12+IF(IF47&gt;=0.45,VLOOKUP(Calculator!E23,tbSkills!DH3:DI6,2,FALSE)+IF(AND(Calculator!B8=TRUE,Backdoors!BI37=TRUE),VLOOKUP(Calculator!E23,tbSkills!DH3:DJ6,3,FALSE),0),0))&gt;=100,100,(Backdoors!AI12+IF(IF47&gt;=0.45,VLOOKUP(Calculator!E23,tbSkills!DH3:DI6,2,FALSE)+IF(AND(Calculator!B8=TRUE,Backdoors!BI37=TRUE),VLOOKUP(Calculator!E23,tbSkills!DH3:DJ6,3,FALSE),0),0)))/100)),1),1)</f>
        <v>0.6</v>
      </c>
      <c r="IL47" s="87">
        <f t="shared" si="27"/>
        <v>0</v>
      </c>
      <c r="IM47" s="86" t="str">
        <f>IFERROR(IF(VLOOKUP(A47,tbMoveset!A2:B112,2,FALSE)="Sever",Backdoors!AY38/100,IF(VLOOKUP(A47,tbMoveset!A2:B112,2,FALSE)="Blunt",Backdoors!AZ38/100,Backdoors!BA38/100)),"")</f>
        <v/>
      </c>
      <c r="IN47" s="49">
        <f>IFERROR(IF(VLOOKUP(tbMoveset!A47,tbMoveset!A2:H112,8,FALSE)="Other",IF(VLOOKUP(tbMoveset!A47,tbMoveset!A2:I112,9,FALSE)="Fire",Backdoors!BB38,IF(VLOOKUP(tbMoveset!A47,tbMoveset!A2:I112,9,FALSE)="Water",Backdoors!BC38,IF(VLOOKUP(tbMoveset!A47,tbMoveset!A2:I112,9,FALSE)="Thunder",Backdoors!BD38,IF(VLOOKUP(tbMoveset!A47,tbMoveset!A2:I112,9,FALSE)="Ice",Backdoors!BE38,IF(VLOOKUP(tbMoveset!A47,tbMoveset!A2:I112,9,FALSE)="Dragon",Backdoors!BF38,Backdoors!BG38)))))/100,Backdoors!BG38/100),"")</f>
        <v>0</v>
      </c>
      <c r="IO47" s="49">
        <f>IFERROR(IF(VLOOKUP(A47,tbMoveset!A2:J112,10,FALSE)=TRUE,IF((Backdoors!AI12+IF(IM47&gt;=0.45,VLOOKUP(Calculator!E23,tbSkills!DH3:DI6,2,FALSE)+IF(AND(Calculator!B8=TRUE,Backdoors!BI38=TRUE),VLOOKUP(Calculator!E23,tbSkills!DH3:DJ6,3,FALSE),0),0))&gt;=0,1+(Backdoors!AL2*(IF((Backdoors!AI12+IF(IM47&gt;=0.45,VLOOKUP(Calculator!E23,tbSkills!DH3:DI6,2,FALSE)+IF(AND(Calculator!B8=TRUE,Backdoors!BI38=TRUE),VLOOKUP(Calculator!E23,tbSkills!DH3:DJ6,3,FALSE),0),0))&gt;=100,100,(Backdoors!AI12+IF(IM47&gt;=0.45,VLOOKUP(Calculator!E23,tbSkills!DH3:DI6,2,FALSE)+IF(AND(Calculator!B8=TRUE,Backdoors!BI38=TRUE),VLOOKUP(Calculator!E23,tbSkills!DH3:DJ6,3,FALSE),0),0)))/100)),(1-(0.25*((-Backdoors!AI12-IF(IM47&gt;=0.45,VLOOKUP(Calculator!E23,tbSkills!DH3:DI6,2,FALSE)+IF(AND(Calculator!B8=TRUE,Backdoors!BI38=TRUE),VLOOKUP(Calculator!E23,tbSkills!DH3:DJ6,3,FALSE),0),0))/100)))),1),"")</f>
        <v>1</v>
      </c>
      <c r="IP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M47)*IO47)*(VLOOKUP(A47,tbMoveset!A2:C112,3,FALSE)/100)*IF(VLOOKUP(A47,tbMoveset!A2:B112,2,FALSE)="Projectile",Backdoors!N10,Backdoors!N9),0),"")</f>
        <v/>
      </c>
      <c r="IQ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IM47&gt;=0.45,VLOOKUP(Calculator!E23,tbSkills!DH3:DI6,2,FALSE)+IF(AND(Calculator!B8=TRUE,Backdoors!BI38=TRUE),VLOOKUP(Calculator!E23,tbSkills!DH3:DJ6,3,FALSE),0),0))&gt;=100,100,(Backdoors!AI12+IF(IM47&gt;=0.45,VLOOKUP(Calculator!E23,tbSkills!DH3:DI6,2,FALSE)+IF(AND(Calculator!B8=TRUE,Backdoors!BI38=TRUE),VLOOKUP(Calculator!E23,tbSkills!DH3:DJ6,3,FALSE),0),0)))/100)),1))*IF(VLOOKUP(A47,tbMoveset!A2:K112,11,FALSE)=TRUE,Backdoors!AC5,1))*IN47,0),"")</f>
        <v>0</v>
      </c>
      <c r="IR47" s="49">
        <f>VLOOKUP(A47,tbMoveset!A2:G112,7,FALSE)*IFERROR(IF(Backdoors!AI12&gt;=0,1+(IF(Calculator!E40&gt;0,VLOOKUP(Calculator!E40,tbSkills!AI3:AJ5,2,FALSE),Backdoors!AL4)*(IF((Backdoors!AI12+IF(IM47&gt;=0.45,VLOOKUP(Calculator!E23,tbSkills!DH3:DI6,2,FALSE)+IF(AND(Calculator!B8=TRUE,Backdoors!BI38=TRUE),VLOOKUP(Calculator!E23,tbSkills!DH3:DJ6,3,FALSE),0),0))&gt;=100,100,(Backdoors!AI12+IF(IM47&gt;=0.45,VLOOKUP(Calculator!E23,tbSkills!DH3:DI6,2,FALSE)+IF(AND(Calculator!B8=TRUE,Backdoors!BI38=TRUE),VLOOKUP(Calculator!E23,tbSkills!DH3:DJ6,3,FALSE),0),0)))/100)),1),1)</f>
        <v>0.6</v>
      </c>
      <c r="IS47" s="87">
        <f t="shared" si="42"/>
        <v>0</v>
      </c>
      <c r="IT47" s="86" t="str">
        <f>IFERROR(IF(VLOOKUP(A47,tbMoveset!A2:B112,2,FALSE)="Sever",Backdoors!AY39/100,IF(VLOOKUP(A47,tbMoveset!A2:B112,2,FALSE)="Blunt",Backdoors!AZ39/100,Backdoors!BA39/100)),"")</f>
        <v/>
      </c>
      <c r="IU47" s="49">
        <f>IFERROR(IF(VLOOKUP(tbMoveset!A47,tbMoveset!A2:H112,8,FALSE)="Other",IF(VLOOKUP(tbMoveset!A47,tbMoveset!A2:I112,9,FALSE)="Fire",Backdoors!BB39,IF(VLOOKUP(tbMoveset!A47,tbMoveset!A2:I112,9,FALSE)="Water",Backdoors!BC39,IF(VLOOKUP(tbMoveset!A47,tbMoveset!A2:I112,9,FALSE)="Thunder",Backdoors!BD39,IF(VLOOKUP(tbMoveset!A47,tbMoveset!A2:I112,9,FALSE)="Ice",Backdoors!BE39,IF(VLOOKUP(tbMoveset!A47,tbMoveset!A2:I112,9,FALSE)="Dragon",Backdoors!BF39,Backdoors!BG39)))))/100,Backdoors!BG39/100),"")</f>
        <v>0</v>
      </c>
      <c r="IV47" s="49">
        <f>IFERROR(IF(VLOOKUP(A47,tbMoveset!A2:J112,10,FALSE)=TRUE,IF((Backdoors!AI12+IF(IT47&gt;=0.45,VLOOKUP(Calculator!E23,tbSkills!DH3:DI6,2,FALSE)+IF(AND(Calculator!B8=TRUE,Backdoors!BI39=TRUE),VLOOKUP(Calculator!E23,tbSkills!DH3:DJ6,3,FALSE),0),0))&gt;=0,1+(Backdoors!AL2*(IF((Backdoors!AI12+IF(IT47&gt;=0.45,VLOOKUP(Calculator!E23,tbSkills!DH3:DI6,2,FALSE)+IF(AND(Calculator!B8=TRUE,Backdoors!BI39=TRUE),VLOOKUP(Calculator!E23,tbSkills!DH3:DJ6,3,FALSE),0),0))&gt;=100,100,(Backdoors!AI12+IF(IT47&gt;=0.45,VLOOKUP(Calculator!E23,tbSkills!DH3:DI6,2,FALSE)+IF(AND(Calculator!B8=TRUE,Backdoors!BI39=TRUE),VLOOKUP(Calculator!E23,tbSkills!DH3:DJ6,3,FALSE),0),0)))/100)),(1-(0.25*((-Backdoors!AI12-IF(IT47&gt;=0.45,VLOOKUP(Calculator!E23,tbSkills!DH3:DI6,2,FALSE)+IF(AND(Calculator!B8=TRUE,Backdoors!BI39=TRUE),VLOOKUP(Calculator!E23,tbSkills!DH3:DJ6,3,FALSE),0),0))/100)))),1),"")</f>
        <v>1</v>
      </c>
      <c r="IW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T47)*IV47)*(VLOOKUP(A47,tbMoveset!A2:C112,3,FALSE)/100)*IF(VLOOKUP(A47,tbMoveset!A2:B112,2,FALSE)="Projectile",Backdoors!N10,Backdoors!N9),0),"")</f>
        <v/>
      </c>
      <c r="IX47" s="49">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40&gt;0,VLOOKUP(Calculator!E40,tbSkills!AC3:AD5,2,FALSE),Backdoors!AL3)*(IF((Backdoors!AI12+IF(IT47&gt;=0.45,VLOOKUP(Calculator!E23,tbSkills!DH3:DI6,2,FALSE)+IF(AND(Calculator!B8=TRUE,Backdoors!BI39=TRUE),VLOOKUP(Calculator!E23,tbSkills!DH3:DJ6,3,FALSE),0),0))&gt;=100,100,(Backdoors!AI12+IF(IT47&gt;=0.45,VLOOKUP(Calculator!E23,tbSkills!DH3:DI6,2,FALSE)+IF(AND(Calculator!B8=TRUE,Backdoors!BI39=TRUE),VLOOKUP(Calculator!E23,tbSkills!DH3:DJ6,3,FALSE),0),0)))/100)),1))*IF(VLOOKUP(A47,tbMoveset!A2:K112,11,FALSE)=TRUE,Backdoors!AC5,1))*IU47,0),"")</f>
        <v>0</v>
      </c>
      <c r="IY47" s="49">
        <f>VLOOKUP(A47,tbMoveset!A2:G112,7,FALSE)*IFERROR(IF(Backdoors!AI12&gt;=0,1+(IF(Calculator!E40&gt;0,VLOOKUP(Calculator!E40,tbSkills!AI3:AJ5,2,FALSE),Backdoors!AL4)*(IF((Backdoors!AI12+IF(IT47&gt;=0.45,VLOOKUP(Calculator!E23,tbSkills!DH3:DI6,2,FALSE)+IF(AND(Calculator!B8=TRUE,Backdoors!BI39=TRUE),VLOOKUP(Calculator!E23,tbSkills!DH3:DJ6,3,FALSE),0),0))&gt;=100,100,(Backdoors!AI12+IF(IT47&gt;=0.45,VLOOKUP(Calculator!E23,tbSkills!DH3:DI6,2,FALSE)+IF(AND(Calculator!B8=TRUE,Backdoors!BI39=TRUE),VLOOKUP(Calculator!E23,tbSkills!DH3:DJ6,3,FALSE),0),0)))/100)),1),1)</f>
        <v>0.6</v>
      </c>
      <c r="IZ47" s="87">
        <f t="shared" si="28"/>
        <v>0</v>
      </c>
      <c r="JA47" s="86" t="str">
        <f>IFERROR(IF(VLOOKUP(A47,tbMoveset!A2:B112,2,FALSE)="Sever",Backdoors!AY40/100,IF(VLOOKUP(A47,tbMoveset!A2:B112,2,FALSE)="Blunt",Backdoors!AZ40/100,Backdoors!BA40/100)),"")</f>
        <v/>
      </c>
      <c r="JB47" s="49">
        <f>IFERROR(IF(VLOOKUP(tbMoveset!A47,tbMoveset!A2:H112,8,FALSE)="Other",IF(VLOOKUP(tbMoveset!A47,tbMoveset!A2:I112,9,FALSE)="Fire",Backdoors!BB40,IF(VLOOKUP(tbMoveset!A47,tbMoveset!A2:I112,9,FALSE)="Water",Backdoors!BC40,IF(VLOOKUP(tbMoveset!A47,tbMoveset!A2:I112,9,FALSE)="Thunder",Backdoors!BD40,IF(VLOOKUP(tbMoveset!A47,tbMoveset!A2:I112,9,FALSE)="Ice",Backdoors!BE40,IF(VLOOKUP(tbMoveset!A47,tbMoveset!A2:I112,9,FALSE)="Dragon",Backdoors!BF40,Backdoors!BG40)))))/100,Backdoors!BG40/100),"")</f>
        <v>0</v>
      </c>
      <c r="JC47" s="49">
        <f>IFERROR(IF(VLOOKUP(A47,tbMoveset!A2:J112,10,FALSE)=TRUE,IF((Backdoors!AI12+IF(JA47&gt;=0.45,VLOOKUP(Calculator!E23,tbSkills!DH3:DI6,2,FALSE)+IF(AND(Calculator!B8=TRUE,Backdoors!BI40=TRUE),VLOOKUP(Calculator!E23,tbSkills!DH3:DJ6,3,FALSE),0),0))&gt;=0,1+(Backdoors!AL2*(IF((Backdoors!AI12+IF(JA47&gt;=0.45,VLOOKUP(Calculator!E23,tbSkills!DH3:DI6,2,FALSE)+IF(AND(Calculator!B8=TRUE,Backdoors!BI40=TRUE),VLOOKUP(Calculator!E23,tbSkills!DH3:DJ6,3,FALSE),0),0))&gt;=100,100,(Backdoors!AI12+IF(JA47&gt;=0.45,VLOOKUP(Calculator!E23,tbSkills!DH3:DI6,2,FALSE)+IF(AND(Calculator!B8=TRUE,Backdoors!BI40=TRUE),VLOOKUP(Calculator!E23,tbSkills!DH3:DJ6,3,FALSE),0),0)))/100)),(1-(0.25*((-Backdoors!AI12-IF(JA47&gt;=0.45,VLOOKUP(Calculator!E23,tbSkills!DH3:DI6,2,FALSE)+IF(AND(Calculator!B8=TRUE,Backdoors!BI40=TRUE),VLOOKUP(Calculator!E23,tbSkills!DH3:DJ6,3,FALSE),0),0))/100)))),1),"")</f>
        <v>1</v>
      </c>
      <c r="JD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A47)*JC47)*(VLOOKUP(A47,tbMoveset!A2:C112,3,FALSE)/100)*IF(VLOOKUP(A47,tbMoveset!A2:B112,2,FALSE)="Projectile",Backdoors!N10,Backdoors!N9),0),"")</f>
        <v/>
      </c>
      <c r="JE47" s="49">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42&gt;0,VLOOKUP(Calculator!E42,tbSkills!AC3:AD5,2,FALSE),Backdoors!AL3)*(IF((Backdoors!AI12+IF(JA47&gt;=0.45,VLOOKUP(Calculator!E23,tbSkills!DH3:DI6,2,FALSE)+IF(AND(Calculator!B8=TRUE,Backdoors!BI40=TRUE),VLOOKUP(Calculator!E23,tbSkills!DH3:DJ6,3,FALSE),0),0))&gt;=100,100,(Backdoors!AI12+IF(JA47&gt;=0.45,VLOOKUP(Calculator!E23,tbSkills!DH3:DI6,2,FALSE)+IF(AND(Calculator!B8=TRUE,Backdoors!BI40=TRUE),VLOOKUP(Calculator!E23,tbSkills!DH3:DJ6,3,FALSE),0),0)))/100)),1))*IF(VLOOKUP(A47,tbMoveset!A2:K112,11,FALSE)=TRUE,Backdoors!AC5,1))*JB47,0),"")</f>
        <v>0</v>
      </c>
      <c r="JF47" s="49">
        <f>VLOOKUP(A47,tbMoveset!A2:G112,7,FALSE)*IFERROR(IF(Backdoors!AI12&gt;=0,1+(IF(Calculator!E40&gt;0,VLOOKUP(Calculator!E40,tbSkills!AI3:AJ5,2,FALSE),Backdoors!AL4)*(IF((Backdoors!AI12+IF(JA47&gt;=0.45,VLOOKUP(Calculator!E23,tbSkills!DH3:DI6,2,FALSE)+IF(AND(Calculator!B8=TRUE,Backdoors!BI40=TRUE),VLOOKUP(Calculator!E23,tbSkills!DH3:DJ6,3,FALSE),0),0))&gt;=100,100,(Backdoors!AI12+IF(JA47&gt;=0.45,VLOOKUP(Calculator!E23,tbSkills!DH3:DI6,2,FALSE)+IF(AND(Calculator!B8=TRUE,Backdoors!BI40=TRUE),VLOOKUP(Calculator!E23,tbSkills!DH3:DJ6,3,FALSE),0),0)))/100)),1),1)</f>
        <v>0.6</v>
      </c>
      <c r="JG47" s="87">
        <f t="shared" si="29"/>
        <v>0</v>
      </c>
      <c r="JH47" s="86" t="str">
        <f>IFERROR(IF(VLOOKUP(A47,tbMoveset!A2:B112,2,FALSE)="Sever",Backdoors!AY41/100,IF(VLOOKUP(A47,tbMoveset!A2:B112,2,FALSE)="Blunt",Backdoors!AZ41/100,Backdoors!BA41/100)),"")</f>
        <v/>
      </c>
      <c r="JI47" s="49">
        <f>IFERROR(IF(VLOOKUP(tbMoveset!A47,tbMoveset!A2:H112,8,FALSE)="Other",IF(VLOOKUP(tbMoveset!A47,tbMoveset!A2:I112,9,FALSE)="Fire",Backdoors!BB41,IF(VLOOKUP(tbMoveset!A47,tbMoveset!A2:I112,9,FALSE)="Water",Backdoors!BC41,IF(VLOOKUP(tbMoveset!A47,tbMoveset!A2:I112,9,FALSE)="Thunder",Backdoors!BD41,IF(VLOOKUP(tbMoveset!A47,tbMoveset!A2:I112,9,FALSE)="Ice",Backdoors!BE41,IF(VLOOKUP(tbMoveset!A47,tbMoveset!A2:I112,9,FALSE)="Dragon",Backdoors!BF41,Backdoors!BG41)))))/100,Backdoors!BG41/100),"")</f>
        <v>0</v>
      </c>
      <c r="JJ47" s="49">
        <f>IFERROR(IF(VLOOKUP(A47,tbMoveset!A2:J112,10,FALSE)=TRUE,IF((Backdoors!AI12+IF(JH47&gt;=0.45,VLOOKUP(Calculator!E23,tbSkills!DH3:DI6,2,FALSE)+IF(AND(Calculator!B8=TRUE,Backdoors!BI41=TRUE),VLOOKUP(Calculator!E23,tbSkills!DH3:DJ6,3,FALSE),0),0))&gt;=0,1+(Backdoors!AL2*(IF((Backdoors!AI12+IF(JH47&gt;=0.45,VLOOKUP(Calculator!E23,tbSkills!DH3:DI6,2,FALSE)+IF(AND(Calculator!B8=TRUE,Backdoors!BI41=TRUE),VLOOKUP(Calculator!E23,tbSkills!DH3:DJ6,3,FALSE),0),0))&gt;=100,100,(Backdoors!AI12+IF(JH47&gt;=0.45,VLOOKUP(Calculator!E23,tbSkills!DH3:DI6,2,FALSE)+IF(AND(Calculator!B8=TRUE,Backdoors!BI41=TRUE),VLOOKUP(Calculator!E23,tbSkills!DH3:DJ6,3,FALSE),0),0)))/100)),(1-(0.25*((-Backdoors!AI12-IF(JH47&gt;=0.45,VLOOKUP(Calculator!E23,tbSkills!DH3:DI6,2,FALSE)+IF(AND(Calculator!B8=TRUE,Backdoors!BI41=TRUE),VLOOKUP(Calculator!E23,tbSkills!DH3:DJ6,3,FALSE),0),0))/100)))),1),"")</f>
        <v>1</v>
      </c>
      <c r="JK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H47)*JJ47)*(VLOOKUP(A47,tbMoveset!A2:C112,3,FALSE)/100)*IF(VLOOKUP(A47,tbMoveset!A2:B112,2,FALSE)="Projectile",Backdoors!N10,Backdoors!N9),0),"")</f>
        <v/>
      </c>
      <c r="JL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43&gt;0,VLOOKUP(Calculator!E43,tbSkills!AC3:AD5,2,FALSE),Backdoors!AL3)*(IF((Backdoors!AI12+IF(JH47&gt;=0.45,VLOOKUP(Calculator!E23,tbSkills!DH3:DI6,2,FALSE)+IF(AND(Calculator!B8=TRUE,Backdoors!BI41=TRUE),VLOOKUP(Calculator!E23,tbSkills!DH3:DJ6,3,FALSE),0),0))&gt;=100,100,(Backdoors!AI12+IF(JH47&gt;=0.45,VLOOKUP(Calculator!E23,tbSkills!DH3:DI6,2,FALSE)+IF(AND(Calculator!B8=TRUE,Backdoors!BI41=TRUE),VLOOKUP(Calculator!E23,tbSkills!DH3:DJ6,3,FALSE),0),0)))/100)),1))*IF(VLOOKUP(A47,tbMoveset!A2:K112,11,FALSE)=TRUE,Backdoors!AC5,1))*JI47,0),"")</f>
        <v/>
      </c>
      <c r="JM47" s="49">
        <f>VLOOKUP(A47,tbMoveset!A2:G112,7,FALSE)*IFERROR(IF(Backdoors!AI12&gt;=0,1+(IF(Calculator!E40&gt;0,VLOOKUP(Calculator!E40,tbSkills!AI3:AJ5,2,FALSE),Backdoors!AL4)*(IF((Backdoors!AI12+IF(JH47&gt;=0.45,VLOOKUP(Calculator!E23,tbSkills!DH3:DI6,2,FALSE)+IF(AND(Calculator!B8=TRUE,Backdoors!BI41=TRUE),VLOOKUP(Calculator!E23,tbSkills!DH3:DJ6,3,FALSE),0),0))&gt;=100,100,(Backdoors!AI12+IF(JH47&gt;=0.45,VLOOKUP(Calculator!E23,tbSkills!DH3:DI6,2,FALSE)+IF(AND(Calculator!B8=TRUE,Backdoors!BI41=TRUE),VLOOKUP(Calculator!E23,tbSkills!DH3:DJ6,3,FALSE),0),0)))/100)),1),1)</f>
        <v>0.6</v>
      </c>
      <c r="JN47" s="87">
        <f t="shared" si="30"/>
        <v>0</v>
      </c>
      <c r="JO47" s="86" t="str">
        <f>IFERROR(IF(VLOOKUP(A47,tbMoveset!A2:B112,2,FALSE)="Sever",Backdoors!AY42/100,IF(VLOOKUP(A47,tbMoveset!A2:B112,2,FALSE)="Blunt",Backdoors!AZ42/100,Backdoors!BA42/100)),"")</f>
        <v/>
      </c>
      <c r="JP47" s="49">
        <f>IFERROR(IF(VLOOKUP(tbMoveset!A47,tbMoveset!A2:H112,8,FALSE)="Other",IF(VLOOKUP(tbMoveset!A47,tbMoveset!A2:I112,9,FALSE)="Fire",Backdoors!BB42,IF(VLOOKUP(tbMoveset!A47,tbMoveset!A2:I112,9,FALSE)="Water",Backdoors!BC42,IF(VLOOKUP(tbMoveset!A47,tbMoveset!A2:I112,9,FALSE)="Thunder",Backdoors!BD42,IF(VLOOKUP(tbMoveset!A47,tbMoveset!A2:I112,9,FALSE)="Ice",Backdoors!BE42,IF(VLOOKUP(tbMoveset!A47,tbMoveset!A2:I112,9,FALSE)="Dragon",Backdoors!BF42,Backdoors!BG42)))))/100,Backdoors!BG42/100),"")</f>
        <v>0</v>
      </c>
      <c r="JQ47" s="49">
        <f>IFERROR(IF(VLOOKUP(A47,tbMoveset!A2:J112,10,FALSE)=TRUE,IF((Backdoors!AI12+IF(JO47&gt;=0.45,VLOOKUP(Calculator!E23,tbSkills!DH3:DI6,2,FALSE)+IF(AND(Calculator!B8=TRUE,Backdoors!BI42=TRUE),VLOOKUP(Calculator!E23,tbSkills!DH3:DJ6,3,FALSE),0),0))&gt;=0,1+(Backdoors!AL2*(IF((Backdoors!AI12+IF(JO47&gt;=0.45,VLOOKUP(Calculator!E23,tbSkills!DH3:DI6,2,FALSE)+IF(AND(Calculator!B8=TRUE,Backdoors!BI42=TRUE),VLOOKUP(Calculator!E23,tbSkills!DH3:DJ6,3,FALSE),0),0))&gt;=100,100,(Backdoors!AI12+IF(JO47&gt;=0.45,VLOOKUP(Calculator!E23,tbSkills!DH3:DI6,2,FALSE)+IF(AND(Calculator!B8=TRUE,Backdoors!BI42=TRUE),VLOOKUP(Calculator!E23,tbSkills!DH3:DJ6,3,FALSE),0),0)))/100)),(1-(0.25*((-Backdoors!AI12-IF(JO47&gt;=0.45,VLOOKUP(Calculator!E23,tbSkills!DH3:DI6,2,FALSE)+IF(AND(Calculator!B8=TRUE,Backdoors!BI42=TRUE),VLOOKUP(Calculator!E23,tbSkills!DH3:DJ6,3,FALSE),0),0))/100)))),1),"")</f>
        <v>1</v>
      </c>
      <c r="JR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O47)*JQ47)*(VLOOKUP(A47,tbMoveset!A2:C112,3,FALSE)/100)*IF(VLOOKUP(A47,tbMoveset!A2:B112,2,FALSE)="Projectile",Backdoors!N10,Backdoors!N9),0),"")</f>
        <v/>
      </c>
      <c r="JS47" s="49">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45&gt;0,VLOOKUP(Calculator!E45,tbSkills!AC3:AD5,2,FALSE),Backdoors!AL3)*(IF((Backdoors!AI12+IF(JO47&gt;=0.45,VLOOKUP(Calculator!E23,tbSkills!DH3:DI6,2,FALSE)+IF(AND(Calculator!B8=TRUE,Backdoors!BI42=TRUE),VLOOKUP(Calculator!E23,tbSkills!DH3:DJ6,3,FALSE),0),0))&gt;=100,100,(Backdoors!AI12+IF(JO47&gt;=0.45,VLOOKUP(Calculator!E23,tbSkills!DH3:DI6,2,FALSE)+IF(AND(Calculator!B8=TRUE,Backdoors!BI42=TRUE),VLOOKUP(Calculator!E23,tbSkills!DH3:DJ6,3,FALSE),0),0)))/100)),1))*IF(VLOOKUP(A47,tbMoveset!A2:K112,11,FALSE)=TRUE,Backdoors!AC5,1))*JP47,0),"")</f>
        <v>0</v>
      </c>
      <c r="JT47" s="49">
        <f>VLOOKUP(A47,tbMoveset!A2:G112,7,FALSE)*IFERROR(IF(Backdoors!AI12&gt;=0,1+(IF(Calculator!E40&gt;0,VLOOKUP(Calculator!E40,tbSkills!AI3:AJ5,2,FALSE),Backdoors!AL4)*(IF((Backdoors!AI12+IF(JO47&gt;=0.45,VLOOKUP(Calculator!E23,tbSkills!DH3:DI6,2,FALSE)+IF(AND(Calculator!B8=TRUE,Backdoors!BI42=TRUE),VLOOKUP(Calculator!E23,tbSkills!DH3:DJ6,3,FALSE),0),0))&gt;=100,100,(Backdoors!AI12+IF(JO47&gt;=0.45,VLOOKUP(Calculator!E23,tbSkills!DH3:DI6,2,FALSE)+IF(AND(Calculator!B8=TRUE,Backdoors!BI42=TRUE),VLOOKUP(Calculator!E23,tbSkills!DH3:DJ6,3,FALSE),0),0)))/100)),1),1)</f>
        <v>0.6</v>
      </c>
      <c r="JU47" s="87">
        <f t="shared" si="31"/>
        <v>0</v>
      </c>
      <c r="JV47" s="86" t="str">
        <f>IFERROR(IF(VLOOKUP(A47,tbMoveset!A2:B112,2,FALSE)="Sever",Backdoors!AY43/100,IF(VLOOKUP(A47,tbMoveset!A2:B112,2,FALSE)="Blunt",Backdoors!AZ43/100,Backdoors!BA43/100)),"")</f>
        <v/>
      </c>
      <c r="JW47" s="49">
        <f>IFERROR(IF(VLOOKUP(tbMoveset!A47,tbMoveset!A2:H112,8,FALSE)="Other",IF(VLOOKUP(tbMoveset!A47,tbMoveset!A2:I112,9,FALSE)="Fire",Backdoors!BB43,IF(VLOOKUP(tbMoveset!A47,tbMoveset!A2:I112,9,FALSE)="Water",Backdoors!BC43,IF(VLOOKUP(tbMoveset!A47,tbMoveset!A2:I112,9,FALSE)="Thunder",Backdoors!BD43,IF(VLOOKUP(tbMoveset!A47,tbMoveset!A2:I112,9,FALSE)="Ice",Backdoors!BE43,IF(VLOOKUP(tbMoveset!A47,tbMoveset!A2:I112,9,FALSE)="Dragon",Backdoors!BF43,Backdoors!BG43)))))/100,Backdoors!BG43/100),"")</f>
        <v>0</v>
      </c>
      <c r="JX47" s="49">
        <f>IFERROR(IF(VLOOKUP(A47,tbMoveset!A2:J112,10,FALSE)=TRUE,IF((Backdoors!AI12+IF(JV47&gt;=0.45,VLOOKUP(Calculator!E23,tbSkills!DH3:DI6,2,FALSE)+IF(AND(Calculator!B8=TRUE,Backdoors!BI43=TRUE),VLOOKUP(Calculator!E23,tbSkills!DH3:DJ6,3,FALSE),0),0))&gt;=0,1+(Backdoors!AL2*(IF((Backdoors!AI12+IF(JV47&gt;=0.45,VLOOKUP(Calculator!E23,tbSkills!DH3:DI6,2,FALSE)+IF(AND(Calculator!B8=TRUE,Backdoors!BI43=TRUE),VLOOKUP(Calculator!E23,tbSkills!DH3:DJ6,3,FALSE),0),0))&gt;=100,100,(Backdoors!AI12+IF(JV47&gt;=0.45,VLOOKUP(Calculator!E23,tbSkills!DH3:DI6,2,FALSE)+IF(AND(Calculator!B8=TRUE,Backdoors!BI43=TRUE),VLOOKUP(Calculator!E23,tbSkills!DH3:DJ6,3,FALSE),0),0)))/100)),(1-(0.25*((-Backdoors!AI12-IF(JV47&gt;=0.45,VLOOKUP(Calculator!E23,tbSkills!DH3:DI6,2,FALSE)+IF(AND(Calculator!B8=TRUE,Backdoors!BI43=TRUE),VLOOKUP(Calculator!E23,tbSkills!DH3:DJ6,3,FALSE),0),0))/100)))),1),"")</f>
        <v>1</v>
      </c>
      <c r="JY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V47)*JX47)*(VLOOKUP(A47,tbMoveset!A2:C112,3,FALSE)/100)*IF(VLOOKUP(A47,tbMoveset!A2:B112,2,FALSE)="Projectile",Backdoors!N10,Backdoors!N9),0),"")</f>
        <v/>
      </c>
      <c r="JZ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46&gt;0,VLOOKUP(Calculator!E46,tbSkills!AC3:AD5,2,FALSE),Backdoors!AL3)*(IF((Backdoors!AI12+IF(JV47&gt;=0.45,VLOOKUP(Calculator!E23,tbSkills!DH3:DI6,2,FALSE)+IF(AND(Calculator!B8=TRUE,Backdoors!BI43=TRUE),VLOOKUP(Calculator!E23,tbSkills!DH3:DJ6,3,FALSE),0),0))&gt;=100,100,(Backdoors!AI12+IF(JV47&gt;=0.45,VLOOKUP(Calculator!E23,tbSkills!DH3:DI6,2,FALSE)+IF(AND(Calculator!B8=TRUE,Backdoors!BI43=TRUE),VLOOKUP(Calculator!E23,tbSkills!DH3:DJ6,3,FALSE),0),0)))/100)),1))*IF(VLOOKUP(A47,tbMoveset!A2:K112,11,FALSE)=TRUE,Backdoors!AC5,1))*JW47,0),"")</f>
        <v/>
      </c>
      <c r="KA47" s="49">
        <f>VLOOKUP(A47,tbMoveset!A2:G112,7,FALSE)*IFERROR(IF(Backdoors!AI12&gt;=0,1+(IF(Calculator!E40&gt;0,VLOOKUP(Calculator!E40,tbSkills!AI3:AJ5,2,FALSE),Backdoors!AL4)*(IF((Backdoors!AI12+IF(JV47&gt;=0.45,VLOOKUP(Calculator!E23,tbSkills!DH3:DI6,2,FALSE)+IF(AND(Calculator!B8=TRUE,Backdoors!BI43=TRUE),VLOOKUP(Calculator!E23,tbSkills!DH3:DJ6,3,FALSE),0),0))&gt;=100,100,(Backdoors!AI12+IF(JV47&gt;=0.45,VLOOKUP(Calculator!E23,tbSkills!DH3:DI6,2,FALSE)+IF(AND(Calculator!B8=TRUE,Backdoors!BI43=TRUE),VLOOKUP(Calculator!E23,tbSkills!DH3:DJ6,3,FALSE),0),0)))/100)),1),1)</f>
        <v>0.6</v>
      </c>
      <c r="KB47" s="87">
        <f t="shared" si="32"/>
        <v>0</v>
      </c>
      <c r="KC47" s="86" t="str">
        <f>IFERROR(IF(VLOOKUP(A47,tbMoveset!A2:B112,2,FALSE)="Sever",Backdoors!AY44/100,IF(VLOOKUP(A47,tbMoveset!A2:B112,2,FALSE)="Blunt",Backdoors!AZ44/100,Backdoors!BA44/100)),"")</f>
        <v/>
      </c>
      <c r="KD47" s="49">
        <f>IFERROR(IF(VLOOKUP(tbMoveset!A47,tbMoveset!A2:H112,8,FALSE)="Other",IF(VLOOKUP(tbMoveset!A47,tbMoveset!A2:I112,9,FALSE)="Fire",Backdoors!BB44,IF(VLOOKUP(tbMoveset!A47,tbMoveset!A2:I112,9,FALSE)="Water",Backdoors!BC44,IF(VLOOKUP(tbMoveset!A47,tbMoveset!A2:I112,9,FALSE)="Thunder",Backdoors!BD44,IF(VLOOKUP(tbMoveset!A47,tbMoveset!A2:I112,9,FALSE)="Ice",Backdoors!BE44,IF(VLOOKUP(tbMoveset!A47,tbMoveset!A2:I112,9,FALSE)="Dragon",Backdoors!BF44,Backdoors!BG44)))))/100,Backdoors!BG44/100),"")</f>
        <v>0</v>
      </c>
      <c r="KE47" s="49">
        <f>IFERROR(IF(VLOOKUP(A47,tbMoveset!A2:J112,10,FALSE)=TRUE,IF((Backdoors!AI12+IF(KC47&gt;=0.45,VLOOKUP(Calculator!E23,tbSkills!DH3:DI6,2,FALSE)+IF(AND(Calculator!B8=TRUE,Backdoors!BI44=TRUE),VLOOKUP(Calculator!E23,tbSkills!DH3:DJ6,3,FALSE),0),0))&gt;=0,1+(Backdoors!AL2*(IF((Backdoors!AI12+IF(KC47&gt;=0.45,VLOOKUP(Calculator!E23,tbSkills!DH3:DI6,2,FALSE)+IF(AND(Calculator!B8=TRUE,Backdoors!BI44=TRUE),VLOOKUP(Calculator!E23,tbSkills!DH3:DJ6,3,FALSE),0),0))&gt;=100,100,(Backdoors!AI12+IF(KC47&gt;=0.45,VLOOKUP(Calculator!E23,tbSkills!DH3:DI6,2,FALSE)+IF(AND(Calculator!B8=TRUE,Backdoors!BI44=TRUE),VLOOKUP(Calculator!E23,tbSkills!DH3:DJ6,3,FALSE),0),0)))/100)),(1-(0.25*((-Backdoors!AI12-IF(KC47&gt;=0.45,VLOOKUP(Calculator!E23,tbSkills!DH3:DI6,2,FALSE)+IF(AND(Calculator!B8=TRUE,Backdoors!BI44=TRUE),VLOOKUP(Calculator!E23,tbSkills!DH3:DJ6,3,FALSE),0),0))/100)))),1),"")</f>
        <v>1</v>
      </c>
      <c r="KF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KC47)*KE47)*(VLOOKUP(A47,tbMoveset!A2:C112,3,FALSE)/100)*IF(VLOOKUP(A47,tbMoveset!A2:B112,2,FALSE)="Projectile",Backdoors!N10,Backdoors!N9),0),"")</f>
        <v/>
      </c>
      <c r="KG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REF!&gt;0,VLOOKUP(Calculator!#REF!,tbSkills!AC3:AD5,2,FALSE),Backdoors!AL3)*(IF((Backdoors!AI12+IF(KC47&gt;=0.45,VLOOKUP(Calculator!E23,tbSkills!DH3:DI6,2,FALSE)+IF(AND(Calculator!B8=TRUE,Backdoors!BI44=TRUE),VLOOKUP(Calculator!E23,tbSkills!DH3:DJ6,3,FALSE),0),0))&gt;=100,100,(Backdoors!AI12+IF(KC47&gt;=0.45,VLOOKUP(Calculator!E23,tbSkills!DH3:DI6,2,FALSE)+IF(AND(Calculator!B8=TRUE,Backdoors!BI44=TRUE),VLOOKUP(Calculator!E23,tbSkills!DH3:DJ6,3,FALSE),0),0)))/100)),1))*IF(VLOOKUP(A47,tbMoveset!A2:K112,11,FALSE)=TRUE,Backdoors!AC5,1))*KD47,0),"")</f>
        <v/>
      </c>
      <c r="KH47" s="49">
        <f>VLOOKUP(A47,tbMoveset!A2:G112,7,FALSE)*IFERROR(IF(Backdoors!AI12&gt;=0,1+(IF(Calculator!E40&gt;0,VLOOKUP(Calculator!E40,tbSkills!AI3:AJ5,2,FALSE),Backdoors!AL4)*(IF((Backdoors!AI12+IF(KC47&gt;=0.45,VLOOKUP(Calculator!E23,tbSkills!DH3:DI6,2,FALSE)+IF(AND(Calculator!B8=TRUE,Backdoors!BI44=TRUE),VLOOKUP(Calculator!E23,tbSkills!DH3:DJ6,3,FALSE),0),0))&gt;=100,100,(Backdoors!AI12+IF(KC47&gt;=0.45,VLOOKUP(Calculator!E23,tbSkills!DH3:DI6,2,FALSE)+IF(AND(Calculator!B8=TRUE,Backdoors!BI44=TRUE),VLOOKUP(Calculator!E23,tbSkills!DH3:DJ6,3,FALSE),0),0)))/100)),1),1)</f>
        <v>0.6</v>
      </c>
      <c r="KI47" s="87">
        <f t="shared" si="33"/>
        <v>0</v>
      </c>
      <c r="KJ47" s="86" t="str">
        <f>IFERROR(IF(VLOOKUP(A47,tbMoveset!A2:B112,2,FALSE)="Sever",Backdoors!AY45/100,IF(VLOOKUP(A47,tbMoveset!A2:B112,2,FALSE)="Blunt",Backdoors!AZ45/100,Backdoors!BA45/100)),"")</f>
        <v/>
      </c>
      <c r="KK47" s="49">
        <f>IFERROR(IF(VLOOKUP(tbMoveset!A47,tbMoveset!A2:H112,8,FALSE)="Other",IF(VLOOKUP(tbMoveset!A47,tbMoveset!A2:I112,9,FALSE)="Fire",Backdoors!BB45,IF(VLOOKUP(tbMoveset!A47,tbMoveset!A2:I112,9,FALSE)="Water",Backdoors!BC45,IF(VLOOKUP(tbMoveset!A47,tbMoveset!A2:I112,9,FALSE)="Thunder",Backdoors!BD45,IF(VLOOKUP(tbMoveset!A47,tbMoveset!A2:I112,9,FALSE)="Ice",Backdoors!BE45,IF(VLOOKUP(tbMoveset!A47,tbMoveset!A2:I112,9,FALSE)="Dragon",Backdoors!BF45,Backdoors!BG45)))))/100,Backdoors!BG45/100),"")</f>
        <v>0</v>
      </c>
      <c r="KL47" s="49">
        <f>IFERROR(IF(VLOOKUP(A47,tbMoveset!A2:J112,10,FALSE)=TRUE,IF((Backdoors!AI12+IF(KJ47&gt;=0.45,VLOOKUP(Calculator!E23,tbSkills!DH3:DI6,2,FALSE)+IF(AND(Calculator!B8=TRUE,Backdoors!BI45=TRUE),VLOOKUP(Calculator!E23,tbSkills!DH3:DJ6,3,FALSE),0),0))&gt;=0,1+(Backdoors!AL2*(IF((Backdoors!AI12+IF(KJ47&gt;=0.45,VLOOKUP(Calculator!E23,tbSkills!DH3:DI6,2,FALSE)+IF(AND(Calculator!B8=TRUE,Backdoors!BI45=TRUE),VLOOKUP(Calculator!E23,tbSkills!DH3:DJ6,3,FALSE),0),0))&gt;=100,100,(Backdoors!AI12+IF(KJ47&gt;=0.45,VLOOKUP(Calculator!E23,tbSkills!DH3:DI6,2,FALSE)+IF(AND(Calculator!B8=TRUE,Backdoors!BI45=TRUE),VLOOKUP(Calculator!E23,tbSkills!DH3:DJ6,3,FALSE),0),0)))/100)),(1-(0.25*((-Backdoors!AI12-IF(KJ47&gt;=0.45,VLOOKUP(Calculator!E23,tbSkills!DH3:DI6,2,FALSE)+IF(AND(Calculator!B8=TRUE,Backdoors!BI45=TRUE),VLOOKUP(Calculator!E23,tbSkills!DH3:DJ6,3,FALSE),0),0))/100)))),1),"")</f>
        <v>1</v>
      </c>
      <c r="KM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KJ47)*KL47)*(VLOOKUP(A47,tbMoveset!A2:C112,3,FALSE)/100)*IF(VLOOKUP(A47,tbMoveset!A2:B112,2,FALSE)="Projectile",Backdoors!N10,Backdoors!N9),0),"")</f>
        <v/>
      </c>
      <c r="KN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REF!&gt;0,VLOOKUP(Calculator!#REF!,tbSkills!AC3:AD5,2,FALSE),Backdoors!AL3)*(IF((Backdoors!AI12+IF(KJ47&gt;=0.45,VLOOKUP(Calculator!E23,tbSkills!DH3:DI6,2,FALSE)+IF(AND(Calculator!B8=TRUE,Backdoors!BI45=TRUE),VLOOKUP(Calculator!E23,tbSkills!DH3:DJ6,3,FALSE),0),0))&gt;=100,100,(Backdoors!AI12+IF(KJ47&gt;=0.45,VLOOKUP(Calculator!E23,tbSkills!DH3:DI6,2,FALSE)+IF(AND(Calculator!B8=TRUE,Backdoors!BI45=TRUE),VLOOKUP(Calculator!E23,tbSkills!DH3:DJ6,3,FALSE),0),0)))/100)),1))*IF(VLOOKUP(A47,tbMoveset!A2:K112,11,FALSE)=TRUE,Backdoors!AC5,1))*KK47,0),"")</f>
        <v/>
      </c>
      <c r="KO47" s="49">
        <f>VLOOKUP(A47,tbMoveset!A2:G112,7,FALSE)*IFERROR(IF(Backdoors!AI12&gt;=0,1+(IF(Calculator!E40&gt;0,VLOOKUP(Calculator!E40,tbSkills!AI3:AJ5,2,FALSE),Backdoors!AL4)*(IF((Backdoors!AI12+IF(KJ47&gt;=0.45,VLOOKUP(Calculator!E23,tbSkills!DH3:DI6,2,FALSE)+IF(AND(Calculator!B8=TRUE,Backdoors!BI45=TRUE),VLOOKUP(Calculator!E23,tbSkills!DH3:DJ6,3,FALSE),0),0))&gt;=100,100,(Backdoors!AI12+IF(KJ47&gt;=0.45,VLOOKUP(Calculator!E23,tbSkills!DH3:DI6,2,FALSE)+IF(AND(Calculator!B8=TRUE,Backdoors!BI45=TRUE),VLOOKUP(Calculator!E23,tbSkills!DH3:DJ6,3,FALSE),0),0)))/100)),1),1)</f>
        <v>0.6</v>
      </c>
      <c r="KP47" s="87">
        <f t="shared" si="34"/>
        <v>0</v>
      </c>
      <c r="KQ47" s="86" t="str">
        <f>IFERROR(IF(VLOOKUP(A47,tbMoveset!A2:B112,2,FALSE)="Sever",Backdoors!AY46/100,IF(VLOOKUP(A47,tbMoveset!A2:B112,2,FALSE)="Blunt",Backdoors!AZ46/100,Backdoors!BA46/100)),"")</f>
        <v/>
      </c>
      <c r="KR47" s="49">
        <f>IFERROR(IF(VLOOKUP(tbMoveset!A47,tbMoveset!A2:H112,8,FALSE)="Other",IF(VLOOKUP(tbMoveset!A47,tbMoveset!A2:I112,9,FALSE)="Fire",Backdoors!BB46,IF(VLOOKUP(tbMoveset!A47,tbMoveset!A2:I112,9,FALSE)="Water",Backdoors!BC46,IF(VLOOKUP(tbMoveset!A47,tbMoveset!A2:I112,9,FALSE)="Thunder",Backdoors!BD46,IF(VLOOKUP(tbMoveset!A47,tbMoveset!A2:I112,9,FALSE)="Ice",Backdoors!BE46,IF(VLOOKUP(tbMoveset!A47,tbMoveset!A2:I112,9,FALSE)="Dragon",Backdoors!BF46,Backdoors!BG46)))))/100,Backdoors!BG46/100),"")</f>
        <v>0</v>
      </c>
      <c r="KS47" s="49">
        <f>IFERROR(IF(VLOOKUP(A47,tbMoveset!A2:J112,10,FALSE)=TRUE,IF((Backdoors!AI12+IF(KQ47&gt;=0.45,VLOOKUP(Calculator!E23,tbSkills!DH3:DI6,2,FALSE)+IF(AND(Calculator!B8=TRUE,Backdoors!BI46=TRUE),VLOOKUP(Calculator!E23,tbSkills!DH3:DJ6,3,FALSE),0),0))&gt;=0,1+(Backdoors!AL2*(IF((Backdoors!AI12+IF(KQ47&gt;=0.45,VLOOKUP(Calculator!E23,tbSkills!DH3:DI6,2,FALSE)+IF(AND(Calculator!B8=TRUE,Backdoors!BI46=TRUE),VLOOKUP(Calculator!E23,tbSkills!DH3:DJ6,3,FALSE),0),0))&gt;=100,100,(Backdoors!AI12+IF(KQ47&gt;=0.45,VLOOKUP(Calculator!E23,tbSkills!DH3:DI6,2,FALSE)+IF(AND(Calculator!B8=TRUE,Backdoors!BI46=TRUE),VLOOKUP(Calculator!E23,tbSkills!DH3:DJ6,3,FALSE),0),0)))/100)),(1-(0.25*((-Backdoors!AI12-IF(KQ47&gt;=0.45,VLOOKUP(Calculator!E23,tbSkills!DH3:DI6,2,FALSE)+IF(AND(Calculator!B8=TRUE,Backdoors!BI46=TRUE),VLOOKUP(Calculator!E23,tbSkills!DH3:DJ6,3,FALSE),0),0))/100)))),1),"")</f>
        <v>1</v>
      </c>
      <c r="KT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KQ47)*KS47)*(VLOOKUP(A47,tbMoveset!A2:C112,3,FALSE)/100)*IF(VLOOKUP(A47,tbMoveset!A2:B112,2,FALSE)="Projectile",Backdoors!N10,Backdoors!N9),0),"")</f>
        <v/>
      </c>
      <c r="KU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REF!&gt;0,VLOOKUP(Calculator!#REF!,tbSkills!AC3:AD5,2,FALSE),Backdoors!AL3)*(IF((Backdoors!AI12+IF(KQ47&gt;=0.45,VLOOKUP(Calculator!E23,tbSkills!DH3:DI6,2,FALSE)+IF(AND(Calculator!B8=TRUE,Backdoors!BI46=TRUE),VLOOKUP(Calculator!E23,tbSkills!DH3:DJ6,3,FALSE),0),0))&gt;=100,100,(Backdoors!AI12+IF(KQ47&gt;=0.45,VLOOKUP(Calculator!E23,tbSkills!DH3:DI6,2,FALSE)+IF(AND(Calculator!B8=TRUE,Backdoors!BI46=TRUE),VLOOKUP(Calculator!E23,tbSkills!DH3:DJ6,3,FALSE),0),0)))/100)),1))*IF(VLOOKUP(A47,tbMoveset!A2:K112,11,FALSE)=TRUE,Backdoors!AC5,1))*KR47,0),"")</f>
        <v/>
      </c>
      <c r="KV47" s="49">
        <f>VLOOKUP(A47,tbMoveset!A2:G112,7,FALSE)*IFERROR(IF(Backdoors!AI12&gt;=0,1+(IF(Calculator!E40&gt;0,VLOOKUP(Calculator!E40,tbSkills!AI3:AJ5,2,FALSE),Backdoors!AL4)*(IF((Backdoors!AI12+IF(KQ47&gt;=0.45,VLOOKUP(Calculator!E23,tbSkills!DH3:DI6,2,FALSE)+IF(AND(Calculator!B8=TRUE,Backdoors!BI46=TRUE),VLOOKUP(Calculator!E23,tbSkills!DH3:DJ6,3,FALSE),0),0))&gt;=100,100,(Backdoors!AI12+IF(KQ47&gt;=0.45,VLOOKUP(Calculator!E23,tbSkills!DH3:DI6,2,FALSE)+IF(AND(Calculator!B8=TRUE,Backdoors!BI46=TRUE),VLOOKUP(Calculator!E23,tbSkills!DH3:DJ6,3,FALSE),0),0)))/100)),1),1)</f>
        <v>0.6</v>
      </c>
      <c r="KW47" s="87">
        <f t="shared" si="35"/>
        <v>0</v>
      </c>
    </row>
    <row r="48" spans="1:309" x14ac:dyDescent="0.25">
      <c r="A48" s="95" t="str">
        <f>tbMoveset!A48</f>
        <v>Demon Flurry Rush (L1)</v>
      </c>
      <c r="B48" s="86">
        <f>IFERROR(IF(VLOOKUP(A48,tbMoveset!A2:B112,2,FALSE)="Sever",Backdoors!AY3/100,IF(VLOOKUP(A48,tbMoveset!A2:B112,2,FALSE)="Blunt",Backdoors!AZ3/100,Backdoors!BA3/100)),"")</f>
        <v>0.8</v>
      </c>
      <c r="C48" s="49">
        <f>IFERROR(IF(VLOOKUP(tbMoveset!A48,tbMoveset!A2:H112,8,FALSE)="Other",IF(VLOOKUP(tbMoveset!A48,tbMoveset!A2:I112,9,FALSE)="Fire",Backdoors!BB3,IF(VLOOKUP(tbMoveset!A48,tbMoveset!A2:I112,9,FALSE)="Water",Backdoors!BC3,IF(VLOOKUP(tbMoveset!A48,tbMoveset!A2:I112,9,FALSE)="Thunder",Backdoors!BD3,IF(VLOOKUP(tbMoveset!A48,tbMoveset!A2:I112,9,FALSE)="Ice",Backdoors!BE3,IF(VLOOKUP(tbMoveset!A48,tbMoveset!A2:I112,9,FALSE)="Dragon",Backdoors!BF3,Backdoors!BG3)))))/100,Backdoors!BG3/100),"")</f>
        <v>0</v>
      </c>
      <c r="D48" s="49">
        <f>IFERROR(IF(VLOOKUP(A48,tbMoveset!A2:J112,10,FALSE)=TRUE,IF((Backdoors!AI12+IF(B48&gt;=0.45,VLOOKUP(Calculator!E23,tbSkills!DH3:DI6,2,FALSE)+IF(AND(Calculator!B8=TRUE,Backdoors!BI3=TRUE),VLOOKUP(Calculator!E23,tbSkills!DH3:DJ6,3,FALSE),0),0))&gt;=0,1+(Backdoors!AL2*(IF((Backdoors!AI12+IF(B48&gt;=0.45,VLOOKUP(Calculator!E23,tbSkills!DH3:DI6,2,FALSE)+IF(AND(Calculator!B8=TRUE,Backdoors!BI3=TRUE),VLOOKUP(Calculator!E23,tbSkills!DH3:DJ6,3,FALSE),0),0))&gt;=100,100,(Backdoors!AI12+IF(B48&gt;=0.45,VLOOKUP(Calculator!E23,tbSkills!DH3:DI6,2,FALSE)+IF(AND(Calculator!B8=TRUE,Backdoors!BI3=TRUE),VLOOKUP(Calculator!E23,tbSkills!DH3:DJ6,3,FALSE),0),0)))/100)),(1-(0.25*((-Backdoors!AI12-IF(B48&gt;=0.45,VLOOKUP(Calculator!E23,tbSkills!DH3:DI6,2,FALSE)+IF(AND(Calculator!B8=TRUE,Backdoors!BI3=TRUE),VLOOKUP(Calculator!E23,tbSkills!DH3:DJ6,3,FALSE),0),0))/100)))),1),"")</f>
        <v>1</v>
      </c>
      <c r="E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48)*D48)*(VLOOKUP(A48,tbMoveset!A2:C112,3,FALSE)/100)*IF(VLOOKUP(A48,tbMoveset!A2:B112,2,FALSE)="Projectile",Backdoors!N10,Backdoors!N9),0),"")</f>
        <v>3</v>
      </c>
      <c r="F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48&gt;=0.45,VLOOKUP(Calculator!E23,tbSkills!DH3:DI6,2,FALSE)+IF(AND(Calculator!B8=TRUE,Backdoors!BI3=TRUE),VLOOKUP(Calculator!E23,tbSkills!DH3:DJ6,3,FALSE),0),0))&gt;=100,100,(Backdoors!AI12+IF(B48&gt;=0.45,VLOOKUP(Calculator!E23,tbSkills!DH3:DI6,2,FALSE)+IF(AND(Calculator!B8=TRUE,Backdoors!BI3=TRUE),VLOOKUP(Calculator!E23,tbSkills!DH3:DJ6,3,FALSE),0),0)))/100)),1))*IF(VLOOKUP(A48,tbMoveset!A2:K112,11,FALSE)=TRUE,Backdoors!AC5,1))*C48,0),"")</f>
        <v>0</v>
      </c>
      <c r="G48">
        <f>VLOOKUP(A48,tbMoveset!A2:G112,7,FALSE)*IFERROR(IF(Backdoors!AI12&gt;=0,1+(IF(Calculator!E40&gt;0,VLOOKUP(Calculator!E40,tbSkills!AI3:AJ5,2,FALSE),Backdoors!AL4)*(IF((Backdoors!AI12+IF(B48&gt;=0.45,VLOOKUP(Calculator!E23,tbSkills!DH3:DI6,2,FALSE)+IF(AND(Calculator!B8=TRUE,Backdoors!BI3=TRUE),VLOOKUP(Calculator!E23,tbSkills!DH3:DJ6,3,FALSE),0),0))&gt;=100,100,(Backdoors!AI12+IF(B48&gt;=0.45,VLOOKUP(Calculator!E23,tbSkills!DH3:DI6,2,FALSE)+IF(AND(Calculator!B8=TRUE,Backdoors!BI3=TRUE),VLOOKUP(Calculator!E23,tbSkills!DH3:DJ6,3,FALSE),0),0)))/100)),1),1)</f>
        <v>0.5</v>
      </c>
      <c r="H48" s="87">
        <f t="shared" si="44"/>
        <v>3</v>
      </c>
      <c r="I48" s="86">
        <f>IFERROR(IF(VLOOKUP(A48,tbMoveset!A2:B112,2,FALSE)="Sever",Backdoors!AY4/100,IF(VLOOKUP(A48,tbMoveset!A2:B112,2,FALSE)="Blunt",Backdoors!AZ4/100,Backdoors!BA4/100)),"")</f>
        <v>0.65</v>
      </c>
      <c r="J48" s="49">
        <f>IFERROR(IF(VLOOKUP(tbMoveset!A48,tbMoveset!A2:H112,8,FALSE)="Other",IF(VLOOKUP(tbMoveset!A48,tbMoveset!A2:I112,9,FALSE)="Fire",Backdoors!BB4,IF(VLOOKUP(tbMoveset!A48,tbMoveset!A2:I112,9,FALSE)="Water",Backdoors!BC4,IF(VLOOKUP(tbMoveset!A48,tbMoveset!A2:I112,9,FALSE)="Thunder",Backdoors!BD4,IF(VLOOKUP(tbMoveset!A48,tbMoveset!A2:I112,9,FALSE)="Ice",Backdoors!BE4,IF(VLOOKUP(tbMoveset!A48,tbMoveset!A2:I112,9,FALSE)="Dragon",Backdoors!BF4,Backdoors!BG4)))))/100,Backdoors!BG4/100),"")</f>
        <v>0</v>
      </c>
      <c r="K48" s="49">
        <f>IFERROR(IF(VLOOKUP(A48,tbMoveset!A2:J112,10,FALSE)=TRUE,IF((Backdoors!AI12+IF(I48&gt;=0.45,VLOOKUP(Calculator!E23,tbSkills!DH3:DI6,2,FALSE)+IF(AND(Calculator!B8=TRUE,Backdoors!BI4=TRUE),VLOOKUP(Calculator!E23,tbSkills!DH3:DJ6,3,FALSE),0),0))&gt;=0,1+(Backdoors!AL2*(IF((Backdoors!AI12+IF(I48&gt;=0.45,VLOOKUP(Calculator!E23,tbSkills!DH3:DI6,2,FALSE)+IF(AND(Calculator!B8=TRUE,Backdoors!BI4=TRUE),VLOOKUP(Calculator!E23,tbSkills!DH3:DJ6,3,FALSE),0),0))&gt;=100,100,(Backdoors!AI12+IF(I48&gt;=0.45,VLOOKUP(Calculator!E23,tbSkills!DH3:DI6,2,FALSE)+IF(AND(Calculator!B8=TRUE,Backdoors!BI4=TRUE),VLOOKUP(Calculator!E23,tbSkills!DH3:DJ6,3,FALSE),0),0)))/100)),(1-(0.25*((-Backdoors!AI12-IF(I48&gt;=0.45,VLOOKUP(Calculator!E23,tbSkills!DH3:DI6,2,FALSE)+IF(AND(Calculator!B8=TRUE,Backdoors!BI4=TRUE),VLOOKUP(Calculator!E23,tbSkills!DH3:DJ6,3,FALSE),0),0))/100)))),1),"")</f>
        <v>1</v>
      </c>
      <c r="L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48)*K48)*(VLOOKUP(A48,tbMoveset!A2:C112,3,FALSE)/100)*IF(VLOOKUP(A48,tbMoveset!A2:B112,2,FALSE)="Projectile",Backdoors!N10,Backdoors!N9),0),"")</f>
        <v>3</v>
      </c>
      <c r="M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I48&gt;=0.45,VLOOKUP(Calculator!E23,tbSkills!DH3:DI6,2,FALSE)+IF(AND(Calculator!B8=TRUE,Backdoors!BI4=TRUE),VLOOKUP(Calculator!E23,tbSkills!DH3:DJ6,3,FALSE),0),0))&gt;=100,100,(Backdoors!AI12+IF(I48&gt;=0.45,VLOOKUP(Calculator!E23,tbSkills!DH3:DI6,2,FALSE)+IF(AND(Calculator!B8=TRUE,Backdoors!BI4=TRUE),VLOOKUP(Calculator!E23,tbSkills!DH3:DJ6,3,FALSE),0),0)))/100)),1))*IF(VLOOKUP(A48,tbMoveset!A2:K112,11,FALSE)=TRUE,Backdoors!AC5,1))*J48,0),"")</f>
        <v>0</v>
      </c>
      <c r="N48" s="49">
        <f>VLOOKUP(A48,tbMoveset!A2:G112,7,FALSE)*IFERROR(IF(Backdoors!AI12&gt;=0,1+(IF(Calculator!E40&gt;0,VLOOKUP(Calculator!E40,tbSkills!AI3:AJ5,2,FALSE),Backdoors!AL4)*(IF((Backdoors!AI12+IF(I48&gt;=0.45,VLOOKUP(Calculator!E23,tbSkills!DH3:DI6,2,FALSE)+IF(AND(Calculator!B8=TRUE,Backdoors!BI4=TRUE),VLOOKUP(Calculator!E23,tbSkills!DH3:DJ6,3,FALSE),0),0))&gt;=100,100,(Backdoors!AI12+IF(I48&gt;=0.45,VLOOKUP(Calculator!E23,tbSkills!DH3:DI6,2,FALSE)+IF(AND(Calculator!B8=TRUE,Backdoors!BI4=TRUE),VLOOKUP(Calculator!E23,tbSkills!DH3:DJ6,3,FALSE),0),0)))/100)),1),1)</f>
        <v>0.5</v>
      </c>
      <c r="O48" s="87">
        <f t="shared" si="45"/>
        <v>3</v>
      </c>
      <c r="P48" s="86">
        <f>IFERROR(IF(VLOOKUP(A48,tbMoveset!A2:B112,2,FALSE)="Sever",Backdoors!AY5/100,IF(VLOOKUP(A48,tbMoveset!A2:B112,2,FALSE)="Blunt",Backdoors!AZ5/100,Backdoors!BA5/100)),"")</f>
        <v>0.5</v>
      </c>
      <c r="Q48" s="49">
        <f>IFERROR(IF(VLOOKUP(tbMoveset!A48,tbMoveset!A2:H112,8,FALSE)="Other",IF(VLOOKUP(tbMoveset!A48,tbMoveset!A2:I112,9,FALSE)="Fire",Backdoors!BB5,IF(VLOOKUP(tbMoveset!A48,tbMoveset!A2:I112,9,FALSE)="Water",Backdoors!BC5,IF(VLOOKUP(tbMoveset!A48,tbMoveset!A2:I112,9,FALSE)="Thunder",Backdoors!BD5,IF(VLOOKUP(tbMoveset!A48,tbMoveset!A2:I112,9,FALSE)="Ice",Backdoors!BE5,IF(VLOOKUP(tbMoveset!A48,tbMoveset!A2:I112,9,FALSE)="Dragon",Backdoors!BF5,Backdoors!BG5)))))/100,Backdoors!BG5/100),"")</f>
        <v>0</v>
      </c>
      <c r="R48" s="49">
        <f>IFERROR(IF(VLOOKUP(A48,tbMoveset!A2:J112,10,FALSE)=TRUE,IF((Backdoors!AI12+IF(P48&gt;=0.45,VLOOKUP(Calculator!E23,tbSkills!DH3:DI6,2,FALSE)+IF(AND(Calculator!B8=TRUE,Backdoors!BI5=TRUE),VLOOKUP(Calculator!E23,tbSkills!DH3:DJ6,3,FALSE),0),0))&gt;=0,1+(Backdoors!AL2*(IF((Backdoors!AI12+IF(P48&gt;=0.45,VLOOKUP(Calculator!E23,tbSkills!DH3:DI6,2,FALSE)+IF(AND(Calculator!B8=TRUE,Backdoors!BI5=TRUE),VLOOKUP(Calculator!E23,tbSkills!DH3:DJ6,3,FALSE),0),0))&gt;=100,100,(Backdoors!AI12+IF(P48&gt;=0.45,VLOOKUP(Calculator!E23,tbSkills!DH3:DI6,2,FALSE)+IF(AND(Calculator!B8=TRUE,Backdoors!BI5=TRUE),VLOOKUP(Calculator!E23,tbSkills!DH3:DJ6,3,FALSE),0),0)))/100)),(1-(0.25*((-Backdoors!AI12-IF(P48&gt;=0.45,VLOOKUP(Calculator!E23,tbSkills!DH3:DI6,2,FALSE)+IF(AND(Calculator!B8=TRUE,Backdoors!BI5=TRUE),VLOOKUP(Calculator!E23,tbSkills!DH3:DJ6,3,FALSE),0),0))/100)))),1),"")</f>
        <v>1</v>
      </c>
      <c r="S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P48)*R48)*(VLOOKUP(A48,tbMoveset!A2:C112,3,FALSE)/100)*IF(VLOOKUP(A48,tbMoveset!A2:B112,2,FALSE)="Projectile",Backdoors!N10,Backdoors!N9),0),"")</f>
        <v>2</v>
      </c>
      <c r="T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P48&gt;=0.45,VLOOKUP(Calculator!E23,tbSkills!DH3:DI6,2,FALSE)+IF(AND(Calculator!B8=TRUE,Backdoors!BI5=TRUE),VLOOKUP(Calculator!E23,tbSkills!DH3:DJ6,3,FALSE),0),0))&gt;=100,100,(Backdoors!AI12+IF(P48&gt;=0.45,VLOOKUP(Calculator!E23,tbSkills!DH3:DI6,2,FALSE)+IF(AND(Calculator!B8=TRUE,Backdoors!BI5=TRUE),VLOOKUP(Calculator!E23,tbSkills!DH3:DJ6,3,FALSE),0),0)))/100)),1))*IF(VLOOKUP(A48,tbMoveset!A2:K112,11,FALSE)=TRUE,Backdoors!AC5,1))*Q48,0),"")</f>
        <v>0</v>
      </c>
      <c r="U48" s="49">
        <f>VLOOKUP(A48,tbMoveset!A2:G112,7,FALSE)*IFERROR(IF(Backdoors!AI12&gt;=0,1+(IF(Calculator!E40&gt;0,VLOOKUP(Calculator!E40,tbSkills!AI3:AJ5,2,FALSE),Backdoors!AL4)*(IF((Backdoors!AI12+IF(P48&gt;=0.45,VLOOKUP(Calculator!E23,tbSkills!DH3:DI6,2,FALSE)+IF(AND(Calculator!B8=TRUE,Backdoors!BI5=TRUE),VLOOKUP(Calculator!E23,tbSkills!DH3:DJ6,3,FALSE),0),0))&gt;=100,100,(Backdoors!AI12+IF(P48&gt;=0.45,VLOOKUP(Calculator!E23,tbSkills!DH3:DI6,2,FALSE)+IF(AND(Calculator!B8=TRUE,Backdoors!BI5=TRUE),VLOOKUP(Calculator!E23,tbSkills!DH3:DJ6,3,FALSE),0),0)))/100)),1),1)</f>
        <v>0.5</v>
      </c>
      <c r="V48" s="87">
        <f t="shared" si="46"/>
        <v>2</v>
      </c>
      <c r="W48" s="86">
        <f>IFERROR(IF(VLOOKUP(A48,tbMoveset!A2:B112,2,FALSE)="Sever",Backdoors!AY6/100,IF(VLOOKUP(A48,tbMoveset!A2:B112,2,FALSE)="Blunt",Backdoors!AZ6/100,Backdoors!BA6/100)),"")</f>
        <v>0.45</v>
      </c>
      <c r="X48" s="49">
        <f>IFERROR(IF(VLOOKUP(tbMoveset!A48,tbMoveset!A2:H112,8,FALSE)="Other",IF(VLOOKUP(tbMoveset!A48,tbMoveset!A2:I112,9,FALSE)="Fire",Backdoors!BB6,IF(VLOOKUP(tbMoveset!A48,tbMoveset!A2:I112,9,FALSE)="Water",Backdoors!BC6,IF(VLOOKUP(tbMoveset!A48,tbMoveset!A2:I112,9,FALSE)="Thunder",Backdoors!BD6,IF(VLOOKUP(tbMoveset!A48,tbMoveset!A2:I112,9,FALSE)="Ice",Backdoors!BE6,IF(VLOOKUP(tbMoveset!A48,tbMoveset!A2:I112,9,FALSE)="Dragon",Backdoors!BF6,Backdoors!BG6)))))/100,Backdoors!BG6/100),"")</f>
        <v>0</v>
      </c>
      <c r="Y48" s="49">
        <f>IFERROR(IF(VLOOKUP(A48,tbMoveset!A2:J112,10,FALSE)=TRUE,IF((Backdoors!AI12+IF(W48&gt;=0.45,VLOOKUP(Calculator!E23,tbSkills!DH3:DI6,2,FALSE)+IF(AND(Calculator!B8=TRUE,Backdoors!BI6=TRUE),VLOOKUP(Calculator!E23,tbSkills!DH3:DJ6,3,FALSE),0),0))&gt;=0,1+(Backdoors!AL2*(IF((Backdoors!AI12+IF(W48&gt;=0.45,VLOOKUP(Calculator!E23,tbSkills!DH3:DI6,2,FALSE)+IF(AND(Calculator!B8=TRUE,Backdoors!BI6=TRUE),VLOOKUP(Calculator!E23,tbSkills!DH3:DJ6,3,FALSE),0),0))&gt;=100,100,(Backdoors!AI12+IF(W48&gt;=0.45,VLOOKUP(Calculator!E23,tbSkills!DH3:DI6,2,FALSE)+IF(AND(Calculator!B8=TRUE,Backdoors!BI6=TRUE),VLOOKUP(Calculator!E23,tbSkills!DH3:DJ6,3,FALSE),0),0)))/100)),(1-(0.25*((-Backdoors!AI12-IF(W48&gt;=0.45,VLOOKUP(Calculator!E23,tbSkills!DH3:DI6,2,FALSE)+IF(AND(Calculator!B8=TRUE,Backdoors!BI6=TRUE),VLOOKUP(Calculator!E23,tbSkills!DH3:DJ6,3,FALSE),0),0))/100)))),1),"")</f>
        <v>1</v>
      </c>
      <c r="Z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W48)*Y48)*(VLOOKUP(A48,tbMoveset!A2:C112,3,FALSE)/100)*IF(VLOOKUP(A48,tbMoveset!A2:B112,2,FALSE)="Projectile",Backdoors!N10,Backdoors!N9),0),"")</f>
        <v>2</v>
      </c>
      <c r="AA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W48&gt;=0.45,VLOOKUP(Calculator!E23,tbSkills!DH3:DI6,2,FALSE)+IF(AND(Calculator!B8=TRUE,Backdoors!BI6=TRUE),VLOOKUP(Calculator!E23,tbSkills!DH3:DJ6,3,FALSE),0),0))&gt;=100,100,(Backdoors!AI12+IF(W48&gt;=0.45,VLOOKUP(Calculator!E23,tbSkills!DH3:DI6,2,FALSE)+IF(AND(Calculator!B8=TRUE,Backdoors!BI6=TRUE),VLOOKUP(Calculator!E23,tbSkills!DH3:DJ6,3,FALSE),0),0)))/100)),1))*IF(VLOOKUP(A48,tbMoveset!A2:K112,11,FALSE)=TRUE,Backdoors!AC5,1))*X48,0),"")</f>
        <v>0</v>
      </c>
      <c r="AB48" s="49">
        <f>VLOOKUP(A48,tbMoveset!A2:G112,7,FALSE)*IFERROR(IF(Backdoors!AI12&gt;=0,1+(IF(Calculator!E40&gt;0,VLOOKUP(Calculator!E40,tbSkills!AI3:AJ5,2,FALSE),Backdoors!AL4)*(IF((Backdoors!AI12+IF(W48&gt;=0.45,VLOOKUP(Calculator!E23,tbSkills!DH3:DI6,2,FALSE)+IF(AND(Calculator!B8=TRUE,Backdoors!BI6=TRUE),VLOOKUP(Calculator!E23,tbSkills!DH3:DJ6,3,FALSE),0),0))&gt;=100,100,(Backdoors!AI12+IF(W48&gt;=0.45,VLOOKUP(Calculator!E23,tbSkills!DH3:DI6,2,FALSE)+IF(AND(Calculator!B8=TRUE,Backdoors!BI6=TRUE),VLOOKUP(Calculator!E23,tbSkills!DH3:DJ6,3,FALSE),0),0)))/100)),1),1)</f>
        <v>0.5</v>
      </c>
      <c r="AC48" s="87">
        <f t="shared" si="47"/>
        <v>2</v>
      </c>
      <c r="AD48" s="86">
        <f>IFERROR(IF(VLOOKUP(A48,tbMoveset!A2:B112,2,FALSE)="Sever",Backdoors!AY7/100,IF(VLOOKUP(A48,tbMoveset!A2:B112,2,FALSE)="Blunt",Backdoors!AZ7/100,Backdoors!BA7/100)),"")</f>
        <v>0.65</v>
      </c>
      <c r="AE48" s="49">
        <f>IFERROR(IF(VLOOKUP(tbMoveset!A48,tbMoveset!A2:H112,8,FALSE)="Other",IF(VLOOKUP(tbMoveset!A48,tbMoveset!A2:I112,9,FALSE)="Fire",Backdoors!BB7,IF(VLOOKUP(tbMoveset!A48,tbMoveset!A2:I112,9,FALSE)="Water",Backdoors!BC7,IF(VLOOKUP(tbMoveset!A48,tbMoveset!A2:I112,9,FALSE)="Thunder",Backdoors!BD7,IF(VLOOKUP(tbMoveset!A48,tbMoveset!A2:I112,9,FALSE)="Ice",Backdoors!BE7,IF(VLOOKUP(tbMoveset!A48,tbMoveset!A2:I112,9,FALSE)="Dragon",Backdoors!BF7,Backdoors!BG7)))))/100,Backdoors!BG7/100),"")</f>
        <v>0</v>
      </c>
      <c r="AF48" s="49">
        <f>IFERROR(IF(VLOOKUP(A48,tbMoveset!A2:J112,10,FALSE)=TRUE,IF((Backdoors!AI12+IF(AD48&gt;=0.45,VLOOKUP(Calculator!E23,tbSkills!DH3:DI6,2,FALSE)+IF(AND(Calculator!B8=TRUE,Backdoors!BI7=TRUE),VLOOKUP(Calculator!E23,tbSkills!DH3:DJ6,3,FALSE),0),0))&gt;=0,1+(Backdoors!AL2*(IF((Backdoors!AI12+IF(AD48&gt;=0.45,VLOOKUP(Calculator!E23,tbSkills!DH3:DI6,2,FALSE)+IF(AND(Calculator!B8=TRUE,Backdoors!BI7=TRUE),VLOOKUP(Calculator!E23,tbSkills!DH3:DJ6,3,FALSE),0),0))&gt;=100,100,(Backdoors!AI12+IF(AD48&gt;=0.45,VLOOKUP(Calculator!E23,tbSkills!DH3:DI6,2,FALSE)+IF(AND(Calculator!B8=TRUE,Backdoors!BI7=TRUE),VLOOKUP(Calculator!E23,tbSkills!DH3:DJ6,3,FALSE),0),0)))/100)),(1-(0.25*((-Backdoors!AI12-IF(AD48&gt;=0.45,VLOOKUP(Calculator!E23,tbSkills!DH3:DI6,2,FALSE)+IF(AND(Calculator!B8=TRUE,Backdoors!BI7=TRUE),VLOOKUP(Calculator!E23,tbSkills!DH3:DJ6,3,FALSE),0),0))/100)))),1),"")</f>
        <v>1</v>
      </c>
      <c r="AG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D48)*AF48)*(VLOOKUP(A48,tbMoveset!A2:C112,3,FALSE)/100)*IF(VLOOKUP(A48,tbMoveset!A2:B112,2,FALSE)="Projectile",Backdoors!N10,Backdoors!N9),0),"")</f>
        <v>3</v>
      </c>
      <c r="AH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D48&gt;=0.45,VLOOKUP(Calculator!E23,tbSkills!DH3:DI6,2,FALSE)+IF(AND(Calculator!B8=TRUE,Backdoors!BI7=TRUE),VLOOKUP(Calculator!E23,tbSkills!DH3:DJ6,3,FALSE),0),0))&gt;=100,100,(Backdoors!AI12+IF(AD48&gt;=0.45,VLOOKUP(Calculator!E23,tbSkills!DH3:DI6,2,FALSE)+IF(AND(Calculator!B8=TRUE,Backdoors!BI7=TRUE),VLOOKUP(Calculator!E23,tbSkills!DH3:DJ6,3,FALSE),0),0)))/100)),1))*IF(VLOOKUP(A48,tbMoveset!A2:K112,11,FALSE)=TRUE,Backdoors!AC5,1))*AE48,0),"")</f>
        <v>0</v>
      </c>
      <c r="AI48" s="49">
        <f>VLOOKUP(A48,tbMoveset!A2:G112,7,FALSE)*IFERROR(IF(Backdoors!AI12&gt;=0,1+(IF(Calculator!E40&gt;0,VLOOKUP(Calculator!E40,tbSkills!AI3:AJ5,2,FALSE),Backdoors!AL4)*(IF((Backdoors!AI12+IF(AD48&gt;=0.45,VLOOKUP(Calculator!E23,tbSkills!DH3:DI6,2,FALSE)+IF(AND(Calculator!B8=TRUE,Backdoors!BI7=TRUE),VLOOKUP(Calculator!E23,tbSkills!DH3:DJ6,3,FALSE),0),0))&gt;=100,100,(Backdoors!AI12+IF(AD48&gt;=0.45,VLOOKUP(Calculator!E23,tbSkills!DH3:DI6,2,FALSE)+IF(AND(Calculator!B8=TRUE,Backdoors!BI7=TRUE),VLOOKUP(Calculator!E23,tbSkills!DH3:DJ6,3,FALSE),0),0)))/100)),1),1)</f>
        <v>0.5</v>
      </c>
      <c r="AJ48" s="87">
        <f t="shared" si="48"/>
        <v>3</v>
      </c>
      <c r="AK48" s="91">
        <f>IFERROR(IF(VLOOKUP(A48,tbMoveset!A2:B112,2,FALSE)="Sever",Backdoors!AY8/100,IF(VLOOKUP(A48,tbMoveset!A2:B112,2,FALSE)="Blunt",Backdoors!AZ8/100,Backdoors!BA8/100)),"")</f>
        <v>0.45</v>
      </c>
      <c r="AL48" s="49">
        <f>IFERROR(IF(VLOOKUP(tbMoveset!A48,tbMoveset!A2:H112,8,FALSE)="Other",IF(VLOOKUP(tbMoveset!A48,tbMoveset!A2:I112,9,FALSE)="Fire",Backdoors!BB8,IF(VLOOKUP(tbMoveset!A48,tbMoveset!A2:I112,9,FALSE)="Water",Backdoors!BC8,IF(VLOOKUP(tbMoveset!A48,tbMoveset!A2:I112,9,FALSE)="Thunder",Backdoors!BD8,IF(VLOOKUP(tbMoveset!A48,tbMoveset!A2:I112,9,FALSE)="Ice",Backdoors!BE8,IF(VLOOKUP(tbMoveset!A48,tbMoveset!A2:I112,9,FALSE)="Dragon",Backdoors!BF8,Backdoors!BG8)))))/100,Backdoors!BG8/100),"")</f>
        <v>0</v>
      </c>
      <c r="AM48" s="49">
        <f>IFERROR(IF(VLOOKUP(A48,tbMoveset!A2:J112,10,FALSE)=TRUE,IF((Backdoors!AI12+IF(AK48&gt;=0.45,VLOOKUP(Calculator!E23,tbSkills!DH3:DI6,2,FALSE)+IF(AND(Calculator!B8=TRUE,Backdoors!BI8=TRUE),VLOOKUP(Calculator!E23,tbSkills!DH3:DJ6,3,FALSE),0),0))&gt;=0,1+(Backdoors!AL2*(IF((Backdoors!AI12+IF(AK48&gt;=0.45,VLOOKUP(Calculator!E23,tbSkills!DH3:DI6,2,FALSE)+IF(AND(Calculator!B8=TRUE,Backdoors!BI8=TRUE),VLOOKUP(Calculator!E23,tbSkills!DH3:DJ6,3,FALSE),0),0))&gt;=100,100,(Backdoors!AI12+IF(AK48&gt;=0.45,VLOOKUP(Calculator!E23,tbSkills!DH3:DI6,2,FALSE)+IF(AND(Calculator!B8=TRUE,Backdoors!BI8=TRUE),VLOOKUP(Calculator!E23,tbSkills!DH3:DJ6,3,FALSE),0),0)))/100)),(1-(0.25*((-Backdoors!AI12-IF(AK48&gt;=0.45,VLOOKUP(Calculator!E23,tbSkills!DH3:DI6,2,FALSE)+IF(AND(Calculator!B8=TRUE,Backdoors!BI8=TRUE),VLOOKUP(Calculator!E23,tbSkills!DH3:DJ6,3,FALSE),0),0))/100)))),1),"")</f>
        <v>1</v>
      </c>
      <c r="AN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K48)*AM48)*(VLOOKUP(A48,tbMoveset!A2:C112,3,FALSE)/100)*IF(VLOOKUP(A48,tbMoveset!A2:B112,2,FALSE)="Projectile",Backdoors!N10,Backdoors!N9),0),"")</f>
        <v>2</v>
      </c>
      <c r="AO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K48&gt;=0.45,VLOOKUP(Calculator!E23,tbSkills!DH3:DI6,2,FALSE)+IF(AND(Calculator!B8=TRUE,Backdoors!BI8=TRUE),VLOOKUP(Calculator!E23,tbSkills!DH3:DJ6,3,FALSE),0),0))&gt;=100,100,(Backdoors!AI12+IF(AK48&gt;=0.45,VLOOKUP(Calculator!E23,tbSkills!DH3:DI6,2,FALSE)+IF(AND(Calculator!B8=TRUE,Backdoors!BI8=TRUE),VLOOKUP(Calculator!E23,tbSkills!DH3:DJ6,3,FALSE),0),0)))/100)),1))*IF(VLOOKUP(A48,tbMoveset!A2:K112,11,FALSE)=TRUE,Backdoors!AC5,1))*AL48,0),"")</f>
        <v>0</v>
      </c>
      <c r="AP48" s="49">
        <f>VLOOKUP(A48,tbMoveset!A2:G112,7,FALSE)*IFERROR(IF(Backdoors!AI12&gt;=0,1+(IF(Calculator!E40&gt;0,VLOOKUP(Calculator!E40,tbSkills!AI3:AJ5,2,FALSE),Backdoors!AL4)*(IF((Backdoors!AI12+IF(AK48&gt;=0.45,VLOOKUP(Calculator!E23,tbSkills!DH3:DI6,2,FALSE)+IF(AND(Calculator!B8=TRUE,Backdoors!BI8=TRUE),VLOOKUP(Calculator!E23,tbSkills!DH3:DJ6,3,FALSE),0),0))&gt;=100,100,(Backdoors!AI12+IF(AK48&gt;=0.45,VLOOKUP(Calculator!E23,tbSkills!DH3:DI6,2,FALSE)+IF(AND(Calculator!B8=TRUE,Backdoors!BI8=TRUE),VLOOKUP(Calculator!E23,tbSkills!DH3:DJ6,3,FALSE),0),0)))/100)),1),1)</f>
        <v>0.5</v>
      </c>
      <c r="AQ48" s="87">
        <f t="shared" si="49"/>
        <v>2</v>
      </c>
      <c r="AR48" s="86">
        <f>IFERROR(IF(VLOOKUP(A48,tbMoveset!A2:B112,2,FALSE)="Sever",Backdoors!AY9/100,IF(VLOOKUP(A48,tbMoveset!A2:B112,2,FALSE)="Blunt",Backdoors!AZ9/100,Backdoors!BA9/100)),"")</f>
        <v>0.45</v>
      </c>
      <c r="AS48" s="49">
        <f>IFERROR(IF(VLOOKUP(tbMoveset!A48,tbMoveset!A2:H112,8,FALSE)="Other",IF(VLOOKUP(tbMoveset!A48,tbMoveset!A2:I112,9,FALSE)="Fire",Backdoors!BB9,IF(VLOOKUP(tbMoveset!A48,tbMoveset!A2:I112,9,FALSE)="Water",Backdoors!BC9,IF(VLOOKUP(tbMoveset!A48,tbMoveset!A2:I112,9,FALSE)="Thunder",Backdoors!BD9,IF(VLOOKUP(tbMoveset!A48,tbMoveset!A2:I112,9,FALSE)="Ice",Backdoors!BE9,IF(VLOOKUP(tbMoveset!A48,tbMoveset!A2:I112,9,FALSE)="Dragon",Backdoors!BF9,Backdoors!BG9)))))/100,Backdoors!BG9/100),"")</f>
        <v>0</v>
      </c>
      <c r="AT48" s="49">
        <f>IFERROR(IF(VLOOKUP(A48,tbMoveset!A2:J112,10,FALSE)=TRUE,IF((Backdoors!AI12+IF(AR48&gt;=0.45,VLOOKUP(Calculator!E23,tbSkills!DH3:DI6,2,FALSE)+IF(AND(Calculator!B8=TRUE,Backdoors!BI9=TRUE),VLOOKUP(Calculator!E23,tbSkills!DH3:DJ6,3,FALSE),0),0))&gt;=0,1+(Backdoors!AL2*(IF((Backdoors!AI12+IF(AR48&gt;=0.45,VLOOKUP(Calculator!E23,tbSkills!DH3:DI6,2,FALSE)+IF(AND(Calculator!B8=TRUE,Backdoors!BI9=TRUE),VLOOKUP(Calculator!E23,tbSkills!DH3:DJ6,3,FALSE),0),0))&gt;=100,100,(Backdoors!AI12+IF(AR48&gt;=0.45,VLOOKUP(Calculator!E23,tbSkills!DH3:DI6,2,FALSE)+IF(AND(Calculator!B8=TRUE,Backdoors!BI9=TRUE),VLOOKUP(Calculator!E23,tbSkills!DH3:DJ6,3,FALSE),0),0)))/100)),(1-(0.25*((-Backdoors!AI12-IF(AR48&gt;=0.45,VLOOKUP(Calculator!E23,tbSkills!DH3:DI6,2,FALSE)+IF(AND(Calculator!B8=TRUE,Backdoors!BI9=TRUE),VLOOKUP(Calculator!E23,tbSkills!DH3:DJ6,3,FALSE),0),0))/100)))),1),"")</f>
        <v>1</v>
      </c>
      <c r="AU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R48)*AT48)*(VLOOKUP(A48,tbMoveset!A2:C112,3,FALSE)/100)*IF(VLOOKUP(A48,tbMoveset!A2:B112,2,FALSE)="Projectile",Backdoors!N10,Backdoors!N9),0),"")</f>
        <v>2</v>
      </c>
      <c r="AV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R48&gt;=0.45,VLOOKUP(Calculator!E23,tbSkills!DH3:DI6,2,FALSE)+IF(AND(Calculator!B8=TRUE,Backdoors!BI9=TRUE),VLOOKUP(Calculator!E23,tbSkills!DH3:DJ6,3,FALSE),0),0))&gt;=100,100,(Backdoors!AI12+IF(AR48&gt;=0.45,VLOOKUP(Calculator!E23,tbSkills!DH3:DI6,2,FALSE)+IF(AND(Calculator!B8=TRUE,Backdoors!BI9=TRUE),VLOOKUP(Calculator!E23,tbSkills!DH3:DJ6,3,FALSE),0),0)))/100)),1))*IF(VLOOKUP(A48,tbMoveset!A2:K112,11,FALSE)=TRUE,Backdoors!AC5,1))*AS48,0),"")</f>
        <v>0</v>
      </c>
      <c r="AW48" s="49">
        <f>VLOOKUP(A48,tbMoveset!A2:G112,7,FALSE)*IFERROR(IF(Backdoors!AI12&gt;=0,1+(IF(Calculator!E40&gt;0,VLOOKUP(Calculator!E40,tbSkills!AI3:AJ5,2,FALSE),Backdoors!AL4)*(IF((Backdoors!AI12+IF(AR48&gt;=0.45,VLOOKUP(Calculator!E23,tbSkills!DH3:DI6,2,FALSE)+IF(AND(Calculator!B8=TRUE,Backdoors!BI9=TRUE),VLOOKUP(Calculator!E23,tbSkills!DH3:DJ6,3,FALSE),0),0))&gt;=100,100,(Backdoors!AI12+IF(AR48&gt;=0.45,VLOOKUP(Calculator!E23,tbSkills!DH3:DI6,2,FALSE)+IF(AND(Calculator!B8=TRUE,Backdoors!BI9=TRUE),VLOOKUP(Calculator!E23,tbSkills!DH3:DJ6,3,FALSE),0),0)))/100)),1),1)</f>
        <v>0.5</v>
      </c>
      <c r="AX48" s="87">
        <f t="shared" si="50"/>
        <v>2</v>
      </c>
      <c r="AY48" s="86">
        <f>IFERROR(IF(VLOOKUP(A48,tbMoveset!A2:B112,2,FALSE)="Sever",Backdoors!AY10/100,IF(VLOOKUP(A48,tbMoveset!A2:B112,2,FALSE)="Blunt",Backdoors!AZ10/100,Backdoors!BA10/100)),"")</f>
        <v>0.9</v>
      </c>
      <c r="AZ48" s="49">
        <f>IFERROR(IF(VLOOKUP(tbMoveset!A48,tbMoveset!A2:H112,8,FALSE)="Other",IF(VLOOKUP(tbMoveset!A48,tbMoveset!A2:I112,9,FALSE)="Fire",Backdoors!BB10,IF(VLOOKUP(tbMoveset!A48,tbMoveset!A2:I112,9,FALSE)="Water",Backdoors!BC10,IF(VLOOKUP(tbMoveset!A48,tbMoveset!A2:I112,9,FALSE)="Thunder",Backdoors!BD10,IF(VLOOKUP(tbMoveset!A48,tbMoveset!A2:I112,9,FALSE)="Ice",Backdoors!BE10,IF(VLOOKUP(tbMoveset!A48,tbMoveset!A2:I112,9,FALSE)="Dragon",Backdoors!BF10,Backdoors!BG10)))))/100,Backdoors!BG10/100),"")</f>
        <v>0</v>
      </c>
      <c r="BA48" s="49">
        <f>IFERROR(IF(VLOOKUP(A48,tbMoveset!A2:J112,10,FALSE)=TRUE,IF((Backdoors!AI12+IF(AY48&gt;=0.45,VLOOKUP(Calculator!E23,tbSkills!DH3:DI6,2,FALSE)+IF(AND(Calculator!B8=TRUE,Backdoors!BI10=TRUE),VLOOKUP(Calculator!E23,tbSkills!DH3:DJ6,3,FALSE),0),0))&gt;=0,1+(Backdoors!AL2*(IF((Backdoors!AI12+IF(AY48&gt;=0.45,VLOOKUP(Calculator!E23,tbSkills!DH3:DI6,2,FALSE)+IF(AND(Calculator!B8=TRUE,Backdoors!BI10=TRUE),VLOOKUP(Calculator!E23,tbSkills!DH3:DJ6,3,FALSE),0),0))&gt;=100,100,(Backdoors!AI12+IF(AY48&gt;=0.45,VLOOKUP(Calculator!E23,tbSkills!DH3:DI6,2,FALSE)+IF(AND(Calculator!B8=TRUE,Backdoors!BI10=TRUE),VLOOKUP(Calculator!E23,tbSkills!DH3:DJ6,3,FALSE),0),0)))/100)),(1-(0.25*((-Backdoors!AI12-IF(AY48&gt;=0.45,VLOOKUP(Calculator!E23,tbSkills!DH3:DI6,2,FALSE)+IF(AND(Calculator!B8=TRUE,Backdoors!BI10=TRUE),VLOOKUP(Calculator!E23,tbSkills!DH3:DJ6,3,FALSE),0),0))/100)))),1),"")</f>
        <v>1</v>
      </c>
      <c r="BB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Y48)*BA48)*(VLOOKUP(A48,tbMoveset!A2:C112,3,FALSE)/100)*IF(VLOOKUP(A48,tbMoveset!A2:B112,2,FALSE)="Projectile",Backdoors!N10,Backdoors!N9),0),"")</f>
        <v>4</v>
      </c>
      <c r="BC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Y48&gt;=0.45,VLOOKUP(Calculator!E23,tbSkills!DH3:DI6,2,FALSE)+IF(AND(Calculator!B8=TRUE,Backdoors!BI10=TRUE),VLOOKUP(Calculator!E23,tbSkills!DH3:DJ6,3,FALSE),0),0))&gt;=100,100,(Backdoors!AI12+IF(AY48&gt;=0.45,VLOOKUP(Calculator!E23,tbSkills!DH3:DI6,2,FALSE)+IF(AND(Calculator!B8=TRUE,Backdoors!BI10=TRUE),VLOOKUP(Calculator!E23,tbSkills!DH3:DJ6,3,FALSE),0),0)))/100)),1))*IF(VLOOKUP(A48,tbMoveset!A2:K112,11,FALSE)=TRUE,Backdoors!AC5,1))*AZ48,0),"")</f>
        <v>0</v>
      </c>
      <c r="BD48" s="49">
        <f>VLOOKUP(A48,tbMoveset!A2:G112,7,FALSE)*IFERROR(IF(Backdoors!AI12&gt;=0,1+(IF(Calculator!E40&gt;0,VLOOKUP(Calculator!E40,tbSkills!AI3:AJ5,2,FALSE),Backdoors!AL4)*(IF((Backdoors!AI12+IF(AY48&gt;=0.45,VLOOKUP(Calculator!E23,tbSkills!DH3:DI6,2,FALSE)+IF(AND(Calculator!B8=TRUE,Backdoors!BI10=TRUE),VLOOKUP(Calculator!E23,tbSkills!DH3:DJ6,3,FALSE),0),0))&gt;=100,100,(Backdoors!AI12+IF(AY48&gt;=0.45,VLOOKUP(Calculator!E23,tbSkills!DH3:DI6,2,FALSE)+IF(AND(Calculator!B8=TRUE,Backdoors!BI10=TRUE),VLOOKUP(Calculator!E23,tbSkills!DH3:DJ6,3,FALSE),0),0)))/100)),1),1)</f>
        <v>0.5</v>
      </c>
      <c r="BE48" s="87">
        <f t="shared" si="3"/>
        <v>4</v>
      </c>
      <c r="BF48" s="86" t="str">
        <f>IFERROR(IF(VLOOKUP(A48,tbMoveset!A2:B112,2,FALSE)="Sever",Backdoors!AY11/100,IF(VLOOKUP(A48,tbMoveset!A2:B112,2,FALSE)="Blunt",Backdoors!AZ11/100,Backdoors!BA11/100)),"")</f>
        <v/>
      </c>
      <c r="BG48" s="49">
        <f>IFERROR(IF(VLOOKUP(tbMoveset!A48,tbMoveset!A2:H112,8,FALSE)="Other",IF(VLOOKUP(tbMoveset!A48,tbMoveset!A2:I112,9,FALSE)="Fire",Backdoors!BB11,IF(VLOOKUP(tbMoveset!A48,tbMoveset!A2:I112,9,FALSE)="Water",Backdoors!BC11,IF(VLOOKUP(tbMoveset!A48,tbMoveset!A2:I112,9,FALSE)="Thunder",Backdoors!BD11,IF(VLOOKUP(tbMoveset!A48,tbMoveset!A2:I112,9,FALSE)="Ice",Backdoors!BE11,IF(VLOOKUP(tbMoveset!A48,tbMoveset!A2:I112,9,FALSE)="Dragon",Backdoors!BF11,Backdoors!BG11)))))/100,Backdoors!BG11/100),"")</f>
        <v>0</v>
      </c>
      <c r="BH48" s="49">
        <f>IFERROR(IF(VLOOKUP(A48,tbMoveset!A2:J112,10,FALSE)=TRUE,IF((Backdoors!AI12+IF(BF48&gt;=0.45,VLOOKUP(Calculator!E23,tbSkills!DH3:DI6,2,FALSE)+IF(AND(Calculator!B8=TRUE,Backdoors!BI11=TRUE),VLOOKUP(Calculator!E23,tbSkills!DH3:DJ6,3,FALSE),0),0))&gt;=0,1+(Backdoors!AL2*(IF((Backdoors!AI12+IF(BF48&gt;=0.45,VLOOKUP(Calculator!E23,tbSkills!DH3:DI6,2,FALSE)+IF(AND(Calculator!B8=TRUE,Backdoors!BI11=TRUE),VLOOKUP(Calculator!E23,tbSkills!DH3:DJ6,3,FALSE),0),0))&gt;=100,100,(Backdoors!AI12+IF(BF48&gt;=0.45,VLOOKUP(Calculator!E23,tbSkills!DH3:DI6,2,FALSE)+IF(AND(Calculator!B8=TRUE,Backdoors!BI11=TRUE),VLOOKUP(Calculator!E23,tbSkills!DH3:DJ6,3,FALSE),0),0)))/100)),(1-(0.25*((-Backdoors!AI12-IF(BF48&gt;=0.45,VLOOKUP(Calculator!E23,tbSkills!DH3:DI6,2,FALSE)+IF(AND(Calculator!B8=TRUE,Backdoors!BI11=TRUE),VLOOKUP(Calculator!E23,tbSkills!DH3:DJ6,3,FALSE),0),0))/100)))),1),"")</f>
        <v>1</v>
      </c>
      <c r="BI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F48)*BH48)*(VLOOKUP(A48,tbMoveset!A2:C112,3,FALSE)/100)*IF(VLOOKUP(A48,tbMoveset!A2:B112,2,FALSE)="Projectile",Backdoors!N10,Backdoors!N9),0),"")</f>
        <v/>
      </c>
      <c r="BJ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F48&gt;=0.45,VLOOKUP(Calculator!E23,tbSkills!DH3:DI6,2,FALSE)+IF(AND(Calculator!B8=TRUE,Backdoors!BI11=TRUE),VLOOKUP(Calculator!E23,tbSkills!DH3:DJ6,3,FALSE),0),0))&gt;=100,100,(Backdoors!AI12+IF(BF48&gt;=0.45,VLOOKUP(Calculator!E23,tbSkills!DH3:DI6,2,FALSE)+IF(AND(Calculator!B8=TRUE,Backdoors!BI11=TRUE),VLOOKUP(Calculator!E23,tbSkills!DH3:DJ6,3,FALSE),0),0)))/100)),1))*IF(VLOOKUP(A48,tbMoveset!A2:K112,11,FALSE)=TRUE,Backdoors!AC5,1))*BG48,0),"")</f>
        <v>0</v>
      </c>
      <c r="BK48" s="49">
        <f>VLOOKUP(A48,tbMoveset!A2:G112,7,FALSE)*IFERROR(IF(Backdoors!AI12&gt;=0,1+(IF(Calculator!E40&gt;0,VLOOKUP(Calculator!E40,tbSkills!AI3:AJ5,2,FALSE),Backdoors!AL4)*(IF((Backdoors!AI12+IF(BF48&gt;=0.45,VLOOKUP(Calculator!E23,tbSkills!DH3:DI6,2,FALSE)+IF(AND(Calculator!B8=TRUE,Backdoors!BI11=TRUE),VLOOKUP(Calculator!E23,tbSkills!DH3:DJ6,3,FALSE),0),0))&gt;=100,100,(Backdoors!AI12+IF(BF48&gt;=0.45,VLOOKUP(Calculator!E23,tbSkills!DH3:DI6,2,FALSE)+IF(AND(Calculator!B8=TRUE,Backdoors!BI11=TRUE),VLOOKUP(Calculator!E23,tbSkills!DH3:DJ6,3,FALSE),0),0)))/100)),1),1)</f>
        <v>0.5</v>
      </c>
      <c r="BL48" s="87">
        <f t="shared" si="4"/>
        <v>0</v>
      </c>
      <c r="BM48" s="86" t="str">
        <f>IFERROR(IF(VLOOKUP(A48,tbMoveset!A2:B112,2,FALSE)="Sever",Backdoors!AY12/100,IF(VLOOKUP(A48,tbMoveset!A2:B112,2,FALSE)="Blunt",Backdoors!AZ12/100,Backdoors!BA12/100)),"")</f>
        <v/>
      </c>
      <c r="BN48" s="49">
        <f>IFERROR(IF(VLOOKUP(tbMoveset!A48,tbMoveset!A2:H112,8,FALSE)="Other",IF(VLOOKUP(tbMoveset!A48,tbMoveset!A2:I112,9,FALSE)="Fire",Backdoors!BB12,IF(VLOOKUP(tbMoveset!A48,tbMoveset!A2:I112,9,FALSE)="Water",Backdoors!BC12,IF(VLOOKUP(tbMoveset!A48,tbMoveset!A2:I112,9,FALSE)="Thunder",Backdoors!BD12,IF(VLOOKUP(tbMoveset!A48,tbMoveset!A2:I112,9,FALSE)="Ice",Backdoors!BE12,IF(VLOOKUP(tbMoveset!A48,tbMoveset!A2:I112,9,FALSE)="Dragon",Backdoors!BF12,Backdoors!BG12)))))/100,Backdoors!BG12/100),"")</f>
        <v>0</v>
      </c>
      <c r="BO48" s="49">
        <f>IFERROR(IF(VLOOKUP(A48,tbMoveset!A2:J112,10,FALSE)=TRUE,IF((Backdoors!AI12+IF(BM48&gt;=0.45,VLOOKUP(Calculator!E23,tbSkills!DH3:DI6,2,FALSE)+IF(AND(Calculator!B8=TRUE,Backdoors!BI12=TRUE),VLOOKUP(Calculator!E23,tbSkills!DH3:DJ6,3,FALSE),0),0))&gt;=0,1+(Backdoors!AL2*(IF((Backdoors!AI12+IF(BM48&gt;=0.45,VLOOKUP(Calculator!E23,tbSkills!DH3:DI6,2,FALSE)+IF(AND(Calculator!B8=TRUE,Backdoors!BI12=TRUE),VLOOKUP(Calculator!E23,tbSkills!DH3:DJ6,3,FALSE),0),0))&gt;=100,100,(Backdoors!AI12+IF(BM48&gt;=0.45,VLOOKUP(Calculator!E23,tbSkills!DH3:DI6,2,FALSE)+IF(AND(Calculator!B8=TRUE,Backdoors!BI12=TRUE),VLOOKUP(Calculator!E23,tbSkills!DH3:DJ6,3,FALSE),0),0)))/100)),(1-(0.25*((-Backdoors!AI12-IF(BM48&gt;=0.45,VLOOKUP(Calculator!E23,tbSkills!DH3:DI6,2,FALSE)+IF(AND(Calculator!B8=TRUE,Backdoors!BI12=TRUE),VLOOKUP(Calculator!E23,tbSkills!DH3:DJ6,3,FALSE),0),0))/100)))),1),"")</f>
        <v>1</v>
      </c>
      <c r="BP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M48)*BO48)*(VLOOKUP(A48,tbMoveset!A2:C112,3,FALSE)/100)*IF(VLOOKUP(A48,tbMoveset!A2:B112,2,FALSE)="Projectile",Backdoors!N10,Backdoors!N9),0),"")</f>
        <v/>
      </c>
      <c r="BQ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M48&gt;=0.45,VLOOKUP(Calculator!E23,tbSkills!DH3:DI6,2,FALSE)+IF(AND(Calculator!B8=TRUE,Backdoors!BI12=TRUE),VLOOKUP(Calculator!E23,tbSkills!DH3:DJ6,3,FALSE),0),0))&gt;=100,100,(Backdoors!AI12+IF(BM48&gt;=0.45,VLOOKUP(Calculator!E23,tbSkills!DH3:DI6,2,FALSE)+IF(AND(Calculator!B8=TRUE,Backdoors!BI12=TRUE),VLOOKUP(Calculator!E23,tbSkills!DH3:DJ6,3,FALSE),0),0)))/100)),1))*IF(VLOOKUP(A48,tbMoveset!A2:K112,11,FALSE)=TRUE,Backdoors!AC5,1))*BN48,0),"")</f>
        <v>0</v>
      </c>
      <c r="BR48" s="49">
        <f>VLOOKUP(A48,tbMoveset!A2:G112,7,FALSE)*IFERROR(IF(Backdoors!AI12&gt;=0,1+(IF(Calculator!E40&gt;0,VLOOKUP(Calculator!E40,tbSkills!AI3:AJ5,2,FALSE),Backdoors!AL4)*(IF((Backdoors!AI12+IF(BM48&gt;=0.45,VLOOKUP(Calculator!E23,tbSkills!DH3:DI6,2,FALSE)+IF(AND(Calculator!B8=TRUE,Backdoors!BI12=TRUE),VLOOKUP(Calculator!E23,tbSkills!DH3:DJ6,3,FALSE),0),0))&gt;=100,100,(Backdoors!AI12+IF(BM48&gt;=0.45,VLOOKUP(Calculator!E23,tbSkills!DH3:DI6,2,FALSE)+IF(AND(Calculator!B8=TRUE,Backdoors!BI12=TRUE),VLOOKUP(Calculator!E23,tbSkills!DH3:DJ6,3,FALSE),0),0)))/100)),1),1)</f>
        <v>0.5</v>
      </c>
      <c r="BS48" s="87">
        <f t="shared" si="39"/>
        <v>0</v>
      </c>
      <c r="BT48" s="86" t="str">
        <f>IFERROR(IF(VLOOKUP(A48,tbMoveset!A2:B112,2,FALSE)="Sever",Backdoors!AY13/100,IF(VLOOKUP(A48,tbMoveset!A2:B112,2,FALSE)="Blunt",Backdoors!AZ13/100,Backdoors!BA13/100)),"")</f>
        <v/>
      </c>
      <c r="BU48" s="49">
        <f>IFERROR(IF(VLOOKUP(tbMoveset!A48,tbMoveset!A2:H112,8,FALSE)="Other",IF(VLOOKUP(tbMoveset!A48,tbMoveset!A2:I112,9,FALSE)="Fire",Backdoors!BB13,IF(VLOOKUP(tbMoveset!A48,tbMoveset!A2:I112,9,FALSE)="Water",Backdoors!BC13,IF(VLOOKUP(tbMoveset!A48,tbMoveset!A2:I112,9,FALSE)="Thunder",Backdoors!BD13,IF(VLOOKUP(tbMoveset!A48,tbMoveset!A2:I112,9,FALSE)="Ice",Backdoors!BE13,IF(VLOOKUP(tbMoveset!A48,tbMoveset!A2:I112,9,FALSE)="Dragon",Backdoors!BF13,Backdoors!BG13)))))/100,Backdoors!BG13/100),"")</f>
        <v>0</v>
      </c>
      <c r="BV48" s="49">
        <f>IFERROR(IF(VLOOKUP(A48,tbMoveset!A2:J112,10,FALSE)=TRUE,IF((Backdoors!AI12+IF(BT48&gt;=0.45,VLOOKUP(Calculator!E23,tbSkills!DH3:DI6,2,FALSE)+IF(AND(Calculator!B8=TRUE,Backdoors!BI13=TRUE),VLOOKUP(Calculator!E23,tbSkills!DH3:DJ6,3,FALSE),0),0))&gt;=0,1+(Backdoors!AL2*(IF((Backdoors!AI12+IF(BT48&gt;=0.45,VLOOKUP(Calculator!E23,tbSkills!DH3:DI6,2,FALSE)+IF(AND(Calculator!B8=TRUE,Backdoors!BI13=TRUE),VLOOKUP(Calculator!E23,tbSkills!DH3:DJ6,3,FALSE),0),0))&gt;=100,100,(Backdoors!AI12+IF(BT48&gt;=0.45,VLOOKUP(Calculator!E23,tbSkills!DH3:DI6,2,FALSE)+IF(AND(Calculator!B8=TRUE,Backdoors!BI13=TRUE),VLOOKUP(Calculator!E23,tbSkills!DH3:DJ6,3,FALSE),0),0)))/100)),(1-(0.25*((-Backdoors!AI12-IF(BT48&gt;=0.45,VLOOKUP(Calculator!E23,tbSkills!DH3:DI6,2,FALSE)+IF(AND(Calculator!B8=TRUE,Backdoors!BI13=TRUE),VLOOKUP(Calculator!E23,tbSkills!DH3:DJ6,3,FALSE),0),0))/100)))),1),"")</f>
        <v>1</v>
      </c>
      <c r="BW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T48)*BV48)*(VLOOKUP(A48,tbMoveset!A2:C112,3,FALSE)/100)*IF(VLOOKUP(A48,tbMoveset!A2:B112,2,FALSE)="Projectile",Backdoors!N10,Backdoors!N9),0),"")</f>
        <v/>
      </c>
      <c r="BX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T48&gt;=0.45,VLOOKUP(Calculator!E23,tbSkills!DH3:DI6,2,FALSE)+IF(AND(Calculator!B8=TRUE,Backdoors!BI13=TRUE),VLOOKUP(Calculator!E23,tbSkills!DH3:DJ6,3,FALSE),0),0))&gt;=100,100,(Backdoors!AI12+IF(BT48&gt;=0.45,VLOOKUP(Calculator!E23,tbSkills!DH3:DI6,2,FALSE)+IF(AND(Calculator!B8=TRUE,Backdoors!BI13=TRUE),VLOOKUP(Calculator!E23,tbSkills!DH3:DJ6,3,FALSE),0),0)))/100)),1))*IF(VLOOKUP(A48,tbMoveset!A2:K112,11,FALSE)=TRUE,Backdoors!AC5,1))*BU48,0),"")</f>
        <v>0</v>
      </c>
      <c r="BY48" s="49">
        <f>VLOOKUP(A48,tbMoveset!A2:G112,7,FALSE)*IFERROR(IF(Backdoors!AI12&gt;=0,1+(IF(Calculator!E40&gt;0,VLOOKUP(Calculator!E40,tbSkills!AI3:AJ5,2,FALSE),Backdoors!AL4)*(IF((Backdoors!AI12+IF(BT48&gt;=0.45,VLOOKUP(Calculator!E23,tbSkills!DH3:DI6,2,FALSE)+IF(AND(Calculator!B8=TRUE,Backdoors!BI13=TRUE),VLOOKUP(Calculator!E23,tbSkills!DH3:DJ6,3,FALSE),0),0))&gt;=100,100,(Backdoors!AI12+IF(BT48&gt;=0.45,VLOOKUP(Calculator!E23,tbSkills!DH3:DI6,2,FALSE)+IF(AND(Calculator!B8=TRUE,Backdoors!BI13=TRUE),VLOOKUP(Calculator!E23,tbSkills!DH3:DJ6,3,FALSE),0),0)))/100)),1),1)</f>
        <v>0.5</v>
      </c>
      <c r="BZ48" s="87">
        <f t="shared" si="5"/>
        <v>0</v>
      </c>
      <c r="CA48" s="86" t="str">
        <f>IFERROR(IF(VLOOKUP(A48,tbMoveset!A2:B112,2,FALSE)="Sever",Backdoors!AY14/100,IF(VLOOKUP(A48,tbMoveset!A2:B112,2,FALSE)="Blunt",Backdoors!AZ14/100,Backdoors!BA14/100)),"")</f>
        <v/>
      </c>
      <c r="CB48" s="49">
        <f>IFERROR(IF(VLOOKUP(tbMoveset!A48,tbMoveset!A2:H112,8,FALSE)="Other",IF(VLOOKUP(tbMoveset!A48,tbMoveset!A2:I112,9,FALSE)="Fire",Backdoors!BB14,IF(VLOOKUP(tbMoveset!A48,tbMoveset!A2:I112,9,FALSE)="Water",Backdoors!BC14,IF(VLOOKUP(tbMoveset!A48,tbMoveset!A2:I112,9,FALSE)="Thunder",Backdoors!BD14,IF(VLOOKUP(tbMoveset!A48,tbMoveset!A2:I112,9,FALSE)="Ice",Backdoors!BE14,IF(VLOOKUP(tbMoveset!A48,tbMoveset!A2:I112,9,FALSE)="Dragon",Backdoors!BF14,Backdoors!BG14)))))/100,Backdoors!BG14/100),"")</f>
        <v>0</v>
      </c>
      <c r="CC48" s="49">
        <f>IFERROR(IF(VLOOKUP(A48,tbMoveset!A2:J112,10,FALSE)=TRUE,IF((Backdoors!AI12+IF(CA48&gt;=0.45,VLOOKUP(Calculator!E23,tbSkills!DH3:DI6,2,FALSE)+IF(AND(Calculator!B8=TRUE,Backdoors!BI14=TRUE),VLOOKUP(Calculator!E23,tbSkills!DH3:DJ6,3,FALSE),0),0))&gt;=0,1+(Backdoors!AL2*(IF((Backdoors!AI12+IF(CA48&gt;=0.45,VLOOKUP(Calculator!E23,tbSkills!DH3:DI6,2,FALSE)+IF(AND(Calculator!B8=TRUE,Backdoors!BI14=TRUE),VLOOKUP(Calculator!E23,tbSkills!DH3:DJ6,3,FALSE),0),0))&gt;=100,100,(Backdoors!AI12+IF(CA48&gt;=0.45,VLOOKUP(Calculator!E23,tbSkills!DH3:DI6,2,FALSE)+IF(AND(Calculator!B8=TRUE,Backdoors!BI14=TRUE),VLOOKUP(Calculator!E23,tbSkills!DH3:DJ6,3,FALSE),0),0)))/100)),(1-(0.25*((-Backdoors!AI12-IF(CA48&gt;=0.45,VLOOKUP(Calculator!E23,tbSkills!DH3:DI6,2,FALSE)+IF(AND(Calculator!B8=TRUE,Backdoors!BI14=TRUE),VLOOKUP(Calculator!E23,tbSkills!DH3:DJ6,3,FALSE),0),0))/100)))),1),"")</f>
        <v>1</v>
      </c>
      <c r="CD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A48)*CC48)*(VLOOKUP(A48,tbMoveset!A2:C112,3,FALSE)/100)*IF(VLOOKUP(A48,tbMoveset!A2:B112,2,FALSE)="Projectile",Backdoors!N10,Backdoors!N9),0),"")</f>
        <v/>
      </c>
      <c r="CE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A48&gt;=0.45,VLOOKUP(Calculator!E23,tbSkills!DH3:DI6,2,FALSE)+IF(AND(Calculator!B8=TRUE,Backdoors!BI14=TRUE),VLOOKUP(Calculator!E23,tbSkills!DH3:DJ6,3,FALSE),0),0))&gt;=100,100,(Backdoors!AI12+IF(CA48&gt;=0.45,VLOOKUP(Calculator!E23,tbSkills!DH3:DI6,2,FALSE)+IF(AND(Calculator!B8=TRUE,Backdoors!BI14=TRUE),VLOOKUP(Calculator!E23,tbSkills!DH3:DJ6,3,FALSE),0),0)))/100)),1))*IF(VLOOKUP(A48,tbMoveset!A2:K112,11,FALSE)=TRUE,Backdoors!AC5,1))*CB48,0),"")</f>
        <v>0</v>
      </c>
      <c r="CF48" s="49">
        <f>VLOOKUP(A48,tbMoveset!A2:G112,7,FALSE)*IFERROR(IF(Backdoors!AI12&gt;=0,1+(IF(Calculator!E40&gt;0,VLOOKUP(Calculator!E40,tbSkills!AI3:AJ5,2,FALSE),Backdoors!AL4)*(IF((Backdoors!AI12+IF(CA48&gt;=0.45,VLOOKUP(Calculator!E23,tbSkills!DH3:DI6,2,FALSE)+IF(AND(Calculator!B8=TRUE,Backdoors!BI14=TRUE),VLOOKUP(Calculator!E23,tbSkills!DH3:DJ6,3,FALSE),0),0))&gt;=100,100,(Backdoors!AI12+IF(CA48&gt;=0.45,VLOOKUP(Calculator!E23,tbSkills!DH3:DI6,2,FALSE)+IF(AND(Calculator!B8=TRUE,Backdoors!BI14=TRUE),VLOOKUP(Calculator!E23,tbSkills!DH3:DJ6,3,FALSE),0),0)))/100)),1),1)</f>
        <v>0.5</v>
      </c>
      <c r="CG48" s="87">
        <f t="shared" si="6"/>
        <v>0</v>
      </c>
      <c r="CH48" s="86" t="str">
        <f>IFERROR(IF(VLOOKUP(A48,tbMoveset!A2:B112,2,FALSE)="Sever",Backdoors!AY15/100,IF(VLOOKUP(A48,tbMoveset!A2:B112,2,FALSE)="Blunt",Backdoors!AZ15/100,Backdoors!BA15/100)),"")</f>
        <v/>
      </c>
      <c r="CI48" s="49">
        <f>IFERROR(IF(VLOOKUP(tbMoveset!A48,tbMoveset!A2:H112,8,FALSE)="Other",IF(VLOOKUP(tbMoveset!A48,tbMoveset!A2:I112,9,FALSE)="Fire",Backdoors!BB15,IF(VLOOKUP(tbMoveset!A48,tbMoveset!A2:I112,9,FALSE)="Water",Backdoors!BC15,IF(VLOOKUP(tbMoveset!A48,tbMoveset!A2:I112,9,FALSE)="Thunder",Backdoors!BD15,IF(VLOOKUP(tbMoveset!A48,tbMoveset!A2:I112,9,FALSE)="Ice",Backdoors!BE15,IF(VLOOKUP(tbMoveset!A48,tbMoveset!A2:I112,9,FALSE)="Dragon",Backdoors!BF15,Backdoors!BG15)))))/100,Backdoors!BG15/100),"")</f>
        <v>0</v>
      </c>
      <c r="CJ48" s="49">
        <f>IFERROR(IF(VLOOKUP(A48,tbMoveset!A2:J112,10,FALSE)=TRUE,IF((Backdoors!AI12+IF(CH48&gt;=0.45,VLOOKUP(Calculator!E23,tbSkills!DH3:DI6,2,FALSE)+IF(AND(Calculator!B8=TRUE,Backdoors!BI15=TRUE),VLOOKUP(Calculator!E23,tbSkills!DH3:DJ6,3,FALSE),0),0))&gt;=0,1+(Backdoors!AL2*(IF((Backdoors!AI12+IF(CH48&gt;=0.45,VLOOKUP(Calculator!E23,tbSkills!DH3:DI6,2,FALSE)+IF(AND(Calculator!B8=TRUE,Backdoors!BI15=TRUE),VLOOKUP(Calculator!E23,tbSkills!DH3:DJ6,3,FALSE),0),0))&gt;=100,100,(Backdoors!AI12+IF(CH48&gt;=0.45,VLOOKUP(Calculator!E23,tbSkills!DH3:DI6,2,FALSE)+IF(AND(Calculator!B8=TRUE,Backdoors!BI15=TRUE),VLOOKUP(Calculator!E23,tbSkills!DH3:DJ6,3,FALSE),0),0)))/100)),(1-(0.25*((-Backdoors!AI12-IF(CH48&gt;=0.45,VLOOKUP(Calculator!E23,tbSkills!DH3:DI6,2,FALSE)+IF(AND(Calculator!B8=TRUE,Backdoors!BI15=TRUE),VLOOKUP(Calculator!E23,tbSkills!DH3:DJ6,3,FALSE),0),0))/100)))),1),"")</f>
        <v>1</v>
      </c>
      <c r="CK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H48)*CJ48)*(VLOOKUP(A48,tbMoveset!A2:C112,3,FALSE)/100)*IF(VLOOKUP(A48,tbMoveset!A2:B112,2,FALSE)="Projectile",Backdoors!N10,Backdoors!N9),0),"")</f>
        <v/>
      </c>
      <c r="CL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H48&gt;=0.45,VLOOKUP(Calculator!E23,tbSkills!DH3:DI6,2,FALSE)+IF(AND(Calculator!B8=TRUE,Backdoors!BI15=TRUE),VLOOKUP(Calculator!E23,tbSkills!DH3:DJ6,3,FALSE),0),0))&gt;=100,100,(Backdoors!AI12+IF(CH48&gt;=0.45,VLOOKUP(Calculator!E23,tbSkills!DH3:DI6,2,FALSE)+IF(AND(Calculator!B8=TRUE,Backdoors!BI15=TRUE),VLOOKUP(Calculator!E23,tbSkills!DH3:DJ6,3,FALSE),0),0)))/100)),1))*IF(VLOOKUP(A48,tbMoveset!A2:K112,11,FALSE)=TRUE,Backdoors!AC5,1))*CI48,0),"")</f>
        <v>0</v>
      </c>
      <c r="CM48" s="49">
        <f>VLOOKUP(A48,tbMoveset!A2:G112,7,FALSE)*IFERROR(IF(Backdoors!AI12&gt;=0,1+(IF(Calculator!E40&gt;0,VLOOKUP(Calculator!E40,tbSkills!AI3:AJ5,2,FALSE),Backdoors!AL4)*(IF((Backdoors!AI12+IF(CH48&gt;=0.45,VLOOKUP(Calculator!E23,tbSkills!DH3:DI6,2,FALSE)+IF(AND(Calculator!B8=TRUE,Backdoors!BI15=TRUE),VLOOKUP(Calculator!E23,tbSkills!DH3:DJ6,3,FALSE),0),0))&gt;=100,100,(Backdoors!AI12+IF(CH48&gt;=0.45,VLOOKUP(Calculator!E23,tbSkills!DH3:DI6,2,FALSE)+IF(AND(Calculator!B8=TRUE,Backdoors!BI15=TRUE),VLOOKUP(Calculator!E23,tbSkills!DH3:DJ6,3,FALSE),0),0)))/100)),1),1)</f>
        <v>0.5</v>
      </c>
      <c r="CN48" s="87">
        <f t="shared" si="7"/>
        <v>0</v>
      </c>
      <c r="CO48" s="86" t="str">
        <f>IFERROR(IF(VLOOKUP(A48,tbMoveset!A2:B112,2,FALSE)="Sever",Backdoors!AY16/100,IF(VLOOKUP(A48,tbMoveset!A2:B112,2,FALSE)="Blunt",Backdoors!AZ16/100,Backdoors!BA16/100)),"")</f>
        <v/>
      </c>
      <c r="CP48" s="49">
        <f>IFERROR(IF(VLOOKUP(tbMoveset!A48,tbMoveset!A2:H112,8,FALSE)="Other",IF(VLOOKUP(tbMoveset!A48,tbMoveset!A2:I112,9,FALSE)="Fire",Backdoors!BB16,IF(VLOOKUP(tbMoveset!A48,tbMoveset!A2:I112,9,FALSE)="Water",Backdoors!BC16,IF(VLOOKUP(tbMoveset!A48,tbMoveset!A2:I112,9,FALSE)="Thunder",Backdoors!BD16,IF(VLOOKUP(tbMoveset!A48,tbMoveset!A2:I112,9,FALSE)="Ice",Backdoors!BE16,IF(VLOOKUP(tbMoveset!A48,tbMoveset!A2:I112,9,FALSE)="Dragon",Backdoors!BF16,Backdoors!BG16)))))/100,Backdoors!BG16/100),"")</f>
        <v>0</v>
      </c>
      <c r="CQ48" s="49">
        <f>IFERROR(IF(VLOOKUP(A48,tbMoveset!A2:J112,10,FALSE)=TRUE,IF((Backdoors!AI12+IF(CO48&gt;=0.45,VLOOKUP(Calculator!E23,tbSkills!DH3:DI6,2,FALSE)+IF(AND(Calculator!B8=TRUE,Backdoors!BI16=TRUE),VLOOKUP(Calculator!E23,tbSkills!DH3:DJ6,3,FALSE),0),0))&gt;=0,1+(Backdoors!AL2*(IF((Backdoors!AI12+IF(CO48&gt;=0.45,VLOOKUP(Calculator!E23,tbSkills!DH3:DI6,2,FALSE)+IF(AND(Calculator!B8=TRUE,Backdoors!BI16=TRUE),VLOOKUP(Calculator!E23,tbSkills!DH3:DJ6,3,FALSE),0),0))&gt;=100,100,(Backdoors!AI12+IF(CO48&gt;=0.45,VLOOKUP(Calculator!E23,tbSkills!DH3:DI6,2,FALSE)+IF(AND(Calculator!B8=TRUE,Backdoors!BI16=TRUE),VLOOKUP(Calculator!E23,tbSkills!DH3:DJ6,3,FALSE),0),0)))/100)),(1-(0.25*((-Backdoors!AI12-IF(CO48&gt;=0.45,VLOOKUP(Calculator!E23,tbSkills!DH3:DI6,2,FALSE)+IF(AND(Calculator!B8=TRUE,Backdoors!BI16=TRUE),VLOOKUP(Calculator!E23,tbSkills!DH3:DJ6,3,FALSE),0),0))/100)))),1),"")</f>
        <v>1</v>
      </c>
      <c r="CR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O48)*CQ48)*(VLOOKUP(A48,tbMoveset!A2:C112,3,FALSE)/100)*IF(VLOOKUP(A48,tbMoveset!A2:B112,2,FALSE)="Projectile",Backdoors!N10,Backdoors!N9),0),"")</f>
        <v/>
      </c>
      <c r="CS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O48&gt;=0.45,VLOOKUP(Calculator!E23,tbSkills!DH3:DI6,2,FALSE)+IF(AND(Calculator!B8=TRUE,Backdoors!BI16=TRUE),VLOOKUP(Calculator!E23,tbSkills!DH3:DJ6,3,FALSE),0),0))&gt;=100,100,(Backdoors!AI12+IF(CO48&gt;=0.45,VLOOKUP(Calculator!E23,tbSkills!DH3:DI6,2,FALSE)+IF(AND(Calculator!B8=TRUE,Backdoors!BI16=TRUE),VLOOKUP(Calculator!E23,tbSkills!DH3:DJ6,3,FALSE),0),0)))/100)),1))*IF(VLOOKUP(A48,tbMoveset!A2:K112,11,FALSE)=TRUE,Backdoors!AC5,1))*CP48,0),"")</f>
        <v>0</v>
      </c>
      <c r="CT48" s="49">
        <f>VLOOKUP(A48,tbMoveset!A2:G112,7,FALSE)*IFERROR(IF(Backdoors!AI12&gt;=0,1+(IF(Calculator!E40&gt;0,VLOOKUP(Calculator!E40,tbSkills!AI3:AJ5,2,FALSE),Backdoors!AL4)*(IF((Backdoors!AI12+IF(CO48&gt;=0.45,VLOOKUP(Calculator!E23,tbSkills!DH3:DI6,2,FALSE)+IF(AND(Calculator!B8=TRUE,Backdoors!BI16=TRUE),VLOOKUP(Calculator!E23,tbSkills!DH3:DJ6,3,FALSE),0),0))&gt;=100,100,(Backdoors!AI12+IF(CO48&gt;=0.45,VLOOKUP(Calculator!E23,tbSkills!DH3:DI6,2,FALSE)+IF(AND(Calculator!B8=TRUE,Backdoors!BI16=TRUE),VLOOKUP(Calculator!E23,tbSkills!DH3:DJ6,3,FALSE),0),0)))/100)),1),1)</f>
        <v>0.5</v>
      </c>
      <c r="CU48" s="87">
        <f t="shared" si="40"/>
        <v>0</v>
      </c>
      <c r="CV48" s="86" t="str">
        <f>IFERROR(IF(VLOOKUP(A48,tbMoveset!A2:B112,2,FALSE)="Sever",Backdoors!AY17/100,IF(VLOOKUP(A48,tbMoveset!A2:B112,2,FALSE)="Blunt",Backdoors!AZ17/100,Backdoors!BA17/100)),"")</f>
        <v/>
      </c>
      <c r="CW48" s="49">
        <f>IFERROR(IF(VLOOKUP(tbMoveset!A48,tbMoveset!A2:H112,8,FALSE)="Other",IF(VLOOKUP(tbMoveset!A48,tbMoveset!A2:I112,9,FALSE)="Fire",Backdoors!BB17,IF(VLOOKUP(tbMoveset!A48,tbMoveset!A2:I112,9,FALSE)="Water",Backdoors!BC17,IF(VLOOKUP(tbMoveset!A48,tbMoveset!A2:I112,9,FALSE)="Thunder",Backdoors!BD17,IF(VLOOKUP(tbMoveset!A48,tbMoveset!A2:I112,9,FALSE)="Ice",Backdoors!BE17,IF(VLOOKUP(tbMoveset!A48,tbMoveset!A2:I112,9,FALSE)="Dragon",Backdoors!BF17,Backdoors!BG17)))))/100,Backdoors!BG17/100),"")</f>
        <v>0</v>
      </c>
      <c r="CX48" s="49">
        <f>IFERROR(IF(VLOOKUP(A48,tbMoveset!A2:J112,10,FALSE)=TRUE,IF((Backdoors!AI12+IF(CV48&gt;=0.45,VLOOKUP(Calculator!E23,tbSkills!DH3:DI6,2,FALSE)+IF(AND(Calculator!B8=TRUE,Backdoors!BI17=TRUE),VLOOKUP(Calculator!E23,tbSkills!DH3:DJ6,3,FALSE),0),0))&gt;=0,1+(Backdoors!AL2*(IF((Backdoors!AI12+IF(CV48&gt;=0.45,VLOOKUP(Calculator!E23,tbSkills!DH3:DI6,2,FALSE)+IF(AND(Calculator!B8=TRUE,Backdoors!BI17=TRUE),VLOOKUP(Calculator!E23,tbSkills!DH3:DJ6,3,FALSE),0),0))&gt;=100,100,(Backdoors!AI12+IF(CV48&gt;=0.45,VLOOKUP(Calculator!E23,tbSkills!DH3:DI6,2,FALSE)+IF(AND(Calculator!B8=TRUE,Backdoors!BI17=TRUE),VLOOKUP(Calculator!E23,tbSkills!DH3:DJ6,3,FALSE),0),0)))/100)),(1-(0.25*((-Backdoors!AI12-IF(CV48&gt;=0.45,VLOOKUP(Calculator!E23,tbSkills!DH3:DI6,2,FALSE)+IF(AND(Calculator!B8=TRUE,Backdoors!BI17=TRUE),VLOOKUP(Calculator!E23,tbSkills!DH3:DJ6,3,FALSE),0),0))/100)))),1),"")</f>
        <v>1</v>
      </c>
      <c r="CY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V48)*CX48)*(VLOOKUP(A48,tbMoveset!A2:C112,3,FALSE)/100)*IF(VLOOKUP(A48,tbMoveset!A2:B112,2,FALSE)="Projectile",Backdoors!N10,Backdoors!N9),0),"")</f>
        <v/>
      </c>
      <c r="CZ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V48&gt;=0.45,VLOOKUP(Calculator!E23,tbSkills!DH3:DI6,2,FALSE)+IF(AND(Calculator!B8=TRUE,Backdoors!BI17=TRUE),VLOOKUP(Calculator!E23,tbSkills!DH3:DJ6,3,FALSE),0),0))&gt;=100,100,(Backdoors!AI12+IF(CV48&gt;=0.45,VLOOKUP(Calculator!E23,tbSkills!DH3:DI6,2,FALSE)+IF(AND(Calculator!B8=TRUE,Backdoors!BI17=TRUE),VLOOKUP(Calculator!E23,tbSkills!DH3:DJ6,3,FALSE),0),0)))/100)),1))*IF(VLOOKUP(A48,tbMoveset!A2:K112,11,FALSE)=TRUE,Backdoors!AC5,1))*CW48,0),"")</f>
        <v>0</v>
      </c>
      <c r="DA48" s="49">
        <f>VLOOKUP(A48,tbMoveset!A2:G112,7,FALSE)*IFERROR(IF(Backdoors!AI12&gt;=0,1+(IF(Calculator!E40&gt;0,VLOOKUP(Calculator!E40,tbSkills!AI3:AJ5,2,FALSE),Backdoors!AL4)*(IF((Backdoors!AI12+IF(CV48&gt;=0.45,VLOOKUP(Calculator!E23,tbSkills!DH3:DI6,2,FALSE)+IF(AND(Calculator!B8=TRUE,Backdoors!BI17=TRUE),VLOOKUP(Calculator!E23,tbSkills!DH3:DJ6,3,FALSE),0),0))&gt;=100,100,(Backdoors!AI12+IF(CV48&gt;=0.45,VLOOKUP(Calculator!E23,tbSkills!DH3:DI6,2,FALSE)+IF(AND(Calculator!B8=TRUE,Backdoors!BI17=TRUE),VLOOKUP(Calculator!E23,tbSkills!DH3:DJ6,3,FALSE),0),0)))/100)),1),1)</f>
        <v>0.5</v>
      </c>
      <c r="DB48" s="87">
        <f t="shared" si="8"/>
        <v>0</v>
      </c>
      <c r="DC48" s="86" t="str">
        <f>IFERROR(IF(VLOOKUP(A48,tbMoveset!A2:B112,2,FALSE)="Sever",Backdoors!AY18/100,IF(VLOOKUP(A48,tbMoveset!A2:B112,2,FALSE)="Blunt",Backdoors!AZ18/100,Backdoors!BA18/100)),"")</f>
        <v/>
      </c>
      <c r="DD48" s="49">
        <f>IFERROR(IF(VLOOKUP(tbMoveset!A48,tbMoveset!A2:H112,8,FALSE)="Other",IF(VLOOKUP(tbMoveset!A48,tbMoveset!A2:I112,9,FALSE)="Fire",Backdoors!BB18,IF(VLOOKUP(tbMoveset!A48,tbMoveset!A2:I112,9,FALSE)="Water",Backdoors!BC18,IF(VLOOKUP(tbMoveset!A48,tbMoveset!A2:I112,9,FALSE)="Thunder",Backdoors!BD18,IF(VLOOKUP(tbMoveset!A48,tbMoveset!A2:I112,9,FALSE)="Ice",Backdoors!BE18,IF(VLOOKUP(tbMoveset!A48,tbMoveset!A2:I112,9,FALSE)="Dragon",Backdoors!BF18,Backdoors!BG18)))))/100,Backdoors!BG18/100),"")</f>
        <v>0</v>
      </c>
      <c r="DE48" s="49">
        <f>IFERROR(IF(VLOOKUP(A48,tbMoveset!A2:J112,10,FALSE)=TRUE,IF((Backdoors!AI12+IF(DC48&gt;=0.45,VLOOKUP(Calculator!E23,tbSkills!DH3:DI6,2,FALSE)+IF(AND(Calculator!B8=TRUE,Backdoors!BI18=TRUE),VLOOKUP(Calculator!E23,tbSkills!DH3:DJ6,3,FALSE),0),0))&gt;=0,1+(Backdoors!AL2*(IF((Backdoors!AI12+IF(DC48&gt;=0.45,VLOOKUP(Calculator!E23,tbSkills!DH3:DI6,2,FALSE)+IF(AND(Calculator!B8=TRUE,Backdoors!BI18=TRUE),VLOOKUP(Calculator!E23,tbSkills!DH3:DJ6,3,FALSE),0),0))&gt;=100,100,(Backdoors!AI12+IF(DC48&gt;=0.45,VLOOKUP(Calculator!E23,tbSkills!DH3:DI6,2,FALSE)+IF(AND(Calculator!B8=TRUE,Backdoors!BI18=TRUE),VLOOKUP(Calculator!E23,tbSkills!DH3:DJ6,3,FALSE),0),0)))/100)),(1-(0.25*((-Backdoors!AI12-IF(DC48&gt;=0.45,VLOOKUP(Calculator!E23,tbSkills!DH3:DI6,2,FALSE)+IF(AND(Calculator!B8=TRUE,Backdoors!BI18=TRUE),VLOOKUP(Calculator!E23,tbSkills!DH3:DJ6,3,FALSE),0),0))/100)))),1),"")</f>
        <v>1</v>
      </c>
      <c r="DF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C48)*DE48)*(VLOOKUP(A48,tbMoveset!A2:C112,3,FALSE)/100)*IF(VLOOKUP(A48,tbMoveset!A2:B112,2,FALSE)="Projectile",Backdoors!N10,Backdoors!N9),0),"")</f>
        <v/>
      </c>
      <c r="DG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C48&gt;=0.45,VLOOKUP(Calculator!E23,tbSkills!DH3:DI6,2,FALSE)+IF(AND(Calculator!B8=TRUE,Backdoors!BI18=TRUE),VLOOKUP(Calculator!E23,tbSkills!DH3:DJ6,3,FALSE),0),0))&gt;=100,100,(Backdoors!AI12+IF(DC48&gt;=0.45,VLOOKUP(Calculator!E23,tbSkills!DH3:DI6,2,FALSE)+IF(AND(Calculator!B8=TRUE,Backdoors!BI18=TRUE),VLOOKUP(Calculator!E23,tbSkills!DH3:DJ6,3,FALSE),0),0)))/100)),1))*IF(VLOOKUP(A48,tbMoveset!A2:K112,11,FALSE)=TRUE,Backdoors!AC5,1))*DD48,0),"")</f>
        <v>0</v>
      </c>
      <c r="DH48" s="49">
        <f>VLOOKUP(A48,tbMoveset!A2:G112,7,FALSE)*IFERROR(IF(Backdoors!AI12&gt;=0,1+(IF(Calculator!E40&gt;0,VLOOKUP(Calculator!E40,tbSkills!AI3:AJ5,2,FALSE),Backdoors!AL4)*(IF((Backdoors!AI12+IF(DC48&gt;=0.45,VLOOKUP(Calculator!E23,tbSkills!DH3:DI6,2,FALSE)+IF(AND(Calculator!B8=TRUE,Backdoors!BI18=TRUE),VLOOKUP(Calculator!E23,tbSkills!DH3:DJ6,3,FALSE),0),0))&gt;=100,100,(Backdoors!AI12+IF(DC48&gt;=0.45,VLOOKUP(Calculator!E23,tbSkills!DH3:DI6,2,FALSE)+IF(AND(Calculator!B8=TRUE,Backdoors!BI18=TRUE),VLOOKUP(Calculator!E23,tbSkills!DH3:DJ6,3,FALSE),0),0)))/100)),1),1)</f>
        <v>0.5</v>
      </c>
      <c r="DI48" s="87">
        <f t="shared" si="9"/>
        <v>0</v>
      </c>
      <c r="DJ48" s="86" t="str">
        <f>IFERROR(IF(VLOOKUP(A48,tbMoveset!A2:B112,2,FALSE)="Sever",Backdoors!AY19/100,IF(VLOOKUP(A48,tbMoveset!A2:B112,2,FALSE)="Blunt",Backdoors!AZ19/100,Backdoors!BA19/100)),"")</f>
        <v/>
      </c>
      <c r="DK48" s="49">
        <f>IFERROR(IF(VLOOKUP(tbMoveset!A48,tbMoveset!A2:H112,8,FALSE)="Other",IF(VLOOKUP(tbMoveset!A48,tbMoveset!A2:I112,9,FALSE)="Fire",Backdoors!BB19,IF(VLOOKUP(tbMoveset!A48,tbMoveset!A2:I112,9,FALSE)="Water",Backdoors!BC19,IF(VLOOKUP(tbMoveset!A48,tbMoveset!A2:I112,9,FALSE)="Thunder",Backdoors!BD19,IF(VLOOKUP(tbMoveset!A48,tbMoveset!A2:I112,9,FALSE)="Ice",Backdoors!BE19,IF(VLOOKUP(tbMoveset!A48,tbMoveset!A2:I112,9,FALSE)="Dragon",Backdoors!BF19,Backdoors!BG19)))))/100,Backdoors!BG19/100),"")</f>
        <v>0</v>
      </c>
      <c r="DL48" s="49">
        <f>IFERROR(IF(VLOOKUP(A48,tbMoveset!A2:J112,10,FALSE)=TRUE,IF((Backdoors!AI12+IF(DJ48&gt;=0.45,VLOOKUP(Calculator!E23,tbSkills!DH3:DI6,2,FALSE)+IF(AND(Calculator!B8=TRUE,Backdoors!BI19=TRUE),VLOOKUP(Calculator!E23,tbSkills!DH3:DJ6,3,FALSE),0),0))&gt;=0,1+(Backdoors!AL2*(IF((Backdoors!AI12+IF(DJ48&gt;=0.45,VLOOKUP(Calculator!E23,tbSkills!DH3:DI6,2,FALSE)+IF(AND(Calculator!B8=TRUE,Backdoors!BI19=TRUE),VLOOKUP(Calculator!E23,tbSkills!DH3:DJ6,3,FALSE),0),0))&gt;=100,100,(Backdoors!AI12+IF(DJ48&gt;=0.45,VLOOKUP(Calculator!E23,tbSkills!DH3:DI6,2,FALSE)+IF(AND(Calculator!B8=TRUE,Backdoors!BI19=TRUE),VLOOKUP(Calculator!E23,tbSkills!DH3:DJ6,3,FALSE),0),0)))/100)),(1-(0.25*((-Backdoors!AI12-IF(DJ48&gt;=0.45,VLOOKUP(Calculator!E23,tbSkills!DH3:DI6,2,FALSE)+IF(AND(Calculator!B8=TRUE,Backdoors!BI19=TRUE),VLOOKUP(Calculator!E23,tbSkills!DH3:DJ6,3,FALSE),0),0))/100)))),1),"")</f>
        <v>1</v>
      </c>
      <c r="DM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J48)*DL48)*(VLOOKUP(A48,tbMoveset!A2:C112,3,FALSE)/100)*IF(VLOOKUP(A48,tbMoveset!A2:B112,2,FALSE)="Projectile",Backdoors!N10,Backdoors!N9),0),"")</f>
        <v/>
      </c>
      <c r="DN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J48&gt;=0.45,VLOOKUP(Calculator!E23,tbSkills!DH3:DI6,2,FALSE)+IF(AND(Calculator!B8=TRUE,Backdoors!BI19=TRUE),VLOOKUP(Calculator!E23,tbSkills!DH3:DJ6,3,FALSE),0),0))&gt;=100,100,(Backdoors!AI12+IF(DJ48&gt;=0.45,VLOOKUP(Calculator!E23,tbSkills!DH3:DI6,2,FALSE)+IF(AND(Calculator!B8=TRUE,Backdoors!BI19=TRUE),VLOOKUP(Calculator!E23,tbSkills!DH3:DJ6,3,FALSE),0),0)))/100)),1))*IF(VLOOKUP(A48,tbMoveset!A2:K112,11,FALSE)=TRUE,Backdoors!AC5,1))*DK48,0),"")</f>
        <v>0</v>
      </c>
      <c r="DO48" s="49">
        <f>VLOOKUP(A48,tbMoveset!A2:G112,7,FALSE)*IFERROR(IF(Backdoors!AI12&gt;=0,1+(IF(Calculator!E40&gt;0,VLOOKUP(Calculator!E40,tbSkills!AI3:AJ5,2,FALSE),Backdoors!AL4)*(IF((Backdoors!AI12+IF(DJ48&gt;=0.45,VLOOKUP(Calculator!E23,tbSkills!DH3:DI6,2,FALSE)+IF(AND(Calculator!B8=TRUE,Backdoors!BI19=TRUE),VLOOKUP(Calculator!E23,tbSkills!DH3:DJ6,3,FALSE),0),0))&gt;=100,100,(Backdoors!AI12+IF(DJ48&gt;=0.45,VLOOKUP(Calculator!E23,tbSkills!DH3:DI6,2,FALSE)+IF(AND(Calculator!B8=TRUE,Backdoors!BI19=TRUE),VLOOKUP(Calculator!E23,tbSkills!DH3:DJ6,3,FALSE),0),0)))/100)),1),1)</f>
        <v>0.5</v>
      </c>
      <c r="DP48" s="87">
        <f t="shared" si="41"/>
        <v>0</v>
      </c>
      <c r="DQ48" s="86" t="str">
        <f>IFERROR(IF(VLOOKUP(A48,tbMoveset!A2:B112,2,FALSE)="Sever",Backdoors!AY20/100,IF(VLOOKUP(A48,tbMoveset!A2:B112,2,FALSE)="Blunt",Backdoors!AZ20/100,Backdoors!BA20/100)),"")</f>
        <v/>
      </c>
      <c r="DR48" s="49">
        <f>IFERROR(IF(VLOOKUP(tbMoveset!A48,tbMoveset!A2:H112,8,FALSE)="Other",IF(VLOOKUP(tbMoveset!A48,tbMoveset!A2:I112,9,FALSE)="Fire",Backdoors!BB20,IF(VLOOKUP(tbMoveset!A48,tbMoveset!A2:I112,9,FALSE)="Water",Backdoors!BC20,IF(VLOOKUP(tbMoveset!A48,tbMoveset!A2:I112,9,FALSE)="Thunder",Backdoors!BD20,IF(VLOOKUP(tbMoveset!A48,tbMoveset!A2:I112,9,FALSE)="Ice",Backdoors!BE20,IF(VLOOKUP(tbMoveset!A48,tbMoveset!A2:I112,9,FALSE)="Dragon",Backdoors!BF20,Backdoors!BG20)))))/100,Backdoors!BG20/100),"")</f>
        <v>0</v>
      </c>
      <c r="DS48" s="49">
        <f>IFERROR(IF(VLOOKUP(A48,tbMoveset!A2:J112,10,FALSE)=TRUE,IF((Backdoors!AI12+IF(DQ48&gt;=0.45,VLOOKUP(Calculator!E23,tbSkills!DH3:DI6,2,FALSE)+IF(AND(Calculator!B8=TRUE,Backdoors!BI20=TRUE),VLOOKUP(Calculator!E23,tbSkills!DH3:DJ6,3,FALSE),0),0))&gt;=0,1+(Backdoors!AL2*(IF((Backdoors!AI12+IF(DQ48&gt;=0.45,VLOOKUP(Calculator!E23,tbSkills!DH3:DI6,2,FALSE)+IF(AND(Calculator!B8=TRUE,Backdoors!BI20=TRUE),VLOOKUP(Calculator!E23,tbSkills!DH3:DJ6,3,FALSE),0),0))&gt;=100,100,(Backdoors!AI12+IF(DQ48&gt;=0.45,VLOOKUP(Calculator!E23,tbSkills!DH3:DI6,2,FALSE)+IF(AND(Calculator!B8=TRUE,Backdoors!BI20=TRUE),VLOOKUP(Calculator!E23,tbSkills!DH3:DJ6,3,FALSE),0),0)))/100)),(1-(0.25*((-Backdoors!AI12-IF(DQ48&gt;=0.45,VLOOKUP(Calculator!E23,tbSkills!DH3:DI6,2,FALSE)+IF(AND(Calculator!B8=TRUE,Backdoors!BI20=TRUE),VLOOKUP(Calculator!E23,tbSkills!DH3:DJ6,3,FALSE),0),0))/100)))),1),"")</f>
        <v>1</v>
      </c>
      <c r="DT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Q48)*DS48)*(VLOOKUP(A48,tbMoveset!A2:C112,3,FALSE)/100)*IF(VLOOKUP(A48,tbMoveset!A2:B112,2,FALSE)="Projectile",Backdoors!N10,Backdoors!N9),0),"")</f>
        <v/>
      </c>
      <c r="DU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Q48&gt;=0.45,VLOOKUP(Calculator!E23,tbSkills!DH3:DI6,2,FALSE)+IF(AND(Calculator!B8=TRUE,Backdoors!BI20=TRUE),VLOOKUP(Calculator!E23,tbSkills!DH3:DJ6,3,FALSE),0),0))&gt;=100,100,(Backdoors!AI12+IF(DQ48&gt;=0.45,VLOOKUP(Calculator!E23,tbSkills!DH3:DI6,2,FALSE)+IF(AND(Calculator!B8=TRUE,Backdoors!BI20=TRUE),VLOOKUP(Calculator!E23,tbSkills!DH3:DJ6,3,FALSE),0),0)))/100)),1))*IF(VLOOKUP(A48,tbMoveset!A2:K112,11,FALSE)=TRUE,Backdoors!AC5,1))*DR48,0),"")</f>
        <v>0</v>
      </c>
      <c r="DV48" s="49">
        <f>VLOOKUP(A48,tbMoveset!A2:G112,7,FALSE)*IFERROR(IF(Backdoors!AI12&gt;=0,1+(IF(Calculator!E40&gt;0,VLOOKUP(Calculator!E40,tbSkills!AI3:AJ5,2,FALSE),Backdoors!AL4)*(IF((Backdoors!AI12+IF(DQ48&gt;=0.45,VLOOKUP(Calculator!E23,tbSkills!DH3:DI6,2,FALSE)+IF(AND(Calculator!B8=TRUE,Backdoors!BI20=TRUE),VLOOKUP(Calculator!E23,tbSkills!DH3:DJ6,3,FALSE),0),0))&gt;=100,100,(Backdoors!AI12+IF(DQ48&gt;=0.45,VLOOKUP(Calculator!E23,tbSkills!DH3:DI6,2,FALSE)+IF(AND(Calculator!B8=TRUE,Backdoors!BI20=TRUE),VLOOKUP(Calculator!E23,tbSkills!DH3:DJ6,3,FALSE),0),0)))/100)),1),1)</f>
        <v>0.5</v>
      </c>
      <c r="DW48" s="87">
        <f t="shared" si="10"/>
        <v>0</v>
      </c>
      <c r="DX48" s="86" t="str">
        <f>IFERROR(IF(VLOOKUP(A48,tbMoveset!A2:B112,2,FALSE)="Sever",Backdoors!AY21/100,IF(VLOOKUP(A48,tbMoveset!A2:B112,2,FALSE)="Blunt",Backdoors!AZ21/100,Backdoors!BA21/100)),"")</f>
        <v/>
      </c>
      <c r="DY48" s="49">
        <f>IFERROR(IF(VLOOKUP(tbMoveset!A48,tbMoveset!A2:H112,8,FALSE)="Other",IF(VLOOKUP(tbMoveset!A48,tbMoveset!A2:I112,9,FALSE)="Fire",Backdoors!BB21,IF(VLOOKUP(tbMoveset!A48,tbMoveset!A2:I112,9,FALSE)="Water",Backdoors!BC21,IF(VLOOKUP(tbMoveset!A48,tbMoveset!A2:I112,9,FALSE)="Thunder",Backdoors!BD21,IF(VLOOKUP(tbMoveset!A48,tbMoveset!A2:I112,9,FALSE)="Ice",Backdoors!BE21,IF(VLOOKUP(tbMoveset!A48,tbMoveset!A2:I112,9,FALSE)="Dragon",Backdoors!BF21,Backdoors!BG21)))))/100,Backdoors!BG21/100),"")</f>
        <v>0</v>
      </c>
      <c r="DZ48" s="49">
        <f>IFERROR(IF(VLOOKUP(A48,tbMoveset!A2:J112,10,FALSE)=TRUE,IF((Backdoors!AI12+IF(DX48&gt;=0.45,VLOOKUP(Calculator!E23,tbSkills!DH3:DI6,2,FALSE)+IF(AND(Calculator!B8=TRUE,Backdoors!BI21=TRUE),VLOOKUP(Calculator!E23,tbSkills!DH3:DJ6,3,FALSE),0),0))&gt;=0,1+(Backdoors!AL2*(IF((Backdoors!AI12+IF(DX48&gt;=0.45,VLOOKUP(Calculator!E23,tbSkills!DH3:DI6,2,FALSE)+IF(AND(Calculator!B8=TRUE,Backdoors!BI21=TRUE),VLOOKUP(Calculator!E23,tbSkills!DH3:DJ6,3,FALSE),0),0))&gt;=100,100,(Backdoors!AI12+IF(DX48&gt;=0.45,VLOOKUP(Calculator!E23,tbSkills!DH3:DI6,2,FALSE)+IF(AND(Calculator!B8=TRUE,Backdoors!BI21=TRUE),VLOOKUP(Calculator!E23,tbSkills!DH3:DJ6,3,FALSE),0),0)))/100)),(1-(0.25*((-Backdoors!AI12-IF(DX48&gt;=0.45,VLOOKUP(Calculator!E23,tbSkills!DH3:DI6,2,FALSE)+IF(AND(Calculator!B8=TRUE,Backdoors!BI21=TRUE),VLOOKUP(Calculator!E23,tbSkills!DH3:DJ6,3,FALSE),0),0))/100)))),1),"")</f>
        <v>1</v>
      </c>
      <c r="EA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X48)*DZ48)*(VLOOKUP(A48,tbMoveset!A2:C112,3,FALSE)/100)*IF(VLOOKUP(A48,tbMoveset!A2:B112,2,FALSE)="Projectile",Backdoors!N10,Backdoors!N9),0),"")</f>
        <v/>
      </c>
      <c r="EB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X48&gt;=0.45,VLOOKUP(Calculator!E23,tbSkills!DH3:DI6,2,FALSE)+IF(AND(Calculator!B8=TRUE,Backdoors!BI21=TRUE),VLOOKUP(Calculator!E23,tbSkills!DH3:DJ6,3,FALSE),0),0))&gt;=100,100,(Backdoors!AI12+IF(DX48&gt;=0.45,VLOOKUP(Calculator!E23,tbSkills!DH3:DI6,2,FALSE)+IF(AND(Calculator!B8=TRUE,Backdoors!BI21=TRUE),VLOOKUP(Calculator!E23,tbSkills!DH3:DJ6,3,FALSE),0),0)))/100)),1))*IF(VLOOKUP(A48,tbMoveset!A2:K112,11,FALSE)=TRUE,Backdoors!AC5,1))*DY48,0),"")</f>
        <v>0</v>
      </c>
      <c r="EC48" s="49">
        <f>VLOOKUP(A48,tbMoveset!A2:G112,7,FALSE)*IFERROR(IF(Backdoors!AI12&gt;=0,1+(IF(Calculator!E40&gt;0,VLOOKUP(Calculator!E40,tbSkills!AI3:AJ5,2,FALSE),Backdoors!AL4)*(IF((Backdoors!AI12+IF(DX48&gt;=0.45,VLOOKUP(Calculator!E23,tbSkills!DH3:DI6,2,FALSE)+IF(AND(Calculator!B8=TRUE,Backdoors!BI21=TRUE),VLOOKUP(Calculator!E23,tbSkills!DH3:DJ6,3,FALSE),0),0))&gt;=100,100,(Backdoors!AI12+IF(DX48&gt;=0.45,VLOOKUP(Calculator!E23,tbSkills!DH3:DI6,2,FALSE)+IF(AND(Calculator!B8=TRUE,Backdoors!BI21=TRUE),VLOOKUP(Calculator!E23,tbSkills!DH3:DJ6,3,FALSE),0),0)))/100)),1),1)</f>
        <v>0.5</v>
      </c>
      <c r="ED48" s="87">
        <f t="shared" si="11"/>
        <v>0</v>
      </c>
      <c r="EE48" s="86" t="str">
        <f>IFERROR(IF(VLOOKUP(A48,tbMoveset!A2:B112,2,FALSE)="Sever",Backdoors!AY22/100,IF(VLOOKUP(A48,tbMoveset!A2:B112,2,FALSE)="Blunt",Backdoors!AZ22/100,Backdoors!BA22/100)),"")</f>
        <v/>
      </c>
      <c r="EF48" s="49">
        <f>IFERROR(IF(VLOOKUP(tbMoveset!A48,tbMoveset!A2:H112,8,FALSE)="Other",IF(VLOOKUP(tbMoveset!A48,tbMoveset!A2:I112,9,FALSE)="Fire",Backdoors!BB22,IF(VLOOKUP(tbMoveset!A48,tbMoveset!A2:I112,9,FALSE)="Water",Backdoors!BC22,IF(VLOOKUP(tbMoveset!A48,tbMoveset!A2:I112,9,FALSE)="Thunder",Backdoors!BD22,IF(VLOOKUP(tbMoveset!A48,tbMoveset!A2:I112,9,FALSE)="Ice",Backdoors!BE22,IF(VLOOKUP(tbMoveset!A48,tbMoveset!A2:I112,9,FALSE)="Dragon",Backdoors!BF22,Backdoors!BG22)))))/100,Backdoors!BG22/100),"")</f>
        <v>0</v>
      </c>
      <c r="EG48" s="49">
        <f>IFERROR(IF(VLOOKUP(A48,tbMoveset!A2:J112,10,FALSE)=TRUE,IF((Backdoors!AI12+IF(EE48&gt;=0.45,VLOOKUP(Calculator!E23,tbSkills!DH3:DI6,2,FALSE)+IF(AND(Calculator!B8=TRUE,Backdoors!BI22=TRUE),VLOOKUP(Calculator!E23,tbSkills!DH3:DJ6,3,FALSE),0),0))&gt;=0,1+(Backdoors!AL2*(IF((Backdoors!AI12+IF(EE48&gt;=0.45,VLOOKUP(Calculator!E23,tbSkills!DH3:DI6,2,FALSE)+IF(AND(Calculator!B8=TRUE,Backdoors!BI22=TRUE),VLOOKUP(Calculator!E23,tbSkills!DH3:DJ6,3,FALSE),0),0))&gt;=100,100,(Backdoors!AI12+IF(EE48&gt;=0.45,VLOOKUP(Calculator!E23,tbSkills!DH3:DI6,2,FALSE)+IF(AND(Calculator!B8=TRUE,Backdoors!BI22=TRUE),VLOOKUP(Calculator!E23,tbSkills!DH3:DJ6,3,FALSE),0),0)))/100)),(1-(0.25*((-Backdoors!AI12-IF(EE48&gt;=0.45,VLOOKUP(Calculator!E23,tbSkills!DH3:DI6,2,FALSE)+IF(AND(Calculator!B8=TRUE,Backdoors!BI22=TRUE),VLOOKUP(Calculator!E23,tbSkills!DH3:DJ6,3,FALSE),0),0))/100)))),1),"")</f>
        <v>1</v>
      </c>
      <c r="EH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E48)*EG48)*(VLOOKUP(A48,tbMoveset!A2:C112,3,FALSE)/100)*IF(VLOOKUP(A48,tbMoveset!A2:B112,2,FALSE)="Projectile",Backdoors!N10,Backdoors!N9),0),"")</f>
        <v/>
      </c>
      <c r="EI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E48&gt;=0.45,VLOOKUP(Calculator!E23,tbSkills!DH3:DI6,2,FALSE)+IF(AND(Calculator!B8=TRUE,Backdoors!BI22=TRUE),VLOOKUP(Calculator!E23,tbSkills!DH3:DJ6,3,FALSE),0),0))&gt;=100,100,(Backdoors!AI12+IF(EE48&gt;=0.45,VLOOKUP(Calculator!E23,tbSkills!DH3:DI6,2,FALSE)+IF(AND(Calculator!B8=TRUE,Backdoors!BI22=TRUE),VLOOKUP(Calculator!E23,tbSkills!DH3:DJ6,3,FALSE),0),0)))/100)),1))*IF(VLOOKUP(A48,tbMoveset!A2:K112,11,FALSE)=TRUE,Backdoors!AC5,1))*EF48,0),"")</f>
        <v>0</v>
      </c>
      <c r="EJ48" s="49">
        <f>VLOOKUP(A48,tbMoveset!A2:G112,7,FALSE)*IFERROR(IF(Backdoors!AI12&gt;=0,1+(IF(Calculator!E40&gt;0,VLOOKUP(Calculator!E40,tbSkills!AI3:AJ5,2,FALSE),Backdoors!AL4)*(IF((Backdoors!AI12+IF(EE48&gt;=0.45,VLOOKUP(Calculator!E23,tbSkills!DH3:DI6,2,FALSE)+IF(AND(Calculator!B8=TRUE,Backdoors!BI22=TRUE),VLOOKUP(Calculator!E23,tbSkills!DH3:DJ6,3,FALSE),0),0))&gt;=100,100,(Backdoors!AI12+IF(EE48&gt;=0.45,VLOOKUP(Calculator!E23,tbSkills!DH3:DI6,2,FALSE)+IF(AND(Calculator!B8=TRUE,Backdoors!BI22=TRUE),VLOOKUP(Calculator!E23,tbSkills!DH3:DJ6,3,FALSE),0),0)))/100)),1),1)</f>
        <v>0.5</v>
      </c>
      <c r="EK48" s="87">
        <f t="shared" si="12"/>
        <v>0</v>
      </c>
      <c r="EL48" s="86" t="str">
        <f>IFERROR(IF(VLOOKUP(A48,tbMoveset!A2:B112,2,FALSE)="Sever",Backdoors!AY23/100,IF(VLOOKUP(A48,tbMoveset!A2:B112,2,FALSE)="Blunt",Backdoors!AZ23/100,Backdoors!BA23/100)),"")</f>
        <v/>
      </c>
      <c r="EM48" s="49">
        <f>IFERROR(IF(VLOOKUP(tbMoveset!A48,tbMoveset!A2:H112,8,FALSE)="Other",IF(VLOOKUP(tbMoveset!A48,tbMoveset!A2:I112,9,FALSE)="Fire",Backdoors!BB23,IF(VLOOKUP(tbMoveset!A48,tbMoveset!A2:I112,9,FALSE)="Water",Backdoors!BC23,IF(VLOOKUP(tbMoveset!A48,tbMoveset!A2:I112,9,FALSE)="Thunder",Backdoors!BD23,IF(VLOOKUP(tbMoveset!A48,tbMoveset!A2:I112,9,FALSE)="Ice",Backdoors!BE23,IF(VLOOKUP(tbMoveset!A48,tbMoveset!A2:I112,9,FALSE)="Dragon",Backdoors!BF23,Backdoors!BG23)))))/100,Backdoors!BG23/100),"")</f>
        <v>0</v>
      </c>
      <c r="EN48" s="49">
        <f>IFERROR(IF(VLOOKUP(A48,tbMoveset!A2:J112,10,FALSE)=TRUE,IF((Backdoors!AI12+IF(EL48&gt;=0.45,VLOOKUP(Calculator!E23,tbSkills!DH3:DI6,2,FALSE)+IF(AND(Calculator!B8=TRUE,Backdoors!BI23=TRUE),VLOOKUP(Calculator!E23,tbSkills!DH3:DJ6,3,FALSE),0),0))&gt;=0,1+(Backdoors!AL2*(IF((Backdoors!AI12+IF(EL48&gt;=0.45,VLOOKUP(Calculator!E23,tbSkills!DH3:DI6,2,FALSE)+IF(AND(Calculator!B8=TRUE,Backdoors!BI23=TRUE),VLOOKUP(Calculator!E23,tbSkills!DH3:DJ6,3,FALSE),0),0))&gt;=100,100,(Backdoors!AI12+IF(EL48&gt;=0.45,VLOOKUP(Calculator!E23,tbSkills!DH3:DI6,2,FALSE)+IF(AND(Calculator!B8=TRUE,Backdoors!BI23=TRUE),VLOOKUP(Calculator!E23,tbSkills!DH3:DJ6,3,FALSE),0),0)))/100)),(1-(0.25*((-Backdoors!AI12-IF(EL48&gt;=0.45,VLOOKUP(Calculator!E23,tbSkills!DH3:DI6,2,FALSE)+IF(AND(Calculator!B8=TRUE,Backdoors!BI23=TRUE),VLOOKUP(Calculator!E23,tbSkills!DH3:DJ6,3,FALSE),0),0))/100)))),1),"")</f>
        <v>1</v>
      </c>
      <c r="EO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L48)*EN48)*(VLOOKUP(A48,tbMoveset!A2:C112,3,FALSE)/100)*IF(VLOOKUP(A48,tbMoveset!A2:B112,2,FALSE)="Projectile",Backdoors!N10,Backdoors!N9),0),"")</f>
        <v/>
      </c>
      <c r="EP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L48&gt;=0.45,VLOOKUP(Calculator!E23,tbSkills!DH3:DI6,2,FALSE)+IF(AND(Calculator!B8=TRUE,Backdoors!BI23=TRUE),VLOOKUP(Calculator!E23,tbSkills!DH3:DJ6,3,FALSE),0),0))&gt;=100,100,(Backdoors!AI12+IF(EL48&gt;=0.45,VLOOKUP(Calculator!E23,tbSkills!DH3:DI6,2,FALSE)+IF(AND(Calculator!B8=TRUE,Backdoors!BI23=TRUE),VLOOKUP(Calculator!E23,tbSkills!DH3:DJ6,3,FALSE),0),0)))/100)),1))*IF(VLOOKUP(A48,tbMoveset!A2:K112,11,FALSE)=TRUE,Backdoors!AC5,1))*EM48,0),"")</f>
        <v>0</v>
      </c>
      <c r="EQ48" s="49">
        <f>VLOOKUP(A48,tbMoveset!A2:G112,7,FALSE)*IFERROR(IF(Backdoors!AI12&gt;=0,1+(IF(Calculator!E40&gt;0,VLOOKUP(Calculator!E40,tbSkills!AI3:AJ5,2,FALSE),Backdoors!AL4)*(IF((Backdoors!AI12+IF(EL48&gt;=0.45,VLOOKUP(Calculator!E23,tbSkills!DH3:DI6,2,FALSE)+IF(AND(Calculator!B8=TRUE,Backdoors!BI23=TRUE),VLOOKUP(Calculator!E23,tbSkills!DH3:DJ6,3,FALSE),0),0))&gt;=100,100,(Backdoors!AI12+IF(EL48&gt;=0.45,VLOOKUP(Calculator!E23,tbSkills!DH3:DI6,2,FALSE)+IF(AND(Calculator!B8=TRUE,Backdoors!BI23=TRUE),VLOOKUP(Calculator!E23,tbSkills!DH3:DJ6,3,FALSE),0),0)))/100)),1),1)</f>
        <v>0.5</v>
      </c>
      <c r="ER48" s="87">
        <f t="shared" si="13"/>
        <v>0</v>
      </c>
      <c r="ES48" s="86" t="str">
        <f>IFERROR(IF(VLOOKUP(A48,tbMoveset!A2:B112,2,FALSE)="Sever",Backdoors!AY24/100,IF(VLOOKUP(A48,tbMoveset!A2:B112,2,FALSE)="Blunt",Backdoors!AZ24/100,Backdoors!BA24/100)),"")</f>
        <v/>
      </c>
      <c r="ET48" s="49">
        <f>IFERROR(IF(VLOOKUP(tbMoveset!A48,tbMoveset!A2:H112,8,FALSE)="Other",IF(VLOOKUP(tbMoveset!A48,tbMoveset!A2:I112,9,FALSE)="Fire",Backdoors!BB24,IF(VLOOKUP(tbMoveset!A48,tbMoveset!A2:I112,9,FALSE)="Water",Backdoors!BC24,IF(VLOOKUP(tbMoveset!A48,tbMoveset!A2:I112,9,FALSE)="Thunder",Backdoors!BD24,IF(VLOOKUP(tbMoveset!A48,tbMoveset!A2:I112,9,FALSE)="Ice",Backdoors!BE24,IF(VLOOKUP(tbMoveset!A48,tbMoveset!A2:I112,9,FALSE)="Dragon",Backdoors!BF24,Backdoors!BG24)))))/100,Backdoors!BG24/100),"")</f>
        <v>0</v>
      </c>
      <c r="EU48" s="49">
        <f>IFERROR(IF(VLOOKUP(A48,tbMoveset!A2:J112,10,FALSE)=TRUE,IF((Backdoors!AI12+IF(ES48&gt;=0.45,VLOOKUP(Calculator!E23,tbSkills!DH3:DI6,2,FALSE)+IF(AND(Calculator!B8=TRUE,Backdoors!BI24=TRUE),VLOOKUP(Calculator!E23,tbSkills!DH3:DJ6,3,FALSE),0),0))&gt;=0,1+(Backdoors!AL2*(IF((Backdoors!AI12+IF(ES48&gt;=0.45,VLOOKUP(Calculator!E23,tbSkills!DH3:DI6,2,FALSE)+IF(AND(Calculator!B8=TRUE,Backdoors!BI24=TRUE),VLOOKUP(Calculator!E23,tbSkills!DH3:DJ6,3,FALSE),0),0))&gt;=100,100,(Backdoors!AI12+IF(ES48&gt;=0.45,VLOOKUP(Calculator!E23,tbSkills!DH3:DI6,2,FALSE)+IF(AND(Calculator!B8=TRUE,Backdoors!BI24=TRUE),VLOOKUP(Calculator!E23,tbSkills!DH3:DJ6,3,FALSE),0),0)))/100)),(1-(0.25*((-Backdoors!AI12-IF(ES48&gt;=0.45,VLOOKUP(Calculator!E23,tbSkills!DH3:DI6,2,FALSE)+IF(AND(Calculator!B8=TRUE,Backdoors!BI24=TRUE),VLOOKUP(Calculator!E23,tbSkills!DH3:DJ6,3,FALSE),0),0))/100)))),1),"")</f>
        <v>1</v>
      </c>
      <c r="EV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S48)*EU48)*(VLOOKUP(A48,tbMoveset!A2:C112,3,FALSE)/100)*IF(VLOOKUP(A48,tbMoveset!A2:B112,2,FALSE)="Projectile",Backdoors!N10,Backdoors!N9),0),"")</f>
        <v/>
      </c>
      <c r="EW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S48&gt;=0.45,VLOOKUP(Calculator!E23,tbSkills!DH3:DI6,2,FALSE)+IF(AND(Calculator!B8=TRUE,Backdoors!BI24=TRUE),VLOOKUP(Calculator!E23,tbSkills!DH3:DJ6,3,FALSE),0),0))&gt;=100,100,(Backdoors!AI12+IF(ES48&gt;=0.45,VLOOKUP(Calculator!E23,tbSkills!DH3:DI6,2,FALSE)+IF(AND(Calculator!B8=TRUE,Backdoors!BI24=TRUE),VLOOKUP(Calculator!E23,tbSkills!DH3:DJ6,3,FALSE),0),0)))/100)),1))*IF(VLOOKUP(A48,tbMoveset!A2:K112,11,FALSE)=TRUE,Backdoors!AC5,1))*ET48,0),"")</f>
        <v>0</v>
      </c>
      <c r="EX48" s="49">
        <f>VLOOKUP(A48,tbMoveset!A2:G112,7,FALSE)*IFERROR(IF(Backdoors!AI12&gt;=0,1+(IF(Calculator!E40&gt;0,VLOOKUP(Calculator!E40,tbSkills!AI3:AJ5,2,FALSE),Backdoors!AL4)*(IF((Backdoors!AI12+IF(ES48&gt;=0.45,VLOOKUP(Calculator!E23,tbSkills!DH3:DI6,2,FALSE)+IF(AND(Calculator!B8=TRUE,Backdoors!BI24=TRUE),VLOOKUP(Calculator!E23,tbSkills!DH3:DJ6,3,FALSE),0),0))&gt;=100,100,(Backdoors!AI12+IF(ES48&gt;=0.45,VLOOKUP(Calculator!E23,tbSkills!DH3:DI6,2,FALSE)+IF(AND(Calculator!B8=TRUE,Backdoors!BI24=TRUE),VLOOKUP(Calculator!E23,tbSkills!DH3:DJ6,3,FALSE),0),0)))/100)),1),1)</f>
        <v>0.5</v>
      </c>
      <c r="EY48" s="87">
        <f t="shared" si="14"/>
        <v>0</v>
      </c>
      <c r="EZ48" s="86" t="str">
        <f>IFERROR(IF(VLOOKUP(A48,tbMoveset!A2:B112,2,FALSE)="Sever",Backdoors!AY25/100,IF(VLOOKUP(A48,tbMoveset!A2:B112,2,FALSE)="Blunt",Backdoors!AZ25/100,Backdoors!BA25/100)),"")</f>
        <v/>
      </c>
      <c r="FA48" s="49">
        <f>IFERROR(IF(VLOOKUP(tbMoveset!A48,tbMoveset!A2:H112,8,FALSE)="Other",IF(VLOOKUP(tbMoveset!A48,tbMoveset!A2:I112,9,FALSE)="Fire",Backdoors!BB25,IF(VLOOKUP(tbMoveset!A48,tbMoveset!A2:I112,9,FALSE)="Water",Backdoors!BC25,IF(VLOOKUP(tbMoveset!A48,tbMoveset!A2:I112,9,FALSE)="Thunder",Backdoors!BD25,IF(VLOOKUP(tbMoveset!A48,tbMoveset!A2:I112,9,FALSE)="Ice",Backdoors!BE25,IF(VLOOKUP(tbMoveset!A48,tbMoveset!A2:I112,9,FALSE)="Dragon",Backdoors!BF25,Backdoors!BG25)))))/100,Backdoors!BG25/100),"")</f>
        <v>0</v>
      </c>
      <c r="FB48" s="49">
        <f>IFERROR(IF(VLOOKUP(A48,tbMoveset!A2:J112,10,FALSE)=TRUE,IF((Backdoors!AI12+IF(EZ48&gt;=0.45,VLOOKUP(Calculator!E23,tbSkills!DH3:DI6,2,FALSE)+IF(AND(Calculator!B8=TRUE,Backdoors!BI25=TRUE),VLOOKUP(Calculator!E23,tbSkills!DH3:DJ6,3,FALSE),0),0))&gt;=0,1+(Backdoors!AL2*(IF((Backdoors!AI12+IF(EZ48&gt;=0.45,VLOOKUP(Calculator!E23,tbSkills!DH3:DI6,2,FALSE)+IF(AND(Calculator!B8=TRUE,Backdoors!BI25=TRUE),VLOOKUP(Calculator!E23,tbSkills!DH3:DJ6,3,FALSE),0),0))&gt;=100,100,(Backdoors!AI12+IF(EZ48&gt;=0.45,VLOOKUP(Calculator!E23,tbSkills!DH3:DI6,2,FALSE)+IF(AND(Calculator!B8=TRUE,Backdoors!BI25=TRUE),VLOOKUP(Calculator!E23,tbSkills!DH3:DJ6,3,FALSE),0),0)))/100)),(1-(0.25*((-Backdoors!AI12-IF(EZ48&gt;=0.45,VLOOKUP(Calculator!E23,tbSkills!DH3:DI6,2,FALSE)+IF(AND(Calculator!B8=TRUE,Backdoors!BI25=TRUE),VLOOKUP(Calculator!E23,tbSkills!DH3:DJ6,3,FALSE),0),0))/100)))),1),"")</f>
        <v>1</v>
      </c>
      <c r="FC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Z48)*FB48)*(VLOOKUP(A48,tbMoveset!A2:C112,3,FALSE)/100)*IF(VLOOKUP(A48,tbMoveset!A2:B112,2,FALSE)="Projectile",Backdoors!N10,Backdoors!N9),0),"")</f>
        <v/>
      </c>
      <c r="FD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Z48&gt;=0.45,VLOOKUP(Calculator!E23,tbSkills!DH3:DI6,2,FALSE)+IF(AND(Calculator!B8=TRUE,Backdoors!BI25=TRUE),VLOOKUP(Calculator!E23,tbSkills!DH3:DJ6,3,FALSE),0),0))&gt;=100,100,(Backdoors!AI12+IF(EZ48&gt;=0.45,VLOOKUP(Calculator!E23,tbSkills!DH3:DI6,2,FALSE)+IF(AND(Calculator!B8=TRUE,Backdoors!BI25=TRUE),VLOOKUP(Calculator!E23,tbSkills!DH3:DJ6,3,FALSE),0),0)))/100)),1))*IF(VLOOKUP(A48,tbMoveset!A2:K112,11,FALSE)=TRUE,Backdoors!AC5,1))*FA48,0),"")</f>
        <v>0</v>
      </c>
      <c r="FE48" s="49">
        <f>VLOOKUP(A48,tbMoveset!A2:G112,7,FALSE)*IFERROR(IF(Backdoors!AI12&gt;=0,1+(IF(Calculator!E40&gt;0,VLOOKUP(Calculator!E40,tbSkills!AI3:AJ5,2,FALSE),Backdoors!AL4)*(IF((Backdoors!AI12+IF(EZ48&gt;=0.45,VLOOKUP(Calculator!E23,tbSkills!DH3:DI6,2,FALSE)+IF(AND(Calculator!B8=TRUE,Backdoors!BI25=TRUE),VLOOKUP(Calculator!E23,tbSkills!DH3:DJ6,3,FALSE),0),0))&gt;=100,100,(Backdoors!AI12+IF(EZ48&gt;=0.45,VLOOKUP(Calculator!E23,tbSkills!DH3:DI6,2,FALSE)+IF(AND(Calculator!B8=TRUE,Backdoors!BI25=TRUE),VLOOKUP(Calculator!E23,tbSkills!DH3:DJ6,3,FALSE),0),0)))/100)),1),1)</f>
        <v>0.5</v>
      </c>
      <c r="FF48" s="87">
        <f t="shared" si="15"/>
        <v>0</v>
      </c>
      <c r="FG48" s="86" t="str">
        <f>IFERROR(IF(VLOOKUP(A48,tbMoveset!A2:B112,2,FALSE)="Sever",Backdoors!AY26/100,IF(VLOOKUP(A48,tbMoveset!A2:B112,2,FALSE)="Blunt",Backdoors!AZ26/100,Backdoors!BA26/100)),"")</f>
        <v/>
      </c>
      <c r="FH48" s="49">
        <f>IFERROR(IF(VLOOKUP(tbMoveset!A48,tbMoveset!A2:H112,8,FALSE)="Other",IF(VLOOKUP(tbMoveset!A48,tbMoveset!A2:I112,9,FALSE)="Fire",Backdoors!BB26,IF(VLOOKUP(tbMoveset!A48,tbMoveset!A2:I112,9,FALSE)="Water",Backdoors!BC26,IF(VLOOKUP(tbMoveset!A48,tbMoveset!A2:I112,9,FALSE)="Thunder",Backdoors!BD26,IF(VLOOKUP(tbMoveset!A48,tbMoveset!A2:I112,9,FALSE)="Ice",Backdoors!BE26,IF(VLOOKUP(tbMoveset!A48,tbMoveset!A2:I112,9,FALSE)="Dragon",Backdoors!BF26,Backdoors!BG26)))))/100,Backdoors!BG26/100),"")</f>
        <v>0</v>
      </c>
      <c r="FI48" s="49">
        <f>IFERROR(IF(VLOOKUP(A48,tbMoveset!A2:J112,10,FALSE)=TRUE,IF((Backdoors!AI12+IF(FG48&gt;=0.45,VLOOKUP(Calculator!E23,tbSkills!DH3:DI6,2,FALSE)+IF(AND(Calculator!B8=TRUE,Backdoors!BI26=TRUE),VLOOKUP(Calculator!E23,tbSkills!DH3:DJ6,3,FALSE),0),0))&gt;=0,1+(Backdoors!AL2*(IF((Backdoors!AI12+IF(FG48&gt;=0.45,VLOOKUP(Calculator!E23,tbSkills!DH3:DI6,2,FALSE)+IF(AND(Calculator!B8=TRUE,Backdoors!BI26=TRUE),VLOOKUP(Calculator!E23,tbSkills!DH3:DJ6,3,FALSE),0),0))&gt;=100,100,(Backdoors!AI12+IF(FG48&gt;=0.45,VLOOKUP(Calculator!E23,tbSkills!DH3:DI6,2,FALSE)+IF(AND(Calculator!B8=TRUE,Backdoors!BI26=TRUE),VLOOKUP(Calculator!E23,tbSkills!DH3:DJ6,3,FALSE),0),0)))/100)),(1-(0.25*((-Backdoors!AI12-IF(FG48&gt;=0.45,VLOOKUP(Calculator!E23,tbSkills!DH3:DI6,2,FALSE)+IF(AND(Calculator!B8=TRUE,Backdoors!BI26=TRUE),VLOOKUP(Calculator!E23,tbSkills!DH3:DJ6,3,FALSE),0),0))/100)))),1),"")</f>
        <v>1</v>
      </c>
      <c r="FJ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FG48)*FI48)*(VLOOKUP(A48,tbMoveset!A2:C112,3,FALSE)/100)*IF(VLOOKUP(A48,tbMoveset!A2:B112,2,FALSE)="Projectile",Backdoors!N10,Backdoors!N9),0),"")</f>
        <v/>
      </c>
      <c r="FK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FG48&gt;=0.45,VLOOKUP(Calculator!E23,tbSkills!DH3:DI6,2,FALSE)+IF(AND(Calculator!B8=TRUE,Backdoors!BI26=TRUE),VLOOKUP(Calculator!E23,tbSkills!DH3:DJ6,3,FALSE),0),0))&gt;=100,100,(Backdoors!AI12+IF(FG48&gt;=0.45,VLOOKUP(Calculator!E23,tbSkills!DH3:DI6,2,FALSE)+IF(AND(Calculator!B8=TRUE,Backdoors!BI26=TRUE),VLOOKUP(Calculator!E23,tbSkills!DH3:DJ6,3,FALSE),0),0)))/100)),1))*IF(VLOOKUP(A48,tbMoveset!A2:K112,11,FALSE)=TRUE,Backdoors!AC5,1))*FH48,0),"")</f>
        <v>0</v>
      </c>
      <c r="FL48" s="49">
        <f>VLOOKUP(A48,tbMoveset!A2:G112,7,FALSE)*IFERROR(IF(Backdoors!AI12&gt;=0,1+(IF(Calculator!E40&gt;0,VLOOKUP(Calculator!E40,tbSkills!AI3:AJ5,2,FALSE),Backdoors!AL4)*(IF((Backdoors!AI12+IF(FG48&gt;=0.45,VLOOKUP(Calculator!E23,tbSkills!DH3:DI6,2,FALSE)+IF(AND(Calculator!B8=TRUE,Backdoors!BI26=TRUE),VLOOKUP(Calculator!E23,tbSkills!DH3:DJ6,3,FALSE),0),0))&gt;=100,100,(Backdoors!AI12+IF(FG48&gt;=0.45,VLOOKUP(Calculator!E23,tbSkills!DH3:DI6,2,FALSE)+IF(AND(Calculator!B8=TRUE,Backdoors!BI26=TRUE),VLOOKUP(Calculator!E23,tbSkills!DH3:DJ6,3,FALSE),0),0)))/100)),1),1)</f>
        <v>0.5</v>
      </c>
      <c r="FM48" s="87">
        <f t="shared" si="16"/>
        <v>0</v>
      </c>
      <c r="FN48" s="86" t="str">
        <f>IFERROR(IF(VLOOKUP(A48,tbMoveset!A2:B112,2,FALSE)="Sever",Backdoors!AY27/100,IF(VLOOKUP(A48,tbMoveset!A2:B112,2,FALSE)="Blunt",Backdoors!AZ27/100,Backdoors!BA27/100)),"")</f>
        <v/>
      </c>
      <c r="FO48" s="49">
        <f>IFERROR(IF(VLOOKUP(tbMoveset!A48,tbMoveset!A2:H112,8,FALSE)="Other",IF(VLOOKUP(tbMoveset!A48,tbMoveset!A2:I112,9,FALSE)="Fire",Backdoors!BB27,IF(VLOOKUP(tbMoveset!A48,tbMoveset!A2:I112,9,FALSE)="Water",Backdoors!BC27,IF(VLOOKUP(tbMoveset!A48,tbMoveset!A2:I112,9,FALSE)="Thunder",Backdoors!BD27,IF(VLOOKUP(tbMoveset!A48,tbMoveset!A2:I112,9,FALSE)="Ice",Backdoors!BE27,IF(VLOOKUP(tbMoveset!A48,tbMoveset!A2:I112,9,FALSE)="Dragon",Backdoors!BF27,Backdoors!BG27)))))/100,Backdoors!BG27/100),"")</f>
        <v>0</v>
      </c>
      <c r="FP48" s="49">
        <f>IFERROR(IF(VLOOKUP(A48,tbMoveset!A2:J112,10,FALSE)=TRUE,IF((Backdoors!AI12+IF(FN48&gt;=0.45,VLOOKUP(Calculator!E23,tbSkills!DH3:DI6,2,FALSE)+IF(AND(Calculator!B8=TRUE,Backdoors!BI27=TRUE),VLOOKUP(Calculator!E23,tbSkills!DH3:DJ6,3,FALSE),0),0))&gt;=0,1+(Backdoors!AL2*(IF((Backdoors!AI12+IF(FN48&gt;=0.45,VLOOKUP(Calculator!E23,tbSkills!DH3:DI6,2,FALSE)+IF(AND(Calculator!B8=TRUE,Backdoors!BI27=TRUE),VLOOKUP(Calculator!E23,tbSkills!DH3:DJ6,3,FALSE),0),0))&gt;=100,100,(Backdoors!AI12+IF(FN48&gt;=0.45,VLOOKUP(Calculator!E23,tbSkills!DH3:DI6,2,FALSE)+IF(AND(Calculator!B8=TRUE,Backdoors!BI27=TRUE),VLOOKUP(Calculator!E23,tbSkills!DH3:DJ6,3,FALSE),0),0)))/100)),(1-(0.25*((-Backdoors!AI12-IF(FN48&gt;=0.45,VLOOKUP(Calculator!E23,tbSkills!DH3:DI6,2,FALSE)+IF(AND(Calculator!B8=TRUE,Backdoors!BI27=TRUE),VLOOKUP(Calculator!E23,tbSkills!DH3:DJ6,3,FALSE),0),0))/100)))),1),"")</f>
        <v>1</v>
      </c>
      <c r="FQ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FN48)*FP48)*(VLOOKUP(A48,tbMoveset!A2:C112,3,FALSE)/100)*IF(VLOOKUP(A48,tbMoveset!A2:B112,2,FALSE)="Projectile",Backdoors!N10,Backdoors!N9),0),"")</f>
        <v/>
      </c>
      <c r="FR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FN48&gt;=0.45,VLOOKUP(Calculator!E23,tbSkills!DH3:DI6,2,FALSE)+IF(AND(Calculator!B8=TRUE,Backdoors!BI27=TRUE),VLOOKUP(Calculator!E23,tbSkills!DH3:DJ6,3,FALSE),0),0))&gt;=100,100,(Backdoors!AI12+IF(FN48&gt;=0.45,VLOOKUP(Calculator!E23,tbSkills!DH3:DI6,2,FALSE)+IF(AND(Calculator!B8=TRUE,Backdoors!BI27=TRUE),VLOOKUP(Calculator!E23,tbSkills!DH3:DJ6,3,FALSE),0),0)))/100)),1))*IF(VLOOKUP(A48,tbMoveset!A2:K112,11,FALSE)=TRUE,Backdoors!AC5,1))*FO48,0),"")</f>
        <v>0</v>
      </c>
      <c r="FS48" s="49">
        <f>VLOOKUP(A48,tbMoveset!A2:G112,7,FALSE)*IFERROR(IF(Backdoors!AI12&gt;=0,1+(IF(Calculator!E40&gt;0,VLOOKUP(Calculator!E40,tbSkills!AI3:AJ5,2,FALSE),Backdoors!AL4)*(IF((Backdoors!AI12+IF(FN48&gt;=0.45,VLOOKUP(Calculator!E23,tbSkills!DH3:DI6,2,FALSE)+IF(AND(Calculator!B8=TRUE,Backdoors!BI27=TRUE),VLOOKUP(Calculator!E23,tbSkills!DH3:DJ6,3,FALSE),0),0))&gt;=100,100,(Backdoors!AI12+IF(FN48&gt;=0.45,VLOOKUP(Calculator!E23,tbSkills!DH3:DI6,2,FALSE)+IF(AND(Calculator!B8=TRUE,Backdoors!BI27=TRUE),VLOOKUP(Calculator!E23,tbSkills!DH3:DJ6,3,FALSE),0),0)))/100)),1),1)</f>
        <v>0.5</v>
      </c>
      <c r="FT48" s="87">
        <f t="shared" si="17"/>
        <v>0</v>
      </c>
      <c r="FU48" s="86" t="str">
        <f>IFERROR(IF(VLOOKUP(A48,tbMoveset!A2:B112,2,FALSE)="Sever",Backdoors!AY28/100,IF(VLOOKUP(A48,tbMoveset!A2:B112,2,FALSE)="Blunt",Backdoors!AZ28/100,Backdoors!BA28/100)),"")</f>
        <v/>
      </c>
      <c r="FV48" s="49">
        <f>IFERROR(IF(VLOOKUP(tbMoveset!A48,tbMoveset!A2:H112,8,FALSE)="Other",IF(VLOOKUP(tbMoveset!A48,tbMoveset!A2:I112,9,FALSE)="Fire",Backdoors!BB28,IF(VLOOKUP(tbMoveset!A48,tbMoveset!A2:I112,9,FALSE)="Water",Backdoors!BC28,IF(VLOOKUP(tbMoveset!A48,tbMoveset!A2:I112,9,FALSE)="Thunder",Backdoors!BD28,IF(VLOOKUP(tbMoveset!A48,tbMoveset!A2:I112,9,FALSE)="Ice",Backdoors!BE28,IF(VLOOKUP(tbMoveset!A48,tbMoveset!A2:I112,9,FALSE)="Dragon",Backdoors!BF28,Backdoors!BG28)))))/100,Backdoors!BG28/100),"")</f>
        <v>0</v>
      </c>
      <c r="FW48" s="49">
        <f>IFERROR(IF(VLOOKUP(A48,tbMoveset!A2:J112,10,FALSE)=TRUE,IF((Backdoors!AI12+IF(FU48&gt;=0.45,VLOOKUP(Calculator!E23,tbSkills!DH3:DI6,2,FALSE)+IF(AND(Calculator!B8=TRUE,Backdoors!BI28=TRUE),VLOOKUP(Calculator!E23,tbSkills!DH3:DJ6,3,FALSE),0),0))&gt;=0,1+(Backdoors!AL2*(IF((Backdoors!AI12+IF(FU48&gt;=0.45,VLOOKUP(Calculator!E23,tbSkills!DH3:DI6,2,FALSE)+IF(AND(Calculator!B8=TRUE,Backdoors!BI28=TRUE),VLOOKUP(Calculator!E23,tbSkills!DH3:DJ6,3,FALSE),0),0))&gt;=100,100,(Backdoors!AI12+IF(FU48&gt;=0.45,VLOOKUP(Calculator!E23,tbSkills!DH3:DI6,2,FALSE)+IF(AND(Calculator!B8=TRUE,Backdoors!BI28=TRUE),VLOOKUP(Calculator!E23,tbSkills!DH3:DJ6,3,FALSE),0),0)))/100)),(1-(0.25*((-Backdoors!AI12-IF(FU48&gt;=0.45,VLOOKUP(Calculator!E23,tbSkills!DH3:DI6,2,FALSE)+IF(AND(Calculator!B8=TRUE,Backdoors!BI28=TRUE),VLOOKUP(Calculator!E23,tbSkills!DH3:DJ6,3,FALSE),0),0))/100)))),1),"")</f>
        <v>1</v>
      </c>
      <c r="FX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FU48)*FW48)*(VLOOKUP(A48,tbMoveset!A2:C112,3,FALSE)/100)*IF(VLOOKUP(A48,tbMoveset!A2:B112,2,FALSE)="Projectile",Backdoors!N10,Backdoors!N9),0),"")</f>
        <v/>
      </c>
      <c r="FY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FU48&gt;=0.45,VLOOKUP(Calculator!E23,tbSkills!DH3:DI6,2,FALSE)+IF(AND(Calculator!B8=TRUE,Backdoors!BI28=TRUE),VLOOKUP(Calculator!E23,tbSkills!DH3:DJ6,3,FALSE),0),0))&gt;=100,100,(Backdoors!AI12+IF(FU48&gt;=0.45,VLOOKUP(Calculator!E23,tbSkills!DH3:DI6,2,FALSE)+IF(AND(Calculator!B8=TRUE,Backdoors!BI28=TRUE),VLOOKUP(Calculator!E23,tbSkills!DH3:DJ6,3,FALSE),0),0)))/100)),1))*IF(VLOOKUP(A48,tbMoveset!A2:K112,11,FALSE)=TRUE,Backdoors!AC5,1))*FV48,0),"")</f>
        <v>0</v>
      </c>
      <c r="FZ48" s="49">
        <f>VLOOKUP(A48,tbMoveset!A2:G112,7,FALSE)*IFERROR(IF(Backdoors!AI12&gt;=0,1+(IF(Calculator!E40&gt;0,VLOOKUP(Calculator!E40,tbSkills!AI3:AJ5,2,FALSE),Backdoors!AL4)*(IF((Backdoors!AI12+IF(FU48&gt;=0.45,VLOOKUP(Calculator!E23,tbSkills!DH3:DI6,2,FALSE)+IF(AND(Calculator!B8=TRUE,Backdoors!BI28=TRUE),VLOOKUP(Calculator!E23,tbSkills!DH3:DJ6,3,FALSE),0),0))&gt;=100,100,(Backdoors!AI12+IF(FU48&gt;=0.45,VLOOKUP(Calculator!E23,tbSkills!DH3:DI6,2,FALSE)+IF(AND(Calculator!B8=TRUE,Backdoors!BI28=TRUE),VLOOKUP(Calculator!E23,tbSkills!DH3:DJ6,3,FALSE),0),0)))/100)),1),1)</f>
        <v>0.5</v>
      </c>
      <c r="GA48" s="87">
        <f t="shared" si="18"/>
        <v>0</v>
      </c>
      <c r="GB48" s="86" t="str">
        <f>IFERROR(IF(VLOOKUP(A48,tbMoveset!A2:B112,2,FALSE)="Sever",Backdoors!AY29/100,IF(VLOOKUP(A48,tbMoveset!A2:B112,2,FALSE)="Blunt",Backdoors!AZ29/100,Backdoors!BA29/100)),"")</f>
        <v/>
      </c>
      <c r="GC48" s="49">
        <f>IFERROR(IF(VLOOKUP(tbMoveset!A48,tbMoveset!A2:H112,8,FALSE)="Other",IF(VLOOKUP(tbMoveset!A48,tbMoveset!A2:I112,9,FALSE)="Fire",Backdoors!BB29,IF(VLOOKUP(tbMoveset!A48,tbMoveset!A2:I112,9,FALSE)="Water",Backdoors!BC29,IF(VLOOKUP(tbMoveset!A48,tbMoveset!A2:I112,9,FALSE)="Thunder",Backdoors!BD29,IF(VLOOKUP(tbMoveset!A48,tbMoveset!A2:I112,9,FALSE)="Ice",Backdoors!BE29,IF(VLOOKUP(tbMoveset!A48,tbMoveset!A2:I112,9,FALSE)="Dragon",Backdoors!BF29,Backdoors!BG29)))))/100,Backdoors!BG29/100),"")</f>
        <v>0</v>
      </c>
      <c r="GD48" s="49">
        <f>IFERROR(IF(VLOOKUP(A48,tbMoveset!A2:J112,10,FALSE)=TRUE,IF((Backdoors!AI12+IF(GB48&gt;=0.45,VLOOKUP(Calculator!E23,tbSkills!DH3:DI6,2,FALSE)+IF(AND(Calculator!B8=TRUE,Backdoors!BI29=TRUE),VLOOKUP(Calculator!E23,tbSkills!DH3:DJ6,3,FALSE),0),0))&gt;=0,1+(Backdoors!AL2*(IF((Backdoors!AI12+IF(GB48&gt;=0.45,VLOOKUP(Calculator!E23,tbSkills!DH3:DI6,2,FALSE)+IF(AND(Calculator!B8=TRUE,Backdoors!BI29=TRUE),VLOOKUP(Calculator!E23,tbSkills!DH3:DJ6,3,FALSE),0),0))&gt;=100,100,(Backdoors!AI12+IF(GB48&gt;=0.45,VLOOKUP(Calculator!E23,tbSkills!DH3:DI6,2,FALSE)+IF(AND(Calculator!B8=TRUE,Backdoors!BI29=TRUE),VLOOKUP(Calculator!E23,tbSkills!DH3:DJ6,3,FALSE),0),0)))/100)),(1-(0.25*((-Backdoors!AI12-IF(GB48&gt;=0.45,VLOOKUP(Calculator!E23,tbSkills!DH3:DI6,2,FALSE)+IF(AND(Calculator!B8=TRUE,Backdoors!BI29=TRUE),VLOOKUP(Calculator!E23,tbSkills!DH3:DJ6,3,FALSE),0),0))/100)))),1),"")</f>
        <v>1</v>
      </c>
      <c r="GE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B48)*GD48)*(VLOOKUP(A48,tbMoveset!A2:C112,3,FALSE)/100)*IF(VLOOKUP(A48,tbMoveset!A2:B112,2,FALSE)="Projectile",Backdoors!N10,Backdoors!N9),0),"")</f>
        <v/>
      </c>
      <c r="GF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B48&gt;=0.45,VLOOKUP(Calculator!E23,tbSkills!DH3:DI6,2,FALSE)+IF(AND(Calculator!B8=TRUE,Backdoors!BI29=TRUE),VLOOKUP(Calculator!E23,tbSkills!DH3:DJ6,3,FALSE),0),0))&gt;=100,100,(Backdoors!AI12+IF(GB48&gt;=0.45,VLOOKUP(Calculator!E23,tbSkills!DH3:DI6,2,FALSE)+IF(AND(Calculator!B8=TRUE,Backdoors!BI29=TRUE),VLOOKUP(Calculator!E23,tbSkills!DH3:DJ6,3,FALSE),0),0)))/100)),1))*IF(VLOOKUP(A48,tbMoveset!A2:K112,11,FALSE)=TRUE,Backdoors!AC5,1))*GC48,0),"")</f>
        <v>0</v>
      </c>
      <c r="GG48" s="49">
        <f>VLOOKUP(A48,tbMoveset!A2:G112,7,FALSE)*IFERROR(IF(Backdoors!AI12&gt;=0,1+(IF(Calculator!E40&gt;0,VLOOKUP(Calculator!E40,tbSkills!AI3:AJ5,2,FALSE),Backdoors!AL4)*(IF((Backdoors!AI12+IF(GB48&gt;=0.45,VLOOKUP(Calculator!E23,tbSkills!DH3:DI6,2,FALSE)+IF(AND(Calculator!B8=TRUE,Backdoors!BI29=TRUE),VLOOKUP(Calculator!E23,tbSkills!DH3:DJ6,3,FALSE),0),0))&gt;=100,100,(Backdoors!AI12+IF(GB48&gt;=0.45,VLOOKUP(Calculator!E23,tbSkills!DH3:DI6,2,FALSE)+IF(AND(Calculator!B8=TRUE,Backdoors!BI29=TRUE),VLOOKUP(Calculator!E23,tbSkills!DH3:DJ6,3,FALSE),0),0)))/100)),1),1)</f>
        <v>0.5</v>
      </c>
      <c r="GH48" s="87">
        <f t="shared" si="19"/>
        <v>0</v>
      </c>
      <c r="GI48" s="86" t="str">
        <f>IFERROR(IF(VLOOKUP(A48,tbMoveset!A2:B112,2,FALSE)="Sever",Backdoors!AY30/100,IF(VLOOKUP(A48,tbMoveset!A2:B112,2,FALSE)="Blunt",Backdoors!AZ30/100,Backdoors!BA30/100)),"")</f>
        <v/>
      </c>
      <c r="GJ48" s="49">
        <f>IFERROR(IF(VLOOKUP(tbMoveset!A48,tbMoveset!A2:H112,8,FALSE)="Other",IF(VLOOKUP(tbMoveset!A48,tbMoveset!A2:I112,9,FALSE)="Fire",Backdoors!BB30,IF(VLOOKUP(tbMoveset!A48,tbMoveset!A2:I112,9,FALSE)="Water",Backdoors!BC30,IF(VLOOKUP(tbMoveset!A48,tbMoveset!A2:I112,9,FALSE)="Thunder",Backdoors!BD30,IF(VLOOKUP(tbMoveset!A48,tbMoveset!A2:I112,9,FALSE)="Ice",Backdoors!BE30,IF(VLOOKUP(tbMoveset!A48,tbMoveset!A2:I112,9,FALSE)="Dragon",Backdoors!BF30,Backdoors!BG30)))))/100,Backdoors!BG30/100),"")</f>
        <v>0</v>
      </c>
      <c r="GK48" s="49">
        <f>IFERROR(IF(VLOOKUP(A48,tbMoveset!A2:J112,10,FALSE)=TRUE,IF((Backdoors!AI12+IF(GI48&gt;=0.45,VLOOKUP(Calculator!E23,tbSkills!DH3:DI6,2,FALSE)+IF(AND(Calculator!B8=TRUE,Backdoors!BI30=TRUE),VLOOKUP(Calculator!E23,tbSkills!DH3:DJ6,3,FALSE),0),0))&gt;=0,1+(Backdoors!AL2*(IF((Backdoors!AI12+IF(GI48&gt;=0.45,VLOOKUP(Calculator!E23,tbSkills!DH3:DI6,2,FALSE)+IF(AND(Calculator!B8=TRUE,Backdoors!BI30=TRUE),VLOOKUP(Calculator!E23,tbSkills!DH3:DJ6,3,FALSE),0),0))&gt;=100,100,(Backdoors!AI12+IF(GI48&gt;=0.45,VLOOKUP(Calculator!E23,tbSkills!DH3:DI6,2,FALSE)+IF(AND(Calculator!B8=TRUE,Backdoors!BI30=TRUE),VLOOKUP(Calculator!E23,tbSkills!DH3:DJ6,3,FALSE),0),0)))/100)),(1-(0.25*((-Backdoors!AI12-IF(GI48&gt;=0.45,VLOOKUP(Calculator!E23,tbSkills!DH3:DI6,2,FALSE)+IF(AND(Calculator!B8=TRUE,Backdoors!BI30=TRUE),VLOOKUP(Calculator!E23,tbSkills!DH3:DJ6,3,FALSE),0),0))/100)))),1),"")</f>
        <v>1</v>
      </c>
      <c r="GL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I48)*GK48)*(VLOOKUP(A48,tbMoveset!A2:C112,3,FALSE)/100)*IF(VLOOKUP(A48,tbMoveset!A2:B112,2,FALSE)="Projectile",Backdoors!N10,Backdoors!N9),0),"")</f>
        <v/>
      </c>
      <c r="GM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I48&gt;=0.45,VLOOKUP(Calculator!E23,tbSkills!DH3:DI6,2,FALSE)+IF(AND(Calculator!B8=TRUE,Backdoors!BI30=TRUE),VLOOKUP(Calculator!E23,tbSkills!DH3:DJ6,3,FALSE),0),0))&gt;=100,100,(Backdoors!AI12+IF(GI48&gt;=0.45,VLOOKUP(Calculator!E23,tbSkills!DH3:DI6,2,FALSE)+IF(AND(Calculator!B8=TRUE,Backdoors!BI30=TRUE),VLOOKUP(Calculator!E23,tbSkills!DH3:DJ6,3,FALSE),0),0)))/100)),1))*IF(VLOOKUP(A48,tbMoveset!A2:K112,11,FALSE)=TRUE,Backdoors!AC5,1))*GJ48,0),"")</f>
        <v>0</v>
      </c>
      <c r="GN48" s="49">
        <f>VLOOKUP(A48,tbMoveset!A2:G112,7,FALSE)*IFERROR(IF(Backdoors!AI12&gt;=0,1+(IF(Calculator!E40&gt;0,VLOOKUP(Calculator!E40,tbSkills!AI3:AJ5,2,FALSE),Backdoors!AL4)*(IF((Backdoors!AI12+IF(GI48&gt;=0.45,VLOOKUP(Calculator!E23,tbSkills!DH3:DI6,2,FALSE)+IF(AND(Calculator!B8=TRUE,Backdoors!BI30=TRUE),VLOOKUP(Calculator!E23,tbSkills!DH3:DJ6,3,FALSE),0),0))&gt;=100,100,(Backdoors!AI12+IF(GI48&gt;=0.45,VLOOKUP(Calculator!E23,tbSkills!DH3:DI6,2,FALSE)+IF(AND(Calculator!B8=TRUE,Backdoors!BI30=TRUE),VLOOKUP(Calculator!E23,tbSkills!DH3:DJ6,3,FALSE),0),0)))/100)),1),1)</f>
        <v>0.5</v>
      </c>
      <c r="GO48" s="87">
        <f t="shared" si="20"/>
        <v>0</v>
      </c>
      <c r="GP48" s="86" t="str">
        <f>IFERROR(IF(VLOOKUP(A48,tbMoveset!A2:B112,2,FALSE)="Sever",Backdoors!AY31/100,IF(VLOOKUP(A48,tbMoveset!A2:B112,2,FALSE)="Blunt",Backdoors!AZ31/100,Backdoors!BA31/100)),"")</f>
        <v/>
      </c>
      <c r="GQ48" s="49">
        <f>IFERROR(IF(VLOOKUP(tbMoveset!A48,tbMoveset!A2:H112,8,FALSE)="Other",IF(VLOOKUP(tbMoveset!A48,tbMoveset!A2:I112,9,FALSE)="Fire",Backdoors!BB31,IF(VLOOKUP(tbMoveset!A48,tbMoveset!A2:I112,9,FALSE)="Water",Backdoors!BC31,IF(VLOOKUP(tbMoveset!A48,tbMoveset!A2:I112,9,FALSE)="Thunder",Backdoors!BD31,IF(VLOOKUP(tbMoveset!A48,tbMoveset!A2:I112,9,FALSE)="Ice",Backdoors!BE31,IF(VLOOKUP(tbMoveset!A48,tbMoveset!A2:I112,9,FALSE)="Dragon",Backdoors!BF31,Backdoors!BG31)))))/100,Backdoors!BG31/100),"")</f>
        <v>0</v>
      </c>
      <c r="GR48" s="49">
        <f>IFERROR(IF(VLOOKUP(A48,tbMoveset!A2:J112,10,FALSE)=TRUE,IF((Backdoors!AI12+IF(GP48&gt;=0.45,VLOOKUP(Calculator!E23,tbSkills!DH3:DI6,2,FALSE)+IF(AND(Calculator!B8=TRUE,Backdoors!BI31=TRUE),VLOOKUP(Calculator!E23,tbSkills!DH3:DJ6,3,FALSE),0),0))&gt;=0,1+(Backdoors!AL2*(IF((Backdoors!AI12+IF(GP48&gt;=0.45,VLOOKUP(Calculator!E23,tbSkills!DH3:DI6,2,FALSE)+IF(AND(Calculator!B8=TRUE,Backdoors!BI31=TRUE),VLOOKUP(Calculator!E23,tbSkills!DH3:DJ6,3,FALSE),0),0))&gt;=100,100,(Backdoors!AI12+IF(GP48&gt;=0.45,VLOOKUP(Calculator!E23,tbSkills!DH3:DI6,2,FALSE)+IF(AND(Calculator!B8=TRUE,Backdoors!BI31=TRUE),VLOOKUP(Calculator!E23,tbSkills!DH3:DJ6,3,FALSE),0),0)))/100)),(1-(0.25*((-Backdoors!AI12-IF(GP48&gt;=0.45,VLOOKUP(Calculator!E23,tbSkills!DH3:DI6,2,FALSE)+IF(AND(Calculator!B8=TRUE,Backdoors!BI31=TRUE),VLOOKUP(Calculator!E23,tbSkills!DH3:DJ6,3,FALSE),0),0))/100)))),1),"")</f>
        <v>1</v>
      </c>
      <c r="GS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P48)*GR48)*(VLOOKUP(A48,tbMoveset!A2:C112,3,FALSE)/100)*IF(VLOOKUP(A48,tbMoveset!A2:B112,2,FALSE)="Projectile",Backdoors!N10,Backdoors!N9),0),"")</f>
        <v/>
      </c>
      <c r="GT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P48&gt;=0.45,VLOOKUP(Calculator!E23,tbSkills!DH3:DI6,2,FALSE)+IF(AND(Calculator!B8=TRUE,Backdoors!BI31=TRUE),VLOOKUP(Calculator!E23,tbSkills!DH3:DJ6,3,FALSE),0),0))&gt;=100,100,(Backdoors!AI12+IF(GP48&gt;=0.45,VLOOKUP(Calculator!E23,tbSkills!DH3:DI6,2,FALSE)+IF(AND(Calculator!B8=TRUE,Backdoors!BI31=TRUE),VLOOKUP(Calculator!E23,tbSkills!DH3:DJ6,3,FALSE),0),0)))/100)),1))*IF(VLOOKUP(A48,tbMoveset!A2:K112,11,FALSE)=TRUE,Backdoors!AC5,1))*GQ48,0),"")</f>
        <v>0</v>
      </c>
      <c r="GU48" s="49">
        <f>VLOOKUP(A48,tbMoveset!A2:G112,7,FALSE)*IFERROR(IF(Backdoors!AI12&gt;=0,1+(IF(Calculator!E40&gt;0,VLOOKUP(Calculator!E40,tbSkills!AI3:AJ5,2,FALSE),Backdoors!AL4)*(IF((Backdoors!AI12+IF(GP48&gt;=0.45,VLOOKUP(Calculator!E23,tbSkills!DH3:DI6,2,FALSE)+IF(AND(Calculator!B8=TRUE,Backdoors!BI31=TRUE),VLOOKUP(Calculator!E23,tbSkills!DH3:DJ6,3,FALSE),0),0))&gt;=100,100,(Backdoors!AI12+IF(GP48&gt;=0.45,VLOOKUP(Calculator!E23,tbSkills!DH3:DI6,2,FALSE)+IF(AND(Calculator!B8=TRUE,Backdoors!BI31=TRUE),VLOOKUP(Calculator!E23,tbSkills!DH3:DJ6,3,FALSE),0),0)))/100)),1),1)</f>
        <v>0.5</v>
      </c>
      <c r="GV48" s="87">
        <f t="shared" si="21"/>
        <v>0</v>
      </c>
      <c r="GW48" s="86" t="str">
        <f>IFERROR(IF(VLOOKUP(A48,tbMoveset!A2:B112,2,FALSE)="Sever",Backdoors!AY32/100,IF(VLOOKUP(A48,tbMoveset!A2:B112,2,FALSE)="Blunt",Backdoors!AZ32/100,Backdoors!BA32/100)),"")</f>
        <v/>
      </c>
      <c r="GX48" s="49">
        <f>IFERROR(IF(VLOOKUP(tbMoveset!A48,tbMoveset!A2:H112,8,FALSE)="Other",IF(VLOOKUP(tbMoveset!A48,tbMoveset!A2:I112,9,FALSE)="Fire",Backdoors!BB32,IF(VLOOKUP(tbMoveset!A48,tbMoveset!A2:I112,9,FALSE)="Water",Backdoors!BC32,IF(VLOOKUP(tbMoveset!A48,tbMoveset!A2:I112,9,FALSE)="Thunder",Backdoors!BD32,IF(VLOOKUP(tbMoveset!A48,tbMoveset!A2:I112,9,FALSE)="Ice",Backdoors!BE32,IF(VLOOKUP(tbMoveset!A48,tbMoveset!A2:I112,9,FALSE)="Dragon",Backdoors!BF32,Backdoors!BG32)))))/100,Backdoors!BG32/100),"")</f>
        <v>0</v>
      </c>
      <c r="GY48" s="49">
        <f>IFERROR(IF(VLOOKUP(A48,tbMoveset!A2:J112,10,FALSE)=TRUE,IF((Backdoors!AI12+IF(GW48&gt;=0.45,VLOOKUP(Calculator!E23,tbSkills!DH3:DI6,2,FALSE)+IF(AND(Calculator!B8=TRUE,Backdoors!BI32=TRUE),VLOOKUP(Calculator!E23,tbSkills!DH3:DJ6,3,FALSE),0),0))&gt;=0,1+(Backdoors!AL2*(IF((Backdoors!AI12+IF(GW48&gt;=0.45,VLOOKUP(Calculator!E23,tbSkills!DH3:DI6,2,FALSE)+IF(AND(Calculator!B8=TRUE,Backdoors!BI32=TRUE),VLOOKUP(Calculator!E23,tbSkills!DH3:DJ6,3,FALSE),0),0))&gt;=100,100,(Backdoors!AI12+IF(GW48&gt;=0.45,VLOOKUP(Calculator!E23,tbSkills!DH3:DI6,2,FALSE)+IF(AND(Calculator!B8=TRUE,Backdoors!BI32=TRUE),VLOOKUP(Calculator!E23,tbSkills!DH3:DJ6,3,FALSE),0),0)))/100)),(1-(0.25*((-Backdoors!AI12-IF(GW48&gt;=0.45,VLOOKUP(Calculator!E23,tbSkills!DH3:DI6,2,FALSE)+IF(AND(Calculator!B8=TRUE,Backdoors!BI32=TRUE),VLOOKUP(Calculator!E23,tbSkills!DH3:DJ6,3,FALSE),0),0))/100)))),1),"")</f>
        <v>1</v>
      </c>
      <c r="GZ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W48)*GY48)*(VLOOKUP(A48,tbMoveset!A2:C112,3,FALSE)/100)*IF(VLOOKUP(A48,tbMoveset!A2:B112,2,FALSE)="Projectile",Backdoors!N10,Backdoors!N9),0),"")</f>
        <v/>
      </c>
      <c r="HA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W48&gt;=0.45,VLOOKUP(Calculator!E23,tbSkills!DH3:DI6,2,FALSE)+IF(AND(Calculator!B8=TRUE,Backdoors!BI32=TRUE),VLOOKUP(Calculator!E23,tbSkills!DH3:DJ6,3,FALSE),0),0))&gt;=100,100,(Backdoors!AI12+IF(GW48&gt;=0.45,VLOOKUP(Calculator!E23,tbSkills!DH3:DI6,2,FALSE)+IF(AND(Calculator!B8=TRUE,Backdoors!BI32=TRUE),VLOOKUP(Calculator!E23,tbSkills!DH3:DJ6,3,FALSE),0),0)))/100)),1))*IF(VLOOKUP(A48,tbMoveset!A2:K112,11,FALSE)=TRUE,Backdoors!AC5,1))*GX48,0),"")</f>
        <v>0</v>
      </c>
      <c r="HB48" s="49">
        <f>VLOOKUP(A48,tbMoveset!A2:G112,7,FALSE)*IFERROR(IF(Backdoors!AI12&gt;=0,1+(IF(Calculator!E40&gt;0,VLOOKUP(Calculator!E40,tbSkills!AI3:AJ5,2,FALSE),Backdoors!AL4)*(IF((Backdoors!AI12+IF(GW48&gt;=0.45,VLOOKUP(Calculator!E23,tbSkills!DH3:DI6,2,FALSE)+IF(AND(Calculator!B8=TRUE,Backdoors!BI32=TRUE),VLOOKUP(Calculator!E23,tbSkills!DH3:DJ6,3,FALSE),0),0))&gt;=100,100,(Backdoors!AI12+IF(GW48&gt;=0.45,VLOOKUP(Calculator!E23,tbSkills!DH3:DI6,2,FALSE)+IF(AND(Calculator!B8=TRUE,Backdoors!BI32=TRUE),VLOOKUP(Calculator!E23,tbSkills!DH3:DJ6,3,FALSE),0),0)))/100)),1),1)</f>
        <v>0.5</v>
      </c>
      <c r="HC48" s="87">
        <f t="shared" si="22"/>
        <v>0</v>
      </c>
      <c r="HD48" s="86" t="str">
        <f>IFERROR(IF(VLOOKUP(A48,tbMoveset!A2:B112,2,FALSE)="Sever",Backdoors!AY33/100,IF(VLOOKUP(A48,tbMoveset!A2:B112,2,FALSE)="Blunt",Backdoors!AZ33/100,Backdoors!BA33/100)),"")</f>
        <v/>
      </c>
      <c r="HE48" s="49">
        <f>IFERROR(IF(VLOOKUP(tbMoveset!A48,tbMoveset!A2:H112,8,FALSE)="Other",IF(VLOOKUP(tbMoveset!A48,tbMoveset!A2:I112,9,FALSE)="Fire",Backdoors!BB33,IF(VLOOKUP(tbMoveset!A48,tbMoveset!A2:I112,9,FALSE)="Water",Backdoors!BC33,IF(VLOOKUP(tbMoveset!A48,tbMoveset!A2:I112,9,FALSE)="Thunder",Backdoors!BD33,IF(VLOOKUP(tbMoveset!A48,tbMoveset!A2:I112,9,FALSE)="Ice",Backdoors!BE33,IF(VLOOKUP(tbMoveset!A48,tbMoveset!A2:I112,9,FALSE)="Dragon",Backdoors!BF33,Backdoors!BG33)))))/100,Backdoors!BG33/100),"")</f>
        <v>0</v>
      </c>
      <c r="HF48" s="49">
        <f>IFERROR(IF(VLOOKUP(A48,tbMoveset!A2:J112,10,FALSE)=TRUE,IF((Backdoors!AI12+IF(HD48&gt;=0.45,VLOOKUP(Calculator!E23,tbSkills!DH3:DI6,2,FALSE)+IF(AND(Calculator!B8=TRUE,Backdoors!BI33=TRUE),VLOOKUP(Calculator!E23,tbSkills!DH3:DJ6,3,FALSE),0),0))&gt;=0,1+(Backdoors!AL2*(IF((Backdoors!AI12+IF(HD48&gt;=0.45,VLOOKUP(Calculator!E23,tbSkills!DH3:DI6,2,FALSE)+IF(AND(Calculator!B8=TRUE,Backdoors!BI33=TRUE),VLOOKUP(Calculator!E23,tbSkills!DH3:DJ6,3,FALSE),0),0))&gt;=100,100,(Backdoors!AI12+IF(HD48&gt;=0.45,VLOOKUP(Calculator!E23,tbSkills!DH3:DI6,2,FALSE)+IF(AND(Calculator!B8=TRUE,Backdoors!BI33=TRUE),VLOOKUP(Calculator!E23,tbSkills!DH3:DJ6,3,FALSE),0),0)))/100)),(1-(0.25*((-Backdoors!AI12-IF(HD48&gt;=0.45,VLOOKUP(Calculator!E23,tbSkills!DH3:DI6,2,FALSE)+IF(AND(Calculator!B8=TRUE,Backdoors!BI33=TRUE),VLOOKUP(Calculator!E23,tbSkills!DH3:DJ6,3,FALSE),0),0))/100)))),1),"")</f>
        <v>1</v>
      </c>
      <c r="HG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D48)*HF48)*(VLOOKUP(A48,tbMoveset!A2:C112,3,FALSE)/100)*IF(VLOOKUP(A48,tbMoveset!A2:B112,2,FALSE)="Projectile",Backdoors!N10,Backdoors!N9),0),"")</f>
        <v/>
      </c>
      <c r="HH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D48&gt;=0.45,VLOOKUP(Calculator!E23,tbSkills!DH3:DI6,2,FALSE)+IF(AND(Calculator!B8=TRUE,Backdoors!BI33=TRUE),VLOOKUP(Calculator!E23,tbSkills!DH3:DJ6,3,FALSE),0),0))&gt;=100,100,(Backdoors!AI12+IF(HD48&gt;=0.45,VLOOKUP(Calculator!E23,tbSkills!DH3:DI6,2,FALSE)+IF(AND(Calculator!B8=TRUE,Backdoors!BI33=TRUE),VLOOKUP(Calculator!E23,tbSkills!DH3:DJ6,3,FALSE),0),0)))/100)),1))*IF(VLOOKUP(A48,tbMoveset!A2:K112,11,FALSE)=TRUE,Backdoors!AC5,1))*HE48,0),"")</f>
        <v>0</v>
      </c>
      <c r="HI48" s="49">
        <f>VLOOKUP(A48,tbMoveset!A2:G112,7,FALSE)*IFERROR(IF(Backdoors!AI12&gt;=0,1+(IF(Calculator!E40&gt;0,VLOOKUP(Calculator!E40,tbSkills!AI3:AJ5,2,FALSE),Backdoors!AL4)*(IF((Backdoors!AI12+IF(HD48&gt;=0.45,VLOOKUP(Calculator!E23,tbSkills!DH3:DI6,2,FALSE)+IF(AND(Calculator!B8=TRUE,Backdoors!BI33=TRUE),VLOOKUP(Calculator!E23,tbSkills!DH3:DJ6,3,FALSE),0),0))&gt;=100,100,(Backdoors!AI12+IF(HD48&gt;=0.45,VLOOKUP(Calculator!E23,tbSkills!DH3:DI6,2,FALSE)+IF(AND(Calculator!B8=TRUE,Backdoors!BI33=TRUE),VLOOKUP(Calculator!E23,tbSkills!DH3:DJ6,3,FALSE),0),0)))/100)),1),1)</f>
        <v>0.5</v>
      </c>
      <c r="HJ48" s="87">
        <f t="shared" si="23"/>
        <v>0</v>
      </c>
      <c r="HK48" s="86" t="str">
        <f>IFERROR(IF(VLOOKUP(A48,tbMoveset!A2:B112,2,FALSE)="Sever",Backdoors!AY34/100,IF(VLOOKUP(A48,tbMoveset!A2:B112,2,FALSE)="Blunt",Backdoors!AZ34/100,Backdoors!BA34/100)),"")</f>
        <v/>
      </c>
      <c r="HL48" s="49">
        <f>IFERROR(IF(VLOOKUP(tbMoveset!A48,tbMoveset!A2:H112,8,FALSE)="Other",IF(VLOOKUP(tbMoveset!A48,tbMoveset!A2:I112,9,FALSE)="Fire",Backdoors!BB34,IF(VLOOKUP(tbMoveset!A48,tbMoveset!A2:I112,9,FALSE)="Water",Backdoors!BC34,IF(VLOOKUP(tbMoveset!A48,tbMoveset!A2:I112,9,FALSE)="Thunder",Backdoors!BD34,IF(VLOOKUP(tbMoveset!A48,tbMoveset!A2:I112,9,FALSE)="Ice",Backdoors!BE34,IF(VLOOKUP(tbMoveset!A48,tbMoveset!A2:I112,9,FALSE)="Dragon",Backdoors!BF34,Backdoors!BG34)))))/100,Backdoors!BG34/100),"")</f>
        <v>0</v>
      </c>
      <c r="HM48" s="49">
        <f>IFERROR(IF(VLOOKUP(A48,tbMoveset!A2:J112,10,FALSE)=TRUE,IF((Backdoors!AI12+IF(HK48&gt;=0.45,VLOOKUP(Calculator!E23,tbSkills!DH3:DI6,2,FALSE)+IF(AND(Calculator!B8=TRUE,Backdoors!BI34=TRUE),VLOOKUP(Calculator!E23,tbSkills!DH3:DJ6,3,FALSE),0),0))&gt;=0,1+(Backdoors!AL2*(IF((Backdoors!AI12+IF(HK48&gt;=0.45,VLOOKUP(Calculator!E23,tbSkills!DH3:DI6,2,FALSE)+IF(AND(Calculator!B8=TRUE,Backdoors!BI34=TRUE),VLOOKUP(Calculator!E23,tbSkills!DH3:DJ6,3,FALSE),0),0))&gt;=100,100,(Backdoors!AI12+IF(HK48&gt;=0.45,VLOOKUP(Calculator!E23,tbSkills!DH3:DI6,2,FALSE)+IF(AND(Calculator!B8=TRUE,Backdoors!BI34=TRUE),VLOOKUP(Calculator!E23,tbSkills!DH3:DJ6,3,FALSE),0),0)))/100)),(1-(0.25*((-Backdoors!AI12-IF(HK48&gt;=0.45,VLOOKUP(Calculator!E23,tbSkills!DH3:DI6,2,FALSE)+IF(AND(Calculator!B8=TRUE,Backdoors!BI34=TRUE),VLOOKUP(Calculator!E23,tbSkills!DH3:DJ6,3,FALSE),0),0))/100)))),1),"")</f>
        <v>1</v>
      </c>
      <c r="HN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K48)*HM48)*(VLOOKUP(A48,tbMoveset!A2:C112,3,FALSE)/100)*IF(VLOOKUP(A48,tbMoveset!A2:B112,2,FALSE)="Projectile",Backdoors!N10,Backdoors!N9),0),"")</f>
        <v/>
      </c>
      <c r="HO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K48&gt;=0.45,VLOOKUP(Calculator!E23,tbSkills!DH3:DI6,2,FALSE)+IF(AND(Calculator!B8=TRUE,Backdoors!BI34=TRUE),VLOOKUP(Calculator!E23,tbSkills!DH3:DJ6,3,FALSE),0),0))&gt;=100,100,(Backdoors!AI12+IF(HK48&gt;=0.45,VLOOKUP(Calculator!E23,tbSkills!DH3:DI6,2,FALSE)+IF(AND(Calculator!B8=TRUE,Backdoors!BI34=TRUE),VLOOKUP(Calculator!E23,tbSkills!DH3:DJ6,3,FALSE),0),0)))/100)),1))*IF(VLOOKUP(A48,tbMoveset!A2:K112,11,FALSE)=TRUE,Backdoors!AC5,1))*HL48,0),"")</f>
        <v>0</v>
      </c>
      <c r="HP48" s="49">
        <f>VLOOKUP(A48,tbMoveset!A2:G112,7,FALSE)*IFERROR(IF(Backdoors!AI12&gt;=0,1+(IF(Calculator!E40&gt;0,VLOOKUP(Calculator!E40,tbSkills!AI3:AJ5,2,FALSE),Backdoors!AL4)*(IF((Backdoors!AI12+IF(HK48&gt;=0.45,VLOOKUP(Calculator!E23,tbSkills!DH3:DI6,2,FALSE)+IF(AND(Calculator!B8=TRUE,Backdoors!BI34=TRUE),VLOOKUP(Calculator!E23,tbSkills!DH3:DJ6,3,FALSE),0),0))&gt;=100,100,(Backdoors!AI12+IF(HK48&gt;=0.45,VLOOKUP(Calculator!E23,tbSkills!DH3:DI6,2,FALSE)+IF(AND(Calculator!B8=TRUE,Backdoors!BI34=TRUE),VLOOKUP(Calculator!E23,tbSkills!DH3:DJ6,3,FALSE),0),0)))/100)),1),1)</f>
        <v>0.5</v>
      </c>
      <c r="HQ48" s="87">
        <f t="shared" si="24"/>
        <v>0</v>
      </c>
      <c r="HR48" s="86" t="str">
        <f>IFERROR(IF(VLOOKUP(A48,tbMoveset!A2:B112,2,FALSE)="Sever",Backdoors!AY35/100,IF(VLOOKUP(A48,tbMoveset!A2:B112,2,FALSE)="Blunt",Backdoors!AZ35/100,Backdoors!BA35/100)),"")</f>
        <v/>
      </c>
      <c r="HS48" s="49">
        <f>IFERROR(IF(VLOOKUP(tbMoveset!A48,tbMoveset!A2:H112,8,FALSE)="Other",IF(VLOOKUP(tbMoveset!A48,tbMoveset!A2:I112,9,FALSE)="Fire",Backdoors!BB35,IF(VLOOKUP(tbMoveset!A48,tbMoveset!A2:I112,9,FALSE)="Water",Backdoors!BC35,IF(VLOOKUP(tbMoveset!A48,tbMoveset!A2:I112,9,FALSE)="Thunder",Backdoors!BD35,IF(VLOOKUP(tbMoveset!A48,tbMoveset!A2:I112,9,FALSE)="Ice",Backdoors!BE35,IF(VLOOKUP(tbMoveset!A48,tbMoveset!A2:I112,9,FALSE)="Dragon",Backdoors!BF35,Backdoors!BG35)))))/100,Backdoors!BG35/100),"")</f>
        <v>0</v>
      </c>
      <c r="HT48" s="49">
        <f>IFERROR(IF(VLOOKUP(A48,tbMoveset!A2:J112,10,FALSE)=TRUE,IF((Backdoors!AI12+IF(HR48&gt;=0.45,VLOOKUP(Calculator!E23,tbSkills!DH3:DI6,2,FALSE)+IF(AND(Calculator!B8=TRUE,Backdoors!BI35=TRUE),VLOOKUP(Calculator!E23,tbSkills!DH3:DJ6,3,FALSE),0),0))&gt;=0,1+(Backdoors!AL2*(IF((Backdoors!AI12+IF(HR48&gt;=0.45,VLOOKUP(Calculator!E23,tbSkills!DH3:DI6,2,FALSE)+IF(AND(Calculator!B8=TRUE,Backdoors!BI35=TRUE),VLOOKUP(Calculator!E23,tbSkills!DH3:DJ6,3,FALSE),0),0))&gt;=100,100,(Backdoors!AI12+IF(HR48&gt;=0.45,VLOOKUP(Calculator!E23,tbSkills!DH3:DI6,2,FALSE)+IF(AND(Calculator!B8=TRUE,Backdoors!BI35=TRUE),VLOOKUP(Calculator!E23,tbSkills!DH3:DJ6,3,FALSE),0),0)))/100)),(1-(0.25*((-Backdoors!AI12-IF(HR48&gt;=0.45,VLOOKUP(Calculator!E23,tbSkills!DH3:DI6,2,FALSE)+IF(AND(Calculator!B8=TRUE,Backdoors!BI35=TRUE),VLOOKUP(Calculator!E23,tbSkills!DH3:DJ6,3,FALSE),0),0))/100)))),1),"")</f>
        <v>1</v>
      </c>
      <c r="HU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R48)*HT48)*(VLOOKUP(A48,tbMoveset!A2:C112,3,FALSE)/100)*IF(VLOOKUP(A48,tbMoveset!A2:B112,2,FALSE)="Projectile",Backdoors!N10,Backdoors!N9),0),"")</f>
        <v/>
      </c>
      <c r="HV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R48&gt;=0.45,VLOOKUP(Calculator!E23,tbSkills!DH3:DI6,2,FALSE)+IF(AND(Calculator!B8=TRUE,Backdoors!BI35=TRUE),VLOOKUP(Calculator!E23,tbSkills!DH3:DJ6,3,FALSE),0),0))&gt;=100,100,(Backdoors!AI12+IF(HR48&gt;=0.45,VLOOKUP(Calculator!E23,tbSkills!DH3:DI6,2,FALSE)+IF(AND(Calculator!B8=TRUE,Backdoors!BI35=TRUE),VLOOKUP(Calculator!E23,tbSkills!DH3:DJ6,3,FALSE),0),0)))/100)),1))*IF(VLOOKUP(A48,tbMoveset!A2:K112,11,FALSE)=TRUE,Backdoors!AC5,1))*HS48,0),"")</f>
        <v>0</v>
      </c>
      <c r="HW48" s="49">
        <f>VLOOKUP(A48,tbMoveset!A2:G112,7,FALSE)*IFERROR(IF(Backdoors!AI12&gt;=0,1+(IF(Calculator!E40&gt;0,VLOOKUP(Calculator!E40,tbSkills!AI3:AJ5,2,FALSE),Backdoors!AL4)*(IF((Backdoors!AI12+IF(HR48&gt;=0.45,VLOOKUP(Calculator!E23,tbSkills!DH3:DI6,2,FALSE)+IF(AND(Calculator!B8=TRUE,Backdoors!BI35=TRUE),VLOOKUP(Calculator!E23,tbSkills!DH3:DJ6,3,FALSE),0),0))&gt;=100,100,(Backdoors!AI12+IF(HR48&gt;=0.45,VLOOKUP(Calculator!E23,tbSkills!DH3:DI6,2,FALSE)+IF(AND(Calculator!B8=TRUE,Backdoors!BI35=TRUE),VLOOKUP(Calculator!E23,tbSkills!DH3:DJ6,3,FALSE),0),0)))/100)),1),1)</f>
        <v>0.5</v>
      </c>
      <c r="HX48" s="87">
        <f t="shared" si="25"/>
        <v>0</v>
      </c>
      <c r="HY48" s="86" t="str">
        <f>IFERROR(IF(VLOOKUP(A48,tbMoveset!A2:B112,2,FALSE)="Sever",Backdoors!AY36/100,IF(VLOOKUP(A48,tbMoveset!A2:B112,2,FALSE)="Blunt",Backdoors!AZ36/100,Backdoors!BA36/100)),"")</f>
        <v/>
      </c>
      <c r="HZ48" s="49">
        <f>IFERROR(IF(VLOOKUP(tbMoveset!A48,tbMoveset!A2:H112,8,FALSE)="Other",IF(VLOOKUP(tbMoveset!A48,tbMoveset!A2:I112,9,FALSE)="Fire",Backdoors!BB36,IF(VLOOKUP(tbMoveset!A48,tbMoveset!A2:I112,9,FALSE)="Water",Backdoors!BC36,IF(VLOOKUP(tbMoveset!A48,tbMoveset!A2:I112,9,FALSE)="Thunder",Backdoors!BD36,IF(VLOOKUP(tbMoveset!A48,tbMoveset!A2:I112,9,FALSE)="Ice",Backdoors!BE36,IF(VLOOKUP(tbMoveset!A48,tbMoveset!A2:I112,9,FALSE)="Dragon",Backdoors!BF36,Backdoors!BG36)))))/100,Backdoors!BG36/100),"")</f>
        <v>0</v>
      </c>
      <c r="IA48" s="49">
        <f>IFERROR(IF(VLOOKUP(A48,tbMoveset!A2:J112,10,FALSE)=TRUE,IF((Backdoors!AI12+IF(HY48&gt;=0.45,VLOOKUP(Calculator!E23,tbSkills!DH3:DI6,2,FALSE)+IF(AND(Calculator!B8=TRUE,Backdoors!BI36=TRUE),VLOOKUP(Calculator!E23,tbSkills!DH3:DJ6,3,FALSE),0),0))&gt;=0,1+(Backdoors!AL2*(IF((Backdoors!AI12+IF(HY48&gt;=0.45,VLOOKUP(Calculator!E23,tbSkills!DH3:DI6,2,FALSE)+IF(AND(Calculator!B8=TRUE,Backdoors!BI36=TRUE),VLOOKUP(Calculator!E23,tbSkills!DH3:DJ6,3,FALSE),0),0))&gt;=100,100,(Backdoors!AI12+IF(HY48&gt;=0.45,VLOOKUP(Calculator!E23,tbSkills!DH3:DI6,2,FALSE)+IF(AND(Calculator!B8=TRUE,Backdoors!BI36=TRUE),VLOOKUP(Calculator!E23,tbSkills!DH3:DJ6,3,FALSE),0),0)))/100)),(1-(0.25*((-Backdoors!AI12-IF(HY48&gt;=0.45,VLOOKUP(Calculator!E23,tbSkills!DH3:DI6,2,FALSE)+IF(AND(Calculator!B8=TRUE,Backdoors!BI36=TRUE),VLOOKUP(Calculator!E23,tbSkills!DH3:DJ6,3,FALSE),0),0))/100)))),1),"")</f>
        <v>1</v>
      </c>
      <c r="IB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Y48)*IA48)*(VLOOKUP(A48,tbMoveset!A2:C112,3,FALSE)/100)*IF(VLOOKUP(A48,tbMoveset!A2:B112,2,FALSE)="Projectile",Backdoors!N10,Backdoors!N9),0),"")</f>
        <v/>
      </c>
      <c r="IC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Y48&gt;=0.45,VLOOKUP(Calculator!E23,tbSkills!DH3:DI6,2,FALSE)+IF(AND(Calculator!B8=TRUE,Backdoors!BI36=TRUE),VLOOKUP(Calculator!E23,tbSkills!DH3:DJ6,3,FALSE),0),0))&gt;=100,100,(Backdoors!AI12+IF(HY48&gt;=0.45,VLOOKUP(Calculator!E23,tbSkills!DH3:DI6,2,FALSE)+IF(AND(Calculator!B8=TRUE,Backdoors!BI36=TRUE),VLOOKUP(Calculator!E23,tbSkills!DH3:DJ6,3,FALSE),0),0)))/100)),1))*IF(VLOOKUP(A48,tbMoveset!A2:K112,11,FALSE)=TRUE,Backdoors!AC5,1))*HZ48,0),"")</f>
        <v>0</v>
      </c>
      <c r="ID48" s="49">
        <f>VLOOKUP(A48,tbMoveset!A2:G112,7,FALSE)*IFERROR(IF(Backdoors!AI12&gt;=0,1+(IF(Calculator!E40&gt;0,VLOOKUP(Calculator!E40,tbSkills!AI3:AJ5,2,FALSE),Backdoors!AL4)*(IF((Backdoors!AI12+IF(HY48&gt;=0.45,VLOOKUP(Calculator!E23,tbSkills!DH3:DI6,2,FALSE)+IF(AND(Calculator!B8=TRUE,Backdoors!BI36=TRUE),VLOOKUP(Calculator!E23,tbSkills!DH3:DJ6,3,FALSE),0),0))&gt;=100,100,(Backdoors!AI12+IF(HY48&gt;=0.45,VLOOKUP(Calculator!E23,tbSkills!DH3:DI6,2,FALSE)+IF(AND(Calculator!B8=TRUE,Backdoors!BI36=TRUE),VLOOKUP(Calculator!E23,tbSkills!DH3:DJ6,3,FALSE),0),0)))/100)),1),1)</f>
        <v>0.5</v>
      </c>
      <c r="IE48" s="87">
        <f t="shared" si="26"/>
        <v>0</v>
      </c>
      <c r="IF48" s="86" t="str">
        <f>IFERROR(IF(VLOOKUP(A48,tbMoveset!A2:B112,2,FALSE)="Sever",Backdoors!AY37/100,IF(VLOOKUP(A48,tbMoveset!A2:B112,2,FALSE)="Blunt",Backdoors!AZ37/100,Backdoors!BA37/100)),"")</f>
        <v/>
      </c>
      <c r="IG48" s="49">
        <f>IFERROR(IF(VLOOKUP(tbMoveset!A48,tbMoveset!A2:H112,8,FALSE)="Other",IF(VLOOKUP(tbMoveset!A48,tbMoveset!A2:I112,9,FALSE)="Fire",Backdoors!BB37,IF(VLOOKUP(tbMoveset!A48,tbMoveset!A2:I112,9,FALSE)="Water",Backdoors!BC37,IF(VLOOKUP(tbMoveset!A48,tbMoveset!A2:I112,9,FALSE)="Thunder",Backdoors!BD37,IF(VLOOKUP(tbMoveset!A48,tbMoveset!A2:I112,9,FALSE)="Ice",Backdoors!BE37,IF(VLOOKUP(tbMoveset!A48,tbMoveset!A2:I112,9,FALSE)="Dragon",Backdoors!BF37,Backdoors!BG37)))))/100,Backdoors!BG37/100),"")</f>
        <v>0</v>
      </c>
      <c r="IH48" s="49">
        <f>IFERROR(IF(VLOOKUP(A48,tbMoveset!A2:J112,10,FALSE)=TRUE,IF((Backdoors!AI12+IF(IF48&gt;=0.45,VLOOKUP(Calculator!E23,tbSkills!DH3:DI6,2,FALSE)+IF(AND(Calculator!B8=TRUE,Backdoors!BI37=TRUE),VLOOKUP(Calculator!E23,tbSkills!DH3:DJ6,3,FALSE),0),0))&gt;=0,1+(Backdoors!AL2*(IF((Backdoors!AI12+IF(IF48&gt;=0.45,VLOOKUP(Calculator!E23,tbSkills!DH3:DI6,2,FALSE)+IF(AND(Calculator!B8=TRUE,Backdoors!BI37=TRUE),VLOOKUP(Calculator!E23,tbSkills!DH3:DJ6,3,FALSE),0),0))&gt;=100,100,(Backdoors!AI12+IF(IF48&gt;=0.45,VLOOKUP(Calculator!E23,tbSkills!DH3:DI6,2,FALSE)+IF(AND(Calculator!B8=TRUE,Backdoors!BI37=TRUE),VLOOKUP(Calculator!E23,tbSkills!DH3:DJ6,3,FALSE),0),0)))/100)),(1-(0.25*((-Backdoors!AI12-IF(IF48&gt;=0.45,VLOOKUP(Calculator!E23,tbSkills!DH3:DI6,2,FALSE)+IF(AND(Calculator!B8=TRUE,Backdoors!BI37=TRUE),VLOOKUP(Calculator!E23,tbSkills!DH3:DJ6,3,FALSE),0),0))/100)))),1),"")</f>
        <v>1</v>
      </c>
      <c r="II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F48)*IH48)*(VLOOKUP(A48,tbMoveset!A2:C112,3,FALSE)/100)*IF(VLOOKUP(A48,tbMoveset!A2:B112,2,FALSE)="Projectile",Backdoors!N10,Backdoors!N9),0),"")</f>
        <v/>
      </c>
      <c r="IJ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IF48&gt;=0.45,VLOOKUP(Calculator!E23,tbSkills!DH3:DI6,2,FALSE)+IF(AND(Calculator!B8=TRUE,Backdoors!BI37=TRUE),VLOOKUP(Calculator!E23,tbSkills!DH3:DJ6,3,FALSE),0),0))&gt;=100,100,(Backdoors!AI12+IF(IF48&gt;=0.45,VLOOKUP(Calculator!E23,tbSkills!DH3:DI6,2,FALSE)+IF(AND(Calculator!B8=TRUE,Backdoors!BI37=TRUE),VLOOKUP(Calculator!E23,tbSkills!DH3:DJ6,3,FALSE),0),0)))/100)),1))*IF(VLOOKUP(A48,tbMoveset!A2:K112,11,FALSE)=TRUE,Backdoors!AC5,1))*IG48,0),"")</f>
        <v>0</v>
      </c>
      <c r="IK48" s="49">
        <f>VLOOKUP(A48,tbMoveset!A2:G112,7,FALSE)*IFERROR(IF(Backdoors!AI12&gt;=0,1+(IF(Calculator!E40&gt;0,VLOOKUP(Calculator!E40,tbSkills!AI3:AJ5,2,FALSE),Backdoors!AL4)*(IF((Backdoors!AI12+IF(IF48&gt;=0.45,VLOOKUP(Calculator!E23,tbSkills!DH3:DI6,2,FALSE)+IF(AND(Calculator!B8=TRUE,Backdoors!BI37=TRUE),VLOOKUP(Calculator!E23,tbSkills!DH3:DJ6,3,FALSE),0),0))&gt;=100,100,(Backdoors!AI12+IF(IF48&gt;=0.45,VLOOKUP(Calculator!E23,tbSkills!DH3:DI6,2,FALSE)+IF(AND(Calculator!B8=TRUE,Backdoors!BI37=TRUE),VLOOKUP(Calculator!E23,tbSkills!DH3:DJ6,3,FALSE),0),0)))/100)),1),1)</f>
        <v>0.5</v>
      </c>
      <c r="IL48" s="87">
        <f t="shared" si="27"/>
        <v>0</v>
      </c>
      <c r="IM48" s="86" t="str">
        <f>IFERROR(IF(VLOOKUP(A48,tbMoveset!A2:B112,2,FALSE)="Sever",Backdoors!AY38/100,IF(VLOOKUP(A48,tbMoveset!A2:B112,2,FALSE)="Blunt",Backdoors!AZ38/100,Backdoors!BA38/100)),"")</f>
        <v/>
      </c>
      <c r="IN48" s="49">
        <f>IFERROR(IF(VLOOKUP(tbMoveset!A48,tbMoveset!A2:H112,8,FALSE)="Other",IF(VLOOKUP(tbMoveset!A48,tbMoveset!A2:I112,9,FALSE)="Fire",Backdoors!BB38,IF(VLOOKUP(tbMoveset!A48,tbMoveset!A2:I112,9,FALSE)="Water",Backdoors!BC38,IF(VLOOKUP(tbMoveset!A48,tbMoveset!A2:I112,9,FALSE)="Thunder",Backdoors!BD38,IF(VLOOKUP(tbMoveset!A48,tbMoveset!A2:I112,9,FALSE)="Ice",Backdoors!BE38,IF(VLOOKUP(tbMoveset!A48,tbMoveset!A2:I112,9,FALSE)="Dragon",Backdoors!BF38,Backdoors!BG38)))))/100,Backdoors!BG38/100),"")</f>
        <v>0</v>
      </c>
      <c r="IO48" s="49">
        <f>IFERROR(IF(VLOOKUP(A48,tbMoveset!A2:J112,10,FALSE)=TRUE,IF((Backdoors!AI12+IF(IM48&gt;=0.45,VLOOKUP(Calculator!E23,tbSkills!DH3:DI6,2,FALSE)+IF(AND(Calculator!B8=TRUE,Backdoors!BI38=TRUE),VLOOKUP(Calculator!E23,tbSkills!DH3:DJ6,3,FALSE),0),0))&gt;=0,1+(Backdoors!AL2*(IF((Backdoors!AI12+IF(IM48&gt;=0.45,VLOOKUP(Calculator!E23,tbSkills!DH3:DI6,2,FALSE)+IF(AND(Calculator!B8=TRUE,Backdoors!BI38=TRUE),VLOOKUP(Calculator!E23,tbSkills!DH3:DJ6,3,FALSE),0),0))&gt;=100,100,(Backdoors!AI12+IF(IM48&gt;=0.45,VLOOKUP(Calculator!E23,tbSkills!DH3:DI6,2,FALSE)+IF(AND(Calculator!B8=TRUE,Backdoors!BI38=TRUE),VLOOKUP(Calculator!E23,tbSkills!DH3:DJ6,3,FALSE),0),0)))/100)),(1-(0.25*((-Backdoors!AI12-IF(IM48&gt;=0.45,VLOOKUP(Calculator!E23,tbSkills!DH3:DI6,2,FALSE)+IF(AND(Calculator!B8=TRUE,Backdoors!BI38=TRUE),VLOOKUP(Calculator!E23,tbSkills!DH3:DJ6,3,FALSE),0),0))/100)))),1),"")</f>
        <v>1</v>
      </c>
      <c r="IP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M48)*IO48)*(VLOOKUP(A48,tbMoveset!A2:C112,3,FALSE)/100)*IF(VLOOKUP(A48,tbMoveset!A2:B112,2,FALSE)="Projectile",Backdoors!N10,Backdoors!N9),0),"")</f>
        <v/>
      </c>
      <c r="IQ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IM48&gt;=0.45,VLOOKUP(Calculator!E23,tbSkills!DH3:DI6,2,FALSE)+IF(AND(Calculator!B8=TRUE,Backdoors!BI38=TRUE),VLOOKUP(Calculator!E23,tbSkills!DH3:DJ6,3,FALSE),0),0))&gt;=100,100,(Backdoors!AI12+IF(IM48&gt;=0.45,VLOOKUP(Calculator!E23,tbSkills!DH3:DI6,2,FALSE)+IF(AND(Calculator!B8=TRUE,Backdoors!BI38=TRUE),VLOOKUP(Calculator!E23,tbSkills!DH3:DJ6,3,FALSE),0),0)))/100)),1))*IF(VLOOKUP(A48,tbMoveset!A2:K112,11,FALSE)=TRUE,Backdoors!AC5,1))*IN48,0),"")</f>
        <v>0</v>
      </c>
      <c r="IR48" s="49">
        <f>VLOOKUP(A48,tbMoveset!A2:G112,7,FALSE)*IFERROR(IF(Backdoors!AI12&gt;=0,1+(IF(Calculator!E40&gt;0,VLOOKUP(Calculator!E40,tbSkills!AI3:AJ5,2,FALSE),Backdoors!AL4)*(IF((Backdoors!AI12+IF(IM48&gt;=0.45,VLOOKUP(Calculator!E23,tbSkills!DH3:DI6,2,FALSE)+IF(AND(Calculator!B8=TRUE,Backdoors!BI38=TRUE),VLOOKUP(Calculator!E23,tbSkills!DH3:DJ6,3,FALSE),0),0))&gt;=100,100,(Backdoors!AI12+IF(IM48&gt;=0.45,VLOOKUP(Calculator!E23,tbSkills!DH3:DI6,2,FALSE)+IF(AND(Calculator!B8=TRUE,Backdoors!BI38=TRUE),VLOOKUP(Calculator!E23,tbSkills!DH3:DJ6,3,FALSE),0),0)))/100)),1),1)</f>
        <v>0.5</v>
      </c>
      <c r="IS48" s="87">
        <f t="shared" si="42"/>
        <v>0</v>
      </c>
      <c r="IT48" s="86" t="str">
        <f>IFERROR(IF(VLOOKUP(A48,tbMoveset!A2:B112,2,FALSE)="Sever",Backdoors!AY39/100,IF(VLOOKUP(A48,tbMoveset!A2:B112,2,FALSE)="Blunt",Backdoors!AZ39/100,Backdoors!BA39/100)),"")</f>
        <v/>
      </c>
      <c r="IU48" s="49">
        <f>IFERROR(IF(VLOOKUP(tbMoveset!A48,tbMoveset!A2:H112,8,FALSE)="Other",IF(VLOOKUP(tbMoveset!A48,tbMoveset!A2:I112,9,FALSE)="Fire",Backdoors!BB39,IF(VLOOKUP(tbMoveset!A48,tbMoveset!A2:I112,9,FALSE)="Water",Backdoors!BC39,IF(VLOOKUP(tbMoveset!A48,tbMoveset!A2:I112,9,FALSE)="Thunder",Backdoors!BD39,IF(VLOOKUP(tbMoveset!A48,tbMoveset!A2:I112,9,FALSE)="Ice",Backdoors!BE39,IF(VLOOKUP(tbMoveset!A48,tbMoveset!A2:I112,9,FALSE)="Dragon",Backdoors!BF39,Backdoors!BG39)))))/100,Backdoors!BG39/100),"")</f>
        <v>0</v>
      </c>
      <c r="IV48" s="49">
        <f>IFERROR(IF(VLOOKUP(A48,tbMoveset!A2:J112,10,FALSE)=TRUE,IF((Backdoors!AI12+IF(IT48&gt;=0.45,VLOOKUP(Calculator!E23,tbSkills!DH3:DI6,2,FALSE)+IF(AND(Calculator!B8=TRUE,Backdoors!BI39=TRUE),VLOOKUP(Calculator!E23,tbSkills!DH3:DJ6,3,FALSE),0),0))&gt;=0,1+(Backdoors!AL2*(IF((Backdoors!AI12+IF(IT48&gt;=0.45,VLOOKUP(Calculator!E23,tbSkills!DH3:DI6,2,FALSE)+IF(AND(Calculator!B8=TRUE,Backdoors!BI39=TRUE),VLOOKUP(Calculator!E23,tbSkills!DH3:DJ6,3,FALSE),0),0))&gt;=100,100,(Backdoors!AI12+IF(IT48&gt;=0.45,VLOOKUP(Calculator!E23,tbSkills!DH3:DI6,2,FALSE)+IF(AND(Calculator!B8=TRUE,Backdoors!BI39=TRUE),VLOOKUP(Calculator!E23,tbSkills!DH3:DJ6,3,FALSE),0),0)))/100)),(1-(0.25*((-Backdoors!AI12-IF(IT48&gt;=0.45,VLOOKUP(Calculator!E23,tbSkills!DH3:DI6,2,FALSE)+IF(AND(Calculator!B8=TRUE,Backdoors!BI39=TRUE),VLOOKUP(Calculator!E23,tbSkills!DH3:DJ6,3,FALSE),0),0))/100)))),1),"")</f>
        <v>1</v>
      </c>
      <c r="IW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T48)*IV48)*(VLOOKUP(A48,tbMoveset!A2:C112,3,FALSE)/100)*IF(VLOOKUP(A48,tbMoveset!A2:B112,2,FALSE)="Projectile",Backdoors!N10,Backdoors!N9),0),"")</f>
        <v/>
      </c>
      <c r="IX48" s="49">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40&gt;0,VLOOKUP(Calculator!E40,tbSkills!AC3:AD5,2,FALSE),Backdoors!AL3)*(IF((Backdoors!AI12+IF(IT48&gt;=0.45,VLOOKUP(Calculator!E23,tbSkills!DH3:DI6,2,FALSE)+IF(AND(Calculator!B8=TRUE,Backdoors!BI39=TRUE),VLOOKUP(Calculator!E23,tbSkills!DH3:DJ6,3,FALSE),0),0))&gt;=100,100,(Backdoors!AI12+IF(IT48&gt;=0.45,VLOOKUP(Calculator!E23,tbSkills!DH3:DI6,2,FALSE)+IF(AND(Calculator!B8=TRUE,Backdoors!BI39=TRUE),VLOOKUP(Calculator!E23,tbSkills!DH3:DJ6,3,FALSE),0),0)))/100)),1))*IF(VLOOKUP(A48,tbMoveset!A2:K112,11,FALSE)=TRUE,Backdoors!AC5,1))*IU48,0),"")</f>
        <v>0</v>
      </c>
      <c r="IY48" s="49">
        <f>VLOOKUP(A48,tbMoveset!A2:G112,7,FALSE)*IFERROR(IF(Backdoors!AI12&gt;=0,1+(IF(Calculator!E40&gt;0,VLOOKUP(Calculator!E40,tbSkills!AI3:AJ5,2,FALSE),Backdoors!AL4)*(IF((Backdoors!AI12+IF(IT48&gt;=0.45,VLOOKUP(Calculator!E23,tbSkills!DH3:DI6,2,FALSE)+IF(AND(Calculator!B8=TRUE,Backdoors!BI39=TRUE),VLOOKUP(Calculator!E23,tbSkills!DH3:DJ6,3,FALSE),0),0))&gt;=100,100,(Backdoors!AI12+IF(IT48&gt;=0.45,VLOOKUP(Calculator!E23,tbSkills!DH3:DI6,2,FALSE)+IF(AND(Calculator!B8=TRUE,Backdoors!BI39=TRUE),VLOOKUP(Calculator!E23,tbSkills!DH3:DJ6,3,FALSE),0),0)))/100)),1),1)</f>
        <v>0.5</v>
      </c>
      <c r="IZ48" s="87">
        <f t="shared" si="28"/>
        <v>0</v>
      </c>
      <c r="JA48" s="86" t="str">
        <f>IFERROR(IF(VLOOKUP(A48,tbMoveset!A2:B112,2,FALSE)="Sever",Backdoors!AY40/100,IF(VLOOKUP(A48,tbMoveset!A2:B112,2,FALSE)="Blunt",Backdoors!AZ40/100,Backdoors!BA40/100)),"")</f>
        <v/>
      </c>
      <c r="JB48" s="49">
        <f>IFERROR(IF(VLOOKUP(tbMoveset!A48,tbMoveset!A2:H112,8,FALSE)="Other",IF(VLOOKUP(tbMoveset!A48,tbMoveset!A2:I112,9,FALSE)="Fire",Backdoors!BB40,IF(VLOOKUP(tbMoveset!A48,tbMoveset!A2:I112,9,FALSE)="Water",Backdoors!BC40,IF(VLOOKUP(tbMoveset!A48,tbMoveset!A2:I112,9,FALSE)="Thunder",Backdoors!BD40,IF(VLOOKUP(tbMoveset!A48,tbMoveset!A2:I112,9,FALSE)="Ice",Backdoors!BE40,IF(VLOOKUP(tbMoveset!A48,tbMoveset!A2:I112,9,FALSE)="Dragon",Backdoors!BF40,Backdoors!BG40)))))/100,Backdoors!BG40/100),"")</f>
        <v>0</v>
      </c>
      <c r="JC48" s="49">
        <f>IFERROR(IF(VLOOKUP(A48,tbMoveset!A2:J112,10,FALSE)=TRUE,IF((Backdoors!AI12+IF(JA48&gt;=0.45,VLOOKUP(Calculator!E23,tbSkills!DH3:DI6,2,FALSE)+IF(AND(Calculator!B8=TRUE,Backdoors!BI40=TRUE),VLOOKUP(Calculator!E23,tbSkills!DH3:DJ6,3,FALSE),0),0))&gt;=0,1+(Backdoors!AL2*(IF((Backdoors!AI12+IF(JA48&gt;=0.45,VLOOKUP(Calculator!E23,tbSkills!DH3:DI6,2,FALSE)+IF(AND(Calculator!B8=TRUE,Backdoors!BI40=TRUE),VLOOKUP(Calculator!E23,tbSkills!DH3:DJ6,3,FALSE),0),0))&gt;=100,100,(Backdoors!AI12+IF(JA48&gt;=0.45,VLOOKUP(Calculator!E23,tbSkills!DH3:DI6,2,FALSE)+IF(AND(Calculator!B8=TRUE,Backdoors!BI40=TRUE),VLOOKUP(Calculator!E23,tbSkills!DH3:DJ6,3,FALSE),0),0)))/100)),(1-(0.25*((-Backdoors!AI12-IF(JA48&gt;=0.45,VLOOKUP(Calculator!E23,tbSkills!DH3:DI6,2,FALSE)+IF(AND(Calculator!B8=TRUE,Backdoors!BI40=TRUE),VLOOKUP(Calculator!E23,tbSkills!DH3:DJ6,3,FALSE),0),0))/100)))),1),"")</f>
        <v>1</v>
      </c>
      <c r="JD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A48)*JC48)*(VLOOKUP(A48,tbMoveset!A2:C112,3,FALSE)/100)*IF(VLOOKUP(A48,tbMoveset!A2:B112,2,FALSE)="Projectile",Backdoors!N10,Backdoors!N9),0),"")</f>
        <v/>
      </c>
      <c r="JE48" s="49">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42&gt;0,VLOOKUP(Calculator!E42,tbSkills!AC3:AD5,2,FALSE),Backdoors!AL3)*(IF((Backdoors!AI12+IF(JA48&gt;=0.45,VLOOKUP(Calculator!E23,tbSkills!DH3:DI6,2,FALSE)+IF(AND(Calculator!B8=TRUE,Backdoors!BI40=TRUE),VLOOKUP(Calculator!E23,tbSkills!DH3:DJ6,3,FALSE),0),0))&gt;=100,100,(Backdoors!AI12+IF(JA48&gt;=0.45,VLOOKUP(Calculator!E23,tbSkills!DH3:DI6,2,FALSE)+IF(AND(Calculator!B8=TRUE,Backdoors!BI40=TRUE),VLOOKUP(Calculator!E23,tbSkills!DH3:DJ6,3,FALSE),0),0)))/100)),1))*IF(VLOOKUP(A48,tbMoveset!A2:K112,11,FALSE)=TRUE,Backdoors!AC5,1))*JB48,0),"")</f>
        <v>0</v>
      </c>
      <c r="JF48" s="49">
        <f>VLOOKUP(A48,tbMoveset!A2:G112,7,FALSE)*IFERROR(IF(Backdoors!AI12&gt;=0,1+(IF(Calculator!E40&gt;0,VLOOKUP(Calculator!E40,tbSkills!AI3:AJ5,2,FALSE),Backdoors!AL4)*(IF((Backdoors!AI12+IF(JA48&gt;=0.45,VLOOKUP(Calculator!E23,tbSkills!DH3:DI6,2,FALSE)+IF(AND(Calculator!B8=TRUE,Backdoors!BI40=TRUE),VLOOKUP(Calculator!E23,tbSkills!DH3:DJ6,3,FALSE),0),0))&gt;=100,100,(Backdoors!AI12+IF(JA48&gt;=0.45,VLOOKUP(Calculator!E23,tbSkills!DH3:DI6,2,FALSE)+IF(AND(Calculator!B8=TRUE,Backdoors!BI40=TRUE),VLOOKUP(Calculator!E23,tbSkills!DH3:DJ6,3,FALSE),0),0)))/100)),1),1)</f>
        <v>0.5</v>
      </c>
      <c r="JG48" s="87">
        <f t="shared" si="29"/>
        <v>0</v>
      </c>
      <c r="JH48" s="86" t="str">
        <f>IFERROR(IF(VLOOKUP(A48,tbMoveset!A2:B112,2,FALSE)="Sever",Backdoors!AY41/100,IF(VLOOKUP(A48,tbMoveset!A2:B112,2,FALSE)="Blunt",Backdoors!AZ41/100,Backdoors!BA41/100)),"")</f>
        <v/>
      </c>
      <c r="JI48" s="49">
        <f>IFERROR(IF(VLOOKUP(tbMoveset!A48,tbMoveset!A2:H112,8,FALSE)="Other",IF(VLOOKUP(tbMoveset!A48,tbMoveset!A2:I112,9,FALSE)="Fire",Backdoors!BB41,IF(VLOOKUP(tbMoveset!A48,tbMoveset!A2:I112,9,FALSE)="Water",Backdoors!BC41,IF(VLOOKUP(tbMoveset!A48,tbMoveset!A2:I112,9,FALSE)="Thunder",Backdoors!BD41,IF(VLOOKUP(tbMoveset!A48,tbMoveset!A2:I112,9,FALSE)="Ice",Backdoors!BE41,IF(VLOOKUP(tbMoveset!A48,tbMoveset!A2:I112,9,FALSE)="Dragon",Backdoors!BF41,Backdoors!BG41)))))/100,Backdoors!BG41/100),"")</f>
        <v>0</v>
      </c>
      <c r="JJ48" s="49">
        <f>IFERROR(IF(VLOOKUP(A48,tbMoveset!A2:J112,10,FALSE)=TRUE,IF((Backdoors!AI12+IF(JH48&gt;=0.45,VLOOKUP(Calculator!E23,tbSkills!DH3:DI6,2,FALSE)+IF(AND(Calculator!B8=TRUE,Backdoors!BI41=TRUE),VLOOKUP(Calculator!E23,tbSkills!DH3:DJ6,3,FALSE),0),0))&gt;=0,1+(Backdoors!AL2*(IF((Backdoors!AI12+IF(JH48&gt;=0.45,VLOOKUP(Calculator!E23,tbSkills!DH3:DI6,2,FALSE)+IF(AND(Calculator!B8=TRUE,Backdoors!BI41=TRUE),VLOOKUP(Calculator!E23,tbSkills!DH3:DJ6,3,FALSE),0),0))&gt;=100,100,(Backdoors!AI12+IF(JH48&gt;=0.45,VLOOKUP(Calculator!E23,tbSkills!DH3:DI6,2,FALSE)+IF(AND(Calculator!B8=TRUE,Backdoors!BI41=TRUE),VLOOKUP(Calculator!E23,tbSkills!DH3:DJ6,3,FALSE),0),0)))/100)),(1-(0.25*((-Backdoors!AI12-IF(JH48&gt;=0.45,VLOOKUP(Calculator!E23,tbSkills!DH3:DI6,2,FALSE)+IF(AND(Calculator!B8=TRUE,Backdoors!BI41=TRUE),VLOOKUP(Calculator!E23,tbSkills!DH3:DJ6,3,FALSE),0),0))/100)))),1),"")</f>
        <v>1</v>
      </c>
      <c r="JK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H48)*JJ48)*(VLOOKUP(A48,tbMoveset!A2:C112,3,FALSE)/100)*IF(VLOOKUP(A48,tbMoveset!A2:B112,2,FALSE)="Projectile",Backdoors!N10,Backdoors!N9),0),"")</f>
        <v/>
      </c>
      <c r="JL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43&gt;0,VLOOKUP(Calculator!E43,tbSkills!AC3:AD5,2,FALSE),Backdoors!AL3)*(IF((Backdoors!AI12+IF(JH48&gt;=0.45,VLOOKUP(Calculator!E23,tbSkills!DH3:DI6,2,FALSE)+IF(AND(Calculator!B8=TRUE,Backdoors!BI41=TRUE),VLOOKUP(Calculator!E23,tbSkills!DH3:DJ6,3,FALSE),0),0))&gt;=100,100,(Backdoors!AI12+IF(JH48&gt;=0.45,VLOOKUP(Calculator!E23,tbSkills!DH3:DI6,2,FALSE)+IF(AND(Calculator!B8=TRUE,Backdoors!BI41=TRUE),VLOOKUP(Calculator!E23,tbSkills!DH3:DJ6,3,FALSE),0),0)))/100)),1))*IF(VLOOKUP(A48,tbMoveset!A2:K112,11,FALSE)=TRUE,Backdoors!AC5,1))*JI48,0),"")</f>
        <v/>
      </c>
      <c r="JM48" s="49">
        <f>VLOOKUP(A48,tbMoveset!A2:G112,7,FALSE)*IFERROR(IF(Backdoors!AI12&gt;=0,1+(IF(Calculator!E40&gt;0,VLOOKUP(Calculator!E40,tbSkills!AI3:AJ5,2,FALSE),Backdoors!AL4)*(IF((Backdoors!AI12+IF(JH48&gt;=0.45,VLOOKUP(Calculator!E23,tbSkills!DH3:DI6,2,FALSE)+IF(AND(Calculator!B8=TRUE,Backdoors!BI41=TRUE),VLOOKUP(Calculator!E23,tbSkills!DH3:DJ6,3,FALSE),0),0))&gt;=100,100,(Backdoors!AI12+IF(JH48&gt;=0.45,VLOOKUP(Calculator!E23,tbSkills!DH3:DI6,2,FALSE)+IF(AND(Calculator!B8=TRUE,Backdoors!BI41=TRUE),VLOOKUP(Calculator!E23,tbSkills!DH3:DJ6,3,FALSE),0),0)))/100)),1),1)</f>
        <v>0.5</v>
      </c>
      <c r="JN48" s="87">
        <f t="shared" si="30"/>
        <v>0</v>
      </c>
      <c r="JO48" s="86" t="str">
        <f>IFERROR(IF(VLOOKUP(A48,tbMoveset!A2:B112,2,FALSE)="Sever",Backdoors!AY42/100,IF(VLOOKUP(A48,tbMoveset!A2:B112,2,FALSE)="Blunt",Backdoors!AZ42/100,Backdoors!BA42/100)),"")</f>
        <v/>
      </c>
      <c r="JP48" s="49">
        <f>IFERROR(IF(VLOOKUP(tbMoveset!A48,tbMoveset!A2:H112,8,FALSE)="Other",IF(VLOOKUP(tbMoveset!A48,tbMoveset!A2:I112,9,FALSE)="Fire",Backdoors!BB42,IF(VLOOKUP(tbMoveset!A48,tbMoveset!A2:I112,9,FALSE)="Water",Backdoors!BC42,IF(VLOOKUP(tbMoveset!A48,tbMoveset!A2:I112,9,FALSE)="Thunder",Backdoors!BD42,IF(VLOOKUP(tbMoveset!A48,tbMoveset!A2:I112,9,FALSE)="Ice",Backdoors!BE42,IF(VLOOKUP(tbMoveset!A48,tbMoveset!A2:I112,9,FALSE)="Dragon",Backdoors!BF42,Backdoors!BG42)))))/100,Backdoors!BG42/100),"")</f>
        <v>0</v>
      </c>
      <c r="JQ48" s="49">
        <f>IFERROR(IF(VLOOKUP(A48,tbMoveset!A2:J112,10,FALSE)=TRUE,IF((Backdoors!AI12+IF(JO48&gt;=0.45,VLOOKUP(Calculator!E23,tbSkills!DH3:DI6,2,FALSE)+IF(AND(Calculator!B8=TRUE,Backdoors!BI42=TRUE),VLOOKUP(Calculator!E23,tbSkills!DH3:DJ6,3,FALSE),0),0))&gt;=0,1+(Backdoors!AL2*(IF((Backdoors!AI12+IF(JO48&gt;=0.45,VLOOKUP(Calculator!E23,tbSkills!DH3:DI6,2,FALSE)+IF(AND(Calculator!B8=TRUE,Backdoors!BI42=TRUE),VLOOKUP(Calculator!E23,tbSkills!DH3:DJ6,3,FALSE),0),0))&gt;=100,100,(Backdoors!AI12+IF(JO48&gt;=0.45,VLOOKUP(Calculator!E23,tbSkills!DH3:DI6,2,FALSE)+IF(AND(Calculator!B8=TRUE,Backdoors!BI42=TRUE),VLOOKUP(Calculator!E23,tbSkills!DH3:DJ6,3,FALSE),0),0)))/100)),(1-(0.25*((-Backdoors!AI12-IF(JO48&gt;=0.45,VLOOKUP(Calculator!E23,tbSkills!DH3:DI6,2,FALSE)+IF(AND(Calculator!B8=TRUE,Backdoors!BI42=TRUE),VLOOKUP(Calculator!E23,tbSkills!DH3:DJ6,3,FALSE),0),0))/100)))),1),"")</f>
        <v>1</v>
      </c>
      <c r="JR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O48)*JQ48)*(VLOOKUP(A48,tbMoveset!A2:C112,3,FALSE)/100)*IF(VLOOKUP(A48,tbMoveset!A2:B112,2,FALSE)="Projectile",Backdoors!N10,Backdoors!N9),0),"")</f>
        <v/>
      </c>
      <c r="JS48" s="49">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45&gt;0,VLOOKUP(Calculator!E45,tbSkills!AC3:AD5,2,FALSE),Backdoors!AL3)*(IF((Backdoors!AI12+IF(JO48&gt;=0.45,VLOOKUP(Calculator!E23,tbSkills!DH3:DI6,2,FALSE)+IF(AND(Calculator!B8=TRUE,Backdoors!BI42=TRUE),VLOOKUP(Calculator!E23,tbSkills!DH3:DJ6,3,FALSE),0),0))&gt;=100,100,(Backdoors!AI12+IF(JO48&gt;=0.45,VLOOKUP(Calculator!E23,tbSkills!DH3:DI6,2,FALSE)+IF(AND(Calculator!B8=TRUE,Backdoors!BI42=TRUE),VLOOKUP(Calculator!E23,tbSkills!DH3:DJ6,3,FALSE),0),0)))/100)),1))*IF(VLOOKUP(A48,tbMoveset!A2:K112,11,FALSE)=TRUE,Backdoors!AC5,1))*JP48,0),"")</f>
        <v>0</v>
      </c>
      <c r="JT48" s="49">
        <f>VLOOKUP(A48,tbMoveset!A2:G112,7,FALSE)*IFERROR(IF(Backdoors!AI12&gt;=0,1+(IF(Calculator!E40&gt;0,VLOOKUP(Calculator!E40,tbSkills!AI3:AJ5,2,FALSE),Backdoors!AL4)*(IF((Backdoors!AI12+IF(JO48&gt;=0.45,VLOOKUP(Calculator!E23,tbSkills!DH3:DI6,2,FALSE)+IF(AND(Calculator!B8=TRUE,Backdoors!BI42=TRUE),VLOOKUP(Calculator!E23,tbSkills!DH3:DJ6,3,FALSE),0),0))&gt;=100,100,(Backdoors!AI12+IF(JO48&gt;=0.45,VLOOKUP(Calculator!E23,tbSkills!DH3:DI6,2,FALSE)+IF(AND(Calculator!B8=TRUE,Backdoors!BI42=TRUE),VLOOKUP(Calculator!E23,tbSkills!DH3:DJ6,3,FALSE),0),0)))/100)),1),1)</f>
        <v>0.5</v>
      </c>
      <c r="JU48" s="87">
        <f t="shared" si="31"/>
        <v>0</v>
      </c>
      <c r="JV48" s="86" t="str">
        <f>IFERROR(IF(VLOOKUP(A48,tbMoveset!A2:B112,2,FALSE)="Sever",Backdoors!AY43/100,IF(VLOOKUP(A48,tbMoveset!A2:B112,2,FALSE)="Blunt",Backdoors!AZ43/100,Backdoors!BA43/100)),"")</f>
        <v/>
      </c>
      <c r="JW48" s="49">
        <f>IFERROR(IF(VLOOKUP(tbMoveset!A48,tbMoveset!A2:H112,8,FALSE)="Other",IF(VLOOKUP(tbMoveset!A48,tbMoveset!A2:I112,9,FALSE)="Fire",Backdoors!BB43,IF(VLOOKUP(tbMoveset!A48,tbMoveset!A2:I112,9,FALSE)="Water",Backdoors!BC43,IF(VLOOKUP(tbMoveset!A48,tbMoveset!A2:I112,9,FALSE)="Thunder",Backdoors!BD43,IF(VLOOKUP(tbMoveset!A48,tbMoveset!A2:I112,9,FALSE)="Ice",Backdoors!BE43,IF(VLOOKUP(tbMoveset!A48,tbMoveset!A2:I112,9,FALSE)="Dragon",Backdoors!BF43,Backdoors!BG43)))))/100,Backdoors!BG43/100),"")</f>
        <v>0</v>
      </c>
      <c r="JX48" s="49">
        <f>IFERROR(IF(VLOOKUP(A48,tbMoveset!A2:J112,10,FALSE)=TRUE,IF((Backdoors!AI12+IF(JV48&gt;=0.45,VLOOKUP(Calculator!E23,tbSkills!DH3:DI6,2,FALSE)+IF(AND(Calculator!B8=TRUE,Backdoors!BI43=TRUE),VLOOKUP(Calculator!E23,tbSkills!DH3:DJ6,3,FALSE),0),0))&gt;=0,1+(Backdoors!AL2*(IF((Backdoors!AI12+IF(JV48&gt;=0.45,VLOOKUP(Calculator!E23,tbSkills!DH3:DI6,2,FALSE)+IF(AND(Calculator!B8=TRUE,Backdoors!BI43=TRUE),VLOOKUP(Calculator!E23,tbSkills!DH3:DJ6,3,FALSE),0),0))&gt;=100,100,(Backdoors!AI12+IF(JV48&gt;=0.45,VLOOKUP(Calculator!E23,tbSkills!DH3:DI6,2,FALSE)+IF(AND(Calculator!B8=TRUE,Backdoors!BI43=TRUE),VLOOKUP(Calculator!E23,tbSkills!DH3:DJ6,3,FALSE),0),0)))/100)),(1-(0.25*((-Backdoors!AI12-IF(JV48&gt;=0.45,VLOOKUP(Calculator!E23,tbSkills!DH3:DI6,2,FALSE)+IF(AND(Calculator!B8=TRUE,Backdoors!BI43=TRUE),VLOOKUP(Calculator!E23,tbSkills!DH3:DJ6,3,FALSE),0),0))/100)))),1),"")</f>
        <v>1</v>
      </c>
      <c r="JY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V48)*JX48)*(VLOOKUP(A48,tbMoveset!A2:C112,3,FALSE)/100)*IF(VLOOKUP(A48,tbMoveset!A2:B112,2,FALSE)="Projectile",Backdoors!N10,Backdoors!N9),0),"")</f>
        <v/>
      </c>
      <c r="JZ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46&gt;0,VLOOKUP(Calculator!E46,tbSkills!AC3:AD5,2,FALSE),Backdoors!AL3)*(IF((Backdoors!AI12+IF(JV48&gt;=0.45,VLOOKUP(Calculator!E23,tbSkills!DH3:DI6,2,FALSE)+IF(AND(Calculator!B8=TRUE,Backdoors!BI43=TRUE),VLOOKUP(Calculator!E23,tbSkills!DH3:DJ6,3,FALSE),0),0))&gt;=100,100,(Backdoors!AI12+IF(JV48&gt;=0.45,VLOOKUP(Calculator!E23,tbSkills!DH3:DI6,2,FALSE)+IF(AND(Calculator!B8=TRUE,Backdoors!BI43=TRUE),VLOOKUP(Calculator!E23,tbSkills!DH3:DJ6,3,FALSE),0),0)))/100)),1))*IF(VLOOKUP(A48,tbMoveset!A2:K112,11,FALSE)=TRUE,Backdoors!AC5,1))*JW48,0),"")</f>
        <v/>
      </c>
      <c r="KA48" s="49">
        <f>VLOOKUP(A48,tbMoveset!A2:G112,7,FALSE)*IFERROR(IF(Backdoors!AI12&gt;=0,1+(IF(Calculator!E40&gt;0,VLOOKUP(Calculator!E40,tbSkills!AI3:AJ5,2,FALSE),Backdoors!AL4)*(IF((Backdoors!AI12+IF(JV48&gt;=0.45,VLOOKUP(Calculator!E23,tbSkills!DH3:DI6,2,FALSE)+IF(AND(Calculator!B8=TRUE,Backdoors!BI43=TRUE),VLOOKUP(Calculator!E23,tbSkills!DH3:DJ6,3,FALSE),0),0))&gt;=100,100,(Backdoors!AI12+IF(JV48&gt;=0.45,VLOOKUP(Calculator!E23,tbSkills!DH3:DI6,2,FALSE)+IF(AND(Calculator!B8=TRUE,Backdoors!BI43=TRUE),VLOOKUP(Calculator!E23,tbSkills!DH3:DJ6,3,FALSE),0),0)))/100)),1),1)</f>
        <v>0.5</v>
      </c>
      <c r="KB48" s="87">
        <f t="shared" si="32"/>
        <v>0</v>
      </c>
      <c r="KC48" s="86" t="str">
        <f>IFERROR(IF(VLOOKUP(A48,tbMoveset!A2:B112,2,FALSE)="Sever",Backdoors!AY44/100,IF(VLOOKUP(A48,tbMoveset!A2:B112,2,FALSE)="Blunt",Backdoors!AZ44/100,Backdoors!BA44/100)),"")</f>
        <v/>
      </c>
      <c r="KD48" s="49">
        <f>IFERROR(IF(VLOOKUP(tbMoveset!A48,tbMoveset!A2:H112,8,FALSE)="Other",IF(VLOOKUP(tbMoveset!A48,tbMoveset!A2:I112,9,FALSE)="Fire",Backdoors!BB44,IF(VLOOKUP(tbMoveset!A48,tbMoveset!A2:I112,9,FALSE)="Water",Backdoors!BC44,IF(VLOOKUP(tbMoveset!A48,tbMoveset!A2:I112,9,FALSE)="Thunder",Backdoors!BD44,IF(VLOOKUP(tbMoveset!A48,tbMoveset!A2:I112,9,FALSE)="Ice",Backdoors!BE44,IF(VLOOKUP(tbMoveset!A48,tbMoveset!A2:I112,9,FALSE)="Dragon",Backdoors!BF44,Backdoors!BG44)))))/100,Backdoors!BG44/100),"")</f>
        <v>0</v>
      </c>
      <c r="KE48" s="49">
        <f>IFERROR(IF(VLOOKUP(A48,tbMoveset!A2:J112,10,FALSE)=TRUE,IF((Backdoors!AI12+IF(KC48&gt;=0.45,VLOOKUP(Calculator!E23,tbSkills!DH3:DI6,2,FALSE)+IF(AND(Calculator!B8=TRUE,Backdoors!BI44=TRUE),VLOOKUP(Calculator!E23,tbSkills!DH3:DJ6,3,FALSE),0),0))&gt;=0,1+(Backdoors!AL2*(IF((Backdoors!AI12+IF(KC48&gt;=0.45,VLOOKUP(Calculator!E23,tbSkills!DH3:DI6,2,FALSE)+IF(AND(Calculator!B8=TRUE,Backdoors!BI44=TRUE),VLOOKUP(Calculator!E23,tbSkills!DH3:DJ6,3,FALSE),0),0))&gt;=100,100,(Backdoors!AI12+IF(KC48&gt;=0.45,VLOOKUP(Calculator!E23,tbSkills!DH3:DI6,2,FALSE)+IF(AND(Calculator!B8=TRUE,Backdoors!BI44=TRUE),VLOOKUP(Calculator!E23,tbSkills!DH3:DJ6,3,FALSE),0),0)))/100)),(1-(0.25*((-Backdoors!AI12-IF(KC48&gt;=0.45,VLOOKUP(Calculator!E23,tbSkills!DH3:DI6,2,FALSE)+IF(AND(Calculator!B8=TRUE,Backdoors!BI44=TRUE),VLOOKUP(Calculator!E23,tbSkills!DH3:DJ6,3,FALSE),0),0))/100)))),1),"")</f>
        <v>1</v>
      </c>
      <c r="KF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KC48)*KE48)*(VLOOKUP(A48,tbMoveset!A2:C112,3,FALSE)/100)*IF(VLOOKUP(A48,tbMoveset!A2:B112,2,FALSE)="Projectile",Backdoors!N10,Backdoors!N9),0),"")</f>
        <v/>
      </c>
      <c r="KG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REF!&gt;0,VLOOKUP(Calculator!#REF!,tbSkills!AC3:AD5,2,FALSE),Backdoors!AL3)*(IF((Backdoors!AI12+IF(KC48&gt;=0.45,VLOOKUP(Calculator!E23,tbSkills!DH3:DI6,2,FALSE)+IF(AND(Calculator!B8=TRUE,Backdoors!BI44=TRUE),VLOOKUP(Calculator!E23,tbSkills!DH3:DJ6,3,FALSE),0),0))&gt;=100,100,(Backdoors!AI12+IF(KC48&gt;=0.45,VLOOKUP(Calculator!E23,tbSkills!DH3:DI6,2,FALSE)+IF(AND(Calculator!B8=TRUE,Backdoors!BI44=TRUE),VLOOKUP(Calculator!E23,tbSkills!DH3:DJ6,3,FALSE),0),0)))/100)),1))*IF(VLOOKUP(A48,tbMoveset!A2:K112,11,FALSE)=TRUE,Backdoors!AC5,1))*KD48,0),"")</f>
        <v/>
      </c>
      <c r="KH48" s="49">
        <f>VLOOKUP(A48,tbMoveset!A2:G112,7,FALSE)*IFERROR(IF(Backdoors!AI12&gt;=0,1+(IF(Calculator!E40&gt;0,VLOOKUP(Calculator!E40,tbSkills!AI3:AJ5,2,FALSE),Backdoors!AL4)*(IF((Backdoors!AI12+IF(KC48&gt;=0.45,VLOOKUP(Calculator!E23,tbSkills!DH3:DI6,2,FALSE)+IF(AND(Calculator!B8=TRUE,Backdoors!BI44=TRUE),VLOOKUP(Calculator!E23,tbSkills!DH3:DJ6,3,FALSE),0),0))&gt;=100,100,(Backdoors!AI12+IF(KC48&gt;=0.45,VLOOKUP(Calculator!E23,tbSkills!DH3:DI6,2,FALSE)+IF(AND(Calculator!B8=TRUE,Backdoors!BI44=TRUE),VLOOKUP(Calculator!E23,tbSkills!DH3:DJ6,3,FALSE),0),0)))/100)),1),1)</f>
        <v>0.5</v>
      </c>
      <c r="KI48" s="87">
        <f t="shared" si="33"/>
        <v>0</v>
      </c>
      <c r="KJ48" s="86" t="str">
        <f>IFERROR(IF(VLOOKUP(A48,tbMoveset!A2:B112,2,FALSE)="Sever",Backdoors!AY45/100,IF(VLOOKUP(A48,tbMoveset!A2:B112,2,FALSE)="Blunt",Backdoors!AZ45/100,Backdoors!BA45/100)),"")</f>
        <v/>
      </c>
      <c r="KK48" s="49">
        <f>IFERROR(IF(VLOOKUP(tbMoveset!A48,tbMoveset!A2:H112,8,FALSE)="Other",IF(VLOOKUP(tbMoveset!A48,tbMoveset!A2:I112,9,FALSE)="Fire",Backdoors!BB45,IF(VLOOKUP(tbMoveset!A48,tbMoveset!A2:I112,9,FALSE)="Water",Backdoors!BC45,IF(VLOOKUP(tbMoveset!A48,tbMoveset!A2:I112,9,FALSE)="Thunder",Backdoors!BD45,IF(VLOOKUP(tbMoveset!A48,tbMoveset!A2:I112,9,FALSE)="Ice",Backdoors!BE45,IF(VLOOKUP(tbMoveset!A48,tbMoveset!A2:I112,9,FALSE)="Dragon",Backdoors!BF45,Backdoors!BG45)))))/100,Backdoors!BG45/100),"")</f>
        <v>0</v>
      </c>
      <c r="KL48" s="49">
        <f>IFERROR(IF(VLOOKUP(A48,tbMoveset!A2:J112,10,FALSE)=TRUE,IF((Backdoors!AI12+IF(KJ48&gt;=0.45,VLOOKUP(Calculator!E23,tbSkills!DH3:DI6,2,FALSE)+IF(AND(Calculator!B8=TRUE,Backdoors!BI45=TRUE),VLOOKUP(Calculator!E23,tbSkills!DH3:DJ6,3,FALSE),0),0))&gt;=0,1+(Backdoors!AL2*(IF((Backdoors!AI12+IF(KJ48&gt;=0.45,VLOOKUP(Calculator!E23,tbSkills!DH3:DI6,2,FALSE)+IF(AND(Calculator!B8=TRUE,Backdoors!BI45=TRUE),VLOOKUP(Calculator!E23,tbSkills!DH3:DJ6,3,FALSE),0),0))&gt;=100,100,(Backdoors!AI12+IF(KJ48&gt;=0.45,VLOOKUP(Calculator!E23,tbSkills!DH3:DI6,2,FALSE)+IF(AND(Calculator!B8=TRUE,Backdoors!BI45=TRUE),VLOOKUP(Calculator!E23,tbSkills!DH3:DJ6,3,FALSE),0),0)))/100)),(1-(0.25*((-Backdoors!AI12-IF(KJ48&gt;=0.45,VLOOKUP(Calculator!E23,tbSkills!DH3:DI6,2,FALSE)+IF(AND(Calculator!B8=TRUE,Backdoors!BI45=TRUE),VLOOKUP(Calculator!E23,tbSkills!DH3:DJ6,3,FALSE),0),0))/100)))),1),"")</f>
        <v>1</v>
      </c>
      <c r="KM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KJ48)*KL48)*(VLOOKUP(A48,tbMoveset!A2:C112,3,FALSE)/100)*IF(VLOOKUP(A48,tbMoveset!A2:B112,2,FALSE)="Projectile",Backdoors!N10,Backdoors!N9),0),"")</f>
        <v/>
      </c>
      <c r="KN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REF!&gt;0,VLOOKUP(Calculator!#REF!,tbSkills!AC3:AD5,2,FALSE),Backdoors!AL3)*(IF((Backdoors!AI12+IF(KJ48&gt;=0.45,VLOOKUP(Calculator!E23,tbSkills!DH3:DI6,2,FALSE)+IF(AND(Calculator!B8=TRUE,Backdoors!BI45=TRUE),VLOOKUP(Calculator!E23,tbSkills!DH3:DJ6,3,FALSE),0),0))&gt;=100,100,(Backdoors!AI12+IF(KJ48&gt;=0.45,VLOOKUP(Calculator!E23,tbSkills!DH3:DI6,2,FALSE)+IF(AND(Calculator!B8=TRUE,Backdoors!BI45=TRUE),VLOOKUP(Calculator!E23,tbSkills!DH3:DJ6,3,FALSE),0),0)))/100)),1))*IF(VLOOKUP(A48,tbMoveset!A2:K112,11,FALSE)=TRUE,Backdoors!AC5,1))*KK48,0),"")</f>
        <v/>
      </c>
      <c r="KO48" s="49">
        <f>VLOOKUP(A48,tbMoveset!A2:G112,7,FALSE)*IFERROR(IF(Backdoors!AI12&gt;=0,1+(IF(Calculator!E40&gt;0,VLOOKUP(Calculator!E40,tbSkills!AI3:AJ5,2,FALSE),Backdoors!AL4)*(IF((Backdoors!AI12+IF(KJ48&gt;=0.45,VLOOKUP(Calculator!E23,tbSkills!DH3:DI6,2,FALSE)+IF(AND(Calculator!B8=TRUE,Backdoors!BI45=TRUE),VLOOKUP(Calculator!E23,tbSkills!DH3:DJ6,3,FALSE),0),0))&gt;=100,100,(Backdoors!AI12+IF(KJ48&gt;=0.45,VLOOKUP(Calculator!E23,tbSkills!DH3:DI6,2,FALSE)+IF(AND(Calculator!B8=TRUE,Backdoors!BI45=TRUE),VLOOKUP(Calculator!E23,tbSkills!DH3:DJ6,3,FALSE),0),0)))/100)),1),1)</f>
        <v>0.5</v>
      </c>
      <c r="KP48" s="87">
        <f t="shared" si="34"/>
        <v>0</v>
      </c>
      <c r="KQ48" s="86" t="str">
        <f>IFERROR(IF(VLOOKUP(A48,tbMoveset!A2:B112,2,FALSE)="Sever",Backdoors!AY46/100,IF(VLOOKUP(A48,tbMoveset!A2:B112,2,FALSE)="Blunt",Backdoors!AZ46/100,Backdoors!BA46/100)),"")</f>
        <v/>
      </c>
      <c r="KR48" s="49">
        <f>IFERROR(IF(VLOOKUP(tbMoveset!A48,tbMoveset!A2:H112,8,FALSE)="Other",IF(VLOOKUP(tbMoveset!A48,tbMoveset!A2:I112,9,FALSE)="Fire",Backdoors!BB46,IF(VLOOKUP(tbMoveset!A48,tbMoveset!A2:I112,9,FALSE)="Water",Backdoors!BC46,IF(VLOOKUP(tbMoveset!A48,tbMoveset!A2:I112,9,FALSE)="Thunder",Backdoors!BD46,IF(VLOOKUP(tbMoveset!A48,tbMoveset!A2:I112,9,FALSE)="Ice",Backdoors!BE46,IF(VLOOKUP(tbMoveset!A48,tbMoveset!A2:I112,9,FALSE)="Dragon",Backdoors!BF46,Backdoors!BG46)))))/100,Backdoors!BG46/100),"")</f>
        <v>0</v>
      </c>
      <c r="KS48" s="49">
        <f>IFERROR(IF(VLOOKUP(A48,tbMoveset!A2:J112,10,FALSE)=TRUE,IF((Backdoors!AI12+IF(KQ48&gt;=0.45,VLOOKUP(Calculator!E23,tbSkills!DH3:DI6,2,FALSE)+IF(AND(Calculator!B8=TRUE,Backdoors!BI46=TRUE),VLOOKUP(Calculator!E23,tbSkills!DH3:DJ6,3,FALSE),0),0))&gt;=0,1+(Backdoors!AL2*(IF((Backdoors!AI12+IF(KQ48&gt;=0.45,VLOOKUP(Calculator!E23,tbSkills!DH3:DI6,2,FALSE)+IF(AND(Calculator!B8=TRUE,Backdoors!BI46=TRUE),VLOOKUP(Calculator!E23,tbSkills!DH3:DJ6,3,FALSE),0),0))&gt;=100,100,(Backdoors!AI12+IF(KQ48&gt;=0.45,VLOOKUP(Calculator!E23,tbSkills!DH3:DI6,2,FALSE)+IF(AND(Calculator!B8=TRUE,Backdoors!BI46=TRUE),VLOOKUP(Calculator!E23,tbSkills!DH3:DJ6,3,FALSE),0),0)))/100)),(1-(0.25*((-Backdoors!AI12-IF(KQ48&gt;=0.45,VLOOKUP(Calculator!E23,tbSkills!DH3:DI6,2,FALSE)+IF(AND(Calculator!B8=TRUE,Backdoors!BI46=TRUE),VLOOKUP(Calculator!E23,tbSkills!DH3:DJ6,3,FALSE),0),0))/100)))),1),"")</f>
        <v>1</v>
      </c>
      <c r="KT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KQ48)*KS48)*(VLOOKUP(A48,tbMoveset!A2:C112,3,FALSE)/100)*IF(VLOOKUP(A48,tbMoveset!A2:B112,2,FALSE)="Projectile",Backdoors!N10,Backdoors!N9),0),"")</f>
        <v/>
      </c>
      <c r="KU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REF!&gt;0,VLOOKUP(Calculator!#REF!,tbSkills!AC3:AD5,2,FALSE),Backdoors!AL3)*(IF((Backdoors!AI12+IF(KQ48&gt;=0.45,VLOOKUP(Calculator!E23,tbSkills!DH3:DI6,2,FALSE)+IF(AND(Calculator!B8=TRUE,Backdoors!BI46=TRUE),VLOOKUP(Calculator!E23,tbSkills!DH3:DJ6,3,FALSE),0),0))&gt;=100,100,(Backdoors!AI12+IF(KQ48&gt;=0.45,VLOOKUP(Calculator!E23,tbSkills!DH3:DI6,2,FALSE)+IF(AND(Calculator!B8=TRUE,Backdoors!BI46=TRUE),VLOOKUP(Calculator!E23,tbSkills!DH3:DJ6,3,FALSE),0),0)))/100)),1))*IF(VLOOKUP(A48,tbMoveset!A2:K112,11,FALSE)=TRUE,Backdoors!AC5,1))*KR48,0),"")</f>
        <v/>
      </c>
      <c r="KV48" s="49">
        <f>VLOOKUP(A48,tbMoveset!A2:G112,7,FALSE)*IFERROR(IF(Backdoors!AI12&gt;=0,1+(IF(Calculator!E40&gt;0,VLOOKUP(Calculator!E40,tbSkills!AI3:AJ5,2,FALSE),Backdoors!AL4)*(IF((Backdoors!AI12+IF(KQ48&gt;=0.45,VLOOKUP(Calculator!E23,tbSkills!DH3:DI6,2,FALSE)+IF(AND(Calculator!B8=TRUE,Backdoors!BI46=TRUE),VLOOKUP(Calculator!E23,tbSkills!DH3:DJ6,3,FALSE),0),0))&gt;=100,100,(Backdoors!AI12+IF(KQ48&gt;=0.45,VLOOKUP(Calculator!E23,tbSkills!DH3:DI6,2,FALSE)+IF(AND(Calculator!B8=TRUE,Backdoors!BI46=TRUE),VLOOKUP(Calculator!E23,tbSkills!DH3:DJ6,3,FALSE),0),0)))/100)),1),1)</f>
        <v>0.5</v>
      </c>
      <c r="KW48" s="87">
        <f t="shared" si="35"/>
        <v>0</v>
      </c>
    </row>
    <row r="49" spans="1:309" x14ac:dyDescent="0.25">
      <c r="A49" s="95" t="str">
        <f>tbMoveset!A49</f>
        <v>Demon Flurry Rush (L2)</v>
      </c>
      <c r="B49" s="86">
        <f>IFERROR(IF(VLOOKUP(A49,tbMoveset!A2:B112,2,FALSE)="Sever",Backdoors!AY3/100,IF(VLOOKUP(A49,tbMoveset!A2:B112,2,FALSE)="Blunt",Backdoors!AZ3/100,Backdoors!BA3/100)),"")</f>
        <v>0.8</v>
      </c>
      <c r="C49" s="49">
        <f>IFERROR(IF(VLOOKUP(tbMoveset!A49,tbMoveset!A2:H112,8,FALSE)="Other",IF(VLOOKUP(tbMoveset!A49,tbMoveset!A2:I112,9,FALSE)="Fire",Backdoors!BB3,IF(VLOOKUP(tbMoveset!A49,tbMoveset!A2:I112,9,FALSE)="Water",Backdoors!BC3,IF(VLOOKUP(tbMoveset!A49,tbMoveset!A2:I112,9,FALSE)="Thunder",Backdoors!BD3,IF(VLOOKUP(tbMoveset!A49,tbMoveset!A2:I112,9,FALSE)="Ice",Backdoors!BE3,IF(VLOOKUP(tbMoveset!A49,tbMoveset!A2:I112,9,FALSE)="Dragon",Backdoors!BF3,Backdoors!BG3)))))/100,Backdoors!BG3/100),"")</f>
        <v>0</v>
      </c>
      <c r="D49" s="49">
        <f>IFERROR(IF(VLOOKUP(A49,tbMoveset!A2:J112,10,FALSE)=TRUE,IF((Backdoors!AI12+IF(B49&gt;=0.45,VLOOKUP(Calculator!E23,tbSkills!DH3:DI6,2,FALSE)+IF(AND(Calculator!B8=TRUE,Backdoors!BI3=TRUE),VLOOKUP(Calculator!E23,tbSkills!DH3:DJ6,3,FALSE),0),0))&gt;=0,1+(Backdoors!AL2*(IF((Backdoors!AI12+IF(B49&gt;=0.45,VLOOKUP(Calculator!E23,tbSkills!DH3:DI6,2,FALSE)+IF(AND(Calculator!B8=TRUE,Backdoors!BI3=TRUE),VLOOKUP(Calculator!E23,tbSkills!DH3:DJ6,3,FALSE),0),0))&gt;=100,100,(Backdoors!AI12+IF(B49&gt;=0.45,VLOOKUP(Calculator!E23,tbSkills!DH3:DI6,2,FALSE)+IF(AND(Calculator!B8=TRUE,Backdoors!BI3=TRUE),VLOOKUP(Calculator!E23,tbSkills!DH3:DJ6,3,FALSE),0),0)))/100)),(1-(0.25*((-Backdoors!AI12-IF(B49&gt;=0.45,VLOOKUP(Calculator!E23,tbSkills!DH3:DI6,2,FALSE)+IF(AND(Calculator!B8=TRUE,Backdoors!BI3=TRUE),VLOOKUP(Calculator!E23,tbSkills!DH3:DJ6,3,FALSE),0),0))/100)))),1),"")</f>
        <v>1</v>
      </c>
      <c r="E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49)*D49)*(VLOOKUP(A49,tbMoveset!A2:C112,3,FALSE)/100)*IF(VLOOKUP(A49,tbMoveset!A2:B112,2,FALSE)="Projectile",Backdoors!N10,Backdoors!N9),0),"")</f>
        <v>3</v>
      </c>
      <c r="F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49&gt;=0.45,VLOOKUP(Calculator!E23,tbSkills!DH3:DI6,2,FALSE)+IF(AND(Calculator!B8=TRUE,Backdoors!BI3=TRUE),VLOOKUP(Calculator!E23,tbSkills!DH3:DJ6,3,FALSE),0),0))&gt;=100,100,(Backdoors!AI12+IF(B49&gt;=0.45,VLOOKUP(Calculator!E23,tbSkills!DH3:DI6,2,FALSE)+IF(AND(Calculator!B8=TRUE,Backdoors!BI3=TRUE),VLOOKUP(Calculator!E23,tbSkills!DH3:DJ6,3,FALSE),0),0)))/100)),1))*IF(VLOOKUP(A49,tbMoveset!A2:K112,11,FALSE)=TRUE,Backdoors!AC5,1))*C49,0),"")</f>
        <v>0</v>
      </c>
      <c r="G49">
        <f>VLOOKUP(A49,tbMoveset!A2:G112,7,FALSE)*IFERROR(IF(Backdoors!AI12&gt;=0,1+(IF(Calculator!E40&gt;0,VLOOKUP(Calculator!E40,tbSkills!AI3:AJ5,2,FALSE),Backdoors!AL4)*(IF((Backdoors!AI12+IF(B49&gt;=0.45,VLOOKUP(Calculator!E23,tbSkills!DH3:DI6,2,FALSE)+IF(AND(Calculator!B8=TRUE,Backdoors!BI3=TRUE),VLOOKUP(Calculator!E23,tbSkills!DH3:DJ6,3,FALSE),0),0))&gt;=100,100,(Backdoors!AI12+IF(B49&gt;=0.45,VLOOKUP(Calculator!E23,tbSkills!DH3:DI6,2,FALSE)+IF(AND(Calculator!B8=TRUE,Backdoors!BI3=TRUE),VLOOKUP(Calculator!E23,tbSkills!DH3:DJ6,3,FALSE),0),0)))/100)),1),1)</f>
        <v>0.5</v>
      </c>
      <c r="H49" s="87">
        <f t="shared" si="44"/>
        <v>3</v>
      </c>
      <c r="I49" s="86">
        <f>IFERROR(IF(VLOOKUP(A49,tbMoveset!A2:B112,2,FALSE)="Sever",Backdoors!AY4/100,IF(VLOOKUP(A49,tbMoveset!A2:B112,2,FALSE)="Blunt",Backdoors!AZ4/100,Backdoors!BA4/100)),"")</f>
        <v>0.65</v>
      </c>
      <c r="J49" s="49">
        <f>IFERROR(IF(VLOOKUP(tbMoveset!A49,tbMoveset!A2:H112,8,FALSE)="Other",IF(VLOOKUP(tbMoveset!A49,tbMoveset!A2:I112,9,FALSE)="Fire",Backdoors!BB4,IF(VLOOKUP(tbMoveset!A49,tbMoveset!A2:I112,9,FALSE)="Water",Backdoors!BC4,IF(VLOOKUP(tbMoveset!A49,tbMoveset!A2:I112,9,FALSE)="Thunder",Backdoors!BD4,IF(VLOOKUP(tbMoveset!A49,tbMoveset!A2:I112,9,FALSE)="Ice",Backdoors!BE4,IF(VLOOKUP(tbMoveset!A49,tbMoveset!A2:I112,9,FALSE)="Dragon",Backdoors!BF4,Backdoors!BG4)))))/100,Backdoors!BG4/100),"")</f>
        <v>0</v>
      </c>
      <c r="K49" s="49">
        <f>IFERROR(IF(VLOOKUP(A49,tbMoveset!A2:J112,10,FALSE)=TRUE,IF((Backdoors!AI12+IF(I49&gt;=0.45,VLOOKUP(Calculator!E23,tbSkills!DH3:DI6,2,FALSE)+IF(AND(Calculator!B8=TRUE,Backdoors!BI4=TRUE),VLOOKUP(Calculator!E23,tbSkills!DH3:DJ6,3,FALSE),0),0))&gt;=0,1+(Backdoors!AL2*(IF((Backdoors!AI12+IF(I49&gt;=0.45,VLOOKUP(Calculator!E23,tbSkills!DH3:DI6,2,FALSE)+IF(AND(Calculator!B8=TRUE,Backdoors!BI4=TRUE),VLOOKUP(Calculator!E23,tbSkills!DH3:DJ6,3,FALSE),0),0))&gt;=100,100,(Backdoors!AI12+IF(I49&gt;=0.45,VLOOKUP(Calculator!E23,tbSkills!DH3:DI6,2,FALSE)+IF(AND(Calculator!B8=TRUE,Backdoors!BI4=TRUE),VLOOKUP(Calculator!E23,tbSkills!DH3:DJ6,3,FALSE),0),0)))/100)),(1-(0.25*((-Backdoors!AI12-IF(I49&gt;=0.45,VLOOKUP(Calculator!E23,tbSkills!DH3:DI6,2,FALSE)+IF(AND(Calculator!B8=TRUE,Backdoors!BI4=TRUE),VLOOKUP(Calculator!E23,tbSkills!DH3:DJ6,3,FALSE),0),0))/100)))),1),"")</f>
        <v>1</v>
      </c>
      <c r="L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49)*K49)*(VLOOKUP(A49,tbMoveset!A2:C112,3,FALSE)/100)*IF(VLOOKUP(A49,tbMoveset!A2:B112,2,FALSE)="Projectile",Backdoors!N10,Backdoors!N9),0),"")</f>
        <v>2</v>
      </c>
      <c r="M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I49&gt;=0.45,VLOOKUP(Calculator!E23,tbSkills!DH3:DI6,2,FALSE)+IF(AND(Calculator!B8=TRUE,Backdoors!BI4=TRUE),VLOOKUP(Calculator!E23,tbSkills!DH3:DJ6,3,FALSE),0),0))&gt;=100,100,(Backdoors!AI12+IF(I49&gt;=0.45,VLOOKUP(Calculator!E23,tbSkills!DH3:DI6,2,FALSE)+IF(AND(Calculator!B8=TRUE,Backdoors!BI4=TRUE),VLOOKUP(Calculator!E23,tbSkills!DH3:DJ6,3,FALSE),0),0)))/100)),1))*IF(VLOOKUP(A49,tbMoveset!A2:K112,11,FALSE)=TRUE,Backdoors!AC5,1))*J49,0),"")</f>
        <v>0</v>
      </c>
      <c r="N49" s="49">
        <f>VLOOKUP(A49,tbMoveset!A2:G112,7,FALSE)*IFERROR(IF(Backdoors!AI12&gt;=0,1+(IF(Calculator!E40&gt;0,VLOOKUP(Calculator!E40,tbSkills!AI3:AJ5,2,FALSE),Backdoors!AL4)*(IF((Backdoors!AI12+IF(I49&gt;=0.45,VLOOKUP(Calculator!E23,tbSkills!DH3:DI6,2,FALSE)+IF(AND(Calculator!B8=TRUE,Backdoors!BI4=TRUE),VLOOKUP(Calculator!E23,tbSkills!DH3:DJ6,3,FALSE),0),0))&gt;=100,100,(Backdoors!AI12+IF(I49&gt;=0.45,VLOOKUP(Calculator!E23,tbSkills!DH3:DI6,2,FALSE)+IF(AND(Calculator!B8=TRUE,Backdoors!BI4=TRUE),VLOOKUP(Calculator!E23,tbSkills!DH3:DJ6,3,FALSE),0),0)))/100)),1),1)</f>
        <v>0.5</v>
      </c>
      <c r="O49" s="87">
        <f t="shared" si="45"/>
        <v>2</v>
      </c>
      <c r="P49" s="86">
        <f>IFERROR(IF(VLOOKUP(A49,tbMoveset!A2:B112,2,FALSE)="Sever",Backdoors!AY5/100,IF(VLOOKUP(A49,tbMoveset!A2:B112,2,FALSE)="Blunt",Backdoors!AZ5/100,Backdoors!BA5/100)),"")</f>
        <v>0.5</v>
      </c>
      <c r="Q49" s="49">
        <f>IFERROR(IF(VLOOKUP(tbMoveset!A49,tbMoveset!A2:H112,8,FALSE)="Other",IF(VLOOKUP(tbMoveset!A49,tbMoveset!A2:I112,9,FALSE)="Fire",Backdoors!BB5,IF(VLOOKUP(tbMoveset!A49,tbMoveset!A2:I112,9,FALSE)="Water",Backdoors!BC5,IF(VLOOKUP(tbMoveset!A49,tbMoveset!A2:I112,9,FALSE)="Thunder",Backdoors!BD5,IF(VLOOKUP(tbMoveset!A49,tbMoveset!A2:I112,9,FALSE)="Ice",Backdoors!BE5,IF(VLOOKUP(tbMoveset!A49,tbMoveset!A2:I112,9,FALSE)="Dragon",Backdoors!BF5,Backdoors!BG5)))))/100,Backdoors!BG5/100),"")</f>
        <v>0</v>
      </c>
      <c r="R49" s="49">
        <f>IFERROR(IF(VLOOKUP(A49,tbMoveset!A2:J112,10,FALSE)=TRUE,IF((Backdoors!AI12+IF(P49&gt;=0.45,VLOOKUP(Calculator!E23,tbSkills!DH3:DI6,2,FALSE)+IF(AND(Calculator!B8=TRUE,Backdoors!BI5=TRUE),VLOOKUP(Calculator!E23,tbSkills!DH3:DJ6,3,FALSE),0),0))&gt;=0,1+(Backdoors!AL2*(IF((Backdoors!AI12+IF(P49&gt;=0.45,VLOOKUP(Calculator!E23,tbSkills!DH3:DI6,2,FALSE)+IF(AND(Calculator!B8=TRUE,Backdoors!BI5=TRUE),VLOOKUP(Calculator!E23,tbSkills!DH3:DJ6,3,FALSE),0),0))&gt;=100,100,(Backdoors!AI12+IF(P49&gt;=0.45,VLOOKUP(Calculator!E23,tbSkills!DH3:DI6,2,FALSE)+IF(AND(Calculator!B8=TRUE,Backdoors!BI5=TRUE),VLOOKUP(Calculator!E23,tbSkills!DH3:DJ6,3,FALSE),0),0)))/100)),(1-(0.25*((-Backdoors!AI12-IF(P49&gt;=0.45,VLOOKUP(Calculator!E23,tbSkills!DH3:DI6,2,FALSE)+IF(AND(Calculator!B8=TRUE,Backdoors!BI5=TRUE),VLOOKUP(Calculator!E23,tbSkills!DH3:DJ6,3,FALSE),0),0))/100)))),1),"")</f>
        <v>1</v>
      </c>
      <c r="S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P49)*R49)*(VLOOKUP(A49,tbMoveset!A2:C112,3,FALSE)/100)*IF(VLOOKUP(A49,tbMoveset!A2:B112,2,FALSE)="Projectile",Backdoors!N10,Backdoors!N9),0),"")</f>
        <v>2</v>
      </c>
      <c r="T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P49&gt;=0.45,VLOOKUP(Calculator!E23,tbSkills!DH3:DI6,2,FALSE)+IF(AND(Calculator!B8=TRUE,Backdoors!BI5=TRUE),VLOOKUP(Calculator!E23,tbSkills!DH3:DJ6,3,FALSE),0),0))&gt;=100,100,(Backdoors!AI12+IF(P49&gt;=0.45,VLOOKUP(Calculator!E23,tbSkills!DH3:DI6,2,FALSE)+IF(AND(Calculator!B8=TRUE,Backdoors!BI5=TRUE),VLOOKUP(Calculator!E23,tbSkills!DH3:DJ6,3,FALSE),0),0)))/100)),1))*IF(VLOOKUP(A49,tbMoveset!A2:K112,11,FALSE)=TRUE,Backdoors!AC5,1))*Q49,0),"")</f>
        <v>0</v>
      </c>
      <c r="U49" s="49">
        <f>VLOOKUP(A49,tbMoveset!A2:G112,7,FALSE)*IFERROR(IF(Backdoors!AI12&gt;=0,1+(IF(Calculator!E40&gt;0,VLOOKUP(Calculator!E40,tbSkills!AI3:AJ5,2,FALSE),Backdoors!AL4)*(IF((Backdoors!AI12+IF(P49&gt;=0.45,VLOOKUP(Calculator!E23,tbSkills!DH3:DI6,2,FALSE)+IF(AND(Calculator!B8=TRUE,Backdoors!BI5=TRUE),VLOOKUP(Calculator!E23,tbSkills!DH3:DJ6,3,FALSE),0),0))&gt;=100,100,(Backdoors!AI12+IF(P49&gt;=0.45,VLOOKUP(Calculator!E23,tbSkills!DH3:DI6,2,FALSE)+IF(AND(Calculator!B8=TRUE,Backdoors!BI5=TRUE),VLOOKUP(Calculator!E23,tbSkills!DH3:DJ6,3,FALSE),0),0)))/100)),1),1)</f>
        <v>0.5</v>
      </c>
      <c r="V49" s="87">
        <f t="shared" si="46"/>
        <v>2</v>
      </c>
      <c r="W49" s="86">
        <f>IFERROR(IF(VLOOKUP(A49,tbMoveset!A2:B112,2,FALSE)="Sever",Backdoors!AY6/100,IF(VLOOKUP(A49,tbMoveset!A2:B112,2,FALSE)="Blunt",Backdoors!AZ6/100,Backdoors!BA6/100)),"")</f>
        <v>0.45</v>
      </c>
      <c r="X49" s="49">
        <f>IFERROR(IF(VLOOKUP(tbMoveset!A49,tbMoveset!A2:H112,8,FALSE)="Other",IF(VLOOKUP(tbMoveset!A49,tbMoveset!A2:I112,9,FALSE)="Fire",Backdoors!BB6,IF(VLOOKUP(tbMoveset!A49,tbMoveset!A2:I112,9,FALSE)="Water",Backdoors!BC6,IF(VLOOKUP(tbMoveset!A49,tbMoveset!A2:I112,9,FALSE)="Thunder",Backdoors!BD6,IF(VLOOKUP(tbMoveset!A49,tbMoveset!A2:I112,9,FALSE)="Ice",Backdoors!BE6,IF(VLOOKUP(tbMoveset!A49,tbMoveset!A2:I112,9,FALSE)="Dragon",Backdoors!BF6,Backdoors!BG6)))))/100,Backdoors!BG6/100),"")</f>
        <v>0</v>
      </c>
      <c r="Y49" s="49">
        <f>IFERROR(IF(VLOOKUP(A49,tbMoveset!A2:J112,10,FALSE)=TRUE,IF((Backdoors!AI12+IF(W49&gt;=0.45,VLOOKUP(Calculator!E23,tbSkills!DH3:DI6,2,FALSE)+IF(AND(Calculator!B8=TRUE,Backdoors!BI6=TRUE),VLOOKUP(Calculator!E23,tbSkills!DH3:DJ6,3,FALSE),0),0))&gt;=0,1+(Backdoors!AL2*(IF((Backdoors!AI12+IF(W49&gt;=0.45,VLOOKUP(Calculator!E23,tbSkills!DH3:DI6,2,FALSE)+IF(AND(Calculator!B8=TRUE,Backdoors!BI6=TRUE),VLOOKUP(Calculator!E23,tbSkills!DH3:DJ6,3,FALSE),0),0))&gt;=100,100,(Backdoors!AI12+IF(W49&gt;=0.45,VLOOKUP(Calculator!E23,tbSkills!DH3:DI6,2,FALSE)+IF(AND(Calculator!B8=TRUE,Backdoors!BI6=TRUE),VLOOKUP(Calculator!E23,tbSkills!DH3:DJ6,3,FALSE),0),0)))/100)),(1-(0.25*((-Backdoors!AI12-IF(W49&gt;=0.45,VLOOKUP(Calculator!E23,tbSkills!DH3:DI6,2,FALSE)+IF(AND(Calculator!B8=TRUE,Backdoors!BI6=TRUE),VLOOKUP(Calculator!E23,tbSkills!DH3:DJ6,3,FALSE),0),0))/100)))),1),"")</f>
        <v>1</v>
      </c>
      <c r="Z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W49)*Y49)*(VLOOKUP(A49,tbMoveset!A2:C112,3,FALSE)/100)*IF(VLOOKUP(A49,tbMoveset!A2:B112,2,FALSE)="Projectile",Backdoors!N10,Backdoors!N9),0),"")</f>
        <v>2</v>
      </c>
      <c r="AA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W49&gt;=0.45,VLOOKUP(Calculator!E23,tbSkills!DH3:DI6,2,FALSE)+IF(AND(Calculator!B8=TRUE,Backdoors!BI6=TRUE),VLOOKUP(Calculator!E23,tbSkills!DH3:DJ6,3,FALSE),0),0))&gt;=100,100,(Backdoors!AI12+IF(W49&gt;=0.45,VLOOKUP(Calculator!E23,tbSkills!DH3:DI6,2,FALSE)+IF(AND(Calculator!B8=TRUE,Backdoors!BI6=TRUE),VLOOKUP(Calculator!E23,tbSkills!DH3:DJ6,3,FALSE),0),0)))/100)),1))*IF(VLOOKUP(A49,tbMoveset!A2:K112,11,FALSE)=TRUE,Backdoors!AC5,1))*X49,0),"")</f>
        <v>0</v>
      </c>
      <c r="AB49" s="49">
        <f>VLOOKUP(A49,tbMoveset!A2:G112,7,FALSE)*IFERROR(IF(Backdoors!AI12&gt;=0,1+(IF(Calculator!E40&gt;0,VLOOKUP(Calculator!E40,tbSkills!AI3:AJ5,2,FALSE),Backdoors!AL4)*(IF((Backdoors!AI12+IF(W49&gt;=0.45,VLOOKUP(Calculator!E23,tbSkills!DH3:DI6,2,FALSE)+IF(AND(Calculator!B8=TRUE,Backdoors!BI6=TRUE),VLOOKUP(Calculator!E23,tbSkills!DH3:DJ6,3,FALSE),0),0))&gt;=100,100,(Backdoors!AI12+IF(W49&gt;=0.45,VLOOKUP(Calculator!E23,tbSkills!DH3:DI6,2,FALSE)+IF(AND(Calculator!B8=TRUE,Backdoors!BI6=TRUE),VLOOKUP(Calculator!E23,tbSkills!DH3:DJ6,3,FALSE),0),0)))/100)),1),1)</f>
        <v>0.5</v>
      </c>
      <c r="AC49" s="87">
        <f t="shared" si="47"/>
        <v>2</v>
      </c>
      <c r="AD49" s="86">
        <f>IFERROR(IF(VLOOKUP(A49,tbMoveset!A2:B112,2,FALSE)="Sever",Backdoors!AY7/100,IF(VLOOKUP(A49,tbMoveset!A2:B112,2,FALSE)="Blunt",Backdoors!AZ7/100,Backdoors!BA7/100)),"")</f>
        <v>0.65</v>
      </c>
      <c r="AE49" s="49">
        <f>IFERROR(IF(VLOOKUP(tbMoveset!A49,tbMoveset!A2:H112,8,FALSE)="Other",IF(VLOOKUP(tbMoveset!A49,tbMoveset!A2:I112,9,FALSE)="Fire",Backdoors!BB7,IF(VLOOKUP(tbMoveset!A49,tbMoveset!A2:I112,9,FALSE)="Water",Backdoors!BC7,IF(VLOOKUP(tbMoveset!A49,tbMoveset!A2:I112,9,FALSE)="Thunder",Backdoors!BD7,IF(VLOOKUP(tbMoveset!A49,tbMoveset!A2:I112,9,FALSE)="Ice",Backdoors!BE7,IF(VLOOKUP(tbMoveset!A49,tbMoveset!A2:I112,9,FALSE)="Dragon",Backdoors!BF7,Backdoors!BG7)))))/100,Backdoors!BG7/100),"")</f>
        <v>0</v>
      </c>
      <c r="AF49" s="49">
        <f>IFERROR(IF(VLOOKUP(A49,tbMoveset!A2:J112,10,FALSE)=TRUE,IF((Backdoors!AI12+IF(AD49&gt;=0.45,VLOOKUP(Calculator!E23,tbSkills!DH3:DI6,2,FALSE)+IF(AND(Calculator!B8=TRUE,Backdoors!BI7=TRUE),VLOOKUP(Calculator!E23,tbSkills!DH3:DJ6,3,FALSE),0),0))&gt;=0,1+(Backdoors!AL2*(IF((Backdoors!AI12+IF(AD49&gt;=0.45,VLOOKUP(Calculator!E23,tbSkills!DH3:DI6,2,FALSE)+IF(AND(Calculator!B8=TRUE,Backdoors!BI7=TRUE),VLOOKUP(Calculator!E23,tbSkills!DH3:DJ6,3,FALSE),0),0))&gt;=100,100,(Backdoors!AI12+IF(AD49&gt;=0.45,VLOOKUP(Calculator!E23,tbSkills!DH3:DI6,2,FALSE)+IF(AND(Calculator!B8=TRUE,Backdoors!BI7=TRUE),VLOOKUP(Calculator!E23,tbSkills!DH3:DJ6,3,FALSE),0),0)))/100)),(1-(0.25*((-Backdoors!AI12-IF(AD49&gt;=0.45,VLOOKUP(Calculator!E23,tbSkills!DH3:DI6,2,FALSE)+IF(AND(Calculator!B8=TRUE,Backdoors!BI7=TRUE),VLOOKUP(Calculator!E23,tbSkills!DH3:DJ6,3,FALSE),0),0))/100)))),1),"")</f>
        <v>1</v>
      </c>
      <c r="AG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D49)*AF49)*(VLOOKUP(A49,tbMoveset!A2:C112,3,FALSE)/100)*IF(VLOOKUP(A49,tbMoveset!A2:B112,2,FALSE)="Projectile",Backdoors!N10,Backdoors!N9),0),"")</f>
        <v>2</v>
      </c>
      <c r="AH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D49&gt;=0.45,VLOOKUP(Calculator!E23,tbSkills!DH3:DI6,2,FALSE)+IF(AND(Calculator!B8=TRUE,Backdoors!BI7=TRUE),VLOOKUP(Calculator!E23,tbSkills!DH3:DJ6,3,FALSE),0),0))&gt;=100,100,(Backdoors!AI12+IF(AD49&gt;=0.45,VLOOKUP(Calculator!E23,tbSkills!DH3:DI6,2,FALSE)+IF(AND(Calculator!B8=TRUE,Backdoors!BI7=TRUE),VLOOKUP(Calculator!E23,tbSkills!DH3:DJ6,3,FALSE),0),0)))/100)),1))*IF(VLOOKUP(A49,tbMoveset!A2:K112,11,FALSE)=TRUE,Backdoors!AC5,1))*AE49,0),"")</f>
        <v>0</v>
      </c>
      <c r="AI49" s="49">
        <f>VLOOKUP(A49,tbMoveset!A2:G112,7,FALSE)*IFERROR(IF(Backdoors!AI12&gt;=0,1+(IF(Calculator!E40&gt;0,VLOOKUP(Calculator!E40,tbSkills!AI3:AJ5,2,FALSE),Backdoors!AL4)*(IF((Backdoors!AI12+IF(AD49&gt;=0.45,VLOOKUP(Calculator!E23,tbSkills!DH3:DI6,2,FALSE)+IF(AND(Calculator!B8=TRUE,Backdoors!BI7=TRUE),VLOOKUP(Calculator!E23,tbSkills!DH3:DJ6,3,FALSE),0),0))&gt;=100,100,(Backdoors!AI12+IF(AD49&gt;=0.45,VLOOKUP(Calculator!E23,tbSkills!DH3:DI6,2,FALSE)+IF(AND(Calculator!B8=TRUE,Backdoors!BI7=TRUE),VLOOKUP(Calculator!E23,tbSkills!DH3:DJ6,3,FALSE),0),0)))/100)),1),1)</f>
        <v>0.5</v>
      </c>
      <c r="AJ49" s="87">
        <f t="shared" si="48"/>
        <v>2</v>
      </c>
      <c r="AK49" s="91">
        <f>IFERROR(IF(VLOOKUP(A49,tbMoveset!A2:B112,2,FALSE)="Sever",Backdoors!AY8/100,IF(VLOOKUP(A49,tbMoveset!A2:B112,2,FALSE)="Blunt",Backdoors!AZ8/100,Backdoors!BA8/100)),"")</f>
        <v>0.45</v>
      </c>
      <c r="AL49" s="49">
        <f>IFERROR(IF(VLOOKUP(tbMoveset!A49,tbMoveset!A2:H112,8,FALSE)="Other",IF(VLOOKUP(tbMoveset!A49,tbMoveset!A2:I112,9,FALSE)="Fire",Backdoors!BB8,IF(VLOOKUP(tbMoveset!A49,tbMoveset!A2:I112,9,FALSE)="Water",Backdoors!BC8,IF(VLOOKUP(tbMoveset!A49,tbMoveset!A2:I112,9,FALSE)="Thunder",Backdoors!BD8,IF(VLOOKUP(tbMoveset!A49,tbMoveset!A2:I112,9,FALSE)="Ice",Backdoors!BE8,IF(VLOOKUP(tbMoveset!A49,tbMoveset!A2:I112,9,FALSE)="Dragon",Backdoors!BF8,Backdoors!BG8)))))/100,Backdoors!BG8/100),"")</f>
        <v>0</v>
      </c>
      <c r="AM49" s="49">
        <f>IFERROR(IF(VLOOKUP(A49,tbMoveset!A2:J112,10,FALSE)=TRUE,IF((Backdoors!AI12+IF(AK49&gt;=0.45,VLOOKUP(Calculator!E23,tbSkills!DH3:DI6,2,FALSE)+IF(AND(Calculator!B8=TRUE,Backdoors!BI8=TRUE),VLOOKUP(Calculator!E23,tbSkills!DH3:DJ6,3,FALSE),0),0))&gt;=0,1+(Backdoors!AL2*(IF((Backdoors!AI12+IF(AK49&gt;=0.45,VLOOKUP(Calculator!E23,tbSkills!DH3:DI6,2,FALSE)+IF(AND(Calculator!B8=TRUE,Backdoors!BI8=TRUE),VLOOKUP(Calculator!E23,tbSkills!DH3:DJ6,3,FALSE),0),0))&gt;=100,100,(Backdoors!AI12+IF(AK49&gt;=0.45,VLOOKUP(Calculator!E23,tbSkills!DH3:DI6,2,FALSE)+IF(AND(Calculator!B8=TRUE,Backdoors!BI8=TRUE),VLOOKUP(Calculator!E23,tbSkills!DH3:DJ6,3,FALSE),0),0)))/100)),(1-(0.25*((-Backdoors!AI12-IF(AK49&gt;=0.45,VLOOKUP(Calculator!E23,tbSkills!DH3:DI6,2,FALSE)+IF(AND(Calculator!B8=TRUE,Backdoors!BI8=TRUE),VLOOKUP(Calculator!E23,tbSkills!DH3:DJ6,3,FALSE),0),0))/100)))),1),"")</f>
        <v>1</v>
      </c>
      <c r="AN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K49)*AM49)*(VLOOKUP(A49,tbMoveset!A2:C112,3,FALSE)/100)*IF(VLOOKUP(A49,tbMoveset!A2:B112,2,FALSE)="Projectile",Backdoors!N10,Backdoors!N9),0),"")</f>
        <v>2</v>
      </c>
      <c r="AO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K49&gt;=0.45,VLOOKUP(Calculator!E23,tbSkills!DH3:DI6,2,FALSE)+IF(AND(Calculator!B8=TRUE,Backdoors!BI8=TRUE),VLOOKUP(Calculator!E23,tbSkills!DH3:DJ6,3,FALSE),0),0))&gt;=100,100,(Backdoors!AI12+IF(AK49&gt;=0.45,VLOOKUP(Calculator!E23,tbSkills!DH3:DI6,2,FALSE)+IF(AND(Calculator!B8=TRUE,Backdoors!BI8=TRUE),VLOOKUP(Calculator!E23,tbSkills!DH3:DJ6,3,FALSE),0),0)))/100)),1))*IF(VLOOKUP(A49,tbMoveset!A2:K112,11,FALSE)=TRUE,Backdoors!AC5,1))*AL49,0),"")</f>
        <v>0</v>
      </c>
      <c r="AP49" s="49">
        <f>VLOOKUP(A49,tbMoveset!A2:G112,7,FALSE)*IFERROR(IF(Backdoors!AI12&gt;=0,1+(IF(Calculator!E40&gt;0,VLOOKUP(Calculator!E40,tbSkills!AI3:AJ5,2,FALSE),Backdoors!AL4)*(IF((Backdoors!AI12+IF(AK49&gt;=0.45,VLOOKUP(Calculator!E23,tbSkills!DH3:DI6,2,FALSE)+IF(AND(Calculator!B8=TRUE,Backdoors!BI8=TRUE),VLOOKUP(Calculator!E23,tbSkills!DH3:DJ6,3,FALSE),0),0))&gt;=100,100,(Backdoors!AI12+IF(AK49&gt;=0.45,VLOOKUP(Calculator!E23,tbSkills!DH3:DI6,2,FALSE)+IF(AND(Calculator!B8=TRUE,Backdoors!BI8=TRUE),VLOOKUP(Calculator!E23,tbSkills!DH3:DJ6,3,FALSE),0),0)))/100)),1),1)</f>
        <v>0.5</v>
      </c>
      <c r="AQ49" s="87">
        <f t="shared" si="49"/>
        <v>2</v>
      </c>
      <c r="AR49" s="86">
        <f>IFERROR(IF(VLOOKUP(A49,tbMoveset!A2:B112,2,FALSE)="Sever",Backdoors!AY9/100,IF(VLOOKUP(A49,tbMoveset!A2:B112,2,FALSE)="Blunt",Backdoors!AZ9/100,Backdoors!BA9/100)),"")</f>
        <v>0.45</v>
      </c>
      <c r="AS49" s="49">
        <f>IFERROR(IF(VLOOKUP(tbMoveset!A49,tbMoveset!A2:H112,8,FALSE)="Other",IF(VLOOKUP(tbMoveset!A49,tbMoveset!A2:I112,9,FALSE)="Fire",Backdoors!BB9,IF(VLOOKUP(tbMoveset!A49,tbMoveset!A2:I112,9,FALSE)="Water",Backdoors!BC9,IF(VLOOKUP(tbMoveset!A49,tbMoveset!A2:I112,9,FALSE)="Thunder",Backdoors!BD9,IF(VLOOKUP(tbMoveset!A49,tbMoveset!A2:I112,9,FALSE)="Ice",Backdoors!BE9,IF(VLOOKUP(tbMoveset!A49,tbMoveset!A2:I112,9,FALSE)="Dragon",Backdoors!BF9,Backdoors!BG9)))))/100,Backdoors!BG9/100),"")</f>
        <v>0</v>
      </c>
      <c r="AT49" s="49">
        <f>IFERROR(IF(VLOOKUP(A49,tbMoveset!A2:J112,10,FALSE)=TRUE,IF((Backdoors!AI12+IF(AR49&gt;=0.45,VLOOKUP(Calculator!E23,tbSkills!DH3:DI6,2,FALSE)+IF(AND(Calculator!B8=TRUE,Backdoors!BI9=TRUE),VLOOKUP(Calculator!E23,tbSkills!DH3:DJ6,3,FALSE),0),0))&gt;=0,1+(Backdoors!AL2*(IF((Backdoors!AI12+IF(AR49&gt;=0.45,VLOOKUP(Calculator!E23,tbSkills!DH3:DI6,2,FALSE)+IF(AND(Calculator!B8=TRUE,Backdoors!BI9=TRUE),VLOOKUP(Calculator!E23,tbSkills!DH3:DJ6,3,FALSE),0),0))&gt;=100,100,(Backdoors!AI12+IF(AR49&gt;=0.45,VLOOKUP(Calculator!E23,tbSkills!DH3:DI6,2,FALSE)+IF(AND(Calculator!B8=TRUE,Backdoors!BI9=TRUE),VLOOKUP(Calculator!E23,tbSkills!DH3:DJ6,3,FALSE),0),0)))/100)),(1-(0.25*((-Backdoors!AI12-IF(AR49&gt;=0.45,VLOOKUP(Calculator!E23,tbSkills!DH3:DI6,2,FALSE)+IF(AND(Calculator!B8=TRUE,Backdoors!BI9=TRUE),VLOOKUP(Calculator!E23,tbSkills!DH3:DJ6,3,FALSE),0),0))/100)))),1),"")</f>
        <v>1</v>
      </c>
      <c r="AU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R49)*AT49)*(VLOOKUP(A49,tbMoveset!A2:C112,3,FALSE)/100)*IF(VLOOKUP(A49,tbMoveset!A2:B112,2,FALSE)="Projectile",Backdoors!N10,Backdoors!N9),0),"")</f>
        <v>2</v>
      </c>
      <c r="AV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R49&gt;=0.45,VLOOKUP(Calculator!E23,tbSkills!DH3:DI6,2,FALSE)+IF(AND(Calculator!B8=TRUE,Backdoors!BI9=TRUE),VLOOKUP(Calculator!E23,tbSkills!DH3:DJ6,3,FALSE),0),0))&gt;=100,100,(Backdoors!AI12+IF(AR49&gt;=0.45,VLOOKUP(Calculator!E23,tbSkills!DH3:DI6,2,FALSE)+IF(AND(Calculator!B8=TRUE,Backdoors!BI9=TRUE),VLOOKUP(Calculator!E23,tbSkills!DH3:DJ6,3,FALSE),0),0)))/100)),1))*IF(VLOOKUP(A49,tbMoveset!A2:K112,11,FALSE)=TRUE,Backdoors!AC5,1))*AS49,0),"")</f>
        <v>0</v>
      </c>
      <c r="AW49" s="49">
        <f>VLOOKUP(A49,tbMoveset!A2:G112,7,FALSE)*IFERROR(IF(Backdoors!AI12&gt;=0,1+(IF(Calculator!E40&gt;0,VLOOKUP(Calculator!E40,tbSkills!AI3:AJ5,2,FALSE),Backdoors!AL4)*(IF((Backdoors!AI12+IF(AR49&gt;=0.45,VLOOKUP(Calculator!E23,tbSkills!DH3:DI6,2,FALSE)+IF(AND(Calculator!B8=TRUE,Backdoors!BI9=TRUE),VLOOKUP(Calculator!E23,tbSkills!DH3:DJ6,3,FALSE),0),0))&gt;=100,100,(Backdoors!AI12+IF(AR49&gt;=0.45,VLOOKUP(Calculator!E23,tbSkills!DH3:DI6,2,FALSE)+IF(AND(Calculator!B8=TRUE,Backdoors!BI9=TRUE),VLOOKUP(Calculator!E23,tbSkills!DH3:DJ6,3,FALSE),0),0)))/100)),1),1)</f>
        <v>0.5</v>
      </c>
      <c r="AX49" s="87">
        <f t="shared" si="50"/>
        <v>2</v>
      </c>
      <c r="AY49" s="86">
        <f>IFERROR(IF(VLOOKUP(A49,tbMoveset!A2:B112,2,FALSE)="Sever",Backdoors!AY10/100,IF(VLOOKUP(A49,tbMoveset!A2:B112,2,FALSE)="Blunt",Backdoors!AZ10/100,Backdoors!BA10/100)),"")</f>
        <v>0.9</v>
      </c>
      <c r="AZ49" s="49">
        <f>IFERROR(IF(VLOOKUP(tbMoveset!A49,tbMoveset!A2:H112,8,FALSE)="Other",IF(VLOOKUP(tbMoveset!A49,tbMoveset!A2:I112,9,FALSE)="Fire",Backdoors!BB10,IF(VLOOKUP(tbMoveset!A49,tbMoveset!A2:I112,9,FALSE)="Water",Backdoors!BC10,IF(VLOOKUP(tbMoveset!A49,tbMoveset!A2:I112,9,FALSE)="Thunder",Backdoors!BD10,IF(VLOOKUP(tbMoveset!A49,tbMoveset!A2:I112,9,FALSE)="Ice",Backdoors!BE10,IF(VLOOKUP(tbMoveset!A49,tbMoveset!A2:I112,9,FALSE)="Dragon",Backdoors!BF10,Backdoors!BG10)))))/100,Backdoors!BG10/100),"")</f>
        <v>0</v>
      </c>
      <c r="BA49" s="49">
        <f>IFERROR(IF(VLOOKUP(A49,tbMoveset!A2:J112,10,FALSE)=TRUE,IF((Backdoors!AI12+IF(AY49&gt;=0.45,VLOOKUP(Calculator!E23,tbSkills!DH3:DI6,2,FALSE)+IF(AND(Calculator!B8=TRUE,Backdoors!BI10=TRUE),VLOOKUP(Calculator!E23,tbSkills!DH3:DJ6,3,FALSE),0),0))&gt;=0,1+(Backdoors!AL2*(IF((Backdoors!AI12+IF(AY49&gt;=0.45,VLOOKUP(Calculator!E23,tbSkills!DH3:DI6,2,FALSE)+IF(AND(Calculator!B8=TRUE,Backdoors!BI10=TRUE),VLOOKUP(Calculator!E23,tbSkills!DH3:DJ6,3,FALSE),0),0))&gt;=100,100,(Backdoors!AI12+IF(AY49&gt;=0.45,VLOOKUP(Calculator!E23,tbSkills!DH3:DI6,2,FALSE)+IF(AND(Calculator!B8=TRUE,Backdoors!BI10=TRUE),VLOOKUP(Calculator!E23,tbSkills!DH3:DJ6,3,FALSE),0),0)))/100)),(1-(0.25*((-Backdoors!AI12-IF(AY49&gt;=0.45,VLOOKUP(Calculator!E23,tbSkills!DH3:DI6,2,FALSE)+IF(AND(Calculator!B8=TRUE,Backdoors!BI10=TRUE),VLOOKUP(Calculator!E23,tbSkills!DH3:DJ6,3,FALSE),0),0))/100)))),1),"")</f>
        <v>1</v>
      </c>
      <c r="BB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Y49)*BA49)*(VLOOKUP(A49,tbMoveset!A2:C112,3,FALSE)/100)*IF(VLOOKUP(A49,tbMoveset!A2:B112,2,FALSE)="Projectile",Backdoors!N10,Backdoors!N9),0),"")</f>
        <v>3</v>
      </c>
      <c r="BC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Y49&gt;=0.45,VLOOKUP(Calculator!E23,tbSkills!DH3:DI6,2,FALSE)+IF(AND(Calculator!B8=TRUE,Backdoors!BI10=TRUE),VLOOKUP(Calculator!E23,tbSkills!DH3:DJ6,3,FALSE),0),0))&gt;=100,100,(Backdoors!AI12+IF(AY49&gt;=0.45,VLOOKUP(Calculator!E23,tbSkills!DH3:DI6,2,FALSE)+IF(AND(Calculator!B8=TRUE,Backdoors!BI10=TRUE),VLOOKUP(Calculator!E23,tbSkills!DH3:DJ6,3,FALSE),0),0)))/100)),1))*IF(VLOOKUP(A49,tbMoveset!A2:K112,11,FALSE)=TRUE,Backdoors!AC5,1))*AZ49,0),"")</f>
        <v>0</v>
      </c>
      <c r="BD49" s="49">
        <f>VLOOKUP(A49,tbMoveset!A2:G112,7,FALSE)*IFERROR(IF(Backdoors!AI12&gt;=0,1+(IF(Calculator!E40&gt;0,VLOOKUP(Calculator!E40,tbSkills!AI3:AJ5,2,FALSE),Backdoors!AL4)*(IF((Backdoors!AI12+IF(AY49&gt;=0.45,VLOOKUP(Calculator!E23,tbSkills!DH3:DI6,2,FALSE)+IF(AND(Calculator!B8=TRUE,Backdoors!BI10=TRUE),VLOOKUP(Calculator!E23,tbSkills!DH3:DJ6,3,FALSE),0),0))&gt;=100,100,(Backdoors!AI12+IF(AY49&gt;=0.45,VLOOKUP(Calculator!E23,tbSkills!DH3:DI6,2,FALSE)+IF(AND(Calculator!B8=TRUE,Backdoors!BI10=TRUE),VLOOKUP(Calculator!E23,tbSkills!DH3:DJ6,3,FALSE),0),0)))/100)),1),1)</f>
        <v>0.5</v>
      </c>
      <c r="BE49" s="87">
        <f t="shared" si="3"/>
        <v>3</v>
      </c>
      <c r="BF49" s="86" t="str">
        <f>IFERROR(IF(VLOOKUP(A49,tbMoveset!A2:B112,2,FALSE)="Sever",Backdoors!AY11/100,IF(VLOOKUP(A49,tbMoveset!A2:B112,2,FALSE)="Blunt",Backdoors!AZ11/100,Backdoors!BA11/100)),"")</f>
        <v/>
      </c>
      <c r="BG49" s="49">
        <f>IFERROR(IF(VLOOKUP(tbMoveset!A49,tbMoveset!A2:H112,8,FALSE)="Other",IF(VLOOKUP(tbMoveset!A49,tbMoveset!A2:I112,9,FALSE)="Fire",Backdoors!BB11,IF(VLOOKUP(tbMoveset!A49,tbMoveset!A2:I112,9,FALSE)="Water",Backdoors!BC11,IF(VLOOKUP(tbMoveset!A49,tbMoveset!A2:I112,9,FALSE)="Thunder",Backdoors!BD11,IF(VLOOKUP(tbMoveset!A49,tbMoveset!A2:I112,9,FALSE)="Ice",Backdoors!BE11,IF(VLOOKUP(tbMoveset!A49,tbMoveset!A2:I112,9,FALSE)="Dragon",Backdoors!BF11,Backdoors!BG11)))))/100,Backdoors!BG11/100),"")</f>
        <v>0</v>
      </c>
      <c r="BH49" s="49">
        <f>IFERROR(IF(VLOOKUP(A49,tbMoveset!A2:J112,10,FALSE)=TRUE,IF((Backdoors!AI12+IF(BF49&gt;=0.45,VLOOKUP(Calculator!E23,tbSkills!DH3:DI6,2,FALSE)+IF(AND(Calculator!B8=TRUE,Backdoors!BI11=TRUE),VLOOKUP(Calculator!E23,tbSkills!DH3:DJ6,3,FALSE),0),0))&gt;=0,1+(Backdoors!AL2*(IF((Backdoors!AI12+IF(BF49&gt;=0.45,VLOOKUP(Calculator!E23,tbSkills!DH3:DI6,2,FALSE)+IF(AND(Calculator!B8=TRUE,Backdoors!BI11=TRUE),VLOOKUP(Calculator!E23,tbSkills!DH3:DJ6,3,FALSE),0),0))&gt;=100,100,(Backdoors!AI12+IF(BF49&gt;=0.45,VLOOKUP(Calculator!E23,tbSkills!DH3:DI6,2,FALSE)+IF(AND(Calculator!B8=TRUE,Backdoors!BI11=TRUE),VLOOKUP(Calculator!E23,tbSkills!DH3:DJ6,3,FALSE),0),0)))/100)),(1-(0.25*((-Backdoors!AI12-IF(BF49&gt;=0.45,VLOOKUP(Calculator!E23,tbSkills!DH3:DI6,2,FALSE)+IF(AND(Calculator!B8=TRUE,Backdoors!BI11=TRUE),VLOOKUP(Calculator!E23,tbSkills!DH3:DJ6,3,FALSE),0),0))/100)))),1),"")</f>
        <v>1</v>
      </c>
      <c r="BI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F49)*BH49)*(VLOOKUP(A49,tbMoveset!A2:C112,3,FALSE)/100)*IF(VLOOKUP(A49,tbMoveset!A2:B112,2,FALSE)="Projectile",Backdoors!N10,Backdoors!N9),0),"")</f>
        <v/>
      </c>
      <c r="BJ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F49&gt;=0.45,VLOOKUP(Calculator!E23,tbSkills!DH3:DI6,2,FALSE)+IF(AND(Calculator!B8=TRUE,Backdoors!BI11=TRUE),VLOOKUP(Calculator!E23,tbSkills!DH3:DJ6,3,FALSE),0),0))&gt;=100,100,(Backdoors!AI12+IF(BF49&gt;=0.45,VLOOKUP(Calculator!E23,tbSkills!DH3:DI6,2,FALSE)+IF(AND(Calculator!B8=TRUE,Backdoors!BI11=TRUE),VLOOKUP(Calculator!E23,tbSkills!DH3:DJ6,3,FALSE),0),0)))/100)),1))*IF(VLOOKUP(A49,tbMoveset!A2:K112,11,FALSE)=TRUE,Backdoors!AC5,1))*BG49,0),"")</f>
        <v>0</v>
      </c>
      <c r="BK49" s="49">
        <f>VLOOKUP(A49,tbMoveset!A2:G112,7,FALSE)*IFERROR(IF(Backdoors!AI12&gt;=0,1+(IF(Calculator!E40&gt;0,VLOOKUP(Calculator!E40,tbSkills!AI3:AJ5,2,FALSE),Backdoors!AL4)*(IF((Backdoors!AI12+IF(BF49&gt;=0.45,VLOOKUP(Calculator!E23,tbSkills!DH3:DI6,2,FALSE)+IF(AND(Calculator!B8=TRUE,Backdoors!BI11=TRUE),VLOOKUP(Calculator!E23,tbSkills!DH3:DJ6,3,FALSE),0),0))&gt;=100,100,(Backdoors!AI12+IF(BF49&gt;=0.45,VLOOKUP(Calculator!E23,tbSkills!DH3:DI6,2,FALSE)+IF(AND(Calculator!B8=TRUE,Backdoors!BI11=TRUE),VLOOKUP(Calculator!E23,tbSkills!DH3:DJ6,3,FALSE),0),0)))/100)),1),1)</f>
        <v>0.5</v>
      </c>
      <c r="BL49" s="87">
        <f t="shared" si="4"/>
        <v>0</v>
      </c>
      <c r="BM49" s="86" t="str">
        <f>IFERROR(IF(VLOOKUP(A49,tbMoveset!A2:B112,2,FALSE)="Sever",Backdoors!AY12/100,IF(VLOOKUP(A49,tbMoveset!A2:B112,2,FALSE)="Blunt",Backdoors!AZ12/100,Backdoors!BA12/100)),"")</f>
        <v/>
      </c>
      <c r="BN49" s="49">
        <f>IFERROR(IF(VLOOKUP(tbMoveset!A49,tbMoveset!A2:H112,8,FALSE)="Other",IF(VLOOKUP(tbMoveset!A49,tbMoveset!A2:I112,9,FALSE)="Fire",Backdoors!BB12,IF(VLOOKUP(tbMoveset!A49,tbMoveset!A2:I112,9,FALSE)="Water",Backdoors!BC12,IF(VLOOKUP(tbMoveset!A49,tbMoveset!A2:I112,9,FALSE)="Thunder",Backdoors!BD12,IF(VLOOKUP(tbMoveset!A49,tbMoveset!A2:I112,9,FALSE)="Ice",Backdoors!BE12,IF(VLOOKUP(tbMoveset!A49,tbMoveset!A2:I112,9,FALSE)="Dragon",Backdoors!BF12,Backdoors!BG12)))))/100,Backdoors!BG12/100),"")</f>
        <v>0</v>
      </c>
      <c r="BO49" s="49">
        <f>IFERROR(IF(VLOOKUP(A49,tbMoveset!A2:J112,10,FALSE)=TRUE,IF((Backdoors!AI12+IF(BM49&gt;=0.45,VLOOKUP(Calculator!E23,tbSkills!DH3:DI6,2,FALSE)+IF(AND(Calculator!B8=TRUE,Backdoors!BI12=TRUE),VLOOKUP(Calculator!E23,tbSkills!DH3:DJ6,3,FALSE),0),0))&gt;=0,1+(Backdoors!AL2*(IF((Backdoors!AI12+IF(BM49&gt;=0.45,VLOOKUP(Calculator!E23,tbSkills!DH3:DI6,2,FALSE)+IF(AND(Calculator!B8=TRUE,Backdoors!BI12=TRUE),VLOOKUP(Calculator!E23,tbSkills!DH3:DJ6,3,FALSE),0),0))&gt;=100,100,(Backdoors!AI12+IF(BM49&gt;=0.45,VLOOKUP(Calculator!E23,tbSkills!DH3:DI6,2,FALSE)+IF(AND(Calculator!B8=TRUE,Backdoors!BI12=TRUE),VLOOKUP(Calculator!E23,tbSkills!DH3:DJ6,3,FALSE),0),0)))/100)),(1-(0.25*((-Backdoors!AI12-IF(BM49&gt;=0.45,VLOOKUP(Calculator!E23,tbSkills!DH3:DI6,2,FALSE)+IF(AND(Calculator!B8=TRUE,Backdoors!BI12=TRUE),VLOOKUP(Calculator!E23,tbSkills!DH3:DJ6,3,FALSE),0),0))/100)))),1),"")</f>
        <v>1</v>
      </c>
      <c r="BP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M49)*BO49)*(VLOOKUP(A49,tbMoveset!A2:C112,3,FALSE)/100)*IF(VLOOKUP(A49,tbMoveset!A2:B112,2,FALSE)="Projectile",Backdoors!N10,Backdoors!N9),0),"")</f>
        <v/>
      </c>
      <c r="BQ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M49&gt;=0.45,VLOOKUP(Calculator!E23,tbSkills!DH3:DI6,2,FALSE)+IF(AND(Calculator!B8=TRUE,Backdoors!BI12=TRUE),VLOOKUP(Calculator!E23,tbSkills!DH3:DJ6,3,FALSE),0),0))&gt;=100,100,(Backdoors!AI12+IF(BM49&gt;=0.45,VLOOKUP(Calculator!E23,tbSkills!DH3:DI6,2,FALSE)+IF(AND(Calculator!B8=TRUE,Backdoors!BI12=TRUE),VLOOKUP(Calculator!E23,tbSkills!DH3:DJ6,3,FALSE),0),0)))/100)),1))*IF(VLOOKUP(A49,tbMoveset!A2:K112,11,FALSE)=TRUE,Backdoors!AC5,1))*BN49,0),"")</f>
        <v>0</v>
      </c>
      <c r="BR49" s="49">
        <f>VLOOKUP(A49,tbMoveset!A2:G112,7,FALSE)*IFERROR(IF(Backdoors!AI12&gt;=0,1+(IF(Calculator!E40&gt;0,VLOOKUP(Calculator!E40,tbSkills!AI3:AJ5,2,FALSE),Backdoors!AL4)*(IF((Backdoors!AI12+IF(BM49&gt;=0.45,VLOOKUP(Calculator!E23,tbSkills!DH3:DI6,2,FALSE)+IF(AND(Calculator!B8=TRUE,Backdoors!BI12=TRUE),VLOOKUP(Calculator!E23,tbSkills!DH3:DJ6,3,FALSE),0),0))&gt;=100,100,(Backdoors!AI12+IF(BM49&gt;=0.45,VLOOKUP(Calculator!E23,tbSkills!DH3:DI6,2,FALSE)+IF(AND(Calculator!B8=TRUE,Backdoors!BI12=TRUE),VLOOKUP(Calculator!E23,tbSkills!DH3:DJ6,3,FALSE),0),0)))/100)),1),1)</f>
        <v>0.5</v>
      </c>
      <c r="BS49" s="87">
        <f t="shared" si="39"/>
        <v>0</v>
      </c>
      <c r="BT49" s="86" t="str">
        <f>IFERROR(IF(VLOOKUP(A49,tbMoveset!A2:B112,2,FALSE)="Sever",Backdoors!AY13/100,IF(VLOOKUP(A49,tbMoveset!A2:B112,2,FALSE)="Blunt",Backdoors!AZ13/100,Backdoors!BA13/100)),"")</f>
        <v/>
      </c>
      <c r="BU49" s="49">
        <f>IFERROR(IF(VLOOKUP(tbMoveset!A49,tbMoveset!A2:H112,8,FALSE)="Other",IF(VLOOKUP(tbMoveset!A49,tbMoveset!A2:I112,9,FALSE)="Fire",Backdoors!BB13,IF(VLOOKUP(tbMoveset!A49,tbMoveset!A2:I112,9,FALSE)="Water",Backdoors!BC13,IF(VLOOKUP(tbMoveset!A49,tbMoveset!A2:I112,9,FALSE)="Thunder",Backdoors!BD13,IF(VLOOKUP(tbMoveset!A49,tbMoveset!A2:I112,9,FALSE)="Ice",Backdoors!BE13,IF(VLOOKUP(tbMoveset!A49,tbMoveset!A2:I112,9,FALSE)="Dragon",Backdoors!BF13,Backdoors!BG13)))))/100,Backdoors!BG13/100),"")</f>
        <v>0</v>
      </c>
      <c r="BV49" s="49">
        <f>IFERROR(IF(VLOOKUP(A49,tbMoveset!A2:J112,10,FALSE)=TRUE,IF((Backdoors!AI12+IF(BT49&gt;=0.45,VLOOKUP(Calculator!E23,tbSkills!DH3:DI6,2,FALSE)+IF(AND(Calculator!B8=TRUE,Backdoors!BI13=TRUE),VLOOKUP(Calculator!E23,tbSkills!DH3:DJ6,3,FALSE),0),0))&gt;=0,1+(Backdoors!AL2*(IF((Backdoors!AI12+IF(BT49&gt;=0.45,VLOOKUP(Calculator!E23,tbSkills!DH3:DI6,2,FALSE)+IF(AND(Calculator!B8=TRUE,Backdoors!BI13=TRUE),VLOOKUP(Calculator!E23,tbSkills!DH3:DJ6,3,FALSE),0),0))&gt;=100,100,(Backdoors!AI12+IF(BT49&gt;=0.45,VLOOKUP(Calculator!E23,tbSkills!DH3:DI6,2,FALSE)+IF(AND(Calculator!B8=TRUE,Backdoors!BI13=TRUE),VLOOKUP(Calculator!E23,tbSkills!DH3:DJ6,3,FALSE),0),0)))/100)),(1-(0.25*((-Backdoors!AI12-IF(BT49&gt;=0.45,VLOOKUP(Calculator!E23,tbSkills!DH3:DI6,2,FALSE)+IF(AND(Calculator!B8=TRUE,Backdoors!BI13=TRUE),VLOOKUP(Calculator!E23,tbSkills!DH3:DJ6,3,FALSE),0),0))/100)))),1),"")</f>
        <v>1</v>
      </c>
      <c r="BW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T49)*BV49)*(VLOOKUP(A49,tbMoveset!A2:C112,3,FALSE)/100)*IF(VLOOKUP(A49,tbMoveset!A2:B112,2,FALSE)="Projectile",Backdoors!N10,Backdoors!N9),0),"")</f>
        <v/>
      </c>
      <c r="BX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T49&gt;=0.45,VLOOKUP(Calculator!E23,tbSkills!DH3:DI6,2,FALSE)+IF(AND(Calculator!B8=TRUE,Backdoors!BI13=TRUE),VLOOKUP(Calculator!E23,tbSkills!DH3:DJ6,3,FALSE),0),0))&gt;=100,100,(Backdoors!AI12+IF(BT49&gt;=0.45,VLOOKUP(Calculator!E23,tbSkills!DH3:DI6,2,FALSE)+IF(AND(Calculator!B8=TRUE,Backdoors!BI13=TRUE),VLOOKUP(Calculator!E23,tbSkills!DH3:DJ6,3,FALSE),0),0)))/100)),1))*IF(VLOOKUP(A49,tbMoveset!A2:K112,11,FALSE)=TRUE,Backdoors!AC5,1))*BU49,0),"")</f>
        <v>0</v>
      </c>
      <c r="BY49" s="49">
        <f>VLOOKUP(A49,tbMoveset!A2:G112,7,FALSE)*IFERROR(IF(Backdoors!AI12&gt;=0,1+(IF(Calculator!E40&gt;0,VLOOKUP(Calculator!E40,tbSkills!AI3:AJ5,2,FALSE),Backdoors!AL4)*(IF((Backdoors!AI12+IF(BT49&gt;=0.45,VLOOKUP(Calculator!E23,tbSkills!DH3:DI6,2,FALSE)+IF(AND(Calculator!B8=TRUE,Backdoors!BI13=TRUE),VLOOKUP(Calculator!E23,tbSkills!DH3:DJ6,3,FALSE),0),0))&gt;=100,100,(Backdoors!AI12+IF(BT49&gt;=0.45,VLOOKUP(Calculator!E23,tbSkills!DH3:DI6,2,FALSE)+IF(AND(Calculator!B8=TRUE,Backdoors!BI13=TRUE),VLOOKUP(Calculator!E23,tbSkills!DH3:DJ6,3,FALSE),0),0)))/100)),1),1)</f>
        <v>0.5</v>
      </c>
      <c r="BZ49" s="87">
        <f t="shared" si="5"/>
        <v>0</v>
      </c>
      <c r="CA49" s="86" t="str">
        <f>IFERROR(IF(VLOOKUP(A49,tbMoveset!A2:B112,2,FALSE)="Sever",Backdoors!AY14/100,IF(VLOOKUP(A49,tbMoveset!A2:B112,2,FALSE)="Blunt",Backdoors!AZ14/100,Backdoors!BA14/100)),"")</f>
        <v/>
      </c>
      <c r="CB49" s="49">
        <f>IFERROR(IF(VLOOKUP(tbMoveset!A49,tbMoveset!A2:H112,8,FALSE)="Other",IF(VLOOKUP(tbMoveset!A49,tbMoveset!A2:I112,9,FALSE)="Fire",Backdoors!BB14,IF(VLOOKUP(tbMoveset!A49,tbMoveset!A2:I112,9,FALSE)="Water",Backdoors!BC14,IF(VLOOKUP(tbMoveset!A49,tbMoveset!A2:I112,9,FALSE)="Thunder",Backdoors!BD14,IF(VLOOKUP(tbMoveset!A49,tbMoveset!A2:I112,9,FALSE)="Ice",Backdoors!BE14,IF(VLOOKUP(tbMoveset!A49,tbMoveset!A2:I112,9,FALSE)="Dragon",Backdoors!BF14,Backdoors!BG14)))))/100,Backdoors!BG14/100),"")</f>
        <v>0</v>
      </c>
      <c r="CC49" s="49">
        <f>IFERROR(IF(VLOOKUP(A49,tbMoveset!A2:J112,10,FALSE)=TRUE,IF((Backdoors!AI12+IF(CA49&gt;=0.45,VLOOKUP(Calculator!E23,tbSkills!DH3:DI6,2,FALSE)+IF(AND(Calculator!B8=TRUE,Backdoors!BI14=TRUE),VLOOKUP(Calculator!E23,tbSkills!DH3:DJ6,3,FALSE),0),0))&gt;=0,1+(Backdoors!AL2*(IF((Backdoors!AI12+IF(CA49&gt;=0.45,VLOOKUP(Calculator!E23,tbSkills!DH3:DI6,2,FALSE)+IF(AND(Calculator!B8=TRUE,Backdoors!BI14=TRUE),VLOOKUP(Calculator!E23,tbSkills!DH3:DJ6,3,FALSE),0),0))&gt;=100,100,(Backdoors!AI12+IF(CA49&gt;=0.45,VLOOKUP(Calculator!E23,tbSkills!DH3:DI6,2,FALSE)+IF(AND(Calculator!B8=TRUE,Backdoors!BI14=TRUE),VLOOKUP(Calculator!E23,tbSkills!DH3:DJ6,3,FALSE),0),0)))/100)),(1-(0.25*((-Backdoors!AI12-IF(CA49&gt;=0.45,VLOOKUP(Calculator!E23,tbSkills!DH3:DI6,2,FALSE)+IF(AND(Calculator!B8=TRUE,Backdoors!BI14=TRUE),VLOOKUP(Calculator!E23,tbSkills!DH3:DJ6,3,FALSE),0),0))/100)))),1),"")</f>
        <v>1</v>
      </c>
      <c r="CD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A49)*CC49)*(VLOOKUP(A49,tbMoveset!A2:C112,3,FALSE)/100)*IF(VLOOKUP(A49,tbMoveset!A2:B112,2,FALSE)="Projectile",Backdoors!N10,Backdoors!N9),0),"")</f>
        <v/>
      </c>
      <c r="CE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A49&gt;=0.45,VLOOKUP(Calculator!E23,tbSkills!DH3:DI6,2,FALSE)+IF(AND(Calculator!B8=TRUE,Backdoors!BI14=TRUE),VLOOKUP(Calculator!E23,tbSkills!DH3:DJ6,3,FALSE),0),0))&gt;=100,100,(Backdoors!AI12+IF(CA49&gt;=0.45,VLOOKUP(Calculator!E23,tbSkills!DH3:DI6,2,FALSE)+IF(AND(Calculator!B8=TRUE,Backdoors!BI14=TRUE),VLOOKUP(Calculator!E23,tbSkills!DH3:DJ6,3,FALSE),0),0)))/100)),1))*IF(VLOOKUP(A49,tbMoveset!A2:K112,11,FALSE)=TRUE,Backdoors!AC5,1))*CB49,0),"")</f>
        <v>0</v>
      </c>
      <c r="CF49" s="49">
        <f>VLOOKUP(A49,tbMoveset!A2:G112,7,FALSE)*IFERROR(IF(Backdoors!AI12&gt;=0,1+(IF(Calculator!E40&gt;0,VLOOKUP(Calculator!E40,tbSkills!AI3:AJ5,2,FALSE),Backdoors!AL4)*(IF((Backdoors!AI12+IF(CA49&gt;=0.45,VLOOKUP(Calculator!E23,tbSkills!DH3:DI6,2,FALSE)+IF(AND(Calculator!B8=TRUE,Backdoors!BI14=TRUE),VLOOKUP(Calculator!E23,tbSkills!DH3:DJ6,3,FALSE),0),0))&gt;=100,100,(Backdoors!AI12+IF(CA49&gt;=0.45,VLOOKUP(Calculator!E23,tbSkills!DH3:DI6,2,FALSE)+IF(AND(Calculator!B8=TRUE,Backdoors!BI14=TRUE),VLOOKUP(Calculator!E23,tbSkills!DH3:DJ6,3,FALSE),0),0)))/100)),1),1)</f>
        <v>0.5</v>
      </c>
      <c r="CG49" s="87">
        <f t="shared" si="6"/>
        <v>0</v>
      </c>
      <c r="CH49" s="86" t="str">
        <f>IFERROR(IF(VLOOKUP(A49,tbMoveset!A2:B112,2,FALSE)="Sever",Backdoors!AY15/100,IF(VLOOKUP(A49,tbMoveset!A2:B112,2,FALSE)="Blunt",Backdoors!AZ15/100,Backdoors!BA15/100)),"")</f>
        <v/>
      </c>
      <c r="CI49" s="49">
        <f>IFERROR(IF(VLOOKUP(tbMoveset!A49,tbMoveset!A2:H112,8,FALSE)="Other",IF(VLOOKUP(tbMoveset!A49,tbMoveset!A2:I112,9,FALSE)="Fire",Backdoors!BB15,IF(VLOOKUP(tbMoveset!A49,tbMoveset!A2:I112,9,FALSE)="Water",Backdoors!BC15,IF(VLOOKUP(tbMoveset!A49,tbMoveset!A2:I112,9,FALSE)="Thunder",Backdoors!BD15,IF(VLOOKUP(tbMoveset!A49,tbMoveset!A2:I112,9,FALSE)="Ice",Backdoors!BE15,IF(VLOOKUP(tbMoveset!A49,tbMoveset!A2:I112,9,FALSE)="Dragon",Backdoors!BF15,Backdoors!BG15)))))/100,Backdoors!BG15/100),"")</f>
        <v>0</v>
      </c>
      <c r="CJ49" s="49">
        <f>IFERROR(IF(VLOOKUP(A49,tbMoveset!A2:J112,10,FALSE)=TRUE,IF((Backdoors!AI12+IF(CH49&gt;=0.45,VLOOKUP(Calculator!E23,tbSkills!DH3:DI6,2,FALSE)+IF(AND(Calculator!B8=TRUE,Backdoors!BI15=TRUE),VLOOKUP(Calculator!E23,tbSkills!DH3:DJ6,3,FALSE),0),0))&gt;=0,1+(Backdoors!AL2*(IF((Backdoors!AI12+IF(CH49&gt;=0.45,VLOOKUP(Calculator!E23,tbSkills!DH3:DI6,2,FALSE)+IF(AND(Calculator!B8=TRUE,Backdoors!BI15=TRUE),VLOOKUP(Calculator!E23,tbSkills!DH3:DJ6,3,FALSE),0),0))&gt;=100,100,(Backdoors!AI12+IF(CH49&gt;=0.45,VLOOKUP(Calculator!E23,tbSkills!DH3:DI6,2,FALSE)+IF(AND(Calculator!B8=TRUE,Backdoors!BI15=TRUE),VLOOKUP(Calculator!E23,tbSkills!DH3:DJ6,3,FALSE),0),0)))/100)),(1-(0.25*((-Backdoors!AI12-IF(CH49&gt;=0.45,VLOOKUP(Calculator!E23,tbSkills!DH3:DI6,2,FALSE)+IF(AND(Calculator!B8=TRUE,Backdoors!BI15=TRUE),VLOOKUP(Calculator!E23,tbSkills!DH3:DJ6,3,FALSE),0),0))/100)))),1),"")</f>
        <v>1</v>
      </c>
      <c r="CK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H49)*CJ49)*(VLOOKUP(A49,tbMoveset!A2:C112,3,FALSE)/100)*IF(VLOOKUP(A49,tbMoveset!A2:B112,2,FALSE)="Projectile",Backdoors!N10,Backdoors!N9),0),"")</f>
        <v/>
      </c>
      <c r="CL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H49&gt;=0.45,VLOOKUP(Calculator!E23,tbSkills!DH3:DI6,2,FALSE)+IF(AND(Calculator!B8=TRUE,Backdoors!BI15=TRUE),VLOOKUP(Calculator!E23,tbSkills!DH3:DJ6,3,FALSE),0),0))&gt;=100,100,(Backdoors!AI12+IF(CH49&gt;=0.45,VLOOKUP(Calculator!E23,tbSkills!DH3:DI6,2,FALSE)+IF(AND(Calculator!B8=TRUE,Backdoors!BI15=TRUE),VLOOKUP(Calculator!E23,tbSkills!DH3:DJ6,3,FALSE),0),0)))/100)),1))*IF(VLOOKUP(A49,tbMoveset!A2:K112,11,FALSE)=TRUE,Backdoors!AC5,1))*CI49,0),"")</f>
        <v>0</v>
      </c>
      <c r="CM49" s="49">
        <f>VLOOKUP(A49,tbMoveset!A2:G112,7,FALSE)*IFERROR(IF(Backdoors!AI12&gt;=0,1+(IF(Calculator!E40&gt;0,VLOOKUP(Calculator!E40,tbSkills!AI3:AJ5,2,FALSE),Backdoors!AL4)*(IF((Backdoors!AI12+IF(CH49&gt;=0.45,VLOOKUP(Calculator!E23,tbSkills!DH3:DI6,2,FALSE)+IF(AND(Calculator!B8=TRUE,Backdoors!BI15=TRUE),VLOOKUP(Calculator!E23,tbSkills!DH3:DJ6,3,FALSE),0),0))&gt;=100,100,(Backdoors!AI12+IF(CH49&gt;=0.45,VLOOKUP(Calculator!E23,tbSkills!DH3:DI6,2,FALSE)+IF(AND(Calculator!B8=TRUE,Backdoors!BI15=TRUE),VLOOKUP(Calculator!E23,tbSkills!DH3:DJ6,3,FALSE),0),0)))/100)),1),1)</f>
        <v>0.5</v>
      </c>
      <c r="CN49" s="87">
        <f t="shared" si="7"/>
        <v>0</v>
      </c>
      <c r="CO49" s="86" t="str">
        <f>IFERROR(IF(VLOOKUP(A49,tbMoveset!A2:B112,2,FALSE)="Sever",Backdoors!AY16/100,IF(VLOOKUP(A49,tbMoveset!A2:B112,2,FALSE)="Blunt",Backdoors!AZ16/100,Backdoors!BA16/100)),"")</f>
        <v/>
      </c>
      <c r="CP49" s="49">
        <f>IFERROR(IF(VLOOKUP(tbMoveset!A49,tbMoveset!A2:H112,8,FALSE)="Other",IF(VLOOKUP(tbMoveset!A49,tbMoveset!A2:I112,9,FALSE)="Fire",Backdoors!BB16,IF(VLOOKUP(tbMoveset!A49,tbMoveset!A2:I112,9,FALSE)="Water",Backdoors!BC16,IF(VLOOKUP(tbMoveset!A49,tbMoveset!A2:I112,9,FALSE)="Thunder",Backdoors!BD16,IF(VLOOKUP(tbMoveset!A49,tbMoveset!A2:I112,9,FALSE)="Ice",Backdoors!BE16,IF(VLOOKUP(tbMoveset!A49,tbMoveset!A2:I112,9,FALSE)="Dragon",Backdoors!BF16,Backdoors!BG16)))))/100,Backdoors!BG16/100),"")</f>
        <v>0</v>
      </c>
      <c r="CQ49" s="49">
        <f>IFERROR(IF(VLOOKUP(A49,tbMoveset!A2:J112,10,FALSE)=TRUE,IF((Backdoors!AI12+IF(CO49&gt;=0.45,VLOOKUP(Calculator!E23,tbSkills!DH3:DI6,2,FALSE)+IF(AND(Calculator!B8=TRUE,Backdoors!BI16=TRUE),VLOOKUP(Calculator!E23,tbSkills!DH3:DJ6,3,FALSE),0),0))&gt;=0,1+(Backdoors!AL2*(IF((Backdoors!AI12+IF(CO49&gt;=0.45,VLOOKUP(Calculator!E23,tbSkills!DH3:DI6,2,FALSE)+IF(AND(Calculator!B8=TRUE,Backdoors!BI16=TRUE),VLOOKUP(Calculator!E23,tbSkills!DH3:DJ6,3,FALSE),0),0))&gt;=100,100,(Backdoors!AI12+IF(CO49&gt;=0.45,VLOOKUP(Calculator!E23,tbSkills!DH3:DI6,2,FALSE)+IF(AND(Calculator!B8=TRUE,Backdoors!BI16=TRUE),VLOOKUP(Calculator!E23,tbSkills!DH3:DJ6,3,FALSE),0),0)))/100)),(1-(0.25*((-Backdoors!AI12-IF(CO49&gt;=0.45,VLOOKUP(Calculator!E23,tbSkills!DH3:DI6,2,FALSE)+IF(AND(Calculator!B8=TRUE,Backdoors!BI16=TRUE),VLOOKUP(Calculator!E23,tbSkills!DH3:DJ6,3,FALSE),0),0))/100)))),1),"")</f>
        <v>1</v>
      </c>
      <c r="CR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O49)*CQ49)*(VLOOKUP(A49,tbMoveset!A2:C112,3,FALSE)/100)*IF(VLOOKUP(A49,tbMoveset!A2:B112,2,FALSE)="Projectile",Backdoors!N10,Backdoors!N9),0),"")</f>
        <v/>
      </c>
      <c r="CS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O49&gt;=0.45,VLOOKUP(Calculator!E23,tbSkills!DH3:DI6,2,FALSE)+IF(AND(Calculator!B8=TRUE,Backdoors!BI16=TRUE),VLOOKUP(Calculator!E23,tbSkills!DH3:DJ6,3,FALSE),0),0))&gt;=100,100,(Backdoors!AI12+IF(CO49&gt;=0.45,VLOOKUP(Calculator!E23,tbSkills!DH3:DI6,2,FALSE)+IF(AND(Calculator!B8=TRUE,Backdoors!BI16=TRUE),VLOOKUP(Calculator!E23,tbSkills!DH3:DJ6,3,FALSE),0),0)))/100)),1))*IF(VLOOKUP(A49,tbMoveset!A2:K112,11,FALSE)=TRUE,Backdoors!AC5,1))*CP49,0),"")</f>
        <v>0</v>
      </c>
      <c r="CT49" s="49">
        <f>VLOOKUP(A49,tbMoveset!A2:G112,7,FALSE)*IFERROR(IF(Backdoors!AI12&gt;=0,1+(IF(Calculator!E40&gt;0,VLOOKUP(Calculator!E40,tbSkills!AI3:AJ5,2,FALSE),Backdoors!AL4)*(IF((Backdoors!AI12+IF(CO49&gt;=0.45,VLOOKUP(Calculator!E23,tbSkills!DH3:DI6,2,FALSE)+IF(AND(Calculator!B8=TRUE,Backdoors!BI16=TRUE),VLOOKUP(Calculator!E23,tbSkills!DH3:DJ6,3,FALSE),0),0))&gt;=100,100,(Backdoors!AI12+IF(CO49&gt;=0.45,VLOOKUP(Calculator!E23,tbSkills!DH3:DI6,2,FALSE)+IF(AND(Calculator!B8=TRUE,Backdoors!BI16=TRUE),VLOOKUP(Calculator!E23,tbSkills!DH3:DJ6,3,FALSE),0),0)))/100)),1),1)</f>
        <v>0.5</v>
      </c>
      <c r="CU49" s="87">
        <f t="shared" si="40"/>
        <v>0</v>
      </c>
      <c r="CV49" s="86" t="str">
        <f>IFERROR(IF(VLOOKUP(A49,tbMoveset!A2:B112,2,FALSE)="Sever",Backdoors!AY17/100,IF(VLOOKUP(A49,tbMoveset!A2:B112,2,FALSE)="Blunt",Backdoors!AZ17/100,Backdoors!BA17/100)),"")</f>
        <v/>
      </c>
      <c r="CW49" s="49">
        <f>IFERROR(IF(VLOOKUP(tbMoveset!A49,tbMoveset!A2:H112,8,FALSE)="Other",IF(VLOOKUP(tbMoveset!A49,tbMoveset!A2:I112,9,FALSE)="Fire",Backdoors!BB17,IF(VLOOKUP(tbMoveset!A49,tbMoveset!A2:I112,9,FALSE)="Water",Backdoors!BC17,IF(VLOOKUP(tbMoveset!A49,tbMoveset!A2:I112,9,FALSE)="Thunder",Backdoors!BD17,IF(VLOOKUP(tbMoveset!A49,tbMoveset!A2:I112,9,FALSE)="Ice",Backdoors!BE17,IF(VLOOKUP(tbMoveset!A49,tbMoveset!A2:I112,9,FALSE)="Dragon",Backdoors!BF17,Backdoors!BG17)))))/100,Backdoors!BG17/100),"")</f>
        <v>0</v>
      </c>
      <c r="CX49" s="49">
        <f>IFERROR(IF(VLOOKUP(A49,tbMoveset!A2:J112,10,FALSE)=TRUE,IF((Backdoors!AI12+IF(CV49&gt;=0.45,VLOOKUP(Calculator!E23,tbSkills!DH3:DI6,2,FALSE)+IF(AND(Calculator!B8=TRUE,Backdoors!BI17=TRUE),VLOOKUP(Calculator!E23,tbSkills!DH3:DJ6,3,FALSE),0),0))&gt;=0,1+(Backdoors!AL2*(IF((Backdoors!AI12+IF(CV49&gt;=0.45,VLOOKUP(Calculator!E23,tbSkills!DH3:DI6,2,FALSE)+IF(AND(Calculator!B8=TRUE,Backdoors!BI17=TRUE),VLOOKUP(Calculator!E23,tbSkills!DH3:DJ6,3,FALSE),0),0))&gt;=100,100,(Backdoors!AI12+IF(CV49&gt;=0.45,VLOOKUP(Calculator!E23,tbSkills!DH3:DI6,2,FALSE)+IF(AND(Calculator!B8=TRUE,Backdoors!BI17=TRUE),VLOOKUP(Calculator!E23,tbSkills!DH3:DJ6,3,FALSE),0),0)))/100)),(1-(0.25*((-Backdoors!AI12-IF(CV49&gt;=0.45,VLOOKUP(Calculator!E23,tbSkills!DH3:DI6,2,FALSE)+IF(AND(Calculator!B8=TRUE,Backdoors!BI17=TRUE),VLOOKUP(Calculator!E23,tbSkills!DH3:DJ6,3,FALSE),0),0))/100)))),1),"")</f>
        <v>1</v>
      </c>
      <c r="CY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V49)*CX49)*(VLOOKUP(A49,tbMoveset!A2:C112,3,FALSE)/100)*IF(VLOOKUP(A49,tbMoveset!A2:B112,2,FALSE)="Projectile",Backdoors!N10,Backdoors!N9),0),"")</f>
        <v/>
      </c>
      <c r="CZ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V49&gt;=0.45,VLOOKUP(Calculator!E23,tbSkills!DH3:DI6,2,FALSE)+IF(AND(Calculator!B8=TRUE,Backdoors!BI17=TRUE),VLOOKUP(Calculator!E23,tbSkills!DH3:DJ6,3,FALSE),0),0))&gt;=100,100,(Backdoors!AI12+IF(CV49&gt;=0.45,VLOOKUP(Calculator!E23,tbSkills!DH3:DI6,2,FALSE)+IF(AND(Calculator!B8=TRUE,Backdoors!BI17=TRUE),VLOOKUP(Calculator!E23,tbSkills!DH3:DJ6,3,FALSE),0),0)))/100)),1))*IF(VLOOKUP(A49,tbMoveset!A2:K112,11,FALSE)=TRUE,Backdoors!AC5,1))*CW49,0),"")</f>
        <v>0</v>
      </c>
      <c r="DA49" s="49">
        <f>VLOOKUP(A49,tbMoveset!A2:G112,7,FALSE)*IFERROR(IF(Backdoors!AI12&gt;=0,1+(IF(Calculator!E40&gt;0,VLOOKUP(Calculator!E40,tbSkills!AI3:AJ5,2,FALSE),Backdoors!AL4)*(IF((Backdoors!AI12+IF(CV49&gt;=0.45,VLOOKUP(Calculator!E23,tbSkills!DH3:DI6,2,FALSE)+IF(AND(Calculator!B8=TRUE,Backdoors!BI17=TRUE),VLOOKUP(Calculator!E23,tbSkills!DH3:DJ6,3,FALSE),0),0))&gt;=100,100,(Backdoors!AI12+IF(CV49&gt;=0.45,VLOOKUP(Calculator!E23,tbSkills!DH3:DI6,2,FALSE)+IF(AND(Calculator!B8=TRUE,Backdoors!BI17=TRUE),VLOOKUP(Calculator!E23,tbSkills!DH3:DJ6,3,FALSE),0),0)))/100)),1),1)</f>
        <v>0.5</v>
      </c>
      <c r="DB49" s="87">
        <f t="shared" si="8"/>
        <v>0</v>
      </c>
      <c r="DC49" s="86" t="str">
        <f>IFERROR(IF(VLOOKUP(A49,tbMoveset!A2:B112,2,FALSE)="Sever",Backdoors!AY18/100,IF(VLOOKUP(A49,tbMoveset!A2:B112,2,FALSE)="Blunt",Backdoors!AZ18/100,Backdoors!BA18/100)),"")</f>
        <v/>
      </c>
      <c r="DD49" s="49">
        <f>IFERROR(IF(VLOOKUP(tbMoveset!A49,tbMoveset!A2:H112,8,FALSE)="Other",IF(VLOOKUP(tbMoveset!A49,tbMoveset!A2:I112,9,FALSE)="Fire",Backdoors!BB18,IF(VLOOKUP(tbMoveset!A49,tbMoveset!A2:I112,9,FALSE)="Water",Backdoors!BC18,IF(VLOOKUP(tbMoveset!A49,tbMoveset!A2:I112,9,FALSE)="Thunder",Backdoors!BD18,IF(VLOOKUP(tbMoveset!A49,tbMoveset!A2:I112,9,FALSE)="Ice",Backdoors!BE18,IF(VLOOKUP(tbMoveset!A49,tbMoveset!A2:I112,9,FALSE)="Dragon",Backdoors!BF18,Backdoors!BG18)))))/100,Backdoors!BG18/100),"")</f>
        <v>0</v>
      </c>
      <c r="DE49" s="49">
        <f>IFERROR(IF(VLOOKUP(A49,tbMoveset!A2:J112,10,FALSE)=TRUE,IF((Backdoors!AI12+IF(DC49&gt;=0.45,VLOOKUP(Calculator!E23,tbSkills!DH3:DI6,2,FALSE)+IF(AND(Calculator!B8=TRUE,Backdoors!BI18=TRUE),VLOOKUP(Calculator!E23,tbSkills!DH3:DJ6,3,FALSE),0),0))&gt;=0,1+(Backdoors!AL2*(IF((Backdoors!AI12+IF(DC49&gt;=0.45,VLOOKUP(Calculator!E23,tbSkills!DH3:DI6,2,FALSE)+IF(AND(Calculator!B8=TRUE,Backdoors!BI18=TRUE),VLOOKUP(Calculator!E23,tbSkills!DH3:DJ6,3,FALSE),0),0))&gt;=100,100,(Backdoors!AI12+IF(DC49&gt;=0.45,VLOOKUP(Calculator!E23,tbSkills!DH3:DI6,2,FALSE)+IF(AND(Calculator!B8=TRUE,Backdoors!BI18=TRUE),VLOOKUP(Calculator!E23,tbSkills!DH3:DJ6,3,FALSE),0),0)))/100)),(1-(0.25*((-Backdoors!AI12-IF(DC49&gt;=0.45,VLOOKUP(Calculator!E23,tbSkills!DH3:DI6,2,FALSE)+IF(AND(Calculator!B8=TRUE,Backdoors!BI18=TRUE),VLOOKUP(Calculator!E23,tbSkills!DH3:DJ6,3,FALSE),0),0))/100)))),1),"")</f>
        <v>1</v>
      </c>
      <c r="DF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C49)*DE49)*(VLOOKUP(A49,tbMoveset!A2:C112,3,FALSE)/100)*IF(VLOOKUP(A49,tbMoveset!A2:B112,2,FALSE)="Projectile",Backdoors!N10,Backdoors!N9),0),"")</f>
        <v/>
      </c>
      <c r="DG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C49&gt;=0.45,VLOOKUP(Calculator!E23,tbSkills!DH3:DI6,2,FALSE)+IF(AND(Calculator!B8=TRUE,Backdoors!BI18=TRUE),VLOOKUP(Calculator!E23,tbSkills!DH3:DJ6,3,FALSE),0),0))&gt;=100,100,(Backdoors!AI12+IF(DC49&gt;=0.45,VLOOKUP(Calculator!E23,tbSkills!DH3:DI6,2,FALSE)+IF(AND(Calculator!B8=TRUE,Backdoors!BI18=TRUE),VLOOKUP(Calculator!E23,tbSkills!DH3:DJ6,3,FALSE),0),0)))/100)),1))*IF(VLOOKUP(A49,tbMoveset!A2:K112,11,FALSE)=TRUE,Backdoors!AC5,1))*DD49,0),"")</f>
        <v>0</v>
      </c>
      <c r="DH49" s="49">
        <f>VLOOKUP(A49,tbMoveset!A2:G112,7,FALSE)*IFERROR(IF(Backdoors!AI12&gt;=0,1+(IF(Calculator!E40&gt;0,VLOOKUP(Calculator!E40,tbSkills!AI3:AJ5,2,FALSE),Backdoors!AL4)*(IF((Backdoors!AI12+IF(DC49&gt;=0.45,VLOOKUP(Calculator!E23,tbSkills!DH3:DI6,2,FALSE)+IF(AND(Calculator!B8=TRUE,Backdoors!BI18=TRUE),VLOOKUP(Calculator!E23,tbSkills!DH3:DJ6,3,FALSE),0),0))&gt;=100,100,(Backdoors!AI12+IF(DC49&gt;=0.45,VLOOKUP(Calculator!E23,tbSkills!DH3:DI6,2,FALSE)+IF(AND(Calculator!B8=TRUE,Backdoors!BI18=TRUE),VLOOKUP(Calculator!E23,tbSkills!DH3:DJ6,3,FALSE),0),0)))/100)),1),1)</f>
        <v>0.5</v>
      </c>
      <c r="DI49" s="87">
        <f t="shared" si="9"/>
        <v>0</v>
      </c>
      <c r="DJ49" s="86" t="str">
        <f>IFERROR(IF(VLOOKUP(A49,tbMoveset!A2:B112,2,FALSE)="Sever",Backdoors!AY19/100,IF(VLOOKUP(A49,tbMoveset!A2:B112,2,FALSE)="Blunt",Backdoors!AZ19/100,Backdoors!BA19/100)),"")</f>
        <v/>
      </c>
      <c r="DK49" s="49">
        <f>IFERROR(IF(VLOOKUP(tbMoveset!A49,tbMoveset!A2:H112,8,FALSE)="Other",IF(VLOOKUP(tbMoveset!A49,tbMoveset!A2:I112,9,FALSE)="Fire",Backdoors!BB19,IF(VLOOKUP(tbMoveset!A49,tbMoveset!A2:I112,9,FALSE)="Water",Backdoors!BC19,IF(VLOOKUP(tbMoveset!A49,tbMoveset!A2:I112,9,FALSE)="Thunder",Backdoors!BD19,IF(VLOOKUP(tbMoveset!A49,tbMoveset!A2:I112,9,FALSE)="Ice",Backdoors!BE19,IF(VLOOKUP(tbMoveset!A49,tbMoveset!A2:I112,9,FALSE)="Dragon",Backdoors!BF19,Backdoors!BG19)))))/100,Backdoors!BG19/100),"")</f>
        <v>0</v>
      </c>
      <c r="DL49" s="49">
        <f>IFERROR(IF(VLOOKUP(A49,tbMoveset!A2:J112,10,FALSE)=TRUE,IF((Backdoors!AI12+IF(DJ49&gt;=0.45,VLOOKUP(Calculator!E23,tbSkills!DH3:DI6,2,FALSE)+IF(AND(Calculator!B8=TRUE,Backdoors!BI19=TRUE),VLOOKUP(Calculator!E23,tbSkills!DH3:DJ6,3,FALSE),0),0))&gt;=0,1+(Backdoors!AL2*(IF((Backdoors!AI12+IF(DJ49&gt;=0.45,VLOOKUP(Calculator!E23,tbSkills!DH3:DI6,2,FALSE)+IF(AND(Calculator!B8=TRUE,Backdoors!BI19=TRUE),VLOOKUP(Calculator!E23,tbSkills!DH3:DJ6,3,FALSE),0),0))&gt;=100,100,(Backdoors!AI12+IF(DJ49&gt;=0.45,VLOOKUP(Calculator!E23,tbSkills!DH3:DI6,2,FALSE)+IF(AND(Calculator!B8=TRUE,Backdoors!BI19=TRUE),VLOOKUP(Calculator!E23,tbSkills!DH3:DJ6,3,FALSE),0),0)))/100)),(1-(0.25*((-Backdoors!AI12-IF(DJ49&gt;=0.45,VLOOKUP(Calculator!E23,tbSkills!DH3:DI6,2,FALSE)+IF(AND(Calculator!B8=TRUE,Backdoors!BI19=TRUE),VLOOKUP(Calculator!E23,tbSkills!DH3:DJ6,3,FALSE),0),0))/100)))),1),"")</f>
        <v>1</v>
      </c>
      <c r="DM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J49)*DL49)*(VLOOKUP(A49,tbMoveset!A2:C112,3,FALSE)/100)*IF(VLOOKUP(A49,tbMoveset!A2:B112,2,FALSE)="Projectile",Backdoors!N10,Backdoors!N9),0),"")</f>
        <v/>
      </c>
      <c r="DN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J49&gt;=0.45,VLOOKUP(Calculator!E23,tbSkills!DH3:DI6,2,FALSE)+IF(AND(Calculator!B8=TRUE,Backdoors!BI19=TRUE),VLOOKUP(Calculator!E23,tbSkills!DH3:DJ6,3,FALSE),0),0))&gt;=100,100,(Backdoors!AI12+IF(DJ49&gt;=0.45,VLOOKUP(Calculator!E23,tbSkills!DH3:DI6,2,FALSE)+IF(AND(Calculator!B8=TRUE,Backdoors!BI19=TRUE),VLOOKUP(Calculator!E23,tbSkills!DH3:DJ6,3,FALSE),0),0)))/100)),1))*IF(VLOOKUP(A49,tbMoveset!A2:K112,11,FALSE)=TRUE,Backdoors!AC5,1))*DK49,0),"")</f>
        <v>0</v>
      </c>
      <c r="DO49" s="49">
        <f>VLOOKUP(A49,tbMoveset!A2:G112,7,FALSE)*IFERROR(IF(Backdoors!AI12&gt;=0,1+(IF(Calculator!E40&gt;0,VLOOKUP(Calculator!E40,tbSkills!AI3:AJ5,2,FALSE),Backdoors!AL4)*(IF((Backdoors!AI12+IF(DJ49&gt;=0.45,VLOOKUP(Calculator!E23,tbSkills!DH3:DI6,2,FALSE)+IF(AND(Calculator!B8=TRUE,Backdoors!BI19=TRUE),VLOOKUP(Calculator!E23,tbSkills!DH3:DJ6,3,FALSE),0),0))&gt;=100,100,(Backdoors!AI12+IF(DJ49&gt;=0.45,VLOOKUP(Calculator!E23,tbSkills!DH3:DI6,2,FALSE)+IF(AND(Calculator!B8=TRUE,Backdoors!BI19=TRUE),VLOOKUP(Calculator!E23,tbSkills!DH3:DJ6,3,FALSE),0),0)))/100)),1),1)</f>
        <v>0.5</v>
      </c>
      <c r="DP49" s="87">
        <f t="shared" si="41"/>
        <v>0</v>
      </c>
      <c r="DQ49" s="86" t="str">
        <f>IFERROR(IF(VLOOKUP(A49,tbMoveset!A2:B112,2,FALSE)="Sever",Backdoors!AY20/100,IF(VLOOKUP(A49,tbMoveset!A2:B112,2,FALSE)="Blunt",Backdoors!AZ20/100,Backdoors!BA20/100)),"")</f>
        <v/>
      </c>
      <c r="DR49" s="49">
        <f>IFERROR(IF(VLOOKUP(tbMoveset!A49,tbMoveset!A2:H112,8,FALSE)="Other",IF(VLOOKUP(tbMoveset!A49,tbMoveset!A2:I112,9,FALSE)="Fire",Backdoors!BB20,IF(VLOOKUP(tbMoveset!A49,tbMoveset!A2:I112,9,FALSE)="Water",Backdoors!BC20,IF(VLOOKUP(tbMoveset!A49,tbMoveset!A2:I112,9,FALSE)="Thunder",Backdoors!BD20,IF(VLOOKUP(tbMoveset!A49,tbMoveset!A2:I112,9,FALSE)="Ice",Backdoors!BE20,IF(VLOOKUP(tbMoveset!A49,tbMoveset!A2:I112,9,FALSE)="Dragon",Backdoors!BF20,Backdoors!BG20)))))/100,Backdoors!BG20/100),"")</f>
        <v>0</v>
      </c>
      <c r="DS49" s="49">
        <f>IFERROR(IF(VLOOKUP(A49,tbMoveset!A2:J112,10,FALSE)=TRUE,IF((Backdoors!AI12+IF(DQ49&gt;=0.45,VLOOKUP(Calculator!E23,tbSkills!DH3:DI6,2,FALSE)+IF(AND(Calculator!B8=TRUE,Backdoors!BI20=TRUE),VLOOKUP(Calculator!E23,tbSkills!DH3:DJ6,3,FALSE),0),0))&gt;=0,1+(Backdoors!AL2*(IF((Backdoors!AI12+IF(DQ49&gt;=0.45,VLOOKUP(Calculator!E23,tbSkills!DH3:DI6,2,FALSE)+IF(AND(Calculator!B8=TRUE,Backdoors!BI20=TRUE),VLOOKUP(Calculator!E23,tbSkills!DH3:DJ6,3,FALSE),0),0))&gt;=100,100,(Backdoors!AI12+IF(DQ49&gt;=0.45,VLOOKUP(Calculator!E23,tbSkills!DH3:DI6,2,FALSE)+IF(AND(Calculator!B8=TRUE,Backdoors!BI20=TRUE),VLOOKUP(Calculator!E23,tbSkills!DH3:DJ6,3,FALSE),0),0)))/100)),(1-(0.25*((-Backdoors!AI12-IF(DQ49&gt;=0.45,VLOOKUP(Calculator!E23,tbSkills!DH3:DI6,2,FALSE)+IF(AND(Calculator!B8=TRUE,Backdoors!BI20=TRUE),VLOOKUP(Calculator!E23,tbSkills!DH3:DJ6,3,FALSE),0),0))/100)))),1),"")</f>
        <v>1</v>
      </c>
      <c r="DT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Q49)*DS49)*(VLOOKUP(A49,tbMoveset!A2:C112,3,FALSE)/100)*IF(VLOOKUP(A49,tbMoveset!A2:B112,2,FALSE)="Projectile",Backdoors!N10,Backdoors!N9),0),"")</f>
        <v/>
      </c>
      <c r="DU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Q49&gt;=0.45,VLOOKUP(Calculator!E23,tbSkills!DH3:DI6,2,FALSE)+IF(AND(Calculator!B8=TRUE,Backdoors!BI20=TRUE),VLOOKUP(Calculator!E23,tbSkills!DH3:DJ6,3,FALSE),0),0))&gt;=100,100,(Backdoors!AI12+IF(DQ49&gt;=0.45,VLOOKUP(Calculator!E23,tbSkills!DH3:DI6,2,FALSE)+IF(AND(Calculator!B8=TRUE,Backdoors!BI20=TRUE),VLOOKUP(Calculator!E23,tbSkills!DH3:DJ6,3,FALSE),0),0)))/100)),1))*IF(VLOOKUP(A49,tbMoveset!A2:K112,11,FALSE)=TRUE,Backdoors!AC5,1))*DR49,0),"")</f>
        <v>0</v>
      </c>
      <c r="DV49" s="49">
        <f>VLOOKUP(A49,tbMoveset!A2:G112,7,FALSE)*IFERROR(IF(Backdoors!AI12&gt;=0,1+(IF(Calculator!E40&gt;0,VLOOKUP(Calculator!E40,tbSkills!AI3:AJ5,2,FALSE),Backdoors!AL4)*(IF((Backdoors!AI12+IF(DQ49&gt;=0.45,VLOOKUP(Calculator!E23,tbSkills!DH3:DI6,2,FALSE)+IF(AND(Calculator!B8=TRUE,Backdoors!BI20=TRUE),VLOOKUP(Calculator!E23,tbSkills!DH3:DJ6,3,FALSE),0),0))&gt;=100,100,(Backdoors!AI12+IF(DQ49&gt;=0.45,VLOOKUP(Calculator!E23,tbSkills!DH3:DI6,2,FALSE)+IF(AND(Calculator!B8=TRUE,Backdoors!BI20=TRUE),VLOOKUP(Calculator!E23,tbSkills!DH3:DJ6,3,FALSE),0),0)))/100)),1),1)</f>
        <v>0.5</v>
      </c>
      <c r="DW49" s="87">
        <f t="shared" si="10"/>
        <v>0</v>
      </c>
      <c r="DX49" s="86" t="str">
        <f>IFERROR(IF(VLOOKUP(A49,tbMoveset!A2:B112,2,FALSE)="Sever",Backdoors!AY21/100,IF(VLOOKUP(A49,tbMoveset!A2:B112,2,FALSE)="Blunt",Backdoors!AZ21/100,Backdoors!BA21/100)),"")</f>
        <v/>
      </c>
      <c r="DY49" s="49">
        <f>IFERROR(IF(VLOOKUP(tbMoveset!A49,tbMoveset!A2:H112,8,FALSE)="Other",IF(VLOOKUP(tbMoveset!A49,tbMoveset!A2:I112,9,FALSE)="Fire",Backdoors!BB21,IF(VLOOKUP(tbMoveset!A49,tbMoveset!A2:I112,9,FALSE)="Water",Backdoors!BC21,IF(VLOOKUP(tbMoveset!A49,tbMoveset!A2:I112,9,FALSE)="Thunder",Backdoors!BD21,IF(VLOOKUP(tbMoveset!A49,tbMoveset!A2:I112,9,FALSE)="Ice",Backdoors!BE21,IF(VLOOKUP(tbMoveset!A49,tbMoveset!A2:I112,9,FALSE)="Dragon",Backdoors!BF21,Backdoors!BG21)))))/100,Backdoors!BG21/100),"")</f>
        <v>0</v>
      </c>
      <c r="DZ49" s="49">
        <f>IFERROR(IF(VLOOKUP(A49,tbMoveset!A2:J112,10,FALSE)=TRUE,IF((Backdoors!AI12+IF(DX49&gt;=0.45,VLOOKUP(Calculator!E23,tbSkills!DH3:DI6,2,FALSE)+IF(AND(Calculator!B8=TRUE,Backdoors!BI21=TRUE),VLOOKUP(Calculator!E23,tbSkills!DH3:DJ6,3,FALSE),0),0))&gt;=0,1+(Backdoors!AL2*(IF((Backdoors!AI12+IF(DX49&gt;=0.45,VLOOKUP(Calculator!E23,tbSkills!DH3:DI6,2,FALSE)+IF(AND(Calculator!B8=TRUE,Backdoors!BI21=TRUE),VLOOKUP(Calculator!E23,tbSkills!DH3:DJ6,3,FALSE),0),0))&gt;=100,100,(Backdoors!AI12+IF(DX49&gt;=0.45,VLOOKUP(Calculator!E23,tbSkills!DH3:DI6,2,FALSE)+IF(AND(Calculator!B8=TRUE,Backdoors!BI21=TRUE),VLOOKUP(Calculator!E23,tbSkills!DH3:DJ6,3,FALSE),0),0)))/100)),(1-(0.25*((-Backdoors!AI12-IF(DX49&gt;=0.45,VLOOKUP(Calculator!E23,tbSkills!DH3:DI6,2,FALSE)+IF(AND(Calculator!B8=TRUE,Backdoors!BI21=TRUE),VLOOKUP(Calculator!E23,tbSkills!DH3:DJ6,3,FALSE),0),0))/100)))),1),"")</f>
        <v>1</v>
      </c>
      <c r="EA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X49)*DZ49)*(VLOOKUP(A49,tbMoveset!A2:C112,3,FALSE)/100)*IF(VLOOKUP(A49,tbMoveset!A2:B112,2,FALSE)="Projectile",Backdoors!N10,Backdoors!N9),0),"")</f>
        <v/>
      </c>
      <c r="EB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X49&gt;=0.45,VLOOKUP(Calculator!E23,tbSkills!DH3:DI6,2,FALSE)+IF(AND(Calculator!B8=TRUE,Backdoors!BI21=TRUE),VLOOKUP(Calculator!E23,tbSkills!DH3:DJ6,3,FALSE),0),0))&gt;=100,100,(Backdoors!AI12+IF(DX49&gt;=0.45,VLOOKUP(Calculator!E23,tbSkills!DH3:DI6,2,FALSE)+IF(AND(Calculator!B8=TRUE,Backdoors!BI21=TRUE),VLOOKUP(Calculator!E23,tbSkills!DH3:DJ6,3,FALSE),0),0)))/100)),1))*IF(VLOOKUP(A49,tbMoveset!A2:K112,11,FALSE)=TRUE,Backdoors!AC5,1))*DY49,0),"")</f>
        <v>0</v>
      </c>
      <c r="EC49" s="49">
        <f>VLOOKUP(A49,tbMoveset!A2:G112,7,FALSE)*IFERROR(IF(Backdoors!AI12&gt;=0,1+(IF(Calculator!E40&gt;0,VLOOKUP(Calculator!E40,tbSkills!AI3:AJ5,2,FALSE),Backdoors!AL4)*(IF((Backdoors!AI12+IF(DX49&gt;=0.45,VLOOKUP(Calculator!E23,tbSkills!DH3:DI6,2,FALSE)+IF(AND(Calculator!B8=TRUE,Backdoors!BI21=TRUE),VLOOKUP(Calculator!E23,tbSkills!DH3:DJ6,3,FALSE),0),0))&gt;=100,100,(Backdoors!AI12+IF(DX49&gt;=0.45,VLOOKUP(Calculator!E23,tbSkills!DH3:DI6,2,FALSE)+IF(AND(Calculator!B8=TRUE,Backdoors!BI21=TRUE),VLOOKUP(Calculator!E23,tbSkills!DH3:DJ6,3,FALSE),0),0)))/100)),1),1)</f>
        <v>0.5</v>
      </c>
      <c r="ED49" s="87">
        <f t="shared" si="11"/>
        <v>0</v>
      </c>
      <c r="EE49" s="86" t="str">
        <f>IFERROR(IF(VLOOKUP(A49,tbMoveset!A2:B112,2,FALSE)="Sever",Backdoors!AY22/100,IF(VLOOKUP(A49,tbMoveset!A2:B112,2,FALSE)="Blunt",Backdoors!AZ22/100,Backdoors!BA22/100)),"")</f>
        <v/>
      </c>
      <c r="EF49" s="49">
        <f>IFERROR(IF(VLOOKUP(tbMoveset!A49,tbMoveset!A2:H112,8,FALSE)="Other",IF(VLOOKUP(tbMoveset!A49,tbMoveset!A2:I112,9,FALSE)="Fire",Backdoors!BB22,IF(VLOOKUP(tbMoveset!A49,tbMoveset!A2:I112,9,FALSE)="Water",Backdoors!BC22,IF(VLOOKUP(tbMoveset!A49,tbMoveset!A2:I112,9,FALSE)="Thunder",Backdoors!BD22,IF(VLOOKUP(tbMoveset!A49,tbMoveset!A2:I112,9,FALSE)="Ice",Backdoors!BE22,IF(VLOOKUP(tbMoveset!A49,tbMoveset!A2:I112,9,FALSE)="Dragon",Backdoors!BF22,Backdoors!BG22)))))/100,Backdoors!BG22/100),"")</f>
        <v>0</v>
      </c>
      <c r="EG49" s="49">
        <f>IFERROR(IF(VLOOKUP(A49,tbMoveset!A2:J112,10,FALSE)=TRUE,IF((Backdoors!AI12+IF(EE49&gt;=0.45,VLOOKUP(Calculator!E23,tbSkills!DH3:DI6,2,FALSE)+IF(AND(Calculator!B8=TRUE,Backdoors!BI22=TRUE),VLOOKUP(Calculator!E23,tbSkills!DH3:DJ6,3,FALSE),0),0))&gt;=0,1+(Backdoors!AL2*(IF((Backdoors!AI12+IF(EE49&gt;=0.45,VLOOKUP(Calculator!E23,tbSkills!DH3:DI6,2,FALSE)+IF(AND(Calculator!B8=TRUE,Backdoors!BI22=TRUE),VLOOKUP(Calculator!E23,tbSkills!DH3:DJ6,3,FALSE),0),0))&gt;=100,100,(Backdoors!AI12+IF(EE49&gt;=0.45,VLOOKUP(Calculator!E23,tbSkills!DH3:DI6,2,FALSE)+IF(AND(Calculator!B8=TRUE,Backdoors!BI22=TRUE),VLOOKUP(Calculator!E23,tbSkills!DH3:DJ6,3,FALSE),0),0)))/100)),(1-(0.25*((-Backdoors!AI12-IF(EE49&gt;=0.45,VLOOKUP(Calculator!E23,tbSkills!DH3:DI6,2,FALSE)+IF(AND(Calculator!B8=TRUE,Backdoors!BI22=TRUE),VLOOKUP(Calculator!E23,tbSkills!DH3:DJ6,3,FALSE),0),0))/100)))),1),"")</f>
        <v>1</v>
      </c>
      <c r="EH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E49)*EG49)*(VLOOKUP(A49,tbMoveset!A2:C112,3,FALSE)/100)*IF(VLOOKUP(A49,tbMoveset!A2:B112,2,FALSE)="Projectile",Backdoors!N10,Backdoors!N9),0),"")</f>
        <v/>
      </c>
      <c r="EI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E49&gt;=0.45,VLOOKUP(Calculator!E23,tbSkills!DH3:DI6,2,FALSE)+IF(AND(Calculator!B8=TRUE,Backdoors!BI22=TRUE),VLOOKUP(Calculator!E23,tbSkills!DH3:DJ6,3,FALSE),0),0))&gt;=100,100,(Backdoors!AI12+IF(EE49&gt;=0.45,VLOOKUP(Calculator!E23,tbSkills!DH3:DI6,2,FALSE)+IF(AND(Calculator!B8=TRUE,Backdoors!BI22=TRUE),VLOOKUP(Calculator!E23,tbSkills!DH3:DJ6,3,FALSE),0),0)))/100)),1))*IF(VLOOKUP(A49,tbMoveset!A2:K112,11,FALSE)=TRUE,Backdoors!AC5,1))*EF49,0),"")</f>
        <v>0</v>
      </c>
      <c r="EJ49" s="49">
        <f>VLOOKUP(A49,tbMoveset!A2:G112,7,FALSE)*IFERROR(IF(Backdoors!AI12&gt;=0,1+(IF(Calculator!E40&gt;0,VLOOKUP(Calculator!E40,tbSkills!AI3:AJ5,2,FALSE),Backdoors!AL4)*(IF((Backdoors!AI12+IF(EE49&gt;=0.45,VLOOKUP(Calculator!E23,tbSkills!DH3:DI6,2,FALSE)+IF(AND(Calculator!B8=TRUE,Backdoors!BI22=TRUE),VLOOKUP(Calculator!E23,tbSkills!DH3:DJ6,3,FALSE),0),0))&gt;=100,100,(Backdoors!AI12+IF(EE49&gt;=0.45,VLOOKUP(Calculator!E23,tbSkills!DH3:DI6,2,FALSE)+IF(AND(Calculator!B8=TRUE,Backdoors!BI22=TRUE),VLOOKUP(Calculator!E23,tbSkills!DH3:DJ6,3,FALSE),0),0)))/100)),1),1)</f>
        <v>0.5</v>
      </c>
      <c r="EK49" s="87">
        <f t="shared" si="12"/>
        <v>0</v>
      </c>
      <c r="EL49" s="86" t="str">
        <f>IFERROR(IF(VLOOKUP(A49,tbMoveset!A2:B112,2,FALSE)="Sever",Backdoors!AY23/100,IF(VLOOKUP(A49,tbMoveset!A2:B112,2,FALSE)="Blunt",Backdoors!AZ23/100,Backdoors!BA23/100)),"")</f>
        <v/>
      </c>
      <c r="EM49" s="49">
        <f>IFERROR(IF(VLOOKUP(tbMoveset!A49,tbMoveset!A2:H112,8,FALSE)="Other",IF(VLOOKUP(tbMoveset!A49,tbMoveset!A2:I112,9,FALSE)="Fire",Backdoors!BB23,IF(VLOOKUP(tbMoveset!A49,tbMoveset!A2:I112,9,FALSE)="Water",Backdoors!BC23,IF(VLOOKUP(tbMoveset!A49,tbMoveset!A2:I112,9,FALSE)="Thunder",Backdoors!BD23,IF(VLOOKUP(tbMoveset!A49,tbMoveset!A2:I112,9,FALSE)="Ice",Backdoors!BE23,IF(VLOOKUP(tbMoveset!A49,tbMoveset!A2:I112,9,FALSE)="Dragon",Backdoors!BF23,Backdoors!BG23)))))/100,Backdoors!BG23/100),"")</f>
        <v>0</v>
      </c>
      <c r="EN49" s="49">
        <f>IFERROR(IF(VLOOKUP(A49,tbMoveset!A2:J112,10,FALSE)=TRUE,IF((Backdoors!AI12+IF(EL49&gt;=0.45,VLOOKUP(Calculator!E23,tbSkills!DH3:DI6,2,FALSE)+IF(AND(Calculator!B8=TRUE,Backdoors!BI23=TRUE),VLOOKUP(Calculator!E23,tbSkills!DH3:DJ6,3,FALSE),0),0))&gt;=0,1+(Backdoors!AL2*(IF((Backdoors!AI12+IF(EL49&gt;=0.45,VLOOKUP(Calculator!E23,tbSkills!DH3:DI6,2,FALSE)+IF(AND(Calculator!B8=TRUE,Backdoors!BI23=TRUE),VLOOKUP(Calculator!E23,tbSkills!DH3:DJ6,3,FALSE),0),0))&gt;=100,100,(Backdoors!AI12+IF(EL49&gt;=0.45,VLOOKUP(Calculator!E23,tbSkills!DH3:DI6,2,FALSE)+IF(AND(Calculator!B8=TRUE,Backdoors!BI23=TRUE),VLOOKUP(Calculator!E23,tbSkills!DH3:DJ6,3,FALSE),0),0)))/100)),(1-(0.25*((-Backdoors!AI12-IF(EL49&gt;=0.45,VLOOKUP(Calculator!E23,tbSkills!DH3:DI6,2,FALSE)+IF(AND(Calculator!B8=TRUE,Backdoors!BI23=TRUE),VLOOKUP(Calculator!E23,tbSkills!DH3:DJ6,3,FALSE),0),0))/100)))),1),"")</f>
        <v>1</v>
      </c>
      <c r="EO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L49)*EN49)*(VLOOKUP(A49,tbMoveset!A2:C112,3,FALSE)/100)*IF(VLOOKUP(A49,tbMoveset!A2:B112,2,FALSE)="Projectile",Backdoors!N10,Backdoors!N9),0),"")</f>
        <v/>
      </c>
      <c r="EP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L49&gt;=0.45,VLOOKUP(Calculator!E23,tbSkills!DH3:DI6,2,FALSE)+IF(AND(Calculator!B8=TRUE,Backdoors!BI23=TRUE),VLOOKUP(Calculator!E23,tbSkills!DH3:DJ6,3,FALSE),0),0))&gt;=100,100,(Backdoors!AI12+IF(EL49&gt;=0.45,VLOOKUP(Calculator!E23,tbSkills!DH3:DI6,2,FALSE)+IF(AND(Calculator!B8=TRUE,Backdoors!BI23=TRUE),VLOOKUP(Calculator!E23,tbSkills!DH3:DJ6,3,FALSE),0),0)))/100)),1))*IF(VLOOKUP(A49,tbMoveset!A2:K112,11,FALSE)=TRUE,Backdoors!AC5,1))*EM49,0),"")</f>
        <v>0</v>
      </c>
      <c r="EQ49" s="49">
        <f>VLOOKUP(A49,tbMoveset!A2:G112,7,FALSE)*IFERROR(IF(Backdoors!AI12&gt;=0,1+(IF(Calculator!E40&gt;0,VLOOKUP(Calculator!E40,tbSkills!AI3:AJ5,2,FALSE),Backdoors!AL4)*(IF((Backdoors!AI12+IF(EL49&gt;=0.45,VLOOKUP(Calculator!E23,tbSkills!DH3:DI6,2,FALSE)+IF(AND(Calculator!B8=TRUE,Backdoors!BI23=TRUE),VLOOKUP(Calculator!E23,tbSkills!DH3:DJ6,3,FALSE),0),0))&gt;=100,100,(Backdoors!AI12+IF(EL49&gt;=0.45,VLOOKUP(Calculator!E23,tbSkills!DH3:DI6,2,FALSE)+IF(AND(Calculator!B8=TRUE,Backdoors!BI23=TRUE),VLOOKUP(Calculator!E23,tbSkills!DH3:DJ6,3,FALSE),0),0)))/100)),1),1)</f>
        <v>0.5</v>
      </c>
      <c r="ER49" s="87">
        <f t="shared" si="13"/>
        <v>0</v>
      </c>
      <c r="ES49" s="86" t="str">
        <f>IFERROR(IF(VLOOKUP(A49,tbMoveset!A2:B112,2,FALSE)="Sever",Backdoors!AY24/100,IF(VLOOKUP(A49,tbMoveset!A2:B112,2,FALSE)="Blunt",Backdoors!AZ24/100,Backdoors!BA24/100)),"")</f>
        <v/>
      </c>
      <c r="ET49" s="49">
        <f>IFERROR(IF(VLOOKUP(tbMoveset!A49,tbMoveset!A2:H112,8,FALSE)="Other",IF(VLOOKUP(tbMoveset!A49,tbMoveset!A2:I112,9,FALSE)="Fire",Backdoors!BB24,IF(VLOOKUP(tbMoveset!A49,tbMoveset!A2:I112,9,FALSE)="Water",Backdoors!BC24,IF(VLOOKUP(tbMoveset!A49,tbMoveset!A2:I112,9,FALSE)="Thunder",Backdoors!BD24,IF(VLOOKUP(tbMoveset!A49,tbMoveset!A2:I112,9,FALSE)="Ice",Backdoors!BE24,IF(VLOOKUP(tbMoveset!A49,tbMoveset!A2:I112,9,FALSE)="Dragon",Backdoors!BF24,Backdoors!BG24)))))/100,Backdoors!BG24/100),"")</f>
        <v>0</v>
      </c>
      <c r="EU49" s="49">
        <f>IFERROR(IF(VLOOKUP(A49,tbMoveset!A2:J112,10,FALSE)=TRUE,IF((Backdoors!AI12+IF(ES49&gt;=0.45,VLOOKUP(Calculator!E23,tbSkills!DH3:DI6,2,FALSE)+IF(AND(Calculator!B8=TRUE,Backdoors!BI24=TRUE),VLOOKUP(Calculator!E23,tbSkills!DH3:DJ6,3,FALSE),0),0))&gt;=0,1+(Backdoors!AL2*(IF((Backdoors!AI12+IF(ES49&gt;=0.45,VLOOKUP(Calculator!E23,tbSkills!DH3:DI6,2,FALSE)+IF(AND(Calculator!B8=TRUE,Backdoors!BI24=TRUE),VLOOKUP(Calculator!E23,tbSkills!DH3:DJ6,3,FALSE),0),0))&gt;=100,100,(Backdoors!AI12+IF(ES49&gt;=0.45,VLOOKUP(Calculator!E23,tbSkills!DH3:DI6,2,FALSE)+IF(AND(Calculator!B8=TRUE,Backdoors!BI24=TRUE),VLOOKUP(Calculator!E23,tbSkills!DH3:DJ6,3,FALSE),0),0)))/100)),(1-(0.25*((-Backdoors!AI12-IF(ES49&gt;=0.45,VLOOKUP(Calculator!E23,tbSkills!DH3:DI6,2,FALSE)+IF(AND(Calculator!B8=TRUE,Backdoors!BI24=TRUE),VLOOKUP(Calculator!E23,tbSkills!DH3:DJ6,3,FALSE),0),0))/100)))),1),"")</f>
        <v>1</v>
      </c>
      <c r="EV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S49)*EU49)*(VLOOKUP(A49,tbMoveset!A2:C112,3,FALSE)/100)*IF(VLOOKUP(A49,tbMoveset!A2:B112,2,FALSE)="Projectile",Backdoors!N10,Backdoors!N9),0),"")</f>
        <v/>
      </c>
      <c r="EW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S49&gt;=0.45,VLOOKUP(Calculator!E23,tbSkills!DH3:DI6,2,FALSE)+IF(AND(Calculator!B8=TRUE,Backdoors!BI24=TRUE),VLOOKUP(Calculator!E23,tbSkills!DH3:DJ6,3,FALSE),0),0))&gt;=100,100,(Backdoors!AI12+IF(ES49&gt;=0.45,VLOOKUP(Calculator!E23,tbSkills!DH3:DI6,2,FALSE)+IF(AND(Calculator!B8=TRUE,Backdoors!BI24=TRUE),VLOOKUP(Calculator!E23,tbSkills!DH3:DJ6,3,FALSE),0),0)))/100)),1))*IF(VLOOKUP(A49,tbMoveset!A2:K112,11,FALSE)=TRUE,Backdoors!AC5,1))*ET49,0),"")</f>
        <v>0</v>
      </c>
      <c r="EX49" s="49">
        <f>VLOOKUP(A49,tbMoveset!A2:G112,7,FALSE)*IFERROR(IF(Backdoors!AI12&gt;=0,1+(IF(Calculator!E40&gt;0,VLOOKUP(Calculator!E40,tbSkills!AI3:AJ5,2,FALSE),Backdoors!AL4)*(IF((Backdoors!AI12+IF(ES49&gt;=0.45,VLOOKUP(Calculator!E23,tbSkills!DH3:DI6,2,FALSE)+IF(AND(Calculator!B8=TRUE,Backdoors!BI24=TRUE),VLOOKUP(Calculator!E23,tbSkills!DH3:DJ6,3,FALSE),0),0))&gt;=100,100,(Backdoors!AI12+IF(ES49&gt;=0.45,VLOOKUP(Calculator!E23,tbSkills!DH3:DI6,2,FALSE)+IF(AND(Calculator!B8=TRUE,Backdoors!BI24=TRUE),VLOOKUP(Calculator!E23,tbSkills!DH3:DJ6,3,FALSE),0),0)))/100)),1),1)</f>
        <v>0.5</v>
      </c>
      <c r="EY49" s="87">
        <f t="shared" si="14"/>
        <v>0</v>
      </c>
      <c r="EZ49" s="86" t="str">
        <f>IFERROR(IF(VLOOKUP(A49,tbMoveset!A2:B112,2,FALSE)="Sever",Backdoors!AY25/100,IF(VLOOKUP(A49,tbMoveset!A2:B112,2,FALSE)="Blunt",Backdoors!AZ25/100,Backdoors!BA25/100)),"")</f>
        <v/>
      </c>
      <c r="FA49" s="49">
        <f>IFERROR(IF(VLOOKUP(tbMoveset!A49,tbMoveset!A2:H112,8,FALSE)="Other",IF(VLOOKUP(tbMoveset!A49,tbMoveset!A2:I112,9,FALSE)="Fire",Backdoors!BB25,IF(VLOOKUP(tbMoveset!A49,tbMoveset!A2:I112,9,FALSE)="Water",Backdoors!BC25,IF(VLOOKUP(tbMoveset!A49,tbMoveset!A2:I112,9,FALSE)="Thunder",Backdoors!BD25,IF(VLOOKUP(tbMoveset!A49,tbMoveset!A2:I112,9,FALSE)="Ice",Backdoors!BE25,IF(VLOOKUP(tbMoveset!A49,tbMoveset!A2:I112,9,FALSE)="Dragon",Backdoors!BF25,Backdoors!BG25)))))/100,Backdoors!BG25/100),"")</f>
        <v>0</v>
      </c>
      <c r="FB49" s="49">
        <f>IFERROR(IF(VLOOKUP(A49,tbMoveset!A2:J112,10,FALSE)=TRUE,IF((Backdoors!AI12+IF(EZ49&gt;=0.45,VLOOKUP(Calculator!E23,tbSkills!DH3:DI6,2,FALSE)+IF(AND(Calculator!B8=TRUE,Backdoors!BI25=TRUE),VLOOKUP(Calculator!E23,tbSkills!DH3:DJ6,3,FALSE),0),0))&gt;=0,1+(Backdoors!AL2*(IF((Backdoors!AI12+IF(EZ49&gt;=0.45,VLOOKUP(Calculator!E23,tbSkills!DH3:DI6,2,FALSE)+IF(AND(Calculator!B8=TRUE,Backdoors!BI25=TRUE),VLOOKUP(Calculator!E23,tbSkills!DH3:DJ6,3,FALSE),0),0))&gt;=100,100,(Backdoors!AI12+IF(EZ49&gt;=0.45,VLOOKUP(Calculator!E23,tbSkills!DH3:DI6,2,FALSE)+IF(AND(Calculator!B8=TRUE,Backdoors!BI25=TRUE),VLOOKUP(Calculator!E23,tbSkills!DH3:DJ6,3,FALSE),0),0)))/100)),(1-(0.25*((-Backdoors!AI12-IF(EZ49&gt;=0.45,VLOOKUP(Calculator!E23,tbSkills!DH3:DI6,2,FALSE)+IF(AND(Calculator!B8=TRUE,Backdoors!BI25=TRUE),VLOOKUP(Calculator!E23,tbSkills!DH3:DJ6,3,FALSE),0),0))/100)))),1),"")</f>
        <v>1</v>
      </c>
      <c r="FC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Z49)*FB49)*(VLOOKUP(A49,tbMoveset!A2:C112,3,FALSE)/100)*IF(VLOOKUP(A49,tbMoveset!A2:B112,2,FALSE)="Projectile",Backdoors!N10,Backdoors!N9),0),"")</f>
        <v/>
      </c>
      <c r="FD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Z49&gt;=0.45,VLOOKUP(Calculator!E23,tbSkills!DH3:DI6,2,FALSE)+IF(AND(Calculator!B8=TRUE,Backdoors!BI25=TRUE),VLOOKUP(Calculator!E23,tbSkills!DH3:DJ6,3,FALSE),0),0))&gt;=100,100,(Backdoors!AI12+IF(EZ49&gt;=0.45,VLOOKUP(Calculator!E23,tbSkills!DH3:DI6,2,FALSE)+IF(AND(Calculator!B8=TRUE,Backdoors!BI25=TRUE),VLOOKUP(Calculator!E23,tbSkills!DH3:DJ6,3,FALSE),0),0)))/100)),1))*IF(VLOOKUP(A49,tbMoveset!A2:K112,11,FALSE)=TRUE,Backdoors!AC5,1))*FA49,0),"")</f>
        <v>0</v>
      </c>
      <c r="FE49" s="49">
        <f>VLOOKUP(A49,tbMoveset!A2:G112,7,FALSE)*IFERROR(IF(Backdoors!AI12&gt;=0,1+(IF(Calculator!E40&gt;0,VLOOKUP(Calculator!E40,tbSkills!AI3:AJ5,2,FALSE),Backdoors!AL4)*(IF((Backdoors!AI12+IF(EZ49&gt;=0.45,VLOOKUP(Calculator!E23,tbSkills!DH3:DI6,2,FALSE)+IF(AND(Calculator!B8=TRUE,Backdoors!BI25=TRUE),VLOOKUP(Calculator!E23,tbSkills!DH3:DJ6,3,FALSE),0),0))&gt;=100,100,(Backdoors!AI12+IF(EZ49&gt;=0.45,VLOOKUP(Calculator!E23,tbSkills!DH3:DI6,2,FALSE)+IF(AND(Calculator!B8=TRUE,Backdoors!BI25=TRUE),VLOOKUP(Calculator!E23,tbSkills!DH3:DJ6,3,FALSE),0),0)))/100)),1),1)</f>
        <v>0.5</v>
      </c>
      <c r="FF49" s="87">
        <f t="shared" si="15"/>
        <v>0</v>
      </c>
      <c r="FG49" s="86" t="str">
        <f>IFERROR(IF(VLOOKUP(A49,tbMoveset!A2:B112,2,FALSE)="Sever",Backdoors!AY26/100,IF(VLOOKUP(A49,tbMoveset!A2:B112,2,FALSE)="Blunt",Backdoors!AZ26/100,Backdoors!BA26/100)),"")</f>
        <v/>
      </c>
      <c r="FH49" s="49">
        <f>IFERROR(IF(VLOOKUP(tbMoveset!A49,tbMoveset!A2:H112,8,FALSE)="Other",IF(VLOOKUP(tbMoveset!A49,tbMoveset!A2:I112,9,FALSE)="Fire",Backdoors!BB26,IF(VLOOKUP(tbMoveset!A49,tbMoveset!A2:I112,9,FALSE)="Water",Backdoors!BC26,IF(VLOOKUP(tbMoveset!A49,tbMoveset!A2:I112,9,FALSE)="Thunder",Backdoors!BD26,IF(VLOOKUP(tbMoveset!A49,tbMoveset!A2:I112,9,FALSE)="Ice",Backdoors!BE26,IF(VLOOKUP(tbMoveset!A49,tbMoveset!A2:I112,9,FALSE)="Dragon",Backdoors!BF26,Backdoors!BG26)))))/100,Backdoors!BG26/100),"")</f>
        <v>0</v>
      </c>
      <c r="FI49" s="49">
        <f>IFERROR(IF(VLOOKUP(A49,tbMoveset!A2:J112,10,FALSE)=TRUE,IF((Backdoors!AI12+IF(FG49&gt;=0.45,VLOOKUP(Calculator!E23,tbSkills!DH3:DI6,2,FALSE)+IF(AND(Calculator!B8=TRUE,Backdoors!BI26=TRUE),VLOOKUP(Calculator!E23,tbSkills!DH3:DJ6,3,FALSE),0),0))&gt;=0,1+(Backdoors!AL2*(IF((Backdoors!AI12+IF(FG49&gt;=0.45,VLOOKUP(Calculator!E23,tbSkills!DH3:DI6,2,FALSE)+IF(AND(Calculator!B8=TRUE,Backdoors!BI26=TRUE),VLOOKUP(Calculator!E23,tbSkills!DH3:DJ6,3,FALSE),0),0))&gt;=100,100,(Backdoors!AI12+IF(FG49&gt;=0.45,VLOOKUP(Calculator!E23,tbSkills!DH3:DI6,2,FALSE)+IF(AND(Calculator!B8=TRUE,Backdoors!BI26=TRUE),VLOOKUP(Calculator!E23,tbSkills!DH3:DJ6,3,FALSE),0),0)))/100)),(1-(0.25*((-Backdoors!AI12-IF(FG49&gt;=0.45,VLOOKUP(Calculator!E23,tbSkills!DH3:DI6,2,FALSE)+IF(AND(Calculator!B8=TRUE,Backdoors!BI26=TRUE),VLOOKUP(Calculator!E23,tbSkills!DH3:DJ6,3,FALSE),0),0))/100)))),1),"")</f>
        <v>1</v>
      </c>
      <c r="FJ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FG49)*FI49)*(VLOOKUP(A49,tbMoveset!A2:C112,3,FALSE)/100)*IF(VLOOKUP(A49,tbMoveset!A2:B112,2,FALSE)="Projectile",Backdoors!N10,Backdoors!N9),0),"")</f>
        <v/>
      </c>
      <c r="FK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FG49&gt;=0.45,VLOOKUP(Calculator!E23,tbSkills!DH3:DI6,2,FALSE)+IF(AND(Calculator!B8=TRUE,Backdoors!BI26=TRUE),VLOOKUP(Calculator!E23,tbSkills!DH3:DJ6,3,FALSE),0),0))&gt;=100,100,(Backdoors!AI12+IF(FG49&gt;=0.45,VLOOKUP(Calculator!E23,tbSkills!DH3:DI6,2,FALSE)+IF(AND(Calculator!B8=TRUE,Backdoors!BI26=TRUE),VLOOKUP(Calculator!E23,tbSkills!DH3:DJ6,3,FALSE),0),0)))/100)),1))*IF(VLOOKUP(A49,tbMoveset!A2:K112,11,FALSE)=TRUE,Backdoors!AC5,1))*FH49,0),"")</f>
        <v>0</v>
      </c>
      <c r="FL49" s="49">
        <f>VLOOKUP(A49,tbMoveset!A2:G112,7,FALSE)*IFERROR(IF(Backdoors!AI12&gt;=0,1+(IF(Calculator!E40&gt;0,VLOOKUP(Calculator!E40,tbSkills!AI3:AJ5,2,FALSE),Backdoors!AL4)*(IF((Backdoors!AI12+IF(FG49&gt;=0.45,VLOOKUP(Calculator!E23,tbSkills!DH3:DI6,2,FALSE)+IF(AND(Calculator!B8=TRUE,Backdoors!BI26=TRUE),VLOOKUP(Calculator!E23,tbSkills!DH3:DJ6,3,FALSE),0),0))&gt;=100,100,(Backdoors!AI12+IF(FG49&gt;=0.45,VLOOKUP(Calculator!E23,tbSkills!DH3:DI6,2,FALSE)+IF(AND(Calculator!B8=TRUE,Backdoors!BI26=TRUE),VLOOKUP(Calculator!E23,tbSkills!DH3:DJ6,3,FALSE),0),0)))/100)),1),1)</f>
        <v>0.5</v>
      </c>
      <c r="FM49" s="87">
        <f t="shared" si="16"/>
        <v>0</v>
      </c>
      <c r="FN49" s="86" t="str">
        <f>IFERROR(IF(VLOOKUP(A49,tbMoveset!A2:B112,2,FALSE)="Sever",Backdoors!AY27/100,IF(VLOOKUP(A49,tbMoveset!A2:B112,2,FALSE)="Blunt",Backdoors!AZ27/100,Backdoors!BA27/100)),"")</f>
        <v/>
      </c>
      <c r="FO49" s="49">
        <f>IFERROR(IF(VLOOKUP(tbMoveset!A49,tbMoveset!A2:H112,8,FALSE)="Other",IF(VLOOKUP(tbMoveset!A49,tbMoveset!A2:I112,9,FALSE)="Fire",Backdoors!BB27,IF(VLOOKUP(tbMoveset!A49,tbMoveset!A2:I112,9,FALSE)="Water",Backdoors!BC27,IF(VLOOKUP(tbMoveset!A49,tbMoveset!A2:I112,9,FALSE)="Thunder",Backdoors!BD27,IF(VLOOKUP(tbMoveset!A49,tbMoveset!A2:I112,9,FALSE)="Ice",Backdoors!BE27,IF(VLOOKUP(tbMoveset!A49,tbMoveset!A2:I112,9,FALSE)="Dragon",Backdoors!BF27,Backdoors!BG27)))))/100,Backdoors!BG27/100),"")</f>
        <v>0</v>
      </c>
      <c r="FP49" s="49">
        <f>IFERROR(IF(VLOOKUP(A49,tbMoveset!A2:J112,10,FALSE)=TRUE,IF((Backdoors!AI12+IF(FN49&gt;=0.45,VLOOKUP(Calculator!E23,tbSkills!DH3:DI6,2,FALSE)+IF(AND(Calculator!B8=TRUE,Backdoors!BI27=TRUE),VLOOKUP(Calculator!E23,tbSkills!DH3:DJ6,3,FALSE),0),0))&gt;=0,1+(Backdoors!AL2*(IF((Backdoors!AI12+IF(FN49&gt;=0.45,VLOOKUP(Calculator!E23,tbSkills!DH3:DI6,2,FALSE)+IF(AND(Calculator!B8=TRUE,Backdoors!BI27=TRUE),VLOOKUP(Calculator!E23,tbSkills!DH3:DJ6,3,FALSE),0),0))&gt;=100,100,(Backdoors!AI12+IF(FN49&gt;=0.45,VLOOKUP(Calculator!E23,tbSkills!DH3:DI6,2,FALSE)+IF(AND(Calculator!B8=TRUE,Backdoors!BI27=TRUE),VLOOKUP(Calculator!E23,tbSkills!DH3:DJ6,3,FALSE),0),0)))/100)),(1-(0.25*((-Backdoors!AI12-IF(FN49&gt;=0.45,VLOOKUP(Calculator!E23,tbSkills!DH3:DI6,2,FALSE)+IF(AND(Calculator!B8=TRUE,Backdoors!BI27=TRUE),VLOOKUP(Calculator!E23,tbSkills!DH3:DJ6,3,FALSE),0),0))/100)))),1),"")</f>
        <v>1</v>
      </c>
      <c r="FQ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FN49)*FP49)*(VLOOKUP(A49,tbMoveset!A2:C112,3,FALSE)/100)*IF(VLOOKUP(A49,tbMoveset!A2:B112,2,FALSE)="Projectile",Backdoors!N10,Backdoors!N9),0),"")</f>
        <v/>
      </c>
      <c r="FR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FN49&gt;=0.45,VLOOKUP(Calculator!E23,tbSkills!DH3:DI6,2,FALSE)+IF(AND(Calculator!B8=TRUE,Backdoors!BI27=TRUE),VLOOKUP(Calculator!E23,tbSkills!DH3:DJ6,3,FALSE),0),0))&gt;=100,100,(Backdoors!AI12+IF(FN49&gt;=0.45,VLOOKUP(Calculator!E23,tbSkills!DH3:DI6,2,FALSE)+IF(AND(Calculator!B8=TRUE,Backdoors!BI27=TRUE),VLOOKUP(Calculator!E23,tbSkills!DH3:DJ6,3,FALSE),0),0)))/100)),1))*IF(VLOOKUP(A49,tbMoveset!A2:K112,11,FALSE)=TRUE,Backdoors!AC5,1))*FO49,0),"")</f>
        <v>0</v>
      </c>
      <c r="FS49" s="49">
        <f>VLOOKUP(A49,tbMoveset!A2:G112,7,FALSE)*IFERROR(IF(Backdoors!AI12&gt;=0,1+(IF(Calculator!E40&gt;0,VLOOKUP(Calculator!E40,tbSkills!AI3:AJ5,2,FALSE),Backdoors!AL4)*(IF((Backdoors!AI12+IF(FN49&gt;=0.45,VLOOKUP(Calculator!E23,tbSkills!DH3:DI6,2,FALSE)+IF(AND(Calculator!B8=TRUE,Backdoors!BI27=TRUE),VLOOKUP(Calculator!E23,tbSkills!DH3:DJ6,3,FALSE),0),0))&gt;=100,100,(Backdoors!AI12+IF(FN49&gt;=0.45,VLOOKUP(Calculator!E23,tbSkills!DH3:DI6,2,FALSE)+IF(AND(Calculator!B8=TRUE,Backdoors!BI27=TRUE),VLOOKUP(Calculator!E23,tbSkills!DH3:DJ6,3,FALSE),0),0)))/100)),1),1)</f>
        <v>0.5</v>
      </c>
      <c r="FT49" s="87">
        <f t="shared" si="17"/>
        <v>0</v>
      </c>
      <c r="FU49" s="86" t="str">
        <f>IFERROR(IF(VLOOKUP(A49,tbMoveset!A2:B112,2,FALSE)="Sever",Backdoors!AY28/100,IF(VLOOKUP(A49,tbMoveset!A2:B112,2,FALSE)="Blunt",Backdoors!AZ28/100,Backdoors!BA28/100)),"")</f>
        <v/>
      </c>
      <c r="FV49" s="49">
        <f>IFERROR(IF(VLOOKUP(tbMoveset!A49,tbMoveset!A2:H112,8,FALSE)="Other",IF(VLOOKUP(tbMoveset!A49,tbMoveset!A2:I112,9,FALSE)="Fire",Backdoors!BB28,IF(VLOOKUP(tbMoveset!A49,tbMoveset!A2:I112,9,FALSE)="Water",Backdoors!BC28,IF(VLOOKUP(tbMoveset!A49,tbMoveset!A2:I112,9,FALSE)="Thunder",Backdoors!BD28,IF(VLOOKUP(tbMoveset!A49,tbMoveset!A2:I112,9,FALSE)="Ice",Backdoors!BE28,IF(VLOOKUP(tbMoveset!A49,tbMoveset!A2:I112,9,FALSE)="Dragon",Backdoors!BF28,Backdoors!BG28)))))/100,Backdoors!BG28/100),"")</f>
        <v>0</v>
      </c>
      <c r="FW49" s="49">
        <f>IFERROR(IF(VLOOKUP(A49,tbMoveset!A2:J112,10,FALSE)=TRUE,IF((Backdoors!AI12+IF(FU49&gt;=0.45,VLOOKUP(Calculator!E23,tbSkills!DH3:DI6,2,FALSE)+IF(AND(Calculator!B8=TRUE,Backdoors!BI28=TRUE),VLOOKUP(Calculator!E23,tbSkills!DH3:DJ6,3,FALSE),0),0))&gt;=0,1+(Backdoors!AL2*(IF((Backdoors!AI12+IF(FU49&gt;=0.45,VLOOKUP(Calculator!E23,tbSkills!DH3:DI6,2,FALSE)+IF(AND(Calculator!B8=TRUE,Backdoors!BI28=TRUE),VLOOKUP(Calculator!E23,tbSkills!DH3:DJ6,3,FALSE),0),0))&gt;=100,100,(Backdoors!AI12+IF(FU49&gt;=0.45,VLOOKUP(Calculator!E23,tbSkills!DH3:DI6,2,FALSE)+IF(AND(Calculator!B8=TRUE,Backdoors!BI28=TRUE),VLOOKUP(Calculator!E23,tbSkills!DH3:DJ6,3,FALSE),0),0)))/100)),(1-(0.25*((-Backdoors!AI12-IF(FU49&gt;=0.45,VLOOKUP(Calculator!E23,tbSkills!DH3:DI6,2,FALSE)+IF(AND(Calculator!B8=TRUE,Backdoors!BI28=TRUE),VLOOKUP(Calculator!E23,tbSkills!DH3:DJ6,3,FALSE),0),0))/100)))),1),"")</f>
        <v>1</v>
      </c>
      <c r="FX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FU49)*FW49)*(VLOOKUP(A49,tbMoveset!A2:C112,3,FALSE)/100)*IF(VLOOKUP(A49,tbMoveset!A2:B112,2,FALSE)="Projectile",Backdoors!N10,Backdoors!N9),0),"")</f>
        <v/>
      </c>
      <c r="FY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FU49&gt;=0.45,VLOOKUP(Calculator!E23,tbSkills!DH3:DI6,2,FALSE)+IF(AND(Calculator!B8=TRUE,Backdoors!BI28=TRUE),VLOOKUP(Calculator!E23,tbSkills!DH3:DJ6,3,FALSE),0),0))&gt;=100,100,(Backdoors!AI12+IF(FU49&gt;=0.45,VLOOKUP(Calculator!E23,tbSkills!DH3:DI6,2,FALSE)+IF(AND(Calculator!B8=TRUE,Backdoors!BI28=TRUE),VLOOKUP(Calculator!E23,tbSkills!DH3:DJ6,3,FALSE),0),0)))/100)),1))*IF(VLOOKUP(A49,tbMoveset!A2:K112,11,FALSE)=TRUE,Backdoors!AC5,1))*FV49,0),"")</f>
        <v>0</v>
      </c>
      <c r="FZ49" s="49">
        <f>VLOOKUP(A49,tbMoveset!A2:G112,7,FALSE)*IFERROR(IF(Backdoors!AI12&gt;=0,1+(IF(Calculator!E40&gt;0,VLOOKUP(Calculator!E40,tbSkills!AI3:AJ5,2,FALSE),Backdoors!AL4)*(IF((Backdoors!AI12+IF(FU49&gt;=0.45,VLOOKUP(Calculator!E23,tbSkills!DH3:DI6,2,FALSE)+IF(AND(Calculator!B8=TRUE,Backdoors!BI28=TRUE),VLOOKUP(Calculator!E23,tbSkills!DH3:DJ6,3,FALSE),0),0))&gt;=100,100,(Backdoors!AI12+IF(FU49&gt;=0.45,VLOOKUP(Calculator!E23,tbSkills!DH3:DI6,2,FALSE)+IF(AND(Calculator!B8=TRUE,Backdoors!BI28=TRUE),VLOOKUP(Calculator!E23,tbSkills!DH3:DJ6,3,FALSE),0),0)))/100)),1),1)</f>
        <v>0.5</v>
      </c>
      <c r="GA49" s="87">
        <f t="shared" si="18"/>
        <v>0</v>
      </c>
      <c r="GB49" s="86" t="str">
        <f>IFERROR(IF(VLOOKUP(A49,tbMoveset!A2:B112,2,FALSE)="Sever",Backdoors!AY29/100,IF(VLOOKUP(A49,tbMoveset!A2:B112,2,FALSE)="Blunt",Backdoors!AZ29/100,Backdoors!BA29/100)),"")</f>
        <v/>
      </c>
      <c r="GC49" s="49">
        <f>IFERROR(IF(VLOOKUP(tbMoveset!A49,tbMoveset!A2:H112,8,FALSE)="Other",IF(VLOOKUP(tbMoveset!A49,tbMoveset!A2:I112,9,FALSE)="Fire",Backdoors!BB29,IF(VLOOKUP(tbMoveset!A49,tbMoveset!A2:I112,9,FALSE)="Water",Backdoors!BC29,IF(VLOOKUP(tbMoveset!A49,tbMoveset!A2:I112,9,FALSE)="Thunder",Backdoors!BD29,IF(VLOOKUP(tbMoveset!A49,tbMoveset!A2:I112,9,FALSE)="Ice",Backdoors!BE29,IF(VLOOKUP(tbMoveset!A49,tbMoveset!A2:I112,9,FALSE)="Dragon",Backdoors!BF29,Backdoors!BG29)))))/100,Backdoors!BG29/100),"")</f>
        <v>0</v>
      </c>
      <c r="GD49" s="49">
        <f>IFERROR(IF(VLOOKUP(A49,tbMoveset!A2:J112,10,FALSE)=TRUE,IF((Backdoors!AI12+IF(GB49&gt;=0.45,VLOOKUP(Calculator!E23,tbSkills!DH3:DI6,2,FALSE)+IF(AND(Calculator!B8=TRUE,Backdoors!BI29=TRUE),VLOOKUP(Calculator!E23,tbSkills!DH3:DJ6,3,FALSE),0),0))&gt;=0,1+(Backdoors!AL2*(IF((Backdoors!AI12+IF(GB49&gt;=0.45,VLOOKUP(Calculator!E23,tbSkills!DH3:DI6,2,FALSE)+IF(AND(Calculator!B8=TRUE,Backdoors!BI29=TRUE),VLOOKUP(Calculator!E23,tbSkills!DH3:DJ6,3,FALSE),0),0))&gt;=100,100,(Backdoors!AI12+IF(GB49&gt;=0.45,VLOOKUP(Calculator!E23,tbSkills!DH3:DI6,2,FALSE)+IF(AND(Calculator!B8=TRUE,Backdoors!BI29=TRUE),VLOOKUP(Calculator!E23,tbSkills!DH3:DJ6,3,FALSE),0),0)))/100)),(1-(0.25*((-Backdoors!AI12-IF(GB49&gt;=0.45,VLOOKUP(Calculator!E23,tbSkills!DH3:DI6,2,FALSE)+IF(AND(Calculator!B8=TRUE,Backdoors!BI29=TRUE),VLOOKUP(Calculator!E23,tbSkills!DH3:DJ6,3,FALSE),0),0))/100)))),1),"")</f>
        <v>1</v>
      </c>
      <c r="GE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B49)*GD49)*(VLOOKUP(A49,tbMoveset!A2:C112,3,FALSE)/100)*IF(VLOOKUP(A49,tbMoveset!A2:B112,2,FALSE)="Projectile",Backdoors!N10,Backdoors!N9),0),"")</f>
        <v/>
      </c>
      <c r="GF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B49&gt;=0.45,VLOOKUP(Calculator!E23,tbSkills!DH3:DI6,2,FALSE)+IF(AND(Calculator!B8=TRUE,Backdoors!BI29=TRUE),VLOOKUP(Calculator!E23,tbSkills!DH3:DJ6,3,FALSE),0),0))&gt;=100,100,(Backdoors!AI12+IF(GB49&gt;=0.45,VLOOKUP(Calculator!E23,tbSkills!DH3:DI6,2,FALSE)+IF(AND(Calculator!B8=TRUE,Backdoors!BI29=TRUE),VLOOKUP(Calculator!E23,tbSkills!DH3:DJ6,3,FALSE),0),0)))/100)),1))*IF(VLOOKUP(A49,tbMoveset!A2:K112,11,FALSE)=TRUE,Backdoors!AC5,1))*GC49,0),"")</f>
        <v>0</v>
      </c>
      <c r="GG49" s="49">
        <f>VLOOKUP(A49,tbMoveset!A2:G112,7,FALSE)*IFERROR(IF(Backdoors!AI12&gt;=0,1+(IF(Calculator!E40&gt;0,VLOOKUP(Calculator!E40,tbSkills!AI3:AJ5,2,FALSE),Backdoors!AL4)*(IF((Backdoors!AI12+IF(GB49&gt;=0.45,VLOOKUP(Calculator!E23,tbSkills!DH3:DI6,2,FALSE)+IF(AND(Calculator!B8=TRUE,Backdoors!BI29=TRUE),VLOOKUP(Calculator!E23,tbSkills!DH3:DJ6,3,FALSE),0),0))&gt;=100,100,(Backdoors!AI12+IF(GB49&gt;=0.45,VLOOKUP(Calculator!E23,tbSkills!DH3:DI6,2,FALSE)+IF(AND(Calculator!B8=TRUE,Backdoors!BI29=TRUE),VLOOKUP(Calculator!E23,tbSkills!DH3:DJ6,3,FALSE),0),0)))/100)),1),1)</f>
        <v>0.5</v>
      </c>
      <c r="GH49" s="87">
        <f t="shared" si="19"/>
        <v>0</v>
      </c>
      <c r="GI49" s="86" t="str">
        <f>IFERROR(IF(VLOOKUP(A49,tbMoveset!A2:B112,2,FALSE)="Sever",Backdoors!AY30/100,IF(VLOOKUP(A49,tbMoveset!A2:B112,2,FALSE)="Blunt",Backdoors!AZ30/100,Backdoors!BA30/100)),"")</f>
        <v/>
      </c>
      <c r="GJ49" s="49">
        <f>IFERROR(IF(VLOOKUP(tbMoveset!A49,tbMoveset!A2:H112,8,FALSE)="Other",IF(VLOOKUP(tbMoveset!A49,tbMoveset!A2:I112,9,FALSE)="Fire",Backdoors!BB30,IF(VLOOKUP(tbMoveset!A49,tbMoveset!A2:I112,9,FALSE)="Water",Backdoors!BC30,IF(VLOOKUP(tbMoveset!A49,tbMoveset!A2:I112,9,FALSE)="Thunder",Backdoors!BD30,IF(VLOOKUP(tbMoveset!A49,tbMoveset!A2:I112,9,FALSE)="Ice",Backdoors!BE30,IF(VLOOKUP(tbMoveset!A49,tbMoveset!A2:I112,9,FALSE)="Dragon",Backdoors!BF30,Backdoors!BG30)))))/100,Backdoors!BG30/100),"")</f>
        <v>0</v>
      </c>
      <c r="GK49" s="49">
        <f>IFERROR(IF(VLOOKUP(A49,tbMoveset!A2:J112,10,FALSE)=TRUE,IF((Backdoors!AI12+IF(GI49&gt;=0.45,VLOOKUP(Calculator!E23,tbSkills!DH3:DI6,2,FALSE)+IF(AND(Calculator!B8=TRUE,Backdoors!BI30=TRUE),VLOOKUP(Calculator!E23,tbSkills!DH3:DJ6,3,FALSE),0),0))&gt;=0,1+(Backdoors!AL2*(IF((Backdoors!AI12+IF(GI49&gt;=0.45,VLOOKUP(Calculator!E23,tbSkills!DH3:DI6,2,FALSE)+IF(AND(Calculator!B8=TRUE,Backdoors!BI30=TRUE),VLOOKUP(Calculator!E23,tbSkills!DH3:DJ6,3,FALSE),0),0))&gt;=100,100,(Backdoors!AI12+IF(GI49&gt;=0.45,VLOOKUP(Calculator!E23,tbSkills!DH3:DI6,2,FALSE)+IF(AND(Calculator!B8=TRUE,Backdoors!BI30=TRUE),VLOOKUP(Calculator!E23,tbSkills!DH3:DJ6,3,FALSE),0),0)))/100)),(1-(0.25*((-Backdoors!AI12-IF(GI49&gt;=0.45,VLOOKUP(Calculator!E23,tbSkills!DH3:DI6,2,FALSE)+IF(AND(Calculator!B8=TRUE,Backdoors!BI30=TRUE),VLOOKUP(Calculator!E23,tbSkills!DH3:DJ6,3,FALSE),0),0))/100)))),1),"")</f>
        <v>1</v>
      </c>
      <c r="GL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I49)*GK49)*(VLOOKUP(A49,tbMoveset!A2:C112,3,FALSE)/100)*IF(VLOOKUP(A49,tbMoveset!A2:B112,2,FALSE)="Projectile",Backdoors!N10,Backdoors!N9),0),"")</f>
        <v/>
      </c>
      <c r="GM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I49&gt;=0.45,VLOOKUP(Calculator!E23,tbSkills!DH3:DI6,2,FALSE)+IF(AND(Calculator!B8=TRUE,Backdoors!BI30=TRUE),VLOOKUP(Calculator!E23,tbSkills!DH3:DJ6,3,FALSE),0),0))&gt;=100,100,(Backdoors!AI12+IF(GI49&gt;=0.45,VLOOKUP(Calculator!E23,tbSkills!DH3:DI6,2,FALSE)+IF(AND(Calculator!B8=TRUE,Backdoors!BI30=TRUE),VLOOKUP(Calculator!E23,tbSkills!DH3:DJ6,3,FALSE),0),0)))/100)),1))*IF(VLOOKUP(A49,tbMoveset!A2:K112,11,FALSE)=TRUE,Backdoors!AC5,1))*GJ49,0),"")</f>
        <v>0</v>
      </c>
      <c r="GN49" s="49">
        <f>VLOOKUP(A49,tbMoveset!A2:G112,7,FALSE)*IFERROR(IF(Backdoors!AI12&gt;=0,1+(IF(Calculator!E40&gt;0,VLOOKUP(Calculator!E40,tbSkills!AI3:AJ5,2,FALSE),Backdoors!AL4)*(IF((Backdoors!AI12+IF(GI49&gt;=0.45,VLOOKUP(Calculator!E23,tbSkills!DH3:DI6,2,FALSE)+IF(AND(Calculator!B8=TRUE,Backdoors!BI30=TRUE),VLOOKUP(Calculator!E23,tbSkills!DH3:DJ6,3,FALSE),0),0))&gt;=100,100,(Backdoors!AI12+IF(GI49&gt;=0.45,VLOOKUP(Calculator!E23,tbSkills!DH3:DI6,2,FALSE)+IF(AND(Calculator!B8=TRUE,Backdoors!BI30=TRUE),VLOOKUP(Calculator!E23,tbSkills!DH3:DJ6,3,FALSE),0),0)))/100)),1),1)</f>
        <v>0.5</v>
      </c>
      <c r="GO49" s="87">
        <f t="shared" si="20"/>
        <v>0</v>
      </c>
      <c r="GP49" s="86" t="str">
        <f>IFERROR(IF(VLOOKUP(A49,tbMoveset!A2:B112,2,FALSE)="Sever",Backdoors!AY31/100,IF(VLOOKUP(A49,tbMoveset!A2:B112,2,FALSE)="Blunt",Backdoors!AZ31/100,Backdoors!BA31/100)),"")</f>
        <v/>
      </c>
      <c r="GQ49" s="49">
        <f>IFERROR(IF(VLOOKUP(tbMoveset!A49,tbMoveset!A2:H112,8,FALSE)="Other",IF(VLOOKUP(tbMoveset!A49,tbMoveset!A2:I112,9,FALSE)="Fire",Backdoors!BB31,IF(VLOOKUP(tbMoveset!A49,tbMoveset!A2:I112,9,FALSE)="Water",Backdoors!BC31,IF(VLOOKUP(tbMoveset!A49,tbMoveset!A2:I112,9,FALSE)="Thunder",Backdoors!BD31,IF(VLOOKUP(tbMoveset!A49,tbMoveset!A2:I112,9,FALSE)="Ice",Backdoors!BE31,IF(VLOOKUP(tbMoveset!A49,tbMoveset!A2:I112,9,FALSE)="Dragon",Backdoors!BF31,Backdoors!BG31)))))/100,Backdoors!BG31/100),"")</f>
        <v>0</v>
      </c>
      <c r="GR49" s="49">
        <f>IFERROR(IF(VLOOKUP(A49,tbMoveset!A2:J112,10,FALSE)=TRUE,IF((Backdoors!AI12+IF(GP49&gt;=0.45,VLOOKUP(Calculator!E23,tbSkills!DH3:DI6,2,FALSE)+IF(AND(Calculator!B8=TRUE,Backdoors!BI31=TRUE),VLOOKUP(Calculator!E23,tbSkills!DH3:DJ6,3,FALSE),0),0))&gt;=0,1+(Backdoors!AL2*(IF((Backdoors!AI12+IF(GP49&gt;=0.45,VLOOKUP(Calculator!E23,tbSkills!DH3:DI6,2,FALSE)+IF(AND(Calculator!B8=TRUE,Backdoors!BI31=TRUE),VLOOKUP(Calculator!E23,tbSkills!DH3:DJ6,3,FALSE),0),0))&gt;=100,100,(Backdoors!AI12+IF(GP49&gt;=0.45,VLOOKUP(Calculator!E23,tbSkills!DH3:DI6,2,FALSE)+IF(AND(Calculator!B8=TRUE,Backdoors!BI31=TRUE),VLOOKUP(Calculator!E23,tbSkills!DH3:DJ6,3,FALSE),0),0)))/100)),(1-(0.25*((-Backdoors!AI12-IF(GP49&gt;=0.45,VLOOKUP(Calculator!E23,tbSkills!DH3:DI6,2,FALSE)+IF(AND(Calculator!B8=TRUE,Backdoors!BI31=TRUE),VLOOKUP(Calculator!E23,tbSkills!DH3:DJ6,3,FALSE),0),0))/100)))),1),"")</f>
        <v>1</v>
      </c>
      <c r="GS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P49)*GR49)*(VLOOKUP(A49,tbMoveset!A2:C112,3,FALSE)/100)*IF(VLOOKUP(A49,tbMoveset!A2:B112,2,FALSE)="Projectile",Backdoors!N10,Backdoors!N9),0),"")</f>
        <v/>
      </c>
      <c r="GT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P49&gt;=0.45,VLOOKUP(Calculator!E23,tbSkills!DH3:DI6,2,FALSE)+IF(AND(Calculator!B8=TRUE,Backdoors!BI31=TRUE),VLOOKUP(Calculator!E23,tbSkills!DH3:DJ6,3,FALSE),0),0))&gt;=100,100,(Backdoors!AI12+IF(GP49&gt;=0.45,VLOOKUP(Calculator!E23,tbSkills!DH3:DI6,2,FALSE)+IF(AND(Calculator!B8=TRUE,Backdoors!BI31=TRUE),VLOOKUP(Calculator!E23,tbSkills!DH3:DJ6,3,FALSE),0),0)))/100)),1))*IF(VLOOKUP(A49,tbMoveset!A2:K112,11,FALSE)=TRUE,Backdoors!AC5,1))*GQ49,0),"")</f>
        <v>0</v>
      </c>
      <c r="GU49" s="49">
        <f>VLOOKUP(A49,tbMoveset!A2:G112,7,FALSE)*IFERROR(IF(Backdoors!AI12&gt;=0,1+(IF(Calculator!E40&gt;0,VLOOKUP(Calculator!E40,tbSkills!AI3:AJ5,2,FALSE),Backdoors!AL4)*(IF((Backdoors!AI12+IF(GP49&gt;=0.45,VLOOKUP(Calculator!E23,tbSkills!DH3:DI6,2,FALSE)+IF(AND(Calculator!B8=TRUE,Backdoors!BI31=TRUE),VLOOKUP(Calculator!E23,tbSkills!DH3:DJ6,3,FALSE),0),0))&gt;=100,100,(Backdoors!AI12+IF(GP49&gt;=0.45,VLOOKUP(Calculator!E23,tbSkills!DH3:DI6,2,FALSE)+IF(AND(Calculator!B8=TRUE,Backdoors!BI31=TRUE),VLOOKUP(Calculator!E23,tbSkills!DH3:DJ6,3,FALSE),0),0)))/100)),1),1)</f>
        <v>0.5</v>
      </c>
      <c r="GV49" s="87">
        <f t="shared" si="21"/>
        <v>0</v>
      </c>
      <c r="GW49" s="86" t="str">
        <f>IFERROR(IF(VLOOKUP(A49,tbMoveset!A2:B112,2,FALSE)="Sever",Backdoors!AY32/100,IF(VLOOKUP(A49,tbMoveset!A2:B112,2,FALSE)="Blunt",Backdoors!AZ32/100,Backdoors!BA32/100)),"")</f>
        <v/>
      </c>
      <c r="GX49" s="49">
        <f>IFERROR(IF(VLOOKUP(tbMoveset!A49,tbMoveset!A2:H112,8,FALSE)="Other",IF(VLOOKUP(tbMoveset!A49,tbMoveset!A2:I112,9,FALSE)="Fire",Backdoors!BB32,IF(VLOOKUP(tbMoveset!A49,tbMoveset!A2:I112,9,FALSE)="Water",Backdoors!BC32,IF(VLOOKUP(tbMoveset!A49,tbMoveset!A2:I112,9,FALSE)="Thunder",Backdoors!BD32,IF(VLOOKUP(tbMoveset!A49,tbMoveset!A2:I112,9,FALSE)="Ice",Backdoors!BE32,IF(VLOOKUP(tbMoveset!A49,tbMoveset!A2:I112,9,FALSE)="Dragon",Backdoors!BF32,Backdoors!BG32)))))/100,Backdoors!BG32/100),"")</f>
        <v>0</v>
      </c>
      <c r="GY49" s="49">
        <f>IFERROR(IF(VLOOKUP(A49,tbMoveset!A2:J112,10,FALSE)=TRUE,IF((Backdoors!AI12+IF(GW49&gt;=0.45,VLOOKUP(Calculator!E23,tbSkills!DH3:DI6,2,FALSE)+IF(AND(Calculator!B8=TRUE,Backdoors!BI32=TRUE),VLOOKUP(Calculator!E23,tbSkills!DH3:DJ6,3,FALSE),0),0))&gt;=0,1+(Backdoors!AL2*(IF((Backdoors!AI12+IF(GW49&gt;=0.45,VLOOKUP(Calculator!E23,tbSkills!DH3:DI6,2,FALSE)+IF(AND(Calculator!B8=TRUE,Backdoors!BI32=TRUE),VLOOKUP(Calculator!E23,tbSkills!DH3:DJ6,3,FALSE),0),0))&gt;=100,100,(Backdoors!AI12+IF(GW49&gt;=0.45,VLOOKUP(Calculator!E23,tbSkills!DH3:DI6,2,FALSE)+IF(AND(Calculator!B8=TRUE,Backdoors!BI32=TRUE),VLOOKUP(Calculator!E23,tbSkills!DH3:DJ6,3,FALSE),0),0)))/100)),(1-(0.25*((-Backdoors!AI12-IF(GW49&gt;=0.45,VLOOKUP(Calculator!E23,tbSkills!DH3:DI6,2,FALSE)+IF(AND(Calculator!B8=TRUE,Backdoors!BI32=TRUE),VLOOKUP(Calculator!E23,tbSkills!DH3:DJ6,3,FALSE),0),0))/100)))),1),"")</f>
        <v>1</v>
      </c>
      <c r="GZ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W49)*GY49)*(VLOOKUP(A49,tbMoveset!A2:C112,3,FALSE)/100)*IF(VLOOKUP(A49,tbMoveset!A2:B112,2,FALSE)="Projectile",Backdoors!N10,Backdoors!N9),0),"")</f>
        <v/>
      </c>
      <c r="HA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W49&gt;=0.45,VLOOKUP(Calculator!E23,tbSkills!DH3:DI6,2,FALSE)+IF(AND(Calculator!B8=TRUE,Backdoors!BI32=TRUE),VLOOKUP(Calculator!E23,tbSkills!DH3:DJ6,3,FALSE),0),0))&gt;=100,100,(Backdoors!AI12+IF(GW49&gt;=0.45,VLOOKUP(Calculator!E23,tbSkills!DH3:DI6,2,FALSE)+IF(AND(Calculator!B8=TRUE,Backdoors!BI32=TRUE),VLOOKUP(Calculator!E23,tbSkills!DH3:DJ6,3,FALSE),0),0)))/100)),1))*IF(VLOOKUP(A49,tbMoveset!A2:K112,11,FALSE)=TRUE,Backdoors!AC5,1))*GX49,0),"")</f>
        <v>0</v>
      </c>
      <c r="HB49" s="49">
        <f>VLOOKUP(A49,tbMoveset!A2:G112,7,FALSE)*IFERROR(IF(Backdoors!AI12&gt;=0,1+(IF(Calculator!E40&gt;0,VLOOKUP(Calculator!E40,tbSkills!AI3:AJ5,2,FALSE),Backdoors!AL4)*(IF((Backdoors!AI12+IF(GW49&gt;=0.45,VLOOKUP(Calculator!E23,tbSkills!DH3:DI6,2,FALSE)+IF(AND(Calculator!B8=TRUE,Backdoors!BI32=TRUE),VLOOKUP(Calculator!E23,tbSkills!DH3:DJ6,3,FALSE),0),0))&gt;=100,100,(Backdoors!AI12+IF(GW49&gt;=0.45,VLOOKUP(Calculator!E23,tbSkills!DH3:DI6,2,FALSE)+IF(AND(Calculator!B8=TRUE,Backdoors!BI32=TRUE),VLOOKUP(Calculator!E23,tbSkills!DH3:DJ6,3,FALSE),0),0)))/100)),1),1)</f>
        <v>0.5</v>
      </c>
      <c r="HC49" s="87">
        <f t="shared" si="22"/>
        <v>0</v>
      </c>
      <c r="HD49" s="86" t="str">
        <f>IFERROR(IF(VLOOKUP(A49,tbMoveset!A2:B112,2,FALSE)="Sever",Backdoors!AY33/100,IF(VLOOKUP(A49,tbMoveset!A2:B112,2,FALSE)="Blunt",Backdoors!AZ33/100,Backdoors!BA33/100)),"")</f>
        <v/>
      </c>
      <c r="HE49" s="49">
        <f>IFERROR(IF(VLOOKUP(tbMoveset!A49,tbMoveset!A2:H112,8,FALSE)="Other",IF(VLOOKUP(tbMoveset!A49,tbMoveset!A2:I112,9,FALSE)="Fire",Backdoors!BB33,IF(VLOOKUP(tbMoveset!A49,tbMoveset!A2:I112,9,FALSE)="Water",Backdoors!BC33,IF(VLOOKUP(tbMoveset!A49,tbMoveset!A2:I112,9,FALSE)="Thunder",Backdoors!BD33,IF(VLOOKUP(tbMoveset!A49,tbMoveset!A2:I112,9,FALSE)="Ice",Backdoors!BE33,IF(VLOOKUP(tbMoveset!A49,tbMoveset!A2:I112,9,FALSE)="Dragon",Backdoors!BF33,Backdoors!BG33)))))/100,Backdoors!BG33/100),"")</f>
        <v>0</v>
      </c>
      <c r="HF49" s="49">
        <f>IFERROR(IF(VLOOKUP(A49,tbMoveset!A2:J112,10,FALSE)=TRUE,IF((Backdoors!AI12+IF(HD49&gt;=0.45,VLOOKUP(Calculator!E23,tbSkills!DH3:DI6,2,FALSE)+IF(AND(Calculator!B8=TRUE,Backdoors!BI33=TRUE),VLOOKUP(Calculator!E23,tbSkills!DH3:DJ6,3,FALSE),0),0))&gt;=0,1+(Backdoors!AL2*(IF((Backdoors!AI12+IF(HD49&gt;=0.45,VLOOKUP(Calculator!E23,tbSkills!DH3:DI6,2,FALSE)+IF(AND(Calculator!B8=TRUE,Backdoors!BI33=TRUE),VLOOKUP(Calculator!E23,tbSkills!DH3:DJ6,3,FALSE),0),0))&gt;=100,100,(Backdoors!AI12+IF(HD49&gt;=0.45,VLOOKUP(Calculator!E23,tbSkills!DH3:DI6,2,FALSE)+IF(AND(Calculator!B8=TRUE,Backdoors!BI33=TRUE),VLOOKUP(Calculator!E23,tbSkills!DH3:DJ6,3,FALSE),0),0)))/100)),(1-(0.25*((-Backdoors!AI12-IF(HD49&gt;=0.45,VLOOKUP(Calculator!E23,tbSkills!DH3:DI6,2,FALSE)+IF(AND(Calculator!B8=TRUE,Backdoors!BI33=TRUE),VLOOKUP(Calculator!E23,tbSkills!DH3:DJ6,3,FALSE),0),0))/100)))),1),"")</f>
        <v>1</v>
      </c>
      <c r="HG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D49)*HF49)*(VLOOKUP(A49,tbMoveset!A2:C112,3,FALSE)/100)*IF(VLOOKUP(A49,tbMoveset!A2:B112,2,FALSE)="Projectile",Backdoors!N10,Backdoors!N9),0),"")</f>
        <v/>
      </c>
      <c r="HH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D49&gt;=0.45,VLOOKUP(Calculator!E23,tbSkills!DH3:DI6,2,FALSE)+IF(AND(Calculator!B8=TRUE,Backdoors!BI33=TRUE),VLOOKUP(Calculator!E23,tbSkills!DH3:DJ6,3,FALSE),0),0))&gt;=100,100,(Backdoors!AI12+IF(HD49&gt;=0.45,VLOOKUP(Calculator!E23,tbSkills!DH3:DI6,2,FALSE)+IF(AND(Calculator!B8=TRUE,Backdoors!BI33=TRUE),VLOOKUP(Calculator!E23,tbSkills!DH3:DJ6,3,FALSE),0),0)))/100)),1))*IF(VLOOKUP(A49,tbMoveset!A2:K112,11,FALSE)=TRUE,Backdoors!AC5,1))*HE49,0),"")</f>
        <v>0</v>
      </c>
      <c r="HI49" s="49">
        <f>VLOOKUP(A49,tbMoveset!A2:G112,7,FALSE)*IFERROR(IF(Backdoors!AI12&gt;=0,1+(IF(Calculator!E40&gt;0,VLOOKUP(Calculator!E40,tbSkills!AI3:AJ5,2,FALSE),Backdoors!AL4)*(IF((Backdoors!AI12+IF(HD49&gt;=0.45,VLOOKUP(Calculator!E23,tbSkills!DH3:DI6,2,FALSE)+IF(AND(Calculator!B8=TRUE,Backdoors!BI33=TRUE),VLOOKUP(Calculator!E23,tbSkills!DH3:DJ6,3,FALSE),0),0))&gt;=100,100,(Backdoors!AI12+IF(HD49&gt;=0.45,VLOOKUP(Calculator!E23,tbSkills!DH3:DI6,2,FALSE)+IF(AND(Calculator!B8=TRUE,Backdoors!BI33=TRUE),VLOOKUP(Calculator!E23,tbSkills!DH3:DJ6,3,FALSE),0),0)))/100)),1),1)</f>
        <v>0.5</v>
      </c>
      <c r="HJ49" s="87">
        <f t="shared" si="23"/>
        <v>0</v>
      </c>
      <c r="HK49" s="86" t="str">
        <f>IFERROR(IF(VLOOKUP(A49,tbMoveset!A2:B112,2,FALSE)="Sever",Backdoors!AY34/100,IF(VLOOKUP(A49,tbMoveset!A2:B112,2,FALSE)="Blunt",Backdoors!AZ34/100,Backdoors!BA34/100)),"")</f>
        <v/>
      </c>
      <c r="HL49" s="49">
        <f>IFERROR(IF(VLOOKUP(tbMoveset!A49,tbMoveset!A2:H112,8,FALSE)="Other",IF(VLOOKUP(tbMoveset!A49,tbMoveset!A2:I112,9,FALSE)="Fire",Backdoors!BB34,IF(VLOOKUP(tbMoveset!A49,tbMoveset!A2:I112,9,FALSE)="Water",Backdoors!BC34,IF(VLOOKUP(tbMoveset!A49,tbMoveset!A2:I112,9,FALSE)="Thunder",Backdoors!BD34,IF(VLOOKUP(tbMoveset!A49,tbMoveset!A2:I112,9,FALSE)="Ice",Backdoors!BE34,IF(VLOOKUP(tbMoveset!A49,tbMoveset!A2:I112,9,FALSE)="Dragon",Backdoors!BF34,Backdoors!BG34)))))/100,Backdoors!BG34/100),"")</f>
        <v>0</v>
      </c>
      <c r="HM49" s="49">
        <f>IFERROR(IF(VLOOKUP(A49,tbMoveset!A2:J112,10,FALSE)=TRUE,IF((Backdoors!AI12+IF(HK49&gt;=0.45,VLOOKUP(Calculator!E23,tbSkills!DH3:DI6,2,FALSE)+IF(AND(Calculator!B8=TRUE,Backdoors!BI34=TRUE),VLOOKUP(Calculator!E23,tbSkills!DH3:DJ6,3,FALSE),0),0))&gt;=0,1+(Backdoors!AL2*(IF((Backdoors!AI12+IF(HK49&gt;=0.45,VLOOKUP(Calculator!E23,tbSkills!DH3:DI6,2,FALSE)+IF(AND(Calculator!B8=TRUE,Backdoors!BI34=TRUE),VLOOKUP(Calculator!E23,tbSkills!DH3:DJ6,3,FALSE),0),0))&gt;=100,100,(Backdoors!AI12+IF(HK49&gt;=0.45,VLOOKUP(Calculator!E23,tbSkills!DH3:DI6,2,FALSE)+IF(AND(Calculator!B8=TRUE,Backdoors!BI34=TRUE),VLOOKUP(Calculator!E23,tbSkills!DH3:DJ6,3,FALSE),0),0)))/100)),(1-(0.25*((-Backdoors!AI12-IF(HK49&gt;=0.45,VLOOKUP(Calculator!E23,tbSkills!DH3:DI6,2,FALSE)+IF(AND(Calculator!B8=TRUE,Backdoors!BI34=TRUE),VLOOKUP(Calculator!E23,tbSkills!DH3:DJ6,3,FALSE),0),0))/100)))),1),"")</f>
        <v>1</v>
      </c>
      <c r="HN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K49)*HM49)*(VLOOKUP(A49,tbMoveset!A2:C112,3,FALSE)/100)*IF(VLOOKUP(A49,tbMoveset!A2:B112,2,FALSE)="Projectile",Backdoors!N10,Backdoors!N9),0),"")</f>
        <v/>
      </c>
      <c r="HO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K49&gt;=0.45,VLOOKUP(Calculator!E23,tbSkills!DH3:DI6,2,FALSE)+IF(AND(Calculator!B8=TRUE,Backdoors!BI34=TRUE),VLOOKUP(Calculator!E23,tbSkills!DH3:DJ6,3,FALSE),0),0))&gt;=100,100,(Backdoors!AI12+IF(HK49&gt;=0.45,VLOOKUP(Calculator!E23,tbSkills!DH3:DI6,2,FALSE)+IF(AND(Calculator!B8=TRUE,Backdoors!BI34=TRUE),VLOOKUP(Calculator!E23,tbSkills!DH3:DJ6,3,FALSE),0),0)))/100)),1))*IF(VLOOKUP(A49,tbMoveset!A2:K112,11,FALSE)=TRUE,Backdoors!AC5,1))*HL49,0),"")</f>
        <v>0</v>
      </c>
      <c r="HP49" s="49">
        <f>VLOOKUP(A49,tbMoveset!A2:G112,7,FALSE)*IFERROR(IF(Backdoors!AI12&gt;=0,1+(IF(Calculator!E40&gt;0,VLOOKUP(Calculator!E40,tbSkills!AI3:AJ5,2,FALSE),Backdoors!AL4)*(IF((Backdoors!AI12+IF(HK49&gt;=0.45,VLOOKUP(Calculator!E23,tbSkills!DH3:DI6,2,FALSE)+IF(AND(Calculator!B8=TRUE,Backdoors!BI34=TRUE),VLOOKUP(Calculator!E23,tbSkills!DH3:DJ6,3,FALSE),0),0))&gt;=100,100,(Backdoors!AI12+IF(HK49&gt;=0.45,VLOOKUP(Calculator!E23,tbSkills!DH3:DI6,2,FALSE)+IF(AND(Calculator!B8=TRUE,Backdoors!BI34=TRUE),VLOOKUP(Calculator!E23,tbSkills!DH3:DJ6,3,FALSE),0),0)))/100)),1),1)</f>
        <v>0.5</v>
      </c>
      <c r="HQ49" s="87">
        <f t="shared" si="24"/>
        <v>0</v>
      </c>
      <c r="HR49" s="86" t="str">
        <f>IFERROR(IF(VLOOKUP(A49,tbMoveset!A2:B112,2,FALSE)="Sever",Backdoors!AY35/100,IF(VLOOKUP(A49,tbMoveset!A2:B112,2,FALSE)="Blunt",Backdoors!AZ35/100,Backdoors!BA35/100)),"")</f>
        <v/>
      </c>
      <c r="HS49" s="49">
        <f>IFERROR(IF(VLOOKUP(tbMoveset!A49,tbMoveset!A2:H112,8,FALSE)="Other",IF(VLOOKUP(tbMoveset!A49,tbMoveset!A2:I112,9,FALSE)="Fire",Backdoors!BB35,IF(VLOOKUP(tbMoveset!A49,tbMoveset!A2:I112,9,FALSE)="Water",Backdoors!BC35,IF(VLOOKUP(tbMoveset!A49,tbMoveset!A2:I112,9,FALSE)="Thunder",Backdoors!BD35,IF(VLOOKUP(tbMoveset!A49,tbMoveset!A2:I112,9,FALSE)="Ice",Backdoors!BE35,IF(VLOOKUP(tbMoveset!A49,tbMoveset!A2:I112,9,FALSE)="Dragon",Backdoors!BF35,Backdoors!BG35)))))/100,Backdoors!BG35/100),"")</f>
        <v>0</v>
      </c>
      <c r="HT49" s="49">
        <f>IFERROR(IF(VLOOKUP(A49,tbMoveset!A2:J112,10,FALSE)=TRUE,IF((Backdoors!AI12+IF(HR49&gt;=0.45,VLOOKUP(Calculator!E23,tbSkills!DH3:DI6,2,FALSE)+IF(AND(Calculator!B8=TRUE,Backdoors!BI35=TRUE),VLOOKUP(Calculator!E23,tbSkills!DH3:DJ6,3,FALSE),0),0))&gt;=0,1+(Backdoors!AL2*(IF((Backdoors!AI12+IF(HR49&gt;=0.45,VLOOKUP(Calculator!E23,tbSkills!DH3:DI6,2,FALSE)+IF(AND(Calculator!B8=TRUE,Backdoors!BI35=TRUE),VLOOKUP(Calculator!E23,tbSkills!DH3:DJ6,3,FALSE),0),0))&gt;=100,100,(Backdoors!AI12+IF(HR49&gt;=0.45,VLOOKUP(Calculator!E23,tbSkills!DH3:DI6,2,FALSE)+IF(AND(Calculator!B8=TRUE,Backdoors!BI35=TRUE),VLOOKUP(Calculator!E23,tbSkills!DH3:DJ6,3,FALSE),0),0)))/100)),(1-(0.25*((-Backdoors!AI12-IF(HR49&gt;=0.45,VLOOKUP(Calculator!E23,tbSkills!DH3:DI6,2,FALSE)+IF(AND(Calculator!B8=TRUE,Backdoors!BI35=TRUE),VLOOKUP(Calculator!E23,tbSkills!DH3:DJ6,3,FALSE),0),0))/100)))),1),"")</f>
        <v>1</v>
      </c>
      <c r="HU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R49)*HT49)*(VLOOKUP(A49,tbMoveset!A2:C112,3,FALSE)/100)*IF(VLOOKUP(A49,tbMoveset!A2:B112,2,FALSE)="Projectile",Backdoors!N10,Backdoors!N9),0),"")</f>
        <v/>
      </c>
      <c r="HV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R49&gt;=0.45,VLOOKUP(Calculator!E23,tbSkills!DH3:DI6,2,FALSE)+IF(AND(Calculator!B8=TRUE,Backdoors!BI35=TRUE),VLOOKUP(Calculator!E23,tbSkills!DH3:DJ6,3,FALSE),0),0))&gt;=100,100,(Backdoors!AI12+IF(HR49&gt;=0.45,VLOOKUP(Calculator!E23,tbSkills!DH3:DI6,2,FALSE)+IF(AND(Calculator!B8=TRUE,Backdoors!BI35=TRUE),VLOOKUP(Calculator!E23,tbSkills!DH3:DJ6,3,FALSE),0),0)))/100)),1))*IF(VLOOKUP(A49,tbMoveset!A2:K112,11,FALSE)=TRUE,Backdoors!AC5,1))*HS49,0),"")</f>
        <v>0</v>
      </c>
      <c r="HW49" s="49">
        <f>VLOOKUP(A49,tbMoveset!A2:G112,7,FALSE)*IFERROR(IF(Backdoors!AI12&gt;=0,1+(IF(Calculator!E40&gt;0,VLOOKUP(Calculator!E40,tbSkills!AI3:AJ5,2,FALSE),Backdoors!AL4)*(IF((Backdoors!AI12+IF(HR49&gt;=0.45,VLOOKUP(Calculator!E23,tbSkills!DH3:DI6,2,FALSE)+IF(AND(Calculator!B8=TRUE,Backdoors!BI35=TRUE),VLOOKUP(Calculator!E23,tbSkills!DH3:DJ6,3,FALSE),0),0))&gt;=100,100,(Backdoors!AI12+IF(HR49&gt;=0.45,VLOOKUP(Calculator!E23,tbSkills!DH3:DI6,2,FALSE)+IF(AND(Calculator!B8=TRUE,Backdoors!BI35=TRUE),VLOOKUP(Calculator!E23,tbSkills!DH3:DJ6,3,FALSE),0),0)))/100)),1),1)</f>
        <v>0.5</v>
      </c>
      <c r="HX49" s="87">
        <f t="shared" si="25"/>
        <v>0</v>
      </c>
      <c r="HY49" s="86" t="str">
        <f>IFERROR(IF(VLOOKUP(A49,tbMoveset!A2:B112,2,FALSE)="Sever",Backdoors!AY36/100,IF(VLOOKUP(A49,tbMoveset!A2:B112,2,FALSE)="Blunt",Backdoors!AZ36/100,Backdoors!BA36/100)),"")</f>
        <v/>
      </c>
      <c r="HZ49" s="49">
        <f>IFERROR(IF(VLOOKUP(tbMoveset!A49,tbMoveset!A2:H112,8,FALSE)="Other",IF(VLOOKUP(tbMoveset!A49,tbMoveset!A2:I112,9,FALSE)="Fire",Backdoors!BB36,IF(VLOOKUP(tbMoveset!A49,tbMoveset!A2:I112,9,FALSE)="Water",Backdoors!BC36,IF(VLOOKUP(tbMoveset!A49,tbMoveset!A2:I112,9,FALSE)="Thunder",Backdoors!BD36,IF(VLOOKUP(tbMoveset!A49,tbMoveset!A2:I112,9,FALSE)="Ice",Backdoors!BE36,IF(VLOOKUP(tbMoveset!A49,tbMoveset!A2:I112,9,FALSE)="Dragon",Backdoors!BF36,Backdoors!BG36)))))/100,Backdoors!BG36/100),"")</f>
        <v>0</v>
      </c>
      <c r="IA49" s="49">
        <f>IFERROR(IF(VLOOKUP(A49,tbMoveset!A2:J112,10,FALSE)=TRUE,IF((Backdoors!AI12+IF(HY49&gt;=0.45,VLOOKUP(Calculator!E23,tbSkills!DH3:DI6,2,FALSE)+IF(AND(Calculator!B8=TRUE,Backdoors!BI36=TRUE),VLOOKUP(Calculator!E23,tbSkills!DH3:DJ6,3,FALSE),0),0))&gt;=0,1+(Backdoors!AL2*(IF((Backdoors!AI12+IF(HY49&gt;=0.45,VLOOKUP(Calculator!E23,tbSkills!DH3:DI6,2,FALSE)+IF(AND(Calculator!B8=TRUE,Backdoors!BI36=TRUE),VLOOKUP(Calculator!E23,tbSkills!DH3:DJ6,3,FALSE),0),0))&gt;=100,100,(Backdoors!AI12+IF(HY49&gt;=0.45,VLOOKUP(Calculator!E23,tbSkills!DH3:DI6,2,FALSE)+IF(AND(Calculator!B8=TRUE,Backdoors!BI36=TRUE),VLOOKUP(Calculator!E23,tbSkills!DH3:DJ6,3,FALSE),0),0)))/100)),(1-(0.25*((-Backdoors!AI12-IF(HY49&gt;=0.45,VLOOKUP(Calculator!E23,tbSkills!DH3:DI6,2,FALSE)+IF(AND(Calculator!B8=TRUE,Backdoors!BI36=TRUE),VLOOKUP(Calculator!E23,tbSkills!DH3:DJ6,3,FALSE),0),0))/100)))),1),"")</f>
        <v>1</v>
      </c>
      <c r="IB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Y49)*IA49)*(VLOOKUP(A49,tbMoveset!A2:C112,3,FALSE)/100)*IF(VLOOKUP(A49,tbMoveset!A2:B112,2,FALSE)="Projectile",Backdoors!N10,Backdoors!N9),0),"")</f>
        <v/>
      </c>
      <c r="IC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Y49&gt;=0.45,VLOOKUP(Calculator!E23,tbSkills!DH3:DI6,2,FALSE)+IF(AND(Calculator!B8=TRUE,Backdoors!BI36=TRUE),VLOOKUP(Calculator!E23,tbSkills!DH3:DJ6,3,FALSE),0),0))&gt;=100,100,(Backdoors!AI12+IF(HY49&gt;=0.45,VLOOKUP(Calculator!E23,tbSkills!DH3:DI6,2,FALSE)+IF(AND(Calculator!B8=TRUE,Backdoors!BI36=TRUE),VLOOKUP(Calculator!E23,tbSkills!DH3:DJ6,3,FALSE),0),0)))/100)),1))*IF(VLOOKUP(A49,tbMoveset!A2:K112,11,FALSE)=TRUE,Backdoors!AC5,1))*HZ49,0),"")</f>
        <v>0</v>
      </c>
      <c r="ID49" s="49">
        <f>VLOOKUP(A49,tbMoveset!A2:G112,7,FALSE)*IFERROR(IF(Backdoors!AI12&gt;=0,1+(IF(Calculator!E40&gt;0,VLOOKUP(Calculator!E40,tbSkills!AI3:AJ5,2,FALSE),Backdoors!AL4)*(IF((Backdoors!AI12+IF(HY49&gt;=0.45,VLOOKUP(Calculator!E23,tbSkills!DH3:DI6,2,FALSE)+IF(AND(Calculator!B8=TRUE,Backdoors!BI36=TRUE),VLOOKUP(Calculator!E23,tbSkills!DH3:DJ6,3,FALSE),0),0))&gt;=100,100,(Backdoors!AI12+IF(HY49&gt;=0.45,VLOOKUP(Calculator!E23,tbSkills!DH3:DI6,2,FALSE)+IF(AND(Calculator!B8=TRUE,Backdoors!BI36=TRUE),VLOOKUP(Calculator!E23,tbSkills!DH3:DJ6,3,FALSE),0),0)))/100)),1),1)</f>
        <v>0.5</v>
      </c>
      <c r="IE49" s="87">
        <f t="shared" si="26"/>
        <v>0</v>
      </c>
      <c r="IF49" s="86" t="str">
        <f>IFERROR(IF(VLOOKUP(A49,tbMoveset!A2:B112,2,FALSE)="Sever",Backdoors!AY37/100,IF(VLOOKUP(A49,tbMoveset!A2:B112,2,FALSE)="Blunt",Backdoors!AZ37/100,Backdoors!BA37/100)),"")</f>
        <v/>
      </c>
      <c r="IG49" s="49">
        <f>IFERROR(IF(VLOOKUP(tbMoveset!A49,tbMoveset!A2:H112,8,FALSE)="Other",IF(VLOOKUP(tbMoveset!A49,tbMoveset!A2:I112,9,FALSE)="Fire",Backdoors!BB37,IF(VLOOKUP(tbMoveset!A49,tbMoveset!A2:I112,9,FALSE)="Water",Backdoors!BC37,IF(VLOOKUP(tbMoveset!A49,tbMoveset!A2:I112,9,FALSE)="Thunder",Backdoors!BD37,IF(VLOOKUP(tbMoveset!A49,tbMoveset!A2:I112,9,FALSE)="Ice",Backdoors!BE37,IF(VLOOKUP(tbMoveset!A49,tbMoveset!A2:I112,9,FALSE)="Dragon",Backdoors!BF37,Backdoors!BG37)))))/100,Backdoors!BG37/100),"")</f>
        <v>0</v>
      </c>
      <c r="IH49" s="49">
        <f>IFERROR(IF(VLOOKUP(A49,tbMoveset!A2:J112,10,FALSE)=TRUE,IF((Backdoors!AI12+IF(IF49&gt;=0.45,VLOOKUP(Calculator!E23,tbSkills!DH3:DI6,2,FALSE)+IF(AND(Calculator!B8=TRUE,Backdoors!BI37=TRUE),VLOOKUP(Calculator!E23,tbSkills!DH3:DJ6,3,FALSE),0),0))&gt;=0,1+(Backdoors!AL2*(IF((Backdoors!AI12+IF(IF49&gt;=0.45,VLOOKUP(Calculator!E23,tbSkills!DH3:DI6,2,FALSE)+IF(AND(Calculator!B8=TRUE,Backdoors!BI37=TRUE),VLOOKUP(Calculator!E23,tbSkills!DH3:DJ6,3,FALSE),0),0))&gt;=100,100,(Backdoors!AI12+IF(IF49&gt;=0.45,VLOOKUP(Calculator!E23,tbSkills!DH3:DI6,2,FALSE)+IF(AND(Calculator!B8=TRUE,Backdoors!BI37=TRUE),VLOOKUP(Calculator!E23,tbSkills!DH3:DJ6,3,FALSE),0),0)))/100)),(1-(0.25*((-Backdoors!AI12-IF(IF49&gt;=0.45,VLOOKUP(Calculator!E23,tbSkills!DH3:DI6,2,FALSE)+IF(AND(Calculator!B8=TRUE,Backdoors!BI37=TRUE),VLOOKUP(Calculator!E23,tbSkills!DH3:DJ6,3,FALSE),0),0))/100)))),1),"")</f>
        <v>1</v>
      </c>
      <c r="II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F49)*IH49)*(VLOOKUP(A49,tbMoveset!A2:C112,3,FALSE)/100)*IF(VLOOKUP(A49,tbMoveset!A2:B112,2,FALSE)="Projectile",Backdoors!N10,Backdoors!N9),0),"")</f>
        <v/>
      </c>
      <c r="IJ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IF49&gt;=0.45,VLOOKUP(Calculator!E23,tbSkills!DH3:DI6,2,FALSE)+IF(AND(Calculator!B8=TRUE,Backdoors!BI37=TRUE),VLOOKUP(Calculator!E23,tbSkills!DH3:DJ6,3,FALSE),0),0))&gt;=100,100,(Backdoors!AI12+IF(IF49&gt;=0.45,VLOOKUP(Calculator!E23,tbSkills!DH3:DI6,2,FALSE)+IF(AND(Calculator!B8=TRUE,Backdoors!BI37=TRUE),VLOOKUP(Calculator!E23,tbSkills!DH3:DJ6,3,FALSE),0),0)))/100)),1))*IF(VLOOKUP(A49,tbMoveset!A2:K112,11,FALSE)=TRUE,Backdoors!AC5,1))*IG49,0),"")</f>
        <v>0</v>
      </c>
      <c r="IK49" s="49">
        <f>VLOOKUP(A49,tbMoveset!A2:G112,7,FALSE)*IFERROR(IF(Backdoors!AI12&gt;=0,1+(IF(Calculator!E40&gt;0,VLOOKUP(Calculator!E40,tbSkills!AI3:AJ5,2,FALSE),Backdoors!AL4)*(IF((Backdoors!AI12+IF(IF49&gt;=0.45,VLOOKUP(Calculator!E23,tbSkills!DH3:DI6,2,FALSE)+IF(AND(Calculator!B8=TRUE,Backdoors!BI37=TRUE),VLOOKUP(Calculator!E23,tbSkills!DH3:DJ6,3,FALSE),0),0))&gt;=100,100,(Backdoors!AI12+IF(IF49&gt;=0.45,VLOOKUP(Calculator!E23,tbSkills!DH3:DI6,2,FALSE)+IF(AND(Calculator!B8=TRUE,Backdoors!BI37=TRUE),VLOOKUP(Calculator!E23,tbSkills!DH3:DJ6,3,FALSE),0),0)))/100)),1),1)</f>
        <v>0.5</v>
      </c>
      <c r="IL49" s="87">
        <f t="shared" si="27"/>
        <v>0</v>
      </c>
      <c r="IM49" s="86" t="str">
        <f>IFERROR(IF(VLOOKUP(A49,tbMoveset!A2:B112,2,FALSE)="Sever",Backdoors!AY38/100,IF(VLOOKUP(A49,tbMoveset!A2:B112,2,FALSE)="Blunt",Backdoors!AZ38/100,Backdoors!BA38/100)),"")</f>
        <v/>
      </c>
      <c r="IN49" s="49">
        <f>IFERROR(IF(VLOOKUP(tbMoveset!A49,tbMoveset!A2:H112,8,FALSE)="Other",IF(VLOOKUP(tbMoveset!A49,tbMoveset!A2:I112,9,FALSE)="Fire",Backdoors!BB38,IF(VLOOKUP(tbMoveset!A49,tbMoveset!A2:I112,9,FALSE)="Water",Backdoors!BC38,IF(VLOOKUP(tbMoveset!A49,tbMoveset!A2:I112,9,FALSE)="Thunder",Backdoors!BD38,IF(VLOOKUP(tbMoveset!A49,tbMoveset!A2:I112,9,FALSE)="Ice",Backdoors!BE38,IF(VLOOKUP(tbMoveset!A49,tbMoveset!A2:I112,9,FALSE)="Dragon",Backdoors!BF38,Backdoors!BG38)))))/100,Backdoors!BG38/100),"")</f>
        <v>0</v>
      </c>
      <c r="IO49" s="49">
        <f>IFERROR(IF(VLOOKUP(A49,tbMoveset!A2:J112,10,FALSE)=TRUE,IF((Backdoors!AI12+IF(IM49&gt;=0.45,VLOOKUP(Calculator!E23,tbSkills!DH3:DI6,2,FALSE)+IF(AND(Calculator!B8=TRUE,Backdoors!BI38=TRUE),VLOOKUP(Calculator!E23,tbSkills!DH3:DJ6,3,FALSE),0),0))&gt;=0,1+(Backdoors!AL2*(IF((Backdoors!AI12+IF(IM49&gt;=0.45,VLOOKUP(Calculator!E23,tbSkills!DH3:DI6,2,FALSE)+IF(AND(Calculator!B8=TRUE,Backdoors!BI38=TRUE),VLOOKUP(Calculator!E23,tbSkills!DH3:DJ6,3,FALSE),0),0))&gt;=100,100,(Backdoors!AI12+IF(IM49&gt;=0.45,VLOOKUP(Calculator!E23,tbSkills!DH3:DI6,2,FALSE)+IF(AND(Calculator!B8=TRUE,Backdoors!BI38=TRUE),VLOOKUP(Calculator!E23,tbSkills!DH3:DJ6,3,FALSE),0),0)))/100)),(1-(0.25*((-Backdoors!AI12-IF(IM49&gt;=0.45,VLOOKUP(Calculator!E23,tbSkills!DH3:DI6,2,FALSE)+IF(AND(Calculator!B8=TRUE,Backdoors!BI38=TRUE),VLOOKUP(Calculator!E23,tbSkills!DH3:DJ6,3,FALSE),0),0))/100)))),1),"")</f>
        <v>1</v>
      </c>
      <c r="IP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M49)*IO49)*(VLOOKUP(A49,tbMoveset!A2:C112,3,FALSE)/100)*IF(VLOOKUP(A49,tbMoveset!A2:B112,2,FALSE)="Projectile",Backdoors!N10,Backdoors!N9),0),"")</f>
        <v/>
      </c>
      <c r="IQ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IM49&gt;=0.45,VLOOKUP(Calculator!E23,tbSkills!DH3:DI6,2,FALSE)+IF(AND(Calculator!B8=TRUE,Backdoors!BI38=TRUE),VLOOKUP(Calculator!E23,tbSkills!DH3:DJ6,3,FALSE),0),0))&gt;=100,100,(Backdoors!AI12+IF(IM49&gt;=0.45,VLOOKUP(Calculator!E23,tbSkills!DH3:DI6,2,FALSE)+IF(AND(Calculator!B8=TRUE,Backdoors!BI38=TRUE),VLOOKUP(Calculator!E23,tbSkills!DH3:DJ6,3,FALSE),0),0)))/100)),1))*IF(VLOOKUP(A49,tbMoveset!A2:K112,11,FALSE)=TRUE,Backdoors!AC5,1))*IN49,0),"")</f>
        <v>0</v>
      </c>
      <c r="IR49" s="49">
        <f>VLOOKUP(A49,tbMoveset!A2:G112,7,FALSE)*IFERROR(IF(Backdoors!AI12&gt;=0,1+(IF(Calculator!E40&gt;0,VLOOKUP(Calculator!E40,tbSkills!AI3:AJ5,2,FALSE),Backdoors!AL4)*(IF((Backdoors!AI12+IF(IM49&gt;=0.45,VLOOKUP(Calculator!E23,tbSkills!DH3:DI6,2,FALSE)+IF(AND(Calculator!B8=TRUE,Backdoors!BI38=TRUE),VLOOKUP(Calculator!E23,tbSkills!DH3:DJ6,3,FALSE),0),0))&gt;=100,100,(Backdoors!AI12+IF(IM49&gt;=0.45,VLOOKUP(Calculator!E23,tbSkills!DH3:DI6,2,FALSE)+IF(AND(Calculator!B8=TRUE,Backdoors!BI38=TRUE),VLOOKUP(Calculator!E23,tbSkills!DH3:DJ6,3,FALSE),0),0)))/100)),1),1)</f>
        <v>0.5</v>
      </c>
      <c r="IS49" s="87">
        <f t="shared" si="42"/>
        <v>0</v>
      </c>
      <c r="IT49" s="86" t="str">
        <f>IFERROR(IF(VLOOKUP(A49,tbMoveset!A2:B112,2,FALSE)="Sever",Backdoors!AY39/100,IF(VLOOKUP(A49,tbMoveset!A2:B112,2,FALSE)="Blunt",Backdoors!AZ39/100,Backdoors!BA39/100)),"")</f>
        <v/>
      </c>
      <c r="IU49" s="49">
        <f>IFERROR(IF(VLOOKUP(tbMoveset!A49,tbMoveset!A2:H112,8,FALSE)="Other",IF(VLOOKUP(tbMoveset!A49,tbMoveset!A2:I112,9,FALSE)="Fire",Backdoors!BB39,IF(VLOOKUP(tbMoveset!A49,tbMoveset!A2:I112,9,FALSE)="Water",Backdoors!BC39,IF(VLOOKUP(tbMoveset!A49,tbMoveset!A2:I112,9,FALSE)="Thunder",Backdoors!BD39,IF(VLOOKUP(tbMoveset!A49,tbMoveset!A2:I112,9,FALSE)="Ice",Backdoors!BE39,IF(VLOOKUP(tbMoveset!A49,tbMoveset!A2:I112,9,FALSE)="Dragon",Backdoors!BF39,Backdoors!BG39)))))/100,Backdoors!BG39/100),"")</f>
        <v>0</v>
      </c>
      <c r="IV49" s="49">
        <f>IFERROR(IF(VLOOKUP(A49,tbMoveset!A2:J112,10,FALSE)=TRUE,IF((Backdoors!AI12+IF(IT49&gt;=0.45,VLOOKUP(Calculator!E23,tbSkills!DH3:DI6,2,FALSE)+IF(AND(Calculator!B8=TRUE,Backdoors!BI39=TRUE),VLOOKUP(Calculator!E23,tbSkills!DH3:DJ6,3,FALSE),0),0))&gt;=0,1+(Backdoors!AL2*(IF((Backdoors!AI12+IF(IT49&gt;=0.45,VLOOKUP(Calculator!E23,tbSkills!DH3:DI6,2,FALSE)+IF(AND(Calculator!B8=TRUE,Backdoors!BI39=TRUE),VLOOKUP(Calculator!E23,tbSkills!DH3:DJ6,3,FALSE),0),0))&gt;=100,100,(Backdoors!AI12+IF(IT49&gt;=0.45,VLOOKUP(Calculator!E23,tbSkills!DH3:DI6,2,FALSE)+IF(AND(Calculator!B8=TRUE,Backdoors!BI39=TRUE),VLOOKUP(Calculator!E23,tbSkills!DH3:DJ6,3,FALSE),0),0)))/100)),(1-(0.25*((-Backdoors!AI12-IF(IT49&gt;=0.45,VLOOKUP(Calculator!E23,tbSkills!DH3:DI6,2,FALSE)+IF(AND(Calculator!B8=TRUE,Backdoors!BI39=TRUE),VLOOKUP(Calculator!E23,tbSkills!DH3:DJ6,3,FALSE),0),0))/100)))),1),"")</f>
        <v>1</v>
      </c>
      <c r="IW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T49)*IV49)*(VLOOKUP(A49,tbMoveset!A2:C112,3,FALSE)/100)*IF(VLOOKUP(A49,tbMoveset!A2:B112,2,FALSE)="Projectile",Backdoors!N10,Backdoors!N9),0),"")</f>
        <v/>
      </c>
      <c r="IX49" s="49">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40&gt;0,VLOOKUP(Calculator!E40,tbSkills!AC3:AD5,2,FALSE),Backdoors!AL3)*(IF((Backdoors!AI12+IF(IT49&gt;=0.45,VLOOKUP(Calculator!E23,tbSkills!DH3:DI6,2,FALSE)+IF(AND(Calculator!B8=TRUE,Backdoors!BI39=TRUE),VLOOKUP(Calculator!E23,tbSkills!DH3:DJ6,3,FALSE),0),0))&gt;=100,100,(Backdoors!AI12+IF(IT49&gt;=0.45,VLOOKUP(Calculator!E23,tbSkills!DH3:DI6,2,FALSE)+IF(AND(Calculator!B8=TRUE,Backdoors!BI39=TRUE),VLOOKUP(Calculator!E23,tbSkills!DH3:DJ6,3,FALSE),0),0)))/100)),1))*IF(VLOOKUP(A49,tbMoveset!A2:K112,11,FALSE)=TRUE,Backdoors!AC5,1))*IU49,0),"")</f>
        <v>0</v>
      </c>
      <c r="IY49" s="49">
        <f>VLOOKUP(A49,tbMoveset!A2:G112,7,FALSE)*IFERROR(IF(Backdoors!AI12&gt;=0,1+(IF(Calculator!E40&gt;0,VLOOKUP(Calculator!E40,tbSkills!AI3:AJ5,2,FALSE),Backdoors!AL4)*(IF((Backdoors!AI12+IF(IT49&gt;=0.45,VLOOKUP(Calculator!E23,tbSkills!DH3:DI6,2,FALSE)+IF(AND(Calculator!B8=TRUE,Backdoors!BI39=TRUE),VLOOKUP(Calculator!E23,tbSkills!DH3:DJ6,3,FALSE),0),0))&gt;=100,100,(Backdoors!AI12+IF(IT49&gt;=0.45,VLOOKUP(Calculator!E23,tbSkills!DH3:DI6,2,FALSE)+IF(AND(Calculator!B8=TRUE,Backdoors!BI39=TRUE),VLOOKUP(Calculator!E23,tbSkills!DH3:DJ6,3,FALSE),0),0)))/100)),1),1)</f>
        <v>0.5</v>
      </c>
      <c r="IZ49" s="87">
        <f t="shared" si="28"/>
        <v>0</v>
      </c>
      <c r="JA49" s="86" t="str">
        <f>IFERROR(IF(VLOOKUP(A49,tbMoveset!A2:B112,2,FALSE)="Sever",Backdoors!AY40/100,IF(VLOOKUP(A49,tbMoveset!A2:B112,2,FALSE)="Blunt",Backdoors!AZ40/100,Backdoors!BA40/100)),"")</f>
        <v/>
      </c>
      <c r="JB49" s="49">
        <f>IFERROR(IF(VLOOKUP(tbMoveset!A49,tbMoveset!A2:H112,8,FALSE)="Other",IF(VLOOKUP(tbMoveset!A49,tbMoveset!A2:I112,9,FALSE)="Fire",Backdoors!BB40,IF(VLOOKUP(tbMoveset!A49,tbMoveset!A2:I112,9,FALSE)="Water",Backdoors!BC40,IF(VLOOKUP(tbMoveset!A49,tbMoveset!A2:I112,9,FALSE)="Thunder",Backdoors!BD40,IF(VLOOKUP(tbMoveset!A49,tbMoveset!A2:I112,9,FALSE)="Ice",Backdoors!BE40,IF(VLOOKUP(tbMoveset!A49,tbMoveset!A2:I112,9,FALSE)="Dragon",Backdoors!BF40,Backdoors!BG40)))))/100,Backdoors!BG40/100),"")</f>
        <v>0</v>
      </c>
      <c r="JC49" s="49">
        <f>IFERROR(IF(VLOOKUP(A49,tbMoveset!A2:J112,10,FALSE)=TRUE,IF((Backdoors!AI12+IF(JA49&gt;=0.45,VLOOKUP(Calculator!E23,tbSkills!DH3:DI6,2,FALSE)+IF(AND(Calculator!B8=TRUE,Backdoors!BI40=TRUE),VLOOKUP(Calculator!E23,tbSkills!DH3:DJ6,3,FALSE),0),0))&gt;=0,1+(Backdoors!AL2*(IF((Backdoors!AI12+IF(JA49&gt;=0.45,VLOOKUP(Calculator!E23,tbSkills!DH3:DI6,2,FALSE)+IF(AND(Calculator!B8=TRUE,Backdoors!BI40=TRUE),VLOOKUP(Calculator!E23,tbSkills!DH3:DJ6,3,FALSE),0),0))&gt;=100,100,(Backdoors!AI12+IF(JA49&gt;=0.45,VLOOKUP(Calculator!E23,tbSkills!DH3:DI6,2,FALSE)+IF(AND(Calculator!B8=TRUE,Backdoors!BI40=TRUE),VLOOKUP(Calculator!E23,tbSkills!DH3:DJ6,3,FALSE),0),0)))/100)),(1-(0.25*((-Backdoors!AI12-IF(JA49&gt;=0.45,VLOOKUP(Calculator!E23,tbSkills!DH3:DI6,2,FALSE)+IF(AND(Calculator!B8=TRUE,Backdoors!BI40=TRUE),VLOOKUP(Calculator!E23,tbSkills!DH3:DJ6,3,FALSE),0),0))/100)))),1),"")</f>
        <v>1</v>
      </c>
      <c r="JD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A49)*JC49)*(VLOOKUP(A49,tbMoveset!A2:C112,3,FALSE)/100)*IF(VLOOKUP(A49,tbMoveset!A2:B112,2,FALSE)="Projectile",Backdoors!N10,Backdoors!N9),0),"")</f>
        <v/>
      </c>
      <c r="JE49" s="49">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42&gt;0,VLOOKUP(Calculator!E42,tbSkills!AC3:AD5,2,FALSE),Backdoors!AL3)*(IF((Backdoors!AI12+IF(JA49&gt;=0.45,VLOOKUP(Calculator!E23,tbSkills!DH3:DI6,2,FALSE)+IF(AND(Calculator!B8=TRUE,Backdoors!BI40=TRUE),VLOOKUP(Calculator!E23,tbSkills!DH3:DJ6,3,FALSE),0),0))&gt;=100,100,(Backdoors!AI12+IF(JA49&gt;=0.45,VLOOKUP(Calculator!E23,tbSkills!DH3:DI6,2,FALSE)+IF(AND(Calculator!B8=TRUE,Backdoors!BI40=TRUE),VLOOKUP(Calculator!E23,tbSkills!DH3:DJ6,3,FALSE),0),0)))/100)),1))*IF(VLOOKUP(A49,tbMoveset!A2:K112,11,FALSE)=TRUE,Backdoors!AC5,1))*JB49,0),"")</f>
        <v>0</v>
      </c>
      <c r="JF49" s="49">
        <f>VLOOKUP(A49,tbMoveset!A2:G112,7,FALSE)*IFERROR(IF(Backdoors!AI12&gt;=0,1+(IF(Calculator!E40&gt;0,VLOOKUP(Calculator!E40,tbSkills!AI3:AJ5,2,FALSE),Backdoors!AL4)*(IF((Backdoors!AI12+IF(JA49&gt;=0.45,VLOOKUP(Calculator!E23,tbSkills!DH3:DI6,2,FALSE)+IF(AND(Calculator!B8=TRUE,Backdoors!BI40=TRUE),VLOOKUP(Calculator!E23,tbSkills!DH3:DJ6,3,FALSE),0),0))&gt;=100,100,(Backdoors!AI12+IF(JA49&gt;=0.45,VLOOKUP(Calculator!E23,tbSkills!DH3:DI6,2,FALSE)+IF(AND(Calculator!B8=TRUE,Backdoors!BI40=TRUE),VLOOKUP(Calculator!E23,tbSkills!DH3:DJ6,3,FALSE),0),0)))/100)),1),1)</f>
        <v>0.5</v>
      </c>
      <c r="JG49" s="87">
        <f t="shared" si="29"/>
        <v>0</v>
      </c>
      <c r="JH49" s="86" t="str">
        <f>IFERROR(IF(VLOOKUP(A49,tbMoveset!A2:B112,2,FALSE)="Sever",Backdoors!AY41/100,IF(VLOOKUP(A49,tbMoveset!A2:B112,2,FALSE)="Blunt",Backdoors!AZ41/100,Backdoors!BA41/100)),"")</f>
        <v/>
      </c>
      <c r="JI49" s="49">
        <f>IFERROR(IF(VLOOKUP(tbMoveset!A49,tbMoveset!A2:H112,8,FALSE)="Other",IF(VLOOKUP(tbMoveset!A49,tbMoveset!A2:I112,9,FALSE)="Fire",Backdoors!BB41,IF(VLOOKUP(tbMoveset!A49,tbMoveset!A2:I112,9,FALSE)="Water",Backdoors!BC41,IF(VLOOKUP(tbMoveset!A49,tbMoveset!A2:I112,9,FALSE)="Thunder",Backdoors!BD41,IF(VLOOKUP(tbMoveset!A49,tbMoveset!A2:I112,9,FALSE)="Ice",Backdoors!BE41,IF(VLOOKUP(tbMoveset!A49,tbMoveset!A2:I112,9,FALSE)="Dragon",Backdoors!BF41,Backdoors!BG41)))))/100,Backdoors!BG41/100),"")</f>
        <v>0</v>
      </c>
      <c r="JJ49" s="49">
        <f>IFERROR(IF(VLOOKUP(A49,tbMoveset!A2:J112,10,FALSE)=TRUE,IF((Backdoors!AI12+IF(JH49&gt;=0.45,VLOOKUP(Calculator!E23,tbSkills!DH3:DI6,2,FALSE)+IF(AND(Calculator!B8=TRUE,Backdoors!BI41=TRUE),VLOOKUP(Calculator!E23,tbSkills!DH3:DJ6,3,FALSE),0),0))&gt;=0,1+(Backdoors!AL2*(IF((Backdoors!AI12+IF(JH49&gt;=0.45,VLOOKUP(Calculator!E23,tbSkills!DH3:DI6,2,FALSE)+IF(AND(Calculator!B8=TRUE,Backdoors!BI41=TRUE),VLOOKUP(Calculator!E23,tbSkills!DH3:DJ6,3,FALSE),0),0))&gt;=100,100,(Backdoors!AI12+IF(JH49&gt;=0.45,VLOOKUP(Calculator!E23,tbSkills!DH3:DI6,2,FALSE)+IF(AND(Calculator!B8=TRUE,Backdoors!BI41=TRUE),VLOOKUP(Calculator!E23,tbSkills!DH3:DJ6,3,FALSE),0),0)))/100)),(1-(0.25*((-Backdoors!AI12-IF(JH49&gt;=0.45,VLOOKUP(Calculator!E23,tbSkills!DH3:DI6,2,FALSE)+IF(AND(Calculator!B8=TRUE,Backdoors!BI41=TRUE),VLOOKUP(Calculator!E23,tbSkills!DH3:DJ6,3,FALSE),0),0))/100)))),1),"")</f>
        <v>1</v>
      </c>
      <c r="JK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H49)*JJ49)*(VLOOKUP(A49,tbMoveset!A2:C112,3,FALSE)/100)*IF(VLOOKUP(A49,tbMoveset!A2:B112,2,FALSE)="Projectile",Backdoors!N10,Backdoors!N9),0),"")</f>
        <v/>
      </c>
      <c r="JL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43&gt;0,VLOOKUP(Calculator!E43,tbSkills!AC3:AD5,2,FALSE),Backdoors!AL3)*(IF((Backdoors!AI12+IF(JH49&gt;=0.45,VLOOKUP(Calculator!E23,tbSkills!DH3:DI6,2,FALSE)+IF(AND(Calculator!B8=TRUE,Backdoors!BI41=TRUE),VLOOKUP(Calculator!E23,tbSkills!DH3:DJ6,3,FALSE),0),0))&gt;=100,100,(Backdoors!AI12+IF(JH49&gt;=0.45,VLOOKUP(Calculator!E23,tbSkills!DH3:DI6,2,FALSE)+IF(AND(Calculator!B8=TRUE,Backdoors!BI41=TRUE),VLOOKUP(Calculator!E23,tbSkills!DH3:DJ6,3,FALSE),0),0)))/100)),1))*IF(VLOOKUP(A49,tbMoveset!A2:K112,11,FALSE)=TRUE,Backdoors!AC5,1))*JI49,0),"")</f>
        <v/>
      </c>
      <c r="JM49" s="49">
        <f>VLOOKUP(A49,tbMoveset!A2:G112,7,FALSE)*IFERROR(IF(Backdoors!AI12&gt;=0,1+(IF(Calculator!E40&gt;0,VLOOKUP(Calculator!E40,tbSkills!AI3:AJ5,2,FALSE),Backdoors!AL4)*(IF((Backdoors!AI12+IF(JH49&gt;=0.45,VLOOKUP(Calculator!E23,tbSkills!DH3:DI6,2,FALSE)+IF(AND(Calculator!B8=TRUE,Backdoors!BI41=TRUE),VLOOKUP(Calculator!E23,tbSkills!DH3:DJ6,3,FALSE),0),0))&gt;=100,100,(Backdoors!AI12+IF(JH49&gt;=0.45,VLOOKUP(Calculator!E23,tbSkills!DH3:DI6,2,FALSE)+IF(AND(Calculator!B8=TRUE,Backdoors!BI41=TRUE),VLOOKUP(Calculator!E23,tbSkills!DH3:DJ6,3,FALSE),0),0)))/100)),1),1)</f>
        <v>0.5</v>
      </c>
      <c r="JN49" s="87">
        <f t="shared" si="30"/>
        <v>0</v>
      </c>
      <c r="JO49" s="86" t="str">
        <f>IFERROR(IF(VLOOKUP(A49,tbMoveset!A2:B112,2,FALSE)="Sever",Backdoors!AY42/100,IF(VLOOKUP(A49,tbMoveset!A2:B112,2,FALSE)="Blunt",Backdoors!AZ42/100,Backdoors!BA42/100)),"")</f>
        <v/>
      </c>
      <c r="JP49" s="49">
        <f>IFERROR(IF(VLOOKUP(tbMoveset!A49,tbMoveset!A2:H112,8,FALSE)="Other",IF(VLOOKUP(tbMoveset!A49,tbMoveset!A2:I112,9,FALSE)="Fire",Backdoors!BB42,IF(VLOOKUP(tbMoveset!A49,tbMoveset!A2:I112,9,FALSE)="Water",Backdoors!BC42,IF(VLOOKUP(tbMoveset!A49,tbMoveset!A2:I112,9,FALSE)="Thunder",Backdoors!BD42,IF(VLOOKUP(tbMoveset!A49,tbMoveset!A2:I112,9,FALSE)="Ice",Backdoors!BE42,IF(VLOOKUP(tbMoveset!A49,tbMoveset!A2:I112,9,FALSE)="Dragon",Backdoors!BF42,Backdoors!BG42)))))/100,Backdoors!BG42/100),"")</f>
        <v>0</v>
      </c>
      <c r="JQ49" s="49">
        <f>IFERROR(IF(VLOOKUP(A49,tbMoveset!A2:J112,10,FALSE)=TRUE,IF((Backdoors!AI12+IF(JO49&gt;=0.45,VLOOKUP(Calculator!E23,tbSkills!DH3:DI6,2,FALSE)+IF(AND(Calculator!B8=TRUE,Backdoors!BI42=TRUE),VLOOKUP(Calculator!E23,tbSkills!DH3:DJ6,3,FALSE),0),0))&gt;=0,1+(Backdoors!AL2*(IF((Backdoors!AI12+IF(JO49&gt;=0.45,VLOOKUP(Calculator!E23,tbSkills!DH3:DI6,2,FALSE)+IF(AND(Calculator!B8=TRUE,Backdoors!BI42=TRUE),VLOOKUP(Calculator!E23,tbSkills!DH3:DJ6,3,FALSE),0),0))&gt;=100,100,(Backdoors!AI12+IF(JO49&gt;=0.45,VLOOKUP(Calculator!E23,tbSkills!DH3:DI6,2,FALSE)+IF(AND(Calculator!B8=TRUE,Backdoors!BI42=TRUE),VLOOKUP(Calculator!E23,tbSkills!DH3:DJ6,3,FALSE),0),0)))/100)),(1-(0.25*((-Backdoors!AI12-IF(JO49&gt;=0.45,VLOOKUP(Calculator!E23,tbSkills!DH3:DI6,2,FALSE)+IF(AND(Calculator!B8=TRUE,Backdoors!BI42=TRUE),VLOOKUP(Calculator!E23,tbSkills!DH3:DJ6,3,FALSE),0),0))/100)))),1),"")</f>
        <v>1</v>
      </c>
      <c r="JR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O49)*JQ49)*(VLOOKUP(A49,tbMoveset!A2:C112,3,FALSE)/100)*IF(VLOOKUP(A49,tbMoveset!A2:B112,2,FALSE)="Projectile",Backdoors!N10,Backdoors!N9),0),"")</f>
        <v/>
      </c>
      <c r="JS49" s="49">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45&gt;0,VLOOKUP(Calculator!E45,tbSkills!AC3:AD5,2,FALSE),Backdoors!AL3)*(IF((Backdoors!AI12+IF(JO49&gt;=0.45,VLOOKUP(Calculator!E23,tbSkills!DH3:DI6,2,FALSE)+IF(AND(Calculator!B8=TRUE,Backdoors!BI42=TRUE),VLOOKUP(Calculator!E23,tbSkills!DH3:DJ6,3,FALSE),0),0))&gt;=100,100,(Backdoors!AI12+IF(JO49&gt;=0.45,VLOOKUP(Calculator!E23,tbSkills!DH3:DI6,2,FALSE)+IF(AND(Calculator!B8=TRUE,Backdoors!BI42=TRUE),VLOOKUP(Calculator!E23,tbSkills!DH3:DJ6,3,FALSE),0),0)))/100)),1))*IF(VLOOKUP(A49,tbMoveset!A2:K112,11,FALSE)=TRUE,Backdoors!AC5,1))*JP49,0),"")</f>
        <v>0</v>
      </c>
      <c r="JT49" s="49">
        <f>VLOOKUP(A49,tbMoveset!A2:G112,7,FALSE)*IFERROR(IF(Backdoors!AI12&gt;=0,1+(IF(Calculator!E40&gt;0,VLOOKUP(Calculator!E40,tbSkills!AI3:AJ5,2,FALSE),Backdoors!AL4)*(IF((Backdoors!AI12+IF(JO49&gt;=0.45,VLOOKUP(Calculator!E23,tbSkills!DH3:DI6,2,FALSE)+IF(AND(Calculator!B8=TRUE,Backdoors!BI42=TRUE),VLOOKUP(Calculator!E23,tbSkills!DH3:DJ6,3,FALSE),0),0))&gt;=100,100,(Backdoors!AI12+IF(JO49&gt;=0.45,VLOOKUP(Calculator!E23,tbSkills!DH3:DI6,2,FALSE)+IF(AND(Calculator!B8=TRUE,Backdoors!BI42=TRUE),VLOOKUP(Calculator!E23,tbSkills!DH3:DJ6,3,FALSE),0),0)))/100)),1),1)</f>
        <v>0.5</v>
      </c>
      <c r="JU49" s="87">
        <f t="shared" si="31"/>
        <v>0</v>
      </c>
      <c r="JV49" s="86" t="str">
        <f>IFERROR(IF(VLOOKUP(A49,tbMoveset!A2:B112,2,FALSE)="Sever",Backdoors!AY43/100,IF(VLOOKUP(A49,tbMoveset!A2:B112,2,FALSE)="Blunt",Backdoors!AZ43/100,Backdoors!BA43/100)),"")</f>
        <v/>
      </c>
      <c r="JW49" s="49">
        <f>IFERROR(IF(VLOOKUP(tbMoveset!A49,tbMoveset!A2:H112,8,FALSE)="Other",IF(VLOOKUP(tbMoveset!A49,tbMoveset!A2:I112,9,FALSE)="Fire",Backdoors!BB43,IF(VLOOKUP(tbMoveset!A49,tbMoveset!A2:I112,9,FALSE)="Water",Backdoors!BC43,IF(VLOOKUP(tbMoveset!A49,tbMoveset!A2:I112,9,FALSE)="Thunder",Backdoors!BD43,IF(VLOOKUP(tbMoveset!A49,tbMoveset!A2:I112,9,FALSE)="Ice",Backdoors!BE43,IF(VLOOKUP(tbMoveset!A49,tbMoveset!A2:I112,9,FALSE)="Dragon",Backdoors!BF43,Backdoors!BG43)))))/100,Backdoors!BG43/100),"")</f>
        <v>0</v>
      </c>
      <c r="JX49" s="49">
        <f>IFERROR(IF(VLOOKUP(A49,tbMoveset!A2:J112,10,FALSE)=TRUE,IF((Backdoors!AI12+IF(JV49&gt;=0.45,VLOOKUP(Calculator!E23,tbSkills!DH3:DI6,2,FALSE)+IF(AND(Calculator!B8=TRUE,Backdoors!BI43=TRUE),VLOOKUP(Calculator!E23,tbSkills!DH3:DJ6,3,FALSE),0),0))&gt;=0,1+(Backdoors!AL2*(IF((Backdoors!AI12+IF(JV49&gt;=0.45,VLOOKUP(Calculator!E23,tbSkills!DH3:DI6,2,FALSE)+IF(AND(Calculator!B8=TRUE,Backdoors!BI43=TRUE),VLOOKUP(Calculator!E23,tbSkills!DH3:DJ6,3,FALSE),0),0))&gt;=100,100,(Backdoors!AI12+IF(JV49&gt;=0.45,VLOOKUP(Calculator!E23,tbSkills!DH3:DI6,2,FALSE)+IF(AND(Calculator!B8=TRUE,Backdoors!BI43=TRUE),VLOOKUP(Calculator!E23,tbSkills!DH3:DJ6,3,FALSE),0),0)))/100)),(1-(0.25*((-Backdoors!AI12-IF(JV49&gt;=0.45,VLOOKUP(Calculator!E23,tbSkills!DH3:DI6,2,FALSE)+IF(AND(Calculator!B8=TRUE,Backdoors!BI43=TRUE),VLOOKUP(Calculator!E23,tbSkills!DH3:DJ6,3,FALSE),0),0))/100)))),1),"")</f>
        <v>1</v>
      </c>
      <c r="JY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V49)*JX49)*(VLOOKUP(A49,tbMoveset!A2:C112,3,FALSE)/100)*IF(VLOOKUP(A49,tbMoveset!A2:B112,2,FALSE)="Projectile",Backdoors!N10,Backdoors!N9),0),"")</f>
        <v/>
      </c>
      <c r="JZ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46&gt;0,VLOOKUP(Calculator!E46,tbSkills!AC3:AD5,2,FALSE),Backdoors!AL3)*(IF((Backdoors!AI12+IF(JV49&gt;=0.45,VLOOKUP(Calculator!E23,tbSkills!DH3:DI6,2,FALSE)+IF(AND(Calculator!B8=TRUE,Backdoors!BI43=TRUE),VLOOKUP(Calculator!E23,tbSkills!DH3:DJ6,3,FALSE),0),0))&gt;=100,100,(Backdoors!AI12+IF(JV49&gt;=0.45,VLOOKUP(Calculator!E23,tbSkills!DH3:DI6,2,FALSE)+IF(AND(Calculator!B8=TRUE,Backdoors!BI43=TRUE),VLOOKUP(Calculator!E23,tbSkills!DH3:DJ6,3,FALSE),0),0)))/100)),1))*IF(VLOOKUP(A49,tbMoveset!A2:K112,11,FALSE)=TRUE,Backdoors!AC5,1))*JW49,0),"")</f>
        <v/>
      </c>
      <c r="KA49" s="49">
        <f>VLOOKUP(A49,tbMoveset!A2:G112,7,FALSE)*IFERROR(IF(Backdoors!AI12&gt;=0,1+(IF(Calculator!E40&gt;0,VLOOKUP(Calculator!E40,tbSkills!AI3:AJ5,2,FALSE),Backdoors!AL4)*(IF((Backdoors!AI12+IF(JV49&gt;=0.45,VLOOKUP(Calculator!E23,tbSkills!DH3:DI6,2,FALSE)+IF(AND(Calculator!B8=TRUE,Backdoors!BI43=TRUE),VLOOKUP(Calculator!E23,tbSkills!DH3:DJ6,3,FALSE),0),0))&gt;=100,100,(Backdoors!AI12+IF(JV49&gt;=0.45,VLOOKUP(Calculator!E23,tbSkills!DH3:DI6,2,FALSE)+IF(AND(Calculator!B8=TRUE,Backdoors!BI43=TRUE),VLOOKUP(Calculator!E23,tbSkills!DH3:DJ6,3,FALSE),0),0)))/100)),1),1)</f>
        <v>0.5</v>
      </c>
      <c r="KB49" s="87">
        <f t="shared" si="32"/>
        <v>0</v>
      </c>
      <c r="KC49" s="86" t="str">
        <f>IFERROR(IF(VLOOKUP(A49,tbMoveset!A2:B112,2,FALSE)="Sever",Backdoors!AY44/100,IF(VLOOKUP(A49,tbMoveset!A2:B112,2,FALSE)="Blunt",Backdoors!AZ44/100,Backdoors!BA44/100)),"")</f>
        <v/>
      </c>
      <c r="KD49" s="49">
        <f>IFERROR(IF(VLOOKUP(tbMoveset!A49,tbMoveset!A2:H112,8,FALSE)="Other",IF(VLOOKUP(tbMoveset!A49,tbMoveset!A2:I112,9,FALSE)="Fire",Backdoors!BB44,IF(VLOOKUP(tbMoveset!A49,tbMoveset!A2:I112,9,FALSE)="Water",Backdoors!BC44,IF(VLOOKUP(tbMoveset!A49,tbMoveset!A2:I112,9,FALSE)="Thunder",Backdoors!BD44,IF(VLOOKUP(tbMoveset!A49,tbMoveset!A2:I112,9,FALSE)="Ice",Backdoors!BE44,IF(VLOOKUP(tbMoveset!A49,tbMoveset!A2:I112,9,FALSE)="Dragon",Backdoors!BF44,Backdoors!BG44)))))/100,Backdoors!BG44/100),"")</f>
        <v>0</v>
      </c>
      <c r="KE49" s="49">
        <f>IFERROR(IF(VLOOKUP(A49,tbMoveset!A2:J112,10,FALSE)=TRUE,IF((Backdoors!AI12+IF(KC49&gt;=0.45,VLOOKUP(Calculator!E23,tbSkills!DH3:DI6,2,FALSE)+IF(AND(Calculator!B8=TRUE,Backdoors!BI44=TRUE),VLOOKUP(Calculator!E23,tbSkills!DH3:DJ6,3,FALSE),0),0))&gt;=0,1+(Backdoors!AL2*(IF((Backdoors!AI12+IF(KC49&gt;=0.45,VLOOKUP(Calculator!E23,tbSkills!DH3:DI6,2,FALSE)+IF(AND(Calculator!B8=TRUE,Backdoors!BI44=TRUE),VLOOKUP(Calculator!E23,tbSkills!DH3:DJ6,3,FALSE),0),0))&gt;=100,100,(Backdoors!AI12+IF(KC49&gt;=0.45,VLOOKUP(Calculator!E23,tbSkills!DH3:DI6,2,FALSE)+IF(AND(Calculator!B8=TRUE,Backdoors!BI44=TRUE),VLOOKUP(Calculator!E23,tbSkills!DH3:DJ6,3,FALSE),0),0)))/100)),(1-(0.25*((-Backdoors!AI12-IF(KC49&gt;=0.45,VLOOKUP(Calculator!E23,tbSkills!DH3:DI6,2,FALSE)+IF(AND(Calculator!B8=TRUE,Backdoors!BI44=TRUE),VLOOKUP(Calculator!E23,tbSkills!DH3:DJ6,3,FALSE),0),0))/100)))),1),"")</f>
        <v>1</v>
      </c>
      <c r="KF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KC49)*KE49)*(VLOOKUP(A49,tbMoveset!A2:C112,3,FALSE)/100)*IF(VLOOKUP(A49,tbMoveset!A2:B112,2,FALSE)="Projectile",Backdoors!N10,Backdoors!N9),0),"")</f>
        <v/>
      </c>
      <c r="KG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REF!&gt;0,VLOOKUP(Calculator!#REF!,tbSkills!AC3:AD5,2,FALSE),Backdoors!AL3)*(IF((Backdoors!AI12+IF(KC49&gt;=0.45,VLOOKUP(Calculator!E23,tbSkills!DH3:DI6,2,FALSE)+IF(AND(Calculator!B8=TRUE,Backdoors!BI44=TRUE),VLOOKUP(Calculator!E23,tbSkills!DH3:DJ6,3,FALSE),0),0))&gt;=100,100,(Backdoors!AI12+IF(KC49&gt;=0.45,VLOOKUP(Calculator!E23,tbSkills!DH3:DI6,2,FALSE)+IF(AND(Calculator!B8=TRUE,Backdoors!BI44=TRUE),VLOOKUP(Calculator!E23,tbSkills!DH3:DJ6,3,FALSE),0),0)))/100)),1))*IF(VLOOKUP(A49,tbMoveset!A2:K112,11,FALSE)=TRUE,Backdoors!AC5,1))*KD49,0),"")</f>
        <v/>
      </c>
      <c r="KH49" s="49">
        <f>VLOOKUP(A49,tbMoveset!A2:G112,7,FALSE)*IFERROR(IF(Backdoors!AI12&gt;=0,1+(IF(Calculator!E40&gt;0,VLOOKUP(Calculator!E40,tbSkills!AI3:AJ5,2,FALSE),Backdoors!AL4)*(IF((Backdoors!AI12+IF(KC49&gt;=0.45,VLOOKUP(Calculator!E23,tbSkills!DH3:DI6,2,FALSE)+IF(AND(Calculator!B8=TRUE,Backdoors!BI44=TRUE),VLOOKUP(Calculator!E23,tbSkills!DH3:DJ6,3,FALSE),0),0))&gt;=100,100,(Backdoors!AI12+IF(KC49&gt;=0.45,VLOOKUP(Calculator!E23,tbSkills!DH3:DI6,2,FALSE)+IF(AND(Calculator!B8=TRUE,Backdoors!BI44=TRUE),VLOOKUP(Calculator!E23,tbSkills!DH3:DJ6,3,FALSE),0),0)))/100)),1),1)</f>
        <v>0.5</v>
      </c>
      <c r="KI49" s="87">
        <f t="shared" si="33"/>
        <v>0</v>
      </c>
      <c r="KJ49" s="86" t="str">
        <f>IFERROR(IF(VLOOKUP(A49,tbMoveset!A2:B112,2,FALSE)="Sever",Backdoors!AY45/100,IF(VLOOKUP(A49,tbMoveset!A2:B112,2,FALSE)="Blunt",Backdoors!AZ45/100,Backdoors!BA45/100)),"")</f>
        <v/>
      </c>
      <c r="KK49" s="49">
        <f>IFERROR(IF(VLOOKUP(tbMoveset!A49,tbMoveset!A2:H112,8,FALSE)="Other",IF(VLOOKUP(tbMoveset!A49,tbMoveset!A2:I112,9,FALSE)="Fire",Backdoors!BB45,IF(VLOOKUP(tbMoveset!A49,tbMoveset!A2:I112,9,FALSE)="Water",Backdoors!BC45,IF(VLOOKUP(tbMoveset!A49,tbMoveset!A2:I112,9,FALSE)="Thunder",Backdoors!BD45,IF(VLOOKUP(tbMoveset!A49,tbMoveset!A2:I112,9,FALSE)="Ice",Backdoors!BE45,IF(VLOOKUP(tbMoveset!A49,tbMoveset!A2:I112,9,FALSE)="Dragon",Backdoors!BF45,Backdoors!BG45)))))/100,Backdoors!BG45/100),"")</f>
        <v>0</v>
      </c>
      <c r="KL49" s="49">
        <f>IFERROR(IF(VLOOKUP(A49,tbMoveset!A2:J112,10,FALSE)=TRUE,IF((Backdoors!AI12+IF(KJ49&gt;=0.45,VLOOKUP(Calculator!E23,tbSkills!DH3:DI6,2,FALSE)+IF(AND(Calculator!B8=TRUE,Backdoors!BI45=TRUE),VLOOKUP(Calculator!E23,tbSkills!DH3:DJ6,3,FALSE),0),0))&gt;=0,1+(Backdoors!AL2*(IF((Backdoors!AI12+IF(KJ49&gt;=0.45,VLOOKUP(Calculator!E23,tbSkills!DH3:DI6,2,FALSE)+IF(AND(Calculator!B8=TRUE,Backdoors!BI45=TRUE),VLOOKUP(Calculator!E23,tbSkills!DH3:DJ6,3,FALSE),0),0))&gt;=100,100,(Backdoors!AI12+IF(KJ49&gt;=0.45,VLOOKUP(Calculator!E23,tbSkills!DH3:DI6,2,FALSE)+IF(AND(Calculator!B8=TRUE,Backdoors!BI45=TRUE),VLOOKUP(Calculator!E23,tbSkills!DH3:DJ6,3,FALSE),0),0)))/100)),(1-(0.25*((-Backdoors!AI12-IF(KJ49&gt;=0.45,VLOOKUP(Calculator!E23,tbSkills!DH3:DI6,2,FALSE)+IF(AND(Calculator!B8=TRUE,Backdoors!BI45=TRUE),VLOOKUP(Calculator!E23,tbSkills!DH3:DJ6,3,FALSE),0),0))/100)))),1),"")</f>
        <v>1</v>
      </c>
      <c r="KM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KJ49)*KL49)*(VLOOKUP(A49,tbMoveset!A2:C112,3,FALSE)/100)*IF(VLOOKUP(A49,tbMoveset!A2:B112,2,FALSE)="Projectile",Backdoors!N10,Backdoors!N9),0),"")</f>
        <v/>
      </c>
      <c r="KN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REF!&gt;0,VLOOKUP(Calculator!#REF!,tbSkills!AC3:AD5,2,FALSE),Backdoors!AL3)*(IF((Backdoors!AI12+IF(KJ49&gt;=0.45,VLOOKUP(Calculator!E23,tbSkills!DH3:DI6,2,FALSE)+IF(AND(Calculator!B8=TRUE,Backdoors!BI45=TRUE),VLOOKUP(Calculator!E23,tbSkills!DH3:DJ6,3,FALSE),0),0))&gt;=100,100,(Backdoors!AI12+IF(KJ49&gt;=0.45,VLOOKUP(Calculator!E23,tbSkills!DH3:DI6,2,FALSE)+IF(AND(Calculator!B8=TRUE,Backdoors!BI45=TRUE),VLOOKUP(Calculator!E23,tbSkills!DH3:DJ6,3,FALSE),0),0)))/100)),1))*IF(VLOOKUP(A49,tbMoveset!A2:K112,11,FALSE)=TRUE,Backdoors!AC5,1))*KK49,0),"")</f>
        <v/>
      </c>
      <c r="KO49" s="49">
        <f>VLOOKUP(A49,tbMoveset!A2:G112,7,FALSE)*IFERROR(IF(Backdoors!AI12&gt;=0,1+(IF(Calculator!E40&gt;0,VLOOKUP(Calculator!E40,tbSkills!AI3:AJ5,2,FALSE),Backdoors!AL4)*(IF((Backdoors!AI12+IF(KJ49&gt;=0.45,VLOOKUP(Calculator!E23,tbSkills!DH3:DI6,2,FALSE)+IF(AND(Calculator!B8=TRUE,Backdoors!BI45=TRUE),VLOOKUP(Calculator!E23,tbSkills!DH3:DJ6,3,FALSE),0),0))&gt;=100,100,(Backdoors!AI12+IF(KJ49&gt;=0.45,VLOOKUP(Calculator!E23,tbSkills!DH3:DI6,2,FALSE)+IF(AND(Calculator!B8=TRUE,Backdoors!BI45=TRUE),VLOOKUP(Calculator!E23,tbSkills!DH3:DJ6,3,FALSE),0),0)))/100)),1),1)</f>
        <v>0.5</v>
      </c>
      <c r="KP49" s="87">
        <f t="shared" si="34"/>
        <v>0</v>
      </c>
      <c r="KQ49" s="86" t="str">
        <f>IFERROR(IF(VLOOKUP(A49,tbMoveset!A2:B112,2,FALSE)="Sever",Backdoors!AY46/100,IF(VLOOKUP(A49,tbMoveset!A2:B112,2,FALSE)="Blunt",Backdoors!AZ46/100,Backdoors!BA46/100)),"")</f>
        <v/>
      </c>
      <c r="KR49" s="49">
        <f>IFERROR(IF(VLOOKUP(tbMoveset!A49,tbMoveset!A2:H112,8,FALSE)="Other",IF(VLOOKUP(tbMoveset!A49,tbMoveset!A2:I112,9,FALSE)="Fire",Backdoors!BB46,IF(VLOOKUP(tbMoveset!A49,tbMoveset!A2:I112,9,FALSE)="Water",Backdoors!BC46,IF(VLOOKUP(tbMoveset!A49,tbMoveset!A2:I112,9,FALSE)="Thunder",Backdoors!BD46,IF(VLOOKUP(tbMoveset!A49,tbMoveset!A2:I112,9,FALSE)="Ice",Backdoors!BE46,IF(VLOOKUP(tbMoveset!A49,tbMoveset!A2:I112,9,FALSE)="Dragon",Backdoors!BF46,Backdoors!BG46)))))/100,Backdoors!BG46/100),"")</f>
        <v>0</v>
      </c>
      <c r="KS49" s="49">
        <f>IFERROR(IF(VLOOKUP(A49,tbMoveset!A2:J112,10,FALSE)=TRUE,IF((Backdoors!AI12+IF(KQ49&gt;=0.45,VLOOKUP(Calculator!E23,tbSkills!DH3:DI6,2,FALSE)+IF(AND(Calculator!B8=TRUE,Backdoors!BI46=TRUE),VLOOKUP(Calculator!E23,tbSkills!DH3:DJ6,3,FALSE),0),0))&gt;=0,1+(Backdoors!AL2*(IF((Backdoors!AI12+IF(KQ49&gt;=0.45,VLOOKUP(Calculator!E23,tbSkills!DH3:DI6,2,FALSE)+IF(AND(Calculator!B8=TRUE,Backdoors!BI46=TRUE),VLOOKUP(Calculator!E23,tbSkills!DH3:DJ6,3,FALSE),0),0))&gt;=100,100,(Backdoors!AI12+IF(KQ49&gt;=0.45,VLOOKUP(Calculator!E23,tbSkills!DH3:DI6,2,FALSE)+IF(AND(Calculator!B8=TRUE,Backdoors!BI46=TRUE),VLOOKUP(Calculator!E23,tbSkills!DH3:DJ6,3,FALSE),0),0)))/100)),(1-(0.25*((-Backdoors!AI12-IF(KQ49&gt;=0.45,VLOOKUP(Calculator!E23,tbSkills!DH3:DI6,2,FALSE)+IF(AND(Calculator!B8=TRUE,Backdoors!BI46=TRUE),VLOOKUP(Calculator!E23,tbSkills!DH3:DJ6,3,FALSE),0),0))/100)))),1),"")</f>
        <v>1</v>
      </c>
      <c r="KT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KQ49)*KS49)*(VLOOKUP(A49,tbMoveset!A2:C112,3,FALSE)/100)*IF(VLOOKUP(A49,tbMoveset!A2:B112,2,FALSE)="Projectile",Backdoors!N10,Backdoors!N9),0),"")</f>
        <v/>
      </c>
      <c r="KU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REF!&gt;0,VLOOKUP(Calculator!#REF!,tbSkills!AC3:AD5,2,FALSE),Backdoors!AL3)*(IF((Backdoors!AI12+IF(KQ49&gt;=0.45,VLOOKUP(Calculator!E23,tbSkills!DH3:DI6,2,FALSE)+IF(AND(Calculator!B8=TRUE,Backdoors!BI46=TRUE),VLOOKUP(Calculator!E23,tbSkills!DH3:DJ6,3,FALSE),0),0))&gt;=100,100,(Backdoors!AI12+IF(KQ49&gt;=0.45,VLOOKUP(Calculator!E23,tbSkills!DH3:DI6,2,FALSE)+IF(AND(Calculator!B8=TRUE,Backdoors!BI46=TRUE),VLOOKUP(Calculator!E23,tbSkills!DH3:DJ6,3,FALSE),0),0)))/100)),1))*IF(VLOOKUP(A49,tbMoveset!A2:K112,11,FALSE)=TRUE,Backdoors!AC5,1))*KR49,0),"")</f>
        <v/>
      </c>
      <c r="KV49" s="49">
        <f>VLOOKUP(A49,tbMoveset!A2:G112,7,FALSE)*IFERROR(IF(Backdoors!AI12&gt;=0,1+(IF(Calculator!E40&gt;0,VLOOKUP(Calculator!E40,tbSkills!AI3:AJ5,2,FALSE),Backdoors!AL4)*(IF((Backdoors!AI12+IF(KQ49&gt;=0.45,VLOOKUP(Calculator!E23,tbSkills!DH3:DI6,2,FALSE)+IF(AND(Calculator!B8=TRUE,Backdoors!BI46=TRUE),VLOOKUP(Calculator!E23,tbSkills!DH3:DJ6,3,FALSE),0),0))&gt;=100,100,(Backdoors!AI12+IF(KQ49&gt;=0.45,VLOOKUP(Calculator!E23,tbSkills!DH3:DI6,2,FALSE)+IF(AND(Calculator!B8=TRUE,Backdoors!BI46=TRUE),VLOOKUP(Calculator!E23,tbSkills!DH3:DJ6,3,FALSE),0),0)))/100)),1),1)</f>
        <v>0.5</v>
      </c>
      <c r="KW49" s="87">
        <f t="shared" si="35"/>
        <v>0</v>
      </c>
    </row>
    <row r="50" spans="1:309" x14ac:dyDescent="0.25">
      <c r="A50" s="95" t="str">
        <f>tbMoveset!A50</f>
        <v>Demon Flurry Rush (L3)</v>
      </c>
      <c r="B50" s="86">
        <f>IFERROR(IF(VLOOKUP(A50,tbMoveset!A2:B112,2,FALSE)="Sever",Backdoors!AY3/100,IF(VLOOKUP(A50,tbMoveset!A2:B112,2,FALSE)="Blunt",Backdoors!AZ3/100,Backdoors!BA3/100)),"")</f>
        <v>0.8</v>
      </c>
      <c r="C50" s="49">
        <f>IFERROR(IF(VLOOKUP(tbMoveset!A50,tbMoveset!A2:H112,8,FALSE)="Other",IF(VLOOKUP(tbMoveset!A50,tbMoveset!A2:I112,9,FALSE)="Fire",Backdoors!BB3,IF(VLOOKUP(tbMoveset!A50,tbMoveset!A2:I112,9,FALSE)="Water",Backdoors!BC3,IF(VLOOKUP(tbMoveset!A50,tbMoveset!A2:I112,9,FALSE)="Thunder",Backdoors!BD3,IF(VLOOKUP(tbMoveset!A50,tbMoveset!A2:I112,9,FALSE)="Ice",Backdoors!BE3,IF(VLOOKUP(tbMoveset!A50,tbMoveset!A2:I112,9,FALSE)="Dragon",Backdoors!BF3,Backdoors!BG3)))))/100,Backdoors!BG3/100),"")</f>
        <v>0</v>
      </c>
      <c r="D50" s="49">
        <f>IFERROR(IF(VLOOKUP(A50,tbMoveset!A2:J112,10,FALSE)=TRUE,IF((Backdoors!AI12+IF(B50&gt;=0.45,VLOOKUP(Calculator!E23,tbSkills!DH3:DI6,2,FALSE)+IF(AND(Calculator!B8=TRUE,Backdoors!BI3=TRUE),VLOOKUP(Calculator!E23,tbSkills!DH3:DJ6,3,FALSE),0),0))&gt;=0,1+(Backdoors!AL2*(IF((Backdoors!AI12+IF(B50&gt;=0.45,VLOOKUP(Calculator!E23,tbSkills!DH3:DI6,2,FALSE)+IF(AND(Calculator!B8=TRUE,Backdoors!BI3=TRUE),VLOOKUP(Calculator!E23,tbSkills!DH3:DJ6,3,FALSE),0),0))&gt;=100,100,(Backdoors!AI12+IF(B50&gt;=0.45,VLOOKUP(Calculator!E23,tbSkills!DH3:DI6,2,FALSE)+IF(AND(Calculator!B8=TRUE,Backdoors!BI3=TRUE),VLOOKUP(Calculator!E23,tbSkills!DH3:DJ6,3,FALSE),0),0)))/100)),(1-(0.25*((-Backdoors!AI12-IF(B50&gt;=0.45,VLOOKUP(Calculator!E23,tbSkills!DH3:DI6,2,FALSE)+IF(AND(Calculator!B8=TRUE,Backdoors!BI3=TRUE),VLOOKUP(Calculator!E23,tbSkills!DH3:DJ6,3,FALSE),0),0))/100)))),1),"")</f>
        <v>1</v>
      </c>
      <c r="E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50)*D50)*(VLOOKUP(A50,tbMoveset!A2:C112,3,FALSE)/100)*IF(VLOOKUP(A50,tbMoveset!A2:B112,2,FALSE)="Projectile",Backdoors!N10,Backdoors!N9),0),"")</f>
        <v>5</v>
      </c>
      <c r="F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50&gt;=0.45,VLOOKUP(Calculator!E23,tbSkills!DH3:DI6,2,FALSE)+IF(AND(Calculator!B8=TRUE,Backdoors!BI3=TRUE),VLOOKUP(Calculator!E23,tbSkills!DH3:DJ6,3,FALSE),0),0))&gt;=100,100,(Backdoors!AI12+IF(B50&gt;=0.45,VLOOKUP(Calculator!E23,tbSkills!DH3:DI6,2,FALSE)+IF(AND(Calculator!B8=TRUE,Backdoors!BI3=TRUE),VLOOKUP(Calculator!E23,tbSkills!DH3:DJ6,3,FALSE),0),0)))/100)),1))*IF(VLOOKUP(A50,tbMoveset!A2:K112,11,FALSE)=TRUE,Backdoors!AC5,1))*C50,0),"")</f>
        <v>0</v>
      </c>
      <c r="G50">
        <f>VLOOKUP(A50,tbMoveset!A2:G112,7,FALSE)*IFERROR(IF(Backdoors!AI12&gt;=0,1+(IF(Calculator!E40&gt;0,VLOOKUP(Calculator!E40,tbSkills!AI3:AJ5,2,FALSE),Backdoors!AL4)*(IF((Backdoors!AI12+IF(B50&gt;=0.45,VLOOKUP(Calculator!E23,tbSkills!DH3:DI6,2,FALSE)+IF(AND(Calculator!B8=TRUE,Backdoors!BI3=TRUE),VLOOKUP(Calculator!E23,tbSkills!DH3:DJ6,3,FALSE),0),0))&gt;=100,100,(Backdoors!AI12+IF(B50&gt;=0.45,VLOOKUP(Calculator!E23,tbSkills!DH3:DI6,2,FALSE)+IF(AND(Calculator!B8=TRUE,Backdoors!BI3=TRUE),VLOOKUP(Calculator!E23,tbSkills!DH3:DJ6,3,FALSE),0),0)))/100)),1),1)</f>
        <v>0.8</v>
      </c>
      <c r="H50" s="87">
        <f t="shared" si="44"/>
        <v>5</v>
      </c>
      <c r="I50" s="86">
        <f>IFERROR(IF(VLOOKUP(A50,tbMoveset!A2:B112,2,FALSE)="Sever",Backdoors!AY4/100,IF(VLOOKUP(A50,tbMoveset!A2:B112,2,FALSE)="Blunt",Backdoors!AZ4/100,Backdoors!BA4/100)),"")</f>
        <v>0.65</v>
      </c>
      <c r="J50" s="49">
        <f>IFERROR(IF(VLOOKUP(tbMoveset!A50,tbMoveset!A2:H112,8,FALSE)="Other",IF(VLOOKUP(tbMoveset!A50,tbMoveset!A2:I112,9,FALSE)="Fire",Backdoors!BB4,IF(VLOOKUP(tbMoveset!A50,tbMoveset!A2:I112,9,FALSE)="Water",Backdoors!BC4,IF(VLOOKUP(tbMoveset!A50,tbMoveset!A2:I112,9,FALSE)="Thunder",Backdoors!BD4,IF(VLOOKUP(tbMoveset!A50,tbMoveset!A2:I112,9,FALSE)="Ice",Backdoors!BE4,IF(VLOOKUP(tbMoveset!A50,tbMoveset!A2:I112,9,FALSE)="Dragon",Backdoors!BF4,Backdoors!BG4)))))/100,Backdoors!BG4/100),"")</f>
        <v>0</v>
      </c>
      <c r="K50" s="49">
        <f>IFERROR(IF(VLOOKUP(A50,tbMoveset!A2:J112,10,FALSE)=TRUE,IF((Backdoors!AI12+IF(I50&gt;=0.45,VLOOKUP(Calculator!E23,tbSkills!DH3:DI6,2,FALSE)+IF(AND(Calculator!B8=TRUE,Backdoors!BI4=TRUE),VLOOKUP(Calculator!E23,tbSkills!DH3:DJ6,3,FALSE),0),0))&gt;=0,1+(Backdoors!AL2*(IF((Backdoors!AI12+IF(I50&gt;=0.45,VLOOKUP(Calculator!E23,tbSkills!DH3:DI6,2,FALSE)+IF(AND(Calculator!B8=TRUE,Backdoors!BI4=TRUE),VLOOKUP(Calculator!E23,tbSkills!DH3:DJ6,3,FALSE),0),0))&gt;=100,100,(Backdoors!AI12+IF(I50&gt;=0.45,VLOOKUP(Calculator!E23,tbSkills!DH3:DI6,2,FALSE)+IF(AND(Calculator!B8=TRUE,Backdoors!BI4=TRUE),VLOOKUP(Calculator!E23,tbSkills!DH3:DJ6,3,FALSE),0),0)))/100)),(1-(0.25*((-Backdoors!AI12-IF(I50&gt;=0.45,VLOOKUP(Calculator!E23,tbSkills!DH3:DI6,2,FALSE)+IF(AND(Calculator!B8=TRUE,Backdoors!BI4=TRUE),VLOOKUP(Calculator!E23,tbSkills!DH3:DJ6,3,FALSE),0),0))/100)))),1),"")</f>
        <v>1</v>
      </c>
      <c r="L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50)*K50)*(VLOOKUP(A50,tbMoveset!A2:C112,3,FALSE)/100)*IF(VLOOKUP(A50,tbMoveset!A2:B112,2,FALSE)="Projectile",Backdoors!N10,Backdoors!N9),0),"")</f>
        <v>4</v>
      </c>
      <c r="M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I50&gt;=0.45,VLOOKUP(Calculator!E23,tbSkills!DH3:DI6,2,FALSE)+IF(AND(Calculator!B8=TRUE,Backdoors!BI4=TRUE),VLOOKUP(Calculator!E23,tbSkills!DH3:DJ6,3,FALSE),0),0))&gt;=100,100,(Backdoors!AI12+IF(I50&gt;=0.45,VLOOKUP(Calculator!E23,tbSkills!DH3:DI6,2,FALSE)+IF(AND(Calculator!B8=TRUE,Backdoors!BI4=TRUE),VLOOKUP(Calculator!E23,tbSkills!DH3:DJ6,3,FALSE),0),0)))/100)),1))*IF(VLOOKUP(A50,tbMoveset!A2:K112,11,FALSE)=TRUE,Backdoors!AC5,1))*J50,0),"")</f>
        <v>0</v>
      </c>
      <c r="N50" s="49">
        <f>VLOOKUP(A50,tbMoveset!A2:G112,7,FALSE)*IFERROR(IF(Backdoors!AI12&gt;=0,1+(IF(Calculator!E40&gt;0,VLOOKUP(Calculator!E40,tbSkills!AI3:AJ5,2,FALSE),Backdoors!AL4)*(IF((Backdoors!AI12+IF(I50&gt;=0.45,VLOOKUP(Calculator!E23,tbSkills!DH3:DI6,2,FALSE)+IF(AND(Calculator!B8=TRUE,Backdoors!BI4=TRUE),VLOOKUP(Calculator!E23,tbSkills!DH3:DJ6,3,FALSE),0),0))&gt;=100,100,(Backdoors!AI12+IF(I50&gt;=0.45,VLOOKUP(Calculator!E23,tbSkills!DH3:DI6,2,FALSE)+IF(AND(Calculator!B8=TRUE,Backdoors!BI4=TRUE),VLOOKUP(Calculator!E23,tbSkills!DH3:DJ6,3,FALSE),0),0)))/100)),1),1)</f>
        <v>0.8</v>
      </c>
      <c r="O50" s="87">
        <f t="shared" si="45"/>
        <v>4</v>
      </c>
      <c r="P50" s="86">
        <f>IFERROR(IF(VLOOKUP(A50,tbMoveset!A2:B112,2,FALSE)="Sever",Backdoors!AY5/100,IF(VLOOKUP(A50,tbMoveset!A2:B112,2,FALSE)="Blunt",Backdoors!AZ5/100,Backdoors!BA5/100)),"")</f>
        <v>0.5</v>
      </c>
      <c r="Q50" s="49">
        <f>IFERROR(IF(VLOOKUP(tbMoveset!A50,tbMoveset!A2:H112,8,FALSE)="Other",IF(VLOOKUP(tbMoveset!A50,tbMoveset!A2:I112,9,FALSE)="Fire",Backdoors!BB5,IF(VLOOKUP(tbMoveset!A50,tbMoveset!A2:I112,9,FALSE)="Water",Backdoors!BC5,IF(VLOOKUP(tbMoveset!A50,tbMoveset!A2:I112,9,FALSE)="Thunder",Backdoors!BD5,IF(VLOOKUP(tbMoveset!A50,tbMoveset!A2:I112,9,FALSE)="Ice",Backdoors!BE5,IF(VLOOKUP(tbMoveset!A50,tbMoveset!A2:I112,9,FALSE)="Dragon",Backdoors!BF5,Backdoors!BG5)))))/100,Backdoors!BG5/100),"")</f>
        <v>0</v>
      </c>
      <c r="R50" s="49">
        <f>IFERROR(IF(VLOOKUP(A50,tbMoveset!A2:J112,10,FALSE)=TRUE,IF((Backdoors!AI12+IF(P50&gt;=0.45,VLOOKUP(Calculator!E23,tbSkills!DH3:DI6,2,FALSE)+IF(AND(Calculator!B8=TRUE,Backdoors!BI5=TRUE),VLOOKUP(Calculator!E23,tbSkills!DH3:DJ6,3,FALSE),0),0))&gt;=0,1+(Backdoors!AL2*(IF((Backdoors!AI12+IF(P50&gt;=0.45,VLOOKUP(Calculator!E23,tbSkills!DH3:DI6,2,FALSE)+IF(AND(Calculator!B8=TRUE,Backdoors!BI5=TRUE),VLOOKUP(Calculator!E23,tbSkills!DH3:DJ6,3,FALSE),0),0))&gt;=100,100,(Backdoors!AI12+IF(P50&gt;=0.45,VLOOKUP(Calculator!E23,tbSkills!DH3:DI6,2,FALSE)+IF(AND(Calculator!B8=TRUE,Backdoors!BI5=TRUE),VLOOKUP(Calculator!E23,tbSkills!DH3:DJ6,3,FALSE),0),0)))/100)),(1-(0.25*((-Backdoors!AI12-IF(P50&gt;=0.45,VLOOKUP(Calculator!E23,tbSkills!DH3:DI6,2,FALSE)+IF(AND(Calculator!B8=TRUE,Backdoors!BI5=TRUE),VLOOKUP(Calculator!E23,tbSkills!DH3:DJ6,3,FALSE),0),0))/100)))),1),"")</f>
        <v>1</v>
      </c>
      <c r="S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P50)*R50)*(VLOOKUP(A50,tbMoveset!A2:C112,3,FALSE)/100)*IF(VLOOKUP(A50,tbMoveset!A2:B112,2,FALSE)="Projectile",Backdoors!N10,Backdoors!N9),0),"")</f>
        <v>3</v>
      </c>
      <c r="T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P50&gt;=0.45,VLOOKUP(Calculator!E23,tbSkills!DH3:DI6,2,FALSE)+IF(AND(Calculator!B8=TRUE,Backdoors!BI5=TRUE),VLOOKUP(Calculator!E23,tbSkills!DH3:DJ6,3,FALSE),0),0))&gt;=100,100,(Backdoors!AI12+IF(P50&gt;=0.45,VLOOKUP(Calculator!E23,tbSkills!DH3:DI6,2,FALSE)+IF(AND(Calculator!B8=TRUE,Backdoors!BI5=TRUE),VLOOKUP(Calculator!E23,tbSkills!DH3:DJ6,3,FALSE),0),0)))/100)),1))*IF(VLOOKUP(A50,tbMoveset!A2:K112,11,FALSE)=TRUE,Backdoors!AC5,1))*Q50,0),"")</f>
        <v>0</v>
      </c>
      <c r="U50" s="49">
        <f>VLOOKUP(A50,tbMoveset!A2:G112,7,FALSE)*IFERROR(IF(Backdoors!AI12&gt;=0,1+(IF(Calculator!E40&gt;0,VLOOKUP(Calculator!E40,tbSkills!AI3:AJ5,2,FALSE),Backdoors!AL4)*(IF((Backdoors!AI12+IF(P50&gt;=0.45,VLOOKUP(Calculator!E23,tbSkills!DH3:DI6,2,FALSE)+IF(AND(Calculator!B8=TRUE,Backdoors!BI5=TRUE),VLOOKUP(Calculator!E23,tbSkills!DH3:DJ6,3,FALSE),0),0))&gt;=100,100,(Backdoors!AI12+IF(P50&gt;=0.45,VLOOKUP(Calculator!E23,tbSkills!DH3:DI6,2,FALSE)+IF(AND(Calculator!B8=TRUE,Backdoors!BI5=TRUE),VLOOKUP(Calculator!E23,tbSkills!DH3:DJ6,3,FALSE),0),0)))/100)),1),1)</f>
        <v>0.8</v>
      </c>
      <c r="V50" s="87">
        <f t="shared" si="46"/>
        <v>3</v>
      </c>
      <c r="W50" s="86">
        <f>IFERROR(IF(VLOOKUP(A50,tbMoveset!A2:B112,2,FALSE)="Sever",Backdoors!AY6/100,IF(VLOOKUP(A50,tbMoveset!A2:B112,2,FALSE)="Blunt",Backdoors!AZ6/100,Backdoors!BA6/100)),"")</f>
        <v>0.45</v>
      </c>
      <c r="X50" s="49">
        <f>IFERROR(IF(VLOOKUP(tbMoveset!A50,tbMoveset!A2:H112,8,FALSE)="Other",IF(VLOOKUP(tbMoveset!A50,tbMoveset!A2:I112,9,FALSE)="Fire",Backdoors!BB6,IF(VLOOKUP(tbMoveset!A50,tbMoveset!A2:I112,9,FALSE)="Water",Backdoors!BC6,IF(VLOOKUP(tbMoveset!A50,tbMoveset!A2:I112,9,FALSE)="Thunder",Backdoors!BD6,IF(VLOOKUP(tbMoveset!A50,tbMoveset!A2:I112,9,FALSE)="Ice",Backdoors!BE6,IF(VLOOKUP(tbMoveset!A50,tbMoveset!A2:I112,9,FALSE)="Dragon",Backdoors!BF6,Backdoors!BG6)))))/100,Backdoors!BG6/100),"")</f>
        <v>0</v>
      </c>
      <c r="Y50" s="49">
        <f>IFERROR(IF(VLOOKUP(A50,tbMoveset!A2:J112,10,FALSE)=TRUE,IF((Backdoors!AI12+IF(W50&gt;=0.45,VLOOKUP(Calculator!E23,tbSkills!DH3:DI6,2,FALSE)+IF(AND(Calculator!B8=TRUE,Backdoors!BI6=TRUE),VLOOKUP(Calculator!E23,tbSkills!DH3:DJ6,3,FALSE),0),0))&gt;=0,1+(Backdoors!AL2*(IF((Backdoors!AI12+IF(W50&gt;=0.45,VLOOKUP(Calculator!E23,tbSkills!DH3:DI6,2,FALSE)+IF(AND(Calculator!B8=TRUE,Backdoors!BI6=TRUE),VLOOKUP(Calculator!E23,tbSkills!DH3:DJ6,3,FALSE),0),0))&gt;=100,100,(Backdoors!AI12+IF(W50&gt;=0.45,VLOOKUP(Calculator!E23,tbSkills!DH3:DI6,2,FALSE)+IF(AND(Calculator!B8=TRUE,Backdoors!BI6=TRUE),VLOOKUP(Calculator!E23,tbSkills!DH3:DJ6,3,FALSE),0),0)))/100)),(1-(0.25*((-Backdoors!AI12-IF(W50&gt;=0.45,VLOOKUP(Calculator!E23,tbSkills!DH3:DI6,2,FALSE)+IF(AND(Calculator!B8=TRUE,Backdoors!BI6=TRUE),VLOOKUP(Calculator!E23,tbSkills!DH3:DJ6,3,FALSE),0),0))/100)))),1),"")</f>
        <v>1</v>
      </c>
      <c r="Z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W50)*Y50)*(VLOOKUP(A50,tbMoveset!A2:C112,3,FALSE)/100)*IF(VLOOKUP(A50,tbMoveset!A2:B112,2,FALSE)="Projectile",Backdoors!N10,Backdoors!N9),0),"")</f>
        <v>3</v>
      </c>
      <c r="AA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W50&gt;=0.45,VLOOKUP(Calculator!E23,tbSkills!DH3:DI6,2,FALSE)+IF(AND(Calculator!B8=TRUE,Backdoors!BI6=TRUE),VLOOKUP(Calculator!E23,tbSkills!DH3:DJ6,3,FALSE),0),0))&gt;=100,100,(Backdoors!AI12+IF(W50&gt;=0.45,VLOOKUP(Calculator!E23,tbSkills!DH3:DI6,2,FALSE)+IF(AND(Calculator!B8=TRUE,Backdoors!BI6=TRUE),VLOOKUP(Calculator!E23,tbSkills!DH3:DJ6,3,FALSE),0),0)))/100)),1))*IF(VLOOKUP(A50,tbMoveset!A2:K112,11,FALSE)=TRUE,Backdoors!AC5,1))*X50,0),"")</f>
        <v>0</v>
      </c>
      <c r="AB50" s="49">
        <f>VLOOKUP(A50,tbMoveset!A2:G112,7,FALSE)*IFERROR(IF(Backdoors!AI12&gt;=0,1+(IF(Calculator!E40&gt;0,VLOOKUP(Calculator!E40,tbSkills!AI3:AJ5,2,FALSE),Backdoors!AL4)*(IF((Backdoors!AI12+IF(W50&gt;=0.45,VLOOKUP(Calculator!E23,tbSkills!DH3:DI6,2,FALSE)+IF(AND(Calculator!B8=TRUE,Backdoors!BI6=TRUE),VLOOKUP(Calculator!E23,tbSkills!DH3:DJ6,3,FALSE),0),0))&gt;=100,100,(Backdoors!AI12+IF(W50&gt;=0.45,VLOOKUP(Calculator!E23,tbSkills!DH3:DI6,2,FALSE)+IF(AND(Calculator!B8=TRUE,Backdoors!BI6=TRUE),VLOOKUP(Calculator!E23,tbSkills!DH3:DJ6,3,FALSE),0),0)))/100)),1),1)</f>
        <v>0.8</v>
      </c>
      <c r="AC50" s="87">
        <f t="shared" si="47"/>
        <v>3</v>
      </c>
      <c r="AD50" s="86">
        <f>IFERROR(IF(VLOOKUP(A50,tbMoveset!A2:B112,2,FALSE)="Sever",Backdoors!AY7/100,IF(VLOOKUP(A50,tbMoveset!A2:B112,2,FALSE)="Blunt",Backdoors!AZ7/100,Backdoors!BA7/100)),"")</f>
        <v>0.65</v>
      </c>
      <c r="AE50" s="49">
        <f>IFERROR(IF(VLOOKUP(tbMoveset!A50,tbMoveset!A2:H112,8,FALSE)="Other",IF(VLOOKUP(tbMoveset!A50,tbMoveset!A2:I112,9,FALSE)="Fire",Backdoors!BB7,IF(VLOOKUP(tbMoveset!A50,tbMoveset!A2:I112,9,FALSE)="Water",Backdoors!BC7,IF(VLOOKUP(tbMoveset!A50,tbMoveset!A2:I112,9,FALSE)="Thunder",Backdoors!BD7,IF(VLOOKUP(tbMoveset!A50,tbMoveset!A2:I112,9,FALSE)="Ice",Backdoors!BE7,IF(VLOOKUP(tbMoveset!A50,tbMoveset!A2:I112,9,FALSE)="Dragon",Backdoors!BF7,Backdoors!BG7)))))/100,Backdoors!BG7/100),"")</f>
        <v>0</v>
      </c>
      <c r="AF50" s="49">
        <f>IFERROR(IF(VLOOKUP(A50,tbMoveset!A2:J112,10,FALSE)=TRUE,IF((Backdoors!AI12+IF(AD50&gt;=0.45,VLOOKUP(Calculator!E23,tbSkills!DH3:DI6,2,FALSE)+IF(AND(Calculator!B8=TRUE,Backdoors!BI7=TRUE),VLOOKUP(Calculator!E23,tbSkills!DH3:DJ6,3,FALSE),0),0))&gt;=0,1+(Backdoors!AL2*(IF((Backdoors!AI12+IF(AD50&gt;=0.45,VLOOKUP(Calculator!E23,tbSkills!DH3:DI6,2,FALSE)+IF(AND(Calculator!B8=TRUE,Backdoors!BI7=TRUE),VLOOKUP(Calculator!E23,tbSkills!DH3:DJ6,3,FALSE),0),0))&gt;=100,100,(Backdoors!AI12+IF(AD50&gt;=0.45,VLOOKUP(Calculator!E23,tbSkills!DH3:DI6,2,FALSE)+IF(AND(Calculator!B8=TRUE,Backdoors!BI7=TRUE),VLOOKUP(Calculator!E23,tbSkills!DH3:DJ6,3,FALSE),0),0)))/100)),(1-(0.25*((-Backdoors!AI12-IF(AD50&gt;=0.45,VLOOKUP(Calculator!E23,tbSkills!DH3:DI6,2,FALSE)+IF(AND(Calculator!B8=TRUE,Backdoors!BI7=TRUE),VLOOKUP(Calculator!E23,tbSkills!DH3:DJ6,3,FALSE),0),0))/100)))),1),"")</f>
        <v>1</v>
      </c>
      <c r="AG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D50)*AF50)*(VLOOKUP(A50,tbMoveset!A2:C112,3,FALSE)/100)*IF(VLOOKUP(A50,tbMoveset!A2:B112,2,FALSE)="Projectile",Backdoors!N10,Backdoors!N9),0),"")</f>
        <v>4</v>
      </c>
      <c r="AH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D50&gt;=0.45,VLOOKUP(Calculator!E23,tbSkills!DH3:DI6,2,FALSE)+IF(AND(Calculator!B8=TRUE,Backdoors!BI7=TRUE),VLOOKUP(Calculator!E23,tbSkills!DH3:DJ6,3,FALSE),0),0))&gt;=100,100,(Backdoors!AI12+IF(AD50&gt;=0.45,VLOOKUP(Calculator!E23,tbSkills!DH3:DI6,2,FALSE)+IF(AND(Calculator!B8=TRUE,Backdoors!BI7=TRUE),VLOOKUP(Calculator!E23,tbSkills!DH3:DJ6,3,FALSE),0),0)))/100)),1))*IF(VLOOKUP(A50,tbMoveset!A2:K112,11,FALSE)=TRUE,Backdoors!AC5,1))*AE50,0),"")</f>
        <v>0</v>
      </c>
      <c r="AI50" s="49">
        <f>VLOOKUP(A50,tbMoveset!A2:G112,7,FALSE)*IFERROR(IF(Backdoors!AI12&gt;=0,1+(IF(Calculator!E40&gt;0,VLOOKUP(Calculator!E40,tbSkills!AI3:AJ5,2,FALSE),Backdoors!AL4)*(IF((Backdoors!AI12+IF(AD50&gt;=0.45,VLOOKUP(Calculator!E23,tbSkills!DH3:DI6,2,FALSE)+IF(AND(Calculator!B8=TRUE,Backdoors!BI7=TRUE),VLOOKUP(Calculator!E23,tbSkills!DH3:DJ6,3,FALSE),0),0))&gt;=100,100,(Backdoors!AI12+IF(AD50&gt;=0.45,VLOOKUP(Calculator!E23,tbSkills!DH3:DI6,2,FALSE)+IF(AND(Calculator!B8=TRUE,Backdoors!BI7=TRUE),VLOOKUP(Calculator!E23,tbSkills!DH3:DJ6,3,FALSE),0),0)))/100)),1),1)</f>
        <v>0.8</v>
      </c>
      <c r="AJ50" s="87">
        <f t="shared" si="48"/>
        <v>4</v>
      </c>
      <c r="AK50" s="91">
        <f>IFERROR(IF(VLOOKUP(A50,tbMoveset!A2:B112,2,FALSE)="Sever",Backdoors!AY8/100,IF(VLOOKUP(A50,tbMoveset!A2:B112,2,FALSE)="Blunt",Backdoors!AZ8/100,Backdoors!BA8/100)),"")</f>
        <v>0.45</v>
      </c>
      <c r="AL50" s="49">
        <f>IFERROR(IF(VLOOKUP(tbMoveset!A50,tbMoveset!A2:H112,8,FALSE)="Other",IF(VLOOKUP(tbMoveset!A50,tbMoveset!A2:I112,9,FALSE)="Fire",Backdoors!BB8,IF(VLOOKUP(tbMoveset!A50,tbMoveset!A2:I112,9,FALSE)="Water",Backdoors!BC8,IF(VLOOKUP(tbMoveset!A50,tbMoveset!A2:I112,9,FALSE)="Thunder",Backdoors!BD8,IF(VLOOKUP(tbMoveset!A50,tbMoveset!A2:I112,9,FALSE)="Ice",Backdoors!BE8,IF(VLOOKUP(tbMoveset!A50,tbMoveset!A2:I112,9,FALSE)="Dragon",Backdoors!BF8,Backdoors!BG8)))))/100,Backdoors!BG8/100),"")</f>
        <v>0</v>
      </c>
      <c r="AM50" s="49">
        <f>IFERROR(IF(VLOOKUP(A50,tbMoveset!A2:J112,10,FALSE)=TRUE,IF((Backdoors!AI12+IF(AK50&gt;=0.45,VLOOKUP(Calculator!E23,tbSkills!DH3:DI6,2,FALSE)+IF(AND(Calculator!B8=TRUE,Backdoors!BI8=TRUE),VLOOKUP(Calculator!E23,tbSkills!DH3:DJ6,3,FALSE),0),0))&gt;=0,1+(Backdoors!AL2*(IF((Backdoors!AI12+IF(AK50&gt;=0.45,VLOOKUP(Calculator!E23,tbSkills!DH3:DI6,2,FALSE)+IF(AND(Calculator!B8=TRUE,Backdoors!BI8=TRUE),VLOOKUP(Calculator!E23,tbSkills!DH3:DJ6,3,FALSE),0),0))&gt;=100,100,(Backdoors!AI12+IF(AK50&gt;=0.45,VLOOKUP(Calculator!E23,tbSkills!DH3:DI6,2,FALSE)+IF(AND(Calculator!B8=TRUE,Backdoors!BI8=TRUE),VLOOKUP(Calculator!E23,tbSkills!DH3:DJ6,3,FALSE),0),0)))/100)),(1-(0.25*((-Backdoors!AI12-IF(AK50&gt;=0.45,VLOOKUP(Calculator!E23,tbSkills!DH3:DI6,2,FALSE)+IF(AND(Calculator!B8=TRUE,Backdoors!BI8=TRUE),VLOOKUP(Calculator!E23,tbSkills!DH3:DJ6,3,FALSE),0),0))/100)))),1),"")</f>
        <v>1</v>
      </c>
      <c r="AN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K50)*AM50)*(VLOOKUP(A50,tbMoveset!A2:C112,3,FALSE)/100)*IF(VLOOKUP(A50,tbMoveset!A2:B112,2,FALSE)="Projectile",Backdoors!N10,Backdoors!N9),0),"")</f>
        <v>3</v>
      </c>
      <c r="AO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K50&gt;=0.45,VLOOKUP(Calculator!E23,tbSkills!DH3:DI6,2,FALSE)+IF(AND(Calculator!B8=TRUE,Backdoors!BI8=TRUE),VLOOKUP(Calculator!E23,tbSkills!DH3:DJ6,3,FALSE),0),0))&gt;=100,100,(Backdoors!AI12+IF(AK50&gt;=0.45,VLOOKUP(Calculator!E23,tbSkills!DH3:DI6,2,FALSE)+IF(AND(Calculator!B8=TRUE,Backdoors!BI8=TRUE),VLOOKUP(Calculator!E23,tbSkills!DH3:DJ6,3,FALSE),0),0)))/100)),1))*IF(VLOOKUP(A50,tbMoveset!A2:K112,11,FALSE)=TRUE,Backdoors!AC5,1))*AL50,0),"")</f>
        <v>0</v>
      </c>
      <c r="AP50" s="49">
        <f>VLOOKUP(A50,tbMoveset!A2:G112,7,FALSE)*IFERROR(IF(Backdoors!AI12&gt;=0,1+(IF(Calculator!E40&gt;0,VLOOKUP(Calculator!E40,tbSkills!AI3:AJ5,2,FALSE),Backdoors!AL4)*(IF((Backdoors!AI12+IF(AK50&gt;=0.45,VLOOKUP(Calculator!E23,tbSkills!DH3:DI6,2,FALSE)+IF(AND(Calculator!B8=TRUE,Backdoors!BI8=TRUE),VLOOKUP(Calculator!E23,tbSkills!DH3:DJ6,3,FALSE),0),0))&gt;=100,100,(Backdoors!AI12+IF(AK50&gt;=0.45,VLOOKUP(Calculator!E23,tbSkills!DH3:DI6,2,FALSE)+IF(AND(Calculator!B8=TRUE,Backdoors!BI8=TRUE),VLOOKUP(Calculator!E23,tbSkills!DH3:DJ6,3,FALSE),0),0)))/100)),1),1)</f>
        <v>0.8</v>
      </c>
      <c r="AQ50" s="87">
        <f t="shared" si="49"/>
        <v>3</v>
      </c>
      <c r="AR50" s="86">
        <f>IFERROR(IF(VLOOKUP(A50,tbMoveset!A2:B112,2,FALSE)="Sever",Backdoors!AY9/100,IF(VLOOKUP(A50,tbMoveset!A2:B112,2,FALSE)="Blunt",Backdoors!AZ9/100,Backdoors!BA9/100)),"")</f>
        <v>0.45</v>
      </c>
      <c r="AS50" s="49">
        <f>IFERROR(IF(VLOOKUP(tbMoveset!A50,tbMoveset!A2:H112,8,FALSE)="Other",IF(VLOOKUP(tbMoveset!A50,tbMoveset!A2:I112,9,FALSE)="Fire",Backdoors!BB9,IF(VLOOKUP(tbMoveset!A50,tbMoveset!A2:I112,9,FALSE)="Water",Backdoors!BC9,IF(VLOOKUP(tbMoveset!A50,tbMoveset!A2:I112,9,FALSE)="Thunder",Backdoors!BD9,IF(VLOOKUP(tbMoveset!A50,tbMoveset!A2:I112,9,FALSE)="Ice",Backdoors!BE9,IF(VLOOKUP(tbMoveset!A50,tbMoveset!A2:I112,9,FALSE)="Dragon",Backdoors!BF9,Backdoors!BG9)))))/100,Backdoors!BG9/100),"")</f>
        <v>0</v>
      </c>
      <c r="AT50" s="49">
        <f>IFERROR(IF(VLOOKUP(A50,tbMoveset!A2:J112,10,FALSE)=TRUE,IF((Backdoors!AI12+IF(AR50&gt;=0.45,VLOOKUP(Calculator!E23,tbSkills!DH3:DI6,2,FALSE)+IF(AND(Calculator!B8=TRUE,Backdoors!BI9=TRUE),VLOOKUP(Calculator!E23,tbSkills!DH3:DJ6,3,FALSE),0),0))&gt;=0,1+(Backdoors!AL2*(IF((Backdoors!AI12+IF(AR50&gt;=0.45,VLOOKUP(Calculator!E23,tbSkills!DH3:DI6,2,FALSE)+IF(AND(Calculator!B8=TRUE,Backdoors!BI9=TRUE),VLOOKUP(Calculator!E23,tbSkills!DH3:DJ6,3,FALSE),0),0))&gt;=100,100,(Backdoors!AI12+IF(AR50&gt;=0.45,VLOOKUP(Calculator!E23,tbSkills!DH3:DI6,2,FALSE)+IF(AND(Calculator!B8=TRUE,Backdoors!BI9=TRUE),VLOOKUP(Calculator!E23,tbSkills!DH3:DJ6,3,FALSE),0),0)))/100)),(1-(0.25*((-Backdoors!AI12-IF(AR50&gt;=0.45,VLOOKUP(Calculator!E23,tbSkills!DH3:DI6,2,FALSE)+IF(AND(Calculator!B8=TRUE,Backdoors!BI9=TRUE),VLOOKUP(Calculator!E23,tbSkills!DH3:DJ6,3,FALSE),0),0))/100)))),1),"")</f>
        <v>1</v>
      </c>
      <c r="AU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R50)*AT50)*(VLOOKUP(A50,tbMoveset!A2:C112,3,FALSE)/100)*IF(VLOOKUP(A50,tbMoveset!A2:B112,2,FALSE)="Projectile",Backdoors!N10,Backdoors!N9),0),"")</f>
        <v>3</v>
      </c>
      <c r="AV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R50&gt;=0.45,VLOOKUP(Calculator!E23,tbSkills!DH3:DI6,2,FALSE)+IF(AND(Calculator!B8=TRUE,Backdoors!BI9=TRUE),VLOOKUP(Calculator!E23,tbSkills!DH3:DJ6,3,FALSE),0),0))&gt;=100,100,(Backdoors!AI12+IF(AR50&gt;=0.45,VLOOKUP(Calculator!E23,tbSkills!DH3:DI6,2,FALSE)+IF(AND(Calculator!B8=TRUE,Backdoors!BI9=TRUE),VLOOKUP(Calculator!E23,tbSkills!DH3:DJ6,3,FALSE),0),0)))/100)),1))*IF(VLOOKUP(A50,tbMoveset!A2:K112,11,FALSE)=TRUE,Backdoors!AC5,1))*AS50,0),"")</f>
        <v>0</v>
      </c>
      <c r="AW50" s="49">
        <f>VLOOKUP(A50,tbMoveset!A2:G112,7,FALSE)*IFERROR(IF(Backdoors!AI12&gt;=0,1+(IF(Calculator!E40&gt;0,VLOOKUP(Calculator!E40,tbSkills!AI3:AJ5,2,FALSE),Backdoors!AL4)*(IF((Backdoors!AI12+IF(AR50&gt;=0.45,VLOOKUP(Calculator!E23,tbSkills!DH3:DI6,2,FALSE)+IF(AND(Calculator!B8=TRUE,Backdoors!BI9=TRUE),VLOOKUP(Calculator!E23,tbSkills!DH3:DJ6,3,FALSE),0),0))&gt;=100,100,(Backdoors!AI12+IF(AR50&gt;=0.45,VLOOKUP(Calculator!E23,tbSkills!DH3:DI6,2,FALSE)+IF(AND(Calculator!B8=TRUE,Backdoors!BI9=TRUE),VLOOKUP(Calculator!E23,tbSkills!DH3:DJ6,3,FALSE),0),0)))/100)),1),1)</f>
        <v>0.8</v>
      </c>
      <c r="AX50" s="87">
        <f t="shared" si="50"/>
        <v>3</v>
      </c>
      <c r="AY50" s="86">
        <f>IFERROR(IF(VLOOKUP(A50,tbMoveset!A2:B112,2,FALSE)="Sever",Backdoors!AY10/100,IF(VLOOKUP(A50,tbMoveset!A2:B112,2,FALSE)="Blunt",Backdoors!AZ10/100,Backdoors!BA10/100)),"")</f>
        <v>0.9</v>
      </c>
      <c r="AZ50" s="49">
        <f>IFERROR(IF(VLOOKUP(tbMoveset!A50,tbMoveset!A2:H112,8,FALSE)="Other",IF(VLOOKUP(tbMoveset!A50,tbMoveset!A2:I112,9,FALSE)="Fire",Backdoors!BB10,IF(VLOOKUP(tbMoveset!A50,tbMoveset!A2:I112,9,FALSE)="Water",Backdoors!BC10,IF(VLOOKUP(tbMoveset!A50,tbMoveset!A2:I112,9,FALSE)="Thunder",Backdoors!BD10,IF(VLOOKUP(tbMoveset!A50,tbMoveset!A2:I112,9,FALSE)="Ice",Backdoors!BE10,IF(VLOOKUP(tbMoveset!A50,tbMoveset!A2:I112,9,FALSE)="Dragon",Backdoors!BF10,Backdoors!BG10)))))/100,Backdoors!BG10/100),"")</f>
        <v>0</v>
      </c>
      <c r="BA50" s="49">
        <f>IFERROR(IF(VLOOKUP(A50,tbMoveset!A2:J112,10,FALSE)=TRUE,IF((Backdoors!AI12+IF(AY50&gt;=0.45,VLOOKUP(Calculator!E23,tbSkills!DH3:DI6,2,FALSE)+IF(AND(Calculator!B8=TRUE,Backdoors!BI10=TRUE),VLOOKUP(Calculator!E23,tbSkills!DH3:DJ6,3,FALSE),0),0))&gt;=0,1+(Backdoors!AL2*(IF((Backdoors!AI12+IF(AY50&gt;=0.45,VLOOKUP(Calculator!E23,tbSkills!DH3:DI6,2,FALSE)+IF(AND(Calculator!B8=TRUE,Backdoors!BI10=TRUE),VLOOKUP(Calculator!E23,tbSkills!DH3:DJ6,3,FALSE),0),0))&gt;=100,100,(Backdoors!AI12+IF(AY50&gt;=0.45,VLOOKUP(Calculator!E23,tbSkills!DH3:DI6,2,FALSE)+IF(AND(Calculator!B8=TRUE,Backdoors!BI10=TRUE),VLOOKUP(Calculator!E23,tbSkills!DH3:DJ6,3,FALSE),0),0)))/100)),(1-(0.25*((-Backdoors!AI12-IF(AY50&gt;=0.45,VLOOKUP(Calculator!E23,tbSkills!DH3:DI6,2,FALSE)+IF(AND(Calculator!B8=TRUE,Backdoors!BI10=TRUE),VLOOKUP(Calculator!E23,tbSkills!DH3:DJ6,3,FALSE),0),0))/100)))),1),"")</f>
        <v>1</v>
      </c>
      <c r="BB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Y50)*BA50)*(VLOOKUP(A50,tbMoveset!A2:C112,3,FALSE)/100)*IF(VLOOKUP(A50,tbMoveset!A2:B112,2,FALSE)="Projectile",Backdoors!N10,Backdoors!N9),0),"")</f>
        <v>6</v>
      </c>
      <c r="BC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Y50&gt;=0.45,VLOOKUP(Calculator!E23,tbSkills!DH3:DI6,2,FALSE)+IF(AND(Calculator!B8=TRUE,Backdoors!BI10=TRUE),VLOOKUP(Calculator!E23,tbSkills!DH3:DJ6,3,FALSE),0),0))&gt;=100,100,(Backdoors!AI12+IF(AY50&gt;=0.45,VLOOKUP(Calculator!E23,tbSkills!DH3:DI6,2,FALSE)+IF(AND(Calculator!B8=TRUE,Backdoors!BI10=TRUE),VLOOKUP(Calculator!E23,tbSkills!DH3:DJ6,3,FALSE),0),0)))/100)),1))*IF(VLOOKUP(A50,tbMoveset!A2:K112,11,FALSE)=TRUE,Backdoors!AC5,1))*AZ50,0),"")</f>
        <v>0</v>
      </c>
      <c r="BD50" s="49">
        <f>VLOOKUP(A50,tbMoveset!A2:G112,7,FALSE)*IFERROR(IF(Backdoors!AI12&gt;=0,1+(IF(Calculator!E40&gt;0,VLOOKUP(Calculator!E40,tbSkills!AI3:AJ5,2,FALSE),Backdoors!AL4)*(IF((Backdoors!AI12+IF(AY50&gt;=0.45,VLOOKUP(Calculator!E23,tbSkills!DH3:DI6,2,FALSE)+IF(AND(Calculator!B8=TRUE,Backdoors!BI10=TRUE),VLOOKUP(Calculator!E23,tbSkills!DH3:DJ6,3,FALSE),0),0))&gt;=100,100,(Backdoors!AI12+IF(AY50&gt;=0.45,VLOOKUP(Calculator!E23,tbSkills!DH3:DI6,2,FALSE)+IF(AND(Calculator!B8=TRUE,Backdoors!BI10=TRUE),VLOOKUP(Calculator!E23,tbSkills!DH3:DJ6,3,FALSE),0),0)))/100)),1),1)</f>
        <v>0.8</v>
      </c>
      <c r="BE50" s="87">
        <f t="shared" si="3"/>
        <v>6</v>
      </c>
      <c r="BF50" s="86" t="str">
        <f>IFERROR(IF(VLOOKUP(A50,tbMoveset!A2:B112,2,FALSE)="Sever",Backdoors!AY11/100,IF(VLOOKUP(A50,tbMoveset!A2:B112,2,FALSE)="Blunt",Backdoors!AZ11/100,Backdoors!BA11/100)),"")</f>
        <v/>
      </c>
      <c r="BG50" s="49">
        <f>IFERROR(IF(VLOOKUP(tbMoveset!A50,tbMoveset!A2:H112,8,FALSE)="Other",IF(VLOOKUP(tbMoveset!A50,tbMoveset!A2:I112,9,FALSE)="Fire",Backdoors!BB11,IF(VLOOKUP(tbMoveset!A50,tbMoveset!A2:I112,9,FALSE)="Water",Backdoors!BC11,IF(VLOOKUP(tbMoveset!A50,tbMoveset!A2:I112,9,FALSE)="Thunder",Backdoors!BD11,IF(VLOOKUP(tbMoveset!A50,tbMoveset!A2:I112,9,FALSE)="Ice",Backdoors!BE11,IF(VLOOKUP(tbMoveset!A50,tbMoveset!A2:I112,9,FALSE)="Dragon",Backdoors!BF11,Backdoors!BG11)))))/100,Backdoors!BG11/100),"")</f>
        <v>0</v>
      </c>
      <c r="BH50" s="49">
        <f>IFERROR(IF(VLOOKUP(A50,tbMoveset!A2:J112,10,FALSE)=TRUE,IF((Backdoors!AI12+IF(BF50&gt;=0.45,VLOOKUP(Calculator!E23,tbSkills!DH3:DI6,2,FALSE)+IF(AND(Calculator!B8=TRUE,Backdoors!BI11=TRUE),VLOOKUP(Calculator!E23,tbSkills!DH3:DJ6,3,FALSE),0),0))&gt;=0,1+(Backdoors!AL2*(IF((Backdoors!AI12+IF(BF50&gt;=0.45,VLOOKUP(Calculator!E23,tbSkills!DH3:DI6,2,FALSE)+IF(AND(Calculator!B8=TRUE,Backdoors!BI11=TRUE),VLOOKUP(Calculator!E23,tbSkills!DH3:DJ6,3,FALSE),0),0))&gt;=100,100,(Backdoors!AI12+IF(BF50&gt;=0.45,VLOOKUP(Calculator!E23,tbSkills!DH3:DI6,2,FALSE)+IF(AND(Calculator!B8=TRUE,Backdoors!BI11=TRUE),VLOOKUP(Calculator!E23,tbSkills!DH3:DJ6,3,FALSE),0),0)))/100)),(1-(0.25*((-Backdoors!AI12-IF(BF50&gt;=0.45,VLOOKUP(Calculator!E23,tbSkills!DH3:DI6,2,FALSE)+IF(AND(Calculator!B8=TRUE,Backdoors!BI11=TRUE),VLOOKUP(Calculator!E23,tbSkills!DH3:DJ6,3,FALSE),0),0))/100)))),1),"")</f>
        <v>1</v>
      </c>
      <c r="BI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F50)*BH50)*(VLOOKUP(A50,tbMoveset!A2:C112,3,FALSE)/100)*IF(VLOOKUP(A50,tbMoveset!A2:B112,2,FALSE)="Projectile",Backdoors!N10,Backdoors!N9),0),"")</f>
        <v/>
      </c>
      <c r="BJ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F50&gt;=0.45,VLOOKUP(Calculator!E23,tbSkills!DH3:DI6,2,FALSE)+IF(AND(Calculator!B8=TRUE,Backdoors!BI11=TRUE),VLOOKUP(Calculator!E23,tbSkills!DH3:DJ6,3,FALSE),0),0))&gt;=100,100,(Backdoors!AI12+IF(BF50&gt;=0.45,VLOOKUP(Calculator!E23,tbSkills!DH3:DI6,2,FALSE)+IF(AND(Calculator!B8=TRUE,Backdoors!BI11=TRUE),VLOOKUP(Calculator!E23,tbSkills!DH3:DJ6,3,FALSE),0),0)))/100)),1))*IF(VLOOKUP(A50,tbMoveset!A2:K112,11,FALSE)=TRUE,Backdoors!AC5,1))*BG50,0),"")</f>
        <v>0</v>
      </c>
      <c r="BK50" s="49">
        <f>VLOOKUP(A50,tbMoveset!A2:G112,7,FALSE)*IFERROR(IF(Backdoors!AI12&gt;=0,1+(IF(Calculator!E40&gt;0,VLOOKUP(Calculator!E40,tbSkills!AI3:AJ5,2,FALSE),Backdoors!AL4)*(IF((Backdoors!AI12+IF(BF50&gt;=0.45,VLOOKUP(Calculator!E23,tbSkills!DH3:DI6,2,FALSE)+IF(AND(Calculator!B8=TRUE,Backdoors!BI11=TRUE),VLOOKUP(Calculator!E23,tbSkills!DH3:DJ6,3,FALSE),0),0))&gt;=100,100,(Backdoors!AI12+IF(BF50&gt;=0.45,VLOOKUP(Calculator!E23,tbSkills!DH3:DI6,2,FALSE)+IF(AND(Calculator!B8=TRUE,Backdoors!BI11=TRUE),VLOOKUP(Calculator!E23,tbSkills!DH3:DJ6,3,FALSE),0),0)))/100)),1),1)</f>
        <v>0.8</v>
      </c>
      <c r="BL50" s="87">
        <f t="shared" si="4"/>
        <v>0</v>
      </c>
      <c r="BM50" s="86" t="str">
        <f>IFERROR(IF(VLOOKUP(A50,tbMoveset!A2:B112,2,FALSE)="Sever",Backdoors!AY12/100,IF(VLOOKUP(A50,tbMoveset!A2:B112,2,FALSE)="Blunt",Backdoors!AZ12/100,Backdoors!BA12/100)),"")</f>
        <v/>
      </c>
      <c r="BN50" s="49">
        <f>IFERROR(IF(VLOOKUP(tbMoveset!A50,tbMoveset!A2:H112,8,FALSE)="Other",IF(VLOOKUP(tbMoveset!A50,tbMoveset!A2:I112,9,FALSE)="Fire",Backdoors!BB12,IF(VLOOKUP(tbMoveset!A50,tbMoveset!A2:I112,9,FALSE)="Water",Backdoors!BC12,IF(VLOOKUP(tbMoveset!A50,tbMoveset!A2:I112,9,FALSE)="Thunder",Backdoors!BD12,IF(VLOOKUP(tbMoveset!A50,tbMoveset!A2:I112,9,FALSE)="Ice",Backdoors!BE12,IF(VLOOKUP(tbMoveset!A50,tbMoveset!A2:I112,9,FALSE)="Dragon",Backdoors!BF12,Backdoors!BG12)))))/100,Backdoors!BG12/100),"")</f>
        <v>0</v>
      </c>
      <c r="BO50" s="49">
        <f>IFERROR(IF(VLOOKUP(A50,tbMoveset!A2:J112,10,FALSE)=TRUE,IF((Backdoors!AI12+IF(BM50&gt;=0.45,VLOOKUP(Calculator!E23,tbSkills!DH3:DI6,2,FALSE)+IF(AND(Calculator!B8=TRUE,Backdoors!BI12=TRUE),VLOOKUP(Calculator!E23,tbSkills!DH3:DJ6,3,FALSE),0),0))&gt;=0,1+(Backdoors!AL2*(IF((Backdoors!AI12+IF(BM50&gt;=0.45,VLOOKUP(Calculator!E23,tbSkills!DH3:DI6,2,FALSE)+IF(AND(Calculator!B8=TRUE,Backdoors!BI12=TRUE),VLOOKUP(Calculator!E23,tbSkills!DH3:DJ6,3,FALSE),0),0))&gt;=100,100,(Backdoors!AI12+IF(BM50&gt;=0.45,VLOOKUP(Calculator!E23,tbSkills!DH3:DI6,2,FALSE)+IF(AND(Calculator!B8=TRUE,Backdoors!BI12=TRUE),VLOOKUP(Calculator!E23,tbSkills!DH3:DJ6,3,FALSE),0),0)))/100)),(1-(0.25*((-Backdoors!AI12-IF(BM50&gt;=0.45,VLOOKUP(Calculator!E23,tbSkills!DH3:DI6,2,FALSE)+IF(AND(Calculator!B8=TRUE,Backdoors!BI12=TRUE),VLOOKUP(Calculator!E23,tbSkills!DH3:DJ6,3,FALSE),0),0))/100)))),1),"")</f>
        <v>1</v>
      </c>
      <c r="BP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M50)*BO50)*(VLOOKUP(A50,tbMoveset!A2:C112,3,FALSE)/100)*IF(VLOOKUP(A50,tbMoveset!A2:B112,2,FALSE)="Projectile",Backdoors!N10,Backdoors!N9),0),"")</f>
        <v/>
      </c>
      <c r="BQ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M50&gt;=0.45,VLOOKUP(Calculator!E23,tbSkills!DH3:DI6,2,FALSE)+IF(AND(Calculator!B8=TRUE,Backdoors!BI12=TRUE),VLOOKUP(Calculator!E23,tbSkills!DH3:DJ6,3,FALSE),0),0))&gt;=100,100,(Backdoors!AI12+IF(BM50&gt;=0.45,VLOOKUP(Calculator!E23,tbSkills!DH3:DI6,2,FALSE)+IF(AND(Calculator!B8=TRUE,Backdoors!BI12=TRUE),VLOOKUP(Calculator!E23,tbSkills!DH3:DJ6,3,FALSE),0),0)))/100)),1))*IF(VLOOKUP(A50,tbMoveset!A2:K112,11,FALSE)=TRUE,Backdoors!AC5,1))*BN50,0),"")</f>
        <v>0</v>
      </c>
      <c r="BR50" s="49">
        <f>VLOOKUP(A50,tbMoveset!A2:G112,7,FALSE)*IFERROR(IF(Backdoors!AI12&gt;=0,1+(IF(Calculator!E40&gt;0,VLOOKUP(Calculator!E40,tbSkills!AI3:AJ5,2,FALSE),Backdoors!AL4)*(IF((Backdoors!AI12+IF(BM50&gt;=0.45,VLOOKUP(Calculator!E23,tbSkills!DH3:DI6,2,FALSE)+IF(AND(Calculator!B8=TRUE,Backdoors!BI12=TRUE),VLOOKUP(Calculator!E23,tbSkills!DH3:DJ6,3,FALSE),0),0))&gt;=100,100,(Backdoors!AI12+IF(BM50&gt;=0.45,VLOOKUP(Calculator!E23,tbSkills!DH3:DI6,2,FALSE)+IF(AND(Calculator!B8=TRUE,Backdoors!BI12=TRUE),VLOOKUP(Calculator!E23,tbSkills!DH3:DJ6,3,FALSE),0),0)))/100)),1),1)</f>
        <v>0.8</v>
      </c>
      <c r="BS50" s="87">
        <f t="shared" si="39"/>
        <v>0</v>
      </c>
      <c r="BT50" s="86" t="str">
        <f>IFERROR(IF(VLOOKUP(A50,tbMoveset!A2:B112,2,FALSE)="Sever",Backdoors!AY13/100,IF(VLOOKUP(A50,tbMoveset!A2:B112,2,FALSE)="Blunt",Backdoors!AZ13/100,Backdoors!BA13/100)),"")</f>
        <v/>
      </c>
      <c r="BU50" s="49">
        <f>IFERROR(IF(VLOOKUP(tbMoveset!A50,tbMoveset!A2:H112,8,FALSE)="Other",IF(VLOOKUP(tbMoveset!A50,tbMoveset!A2:I112,9,FALSE)="Fire",Backdoors!BB13,IF(VLOOKUP(tbMoveset!A50,tbMoveset!A2:I112,9,FALSE)="Water",Backdoors!BC13,IF(VLOOKUP(tbMoveset!A50,tbMoveset!A2:I112,9,FALSE)="Thunder",Backdoors!BD13,IF(VLOOKUP(tbMoveset!A50,tbMoveset!A2:I112,9,FALSE)="Ice",Backdoors!BE13,IF(VLOOKUP(tbMoveset!A50,tbMoveset!A2:I112,9,FALSE)="Dragon",Backdoors!BF13,Backdoors!BG13)))))/100,Backdoors!BG13/100),"")</f>
        <v>0</v>
      </c>
      <c r="BV50" s="49">
        <f>IFERROR(IF(VLOOKUP(A50,tbMoveset!A2:J112,10,FALSE)=TRUE,IF((Backdoors!AI12+IF(BT50&gt;=0.45,VLOOKUP(Calculator!E23,tbSkills!DH3:DI6,2,FALSE)+IF(AND(Calculator!B8=TRUE,Backdoors!BI13=TRUE),VLOOKUP(Calculator!E23,tbSkills!DH3:DJ6,3,FALSE),0),0))&gt;=0,1+(Backdoors!AL2*(IF((Backdoors!AI12+IF(BT50&gt;=0.45,VLOOKUP(Calculator!E23,tbSkills!DH3:DI6,2,FALSE)+IF(AND(Calculator!B8=TRUE,Backdoors!BI13=TRUE),VLOOKUP(Calculator!E23,tbSkills!DH3:DJ6,3,FALSE),0),0))&gt;=100,100,(Backdoors!AI12+IF(BT50&gt;=0.45,VLOOKUP(Calculator!E23,tbSkills!DH3:DI6,2,FALSE)+IF(AND(Calculator!B8=TRUE,Backdoors!BI13=TRUE),VLOOKUP(Calculator!E23,tbSkills!DH3:DJ6,3,FALSE),0),0)))/100)),(1-(0.25*((-Backdoors!AI12-IF(BT50&gt;=0.45,VLOOKUP(Calculator!E23,tbSkills!DH3:DI6,2,FALSE)+IF(AND(Calculator!B8=TRUE,Backdoors!BI13=TRUE),VLOOKUP(Calculator!E23,tbSkills!DH3:DJ6,3,FALSE),0),0))/100)))),1),"")</f>
        <v>1</v>
      </c>
      <c r="BW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T50)*BV50)*(VLOOKUP(A50,tbMoveset!A2:C112,3,FALSE)/100)*IF(VLOOKUP(A50,tbMoveset!A2:B112,2,FALSE)="Projectile",Backdoors!N10,Backdoors!N9),0),"")</f>
        <v/>
      </c>
      <c r="BX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T50&gt;=0.45,VLOOKUP(Calculator!E23,tbSkills!DH3:DI6,2,FALSE)+IF(AND(Calculator!B8=TRUE,Backdoors!BI13=TRUE),VLOOKUP(Calculator!E23,tbSkills!DH3:DJ6,3,FALSE),0),0))&gt;=100,100,(Backdoors!AI12+IF(BT50&gt;=0.45,VLOOKUP(Calculator!E23,tbSkills!DH3:DI6,2,FALSE)+IF(AND(Calculator!B8=TRUE,Backdoors!BI13=TRUE),VLOOKUP(Calculator!E23,tbSkills!DH3:DJ6,3,FALSE),0),0)))/100)),1))*IF(VLOOKUP(A50,tbMoveset!A2:K112,11,FALSE)=TRUE,Backdoors!AC5,1))*BU50,0),"")</f>
        <v>0</v>
      </c>
      <c r="BY50" s="49">
        <f>VLOOKUP(A50,tbMoveset!A2:G112,7,FALSE)*IFERROR(IF(Backdoors!AI12&gt;=0,1+(IF(Calculator!E40&gt;0,VLOOKUP(Calculator!E40,tbSkills!AI3:AJ5,2,FALSE),Backdoors!AL4)*(IF((Backdoors!AI12+IF(BT50&gt;=0.45,VLOOKUP(Calculator!E23,tbSkills!DH3:DI6,2,FALSE)+IF(AND(Calculator!B8=TRUE,Backdoors!BI13=TRUE),VLOOKUP(Calculator!E23,tbSkills!DH3:DJ6,3,FALSE),0),0))&gt;=100,100,(Backdoors!AI12+IF(BT50&gt;=0.45,VLOOKUP(Calculator!E23,tbSkills!DH3:DI6,2,FALSE)+IF(AND(Calculator!B8=TRUE,Backdoors!BI13=TRUE),VLOOKUP(Calculator!E23,tbSkills!DH3:DJ6,3,FALSE),0),0)))/100)),1),1)</f>
        <v>0.8</v>
      </c>
      <c r="BZ50" s="87">
        <f t="shared" si="5"/>
        <v>0</v>
      </c>
      <c r="CA50" s="86" t="str">
        <f>IFERROR(IF(VLOOKUP(A50,tbMoveset!A2:B112,2,FALSE)="Sever",Backdoors!AY14/100,IF(VLOOKUP(A50,tbMoveset!A2:B112,2,FALSE)="Blunt",Backdoors!AZ14/100,Backdoors!BA14/100)),"")</f>
        <v/>
      </c>
      <c r="CB50" s="49">
        <f>IFERROR(IF(VLOOKUP(tbMoveset!A50,tbMoveset!A2:H112,8,FALSE)="Other",IF(VLOOKUP(tbMoveset!A50,tbMoveset!A2:I112,9,FALSE)="Fire",Backdoors!BB14,IF(VLOOKUP(tbMoveset!A50,tbMoveset!A2:I112,9,FALSE)="Water",Backdoors!BC14,IF(VLOOKUP(tbMoveset!A50,tbMoveset!A2:I112,9,FALSE)="Thunder",Backdoors!BD14,IF(VLOOKUP(tbMoveset!A50,tbMoveset!A2:I112,9,FALSE)="Ice",Backdoors!BE14,IF(VLOOKUP(tbMoveset!A50,tbMoveset!A2:I112,9,FALSE)="Dragon",Backdoors!BF14,Backdoors!BG14)))))/100,Backdoors!BG14/100),"")</f>
        <v>0</v>
      </c>
      <c r="CC50" s="49">
        <f>IFERROR(IF(VLOOKUP(A50,tbMoveset!A2:J112,10,FALSE)=TRUE,IF((Backdoors!AI12+IF(CA50&gt;=0.45,VLOOKUP(Calculator!E23,tbSkills!DH3:DI6,2,FALSE)+IF(AND(Calculator!B8=TRUE,Backdoors!BI14=TRUE),VLOOKUP(Calculator!E23,tbSkills!DH3:DJ6,3,FALSE),0),0))&gt;=0,1+(Backdoors!AL2*(IF((Backdoors!AI12+IF(CA50&gt;=0.45,VLOOKUP(Calculator!E23,tbSkills!DH3:DI6,2,FALSE)+IF(AND(Calculator!B8=TRUE,Backdoors!BI14=TRUE),VLOOKUP(Calculator!E23,tbSkills!DH3:DJ6,3,FALSE),0),0))&gt;=100,100,(Backdoors!AI12+IF(CA50&gt;=0.45,VLOOKUP(Calculator!E23,tbSkills!DH3:DI6,2,FALSE)+IF(AND(Calculator!B8=TRUE,Backdoors!BI14=TRUE),VLOOKUP(Calculator!E23,tbSkills!DH3:DJ6,3,FALSE),0),0)))/100)),(1-(0.25*((-Backdoors!AI12-IF(CA50&gt;=0.45,VLOOKUP(Calculator!E23,tbSkills!DH3:DI6,2,FALSE)+IF(AND(Calculator!B8=TRUE,Backdoors!BI14=TRUE),VLOOKUP(Calculator!E23,tbSkills!DH3:DJ6,3,FALSE),0),0))/100)))),1),"")</f>
        <v>1</v>
      </c>
      <c r="CD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A50)*CC50)*(VLOOKUP(A50,tbMoveset!A2:C112,3,FALSE)/100)*IF(VLOOKUP(A50,tbMoveset!A2:B112,2,FALSE)="Projectile",Backdoors!N10,Backdoors!N9),0),"")</f>
        <v/>
      </c>
      <c r="CE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A50&gt;=0.45,VLOOKUP(Calculator!E23,tbSkills!DH3:DI6,2,FALSE)+IF(AND(Calculator!B8=TRUE,Backdoors!BI14=TRUE),VLOOKUP(Calculator!E23,tbSkills!DH3:DJ6,3,FALSE),0),0))&gt;=100,100,(Backdoors!AI12+IF(CA50&gt;=0.45,VLOOKUP(Calculator!E23,tbSkills!DH3:DI6,2,FALSE)+IF(AND(Calculator!B8=TRUE,Backdoors!BI14=TRUE),VLOOKUP(Calculator!E23,tbSkills!DH3:DJ6,3,FALSE),0),0)))/100)),1))*IF(VLOOKUP(A50,tbMoveset!A2:K112,11,FALSE)=TRUE,Backdoors!AC5,1))*CB50,0),"")</f>
        <v>0</v>
      </c>
      <c r="CF50" s="49">
        <f>VLOOKUP(A50,tbMoveset!A2:G112,7,FALSE)*IFERROR(IF(Backdoors!AI12&gt;=0,1+(IF(Calculator!E40&gt;0,VLOOKUP(Calculator!E40,tbSkills!AI3:AJ5,2,FALSE),Backdoors!AL4)*(IF((Backdoors!AI12+IF(CA50&gt;=0.45,VLOOKUP(Calculator!E23,tbSkills!DH3:DI6,2,FALSE)+IF(AND(Calculator!B8=TRUE,Backdoors!BI14=TRUE),VLOOKUP(Calculator!E23,tbSkills!DH3:DJ6,3,FALSE),0),0))&gt;=100,100,(Backdoors!AI12+IF(CA50&gt;=0.45,VLOOKUP(Calculator!E23,tbSkills!DH3:DI6,2,FALSE)+IF(AND(Calculator!B8=TRUE,Backdoors!BI14=TRUE),VLOOKUP(Calculator!E23,tbSkills!DH3:DJ6,3,FALSE),0),0)))/100)),1),1)</f>
        <v>0.8</v>
      </c>
      <c r="CG50" s="87">
        <f t="shared" si="6"/>
        <v>0</v>
      </c>
      <c r="CH50" s="86" t="str">
        <f>IFERROR(IF(VLOOKUP(A50,tbMoveset!A2:B112,2,FALSE)="Sever",Backdoors!AY15/100,IF(VLOOKUP(A50,tbMoveset!A2:B112,2,FALSE)="Blunt",Backdoors!AZ15/100,Backdoors!BA15/100)),"")</f>
        <v/>
      </c>
      <c r="CI50" s="49">
        <f>IFERROR(IF(VLOOKUP(tbMoveset!A50,tbMoveset!A2:H112,8,FALSE)="Other",IF(VLOOKUP(tbMoveset!A50,tbMoveset!A2:I112,9,FALSE)="Fire",Backdoors!BB15,IF(VLOOKUP(tbMoveset!A50,tbMoveset!A2:I112,9,FALSE)="Water",Backdoors!BC15,IF(VLOOKUP(tbMoveset!A50,tbMoveset!A2:I112,9,FALSE)="Thunder",Backdoors!BD15,IF(VLOOKUP(tbMoveset!A50,tbMoveset!A2:I112,9,FALSE)="Ice",Backdoors!BE15,IF(VLOOKUP(tbMoveset!A50,tbMoveset!A2:I112,9,FALSE)="Dragon",Backdoors!BF15,Backdoors!BG15)))))/100,Backdoors!BG15/100),"")</f>
        <v>0</v>
      </c>
      <c r="CJ50" s="49">
        <f>IFERROR(IF(VLOOKUP(A50,tbMoveset!A2:J112,10,FALSE)=TRUE,IF((Backdoors!AI12+IF(CH50&gt;=0.45,VLOOKUP(Calculator!E23,tbSkills!DH3:DI6,2,FALSE)+IF(AND(Calculator!B8=TRUE,Backdoors!BI15=TRUE),VLOOKUP(Calculator!E23,tbSkills!DH3:DJ6,3,FALSE),0),0))&gt;=0,1+(Backdoors!AL2*(IF((Backdoors!AI12+IF(CH50&gt;=0.45,VLOOKUP(Calculator!E23,tbSkills!DH3:DI6,2,FALSE)+IF(AND(Calculator!B8=TRUE,Backdoors!BI15=TRUE),VLOOKUP(Calculator!E23,tbSkills!DH3:DJ6,3,FALSE),0),0))&gt;=100,100,(Backdoors!AI12+IF(CH50&gt;=0.45,VLOOKUP(Calculator!E23,tbSkills!DH3:DI6,2,FALSE)+IF(AND(Calculator!B8=TRUE,Backdoors!BI15=TRUE),VLOOKUP(Calculator!E23,tbSkills!DH3:DJ6,3,FALSE),0),0)))/100)),(1-(0.25*((-Backdoors!AI12-IF(CH50&gt;=0.45,VLOOKUP(Calculator!E23,tbSkills!DH3:DI6,2,FALSE)+IF(AND(Calculator!B8=TRUE,Backdoors!BI15=TRUE),VLOOKUP(Calculator!E23,tbSkills!DH3:DJ6,3,FALSE),0),0))/100)))),1),"")</f>
        <v>1</v>
      </c>
      <c r="CK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H50)*CJ50)*(VLOOKUP(A50,tbMoveset!A2:C112,3,FALSE)/100)*IF(VLOOKUP(A50,tbMoveset!A2:B112,2,FALSE)="Projectile",Backdoors!N10,Backdoors!N9),0),"")</f>
        <v/>
      </c>
      <c r="CL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H50&gt;=0.45,VLOOKUP(Calculator!E23,tbSkills!DH3:DI6,2,FALSE)+IF(AND(Calculator!B8=TRUE,Backdoors!BI15=TRUE),VLOOKUP(Calculator!E23,tbSkills!DH3:DJ6,3,FALSE),0),0))&gt;=100,100,(Backdoors!AI12+IF(CH50&gt;=0.45,VLOOKUP(Calculator!E23,tbSkills!DH3:DI6,2,FALSE)+IF(AND(Calculator!B8=TRUE,Backdoors!BI15=TRUE),VLOOKUP(Calculator!E23,tbSkills!DH3:DJ6,3,FALSE),0),0)))/100)),1))*IF(VLOOKUP(A50,tbMoveset!A2:K112,11,FALSE)=TRUE,Backdoors!AC5,1))*CI50,0),"")</f>
        <v>0</v>
      </c>
      <c r="CM50" s="49">
        <f>VLOOKUP(A50,tbMoveset!A2:G112,7,FALSE)*IFERROR(IF(Backdoors!AI12&gt;=0,1+(IF(Calculator!E40&gt;0,VLOOKUP(Calculator!E40,tbSkills!AI3:AJ5,2,FALSE),Backdoors!AL4)*(IF((Backdoors!AI12+IF(CH50&gt;=0.45,VLOOKUP(Calculator!E23,tbSkills!DH3:DI6,2,FALSE)+IF(AND(Calculator!B8=TRUE,Backdoors!BI15=TRUE),VLOOKUP(Calculator!E23,tbSkills!DH3:DJ6,3,FALSE),0),0))&gt;=100,100,(Backdoors!AI12+IF(CH50&gt;=0.45,VLOOKUP(Calculator!E23,tbSkills!DH3:DI6,2,FALSE)+IF(AND(Calculator!B8=TRUE,Backdoors!BI15=TRUE),VLOOKUP(Calculator!E23,tbSkills!DH3:DJ6,3,FALSE),0),0)))/100)),1),1)</f>
        <v>0.8</v>
      </c>
      <c r="CN50" s="87">
        <f t="shared" si="7"/>
        <v>0</v>
      </c>
      <c r="CO50" s="86" t="str">
        <f>IFERROR(IF(VLOOKUP(A50,tbMoveset!A2:B112,2,FALSE)="Sever",Backdoors!AY16/100,IF(VLOOKUP(A50,tbMoveset!A2:B112,2,FALSE)="Blunt",Backdoors!AZ16/100,Backdoors!BA16/100)),"")</f>
        <v/>
      </c>
      <c r="CP50" s="49">
        <f>IFERROR(IF(VLOOKUP(tbMoveset!A50,tbMoveset!A2:H112,8,FALSE)="Other",IF(VLOOKUP(tbMoveset!A50,tbMoveset!A2:I112,9,FALSE)="Fire",Backdoors!BB16,IF(VLOOKUP(tbMoveset!A50,tbMoveset!A2:I112,9,FALSE)="Water",Backdoors!BC16,IF(VLOOKUP(tbMoveset!A50,tbMoveset!A2:I112,9,FALSE)="Thunder",Backdoors!BD16,IF(VLOOKUP(tbMoveset!A50,tbMoveset!A2:I112,9,FALSE)="Ice",Backdoors!BE16,IF(VLOOKUP(tbMoveset!A50,tbMoveset!A2:I112,9,FALSE)="Dragon",Backdoors!BF16,Backdoors!BG16)))))/100,Backdoors!BG16/100),"")</f>
        <v>0</v>
      </c>
      <c r="CQ50" s="49">
        <f>IFERROR(IF(VLOOKUP(A50,tbMoveset!A2:J112,10,FALSE)=TRUE,IF((Backdoors!AI12+IF(CO50&gt;=0.45,VLOOKUP(Calculator!E23,tbSkills!DH3:DI6,2,FALSE)+IF(AND(Calculator!B8=TRUE,Backdoors!BI16=TRUE),VLOOKUP(Calculator!E23,tbSkills!DH3:DJ6,3,FALSE),0),0))&gt;=0,1+(Backdoors!AL2*(IF((Backdoors!AI12+IF(CO50&gt;=0.45,VLOOKUP(Calculator!E23,tbSkills!DH3:DI6,2,FALSE)+IF(AND(Calculator!B8=TRUE,Backdoors!BI16=TRUE),VLOOKUP(Calculator!E23,tbSkills!DH3:DJ6,3,FALSE),0),0))&gt;=100,100,(Backdoors!AI12+IF(CO50&gt;=0.45,VLOOKUP(Calculator!E23,tbSkills!DH3:DI6,2,FALSE)+IF(AND(Calculator!B8=TRUE,Backdoors!BI16=TRUE),VLOOKUP(Calculator!E23,tbSkills!DH3:DJ6,3,FALSE),0),0)))/100)),(1-(0.25*((-Backdoors!AI12-IF(CO50&gt;=0.45,VLOOKUP(Calculator!E23,tbSkills!DH3:DI6,2,FALSE)+IF(AND(Calculator!B8=TRUE,Backdoors!BI16=TRUE),VLOOKUP(Calculator!E23,tbSkills!DH3:DJ6,3,FALSE),0),0))/100)))),1),"")</f>
        <v>1</v>
      </c>
      <c r="CR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O50)*CQ50)*(VLOOKUP(A50,tbMoveset!A2:C112,3,FALSE)/100)*IF(VLOOKUP(A50,tbMoveset!A2:B112,2,FALSE)="Projectile",Backdoors!N10,Backdoors!N9),0),"")</f>
        <v/>
      </c>
      <c r="CS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O50&gt;=0.45,VLOOKUP(Calculator!E23,tbSkills!DH3:DI6,2,FALSE)+IF(AND(Calculator!B8=TRUE,Backdoors!BI16=TRUE),VLOOKUP(Calculator!E23,tbSkills!DH3:DJ6,3,FALSE),0),0))&gt;=100,100,(Backdoors!AI12+IF(CO50&gt;=0.45,VLOOKUP(Calculator!E23,tbSkills!DH3:DI6,2,FALSE)+IF(AND(Calculator!B8=TRUE,Backdoors!BI16=TRUE),VLOOKUP(Calculator!E23,tbSkills!DH3:DJ6,3,FALSE),0),0)))/100)),1))*IF(VLOOKUP(A50,tbMoveset!A2:K112,11,FALSE)=TRUE,Backdoors!AC5,1))*CP50,0),"")</f>
        <v>0</v>
      </c>
      <c r="CT50" s="49">
        <f>VLOOKUP(A50,tbMoveset!A2:G112,7,FALSE)*IFERROR(IF(Backdoors!AI12&gt;=0,1+(IF(Calculator!E40&gt;0,VLOOKUP(Calculator!E40,tbSkills!AI3:AJ5,2,FALSE),Backdoors!AL4)*(IF((Backdoors!AI12+IF(CO50&gt;=0.45,VLOOKUP(Calculator!E23,tbSkills!DH3:DI6,2,FALSE)+IF(AND(Calculator!B8=TRUE,Backdoors!BI16=TRUE),VLOOKUP(Calculator!E23,tbSkills!DH3:DJ6,3,FALSE),0),0))&gt;=100,100,(Backdoors!AI12+IF(CO50&gt;=0.45,VLOOKUP(Calculator!E23,tbSkills!DH3:DI6,2,FALSE)+IF(AND(Calculator!B8=TRUE,Backdoors!BI16=TRUE),VLOOKUP(Calculator!E23,tbSkills!DH3:DJ6,3,FALSE),0),0)))/100)),1),1)</f>
        <v>0.8</v>
      </c>
      <c r="CU50" s="87">
        <f t="shared" si="40"/>
        <v>0</v>
      </c>
      <c r="CV50" s="86" t="str">
        <f>IFERROR(IF(VLOOKUP(A50,tbMoveset!A2:B112,2,FALSE)="Sever",Backdoors!AY17/100,IF(VLOOKUP(A50,tbMoveset!A2:B112,2,FALSE)="Blunt",Backdoors!AZ17/100,Backdoors!BA17/100)),"")</f>
        <v/>
      </c>
      <c r="CW50" s="49">
        <f>IFERROR(IF(VLOOKUP(tbMoveset!A50,tbMoveset!A2:H112,8,FALSE)="Other",IF(VLOOKUP(tbMoveset!A50,tbMoveset!A2:I112,9,FALSE)="Fire",Backdoors!BB17,IF(VLOOKUP(tbMoveset!A50,tbMoveset!A2:I112,9,FALSE)="Water",Backdoors!BC17,IF(VLOOKUP(tbMoveset!A50,tbMoveset!A2:I112,9,FALSE)="Thunder",Backdoors!BD17,IF(VLOOKUP(tbMoveset!A50,tbMoveset!A2:I112,9,FALSE)="Ice",Backdoors!BE17,IF(VLOOKUP(tbMoveset!A50,tbMoveset!A2:I112,9,FALSE)="Dragon",Backdoors!BF17,Backdoors!BG17)))))/100,Backdoors!BG17/100),"")</f>
        <v>0</v>
      </c>
      <c r="CX50" s="49">
        <f>IFERROR(IF(VLOOKUP(A50,tbMoveset!A2:J112,10,FALSE)=TRUE,IF((Backdoors!AI12+IF(CV50&gt;=0.45,VLOOKUP(Calculator!E23,tbSkills!DH3:DI6,2,FALSE)+IF(AND(Calculator!B8=TRUE,Backdoors!BI17=TRUE),VLOOKUP(Calculator!E23,tbSkills!DH3:DJ6,3,FALSE),0),0))&gt;=0,1+(Backdoors!AL2*(IF((Backdoors!AI12+IF(CV50&gt;=0.45,VLOOKUP(Calculator!E23,tbSkills!DH3:DI6,2,FALSE)+IF(AND(Calculator!B8=TRUE,Backdoors!BI17=TRUE),VLOOKUP(Calculator!E23,tbSkills!DH3:DJ6,3,FALSE),0),0))&gt;=100,100,(Backdoors!AI12+IF(CV50&gt;=0.45,VLOOKUP(Calculator!E23,tbSkills!DH3:DI6,2,FALSE)+IF(AND(Calculator!B8=TRUE,Backdoors!BI17=TRUE),VLOOKUP(Calculator!E23,tbSkills!DH3:DJ6,3,FALSE),0),0)))/100)),(1-(0.25*((-Backdoors!AI12-IF(CV50&gt;=0.45,VLOOKUP(Calculator!E23,tbSkills!DH3:DI6,2,FALSE)+IF(AND(Calculator!B8=TRUE,Backdoors!BI17=TRUE),VLOOKUP(Calculator!E23,tbSkills!DH3:DJ6,3,FALSE),0),0))/100)))),1),"")</f>
        <v>1</v>
      </c>
      <c r="CY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V50)*CX50)*(VLOOKUP(A50,tbMoveset!A2:C112,3,FALSE)/100)*IF(VLOOKUP(A50,tbMoveset!A2:B112,2,FALSE)="Projectile",Backdoors!N10,Backdoors!N9),0),"")</f>
        <v/>
      </c>
      <c r="CZ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V50&gt;=0.45,VLOOKUP(Calculator!E23,tbSkills!DH3:DI6,2,FALSE)+IF(AND(Calculator!B8=TRUE,Backdoors!BI17=TRUE),VLOOKUP(Calculator!E23,tbSkills!DH3:DJ6,3,FALSE),0),0))&gt;=100,100,(Backdoors!AI12+IF(CV50&gt;=0.45,VLOOKUP(Calculator!E23,tbSkills!DH3:DI6,2,FALSE)+IF(AND(Calculator!B8=TRUE,Backdoors!BI17=TRUE),VLOOKUP(Calculator!E23,tbSkills!DH3:DJ6,3,FALSE),0),0)))/100)),1))*IF(VLOOKUP(A50,tbMoveset!A2:K112,11,FALSE)=TRUE,Backdoors!AC5,1))*CW50,0),"")</f>
        <v>0</v>
      </c>
      <c r="DA50" s="49">
        <f>VLOOKUP(A50,tbMoveset!A2:G112,7,FALSE)*IFERROR(IF(Backdoors!AI12&gt;=0,1+(IF(Calculator!E40&gt;0,VLOOKUP(Calculator!E40,tbSkills!AI3:AJ5,2,FALSE),Backdoors!AL4)*(IF((Backdoors!AI12+IF(CV50&gt;=0.45,VLOOKUP(Calculator!E23,tbSkills!DH3:DI6,2,FALSE)+IF(AND(Calculator!B8=TRUE,Backdoors!BI17=TRUE),VLOOKUP(Calculator!E23,tbSkills!DH3:DJ6,3,FALSE),0),0))&gt;=100,100,(Backdoors!AI12+IF(CV50&gt;=0.45,VLOOKUP(Calculator!E23,tbSkills!DH3:DI6,2,FALSE)+IF(AND(Calculator!B8=TRUE,Backdoors!BI17=TRUE),VLOOKUP(Calculator!E23,tbSkills!DH3:DJ6,3,FALSE),0),0)))/100)),1),1)</f>
        <v>0.8</v>
      </c>
      <c r="DB50" s="87">
        <f t="shared" si="8"/>
        <v>0</v>
      </c>
      <c r="DC50" s="86" t="str">
        <f>IFERROR(IF(VLOOKUP(A50,tbMoveset!A2:B112,2,FALSE)="Sever",Backdoors!AY18/100,IF(VLOOKUP(A50,tbMoveset!A2:B112,2,FALSE)="Blunt",Backdoors!AZ18/100,Backdoors!BA18/100)),"")</f>
        <v/>
      </c>
      <c r="DD50" s="49">
        <f>IFERROR(IF(VLOOKUP(tbMoveset!A50,tbMoveset!A2:H112,8,FALSE)="Other",IF(VLOOKUP(tbMoveset!A50,tbMoveset!A2:I112,9,FALSE)="Fire",Backdoors!BB18,IF(VLOOKUP(tbMoveset!A50,tbMoveset!A2:I112,9,FALSE)="Water",Backdoors!BC18,IF(VLOOKUP(tbMoveset!A50,tbMoveset!A2:I112,9,FALSE)="Thunder",Backdoors!BD18,IF(VLOOKUP(tbMoveset!A50,tbMoveset!A2:I112,9,FALSE)="Ice",Backdoors!BE18,IF(VLOOKUP(tbMoveset!A50,tbMoveset!A2:I112,9,FALSE)="Dragon",Backdoors!BF18,Backdoors!BG18)))))/100,Backdoors!BG18/100),"")</f>
        <v>0</v>
      </c>
      <c r="DE50" s="49">
        <f>IFERROR(IF(VLOOKUP(A50,tbMoveset!A2:J112,10,FALSE)=TRUE,IF((Backdoors!AI12+IF(DC50&gt;=0.45,VLOOKUP(Calculator!E23,tbSkills!DH3:DI6,2,FALSE)+IF(AND(Calculator!B8=TRUE,Backdoors!BI18=TRUE),VLOOKUP(Calculator!E23,tbSkills!DH3:DJ6,3,FALSE),0),0))&gt;=0,1+(Backdoors!AL2*(IF((Backdoors!AI12+IF(DC50&gt;=0.45,VLOOKUP(Calculator!E23,tbSkills!DH3:DI6,2,FALSE)+IF(AND(Calculator!B8=TRUE,Backdoors!BI18=TRUE),VLOOKUP(Calculator!E23,tbSkills!DH3:DJ6,3,FALSE),0),0))&gt;=100,100,(Backdoors!AI12+IF(DC50&gt;=0.45,VLOOKUP(Calculator!E23,tbSkills!DH3:DI6,2,FALSE)+IF(AND(Calculator!B8=TRUE,Backdoors!BI18=TRUE),VLOOKUP(Calculator!E23,tbSkills!DH3:DJ6,3,FALSE),0),0)))/100)),(1-(0.25*((-Backdoors!AI12-IF(DC50&gt;=0.45,VLOOKUP(Calculator!E23,tbSkills!DH3:DI6,2,FALSE)+IF(AND(Calculator!B8=TRUE,Backdoors!BI18=TRUE),VLOOKUP(Calculator!E23,tbSkills!DH3:DJ6,3,FALSE),0),0))/100)))),1),"")</f>
        <v>1</v>
      </c>
      <c r="DF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C50)*DE50)*(VLOOKUP(A50,tbMoveset!A2:C112,3,FALSE)/100)*IF(VLOOKUP(A50,tbMoveset!A2:B112,2,FALSE)="Projectile",Backdoors!N10,Backdoors!N9),0),"")</f>
        <v/>
      </c>
      <c r="DG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C50&gt;=0.45,VLOOKUP(Calculator!E23,tbSkills!DH3:DI6,2,FALSE)+IF(AND(Calculator!B8=TRUE,Backdoors!BI18=TRUE),VLOOKUP(Calculator!E23,tbSkills!DH3:DJ6,3,FALSE),0),0))&gt;=100,100,(Backdoors!AI12+IF(DC50&gt;=0.45,VLOOKUP(Calculator!E23,tbSkills!DH3:DI6,2,FALSE)+IF(AND(Calculator!B8=TRUE,Backdoors!BI18=TRUE),VLOOKUP(Calculator!E23,tbSkills!DH3:DJ6,3,FALSE),0),0)))/100)),1))*IF(VLOOKUP(A50,tbMoveset!A2:K112,11,FALSE)=TRUE,Backdoors!AC5,1))*DD50,0),"")</f>
        <v>0</v>
      </c>
      <c r="DH50" s="49">
        <f>VLOOKUP(A50,tbMoveset!A2:G112,7,FALSE)*IFERROR(IF(Backdoors!AI12&gt;=0,1+(IF(Calculator!E40&gt;0,VLOOKUP(Calculator!E40,tbSkills!AI3:AJ5,2,FALSE),Backdoors!AL4)*(IF((Backdoors!AI12+IF(DC50&gt;=0.45,VLOOKUP(Calculator!E23,tbSkills!DH3:DI6,2,FALSE)+IF(AND(Calculator!B8=TRUE,Backdoors!BI18=TRUE),VLOOKUP(Calculator!E23,tbSkills!DH3:DJ6,3,FALSE),0),0))&gt;=100,100,(Backdoors!AI12+IF(DC50&gt;=0.45,VLOOKUP(Calculator!E23,tbSkills!DH3:DI6,2,FALSE)+IF(AND(Calculator!B8=TRUE,Backdoors!BI18=TRUE),VLOOKUP(Calculator!E23,tbSkills!DH3:DJ6,3,FALSE),0),0)))/100)),1),1)</f>
        <v>0.8</v>
      </c>
      <c r="DI50" s="87">
        <f t="shared" si="9"/>
        <v>0</v>
      </c>
      <c r="DJ50" s="86" t="str">
        <f>IFERROR(IF(VLOOKUP(A50,tbMoveset!A2:B112,2,FALSE)="Sever",Backdoors!AY19/100,IF(VLOOKUP(A50,tbMoveset!A2:B112,2,FALSE)="Blunt",Backdoors!AZ19/100,Backdoors!BA19/100)),"")</f>
        <v/>
      </c>
      <c r="DK50" s="49">
        <f>IFERROR(IF(VLOOKUP(tbMoveset!A50,tbMoveset!A2:H112,8,FALSE)="Other",IF(VLOOKUP(tbMoveset!A50,tbMoveset!A2:I112,9,FALSE)="Fire",Backdoors!BB19,IF(VLOOKUP(tbMoveset!A50,tbMoveset!A2:I112,9,FALSE)="Water",Backdoors!BC19,IF(VLOOKUP(tbMoveset!A50,tbMoveset!A2:I112,9,FALSE)="Thunder",Backdoors!BD19,IF(VLOOKUP(tbMoveset!A50,tbMoveset!A2:I112,9,FALSE)="Ice",Backdoors!BE19,IF(VLOOKUP(tbMoveset!A50,tbMoveset!A2:I112,9,FALSE)="Dragon",Backdoors!BF19,Backdoors!BG19)))))/100,Backdoors!BG19/100),"")</f>
        <v>0</v>
      </c>
      <c r="DL50" s="49">
        <f>IFERROR(IF(VLOOKUP(A50,tbMoveset!A2:J112,10,FALSE)=TRUE,IF((Backdoors!AI12+IF(DJ50&gt;=0.45,VLOOKUP(Calculator!E23,tbSkills!DH3:DI6,2,FALSE)+IF(AND(Calculator!B8=TRUE,Backdoors!BI19=TRUE),VLOOKUP(Calculator!E23,tbSkills!DH3:DJ6,3,FALSE),0),0))&gt;=0,1+(Backdoors!AL2*(IF((Backdoors!AI12+IF(DJ50&gt;=0.45,VLOOKUP(Calculator!E23,tbSkills!DH3:DI6,2,FALSE)+IF(AND(Calculator!B8=TRUE,Backdoors!BI19=TRUE),VLOOKUP(Calculator!E23,tbSkills!DH3:DJ6,3,FALSE),0),0))&gt;=100,100,(Backdoors!AI12+IF(DJ50&gt;=0.45,VLOOKUP(Calculator!E23,tbSkills!DH3:DI6,2,FALSE)+IF(AND(Calculator!B8=TRUE,Backdoors!BI19=TRUE),VLOOKUP(Calculator!E23,tbSkills!DH3:DJ6,3,FALSE),0),0)))/100)),(1-(0.25*((-Backdoors!AI12-IF(DJ50&gt;=0.45,VLOOKUP(Calculator!E23,tbSkills!DH3:DI6,2,FALSE)+IF(AND(Calculator!B8=TRUE,Backdoors!BI19=TRUE),VLOOKUP(Calculator!E23,tbSkills!DH3:DJ6,3,FALSE),0),0))/100)))),1),"")</f>
        <v>1</v>
      </c>
      <c r="DM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J50)*DL50)*(VLOOKUP(A50,tbMoveset!A2:C112,3,FALSE)/100)*IF(VLOOKUP(A50,tbMoveset!A2:B112,2,FALSE)="Projectile",Backdoors!N10,Backdoors!N9),0),"")</f>
        <v/>
      </c>
      <c r="DN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J50&gt;=0.45,VLOOKUP(Calculator!E23,tbSkills!DH3:DI6,2,FALSE)+IF(AND(Calculator!B8=TRUE,Backdoors!BI19=TRUE),VLOOKUP(Calculator!E23,tbSkills!DH3:DJ6,3,FALSE),0),0))&gt;=100,100,(Backdoors!AI12+IF(DJ50&gt;=0.45,VLOOKUP(Calculator!E23,tbSkills!DH3:DI6,2,FALSE)+IF(AND(Calculator!B8=TRUE,Backdoors!BI19=TRUE),VLOOKUP(Calculator!E23,tbSkills!DH3:DJ6,3,FALSE),0),0)))/100)),1))*IF(VLOOKUP(A50,tbMoveset!A2:K112,11,FALSE)=TRUE,Backdoors!AC5,1))*DK50,0),"")</f>
        <v>0</v>
      </c>
      <c r="DO50" s="49">
        <f>VLOOKUP(A50,tbMoveset!A2:G112,7,FALSE)*IFERROR(IF(Backdoors!AI12&gt;=0,1+(IF(Calculator!E40&gt;0,VLOOKUP(Calculator!E40,tbSkills!AI3:AJ5,2,FALSE),Backdoors!AL4)*(IF((Backdoors!AI12+IF(DJ50&gt;=0.45,VLOOKUP(Calculator!E23,tbSkills!DH3:DI6,2,FALSE)+IF(AND(Calculator!B8=TRUE,Backdoors!BI19=TRUE),VLOOKUP(Calculator!E23,tbSkills!DH3:DJ6,3,FALSE),0),0))&gt;=100,100,(Backdoors!AI12+IF(DJ50&gt;=0.45,VLOOKUP(Calculator!E23,tbSkills!DH3:DI6,2,FALSE)+IF(AND(Calculator!B8=TRUE,Backdoors!BI19=TRUE),VLOOKUP(Calculator!E23,tbSkills!DH3:DJ6,3,FALSE),0),0)))/100)),1),1)</f>
        <v>0.8</v>
      </c>
      <c r="DP50" s="87">
        <f t="shared" si="41"/>
        <v>0</v>
      </c>
      <c r="DQ50" s="86" t="str">
        <f>IFERROR(IF(VLOOKUP(A50,tbMoveset!A2:B112,2,FALSE)="Sever",Backdoors!AY20/100,IF(VLOOKUP(A50,tbMoveset!A2:B112,2,FALSE)="Blunt",Backdoors!AZ20/100,Backdoors!BA20/100)),"")</f>
        <v/>
      </c>
      <c r="DR50" s="49">
        <f>IFERROR(IF(VLOOKUP(tbMoveset!A50,tbMoveset!A2:H112,8,FALSE)="Other",IF(VLOOKUP(tbMoveset!A50,tbMoveset!A2:I112,9,FALSE)="Fire",Backdoors!BB20,IF(VLOOKUP(tbMoveset!A50,tbMoveset!A2:I112,9,FALSE)="Water",Backdoors!BC20,IF(VLOOKUP(tbMoveset!A50,tbMoveset!A2:I112,9,FALSE)="Thunder",Backdoors!BD20,IF(VLOOKUP(tbMoveset!A50,tbMoveset!A2:I112,9,FALSE)="Ice",Backdoors!BE20,IF(VLOOKUP(tbMoveset!A50,tbMoveset!A2:I112,9,FALSE)="Dragon",Backdoors!BF20,Backdoors!BG20)))))/100,Backdoors!BG20/100),"")</f>
        <v>0</v>
      </c>
      <c r="DS50" s="49">
        <f>IFERROR(IF(VLOOKUP(A50,tbMoveset!A2:J112,10,FALSE)=TRUE,IF((Backdoors!AI12+IF(DQ50&gt;=0.45,VLOOKUP(Calculator!E23,tbSkills!DH3:DI6,2,FALSE)+IF(AND(Calculator!B8=TRUE,Backdoors!BI20=TRUE),VLOOKUP(Calculator!E23,tbSkills!DH3:DJ6,3,FALSE),0),0))&gt;=0,1+(Backdoors!AL2*(IF((Backdoors!AI12+IF(DQ50&gt;=0.45,VLOOKUP(Calculator!E23,tbSkills!DH3:DI6,2,FALSE)+IF(AND(Calculator!B8=TRUE,Backdoors!BI20=TRUE),VLOOKUP(Calculator!E23,tbSkills!DH3:DJ6,3,FALSE),0),0))&gt;=100,100,(Backdoors!AI12+IF(DQ50&gt;=0.45,VLOOKUP(Calculator!E23,tbSkills!DH3:DI6,2,FALSE)+IF(AND(Calculator!B8=TRUE,Backdoors!BI20=TRUE),VLOOKUP(Calculator!E23,tbSkills!DH3:DJ6,3,FALSE),0),0)))/100)),(1-(0.25*((-Backdoors!AI12-IF(DQ50&gt;=0.45,VLOOKUP(Calculator!E23,tbSkills!DH3:DI6,2,FALSE)+IF(AND(Calculator!B8=TRUE,Backdoors!BI20=TRUE),VLOOKUP(Calculator!E23,tbSkills!DH3:DJ6,3,FALSE),0),0))/100)))),1),"")</f>
        <v>1</v>
      </c>
      <c r="DT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Q50)*DS50)*(VLOOKUP(A50,tbMoveset!A2:C112,3,FALSE)/100)*IF(VLOOKUP(A50,tbMoveset!A2:B112,2,FALSE)="Projectile",Backdoors!N10,Backdoors!N9),0),"")</f>
        <v/>
      </c>
      <c r="DU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Q50&gt;=0.45,VLOOKUP(Calculator!E23,tbSkills!DH3:DI6,2,FALSE)+IF(AND(Calculator!B8=TRUE,Backdoors!BI20=TRUE),VLOOKUP(Calculator!E23,tbSkills!DH3:DJ6,3,FALSE),0),0))&gt;=100,100,(Backdoors!AI12+IF(DQ50&gt;=0.45,VLOOKUP(Calculator!E23,tbSkills!DH3:DI6,2,FALSE)+IF(AND(Calculator!B8=TRUE,Backdoors!BI20=TRUE),VLOOKUP(Calculator!E23,tbSkills!DH3:DJ6,3,FALSE),0),0)))/100)),1))*IF(VLOOKUP(A50,tbMoveset!A2:K112,11,FALSE)=TRUE,Backdoors!AC5,1))*DR50,0),"")</f>
        <v>0</v>
      </c>
      <c r="DV50" s="49">
        <f>VLOOKUP(A50,tbMoveset!A2:G112,7,FALSE)*IFERROR(IF(Backdoors!AI12&gt;=0,1+(IF(Calculator!E40&gt;0,VLOOKUP(Calculator!E40,tbSkills!AI3:AJ5,2,FALSE),Backdoors!AL4)*(IF((Backdoors!AI12+IF(DQ50&gt;=0.45,VLOOKUP(Calculator!E23,tbSkills!DH3:DI6,2,FALSE)+IF(AND(Calculator!B8=TRUE,Backdoors!BI20=TRUE),VLOOKUP(Calculator!E23,tbSkills!DH3:DJ6,3,FALSE),0),0))&gt;=100,100,(Backdoors!AI12+IF(DQ50&gt;=0.45,VLOOKUP(Calculator!E23,tbSkills!DH3:DI6,2,FALSE)+IF(AND(Calculator!B8=TRUE,Backdoors!BI20=TRUE),VLOOKUP(Calculator!E23,tbSkills!DH3:DJ6,3,FALSE),0),0)))/100)),1),1)</f>
        <v>0.8</v>
      </c>
      <c r="DW50" s="87">
        <f t="shared" si="10"/>
        <v>0</v>
      </c>
      <c r="DX50" s="86" t="str">
        <f>IFERROR(IF(VLOOKUP(A50,tbMoveset!A2:B112,2,FALSE)="Sever",Backdoors!AY21/100,IF(VLOOKUP(A50,tbMoveset!A2:B112,2,FALSE)="Blunt",Backdoors!AZ21/100,Backdoors!BA21/100)),"")</f>
        <v/>
      </c>
      <c r="DY50" s="49">
        <f>IFERROR(IF(VLOOKUP(tbMoveset!A50,tbMoveset!A2:H112,8,FALSE)="Other",IF(VLOOKUP(tbMoveset!A50,tbMoveset!A2:I112,9,FALSE)="Fire",Backdoors!BB21,IF(VLOOKUP(tbMoveset!A50,tbMoveset!A2:I112,9,FALSE)="Water",Backdoors!BC21,IF(VLOOKUP(tbMoveset!A50,tbMoveset!A2:I112,9,FALSE)="Thunder",Backdoors!BD21,IF(VLOOKUP(tbMoveset!A50,tbMoveset!A2:I112,9,FALSE)="Ice",Backdoors!BE21,IF(VLOOKUP(tbMoveset!A50,tbMoveset!A2:I112,9,FALSE)="Dragon",Backdoors!BF21,Backdoors!BG21)))))/100,Backdoors!BG21/100),"")</f>
        <v>0</v>
      </c>
      <c r="DZ50" s="49">
        <f>IFERROR(IF(VLOOKUP(A50,tbMoveset!A2:J112,10,FALSE)=TRUE,IF((Backdoors!AI12+IF(DX50&gt;=0.45,VLOOKUP(Calculator!E23,tbSkills!DH3:DI6,2,FALSE)+IF(AND(Calculator!B8=TRUE,Backdoors!BI21=TRUE),VLOOKUP(Calculator!E23,tbSkills!DH3:DJ6,3,FALSE),0),0))&gt;=0,1+(Backdoors!AL2*(IF((Backdoors!AI12+IF(DX50&gt;=0.45,VLOOKUP(Calculator!E23,tbSkills!DH3:DI6,2,FALSE)+IF(AND(Calculator!B8=TRUE,Backdoors!BI21=TRUE),VLOOKUP(Calculator!E23,tbSkills!DH3:DJ6,3,FALSE),0),0))&gt;=100,100,(Backdoors!AI12+IF(DX50&gt;=0.45,VLOOKUP(Calculator!E23,tbSkills!DH3:DI6,2,FALSE)+IF(AND(Calculator!B8=TRUE,Backdoors!BI21=TRUE),VLOOKUP(Calculator!E23,tbSkills!DH3:DJ6,3,FALSE),0),0)))/100)),(1-(0.25*((-Backdoors!AI12-IF(DX50&gt;=0.45,VLOOKUP(Calculator!E23,tbSkills!DH3:DI6,2,FALSE)+IF(AND(Calculator!B8=TRUE,Backdoors!BI21=TRUE),VLOOKUP(Calculator!E23,tbSkills!DH3:DJ6,3,FALSE),0),0))/100)))),1),"")</f>
        <v>1</v>
      </c>
      <c r="EA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X50)*DZ50)*(VLOOKUP(A50,tbMoveset!A2:C112,3,FALSE)/100)*IF(VLOOKUP(A50,tbMoveset!A2:B112,2,FALSE)="Projectile",Backdoors!N10,Backdoors!N9),0),"")</f>
        <v/>
      </c>
      <c r="EB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X50&gt;=0.45,VLOOKUP(Calculator!E23,tbSkills!DH3:DI6,2,FALSE)+IF(AND(Calculator!B8=TRUE,Backdoors!BI21=TRUE),VLOOKUP(Calculator!E23,tbSkills!DH3:DJ6,3,FALSE),0),0))&gt;=100,100,(Backdoors!AI12+IF(DX50&gt;=0.45,VLOOKUP(Calculator!E23,tbSkills!DH3:DI6,2,FALSE)+IF(AND(Calculator!B8=TRUE,Backdoors!BI21=TRUE),VLOOKUP(Calculator!E23,tbSkills!DH3:DJ6,3,FALSE),0),0)))/100)),1))*IF(VLOOKUP(A50,tbMoveset!A2:K112,11,FALSE)=TRUE,Backdoors!AC5,1))*DY50,0),"")</f>
        <v>0</v>
      </c>
      <c r="EC50" s="49">
        <f>VLOOKUP(A50,tbMoveset!A2:G112,7,FALSE)*IFERROR(IF(Backdoors!AI12&gt;=0,1+(IF(Calculator!E40&gt;0,VLOOKUP(Calculator!E40,tbSkills!AI3:AJ5,2,FALSE),Backdoors!AL4)*(IF((Backdoors!AI12+IF(DX50&gt;=0.45,VLOOKUP(Calculator!E23,tbSkills!DH3:DI6,2,FALSE)+IF(AND(Calculator!B8=TRUE,Backdoors!BI21=TRUE),VLOOKUP(Calculator!E23,tbSkills!DH3:DJ6,3,FALSE),0),0))&gt;=100,100,(Backdoors!AI12+IF(DX50&gt;=0.45,VLOOKUP(Calculator!E23,tbSkills!DH3:DI6,2,FALSE)+IF(AND(Calculator!B8=TRUE,Backdoors!BI21=TRUE),VLOOKUP(Calculator!E23,tbSkills!DH3:DJ6,3,FALSE),0),0)))/100)),1),1)</f>
        <v>0.8</v>
      </c>
      <c r="ED50" s="87">
        <f t="shared" si="11"/>
        <v>0</v>
      </c>
      <c r="EE50" s="86" t="str">
        <f>IFERROR(IF(VLOOKUP(A50,tbMoveset!A2:B112,2,FALSE)="Sever",Backdoors!AY22/100,IF(VLOOKUP(A50,tbMoveset!A2:B112,2,FALSE)="Blunt",Backdoors!AZ22/100,Backdoors!BA22/100)),"")</f>
        <v/>
      </c>
      <c r="EF50" s="49">
        <f>IFERROR(IF(VLOOKUP(tbMoveset!A50,tbMoveset!A2:H112,8,FALSE)="Other",IF(VLOOKUP(tbMoveset!A50,tbMoveset!A2:I112,9,FALSE)="Fire",Backdoors!BB22,IF(VLOOKUP(tbMoveset!A50,tbMoveset!A2:I112,9,FALSE)="Water",Backdoors!BC22,IF(VLOOKUP(tbMoveset!A50,tbMoveset!A2:I112,9,FALSE)="Thunder",Backdoors!BD22,IF(VLOOKUP(tbMoveset!A50,tbMoveset!A2:I112,9,FALSE)="Ice",Backdoors!BE22,IF(VLOOKUP(tbMoveset!A50,tbMoveset!A2:I112,9,FALSE)="Dragon",Backdoors!BF22,Backdoors!BG22)))))/100,Backdoors!BG22/100),"")</f>
        <v>0</v>
      </c>
      <c r="EG50" s="49">
        <f>IFERROR(IF(VLOOKUP(A50,tbMoveset!A2:J112,10,FALSE)=TRUE,IF((Backdoors!AI12+IF(EE50&gt;=0.45,VLOOKUP(Calculator!E23,tbSkills!DH3:DI6,2,FALSE)+IF(AND(Calculator!B8=TRUE,Backdoors!BI22=TRUE),VLOOKUP(Calculator!E23,tbSkills!DH3:DJ6,3,FALSE),0),0))&gt;=0,1+(Backdoors!AL2*(IF((Backdoors!AI12+IF(EE50&gt;=0.45,VLOOKUP(Calculator!E23,tbSkills!DH3:DI6,2,FALSE)+IF(AND(Calculator!B8=TRUE,Backdoors!BI22=TRUE),VLOOKUP(Calculator!E23,tbSkills!DH3:DJ6,3,FALSE),0),0))&gt;=100,100,(Backdoors!AI12+IF(EE50&gt;=0.45,VLOOKUP(Calculator!E23,tbSkills!DH3:DI6,2,FALSE)+IF(AND(Calculator!B8=TRUE,Backdoors!BI22=TRUE),VLOOKUP(Calculator!E23,tbSkills!DH3:DJ6,3,FALSE),0),0)))/100)),(1-(0.25*((-Backdoors!AI12-IF(EE50&gt;=0.45,VLOOKUP(Calculator!E23,tbSkills!DH3:DI6,2,FALSE)+IF(AND(Calculator!B8=TRUE,Backdoors!BI22=TRUE),VLOOKUP(Calculator!E23,tbSkills!DH3:DJ6,3,FALSE),0),0))/100)))),1),"")</f>
        <v>1</v>
      </c>
      <c r="EH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E50)*EG50)*(VLOOKUP(A50,tbMoveset!A2:C112,3,FALSE)/100)*IF(VLOOKUP(A50,tbMoveset!A2:B112,2,FALSE)="Projectile",Backdoors!N10,Backdoors!N9),0),"")</f>
        <v/>
      </c>
      <c r="EI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E50&gt;=0.45,VLOOKUP(Calculator!E23,tbSkills!DH3:DI6,2,FALSE)+IF(AND(Calculator!B8=TRUE,Backdoors!BI22=TRUE),VLOOKUP(Calculator!E23,tbSkills!DH3:DJ6,3,FALSE),0),0))&gt;=100,100,(Backdoors!AI12+IF(EE50&gt;=0.45,VLOOKUP(Calculator!E23,tbSkills!DH3:DI6,2,FALSE)+IF(AND(Calculator!B8=TRUE,Backdoors!BI22=TRUE),VLOOKUP(Calculator!E23,tbSkills!DH3:DJ6,3,FALSE),0),0)))/100)),1))*IF(VLOOKUP(A50,tbMoveset!A2:K112,11,FALSE)=TRUE,Backdoors!AC5,1))*EF50,0),"")</f>
        <v>0</v>
      </c>
      <c r="EJ50" s="49">
        <f>VLOOKUP(A50,tbMoveset!A2:G112,7,FALSE)*IFERROR(IF(Backdoors!AI12&gt;=0,1+(IF(Calculator!E40&gt;0,VLOOKUP(Calculator!E40,tbSkills!AI3:AJ5,2,FALSE),Backdoors!AL4)*(IF((Backdoors!AI12+IF(EE50&gt;=0.45,VLOOKUP(Calculator!E23,tbSkills!DH3:DI6,2,FALSE)+IF(AND(Calculator!B8=TRUE,Backdoors!BI22=TRUE),VLOOKUP(Calculator!E23,tbSkills!DH3:DJ6,3,FALSE),0),0))&gt;=100,100,(Backdoors!AI12+IF(EE50&gt;=0.45,VLOOKUP(Calculator!E23,tbSkills!DH3:DI6,2,FALSE)+IF(AND(Calculator!B8=TRUE,Backdoors!BI22=TRUE),VLOOKUP(Calculator!E23,tbSkills!DH3:DJ6,3,FALSE),0),0)))/100)),1),1)</f>
        <v>0.8</v>
      </c>
      <c r="EK50" s="87">
        <f t="shared" si="12"/>
        <v>0</v>
      </c>
      <c r="EL50" s="86" t="str">
        <f>IFERROR(IF(VLOOKUP(A50,tbMoveset!A2:B112,2,FALSE)="Sever",Backdoors!AY23/100,IF(VLOOKUP(A50,tbMoveset!A2:B112,2,FALSE)="Blunt",Backdoors!AZ23/100,Backdoors!BA23/100)),"")</f>
        <v/>
      </c>
      <c r="EM50" s="49">
        <f>IFERROR(IF(VLOOKUP(tbMoveset!A50,tbMoveset!A2:H112,8,FALSE)="Other",IF(VLOOKUP(tbMoveset!A50,tbMoveset!A2:I112,9,FALSE)="Fire",Backdoors!BB23,IF(VLOOKUP(tbMoveset!A50,tbMoveset!A2:I112,9,FALSE)="Water",Backdoors!BC23,IF(VLOOKUP(tbMoveset!A50,tbMoveset!A2:I112,9,FALSE)="Thunder",Backdoors!BD23,IF(VLOOKUP(tbMoveset!A50,tbMoveset!A2:I112,9,FALSE)="Ice",Backdoors!BE23,IF(VLOOKUP(tbMoveset!A50,tbMoveset!A2:I112,9,FALSE)="Dragon",Backdoors!BF23,Backdoors!BG23)))))/100,Backdoors!BG23/100),"")</f>
        <v>0</v>
      </c>
      <c r="EN50" s="49">
        <f>IFERROR(IF(VLOOKUP(A50,tbMoveset!A2:J112,10,FALSE)=TRUE,IF((Backdoors!AI12+IF(EL50&gt;=0.45,VLOOKUP(Calculator!E23,tbSkills!DH3:DI6,2,FALSE)+IF(AND(Calculator!B8=TRUE,Backdoors!BI23=TRUE),VLOOKUP(Calculator!E23,tbSkills!DH3:DJ6,3,FALSE),0),0))&gt;=0,1+(Backdoors!AL2*(IF((Backdoors!AI12+IF(EL50&gt;=0.45,VLOOKUP(Calculator!E23,tbSkills!DH3:DI6,2,FALSE)+IF(AND(Calculator!B8=TRUE,Backdoors!BI23=TRUE),VLOOKUP(Calculator!E23,tbSkills!DH3:DJ6,3,FALSE),0),0))&gt;=100,100,(Backdoors!AI12+IF(EL50&gt;=0.45,VLOOKUP(Calculator!E23,tbSkills!DH3:DI6,2,FALSE)+IF(AND(Calculator!B8=TRUE,Backdoors!BI23=TRUE),VLOOKUP(Calculator!E23,tbSkills!DH3:DJ6,3,FALSE),0),0)))/100)),(1-(0.25*((-Backdoors!AI12-IF(EL50&gt;=0.45,VLOOKUP(Calculator!E23,tbSkills!DH3:DI6,2,FALSE)+IF(AND(Calculator!B8=TRUE,Backdoors!BI23=TRUE),VLOOKUP(Calculator!E23,tbSkills!DH3:DJ6,3,FALSE),0),0))/100)))),1),"")</f>
        <v>1</v>
      </c>
      <c r="EO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L50)*EN50)*(VLOOKUP(A50,tbMoveset!A2:C112,3,FALSE)/100)*IF(VLOOKUP(A50,tbMoveset!A2:B112,2,FALSE)="Projectile",Backdoors!N10,Backdoors!N9),0),"")</f>
        <v/>
      </c>
      <c r="EP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L50&gt;=0.45,VLOOKUP(Calculator!E23,tbSkills!DH3:DI6,2,FALSE)+IF(AND(Calculator!B8=TRUE,Backdoors!BI23=TRUE),VLOOKUP(Calculator!E23,tbSkills!DH3:DJ6,3,FALSE),0),0))&gt;=100,100,(Backdoors!AI12+IF(EL50&gt;=0.45,VLOOKUP(Calculator!E23,tbSkills!DH3:DI6,2,FALSE)+IF(AND(Calculator!B8=TRUE,Backdoors!BI23=TRUE),VLOOKUP(Calculator!E23,tbSkills!DH3:DJ6,3,FALSE),0),0)))/100)),1))*IF(VLOOKUP(A50,tbMoveset!A2:K112,11,FALSE)=TRUE,Backdoors!AC5,1))*EM50,0),"")</f>
        <v>0</v>
      </c>
      <c r="EQ50" s="49">
        <f>VLOOKUP(A50,tbMoveset!A2:G112,7,FALSE)*IFERROR(IF(Backdoors!AI12&gt;=0,1+(IF(Calculator!E40&gt;0,VLOOKUP(Calculator!E40,tbSkills!AI3:AJ5,2,FALSE),Backdoors!AL4)*(IF((Backdoors!AI12+IF(EL50&gt;=0.45,VLOOKUP(Calculator!E23,tbSkills!DH3:DI6,2,FALSE)+IF(AND(Calculator!B8=TRUE,Backdoors!BI23=TRUE),VLOOKUP(Calculator!E23,tbSkills!DH3:DJ6,3,FALSE),0),0))&gt;=100,100,(Backdoors!AI12+IF(EL50&gt;=0.45,VLOOKUP(Calculator!E23,tbSkills!DH3:DI6,2,FALSE)+IF(AND(Calculator!B8=TRUE,Backdoors!BI23=TRUE),VLOOKUP(Calculator!E23,tbSkills!DH3:DJ6,3,FALSE),0),0)))/100)),1),1)</f>
        <v>0.8</v>
      </c>
      <c r="ER50" s="87">
        <f t="shared" si="13"/>
        <v>0</v>
      </c>
      <c r="ES50" s="86" t="str">
        <f>IFERROR(IF(VLOOKUP(A50,tbMoveset!A2:B112,2,FALSE)="Sever",Backdoors!AY24/100,IF(VLOOKUP(A50,tbMoveset!A2:B112,2,FALSE)="Blunt",Backdoors!AZ24/100,Backdoors!BA24/100)),"")</f>
        <v/>
      </c>
      <c r="ET50" s="49">
        <f>IFERROR(IF(VLOOKUP(tbMoveset!A50,tbMoveset!A2:H112,8,FALSE)="Other",IF(VLOOKUP(tbMoveset!A50,tbMoveset!A2:I112,9,FALSE)="Fire",Backdoors!BB24,IF(VLOOKUP(tbMoveset!A50,tbMoveset!A2:I112,9,FALSE)="Water",Backdoors!BC24,IF(VLOOKUP(tbMoveset!A50,tbMoveset!A2:I112,9,FALSE)="Thunder",Backdoors!BD24,IF(VLOOKUP(tbMoveset!A50,tbMoveset!A2:I112,9,FALSE)="Ice",Backdoors!BE24,IF(VLOOKUP(tbMoveset!A50,tbMoveset!A2:I112,9,FALSE)="Dragon",Backdoors!BF24,Backdoors!BG24)))))/100,Backdoors!BG24/100),"")</f>
        <v>0</v>
      </c>
      <c r="EU50" s="49">
        <f>IFERROR(IF(VLOOKUP(A50,tbMoveset!A2:J112,10,FALSE)=TRUE,IF((Backdoors!AI12+IF(ES50&gt;=0.45,VLOOKUP(Calculator!E23,tbSkills!DH3:DI6,2,FALSE)+IF(AND(Calculator!B8=TRUE,Backdoors!BI24=TRUE),VLOOKUP(Calculator!E23,tbSkills!DH3:DJ6,3,FALSE),0),0))&gt;=0,1+(Backdoors!AL2*(IF((Backdoors!AI12+IF(ES50&gt;=0.45,VLOOKUP(Calculator!E23,tbSkills!DH3:DI6,2,FALSE)+IF(AND(Calculator!B8=TRUE,Backdoors!BI24=TRUE),VLOOKUP(Calculator!E23,tbSkills!DH3:DJ6,3,FALSE),0),0))&gt;=100,100,(Backdoors!AI12+IF(ES50&gt;=0.45,VLOOKUP(Calculator!E23,tbSkills!DH3:DI6,2,FALSE)+IF(AND(Calculator!B8=TRUE,Backdoors!BI24=TRUE),VLOOKUP(Calculator!E23,tbSkills!DH3:DJ6,3,FALSE),0),0)))/100)),(1-(0.25*((-Backdoors!AI12-IF(ES50&gt;=0.45,VLOOKUP(Calculator!E23,tbSkills!DH3:DI6,2,FALSE)+IF(AND(Calculator!B8=TRUE,Backdoors!BI24=TRUE),VLOOKUP(Calculator!E23,tbSkills!DH3:DJ6,3,FALSE),0),0))/100)))),1),"")</f>
        <v>1</v>
      </c>
      <c r="EV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S50)*EU50)*(VLOOKUP(A50,tbMoveset!A2:C112,3,FALSE)/100)*IF(VLOOKUP(A50,tbMoveset!A2:B112,2,FALSE)="Projectile",Backdoors!N10,Backdoors!N9),0),"")</f>
        <v/>
      </c>
      <c r="EW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S50&gt;=0.45,VLOOKUP(Calculator!E23,tbSkills!DH3:DI6,2,FALSE)+IF(AND(Calculator!B8=TRUE,Backdoors!BI24=TRUE),VLOOKUP(Calculator!E23,tbSkills!DH3:DJ6,3,FALSE),0),0))&gt;=100,100,(Backdoors!AI12+IF(ES50&gt;=0.45,VLOOKUP(Calculator!E23,tbSkills!DH3:DI6,2,FALSE)+IF(AND(Calculator!B8=TRUE,Backdoors!BI24=TRUE),VLOOKUP(Calculator!E23,tbSkills!DH3:DJ6,3,FALSE),0),0)))/100)),1))*IF(VLOOKUP(A50,tbMoveset!A2:K112,11,FALSE)=TRUE,Backdoors!AC5,1))*ET50,0),"")</f>
        <v>0</v>
      </c>
      <c r="EX50" s="49">
        <f>VLOOKUP(A50,tbMoveset!A2:G112,7,FALSE)*IFERROR(IF(Backdoors!AI12&gt;=0,1+(IF(Calculator!E40&gt;0,VLOOKUP(Calculator!E40,tbSkills!AI3:AJ5,2,FALSE),Backdoors!AL4)*(IF((Backdoors!AI12+IF(ES50&gt;=0.45,VLOOKUP(Calculator!E23,tbSkills!DH3:DI6,2,FALSE)+IF(AND(Calculator!B8=TRUE,Backdoors!BI24=TRUE),VLOOKUP(Calculator!E23,tbSkills!DH3:DJ6,3,FALSE),0),0))&gt;=100,100,(Backdoors!AI12+IF(ES50&gt;=0.45,VLOOKUP(Calculator!E23,tbSkills!DH3:DI6,2,FALSE)+IF(AND(Calculator!B8=TRUE,Backdoors!BI24=TRUE),VLOOKUP(Calculator!E23,tbSkills!DH3:DJ6,3,FALSE),0),0)))/100)),1),1)</f>
        <v>0.8</v>
      </c>
      <c r="EY50" s="87">
        <f t="shared" si="14"/>
        <v>0</v>
      </c>
      <c r="EZ50" s="86" t="str">
        <f>IFERROR(IF(VLOOKUP(A50,tbMoveset!A2:B112,2,FALSE)="Sever",Backdoors!AY25/100,IF(VLOOKUP(A50,tbMoveset!A2:B112,2,FALSE)="Blunt",Backdoors!AZ25/100,Backdoors!BA25/100)),"")</f>
        <v/>
      </c>
      <c r="FA50" s="49">
        <f>IFERROR(IF(VLOOKUP(tbMoveset!A50,tbMoveset!A2:H112,8,FALSE)="Other",IF(VLOOKUP(tbMoveset!A50,tbMoveset!A2:I112,9,FALSE)="Fire",Backdoors!BB25,IF(VLOOKUP(tbMoveset!A50,tbMoveset!A2:I112,9,FALSE)="Water",Backdoors!BC25,IF(VLOOKUP(tbMoveset!A50,tbMoveset!A2:I112,9,FALSE)="Thunder",Backdoors!BD25,IF(VLOOKUP(tbMoveset!A50,tbMoveset!A2:I112,9,FALSE)="Ice",Backdoors!BE25,IF(VLOOKUP(tbMoveset!A50,tbMoveset!A2:I112,9,FALSE)="Dragon",Backdoors!BF25,Backdoors!BG25)))))/100,Backdoors!BG25/100),"")</f>
        <v>0</v>
      </c>
      <c r="FB50" s="49">
        <f>IFERROR(IF(VLOOKUP(A50,tbMoveset!A2:J112,10,FALSE)=TRUE,IF((Backdoors!AI12+IF(EZ50&gt;=0.45,VLOOKUP(Calculator!E23,tbSkills!DH3:DI6,2,FALSE)+IF(AND(Calculator!B8=TRUE,Backdoors!BI25=TRUE),VLOOKUP(Calculator!E23,tbSkills!DH3:DJ6,3,FALSE),0),0))&gt;=0,1+(Backdoors!AL2*(IF((Backdoors!AI12+IF(EZ50&gt;=0.45,VLOOKUP(Calculator!E23,tbSkills!DH3:DI6,2,FALSE)+IF(AND(Calculator!B8=TRUE,Backdoors!BI25=TRUE),VLOOKUP(Calculator!E23,tbSkills!DH3:DJ6,3,FALSE),0),0))&gt;=100,100,(Backdoors!AI12+IF(EZ50&gt;=0.45,VLOOKUP(Calculator!E23,tbSkills!DH3:DI6,2,FALSE)+IF(AND(Calculator!B8=TRUE,Backdoors!BI25=TRUE),VLOOKUP(Calculator!E23,tbSkills!DH3:DJ6,3,FALSE),0),0)))/100)),(1-(0.25*((-Backdoors!AI12-IF(EZ50&gt;=0.45,VLOOKUP(Calculator!E23,tbSkills!DH3:DI6,2,FALSE)+IF(AND(Calculator!B8=TRUE,Backdoors!BI25=TRUE),VLOOKUP(Calculator!E23,tbSkills!DH3:DJ6,3,FALSE),0),0))/100)))),1),"")</f>
        <v>1</v>
      </c>
      <c r="FC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Z50)*FB50)*(VLOOKUP(A50,tbMoveset!A2:C112,3,FALSE)/100)*IF(VLOOKUP(A50,tbMoveset!A2:B112,2,FALSE)="Projectile",Backdoors!N10,Backdoors!N9),0),"")</f>
        <v/>
      </c>
      <c r="FD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Z50&gt;=0.45,VLOOKUP(Calculator!E23,tbSkills!DH3:DI6,2,FALSE)+IF(AND(Calculator!B8=TRUE,Backdoors!BI25=TRUE),VLOOKUP(Calculator!E23,tbSkills!DH3:DJ6,3,FALSE),0),0))&gt;=100,100,(Backdoors!AI12+IF(EZ50&gt;=0.45,VLOOKUP(Calculator!E23,tbSkills!DH3:DI6,2,FALSE)+IF(AND(Calculator!B8=TRUE,Backdoors!BI25=TRUE),VLOOKUP(Calculator!E23,tbSkills!DH3:DJ6,3,FALSE),0),0)))/100)),1))*IF(VLOOKUP(A50,tbMoveset!A2:K112,11,FALSE)=TRUE,Backdoors!AC5,1))*FA50,0),"")</f>
        <v>0</v>
      </c>
      <c r="FE50" s="49">
        <f>VLOOKUP(A50,tbMoveset!A2:G112,7,FALSE)*IFERROR(IF(Backdoors!AI12&gt;=0,1+(IF(Calculator!E40&gt;0,VLOOKUP(Calculator!E40,tbSkills!AI3:AJ5,2,FALSE),Backdoors!AL4)*(IF((Backdoors!AI12+IF(EZ50&gt;=0.45,VLOOKUP(Calculator!E23,tbSkills!DH3:DI6,2,FALSE)+IF(AND(Calculator!B8=TRUE,Backdoors!BI25=TRUE),VLOOKUP(Calculator!E23,tbSkills!DH3:DJ6,3,FALSE),0),0))&gt;=100,100,(Backdoors!AI12+IF(EZ50&gt;=0.45,VLOOKUP(Calculator!E23,tbSkills!DH3:DI6,2,FALSE)+IF(AND(Calculator!B8=TRUE,Backdoors!BI25=TRUE),VLOOKUP(Calculator!E23,tbSkills!DH3:DJ6,3,FALSE),0),0)))/100)),1),1)</f>
        <v>0.8</v>
      </c>
      <c r="FF50" s="87">
        <f t="shared" si="15"/>
        <v>0</v>
      </c>
      <c r="FG50" s="86" t="str">
        <f>IFERROR(IF(VLOOKUP(A50,tbMoveset!A2:B112,2,FALSE)="Sever",Backdoors!AY26/100,IF(VLOOKUP(A50,tbMoveset!A2:B112,2,FALSE)="Blunt",Backdoors!AZ26/100,Backdoors!BA26/100)),"")</f>
        <v/>
      </c>
      <c r="FH50" s="49">
        <f>IFERROR(IF(VLOOKUP(tbMoveset!A50,tbMoveset!A2:H112,8,FALSE)="Other",IF(VLOOKUP(tbMoveset!A50,tbMoveset!A2:I112,9,FALSE)="Fire",Backdoors!BB26,IF(VLOOKUP(tbMoveset!A50,tbMoveset!A2:I112,9,FALSE)="Water",Backdoors!BC26,IF(VLOOKUP(tbMoveset!A50,tbMoveset!A2:I112,9,FALSE)="Thunder",Backdoors!BD26,IF(VLOOKUP(tbMoveset!A50,tbMoveset!A2:I112,9,FALSE)="Ice",Backdoors!BE26,IF(VLOOKUP(tbMoveset!A50,tbMoveset!A2:I112,9,FALSE)="Dragon",Backdoors!BF26,Backdoors!BG26)))))/100,Backdoors!BG26/100),"")</f>
        <v>0</v>
      </c>
      <c r="FI50" s="49">
        <f>IFERROR(IF(VLOOKUP(A50,tbMoveset!A2:J112,10,FALSE)=TRUE,IF((Backdoors!AI12+IF(FG50&gt;=0.45,VLOOKUP(Calculator!E23,tbSkills!DH3:DI6,2,FALSE)+IF(AND(Calculator!B8=TRUE,Backdoors!BI26=TRUE),VLOOKUP(Calculator!E23,tbSkills!DH3:DJ6,3,FALSE),0),0))&gt;=0,1+(Backdoors!AL2*(IF((Backdoors!AI12+IF(FG50&gt;=0.45,VLOOKUP(Calculator!E23,tbSkills!DH3:DI6,2,FALSE)+IF(AND(Calculator!B8=TRUE,Backdoors!BI26=TRUE),VLOOKUP(Calculator!E23,tbSkills!DH3:DJ6,3,FALSE),0),0))&gt;=100,100,(Backdoors!AI12+IF(FG50&gt;=0.45,VLOOKUP(Calculator!E23,tbSkills!DH3:DI6,2,FALSE)+IF(AND(Calculator!B8=TRUE,Backdoors!BI26=TRUE),VLOOKUP(Calculator!E23,tbSkills!DH3:DJ6,3,FALSE),0),0)))/100)),(1-(0.25*((-Backdoors!AI12-IF(FG50&gt;=0.45,VLOOKUP(Calculator!E23,tbSkills!DH3:DI6,2,FALSE)+IF(AND(Calculator!B8=TRUE,Backdoors!BI26=TRUE),VLOOKUP(Calculator!E23,tbSkills!DH3:DJ6,3,FALSE),0),0))/100)))),1),"")</f>
        <v>1</v>
      </c>
      <c r="FJ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FG50)*FI50)*(VLOOKUP(A50,tbMoveset!A2:C112,3,FALSE)/100)*IF(VLOOKUP(A50,tbMoveset!A2:B112,2,FALSE)="Projectile",Backdoors!N10,Backdoors!N9),0),"")</f>
        <v/>
      </c>
      <c r="FK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FG50&gt;=0.45,VLOOKUP(Calculator!E23,tbSkills!DH3:DI6,2,FALSE)+IF(AND(Calculator!B8=TRUE,Backdoors!BI26=TRUE),VLOOKUP(Calculator!E23,tbSkills!DH3:DJ6,3,FALSE),0),0))&gt;=100,100,(Backdoors!AI12+IF(FG50&gt;=0.45,VLOOKUP(Calculator!E23,tbSkills!DH3:DI6,2,FALSE)+IF(AND(Calculator!B8=TRUE,Backdoors!BI26=TRUE),VLOOKUP(Calculator!E23,tbSkills!DH3:DJ6,3,FALSE),0),0)))/100)),1))*IF(VLOOKUP(A50,tbMoveset!A2:K112,11,FALSE)=TRUE,Backdoors!AC5,1))*FH50,0),"")</f>
        <v>0</v>
      </c>
      <c r="FL50" s="49">
        <f>VLOOKUP(A50,tbMoveset!A2:G112,7,FALSE)*IFERROR(IF(Backdoors!AI12&gt;=0,1+(IF(Calculator!E40&gt;0,VLOOKUP(Calculator!E40,tbSkills!AI3:AJ5,2,FALSE),Backdoors!AL4)*(IF((Backdoors!AI12+IF(FG50&gt;=0.45,VLOOKUP(Calculator!E23,tbSkills!DH3:DI6,2,FALSE)+IF(AND(Calculator!B8=TRUE,Backdoors!BI26=TRUE),VLOOKUP(Calculator!E23,tbSkills!DH3:DJ6,3,FALSE),0),0))&gt;=100,100,(Backdoors!AI12+IF(FG50&gt;=0.45,VLOOKUP(Calculator!E23,tbSkills!DH3:DI6,2,FALSE)+IF(AND(Calculator!B8=TRUE,Backdoors!BI26=TRUE),VLOOKUP(Calculator!E23,tbSkills!DH3:DJ6,3,FALSE),0),0)))/100)),1),1)</f>
        <v>0.8</v>
      </c>
      <c r="FM50" s="87">
        <f t="shared" si="16"/>
        <v>0</v>
      </c>
      <c r="FN50" s="86" t="str">
        <f>IFERROR(IF(VLOOKUP(A50,tbMoveset!A2:B112,2,FALSE)="Sever",Backdoors!AY27/100,IF(VLOOKUP(A50,tbMoveset!A2:B112,2,FALSE)="Blunt",Backdoors!AZ27/100,Backdoors!BA27/100)),"")</f>
        <v/>
      </c>
      <c r="FO50" s="49">
        <f>IFERROR(IF(VLOOKUP(tbMoveset!A50,tbMoveset!A2:H112,8,FALSE)="Other",IF(VLOOKUP(tbMoveset!A50,tbMoveset!A2:I112,9,FALSE)="Fire",Backdoors!BB27,IF(VLOOKUP(tbMoveset!A50,tbMoveset!A2:I112,9,FALSE)="Water",Backdoors!BC27,IF(VLOOKUP(tbMoveset!A50,tbMoveset!A2:I112,9,FALSE)="Thunder",Backdoors!BD27,IF(VLOOKUP(tbMoveset!A50,tbMoveset!A2:I112,9,FALSE)="Ice",Backdoors!BE27,IF(VLOOKUP(tbMoveset!A50,tbMoveset!A2:I112,9,FALSE)="Dragon",Backdoors!BF27,Backdoors!BG27)))))/100,Backdoors!BG27/100),"")</f>
        <v>0</v>
      </c>
      <c r="FP50" s="49">
        <f>IFERROR(IF(VLOOKUP(A50,tbMoveset!A2:J112,10,FALSE)=TRUE,IF((Backdoors!AI12+IF(FN50&gt;=0.45,VLOOKUP(Calculator!E23,tbSkills!DH3:DI6,2,FALSE)+IF(AND(Calculator!B8=TRUE,Backdoors!BI27=TRUE),VLOOKUP(Calculator!E23,tbSkills!DH3:DJ6,3,FALSE),0),0))&gt;=0,1+(Backdoors!AL2*(IF((Backdoors!AI12+IF(FN50&gt;=0.45,VLOOKUP(Calculator!E23,tbSkills!DH3:DI6,2,FALSE)+IF(AND(Calculator!B8=TRUE,Backdoors!BI27=TRUE),VLOOKUP(Calculator!E23,tbSkills!DH3:DJ6,3,FALSE),0),0))&gt;=100,100,(Backdoors!AI12+IF(FN50&gt;=0.45,VLOOKUP(Calculator!E23,tbSkills!DH3:DI6,2,FALSE)+IF(AND(Calculator!B8=TRUE,Backdoors!BI27=TRUE),VLOOKUP(Calculator!E23,tbSkills!DH3:DJ6,3,FALSE),0),0)))/100)),(1-(0.25*((-Backdoors!AI12-IF(FN50&gt;=0.45,VLOOKUP(Calculator!E23,tbSkills!DH3:DI6,2,FALSE)+IF(AND(Calculator!B8=TRUE,Backdoors!BI27=TRUE),VLOOKUP(Calculator!E23,tbSkills!DH3:DJ6,3,FALSE),0),0))/100)))),1),"")</f>
        <v>1</v>
      </c>
      <c r="FQ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FN50)*FP50)*(VLOOKUP(A50,tbMoveset!A2:C112,3,FALSE)/100)*IF(VLOOKUP(A50,tbMoveset!A2:B112,2,FALSE)="Projectile",Backdoors!N10,Backdoors!N9),0),"")</f>
        <v/>
      </c>
      <c r="FR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FN50&gt;=0.45,VLOOKUP(Calculator!E23,tbSkills!DH3:DI6,2,FALSE)+IF(AND(Calculator!B8=TRUE,Backdoors!BI27=TRUE),VLOOKUP(Calculator!E23,tbSkills!DH3:DJ6,3,FALSE),0),0))&gt;=100,100,(Backdoors!AI12+IF(FN50&gt;=0.45,VLOOKUP(Calculator!E23,tbSkills!DH3:DI6,2,FALSE)+IF(AND(Calculator!B8=TRUE,Backdoors!BI27=TRUE),VLOOKUP(Calculator!E23,tbSkills!DH3:DJ6,3,FALSE),0),0)))/100)),1))*IF(VLOOKUP(A50,tbMoveset!A2:K112,11,FALSE)=TRUE,Backdoors!AC5,1))*FO50,0),"")</f>
        <v>0</v>
      </c>
      <c r="FS50" s="49">
        <f>VLOOKUP(A50,tbMoveset!A2:G112,7,FALSE)*IFERROR(IF(Backdoors!AI12&gt;=0,1+(IF(Calculator!E40&gt;0,VLOOKUP(Calculator!E40,tbSkills!AI3:AJ5,2,FALSE),Backdoors!AL4)*(IF((Backdoors!AI12+IF(FN50&gt;=0.45,VLOOKUP(Calculator!E23,tbSkills!DH3:DI6,2,FALSE)+IF(AND(Calculator!B8=TRUE,Backdoors!BI27=TRUE),VLOOKUP(Calculator!E23,tbSkills!DH3:DJ6,3,FALSE),0),0))&gt;=100,100,(Backdoors!AI12+IF(FN50&gt;=0.45,VLOOKUP(Calculator!E23,tbSkills!DH3:DI6,2,FALSE)+IF(AND(Calculator!B8=TRUE,Backdoors!BI27=TRUE),VLOOKUP(Calculator!E23,tbSkills!DH3:DJ6,3,FALSE),0),0)))/100)),1),1)</f>
        <v>0.8</v>
      </c>
      <c r="FT50" s="87">
        <f t="shared" si="17"/>
        <v>0</v>
      </c>
      <c r="FU50" s="86" t="str">
        <f>IFERROR(IF(VLOOKUP(A50,tbMoveset!A2:B112,2,FALSE)="Sever",Backdoors!AY28/100,IF(VLOOKUP(A50,tbMoveset!A2:B112,2,FALSE)="Blunt",Backdoors!AZ28/100,Backdoors!BA28/100)),"")</f>
        <v/>
      </c>
      <c r="FV50" s="49">
        <f>IFERROR(IF(VLOOKUP(tbMoveset!A50,tbMoveset!A2:H112,8,FALSE)="Other",IF(VLOOKUP(tbMoveset!A50,tbMoveset!A2:I112,9,FALSE)="Fire",Backdoors!BB28,IF(VLOOKUP(tbMoveset!A50,tbMoveset!A2:I112,9,FALSE)="Water",Backdoors!BC28,IF(VLOOKUP(tbMoveset!A50,tbMoveset!A2:I112,9,FALSE)="Thunder",Backdoors!BD28,IF(VLOOKUP(tbMoveset!A50,tbMoveset!A2:I112,9,FALSE)="Ice",Backdoors!BE28,IF(VLOOKUP(tbMoveset!A50,tbMoveset!A2:I112,9,FALSE)="Dragon",Backdoors!BF28,Backdoors!BG28)))))/100,Backdoors!BG28/100),"")</f>
        <v>0</v>
      </c>
      <c r="FW50" s="49">
        <f>IFERROR(IF(VLOOKUP(A50,tbMoveset!A2:J112,10,FALSE)=TRUE,IF((Backdoors!AI12+IF(FU50&gt;=0.45,VLOOKUP(Calculator!E23,tbSkills!DH3:DI6,2,FALSE)+IF(AND(Calculator!B8=TRUE,Backdoors!BI28=TRUE),VLOOKUP(Calculator!E23,tbSkills!DH3:DJ6,3,FALSE),0),0))&gt;=0,1+(Backdoors!AL2*(IF((Backdoors!AI12+IF(FU50&gt;=0.45,VLOOKUP(Calculator!E23,tbSkills!DH3:DI6,2,FALSE)+IF(AND(Calculator!B8=TRUE,Backdoors!BI28=TRUE),VLOOKUP(Calculator!E23,tbSkills!DH3:DJ6,3,FALSE),0),0))&gt;=100,100,(Backdoors!AI12+IF(FU50&gt;=0.45,VLOOKUP(Calculator!E23,tbSkills!DH3:DI6,2,FALSE)+IF(AND(Calculator!B8=TRUE,Backdoors!BI28=TRUE),VLOOKUP(Calculator!E23,tbSkills!DH3:DJ6,3,FALSE),0),0)))/100)),(1-(0.25*((-Backdoors!AI12-IF(FU50&gt;=0.45,VLOOKUP(Calculator!E23,tbSkills!DH3:DI6,2,FALSE)+IF(AND(Calculator!B8=TRUE,Backdoors!BI28=TRUE),VLOOKUP(Calculator!E23,tbSkills!DH3:DJ6,3,FALSE),0),0))/100)))),1),"")</f>
        <v>1</v>
      </c>
      <c r="FX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FU50)*FW50)*(VLOOKUP(A50,tbMoveset!A2:C112,3,FALSE)/100)*IF(VLOOKUP(A50,tbMoveset!A2:B112,2,FALSE)="Projectile",Backdoors!N10,Backdoors!N9),0),"")</f>
        <v/>
      </c>
      <c r="FY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FU50&gt;=0.45,VLOOKUP(Calculator!E23,tbSkills!DH3:DI6,2,FALSE)+IF(AND(Calculator!B8=TRUE,Backdoors!BI28=TRUE),VLOOKUP(Calculator!E23,tbSkills!DH3:DJ6,3,FALSE),0),0))&gt;=100,100,(Backdoors!AI12+IF(FU50&gt;=0.45,VLOOKUP(Calculator!E23,tbSkills!DH3:DI6,2,FALSE)+IF(AND(Calculator!B8=TRUE,Backdoors!BI28=TRUE),VLOOKUP(Calculator!E23,tbSkills!DH3:DJ6,3,FALSE),0),0)))/100)),1))*IF(VLOOKUP(A50,tbMoveset!A2:K112,11,FALSE)=TRUE,Backdoors!AC5,1))*FV50,0),"")</f>
        <v>0</v>
      </c>
      <c r="FZ50" s="49">
        <f>VLOOKUP(A50,tbMoveset!A2:G112,7,FALSE)*IFERROR(IF(Backdoors!AI12&gt;=0,1+(IF(Calculator!E40&gt;0,VLOOKUP(Calculator!E40,tbSkills!AI3:AJ5,2,FALSE),Backdoors!AL4)*(IF((Backdoors!AI12+IF(FU50&gt;=0.45,VLOOKUP(Calculator!E23,tbSkills!DH3:DI6,2,FALSE)+IF(AND(Calculator!B8=TRUE,Backdoors!BI28=TRUE),VLOOKUP(Calculator!E23,tbSkills!DH3:DJ6,3,FALSE),0),0))&gt;=100,100,(Backdoors!AI12+IF(FU50&gt;=0.45,VLOOKUP(Calculator!E23,tbSkills!DH3:DI6,2,FALSE)+IF(AND(Calculator!B8=TRUE,Backdoors!BI28=TRUE),VLOOKUP(Calculator!E23,tbSkills!DH3:DJ6,3,FALSE),0),0)))/100)),1),1)</f>
        <v>0.8</v>
      </c>
      <c r="GA50" s="87">
        <f t="shared" si="18"/>
        <v>0</v>
      </c>
      <c r="GB50" s="86" t="str">
        <f>IFERROR(IF(VLOOKUP(A50,tbMoveset!A2:B112,2,FALSE)="Sever",Backdoors!AY29/100,IF(VLOOKUP(A50,tbMoveset!A2:B112,2,FALSE)="Blunt",Backdoors!AZ29/100,Backdoors!BA29/100)),"")</f>
        <v/>
      </c>
      <c r="GC50" s="49">
        <f>IFERROR(IF(VLOOKUP(tbMoveset!A50,tbMoveset!A2:H112,8,FALSE)="Other",IF(VLOOKUP(tbMoveset!A50,tbMoveset!A2:I112,9,FALSE)="Fire",Backdoors!BB29,IF(VLOOKUP(tbMoveset!A50,tbMoveset!A2:I112,9,FALSE)="Water",Backdoors!BC29,IF(VLOOKUP(tbMoveset!A50,tbMoveset!A2:I112,9,FALSE)="Thunder",Backdoors!BD29,IF(VLOOKUP(tbMoveset!A50,tbMoveset!A2:I112,9,FALSE)="Ice",Backdoors!BE29,IF(VLOOKUP(tbMoveset!A50,tbMoveset!A2:I112,9,FALSE)="Dragon",Backdoors!BF29,Backdoors!BG29)))))/100,Backdoors!BG29/100),"")</f>
        <v>0</v>
      </c>
      <c r="GD50" s="49">
        <f>IFERROR(IF(VLOOKUP(A50,tbMoveset!A2:J112,10,FALSE)=TRUE,IF((Backdoors!AI12+IF(GB50&gt;=0.45,VLOOKUP(Calculator!E23,tbSkills!DH3:DI6,2,FALSE)+IF(AND(Calculator!B8=TRUE,Backdoors!BI29=TRUE),VLOOKUP(Calculator!E23,tbSkills!DH3:DJ6,3,FALSE),0),0))&gt;=0,1+(Backdoors!AL2*(IF((Backdoors!AI12+IF(GB50&gt;=0.45,VLOOKUP(Calculator!E23,tbSkills!DH3:DI6,2,FALSE)+IF(AND(Calculator!B8=TRUE,Backdoors!BI29=TRUE),VLOOKUP(Calculator!E23,tbSkills!DH3:DJ6,3,FALSE),0),0))&gt;=100,100,(Backdoors!AI12+IF(GB50&gt;=0.45,VLOOKUP(Calculator!E23,tbSkills!DH3:DI6,2,FALSE)+IF(AND(Calculator!B8=TRUE,Backdoors!BI29=TRUE),VLOOKUP(Calculator!E23,tbSkills!DH3:DJ6,3,FALSE),0),0)))/100)),(1-(0.25*((-Backdoors!AI12-IF(GB50&gt;=0.45,VLOOKUP(Calculator!E23,tbSkills!DH3:DI6,2,FALSE)+IF(AND(Calculator!B8=TRUE,Backdoors!BI29=TRUE),VLOOKUP(Calculator!E23,tbSkills!DH3:DJ6,3,FALSE),0),0))/100)))),1),"")</f>
        <v>1</v>
      </c>
      <c r="GE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B50)*GD50)*(VLOOKUP(A50,tbMoveset!A2:C112,3,FALSE)/100)*IF(VLOOKUP(A50,tbMoveset!A2:B112,2,FALSE)="Projectile",Backdoors!N10,Backdoors!N9),0),"")</f>
        <v/>
      </c>
      <c r="GF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B50&gt;=0.45,VLOOKUP(Calculator!E23,tbSkills!DH3:DI6,2,FALSE)+IF(AND(Calculator!B8=TRUE,Backdoors!BI29=TRUE),VLOOKUP(Calculator!E23,tbSkills!DH3:DJ6,3,FALSE),0),0))&gt;=100,100,(Backdoors!AI12+IF(GB50&gt;=0.45,VLOOKUP(Calculator!E23,tbSkills!DH3:DI6,2,FALSE)+IF(AND(Calculator!B8=TRUE,Backdoors!BI29=TRUE),VLOOKUP(Calculator!E23,tbSkills!DH3:DJ6,3,FALSE),0),0)))/100)),1))*IF(VLOOKUP(A50,tbMoveset!A2:K112,11,FALSE)=TRUE,Backdoors!AC5,1))*GC50,0),"")</f>
        <v>0</v>
      </c>
      <c r="GG50" s="49">
        <f>VLOOKUP(A50,tbMoveset!A2:G112,7,FALSE)*IFERROR(IF(Backdoors!AI12&gt;=0,1+(IF(Calculator!E40&gt;0,VLOOKUP(Calculator!E40,tbSkills!AI3:AJ5,2,FALSE),Backdoors!AL4)*(IF((Backdoors!AI12+IF(GB50&gt;=0.45,VLOOKUP(Calculator!E23,tbSkills!DH3:DI6,2,FALSE)+IF(AND(Calculator!B8=TRUE,Backdoors!BI29=TRUE),VLOOKUP(Calculator!E23,tbSkills!DH3:DJ6,3,FALSE),0),0))&gt;=100,100,(Backdoors!AI12+IF(GB50&gt;=0.45,VLOOKUP(Calculator!E23,tbSkills!DH3:DI6,2,FALSE)+IF(AND(Calculator!B8=TRUE,Backdoors!BI29=TRUE),VLOOKUP(Calculator!E23,tbSkills!DH3:DJ6,3,FALSE),0),0)))/100)),1),1)</f>
        <v>0.8</v>
      </c>
      <c r="GH50" s="87">
        <f t="shared" si="19"/>
        <v>0</v>
      </c>
      <c r="GI50" s="86" t="str">
        <f>IFERROR(IF(VLOOKUP(A50,tbMoveset!A2:B112,2,FALSE)="Sever",Backdoors!AY30/100,IF(VLOOKUP(A50,tbMoveset!A2:B112,2,FALSE)="Blunt",Backdoors!AZ30/100,Backdoors!BA30/100)),"")</f>
        <v/>
      </c>
      <c r="GJ50" s="49">
        <f>IFERROR(IF(VLOOKUP(tbMoveset!A50,tbMoveset!A2:H112,8,FALSE)="Other",IF(VLOOKUP(tbMoveset!A50,tbMoveset!A2:I112,9,FALSE)="Fire",Backdoors!BB30,IF(VLOOKUP(tbMoveset!A50,tbMoveset!A2:I112,9,FALSE)="Water",Backdoors!BC30,IF(VLOOKUP(tbMoveset!A50,tbMoveset!A2:I112,9,FALSE)="Thunder",Backdoors!BD30,IF(VLOOKUP(tbMoveset!A50,tbMoveset!A2:I112,9,FALSE)="Ice",Backdoors!BE30,IF(VLOOKUP(tbMoveset!A50,tbMoveset!A2:I112,9,FALSE)="Dragon",Backdoors!BF30,Backdoors!BG30)))))/100,Backdoors!BG30/100),"")</f>
        <v>0</v>
      </c>
      <c r="GK50" s="49">
        <f>IFERROR(IF(VLOOKUP(A50,tbMoveset!A2:J112,10,FALSE)=TRUE,IF((Backdoors!AI12+IF(GI50&gt;=0.45,VLOOKUP(Calculator!E23,tbSkills!DH3:DI6,2,FALSE)+IF(AND(Calculator!B8=TRUE,Backdoors!BI30=TRUE),VLOOKUP(Calculator!E23,tbSkills!DH3:DJ6,3,FALSE),0),0))&gt;=0,1+(Backdoors!AL2*(IF((Backdoors!AI12+IF(GI50&gt;=0.45,VLOOKUP(Calculator!E23,tbSkills!DH3:DI6,2,FALSE)+IF(AND(Calculator!B8=TRUE,Backdoors!BI30=TRUE),VLOOKUP(Calculator!E23,tbSkills!DH3:DJ6,3,FALSE),0),0))&gt;=100,100,(Backdoors!AI12+IF(GI50&gt;=0.45,VLOOKUP(Calculator!E23,tbSkills!DH3:DI6,2,FALSE)+IF(AND(Calculator!B8=TRUE,Backdoors!BI30=TRUE),VLOOKUP(Calculator!E23,tbSkills!DH3:DJ6,3,FALSE),0),0)))/100)),(1-(0.25*((-Backdoors!AI12-IF(GI50&gt;=0.45,VLOOKUP(Calculator!E23,tbSkills!DH3:DI6,2,FALSE)+IF(AND(Calculator!B8=TRUE,Backdoors!BI30=TRUE),VLOOKUP(Calculator!E23,tbSkills!DH3:DJ6,3,FALSE),0),0))/100)))),1),"")</f>
        <v>1</v>
      </c>
      <c r="GL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I50)*GK50)*(VLOOKUP(A50,tbMoveset!A2:C112,3,FALSE)/100)*IF(VLOOKUP(A50,tbMoveset!A2:B112,2,FALSE)="Projectile",Backdoors!N10,Backdoors!N9),0),"")</f>
        <v/>
      </c>
      <c r="GM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I50&gt;=0.45,VLOOKUP(Calculator!E23,tbSkills!DH3:DI6,2,FALSE)+IF(AND(Calculator!B8=TRUE,Backdoors!BI30=TRUE),VLOOKUP(Calculator!E23,tbSkills!DH3:DJ6,3,FALSE),0),0))&gt;=100,100,(Backdoors!AI12+IF(GI50&gt;=0.45,VLOOKUP(Calculator!E23,tbSkills!DH3:DI6,2,FALSE)+IF(AND(Calculator!B8=TRUE,Backdoors!BI30=TRUE),VLOOKUP(Calculator!E23,tbSkills!DH3:DJ6,3,FALSE),0),0)))/100)),1))*IF(VLOOKUP(A50,tbMoveset!A2:K112,11,FALSE)=TRUE,Backdoors!AC5,1))*GJ50,0),"")</f>
        <v>0</v>
      </c>
      <c r="GN50" s="49">
        <f>VLOOKUP(A50,tbMoveset!A2:G112,7,FALSE)*IFERROR(IF(Backdoors!AI12&gt;=0,1+(IF(Calculator!E40&gt;0,VLOOKUP(Calculator!E40,tbSkills!AI3:AJ5,2,FALSE),Backdoors!AL4)*(IF((Backdoors!AI12+IF(GI50&gt;=0.45,VLOOKUP(Calculator!E23,tbSkills!DH3:DI6,2,FALSE)+IF(AND(Calculator!B8=TRUE,Backdoors!BI30=TRUE),VLOOKUP(Calculator!E23,tbSkills!DH3:DJ6,3,FALSE),0),0))&gt;=100,100,(Backdoors!AI12+IF(GI50&gt;=0.45,VLOOKUP(Calculator!E23,tbSkills!DH3:DI6,2,FALSE)+IF(AND(Calculator!B8=TRUE,Backdoors!BI30=TRUE),VLOOKUP(Calculator!E23,tbSkills!DH3:DJ6,3,FALSE),0),0)))/100)),1),1)</f>
        <v>0.8</v>
      </c>
      <c r="GO50" s="87">
        <f t="shared" si="20"/>
        <v>0</v>
      </c>
      <c r="GP50" s="86" t="str">
        <f>IFERROR(IF(VLOOKUP(A50,tbMoveset!A2:B112,2,FALSE)="Sever",Backdoors!AY31/100,IF(VLOOKUP(A50,tbMoveset!A2:B112,2,FALSE)="Blunt",Backdoors!AZ31/100,Backdoors!BA31/100)),"")</f>
        <v/>
      </c>
      <c r="GQ50" s="49">
        <f>IFERROR(IF(VLOOKUP(tbMoveset!A50,tbMoveset!A2:H112,8,FALSE)="Other",IF(VLOOKUP(tbMoveset!A50,tbMoveset!A2:I112,9,FALSE)="Fire",Backdoors!BB31,IF(VLOOKUP(tbMoveset!A50,tbMoveset!A2:I112,9,FALSE)="Water",Backdoors!BC31,IF(VLOOKUP(tbMoveset!A50,tbMoveset!A2:I112,9,FALSE)="Thunder",Backdoors!BD31,IF(VLOOKUP(tbMoveset!A50,tbMoveset!A2:I112,9,FALSE)="Ice",Backdoors!BE31,IF(VLOOKUP(tbMoveset!A50,tbMoveset!A2:I112,9,FALSE)="Dragon",Backdoors!BF31,Backdoors!BG31)))))/100,Backdoors!BG31/100),"")</f>
        <v>0</v>
      </c>
      <c r="GR50" s="49">
        <f>IFERROR(IF(VLOOKUP(A50,tbMoveset!A2:J112,10,FALSE)=TRUE,IF((Backdoors!AI12+IF(GP50&gt;=0.45,VLOOKUP(Calculator!E23,tbSkills!DH3:DI6,2,FALSE)+IF(AND(Calculator!B8=TRUE,Backdoors!BI31=TRUE),VLOOKUP(Calculator!E23,tbSkills!DH3:DJ6,3,FALSE),0),0))&gt;=0,1+(Backdoors!AL2*(IF((Backdoors!AI12+IF(GP50&gt;=0.45,VLOOKUP(Calculator!E23,tbSkills!DH3:DI6,2,FALSE)+IF(AND(Calculator!B8=TRUE,Backdoors!BI31=TRUE),VLOOKUP(Calculator!E23,tbSkills!DH3:DJ6,3,FALSE),0),0))&gt;=100,100,(Backdoors!AI12+IF(GP50&gt;=0.45,VLOOKUP(Calculator!E23,tbSkills!DH3:DI6,2,FALSE)+IF(AND(Calculator!B8=TRUE,Backdoors!BI31=TRUE),VLOOKUP(Calculator!E23,tbSkills!DH3:DJ6,3,FALSE),0),0)))/100)),(1-(0.25*((-Backdoors!AI12-IF(GP50&gt;=0.45,VLOOKUP(Calculator!E23,tbSkills!DH3:DI6,2,FALSE)+IF(AND(Calculator!B8=TRUE,Backdoors!BI31=TRUE),VLOOKUP(Calculator!E23,tbSkills!DH3:DJ6,3,FALSE),0),0))/100)))),1),"")</f>
        <v>1</v>
      </c>
      <c r="GS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P50)*GR50)*(VLOOKUP(A50,tbMoveset!A2:C112,3,FALSE)/100)*IF(VLOOKUP(A50,tbMoveset!A2:B112,2,FALSE)="Projectile",Backdoors!N10,Backdoors!N9),0),"")</f>
        <v/>
      </c>
      <c r="GT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P50&gt;=0.45,VLOOKUP(Calculator!E23,tbSkills!DH3:DI6,2,FALSE)+IF(AND(Calculator!B8=TRUE,Backdoors!BI31=TRUE),VLOOKUP(Calculator!E23,tbSkills!DH3:DJ6,3,FALSE),0),0))&gt;=100,100,(Backdoors!AI12+IF(GP50&gt;=0.45,VLOOKUP(Calculator!E23,tbSkills!DH3:DI6,2,FALSE)+IF(AND(Calculator!B8=TRUE,Backdoors!BI31=TRUE),VLOOKUP(Calculator!E23,tbSkills!DH3:DJ6,3,FALSE),0),0)))/100)),1))*IF(VLOOKUP(A50,tbMoveset!A2:K112,11,FALSE)=TRUE,Backdoors!AC5,1))*GQ50,0),"")</f>
        <v>0</v>
      </c>
      <c r="GU50" s="49">
        <f>VLOOKUP(A50,tbMoveset!A2:G112,7,FALSE)*IFERROR(IF(Backdoors!AI12&gt;=0,1+(IF(Calculator!E40&gt;0,VLOOKUP(Calculator!E40,tbSkills!AI3:AJ5,2,FALSE),Backdoors!AL4)*(IF((Backdoors!AI12+IF(GP50&gt;=0.45,VLOOKUP(Calculator!E23,tbSkills!DH3:DI6,2,FALSE)+IF(AND(Calculator!B8=TRUE,Backdoors!BI31=TRUE),VLOOKUP(Calculator!E23,tbSkills!DH3:DJ6,3,FALSE),0),0))&gt;=100,100,(Backdoors!AI12+IF(GP50&gt;=0.45,VLOOKUP(Calculator!E23,tbSkills!DH3:DI6,2,FALSE)+IF(AND(Calculator!B8=TRUE,Backdoors!BI31=TRUE),VLOOKUP(Calculator!E23,tbSkills!DH3:DJ6,3,FALSE),0),0)))/100)),1),1)</f>
        <v>0.8</v>
      </c>
      <c r="GV50" s="87">
        <f t="shared" si="21"/>
        <v>0</v>
      </c>
      <c r="GW50" s="86" t="str">
        <f>IFERROR(IF(VLOOKUP(A50,tbMoveset!A2:B112,2,FALSE)="Sever",Backdoors!AY32/100,IF(VLOOKUP(A50,tbMoveset!A2:B112,2,FALSE)="Blunt",Backdoors!AZ32/100,Backdoors!BA32/100)),"")</f>
        <v/>
      </c>
      <c r="GX50" s="49">
        <f>IFERROR(IF(VLOOKUP(tbMoveset!A50,tbMoveset!A2:H112,8,FALSE)="Other",IF(VLOOKUP(tbMoveset!A50,tbMoveset!A2:I112,9,FALSE)="Fire",Backdoors!BB32,IF(VLOOKUP(tbMoveset!A50,tbMoveset!A2:I112,9,FALSE)="Water",Backdoors!BC32,IF(VLOOKUP(tbMoveset!A50,tbMoveset!A2:I112,9,FALSE)="Thunder",Backdoors!BD32,IF(VLOOKUP(tbMoveset!A50,tbMoveset!A2:I112,9,FALSE)="Ice",Backdoors!BE32,IF(VLOOKUP(tbMoveset!A50,tbMoveset!A2:I112,9,FALSE)="Dragon",Backdoors!BF32,Backdoors!BG32)))))/100,Backdoors!BG32/100),"")</f>
        <v>0</v>
      </c>
      <c r="GY50" s="49">
        <f>IFERROR(IF(VLOOKUP(A50,tbMoveset!A2:J112,10,FALSE)=TRUE,IF((Backdoors!AI12+IF(GW50&gt;=0.45,VLOOKUP(Calculator!E23,tbSkills!DH3:DI6,2,FALSE)+IF(AND(Calculator!B8=TRUE,Backdoors!BI32=TRUE),VLOOKUP(Calculator!E23,tbSkills!DH3:DJ6,3,FALSE),0),0))&gt;=0,1+(Backdoors!AL2*(IF((Backdoors!AI12+IF(GW50&gt;=0.45,VLOOKUP(Calculator!E23,tbSkills!DH3:DI6,2,FALSE)+IF(AND(Calculator!B8=TRUE,Backdoors!BI32=TRUE),VLOOKUP(Calculator!E23,tbSkills!DH3:DJ6,3,FALSE),0),0))&gt;=100,100,(Backdoors!AI12+IF(GW50&gt;=0.45,VLOOKUP(Calculator!E23,tbSkills!DH3:DI6,2,FALSE)+IF(AND(Calculator!B8=TRUE,Backdoors!BI32=TRUE),VLOOKUP(Calculator!E23,tbSkills!DH3:DJ6,3,FALSE),0),0)))/100)),(1-(0.25*((-Backdoors!AI12-IF(GW50&gt;=0.45,VLOOKUP(Calculator!E23,tbSkills!DH3:DI6,2,FALSE)+IF(AND(Calculator!B8=TRUE,Backdoors!BI32=TRUE),VLOOKUP(Calculator!E23,tbSkills!DH3:DJ6,3,FALSE),0),0))/100)))),1),"")</f>
        <v>1</v>
      </c>
      <c r="GZ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W50)*GY50)*(VLOOKUP(A50,tbMoveset!A2:C112,3,FALSE)/100)*IF(VLOOKUP(A50,tbMoveset!A2:B112,2,FALSE)="Projectile",Backdoors!N10,Backdoors!N9),0),"")</f>
        <v/>
      </c>
      <c r="HA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W50&gt;=0.45,VLOOKUP(Calculator!E23,tbSkills!DH3:DI6,2,FALSE)+IF(AND(Calculator!B8=TRUE,Backdoors!BI32=TRUE),VLOOKUP(Calculator!E23,tbSkills!DH3:DJ6,3,FALSE),0),0))&gt;=100,100,(Backdoors!AI12+IF(GW50&gt;=0.45,VLOOKUP(Calculator!E23,tbSkills!DH3:DI6,2,FALSE)+IF(AND(Calculator!B8=TRUE,Backdoors!BI32=TRUE),VLOOKUP(Calculator!E23,tbSkills!DH3:DJ6,3,FALSE),0),0)))/100)),1))*IF(VLOOKUP(A50,tbMoveset!A2:K112,11,FALSE)=TRUE,Backdoors!AC5,1))*GX50,0),"")</f>
        <v>0</v>
      </c>
      <c r="HB50" s="49">
        <f>VLOOKUP(A50,tbMoveset!A2:G112,7,FALSE)*IFERROR(IF(Backdoors!AI12&gt;=0,1+(IF(Calculator!E40&gt;0,VLOOKUP(Calculator!E40,tbSkills!AI3:AJ5,2,FALSE),Backdoors!AL4)*(IF((Backdoors!AI12+IF(GW50&gt;=0.45,VLOOKUP(Calculator!E23,tbSkills!DH3:DI6,2,FALSE)+IF(AND(Calculator!B8=TRUE,Backdoors!BI32=TRUE),VLOOKUP(Calculator!E23,tbSkills!DH3:DJ6,3,FALSE),0),0))&gt;=100,100,(Backdoors!AI12+IF(GW50&gt;=0.45,VLOOKUP(Calculator!E23,tbSkills!DH3:DI6,2,FALSE)+IF(AND(Calculator!B8=TRUE,Backdoors!BI32=TRUE),VLOOKUP(Calculator!E23,tbSkills!DH3:DJ6,3,FALSE),0),0)))/100)),1),1)</f>
        <v>0.8</v>
      </c>
      <c r="HC50" s="87">
        <f t="shared" si="22"/>
        <v>0</v>
      </c>
      <c r="HD50" s="86" t="str">
        <f>IFERROR(IF(VLOOKUP(A50,tbMoveset!A2:B112,2,FALSE)="Sever",Backdoors!AY33/100,IF(VLOOKUP(A50,tbMoveset!A2:B112,2,FALSE)="Blunt",Backdoors!AZ33/100,Backdoors!BA33/100)),"")</f>
        <v/>
      </c>
      <c r="HE50" s="49">
        <f>IFERROR(IF(VLOOKUP(tbMoveset!A50,tbMoveset!A2:H112,8,FALSE)="Other",IF(VLOOKUP(tbMoveset!A50,tbMoveset!A2:I112,9,FALSE)="Fire",Backdoors!BB33,IF(VLOOKUP(tbMoveset!A50,tbMoveset!A2:I112,9,FALSE)="Water",Backdoors!BC33,IF(VLOOKUP(tbMoveset!A50,tbMoveset!A2:I112,9,FALSE)="Thunder",Backdoors!BD33,IF(VLOOKUP(tbMoveset!A50,tbMoveset!A2:I112,9,FALSE)="Ice",Backdoors!BE33,IF(VLOOKUP(tbMoveset!A50,tbMoveset!A2:I112,9,FALSE)="Dragon",Backdoors!BF33,Backdoors!BG33)))))/100,Backdoors!BG33/100),"")</f>
        <v>0</v>
      </c>
      <c r="HF50" s="49">
        <f>IFERROR(IF(VLOOKUP(A50,tbMoveset!A2:J112,10,FALSE)=TRUE,IF((Backdoors!AI12+IF(HD50&gt;=0.45,VLOOKUP(Calculator!E23,tbSkills!DH3:DI6,2,FALSE)+IF(AND(Calculator!B8=TRUE,Backdoors!BI33=TRUE),VLOOKUP(Calculator!E23,tbSkills!DH3:DJ6,3,FALSE),0),0))&gt;=0,1+(Backdoors!AL2*(IF((Backdoors!AI12+IF(HD50&gt;=0.45,VLOOKUP(Calculator!E23,tbSkills!DH3:DI6,2,FALSE)+IF(AND(Calculator!B8=TRUE,Backdoors!BI33=TRUE),VLOOKUP(Calculator!E23,tbSkills!DH3:DJ6,3,FALSE),0),0))&gt;=100,100,(Backdoors!AI12+IF(HD50&gt;=0.45,VLOOKUP(Calculator!E23,tbSkills!DH3:DI6,2,FALSE)+IF(AND(Calculator!B8=TRUE,Backdoors!BI33=TRUE),VLOOKUP(Calculator!E23,tbSkills!DH3:DJ6,3,FALSE),0),0)))/100)),(1-(0.25*((-Backdoors!AI12-IF(HD50&gt;=0.45,VLOOKUP(Calculator!E23,tbSkills!DH3:DI6,2,FALSE)+IF(AND(Calculator!B8=TRUE,Backdoors!BI33=TRUE),VLOOKUP(Calculator!E23,tbSkills!DH3:DJ6,3,FALSE),0),0))/100)))),1),"")</f>
        <v>1</v>
      </c>
      <c r="HG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D50)*HF50)*(VLOOKUP(A50,tbMoveset!A2:C112,3,FALSE)/100)*IF(VLOOKUP(A50,tbMoveset!A2:B112,2,FALSE)="Projectile",Backdoors!N10,Backdoors!N9),0),"")</f>
        <v/>
      </c>
      <c r="HH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D50&gt;=0.45,VLOOKUP(Calculator!E23,tbSkills!DH3:DI6,2,FALSE)+IF(AND(Calculator!B8=TRUE,Backdoors!BI33=TRUE),VLOOKUP(Calculator!E23,tbSkills!DH3:DJ6,3,FALSE),0),0))&gt;=100,100,(Backdoors!AI12+IF(HD50&gt;=0.45,VLOOKUP(Calculator!E23,tbSkills!DH3:DI6,2,FALSE)+IF(AND(Calculator!B8=TRUE,Backdoors!BI33=TRUE),VLOOKUP(Calculator!E23,tbSkills!DH3:DJ6,3,FALSE),0),0)))/100)),1))*IF(VLOOKUP(A50,tbMoveset!A2:K112,11,FALSE)=TRUE,Backdoors!AC5,1))*HE50,0),"")</f>
        <v>0</v>
      </c>
      <c r="HI50" s="49">
        <f>VLOOKUP(A50,tbMoveset!A2:G112,7,FALSE)*IFERROR(IF(Backdoors!AI12&gt;=0,1+(IF(Calculator!E40&gt;0,VLOOKUP(Calculator!E40,tbSkills!AI3:AJ5,2,FALSE),Backdoors!AL4)*(IF((Backdoors!AI12+IF(HD50&gt;=0.45,VLOOKUP(Calculator!E23,tbSkills!DH3:DI6,2,FALSE)+IF(AND(Calculator!B8=TRUE,Backdoors!BI33=TRUE),VLOOKUP(Calculator!E23,tbSkills!DH3:DJ6,3,FALSE),0),0))&gt;=100,100,(Backdoors!AI12+IF(HD50&gt;=0.45,VLOOKUP(Calculator!E23,tbSkills!DH3:DI6,2,FALSE)+IF(AND(Calculator!B8=TRUE,Backdoors!BI33=TRUE),VLOOKUP(Calculator!E23,tbSkills!DH3:DJ6,3,FALSE),0),0)))/100)),1),1)</f>
        <v>0.8</v>
      </c>
      <c r="HJ50" s="87">
        <f t="shared" si="23"/>
        <v>0</v>
      </c>
      <c r="HK50" s="86" t="str">
        <f>IFERROR(IF(VLOOKUP(A50,tbMoveset!A2:B112,2,FALSE)="Sever",Backdoors!AY34/100,IF(VLOOKUP(A50,tbMoveset!A2:B112,2,FALSE)="Blunt",Backdoors!AZ34/100,Backdoors!BA34/100)),"")</f>
        <v/>
      </c>
      <c r="HL50" s="49">
        <f>IFERROR(IF(VLOOKUP(tbMoveset!A50,tbMoveset!A2:H112,8,FALSE)="Other",IF(VLOOKUP(tbMoveset!A50,tbMoveset!A2:I112,9,FALSE)="Fire",Backdoors!BB34,IF(VLOOKUP(tbMoveset!A50,tbMoveset!A2:I112,9,FALSE)="Water",Backdoors!BC34,IF(VLOOKUP(tbMoveset!A50,tbMoveset!A2:I112,9,FALSE)="Thunder",Backdoors!BD34,IF(VLOOKUP(tbMoveset!A50,tbMoveset!A2:I112,9,FALSE)="Ice",Backdoors!BE34,IF(VLOOKUP(tbMoveset!A50,tbMoveset!A2:I112,9,FALSE)="Dragon",Backdoors!BF34,Backdoors!BG34)))))/100,Backdoors!BG34/100),"")</f>
        <v>0</v>
      </c>
      <c r="HM50" s="49">
        <f>IFERROR(IF(VLOOKUP(A50,tbMoveset!A2:J112,10,FALSE)=TRUE,IF((Backdoors!AI12+IF(HK50&gt;=0.45,VLOOKUP(Calculator!E23,tbSkills!DH3:DI6,2,FALSE)+IF(AND(Calculator!B8=TRUE,Backdoors!BI34=TRUE),VLOOKUP(Calculator!E23,tbSkills!DH3:DJ6,3,FALSE),0),0))&gt;=0,1+(Backdoors!AL2*(IF((Backdoors!AI12+IF(HK50&gt;=0.45,VLOOKUP(Calculator!E23,tbSkills!DH3:DI6,2,FALSE)+IF(AND(Calculator!B8=TRUE,Backdoors!BI34=TRUE),VLOOKUP(Calculator!E23,tbSkills!DH3:DJ6,3,FALSE),0),0))&gt;=100,100,(Backdoors!AI12+IF(HK50&gt;=0.45,VLOOKUP(Calculator!E23,tbSkills!DH3:DI6,2,FALSE)+IF(AND(Calculator!B8=TRUE,Backdoors!BI34=TRUE),VLOOKUP(Calculator!E23,tbSkills!DH3:DJ6,3,FALSE),0),0)))/100)),(1-(0.25*((-Backdoors!AI12-IF(HK50&gt;=0.45,VLOOKUP(Calculator!E23,tbSkills!DH3:DI6,2,FALSE)+IF(AND(Calculator!B8=TRUE,Backdoors!BI34=TRUE),VLOOKUP(Calculator!E23,tbSkills!DH3:DJ6,3,FALSE),0),0))/100)))),1),"")</f>
        <v>1</v>
      </c>
      <c r="HN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K50)*HM50)*(VLOOKUP(A50,tbMoveset!A2:C112,3,FALSE)/100)*IF(VLOOKUP(A50,tbMoveset!A2:B112,2,FALSE)="Projectile",Backdoors!N10,Backdoors!N9),0),"")</f>
        <v/>
      </c>
      <c r="HO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K50&gt;=0.45,VLOOKUP(Calculator!E23,tbSkills!DH3:DI6,2,FALSE)+IF(AND(Calculator!B8=TRUE,Backdoors!BI34=TRUE),VLOOKUP(Calculator!E23,tbSkills!DH3:DJ6,3,FALSE),0),0))&gt;=100,100,(Backdoors!AI12+IF(HK50&gt;=0.45,VLOOKUP(Calculator!E23,tbSkills!DH3:DI6,2,FALSE)+IF(AND(Calculator!B8=TRUE,Backdoors!BI34=TRUE),VLOOKUP(Calculator!E23,tbSkills!DH3:DJ6,3,FALSE),0),0)))/100)),1))*IF(VLOOKUP(A50,tbMoveset!A2:K112,11,FALSE)=TRUE,Backdoors!AC5,1))*HL50,0),"")</f>
        <v>0</v>
      </c>
      <c r="HP50" s="49">
        <f>VLOOKUP(A50,tbMoveset!A2:G112,7,FALSE)*IFERROR(IF(Backdoors!AI12&gt;=0,1+(IF(Calculator!E40&gt;0,VLOOKUP(Calculator!E40,tbSkills!AI3:AJ5,2,FALSE),Backdoors!AL4)*(IF((Backdoors!AI12+IF(HK50&gt;=0.45,VLOOKUP(Calculator!E23,tbSkills!DH3:DI6,2,FALSE)+IF(AND(Calculator!B8=TRUE,Backdoors!BI34=TRUE),VLOOKUP(Calculator!E23,tbSkills!DH3:DJ6,3,FALSE),0),0))&gt;=100,100,(Backdoors!AI12+IF(HK50&gt;=0.45,VLOOKUP(Calculator!E23,tbSkills!DH3:DI6,2,FALSE)+IF(AND(Calculator!B8=TRUE,Backdoors!BI34=TRUE),VLOOKUP(Calculator!E23,tbSkills!DH3:DJ6,3,FALSE),0),0)))/100)),1),1)</f>
        <v>0.8</v>
      </c>
      <c r="HQ50" s="87">
        <f t="shared" si="24"/>
        <v>0</v>
      </c>
      <c r="HR50" s="86" t="str">
        <f>IFERROR(IF(VLOOKUP(A50,tbMoveset!A2:B112,2,FALSE)="Sever",Backdoors!AY35/100,IF(VLOOKUP(A50,tbMoveset!A2:B112,2,FALSE)="Blunt",Backdoors!AZ35/100,Backdoors!BA35/100)),"")</f>
        <v/>
      </c>
      <c r="HS50" s="49">
        <f>IFERROR(IF(VLOOKUP(tbMoveset!A50,tbMoveset!A2:H112,8,FALSE)="Other",IF(VLOOKUP(tbMoveset!A50,tbMoveset!A2:I112,9,FALSE)="Fire",Backdoors!BB35,IF(VLOOKUP(tbMoveset!A50,tbMoveset!A2:I112,9,FALSE)="Water",Backdoors!BC35,IF(VLOOKUP(tbMoveset!A50,tbMoveset!A2:I112,9,FALSE)="Thunder",Backdoors!BD35,IF(VLOOKUP(tbMoveset!A50,tbMoveset!A2:I112,9,FALSE)="Ice",Backdoors!BE35,IF(VLOOKUP(tbMoveset!A50,tbMoveset!A2:I112,9,FALSE)="Dragon",Backdoors!BF35,Backdoors!BG35)))))/100,Backdoors!BG35/100),"")</f>
        <v>0</v>
      </c>
      <c r="HT50" s="49">
        <f>IFERROR(IF(VLOOKUP(A50,tbMoveset!A2:J112,10,FALSE)=TRUE,IF((Backdoors!AI12+IF(HR50&gt;=0.45,VLOOKUP(Calculator!E23,tbSkills!DH3:DI6,2,FALSE)+IF(AND(Calculator!B8=TRUE,Backdoors!BI35=TRUE),VLOOKUP(Calculator!E23,tbSkills!DH3:DJ6,3,FALSE),0),0))&gt;=0,1+(Backdoors!AL2*(IF((Backdoors!AI12+IF(HR50&gt;=0.45,VLOOKUP(Calculator!E23,tbSkills!DH3:DI6,2,FALSE)+IF(AND(Calculator!B8=TRUE,Backdoors!BI35=TRUE),VLOOKUP(Calculator!E23,tbSkills!DH3:DJ6,3,FALSE),0),0))&gt;=100,100,(Backdoors!AI12+IF(HR50&gt;=0.45,VLOOKUP(Calculator!E23,tbSkills!DH3:DI6,2,FALSE)+IF(AND(Calculator!B8=TRUE,Backdoors!BI35=TRUE),VLOOKUP(Calculator!E23,tbSkills!DH3:DJ6,3,FALSE),0),0)))/100)),(1-(0.25*((-Backdoors!AI12-IF(HR50&gt;=0.45,VLOOKUP(Calculator!E23,tbSkills!DH3:DI6,2,FALSE)+IF(AND(Calculator!B8=TRUE,Backdoors!BI35=TRUE),VLOOKUP(Calculator!E23,tbSkills!DH3:DJ6,3,FALSE),0),0))/100)))),1),"")</f>
        <v>1</v>
      </c>
      <c r="HU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R50)*HT50)*(VLOOKUP(A50,tbMoveset!A2:C112,3,FALSE)/100)*IF(VLOOKUP(A50,tbMoveset!A2:B112,2,FALSE)="Projectile",Backdoors!N10,Backdoors!N9),0),"")</f>
        <v/>
      </c>
      <c r="HV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R50&gt;=0.45,VLOOKUP(Calculator!E23,tbSkills!DH3:DI6,2,FALSE)+IF(AND(Calculator!B8=TRUE,Backdoors!BI35=TRUE),VLOOKUP(Calculator!E23,tbSkills!DH3:DJ6,3,FALSE),0),0))&gt;=100,100,(Backdoors!AI12+IF(HR50&gt;=0.45,VLOOKUP(Calculator!E23,tbSkills!DH3:DI6,2,FALSE)+IF(AND(Calculator!B8=TRUE,Backdoors!BI35=TRUE),VLOOKUP(Calculator!E23,tbSkills!DH3:DJ6,3,FALSE),0),0)))/100)),1))*IF(VLOOKUP(A50,tbMoveset!A2:K112,11,FALSE)=TRUE,Backdoors!AC5,1))*HS50,0),"")</f>
        <v>0</v>
      </c>
      <c r="HW50" s="49">
        <f>VLOOKUP(A50,tbMoveset!A2:G112,7,FALSE)*IFERROR(IF(Backdoors!AI12&gt;=0,1+(IF(Calculator!E40&gt;0,VLOOKUP(Calculator!E40,tbSkills!AI3:AJ5,2,FALSE),Backdoors!AL4)*(IF((Backdoors!AI12+IF(HR50&gt;=0.45,VLOOKUP(Calculator!E23,tbSkills!DH3:DI6,2,FALSE)+IF(AND(Calculator!B8=TRUE,Backdoors!BI35=TRUE),VLOOKUP(Calculator!E23,tbSkills!DH3:DJ6,3,FALSE),0),0))&gt;=100,100,(Backdoors!AI12+IF(HR50&gt;=0.45,VLOOKUP(Calculator!E23,tbSkills!DH3:DI6,2,FALSE)+IF(AND(Calculator!B8=TRUE,Backdoors!BI35=TRUE),VLOOKUP(Calculator!E23,tbSkills!DH3:DJ6,3,FALSE),0),0)))/100)),1),1)</f>
        <v>0.8</v>
      </c>
      <c r="HX50" s="87">
        <f t="shared" si="25"/>
        <v>0</v>
      </c>
      <c r="HY50" s="86" t="str">
        <f>IFERROR(IF(VLOOKUP(A50,tbMoveset!A2:B112,2,FALSE)="Sever",Backdoors!AY36/100,IF(VLOOKUP(A50,tbMoveset!A2:B112,2,FALSE)="Blunt",Backdoors!AZ36/100,Backdoors!BA36/100)),"")</f>
        <v/>
      </c>
      <c r="HZ50" s="49">
        <f>IFERROR(IF(VLOOKUP(tbMoveset!A50,tbMoveset!A2:H112,8,FALSE)="Other",IF(VLOOKUP(tbMoveset!A50,tbMoveset!A2:I112,9,FALSE)="Fire",Backdoors!BB36,IF(VLOOKUP(tbMoveset!A50,tbMoveset!A2:I112,9,FALSE)="Water",Backdoors!BC36,IF(VLOOKUP(tbMoveset!A50,tbMoveset!A2:I112,9,FALSE)="Thunder",Backdoors!BD36,IF(VLOOKUP(tbMoveset!A50,tbMoveset!A2:I112,9,FALSE)="Ice",Backdoors!BE36,IF(VLOOKUP(tbMoveset!A50,tbMoveset!A2:I112,9,FALSE)="Dragon",Backdoors!BF36,Backdoors!BG36)))))/100,Backdoors!BG36/100),"")</f>
        <v>0</v>
      </c>
      <c r="IA50" s="49">
        <f>IFERROR(IF(VLOOKUP(A50,tbMoveset!A2:J112,10,FALSE)=TRUE,IF((Backdoors!AI12+IF(HY50&gt;=0.45,VLOOKUP(Calculator!E23,tbSkills!DH3:DI6,2,FALSE)+IF(AND(Calculator!B8=TRUE,Backdoors!BI36=TRUE),VLOOKUP(Calculator!E23,tbSkills!DH3:DJ6,3,FALSE),0),0))&gt;=0,1+(Backdoors!AL2*(IF((Backdoors!AI12+IF(HY50&gt;=0.45,VLOOKUP(Calculator!E23,tbSkills!DH3:DI6,2,FALSE)+IF(AND(Calculator!B8=TRUE,Backdoors!BI36=TRUE),VLOOKUP(Calculator!E23,tbSkills!DH3:DJ6,3,FALSE),0),0))&gt;=100,100,(Backdoors!AI12+IF(HY50&gt;=0.45,VLOOKUP(Calculator!E23,tbSkills!DH3:DI6,2,FALSE)+IF(AND(Calculator!B8=TRUE,Backdoors!BI36=TRUE),VLOOKUP(Calculator!E23,tbSkills!DH3:DJ6,3,FALSE),0),0)))/100)),(1-(0.25*((-Backdoors!AI12-IF(HY50&gt;=0.45,VLOOKUP(Calculator!E23,tbSkills!DH3:DI6,2,FALSE)+IF(AND(Calculator!B8=TRUE,Backdoors!BI36=TRUE),VLOOKUP(Calculator!E23,tbSkills!DH3:DJ6,3,FALSE),0),0))/100)))),1),"")</f>
        <v>1</v>
      </c>
      <c r="IB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Y50)*IA50)*(VLOOKUP(A50,tbMoveset!A2:C112,3,FALSE)/100)*IF(VLOOKUP(A50,tbMoveset!A2:B112,2,FALSE)="Projectile",Backdoors!N10,Backdoors!N9),0),"")</f>
        <v/>
      </c>
      <c r="IC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Y50&gt;=0.45,VLOOKUP(Calculator!E23,tbSkills!DH3:DI6,2,FALSE)+IF(AND(Calculator!B8=TRUE,Backdoors!BI36=TRUE),VLOOKUP(Calculator!E23,tbSkills!DH3:DJ6,3,FALSE),0),0))&gt;=100,100,(Backdoors!AI12+IF(HY50&gt;=0.45,VLOOKUP(Calculator!E23,tbSkills!DH3:DI6,2,FALSE)+IF(AND(Calculator!B8=TRUE,Backdoors!BI36=TRUE),VLOOKUP(Calculator!E23,tbSkills!DH3:DJ6,3,FALSE),0),0)))/100)),1))*IF(VLOOKUP(A50,tbMoveset!A2:K112,11,FALSE)=TRUE,Backdoors!AC5,1))*HZ50,0),"")</f>
        <v>0</v>
      </c>
      <c r="ID50" s="49">
        <f>VLOOKUP(A50,tbMoveset!A2:G112,7,FALSE)*IFERROR(IF(Backdoors!AI12&gt;=0,1+(IF(Calculator!E40&gt;0,VLOOKUP(Calculator!E40,tbSkills!AI3:AJ5,2,FALSE),Backdoors!AL4)*(IF((Backdoors!AI12+IF(HY50&gt;=0.45,VLOOKUP(Calculator!E23,tbSkills!DH3:DI6,2,FALSE)+IF(AND(Calculator!B8=TRUE,Backdoors!BI36=TRUE),VLOOKUP(Calculator!E23,tbSkills!DH3:DJ6,3,FALSE),0),0))&gt;=100,100,(Backdoors!AI12+IF(HY50&gt;=0.45,VLOOKUP(Calculator!E23,tbSkills!DH3:DI6,2,FALSE)+IF(AND(Calculator!B8=TRUE,Backdoors!BI36=TRUE),VLOOKUP(Calculator!E23,tbSkills!DH3:DJ6,3,FALSE),0),0)))/100)),1),1)</f>
        <v>0.8</v>
      </c>
      <c r="IE50" s="87">
        <f t="shared" si="26"/>
        <v>0</v>
      </c>
      <c r="IF50" s="86" t="str">
        <f>IFERROR(IF(VLOOKUP(A50,tbMoveset!A2:B112,2,FALSE)="Sever",Backdoors!AY37/100,IF(VLOOKUP(A50,tbMoveset!A2:B112,2,FALSE)="Blunt",Backdoors!AZ37/100,Backdoors!BA37/100)),"")</f>
        <v/>
      </c>
      <c r="IG50" s="49">
        <f>IFERROR(IF(VLOOKUP(tbMoveset!A50,tbMoveset!A2:H112,8,FALSE)="Other",IF(VLOOKUP(tbMoveset!A50,tbMoveset!A2:I112,9,FALSE)="Fire",Backdoors!BB37,IF(VLOOKUP(tbMoveset!A50,tbMoveset!A2:I112,9,FALSE)="Water",Backdoors!BC37,IF(VLOOKUP(tbMoveset!A50,tbMoveset!A2:I112,9,FALSE)="Thunder",Backdoors!BD37,IF(VLOOKUP(tbMoveset!A50,tbMoveset!A2:I112,9,FALSE)="Ice",Backdoors!BE37,IF(VLOOKUP(tbMoveset!A50,tbMoveset!A2:I112,9,FALSE)="Dragon",Backdoors!BF37,Backdoors!BG37)))))/100,Backdoors!BG37/100),"")</f>
        <v>0</v>
      </c>
      <c r="IH50" s="49">
        <f>IFERROR(IF(VLOOKUP(A50,tbMoveset!A2:J112,10,FALSE)=TRUE,IF((Backdoors!AI12+IF(IF50&gt;=0.45,VLOOKUP(Calculator!E23,tbSkills!DH3:DI6,2,FALSE)+IF(AND(Calculator!B8=TRUE,Backdoors!BI37=TRUE),VLOOKUP(Calculator!E23,tbSkills!DH3:DJ6,3,FALSE),0),0))&gt;=0,1+(Backdoors!AL2*(IF((Backdoors!AI12+IF(IF50&gt;=0.45,VLOOKUP(Calculator!E23,tbSkills!DH3:DI6,2,FALSE)+IF(AND(Calculator!B8=TRUE,Backdoors!BI37=TRUE),VLOOKUP(Calculator!E23,tbSkills!DH3:DJ6,3,FALSE),0),0))&gt;=100,100,(Backdoors!AI12+IF(IF50&gt;=0.45,VLOOKUP(Calculator!E23,tbSkills!DH3:DI6,2,FALSE)+IF(AND(Calculator!B8=TRUE,Backdoors!BI37=TRUE),VLOOKUP(Calculator!E23,tbSkills!DH3:DJ6,3,FALSE),0),0)))/100)),(1-(0.25*((-Backdoors!AI12-IF(IF50&gt;=0.45,VLOOKUP(Calculator!E23,tbSkills!DH3:DI6,2,FALSE)+IF(AND(Calculator!B8=TRUE,Backdoors!BI37=TRUE),VLOOKUP(Calculator!E23,tbSkills!DH3:DJ6,3,FALSE),0),0))/100)))),1),"")</f>
        <v>1</v>
      </c>
      <c r="II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F50)*IH50)*(VLOOKUP(A50,tbMoveset!A2:C112,3,FALSE)/100)*IF(VLOOKUP(A50,tbMoveset!A2:B112,2,FALSE)="Projectile",Backdoors!N10,Backdoors!N9),0),"")</f>
        <v/>
      </c>
      <c r="IJ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IF50&gt;=0.45,VLOOKUP(Calculator!E23,tbSkills!DH3:DI6,2,FALSE)+IF(AND(Calculator!B8=TRUE,Backdoors!BI37=TRUE),VLOOKUP(Calculator!E23,tbSkills!DH3:DJ6,3,FALSE),0),0))&gt;=100,100,(Backdoors!AI12+IF(IF50&gt;=0.45,VLOOKUP(Calculator!E23,tbSkills!DH3:DI6,2,FALSE)+IF(AND(Calculator!B8=TRUE,Backdoors!BI37=TRUE),VLOOKUP(Calculator!E23,tbSkills!DH3:DJ6,3,FALSE),0),0)))/100)),1))*IF(VLOOKUP(A50,tbMoveset!A2:K112,11,FALSE)=TRUE,Backdoors!AC5,1))*IG50,0),"")</f>
        <v>0</v>
      </c>
      <c r="IK50" s="49">
        <f>VLOOKUP(A50,tbMoveset!A2:G112,7,FALSE)*IFERROR(IF(Backdoors!AI12&gt;=0,1+(IF(Calculator!E40&gt;0,VLOOKUP(Calculator!E40,tbSkills!AI3:AJ5,2,FALSE),Backdoors!AL4)*(IF((Backdoors!AI12+IF(IF50&gt;=0.45,VLOOKUP(Calculator!E23,tbSkills!DH3:DI6,2,FALSE)+IF(AND(Calculator!B8=TRUE,Backdoors!BI37=TRUE),VLOOKUP(Calculator!E23,tbSkills!DH3:DJ6,3,FALSE),0),0))&gt;=100,100,(Backdoors!AI12+IF(IF50&gt;=0.45,VLOOKUP(Calculator!E23,tbSkills!DH3:DI6,2,FALSE)+IF(AND(Calculator!B8=TRUE,Backdoors!BI37=TRUE),VLOOKUP(Calculator!E23,tbSkills!DH3:DJ6,3,FALSE),0),0)))/100)),1),1)</f>
        <v>0.8</v>
      </c>
      <c r="IL50" s="87">
        <f t="shared" si="27"/>
        <v>0</v>
      </c>
      <c r="IM50" s="86" t="str">
        <f>IFERROR(IF(VLOOKUP(A50,tbMoveset!A2:B112,2,FALSE)="Sever",Backdoors!AY38/100,IF(VLOOKUP(A50,tbMoveset!A2:B112,2,FALSE)="Blunt",Backdoors!AZ38/100,Backdoors!BA38/100)),"")</f>
        <v/>
      </c>
      <c r="IN50" s="49">
        <f>IFERROR(IF(VLOOKUP(tbMoveset!A50,tbMoveset!A2:H112,8,FALSE)="Other",IF(VLOOKUP(tbMoveset!A50,tbMoveset!A2:I112,9,FALSE)="Fire",Backdoors!BB38,IF(VLOOKUP(tbMoveset!A50,tbMoveset!A2:I112,9,FALSE)="Water",Backdoors!BC38,IF(VLOOKUP(tbMoveset!A50,tbMoveset!A2:I112,9,FALSE)="Thunder",Backdoors!BD38,IF(VLOOKUP(tbMoveset!A50,tbMoveset!A2:I112,9,FALSE)="Ice",Backdoors!BE38,IF(VLOOKUP(tbMoveset!A50,tbMoveset!A2:I112,9,FALSE)="Dragon",Backdoors!BF38,Backdoors!BG38)))))/100,Backdoors!BG38/100),"")</f>
        <v>0</v>
      </c>
      <c r="IO50" s="49">
        <f>IFERROR(IF(VLOOKUP(A50,tbMoveset!A2:J112,10,FALSE)=TRUE,IF((Backdoors!AI12+IF(IM50&gt;=0.45,VLOOKUP(Calculator!E23,tbSkills!DH3:DI6,2,FALSE)+IF(AND(Calculator!B8=TRUE,Backdoors!BI38=TRUE),VLOOKUP(Calculator!E23,tbSkills!DH3:DJ6,3,FALSE),0),0))&gt;=0,1+(Backdoors!AL2*(IF((Backdoors!AI12+IF(IM50&gt;=0.45,VLOOKUP(Calculator!E23,tbSkills!DH3:DI6,2,FALSE)+IF(AND(Calculator!B8=TRUE,Backdoors!BI38=TRUE),VLOOKUP(Calculator!E23,tbSkills!DH3:DJ6,3,FALSE),0),0))&gt;=100,100,(Backdoors!AI12+IF(IM50&gt;=0.45,VLOOKUP(Calculator!E23,tbSkills!DH3:DI6,2,FALSE)+IF(AND(Calculator!B8=TRUE,Backdoors!BI38=TRUE),VLOOKUP(Calculator!E23,tbSkills!DH3:DJ6,3,FALSE),0),0)))/100)),(1-(0.25*((-Backdoors!AI12-IF(IM50&gt;=0.45,VLOOKUP(Calculator!E23,tbSkills!DH3:DI6,2,FALSE)+IF(AND(Calculator!B8=TRUE,Backdoors!BI38=TRUE),VLOOKUP(Calculator!E23,tbSkills!DH3:DJ6,3,FALSE),0),0))/100)))),1),"")</f>
        <v>1</v>
      </c>
      <c r="IP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M50)*IO50)*(VLOOKUP(A50,tbMoveset!A2:C112,3,FALSE)/100)*IF(VLOOKUP(A50,tbMoveset!A2:B112,2,FALSE)="Projectile",Backdoors!N10,Backdoors!N9),0),"")</f>
        <v/>
      </c>
      <c r="IQ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IM50&gt;=0.45,VLOOKUP(Calculator!E23,tbSkills!DH3:DI6,2,FALSE)+IF(AND(Calculator!B8=TRUE,Backdoors!BI38=TRUE),VLOOKUP(Calculator!E23,tbSkills!DH3:DJ6,3,FALSE),0),0))&gt;=100,100,(Backdoors!AI12+IF(IM50&gt;=0.45,VLOOKUP(Calculator!E23,tbSkills!DH3:DI6,2,FALSE)+IF(AND(Calculator!B8=TRUE,Backdoors!BI38=TRUE),VLOOKUP(Calculator!E23,tbSkills!DH3:DJ6,3,FALSE),0),0)))/100)),1))*IF(VLOOKUP(A50,tbMoveset!A2:K112,11,FALSE)=TRUE,Backdoors!AC5,1))*IN50,0),"")</f>
        <v>0</v>
      </c>
      <c r="IR50" s="49">
        <f>VLOOKUP(A50,tbMoveset!A2:G112,7,FALSE)*IFERROR(IF(Backdoors!AI12&gt;=0,1+(IF(Calculator!E40&gt;0,VLOOKUP(Calculator!E40,tbSkills!AI3:AJ5,2,FALSE),Backdoors!AL4)*(IF((Backdoors!AI12+IF(IM50&gt;=0.45,VLOOKUP(Calculator!E23,tbSkills!DH3:DI6,2,FALSE)+IF(AND(Calculator!B8=TRUE,Backdoors!BI38=TRUE),VLOOKUP(Calculator!E23,tbSkills!DH3:DJ6,3,FALSE),0),0))&gt;=100,100,(Backdoors!AI12+IF(IM50&gt;=0.45,VLOOKUP(Calculator!E23,tbSkills!DH3:DI6,2,FALSE)+IF(AND(Calculator!B8=TRUE,Backdoors!BI38=TRUE),VLOOKUP(Calculator!E23,tbSkills!DH3:DJ6,3,FALSE),0),0)))/100)),1),1)</f>
        <v>0.8</v>
      </c>
      <c r="IS50" s="87">
        <f t="shared" si="42"/>
        <v>0</v>
      </c>
      <c r="IT50" s="86" t="str">
        <f>IFERROR(IF(VLOOKUP(A50,tbMoveset!A2:B112,2,FALSE)="Sever",Backdoors!AY39/100,IF(VLOOKUP(A50,tbMoveset!A2:B112,2,FALSE)="Blunt",Backdoors!AZ39/100,Backdoors!BA39/100)),"")</f>
        <v/>
      </c>
      <c r="IU50" s="49">
        <f>IFERROR(IF(VLOOKUP(tbMoveset!A50,tbMoveset!A2:H112,8,FALSE)="Other",IF(VLOOKUP(tbMoveset!A50,tbMoveset!A2:I112,9,FALSE)="Fire",Backdoors!BB39,IF(VLOOKUP(tbMoveset!A50,tbMoveset!A2:I112,9,FALSE)="Water",Backdoors!BC39,IF(VLOOKUP(tbMoveset!A50,tbMoveset!A2:I112,9,FALSE)="Thunder",Backdoors!BD39,IF(VLOOKUP(tbMoveset!A50,tbMoveset!A2:I112,9,FALSE)="Ice",Backdoors!BE39,IF(VLOOKUP(tbMoveset!A50,tbMoveset!A2:I112,9,FALSE)="Dragon",Backdoors!BF39,Backdoors!BG39)))))/100,Backdoors!BG39/100),"")</f>
        <v>0</v>
      </c>
      <c r="IV50" s="49">
        <f>IFERROR(IF(VLOOKUP(A50,tbMoveset!A2:J112,10,FALSE)=TRUE,IF((Backdoors!AI12+IF(IT50&gt;=0.45,VLOOKUP(Calculator!E23,tbSkills!DH3:DI6,2,FALSE)+IF(AND(Calculator!B8=TRUE,Backdoors!BI39=TRUE),VLOOKUP(Calculator!E23,tbSkills!DH3:DJ6,3,FALSE),0),0))&gt;=0,1+(Backdoors!AL2*(IF((Backdoors!AI12+IF(IT50&gt;=0.45,VLOOKUP(Calculator!E23,tbSkills!DH3:DI6,2,FALSE)+IF(AND(Calculator!B8=TRUE,Backdoors!BI39=TRUE),VLOOKUP(Calculator!E23,tbSkills!DH3:DJ6,3,FALSE),0),0))&gt;=100,100,(Backdoors!AI12+IF(IT50&gt;=0.45,VLOOKUP(Calculator!E23,tbSkills!DH3:DI6,2,FALSE)+IF(AND(Calculator!B8=TRUE,Backdoors!BI39=TRUE),VLOOKUP(Calculator!E23,tbSkills!DH3:DJ6,3,FALSE),0),0)))/100)),(1-(0.25*((-Backdoors!AI12-IF(IT50&gt;=0.45,VLOOKUP(Calculator!E23,tbSkills!DH3:DI6,2,FALSE)+IF(AND(Calculator!B8=TRUE,Backdoors!BI39=TRUE),VLOOKUP(Calculator!E23,tbSkills!DH3:DJ6,3,FALSE),0),0))/100)))),1),"")</f>
        <v>1</v>
      </c>
      <c r="IW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T50)*IV50)*(VLOOKUP(A50,tbMoveset!A2:C112,3,FALSE)/100)*IF(VLOOKUP(A50,tbMoveset!A2:B112,2,FALSE)="Projectile",Backdoors!N10,Backdoors!N9),0),"")</f>
        <v/>
      </c>
      <c r="IX50" s="49">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40&gt;0,VLOOKUP(Calculator!E40,tbSkills!AC3:AD5,2,FALSE),Backdoors!AL3)*(IF((Backdoors!AI12+IF(IT50&gt;=0.45,VLOOKUP(Calculator!E23,tbSkills!DH3:DI6,2,FALSE)+IF(AND(Calculator!B8=TRUE,Backdoors!BI39=TRUE),VLOOKUP(Calculator!E23,tbSkills!DH3:DJ6,3,FALSE),0),0))&gt;=100,100,(Backdoors!AI12+IF(IT50&gt;=0.45,VLOOKUP(Calculator!E23,tbSkills!DH3:DI6,2,FALSE)+IF(AND(Calculator!B8=TRUE,Backdoors!BI39=TRUE),VLOOKUP(Calculator!E23,tbSkills!DH3:DJ6,3,FALSE),0),0)))/100)),1))*IF(VLOOKUP(A50,tbMoveset!A2:K112,11,FALSE)=TRUE,Backdoors!AC5,1))*IU50,0),"")</f>
        <v>0</v>
      </c>
      <c r="IY50" s="49">
        <f>VLOOKUP(A50,tbMoveset!A2:G112,7,FALSE)*IFERROR(IF(Backdoors!AI12&gt;=0,1+(IF(Calculator!E40&gt;0,VLOOKUP(Calculator!E40,tbSkills!AI3:AJ5,2,FALSE),Backdoors!AL4)*(IF((Backdoors!AI12+IF(IT50&gt;=0.45,VLOOKUP(Calculator!E23,tbSkills!DH3:DI6,2,FALSE)+IF(AND(Calculator!B8=TRUE,Backdoors!BI39=TRUE),VLOOKUP(Calculator!E23,tbSkills!DH3:DJ6,3,FALSE),0),0))&gt;=100,100,(Backdoors!AI12+IF(IT50&gt;=0.45,VLOOKUP(Calculator!E23,tbSkills!DH3:DI6,2,FALSE)+IF(AND(Calculator!B8=TRUE,Backdoors!BI39=TRUE),VLOOKUP(Calculator!E23,tbSkills!DH3:DJ6,3,FALSE),0),0)))/100)),1),1)</f>
        <v>0.8</v>
      </c>
      <c r="IZ50" s="87">
        <f t="shared" si="28"/>
        <v>0</v>
      </c>
      <c r="JA50" s="86" t="str">
        <f>IFERROR(IF(VLOOKUP(A50,tbMoveset!A2:B112,2,FALSE)="Sever",Backdoors!AY40/100,IF(VLOOKUP(A50,tbMoveset!A2:B112,2,FALSE)="Blunt",Backdoors!AZ40/100,Backdoors!BA40/100)),"")</f>
        <v/>
      </c>
      <c r="JB50" s="49">
        <f>IFERROR(IF(VLOOKUP(tbMoveset!A50,tbMoveset!A2:H112,8,FALSE)="Other",IF(VLOOKUP(tbMoveset!A50,tbMoveset!A2:I112,9,FALSE)="Fire",Backdoors!BB40,IF(VLOOKUP(tbMoveset!A50,tbMoveset!A2:I112,9,FALSE)="Water",Backdoors!BC40,IF(VLOOKUP(tbMoveset!A50,tbMoveset!A2:I112,9,FALSE)="Thunder",Backdoors!BD40,IF(VLOOKUP(tbMoveset!A50,tbMoveset!A2:I112,9,FALSE)="Ice",Backdoors!BE40,IF(VLOOKUP(tbMoveset!A50,tbMoveset!A2:I112,9,FALSE)="Dragon",Backdoors!BF40,Backdoors!BG40)))))/100,Backdoors!BG40/100),"")</f>
        <v>0</v>
      </c>
      <c r="JC50" s="49">
        <f>IFERROR(IF(VLOOKUP(A50,tbMoveset!A2:J112,10,FALSE)=TRUE,IF((Backdoors!AI12+IF(JA50&gt;=0.45,VLOOKUP(Calculator!E23,tbSkills!DH3:DI6,2,FALSE)+IF(AND(Calculator!B8=TRUE,Backdoors!BI40=TRUE),VLOOKUP(Calculator!E23,tbSkills!DH3:DJ6,3,FALSE),0),0))&gt;=0,1+(Backdoors!AL2*(IF((Backdoors!AI12+IF(JA50&gt;=0.45,VLOOKUP(Calculator!E23,tbSkills!DH3:DI6,2,FALSE)+IF(AND(Calculator!B8=TRUE,Backdoors!BI40=TRUE),VLOOKUP(Calculator!E23,tbSkills!DH3:DJ6,3,FALSE),0),0))&gt;=100,100,(Backdoors!AI12+IF(JA50&gt;=0.45,VLOOKUP(Calculator!E23,tbSkills!DH3:DI6,2,FALSE)+IF(AND(Calculator!B8=TRUE,Backdoors!BI40=TRUE),VLOOKUP(Calculator!E23,tbSkills!DH3:DJ6,3,FALSE),0),0)))/100)),(1-(0.25*((-Backdoors!AI12-IF(JA50&gt;=0.45,VLOOKUP(Calculator!E23,tbSkills!DH3:DI6,2,FALSE)+IF(AND(Calculator!B8=TRUE,Backdoors!BI40=TRUE),VLOOKUP(Calculator!E23,tbSkills!DH3:DJ6,3,FALSE),0),0))/100)))),1),"")</f>
        <v>1</v>
      </c>
      <c r="JD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A50)*JC50)*(VLOOKUP(A50,tbMoveset!A2:C112,3,FALSE)/100)*IF(VLOOKUP(A50,tbMoveset!A2:B112,2,FALSE)="Projectile",Backdoors!N10,Backdoors!N9),0),"")</f>
        <v/>
      </c>
      <c r="JE50" s="49">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42&gt;0,VLOOKUP(Calculator!E42,tbSkills!AC3:AD5,2,FALSE),Backdoors!AL3)*(IF((Backdoors!AI12+IF(JA50&gt;=0.45,VLOOKUP(Calculator!E23,tbSkills!DH3:DI6,2,FALSE)+IF(AND(Calculator!B8=TRUE,Backdoors!BI40=TRUE),VLOOKUP(Calculator!E23,tbSkills!DH3:DJ6,3,FALSE),0),0))&gt;=100,100,(Backdoors!AI12+IF(JA50&gt;=0.45,VLOOKUP(Calculator!E23,tbSkills!DH3:DI6,2,FALSE)+IF(AND(Calculator!B8=TRUE,Backdoors!BI40=TRUE),VLOOKUP(Calculator!E23,tbSkills!DH3:DJ6,3,FALSE),0),0)))/100)),1))*IF(VLOOKUP(A50,tbMoveset!A2:K112,11,FALSE)=TRUE,Backdoors!AC5,1))*JB50,0),"")</f>
        <v>0</v>
      </c>
      <c r="JF50" s="49">
        <f>VLOOKUP(A50,tbMoveset!A2:G112,7,FALSE)*IFERROR(IF(Backdoors!AI12&gt;=0,1+(IF(Calculator!E40&gt;0,VLOOKUP(Calculator!E40,tbSkills!AI3:AJ5,2,FALSE),Backdoors!AL4)*(IF((Backdoors!AI12+IF(JA50&gt;=0.45,VLOOKUP(Calculator!E23,tbSkills!DH3:DI6,2,FALSE)+IF(AND(Calculator!B8=TRUE,Backdoors!BI40=TRUE),VLOOKUP(Calculator!E23,tbSkills!DH3:DJ6,3,FALSE),0),0))&gt;=100,100,(Backdoors!AI12+IF(JA50&gt;=0.45,VLOOKUP(Calculator!E23,tbSkills!DH3:DI6,2,FALSE)+IF(AND(Calculator!B8=TRUE,Backdoors!BI40=TRUE),VLOOKUP(Calculator!E23,tbSkills!DH3:DJ6,3,FALSE),0),0)))/100)),1),1)</f>
        <v>0.8</v>
      </c>
      <c r="JG50" s="87">
        <f t="shared" si="29"/>
        <v>0</v>
      </c>
      <c r="JH50" s="86" t="str">
        <f>IFERROR(IF(VLOOKUP(A50,tbMoveset!A2:B112,2,FALSE)="Sever",Backdoors!AY41/100,IF(VLOOKUP(A50,tbMoveset!A2:B112,2,FALSE)="Blunt",Backdoors!AZ41/100,Backdoors!BA41/100)),"")</f>
        <v/>
      </c>
      <c r="JI50" s="49">
        <f>IFERROR(IF(VLOOKUP(tbMoveset!A50,tbMoveset!A2:H112,8,FALSE)="Other",IF(VLOOKUP(tbMoveset!A50,tbMoveset!A2:I112,9,FALSE)="Fire",Backdoors!BB41,IF(VLOOKUP(tbMoveset!A50,tbMoveset!A2:I112,9,FALSE)="Water",Backdoors!BC41,IF(VLOOKUP(tbMoveset!A50,tbMoveset!A2:I112,9,FALSE)="Thunder",Backdoors!BD41,IF(VLOOKUP(tbMoveset!A50,tbMoveset!A2:I112,9,FALSE)="Ice",Backdoors!BE41,IF(VLOOKUP(tbMoveset!A50,tbMoveset!A2:I112,9,FALSE)="Dragon",Backdoors!BF41,Backdoors!BG41)))))/100,Backdoors!BG41/100),"")</f>
        <v>0</v>
      </c>
      <c r="JJ50" s="49">
        <f>IFERROR(IF(VLOOKUP(A50,tbMoveset!A2:J112,10,FALSE)=TRUE,IF((Backdoors!AI12+IF(JH50&gt;=0.45,VLOOKUP(Calculator!E23,tbSkills!DH3:DI6,2,FALSE)+IF(AND(Calculator!B8=TRUE,Backdoors!BI41=TRUE),VLOOKUP(Calculator!E23,tbSkills!DH3:DJ6,3,FALSE),0),0))&gt;=0,1+(Backdoors!AL2*(IF((Backdoors!AI12+IF(JH50&gt;=0.45,VLOOKUP(Calculator!E23,tbSkills!DH3:DI6,2,FALSE)+IF(AND(Calculator!B8=TRUE,Backdoors!BI41=TRUE),VLOOKUP(Calculator!E23,tbSkills!DH3:DJ6,3,FALSE),0),0))&gt;=100,100,(Backdoors!AI12+IF(JH50&gt;=0.45,VLOOKUP(Calculator!E23,tbSkills!DH3:DI6,2,FALSE)+IF(AND(Calculator!B8=TRUE,Backdoors!BI41=TRUE),VLOOKUP(Calculator!E23,tbSkills!DH3:DJ6,3,FALSE),0),0)))/100)),(1-(0.25*((-Backdoors!AI12-IF(JH50&gt;=0.45,VLOOKUP(Calculator!E23,tbSkills!DH3:DI6,2,FALSE)+IF(AND(Calculator!B8=TRUE,Backdoors!BI41=TRUE),VLOOKUP(Calculator!E23,tbSkills!DH3:DJ6,3,FALSE),0),0))/100)))),1),"")</f>
        <v>1</v>
      </c>
      <c r="JK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H50)*JJ50)*(VLOOKUP(A50,tbMoveset!A2:C112,3,FALSE)/100)*IF(VLOOKUP(A50,tbMoveset!A2:B112,2,FALSE)="Projectile",Backdoors!N10,Backdoors!N9),0),"")</f>
        <v/>
      </c>
      <c r="JL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43&gt;0,VLOOKUP(Calculator!E43,tbSkills!AC3:AD5,2,FALSE),Backdoors!AL3)*(IF((Backdoors!AI12+IF(JH50&gt;=0.45,VLOOKUP(Calculator!E23,tbSkills!DH3:DI6,2,FALSE)+IF(AND(Calculator!B8=TRUE,Backdoors!BI41=TRUE),VLOOKUP(Calculator!E23,tbSkills!DH3:DJ6,3,FALSE),0),0))&gt;=100,100,(Backdoors!AI12+IF(JH50&gt;=0.45,VLOOKUP(Calculator!E23,tbSkills!DH3:DI6,2,FALSE)+IF(AND(Calculator!B8=TRUE,Backdoors!BI41=TRUE),VLOOKUP(Calculator!E23,tbSkills!DH3:DJ6,3,FALSE),0),0)))/100)),1))*IF(VLOOKUP(A50,tbMoveset!A2:K112,11,FALSE)=TRUE,Backdoors!AC5,1))*JI50,0),"")</f>
        <v/>
      </c>
      <c r="JM50" s="49">
        <f>VLOOKUP(A50,tbMoveset!A2:G112,7,FALSE)*IFERROR(IF(Backdoors!AI12&gt;=0,1+(IF(Calculator!E40&gt;0,VLOOKUP(Calculator!E40,tbSkills!AI3:AJ5,2,FALSE),Backdoors!AL4)*(IF((Backdoors!AI12+IF(JH50&gt;=0.45,VLOOKUP(Calculator!E23,tbSkills!DH3:DI6,2,FALSE)+IF(AND(Calculator!B8=TRUE,Backdoors!BI41=TRUE),VLOOKUP(Calculator!E23,tbSkills!DH3:DJ6,3,FALSE),0),0))&gt;=100,100,(Backdoors!AI12+IF(JH50&gt;=0.45,VLOOKUP(Calculator!E23,tbSkills!DH3:DI6,2,FALSE)+IF(AND(Calculator!B8=TRUE,Backdoors!BI41=TRUE),VLOOKUP(Calculator!E23,tbSkills!DH3:DJ6,3,FALSE),0),0)))/100)),1),1)</f>
        <v>0.8</v>
      </c>
      <c r="JN50" s="87">
        <f t="shared" si="30"/>
        <v>0</v>
      </c>
      <c r="JO50" s="86" t="str">
        <f>IFERROR(IF(VLOOKUP(A50,tbMoveset!A2:B112,2,FALSE)="Sever",Backdoors!AY42/100,IF(VLOOKUP(A50,tbMoveset!A2:B112,2,FALSE)="Blunt",Backdoors!AZ42/100,Backdoors!BA42/100)),"")</f>
        <v/>
      </c>
      <c r="JP50" s="49">
        <f>IFERROR(IF(VLOOKUP(tbMoveset!A50,tbMoveset!A2:H112,8,FALSE)="Other",IF(VLOOKUP(tbMoveset!A50,tbMoveset!A2:I112,9,FALSE)="Fire",Backdoors!BB42,IF(VLOOKUP(tbMoveset!A50,tbMoveset!A2:I112,9,FALSE)="Water",Backdoors!BC42,IF(VLOOKUP(tbMoveset!A50,tbMoveset!A2:I112,9,FALSE)="Thunder",Backdoors!BD42,IF(VLOOKUP(tbMoveset!A50,tbMoveset!A2:I112,9,FALSE)="Ice",Backdoors!BE42,IF(VLOOKUP(tbMoveset!A50,tbMoveset!A2:I112,9,FALSE)="Dragon",Backdoors!BF42,Backdoors!BG42)))))/100,Backdoors!BG42/100),"")</f>
        <v>0</v>
      </c>
      <c r="JQ50" s="49">
        <f>IFERROR(IF(VLOOKUP(A50,tbMoveset!A2:J112,10,FALSE)=TRUE,IF((Backdoors!AI12+IF(JO50&gt;=0.45,VLOOKUP(Calculator!E23,tbSkills!DH3:DI6,2,FALSE)+IF(AND(Calculator!B8=TRUE,Backdoors!BI42=TRUE),VLOOKUP(Calculator!E23,tbSkills!DH3:DJ6,3,FALSE),0),0))&gt;=0,1+(Backdoors!AL2*(IF((Backdoors!AI12+IF(JO50&gt;=0.45,VLOOKUP(Calculator!E23,tbSkills!DH3:DI6,2,FALSE)+IF(AND(Calculator!B8=TRUE,Backdoors!BI42=TRUE),VLOOKUP(Calculator!E23,tbSkills!DH3:DJ6,3,FALSE),0),0))&gt;=100,100,(Backdoors!AI12+IF(JO50&gt;=0.45,VLOOKUP(Calculator!E23,tbSkills!DH3:DI6,2,FALSE)+IF(AND(Calculator!B8=TRUE,Backdoors!BI42=TRUE),VLOOKUP(Calculator!E23,tbSkills!DH3:DJ6,3,FALSE),0),0)))/100)),(1-(0.25*((-Backdoors!AI12-IF(JO50&gt;=0.45,VLOOKUP(Calculator!E23,tbSkills!DH3:DI6,2,FALSE)+IF(AND(Calculator!B8=TRUE,Backdoors!BI42=TRUE),VLOOKUP(Calculator!E23,tbSkills!DH3:DJ6,3,FALSE),0),0))/100)))),1),"")</f>
        <v>1</v>
      </c>
      <c r="JR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O50)*JQ50)*(VLOOKUP(A50,tbMoveset!A2:C112,3,FALSE)/100)*IF(VLOOKUP(A50,tbMoveset!A2:B112,2,FALSE)="Projectile",Backdoors!N10,Backdoors!N9),0),"")</f>
        <v/>
      </c>
      <c r="JS50" s="49">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45&gt;0,VLOOKUP(Calculator!E45,tbSkills!AC3:AD5,2,FALSE),Backdoors!AL3)*(IF((Backdoors!AI12+IF(JO50&gt;=0.45,VLOOKUP(Calculator!E23,tbSkills!DH3:DI6,2,FALSE)+IF(AND(Calculator!B8=TRUE,Backdoors!BI42=TRUE),VLOOKUP(Calculator!E23,tbSkills!DH3:DJ6,3,FALSE),0),0))&gt;=100,100,(Backdoors!AI12+IF(JO50&gt;=0.45,VLOOKUP(Calculator!E23,tbSkills!DH3:DI6,2,FALSE)+IF(AND(Calculator!B8=TRUE,Backdoors!BI42=TRUE),VLOOKUP(Calculator!E23,tbSkills!DH3:DJ6,3,FALSE),0),0)))/100)),1))*IF(VLOOKUP(A50,tbMoveset!A2:K112,11,FALSE)=TRUE,Backdoors!AC5,1))*JP50,0),"")</f>
        <v>0</v>
      </c>
      <c r="JT50" s="49">
        <f>VLOOKUP(A50,tbMoveset!A2:G112,7,FALSE)*IFERROR(IF(Backdoors!AI12&gt;=0,1+(IF(Calculator!E40&gt;0,VLOOKUP(Calculator!E40,tbSkills!AI3:AJ5,2,FALSE),Backdoors!AL4)*(IF((Backdoors!AI12+IF(JO50&gt;=0.45,VLOOKUP(Calculator!E23,tbSkills!DH3:DI6,2,FALSE)+IF(AND(Calculator!B8=TRUE,Backdoors!BI42=TRUE),VLOOKUP(Calculator!E23,tbSkills!DH3:DJ6,3,FALSE),0),0))&gt;=100,100,(Backdoors!AI12+IF(JO50&gt;=0.45,VLOOKUP(Calculator!E23,tbSkills!DH3:DI6,2,FALSE)+IF(AND(Calculator!B8=TRUE,Backdoors!BI42=TRUE),VLOOKUP(Calculator!E23,tbSkills!DH3:DJ6,3,FALSE),0),0)))/100)),1),1)</f>
        <v>0.8</v>
      </c>
      <c r="JU50" s="87">
        <f t="shared" si="31"/>
        <v>0</v>
      </c>
      <c r="JV50" s="86" t="str">
        <f>IFERROR(IF(VLOOKUP(A50,tbMoveset!A2:B112,2,FALSE)="Sever",Backdoors!AY43/100,IF(VLOOKUP(A50,tbMoveset!A2:B112,2,FALSE)="Blunt",Backdoors!AZ43/100,Backdoors!BA43/100)),"")</f>
        <v/>
      </c>
      <c r="JW50" s="49">
        <f>IFERROR(IF(VLOOKUP(tbMoveset!A50,tbMoveset!A2:H112,8,FALSE)="Other",IF(VLOOKUP(tbMoveset!A50,tbMoveset!A2:I112,9,FALSE)="Fire",Backdoors!BB43,IF(VLOOKUP(tbMoveset!A50,tbMoveset!A2:I112,9,FALSE)="Water",Backdoors!BC43,IF(VLOOKUP(tbMoveset!A50,tbMoveset!A2:I112,9,FALSE)="Thunder",Backdoors!BD43,IF(VLOOKUP(tbMoveset!A50,tbMoveset!A2:I112,9,FALSE)="Ice",Backdoors!BE43,IF(VLOOKUP(tbMoveset!A50,tbMoveset!A2:I112,9,FALSE)="Dragon",Backdoors!BF43,Backdoors!BG43)))))/100,Backdoors!BG43/100),"")</f>
        <v>0</v>
      </c>
      <c r="JX50" s="49">
        <f>IFERROR(IF(VLOOKUP(A50,tbMoveset!A2:J112,10,FALSE)=TRUE,IF((Backdoors!AI12+IF(JV50&gt;=0.45,VLOOKUP(Calculator!E23,tbSkills!DH3:DI6,2,FALSE)+IF(AND(Calculator!B8=TRUE,Backdoors!BI43=TRUE),VLOOKUP(Calculator!E23,tbSkills!DH3:DJ6,3,FALSE),0),0))&gt;=0,1+(Backdoors!AL2*(IF((Backdoors!AI12+IF(JV50&gt;=0.45,VLOOKUP(Calculator!E23,tbSkills!DH3:DI6,2,FALSE)+IF(AND(Calculator!B8=TRUE,Backdoors!BI43=TRUE),VLOOKUP(Calculator!E23,tbSkills!DH3:DJ6,3,FALSE),0),0))&gt;=100,100,(Backdoors!AI12+IF(JV50&gt;=0.45,VLOOKUP(Calculator!E23,tbSkills!DH3:DI6,2,FALSE)+IF(AND(Calculator!B8=TRUE,Backdoors!BI43=TRUE),VLOOKUP(Calculator!E23,tbSkills!DH3:DJ6,3,FALSE),0),0)))/100)),(1-(0.25*((-Backdoors!AI12-IF(JV50&gt;=0.45,VLOOKUP(Calculator!E23,tbSkills!DH3:DI6,2,FALSE)+IF(AND(Calculator!B8=TRUE,Backdoors!BI43=TRUE),VLOOKUP(Calculator!E23,tbSkills!DH3:DJ6,3,FALSE),0),0))/100)))),1),"")</f>
        <v>1</v>
      </c>
      <c r="JY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V50)*JX50)*(VLOOKUP(A50,tbMoveset!A2:C112,3,FALSE)/100)*IF(VLOOKUP(A50,tbMoveset!A2:B112,2,FALSE)="Projectile",Backdoors!N10,Backdoors!N9),0),"")</f>
        <v/>
      </c>
      <c r="JZ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46&gt;0,VLOOKUP(Calculator!E46,tbSkills!AC3:AD5,2,FALSE),Backdoors!AL3)*(IF((Backdoors!AI12+IF(JV50&gt;=0.45,VLOOKUP(Calculator!E23,tbSkills!DH3:DI6,2,FALSE)+IF(AND(Calculator!B8=TRUE,Backdoors!BI43=TRUE),VLOOKUP(Calculator!E23,tbSkills!DH3:DJ6,3,FALSE),0),0))&gt;=100,100,(Backdoors!AI12+IF(JV50&gt;=0.45,VLOOKUP(Calculator!E23,tbSkills!DH3:DI6,2,FALSE)+IF(AND(Calculator!B8=TRUE,Backdoors!BI43=TRUE),VLOOKUP(Calculator!E23,tbSkills!DH3:DJ6,3,FALSE),0),0)))/100)),1))*IF(VLOOKUP(A50,tbMoveset!A2:K112,11,FALSE)=TRUE,Backdoors!AC5,1))*JW50,0),"")</f>
        <v/>
      </c>
      <c r="KA50" s="49">
        <f>VLOOKUP(A50,tbMoveset!A2:G112,7,FALSE)*IFERROR(IF(Backdoors!AI12&gt;=0,1+(IF(Calculator!E40&gt;0,VLOOKUP(Calculator!E40,tbSkills!AI3:AJ5,2,FALSE),Backdoors!AL4)*(IF((Backdoors!AI12+IF(JV50&gt;=0.45,VLOOKUP(Calculator!E23,tbSkills!DH3:DI6,2,FALSE)+IF(AND(Calculator!B8=TRUE,Backdoors!BI43=TRUE),VLOOKUP(Calculator!E23,tbSkills!DH3:DJ6,3,FALSE),0),0))&gt;=100,100,(Backdoors!AI12+IF(JV50&gt;=0.45,VLOOKUP(Calculator!E23,tbSkills!DH3:DI6,2,FALSE)+IF(AND(Calculator!B8=TRUE,Backdoors!BI43=TRUE),VLOOKUP(Calculator!E23,tbSkills!DH3:DJ6,3,FALSE),0),0)))/100)),1),1)</f>
        <v>0.8</v>
      </c>
      <c r="KB50" s="87">
        <f t="shared" si="32"/>
        <v>0</v>
      </c>
      <c r="KC50" s="86" t="str">
        <f>IFERROR(IF(VLOOKUP(A50,tbMoveset!A2:B112,2,FALSE)="Sever",Backdoors!AY44/100,IF(VLOOKUP(A50,tbMoveset!A2:B112,2,FALSE)="Blunt",Backdoors!AZ44/100,Backdoors!BA44/100)),"")</f>
        <v/>
      </c>
      <c r="KD50" s="49">
        <f>IFERROR(IF(VLOOKUP(tbMoveset!A50,tbMoveset!A2:H112,8,FALSE)="Other",IF(VLOOKUP(tbMoveset!A50,tbMoveset!A2:I112,9,FALSE)="Fire",Backdoors!BB44,IF(VLOOKUP(tbMoveset!A50,tbMoveset!A2:I112,9,FALSE)="Water",Backdoors!BC44,IF(VLOOKUP(tbMoveset!A50,tbMoveset!A2:I112,9,FALSE)="Thunder",Backdoors!BD44,IF(VLOOKUP(tbMoveset!A50,tbMoveset!A2:I112,9,FALSE)="Ice",Backdoors!BE44,IF(VLOOKUP(tbMoveset!A50,tbMoveset!A2:I112,9,FALSE)="Dragon",Backdoors!BF44,Backdoors!BG44)))))/100,Backdoors!BG44/100),"")</f>
        <v>0</v>
      </c>
      <c r="KE50" s="49">
        <f>IFERROR(IF(VLOOKUP(A50,tbMoveset!A2:J112,10,FALSE)=TRUE,IF((Backdoors!AI12+IF(KC50&gt;=0.45,VLOOKUP(Calculator!E23,tbSkills!DH3:DI6,2,FALSE)+IF(AND(Calculator!B8=TRUE,Backdoors!BI44=TRUE),VLOOKUP(Calculator!E23,tbSkills!DH3:DJ6,3,FALSE),0),0))&gt;=0,1+(Backdoors!AL2*(IF((Backdoors!AI12+IF(KC50&gt;=0.45,VLOOKUP(Calculator!E23,tbSkills!DH3:DI6,2,FALSE)+IF(AND(Calculator!B8=TRUE,Backdoors!BI44=TRUE),VLOOKUP(Calculator!E23,tbSkills!DH3:DJ6,3,FALSE),0),0))&gt;=100,100,(Backdoors!AI12+IF(KC50&gt;=0.45,VLOOKUP(Calculator!E23,tbSkills!DH3:DI6,2,FALSE)+IF(AND(Calculator!B8=TRUE,Backdoors!BI44=TRUE),VLOOKUP(Calculator!E23,tbSkills!DH3:DJ6,3,FALSE),0),0)))/100)),(1-(0.25*((-Backdoors!AI12-IF(KC50&gt;=0.45,VLOOKUP(Calculator!E23,tbSkills!DH3:DI6,2,FALSE)+IF(AND(Calculator!B8=TRUE,Backdoors!BI44=TRUE),VLOOKUP(Calculator!E23,tbSkills!DH3:DJ6,3,FALSE),0),0))/100)))),1),"")</f>
        <v>1</v>
      </c>
      <c r="KF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KC50)*KE50)*(VLOOKUP(A50,tbMoveset!A2:C112,3,FALSE)/100)*IF(VLOOKUP(A50,tbMoveset!A2:B112,2,FALSE)="Projectile",Backdoors!N10,Backdoors!N9),0),"")</f>
        <v/>
      </c>
      <c r="KG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REF!&gt;0,VLOOKUP(Calculator!#REF!,tbSkills!AC3:AD5,2,FALSE),Backdoors!AL3)*(IF((Backdoors!AI12+IF(KC50&gt;=0.45,VLOOKUP(Calculator!E23,tbSkills!DH3:DI6,2,FALSE)+IF(AND(Calculator!B8=TRUE,Backdoors!BI44=TRUE),VLOOKUP(Calculator!E23,tbSkills!DH3:DJ6,3,FALSE),0),0))&gt;=100,100,(Backdoors!AI12+IF(KC50&gt;=0.45,VLOOKUP(Calculator!E23,tbSkills!DH3:DI6,2,FALSE)+IF(AND(Calculator!B8=TRUE,Backdoors!BI44=TRUE),VLOOKUP(Calculator!E23,tbSkills!DH3:DJ6,3,FALSE),0),0)))/100)),1))*IF(VLOOKUP(A50,tbMoveset!A2:K112,11,FALSE)=TRUE,Backdoors!AC5,1))*KD50,0),"")</f>
        <v/>
      </c>
      <c r="KH50" s="49">
        <f>VLOOKUP(A50,tbMoveset!A2:G112,7,FALSE)*IFERROR(IF(Backdoors!AI12&gt;=0,1+(IF(Calculator!E40&gt;0,VLOOKUP(Calculator!E40,tbSkills!AI3:AJ5,2,FALSE),Backdoors!AL4)*(IF((Backdoors!AI12+IF(KC50&gt;=0.45,VLOOKUP(Calculator!E23,tbSkills!DH3:DI6,2,FALSE)+IF(AND(Calculator!B8=TRUE,Backdoors!BI44=TRUE),VLOOKUP(Calculator!E23,tbSkills!DH3:DJ6,3,FALSE),0),0))&gt;=100,100,(Backdoors!AI12+IF(KC50&gt;=0.45,VLOOKUP(Calculator!E23,tbSkills!DH3:DI6,2,FALSE)+IF(AND(Calculator!B8=TRUE,Backdoors!BI44=TRUE),VLOOKUP(Calculator!E23,tbSkills!DH3:DJ6,3,FALSE),0),0)))/100)),1),1)</f>
        <v>0.8</v>
      </c>
      <c r="KI50" s="87">
        <f t="shared" si="33"/>
        <v>0</v>
      </c>
      <c r="KJ50" s="86" t="str">
        <f>IFERROR(IF(VLOOKUP(A50,tbMoveset!A2:B112,2,FALSE)="Sever",Backdoors!AY45/100,IF(VLOOKUP(A50,tbMoveset!A2:B112,2,FALSE)="Blunt",Backdoors!AZ45/100,Backdoors!BA45/100)),"")</f>
        <v/>
      </c>
      <c r="KK50" s="49">
        <f>IFERROR(IF(VLOOKUP(tbMoveset!A50,tbMoveset!A2:H112,8,FALSE)="Other",IF(VLOOKUP(tbMoveset!A50,tbMoveset!A2:I112,9,FALSE)="Fire",Backdoors!BB45,IF(VLOOKUP(tbMoveset!A50,tbMoveset!A2:I112,9,FALSE)="Water",Backdoors!BC45,IF(VLOOKUP(tbMoveset!A50,tbMoveset!A2:I112,9,FALSE)="Thunder",Backdoors!BD45,IF(VLOOKUP(tbMoveset!A50,tbMoveset!A2:I112,9,FALSE)="Ice",Backdoors!BE45,IF(VLOOKUP(tbMoveset!A50,tbMoveset!A2:I112,9,FALSE)="Dragon",Backdoors!BF45,Backdoors!BG45)))))/100,Backdoors!BG45/100),"")</f>
        <v>0</v>
      </c>
      <c r="KL50" s="49">
        <f>IFERROR(IF(VLOOKUP(A50,tbMoveset!A2:J112,10,FALSE)=TRUE,IF((Backdoors!AI12+IF(KJ50&gt;=0.45,VLOOKUP(Calculator!E23,tbSkills!DH3:DI6,2,FALSE)+IF(AND(Calculator!B8=TRUE,Backdoors!BI45=TRUE),VLOOKUP(Calculator!E23,tbSkills!DH3:DJ6,3,FALSE),0),0))&gt;=0,1+(Backdoors!AL2*(IF((Backdoors!AI12+IF(KJ50&gt;=0.45,VLOOKUP(Calculator!E23,tbSkills!DH3:DI6,2,FALSE)+IF(AND(Calculator!B8=TRUE,Backdoors!BI45=TRUE),VLOOKUP(Calculator!E23,tbSkills!DH3:DJ6,3,FALSE),0),0))&gt;=100,100,(Backdoors!AI12+IF(KJ50&gt;=0.45,VLOOKUP(Calculator!E23,tbSkills!DH3:DI6,2,FALSE)+IF(AND(Calculator!B8=TRUE,Backdoors!BI45=TRUE),VLOOKUP(Calculator!E23,tbSkills!DH3:DJ6,3,FALSE),0),0)))/100)),(1-(0.25*((-Backdoors!AI12-IF(KJ50&gt;=0.45,VLOOKUP(Calculator!E23,tbSkills!DH3:DI6,2,FALSE)+IF(AND(Calculator!B8=TRUE,Backdoors!BI45=TRUE),VLOOKUP(Calculator!E23,tbSkills!DH3:DJ6,3,FALSE),0),0))/100)))),1),"")</f>
        <v>1</v>
      </c>
      <c r="KM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KJ50)*KL50)*(VLOOKUP(A50,tbMoveset!A2:C112,3,FALSE)/100)*IF(VLOOKUP(A50,tbMoveset!A2:B112,2,FALSE)="Projectile",Backdoors!N10,Backdoors!N9),0),"")</f>
        <v/>
      </c>
      <c r="KN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REF!&gt;0,VLOOKUP(Calculator!#REF!,tbSkills!AC3:AD5,2,FALSE),Backdoors!AL3)*(IF((Backdoors!AI12+IF(KJ50&gt;=0.45,VLOOKUP(Calculator!E23,tbSkills!DH3:DI6,2,FALSE)+IF(AND(Calculator!B8=TRUE,Backdoors!BI45=TRUE),VLOOKUP(Calculator!E23,tbSkills!DH3:DJ6,3,FALSE),0),0))&gt;=100,100,(Backdoors!AI12+IF(KJ50&gt;=0.45,VLOOKUP(Calculator!E23,tbSkills!DH3:DI6,2,FALSE)+IF(AND(Calculator!B8=TRUE,Backdoors!BI45=TRUE),VLOOKUP(Calculator!E23,tbSkills!DH3:DJ6,3,FALSE),0),0)))/100)),1))*IF(VLOOKUP(A50,tbMoveset!A2:K112,11,FALSE)=TRUE,Backdoors!AC5,1))*KK50,0),"")</f>
        <v/>
      </c>
      <c r="KO50" s="49">
        <f>VLOOKUP(A50,tbMoveset!A2:G112,7,FALSE)*IFERROR(IF(Backdoors!AI12&gt;=0,1+(IF(Calculator!E40&gt;0,VLOOKUP(Calculator!E40,tbSkills!AI3:AJ5,2,FALSE),Backdoors!AL4)*(IF((Backdoors!AI12+IF(KJ50&gt;=0.45,VLOOKUP(Calculator!E23,tbSkills!DH3:DI6,2,FALSE)+IF(AND(Calculator!B8=TRUE,Backdoors!BI45=TRUE),VLOOKUP(Calculator!E23,tbSkills!DH3:DJ6,3,FALSE),0),0))&gt;=100,100,(Backdoors!AI12+IF(KJ50&gt;=0.45,VLOOKUP(Calculator!E23,tbSkills!DH3:DI6,2,FALSE)+IF(AND(Calculator!B8=TRUE,Backdoors!BI45=TRUE),VLOOKUP(Calculator!E23,tbSkills!DH3:DJ6,3,FALSE),0),0)))/100)),1),1)</f>
        <v>0.8</v>
      </c>
      <c r="KP50" s="87">
        <f t="shared" si="34"/>
        <v>0</v>
      </c>
      <c r="KQ50" s="86" t="str">
        <f>IFERROR(IF(VLOOKUP(A50,tbMoveset!A2:B112,2,FALSE)="Sever",Backdoors!AY46/100,IF(VLOOKUP(A50,tbMoveset!A2:B112,2,FALSE)="Blunt",Backdoors!AZ46/100,Backdoors!BA46/100)),"")</f>
        <v/>
      </c>
      <c r="KR50" s="49">
        <f>IFERROR(IF(VLOOKUP(tbMoveset!A50,tbMoveset!A2:H112,8,FALSE)="Other",IF(VLOOKUP(tbMoveset!A50,tbMoveset!A2:I112,9,FALSE)="Fire",Backdoors!BB46,IF(VLOOKUP(tbMoveset!A50,tbMoveset!A2:I112,9,FALSE)="Water",Backdoors!BC46,IF(VLOOKUP(tbMoveset!A50,tbMoveset!A2:I112,9,FALSE)="Thunder",Backdoors!BD46,IF(VLOOKUP(tbMoveset!A50,tbMoveset!A2:I112,9,FALSE)="Ice",Backdoors!BE46,IF(VLOOKUP(tbMoveset!A50,tbMoveset!A2:I112,9,FALSE)="Dragon",Backdoors!BF46,Backdoors!BG46)))))/100,Backdoors!BG46/100),"")</f>
        <v>0</v>
      </c>
      <c r="KS50" s="49">
        <f>IFERROR(IF(VLOOKUP(A50,tbMoveset!A2:J112,10,FALSE)=TRUE,IF((Backdoors!AI12+IF(KQ50&gt;=0.45,VLOOKUP(Calculator!E23,tbSkills!DH3:DI6,2,FALSE)+IF(AND(Calculator!B8=TRUE,Backdoors!BI46=TRUE),VLOOKUP(Calculator!E23,tbSkills!DH3:DJ6,3,FALSE),0),0))&gt;=0,1+(Backdoors!AL2*(IF((Backdoors!AI12+IF(KQ50&gt;=0.45,VLOOKUP(Calculator!E23,tbSkills!DH3:DI6,2,FALSE)+IF(AND(Calculator!B8=TRUE,Backdoors!BI46=TRUE),VLOOKUP(Calculator!E23,tbSkills!DH3:DJ6,3,FALSE),0),0))&gt;=100,100,(Backdoors!AI12+IF(KQ50&gt;=0.45,VLOOKUP(Calculator!E23,tbSkills!DH3:DI6,2,FALSE)+IF(AND(Calculator!B8=TRUE,Backdoors!BI46=TRUE),VLOOKUP(Calculator!E23,tbSkills!DH3:DJ6,3,FALSE),0),0)))/100)),(1-(0.25*((-Backdoors!AI12-IF(KQ50&gt;=0.45,VLOOKUP(Calculator!E23,tbSkills!DH3:DI6,2,FALSE)+IF(AND(Calculator!B8=TRUE,Backdoors!BI46=TRUE),VLOOKUP(Calculator!E23,tbSkills!DH3:DJ6,3,FALSE),0),0))/100)))),1),"")</f>
        <v>1</v>
      </c>
      <c r="KT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KQ50)*KS50)*(VLOOKUP(A50,tbMoveset!A2:C112,3,FALSE)/100)*IF(VLOOKUP(A50,tbMoveset!A2:B112,2,FALSE)="Projectile",Backdoors!N10,Backdoors!N9),0),"")</f>
        <v/>
      </c>
      <c r="KU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REF!&gt;0,VLOOKUP(Calculator!#REF!,tbSkills!AC3:AD5,2,FALSE),Backdoors!AL3)*(IF((Backdoors!AI12+IF(KQ50&gt;=0.45,VLOOKUP(Calculator!E23,tbSkills!DH3:DI6,2,FALSE)+IF(AND(Calculator!B8=TRUE,Backdoors!BI46=TRUE),VLOOKUP(Calculator!E23,tbSkills!DH3:DJ6,3,FALSE),0),0))&gt;=100,100,(Backdoors!AI12+IF(KQ50&gt;=0.45,VLOOKUP(Calculator!E23,tbSkills!DH3:DI6,2,FALSE)+IF(AND(Calculator!B8=TRUE,Backdoors!BI46=TRUE),VLOOKUP(Calculator!E23,tbSkills!DH3:DJ6,3,FALSE),0),0)))/100)),1))*IF(VLOOKUP(A50,tbMoveset!A2:K112,11,FALSE)=TRUE,Backdoors!AC5,1))*KR50,0),"")</f>
        <v/>
      </c>
      <c r="KV50" s="49">
        <f>VLOOKUP(A50,tbMoveset!A2:G112,7,FALSE)*IFERROR(IF(Backdoors!AI12&gt;=0,1+(IF(Calculator!E40&gt;0,VLOOKUP(Calculator!E40,tbSkills!AI3:AJ5,2,FALSE),Backdoors!AL4)*(IF((Backdoors!AI12+IF(KQ50&gt;=0.45,VLOOKUP(Calculator!E23,tbSkills!DH3:DI6,2,FALSE)+IF(AND(Calculator!B8=TRUE,Backdoors!BI46=TRUE),VLOOKUP(Calculator!E23,tbSkills!DH3:DJ6,3,FALSE),0),0))&gt;=100,100,(Backdoors!AI12+IF(KQ50&gt;=0.45,VLOOKUP(Calculator!E23,tbSkills!DH3:DI6,2,FALSE)+IF(AND(Calculator!B8=TRUE,Backdoors!BI46=TRUE),VLOOKUP(Calculator!E23,tbSkills!DH3:DJ6,3,FALSE),0),0)))/100)),1),1)</f>
        <v>0.8</v>
      </c>
      <c r="KW50" s="87">
        <f t="shared" si="35"/>
        <v>0</v>
      </c>
    </row>
    <row r="51" spans="1:309" x14ac:dyDescent="0.25">
      <c r="A51" s="95" t="str">
        <f>tbMoveset!A51</f>
        <v>Demon Flurry Rush (R1)</v>
      </c>
      <c r="B51" s="86">
        <f>IFERROR(IF(VLOOKUP(A51,tbMoveset!A2:B112,2,FALSE)="Sever",Backdoors!AY3/100,IF(VLOOKUP(A51,tbMoveset!A2:B112,2,FALSE)="Blunt",Backdoors!AZ3/100,Backdoors!BA3/100)),"")</f>
        <v>0.8</v>
      </c>
      <c r="C51" s="49">
        <f>IFERROR(IF(VLOOKUP(tbMoveset!A51,tbMoveset!A2:H112,8,FALSE)="Other",IF(VLOOKUP(tbMoveset!A51,tbMoveset!A2:I112,9,FALSE)="Fire",Backdoors!BB3,IF(VLOOKUP(tbMoveset!A51,tbMoveset!A2:I112,9,FALSE)="Water",Backdoors!BC3,IF(VLOOKUP(tbMoveset!A51,tbMoveset!A2:I112,9,FALSE)="Thunder",Backdoors!BD3,IF(VLOOKUP(tbMoveset!A51,tbMoveset!A2:I112,9,FALSE)="Ice",Backdoors!BE3,IF(VLOOKUP(tbMoveset!A51,tbMoveset!A2:I112,9,FALSE)="Dragon",Backdoors!BF3,Backdoors!BG3)))))/100,Backdoors!BG3/100),"")</f>
        <v>0</v>
      </c>
      <c r="D51" s="49">
        <f>IFERROR(IF(VLOOKUP(A51,tbMoveset!A2:J112,10,FALSE)=TRUE,IF((Backdoors!AI12+IF(B51&gt;=0.45,VLOOKUP(Calculator!E23,tbSkills!DH3:DI6,2,FALSE)+IF(AND(Calculator!B8=TRUE,Backdoors!BI3=TRUE),VLOOKUP(Calculator!E23,tbSkills!DH3:DJ6,3,FALSE),0),0))&gt;=0,1+(Backdoors!AL2*(IF((Backdoors!AI12+IF(B51&gt;=0.45,VLOOKUP(Calculator!E23,tbSkills!DH3:DI6,2,FALSE)+IF(AND(Calculator!B8=TRUE,Backdoors!BI3=TRUE),VLOOKUP(Calculator!E23,tbSkills!DH3:DJ6,3,FALSE),0),0))&gt;=100,100,(Backdoors!AI12+IF(B51&gt;=0.45,VLOOKUP(Calculator!E23,tbSkills!DH3:DI6,2,FALSE)+IF(AND(Calculator!B8=TRUE,Backdoors!BI3=TRUE),VLOOKUP(Calculator!E23,tbSkills!DH3:DJ6,3,FALSE),0),0)))/100)),(1-(0.25*((-Backdoors!AI12-IF(B51&gt;=0.45,VLOOKUP(Calculator!E23,tbSkills!DH3:DI6,2,FALSE)+IF(AND(Calculator!B8=TRUE,Backdoors!BI3=TRUE),VLOOKUP(Calculator!E23,tbSkills!DH3:DJ6,3,FALSE),0),0))/100)))),1),"")</f>
        <v>1</v>
      </c>
      <c r="E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51)*D51)*(VLOOKUP(A51,tbMoveset!A2:C112,3,FALSE)/100)*IF(VLOOKUP(A51,tbMoveset!A2:B112,2,FALSE)="Projectile",Backdoors!N10,Backdoors!N9),0),"")</f>
        <v>3</v>
      </c>
      <c r="F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51&gt;=0.45,VLOOKUP(Calculator!E23,tbSkills!DH3:DI6,2,FALSE)+IF(AND(Calculator!B8=TRUE,Backdoors!BI3=TRUE),VLOOKUP(Calculator!E23,tbSkills!DH3:DJ6,3,FALSE),0),0))&gt;=100,100,(Backdoors!AI12+IF(B51&gt;=0.45,VLOOKUP(Calculator!E23,tbSkills!DH3:DI6,2,FALSE)+IF(AND(Calculator!B8=TRUE,Backdoors!BI3=TRUE),VLOOKUP(Calculator!E23,tbSkills!DH3:DJ6,3,FALSE),0),0)))/100)),1))*IF(VLOOKUP(A51,tbMoveset!A2:K112,11,FALSE)=TRUE,Backdoors!AC5,1))*C51,0),"")</f>
        <v>0</v>
      </c>
      <c r="G51">
        <f>VLOOKUP(A51,tbMoveset!A2:G112,7,FALSE)*IFERROR(IF(Backdoors!AI12&gt;=0,1+(IF(Calculator!E40&gt;0,VLOOKUP(Calculator!E40,tbSkills!AI3:AJ5,2,FALSE),Backdoors!AL4)*(IF((Backdoors!AI12+IF(B51&gt;=0.45,VLOOKUP(Calculator!E23,tbSkills!DH3:DI6,2,FALSE)+IF(AND(Calculator!B8=TRUE,Backdoors!BI3=TRUE),VLOOKUP(Calculator!E23,tbSkills!DH3:DJ6,3,FALSE),0),0))&gt;=100,100,(Backdoors!AI12+IF(B51&gt;=0.45,VLOOKUP(Calculator!E23,tbSkills!DH3:DI6,2,FALSE)+IF(AND(Calculator!B8=TRUE,Backdoors!BI3=TRUE),VLOOKUP(Calculator!E23,tbSkills!DH3:DJ6,3,FALSE),0),0)))/100)),1),1)</f>
        <v>0.5</v>
      </c>
      <c r="H51" s="87">
        <f t="shared" si="44"/>
        <v>3</v>
      </c>
      <c r="I51" s="86">
        <f>IFERROR(IF(VLOOKUP(A51,tbMoveset!A2:B112,2,FALSE)="Sever",Backdoors!AY4/100,IF(VLOOKUP(A51,tbMoveset!A2:B112,2,FALSE)="Blunt",Backdoors!AZ4/100,Backdoors!BA4/100)),"")</f>
        <v>0.65</v>
      </c>
      <c r="J51" s="49">
        <f>IFERROR(IF(VLOOKUP(tbMoveset!A51,tbMoveset!A2:H112,8,FALSE)="Other",IF(VLOOKUP(tbMoveset!A51,tbMoveset!A2:I112,9,FALSE)="Fire",Backdoors!BB4,IF(VLOOKUP(tbMoveset!A51,tbMoveset!A2:I112,9,FALSE)="Water",Backdoors!BC4,IF(VLOOKUP(tbMoveset!A51,tbMoveset!A2:I112,9,FALSE)="Thunder",Backdoors!BD4,IF(VLOOKUP(tbMoveset!A51,tbMoveset!A2:I112,9,FALSE)="Ice",Backdoors!BE4,IF(VLOOKUP(tbMoveset!A51,tbMoveset!A2:I112,9,FALSE)="Dragon",Backdoors!BF4,Backdoors!BG4)))))/100,Backdoors!BG4/100),"")</f>
        <v>0</v>
      </c>
      <c r="K51" s="49">
        <f>IFERROR(IF(VLOOKUP(A51,tbMoveset!A2:J112,10,FALSE)=TRUE,IF((Backdoors!AI12+IF(I51&gt;=0.45,VLOOKUP(Calculator!E23,tbSkills!DH3:DI6,2,FALSE)+IF(AND(Calculator!B8=TRUE,Backdoors!BI4=TRUE),VLOOKUP(Calculator!E23,tbSkills!DH3:DJ6,3,FALSE),0),0))&gt;=0,1+(Backdoors!AL2*(IF((Backdoors!AI12+IF(I51&gt;=0.45,VLOOKUP(Calculator!E23,tbSkills!DH3:DI6,2,FALSE)+IF(AND(Calculator!B8=TRUE,Backdoors!BI4=TRUE),VLOOKUP(Calculator!E23,tbSkills!DH3:DJ6,3,FALSE),0),0))&gt;=100,100,(Backdoors!AI12+IF(I51&gt;=0.45,VLOOKUP(Calculator!E23,tbSkills!DH3:DI6,2,FALSE)+IF(AND(Calculator!B8=TRUE,Backdoors!BI4=TRUE),VLOOKUP(Calculator!E23,tbSkills!DH3:DJ6,3,FALSE),0),0)))/100)),(1-(0.25*((-Backdoors!AI12-IF(I51&gt;=0.45,VLOOKUP(Calculator!E23,tbSkills!DH3:DI6,2,FALSE)+IF(AND(Calculator!B8=TRUE,Backdoors!BI4=TRUE),VLOOKUP(Calculator!E23,tbSkills!DH3:DJ6,3,FALSE),0),0))/100)))),1),"")</f>
        <v>1</v>
      </c>
      <c r="L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51)*K51)*(VLOOKUP(A51,tbMoveset!A2:C112,3,FALSE)/100)*IF(VLOOKUP(A51,tbMoveset!A2:B112,2,FALSE)="Projectile",Backdoors!N10,Backdoors!N9),0),"")</f>
        <v>3</v>
      </c>
      <c r="M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I51&gt;=0.45,VLOOKUP(Calculator!E23,tbSkills!DH3:DI6,2,FALSE)+IF(AND(Calculator!B8=TRUE,Backdoors!BI4=TRUE),VLOOKUP(Calculator!E23,tbSkills!DH3:DJ6,3,FALSE),0),0))&gt;=100,100,(Backdoors!AI12+IF(I51&gt;=0.45,VLOOKUP(Calculator!E23,tbSkills!DH3:DI6,2,FALSE)+IF(AND(Calculator!B8=TRUE,Backdoors!BI4=TRUE),VLOOKUP(Calculator!E23,tbSkills!DH3:DJ6,3,FALSE),0),0)))/100)),1))*IF(VLOOKUP(A51,tbMoveset!A2:K112,11,FALSE)=TRUE,Backdoors!AC5,1))*J51,0),"")</f>
        <v>0</v>
      </c>
      <c r="N51" s="49">
        <f>VLOOKUP(A51,tbMoveset!A2:G112,7,FALSE)*IFERROR(IF(Backdoors!AI12&gt;=0,1+(IF(Calculator!E40&gt;0,VLOOKUP(Calculator!E40,tbSkills!AI3:AJ5,2,FALSE),Backdoors!AL4)*(IF((Backdoors!AI12+IF(I51&gt;=0.45,VLOOKUP(Calculator!E23,tbSkills!DH3:DI6,2,FALSE)+IF(AND(Calculator!B8=TRUE,Backdoors!BI4=TRUE),VLOOKUP(Calculator!E23,tbSkills!DH3:DJ6,3,FALSE),0),0))&gt;=100,100,(Backdoors!AI12+IF(I51&gt;=0.45,VLOOKUP(Calculator!E23,tbSkills!DH3:DI6,2,FALSE)+IF(AND(Calculator!B8=TRUE,Backdoors!BI4=TRUE),VLOOKUP(Calculator!E23,tbSkills!DH3:DJ6,3,FALSE),0),0)))/100)),1),1)</f>
        <v>0.5</v>
      </c>
      <c r="O51" s="87">
        <f t="shared" si="45"/>
        <v>3</v>
      </c>
      <c r="P51" s="86">
        <f>IFERROR(IF(VLOOKUP(A51,tbMoveset!A2:B112,2,FALSE)="Sever",Backdoors!AY5/100,IF(VLOOKUP(A51,tbMoveset!A2:B112,2,FALSE)="Blunt",Backdoors!AZ5/100,Backdoors!BA5/100)),"")</f>
        <v>0.5</v>
      </c>
      <c r="Q51" s="49">
        <f>IFERROR(IF(VLOOKUP(tbMoveset!A51,tbMoveset!A2:H112,8,FALSE)="Other",IF(VLOOKUP(tbMoveset!A51,tbMoveset!A2:I112,9,FALSE)="Fire",Backdoors!BB5,IF(VLOOKUP(tbMoveset!A51,tbMoveset!A2:I112,9,FALSE)="Water",Backdoors!BC5,IF(VLOOKUP(tbMoveset!A51,tbMoveset!A2:I112,9,FALSE)="Thunder",Backdoors!BD5,IF(VLOOKUP(tbMoveset!A51,tbMoveset!A2:I112,9,FALSE)="Ice",Backdoors!BE5,IF(VLOOKUP(tbMoveset!A51,tbMoveset!A2:I112,9,FALSE)="Dragon",Backdoors!BF5,Backdoors!BG5)))))/100,Backdoors!BG5/100),"")</f>
        <v>0</v>
      </c>
      <c r="R51" s="49">
        <f>IFERROR(IF(VLOOKUP(A51,tbMoveset!A2:J112,10,FALSE)=TRUE,IF((Backdoors!AI12+IF(P51&gt;=0.45,VLOOKUP(Calculator!E23,tbSkills!DH3:DI6,2,FALSE)+IF(AND(Calculator!B8=TRUE,Backdoors!BI5=TRUE),VLOOKUP(Calculator!E23,tbSkills!DH3:DJ6,3,FALSE),0),0))&gt;=0,1+(Backdoors!AL2*(IF((Backdoors!AI12+IF(P51&gt;=0.45,VLOOKUP(Calculator!E23,tbSkills!DH3:DI6,2,FALSE)+IF(AND(Calculator!B8=TRUE,Backdoors!BI5=TRUE),VLOOKUP(Calculator!E23,tbSkills!DH3:DJ6,3,FALSE),0),0))&gt;=100,100,(Backdoors!AI12+IF(P51&gt;=0.45,VLOOKUP(Calculator!E23,tbSkills!DH3:DI6,2,FALSE)+IF(AND(Calculator!B8=TRUE,Backdoors!BI5=TRUE),VLOOKUP(Calculator!E23,tbSkills!DH3:DJ6,3,FALSE),0),0)))/100)),(1-(0.25*((-Backdoors!AI12-IF(P51&gt;=0.45,VLOOKUP(Calculator!E23,tbSkills!DH3:DI6,2,FALSE)+IF(AND(Calculator!B8=TRUE,Backdoors!BI5=TRUE),VLOOKUP(Calculator!E23,tbSkills!DH3:DJ6,3,FALSE),0),0))/100)))),1),"")</f>
        <v>1</v>
      </c>
      <c r="S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P51)*R51)*(VLOOKUP(A51,tbMoveset!A2:C112,3,FALSE)/100)*IF(VLOOKUP(A51,tbMoveset!A2:B112,2,FALSE)="Projectile",Backdoors!N10,Backdoors!N9),0),"")</f>
        <v>2</v>
      </c>
      <c r="T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P51&gt;=0.45,VLOOKUP(Calculator!E23,tbSkills!DH3:DI6,2,FALSE)+IF(AND(Calculator!B8=TRUE,Backdoors!BI5=TRUE),VLOOKUP(Calculator!E23,tbSkills!DH3:DJ6,3,FALSE),0),0))&gt;=100,100,(Backdoors!AI12+IF(P51&gt;=0.45,VLOOKUP(Calculator!E23,tbSkills!DH3:DI6,2,FALSE)+IF(AND(Calculator!B8=TRUE,Backdoors!BI5=TRUE),VLOOKUP(Calculator!E23,tbSkills!DH3:DJ6,3,FALSE),0),0)))/100)),1))*IF(VLOOKUP(A51,tbMoveset!A2:K112,11,FALSE)=TRUE,Backdoors!AC5,1))*Q51,0),"")</f>
        <v>0</v>
      </c>
      <c r="U51" s="49">
        <f>VLOOKUP(A51,tbMoveset!A2:G112,7,FALSE)*IFERROR(IF(Backdoors!AI12&gt;=0,1+(IF(Calculator!E40&gt;0,VLOOKUP(Calculator!E40,tbSkills!AI3:AJ5,2,FALSE),Backdoors!AL4)*(IF((Backdoors!AI12+IF(P51&gt;=0.45,VLOOKUP(Calculator!E23,tbSkills!DH3:DI6,2,FALSE)+IF(AND(Calculator!B8=TRUE,Backdoors!BI5=TRUE),VLOOKUP(Calculator!E23,tbSkills!DH3:DJ6,3,FALSE),0),0))&gt;=100,100,(Backdoors!AI12+IF(P51&gt;=0.45,VLOOKUP(Calculator!E23,tbSkills!DH3:DI6,2,FALSE)+IF(AND(Calculator!B8=TRUE,Backdoors!BI5=TRUE),VLOOKUP(Calculator!E23,tbSkills!DH3:DJ6,3,FALSE),0),0)))/100)),1),1)</f>
        <v>0.5</v>
      </c>
      <c r="V51" s="87">
        <f t="shared" si="46"/>
        <v>2</v>
      </c>
      <c r="W51" s="86">
        <f>IFERROR(IF(VLOOKUP(A51,tbMoveset!A2:B112,2,FALSE)="Sever",Backdoors!AY6/100,IF(VLOOKUP(A51,tbMoveset!A2:B112,2,FALSE)="Blunt",Backdoors!AZ6/100,Backdoors!BA6/100)),"")</f>
        <v>0.45</v>
      </c>
      <c r="X51" s="49">
        <f>IFERROR(IF(VLOOKUP(tbMoveset!A51,tbMoveset!A2:H112,8,FALSE)="Other",IF(VLOOKUP(tbMoveset!A51,tbMoveset!A2:I112,9,FALSE)="Fire",Backdoors!BB6,IF(VLOOKUP(tbMoveset!A51,tbMoveset!A2:I112,9,FALSE)="Water",Backdoors!BC6,IF(VLOOKUP(tbMoveset!A51,tbMoveset!A2:I112,9,FALSE)="Thunder",Backdoors!BD6,IF(VLOOKUP(tbMoveset!A51,tbMoveset!A2:I112,9,FALSE)="Ice",Backdoors!BE6,IF(VLOOKUP(tbMoveset!A51,tbMoveset!A2:I112,9,FALSE)="Dragon",Backdoors!BF6,Backdoors!BG6)))))/100,Backdoors!BG6/100),"")</f>
        <v>0</v>
      </c>
      <c r="Y51" s="49">
        <f>IFERROR(IF(VLOOKUP(A51,tbMoveset!A2:J112,10,FALSE)=TRUE,IF((Backdoors!AI12+IF(W51&gt;=0.45,VLOOKUP(Calculator!E23,tbSkills!DH3:DI6,2,FALSE)+IF(AND(Calculator!B8=TRUE,Backdoors!BI6=TRUE),VLOOKUP(Calculator!E23,tbSkills!DH3:DJ6,3,FALSE),0),0))&gt;=0,1+(Backdoors!AL2*(IF((Backdoors!AI12+IF(W51&gt;=0.45,VLOOKUP(Calculator!E23,tbSkills!DH3:DI6,2,FALSE)+IF(AND(Calculator!B8=TRUE,Backdoors!BI6=TRUE),VLOOKUP(Calculator!E23,tbSkills!DH3:DJ6,3,FALSE),0),0))&gt;=100,100,(Backdoors!AI12+IF(W51&gt;=0.45,VLOOKUP(Calculator!E23,tbSkills!DH3:DI6,2,FALSE)+IF(AND(Calculator!B8=TRUE,Backdoors!BI6=TRUE),VLOOKUP(Calculator!E23,tbSkills!DH3:DJ6,3,FALSE),0),0)))/100)),(1-(0.25*((-Backdoors!AI12-IF(W51&gt;=0.45,VLOOKUP(Calculator!E23,tbSkills!DH3:DI6,2,FALSE)+IF(AND(Calculator!B8=TRUE,Backdoors!BI6=TRUE),VLOOKUP(Calculator!E23,tbSkills!DH3:DJ6,3,FALSE),0),0))/100)))),1),"")</f>
        <v>1</v>
      </c>
      <c r="Z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W51)*Y51)*(VLOOKUP(A51,tbMoveset!A2:C112,3,FALSE)/100)*IF(VLOOKUP(A51,tbMoveset!A2:B112,2,FALSE)="Projectile",Backdoors!N10,Backdoors!N9),0),"")</f>
        <v>2</v>
      </c>
      <c r="AA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W51&gt;=0.45,VLOOKUP(Calculator!E23,tbSkills!DH3:DI6,2,FALSE)+IF(AND(Calculator!B8=TRUE,Backdoors!BI6=TRUE),VLOOKUP(Calculator!E23,tbSkills!DH3:DJ6,3,FALSE),0),0))&gt;=100,100,(Backdoors!AI12+IF(W51&gt;=0.45,VLOOKUP(Calculator!E23,tbSkills!DH3:DI6,2,FALSE)+IF(AND(Calculator!B8=TRUE,Backdoors!BI6=TRUE),VLOOKUP(Calculator!E23,tbSkills!DH3:DJ6,3,FALSE),0),0)))/100)),1))*IF(VLOOKUP(A51,tbMoveset!A2:K112,11,FALSE)=TRUE,Backdoors!AC5,1))*X51,0),"")</f>
        <v>0</v>
      </c>
      <c r="AB51" s="49">
        <f>VLOOKUP(A51,tbMoveset!A2:G112,7,FALSE)*IFERROR(IF(Backdoors!AI12&gt;=0,1+(IF(Calculator!E40&gt;0,VLOOKUP(Calculator!E40,tbSkills!AI3:AJ5,2,FALSE),Backdoors!AL4)*(IF((Backdoors!AI12+IF(W51&gt;=0.45,VLOOKUP(Calculator!E23,tbSkills!DH3:DI6,2,FALSE)+IF(AND(Calculator!B8=TRUE,Backdoors!BI6=TRUE),VLOOKUP(Calculator!E23,tbSkills!DH3:DJ6,3,FALSE),0),0))&gt;=100,100,(Backdoors!AI12+IF(W51&gt;=0.45,VLOOKUP(Calculator!E23,tbSkills!DH3:DI6,2,FALSE)+IF(AND(Calculator!B8=TRUE,Backdoors!BI6=TRUE),VLOOKUP(Calculator!E23,tbSkills!DH3:DJ6,3,FALSE),0),0)))/100)),1),1)</f>
        <v>0.5</v>
      </c>
      <c r="AC51" s="87">
        <f t="shared" si="47"/>
        <v>2</v>
      </c>
      <c r="AD51" s="86">
        <f>IFERROR(IF(VLOOKUP(A51,tbMoveset!A2:B112,2,FALSE)="Sever",Backdoors!AY7/100,IF(VLOOKUP(A51,tbMoveset!A2:B112,2,FALSE)="Blunt",Backdoors!AZ7/100,Backdoors!BA7/100)),"")</f>
        <v>0.65</v>
      </c>
      <c r="AE51" s="49">
        <f>IFERROR(IF(VLOOKUP(tbMoveset!A51,tbMoveset!A2:H112,8,FALSE)="Other",IF(VLOOKUP(tbMoveset!A51,tbMoveset!A2:I112,9,FALSE)="Fire",Backdoors!BB7,IF(VLOOKUP(tbMoveset!A51,tbMoveset!A2:I112,9,FALSE)="Water",Backdoors!BC7,IF(VLOOKUP(tbMoveset!A51,tbMoveset!A2:I112,9,FALSE)="Thunder",Backdoors!BD7,IF(VLOOKUP(tbMoveset!A51,tbMoveset!A2:I112,9,FALSE)="Ice",Backdoors!BE7,IF(VLOOKUP(tbMoveset!A51,tbMoveset!A2:I112,9,FALSE)="Dragon",Backdoors!BF7,Backdoors!BG7)))))/100,Backdoors!BG7/100),"")</f>
        <v>0</v>
      </c>
      <c r="AF51" s="49">
        <f>IFERROR(IF(VLOOKUP(A51,tbMoveset!A2:J112,10,FALSE)=TRUE,IF((Backdoors!AI12+IF(AD51&gt;=0.45,VLOOKUP(Calculator!E23,tbSkills!DH3:DI6,2,FALSE)+IF(AND(Calculator!B8=TRUE,Backdoors!BI7=TRUE),VLOOKUP(Calculator!E23,tbSkills!DH3:DJ6,3,FALSE),0),0))&gt;=0,1+(Backdoors!AL2*(IF((Backdoors!AI12+IF(AD51&gt;=0.45,VLOOKUP(Calculator!E23,tbSkills!DH3:DI6,2,FALSE)+IF(AND(Calculator!B8=TRUE,Backdoors!BI7=TRUE),VLOOKUP(Calculator!E23,tbSkills!DH3:DJ6,3,FALSE),0),0))&gt;=100,100,(Backdoors!AI12+IF(AD51&gt;=0.45,VLOOKUP(Calculator!E23,tbSkills!DH3:DI6,2,FALSE)+IF(AND(Calculator!B8=TRUE,Backdoors!BI7=TRUE),VLOOKUP(Calculator!E23,tbSkills!DH3:DJ6,3,FALSE),0),0)))/100)),(1-(0.25*((-Backdoors!AI12-IF(AD51&gt;=0.45,VLOOKUP(Calculator!E23,tbSkills!DH3:DI6,2,FALSE)+IF(AND(Calculator!B8=TRUE,Backdoors!BI7=TRUE),VLOOKUP(Calculator!E23,tbSkills!DH3:DJ6,3,FALSE),0),0))/100)))),1),"")</f>
        <v>1</v>
      </c>
      <c r="AG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D51)*AF51)*(VLOOKUP(A51,tbMoveset!A2:C112,3,FALSE)/100)*IF(VLOOKUP(A51,tbMoveset!A2:B112,2,FALSE)="Projectile",Backdoors!N10,Backdoors!N9),0),"")</f>
        <v>3</v>
      </c>
      <c r="AH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D51&gt;=0.45,VLOOKUP(Calculator!E23,tbSkills!DH3:DI6,2,FALSE)+IF(AND(Calculator!B8=TRUE,Backdoors!BI7=TRUE),VLOOKUP(Calculator!E23,tbSkills!DH3:DJ6,3,FALSE),0),0))&gt;=100,100,(Backdoors!AI12+IF(AD51&gt;=0.45,VLOOKUP(Calculator!E23,tbSkills!DH3:DI6,2,FALSE)+IF(AND(Calculator!B8=TRUE,Backdoors!BI7=TRUE),VLOOKUP(Calculator!E23,tbSkills!DH3:DJ6,3,FALSE),0),0)))/100)),1))*IF(VLOOKUP(A51,tbMoveset!A2:K112,11,FALSE)=TRUE,Backdoors!AC5,1))*AE51,0),"")</f>
        <v>0</v>
      </c>
      <c r="AI51" s="49">
        <f>VLOOKUP(A51,tbMoveset!A2:G112,7,FALSE)*IFERROR(IF(Backdoors!AI12&gt;=0,1+(IF(Calculator!E40&gt;0,VLOOKUP(Calculator!E40,tbSkills!AI3:AJ5,2,FALSE),Backdoors!AL4)*(IF((Backdoors!AI12+IF(AD51&gt;=0.45,VLOOKUP(Calculator!E23,tbSkills!DH3:DI6,2,FALSE)+IF(AND(Calculator!B8=TRUE,Backdoors!BI7=TRUE),VLOOKUP(Calculator!E23,tbSkills!DH3:DJ6,3,FALSE),0),0))&gt;=100,100,(Backdoors!AI12+IF(AD51&gt;=0.45,VLOOKUP(Calculator!E23,tbSkills!DH3:DI6,2,FALSE)+IF(AND(Calculator!B8=TRUE,Backdoors!BI7=TRUE),VLOOKUP(Calculator!E23,tbSkills!DH3:DJ6,3,FALSE),0),0)))/100)),1),1)</f>
        <v>0.5</v>
      </c>
      <c r="AJ51" s="87">
        <f t="shared" si="48"/>
        <v>3</v>
      </c>
      <c r="AK51" s="91">
        <f>IFERROR(IF(VLOOKUP(A51,tbMoveset!A2:B112,2,FALSE)="Sever",Backdoors!AY8/100,IF(VLOOKUP(A51,tbMoveset!A2:B112,2,FALSE)="Blunt",Backdoors!AZ8/100,Backdoors!BA8/100)),"")</f>
        <v>0.45</v>
      </c>
      <c r="AL51" s="49">
        <f>IFERROR(IF(VLOOKUP(tbMoveset!A51,tbMoveset!A2:H112,8,FALSE)="Other",IF(VLOOKUP(tbMoveset!A51,tbMoveset!A2:I112,9,FALSE)="Fire",Backdoors!BB8,IF(VLOOKUP(tbMoveset!A51,tbMoveset!A2:I112,9,FALSE)="Water",Backdoors!BC8,IF(VLOOKUP(tbMoveset!A51,tbMoveset!A2:I112,9,FALSE)="Thunder",Backdoors!BD8,IF(VLOOKUP(tbMoveset!A51,tbMoveset!A2:I112,9,FALSE)="Ice",Backdoors!BE8,IF(VLOOKUP(tbMoveset!A51,tbMoveset!A2:I112,9,FALSE)="Dragon",Backdoors!BF8,Backdoors!BG8)))))/100,Backdoors!BG8/100),"")</f>
        <v>0</v>
      </c>
      <c r="AM51" s="49">
        <f>IFERROR(IF(VLOOKUP(A51,tbMoveset!A2:J112,10,FALSE)=TRUE,IF((Backdoors!AI12+IF(AK51&gt;=0.45,VLOOKUP(Calculator!E23,tbSkills!DH3:DI6,2,FALSE)+IF(AND(Calculator!B8=TRUE,Backdoors!BI8=TRUE),VLOOKUP(Calculator!E23,tbSkills!DH3:DJ6,3,FALSE),0),0))&gt;=0,1+(Backdoors!AL2*(IF((Backdoors!AI12+IF(AK51&gt;=0.45,VLOOKUP(Calculator!E23,tbSkills!DH3:DI6,2,FALSE)+IF(AND(Calculator!B8=TRUE,Backdoors!BI8=TRUE),VLOOKUP(Calculator!E23,tbSkills!DH3:DJ6,3,FALSE),0),0))&gt;=100,100,(Backdoors!AI12+IF(AK51&gt;=0.45,VLOOKUP(Calculator!E23,tbSkills!DH3:DI6,2,FALSE)+IF(AND(Calculator!B8=TRUE,Backdoors!BI8=TRUE),VLOOKUP(Calculator!E23,tbSkills!DH3:DJ6,3,FALSE),0),0)))/100)),(1-(0.25*((-Backdoors!AI12-IF(AK51&gt;=0.45,VLOOKUP(Calculator!E23,tbSkills!DH3:DI6,2,FALSE)+IF(AND(Calculator!B8=TRUE,Backdoors!BI8=TRUE),VLOOKUP(Calculator!E23,tbSkills!DH3:DJ6,3,FALSE),0),0))/100)))),1),"")</f>
        <v>1</v>
      </c>
      <c r="AN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K51)*AM51)*(VLOOKUP(A51,tbMoveset!A2:C112,3,FALSE)/100)*IF(VLOOKUP(A51,tbMoveset!A2:B112,2,FALSE)="Projectile",Backdoors!N10,Backdoors!N9),0),"")</f>
        <v>2</v>
      </c>
      <c r="AO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K51&gt;=0.45,VLOOKUP(Calculator!E23,tbSkills!DH3:DI6,2,FALSE)+IF(AND(Calculator!B8=TRUE,Backdoors!BI8=TRUE),VLOOKUP(Calculator!E23,tbSkills!DH3:DJ6,3,FALSE),0),0))&gt;=100,100,(Backdoors!AI12+IF(AK51&gt;=0.45,VLOOKUP(Calculator!E23,tbSkills!DH3:DI6,2,FALSE)+IF(AND(Calculator!B8=TRUE,Backdoors!BI8=TRUE),VLOOKUP(Calculator!E23,tbSkills!DH3:DJ6,3,FALSE),0),0)))/100)),1))*IF(VLOOKUP(A51,tbMoveset!A2:K112,11,FALSE)=TRUE,Backdoors!AC5,1))*AL51,0),"")</f>
        <v>0</v>
      </c>
      <c r="AP51" s="49">
        <f>VLOOKUP(A51,tbMoveset!A2:G112,7,FALSE)*IFERROR(IF(Backdoors!AI12&gt;=0,1+(IF(Calculator!E40&gt;0,VLOOKUP(Calculator!E40,tbSkills!AI3:AJ5,2,FALSE),Backdoors!AL4)*(IF((Backdoors!AI12+IF(AK51&gt;=0.45,VLOOKUP(Calculator!E23,tbSkills!DH3:DI6,2,FALSE)+IF(AND(Calculator!B8=TRUE,Backdoors!BI8=TRUE),VLOOKUP(Calculator!E23,tbSkills!DH3:DJ6,3,FALSE),0),0))&gt;=100,100,(Backdoors!AI12+IF(AK51&gt;=0.45,VLOOKUP(Calculator!E23,tbSkills!DH3:DI6,2,FALSE)+IF(AND(Calculator!B8=TRUE,Backdoors!BI8=TRUE),VLOOKUP(Calculator!E23,tbSkills!DH3:DJ6,3,FALSE),0),0)))/100)),1),1)</f>
        <v>0.5</v>
      </c>
      <c r="AQ51" s="87">
        <f t="shared" si="49"/>
        <v>2</v>
      </c>
      <c r="AR51" s="86">
        <f>IFERROR(IF(VLOOKUP(A51,tbMoveset!A2:B112,2,FALSE)="Sever",Backdoors!AY9/100,IF(VLOOKUP(A51,tbMoveset!A2:B112,2,FALSE)="Blunt",Backdoors!AZ9/100,Backdoors!BA9/100)),"")</f>
        <v>0.45</v>
      </c>
      <c r="AS51" s="49">
        <f>IFERROR(IF(VLOOKUP(tbMoveset!A51,tbMoveset!A2:H112,8,FALSE)="Other",IF(VLOOKUP(tbMoveset!A51,tbMoveset!A2:I112,9,FALSE)="Fire",Backdoors!BB9,IF(VLOOKUP(tbMoveset!A51,tbMoveset!A2:I112,9,FALSE)="Water",Backdoors!BC9,IF(VLOOKUP(tbMoveset!A51,tbMoveset!A2:I112,9,FALSE)="Thunder",Backdoors!BD9,IF(VLOOKUP(tbMoveset!A51,tbMoveset!A2:I112,9,FALSE)="Ice",Backdoors!BE9,IF(VLOOKUP(tbMoveset!A51,tbMoveset!A2:I112,9,FALSE)="Dragon",Backdoors!BF9,Backdoors!BG9)))))/100,Backdoors!BG9/100),"")</f>
        <v>0</v>
      </c>
      <c r="AT51" s="49">
        <f>IFERROR(IF(VLOOKUP(A51,tbMoveset!A2:J112,10,FALSE)=TRUE,IF((Backdoors!AI12+IF(AR51&gt;=0.45,VLOOKUP(Calculator!E23,tbSkills!DH3:DI6,2,FALSE)+IF(AND(Calculator!B8=TRUE,Backdoors!BI9=TRUE),VLOOKUP(Calculator!E23,tbSkills!DH3:DJ6,3,FALSE),0),0))&gt;=0,1+(Backdoors!AL2*(IF((Backdoors!AI12+IF(AR51&gt;=0.45,VLOOKUP(Calculator!E23,tbSkills!DH3:DI6,2,FALSE)+IF(AND(Calculator!B8=TRUE,Backdoors!BI9=TRUE),VLOOKUP(Calculator!E23,tbSkills!DH3:DJ6,3,FALSE),0),0))&gt;=100,100,(Backdoors!AI12+IF(AR51&gt;=0.45,VLOOKUP(Calculator!E23,tbSkills!DH3:DI6,2,FALSE)+IF(AND(Calculator!B8=TRUE,Backdoors!BI9=TRUE),VLOOKUP(Calculator!E23,tbSkills!DH3:DJ6,3,FALSE),0),0)))/100)),(1-(0.25*((-Backdoors!AI12-IF(AR51&gt;=0.45,VLOOKUP(Calculator!E23,tbSkills!DH3:DI6,2,FALSE)+IF(AND(Calculator!B8=TRUE,Backdoors!BI9=TRUE),VLOOKUP(Calculator!E23,tbSkills!DH3:DJ6,3,FALSE),0),0))/100)))),1),"")</f>
        <v>1</v>
      </c>
      <c r="AU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R51)*AT51)*(VLOOKUP(A51,tbMoveset!A2:C112,3,FALSE)/100)*IF(VLOOKUP(A51,tbMoveset!A2:B112,2,FALSE)="Projectile",Backdoors!N10,Backdoors!N9),0),"")</f>
        <v>2</v>
      </c>
      <c r="AV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R51&gt;=0.45,VLOOKUP(Calculator!E23,tbSkills!DH3:DI6,2,FALSE)+IF(AND(Calculator!B8=TRUE,Backdoors!BI9=TRUE),VLOOKUP(Calculator!E23,tbSkills!DH3:DJ6,3,FALSE),0),0))&gt;=100,100,(Backdoors!AI12+IF(AR51&gt;=0.45,VLOOKUP(Calculator!E23,tbSkills!DH3:DI6,2,FALSE)+IF(AND(Calculator!B8=TRUE,Backdoors!BI9=TRUE),VLOOKUP(Calculator!E23,tbSkills!DH3:DJ6,3,FALSE),0),0)))/100)),1))*IF(VLOOKUP(A51,tbMoveset!A2:K112,11,FALSE)=TRUE,Backdoors!AC5,1))*AS51,0),"")</f>
        <v>0</v>
      </c>
      <c r="AW51" s="49">
        <f>VLOOKUP(A51,tbMoveset!A2:G112,7,FALSE)*IFERROR(IF(Backdoors!AI12&gt;=0,1+(IF(Calculator!E40&gt;0,VLOOKUP(Calculator!E40,tbSkills!AI3:AJ5,2,FALSE),Backdoors!AL4)*(IF((Backdoors!AI12+IF(AR51&gt;=0.45,VLOOKUP(Calculator!E23,tbSkills!DH3:DI6,2,FALSE)+IF(AND(Calculator!B8=TRUE,Backdoors!BI9=TRUE),VLOOKUP(Calculator!E23,tbSkills!DH3:DJ6,3,FALSE),0),0))&gt;=100,100,(Backdoors!AI12+IF(AR51&gt;=0.45,VLOOKUP(Calculator!E23,tbSkills!DH3:DI6,2,FALSE)+IF(AND(Calculator!B8=TRUE,Backdoors!BI9=TRUE),VLOOKUP(Calculator!E23,tbSkills!DH3:DJ6,3,FALSE),0),0)))/100)),1),1)</f>
        <v>0.5</v>
      </c>
      <c r="AX51" s="87">
        <f t="shared" si="50"/>
        <v>2</v>
      </c>
      <c r="AY51" s="86">
        <f>IFERROR(IF(VLOOKUP(A51,tbMoveset!A2:B112,2,FALSE)="Sever",Backdoors!AY10/100,IF(VLOOKUP(A51,tbMoveset!A2:B112,2,FALSE)="Blunt",Backdoors!AZ10/100,Backdoors!BA10/100)),"")</f>
        <v>0.9</v>
      </c>
      <c r="AZ51" s="49">
        <f>IFERROR(IF(VLOOKUP(tbMoveset!A51,tbMoveset!A2:H112,8,FALSE)="Other",IF(VLOOKUP(tbMoveset!A51,tbMoveset!A2:I112,9,FALSE)="Fire",Backdoors!BB10,IF(VLOOKUP(tbMoveset!A51,tbMoveset!A2:I112,9,FALSE)="Water",Backdoors!BC10,IF(VLOOKUP(tbMoveset!A51,tbMoveset!A2:I112,9,FALSE)="Thunder",Backdoors!BD10,IF(VLOOKUP(tbMoveset!A51,tbMoveset!A2:I112,9,FALSE)="Ice",Backdoors!BE10,IF(VLOOKUP(tbMoveset!A51,tbMoveset!A2:I112,9,FALSE)="Dragon",Backdoors!BF10,Backdoors!BG10)))))/100,Backdoors!BG10/100),"")</f>
        <v>0</v>
      </c>
      <c r="BA51" s="49">
        <f>IFERROR(IF(VLOOKUP(A51,tbMoveset!A2:J112,10,FALSE)=TRUE,IF((Backdoors!AI12+IF(AY51&gt;=0.45,VLOOKUP(Calculator!E23,tbSkills!DH3:DI6,2,FALSE)+IF(AND(Calculator!B8=TRUE,Backdoors!BI10=TRUE),VLOOKUP(Calculator!E23,tbSkills!DH3:DJ6,3,FALSE),0),0))&gt;=0,1+(Backdoors!AL2*(IF((Backdoors!AI12+IF(AY51&gt;=0.45,VLOOKUP(Calculator!E23,tbSkills!DH3:DI6,2,FALSE)+IF(AND(Calculator!B8=TRUE,Backdoors!BI10=TRUE),VLOOKUP(Calculator!E23,tbSkills!DH3:DJ6,3,FALSE),0),0))&gt;=100,100,(Backdoors!AI12+IF(AY51&gt;=0.45,VLOOKUP(Calculator!E23,tbSkills!DH3:DI6,2,FALSE)+IF(AND(Calculator!B8=TRUE,Backdoors!BI10=TRUE),VLOOKUP(Calculator!E23,tbSkills!DH3:DJ6,3,FALSE),0),0)))/100)),(1-(0.25*((-Backdoors!AI12-IF(AY51&gt;=0.45,VLOOKUP(Calculator!E23,tbSkills!DH3:DI6,2,FALSE)+IF(AND(Calculator!B8=TRUE,Backdoors!BI10=TRUE),VLOOKUP(Calculator!E23,tbSkills!DH3:DJ6,3,FALSE),0),0))/100)))),1),"")</f>
        <v>1</v>
      </c>
      <c r="BB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Y51)*BA51)*(VLOOKUP(A51,tbMoveset!A2:C112,3,FALSE)/100)*IF(VLOOKUP(A51,tbMoveset!A2:B112,2,FALSE)="Projectile",Backdoors!N10,Backdoors!N9),0),"")</f>
        <v>4</v>
      </c>
      <c r="BC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Y51&gt;=0.45,VLOOKUP(Calculator!E23,tbSkills!DH3:DI6,2,FALSE)+IF(AND(Calculator!B8=TRUE,Backdoors!BI10=TRUE),VLOOKUP(Calculator!E23,tbSkills!DH3:DJ6,3,FALSE),0),0))&gt;=100,100,(Backdoors!AI12+IF(AY51&gt;=0.45,VLOOKUP(Calculator!E23,tbSkills!DH3:DI6,2,FALSE)+IF(AND(Calculator!B8=TRUE,Backdoors!BI10=TRUE),VLOOKUP(Calculator!E23,tbSkills!DH3:DJ6,3,FALSE),0),0)))/100)),1))*IF(VLOOKUP(A51,tbMoveset!A2:K112,11,FALSE)=TRUE,Backdoors!AC5,1))*AZ51,0),"")</f>
        <v>0</v>
      </c>
      <c r="BD51" s="49">
        <f>VLOOKUP(A51,tbMoveset!A2:G112,7,FALSE)*IFERROR(IF(Backdoors!AI12&gt;=0,1+(IF(Calculator!E40&gt;0,VLOOKUP(Calculator!E40,tbSkills!AI3:AJ5,2,FALSE),Backdoors!AL4)*(IF((Backdoors!AI12+IF(AY51&gt;=0.45,VLOOKUP(Calculator!E23,tbSkills!DH3:DI6,2,FALSE)+IF(AND(Calculator!B8=TRUE,Backdoors!BI10=TRUE),VLOOKUP(Calculator!E23,tbSkills!DH3:DJ6,3,FALSE),0),0))&gt;=100,100,(Backdoors!AI12+IF(AY51&gt;=0.45,VLOOKUP(Calculator!E23,tbSkills!DH3:DI6,2,FALSE)+IF(AND(Calculator!B8=TRUE,Backdoors!BI10=TRUE),VLOOKUP(Calculator!E23,tbSkills!DH3:DJ6,3,FALSE),0),0)))/100)),1),1)</f>
        <v>0.5</v>
      </c>
      <c r="BE51" s="87">
        <f t="shared" si="3"/>
        <v>4</v>
      </c>
      <c r="BF51" s="86" t="str">
        <f>IFERROR(IF(VLOOKUP(A51,tbMoveset!A2:B112,2,FALSE)="Sever",Backdoors!AY11/100,IF(VLOOKUP(A51,tbMoveset!A2:B112,2,FALSE)="Blunt",Backdoors!AZ11/100,Backdoors!BA11/100)),"")</f>
        <v/>
      </c>
      <c r="BG51" s="49">
        <f>IFERROR(IF(VLOOKUP(tbMoveset!A51,tbMoveset!A2:H112,8,FALSE)="Other",IF(VLOOKUP(tbMoveset!A51,tbMoveset!A2:I112,9,FALSE)="Fire",Backdoors!BB11,IF(VLOOKUP(tbMoveset!A51,tbMoveset!A2:I112,9,FALSE)="Water",Backdoors!BC11,IF(VLOOKUP(tbMoveset!A51,tbMoveset!A2:I112,9,FALSE)="Thunder",Backdoors!BD11,IF(VLOOKUP(tbMoveset!A51,tbMoveset!A2:I112,9,FALSE)="Ice",Backdoors!BE11,IF(VLOOKUP(tbMoveset!A51,tbMoveset!A2:I112,9,FALSE)="Dragon",Backdoors!BF11,Backdoors!BG11)))))/100,Backdoors!BG11/100),"")</f>
        <v>0</v>
      </c>
      <c r="BH51" s="49">
        <f>IFERROR(IF(VLOOKUP(A51,tbMoveset!A2:J112,10,FALSE)=TRUE,IF((Backdoors!AI12+IF(BF51&gt;=0.45,VLOOKUP(Calculator!E23,tbSkills!DH3:DI6,2,FALSE)+IF(AND(Calculator!B8=TRUE,Backdoors!BI11=TRUE),VLOOKUP(Calculator!E23,tbSkills!DH3:DJ6,3,FALSE),0),0))&gt;=0,1+(Backdoors!AL2*(IF((Backdoors!AI12+IF(BF51&gt;=0.45,VLOOKUP(Calculator!E23,tbSkills!DH3:DI6,2,FALSE)+IF(AND(Calculator!B8=TRUE,Backdoors!BI11=TRUE),VLOOKUP(Calculator!E23,tbSkills!DH3:DJ6,3,FALSE),0),0))&gt;=100,100,(Backdoors!AI12+IF(BF51&gt;=0.45,VLOOKUP(Calculator!E23,tbSkills!DH3:DI6,2,FALSE)+IF(AND(Calculator!B8=TRUE,Backdoors!BI11=TRUE),VLOOKUP(Calculator!E23,tbSkills!DH3:DJ6,3,FALSE),0),0)))/100)),(1-(0.25*((-Backdoors!AI12-IF(BF51&gt;=0.45,VLOOKUP(Calculator!E23,tbSkills!DH3:DI6,2,FALSE)+IF(AND(Calculator!B8=TRUE,Backdoors!BI11=TRUE),VLOOKUP(Calculator!E23,tbSkills!DH3:DJ6,3,FALSE),0),0))/100)))),1),"")</f>
        <v>1</v>
      </c>
      <c r="BI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F51)*BH51)*(VLOOKUP(A51,tbMoveset!A2:C112,3,FALSE)/100)*IF(VLOOKUP(A51,tbMoveset!A2:B112,2,FALSE)="Projectile",Backdoors!N10,Backdoors!N9),0),"")</f>
        <v/>
      </c>
      <c r="BJ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F51&gt;=0.45,VLOOKUP(Calculator!E23,tbSkills!DH3:DI6,2,FALSE)+IF(AND(Calculator!B8=TRUE,Backdoors!BI11=TRUE),VLOOKUP(Calculator!E23,tbSkills!DH3:DJ6,3,FALSE),0),0))&gt;=100,100,(Backdoors!AI12+IF(BF51&gt;=0.45,VLOOKUP(Calculator!E23,tbSkills!DH3:DI6,2,FALSE)+IF(AND(Calculator!B8=TRUE,Backdoors!BI11=TRUE),VLOOKUP(Calculator!E23,tbSkills!DH3:DJ6,3,FALSE),0),0)))/100)),1))*IF(VLOOKUP(A51,tbMoveset!A2:K112,11,FALSE)=TRUE,Backdoors!AC5,1))*BG51,0),"")</f>
        <v>0</v>
      </c>
      <c r="BK51" s="49">
        <f>VLOOKUP(A51,tbMoveset!A2:G112,7,FALSE)*IFERROR(IF(Backdoors!AI12&gt;=0,1+(IF(Calculator!E40&gt;0,VLOOKUP(Calculator!E40,tbSkills!AI3:AJ5,2,FALSE),Backdoors!AL4)*(IF((Backdoors!AI12+IF(BF51&gt;=0.45,VLOOKUP(Calculator!E23,tbSkills!DH3:DI6,2,FALSE)+IF(AND(Calculator!B8=TRUE,Backdoors!BI11=TRUE),VLOOKUP(Calculator!E23,tbSkills!DH3:DJ6,3,FALSE),0),0))&gt;=100,100,(Backdoors!AI12+IF(BF51&gt;=0.45,VLOOKUP(Calculator!E23,tbSkills!DH3:DI6,2,FALSE)+IF(AND(Calculator!B8=TRUE,Backdoors!BI11=TRUE),VLOOKUP(Calculator!E23,tbSkills!DH3:DJ6,3,FALSE),0),0)))/100)),1),1)</f>
        <v>0.5</v>
      </c>
      <c r="BL51" s="87">
        <f t="shared" si="4"/>
        <v>0</v>
      </c>
      <c r="BM51" s="86" t="str">
        <f>IFERROR(IF(VLOOKUP(A51,tbMoveset!A2:B112,2,FALSE)="Sever",Backdoors!AY12/100,IF(VLOOKUP(A51,tbMoveset!A2:B112,2,FALSE)="Blunt",Backdoors!AZ12/100,Backdoors!BA12/100)),"")</f>
        <v/>
      </c>
      <c r="BN51" s="49">
        <f>IFERROR(IF(VLOOKUP(tbMoveset!A51,tbMoveset!A2:H112,8,FALSE)="Other",IF(VLOOKUP(tbMoveset!A51,tbMoveset!A2:I112,9,FALSE)="Fire",Backdoors!BB12,IF(VLOOKUP(tbMoveset!A51,tbMoveset!A2:I112,9,FALSE)="Water",Backdoors!BC12,IF(VLOOKUP(tbMoveset!A51,tbMoveset!A2:I112,9,FALSE)="Thunder",Backdoors!BD12,IF(VLOOKUP(tbMoveset!A51,tbMoveset!A2:I112,9,FALSE)="Ice",Backdoors!BE12,IF(VLOOKUP(tbMoveset!A51,tbMoveset!A2:I112,9,FALSE)="Dragon",Backdoors!BF12,Backdoors!BG12)))))/100,Backdoors!BG12/100),"")</f>
        <v>0</v>
      </c>
      <c r="BO51" s="49">
        <f>IFERROR(IF(VLOOKUP(A51,tbMoveset!A2:J112,10,FALSE)=TRUE,IF((Backdoors!AI12+IF(BM51&gt;=0.45,VLOOKUP(Calculator!E23,tbSkills!DH3:DI6,2,FALSE)+IF(AND(Calculator!B8=TRUE,Backdoors!BI12=TRUE),VLOOKUP(Calculator!E23,tbSkills!DH3:DJ6,3,FALSE),0),0))&gt;=0,1+(Backdoors!AL2*(IF((Backdoors!AI12+IF(BM51&gt;=0.45,VLOOKUP(Calculator!E23,tbSkills!DH3:DI6,2,FALSE)+IF(AND(Calculator!B8=TRUE,Backdoors!BI12=TRUE),VLOOKUP(Calculator!E23,tbSkills!DH3:DJ6,3,FALSE),0),0))&gt;=100,100,(Backdoors!AI12+IF(BM51&gt;=0.45,VLOOKUP(Calculator!E23,tbSkills!DH3:DI6,2,FALSE)+IF(AND(Calculator!B8=TRUE,Backdoors!BI12=TRUE),VLOOKUP(Calculator!E23,tbSkills!DH3:DJ6,3,FALSE),0),0)))/100)),(1-(0.25*((-Backdoors!AI12-IF(BM51&gt;=0.45,VLOOKUP(Calculator!E23,tbSkills!DH3:DI6,2,FALSE)+IF(AND(Calculator!B8=TRUE,Backdoors!BI12=TRUE),VLOOKUP(Calculator!E23,tbSkills!DH3:DJ6,3,FALSE),0),0))/100)))),1),"")</f>
        <v>1</v>
      </c>
      <c r="BP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M51)*BO51)*(VLOOKUP(A51,tbMoveset!A2:C112,3,FALSE)/100)*IF(VLOOKUP(A51,tbMoveset!A2:B112,2,FALSE)="Projectile",Backdoors!N10,Backdoors!N9),0),"")</f>
        <v/>
      </c>
      <c r="BQ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M51&gt;=0.45,VLOOKUP(Calculator!E23,tbSkills!DH3:DI6,2,FALSE)+IF(AND(Calculator!B8=TRUE,Backdoors!BI12=TRUE),VLOOKUP(Calculator!E23,tbSkills!DH3:DJ6,3,FALSE),0),0))&gt;=100,100,(Backdoors!AI12+IF(BM51&gt;=0.45,VLOOKUP(Calculator!E23,tbSkills!DH3:DI6,2,FALSE)+IF(AND(Calculator!B8=TRUE,Backdoors!BI12=TRUE),VLOOKUP(Calculator!E23,tbSkills!DH3:DJ6,3,FALSE),0),0)))/100)),1))*IF(VLOOKUP(A51,tbMoveset!A2:K112,11,FALSE)=TRUE,Backdoors!AC5,1))*BN51,0),"")</f>
        <v>0</v>
      </c>
      <c r="BR51" s="49">
        <f>VLOOKUP(A51,tbMoveset!A2:G112,7,FALSE)*IFERROR(IF(Backdoors!AI12&gt;=0,1+(IF(Calculator!E40&gt;0,VLOOKUP(Calculator!E40,tbSkills!AI3:AJ5,2,FALSE),Backdoors!AL4)*(IF((Backdoors!AI12+IF(BM51&gt;=0.45,VLOOKUP(Calculator!E23,tbSkills!DH3:DI6,2,FALSE)+IF(AND(Calculator!B8=TRUE,Backdoors!BI12=TRUE),VLOOKUP(Calculator!E23,tbSkills!DH3:DJ6,3,FALSE),0),0))&gt;=100,100,(Backdoors!AI12+IF(BM51&gt;=0.45,VLOOKUP(Calculator!E23,tbSkills!DH3:DI6,2,FALSE)+IF(AND(Calculator!B8=TRUE,Backdoors!BI12=TRUE),VLOOKUP(Calculator!E23,tbSkills!DH3:DJ6,3,FALSE),0),0)))/100)),1),1)</f>
        <v>0.5</v>
      </c>
      <c r="BS51" s="87">
        <f t="shared" si="39"/>
        <v>0</v>
      </c>
      <c r="BT51" s="86" t="str">
        <f>IFERROR(IF(VLOOKUP(A51,tbMoveset!A2:B112,2,FALSE)="Sever",Backdoors!AY13/100,IF(VLOOKUP(A51,tbMoveset!A2:B112,2,FALSE)="Blunt",Backdoors!AZ13/100,Backdoors!BA13/100)),"")</f>
        <v/>
      </c>
      <c r="BU51" s="49">
        <f>IFERROR(IF(VLOOKUP(tbMoveset!A51,tbMoveset!A2:H112,8,FALSE)="Other",IF(VLOOKUP(tbMoveset!A51,tbMoveset!A2:I112,9,FALSE)="Fire",Backdoors!BB13,IF(VLOOKUP(tbMoveset!A51,tbMoveset!A2:I112,9,FALSE)="Water",Backdoors!BC13,IF(VLOOKUP(tbMoveset!A51,tbMoveset!A2:I112,9,FALSE)="Thunder",Backdoors!BD13,IF(VLOOKUP(tbMoveset!A51,tbMoveset!A2:I112,9,FALSE)="Ice",Backdoors!BE13,IF(VLOOKUP(tbMoveset!A51,tbMoveset!A2:I112,9,FALSE)="Dragon",Backdoors!BF13,Backdoors!BG13)))))/100,Backdoors!BG13/100),"")</f>
        <v>0</v>
      </c>
      <c r="BV51" s="49">
        <f>IFERROR(IF(VLOOKUP(A51,tbMoveset!A2:J112,10,FALSE)=TRUE,IF((Backdoors!AI12+IF(BT51&gt;=0.45,VLOOKUP(Calculator!E23,tbSkills!DH3:DI6,2,FALSE)+IF(AND(Calculator!B8=TRUE,Backdoors!BI13=TRUE),VLOOKUP(Calculator!E23,tbSkills!DH3:DJ6,3,FALSE),0),0))&gt;=0,1+(Backdoors!AL2*(IF((Backdoors!AI12+IF(BT51&gt;=0.45,VLOOKUP(Calculator!E23,tbSkills!DH3:DI6,2,FALSE)+IF(AND(Calculator!B8=TRUE,Backdoors!BI13=TRUE),VLOOKUP(Calculator!E23,tbSkills!DH3:DJ6,3,FALSE),0),0))&gt;=100,100,(Backdoors!AI12+IF(BT51&gt;=0.45,VLOOKUP(Calculator!E23,tbSkills!DH3:DI6,2,FALSE)+IF(AND(Calculator!B8=TRUE,Backdoors!BI13=TRUE),VLOOKUP(Calculator!E23,tbSkills!DH3:DJ6,3,FALSE),0),0)))/100)),(1-(0.25*((-Backdoors!AI12-IF(BT51&gt;=0.45,VLOOKUP(Calculator!E23,tbSkills!DH3:DI6,2,FALSE)+IF(AND(Calculator!B8=TRUE,Backdoors!BI13=TRUE),VLOOKUP(Calculator!E23,tbSkills!DH3:DJ6,3,FALSE),0),0))/100)))),1),"")</f>
        <v>1</v>
      </c>
      <c r="BW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T51)*BV51)*(VLOOKUP(A51,tbMoveset!A2:C112,3,FALSE)/100)*IF(VLOOKUP(A51,tbMoveset!A2:B112,2,FALSE)="Projectile",Backdoors!N10,Backdoors!N9),0),"")</f>
        <v/>
      </c>
      <c r="BX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T51&gt;=0.45,VLOOKUP(Calculator!E23,tbSkills!DH3:DI6,2,FALSE)+IF(AND(Calculator!B8=TRUE,Backdoors!BI13=TRUE),VLOOKUP(Calculator!E23,tbSkills!DH3:DJ6,3,FALSE),0),0))&gt;=100,100,(Backdoors!AI12+IF(BT51&gt;=0.45,VLOOKUP(Calculator!E23,tbSkills!DH3:DI6,2,FALSE)+IF(AND(Calculator!B8=TRUE,Backdoors!BI13=TRUE),VLOOKUP(Calculator!E23,tbSkills!DH3:DJ6,3,FALSE),0),0)))/100)),1))*IF(VLOOKUP(A51,tbMoveset!A2:K112,11,FALSE)=TRUE,Backdoors!AC5,1))*BU51,0),"")</f>
        <v>0</v>
      </c>
      <c r="BY51" s="49">
        <f>VLOOKUP(A51,tbMoveset!A2:G112,7,FALSE)*IFERROR(IF(Backdoors!AI12&gt;=0,1+(IF(Calculator!E40&gt;0,VLOOKUP(Calculator!E40,tbSkills!AI3:AJ5,2,FALSE),Backdoors!AL4)*(IF((Backdoors!AI12+IF(BT51&gt;=0.45,VLOOKUP(Calculator!E23,tbSkills!DH3:DI6,2,FALSE)+IF(AND(Calculator!B8=TRUE,Backdoors!BI13=TRUE),VLOOKUP(Calculator!E23,tbSkills!DH3:DJ6,3,FALSE),0),0))&gt;=100,100,(Backdoors!AI12+IF(BT51&gt;=0.45,VLOOKUP(Calculator!E23,tbSkills!DH3:DI6,2,FALSE)+IF(AND(Calculator!B8=TRUE,Backdoors!BI13=TRUE),VLOOKUP(Calculator!E23,tbSkills!DH3:DJ6,3,FALSE),0),0)))/100)),1),1)</f>
        <v>0.5</v>
      </c>
      <c r="BZ51" s="87">
        <f t="shared" si="5"/>
        <v>0</v>
      </c>
      <c r="CA51" s="86" t="str">
        <f>IFERROR(IF(VLOOKUP(A51,tbMoveset!A2:B112,2,FALSE)="Sever",Backdoors!AY14/100,IF(VLOOKUP(A51,tbMoveset!A2:B112,2,FALSE)="Blunt",Backdoors!AZ14/100,Backdoors!BA14/100)),"")</f>
        <v/>
      </c>
      <c r="CB51" s="49">
        <f>IFERROR(IF(VLOOKUP(tbMoveset!A51,tbMoveset!A2:H112,8,FALSE)="Other",IF(VLOOKUP(tbMoveset!A51,tbMoveset!A2:I112,9,FALSE)="Fire",Backdoors!BB14,IF(VLOOKUP(tbMoveset!A51,tbMoveset!A2:I112,9,FALSE)="Water",Backdoors!BC14,IF(VLOOKUP(tbMoveset!A51,tbMoveset!A2:I112,9,FALSE)="Thunder",Backdoors!BD14,IF(VLOOKUP(tbMoveset!A51,tbMoveset!A2:I112,9,FALSE)="Ice",Backdoors!BE14,IF(VLOOKUP(tbMoveset!A51,tbMoveset!A2:I112,9,FALSE)="Dragon",Backdoors!BF14,Backdoors!BG14)))))/100,Backdoors!BG14/100),"")</f>
        <v>0</v>
      </c>
      <c r="CC51" s="49">
        <f>IFERROR(IF(VLOOKUP(A51,tbMoveset!A2:J112,10,FALSE)=TRUE,IF((Backdoors!AI12+IF(CA51&gt;=0.45,VLOOKUP(Calculator!E23,tbSkills!DH3:DI6,2,FALSE)+IF(AND(Calculator!B8=TRUE,Backdoors!BI14=TRUE),VLOOKUP(Calculator!E23,tbSkills!DH3:DJ6,3,FALSE),0),0))&gt;=0,1+(Backdoors!AL2*(IF((Backdoors!AI12+IF(CA51&gt;=0.45,VLOOKUP(Calculator!E23,tbSkills!DH3:DI6,2,FALSE)+IF(AND(Calculator!B8=TRUE,Backdoors!BI14=TRUE),VLOOKUP(Calculator!E23,tbSkills!DH3:DJ6,3,FALSE),0),0))&gt;=100,100,(Backdoors!AI12+IF(CA51&gt;=0.45,VLOOKUP(Calculator!E23,tbSkills!DH3:DI6,2,FALSE)+IF(AND(Calculator!B8=TRUE,Backdoors!BI14=TRUE),VLOOKUP(Calculator!E23,tbSkills!DH3:DJ6,3,FALSE),0),0)))/100)),(1-(0.25*((-Backdoors!AI12-IF(CA51&gt;=0.45,VLOOKUP(Calculator!E23,tbSkills!DH3:DI6,2,FALSE)+IF(AND(Calculator!B8=TRUE,Backdoors!BI14=TRUE),VLOOKUP(Calculator!E23,tbSkills!DH3:DJ6,3,FALSE),0),0))/100)))),1),"")</f>
        <v>1</v>
      </c>
      <c r="CD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A51)*CC51)*(VLOOKUP(A51,tbMoveset!A2:C112,3,FALSE)/100)*IF(VLOOKUP(A51,tbMoveset!A2:B112,2,FALSE)="Projectile",Backdoors!N10,Backdoors!N9),0),"")</f>
        <v/>
      </c>
      <c r="CE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A51&gt;=0.45,VLOOKUP(Calculator!E23,tbSkills!DH3:DI6,2,FALSE)+IF(AND(Calculator!B8=TRUE,Backdoors!BI14=TRUE),VLOOKUP(Calculator!E23,tbSkills!DH3:DJ6,3,FALSE),0),0))&gt;=100,100,(Backdoors!AI12+IF(CA51&gt;=0.45,VLOOKUP(Calculator!E23,tbSkills!DH3:DI6,2,FALSE)+IF(AND(Calculator!B8=TRUE,Backdoors!BI14=TRUE),VLOOKUP(Calculator!E23,tbSkills!DH3:DJ6,3,FALSE),0),0)))/100)),1))*IF(VLOOKUP(A51,tbMoveset!A2:K112,11,FALSE)=TRUE,Backdoors!AC5,1))*CB51,0),"")</f>
        <v>0</v>
      </c>
      <c r="CF51" s="49">
        <f>VLOOKUP(A51,tbMoveset!A2:G112,7,FALSE)*IFERROR(IF(Backdoors!AI12&gt;=0,1+(IF(Calculator!E40&gt;0,VLOOKUP(Calculator!E40,tbSkills!AI3:AJ5,2,FALSE),Backdoors!AL4)*(IF((Backdoors!AI12+IF(CA51&gt;=0.45,VLOOKUP(Calculator!E23,tbSkills!DH3:DI6,2,FALSE)+IF(AND(Calculator!B8=TRUE,Backdoors!BI14=TRUE),VLOOKUP(Calculator!E23,tbSkills!DH3:DJ6,3,FALSE),0),0))&gt;=100,100,(Backdoors!AI12+IF(CA51&gt;=0.45,VLOOKUP(Calculator!E23,tbSkills!DH3:DI6,2,FALSE)+IF(AND(Calculator!B8=TRUE,Backdoors!BI14=TRUE),VLOOKUP(Calculator!E23,tbSkills!DH3:DJ6,3,FALSE),0),0)))/100)),1),1)</f>
        <v>0.5</v>
      </c>
      <c r="CG51" s="87">
        <f t="shared" si="6"/>
        <v>0</v>
      </c>
      <c r="CH51" s="86" t="str">
        <f>IFERROR(IF(VLOOKUP(A51,tbMoveset!A2:B112,2,FALSE)="Sever",Backdoors!AY15/100,IF(VLOOKUP(A51,tbMoveset!A2:B112,2,FALSE)="Blunt",Backdoors!AZ15/100,Backdoors!BA15/100)),"")</f>
        <v/>
      </c>
      <c r="CI51" s="49">
        <f>IFERROR(IF(VLOOKUP(tbMoveset!A51,tbMoveset!A2:H112,8,FALSE)="Other",IF(VLOOKUP(tbMoveset!A51,tbMoveset!A2:I112,9,FALSE)="Fire",Backdoors!BB15,IF(VLOOKUP(tbMoveset!A51,tbMoveset!A2:I112,9,FALSE)="Water",Backdoors!BC15,IF(VLOOKUP(tbMoveset!A51,tbMoveset!A2:I112,9,FALSE)="Thunder",Backdoors!BD15,IF(VLOOKUP(tbMoveset!A51,tbMoveset!A2:I112,9,FALSE)="Ice",Backdoors!BE15,IF(VLOOKUP(tbMoveset!A51,tbMoveset!A2:I112,9,FALSE)="Dragon",Backdoors!BF15,Backdoors!BG15)))))/100,Backdoors!BG15/100),"")</f>
        <v>0</v>
      </c>
      <c r="CJ51" s="49">
        <f>IFERROR(IF(VLOOKUP(A51,tbMoveset!A2:J112,10,FALSE)=TRUE,IF((Backdoors!AI12+IF(CH51&gt;=0.45,VLOOKUP(Calculator!E23,tbSkills!DH3:DI6,2,FALSE)+IF(AND(Calculator!B8=TRUE,Backdoors!BI15=TRUE),VLOOKUP(Calculator!E23,tbSkills!DH3:DJ6,3,FALSE),0),0))&gt;=0,1+(Backdoors!AL2*(IF((Backdoors!AI12+IF(CH51&gt;=0.45,VLOOKUP(Calculator!E23,tbSkills!DH3:DI6,2,FALSE)+IF(AND(Calculator!B8=TRUE,Backdoors!BI15=TRUE),VLOOKUP(Calculator!E23,tbSkills!DH3:DJ6,3,FALSE),0),0))&gt;=100,100,(Backdoors!AI12+IF(CH51&gt;=0.45,VLOOKUP(Calculator!E23,tbSkills!DH3:DI6,2,FALSE)+IF(AND(Calculator!B8=TRUE,Backdoors!BI15=TRUE),VLOOKUP(Calculator!E23,tbSkills!DH3:DJ6,3,FALSE),0),0)))/100)),(1-(0.25*((-Backdoors!AI12-IF(CH51&gt;=0.45,VLOOKUP(Calculator!E23,tbSkills!DH3:DI6,2,FALSE)+IF(AND(Calculator!B8=TRUE,Backdoors!BI15=TRUE),VLOOKUP(Calculator!E23,tbSkills!DH3:DJ6,3,FALSE),0),0))/100)))),1),"")</f>
        <v>1</v>
      </c>
      <c r="CK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H51)*CJ51)*(VLOOKUP(A51,tbMoveset!A2:C112,3,FALSE)/100)*IF(VLOOKUP(A51,tbMoveset!A2:B112,2,FALSE)="Projectile",Backdoors!N10,Backdoors!N9),0),"")</f>
        <v/>
      </c>
      <c r="CL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H51&gt;=0.45,VLOOKUP(Calculator!E23,tbSkills!DH3:DI6,2,FALSE)+IF(AND(Calculator!B8=TRUE,Backdoors!BI15=TRUE),VLOOKUP(Calculator!E23,tbSkills!DH3:DJ6,3,FALSE),0),0))&gt;=100,100,(Backdoors!AI12+IF(CH51&gt;=0.45,VLOOKUP(Calculator!E23,tbSkills!DH3:DI6,2,FALSE)+IF(AND(Calculator!B8=TRUE,Backdoors!BI15=TRUE),VLOOKUP(Calculator!E23,tbSkills!DH3:DJ6,3,FALSE),0),0)))/100)),1))*IF(VLOOKUP(A51,tbMoveset!A2:K112,11,FALSE)=TRUE,Backdoors!AC5,1))*CI51,0),"")</f>
        <v>0</v>
      </c>
      <c r="CM51" s="49">
        <f>VLOOKUP(A51,tbMoveset!A2:G112,7,FALSE)*IFERROR(IF(Backdoors!AI12&gt;=0,1+(IF(Calculator!E40&gt;0,VLOOKUP(Calculator!E40,tbSkills!AI3:AJ5,2,FALSE),Backdoors!AL4)*(IF((Backdoors!AI12+IF(CH51&gt;=0.45,VLOOKUP(Calculator!E23,tbSkills!DH3:DI6,2,FALSE)+IF(AND(Calculator!B8=TRUE,Backdoors!BI15=TRUE),VLOOKUP(Calculator!E23,tbSkills!DH3:DJ6,3,FALSE),0),0))&gt;=100,100,(Backdoors!AI12+IF(CH51&gt;=0.45,VLOOKUP(Calculator!E23,tbSkills!DH3:DI6,2,FALSE)+IF(AND(Calculator!B8=TRUE,Backdoors!BI15=TRUE),VLOOKUP(Calculator!E23,tbSkills!DH3:DJ6,3,FALSE),0),0)))/100)),1),1)</f>
        <v>0.5</v>
      </c>
      <c r="CN51" s="87">
        <f t="shared" si="7"/>
        <v>0</v>
      </c>
      <c r="CO51" s="86" t="str">
        <f>IFERROR(IF(VLOOKUP(A51,tbMoveset!A2:B112,2,FALSE)="Sever",Backdoors!AY16/100,IF(VLOOKUP(A51,tbMoveset!A2:B112,2,FALSE)="Blunt",Backdoors!AZ16/100,Backdoors!BA16/100)),"")</f>
        <v/>
      </c>
      <c r="CP51" s="49">
        <f>IFERROR(IF(VLOOKUP(tbMoveset!A51,tbMoveset!A2:H112,8,FALSE)="Other",IF(VLOOKUP(tbMoveset!A51,tbMoveset!A2:I112,9,FALSE)="Fire",Backdoors!BB16,IF(VLOOKUP(tbMoveset!A51,tbMoveset!A2:I112,9,FALSE)="Water",Backdoors!BC16,IF(VLOOKUP(tbMoveset!A51,tbMoveset!A2:I112,9,FALSE)="Thunder",Backdoors!BD16,IF(VLOOKUP(tbMoveset!A51,tbMoveset!A2:I112,9,FALSE)="Ice",Backdoors!BE16,IF(VLOOKUP(tbMoveset!A51,tbMoveset!A2:I112,9,FALSE)="Dragon",Backdoors!BF16,Backdoors!BG16)))))/100,Backdoors!BG16/100),"")</f>
        <v>0</v>
      </c>
      <c r="CQ51" s="49">
        <f>IFERROR(IF(VLOOKUP(A51,tbMoveset!A2:J112,10,FALSE)=TRUE,IF((Backdoors!AI12+IF(CO51&gt;=0.45,VLOOKUP(Calculator!E23,tbSkills!DH3:DI6,2,FALSE)+IF(AND(Calculator!B8=TRUE,Backdoors!BI16=TRUE),VLOOKUP(Calculator!E23,tbSkills!DH3:DJ6,3,FALSE),0),0))&gt;=0,1+(Backdoors!AL2*(IF((Backdoors!AI12+IF(CO51&gt;=0.45,VLOOKUP(Calculator!E23,tbSkills!DH3:DI6,2,FALSE)+IF(AND(Calculator!B8=TRUE,Backdoors!BI16=TRUE),VLOOKUP(Calculator!E23,tbSkills!DH3:DJ6,3,FALSE),0),0))&gt;=100,100,(Backdoors!AI12+IF(CO51&gt;=0.45,VLOOKUP(Calculator!E23,tbSkills!DH3:DI6,2,FALSE)+IF(AND(Calculator!B8=TRUE,Backdoors!BI16=TRUE),VLOOKUP(Calculator!E23,tbSkills!DH3:DJ6,3,FALSE),0),0)))/100)),(1-(0.25*((-Backdoors!AI12-IF(CO51&gt;=0.45,VLOOKUP(Calculator!E23,tbSkills!DH3:DI6,2,FALSE)+IF(AND(Calculator!B8=TRUE,Backdoors!BI16=TRUE),VLOOKUP(Calculator!E23,tbSkills!DH3:DJ6,3,FALSE),0),0))/100)))),1),"")</f>
        <v>1</v>
      </c>
      <c r="CR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O51)*CQ51)*(VLOOKUP(A51,tbMoveset!A2:C112,3,FALSE)/100)*IF(VLOOKUP(A51,tbMoveset!A2:B112,2,FALSE)="Projectile",Backdoors!N10,Backdoors!N9),0),"")</f>
        <v/>
      </c>
      <c r="CS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O51&gt;=0.45,VLOOKUP(Calculator!E23,tbSkills!DH3:DI6,2,FALSE)+IF(AND(Calculator!B8=TRUE,Backdoors!BI16=TRUE),VLOOKUP(Calculator!E23,tbSkills!DH3:DJ6,3,FALSE),0),0))&gt;=100,100,(Backdoors!AI12+IF(CO51&gt;=0.45,VLOOKUP(Calculator!E23,tbSkills!DH3:DI6,2,FALSE)+IF(AND(Calculator!B8=TRUE,Backdoors!BI16=TRUE),VLOOKUP(Calculator!E23,tbSkills!DH3:DJ6,3,FALSE),0),0)))/100)),1))*IF(VLOOKUP(A51,tbMoveset!A2:K112,11,FALSE)=TRUE,Backdoors!AC5,1))*CP51,0),"")</f>
        <v>0</v>
      </c>
      <c r="CT51" s="49">
        <f>VLOOKUP(A51,tbMoveset!A2:G112,7,FALSE)*IFERROR(IF(Backdoors!AI12&gt;=0,1+(IF(Calculator!E40&gt;0,VLOOKUP(Calculator!E40,tbSkills!AI3:AJ5,2,FALSE),Backdoors!AL4)*(IF((Backdoors!AI12+IF(CO51&gt;=0.45,VLOOKUP(Calculator!E23,tbSkills!DH3:DI6,2,FALSE)+IF(AND(Calculator!B8=TRUE,Backdoors!BI16=TRUE),VLOOKUP(Calculator!E23,tbSkills!DH3:DJ6,3,FALSE),0),0))&gt;=100,100,(Backdoors!AI12+IF(CO51&gt;=0.45,VLOOKUP(Calculator!E23,tbSkills!DH3:DI6,2,FALSE)+IF(AND(Calculator!B8=TRUE,Backdoors!BI16=TRUE),VLOOKUP(Calculator!E23,tbSkills!DH3:DJ6,3,FALSE),0),0)))/100)),1),1)</f>
        <v>0.5</v>
      </c>
      <c r="CU51" s="87">
        <f t="shared" si="40"/>
        <v>0</v>
      </c>
      <c r="CV51" s="86" t="str">
        <f>IFERROR(IF(VLOOKUP(A51,tbMoveset!A2:B112,2,FALSE)="Sever",Backdoors!AY17/100,IF(VLOOKUP(A51,tbMoveset!A2:B112,2,FALSE)="Blunt",Backdoors!AZ17/100,Backdoors!BA17/100)),"")</f>
        <v/>
      </c>
      <c r="CW51" s="49">
        <f>IFERROR(IF(VLOOKUP(tbMoveset!A51,tbMoveset!A2:H112,8,FALSE)="Other",IF(VLOOKUP(tbMoveset!A51,tbMoveset!A2:I112,9,FALSE)="Fire",Backdoors!BB17,IF(VLOOKUP(tbMoveset!A51,tbMoveset!A2:I112,9,FALSE)="Water",Backdoors!BC17,IF(VLOOKUP(tbMoveset!A51,tbMoveset!A2:I112,9,FALSE)="Thunder",Backdoors!BD17,IF(VLOOKUP(tbMoveset!A51,tbMoveset!A2:I112,9,FALSE)="Ice",Backdoors!BE17,IF(VLOOKUP(tbMoveset!A51,tbMoveset!A2:I112,9,FALSE)="Dragon",Backdoors!BF17,Backdoors!BG17)))))/100,Backdoors!BG17/100),"")</f>
        <v>0</v>
      </c>
      <c r="CX51" s="49">
        <f>IFERROR(IF(VLOOKUP(A51,tbMoveset!A2:J112,10,FALSE)=TRUE,IF((Backdoors!AI12+IF(CV51&gt;=0.45,VLOOKUP(Calculator!E23,tbSkills!DH3:DI6,2,FALSE)+IF(AND(Calculator!B8=TRUE,Backdoors!BI17=TRUE),VLOOKUP(Calculator!E23,tbSkills!DH3:DJ6,3,FALSE),0),0))&gt;=0,1+(Backdoors!AL2*(IF((Backdoors!AI12+IF(CV51&gt;=0.45,VLOOKUP(Calculator!E23,tbSkills!DH3:DI6,2,FALSE)+IF(AND(Calculator!B8=TRUE,Backdoors!BI17=TRUE),VLOOKUP(Calculator!E23,tbSkills!DH3:DJ6,3,FALSE),0),0))&gt;=100,100,(Backdoors!AI12+IF(CV51&gt;=0.45,VLOOKUP(Calculator!E23,tbSkills!DH3:DI6,2,FALSE)+IF(AND(Calculator!B8=TRUE,Backdoors!BI17=TRUE),VLOOKUP(Calculator!E23,tbSkills!DH3:DJ6,3,FALSE),0),0)))/100)),(1-(0.25*((-Backdoors!AI12-IF(CV51&gt;=0.45,VLOOKUP(Calculator!E23,tbSkills!DH3:DI6,2,FALSE)+IF(AND(Calculator!B8=TRUE,Backdoors!BI17=TRUE),VLOOKUP(Calculator!E23,tbSkills!DH3:DJ6,3,FALSE),0),0))/100)))),1),"")</f>
        <v>1</v>
      </c>
      <c r="CY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V51)*CX51)*(VLOOKUP(A51,tbMoveset!A2:C112,3,FALSE)/100)*IF(VLOOKUP(A51,tbMoveset!A2:B112,2,FALSE)="Projectile",Backdoors!N10,Backdoors!N9),0),"")</f>
        <v/>
      </c>
      <c r="CZ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V51&gt;=0.45,VLOOKUP(Calculator!E23,tbSkills!DH3:DI6,2,FALSE)+IF(AND(Calculator!B8=TRUE,Backdoors!BI17=TRUE),VLOOKUP(Calculator!E23,tbSkills!DH3:DJ6,3,FALSE),0),0))&gt;=100,100,(Backdoors!AI12+IF(CV51&gt;=0.45,VLOOKUP(Calculator!E23,tbSkills!DH3:DI6,2,FALSE)+IF(AND(Calculator!B8=TRUE,Backdoors!BI17=TRUE),VLOOKUP(Calculator!E23,tbSkills!DH3:DJ6,3,FALSE),0),0)))/100)),1))*IF(VLOOKUP(A51,tbMoveset!A2:K112,11,FALSE)=TRUE,Backdoors!AC5,1))*CW51,0),"")</f>
        <v>0</v>
      </c>
      <c r="DA51" s="49">
        <f>VLOOKUP(A51,tbMoveset!A2:G112,7,FALSE)*IFERROR(IF(Backdoors!AI12&gt;=0,1+(IF(Calculator!E40&gt;0,VLOOKUP(Calculator!E40,tbSkills!AI3:AJ5,2,FALSE),Backdoors!AL4)*(IF((Backdoors!AI12+IF(CV51&gt;=0.45,VLOOKUP(Calculator!E23,tbSkills!DH3:DI6,2,FALSE)+IF(AND(Calculator!B8=TRUE,Backdoors!BI17=TRUE),VLOOKUP(Calculator!E23,tbSkills!DH3:DJ6,3,FALSE),0),0))&gt;=100,100,(Backdoors!AI12+IF(CV51&gt;=0.45,VLOOKUP(Calculator!E23,tbSkills!DH3:DI6,2,FALSE)+IF(AND(Calculator!B8=TRUE,Backdoors!BI17=TRUE),VLOOKUP(Calculator!E23,tbSkills!DH3:DJ6,3,FALSE),0),0)))/100)),1),1)</f>
        <v>0.5</v>
      </c>
      <c r="DB51" s="87">
        <f t="shared" si="8"/>
        <v>0</v>
      </c>
      <c r="DC51" s="86" t="str">
        <f>IFERROR(IF(VLOOKUP(A51,tbMoveset!A2:B112,2,FALSE)="Sever",Backdoors!AY18/100,IF(VLOOKUP(A51,tbMoveset!A2:B112,2,FALSE)="Blunt",Backdoors!AZ18/100,Backdoors!BA18/100)),"")</f>
        <v/>
      </c>
      <c r="DD51" s="49">
        <f>IFERROR(IF(VLOOKUP(tbMoveset!A51,tbMoveset!A2:H112,8,FALSE)="Other",IF(VLOOKUP(tbMoveset!A51,tbMoveset!A2:I112,9,FALSE)="Fire",Backdoors!BB18,IF(VLOOKUP(tbMoveset!A51,tbMoveset!A2:I112,9,FALSE)="Water",Backdoors!BC18,IF(VLOOKUP(tbMoveset!A51,tbMoveset!A2:I112,9,FALSE)="Thunder",Backdoors!BD18,IF(VLOOKUP(tbMoveset!A51,tbMoveset!A2:I112,9,FALSE)="Ice",Backdoors!BE18,IF(VLOOKUP(tbMoveset!A51,tbMoveset!A2:I112,9,FALSE)="Dragon",Backdoors!BF18,Backdoors!BG18)))))/100,Backdoors!BG18/100),"")</f>
        <v>0</v>
      </c>
      <c r="DE51" s="49">
        <f>IFERROR(IF(VLOOKUP(A51,tbMoveset!A2:J112,10,FALSE)=TRUE,IF((Backdoors!AI12+IF(DC51&gt;=0.45,VLOOKUP(Calculator!E23,tbSkills!DH3:DI6,2,FALSE)+IF(AND(Calculator!B8=TRUE,Backdoors!BI18=TRUE),VLOOKUP(Calculator!E23,tbSkills!DH3:DJ6,3,FALSE),0),0))&gt;=0,1+(Backdoors!AL2*(IF((Backdoors!AI12+IF(DC51&gt;=0.45,VLOOKUP(Calculator!E23,tbSkills!DH3:DI6,2,FALSE)+IF(AND(Calculator!B8=TRUE,Backdoors!BI18=TRUE),VLOOKUP(Calculator!E23,tbSkills!DH3:DJ6,3,FALSE),0),0))&gt;=100,100,(Backdoors!AI12+IF(DC51&gt;=0.45,VLOOKUP(Calculator!E23,tbSkills!DH3:DI6,2,FALSE)+IF(AND(Calculator!B8=TRUE,Backdoors!BI18=TRUE),VLOOKUP(Calculator!E23,tbSkills!DH3:DJ6,3,FALSE),0),0)))/100)),(1-(0.25*((-Backdoors!AI12-IF(DC51&gt;=0.45,VLOOKUP(Calculator!E23,tbSkills!DH3:DI6,2,FALSE)+IF(AND(Calculator!B8=TRUE,Backdoors!BI18=TRUE),VLOOKUP(Calculator!E23,tbSkills!DH3:DJ6,3,FALSE),0),0))/100)))),1),"")</f>
        <v>1</v>
      </c>
      <c r="DF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C51)*DE51)*(VLOOKUP(A51,tbMoveset!A2:C112,3,FALSE)/100)*IF(VLOOKUP(A51,tbMoveset!A2:B112,2,FALSE)="Projectile",Backdoors!N10,Backdoors!N9),0),"")</f>
        <v/>
      </c>
      <c r="DG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C51&gt;=0.45,VLOOKUP(Calculator!E23,tbSkills!DH3:DI6,2,FALSE)+IF(AND(Calculator!B8=TRUE,Backdoors!BI18=TRUE),VLOOKUP(Calculator!E23,tbSkills!DH3:DJ6,3,FALSE),0),0))&gt;=100,100,(Backdoors!AI12+IF(DC51&gt;=0.45,VLOOKUP(Calculator!E23,tbSkills!DH3:DI6,2,FALSE)+IF(AND(Calculator!B8=TRUE,Backdoors!BI18=TRUE),VLOOKUP(Calculator!E23,tbSkills!DH3:DJ6,3,FALSE),0),0)))/100)),1))*IF(VLOOKUP(A51,tbMoveset!A2:K112,11,FALSE)=TRUE,Backdoors!AC5,1))*DD51,0),"")</f>
        <v>0</v>
      </c>
      <c r="DH51" s="49">
        <f>VLOOKUP(A51,tbMoveset!A2:G112,7,FALSE)*IFERROR(IF(Backdoors!AI12&gt;=0,1+(IF(Calculator!E40&gt;0,VLOOKUP(Calculator!E40,tbSkills!AI3:AJ5,2,FALSE),Backdoors!AL4)*(IF((Backdoors!AI12+IF(DC51&gt;=0.45,VLOOKUP(Calculator!E23,tbSkills!DH3:DI6,2,FALSE)+IF(AND(Calculator!B8=TRUE,Backdoors!BI18=TRUE),VLOOKUP(Calculator!E23,tbSkills!DH3:DJ6,3,FALSE),0),0))&gt;=100,100,(Backdoors!AI12+IF(DC51&gt;=0.45,VLOOKUP(Calculator!E23,tbSkills!DH3:DI6,2,FALSE)+IF(AND(Calculator!B8=TRUE,Backdoors!BI18=TRUE),VLOOKUP(Calculator!E23,tbSkills!DH3:DJ6,3,FALSE),0),0)))/100)),1),1)</f>
        <v>0.5</v>
      </c>
      <c r="DI51" s="87">
        <f t="shared" si="9"/>
        <v>0</v>
      </c>
      <c r="DJ51" s="86" t="str">
        <f>IFERROR(IF(VLOOKUP(A51,tbMoveset!A2:B112,2,FALSE)="Sever",Backdoors!AY19/100,IF(VLOOKUP(A51,tbMoveset!A2:B112,2,FALSE)="Blunt",Backdoors!AZ19/100,Backdoors!BA19/100)),"")</f>
        <v/>
      </c>
      <c r="DK51" s="49">
        <f>IFERROR(IF(VLOOKUP(tbMoveset!A51,tbMoveset!A2:H112,8,FALSE)="Other",IF(VLOOKUP(tbMoveset!A51,tbMoveset!A2:I112,9,FALSE)="Fire",Backdoors!BB19,IF(VLOOKUP(tbMoveset!A51,tbMoveset!A2:I112,9,FALSE)="Water",Backdoors!BC19,IF(VLOOKUP(tbMoveset!A51,tbMoveset!A2:I112,9,FALSE)="Thunder",Backdoors!BD19,IF(VLOOKUP(tbMoveset!A51,tbMoveset!A2:I112,9,FALSE)="Ice",Backdoors!BE19,IF(VLOOKUP(tbMoveset!A51,tbMoveset!A2:I112,9,FALSE)="Dragon",Backdoors!BF19,Backdoors!BG19)))))/100,Backdoors!BG19/100),"")</f>
        <v>0</v>
      </c>
      <c r="DL51" s="49">
        <f>IFERROR(IF(VLOOKUP(A51,tbMoveset!A2:J112,10,FALSE)=TRUE,IF((Backdoors!AI12+IF(DJ51&gt;=0.45,VLOOKUP(Calculator!E23,tbSkills!DH3:DI6,2,FALSE)+IF(AND(Calculator!B8=TRUE,Backdoors!BI19=TRUE),VLOOKUP(Calculator!E23,tbSkills!DH3:DJ6,3,FALSE),0),0))&gt;=0,1+(Backdoors!AL2*(IF((Backdoors!AI12+IF(DJ51&gt;=0.45,VLOOKUP(Calculator!E23,tbSkills!DH3:DI6,2,FALSE)+IF(AND(Calculator!B8=TRUE,Backdoors!BI19=TRUE),VLOOKUP(Calculator!E23,tbSkills!DH3:DJ6,3,FALSE),0),0))&gt;=100,100,(Backdoors!AI12+IF(DJ51&gt;=0.45,VLOOKUP(Calculator!E23,tbSkills!DH3:DI6,2,FALSE)+IF(AND(Calculator!B8=TRUE,Backdoors!BI19=TRUE),VLOOKUP(Calculator!E23,tbSkills!DH3:DJ6,3,FALSE),0),0)))/100)),(1-(0.25*((-Backdoors!AI12-IF(DJ51&gt;=0.45,VLOOKUP(Calculator!E23,tbSkills!DH3:DI6,2,FALSE)+IF(AND(Calculator!B8=TRUE,Backdoors!BI19=TRUE),VLOOKUP(Calculator!E23,tbSkills!DH3:DJ6,3,FALSE),0),0))/100)))),1),"")</f>
        <v>1</v>
      </c>
      <c r="DM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J51)*DL51)*(VLOOKUP(A51,tbMoveset!A2:C112,3,FALSE)/100)*IF(VLOOKUP(A51,tbMoveset!A2:B112,2,FALSE)="Projectile",Backdoors!N10,Backdoors!N9),0),"")</f>
        <v/>
      </c>
      <c r="DN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J51&gt;=0.45,VLOOKUP(Calculator!E23,tbSkills!DH3:DI6,2,FALSE)+IF(AND(Calculator!B8=TRUE,Backdoors!BI19=TRUE),VLOOKUP(Calculator!E23,tbSkills!DH3:DJ6,3,FALSE),0),0))&gt;=100,100,(Backdoors!AI12+IF(DJ51&gt;=0.45,VLOOKUP(Calculator!E23,tbSkills!DH3:DI6,2,FALSE)+IF(AND(Calculator!B8=TRUE,Backdoors!BI19=TRUE),VLOOKUP(Calculator!E23,tbSkills!DH3:DJ6,3,FALSE),0),0)))/100)),1))*IF(VLOOKUP(A51,tbMoveset!A2:K112,11,FALSE)=TRUE,Backdoors!AC5,1))*DK51,0),"")</f>
        <v>0</v>
      </c>
      <c r="DO51" s="49">
        <f>VLOOKUP(A51,tbMoveset!A2:G112,7,FALSE)*IFERROR(IF(Backdoors!AI12&gt;=0,1+(IF(Calculator!E40&gt;0,VLOOKUP(Calculator!E40,tbSkills!AI3:AJ5,2,FALSE),Backdoors!AL4)*(IF((Backdoors!AI12+IF(DJ51&gt;=0.45,VLOOKUP(Calculator!E23,tbSkills!DH3:DI6,2,FALSE)+IF(AND(Calculator!B8=TRUE,Backdoors!BI19=TRUE),VLOOKUP(Calculator!E23,tbSkills!DH3:DJ6,3,FALSE),0),0))&gt;=100,100,(Backdoors!AI12+IF(DJ51&gt;=0.45,VLOOKUP(Calculator!E23,tbSkills!DH3:DI6,2,FALSE)+IF(AND(Calculator!B8=TRUE,Backdoors!BI19=TRUE),VLOOKUP(Calculator!E23,tbSkills!DH3:DJ6,3,FALSE),0),0)))/100)),1),1)</f>
        <v>0.5</v>
      </c>
      <c r="DP51" s="87">
        <f t="shared" si="41"/>
        <v>0</v>
      </c>
      <c r="DQ51" s="86" t="str">
        <f>IFERROR(IF(VLOOKUP(A51,tbMoveset!A2:B112,2,FALSE)="Sever",Backdoors!AY20/100,IF(VLOOKUP(A51,tbMoveset!A2:B112,2,FALSE)="Blunt",Backdoors!AZ20/100,Backdoors!BA20/100)),"")</f>
        <v/>
      </c>
      <c r="DR51" s="49">
        <f>IFERROR(IF(VLOOKUP(tbMoveset!A51,tbMoveset!A2:H112,8,FALSE)="Other",IF(VLOOKUP(tbMoveset!A51,tbMoveset!A2:I112,9,FALSE)="Fire",Backdoors!BB20,IF(VLOOKUP(tbMoveset!A51,tbMoveset!A2:I112,9,FALSE)="Water",Backdoors!BC20,IF(VLOOKUP(tbMoveset!A51,tbMoveset!A2:I112,9,FALSE)="Thunder",Backdoors!BD20,IF(VLOOKUP(tbMoveset!A51,tbMoveset!A2:I112,9,FALSE)="Ice",Backdoors!BE20,IF(VLOOKUP(tbMoveset!A51,tbMoveset!A2:I112,9,FALSE)="Dragon",Backdoors!BF20,Backdoors!BG20)))))/100,Backdoors!BG20/100),"")</f>
        <v>0</v>
      </c>
      <c r="DS51" s="49">
        <f>IFERROR(IF(VLOOKUP(A51,tbMoveset!A2:J112,10,FALSE)=TRUE,IF((Backdoors!AI12+IF(DQ51&gt;=0.45,VLOOKUP(Calculator!E23,tbSkills!DH3:DI6,2,FALSE)+IF(AND(Calculator!B8=TRUE,Backdoors!BI20=TRUE),VLOOKUP(Calculator!E23,tbSkills!DH3:DJ6,3,FALSE),0),0))&gt;=0,1+(Backdoors!AL2*(IF((Backdoors!AI12+IF(DQ51&gt;=0.45,VLOOKUP(Calculator!E23,tbSkills!DH3:DI6,2,FALSE)+IF(AND(Calculator!B8=TRUE,Backdoors!BI20=TRUE),VLOOKUP(Calculator!E23,tbSkills!DH3:DJ6,3,FALSE),0),0))&gt;=100,100,(Backdoors!AI12+IF(DQ51&gt;=0.45,VLOOKUP(Calculator!E23,tbSkills!DH3:DI6,2,FALSE)+IF(AND(Calculator!B8=TRUE,Backdoors!BI20=TRUE),VLOOKUP(Calculator!E23,tbSkills!DH3:DJ6,3,FALSE),0),0)))/100)),(1-(0.25*((-Backdoors!AI12-IF(DQ51&gt;=0.45,VLOOKUP(Calculator!E23,tbSkills!DH3:DI6,2,FALSE)+IF(AND(Calculator!B8=TRUE,Backdoors!BI20=TRUE),VLOOKUP(Calculator!E23,tbSkills!DH3:DJ6,3,FALSE),0),0))/100)))),1),"")</f>
        <v>1</v>
      </c>
      <c r="DT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Q51)*DS51)*(VLOOKUP(A51,tbMoveset!A2:C112,3,FALSE)/100)*IF(VLOOKUP(A51,tbMoveset!A2:B112,2,FALSE)="Projectile",Backdoors!N10,Backdoors!N9),0),"")</f>
        <v/>
      </c>
      <c r="DU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Q51&gt;=0.45,VLOOKUP(Calculator!E23,tbSkills!DH3:DI6,2,FALSE)+IF(AND(Calculator!B8=TRUE,Backdoors!BI20=TRUE),VLOOKUP(Calculator!E23,tbSkills!DH3:DJ6,3,FALSE),0),0))&gt;=100,100,(Backdoors!AI12+IF(DQ51&gt;=0.45,VLOOKUP(Calculator!E23,tbSkills!DH3:DI6,2,FALSE)+IF(AND(Calculator!B8=TRUE,Backdoors!BI20=TRUE),VLOOKUP(Calculator!E23,tbSkills!DH3:DJ6,3,FALSE),0),0)))/100)),1))*IF(VLOOKUP(A51,tbMoveset!A2:K112,11,FALSE)=TRUE,Backdoors!AC5,1))*DR51,0),"")</f>
        <v>0</v>
      </c>
      <c r="DV51" s="49">
        <f>VLOOKUP(A51,tbMoveset!A2:G112,7,FALSE)*IFERROR(IF(Backdoors!AI12&gt;=0,1+(IF(Calculator!E40&gt;0,VLOOKUP(Calculator!E40,tbSkills!AI3:AJ5,2,FALSE),Backdoors!AL4)*(IF((Backdoors!AI12+IF(DQ51&gt;=0.45,VLOOKUP(Calculator!E23,tbSkills!DH3:DI6,2,FALSE)+IF(AND(Calculator!B8=TRUE,Backdoors!BI20=TRUE),VLOOKUP(Calculator!E23,tbSkills!DH3:DJ6,3,FALSE),0),0))&gt;=100,100,(Backdoors!AI12+IF(DQ51&gt;=0.45,VLOOKUP(Calculator!E23,tbSkills!DH3:DI6,2,FALSE)+IF(AND(Calculator!B8=TRUE,Backdoors!BI20=TRUE),VLOOKUP(Calculator!E23,tbSkills!DH3:DJ6,3,FALSE),0),0)))/100)),1),1)</f>
        <v>0.5</v>
      </c>
      <c r="DW51" s="87">
        <f t="shared" si="10"/>
        <v>0</v>
      </c>
      <c r="DX51" s="86" t="str">
        <f>IFERROR(IF(VLOOKUP(A51,tbMoveset!A2:B112,2,FALSE)="Sever",Backdoors!AY21/100,IF(VLOOKUP(A51,tbMoveset!A2:B112,2,FALSE)="Blunt",Backdoors!AZ21/100,Backdoors!BA21/100)),"")</f>
        <v/>
      </c>
      <c r="DY51" s="49">
        <f>IFERROR(IF(VLOOKUP(tbMoveset!A51,tbMoveset!A2:H112,8,FALSE)="Other",IF(VLOOKUP(tbMoveset!A51,tbMoveset!A2:I112,9,FALSE)="Fire",Backdoors!BB21,IF(VLOOKUP(tbMoveset!A51,tbMoveset!A2:I112,9,FALSE)="Water",Backdoors!BC21,IF(VLOOKUP(tbMoveset!A51,tbMoveset!A2:I112,9,FALSE)="Thunder",Backdoors!BD21,IF(VLOOKUP(tbMoveset!A51,tbMoveset!A2:I112,9,FALSE)="Ice",Backdoors!BE21,IF(VLOOKUP(tbMoveset!A51,tbMoveset!A2:I112,9,FALSE)="Dragon",Backdoors!BF21,Backdoors!BG21)))))/100,Backdoors!BG21/100),"")</f>
        <v>0</v>
      </c>
      <c r="DZ51" s="49">
        <f>IFERROR(IF(VLOOKUP(A51,tbMoveset!A2:J112,10,FALSE)=TRUE,IF((Backdoors!AI12+IF(DX51&gt;=0.45,VLOOKUP(Calculator!E23,tbSkills!DH3:DI6,2,FALSE)+IF(AND(Calculator!B8=TRUE,Backdoors!BI21=TRUE),VLOOKUP(Calculator!E23,tbSkills!DH3:DJ6,3,FALSE),0),0))&gt;=0,1+(Backdoors!AL2*(IF((Backdoors!AI12+IF(DX51&gt;=0.45,VLOOKUP(Calculator!E23,tbSkills!DH3:DI6,2,FALSE)+IF(AND(Calculator!B8=TRUE,Backdoors!BI21=TRUE),VLOOKUP(Calculator!E23,tbSkills!DH3:DJ6,3,FALSE),0),0))&gt;=100,100,(Backdoors!AI12+IF(DX51&gt;=0.45,VLOOKUP(Calculator!E23,tbSkills!DH3:DI6,2,FALSE)+IF(AND(Calculator!B8=TRUE,Backdoors!BI21=TRUE),VLOOKUP(Calculator!E23,tbSkills!DH3:DJ6,3,FALSE),0),0)))/100)),(1-(0.25*((-Backdoors!AI12-IF(DX51&gt;=0.45,VLOOKUP(Calculator!E23,tbSkills!DH3:DI6,2,FALSE)+IF(AND(Calculator!B8=TRUE,Backdoors!BI21=TRUE),VLOOKUP(Calculator!E23,tbSkills!DH3:DJ6,3,FALSE),0),0))/100)))),1),"")</f>
        <v>1</v>
      </c>
      <c r="EA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X51)*DZ51)*(VLOOKUP(A51,tbMoveset!A2:C112,3,FALSE)/100)*IF(VLOOKUP(A51,tbMoveset!A2:B112,2,FALSE)="Projectile",Backdoors!N10,Backdoors!N9),0),"")</f>
        <v/>
      </c>
      <c r="EB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X51&gt;=0.45,VLOOKUP(Calculator!E23,tbSkills!DH3:DI6,2,FALSE)+IF(AND(Calculator!B8=TRUE,Backdoors!BI21=TRUE),VLOOKUP(Calculator!E23,tbSkills!DH3:DJ6,3,FALSE),0),0))&gt;=100,100,(Backdoors!AI12+IF(DX51&gt;=0.45,VLOOKUP(Calculator!E23,tbSkills!DH3:DI6,2,FALSE)+IF(AND(Calculator!B8=TRUE,Backdoors!BI21=TRUE),VLOOKUP(Calculator!E23,tbSkills!DH3:DJ6,3,FALSE),0),0)))/100)),1))*IF(VLOOKUP(A51,tbMoveset!A2:K112,11,FALSE)=TRUE,Backdoors!AC5,1))*DY51,0),"")</f>
        <v>0</v>
      </c>
      <c r="EC51" s="49">
        <f>VLOOKUP(A51,tbMoveset!A2:G112,7,FALSE)*IFERROR(IF(Backdoors!AI12&gt;=0,1+(IF(Calculator!E40&gt;0,VLOOKUP(Calculator!E40,tbSkills!AI3:AJ5,2,FALSE),Backdoors!AL4)*(IF((Backdoors!AI12+IF(DX51&gt;=0.45,VLOOKUP(Calculator!E23,tbSkills!DH3:DI6,2,FALSE)+IF(AND(Calculator!B8=TRUE,Backdoors!BI21=TRUE),VLOOKUP(Calculator!E23,tbSkills!DH3:DJ6,3,FALSE),0),0))&gt;=100,100,(Backdoors!AI12+IF(DX51&gt;=0.45,VLOOKUP(Calculator!E23,tbSkills!DH3:DI6,2,FALSE)+IF(AND(Calculator!B8=TRUE,Backdoors!BI21=TRUE),VLOOKUP(Calculator!E23,tbSkills!DH3:DJ6,3,FALSE),0),0)))/100)),1),1)</f>
        <v>0.5</v>
      </c>
      <c r="ED51" s="87">
        <f t="shared" si="11"/>
        <v>0</v>
      </c>
      <c r="EE51" s="86" t="str">
        <f>IFERROR(IF(VLOOKUP(A51,tbMoveset!A2:B112,2,FALSE)="Sever",Backdoors!AY22/100,IF(VLOOKUP(A51,tbMoveset!A2:B112,2,FALSE)="Blunt",Backdoors!AZ22/100,Backdoors!BA22/100)),"")</f>
        <v/>
      </c>
      <c r="EF51" s="49">
        <f>IFERROR(IF(VLOOKUP(tbMoveset!A51,tbMoveset!A2:H112,8,FALSE)="Other",IF(VLOOKUP(tbMoveset!A51,tbMoveset!A2:I112,9,FALSE)="Fire",Backdoors!BB22,IF(VLOOKUP(tbMoveset!A51,tbMoveset!A2:I112,9,FALSE)="Water",Backdoors!BC22,IF(VLOOKUP(tbMoveset!A51,tbMoveset!A2:I112,9,FALSE)="Thunder",Backdoors!BD22,IF(VLOOKUP(tbMoveset!A51,tbMoveset!A2:I112,9,FALSE)="Ice",Backdoors!BE22,IF(VLOOKUP(tbMoveset!A51,tbMoveset!A2:I112,9,FALSE)="Dragon",Backdoors!BF22,Backdoors!BG22)))))/100,Backdoors!BG22/100),"")</f>
        <v>0</v>
      </c>
      <c r="EG51" s="49">
        <f>IFERROR(IF(VLOOKUP(A51,tbMoveset!A2:J112,10,FALSE)=TRUE,IF((Backdoors!AI12+IF(EE51&gt;=0.45,VLOOKUP(Calculator!E23,tbSkills!DH3:DI6,2,FALSE)+IF(AND(Calculator!B8=TRUE,Backdoors!BI22=TRUE),VLOOKUP(Calculator!E23,tbSkills!DH3:DJ6,3,FALSE),0),0))&gt;=0,1+(Backdoors!AL2*(IF((Backdoors!AI12+IF(EE51&gt;=0.45,VLOOKUP(Calculator!E23,tbSkills!DH3:DI6,2,FALSE)+IF(AND(Calculator!B8=TRUE,Backdoors!BI22=TRUE),VLOOKUP(Calculator!E23,tbSkills!DH3:DJ6,3,FALSE),0),0))&gt;=100,100,(Backdoors!AI12+IF(EE51&gt;=0.45,VLOOKUP(Calculator!E23,tbSkills!DH3:DI6,2,FALSE)+IF(AND(Calculator!B8=TRUE,Backdoors!BI22=TRUE),VLOOKUP(Calculator!E23,tbSkills!DH3:DJ6,3,FALSE),0),0)))/100)),(1-(0.25*((-Backdoors!AI12-IF(EE51&gt;=0.45,VLOOKUP(Calculator!E23,tbSkills!DH3:DI6,2,FALSE)+IF(AND(Calculator!B8=TRUE,Backdoors!BI22=TRUE),VLOOKUP(Calculator!E23,tbSkills!DH3:DJ6,3,FALSE),0),0))/100)))),1),"")</f>
        <v>1</v>
      </c>
      <c r="EH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E51)*EG51)*(VLOOKUP(A51,tbMoveset!A2:C112,3,FALSE)/100)*IF(VLOOKUP(A51,tbMoveset!A2:B112,2,FALSE)="Projectile",Backdoors!N10,Backdoors!N9),0),"")</f>
        <v/>
      </c>
      <c r="EI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E51&gt;=0.45,VLOOKUP(Calculator!E23,tbSkills!DH3:DI6,2,FALSE)+IF(AND(Calculator!B8=TRUE,Backdoors!BI22=TRUE),VLOOKUP(Calculator!E23,tbSkills!DH3:DJ6,3,FALSE),0),0))&gt;=100,100,(Backdoors!AI12+IF(EE51&gt;=0.45,VLOOKUP(Calculator!E23,tbSkills!DH3:DI6,2,FALSE)+IF(AND(Calculator!B8=TRUE,Backdoors!BI22=TRUE),VLOOKUP(Calculator!E23,tbSkills!DH3:DJ6,3,FALSE),0),0)))/100)),1))*IF(VLOOKUP(A51,tbMoveset!A2:K112,11,FALSE)=TRUE,Backdoors!AC5,1))*EF51,0),"")</f>
        <v>0</v>
      </c>
      <c r="EJ51" s="49">
        <f>VLOOKUP(A51,tbMoveset!A2:G112,7,FALSE)*IFERROR(IF(Backdoors!AI12&gt;=0,1+(IF(Calculator!E40&gt;0,VLOOKUP(Calculator!E40,tbSkills!AI3:AJ5,2,FALSE),Backdoors!AL4)*(IF((Backdoors!AI12+IF(EE51&gt;=0.45,VLOOKUP(Calculator!E23,tbSkills!DH3:DI6,2,FALSE)+IF(AND(Calculator!B8=TRUE,Backdoors!BI22=TRUE),VLOOKUP(Calculator!E23,tbSkills!DH3:DJ6,3,FALSE),0),0))&gt;=100,100,(Backdoors!AI12+IF(EE51&gt;=0.45,VLOOKUP(Calculator!E23,tbSkills!DH3:DI6,2,FALSE)+IF(AND(Calculator!B8=TRUE,Backdoors!BI22=TRUE),VLOOKUP(Calculator!E23,tbSkills!DH3:DJ6,3,FALSE),0),0)))/100)),1),1)</f>
        <v>0.5</v>
      </c>
      <c r="EK51" s="87">
        <f t="shared" si="12"/>
        <v>0</v>
      </c>
      <c r="EL51" s="86" t="str">
        <f>IFERROR(IF(VLOOKUP(A51,tbMoveset!A2:B112,2,FALSE)="Sever",Backdoors!AY23/100,IF(VLOOKUP(A51,tbMoveset!A2:B112,2,FALSE)="Blunt",Backdoors!AZ23/100,Backdoors!BA23/100)),"")</f>
        <v/>
      </c>
      <c r="EM51" s="49">
        <f>IFERROR(IF(VLOOKUP(tbMoveset!A51,tbMoveset!A2:H112,8,FALSE)="Other",IF(VLOOKUP(tbMoveset!A51,tbMoveset!A2:I112,9,FALSE)="Fire",Backdoors!BB23,IF(VLOOKUP(tbMoveset!A51,tbMoveset!A2:I112,9,FALSE)="Water",Backdoors!BC23,IF(VLOOKUP(tbMoveset!A51,tbMoveset!A2:I112,9,FALSE)="Thunder",Backdoors!BD23,IF(VLOOKUP(tbMoveset!A51,tbMoveset!A2:I112,9,FALSE)="Ice",Backdoors!BE23,IF(VLOOKUP(tbMoveset!A51,tbMoveset!A2:I112,9,FALSE)="Dragon",Backdoors!BF23,Backdoors!BG23)))))/100,Backdoors!BG23/100),"")</f>
        <v>0</v>
      </c>
      <c r="EN51" s="49">
        <f>IFERROR(IF(VLOOKUP(A51,tbMoveset!A2:J112,10,FALSE)=TRUE,IF((Backdoors!AI12+IF(EL51&gt;=0.45,VLOOKUP(Calculator!E23,tbSkills!DH3:DI6,2,FALSE)+IF(AND(Calculator!B8=TRUE,Backdoors!BI23=TRUE),VLOOKUP(Calculator!E23,tbSkills!DH3:DJ6,3,FALSE),0),0))&gt;=0,1+(Backdoors!AL2*(IF((Backdoors!AI12+IF(EL51&gt;=0.45,VLOOKUP(Calculator!E23,tbSkills!DH3:DI6,2,FALSE)+IF(AND(Calculator!B8=TRUE,Backdoors!BI23=TRUE),VLOOKUP(Calculator!E23,tbSkills!DH3:DJ6,3,FALSE),0),0))&gt;=100,100,(Backdoors!AI12+IF(EL51&gt;=0.45,VLOOKUP(Calculator!E23,tbSkills!DH3:DI6,2,FALSE)+IF(AND(Calculator!B8=TRUE,Backdoors!BI23=TRUE),VLOOKUP(Calculator!E23,tbSkills!DH3:DJ6,3,FALSE),0),0)))/100)),(1-(0.25*((-Backdoors!AI12-IF(EL51&gt;=0.45,VLOOKUP(Calculator!E23,tbSkills!DH3:DI6,2,FALSE)+IF(AND(Calculator!B8=TRUE,Backdoors!BI23=TRUE),VLOOKUP(Calculator!E23,tbSkills!DH3:DJ6,3,FALSE),0),0))/100)))),1),"")</f>
        <v>1</v>
      </c>
      <c r="EO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L51)*EN51)*(VLOOKUP(A51,tbMoveset!A2:C112,3,FALSE)/100)*IF(VLOOKUP(A51,tbMoveset!A2:B112,2,FALSE)="Projectile",Backdoors!N10,Backdoors!N9),0),"")</f>
        <v/>
      </c>
      <c r="EP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L51&gt;=0.45,VLOOKUP(Calculator!E23,tbSkills!DH3:DI6,2,FALSE)+IF(AND(Calculator!B8=TRUE,Backdoors!BI23=TRUE),VLOOKUP(Calculator!E23,tbSkills!DH3:DJ6,3,FALSE),0),0))&gt;=100,100,(Backdoors!AI12+IF(EL51&gt;=0.45,VLOOKUP(Calculator!E23,tbSkills!DH3:DI6,2,FALSE)+IF(AND(Calculator!B8=TRUE,Backdoors!BI23=TRUE),VLOOKUP(Calculator!E23,tbSkills!DH3:DJ6,3,FALSE),0),0)))/100)),1))*IF(VLOOKUP(A51,tbMoveset!A2:K112,11,FALSE)=TRUE,Backdoors!AC5,1))*EM51,0),"")</f>
        <v>0</v>
      </c>
      <c r="EQ51" s="49">
        <f>VLOOKUP(A51,tbMoveset!A2:G112,7,FALSE)*IFERROR(IF(Backdoors!AI12&gt;=0,1+(IF(Calculator!E40&gt;0,VLOOKUP(Calculator!E40,tbSkills!AI3:AJ5,2,FALSE),Backdoors!AL4)*(IF((Backdoors!AI12+IF(EL51&gt;=0.45,VLOOKUP(Calculator!E23,tbSkills!DH3:DI6,2,FALSE)+IF(AND(Calculator!B8=TRUE,Backdoors!BI23=TRUE),VLOOKUP(Calculator!E23,tbSkills!DH3:DJ6,3,FALSE),0),0))&gt;=100,100,(Backdoors!AI12+IF(EL51&gt;=0.45,VLOOKUP(Calculator!E23,tbSkills!DH3:DI6,2,FALSE)+IF(AND(Calculator!B8=TRUE,Backdoors!BI23=TRUE),VLOOKUP(Calculator!E23,tbSkills!DH3:DJ6,3,FALSE),0),0)))/100)),1),1)</f>
        <v>0.5</v>
      </c>
      <c r="ER51" s="87">
        <f t="shared" si="13"/>
        <v>0</v>
      </c>
      <c r="ES51" s="86" t="str">
        <f>IFERROR(IF(VLOOKUP(A51,tbMoveset!A2:B112,2,FALSE)="Sever",Backdoors!AY24/100,IF(VLOOKUP(A51,tbMoveset!A2:B112,2,FALSE)="Blunt",Backdoors!AZ24/100,Backdoors!BA24/100)),"")</f>
        <v/>
      </c>
      <c r="ET51" s="49">
        <f>IFERROR(IF(VLOOKUP(tbMoveset!A51,tbMoveset!A2:H112,8,FALSE)="Other",IF(VLOOKUP(tbMoveset!A51,tbMoveset!A2:I112,9,FALSE)="Fire",Backdoors!BB24,IF(VLOOKUP(tbMoveset!A51,tbMoveset!A2:I112,9,FALSE)="Water",Backdoors!BC24,IF(VLOOKUP(tbMoveset!A51,tbMoveset!A2:I112,9,FALSE)="Thunder",Backdoors!BD24,IF(VLOOKUP(tbMoveset!A51,tbMoveset!A2:I112,9,FALSE)="Ice",Backdoors!BE24,IF(VLOOKUP(tbMoveset!A51,tbMoveset!A2:I112,9,FALSE)="Dragon",Backdoors!BF24,Backdoors!BG24)))))/100,Backdoors!BG24/100),"")</f>
        <v>0</v>
      </c>
      <c r="EU51" s="49">
        <f>IFERROR(IF(VLOOKUP(A51,tbMoveset!A2:J112,10,FALSE)=TRUE,IF((Backdoors!AI12+IF(ES51&gt;=0.45,VLOOKUP(Calculator!E23,tbSkills!DH3:DI6,2,FALSE)+IF(AND(Calculator!B8=TRUE,Backdoors!BI24=TRUE),VLOOKUP(Calculator!E23,tbSkills!DH3:DJ6,3,FALSE),0),0))&gt;=0,1+(Backdoors!AL2*(IF((Backdoors!AI12+IF(ES51&gt;=0.45,VLOOKUP(Calculator!E23,tbSkills!DH3:DI6,2,FALSE)+IF(AND(Calculator!B8=TRUE,Backdoors!BI24=TRUE),VLOOKUP(Calculator!E23,tbSkills!DH3:DJ6,3,FALSE),0),0))&gt;=100,100,(Backdoors!AI12+IF(ES51&gt;=0.45,VLOOKUP(Calculator!E23,tbSkills!DH3:DI6,2,FALSE)+IF(AND(Calculator!B8=TRUE,Backdoors!BI24=TRUE),VLOOKUP(Calculator!E23,tbSkills!DH3:DJ6,3,FALSE),0),0)))/100)),(1-(0.25*((-Backdoors!AI12-IF(ES51&gt;=0.45,VLOOKUP(Calculator!E23,tbSkills!DH3:DI6,2,FALSE)+IF(AND(Calculator!B8=TRUE,Backdoors!BI24=TRUE),VLOOKUP(Calculator!E23,tbSkills!DH3:DJ6,3,FALSE),0),0))/100)))),1),"")</f>
        <v>1</v>
      </c>
      <c r="EV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S51)*EU51)*(VLOOKUP(A51,tbMoveset!A2:C112,3,FALSE)/100)*IF(VLOOKUP(A51,tbMoveset!A2:B112,2,FALSE)="Projectile",Backdoors!N10,Backdoors!N9),0),"")</f>
        <v/>
      </c>
      <c r="EW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S51&gt;=0.45,VLOOKUP(Calculator!E23,tbSkills!DH3:DI6,2,FALSE)+IF(AND(Calculator!B8=TRUE,Backdoors!BI24=TRUE),VLOOKUP(Calculator!E23,tbSkills!DH3:DJ6,3,FALSE),0),0))&gt;=100,100,(Backdoors!AI12+IF(ES51&gt;=0.45,VLOOKUP(Calculator!E23,tbSkills!DH3:DI6,2,FALSE)+IF(AND(Calculator!B8=TRUE,Backdoors!BI24=TRUE),VLOOKUP(Calculator!E23,tbSkills!DH3:DJ6,3,FALSE),0),0)))/100)),1))*IF(VLOOKUP(A51,tbMoveset!A2:K112,11,FALSE)=TRUE,Backdoors!AC5,1))*ET51,0),"")</f>
        <v>0</v>
      </c>
      <c r="EX51" s="49">
        <f>VLOOKUP(A51,tbMoveset!A2:G112,7,FALSE)*IFERROR(IF(Backdoors!AI12&gt;=0,1+(IF(Calculator!E40&gt;0,VLOOKUP(Calculator!E40,tbSkills!AI3:AJ5,2,FALSE),Backdoors!AL4)*(IF((Backdoors!AI12+IF(ES51&gt;=0.45,VLOOKUP(Calculator!E23,tbSkills!DH3:DI6,2,FALSE)+IF(AND(Calculator!B8=TRUE,Backdoors!BI24=TRUE),VLOOKUP(Calculator!E23,tbSkills!DH3:DJ6,3,FALSE),0),0))&gt;=100,100,(Backdoors!AI12+IF(ES51&gt;=0.45,VLOOKUP(Calculator!E23,tbSkills!DH3:DI6,2,FALSE)+IF(AND(Calculator!B8=TRUE,Backdoors!BI24=TRUE),VLOOKUP(Calculator!E23,tbSkills!DH3:DJ6,3,FALSE),0),0)))/100)),1),1)</f>
        <v>0.5</v>
      </c>
      <c r="EY51" s="87">
        <f t="shared" si="14"/>
        <v>0</v>
      </c>
      <c r="EZ51" s="86" t="str">
        <f>IFERROR(IF(VLOOKUP(A51,tbMoveset!A2:B112,2,FALSE)="Sever",Backdoors!AY25/100,IF(VLOOKUP(A51,tbMoveset!A2:B112,2,FALSE)="Blunt",Backdoors!AZ25/100,Backdoors!BA25/100)),"")</f>
        <v/>
      </c>
      <c r="FA51" s="49">
        <f>IFERROR(IF(VLOOKUP(tbMoveset!A51,tbMoveset!A2:H112,8,FALSE)="Other",IF(VLOOKUP(tbMoveset!A51,tbMoveset!A2:I112,9,FALSE)="Fire",Backdoors!BB25,IF(VLOOKUP(tbMoveset!A51,tbMoveset!A2:I112,9,FALSE)="Water",Backdoors!BC25,IF(VLOOKUP(tbMoveset!A51,tbMoveset!A2:I112,9,FALSE)="Thunder",Backdoors!BD25,IF(VLOOKUP(tbMoveset!A51,tbMoveset!A2:I112,9,FALSE)="Ice",Backdoors!BE25,IF(VLOOKUP(tbMoveset!A51,tbMoveset!A2:I112,9,FALSE)="Dragon",Backdoors!BF25,Backdoors!BG25)))))/100,Backdoors!BG25/100),"")</f>
        <v>0</v>
      </c>
      <c r="FB51" s="49">
        <f>IFERROR(IF(VLOOKUP(A51,tbMoveset!A2:J112,10,FALSE)=TRUE,IF((Backdoors!AI12+IF(EZ51&gt;=0.45,VLOOKUP(Calculator!E23,tbSkills!DH3:DI6,2,FALSE)+IF(AND(Calculator!B8=TRUE,Backdoors!BI25=TRUE),VLOOKUP(Calculator!E23,tbSkills!DH3:DJ6,3,FALSE),0),0))&gt;=0,1+(Backdoors!AL2*(IF((Backdoors!AI12+IF(EZ51&gt;=0.45,VLOOKUP(Calculator!E23,tbSkills!DH3:DI6,2,FALSE)+IF(AND(Calculator!B8=TRUE,Backdoors!BI25=TRUE),VLOOKUP(Calculator!E23,tbSkills!DH3:DJ6,3,FALSE),0),0))&gt;=100,100,(Backdoors!AI12+IF(EZ51&gt;=0.45,VLOOKUP(Calculator!E23,tbSkills!DH3:DI6,2,FALSE)+IF(AND(Calculator!B8=TRUE,Backdoors!BI25=TRUE),VLOOKUP(Calculator!E23,tbSkills!DH3:DJ6,3,FALSE),0),0)))/100)),(1-(0.25*((-Backdoors!AI12-IF(EZ51&gt;=0.45,VLOOKUP(Calculator!E23,tbSkills!DH3:DI6,2,FALSE)+IF(AND(Calculator!B8=TRUE,Backdoors!BI25=TRUE),VLOOKUP(Calculator!E23,tbSkills!DH3:DJ6,3,FALSE),0),0))/100)))),1),"")</f>
        <v>1</v>
      </c>
      <c r="FC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Z51)*FB51)*(VLOOKUP(A51,tbMoveset!A2:C112,3,FALSE)/100)*IF(VLOOKUP(A51,tbMoveset!A2:B112,2,FALSE)="Projectile",Backdoors!N10,Backdoors!N9),0),"")</f>
        <v/>
      </c>
      <c r="FD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Z51&gt;=0.45,VLOOKUP(Calculator!E23,tbSkills!DH3:DI6,2,FALSE)+IF(AND(Calculator!B8=TRUE,Backdoors!BI25=TRUE),VLOOKUP(Calculator!E23,tbSkills!DH3:DJ6,3,FALSE),0),0))&gt;=100,100,(Backdoors!AI12+IF(EZ51&gt;=0.45,VLOOKUP(Calculator!E23,tbSkills!DH3:DI6,2,FALSE)+IF(AND(Calculator!B8=TRUE,Backdoors!BI25=TRUE),VLOOKUP(Calculator!E23,tbSkills!DH3:DJ6,3,FALSE),0),0)))/100)),1))*IF(VLOOKUP(A51,tbMoveset!A2:K112,11,FALSE)=TRUE,Backdoors!AC5,1))*FA51,0),"")</f>
        <v>0</v>
      </c>
      <c r="FE51" s="49">
        <f>VLOOKUP(A51,tbMoveset!A2:G112,7,FALSE)*IFERROR(IF(Backdoors!AI12&gt;=0,1+(IF(Calculator!E40&gt;0,VLOOKUP(Calculator!E40,tbSkills!AI3:AJ5,2,FALSE),Backdoors!AL4)*(IF((Backdoors!AI12+IF(EZ51&gt;=0.45,VLOOKUP(Calculator!E23,tbSkills!DH3:DI6,2,FALSE)+IF(AND(Calculator!B8=TRUE,Backdoors!BI25=TRUE),VLOOKUP(Calculator!E23,tbSkills!DH3:DJ6,3,FALSE),0),0))&gt;=100,100,(Backdoors!AI12+IF(EZ51&gt;=0.45,VLOOKUP(Calculator!E23,tbSkills!DH3:DI6,2,FALSE)+IF(AND(Calculator!B8=TRUE,Backdoors!BI25=TRUE),VLOOKUP(Calculator!E23,tbSkills!DH3:DJ6,3,FALSE),0),0)))/100)),1),1)</f>
        <v>0.5</v>
      </c>
      <c r="FF51" s="87">
        <f t="shared" si="15"/>
        <v>0</v>
      </c>
      <c r="FG51" s="86" t="str">
        <f>IFERROR(IF(VLOOKUP(A51,tbMoveset!A2:B112,2,FALSE)="Sever",Backdoors!AY26/100,IF(VLOOKUP(A51,tbMoveset!A2:B112,2,FALSE)="Blunt",Backdoors!AZ26/100,Backdoors!BA26/100)),"")</f>
        <v/>
      </c>
      <c r="FH51" s="49">
        <f>IFERROR(IF(VLOOKUP(tbMoveset!A51,tbMoveset!A2:H112,8,FALSE)="Other",IF(VLOOKUP(tbMoveset!A51,tbMoveset!A2:I112,9,FALSE)="Fire",Backdoors!BB26,IF(VLOOKUP(tbMoveset!A51,tbMoveset!A2:I112,9,FALSE)="Water",Backdoors!BC26,IF(VLOOKUP(tbMoveset!A51,tbMoveset!A2:I112,9,FALSE)="Thunder",Backdoors!BD26,IF(VLOOKUP(tbMoveset!A51,tbMoveset!A2:I112,9,FALSE)="Ice",Backdoors!BE26,IF(VLOOKUP(tbMoveset!A51,tbMoveset!A2:I112,9,FALSE)="Dragon",Backdoors!BF26,Backdoors!BG26)))))/100,Backdoors!BG26/100),"")</f>
        <v>0</v>
      </c>
      <c r="FI51" s="49">
        <f>IFERROR(IF(VLOOKUP(A51,tbMoveset!A2:J112,10,FALSE)=TRUE,IF((Backdoors!AI12+IF(FG51&gt;=0.45,VLOOKUP(Calculator!E23,tbSkills!DH3:DI6,2,FALSE)+IF(AND(Calculator!B8=TRUE,Backdoors!BI26=TRUE),VLOOKUP(Calculator!E23,tbSkills!DH3:DJ6,3,FALSE),0),0))&gt;=0,1+(Backdoors!AL2*(IF((Backdoors!AI12+IF(FG51&gt;=0.45,VLOOKUP(Calculator!E23,tbSkills!DH3:DI6,2,FALSE)+IF(AND(Calculator!B8=TRUE,Backdoors!BI26=TRUE),VLOOKUP(Calculator!E23,tbSkills!DH3:DJ6,3,FALSE),0),0))&gt;=100,100,(Backdoors!AI12+IF(FG51&gt;=0.45,VLOOKUP(Calculator!E23,tbSkills!DH3:DI6,2,FALSE)+IF(AND(Calculator!B8=TRUE,Backdoors!BI26=TRUE),VLOOKUP(Calculator!E23,tbSkills!DH3:DJ6,3,FALSE),0),0)))/100)),(1-(0.25*((-Backdoors!AI12-IF(FG51&gt;=0.45,VLOOKUP(Calculator!E23,tbSkills!DH3:DI6,2,FALSE)+IF(AND(Calculator!B8=TRUE,Backdoors!BI26=TRUE),VLOOKUP(Calculator!E23,tbSkills!DH3:DJ6,3,FALSE),0),0))/100)))),1),"")</f>
        <v>1</v>
      </c>
      <c r="FJ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FG51)*FI51)*(VLOOKUP(A51,tbMoveset!A2:C112,3,FALSE)/100)*IF(VLOOKUP(A51,tbMoveset!A2:B112,2,FALSE)="Projectile",Backdoors!N10,Backdoors!N9),0),"")</f>
        <v/>
      </c>
      <c r="FK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FG51&gt;=0.45,VLOOKUP(Calculator!E23,tbSkills!DH3:DI6,2,FALSE)+IF(AND(Calculator!B8=TRUE,Backdoors!BI26=TRUE),VLOOKUP(Calculator!E23,tbSkills!DH3:DJ6,3,FALSE),0),0))&gt;=100,100,(Backdoors!AI12+IF(FG51&gt;=0.45,VLOOKUP(Calculator!E23,tbSkills!DH3:DI6,2,FALSE)+IF(AND(Calculator!B8=TRUE,Backdoors!BI26=TRUE),VLOOKUP(Calculator!E23,tbSkills!DH3:DJ6,3,FALSE),0),0)))/100)),1))*IF(VLOOKUP(A51,tbMoveset!A2:K112,11,FALSE)=TRUE,Backdoors!AC5,1))*FH51,0),"")</f>
        <v>0</v>
      </c>
      <c r="FL51" s="49">
        <f>VLOOKUP(A51,tbMoveset!A2:G112,7,FALSE)*IFERROR(IF(Backdoors!AI12&gt;=0,1+(IF(Calculator!E40&gt;0,VLOOKUP(Calculator!E40,tbSkills!AI3:AJ5,2,FALSE),Backdoors!AL4)*(IF((Backdoors!AI12+IF(FG51&gt;=0.45,VLOOKUP(Calculator!E23,tbSkills!DH3:DI6,2,FALSE)+IF(AND(Calculator!B8=TRUE,Backdoors!BI26=TRUE),VLOOKUP(Calculator!E23,tbSkills!DH3:DJ6,3,FALSE),0),0))&gt;=100,100,(Backdoors!AI12+IF(FG51&gt;=0.45,VLOOKUP(Calculator!E23,tbSkills!DH3:DI6,2,FALSE)+IF(AND(Calculator!B8=TRUE,Backdoors!BI26=TRUE),VLOOKUP(Calculator!E23,tbSkills!DH3:DJ6,3,FALSE),0),0)))/100)),1),1)</f>
        <v>0.5</v>
      </c>
      <c r="FM51" s="87">
        <f t="shared" si="16"/>
        <v>0</v>
      </c>
      <c r="FN51" s="86" t="str">
        <f>IFERROR(IF(VLOOKUP(A51,tbMoveset!A2:B112,2,FALSE)="Sever",Backdoors!AY27/100,IF(VLOOKUP(A51,tbMoveset!A2:B112,2,FALSE)="Blunt",Backdoors!AZ27/100,Backdoors!BA27/100)),"")</f>
        <v/>
      </c>
      <c r="FO51" s="49">
        <f>IFERROR(IF(VLOOKUP(tbMoveset!A51,tbMoveset!A2:H112,8,FALSE)="Other",IF(VLOOKUP(tbMoveset!A51,tbMoveset!A2:I112,9,FALSE)="Fire",Backdoors!BB27,IF(VLOOKUP(tbMoveset!A51,tbMoveset!A2:I112,9,FALSE)="Water",Backdoors!BC27,IF(VLOOKUP(tbMoveset!A51,tbMoveset!A2:I112,9,FALSE)="Thunder",Backdoors!BD27,IF(VLOOKUP(tbMoveset!A51,tbMoveset!A2:I112,9,FALSE)="Ice",Backdoors!BE27,IF(VLOOKUP(tbMoveset!A51,tbMoveset!A2:I112,9,FALSE)="Dragon",Backdoors!BF27,Backdoors!BG27)))))/100,Backdoors!BG27/100),"")</f>
        <v>0</v>
      </c>
      <c r="FP51" s="49">
        <f>IFERROR(IF(VLOOKUP(A51,tbMoveset!A2:J112,10,FALSE)=TRUE,IF((Backdoors!AI12+IF(FN51&gt;=0.45,VLOOKUP(Calculator!E23,tbSkills!DH3:DI6,2,FALSE)+IF(AND(Calculator!B8=TRUE,Backdoors!BI27=TRUE),VLOOKUP(Calculator!E23,tbSkills!DH3:DJ6,3,FALSE),0),0))&gt;=0,1+(Backdoors!AL2*(IF((Backdoors!AI12+IF(FN51&gt;=0.45,VLOOKUP(Calculator!E23,tbSkills!DH3:DI6,2,FALSE)+IF(AND(Calculator!B8=TRUE,Backdoors!BI27=TRUE),VLOOKUP(Calculator!E23,tbSkills!DH3:DJ6,3,FALSE),0),0))&gt;=100,100,(Backdoors!AI12+IF(FN51&gt;=0.45,VLOOKUP(Calculator!E23,tbSkills!DH3:DI6,2,FALSE)+IF(AND(Calculator!B8=TRUE,Backdoors!BI27=TRUE),VLOOKUP(Calculator!E23,tbSkills!DH3:DJ6,3,FALSE),0),0)))/100)),(1-(0.25*((-Backdoors!AI12-IF(FN51&gt;=0.45,VLOOKUP(Calculator!E23,tbSkills!DH3:DI6,2,FALSE)+IF(AND(Calculator!B8=TRUE,Backdoors!BI27=TRUE),VLOOKUP(Calculator!E23,tbSkills!DH3:DJ6,3,FALSE),0),0))/100)))),1),"")</f>
        <v>1</v>
      </c>
      <c r="FQ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FN51)*FP51)*(VLOOKUP(A51,tbMoveset!A2:C112,3,FALSE)/100)*IF(VLOOKUP(A51,tbMoveset!A2:B112,2,FALSE)="Projectile",Backdoors!N10,Backdoors!N9),0),"")</f>
        <v/>
      </c>
      <c r="FR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FN51&gt;=0.45,VLOOKUP(Calculator!E23,tbSkills!DH3:DI6,2,FALSE)+IF(AND(Calculator!B8=TRUE,Backdoors!BI27=TRUE),VLOOKUP(Calculator!E23,tbSkills!DH3:DJ6,3,FALSE),0),0))&gt;=100,100,(Backdoors!AI12+IF(FN51&gt;=0.45,VLOOKUP(Calculator!E23,tbSkills!DH3:DI6,2,FALSE)+IF(AND(Calculator!B8=TRUE,Backdoors!BI27=TRUE),VLOOKUP(Calculator!E23,tbSkills!DH3:DJ6,3,FALSE),0),0)))/100)),1))*IF(VLOOKUP(A51,tbMoveset!A2:K112,11,FALSE)=TRUE,Backdoors!AC5,1))*FO51,0),"")</f>
        <v>0</v>
      </c>
      <c r="FS51" s="49">
        <f>VLOOKUP(A51,tbMoveset!A2:G112,7,FALSE)*IFERROR(IF(Backdoors!AI12&gt;=0,1+(IF(Calculator!E40&gt;0,VLOOKUP(Calculator!E40,tbSkills!AI3:AJ5,2,FALSE),Backdoors!AL4)*(IF((Backdoors!AI12+IF(FN51&gt;=0.45,VLOOKUP(Calculator!E23,tbSkills!DH3:DI6,2,FALSE)+IF(AND(Calculator!B8=TRUE,Backdoors!BI27=TRUE),VLOOKUP(Calculator!E23,tbSkills!DH3:DJ6,3,FALSE),0),0))&gt;=100,100,(Backdoors!AI12+IF(FN51&gt;=0.45,VLOOKUP(Calculator!E23,tbSkills!DH3:DI6,2,FALSE)+IF(AND(Calculator!B8=TRUE,Backdoors!BI27=TRUE),VLOOKUP(Calculator!E23,tbSkills!DH3:DJ6,3,FALSE),0),0)))/100)),1),1)</f>
        <v>0.5</v>
      </c>
      <c r="FT51" s="87">
        <f t="shared" si="17"/>
        <v>0</v>
      </c>
      <c r="FU51" s="86" t="str">
        <f>IFERROR(IF(VLOOKUP(A51,tbMoveset!A2:B112,2,FALSE)="Sever",Backdoors!AY28/100,IF(VLOOKUP(A51,tbMoveset!A2:B112,2,FALSE)="Blunt",Backdoors!AZ28/100,Backdoors!BA28/100)),"")</f>
        <v/>
      </c>
      <c r="FV51" s="49">
        <f>IFERROR(IF(VLOOKUP(tbMoveset!A51,tbMoveset!A2:H112,8,FALSE)="Other",IF(VLOOKUP(tbMoveset!A51,tbMoveset!A2:I112,9,FALSE)="Fire",Backdoors!BB28,IF(VLOOKUP(tbMoveset!A51,tbMoveset!A2:I112,9,FALSE)="Water",Backdoors!BC28,IF(VLOOKUP(tbMoveset!A51,tbMoveset!A2:I112,9,FALSE)="Thunder",Backdoors!BD28,IF(VLOOKUP(tbMoveset!A51,tbMoveset!A2:I112,9,FALSE)="Ice",Backdoors!BE28,IF(VLOOKUP(tbMoveset!A51,tbMoveset!A2:I112,9,FALSE)="Dragon",Backdoors!BF28,Backdoors!BG28)))))/100,Backdoors!BG28/100),"")</f>
        <v>0</v>
      </c>
      <c r="FW51" s="49">
        <f>IFERROR(IF(VLOOKUP(A51,tbMoveset!A2:J112,10,FALSE)=TRUE,IF((Backdoors!AI12+IF(FU51&gt;=0.45,VLOOKUP(Calculator!E23,tbSkills!DH3:DI6,2,FALSE)+IF(AND(Calculator!B8=TRUE,Backdoors!BI28=TRUE),VLOOKUP(Calculator!E23,tbSkills!DH3:DJ6,3,FALSE),0),0))&gt;=0,1+(Backdoors!AL2*(IF((Backdoors!AI12+IF(FU51&gt;=0.45,VLOOKUP(Calculator!E23,tbSkills!DH3:DI6,2,FALSE)+IF(AND(Calculator!B8=TRUE,Backdoors!BI28=TRUE),VLOOKUP(Calculator!E23,tbSkills!DH3:DJ6,3,FALSE),0),0))&gt;=100,100,(Backdoors!AI12+IF(FU51&gt;=0.45,VLOOKUP(Calculator!E23,tbSkills!DH3:DI6,2,FALSE)+IF(AND(Calculator!B8=TRUE,Backdoors!BI28=TRUE),VLOOKUP(Calculator!E23,tbSkills!DH3:DJ6,3,FALSE),0),0)))/100)),(1-(0.25*((-Backdoors!AI12-IF(FU51&gt;=0.45,VLOOKUP(Calculator!E23,tbSkills!DH3:DI6,2,FALSE)+IF(AND(Calculator!B8=TRUE,Backdoors!BI28=TRUE),VLOOKUP(Calculator!E23,tbSkills!DH3:DJ6,3,FALSE),0),0))/100)))),1),"")</f>
        <v>1</v>
      </c>
      <c r="FX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FU51)*FW51)*(VLOOKUP(A51,tbMoveset!A2:C112,3,FALSE)/100)*IF(VLOOKUP(A51,tbMoveset!A2:B112,2,FALSE)="Projectile",Backdoors!N10,Backdoors!N9),0),"")</f>
        <v/>
      </c>
      <c r="FY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FU51&gt;=0.45,VLOOKUP(Calculator!E23,tbSkills!DH3:DI6,2,FALSE)+IF(AND(Calculator!B8=TRUE,Backdoors!BI28=TRUE),VLOOKUP(Calculator!E23,tbSkills!DH3:DJ6,3,FALSE),0),0))&gt;=100,100,(Backdoors!AI12+IF(FU51&gt;=0.45,VLOOKUP(Calculator!E23,tbSkills!DH3:DI6,2,FALSE)+IF(AND(Calculator!B8=TRUE,Backdoors!BI28=TRUE),VLOOKUP(Calculator!E23,tbSkills!DH3:DJ6,3,FALSE),0),0)))/100)),1))*IF(VLOOKUP(A51,tbMoveset!A2:K112,11,FALSE)=TRUE,Backdoors!AC5,1))*FV51,0),"")</f>
        <v>0</v>
      </c>
      <c r="FZ51" s="49">
        <f>VLOOKUP(A51,tbMoveset!A2:G112,7,FALSE)*IFERROR(IF(Backdoors!AI12&gt;=0,1+(IF(Calculator!E40&gt;0,VLOOKUP(Calculator!E40,tbSkills!AI3:AJ5,2,FALSE),Backdoors!AL4)*(IF((Backdoors!AI12+IF(FU51&gt;=0.45,VLOOKUP(Calculator!E23,tbSkills!DH3:DI6,2,FALSE)+IF(AND(Calculator!B8=TRUE,Backdoors!BI28=TRUE),VLOOKUP(Calculator!E23,tbSkills!DH3:DJ6,3,FALSE),0),0))&gt;=100,100,(Backdoors!AI12+IF(FU51&gt;=0.45,VLOOKUP(Calculator!E23,tbSkills!DH3:DI6,2,FALSE)+IF(AND(Calculator!B8=TRUE,Backdoors!BI28=TRUE),VLOOKUP(Calculator!E23,tbSkills!DH3:DJ6,3,FALSE),0),0)))/100)),1),1)</f>
        <v>0.5</v>
      </c>
      <c r="GA51" s="87">
        <f t="shared" si="18"/>
        <v>0</v>
      </c>
      <c r="GB51" s="86" t="str">
        <f>IFERROR(IF(VLOOKUP(A51,tbMoveset!A2:B112,2,FALSE)="Sever",Backdoors!AY29/100,IF(VLOOKUP(A51,tbMoveset!A2:B112,2,FALSE)="Blunt",Backdoors!AZ29/100,Backdoors!BA29/100)),"")</f>
        <v/>
      </c>
      <c r="GC51" s="49">
        <f>IFERROR(IF(VLOOKUP(tbMoveset!A51,tbMoveset!A2:H112,8,FALSE)="Other",IF(VLOOKUP(tbMoveset!A51,tbMoveset!A2:I112,9,FALSE)="Fire",Backdoors!BB29,IF(VLOOKUP(tbMoveset!A51,tbMoveset!A2:I112,9,FALSE)="Water",Backdoors!BC29,IF(VLOOKUP(tbMoveset!A51,tbMoveset!A2:I112,9,FALSE)="Thunder",Backdoors!BD29,IF(VLOOKUP(tbMoveset!A51,tbMoveset!A2:I112,9,FALSE)="Ice",Backdoors!BE29,IF(VLOOKUP(tbMoveset!A51,tbMoveset!A2:I112,9,FALSE)="Dragon",Backdoors!BF29,Backdoors!BG29)))))/100,Backdoors!BG29/100),"")</f>
        <v>0</v>
      </c>
      <c r="GD51" s="49">
        <f>IFERROR(IF(VLOOKUP(A51,tbMoveset!A2:J112,10,FALSE)=TRUE,IF((Backdoors!AI12+IF(GB51&gt;=0.45,VLOOKUP(Calculator!E23,tbSkills!DH3:DI6,2,FALSE)+IF(AND(Calculator!B8=TRUE,Backdoors!BI29=TRUE),VLOOKUP(Calculator!E23,tbSkills!DH3:DJ6,3,FALSE),0),0))&gt;=0,1+(Backdoors!AL2*(IF((Backdoors!AI12+IF(GB51&gt;=0.45,VLOOKUP(Calculator!E23,tbSkills!DH3:DI6,2,FALSE)+IF(AND(Calculator!B8=TRUE,Backdoors!BI29=TRUE),VLOOKUP(Calculator!E23,tbSkills!DH3:DJ6,3,FALSE),0),0))&gt;=100,100,(Backdoors!AI12+IF(GB51&gt;=0.45,VLOOKUP(Calculator!E23,tbSkills!DH3:DI6,2,FALSE)+IF(AND(Calculator!B8=TRUE,Backdoors!BI29=TRUE),VLOOKUP(Calculator!E23,tbSkills!DH3:DJ6,3,FALSE),0),0)))/100)),(1-(0.25*((-Backdoors!AI12-IF(GB51&gt;=0.45,VLOOKUP(Calculator!E23,tbSkills!DH3:DI6,2,FALSE)+IF(AND(Calculator!B8=TRUE,Backdoors!BI29=TRUE),VLOOKUP(Calculator!E23,tbSkills!DH3:DJ6,3,FALSE),0),0))/100)))),1),"")</f>
        <v>1</v>
      </c>
      <c r="GE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B51)*GD51)*(VLOOKUP(A51,tbMoveset!A2:C112,3,FALSE)/100)*IF(VLOOKUP(A51,tbMoveset!A2:B112,2,FALSE)="Projectile",Backdoors!N10,Backdoors!N9),0),"")</f>
        <v/>
      </c>
      <c r="GF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B51&gt;=0.45,VLOOKUP(Calculator!E23,tbSkills!DH3:DI6,2,FALSE)+IF(AND(Calculator!B8=TRUE,Backdoors!BI29=TRUE),VLOOKUP(Calculator!E23,tbSkills!DH3:DJ6,3,FALSE),0),0))&gt;=100,100,(Backdoors!AI12+IF(GB51&gt;=0.45,VLOOKUP(Calculator!E23,tbSkills!DH3:DI6,2,FALSE)+IF(AND(Calculator!B8=TRUE,Backdoors!BI29=TRUE),VLOOKUP(Calculator!E23,tbSkills!DH3:DJ6,3,FALSE),0),0)))/100)),1))*IF(VLOOKUP(A51,tbMoveset!A2:K112,11,FALSE)=TRUE,Backdoors!AC5,1))*GC51,0),"")</f>
        <v>0</v>
      </c>
      <c r="GG51" s="49">
        <f>VLOOKUP(A51,tbMoveset!A2:G112,7,FALSE)*IFERROR(IF(Backdoors!AI12&gt;=0,1+(IF(Calculator!E40&gt;0,VLOOKUP(Calculator!E40,tbSkills!AI3:AJ5,2,FALSE),Backdoors!AL4)*(IF((Backdoors!AI12+IF(GB51&gt;=0.45,VLOOKUP(Calculator!E23,tbSkills!DH3:DI6,2,FALSE)+IF(AND(Calculator!B8=TRUE,Backdoors!BI29=TRUE),VLOOKUP(Calculator!E23,tbSkills!DH3:DJ6,3,FALSE),0),0))&gt;=100,100,(Backdoors!AI12+IF(GB51&gt;=0.45,VLOOKUP(Calculator!E23,tbSkills!DH3:DI6,2,FALSE)+IF(AND(Calculator!B8=TRUE,Backdoors!BI29=TRUE),VLOOKUP(Calculator!E23,tbSkills!DH3:DJ6,3,FALSE),0),0)))/100)),1),1)</f>
        <v>0.5</v>
      </c>
      <c r="GH51" s="87">
        <f t="shared" si="19"/>
        <v>0</v>
      </c>
      <c r="GI51" s="86" t="str">
        <f>IFERROR(IF(VLOOKUP(A51,tbMoveset!A2:B112,2,FALSE)="Sever",Backdoors!AY30/100,IF(VLOOKUP(A51,tbMoveset!A2:B112,2,FALSE)="Blunt",Backdoors!AZ30/100,Backdoors!BA30/100)),"")</f>
        <v/>
      </c>
      <c r="GJ51" s="49">
        <f>IFERROR(IF(VLOOKUP(tbMoveset!A51,tbMoveset!A2:H112,8,FALSE)="Other",IF(VLOOKUP(tbMoveset!A51,tbMoveset!A2:I112,9,FALSE)="Fire",Backdoors!BB30,IF(VLOOKUP(tbMoveset!A51,tbMoveset!A2:I112,9,FALSE)="Water",Backdoors!BC30,IF(VLOOKUP(tbMoveset!A51,tbMoveset!A2:I112,9,FALSE)="Thunder",Backdoors!BD30,IF(VLOOKUP(tbMoveset!A51,tbMoveset!A2:I112,9,FALSE)="Ice",Backdoors!BE30,IF(VLOOKUP(tbMoveset!A51,tbMoveset!A2:I112,9,FALSE)="Dragon",Backdoors!BF30,Backdoors!BG30)))))/100,Backdoors!BG30/100),"")</f>
        <v>0</v>
      </c>
      <c r="GK51" s="49">
        <f>IFERROR(IF(VLOOKUP(A51,tbMoveset!A2:J112,10,FALSE)=TRUE,IF((Backdoors!AI12+IF(GI51&gt;=0.45,VLOOKUP(Calculator!E23,tbSkills!DH3:DI6,2,FALSE)+IF(AND(Calculator!B8=TRUE,Backdoors!BI30=TRUE),VLOOKUP(Calculator!E23,tbSkills!DH3:DJ6,3,FALSE),0),0))&gt;=0,1+(Backdoors!AL2*(IF((Backdoors!AI12+IF(GI51&gt;=0.45,VLOOKUP(Calculator!E23,tbSkills!DH3:DI6,2,FALSE)+IF(AND(Calculator!B8=TRUE,Backdoors!BI30=TRUE),VLOOKUP(Calculator!E23,tbSkills!DH3:DJ6,3,FALSE),0),0))&gt;=100,100,(Backdoors!AI12+IF(GI51&gt;=0.45,VLOOKUP(Calculator!E23,tbSkills!DH3:DI6,2,FALSE)+IF(AND(Calculator!B8=TRUE,Backdoors!BI30=TRUE),VLOOKUP(Calculator!E23,tbSkills!DH3:DJ6,3,FALSE),0),0)))/100)),(1-(0.25*((-Backdoors!AI12-IF(GI51&gt;=0.45,VLOOKUP(Calculator!E23,tbSkills!DH3:DI6,2,FALSE)+IF(AND(Calculator!B8=TRUE,Backdoors!BI30=TRUE),VLOOKUP(Calculator!E23,tbSkills!DH3:DJ6,3,FALSE),0),0))/100)))),1),"")</f>
        <v>1</v>
      </c>
      <c r="GL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I51)*GK51)*(VLOOKUP(A51,tbMoveset!A2:C112,3,FALSE)/100)*IF(VLOOKUP(A51,tbMoveset!A2:B112,2,FALSE)="Projectile",Backdoors!N10,Backdoors!N9),0),"")</f>
        <v/>
      </c>
      <c r="GM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I51&gt;=0.45,VLOOKUP(Calculator!E23,tbSkills!DH3:DI6,2,FALSE)+IF(AND(Calculator!B8=TRUE,Backdoors!BI30=TRUE),VLOOKUP(Calculator!E23,tbSkills!DH3:DJ6,3,FALSE),0),0))&gt;=100,100,(Backdoors!AI12+IF(GI51&gt;=0.45,VLOOKUP(Calculator!E23,tbSkills!DH3:DI6,2,FALSE)+IF(AND(Calculator!B8=TRUE,Backdoors!BI30=TRUE),VLOOKUP(Calculator!E23,tbSkills!DH3:DJ6,3,FALSE),0),0)))/100)),1))*IF(VLOOKUP(A51,tbMoveset!A2:K112,11,FALSE)=TRUE,Backdoors!AC5,1))*GJ51,0),"")</f>
        <v>0</v>
      </c>
      <c r="GN51" s="49">
        <f>VLOOKUP(A51,tbMoveset!A2:G112,7,FALSE)*IFERROR(IF(Backdoors!AI12&gt;=0,1+(IF(Calculator!E40&gt;0,VLOOKUP(Calculator!E40,tbSkills!AI3:AJ5,2,FALSE),Backdoors!AL4)*(IF((Backdoors!AI12+IF(GI51&gt;=0.45,VLOOKUP(Calculator!E23,tbSkills!DH3:DI6,2,FALSE)+IF(AND(Calculator!B8=TRUE,Backdoors!BI30=TRUE),VLOOKUP(Calculator!E23,tbSkills!DH3:DJ6,3,FALSE),0),0))&gt;=100,100,(Backdoors!AI12+IF(GI51&gt;=0.45,VLOOKUP(Calculator!E23,tbSkills!DH3:DI6,2,FALSE)+IF(AND(Calculator!B8=TRUE,Backdoors!BI30=TRUE),VLOOKUP(Calculator!E23,tbSkills!DH3:DJ6,3,FALSE),0),0)))/100)),1),1)</f>
        <v>0.5</v>
      </c>
      <c r="GO51" s="87">
        <f t="shared" si="20"/>
        <v>0</v>
      </c>
      <c r="GP51" s="86" t="str">
        <f>IFERROR(IF(VLOOKUP(A51,tbMoveset!A2:B112,2,FALSE)="Sever",Backdoors!AY31/100,IF(VLOOKUP(A51,tbMoveset!A2:B112,2,FALSE)="Blunt",Backdoors!AZ31/100,Backdoors!BA31/100)),"")</f>
        <v/>
      </c>
      <c r="GQ51" s="49">
        <f>IFERROR(IF(VLOOKUP(tbMoveset!A51,tbMoveset!A2:H112,8,FALSE)="Other",IF(VLOOKUP(tbMoveset!A51,tbMoveset!A2:I112,9,FALSE)="Fire",Backdoors!BB31,IF(VLOOKUP(tbMoveset!A51,tbMoveset!A2:I112,9,FALSE)="Water",Backdoors!BC31,IF(VLOOKUP(tbMoveset!A51,tbMoveset!A2:I112,9,FALSE)="Thunder",Backdoors!BD31,IF(VLOOKUP(tbMoveset!A51,tbMoveset!A2:I112,9,FALSE)="Ice",Backdoors!BE31,IF(VLOOKUP(tbMoveset!A51,tbMoveset!A2:I112,9,FALSE)="Dragon",Backdoors!BF31,Backdoors!BG31)))))/100,Backdoors!BG31/100),"")</f>
        <v>0</v>
      </c>
      <c r="GR51" s="49">
        <f>IFERROR(IF(VLOOKUP(A51,tbMoveset!A2:J112,10,FALSE)=TRUE,IF((Backdoors!AI12+IF(GP51&gt;=0.45,VLOOKUP(Calculator!E23,tbSkills!DH3:DI6,2,FALSE)+IF(AND(Calculator!B8=TRUE,Backdoors!BI31=TRUE),VLOOKUP(Calculator!E23,tbSkills!DH3:DJ6,3,FALSE),0),0))&gt;=0,1+(Backdoors!AL2*(IF((Backdoors!AI12+IF(GP51&gt;=0.45,VLOOKUP(Calculator!E23,tbSkills!DH3:DI6,2,FALSE)+IF(AND(Calculator!B8=TRUE,Backdoors!BI31=TRUE),VLOOKUP(Calculator!E23,tbSkills!DH3:DJ6,3,FALSE),0),0))&gt;=100,100,(Backdoors!AI12+IF(GP51&gt;=0.45,VLOOKUP(Calculator!E23,tbSkills!DH3:DI6,2,FALSE)+IF(AND(Calculator!B8=TRUE,Backdoors!BI31=TRUE),VLOOKUP(Calculator!E23,tbSkills!DH3:DJ6,3,FALSE),0),0)))/100)),(1-(0.25*((-Backdoors!AI12-IF(GP51&gt;=0.45,VLOOKUP(Calculator!E23,tbSkills!DH3:DI6,2,FALSE)+IF(AND(Calculator!B8=TRUE,Backdoors!BI31=TRUE),VLOOKUP(Calculator!E23,tbSkills!DH3:DJ6,3,FALSE),0),0))/100)))),1),"")</f>
        <v>1</v>
      </c>
      <c r="GS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P51)*GR51)*(VLOOKUP(A51,tbMoveset!A2:C112,3,FALSE)/100)*IF(VLOOKUP(A51,tbMoveset!A2:B112,2,FALSE)="Projectile",Backdoors!N10,Backdoors!N9),0),"")</f>
        <v/>
      </c>
      <c r="GT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P51&gt;=0.45,VLOOKUP(Calculator!E23,tbSkills!DH3:DI6,2,FALSE)+IF(AND(Calculator!B8=TRUE,Backdoors!BI31=TRUE),VLOOKUP(Calculator!E23,tbSkills!DH3:DJ6,3,FALSE),0),0))&gt;=100,100,(Backdoors!AI12+IF(GP51&gt;=0.45,VLOOKUP(Calculator!E23,tbSkills!DH3:DI6,2,FALSE)+IF(AND(Calculator!B8=TRUE,Backdoors!BI31=TRUE),VLOOKUP(Calculator!E23,tbSkills!DH3:DJ6,3,FALSE),0),0)))/100)),1))*IF(VLOOKUP(A51,tbMoveset!A2:K112,11,FALSE)=TRUE,Backdoors!AC5,1))*GQ51,0),"")</f>
        <v>0</v>
      </c>
      <c r="GU51" s="49">
        <f>VLOOKUP(A51,tbMoveset!A2:G112,7,FALSE)*IFERROR(IF(Backdoors!AI12&gt;=0,1+(IF(Calculator!E40&gt;0,VLOOKUP(Calculator!E40,tbSkills!AI3:AJ5,2,FALSE),Backdoors!AL4)*(IF((Backdoors!AI12+IF(GP51&gt;=0.45,VLOOKUP(Calculator!E23,tbSkills!DH3:DI6,2,FALSE)+IF(AND(Calculator!B8=TRUE,Backdoors!BI31=TRUE),VLOOKUP(Calculator!E23,tbSkills!DH3:DJ6,3,FALSE),0),0))&gt;=100,100,(Backdoors!AI12+IF(GP51&gt;=0.45,VLOOKUP(Calculator!E23,tbSkills!DH3:DI6,2,FALSE)+IF(AND(Calculator!B8=TRUE,Backdoors!BI31=TRUE),VLOOKUP(Calculator!E23,tbSkills!DH3:DJ6,3,FALSE),0),0)))/100)),1),1)</f>
        <v>0.5</v>
      </c>
      <c r="GV51" s="87">
        <f t="shared" si="21"/>
        <v>0</v>
      </c>
      <c r="GW51" s="86" t="str">
        <f>IFERROR(IF(VLOOKUP(A51,tbMoveset!A2:B112,2,FALSE)="Sever",Backdoors!AY32/100,IF(VLOOKUP(A51,tbMoveset!A2:B112,2,FALSE)="Blunt",Backdoors!AZ32/100,Backdoors!BA32/100)),"")</f>
        <v/>
      </c>
      <c r="GX51" s="49">
        <f>IFERROR(IF(VLOOKUP(tbMoveset!A51,tbMoveset!A2:H112,8,FALSE)="Other",IF(VLOOKUP(tbMoveset!A51,tbMoveset!A2:I112,9,FALSE)="Fire",Backdoors!BB32,IF(VLOOKUP(tbMoveset!A51,tbMoveset!A2:I112,9,FALSE)="Water",Backdoors!BC32,IF(VLOOKUP(tbMoveset!A51,tbMoveset!A2:I112,9,FALSE)="Thunder",Backdoors!BD32,IF(VLOOKUP(tbMoveset!A51,tbMoveset!A2:I112,9,FALSE)="Ice",Backdoors!BE32,IF(VLOOKUP(tbMoveset!A51,tbMoveset!A2:I112,9,FALSE)="Dragon",Backdoors!BF32,Backdoors!BG32)))))/100,Backdoors!BG32/100),"")</f>
        <v>0</v>
      </c>
      <c r="GY51" s="49">
        <f>IFERROR(IF(VLOOKUP(A51,tbMoveset!A2:J112,10,FALSE)=TRUE,IF((Backdoors!AI12+IF(GW51&gt;=0.45,VLOOKUP(Calculator!E23,tbSkills!DH3:DI6,2,FALSE)+IF(AND(Calculator!B8=TRUE,Backdoors!BI32=TRUE),VLOOKUP(Calculator!E23,tbSkills!DH3:DJ6,3,FALSE),0),0))&gt;=0,1+(Backdoors!AL2*(IF((Backdoors!AI12+IF(GW51&gt;=0.45,VLOOKUP(Calculator!E23,tbSkills!DH3:DI6,2,FALSE)+IF(AND(Calculator!B8=TRUE,Backdoors!BI32=TRUE),VLOOKUP(Calculator!E23,tbSkills!DH3:DJ6,3,FALSE),0),0))&gt;=100,100,(Backdoors!AI12+IF(GW51&gt;=0.45,VLOOKUP(Calculator!E23,tbSkills!DH3:DI6,2,FALSE)+IF(AND(Calculator!B8=TRUE,Backdoors!BI32=TRUE),VLOOKUP(Calculator!E23,tbSkills!DH3:DJ6,3,FALSE),0),0)))/100)),(1-(0.25*((-Backdoors!AI12-IF(GW51&gt;=0.45,VLOOKUP(Calculator!E23,tbSkills!DH3:DI6,2,FALSE)+IF(AND(Calculator!B8=TRUE,Backdoors!BI32=TRUE),VLOOKUP(Calculator!E23,tbSkills!DH3:DJ6,3,FALSE),0),0))/100)))),1),"")</f>
        <v>1</v>
      </c>
      <c r="GZ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W51)*GY51)*(VLOOKUP(A51,tbMoveset!A2:C112,3,FALSE)/100)*IF(VLOOKUP(A51,tbMoveset!A2:B112,2,FALSE)="Projectile",Backdoors!N10,Backdoors!N9),0),"")</f>
        <v/>
      </c>
      <c r="HA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W51&gt;=0.45,VLOOKUP(Calculator!E23,tbSkills!DH3:DI6,2,FALSE)+IF(AND(Calculator!B8=TRUE,Backdoors!BI32=TRUE),VLOOKUP(Calculator!E23,tbSkills!DH3:DJ6,3,FALSE),0),0))&gt;=100,100,(Backdoors!AI12+IF(GW51&gt;=0.45,VLOOKUP(Calculator!E23,tbSkills!DH3:DI6,2,FALSE)+IF(AND(Calculator!B8=TRUE,Backdoors!BI32=TRUE),VLOOKUP(Calculator!E23,tbSkills!DH3:DJ6,3,FALSE),0),0)))/100)),1))*IF(VLOOKUP(A51,tbMoveset!A2:K112,11,FALSE)=TRUE,Backdoors!AC5,1))*GX51,0),"")</f>
        <v>0</v>
      </c>
      <c r="HB51" s="49">
        <f>VLOOKUP(A51,tbMoveset!A2:G112,7,FALSE)*IFERROR(IF(Backdoors!AI12&gt;=0,1+(IF(Calculator!E40&gt;0,VLOOKUP(Calculator!E40,tbSkills!AI3:AJ5,2,FALSE),Backdoors!AL4)*(IF((Backdoors!AI12+IF(GW51&gt;=0.45,VLOOKUP(Calculator!E23,tbSkills!DH3:DI6,2,FALSE)+IF(AND(Calculator!B8=TRUE,Backdoors!BI32=TRUE),VLOOKUP(Calculator!E23,tbSkills!DH3:DJ6,3,FALSE),0),0))&gt;=100,100,(Backdoors!AI12+IF(GW51&gt;=0.45,VLOOKUP(Calculator!E23,tbSkills!DH3:DI6,2,FALSE)+IF(AND(Calculator!B8=TRUE,Backdoors!BI32=TRUE),VLOOKUP(Calculator!E23,tbSkills!DH3:DJ6,3,FALSE),0),0)))/100)),1),1)</f>
        <v>0.5</v>
      </c>
      <c r="HC51" s="87">
        <f t="shared" si="22"/>
        <v>0</v>
      </c>
      <c r="HD51" s="86" t="str">
        <f>IFERROR(IF(VLOOKUP(A51,tbMoveset!A2:B112,2,FALSE)="Sever",Backdoors!AY33/100,IF(VLOOKUP(A51,tbMoveset!A2:B112,2,FALSE)="Blunt",Backdoors!AZ33/100,Backdoors!BA33/100)),"")</f>
        <v/>
      </c>
      <c r="HE51" s="49">
        <f>IFERROR(IF(VLOOKUP(tbMoveset!A51,tbMoveset!A2:H112,8,FALSE)="Other",IF(VLOOKUP(tbMoveset!A51,tbMoveset!A2:I112,9,FALSE)="Fire",Backdoors!BB33,IF(VLOOKUP(tbMoveset!A51,tbMoveset!A2:I112,9,FALSE)="Water",Backdoors!BC33,IF(VLOOKUP(tbMoveset!A51,tbMoveset!A2:I112,9,FALSE)="Thunder",Backdoors!BD33,IF(VLOOKUP(tbMoveset!A51,tbMoveset!A2:I112,9,FALSE)="Ice",Backdoors!BE33,IF(VLOOKUP(tbMoveset!A51,tbMoveset!A2:I112,9,FALSE)="Dragon",Backdoors!BF33,Backdoors!BG33)))))/100,Backdoors!BG33/100),"")</f>
        <v>0</v>
      </c>
      <c r="HF51" s="49">
        <f>IFERROR(IF(VLOOKUP(A51,tbMoveset!A2:J112,10,FALSE)=TRUE,IF((Backdoors!AI12+IF(HD51&gt;=0.45,VLOOKUP(Calculator!E23,tbSkills!DH3:DI6,2,FALSE)+IF(AND(Calculator!B8=TRUE,Backdoors!BI33=TRUE),VLOOKUP(Calculator!E23,tbSkills!DH3:DJ6,3,FALSE),0),0))&gt;=0,1+(Backdoors!AL2*(IF((Backdoors!AI12+IF(HD51&gt;=0.45,VLOOKUP(Calculator!E23,tbSkills!DH3:DI6,2,FALSE)+IF(AND(Calculator!B8=TRUE,Backdoors!BI33=TRUE),VLOOKUP(Calculator!E23,tbSkills!DH3:DJ6,3,FALSE),0),0))&gt;=100,100,(Backdoors!AI12+IF(HD51&gt;=0.45,VLOOKUP(Calculator!E23,tbSkills!DH3:DI6,2,FALSE)+IF(AND(Calculator!B8=TRUE,Backdoors!BI33=TRUE),VLOOKUP(Calculator!E23,tbSkills!DH3:DJ6,3,FALSE),0),0)))/100)),(1-(0.25*((-Backdoors!AI12-IF(HD51&gt;=0.45,VLOOKUP(Calculator!E23,tbSkills!DH3:DI6,2,FALSE)+IF(AND(Calculator!B8=TRUE,Backdoors!BI33=TRUE),VLOOKUP(Calculator!E23,tbSkills!DH3:DJ6,3,FALSE),0),0))/100)))),1),"")</f>
        <v>1</v>
      </c>
      <c r="HG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D51)*HF51)*(VLOOKUP(A51,tbMoveset!A2:C112,3,FALSE)/100)*IF(VLOOKUP(A51,tbMoveset!A2:B112,2,FALSE)="Projectile",Backdoors!N10,Backdoors!N9),0),"")</f>
        <v/>
      </c>
      <c r="HH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D51&gt;=0.45,VLOOKUP(Calculator!E23,tbSkills!DH3:DI6,2,FALSE)+IF(AND(Calculator!B8=TRUE,Backdoors!BI33=TRUE),VLOOKUP(Calculator!E23,tbSkills!DH3:DJ6,3,FALSE),0),0))&gt;=100,100,(Backdoors!AI12+IF(HD51&gt;=0.45,VLOOKUP(Calculator!E23,tbSkills!DH3:DI6,2,FALSE)+IF(AND(Calculator!B8=TRUE,Backdoors!BI33=TRUE),VLOOKUP(Calculator!E23,tbSkills!DH3:DJ6,3,FALSE),0),0)))/100)),1))*IF(VLOOKUP(A51,tbMoveset!A2:K112,11,FALSE)=TRUE,Backdoors!AC5,1))*HE51,0),"")</f>
        <v>0</v>
      </c>
      <c r="HI51" s="49">
        <f>VLOOKUP(A51,tbMoveset!A2:G112,7,FALSE)*IFERROR(IF(Backdoors!AI12&gt;=0,1+(IF(Calculator!E40&gt;0,VLOOKUP(Calculator!E40,tbSkills!AI3:AJ5,2,FALSE),Backdoors!AL4)*(IF((Backdoors!AI12+IF(HD51&gt;=0.45,VLOOKUP(Calculator!E23,tbSkills!DH3:DI6,2,FALSE)+IF(AND(Calculator!B8=TRUE,Backdoors!BI33=TRUE),VLOOKUP(Calculator!E23,tbSkills!DH3:DJ6,3,FALSE),0),0))&gt;=100,100,(Backdoors!AI12+IF(HD51&gt;=0.45,VLOOKUP(Calculator!E23,tbSkills!DH3:DI6,2,FALSE)+IF(AND(Calculator!B8=TRUE,Backdoors!BI33=TRUE),VLOOKUP(Calculator!E23,tbSkills!DH3:DJ6,3,FALSE),0),0)))/100)),1),1)</f>
        <v>0.5</v>
      </c>
      <c r="HJ51" s="87">
        <f t="shared" si="23"/>
        <v>0</v>
      </c>
      <c r="HK51" s="86" t="str">
        <f>IFERROR(IF(VLOOKUP(A51,tbMoveset!A2:B112,2,FALSE)="Sever",Backdoors!AY34/100,IF(VLOOKUP(A51,tbMoveset!A2:B112,2,FALSE)="Blunt",Backdoors!AZ34/100,Backdoors!BA34/100)),"")</f>
        <v/>
      </c>
      <c r="HL51" s="49">
        <f>IFERROR(IF(VLOOKUP(tbMoveset!A51,tbMoveset!A2:H112,8,FALSE)="Other",IF(VLOOKUP(tbMoveset!A51,tbMoveset!A2:I112,9,FALSE)="Fire",Backdoors!BB34,IF(VLOOKUP(tbMoveset!A51,tbMoveset!A2:I112,9,FALSE)="Water",Backdoors!BC34,IF(VLOOKUP(tbMoveset!A51,tbMoveset!A2:I112,9,FALSE)="Thunder",Backdoors!BD34,IF(VLOOKUP(tbMoveset!A51,tbMoveset!A2:I112,9,FALSE)="Ice",Backdoors!BE34,IF(VLOOKUP(tbMoveset!A51,tbMoveset!A2:I112,9,FALSE)="Dragon",Backdoors!BF34,Backdoors!BG34)))))/100,Backdoors!BG34/100),"")</f>
        <v>0</v>
      </c>
      <c r="HM51" s="49">
        <f>IFERROR(IF(VLOOKUP(A51,tbMoveset!A2:J112,10,FALSE)=TRUE,IF((Backdoors!AI12+IF(HK51&gt;=0.45,VLOOKUP(Calculator!E23,tbSkills!DH3:DI6,2,FALSE)+IF(AND(Calculator!B8=TRUE,Backdoors!BI34=TRUE),VLOOKUP(Calculator!E23,tbSkills!DH3:DJ6,3,FALSE),0),0))&gt;=0,1+(Backdoors!AL2*(IF((Backdoors!AI12+IF(HK51&gt;=0.45,VLOOKUP(Calculator!E23,tbSkills!DH3:DI6,2,FALSE)+IF(AND(Calculator!B8=TRUE,Backdoors!BI34=TRUE),VLOOKUP(Calculator!E23,tbSkills!DH3:DJ6,3,FALSE),0),0))&gt;=100,100,(Backdoors!AI12+IF(HK51&gt;=0.45,VLOOKUP(Calculator!E23,tbSkills!DH3:DI6,2,FALSE)+IF(AND(Calculator!B8=TRUE,Backdoors!BI34=TRUE),VLOOKUP(Calculator!E23,tbSkills!DH3:DJ6,3,FALSE),0),0)))/100)),(1-(0.25*((-Backdoors!AI12-IF(HK51&gt;=0.45,VLOOKUP(Calculator!E23,tbSkills!DH3:DI6,2,FALSE)+IF(AND(Calculator!B8=TRUE,Backdoors!BI34=TRUE),VLOOKUP(Calculator!E23,tbSkills!DH3:DJ6,3,FALSE),0),0))/100)))),1),"")</f>
        <v>1</v>
      </c>
      <c r="HN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K51)*HM51)*(VLOOKUP(A51,tbMoveset!A2:C112,3,FALSE)/100)*IF(VLOOKUP(A51,tbMoveset!A2:B112,2,FALSE)="Projectile",Backdoors!N10,Backdoors!N9),0),"")</f>
        <v/>
      </c>
      <c r="HO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K51&gt;=0.45,VLOOKUP(Calculator!E23,tbSkills!DH3:DI6,2,FALSE)+IF(AND(Calculator!B8=TRUE,Backdoors!BI34=TRUE),VLOOKUP(Calculator!E23,tbSkills!DH3:DJ6,3,FALSE),0),0))&gt;=100,100,(Backdoors!AI12+IF(HK51&gt;=0.45,VLOOKUP(Calculator!E23,tbSkills!DH3:DI6,2,FALSE)+IF(AND(Calculator!B8=TRUE,Backdoors!BI34=TRUE),VLOOKUP(Calculator!E23,tbSkills!DH3:DJ6,3,FALSE),0),0)))/100)),1))*IF(VLOOKUP(A51,tbMoveset!A2:K112,11,FALSE)=TRUE,Backdoors!AC5,1))*HL51,0),"")</f>
        <v>0</v>
      </c>
      <c r="HP51" s="49">
        <f>VLOOKUP(A51,tbMoveset!A2:G112,7,FALSE)*IFERROR(IF(Backdoors!AI12&gt;=0,1+(IF(Calculator!E40&gt;0,VLOOKUP(Calculator!E40,tbSkills!AI3:AJ5,2,FALSE),Backdoors!AL4)*(IF((Backdoors!AI12+IF(HK51&gt;=0.45,VLOOKUP(Calculator!E23,tbSkills!DH3:DI6,2,FALSE)+IF(AND(Calculator!B8=TRUE,Backdoors!BI34=TRUE),VLOOKUP(Calculator!E23,tbSkills!DH3:DJ6,3,FALSE),0),0))&gt;=100,100,(Backdoors!AI12+IF(HK51&gt;=0.45,VLOOKUP(Calculator!E23,tbSkills!DH3:DI6,2,FALSE)+IF(AND(Calculator!B8=TRUE,Backdoors!BI34=TRUE),VLOOKUP(Calculator!E23,tbSkills!DH3:DJ6,3,FALSE),0),0)))/100)),1),1)</f>
        <v>0.5</v>
      </c>
      <c r="HQ51" s="87">
        <f t="shared" si="24"/>
        <v>0</v>
      </c>
      <c r="HR51" s="86" t="str">
        <f>IFERROR(IF(VLOOKUP(A51,tbMoveset!A2:B112,2,FALSE)="Sever",Backdoors!AY35/100,IF(VLOOKUP(A51,tbMoveset!A2:B112,2,FALSE)="Blunt",Backdoors!AZ35/100,Backdoors!BA35/100)),"")</f>
        <v/>
      </c>
      <c r="HS51" s="49">
        <f>IFERROR(IF(VLOOKUP(tbMoveset!A51,tbMoveset!A2:H112,8,FALSE)="Other",IF(VLOOKUP(tbMoveset!A51,tbMoveset!A2:I112,9,FALSE)="Fire",Backdoors!BB35,IF(VLOOKUP(tbMoveset!A51,tbMoveset!A2:I112,9,FALSE)="Water",Backdoors!BC35,IF(VLOOKUP(tbMoveset!A51,tbMoveset!A2:I112,9,FALSE)="Thunder",Backdoors!BD35,IF(VLOOKUP(tbMoveset!A51,tbMoveset!A2:I112,9,FALSE)="Ice",Backdoors!BE35,IF(VLOOKUP(tbMoveset!A51,tbMoveset!A2:I112,9,FALSE)="Dragon",Backdoors!BF35,Backdoors!BG35)))))/100,Backdoors!BG35/100),"")</f>
        <v>0</v>
      </c>
      <c r="HT51" s="49">
        <f>IFERROR(IF(VLOOKUP(A51,tbMoveset!A2:J112,10,FALSE)=TRUE,IF((Backdoors!AI12+IF(HR51&gt;=0.45,VLOOKUP(Calculator!E23,tbSkills!DH3:DI6,2,FALSE)+IF(AND(Calculator!B8=TRUE,Backdoors!BI35=TRUE),VLOOKUP(Calculator!E23,tbSkills!DH3:DJ6,3,FALSE),0),0))&gt;=0,1+(Backdoors!AL2*(IF((Backdoors!AI12+IF(HR51&gt;=0.45,VLOOKUP(Calculator!E23,tbSkills!DH3:DI6,2,FALSE)+IF(AND(Calculator!B8=TRUE,Backdoors!BI35=TRUE),VLOOKUP(Calculator!E23,tbSkills!DH3:DJ6,3,FALSE),0),0))&gt;=100,100,(Backdoors!AI12+IF(HR51&gt;=0.45,VLOOKUP(Calculator!E23,tbSkills!DH3:DI6,2,FALSE)+IF(AND(Calculator!B8=TRUE,Backdoors!BI35=TRUE),VLOOKUP(Calculator!E23,tbSkills!DH3:DJ6,3,FALSE),0),0)))/100)),(1-(0.25*((-Backdoors!AI12-IF(HR51&gt;=0.45,VLOOKUP(Calculator!E23,tbSkills!DH3:DI6,2,FALSE)+IF(AND(Calculator!B8=TRUE,Backdoors!BI35=TRUE),VLOOKUP(Calculator!E23,tbSkills!DH3:DJ6,3,FALSE),0),0))/100)))),1),"")</f>
        <v>1</v>
      </c>
      <c r="HU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R51)*HT51)*(VLOOKUP(A51,tbMoveset!A2:C112,3,FALSE)/100)*IF(VLOOKUP(A51,tbMoveset!A2:B112,2,FALSE)="Projectile",Backdoors!N10,Backdoors!N9),0),"")</f>
        <v/>
      </c>
      <c r="HV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R51&gt;=0.45,VLOOKUP(Calculator!E23,tbSkills!DH3:DI6,2,FALSE)+IF(AND(Calculator!B8=TRUE,Backdoors!BI35=TRUE),VLOOKUP(Calculator!E23,tbSkills!DH3:DJ6,3,FALSE),0),0))&gt;=100,100,(Backdoors!AI12+IF(HR51&gt;=0.45,VLOOKUP(Calculator!E23,tbSkills!DH3:DI6,2,FALSE)+IF(AND(Calculator!B8=TRUE,Backdoors!BI35=TRUE),VLOOKUP(Calculator!E23,tbSkills!DH3:DJ6,3,FALSE),0),0)))/100)),1))*IF(VLOOKUP(A51,tbMoveset!A2:K112,11,FALSE)=TRUE,Backdoors!AC5,1))*HS51,0),"")</f>
        <v>0</v>
      </c>
      <c r="HW51" s="49">
        <f>VLOOKUP(A51,tbMoveset!A2:G112,7,FALSE)*IFERROR(IF(Backdoors!AI12&gt;=0,1+(IF(Calculator!E40&gt;0,VLOOKUP(Calculator!E40,tbSkills!AI3:AJ5,2,FALSE),Backdoors!AL4)*(IF((Backdoors!AI12+IF(HR51&gt;=0.45,VLOOKUP(Calculator!E23,tbSkills!DH3:DI6,2,FALSE)+IF(AND(Calculator!B8=TRUE,Backdoors!BI35=TRUE),VLOOKUP(Calculator!E23,tbSkills!DH3:DJ6,3,FALSE),0),0))&gt;=100,100,(Backdoors!AI12+IF(HR51&gt;=0.45,VLOOKUP(Calculator!E23,tbSkills!DH3:DI6,2,FALSE)+IF(AND(Calculator!B8=TRUE,Backdoors!BI35=TRUE),VLOOKUP(Calculator!E23,tbSkills!DH3:DJ6,3,FALSE),0),0)))/100)),1),1)</f>
        <v>0.5</v>
      </c>
      <c r="HX51" s="87">
        <f t="shared" si="25"/>
        <v>0</v>
      </c>
      <c r="HY51" s="86" t="str">
        <f>IFERROR(IF(VLOOKUP(A51,tbMoveset!A2:B112,2,FALSE)="Sever",Backdoors!AY36/100,IF(VLOOKUP(A51,tbMoveset!A2:B112,2,FALSE)="Blunt",Backdoors!AZ36/100,Backdoors!BA36/100)),"")</f>
        <v/>
      </c>
      <c r="HZ51" s="49">
        <f>IFERROR(IF(VLOOKUP(tbMoveset!A51,tbMoveset!A2:H112,8,FALSE)="Other",IF(VLOOKUP(tbMoveset!A51,tbMoveset!A2:I112,9,FALSE)="Fire",Backdoors!BB36,IF(VLOOKUP(tbMoveset!A51,tbMoveset!A2:I112,9,FALSE)="Water",Backdoors!BC36,IF(VLOOKUP(tbMoveset!A51,tbMoveset!A2:I112,9,FALSE)="Thunder",Backdoors!BD36,IF(VLOOKUP(tbMoveset!A51,tbMoveset!A2:I112,9,FALSE)="Ice",Backdoors!BE36,IF(VLOOKUP(tbMoveset!A51,tbMoveset!A2:I112,9,FALSE)="Dragon",Backdoors!BF36,Backdoors!BG36)))))/100,Backdoors!BG36/100),"")</f>
        <v>0</v>
      </c>
      <c r="IA51" s="49">
        <f>IFERROR(IF(VLOOKUP(A51,tbMoveset!A2:J112,10,FALSE)=TRUE,IF((Backdoors!AI12+IF(HY51&gt;=0.45,VLOOKUP(Calculator!E23,tbSkills!DH3:DI6,2,FALSE)+IF(AND(Calculator!B8=TRUE,Backdoors!BI36=TRUE),VLOOKUP(Calculator!E23,tbSkills!DH3:DJ6,3,FALSE),0),0))&gt;=0,1+(Backdoors!AL2*(IF((Backdoors!AI12+IF(HY51&gt;=0.45,VLOOKUP(Calculator!E23,tbSkills!DH3:DI6,2,FALSE)+IF(AND(Calculator!B8=TRUE,Backdoors!BI36=TRUE),VLOOKUP(Calculator!E23,tbSkills!DH3:DJ6,3,FALSE),0),0))&gt;=100,100,(Backdoors!AI12+IF(HY51&gt;=0.45,VLOOKUP(Calculator!E23,tbSkills!DH3:DI6,2,FALSE)+IF(AND(Calculator!B8=TRUE,Backdoors!BI36=TRUE),VLOOKUP(Calculator!E23,tbSkills!DH3:DJ6,3,FALSE),0),0)))/100)),(1-(0.25*((-Backdoors!AI12-IF(HY51&gt;=0.45,VLOOKUP(Calculator!E23,tbSkills!DH3:DI6,2,FALSE)+IF(AND(Calculator!B8=TRUE,Backdoors!BI36=TRUE),VLOOKUP(Calculator!E23,tbSkills!DH3:DJ6,3,FALSE),0),0))/100)))),1),"")</f>
        <v>1</v>
      </c>
      <c r="IB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Y51)*IA51)*(VLOOKUP(A51,tbMoveset!A2:C112,3,FALSE)/100)*IF(VLOOKUP(A51,tbMoveset!A2:B112,2,FALSE)="Projectile",Backdoors!N10,Backdoors!N9),0),"")</f>
        <v/>
      </c>
      <c r="IC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Y51&gt;=0.45,VLOOKUP(Calculator!E23,tbSkills!DH3:DI6,2,FALSE)+IF(AND(Calculator!B8=TRUE,Backdoors!BI36=TRUE),VLOOKUP(Calculator!E23,tbSkills!DH3:DJ6,3,FALSE),0),0))&gt;=100,100,(Backdoors!AI12+IF(HY51&gt;=0.45,VLOOKUP(Calculator!E23,tbSkills!DH3:DI6,2,FALSE)+IF(AND(Calculator!B8=TRUE,Backdoors!BI36=TRUE),VLOOKUP(Calculator!E23,tbSkills!DH3:DJ6,3,FALSE),0),0)))/100)),1))*IF(VLOOKUP(A51,tbMoveset!A2:K112,11,FALSE)=TRUE,Backdoors!AC5,1))*HZ51,0),"")</f>
        <v>0</v>
      </c>
      <c r="ID51" s="49">
        <f>VLOOKUP(A51,tbMoveset!A2:G112,7,FALSE)*IFERROR(IF(Backdoors!AI12&gt;=0,1+(IF(Calculator!E40&gt;0,VLOOKUP(Calculator!E40,tbSkills!AI3:AJ5,2,FALSE),Backdoors!AL4)*(IF((Backdoors!AI12+IF(HY51&gt;=0.45,VLOOKUP(Calculator!E23,tbSkills!DH3:DI6,2,FALSE)+IF(AND(Calculator!B8=TRUE,Backdoors!BI36=TRUE),VLOOKUP(Calculator!E23,tbSkills!DH3:DJ6,3,FALSE),0),0))&gt;=100,100,(Backdoors!AI12+IF(HY51&gt;=0.45,VLOOKUP(Calculator!E23,tbSkills!DH3:DI6,2,FALSE)+IF(AND(Calculator!B8=TRUE,Backdoors!BI36=TRUE),VLOOKUP(Calculator!E23,tbSkills!DH3:DJ6,3,FALSE),0),0)))/100)),1),1)</f>
        <v>0.5</v>
      </c>
      <c r="IE51" s="87">
        <f t="shared" si="26"/>
        <v>0</v>
      </c>
      <c r="IF51" s="86" t="str">
        <f>IFERROR(IF(VLOOKUP(A51,tbMoveset!A2:B112,2,FALSE)="Sever",Backdoors!AY37/100,IF(VLOOKUP(A51,tbMoveset!A2:B112,2,FALSE)="Blunt",Backdoors!AZ37/100,Backdoors!BA37/100)),"")</f>
        <v/>
      </c>
      <c r="IG51" s="49">
        <f>IFERROR(IF(VLOOKUP(tbMoveset!A51,tbMoveset!A2:H112,8,FALSE)="Other",IF(VLOOKUP(tbMoveset!A51,tbMoveset!A2:I112,9,FALSE)="Fire",Backdoors!BB37,IF(VLOOKUP(tbMoveset!A51,tbMoveset!A2:I112,9,FALSE)="Water",Backdoors!BC37,IF(VLOOKUP(tbMoveset!A51,tbMoveset!A2:I112,9,FALSE)="Thunder",Backdoors!BD37,IF(VLOOKUP(tbMoveset!A51,tbMoveset!A2:I112,9,FALSE)="Ice",Backdoors!BE37,IF(VLOOKUP(tbMoveset!A51,tbMoveset!A2:I112,9,FALSE)="Dragon",Backdoors!BF37,Backdoors!BG37)))))/100,Backdoors!BG37/100),"")</f>
        <v>0</v>
      </c>
      <c r="IH51" s="49">
        <f>IFERROR(IF(VLOOKUP(A51,tbMoveset!A2:J112,10,FALSE)=TRUE,IF((Backdoors!AI12+IF(IF51&gt;=0.45,VLOOKUP(Calculator!E23,tbSkills!DH3:DI6,2,FALSE)+IF(AND(Calculator!B8=TRUE,Backdoors!BI37=TRUE),VLOOKUP(Calculator!E23,tbSkills!DH3:DJ6,3,FALSE),0),0))&gt;=0,1+(Backdoors!AL2*(IF((Backdoors!AI12+IF(IF51&gt;=0.45,VLOOKUP(Calculator!E23,tbSkills!DH3:DI6,2,FALSE)+IF(AND(Calculator!B8=TRUE,Backdoors!BI37=TRUE),VLOOKUP(Calculator!E23,tbSkills!DH3:DJ6,3,FALSE),0),0))&gt;=100,100,(Backdoors!AI12+IF(IF51&gt;=0.45,VLOOKUP(Calculator!E23,tbSkills!DH3:DI6,2,FALSE)+IF(AND(Calculator!B8=TRUE,Backdoors!BI37=TRUE),VLOOKUP(Calculator!E23,tbSkills!DH3:DJ6,3,FALSE),0),0)))/100)),(1-(0.25*((-Backdoors!AI12-IF(IF51&gt;=0.45,VLOOKUP(Calculator!E23,tbSkills!DH3:DI6,2,FALSE)+IF(AND(Calculator!B8=TRUE,Backdoors!BI37=TRUE),VLOOKUP(Calculator!E23,tbSkills!DH3:DJ6,3,FALSE),0),0))/100)))),1),"")</f>
        <v>1</v>
      </c>
      <c r="II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F51)*IH51)*(VLOOKUP(A51,tbMoveset!A2:C112,3,FALSE)/100)*IF(VLOOKUP(A51,tbMoveset!A2:B112,2,FALSE)="Projectile",Backdoors!N10,Backdoors!N9),0),"")</f>
        <v/>
      </c>
      <c r="IJ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IF51&gt;=0.45,VLOOKUP(Calculator!E23,tbSkills!DH3:DI6,2,FALSE)+IF(AND(Calculator!B8=TRUE,Backdoors!BI37=TRUE),VLOOKUP(Calculator!E23,tbSkills!DH3:DJ6,3,FALSE),0),0))&gt;=100,100,(Backdoors!AI12+IF(IF51&gt;=0.45,VLOOKUP(Calculator!E23,tbSkills!DH3:DI6,2,FALSE)+IF(AND(Calculator!B8=TRUE,Backdoors!BI37=TRUE),VLOOKUP(Calculator!E23,tbSkills!DH3:DJ6,3,FALSE),0),0)))/100)),1))*IF(VLOOKUP(A51,tbMoveset!A2:K112,11,FALSE)=TRUE,Backdoors!AC5,1))*IG51,0),"")</f>
        <v>0</v>
      </c>
      <c r="IK51" s="49">
        <f>VLOOKUP(A51,tbMoveset!A2:G112,7,FALSE)*IFERROR(IF(Backdoors!AI12&gt;=0,1+(IF(Calculator!E40&gt;0,VLOOKUP(Calculator!E40,tbSkills!AI3:AJ5,2,FALSE),Backdoors!AL4)*(IF((Backdoors!AI12+IF(IF51&gt;=0.45,VLOOKUP(Calculator!E23,tbSkills!DH3:DI6,2,FALSE)+IF(AND(Calculator!B8=TRUE,Backdoors!BI37=TRUE),VLOOKUP(Calculator!E23,tbSkills!DH3:DJ6,3,FALSE),0),0))&gt;=100,100,(Backdoors!AI12+IF(IF51&gt;=0.45,VLOOKUP(Calculator!E23,tbSkills!DH3:DI6,2,FALSE)+IF(AND(Calculator!B8=TRUE,Backdoors!BI37=TRUE),VLOOKUP(Calculator!E23,tbSkills!DH3:DJ6,3,FALSE),0),0)))/100)),1),1)</f>
        <v>0.5</v>
      </c>
      <c r="IL51" s="87">
        <f t="shared" si="27"/>
        <v>0</v>
      </c>
      <c r="IM51" s="86" t="str">
        <f>IFERROR(IF(VLOOKUP(A51,tbMoveset!A2:B112,2,FALSE)="Sever",Backdoors!AY38/100,IF(VLOOKUP(A51,tbMoveset!A2:B112,2,FALSE)="Blunt",Backdoors!AZ38/100,Backdoors!BA38/100)),"")</f>
        <v/>
      </c>
      <c r="IN51" s="49">
        <f>IFERROR(IF(VLOOKUP(tbMoveset!A51,tbMoveset!A2:H112,8,FALSE)="Other",IF(VLOOKUP(tbMoveset!A51,tbMoveset!A2:I112,9,FALSE)="Fire",Backdoors!BB38,IF(VLOOKUP(tbMoveset!A51,tbMoveset!A2:I112,9,FALSE)="Water",Backdoors!BC38,IF(VLOOKUP(tbMoveset!A51,tbMoveset!A2:I112,9,FALSE)="Thunder",Backdoors!BD38,IF(VLOOKUP(tbMoveset!A51,tbMoveset!A2:I112,9,FALSE)="Ice",Backdoors!BE38,IF(VLOOKUP(tbMoveset!A51,tbMoveset!A2:I112,9,FALSE)="Dragon",Backdoors!BF38,Backdoors!BG38)))))/100,Backdoors!BG38/100),"")</f>
        <v>0</v>
      </c>
      <c r="IO51" s="49">
        <f>IFERROR(IF(VLOOKUP(A51,tbMoveset!A2:J112,10,FALSE)=TRUE,IF((Backdoors!AI12+IF(IM51&gt;=0.45,VLOOKUP(Calculator!E23,tbSkills!DH3:DI6,2,FALSE)+IF(AND(Calculator!B8=TRUE,Backdoors!BI38=TRUE),VLOOKUP(Calculator!E23,tbSkills!DH3:DJ6,3,FALSE),0),0))&gt;=0,1+(Backdoors!AL2*(IF((Backdoors!AI12+IF(IM51&gt;=0.45,VLOOKUP(Calculator!E23,tbSkills!DH3:DI6,2,FALSE)+IF(AND(Calculator!B8=TRUE,Backdoors!BI38=TRUE),VLOOKUP(Calculator!E23,tbSkills!DH3:DJ6,3,FALSE),0),0))&gt;=100,100,(Backdoors!AI12+IF(IM51&gt;=0.45,VLOOKUP(Calculator!E23,tbSkills!DH3:DI6,2,FALSE)+IF(AND(Calculator!B8=TRUE,Backdoors!BI38=TRUE),VLOOKUP(Calculator!E23,tbSkills!DH3:DJ6,3,FALSE),0),0)))/100)),(1-(0.25*((-Backdoors!AI12-IF(IM51&gt;=0.45,VLOOKUP(Calculator!E23,tbSkills!DH3:DI6,2,FALSE)+IF(AND(Calculator!B8=TRUE,Backdoors!BI38=TRUE),VLOOKUP(Calculator!E23,tbSkills!DH3:DJ6,3,FALSE),0),0))/100)))),1),"")</f>
        <v>1</v>
      </c>
      <c r="IP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M51)*IO51)*(VLOOKUP(A51,tbMoveset!A2:C112,3,FALSE)/100)*IF(VLOOKUP(A51,tbMoveset!A2:B112,2,FALSE)="Projectile",Backdoors!N10,Backdoors!N9),0),"")</f>
        <v/>
      </c>
      <c r="IQ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IM51&gt;=0.45,VLOOKUP(Calculator!E23,tbSkills!DH3:DI6,2,FALSE)+IF(AND(Calculator!B8=TRUE,Backdoors!BI38=TRUE),VLOOKUP(Calculator!E23,tbSkills!DH3:DJ6,3,FALSE),0),0))&gt;=100,100,(Backdoors!AI12+IF(IM51&gt;=0.45,VLOOKUP(Calculator!E23,tbSkills!DH3:DI6,2,FALSE)+IF(AND(Calculator!B8=TRUE,Backdoors!BI38=TRUE),VLOOKUP(Calculator!E23,tbSkills!DH3:DJ6,3,FALSE),0),0)))/100)),1))*IF(VLOOKUP(A51,tbMoveset!A2:K112,11,FALSE)=TRUE,Backdoors!AC5,1))*IN51,0),"")</f>
        <v>0</v>
      </c>
      <c r="IR51" s="49">
        <f>VLOOKUP(A51,tbMoveset!A2:G112,7,FALSE)*IFERROR(IF(Backdoors!AI12&gt;=0,1+(IF(Calculator!E40&gt;0,VLOOKUP(Calculator!E40,tbSkills!AI3:AJ5,2,FALSE),Backdoors!AL4)*(IF((Backdoors!AI12+IF(IM51&gt;=0.45,VLOOKUP(Calculator!E23,tbSkills!DH3:DI6,2,FALSE)+IF(AND(Calculator!B8=TRUE,Backdoors!BI38=TRUE),VLOOKUP(Calculator!E23,tbSkills!DH3:DJ6,3,FALSE),0),0))&gt;=100,100,(Backdoors!AI12+IF(IM51&gt;=0.45,VLOOKUP(Calculator!E23,tbSkills!DH3:DI6,2,FALSE)+IF(AND(Calculator!B8=TRUE,Backdoors!BI38=TRUE),VLOOKUP(Calculator!E23,tbSkills!DH3:DJ6,3,FALSE),0),0)))/100)),1),1)</f>
        <v>0.5</v>
      </c>
      <c r="IS51" s="87">
        <f t="shared" si="42"/>
        <v>0</v>
      </c>
      <c r="IT51" s="86" t="str">
        <f>IFERROR(IF(VLOOKUP(A51,tbMoveset!A2:B112,2,FALSE)="Sever",Backdoors!AY39/100,IF(VLOOKUP(A51,tbMoveset!A2:B112,2,FALSE)="Blunt",Backdoors!AZ39/100,Backdoors!BA39/100)),"")</f>
        <v/>
      </c>
      <c r="IU51" s="49">
        <f>IFERROR(IF(VLOOKUP(tbMoveset!A51,tbMoveset!A2:H112,8,FALSE)="Other",IF(VLOOKUP(tbMoveset!A51,tbMoveset!A2:I112,9,FALSE)="Fire",Backdoors!BB39,IF(VLOOKUP(tbMoveset!A51,tbMoveset!A2:I112,9,FALSE)="Water",Backdoors!BC39,IF(VLOOKUP(tbMoveset!A51,tbMoveset!A2:I112,9,FALSE)="Thunder",Backdoors!BD39,IF(VLOOKUP(tbMoveset!A51,tbMoveset!A2:I112,9,FALSE)="Ice",Backdoors!BE39,IF(VLOOKUP(tbMoveset!A51,tbMoveset!A2:I112,9,FALSE)="Dragon",Backdoors!BF39,Backdoors!BG39)))))/100,Backdoors!BG39/100),"")</f>
        <v>0</v>
      </c>
      <c r="IV51" s="49">
        <f>IFERROR(IF(VLOOKUP(A51,tbMoveset!A2:J112,10,FALSE)=TRUE,IF((Backdoors!AI12+IF(IT51&gt;=0.45,VLOOKUP(Calculator!E23,tbSkills!DH3:DI6,2,FALSE)+IF(AND(Calculator!B8=TRUE,Backdoors!BI39=TRUE),VLOOKUP(Calculator!E23,tbSkills!DH3:DJ6,3,FALSE),0),0))&gt;=0,1+(Backdoors!AL2*(IF((Backdoors!AI12+IF(IT51&gt;=0.45,VLOOKUP(Calculator!E23,tbSkills!DH3:DI6,2,FALSE)+IF(AND(Calculator!B8=TRUE,Backdoors!BI39=TRUE),VLOOKUP(Calculator!E23,tbSkills!DH3:DJ6,3,FALSE),0),0))&gt;=100,100,(Backdoors!AI12+IF(IT51&gt;=0.45,VLOOKUP(Calculator!E23,tbSkills!DH3:DI6,2,FALSE)+IF(AND(Calculator!B8=TRUE,Backdoors!BI39=TRUE),VLOOKUP(Calculator!E23,tbSkills!DH3:DJ6,3,FALSE),0),0)))/100)),(1-(0.25*((-Backdoors!AI12-IF(IT51&gt;=0.45,VLOOKUP(Calculator!E23,tbSkills!DH3:DI6,2,FALSE)+IF(AND(Calculator!B8=TRUE,Backdoors!BI39=TRUE),VLOOKUP(Calculator!E23,tbSkills!DH3:DJ6,3,FALSE),0),0))/100)))),1),"")</f>
        <v>1</v>
      </c>
      <c r="IW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T51)*IV51)*(VLOOKUP(A51,tbMoveset!A2:C112,3,FALSE)/100)*IF(VLOOKUP(A51,tbMoveset!A2:B112,2,FALSE)="Projectile",Backdoors!N10,Backdoors!N9),0),"")</f>
        <v/>
      </c>
      <c r="IX51" s="49">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40&gt;0,VLOOKUP(Calculator!E40,tbSkills!AC3:AD5,2,FALSE),Backdoors!AL3)*(IF((Backdoors!AI12+IF(IT51&gt;=0.45,VLOOKUP(Calculator!E23,tbSkills!DH3:DI6,2,FALSE)+IF(AND(Calculator!B8=TRUE,Backdoors!BI39=TRUE),VLOOKUP(Calculator!E23,tbSkills!DH3:DJ6,3,FALSE),0),0))&gt;=100,100,(Backdoors!AI12+IF(IT51&gt;=0.45,VLOOKUP(Calculator!E23,tbSkills!DH3:DI6,2,FALSE)+IF(AND(Calculator!B8=TRUE,Backdoors!BI39=TRUE),VLOOKUP(Calculator!E23,tbSkills!DH3:DJ6,3,FALSE),0),0)))/100)),1))*IF(VLOOKUP(A51,tbMoveset!A2:K112,11,FALSE)=TRUE,Backdoors!AC5,1))*IU51,0),"")</f>
        <v>0</v>
      </c>
      <c r="IY51" s="49">
        <f>VLOOKUP(A51,tbMoveset!A2:G112,7,FALSE)*IFERROR(IF(Backdoors!AI12&gt;=0,1+(IF(Calculator!E40&gt;0,VLOOKUP(Calculator!E40,tbSkills!AI3:AJ5,2,FALSE),Backdoors!AL4)*(IF((Backdoors!AI12+IF(IT51&gt;=0.45,VLOOKUP(Calculator!E23,tbSkills!DH3:DI6,2,FALSE)+IF(AND(Calculator!B8=TRUE,Backdoors!BI39=TRUE),VLOOKUP(Calculator!E23,tbSkills!DH3:DJ6,3,FALSE),0),0))&gt;=100,100,(Backdoors!AI12+IF(IT51&gt;=0.45,VLOOKUP(Calculator!E23,tbSkills!DH3:DI6,2,FALSE)+IF(AND(Calculator!B8=TRUE,Backdoors!BI39=TRUE),VLOOKUP(Calculator!E23,tbSkills!DH3:DJ6,3,FALSE),0),0)))/100)),1),1)</f>
        <v>0.5</v>
      </c>
      <c r="IZ51" s="87">
        <f t="shared" si="28"/>
        <v>0</v>
      </c>
      <c r="JA51" s="86" t="str">
        <f>IFERROR(IF(VLOOKUP(A51,tbMoveset!A2:B112,2,FALSE)="Sever",Backdoors!AY40/100,IF(VLOOKUP(A51,tbMoveset!A2:B112,2,FALSE)="Blunt",Backdoors!AZ40/100,Backdoors!BA40/100)),"")</f>
        <v/>
      </c>
      <c r="JB51" s="49">
        <f>IFERROR(IF(VLOOKUP(tbMoveset!A51,tbMoveset!A2:H112,8,FALSE)="Other",IF(VLOOKUP(tbMoveset!A51,tbMoveset!A2:I112,9,FALSE)="Fire",Backdoors!BB40,IF(VLOOKUP(tbMoveset!A51,tbMoveset!A2:I112,9,FALSE)="Water",Backdoors!BC40,IF(VLOOKUP(tbMoveset!A51,tbMoveset!A2:I112,9,FALSE)="Thunder",Backdoors!BD40,IF(VLOOKUP(tbMoveset!A51,tbMoveset!A2:I112,9,FALSE)="Ice",Backdoors!BE40,IF(VLOOKUP(tbMoveset!A51,tbMoveset!A2:I112,9,FALSE)="Dragon",Backdoors!BF40,Backdoors!BG40)))))/100,Backdoors!BG40/100),"")</f>
        <v>0</v>
      </c>
      <c r="JC51" s="49">
        <f>IFERROR(IF(VLOOKUP(A51,tbMoveset!A2:J112,10,FALSE)=TRUE,IF((Backdoors!AI12+IF(JA51&gt;=0.45,VLOOKUP(Calculator!E23,tbSkills!DH3:DI6,2,FALSE)+IF(AND(Calculator!B8=TRUE,Backdoors!BI40=TRUE),VLOOKUP(Calculator!E23,tbSkills!DH3:DJ6,3,FALSE),0),0))&gt;=0,1+(Backdoors!AL2*(IF((Backdoors!AI12+IF(JA51&gt;=0.45,VLOOKUP(Calculator!E23,tbSkills!DH3:DI6,2,FALSE)+IF(AND(Calculator!B8=TRUE,Backdoors!BI40=TRUE),VLOOKUP(Calculator!E23,tbSkills!DH3:DJ6,3,FALSE),0),0))&gt;=100,100,(Backdoors!AI12+IF(JA51&gt;=0.45,VLOOKUP(Calculator!E23,tbSkills!DH3:DI6,2,FALSE)+IF(AND(Calculator!B8=TRUE,Backdoors!BI40=TRUE),VLOOKUP(Calculator!E23,tbSkills!DH3:DJ6,3,FALSE),0),0)))/100)),(1-(0.25*((-Backdoors!AI12-IF(JA51&gt;=0.45,VLOOKUP(Calculator!E23,tbSkills!DH3:DI6,2,FALSE)+IF(AND(Calculator!B8=TRUE,Backdoors!BI40=TRUE),VLOOKUP(Calculator!E23,tbSkills!DH3:DJ6,3,FALSE),0),0))/100)))),1),"")</f>
        <v>1</v>
      </c>
      <c r="JD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A51)*JC51)*(VLOOKUP(A51,tbMoveset!A2:C112,3,FALSE)/100)*IF(VLOOKUP(A51,tbMoveset!A2:B112,2,FALSE)="Projectile",Backdoors!N10,Backdoors!N9),0),"")</f>
        <v/>
      </c>
      <c r="JE51" s="49">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42&gt;0,VLOOKUP(Calculator!E42,tbSkills!AC3:AD5,2,FALSE),Backdoors!AL3)*(IF((Backdoors!AI12+IF(JA51&gt;=0.45,VLOOKUP(Calculator!E23,tbSkills!DH3:DI6,2,FALSE)+IF(AND(Calculator!B8=TRUE,Backdoors!BI40=TRUE),VLOOKUP(Calculator!E23,tbSkills!DH3:DJ6,3,FALSE),0),0))&gt;=100,100,(Backdoors!AI12+IF(JA51&gt;=0.45,VLOOKUP(Calculator!E23,tbSkills!DH3:DI6,2,FALSE)+IF(AND(Calculator!B8=TRUE,Backdoors!BI40=TRUE),VLOOKUP(Calculator!E23,tbSkills!DH3:DJ6,3,FALSE),0),0)))/100)),1))*IF(VLOOKUP(A51,tbMoveset!A2:K112,11,FALSE)=TRUE,Backdoors!AC5,1))*JB51,0),"")</f>
        <v>0</v>
      </c>
      <c r="JF51" s="49">
        <f>VLOOKUP(A51,tbMoveset!A2:G112,7,FALSE)*IFERROR(IF(Backdoors!AI12&gt;=0,1+(IF(Calculator!E40&gt;0,VLOOKUP(Calculator!E40,tbSkills!AI3:AJ5,2,FALSE),Backdoors!AL4)*(IF((Backdoors!AI12+IF(JA51&gt;=0.45,VLOOKUP(Calculator!E23,tbSkills!DH3:DI6,2,FALSE)+IF(AND(Calculator!B8=TRUE,Backdoors!BI40=TRUE),VLOOKUP(Calculator!E23,tbSkills!DH3:DJ6,3,FALSE),0),0))&gt;=100,100,(Backdoors!AI12+IF(JA51&gt;=0.45,VLOOKUP(Calculator!E23,tbSkills!DH3:DI6,2,FALSE)+IF(AND(Calculator!B8=TRUE,Backdoors!BI40=TRUE),VLOOKUP(Calculator!E23,tbSkills!DH3:DJ6,3,FALSE),0),0)))/100)),1),1)</f>
        <v>0.5</v>
      </c>
      <c r="JG51" s="87">
        <f t="shared" si="29"/>
        <v>0</v>
      </c>
      <c r="JH51" s="86" t="str">
        <f>IFERROR(IF(VLOOKUP(A51,tbMoveset!A2:B112,2,FALSE)="Sever",Backdoors!AY41/100,IF(VLOOKUP(A51,tbMoveset!A2:B112,2,FALSE)="Blunt",Backdoors!AZ41/100,Backdoors!BA41/100)),"")</f>
        <v/>
      </c>
      <c r="JI51" s="49">
        <f>IFERROR(IF(VLOOKUP(tbMoveset!A51,tbMoveset!A2:H112,8,FALSE)="Other",IF(VLOOKUP(tbMoveset!A51,tbMoveset!A2:I112,9,FALSE)="Fire",Backdoors!BB41,IF(VLOOKUP(tbMoveset!A51,tbMoveset!A2:I112,9,FALSE)="Water",Backdoors!BC41,IF(VLOOKUP(tbMoveset!A51,tbMoveset!A2:I112,9,FALSE)="Thunder",Backdoors!BD41,IF(VLOOKUP(tbMoveset!A51,tbMoveset!A2:I112,9,FALSE)="Ice",Backdoors!BE41,IF(VLOOKUP(tbMoveset!A51,tbMoveset!A2:I112,9,FALSE)="Dragon",Backdoors!BF41,Backdoors!BG41)))))/100,Backdoors!BG41/100),"")</f>
        <v>0</v>
      </c>
      <c r="JJ51" s="49">
        <f>IFERROR(IF(VLOOKUP(A51,tbMoveset!A2:J112,10,FALSE)=TRUE,IF((Backdoors!AI12+IF(JH51&gt;=0.45,VLOOKUP(Calculator!E23,tbSkills!DH3:DI6,2,FALSE)+IF(AND(Calculator!B8=TRUE,Backdoors!BI41=TRUE),VLOOKUP(Calculator!E23,tbSkills!DH3:DJ6,3,FALSE),0),0))&gt;=0,1+(Backdoors!AL2*(IF((Backdoors!AI12+IF(JH51&gt;=0.45,VLOOKUP(Calculator!E23,tbSkills!DH3:DI6,2,FALSE)+IF(AND(Calculator!B8=TRUE,Backdoors!BI41=TRUE),VLOOKUP(Calculator!E23,tbSkills!DH3:DJ6,3,FALSE),0),0))&gt;=100,100,(Backdoors!AI12+IF(JH51&gt;=0.45,VLOOKUP(Calculator!E23,tbSkills!DH3:DI6,2,FALSE)+IF(AND(Calculator!B8=TRUE,Backdoors!BI41=TRUE),VLOOKUP(Calculator!E23,tbSkills!DH3:DJ6,3,FALSE),0),0)))/100)),(1-(0.25*((-Backdoors!AI12-IF(JH51&gt;=0.45,VLOOKUP(Calculator!E23,tbSkills!DH3:DI6,2,FALSE)+IF(AND(Calculator!B8=TRUE,Backdoors!BI41=TRUE),VLOOKUP(Calculator!E23,tbSkills!DH3:DJ6,3,FALSE),0),0))/100)))),1),"")</f>
        <v>1</v>
      </c>
      <c r="JK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H51)*JJ51)*(VLOOKUP(A51,tbMoveset!A2:C112,3,FALSE)/100)*IF(VLOOKUP(A51,tbMoveset!A2:B112,2,FALSE)="Projectile",Backdoors!N10,Backdoors!N9),0),"")</f>
        <v/>
      </c>
      <c r="JL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43&gt;0,VLOOKUP(Calculator!E43,tbSkills!AC3:AD5,2,FALSE),Backdoors!AL3)*(IF((Backdoors!AI12+IF(JH51&gt;=0.45,VLOOKUP(Calculator!E23,tbSkills!DH3:DI6,2,FALSE)+IF(AND(Calculator!B8=TRUE,Backdoors!BI41=TRUE),VLOOKUP(Calculator!E23,tbSkills!DH3:DJ6,3,FALSE),0),0))&gt;=100,100,(Backdoors!AI12+IF(JH51&gt;=0.45,VLOOKUP(Calculator!E23,tbSkills!DH3:DI6,2,FALSE)+IF(AND(Calculator!B8=TRUE,Backdoors!BI41=TRUE),VLOOKUP(Calculator!E23,tbSkills!DH3:DJ6,3,FALSE),0),0)))/100)),1))*IF(VLOOKUP(A51,tbMoveset!A2:K112,11,FALSE)=TRUE,Backdoors!AC5,1))*JI51,0),"")</f>
        <v/>
      </c>
      <c r="JM51" s="49">
        <f>VLOOKUP(A51,tbMoveset!A2:G112,7,FALSE)*IFERROR(IF(Backdoors!AI12&gt;=0,1+(IF(Calculator!E40&gt;0,VLOOKUP(Calculator!E40,tbSkills!AI3:AJ5,2,FALSE),Backdoors!AL4)*(IF((Backdoors!AI12+IF(JH51&gt;=0.45,VLOOKUP(Calculator!E23,tbSkills!DH3:DI6,2,FALSE)+IF(AND(Calculator!B8=TRUE,Backdoors!BI41=TRUE),VLOOKUP(Calculator!E23,tbSkills!DH3:DJ6,3,FALSE),0),0))&gt;=100,100,(Backdoors!AI12+IF(JH51&gt;=0.45,VLOOKUP(Calculator!E23,tbSkills!DH3:DI6,2,FALSE)+IF(AND(Calculator!B8=TRUE,Backdoors!BI41=TRUE),VLOOKUP(Calculator!E23,tbSkills!DH3:DJ6,3,FALSE),0),0)))/100)),1),1)</f>
        <v>0.5</v>
      </c>
      <c r="JN51" s="87">
        <f t="shared" si="30"/>
        <v>0</v>
      </c>
      <c r="JO51" s="86" t="str">
        <f>IFERROR(IF(VLOOKUP(A51,tbMoveset!A2:B112,2,FALSE)="Sever",Backdoors!AY42/100,IF(VLOOKUP(A51,tbMoveset!A2:B112,2,FALSE)="Blunt",Backdoors!AZ42/100,Backdoors!BA42/100)),"")</f>
        <v/>
      </c>
      <c r="JP51" s="49">
        <f>IFERROR(IF(VLOOKUP(tbMoveset!A51,tbMoveset!A2:H112,8,FALSE)="Other",IF(VLOOKUP(tbMoveset!A51,tbMoveset!A2:I112,9,FALSE)="Fire",Backdoors!BB42,IF(VLOOKUP(tbMoveset!A51,tbMoveset!A2:I112,9,FALSE)="Water",Backdoors!BC42,IF(VLOOKUP(tbMoveset!A51,tbMoveset!A2:I112,9,FALSE)="Thunder",Backdoors!BD42,IF(VLOOKUP(tbMoveset!A51,tbMoveset!A2:I112,9,FALSE)="Ice",Backdoors!BE42,IF(VLOOKUP(tbMoveset!A51,tbMoveset!A2:I112,9,FALSE)="Dragon",Backdoors!BF42,Backdoors!BG42)))))/100,Backdoors!BG42/100),"")</f>
        <v>0</v>
      </c>
      <c r="JQ51" s="49">
        <f>IFERROR(IF(VLOOKUP(A51,tbMoveset!A2:J112,10,FALSE)=TRUE,IF((Backdoors!AI12+IF(JO51&gt;=0.45,VLOOKUP(Calculator!E23,tbSkills!DH3:DI6,2,FALSE)+IF(AND(Calculator!B8=TRUE,Backdoors!BI42=TRUE),VLOOKUP(Calculator!E23,tbSkills!DH3:DJ6,3,FALSE),0),0))&gt;=0,1+(Backdoors!AL2*(IF((Backdoors!AI12+IF(JO51&gt;=0.45,VLOOKUP(Calculator!E23,tbSkills!DH3:DI6,2,FALSE)+IF(AND(Calculator!B8=TRUE,Backdoors!BI42=TRUE),VLOOKUP(Calculator!E23,tbSkills!DH3:DJ6,3,FALSE),0),0))&gt;=100,100,(Backdoors!AI12+IF(JO51&gt;=0.45,VLOOKUP(Calculator!E23,tbSkills!DH3:DI6,2,FALSE)+IF(AND(Calculator!B8=TRUE,Backdoors!BI42=TRUE),VLOOKUP(Calculator!E23,tbSkills!DH3:DJ6,3,FALSE),0),0)))/100)),(1-(0.25*((-Backdoors!AI12-IF(JO51&gt;=0.45,VLOOKUP(Calculator!E23,tbSkills!DH3:DI6,2,FALSE)+IF(AND(Calculator!B8=TRUE,Backdoors!BI42=TRUE),VLOOKUP(Calculator!E23,tbSkills!DH3:DJ6,3,FALSE),0),0))/100)))),1),"")</f>
        <v>1</v>
      </c>
      <c r="JR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O51)*JQ51)*(VLOOKUP(A51,tbMoveset!A2:C112,3,FALSE)/100)*IF(VLOOKUP(A51,tbMoveset!A2:B112,2,FALSE)="Projectile",Backdoors!N10,Backdoors!N9),0),"")</f>
        <v/>
      </c>
      <c r="JS51" s="49">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45&gt;0,VLOOKUP(Calculator!E45,tbSkills!AC3:AD5,2,FALSE),Backdoors!AL3)*(IF((Backdoors!AI12+IF(JO51&gt;=0.45,VLOOKUP(Calculator!E23,tbSkills!DH3:DI6,2,FALSE)+IF(AND(Calculator!B8=TRUE,Backdoors!BI42=TRUE),VLOOKUP(Calculator!E23,tbSkills!DH3:DJ6,3,FALSE),0),0))&gt;=100,100,(Backdoors!AI12+IF(JO51&gt;=0.45,VLOOKUP(Calculator!E23,tbSkills!DH3:DI6,2,FALSE)+IF(AND(Calculator!B8=TRUE,Backdoors!BI42=TRUE),VLOOKUP(Calculator!E23,tbSkills!DH3:DJ6,3,FALSE),0),0)))/100)),1))*IF(VLOOKUP(A51,tbMoveset!A2:K112,11,FALSE)=TRUE,Backdoors!AC5,1))*JP51,0),"")</f>
        <v>0</v>
      </c>
      <c r="JT51" s="49">
        <f>VLOOKUP(A51,tbMoveset!A2:G112,7,FALSE)*IFERROR(IF(Backdoors!AI12&gt;=0,1+(IF(Calculator!E40&gt;0,VLOOKUP(Calculator!E40,tbSkills!AI3:AJ5,2,FALSE),Backdoors!AL4)*(IF((Backdoors!AI12+IF(JO51&gt;=0.45,VLOOKUP(Calculator!E23,tbSkills!DH3:DI6,2,FALSE)+IF(AND(Calculator!B8=TRUE,Backdoors!BI42=TRUE),VLOOKUP(Calculator!E23,tbSkills!DH3:DJ6,3,FALSE),0),0))&gt;=100,100,(Backdoors!AI12+IF(JO51&gt;=0.45,VLOOKUP(Calculator!E23,tbSkills!DH3:DI6,2,FALSE)+IF(AND(Calculator!B8=TRUE,Backdoors!BI42=TRUE),VLOOKUP(Calculator!E23,tbSkills!DH3:DJ6,3,FALSE),0),0)))/100)),1),1)</f>
        <v>0.5</v>
      </c>
      <c r="JU51" s="87">
        <f t="shared" si="31"/>
        <v>0</v>
      </c>
      <c r="JV51" s="86" t="str">
        <f>IFERROR(IF(VLOOKUP(A51,tbMoveset!A2:B112,2,FALSE)="Sever",Backdoors!AY43/100,IF(VLOOKUP(A51,tbMoveset!A2:B112,2,FALSE)="Blunt",Backdoors!AZ43/100,Backdoors!BA43/100)),"")</f>
        <v/>
      </c>
      <c r="JW51" s="49">
        <f>IFERROR(IF(VLOOKUP(tbMoveset!A51,tbMoveset!A2:H112,8,FALSE)="Other",IF(VLOOKUP(tbMoveset!A51,tbMoveset!A2:I112,9,FALSE)="Fire",Backdoors!BB43,IF(VLOOKUP(tbMoveset!A51,tbMoveset!A2:I112,9,FALSE)="Water",Backdoors!BC43,IF(VLOOKUP(tbMoveset!A51,tbMoveset!A2:I112,9,FALSE)="Thunder",Backdoors!BD43,IF(VLOOKUP(tbMoveset!A51,tbMoveset!A2:I112,9,FALSE)="Ice",Backdoors!BE43,IF(VLOOKUP(tbMoveset!A51,tbMoveset!A2:I112,9,FALSE)="Dragon",Backdoors!BF43,Backdoors!BG43)))))/100,Backdoors!BG43/100),"")</f>
        <v>0</v>
      </c>
      <c r="JX51" s="49">
        <f>IFERROR(IF(VLOOKUP(A51,tbMoveset!A2:J112,10,FALSE)=TRUE,IF((Backdoors!AI12+IF(JV51&gt;=0.45,VLOOKUP(Calculator!E23,tbSkills!DH3:DI6,2,FALSE)+IF(AND(Calculator!B8=TRUE,Backdoors!BI43=TRUE),VLOOKUP(Calculator!E23,tbSkills!DH3:DJ6,3,FALSE),0),0))&gt;=0,1+(Backdoors!AL2*(IF((Backdoors!AI12+IF(JV51&gt;=0.45,VLOOKUP(Calculator!E23,tbSkills!DH3:DI6,2,FALSE)+IF(AND(Calculator!B8=TRUE,Backdoors!BI43=TRUE),VLOOKUP(Calculator!E23,tbSkills!DH3:DJ6,3,FALSE),0),0))&gt;=100,100,(Backdoors!AI12+IF(JV51&gt;=0.45,VLOOKUP(Calculator!E23,tbSkills!DH3:DI6,2,FALSE)+IF(AND(Calculator!B8=TRUE,Backdoors!BI43=TRUE),VLOOKUP(Calculator!E23,tbSkills!DH3:DJ6,3,FALSE),0),0)))/100)),(1-(0.25*((-Backdoors!AI12-IF(JV51&gt;=0.45,VLOOKUP(Calculator!E23,tbSkills!DH3:DI6,2,FALSE)+IF(AND(Calculator!B8=TRUE,Backdoors!BI43=TRUE),VLOOKUP(Calculator!E23,tbSkills!DH3:DJ6,3,FALSE),0),0))/100)))),1),"")</f>
        <v>1</v>
      </c>
      <c r="JY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V51)*JX51)*(VLOOKUP(A51,tbMoveset!A2:C112,3,FALSE)/100)*IF(VLOOKUP(A51,tbMoveset!A2:B112,2,FALSE)="Projectile",Backdoors!N10,Backdoors!N9),0),"")</f>
        <v/>
      </c>
      <c r="JZ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46&gt;0,VLOOKUP(Calculator!E46,tbSkills!AC3:AD5,2,FALSE),Backdoors!AL3)*(IF((Backdoors!AI12+IF(JV51&gt;=0.45,VLOOKUP(Calculator!E23,tbSkills!DH3:DI6,2,FALSE)+IF(AND(Calculator!B8=TRUE,Backdoors!BI43=TRUE),VLOOKUP(Calculator!E23,tbSkills!DH3:DJ6,3,FALSE),0),0))&gt;=100,100,(Backdoors!AI12+IF(JV51&gt;=0.45,VLOOKUP(Calculator!E23,tbSkills!DH3:DI6,2,FALSE)+IF(AND(Calculator!B8=TRUE,Backdoors!BI43=TRUE),VLOOKUP(Calculator!E23,tbSkills!DH3:DJ6,3,FALSE),0),0)))/100)),1))*IF(VLOOKUP(A51,tbMoveset!A2:K112,11,FALSE)=TRUE,Backdoors!AC5,1))*JW51,0),"")</f>
        <v/>
      </c>
      <c r="KA51" s="49">
        <f>VLOOKUP(A51,tbMoveset!A2:G112,7,FALSE)*IFERROR(IF(Backdoors!AI12&gt;=0,1+(IF(Calculator!E40&gt;0,VLOOKUP(Calculator!E40,tbSkills!AI3:AJ5,2,FALSE),Backdoors!AL4)*(IF((Backdoors!AI12+IF(JV51&gt;=0.45,VLOOKUP(Calculator!E23,tbSkills!DH3:DI6,2,FALSE)+IF(AND(Calculator!B8=TRUE,Backdoors!BI43=TRUE),VLOOKUP(Calculator!E23,tbSkills!DH3:DJ6,3,FALSE),0),0))&gt;=100,100,(Backdoors!AI12+IF(JV51&gt;=0.45,VLOOKUP(Calculator!E23,tbSkills!DH3:DI6,2,FALSE)+IF(AND(Calculator!B8=TRUE,Backdoors!BI43=TRUE),VLOOKUP(Calculator!E23,tbSkills!DH3:DJ6,3,FALSE),0),0)))/100)),1),1)</f>
        <v>0.5</v>
      </c>
      <c r="KB51" s="87">
        <f t="shared" si="32"/>
        <v>0</v>
      </c>
      <c r="KC51" s="86" t="str">
        <f>IFERROR(IF(VLOOKUP(A51,tbMoveset!A2:B112,2,FALSE)="Sever",Backdoors!AY44/100,IF(VLOOKUP(A51,tbMoveset!A2:B112,2,FALSE)="Blunt",Backdoors!AZ44/100,Backdoors!BA44/100)),"")</f>
        <v/>
      </c>
      <c r="KD51" s="49">
        <f>IFERROR(IF(VLOOKUP(tbMoveset!A51,tbMoveset!A2:H112,8,FALSE)="Other",IF(VLOOKUP(tbMoveset!A51,tbMoveset!A2:I112,9,FALSE)="Fire",Backdoors!BB44,IF(VLOOKUP(tbMoveset!A51,tbMoveset!A2:I112,9,FALSE)="Water",Backdoors!BC44,IF(VLOOKUP(tbMoveset!A51,tbMoveset!A2:I112,9,FALSE)="Thunder",Backdoors!BD44,IF(VLOOKUP(tbMoveset!A51,tbMoveset!A2:I112,9,FALSE)="Ice",Backdoors!BE44,IF(VLOOKUP(tbMoveset!A51,tbMoveset!A2:I112,9,FALSE)="Dragon",Backdoors!BF44,Backdoors!BG44)))))/100,Backdoors!BG44/100),"")</f>
        <v>0</v>
      </c>
      <c r="KE51" s="49">
        <f>IFERROR(IF(VLOOKUP(A51,tbMoveset!A2:J112,10,FALSE)=TRUE,IF((Backdoors!AI12+IF(KC51&gt;=0.45,VLOOKUP(Calculator!E23,tbSkills!DH3:DI6,2,FALSE)+IF(AND(Calculator!B8=TRUE,Backdoors!BI44=TRUE),VLOOKUP(Calculator!E23,tbSkills!DH3:DJ6,3,FALSE),0),0))&gt;=0,1+(Backdoors!AL2*(IF((Backdoors!AI12+IF(KC51&gt;=0.45,VLOOKUP(Calculator!E23,tbSkills!DH3:DI6,2,FALSE)+IF(AND(Calculator!B8=TRUE,Backdoors!BI44=TRUE),VLOOKUP(Calculator!E23,tbSkills!DH3:DJ6,3,FALSE),0),0))&gt;=100,100,(Backdoors!AI12+IF(KC51&gt;=0.45,VLOOKUP(Calculator!E23,tbSkills!DH3:DI6,2,FALSE)+IF(AND(Calculator!B8=TRUE,Backdoors!BI44=TRUE),VLOOKUP(Calculator!E23,tbSkills!DH3:DJ6,3,FALSE),0),0)))/100)),(1-(0.25*((-Backdoors!AI12-IF(KC51&gt;=0.45,VLOOKUP(Calculator!E23,tbSkills!DH3:DI6,2,FALSE)+IF(AND(Calculator!B8=TRUE,Backdoors!BI44=TRUE),VLOOKUP(Calculator!E23,tbSkills!DH3:DJ6,3,FALSE),0),0))/100)))),1),"")</f>
        <v>1</v>
      </c>
      <c r="KF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KC51)*KE51)*(VLOOKUP(A51,tbMoveset!A2:C112,3,FALSE)/100)*IF(VLOOKUP(A51,tbMoveset!A2:B112,2,FALSE)="Projectile",Backdoors!N10,Backdoors!N9),0),"")</f>
        <v/>
      </c>
      <c r="KG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REF!&gt;0,VLOOKUP(Calculator!#REF!,tbSkills!AC3:AD5,2,FALSE),Backdoors!AL3)*(IF((Backdoors!AI12+IF(KC51&gt;=0.45,VLOOKUP(Calculator!E23,tbSkills!DH3:DI6,2,FALSE)+IF(AND(Calculator!B8=TRUE,Backdoors!BI44=TRUE),VLOOKUP(Calculator!E23,tbSkills!DH3:DJ6,3,FALSE),0),0))&gt;=100,100,(Backdoors!AI12+IF(KC51&gt;=0.45,VLOOKUP(Calculator!E23,tbSkills!DH3:DI6,2,FALSE)+IF(AND(Calculator!B8=TRUE,Backdoors!BI44=TRUE),VLOOKUP(Calculator!E23,tbSkills!DH3:DJ6,3,FALSE),0),0)))/100)),1))*IF(VLOOKUP(A51,tbMoveset!A2:K112,11,FALSE)=TRUE,Backdoors!AC5,1))*KD51,0),"")</f>
        <v/>
      </c>
      <c r="KH51" s="49">
        <f>VLOOKUP(A51,tbMoveset!A2:G112,7,FALSE)*IFERROR(IF(Backdoors!AI12&gt;=0,1+(IF(Calculator!E40&gt;0,VLOOKUP(Calculator!E40,tbSkills!AI3:AJ5,2,FALSE),Backdoors!AL4)*(IF((Backdoors!AI12+IF(KC51&gt;=0.45,VLOOKUP(Calculator!E23,tbSkills!DH3:DI6,2,FALSE)+IF(AND(Calculator!B8=TRUE,Backdoors!BI44=TRUE),VLOOKUP(Calculator!E23,tbSkills!DH3:DJ6,3,FALSE),0),0))&gt;=100,100,(Backdoors!AI12+IF(KC51&gt;=0.45,VLOOKUP(Calculator!E23,tbSkills!DH3:DI6,2,FALSE)+IF(AND(Calculator!B8=TRUE,Backdoors!BI44=TRUE),VLOOKUP(Calculator!E23,tbSkills!DH3:DJ6,3,FALSE),0),0)))/100)),1),1)</f>
        <v>0.5</v>
      </c>
      <c r="KI51" s="87">
        <f t="shared" si="33"/>
        <v>0</v>
      </c>
      <c r="KJ51" s="86" t="str">
        <f>IFERROR(IF(VLOOKUP(A51,tbMoveset!A2:B112,2,FALSE)="Sever",Backdoors!AY45/100,IF(VLOOKUP(A51,tbMoveset!A2:B112,2,FALSE)="Blunt",Backdoors!AZ45/100,Backdoors!BA45/100)),"")</f>
        <v/>
      </c>
      <c r="KK51" s="49">
        <f>IFERROR(IF(VLOOKUP(tbMoveset!A51,tbMoveset!A2:H112,8,FALSE)="Other",IF(VLOOKUP(tbMoveset!A51,tbMoveset!A2:I112,9,FALSE)="Fire",Backdoors!BB45,IF(VLOOKUP(tbMoveset!A51,tbMoveset!A2:I112,9,FALSE)="Water",Backdoors!BC45,IF(VLOOKUP(tbMoveset!A51,tbMoveset!A2:I112,9,FALSE)="Thunder",Backdoors!BD45,IF(VLOOKUP(tbMoveset!A51,tbMoveset!A2:I112,9,FALSE)="Ice",Backdoors!BE45,IF(VLOOKUP(tbMoveset!A51,tbMoveset!A2:I112,9,FALSE)="Dragon",Backdoors!BF45,Backdoors!BG45)))))/100,Backdoors!BG45/100),"")</f>
        <v>0</v>
      </c>
      <c r="KL51" s="49">
        <f>IFERROR(IF(VLOOKUP(A51,tbMoveset!A2:J112,10,FALSE)=TRUE,IF((Backdoors!AI12+IF(KJ51&gt;=0.45,VLOOKUP(Calculator!E23,tbSkills!DH3:DI6,2,FALSE)+IF(AND(Calculator!B8=TRUE,Backdoors!BI45=TRUE),VLOOKUP(Calculator!E23,tbSkills!DH3:DJ6,3,FALSE),0),0))&gt;=0,1+(Backdoors!AL2*(IF((Backdoors!AI12+IF(KJ51&gt;=0.45,VLOOKUP(Calculator!E23,tbSkills!DH3:DI6,2,FALSE)+IF(AND(Calculator!B8=TRUE,Backdoors!BI45=TRUE),VLOOKUP(Calculator!E23,tbSkills!DH3:DJ6,3,FALSE),0),0))&gt;=100,100,(Backdoors!AI12+IF(KJ51&gt;=0.45,VLOOKUP(Calculator!E23,tbSkills!DH3:DI6,2,FALSE)+IF(AND(Calculator!B8=TRUE,Backdoors!BI45=TRUE),VLOOKUP(Calculator!E23,tbSkills!DH3:DJ6,3,FALSE),0),0)))/100)),(1-(0.25*((-Backdoors!AI12-IF(KJ51&gt;=0.45,VLOOKUP(Calculator!E23,tbSkills!DH3:DI6,2,FALSE)+IF(AND(Calculator!B8=TRUE,Backdoors!BI45=TRUE),VLOOKUP(Calculator!E23,tbSkills!DH3:DJ6,3,FALSE),0),0))/100)))),1),"")</f>
        <v>1</v>
      </c>
      <c r="KM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KJ51)*KL51)*(VLOOKUP(A51,tbMoveset!A2:C112,3,FALSE)/100)*IF(VLOOKUP(A51,tbMoveset!A2:B112,2,FALSE)="Projectile",Backdoors!N10,Backdoors!N9),0),"")</f>
        <v/>
      </c>
      <c r="KN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REF!&gt;0,VLOOKUP(Calculator!#REF!,tbSkills!AC3:AD5,2,FALSE),Backdoors!AL3)*(IF((Backdoors!AI12+IF(KJ51&gt;=0.45,VLOOKUP(Calculator!E23,tbSkills!DH3:DI6,2,FALSE)+IF(AND(Calculator!B8=TRUE,Backdoors!BI45=TRUE),VLOOKUP(Calculator!E23,tbSkills!DH3:DJ6,3,FALSE),0),0))&gt;=100,100,(Backdoors!AI12+IF(KJ51&gt;=0.45,VLOOKUP(Calculator!E23,tbSkills!DH3:DI6,2,FALSE)+IF(AND(Calculator!B8=TRUE,Backdoors!BI45=TRUE),VLOOKUP(Calculator!E23,tbSkills!DH3:DJ6,3,FALSE),0),0)))/100)),1))*IF(VLOOKUP(A51,tbMoveset!A2:K112,11,FALSE)=TRUE,Backdoors!AC5,1))*KK51,0),"")</f>
        <v/>
      </c>
      <c r="KO51" s="49">
        <f>VLOOKUP(A51,tbMoveset!A2:G112,7,FALSE)*IFERROR(IF(Backdoors!AI12&gt;=0,1+(IF(Calculator!E40&gt;0,VLOOKUP(Calculator!E40,tbSkills!AI3:AJ5,2,FALSE),Backdoors!AL4)*(IF((Backdoors!AI12+IF(KJ51&gt;=0.45,VLOOKUP(Calculator!E23,tbSkills!DH3:DI6,2,FALSE)+IF(AND(Calculator!B8=TRUE,Backdoors!BI45=TRUE),VLOOKUP(Calculator!E23,tbSkills!DH3:DJ6,3,FALSE),0),0))&gt;=100,100,(Backdoors!AI12+IF(KJ51&gt;=0.45,VLOOKUP(Calculator!E23,tbSkills!DH3:DI6,2,FALSE)+IF(AND(Calculator!B8=TRUE,Backdoors!BI45=TRUE),VLOOKUP(Calculator!E23,tbSkills!DH3:DJ6,3,FALSE),0),0)))/100)),1),1)</f>
        <v>0.5</v>
      </c>
      <c r="KP51" s="87">
        <f t="shared" si="34"/>
        <v>0</v>
      </c>
      <c r="KQ51" s="86" t="str">
        <f>IFERROR(IF(VLOOKUP(A51,tbMoveset!A2:B112,2,FALSE)="Sever",Backdoors!AY46/100,IF(VLOOKUP(A51,tbMoveset!A2:B112,2,FALSE)="Blunt",Backdoors!AZ46/100,Backdoors!BA46/100)),"")</f>
        <v/>
      </c>
      <c r="KR51" s="49">
        <f>IFERROR(IF(VLOOKUP(tbMoveset!A51,tbMoveset!A2:H112,8,FALSE)="Other",IF(VLOOKUP(tbMoveset!A51,tbMoveset!A2:I112,9,FALSE)="Fire",Backdoors!BB46,IF(VLOOKUP(tbMoveset!A51,tbMoveset!A2:I112,9,FALSE)="Water",Backdoors!BC46,IF(VLOOKUP(tbMoveset!A51,tbMoveset!A2:I112,9,FALSE)="Thunder",Backdoors!BD46,IF(VLOOKUP(tbMoveset!A51,tbMoveset!A2:I112,9,FALSE)="Ice",Backdoors!BE46,IF(VLOOKUP(tbMoveset!A51,tbMoveset!A2:I112,9,FALSE)="Dragon",Backdoors!BF46,Backdoors!BG46)))))/100,Backdoors!BG46/100),"")</f>
        <v>0</v>
      </c>
      <c r="KS51" s="49">
        <f>IFERROR(IF(VLOOKUP(A51,tbMoveset!A2:J112,10,FALSE)=TRUE,IF((Backdoors!AI12+IF(KQ51&gt;=0.45,VLOOKUP(Calculator!E23,tbSkills!DH3:DI6,2,FALSE)+IF(AND(Calculator!B8=TRUE,Backdoors!BI46=TRUE),VLOOKUP(Calculator!E23,tbSkills!DH3:DJ6,3,FALSE),0),0))&gt;=0,1+(Backdoors!AL2*(IF((Backdoors!AI12+IF(KQ51&gt;=0.45,VLOOKUP(Calculator!E23,tbSkills!DH3:DI6,2,FALSE)+IF(AND(Calculator!B8=TRUE,Backdoors!BI46=TRUE),VLOOKUP(Calculator!E23,tbSkills!DH3:DJ6,3,FALSE),0),0))&gt;=100,100,(Backdoors!AI12+IF(KQ51&gt;=0.45,VLOOKUP(Calculator!E23,tbSkills!DH3:DI6,2,FALSE)+IF(AND(Calculator!B8=TRUE,Backdoors!BI46=TRUE),VLOOKUP(Calculator!E23,tbSkills!DH3:DJ6,3,FALSE),0),0)))/100)),(1-(0.25*((-Backdoors!AI12-IF(KQ51&gt;=0.45,VLOOKUP(Calculator!E23,tbSkills!DH3:DI6,2,FALSE)+IF(AND(Calculator!B8=TRUE,Backdoors!BI46=TRUE),VLOOKUP(Calculator!E23,tbSkills!DH3:DJ6,3,FALSE),0),0))/100)))),1),"")</f>
        <v>1</v>
      </c>
      <c r="KT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KQ51)*KS51)*(VLOOKUP(A51,tbMoveset!A2:C112,3,FALSE)/100)*IF(VLOOKUP(A51,tbMoveset!A2:B112,2,FALSE)="Projectile",Backdoors!N10,Backdoors!N9),0),"")</f>
        <v/>
      </c>
      <c r="KU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REF!&gt;0,VLOOKUP(Calculator!#REF!,tbSkills!AC3:AD5,2,FALSE),Backdoors!AL3)*(IF((Backdoors!AI12+IF(KQ51&gt;=0.45,VLOOKUP(Calculator!E23,tbSkills!DH3:DI6,2,FALSE)+IF(AND(Calculator!B8=TRUE,Backdoors!BI46=TRUE),VLOOKUP(Calculator!E23,tbSkills!DH3:DJ6,3,FALSE),0),0))&gt;=100,100,(Backdoors!AI12+IF(KQ51&gt;=0.45,VLOOKUP(Calculator!E23,tbSkills!DH3:DI6,2,FALSE)+IF(AND(Calculator!B8=TRUE,Backdoors!BI46=TRUE),VLOOKUP(Calculator!E23,tbSkills!DH3:DJ6,3,FALSE),0),0)))/100)),1))*IF(VLOOKUP(A51,tbMoveset!A2:K112,11,FALSE)=TRUE,Backdoors!AC5,1))*KR51,0),"")</f>
        <v/>
      </c>
      <c r="KV51" s="49">
        <f>VLOOKUP(A51,tbMoveset!A2:G112,7,FALSE)*IFERROR(IF(Backdoors!AI12&gt;=0,1+(IF(Calculator!E40&gt;0,VLOOKUP(Calculator!E40,tbSkills!AI3:AJ5,2,FALSE),Backdoors!AL4)*(IF((Backdoors!AI12+IF(KQ51&gt;=0.45,VLOOKUP(Calculator!E23,tbSkills!DH3:DI6,2,FALSE)+IF(AND(Calculator!B8=TRUE,Backdoors!BI46=TRUE),VLOOKUP(Calculator!E23,tbSkills!DH3:DJ6,3,FALSE),0),0))&gt;=100,100,(Backdoors!AI12+IF(KQ51&gt;=0.45,VLOOKUP(Calculator!E23,tbSkills!DH3:DI6,2,FALSE)+IF(AND(Calculator!B8=TRUE,Backdoors!BI46=TRUE),VLOOKUP(Calculator!E23,tbSkills!DH3:DJ6,3,FALSE),0),0)))/100)),1),1)</f>
        <v>0.5</v>
      </c>
      <c r="KW51" s="87">
        <f t="shared" si="35"/>
        <v>0</v>
      </c>
    </row>
    <row r="52" spans="1:309" x14ac:dyDescent="0.25">
      <c r="A52" s="95" t="str">
        <f>tbMoveset!A52</f>
        <v>Demon Flurry Rush (R2)</v>
      </c>
      <c r="B52" s="86">
        <f>IFERROR(IF(VLOOKUP(A52,tbMoveset!A2:B112,2,FALSE)="Sever",Backdoors!AY3/100,IF(VLOOKUP(A52,tbMoveset!A2:B112,2,FALSE)="Blunt",Backdoors!AZ3/100,Backdoors!BA3/100)),"")</f>
        <v>0.8</v>
      </c>
      <c r="C52" s="49">
        <f>IFERROR(IF(VLOOKUP(tbMoveset!A52,tbMoveset!A2:H112,8,FALSE)="Other",IF(VLOOKUP(tbMoveset!A52,tbMoveset!A2:I112,9,FALSE)="Fire",Backdoors!BB3,IF(VLOOKUP(tbMoveset!A52,tbMoveset!A2:I112,9,FALSE)="Water",Backdoors!BC3,IF(VLOOKUP(tbMoveset!A52,tbMoveset!A2:I112,9,FALSE)="Thunder",Backdoors!BD3,IF(VLOOKUP(tbMoveset!A52,tbMoveset!A2:I112,9,FALSE)="Ice",Backdoors!BE3,IF(VLOOKUP(tbMoveset!A52,tbMoveset!A2:I112,9,FALSE)="Dragon",Backdoors!BF3,Backdoors!BG3)))))/100,Backdoors!BG3/100),"")</f>
        <v>0</v>
      </c>
      <c r="D52" s="49">
        <f>IFERROR(IF(VLOOKUP(A52,tbMoveset!A2:J112,10,FALSE)=TRUE,IF((Backdoors!AI12+IF(B52&gt;=0.45,VLOOKUP(Calculator!E23,tbSkills!DH3:DI6,2,FALSE)+IF(AND(Calculator!B8=TRUE,Backdoors!BI3=TRUE),VLOOKUP(Calculator!E23,tbSkills!DH3:DJ6,3,FALSE),0),0))&gt;=0,1+(Backdoors!AL2*(IF((Backdoors!AI12+IF(B52&gt;=0.45,VLOOKUP(Calculator!E23,tbSkills!DH3:DI6,2,FALSE)+IF(AND(Calculator!B8=TRUE,Backdoors!BI3=TRUE),VLOOKUP(Calculator!E23,tbSkills!DH3:DJ6,3,FALSE),0),0))&gt;=100,100,(Backdoors!AI12+IF(B52&gt;=0.45,VLOOKUP(Calculator!E23,tbSkills!DH3:DI6,2,FALSE)+IF(AND(Calculator!B8=TRUE,Backdoors!BI3=TRUE),VLOOKUP(Calculator!E23,tbSkills!DH3:DJ6,3,FALSE),0),0)))/100)),(1-(0.25*((-Backdoors!AI12-IF(B52&gt;=0.45,VLOOKUP(Calculator!E23,tbSkills!DH3:DI6,2,FALSE)+IF(AND(Calculator!B8=TRUE,Backdoors!BI3=TRUE),VLOOKUP(Calculator!E23,tbSkills!DH3:DJ6,3,FALSE),0),0))/100)))),1),"")</f>
        <v>1</v>
      </c>
      <c r="E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52)*D52)*(VLOOKUP(A52,tbMoveset!A2:C112,3,FALSE)/100)*IF(VLOOKUP(A52,tbMoveset!A2:B112,2,FALSE)="Projectile",Backdoors!N10,Backdoors!N9),0),"")</f>
        <v>3</v>
      </c>
      <c r="F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52&gt;=0.45,VLOOKUP(Calculator!E23,tbSkills!DH3:DI6,2,FALSE)+IF(AND(Calculator!B8=TRUE,Backdoors!BI3=TRUE),VLOOKUP(Calculator!E23,tbSkills!DH3:DJ6,3,FALSE),0),0))&gt;=100,100,(Backdoors!AI12+IF(B52&gt;=0.45,VLOOKUP(Calculator!E23,tbSkills!DH3:DI6,2,FALSE)+IF(AND(Calculator!B8=TRUE,Backdoors!BI3=TRUE),VLOOKUP(Calculator!E23,tbSkills!DH3:DJ6,3,FALSE),0),0)))/100)),1))*IF(VLOOKUP(A52,tbMoveset!A2:K112,11,FALSE)=TRUE,Backdoors!AC5,1))*C52,0),"")</f>
        <v>0</v>
      </c>
      <c r="G52">
        <f>VLOOKUP(A52,tbMoveset!A2:G112,7,FALSE)*IFERROR(IF(Backdoors!AI12&gt;=0,1+(IF(Calculator!E40&gt;0,VLOOKUP(Calculator!E40,tbSkills!AI3:AJ5,2,FALSE),Backdoors!AL4)*(IF((Backdoors!AI12+IF(B52&gt;=0.45,VLOOKUP(Calculator!E23,tbSkills!DH3:DI6,2,FALSE)+IF(AND(Calculator!B8=TRUE,Backdoors!BI3=TRUE),VLOOKUP(Calculator!E23,tbSkills!DH3:DJ6,3,FALSE),0),0))&gt;=100,100,(Backdoors!AI12+IF(B52&gt;=0.45,VLOOKUP(Calculator!E23,tbSkills!DH3:DI6,2,FALSE)+IF(AND(Calculator!B8=TRUE,Backdoors!BI3=TRUE),VLOOKUP(Calculator!E23,tbSkills!DH3:DJ6,3,FALSE),0),0)))/100)),1),1)</f>
        <v>0.5</v>
      </c>
      <c r="H52" s="87">
        <f t="shared" si="44"/>
        <v>3</v>
      </c>
      <c r="I52" s="86">
        <f>IFERROR(IF(VLOOKUP(A52,tbMoveset!A2:B112,2,FALSE)="Sever",Backdoors!AY4/100,IF(VLOOKUP(A52,tbMoveset!A2:B112,2,FALSE)="Blunt",Backdoors!AZ4/100,Backdoors!BA4/100)),"")</f>
        <v>0.65</v>
      </c>
      <c r="J52" s="49">
        <f>IFERROR(IF(VLOOKUP(tbMoveset!A52,tbMoveset!A2:H112,8,FALSE)="Other",IF(VLOOKUP(tbMoveset!A52,tbMoveset!A2:I112,9,FALSE)="Fire",Backdoors!BB4,IF(VLOOKUP(tbMoveset!A52,tbMoveset!A2:I112,9,FALSE)="Water",Backdoors!BC4,IF(VLOOKUP(tbMoveset!A52,tbMoveset!A2:I112,9,FALSE)="Thunder",Backdoors!BD4,IF(VLOOKUP(tbMoveset!A52,tbMoveset!A2:I112,9,FALSE)="Ice",Backdoors!BE4,IF(VLOOKUP(tbMoveset!A52,tbMoveset!A2:I112,9,FALSE)="Dragon",Backdoors!BF4,Backdoors!BG4)))))/100,Backdoors!BG4/100),"")</f>
        <v>0</v>
      </c>
      <c r="K52" s="49">
        <f>IFERROR(IF(VLOOKUP(A52,tbMoveset!A2:J112,10,FALSE)=TRUE,IF((Backdoors!AI12+IF(I52&gt;=0.45,VLOOKUP(Calculator!E23,tbSkills!DH3:DI6,2,FALSE)+IF(AND(Calculator!B8=TRUE,Backdoors!BI4=TRUE),VLOOKUP(Calculator!E23,tbSkills!DH3:DJ6,3,FALSE),0),0))&gt;=0,1+(Backdoors!AL2*(IF((Backdoors!AI12+IF(I52&gt;=0.45,VLOOKUP(Calculator!E23,tbSkills!DH3:DI6,2,FALSE)+IF(AND(Calculator!B8=TRUE,Backdoors!BI4=TRUE),VLOOKUP(Calculator!E23,tbSkills!DH3:DJ6,3,FALSE),0),0))&gt;=100,100,(Backdoors!AI12+IF(I52&gt;=0.45,VLOOKUP(Calculator!E23,tbSkills!DH3:DI6,2,FALSE)+IF(AND(Calculator!B8=TRUE,Backdoors!BI4=TRUE),VLOOKUP(Calculator!E23,tbSkills!DH3:DJ6,3,FALSE),0),0)))/100)),(1-(0.25*((-Backdoors!AI12-IF(I52&gt;=0.45,VLOOKUP(Calculator!E23,tbSkills!DH3:DI6,2,FALSE)+IF(AND(Calculator!B8=TRUE,Backdoors!BI4=TRUE),VLOOKUP(Calculator!E23,tbSkills!DH3:DJ6,3,FALSE),0),0))/100)))),1),"")</f>
        <v>1</v>
      </c>
      <c r="L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52)*K52)*(VLOOKUP(A52,tbMoveset!A2:C112,3,FALSE)/100)*IF(VLOOKUP(A52,tbMoveset!A2:B112,2,FALSE)="Projectile",Backdoors!N10,Backdoors!N9),0),"")</f>
        <v>2</v>
      </c>
      <c r="M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I52&gt;=0.45,VLOOKUP(Calculator!E23,tbSkills!DH3:DI6,2,FALSE)+IF(AND(Calculator!B8=TRUE,Backdoors!BI4=TRUE),VLOOKUP(Calculator!E23,tbSkills!DH3:DJ6,3,FALSE),0),0))&gt;=100,100,(Backdoors!AI12+IF(I52&gt;=0.45,VLOOKUP(Calculator!E23,tbSkills!DH3:DI6,2,FALSE)+IF(AND(Calculator!B8=TRUE,Backdoors!BI4=TRUE),VLOOKUP(Calculator!E23,tbSkills!DH3:DJ6,3,FALSE),0),0)))/100)),1))*IF(VLOOKUP(A52,tbMoveset!A2:K112,11,FALSE)=TRUE,Backdoors!AC5,1))*J52,0),"")</f>
        <v>0</v>
      </c>
      <c r="N52" s="49">
        <f>VLOOKUP(A52,tbMoveset!A2:G112,7,FALSE)*IFERROR(IF(Backdoors!AI12&gt;=0,1+(IF(Calculator!E40&gt;0,VLOOKUP(Calculator!E40,tbSkills!AI3:AJ5,2,FALSE),Backdoors!AL4)*(IF((Backdoors!AI12+IF(I52&gt;=0.45,VLOOKUP(Calculator!E23,tbSkills!DH3:DI6,2,FALSE)+IF(AND(Calculator!B8=TRUE,Backdoors!BI4=TRUE),VLOOKUP(Calculator!E23,tbSkills!DH3:DJ6,3,FALSE),0),0))&gt;=100,100,(Backdoors!AI12+IF(I52&gt;=0.45,VLOOKUP(Calculator!E23,tbSkills!DH3:DI6,2,FALSE)+IF(AND(Calculator!B8=TRUE,Backdoors!BI4=TRUE),VLOOKUP(Calculator!E23,tbSkills!DH3:DJ6,3,FALSE),0),0)))/100)),1),1)</f>
        <v>0.5</v>
      </c>
      <c r="O52" s="87">
        <f t="shared" si="45"/>
        <v>2</v>
      </c>
      <c r="P52" s="86">
        <f>IFERROR(IF(VLOOKUP(A52,tbMoveset!A2:B112,2,FALSE)="Sever",Backdoors!AY5/100,IF(VLOOKUP(A52,tbMoveset!A2:B112,2,FALSE)="Blunt",Backdoors!AZ5/100,Backdoors!BA5/100)),"")</f>
        <v>0.5</v>
      </c>
      <c r="Q52" s="49">
        <f>IFERROR(IF(VLOOKUP(tbMoveset!A52,tbMoveset!A2:H112,8,FALSE)="Other",IF(VLOOKUP(tbMoveset!A52,tbMoveset!A2:I112,9,FALSE)="Fire",Backdoors!BB5,IF(VLOOKUP(tbMoveset!A52,tbMoveset!A2:I112,9,FALSE)="Water",Backdoors!BC5,IF(VLOOKUP(tbMoveset!A52,tbMoveset!A2:I112,9,FALSE)="Thunder",Backdoors!BD5,IF(VLOOKUP(tbMoveset!A52,tbMoveset!A2:I112,9,FALSE)="Ice",Backdoors!BE5,IF(VLOOKUP(tbMoveset!A52,tbMoveset!A2:I112,9,FALSE)="Dragon",Backdoors!BF5,Backdoors!BG5)))))/100,Backdoors!BG5/100),"")</f>
        <v>0</v>
      </c>
      <c r="R52" s="49">
        <f>IFERROR(IF(VLOOKUP(A52,tbMoveset!A2:J112,10,FALSE)=TRUE,IF((Backdoors!AI12+IF(P52&gt;=0.45,VLOOKUP(Calculator!E23,tbSkills!DH3:DI6,2,FALSE)+IF(AND(Calculator!B8=TRUE,Backdoors!BI5=TRUE),VLOOKUP(Calculator!E23,tbSkills!DH3:DJ6,3,FALSE),0),0))&gt;=0,1+(Backdoors!AL2*(IF((Backdoors!AI12+IF(P52&gt;=0.45,VLOOKUP(Calculator!E23,tbSkills!DH3:DI6,2,FALSE)+IF(AND(Calculator!B8=TRUE,Backdoors!BI5=TRUE),VLOOKUP(Calculator!E23,tbSkills!DH3:DJ6,3,FALSE),0),0))&gt;=100,100,(Backdoors!AI12+IF(P52&gt;=0.45,VLOOKUP(Calculator!E23,tbSkills!DH3:DI6,2,FALSE)+IF(AND(Calculator!B8=TRUE,Backdoors!BI5=TRUE),VLOOKUP(Calculator!E23,tbSkills!DH3:DJ6,3,FALSE),0),0)))/100)),(1-(0.25*((-Backdoors!AI12-IF(P52&gt;=0.45,VLOOKUP(Calculator!E23,tbSkills!DH3:DI6,2,FALSE)+IF(AND(Calculator!B8=TRUE,Backdoors!BI5=TRUE),VLOOKUP(Calculator!E23,tbSkills!DH3:DJ6,3,FALSE),0),0))/100)))),1),"")</f>
        <v>1</v>
      </c>
      <c r="S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P52)*R52)*(VLOOKUP(A52,tbMoveset!A2:C112,3,FALSE)/100)*IF(VLOOKUP(A52,tbMoveset!A2:B112,2,FALSE)="Projectile",Backdoors!N10,Backdoors!N9),0),"")</f>
        <v>2</v>
      </c>
      <c r="T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P52&gt;=0.45,VLOOKUP(Calculator!E23,tbSkills!DH3:DI6,2,FALSE)+IF(AND(Calculator!B8=TRUE,Backdoors!BI5=TRUE),VLOOKUP(Calculator!E23,tbSkills!DH3:DJ6,3,FALSE),0),0))&gt;=100,100,(Backdoors!AI12+IF(P52&gt;=0.45,VLOOKUP(Calculator!E23,tbSkills!DH3:DI6,2,FALSE)+IF(AND(Calculator!B8=TRUE,Backdoors!BI5=TRUE),VLOOKUP(Calculator!E23,tbSkills!DH3:DJ6,3,FALSE),0),0)))/100)),1))*IF(VLOOKUP(A52,tbMoveset!A2:K112,11,FALSE)=TRUE,Backdoors!AC5,1))*Q52,0),"")</f>
        <v>0</v>
      </c>
      <c r="U52" s="49">
        <f>VLOOKUP(A52,tbMoveset!A2:G112,7,FALSE)*IFERROR(IF(Backdoors!AI12&gt;=0,1+(IF(Calculator!E40&gt;0,VLOOKUP(Calculator!E40,tbSkills!AI3:AJ5,2,FALSE),Backdoors!AL4)*(IF((Backdoors!AI12+IF(P52&gt;=0.45,VLOOKUP(Calculator!E23,tbSkills!DH3:DI6,2,FALSE)+IF(AND(Calculator!B8=TRUE,Backdoors!BI5=TRUE),VLOOKUP(Calculator!E23,tbSkills!DH3:DJ6,3,FALSE),0),0))&gt;=100,100,(Backdoors!AI12+IF(P52&gt;=0.45,VLOOKUP(Calculator!E23,tbSkills!DH3:DI6,2,FALSE)+IF(AND(Calculator!B8=TRUE,Backdoors!BI5=TRUE),VLOOKUP(Calculator!E23,tbSkills!DH3:DJ6,3,FALSE),0),0)))/100)),1),1)</f>
        <v>0.5</v>
      </c>
      <c r="V52" s="87">
        <f t="shared" si="46"/>
        <v>2</v>
      </c>
      <c r="W52" s="86">
        <f>IFERROR(IF(VLOOKUP(A52,tbMoveset!A2:B112,2,FALSE)="Sever",Backdoors!AY6/100,IF(VLOOKUP(A52,tbMoveset!A2:B112,2,FALSE)="Blunt",Backdoors!AZ6/100,Backdoors!BA6/100)),"")</f>
        <v>0.45</v>
      </c>
      <c r="X52" s="49">
        <f>IFERROR(IF(VLOOKUP(tbMoveset!A52,tbMoveset!A2:H112,8,FALSE)="Other",IF(VLOOKUP(tbMoveset!A52,tbMoveset!A2:I112,9,FALSE)="Fire",Backdoors!BB6,IF(VLOOKUP(tbMoveset!A52,tbMoveset!A2:I112,9,FALSE)="Water",Backdoors!BC6,IF(VLOOKUP(tbMoveset!A52,tbMoveset!A2:I112,9,FALSE)="Thunder",Backdoors!BD6,IF(VLOOKUP(tbMoveset!A52,tbMoveset!A2:I112,9,FALSE)="Ice",Backdoors!BE6,IF(VLOOKUP(tbMoveset!A52,tbMoveset!A2:I112,9,FALSE)="Dragon",Backdoors!BF6,Backdoors!BG6)))))/100,Backdoors!BG6/100),"")</f>
        <v>0</v>
      </c>
      <c r="Y52" s="49">
        <f>IFERROR(IF(VLOOKUP(A52,tbMoveset!A2:J112,10,FALSE)=TRUE,IF((Backdoors!AI12+IF(W52&gt;=0.45,VLOOKUP(Calculator!E23,tbSkills!DH3:DI6,2,FALSE)+IF(AND(Calculator!B8=TRUE,Backdoors!BI6=TRUE),VLOOKUP(Calculator!E23,tbSkills!DH3:DJ6,3,FALSE),0),0))&gt;=0,1+(Backdoors!AL2*(IF((Backdoors!AI12+IF(W52&gt;=0.45,VLOOKUP(Calculator!E23,tbSkills!DH3:DI6,2,FALSE)+IF(AND(Calculator!B8=TRUE,Backdoors!BI6=TRUE),VLOOKUP(Calculator!E23,tbSkills!DH3:DJ6,3,FALSE),0),0))&gt;=100,100,(Backdoors!AI12+IF(W52&gt;=0.45,VLOOKUP(Calculator!E23,tbSkills!DH3:DI6,2,FALSE)+IF(AND(Calculator!B8=TRUE,Backdoors!BI6=TRUE),VLOOKUP(Calculator!E23,tbSkills!DH3:DJ6,3,FALSE),0),0)))/100)),(1-(0.25*((-Backdoors!AI12-IF(W52&gt;=0.45,VLOOKUP(Calculator!E23,tbSkills!DH3:DI6,2,FALSE)+IF(AND(Calculator!B8=TRUE,Backdoors!BI6=TRUE),VLOOKUP(Calculator!E23,tbSkills!DH3:DJ6,3,FALSE),0),0))/100)))),1),"")</f>
        <v>1</v>
      </c>
      <c r="Z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W52)*Y52)*(VLOOKUP(A52,tbMoveset!A2:C112,3,FALSE)/100)*IF(VLOOKUP(A52,tbMoveset!A2:B112,2,FALSE)="Projectile",Backdoors!N10,Backdoors!N9),0),"")</f>
        <v>2</v>
      </c>
      <c r="AA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W52&gt;=0.45,VLOOKUP(Calculator!E23,tbSkills!DH3:DI6,2,FALSE)+IF(AND(Calculator!B8=TRUE,Backdoors!BI6=TRUE),VLOOKUP(Calculator!E23,tbSkills!DH3:DJ6,3,FALSE),0),0))&gt;=100,100,(Backdoors!AI12+IF(W52&gt;=0.45,VLOOKUP(Calculator!E23,tbSkills!DH3:DI6,2,FALSE)+IF(AND(Calculator!B8=TRUE,Backdoors!BI6=TRUE),VLOOKUP(Calculator!E23,tbSkills!DH3:DJ6,3,FALSE),0),0)))/100)),1))*IF(VLOOKUP(A52,tbMoveset!A2:K112,11,FALSE)=TRUE,Backdoors!AC5,1))*X52,0),"")</f>
        <v>0</v>
      </c>
      <c r="AB52" s="49">
        <f>VLOOKUP(A52,tbMoveset!A2:G112,7,FALSE)*IFERROR(IF(Backdoors!AI12&gt;=0,1+(IF(Calculator!E40&gt;0,VLOOKUP(Calculator!E40,tbSkills!AI3:AJ5,2,FALSE),Backdoors!AL4)*(IF((Backdoors!AI12+IF(W52&gt;=0.45,VLOOKUP(Calculator!E23,tbSkills!DH3:DI6,2,FALSE)+IF(AND(Calculator!B8=TRUE,Backdoors!BI6=TRUE),VLOOKUP(Calculator!E23,tbSkills!DH3:DJ6,3,FALSE),0),0))&gt;=100,100,(Backdoors!AI12+IF(W52&gt;=0.45,VLOOKUP(Calculator!E23,tbSkills!DH3:DI6,2,FALSE)+IF(AND(Calculator!B8=TRUE,Backdoors!BI6=TRUE),VLOOKUP(Calculator!E23,tbSkills!DH3:DJ6,3,FALSE),0),0)))/100)),1),1)</f>
        <v>0.5</v>
      </c>
      <c r="AC52" s="87">
        <f t="shared" si="47"/>
        <v>2</v>
      </c>
      <c r="AD52" s="86">
        <f>IFERROR(IF(VLOOKUP(A52,tbMoveset!A2:B112,2,FALSE)="Sever",Backdoors!AY7/100,IF(VLOOKUP(A52,tbMoveset!A2:B112,2,FALSE)="Blunt",Backdoors!AZ7/100,Backdoors!BA7/100)),"")</f>
        <v>0.65</v>
      </c>
      <c r="AE52" s="49">
        <f>IFERROR(IF(VLOOKUP(tbMoveset!A52,tbMoveset!A2:H112,8,FALSE)="Other",IF(VLOOKUP(tbMoveset!A52,tbMoveset!A2:I112,9,FALSE)="Fire",Backdoors!BB7,IF(VLOOKUP(tbMoveset!A52,tbMoveset!A2:I112,9,FALSE)="Water",Backdoors!BC7,IF(VLOOKUP(tbMoveset!A52,tbMoveset!A2:I112,9,FALSE)="Thunder",Backdoors!BD7,IF(VLOOKUP(tbMoveset!A52,tbMoveset!A2:I112,9,FALSE)="Ice",Backdoors!BE7,IF(VLOOKUP(tbMoveset!A52,tbMoveset!A2:I112,9,FALSE)="Dragon",Backdoors!BF7,Backdoors!BG7)))))/100,Backdoors!BG7/100),"")</f>
        <v>0</v>
      </c>
      <c r="AF52" s="49">
        <f>IFERROR(IF(VLOOKUP(A52,tbMoveset!A2:J112,10,FALSE)=TRUE,IF((Backdoors!AI12+IF(AD52&gt;=0.45,VLOOKUP(Calculator!E23,tbSkills!DH3:DI6,2,FALSE)+IF(AND(Calculator!B8=TRUE,Backdoors!BI7=TRUE),VLOOKUP(Calculator!E23,tbSkills!DH3:DJ6,3,FALSE),0),0))&gt;=0,1+(Backdoors!AL2*(IF((Backdoors!AI12+IF(AD52&gt;=0.45,VLOOKUP(Calculator!E23,tbSkills!DH3:DI6,2,FALSE)+IF(AND(Calculator!B8=TRUE,Backdoors!BI7=TRUE),VLOOKUP(Calculator!E23,tbSkills!DH3:DJ6,3,FALSE),0),0))&gt;=100,100,(Backdoors!AI12+IF(AD52&gt;=0.45,VLOOKUP(Calculator!E23,tbSkills!DH3:DI6,2,FALSE)+IF(AND(Calculator!B8=TRUE,Backdoors!BI7=TRUE),VLOOKUP(Calculator!E23,tbSkills!DH3:DJ6,3,FALSE),0),0)))/100)),(1-(0.25*((-Backdoors!AI12-IF(AD52&gt;=0.45,VLOOKUP(Calculator!E23,tbSkills!DH3:DI6,2,FALSE)+IF(AND(Calculator!B8=TRUE,Backdoors!BI7=TRUE),VLOOKUP(Calculator!E23,tbSkills!DH3:DJ6,3,FALSE),0),0))/100)))),1),"")</f>
        <v>1</v>
      </c>
      <c r="AG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D52)*AF52)*(VLOOKUP(A52,tbMoveset!A2:C112,3,FALSE)/100)*IF(VLOOKUP(A52,tbMoveset!A2:B112,2,FALSE)="Projectile",Backdoors!N10,Backdoors!N9),0),"")</f>
        <v>2</v>
      </c>
      <c r="AH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D52&gt;=0.45,VLOOKUP(Calculator!E23,tbSkills!DH3:DI6,2,FALSE)+IF(AND(Calculator!B8=TRUE,Backdoors!BI7=TRUE),VLOOKUP(Calculator!E23,tbSkills!DH3:DJ6,3,FALSE),0),0))&gt;=100,100,(Backdoors!AI12+IF(AD52&gt;=0.45,VLOOKUP(Calculator!E23,tbSkills!DH3:DI6,2,FALSE)+IF(AND(Calculator!B8=TRUE,Backdoors!BI7=TRUE),VLOOKUP(Calculator!E23,tbSkills!DH3:DJ6,3,FALSE),0),0)))/100)),1))*IF(VLOOKUP(A52,tbMoveset!A2:K112,11,FALSE)=TRUE,Backdoors!AC5,1))*AE52,0),"")</f>
        <v>0</v>
      </c>
      <c r="AI52" s="49">
        <f>VLOOKUP(A52,tbMoveset!A2:G112,7,FALSE)*IFERROR(IF(Backdoors!AI12&gt;=0,1+(IF(Calculator!E40&gt;0,VLOOKUP(Calculator!E40,tbSkills!AI3:AJ5,2,FALSE),Backdoors!AL4)*(IF((Backdoors!AI12+IF(AD52&gt;=0.45,VLOOKUP(Calculator!E23,tbSkills!DH3:DI6,2,FALSE)+IF(AND(Calculator!B8=TRUE,Backdoors!BI7=TRUE),VLOOKUP(Calculator!E23,tbSkills!DH3:DJ6,3,FALSE),0),0))&gt;=100,100,(Backdoors!AI12+IF(AD52&gt;=0.45,VLOOKUP(Calculator!E23,tbSkills!DH3:DI6,2,FALSE)+IF(AND(Calculator!B8=TRUE,Backdoors!BI7=TRUE),VLOOKUP(Calculator!E23,tbSkills!DH3:DJ6,3,FALSE),0),0)))/100)),1),1)</f>
        <v>0.5</v>
      </c>
      <c r="AJ52" s="87">
        <f t="shared" si="48"/>
        <v>2</v>
      </c>
      <c r="AK52" s="91">
        <f>IFERROR(IF(VLOOKUP(A52,tbMoveset!A2:B112,2,FALSE)="Sever",Backdoors!AY8/100,IF(VLOOKUP(A52,tbMoveset!A2:B112,2,FALSE)="Blunt",Backdoors!AZ8/100,Backdoors!BA8/100)),"")</f>
        <v>0.45</v>
      </c>
      <c r="AL52" s="49">
        <f>IFERROR(IF(VLOOKUP(tbMoveset!A52,tbMoveset!A2:H112,8,FALSE)="Other",IF(VLOOKUP(tbMoveset!A52,tbMoveset!A2:I112,9,FALSE)="Fire",Backdoors!BB8,IF(VLOOKUP(tbMoveset!A52,tbMoveset!A2:I112,9,FALSE)="Water",Backdoors!BC8,IF(VLOOKUP(tbMoveset!A52,tbMoveset!A2:I112,9,FALSE)="Thunder",Backdoors!BD8,IF(VLOOKUP(tbMoveset!A52,tbMoveset!A2:I112,9,FALSE)="Ice",Backdoors!BE8,IF(VLOOKUP(tbMoveset!A52,tbMoveset!A2:I112,9,FALSE)="Dragon",Backdoors!BF8,Backdoors!BG8)))))/100,Backdoors!BG8/100),"")</f>
        <v>0</v>
      </c>
      <c r="AM52" s="49">
        <f>IFERROR(IF(VLOOKUP(A52,tbMoveset!A2:J112,10,FALSE)=TRUE,IF((Backdoors!AI12+IF(AK52&gt;=0.45,VLOOKUP(Calculator!E23,tbSkills!DH3:DI6,2,FALSE)+IF(AND(Calculator!B8=TRUE,Backdoors!BI8=TRUE),VLOOKUP(Calculator!E23,tbSkills!DH3:DJ6,3,FALSE),0),0))&gt;=0,1+(Backdoors!AL2*(IF((Backdoors!AI12+IF(AK52&gt;=0.45,VLOOKUP(Calculator!E23,tbSkills!DH3:DI6,2,FALSE)+IF(AND(Calculator!B8=TRUE,Backdoors!BI8=TRUE),VLOOKUP(Calculator!E23,tbSkills!DH3:DJ6,3,FALSE),0),0))&gt;=100,100,(Backdoors!AI12+IF(AK52&gt;=0.45,VLOOKUP(Calculator!E23,tbSkills!DH3:DI6,2,FALSE)+IF(AND(Calculator!B8=TRUE,Backdoors!BI8=TRUE),VLOOKUP(Calculator!E23,tbSkills!DH3:DJ6,3,FALSE),0),0)))/100)),(1-(0.25*((-Backdoors!AI12-IF(AK52&gt;=0.45,VLOOKUP(Calculator!E23,tbSkills!DH3:DI6,2,FALSE)+IF(AND(Calculator!B8=TRUE,Backdoors!BI8=TRUE),VLOOKUP(Calculator!E23,tbSkills!DH3:DJ6,3,FALSE),0),0))/100)))),1),"")</f>
        <v>1</v>
      </c>
      <c r="AN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K52)*AM52)*(VLOOKUP(A52,tbMoveset!A2:C112,3,FALSE)/100)*IF(VLOOKUP(A52,tbMoveset!A2:B112,2,FALSE)="Projectile",Backdoors!N10,Backdoors!N9),0),"")</f>
        <v>2</v>
      </c>
      <c r="AO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K52&gt;=0.45,VLOOKUP(Calculator!E23,tbSkills!DH3:DI6,2,FALSE)+IF(AND(Calculator!B8=TRUE,Backdoors!BI8=TRUE),VLOOKUP(Calculator!E23,tbSkills!DH3:DJ6,3,FALSE),0),0))&gt;=100,100,(Backdoors!AI12+IF(AK52&gt;=0.45,VLOOKUP(Calculator!E23,tbSkills!DH3:DI6,2,FALSE)+IF(AND(Calculator!B8=TRUE,Backdoors!BI8=TRUE),VLOOKUP(Calculator!E23,tbSkills!DH3:DJ6,3,FALSE),0),0)))/100)),1))*IF(VLOOKUP(A52,tbMoveset!A2:K112,11,FALSE)=TRUE,Backdoors!AC5,1))*AL52,0),"")</f>
        <v>0</v>
      </c>
      <c r="AP52" s="49">
        <f>VLOOKUP(A52,tbMoveset!A2:G112,7,FALSE)*IFERROR(IF(Backdoors!AI12&gt;=0,1+(IF(Calculator!E40&gt;0,VLOOKUP(Calculator!E40,tbSkills!AI3:AJ5,2,FALSE),Backdoors!AL4)*(IF((Backdoors!AI12+IF(AK52&gt;=0.45,VLOOKUP(Calculator!E23,tbSkills!DH3:DI6,2,FALSE)+IF(AND(Calculator!B8=TRUE,Backdoors!BI8=TRUE),VLOOKUP(Calculator!E23,tbSkills!DH3:DJ6,3,FALSE),0),0))&gt;=100,100,(Backdoors!AI12+IF(AK52&gt;=0.45,VLOOKUP(Calculator!E23,tbSkills!DH3:DI6,2,FALSE)+IF(AND(Calculator!B8=TRUE,Backdoors!BI8=TRUE),VLOOKUP(Calculator!E23,tbSkills!DH3:DJ6,3,FALSE),0),0)))/100)),1),1)</f>
        <v>0.5</v>
      </c>
      <c r="AQ52" s="87">
        <f t="shared" si="49"/>
        <v>2</v>
      </c>
      <c r="AR52" s="86">
        <f>IFERROR(IF(VLOOKUP(A52,tbMoveset!A2:B112,2,FALSE)="Sever",Backdoors!AY9/100,IF(VLOOKUP(A52,tbMoveset!A2:B112,2,FALSE)="Blunt",Backdoors!AZ9/100,Backdoors!BA9/100)),"")</f>
        <v>0.45</v>
      </c>
      <c r="AS52" s="49">
        <f>IFERROR(IF(VLOOKUP(tbMoveset!A52,tbMoveset!A2:H112,8,FALSE)="Other",IF(VLOOKUP(tbMoveset!A52,tbMoveset!A2:I112,9,FALSE)="Fire",Backdoors!BB9,IF(VLOOKUP(tbMoveset!A52,tbMoveset!A2:I112,9,FALSE)="Water",Backdoors!BC9,IF(VLOOKUP(tbMoveset!A52,tbMoveset!A2:I112,9,FALSE)="Thunder",Backdoors!BD9,IF(VLOOKUP(tbMoveset!A52,tbMoveset!A2:I112,9,FALSE)="Ice",Backdoors!BE9,IF(VLOOKUP(tbMoveset!A52,tbMoveset!A2:I112,9,FALSE)="Dragon",Backdoors!BF9,Backdoors!BG9)))))/100,Backdoors!BG9/100),"")</f>
        <v>0</v>
      </c>
      <c r="AT52" s="49">
        <f>IFERROR(IF(VLOOKUP(A52,tbMoveset!A2:J112,10,FALSE)=TRUE,IF((Backdoors!AI12+IF(AR52&gt;=0.45,VLOOKUP(Calculator!E23,tbSkills!DH3:DI6,2,FALSE)+IF(AND(Calculator!B8=TRUE,Backdoors!BI9=TRUE),VLOOKUP(Calculator!E23,tbSkills!DH3:DJ6,3,FALSE),0),0))&gt;=0,1+(Backdoors!AL2*(IF((Backdoors!AI12+IF(AR52&gt;=0.45,VLOOKUP(Calculator!E23,tbSkills!DH3:DI6,2,FALSE)+IF(AND(Calculator!B8=TRUE,Backdoors!BI9=TRUE),VLOOKUP(Calculator!E23,tbSkills!DH3:DJ6,3,FALSE),0),0))&gt;=100,100,(Backdoors!AI12+IF(AR52&gt;=0.45,VLOOKUP(Calculator!E23,tbSkills!DH3:DI6,2,FALSE)+IF(AND(Calculator!B8=TRUE,Backdoors!BI9=TRUE),VLOOKUP(Calculator!E23,tbSkills!DH3:DJ6,3,FALSE),0),0)))/100)),(1-(0.25*((-Backdoors!AI12-IF(AR52&gt;=0.45,VLOOKUP(Calculator!E23,tbSkills!DH3:DI6,2,FALSE)+IF(AND(Calculator!B8=TRUE,Backdoors!BI9=TRUE),VLOOKUP(Calculator!E23,tbSkills!DH3:DJ6,3,FALSE),0),0))/100)))),1),"")</f>
        <v>1</v>
      </c>
      <c r="AU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R52)*AT52)*(VLOOKUP(A52,tbMoveset!A2:C112,3,FALSE)/100)*IF(VLOOKUP(A52,tbMoveset!A2:B112,2,FALSE)="Projectile",Backdoors!N10,Backdoors!N9),0),"")</f>
        <v>2</v>
      </c>
      <c r="AV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R52&gt;=0.45,VLOOKUP(Calculator!E23,tbSkills!DH3:DI6,2,FALSE)+IF(AND(Calculator!B8=TRUE,Backdoors!BI9=TRUE),VLOOKUP(Calculator!E23,tbSkills!DH3:DJ6,3,FALSE),0),0))&gt;=100,100,(Backdoors!AI12+IF(AR52&gt;=0.45,VLOOKUP(Calculator!E23,tbSkills!DH3:DI6,2,FALSE)+IF(AND(Calculator!B8=TRUE,Backdoors!BI9=TRUE),VLOOKUP(Calculator!E23,tbSkills!DH3:DJ6,3,FALSE),0),0)))/100)),1))*IF(VLOOKUP(A52,tbMoveset!A2:K112,11,FALSE)=TRUE,Backdoors!AC5,1))*AS52,0),"")</f>
        <v>0</v>
      </c>
      <c r="AW52" s="49">
        <f>VLOOKUP(A52,tbMoveset!A2:G112,7,FALSE)*IFERROR(IF(Backdoors!AI12&gt;=0,1+(IF(Calculator!E40&gt;0,VLOOKUP(Calculator!E40,tbSkills!AI3:AJ5,2,FALSE),Backdoors!AL4)*(IF((Backdoors!AI12+IF(AR52&gt;=0.45,VLOOKUP(Calculator!E23,tbSkills!DH3:DI6,2,FALSE)+IF(AND(Calculator!B8=TRUE,Backdoors!BI9=TRUE),VLOOKUP(Calculator!E23,tbSkills!DH3:DJ6,3,FALSE),0),0))&gt;=100,100,(Backdoors!AI12+IF(AR52&gt;=0.45,VLOOKUP(Calculator!E23,tbSkills!DH3:DI6,2,FALSE)+IF(AND(Calculator!B8=TRUE,Backdoors!BI9=TRUE),VLOOKUP(Calculator!E23,tbSkills!DH3:DJ6,3,FALSE),0),0)))/100)),1),1)</f>
        <v>0.5</v>
      </c>
      <c r="AX52" s="87">
        <f t="shared" si="50"/>
        <v>2</v>
      </c>
      <c r="AY52" s="86">
        <f>IFERROR(IF(VLOOKUP(A52,tbMoveset!A2:B112,2,FALSE)="Sever",Backdoors!AY10/100,IF(VLOOKUP(A52,tbMoveset!A2:B112,2,FALSE)="Blunt",Backdoors!AZ10/100,Backdoors!BA10/100)),"")</f>
        <v>0.9</v>
      </c>
      <c r="AZ52" s="49">
        <f>IFERROR(IF(VLOOKUP(tbMoveset!A52,tbMoveset!A2:H112,8,FALSE)="Other",IF(VLOOKUP(tbMoveset!A52,tbMoveset!A2:I112,9,FALSE)="Fire",Backdoors!BB10,IF(VLOOKUP(tbMoveset!A52,tbMoveset!A2:I112,9,FALSE)="Water",Backdoors!BC10,IF(VLOOKUP(tbMoveset!A52,tbMoveset!A2:I112,9,FALSE)="Thunder",Backdoors!BD10,IF(VLOOKUP(tbMoveset!A52,tbMoveset!A2:I112,9,FALSE)="Ice",Backdoors!BE10,IF(VLOOKUP(tbMoveset!A52,tbMoveset!A2:I112,9,FALSE)="Dragon",Backdoors!BF10,Backdoors!BG10)))))/100,Backdoors!BG10/100),"")</f>
        <v>0</v>
      </c>
      <c r="BA52" s="49">
        <f>IFERROR(IF(VLOOKUP(A52,tbMoveset!A2:J112,10,FALSE)=TRUE,IF((Backdoors!AI12+IF(AY52&gt;=0.45,VLOOKUP(Calculator!E23,tbSkills!DH3:DI6,2,FALSE)+IF(AND(Calculator!B8=TRUE,Backdoors!BI10=TRUE),VLOOKUP(Calculator!E23,tbSkills!DH3:DJ6,3,FALSE),0),0))&gt;=0,1+(Backdoors!AL2*(IF((Backdoors!AI12+IF(AY52&gt;=0.45,VLOOKUP(Calculator!E23,tbSkills!DH3:DI6,2,FALSE)+IF(AND(Calculator!B8=TRUE,Backdoors!BI10=TRUE),VLOOKUP(Calculator!E23,tbSkills!DH3:DJ6,3,FALSE),0),0))&gt;=100,100,(Backdoors!AI12+IF(AY52&gt;=0.45,VLOOKUP(Calculator!E23,tbSkills!DH3:DI6,2,FALSE)+IF(AND(Calculator!B8=TRUE,Backdoors!BI10=TRUE),VLOOKUP(Calculator!E23,tbSkills!DH3:DJ6,3,FALSE),0),0)))/100)),(1-(0.25*((-Backdoors!AI12-IF(AY52&gt;=0.45,VLOOKUP(Calculator!E23,tbSkills!DH3:DI6,2,FALSE)+IF(AND(Calculator!B8=TRUE,Backdoors!BI10=TRUE),VLOOKUP(Calculator!E23,tbSkills!DH3:DJ6,3,FALSE),0),0))/100)))),1),"")</f>
        <v>1</v>
      </c>
      <c r="BB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Y52)*BA52)*(VLOOKUP(A52,tbMoveset!A2:C112,3,FALSE)/100)*IF(VLOOKUP(A52,tbMoveset!A2:B112,2,FALSE)="Projectile",Backdoors!N10,Backdoors!N9),0),"")</f>
        <v>3</v>
      </c>
      <c r="BC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Y52&gt;=0.45,VLOOKUP(Calculator!E23,tbSkills!DH3:DI6,2,FALSE)+IF(AND(Calculator!B8=TRUE,Backdoors!BI10=TRUE),VLOOKUP(Calculator!E23,tbSkills!DH3:DJ6,3,FALSE),0),0))&gt;=100,100,(Backdoors!AI12+IF(AY52&gt;=0.45,VLOOKUP(Calculator!E23,tbSkills!DH3:DI6,2,FALSE)+IF(AND(Calculator!B8=TRUE,Backdoors!BI10=TRUE),VLOOKUP(Calculator!E23,tbSkills!DH3:DJ6,3,FALSE),0),0)))/100)),1))*IF(VLOOKUP(A52,tbMoveset!A2:K112,11,FALSE)=TRUE,Backdoors!AC5,1))*AZ52,0),"")</f>
        <v>0</v>
      </c>
      <c r="BD52" s="49">
        <f>VLOOKUP(A52,tbMoveset!A2:G112,7,FALSE)*IFERROR(IF(Backdoors!AI12&gt;=0,1+(IF(Calculator!E40&gt;0,VLOOKUP(Calculator!E40,tbSkills!AI3:AJ5,2,FALSE),Backdoors!AL4)*(IF((Backdoors!AI12+IF(AY52&gt;=0.45,VLOOKUP(Calculator!E23,tbSkills!DH3:DI6,2,FALSE)+IF(AND(Calculator!B8=TRUE,Backdoors!BI10=TRUE),VLOOKUP(Calculator!E23,tbSkills!DH3:DJ6,3,FALSE),0),0))&gt;=100,100,(Backdoors!AI12+IF(AY52&gt;=0.45,VLOOKUP(Calculator!E23,tbSkills!DH3:DI6,2,FALSE)+IF(AND(Calculator!B8=TRUE,Backdoors!BI10=TRUE),VLOOKUP(Calculator!E23,tbSkills!DH3:DJ6,3,FALSE),0),0)))/100)),1),1)</f>
        <v>0.5</v>
      </c>
      <c r="BE52" s="87">
        <f t="shared" si="3"/>
        <v>3</v>
      </c>
      <c r="BF52" s="86" t="str">
        <f>IFERROR(IF(VLOOKUP(A52,tbMoveset!A2:B112,2,FALSE)="Sever",Backdoors!AY11/100,IF(VLOOKUP(A52,tbMoveset!A2:B112,2,FALSE)="Blunt",Backdoors!AZ11/100,Backdoors!BA11/100)),"")</f>
        <v/>
      </c>
      <c r="BG52" s="49">
        <f>IFERROR(IF(VLOOKUP(tbMoveset!A52,tbMoveset!A2:H112,8,FALSE)="Other",IF(VLOOKUP(tbMoveset!A52,tbMoveset!A2:I112,9,FALSE)="Fire",Backdoors!BB11,IF(VLOOKUP(tbMoveset!A52,tbMoveset!A2:I112,9,FALSE)="Water",Backdoors!BC11,IF(VLOOKUP(tbMoveset!A52,tbMoveset!A2:I112,9,FALSE)="Thunder",Backdoors!BD11,IF(VLOOKUP(tbMoveset!A52,tbMoveset!A2:I112,9,FALSE)="Ice",Backdoors!BE11,IF(VLOOKUP(tbMoveset!A52,tbMoveset!A2:I112,9,FALSE)="Dragon",Backdoors!BF11,Backdoors!BG11)))))/100,Backdoors!BG11/100),"")</f>
        <v>0</v>
      </c>
      <c r="BH52" s="49">
        <f>IFERROR(IF(VLOOKUP(A52,tbMoveset!A2:J112,10,FALSE)=TRUE,IF((Backdoors!AI12+IF(BF52&gt;=0.45,VLOOKUP(Calculator!E23,tbSkills!DH3:DI6,2,FALSE)+IF(AND(Calculator!B8=TRUE,Backdoors!BI11=TRUE),VLOOKUP(Calculator!E23,tbSkills!DH3:DJ6,3,FALSE),0),0))&gt;=0,1+(Backdoors!AL2*(IF((Backdoors!AI12+IF(BF52&gt;=0.45,VLOOKUP(Calculator!E23,tbSkills!DH3:DI6,2,FALSE)+IF(AND(Calculator!B8=TRUE,Backdoors!BI11=TRUE),VLOOKUP(Calculator!E23,tbSkills!DH3:DJ6,3,FALSE),0),0))&gt;=100,100,(Backdoors!AI12+IF(BF52&gt;=0.45,VLOOKUP(Calculator!E23,tbSkills!DH3:DI6,2,FALSE)+IF(AND(Calculator!B8=TRUE,Backdoors!BI11=TRUE),VLOOKUP(Calculator!E23,tbSkills!DH3:DJ6,3,FALSE),0),0)))/100)),(1-(0.25*((-Backdoors!AI12-IF(BF52&gt;=0.45,VLOOKUP(Calculator!E23,tbSkills!DH3:DI6,2,FALSE)+IF(AND(Calculator!B8=TRUE,Backdoors!BI11=TRUE),VLOOKUP(Calculator!E23,tbSkills!DH3:DJ6,3,FALSE),0),0))/100)))),1),"")</f>
        <v>1</v>
      </c>
      <c r="BI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F52)*BH52)*(VLOOKUP(A52,tbMoveset!A2:C112,3,FALSE)/100)*IF(VLOOKUP(A52,tbMoveset!A2:B112,2,FALSE)="Projectile",Backdoors!N10,Backdoors!N9),0),"")</f>
        <v/>
      </c>
      <c r="BJ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F52&gt;=0.45,VLOOKUP(Calculator!E23,tbSkills!DH3:DI6,2,FALSE)+IF(AND(Calculator!B8=TRUE,Backdoors!BI11=TRUE),VLOOKUP(Calculator!E23,tbSkills!DH3:DJ6,3,FALSE),0),0))&gt;=100,100,(Backdoors!AI12+IF(BF52&gt;=0.45,VLOOKUP(Calculator!E23,tbSkills!DH3:DI6,2,FALSE)+IF(AND(Calculator!B8=TRUE,Backdoors!BI11=TRUE),VLOOKUP(Calculator!E23,tbSkills!DH3:DJ6,3,FALSE),0),0)))/100)),1))*IF(VLOOKUP(A52,tbMoveset!A2:K112,11,FALSE)=TRUE,Backdoors!AC5,1))*BG52,0),"")</f>
        <v>0</v>
      </c>
      <c r="BK52" s="49">
        <f>VLOOKUP(A52,tbMoveset!A2:G112,7,FALSE)*IFERROR(IF(Backdoors!AI12&gt;=0,1+(IF(Calculator!E40&gt;0,VLOOKUP(Calculator!E40,tbSkills!AI3:AJ5,2,FALSE),Backdoors!AL4)*(IF((Backdoors!AI12+IF(BF52&gt;=0.45,VLOOKUP(Calculator!E23,tbSkills!DH3:DI6,2,FALSE)+IF(AND(Calculator!B8=TRUE,Backdoors!BI11=TRUE),VLOOKUP(Calculator!E23,tbSkills!DH3:DJ6,3,FALSE),0),0))&gt;=100,100,(Backdoors!AI12+IF(BF52&gt;=0.45,VLOOKUP(Calculator!E23,tbSkills!DH3:DI6,2,FALSE)+IF(AND(Calculator!B8=TRUE,Backdoors!BI11=TRUE),VLOOKUP(Calculator!E23,tbSkills!DH3:DJ6,3,FALSE),0),0)))/100)),1),1)</f>
        <v>0.5</v>
      </c>
      <c r="BL52" s="87">
        <f t="shared" si="4"/>
        <v>0</v>
      </c>
      <c r="BM52" s="86" t="str">
        <f>IFERROR(IF(VLOOKUP(A52,tbMoveset!A2:B112,2,FALSE)="Sever",Backdoors!AY12/100,IF(VLOOKUP(A52,tbMoveset!A2:B112,2,FALSE)="Blunt",Backdoors!AZ12/100,Backdoors!BA12/100)),"")</f>
        <v/>
      </c>
      <c r="BN52" s="49">
        <f>IFERROR(IF(VLOOKUP(tbMoveset!A52,tbMoveset!A2:H112,8,FALSE)="Other",IF(VLOOKUP(tbMoveset!A52,tbMoveset!A2:I112,9,FALSE)="Fire",Backdoors!BB12,IF(VLOOKUP(tbMoveset!A52,tbMoveset!A2:I112,9,FALSE)="Water",Backdoors!BC12,IF(VLOOKUP(tbMoveset!A52,tbMoveset!A2:I112,9,FALSE)="Thunder",Backdoors!BD12,IF(VLOOKUP(tbMoveset!A52,tbMoveset!A2:I112,9,FALSE)="Ice",Backdoors!BE12,IF(VLOOKUP(tbMoveset!A52,tbMoveset!A2:I112,9,FALSE)="Dragon",Backdoors!BF12,Backdoors!BG12)))))/100,Backdoors!BG12/100),"")</f>
        <v>0</v>
      </c>
      <c r="BO52" s="49">
        <f>IFERROR(IF(VLOOKUP(A52,tbMoveset!A2:J112,10,FALSE)=TRUE,IF((Backdoors!AI12+IF(BM52&gt;=0.45,VLOOKUP(Calculator!E23,tbSkills!DH3:DI6,2,FALSE)+IF(AND(Calculator!B8=TRUE,Backdoors!BI12=TRUE),VLOOKUP(Calculator!E23,tbSkills!DH3:DJ6,3,FALSE),0),0))&gt;=0,1+(Backdoors!AL2*(IF((Backdoors!AI12+IF(BM52&gt;=0.45,VLOOKUP(Calculator!E23,tbSkills!DH3:DI6,2,FALSE)+IF(AND(Calculator!B8=TRUE,Backdoors!BI12=TRUE),VLOOKUP(Calculator!E23,tbSkills!DH3:DJ6,3,FALSE),0),0))&gt;=100,100,(Backdoors!AI12+IF(BM52&gt;=0.45,VLOOKUP(Calculator!E23,tbSkills!DH3:DI6,2,FALSE)+IF(AND(Calculator!B8=TRUE,Backdoors!BI12=TRUE),VLOOKUP(Calculator!E23,tbSkills!DH3:DJ6,3,FALSE),0),0)))/100)),(1-(0.25*((-Backdoors!AI12-IF(BM52&gt;=0.45,VLOOKUP(Calculator!E23,tbSkills!DH3:DI6,2,FALSE)+IF(AND(Calculator!B8=TRUE,Backdoors!BI12=TRUE),VLOOKUP(Calculator!E23,tbSkills!DH3:DJ6,3,FALSE),0),0))/100)))),1),"")</f>
        <v>1</v>
      </c>
      <c r="BP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M52)*BO52)*(VLOOKUP(A52,tbMoveset!A2:C112,3,FALSE)/100)*IF(VLOOKUP(A52,tbMoveset!A2:B112,2,FALSE)="Projectile",Backdoors!N10,Backdoors!N9),0),"")</f>
        <v/>
      </c>
      <c r="BQ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M52&gt;=0.45,VLOOKUP(Calculator!E23,tbSkills!DH3:DI6,2,FALSE)+IF(AND(Calculator!B8=TRUE,Backdoors!BI12=TRUE),VLOOKUP(Calculator!E23,tbSkills!DH3:DJ6,3,FALSE),0),0))&gt;=100,100,(Backdoors!AI12+IF(BM52&gt;=0.45,VLOOKUP(Calculator!E23,tbSkills!DH3:DI6,2,FALSE)+IF(AND(Calculator!B8=TRUE,Backdoors!BI12=TRUE),VLOOKUP(Calculator!E23,tbSkills!DH3:DJ6,3,FALSE),0),0)))/100)),1))*IF(VLOOKUP(A52,tbMoveset!A2:K112,11,FALSE)=TRUE,Backdoors!AC5,1))*BN52,0),"")</f>
        <v>0</v>
      </c>
      <c r="BR52" s="49">
        <f>VLOOKUP(A52,tbMoveset!A2:G112,7,FALSE)*IFERROR(IF(Backdoors!AI12&gt;=0,1+(IF(Calculator!E40&gt;0,VLOOKUP(Calculator!E40,tbSkills!AI3:AJ5,2,FALSE),Backdoors!AL4)*(IF((Backdoors!AI12+IF(BM52&gt;=0.45,VLOOKUP(Calculator!E23,tbSkills!DH3:DI6,2,FALSE)+IF(AND(Calculator!B8=TRUE,Backdoors!BI12=TRUE),VLOOKUP(Calculator!E23,tbSkills!DH3:DJ6,3,FALSE),0),0))&gt;=100,100,(Backdoors!AI12+IF(BM52&gt;=0.45,VLOOKUP(Calculator!E23,tbSkills!DH3:DI6,2,FALSE)+IF(AND(Calculator!B8=TRUE,Backdoors!BI12=TRUE),VLOOKUP(Calculator!E23,tbSkills!DH3:DJ6,3,FALSE),0),0)))/100)),1),1)</f>
        <v>0.5</v>
      </c>
      <c r="BS52" s="87">
        <f t="shared" si="39"/>
        <v>0</v>
      </c>
      <c r="BT52" s="86" t="str">
        <f>IFERROR(IF(VLOOKUP(A52,tbMoveset!A2:B112,2,FALSE)="Sever",Backdoors!AY13/100,IF(VLOOKUP(A52,tbMoveset!A2:B112,2,FALSE)="Blunt",Backdoors!AZ13/100,Backdoors!BA13/100)),"")</f>
        <v/>
      </c>
      <c r="BU52" s="49">
        <f>IFERROR(IF(VLOOKUP(tbMoveset!A52,tbMoveset!A2:H112,8,FALSE)="Other",IF(VLOOKUP(tbMoveset!A52,tbMoveset!A2:I112,9,FALSE)="Fire",Backdoors!BB13,IF(VLOOKUP(tbMoveset!A52,tbMoveset!A2:I112,9,FALSE)="Water",Backdoors!BC13,IF(VLOOKUP(tbMoveset!A52,tbMoveset!A2:I112,9,FALSE)="Thunder",Backdoors!BD13,IF(VLOOKUP(tbMoveset!A52,tbMoveset!A2:I112,9,FALSE)="Ice",Backdoors!BE13,IF(VLOOKUP(tbMoveset!A52,tbMoveset!A2:I112,9,FALSE)="Dragon",Backdoors!BF13,Backdoors!BG13)))))/100,Backdoors!BG13/100),"")</f>
        <v>0</v>
      </c>
      <c r="BV52" s="49">
        <f>IFERROR(IF(VLOOKUP(A52,tbMoveset!A2:J112,10,FALSE)=TRUE,IF((Backdoors!AI12+IF(BT52&gt;=0.45,VLOOKUP(Calculator!E23,tbSkills!DH3:DI6,2,FALSE)+IF(AND(Calculator!B8=TRUE,Backdoors!BI13=TRUE),VLOOKUP(Calculator!E23,tbSkills!DH3:DJ6,3,FALSE),0),0))&gt;=0,1+(Backdoors!AL2*(IF((Backdoors!AI12+IF(BT52&gt;=0.45,VLOOKUP(Calculator!E23,tbSkills!DH3:DI6,2,FALSE)+IF(AND(Calculator!B8=TRUE,Backdoors!BI13=TRUE),VLOOKUP(Calculator!E23,tbSkills!DH3:DJ6,3,FALSE),0),0))&gt;=100,100,(Backdoors!AI12+IF(BT52&gt;=0.45,VLOOKUP(Calculator!E23,tbSkills!DH3:DI6,2,FALSE)+IF(AND(Calculator!B8=TRUE,Backdoors!BI13=TRUE),VLOOKUP(Calculator!E23,tbSkills!DH3:DJ6,3,FALSE),0),0)))/100)),(1-(0.25*((-Backdoors!AI12-IF(BT52&gt;=0.45,VLOOKUP(Calculator!E23,tbSkills!DH3:DI6,2,FALSE)+IF(AND(Calculator!B8=TRUE,Backdoors!BI13=TRUE),VLOOKUP(Calculator!E23,tbSkills!DH3:DJ6,3,FALSE),0),0))/100)))),1),"")</f>
        <v>1</v>
      </c>
      <c r="BW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T52)*BV52)*(VLOOKUP(A52,tbMoveset!A2:C112,3,FALSE)/100)*IF(VLOOKUP(A52,tbMoveset!A2:B112,2,FALSE)="Projectile",Backdoors!N10,Backdoors!N9),0),"")</f>
        <v/>
      </c>
      <c r="BX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T52&gt;=0.45,VLOOKUP(Calculator!E23,tbSkills!DH3:DI6,2,FALSE)+IF(AND(Calculator!B8=TRUE,Backdoors!BI13=TRUE),VLOOKUP(Calculator!E23,tbSkills!DH3:DJ6,3,FALSE),0),0))&gt;=100,100,(Backdoors!AI12+IF(BT52&gt;=0.45,VLOOKUP(Calculator!E23,tbSkills!DH3:DI6,2,FALSE)+IF(AND(Calculator!B8=TRUE,Backdoors!BI13=TRUE),VLOOKUP(Calculator!E23,tbSkills!DH3:DJ6,3,FALSE),0),0)))/100)),1))*IF(VLOOKUP(A52,tbMoveset!A2:K112,11,FALSE)=TRUE,Backdoors!AC5,1))*BU52,0),"")</f>
        <v>0</v>
      </c>
      <c r="BY52" s="49">
        <f>VLOOKUP(A52,tbMoveset!A2:G112,7,FALSE)*IFERROR(IF(Backdoors!AI12&gt;=0,1+(IF(Calculator!E40&gt;0,VLOOKUP(Calculator!E40,tbSkills!AI3:AJ5,2,FALSE),Backdoors!AL4)*(IF((Backdoors!AI12+IF(BT52&gt;=0.45,VLOOKUP(Calculator!E23,tbSkills!DH3:DI6,2,FALSE)+IF(AND(Calculator!B8=TRUE,Backdoors!BI13=TRUE),VLOOKUP(Calculator!E23,tbSkills!DH3:DJ6,3,FALSE),0),0))&gt;=100,100,(Backdoors!AI12+IF(BT52&gt;=0.45,VLOOKUP(Calculator!E23,tbSkills!DH3:DI6,2,FALSE)+IF(AND(Calculator!B8=TRUE,Backdoors!BI13=TRUE),VLOOKUP(Calculator!E23,tbSkills!DH3:DJ6,3,FALSE),0),0)))/100)),1),1)</f>
        <v>0.5</v>
      </c>
      <c r="BZ52" s="87">
        <f t="shared" si="5"/>
        <v>0</v>
      </c>
      <c r="CA52" s="86" t="str">
        <f>IFERROR(IF(VLOOKUP(A52,tbMoveset!A2:B112,2,FALSE)="Sever",Backdoors!AY14/100,IF(VLOOKUP(A52,tbMoveset!A2:B112,2,FALSE)="Blunt",Backdoors!AZ14/100,Backdoors!BA14/100)),"")</f>
        <v/>
      </c>
      <c r="CB52" s="49">
        <f>IFERROR(IF(VLOOKUP(tbMoveset!A52,tbMoveset!A2:H112,8,FALSE)="Other",IF(VLOOKUP(tbMoveset!A52,tbMoveset!A2:I112,9,FALSE)="Fire",Backdoors!BB14,IF(VLOOKUP(tbMoveset!A52,tbMoveset!A2:I112,9,FALSE)="Water",Backdoors!BC14,IF(VLOOKUP(tbMoveset!A52,tbMoveset!A2:I112,9,FALSE)="Thunder",Backdoors!BD14,IF(VLOOKUP(tbMoveset!A52,tbMoveset!A2:I112,9,FALSE)="Ice",Backdoors!BE14,IF(VLOOKUP(tbMoveset!A52,tbMoveset!A2:I112,9,FALSE)="Dragon",Backdoors!BF14,Backdoors!BG14)))))/100,Backdoors!BG14/100),"")</f>
        <v>0</v>
      </c>
      <c r="CC52" s="49">
        <f>IFERROR(IF(VLOOKUP(A52,tbMoveset!A2:J112,10,FALSE)=TRUE,IF((Backdoors!AI12+IF(CA52&gt;=0.45,VLOOKUP(Calculator!E23,tbSkills!DH3:DI6,2,FALSE)+IF(AND(Calculator!B8=TRUE,Backdoors!BI14=TRUE),VLOOKUP(Calculator!E23,tbSkills!DH3:DJ6,3,FALSE),0),0))&gt;=0,1+(Backdoors!AL2*(IF((Backdoors!AI12+IF(CA52&gt;=0.45,VLOOKUP(Calculator!E23,tbSkills!DH3:DI6,2,FALSE)+IF(AND(Calculator!B8=TRUE,Backdoors!BI14=TRUE),VLOOKUP(Calculator!E23,tbSkills!DH3:DJ6,3,FALSE),0),0))&gt;=100,100,(Backdoors!AI12+IF(CA52&gt;=0.45,VLOOKUP(Calculator!E23,tbSkills!DH3:DI6,2,FALSE)+IF(AND(Calculator!B8=TRUE,Backdoors!BI14=TRUE),VLOOKUP(Calculator!E23,tbSkills!DH3:DJ6,3,FALSE),0),0)))/100)),(1-(0.25*((-Backdoors!AI12-IF(CA52&gt;=0.45,VLOOKUP(Calculator!E23,tbSkills!DH3:DI6,2,FALSE)+IF(AND(Calculator!B8=TRUE,Backdoors!BI14=TRUE),VLOOKUP(Calculator!E23,tbSkills!DH3:DJ6,3,FALSE),0),0))/100)))),1),"")</f>
        <v>1</v>
      </c>
      <c r="CD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A52)*CC52)*(VLOOKUP(A52,tbMoveset!A2:C112,3,FALSE)/100)*IF(VLOOKUP(A52,tbMoveset!A2:B112,2,FALSE)="Projectile",Backdoors!N10,Backdoors!N9),0),"")</f>
        <v/>
      </c>
      <c r="CE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A52&gt;=0.45,VLOOKUP(Calculator!E23,tbSkills!DH3:DI6,2,FALSE)+IF(AND(Calculator!B8=TRUE,Backdoors!BI14=TRUE),VLOOKUP(Calculator!E23,tbSkills!DH3:DJ6,3,FALSE),0),0))&gt;=100,100,(Backdoors!AI12+IF(CA52&gt;=0.45,VLOOKUP(Calculator!E23,tbSkills!DH3:DI6,2,FALSE)+IF(AND(Calculator!B8=TRUE,Backdoors!BI14=TRUE),VLOOKUP(Calculator!E23,tbSkills!DH3:DJ6,3,FALSE),0),0)))/100)),1))*IF(VLOOKUP(A52,tbMoveset!A2:K112,11,FALSE)=TRUE,Backdoors!AC5,1))*CB52,0),"")</f>
        <v>0</v>
      </c>
      <c r="CF52" s="49">
        <f>VLOOKUP(A52,tbMoveset!A2:G112,7,FALSE)*IFERROR(IF(Backdoors!AI12&gt;=0,1+(IF(Calculator!E40&gt;0,VLOOKUP(Calculator!E40,tbSkills!AI3:AJ5,2,FALSE),Backdoors!AL4)*(IF((Backdoors!AI12+IF(CA52&gt;=0.45,VLOOKUP(Calculator!E23,tbSkills!DH3:DI6,2,FALSE)+IF(AND(Calculator!B8=TRUE,Backdoors!BI14=TRUE),VLOOKUP(Calculator!E23,tbSkills!DH3:DJ6,3,FALSE),0),0))&gt;=100,100,(Backdoors!AI12+IF(CA52&gt;=0.45,VLOOKUP(Calculator!E23,tbSkills!DH3:DI6,2,FALSE)+IF(AND(Calculator!B8=TRUE,Backdoors!BI14=TRUE),VLOOKUP(Calculator!E23,tbSkills!DH3:DJ6,3,FALSE),0),0)))/100)),1),1)</f>
        <v>0.5</v>
      </c>
      <c r="CG52" s="87">
        <f t="shared" si="6"/>
        <v>0</v>
      </c>
      <c r="CH52" s="86" t="str">
        <f>IFERROR(IF(VLOOKUP(A52,tbMoveset!A2:B112,2,FALSE)="Sever",Backdoors!AY15/100,IF(VLOOKUP(A52,tbMoveset!A2:B112,2,FALSE)="Blunt",Backdoors!AZ15/100,Backdoors!BA15/100)),"")</f>
        <v/>
      </c>
      <c r="CI52" s="49">
        <f>IFERROR(IF(VLOOKUP(tbMoveset!A52,tbMoveset!A2:H112,8,FALSE)="Other",IF(VLOOKUP(tbMoveset!A52,tbMoveset!A2:I112,9,FALSE)="Fire",Backdoors!BB15,IF(VLOOKUP(tbMoveset!A52,tbMoveset!A2:I112,9,FALSE)="Water",Backdoors!BC15,IF(VLOOKUP(tbMoveset!A52,tbMoveset!A2:I112,9,FALSE)="Thunder",Backdoors!BD15,IF(VLOOKUP(tbMoveset!A52,tbMoveset!A2:I112,9,FALSE)="Ice",Backdoors!BE15,IF(VLOOKUP(tbMoveset!A52,tbMoveset!A2:I112,9,FALSE)="Dragon",Backdoors!BF15,Backdoors!BG15)))))/100,Backdoors!BG15/100),"")</f>
        <v>0</v>
      </c>
      <c r="CJ52" s="49">
        <f>IFERROR(IF(VLOOKUP(A52,tbMoveset!A2:J112,10,FALSE)=TRUE,IF((Backdoors!AI12+IF(CH52&gt;=0.45,VLOOKUP(Calculator!E23,tbSkills!DH3:DI6,2,FALSE)+IF(AND(Calculator!B8=TRUE,Backdoors!BI15=TRUE),VLOOKUP(Calculator!E23,tbSkills!DH3:DJ6,3,FALSE),0),0))&gt;=0,1+(Backdoors!AL2*(IF((Backdoors!AI12+IF(CH52&gt;=0.45,VLOOKUP(Calculator!E23,tbSkills!DH3:DI6,2,FALSE)+IF(AND(Calculator!B8=TRUE,Backdoors!BI15=TRUE),VLOOKUP(Calculator!E23,tbSkills!DH3:DJ6,3,FALSE),0),0))&gt;=100,100,(Backdoors!AI12+IF(CH52&gt;=0.45,VLOOKUP(Calculator!E23,tbSkills!DH3:DI6,2,FALSE)+IF(AND(Calculator!B8=TRUE,Backdoors!BI15=TRUE),VLOOKUP(Calculator!E23,tbSkills!DH3:DJ6,3,FALSE),0),0)))/100)),(1-(0.25*((-Backdoors!AI12-IF(CH52&gt;=0.45,VLOOKUP(Calculator!E23,tbSkills!DH3:DI6,2,FALSE)+IF(AND(Calculator!B8=TRUE,Backdoors!BI15=TRUE),VLOOKUP(Calculator!E23,tbSkills!DH3:DJ6,3,FALSE),0),0))/100)))),1),"")</f>
        <v>1</v>
      </c>
      <c r="CK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H52)*CJ52)*(VLOOKUP(A52,tbMoveset!A2:C112,3,FALSE)/100)*IF(VLOOKUP(A52,tbMoveset!A2:B112,2,FALSE)="Projectile",Backdoors!N10,Backdoors!N9),0),"")</f>
        <v/>
      </c>
      <c r="CL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H52&gt;=0.45,VLOOKUP(Calculator!E23,tbSkills!DH3:DI6,2,FALSE)+IF(AND(Calculator!B8=TRUE,Backdoors!BI15=TRUE),VLOOKUP(Calculator!E23,tbSkills!DH3:DJ6,3,FALSE),0),0))&gt;=100,100,(Backdoors!AI12+IF(CH52&gt;=0.45,VLOOKUP(Calculator!E23,tbSkills!DH3:DI6,2,FALSE)+IF(AND(Calculator!B8=TRUE,Backdoors!BI15=TRUE),VLOOKUP(Calculator!E23,tbSkills!DH3:DJ6,3,FALSE),0),0)))/100)),1))*IF(VLOOKUP(A52,tbMoveset!A2:K112,11,FALSE)=TRUE,Backdoors!AC5,1))*CI52,0),"")</f>
        <v>0</v>
      </c>
      <c r="CM52" s="49">
        <f>VLOOKUP(A52,tbMoveset!A2:G112,7,FALSE)*IFERROR(IF(Backdoors!AI12&gt;=0,1+(IF(Calculator!E40&gt;0,VLOOKUP(Calculator!E40,tbSkills!AI3:AJ5,2,FALSE),Backdoors!AL4)*(IF((Backdoors!AI12+IF(CH52&gt;=0.45,VLOOKUP(Calculator!E23,tbSkills!DH3:DI6,2,FALSE)+IF(AND(Calculator!B8=TRUE,Backdoors!BI15=TRUE),VLOOKUP(Calculator!E23,tbSkills!DH3:DJ6,3,FALSE),0),0))&gt;=100,100,(Backdoors!AI12+IF(CH52&gt;=0.45,VLOOKUP(Calculator!E23,tbSkills!DH3:DI6,2,FALSE)+IF(AND(Calculator!B8=TRUE,Backdoors!BI15=TRUE),VLOOKUP(Calculator!E23,tbSkills!DH3:DJ6,3,FALSE),0),0)))/100)),1),1)</f>
        <v>0.5</v>
      </c>
      <c r="CN52" s="87">
        <f t="shared" si="7"/>
        <v>0</v>
      </c>
      <c r="CO52" s="86" t="str">
        <f>IFERROR(IF(VLOOKUP(A52,tbMoveset!A2:B112,2,FALSE)="Sever",Backdoors!AY16/100,IF(VLOOKUP(A52,tbMoveset!A2:B112,2,FALSE)="Blunt",Backdoors!AZ16/100,Backdoors!BA16/100)),"")</f>
        <v/>
      </c>
      <c r="CP52" s="49">
        <f>IFERROR(IF(VLOOKUP(tbMoveset!A52,tbMoveset!A2:H112,8,FALSE)="Other",IF(VLOOKUP(tbMoveset!A52,tbMoveset!A2:I112,9,FALSE)="Fire",Backdoors!BB16,IF(VLOOKUP(tbMoveset!A52,tbMoveset!A2:I112,9,FALSE)="Water",Backdoors!BC16,IF(VLOOKUP(tbMoveset!A52,tbMoveset!A2:I112,9,FALSE)="Thunder",Backdoors!BD16,IF(VLOOKUP(tbMoveset!A52,tbMoveset!A2:I112,9,FALSE)="Ice",Backdoors!BE16,IF(VLOOKUP(tbMoveset!A52,tbMoveset!A2:I112,9,FALSE)="Dragon",Backdoors!BF16,Backdoors!BG16)))))/100,Backdoors!BG16/100),"")</f>
        <v>0</v>
      </c>
      <c r="CQ52" s="49">
        <f>IFERROR(IF(VLOOKUP(A52,tbMoveset!A2:J112,10,FALSE)=TRUE,IF((Backdoors!AI12+IF(CO52&gt;=0.45,VLOOKUP(Calculator!E23,tbSkills!DH3:DI6,2,FALSE)+IF(AND(Calculator!B8=TRUE,Backdoors!BI16=TRUE),VLOOKUP(Calculator!E23,tbSkills!DH3:DJ6,3,FALSE),0),0))&gt;=0,1+(Backdoors!AL2*(IF((Backdoors!AI12+IF(CO52&gt;=0.45,VLOOKUP(Calculator!E23,tbSkills!DH3:DI6,2,FALSE)+IF(AND(Calculator!B8=TRUE,Backdoors!BI16=TRUE),VLOOKUP(Calculator!E23,tbSkills!DH3:DJ6,3,FALSE),0),0))&gt;=100,100,(Backdoors!AI12+IF(CO52&gt;=0.45,VLOOKUP(Calculator!E23,tbSkills!DH3:DI6,2,FALSE)+IF(AND(Calculator!B8=TRUE,Backdoors!BI16=TRUE),VLOOKUP(Calculator!E23,tbSkills!DH3:DJ6,3,FALSE),0),0)))/100)),(1-(0.25*((-Backdoors!AI12-IF(CO52&gt;=0.45,VLOOKUP(Calculator!E23,tbSkills!DH3:DI6,2,FALSE)+IF(AND(Calculator!B8=TRUE,Backdoors!BI16=TRUE),VLOOKUP(Calculator!E23,tbSkills!DH3:DJ6,3,FALSE),0),0))/100)))),1),"")</f>
        <v>1</v>
      </c>
      <c r="CR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O52)*CQ52)*(VLOOKUP(A52,tbMoveset!A2:C112,3,FALSE)/100)*IF(VLOOKUP(A52,tbMoveset!A2:B112,2,FALSE)="Projectile",Backdoors!N10,Backdoors!N9),0),"")</f>
        <v/>
      </c>
      <c r="CS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O52&gt;=0.45,VLOOKUP(Calculator!E23,tbSkills!DH3:DI6,2,FALSE)+IF(AND(Calculator!B8=TRUE,Backdoors!BI16=TRUE),VLOOKUP(Calculator!E23,tbSkills!DH3:DJ6,3,FALSE),0),0))&gt;=100,100,(Backdoors!AI12+IF(CO52&gt;=0.45,VLOOKUP(Calculator!E23,tbSkills!DH3:DI6,2,FALSE)+IF(AND(Calculator!B8=TRUE,Backdoors!BI16=TRUE),VLOOKUP(Calculator!E23,tbSkills!DH3:DJ6,3,FALSE),0),0)))/100)),1))*IF(VLOOKUP(A52,tbMoveset!A2:K112,11,FALSE)=TRUE,Backdoors!AC5,1))*CP52,0),"")</f>
        <v>0</v>
      </c>
      <c r="CT52" s="49">
        <f>VLOOKUP(A52,tbMoveset!A2:G112,7,FALSE)*IFERROR(IF(Backdoors!AI12&gt;=0,1+(IF(Calculator!E40&gt;0,VLOOKUP(Calculator!E40,tbSkills!AI3:AJ5,2,FALSE),Backdoors!AL4)*(IF((Backdoors!AI12+IF(CO52&gt;=0.45,VLOOKUP(Calculator!E23,tbSkills!DH3:DI6,2,FALSE)+IF(AND(Calculator!B8=TRUE,Backdoors!BI16=TRUE),VLOOKUP(Calculator!E23,tbSkills!DH3:DJ6,3,FALSE),0),0))&gt;=100,100,(Backdoors!AI12+IF(CO52&gt;=0.45,VLOOKUP(Calculator!E23,tbSkills!DH3:DI6,2,FALSE)+IF(AND(Calculator!B8=TRUE,Backdoors!BI16=TRUE),VLOOKUP(Calculator!E23,tbSkills!DH3:DJ6,3,FALSE),0),0)))/100)),1),1)</f>
        <v>0.5</v>
      </c>
      <c r="CU52" s="87">
        <f t="shared" si="40"/>
        <v>0</v>
      </c>
      <c r="CV52" s="86" t="str">
        <f>IFERROR(IF(VLOOKUP(A52,tbMoveset!A2:B112,2,FALSE)="Sever",Backdoors!AY17/100,IF(VLOOKUP(A52,tbMoveset!A2:B112,2,FALSE)="Blunt",Backdoors!AZ17/100,Backdoors!BA17/100)),"")</f>
        <v/>
      </c>
      <c r="CW52" s="49">
        <f>IFERROR(IF(VLOOKUP(tbMoveset!A52,tbMoveset!A2:H112,8,FALSE)="Other",IF(VLOOKUP(tbMoveset!A52,tbMoveset!A2:I112,9,FALSE)="Fire",Backdoors!BB17,IF(VLOOKUP(tbMoveset!A52,tbMoveset!A2:I112,9,FALSE)="Water",Backdoors!BC17,IF(VLOOKUP(tbMoveset!A52,tbMoveset!A2:I112,9,FALSE)="Thunder",Backdoors!BD17,IF(VLOOKUP(tbMoveset!A52,tbMoveset!A2:I112,9,FALSE)="Ice",Backdoors!BE17,IF(VLOOKUP(tbMoveset!A52,tbMoveset!A2:I112,9,FALSE)="Dragon",Backdoors!BF17,Backdoors!BG17)))))/100,Backdoors!BG17/100),"")</f>
        <v>0</v>
      </c>
      <c r="CX52" s="49">
        <f>IFERROR(IF(VLOOKUP(A52,tbMoveset!A2:J112,10,FALSE)=TRUE,IF((Backdoors!AI12+IF(CV52&gt;=0.45,VLOOKUP(Calculator!E23,tbSkills!DH3:DI6,2,FALSE)+IF(AND(Calculator!B8=TRUE,Backdoors!BI17=TRUE),VLOOKUP(Calculator!E23,tbSkills!DH3:DJ6,3,FALSE),0),0))&gt;=0,1+(Backdoors!AL2*(IF((Backdoors!AI12+IF(CV52&gt;=0.45,VLOOKUP(Calculator!E23,tbSkills!DH3:DI6,2,FALSE)+IF(AND(Calculator!B8=TRUE,Backdoors!BI17=TRUE),VLOOKUP(Calculator!E23,tbSkills!DH3:DJ6,3,FALSE),0),0))&gt;=100,100,(Backdoors!AI12+IF(CV52&gt;=0.45,VLOOKUP(Calculator!E23,tbSkills!DH3:DI6,2,FALSE)+IF(AND(Calculator!B8=TRUE,Backdoors!BI17=TRUE),VLOOKUP(Calculator!E23,tbSkills!DH3:DJ6,3,FALSE),0),0)))/100)),(1-(0.25*((-Backdoors!AI12-IF(CV52&gt;=0.45,VLOOKUP(Calculator!E23,tbSkills!DH3:DI6,2,FALSE)+IF(AND(Calculator!B8=TRUE,Backdoors!BI17=TRUE),VLOOKUP(Calculator!E23,tbSkills!DH3:DJ6,3,FALSE),0),0))/100)))),1),"")</f>
        <v>1</v>
      </c>
      <c r="CY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V52)*CX52)*(VLOOKUP(A52,tbMoveset!A2:C112,3,FALSE)/100)*IF(VLOOKUP(A52,tbMoveset!A2:B112,2,FALSE)="Projectile",Backdoors!N10,Backdoors!N9),0),"")</f>
        <v/>
      </c>
      <c r="CZ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V52&gt;=0.45,VLOOKUP(Calculator!E23,tbSkills!DH3:DI6,2,FALSE)+IF(AND(Calculator!B8=TRUE,Backdoors!BI17=TRUE),VLOOKUP(Calculator!E23,tbSkills!DH3:DJ6,3,FALSE),0),0))&gt;=100,100,(Backdoors!AI12+IF(CV52&gt;=0.45,VLOOKUP(Calculator!E23,tbSkills!DH3:DI6,2,FALSE)+IF(AND(Calculator!B8=TRUE,Backdoors!BI17=TRUE),VLOOKUP(Calculator!E23,tbSkills!DH3:DJ6,3,FALSE),0),0)))/100)),1))*IF(VLOOKUP(A52,tbMoveset!A2:K112,11,FALSE)=TRUE,Backdoors!AC5,1))*CW52,0),"")</f>
        <v>0</v>
      </c>
      <c r="DA52" s="49">
        <f>VLOOKUP(A52,tbMoveset!A2:G112,7,FALSE)*IFERROR(IF(Backdoors!AI12&gt;=0,1+(IF(Calculator!E40&gt;0,VLOOKUP(Calculator!E40,tbSkills!AI3:AJ5,2,FALSE),Backdoors!AL4)*(IF((Backdoors!AI12+IF(CV52&gt;=0.45,VLOOKUP(Calculator!E23,tbSkills!DH3:DI6,2,FALSE)+IF(AND(Calculator!B8=TRUE,Backdoors!BI17=TRUE),VLOOKUP(Calculator!E23,tbSkills!DH3:DJ6,3,FALSE),0),0))&gt;=100,100,(Backdoors!AI12+IF(CV52&gt;=0.45,VLOOKUP(Calculator!E23,tbSkills!DH3:DI6,2,FALSE)+IF(AND(Calculator!B8=TRUE,Backdoors!BI17=TRUE),VLOOKUP(Calculator!E23,tbSkills!DH3:DJ6,3,FALSE),0),0)))/100)),1),1)</f>
        <v>0.5</v>
      </c>
      <c r="DB52" s="87">
        <f t="shared" si="8"/>
        <v>0</v>
      </c>
      <c r="DC52" s="86" t="str">
        <f>IFERROR(IF(VLOOKUP(A52,tbMoveset!A2:B112,2,FALSE)="Sever",Backdoors!AY18/100,IF(VLOOKUP(A52,tbMoveset!A2:B112,2,FALSE)="Blunt",Backdoors!AZ18/100,Backdoors!BA18/100)),"")</f>
        <v/>
      </c>
      <c r="DD52" s="49">
        <f>IFERROR(IF(VLOOKUP(tbMoveset!A52,tbMoveset!A2:H112,8,FALSE)="Other",IF(VLOOKUP(tbMoveset!A52,tbMoveset!A2:I112,9,FALSE)="Fire",Backdoors!BB18,IF(VLOOKUP(tbMoveset!A52,tbMoveset!A2:I112,9,FALSE)="Water",Backdoors!BC18,IF(VLOOKUP(tbMoveset!A52,tbMoveset!A2:I112,9,FALSE)="Thunder",Backdoors!BD18,IF(VLOOKUP(tbMoveset!A52,tbMoveset!A2:I112,9,FALSE)="Ice",Backdoors!BE18,IF(VLOOKUP(tbMoveset!A52,tbMoveset!A2:I112,9,FALSE)="Dragon",Backdoors!BF18,Backdoors!BG18)))))/100,Backdoors!BG18/100),"")</f>
        <v>0</v>
      </c>
      <c r="DE52" s="49">
        <f>IFERROR(IF(VLOOKUP(A52,tbMoveset!A2:J112,10,FALSE)=TRUE,IF((Backdoors!AI12+IF(DC52&gt;=0.45,VLOOKUP(Calculator!E23,tbSkills!DH3:DI6,2,FALSE)+IF(AND(Calculator!B8=TRUE,Backdoors!BI18=TRUE),VLOOKUP(Calculator!E23,tbSkills!DH3:DJ6,3,FALSE),0),0))&gt;=0,1+(Backdoors!AL2*(IF((Backdoors!AI12+IF(DC52&gt;=0.45,VLOOKUP(Calculator!E23,tbSkills!DH3:DI6,2,FALSE)+IF(AND(Calculator!B8=TRUE,Backdoors!BI18=TRUE),VLOOKUP(Calculator!E23,tbSkills!DH3:DJ6,3,FALSE),0),0))&gt;=100,100,(Backdoors!AI12+IF(DC52&gt;=0.45,VLOOKUP(Calculator!E23,tbSkills!DH3:DI6,2,FALSE)+IF(AND(Calculator!B8=TRUE,Backdoors!BI18=TRUE),VLOOKUP(Calculator!E23,tbSkills!DH3:DJ6,3,FALSE),0),0)))/100)),(1-(0.25*((-Backdoors!AI12-IF(DC52&gt;=0.45,VLOOKUP(Calculator!E23,tbSkills!DH3:DI6,2,FALSE)+IF(AND(Calculator!B8=TRUE,Backdoors!BI18=TRUE),VLOOKUP(Calculator!E23,tbSkills!DH3:DJ6,3,FALSE),0),0))/100)))),1),"")</f>
        <v>1</v>
      </c>
      <c r="DF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C52)*DE52)*(VLOOKUP(A52,tbMoveset!A2:C112,3,FALSE)/100)*IF(VLOOKUP(A52,tbMoveset!A2:B112,2,FALSE)="Projectile",Backdoors!N10,Backdoors!N9),0),"")</f>
        <v/>
      </c>
      <c r="DG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C52&gt;=0.45,VLOOKUP(Calculator!E23,tbSkills!DH3:DI6,2,FALSE)+IF(AND(Calculator!B8=TRUE,Backdoors!BI18=TRUE),VLOOKUP(Calculator!E23,tbSkills!DH3:DJ6,3,FALSE),0),0))&gt;=100,100,(Backdoors!AI12+IF(DC52&gt;=0.45,VLOOKUP(Calculator!E23,tbSkills!DH3:DI6,2,FALSE)+IF(AND(Calculator!B8=TRUE,Backdoors!BI18=TRUE),VLOOKUP(Calculator!E23,tbSkills!DH3:DJ6,3,FALSE),0),0)))/100)),1))*IF(VLOOKUP(A52,tbMoveset!A2:K112,11,FALSE)=TRUE,Backdoors!AC5,1))*DD52,0),"")</f>
        <v>0</v>
      </c>
      <c r="DH52" s="49">
        <f>VLOOKUP(A52,tbMoveset!A2:G112,7,FALSE)*IFERROR(IF(Backdoors!AI12&gt;=0,1+(IF(Calculator!E40&gt;0,VLOOKUP(Calculator!E40,tbSkills!AI3:AJ5,2,FALSE),Backdoors!AL4)*(IF((Backdoors!AI12+IF(DC52&gt;=0.45,VLOOKUP(Calculator!E23,tbSkills!DH3:DI6,2,FALSE)+IF(AND(Calculator!B8=TRUE,Backdoors!BI18=TRUE),VLOOKUP(Calculator!E23,tbSkills!DH3:DJ6,3,FALSE),0),0))&gt;=100,100,(Backdoors!AI12+IF(DC52&gt;=0.45,VLOOKUP(Calculator!E23,tbSkills!DH3:DI6,2,FALSE)+IF(AND(Calculator!B8=TRUE,Backdoors!BI18=TRUE),VLOOKUP(Calculator!E23,tbSkills!DH3:DJ6,3,FALSE),0),0)))/100)),1),1)</f>
        <v>0.5</v>
      </c>
      <c r="DI52" s="87">
        <f t="shared" si="9"/>
        <v>0</v>
      </c>
      <c r="DJ52" s="86" t="str">
        <f>IFERROR(IF(VLOOKUP(A52,tbMoveset!A2:B112,2,FALSE)="Sever",Backdoors!AY19/100,IF(VLOOKUP(A52,tbMoveset!A2:B112,2,FALSE)="Blunt",Backdoors!AZ19/100,Backdoors!BA19/100)),"")</f>
        <v/>
      </c>
      <c r="DK52" s="49">
        <f>IFERROR(IF(VLOOKUP(tbMoveset!A52,tbMoveset!A2:H112,8,FALSE)="Other",IF(VLOOKUP(tbMoveset!A52,tbMoveset!A2:I112,9,FALSE)="Fire",Backdoors!BB19,IF(VLOOKUP(tbMoveset!A52,tbMoveset!A2:I112,9,FALSE)="Water",Backdoors!BC19,IF(VLOOKUP(tbMoveset!A52,tbMoveset!A2:I112,9,FALSE)="Thunder",Backdoors!BD19,IF(VLOOKUP(tbMoveset!A52,tbMoveset!A2:I112,9,FALSE)="Ice",Backdoors!BE19,IF(VLOOKUP(tbMoveset!A52,tbMoveset!A2:I112,9,FALSE)="Dragon",Backdoors!BF19,Backdoors!BG19)))))/100,Backdoors!BG19/100),"")</f>
        <v>0</v>
      </c>
      <c r="DL52" s="49">
        <f>IFERROR(IF(VLOOKUP(A52,tbMoveset!A2:J112,10,FALSE)=TRUE,IF((Backdoors!AI12+IF(DJ52&gt;=0.45,VLOOKUP(Calculator!E23,tbSkills!DH3:DI6,2,FALSE)+IF(AND(Calculator!B8=TRUE,Backdoors!BI19=TRUE),VLOOKUP(Calculator!E23,tbSkills!DH3:DJ6,3,FALSE),0),0))&gt;=0,1+(Backdoors!AL2*(IF((Backdoors!AI12+IF(DJ52&gt;=0.45,VLOOKUP(Calculator!E23,tbSkills!DH3:DI6,2,FALSE)+IF(AND(Calculator!B8=TRUE,Backdoors!BI19=TRUE),VLOOKUP(Calculator!E23,tbSkills!DH3:DJ6,3,FALSE),0),0))&gt;=100,100,(Backdoors!AI12+IF(DJ52&gt;=0.45,VLOOKUP(Calculator!E23,tbSkills!DH3:DI6,2,FALSE)+IF(AND(Calculator!B8=TRUE,Backdoors!BI19=TRUE),VLOOKUP(Calculator!E23,tbSkills!DH3:DJ6,3,FALSE),0),0)))/100)),(1-(0.25*((-Backdoors!AI12-IF(DJ52&gt;=0.45,VLOOKUP(Calculator!E23,tbSkills!DH3:DI6,2,FALSE)+IF(AND(Calculator!B8=TRUE,Backdoors!BI19=TRUE),VLOOKUP(Calculator!E23,tbSkills!DH3:DJ6,3,FALSE),0),0))/100)))),1),"")</f>
        <v>1</v>
      </c>
      <c r="DM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J52)*DL52)*(VLOOKUP(A52,tbMoveset!A2:C112,3,FALSE)/100)*IF(VLOOKUP(A52,tbMoveset!A2:B112,2,FALSE)="Projectile",Backdoors!N10,Backdoors!N9),0),"")</f>
        <v/>
      </c>
      <c r="DN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J52&gt;=0.45,VLOOKUP(Calculator!E23,tbSkills!DH3:DI6,2,FALSE)+IF(AND(Calculator!B8=TRUE,Backdoors!BI19=TRUE),VLOOKUP(Calculator!E23,tbSkills!DH3:DJ6,3,FALSE),0),0))&gt;=100,100,(Backdoors!AI12+IF(DJ52&gt;=0.45,VLOOKUP(Calculator!E23,tbSkills!DH3:DI6,2,FALSE)+IF(AND(Calculator!B8=TRUE,Backdoors!BI19=TRUE),VLOOKUP(Calculator!E23,tbSkills!DH3:DJ6,3,FALSE),0),0)))/100)),1))*IF(VLOOKUP(A52,tbMoveset!A2:K112,11,FALSE)=TRUE,Backdoors!AC5,1))*DK52,0),"")</f>
        <v>0</v>
      </c>
      <c r="DO52" s="49">
        <f>VLOOKUP(A52,tbMoveset!A2:G112,7,FALSE)*IFERROR(IF(Backdoors!AI12&gt;=0,1+(IF(Calculator!E40&gt;0,VLOOKUP(Calculator!E40,tbSkills!AI3:AJ5,2,FALSE),Backdoors!AL4)*(IF((Backdoors!AI12+IF(DJ52&gt;=0.45,VLOOKUP(Calculator!E23,tbSkills!DH3:DI6,2,FALSE)+IF(AND(Calculator!B8=TRUE,Backdoors!BI19=TRUE),VLOOKUP(Calculator!E23,tbSkills!DH3:DJ6,3,FALSE),0),0))&gt;=100,100,(Backdoors!AI12+IF(DJ52&gt;=0.45,VLOOKUP(Calculator!E23,tbSkills!DH3:DI6,2,FALSE)+IF(AND(Calculator!B8=TRUE,Backdoors!BI19=TRUE),VLOOKUP(Calculator!E23,tbSkills!DH3:DJ6,3,FALSE),0),0)))/100)),1),1)</f>
        <v>0.5</v>
      </c>
      <c r="DP52" s="87">
        <f t="shared" si="41"/>
        <v>0</v>
      </c>
      <c r="DQ52" s="86" t="str">
        <f>IFERROR(IF(VLOOKUP(A52,tbMoveset!A2:B112,2,FALSE)="Sever",Backdoors!AY20/100,IF(VLOOKUP(A52,tbMoveset!A2:B112,2,FALSE)="Blunt",Backdoors!AZ20/100,Backdoors!BA20/100)),"")</f>
        <v/>
      </c>
      <c r="DR52" s="49">
        <f>IFERROR(IF(VLOOKUP(tbMoveset!A52,tbMoveset!A2:H112,8,FALSE)="Other",IF(VLOOKUP(tbMoveset!A52,tbMoveset!A2:I112,9,FALSE)="Fire",Backdoors!BB20,IF(VLOOKUP(tbMoveset!A52,tbMoveset!A2:I112,9,FALSE)="Water",Backdoors!BC20,IF(VLOOKUP(tbMoveset!A52,tbMoveset!A2:I112,9,FALSE)="Thunder",Backdoors!BD20,IF(VLOOKUP(tbMoveset!A52,tbMoveset!A2:I112,9,FALSE)="Ice",Backdoors!BE20,IF(VLOOKUP(tbMoveset!A52,tbMoveset!A2:I112,9,FALSE)="Dragon",Backdoors!BF20,Backdoors!BG20)))))/100,Backdoors!BG20/100),"")</f>
        <v>0</v>
      </c>
      <c r="DS52" s="49">
        <f>IFERROR(IF(VLOOKUP(A52,tbMoveset!A2:J112,10,FALSE)=TRUE,IF((Backdoors!AI12+IF(DQ52&gt;=0.45,VLOOKUP(Calculator!E23,tbSkills!DH3:DI6,2,FALSE)+IF(AND(Calculator!B8=TRUE,Backdoors!BI20=TRUE),VLOOKUP(Calculator!E23,tbSkills!DH3:DJ6,3,FALSE),0),0))&gt;=0,1+(Backdoors!AL2*(IF((Backdoors!AI12+IF(DQ52&gt;=0.45,VLOOKUP(Calculator!E23,tbSkills!DH3:DI6,2,FALSE)+IF(AND(Calculator!B8=TRUE,Backdoors!BI20=TRUE),VLOOKUP(Calculator!E23,tbSkills!DH3:DJ6,3,FALSE),0),0))&gt;=100,100,(Backdoors!AI12+IF(DQ52&gt;=0.45,VLOOKUP(Calculator!E23,tbSkills!DH3:DI6,2,FALSE)+IF(AND(Calculator!B8=TRUE,Backdoors!BI20=TRUE),VLOOKUP(Calculator!E23,tbSkills!DH3:DJ6,3,FALSE),0),0)))/100)),(1-(0.25*((-Backdoors!AI12-IF(DQ52&gt;=0.45,VLOOKUP(Calculator!E23,tbSkills!DH3:DI6,2,FALSE)+IF(AND(Calculator!B8=TRUE,Backdoors!BI20=TRUE),VLOOKUP(Calculator!E23,tbSkills!DH3:DJ6,3,FALSE),0),0))/100)))),1),"")</f>
        <v>1</v>
      </c>
      <c r="DT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Q52)*DS52)*(VLOOKUP(A52,tbMoveset!A2:C112,3,FALSE)/100)*IF(VLOOKUP(A52,tbMoveset!A2:B112,2,FALSE)="Projectile",Backdoors!N10,Backdoors!N9),0),"")</f>
        <v/>
      </c>
      <c r="DU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Q52&gt;=0.45,VLOOKUP(Calculator!E23,tbSkills!DH3:DI6,2,FALSE)+IF(AND(Calculator!B8=TRUE,Backdoors!BI20=TRUE),VLOOKUP(Calculator!E23,tbSkills!DH3:DJ6,3,FALSE),0),0))&gt;=100,100,(Backdoors!AI12+IF(DQ52&gt;=0.45,VLOOKUP(Calculator!E23,tbSkills!DH3:DI6,2,FALSE)+IF(AND(Calculator!B8=TRUE,Backdoors!BI20=TRUE),VLOOKUP(Calculator!E23,tbSkills!DH3:DJ6,3,FALSE),0),0)))/100)),1))*IF(VLOOKUP(A52,tbMoveset!A2:K112,11,FALSE)=TRUE,Backdoors!AC5,1))*DR52,0),"")</f>
        <v>0</v>
      </c>
      <c r="DV52" s="49">
        <f>VLOOKUP(A52,tbMoveset!A2:G112,7,FALSE)*IFERROR(IF(Backdoors!AI12&gt;=0,1+(IF(Calculator!E40&gt;0,VLOOKUP(Calculator!E40,tbSkills!AI3:AJ5,2,FALSE),Backdoors!AL4)*(IF((Backdoors!AI12+IF(DQ52&gt;=0.45,VLOOKUP(Calculator!E23,tbSkills!DH3:DI6,2,FALSE)+IF(AND(Calculator!B8=TRUE,Backdoors!BI20=TRUE),VLOOKUP(Calculator!E23,tbSkills!DH3:DJ6,3,FALSE),0),0))&gt;=100,100,(Backdoors!AI12+IF(DQ52&gt;=0.45,VLOOKUP(Calculator!E23,tbSkills!DH3:DI6,2,FALSE)+IF(AND(Calculator!B8=TRUE,Backdoors!BI20=TRUE),VLOOKUP(Calculator!E23,tbSkills!DH3:DJ6,3,FALSE),0),0)))/100)),1),1)</f>
        <v>0.5</v>
      </c>
      <c r="DW52" s="87">
        <f t="shared" si="10"/>
        <v>0</v>
      </c>
      <c r="DX52" s="86" t="str">
        <f>IFERROR(IF(VLOOKUP(A52,tbMoveset!A2:B112,2,FALSE)="Sever",Backdoors!AY21/100,IF(VLOOKUP(A52,tbMoveset!A2:B112,2,FALSE)="Blunt",Backdoors!AZ21/100,Backdoors!BA21/100)),"")</f>
        <v/>
      </c>
      <c r="DY52" s="49">
        <f>IFERROR(IF(VLOOKUP(tbMoveset!A52,tbMoveset!A2:H112,8,FALSE)="Other",IF(VLOOKUP(tbMoveset!A52,tbMoveset!A2:I112,9,FALSE)="Fire",Backdoors!BB21,IF(VLOOKUP(tbMoveset!A52,tbMoveset!A2:I112,9,FALSE)="Water",Backdoors!BC21,IF(VLOOKUP(tbMoveset!A52,tbMoveset!A2:I112,9,FALSE)="Thunder",Backdoors!BD21,IF(VLOOKUP(tbMoveset!A52,tbMoveset!A2:I112,9,FALSE)="Ice",Backdoors!BE21,IF(VLOOKUP(tbMoveset!A52,tbMoveset!A2:I112,9,FALSE)="Dragon",Backdoors!BF21,Backdoors!BG21)))))/100,Backdoors!BG21/100),"")</f>
        <v>0</v>
      </c>
      <c r="DZ52" s="49">
        <f>IFERROR(IF(VLOOKUP(A52,tbMoveset!A2:J112,10,FALSE)=TRUE,IF((Backdoors!AI12+IF(DX52&gt;=0.45,VLOOKUP(Calculator!E23,tbSkills!DH3:DI6,2,FALSE)+IF(AND(Calculator!B8=TRUE,Backdoors!BI21=TRUE),VLOOKUP(Calculator!E23,tbSkills!DH3:DJ6,3,FALSE),0),0))&gt;=0,1+(Backdoors!AL2*(IF((Backdoors!AI12+IF(DX52&gt;=0.45,VLOOKUP(Calculator!E23,tbSkills!DH3:DI6,2,FALSE)+IF(AND(Calculator!B8=TRUE,Backdoors!BI21=TRUE),VLOOKUP(Calculator!E23,tbSkills!DH3:DJ6,3,FALSE),0),0))&gt;=100,100,(Backdoors!AI12+IF(DX52&gt;=0.45,VLOOKUP(Calculator!E23,tbSkills!DH3:DI6,2,FALSE)+IF(AND(Calculator!B8=TRUE,Backdoors!BI21=TRUE),VLOOKUP(Calculator!E23,tbSkills!DH3:DJ6,3,FALSE),0),0)))/100)),(1-(0.25*((-Backdoors!AI12-IF(DX52&gt;=0.45,VLOOKUP(Calculator!E23,tbSkills!DH3:DI6,2,FALSE)+IF(AND(Calculator!B8=TRUE,Backdoors!BI21=TRUE),VLOOKUP(Calculator!E23,tbSkills!DH3:DJ6,3,FALSE),0),0))/100)))),1),"")</f>
        <v>1</v>
      </c>
      <c r="EA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X52)*DZ52)*(VLOOKUP(A52,tbMoveset!A2:C112,3,FALSE)/100)*IF(VLOOKUP(A52,tbMoveset!A2:B112,2,FALSE)="Projectile",Backdoors!N10,Backdoors!N9),0),"")</f>
        <v/>
      </c>
      <c r="EB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X52&gt;=0.45,VLOOKUP(Calculator!E23,tbSkills!DH3:DI6,2,FALSE)+IF(AND(Calculator!B8=TRUE,Backdoors!BI21=TRUE),VLOOKUP(Calculator!E23,tbSkills!DH3:DJ6,3,FALSE),0),0))&gt;=100,100,(Backdoors!AI12+IF(DX52&gt;=0.45,VLOOKUP(Calculator!E23,tbSkills!DH3:DI6,2,FALSE)+IF(AND(Calculator!B8=TRUE,Backdoors!BI21=TRUE),VLOOKUP(Calculator!E23,tbSkills!DH3:DJ6,3,FALSE),0),0)))/100)),1))*IF(VLOOKUP(A52,tbMoveset!A2:K112,11,FALSE)=TRUE,Backdoors!AC5,1))*DY52,0),"")</f>
        <v>0</v>
      </c>
      <c r="EC52" s="49">
        <f>VLOOKUP(A52,tbMoveset!A2:G112,7,FALSE)*IFERROR(IF(Backdoors!AI12&gt;=0,1+(IF(Calculator!E40&gt;0,VLOOKUP(Calculator!E40,tbSkills!AI3:AJ5,2,FALSE),Backdoors!AL4)*(IF((Backdoors!AI12+IF(DX52&gt;=0.45,VLOOKUP(Calculator!E23,tbSkills!DH3:DI6,2,FALSE)+IF(AND(Calculator!B8=TRUE,Backdoors!BI21=TRUE),VLOOKUP(Calculator!E23,tbSkills!DH3:DJ6,3,FALSE),0),0))&gt;=100,100,(Backdoors!AI12+IF(DX52&gt;=0.45,VLOOKUP(Calculator!E23,tbSkills!DH3:DI6,2,FALSE)+IF(AND(Calculator!B8=TRUE,Backdoors!BI21=TRUE),VLOOKUP(Calculator!E23,tbSkills!DH3:DJ6,3,FALSE),0),0)))/100)),1),1)</f>
        <v>0.5</v>
      </c>
      <c r="ED52" s="87">
        <f t="shared" si="11"/>
        <v>0</v>
      </c>
      <c r="EE52" s="86" t="str">
        <f>IFERROR(IF(VLOOKUP(A52,tbMoveset!A2:B112,2,FALSE)="Sever",Backdoors!AY22/100,IF(VLOOKUP(A52,tbMoveset!A2:B112,2,FALSE)="Blunt",Backdoors!AZ22/100,Backdoors!BA22/100)),"")</f>
        <v/>
      </c>
      <c r="EF52" s="49">
        <f>IFERROR(IF(VLOOKUP(tbMoveset!A52,tbMoveset!A2:H112,8,FALSE)="Other",IF(VLOOKUP(tbMoveset!A52,tbMoveset!A2:I112,9,FALSE)="Fire",Backdoors!BB22,IF(VLOOKUP(tbMoveset!A52,tbMoveset!A2:I112,9,FALSE)="Water",Backdoors!BC22,IF(VLOOKUP(tbMoveset!A52,tbMoveset!A2:I112,9,FALSE)="Thunder",Backdoors!BD22,IF(VLOOKUP(tbMoveset!A52,tbMoveset!A2:I112,9,FALSE)="Ice",Backdoors!BE22,IF(VLOOKUP(tbMoveset!A52,tbMoveset!A2:I112,9,FALSE)="Dragon",Backdoors!BF22,Backdoors!BG22)))))/100,Backdoors!BG22/100),"")</f>
        <v>0</v>
      </c>
      <c r="EG52" s="49">
        <f>IFERROR(IF(VLOOKUP(A52,tbMoveset!A2:J112,10,FALSE)=TRUE,IF((Backdoors!AI12+IF(EE52&gt;=0.45,VLOOKUP(Calculator!E23,tbSkills!DH3:DI6,2,FALSE)+IF(AND(Calculator!B8=TRUE,Backdoors!BI22=TRUE),VLOOKUP(Calculator!E23,tbSkills!DH3:DJ6,3,FALSE),0),0))&gt;=0,1+(Backdoors!AL2*(IF((Backdoors!AI12+IF(EE52&gt;=0.45,VLOOKUP(Calculator!E23,tbSkills!DH3:DI6,2,FALSE)+IF(AND(Calculator!B8=TRUE,Backdoors!BI22=TRUE),VLOOKUP(Calculator!E23,tbSkills!DH3:DJ6,3,FALSE),0),0))&gt;=100,100,(Backdoors!AI12+IF(EE52&gt;=0.45,VLOOKUP(Calculator!E23,tbSkills!DH3:DI6,2,FALSE)+IF(AND(Calculator!B8=TRUE,Backdoors!BI22=TRUE),VLOOKUP(Calculator!E23,tbSkills!DH3:DJ6,3,FALSE),0),0)))/100)),(1-(0.25*((-Backdoors!AI12-IF(EE52&gt;=0.45,VLOOKUP(Calculator!E23,tbSkills!DH3:DI6,2,FALSE)+IF(AND(Calculator!B8=TRUE,Backdoors!BI22=TRUE),VLOOKUP(Calculator!E23,tbSkills!DH3:DJ6,3,FALSE),0),0))/100)))),1),"")</f>
        <v>1</v>
      </c>
      <c r="EH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E52)*EG52)*(VLOOKUP(A52,tbMoveset!A2:C112,3,FALSE)/100)*IF(VLOOKUP(A52,tbMoveset!A2:B112,2,FALSE)="Projectile",Backdoors!N10,Backdoors!N9),0),"")</f>
        <v/>
      </c>
      <c r="EI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E52&gt;=0.45,VLOOKUP(Calculator!E23,tbSkills!DH3:DI6,2,FALSE)+IF(AND(Calculator!B8=TRUE,Backdoors!BI22=TRUE),VLOOKUP(Calculator!E23,tbSkills!DH3:DJ6,3,FALSE),0),0))&gt;=100,100,(Backdoors!AI12+IF(EE52&gt;=0.45,VLOOKUP(Calculator!E23,tbSkills!DH3:DI6,2,FALSE)+IF(AND(Calculator!B8=TRUE,Backdoors!BI22=TRUE),VLOOKUP(Calculator!E23,tbSkills!DH3:DJ6,3,FALSE),0),0)))/100)),1))*IF(VLOOKUP(A52,tbMoveset!A2:K112,11,FALSE)=TRUE,Backdoors!AC5,1))*EF52,0),"")</f>
        <v>0</v>
      </c>
      <c r="EJ52" s="49">
        <f>VLOOKUP(A52,tbMoveset!A2:G112,7,FALSE)*IFERROR(IF(Backdoors!AI12&gt;=0,1+(IF(Calculator!E40&gt;0,VLOOKUP(Calculator!E40,tbSkills!AI3:AJ5,2,FALSE),Backdoors!AL4)*(IF((Backdoors!AI12+IF(EE52&gt;=0.45,VLOOKUP(Calculator!E23,tbSkills!DH3:DI6,2,FALSE)+IF(AND(Calculator!B8=TRUE,Backdoors!BI22=TRUE),VLOOKUP(Calculator!E23,tbSkills!DH3:DJ6,3,FALSE),0),0))&gt;=100,100,(Backdoors!AI12+IF(EE52&gt;=0.45,VLOOKUP(Calculator!E23,tbSkills!DH3:DI6,2,FALSE)+IF(AND(Calculator!B8=TRUE,Backdoors!BI22=TRUE),VLOOKUP(Calculator!E23,tbSkills!DH3:DJ6,3,FALSE),0),0)))/100)),1),1)</f>
        <v>0.5</v>
      </c>
      <c r="EK52" s="87">
        <f t="shared" si="12"/>
        <v>0</v>
      </c>
      <c r="EL52" s="86" t="str">
        <f>IFERROR(IF(VLOOKUP(A52,tbMoveset!A2:B112,2,FALSE)="Sever",Backdoors!AY23/100,IF(VLOOKUP(A52,tbMoveset!A2:B112,2,FALSE)="Blunt",Backdoors!AZ23/100,Backdoors!BA23/100)),"")</f>
        <v/>
      </c>
      <c r="EM52" s="49">
        <f>IFERROR(IF(VLOOKUP(tbMoveset!A52,tbMoveset!A2:H112,8,FALSE)="Other",IF(VLOOKUP(tbMoveset!A52,tbMoveset!A2:I112,9,FALSE)="Fire",Backdoors!BB23,IF(VLOOKUP(tbMoveset!A52,tbMoveset!A2:I112,9,FALSE)="Water",Backdoors!BC23,IF(VLOOKUP(tbMoveset!A52,tbMoveset!A2:I112,9,FALSE)="Thunder",Backdoors!BD23,IF(VLOOKUP(tbMoveset!A52,tbMoveset!A2:I112,9,FALSE)="Ice",Backdoors!BE23,IF(VLOOKUP(tbMoveset!A52,tbMoveset!A2:I112,9,FALSE)="Dragon",Backdoors!BF23,Backdoors!BG23)))))/100,Backdoors!BG23/100),"")</f>
        <v>0</v>
      </c>
      <c r="EN52" s="49">
        <f>IFERROR(IF(VLOOKUP(A52,tbMoveset!A2:J112,10,FALSE)=TRUE,IF((Backdoors!AI12+IF(EL52&gt;=0.45,VLOOKUP(Calculator!E23,tbSkills!DH3:DI6,2,FALSE)+IF(AND(Calculator!B8=TRUE,Backdoors!BI23=TRUE),VLOOKUP(Calculator!E23,tbSkills!DH3:DJ6,3,FALSE),0),0))&gt;=0,1+(Backdoors!AL2*(IF((Backdoors!AI12+IF(EL52&gt;=0.45,VLOOKUP(Calculator!E23,tbSkills!DH3:DI6,2,FALSE)+IF(AND(Calculator!B8=TRUE,Backdoors!BI23=TRUE),VLOOKUP(Calculator!E23,tbSkills!DH3:DJ6,3,FALSE),0),0))&gt;=100,100,(Backdoors!AI12+IF(EL52&gt;=0.45,VLOOKUP(Calculator!E23,tbSkills!DH3:DI6,2,FALSE)+IF(AND(Calculator!B8=TRUE,Backdoors!BI23=TRUE),VLOOKUP(Calculator!E23,tbSkills!DH3:DJ6,3,FALSE),0),0)))/100)),(1-(0.25*((-Backdoors!AI12-IF(EL52&gt;=0.45,VLOOKUP(Calculator!E23,tbSkills!DH3:DI6,2,FALSE)+IF(AND(Calculator!B8=TRUE,Backdoors!BI23=TRUE),VLOOKUP(Calculator!E23,tbSkills!DH3:DJ6,3,FALSE),0),0))/100)))),1),"")</f>
        <v>1</v>
      </c>
      <c r="EO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L52)*EN52)*(VLOOKUP(A52,tbMoveset!A2:C112,3,FALSE)/100)*IF(VLOOKUP(A52,tbMoveset!A2:B112,2,FALSE)="Projectile",Backdoors!N10,Backdoors!N9),0),"")</f>
        <v/>
      </c>
      <c r="EP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L52&gt;=0.45,VLOOKUP(Calculator!E23,tbSkills!DH3:DI6,2,FALSE)+IF(AND(Calculator!B8=TRUE,Backdoors!BI23=TRUE),VLOOKUP(Calculator!E23,tbSkills!DH3:DJ6,3,FALSE),0),0))&gt;=100,100,(Backdoors!AI12+IF(EL52&gt;=0.45,VLOOKUP(Calculator!E23,tbSkills!DH3:DI6,2,FALSE)+IF(AND(Calculator!B8=TRUE,Backdoors!BI23=TRUE),VLOOKUP(Calculator!E23,tbSkills!DH3:DJ6,3,FALSE),0),0)))/100)),1))*IF(VLOOKUP(A52,tbMoveset!A2:K112,11,FALSE)=TRUE,Backdoors!AC5,1))*EM52,0),"")</f>
        <v>0</v>
      </c>
      <c r="EQ52" s="49">
        <f>VLOOKUP(A52,tbMoveset!A2:G112,7,FALSE)*IFERROR(IF(Backdoors!AI12&gt;=0,1+(IF(Calculator!E40&gt;0,VLOOKUP(Calculator!E40,tbSkills!AI3:AJ5,2,FALSE),Backdoors!AL4)*(IF((Backdoors!AI12+IF(EL52&gt;=0.45,VLOOKUP(Calculator!E23,tbSkills!DH3:DI6,2,FALSE)+IF(AND(Calculator!B8=TRUE,Backdoors!BI23=TRUE),VLOOKUP(Calculator!E23,tbSkills!DH3:DJ6,3,FALSE),0),0))&gt;=100,100,(Backdoors!AI12+IF(EL52&gt;=0.45,VLOOKUP(Calculator!E23,tbSkills!DH3:DI6,2,FALSE)+IF(AND(Calculator!B8=TRUE,Backdoors!BI23=TRUE),VLOOKUP(Calculator!E23,tbSkills!DH3:DJ6,3,FALSE),0),0)))/100)),1),1)</f>
        <v>0.5</v>
      </c>
      <c r="ER52" s="87">
        <f t="shared" si="13"/>
        <v>0</v>
      </c>
      <c r="ES52" s="86" t="str">
        <f>IFERROR(IF(VLOOKUP(A52,tbMoveset!A2:B112,2,FALSE)="Sever",Backdoors!AY24/100,IF(VLOOKUP(A52,tbMoveset!A2:B112,2,FALSE)="Blunt",Backdoors!AZ24/100,Backdoors!BA24/100)),"")</f>
        <v/>
      </c>
      <c r="ET52" s="49">
        <f>IFERROR(IF(VLOOKUP(tbMoveset!A52,tbMoveset!A2:H112,8,FALSE)="Other",IF(VLOOKUP(tbMoveset!A52,tbMoveset!A2:I112,9,FALSE)="Fire",Backdoors!BB24,IF(VLOOKUP(tbMoveset!A52,tbMoveset!A2:I112,9,FALSE)="Water",Backdoors!BC24,IF(VLOOKUP(tbMoveset!A52,tbMoveset!A2:I112,9,FALSE)="Thunder",Backdoors!BD24,IF(VLOOKUP(tbMoveset!A52,tbMoveset!A2:I112,9,FALSE)="Ice",Backdoors!BE24,IF(VLOOKUP(tbMoveset!A52,tbMoveset!A2:I112,9,FALSE)="Dragon",Backdoors!BF24,Backdoors!BG24)))))/100,Backdoors!BG24/100),"")</f>
        <v>0</v>
      </c>
      <c r="EU52" s="49">
        <f>IFERROR(IF(VLOOKUP(A52,tbMoveset!A2:J112,10,FALSE)=TRUE,IF((Backdoors!AI12+IF(ES52&gt;=0.45,VLOOKUP(Calculator!E23,tbSkills!DH3:DI6,2,FALSE)+IF(AND(Calculator!B8=TRUE,Backdoors!BI24=TRUE),VLOOKUP(Calculator!E23,tbSkills!DH3:DJ6,3,FALSE),0),0))&gt;=0,1+(Backdoors!AL2*(IF((Backdoors!AI12+IF(ES52&gt;=0.45,VLOOKUP(Calculator!E23,tbSkills!DH3:DI6,2,FALSE)+IF(AND(Calculator!B8=TRUE,Backdoors!BI24=TRUE),VLOOKUP(Calculator!E23,tbSkills!DH3:DJ6,3,FALSE),0),0))&gt;=100,100,(Backdoors!AI12+IF(ES52&gt;=0.45,VLOOKUP(Calculator!E23,tbSkills!DH3:DI6,2,FALSE)+IF(AND(Calculator!B8=TRUE,Backdoors!BI24=TRUE),VLOOKUP(Calculator!E23,tbSkills!DH3:DJ6,3,FALSE),0),0)))/100)),(1-(0.25*((-Backdoors!AI12-IF(ES52&gt;=0.45,VLOOKUP(Calculator!E23,tbSkills!DH3:DI6,2,FALSE)+IF(AND(Calculator!B8=TRUE,Backdoors!BI24=TRUE),VLOOKUP(Calculator!E23,tbSkills!DH3:DJ6,3,FALSE),0),0))/100)))),1),"")</f>
        <v>1</v>
      </c>
      <c r="EV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S52)*EU52)*(VLOOKUP(A52,tbMoveset!A2:C112,3,FALSE)/100)*IF(VLOOKUP(A52,tbMoveset!A2:B112,2,FALSE)="Projectile",Backdoors!N10,Backdoors!N9),0),"")</f>
        <v/>
      </c>
      <c r="EW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S52&gt;=0.45,VLOOKUP(Calculator!E23,tbSkills!DH3:DI6,2,FALSE)+IF(AND(Calculator!B8=TRUE,Backdoors!BI24=TRUE),VLOOKUP(Calculator!E23,tbSkills!DH3:DJ6,3,FALSE),0),0))&gt;=100,100,(Backdoors!AI12+IF(ES52&gt;=0.45,VLOOKUP(Calculator!E23,tbSkills!DH3:DI6,2,FALSE)+IF(AND(Calculator!B8=TRUE,Backdoors!BI24=TRUE),VLOOKUP(Calculator!E23,tbSkills!DH3:DJ6,3,FALSE),0),0)))/100)),1))*IF(VLOOKUP(A52,tbMoveset!A2:K112,11,FALSE)=TRUE,Backdoors!AC5,1))*ET52,0),"")</f>
        <v>0</v>
      </c>
      <c r="EX52" s="49">
        <f>VLOOKUP(A52,tbMoveset!A2:G112,7,FALSE)*IFERROR(IF(Backdoors!AI12&gt;=0,1+(IF(Calculator!E40&gt;0,VLOOKUP(Calculator!E40,tbSkills!AI3:AJ5,2,FALSE),Backdoors!AL4)*(IF((Backdoors!AI12+IF(ES52&gt;=0.45,VLOOKUP(Calculator!E23,tbSkills!DH3:DI6,2,FALSE)+IF(AND(Calculator!B8=TRUE,Backdoors!BI24=TRUE),VLOOKUP(Calculator!E23,tbSkills!DH3:DJ6,3,FALSE),0),0))&gt;=100,100,(Backdoors!AI12+IF(ES52&gt;=0.45,VLOOKUP(Calculator!E23,tbSkills!DH3:DI6,2,FALSE)+IF(AND(Calculator!B8=TRUE,Backdoors!BI24=TRUE),VLOOKUP(Calculator!E23,tbSkills!DH3:DJ6,3,FALSE),0),0)))/100)),1),1)</f>
        <v>0.5</v>
      </c>
      <c r="EY52" s="87">
        <f t="shared" si="14"/>
        <v>0</v>
      </c>
      <c r="EZ52" s="86" t="str">
        <f>IFERROR(IF(VLOOKUP(A52,tbMoveset!A2:B112,2,FALSE)="Sever",Backdoors!AY25/100,IF(VLOOKUP(A52,tbMoveset!A2:B112,2,FALSE)="Blunt",Backdoors!AZ25/100,Backdoors!BA25/100)),"")</f>
        <v/>
      </c>
      <c r="FA52" s="49">
        <f>IFERROR(IF(VLOOKUP(tbMoveset!A52,tbMoveset!A2:H112,8,FALSE)="Other",IF(VLOOKUP(tbMoveset!A52,tbMoveset!A2:I112,9,FALSE)="Fire",Backdoors!BB25,IF(VLOOKUP(tbMoveset!A52,tbMoveset!A2:I112,9,FALSE)="Water",Backdoors!BC25,IF(VLOOKUP(tbMoveset!A52,tbMoveset!A2:I112,9,FALSE)="Thunder",Backdoors!BD25,IF(VLOOKUP(tbMoveset!A52,tbMoveset!A2:I112,9,FALSE)="Ice",Backdoors!BE25,IF(VLOOKUP(tbMoveset!A52,tbMoveset!A2:I112,9,FALSE)="Dragon",Backdoors!BF25,Backdoors!BG25)))))/100,Backdoors!BG25/100),"")</f>
        <v>0</v>
      </c>
      <c r="FB52" s="49">
        <f>IFERROR(IF(VLOOKUP(A52,tbMoveset!A2:J112,10,FALSE)=TRUE,IF((Backdoors!AI12+IF(EZ52&gt;=0.45,VLOOKUP(Calculator!E23,tbSkills!DH3:DI6,2,FALSE)+IF(AND(Calculator!B8=TRUE,Backdoors!BI25=TRUE),VLOOKUP(Calculator!E23,tbSkills!DH3:DJ6,3,FALSE),0),0))&gt;=0,1+(Backdoors!AL2*(IF((Backdoors!AI12+IF(EZ52&gt;=0.45,VLOOKUP(Calculator!E23,tbSkills!DH3:DI6,2,FALSE)+IF(AND(Calculator!B8=TRUE,Backdoors!BI25=TRUE),VLOOKUP(Calculator!E23,tbSkills!DH3:DJ6,3,FALSE),0),0))&gt;=100,100,(Backdoors!AI12+IF(EZ52&gt;=0.45,VLOOKUP(Calculator!E23,tbSkills!DH3:DI6,2,FALSE)+IF(AND(Calculator!B8=TRUE,Backdoors!BI25=TRUE),VLOOKUP(Calculator!E23,tbSkills!DH3:DJ6,3,FALSE),0),0)))/100)),(1-(0.25*((-Backdoors!AI12-IF(EZ52&gt;=0.45,VLOOKUP(Calculator!E23,tbSkills!DH3:DI6,2,FALSE)+IF(AND(Calculator!B8=TRUE,Backdoors!BI25=TRUE),VLOOKUP(Calculator!E23,tbSkills!DH3:DJ6,3,FALSE),0),0))/100)))),1),"")</f>
        <v>1</v>
      </c>
      <c r="FC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Z52)*FB52)*(VLOOKUP(A52,tbMoveset!A2:C112,3,FALSE)/100)*IF(VLOOKUP(A52,tbMoveset!A2:B112,2,FALSE)="Projectile",Backdoors!N10,Backdoors!N9),0),"")</f>
        <v/>
      </c>
      <c r="FD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Z52&gt;=0.45,VLOOKUP(Calculator!E23,tbSkills!DH3:DI6,2,FALSE)+IF(AND(Calculator!B8=TRUE,Backdoors!BI25=TRUE),VLOOKUP(Calculator!E23,tbSkills!DH3:DJ6,3,FALSE),0),0))&gt;=100,100,(Backdoors!AI12+IF(EZ52&gt;=0.45,VLOOKUP(Calculator!E23,tbSkills!DH3:DI6,2,FALSE)+IF(AND(Calculator!B8=TRUE,Backdoors!BI25=TRUE),VLOOKUP(Calculator!E23,tbSkills!DH3:DJ6,3,FALSE),0),0)))/100)),1))*IF(VLOOKUP(A52,tbMoveset!A2:K112,11,FALSE)=TRUE,Backdoors!AC5,1))*FA52,0),"")</f>
        <v>0</v>
      </c>
      <c r="FE52" s="49">
        <f>VLOOKUP(A52,tbMoveset!A2:G112,7,FALSE)*IFERROR(IF(Backdoors!AI12&gt;=0,1+(IF(Calculator!E40&gt;0,VLOOKUP(Calculator!E40,tbSkills!AI3:AJ5,2,FALSE),Backdoors!AL4)*(IF((Backdoors!AI12+IF(EZ52&gt;=0.45,VLOOKUP(Calculator!E23,tbSkills!DH3:DI6,2,FALSE)+IF(AND(Calculator!B8=TRUE,Backdoors!BI25=TRUE),VLOOKUP(Calculator!E23,tbSkills!DH3:DJ6,3,FALSE),0),0))&gt;=100,100,(Backdoors!AI12+IF(EZ52&gt;=0.45,VLOOKUP(Calculator!E23,tbSkills!DH3:DI6,2,FALSE)+IF(AND(Calculator!B8=TRUE,Backdoors!BI25=TRUE),VLOOKUP(Calculator!E23,tbSkills!DH3:DJ6,3,FALSE),0),0)))/100)),1),1)</f>
        <v>0.5</v>
      </c>
      <c r="FF52" s="87">
        <f t="shared" si="15"/>
        <v>0</v>
      </c>
      <c r="FG52" s="86" t="str">
        <f>IFERROR(IF(VLOOKUP(A52,tbMoveset!A2:B112,2,FALSE)="Sever",Backdoors!AY26/100,IF(VLOOKUP(A52,tbMoveset!A2:B112,2,FALSE)="Blunt",Backdoors!AZ26/100,Backdoors!BA26/100)),"")</f>
        <v/>
      </c>
      <c r="FH52" s="49">
        <f>IFERROR(IF(VLOOKUP(tbMoveset!A52,tbMoveset!A2:H112,8,FALSE)="Other",IF(VLOOKUP(tbMoveset!A52,tbMoveset!A2:I112,9,FALSE)="Fire",Backdoors!BB26,IF(VLOOKUP(tbMoveset!A52,tbMoveset!A2:I112,9,FALSE)="Water",Backdoors!BC26,IF(VLOOKUP(tbMoveset!A52,tbMoveset!A2:I112,9,FALSE)="Thunder",Backdoors!BD26,IF(VLOOKUP(tbMoveset!A52,tbMoveset!A2:I112,9,FALSE)="Ice",Backdoors!BE26,IF(VLOOKUP(tbMoveset!A52,tbMoveset!A2:I112,9,FALSE)="Dragon",Backdoors!BF26,Backdoors!BG26)))))/100,Backdoors!BG26/100),"")</f>
        <v>0</v>
      </c>
      <c r="FI52" s="49">
        <f>IFERROR(IF(VLOOKUP(A52,tbMoveset!A2:J112,10,FALSE)=TRUE,IF((Backdoors!AI12+IF(FG52&gt;=0.45,VLOOKUP(Calculator!E23,tbSkills!DH3:DI6,2,FALSE)+IF(AND(Calculator!B8=TRUE,Backdoors!BI26=TRUE),VLOOKUP(Calculator!E23,tbSkills!DH3:DJ6,3,FALSE),0),0))&gt;=0,1+(Backdoors!AL2*(IF((Backdoors!AI12+IF(FG52&gt;=0.45,VLOOKUP(Calculator!E23,tbSkills!DH3:DI6,2,FALSE)+IF(AND(Calculator!B8=TRUE,Backdoors!BI26=TRUE),VLOOKUP(Calculator!E23,tbSkills!DH3:DJ6,3,FALSE),0),0))&gt;=100,100,(Backdoors!AI12+IF(FG52&gt;=0.45,VLOOKUP(Calculator!E23,tbSkills!DH3:DI6,2,FALSE)+IF(AND(Calculator!B8=TRUE,Backdoors!BI26=TRUE),VLOOKUP(Calculator!E23,tbSkills!DH3:DJ6,3,FALSE),0),0)))/100)),(1-(0.25*((-Backdoors!AI12-IF(FG52&gt;=0.45,VLOOKUP(Calculator!E23,tbSkills!DH3:DI6,2,FALSE)+IF(AND(Calculator!B8=TRUE,Backdoors!BI26=TRUE),VLOOKUP(Calculator!E23,tbSkills!DH3:DJ6,3,FALSE),0),0))/100)))),1),"")</f>
        <v>1</v>
      </c>
      <c r="FJ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FG52)*FI52)*(VLOOKUP(A52,tbMoveset!A2:C112,3,FALSE)/100)*IF(VLOOKUP(A52,tbMoveset!A2:B112,2,FALSE)="Projectile",Backdoors!N10,Backdoors!N9),0),"")</f>
        <v/>
      </c>
      <c r="FK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FG52&gt;=0.45,VLOOKUP(Calculator!E23,tbSkills!DH3:DI6,2,FALSE)+IF(AND(Calculator!B8=TRUE,Backdoors!BI26=TRUE),VLOOKUP(Calculator!E23,tbSkills!DH3:DJ6,3,FALSE),0),0))&gt;=100,100,(Backdoors!AI12+IF(FG52&gt;=0.45,VLOOKUP(Calculator!E23,tbSkills!DH3:DI6,2,FALSE)+IF(AND(Calculator!B8=TRUE,Backdoors!BI26=TRUE),VLOOKUP(Calculator!E23,tbSkills!DH3:DJ6,3,FALSE),0),0)))/100)),1))*IF(VLOOKUP(A52,tbMoveset!A2:K112,11,FALSE)=TRUE,Backdoors!AC5,1))*FH52,0),"")</f>
        <v>0</v>
      </c>
      <c r="FL52" s="49">
        <f>VLOOKUP(A52,tbMoveset!A2:G112,7,FALSE)*IFERROR(IF(Backdoors!AI12&gt;=0,1+(IF(Calculator!E40&gt;0,VLOOKUP(Calculator!E40,tbSkills!AI3:AJ5,2,FALSE),Backdoors!AL4)*(IF((Backdoors!AI12+IF(FG52&gt;=0.45,VLOOKUP(Calculator!E23,tbSkills!DH3:DI6,2,FALSE)+IF(AND(Calculator!B8=TRUE,Backdoors!BI26=TRUE),VLOOKUP(Calculator!E23,tbSkills!DH3:DJ6,3,FALSE),0),0))&gt;=100,100,(Backdoors!AI12+IF(FG52&gt;=0.45,VLOOKUP(Calculator!E23,tbSkills!DH3:DI6,2,FALSE)+IF(AND(Calculator!B8=TRUE,Backdoors!BI26=TRUE),VLOOKUP(Calculator!E23,tbSkills!DH3:DJ6,3,FALSE),0),0)))/100)),1),1)</f>
        <v>0.5</v>
      </c>
      <c r="FM52" s="87">
        <f t="shared" si="16"/>
        <v>0</v>
      </c>
      <c r="FN52" s="86" t="str">
        <f>IFERROR(IF(VLOOKUP(A52,tbMoveset!A2:B112,2,FALSE)="Sever",Backdoors!AY27/100,IF(VLOOKUP(A52,tbMoveset!A2:B112,2,FALSE)="Blunt",Backdoors!AZ27/100,Backdoors!BA27/100)),"")</f>
        <v/>
      </c>
      <c r="FO52" s="49">
        <f>IFERROR(IF(VLOOKUP(tbMoveset!A52,tbMoveset!A2:H112,8,FALSE)="Other",IF(VLOOKUP(tbMoveset!A52,tbMoveset!A2:I112,9,FALSE)="Fire",Backdoors!BB27,IF(VLOOKUP(tbMoveset!A52,tbMoveset!A2:I112,9,FALSE)="Water",Backdoors!BC27,IF(VLOOKUP(tbMoveset!A52,tbMoveset!A2:I112,9,FALSE)="Thunder",Backdoors!BD27,IF(VLOOKUP(tbMoveset!A52,tbMoveset!A2:I112,9,FALSE)="Ice",Backdoors!BE27,IF(VLOOKUP(tbMoveset!A52,tbMoveset!A2:I112,9,FALSE)="Dragon",Backdoors!BF27,Backdoors!BG27)))))/100,Backdoors!BG27/100),"")</f>
        <v>0</v>
      </c>
      <c r="FP52" s="49">
        <f>IFERROR(IF(VLOOKUP(A52,tbMoveset!A2:J112,10,FALSE)=TRUE,IF((Backdoors!AI12+IF(FN52&gt;=0.45,VLOOKUP(Calculator!E23,tbSkills!DH3:DI6,2,FALSE)+IF(AND(Calculator!B8=TRUE,Backdoors!BI27=TRUE),VLOOKUP(Calculator!E23,tbSkills!DH3:DJ6,3,FALSE),0),0))&gt;=0,1+(Backdoors!AL2*(IF((Backdoors!AI12+IF(FN52&gt;=0.45,VLOOKUP(Calculator!E23,tbSkills!DH3:DI6,2,FALSE)+IF(AND(Calculator!B8=TRUE,Backdoors!BI27=TRUE),VLOOKUP(Calculator!E23,tbSkills!DH3:DJ6,3,FALSE),0),0))&gt;=100,100,(Backdoors!AI12+IF(FN52&gt;=0.45,VLOOKUP(Calculator!E23,tbSkills!DH3:DI6,2,FALSE)+IF(AND(Calculator!B8=TRUE,Backdoors!BI27=TRUE),VLOOKUP(Calculator!E23,tbSkills!DH3:DJ6,3,FALSE),0),0)))/100)),(1-(0.25*((-Backdoors!AI12-IF(FN52&gt;=0.45,VLOOKUP(Calculator!E23,tbSkills!DH3:DI6,2,FALSE)+IF(AND(Calculator!B8=TRUE,Backdoors!BI27=TRUE),VLOOKUP(Calculator!E23,tbSkills!DH3:DJ6,3,FALSE),0),0))/100)))),1),"")</f>
        <v>1</v>
      </c>
      <c r="FQ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FN52)*FP52)*(VLOOKUP(A52,tbMoveset!A2:C112,3,FALSE)/100)*IF(VLOOKUP(A52,tbMoveset!A2:B112,2,FALSE)="Projectile",Backdoors!N10,Backdoors!N9),0),"")</f>
        <v/>
      </c>
      <c r="FR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FN52&gt;=0.45,VLOOKUP(Calculator!E23,tbSkills!DH3:DI6,2,FALSE)+IF(AND(Calculator!B8=TRUE,Backdoors!BI27=TRUE),VLOOKUP(Calculator!E23,tbSkills!DH3:DJ6,3,FALSE),0),0))&gt;=100,100,(Backdoors!AI12+IF(FN52&gt;=0.45,VLOOKUP(Calculator!E23,tbSkills!DH3:DI6,2,FALSE)+IF(AND(Calculator!B8=TRUE,Backdoors!BI27=TRUE),VLOOKUP(Calculator!E23,tbSkills!DH3:DJ6,3,FALSE),0),0)))/100)),1))*IF(VLOOKUP(A52,tbMoveset!A2:K112,11,FALSE)=TRUE,Backdoors!AC5,1))*FO52,0),"")</f>
        <v>0</v>
      </c>
      <c r="FS52" s="49">
        <f>VLOOKUP(A52,tbMoveset!A2:G112,7,FALSE)*IFERROR(IF(Backdoors!AI12&gt;=0,1+(IF(Calculator!E40&gt;0,VLOOKUP(Calculator!E40,tbSkills!AI3:AJ5,2,FALSE),Backdoors!AL4)*(IF((Backdoors!AI12+IF(FN52&gt;=0.45,VLOOKUP(Calculator!E23,tbSkills!DH3:DI6,2,FALSE)+IF(AND(Calculator!B8=TRUE,Backdoors!BI27=TRUE),VLOOKUP(Calculator!E23,tbSkills!DH3:DJ6,3,FALSE),0),0))&gt;=100,100,(Backdoors!AI12+IF(FN52&gt;=0.45,VLOOKUP(Calculator!E23,tbSkills!DH3:DI6,2,FALSE)+IF(AND(Calculator!B8=TRUE,Backdoors!BI27=TRUE),VLOOKUP(Calculator!E23,tbSkills!DH3:DJ6,3,FALSE),0),0)))/100)),1),1)</f>
        <v>0.5</v>
      </c>
      <c r="FT52" s="87">
        <f t="shared" si="17"/>
        <v>0</v>
      </c>
      <c r="FU52" s="86" t="str">
        <f>IFERROR(IF(VLOOKUP(A52,tbMoveset!A2:B112,2,FALSE)="Sever",Backdoors!AY28/100,IF(VLOOKUP(A52,tbMoveset!A2:B112,2,FALSE)="Blunt",Backdoors!AZ28/100,Backdoors!BA28/100)),"")</f>
        <v/>
      </c>
      <c r="FV52" s="49">
        <f>IFERROR(IF(VLOOKUP(tbMoveset!A52,tbMoveset!A2:H112,8,FALSE)="Other",IF(VLOOKUP(tbMoveset!A52,tbMoveset!A2:I112,9,FALSE)="Fire",Backdoors!BB28,IF(VLOOKUP(tbMoveset!A52,tbMoveset!A2:I112,9,FALSE)="Water",Backdoors!BC28,IF(VLOOKUP(tbMoveset!A52,tbMoveset!A2:I112,9,FALSE)="Thunder",Backdoors!BD28,IF(VLOOKUP(tbMoveset!A52,tbMoveset!A2:I112,9,FALSE)="Ice",Backdoors!BE28,IF(VLOOKUP(tbMoveset!A52,tbMoveset!A2:I112,9,FALSE)="Dragon",Backdoors!BF28,Backdoors!BG28)))))/100,Backdoors!BG28/100),"")</f>
        <v>0</v>
      </c>
      <c r="FW52" s="49">
        <f>IFERROR(IF(VLOOKUP(A52,tbMoveset!A2:J112,10,FALSE)=TRUE,IF((Backdoors!AI12+IF(FU52&gt;=0.45,VLOOKUP(Calculator!E23,tbSkills!DH3:DI6,2,FALSE)+IF(AND(Calculator!B8=TRUE,Backdoors!BI28=TRUE),VLOOKUP(Calculator!E23,tbSkills!DH3:DJ6,3,FALSE),0),0))&gt;=0,1+(Backdoors!AL2*(IF((Backdoors!AI12+IF(FU52&gt;=0.45,VLOOKUP(Calculator!E23,tbSkills!DH3:DI6,2,FALSE)+IF(AND(Calculator!B8=TRUE,Backdoors!BI28=TRUE),VLOOKUP(Calculator!E23,tbSkills!DH3:DJ6,3,FALSE),0),0))&gt;=100,100,(Backdoors!AI12+IF(FU52&gt;=0.45,VLOOKUP(Calculator!E23,tbSkills!DH3:DI6,2,FALSE)+IF(AND(Calculator!B8=TRUE,Backdoors!BI28=TRUE),VLOOKUP(Calculator!E23,tbSkills!DH3:DJ6,3,FALSE),0),0)))/100)),(1-(0.25*((-Backdoors!AI12-IF(FU52&gt;=0.45,VLOOKUP(Calculator!E23,tbSkills!DH3:DI6,2,FALSE)+IF(AND(Calculator!B8=TRUE,Backdoors!BI28=TRUE),VLOOKUP(Calculator!E23,tbSkills!DH3:DJ6,3,FALSE),0),0))/100)))),1),"")</f>
        <v>1</v>
      </c>
      <c r="FX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FU52)*FW52)*(VLOOKUP(A52,tbMoveset!A2:C112,3,FALSE)/100)*IF(VLOOKUP(A52,tbMoveset!A2:B112,2,FALSE)="Projectile",Backdoors!N10,Backdoors!N9),0),"")</f>
        <v/>
      </c>
      <c r="FY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FU52&gt;=0.45,VLOOKUP(Calculator!E23,tbSkills!DH3:DI6,2,FALSE)+IF(AND(Calculator!B8=TRUE,Backdoors!BI28=TRUE),VLOOKUP(Calculator!E23,tbSkills!DH3:DJ6,3,FALSE),0),0))&gt;=100,100,(Backdoors!AI12+IF(FU52&gt;=0.45,VLOOKUP(Calculator!E23,tbSkills!DH3:DI6,2,FALSE)+IF(AND(Calculator!B8=TRUE,Backdoors!BI28=TRUE),VLOOKUP(Calculator!E23,tbSkills!DH3:DJ6,3,FALSE),0),0)))/100)),1))*IF(VLOOKUP(A52,tbMoveset!A2:K112,11,FALSE)=TRUE,Backdoors!AC5,1))*FV52,0),"")</f>
        <v>0</v>
      </c>
      <c r="FZ52" s="49">
        <f>VLOOKUP(A52,tbMoveset!A2:G112,7,FALSE)*IFERROR(IF(Backdoors!AI12&gt;=0,1+(IF(Calculator!E40&gt;0,VLOOKUP(Calculator!E40,tbSkills!AI3:AJ5,2,FALSE),Backdoors!AL4)*(IF((Backdoors!AI12+IF(FU52&gt;=0.45,VLOOKUP(Calculator!E23,tbSkills!DH3:DI6,2,FALSE)+IF(AND(Calculator!B8=TRUE,Backdoors!BI28=TRUE),VLOOKUP(Calculator!E23,tbSkills!DH3:DJ6,3,FALSE),0),0))&gt;=100,100,(Backdoors!AI12+IF(FU52&gt;=0.45,VLOOKUP(Calculator!E23,tbSkills!DH3:DI6,2,FALSE)+IF(AND(Calculator!B8=TRUE,Backdoors!BI28=TRUE),VLOOKUP(Calculator!E23,tbSkills!DH3:DJ6,3,FALSE),0),0)))/100)),1),1)</f>
        <v>0.5</v>
      </c>
      <c r="GA52" s="87">
        <f t="shared" si="18"/>
        <v>0</v>
      </c>
      <c r="GB52" s="86" t="str">
        <f>IFERROR(IF(VLOOKUP(A52,tbMoveset!A2:B112,2,FALSE)="Sever",Backdoors!AY29/100,IF(VLOOKUP(A52,tbMoveset!A2:B112,2,FALSE)="Blunt",Backdoors!AZ29/100,Backdoors!BA29/100)),"")</f>
        <v/>
      </c>
      <c r="GC52" s="49">
        <f>IFERROR(IF(VLOOKUP(tbMoveset!A52,tbMoveset!A2:H112,8,FALSE)="Other",IF(VLOOKUP(tbMoveset!A52,tbMoveset!A2:I112,9,FALSE)="Fire",Backdoors!BB29,IF(VLOOKUP(tbMoveset!A52,tbMoveset!A2:I112,9,FALSE)="Water",Backdoors!BC29,IF(VLOOKUP(tbMoveset!A52,tbMoveset!A2:I112,9,FALSE)="Thunder",Backdoors!BD29,IF(VLOOKUP(tbMoveset!A52,tbMoveset!A2:I112,9,FALSE)="Ice",Backdoors!BE29,IF(VLOOKUP(tbMoveset!A52,tbMoveset!A2:I112,9,FALSE)="Dragon",Backdoors!BF29,Backdoors!BG29)))))/100,Backdoors!BG29/100),"")</f>
        <v>0</v>
      </c>
      <c r="GD52" s="49">
        <f>IFERROR(IF(VLOOKUP(A52,tbMoveset!A2:J112,10,FALSE)=TRUE,IF((Backdoors!AI12+IF(GB52&gt;=0.45,VLOOKUP(Calculator!E23,tbSkills!DH3:DI6,2,FALSE)+IF(AND(Calculator!B8=TRUE,Backdoors!BI29=TRUE),VLOOKUP(Calculator!E23,tbSkills!DH3:DJ6,3,FALSE),0),0))&gt;=0,1+(Backdoors!AL2*(IF((Backdoors!AI12+IF(GB52&gt;=0.45,VLOOKUP(Calculator!E23,tbSkills!DH3:DI6,2,FALSE)+IF(AND(Calculator!B8=TRUE,Backdoors!BI29=TRUE),VLOOKUP(Calculator!E23,tbSkills!DH3:DJ6,3,FALSE),0),0))&gt;=100,100,(Backdoors!AI12+IF(GB52&gt;=0.45,VLOOKUP(Calculator!E23,tbSkills!DH3:DI6,2,FALSE)+IF(AND(Calculator!B8=TRUE,Backdoors!BI29=TRUE),VLOOKUP(Calculator!E23,tbSkills!DH3:DJ6,3,FALSE),0),0)))/100)),(1-(0.25*((-Backdoors!AI12-IF(GB52&gt;=0.45,VLOOKUP(Calculator!E23,tbSkills!DH3:DI6,2,FALSE)+IF(AND(Calculator!B8=TRUE,Backdoors!BI29=TRUE),VLOOKUP(Calculator!E23,tbSkills!DH3:DJ6,3,FALSE),0),0))/100)))),1),"")</f>
        <v>1</v>
      </c>
      <c r="GE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B52)*GD52)*(VLOOKUP(A52,tbMoveset!A2:C112,3,FALSE)/100)*IF(VLOOKUP(A52,tbMoveset!A2:B112,2,FALSE)="Projectile",Backdoors!N10,Backdoors!N9),0),"")</f>
        <v/>
      </c>
      <c r="GF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B52&gt;=0.45,VLOOKUP(Calculator!E23,tbSkills!DH3:DI6,2,FALSE)+IF(AND(Calculator!B8=TRUE,Backdoors!BI29=TRUE),VLOOKUP(Calculator!E23,tbSkills!DH3:DJ6,3,FALSE),0),0))&gt;=100,100,(Backdoors!AI12+IF(GB52&gt;=0.45,VLOOKUP(Calculator!E23,tbSkills!DH3:DI6,2,FALSE)+IF(AND(Calculator!B8=TRUE,Backdoors!BI29=TRUE),VLOOKUP(Calculator!E23,tbSkills!DH3:DJ6,3,FALSE),0),0)))/100)),1))*IF(VLOOKUP(A52,tbMoveset!A2:K112,11,FALSE)=TRUE,Backdoors!AC5,1))*GC52,0),"")</f>
        <v>0</v>
      </c>
      <c r="GG52" s="49">
        <f>VLOOKUP(A52,tbMoveset!A2:G112,7,FALSE)*IFERROR(IF(Backdoors!AI12&gt;=0,1+(IF(Calculator!E40&gt;0,VLOOKUP(Calculator!E40,tbSkills!AI3:AJ5,2,FALSE),Backdoors!AL4)*(IF((Backdoors!AI12+IF(GB52&gt;=0.45,VLOOKUP(Calculator!E23,tbSkills!DH3:DI6,2,FALSE)+IF(AND(Calculator!B8=TRUE,Backdoors!BI29=TRUE),VLOOKUP(Calculator!E23,tbSkills!DH3:DJ6,3,FALSE),0),0))&gt;=100,100,(Backdoors!AI12+IF(GB52&gt;=0.45,VLOOKUP(Calculator!E23,tbSkills!DH3:DI6,2,FALSE)+IF(AND(Calculator!B8=TRUE,Backdoors!BI29=TRUE),VLOOKUP(Calculator!E23,tbSkills!DH3:DJ6,3,FALSE),0),0)))/100)),1),1)</f>
        <v>0.5</v>
      </c>
      <c r="GH52" s="87">
        <f t="shared" si="19"/>
        <v>0</v>
      </c>
      <c r="GI52" s="86" t="str">
        <f>IFERROR(IF(VLOOKUP(A52,tbMoveset!A2:B112,2,FALSE)="Sever",Backdoors!AY30/100,IF(VLOOKUP(A52,tbMoveset!A2:B112,2,FALSE)="Blunt",Backdoors!AZ30/100,Backdoors!BA30/100)),"")</f>
        <v/>
      </c>
      <c r="GJ52" s="49">
        <f>IFERROR(IF(VLOOKUP(tbMoveset!A52,tbMoveset!A2:H112,8,FALSE)="Other",IF(VLOOKUP(tbMoveset!A52,tbMoveset!A2:I112,9,FALSE)="Fire",Backdoors!BB30,IF(VLOOKUP(tbMoveset!A52,tbMoveset!A2:I112,9,FALSE)="Water",Backdoors!BC30,IF(VLOOKUP(tbMoveset!A52,tbMoveset!A2:I112,9,FALSE)="Thunder",Backdoors!BD30,IF(VLOOKUP(tbMoveset!A52,tbMoveset!A2:I112,9,FALSE)="Ice",Backdoors!BE30,IF(VLOOKUP(tbMoveset!A52,tbMoveset!A2:I112,9,FALSE)="Dragon",Backdoors!BF30,Backdoors!BG30)))))/100,Backdoors!BG30/100),"")</f>
        <v>0</v>
      </c>
      <c r="GK52" s="49">
        <f>IFERROR(IF(VLOOKUP(A52,tbMoveset!A2:J112,10,FALSE)=TRUE,IF((Backdoors!AI12+IF(GI52&gt;=0.45,VLOOKUP(Calculator!E23,tbSkills!DH3:DI6,2,FALSE)+IF(AND(Calculator!B8=TRUE,Backdoors!BI30=TRUE),VLOOKUP(Calculator!E23,tbSkills!DH3:DJ6,3,FALSE),0),0))&gt;=0,1+(Backdoors!AL2*(IF((Backdoors!AI12+IF(GI52&gt;=0.45,VLOOKUP(Calculator!E23,tbSkills!DH3:DI6,2,FALSE)+IF(AND(Calculator!B8=TRUE,Backdoors!BI30=TRUE),VLOOKUP(Calculator!E23,tbSkills!DH3:DJ6,3,FALSE),0),0))&gt;=100,100,(Backdoors!AI12+IF(GI52&gt;=0.45,VLOOKUP(Calculator!E23,tbSkills!DH3:DI6,2,FALSE)+IF(AND(Calculator!B8=TRUE,Backdoors!BI30=TRUE),VLOOKUP(Calculator!E23,tbSkills!DH3:DJ6,3,FALSE),0),0)))/100)),(1-(0.25*((-Backdoors!AI12-IF(GI52&gt;=0.45,VLOOKUP(Calculator!E23,tbSkills!DH3:DI6,2,FALSE)+IF(AND(Calculator!B8=TRUE,Backdoors!BI30=TRUE),VLOOKUP(Calculator!E23,tbSkills!DH3:DJ6,3,FALSE),0),0))/100)))),1),"")</f>
        <v>1</v>
      </c>
      <c r="GL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I52)*GK52)*(VLOOKUP(A52,tbMoveset!A2:C112,3,FALSE)/100)*IF(VLOOKUP(A52,tbMoveset!A2:B112,2,FALSE)="Projectile",Backdoors!N10,Backdoors!N9),0),"")</f>
        <v/>
      </c>
      <c r="GM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I52&gt;=0.45,VLOOKUP(Calculator!E23,tbSkills!DH3:DI6,2,FALSE)+IF(AND(Calculator!B8=TRUE,Backdoors!BI30=TRUE),VLOOKUP(Calculator!E23,tbSkills!DH3:DJ6,3,FALSE),0),0))&gt;=100,100,(Backdoors!AI12+IF(GI52&gt;=0.45,VLOOKUP(Calculator!E23,tbSkills!DH3:DI6,2,FALSE)+IF(AND(Calculator!B8=TRUE,Backdoors!BI30=TRUE),VLOOKUP(Calculator!E23,tbSkills!DH3:DJ6,3,FALSE),0),0)))/100)),1))*IF(VLOOKUP(A52,tbMoveset!A2:K112,11,FALSE)=TRUE,Backdoors!AC5,1))*GJ52,0),"")</f>
        <v>0</v>
      </c>
      <c r="GN52" s="49">
        <f>VLOOKUP(A52,tbMoveset!A2:G112,7,FALSE)*IFERROR(IF(Backdoors!AI12&gt;=0,1+(IF(Calculator!E40&gt;0,VLOOKUP(Calculator!E40,tbSkills!AI3:AJ5,2,FALSE),Backdoors!AL4)*(IF((Backdoors!AI12+IF(GI52&gt;=0.45,VLOOKUP(Calculator!E23,tbSkills!DH3:DI6,2,FALSE)+IF(AND(Calculator!B8=TRUE,Backdoors!BI30=TRUE),VLOOKUP(Calculator!E23,tbSkills!DH3:DJ6,3,FALSE),0),0))&gt;=100,100,(Backdoors!AI12+IF(GI52&gt;=0.45,VLOOKUP(Calculator!E23,tbSkills!DH3:DI6,2,FALSE)+IF(AND(Calculator!B8=TRUE,Backdoors!BI30=TRUE),VLOOKUP(Calculator!E23,tbSkills!DH3:DJ6,3,FALSE),0),0)))/100)),1),1)</f>
        <v>0.5</v>
      </c>
      <c r="GO52" s="87">
        <f t="shared" si="20"/>
        <v>0</v>
      </c>
      <c r="GP52" s="86" t="str">
        <f>IFERROR(IF(VLOOKUP(A52,tbMoveset!A2:B112,2,FALSE)="Sever",Backdoors!AY31/100,IF(VLOOKUP(A52,tbMoveset!A2:B112,2,FALSE)="Blunt",Backdoors!AZ31/100,Backdoors!BA31/100)),"")</f>
        <v/>
      </c>
      <c r="GQ52" s="49">
        <f>IFERROR(IF(VLOOKUP(tbMoveset!A52,tbMoveset!A2:H112,8,FALSE)="Other",IF(VLOOKUP(tbMoveset!A52,tbMoveset!A2:I112,9,FALSE)="Fire",Backdoors!BB31,IF(VLOOKUP(tbMoveset!A52,tbMoveset!A2:I112,9,FALSE)="Water",Backdoors!BC31,IF(VLOOKUP(tbMoveset!A52,tbMoveset!A2:I112,9,FALSE)="Thunder",Backdoors!BD31,IF(VLOOKUP(tbMoveset!A52,tbMoveset!A2:I112,9,FALSE)="Ice",Backdoors!BE31,IF(VLOOKUP(tbMoveset!A52,tbMoveset!A2:I112,9,FALSE)="Dragon",Backdoors!BF31,Backdoors!BG31)))))/100,Backdoors!BG31/100),"")</f>
        <v>0</v>
      </c>
      <c r="GR52" s="49">
        <f>IFERROR(IF(VLOOKUP(A52,tbMoveset!A2:J112,10,FALSE)=TRUE,IF((Backdoors!AI12+IF(GP52&gt;=0.45,VLOOKUP(Calculator!E23,tbSkills!DH3:DI6,2,FALSE)+IF(AND(Calculator!B8=TRUE,Backdoors!BI31=TRUE),VLOOKUP(Calculator!E23,tbSkills!DH3:DJ6,3,FALSE),0),0))&gt;=0,1+(Backdoors!AL2*(IF((Backdoors!AI12+IF(GP52&gt;=0.45,VLOOKUP(Calculator!E23,tbSkills!DH3:DI6,2,FALSE)+IF(AND(Calculator!B8=TRUE,Backdoors!BI31=TRUE),VLOOKUP(Calculator!E23,tbSkills!DH3:DJ6,3,FALSE),0),0))&gt;=100,100,(Backdoors!AI12+IF(GP52&gt;=0.45,VLOOKUP(Calculator!E23,tbSkills!DH3:DI6,2,FALSE)+IF(AND(Calculator!B8=TRUE,Backdoors!BI31=TRUE),VLOOKUP(Calculator!E23,tbSkills!DH3:DJ6,3,FALSE),0),0)))/100)),(1-(0.25*((-Backdoors!AI12-IF(GP52&gt;=0.45,VLOOKUP(Calculator!E23,tbSkills!DH3:DI6,2,FALSE)+IF(AND(Calculator!B8=TRUE,Backdoors!BI31=TRUE),VLOOKUP(Calculator!E23,tbSkills!DH3:DJ6,3,FALSE),0),0))/100)))),1),"")</f>
        <v>1</v>
      </c>
      <c r="GS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P52)*GR52)*(VLOOKUP(A52,tbMoveset!A2:C112,3,FALSE)/100)*IF(VLOOKUP(A52,tbMoveset!A2:B112,2,FALSE)="Projectile",Backdoors!N10,Backdoors!N9),0),"")</f>
        <v/>
      </c>
      <c r="GT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P52&gt;=0.45,VLOOKUP(Calculator!E23,tbSkills!DH3:DI6,2,FALSE)+IF(AND(Calculator!B8=TRUE,Backdoors!BI31=TRUE),VLOOKUP(Calculator!E23,tbSkills!DH3:DJ6,3,FALSE),0),0))&gt;=100,100,(Backdoors!AI12+IF(GP52&gt;=0.45,VLOOKUP(Calculator!E23,tbSkills!DH3:DI6,2,FALSE)+IF(AND(Calculator!B8=TRUE,Backdoors!BI31=TRUE),VLOOKUP(Calculator!E23,tbSkills!DH3:DJ6,3,FALSE),0),0)))/100)),1))*IF(VLOOKUP(A52,tbMoveset!A2:K112,11,FALSE)=TRUE,Backdoors!AC5,1))*GQ52,0),"")</f>
        <v>0</v>
      </c>
      <c r="GU52" s="49">
        <f>VLOOKUP(A52,tbMoveset!A2:G112,7,FALSE)*IFERROR(IF(Backdoors!AI12&gt;=0,1+(IF(Calculator!E40&gt;0,VLOOKUP(Calculator!E40,tbSkills!AI3:AJ5,2,FALSE),Backdoors!AL4)*(IF((Backdoors!AI12+IF(GP52&gt;=0.45,VLOOKUP(Calculator!E23,tbSkills!DH3:DI6,2,FALSE)+IF(AND(Calculator!B8=TRUE,Backdoors!BI31=TRUE),VLOOKUP(Calculator!E23,tbSkills!DH3:DJ6,3,FALSE),0),0))&gt;=100,100,(Backdoors!AI12+IF(GP52&gt;=0.45,VLOOKUP(Calculator!E23,tbSkills!DH3:DI6,2,FALSE)+IF(AND(Calculator!B8=TRUE,Backdoors!BI31=TRUE),VLOOKUP(Calculator!E23,tbSkills!DH3:DJ6,3,FALSE),0),0)))/100)),1),1)</f>
        <v>0.5</v>
      </c>
      <c r="GV52" s="87">
        <f t="shared" si="21"/>
        <v>0</v>
      </c>
      <c r="GW52" s="86" t="str">
        <f>IFERROR(IF(VLOOKUP(A52,tbMoveset!A2:B112,2,FALSE)="Sever",Backdoors!AY32/100,IF(VLOOKUP(A52,tbMoveset!A2:B112,2,FALSE)="Blunt",Backdoors!AZ32/100,Backdoors!BA32/100)),"")</f>
        <v/>
      </c>
      <c r="GX52" s="49">
        <f>IFERROR(IF(VLOOKUP(tbMoveset!A52,tbMoveset!A2:H112,8,FALSE)="Other",IF(VLOOKUP(tbMoveset!A52,tbMoveset!A2:I112,9,FALSE)="Fire",Backdoors!BB32,IF(VLOOKUP(tbMoveset!A52,tbMoveset!A2:I112,9,FALSE)="Water",Backdoors!BC32,IF(VLOOKUP(tbMoveset!A52,tbMoveset!A2:I112,9,FALSE)="Thunder",Backdoors!BD32,IF(VLOOKUP(tbMoveset!A52,tbMoveset!A2:I112,9,FALSE)="Ice",Backdoors!BE32,IF(VLOOKUP(tbMoveset!A52,tbMoveset!A2:I112,9,FALSE)="Dragon",Backdoors!BF32,Backdoors!BG32)))))/100,Backdoors!BG32/100),"")</f>
        <v>0</v>
      </c>
      <c r="GY52" s="49">
        <f>IFERROR(IF(VLOOKUP(A52,tbMoveset!A2:J112,10,FALSE)=TRUE,IF((Backdoors!AI12+IF(GW52&gt;=0.45,VLOOKUP(Calculator!E23,tbSkills!DH3:DI6,2,FALSE)+IF(AND(Calculator!B8=TRUE,Backdoors!BI32=TRUE),VLOOKUP(Calculator!E23,tbSkills!DH3:DJ6,3,FALSE),0),0))&gt;=0,1+(Backdoors!AL2*(IF((Backdoors!AI12+IF(GW52&gt;=0.45,VLOOKUP(Calculator!E23,tbSkills!DH3:DI6,2,FALSE)+IF(AND(Calculator!B8=TRUE,Backdoors!BI32=TRUE),VLOOKUP(Calculator!E23,tbSkills!DH3:DJ6,3,FALSE),0),0))&gt;=100,100,(Backdoors!AI12+IF(GW52&gt;=0.45,VLOOKUP(Calculator!E23,tbSkills!DH3:DI6,2,FALSE)+IF(AND(Calculator!B8=TRUE,Backdoors!BI32=TRUE),VLOOKUP(Calculator!E23,tbSkills!DH3:DJ6,3,FALSE),0),0)))/100)),(1-(0.25*((-Backdoors!AI12-IF(GW52&gt;=0.45,VLOOKUP(Calculator!E23,tbSkills!DH3:DI6,2,FALSE)+IF(AND(Calculator!B8=TRUE,Backdoors!BI32=TRUE),VLOOKUP(Calculator!E23,tbSkills!DH3:DJ6,3,FALSE),0),0))/100)))),1),"")</f>
        <v>1</v>
      </c>
      <c r="GZ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W52)*GY52)*(VLOOKUP(A52,tbMoveset!A2:C112,3,FALSE)/100)*IF(VLOOKUP(A52,tbMoveset!A2:B112,2,FALSE)="Projectile",Backdoors!N10,Backdoors!N9),0),"")</f>
        <v/>
      </c>
      <c r="HA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W52&gt;=0.45,VLOOKUP(Calculator!E23,tbSkills!DH3:DI6,2,FALSE)+IF(AND(Calculator!B8=TRUE,Backdoors!BI32=TRUE),VLOOKUP(Calculator!E23,tbSkills!DH3:DJ6,3,FALSE),0),0))&gt;=100,100,(Backdoors!AI12+IF(GW52&gt;=0.45,VLOOKUP(Calculator!E23,tbSkills!DH3:DI6,2,FALSE)+IF(AND(Calculator!B8=TRUE,Backdoors!BI32=TRUE),VLOOKUP(Calculator!E23,tbSkills!DH3:DJ6,3,FALSE),0),0)))/100)),1))*IF(VLOOKUP(A52,tbMoveset!A2:K112,11,FALSE)=TRUE,Backdoors!AC5,1))*GX52,0),"")</f>
        <v>0</v>
      </c>
      <c r="HB52" s="49">
        <f>VLOOKUP(A52,tbMoveset!A2:G112,7,FALSE)*IFERROR(IF(Backdoors!AI12&gt;=0,1+(IF(Calculator!E40&gt;0,VLOOKUP(Calculator!E40,tbSkills!AI3:AJ5,2,FALSE),Backdoors!AL4)*(IF((Backdoors!AI12+IF(GW52&gt;=0.45,VLOOKUP(Calculator!E23,tbSkills!DH3:DI6,2,FALSE)+IF(AND(Calculator!B8=TRUE,Backdoors!BI32=TRUE),VLOOKUP(Calculator!E23,tbSkills!DH3:DJ6,3,FALSE),0),0))&gt;=100,100,(Backdoors!AI12+IF(GW52&gt;=0.45,VLOOKUP(Calculator!E23,tbSkills!DH3:DI6,2,FALSE)+IF(AND(Calculator!B8=TRUE,Backdoors!BI32=TRUE),VLOOKUP(Calculator!E23,tbSkills!DH3:DJ6,3,FALSE),0),0)))/100)),1),1)</f>
        <v>0.5</v>
      </c>
      <c r="HC52" s="87">
        <f t="shared" si="22"/>
        <v>0</v>
      </c>
      <c r="HD52" s="86" t="str">
        <f>IFERROR(IF(VLOOKUP(A52,tbMoveset!A2:B112,2,FALSE)="Sever",Backdoors!AY33/100,IF(VLOOKUP(A52,tbMoveset!A2:B112,2,FALSE)="Blunt",Backdoors!AZ33/100,Backdoors!BA33/100)),"")</f>
        <v/>
      </c>
      <c r="HE52" s="49">
        <f>IFERROR(IF(VLOOKUP(tbMoveset!A52,tbMoveset!A2:H112,8,FALSE)="Other",IF(VLOOKUP(tbMoveset!A52,tbMoveset!A2:I112,9,FALSE)="Fire",Backdoors!BB33,IF(VLOOKUP(tbMoveset!A52,tbMoveset!A2:I112,9,FALSE)="Water",Backdoors!BC33,IF(VLOOKUP(tbMoveset!A52,tbMoveset!A2:I112,9,FALSE)="Thunder",Backdoors!BD33,IF(VLOOKUP(tbMoveset!A52,tbMoveset!A2:I112,9,FALSE)="Ice",Backdoors!BE33,IF(VLOOKUP(tbMoveset!A52,tbMoveset!A2:I112,9,FALSE)="Dragon",Backdoors!BF33,Backdoors!BG33)))))/100,Backdoors!BG33/100),"")</f>
        <v>0</v>
      </c>
      <c r="HF52" s="49">
        <f>IFERROR(IF(VLOOKUP(A52,tbMoveset!A2:J112,10,FALSE)=TRUE,IF((Backdoors!AI12+IF(HD52&gt;=0.45,VLOOKUP(Calculator!E23,tbSkills!DH3:DI6,2,FALSE)+IF(AND(Calculator!B8=TRUE,Backdoors!BI33=TRUE),VLOOKUP(Calculator!E23,tbSkills!DH3:DJ6,3,FALSE),0),0))&gt;=0,1+(Backdoors!AL2*(IF((Backdoors!AI12+IF(HD52&gt;=0.45,VLOOKUP(Calculator!E23,tbSkills!DH3:DI6,2,FALSE)+IF(AND(Calculator!B8=TRUE,Backdoors!BI33=TRUE),VLOOKUP(Calculator!E23,tbSkills!DH3:DJ6,3,FALSE),0),0))&gt;=100,100,(Backdoors!AI12+IF(HD52&gt;=0.45,VLOOKUP(Calculator!E23,tbSkills!DH3:DI6,2,FALSE)+IF(AND(Calculator!B8=TRUE,Backdoors!BI33=TRUE),VLOOKUP(Calculator!E23,tbSkills!DH3:DJ6,3,FALSE),0),0)))/100)),(1-(0.25*((-Backdoors!AI12-IF(HD52&gt;=0.45,VLOOKUP(Calculator!E23,tbSkills!DH3:DI6,2,FALSE)+IF(AND(Calculator!B8=TRUE,Backdoors!BI33=TRUE),VLOOKUP(Calculator!E23,tbSkills!DH3:DJ6,3,FALSE),0),0))/100)))),1),"")</f>
        <v>1</v>
      </c>
      <c r="HG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D52)*HF52)*(VLOOKUP(A52,tbMoveset!A2:C112,3,FALSE)/100)*IF(VLOOKUP(A52,tbMoveset!A2:B112,2,FALSE)="Projectile",Backdoors!N10,Backdoors!N9),0),"")</f>
        <v/>
      </c>
      <c r="HH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D52&gt;=0.45,VLOOKUP(Calculator!E23,tbSkills!DH3:DI6,2,FALSE)+IF(AND(Calculator!B8=TRUE,Backdoors!BI33=TRUE),VLOOKUP(Calculator!E23,tbSkills!DH3:DJ6,3,FALSE),0),0))&gt;=100,100,(Backdoors!AI12+IF(HD52&gt;=0.45,VLOOKUP(Calculator!E23,tbSkills!DH3:DI6,2,FALSE)+IF(AND(Calculator!B8=TRUE,Backdoors!BI33=TRUE),VLOOKUP(Calculator!E23,tbSkills!DH3:DJ6,3,FALSE),0),0)))/100)),1))*IF(VLOOKUP(A52,tbMoveset!A2:K112,11,FALSE)=TRUE,Backdoors!AC5,1))*HE52,0),"")</f>
        <v>0</v>
      </c>
      <c r="HI52" s="49">
        <f>VLOOKUP(A52,tbMoveset!A2:G112,7,FALSE)*IFERROR(IF(Backdoors!AI12&gt;=0,1+(IF(Calculator!E40&gt;0,VLOOKUP(Calculator!E40,tbSkills!AI3:AJ5,2,FALSE),Backdoors!AL4)*(IF((Backdoors!AI12+IF(HD52&gt;=0.45,VLOOKUP(Calculator!E23,tbSkills!DH3:DI6,2,FALSE)+IF(AND(Calculator!B8=TRUE,Backdoors!BI33=TRUE),VLOOKUP(Calculator!E23,tbSkills!DH3:DJ6,3,FALSE),0),0))&gt;=100,100,(Backdoors!AI12+IF(HD52&gt;=0.45,VLOOKUP(Calculator!E23,tbSkills!DH3:DI6,2,FALSE)+IF(AND(Calculator!B8=TRUE,Backdoors!BI33=TRUE),VLOOKUP(Calculator!E23,tbSkills!DH3:DJ6,3,FALSE),0),0)))/100)),1),1)</f>
        <v>0.5</v>
      </c>
      <c r="HJ52" s="87">
        <f t="shared" si="23"/>
        <v>0</v>
      </c>
      <c r="HK52" s="86" t="str">
        <f>IFERROR(IF(VLOOKUP(A52,tbMoveset!A2:B112,2,FALSE)="Sever",Backdoors!AY34/100,IF(VLOOKUP(A52,tbMoveset!A2:B112,2,FALSE)="Blunt",Backdoors!AZ34/100,Backdoors!BA34/100)),"")</f>
        <v/>
      </c>
      <c r="HL52" s="49">
        <f>IFERROR(IF(VLOOKUP(tbMoveset!A52,tbMoveset!A2:H112,8,FALSE)="Other",IF(VLOOKUP(tbMoveset!A52,tbMoveset!A2:I112,9,FALSE)="Fire",Backdoors!BB34,IF(VLOOKUP(tbMoveset!A52,tbMoveset!A2:I112,9,FALSE)="Water",Backdoors!BC34,IF(VLOOKUP(tbMoveset!A52,tbMoveset!A2:I112,9,FALSE)="Thunder",Backdoors!BD34,IF(VLOOKUP(tbMoveset!A52,tbMoveset!A2:I112,9,FALSE)="Ice",Backdoors!BE34,IF(VLOOKUP(tbMoveset!A52,tbMoveset!A2:I112,9,FALSE)="Dragon",Backdoors!BF34,Backdoors!BG34)))))/100,Backdoors!BG34/100),"")</f>
        <v>0</v>
      </c>
      <c r="HM52" s="49">
        <f>IFERROR(IF(VLOOKUP(A52,tbMoveset!A2:J112,10,FALSE)=TRUE,IF((Backdoors!AI12+IF(HK52&gt;=0.45,VLOOKUP(Calculator!E23,tbSkills!DH3:DI6,2,FALSE)+IF(AND(Calculator!B8=TRUE,Backdoors!BI34=TRUE),VLOOKUP(Calculator!E23,tbSkills!DH3:DJ6,3,FALSE),0),0))&gt;=0,1+(Backdoors!AL2*(IF((Backdoors!AI12+IF(HK52&gt;=0.45,VLOOKUP(Calculator!E23,tbSkills!DH3:DI6,2,FALSE)+IF(AND(Calculator!B8=TRUE,Backdoors!BI34=TRUE),VLOOKUP(Calculator!E23,tbSkills!DH3:DJ6,3,FALSE),0),0))&gt;=100,100,(Backdoors!AI12+IF(HK52&gt;=0.45,VLOOKUP(Calculator!E23,tbSkills!DH3:DI6,2,FALSE)+IF(AND(Calculator!B8=TRUE,Backdoors!BI34=TRUE),VLOOKUP(Calculator!E23,tbSkills!DH3:DJ6,3,FALSE),0),0)))/100)),(1-(0.25*((-Backdoors!AI12-IF(HK52&gt;=0.45,VLOOKUP(Calculator!E23,tbSkills!DH3:DI6,2,FALSE)+IF(AND(Calculator!B8=TRUE,Backdoors!BI34=TRUE),VLOOKUP(Calculator!E23,tbSkills!DH3:DJ6,3,FALSE),0),0))/100)))),1),"")</f>
        <v>1</v>
      </c>
      <c r="HN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K52)*HM52)*(VLOOKUP(A52,tbMoveset!A2:C112,3,FALSE)/100)*IF(VLOOKUP(A52,tbMoveset!A2:B112,2,FALSE)="Projectile",Backdoors!N10,Backdoors!N9),0),"")</f>
        <v/>
      </c>
      <c r="HO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K52&gt;=0.45,VLOOKUP(Calculator!E23,tbSkills!DH3:DI6,2,FALSE)+IF(AND(Calculator!B8=TRUE,Backdoors!BI34=TRUE),VLOOKUP(Calculator!E23,tbSkills!DH3:DJ6,3,FALSE),0),0))&gt;=100,100,(Backdoors!AI12+IF(HK52&gt;=0.45,VLOOKUP(Calculator!E23,tbSkills!DH3:DI6,2,FALSE)+IF(AND(Calculator!B8=TRUE,Backdoors!BI34=TRUE),VLOOKUP(Calculator!E23,tbSkills!DH3:DJ6,3,FALSE),0),0)))/100)),1))*IF(VLOOKUP(A52,tbMoveset!A2:K112,11,FALSE)=TRUE,Backdoors!AC5,1))*HL52,0),"")</f>
        <v>0</v>
      </c>
      <c r="HP52" s="49">
        <f>VLOOKUP(A52,tbMoveset!A2:G112,7,FALSE)*IFERROR(IF(Backdoors!AI12&gt;=0,1+(IF(Calculator!E40&gt;0,VLOOKUP(Calculator!E40,tbSkills!AI3:AJ5,2,FALSE),Backdoors!AL4)*(IF((Backdoors!AI12+IF(HK52&gt;=0.45,VLOOKUP(Calculator!E23,tbSkills!DH3:DI6,2,FALSE)+IF(AND(Calculator!B8=TRUE,Backdoors!BI34=TRUE),VLOOKUP(Calculator!E23,tbSkills!DH3:DJ6,3,FALSE),0),0))&gt;=100,100,(Backdoors!AI12+IF(HK52&gt;=0.45,VLOOKUP(Calculator!E23,tbSkills!DH3:DI6,2,FALSE)+IF(AND(Calculator!B8=TRUE,Backdoors!BI34=TRUE),VLOOKUP(Calculator!E23,tbSkills!DH3:DJ6,3,FALSE),0),0)))/100)),1),1)</f>
        <v>0.5</v>
      </c>
      <c r="HQ52" s="87">
        <f t="shared" si="24"/>
        <v>0</v>
      </c>
      <c r="HR52" s="86" t="str">
        <f>IFERROR(IF(VLOOKUP(A52,tbMoveset!A2:B112,2,FALSE)="Sever",Backdoors!AY35/100,IF(VLOOKUP(A52,tbMoveset!A2:B112,2,FALSE)="Blunt",Backdoors!AZ35/100,Backdoors!BA35/100)),"")</f>
        <v/>
      </c>
      <c r="HS52" s="49">
        <f>IFERROR(IF(VLOOKUP(tbMoveset!A52,tbMoveset!A2:H112,8,FALSE)="Other",IF(VLOOKUP(tbMoveset!A52,tbMoveset!A2:I112,9,FALSE)="Fire",Backdoors!BB35,IF(VLOOKUP(tbMoveset!A52,tbMoveset!A2:I112,9,FALSE)="Water",Backdoors!BC35,IF(VLOOKUP(tbMoveset!A52,tbMoveset!A2:I112,9,FALSE)="Thunder",Backdoors!BD35,IF(VLOOKUP(tbMoveset!A52,tbMoveset!A2:I112,9,FALSE)="Ice",Backdoors!BE35,IF(VLOOKUP(tbMoveset!A52,tbMoveset!A2:I112,9,FALSE)="Dragon",Backdoors!BF35,Backdoors!BG35)))))/100,Backdoors!BG35/100),"")</f>
        <v>0</v>
      </c>
      <c r="HT52" s="49">
        <f>IFERROR(IF(VLOOKUP(A52,tbMoveset!A2:J112,10,FALSE)=TRUE,IF((Backdoors!AI12+IF(HR52&gt;=0.45,VLOOKUP(Calculator!E23,tbSkills!DH3:DI6,2,FALSE)+IF(AND(Calculator!B8=TRUE,Backdoors!BI35=TRUE),VLOOKUP(Calculator!E23,tbSkills!DH3:DJ6,3,FALSE),0),0))&gt;=0,1+(Backdoors!AL2*(IF((Backdoors!AI12+IF(HR52&gt;=0.45,VLOOKUP(Calculator!E23,tbSkills!DH3:DI6,2,FALSE)+IF(AND(Calculator!B8=TRUE,Backdoors!BI35=TRUE),VLOOKUP(Calculator!E23,tbSkills!DH3:DJ6,3,FALSE),0),0))&gt;=100,100,(Backdoors!AI12+IF(HR52&gt;=0.45,VLOOKUP(Calculator!E23,tbSkills!DH3:DI6,2,FALSE)+IF(AND(Calculator!B8=TRUE,Backdoors!BI35=TRUE),VLOOKUP(Calculator!E23,tbSkills!DH3:DJ6,3,FALSE),0),0)))/100)),(1-(0.25*((-Backdoors!AI12-IF(HR52&gt;=0.45,VLOOKUP(Calculator!E23,tbSkills!DH3:DI6,2,FALSE)+IF(AND(Calculator!B8=TRUE,Backdoors!BI35=TRUE),VLOOKUP(Calculator!E23,tbSkills!DH3:DJ6,3,FALSE),0),0))/100)))),1),"")</f>
        <v>1</v>
      </c>
      <c r="HU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R52)*HT52)*(VLOOKUP(A52,tbMoveset!A2:C112,3,FALSE)/100)*IF(VLOOKUP(A52,tbMoveset!A2:B112,2,FALSE)="Projectile",Backdoors!N10,Backdoors!N9),0),"")</f>
        <v/>
      </c>
      <c r="HV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R52&gt;=0.45,VLOOKUP(Calculator!E23,tbSkills!DH3:DI6,2,FALSE)+IF(AND(Calculator!B8=TRUE,Backdoors!BI35=TRUE),VLOOKUP(Calculator!E23,tbSkills!DH3:DJ6,3,FALSE),0),0))&gt;=100,100,(Backdoors!AI12+IF(HR52&gt;=0.45,VLOOKUP(Calculator!E23,tbSkills!DH3:DI6,2,FALSE)+IF(AND(Calculator!B8=TRUE,Backdoors!BI35=TRUE),VLOOKUP(Calculator!E23,tbSkills!DH3:DJ6,3,FALSE),0),0)))/100)),1))*IF(VLOOKUP(A52,tbMoveset!A2:K112,11,FALSE)=TRUE,Backdoors!AC5,1))*HS52,0),"")</f>
        <v>0</v>
      </c>
      <c r="HW52" s="49">
        <f>VLOOKUP(A52,tbMoveset!A2:G112,7,FALSE)*IFERROR(IF(Backdoors!AI12&gt;=0,1+(IF(Calculator!E40&gt;0,VLOOKUP(Calculator!E40,tbSkills!AI3:AJ5,2,FALSE),Backdoors!AL4)*(IF((Backdoors!AI12+IF(HR52&gt;=0.45,VLOOKUP(Calculator!E23,tbSkills!DH3:DI6,2,FALSE)+IF(AND(Calculator!B8=TRUE,Backdoors!BI35=TRUE),VLOOKUP(Calculator!E23,tbSkills!DH3:DJ6,3,FALSE),0),0))&gt;=100,100,(Backdoors!AI12+IF(HR52&gt;=0.45,VLOOKUP(Calculator!E23,tbSkills!DH3:DI6,2,FALSE)+IF(AND(Calculator!B8=TRUE,Backdoors!BI35=TRUE),VLOOKUP(Calculator!E23,tbSkills!DH3:DJ6,3,FALSE),0),0)))/100)),1),1)</f>
        <v>0.5</v>
      </c>
      <c r="HX52" s="87">
        <f t="shared" si="25"/>
        <v>0</v>
      </c>
      <c r="HY52" s="86" t="str">
        <f>IFERROR(IF(VLOOKUP(A52,tbMoveset!A2:B112,2,FALSE)="Sever",Backdoors!AY36/100,IF(VLOOKUP(A52,tbMoveset!A2:B112,2,FALSE)="Blunt",Backdoors!AZ36/100,Backdoors!BA36/100)),"")</f>
        <v/>
      </c>
      <c r="HZ52" s="49">
        <f>IFERROR(IF(VLOOKUP(tbMoveset!A52,tbMoveset!A2:H112,8,FALSE)="Other",IF(VLOOKUP(tbMoveset!A52,tbMoveset!A2:I112,9,FALSE)="Fire",Backdoors!BB36,IF(VLOOKUP(tbMoveset!A52,tbMoveset!A2:I112,9,FALSE)="Water",Backdoors!BC36,IF(VLOOKUP(tbMoveset!A52,tbMoveset!A2:I112,9,FALSE)="Thunder",Backdoors!BD36,IF(VLOOKUP(tbMoveset!A52,tbMoveset!A2:I112,9,FALSE)="Ice",Backdoors!BE36,IF(VLOOKUP(tbMoveset!A52,tbMoveset!A2:I112,9,FALSE)="Dragon",Backdoors!BF36,Backdoors!BG36)))))/100,Backdoors!BG36/100),"")</f>
        <v>0</v>
      </c>
      <c r="IA52" s="49">
        <f>IFERROR(IF(VLOOKUP(A52,tbMoveset!A2:J112,10,FALSE)=TRUE,IF((Backdoors!AI12+IF(HY52&gt;=0.45,VLOOKUP(Calculator!E23,tbSkills!DH3:DI6,2,FALSE)+IF(AND(Calculator!B8=TRUE,Backdoors!BI36=TRUE),VLOOKUP(Calculator!E23,tbSkills!DH3:DJ6,3,FALSE),0),0))&gt;=0,1+(Backdoors!AL2*(IF((Backdoors!AI12+IF(HY52&gt;=0.45,VLOOKUP(Calculator!E23,tbSkills!DH3:DI6,2,FALSE)+IF(AND(Calculator!B8=TRUE,Backdoors!BI36=TRUE),VLOOKUP(Calculator!E23,tbSkills!DH3:DJ6,3,FALSE),0),0))&gt;=100,100,(Backdoors!AI12+IF(HY52&gt;=0.45,VLOOKUP(Calculator!E23,tbSkills!DH3:DI6,2,FALSE)+IF(AND(Calculator!B8=TRUE,Backdoors!BI36=TRUE),VLOOKUP(Calculator!E23,tbSkills!DH3:DJ6,3,FALSE),0),0)))/100)),(1-(0.25*((-Backdoors!AI12-IF(HY52&gt;=0.45,VLOOKUP(Calculator!E23,tbSkills!DH3:DI6,2,FALSE)+IF(AND(Calculator!B8=TRUE,Backdoors!BI36=TRUE),VLOOKUP(Calculator!E23,tbSkills!DH3:DJ6,3,FALSE),0),0))/100)))),1),"")</f>
        <v>1</v>
      </c>
      <c r="IB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Y52)*IA52)*(VLOOKUP(A52,tbMoveset!A2:C112,3,FALSE)/100)*IF(VLOOKUP(A52,tbMoveset!A2:B112,2,FALSE)="Projectile",Backdoors!N10,Backdoors!N9),0),"")</f>
        <v/>
      </c>
      <c r="IC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Y52&gt;=0.45,VLOOKUP(Calculator!E23,tbSkills!DH3:DI6,2,FALSE)+IF(AND(Calculator!B8=TRUE,Backdoors!BI36=TRUE),VLOOKUP(Calculator!E23,tbSkills!DH3:DJ6,3,FALSE),0),0))&gt;=100,100,(Backdoors!AI12+IF(HY52&gt;=0.45,VLOOKUP(Calculator!E23,tbSkills!DH3:DI6,2,FALSE)+IF(AND(Calculator!B8=TRUE,Backdoors!BI36=TRUE),VLOOKUP(Calculator!E23,tbSkills!DH3:DJ6,3,FALSE),0),0)))/100)),1))*IF(VLOOKUP(A52,tbMoveset!A2:K112,11,FALSE)=TRUE,Backdoors!AC5,1))*HZ52,0),"")</f>
        <v>0</v>
      </c>
      <c r="ID52" s="49">
        <f>VLOOKUP(A52,tbMoveset!A2:G112,7,FALSE)*IFERROR(IF(Backdoors!AI12&gt;=0,1+(IF(Calculator!E40&gt;0,VLOOKUP(Calculator!E40,tbSkills!AI3:AJ5,2,FALSE),Backdoors!AL4)*(IF((Backdoors!AI12+IF(HY52&gt;=0.45,VLOOKUP(Calculator!E23,tbSkills!DH3:DI6,2,FALSE)+IF(AND(Calculator!B8=TRUE,Backdoors!BI36=TRUE),VLOOKUP(Calculator!E23,tbSkills!DH3:DJ6,3,FALSE),0),0))&gt;=100,100,(Backdoors!AI12+IF(HY52&gt;=0.45,VLOOKUP(Calculator!E23,tbSkills!DH3:DI6,2,FALSE)+IF(AND(Calculator!B8=TRUE,Backdoors!BI36=TRUE),VLOOKUP(Calculator!E23,tbSkills!DH3:DJ6,3,FALSE),0),0)))/100)),1),1)</f>
        <v>0.5</v>
      </c>
      <c r="IE52" s="87">
        <f t="shared" si="26"/>
        <v>0</v>
      </c>
      <c r="IF52" s="86" t="str">
        <f>IFERROR(IF(VLOOKUP(A52,tbMoveset!A2:B112,2,FALSE)="Sever",Backdoors!AY37/100,IF(VLOOKUP(A52,tbMoveset!A2:B112,2,FALSE)="Blunt",Backdoors!AZ37/100,Backdoors!BA37/100)),"")</f>
        <v/>
      </c>
      <c r="IG52" s="49">
        <f>IFERROR(IF(VLOOKUP(tbMoveset!A52,tbMoveset!A2:H112,8,FALSE)="Other",IF(VLOOKUP(tbMoveset!A52,tbMoveset!A2:I112,9,FALSE)="Fire",Backdoors!BB37,IF(VLOOKUP(tbMoveset!A52,tbMoveset!A2:I112,9,FALSE)="Water",Backdoors!BC37,IF(VLOOKUP(tbMoveset!A52,tbMoveset!A2:I112,9,FALSE)="Thunder",Backdoors!BD37,IF(VLOOKUP(tbMoveset!A52,tbMoveset!A2:I112,9,FALSE)="Ice",Backdoors!BE37,IF(VLOOKUP(tbMoveset!A52,tbMoveset!A2:I112,9,FALSE)="Dragon",Backdoors!BF37,Backdoors!BG37)))))/100,Backdoors!BG37/100),"")</f>
        <v>0</v>
      </c>
      <c r="IH52" s="49">
        <f>IFERROR(IF(VLOOKUP(A52,tbMoveset!A2:J112,10,FALSE)=TRUE,IF((Backdoors!AI12+IF(IF52&gt;=0.45,VLOOKUP(Calculator!E23,tbSkills!DH3:DI6,2,FALSE)+IF(AND(Calculator!B8=TRUE,Backdoors!BI37=TRUE),VLOOKUP(Calculator!E23,tbSkills!DH3:DJ6,3,FALSE),0),0))&gt;=0,1+(Backdoors!AL2*(IF((Backdoors!AI12+IF(IF52&gt;=0.45,VLOOKUP(Calculator!E23,tbSkills!DH3:DI6,2,FALSE)+IF(AND(Calculator!B8=TRUE,Backdoors!BI37=TRUE),VLOOKUP(Calculator!E23,tbSkills!DH3:DJ6,3,FALSE),0),0))&gt;=100,100,(Backdoors!AI12+IF(IF52&gt;=0.45,VLOOKUP(Calculator!E23,tbSkills!DH3:DI6,2,FALSE)+IF(AND(Calculator!B8=TRUE,Backdoors!BI37=TRUE),VLOOKUP(Calculator!E23,tbSkills!DH3:DJ6,3,FALSE),0),0)))/100)),(1-(0.25*((-Backdoors!AI12-IF(IF52&gt;=0.45,VLOOKUP(Calculator!E23,tbSkills!DH3:DI6,2,FALSE)+IF(AND(Calculator!B8=TRUE,Backdoors!BI37=TRUE),VLOOKUP(Calculator!E23,tbSkills!DH3:DJ6,3,FALSE),0),0))/100)))),1),"")</f>
        <v>1</v>
      </c>
      <c r="II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F52)*IH52)*(VLOOKUP(A52,tbMoveset!A2:C112,3,FALSE)/100)*IF(VLOOKUP(A52,tbMoveset!A2:B112,2,FALSE)="Projectile",Backdoors!N10,Backdoors!N9),0),"")</f>
        <v/>
      </c>
      <c r="IJ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IF52&gt;=0.45,VLOOKUP(Calculator!E23,tbSkills!DH3:DI6,2,FALSE)+IF(AND(Calculator!B8=TRUE,Backdoors!BI37=TRUE),VLOOKUP(Calculator!E23,tbSkills!DH3:DJ6,3,FALSE),0),0))&gt;=100,100,(Backdoors!AI12+IF(IF52&gt;=0.45,VLOOKUP(Calculator!E23,tbSkills!DH3:DI6,2,FALSE)+IF(AND(Calculator!B8=TRUE,Backdoors!BI37=TRUE),VLOOKUP(Calculator!E23,tbSkills!DH3:DJ6,3,FALSE),0),0)))/100)),1))*IF(VLOOKUP(A52,tbMoveset!A2:K112,11,FALSE)=TRUE,Backdoors!AC5,1))*IG52,0),"")</f>
        <v>0</v>
      </c>
      <c r="IK52" s="49">
        <f>VLOOKUP(A52,tbMoveset!A2:G112,7,FALSE)*IFERROR(IF(Backdoors!AI12&gt;=0,1+(IF(Calculator!E40&gt;0,VLOOKUP(Calculator!E40,tbSkills!AI3:AJ5,2,FALSE),Backdoors!AL4)*(IF((Backdoors!AI12+IF(IF52&gt;=0.45,VLOOKUP(Calculator!E23,tbSkills!DH3:DI6,2,FALSE)+IF(AND(Calculator!B8=TRUE,Backdoors!BI37=TRUE),VLOOKUP(Calculator!E23,tbSkills!DH3:DJ6,3,FALSE),0),0))&gt;=100,100,(Backdoors!AI12+IF(IF52&gt;=0.45,VLOOKUP(Calculator!E23,tbSkills!DH3:DI6,2,FALSE)+IF(AND(Calculator!B8=TRUE,Backdoors!BI37=TRUE),VLOOKUP(Calculator!E23,tbSkills!DH3:DJ6,3,FALSE),0),0)))/100)),1),1)</f>
        <v>0.5</v>
      </c>
      <c r="IL52" s="87">
        <f t="shared" si="27"/>
        <v>0</v>
      </c>
      <c r="IM52" s="86" t="str">
        <f>IFERROR(IF(VLOOKUP(A52,tbMoveset!A2:B112,2,FALSE)="Sever",Backdoors!AY38/100,IF(VLOOKUP(A52,tbMoveset!A2:B112,2,FALSE)="Blunt",Backdoors!AZ38/100,Backdoors!BA38/100)),"")</f>
        <v/>
      </c>
      <c r="IN52" s="49">
        <f>IFERROR(IF(VLOOKUP(tbMoveset!A52,tbMoveset!A2:H112,8,FALSE)="Other",IF(VLOOKUP(tbMoveset!A52,tbMoveset!A2:I112,9,FALSE)="Fire",Backdoors!BB38,IF(VLOOKUP(tbMoveset!A52,tbMoveset!A2:I112,9,FALSE)="Water",Backdoors!BC38,IF(VLOOKUP(tbMoveset!A52,tbMoveset!A2:I112,9,FALSE)="Thunder",Backdoors!BD38,IF(VLOOKUP(tbMoveset!A52,tbMoveset!A2:I112,9,FALSE)="Ice",Backdoors!BE38,IF(VLOOKUP(tbMoveset!A52,tbMoveset!A2:I112,9,FALSE)="Dragon",Backdoors!BF38,Backdoors!BG38)))))/100,Backdoors!BG38/100),"")</f>
        <v>0</v>
      </c>
      <c r="IO52" s="49">
        <f>IFERROR(IF(VLOOKUP(A52,tbMoveset!A2:J112,10,FALSE)=TRUE,IF((Backdoors!AI12+IF(IM52&gt;=0.45,VLOOKUP(Calculator!E23,tbSkills!DH3:DI6,2,FALSE)+IF(AND(Calculator!B8=TRUE,Backdoors!BI38=TRUE),VLOOKUP(Calculator!E23,tbSkills!DH3:DJ6,3,FALSE),0),0))&gt;=0,1+(Backdoors!AL2*(IF((Backdoors!AI12+IF(IM52&gt;=0.45,VLOOKUP(Calculator!E23,tbSkills!DH3:DI6,2,FALSE)+IF(AND(Calculator!B8=TRUE,Backdoors!BI38=TRUE),VLOOKUP(Calculator!E23,tbSkills!DH3:DJ6,3,FALSE),0),0))&gt;=100,100,(Backdoors!AI12+IF(IM52&gt;=0.45,VLOOKUP(Calculator!E23,tbSkills!DH3:DI6,2,FALSE)+IF(AND(Calculator!B8=TRUE,Backdoors!BI38=TRUE),VLOOKUP(Calculator!E23,tbSkills!DH3:DJ6,3,FALSE),0),0)))/100)),(1-(0.25*((-Backdoors!AI12-IF(IM52&gt;=0.45,VLOOKUP(Calculator!E23,tbSkills!DH3:DI6,2,FALSE)+IF(AND(Calculator!B8=TRUE,Backdoors!BI38=TRUE),VLOOKUP(Calculator!E23,tbSkills!DH3:DJ6,3,FALSE),0),0))/100)))),1),"")</f>
        <v>1</v>
      </c>
      <c r="IP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M52)*IO52)*(VLOOKUP(A52,tbMoveset!A2:C112,3,FALSE)/100)*IF(VLOOKUP(A52,tbMoveset!A2:B112,2,FALSE)="Projectile",Backdoors!N10,Backdoors!N9),0),"")</f>
        <v/>
      </c>
      <c r="IQ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IM52&gt;=0.45,VLOOKUP(Calculator!E23,tbSkills!DH3:DI6,2,FALSE)+IF(AND(Calculator!B8=TRUE,Backdoors!BI38=TRUE),VLOOKUP(Calculator!E23,tbSkills!DH3:DJ6,3,FALSE),0),0))&gt;=100,100,(Backdoors!AI12+IF(IM52&gt;=0.45,VLOOKUP(Calculator!E23,tbSkills!DH3:DI6,2,FALSE)+IF(AND(Calculator!B8=TRUE,Backdoors!BI38=TRUE),VLOOKUP(Calculator!E23,tbSkills!DH3:DJ6,3,FALSE),0),0)))/100)),1))*IF(VLOOKUP(A52,tbMoveset!A2:K112,11,FALSE)=TRUE,Backdoors!AC5,1))*IN52,0),"")</f>
        <v>0</v>
      </c>
      <c r="IR52" s="49">
        <f>VLOOKUP(A52,tbMoveset!A2:G112,7,FALSE)*IFERROR(IF(Backdoors!AI12&gt;=0,1+(IF(Calculator!E40&gt;0,VLOOKUP(Calculator!E40,tbSkills!AI3:AJ5,2,FALSE),Backdoors!AL4)*(IF((Backdoors!AI12+IF(IM52&gt;=0.45,VLOOKUP(Calculator!E23,tbSkills!DH3:DI6,2,FALSE)+IF(AND(Calculator!B8=TRUE,Backdoors!BI38=TRUE),VLOOKUP(Calculator!E23,tbSkills!DH3:DJ6,3,FALSE),0),0))&gt;=100,100,(Backdoors!AI12+IF(IM52&gt;=0.45,VLOOKUP(Calculator!E23,tbSkills!DH3:DI6,2,FALSE)+IF(AND(Calculator!B8=TRUE,Backdoors!BI38=TRUE),VLOOKUP(Calculator!E23,tbSkills!DH3:DJ6,3,FALSE),0),0)))/100)),1),1)</f>
        <v>0.5</v>
      </c>
      <c r="IS52" s="87">
        <f t="shared" si="42"/>
        <v>0</v>
      </c>
      <c r="IT52" s="86" t="str">
        <f>IFERROR(IF(VLOOKUP(A52,tbMoveset!A2:B112,2,FALSE)="Sever",Backdoors!AY39/100,IF(VLOOKUP(A52,tbMoveset!A2:B112,2,FALSE)="Blunt",Backdoors!AZ39/100,Backdoors!BA39/100)),"")</f>
        <v/>
      </c>
      <c r="IU52" s="49">
        <f>IFERROR(IF(VLOOKUP(tbMoveset!A52,tbMoveset!A2:H112,8,FALSE)="Other",IF(VLOOKUP(tbMoveset!A52,tbMoveset!A2:I112,9,FALSE)="Fire",Backdoors!BB39,IF(VLOOKUP(tbMoveset!A52,tbMoveset!A2:I112,9,FALSE)="Water",Backdoors!BC39,IF(VLOOKUP(tbMoveset!A52,tbMoveset!A2:I112,9,FALSE)="Thunder",Backdoors!BD39,IF(VLOOKUP(tbMoveset!A52,tbMoveset!A2:I112,9,FALSE)="Ice",Backdoors!BE39,IF(VLOOKUP(tbMoveset!A52,tbMoveset!A2:I112,9,FALSE)="Dragon",Backdoors!BF39,Backdoors!BG39)))))/100,Backdoors!BG39/100),"")</f>
        <v>0</v>
      </c>
      <c r="IV52" s="49">
        <f>IFERROR(IF(VLOOKUP(A52,tbMoveset!A2:J112,10,FALSE)=TRUE,IF((Backdoors!AI12+IF(IT52&gt;=0.45,VLOOKUP(Calculator!E23,tbSkills!DH3:DI6,2,FALSE)+IF(AND(Calculator!B8=TRUE,Backdoors!BI39=TRUE),VLOOKUP(Calculator!E23,tbSkills!DH3:DJ6,3,FALSE),0),0))&gt;=0,1+(Backdoors!AL2*(IF((Backdoors!AI12+IF(IT52&gt;=0.45,VLOOKUP(Calculator!E23,tbSkills!DH3:DI6,2,FALSE)+IF(AND(Calculator!B8=TRUE,Backdoors!BI39=TRUE),VLOOKUP(Calculator!E23,tbSkills!DH3:DJ6,3,FALSE),0),0))&gt;=100,100,(Backdoors!AI12+IF(IT52&gt;=0.45,VLOOKUP(Calculator!E23,tbSkills!DH3:DI6,2,FALSE)+IF(AND(Calculator!B8=TRUE,Backdoors!BI39=TRUE),VLOOKUP(Calculator!E23,tbSkills!DH3:DJ6,3,FALSE),0),0)))/100)),(1-(0.25*((-Backdoors!AI12-IF(IT52&gt;=0.45,VLOOKUP(Calculator!E23,tbSkills!DH3:DI6,2,FALSE)+IF(AND(Calculator!B8=TRUE,Backdoors!BI39=TRUE),VLOOKUP(Calculator!E23,tbSkills!DH3:DJ6,3,FALSE),0),0))/100)))),1),"")</f>
        <v>1</v>
      </c>
      <c r="IW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T52)*IV52)*(VLOOKUP(A52,tbMoveset!A2:C112,3,FALSE)/100)*IF(VLOOKUP(A52,tbMoveset!A2:B112,2,FALSE)="Projectile",Backdoors!N10,Backdoors!N9),0),"")</f>
        <v/>
      </c>
      <c r="IX52" s="49">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40&gt;0,VLOOKUP(Calculator!E40,tbSkills!AC3:AD5,2,FALSE),Backdoors!AL3)*(IF((Backdoors!AI12+IF(IT52&gt;=0.45,VLOOKUP(Calculator!E23,tbSkills!DH3:DI6,2,FALSE)+IF(AND(Calculator!B8=TRUE,Backdoors!BI39=TRUE),VLOOKUP(Calculator!E23,tbSkills!DH3:DJ6,3,FALSE),0),0))&gt;=100,100,(Backdoors!AI12+IF(IT52&gt;=0.45,VLOOKUP(Calculator!E23,tbSkills!DH3:DI6,2,FALSE)+IF(AND(Calculator!B8=TRUE,Backdoors!BI39=TRUE),VLOOKUP(Calculator!E23,tbSkills!DH3:DJ6,3,FALSE),0),0)))/100)),1))*IF(VLOOKUP(A52,tbMoveset!A2:K112,11,FALSE)=TRUE,Backdoors!AC5,1))*IU52,0),"")</f>
        <v>0</v>
      </c>
      <c r="IY52" s="49">
        <f>VLOOKUP(A52,tbMoveset!A2:G112,7,FALSE)*IFERROR(IF(Backdoors!AI12&gt;=0,1+(IF(Calculator!E40&gt;0,VLOOKUP(Calculator!E40,tbSkills!AI3:AJ5,2,FALSE),Backdoors!AL4)*(IF((Backdoors!AI12+IF(IT52&gt;=0.45,VLOOKUP(Calculator!E23,tbSkills!DH3:DI6,2,FALSE)+IF(AND(Calculator!B8=TRUE,Backdoors!BI39=TRUE),VLOOKUP(Calculator!E23,tbSkills!DH3:DJ6,3,FALSE),0),0))&gt;=100,100,(Backdoors!AI12+IF(IT52&gt;=0.45,VLOOKUP(Calculator!E23,tbSkills!DH3:DI6,2,FALSE)+IF(AND(Calculator!B8=TRUE,Backdoors!BI39=TRUE),VLOOKUP(Calculator!E23,tbSkills!DH3:DJ6,3,FALSE),0),0)))/100)),1),1)</f>
        <v>0.5</v>
      </c>
      <c r="IZ52" s="87">
        <f t="shared" si="28"/>
        <v>0</v>
      </c>
      <c r="JA52" s="86" t="str">
        <f>IFERROR(IF(VLOOKUP(A52,tbMoveset!A2:B112,2,FALSE)="Sever",Backdoors!AY40/100,IF(VLOOKUP(A52,tbMoveset!A2:B112,2,FALSE)="Blunt",Backdoors!AZ40/100,Backdoors!BA40/100)),"")</f>
        <v/>
      </c>
      <c r="JB52" s="49">
        <f>IFERROR(IF(VLOOKUP(tbMoveset!A52,tbMoveset!A2:H112,8,FALSE)="Other",IF(VLOOKUP(tbMoveset!A52,tbMoveset!A2:I112,9,FALSE)="Fire",Backdoors!BB40,IF(VLOOKUP(tbMoveset!A52,tbMoveset!A2:I112,9,FALSE)="Water",Backdoors!BC40,IF(VLOOKUP(tbMoveset!A52,tbMoveset!A2:I112,9,FALSE)="Thunder",Backdoors!BD40,IF(VLOOKUP(tbMoveset!A52,tbMoveset!A2:I112,9,FALSE)="Ice",Backdoors!BE40,IF(VLOOKUP(tbMoveset!A52,tbMoveset!A2:I112,9,FALSE)="Dragon",Backdoors!BF40,Backdoors!BG40)))))/100,Backdoors!BG40/100),"")</f>
        <v>0</v>
      </c>
      <c r="JC52" s="49">
        <f>IFERROR(IF(VLOOKUP(A52,tbMoveset!A2:J112,10,FALSE)=TRUE,IF((Backdoors!AI12+IF(JA52&gt;=0.45,VLOOKUP(Calculator!E23,tbSkills!DH3:DI6,2,FALSE)+IF(AND(Calculator!B8=TRUE,Backdoors!BI40=TRUE),VLOOKUP(Calculator!E23,tbSkills!DH3:DJ6,3,FALSE),0),0))&gt;=0,1+(Backdoors!AL2*(IF((Backdoors!AI12+IF(JA52&gt;=0.45,VLOOKUP(Calculator!E23,tbSkills!DH3:DI6,2,FALSE)+IF(AND(Calculator!B8=TRUE,Backdoors!BI40=TRUE),VLOOKUP(Calculator!E23,tbSkills!DH3:DJ6,3,FALSE),0),0))&gt;=100,100,(Backdoors!AI12+IF(JA52&gt;=0.45,VLOOKUP(Calculator!E23,tbSkills!DH3:DI6,2,FALSE)+IF(AND(Calculator!B8=TRUE,Backdoors!BI40=TRUE),VLOOKUP(Calculator!E23,tbSkills!DH3:DJ6,3,FALSE),0),0)))/100)),(1-(0.25*((-Backdoors!AI12-IF(JA52&gt;=0.45,VLOOKUP(Calculator!E23,tbSkills!DH3:DI6,2,FALSE)+IF(AND(Calculator!B8=TRUE,Backdoors!BI40=TRUE),VLOOKUP(Calculator!E23,tbSkills!DH3:DJ6,3,FALSE),0),0))/100)))),1),"")</f>
        <v>1</v>
      </c>
      <c r="JD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A52)*JC52)*(VLOOKUP(A52,tbMoveset!A2:C112,3,FALSE)/100)*IF(VLOOKUP(A52,tbMoveset!A2:B112,2,FALSE)="Projectile",Backdoors!N10,Backdoors!N9),0),"")</f>
        <v/>
      </c>
      <c r="JE52" s="49">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42&gt;0,VLOOKUP(Calculator!E42,tbSkills!AC3:AD5,2,FALSE),Backdoors!AL3)*(IF((Backdoors!AI12+IF(JA52&gt;=0.45,VLOOKUP(Calculator!E23,tbSkills!DH3:DI6,2,FALSE)+IF(AND(Calculator!B8=TRUE,Backdoors!BI40=TRUE),VLOOKUP(Calculator!E23,tbSkills!DH3:DJ6,3,FALSE),0),0))&gt;=100,100,(Backdoors!AI12+IF(JA52&gt;=0.45,VLOOKUP(Calculator!E23,tbSkills!DH3:DI6,2,FALSE)+IF(AND(Calculator!B8=TRUE,Backdoors!BI40=TRUE),VLOOKUP(Calculator!E23,tbSkills!DH3:DJ6,3,FALSE),0),0)))/100)),1))*IF(VLOOKUP(A52,tbMoveset!A2:K112,11,FALSE)=TRUE,Backdoors!AC5,1))*JB52,0),"")</f>
        <v>0</v>
      </c>
      <c r="JF52" s="49">
        <f>VLOOKUP(A52,tbMoveset!A2:G112,7,FALSE)*IFERROR(IF(Backdoors!AI12&gt;=0,1+(IF(Calculator!E40&gt;0,VLOOKUP(Calculator!E40,tbSkills!AI3:AJ5,2,FALSE),Backdoors!AL4)*(IF((Backdoors!AI12+IF(JA52&gt;=0.45,VLOOKUP(Calculator!E23,tbSkills!DH3:DI6,2,FALSE)+IF(AND(Calculator!B8=TRUE,Backdoors!BI40=TRUE),VLOOKUP(Calculator!E23,tbSkills!DH3:DJ6,3,FALSE),0),0))&gt;=100,100,(Backdoors!AI12+IF(JA52&gt;=0.45,VLOOKUP(Calculator!E23,tbSkills!DH3:DI6,2,FALSE)+IF(AND(Calculator!B8=TRUE,Backdoors!BI40=TRUE),VLOOKUP(Calculator!E23,tbSkills!DH3:DJ6,3,FALSE),0),0)))/100)),1),1)</f>
        <v>0.5</v>
      </c>
      <c r="JG52" s="87">
        <f t="shared" si="29"/>
        <v>0</v>
      </c>
      <c r="JH52" s="86" t="str">
        <f>IFERROR(IF(VLOOKUP(A52,tbMoveset!A2:B112,2,FALSE)="Sever",Backdoors!AY41/100,IF(VLOOKUP(A52,tbMoveset!A2:B112,2,FALSE)="Blunt",Backdoors!AZ41/100,Backdoors!BA41/100)),"")</f>
        <v/>
      </c>
      <c r="JI52" s="49">
        <f>IFERROR(IF(VLOOKUP(tbMoveset!A52,tbMoveset!A2:H112,8,FALSE)="Other",IF(VLOOKUP(tbMoveset!A52,tbMoveset!A2:I112,9,FALSE)="Fire",Backdoors!BB41,IF(VLOOKUP(tbMoveset!A52,tbMoveset!A2:I112,9,FALSE)="Water",Backdoors!BC41,IF(VLOOKUP(tbMoveset!A52,tbMoveset!A2:I112,9,FALSE)="Thunder",Backdoors!BD41,IF(VLOOKUP(tbMoveset!A52,tbMoveset!A2:I112,9,FALSE)="Ice",Backdoors!BE41,IF(VLOOKUP(tbMoveset!A52,tbMoveset!A2:I112,9,FALSE)="Dragon",Backdoors!BF41,Backdoors!BG41)))))/100,Backdoors!BG41/100),"")</f>
        <v>0</v>
      </c>
      <c r="JJ52" s="49">
        <f>IFERROR(IF(VLOOKUP(A52,tbMoveset!A2:J112,10,FALSE)=TRUE,IF((Backdoors!AI12+IF(JH52&gt;=0.45,VLOOKUP(Calculator!E23,tbSkills!DH3:DI6,2,FALSE)+IF(AND(Calculator!B8=TRUE,Backdoors!BI41=TRUE),VLOOKUP(Calculator!E23,tbSkills!DH3:DJ6,3,FALSE),0),0))&gt;=0,1+(Backdoors!AL2*(IF((Backdoors!AI12+IF(JH52&gt;=0.45,VLOOKUP(Calculator!E23,tbSkills!DH3:DI6,2,FALSE)+IF(AND(Calculator!B8=TRUE,Backdoors!BI41=TRUE),VLOOKUP(Calculator!E23,tbSkills!DH3:DJ6,3,FALSE),0),0))&gt;=100,100,(Backdoors!AI12+IF(JH52&gt;=0.45,VLOOKUP(Calculator!E23,tbSkills!DH3:DI6,2,FALSE)+IF(AND(Calculator!B8=TRUE,Backdoors!BI41=TRUE),VLOOKUP(Calculator!E23,tbSkills!DH3:DJ6,3,FALSE),0),0)))/100)),(1-(0.25*((-Backdoors!AI12-IF(JH52&gt;=0.45,VLOOKUP(Calculator!E23,tbSkills!DH3:DI6,2,FALSE)+IF(AND(Calculator!B8=TRUE,Backdoors!BI41=TRUE),VLOOKUP(Calculator!E23,tbSkills!DH3:DJ6,3,FALSE),0),0))/100)))),1),"")</f>
        <v>1</v>
      </c>
      <c r="JK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H52)*JJ52)*(VLOOKUP(A52,tbMoveset!A2:C112,3,FALSE)/100)*IF(VLOOKUP(A52,tbMoveset!A2:B112,2,FALSE)="Projectile",Backdoors!N10,Backdoors!N9),0),"")</f>
        <v/>
      </c>
      <c r="JL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43&gt;0,VLOOKUP(Calculator!E43,tbSkills!AC3:AD5,2,FALSE),Backdoors!AL3)*(IF((Backdoors!AI12+IF(JH52&gt;=0.45,VLOOKUP(Calculator!E23,tbSkills!DH3:DI6,2,FALSE)+IF(AND(Calculator!B8=TRUE,Backdoors!BI41=TRUE),VLOOKUP(Calculator!E23,tbSkills!DH3:DJ6,3,FALSE),0),0))&gt;=100,100,(Backdoors!AI12+IF(JH52&gt;=0.45,VLOOKUP(Calculator!E23,tbSkills!DH3:DI6,2,FALSE)+IF(AND(Calculator!B8=TRUE,Backdoors!BI41=TRUE),VLOOKUP(Calculator!E23,tbSkills!DH3:DJ6,3,FALSE),0),0)))/100)),1))*IF(VLOOKUP(A52,tbMoveset!A2:K112,11,FALSE)=TRUE,Backdoors!AC5,1))*JI52,0),"")</f>
        <v/>
      </c>
      <c r="JM52" s="49">
        <f>VLOOKUP(A52,tbMoveset!A2:G112,7,FALSE)*IFERROR(IF(Backdoors!AI12&gt;=0,1+(IF(Calculator!E40&gt;0,VLOOKUP(Calculator!E40,tbSkills!AI3:AJ5,2,FALSE),Backdoors!AL4)*(IF((Backdoors!AI12+IF(JH52&gt;=0.45,VLOOKUP(Calculator!E23,tbSkills!DH3:DI6,2,FALSE)+IF(AND(Calculator!B8=TRUE,Backdoors!BI41=TRUE),VLOOKUP(Calculator!E23,tbSkills!DH3:DJ6,3,FALSE),0),0))&gt;=100,100,(Backdoors!AI12+IF(JH52&gt;=0.45,VLOOKUP(Calculator!E23,tbSkills!DH3:DI6,2,FALSE)+IF(AND(Calculator!B8=TRUE,Backdoors!BI41=TRUE),VLOOKUP(Calculator!E23,tbSkills!DH3:DJ6,3,FALSE),0),0)))/100)),1),1)</f>
        <v>0.5</v>
      </c>
      <c r="JN52" s="87">
        <f t="shared" si="30"/>
        <v>0</v>
      </c>
      <c r="JO52" s="86" t="str">
        <f>IFERROR(IF(VLOOKUP(A52,tbMoveset!A2:B112,2,FALSE)="Sever",Backdoors!AY42/100,IF(VLOOKUP(A52,tbMoveset!A2:B112,2,FALSE)="Blunt",Backdoors!AZ42/100,Backdoors!BA42/100)),"")</f>
        <v/>
      </c>
      <c r="JP52" s="49">
        <f>IFERROR(IF(VLOOKUP(tbMoveset!A52,tbMoveset!A2:H112,8,FALSE)="Other",IF(VLOOKUP(tbMoveset!A52,tbMoveset!A2:I112,9,FALSE)="Fire",Backdoors!BB42,IF(VLOOKUP(tbMoveset!A52,tbMoveset!A2:I112,9,FALSE)="Water",Backdoors!BC42,IF(VLOOKUP(tbMoveset!A52,tbMoveset!A2:I112,9,FALSE)="Thunder",Backdoors!BD42,IF(VLOOKUP(tbMoveset!A52,tbMoveset!A2:I112,9,FALSE)="Ice",Backdoors!BE42,IF(VLOOKUP(tbMoveset!A52,tbMoveset!A2:I112,9,FALSE)="Dragon",Backdoors!BF42,Backdoors!BG42)))))/100,Backdoors!BG42/100),"")</f>
        <v>0</v>
      </c>
      <c r="JQ52" s="49">
        <f>IFERROR(IF(VLOOKUP(A52,tbMoveset!A2:J112,10,FALSE)=TRUE,IF((Backdoors!AI12+IF(JO52&gt;=0.45,VLOOKUP(Calculator!E23,tbSkills!DH3:DI6,2,FALSE)+IF(AND(Calculator!B8=TRUE,Backdoors!BI42=TRUE),VLOOKUP(Calculator!E23,tbSkills!DH3:DJ6,3,FALSE),0),0))&gt;=0,1+(Backdoors!AL2*(IF((Backdoors!AI12+IF(JO52&gt;=0.45,VLOOKUP(Calculator!E23,tbSkills!DH3:DI6,2,FALSE)+IF(AND(Calculator!B8=TRUE,Backdoors!BI42=TRUE),VLOOKUP(Calculator!E23,tbSkills!DH3:DJ6,3,FALSE),0),0))&gt;=100,100,(Backdoors!AI12+IF(JO52&gt;=0.45,VLOOKUP(Calculator!E23,tbSkills!DH3:DI6,2,FALSE)+IF(AND(Calculator!B8=TRUE,Backdoors!BI42=TRUE),VLOOKUP(Calculator!E23,tbSkills!DH3:DJ6,3,FALSE),0),0)))/100)),(1-(0.25*((-Backdoors!AI12-IF(JO52&gt;=0.45,VLOOKUP(Calculator!E23,tbSkills!DH3:DI6,2,FALSE)+IF(AND(Calculator!B8=TRUE,Backdoors!BI42=TRUE),VLOOKUP(Calculator!E23,tbSkills!DH3:DJ6,3,FALSE),0),0))/100)))),1),"")</f>
        <v>1</v>
      </c>
      <c r="JR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O52)*JQ52)*(VLOOKUP(A52,tbMoveset!A2:C112,3,FALSE)/100)*IF(VLOOKUP(A52,tbMoveset!A2:B112,2,FALSE)="Projectile",Backdoors!N10,Backdoors!N9),0),"")</f>
        <v/>
      </c>
      <c r="JS52" s="49">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45&gt;0,VLOOKUP(Calculator!E45,tbSkills!AC3:AD5,2,FALSE),Backdoors!AL3)*(IF((Backdoors!AI12+IF(JO52&gt;=0.45,VLOOKUP(Calculator!E23,tbSkills!DH3:DI6,2,FALSE)+IF(AND(Calculator!B8=TRUE,Backdoors!BI42=TRUE),VLOOKUP(Calculator!E23,tbSkills!DH3:DJ6,3,FALSE),0),0))&gt;=100,100,(Backdoors!AI12+IF(JO52&gt;=0.45,VLOOKUP(Calculator!E23,tbSkills!DH3:DI6,2,FALSE)+IF(AND(Calculator!B8=TRUE,Backdoors!BI42=TRUE),VLOOKUP(Calculator!E23,tbSkills!DH3:DJ6,3,FALSE),0),0)))/100)),1))*IF(VLOOKUP(A52,tbMoveset!A2:K112,11,FALSE)=TRUE,Backdoors!AC5,1))*JP52,0),"")</f>
        <v>0</v>
      </c>
      <c r="JT52" s="49">
        <f>VLOOKUP(A52,tbMoveset!A2:G112,7,FALSE)*IFERROR(IF(Backdoors!AI12&gt;=0,1+(IF(Calculator!E40&gt;0,VLOOKUP(Calculator!E40,tbSkills!AI3:AJ5,2,FALSE),Backdoors!AL4)*(IF((Backdoors!AI12+IF(JO52&gt;=0.45,VLOOKUP(Calculator!E23,tbSkills!DH3:DI6,2,FALSE)+IF(AND(Calculator!B8=TRUE,Backdoors!BI42=TRUE),VLOOKUP(Calculator!E23,tbSkills!DH3:DJ6,3,FALSE),0),0))&gt;=100,100,(Backdoors!AI12+IF(JO52&gt;=0.45,VLOOKUP(Calculator!E23,tbSkills!DH3:DI6,2,FALSE)+IF(AND(Calculator!B8=TRUE,Backdoors!BI42=TRUE),VLOOKUP(Calculator!E23,tbSkills!DH3:DJ6,3,FALSE),0),0)))/100)),1),1)</f>
        <v>0.5</v>
      </c>
      <c r="JU52" s="87">
        <f t="shared" si="31"/>
        <v>0</v>
      </c>
      <c r="JV52" s="86" t="str">
        <f>IFERROR(IF(VLOOKUP(A52,tbMoveset!A2:B112,2,FALSE)="Sever",Backdoors!AY43/100,IF(VLOOKUP(A52,tbMoveset!A2:B112,2,FALSE)="Blunt",Backdoors!AZ43/100,Backdoors!BA43/100)),"")</f>
        <v/>
      </c>
      <c r="JW52" s="49">
        <f>IFERROR(IF(VLOOKUP(tbMoveset!A52,tbMoveset!A2:H112,8,FALSE)="Other",IF(VLOOKUP(tbMoveset!A52,tbMoveset!A2:I112,9,FALSE)="Fire",Backdoors!BB43,IF(VLOOKUP(tbMoveset!A52,tbMoveset!A2:I112,9,FALSE)="Water",Backdoors!BC43,IF(VLOOKUP(tbMoveset!A52,tbMoveset!A2:I112,9,FALSE)="Thunder",Backdoors!BD43,IF(VLOOKUP(tbMoveset!A52,tbMoveset!A2:I112,9,FALSE)="Ice",Backdoors!BE43,IF(VLOOKUP(tbMoveset!A52,tbMoveset!A2:I112,9,FALSE)="Dragon",Backdoors!BF43,Backdoors!BG43)))))/100,Backdoors!BG43/100),"")</f>
        <v>0</v>
      </c>
      <c r="JX52" s="49">
        <f>IFERROR(IF(VLOOKUP(A52,tbMoveset!A2:J112,10,FALSE)=TRUE,IF((Backdoors!AI12+IF(JV52&gt;=0.45,VLOOKUP(Calculator!E23,tbSkills!DH3:DI6,2,FALSE)+IF(AND(Calculator!B8=TRUE,Backdoors!BI43=TRUE),VLOOKUP(Calculator!E23,tbSkills!DH3:DJ6,3,FALSE),0),0))&gt;=0,1+(Backdoors!AL2*(IF((Backdoors!AI12+IF(JV52&gt;=0.45,VLOOKUP(Calculator!E23,tbSkills!DH3:DI6,2,FALSE)+IF(AND(Calculator!B8=TRUE,Backdoors!BI43=TRUE),VLOOKUP(Calculator!E23,tbSkills!DH3:DJ6,3,FALSE),0),0))&gt;=100,100,(Backdoors!AI12+IF(JV52&gt;=0.45,VLOOKUP(Calculator!E23,tbSkills!DH3:DI6,2,FALSE)+IF(AND(Calculator!B8=TRUE,Backdoors!BI43=TRUE),VLOOKUP(Calculator!E23,tbSkills!DH3:DJ6,3,FALSE),0),0)))/100)),(1-(0.25*((-Backdoors!AI12-IF(JV52&gt;=0.45,VLOOKUP(Calculator!E23,tbSkills!DH3:DI6,2,FALSE)+IF(AND(Calculator!B8=TRUE,Backdoors!BI43=TRUE),VLOOKUP(Calculator!E23,tbSkills!DH3:DJ6,3,FALSE),0),0))/100)))),1),"")</f>
        <v>1</v>
      </c>
      <c r="JY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V52)*JX52)*(VLOOKUP(A52,tbMoveset!A2:C112,3,FALSE)/100)*IF(VLOOKUP(A52,tbMoveset!A2:B112,2,FALSE)="Projectile",Backdoors!N10,Backdoors!N9),0),"")</f>
        <v/>
      </c>
      <c r="JZ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46&gt;0,VLOOKUP(Calculator!E46,tbSkills!AC3:AD5,2,FALSE),Backdoors!AL3)*(IF((Backdoors!AI12+IF(JV52&gt;=0.45,VLOOKUP(Calculator!E23,tbSkills!DH3:DI6,2,FALSE)+IF(AND(Calculator!B8=TRUE,Backdoors!BI43=TRUE),VLOOKUP(Calculator!E23,tbSkills!DH3:DJ6,3,FALSE),0),0))&gt;=100,100,(Backdoors!AI12+IF(JV52&gt;=0.45,VLOOKUP(Calculator!E23,tbSkills!DH3:DI6,2,FALSE)+IF(AND(Calculator!B8=TRUE,Backdoors!BI43=TRUE),VLOOKUP(Calculator!E23,tbSkills!DH3:DJ6,3,FALSE),0),0)))/100)),1))*IF(VLOOKUP(A52,tbMoveset!A2:K112,11,FALSE)=TRUE,Backdoors!AC5,1))*JW52,0),"")</f>
        <v/>
      </c>
      <c r="KA52" s="49">
        <f>VLOOKUP(A52,tbMoveset!A2:G112,7,FALSE)*IFERROR(IF(Backdoors!AI12&gt;=0,1+(IF(Calculator!E40&gt;0,VLOOKUP(Calculator!E40,tbSkills!AI3:AJ5,2,FALSE),Backdoors!AL4)*(IF((Backdoors!AI12+IF(JV52&gt;=0.45,VLOOKUP(Calculator!E23,tbSkills!DH3:DI6,2,FALSE)+IF(AND(Calculator!B8=TRUE,Backdoors!BI43=TRUE),VLOOKUP(Calculator!E23,tbSkills!DH3:DJ6,3,FALSE),0),0))&gt;=100,100,(Backdoors!AI12+IF(JV52&gt;=0.45,VLOOKUP(Calculator!E23,tbSkills!DH3:DI6,2,FALSE)+IF(AND(Calculator!B8=TRUE,Backdoors!BI43=TRUE),VLOOKUP(Calculator!E23,tbSkills!DH3:DJ6,3,FALSE),0),0)))/100)),1),1)</f>
        <v>0.5</v>
      </c>
      <c r="KB52" s="87">
        <f t="shared" si="32"/>
        <v>0</v>
      </c>
      <c r="KC52" s="86" t="str">
        <f>IFERROR(IF(VLOOKUP(A52,tbMoveset!A2:B112,2,FALSE)="Sever",Backdoors!AY44/100,IF(VLOOKUP(A52,tbMoveset!A2:B112,2,FALSE)="Blunt",Backdoors!AZ44/100,Backdoors!BA44/100)),"")</f>
        <v/>
      </c>
      <c r="KD52" s="49">
        <f>IFERROR(IF(VLOOKUP(tbMoveset!A52,tbMoveset!A2:H112,8,FALSE)="Other",IF(VLOOKUP(tbMoveset!A52,tbMoveset!A2:I112,9,FALSE)="Fire",Backdoors!BB44,IF(VLOOKUP(tbMoveset!A52,tbMoveset!A2:I112,9,FALSE)="Water",Backdoors!BC44,IF(VLOOKUP(tbMoveset!A52,tbMoveset!A2:I112,9,FALSE)="Thunder",Backdoors!BD44,IF(VLOOKUP(tbMoveset!A52,tbMoveset!A2:I112,9,FALSE)="Ice",Backdoors!BE44,IF(VLOOKUP(tbMoveset!A52,tbMoveset!A2:I112,9,FALSE)="Dragon",Backdoors!BF44,Backdoors!BG44)))))/100,Backdoors!BG44/100),"")</f>
        <v>0</v>
      </c>
      <c r="KE52" s="49">
        <f>IFERROR(IF(VLOOKUP(A52,tbMoveset!A2:J112,10,FALSE)=TRUE,IF((Backdoors!AI12+IF(KC52&gt;=0.45,VLOOKUP(Calculator!E23,tbSkills!DH3:DI6,2,FALSE)+IF(AND(Calculator!B8=TRUE,Backdoors!BI44=TRUE),VLOOKUP(Calculator!E23,tbSkills!DH3:DJ6,3,FALSE),0),0))&gt;=0,1+(Backdoors!AL2*(IF((Backdoors!AI12+IF(KC52&gt;=0.45,VLOOKUP(Calculator!E23,tbSkills!DH3:DI6,2,FALSE)+IF(AND(Calculator!B8=TRUE,Backdoors!BI44=TRUE),VLOOKUP(Calculator!E23,tbSkills!DH3:DJ6,3,FALSE),0),0))&gt;=100,100,(Backdoors!AI12+IF(KC52&gt;=0.45,VLOOKUP(Calculator!E23,tbSkills!DH3:DI6,2,FALSE)+IF(AND(Calculator!B8=TRUE,Backdoors!BI44=TRUE),VLOOKUP(Calculator!E23,tbSkills!DH3:DJ6,3,FALSE),0),0)))/100)),(1-(0.25*((-Backdoors!AI12-IF(KC52&gt;=0.45,VLOOKUP(Calculator!E23,tbSkills!DH3:DI6,2,FALSE)+IF(AND(Calculator!B8=TRUE,Backdoors!BI44=TRUE),VLOOKUP(Calculator!E23,tbSkills!DH3:DJ6,3,FALSE),0),0))/100)))),1),"")</f>
        <v>1</v>
      </c>
      <c r="KF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KC52)*KE52)*(VLOOKUP(A52,tbMoveset!A2:C112,3,FALSE)/100)*IF(VLOOKUP(A52,tbMoveset!A2:B112,2,FALSE)="Projectile",Backdoors!N10,Backdoors!N9),0),"")</f>
        <v/>
      </c>
      <c r="KG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REF!&gt;0,VLOOKUP(Calculator!#REF!,tbSkills!AC3:AD5,2,FALSE),Backdoors!AL3)*(IF((Backdoors!AI12+IF(KC52&gt;=0.45,VLOOKUP(Calculator!E23,tbSkills!DH3:DI6,2,FALSE)+IF(AND(Calculator!B8=TRUE,Backdoors!BI44=TRUE),VLOOKUP(Calculator!E23,tbSkills!DH3:DJ6,3,FALSE),0),0))&gt;=100,100,(Backdoors!AI12+IF(KC52&gt;=0.45,VLOOKUP(Calculator!E23,tbSkills!DH3:DI6,2,FALSE)+IF(AND(Calculator!B8=TRUE,Backdoors!BI44=TRUE),VLOOKUP(Calculator!E23,tbSkills!DH3:DJ6,3,FALSE),0),0)))/100)),1))*IF(VLOOKUP(A52,tbMoveset!A2:K112,11,FALSE)=TRUE,Backdoors!AC5,1))*KD52,0),"")</f>
        <v/>
      </c>
      <c r="KH52" s="49">
        <f>VLOOKUP(A52,tbMoveset!A2:G112,7,FALSE)*IFERROR(IF(Backdoors!AI12&gt;=0,1+(IF(Calculator!E40&gt;0,VLOOKUP(Calculator!E40,tbSkills!AI3:AJ5,2,FALSE),Backdoors!AL4)*(IF((Backdoors!AI12+IF(KC52&gt;=0.45,VLOOKUP(Calculator!E23,tbSkills!DH3:DI6,2,FALSE)+IF(AND(Calculator!B8=TRUE,Backdoors!BI44=TRUE),VLOOKUP(Calculator!E23,tbSkills!DH3:DJ6,3,FALSE),0),0))&gt;=100,100,(Backdoors!AI12+IF(KC52&gt;=0.45,VLOOKUP(Calculator!E23,tbSkills!DH3:DI6,2,FALSE)+IF(AND(Calculator!B8=TRUE,Backdoors!BI44=TRUE),VLOOKUP(Calculator!E23,tbSkills!DH3:DJ6,3,FALSE),0),0)))/100)),1),1)</f>
        <v>0.5</v>
      </c>
      <c r="KI52" s="87">
        <f t="shared" si="33"/>
        <v>0</v>
      </c>
      <c r="KJ52" s="86" t="str">
        <f>IFERROR(IF(VLOOKUP(A52,tbMoveset!A2:B112,2,FALSE)="Sever",Backdoors!AY45/100,IF(VLOOKUP(A52,tbMoveset!A2:B112,2,FALSE)="Blunt",Backdoors!AZ45/100,Backdoors!BA45/100)),"")</f>
        <v/>
      </c>
      <c r="KK52" s="49">
        <f>IFERROR(IF(VLOOKUP(tbMoveset!A52,tbMoveset!A2:H112,8,FALSE)="Other",IF(VLOOKUP(tbMoveset!A52,tbMoveset!A2:I112,9,FALSE)="Fire",Backdoors!BB45,IF(VLOOKUP(tbMoveset!A52,tbMoveset!A2:I112,9,FALSE)="Water",Backdoors!BC45,IF(VLOOKUP(tbMoveset!A52,tbMoveset!A2:I112,9,FALSE)="Thunder",Backdoors!BD45,IF(VLOOKUP(tbMoveset!A52,tbMoveset!A2:I112,9,FALSE)="Ice",Backdoors!BE45,IF(VLOOKUP(tbMoveset!A52,tbMoveset!A2:I112,9,FALSE)="Dragon",Backdoors!BF45,Backdoors!BG45)))))/100,Backdoors!BG45/100),"")</f>
        <v>0</v>
      </c>
      <c r="KL52" s="49">
        <f>IFERROR(IF(VLOOKUP(A52,tbMoveset!A2:J112,10,FALSE)=TRUE,IF((Backdoors!AI12+IF(KJ52&gt;=0.45,VLOOKUP(Calculator!E23,tbSkills!DH3:DI6,2,FALSE)+IF(AND(Calculator!B8=TRUE,Backdoors!BI45=TRUE),VLOOKUP(Calculator!E23,tbSkills!DH3:DJ6,3,FALSE),0),0))&gt;=0,1+(Backdoors!AL2*(IF((Backdoors!AI12+IF(KJ52&gt;=0.45,VLOOKUP(Calculator!E23,tbSkills!DH3:DI6,2,FALSE)+IF(AND(Calculator!B8=TRUE,Backdoors!BI45=TRUE),VLOOKUP(Calculator!E23,tbSkills!DH3:DJ6,3,FALSE),0),0))&gt;=100,100,(Backdoors!AI12+IF(KJ52&gt;=0.45,VLOOKUP(Calculator!E23,tbSkills!DH3:DI6,2,FALSE)+IF(AND(Calculator!B8=TRUE,Backdoors!BI45=TRUE),VLOOKUP(Calculator!E23,tbSkills!DH3:DJ6,3,FALSE),0),0)))/100)),(1-(0.25*((-Backdoors!AI12-IF(KJ52&gt;=0.45,VLOOKUP(Calculator!E23,tbSkills!DH3:DI6,2,FALSE)+IF(AND(Calculator!B8=TRUE,Backdoors!BI45=TRUE),VLOOKUP(Calculator!E23,tbSkills!DH3:DJ6,3,FALSE),0),0))/100)))),1),"")</f>
        <v>1</v>
      </c>
      <c r="KM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KJ52)*KL52)*(VLOOKUP(A52,tbMoveset!A2:C112,3,FALSE)/100)*IF(VLOOKUP(A52,tbMoveset!A2:B112,2,FALSE)="Projectile",Backdoors!N10,Backdoors!N9),0),"")</f>
        <v/>
      </c>
      <c r="KN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REF!&gt;0,VLOOKUP(Calculator!#REF!,tbSkills!AC3:AD5,2,FALSE),Backdoors!AL3)*(IF((Backdoors!AI12+IF(KJ52&gt;=0.45,VLOOKUP(Calculator!E23,tbSkills!DH3:DI6,2,FALSE)+IF(AND(Calculator!B8=TRUE,Backdoors!BI45=TRUE),VLOOKUP(Calculator!E23,tbSkills!DH3:DJ6,3,FALSE),0),0))&gt;=100,100,(Backdoors!AI12+IF(KJ52&gt;=0.45,VLOOKUP(Calculator!E23,tbSkills!DH3:DI6,2,FALSE)+IF(AND(Calculator!B8=TRUE,Backdoors!BI45=TRUE),VLOOKUP(Calculator!E23,tbSkills!DH3:DJ6,3,FALSE),0),0)))/100)),1))*IF(VLOOKUP(A52,tbMoveset!A2:K112,11,FALSE)=TRUE,Backdoors!AC5,1))*KK52,0),"")</f>
        <v/>
      </c>
      <c r="KO52" s="49">
        <f>VLOOKUP(A52,tbMoveset!A2:G112,7,FALSE)*IFERROR(IF(Backdoors!AI12&gt;=0,1+(IF(Calculator!E40&gt;0,VLOOKUP(Calculator!E40,tbSkills!AI3:AJ5,2,FALSE),Backdoors!AL4)*(IF((Backdoors!AI12+IF(KJ52&gt;=0.45,VLOOKUP(Calculator!E23,tbSkills!DH3:DI6,2,FALSE)+IF(AND(Calculator!B8=TRUE,Backdoors!BI45=TRUE),VLOOKUP(Calculator!E23,tbSkills!DH3:DJ6,3,FALSE),0),0))&gt;=100,100,(Backdoors!AI12+IF(KJ52&gt;=0.45,VLOOKUP(Calculator!E23,tbSkills!DH3:DI6,2,FALSE)+IF(AND(Calculator!B8=TRUE,Backdoors!BI45=TRUE),VLOOKUP(Calculator!E23,tbSkills!DH3:DJ6,3,FALSE),0),0)))/100)),1),1)</f>
        <v>0.5</v>
      </c>
      <c r="KP52" s="87">
        <f t="shared" si="34"/>
        <v>0</v>
      </c>
      <c r="KQ52" s="86" t="str">
        <f>IFERROR(IF(VLOOKUP(A52,tbMoveset!A2:B112,2,FALSE)="Sever",Backdoors!AY46/100,IF(VLOOKUP(A52,tbMoveset!A2:B112,2,FALSE)="Blunt",Backdoors!AZ46/100,Backdoors!BA46/100)),"")</f>
        <v/>
      </c>
      <c r="KR52" s="49">
        <f>IFERROR(IF(VLOOKUP(tbMoveset!A52,tbMoveset!A2:H112,8,FALSE)="Other",IF(VLOOKUP(tbMoveset!A52,tbMoveset!A2:I112,9,FALSE)="Fire",Backdoors!BB46,IF(VLOOKUP(tbMoveset!A52,tbMoveset!A2:I112,9,FALSE)="Water",Backdoors!BC46,IF(VLOOKUP(tbMoveset!A52,tbMoveset!A2:I112,9,FALSE)="Thunder",Backdoors!BD46,IF(VLOOKUP(tbMoveset!A52,tbMoveset!A2:I112,9,FALSE)="Ice",Backdoors!BE46,IF(VLOOKUP(tbMoveset!A52,tbMoveset!A2:I112,9,FALSE)="Dragon",Backdoors!BF46,Backdoors!BG46)))))/100,Backdoors!BG46/100),"")</f>
        <v>0</v>
      </c>
      <c r="KS52" s="49">
        <f>IFERROR(IF(VLOOKUP(A52,tbMoveset!A2:J112,10,FALSE)=TRUE,IF((Backdoors!AI12+IF(KQ52&gt;=0.45,VLOOKUP(Calculator!E23,tbSkills!DH3:DI6,2,FALSE)+IF(AND(Calculator!B8=TRUE,Backdoors!BI46=TRUE),VLOOKUP(Calculator!E23,tbSkills!DH3:DJ6,3,FALSE),0),0))&gt;=0,1+(Backdoors!AL2*(IF((Backdoors!AI12+IF(KQ52&gt;=0.45,VLOOKUP(Calculator!E23,tbSkills!DH3:DI6,2,FALSE)+IF(AND(Calculator!B8=TRUE,Backdoors!BI46=TRUE),VLOOKUP(Calculator!E23,tbSkills!DH3:DJ6,3,FALSE),0),0))&gt;=100,100,(Backdoors!AI12+IF(KQ52&gt;=0.45,VLOOKUP(Calculator!E23,tbSkills!DH3:DI6,2,FALSE)+IF(AND(Calculator!B8=TRUE,Backdoors!BI46=TRUE),VLOOKUP(Calculator!E23,tbSkills!DH3:DJ6,3,FALSE),0),0)))/100)),(1-(0.25*((-Backdoors!AI12-IF(KQ52&gt;=0.45,VLOOKUP(Calculator!E23,tbSkills!DH3:DI6,2,FALSE)+IF(AND(Calculator!B8=TRUE,Backdoors!BI46=TRUE),VLOOKUP(Calculator!E23,tbSkills!DH3:DJ6,3,FALSE),0),0))/100)))),1),"")</f>
        <v>1</v>
      </c>
      <c r="KT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KQ52)*KS52)*(VLOOKUP(A52,tbMoveset!A2:C112,3,FALSE)/100)*IF(VLOOKUP(A52,tbMoveset!A2:B112,2,FALSE)="Projectile",Backdoors!N10,Backdoors!N9),0),"")</f>
        <v/>
      </c>
      <c r="KU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REF!&gt;0,VLOOKUP(Calculator!#REF!,tbSkills!AC3:AD5,2,FALSE),Backdoors!AL3)*(IF((Backdoors!AI12+IF(KQ52&gt;=0.45,VLOOKUP(Calculator!E23,tbSkills!DH3:DI6,2,FALSE)+IF(AND(Calculator!B8=TRUE,Backdoors!BI46=TRUE),VLOOKUP(Calculator!E23,tbSkills!DH3:DJ6,3,FALSE),0),0))&gt;=100,100,(Backdoors!AI12+IF(KQ52&gt;=0.45,VLOOKUP(Calculator!E23,tbSkills!DH3:DI6,2,FALSE)+IF(AND(Calculator!B8=TRUE,Backdoors!BI46=TRUE),VLOOKUP(Calculator!E23,tbSkills!DH3:DJ6,3,FALSE),0),0)))/100)),1))*IF(VLOOKUP(A52,tbMoveset!A2:K112,11,FALSE)=TRUE,Backdoors!AC5,1))*KR52,0),"")</f>
        <v/>
      </c>
      <c r="KV52" s="49">
        <f>VLOOKUP(A52,tbMoveset!A2:G112,7,FALSE)*IFERROR(IF(Backdoors!AI12&gt;=0,1+(IF(Calculator!E40&gt;0,VLOOKUP(Calculator!E40,tbSkills!AI3:AJ5,2,FALSE),Backdoors!AL4)*(IF((Backdoors!AI12+IF(KQ52&gt;=0.45,VLOOKUP(Calculator!E23,tbSkills!DH3:DI6,2,FALSE)+IF(AND(Calculator!B8=TRUE,Backdoors!BI46=TRUE),VLOOKUP(Calculator!E23,tbSkills!DH3:DJ6,3,FALSE),0),0))&gt;=100,100,(Backdoors!AI12+IF(KQ52&gt;=0.45,VLOOKUP(Calculator!E23,tbSkills!DH3:DI6,2,FALSE)+IF(AND(Calculator!B8=TRUE,Backdoors!BI46=TRUE),VLOOKUP(Calculator!E23,tbSkills!DH3:DJ6,3,FALSE),0),0)))/100)),1),1)</f>
        <v>0.5</v>
      </c>
      <c r="KW52" s="87">
        <f t="shared" si="35"/>
        <v>0</v>
      </c>
    </row>
    <row r="53" spans="1:309" x14ac:dyDescent="0.25">
      <c r="A53" s="95" t="str">
        <f>tbMoveset!A53</f>
        <v>Demon Flurry Rush (R3)</v>
      </c>
      <c r="B53" s="86">
        <f>IFERROR(IF(VLOOKUP(A53,tbMoveset!A2:B112,2,FALSE)="Sever",Backdoors!AY3/100,IF(VLOOKUP(A53,tbMoveset!A2:B112,2,FALSE)="Blunt",Backdoors!AZ3/100,Backdoors!BA3/100)),"")</f>
        <v>0.8</v>
      </c>
      <c r="C53" s="49">
        <f>IFERROR(IF(VLOOKUP(tbMoveset!A53,tbMoveset!A2:H112,8,FALSE)="Other",IF(VLOOKUP(tbMoveset!A53,tbMoveset!A2:I112,9,FALSE)="Fire",Backdoors!BB3,IF(VLOOKUP(tbMoveset!A53,tbMoveset!A2:I112,9,FALSE)="Water",Backdoors!BC3,IF(VLOOKUP(tbMoveset!A53,tbMoveset!A2:I112,9,FALSE)="Thunder",Backdoors!BD3,IF(VLOOKUP(tbMoveset!A53,tbMoveset!A2:I112,9,FALSE)="Ice",Backdoors!BE3,IF(VLOOKUP(tbMoveset!A53,tbMoveset!A2:I112,9,FALSE)="Dragon",Backdoors!BF3,Backdoors!BG3)))))/100,Backdoors!BG3/100),"")</f>
        <v>0</v>
      </c>
      <c r="D53" s="49">
        <f>IFERROR(IF(VLOOKUP(A53,tbMoveset!A2:J112,10,FALSE)=TRUE,IF((Backdoors!AI12+IF(B53&gt;=0.45,VLOOKUP(Calculator!E23,tbSkills!DH3:DI6,2,FALSE)+IF(AND(Calculator!B8=TRUE,Backdoors!BI3=TRUE),VLOOKUP(Calculator!E23,tbSkills!DH3:DJ6,3,FALSE),0),0))&gt;=0,1+(Backdoors!AL2*(IF((Backdoors!AI12+IF(B53&gt;=0.45,VLOOKUP(Calculator!E23,tbSkills!DH3:DI6,2,FALSE)+IF(AND(Calculator!B8=TRUE,Backdoors!BI3=TRUE),VLOOKUP(Calculator!E23,tbSkills!DH3:DJ6,3,FALSE),0),0))&gt;=100,100,(Backdoors!AI12+IF(B53&gt;=0.45,VLOOKUP(Calculator!E23,tbSkills!DH3:DI6,2,FALSE)+IF(AND(Calculator!B8=TRUE,Backdoors!BI3=TRUE),VLOOKUP(Calculator!E23,tbSkills!DH3:DJ6,3,FALSE),0),0)))/100)),(1-(0.25*((-Backdoors!AI12-IF(B53&gt;=0.45,VLOOKUP(Calculator!E23,tbSkills!DH3:DI6,2,FALSE)+IF(AND(Calculator!B8=TRUE,Backdoors!BI3=TRUE),VLOOKUP(Calculator!E23,tbSkills!DH3:DJ6,3,FALSE),0),0))/100)))),1),"")</f>
        <v>1</v>
      </c>
      <c r="E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53)*D53)*(VLOOKUP(A53,tbMoveset!A2:C112,3,FALSE)/100)*IF(VLOOKUP(A53,tbMoveset!A2:B112,2,FALSE)="Projectile",Backdoors!N10,Backdoors!N9),0),"")</f>
        <v>5</v>
      </c>
      <c r="F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53&gt;=0.45,VLOOKUP(Calculator!E23,tbSkills!DH3:DI6,2,FALSE)+IF(AND(Calculator!B8=TRUE,Backdoors!BI3=TRUE),VLOOKUP(Calculator!E23,tbSkills!DH3:DJ6,3,FALSE),0),0))&gt;=100,100,(Backdoors!AI12+IF(B53&gt;=0.45,VLOOKUP(Calculator!E23,tbSkills!DH3:DI6,2,FALSE)+IF(AND(Calculator!B8=TRUE,Backdoors!BI3=TRUE),VLOOKUP(Calculator!E23,tbSkills!DH3:DJ6,3,FALSE),0),0)))/100)),1))*IF(VLOOKUP(A53,tbMoveset!A2:K112,11,FALSE)=TRUE,Backdoors!AC5,1))*C53,0),"")</f>
        <v>0</v>
      </c>
      <c r="G53">
        <f>VLOOKUP(A53,tbMoveset!A2:G112,7,FALSE)*IFERROR(IF(Backdoors!AI12&gt;=0,1+(IF(Calculator!E40&gt;0,VLOOKUP(Calculator!E40,tbSkills!AI3:AJ5,2,FALSE),Backdoors!AL4)*(IF((Backdoors!AI12+IF(B53&gt;=0.45,VLOOKUP(Calculator!E23,tbSkills!DH3:DI6,2,FALSE)+IF(AND(Calculator!B8=TRUE,Backdoors!BI3=TRUE),VLOOKUP(Calculator!E23,tbSkills!DH3:DJ6,3,FALSE),0),0))&gt;=100,100,(Backdoors!AI12+IF(B53&gt;=0.45,VLOOKUP(Calculator!E23,tbSkills!DH3:DI6,2,FALSE)+IF(AND(Calculator!B8=TRUE,Backdoors!BI3=TRUE),VLOOKUP(Calculator!E23,tbSkills!DH3:DJ6,3,FALSE),0),0)))/100)),1),1)</f>
        <v>0.8</v>
      </c>
      <c r="H53" s="87">
        <f t="shared" si="44"/>
        <v>5</v>
      </c>
      <c r="I53" s="86">
        <f>IFERROR(IF(VLOOKUP(A53,tbMoveset!A2:B112,2,FALSE)="Sever",Backdoors!AY4/100,IF(VLOOKUP(A53,tbMoveset!A2:B112,2,FALSE)="Blunt",Backdoors!AZ4/100,Backdoors!BA4/100)),"")</f>
        <v>0.65</v>
      </c>
      <c r="J53" s="49">
        <f>IFERROR(IF(VLOOKUP(tbMoveset!A53,tbMoveset!A2:H112,8,FALSE)="Other",IF(VLOOKUP(tbMoveset!A53,tbMoveset!A2:I112,9,FALSE)="Fire",Backdoors!BB4,IF(VLOOKUP(tbMoveset!A53,tbMoveset!A2:I112,9,FALSE)="Water",Backdoors!BC4,IF(VLOOKUP(tbMoveset!A53,tbMoveset!A2:I112,9,FALSE)="Thunder",Backdoors!BD4,IF(VLOOKUP(tbMoveset!A53,tbMoveset!A2:I112,9,FALSE)="Ice",Backdoors!BE4,IF(VLOOKUP(tbMoveset!A53,tbMoveset!A2:I112,9,FALSE)="Dragon",Backdoors!BF4,Backdoors!BG4)))))/100,Backdoors!BG4/100),"")</f>
        <v>0</v>
      </c>
      <c r="K53" s="49">
        <f>IFERROR(IF(VLOOKUP(A53,tbMoveset!A2:J112,10,FALSE)=TRUE,IF((Backdoors!AI12+IF(I53&gt;=0.45,VLOOKUP(Calculator!E23,tbSkills!DH3:DI6,2,FALSE)+IF(AND(Calculator!B8=TRUE,Backdoors!BI4=TRUE),VLOOKUP(Calculator!E23,tbSkills!DH3:DJ6,3,FALSE),0),0))&gt;=0,1+(Backdoors!AL2*(IF((Backdoors!AI12+IF(I53&gt;=0.45,VLOOKUP(Calculator!E23,tbSkills!DH3:DI6,2,FALSE)+IF(AND(Calculator!B8=TRUE,Backdoors!BI4=TRUE),VLOOKUP(Calculator!E23,tbSkills!DH3:DJ6,3,FALSE),0),0))&gt;=100,100,(Backdoors!AI12+IF(I53&gt;=0.45,VLOOKUP(Calculator!E23,tbSkills!DH3:DI6,2,FALSE)+IF(AND(Calculator!B8=TRUE,Backdoors!BI4=TRUE),VLOOKUP(Calculator!E23,tbSkills!DH3:DJ6,3,FALSE),0),0)))/100)),(1-(0.25*((-Backdoors!AI12-IF(I53&gt;=0.45,VLOOKUP(Calculator!E23,tbSkills!DH3:DI6,2,FALSE)+IF(AND(Calculator!B8=TRUE,Backdoors!BI4=TRUE),VLOOKUP(Calculator!E23,tbSkills!DH3:DJ6,3,FALSE),0),0))/100)))),1),"")</f>
        <v>1</v>
      </c>
      <c r="L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53)*K53)*(VLOOKUP(A53,tbMoveset!A2:C112,3,FALSE)/100)*IF(VLOOKUP(A53,tbMoveset!A2:B112,2,FALSE)="Projectile",Backdoors!N10,Backdoors!N9),0),"")</f>
        <v>4</v>
      </c>
      <c r="M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I53&gt;=0.45,VLOOKUP(Calculator!E23,tbSkills!DH3:DI6,2,FALSE)+IF(AND(Calculator!B8=TRUE,Backdoors!BI4=TRUE),VLOOKUP(Calculator!E23,tbSkills!DH3:DJ6,3,FALSE),0),0))&gt;=100,100,(Backdoors!AI12+IF(I53&gt;=0.45,VLOOKUP(Calculator!E23,tbSkills!DH3:DI6,2,FALSE)+IF(AND(Calculator!B8=TRUE,Backdoors!BI4=TRUE),VLOOKUP(Calculator!E23,tbSkills!DH3:DJ6,3,FALSE),0),0)))/100)),1))*IF(VLOOKUP(A53,tbMoveset!A2:K112,11,FALSE)=TRUE,Backdoors!AC5,1))*J53,0),"")</f>
        <v>0</v>
      </c>
      <c r="N53" s="49">
        <f>VLOOKUP(A53,tbMoveset!A2:G112,7,FALSE)*IFERROR(IF(Backdoors!AI12&gt;=0,1+(IF(Calculator!E40&gt;0,VLOOKUP(Calculator!E40,tbSkills!AI3:AJ5,2,FALSE),Backdoors!AL4)*(IF((Backdoors!AI12+IF(I53&gt;=0.45,VLOOKUP(Calculator!E23,tbSkills!DH3:DI6,2,FALSE)+IF(AND(Calculator!B8=TRUE,Backdoors!BI4=TRUE),VLOOKUP(Calculator!E23,tbSkills!DH3:DJ6,3,FALSE),0),0))&gt;=100,100,(Backdoors!AI12+IF(I53&gt;=0.45,VLOOKUP(Calculator!E23,tbSkills!DH3:DI6,2,FALSE)+IF(AND(Calculator!B8=TRUE,Backdoors!BI4=TRUE),VLOOKUP(Calculator!E23,tbSkills!DH3:DJ6,3,FALSE),0),0)))/100)),1),1)</f>
        <v>0.8</v>
      </c>
      <c r="O53" s="87">
        <f t="shared" si="45"/>
        <v>4</v>
      </c>
      <c r="P53" s="86">
        <f>IFERROR(IF(VLOOKUP(A53,tbMoveset!A2:B112,2,FALSE)="Sever",Backdoors!AY5/100,IF(VLOOKUP(A53,tbMoveset!A2:B112,2,FALSE)="Blunt",Backdoors!AZ5/100,Backdoors!BA5/100)),"")</f>
        <v>0.5</v>
      </c>
      <c r="Q53" s="49">
        <f>IFERROR(IF(VLOOKUP(tbMoveset!A53,tbMoveset!A2:H112,8,FALSE)="Other",IF(VLOOKUP(tbMoveset!A53,tbMoveset!A2:I112,9,FALSE)="Fire",Backdoors!BB5,IF(VLOOKUP(tbMoveset!A53,tbMoveset!A2:I112,9,FALSE)="Water",Backdoors!BC5,IF(VLOOKUP(tbMoveset!A53,tbMoveset!A2:I112,9,FALSE)="Thunder",Backdoors!BD5,IF(VLOOKUP(tbMoveset!A53,tbMoveset!A2:I112,9,FALSE)="Ice",Backdoors!BE5,IF(VLOOKUP(tbMoveset!A53,tbMoveset!A2:I112,9,FALSE)="Dragon",Backdoors!BF5,Backdoors!BG5)))))/100,Backdoors!BG5/100),"")</f>
        <v>0</v>
      </c>
      <c r="R53" s="49">
        <f>IFERROR(IF(VLOOKUP(A53,tbMoveset!A2:J112,10,FALSE)=TRUE,IF((Backdoors!AI12+IF(P53&gt;=0.45,VLOOKUP(Calculator!E23,tbSkills!DH3:DI6,2,FALSE)+IF(AND(Calculator!B8=TRUE,Backdoors!BI5=TRUE),VLOOKUP(Calculator!E23,tbSkills!DH3:DJ6,3,FALSE),0),0))&gt;=0,1+(Backdoors!AL2*(IF((Backdoors!AI12+IF(P53&gt;=0.45,VLOOKUP(Calculator!E23,tbSkills!DH3:DI6,2,FALSE)+IF(AND(Calculator!B8=TRUE,Backdoors!BI5=TRUE),VLOOKUP(Calculator!E23,tbSkills!DH3:DJ6,3,FALSE),0),0))&gt;=100,100,(Backdoors!AI12+IF(P53&gt;=0.45,VLOOKUP(Calculator!E23,tbSkills!DH3:DI6,2,FALSE)+IF(AND(Calculator!B8=TRUE,Backdoors!BI5=TRUE),VLOOKUP(Calculator!E23,tbSkills!DH3:DJ6,3,FALSE),0),0)))/100)),(1-(0.25*((-Backdoors!AI12-IF(P53&gt;=0.45,VLOOKUP(Calculator!E23,tbSkills!DH3:DI6,2,FALSE)+IF(AND(Calculator!B8=TRUE,Backdoors!BI5=TRUE),VLOOKUP(Calculator!E23,tbSkills!DH3:DJ6,3,FALSE),0),0))/100)))),1),"")</f>
        <v>1</v>
      </c>
      <c r="S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P53)*R53)*(VLOOKUP(A53,tbMoveset!A2:C112,3,FALSE)/100)*IF(VLOOKUP(A53,tbMoveset!A2:B112,2,FALSE)="Projectile",Backdoors!N10,Backdoors!N9),0),"")</f>
        <v>3</v>
      </c>
      <c r="T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P53&gt;=0.45,VLOOKUP(Calculator!E23,tbSkills!DH3:DI6,2,FALSE)+IF(AND(Calculator!B8=TRUE,Backdoors!BI5=TRUE),VLOOKUP(Calculator!E23,tbSkills!DH3:DJ6,3,FALSE),0),0))&gt;=100,100,(Backdoors!AI12+IF(P53&gt;=0.45,VLOOKUP(Calculator!E23,tbSkills!DH3:DI6,2,FALSE)+IF(AND(Calculator!B8=TRUE,Backdoors!BI5=TRUE),VLOOKUP(Calculator!E23,tbSkills!DH3:DJ6,3,FALSE),0),0)))/100)),1))*IF(VLOOKUP(A53,tbMoveset!A2:K112,11,FALSE)=TRUE,Backdoors!AC5,1))*Q53,0),"")</f>
        <v>0</v>
      </c>
      <c r="U53" s="49">
        <f>VLOOKUP(A53,tbMoveset!A2:G112,7,FALSE)*IFERROR(IF(Backdoors!AI12&gt;=0,1+(IF(Calculator!E40&gt;0,VLOOKUP(Calculator!E40,tbSkills!AI3:AJ5,2,FALSE),Backdoors!AL4)*(IF((Backdoors!AI12+IF(P53&gt;=0.45,VLOOKUP(Calculator!E23,tbSkills!DH3:DI6,2,FALSE)+IF(AND(Calculator!B8=TRUE,Backdoors!BI5=TRUE),VLOOKUP(Calculator!E23,tbSkills!DH3:DJ6,3,FALSE),0),0))&gt;=100,100,(Backdoors!AI12+IF(P53&gt;=0.45,VLOOKUP(Calculator!E23,tbSkills!DH3:DI6,2,FALSE)+IF(AND(Calculator!B8=TRUE,Backdoors!BI5=TRUE),VLOOKUP(Calculator!E23,tbSkills!DH3:DJ6,3,FALSE),0),0)))/100)),1),1)</f>
        <v>0.8</v>
      </c>
      <c r="V53" s="87">
        <f t="shared" si="46"/>
        <v>3</v>
      </c>
      <c r="W53" s="86">
        <f>IFERROR(IF(VLOOKUP(A53,tbMoveset!A2:B112,2,FALSE)="Sever",Backdoors!AY6/100,IF(VLOOKUP(A53,tbMoveset!A2:B112,2,FALSE)="Blunt",Backdoors!AZ6/100,Backdoors!BA6/100)),"")</f>
        <v>0.45</v>
      </c>
      <c r="X53" s="49">
        <f>IFERROR(IF(VLOOKUP(tbMoveset!A53,tbMoveset!A2:H112,8,FALSE)="Other",IF(VLOOKUP(tbMoveset!A53,tbMoveset!A2:I112,9,FALSE)="Fire",Backdoors!BB6,IF(VLOOKUP(tbMoveset!A53,tbMoveset!A2:I112,9,FALSE)="Water",Backdoors!BC6,IF(VLOOKUP(tbMoveset!A53,tbMoveset!A2:I112,9,FALSE)="Thunder",Backdoors!BD6,IF(VLOOKUP(tbMoveset!A53,tbMoveset!A2:I112,9,FALSE)="Ice",Backdoors!BE6,IF(VLOOKUP(tbMoveset!A53,tbMoveset!A2:I112,9,FALSE)="Dragon",Backdoors!BF6,Backdoors!BG6)))))/100,Backdoors!BG6/100),"")</f>
        <v>0</v>
      </c>
      <c r="Y53" s="49">
        <f>IFERROR(IF(VLOOKUP(A53,tbMoveset!A2:J112,10,FALSE)=TRUE,IF((Backdoors!AI12+IF(W53&gt;=0.45,VLOOKUP(Calculator!E23,tbSkills!DH3:DI6,2,FALSE)+IF(AND(Calculator!B8=TRUE,Backdoors!BI6=TRUE),VLOOKUP(Calculator!E23,tbSkills!DH3:DJ6,3,FALSE),0),0))&gt;=0,1+(Backdoors!AL2*(IF((Backdoors!AI12+IF(W53&gt;=0.45,VLOOKUP(Calculator!E23,tbSkills!DH3:DI6,2,FALSE)+IF(AND(Calculator!B8=TRUE,Backdoors!BI6=TRUE),VLOOKUP(Calculator!E23,tbSkills!DH3:DJ6,3,FALSE),0),0))&gt;=100,100,(Backdoors!AI12+IF(W53&gt;=0.45,VLOOKUP(Calculator!E23,tbSkills!DH3:DI6,2,FALSE)+IF(AND(Calculator!B8=TRUE,Backdoors!BI6=TRUE),VLOOKUP(Calculator!E23,tbSkills!DH3:DJ6,3,FALSE),0),0)))/100)),(1-(0.25*((-Backdoors!AI12-IF(W53&gt;=0.45,VLOOKUP(Calculator!E23,tbSkills!DH3:DI6,2,FALSE)+IF(AND(Calculator!B8=TRUE,Backdoors!BI6=TRUE),VLOOKUP(Calculator!E23,tbSkills!DH3:DJ6,3,FALSE),0),0))/100)))),1),"")</f>
        <v>1</v>
      </c>
      <c r="Z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W53)*Y53)*(VLOOKUP(A53,tbMoveset!A2:C112,3,FALSE)/100)*IF(VLOOKUP(A53,tbMoveset!A2:B112,2,FALSE)="Projectile",Backdoors!N10,Backdoors!N9),0),"")</f>
        <v>3</v>
      </c>
      <c r="AA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W53&gt;=0.45,VLOOKUP(Calculator!E23,tbSkills!DH3:DI6,2,FALSE)+IF(AND(Calculator!B8=TRUE,Backdoors!BI6=TRUE),VLOOKUP(Calculator!E23,tbSkills!DH3:DJ6,3,FALSE),0),0))&gt;=100,100,(Backdoors!AI12+IF(W53&gt;=0.45,VLOOKUP(Calculator!E23,tbSkills!DH3:DI6,2,FALSE)+IF(AND(Calculator!B8=TRUE,Backdoors!BI6=TRUE),VLOOKUP(Calculator!E23,tbSkills!DH3:DJ6,3,FALSE),0),0)))/100)),1))*IF(VLOOKUP(A53,tbMoveset!A2:K112,11,FALSE)=TRUE,Backdoors!AC5,1))*X53,0),"")</f>
        <v>0</v>
      </c>
      <c r="AB53" s="49">
        <f>VLOOKUP(A53,tbMoveset!A2:G112,7,FALSE)*IFERROR(IF(Backdoors!AI12&gt;=0,1+(IF(Calculator!E40&gt;0,VLOOKUP(Calculator!E40,tbSkills!AI3:AJ5,2,FALSE),Backdoors!AL4)*(IF((Backdoors!AI12+IF(W53&gt;=0.45,VLOOKUP(Calculator!E23,tbSkills!DH3:DI6,2,FALSE)+IF(AND(Calculator!B8=TRUE,Backdoors!BI6=TRUE),VLOOKUP(Calculator!E23,tbSkills!DH3:DJ6,3,FALSE),0),0))&gt;=100,100,(Backdoors!AI12+IF(W53&gt;=0.45,VLOOKUP(Calculator!E23,tbSkills!DH3:DI6,2,FALSE)+IF(AND(Calculator!B8=TRUE,Backdoors!BI6=TRUE),VLOOKUP(Calculator!E23,tbSkills!DH3:DJ6,3,FALSE),0),0)))/100)),1),1)</f>
        <v>0.8</v>
      </c>
      <c r="AC53" s="87">
        <f t="shared" si="47"/>
        <v>3</v>
      </c>
      <c r="AD53" s="86">
        <f>IFERROR(IF(VLOOKUP(A53,tbMoveset!A2:B112,2,FALSE)="Sever",Backdoors!AY7/100,IF(VLOOKUP(A53,tbMoveset!A2:B112,2,FALSE)="Blunt",Backdoors!AZ7/100,Backdoors!BA7/100)),"")</f>
        <v>0.65</v>
      </c>
      <c r="AE53" s="49">
        <f>IFERROR(IF(VLOOKUP(tbMoveset!A53,tbMoveset!A2:H112,8,FALSE)="Other",IF(VLOOKUP(tbMoveset!A53,tbMoveset!A2:I112,9,FALSE)="Fire",Backdoors!BB7,IF(VLOOKUP(tbMoveset!A53,tbMoveset!A2:I112,9,FALSE)="Water",Backdoors!BC7,IF(VLOOKUP(tbMoveset!A53,tbMoveset!A2:I112,9,FALSE)="Thunder",Backdoors!BD7,IF(VLOOKUP(tbMoveset!A53,tbMoveset!A2:I112,9,FALSE)="Ice",Backdoors!BE7,IF(VLOOKUP(tbMoveset!A53,tbMoveset!A2:I112,9,FALSE)="Dragon",Backdoors!BF7,Backdoors!BG7)))))/100,Backdoors!BG7/100),"")</f>
        <v>0</v>
      </c>
      <c r="AF53" s="49">
        <f>IFERROR(IF(VLOOKUP(A53,tbMoveset!A2:J112,10,FALSE)=TRUE,IF((Backdoors!AI12+IF(AD53&gt;=0.45,VLOOKUP(Calculator!E23,tbSkills!DH3:DI6,2,FALSE)+IF(AND(Calculator!B8=TRUE,Backdoors!BI7=TRUE),VLOOKUP(Calculator!E23,tbSkills!DH3:DJ6,3,FALSE),0),0))&gt;=0,1+(Backdoors!AL2*(IF((Backdoors!AI12+IF(AD53&gt;=0.45,VLOOKUP(Calculator!E23,tbSkills!DH3:DI6,2,FALSE)+IF(AND(Calculator!B8=TRUE,Backdoors!BI7=TRUE),VLOOKUP(Calculator!E23,tbSkills!DH3:DJ6,3,FALSE),0),0))&gt;=100,100,(Backdoors!AI12+IF(AD53&gt;=0.45,VLOOKUP(Calculator!E23,tbSkills!DH3:DI6,2,FALSE)+IF(AND(Calculator!B8=TRUE,Backdoors!BI7=TRUE),VLOOKUP(Calculator!E23,tbSkills!DH3:DJ6,3,FALSE),0),0)))/100)),(1-(0.25*((-Backdoors!AI12-IF(AD53&gt;=0.45,VLOOKUP(Calculator!E23,tbSkills!DH3:DI6,2,FALSE)+IF(AND(Calculator!B8=TRUE,Backdoors!BI7=TRUE),VLOOKUP(Calculator!E23,tbSkills!DH3:DJ6,3,FALSE),0),0))/100)))),1),"")</f>
        <v>1</v>
      </c>
      <c r="AG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D53)*AF53)*(VLOOKUP(A53,tbMoveset!A2:C112,3,FALSE)/100)*IF(VLOOKUP(A53,tbMoveset!A2:B112,2,FALSE)="Projectile",Backdoors!N10,Backdoors!N9),0),"")</f>
        <v>4</v>
      </c>
      <c r="AH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D53&gt;=0.45,VLOOKUP(Calculator!E23,tbSkills!DH3:DI6,2,FALSE)+IF(AND(Calculator!B8=TRUE,Backdoors!BI7=TRUE),VLOOKUP(Calculator!E23,tbSkills!DH3:DJ6,3,FALSE),0),0))&gt;=100,100,(Backdoors!AI12+IF(AD53&gt;=0.45,VLOOKUP(Calculator!E23,tbSkills!DH3:DI6,2,FALSE)+IF(AND(Calculator!B8=TRUE,Backdoors!BI7=TRUE),VLOOKUP(Calculator!E23,tbSkills!DH3:DJ6,3,FALSE),0),0)))/100)),1))*IF(VLOOKUP(A53,tbMoveset!A2:K112,11,FALSE)=TRUE,Backdoors!AC5,1))*AE53,0),"")</f>
        <v>0</v>
      </c>
      <c r="AI53" s="49">
        <f>VLOOKUP(A53,tbMoveset!A2:G112,7,FALSE)*IFERROR(IF(Backdoors!AI12&gt;=0,1+(IF(Calculator!E40&gt;0,VLOOKUP(Calculator!E40,tbSkills!AI3:AJ5,2,FALSE),Backdoors!AL4)*(IF((Backdoors!AI12+IF(AD53&gt;=0.45,VLOOKUP(Calculator!E23,tbSkills!DH3:DI6,2,FALSE)+IF(AND(Calculator!B8=TRUE,Backdoors!BI7=TRUE),VLOOKUP(Calculator!E23,tbSkills!DH3:DJ6,3,FALSE),0),0))&gt;=100,100,(Backdoors!AI12+IF(AD53&gt;=0.45,VLOOKUP(Calculator!E23,tbSkills!DH3:DI6,2,FALSE)+IF(AND(Calculator!B8=TRUE,Backdoors!BI7=TRUE),VLOOKUP(Calculator!E23,tbSkills!DH3:DJ6,3,FALSE),0),0)))/100)),1),1)</f>
        <v>0.8</v>
      </c>
      <c r="AJ53" s="87">
        <f t="shared" si="48"/>
        <v>4</v>
      </c>
      <c r="AK53" s="91">
        <f>IFERROR(IF(VLOOKUP(A53,tbMoveset!A2:B112,2,FALSE)="Sever",Backdoors!AY8/100,IF(VLOOKUP(A53,tbMoveset!A2:B112,2,FALSE)="Blunt",Backdoors!AZ8/100,Backdoors!BA8/100)),"")</f>
        <v>0.45</v>
      </c>
      <c r="AL53" s="49">
        <f>IFERROR(IF(VLOOKUP(tbMoveset!A53,tbMoveset!A2:H112,8,FALSE)="Other",IF(VLOOKUP(tbMoveset!A53,tbMoveset!A2:I112,9,FALSE)="Fire",Backdoors!BB8,IF(VLOOKUP(tbMoveset!A53,tbMoveset!A2:I112,9,FALSE)="Water",Backdoors!BC8,IF(VLOOKUP(tbMoveset!A53,tbMoveset!A2:I112,9,FALSE)="Thunder",Backdoors!BD8,IF(VLOOKUP(tbMoveset!A53,tbMoveset!A2:I112,9,FALSE)="Ice",Backdoors!BE8,IF(VLOOKUP(tbMoveset!A53,tbMoveset!A2:I112,9,FALSE)="Dragon",Backdoors!BF8,Backdoors!BG8)))))/100,Backdoors!BG8/100),"")</f>
        <v>0</v>
      </c>
      <c r="AM53" s="49">
        <f>IFERROR(IF(VLOOKUP(A53,tbMoveset!A2:J112,10,FALSE)=TRUE,IF((Backdoors!AI12+IF(AK53&gt;=0.45,VLOOKUP(Calculator!E23,tbSkills!DH3:DI6,2,FALSE)+IF(AND(Calculator!B8=TRUE,Backdoors!BI8=TRUE),VLOOKUP(Calculator!E23,tbSkills!DH3:DJ6,3,FALSE),0),0))&gt;=0,1+(Backdoors!AL2*(IF((Backdoors!AI12+IF(AK53&gt;=0.45,VLOOKUP(Calculator!E23,tbSkills!DH3:DI6,2,FALSE)+IF(AND(Calculator!B8=TRUE,Backdoors!BI8=TRUE),VLOOKUP(Calculator!E23,tbSkills!DH3:DJ6,3,FALSE),0),0))&gt;=100,100,(Backdoors!AI12+IF(AK53&gt;=0.45,VLOOKUP(Calculator!E23,tbSkills!DH3:DI6,2,FALSE)+IF(AND(Calculator!B8=TRUE,Backdoors!BI8=TRUE),VLOOKUP(Calculator!E23,tbSkills!DH3:DJ6,3,FALSE),0),0)))/100)),(1-(0.25*((-Backdoors!AI12-IF(AK53&gt;=0.45,VLOOKUP(Calculator!E23,tbSkills!DH3:DI6,2,FALSE)+IF(AND(Calculator!B8=TRUE,Backdoors!BI8=TRUE),VLOOKUP(Calculator!E23,tbSkills!DH3:DJ6,3,FALSE),0),0))/100)))),1),"")</f>
        <v>1</v>
      </c>
      <c r="AN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K53)*AM53)*(VLOOKUP(A53,tbMoveset!A2:C112,3,FALSE)/100)*IF(VLOOKUP(A53,tbMoveset!A2:B112,2,FALSE)="Projectile",Backdoors!N10,Backdoors!N9),0),"")</f>
        <v>3</v>
      </c>
      <c r="AO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K53&gt;=0.45,VLOOKUP(Calculator!E23,tbSkills!DH3:DI6,2,FALSE)+IF(AND(Calculator!B8=TRUE,Backdoors!BI8=TRUE),VLOOKUP(Calculator!E23,tbSkills!DH3:DJ6,3,FALSE),0),0))&gt;=100,100,(Backdoors!AI12+IF(AK53&gt;=0.45,VLOOKUP(Calculator!E23,tbSkills!DH3:DI6,2,FALSE)+IF(AND(Calculator!B8=TRUE,Backdoors!BI8=TRUE),VLOOKUP(Calculator!E23,tbSkills!DH3:DJ6,3,FALSE),0),0)))/100)),1))*IF(VLOOKUP(A53,tbMoveset!A2:K112,11,FALSE)=TRUE,Backdoors!AC5,1))*AL53,0),"")</f>
        <v>0</v>
      </c>
      <c r="AP53" s="49">
        <f>VLOOKUP(A53,tbMoveset!A2:G112,7,FALSE)*IFERROR(IF(Backdoors!AI12&gt;=0,1+(IF(Calculator!E40&gt;0,VLOOKUP(Calculator!E40,tbSkills!AI3:AJ5,2,FALSE),Backdoors!AL4)*(IF((Backdoors!AI12+IF(AK53&gt;=0.45,VLOOKUP(Calculator!E23,tbSkills!DH3:DI6,2,FALSE)+IF(AND(Calculator!B8=TRUE,Backdoors!BI8=TRUE),VLOOKUP(Calculator!E23,tbSkills!DH3:DJ6,3,FALSE),0),0))&gt;=100,100,(Backdoors!AI12+IF(AK53&gt;=0.45,VLOOKUP(Calculator!E23,tbSkills!DH3:DI6,2,FALSE)+IF(AND(Calculator!B8=TRUE,Backdoors!BI8=TRUE),VLOOKUP(Calculator!E23,tbSkills!DH3:DJ6,3,FALSE),0),0)))/100)),1),1)</f>
        <v>0.8</v>
      </c>
      <c r="AQ53" s="87">
        <f t="shared" si="49"/>
        <v>3</v>
      </c>
      <c r="AR53" s="86">
        <f>IFERROR(IF(VLOOKUP(A53,tbMoveset!A2:B112,2,FALSE)="Sever",Backdoors!AY9/100,IF(VLOOKUP(A53,tbMoveset!A2:B112,2,FALSE)="Blunt",Backdoors!AZ9/100,Backdoors!BA9/100)),"")</f>
        <v>0.45</v>
      </c>
      <c r="AS53" s="49">
        <f>IFERROR(IF(VLOOKUP(tbMoveset!A53,tbMoveset!A2:H112,8,FALSE)="Other",IF(VLOOKUP(tbMoveset!A53,tbMoveset!A2:I112,9,FALSE)="Fire",Backdoors!BB9,IF(VLOOKUP(tbMoveset!A53,tbMoveset!A2:I112,9,FALSE)="Water",Backdoors!BC9,IF(VLOOKUP(tbMoveset!A53,tbMoveset!A2:I112,9,FALSE)="Thunder",Backdoors!BD9,IF(VLOOKUP(tbMoveset!A53,tbMoveset!A2:I112,9,FALSE)="Ice",Backdoors!BE9,IF(VLOOKUP(tbMoveset!A53,tbMoveset!A2:I112,9,FALSE)="Dragon",Backdoors!BF9,Backdoors!BG9)))))/100,Backdoors!BG9/100),"")</f>
        <v>0</v>
      </c>
      <c r="AT53" s="49">
        <f>IFERROR(IF(VLOOKUP(A53,tbMoveset!A2:J112,10,FALSE)=TRUE,IF((Backdoors!AI12+IF(AR53&gt;=0.45,VLOOKUP(Calculator!E23,tbSkills!DH3:DI6,2,FALSE)+IF(AND(Calculator!B8=TRUE,Backdoors!BI9=TRUE),VLOOKUP(Calculator!E23,tbSkills!DH3:DJ6,3,FALSE),0),0))&gt;=0,1+(Backdoors!AL2*(IF((Backdoors!AI12+IF(AR53&gt;=0.45,VLOOKUP(Calculator!E23,tbSkills!DH3:DI6,2,FALSE)+IF(AND(Calculator!B8=TRUE,Backdoors!BI9=TRUE),VLOOKUP(Calculator!E23,tbSkills!DH3:DJ6,3,FALSE),0),0))&gt;=100,100,(Backdoors!AI12+IF(AR53&gt;=0.45,VLOOKUP(Calculator!E23,tbSkills!DH3:DI6,2,FALSE)+IF(AND(Calculator!B8=TRUE,Backdoors!BI9=TRUE),VLOOKUP(Calculator!E23,tbSkills!DH3:DJ6,3,FALSE),0),0)))/100)),(1-(0.25*((-Backdoors!AI12-IF(AR53&gt;=0.45,VLOOKUP(Calculator!E23,tbSkills!DH3:DI6,2,FALSE)+IF(AND(Calculator!B8=TRUE,Backdoors!BI9=TRUE),VLOOKUP(Calculator!E23,tbSkills!DH3:DJ6,3,FALSE),0),0))/100)))),1),"")</f>
        <v>1</v>
      </c>
      <c r="AU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R53)*AT53)*(VLOOKUP(A53,tbMoveset!A2:C112,3,FALSE)/100)*IF(VLOOKUP(A53,tbMoveset!A2:B112,2,FALSE)="Projectile",Backdoors!N10,Backdoors!N9),0),"")</f>
        <v>3</v>
      </c>
      <c r="AV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R53&gt;=0.45,VLOOKUP(Calculator!E23,tbSkills!DH3:DI6,2,FALSE)+IF(AND(Calculator!B8=TRUE,Backdoors!BI9=TRUE),VLOOKUP(Calculator!E23,tbSkills!DH3:DJ6,3,FALSE),0),0))&gt;=100,100,(Backdoors!AI12+IF(AR53&gt;=0.45,VLOOKUP(Calculator!E23,tbSkills!DH3:DI6,2,FALSE)+IF(AND(Calculator!B8=TRUE,Backdoors!BI9=TRUE),VLOOKUP(Calculator!E23,tbSkills!DH3:DJ6,3,FALSE),0),0)))/100)),1))*IF(VLOOKUP(A53,tbMoveset!A2:K112,11,FALSE)=TRUE,Backdoors!AC5,1))*AS53,0),"")</f>
        <v>0</v>
      </c>
      <c r="AW53" s="49">
        <f>VLOOKUP(A53,tbMoveset!A2:G112,7,FALSE)*IFERROR(IF(Backdoors!AI12&gt;=0,1+(IF(Calculator!E40&gt;0,VLOOKUP(Calculator!E40,tbSkills!AI3:AJ5,2,FALSE),Backdoors!AL4)*(IF((Backdoors!AI12+IF(AR53&gt;=0.45,VLOOKUP(Calculator!E23,tbSkills!DH3:DI6,2,FALSE)+IF(AND(Calculator!B8=TRUE,Backdoors!BI9=TRUE),VLOOKUP(Calculator!E23,tbSkills!DH3:DJ6,3,FALSE),0),0))&gt;=100,100,(Backdoors!AI12+IF(AR53&gt;=0.45,VLOOKUP(Calculator!E23,tbSkills!DH3:DI6,2,FALSE)+IF(AND(Calculator!B8=TRUE,Backdoors!BI9=TRUE),VLOOKUP(Calculator!E23,tbSkills!DH3:DJ6,3,FALSE),0),0)))/100)),1),1)</f>
        <v>0.8</v>
      </c>
      <c r="AX53" s="87">
        <f t="shared" si="50"/>
        <v>3</v>
      </c>
      <c r="AY53" s="86">
        <f>IFERROR(IF(VLOOKUP(A53,tbMoveset!A2:B112,2,FALSE)="Sever",Backdoors!AY10/100,IF(VLOOKUP(A53,tbMoveset!A2:B112,2,FALSE)="Blunt",Backdoors!AZ10/100,Backdoors!BA10/100)),"")</f>
        <v>0.9</v>
      </c>
      <c r="AZ53" s="49">
        <f>IFERROR(IF(VLOOKUP(tbMoveset!A53,tbMoveset!A2:H112,8,FALSE)="Other",IF(VLOOKUP(tbMoveset!A53,tbMoveset!A2:I112,9,FALSE)="Fire",Backdoors!BB10,IF(VLOOKUP(tbMoveset!A53,tbMoveset!A2:I112,9,FALSE)="Water",Backdoors!BC10,IF(VLOOKUP(tbMoveset!A53,tbMoveset!A2:I112,9,FALSE)="Thunder",Backdoors!BD10,IF(VLOOKUP(tbMoveset!A53,tbMoveset!A2:I112,9,FALSE)="Ice",Backdoors!BE10,IF(VLOOKUP(tbMoveset!A53,tbMoveset!A2:I112,9,FALSE)="Dragon",Backdoors!BF10,Backdoors!BG10)))))/100,Backdoors!BG10/100),"")</f>
        <v>0</v>
      </c>
      <c r="BA53" s="49">
        <f>IFERROR(IF(VLOOKUP(A53,tbMoveset!A2:J112,10,FALSE)=TRUE,IF((Backdoors!AI12+IF(AY53&gt;=0.45,VLOOKUP(Calculator!E23,tbSkills!DH3:DI6,2,FALSE)+IF(AND(Calculator!B8=TRUE,Backdoors!BI10=TRUE),VLOOKUP(Calculator!E23,tbSkills!DH3:DJ6,3,FALSE),0),0))&gt;=0,1+(Backdoors!AL2*(IF((Backdoors!AI12+IF(AY53&gt;=0.45,VLOOKUP(Calculator!E23,tbSkills!DH3:DI6,2,FALSE)+IF(AND(Calculator!B8=TRUE,Backdoors!BI10=TRUE),VLOOKUP(Calculator!E23,tbSkills!DH3:DJ6,3,FALSE),0),0))&gt;=100,100,(Backdoors!AI12+IF(AY53&gt;=0.45,VLOOKUP(Calculator!E23,tbSkills!DH3:DI6,2,FALSE)+IF(AND(Calculator!B8=TRUE,Backdoors!BI10=TRUE),VLOOKUP(Calculator!E23,tbSkills!DH3:DJ6,3,FALSE),0),0)))/100)),(1-(0.25*((-Backdoors!AI12-IF(AY53&gt;=0.45,VLOOKUP(Calculator!E23,tbSkills!DH3:DI6,2,FALSE)+IF(AND(Calculator!B8=TRUE,Backdoors!BI10=TRUE),VLOOKUP(Calculator!E23,tbSkills!DH3:DJ6,3,FALSE),0),0))/100)))),1),"")</f>
        <v>1</v>
      </c>
      <c r="BB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Y53)*BA53)*(VLOOKUP(A53,tbMoveset!A2:C112,3,FALSE)/100)*IF(VLOOKUP(A53,tbMoveset!A2:B112,2,FALSE)="Projectile",Backdoors!N10,Backdoors!N9),0),"")</f>
        <v>6</v>
      </c>
      <c r="BC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Y53&gt;=0.45,VLOOKUP(Calculator!E23,tbSkills!DH3:DI6,2,FALSE)+IF(AND(Calculator!B8=TRUE,Backdoors!BI10=TRUE),VLOOKUP(Calculator!E23,tbSkills!DH3:DJ6,3,FALSE),0),0))&gt;=100,100,(Backdoors!AI12+IF(AY53&gt;=0.45,VLOOKUP(Calculator!E23,tbSkills!DH3:DI6,2,FALSE)+IF(AND(Calculator!B8=TRUE,Backdoors!BI10=TRUE),VLOOKUP(Calculator!E23,tbSkills!DH3:DJ6,3,FALSE),0),0)))/100)),1))*IF(VLOOKUP(A53,tbMoveset!A2:K112,11,FALSE)=TRUE,Backdoors!AC5,1))*AZ53,0),"")</f>
        <v>0</v>
      </c>
      <c r="BD53" s="49">
        <f>VLOOKUP(A53,tbMoveset!A2:G112,7,FALSE)*IFERROR(IF(Backdoors!AI12&gt;=0,1+(IF(Calculator!E40&gt;0,VLOOKUP(Calculator!E40,tbSkills!AI3:AJ5,2,FALSE),Backdoors!AL4)*(IF((Backdoors!AI12+IF(AY53&gt;=0.45,VLOOKUP(Calculator!E23,tbSkills!DH3:DI6,2,FALSE)+IF(AND(Calculator!B8=TRUE,Backdoors!BI10=TRUE),VLOOKUP(Calculator!E23,tbSkills!DH3:DJ6,3,FALSE),0),0))&gt;=100,100,(Backdoors!AI12+IF(AY53&gt;=0.45,VLOOKUP(Calculator!E23,tbSkills!DH3:DI6,2,FALSE)+IF(AND(Calculator!B8=TRUE,Backdoors!BI10=TRUE),VLOOKUP(Calculator!E23,tbSkills!DH3:DJ6,3,FALSE),0),0)))/100)),1),1)</f>
        <v>0.8</v>
      </c>
      <c r="BE53" s="87">
        <f t="shared" si="3"/>
        <v>6</v>
      </c>
      <c r="BF53" s="86" t="str">
        <f>IFERROR(IF(VLOOKUP(A53,tbMoveset!A2:B112,2,FALSE)="Sever",Backdoors!AY11/100,IF(VLOOKUP(A53,tbMoveset!A2:B112,2,FALSE)="Blunt",Backdoors!AZ11/100,Backdoors!BA11/100)),"")</f>
        <v/>
      </c>
      <c r="BG53" s="49">
        <f>IFERROR(IF(VLOOKUP(tbMoveset!A53,tbMoveset!A2:H112,8,FALSE)="Other",IF(VLOOKUP(tbMoveset!A53,tbMoveset!A2:I112,9,FALSE)="Fire",Backdoors!BB11,IF(VLOOKUP(tbMoveset!A53,tbMoveset!A2:I112,9,FALSE)="Water",Backdoors!BC11,IF(VLOOKUP(tbMoveset!A53,tbMoveset!A2:I112,9,FALSE)="Thunder",Backdoors!BD11,IF(VLOOKUP(tbMoveset!A53,tbMoveset!A2:I112,9,FALSE)="Ice",Backdoors!BE11,IF(VLOOKUP(tbMoveset!A53,tbMoveset!A2:I112,9,FALSE)="Dragon",Backdoors!BF11,Backdoors!BG11)))))/100,Backdoors!BG11/100),"")</f>
        <v>0</v>
      </c>
      <c r="BH53" s="49">
        <f>IFERROR(IF(VLOOKUP(A53,tbMoveset!A2:J112,10,FALSE)=TRUE,IF((Backdoors!AI12+IF(BF53&gt;=0.45,VLOOKUP(Calculator!E23,tbSkills!DH3:DI6,2,FALSE)+IF(AND(Calculator!B8=TRUE,Backdoors!BI11=TRUE),VLOOKUP(Calculator!E23,tbSkills!DH3:DJ6,3,FALSE),0),0))&gt;=0,1+(Backdoors!AL2*(IF((Backdoors!AI12+IF(BF53&gt;=0.45,VLOOKUP(Calculator!E23,tbSkills!DH3:DI6,2,FALSE)+IF(AND(Calculator!B8=TRUE,Backdoors!BI11=TRUE),VLOOKUP(Calculator!E23,tbSkills!DH3:DJ6,3,FALSE),0),0))&gt;=100,100,(Backdoors!AI12+IF(BF53&gt;=0.45,VLOOKUP(Calculator!E23,tbSkills!DH3:DI6,2,FALSE)+IF(AND(Calculator!B8=TRUE,Backdoors!BI11=TRUE),VLOOKUP(Calculator!E23,tbSkills!DH3:DJ6,3,FALSE),0),0)))/100)),(1-(0.25*((-Backdoors!AI12-IF(BF53&gt;=0.45,VLOOKUP(Calculator!E23,tbSkills!DH3:DI6,2,FALSE)+IF(AND(Calculator!B8=TRUE,Backdoors!BI11=TRUE),VLOOKUP(Calculator!E23,tbSkills!DH3:DJ6,3,FALSE),0),0))/100)))),1),"")</f>
        <v>1</v>
      </c>
      <c r="BI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F53)*BH53)*(VLOOKUP(A53,tbMoveset!A2:C112,3,FALSE)/100)*IF(VLOOKUP(A53,tbMoveset!A2:B112,2,FALSE)="Projectile",Backdoors!N10,Backdoors!N9),0),"")</f>
        <v/>
      </c>
      <c r="BJ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F53&gt;=0.45,VLOOKUP(Calculator!E23,tbSkills!DH3:DI6,2,FALSE)+IF(AND(Calculator!B8=TRUE,Backdoors!BI11=TRUE),VLOOKUP(Calculator!E23,tbSkills!DH3:DJ6,3,FALSE),0),0))&gt;=100,100,(Backdoors!AI12+IF(BF53&gt;=0.45,VLOOKUP(Calculator!E23,tbSkills!DH3:DI6,2,FALSE)+IF(AND(Calculator!B8=TRUE,Backdoors!BI11=TRUE),VLOOKUP(Calculator!E23,tbSkills!DH3:DJ6,3,FALSE),0),0)))/100)),1))*IF(VLOOKUP(A53,tbMoveset!A2:K112,11,FALSE)=TRUE,Backdoors!AC5,1))*BG53,0),"")</f>
        <v>0</v>
      </c>
      <c r="BK53" s="49">
        <f>VLOOKUP(A53,tbMoveset!A2:G112,7,FALSE)*IFERROR(IF(Backdoors!AI12&gt;=0,1+(IF(Calculator!E40&gt;0,VLOOKUP(Calculator!E40,tbSkills!AI3:AJ5,2,FALSE),Backdoors!AL4)*(IF((Backdoors!AI12+IF(BF53&gt;=0.45,VLOOKUP(Calculator!E23,tbSkills!DH3:DI6,2,FALSE)+IF(AND(Calculator!B8=TRUE,Backdoors!BI11=TRUE),VLOOKUP(Calculator!E23,tbSkills!DH3:DJ6,3,FALSE),0),0))&gt;=100,100,(Backdoors!AI12+IF(BF53&gt;=0.45,VLOOKUP(Calculator!E23,tbSkills!DH3:DI6,2,FALSE)+IF(AND(Calculator!B8=TRUE,Backdoors!BI11=TRUE),VLOOKUP(Calculator!E23,tbSkills!DH3:DJ6,3,FALSE),0),0)))/100)),1),1)</f>
        <v>0.8</v>
      </c>
      <c r="BL53" s="87">
        <f t="shared" si="4"/>
        <v>0</v>
      </c>
      <c r="BM53" s="86" t="str">
        <f>IFERROR(IF(VLOOKUP(A53,tbMoveset!A2:B112,2,FALSE)="Sever",Backdoors!AY12/100,IF(VLOOKUP(A53,tbMoveset!A2:B112,2,FALSE)="Blunt",Backdoors!AZ12/100,Backdoors!BA12/100)),"")</f>
        <v/>
      </c>
      <c r="BN53" s="49">
        <f>IFERROR(IF(VLOOKUP(tbMoveset!A53,tbMoveset!A2:H112,8,FALSE)="Other",IF(VLOOKUP(tbMoveset!A53,tbMoveset!A2:I112,9,FALSE)="Fire",Backdoors!BB12,IF(VLOOKUP(tbMoveset!A53,tbMoveset!A2:I112,9,FALSE)="Water",Backdoors!BC12,IF(VLOOKUP(tbMoveset!A53,tbMoveset!A2:I112,9,FALSE)="Thunder",Backdoors!BD12,IF(VLOOKUP(tbMoveset!A53,tbMoveset!A2:I112,9,FALSE)="Ice",Backdoors!BE12,IF(VLOOKUP(tbMoveset!A53,tbMoveset!A2:I112,9,FALSE)="Dragon",Backdoors!BF12,Backdoors!BG12)))))/100,Backdoors!BG12/100),"")</f>
        <v>0</v>
      </c>
      <c r="BO53" s="49">
        <f>IFERROR(IF(VLOOKUP(A53,tbMoveset!A2:J112,10,FALSE)=TRUE,IF((Backdoors!AI12+IF(BM53&gt;=0.45,VLOOKUP(Calculator!E23,tbSkills!DH3:DI6,2,FALSE)+IF(AND(Calculator!B8=TRUE,Backdoors!BI12=TRUE),VLOOKUP(Calculator!E23,tbSkills!DH3:DJ6,3,FALSE),0),0))&gt;=0,1+(Backdoors!AL2*(IF((Backdoors!AI12+IF(BM53&gt;=0.45,VLOOKUP(Calculator!E23,tbSkills!DH3:DI6,2,FALSE)+IF(AND(Calculator!B8=TRUE,Backdoors!BI12=TRUE),VLOOKUP(Calculator!E23,tbSkills!DH3:DJ6,3,FALSE),0),0))&gt;=100,100,(Backdoors!AI12+IF(BM53&gt;=0.45,VLOOKUP(Calculator!E23,tbSkills!DH3:DI6,2,FALSE)+IF(AND(Calculator!B8=TRUE,Backdoors!BI12=TRUE),VLOOKUP(Calculator!E23,tbSkills!DH3:DJ6,3,FALSE),0),0)))/100)),(1-(0.25*((-Backdoors!AI12-IF(BM53&gt;=0.45,VLOOKUP(Calculator!E23,tbSkills!DH3:DI6,2,FALSE)+IF(AND(Calculator!B8=TRUE,Backdoors!BI12=TRUE),VLOOKUP(Calculator!E23,tbSkills!DH3:DJ6,3,FALSE),0),0))/100)))),1),"")</f>
        <v>1</v>
      </c>
      <c r="BP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M53)*BO53)*(VLOOKUP(A53,tbMoveset!A2:C112,3,FALSE)/100)*IF(VLOOKUP(A53,tbMoveset!A2:B112,2,FALSE)="Projectile",Backdoors!N10,Backdoors!N9),0),"")</f>
        <v/>
      </c>
      <c r="BQ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M53&gt;=0.45,VLOOKUP(Calculator!E23,tbSkills!DH3:DI6,2,FALSE)+IF(AND(Calculator!B8=TRUE,Backdoors!BI12=TRUE),VLOOKUP(Calculator!E23,tbSkills!DH3:DJ6,3,FALSE),0),0))&gt;=100,100,(Backdoors!AI12+IF(BM53&gt;=0.45,VLOOKUP(Calculator!E23,tbSkills!DH3:DI6,2,FALSE)+IF(AND(Calculator!B8=TRUE,Backdoors!BI12=TRUE),VLOOKUP(Calculator!E23,tbSkills!DH3:DJ6,3,FALSE),0),0)))/100)),1))*IF(VLOOKUP(A53,tbMoveset!A2:K112,11,FALSE)=TRUE,Backdoors!AC5,1))*BN53,0),"")</f>
        <v>0</v>
      </c>
      <c r="BR53" s="49">
        <f>VLOOKUP(A53,tbMoveset!A2:G112,7,FALSE)*IFERROR(IF(Backdoors!AI12&gt;=0,1+(IF(Calculator!E40&gt;0,VLOOKUP(Calculator!E40,tbSkills!AI3:AJ5,2,FALSE),Backdoors!AL4)*(IF((Backdoors!AI12+IF(BM53&gt;=0.45,VLOOKUP(Calculator!E23,tbSkills!DH3:DI6,2,FALSE)+IF(AND(Calculator!B8=TRUE,Backdoors!BI12=TRUE),VLOOKUP(Calculator!E23,tbSkills!DH3:DJ6,3,FALSE),0),0))&gt;=100,100,(Backdoors!AI12+IF(BM53&gt;=0.45,VLOOKUP(Calculator!E23,tbSkills!DH3:DI6,2,FALSE)+IF(AND(Calculator!B8=TRUE,Backdoors!BI12=TRUE),VLOOKUP(Calculator!E23,tbSkills!DH3:DJ6,3,FALSE),0),0)))/100)),1),1)</f>
        <v>0.8</v>
      </c>
      <c r="BS53" s="87">
        <f t="shared" si="39"/>
        <v>0</v>
      </c>
      <c r="BT53" s="86" t="str">
        <f>IFERROR(IF(VLOOKUP(A53,tbMoveset!A2:B112,2,FALSE)="Sever",Backdoors!AY13/100,IF(VLOOKUP(A53,tbMoveset!A2:B112,2,FALSE)="Blunt",Backdoors!AZ13/100,Backdoors!BA13/100)),"")</f>
        <v/>
      </c>
      <c r="BU53" s="49">
        <f>IFERROR(IF(VLOOKUP(tbMoveset!A53,tbMoveset!A2:H112,8,FALSE)="Other",IF(VLOOKUP(tbMoveset!A53,tbMoveset!A2:I112,9,FALSE)="Fire",Backdoors!BB13,IF(VLOOKUP(tbMoveset!A53,tbMoveset!A2:I112,9,FALSE)="Water",Backdoors!BC13,IF(VLOOKUP(tbMoveset!A53,tbMoveset!A2:I112,9,FALSE)="Thunder",Backdoors!BD13,IF(VLOOKUP(tbMoveset!A53,tbMoveset!A2:I112,9,FALSE)="Ice",Backdoors!BE13,IF(VLOOKUP(tbMoveset!A53,tbMoveset!A2:I112,9,FALSE)="Dragon",Backdoors!BF13,Backdoors!BG13)))))/100,Backdoors!BG13/100),"")</f>
        <v>0</v>
      </c>
      <c r="BV53" s="49">
        <f>IFERROR(IF(VLOOKUP(A53,tbMoveset!A2:J112,10,FALSE)=TRUE,IF((Backdoors!AI12+IF(BT53&gt;=0.45,VLOOKUP(Calculator!E23,tbSkills!DH3:DI6,2,FALSE)+IF(AND(Calculator!B8=TRUE,Backdoors!BI13=TRUE),VLOOKUP(Calculator!E23,tbSkills!DH3:DJ6,3,FALSE),0),0))&gt;=0,1+(Backdoors!AL2*(IF((Backdoors!AI12+IF(BT53&gt;=0.45,VLOOKUP(Calculator!E23,tbSkills!DH3:DI6,2,FALSE)+IF(AND(Calculator!B8=TRUE,Backdoors!BI13=TRUE),VLOOKUP(Calculator!E23,tbSkills!DH3:DJ6,3,FALSE),0),0))&gt;=100,100,(Backdoors!AI12+IF(BT53&gt;=0.45,VLOOKUP(Calculator!E23,tbSkills!DH3:DI6,2,FALSE)+IF(AND(Calculator!B8=TRUE,Backdoors!BI13=TRUE),VLOOKUP(Calculator!E23,tbSkills!DH3:DJ6,3,FALSE),0),0)))/100)),(1-(0.25*((-Backdoors!AI12-IF(BT53&gt;=0.45,VLOOKUP(Calculator!E23,tbSkills!DH3:DI6,2,FALSE)+IF(AND(Calculator!B8=TRUE,Backdoors!BI13=TRUE),VLOOKUP(Calculator!E23,tbSkills!DH3:DJ6,3,FALSE),0),0))/100)))),1),"")</f>
        <v>1</v>
      </c>
      <c r="BW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T53)*BV53)*(VLOOKUP(A53,tbMoveset!A2:C112,3,FALSE)/100)*IF(VLOOKUP(A53,tbMoveset!A2:B112,2,FALSE)="Projectile",Backdoors!N10,Backdoors!N9),0),"")</f>
        <v/>
      </c>
      <c r="BX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T53&gt;=0.45,VLOOKUP(Calculator!E23,tbSkills!DH3:DI6,2,FALSE)+IF(AND(Calculator!B8=TRUE,Backdoors!BI13=TRUE),VLOOKUP(Calculator!E23,tbSkills!DH3:DJ6,3,FALSE),0),0))&gt;=100,100,(Backdoors!AI12+IF(BT53&gt;=0.45,VLOOKUP(Calculator!E23,tbSkills!DH3:DI6,2,FALSE)+IF(AND(Calculator!B8=TRUE,Backdoors!BI13=TRUE),VLOOKUP(Calculator!E23,tbSkills!DH3:DJ6,3,FALSE),0),0)))/100)),1))*IF(VLOOKUP(A53,tbMoveset!A2:K112,11,FALSE)=TRUE,Backdoors!AC5,1))*BU53,0),"")</f>
        <v>0</v>
      </c>
      <c r="BY53" s="49">
        <f>VLOOKUP(A53,tbMoveset!A2:G112,7,FALSE)*IFERROR(IF(Backdoors!AI12&gt;=0,1+(IF(Calculator!E40&gt;0,VLOOKUP(Calculator!E40,tbSkills!AI3:AJ5,2,FALSE),Backdoors!AL4)*(IF((Backdoors!AI12+IF(BT53&gt;=0.45,VLOOKUP(Calculator!E23,tbSkills!DH3:DI6,2,FALSE)+IF(AND(Calculator!B8=TRUE,Backdoors!BI13=TRUE),VLOOKUP(Calculator!E23,tbSkills!DH3:DJ6,3,FALSE),0),0))&gt;=100,100,(Backdoors!AI12+IF(BT53&gt;=0.45,VLOOKUP(Calculator!E23,tbSkills!DH3:DI6,2,FALSE)+IF(AND(Calculator!B8=TRUE,Backdoors!BI13=TRUE),VLOOKUP(Calculator!E23,tbSkills!DH3:DJ6,3,FALSE),0),0)))/100)),1),1)</f>
        <v>0.8</v>
      </c>
      <c r="BZ53" s="87">
        <f t="shared" si="5"/>
        <v>0</v>
      </c>
      <c r="CA53" s="86" t="str">
        <f>IFERROR(IF(VLOOKUP(A53,tbMoveset!A2:B112,2,FALSE)="Sever",Backdoors!AY14/100,IF(VLOOKUP(A53,tbMoveset!A2:B112,2,FALSE)="Blunt",Backdoors!AZ14/100,Backdoors!BA14/100)),"")</f>
        <v/>
      </c>
      <c r="CB53" s="49">
        <f>IFERROR(IF(VLOOKUP(tbMoveset!A53,tbMoveset!A2:H112,8,FALSE)="Other",IF(VLOOKUP(tbMoveset!A53,tbMoveset!A2:I112,9,FALSE)="Fire",Backdoors!BB14,IF(VLOOKUP(tbMoveset!A53,tbMoveset!A2:I112,9,FALSE)="Water",Backdoors!BC14,IF(VLOOKUP(tbMoveset!A53,tbMoveset!A2:I112,9,FALSE)="Thunder",Backdoors!BD14,IF(VLOOKUP(tbMoveset!A53,tbMoveset!A2:I112,9,FALSE)="Ice",Backdoors!BE14,IF(VLOOKUP(tbMoveset!A53,tbMoveset!A2:I112,9,FALSE)="Dragon",Backdoors!BF14,Backdoors!BG14)))))/100,Backdoors!BG14/100),"")</f>
        <v>0</v>
      </c>
      <c r="CC53" s="49">
        <f>IFERROR(IF(VLOOKUP(A53,tbMoveset!A2:J112,10,FALSE)=TRUE,IF((Backdoors!AI12+IF(CA53&gt;=0.45,VLOOKUP(Calculator!E23,tbSkills!DH3:DI6,2,FALSE)+IF(AND(Calculator!B8=TRUE,Backdoors!BI14=TRUE),VLOOKUP(Calculator!E23,tbSkills!DH3:DJ6,3,FALSE),0),0))&gt;=0,1+(Backdoors!AL2*(IF((Backdoors!AI12+IF(CA53&gt;=0.45,VLOOKUP(Calculator!E23,tbSkills!DH3:DI6,2,FALSE)+IF(AND(Calculator!B8=TRUE,Backdoors!BI14=TRUE),VLOOKUP(Calculator!E23,tbSkills!DH3:DJ6,3,FALSE),0),0))&gt;=100,100,(Backdoors!AI12+IF(CA53&gt;=0.45,VLOOKUP(Calculator!E23,tbSkills!DH3:DI6,2,FALSE)+IF(AND(Calculator!B8=TRUE,Backdoors!BI14=TRUE),VLOOKUP(Calculator!E23,tbSkills!DH3:DJ6,3,FALSE),0),0)))/100)),(1-(0.25*((-Backdoors!AI12-IF(CA53&gt;=0.45,VLOOKUP(Calculator!E23,tbSkills!DH3:DI6,2,FALSE)+IF(AND(Calculator!B8=TRUE,Backdoors!BI14=TRUE),VLOOKUP(Calculator!E23,tbSkills!DH3:DJ6,3,FALSE),0),0))/100)))),1),"")</f>
        <v>1</v>
      </c>
      <c r="CD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A53)*CC53)*(VLOOKUP(A53,tbMoveset!A2:C112,3,FALSE)/100)*IF(VLOOKUP(A53,tbMoveset!A2:B112,2,FALSE)="Projectile",Backdoors!N10,Backdoors!N9),0),"")</f>
        <v/>
      </c>
      <c r="CE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A53&gt;=0.45,VLOOKUP(Calculator!E23,tbSkills!DH3:DI6,2,FALSE)+IF(AND(Calculator!B8=TRUE,Backdoors!BI14=TRUE),VLOOKUP(Calculator!E23,tbSkills!DH3:DJ6,3,FALSE),0),0))&gt;=100,100,(Backdoors!AI12+IF(CA53&gt;=0.45,VLOOKUP(Calculator!E23,tbSkills!DH3:DI6,2,FALSE)+IF(AND(Calculator!B8=TRUE,Backdoors!BI14=TRUE),VLOOKUP(Calculator!E23,tbSkills!DH3:DJ6,3,FALSE),0),0)))/100)),1))*IF(VLOOKUP(A53,tbMoveset!A2:K112,11,FALSE)=TRUE,Backdoors!AC5,1))*CB53,0),"")</f>
        <v>0</v>
      </c>
      <c r="CF53" s="49">
        <f>VLOOKUP(A53,tbMoveset!A2:G112,7,FALSE)*IFERROR(IF(Backdoors!AI12&gt;=0,1+(IF(Calculator!E40&gt;0,VLOOKUP(Calculator!E40,tbSkills!AI3:AJ5,2,FALSE),Backdoors!AL4)*(IF((Backdoors!AI12+IF(CA53&gt;=0.45,VLOOKUP(Calculator!E23,tbSkills!DH3:DI6,2,FALSE)+IF(AND(Calculator!B8=TRUE,Backdoors!BI14=TRUE),VLOOKUP(Calculator!E23,tbSkills!DH3:DJ6,3,FALSE),0),0))&gt;=100,100,(Backdoors!AI12+IF(CA53&gt;=0.45,VLOOKUP(Calculator!E23,tbSkills!DH3:DI6,2,FALSE)+IF(AND(Calculator!B8=TRUE,Backdoors!BI14=TRUE),VLOOKUP(Calculator!E23,tbSkills!DH3:DJ6,3,FALSE),0),0)))/100)),1),1)</f>
        <v>0.8</v>
      </c>
      <c r="CG53" s="87">
        <f t="shared" si="6"/>
        <v>0</v>
      </c>
      <c r="CH53" s="86" t="str">
        <f>IFERROR(IF(VLOOKUP(A53,tbMoveset!A2:B112,2,FALSE)="Sever",Backdoors!AY15/100,IF(VLOOKUP(A53,tbMoveset!A2:B112,2,FALSE)="Blunt",Backdoors!AZ15/100,Backdoors!BA15/100)),"")</f>
        <v/>
      </c>
      <c r="CI53" s="49">
        <f>IFERROR(IF(VLOOKUP(tbMoveset!A53,tbMoveset!A2:H112,8,FALSE)="Other",IF(VLOOKUP(tbMoveset!A53,tbMoveset!A2:I112,9,FALSE)="Fire",Backdoors!BB15,IF(VLOOKUP(tbMoveset!A53,tbMoveset!A2:I112,9,FALSE)="Water",Backdoors!BC15,IF(VLOOKUP(tbMoveset!A53,tbMoveset!A2:I112,9,FALSE)="Thunder",Backdoors!BD15,IF(VLOOKUP(tbMoveset!A53,tbMoveset!A2:I112,9,FALSE)="Ice",Backdoors!BE15,IF(VLOOKUP(tbMoveset!A53,tbMoveset!A2:I112,9,FALSE)="Dragon",Backdoors!BF15,Backdoors!BG15)))))/100,Backdoors!BG15/100),"")</f>
        <v>0</v>
      </c>
      <c r="CJ53" s="49">
        <f>IFERROR(IF(VLOOKUP(A53,tbMoveset!A2:J112,10,FALSE)=TRUE,IF((Backdoors!AI12+IF(CH53&gt;=0.45,VLOOKUP(Calculator!E23,tbSkills!DH3:DI6,2,FALSE)+IF(AND(Calculator!B8=TRUE,Backdoors!BI15=TRUE),VLOOKUP(Calculator!E23,tbSkills!DH3:DJ6,3,FALSE),0),0))&gt;=0,1+(Backdoors!AL2*(IF((Backdoors!AI12+IF(CH53&gt;=0.45,VLOOKUP(Calculator!E23,tbSkills!DH3:DI6,2,FALSE)+IF(AND(Calculator!B8=TRUE,Backdoors!BI15=TRUE),VLOOKUP(Calculator!E23,tbSkills!DH3:DJ6,3,FALSE),0),0))&gt;=100,100,(Backdoors!AI12+IF(CH53&gt;=0.45,VLOOKUP(Calculator!E23,tbSkills!DH3:DI6,2,FALSE)+IF(AND(Calculator!B8=TRUE,Backdoors!BI15=TRUE),VLOOKUP(Calculator!E23,tbSkills!DH3:DJ6,3,FALSE),0),0)))/100)),(1-(0.25*((-Backdoors!AI12-IF(CH53&gt;=0.45,VLOOKUP(Calculator!E23,tbSkills!DH3:DI6,2,FALSE)+IF(AND(Calculator!B8=TRUE,Backdoors!BI15=TRUE),VLOOKUP(Calculator!E23,tbSkills!DH3:DJ6,3,FALSE),0),0))/100)))),1),"")</f>
        <v>1</v>
      </c>
      <c r="CK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H53)*CJ53)*(VLOOKUP(A53,tbMoveset!A2:C112,3,FALSE)/100)*IF(VLOOKUP(A53,tbMoveset!A2:B112,2,FALSE)="Projectile",Backdoors!N10,Backdoors!N9),0),"")</f>
        <v/>
      </c>
      <c r="CL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H53&gt;=0.45,VLOOKUP(Calculator!E23,tbSkills!DH3:DI6,2,FALSE)+IF(AND(Calculator!B8=TRUE,Backdoors!BI15=TRUE),VLOOKUP(Calculator!E23,tbSkills!DH3:DJ6,3,FALSE),0),0))&gt;=100,100,(Backdoors!AI12+IF(CH53&gt;=0.45,VLOOKUP(Calculator!E23,tbSkills!DH3:DI6,2,FALSE)+IF(AND(Calculator!B8=TRUE,Backdoors!BI15=TRUE),VLOOKUP(Calculator!E23,tbSkills!DH3:DJ6,3,FALSE),0),0)))/100)),1))*IF(VLOOKUP(A53,tbMoveset!A2:K112,11,FALSE)=TRUE,Backdoors!AC5,1))*CI53,0),"")</f>
        <v>0</v>
      </c>
      <c r="CM53" s="49">
        <f>VLOOKUP(A53,tbMoveset!A2:G112,7,FALSE)*IFERROR(IF(Backdoors!AI12&gt;=0,1+(IF(Calculator!E40&gt;0,VLOOKUP(Calculator!E40,tbSkills!AI3:AJ5,2,FALSE),Backdoors!AL4)*(IF((Backdoors!AI12+IF(CH53&gt;=0.45,VLOOKUP(Calculator!E23,tbSkills!DH3:DI6,2,FALSE)+IF(AND(Calculator!B8=TRUE,Backdoors!BI15=TRUE),VLOOKUP(Calculator!E23,tbSkills!DH3:DJ6,3,FALSE),0),0))&gt;=100,100,(Backdoors!AI12+IF(CH53&gt;=0.45,VLOOKUP(Calculator!E23,tbSkills!DH3:DI6,2,FALSE)+IF(AND(Calculator!B8=TRUE,Backdoors!BI15=TRUE),VLOOKUP(Calculator!E23,tbSkills!DH3:DJ6,3,FALSE),0),0)))/100)),1),1)</f>
        <v>0.8</v>
      </c>
      <c r="CN53" s="87">
        <f t="shared" si="7"/>
        <v>0</v>
      </c>
      <c r="CO53" s="86" t="str">
        <f>IFERROR(IF(VLOOKUP(A53,tbMoveset!A2:B112,2,FALSE)="Sever",Backdoors!AY16/100,IF(VLOOKUP(A53,tbMoveset!A2:B112,2,FALSE)="Blunt",Backdoors!AZ16/100,Backdoors!BA16/100)),"")</f>
        <v/>
      </c>
      <c r="CP53" s="49">
        <f>IFERROR(IF(VLOOKUP(tbMoveset!A53,tbMoveset!A2:H112,8,FALSE)="Other",IF(VLOOKUP(tbMoveset!A53,tbMoveset!A2:I112,9,FALSE)="Fire",Backdoors!BB16,IF(VLOOKUP(tbMoveset!A53,tbMoveset!A2:I112,9,FALSE)="Water",Backdoors!BC16,IF(VLOOKUP(tbMoveset!A53,tbMoveset!A2:I112,9,FALSE)="Thunder",Backdoors!BD16,IF(VLOOKUP(tbMoveset!A53,tbMoveset!A2:I112,9,FALSE)="Ice",Backdoors!BE16,IF(VLOOKUP(tbMoveset!A53,tbMoveset!A2:I112,9,FALSE)="Dragon",Backdoors!BF16,Backdoors!BG16)))))/100,Backdoors!BG16/100),"")</f>
        <v>0</v>
      </c>
      <c r="CQ53" s="49">
        <f>IFERROR(IF(VLOOKUP(A53,tbMoveset!A2:J112,10,FALSE)=TRUE,IF((Backdoors!AI12+IF(CO53&gt;=0.45,VLOOKUP(Calculator!E23,tbSkills!DH3:DI6,2,FALSE)+IF(AND(Calculator!B8=TRUE,Backdoors!BI16=TRUE),VLOOKUP(Calculator!E23,tbSkills!DH3:DJ6,3,FALSE),0),0))&gt;=0,1+(Backdoors!AL2*(IF((Backdoors!AI12+IF(CO53&gt;=0.45,VLOOKUP(Calculator!E23,tbSkills!DH3:DI6,2,FALSE)+IF(AND(Calculator!B8=TRUE,Backdoors!BI16=TRUE),VLOOKUP(Calculator!E23,tbSkills!DH3:DJ6,3,FALSE),0),0))&gt;=100,100,(Backdoors!AI12+IF(CO53&gt;=0.45,VLOOKUP(Calculator!E23,tbSkills!DH3:DI6,2,FALSE)+IF(AND(Calculator!B8=TRUE,Backdoors!BI16=TRUE),VLOOKUP(Calculator!E23,tbSkills!DH3:DJ6,3,FALSE),0),0)))/100)),(1-(0.25*((-Backdoors!AI12-IF(CO53&gt;=0.45,VLOOKUP(Calculator!E23,tbSkills!DH3:DI6,2,FALSE)+IF(AND(Calculator!B8=TRUE,Backdoors!BI16=TRUE),VLOOKUP(Calculator!E23,tbSkills!DH3:DJ6,3,FALSE),0),0))/100)))),1),"")</f>
        <v>1</v>
      </c>
      <c r="CR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O53)*CQ53)*(VLOOKUP(A53,tbMoveset!A2:C112,3,FALSE)/100)*IF(VLOOKUP(A53,tbMoveset!A2:B112,2,FALSE)="Projectile",Backdoors!N10,Backdoors!N9),0),"")</f>
        <v/>
      </c>
      <c r="CS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O53&gt;=0.45,VLOOKUP(Calculator!E23,tbSkills!DH3:DI6,2,FALSE)+IF(AND(Calculator!B8=TRUE,Backdoors!BI16=TRUE),VLOOKUP(Calculator!E23,tbSkills!DH3:DJ6,3,FALSE),0),0))&gt;=100,100,(Backdoors!AI12+IF(CO53&gt;=0.45,VLOOKUP(Calculator!E23,tbSkills!DH3:DI6,2,FALSE)+IF(AND(Calculator!B8=TRUE,Backdoors!BI16=TRUE),VLOOKUP(Calculator!E23,tbSkills!DH3:DJ6,3,FALSE),0),0)))/100)),1))*IF(VLOOKUP(A53,tbMoveset!A2:K112,11,FALSE)=TRUE,Backdoors!AC5,1))*CP53,0),"")</f>
        <v>0</v>
      </c>
      <c r="CT53" s="49">
        <f>VLOOKUP(A53,tbMoveset!A2:G112,7,FALSE)*IFERROR(IF(Backdoors!AI12&gt;=0,1+(IF(Calculator!E40&gt;0,VLOOKUP(Calculator!E40,tbSkills!AI3:AJ5,2,FALSE),Backdoors!AL4)*(IF((Backdoors!AI12+IF(CO53&gt;=0.45,VLOOKUP(Calculator!E23,tbSkills!DH3:DI6,2,FALSE)+IF(AND(Calculator!B8=TRUE,Backdoors!BI16=TRUE),VLOOKUP(Calculator!E23,tbSkills!DH3:DJ6,3,FALSE),0),0))&gt;=100,100,(Backdoors!AI12+IF(CO53&gt;=0.45,VLOOKUP(Calculator!E23,tbSkills!DH3:DI6,2,FALSE)+IF(AND(Calculator!B8=TRUE,Backdoors!BI16=TRUE),VLOOKUP(Calculator!E23,tbSkills!DH3:DJ6,3,FALSE),0),0)))/100)),1),1)</f>
        <v>0.8</v>
      </c>
      <c r="CU53" s="87">
        <f t="shared" si="40"/>
        <v>0</v>
      </c>
      <c r="CV53" s="86" t="str">
        <f>IFERROR(IF(VLOOKUP(A53,tbMoveset!A2:B112,2,FALSE)="Sever",Backdoors!AY17/100,IF(VLOOKUP(A53,tbMoveset!A2:B112,2,FALSE)="Blunt",Backdoors!AZ17/100,Backdoors!BA17/100)),"")</f>
        <v/>
      </c>
      <c r="CW53" s="49">
        <f>IFERROR(IF(VLOOKUP(tbMoveset!A53,tbMoveset!A2:H112,8,FALSE)="Other",IF(VLOOKUP(tbMoveset!A53,tbMoveset!A2:I112,9,FALSE)="Fire",Backdoors!BB17,IF(VLOOKUP(tbMoveset!A53,tbMoveset!A2:I112,9,FALSE)="Water",Backdoors!BC17,IF(VLOOKUP(tbMoveset!A53,tbMoveset!A2:I112,9,FALSE)="Thunder",Backdoors!BD17,IF(VLOOKUP(tbMoveset!A53,tbMoveset!A2:I112,9,FALSE)="Ice",Backdoors!BE17,IF(VLOOKUP(tbMoveset!A53,tbMoveset!A2:I112,9,FALSE)="Dragon",Backdoors!BF17,Backdoors!BG17)))))/100,Backdoors!BG17/100),"")</f>
        <v>0</v>
      </c>
      <c r="CX53" s="49">
        <f>IFERROR(IF(VLOOKUP(A53,tbMoveset!A2:J112,10,FALSE)=TRUE,IF((Backdoors!AI12+IF(CV53&gt;=0.45,VLOOKUP(Calculator!E23,tbSkills!DH3:DI6,2,FALSE)+IF(AND(Calculator!B8=TRUE,Backdoors!BI17=TRUE),VLOOKUP(Calculator!E23,tbSkills!DH3:DJ6,3,FALSE),0),0))&gt;=0,1+(Backdoors!AL2*(IF((Backdoors!AI12+IF(CV53&gt;=0.45,VLOOKUP(Calculator!E23,tbSkills!DH3:DI6,2,FALSE)+IF(AND(Calculator!B8=TRUE,Backdoors!BI17=TRUE),VLOOKUP(Calculator!E23,tbSkills!DH3:DJ6,3,FALSE),0),0))&gt;=100,100,(Backdoors!AI12+IF(CV53&gt;=0.45,VLOOKUP(Calculator!E23,tbSkills!DH3:DI6,2,FALSE)+IF(AND(Calculator!B8=TRUE,Backdoors!BI17=TRUE),VLOOKUP(Calculator!E23,tbSkills!DH3:DJ6,3,FALSE),0),0)))/100)),(1-(0.25*((-Backdoors!AI12-IF(CV53&gt;=0.45,VLOOKUP(Calculator!E23,tbSkills!DH3:DI6,2,FALSE)+IF(AND(Calculator!B8=TRUE,Backdoors!BI17=TRUE),VLOOKUP(Calculator!E23,tbSkills!DH3:DJ6,3,FALSE),0),0))/100)))),1),"")</f>
        <v>1</v>
      </c>
      <c r="CY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V53)*CX53)*(VLOOKUP(A53,tbMoveset!A2:C112,3,FALSE)/100)*IF(VLOOKUP(A53,tbMoveset!A2:B112,2,FALSE)="Projectile",Backdoors!N10,Backdoors!N9),0),"")</f>
        <v/>
      </c>
      <c r="CZ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V53&gt;=0.45,VLOOKUP(Calculator!E23,tbSkills!DH3:DI6,2,FALSE)+IF(AND(Calculator!B8=TRUE,Backdoors!BI17=TRUE),VLOOKUP(Calculator!E23,tbSkills!DH3:DJ6,3,FALSE),0),0))&gt;=100,100,(Backdoors!AI12+IF(CV53&gt;=0.45,VLOOKUP(Calculator!E23,tbSkills!DH3:DI6,2,FALSE)+IF(AND(Calculator!B8=TRUE,Backdoors!BI17=TRUE),VLOOKUP(Calculator!E23,tbSkills!DH3:DJ6,3,FALSE),0),0)))/100)),1))*IF(VLOOKUP(A53,tbMoveset!A2:K112,11,FALSE)=TRUE,Backdoors!AC5,1))*CW53,0),"")</f>
        <v>0</v>
      </c>
      <c r="DA53" s="49">
        <f>VLOOKUP(A53,tbMoveset!A2:G112,7,FALSE)*IFERROR(IF(Backdoors!AI12&gt;=0,1+(IF(Calculator!E40&gt;0,VLOOKUP(Calculator!E40,tbSkills!AI3:AJ5,2,FALSE),Backdoors!AL4)*(IF((Backdoors!AI12+IF(CV53&gt;=0.45,VLOOKUP(Calculator!E23,tbSkills!DH3:DI6,2,FALSE)+IF(AND(Calculator!B8=TRUE,Backdoors!BI17=TRUE),VLOOKUP(Calculator!E23,tbSkills!DH3:DJ6,3,FALSE),0),0))&gt;=100,100,(Backdoors!AI12+IF(CV53&gt;=0.45,VLOOKUP(Calculator!E23,tbSkills!DH3:DI6,2,FALSE)+IF(AND(Calculator!B8=TRUE,Backdoors!BI17=TRUE),VLOOKUP(Calculator!E23,tbSkills!DH3:DJ6,3,FALSE),0),0)))/100)),1),1)</f>
        <v>0.8</v>
      </c>
      <c r="DB53" s="87">
        <f t="shared" si="8"/>
        <v>0</v>
      </c>
      <c r="DC53" s="86" t="str">
        <f>IFERROR(IF(VLOOKUP(A53,tbMoveset!A2:B112,2,FALSE)="Sever",Backdoors!AY18/100,IF(VLOOKUP(A53,tbMoveset!A2:B112,2,FALSE)="Blunt",Backdoors!AZ18/100,Backdoors!BA18/100)),"")</f>
        <v/>
      </c>
      <c r="DD53" s="49">
        <f>IFERROR(IF(VLOOKUP(tbMoveset!A53,tbMoveset!A2:H112,8,FALSE)="Other",IF(VLOOKUP(tbMoveset!A53,tbMoveset!A2:I112,9,FALSE)="Fire",Backdoors!BB18,IF(VLOOKUP(tbMoveset!A53,tbMoveset!A2:I112,9,FALSE)="Water",Backdoors!BC18,IF(VLOOKUP(tbMoveset!A53,tbMoveset!A2:I112,9,FALSE)="Thunder",Backdoors!BD18,IF(VLOOKUP(tbMoveset!A53,tbMoveset!A2:I112,9,FALSE)="Ice",Backdoors!BE18,IF(VLOOKUP(tbMoveset!A53,tbMoveset!A2:I112,9,FALSE)="Dragon",Backdoors!BF18,Backdoors!BG18)))))/100,Backdoors!BG18/100),"")</f>
        <v>0</v>
      </c>
      <c r="DE53" s="49">
        <f>IFERROR(IF(VLOOKUP(A53,tbMoveset!A2:J112,10,FALSE)=TRUE,IF((Backdoors!AI12+IF(DC53&gt;=0.45,VLOOKUP(Calculator!E23,tbSkills!DH3:DI6,2,FALSE)+IF(AND(Calculator!B8=TRUE,Backdoors!BI18=TRUE),VLOOKUP(Calculator!E23,tbSkills!DH3:DJ6,3,FALSE),0),0))&gt;=0,1+(Backdoors!AL2*(IF((Backdoors!AI12+IF(DC53&gt;=0.45,VLOOKUP(Calculator!E23,tbSkills!DH3:DI6,2,FALSE)+IF(AND(Calculator!B8=TRUE,Backdoors!BI18=TRUE),VLOOKUP(Calculator!E23,tbSkills!DH3:DJ6,3,FALSE),0),0))&gt;=100,100,(Backdoors!AI12+IF(DC53&gt;=0.45,VLOOKUP(Calculator!E23,tbSkills!DH3:DI6,2,FALSE)+IF(AND(Calculator!B8=TRUE,Backdoors!BI18=TRUE),VLOOKUP(Calculator!E23,tbSkills!DH3:DJ6,3,FALSE),0),0)))/100)),(1-(0.25*((-Backdoors!AI12-IF(DC53&gt;=0.45,VLOOKUP(Calculator!E23,tbSkills!DH3:DI6,2,FALSE)+IF(AND(Calculator!B8=TRUE,Backdoors!BI18=TRUE),VLOOKUP(Calculator!E23,tbSkills!DH3:DJ6,3,FALSE),0),0))/100)))),1),"")</f>
        <v>1</v>
      </c>
      <c r="DF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C53)*DE53)*(VLOOKUP(A53,tbMoveset!A2:C112,3,FALSE)/100)*IF(VLOOKUP(A53,tbMoveset!A2:B112,2,FALSE)="Projectile",Backdoors!N10,Backdoors!N9),0),"")</f>
        <v/>
      </c>
      <c r="DG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C53&gt;=0.45,VLOOKUP(Calculator!E23,tbSkills!DH3:DI6,2,FALSE)+IF(AND(Calculator!B8=TRUE,Backdoors!BI18=TRUE),VLOOKUP(Calculator!E23,tbSkills!DH3:DJ6,3,FALSE),0),0))&gt;=100,100,(Backdoors!AI12+IF(DC53&gt;=0.45,VLOOKUP(Calculator!E23,tbSkills!DH3:DI6,2,FALSE)+IF(AND(Calculator!B8=TRUE,Backdoors!BI18=TRUE),VLOOKUP(Calculator!E23,tbSkills!DH3:DJ6,3,FALSE),0),0)))/100)),1))*IF(VLOOKUP(A53,tbMoveset!A2:K112,11,FALSE)=TRUE,Backdoors!AC5,1))*DD53,0),"")</f>
        <v>0</v>
      </c>
      <c r="DH53" s="49">
        <f>VLOOKUP(A53,tbMoveset!A2:G112,7,FALSE)*IFERROR(IF(Backdoors!AI12&gt;=0,1+(IF(Calculator!E40&gt;0,VLOOKUP(Calculator!E40,tbSkills!AI3:AJ5,2,FALSE),Backdoors!AL4)*(IF((Backdoors!AI12+IF(DC53&gt;=0.45,VLOOKUP(Calculator!E23,tbSkills!DH3:DI6,2,FALSE)+IF(AND(Calculator!B8=TRUE,Backdoors!BI18=TRUE),VLOOKUP(Calculator!E23,tbSkills!DH3:DJ6,3,FALSE),0),0))&gt;=100,100,(Backdoors!AI12+IF(DC53&gt;=0.45,VLOOKUP(Calculator!E23,tbSkills!DH3:DI6,2,FALSE)+IF(AND(Calculator!B8=TRUE,Backdoors!BI18=TRUE),VLOOKUP(Calculator!E23,tbSkills!DH3:DJ6,3,FALSE),0),0)))/100)),1),1)</f>
        <v>0.8</v>
      </c>
      <c r="DI53" s="87">
        <f t="shared" si="9"/>
        <v>0</v>
      </c>
      <c r="DJ53" s="86" t="str">
        <f>IFERROR(IF(VLOOKUP(A53,tbMoveset!A2:B112,2,FALSE)="Sever",Backdoors!AY19/100,IF(VLOOKUP(A53,tbMoveset!A2:B112,2,FALSE)="Blunt",Backdoors!AZ19/100,Backdoors!BA19/100)),"")</f>
        <v/>
      </c>
      <c r="DK53" s="49">
        <f>IFERROR(IF(VLOOKUP(tbMoveset!A53,tbMoveset!A2:H112,8,FALSE)="Other",IF(VLOOKUP(tbMoveset!A53,tbMoveset!A2:I112,9,FALSE)="Fire",Backdoors!BB19,IF(VLOOKUP(tbMoveset!A53,tbMoveset!A2:I112,9,FALSE)="Water",Backdoors!BC19,IF(VLOOKUP(tbMoveset!A53,tbMoveset!A2:I112,9,FALSE)="Thunder",Backdoors!BD19,IF(VLOOKUP(tbMoveset!A53,tbMoveset!A2:I112,9,FALSE)="Ice",Backdoors!BE19,IF(VLOOKUP(tbMoveset!A53,tbMoveset!A2:I112,9,FALSE)="Dragon",Backdoors!BF19,Backdoors!BG19)))))/100,Backdoors!BG19/100),"")</f>
        <v>0</v>
      </c>
      <c r="DL53" s="49">
        <f>IFERROR(IF(VLOOKUP(A53,tbMoveset!A2:J112,10,FALSE)=TRUE,IF((Backdoors!AI12+IF(DJ53&gt;=0.45,VLOOKUP(Calculator!E23,tbSkills!DH3:DI6,2,FALSE)+IF(AND(Calculator!B8=TRUE,Backdoors!BI19=TRUE),VLOOKUP(Calculator!E23,tbSkills!DH3:DJ6,3,FALSE),0),0))&gt;=0,1+(Backdoors!AL2*(IF((Backdoors!AI12+IF(DJ53&gt;=0.45,VLOOKUP(Calculator!E23,tbSkills!DH3:DI6,2,FALSE)+IF(AND(Calculator!B8=TRUE,Backdoors!BI19=TRUE),VLOOKUP(Calculator!E23,tbSkills!DH3:DJ6,3,FALSE),0),0))&gt;=100,100,(Backdoors!AI12+IF(DJ53&gt;=0.45,VLOOKUP(Calculator!E23,tbSkills!DH3:DI6,2,FALSE)+IF(AND(Calculator!B8=TRUE,Backdoors!BI19=TRUE),VLOOKUP(Calculator!E23,tbSkills!DH3:DJ6,3,FALSE),0),0)))/100)),(1-(0.25*((-Backdoors!AI12-IF(DJ53&gt;=0.45,VLOOKUP(Calculator!E23,tbSkills!DH3:DI6,2,FALSE)+IF(AND(Calculator!B8=TRUE,Backdoors!BI19=TRUE),VLOOKUP(Calculator!E23,tbSkills!DH3:DJ6,3,FALSE),0),0))/100)))),1),"")</f>
        <v>1</v>
      </c>
      <c r="DM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J53)*DL53)*(VLOOKUP(A53,tbMoveset!A2:C112,3,FALSE)/100)*IF(VLOOKUP(A53,tbMoveset!A2:B112,2,FALSE)="Projectile",Backdoors!N10,Backdoors!N9),0),"")</f>
        <v/>
      </c>
      <c r="DN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J53&gt;=0.45,VLOOKUP(Calculator!E23,tbSkills!DH3:DI6,2,FALSE)+IF(AND(Calculator!B8=TRUE,Backdoors!BI19=TRUE),VLOOKUP(Calculator!E23,tbSkills!DH3:DJ6,3,FALSE),0),0))&gt;=100,100,(Backdoors!AI12+IF(DJ53&gt;=0.45,VLOOKUP(Calculator!E23,tbSkills!DH3:DI6,2,FALSE)+IF(AND(Calculator!B8=TRUE,Backdoors!BI19=TRUE),VLOOKUP(Calculator!E23,tbSkills!DH3:DJ6,3,FALSE),0),0)))/100)),1))*IF(VLOOKUP(A53,tbMoveset!A2:K112,11,FALSE)=TRUE,Backdoors!AC5,1))*DK53,0),"")</f>
        <v>0</v>
      </c>
      <c r="DO53" s="49">
        <f>VLOOKUP(A53,tbMoveset!A2:G112,7,FALSE)*IFERROR(IF(Backdoors!AI12&gt;=0,1+(IF(Calculator!E40&gt;0,VLOOKUP(Calculator!E40,tbSkills!AI3:AJ5,2,FALSE),Backdoors!AL4)*(IF((Backdoors!AI12+IF(DJ53&gt;=0.45,VLOOKUP(Calculator!E23,tbSkills!DH3:DI6,2,FALSE)+IF(AND(Calculator!B8=TRUE,Backdoors!BI19=TRUE),VLOOKUP(Calculator!E23,tbSkills!DH3:DJ6,3,FALSE),0),0))&gt;=100,100,(Backdoors!AI12+IF(DJ53&gt;=0.45,VLOOKUP(Calculator!E23,tbSkills!DH3:DI6,2,FALSE)+IF(AND(Calculator!B8=TRUE,Backdoors!BI19=TRUE),VLOOKUP(Calculator!E23,tbSkills!DH3:DJ6,3,FALSE),0),0)))/100)),1),1)</f>
        <v>0.8</v>
      </c>
      <c r="DP53" s="87">
        <f t="shared" si="41"/>
        <v>0</v>
      </c>
      <c r="DQ53" s="86" t="str">
        <f>IFERROR(IF(VLOOKUP(A53,tbMoveset!A2:B112,2,FALSE)="Sever",Backdoors!AY20/100,IF(VLOOKUP(A53,tbMoveset!A2:B112,2,FALSE)="Blunt",Backdoors!AZ20/100,Backdoors!BA20/100)),"")</f>
        <v/>
      </c>
      <c r="DR53" s="49">
        <f>IFERROR(IF(VLOOKUP(tbMoveset!A53,tbMoveset!A2:H112,8,FALSE)="Other",IF(VLOOKUP(tbMoveset!A53,tbMoveset!A2:I112,9,FALSE)="Fire",Backdoors!BB20,IF(VLOOKUP(tbMoveset!A53,tbMoveset!A2:I112,9,FALSE)="Water",Backdoors!BC20,IF(VLOOKUP(tbMoveset!A53,tbMoveset!A2:I112,9,FALSE)="Thunder",Backdoors!BD20,IF(VLOOKUP(tbMoveset!A53,tbMoveset!A2:I112,9,FALSE)="Ice",Backdoors!BE20,IF(VLOOKUP(tbMoveset!A53,tbMoveset!A2:I112,9,FALSE)="Dragon",Backdoors!BF20,Backdoors!BG20)))))/100,Backdoors!BG20/100),"")</f>
        <v>0</v>
      </c>
      <c r="DS53" s="49">
        <f>IFERROR(IF(VLOOKUP(A53,tbMoveset!A2:J112,10,FALSE)=TRUE,IF((Backdoors!AI12+IF(DQ53&gt;=0.45,VLOOKUP(Calculator!E23,tbSkills!DH3:DI6,2,FALSE)+IF(AND(Calculator!B8=TRUE,Backdoors!BI20=TRUE),VLOOKUP(Calculator!E23,tbSkills!DH3:DJ6,3,FALSE),0),0))&gt;=0,1+(Backdoors!AL2*(IF((Backdoors!AI12+IF(DQ53&gt;=0.45,VLOOKUP(Calculator!E23,tbSkills!DH3:DI6,2,FALSE)+IF(AND(Calculator!B8=TRUE,Backdoors!BI20=TRUE),VLOOKUP(Calculator!E23,tbSkills!DH3:DJ6,3,FALSE),0),0))&gt;=100,100,(Backdoors!AI12+IF(DQ53&gt;=0.45,VLOOKUP(Calculator!E23,tbSkills!DH3:DI6,2,FALSE)+IF(AND(Calculator!B8=TRUE,Backdoors!BI20=TRUE),VLOOKUP(Calculator!E23,tbSkills!DH3:DJ6,3,FALSE),0),0)))/100)),(1-(0.25*((-Backdoors!AI12-IF(DQ53&gt;=0.45,VLOOKUP(Calculator!E23,tbSkills!DH3:DI6,2,FALSE)+IF(AND(Calculator!B8=TRUE,Backdoors!BI20=TRUE),VLOOKUP(Calculator!E23,tbSkills!DH3:DJ6,3,FALSE),0),0))/100)))),1),"")</f>
        <v>1</v>
      </c>
      <c r="DT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Q53)*DS53)*(VLOOKUP(A53,tbMoveset!A2:C112,3,FALSE)/100)*IF(VLOOKUP(A53,tbMoveset!A2:B112,2,FALSE)="Projectile",Backdoors!N10,Backdoors!N9),0),"")</f>
        <v/>
      </c>
      <c r="DU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Q53&gt;=0.45,VLOOKUP(Calculator!E23,tbSkills!DH3:DI6,2,FALSE)+IF(AND(Calculator!B8=TRUE,Backdoors!BI20=TRUE),VLOOKUP(Calculator!E23,tbSkills!DH3:DJ6,3,FALSE),0),0))&gt;=100,100,(Backdoors!AI12+IF(DQ53&gt;=0.45,VLOOKUP(Calculator!E23,tbSkills!DH3:DI6,2,FALSE)+IF(AND(Calculator!B8=TRUE,Backdoors!BI20=TRUE),VLOOKUP(Calculator!E23,tbSkills!DH3:DJ6,3,FALSE),0),0)))/100)),1))*IF(VLOOKUP(A53,tbMoveset!A2:K112,11,FALSE)=TRUE,Backdoors!AC5,1))*DR53,0),"")</f>
        <v>0</v>
      </c>
      <c r="DV53" s="49">
        <f>VLOOKUP(A53,tbMoveset!A2:G112,7,FALSE)*IFERROR(IF(Backdoors!AI12&gt;=0,1+(IF(Calculator!E40&gt;0,VLOOKUP(Calculator!E40,tbSkills!AI3:AJ5,2,FALSE),Backdoors!AL4)*(IF((Backdoors!AI12+IF(DQ53&gt;=0.45,VLOOKUP(Calculator!E23,tbSkills!DH3:DI6,2,FALSE)+IF(AND(Calculator!B8=TRUE,Backdoors!BI20=TRUE),VLOOKUP(Calculator!E23,tbSkills!DH3:DJ6,3,FALSE),0),0))&gt;=100,100,(Backdoors!AI12+IF(DQ53&gt;=0.45,VLOOKUP(Calculator!E23,tbSkills!DH3:DI6,2,FALSE)+IF(AND(Calculator!B8=TRUE,Backdoors!BI20=TRUE),VLOOKUP(Calculator!E23,tbSkills!DH3:DJ6,3,FALSE),0),0)))/100)),1),1)</f>
        <v>0.8</v>
      </c>
      <c r="DW53" s="87">
        <f t="shared" si="10"/>
        <v>0</v>
      </c>
      <c r="DX53" s="86" t="str">
        <f>IFERROR(IF(VLOOKUP(A53,tbMoveset!A2:B112,2,FALSE)="Sever",Backdoors!AY21/100,IF(VLOOKUP(A53,tbMoveset!A2:B112,2,FALSE)="Blunt",Backdoors!AZ21/100,Backdoors!BA21/100)),"")</f>
        <v/>
      </c>
      <c r="DY53" s="49">
        <f>IFERROR(IF(VLOOKUP(tbMoveset!A53,tbMoveset!A2:H112,8,FALSE)="Other",IF(VLOOKUP(tbMoveset!A53,tbMoveset!A2:I112,9,FALSE)="Fire",Backdoors!BB21,IF(VLOOKUP(tbMoveset!A53,tbMoveset!A2:I112,9,FALSE)="Water",Backdoors!BC21,IF(VLOOKUP(tbMoveset!A53,tbMoveset!A2:I112,9,FALSE)="Thunder",Backdoors!BD21,IF(VLOOKUP(tbMoveset!A53,tbMoveset!A2:I112,9,FALSE)="Ice",Backdoors!BE21,IF(VLOOKUP(tbMoveset!A53,tbMoveset!A2:I112,9,FALSE)="Dragon",Backdoors!BF21,Backdoors!BG21)))))/100,Backdoors!BG21/100),"")</f>
        <v>0</v>
      </c>
      <c r="DZ53" s="49">
        <f>IFERROR(IF(VLOOKUP(A53,tbMoveset!A2:J112,10,FALSE)=TRUE,IF((Backdoors!AI12+IF(DX53&gt;=0.45,VLOOKUP(Calculator!E23,tbSkills!DH3:DI6,2,FALSE)+IF(AND(Calculator!B8=TRUE,Backdoors!BI21=TRUE),VLOOKUP(Calculator!E23,tbSkills!DH3:DJ6,3,FALSE),0),0))&gt;=0,1+(Backdoors!AL2*(IF((Backdoors!AI12+IF(DX53&gt;=0.45,VLOOKUP(Calculator!E23,tbSkills!DH3:DI6,2,FALSE)+IF(AND(Calculator!B8=TRUE,Backdoors!BI21=TRUE),VLOOKUP(Calculator!E23,tbSkills!DH3:DJ6,3,FALSE),0),0))&gt;=100,100,(Backdoors!AI12+IF(DX53&gt;=0.45,VLOOKUP(Calculator!E23,tbSkills!DH3:DI6,2,FALSE)+IF(AND(Calculator!B8=TRUE,Backdoors!BI21=TRUE),VLOOKUP(Calculator!E23,tbSkills!DH3:DJ6,3,FALSE),0),0)))/100)),(1-(0.25*((-Backdoors!AI12-IF(DX53&gt;=0.45,VLOOKUP(Calculator!E23,tbSkills!DH3:DI6,2,FALSE)+IF(AND(Calculator!B8=TRUE,Backdoors!BI21=TRUE),VLOOKUP(Calculator!E23,tbSkills!DH3:DJ6,3,FALSE),0),0))/100)))),1),"")</f>
        <v>1</v>
      </c>
      <c r="EA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X53)*DZ53)*(VLOOKUP(A53,tbMoveset!A2:C112,3,FALSE)/100)*IF(VLOOKUP(A53,tbMoveset!A2:B112,2,FALSE)="Projectile",Backdoors!N10,Backdoors!N9),0),"")</f>
        <v/>
      </c>
      <c r="EB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X53&gt;=0.45,VLOOKUP(Calculator!E23,tbSkills!DH3:DI6,2,FALSE)+IF(AND(Calculator!B8=TRUE,Backdoors!BI21=TRUE),VLOOKUP(Calculator!E23,tbSkills!DH3:DJ6,3,FALSE),0),0))&gt;=100,100,(Backdoors!AI12+IF(DX53&gt;=0.45,VLOOKUP(Calculator!E23,tbSkills!DH3:DI6,2,FALSE)+IF(AND(Calculator!B8=TRUE,Backdoors!BI21=TRUE),VLOOKUP(Calculator!E23,tbSkills!DH3:DJ6,3,FALSE),0),0)))/100)),1))*IF(VLOOKUP(A53,tbMoveset!A2:K112,11,FALSE)=TRUE,Backdoors!AC5,1))*DY53,0),"")</f>
        <v>0</v>
      </c>
      <c r="EC53" s="49">
        <f>VLOOKUP(A53,tbMoveset!A2:G112,7,FALSE)*IFERROR(IF(Backdoors!AI12&gt;=0,1+(IF(Calculator!E40&gt;0,VLOOKUP(Calculator!E40,tbSkills!AI3:AJ5,2,FALSE),Backdoors!AL4)*(IF((Backdoors!AI12+IF(DX53&gt;=0.45,VLOOKUP(Calculator!E23,tbSkills!DH3:DI6,2,FALSE)+IF(AND(Calculator!B8=TRUE,Backdoors!BI21=TRUE),VLOOKUP(Calculator!E23,tbSkills!DH3:DJ6,3,FALSE),0),0))&gt;=100,100,(Backdoors!AI12+IF(DX53&gt;=0.45,VLOOKUP(Calculator!E23,tbSkills!DH3:DI6,2,FALSE)+IF(AND(Calculator!B8=TRUE,Backdoors!BI21=TRUE),VLOOKUP(Calculator!E23,tbSkills!DH3:DJ6,3,FALSE),0),0)))/100)),1),1)</f>
        <v>0.8</v>
      </c>
      <c r="ED53" s="87">
        <f t="shared" si="11"/>
        <v>0</v>
      </c>
      <c r="EE53" s="86" t="str">
        <f>IFERROR(IF(VLOOKUP(A53,tbMoveset!A2:B112,2,FALSE)="Sever",Backdoors!AY22/100,IF(VLOOKUP(A53,tbMoveset!A2:B112,2,FALSE)="Blunt",Backdoors!AZ22/100,Backdoors!BA22/100)),"")</f>
        <v/>
      </c>
      <c r="EF53" s="49">
        <f>IFERROR(IF(VLOOKUP(tbMoveset!A53,tbMoveset!A2:H112,8,FALSE)="Other",IF(VLOOKUP(tbMoveset!A53,tbMoveset!A2:I112,9,FALSE)="Fire",Backdoors!BB22,IF(VLOOKUP(tbMoveset!A53,tbMoveset!A2:I112,9,FALSE)="Water",Backdoors!BC22,IF(VLOOKUP(tbMoveset!A53,tbMoveset!A2:I112,9,FALSE)="Thunder",Backdoors!BD22,IF(VLOOKUP(tbMoveset!A53,tbMoveset!A2:I112,9,FALSE)="Ice",Backdoors!BE22,IF(VLOOKUP(tbMoveset!A53,tbMoveset!A2:I112,9,FALSE)="Dragon",Backdoors!BF22,Backdoors!BG22)))))/100,Backdoors!BG22/100),"")</f>
        <v>0</v>
      </c>
      <c r="EG53" s="49">
        <f>IFERROR(IF(VLOOKUP(A53,tbMoveset!A2:J112,10,FALSE)=TRUE,IF((Backdoors!AI12+IF(EE53&gt;=0.45,VLOOKUP(Calculator!E23,tbSkills!DH3:DI6,2,FALSE)+IF(AND(Calculator!B8=TRUE,Backdoors!BI22=TRUE),VLOOKUP(Calculator!E23,tbSkills!DH3:DJ6,3,FALSE),0),0))&gt;=0,1+(Backdoors!AL2*(IF((Backdoors!AI12+IF(EE53&gt;=0.45,VLOOKUP(Calculator!E23,tbSkills!DH3:DI6,2,FALSE)+IF(AND(Calculator!B8=TRUE,Backdoors!BI22=TRUE),VLOOKUP(Calculator!E23,tbSkills!DH3:DJ6,3,FALSE),0),0))&gt;=100,100,(Backdoors!AI12+IF(EE53&gt;=0.45,VLOOKUP(Calculator!E23,tbSkills!DH3:DI6,2,FALSE)+IF(AND(Calculator!B8=TRUE,Backdoors!BI22=TRUE),VLOOKUP(Calculator!E23,tbSkills!DH3:DJ6,3,FALSE),0),0)))/100)),(1-(0.25*((-Backdoors!AI12-IF(EE53&gt;=0.45,VLOOKUP(Calculator!E23,tbSkills!DH3:DI6,2,FALSE)+IF(AND(Calculator!B8=TRUE,Backdoors!BI22=TRUE),VLOOKUP(Calculator!E23,tbSkills!DH3:DJ6,3,FALSE),0),0))/100)))),1),"")</f>
        <v>1</v>
      </c>
      <c r="EH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E53)*EG53)*(VLOOKUP(A53,tbMoveset!A2:C112,3,FALSE)/100)*IF(VLOOKUP(A53,tbMoveset!A2:B112,2,FALSE)="Projectile",Backdoors!N10,Backdoors!N9),0),"")</f>
        <v/>
      </c>
      <c r="EI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E53&gt;=0.45,VLOOKUP(Calculator!E23,tbSkills!DH3:DI6,2,FALSE)+IF(AND(Calculator!B8=TRUE,Backdoors!BI22=TRUE),VLOOKUP(Calculator!E23,tbSkills!DH3:DJ6,3,FALSE),0),0))&gt;=100,100,(Backdoors!AI12+IF(EE53&gt;=0.45,VLOOKUP(Calculator!E23,tbSkills!DH3:DI6,2,FALSE)+IF(AND(Calculator!B8=TRUE,Backdoors!BI22=TRUE),VLOOKUP(Calculator!E23,tbSkills!DH3:DJ6,3,FALSE),0),0)))/100)),1))*IF(VLOOKUP(A53,tbMoveset!A2:K112,11,FALSE)=TRUE,Backdoors!AC5,1))*EF53,0),"")</f>
        <v>0</v>
      </c>
      <c r="EJ53" s="49">
        <f>VLOOKUP(A53,tbMoveset!A2:G112,7,FALSE)*IFERROR(IF(Backdoors!AI12&gt;=0,1+(IF(Calculator!E40&gt;0,VLOOKUP(Calculator!E40,tbSkills!AI3:AJ5,2,FALSE),Backdoors!AL4)*(IF((Backdoors!AI12+IF(EE53&gt;=0.45,VLOOKUP(Calculator!E23,tbSkills!DH3:DI6,2,FALSE)+IF(AND(Calculator!B8=TRUE,Backdoors!BI22=TRUE),VLOOKUP(Calculator!E23,tbSkills!DH3:DJ6,3,FALSE),0),0))&gt;=100,100,(Backdoors!AI12+IF(EE53&gt;=0.45,VLOOKUP(Calculator!E23,tbSkills!DH3:DI6,2,FALSE)+IF(AND(Calculator!B8=TRUE,Backdoors!BI22=TRUE),VLOOKUP(Calculator!E23,tbSkills!DH3:DJ6,3,FALSE),0),0)))/100)),1),1)</f>
        <v>0.8</v>
      </c>
      <c r="EK53" s="87">
        <f t="shared" si="12"/>
        <v>0</v>
      </c>
      <c r="EL53" s="86" t="str">
        <f>IFERROR(IF(VLOOKUP(A53,tbMoveset!A2:B112,2,FALSE)="Sever",Backdoors!AY23/100,IF(VLOOKUP(A53,tbMoveset!A2:B112,2,FALSE)="Blunt",Backdoors!AZ23/100,Backdoors!BA23/100)),"")</f>
        <v/>
      </c>
      <c r="EM53" s="49">
        <f>IFERROR(IF(VLOOKUP(tbMoveset!A53,tbMoveset!A2:H112,8,FALSE)="Other",IF(VLOOKUP(tbMoveset!A53,tbMoveset!A2:I112,9,FALSE)="Fire",Backdoors!BB23,IF(VLOOKUP(tbMoveset!A53,tbMoveset!A2:I112,9,FALSE)="Water",Backdoors!BC23,IF(VLOOKUP(tbMoveset!A53,tbMoveset!A2:I112,9,FALSE)="Thunder",Backdoors!BD23,IF(VLOOKUP(tbMoveset!A53,tbMoveset!A2:I112,9,FALSE)="Ice",Backdoors!BE23,IF(VLOOKUP(tbMoveset!A53,tbMoveset!A2:I112,9,FALSE)="Dragon",Backdoors!BF23,Backdoors!BG23)))))/100,Backdoors!BG23/100),"")</f>
        <v>0</v>
      </c>
      <c r="EN53" s="49">
        <f>IFERROR(IF(VLOOKUP(A53,tbMoveset!A2:J112,10,FALSE)=TRUE,IF((Backdoors!AI12+IF(EL53&gt;=0.45,VLOOKUP(Calculator!E23,tbSkills!DH3:DI6,2,FALSE)+IF(AND(Calculator!B8=TRUE,Backdoors!BI23=TRUE),VLOOKUP(Calculator!E23,tbSkills!DH3:DJ6,3,FALSE),0),0))&gt;=0,1+(Backdoors!AL2*(IF((Backdoors!AI12+IF(EL53&gt;=0.45,VLOOKUP(Calculator!E23,tbSkills!DH3:DI6,2,FALSE)+IF(AND(Calculator!B8=TRUE,Backdoors!BI23=TRUE),VLOOKUP(Calculator!E23,tbSkills!DH3:DJ6,3,FALSE),0),0))&gt;=100,100,(Backdoors!AI12+IF(EL53&gt;=0.45,VLOOKUP(Calculator!E23,tbSkills!DH3:DI6,2,FALSE)+IF(AND(Calculator!B8=TRUE,Backdoors!BI23=TRUE),VLOOKUP(Calculator!E23,tbSkills!DH3:DJ6,3,FALSE),0),0)))/100)),(1-(0.25*((-Backdoors!AI12-IF(EL53&gt;=0.45,VLOOKUP(Calculator!E23,tbSkills!DH3:DI6,2,FALSE)+IF(AND(Calculator!B8=TRUE,Backdoors!BI23=TRUE),VLOOKUP(Calculator!E23,tbSkills!DH3:DJ6,3,FALSE),0),0))/100)))),1),"")</f>
        <v>1</v>
      </c>
      <c r="EO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L53)*EN53)*(VLOOKUP(A53,tbMoveset!A2:C112,3,FALSE)/100)*IF(VLOOKUP(A53,tbMoveset!A2:B112,2,FALSE)="Projectile",Backdoors!N10,Backdoors!N9),0),"")</f>
        <v/>
      </c>
      <c r="EP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L53&gt;=0.45,VLOOKUP(Calculator!E23,tbSkills!DH3:DI6,2,FALSE)+IF(AND(Calculator!B8=TRUE,Backdoors!BI23=TRUE),VLOOKUP(Calculator!E23,tbSkills!DH3:DJ6,3,FALSE),0),0))&gt;=100,100,(Backdoors!AI12+IF(EL53&gt;=0.45,VLOOKUP(Calculator!E23,tbSkills!DH3:DI6,2,FALSE)+IF(AND(Calculator!B8=TRUE,Backdoors!BI23=TRUE),VLOOKUP(Calculator!E23,tbSkills!DH3:DJ6,3,FALSE),0),0)))/100)),1))*IF(VLOOKUP(A53,tbMoveset!A2:K112,11,FALSE)=TRUE,Backdoors!AC5,1))*EM53,0),"")</f>
        <v>0</v>
      </c>
      <c r="EQ53" s="49">
        <f>VLOOKUP(A53,tbMoveset!A2:G112,7,FALSE)*IFERROR(IF(Backdoors!AI12&gt;=0,1+(IF(Calculator!E40&gt;0,VLOOKUP(Calculator!E40,tbSkills!AI3:AJ5,2,FALSE),Backdoors!AL4)*(IF((Backdoors!AI12+IF(EL53&gt;=0.45,VLOOKUP(Calculator!E23,tbSkills!DH3:DI6,2,FALSE)+IF(AND(Calculator!B8=TRUE,Backdoors!BI23=TRUE),VLOOKUP(Calculator!E23,tbSkills!DH3:DJ6,3,FALSE),0),0))&gt;=100,100,(Backdoors!AI12+IF(EL53&gt;=0.45,VLOOKUP(Calculator!E23,tbSkills!DH3:DI6,2,FALSE)+IF(AND(Calculator!B8=TRUE,Backdoors!BI23=TRUE),VLOOKUP(Calculator!E23,tbSkills!DH3:DJ6,3,FALSE),0),0)))/100)),1),1)</f>
        <v>0.8</v>
      </c>
      <c r="ER53" s="87">
        <f t="shared" si="13"/>
        <v>0</v>
      </c>
      <c r="ES53" s="86" t="str">
        <f>IFERROR(IF(VLOOKUP(A53,tbMoveset!A2:B112,2,FALSE)="Sever",Backdoors!AY24/100,IF(VLOOKUP(A53,tbMoveset!A2:B112,2,FALSE)="Blunt",Backdoors!AZ24/100,Backdoors!BA24/100)),"")</f>
        <v/>
      </c>
      <c r="ET53" s="49">
        <f>IFERROR(IF(VLOOKUP(tbMoveset!A53,tbMoveset!A2:H112,8,FALSE)="Other",IF(VLOOKUP(tbMoveset!A53,tbMoveset!A2:I112,9,FALSE)="Fire",Backdoors!BB24,IF(VLOOKUP(tbMoveset!A53,tbMoveset!A2:I112,9,FALSE)="Water",Backdoors!BC24,IF(VLOOKUP(tbMoveset!A53,tbMoveset!A2:I112,9,FALSE)="Thunder",Backdoors!BD24,IF(VLOOKUP(tbMoveset!A53,tbMoveset!A2:I112,9,FALSE)="Ice",Backdoors!BE24,IF(VLOOKUP(tbMoveset!A53,tbMoveset!A2:I112,9,FALSE)="Dragon",Backdoors!BF24,Backdoors!BG24)))))/100,Backdoors!BG24/100),"")</f>
        <v>0</v>
      </c>
      <c r="EU53" s="49">
        <f>IFERROR(IF(VLOOKUP(A53,tbMoveset!A2:J112,10,FALSE)=TRUE,IF((Backdoors!AI12+IF(ES53&gt;=0.45,VLOOKUP(Calculator!E23,tbSkills!DH3:DI6,2,FALSE)+IF(AND(Calculator!B8=TRUE,Backdoors!BI24=TRUE),VLOOKUP(Calculator!E23,tbSkills!DH3:DJ6,3,FALSE),0),0))&gt;=0,1+(Backdoors!AL2*(IF((Backdoors!AI12+IF(ES53&gt;=0.45,VLOOKUP(Calculator!E23,tbSkills!DH3:DI6,2,FALSE)+IF(AND(Calculator!B8=TRUE,Backdoors!BI24=TRUE),VLOOKUP(Calculator!E23,tbSkills!DH3:DJ6,3,FALSE),0),0))&gt;=100,100,(Backdoors!AI12+IF(ES53&gt;=0.45,VLOOKUP(Calculator!E23,tbSkills!DH3:DI6,2,FALSE)+IF(AND(Calculator!B8=TRUE,Backdoors!BI24=TRUE),VLOOKUP(Calculator!E23,tbSkills!DH3:DJ6,3,FALSE),0),0)))/100)),(1-(0.25*((-Backdoors!AI12-IF(ES53&gt;=0.45,VLOOKUP(Calculator!E23,tbSkills!DH3:DI6,2,FALSE)+IF(AND(Calculator!B8=TRUE,Backdoors!BI24=TRUE),VLOOKUP(Calculator!E23,tbSkills!DH3:DJ6,3,FALSE),0),0))/100)))),1),"")</f>
        <v>1</v>
      </c>
      <c r="EV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S53)*EU53)*(VLOOKUP(A53,tbMoveset!A2:C112,3,FALSE)/100)*IF(VLOOKUP(A53,tbMoveset!A2:B112,2,FALSE)="Projectile",Backdoors!N10,Backdoors!N9),0),"")</f>
        <v/>
      </c>
      <c r="EW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S53&gt;=0.45,VLOOKUP(Calculator!E23,tbSkills!DH3:DI6,2,FALSE)+IF(AND(Calculator!B8=TRUE,Backdoors!BI24=TRUE),VLOOKUP(Calculator!E23,tbSkills!DH3:DJ6,3,FALSE),0),0))&gt;=100,100,(Backdoors!AI12+IF(ES53&gt;=0.45,VLOOKUP(Calculator!E23,tbSkills!DH3:DI6,2,FALSE)+IF(AND(Calculator!B8=TRUE,Backdoors!BI24=TRUE),VLOOKUP(Calculator!E23,tbSkills!DH3:DJ6,3,FALSE),0),0)))/100)),1))*IF(VLOOKUP(A53,tbMoveset!A2:K112,11,FALSE)=TRUE,Backdoors!AC5,1))*ET53,0),"")</f>
        <v>0</v>
      </c>
      <c r="EX53" s="49">
        <f>VLOOKUP(A53,tbMoveset!A2:G112,7,FALSE)*IFERROR(IF(Backdoors!AI12&gt;=0,1+(IF(Calculator!E40&gt;0,VLOOKUP(Calculator!E40,tbSkills!AI3:AJ5,2,FALSE),Backdoors!AL4)*(IF((Backdoors!AI12+IF(ES53&gt;=0.45,VLOOKUP(Calculator!E23,tbSkills!DH3:DI6,2,FALSE)+IF(AND(Calculator!B8=TRUE,Backdoors!BI24=TRUE),VLOOKUP(Calculator!E23,tbSkills!DH3:DJ6,3,FALSE),0),0))&gt;=100,100,(Backdoors!AI12+IF(ES53&gt;=0.45,VLOOKUP(Calculator!E23,tbSkills!DH3:DI6,2,FALSE)+IF(AND(Calculator!B8=TRUE,Backdoors!BI24=TRUE),VLOOKUP(Calculator!E23,tbSkills!DH3:DJ6,3,FALSE),0),0)))/100)),1),1)</f>
        <v>0.8</v>
      </c>
      <c r="EY53" s="87">
        <f t="shared" si="14"/>
        <v>0</v>
      </c>
      <c r="EZ53" s="86" t="str">
        <f>IFERROR(IF(VLOOKUP(A53,tbMoveset!A2:B112,2,FALSE)="Sever",Backdoors!AY25/100,IF(VLOOKUP(A53,tbMoveset!A2:B112,2,FALSE)="Blunt",Backdoors!AZ25/100,Backdoors!BA25/100)),"")</f>
        <v/>
      </c>
      <c r="FA53" s="49">
        <f>IFERROR(IF(VLOOKUP(tbMoveset!A53,tbMoveset!A2:H112,8,FALSE)="Other",IF(VLOOKUP(tbMoveset!A53,tbMoveset!A2:I112,9,FALSE)="Fire",Backdoors!BB25,IF(VLOOKUP(tbMoveset!A53,tbMoveset!A2:I112,9,FALSE)="Water",Backdoors!BC25,IF(VLOOKUP(tbMoveset!A53,tbMoveset!A2:I112,9,FALSE)="Thunder",Backdoors!BD25,IF(VLOOKUP(tbMoveset!A53,tbMoveset!A2:I112,9,FALSE)="Ice",Backdoors!BE25,IF(VLOOKUP(tbMoveset!A53,tbMoveset!A2:I112,9,FALSE)="Dragon",Backdoors!BF25,Backdoors!BG25)))))/100,Backdoors!BG25/100),"")</f>
        <v>0</v>
      </c>
      <c r="FB53" s="49">
        <f>IFERROR(IF(VLOOKUP(A53,tbMoveset!A2:J112,10,FALSE)=TRUE,IF((Backdoors!AI12+IF(EZ53&gt;=0.45,VLOOKUP(Calculator!E23,tbSkills!DH3:DI6,2,FALSE)+IF(AND(Calculator!B8=TRUE,Backdoors!BI25=TRUE),VLOOKUP(Calculator!E23,tbSkills!DH3:DJ6,3,FALSE),0),0))&gt;=0,1+(Backdoors!AL2*(IF((Backdoors!AI12+IF(EZ53&gt;=0.45,VLOOKUP(Calculator!E23,tbSkills!DH3:DI6,2,FALSE)+IF(AND(Calculator!B8=TRUE,Backdoors!BI25=TRUE),VLOOKUP(Calculator!E23,tbSkills!DH3:DJ6,3,FALSE),0),0))&gt;=100,100,(Backdoors!AI12+IF(EZ53&gt;=0.45,VLOOKUP(Calculator!E23,tbSkills!DH3:DI6,2,FALSE)+IF(AND(Calculator!B8=TRUE,Backdoors!BI25=TRUE),VLOOKUP(Calculator!E23,tbSkills!DH3:DJ6,3,FALSE),0),0)))/100)),(1-(0.25*((-Backdoors!AI12-IF(EZ53&gt;=0.45,VLOOKUP(Calculator!E23,tbSkills!DH3:DI6,2,FALSE)+IF(AND(Calculator!B8=TRUE,Backdoors!BI25=TRUE),VLOOKUP(Calculator!E23,tbSkills!DH3:DJ6,3,FALSE),0),0))/100)))),1),"")</f>
        <v>1</v>
      </c>
      <c r="FC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Z53)*FB53)*(VLOOKUP(A53,tbMoveset!A2:C112,3,FALSE)/100)*IF(VLOOKUP(A53,tbMoveset!A2:B112,2,FALSE)="Projectile",Backdoors!N10,Backdoors!N9),0),"")</f>
        <v/>
      </c>
      <c r="FD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Z53&gt;=0.45,VLOOKUP(Calculator!E23,tbSkills!DH3:DI6,2,FALSE)+IF(AND(Calculator!B8=TRUE,Backdoors!BI25=TRUE),VLOOKUP(Calculator!E23,tbSkills!DH3:DJ6,3,FALSE),0),0))&gt;=100,100,(Backdoors!AI12+IF(EZ53&gt;=0.45,VLOOKUP(Calculator!E23,tbSkills!DH3:DI6,2,FALSE)+IF(AND(Calculator!B8=TRUE,Backdoors!BI25=TRUE),VLOOKUP(Calculator!E23,tbSkills!DH3:DJ6,3,FALSE),0),0)))/100)),1))*IF(VLOOKUP(A53,tbMoveset!A2:K112,11,FALSE)=TRUE,Backdoors!AC5,1))*FA53,0),"")</f>
        <v>0</v>
      </c>
      <c r="FE53" s="49">
        <f>VLOOKUP(A53,tbMoveset!A2:G112,7,FALSE)*IFERROR(IF(Backdoors!AI12&gt;=0,1+(IF(Calculator!E40&gt;0,VLOOKUP(Calculator!E40,tbSkills!AI3:AJ5,2,FALSE),Backdoors!AL4)*(IF((Backdoors!AI12+IF(EZ53&gt;=0.45,VLOOKUP(Calculator!E23,tbSkills!DH3:DI6,2,FALSE)+IF(AND(Calculator!B8=TRUE,Backdoors!BI25=TRUE),VLOOKUP(Calculator!E23,tbSkills!DH3:DJ6,3,FALSE),0),0))&gt;=100,100,(Backdoors!AI12+IF(EZ53&gt;=0.45,VLOOKUP(Calculator!E23,tbSkills!DH3:DI6,2,FALSE)+IF(AND(Calculator!B8=TRUE,Backdoors!BI25=TRUE),VLOOKUP(Calculator!E23,tbSkills!DH3:DJ6,3,FALSE),0),0)))/100)),1),1)</f>
        <v>0.8</v>
      </c>
      <c r="FF53" s="87">
        <f t="shared" si="15"/>
        <v>0</v>
      </c>
      <c r="FG53" s="86" t="str">
        <f>IFERROR(IF(VLOOKUP(A53,tbMoveset!A2:B112,2,FALSE)="Sever",Backdoors!AY26/100,IF(VLOOKUP(A53,tbMoveset!A2:B112,2,FALSE)="Blunt",Backdoors!AZ26/100,Backdoors!BA26/100)),"")</f>
        <v/>
      </c>
      <c r="FH53" s="49">
        <f>IFERROR(IF(VLOOKUP(tbMoveset!A53,tbMoveset!A2:H112,8,FALSE)="Other",IF(VLOOKUP(tbMoveset!A53,tbMoveset!A2:I112,9,FALSE)="Fire",Backdoors!BB26,IF(VLOOKUP(tbMoveset!A53,tbMoveset!A2:I112,9,FALSE)="Water",Backdoors!BC26,IF(VLOOKUP(tbMoveset!A53,tbMoveset!A2:I112,9,FALSE)="Thunder",Backdoors!BD26,IF(VLOOKUP(tbMoveset!A53,tbMoveset!A2:I112,9,FALSE)="Ice",Backdoors!BE26,IF(VLOOKUP(tbMoveset!A53,tbMoveset!A2:I112,9,FALSE)="Dragon",Backdoors!BF26,Backdoors!BG26)))))/100,Backdoors!BG26/100),"")</f>
        <v>0</v>
      </c>
      <c r="FI53" s="49">
        <f>IFERROR(IF(VLOOKUP(A53,tbMoveset!A2:J112,10,FALSE)=TRUE,IF((Backdoors!AI12+IF(FG53&gt;=0.45,VLOOKUP(Calculator!E23,tbSkills!DH3:DI6,2,FALSE)+IF(AND(Calculator!B8=TRUE,Backdoors!BI26=TRUE),VLOOKUP(Calculator!E23,tbSkills!DH3:DJ6,3,FALSE),0),0))&gt;=0,1+(Backdoors!AL2*(IF((Backdoors!AI12+IF(FG53&gt;=0.45,VLOOKUP(Calculator!E23,tbSkills!DH3:DI6,2,FALSE)+IF(AND(Calculator!B8=TRUE,Backdoors!BI26=TRUE),VLOOKUP(Calculator!E23,tbSkills!DH3:DJ6,3,FALSE),0),0))&gt;=100,100,(Backdoors!AI12+IF(FG53&gt;=0.45,VLOOKUP(Calculator!E23,tbSkills!DH3:DI6,2,FALSE)+IF(AND(Calculator!B8=TRUE,Backdoors!BI26=TRUE),VLOOKUP(Calculator!E23,tbSkills!DH3:DJ6,3,FALSE),0),0)))/100)),(1-(0.25*((-Backdoors!AI12-IF(FG53&gt;=0.45,VLOOKUP(Calculator!E23,tbSkills!DH3:DI6,2,FALSE)+IF(AND(Calculator!B8=TRUE,Backdoors!BI26=TRUE),VLOOKUP(Calculator!E23,tbSkills!DH3:DJ6,3,FALSE),0),0))/100)))),1),"")</f>
        <v>1</v>
      </c>
      <c r="FJ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FG53)*FI53)*(VLOOKUP(A53,tbMoveset!A2:C112,3,FALSE)/100)*IF(VLOOKUP(A53,tbMoveset!A2:B112,2,FALSE)="Projectile",Backdoors!N10,Backdoors!N9),0),"")</f>
        <v/>
      </c>
      <c r="FK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FG53&gt;=0.45,VLOOKUP(Calculator!E23,tbSkills!DH3:DI6,2,FALSE)+IF(AND(Calculator!B8=TRUE,Backdoors!BI26=TRUE),VLOOKUP(Calculator!E23,tbSkills!DH3:DJ6,3,FALSE),0),0))&gt;=100,100,(Backdoors!AI12+IF(FG53&gt;=0.45,VLOOKUP(Calculator!E23,tbSkills!DH3:DI6,2,FALSE)+IF(AND(Calculator!B8=TRUE,Backdoors!BI26=TRUE),VLOOKUP(Calculator!E23,tbSkills!DH3:DJ6,3,FALSE),0),0)))/100)),1))*IF(VLOOKUP(A53,tbMoveset!A2:K112,11,FALSE)=TRUE,Backdoors!AC5,1))*FH53,0),"")</f>
        <v>0</v>
      </c>
      <c r="FL53" s="49">
        <f>VLOOKUP(A53,tbMoveset!A2:G112,7,FALSE)*IFERROR(IF(Backdoors!AI12&gt;=0,1+(IF(Calculator!E40&gt;0,VLOOKUP(Calculator!E40,tbSkills!AI3:AJ5,2,FALSE),Backdoors!AL4)*(IF((Backdoors!AI12+IF(FG53&gt;=0.45,VLOOKUP(Calculator!E23,tbSkills!DH3:DI6,2,FALSE)+IF(AND(Calculator!B8=TRUE,Backdoors!BI26=TRUE),VLOOKUP(Calculator!E23,tbSkills!DH3:DJ6,3,FALSE),0),0))&gt;=100,100,(Backdoors!AI12+IF(FG53&gt;=0.45,VLOOKUP(Calculator!E23,tbSkills!DH3:DI6,2,FALSE)+IF(AND(Calculator!B8=TRUE,Backdoors!BI26=TRUE),VLOOKUP(Calculator!E23,tbSkills!DH3:DJ6,3,FALSE),0),0)))/100)),1),1)</f>
        <v>0.8</v>
      </c>
      <c r="FM53" s="87">
        <f t="shared" si="16"/>
        <v>0</v>
      </c>
      <c r="FN53" s="86" t="str">
        <f>IFERROR(IF(VLOOKUP(A53,tbMoveset!A2:B112,2,FALSE)="Sever",Backdoors!AY27/100,IF(VLOOKUP(A53,tbMoveset!A2:B112,2,FALSE)="Blunt",Backdoors!AZ27/100,Backdoors!BA27/100)),"")</f>
        <v/>
      </c>
      <c r="FO53" s="49">
        <f>IFERROR(IF(VLOOKUP(tbMoveset!A53,tbMoveset!A2:H112,8,FALSE)="Other",IF(VLOOKUP(tbMoveset!A53,tbMoveset!A2:I112,9,FALSE)="Fire",Backdoors!BB27,IF(VLOOKUP(tbMoveset!A53,tbMoveset!A2:I112,9,FALSE)="Water",Backdoors!BC27,IF(VLOOKUP(tbMoveset!A53,tbMoveset!A2:I112,9,FALSE)="Thunder",Backdoors!BD27,IF(VLOOKUP(tbMoveset!A53,tbMoveset!A2:I112,9,FALSE)="Ice",Backdoors!BE27,IF(VLOOKUP(tbMoveset!A53,tbMoveset!A2:I112,9,FALSE)="Dragon",Backdoors!BF27,Backdoors!BG27)))))/100,Backdoors!BG27/100),"")</f>
        <v>0</v>
      </c>
      <c r="FP53" s="49">
        <f>IFERROR(IF(VLOOKUP(A53,tbMoveset!A2:J112,10,FALSE)=TRUE,IF((Backdoors!AI12+IF(FN53&gt;=0.45,VLOOKUP(Calculator!E23,tbSkills!DH3:DI6,2,FALSE)+IF(AND(Calculator!B8=TRUE,Backdoors!BI27=TRUE),VLOOKUP(Calculator!E23,tbSkills!DH3:DJ6,3,FALSE),0),0))&gt;=0,1+(Backdoors!AL2*(IF((Backdoors!AI12+IF(FN53&gt;=0.45,VLOOKUP(Calculator!E23,tbSkills!DH3:DI6,2,FALSE)+IF(AND(Calculator!B8=TRUE,Backdoors!BI27=TRUE),VLOOKUP(Calculator!E23,tbSkills!DH3:DJ6,3,FALSE),0),0))&gt;=100,100,(Backdoors!AI12+IF(FN53&gt;=0.45,VLOOKUP(Calculator!E23,tbSkills!DH3:DI6,2,FALSE)+IF(AND(Calculator!B8=TRUE,Backdoors!BI27=TRUE),VLOOKUP(Calculator!E23,tbSkills!DH3:DJ6,3,FALSE),0),0)))/100)),(1-(0.25*((-Backdoors!AI12-IF(FN53&gt;=0.45,VLOOKUP(Calculator!E23,tbSkills!DH3:DI6,2,FALSE)+IF(AND(Calculator!B8=TRUE,Backdoors!BI27=TRUE),VLOOKUP(Calculator!E23,tbSkills!DH3:DJ6,3,FALSE),0),0))/100)))),1),"")</f>
        <v>1</v>
      </c>
      <c r="FQ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FN53)*FP53)*(VLOOKUP(A53,tbMoveset!A2:C112,3,FALSE)/100)*IF(VLOOKUP(A53,tbMoveset!A2:B112,2,FALSE)="Projectile",Backdoors!N10,Backdoors!N9),0),"")</f>
        <v/>
      </c>
      <c r="FR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FN53&gt;=0.45,VLOOKUP(Calculator!E23,tbSkills!DH3:DI6,2,FALSE)+IF(AND(Calculator!B8=TRUE,Backdoors!BI27=TRUE),VLOOKUP(Calculator!E23,tbSkills!DH3:DJ6,3,FALSE),0),0))&gt;=100,100,(Backdoors!AI12+IF(FN53&gt;=0.45,VLOOKUP(Calculator!E23,tbSkills!DH3:DI6,2,FALSE)+IF(AND(Calculator!B8=TRUE,Backdoors!BI27=TRUE),VLOOKUP(Calculator!E23,tbSkills!DH3:DJ6,3,FALSE),0),0)))/100)),1))*IF(VLOOKUP(A53,tbMoveset!A2:K112,11,FALSE)=TRUE,Backdoors!AC5,1))*FO53,0),"")</f>
        <v>0</v>
      </c>
      <c r="FS53" s="49">
        <f>VLOOKUP(A53,tbMoveset!A2:G112,7,FALSE)*IFERROR(IF(Backdoors!AI12&gt;=0,1+(IF(Calculator!E40&gt;0,VLOOKUP(Calculator!E40,tbSkills!AI3:AJ5,2,FALSE),Backdoors!AL4)*(IF((Backdoors!AI12+IF(FN53&gt;=0.45,VLOOKUP(Calculator!E23,tbSkills!DH3:DI6,2,FALSE)+IF(AND(Calculator!B8=TRUE,Backdoors!BI27=TRUE),VLOOKUP(Calculator!E23,tbSkills!DH3:DJ6,3,FALSE),0),0))&gt;=100,100,(Backdoors!AI12+IF(FN53&gt;=0.45,VLOOKUP(Calculator!E23,tbSkills!DH3:DI6,2,FALSE)+IF(AND(Calculator!B8=TRUE,Backdoors!BI27=TRUE),VLOOKUP(Calculator!E23,tbSkills!DH3:DJ6,3,FALSE),0),0)))/100)),1),1)</f>
        <v>0.8</v>
      </c>
      <c r="FT53" s="87">
        <f t="shared" si="17"/>
        <v>0</v>
      </c>
      <c r="FU53" s="86" t="str">
        <f>IFERROR(IF(VLOOKUP(A53,tbMoveset!A2:B112,2,FALSE)="Sever",Backdoors!AY28/100,IF(VLOOKUP(A53,tbMoveset!A2:B112,2,FALSE)="Blunt",Backdoors!AZ28/100,Backdoors!BA28/100)),"")</f>
        <v/>
      </c>
      <c r="FV53" s="49">
        <f>IFERROR(IF(VLOOKUP(tbMoveset!A53,tbMoveset!A2:H112,8,FALSE)="Other",IF(VLOOKUP(tbMoveset!A53,tbMoveset!A2:I112,9,FALSE)="Fire",Backdoors!BB28,IF(VLOOKUP(tbMoveset!A53,tbMoveset!A2:I112,9,FALSE)="Water",Backdoors!BC28,IF(VLOOKUP(tbMoveset!A53,tbMoveset!A2:I112,9,FALSE)="Thunder",Backdoors!BD28,IF(VLOOKUP(tbMoveset!A53,tbMoveset!A2:I112,9,FALSE)="Ice",Backdoors!BE28,IF(VLOOKUP(tbMoveset!A53,tbMoveset!A2:I112,9,FALSE)="Dragon",Backdoors!BF28,Backdoors!BG28)))))/100,Backdoors!BG28/100),"")</f>
        <v>0</v>
      </c>
      <c r="FW53" s="49">
        <f>IFERROR(IF(VLOOKUP(A53,tbMoveset!A2:J112,10,FALSE)=TRUE,IF((Backdoors!AI12+IF(FU53&gt;=0.45,VLOOKUP(Calculator!E23,tbSkills!DH3:DI6,2,FALSE)+IF(AND(Calculator!B8=TRUE,Backdoors!BI28=TRUE),VLOOKUP(Calculator!E23,tbSkills!DH3:DJ6,3,FALSE),0),0))&gt;=0,1+(Backdoors!AL2*(IF((Backdoors!AI12+IF(FU53&gt;=0.45,VLOOKUP(Calculator!E23,tbSkills!DH3:DI6,2,FALSE)+IF(AND(Calculator!B8=TRUE,Backdoors!BI28=TRUE),VLOOKUP(Calculator!E23,tbSkills!DH3:DJ6,3,FALSE),0),0))&gt;=100,100,(Backdoors!AI12+IF(FU53&gt;=0.45,VLOOKUP(Calculator!E23,tbSkills!DH3:DI6,2,FALSE)+IF(AND(Calculator!B8=TRUE,Backdoors!BI28=TRUE),VLOOKUP(Calculator!E23,tbSkills!DH3:DJ6,3,FALSE),0),0)))/100)),(1-(0.25*((-Backdoors!AI12-IF(FU53&gt;=0.45,VLOOKUP(Calculator!E23,tbSkills!DH3:DI6,2,FALSE)+IF(AND(Calculator!B8=TRUE,Backdoors!BI28=TRUE),VLOOKUP(Calculator!E23,tbSkills!DH3:DJ6,3,FALSE),0),0))/100)))),1),"")</f>
        <v>1</v>
      </c>
      <c r="FX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FU53)*FW53)*(VLOOKUP(A53,tbMoveset!A2:C112,3,FALSE)/100)*IF(VLOOKUP(A53,tbMoveset!A2:B112,2,FALSE)="Projectile",Backdoors!N10,Backdoors!N9),0),"")</f>
        <v/>
      </c>
      <c r="FY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FU53&gt;=0.45,VLOOKUP(Calculator!E23,tbSkills!DH3:DI6,2,FALSE)+IF(AND(Calculator!B8=TRUE,Backdoors!BI28=TRUE),VLOOKUP(Calculator!E23,tbSkills!DH3:DJ6,3,FALSE),0),0))&gt;=100,100,(Backdoors!AI12+IF(FU53&gt;=0.45,VLOOKUP(Calculator!E23,tbSkills!DH3:DI6,2,FALSE)+IF(AND(Calculator!B8=TRUE,Backdoors!BI28=TRUE),VLOOKUP(Calculator!E23,tbSkills!DH3:DJ6,3,FALSE),0),0)))/100)),1))*IF(VLOOKUP(A53,tbMoveset!A2:K112,11,FALSE)=TRUE,Backdoors!AC5,1))*FV53,0),"")</f>
        <v>0</v>
      </c>
      <c r="FZ53" s="49">
        <f>VLOOKUP(A53,tbMoveset!A2:G112,7,FALSE)*IFERROR(IF(Backdoors!AI12&gt;=0,1+(IF(Calculator!E40&gt;0,VLOOKUP(Calculator!E40,tbSkills!AI3:AJ5,2,FALSE),Backdoors!AL4)*(IF((Backdoors!AI12+IF(FU53&gt;=0.45,VLOOKUP(Calculator!E23,tbSkills!DH3:DI6,2,FALSE)+IF(AND(Calculator!B8=TRUE,Backdoors!BI28=TRUE),VLOOKUP(Calculator!E23,tbSkills!DH3:DJ6,3,FALSE),0),0))&gt;=100,100,(Backdoors!AI12+IF(FU53&gt;=0.45,VLOOKUP(Calculator!E23,tbSkills!DH3:DI6,2,FALSE)+IF(AND(Calculator!B8=TRUE,Backdoors!BI28=TRUE),VLOOKUP(Calculator!E23,tbSkills!DH3:DJ6,3,FALSE),0),0)))/100)),1),1)</f>
        <v>0.8</v>
      </c>
      <c r="GA53" s="87">
        <f t="shared" si="18"/>
        <v>0</v>
      </c>
      <c r="GB53" s="86" t="str">
        <f>IFERROR(IF(VLOOKUP(A53,tbMoveset!A2:B112,2,FALSE)="Sever",Backdoors!AY29/100,IF(VLOOKUP(A53,tbMoveset!A2:B112,2,FALSE)="Blunt",Backdoors!AZ29/100,Backdoors!BA29/100)),"")</f>
        <v/>
      </c>
      <c r="GC53" s="49">
        <f>IFERROR(IF(VLOOKUP(tbMoveset!A53,tbMoveset!A2:H112,8,FALSE)="Other",IF(VLOOKUP(tbMoveset!A53,tbMoveset!A2:I112,9,FALSE)="Fire",Backdoors!BB29,IF(VLOOKUP(tbMoveset!A53,tbMoveset!A2:I112,9,FALSE)="Water",Backdoors!BC29,IF(VLOOKUP(tbMoveset!A53,tbMoveset!A2:I112,9,FALSE)="Thunder",Backdoors!BD29,IF(VLOOKUP(tbMoveset!A53,tbMoveset!A2:I112,9,FALSE)="Ice",Backdoors!BE29,IF(VLOOKUP(tbMoveset!A53,tbMoveset!A2:I112,9,FALSE)="Dragon",Backdoors!BF29,Backdoors!BG29)))))/100,Backdoors!BG29/100),"")</f>
        <v>0</v>
      </c>
      <c r="GD53" s="49">
        <f>IFERROR(IF(VLOOKUP(A53,tbMoveset!A2:J112,10,FALSE)=TRUE,IF((Backdoors!AI12+IF(GB53&gt;=0.45,VLOOKUP(Calculator!E23,tbSkills!DH3:DI6,2,FALSE)+IF(AND(Calculator!B8=TRUE,Backdoors!BI29=TRUE),VLOOKUP(Calculator!E23,tbSkills!DH3:DJ6,3,FALSE),0),0))&gt;=0,1+(Backdoors!AL2*(IF((Backdoors!AI12+IF(GB53&gt;=0.45,VLOOKUP(Calculator!E23,tbSkills!DH3:DI6,2,FALSE)+IF(AND(Calculator!B8=TRUE,Backdoors!BI29=TRUE),VLOOKUP(Calculator!E23,tbSkills!DH3:DJ6,3,FALSE),0),0))&gt;=100,100,(Backdoors!AI12+IF(GB53&gt;=0.45,VLOOKUP(Calculator!E23,tbSkills!DH3:DI6,2,FALSE)+IF(AND(Calculator!B8=TRUE,Backdoors!BI29=TRUE),VLOOKUP(Calculator!E23,tbSkills!DH3:DJ6,3,FALSE),0),0)))/100)),(1-(0.25*((-Backdoors!AI12-IF(GB53&gt;=0.45,VLOOKUP(Calculator!E23,tbSkills!DH3:DI6,2,FALSE)+IF(AND(Calculator!B8=TRUE,Backdoors!BI29=TRUE),VLOOKUP(Calculator!E23,tbSkills!DH3:DJ6,3,FALSE),0),0))/100)))),1),"")</f>
        <v>1</v>
      </c>
      <c r="GE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B53)*GD53)*(VLOOKUP(A53,tbMoveset!A2:C112,3,FALSE)/100)*IF(VLOOKUP(A53,tbMoveset!A2:B112,2,FALSE)="Projectile",Backdoors!N10,Backdoors!N9),0),"")</f>
        <v/>
      </c>
      <c r="GF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B53&gt;=0.45,VLOOKUP(Calculator!E23,tbSkills!DH3:DI6,2,FALSE)+IF(AND(Calculator!B8=TRUE,Backdoors!BI29=TRUE),VLOOKUP(Calculator!E23,tbSkills!DH3:DJ6,3,FALSE),0),0))&gt;=100,100,(Backdoors!AI12+IF(GB53&gt;=0.45,VLOOKUP(Calculator!E23,tbSkills!DH3:DI6,2,FALSE)+IF(AND(Calculator!B8=TRUE,Backdoors!BI29=TRUE),VLOOKUP(Calculator!E23,tbSkills!DH3:DJ6,3,FALSE),0),0)))/100)),1))*IF(VLOOKUP(A53,tbMoveset!A2:K112,11,FALSE)=TRUE,Backdoors!AC5,1))*GC53,0),"")</f>
        <v>0</v>
      </c>
      <c r="GG53" s="49">
        <f>VLOOKUP(A53,tbMoveset!A2:G112,7,FALSE)*IFERROR(IF(Backdoors!AI12&gt;=0,1+(IF(Calculator!E40&gt;0,VLOOKUP(Calculator!E40,tbSkills!AI3:AJ5,2,FALSE),Backdoors!AL4)*(IF((Backdoors!AI12+IF(GB53&gt;=0.45,VLOOKUP(Calculator!E23,tbSkills!DH3:DI6,2,FALSE)+IF(AND(Calculator!B8=TRUE,Backdoors!BI29=TRUE),VLOOKUP(Calculator!E23,tbSkills!DH3:DJ6,3,FALSE),0),0))&gt;=100,100,(Backdoors!AI12+IF(GB53&gt;=0.45,VLOOKUP(Calculator!E23,tbSkills!DH3:DI6,2,FALSE)+IF(AND(Calculator!B8=TRUE,Backdoors!BI29=TRUE),VLOOKUP(Calculator!E23,tbSkills!DH3:DJ6,3,FALSE),0),0)))/100)),1),1)</f>
        <v>0.8</v>
      </c>
      <c r="GH53" s="87">
        <f t="shared" si="19"/>
        <v>0</v>
      </c>
      <c r="GI53" s="86" t="str">
        <f>IFERROR(IF(VLOOKUP(A53,tbMoveset!A2:B112,2,FALSE)="Sever",Backdoors!AY30/100,IF(VLOOKUP(A53,tbMoveset!A2:B112,2,FALSE)="Blunt",Backdoors!AZ30/100,Backdoors!BA30/100)),"")</f>
        <v/>
      </c>
      <c r="GJ53" s="49">
        <f>IFERROR(IF(VLOOKUP(tbMoveset!A53,tbMoveset!A2:H112,8,FALSE)="Other",IF(VLOOKUP(tbMoveset!A53,tbMoveset!A2:I112,9,FALSE)="Fire",Backdoors!BB30,IF(VLOOKUP(tbMoveset!A53,tbMoveset!A2:I112,9,FALSE)="Water",Backdoors!BC30,IF(VLOOKUP(tbMoveset!A53,tbMoveset!A2:I112,9,FALSE)="Thunder",Backdoors!BD30,IF(VLOOKUP(tbMoveset!A53,tbMoveset!A2:I112,9,FALSE)="Ice",Backdoors!BE30,IF(VLOOKUP(tbMoveset!A53,tbMoveset!A2:I112,9,FALSE)="Dragon",Backdoors!BF30,Backdoors!BG30)))))/100,Backdoors!BG30/100),"")</f>
        <v>0</v>
      </c>
      <c r="GK53" s="49">
        <f>IFERROR(IF(VLOOKUP(A53,tbMoveset!A2:J112,10,FALSE)=TRUE,IF((Backdoors!AI12+IF(GI53&gt;=0.45,VLOOKUP(Calculator!E23,tbSkills!DH3:DI6,2,FALSE)+IF(AND(Calculator!B8=TRUE,Backdoors!BI30=TRUE),VLOOKUP(Calculator!E23,tbSkills!DH3:DJ6,3,FALSE),0),0))&gt;=0,1+(Backdoors!AL2*(IF((Backdoors!AI12+IF(GI53&gt;=0.45,VLOOKUP(Calculator!E23,tbSkills!DH3:DI6,2,FALSE)+IF(AND(Calculator!B8=TRUE,Backdoors!BI30=TRUE),VLOOKUP(Calculator!E23,tbSkills!DH3:DJ6,3,FALSE),0),0))&gt;=100,100,(Backdoors!AI12+IF(GI53&gt;=0.45,VLOOKUP(Calculator!E23,tbSkills!DH3:DI6,2,FALSE)+IF(AND(Calculator!B8=TRUE,Backdoors!BI30=TRUE),VLOOKUP(Calculator!E23,tbSkills!DH3:DJ6,3,FALSE),0),0)))/100)),(1-(0.25*((-Backdoors!AI12-IF(GI53&gt;=0.45,VLOOKUP(Calculator!E23,tbSkills!DH3:DI6,2,FALSE)+IF(AND(Calculator!B8=TRUE,Backdoors!BI30=TRUE),VLOOKUP(Calculator!E23,tbSkills!DH3:DJ6,3,FALSE),0),0))/100)))),1),"")</f>
        <v>1</v>
      </c>
      <c r="GL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I53)*GK53)*(VLOOKUP(A53,tbMoveset!A2:C112,3,FALSE)/100)*IF(VLOOKUP(A53,tbMoveset!A2:B112,2,FALSE)="Projectile",Backdoors!N10,Backdoors!N9),0),"")</f>
        <v/>
      </c>
      <c r="GM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I53&gt;=0.45,VLOOKUP(Calculator!E23,tbSkills!DH3:DI6,2,FALSE)+IF(AND(Calculator!B8=TRUE,Backdoors!BI30=TRUE),VLOOKUP(Calculator!E23,tbSkills!DH3:DJ6,3,FALSE),0),0))&gt;=100,100,(Backdoors!AI12+IF(GI53&gt;=0.45,VLOOKUP(Calculator!E23,tbSkills!DH3:DI6,2,FALSE)+IF(AND(Calculator!B8=TRUE,Backdoors!BI30=TRUE),VLOOKUP(Calculator!E23,tbSkills!DH3:DJ6,3,FALSE),0),0)))/100)),1))*IF(VLOOKUP(A53,tbMoveset!A2:K112,11,FALSE)=TRUE,Backdoors!AC5,1))*GJ53,0),"")</f>
        <v>0</v>
      </c>
      <c r="GN53" s="49">
        <f>VLOOKUP(A53,tbMoveset!A2:G112,7,FALSE)*IFERROR(IF(Backdoors!AI12&gt;=0,1+(IF(Calculator!E40&gt;0,VLOOKUP(Calculator!E40,tbSkills!AI3:AJ5,2,FALSE),Backdoors!AL4)*(IF((Backdoors!AI12+IF(GI53&gt;=0.45,VLOOKUP(Calculator!E23,tbSkills!DH3:DI6,2,FALSE)+IF(AND(Calculator!B8=TRUE,Backdoors!BI30=TRUE),VLOOKUP(Calculator!E23,tbSkills!DH3:DJ6,3,FALSE),0),0))&gt;=100,100,(Backdoors!AI12+IF(GI53&gt;=0.45,VLOOKUP(Calculator!E23,tbSkills!DH3:DI6,2,FALSE)+IF(AND(Calculator!B8=TRUE,Backdoors!BI30=TRUE),VLOOKUP(Calculator!E23,tbSkills!DH3:DJ6,3,FALSE),0),0)))/100)),1),1)</f>
        <v>0.8</v>
      </c>
      <c r="GO53" s="87">
        <f t="shared" si="20"/>
        <v>0</v>
      </c>
      <c r="GP53" s="86" t="str">
        <f>IFERROR(IF(VLOOKUP(A53,tbMoveset!A2:B112,2,FALSE)="Sever",Backdoors!AY31/100,IF(VLOOKUP(A53,tbMoveset!A2:B112,2,FALSE)="Blunt",Backdoors!AZ31/100,Backdoors!BA31/100)),"")</f>
        <v/>
      </c>
      <c r="GQ53" s="49">
        <f>IFERROR(IF(VLOOKUP(tbMoveset!A53,tbMoveset!A2:H112,8,FALSE)="Other",IF(VLOOKUP(tbMoveset!A53,tbMoveset!A2:I112,9,FALSE)="Fire",Backdoors!BB31,IF(VLOOKUP(tbMoveset!A53,tbMoveset!A2:I112,9,FALSE)="Water",Backdoors!BC31,IF(VLOOKUP(tbMoveset!A53,tbMoveset!A2:I112,9,FALSE)="Thunder",Backdoors!BD31,IF(VLOOKUP(tbMoveset!A53,tbMoveset!A2:I112,9,FALSE)="Ice",Backdoors!BE31,IF(VLOOKUP(tbMoveset!A53,tbMoveset!A2:I112,9,FALSE)="Dragon",Backdoors!BF31,Backdoors!BG31)))))/100,Backdoors!BG31/100),"")</f>
        <v>0</v>
      </c>
      <c r="GR53" s="49">
        <f>IFERROR(IF(VLOOKUP(A53,tbMoveset!A2:J112,10,FALSE)=TRUE,IF((Backdoors!AI12+IF(GP53&gt;=0.45,VLOOKUP(Calculator!E23,tbSkills!DH3:DI6,2,FALSE)+IF(AND(Calculator!B8=TRUE,Backdoors!BI31=TRUE),VLOOKUP(Calculator!E23,tbSkills!DH3:DJ6,3,FALSE),0),0))&gt;=0,1+(Backdoors!AL2*(IF((Backdoors!AI12+IF(GP53&gt;=0.45,VLOOKUP(Calculator!E23,tbSkills!DH3:DI6,2,FALSE)+IF(AND(Calculator!B8=TRUE,Backdoors!BI31=TRUE),VLOOKUP(Calculator!E23,tbSkills!DH3:DJ6,3,FALSE),0),0))&gt;=100,100,(Backdoors!AI12+IF(GP53&gt;=0.45,VLOOKUP(Calculator!E23,tbSkills!DH3:DI6,2,FALSE)+IF(AND(Calculator!B8=TRUE,Backdoors!BI31=TRUE),VLOOKUP(Calculator!E23,tbSkills!DH3:DJ6,3,FALSE),0),0)))/100)),(1-(0.25*((-Backdoors!AI12-IF(GP53&gt;=0.45,VLOOKUP(Calculator!E23,tbSkills!DH3:DI6,2,FALSE)+IF(AND(Calculator!B8=TRUE,Backdoors!BI31=TRUE),VLOOKUP(Calculator!E23,tbSkills!DH3:DJ6,3,FALSE),0),0))/100)))),1),"")</f>
        <v>1</v>
      </c>
      <c r="GS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P53)*GR53)*(VLOOKUP(A53,tbMoveset!A2:C112,3,FALSE)/100)*IF(VLOOKUP(A53,tbMoveset!A2:B112,2,FALSE)="Projectile",Backdoors!N10,Backdoors!N9),0),"")</f>
        <v/>
      </c>
      <c r="GT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P53&gt;=0.45,VLOOKUP(Calculator!E23,tbSkills!DH3:DI6,2,FALSE)+IF(AND(Calculator!B8=TRUE,Backdoors!BI31=TRUE),VLOOKUP(Calculator!E23,tbSkills!DH3:DJ6,3,FALSE),0),0))&gt;=100,100,(Backdoors!AI12+IF(GP53&gt;=0.45,VLOOKUP(Calculator!E23,tbSkills!DH3:DI6,2,FALSE)+IF(AND(Calculator!B8=TRUE,Backdoors!BI31=TRUE),VLOOKUP(Calculator!E23,tbSkills!DH3:DJ6,3,FALSE),0),0)))/100)),1))*IF(VLOOKUP(A53,tbMoveset!A2:K112,11,FALSE)=TRUE,Backdoors!AC5,1))*GQ53,0),"")</f>
        <v>0</v>
      </c>
      <c r="GU53" s="49">
        <f>VLOOKUP(A53,tbMoveset!A2:G112,7,FALSE)*IFERROR(IF(Backdoors!AI12&gt;=0,1+(IF(Calculator!E40&gt;0,VLOOKUP(Calculator!E40,tbSkills!AI3:AJ5,2,FALSE),Backdoors!AL4)*(IF((Backdoors!AI12+IF(GP53&gt;=0.45,VLOOKUP(Calculator!E23,tbSkills!DH3:DI6,2,FALSE)+IF(AND(Calculator!B8=TRUE,Backdoors!BI31=TRUE),VLOOKUP(Calculator!E23,tbSkills!DH3:DJ6,3,FALSE),0),0))&gt;=100,100,(Backdoors!AI12+IF(GP53&gt;=0.45,VLOOKUP(Calculator!E23,tbSkills!DH3:DI6,2,FALSE)+IF(AND(Calculator!B8=TRUE,Backdoors!BI31=TRUE),VLOOKUP(Calculator!E23,tbSkills!DH3:DJ6,3,FALSE),0),0)))/100)),1),1)</f>
        <v>0.8</v>
      </c>
      <c r="GV53" s="87">
        <f t="shared" si="21"/>
        <v>0</v>
      </c>
      <c r="GW53" s="86" t="str">
        <f>IFERROR(IF(VLOOKUP(A53,tbMoveset!A2:B112,2,FALSE)="Sever",Backdoors!AY32/100,IF(VLOOKUP(A53,tbMoveset!A2:B112,2,FALSE)="Blunt",Backdoors!AZ32/100,Backdoors!BA32/100)),"")</f>
        <v/>
      </c>
      <c r="GX53" s="49">
        <f>IFERROR(IF(VLOOKUP(tbMoveset!A53,tbMoveset!A2:H112,8,FALSE)="Other",IF(VLOOKUP(tbMoveset!A53,tbMoveset!A2:I112,9,FALSE)="Fire",Backdoors!BB32,IF(VLOOKUP(tbMoveset!A53,tbMoveset!A2:I112,9,FALSE)="Water",Backdoors!BC32,IF(VLOOKUP(tbMoveset!A53,tbMoveset!A2:I112,9,FALSE)="Thunder",Backdoors!BD32,IF(VLOOKUP(tbMoveset!A53,tbMoveset!A2:I112,9,FALSE)="Ice",Backdoors!BE32,IF(VLOOKUP(tbMoveset!A53,tbMoveset!A2:I112,9,FALSE)="Dragon",Backdoors!BF32,Backdoors!BG32)))))/100,Backdoors!BG32/100),"")</f>
        <v>0</v>
      </c>
      <c r="GY53" s="49">
        <f>IFERROR(IF(VLOOKUP(A53,tbMoveset!A2:J112,10,FALSE)=TRUE,IF((Backdoors!AI12+IF(GW53&gt;=0.45,VLOOKUP(Calculator!E23,tbSkills!DH3:DI6,2,FALSE)+IF(AND(Calculator!B8=TRUE,Backdoors!BI32=TRUE),VLOOKUP(Calculator!E23,tbSkills!DH3:DJ6,3,FALSE),0),0))&gt;=0,1+(Backdoors!AL2*(IF((Backdoors!AI12+IF(GW53&gt;=0.45,VLOOKUP(Calculator!E23,tbSkills!DH3:DI6,2,FALSE)+IF(AND(Calculator!B8=TRUE,Backdoors!BI32=TRUE),VLOOKUP(Calculator!E23,tbSkills!DH3:DJ6,3,FALSE),0),0))&gt;=100,100,(Backdoors!AI12+IF(GW53&gt;=0.45,VLOOKUP(Calculator!E23,tbSkills!DH3:DI6,2,FALSE)+IF(AND(Calculator!B8=TRUE,Backdoors!BI32=TRUE),VLOOKUP(Calculator!E23,tbSkills!DH3:DJ6,3,FALSE),0),0)))/100)),(1-(0.25*((-Backdoors!AI12-IF(GW53&gt;=0.45,VLOOKUP(Calculator!E23,tbSkills!DH3:DI6,2,FALSE)+IF(AND(Calculator!B8=TRUE,Backdoors!BI32=TRUE),VLOOKUP(Calculator!E23,tbSkills!DH3:DJ6,3,FALSE),0),0))/100)))),1),"")</f>
        <v>1</v>
      </c>
      <c r="GZ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W53)*GY53)*(VLOOKUP(A53,tbMoveset!A2:C112,3,FALSE)/100)*IF(VLOOKUP(A53,tbMoveset!A2:B112,2,FALSE)="Projectile",Backdoors!N10,Backdoors!N9),0),"")</f>
        <v/>
      </c>
      <c r="HA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W53&gt;=0.45,VLOOKUP(Calculator!E23,tbSkills!DH3:DI6,2,FALSE)+IF(AND(Calculator!B8=TRUE,Backdoors!BI32=TRUE),VLOOKUP(Calculator!E23,tbSkills!DH3:DJ6,3,FALSE),0),0))&gt;=100,100,(Backdoors!AI12+IF(GW53&gt;=0.45,VLOOKUP(Calculator!E23,tbSkills!DH3:DI6,2,FALSE)+IF(AND(Calculator!B8=TRUE,Backdoors!BI32=TRUE),VLOOKUP(Calculator!E23,tbSkills!DH3:DJ6,3,FALSE),0),0)))/100)),1))*IF(VLOOKUP(A53,tbMoveset!A2:K112,11,FALSE)=TRUE,Backdoors!AC5,1))*GX53,0),"")</f>
        <v>0</v>
      </c>
      <c r="HB53" s="49">
        <f>VLOOKUP(A53,tbMoveset!A2:G112,7,FALSE)*IFERROR(IF(Backdoors!AI12&gt;=0,1+(IF(Calculator!E40&gt;0,VLOOKUP(Calculator!E40,tbSkills!AI3:AJ5,2,FALSE),Backdoors!AL4)*(IF((Backdoors!AI12+IF(GW53&gt;=0.45,VLOOKUP(Calculator!E23,tbSkills!DH3:DI6,2,FALSE)+IF(AND(Calculator!B8=TRUE,Backdoors!BI32=TRUE),VLOOKUP(Calculator!E23,tbSkills!DH3:DJ6,3,FALSE),0),0))&gt;=100,100,(Backdoors!AI12+IF(GW53&gt;=0.45,VLOOKUP(Calculator!E23,tbSkills!DH3:DI6,2,FALSE)+IF(AND(Calculator!B8=TRUE,Backdoors!BI32=TRUE),VLOOKUP(Calculator!E23,tbSkills!DH3:DJ6,3,FALSE),0),0)))/100)),1),1)</f>
        <v>0.8</v>
      </c>
      <c r="HC53" s="87">
        <f t="shared" si="22"/>
        <v>0</v>
      </c>
      <c r="HD53" s="86" t="str">
        <f>IFERROR(IF(VLOOKUP(A53,tbMoveset!A2:B112,2,FALSE)="Sever",Backdoors!AY33/100,IF(VLOOKUP(A53,tbMoveset!A2:B112,2,FALSE)="Blunt",Backdoors!AZ33/100,Backdoors!BA33/100)),"")</f>
        <v/>
      </c>
      <c r="HE53" s="49">
        <f>IFERROR(IF(VLOOKUP(tbMoveset!A53,tbMoveset!A2:H112,8,FALSE)="Other",IF(VLOOKUP(tbMoveset!A53,tbMoveset!A2:I112,9,FALSE)="Fire",Backdoors!BB33,IF(VLOOKUP(tbMoveset!A53,tbMoveset!A2:I112,9,FALSE)="Water",Backdoors!BC33,IF(VLOOKUP(tbMoveset!A53,tbMoveset!A2:I112,9,FALSE)="Thunder",Backdoors!BD33,IF(VLOOKUP(tbMoveset!A53,tbMoveset!A2:I112,9,FALSE)="Ice",Backdoors!BE33,IF(VLOOKUP(tbMoveset!A53,tbMoveset!A2:I112,9,FALSE)="Dragon",Backdoors!BF33,Backdoors!BG33)))))/100,Backdoors!BG33/100),"")</f>
        <v>0</v>
      </c>
      <c r="HF53" s="49">
        <f>IFERROR(IF(VLOOKUP(A53,tbMoveset!A2:J112,10,FALSE)=TRUE,IF((Backdoors!AI12+IF(HD53&gt;=0.45,VLOOKUP(Calculator!E23,tbSkills!DH3:DI6,2,FALSE)+IF(AND(Calculator!B8=TRUE,Backdoors!BI33=TRUE),VLOOKUP(Calculator!E23,tbSkills!DH3:DJ6,3,FALSE),0),0))&gt;=0,1+(Backdoors!AL2*(IF((Backdoors!AI12+IF(HD53&gt;=0.45,VLOOKUP(Calculator!E23,tbSkills!DH3:DI6,2,FALSE)+IF(AND(Calculator!B8=TRUE,Backdoors!BI33=TRUE),VLOOKUP(Calculator!E23,tbSkills!DH3:DJ6,3,FALSE),0),0))&gt;=100,100,(Backdoors!AI12+IF(HD53&gt;=0.45,VLOOKUP(Calculator!E23,tbSkills!DH3:DI6,2,FALSE)+IF(AND(Calculator!B8=TRUE,Backdoors!BI33=TRUE),VLOOKUP(Calculator!E23,tbSkills!DH3:DJ6,3,FALSE),0),0)))/100)),(1-(0.25*((-Backdoors!AI12-IF(HD53&gt;=0.45,VLOOKUP(Calculator!E23,tbSkills!DH3:DI6,2,FALSE)+IF(AND(Calculator!B8=TRUE,Backdoors!BI33=TRUE),VLOOKUP(Calculator!E23,tbSkills!DH3:DJ6,3,FALSE),0),0))/100)))),1),"")</f>
        <v>1</v>
      </c>
      <c r="HG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D53)*HF53)*(VLOOKUP(A53,tbMoveset!A2:C112,3,FALSE)/100)*IF(VLOOKUP(A53,tbMoveset!A2:B112,2,FALSE)="Projectile",Backdoors!N10,Backdoors!N9),0),"")</f>
        <v/>
      </c>
      <c r="HH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D53&gt;=0.45,VLOOKUP(Calculator!E23,tbSkills!DH3:DI6,2,FALSE)+IF(AND(Calculator!B8=TRUE,Backdoors!BI33=TRUE),VLOOKUP(Calculator!E23,tbSkills!DH3:DJ6,3,FALSE),0),0))&gt;=100,100,(Backdoors!AI12+IF(HD53&gt;=0.45,VLOOKUP(Calculator!E23,tbSkills!DH3:DI6,2,FALSE)+IF(AND(Calculator!B8=TRUE,Backdoors!BI33=TRUE),VLOOKUP(Calculator!E23,tbSkills!DH3:DJ6,3,FALSE),0),0)))/100)),1))*IF(VLOOKUP(A53,tbMoveset!A2:K112,11,FALSE)=TRUE,Backdoors!AC5,1))*HE53,0),"")</f>
        <v>0</v>
      </c>
      <c r="HI53" s="49">
        <f>VLOOKUP(A53,tbMoveset!A2:G112,7,FALSE)*IFERROR(IF(Backdoors!AI12&gt;=0,1+(IF(Calculator!E40&gt;0,VLOOKUP(Calculator!E40,tbSkills!AI3:AJ5,2,FALSE),Backdoors!AL4)*(IF((Backdoors!AI12+IF(HD53&gt;=0.45,VLOOKUP(Calculator!E23,tbSkills!DH3:DI6,2,FALSE)+IF(AND(Calculator!B8=TRUE,Backdoors!BI33=TRUE),VLOOKUP(Calculator!E23,tbSkills!DH3:DJ6,3,FALSE),0),0))&gt;=100,100,(Backdoors!AI12+IF(HD53&gt;=0.45,VLOOKUP(Calculator!E23,tbSkills!DH3:DI6,2,FALSE)+IF(AND(Calculator!B8=TRUE,Backdoors!BI33=TRUE),VLOOKUP(Calculator!E23,tbSkills!DH3:DJ6,3,FALSE),0),0)))/100)),1),1)</f>
        <v>0.8</v>
      </c>
      <c r="HJ53" s="87">
        <f t="shared" si="23"/>
        <v>0</v>
      </c>
      <c r="HK53" s="86" t="str">
        <f>IFERROR(IF(VLOOKUP(A53,tbMoveset!A2:B112,2,FALSE)="Sever",Backdoors!AY34/100,IF(VLOOKUP(A53,tbMoveset!A2:B112,2,FALSE)="Blunt",Backdoors!AZ34/100,Backdoors!BA34/100)),"")</f>
        <v/>
      </c>
      <c r="HL53" s="49">
        <f>IFERROR(IF(VLOOKUP(tbMoveset!A53,tbMoveset!A2:H112,8,FALSE)="Other",IF(VLOOKUP(tbMoveset!A53,tbMoveset!A2:I112,9,FALSE)="Fire",Backdoors!BB34,IF(VLOOKUP(tbMoveset!A53,tbMoveset!A2:I112,9,FALSE)="Water",Backdoors!BC34,IF(VLOOKUP(tbMoveset!A53,tbMoveset!A2:I112,9,FALSE)="Thunder",Backdoors!BD34,IF(VLOOKUP(tbMoveset!A53,tbMoveset!A2:I112,9,FALSE)="Ice",Backdoors!BE34,IF(VLOOKUP(tbMoveset!A53,tbMoveset!A2:I112,9,FALSE)="Dragon",Backdoors!BF34,Backdoors!BG34)))))/100,Backdoors!BG34/100),"")</f>
        <v>0</v>
      </c>
      <c r="HM53" s="49">
        <f>IFERROR(IF(VLOOKUP(A53,tbMoveset!A2:J112,10,FALSE)=TRUE,IF((Backdoors!AI12+IF(HK53&gt;=0.45,VLOOKUP(Calculator!E23,tbSkills!DH3:DI6,2,FALSE)+IF(AND(Calculator!B8=TRUE,Backdoors!BI34=TRUE),VLOOKUP(Calculator!E23,tbSkills!DH3:DJ6,3,FALSE),0),0))&gt;=0,1+(Backdoors!AL2*(IF((Backdoors!AI12+IF(HK53&gt;=0.45,VLOOKUP(Calculator!E23,tbSkills!DH3:DI6,2,FALSE)+IF(AND(Calculator!B8=TRUE,Backdoors!BI34=TRUE),VLOOKUP(Calculator!E23,tbSkills!DH3:DJ6,3,FALSE),0),0))&gt;=100,100,(Backdoors!AI12+IF(HK53&gt;=0.45,VLOOKUP(Calculator!E23,tbSkills!DH3:DI6,2,FALSE)+IF(AND(Calculator!B8=TRUE,Backdoors!BI34=TRUE),VLOOKUP(Calculator!E23,tbSkills!DH3:DJ6,3,FALSE),0),0)))/100)),(1-(0.25*((-Backdoors!AI12-IF(HK53&gt;=0.45,VLOOKUP(Calculator!E23,tbSkills!DH3:DI6,2,FALSE)+IF(AND(Calculator!B8=TRUE,Backdoors!BI34=TRUE),VLOOKUP(Calculator!E23,tbSkills!DH3:DJ6,3,FALSE),0),0))/100)))),1),"")</f>
        <v>1</v>
      </c>
      <c r="HN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K53)*HM53)*(VLOOKUP(A53,tbMoveset!A2:C112,3,FALSE)/100)*IF(VLOOKUP(A53,tbMoveset!A2:B112,2,FALSE)="Projectile",Backdoors!N10,Backdoors!N9),0),"")</f>
        <v/>
      </c>
      <c r="HO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K53&gt;=0.45,VLOOKUP(Calculator!E23,tbSkills!DH3:DI6,2,FALSE)+IF(AND(Calculator!B8=TRUE,Backdoors!BI34=TRUE),VLOOKUP(Calculator!E23,tbSkills!DH3:DJ6,3,FALSE),0),0))&gt;=100,100,(Backdoors!AI12+IF(HK53&gt;=0.45,VLOOKUP(Calculator!E23,tbSkills!DH3:DI6,2,FALSE)+IF(AND(Calculator!B8=TRUE,Backdoors!BI34=TRUE),VLOOKUP(Calculator!E23,tbSkills!DH3:DJ6,3,FALSE),0),0)))/100)),1))*IF(VLOOKUP(A53,tbMoveset!A2:K112,11,FALSE)=TRUE,Backdoors!AC5,1))*HL53,0),"")</f>
        <v>0</v>
      </c>
      <c r="HP53" s="49">
        <f>VLOOKUP(A53,tbMoveset!A2:G112,7,FALSE)*IFERROR(IF(Backdoors!AI12&gt;=0,1+(IF(Calculator!E40&gt;0,VLOOKUP(Calculator!E40,tbSkills!AI3:AJ5,2,FALSE),Backdoors!AL4)*(IF((Backdoors!AI12+IF(HK53&gt;=0.45,VLOOKUP(Calculator!E23,tbSkills!DH3:DI6,2,FALSE)+IF(AND(Calculator!B8=TRUE,Backdoors!BI34=TRUE),VLOOKUP(Calculator!E23,tbSkills!DH3:DJ6,3,FALSE),0),0))&gt;=100,100,(Backdoors!AI12+IF(HK53&gt;=0.45,VLOOKUP(Calculator!E23,tbSkills!DH3:DI6,2,FALSE)+IF(AND(Calculator!B8=TRUE,Backdoors!BI34=TRUE),VLOOKUP(Calculator!E23,tbSkills!DH3:DJ6,3,FALSE),0),0)))/100)),1),1)</f>
        <v>0.8</v>
      </c>
      <c r="HQ53" s="87">
        <f t="shared" si="24"/>
        <v>0</v>
      </c>
      <c r="HR53" s="86" t="str">
        <f>IFERROR(IF(VLOOKUP(A53,tbMoveset!A2:B112,2,FALSE)="Sever",Backdoors!AY35/100,IF(VLOOKUP(A53,tbMoveset!A2:B112,2,FALSE)="Blunt",Backdoors!AZ35/100,Backdoors!BA35/100)),"")</f>
        <v/>
      </c>
      <c r="HS53" s="49">
        <f>IFERROR(IF(VLOOKUP(tbMoveset!A53,tbMoveset!A2:H112,8,FALSE)="Other",IF(VLOOKUP(tbMoveset!A53,tbMoveset!A2:I112,9,FALSE)="Fire",Backdoors!BB35,IF(VLOOKUP(tbMoveset!A53,tbMoveset!A2:I112,9,FALSE)="Water",Backdoors!BC35,IF(VLOOKUP(tbMoveset!A53,tbMoveset!A2:I112,9,FALSE)="Thunder",Backdoors!BD35,IF(VLOOKUP(tbMoveset!A53,tbMoveset!A2:I112,9,FALSE)="Ice",Backdoors!BE35,IF(VLOOKUP(tbMoveset!A53,tbMoveset!A2:I112,9,FALSE)="Dragon",Backdoors!BF35,Backdoors!BG35)))))/100,Backdoors!BG35/100),"")</f>
        <v>0</v>
      </c>
      <c r="HT53" s="49">
        <f>IFERROR(IF(VLOOKUP(A53,tbMoveset!A2:J112,10,FALSE)=TRUE,IF((Backdoors!AI12+IF(HR53&gt;=0.45,VLOOKUP(Calculator!E23,tbSkills!DH3:DI6,2,FALSE)+IF(AND(Calculator!B8=TRUE,Backdoors!BI35=TRUE),VLOOKUP(Calculator!E23,tbSkills!DH3:DJ6,3,FALSE),0),0))&gt;=0,1+(Backdoors!AL2*(IF((Backdoors!AI12+IF(HR53&gt;=0.45,VLOOKUP(Calculator!E23,tbSkills!DH3:DI6,2,FALSE)+IF(AND(Calculator!B8=TRUE,Backdoors!BI35=TRUE),VLOOKUP(Calculator!E23,tbSkills!DH3:DJ6,3,FALSE),0),0))&gt;=100,100,(Backdoors!AI12+IF(HR53&gt;=0.45,VLOOKUP(Calculator!E23,tbSkills!DH3:DI6,2,FALSE)+IF(AND(Calculator!B8=TRUE,Backdoors!BI35=TRUE),VLOOKUP(Calculator!E23,tbSkills!DH3:DJ6,3,FALSE),0),0)))/100)),(1-(0.25*((-Backdoors!AI12-IF(HR53&gt;=0.45,VLOOKUP(Calculator!E23,tbSkills!DH3:DI6,2,FALSE)+IF(AND(Calculator!B8=TRUE,Backdoors!BI35=TRUE),VLOOKUP(Calculator!E23,tbSkills!DH3:DJ6,3,FALSE),0),0))/100)))),1),"")</f>
        <v>1</v>
      </c>
      <c r="HU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R53)*HT53)*(VLOOKUP(A53,tbMoveset!A2:C112,3,FALSE)/100)*IF(VLOOKUP(A53,tbMoveset!A2:B112,2,FALSE)="Projectile",Backdoors!N10,Backdoors!N9),0),"")</f>
        <v/>
      </c>
      <c r="HV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R53&gt;=0.45,VLOOKUP(Calculator!E23,tbSkills!DH3:DI6,2,FALSE)+IF(AND(Calculator!B8=TRUE,Backdoors!BI35=TRUE),VLOOKUP(Calculator!E23,tbSkills!DH3:DJ6,3,FALSE),0),0))&gt;=100,100,(Backdoors!AI12+IF(HR53&gt;=0.45,VLOOKUP(Calculator!E23,tbSkills!DH3:DI6,2,FALSE)+IF(AND(Calculator!B8=TRUE,Backdoors!BI35=TRUE),VLOOKUP(Calculator!E23,tbSkills!DH3:DJ6,3,FALSE),0),0)))/100)),1))*IF(VLOOKUP(A53,tbMoveset!A2:K112,11,FALSE)=TRUE,Backdoors!AC5,1))*HS53,0),"")</f>
        <v>0</v>
      </c>
      <c r="HW53" s="49">
        <f>VLOOKUP(A53,tbMoveset!A2:G112,7,FALSE)*IFERROR(IF(Backdoors!AI12&gt;=0,1+(IF(Calculator!E40&gt;0,VLOOKUP(Calculator!E40,tbSkills!AI3:AJ5,2,FALSE),Backdoors!AL4)*(IF((Backdoors!AI12+IF(HR53&gt;=0.45,VLOOKUP(Calculator!E23,tbSkills!DH3:DI6,2,FALSE)+IF(AND(Calculator!B8=TRUE,Backdoors!BI35=TRUE),VLOOKUP(Calculator!E23,tbSkills!DH3:DJ6,3,FALSE),0),0))&gt;=100,100,(Backdoors!AI12+IF(HR53&gt;=0.45,VLOOKUP(Calculator!E23,tbSkills!DH3:DI6,2,FALSE)+IF(AND(Calculator!B8=TRUE,Backdoors!BI35=TRUE),VLOOKUP(Calculator!E23,tbSkills!DH3:DJ6,3,FALSE),0),0)))/100)),1),1)</f>
        <v>0.8</v>
      </c>
      <c r="HX53" s="87">
        <f t="shared" si="25"/>
        <v>0</v>
      </c>
      <c r="HY53" s="86" t="str">
        <f>IFERROR(IF(VLOOKUP(A53,tbMoveset!A2:B112,2,FALSE)="Sever",Backdoors!AY36/100,IF(VLOOKUP(A53,tbMoveset!A2:B112,2,FALSE)="Blunt",Backdoors!AZ36/100,Backdoors!BA36/100)),"")</f>
        <v/>
      </c>
      <c r="HZ53" s="49">
        <f>IFERROR(IF(VLOOKUP(tbMoveset!A53,tbMoveset!A2:H112,8,FALSE)="Other",IF(VLOOKUP(tbMoveset!A53,tbMoveset!A2:I112,9,FALSE)="Fire",Backdoors!BB36,IF(VLOOKUP(tbMoveset!A53,tbMoveset!A2:I112,9,FALSE)="Water",Backdoors!BC36,IF(VLOOKUP(tbMoveset!A53,tbMoveset!A2:I112,9,FALSE)="Thunder",Backdoors!BD36,IF(VLOOKUP(tbMoveset!A53,tbMoveset!A2:I112,9,FALSE)="Ice",Backdoors!BE36,IF(VLOOKUP(tbMoveset!A53,tbMoveset!A2:I112,9,FALSE)="Dragon",Backdoors!BF36,Backdoors!BG36)))))/100,Backdoors!BG36/100),"")</f>
        <v>0</v>
      </c>
      <c r="IA53" s="49">
        <f>IFERROR(IF(VLOOKUP(A53,tbMoveset!A2:J112,10,FALSE)=TRUE,IF((Backdoors!AI12+IF(HY53&gt;=0.45,VLOOKUP(Calculator!E23,tbSkills!DH3:DI6,2,FALSE)+IF(AND(Calculator!B8=TRUE,Backdoors!BI36=TRUE),VLOOKUP(Calculator!E23,tbSkills!DH3:DJ6,3,FALSE),0),0))&gt;=0,1+(Backdoors!AL2*(IF((Backdoors!AI12+IF(HY53&gt;=0.45,VLOOKUP(Calculator!E23,tbSkills!DH3:DI6,2,FALSE)+IF(AND(Calculator!B8=TRUE,Backdoors!BI36=TRUE),VLOOKUP(Calculator!E23,tbSkills!DH3:DJ6,3,FALSE),0),0))&gt;=100,100,(Backdoors!AI12+IF(HY53&gt;=0.45,VLOOKUP(Calculator!E23,tbSkills!DH3:DI6,2,FALSE)+IF(AND(Calculator!B8=TRUE,Backdoors!BI36=TRUE),VLOOKUP(Calculator!E23,tbSkills!DH3:DJ6,3,FALSE),0),0)))/100)),(1-(0.25*((-Backdoors!AI12-IF(HY53&gt;=0.45,VLOOKUP(Calculator!E23,tbSkills!DH3:DI6,2,FALSE)+IF(AND(Calculator!B8=TRUE,Backdoors!BI36=TRUE),VLOOKUP(Calculator!E23,tbSkills!DH3:DJ6,3,FALSE),0),0))/100)))),1),"")</f>
        <v>1</v>
      </c>
      <c r="IB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Y53)*IA53)*(VLOOKUP(A53,tbMoveset!A2:C112,3,FALSE)/100)*IF(VLOOKUP(A53,tbMoveset!A2:B112,2,FALSE)="Projectile",Backdoors!N10,Backdoors!N9),0),"")</f>
        <v/>
      </c>
      <c r="IC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Y53&gt;=0.45,VLOOKUP(Calculator!E23,tbSkills!DH3:DI6,2,FALSE)+IF(AND(Calculator!B8=TRUE,Backdoors!BI36=TRUE),VLOOKUP(Calculator!E23,tbSkills!DH3:DJ6,3,FALSE),0),0))&gt;=100,100,(Backdoors!AI12+IF(HY53&gt;=0.45,VLOOKUP(Calculator!E23,tbSkills!DH3:DI6,2,FALSE)+IF(AND(Calculator!B8=TRUE,Backdoors!BI36=TRUE),VLOOKUP(Calculator!E23,tbSkills!DH3:DJ6,3,FALSE),0),0)))/100)),1))*IF(VLOOKUP(A53,tbMoveset!A2:K112,11,FALSE)=TRUE,Backdoors!AC5,1))*HZ53,0),"")</f>
        <v>0</v>
      </c>
      <c r="ID53" s="49">
        <f>VLOOKUP(A53,tbMoveset!A2:G112,7,FALSE)*IFERROR(IF(Backdoors!AI12&gt;=0,1+(IF(Calculator!E40&gt;0,VLOOKUP(Calculator!E40,tbSkills!AI3:AJ5,2,FALSE),Backdoors!AL4)*(IF((Backdoors!AI12+IF(HY53&gt;=0.45,VLOOKUP(Calculator!E23,tbSkills!DH3:DI6,2,FALSE)+IF(AND(Calculator!B8=TRUE,Backdoors!BI36=TRUE),VLOOKUP(Calculator!E23,tbSkills!DH3:DJ6,3,FALSE),0),0))&gt;=100,100,(Backdoors!AI12+IF(HY53&gt;=0.45,VLOOKUP(Calculator!E23,tbSkills!DH3:DI6,2,FALSE)+IF(AND(Calculator!B8=TRUE,Backdoors!BI36=TRUE),VLOOKUP(Calculator!E23,tbSkills!DH3:DJ6,3,FALSE),0),0)))/100)),1),1)</f>
        <v>0.8</v>
      </c>
      <c r="IE53" s="87">
        <f t="shared" si="26"/>
        <v>0</v>
      </c>
      <c r="IF53" s="86" t="str">
        <f>IFERROR(IF(VLOOKUP(A53,tbMoveset!A2:B112,2,FALSE)="Sever",Backdoors!AY37/100,IF(VLOOKUP(A53,tbMoveset!A2:B112,2,FALSE)="Blunt",Backdoors!AZ37/100,Backdoors!BA37/100)),"")</f>
        <v/>
      </c>
      <c r="IG53" s="49">
        <f>IFERROR(IF(VLOOKUP(tbMoveset!A53,tbMoveset!A2:H112,8,FALSE)="Other",IF(VLOOKUP(tbMoveset!A53,tbMoveset!A2:I112,9,FALSE)="Fire",Backdoors!BB37,IF(VLOOKUP(tbMoveset!A53,tbMoveset!A2:I112,9,FALSE)="Water",Backdoors!BC37,IF(VLOOKUP(tbMoveset!A53,tbMoveset!A2:I112,9,FALSE)="Thunder",Backdoors!BD37,IF(VLOOKUP(tbMoveset!A53,tbMoveset!A2:I112,9,FALSE)="Ice",Backdoors!BE37,IF(VLOOKUP(tbMoveset!A53,tbMoveset!A2:I112,9,FALSE)="Dragon",Backdoors!BF37,Backdoors!BG37)))))/100,Backdoors!BG37/100),"")</f>
        <v>0</v>
      </c>
      <c r="IH53" s="49">
        <f>IFERROR(IF(VLOOKUP(A53,tbMoveset!A2:J112,10,FALSE)=TRUE,IF((Backdoors!AI12+IF(IF53&gt;=0.45,VLOOKUP(Calculator!E23,tbSkills!DH3:DI6,2,FALSE)+IF(AND(Calculator!B8=TRUE,Backdoors!BI37=TRUE),VLOOKUP(Calculator!E23,tbSkills!DH3:DJ6,3,FALSE),0),0))&gt;=0,1+(Backdoors!AL2*(IF((Backdoors!AI12+IF(IF53&gt;=0.45,VLOOKUP(Calculator!E23,tbSkills!DH3:DI6,2,FALSE)+IF(AND(Calculator!B8=TRUE,Backdoors!BI37=TRUE),VLOOKUP(Calculator!E23,tbSkills!DH3:DJ6,3,FALSE),0),0))&gt;=100,100,(Backdoors!AI12+IF(IF53&gt;=0.45,VLOOKUP(Calculator!E23,tbSkills!DH3:DI6,2,FALSE)+IF(AND(Calculator!B8=TRUE,Backdoors!BI37=TRUE),VLOOKUP(Calculator!E23,tbSkills!DH3:DJ6,3,FALSE),0),0)))/100)),(1-(0.25*((-Backdoors!AI12-IF(IF53&gt;=0.45,VLOOKUP(Calculator!E23,tbSkills!DH3:DI6,2,FALSE)+IF(AND(Calculator!B8=TRUE,Backdoors!BI37=TRUE),VLOOKUP(Calculator!E23,tbSkills!DH3:DJ6,3,FALSE),0),0))/100)))),1),"")</f>
        <v>1</v>
      </c>
      <c r="II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F53)*IH53)*(VLOOKUP(A53,tbMoveset!A2:C112,3,FALSE)/100)*IF(VLOOKUP(A53,tbMoveset!A2:B112,2,FALSE)="Projectile",Backdoors!N10,Backdoors!N9),0),"")</f>
        <v/>
      </c>
      <c r="IJ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IF53&gt;=0.45,VLOOKUP(Calculator!E23,tbSkills!DH3:DI6,2,FALSE)+IF(AND(Calculator!B8=TRUE,Backdoors!BI37=TRUE),VLOOKUP(Calculator!E23,tbSkills!DH3:DJ6,3,FALSE),0),0))&gt;=100,100,(Backdoors!AI12+IF(IF53&gt;=0.45,VLOOKUP(Calculator!E23,tbSkills!DH3:DI6,2,FALSE)+IF(AND(Calculator!B8=TRUE,Backdoors!BI37=TRUE),VLOOKUP(Calculator!E23,tbSkills!DH3:DJ6,3,FALSE),0),0)))/100)),1))*IF(VLOOKUP(A53,tbMoveset!A2:K112,11,FALSE)=TRUE,Backdoors!AC5,1))*IG53,0),"")</f>
        <v>0</v>
      </c>
      <c r="IK53" s="49">
        <f>VLOOKUP(A53,tbMoveset!A2:G112,7,FALSE)*IFERROR(IF(Backdoors!AI12&gt;=0,1+(IF(Calculator!E40&gt;0,VLOOKUP(Calculator!E40,tbSkills!AI3:AJ5,2,FALSE),Backdoors!AL4)*(IF((Backdoors!AI12+IF(IF53&gt;=0.45,VLOOKUP(Calculator!E23,tbSkills!DH3:DI6,2,FALSE)+IF(AND(Calculator!B8=TRUE,Backdoors!BI37=TRUE),VLOOKUP(Calculator!E23,tbSkills!DH3:DJ6,3,FALSE),0),0))&gt;=100,100,(Backdoors!AI12+IF(IF53&gt;=0.45,VLOOKUP(Calculator!E23,tbSkills!DH3:DI6,2,FALSE)+IF(AND(Calculator!B8=TRUE,Backdoors!BI37=TRUE),VLOOKUP(Calculator!E23,tbSkills!DH3:DJ6,3,FALSE),0),0)))/100)),1),1)</f>
        <v>0.8</v>
      </c>
      <c r="IL53" s="87">
        <f t="shared" si="27"/>
        <v>0</v>
      </c>
      <c r="IM53" s="86" t="str">
        <f>IFERROR(IF(VLOOKUP(A53,tbMoveset!A2:B112,2,FALSE)="Sever",Backdoors!AY38/100,IF(VLOOKUP(A53,tbMoveset!A2:B112,2,FALSE)="Blunt",Backdoors!AZ38/100,Backdoors!BA38/100)),"")</f>
        <v/>
      </c>
      <c r="IN53" s="49">
        <f>IFERROR(IF(VLOOKUP(tbMoveset!A53,tbMoveset!A2:H112,8,FALSE)="Other",IF(VLOOKUP(tbMoveset!A53,tbMoveset!A2:I112,9,FALSE)="Fire",Backdoors!BB38,IF(VLOOKUP(tbMoveset!A53,tbMoveset!A2:I112,9,FALSE)="Water",Backdoors!BC38,IF(VLOOKUP(tbMoveset!A53,tbMoveset!A2:I112,9,FALSE)="Thunder",Backdoors!BD38,IF(VLOOKUP(tbMoveset!A53,tbMoveset!A2:I112,9,FALSE)="Ice",Backdoors!BE38,IF(VLOOKUP(tbMoveset!A53,tbMoveset!A2:I112,9,FALSE)="Dragon",Backdoors!BF38,Backdoors!BG38)))))/100,Backdoors!BG38/100),"")</f>
        <v>0</v>
      </c>
      <c r="IO53" s="49">
        <f>IFERROR(IF(VLOOKUP(A53,tbMoveset!A2:J112,10,FALSE)=TRUE,IF((Backdoors!AI12+IF(IM53&gt;=0.45,VLOOKUP(Calculator!E23,tbSkills!DH3:DI6,2,FALSE)+IF(AND(Calculator!B8=TRUE,Backdoors!BI38=TRUE),VLOOKUP(Calculator!E23,tbSkills!DH3:DJ6,3,FALSE),0),0))&gt;=0,1+(Backdoors!AL2*(IF((Backdoors!AI12+IF(IM53&gt;=0.45,VLOOKUP(Calculator!E23,tbSkills!DH3:DI6,2,FALSE)+IF(AND(Calculator!B8=TRUE,Backdoors!BI38=TRUE),VLOOKUP(Calculator!E23,tbSkills!DH3:DJ6,3,FALSE),0),0))&gt;=100,100,(Backdoors!AI12+IF(IM53&gt;=0.45,VLOOKUP(Calculator!E23,tbSkills!DH3:DI6,2,FALSE)+IF(AND(Calculator!B8=TRUE,Backdoors!BI38=TRUE),VLOOKUP(Calculator!E23,tbSkills!DH3:DJ6,3,FALSE),0),0)))/100)),(1-(0.25*((-Backdoors!AI12-IF(IM53&gt;=0.45,VLOOKUP(Calculator!E23,tbSkills!DH3:DI6,2,FALSE)+IF(AND(Calculator!B8=TRUE,Backdoors!BI38=TRUE),VLOOKUP(Calculator!E23,tbSkills!DH3:DJ6,3,FALSE),0),0))/100)))),1),"")</f>
        <v>1</v>
      </c>
      <c r="IP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M53)*IO53)*(VLOOKUP(A53,tbMoveset!A2:C112,3,FALSE)/100)*IF(VLOOKUP(A53,tbMoveset!A2:B112,2,FALSE)="Projectile",Backdoors!N10,Backdoors!N9),0),"")</f>
        <v/>
      </c>
      <c r="IQ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IM53&gt;=0.45,VLOOKUP(Calculator!E23,tbSkills!DH3:DI6,2,FALSE)+IF(AND(Calculator!B8=TRUE,Backdoors!BI38=TRUE),VLOOKUP(Calculator!E23,tbSkills!DH3:DJ6,3,FALSE),0),0))&gt;=100,100,(Backdoors!AI12+IF(IM53&gt;=0.45,VLOOKUP(Calculator!E23,tbSkills!DH3:DI6,2,FALSE)+IF(AND(Calculator!B8=TRUE,Backdoors!BI38=TRUE),VLOOKUP(Calculator!E23,tbSkills!DH3:DJ6,3,FALSE),0),0)))/100)),1))*IF(VLOOKUP(A53,tbMoveset!A2:K112,11,FALSE)=TRUE,Backdoors!AC5,1))*IN53,0),"")</f>
        <v>0</v>
      </c>
      <c r="IR53" s="49">
        <f>VLOOKUP(A53,tbMoveset!A2:G112,7,FALSE)*IFERROR(IF(Backdoors!AI12&gt;=0,1+(IF(Calculator!E40&gt;0,VLOOKUP(Calculator!E40,tbSkills!AI3:AJ5,2,FALSE),Backdoors!AL4)*(IF((Backdoors!AI12+IF(IM53&gt;=0.45,VLOOKUP(Calculator!E23,tbSkills!DH3:DI6,2,FALSE)+IF(AND(Calculator!B8=TRUE,Backdoors!BI38=TRUE),VLOOKUP(Calculator!E23,tbSkills!DH3:DJ6,3,FALSE),0),0))&gt;=100,100,(Backdoors!AI12+IF(IM53&gt;=0.45,VLOOKUP(Calculator!E23,tbSkills!DH3:DI6,2,FALSE)+IF(AND(Calculator!B8=TRUE,Backdoors!BI38=TRUE),VLOOKUP(Calculator!E23,tbSkills!DH3:DJ6,3,FALSE),0),0)))/100)),1),1)</f>
        <v>0.8</v>
      </c>
      <c r="IS53" s="87">
        <f t="shared" si="42"/>
        <v>0</v>
      </c>
      <c r="IT53" s="86" t="str">
        <f>IFERROR(IF(VLOOKUP(A53,tbMoveset!A2:B112,2,FALSE)="Sever",Backdoors!AY39/100,IF(VLOOKUP(A53,tbMoveset!A2:B112,2,FALSE)="Blunt",Backdoors!AZ39/100,Backdoors!BA39/100)),"")</f>
        <v/>
      </c>
      <c r="IU53" s="49">
        <f>IFERROR(IF(VLOOKUP(tbMoveset!A53,tbMoveset!A2:H112,8,FALSE)="Other",IF(VLOOKUP(tbMoveset!A53,tbMoveset!A2:I112,9,FALSE)="Fire",Backdoors!BB39,IF(VLOOKUP(tbMoveset!A53,tbMoveset!A2:I112,9,FALSE)="Water",Backdoors!BC39,IF(VLOOKUP(tbMoveset!A53,tbMoveset!A2:I112,9,FALSE)="Thunder",Backdoors!BD39,IF(VLOOKUP(tbMoveset!A53,tbMoveset!A2:I112,9,FALSE)="Ice",Backdoors!BE39,IF(VLOOKUP(tbMoveset!A53,tbMoveset!A2:I112,9,FALSE)="Dragon",Backdoors!BF39,Backdoors!BG39)))))/100,Backdoors!BG39/100),"")</f>
        <v>0</v>
      </c>
      <c r="IV53" s="49">
        <f>IFERROR(IF(VLOOKUP(A53,tbMoveset!A2:J112,10,FALSE)=TRUE,IF((Backdoors!AI12+IF(IT53&gt;=0.45,VLOOKUP(Calculator!E23,tbSkills!DH3:DI6,2,FALSE)+IF(AND(Calculator!B8=TRUE,Backdoors!BI39=TRUE),VLOOKUP(Calculator!E23,tbSkills!DH3:DJ6,3,FALSE),0),0))&gt;=0,1+(Backdoors!AL2*(IF((Backdoors!AI12+IF(IT53&gt;=0.45,VLOOKUP(Calculator!E23,tbSkills!DH3:DI6,2,FALSE)+IF(AND(Calculator!B8=TRUE,Backdoors!BI39=TRUE),VLOOKUP(Calculator!E23,tbSkills!DH3:DJ6,3,FALSE),0),0))&gt;=100,100,(Backdoors!AI12+IF(IT53&gt;=0.45,VLOOKUP(Calculator!E23,tbSkills!DH3:DI6,2,FALSE)+IF(AND(Calculator!B8=TRUE,Backdoors!BI39=TRUE),VLOOKUP(Calculator!E23,tbSkills!DH3:DJ6,3,FALSE),0),0)))/100)),(1-(0.25*((-Backdoors!AI12-IF(IT53&gt;=0.45,VLOOKUP(Calculator!E23,tbSkills!DH3:DI6,2,FALSE)+IF(AND(Calculator!B8=TRUE,Backdoors!BI39=TRUE),VLOOKUP(Calculator!E23,tbSkills!DH3:DJ6,3,FALSE),0),0))/100)))),1),"")</f>
        <v>1</v>
      </c>
      <c r="IW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T53)*IV53)*(VLOOKUP(A53,tbMoveset!A2:C112,3,FALSE)/100)*IF(VLOOKUP(A53,tbMoveset!A2:B112,2,FALSE)="Projectile",Backdoors!N10,Backdoors!N9),0),"")</f>
        <v/>
      </c>
      <c r="IX53" s="49">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40&gt;0,VLOOKUP(Calculator!E40,tbSkills!AC3:AD5,2,FALSE),Backdoors!AL3)*(IF((Backdoors!AI12+IF(IT53&gt;=0.45,VLOOKUP(Calculator!E23,tbSkills!DH3:DI6,2,FALSE)+IF(AND(Calculator!B8=TRUE,Backdoors!BI39=TRUE),VLOOKUP(Calculator!E23,tbSkills!DH3:DJ6,3,FALSE),0),0))&gt;=100,100,(Backdoors!AI12+IF(IT53&gt;=0.45,VLOOKUP(Calculator!E23,tbSkills!DH3:DI6,2,FALSE)+IF(AND(Calculator!B8=TRUE,Backdoors!BI39=TRUE),VLOOKUP(Calculator!E23,tbSkills!DH3:DJ6,3,FALSE),0),0)))/100)),1))*IF(VLOOKUP(A53,tbMoveset!A2:K112,11,FALSE)=TRUE,Backdoors!AC5,1))*IU53,0),"")</f>
        <v>0</v>
      </c>
      <c r="IY53" s="49">
        <f>VLOOKUP(A53,tbMoveset!A2:G112,7,FALSE)*IFERROR(IF(Backdoors!AI12&gt;=0,1+(IF(Calculator!E40&gt;0,VLOOKUP(Calculator!E40,tbSkills!AI3:AJ5,2,FALSE),Backdoors!AL4)*(IF((Backdoors!AI12+IF(IT53&gt;=0.45,VLOOKUP(Calculator!E23,tbSkills!DH3:DI6,2,FALSE)+IF(AND(Calculator!B8=TRUE,Backdoors!BI39=TRUE),VLOOKUP(Calculator!E23,tbSkills!DH3:DJ6,3,FALSE),0),0))&gt;=100,100,(Backdoors!AI12+IF(IT53&gt;=0.45,VLOOKUP(Calculator!E23,tbSkills!DH3:DI6,2,FALSE)+IF(AND(Calculator!B8=TRUE,Backdoors!BI39=TRUE),VLOOKUP(Calculator!E23,tbSkills!DH3:DJ6,3,FALSE),0),0)))/100)),1),1)</f>
        <v>0.8</v>
      </c>
      <c r="IZ53" s="87">
        <f t="shared" si="28"/>
        <v>0</v>
      </c>
      <c r="JA53" s="86" t="str">
        <f>IFERROR(IF(VLOOKUP(A53,tbMoveset!A2:B112,2,FALSE)="Sever",Backdoors!AY40/100,IF(VLOOKUP(A53,tbMoveset!A2:B112,2,FALSE)="Blunt",Backdoors!AZ40/100,Backdoors!BA40/100)),"")</f>
        <v/>
      </c>
      <c r="JB53" s="49">
        <f>IFERROR(IF(VLOOKUP(tbMoveset!A53,tbMoveset!A2:H112,8,FALSE)="Other",IF(VLOOKUP(tbMoveset!A53,tbMoveset!A2:I112,9,FALSE)="Fire",Backdoors!BB40,IF(VLOOKUP(tbMoveset!A53,tbMoveset!A2:I112,9,FALSE)="Water",Backdoors!BC40,IF(VLOOKUP(tbMoveset!A53,tbMoveset!A2:I112,9,FALSE)="Thunder",Backdoors!BD40,IF(VLOOKUP(tbMoveset!A53,tbMoveset!A2:I112,9,FALSE)="Ice",Backdoors!BE40,IF(VLOOKUP(tbMoveset!A53,tbMoveset!A2:I112,9,FALSE)="Dragon",Backdoors!BF40,Backdoors!BG40)))))/100,Backdoors!BG40/100),"")</f>
        <v>0</v>
      </c>
      <c r="JC53" s="49">
        <f>IFERROR(IF(VLOOKUP(A53,tbMoveset!A2:J112,10,FALSE)=TRUE,IF((Backdoors!AI12+IF(JA53&gt;=0.45,VLOOKUP(Calculator!E23,tbSkills!DH3:DI6,2,FALSE)+IF(AND(Calculator!B8=TRUE,Backdoors!BI40=TRUE),VLOOKUP(Calculator!E23,tbSkills!DH3:DJ6,3,FALSE),0),0))&gt;=0,1+(Backdoors!AL2*(IF((Backdoors!AI12+IF(JA53&gt;=0.45,VLOOKUP(Calculator!E23,tbSkills!DH3:DI6,2,FALSE)+IF(AND(Calculator!B8=TRUE,Backdoors!BI40=TRUE),VLOOKUP(Calculator!E23,tbSkills!DH3:DJ6,3,FALSE),0),0))&gt;=100,100,(Backdoors!AI12+IF(JA53&gt;=0.45,VLOOKUP(Calculator!E23,tbSkills!DH3:DI6,2,FALSE)+IF(AND(Calculator!B8=TRUE,Backdoors!BI40=TRUE),VLOOKUP(Calculator!E23,tbSkills!DH3:DJ6,3,FALSE),0),0)))/100)),(1-(0.25*((-Backdoors!AI12-IF(JA53&gt;=0.45,VLOOKUP(Calculator!E23,tbSkills!DH3:DI6,2,FALSE)+IF(AND(Calculator!B8=TRUE,Backdoors!BI40=TRUE),VLOOKUP(Calculator!E23,tbSkills!DH3:DJ6,3,FALSE),0),0))/100)))),1),"")</f>
        <v>1</v>
      </c>
      <c r="JD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A53)*JC53)*(VLOOKUP(A53,tbMoveset!A2:C112,3,FALSE)/100)*IF(VLOOKUP(A53,tbMoveset!A2:B112,2,FALSE)="Projectile",Backdoors!N10,Backdoors!N9),0),"")</f>
        <v/>
      </c>
      <c r="JE53" s="49">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42&gt;0,VLOOKUP(Calculator!E42,tbSkills!AC3:AD5,2,FALSE),Backdoors!AL3)*(IF((Backdoors!AI12+IF(JA53&gt;=0.45,VLOOKUP(Calculator!E23,tbSkills!DH3:DI6,2,FALSE)+IF(AND(Calculator!B8=TRUE,Backdoors!BI40=TRUE),VLOOKUP(Calculator!E23,tbSkills!DH3:DJ6,3,FALSE),0),0))&gt;=100,100,(Backdoors!AI12+IF(JA53&gt;=0.45,VLOOKUP(Calculator!E23,tbSkills!DH3:DI6,2,FALSE)+IF(AND(Calculator!B8=TRUE,Backdoors!BI40=TRUE),VLOOKUP(Calculator!E23,tbSkills!DH3:DJ6,3,FALSE),0),0)))/100)),1))*IF(VLOOKUP(A53,tbMoveset!A2:K112,11,FALSE)=TRUE,Backdoors!AC5,1))*JB53,0),"")</f>
        <v>0</v>
      </c>
      <c r="JF53" s="49">
        <f>VLOOKUP(A53,tbMoveset!A2:G112,7,FALSE)*IFERROR(IF(Backdoors!AI12&gt;=0,1+(IF(Calculator!E40&gt;0,VLOOKUP(Calculator!E40,tbSkills!AI3:AJ5,2,FALSE),Backdoors!AL4)*(IF((Backdoors!AI12+IF(JA53&gt;=0.45,VLOOKUP(Calculator!E23,tbSkills!DH3:DI6,2,FALSE)+IF(AND(Calculator!B8=TRUE,Backdoors!BI40=TRUE),VLOOKUP(Calculator!E23,tbSkills!DH3:DJ6,3,FALSE),0),0))&gt;=100,100,(Backdoors!AI12+IF(JA53&gt;=0.45,VLOOKUP(Calculator!E23,tbSkills!DH3:DI6,2,FALSE)+IF(AND(Calculator!B8=TRUE,Backdoors!BI40=TRUE),VLOOKUP(Calculator!E23,tbSkills!DH3:DJ6,3,FALSE),0),0)))/100)),1),1)</f>
        <v>0.8</v>
      </c>
      <c r="JG53" s="87">
        <f t="shared" si="29"/>
        <v>0</v>
      </c>
      <c r="JH53" s="86" t="str">
        <f>IFERROR(IF(VLOOKUP(A53,tbMoveset!A2:B112,2,FALSE)="Sever",Backdoors!AY41/100,IF(VLOOKUP(A53,tbMoveset!A2:B112,2,FALSE)="Blunt",Backdoors!AZ41/100,Backdoors!BA41/100)),"")</f>
        <v/>
      </c>
      <c r="JI53" s="49">
        <f>IFERROR(IF(VLOOKUP(tbMoveset!A53,tbMoveset!A2:H112,8,FALSE)="Other",IF(VLOOKUP(tbMoveset!A53,tbMoveset!A2:I112,9,FALSE)="Fire",Backdoors!BB41,IF(VLOOKUP(tbMoveset!A53,tbMoveset!A2:I112,9,FALSE)="Water",Backdoors!BC41,IF(VLOOKUP(tbMoveset!A53,tbMoveset!A2:I112,9,FALSE)="Thunder",Backdoors!BD41,IF(VLOOKUP(tbMoveset!A53,tbMoveset!A2:I112,9,FALSE)="Ice",Backdoors!BE41,IF(VLOOKUP(tbMoveset!A53,tbMoveset!A2:I112,9,FALSE)="Dragon",Backdoors!BF41,Backdoors!BG41)))))/100,Backdoors!BG41/100),"")</f>
        <v>0</v>
      </c>
      <c r="JJ53" s="49">
        <f>IFERROR(IF(VLOOKUP(A53,tbMoveset!A2:J112,10,FALSE)=TRUE,IF((Backdoors!AI12+IF(JH53&gt;=0.45,VLOOKUP(Calculator!E23,tbSkills!DH3:DI6,2,FALSE)+IF(AND(Calculator!B8=TRUE,Backdoors!BI41=TRUE),VLOOKUP(Calculator!E23,tbSkills!DH3:DJ6,3,FALSE),0),0))&gt;=0,1+(Backdoors!AL2*(IF((Backdoors!AI12+IF(JH53&gt;=0.45,VLOOKUP(Calculator!E23,tbSkills!DH3:DI6,2,FALSE)+IF(AND(Calculator!B8=TRUE,Backdoors!BI41=TRUE),VLOOKUP(Calculator!E23,tbSkills!DH3:DJ6,3,FALSE),0),0))&gt;=100,100,(Backdoors!AI12+IF(JH53&gt;=0.45,VLOOKUP(Calculator!E23,tbSkills!DH3:DI6,2,FALSE)+IF(AND(Calculator!B8=TRUE,Backdoors!BI41=TRUE),VLOOKUP(Calculator!E23,tbSkills!DH3:DJ6,3,FALSE),0),0)))/100)),(1-(0.25*((-Backdoors!AI12-IF(JH53&gt;=0.45,VLOOKUP(Calculator!E23,tbSkills!DH3:DI6,2,FALSE)+IF(AND(Calculator!B8=TRUE,Backdoors!BI41=TRUE),VLOOKUP(Calculator!E23,tbSkills!DH3:DJ6,3,FALSE),0),0))/100)))),1),"")</f>
        <v>1</v>
      </c>
      <c r="JK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H53)*JJ53)*(VLOOKUP(A53,tbMoveset!A2:C112,3,FALSE)/100)*IF(VLOOKUP(A53,tbMoveset!A2:B112,2,FALSE)="Projectile",Backdoors!N10,Backdoors!N9),0),"")</f>
        <v/>
      </c>
      <c r="JL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43&gt;0,VLOOKUP(Calculator!E43,tbSkills!AC3:AD5,2,FALSE),Backdoors!AL3)*(IF((Backdoors!AI12+IF(JH53&gt;=0.45,VLOOKUP(Calculator!E23,tbSkills!DH3:DI6,2,FALSE)+IF(AND(Calculator!B8=TRUE,Backdoors!BI41=TRUE),VLOOKUP(Calculator!E23,tbSkills!DH3:DJ6,3,FALSE),0),0))&gt;=100,100,(Backdoors!AI12+IF(JH53&gt;=0.45,VLOOKUP(Calculator!E23,tbSkills!DH3:DI6,2,FALSE)+IF(AND(Calculator!B8=TRUE,Backdoors!BI41=TRUE),VLOOKUP(Calculator!E23,tbSkills!DH3:DJ6,3,FALSE),0),0)))/100)),1))*IF(VLOOKUP(A53,tbMoveset!A2:K112,11,FALSE)=TRUE,Backdoors!AC5,1))*JI53,0),"")</f>
        <v/>
      </c>
      <c r="JM53" s="49">
        <f>VLOOKUP(A53,tbMoveset!A2:G112,7,FALSE)*IFERROR(IF(Backdoors!AI12&gt;=0,1+(IF(Calculator!E40&gt;0,VLOOKUP(Calculator!E40,tbSkills!AI3:AJ5,2,FALSE),Backdoors!AL4)*(IF((Backdoors!AI12+IF(JH53&gt;=0.45,VLOOKUP(Calculator!E23,tbSkills!DH3:DI6,2,FALSE)+IF(AND(Calculator!B8=TRUE,Backdoors!BI41=TRUE),VLOOKUP(Calculator!E23,tbSkills!DH3:DJ6,3,FALSE),0),0))&gt;=100,100,(Backdoors!AI12+IF(JH53&gt;=0.45,VLOOKUP(Calculator!E23,tbSkills!DH3:DI6,2,FALSE)+IF(AND(Calculator!B8=TRUE,Backdoors!BI41=TRUE),VLOOKUP(Calculator!E23,tbSkills!DH3:DJ6,3,FALSE),0),0)))/100)),1),1)</f>
        <v>0.8</v>
      </c>
      <c r="JN53" s="87">
        <f t="shared" si="30"/>
        <v>0</v>
      </c>
      <c r="JO53" s="86" t="str">
        <f>IFERROR(IF(VLOOKUP(A53,tbMoveset!A2:B112,2,FALSE)="Sever",Backdoors!AY42/100,IF(VLOOKUP(A53,tbMoveset!A2:B112,2,FALSE)="Blunt",Backdoors!AZ42/100,Backdoors!BA42/100)),"")</f>
        <v/>
      </c>
      <c r="JP53" s="49">
        <f>IFERROR(IF(VLOOKUP(tbMoveset!A53,tbMoveset!A2:H112,8,FALSE)="Other",IF(VLOOKUP(tbMoveset!A53,tbMoveset!A2:I112,9,FALSE)="Fire",Backdoors!BB42,IF(VLOOKUP(tbMoveset!A53,tbMoveset!A2:I112,9,FALSE)="Water",Backdoors!BC42,IF(VLOOKUP(tbMoveset!A53,tbMoveset!A2:I112,9,FALSE)="Thunder",Backdoors!BD42,IF(VLOOKUP(tbMoveset!A53,tbMoveset!A2:I112,9,FALSE)="Ice",Backdoors!BE42,IF(VLOOKUP(tbMoveset!A53,tbMoveset!A2:I112,9,FALSE)="Dragon",Backdoors!BF42,Backdoors!BG42)))))/100,Backdoors!BG42/100),"")</f>
        <v>0</v>
      </c>
      <c r="JQ53" s="49">
        <f>IFERROR(IF(VLOOKUP(A53,tbMoveset!A2:J112,10,FALSE)=TRUE,IF((Backdoors!AI12+IF(JO53&gt;=0.45,VLOOKUP(Calculator!E23,tbSkills!DH3:DI6,2,FALSE)+IF(AND(Calculator!B8=TRUE,Backdoors!BI42=TRUE),VLOOKUP(Calculator!E23,tbSkills!DH3:DJ6,3,FALSE),0),0))&gt;=0,1+(Backdoors!AL2*(IF((Backdoors!AI12+IF(JO53&gt;=0.45,VLOOKUP(Calculator!E23,tbSkills!DH3:DI6,2,FALSE)+IF(AND(Calculator!B8=TRUE,Backdoors!BI42=TRUE),VLOOKUP(Calculator!E23,tbSkills!DH3:DJ6,3,FALSE),0),0))&gt;=100,100,(Backdoors!AI12+IF(JO53&gt;=0.45,VLOOKUP(Calculator!E23,tbSkills!DH3:DI6,2,FALSE)+IF(AND(Calculator!B8=TRUE,Backdoors!BI42=TRUE),VLOOKUP(Calculator!E23,tbSkills!DH3:DJ6,3,FALSE),0),0)))/100)),(1-(0.25*((-Backdoors!AI12-IF(JO53&gt;=0.45,VLOOKUP(Calculator!E23,tbSkills!DH3:DI6,2,FALSE)+IF(AND(Calculator!B8=TRUE,Backdoors!BI42=TRUE),VLOOKUP(Calculator!E23,tbSkills!DH3:DJ6,3,FALSE),0),0))/100)))),1),"")</f>
        <v>1</v>
      </c>
      <c r="JR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O53)*JQ53)*(VLOOKUP(A53,tbMoveset!A2:C112,3,FALSE)/100)*IF(VLOOKUP(A53,tbMoveset!A2:B112,2,FALSE)="Projectile",Backdoors!N10,Backdoors!N9),0),"")</f>
        <v/>
      </c>
      <c r="JS53" s="49">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45&gt;0,VLOOKUP(Calculator!E45,tbSkills!AC3:AD5,2,FALSE),Backdoors!AL3)*(IF((Backdoors!AI12+IF(JO53&gt;=0.45,VLOOKUP(Calculator!E23,tbSkills!DH3:DI6,2,FALSE)+IF(AND(Calculator!B8=TRUE,Backdoors!BI42=TRUE),VLOOKUP(Calculator!E23,tbSkills!DH3:DJ6,3,FALSE),0),0))&gt;=100,100,(Backdoors!AI12+IF(JO53&gt;=0.45,VLOOKUP(Calculator!E23,tbSkills!DH3:DI6,2,FALSE)+IF(AND(Calculator!B8=TRUE,Backdoors!BI42=TRUE),VLOOKUP(Calculator!E23,tbSkills!DH3:DJ6,3,FALSE),0),0)))/100)),1))*IF(VLOOKUP(A53,tbMoveset!A2:K112,11,FALSE)=TRUE,Backdoors!AC5,1))*JP53,0),"")</f>
        <v>0</v>
      </c>
      <c r="JT53" s="49">
        <f>VLOOKUP(A53,tbMoveset!A2:G112,7,FALSE)*IFERROR(IF(Backdoors!AI12&gt;=0,1+(IF(Calculator!E40&gt;0,VLOOKUP(Calculator!E40,tbSkills!AI3:AJ5,2,FALSE),Backdoors!AL4)*(IF((Backdoors!AI12+IF(JO53&gt;=0.45,VLOOKUP(Calculator!E23,tbSkills!DH3:DI6,2,FALSE)+IF(AND(Calculator!B8=TRUE,Backdoors!BI42=TRUE),VLOOKUP(Calculator!E23,tbSkills!DH3:DJ6,3,FALSE),0),0))&gt;=100,100,(Backdoors!AI12+IF(JO53&gt;=0.45,VLOOKUP(Calculator!E23,tbSkills!DH3:DI6,2,FALSE)+IF(AND(Calculator!B8=TRUE,Backdoors!BI42=TRUE),VLOOKUP(Calculator!E23,tbSkills!DH3:DJ6,3,FALSE),0),0)))/100)),1),1)</f>
        <v>0.8</v>
      </c>
      <c r="JU53" s="87">
        <f t="shared" si="31"/>
        <v>0</v>
      </c>
      <c r="JV53" s="86" t="str">
        <f>IFERROR(IF(VLOOKUP(A53,tbMoveset!A2:B112,2,FALSE)="Sever",Backdoors!AY43/100,IF(VLOOKUP(A53,tbMoveset!A2:B112,2,FALSE)="Blunt",Backdoors!AZ43/100,Backdoors!BA43/100)),"")</f>
        <v/>
      </c>
      <c r="JW53" s="49">
        <f>IFERROR(IF(VLOOKUP(tbMoveset!A53,tbMoveset!A2:H112,8,FALSE)="Other",IF(VLOOKUP(tbMoveset!A53,tbMoveset!A2:I112,9,FALSE)="Fire",Backdoors!BB43,IF(VLOOKUP(tbMoveset!A53,tbMoveset!A2:I112,9,FALSE)="Water",Backdoors!BC43,IF(VLOOKUP(tbMoveset!A53,tbMoveset!A2:I112,9,FALSE)="Thunder",Backdoors!BD43,IF(VLOOKUP(tbMoveset!A53,tbMoveset!A2:I112,9,FALSE)="Ice",Backdoors!BE43,IF(VLOOKUP(tbMoveset!A53,tbMoveset!A2:I112,9,FALSE)="Dragon",Backdoors!BF43,Backdoors!BG43)))))/100,Backdoors!BG43/100),"")</f>
        <v>0</v>
      </c>
      <c r="JX53" s="49">
        <f>IFERROR(IF(VLOOKUP(A53,tbMoveset!A2:J112,10,FALSE)=TRUE,IF((Backdoors!AI12+IF(JV53&gt;=0.45,VLOOKUP(Calculator!E23,tbSkills!DH3:DI6,2,FALSE)+IF(AND(Calculator!B8=TRUE,Backdoors!BI43=TRUE),VLOOKUP(Calculator!E23,tbSkills!DH3:DJ6,3,FALSE),0),0))&gt;=0,1+(Backdoors!AL2*(IF((Backdoors!AI12+IF(JV53&gt;=0.45,VLOOKUP(Calculator!E23,tbSkills!DH3:DI6,2,FALSE)+IF(AND(Calculator!B8=TRUE,Backdoors!BI43=TRUE),VLOOKUP(Calculator!E23,tbSkills!DH3:DJ6,3,FALSE),0),0))&gt;=100,100,(Backdoors!AI12+IF(JV53&gt;=0.45,VLOOKUP(Calculator!E23,tbSkills!DH3:DI6,2,FALSE)+IF(AND(Calculator!B8=TRUE,Backdoors!BI43=TRUE),VLOOKUP(Calculator!E23,tbSkills!DH3:DJ6,3,FALSE),0),0)))/100)),(1-(0.25*((-Backdoors!AI12-IF(JV53&gt;=0.45,VLOOKUP(Calculator!E23,tbSkills!DH3:DI6,2,FALSE)+IF(AND(Calculator!B8=TRUE,Backdoors!BI43=TRUE),VLOOKUP(Calculator!E23,tbSkills!DH3:DJ6,3,FALSE),0),0))/100)))),1),"")</f>
        <v>1</v>
      </c>
      <c r="JY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V53)*JX53)*(VLOOKUP(A53,tbMoveset!A2:C112,3,FALSE)/100)*IF(VLOOKUP(A53,tbMoveset!A2:B112,2,FALSE)="Projectile",Backdoors!N10,Backdoors!N9),0),"")</f>
        <v/>
      </c>
      <c r="JZ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46&gt;0,VLOOKUP(Calculator!E46,tbSkills!AC3:AD5,2,FALSE),Backdoors!AL3)*(IF((Backdoors!AI12+IF(JV53&gt;=0.45,VLOOKUP(Calculator!E23,tbSkills!DH3:DI6,2,FALSE)+IF(AND(Calculator!B8=TRUE,Backdoors!BI43=TRUE),VLOOKUP(Calculator!E23,tbSkills!DH3:DJ6,3,FALSE),0),0))&gt;=100,100,(Backdoors!AI12+IF(JV53&gt;=0.45,VLOOKUP(Calculator!E23,tbSkills!DH3:DI6,2,FALSE)+IF(AND(Calculator!B8=TRUE,Backdoors!BI43=TRUE),VLOOKUP(Calculator!E23,tbSkills!DH3:DJ6,3,FALSE),0),0)))/100)),1))*IF(VLOOKUP(A53,tbMoveset!A2:K112,11,FALSE)=TRUE,Backdoors!AC5,1))*JW53,0),"")</f>
        <v/>
      </c>
      <c r="KA53" s="49">
        <f>VLOOKUP(A53,tbMoveset!A2:G112,7,FALSE)*IFERROR(IF(Backdoors!AI12&gt;=0,1+(IF(Calculator!E40&gt;0,VLOOKUP(Calculator!E40,tbSkills!AI3:AJ5,2,FALSE),Backdoors!AL4)*(IF((Backdoors!AI12+IF(JV53&gt;=0.45,VLOOKUP(Calculator!E23,tbSkills!DH3:DI6,2,FALSE)+IF(AND(Calculator!B8=TRUE,Backdoors!BI43=TRUE),VLOOKUP(Calculator!E23,tbSkills!DH3:DJ6,3,FALSE),0),0))&gt;=100,100,(Backdoors!AI12+IF(JV53&gt;=0.45,VLOOKUP(Calculator!E23,tbSkills!DH3:DI6,2,FALSE)+IF(AND(Calculator!B8=TRUE,Backdoors!BI43=TRUE),VLOOKUP(Calculator!E23,tbSkills!DH3:DJ6,3,FALSE),0),0)))/100)),1),1)</f>
        <v>0.8</v>
      </c>
      <c r="KB53" s="87">
        <f t="shared" si="32"/>
        <v>0</v>
      </c>
      <c r="KC53" s="86" t="str">
        <f>IFERROR(IF(VLOOKUP(A53,tbMoveset!A2:B112,2,FALSE)="Sever",Backdoors!AY44/100,IF(VLOOKUP(A53,tbMoveset!A2:B112,2,FALSE)="Blunt",Backdoors!AZ44/100,Backdoors!BA44/100)),"")</f>
        <v/>
      </c>
      <c r="KD53" s="49">
        <f>IFERROR(IF(VLOOKUP(tbMoveset!A53,tbMoveset!A2:H112,8,FALSE)="Other",IF(VLOOKUP(tbMoveset!A53,tbMoveset!A2:I112,9,FALSE)="Fire",Backdoors!BB44,IF(VLOOKUP(tbMoveset!A53,tbMoveset!A2:I112,9,FALSE)="Water",Backdoors!BC44,IF(VLOOKUP(tbMoveset!A53,tbMoveset!A2:I112,9,FALSE)="Thunder",Backdoors!BD44,IF(VLOOKUP(tbMoveset!A53,tbMoveset!A2:I112,9,FALSE)="Ice",Backdoors!BE44,IF(VLOOKUP(tbMoveset!A53,tbMoveset!A2:I112,9,FALSE)="Dragon",Backdoors!BF44,Backdoors!BG44)))))/100,Backdoors!BG44/100),"")</f>
        <v>0</v>
      </c>
      <c r="KE53" s="49">
        <f>IFERROR(IF(VLOOKUP(A53,tbMoveset!A2:J112,10,FALSE)=TRUE,IF((Backdoors!AI12+IF(KC53&gt;=0.45,VLOOKUP(Calculator!E23,tbSkills!DH3:DI6,2,FALSE)+IF(AND(Calculator!B8=TRUE,Backdoors!BI44=TRUE),VLOOKUP(Calculator!E23,tbSkills!DH3:DJ6,3,FALSE),0),0))&gt;=0,1+(Backdoors!AL2*(IF((Backdoors!AI12+IF(KC53&gt;=0.45,VLOOKUP(Calculator!E23,tbSkills!DH3:DI6,2,FALSE)+IF(AND(Calculator!B8=TRUE,Backdoors!BI44=TRUE),VLOOKUP(Calculator!E23,tbSkills!DH3:DJ6,3,FALSE),0),0))&gt;=100,100,(Backdoors!AI12+IF(KC53&gt;=0.45,VLOOKUP(Calculator!E23,tbSkills!DH3:DI6,2,FALSE)+IF(AND(Calculator!B8=TRUE,Backdoors!BI44=TRUE),VLOOKUP(Calculator!E23,tbSkills!DH3:DJ6,3,FALSE),0),0)))/100)),(1-(0.25*((-Backdoors!AI12-IF(KC53&gt;=0.45,VLOOKUP(Calculator!E23,tbSkills!DH3:DI6,2,FALSE)+IF(AND(Calculator!B8=TRUE,Backdoors!BI44=TRUE),VLOOKUP(Calculator!E23,tbSkills!DH3:DJ6,3,FALSE),0),0))/100)))),1),"")</f>
        <v>1</v>
      </c>
      <c r="KF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KC53)*KE53)*(VLOOKUP(A53,tbMoveset!A2:C112,3,FALSE)/100)*IF(VLOOKUP(A53,tbMoveset!A2:B112,2,FALSE)="Projectile",Backdoors!N10,Backdoors!N9),0),"")</f>
        <v/>
      </c>
      <c r="KG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REF!&gt;0,VLOOKUP(Calculator!#REF!,tbSkills!AC3:AD5,2,FALSE),Backdoors!AL3)*(IF((Backdoors!AI12+IF(KC53&gt;=0.45,VLOOKUP(Calculator!E23,tbSkills!DH3:DI6,2,FALSE)+IF(AND(Calculator!B8=TRUE,Backdoors!BI44=TRUE),VLOOKUP(Calculator!E23,tbSkills!DH3:DJ6,3,FALSE),0),0))&gt;=100,100,(Backdoors!AI12+IF(KC53&gt;=0.45,VLOOKUP(Calculator!E23,tbSkills!DH3:DI6,2,FALSE)+IF(AND(Calculator!B8=TRUE,Backdoors!BI44=TRUE),VLOOKUP(Calculator!E23,tbSkills!DH3:DJ6,3,FALSE),0),0)))/100)),1))*IF(VLOOKUP(A53,tbMoveset!A2:K112,11,FALSE)=TRUE,Backdoors!AC5,1))*KD53,0),"")</f>
        <v/>
      </c>
      <c r="KH53" s="49">
        <f>VLOOKUP(A53,tbMoveset!A2:G112,7,FALSE)*IFERROR(IF(Backdoors!AI12&gt;=0,1+(IF(Calculator!E40&gt;0,VLOOKUP(Calculator!E40,tbSkills!AI3:AJ5,2,FALSE),Backdoors!AL4)*(IF((Backdoors!AI12+IF(KC53&gt;=0.45,VLOOKUP(Calculator!E23,tbSkills!DH3:DI6,2,FALSE)+IF(AND(Calculator!B8=TRUE,Backdoors!BI44=TRUE),VLOOKUP(Calculator!E23,tbSkills!DH3:DJ6,3,FALSE),0),0))&gt;=100,100,(Backdoors!AI12+IF(KC53&gt;=0.45,VLOOKUP(Calculator!E23,tbSkills!DH3:DI6,2,FALSE)+IF(AND(Calculator!B8=TRUE,Backdoors!BI44=TRUE),VLOOKUP(Calculator!E23,tbSkills!DH3:DJ6,3,FALSE),0),0)))/100)),1),1)</f>
        <v>0.8</v>
      </c>
      <c r="KI53" s="87">
        <f t="shared" si="33"/>
        <v>0</v>
      </c>
      <c r="KJ53" s="86" t="str">
        <f>IFERROR(IF(VLOOKUP(A53,tbMoveset!A2:B112,2,FALSE)="Sever",Backdoors!AY45/100,IF(VLOOKUP(A53,tbMoveset!A2:B112,2,FALSE)="Blunt",Backdoors!AZ45/100,Backdoors!BA45/100)),"")</f>
        <v/>
      </c>
      <c r="KK53" s="49">
        <f>IFERROR(IF(VLOOKUP(tbMoveset!A53,tbMoveset!A2:H112,8,FALSE)="Other",IF(VLOOKUP(tbMoveset!A53,tbMoveset!A2:I112,9,FALSE)="Fire",Backdoors!BB45,IF(VLOOKUP(tbMoveset!A53,tbMoveset!A2:I112,9,FALSE)="Water",Backdoors!BC45,IF(VLOOKUP(tbMoveset!A53,tbMoveset!A2:I112,9,FALSE)="Thunder",Backdoors!BD45,IF(VLOOKUP(tbMoveset!A53,tbMoveset!A2:I112,9,FALSE)="Ice",Backdoors!BE45,IF(VLOOKUP(tbMoveset!A53,tbMoveset!A2:I112,9,FALSE)="Dragon",Backdoors!BF45,Backdoors!BG45)))))/100,Backdoors!BG45/100),"")</f>
        <v>0</v>
      </c>
      <c r="KL53" s="49">
        <f>IFERROR(IF(VLOOKUP(A53,tbMoveset!A2:J112,10,FALSE)=TRUE,IF((Backdoors!AI12+IF(KJ53&gt;=0.45,VLOOKUP(Calculator!E23,tbSkills!DH3:DI6,2,FALSE)+IF(AND(Calculator!B8=TRUE,Backdoors!BI45=TRUE),VLOOKUP(Calculator!E23,tbSkills!DH3:DJ6,3,FALSE),0),0))&gt;=0,1+(Backdoors!AL2*(IF((Backdoors!AI12+IF(KJ53&gt;=0.45,VLOOKUP(Calculator!E23,tbSkills!DH3:DI6,2,FALSE)+IF(AND(Calculator!B8=TRUE,Backdoors!BI45=TRUE),VLOOKUP(Calculator!E23,tbSkills!DH3:DJ6,3,FALSE),0),0))&gt;=100,100,(Backdoors!AI12+IF(KJ53&gt;=0.45,VLOOKUP(Calculator!E23,tbSkills!DH3:DI6,2,FALSE)+IF(AND(Calculator!B8=TRUE,Backdoors!BI45=TRUE),VLOOKUP(Calculator!E23,tbSkills!DH3:DJ6,3,FALSE),0),0)))/100)),(1-(0.25*((-Backdoors!AI12-IF(KJ53&gt;=0.45,VLOOKUP(Calculator!E23,tbSkills!DH3:DI6,2,FALSE)+IF(AND(Calculator!B8=TRUE,Backdoors!BI45=TRUE),VLOOKUP(Calculator!E23,tbSkills!DH3:DJ6,3,FALSE),0),0))/100)))),1),"")</f>
        <v>1</v>
      </c>
      <c r="KM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KJ53)*KL53)*(VLOOKUP(A53,tbMoveset!A2:C112,3,FALSE)/100)*IF(VLOOKUP(A53,tbMoveset!A2:B112,2,FALSE)="Projectile",Backdoors!N10,Backdoors!N9),0),"")</f>
        <v/>
      </c>
      <c r="KN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REF!&gt;0,VLOOKUP(Calculator!#REF!,tbSkills!AC3:AD5,2,FALSE),Backdoors!AL3)*(IF((Backdoors!AI12+IF(KJ53&gt;=0.45,VLOOKUP(Calculator!E23,tbSkills!DH3:DI6,2,FALSE)+IF(AND(Calculator!B8=TRUE,Backdoors!BI45=TRUE),VLOOKUP(Calculator!E23,tbSkills!DH3:DJ6,3,FALSE),0),0))&gt;=100,100,(Backdoors!AI12+IF(KJ53&gt;=0.45,VLOOKUP(Calculator!E23,tbSkills!DH3:DI6,2,FALSE)+IF(AND(Calculator!B8=TRUE,Backdoors!BI45=TRUE),VLOOKUP(Calculator!E23,tbSkills!DH3:DJ6,3,FALSE),0),0)))/100)),1))*IF(VLOOKUP(A53,tbMoveset!A2:K112,11,FALSE)=TRUE,Backdoors!AC5,1))*KK53,0),"")</f>
        <v/>
      </c>
      <c r="KO53" s="49">
        <f>VLOOKUP(A53,tbMoveset!A2:G112,7,FALSE)*IFERROR(IF(Backdoors!AI12&gt;=0,1+(IF(Calculator!E40&gt;0,VLOOKUP(Calculator!E40,tbSkills!AI3:AJ5,2,FALSE),Backdoors!AL4)*(IF((Backdoors!AI12+IF(KJ53&gt;=0.45,VLOOKUP(Calculator!E23,tbSkills!DH3:DI6,2,FALSE)+IF(AND(Calculator!B8=TRUE,Backdoors!BI45=TRUE),VLOOKUP(Calculator!E23,tbSkills!DH3:DJ6,3,FALSE),0),0))&gt;=100,100,(Backdoors!AI12+IF(KJ53&gt;=0.45,VLOOKUP(Calculator!E23,tbSkills!DH3:DI6,2,FALSE)+IF(AND(Calculator!B8=TRUE,Backdoors!BI45=TRUE),VLOOKUP(Calculator!E23,tbSkills!DH3:DJ6,3,FALSE),0),0)))/100)),1),1)</f>
        <v>0.8</v>
      </c>
      <c r="KP53" s="87">
        <f t="shared" si="34"/>
        <v>0</v>
      </c>
      <c r="KQ53" s="86" t="str">
        <f>IFERROR(IF(VLOOKUP(A53,tbMoveset!A2:B112,2,FALSE)="Sever",Backdoors!AY46/100,IF(VLOOKUP(A53,tbMoveset!A2:B112,2,FALSE)="Blunt",Backdoors!AZ46/100,Backdoors!BA46/100)),"")</f>
        <v/>
      </c>
      <c r="KR53" s="49">
        <f>IFERROR(IF(VLOOKUP(tbMoveset!A53,tbMoveset!A2:H112,8,FALSE)="Other",IF(VLOOKUP(tbMoveset!A53,tbMoveset!A2:I112,9,FALSE)="Fire",Backdoors!BB46,IF(VLOOKUP(tbMoveset!A53,tbMoveset!A2:I112,9,FALSE)="Water",Backdoors!BC46,IF(VLOOKUP(tbMoveset!A53,tbMoveset!A2:I112,9,FALSE)="Thunder",Backdoors!BD46,IF(VLOOKUP(tbMoveset!A53,tbMoveset!A2:I112,9,FALSE)="Ice",Backdoors!BE46,IF(VLOOKUP(tbMoveset!A53,tbMoveset!A2:I112,9,FALSE)="Dragon",Backdoors!BF46,Backdoors!BG46)))))/100,Backdoors!BG46/100),"")</f>
        <v>0</v>
      </c>
      <c r="KS53" s="49">
        <f>IFERROR(IF(VLOOKUP(A53,tbMoveset!A2:J112,10,FALSE)=TRUE,IF((Backdoors!AI12+IF(KQ53&gt;=0.45,VLOOKUP(Calculator!E23,tbSkills!DH3:DI6,2,FALSE)+IF(AND(Calculator!B8=TRUE,Backdoors!BI46=TRUE),VLOOKUP(Calculator!E23,tbSkills!DH3:DJ6,3,FALSE),0),0))&gt;=0,1+(Backdoors!AL2*(IF((Backdoors!AI12+IF(KQ53&gt;=0.45,VLOOKUP(Calculator!E23,tbSkills!DH3:DI6,2,FALSE)+IF(AND(Calculator!B8=TRUE,Backdoors!BI46=TRUE),VLOOKUP(Calculator!E23,tbSkills!DH3:DJ6,3,FALSE),0),0))&gt;=100,100,(Backdoors!AI12+IF(KQ53&gt;=0.45,VLOOKUP(Calculator!E23,tbSkills!DH3:DI6,2,FALSE)+IF(AND(Calculator!B8=TRUE,Backdoors!BI46=TRUE),VLOOKUP(Calculator!E23,tbSkills!DH3:DJ6,3,FALSE),0),0)))/100)),(1-(0.25*((-Backdoors!AI12-IF(KQ53&gt;=0.45,VLOOKUP(Calculator!E23,tbSkills!DH3:DI6,2,FALSE)+IF(AND(Calculator!B8=TRUE,Backdoors!BI46=TRUE),VLOOKUP(Calculator!E23,tbSkills!DH3:DJ6,3,FALSE),0),0))/100)))),1),"")</f>
        <v>1</v>
      </c>
      <c r="KT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KQ53)*KS53)*(VLOOKUP(A53,tbMoveset!A2:C112,3,FALSE)/100)*IF(VLOOKUP(A53,tbMoveset!A2:B112,2,FALSE)="Projectile",Backdoors!N10,Backdoors!N9),0),"")</f>
        <v/>
      </c>
      <c r="KU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REF!&gt;0,VLOOKUP(Calculator!#REF!,tbSkills!AC3:AD5,2,FALSE),Backdoors!AL3)*(IF((Backdoors!AI12+IF(KQ53&gt;=0.45,VLOOKUP(Calculator!E23,tbSkills!DH3:DI6,2,FALSE)+IF(AND(Calculator!B8=TRUE,Backdoors!BI46=TRUE),VLOOKUP(Calculator!E23,tbSkills!DH3:DJ6,3,FALSE),0),0))&gt;=100,100,(Backdoors!AI12+IF(KQ53&gt;=0.45,VLOOKUP(Calculator!E23,tbSkills!DH3:DI6,2,FALSE)+IF(AND(Calculator!B8=TRUE,Backdoors!BI46=TRUE),VLOOKUP(Calculator!E23,tbSkills!DH3:DJ6,3,FALSE),0),0)))/100)),1))*IF(VLOOKUP(A53,tbMoveset!A2:K112,11,FALSE)=TRUE,Backdoors!AC5,1))*KR53,0),"")</f>
        <v/>
      </c>
      <c r="KV53" s="49">
        <f>VLOOKUP(A53,tbMoveset!A2:G112,7,FALSE)*IFERROR(IF(Backdoors!AI12&gt;=0,1+(IF(Calculator!E40&gt;0,VLOOKUP(Calculator!E40,tbSkills!AI3:AJ5,2,FALSE),Backdoors!AL4)*(IF((Backdoors!AI12+IF(KQ53&gt;=0.45,VLOOKUP(Calculator!E23,tbSkills!DH3:DI6,2,FALSE)+IF(AND(Calculator!B8=TRUE,Backdoors!BI46=TRUE),VLOOKUP(Calculator!E23,tbSkills!DH3:DJ6,3,FALSE),0),0))&gt;=100,100,(Backdoors!AI12+IF(KQ53&gt;=0.45,VLOOKUP(Calculator!E23,tbSkills!DH3:DI6,2,FALSE)+IF(AND(Calculator!B8=TRUE,Backdoors!BI46=TRUE),VLOOKUP(Calculator!E23,tbSkills!DH3:DJ6,3,FALSE),0),0)))/100)),1),1)</f>
        <v>0.8</v>
      </c>
      <c r="KW53" s="87">
        <f t="shared" si="35"/>
        <v>0</v>
      </c>
    </row>
    <row r="54" spans="1:309" x14ac:dyDescent="0.25">
      <c r="A54" s="95" t="str">
        <f>tbMoveset!A54</f>
        <v>Rising Slash (After Demon Flurry Rush)</v>
      </c>
      <c r="B54" s="86">
        <f>IFERROR(IF(VLOOKUP(A54,tbMoveset!A2:B112,2,FALSE)="Sever",Backdoors!AY3/100,IF(VLOOKUP(A54,tbMoveset!A2:B112,2,FALSE)="Blunt",Backdoors!AZ3/100,Backdoors!BA3/100)),"")</f>
        <v>0.8</v>
      </c>
      <c r="C54" s="49">
        <f>IFERROR(IF(VLOOKUP(tbMoveset!A54,tbMoveset!A2:H112,8,FALSE)="Other",IF(VLOOKUP(tbMoveset!A54,tbMoveset!A2:I112,9,FALSE)="Fire",Backdoors!BB3,IF(VLOOKUP(tbMoveset!A54,tbMoveset!A2:I112,9,FALSE)="Water",Backdoors!BC3,IF(VLOOKUP(tbMoveset!A54,tbMoveset!A2:I112,9,FALSE)="Thunder",Backdoors!BD3,IF(VLOOKUP(tbMoveset!A54,tbMoveset!A2:I112,9,FALSE)="Ice",Backdoors!BE3,IF(VLOOKUP(tbMoveset!A54,tbMoveset!A2:I112,9,FALSE)="Dragon",Backdoors!BF3,Backdoors!BG3)))))/100,Backdoors!BG3/100),"")</f>
        <v>0</v>
      </c>
      <c r="D54" s="49">
        <f>IFERROR(IF(VLOOKUP(A54,tbMoveset!A2:J112,10,FALSE)=TRUE,IF((Backdoors!AI12+IF(B54&gt;=0.45,VLOOKUP(Calculator!E23,tbSkills!DH3:DI6,2,FALSE)+IF(AND(Calculator!B8=TRUE,Backdoors!BI3=TRUE),VLOOKUP(Calculator!E23,tbSkills!DH3:DJ6,3,FALSE),0),0))&gt;=0,1+(Backdoors!AL2*(IF((Backdoors!AI12+IF(B54&gt;=0.45,VLOOKUP(Calculator!E23,tbSkills!DH3:DI6,2,FALSE)+IF(AND(Calculator!B8=TRUE,Backdoors!BI3=TRUE),VLOOKUP(Calculator!E23,tbSkills!DH3:DJ6,3,FALSE),0),0))&gt;=100,100,(Backdoors!AI12+IF(B54&gt;=0.45,VLOOKUP(Calculator!E23,tbSkills!DH3:DI6,2,FALSE)+IF(AND(Calculator!B8=TRUE,Backdoors!BI3=TRUE),VLOOKUP(Calculator!E23,tbSkills!DH3:DJ6,3,FALSE),0),0)))/100)),(1-(0.25*((-Backdoors!AI12-IF(B54&gt;=0.45,VLOOKUP(Calculator!E23,tbSkills!DH3:DI6,2,FALSE)+IF(AND(Calculator!B8=TRUE,Backdoors!BI3=TRUE),VLOOKUP(Calculator!E23,tbSkills!DH3:DJ6,3,FALSE),0),0))/100)))),1),"")</f>
        <v>1</v>
      </c>
      <c r="E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54)*D54)*(VLOOKUP(A54,tbMoveset!A2:C112,3,FALSE)/100)*IF(VLOOKUP(A54,tbMoveset!A2:B112,2,FALSE)="Projectile",Backdoors!N10,Backdoors!N9),0),"")</f>
        <v>5</v>
      </c>
      <c r="F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54&gt;=0.45,VLOOKUP(Calculator!E23,tbSkills!DH3:DI6,2,FALSE)+IF(AND(Calculator!B8=TRUE,Backdoors!BI3=TRUE),VLOOKUP(Calculator!E23,tbSkills!DH3:DJ6,3,FALSE),0),0))&gt;=100,100,(Backdoors!AI12+IF(B54&gt;=0.45,VLOOKUP(Calculator!E23,tbSkills!DH3:DI6,2,FALSE)+IF(AND(Calculator!B8=TRUE,Backdoors!BI3=TRUE),VLOOKUP(Calculator!E23,tbSkills!DH3:DJ6,3,FALSE),0),0)))/100)),1))*IF(VLOOKUP(A54,tbMoveset!A2:K112,11,FALSE)=TRUE,Backdoors!AC5,1))*C54,0),"")</f>
        <v>0</v>
      </c>
      <c r="G54">
        <f>VLOOKUP(A54,tbMoveset!A2:G112,7,FALSE)*IFERROR(IF(Backdoors!AI12&gt;=0,1+(IF(Calculator!E40&gt;0,VLOOKUP(Calculator!E40,tbSkills!AI3:AJ5,2,FALSE),Backdoors!AL4)*(IF((Backdoors!AI12+IF(B54&gt;=0.45,VLOOKUP(Calculator!E23,tbSkills!DH3:DI6,2,FALSE)+IF(AND(Calculator!B8=TRUE,Backdoors!BI3=TRUE),VLOOKUP(Calculator!E23,tbSkills!DH3:DJ6,3,FALSE),0),0))&gt;=100,100,(Backdoors!AI12+IF(B54&gt;=0.45,VLOOKUP(Calculator!E23,tbSkills!DH3:DI6,2,FALSE)+IF(AND(Calculator!B8=TRUE,Backdoors!BI3=TRUE),VLOOKUP(Calculator!E23,tbSkills!DH3:DJ6,3,FALSE),0),0)))/100)),1),1)</f>
        <v>0.6</v>
      </c>
      <c r="H54" s="87">
        <f t="shared" si="44"/>
        <v>5</v>
      </c>
      <c r="I54" s="86">
        <f>IFERROR(IF(VLOOKUP(A54,tbMoveset!A2:B112,2,FALSE)="Sever",Backdoors!AY4/100,IF(VLOOKUP(A54,tbMoveset!A2:B112,2,FALSE)="Blunt",Backdoors!AZ4/100,Backdoors!BA4/100)),"")</f>
        <v>0.65</v>
      </c>
      <c r="J54" s="49">
        <f>IFERROR(IF(VLOOKUP(tbMoveset!A54,tbMoveset!A2:H112,8,FALSE)="Other",IF(VLOOKUP(tbMoveset!A54,tbMoveset!A2:I112,9,FALSE)="Fire",Backdoors!BB4,IF(VLOOKUP(tbMoveset!A54,tbMoveset!A2:I112,9,FALSE)="Water",Backdoors!BC4,IF(VLOOKUP(tbMoveset!A54,tbMoveset!A2:I112,9,FALSE)="Thunder",Backdoors!BD4,IF(VLOOKUP(tbMoveset!A54,tbMoveset!A2:I112,9,FALSE)="Ice",Backdoors!BE4,IF(VLOOKUP(tbMoveset!A54,tbMoveset!A2:I112,9,FALSE)="Dragon",Backdoors!BF4,Backdoors!BG4)))))/100,Backdoors!BG4/100),"")</f>
        <v>0</v>
      </c>
      <c r="K54" s="49">
        <f>IFERROR(IF(VLOOKUP(A54,tbMoveset!A2:J112,10,FALSE)=TRUE,IF((Backdoors!AI12+IF(I54&gt;=0.45,VLOOKUP(Calculator!E23,tbSkills!DH3:DI6,2,FALSE)+IF(AND(Calculator!B8=TRUE,Backdoors!BI4=TRUE),VLOOKUP(Calculator!E23,tbSkills!DH3:DJ6,3,FALSE),0),0))&gt;=0,1+(Backdoors!AL2*(IF((Backdoors!AI12+IF(I54&gt;=0.45,VLOOKUP(Calculator!E23,tbSkills!DH3:DI6,2,FALSE)+IF(AND(Calculator!B8=TRUE,Backdoors!BI4=TRUE),VLOOKUP(Calculator!E23,tbSkills!DH3:DJ6,3,FALSE),0),0))&gt;=100,100,(Backdoors!AI12+IF(I54&gt;=0.45,VLOOKUP(Calculator!E23,tbSkills!DH3:DI6,2,FALSE)+IF(AND(Calculator!B8=TRUE,Backdoors!BI4=TRUE),VLOOKUP(Calculator!E23,tbSkills!DH3:DJ6,3,FALSE),0),0)))/100)),(1-(0.25*((-Backdoors!AI12-IF(I54&gt;=0.45,VLOOKUP(Calculator!E23,tbSkills!DH3:DI6,2,FALSE)+IF(AND(Calculator!B8=TRUE,Backdoors!BI4=TRUE),VLOOKUP(Calculator!E23,tbSkills!DH3:DJ6,3,FALSE),0),0))/100)))),1),"")</f>
        <v>1</v>
      </c>
      <c r="L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54)*K54)*(VLOOKUP(A54,tbMoveset!A2:C112,3,FALSE)/100)*IF(VLOOKUP(A54,tbMoveset!A2:B112,2,FALSE)="Projectile",Backdoors!N10,Backdoors!N9),0),"")</f>
        <v>4</v>
      </c>
      <c r="M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I54&gt;=0.45,VLOOKUP(Calculator!E23,tbSkills!DH3:DI6,2,FALSE)+IF(AND(Calculator!B8=TRUE,Backdoors!BI4=TRUE),VLOOKUP(Calculator!E23,tbSkills!DH3:DJ6,3,FALSE),0),0))&gt;=100,100,(Backdoors!AI12+IF(I54&gt;=0.45,VLOOKUP(Calculator!E23,tbSkills!DH3:DI6,2,FALSE)+IF(AND(Calculator!B8=TRUE,Backdoors!BI4=TRUE),VLOOKUP(Calculator!E23,tbSkills!DH3:DJ6,3,FALSE),0),0)))/100)),1))*IF(VLOOKUP(A54,tbMoveset!A2:K112,11,FALSE)=TRUE,Backdoors!AC5,1))*J54,0),"")</f>
        <v>0</v>
      </c>
      <c r="N54" s="49">
        <f>VLOOKUP(A54,tbMoveset!A2:G112,7,FALSE)*IFERROR(IF(Backdoors!AI12&gt;=0,1+(IF(Calculator!E40&gt;0,VLOOKUP(Calculator!E40,tbSkills!AI3:AJ5,2,FALSE),Backdoors!AL4)*(IF((Backdoors!AI12+IF(I54&gt;=0.45,VLOOKUP(Calculator!E23,tbSkills!DH3:DI6,2,FALSE)+IF(AND(Calculator!B8=TRUE,Backdoors!BI4=TRUE),VLOOKUP(Calculator!E23,tbSkills!DH3:DJ6,3,FALSE),0),0))&gt;=100,100,(Backdoors!AI12+IF(I54&gt;=0.45,VLOOKUP(Calculator!E23,tbSkills!DH3:DI6,2,FALSE)+IF(AND(Calculator!B8=TRUE,Backdoors!BI4=TRUE),VLOOKUP(Calculator!E23,tbSkills!DH3:DJ6,3,FALSE),0),0)))/100)),1),1)</f>
        <v>0.6</v>
      </c>
      <c r="O54" s="87">
        <f t="shared" si="45"/>
        <v>4</v>
      </c>
      <c r="P54" s="86">
        <f>IFERROR(IF(VLOOKUP(A54,tbMoveset!A2:B112,2,FALSE)="Sever",Backdoors!AY5/100,IF(VLOOKUP(A54,tbMoveset!A2:B112,2,FALSE)="Blunt",Backdoors!AZ5/100,Backdoors!BA5/100)),"")</f>
        <v>0.5</v>
      </c>
      <c r="Q54" s="49">
        <f>IFERROR(IF(VLOOKUP(tbMoveset!A54,tbMoveset!A2:H112,8,FALSE)="Other",IF(VLOOKUP(tbMoveset!A54,tbMoveset!A2:I112,9,FALSE)="Fire",Backdoors!BB5,IF(VLOOKUP(tbMoveset!A54,tbMoveset!A2:I112,9,FALSE)="Water",Backdoors!BC5,IF(VLOOKUP(tbMoveset!A54,tbMoveset!A2:I112,9,FALSE)="Thunder",Backdoors!BD5,IF(VLOOKUP(tbMoveset!A54,tbMoveset!A2:I112,9,FALSE)="Ice",Backdoors!BE5,IF(VLOOKUP(tbMoveset!A54,tbMoveset!A2:I112,9,FALSE)="Dragon",Backdoors!BF5,Backdoors!BG5)))))/100,Backdoors!BG5/100),"")</f>
        <v>0</v>
      </c>
      <c r="R54" s="49">
        <f>IFERROR(IF(VLOOKUP(A54,tbMoveset!A2:J112,10,FALSE)=TRUE,IF((Backdoors!AI12+IF(P54&gt;=0.45,VLOOKUP(Calculator!E23,tbSkills!DH3:DI6,2,FALSE)+IF(AND(Calculator!B8=TRUE,Backdoors!BI5=TRUE),VLOOKUP(Calculator!E23,tbSkills!DH3:DJ6,3,FALSE),0),0))&gt;=0,1+(Backdoors!AL2*(IF((Backdoors!AI12+IF(P54&gt;=0.45,VLOOKUP(Calculator!E23,tbSkills!DH3:DI6,2,FALSE)+IF(AND(Calculator!B8=TRUE,Backdoors!BI5=TRUE),VLOOKUP(Calculator!E23,tbSkills!DH3:DJ6,3,FALSE),0),0))&gt;=100,100,(Backdoors!AI12+IF(P54&gt;=0.45,VLOOKUP(Calculator!E23,tbSkills!DH3:DI6,2,FALSE)+IF(AND(Calculator!B8=TRUE,Backdoors!BI5=TRUE),VLOOKUP(Calculator!E23,tbSkills!DH3:DJ6,3,FALSE),0),0)))/100)),(1-(0.25*((-Backdoors!AI12-IF(P54&gt;=0.45,VLOOKUP(Calculator!E23,tbSkills!DH3:DI6,2,FALSE)+IF(AND(Calculator!B8=TRUE,Backdoors!BI5=TRUE),VLOOKUP(Calculator!E23,tbSkills!DH3:DJ6,3,FALSE),0),0))/100)))),1),"")</f>
        <v>1</v>
      </c>
      <c r="S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P54)*R54)*(VLOOKUP(A54,tbMoveset!A2:C112,3,FALSE)/100)*IF(VLOOKUP(A54,tbMoveset!A2:B112,2,FALSE)="Projectile",Backdoors!N10,Backdoors!N9),0),"")</f>
        <v>3</v>
      </c>
      <c r="T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P54&gt;=0.45,VLOOKUP(Calculator!E23,tbSkills!DH3:DI6,2,FALSE)+IF(AND(Calculator!B8=TRUE,Backdoors!BI5=TRUE),VLOOKUP(Calculator!E23,tbSkills!DH3:DJ6,3,FALSE),0),0))&gt;=100,100,(Backdoors!AI12+IF(P54&gt;=0.45,VLOOKUP(Calculator!E23,tbSkills!DH3:DI6,2,FALSE)+IF(AND(Calculator!B8=TRUE,Backdoors!BI5=TRUE),VLOOKUP(Calculator!E23,tbSkills!DH3:DJ6,3,FALSE),0),0)))/100)),1))*IF(VLOOKUP(A54,tbMoveset!A2:K112,11,FALSE)=TRUE,Backdoors!AC5,1))*Q54,0),"")</f>
        <v>0</v>
      </c>
      <c r="U54" s="49">
        <f>VLOOKUP(A54,tbMoveset!A2:G112,7,FALSE)*IFERROR(IF(Backdoors!AI12&gt;=0,1+(IF(Calculator!E40&gt;0,VLOOKUP(Calculator!E40,tbSkills!AI3:AJ5,2,FALSE),Backdoors!AL4)*(IF((Backdoors!AI12+IF(P54&gt;=0.45,VLOOKUP(Calculator!E23,tbSkills!DH3:DI6,2,FALSE)+IF(AND(Calculator!B8=TRUE,Backdoors!BI5=TRUE),VLOOKUP(Calculator!E23,tbSkills!DH3:DJ6,3,FALSE),0),0))&gt;=100,100,(Backdoors!AI12+IF(P54&gt;=0.45,VLOOKUP(Calculator!E23,tbSkills!DH3:DI6,2,FALSE)+IF(AND(Calculator!B8=TRUE,Backdoors!BI5=TRUE),VLOOKUP(Calculator!E23,tbSkills!DH3:DJ6,3,FALSE),0),0)))/100)),1),1)</f>
        <v>0.6</v>
      </c>
      <c r="V54" s="87">
        <f t="shared" si="46"/>
        <v>3</v>
      </c>
      <c r="W54" s="86">
        <f>IFERROR(IF(VLOOKUP(A54,tbMoveset!A2:B112,2,FALSE)="Sever",Backdoors!AY6/100,IF(VLOOKUP(A54,tbMoveset!A2:B112,2,FALSE)="Blunt",Backdoors!AZ6/100,Backdoors!BA6/100)),"")</f>
        <v>0.45</v>
      </c>
      <c r="X54" s="49">
        <f>IFERROR(IF(VLOOKUP(tbMoveset!A54,tbMoveset!A2:H112,8,FALSE)="Other",IF(VLOOKUP(tbMoveset!A54,tbMoveset!A2:I112,9,FALSE)="Fire",Backdoors!BB6,IF(VLOOKUP(tbMoveset!A54,tbMoveset!A2:I112,9,FALSE)="Water",Backdoors!BC6,IF(VLOOKUP(tbMoveset!A54,tbMoveset!A2:I112,9,FALSE)="Thunder",Backdoors!BD6,IF(VLOOKUP(tbMoveset!A54,tbMoveset!A2:I112,9,FALSE)="Ice",Backdoors!BE6,IF(VLOOKUP(tbMoveset!A54,tbMoveset!A2:I112,9,FALSE)="Dragon",Backdoors!BF6,Backdoors!BG6)))))/100,Backdoors!BG6/100),"")</f>
        <v>0</v>
      </c>
      <c r="Y54" s="49">
        <f>IFERROR(IF(VLOOKUP(A54,tbMoveset!A2:J112,10,FALSE)=TRUE,IF((Backdoors!AI12+IF(W54&gt;=0.45,VLOOKUP(Calculator!E23,tbSkills!DH3:DI6,2,FALSE)+IF(AND(Calculator!B8=TRUE,Backdoors!BI6=TRUE),VLOOKUP(Calculator!E23,tbSkills!DH3:DJ6,3,FALSE),0),0))&gt;=0,1+(Backdoors!AL2*(IF((Backdoors!AI12+IF(W54&gt;=0.45,VLOOKUP(Calculator!E23,tbSkills!DH3:DI6,2,FALSE)+IF(AND(Calculator!B8=TRUE,Backdoors!BI6=TRUE),VLOOKUP(Calculator!E23,tbSkills!DH3:DJ6,3,FALSE),0),0))&gt;=100,100,(Backdoors!AI12+IF(W54&gt;=0.45,VLOOKUP(Calculator!E23,tbSkills!DH3:DI6,2,FALSE)+IF(AND(Calculator!B8=TRUE,Backdoors!BI6=TRUE),VLOOKUP(Calculator!E23,tbSkills!DH3:DJ6,3,FALSE),0),0)))/100)),(1-(0.25*((-Backdoors!AI12-IF(W54&gt;=0.45,VLOOKUP(Calculator!E23,tbSkills!DH3:DI6,2,FALSE)+IF(AND(Calculator!B8=TRUE,Backdoors!BI6=TRUE),VLOOKUP(Calculator!E23,tbSkills!DH3:DJ6,3,FALSE),0),0))/100)))),1),"")</f>
        <v>1</v>
      </c>
      <c r="Z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W54)*Y54)*(VLOOKUP(A54,tbMoveset!A2:C112,3,FALSE)/100)*IF(VLOOKUP(A54,tbMoveset!A2:B112,2,FALSE)="Projectile",Backdoors!N10,Backdoors!N9),0),"")</f>
        <v>3</v>
      </c>
      <c r="AA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W54&gt;=0.45,VLOOKUP(Calculator!E23,tbSkills!DH3:DI6,2,FALSE)+IF(AND(Calculator!B8=TRUE,Backdoors!BI6=TRUE),VLOOKUP(Calculator!E23,tbSkills!DH3:DJ6,3,FALSE),0),0))&gt;=100,100,(Backdoors!AI12+IF(W54&gt;=0.45,VLOOKUP(Calculator!E23,tbSkills!DH3:DI6,2,FALSE)+IF(AND(Calculator!B8=TRUE,Backdoors!BI6=TRUE),VLOOKUP(Calculator!E23,tbSkills!DH3:DJ6,3,FALSE),0),0)))/100)),1))*IF(VLOOKUP(A54,tbMoveset!A2:K112,11,FALSE)=TRUE,Backdoors!AC5,1))*X54,0),"")</f>
        <v>0</v>
      </c>
      <c r="AB54" s="49">
        <f>VLOOKUP(A54,tbMoveset!A2:G112,7,FALSE)*IFERROR(IF(Backdoors!AI12&gt;=0,1+(IF(Calculator!E40&gt;0,VLOOKUP(Calculator!E40,tbSkills!AI3:AJ5,2,FALSE),Backdoors!AL4)*(IF((Backdoors!AI12+IF(W54&gt;=0.45,VLOOKUP(Calculator!E23,tbSkills!DH3:DI6,2,FALSE)+IF(AND(Calculator!B8=TRUE,Backdoors!BI6=TRUE),VLOOKUP(Calculator!E23,tbSkills!DH3:DJ6,3,FALSE),0),0))&gt;=100,100,(Backdoors!AI12+IF(W54&gt;=0.45,VLOOKUP(Calculator!E23,tbSkills!DH3:DI6,2,FALSE)+IF(AND(Calculator!B8=TRUE,Backdoors!BI6=TRUE),VLOOKUP(Calculator!E23,tbSkills!DH3:DJ6,3,FALSE),0),0)))/100)),1),1)</f>
        <v>0.6</v>
      </c>
      <c r="AC54" s="87">
        <f t="shared" si="47"/>
        <v>3</v>
      </c>
      <c r="AD54" s="86">
        <f>IFERROR(IF(VLOOKUP(A54,tbMoveset!A2:B112,2,FALSE)="Sever",Backdoors!AY7/100,IF(VLOOKUP(A54,tbMoveset!A2:B112,2,FALSE)="Blunt",Backdoors!AZ7/100,Backdoors!BA7/100)),"")</f>
        <v>0.65</v>
      </c>
      <c r="AE54" s="49">
        <f>IFERROR(IF(VLOOKUP(tbMoveset!A54,tbMoveset!A2:H112,8,FALSE)="Other",IF(VLOOKUP(tbMoveset!A54,tbMoveset!A2:I112,9,FALSE)="Fire",Backdoors!BB7,IF(VLOOKUP(tbMoveset!A54,tbMoveset!A2:I112,9,FALSE)="Water",Backdoors!BC7,IF(VLOOKUP(tbMoveset!A54,tbMoveset!A2:I112,9,FALSE)="Thunder",Backdoors!BD7,IF(VLOOKUP(tbMoveset!A54,tbMoveset!A2:I112,9,FALSE)="Ice",Backdoors!BE7,IF(VLOOKUP(tbMoveset!A54,tbMoveset!A2:I112,9,FALSE)="Dragon",Backdoors!BF7,Backdoors!BG7)))))/100,Backdoors!BG7/100),"")</f>
        <v>0</v>
      </c>
      <c r="AF54" s="49">
        <f>IFERROR(IF(VLOOKUP(A54,tbMoveset!A2:J112,10,FALSE)=TRUE,IF((Backdoors!AI12+IF(AD54&gt;=0.45,VLOOKUP(Calculator!E23,tbSkills!DH3:DI6,2,FALSE)+IF(AND(Calculator!B8=TRUE,Backdoors!BI7=TRUE),VLOOKUP(Calculator!E23,tbSkills!DH3:DJ6,3,FALSE),0),0))&gt;=0,1+(Backdoors!AL2*(IF((Backdoors!AI12+IF(AD54&gt;=0.45,VLOOKUP(Calculator!E23,tbSkills!DH3:DI6,2,FALSE)+IF(AND(Calculator!B8=TRUE,Backdoors!BI7=TRUE),VLOOKUP(Calculator!E23,tbSkills!DH3:DJ6,3,FALSE),0),0))&gt;=100,100,(Backdoors!AI12+IF(AD54&gt;=0.45,VLOOKUP(Calculator!E23,tbSkills!DH3:DI6,2,FALSE)+IF(AND(Calculator!B8=TRUE,Backdoors!BI7=TRUE),VLOOKUP(Calculator!E23,tbSkills!DH3:DJ6,3,FALSE),0),0)))/100)),(1-(0.25*((-Backdoors!AI12-IF(AD54&gt;=0.45,VLOOKUP(Calculator!E23,tbSkills!DH3:DI6,2,FALSE)+IF(AND(Calculator!B8=TRUE,Backdoors!BI7=TRUE),VLOOKUP(Calculator!E23,tbSkills!DH3:DJ6,3,FALSE),0),0))/100)))),1),"")</f>
        <v>1</v>
      </c>
      <c r="AG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D54)*AF54)*(VLOOKUP(A54,tbMoveset!A2:C112,3,FALSE)/100)*IF(VLOOKUP(A54,tbMoveset!A2:B112,2,FALSE)="Projectile",Backdoors!N10,Backdoors!N9),0),"")</f>
        <v>4</v>
      </c>
      <c r="AH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D54&gt;=0.45,VLOOKUP(Calculator!E23,tbSkills!DH3:DI6,2,FALSE)+IF(AND(Calculator!B8=TRUE,Backdoors!BI7=TRUE),VLOOKUP(Calculator!E23,tbSkills!DH3:DJ6,3,FALSE),0),0))&gt;=100,100,(Backdoors!AI12+IF(AD54&gt;=0.45,VLOOKUP(Calculator!E23,tbSkills!DH3:DI6,2,FALSE)+IF(AND(Calculator!B8=TRUE,Backdoors!BI7=TRUE),VLOOKUP(Calculator!E23,tbSkills!DH3:DJ6,3,FALSE),0),0)))/100)),1))*IF(VLOOKUP(A54,tbMoveset!A2:K112,11,FALSE)=TRUE,Backdoors!AC5,1))*AE54,0),"")</f>
        <v>0</v>
      </c>
      <c r="AI54" s="49">
        <f>VLOOKUP(A54,tbMoveset!A2:G112,7,FALSE)*IFERROR(IF(Backdoors!AI12&gt;=0,1+(IF(Calculator!E40&gt;0,VLOOKUP(Calculator!E40,tbSkills!AI3:AJ5,2,FALSE),Backdoors!AL4)*(IF((Backdoors!AI12+IF(AD54&gt;=0.45,VLOOKUP(Calculator!E23,tbSkills!DH3:DI6,2,FALSE)+IF(AND(Calculator!B8=TRUE,Backdoors!BI7=TRUE),VLOOKUP(Calculator!E23,tbSkills!DH3:DJ6,3,FALSE),0),0))&gt;=100,100,(Backdoors!AI12+IF(AD54&gt;=0.45,VLOOKUP(Calculator!E23,tbSkills!DH3:DI6,2,FALSE)+IF(AND(Calculator!B8=TRUE,Backdoors!BI7=TRUE),VLOOKUP(Calculator!E23,tbSkills!DH3:DJ6,3,FALSE),0),0)))/100)),1),1)</f>
        <v>0.6</v>
      </c>
      <c r="AJ54" s="87">
        <f t="shared" si="48"/>
        <v>4</v>
      </c>
      <c r="AK54" s="91">
        <f>IFERROR(IF(VLOOKUP(A54,tbMoveset!A2:B112,2,FALSE)="Sever",Backdoors!AY8/100,IF(VLOOKUP(A54,tbMoveset!A2:B112,2,FALSE)="Blunt",Backdoors!AZ8/100,Backdoors!BA8/100)),"")</f>
        <v>0.45</v>
      </c>
      <c r="AL54" s="49">
        <f>IFERROR(IF(VLOOKUP(tbMoveset!A54,tbMoveset!A2:H112,8,FALSE)="Other",IF(VLOOKUP(tbMoveset!A54,tbMoveset!A2:I112,9,FALSE)="Fire",Backdoors!BB8,IF(VLOOKUP(tbMoveset!A54,tbMoveset!A2:I112,9,FALSE)="Water",Backdoors!BC8,IF(VLOOKUP(tbMoveset!A54,tbMoveset!A2:I112,9,FALSE)="Thunder",Backdoors!BD8,IF(VLOOKUP(tbMoveset!A54,tbMoveset!A2:I112,9,FALSE)="Ice",Backdoors!BE8,IF(VLOOKUP(tbMoveset!A54,tbMoveset!A2:I112,9,FALSE)="Dragon",Backdoors!BF8,Backdoors!BG8)))))/100,Backdoors!BG8/100),"")</f>
        <v>0</v>
      </c>
      <c r="AM54" s="49">
        <f>IFERROR(IF(VLOOKUP(A54,tbMoveset!A2:J112,10,FALSE)=TRUE,IF((Backdoors!AI12+IF(AK54&gt;=0.45,VLOOKUP(Calculator!E23,tbSkills!DH3:DI6,2,FALSE)+IF(AND(Calculator!B8=TRUE,Backdoors!BI8=TRUE),VLOOKUP(Calculator!E23,tbSkills!DH3:DJ6,3,FALSE),0),0))&gt;=0,1+(Backdoors!AL2*(IF((Backdoors!AI12+IF(AK54&gt;=0.45,VLOOKUP(Calculator!E23,tbSkills!DH3:DI6,2,FALSE)+IF(AND(Calculator!B8=TRUE,Backdoors!BI8=TRUE),VLOOKUP(Calculator!E23,tbSkills!DH3:DJ6,3,FALSE),0),0))&gt;=100,100,(Backdoors!AI12+IF(AK54&gt;=0.45,VLOOKUP(Calculator!E23,tbSkills!DH3:DI6,2,FALSE)+IF(AND(Calculator!B8=TRUE,Backdoors!BI8=TRUE),VLOOKUP(Calculator!E23,tbSkills!DH3:DJ6,3,FALSE),0),0)))/100)),(1-(0.25*((-Backdoors!AI12-IF(AK54&gt;=0.45,VLOOKUP(Calculator!E23,tbSkills!DH3:DI6,2,FALSE)+IF(AND(Calculator!B8=TRUE,Backdoors!BI8=TRUE),VLOOKUP(Calculator!E23,tbSkills!DH3:DJ6,3,FALSE),0),0))/100)))),1),"")</f>
        <v>1</v>
      </c>
      <c r="AN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K54)*AM54)*(VLOOKUP(A54,tbMoveset!A2:C112,3,FALSE)/100)*IF(VLOOKUP(A54,tbMoveset!A2:B112,2,FALSE)="Projectile",Backdoors!N10,Backdoors!N9),0),"")</f>
        <v>3</v>
      </c>
      <c r="AO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K54&gt;=0.45,VLOOKUP(Calculator!E23,tbSkills!DH3:DI6,2,FALSE)+IF(AND(Calculator!B8=TRUE,Backdoors!BI8=TRUE),VLOOKUP(Calculator!E23,tbSkills!DH3:DJ6,3,FALSE),0),0))&gt;=100,100,(Backdoors!AI12+IF(AK54&gt;=0.45,VLOOKUP(Calculator!E23,tbSkills!DH3:DI6,2,FALSE)+IF(AND(Calculator!B8=TRUE,Backdoors!BI8=TRUE),VLOOKUP(Calculator!E23,tbSkills!DH3:DJ6,3,FALSE),0),0)))/100)),1))*IF(VLOOKUP(A54,tbMoveset!A2:K112,11,FALSE)=TRUE,Backdoors!AC5,1))*AL54,0),"")</f>
        <v>0</v>
      </c>
      <c r="AP54" s="49">
        <f>VLOOKUP(A54,tbMoveset!A2:G112,7,FALSE)*IFERROR(IF(Backdoors!AI12&gt;=0,1+(IF(Calculator!E40&gt;0,VLOOKUP(Calculator!E40,tbSkills!AI3:AJ5,2,FALSE),Backdoors!AL4)*(IF((Backdoors!AI12+IF(AK54&gt;=0.45,VLOOKUP(Calculator!E23,tbSkills!DH3:DI6,2,FALSE)+IF(AND(Calculator!B8=TRUE,Backdoors!BI8=TRUE),VLOOKUP(Calculator!E23,tbSkills!DH3:DJ6,3,FALSE),0),0))&gt;=100,100,(Backdoors!AI12+IF(AK54&gt;=0.45,VLOOKUP(Calculator!E23,tbSkills!DH3:DI6,2,FALSE)+IF(AND(Calculator!B8=TRUE,Backdoors!BI8=TRUE),VLOOKUP(Calculator!E23,tbSkills!DH3:DJ6,3,FALSE),0),0)))/100)),1),1)</f>
        <v>0.6</v>
      </c>
      <c r="AQ54" s="87">
        <f t="shared" si="49"/>
        <v>3</v>
      </c>
      <c r="AR54" s="86">
        <f>IFERROR(IF(VLOOKUP(A54,tbMoveset!A2:B112,2,FALSE)="Sever",Backdoors!AY9/100,IF(VLOOKUP(A54,tbMoveset!A2:B112,2,FALSE)="Blunt",Backdoors!AZ9/100,Backdoors!BA9/100)),"")</f>
        <v>0.45</v>
      </c>
      <c r="AS54" s="49">
        <f>IFERROR(IF(VLOOKUP(tbMoveset!A54,tbMoveset!A2:H112,8,FALSE)="Other",IF(VLOOKUP(tbMoveset!A54,tbMoveset!A2:I112,9,FALSE)="Fire",Backdoors!BB9,IF(VLOOKUP(tbMoveset!A54,tbMoveset!A2:I112,9,FALSE)="Water",Backdoors!BC9,IF(VLOOKUP(tbMoveset!A54,tbMoveset!A2:I112,9,FALSE)="Thunder",Backdoors!BD9,IF(VLOOKUP(tbMoveset!A54,tbMoveset!A2:I112,9,FALSE)="Ice",Backdoors!BE9,IF(VLOOKUP(tbMoveset!A54,tbMoveset!A2:I112,9,FALSE)="Dragon",Backdoors!BF9,Backdoors!BG9)))))/100,Backdoors!BG9/100),"")</f>
        <v>0</v>
      </c>
      <c r="AT54" s="49">
        <f>IFERROR(IF(VLOOKUP(A54,tbMoveset!A2:J112,10,FALSE)=TRUE,IF((Backdoors!AI12+IF(AR54&gt;=0.45,VLOOKUP(Calculator!E23,tbSkills!DH3:DI6,2,FALSE)+IF(AND(Calculator!B8=TRUE,Backdoors!BI9=TRUE),VLOOKUP(Calculator!E23,tbSkills!DH3:DJ6,3,FALSE),0),0))&gt;=0,1+(Backdoors!AL2*(IF((Backdoors!AI12+IF(AR54&gt;=0.45,VLOOKUP(Calculator!E23,tbSkills!DH3:DI6,2,FALSE)+IF(AND(Calculator!B8=TRUE,Backdoors!BI9=TRUE),VLOOKUP(Calculator!E23,tbSkills!DH3:DJ6,3,FALSE),0),0))&gt;=100,100,(Backdoors!AI12+IF(AR54&gt;=0.45,VLOOKUP(Calculator!E23,tbSkills!DH3:DI6,2,FALSE)+IF(AND(Calculator!B8=TRUE,Backdoors!BI9=TRUE),VLOOKUP(Calculator!E23,tbSkills!DH3:DJ6,3,FALSE),0),0)))/100)),(1-(0.25*((-Backdoors!AI12-IF(AR54&gt;=0.45,VLOOKUP(Calculator!E23,tbSkills!DH3:DI6,2,FALSE)+IF(AND(Calculator!B8=TRUE,Backdoors!BI9=TRUE),VLOOKUP(Calculator!E23,tbSkills!DH3:DJ6,3,FALSE),0),0))/100)))),1),"")</f>
        <v>1</v>
      </c>
      <c r="AU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R54)*AT54)*(VLOOKUP(A54,tbMoveset!A2:C112,3,FALSE)/100)*IF(VLOOKUP(A54,tbMoveset!A2:B112,2,FALSE)="Projectile",Backdoors!N10,Backdoors!N9),0),"")</f>
        <v>3</v>
      </c>
      <c r="AV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R54&gt;=0.45,VLOOKUP(Calculator!E23,tbSkills!DH3:DI6,2,FALSE)+IF(AND(Calculator!B8=TRUE,Backdoors!BI9=TRUE),VLOOKUP(Calculator!E23,tbSkills!DH3:DJ6,3,FALSE),0),0))&gt;=100,100,(Backdoors!AI12+IF(AR54&gt;=0.45,VLOOKUP(Calculator!E23,tbSkills!DH3:DI6,2,FALSE)+IF(AND(Calculator!B8=TRUE,Backdoors!BI9=TRUE),VLOOKUP(Calculator!E23,tbSkills!DH3:DJ6,3,FALSE),0),0)))/100)),1))*IF(VLOOKUP(A54,tbMoveset!A2:K112,11,FALSE)=TRUE,Backdoors!AC5,1))*AS54,0),"")</f>
        <v>0</v>
      </c>
      <c r="AW54" s="49">
        <f>VLOOKUP(A54,tbMoveset!A2:G112,7,FALSE)*IFERROR(IF(Backdoors!AI12&gt;=0,1+(IF(Calculator!E40&gt;0,VLOOKUP(Calculator!E40,tbSkills!AI3:AJ5,2,FALSE),Backdoors!AL4)*(IF((Backdoors!AI12+IF(AR54&gt;=0.45,VLOOKUP(Calculator!E23,tbSkills!DH3:DI6,2,FALSE)+IF(AND(Calculator!B8=TRUE,Backdoors!BI9=TRUE),VLOOKUP(Calculator!E23,tbSkills!DH3:DJ6,3,FALSE),0),0))&gt;=100,100,(Backdoors!AI12+IF(AR54&gt;=0.45,VLOOKUP(Calculator!E23,tbSkills!DH3:DI6,2,FALSE)+IF(AND(Calculator!B8=TRUE,Backdoors!BI9=TRUE),VLOOKUP(Calculator!E23,tbSkills!DH3:DJ6,3,FALSE),0),0)))/100)),1),1)</f>
        <v>0.6</v>
      </c>
      <c r="AX54" s="87">
        <f t="shared" si="50"/>
        <v>3</v>
      </c>
      <c r="AY54" s="86">
        <f>IFERROR(IF(VLOOKUP(A54,tbMoveset!A2:B112,2,FALSE)="Sever",Backdoors!AY10/100,IF(VLOOKUP(A54,tbMoveset!A2:B112,2,FALSE)="Blunt",Backdoors!AZ10/100,Backdoors!BA10/100)),"")</f>
        <v>0.9</v>
      </c>
      <c r="AZ54" s="49">
        <f>IFERROR(IF(VLOOKUP(tbMoveset!A54,tbMoveset!A2:H112,8,FALSE)="Other",IF(VLOOKUP(tbMoveset!A54,tbMoveset!A2:I112,9,FALSE)="Fire",Backdoors!BB10,IF(VLOOKUP(tbMoveset!A54,tbMoveset!A2:I112,9,FALSE)="Water",Backdoors!BC10,IF(VLOOKUP(tbMoveset!A54,tbMoveset!A2:I112,9,FALSE)="Thunder",Backdoors!BD10,IF(VLOOKUP(tbMoveset!A54,tbMoveset!A2:I112,9,FALSE)="Ice",Backdoors!BE10,IF(VLOOKUP(tbMoveset!A54,tbMoveset!A2:I112,9,FALSE)="Dragon",Backdoors!BF10,Backdoors!BG10)))))/100,Backdoors!BG10/100),"")</f>
        <v>0</v>
      </c>
      <c r="BA54" s="49">
        <f>IFERROR(IF(VLOOKUP(A54,tbMoveset!A2:J112,10,FALSE)=TRUE,IF((Backdoors!AI12+IF(AY54&gt;=0.45,VLOOKUP(Calculator!E23,tbSkills!DH3:DI6,2,FALSE)+IF(AND(Calculator!B8=TRUE,Backdoors!BI10=TRUE),VLOOKUP(Calculator!E23,tbSkills!DH3:DJ6,3,FALSE),0),0))&gt;=0,1+(Backdoors!AL2*(IF((Backdoors!AI12+IF(AY54&gt;=0.45,VLOOKUP(Calculator!E23,tbSkills!DH3:DI6,2,FALSE)+IF(AND(Calculator!B8=TRUE,Backdoors!BI10=TRUE),VLOOKUP(Calculator!E23,tbSkills!DH3:DJ6,3,FALSE),0),0))&gt;=100,100,(Backdoors!AI12+IF(AY54&gt;=0.45,VLOOKUP(Calculator!E23,tbSkills!DH3:DI6,2,FALSE)+IF(AND(Calculator!B8=TRUE,Backdoors!BI10=TRUE),VLOOKUP(Calculator!E23,tbSkills!DH3:DJ6,3,FALSE),0),0)))/100)),(1-(0.25*((-Backdoors!AI12-IF(AY54&gt;=0.45,VLOOKUP(Calculator!E23,tbSkills!DH3:DI6,2,FALSE)+IF(AND(Calculator!B8=TRUE,Backdoors!BI10=TRUE),VLOOKUP(Calculator!E23,tbSkills!DH3:DJ6,3,FALSE),0),0))/100)))),1),"")</f>
        <v>1</v>
      </c>
      <c r="BB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Y54)*BA54)*(VLOOKUP(A54,tbMoveset!A2:C112,3,FALSE)/100)*IF(VLOOKUP(A54,tbMoveset!A2:B112,2,FALSE)="Projectile",Backdoors!N10,Backdoors!N9),0),"")</f>
        <v>6</v>
      </c>
      <c r="BC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Y54&gt;=0.45,VLOOKUP(Calculator!E23,tbSkills!DH3:DI6,2,FALSE)+IF(AND(Calculator!B8=TRUE,Backdoors!BI10=TRUE),VLOOKUP(Calculator!E23,tbSkills!DH3:DJ6,3,FALSE),0),0))&gt;=100,100,(Backdoors!AI12+IF(AY54&gt;=0.45,VLOOKUP(Calculator!E23,tbSkills!DH3:DI6,2,FALSE)+IF(AND(Calculator!B8=TRUE,Backdoors!BI10=TRUE),VLOOKUP(Calculator!E23,tbSkills!DH3:DJ6,3,FALSE),0),0)))/100)),1))*IF(VLOOKUP(A54,tbMoveset!A2:K112,11,FALSE)=TRUE,Backdoors!AC5,1))*AZ54,0),"")</f>
        <v>0</v>
      </c>
      <c r="BD54" s="49">
        <f>VLOOKUP(A54,tbMoveset!A2:G112,7,FALSE)*IFERROR(IF(Backdoors!AI12&gt;=0,1+(IF(Calculator!E40&gt;0,VLOOKUP(Calculator!E40,tbSkills!AI3:AJ5,2,FALSE),Backdoors!AL4)*(IF((Backdoors!AI12+IF(AY54&gt;=0.45,VLOOKUP(Calculator!E23,tbSkills!DH3:DI6,2,FALSE)+IF(AND(Calculator!B8=TRUE,Backdoors!BI10=TRUE),VLOOKUP(Calculator!E23,tbSkills!DH3:DJ6,3,FALSE),0),0))&gt;=100,100,(Backdoors!AI12+IF(AY54&gt;=0.45,VLOOKUP(Calculator!E23,tbSkills!DH3:DI6,2,FALSE)+IF(AND(Calculator!B8=TRUE,Backdoors!BI10=TRUE),VLOOKUP(Calculator!E23,tbSkills!DH3:DJ6,3,FALSE),0),0)))/100)),1),1)</f>
        <v>0.6</v>
      </c>
      <c r="BE54" s="87">
        <f t="shared" si="3"/>
        <v>6</v>
      </c>
      <c r="BF54" s="86" t="str">
        <f>IFERROR(IF(VLOOKUP(A54,tbMoveset!A2:B112,2,FALSE)="Sever",Backdoors!AY11/100,IF(VLOOKUP(A54,tbMoveset!A2:B112,2,FALSE)="Blunt",Backdoors!AZ11/100,Backdoors!BA11/100)),"")</f>
        <v/>
      </c>
      <c r="BG54" s="49">
        <f>IFERROR(IF(VLOOKUP(tbMoveset!A54,tbMoveset!A2:H112,8,FALSE)="Other",IF(VLOOKUP(tbMoveset!A54,tbMoveset!A2:I112,9,FALSE)="Fire",Backdoors!BB11,IF(VLOOKUP(tbMoveset!A54,tbMoveset!A2:I112,9,FALSE)="Water",Backdoors!BC11,IF(VLOOKUP(tbMoveset!A54,tbMoveset!A2:I112,9,FALSE)="Thunder",Backdoors!BD11,IF(VLOOKUP(tbMoveset!A54,tbMoveset!A2:I112,9,FALSE)="Ice",Backdoors!BE11,IF(VLOOKUP(tbMoveset!A54,tbMoveset!A2:I112,9,FALSE)="Dragon",Backdoors!BF11,Backdoors!BG11)))))/100,Backdoors!BG11/100),"")</f>
        <v>0</v>
      </c>
      <c r="BH54" s="49">
        <f>IFERROR(IF(VLOOKUP(A54,tbMoveset!A2:J112,10,FALSE)=TRUE,IF((Backdoors!AI12+IF(BF54&gt;=0.45,VLOOKUP(Calculator!E23,tbSkills!DH3:DI6,2,FALSE)+IF(AND(Calculator!B8=TRUE,Backdoors!BI11=TRUE),VLOOKUP(Calculator!E23,tbSkills!DH3:DJ6,3,FALSE),0),0))&gt;=0,1+(Backdoors!AL2*(IF((Backdoors!AI12+IF(BF54&gt;=0.45,VLOOKUP(Calculator!E23,tbSkills!DH3:DI6,2,FALSE)+IF(AND(Calculator!B8=TRUE,Backdoors!BI11=TRUE),VLOOKUP(Calculator!E23,tbSkills!DH3:DJ6,3,FALSE),0),0))&gt;=100,100,(Backdoors!AI12+IF(BF54&gt;=0.45,VLOOKUP(Calculator!E23,tbSkills!DH3:DI6,2,FALSE)+IF(AND(Calculator!B8=TRUE,Backdoors!BI11=TRUE),VLOOKUP(Calculator!E23,tbSkills!DH3:DJ6,3,FALSE),0),0)))/100)),(1-(0.25*((-Backdoors!AI12-IF(BF54&gt;=0.45,VLOOKUP(Calculator!E23,tbSkills!DH3:DI6,2,FALSE)+IF(AND(Calculator!B8=TRUE,Backdoors!BI11=TRUE),VLOOKUP(Calculator!E23,tbSkills!DH3:DJ6,3,FALSE),0),0))/100)))),1),"")</f>
        <v>1</v>
      </c>
      <c r="BI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F54)*BH54)*(VLOOKUP(A54,tbMoveset!A2:C112,3,FALSE)/100)*IF(VLOOKUP(A54,tbMoveset!A2:B112,2,FALSE)="Projectile",Backdoors!N10,Backdoors!N9),0),"")</f>
        <v/>
      </c>
      <c r="BJ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F54&gt;=0.45,VLOOKUP(Calculator!E23,tbSkills!DH3:DI6,2,FALSE)+IF(AND(Calculator!B8=TRUE,Backdoors!BI11=TRUE),VLOOKUP(Calculator!E23,tbSkills!DH3:DJ6,3,FALSE),0),0))&gt;=100,100,(Backdoors!AI12+IF(BF54&gt;=0.45,VLOOKUP(Calculator!E23,tbSkills!DH3:DI6,2,FALSE)+IF(AND(Calculator!B8=TRUE,Backdoors!BI11=TRUE),VLOOKUP(Calculator!E23,tbSkills!DH3:DJ6,3,FALSE),0),0)))/100)),1))*IF(VLOOKUP(A54,tbMoveset!A2:K112,11,FALSE)=TRUE,Backdoors!AC5,1))*BG54,0),"")</f>
        <v>0</v>
      </c>
      <c r="BK54" s="49">
        <f>VLOOKUP(A54,tbMoveset!A2:G112,7,FALSE)*IFERROR(IF(Backdoors!AI12&gt;=0,1+(IF(Calculator!E40&gt;0,VLOOKUP(Calculator!E40,tbSkills!AI3:AJ5,2,FALSE),Backdoors!AL4)*(IF((Backdoors!AI12+IF(BF54&gt;=0.45,VLOOKUP(Calculator!E23,tbSkills!DH3:DI6,2,FALSE)+IF(AND(Calculator!B8=TRUE,Backdoors!BI11=TRUE),VLOOKUP(Calculator!E23,tbSkills!DH3:DJ6,3,FALSE),0),0))&gt;=100,100,(Backdoors!AI12+IF(BF54&gt;=0.45,VLOOKUP(Calculator!E23,tbSkills!DH3:DI6,2,FALSE)+IF(AND(Calculator!B8=TRUE,Backdoors!BI11=TRUE),VLOOKUP(Calculator!E23,tbSkills!DH3:DJ6,3,FALSE),0),0)))/100)),1),1)</f>
        <v>0.6</v>
      </c>
      <c r="BL54" s="87">
        <f t="shared" si="4"/>
        <v>0</v>
      </c>
      <c r="BM54" s="86" t="str">
        <f>IFERROR(IF(VLOOKUP(A54,tbMoveset!A2:B112,2,FALSE)="Sever",Backdoors!AY12/100,IF(VLOOKUP(A54,tbMoveset!A2:B112,2,FALSE)="Blunt",Backdoors!AZ12/100,Backdoors!BA12/100)),"")</f>
        <v/>
      </c>
      <c r="BN54" s="49">
        <f>IFERROR(IF(VLOOKUP(tbMoveset!A54,tbMoveset!A2:H112,8,FALSE)="Other",IF(VLOOKUP(tbMoveset!A54,tbMoveset!A2:I112,9,FALSE)="Fire",Backdoors!BB12,IF(VLOOKUP(tbMoveset!A54,tbMoveset!A2:I112,9,FALSE)="Water",Backdoors!BC12,IF(VLOOKUP(tbMoveset!A54,tbMoveset!A2:I112,9,FALSE)="Thunder",Backdoors!BD12,IF(VLOOKUP(tbMoveset!A54,tbMoveset!A2:I112,9,FALSE)="Ice",Backdoors!BE12,IF(VLOOKUP(tbMoveset!A54,tbMoveset!A2:I112,9,FALSE)="Dragon",Backdoors!BF12,Backdoors!BG12)))))/100,Backdoors!BG12/100),"")</f>
        <v>0</v>
      </c>
      <c r="BO54" s="49">
        <f>IFERROR(IF(VLOOKUP(A54,tbMoveset!A2:J112,10,FALSE)=TRUE,IF((Backdoors!AI12+IF(BM54&gt;=0.45,VLOOKUP(Calculator!E23,tbSkills!DH3:DI6,2,FALSE)+IF(AND(Calculator!B8=TRUE,Backdoors!BI12=TRUE),VLOOKUP(Calculator!E23,tbSkills!DH3:DJ6,3,FALSE),0),0))&gt;=0,1+(Backdoors!AL2*(IF((Backdoors!AI12+IF(BM54&gt;=0.45,VLOOKUP(Calculator!E23,tbSkills!DH3:DI6,2,FALSE)+IF(AND(Calculator!B8=TRUE,Backdoors!BI12=TRUE),VLOOKUP(Calculator!E23,tbSkills!DH3:DJ6,3,FALSE),0),0))&gt;=100,100,(Backdoors!AI12+IF(BM54&gt;=0.45,VLOOKUP(Calculator!E23,tbSkills!DH3:DI6,2,FALSE)+IF(AND(Calculator!B8=TRUE,Backdoors!BI12=TRUE),VLOOKUP(Calculator!E23,tbSkills!DH3:DJ6,3,FALSE),0),0)))/100)),(1-(0.25*((-Backdoors!AI12-IF(BM54&gt;=0.45,VLOOKUP(Calculator!E23,tbSkills!DH3:DI6,2,FALSE)+IF(AND(Calculator!B8=TRUE,Backdoors!BI12=TRUE),VLOOKUP(Calculator!E23,tbSkills!DH3:DJ6,3,FALSE),0),0))/100)))),1),"")</f>
        <v>1</v>
      </c>
      <c r="BP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M54)*BO54)*(VLOOKUP(A54,tbMoveset!A2:C112,3,FALSE)/100)*IF(VLOOKUP(A54,tbMoveset!A2:B112,2,FALSE)="Projectile",Backdoors!N10,Backdoors!N9),0),"")</f>
        <v/>
      </c>
      <c r="BQ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M54&gt;=0.45,VLOOKUP(Calculator!E23,tbSkills!DH3:DI6,2,FALSE)+IF(AND(Calculator!B8=TRUE,Backdoors!BI12=TRUE),VLOOKUP(Calculator!E23,tbSkills!DH3:DJ6,3,FALSE),0),0))&gt;=100,100,(Backdoors!AI12+IF(BM54&gt;=0.45,VLOOKUP(Calculator!E23,tbSkills!DH3:DI6,2,FALSE)+IF(AND(Calculator!B8=TRUE,Backdoors!BI12=TRUE),VLOOKUP(Calculator!E23,tbSkills!DH3:DJ6,3,FALSE),0),0)))/100)),1))*IF(VLOOKUP(A54,tbMoveset!A2:K112,11,FALSE)=TRUE,Backdoors!AC5,1))*BN54,0),"")</f>
        <v>0</v>
      </c>
      <c r="BR54" s="49">
        <f>VLOOKUP(A54,tbMoveset!A2:G112,7,FALSE)*IFERROR(IF(Backdoors!AI12&gt;=0,1+(IF(Calculator!E40&gt;0,VLOOKUP(Calculator!E40,tbSkills!AI3:AJ5,2,FALSE),Backdoors!AL4)*(IF((Backdoors!AI12+IF(BM54&gt;=0.45,VLOOKUP(Calculator!E23,tbSkills!DH3:DI6,2,FALSE)+IF(AND(Calculator!B8=TRUE,Backdoors!BI12=TRUE),VLOOKUP(Calculator!E23,tbSkills!DH3:DJ6,3,FALSE),0),0))&gt;=100,100,(Backdoors!AI12+IF(BM54&gt;=0.45,VLOOKUP(Calculator!E23,tbSkills!DH3:DI6,2,FALSE)+IF(AND(Calculator!B8=TRUE,Backdoors!BI12=TRUE),VLOOKUP(Calculator!E23,tbSkills!DH3:DJ6,3,FALSE),0),0)))/100)),1),1)</f>
        <v>0.6</v>
      </c>
      <c r="BS54" s="87">
        <f t="shared" si="39"/>
        <v>0</v>
      </c>
      <c r="BT54" s="86" t="str">
        <f>IFERROR(IF(VLOOKUP(A54,tbMoveset!A2:B112,2,FALSE)="Sever",Backdoors!AY13/100,IF(VLOOKUP(A54,tbMoveset!A2:B112,2,FALSE)="Blunt",Backdoors!AZ13/100,Backdoors!BA13/100)),"")</f>
        <v/>
      </c>
      <c r="BU54" s="49">
        <f>IFERROR(IF(VLOOKUP(tbMoveset!A54,tbMoveset!A2:H112,8,FALSE)="Other",IF(VLOOKUP(tbMoveset!A54,tbMoveset!A2:I112,9,FALSE)="Fire",Backdoors!BB13,IF(VLOOKUP(tbMoveset!A54,tbMoveset!A2:I112,9,FALSE)="Water",Backdoors!BC13,IF(VLOOKUP(tbMoveset!A54,tbMoveset!A2:I112,9,FALSE)="Thunder",Backdoors!BD13,IF(VLOOKUP(tbMoveset!A54,tbMoveset!A2:I112,9,FALSE)="Ice",Backdoors!BE13,IF(VLOOKUP(tbMoveset!A54,tbMoveset!A2:I112,9,FALSE)="Dragon",Backdoors!BF13,Backdoors!BG13)))))/100,Backdoors!BG13/100),"")</f>
        <v>0</v>
      </c>
      <c r="BV54" s="49">
        <f>IFERROR(IF(VLOOKUP(A54,tbMoveset!A2:J112,10,FALSE)=TRUE,IF((Backdoors!AI12+IF(BT54&gt;=0.45,VLOOKUP(Calculator!E23,tbSkills!DH3:DI6,2,FALSE)+IF(AND(Calculator!B8=TRUE,Backdoors!BI13=TRUE),VLOOKUP(Calculator!E23,tbSkills!DH3:DJ6,3,FALSE),0),0))&gt;=0,1+(Backdoors!AL2*(IF((Backdoors!AI12+IF(BT54&gt;=0.45,VLOOKUP(Calculator!E23,tbSkills!DH3:DI6,2,FALSE)+IF(AND(Calculator!B8=TRUE,Backdoors!BI13=TRUE),VLOOKUP(Calculator!E23,tbSkills!DH3:DJ6,3,FALSE),0),0))&gt;=100,100,(Backdoors!AI12+IF(BT54&gt;=0.45,VLOOKUP(Calculator!E23,tbSkills!DH3:DI6,2,FALSE)+IF(AND(Calculator!B8=TRUE,Backdoors!BI13=TRUE),VLOOKUP(Calculator!E23,tbSkills!DH3:DJ6,3,FALSE),0),0)))/100)),(1-(0.25*((-Backdoors!AI12-IF(BT54&gt;=0.45,VLOOKUP(Calculator!E23,tbSkills!DH3:DI6,2,FALSE)+IF(AND(Calculator!B8=TRUE,Backdoors!BI13=TRUE),VLOOKUP(Calculator!E23,tbSkills!DH3:DJ6,3,FALSE),0),0))/100)))),1),"")</f>
        <v>1</v>
      </c>
      <c r="BW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T54)*BV54)*(VLOOKUP(A54,tbMoveset!A2:C112,3,FALSE)/100)*IF(VLOOKUP(A54,tbMoveset!A2:B112,2,FALSE)="Projectile",Backdoors!N10,Backdoors!N9),0),"")</f>
        <v/>
      </c>
      <c r="BX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T54&gt;=0.45,VLOOKUP(Calculator!E23,tbSkills!DH3:DI6,2,FALSE)+IF(AND(Calculator!B8=TRUE,Backdoors!BI13=TRUE),VLOOKUP(Calculator!E23,tbSkills!DH3:DJ6,3,FALSE),0),0))&gt;=100,100,(Backdoors!AI12+IF(BT54&gt;=0.45,VLOOKUP(Calculator!E23,tbSkills!DH3:DI6,2,FALSE)+IF(AND(Calculator!B8=TRUE,Backdoors!BI13=TRUE),VLOOKUP(Calculator!E23,tbSkills!DH3:DJ6,3,FALSE),0),0)))/100)),1))*IF(VLOOKUP(A54,tbMoveset!A2:K112,11,FALSE)=TRUE,Backdoors!AC5,1))*BU54,0),"")</f>
        <v>0</v>
      </c>
      <c r="BY54" s="49">
        <f>VLOOKUP(A54,tbMoveset!A2:G112,7,FALSE)*IFERROR(IF(Backdoors!AI12&gt;=0,1+(IF(Calculator!E40&gt;0,VLOOKUP(Calculator!E40,tbSkills!AI3:AJ5,2,FALSE),Backdoors!AL4)*(IF((Backdoors!AI12+IF(BT54&gt;=0.45,VLOOKUP(Calculator!E23,tbSkills!DH3:DI6,2,FALSE)+IF(AND(Calculator!B8=TRUE,Backdoors!BI13=TRUE),VLOOKUP(Calculator!E23,tbSkills!DH3:DJ6,3,FALSE),0),0))&gt;=100,100,(Backdoors!AI12+IF(BT54&gt;=0.45,VLOOKUP(Calculator!E23,tbSkills!DH3:DI6,2,FALSE)+IF(AND(Calculator!B8=TRUE,Backdoors!BI13=TRUE),VLOOKUP(Calculator!E23,tbSkills!DH3:DJ6,3,FALSE),0),0)))/100)),1),1)</f>
        <v>0.6</v>
      </c>
      <c r="BZ54" s="87">
        <f t="shared" si="5"/>
        <v>0</v>
      </c>
      <c r="CA54" s="86" t="str">
        <f>IFERROR(IF(VLOOKUP(A54,tbMoveset!A2:B112,2,FALSE)="Sever",Backdoors!AY14/100,IF(VLOOKUP(A54,tbMoveset!A2:B112,2,FALSE)="Blunt",Backdoors!AZ14/100,Backdoors!BA14/100)),"")</f>
        <v/>
      </c>
      <c r="CB54" s="49">
        <f>IFERROR(IF(VLOOKUP(tbMoveset!A54,tbMoveset!A2:H112,8,FALSE)="Other",IF(VLOOKUP(tbMoveset!A54,tbMoveset!A2:I112,9,FALSE)="Fire",Backdoors!BB14,IF(VLOOKUP(tbMoveset!A54,tbMoveset!A2:I112,9,FALSE)="Water",Backdoors!BC14,IF(VLOOKUP(tbMoveset!A54,tbMoveset!A2:I112,9,FALSE)="Thunder",Backdoors!BD14,IF(VLOOKUP(tbMoveset!A54,tbMoveset!A2:I112,9,FALSE)="Ice",Backdoors!BE14,IF(VLOOKUP(tbMoveset!A54,tbMoveset!A2:I112,9,FALSE)="Dragon",Backdoors!BF14,Backdoors!BG14)))))/100,Backdoors!BG14/100),"")</f>
        <v>0</v>
      </c>
      <c r="CC54" s="49">
        <f>IFERROR(IF(VLOOKUP(A54,tbMoveset!A2:J112,10,FALSE)=TRUE,IF((Backdoors!AI12+IF(CA54&gt;=0.45,VLOOKUP(Calculator!E23,tbSkills!DH3:DI6,2,FALSE)+IF(AND(Calculator!B8=TRUE,Backdoors!BI14=TRUE),VLOOKUP(Calculator!E23,tbSkills!DH3:DJ6,3,FALSE),0),0))&gt;=0,1+(Backdoors!AL2*(IF((Backdoors!AI12+IF(CA54&gt;=0.45,VLOOKUP(Calculator!E23,tbSkills!DH3:DI6,2,FALSE)+IF(AND(Calculator!B8=TRUE,Backdoors!BI14=TRUE),VLOOKUP(Calculator!E23,tbSkills!DH3:DJ6,3,FALSE),0),0))&gt;=100,100,(Backdoors!AI12+IF(CA54&gt;=0.45,VLOOKUP(Calculator!E23,tbSkills!DH3:DI6,2,FALSE)+IF(AND(Calculator!B8=TRUE,Backdoors!BI14=TRUE),VLOOKUP(Calculator!E23,tbSkills!DH3:DJ6,3,FALSE),0),0)))/100)),(1-(0.25*((-Backdoors!AI12-IF(CA54&gt;=0.45,VLOOKUP(Calculator!E23,tbSkills!DH3:DI6,2,FALSE)+IF(AND(Calculator!B8=TRUE,Backdoors!BI14=TRUE),VLOOKUP(Calculator!E23,tbSkills!DH3:DJ6,3,FALSE),0),0))/100)))),1),"")</f>
        <v>1</v>
      </c>
      <c r="CD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A54)*CC54)*(VLOOKUP(A54,tbMoveset!A2:C112,3,FALSE)/100)*IF(VLOOKUP(A54,tbMoveset!A2:B112,2,FALSE)="Projectile",Backdoors!N10,Backdoors!N9),0),"")</f>
        <v/>
      </c>
      <c r="CE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A54&gt;=0.45,VLOOKUP(Calculator!E23,tbSkills!DH3:DI6,2,FALSE)+IF(AND(Calculator!B8=TRUE,Backdoors!BI14=TRUE),VLOOKUP(Calculator!E23,tbSkills!DH3:DJ6,3,FALSE),0),0))&gt;=100,100,(Backdoors!AI12+IF(CA54&gt;=0.45,VLOOKUP(Calculator!E23,tbSkills!DH3:DI6,2,FALSE)+IF(AND(Calculator!B8=TRUE,Backdoors!BI14=TRUE),VLOOKUP(Calculator!E23,tbSkills!DH3:DJ6,3,FALSE),0),0)))/100)),1))*IF(VLOOKUP(A54,tbMoveset!A2:K112,11,FALSE)=TRUE,Backdoors!AC5,1))*CB54,0),"")</f>
        <v>0</v>
      </c>
      <c r="CF54" s="49">
        <f>VLOOKUP(A54,tbMoveset!A2:G112,7,FALSE)*IFERROR(IF(Backdoors!AI12&gt;=0,1+(IF(Calculator!E40&gt;0,VLOOKUP(Calculator!E40,tbSkills!AI3:AJ5,2,FALSE),Backdoors!AL4)*(IF((Backdoors!AI12+IF(CA54&gt;=0.45,VLOOKUP(Calculator!E23,tbSkills!DH3:DI6,2,FALSE)+IF(AND(Calculator!B8=TRUE,Backdoors!BI14=TRUE),VLOOKUP(Calculator!E23,tbSkills!DH3:DJ6,3,FALSE),0),0))&gt;=100,100,(Backdoors!AI12+IF(CA54&gt;=0.45,VLOOKUP(Calculator!E23,tbSkills!DH3:DI6,2,FALSE)+IF(AND(Calculator!B8=TRUE,Backdoors!BI14=TRUE),VLOOKUP(Calculator!E23,tbSkills!DH3:DJ6,3,FALSE),0),0)))/100)),1),1)</f>
        <v>0.6</v>
      </c>
      <c r="CG54" s="87">
        <f t="shared" si="6"/>
        <v>0</v>
      </c>
      <c r="CH54" s="86" t="str">
        <f>IFERROR(IF(VLOOKUP(A54,tbMoveset!A2:B112,2,FALSE)="Sever",Backdoors!AY15/100,IF(VLOOKUP(A54,tbMoveset!A2:B112,2,FALSE)="Blunt",Backdoors!AZ15/100,Backdoors!BA15/100)),"")</f>
        <v/>
      </c>
      <c r="CI54" s="49">
        <f>IFERROR(IF(VLOOKUP(tbMoveset!A54,tbMoveset!A2:H112,8,FALSE)="Other",IF(VLOOKUP(tbMoveset!A54,tbMoveset!A2:I112,9,FALSE)="Fire",Backdoors!BB15,IF(VLOOKUP(tbMoveset!A54,tbMoveset!A2:I112,9,FALSE)="Water",Backdoors!BC15,IF(VLOOKUP(tbMoveset!A54,tbMoveset!A2:I112,9,FALSE)="Thunder",Backdoors!BD15,IF(VLOOKUP(tbMoveset!A54,tbMoveset!A2:I112,9,FALSE)="Ice",Backdoors!BE15,IF(VLOOKUP(tbMoveset!A54,tbMoveset!A2:I112,9,FALSE)="Dragon",Backdoors!BF15,Backdoors!BG15)))))/100,Backdoors!BG15/100),"")</f>
        <v>0</v>
      </c>
      <c r="CJ54" s="49">
        <f>IFERROR(IF(VLOOKUP(A54,tbMoveset!A2:J112,10,FALSE)=TRUE,IF((Backdoors!AI12+IF(CH54&gt;=0.45,VLOOKUP(Calculator!E23,tbSkills!DH3:DI6,2,FALSE)+IF(AND(Calculator!B8=TRUE,Backdoors!BI15=TRUE),VLOOKUP(Calculator!E23,tbSkills!DH3:DJ6,3,FALSE),0),0))&gt;=0,1+(Backdoors!AL2*(IF((Backdoors!AI12+IF(CH54&gt;=0.45,VLOOKUP(Calculator!E23,tbSkills!DH3:DI6,2,FALSE)+IF(AND(Calculator!B8=TRUE,Backdoors!BI15=TRUE),VLOOKUP(Calculator!E23,tbSkills!DH3:DJ6,3,FALSE),0),0))&gt;=100,100,(Backdoors!AI12+IF(CH54&gt;=0.45,VLOOKUP(Calculator!E23,tbSkills!DH3:DI6,2,FALSE)+IF(AND(Calculator!B8=TRUE,Backdoors!BI15=TRUE),VLOOKUP(Calculator!E23,tbSkills!DH3:DJ6,3,FALSE),0),0)))/100)),(1-(0.25*((-Backdoors!AI12-IF(CH54&gt;=0.45,VLOOKUP(Calculator!E23,tbSkills!DH3:DI6,2,FALSE)+IF(AND(Calculator!B8=TRUE,Backdoors!BI15=TRUE),VLOOKUP(Calculator!E23,tbSkills!DH3:DJ6,3,FALSE),0),0))/100)))),1),"")</f>
        <v>1</v>
      </c>
      <c r="CK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H54)*CJ54)*(VLOOKUP(A54,tbMoveset!A2:C112,3,FALSE)/100)*IF(VLOOKUP(A54,tbMoveset!A2:B112,2,FALSE)="Projectile",Backdoors!N10,Backdoors!N9),0),"")</f>
        <v/>
      </c>
      <c r="CL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H54&gt;=0.45,VLOOKUP(Calculator!E23,tbSkills!DH3:DI6,2,FALSE)+IF(AND(Calculator!B8=TRUE,Backdoors!BI15=TRUE),VLOOKUP(Calculator!E23,tbSkills!DH3:DJ6,3,FALSE),0),0))&gt;=100,100,(Backdoors!AI12+IF(CH54&gt;=0.45,VLOOKUP(Calculator!E23,tbSkills!DH3:DI6,2,FALSE)+IF(AND(Calculator!B8=TRUE,Backdoors!BI15=TRUE),VLOOKUP(Calculator!E23,tbSkills!DH3:DJ6,3,FALSE),0),0)))/100)),1))*IF(VLOOKUP(A54,tbMoveset!A2:K112,11,FALSE)=TRUE,Backdoors!AC5,1))*CI54,0),"")</f>
        <v>0</v>
      </c>
      <c r="CM54" s="49">
        <f>VLOOKUP(A54,tbMoveset!A2:G112,7,FALSE)*IFERROR(IF(Backdoors!AI12&gt;=0,1+(IF(Calculator!E40&gt;0,VLOOKUP(Calculator!E40,tbSkills!AI3:AJ5,2,FALSE),Backdoors!AL4)*(IF((Backdoors!AI12+IF(CH54&gt;=0.45,VLOOKUP(Calculator!E23,tbSkills!DH3:DI6,2,FALSE)+IF(AND(Calculator!B8=TRUE,Backdoors!BI15=TRUE),VLOOKUP(Calculator!E23,tbSkills!DH3:DJ6,3,FALSE),0),0))&gt;=100,100,(Backdoors!AI12+IF(CH54&gt;=0.45,VLOOKUP(Calculator!E23,tbSkills!DH3:DI6,2,FALSE)+IF(AND(Calculator!B8=TRUE,Backdoors!BI15=TRUE),VLOOKUP(Calculator!E23,tbSkills!DH3:DJ6,3,FALSE),0),0)))/100)),1),1)</f>
        <v>0.6</v>
      </c>
      <c r="CN54" s="87">
        <f t="shared" si="7"/>
        <v>0</v>
      </c>
      <c r="CO54" s="86" t="str">
        <f>IFERROR(IF(VLOOKUP(A54,tbMoveset!A2:B112,2,FALSE)="Sever",Backdoors!AY16/100,IF(VLOOKUP(A54,tbMoveset!A2:B112,2,FALSE)="Blunt",Backdoors!AZ16/100,Backdoors!BA16/100)),"")</f>
        <v/>
      </c>
      <c r="CP54" s="49">
        <f>IFERROR(IF(VLOOKUP(tbMoveset!A54,tbMoveset!A2:H112,8,FALSE)="Other",IF(VLOOKUP(tbMoveset!A54,tbMoveset!A2:I112,9,FALSE)="Fire",Backdoors!BB16,IF(VLOOKUP(tbMoveset!A54,tbMoveset!A2:I112,9,FALSE)="Water",Backdoors!BC16,IF(VLOOKUP(tbMoveset!A54,tbMoveset!A2:I112,9,FALSE)="Thunder",Backdoors!BD16,IF(VLOOKUP(tbMoveset!A54,tbMoveset!A2:I112,9,FALSE)="Ice",Backdoors!BE16,IF(VLOOKUP(tbMoveset!A54,tbMoveset!A2:I112,9,FALSE)="Dragon",Backdoors!BF16,Backdoors!BG16)))))/100,Backdoors!BG16/100),"")</f>
        <v>0</v>
      </c>
      <c r="CQ54" s="49">
        <f>IFERROR(IF(VLOOKUP(A54,tbMoveset!A2:J112,10,FALSE)=TRUE,IF((Backdoors!AI12+IF(CO54&gt;=0.45,VLOOKUP(Calculator!E23,tbSkills!DH3:DI6,2,FALSE)+IF(AND(Calculator!B8=TRUE,Backdoors!BI16=TRUE),VLOOKUP(Calculator!E23,tbSkills!DH3:DJ6,3,FALSE),0),0))&gt;=0,1+(Backdoors!AL2*(IF((Backdoors!AI12+IF(CO54&gt;=0.45,VLOOKUP(Calculator!E23,tbSkills!DH3:DI6,2,FALSE)+IF(AND(Calculator!B8=TRUE,Backdoors!BI16=TRUE),VLOOKUP(Calculator!E23,tbSkills!DH3:DJ6,3,FALSE),0),0))&gt;=100,100,(Backdoors!AI12+IF(CO54&gt;=0.45,VLOOKUP(Calculator!E23,tbSkills!DH3:DI6,2,FALSE)+IF(AND(Calculator!B8=TRUE,Backdoors!BI16=TRUE),VLOOKUP(Calculator!E23,tbSkills!DH3:DJ6,3,FALSE),0),0)))/100)),(1-(0.25*((-Backdoors!AI12-IF(CO54&gt;=0.45,VLOOKUP(Calculator!E23,tbSkills!DH3:DI6,2,FALSE)+IF(AND(Calculator!B8=TRUE,Backdoors!BI16=TRUE),VLOOKUP(Calculator!E23,tbSkills!DH3:DJ6,3,FALSE),0),0))/100)))),1),"")</f>
        <v>1</v>
      </c>
      <c r="CR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O54)*CQ54)*(VLOOKUP(A54,tbMoveset!A2:C112,3,FALSE)/100)*IF(VLOOKUP(A54,tbMoveset!A2:B112,2,FALSE)="Projectile",Backdoors!N10,Backdoors!N9),0),"")</f>
        <v/>
      </c>
      <c r="CS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O54&gt;=0.45,VLOOKUP(Calculator!E23,tbSkills!DH3:DI6,2,FALSE)+IF(AND(Calculator!B8=TRUE,Backdoors!BI16=TRUE),VLOOKUP(Calculator!E23,tbSkills!DH3:DJ6,3,FALSE),0),0))&gt;=100,100,(Backdoors!AI12+IF(CO54&gt;=0.45,VLOOKUP(Calculator!E23,tbSkills!DH3:DI6,2,FALSE)+IF(AND(Calculator!B8=TRUE,Backdoors!BI16=TRUE),VLOOKUP(Calculator!E23,tbSkills!DH3:DJ6,3,FALSE),0),0)))/100)),1))*IF(VLOOKUP(A54,tbMoveset!A2:K112,11,FALSE)=TRUE,Backdoors!AC5,1))*CP54,0),"")</f>
        <v>0</v>
      </c>
      <c r="CT54" s="49">
        <f>VLOOKUP(A54,tbMoveset!A2:G112,7,FALSE)*IFERROR(IF(Backdoors!AI12&gt;=0,1+(IF(Calculator!E40&gt;0,VLOOKUP(Calculator!E40,tbSkills!AI3:AJ5,2,FALSE),Backdoors!AL4)*(IF((Backdoors!AI12+IF(CO54&gt;=0.45,VLOOKUP(Calculator!E23,tbSkills!DH3:DI6,2,FALSE)+IF(AND(Calculator!B8=TRUE,Backdoors!BI16=TRUE),VLOOKUP(Calculator!E23,tbSkills!DH3:DJ6,3,FALSE),0),0))&gt;=100,100,(Backdoors!AI12+IF(CO54&gt;=0.45,VLOOKUP(Calculator!E23,tbSkills!DH3:DI6,2,FALSE)+IF(AND(Calculator!B8=TRUE,Backdoors!BI16=TRUE),VLOOKUP(Calculator!E23,tbSkills!DH3:DJ6,3,FALSE),0),0)))/100)),1),1)</f>
        <v>0.6</v>
      </c>
      <c r="CU54" s="87">
        <f t="shared" si="40"/>
        <v>0</v>
      </c>
      <c r="CV54" s="86" t="str">
        <f>IFERROR(IF(VLOOKUP(A54,tbMoveset!A2:B112,2,FALSE)="Sever",Backdoors!AY17/100,IF(VLOOKUP(A54,tbMoveset!A2:B112,2,FALSE)="Blunt",Backdoors!AZ17/100,Backdoors!BA17/100)),"")</f>
        <v/>
      </c>
      <c r="CW54" s="49">
        <f>IFERROR(IF(VLOOKUP(tbMoveset!A54,tbMoveset!A2:H112,8,FALSE)="Other",IF(VLOOKUP(tbMoveset!A54,tbMoveset!A2:I112,9,FALSE)="Fire",Backdoors!BB17,IF(VLOOKUP(tbMoveset!A54,tbMoveset!A2:I112,9,FALSE)="Water",Backdoors!BC17,IF(VLOOKUP(tbMoveset!A54,tbMoveset!A2:I112,9,FALSE)="Thunder",Backdoors!BD17,IF(VLOOKUP(tbMoveset!A54,tbMoveset!A2:I112,9,FALSE)="Ice",Backdoors!BE17,IF(VLOOKUP(tbMoveset!A54,tbMoveset!A2:I112,9,FALSE)="Dragon",Backdoors!BF17,Backdoors!BG17)))))/100,Backdoors!BG17/100),"")</f>
        <v>0</v>
      </c>
      <c r="CX54" s="49">
        <f>IFERROR(IF(VLOOKUP(A54,tbMoveset!A2:J112,10,FALSE)=TRUE,IF((Backdoors!AI12+IF(CV54&gt;=0.45,VLOOKUP(Calculator!E23,tbSkills!DH3:DI6,2,FALSE)+IF(AND(Calculator!B8=TRUE,Backdoors!BI17=TRUE),VLOOKUP(Calculator!E23,tbSkills!DH3:DJ6,3,FALSE),0),0))&gt;=0,1+(Backdoors!AL2*(IF((Backdoors!AI12+IF(CV54&gt;=0.45,VLOOKUP(Calculator!E23,tbSkills!DH3:DI6,2,FALSE)+IF(AND(Calculator!B8=TRUE,Backdoors!BI17=TRUE),VLOOKUP(Calculator!E23,tbSkills!DH3:DJ6,3,FALSE),0),0))&gt;=100,100,(Backdoors!AI12+IF(CV54&gt;=0.45,VLOOKUP(Calculator!E23,tbSkills!DH3:DI6,2,FALSE)+IF(AND(Calculator!B8=TRUE,Backdoors!BI17=TRUE),VLOOKUP(Calculator!E23,tbSkills!DH3:DJ6,3,FALSE),0),0)))/100)),(1-(0.25*((-Backdoors!AI12-IF(CV54&gt;=0.45,VLOOKUP(Calculator!E23,tbSkills!DH3:DI6,2,FALSE)+IF(AND(Calculator!B8=TRUE,Backdoors!BI17=TRUE),VLOOKUP(Calculator!E23,tbSkills!DH3:DJ6,3,FALSE),0),0))/100)))),1),"")</f>
        <v>1</v>
      </c>
      <c r="CY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V54)*CX54)*(VLOOKUP(A54,tbMoveset!A2:C112,3,FALSE)/100)*IF(VLOOKUP(A54,tbMoveset!A2:B112,2,FALSE)="Projectile",Backdoors!N10,Backdoors!N9),0),"")</f>
        <v/>
      </c>
      <c r="CZ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V54&gt;=0.45,VLOOKUP(Calculator!E23,tbSkills!DH3:DI6,2,FALSE)+IF(AND(Calculator!B8=TRUE,Backdoors!BI17=TRUE),VLOOKUP(Calculator!E23,tbSkills!DH3:DJ6,3,FALSE),0),0))&gt;=100,100,(Backdoors!AI12+IF(CV54&gt;=0.45,VLOOKUP(Calculator!E23,tbSkills!DH3:DI6,2,FALSE)+IF(AND(Calculator!B8=TRUE,Backdoors!BI17=TRUE),VLOOKUP(Calculator!E23,tbSkills!DH3:DJ6,3,FALSE),0),0)))/100)),1))*IF(VLOOKUP(A54,tbMoveset!A2:K112,11,FALSE)=TRUE,Backdoors!AC5,1))*CW54,0),"")</f>
        <v>0</v>
      </c>
      <c r="DA54" s="49">
        <f>VLOOKUP(A54,tbMoveset!A2:G112,7,FALSE)*IFERROR(IF(Backdoors!AI12&gt;=0,1+(IF(Calculator!E40&gt;0,VLOOKUP(Calculator!E40,tbSkills!AI3:AJ5,2,FALSE),Backdoors!AL4)*(IF((Backdoors!AI12+IF(CV54&gt;=0.45,VLOOKUP(Calculator!E23,tbSkills!DH3:DI6,2,FALSE)+IF(AND(Calculator!B8=TRUE,Backdoors!BI17=TRUE),VLOOKUP(Calculator!E23,tbSkills!DH3:DJ6,3,FALSE),0),0))&gt;=100,100,(Backdoors!AI12+IF(CV54&gt;=0.45,VLOOKUP(Calculator!E23,tbSkills!DH3:DI6,2,FALSE)+IF(AND(Calculator!B8=TRUE,Backdoors!BI17=TRUE),VLOOKUP(Calculator!E23,tbSkills!DH3:DJ6,3,FALSE),0),0)))/100)),1),1)</f>
        <v>0.6</v>
      </c>
      <c r="DB54" s="87">
        <f t="shared" si="8"/>
        <v>0</v>
      </c>
      <c r="DC54" s="86" t="str">
        <f>IFERROR(IF(VLOOKUP(A54,tbMoveset!A2:B112,2,FALSE)="Sever",Backdoors!AY18/100,IF(VLOOKUP(A54,tbMoveset!A2:B112,2,FALSE)="Blunt",Backdoors!AZ18/100,Backdoors!BA18/100)),"")</f>
        <v/>
      </c>
      <c r="DD54" s="49">
        <f>IFERROR(IF(VLOOKUP(tbMoveset!A54,tbMoveset!A2:H112,8,FALSE)="Other",IF(VLOOKUP(tbMoveset!A54,tbMoveset!A2:I112,9,FALSE)="Fire",Backdoors!BB18,IF(VLOOKUP(tbMoveset!A54,tbMoveset!A2:I112,9,FALSE)="Water",Backdoors!BC18,IF(VLOOKUP(tbMoveset!A54,tbMoveset!A2:I112,9,FALSE)="Thunder",Backdoors!BD18,IF(VLOOKUP(tbMoveset!A54,tbMoveset!A2:I112,9,FALSE)="Ice",Backdoors!BE18,IF(VLOOKUP(tbMoveset!A54,tbMoveset!A2:I112,9,FALSE)="Dragon",Backdoors!BF18,Backdoors!BG18)))))/100,Backdoors!BG18/100),"")</f>
        <v>0</v>
      </c>
      <c r="DE54" s="49">
        <f>IFERROR(IF(VLOOKUP(A54,tbMoveset!A2:J112,10,FALSE)=TRUE,IF((Backdoors!AI12+IF(DC54&gt;=0.45,VLOOKUP(Calculator!E23,tbSkills!DH3:DI6,2,FALSE)+IF(AND(Calculator!B8=TRUE,Backdoors!BI18=TRUE),VLOOKUP(Calculator!E23,tbSkills!DH3:DJ6,3,FALSE),0),0))&gt;=0,1+(Backdoors!AL2*(IF((Backdoors!AI12+IF(DC54&gt;=0.45,VLOOKUP(Calculator!E23,tbSkills!DH3:DI6,2,FALSE)+IF(AND(Calculator!B8=TRUE,Backdoors!BI18=TRUE),VLOOKUP(Calculator!E23,tbSkills!DH3:DJ6,3,FALSE),0),0))&gt;=100,100,(Backdoors!AI12+IF(DC54&gt;=0.45,VLOOKUP(Calculator!E23,tbSkills!DH3:DI6,2,FALSE)+IF(AND(Calculator!B8=TRUE,Backdoors!BI18=TRUE),VLOOKUP(Calculator!E23,tbSkills!DH3:DJ6,3,FALSE),0),0)))/100)),(1-(0.25*((-Backdoors!AI12-IF(DC54&gt;=0.45,VLOOKUP(Calculator!E23,tbSkills!DH3:DI6,2,FALSE)+IF(AND(Calculator!B8=TRUE,Backdoors!BI18=TRUE),VLOOKUP(Calculator!E23,tbSkills!DH3:DJ6,3,FALSE),0),0))/100)))),1),"")</f>
        <v>1</v>
      </c>
      <c r="DF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C54)*DE54)*(VLOOKUP(A54,tbMoveset!A2:C112,3,FALSE)/100)*IF(VLOOKUP(A54,tbMoveset!A2:B112,2,FALSE)="Projectile",Backdoors!N10,Backdoors!N9),0),"")</f>
        <v/>
      </c>
      <c r="DG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C54&gt;=0.45,VLOOKUP(Calculator!E23,tbSkills!DH3:DI6,2,FALSE)+IF(AND(Calculator!B8=TRUE,Backdoors!BI18=TRUE),VLOOKUP(Calculator!E23,tbSkills!DH3:DJ6,3,FALSE),0),0))&gt;=100,100,(Backdoors!AI12+IF(DC54&gt;=0.45,VLOOKUP(Calculator!E23,tbSkills!DH3:DI6,2,FALSE)+IF(AND(Calculator!B8=TRUE,Backdoors!BI18=TRUE),VLOOKUP(Calculator!E23,tbSkills!DH3:DJ6,3,FALSE),0),0)))/100)),1))*IF(VLOOKUP(A54,tbMoveset!A2:K112,11,FALSE)=TRUE,Backdoors!AC5,1))*DD54,0),"")</f>
        <v>0</v>
      </c>
      <c r="DH54" s="49">
        <f>VLOOKUP(A54,tbMoveset!A2:G112,7,FALSE)*IFERROR(IF(Backdoors!AI12&gt;=0,1+(IF(Calculator!E40&gt;0,VLOOKUP(Calculator!E40,tbSkills!AI3:AJ5,2,FALSE),Backdoors!AL4)*(IF((Backdoors!AI12+IF(DC54&gt;=0.45,VLOOKUP(Calculator!E23,tbSkills!DH3:DI6,2,FALSE)+IF(AND(Calculator!B8=TRUE,Backdoors!BI18=TRUE),VLOOKUP(Calculator!E23,tbSkills!DH3:DJ6,3,FALSE),0),0))&gt;=100,100,(Backdoors!AI12+IF(DC54&gt;=0.45,VLOOKUP(Calculator!E23,tbSkills!DH3:DI6,2,FALSE)+IF(AND(Calculator!B8=TRUE,Backdoors!BI18=TRUE),VLOOKUP(Calculator!E23,tbSkills!DH3:DJ6,3,FALSE),0),0)))/100)),1),1)</f>
        <v>0.6</v>
      </c>
      <c r="DI54" s="87">
        <f t="shared" si="9"/>
        <v>0</v>
      </c>
      <c r="DJ54" s="86" t="str">
        <f>IFERROR(IF(VLOOKUP(A54,tbMoveset!A2:B112,2,FALSE)="Sever",Backdoors!AY19/100,IF(VLOOKUP(A54,tbMoveset!A2:B112,2,FALSE)="Blunt",Backdoors!AZ19/100,Backdoors!BA19/100)),"")</f>
        <v/>
      </c>
      <c r="DK54" s="49">
        <f>IFERROR(IF(VLOOKUP(tbMoveset!A54,tbMoveset!A2:H112,8,FALSE)="Other",IF(VLOOKUP(tbMoveset!A54,tbMoveset!A2:I112,9,FALSE)="Fire",Backdoors!BB19,IF(VLOOKUP(tbMoveset!A54,tbMoveset!A2:I112,9,FALSE)="Water",Backdoors!BC19,IF(VLOOKUP(tbMoveset!A54,tbMoveset!A2:I112,9,FALSE)="Thunder",Backdoors!BD19,IF(VLOOKUP(tbMoveset!A54,tbMoveset!A2:I112,9,FALSE)="Ice",Backdoors!BE19,IF(VLOOKUP(tbMoveset!A54,tbMoveset!A2:I112,9,FALSE)="Dragon",Backdoors!BF19,Backdoors!BG19)))))/100,Backdoors!BG19/100),"")</f>
        <v>0</v>
      </c>
      <c r="DL54" s="49">
        <f>IFERROR(IF(VLOOKUP(A54,tbMoveset!A2:J112,10,FALSE)=TRUE,IF((Backdoors!AI12+IF(DJ54&gt;=0.45,VLOOKUP(Calculator!E23,tbSkills!DH3:DI6,2,FALSE)+IF(AND(Calculator!B8=TRUE,Backdoors!BI19=TRUE),VLOOKUP(Calculator!E23,tbSkills!DH3:DJ6,3,FALSE),0),0))&gt;=0,1+(Backdoors!AL2*(IF((Backdoors!AI12+IF(DJ54&gt;=0.45,VLOOKUP(Calculator!E23,tbSkills!DH3:DI6,2,FALSE)+IF(AND(Calculator!B8=TRUE,Backdoors!BI19=TRUE),VLOOKUP(Calculator!E23,tbSkills!DH3:DJ6,3,FALSE),0),0))&gt;=100,100,(Backdoors!AI12+IF(DJ54&gt;=0.45,VLOOKUP(Calculator!E23,tbSkills!DH3:DI6,2,FALSE)+IF(AND(Calculator!B8=TRUE,Backdoors!BI19=TRUE),VLOOKUP(Calculator!E23,tbSkills!DH3:DJ6,3,FALSE),0),0)))/100)),(1-(0.25*((-Backdoors!AI12-IF(DJ54&gt;=0.45,VLOOKUP(Calculator!E23,tbSkills!DH3:DI6,2,FALSE)+IF(AND(Calculator!B8=TRUE,Backdoors!BI19=TRUE),VLOOKUP(Calculator!E23,tbSkills!DH3:DJ6,3,FALSE),0),0))/100)))),1),"")</f>
        <v>1</v>
      </c>
      <c r="DM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J54)*DL54)*(VLOOKUP(A54,tbMoveset!A2:C112,3,FALSE)/100)*IF(VLOOKUP(A54,tbMoveset!A2:B112,2,FALSE)="Projectile",Backdoors!N10,Backdoors!N9),0),"")</f>
        <v/>
      </c>
      <c r="DN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J54&gt;=0.45,VLOOKUP(Calculator!E23,tbSkills!DH3:DI6,2,FALSE)+IF(AND(Calculator!B8=TRUE,Backdoors!BI19=TRUE),VLOOKUP(Calculator!E23,tbSkills!DH3:DJ6,3,FALSE),0),0))&gt;=100,100,(Backdoors!AI12+IF(DJ54&gt;=0.45,VLOOKUP(Calculator!E23,tbSkills!DH3:DI6,2,FALSE)+IF(AND(Calculator!B8=TRUE,Backdoors!BI19=TRUE),VLOOKUP(Calculator!E23,tbSkills!DH3:DJ6,3,FALSE),0),0)))/100)),1))*IF(VLOOKUP(A54,tbMoveset!A2:K112,11,FALSE)=TRUE,Backdoors!AC5,1))*DK54,0),"")</f>
        <v>0</v>
      </c>
      <c r="DO54" s="49">
        <f>VLOOKUP(A54,tbMoveset!A2:G112,7,FALSE)*IFERROR(IF(Backdoors!AI12&gt;=0,1+(IF(Calculator!E40&gt;0,VLOOKUP(Calculator!E40,tbSkills!AI3:AJ5,2,FALSE),Backdoors!AL4)*(IF((Backdoors!AI12+IF(DJ54&gt;=0.45,VLOOKUP(Calculator!E23,tbSkills!DH3:DI6,2,FALSE)+IF(AND(Calculator!B8=TRUE,Backdoors!BI19=TRUE),VLOOKUP(Calculator!E23,tbSkills!DH3:DJ6,3,FALSE),0),0))&gt;=100,100,(Backdoors!AI12+IF(DJ54&gt;=0.45,VLOOKUP(Calculator!E23,tbSkills!DH3:DI6,2,FALSE)+IF(AND(Calculator!B8=TRUE,Backdoors!BI19=TRUE),VLOOKUP(Calculator!E23,tbSkills!DH3:DJ6,3,FALSE),0),0)))/100)),1),1)</f>
        <v>0.6</v>
      </c>
      <c r="DP54" s="87">
        <f t="shared" si="41"/>
        <v>0</v>
      </c>
      <c r="DQ54" s="86" t="str">
        <f>IFERROR(IF(VLOOKUP(A54,tbMoveset!A2:B112,2,FALSE)="Sever",Backdoors!AY20/100,IF(VLOOKUP(A54,tbMoveset!A2:B112,2,FALSE)="Blunt",Backdoors!AZ20/100,Backdoors!BA20/100)),"")</f>
        <v/>
      </c>
      <c r="DR54" s="49">
        <f>IFERROR(IF(VLOOKUP(tbMoveset!A54,tbMoveset!A2:H112,8,FALSE)="Other",IF(VLOOKUP(tbMoveset!A54,tbMoveset!A2:I112,9,FALSE)="Fire",Backdoors!BB20,IF(VLOOKUP(tbMoveset!A54,tbMoveset!A2:I112,9,FALSE)="Water",Backdoors!BC20,IF(VLOOKUP(tbMoveset!A54,tbMoveset!A2:I112,9,FALSE)="Thunder",Backdoors!BD20,IF(VLOOKUP(tbMoveset!A54,tbMoveset!A2:I112,9,FALSE)="Ice",Backdoors!BE20,IF(VLOOKUP(tbMoveset!A54,tbMoveset!A2:I112,9,FALSE)="Dragon",Backdoors!BF20,Backdoors!BG20)))))/100,Backdoors!BG20/100),"")</f>
        <v>0</v>
      </c>
      <c r="DS54" s="49">
        <f>IFERROR(IF(VLOOKUP(A54,tbMoveset!A2:J112,10,FALSE)=TRUE,IF((Backdoors!AI12+IF(DQ54&gt;=0.45,VLOOKUP(Calculator!E23,tbSkills!DH3:DI6,2,FALSE)+IF(AND(Calculator!B8=TRUE,Backdoors!BI20=TRUE),VLOOKUP(Calculator!E23,tbSkills!DH3:DJ6,3,FALSE),0),0))&gt;=0,1+(Backdoors!AL2*(IF((Backdoors!AI12+IF(DQ54&gt;=0.45,VLOOKUP(Calculator!E23,tbSkills!DH3:DI6,2,FALSE)+IF(AND(Calculator!B8=TRUE,Backdoors!BI20=TRUE),VLOOKUP(Calculator!E23,tbSkills!DH3:DJ6,3,FALSE),0),0))&gt;=100,100,(Backdoors!AI12+IF(DQ54&gt;=0.45,VLOOKUP(Calculator!E23,tbSkills!DH3:DI6,2,FALSE)+IF(AND(Calculator!B8=TRUE,Backdoors!BI20=TRUE),VLOOKUP(Calculator!E23,tbSkills!DH3:DJ6,3,FALSE),0),0)))/100)),(1-(0.25*((-Backdoors!AI12-IF(DQ54&gt;=0.45,VLOOKUP(Calculator!E23,tbSkills!DH3:DI6,2,FALSE)+IF(AND(Calculator!B8=TRUE,Backdoors!BI20=TRUE),VLOOKUP(Calculator!E23,tbSkills!DH3:DJ6,3,FALSE),0),0))/100)))),1),"")</f>
        <v>1</v>
      </c>
      <c r="DT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Q54)*DS54)*(VLOOKUP(A54,tbMoveset!A2:C112,3,FALSE)/100)*IF(VLOOKUP(A54,tbMoveset!A2:B112,2,FALSE)="Projectile",Backdoors!N10,Backdoors!N9),0),"")</f>
        <v/>
      </c>
      <c r="DU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Q54&gt;=0.45,VLOOKUP(Calculator!E23,tbSkills!DH3:DI6,2,FALSE)+IF(AND(Calculator!B8=TRUE,Backdoors!BI20=TRUE),VLOOKUP(Calculator!E23,tbSkills!DH3:DJ6,3,FALSE),0),0))&gt;=100,100,(Backdoors!AI12+IF(DQ54&gt;=0.45,VLOOKUP(Calculator!E23,tbSkills!DH3:DI6,2,FALSE)+IF(AND(Calculator!B8=TRUE,Backdoors!BI20=TRUE),VLOOKUP(Calculator!E23,tbSkills!DH3:DJ6,3,FALSE),0),0)))/100)),1))*IF(VLOOKUP(A54,tbMoveset!A2:K112,11,FALSE)=TRUE,Backdoors!AC5,1))*DR54,0),"")</f>
        <v>0</v>
      </c>
      <c r="DV54" s="49">
        <f>VLOOKUP(A54,tbMoveset!A2:G112,7,FALSE)*IFERROR(IF(Backdoors!AI12&gt;=0,1+(IF(Calculator!E40&gt;0,VLOOKUP(Calculator!E40,tbSkills!AI3:AJ5,2,FALSE),Backdoors!AL4)*(IF((Backdoors!AI12+IF(DQ54&gt;=0.45,VLOOKUP(Calculator!E23,tbSkills!DH3:DI6,2,FALSE)+IF(AND(Calculator!B8=TRUE,Backdoors!BI20=TRUE),VLOOKUP(Calculator!E23,tbSkills!DH3:DJ6,3,FALSE),0),0))&gt;=100,100,(Backdoors!AI12+IF(DQ54&gt;=0.45,VLOOKUP(Calculator!E23,tbSkills!DH3:DI6,2,FALSE)+IF(AND(Calculator!B8=TRUE,Backdoors!BI20=TRUE),VLOOKUP(Calculator!E23,tbSkills!DH3:DJ6,3,FALSE),0),0)))/100)),1),1)</f>
        <v>0.6</v>
      </c>
      <c r="DW54" s="87">
        <f t="shared" si="10"/>
        <v>0</v>
      </c>
      <c r="DX54" s="86" t="str">
        <f>IFERROR(IF(VLOOKUP(A54,tbMoveset!A2:B112,2,FALSE)="Sever",Backdoors!AY21/100,IF(VLOOKUP(A54,tbMoveset!A2:B112,2,FALSE)="Blunt",Backdoors!AZ21/100,Backdoors!BA21/100)),"")</f>
        <v/>
      </c>
      <c r="DY54" s="49">
        <f>IFERROR(IF(VLOOKUP(tbMoveset!A54,tbMoveset!A2:H112,8,FALSE)="Other",IF(VLOOKUP(tbMoveset!A54,tbMoveset!A2:I112,9,FALSE)="Fire",Backdoors!BB21,IF(VLOOKUP(tbMoveset!A54,tbMoveset!A2:I112,9,FALSE)="Water",Backdoors!BC21,IF(VLOOKUP(tbMoveset!A54,tbMoveset!A2:I112,9,FALSE)="Thunder",Backdoors!BD21,IF(VLOOKUP(tbMoveset!A54,tbMoveset!A2:I112,9,FALSE)="Ice",Backdoors!BE21,IF(VLOOKUP(tbMoveset!A54,tbMoveset!A2:I112,9,FALSE)="Dragon",Backdoors!BF21,Backdoors!BG21)))))/100,Backdoors!BG21/100),"")</f>
        <v>0</v>
      </c>
      <c r="DZ54" s="49">
        <f>IFERROR(IF(VLOOKUP(A54,tbMoveset!A2:J112,10,FALSE)=TRUE,IF((Backdoors!AI12+IF(DX54&gt;=0.45,VLOOKUP(Calculator!E23,tbSkills!DH3:DI6,2,FALSE)+IF(AND(Calculator!B8=TRUE,Backdoors!BI21=TRUE),VLOOKUP(Calculator!E23,tbSkills!DH3:DJ6,3,FALSE),0),0))&gt;=0,1+(Backdoors!AL2*(IF((Backdoors!AI12+IF(DX54&gt;=0.45,VLOOKUP(Calculator!E23,tbSkills!DH3:DI6,2,FALSE)+IF(AND(Calculator!B8=TRUE,Backdoors!BI21=TRUE),VLOOKUP(Calculator!E23,tbSkills!DH3:DJ6,3,FALSE),0),0))&gt;=100,100,(Backdoors!AI12+IF(DX54&gt;=0.45,VLOOKUP(Calculator!E23,tbSkills!DH3:DI6,2,FALSE)+IF(AND(Calculator!B8=TRUE,Backdoors!BI21=TRUE),VLOOKUP(Calculator!E23,tbSkills!DH3:DJ6,3,FALSE),0),0)))/100)),(1-(0.25*((-Backdoors!AI12-IF(DX54&gt;=0.45,VLOOKUP(Calculator!E23,tbSkills!DH3:DI6,2,FALSE)+IF(AND(Calculator!B8=TRUE,Backdoors!BI21=TRUE),VLOOKUP(Calculator!E23,tbSkills!DH3:DJ6,3,FALSE),0),0))/100)))),1),"")</f>
        <v>1</v>
      </c>
      <c r="EA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X54)*DZ54)*(VLOOKUP(A54,tbMoveset!A2:C112,3,FALSE)/100)*IF(VLOOKUP(A54,tbMoveset!A2:B112,2,FALSE)="Projectile",Backdoors!N10,Backdoors!N9),0),"")</f>
        <v/>
      </c>
      <c r="EB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X54&gt;=0.45,VLOOKUP(Calculator!E23,tbSkills!DH3:DI6,2,FALSE)+IF(AND(Calculator!B8=TRUE,Backdoors!BI21=TRUE),VLOOKUP(Calculator!E23,tbSkills!DH3:DJ6,3,FALSE),0),0))&gt;=100,100,(Backdoors!AI12+IF(DX54&gt;=0.45,VLOOKUP(Calculator!E23,tbSkills!DH3:DI6,2,FALSE)+IF(AND(Calculator!B8=TRUE,Backdoors!BI21=TRUE),VLOOKUP(Calculator!E23,tbSkills!DH3:DJ6,3,FALSE),0),0)))/100)),1))*IF(VLOOKUP(A54,tbMoveset!A2:K112,11,FALSE)=TRUE,Backdoors!AC5,1))*DY54,0),"")</f>
        <v>0</v>
      </c>
      <c r="EC54" s="49">
        <f>VLOOKUP(A54,tbMoveset!A2:G112,7,FALSE)*IFERROR(IF(Backdoors!AI12&gt;=0,1+(IF(Calculator!E40&gt;0,VLOOKUP(Calculator!E40,tbSkills!AI3:AJ5,2,FALSE),Backdoors!AL4)*(IF((Backdoors!AI12+IF(DX54&gt;=0.45,VLOOKUP(Calculator!E23,tbSkills!DH3:DI6,2,FALSE)+IF(AND(Calculator!B8=TRUE,Backdoors!BI21=TRUE),VLOOKUP(Calculator!E23,tbSkills!DH3:DJ6,3,FALSE),0),0))&gt;=100,100,(Backdoors!AI12+IF(DX54&gt;=0.45,VLOOKUP(Calculator!E23,tbSkills!DH3:DI6,2,FALSE)+IF(AND(Calculator!B8=TRUE,Backdoors!BI21=TRUE),VLOOKUP(Calculator!E23,tbSkills!DH3:DJ6,3,FALSE),0),0)))/100)),1),1)</f>
        <v>0.6</v>
      </c>
      <c r="ED54" s="87">
        <f t="shared" si="11"/>
        <v>0</v>
      </c>
      <c r="EE54" s="86" t="str">
        <f>IFERROR(IF(VLOOKUP(A54,tbMoveset!A2:B112,2,FALSE)="Sever",Backdoors!AY22/100,IF(VLOOKUP(A54,tbMoveset!A2:B112,2,FALSE)="Blunt",Backdoors!AZ22/100,Backdoors!BA22/100)),"")</f>
        <v/>
      </c>
      <c r="EF54" s="49">
        <f>IFERROR(IF(VLOOKUP(tbMoveset!A54,tbMoveset!A2:H112,8,FALSE)="Other",IF(VLOOKUP(tbMoveset!A54,tbMoveset!A2:I112,9,FALSE)="Fire",Backdoors!BB22,IF(VLOOKUP(tbMoveset!A54,tbMoveset!A2:I112,9,FALSE)="Water",Backdoors!BC22,IF(VLOOKUP(tbMoveset!A54,tbMoveset!A2:I112,9,FALSE)="Thunder",Backdoors!BD22,IF(VLOOKUP(tbMoveset!A54,tbMoveset!A2:I112,9,FALSE)="Ice",Backdoors!BE22,IF(VLOOKUP(tbMoveset!A54,tbMoveset!A2:I112,9,FALSE)="Dragon",Backdoors!BF22,Backdoors!BG22)))))/100,Backdoors!BG22/100),"")</f>
        <v>0</v>
      </c>
      <c r="EG54" s="49">
        <f>IFERROR(IF(VLOOKUP(A54,tbMoveset!A2:J112,10,FALSE)=TRUE,IF((Backdoors!AI12+IF(EE54&gt;=0.45,VLOOKUP(Calculator!E23,tbSkills!DH3:DI6,2,FALSE)+IF(AND(Calculator!B8=TRUE,Backdoors!BI22=TRUE),VLOOKUP(Calculator!E23,tbSkills!DH3:DJ6,3,FALSE),0),0))&gt;=0,1+(Backdoors!AL2*(IF((Backdoors!AI12+IF(EE54&gt;=0.45,VLOOKUP(Calculator!E23,tbSkills!DH3:DI6,2,FALSE)+IF(AND(Calculator!B8=TRUE,Backdoors!BI22=TRUE),VLOOKUP(Calculator!E23,tbSkills!DH3:DJ6,3,FALSE),0),0))&gt;=100,100,(Backdoors!AI12+IF(EE54&gt;=0.45,VLOOKUP(Calculator!E23,tbSkills!DH3:DI6,2,FALSE)+IF(AND(Calculator!B8=TRUE,Backdoors!BI22=TRUE),VLOOKUP(Calculator!E23,tbSkills!DH3:DJ6,3,FALSE),0),0)))/100)),(1-(0.25*((-Backdoors!AI12-IF(EE54&gt;=0.45,VLOOKUP(Calculator!E23,tbSkills!DH3:DI6,2,FALSE)+IF(AND(Calculator!B8=TRUE,Backdoors!BI22=TRUE),VLOOKUP(Calculator!E23,tbSkills!DH3:DJ6,3,FALSE),0),0))/100)))),1),"")</f>
        <v>1</v>
      </c>
      <c r="EH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E54)*EG54)*(VLOOKUP(A54,tbMoveset!A2:C112,3,FALSE)/100)*IF(VLOOKUP(A54,tbMoveset!A2:B112,2,FALSE)="Projectile",Backdoors!N10,Backdoors!N9),0),"")</f>
        <v/>
      </c>
      <c r="EI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E54&gt;=0.45,VLOOKUP(Calculator!E23,tbSkills!DH3:DI6,2,FALSE)+IF(AND(Calculator!B8=TRUE,Backdoors!BI22=TRUE),VLOOKUP(Calculator!E23,tbSkills!DH3:DJ6,3,FALSE),0),0))&gt;=100,100,(Backdoors!AI12+IF(EE54&gt;=0.45,VLOOKUP(Calculator!E23,tbSkills!DH3:DI6,2,FALSE)+IF(AND(Calculator!B8=TRUE,Backdoors!BI22=TRUE),VLOOKUP(Calculator!E23,tbSkills!DH3:DJ6,3,FALSE),0),0)))/100)),1))*IF(VLOOKUP(A54,tbMoveset!A2:K112,11,FALSE)=TRUE,Backdoors!AC5,1))*EF54,0),"")</f>
        <v>0</v>
      </c>
      <c r="EJ54" s="49">
        <f>VLOOKUP(A54,tbMoveset!A2:G112,7,FALSE)*IFERROR(IF(Backdoors!AI12&gt;=0,1+(IF(Calculator!E40&gt;0,VLOOKUP(Calculator!E40,tbSkills!AI3:AJ5,2,FALSE),Backdoors!AL4)*(IF((Backdoors!AI12+IF(EE54&gt;=0.45,VLOOKUP(Calculator!E23,tbSkills!DH3:DI6,2,FALSE)+IF(AND(Calculator!B8=TRUE,Backdoors!BI22=TRUE),VLOOKUP(Calculator!E23,tbSkills!DH3:DJ6,3,FALSE),0),0))&gt;=100,100,(Backdoors!AI12+IF(EE54&gt;=0.45,VLOOKUP(Calculator!E23,tbSkills!DH3:DI6,2,FALSE)+IF(AND(Calculator!B8=TRUE,Backdoors!BI22=TRUE),VLOOKUP(Calculator!E23,tbSkills!DH3:DJ6,3,FALSE),0),0)))/100)),1),1)</f>
        <v>0.6</v>
      </c>
      <c r="EK54" s="87">
        <f t="shared" si="12"/>
        <v>0</v>
      </c>
      <c r="EL54" s="86" t="str">
        <f>IFERROR(IF(VLOOKUP(A54,tbMoveset!A2:B112,2,FALSE)="Sever",Backdoors!AY23/100,IF(VLOOKUP(A54,tbMoveset!A2:B112,2,FALSE)="Blunt",Backdoors!AZ23/100,Backdoors!BA23/100)),"")</f>
        <v/>
      </c>
      <c r="EM54" s="49">
        <f>IFERROR(IF(VLOOKUP(tbMoveset!A54,tbMoveset!A2:H112,8,FALSE)="Other",IF(VLOOKUP(tbMoveset!A54,tbMoveset!A2:I112,9,FALSE)="Fire",Backdoors!BB23,IF(VLOOKUP(tbMoveset!A54,tbMoveset!A2:I112,9,FALSE)="Water",Backdoors!BC23,IF(VLOOKUP(tbMoveset!A54,tbMoveset!A2:I112,9,FALSE)="Thunder",Backdoors!BD23,IF(VLOOKUP(tbMoveset!A54,tbMoveset!A2:I112,9,FALSE)="Ice",Backdoors!BE23,IF(VLOOKUP(tbMoveset!A54,tbMoveset!A2:I112,9,FALSE)="Dragon",Backdoors!BF23,Backdoors!BG23)))))/100,Backdoors!BG23/100),"")</f>
        <v>0</v>
      </c>
      <c r="EN54" s="49">
        <f>IFERROR(IF(VLOOKUP(A54,tbMoveset!A2:J112,10,FALSE)=TRUE,IF((Backdoors!AI12+IF(EL54&gt;=0.45,VLOOKUP(Calculator!E23,tbSkills!DH3:DI6,2,FALSE)+IF(AND(Calculator!B8=TRUE,Backdoors!BI23=TRUE),VLOOKUP(Calculator!E23,tbSkills!DH3:DJ6,3,FALSE),0),0))&gt;=0,1+(Backdoors!AL2*(IF((Backdoors!AI12+IF(EL54&gt;=0.45,VLOOKUP(Calculator!E23,tbSkills!DH3:DI6,2,FALSE)+IF(AND(Calculator!B8=TRUE,Backdoors!BI23=TRUE),VLOOKUP(Calculator!E23,tbSkills!DH3:DJ6,3,FALSE),0),0))&gt;=100,100,(Backdoors!AI12+IF(EL54&gt;=0.45,VLOOKUP(Calculator!E23,tbSkills!DH3:DI6,2,FALSE)+IF(AND(Calculator!B8=TRUE,Backdoors!BI23=TRUE),VLOOKUP(Calculator!E23,tbSkills!DH3:DJ6,3,FALSE),0),0)))/100)),(1-(0.25*((-Backdoors!AI12-IF(EL54&gt;=0.45,VLOOKUP(Calculator!E23,tbSkills!DH3:DI6,2,FALSE)+IF(AND(Calculator!B8=TRUE,Backdoors!BI23=TRUE),VLOOKUP(Calculator!E23,tbSkills!DH3:DJ6,3,FALSE),0),0))/100)))),1),"")</f>
        <v>1</v>
      </c>
      <c r="EO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L54)*EN54)*(VLOOKUP(A54,tbMoveset!A2:C112,3,FALSE)/100)*IF(VLOOKUP(A54,tbMoveset!A2:B112,2,FALSE)="Projectile",Backdoors!N10,Backdoors!N9),0),"")</f>
        <v/>
      </c>
      <c r="EP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L54&gt;=0.45,VLOOKUP(Calculator!E23,tbSkills!DH3:DI6,2,FALSE)+IF(AND(Calculator!B8=TRUE,Backdoors!BI23=TRUE),VLOOKUP(Calculator!E23,tbSkills!DH3:DJ6,3,FALSE),0),0))&gt;=100,100,(Backdoors!AI12+IF(EL54&gt;=0.45,VLOOKUP(Calculator!E23,tbSkills!DH3:DI6,2,FALSE)+IF(AND(Calculator!B8=TRUE,Backdoors!BI23=TRUE),VLOOKUP(Calculator!E23,tbSkills!DH3:DJ6,3,FALSE),0),0)))/100)),1))*IF(VLOOKUP(A54,tbMoveset!A2:K112,11,FALSE)=TRUE,Backdoors!AC5,1))*EM54,0),"")</f>
        <v>0</v>
      </c>
      <c r="EQ54" s="49">
        <f>VLOOKUP(A54,tbMoveset!A2:G112,7,FALSE)*IFERROR(IF(Backdoors!AI12&gt;=0,1+(IF(Calculator!E40&gt;0,VLOOKUP(Calculator!E40,tbSkills!AI3:AJ5,2,FALSE),Backdoors!AL4)*(IF((Backdoors!AI12+IF(EL54&gt;=0.45,VLOOKUP(Calculator!E23,tbSkills!DH3:DI6,2,FALSE)+IF(AND(Calculator!B8=TRUE,Backdoors!BI23=TRUE),VLOOKUP(Calculator!E23,tbSkills!DH3:DJ6,3,FALSE),0),0))&gt;=100,100,(Backdoors!AI12+IF(EL54&gt;=0.45,VLOOKUP(Calculator!E23,tbSkills!DH3:DI6,2,FALSE)+IF(AND(Calculator!B8=TRUE,Backdoors!BI23=TRUE),VLOOKUP(Calculator!E23,tbSkills!DH3:DJ6,3,FALSE),0),0)))/100)),1),1)</f>
        <v>0.6</v>
      </c>
      <c r="ER54" s="87">
        <f t="shared" si="13"/>
        <v>0</v>
      </c>
      <c r="ES54" s="86" t="str">
        <f>IFERROR(IF(VLOOKUP(A54,tbMoveset!A2:B112,2,FALSE)="Sever",Backdoors!AY24/100,IF(VLOOKUP(A54,tbMoveset!A2:B112,2,FALSE)="Blunt",Backdoors!AZ24/100,Backdoors!BA24/100)),"")</f>
        <v/>
      </c>
      <c r="ET54" s="49">
        <f>IFERROR(IF(VLOOKUP(tbMoveset!A54,tbMoveset!A2:H112,8,FALSE)="Other",IF(VLOOKUP(tbMoveset!A54,tbMoveset!A2:I112,9,FALSE)="Fire",Backdoors!BB24,IF(VLOOKUP(tbMoveset!A54,tbMoveset!A2:I112,9,FALSE)="Water",Backdoors!BC24,IF(VLOOKUP(tbMoveset!A54,tbMoveset!A2:I112,9,FALSE)="Thunder",Backdoors!BD24,IF(VLOOKUP(tbMoveset!A54,tbMoveset!A2:I112,9,FALSE)="Ice",Backdoors!BE24,IF(VLOOKUP(tbMoveset!A54,tbMoveset!A2:I112,9,FALSE)="Dragon",Backdoors!BF24,Backdoors!BG24)))))/100,Backdoors!BG24/100),"")</f>
        <v>0</v>
      </c>
      <c r="EU54" s="49">
        <f>IFERROR(IF(VLOOKUP(A54,tbMoveset!A2:J112,10,FALSE)=TRUE,IF((Backdoors!AI12+IF(ES54&gt;=0.45,VLOOKUP(Calculator!E23,tbSkills!DH3:DI6,2,FALSE)+IF(AND(Calculator!B8=TRUE,Backdoors!BI24=TRUE),VLOOKUP(Calculator!E23,tbSkills!DH3:DJ6,3,FALSE),0),0))&gt;=0,1+(Backdoors!AL2*(IF((Backdoors!AI12+IF(ES54&gt;=0.45,VLOOKUP(Calculator!E23,tbSkills!DH3:DI6,2,FALSE)+IF(AND(Calculator!B8=TRUE,Backdoors!BI24=TRUE),VLOOKUP(Calculator!E23,tbSkills!DH3:DJ6,3,FALSE),0),0))&gt;=100,100,(Backdoors!AI12+IF(ES54&gt;=0.45,VLOOKUP(Calculator!E23,tbSkills!DH3:DI6,2,FALSE)+IF(AND(Calculator!B8=TRUE,Backdoors!BI24=TRUE),VLOOKUP(Calculator!E23,tbSkills!DH3:DJ6,3,FALSE),0),0)))/100)),(1-(0.25*((-Backdoors!AI12-IF(ES54&gt;=0.45,VLOOKUP(Calculator!E23,tbSkills!DH3:DI6,2,FALSE)+IF(AND(Calculator!B8=TRUE,Backdoors!BI24=TRUE),VLOOKUP(Calculator!E23,tbSkills!DH3:DJ6,3,FALSE),0),0))/100)))),1),"")</f>
        <v>1</v>
      </c>
      <c r="EV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S54)*EU54)*(VLOOKUP(A54,tbMoveset!A2:C112,3,FALSE)/100)*IF(VLOOKUP(A54,tbMoveset!A2:B112,2,FALSE)="Projectile",Backdoors!N10,Backdoors!N9),0),"")</f>
        <v/>
      </c>
      <c r="EW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S54&gt;=0.45,VLOOKUP(Calculator!E23,tbSkills!DH3:DI6,2,FALSE)+IF(AND(Calculator!B8=TRUE,Backdoors!BI24=TRUE),VLOOKUP(Calculator!E23,tbSkills!DH3:DJ6,3,FALSE),0),0))&gt;=100,100,(Backdoors!AI12+IF(ES54&gt;=0.45,VLOOKUP(Calculator!E23,tbSkills!DH3:DI6,2,FALSE)+IF(AND(Calculator!B8=TRUE,Backdoors!BI24=TRUE),VLOOKUP(Calculator!E23,tbSkills!DH3:DJ6,3,FALSE),0),0)))/100)),1))*IF(VLOOKUP(A54,tbMoveset!A2:K112,11,FALSE)=TRUE,Backdoors!AC5,1))*ET54,0),"")</f>
        <v>0</v>
      </c>
      <c r="EX54" s="49">
        <f>VLOOKUP(A54,tbMoveset!A2:G112,7,FALSE)*IFERROR(IF(Backdoors!AI12&gt;=0,1+(IF(Calculator!E40&gt;0,VLOOKUP(Calculator!E40,tbSkills!AI3:AJ5,2,FALSE),Backdoors!AL4)*(IF((Backdoors!AI12+IF(ES54&gt;=0.45,VLOOKUP(Calculator!E23,tbSkills!DH3:DI6,2,FALSE)+IF(AND(Calculator!B8=TRUE,Backdoors!BI24=TRUE),VLOOKUP(Calculator!E23,tbSkills!DH3:DJ6,3,FALSE),0),0))&gt;=100,100,(Backdoors!AI12+IF(ES54&gt;=0.45,VLOOKUP(Calculator!E23,tbSkills!DH3:DI6,2,FALSE)+IF(AND(Calculator!B8=TRUE,Backdoors!BI24=TRUE),VLOOKUP(Calculator!E23,tbSkills!DH3:DJ6,3,FALSE),0),0)))/100)),1),1)</f>
        <v>0.6</v>
      </c>
      <c r="EY54" s="87">
        <f t="shared" si="14"/>
        <v>0</v>
      </c>
      <c r="EZ54" s="86" t="str">
        <f>IFERROR(IF(VLOOKUP(A54,tbMoveset!A2:B112,2,FALSE)="Sever",Backdoors!AY25/100,IF(VLOOKUP(A54,tbMoveset!A2:B112,2,FALSE)="Blunt",Backdoors!AZ25/100,Backdoors!BA25/100)),"")</f>
        <v/>
      </c>
      <c r="FA54" s="49">
        <f>IFERROR(IF(VLOOKUP(tbMoveset!A54,tbMoveset!A2:H112,8,FALSE)="Other",IF(VLOOKUP(tbMoveset!A54,tbMoveset!A2:I112,9,FALSE)="Fire",Backdoors!BB25,IF(VLOOKUP(tbMoveset!A54,tbMoveset!A2:I112,9,FALSE)="Water",Backdoors!BC25,IF(VLOOKUP(tbMoveset!A54,tbMoveset!A2:I112,9,FALSE)="Thunder",Backdoors!BD25,IF(VLOOKUP(tbMoveset!A54,tbMoveset!A2:I112,9,FALSE)="Ice",Backdoors!BE25,IF(VLOOKUP(tbMoveset!A54,tbMoveset!A2:I112,9,FALSE)="Dragon",Backdoors!BF25,Backdoors!BG25)))))/100,Backdoors!BG25/100),"")</f>
        <v>0</v>
      </c>
      <c r="FB54" s="49">
        <f>IFERROR(IF(VLOOKUP(A54,tbMoveset!A2:J112,10,FALSE)=TRUE,IF((Backdoors!AI12+IF(EZ54&gt;=0.45,VLOOKUP(Calculator!E23,tbSkills!DH3:DI6,2,FALSE)+IF(AND(Calculator!B8=TRUE,Backdoors!BI25=TRUE),VLOOKUP(Calculator!E23,tbSkills!DH3:DJ6,3,FALSE),0),0))&gt;=0,1+(Backdoors!AL2*(IF((Backdoors!AI12+IF(EZ54&gt;=0.45,VLOOKUP(Calculator!E23,tbSkills!DH3:DI6,2,FALSE)+IF(AND(Calculator!B8=TRUE,Backdoors!BI25=TRUE),VLOOKUP(Calculator!E23,tbSkills!DH3:DJ6,3,FALSE),0),0))&gt;=100,100,(Backdoors!AI12+IF(EZ54&gt;=0.45,VLOOKUP(Calculator!E23,tbSkills!DH3:DI6,2,FALSE)+IF(AND(Calculator!B8=TRUE,Backdoors!BI25=TRUE),VLOOKUP(Calculator!E23,tbSkills!DH3:DJ6,3,FALSE),0),0)))/100)),(1-(0.25*((-Backdoors!AI12-IF(EZ54&gt;=0.45,VLOOKUP(Calculator!E23,tbSkills!DH3:DI6,2,FALSE)+IF(AND(Calculator!B8=TRUE,Backdoors!BI25=TRUE),VLOOKUP(Calculator!E23,tbSkills!DH3:DJ6,3,FALSE),0),0))/100)))),1),"")</f>
        <v>1</v>
      </c>
      <c r="FC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Z54)*FB54)*(VLOOKUP(A54,tbMoveset!A2:C112,3,FALSE)/100)*IF(VLOOKUP(A54,tbMoveset!A2:B112,2,FALSE)="Projectile",Backdoors!N10,Backdoors!N9),0),"")</f>
        <v/>
      </c>
      <c r="FD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Z54&gt;=0.45,VLOOKUP(Calculator!E23,tbSkills!DH3:DI6,2,FALSE)+IF(AND(Calculator!B8=TRUE,Backdoors!BI25=TRUE),VLOOKUP(Calculator!E23,tbSkills!DH3:DJ6,3,FALSE),0),0))&gt;=100,100,(Backdoors!AI12+IF(EZ54&gt;=0.45,VLOOKUP(Calculator!E23,tbSkills!DH3:DI6,2,FALSE)+IF(AND(Calculator!B8=TRUE,Backdoors!BI25=TRUE),VLOOKUP(Calculator!E23,tbSkills!DH3:DJ6,3,FALSE),0),0)))/100)),1))*IF(VLOOKUP(A54,tbMoveset!A2:K112,11,FALSE)=TRUE,Backdoors!AC5,1))*FA54,0),"")</f>
        <v>0</v>
      </c>
      <c r="FE54" s="49">
        <f>VLOOKUP(A54,tbMoveset!A2:G112,7,FALSE)*IFERROR(IF(Backdoors!AI12&gt;=0,1+(IF(Calculator!E40&gt;0,VLOOKUP(Calculator!E40,tbSkills!AI3:AJ5,2,FALSE),Backdoors!AL4)*(IF((Backdoors!AI12+IF(EZ54&gt;=0.45,VLOOKUP(Calculator!E23,tbSkills!DH3:DI6,2,FALSE)+IF(AND(Calculator!B8=TRUE,Backdoors!BI25=TRUE),VLOOKUP(Calculator!E23,tbSkills!DH3:DJ6,3,FALSE),0),0))&gt;=100,100,(Backdoors!AI12+IF(EZ54&gt;=0.45,VLOOKUP(Calculator!E23,tbSkills!DH3:DI6,2,FALSE)+IF(AND(Calculator!B8=TRUE,Backdoors!BI25=TRUE),VLOOKUP(Calculator!E23,tbSkills!DH3:DJ6,3,FALSE),0),0)))/100)),1),1)</f>
        <v>0.6</v>
      </c>
      <c r="FF54" s="87">
        <f t="shared" si="15"/>
        <v>0</v>
      </c>
      <c r="FG54" s="86" t="str">
        <f>IFERROR(IF(VLOOKUP(A54,tbMoveset!A2:B112,2,FALSE)="Sever",Backdoors!AY26/100,IF(VLOOKUP(A54,tbMoveset!A2:B112,2,FALSE)="Blunt",Backdoors!AZ26/100,Backdoors!BA26/100)),"")</f>
        <v/>
      </c>
      <c r="FH54" s="49">
        <f>IFERROR(IF(VLOOKUP(tbMoveset!A54,tbMoveset!A2:H112,8,FALSE)="Other",IF(VLOOKUP(tbMoveset!A54,tbMoveset!A2:I112,9,FALSE)="Fire",Backdoors!BB26,IF(VLOOKUP(tbMoveset!A54,tbMoveset!A2:I112,9,FALSE)="Water",Backdoors!BC26,IF(VLOOKUP(tbMoveset!A54,tbMoveset!A2:I112,9,FALSE)="Thunder",Backdoors!BD26,IF(VLOOKUP(tbMoveset!A54,tbMoveset!A2:I112,9,FALSE)="Ice",Backdoors!BE26,IF(VLOOKUP(tbMoveset!A54,tbMoveset!A2:I112,9,FALSE)="Dragon",Backdoors!BF26,Backdoors!BG26)))))/100,Backdoors!BG26/100),"")</f>
        <v>0</v>
      </c>
      <c r="FI54" s="49">
        <f>IFERROR(IF(VLOOKUP(A54,tbMoveset!A2:J112,10,FALSE)=TRUE,IF((Backdoors!AI12+IF(FG54&gt;=0.45,VLOOKUP(Calculator!E23,tbSkills!DH3:DI6,2,FALSE)+IF(AND(Calculator!B8=TRUE,Backdoors!BI26=TRUE),VLOOKUP(Calculator!E23,tbSkills!DH3:DJ6,3,FALSE),0),0))&gt;=0,1+(Backdoors!AL2*(IF((Backdoors!AI12+IF(FG54&gt;=0.45,VLOOKUP(Calculator!E23,tbSkills!DH3:DI6,2,FALSE)+IF(AND(Calculator!B8=TRUE,Backdoors!BI26=TRUE),VLOOKUP(Calculator!E23,tbSkills!DH3:DJ6,3,FALSE),0),0))&gt;=100,100,(Backdoors!AI12+IF(FG54&gt;=0.45,VLOOKUP(Calculator!E23,tbSkills!DH3:DI6,2,FALSE)+IF(AND(Calculator!B8=TRUE,Backdoors!BI26=TRUE),VLOOKUP(Calculator!E23,tbSkills!DH3:DJ6,3,FALSE),0),0)))/100)),(1-(0.25*((-Backdoors!AI12-IF(FG54&gt;=0.45,VLOOKUP(Calculator!E23,tbSkills!DH3:DI6,2,FALSE)+IF(AND(Calculator!B8=TRUE,Backdoors!BI26=TRUE),VLOOKUP(Calculator!E23,tbSkills!DH3:DJ6,3,FALSE),0),0))/100)))),1),"")</f>
        <v>1</v>
      </c>
      <c r="FJ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FG54)*FI54)*(VLOOKUP(A54,tbMoveset!A2:C112,3,FALSE)/100)*IF(VLOOKUP(A54,tbMoveset!A2:B112,2,FALSE)="Projectile",Backdoors!N10,Backdoors!N9),0),"")</f>
        <v/>
      </c>
      <c r="FK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FG54&gt;=0.45,VLOOKUP(Calculator!E23,tbSkills!DH3:DI6,2,FALSE)+IF(AND(Calculator!B8=TRUE,Backdoors!BI26=TRUE),VLOOKUP(Calculator!E23,tbSkills!DH3:DJ6,3,FALSE),0),0))&gt;=100,100,(Backdoors!AI12+IF(FG54&gt;=0.45,VLOOKUP(Calculator!E23,tbSkills!DH3:DI6,2,FALSE)+IF(AND(Calculator!B8=TRUE,Backdoors!BI26=TRUE),VLOOKUP(Calculator!E23,tbSkills!DH3:DJ6,3,FALSE),0),0)))/100)),1))*IF(VLOOKUP(A54,tbMoveset!A2:K112,11,FALSE)=TRUE,Backdoors!AC5,1))*FH54,0),"")</f>
        <v>0</v>
      </c>
      <c r="FL54" s="49">
        <f>VLOOKUP(A54,tbMoveset!A2:G112,7,FALSE)*IFERROR(IF(Backdoors!AI12&gt;=0,1+(IF(Calculator!E40&gt;0,VLOOKUP(Calculator!E40,tbSkills!AI3:AJ5,2,FALSE),Backdoors!AL4)*(IF((Backdoors!AI12+IF(FG54&gt;=0.45,VLOOKUP(Calculator!E23,tbSkills!DH3:DI6,2,FALSE)+IF(AND(Calculator!B8=TRUE,Backdoors!BI26=TRUE),VLOOKUP(Calculator!E23,tbSkills!DH3:DJ6,3,FALSE),0),0))&gt;=100,100,(Backdoors!AI12+IF(FG54&gt;=0.45,VLOOKUP(Calculator!E23,tbSkills!DH3:DI6,2,FALSE)+IF(AND(Calculator!B8=TRUE,Backdoors!BI26=TRUE),VLOOKUP(Calculator!E23,tbSkills!DH3:DJ6,3,FALSE),0),0)))/100)),1),1)</f>
        <v>0.6</v>
      </c>
      <c r="FM54" s="87">
        <f t="shared" si="16"/>
        <v>0</v>
      </c>
      <c r="FN54" s="86" t="str">
        <f>IFERROR(IF(VLOOKUP(A54,tbMoveset!A2:B112,2,FALSE)="Sever",Backdoors!AY27/100,IF(VLOOKUP(A54,tbMoveset!A2:B112,2,FALSE)="Blunt",Backdoors!AZ27/100,Backdoors!BA27/100)),"")</f>
        <v/>
      </c>
      <c r="FO54" s="49">
        <f>IFERROR(IF(VLOOKUP(tbMoveset!A54,tbMoveset!A2:H112,8,FALSE)="Other",IF(VLOOKUP(tbMoveset!A54,tbMoveset!A2:I112,9,FALSE)="Fire",Backdoors!BB27,IF(VLOOKUP(tbMoveset!A54,tbMoveset!A2:I112,9,FALSE)="Water",Backdoors!BC27,IF(VLOOKUP(tbMoveset!A54,tbMoveset!A2:I112,9,FALSE)="Thunder",Backdoors!BD27,IF(VLOOKUP(tbMoveset!A54,tbMoveset!A2:I112,9,FALSE)="Ice",Backdoors!BE27,IF(VLOOKUP(tbMoveset!A54,tbMoveset!A2:I112,9,FALSE)="Dragon",Backdoors!BF27,Backdoors!BG27)))))/100,Backdoors!BG27/100),"")</f>
        <v>0</v>
      </c>
      <c r="FP54" s="49">
        <f>IFERROR(IF(VLOOKUP(A54,tbMoveset!A2:J112,10,FALSE)=TRUE,IF((Backdoors!AI12+IF(FN54&gt;=0.45,VLOOKUP(Calculator!E23,tbSkills!DH3:DI6,2,FALSE)+IF(AND(Calculator!B8=TRUE,Backdoors!BI27=TRUE),VLOOKUP(Calculator!E23,tbSkills!DH3:DJ6,3,FALSE),0),0))&gt;=0,1+(Backdoors!AL2*(IF((Backdoors!AI12+IF(FN54&gt;=0.45,VLOOKUP(Calculator!E23,tbSkills!DH3:DI6,2,FALSE)+IF(AND(Calculator!B8=TRUE,Backdoors!BI27=TRUE),VLOOKUP(Calculator!E23,tbSkills!DH3:DJ6,3,FALSE),0),0))&gt;=100,100,(Backdoors!AI12+IF(FN54&gt;=0.45,VLOOKUP(Calculator!E23,tbSkills!DH3:DI6,2,FALSE)+IF(AND(Calculator!B8=TRUE,Backdoors!BI27=TRUE),VLOOKUP(Calculator!E23,tbSkills!DH3:DJ6,3,FALSE),0),0)))/100)),(1-(0.25*((-Backdoors!AI12-IF(FN54&gt;=0.45,VLOOKUP(Calculator!E23,tbSkills!DH3:DI6,2,FALSE)+IF(AND(Calculator!B8=TRUE,Backdoors!BI27=TRUE),VLOOKUP(Calculator!E23,tbSkills!DH3:DJ6,3,FALSE),0),0))/100)))),1),"")</f>
        <v>1</v>
      </c>
      <c r="FQ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FN54)*FP54)*(VLOOKUP(A54,tbMoveset!A2:C112,3,FALSE)/100)*IF(VLOOKUP(A54,tbMoveset!A2:B112,2,FALSE)="Projectile",Backdoors!N10,Backdoors!N9),0),"")</f>
        <v/>
      </c>
      <c r="FR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FN54&gt;=0.45,VLOOKUP(Calculator!E23,tbSkills!DH3:DI6,2,FALSE)+IF(AND(Calculator!B8=TRUE,Backdoors!BI27=TRUE),VLOOKUP(Calculator!E23,tbSkills!DH3:DJ6,3,FALSE),0),0))&gt;=100,100,(Backdoors!AI12+IF(FN54&gt;=0.45,VLOOKUP(Calculator!E23,tbSkills!DH3:DI6,2,FALSE)+IF(AND(Calculator!B8=TRUE,Backdoors!BI27=TRUE),VLOOKUP(Calculator!E23,tbSkills!DH3:DJ6,3,FALSE),0),0)))/100)),1))*IF(VLOOKUP(A54,tbMoveset!A2:K112,11,FALSE)=TRUE,Backdoors!AC5,1))*FO54,0),"")</f>
        <v>0</v>
      </c>
      <c r="FS54" s="49">
        <f>VLOOKUP(A54,tbMoveset!A2:G112,7,FALSE)*IFERROR(IF(Backdoors!AI12&gt;=0,1+(IF(Calculator!E40&gt;0,VLOOKUP(Calculator!E40,tbSkills!AI3:AJ5,2,FALSE),Backdoors!AL4)*(IF((Backdoors!AI12+IF(FN54&gt;=0.45,VLOOKUP(Calculator!E23,tbSkills!DH3:DI6,2,FALSE)+IF(AND(Calculator!B8=TRUE,Backdoors!BI27=TRUE),VLOOKUP(Calculator!E23,tbSkills!DH3:DJ6,3,FALSE),0),0))&gt;=100,100,(Backdoors!AI12+IF(FN54&gt;=0.45,VLOOKUP(Calculator!E23,tbSkills!DH3:DI6,2,FALSE)+IF(AND(Calculator!B8=TRUE,Backdoors!BI27=TRUE),VLOOKUP(Calculator!E23,tbSkills!DH3:DJ6,3,FALSE),0),0)))/100)),1),1)</f>
        <v>0.6</v>
      </c>
      <c r="FT54" s="87">
        <f t="shared" si="17"/>
        <v>0</v>
      </c>
      <c r="FU54" s="86" t="str">
        <f>IFERROR(IF(VLOOKUP(A54,tbMoveset!A2:B112,2,FALSE)="Sever",Backdoors!AY28/100,IF(VLOOKUP(A54,tbMoveset!A2:B112,2,FALSE)="Blunt",Backdoors!AZ28/100,Backdoors!BA28/100)),"")</f>
        <v/>
      </c>
      <c r="FV54" s="49">
        <f>IFERROR(IF(VLOOKUP(tbMoveset!A54,tbMoveset!A2:H112,8,FALSE)="Other",IF(VLOOKUP(tbMoveset!A54,tbMoveset!A2:I112,9,FALSE)="Fire",Backdoors!BB28,IF(VLOOKUP(tbMoveset!A54,tbMoveset!A2:I112,9,FALSE)="Water",Backdoors!BC28,IF(VLOOKUP(tbMoveset!A54,tbMoveset!A2:I112,9,FALSE)="Thunder",Backdoors!BD28,IF(VLOOKUP(tbMoveset!A54,tbMoveset!A2:I112,9,FALSE)="Ice",Backdoors!BE28,IF(VLOOKUP(tbMoveset!A54,tbMoveset!A2:I112,9,FALSE)="Dragon",Backdoors!BF28,Backdoors!BG28)))))/100,Backdoors!BG28/100),"")</f>
        <v>0</v>
      </c>
      <c r="FW54" s="49">
        <f>IFERROR(IF(VLOOKUP(A54,tbMoveset!A2:J112,10,FALSE)=TRUE,IF((Backdoors!AI12+IF(FU54&gt;=0.45,VLOOKUP(Calculator!E23,tbSkills!DH3:DI6,2,FALSE)+IF(AND(Calculator!B8=TRUE,Backdoors!BI28=TRUE),VLOOKUP(Calculator!E23,tbSkills!DH3:DJ6,3,FALSE),0),0))&gt;=0,1+(Backdoors!AL2*(IF((Backdoors!AI12+IF(FU54&gt;=0.45,VLOOKUP(Calculator!E23,tbSkills!DH3:DI6,2,FALSE)+IF(AND(Calculator!B8=TRUE,Backdoors!BI28=TRUE),VLOOKUP(Calculator!E23,tbSkills!DH3:DJ6,3,FALSE),0),0))&gt;=100,100,(Backdoors!AI12+IF(FU54&gt;=0.45,VLOOKUP(Calculator!E23,tbSkills!DH3:DI6,2,FALSE)+IF(AND(Calculator!B8=TRUE,Backdoors!BI28=TRUE),VLOOKUP(Calculator!E23,tbSkills!DH3:DJ6,3,FALSE),0),0)))/100)),(1-(0.25*((-Backdoors!AI12-IF(FU54&gt;=0.45,VLOOKUP(Calculator!E23,tbSkills!DH3:DI6,2,FALSE)+IF(AND(Calculator!B8=TRUE,Backdoors!BI28=TRUE),VLOOKUP(Calculator!E23,tbSkills!DH3:DJ6,3,FALSE),0),0))/100)))),1),"")</f>
        <v>1</v>
      </c>
      <c r="FX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FU54)*FW54)*(VLOOKUP(A54,tbMoveset!A2:C112,3,FALSE)/100)*IF(VLOOKUP(A54,tbMoveset!A2:B112,2,FALSE)="Projectile",Backdoors!N10,Backdoors!N9),0),"")</f>
        <v/>
      </c>
      <c r="FY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FU54&gt;=0.45,VLOOKUP(Calculator!E23,tbSkills!DH3:DI6,2,FALSE)+IF(AND(Calculator!B8=TRUE,Backdoors!BI28=TRUE),VLOOKUP(Calculator!E23,tbSkills!DH3:DJ6,3,FALSE),0),0))&gt;=100,100,(Backdoors!AI12+IF(FU54&gt;=0.45,VLOOKUP(Calculator!E23,tbSkills!DH3:DI6,2,FALSE)+IF(AND(Calculator!B8=TRUE,Backdoors!BI28=TRUE),VLOOKUP(Calculator!E23,tbSkills!DH3:DJ6,3,FALSE),0),0)))/100)),1))*IF(VLOOKUP(A54,tbMoveset!A2:K112,11,FALSE)=TRUE,Backdoors!AC5,1))*FV54,0),"")</f>
        <v>0</v>
      </c>
      <c r="FZ54" s="49">
        <f>VLOOKUP(A54,tbMoveset!A2:G112,7,FALSE)*IFERROR(IF(Backdoors!AI12&gt;=0,1+(IF(Calculator!E40&gt;0,VLOOKUP(Calculator!E40,tbSkills!AI3:AJ5,2,FALSE),Backdoors!AL4)*(IF((Backdoors!AI12+IF(FU54&gt;=0.45,VLOOKUP(Calculator!E23,tbSkills!DH3:DI6,2,FALSE)+IF(AND(Calculator!B8=TRUE,Backdoors!BI28=TRUE),VLOOKUP(Calculator!E23,tbSkills!DH3:DJ6,3,FALSE),0),0))&gt;=100,100,(Backdoors!AI12+IF(FU54&gt;=0.45,VLOOKUP(Calculator!E23,tbSkills!DH3:DI6,2,FALSE)+IF(AND(Calculator!B8=TRUE,Backdoors!BI28=TRUE),VLOOKUP(Calculator!E23,tbSkills!DH3:DJ6,3,FALSE),0),0)))/100)),1),1)</f>
        <v>0.6</v>
      </c>
      <c r="GA54" s="87">
        <f t="shared" si="18"/>
        <v>0</v>
      </c>
      <c r="GB54" s="86" t="str">
        <f>IFERROR(IF(VLOOKUP(A54,tbMoveset!A2:B112,2,FALSE)="Sever",Backdoors!AY29/100,IF(VLOOKUP(A54,tbMoveset!A2:B112,2,FALSE)="Blunt",Backdoors!AZ29/100,Backdoors!BA29/100)),"")</f>
        <v/>
      </c>
      <c r="GC54" s="49">
        <f>IFERROR(IF(VLOOKUP(tbMoveset!A54,tbMoveset!A2:H112,8,FALSE)="Other",IF(VLOOKUP(tbMoveset!A54,tbMoveset!A2:I112,9,FALSE)="Fire",Backdoors!BB29,IF(VLOOKUP(tbMoveset!A54,tbMoveset!A2:I112,9,FALSE)="Water",Backdoors!BC29,IF(VLOOKUP(tbMoveset!A54,tbMoveset!A2:I112,9,FALSE)="Thunder",Backdoors!BD29,IF(VLOOKUP(tbMoveset!A54,tbMoveset!A2:I112,9,FALSE)="Ice",Backdoors!BE29,IF(VLOOKUP(tbMoveset!A54,tbMoveset!A2:I112,9,FALSE)="Dragon",Backdoors!BF29,Backdoors!BG29)))))/100,Backdoors!BG29/100),"")</f>
        <v>0</v>
      </c>
      <c r="GD54" s="49">
        <f>IFERROR(IF(VLOOKUP(A54,tbMoveset!A2:J112,10,FALSE)=TRUE,IF((Backdoors!AI12+IF(GB54&gt;=0.45,VLOOKUP(Calculator!E23,tbSkills!DH3:DI6,2,FALSE)+IF(AND(Calculator!B8=TRUE,Backdoors!BI29=TRUE),VLOOKUP(Calculator!E23,tbSkills!DH3:DJ6,3,FALSE),0),0))&gt;=0,1+(Backdoors!AL2*(IF((Backdoors!AI12+IF(GB54&gt;=0.45,VLOOKUP(Calculator!E23,tbSkills!DH3:DI6,2,FALSE)+IF(AND(Calculator!B8=TRUE,Backdoors!BI29=TRUE),VLOOKUP(Calculator!E23,tbSkills!DH3:DJ6,3,FALSE),0),0))&gt;=100,100,(Backdoors!AI12+IF(GB54&gt;=0.45,VLOOKUP(Calculator!E23,tbSkills!DH3:DI6,2,FALSE)+IF(AND(Calculator!B8=TRUE,Backdoors!BI29=TRUE),VLOOKUP(Calculator!E23,tbSkills!DH3:DJ6,3,FALSE),0),0)))/100)),(1-(0.25*((-Backdoors!AI12-IF(GB54&gt;=0.45,VLOOKUP(Calculator!E23,tbSkills!DH3:DI6,2,FALSE)+IF(AND(Calculator!B8=TRUE,Backdoors!BI29=TRUE),VLOOKUP(Calculator!E23,tbSkills!DH3:DJ6,3,FALSE),0),0))/100)))),1),"")</f>
        <v>1</v>
      </c>
      <c r="GE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B54)*GD54)*(VLOOKUP(A54,tbMoveset!A2:C112,3,FALSE)/100)*IF(VLOOKUP(A54,tbMoveset!A2:B112,2,FALSE)="Projectile",Backdoors!N10,Backdoors!N9),0),"")</f>
        <v/>
      </c>
      <c r="GF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B54&gt;=0.45,VLOOKUP(Calculator!E23,tbSkills!DH3:DI6,2,FALSE)+IF(AND(Calculator!B8=TRUE,Backdoors!BI29=TRUE),VLOOKUP(Calculator!E23,tbSkills!DH3:DJ6,3,FALSE),0),0))&gt;=100,100,(Backdoors!AI12+IF(GB54&gt;=0.45,VLOOKUP(Calculator!E23,tbSkills!DH3:DI6,2,FALSE)+IF(AND(Calculator!B8=TRUE,Backdoors!BI29=TRUE),VLOOKUP(Calculator!E23,tbSkills!DH3:DJ6,3,FALSE),0),0)))/100)),1))*IF(VLOOKUP(A54,tbMoveset!A2:K112,11,FALSE)=TRUE,Backdoors!AC5,1))*GC54,0),"")</f>
        <v>0</v>
      </c>
      <c r="GG54" s="49">
        <f>VLOOKUP(A54,tbMoveset!A2:G112,7,FALSE)*IFERROR(IF(Backdoors!AI12&gt;=0,1+(IF(Calculator!E40&gt;0,VLOOKUP(Calculator!E40,tbSkills!AI3:AJ5,2,FALSE),Backdoors!AL4)*(IF((Backdoors!AI12+IF(GB54&gt;=0.45,VLOOKUP(Calculator!E23,tbSkills!DH3:DI6,2,FALSE)+IF(AND(Calculator!B8=TRUE,Backdoors!BI29=TRUE),VLOOKUP(Calculator!E23,tbSkills!DH3:DJ6,3,FALSE),0),0))&gt;=100,100,(Backdoors!AI12+IF(GB54&gt;=0.45,VLOOKUP(Calculator!E23,tbSkills!DH3:DI6,2,FALSE)+IF(AND(Calculator!B8=TRUE,Backdoors!BI29=TRUE),VLOOKUP(Calculator!E23,tbSkills!DH3:DJ6,3,FALSE),0),0)))/100)),1),1)</f>
        <v>0.6</v>
      </c>
      <c r="GH54" s="87">
        <f t="shared" si="19"/>
        <v>0</v>
      </c>
      <c r="GI54" s="86" t="str">
        <f>IFERROR(IF(VLOOKUP(A54,tbMoveset!A2:B112,2,FALSE)="Sever",Backdoors!AY30/100,IF(VLOOKUP(A54,tbMoveset!A2:B112,2,FALSE)="Blunt",Backdoors!AZ30/100,Backdoors!BA30/100)),"")</f>
        <v/>
      </c>
      <c r="GJ54" s="49">
        <f>IFERROR(IF(VLOOKUP(tbMoveset!A54,tbMoveset!A2:H112,8,FALSE)="Other",IF(VLOOKUP(tbMoveset!A54,tbMoveset!A2:I112,9,FALSE)="Fire",Backdoors!BB30,IF(VLOOKUP(tbMoveset!A54,tbMoveset!A2:I112,9,FALSE)="Water",Backdoors!BC30,IF(VLOOKUP(tbMoveset!A54,tbMoveset!A2:I112,9,FALSE)="Thunder",Backdoors!BD30,IF(VLOOKUP(tbMoveset!A54,tbMoveset!A2:I112,9,FALSE)="Ice",Backdoors!BE30,IF(VLOOKUP(tbMoveset!A54,tbMoveset!A2:I112,9,FALSE)="Dragon",Backdoors!BF30,Backdoors!BG30)))))/100,Backdoors!BG30/100),"")</f>
        <v>0</v>
      </c>
      <c r="GK54" s="49">
        <f>IFERROR(IF(VLOOKUP(A54,tbMoveset!A2:J112,10,FALSE)=TRUE,IF((Backdoors!AI12+IF(GI54&gt;=0.45,VLOOKUP(Calculator!E23,tbSkills!DH3:DI6,2,FALSE)+IF(AND(Calculator!B8=TRUE,Backdoors!BI30=TRUE),VLOOKUP(Calculator!E23,tbSkills!DH3:DJ6,3,FALSE),0),0))&gt;=0,1+(Backdoors!AL2*(IF((Backdoors!AI12+IF(GI54&gt;=0.45,VLOOKUP(Calculator!E23,tbSkills!DH3:DI6,2,FALSE)+IF(AND(Calculator!B8=TRUE,Backdoors!BI30=TRUE),VLOOKUP(Calculator!E23,tbSkills!DH3:DJ6,3,FALSE),0),0))&gt;=100,100,(Backdoors!AI12+IF(GI54&gt;=0.45,VLOOKUP(Calculator!E23,tbSkills!DH3:DI6,2,FALSE)+IF(AND(Calculator!B8=TRUE,Backdoors!BI30=TRUE),VLOOKUP(Calculator!E23,tbSkills!DH3:DJ6,3,FALSE),0),0)))/100)),(1-(0.25*((-Backdoors!AI12-IF(GI54&gt;=0.45,VLOOKUP(Calculator!E23,tbSkills!DH3:DI6,2,FALSE)+IF(AND(Calculator!B8=TRUE,Backdoors!BI30=TRUE),VLOOKUP(Calculator!E23,tbSkills!DH3:DJ6,3,FALSE),0),0))/100)))),1),"")</f>
        <v>1</v>
      </c>
      <c r="GL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I54)*GK54)*(VLOOKUP(A54,tbMoveset!A2:C112,3,FALSE)/100)*IF(VLOOKUP(A54,tbMoveset!A2:B112,2,FALSE)="Projectile",Backdoors!N10,Backdoors!N9),0),"")</f>
        <v/>
      </c>
      <c r="GM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I54&gt;=0.45,VLOOKUP(Calculator!E23,tbSkills!DH3:DI6,2,FALSE)+IF(AND(Calculator!B8=TRUE,Backdoors!BI30=TRUE),VLOOKUP(Calculator!E23,tbSkills!DH3:DJ6,3,FALSE),0),0))&gt;=100,100,(Backdoors!AI12+IF(GI54&gt;=0.45,VLOOKUP(Calculator!E23,tbSkills!DH3:DI6,2,FALSE)+IF(AND(Calculator!B8=TRUE,Backdoors!BI30=TRUE),VLOOKUP(Calculator!E23,tbSkills!DH3:DJ6,3,FALSE),0),0)))/100)),1))*IF(VLOOKUP(A54,tbMoveset!A2:K112,11,FALSE)=TRUE,Backdoors!AC5,1))*GJ54,0),"")</f>
        <v>0</v>
      </c>
      <c r="GN54" s="49">
        <f>VLOOKUP(A54,tbMoveset!A2:G112,7,FALSE)*IFERROR(IF(Backdoors!AI12&gt;=0,1+(IF(Calculator!E40&gt;0,VLOOKUP(Calculator!E40,tbSkills!AI3:AJ5,2,FALSE),Backdoors!AL4)*(IF((Backdoors!AI12+IF(GI54&gt;=0.45,VLOOKUP(Calculator!E23,tbSkills!DH3:DI6,2,FALSE)+IF(AND(Calculator!B8=TRUE,Backdoors!BI30=TRUE),VLOOKUP(Calculator!E23,tbSkills!DH3:DJ6,3,FALSE),0),0))&gt;=100,100,(Backdoors!AI12+IF(GI54&gt;=0.45,VLOOKUP(Calculator!E23,tbSkills!DH3:DI6,2,FALSE)+IF(AND(Calculator!B8=TRUE,Backdoors!BI30=TRUE),VLOOKUP(Calculator!E23,tbSkills!DH3:DJ6,3,FALSE),0),0)))/100)),1),1)</f>
        <v>0.6</v>
      </c>
      <c r="GO54" s="87">
        <f t="shared" si="20"/>
        <v>0</v>
      </c>
      <c r="GP54" s="86" t="str">
        <f>IFERROR(IF(VLOOKUP(A54,tbMoveset!A2:B112,2,FALSE)="Sever",Backdoors!AY31/100,IF(VLOOKUP(A54,tbMoveset!A2:B112,2,FALSE)="Blunt",Backdoors!AZ31/100,Backdoors!BA31/100)),"")</f>
        <v/>
      </c>
      <c r="GQ54" s="49">
        <f>IFERROR(IF(VLOOKUP(tbMoveset!A54,tbMoveset!A2:H112,8,FALSE)="Other",IF(VLOOKUP(tbMoveset!A54,tbMoveset!A2:I112,9,FALSE)="Fire",Backdoors!BB31,IF(VLOOKUP(tbMoveset!A54,tbMoveset!A2:I112,9,FALSE)="Water",Backdoors!BC31,IF(VLOOKUP(tbMoveset!A54,tbMoveset!A2:I112,9,FALSE)="Thunder",Backdoors!BD31,IF(VLOOKUP(tbMoveset!A54,tbMoveset!A2:I112,9,FALSE)="Ice",Backdoors!BE31,IF(VLOOKUP(tbMoveset!A54,tbMoveset!A2:I112,9,FALSE)="Dragon",Backdoors!BF31,Backdoors!BG31)))))/100,Backdoors!BG31/100),"")</f>
        <v>0</v>
      </c>
      <c r="GR54" s="49">
        <f>IFERROR(IF(VLOOKUP(A54,tbMoveset!A2:J112,10,FALSE)=TRUE,IF((Backdoors!AI12+IF(GP54&gt;=0.45,VLOOKUP(Calculator!E23,tbSkills!DH3:DI6,2,FALSE)+IF(AND(Calculator!B8=TRUE,Backdoors!BI31=TRUE),VLOOKUP(Calculator!E23,tbSkills!DH3:DJ6,3,FALSE),0),0))&gt;=0,1+(Backdoors!AL2*(IF((Backdoors!AI12+IF(GP54&gt;=0.45,VLOOKUP(Calculator!E23,tbSkills!DH3:DI6,2,FALSE)+IF(AND(Calculator!B8=TRUE,Backdoors!BI31=TRUE),VLOOKUP(Calculator!E23,tbSkills!DH3:DJ6,3,FALSE),0),0))&gt;=100,100,(Backdoors!AI12+IF(GP54&gt;=0.45,VLOOKUP(Calculator!E23,tbSkills!DH3:DI6,2,FALSE)+IF(AND(Calculator!B8=TRUE,Backdoors!BI31=TRUE),VLOOKUP(Calculator!E23,tbSkills!DH3:DJ6,3,FALSE),0),0)))/100)),(1-(0.25*((-Backdoors!AI12-IF(GP54&gt;=0.45,VLOOKUP(Calculator!E23,tbSkills!DH3:DI6,2,FALSE)+IF(AND(Calculator!B8=TRUE,Backdoors!BI31=TRUE),VLOOKUP(Calculator!E23,tbSkills!DH3:DJ6,3,FALSE),0),0))/100)))),1),"")</f>
        <v>1</v>
      </c>
      <c r="GS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P54)*GR54)*(VLOOKUP(A54,tbMoveset!A2:C112,3,FALSE)/100)*IF(VLOOKUP(A54,tbMoveset!A2:B112,2,FALSE)="Projectile",Backdoors!N10,Backdoors!N9),0),"")</f>
        <v/>
      </c>
      <c r="GT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P54&gt;=0.45,VLOOKUP(Calculator!E23,tbSkills!DH3:DI6,2,FALSE)+IF(AND(Calculator!B8=TRUE,Backdoors!BI31=TRUE),VLOOKUP(Calculator!E23,tbSkills!DH3:DJ6,3,FALSE),0),0))&gt;=100,100,(Backdoors!AI12+IF(GP54&gt;=0.45,VLOOKUP(Calculator!E23,tbSkills!DH3:DI6,2,FALSE)+IF(AND(Calculator!B8=TRUE,Backdoors!BI31=TRUE),VLOOKUP(Calculator!E23,tbSkills!DH3:DJ6,3,FALSE),0),0)))/100)),1))*IF(VLOOKUP(A54,tbMoveset!A2:K112,11,FALSE)=TRUE,Backdoors!AC5,1))*GQ54,0),"")</f>
        <v>0</v>
      </c>
      <c r="GU54" s="49">
        <f>VLOOKUP(A54,tbMoveset!A2:G112,7,FALSE)*IFERROR(IF(Backdoors!AI12&gt;=0,1+(IF(Calculator!E40&gt;0,VLOOKUP(Calculator!E40,tbSkills!AI3:AJ5,2,FALSE),Backdoors!AL4)*(IF((Backdoors!AI12+IF(GP54&gt;=0.45,VLOOKUP(Calculator!E23,tbSkills!DH3:DI6,2,FALSE)+IF(AND(Calculator!B8=TRUE,Backdoors!BI31=TRUE),VLOOKUP(Calculator!E23,tbSkills!DH3:DJ6,3,FALSE),0),0))&gt;=100,100,(Backdoors!AI12+IF(GP54&gt;=0.45,VLOOKUP(Calculator!E23,tbSkills!DH3:DI6,2,FALSE)+IF(AND(Calculator!B8=TRUE,Backdoors!BI31=TRUE),VLOOKUP(Calculator!E23,tbSkills!DH3:DJ6,3,FALSE),0),0)))/100)),1),1)</f>
        <v>0.6</v>
      </c>
      <c r="GV54" s="87">
        <f t="shared" si="21"/>
        <v>0</v>
      </c>
      <c r="GW54" s="86" t="str">
        <f>IFERROR(IF(VLOOKUP(A54,tbMoveset!A2:B112,2,FALSE)="Sever",Backdoors!AY32/100,IF(VLOOKUP(A54,tbMoveset!A2:B112,2,FALSE)="Blunt",Backdoors!AZ32/100,Backdoors!BA32/100)),"")</f>
        <v/>
      </c>
      <c r="GX54" s="49">
        <f>IFERROR(IF(VLOOKUP(tbMoveset!A54,tbMoveset!A2:H112,8,FALSE)="Other",IF(VLOOKUP(tbMoveset!A54,tbMoveset!A2:I112,9,FALSE)="Fire",Backdoors!BB32,IF(VLOOKUP(tbMoveset!A54,tbMoveset!A2:I112,9,FALSE)="Water",Backdoors!BC32,IF(VLOOKUP(tbMoveset!A54,tbMoveset!A2:I112,9,FALSE)="Thunder",Backdoors!BD32,IF(VLOOKUP(tbMoveset!A54,tbMoveset!A2:I112,9,FALSE)="Ice",Backdoors!BE32,IF(VLOOKUP(tbMoveset!A54,tbMoveset!A2:I112,9,FALSE)="Dragon",Backdoors!BF32,Backdoors!BG32)))))/100,Backdoors!BG32/100),"")</f>
        <v>0</v>
      </c>
      <c r="GY54" s="49">
        <f>IFERROR(IF(VLOOKUP(A54,tbMoveset!A2:J112,10,FALSE)=TRUE,IF((Backdoors!AI12+IF(GW54&gt;=0.45,VLOOKUP(Calculator!E23,tbSkills!DH3:DI6,2,FALSE)+IF(AND(Calculator!B8=TRUE,Backdoors!BI32=TRUE),VLOOKUP(Calculator!E23,tbSkills!DH3:DJ6,3,FALSE),0),0))&gt;=0,1+(Backdoors!AL2*(IF((Backdoors!AI12+IF(GW54&gt;=0.45,VLOOKUP(Calculator!E23,tbSkills!DH3:DI6,2,FALSE)+IF(AND(Calculator!B8=TRUE,Backdoors!BI32=TRUE),VLOOKUP(Calculator!E23,tbSkills!DH3:DJ6,3,FALSE),0),0))&gt;=100,100,(Backdoors!AI12+IF(GW54&gt;=0.45,VLOOKUP(Calculator!E23,tbSkills!DH3:DI6,2,FALSE)+IF(AND(Calculator!B8=TRUE,Backdoors!BI32=TRUE),VLOOKUP(Calculator!E23,tbSkills!DH3:DJ6,3,FALSE),0),0)))/100)),(1-(0.25*((-Backdoors!AI12-IF(GW54&gt;=0.45,VLOOKUP(Calculator!E23,tbSkills!DH3:DI6,2,FALSE)+IF(AND(Calculator!B8=TRUE,Backdoors!BI32=TRUE),VLOOKUP(Calculator!E23,tbSkills!DH3:DJ6,3,FALSE),0),0))/100)))),1),"")</f>
        <v>1</v>
      </c>
      <c r="GZ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W54)*GY54)*(VLOOKUP(A54,tbMoveset!A2:C112,3,FALSE)/100)*IF(VLOOKUP(A54,tbMoveset!A2:B112,2,FALSE)="Projectile",Backdoors!N10,Backdoors!N9),0),"")</f>
        <v/>
      </c>
      <c r="HA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W54&gt;=0.45,VLOOKUP(Calculator!E23,tbSkills!DH3:DI6,2,FALSE)+IF(AND(Calculator!B8=TRUE,Backdoors!BI32=TRUE),VLOOKUP(Calculator!E23,tbSkills!DH3:DJ6,3,FALSE),0),0))&gt;=100,100,(Backdoors!AI12+IF(GW54&gt;=0.45,VLOOKUP(Calculator!E23,tbSkills!DH3:DI6,2,FALSE)+IF(AND(Calculator!B8=TRUE,Backdoors!BI32=TRUE),VLOOKUP(Calculator!E23,tbSkills!DH3:DJ6,3,FALSE),0),0)))/100)),1))*IF(VLOOKUP(A54,tbMoveset!A2:K112,11,FALSE)=TRUE,Backdoors!AC5,1))*GX54,0),"")</f>
        <v>0</v>
      </c>
      <c r="HB54" s="49">
        <f>VLOOKUP(A54,tbMoveset!A2:G112,7,FALSE)*IFERROR(IF(Backdoors!AI12&gt;=0,1+(IF(Calculator!E40&gt;0,VLOOKUP(Calculator!E40,tbSkills!AI3:AJ5,2,FALSE),Backdoors!AL4)*(IF((Backdoors!AI12+IF(GW54&gt;=0.45,VLOOKUP(Calculator!E23,tbSkills!DH3:DI6,2,FALSE)+IF(AND(Calculator!B8=TRUE,Backdoors!BI32=TRUE),VLOOKUP(Calculator!E23,tbSkills!DH3:DJ6,3,FALSE),0),0))&gt;=100,100,(Backdoors!AI12+IF(GW54&gt;=0.45,VLOOKUP(Calculator!E23,tbSkills!DH3:DI6,2,FALSE)+IF(AND(Calculator!B8=TRUE,Backdoors!BI32=TRUE),VLOOKUP(Calculator!E23,tbSkills!DH3:DJ6,3,FALSE),0),0)))/100)),1),1)</f>
        <v>0.6</v>
      </c>
      <c r="HC54" s="87">
        <f t="shared" si="22"/>
        <v>0</v>
      </c>
      <c r="HD54" s="86" t="str">
        <f>IFERROR(IF(VLOOKUP(A54,tbMoveset!A2:B112,2,FALSE)="Sever",Backdoors!AY33/100,IF(VLOOKUP(A54,tbMoveset!A2:B112,2,FALSE)="Blunt",Backdoors!AZ33/100,Backdoors!BA33/100)),"")</f>
        <v/>
      </c>
      <c r="HE54" s="49">
        <f>IFERROR(IF(VLOOKUP(tbMoveset!A54,tbMoveset!A2:H112,8,FALSE)="Other",IF(VLOOKUP(tbMoveset!A54,tbMoveset!A2:I112,9,FALSE)="Fire",Backdoors!BB33,IF(VLOOKUP(tbMoveset!A54,tbMoveset!A2:I112,9,FALSE)="Water",Backdoors!BC33,IF(VLOOKUP(tbMoveset!A54,tbMoveset!A2:I112,9,FALSE)="Thunder",Backdoors!BD33,IF(VLOOKUP(tbMoveset!A54,tbMoveset!A2:I112,9,FALSE)="Ice",Backdoors!BE33,IF(VLOOKUP(tbMoveset!A54,tbMoveset!A2:I112,9,FALSE)="Dragon",Backdoors!BF33,Backdoors!BG33)))))/100,Backdoors!BG33/100),"")</f>
        <v>0</v>
      </c>
      <c r="HF54" s="49">
        <f>IFERROR(IF(VLOOKUP(A54,tbMoveset!A2:J112,10,FALSE)=TRUE,IF((Backdoors!AI12+IF(HD54&gt;=0.45,VLOOKUP(Calculator!E23,tbSkills!DH3:DI6,2,FALSE)+IF(AND(Calculator!B8=TRUE,Backdoors!BI33=TRUE),VLOOKUP(Calculator!E23,tbSkills!DH3:DJ6,3,FALSE),0),0))&gt;=0,1+(Backdoors!AL2*(IF((Backdoors!AI12+IF(HD54&gt;=0.45,VLOOKUP(Calculator!E23,tbSkills!DH3:DI6,2,FALSE)+IF(AND(Calculator!B8=TRUE,Backdoors!BI33=TRUE),VLOOKUP(Calculator!E23,tbSkills!DH3:DJ6,3,FALSE),0),0))&gt;=100,100,(Backdoors!AI12+IF(HD54&gt;=0.45,VLOOKUP(Calculator!E23,tbSkills!DH3:DI6,2,FALSE)+IF(AND(Calculator!B8=TRUE,Backdoors!BI33=TRUE),VLOOKUP(Calculator!E23,tbSkills!DH3:DJ6,3,FALSE),0),0)))/100)),(1-(0.25*((-Backdoors!AI12-IF(HD54&gt;=0.45,VLOOKUP(Calculator!E23,tbSkills!DH3:DI6,2,FALSE)+IF(AND(Calculator!B8=TRUE,Backdoors!BI33=TRUE),VLOOKUP(Calculator!E23,tbSkills!DH3:DJ6,3,FALSE),0),0))/100)))),1),"")</f>
        <v>1</v>
      </c>
      <c r="HG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D54)*HF54)*(VLOOKUP(A54,tbMoveset!A2:C112,3,FALSE)/100)*IF(VLOOKUP(A54,tbMoveset!A2:B112,2,FALSE)="Projectile",Backdoors!N10,Backdoors!N9),0),"")</f>
        <v/>
      </c>
      <c r="HH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D54&gt;=0.45,VLOOKUP(Calculator!E23,tbSkills!DH3:DI6,2,FALSE)+IF(AND(Calculator!B8=TRUE,Backdoors!BI33=TRUE),VLOOKUP(Calculator!E23,tbSkills!DH3:DJ6,3,FALSE),0),0))&gt;=100,100,(Backdoors!AI12+IF(HD54&gt;=0.45,VLOOKUP(Calculator!E23,tbSkills!DH3:DI6,2,FALSE)+IF(AND(Calculator!B8=TRUE,Backdoors!BI33=TRUE),VLOOKUP(Calculator!E23,tbSkills!DH3:DJ6,3,FALSE),0),0)))/100)),1))*IF(VLOOKUP(A54,tbMoveset!A2:K112,11,FALSE)=TRUE,Backdoors!AC5,1))*HE54,0),"")</f>
        <v>0</v>
      </c>
      <c r="HI54" s="49">
        <f>VLOOKUP(A54,tbMoveset!A2:G112,7,FALSE)*IFERROR(IF(Backdoors!AI12&gt;=0,1+(IF(Calculator!E40&gt;0,VLOOKUP(Calculator!E40,tbSkills!AI3:AJ5,2,FALSE),Backdoors!AL4)*(IF((Backdoors!AI12+IF(HD54&gt;=0.45,VLOOKUP(Calculator!E23,tbSkills!DH3:DI6,2,FALSE)+IF(AND(Calculator!B8=TRUE,Backdoors!BI33=TRUE),VLOOKUP(Calculator!E23,tbSkills!DH3:DJ6,3,FALSE),0),0))&gt;=100,100,(Backdoors!AI12+IF(HD54&gt;=0.45,VLOOKUP(Calculator!E23,tbSkills!DH3:DI6,2,FALSE)+IF(AND(Calculator!B8=TRUE,Backdoors!BI33=TRUE),VLOOKUP(Calculator!E23,tbSkills!DH3:DJ6,3,FALSE),0),0)))/100)),1),1)</f>
        <v>0.6</v>
      </c>
      <c r="HJ54" s="87">
        <f t="shared" si="23"/>
        <v>0</v>
      </c>
      <c r="HK54" s="86" t="str">
        <f>IFERROR(IF(VLOOKUP(A54,tbMoveset!A2:B112,2,FALSE)="Sever",Backdoors!AY34/100,IF(VLOOKUP(A54,tbMoveset!A2:B112,2,FALSE)="Blunt",Backdoors!AZ34/100,Backdoors!BA34/100)),"")</f>
        <v/>
      </c>
      <c r="HL54" s="49">
        <f>IFERROR(IF(VLOOKUP(tbMoveset!A54,tbMoveset!A2:H112,8,FALSE)="Other",IF(VLOOKUP(tbMoveset!A54,tbMoveset!A2:I112,9,FALSE)="Fire",Backdoors!BB34,IF(VLOOKUP(tbMoveset!A54,tbMoveset!A2:I112,9,FALSE)="Water",Backdoors!BC34,IF(VLOOKUP(tbMoveset!A54,tbMoveset!A2:I112,9,FALSE)="Thunder",Backdoors!BD34,IF(VLOOKUP(tbMoveset!A54,tbMoveset!A2:I112,9,FALSE)="Ice",Backdoors!BE34,IF(VLOOKUP(tbMoveset!A54,tbMoveset!A2:I112,9,FALSE)="Dragon",Backdoors!BF34,Backdoors!BG34)))))/100,Backdoors!BG34/100),"")</f>
        <v>0</v>
      </c>
      <c r="HM54" s="49">
        <f>IFERROR(IF(VLOOKUP(A54,tbMoveset!A2:J112,10,FALSE)=TRUE,IF((Backdoors!AI12+IF(HK54&gt;=0.45,VLOOKUP(Calculator!E23,tbSkills!DH3:DI6,2,FALSE)+IF(AND(Calculator!B8=TRUE,Backdoors!BI34=TRUE),VLOOKUP(Calculator!E23,tbSkills!DH3:DJ6,3,FALSE),0),0))&gt;=0,1+(Backdoors!AL2*(IF((Backdoors!AI12+IF(HK54&gt;=0.45,VLOOKUP(Calculator!E23,tbSkills!DH3:DI6,2,FALSE)+IF(AND(Calculator!B8=TRUE,Backdoors!BI34=TRUE),VLOOKUP(Calculator!E23,tbSkills!DH3:DJ6,3,FALSE),0),0))&gt;=100,100,(Backdoors!AI12+IF(HK54&gt;=0.45,VLOOKUP(Calculator!E23,tbSkills!DH3:DI6,2,FALSE)+IF(AND(Calculator!B8=TRUE,Backdoors!BI34=TRUE),VLOOKUP(Calculator!E23,tbSkills!DH3:DJ6,3,FALSE),0),0)))/100)),(1-(0.25*((-Backdoors!AI12-IF(HK54&gt;=0.45,VLOOKUP(Calculator!E23,tbSkills!DH3:DI6,2,FALSE)+IF(AND(Calculator!B8=TRUE,Backdoors!BI34=TRUE),VLOOKUP(Calculator!E23,tbSkills!DH3:DJ6,3,FALSE),0),0))/100)))),1),"")</f>
        <v>1</v>
      </c>
      <c r="HN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K54)*HM54)*(VLOOKUP(A54,tbMoveset!A2:C112,3,FALSE)/100)*IF(VLOOKUP(A54,tbMoveset!A2:B112,2,FALSE)="Projectile",Backdoors!N10,Backdoors!N9),0),"")</f>
        <v/>
      </c>
      <c r="HO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K54&gt;=0.45,VLOOKUP(Calculator!E23,tbSkills!DH3:DI6,2,FALSE)+IF(AND(Calculator!B8=TRUE,Backdoors!BI34=TRUE),VLOOKUP(Calculator!E23,tbSkills!DH3:DJ6,3,FALSE),0),0))&gt;=100,100,(Backdoors!AI12+IF(HK54&gt;=0.45,VLOOKUP(Calculator!E23,tbSkills!DH3:DI6,2,FALSE)+IF(AND(Calculator!B8=TRUE,Backdoors!BI34=TRUE),VLOOKUP(Calculator!E23,tbSkills!DH3:DJ6,3,FALSE),0),0)))/100)),1))*IF(VLOOKUP(A54,tbMoveset!A2:K112,11,FALSE)=TRUE,Backdoors!AC5,1))*HL54,0),"")</f>
        <v>0</v>
      </c>
      <c r="HP54" s="49">
        <f>VLOOKUP(A54,tbMoveset!A2:G112,7,FALSE)*IFERROR(IF(Backdoors!AI12&gt;=0,1+(IF(Calculator!E40&gt;0,VLOOKUP(Calculator!E40,tbSkills!AI3:AJ5,2,FALSE),Backdoors!AL4)*(IF((Backdoors!AI12+IF(HK54&gt;=0.45,VLOOKUP(Calculator!E23,tbSkills!DH3:DI6,2,FALSE)+IF(AND(Calculator!B8=TRUE,Backdoors!BI34=TRUE),VLOOKUP(Calculator!E23,tbSkills!DH3:DJ6,3,FALSE),0),0))&gt;=100,100,(Backdoors!AI12+IF(HK54&gt;=0.45,VLOOKUP(Calculator!E23,tbSkills!DH3:DI6,2,FALSE)+IF(AND(Calculator!B8=TRUE,Backdoors!BI34=TRUE),VLOOKUP(Calculator!E23,tbSkills!DH3:DJ6,3,FALSE),0),0)))/100)),1),1)</f>
        <v>0.6</v>
      </c>
      <c r="HQ54" s="87">
        <f t="shared" si="24"/>
        <v>0</v>
      </c>
      <c r="HR54" s="86" t="str">
        <f>IFERROR(IF(VLOOKUP(A54,tbMoveset!A2:B112,2,FALSE)="Sever",Backdoors!AY35/100,IF(VLOOKUP(A54,tbMoveset!A2:B112,2,FALSE)="Blunt",Backdoors!AZ35/100,Backdoors!BA35/100)),"")</f>
        <v/>
      </c>
      <c r="HS54" s="49">
        <f>IFERROR(IF(VLOOKUP(tbMoveset!A54,tbMoveset!A2:H112,8,FALSE)="Other",IF(VLOOKUP(tbMoveset!A54,tbMoveset!A2:I112,9,FALSE)="Fire",Backdoors!BB35,IF(VLOOKUP(tbMoveset!A54,tbMoveset!A2:I112,9,FALSE)="Water",Backdoors!BC35,IF(VLOOKUP(tbMoveset!A54,tbMoveset!A2:I112,9,FALSE)="Thunder",Backdoors!BD35,IF(VLOOKUP(tbMoveset!A54,tbMoveset!A2:I112,9,FALSE)="Ice",Backdoors!BE35,IF(VLOOKUP(tbMoveset!A54,tbMoveset!A2:I112,9,FALSE)="Dragon",Backdoors!BF35,Backdoors!BG35)))))/100,Backdoors!BG35/100),"")</f>
        <v>0</v>
      </c>
      <c r="HT54" s="49">
        <f>IFERROR(IF(VLOOKUP(A54,tbMoveset!A2:J112,10,FALSE)=TRUE,IF((Backdoors!AI12+IF(HR54&gt;=0.45,VLOOKUP(Calculator!E23,tbSkills!DH3:DI6,2,FALSE)+IF(AND(Calculator!B8=TRUE,Backdoors!BI35=TRUE),VLOOKUP(Calculator!E23,tbSkills!DH3:DJ6,3,FALSE),0),0))&gt;=0,1+(Backdoors!AL2*(IF((Backdoors!AI12+IF(HR54&gt;=0.45,VLOOKUP(Calculator!E23,tbSkills!DH3:DI6,2,FALSE)+IF(AND(Calculator!B8=TRUE,Backdoors!BI35=TRUE),VLOOKUP(Calculator!E23,tbSkills!DH3:DJ6,3,FALSE),0),0))&gt;=100,100,(Backdoors!AI12+IF(HR54&gt;=0.45,VLOOKUP(Calculator!E23,tbSkills!DH3:DI6,2,FALSE)+IF(AND(Calculator!B8=TRUE,Backdoors!BI35=TRUE),VLOOKUP(Calculator!E23,tbSkills!DH3:DJ6,3,FALSE),0),0)))/100)),(1-(0.25*((-Backdoors!AI12-IF(HR54&gt;=0.45,VLOOKUP(Calculator!E23,tbSkills!DH3:DI6,2,FALSE)+IF(AND(Calculator!B8=TRUE,Backdoors!BI35=TRUE),VLOOKUP(Calculator!E23,tbSkills!DH3:DJ6,3,FALSE),0),0))/100)))),1),"")</f>
        <v>1</v>
      </c>
      <c r="HU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R54)*HT54)*(VLOOKUP(A54,tbMoveset!A2:C112,3,FALSE)/100)*IF(VLOOKUP(A54,tbMoveset!A2:B112,2,FALSE)="Projectile",Backdoors!N10,Backdoors!N9),0),"")</f>
        <v/>
      </c>
      <c r="HV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R54&gt;=0.45,VLOOKUP(Calculator!E23,tbSkills!DH3:DI6,2,FALSE)+IF(AND(Calculator!B8=TRUE,Backdoors!BI35=TRUE),VLOOKUP(Calculator!E23,tbSkills!DH3:DJ6,3,FALSE),0),0))&gt;=100,100,(Backdoors!AI12+IF(HR54&gt;=0.45,VLOOKUP(Calculator!E23,tbSkills!DH3:DI6,2,FALSE)+IF(AND(Calculator!B8=TRUE,Backdoors!BI35=TRUE),VLOOKUP(Calculator!E23,tbSkills!DH3:DJ6,3,FALSE),0),0)))/100)),1))*IF(VLOOKUP(A54,tbMoveset!A2:K112,11,FALSE)=TRUE,Backdoors!AC5,1))*HS54,0),"")</f>
        <v>0</v>
      </c>
      <c r="HW54" s="49">
        <f>VLOOKUP(A54,tbMoveset!A2:G112,7,FALSE)*IFERROR(IF(Backdoors!AI12&gt;=0,1+(IF(Calculator!E40&gt;0,VLOOKUP(Calculator!E40,tbSkills!AI3:AJ5,2,FALSE),Backdoors!AL4)*(IF((Backdoors!AI12+IF(HR54&gt;=0.45,VLOOKUP(Calculator!E23,tbSkills!DH3:DI6,2,FALSE)+IF(AND(Calculator!B8=TRUE,Backdoors!BI35=TRUE),VLOOKUP(Calculator!E23,tbSkills!DH3:DJ6,3,FALSE),0),0))&gt;=100,100,(Backdoors!AI12+IF(HR54&gt;=0.45,VLOOKUP(Calculator!E23,tbSkills!DH3:DI6,2,FALSE)+IF(AND(Calculator!B8=TRUE,Backdoors!BI35=TRUE),VLOOKUP(Calculator!E23,tbSkills!DH3:DJ6,3,FALSE),0),0)))/100)),1),1)</f>
        <v>0.6</v>
      </c>
      <c r="HX54" s="87">
        <f t="shared" si="25"/>
        <v>0</v>
      </c>
      <c r="HY54" s="86" t="str">
        <f>IFERROR(IF(VLOOKUP(A54,tbMoveset!A2:B112,2,FALSE)="Sever",Backdoors!AY36/100,IF(VLOOKUP(A54,tbMoveset!A2:B112,2,FALSE)="Blunt",Backdoors!AZ36/100,Backdoors!BA36/100)),"")</f>
        <v/>
      </c>
      <c r="HZ54" s="49">
        <f>IFERROR(IF(VLOOKUP(tbMoveset!A54,tbMoveset!A2:H112,8,FALSE)="Other",IF(VLOOKUP(tbMoveset!A54,tbMoveset!A2:I112,9,FALSE)="Fire",Backdoors!BB36,IF(VLOOKUP(tbMoveset!A54,tbMoveset!A2:I112,9,FALSE)="Water",Backdoors!BC36,IF(VLOOKUP(tbMoveset!A54,tbMoveset!A2:I112,9,FALSE)="Thunder",Backdoors!BD36,IF(VLOOKUP(tbMoveset!A54,tbMoveset!A2:I112,9,FALSE)="Ice",Backdoors!BE36,IF(VLOOKUP(tbMoveset!A54,tbMoveset!A2:I112,9,FALSE)="Dragon",Backdoors!BF36,Backdoors!BG36)))))/100,Backdoors!BG36/100),"")</f>
        <v>0</v>
      </c>
      <c r="IA54" s="49">
        <f>IFERROR(IF(VLOOKUP(A54,tbMoveset!A2:J112,10,FALSE)=TRUE,IF((Backdoors!AI12+IF(HY54&gt;=0.45,VLOOKUP(Calculator!E23,tbSkills!DH3:DI6,2,FALSE)+IF(AND(Calculator!B8=TRUE,Backdoors!BI36=TRUE),VLOOKUP(Calculator!E23,tbSkills!DH3:DJ6,3,FALSE),0),0))&gt;=0,1+(Backdoors!AL2*(IF((Backdoors!AI12+IF(HY54&gt;=0.45,VLOOKUP(Calculator!E23,tbSkills!DH3:DI6,2,FALSE)+IF(AND(Calculator!B8=TRUE,Backdoors!BI36=TRUE),VLOOKUP(Calculator!E23,tbSkills!DH3:DJ6,3,FALSE),0),0))&gt;=100,100,(Backdoors!AI12+IF(HY54&gt;=0.45,VLOOKUP(Calculator!E23,tbSkills!DH3:DI6,2,FALSE)+IF(AND(Calculator!B8=TRUE,Backdoors!BI36=TRUE),VLOOKUP(Calculator!E23,tbSkills!DH3:DJ6,3,FALSE),0),0)))/100)),(1-(0.25*((-Backdoors!AI12-IF(HY54&gt;=0.45,VLOOKUP(Calculator!E23,tbSkills!DH3:DI6,2,FALSE)+IF(AND(Calculator!B8=TRUE,Backdoors!BI36=TRUE),VLOOKUP(Calculator!E23,tbSkills!DH3:DJ6,3,FALSE),0),0))/100)))),1),"")</f>
        <v>1</v>
      </c>
      <c r="IB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Y54)*IA54)*(VLOOKUP(A54,tbMoveset!A2:C112,3,FALSE)/100)*IF(VLOOKUP(A54,tbMoveset!A2:B112,2,FALSE)="Projectile",Backdoors!N10,Backdoors!N9),0),"")</f>
        <v/>
      </c>
      <c r="IC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Y54&gt;=0.45,VLOOKUP(Calculator!E23,tbSkills!DH3:DI6,2,FALSE)+IF(AND(Calculator!B8=TRUE,Backdoors!BI36=TRUE),VLOOKUP(Calculator!E23,tbSkills!DH3:DJ6,3,FALSE),0),0))&gt;=100,100,(Backdoors!AI12+IF(HY54&gt;=0.45,VLOOKUP(Calculator!E23,tbSkills!DH3:DI6,2,FALSE)+IF(AND(Calculator!B8=TRUE,Backdoors!BI36=TRUE),VLOOKUP(Calculator!E23,tbSkills!DH3:DJ6,3,FALSE),0),0)))/100)),1))*IF(VLOOKUP(A54,tbMoveset!A2:K112,11,FALSE)=TRUE,Backdoors!AC5,1))*HZ54,0),"")</f>
        <v>0</v>
      </c>
      <c r="ID54" s="49">
        <f>VLOOKUP(A54,tbMoveset!A2:G112,7,FALSE)*IFERROR(IF(Backdoors!AI12&gt;=0,1+(IF(Calculator!E40&gt;0,VLOOKUP(Calculator!E40,tbSkills!AI3:AJ5,2,FALSE),Backdoors!AL4)*(IF((Backdoors!AI12+IF(HY54&gt;=0.45,VLOOKUP(Calculator!E23,tbSkills!DH3:DI6,2,FALSE)+IF(AND(Calculator!B8=TRUE,Backdoors!BI36=TRUE),VLOOKUP(Calculator!E23,tbSkills!DH3:DJ6,3,FALSE),0),0))&gt;=100,100,(Backdoors!AI12+IF(HY54&gt;=0.45,VLOOKUP(Calculator!E23,tbSkills!DH3:DI6,2,FALSE)+IF(AND(Calculator!B8=TRUE,Backdoors!BI36=TRUE),VLOOKUP(Calculator!E23,tbSkills!DH3:DJ6,3,FALSE),0),0)))/100)),1),1)</f>
        <v>0.6</v>
      </c>
      <c r="IE54" s="87">
        <f t="shared" si="26"/>
        <v>0</v>
      </c>
      <c r="IF54" s="86" t="str">
        <f>IFERROR(IF(VLOOKUP(A54,tbMoveset!A2:B112,2,FALSE)="Sever",Backdoors!AY37/100,IF(VLOOKUP(A54,tbMoveset!A2:B112,2,FALSE)="Blunt",Backdoors!AZ37/100,Backdoors!BA37/100)),"")</f>
        <v/>
      </c>
      <c r="IG54" s="49">
        <f>IFERROR(IF(VLOOKUP(tbMoveset!A54,tbMoveset!A2:H112,8,FALSE)="Other",IF(VLOOKUP(tbMoveset!A54,tbMoveset!A2:I112,9,FALSE)="Fire",Backdoors!BB37,IF(VLOOKUP(tbMoveset!A54,tbMoveset!A2:I112,9,FALSE)="Water",Backdoors!BC37,IF(VLOOKUP(tbMoveset!A54,tbMoveset!A2:I112,9,FALSE)="Thunder",Backdoors!BD37,IF(VLOOKUP(tbMoveset!A54,tbMoveset!A2:I112,9,FALSE)="Ice",Backdoors!BE37,IF(VLOOKUP(tbMoveset!A54,tbMoveset!A2:I112,9,FALSE)="Dragon",Backdoors!BF37,Backdoors!BG37)))))/100,Backdoors!BG37/100),"")</f>
        <v>0</v>
      </c>
      <c r="IH54" s="49">
        <f>IFERROR(IF(VLOOKUP(A54,tbMoveset!A2:J112,10,FALSE)=TRUE,IF((Backdoors!AI12+IF(IF54&gt;=0.45,VLOOKUP(Calculator!E23,tbSkills!DH3:DI6,2,FALSE)+IF(AND(Calculator!B8=TRUE,Backdoors!BI37=TRUE),VLOOKUP(Calculator!E23,tbSkills!DH3:DJ6,3,FALSE),0),0))&gt;=0,1+(Backdoors!AL2*(IF((Backdoors!AI12+IF(IF54&gt;=0.45,VLOOKUP(Calculator!E23,tbSkills!DH3:DI6,2,FALSE)+IF(AND(Calculator!B8=TRUE,Backdoors!BI37=TRUE),VLOOKUP(Calculator!E23,tbSkills!DH3:DJ6,3,FALSE),0),0))&gt;=100,100,(Backdoors!AI12+IF(IF54&gt;=0.45,VLOOKUP(Calculator!E23,tbSkills!DH3:DI6,2,FALSE)+IF(AND(Calculator!B8=TRUE,Backdoors!BI37=TRUE),VLOOKUP(Calculator!E23,tbSkills!DH3:DJ6,3,FALSE),0),0)))/100)),(1-(0.25*((-Backdoors!AI12-IF(IF54&gt;=0.45,VLOOKUP(Calculator!E23,tbSkills!DH3:DI6,2,FALSE)+IF(AND(Calculator!B8=TRUE,Backdoors!BI37=TRUE),VLOOKUP(Calculator!E23,tbSkills!DH3:DJ6,3,FALSE),0),0))/100)))),1),"")</f>
        <v>1</v>
      </c>
      <c r="II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F54)*IH54)*(VLOOKUP(A54,tbMoveset!A2:C112,3,FALSE)/100)*IF(VLOOKUP(A54,tbMoveset!A2:B112,2,FALSE)="Projectile",Backdoors!N10,Backdoors!N9),0),"")</f>
        <v/>
      </c>
      <c r="IJ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IF54&gt;=0.45,VLOOKUP(Calculator!E23,tbSkills!DH3:DI6,2,FALSE)+IF(AND(Calculator!B8=TRUE,Backdoors!BI37=TRUE),VLOOKUP(Calculator!E23,tbSkills!DH3:DJ6,3,FALSE),0),0))&gt;=100,100,(Backdoors!AI12+IF(IF54&gt;=0.45,VLOOKUP(Calculator!E23,tbSkills!DH3:DI6,2,FALSE)+IF(AND(Calculator!B8=TRUE,Backdoors!BI37=TRUE),VLOOKUP(Calculator!E23,tbSkills!DH3:DJ6,3,FALSE),0),0)))/100)),1))*IF(VLOOKUP(A54,tbMoveset!A2:K112,11,FALSE)=TRUE,Backdoors!AC5,1))*IG54,0),"")</f>
        <v>0</v>
      </c>
      <c r="IK54" s="49">
        <f>VLOOKUP(A54,tbMoveset!A2:G112,7,FALSE)*IFERROR(IF(Backdoors!AI12&gt;=0,1+(IF(Calculator!E40&gt;0,VLOOKUP(Calculator!E40,tbSkills!AI3:AJ5,2,FALSE),Backdoors!AL4)*(IF((Backdoors!AI12+IF(IF54&gt;=0.45,VLOOKUP(Calculator!E23,tbSkills!DH3:DI6,2,FALSE)+IF(AND(Calculator!B8=TRUE,Backdoors!BI37=TRUE),VLOOKUP(Calculator!E23,tbSkills!DH3:DJ6,3,FALSE),0),0))&gt;=100,100,(Backdoors!AI12+IF(IF54&gt;=0.45,VLOOKUP(Calculator!E23,tbSkills!DH3:DI6,2,FALSE)+IF(AND(Calculator!B8=TRUE,Backdoors!BI37=TRUE),VLOOKUP(Calculator!E23,tbSkills!DH3:DJ6,3,FALSE),0),0)))/100)),1),1)</f>
        <v>0.6</v>
      </c>
      <c r="IL54" s="87">
        <f t="shared" si="27"/>
        <v>0</v>
      </c>
      <c r="IM54" s="86" t="str">
        <f>IFERROR(IF(VLOOKUP(A54,tbMoveset!A2:B112,2,FALSE)="Sever",Backdoors!AY38/100,IF(VLOOKUP(A54,tbMoveset!A2:B112,2,FALSE)="Blunt",Backdoors!AZ38/100,Backdoors!BA38/100)),"")</f>
        <v/>
      </c>
      <c r="IN54" s="49">
        <f>IFERROR(IF(VLOOKUP(tbMoveset!A54,tbMoveset!A2:H112,8,FALSE)="Other",IF(VLOOKUP(tbMoveset!A54,tbMoveset!A2:I112,9,FALSE)="Fire",Backdoors!BB38,IF(VLOOKUP(tbMoveset!A54,tbMoveset!A2:I112,9,FALSE)="Water",Backdoors!BC38,IF(VLOOKUP(tbMoveset!A54,tbMoveset!A2:I112,9,FALSE)="Thunder",Backdoors!BD38,IF(VLOOKUP(tbMoveset!A54,tbMoveset!A2:I112,9,FALSE)="Ice",Backdoors!BE38,IF(VLOOKUP(tbMoveset!A54,tbMoveset!A2:I112,9,FALSE)="Dragon",Backdoors!BF38,Backdoors!BG38)))))/100,Backdoors!BG38/100),"")</f>
        <v>0</v>
      </c>
      <c r="IO54" s="49">
        <f>IFERROR(IF(VLOOKUP(A54,tbMoveset!A2:J112,10,FALSE)=TRUE,IF((Backdoors!AI12+IF(IM54&gt;=0.45,VLOOKUP(Calculator!E23,tbSkills!DH3:DI6,2,FALSE)+IF(AND(Calculator!B8=TRUE,Backdoors!BI38=TRUE),VLOOKUP(Calculator!E23,tbSkills!DH3:DJ6,3,FALSE),0),0))&gt;=0,1+(Backdoors!AL2*(IF((Backdoors!AI12+IF(IM54&gt;=0.45,VLOOKUP(Calculator!E23,tbSkills!DH3:DI6,2,FALSE)+IF(AND(Calculator!B8=TRUE,Backdoors!BI38=TRUE),VLOOKUP(Calculator!E23,tbSkills!DH3:DJ6,3,FALSE),0),0))&gt;=100,100,(Backdoors!AI12+IF(IM54&gt;=0.45,VLOOKUP(Calculator!E23,tbSkills!DH3:DI6,2,FALSE)+IF(AND(Calculator!B8=TRUE,Backdoors!BI38=TRUE),VLOOKUP(Calculator!E23,tbSkills!DH3:DJ6,3,FALSE),0),0)))/100)),(1-(0.25*((-Backdoors!AI12-IF(IM54&gt;=0.45,VLOOKUP(Calculator!E23,tbSkills!DH3:DI6,2,FALSE)+IF(AND(Calculator!B8=TRUE,Backdoors!BI38=TRUE),VLOOKUP(Calculator!E23,tbSkills!DH3:DJ6,3,FALSE),0),0))/100)))),1),"")</f>
        <v>1</v>
      </c>
      <c r="IP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M54)*IO54)*(VLOOKUP(A54,tbMoveset!A2:C112,3,FALSE)/100)*IF(VLOOKUP(A54,tbMoveset!A2:B112,2,FALSE)="Projectile",Backdoors!N10,Backdoors!N9),0),"")</f>
        <v/>
      </c>
      <c r="IQ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IM54&gt;=0.45,VLOOKUP(Calculator!E23,tbSkills!DH3:DI6,2,FALSE)+IF(AND(Calculator!B8=TRUE,Backdoors!BI38=TRUE),VLOOKUP(Calculator!E23,tbSkills!DH3:DJ6,3,FALSE),0),0))&gt;=100,100,(Backdoors!AI12+IF(IM54&gt;=0.45,VLOOKUP(Calculator!E23,tbSkills!DH3:DI6,2,FALSE)+IF(AND(Calculator!B8=TRUE,Backdoors!BI38=TRUE),VLOOKUP(Calculator!E23,tbSkills!DH3:DJ6,3,FALSE),0),0)))/100)),1))*IF(VLOOKUP(A54,tbMoveset!A2:K112,11,FALSE)=TRUE,Backdoors!AC5,1))*IN54,0),"")</f>
        <v>0</v>
      </c>
      <c r="IR54" s="49">
        <f>VLOOKUP(A54,tbMoveset!A2:G112,7,FALSE)*IFERROR(IF(Backdoors!AI12&gt;=0,1+(IF(Calculator!E40&gt;0,VLOOKUP(Calculator!E40,tbSkills!AI3:AJ5,2,FALSE),Backdoors!AL4)*(IF((Backdoors!AI12+IF(IM54&gt;=0.45,VLOOKUP(Calculator!E23,tbSkills!DH3:DI6,2,FALSE)+IF(AND(Calculator!B8=TRUE,Backdoors!BI38=TRUE),VLOOKUP(Calculator!E23,tbSkills!DH3:DJ6,3,FALSE),0),0))&gt;=100,100,(Backdoors!AI12+IF(IM54&gt;=0.45,VLOOKUP(Calculator!E23,tbSkills!DH3:DI6,2,FALSE)+IF(AND(Calculator!B8=TRUE,Backdoors!BI38=TRUE),VLOOKUP(Calculator!E23,tbSkills!DH3:DJ6,3,FALSE),0),0)))/100)),1),1)</f>
        <v>0.6</v>
      </c>
      <c r="IS54" s="87">
        <f t="shared" si="42"/>
        <v>0</v>
      </c>
      <c r="IT54" s="86" t="str">
        <f>IFERROR(IF(VLOOKUP(A54,tbMoveset!A2:B112,2,FALSE)="Sever",Backdoors!AY39/100,IF(VLOOKUP(A54,tbMoveset!A2:B112,2,FALSE)="Blunt",Backdoors!AZ39/100,Backdoors!BA39/100)),"")</f>
        <v/>
      </c>
      <c r="IU54" s="49">
        <f>IFERROR(IF(VLOOKUP(tbMoveset!A54,tbMoveset!A2:H112,8,FALSE)="Other",IF(VLOOKUP(tbMoveset!A54,tbMoveset!A2:I112,9,FALSE)="Fire",Backdoors!BB39,IF(VLOOKUP(tbMoveset!A54,tbMoveset!A2:I112,9,FALSE)="Water",Backdoors!BC39,IF(VLOOKUP(tbMoveset!A54,tbMoveset!A2:I112,9,FALSE)="Thunder",Backdoors!BD39,IF(VLOOKUP(tbMoveset!A54,tbMoveset!A2:I112,9,FALSE)="Ice",Backdoors!BE39,IF(VLOOKUP(tbMoveset!A54,tbMoveset!A2:I112,9,FALSE)="Dragon",Backdoors!BF39,Backdoors!BG39)))))/100,Backdoors!BG39/100),"")</f>
        <v>0</v>
      </c>
      <c r="IV54" s="49">
        <f>IFERROR(IF(VLOOKUP(A54,tbMoveset!A2:J112,10,FALSE)=TRUE,IF((Backdoors!AI12+IF(IT54&gt;=0.45,VLOOKUP(Calculator!E23,tbSkills!DH3:DI6,2,FALSE)+IF(AND(Calculator!B8=TRUE,Backdoors!BI39=TRUE),VLOOKUP(Calculator!E23,tbSkills!DH3:DJ6,3,FALSE),0),0))&gt;=0,1+(Backdoors!AL2*(IF((Backdoors!AI12+IF(IT54&gt;=0.45,VLOOKUP(Calculator!E23,tbSkills!DH3:DI6,2,FALSE)+IF(AND(Calculator!B8=TRUE,Backdoors!BI39=TRUE),VLOOKUP(Calculator!E23,tbSkills!DH3:DJ6,3,FALSE),0),0))&gt;=100,100,(Backdoors!AI12+IF(IT54&gt;=0.45,VLOOKUP(Calculator!E23,tbSkills!DH3:DI6,2,FALSE)+IF(AND(Calculator!B8=TRUE,Backdoors!BI39=TRUE),VLOOKUP(Calculator!E23,tbSkills!DH3:DJ6,3,FALSE),0),0)))/100)),(1-(0.25*((-Backdoors!AI12-IF(IT54&gt;=0.45,VLOOKUP(Calculator!E23,tbSkills!DH3:DI6,2,FALSE)+IF(AND(Calculator!B8=TRUE,Backdoors!BI39=TRUE),VLOOKUP(Calculator!E23,tbSkills!DH3:DJ6,3,FALSE),0),0))/100)))),1),"")</f>
        <v>1</v>
      </c>
      <c r="IW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T54)*IV54)*(VLOOKUP(A54,tbMoveset!A2:C112,3,FALSE)/100)*IF(VLOOKUP(A54,tbMoveset!A2:B112,2,FALSE)="Projectile",Backdoors!N10,Backdoors!N9),0),"")</f>
        <v/>
      </c>
      <c r="IX54" s="49">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40&gt;0,VLOOKUP(Calculator!E40,tbSkills!AC3:AD5,2,FALSE),Backdoors!AL3)*(IF((Backdoors!AI12+IF(IT54&gt;=0.45,VLOOKUP(Calculator!E23,tbSkills!DH3:DI6,2,FALSE)+IF(AND(Calculator!B8=TRUE,Backdoors!BI39=TRUE),VLOOKUP(Calculator!E23,tbSkills!DH3:DJ6,3,FALSE),0),0))&gt;=100,100,(Backdoors!AI12+IF(IT54&gt;=0.45,VLOOKUP(Calculator!E23,tbSkills!DH3:DI6,2,FALSE)+IF(AND(Calculator!B8=TRUE,Backdoors!BI39=TRUE),VLOOKUP(Calculator!E23,tbSkills!DH3:DJ6,3,FALSE),0),0)))/100)),1))*IF(VLOOKUP(A54,tbMoveset!A2:K112,11,FALSE)=TRUE,Backdoors!AC5,1))*IU54,0),"")</f>
        <v>0</v>
      </c>
      <c r="IY54" s="49">
        <f>VLOOKUP(A54,tbMoveset!A2:G112,7,FALSE)*IFERROR(IF(Backdoors!AI12&gt;=0,1+(IF(Calculator!E40&gt;0,VLOOKUP(Calculator!E40,tbSkills!AI3:AJ5,2,FALSE),Backdoors!AL4)*(IF((Backdoors!AI12+IF(IT54&gt;=0.45,VLOOKUP(Calculator!E23,tbSkills!DH3:DI6,2,FALSE)+IF(AND(Calculator!B8=TRUE,Backdoors!BI39=TRUE),VLOOKUP(Calculator!E23,tbSkills!DH3:DJ6,3,FALSE),0),0))&gt;=100,100,(Backdoors!AI12+IF(IT54&gt;=0.45,VLOOKUP(Calculator!E23,tbSkills!DH3:DI6,2,FALSE)+IF(AND(Calculator!B8=TRUE,Backdoors!BI39=TRUE),VLOOKUP(Calculator!E23,tbSkills!DH3:DJ6,3,FALSE),0),0)))/100)),1),1)</f>
        <v>0.6</v>
      </c>
      <c r="IZ54" s="87">
        <f t="shared" si="28"/>
        <v>0</v>
      </c>
      <c r="JA54" s="86" t="str">
        <f>IFERROR(IF(VLOOKUP(A54,tbMoveset!A2:B112,2,FALSE)="Sever",Backdoors!AY40/100,IF(VLOOKUP(A54,tbMoveset!A2:B112,2,FALSE)="Blunt",Backdoors!AZ40/100,Backdoors!BA40/100)),"")</f>
        <v/>
      </c>
      <c r="JB54" s="49">
        <f>IFERROR(IF(VLOOKUP(tbMoveset!A54,tbMoveset!A2:H112,8,FALSE)="Other",IF(VLOOKUP(tbMoveset!A54,tbMoveset!A2:I112,9,FALSE)="Fire",Backdoors!BB40,IF(VLOOKUP(tbMoveset!A54,tbMoveset!A2:I112,9,FALSE)="Water",Backdoors!BC40,IF(VLOOKUP(tbMoveset!A54,tbMoveset!A2:I112,9,FALSE)="Thunder",Backdoors!BD40,IF(VLOOKUP(tbMoveset!A54,tbMoveset!A2:I112,9,FALSE)="Ice",Backdoors!BE40,IF(VLOOKUP(tbMoveset!A54,tbMoveset!A2:I112,9,FALSE)="Dragon",Backdoors!BF40,Backdoors!BG40)))))/100,Backdoors!BG40/100),"")</f>
        <v>0</v>
      </c>
      <c r="JC54" s="49">
        <f>IFERROR(IF(VLOOKUP(A54,tbMoveset!A2:J112,10,FALSE)=TRUE,IF((Backdoors!AI12+IF(JA54&gt;=0.45,VLOOKUP(Calculator!E23,tbSkills!DH3:DI6,2,FALSE)+IF(AND(Calculator!B8=TRUE,Backdoors!BI40=TRUE),VLOOKUP(Calculator!E23,tbSkills!DH3:DJ6,3,FALSE),0),0))&gt;=0,1+(Backdoors!AL2*(IF((Backdoors!AI12+IF(JA54&gt;=0.45,VLOOKUP(Calculator!E23,tbSkills!DH3:DI6,2,FALSE)+IF(AND(Calculator!B8=TRUE,Backdoors!BI40=TRUE),VLOOKUP(Calculator!E23,tbSkills!DH3:DJ6,3,FALSE),0),0))&gt;=100,100,(Backdoors!AI12+IF(JA54&gt;=0.45,VLOOKUP(Calculator!E23,tbSkills!DH3:DI6,2,FALSE)+IF(AND(Calculator!B8=TRUE,Backdoors!BI40=TRUE),VLOOKUP(Calculator!E23,tbSkills!DH3:DJ6,3,FALSE),0),0)))/100)),(1-(0.25*((-Backdoors!AI12-IF(JA54&gt;=0.45,VLOOKUP(Calculator!E23,tbSkills!DH3:DI6,2,FALSE)+IF(AND(Calculator!B8=TRUE,Backdoors!BI40=TRUE),VLOOKUP(Calculator!E23,tbSkills!DH3:DJ6,3,FALSE),0),0))/100)))),1),"")</f>
        <v>1</v>
      </c>
      <c r="JD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A54)*JC54)*(VLOOKUP(A54,tbMoveset!A2:C112,3,FALSE)/100)*IF(VLOOKUP(A54,tbMoveset!A2:B112,2,FALSE)="Projectile",Backdoors!N10,Backdoors!N9),0),"")</f>
        <v/>
      </c>
      <c r="JE54" s="49">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42&gt;0,VLOOKUP(Calculator!E42,tbSkills!AC3:AD5,2,FALSE),Backdoors!AL3)*(IF((Backdoors!AI12+IF(JA54&gt;=0.45,VLOOKUP(Calculator!E23,tbSkills!DH3:DI6,2,FALSE)+IF(AND(Calculator!B8=TRUE,Backdoors!BI40=TRUE),VLOOKUP(Calculator!E23,tbSkills!DH3:DJ6,3,FALSE),0),0))&gt;=100,100,(Backdoors!AI12+IF(JA54&gt;=0.45,VLOOKUP(Calculator!E23,tbSkills!DH3:DI6,2,FALSE)+IF(AND(Calculator!B8=TRUE,Backdoors!BI40=TRUE),VLOOKUP(Calculator!E23,tbSkills!DH3:DJ6,3,FALSE),0),0)))/100)),1))*IF(VLOOKUP(A54,tbMoveset!A2:K112,11,FALSE)=TRUE,Backdoors!AC5,1))*JB54,0),"")</f>
        <v>0</v>
      </c>
      <c r="JF54" s="49">
        <f>VLOOKUP(A54,tbMoveset!A2:G112,7,FALSE)*IFERROR(IF(Backdoors!AI12&gt;=0,1+(IF(Calculator!E40&gt;0,VLOOKUP(Calculator!E40,tbSkills!AI3:AJ5,2,FALSE),Backdoors!AL4)*(IF((Backdoors!AI12+IF(JA54&gt;=0.45,VLOOKUP(Calculator!E23,tbSkills!DH3:DI6,2,FALSE)+IF(AND(Calculator!B8=TRUE,Backdoors!BI40=TRUE),VLOOKUP(Calculator!E23,tbSkills!DH3:DJ6,3,FALSE),0),0))&gt;=100,100,(Backdoors!AI12+IF(JA54&gt;=0.45,VLOOKUP(Calculator!E23,tbSkills!DH3:DI6,2,FALSE)+IF(AND(Calculator!B8=TRUE,Backdoors!BI40=TRUE),VLOOKUP(Calculator!E23,tbSkills!DH3:DJ6,3,FALSE),0),0)))/100)),1),1)</f>
        <v>0.6</v>
      </c>
      <c r="JG54" s="87">
        <f t="shared" si="29"/>
        <v>0</v>
      </c>
      <c r="JH54" s="86" t="str">
        <f>IFERROR(IF(VLOOKUP(A54,tbMoveset!A2:B112,2,FALSE)="Sever",Backdoors!AY41/100,IF(VLOOKUP(A54,tbMoveset!A2:B112,2,FALSE)="Blunt",Backdoors!AZ41/100,Backdoors!BA41/100)),"")</f>
        <v/>
      </c>
      <c r="JI54" s="49">
        <f>IFERROR(IF(VLOOKUP(tbMoveset!A54,tbMoveset!A2:H112,8,FALSE)="Other",IF(VLOOKUP(tbMoveset!A54,tbMoveset!A2:I112,9,FALSE)="Fire",Backdoors!BB41,IF(VLOOKUP(tbMoveset!A54,tbMoveset!A2:I112,9,FALSE)="Water",Backdoors!BC41,IF(VLOOKUP(tbMoveset!A54,tbMoveset!A2:I112,9,FALSE)="Thunder",Backdoors!BD41,IF(VLOOKUP(tbMoveset!A54,tbMoveset!A2:I112,9,FALSE)="Ice",Backdoors!BE41,IF(VLOOKUP(tbMoveset!A54,tbMoveset!A2:I112,9,FALSE)="Dragon",Backdoors!BF41,Backdoors!BG41)))))/100,Backdoors!BG41/100),"")</f>
        <v>0</v>
      </c>
      <c r="JJ54" s="49">
        <f>IFERROR(IF(VLOOKUP(A54,tbMoveset!A2:J112,10,FALSE)=TRUE,IF((Backdoors!AI12+IF(JH54&gt;=0.45,VLOOKUP(Calculator!E23,tbSkills!DH3:DI6,2,FALSE)+IF(AND(Calculator!B8=TRUE,Backdoors!BI41=TRUE),VLOOKUP(Calculator!E23,tbSkills!DH3:DJ6,3,FALSE),0),0))&gt;=0,1+(Backdoors!AL2*(IF((Backdoors!AI12+IF(JH54&gt;=0.45,VLOOKUP(Calculator!E23,tbSkills!DH3:DI6,2,FALSE)+IF(AND(Calculator!B8=TRUE,Backdoors!BI41=TRUE),VLOOKUP(Calculator!E23,tbSkills!DH3:DJ6,3,FALSE),0),0))&gt;=100,100,(Backdoors!AI12+IF(JH54&gt;=0.45,VLOOKUP(Calculator!E23,tbSkills!DH3:DI6,2,FALSE)+IF(AND(Calculator!B8=TRUE,Backdoors!BI41=TRUE),VLOOKUP(Calculator!E23,tbSkills!DH3:DJ6,3,FALSE),0),0)))/100)),(1-(0.25*((-Backdoors!AI12-IF(JH54&gt;=0.45,VLOOKUP(Calculator!E23,tbSkills!DH3:DI6,2,FALSE)+IF(AND(Calculator!B8=TRUE,Backdoors!BI41=TRUE),VLOOKUP(Calculator!E23,tbSkills!DH3:DJ6,3,FALSE),0),0))/100)))),1),"")</f>
        <v>1</v>
      </c>
      <c r="JK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H54)*JJ54)*(VLOOKUP(A54,tbMoveset!A2:C112,3,FALSE)/100)*IF(VLOOKUP(A54,tbMoveset!A2:B112,2,FALSE)="Projectile",Backdoors!N10,Backdoors!N9),0),"")</f>
        <v/>
      </c>
      <c r="JL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43&gt;0,VLOOKUP(Calculator!E43,tbSkills!AC3:AD5,2,FALSE),Backdoors!AL3)*(IF((Backdoors!AI12+IF(JH54&gt;=0.45,VLOOKUP(Calculator!E23,tbSkills!DH3:DI6,2,FALSE)+IF(AND(Calculator!B8=TRUE,Backdoors!BI41=TRUE),VLOOKUP(Calculator!E23,tbSkills!DH3:DJ6,3,FALSE),0),0))&gt;=100,100,(Backdoors!AI12+IF(JH54&gt;=0.45,VLOOKUP(Calculator!E23,tbSkills!DH3:DI6,2,FALSE)+IF(AND(Calculator!B8=TRUE,Backdoors!BI41=TRUE),VLOOKUP(Calculator!E23,tbSkills!DH3:DJ6,3,FALSE),0),0)))/100)),1))*IF(VLOOKUP(A54,tbMoveset!A2:K112,11,FALSE)=TRUE,Backdoors!AC5,1))*JI54,0),"")</f>
        <v/>
      </c>
      <c r="JM54" s="49">
        <f>VLOOKUP(A54,tbMoveset!A2:G112,7,FALSE)*IFERROR(IF(Backdoors!AI12&gt;=0,1+(IF(Calculator!E40&gt;0,VLOOKUP(Calculator!E40,tbSkills!AI3:AJ5,2,FALSE),Backdoors!AL4)*(IF((Backdoors!AI12+IF(JH54&gt;=0.45,VLOOKUP(Calculator!E23,tbSkills!DH3:DI6,2,FALSE)+IF(AND(Calculator!B8=TRUE,Backdoors!BI41=TRUE),VLOOKUP(Calculator!E23,tbSkills!DH3:DJ6,3,FALSE),0),0))&gt;=100,100,(Backdoors!AI12+IF(JH54&gt;=0.45,VLOOKUP(Calculator!E23,tbSkills!DH3:DI6,2,FALSE)+IF(AND(Calculator!B8=TRUE,Backdoors!BI41=TRUE),VLOOKUP(Calculator!E23,tbSkills!DH3:DJ6,3,FALSE),0),0)))/100)),1),1)</f>
        <v>0.6</v>
      </c>
      <c r="JN54" s="87">
        <f t="shared" si="30"/>
        <v>0</v>
      </c>
      <c r="JO54" s="86" t="str">
        <f>IFERROR(IF(VLOOKUP(A54,tbMoveset!A2:B112,2,FALSE)="Sever",Backdoors!AY42/100,IF(VLOOKUP(A54,tbMoveset!A2:B112,2,FALSE)="Blunt",Backdoors!AZ42/100,Backdoors!BA42/100)),"")</f>
        <v/>
      </c>
      <c r="JP54" s="49">
        <f>IFERROR(IF(VLOOKUP(tbMoveset!A54,tbMoveset!A2:H112,8,FALSE)="Other",IF(VLOOKUP(tbMoveset!A54,tbMoveset!A2:I112,9,FALSE)="Fire",Backdoors!BB42,IF(VLOOKUP(tbMoveset!A54,tbMoveset!A2:I112,9,FALSE)="Water",Backdoors!BC42,IF(VLOOKUP(tbMoveset!A54,tbMoveset!A2:I112,9,FALSE)="Thunder",Backdoors!BD42,IF(VLOOKUP(tbMoveset!A54,tbMoveset!A2:I112,9,FALSE)="Ice",Backdoors!BE42,IF(VLOOKUP(tbMoveset!A54,tbMoveset!A2:I112,9,FALSE)="Dragon",Backdoors!BF42,Backdoors!BG42)))))/100,Backdoors!BG42/100),"")</f>
        <v>0</v>
      </c>
      <c r="JQ54" s="49">
        <f>IFERROR(IF(VLOOKUP(A54,tbMoveset!A2:J112,10,FALSE)=TRUE,IF((Backdoors!AI12+IF(JO54&gt;=0.45,VLOOKUP(Calculator!E23,tbSkills!DH3:DI6,2,FALSE)+IF(AND(Calculator!B8=TRUE,Backdoors!BI42=TRUE),VLOOKUP(Calculator!E23,tbSkills!DH3:DJ6,3,FALSE),0),0))&gt;=0,1+(Backdoors!AL2*(IF((Backdoors!AI12+IF(JO54&gt;=0.45,VLOOKUP(Calculator!E23,tbSkills!DH3:DI6,2,FALSE)+IF(AND(Calculator!B8=TRUE,Backdoors!BI42=TRUE),VLOOKUP(Calculator!E23,tbSkills!DH3:DJ6,3,FALSE),0),0))&gt;=100,100,(Backdoors!AI12+IF(JO54&gt;=0.45,VLOOKUP(Calculator!E23,tbSkills!DH3:DI6,2,FALSE)+IF(AND(Calculator!B8=TRUE,Backdoors!BI42=TRUE),VLOOKUP(Calculator!E23,tbSkills!DH3:DJ6,3,FALSE),0),0)))/100)),(1-(0.25*((-Backdoors!AI12-IF(JO54&gt;=0.45,VLOOKUP(Calculator!E23,tbSkills!DH3:DI6,2,FALSE)+IF(AND(Calculator!B8=TRUE,Backdoors!BI42=TRUE),VLOOKUP(Calculator!E23,tbSkills!DH3:DJ6,3,FALSE),0),0))/100)))),1),"")</f>
        <v>1</v>
      </c>
      <c r="JR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O54)*JQ54)*(VLOOKUP(A54,tbMoveset!A2:C112,3,FALSE)/100)*IF(VLOOKUP(A54,tbMoveset!A2:B112,2,FALSE)="Projectile",Backdoors!N10,Backdoors!N9),0),"")</f>
        <v/>
      </c>
      <c r="JS54" s="49">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45&gt;0,VLOOKUP(Calculator!E45,tbSkills!AC3:AD5,2,FALSE),Backdoors!AL3)*(IF((Backdoors!AI12+IF(JO54&gt;=0.45,VLOOKUP(Calculator!E23,tbSkills!DH3:DI6,2,FALSE)+IF(AND(Calculator!B8=TRUE,Backdoors!BI42=TRUE),VLOOKUP(Calculator!E23,tbSkills!DH3:DJ6,3,FALSE),0),0))&gt;=100,100,(Backdoors!AI12+IF(JO54&gt;=0.45,VLOOKUP(Calculator!E23,tbSkills!DH3:DI6,2,FALSE)+IF(AND(Calculator!B8=TRUE,Backdoors!BI42=TRUE),VLOOKUP(Calculator!E23,tbSkills!DH3:DJ6,3,FALSE),0),0)))/100)),1))*IF(VLOOKUP(A54,tbMoveset!A2:K112,11,FALSE)=TRUE,Backdoors!AC5,1))*JP54,0),"")</f>
        <v>0</v>
      </c>
      <c r="JT54" s="49">
        <f>VLOOKUP(A54,tbMoveset!A2:G112,7,FALSE)*IFERROR(IF(Backdoors!AI12&gt;=0,1+(IF(Calculator!E40&gt;0,VLOOKUP(Calculator!E40,tbSkills!AI3:AJ5,2,FALSE),Backdoors!AL4)*(IF((Backdoors!AI12+IF(JO54&gt;=0.45,VLOOKUP(Calculator!E23,tbSkills!DH3:DI6,2,FALSE)+IF(AND(Calculator!B8=TRUE,Backdoors!BI42=TRUE),VLOOKUP(Calculator!E23,tbSkills!DH3:DJ6,3,FALSE),0),0))&gt;=100,100,(Backdoors!AI12+IF(JO54&gt;=0.45,VLOOKUP(Calculator!E23,tbSkills!DH3:DI6,2,FALSE)+IF(AND(Calculator!B8=TRUE,Backdoors!BI42=TRUE),VLOOKUP(Calculator!E23,tbSkills!DH3:DJ6,3,FALSE),0),0)))/100)),1),1)</f>
        <v>0.6</v>
      </c>
      <c r="JU54" s="87">
        <f t="shared" si="31"/>
        <v>0</v>
      </c>
      <c r="JV54" s="86" t="str">
        <f>IFERROR(IF(VLOOKUP(A54,tbMoveset!A2:B112,2,FALSE)="Sever",Backdoors!AY43/100,IF(VLOOKUP(A54,tbMoveset!A2:B112,2,FALSE)="Blunt",Backdoors!AZ43/100,Backdoors!BA43/100)),"")</f>
        <v/>
      </c>
      <c r="JW54" s="49">
        <f>IFERROR(IF(VLOOKUP(tbMoveset!A54,tbMoveset!A2:H112,8,FALSE)="Other",IF(VLOOKUP(tbMoveset!A54,tbMoveset!A2:I112,9,FALSE)="Fire",Backdoors!BB43,IF(VLOOKUP(tbMoveset!A54,tbMoveset!A2:I112,9,FALSE)="Water",Backdoors!BC43,IF(VLOOKUP(tbMoveset!A54,tbMoveset!A2:I112,9,FALSE)="Thunder",Backdoors!BD43,IF(VLOOKUP(tbMoveset!A54,tbMoveset!A2:I112,9,FALSE)="Ice",Backdoors!BE43,IF(VLOOKUP(tbMoveset!A54,tbMoveset!A2:I112,9,FALSE)="Dragon",Backdoors!BF43,Backdoors!BG43)))))/100,Backdoors!BG43/100),"")</f>
        <v>0</v>
      </c>
      <c r="JX54" s="49">
        <f>IFERROR(IF(VLOOKUP(A54,tbMoveset!A2:J112,10,FALSE)=TRUE,IF((Backdoors!AI12+IF(JV54&gt;=0.45,VLOOKUP(Calculator!E23,tbSkills!DH3:DI6,2,FALSE)+IF(AND(Calculator!B8=TRUE,Backdoors!BI43=TRUE),VLOOKUP(Calculator!E23,tbSkills!DH3:DJ6,3,FALSE),0),0))&gt;=0,1+(Backdoors!AL2*(IF((Backdoors!AI12+IF(JV54&gt;=0.45,VLOOKUP(Calculator!E23,tbSkills!DH3:DI6,2,FALSE)+IF(AND(Calculator!B8=TRUE,Backdoors!BI43=TRUE),VLOOKUP(Calculator!E23,tbSkills!DH3:DJ6,3,FALSE),0),0))&gt;=100,100,(Backdoors!AI12+IF(JV54&gt;=0.45,VLOOKUP(Calculator!E23,tbSkills!DH3:DI6,2,FALSE)+IF(AND(Calculator!B8=TRUE,Backdoors!BI43=TRUE),VLOOKUP(Calculator!E23,tbSkills!DH3:DJ6,3,FALSE),0),0)))/100)),(1-(0.25*((-Backdoors!AI12-IF(JV54&gt;=0.45,VLOOKUP(Calculator!E23,tbSkills!DH3:DI6,2,FALSE)+IF(AND(Calculator!B8=TRUE,Backdoors!BI43=TRUE),VLOOKUP(Calculator!E23,tbSkills!DH3:DJ6,3,FALSE),0),0))/100)))),1),"")</f>
        <v>1</v>
      </c>
      <c r="JY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V54)*JX54)*(VLOOKUP(A54,tbMoveset!A2:C112,3,FALSE)/100)*IF(VLOOKUP(A54,tbMoveset!A2:B112,2,FALSE)="Projectile",Backdoors!N10,Backdoors!N9),0),"")</f>
        <v/>
      </c>
      <c r="JZ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46&gt;0,VLOOKUP(Calculator!E46,tbSkills!AC3:AD5,2,FALSE),Backdoors!AL3)*(IF((Backdoors!AI12+IF(JV54&gt;=0.45,VLOOKUP(Calculator!E23,tbSkills!DH3:DI6,2,FALSE)+IF(AND(Calculator!B8=TRUE,Backdoors!BI43=TRUE),VLOOKUP(Calculator!E23,tbSkills!DH3:DJ6,3,FALSE),0),0))&gt;=100,100,(Backdoors!AI12+IF(JV54&gt;=0.45,VLOOKUP(Calculator!E23,tbSkills!DH3:DI6,2,FALSE)+IF(AND(Calculator!B8=TRUE,Backdoors!BI43=TRUE),VLOOKUP(Calculator!E23,tbSkills!DH3:DJ6,3,FALSE),0),0)))/100)),1))*IF(VLOOKUP(A54,tbMoveset!A2:K112,11,FALSE)=TRUE,Backdoors!AC5,1))*JW54,0),"")</f>
        <v/>
      </c>
      <c r="KA54" s="49">
        <f>VLOOKUP(A54,tbMoveset!A2:G112,7,FALSE)*IFERROR(IF(Backdoors!AI12&gt;=0,1+(IF(Calculator!E40&gt;0,VLOOKUP(Calculator!E40,tbSkills!AI3:AJ5,2,FALSE),Backdoors!AL4)*(IF((Backdoors!AI12+IF(JV54&gt;=0.45,VLOOKUP(Calculator!E23,tbSkills!DH3:DI6,2,FALSE)+IF(AND(Calculator!B8=TRUE,Backdoors!BI43=TRUE),VLOOKUP(Calculator!E23,tbSkills!DH3:DJ6,3,FALSE),0),0))&gt;=100,100,(Backdoors!AI12+IF(JV54&gt;=0.45,VLOOKUP(Calculator!E23,tbSkills!DH3:DI6,2,FALSE)+IF(AND(Calculator!B8=TRUE,Backdoors!BI43=TRUE),VLOOKUP(Calculator!E23,tbSkills!DH3:DJ6,3,FALSE),0),0)))/100)),1),1)</f>
        <v>0.6</v>
      </c>
      <c r="KB54" s="87">
        <f t="shared" si="32"/>
        <v>0</v>
      </c>
      <c r="KC54" s="86" t="str">
        <f>IFERROR(IF(VLOOKUP(A54,tbMoveset!A2:B112,2,FALSE)="Sever",Backdoors!AY44/100,IF(VLOOKUP(A54,tbMoveset!A2:B112,2,FALSE)="Blunt",Backdoors!AZ44/100,Backdoors!BA44/100)),"")</f>
        <v/>
      </c>
      <c r="KD54" s="49">
        <f>IFERROR(IF(VLOOKUP(tbMoveset!A54,tbMoveset!A2:H112,8,FALSE)="Other",IF(VLOOKUP(tbMoveset!A54,tbMoveset!A2:I112,9,FALSE)="Fire",Backdoors!BB44,IF(VLOOKUP(tbMoveset!A54,tbMoveset!A2:I112,9,FALSE)="Water",Backdoors!BC44,IF(VLOOKUP(tbMoveset!A54,tbMoveset!A2:I112,9,FALSE)="Thunder",Backdoors!BD44,IF(VLOOKUP(tbMoveset!A54,tbMoveset!A2:I112,9,FALSE)="Ice",Backdoors!BE44,IF(VLOOKUP(tbMoveset!A54,tbMoveset!A2:I112,9,FALSE)="Dragon",Backdoors!BF44,Backdoors!BG44)))))/100,Backdoors!BG44/100),"")</f>
        <v>0</v>
      </c>
      <c r="KE54" s="49">
        <f>IFERROR(IF(VLOOKUP(A54,tbMoveset!A2:J112,10,FALSE)=TRUE,IF((Backdoors!AI12+IF(KC54&gt;=0.45,VLOOKUP(Calculator!E23,tbSkills!DH3:DI6,2,FALSE)+IF(AND(Calculator!B8=TRUE,Backdoors!BI44=TRUE),VLOOKUP(Calculator!E23,tbSkills!DH3:DJ6,3,FALSE),0),0))&gt;=0,1+(Backdoors!AL2*(IF((Backdoors!AI12+IF(KC54&gt;=0.45,VLOOKUP(Calculator!E23,tbSkills!DH3:DI6,2,FALSE)+IF(AND(Calculator!B8=TRUE,Backdoors!BI44=TRUE),VLOOKUP(Calculator!E23,tbSkills!DH3:DJ6,3,FALSE),0),0))&gt;=100,100,(Backdoors!AI12+IF(KC54&gt;=0.45,VLOOKUP(Calculator!E23,tbSkills!DH3:DI6,2,FALSE)+IF(AND(Calculator!B8=TRUE,Backdoors!BI44=TRUE),VLOOKUP(Calculator!E23,tbSkills!DH3:DJ6,3,FALSE),0),0)))/100)),(1-(0.25*((-Backdoors!AI12-IF(KC54&gt;=0.45,VLOOKUP(Calculator!E23,tbSkills!DH3:DI6,2,FALSE)+IF(AND(Calculator!B8=TRUE,Backdoors!BI44=TRUE),VLOOKUP(Calculator!E23,tbSkills!DH3:DJ6,3,FALSE),0),0))/100)))),1),"")</f>
        <v>1</v>
      </c>
      <c r="KF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KC54)*KE54)*(VLOOKUP(A54,tbMoveset!A2:C112,3,FALSE)/100)*IF(VLOOKUP(A54,tbMoveset!A2:B112,2,FALSE)="Projectile",Backdoors!N10,Backdoors!N9),0),"")</f>
        <v/>
      </c>
      <c r="KG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REF!&gt;0,VLOOKUP(Calculator!#REF!,tbSkills!AC3:AD5,2,FALSE),Backdoors!AL3)*(IF((Backdoors!AI12+IF(KC54&gt;=0.45,VLOOKUP(Calculator!E23,tbSkills!DH3:DI6,2,FALSE)+IF(AND(Calculator!B8=TRUE,Backdoors!BI44=TRUE),VLOOKUP(Calculator!E23,tbSkills!DH3:DJ6,3,FALSE),0),0))&gt;=100,100,(Backdoors!AI12+IF(KC54&gt;=0.45,VLOOKUP(Calculator!E23,tbSkills!DH3:DI6,2,FALSE)+IF(AND(Calculator!B8=TRUE,Backdoors!BI44=TRUE),VLOOKUP(Calculator!E23,tbSkills!DH3:DJ6,3,FALSE),0),0)))/100)),1))*IF(VLOOKUP(A54,tbMoveset!A2:K112,11,FALSE)=TRUE,Backdoors!AC5,1))*KD54,0),"")</f>
        <v/>
      </c>
      <c r="KH54" s="49">
        <f>VLOOKUP(A54,tbMoveset!A2:G112,7,FALSE)*IFERROR(IF(Backdoors!AI12&gt;=0,1+(IF(Calculator!E40&gt;0,VLOOKUP(Calculator!E40,tbSkills!AI3:AJ5,2,FALSE),Backdoors!AL4)*(IF((Backdoors!AI12+IF(KC54&gt;=0.45,VLOOKUP(Calculator!E23,tbSkills!DH3:DI6,2,FALSE)+IF(AND(Calculator!B8=TRUE,Backdoors!BI44=TRUE),VLOOKUP(Calculator!E23,tbSkills!DH3:DJ6,3,FALSE),0),0))&gt;=100,100,(Backdoors!AI12+IF(KC54&gt;=0.45,VLOOKUP(Calculator!E23,tbSkills!DH3:DI6,2,FALSE)+IF(AND(Calculator!B8=TRUE,Backdoors!BI44=TRUE),VLOOKUP(Calculator!E23,tbSkills!DH3:DJ6,3,FALSE),0),0)))/100)),1),1)</f>
        <v>0.6</v>
      </c>
      <c r="KI54" s="87">
        <f t="shared" si="33"/>
        <v>0</v>
      </c>
      <c r="KJ54" s="86" t="str">
        <f>IFERROR(IF(VLOOKUP(A54,tbMoveset!A2:B112,2,FALSE)="Sever",Backdoors!AY45/100,IF(VLOOKUP(A54,tbMoveset!A2:B112,2,FALSE)="Blunt",Backdoors!AZ45/100,Backdoors!BA45/100)),"")</f>
        <v/>
      </c>
      <c r="KK54" s="49">
        <f>IFERROR(IF(VLOOKUP(tbMoveset!A54,tbMoveset!A2:H112,8,FALSE)="Other",IF(VLOOKUP(tbMoveset!A54,tbMoveset!A2:I112,9,FALSE)="Fire",Backdoors!BB45,IF(VLOOKUP(tbMoveset!A54,tbMoveset!A2:I112,9,FALSE)="Water",Backdoors!BC45,IF(VLOOKUP(tbMoveset!A54,tbMoveset!A2:I112,9,FALSE)="Thunder",Backdoors!BD45,IF(VLOOKUP(tbMoveset!A54,tbMoveset!A2:I112,9,FALSE)="Ice",Backdoors!BE45,IF(VLOOKUP(tbMoveset!A54,tbMoveset!A2:I112,9,FALSE)="Dragon",Backdoors!BF45,Backdoors!BG45)))))/100,Backdoors!BG45/100),"")</f>
        <v>0</v>
      </c>
      <c r="KL54" s="49">
        <f>IFERROR(IF(VLOOKUP(A54,tbMoveset!A2:J112,10,FALSE)=TRUE,IF((Backdoors!AI12+IF(KJ54&gt;=0.45,VLOOKUP(Calculator!E23,tbSkills!DH3:DI6,2,FALSE)+IF(AND(Calculator!B8=TRUE,Backdoors!BI45=TRUE),VLOOKUP(Calculator!E23,tbSkills!DH3:DJ6,3,FALSE),0),0))&gt;=0,1+(Backdoors!AL2*(IF((Backdoors!AI12+IF(KJ54&gt;=0.45,VLOOKUP(Calculator!E23,tbSkills!DH3:DI6,2,FALSE)+IF(AND(Calculator!B8=TRUE,Backdoors!BI45=TRUE),VLOOKUP(Calculator!E23,tbSkills!DH3:DJ6,3,FALSE),0),0))&gt;=100,100,(Backdoors!AI12+IF(KJ54&gt;=0.45,VLOOKUP(Calculator!E23,tbSkills!DH3:DI6,2,FALSE)+IF(AND(Calculator!B8=TRUE,Backdoors!BI45=TRUE),VLOOKUP(Calculator!E23,tbSkills!DH3:DJ6,3,FALSE),0),0)))/100)),(1-(0.25*((-Backdoors!AI12-IF(KJ54&gt;=0.45,VLOOKUP(Calculator!E23,tbSkills!DH3:DI6,2,FALSE)+IF(AND(Calculator!B8=TRUE,Backdoors!BI45=TRUE),VLOOKUP(Calculator!E23,tbSkills!DH3:DJ6,3,FALSE),0),0))/100)))),1),"")</f>
        <v>1</v>
      </c>
      <c r="KM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KJ54)*KL54)*(VLOOKUP(A54,tbMoveset!A2:C112,3,FALSE)/100)*IF(VLOOKUP(A54,tbMoveset!A2:B112,2,FALSE)="Projectile",Backdoors!N10,Backdoors!N9),0),"")</f>
        <v/>
      </c>
      <c r="KN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REF!&gt;0,VLOOKUP(Calculator!#REF!,tbSkills!AC3:AD5,2,FALSE),Backdoors!AL3)*(IF((Backdoors!AI12+IF(KJ54&gt;=0.45,VLOOKUP(Calculator!E23,tbSkills!DH3:DI6,2,FALSE)+IF(AND(Calculator!B8=TRUE,Backdoors!BI45=TRUE),VLOOKUP(Calculator!E23,tbSkills!DH3:DJ6,3,FALSE),0),0))&gt;=100,100,(Backdoors!AI12+IF(KJ54&gt;=0.45,VLOOKUP(Calculator!E23,tbSkills!DH3:DI6,2,FALSE)+IF(AND(Calculator!B8=TRUE,Backdoors!BI45=TRUE),VLOOKUP(Calculator!E23,tbSkills!DH3:DJ6,3,FALSE),0),0)))/100)),1))*IF(VLOOKUP(A54,tbMoveset!A2:K112,11,FALSE)=TRUE,Backdoors!AC5,1))*KK54,0),"")</f>
        <v/>
      </c>
      <c r="KO54" s="49">
        <f>VLOOKUP(A54,tbMoveset!A2:G112,7,FALSE)*IFERROR(IF(Backdoors!AI12&gt;=0,1+(IF(Calculator!E40&gt;0,VLOOKUP(Calculator!E40,tbSkills!AI3:AJ5,2,FALSE),Backdoors!AL4)*(IF((Backdoors!AI12+IF(KJ54&gt;=0.45,VLOOKUP(Calculator!E23,tbSkills!DH3:DI6,2,FALSE)+IF(AND(Calculator!B8=TRUE,Backdoors!BI45=TRUE),VLOOKUP(Calculator!E23,tbSkills!DH3:DJ6,3,FALSE),0),0))&gt;=100,100,(Backdoors!AI12+IF(KJ54&gt;=0.45,VLOOKUP(Calculator!E23,tbSkills!DH3:DI6,2,FALSE)+IF(AND(Calculator!B8=TRUE,Backdoors!BI45=TRUE),VLOOKUP(Calculator!E23,tbSkills!DH3:DJ6,3,FALSE),0),0)))/100)),1),1)</f>
        <v>0.6</v>
      </c>
      <c r="KP54" s="87">
        <f t="shared" si="34"/>
        <v>0</v>
      </c>
      <c r="KQ54" s="86" t="str">
        <f>IFERROR(IF(VLOOKUP(A54,tbMoveset!A2:B112,2,FALSE)="Sever",Backdoors!AY46/100,IF(VLOOKUP(A54,tbMoveset!A2:B112,2,FALSE)="Blunt",Backdoors!AZ46/100,Backdoors!BA46/100)),"")</f>
        <v/>
      </c>
      <c r="KR54" s="49">
        <f>IFERROR(IF(VLOOKUP(tbMoveset!A54,tbMoveset!A2:H112,8,FALSE)="Other",IF(VLOOKUP(tbMoveset!A54,tbMoveset!A2:I112,9,FALSE)="Fire",Backdoors!BB46,IF(VLOOKUP(tbMoveset!A54,tbMoveset!A2:I112,9,FALSE)="Water",Backdoors!BC46,IF(VLOOKUP(tbMoveset!A54,tbMoveset!A2:I112,9,FALSE)="Thunder",Backdoors!BD46,IF(VLOOKUP(tbMoveset!A54,tbMoveset!A2:I112,9,FALSE)="Ice",Backdoors!BE46,IF(VLOOKUP(tbMoveset!A54,tbMoveset!A2:I112,9,FALSE)="Dragon",Backdoors!BF46,Backdoors!BG46)))))/100,Backdoors!BG46/100),"")</f>
        <v>0</v>
      </c>
      <c r="KS54" s="49">
        <f>IFERROR(IF(VLOOKUP(A54,tbMoveset!A2:J112,10,FALSE)=TRUE,IF((Backdoors!AI12+IF(KQ54&gt;=0.45,VLOOKUP(Calculator!E23,tbSkills!DH3:DI6,2,FALSE)+IF(AND(Calculator!B8=TRUE,Backdoors!BI46=TRUE),VLOOKUP(Calculator!E23,tbSkills!DH3:DJ6,3,FALSE),0),0))&gt;=0,1+(Backdoors!AL2*(IF((Backdoors!AI12+IF(KQ54&gt;=0.45,VLOOKUP(Calculator!E23,tbSkills!DH3:DI6,2,FALSE)+IF(AND(Calculator!B8=TRUE,Backdoors!BI46=TRUE),VLOOKUP(Calculator!E23,tbSkills!DH3:DJ6,3,FALSE),0),0))&gt;=100,100,(Backdoors!AI12+IF(KQ54&gt;=0.45,VLOOKUP(Calculator!E23,tbSkills!DH3:DI6,2,FALSE)+IF(AND(Calculator!B8=TRUE,Backdoors!BI46=TRUE),VLOOKUP(Calculator!E23,tbSkills!DH3:DJ6,3,FALSE),0),0)))/100)),(1-(0.25*((-Backdoors!AI12-IF(KQ54&gt;=0.45,VLOOKUP(Calculator!E23,tbSkills!DH3:DI6,2,FALSE)+IF(AND(Calculator!B8=TRUE,Backdoors!BI46=TRUE),VLOOKUP(Calculator!E23,tbSkills!DH3:DJ6,3,FALSE),0),0))/100)))),1),"")</f>
        <v>1</v>
      </c>
      <c r="KT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KQ54)*KS54)*(VLOOKUP(A54,tbMoveset!A2:C112,3,FALSE)/100)*IF(VLOOKUP(A54,tbMoveset!A2:B112,2,FALSE)="Projectile",Backdoors!N10,Backdoors!N9),0),"")</f>
        <v/>
      </c>
      <c r="KU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REF!&gt;0,VLOOKUP(Calculator!#REF!,tbSkills!AC3:AD5,2,FALSE),Backdoors!AL3)*(IF((Backdoors!AI12+IF(KQ54&gt;=0.45,VLOOKUP(Calculator!E23,tbSkills!DH3:DI6,2,FALSE)+IF(AND(Calculator!B8=TRUE,Backdoors!BI46=TRUE),VLOOKUP(Calculator!E23,tbSkills!DH3:DJ6,3,FALSE),0),0))&gt;=100,100,(Backdoors!AI12+IF(KQ54&gt;=0.45,VLOOKUP(Calculator!E23,tbSkills!DH3:DI6,2,FALSE)+IF(AND(Calculator!B8=TRUE,Backdoors!BI46=TRUE),VLOOKUP(Calculator!E23,tbSkills!DH3:DJ6,3,FALSE),0),0)))/100)),1))*IF(VLOOKUP(A54,tbMoveset!A2:K112,11,FALSE)=TRUE,Backdoors!AC5,1))*KR54,0),"")</f>
        <v/>
      </c>
      <c r="KV54" s="49">
        <f>VLOOKUP(A54,tbMoveset!A2:G112,7,FALSE)*IFERROR(IF(Backdoors!AI12&gt;=0,1+(IF(Calculator!E40&gt;0,VLOOKUP(Calculator!E40,tbSkills!AI3:AJ5,2,FALSE),Backdoors!AL4)*(IF((Backdoors!AI12+IF(KQ54&gt;=0.45,VLOOKUP(Calculator!E23,tbSkills!DH3:DI6,2,FALSE)+IF(AND(Calculator!B8=TRUE,Backdoors!BI46=TRUE),VLOOKUP(Calculator!E23,tbSkills!DH3:DJ6,3,FALSE),0),0))&gt;=100,100,(Backdoors!AI12+IF(KQ54&gt;=0.45,VLOOKUP(Calculator!E23,tbSkills!DH3:DI6,2,FALSE)+IF(AND(Calculator!B8=TRUE,Backdoors!BI46=TRUE),VLOOKUP(Calculator!E23,tbSkills!DH3:DJ6,3,FALSE),0),0)))/100)),1),1)</f>
        <v>0.6</v>
      </c>
      <c r="KW54" s="87">
        <f t="shared" si="35"/>
        <v>0</v>
      </c>
    </row>
    <row r="55" spans="1:309" x14ac:dyDescent="0.25">
      <c r="A55" s="95" t="str">
        <f>tbMoveset!A55</f>
        <v>Blade Dance (L1)</v>
      </c>
      <c r="B55" s="86">
        <f>IFERROR(IF(VLOOKUP(A55,tbMoveset!A2:B112,2,FALSE)="Sever",Backdoors!AY3/100,IF(VLOOKUP(A55,tbMoveset!A2:B112,2,FALSE)="Blunt",Backdoors!AZ3/100,Backdoors!BA3/100)),"")</f>
        <v>0.8</v>
      </c>
      <c r="C55" s="49">
        <f>IFERROR(IF(VLOOKUP(tbMoveset!A55,tbMoveset!A2:H112,8,FALSE)="Other",IF(VLOOKUP(tbMoveset!A55,tbMoveset!A2:I112,9,FALSE)="Fire",Backdoors!BB3,IF(VLOOKUP(tbMoveset!A55,tbMoveset!A2:I112,9,FALSE)="Water",Backdoors!BC3,IF(VLOOKUP(tbMoveset!A55,tbMoveset!A2:I112,9,FALSE)="Thunder",Backdoors!BD3,IF(VLOOKUP(tbMoveset!A55,tbMoveset!A2:I112,9,FALSE)="Ice",Backdoors!BE3,IF(VLOOKUP(tbMoveset!A55,tbMoveset!A2:I112,9,FALSE)="Dragon",Backdoors!BF3,Backdoors!BG3)))))/100,Backdoors!BG3/100),"")</f>
        <v>0</v>
      </c>
      <c r="D55" s="49">
        <f>IFERROR(IF(VLOOKUP(A55,tbMoveset!A2:J112,10,FALSE)=TRUE,IF((Backdoors!AI12+IF(B55&gt;=0.45,VLOOKUP(Calculator!E23,tbSkills!DH3:DI6,2,FALSE)+IF(AND(Calculator!B8=TRUE,Backdoors!BI3=TRUE),VLOOKUP(Calculator!E23,tbSkills!DH3:DJ6,3,FALSE),0),0))&gt;=0,1+(Backdoors!AL2*(IF((Backdoors!AI12+IF(B55&gt;=0.45,VLOOKUP(Calculator!E23,tbSkills!DH3:DI6,2,FALSE)+IF(AND(Calculator!B8=TRUE,Backdoors!BI3=TRUE),VLOOKUP(Calculator!E23,tbSkills!DH3:DJ6,3,FALSE),0),0))&gt;=100,100,(Backdoors!AI12+IF(B55&gt;=0.45,VLOOKUP(Calculator!E23,tbSkills!DH3:DI6,2,FALSE)+IF(AND(Calculator!B8=TRUE,Backdoors!BI3=TRUE),VLOOKUP(Calculator!E23,tbSkills!DH3:DJ6,3,FALSE),0),0)))/100)),(1-(0.25*((-Backdoors!AI12-IF(B55&gt;=0.45,VLOOKUP(Calculator!E23,tbSkills!DH3:DI6,2,FALSE)+IF(AND(Calculator!B8=TRUE,Backdoors!BI3=TRUE),VLOOKUP(Calculator!E23,tbSkills!DH3:DJ6,3,FALSE),0),0))/100)))),1),"")</f>
        <v>1</v>
      </c>
      <c r="E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55)*D55)*(VLOOKUP(A55,tbMoveset!A2:C112,3,FALSE)/100)*IF(VLOOKUP(A55,tbMoveset!A2:B112,2,FALSE)="Projectile",Backdoors!N10,Backdoors!N9),0),"")</f>
        <v>11</v>
      </c>
      <c r="F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55&gt;=0.45,VLOOKUP(Calculator!E23,tbSkills!DH3:DI6,2,FALSE)+IF(AND(Calculator!B8=TRUE,Backdoors!BI3=TRUE),VLOOKUP(Calculator!E23,tbSkills!DH3:DJ6,3,FALSE),0),0))&gt;=100,100,(Backdoors!AI12+IF(B55&gt;=0.45,VLOOKUP(Calculator!E23,tbSkills!DH3:DI6,2,FALSE)+IF(AND(Calculator!B8=TRUE,Backdoors!BI3=TRUE),VLOOKUP(Calculator!E23,tbSkills!DH3:DJ6,3,FALSE),0),0)))/100)),1))*IF(VLOOKUP(A55,tbMoveset!A2:K112,11,FALSE)=TRUE,Backdoors!AC5,1))*C55,0),"")</f>
        <v>0</v>
      </c>
      <c r="G55">
        <f>VLOOKUP(A55,tbMoveset!A2:G112,7,FALSE)*IFERROR(IF(Backdoors!AI12&gt;=0,1+(IF(Calculator!E40&gt;0,VLOOKUP(Calculator!E40,tbSkills!AI3:AJ5,2,FALSE),Backdoors!AL4)*(IF((Backdoors!AI12+IF(B55&gt;=0.45,VLOOKUP(Calculator!E23,tbSkills!DH3:DI6,2,FALSE)+IF(AND(Calculator!B8=TRUE,Backdoors!BI3=TRUE),VLOOKUP(Calculator!E23,tbSkills!DH3:DJ6,3,FALSE),0),0))&gt;=100,100,(Backdoors!AI12+IF(B55&gt;=0.45,VLOOKUP(Calculator!E23,tbSkills!DH3:DI6,2,FALSE)+IF(AND(Calculator!B8=TRUE,Backdoors!BI3=TRUE),VLOOKUP(Calculator!E23,tbSkills!DH3:DJ6,3,FALSE),0),0)))/100)),1),1)</f>
        <v>0.8</v>
      </c>
      <c r="H55" s="87">
        <f t="shared" si="44"/>
        <v>11</v>
      </c>
      <c r="I55" s="86">
        <f>IFERROR(IF(VLOOKUP(A55,tbMoveset!A2:B112,2,FALSE)="Sever",Backdoors!AY4/100,IF(VLOOKUP(A55,tbMoveset!A2:B112,2,FALSE)="Blunt",Backdoors!AZ4/100,Backdoors!BA4/100)),"")</f>
        <v>0.65</v>
      </c>
      <c r="J55" s="49">
        <f>IFERROR(IF(VLOOKUP(tbMoveset!A55,tbMoveset!A2:H112,8,FALSE)="Other",IF(VLOOKUP(tbMoveset!A55,tbMoveset!A2:I112,9,FALSE)="Fire",Backdoors!BB4,IF(VLOOKUP(tbMoveset!A55,tbMoveset!A2:I112,9,FALSE)="Water",Backdoors!BC4,IF(VLOOKUP(tbMoveset!A55,tbMoveset!A2:I112,9,FALSE)="Thunder",Backdoors!BD4,IF(VLOOKUP(tbMoveset!A55,tbMoveset!A2:I112,9,FALSE)="Ice",Backdoors!BE4,IF(VLOOKUP(tbMoveset!A55,tbMoveset!A2:I112,9,FALSE)="Dragon",Backdoors!BF4,Backdoors!BG4)))))/100,Backdoors!BG4/100),"")</f>
        <v>0</v>
      </c>
      <c r="K55" s="49">
        <f>IFERROR(IF(VLOOKUP(A55,tbMoveset!A2:J112,10,FALSE)=TRUE,IF((Backdoors!AI12+IF(I55&gt;=0.45,VLOOKUP(Calculator!E23,tbSkills!DH3:DI6,2,FALSE)+IF(AND(Calculator!B8=TRUE,Backdoors!BI4=TRUE),VLOOKUP(Calculator!E23,tbSkills!DH3:DJ6,3,FALSE),0),0))&gt;=0,1+(Backdoors!AL2*(IF((Backdoors!AI12+IF(I55&gt;=0.45,VLOOKUP(Calculator!E23,tbSkills!DH3:DI6,2,FALSE)+IF(AND(Calculator!B8=TRUE,Backdoors!BI4=TRUE),VLOOKUP(Calculator!E23,tbSkills!DH3:DJ6,3,FALSE),0),0))&gt;=100,100,(Backdoors!AI12+IF(I55&gt;=0.45,VLOOKUP(Calculator!E23,tbSkills!DH3:DI6,2,FALSE)+IF(AND(Calculator!B8=TRUE,Backdoors!BI4=TRUE),VLOOKUP(Calculator!E23,tbSkills!DH3:DJ6,3,FALSE),0),0)))/100)),(1-(0.25*((-Backdoors!AI12-IF(I55&gt;=0.45,VLOOKUP(Calculator!E23,tbSkills!DH3:DI6,2,FALSE)+IF(AND(Calculator!B8=TRUE,Backdoors!BI4=TRUE),VLOOKUP(Calculator!E23,tbSkills!DH3:DJ6,3,FALSE),0),0))/100)))),1),"")</f>
        <v>1</v>
      </c>
      <c r="L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55)*K55)*(VLOOKUP(A55,tbMoveset!A2:C112,3,FALSE)/100)*IF(VLOOKUP(A55,tbMoveset!A2:B112,2,FALSE)="Projectile",Backdoors!N10,Backdoors!N9),0),"")</f>
        <v>9</v>
      </c>
      <c r="M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I55&gt;=0.45,VLOOKUP(Calculator!E23,tbSkills!DH3:DI6,2,FALSE)+IF(AND(Calculator!B8=TRUE,Backdoors!BI4=TRUE),VLOOKUP(Calculator!E23,tbSkills!DH3:DJ6,3,FALSE),0),0))&gt;=100,100,(Backdoors!AI12+IF(I55&gt;=0.45,VLOOKUP(Calculator!E23,tbSkills!DH3:DI6,2,FALSE)+IF(AND(Calculator!B8=TRUE,Backdoors!BI4=TRUE),VLOOKUP(Calculator!E23,tbSkills!DH3:DJ6,3,FALSE),0),0)))/100)),1))*IF(VLOOKUP(A55,tbMoveset!A2:K112,11,FALSE)=TRUE,Backdoors!AC5,1))*J55,0),"")</f>
        <v>0</v>
      </c>
      <c r="N55" s="49">
        <f>VLOOKUP(A55,tbMoveset!A2:G112,7,FALSE)*IFERROR(IF(Backdoors!AI12&gt;=0,1+(IF(Calculator!E40&gt;0,VLOOKUP(Calculator!E40,tbSkills!AI3:AJ5,2,FALSE),Backdoors!AL4)*(IF((Backdoors!AI12+IF(I55&gt;=0.45,VLOOKUP(Calculator!E23,tbSkills!DH3:DI6,2,FALSE)+IF(AND(Calculator!B8=TRUE,Backdoors!BI4=TRUE),VLOOKUP(Calculator!E23,tbSkills!DH3:DJ6,3,FALSE),0),0))&gt;=100,100,(Backdoors!AI12+IF(I55&gt;=0.45,VLOOKUP(Calculator!E23,tbSkills!DH3:DI6,2,FALSE)+IF(AND(Calculator!B8=TRUE,Backdoors!BI4=TRUE),VLOOKUP(Calculator!E23,tbSkills!DH3:DJ6,3,FALSE),0),0)))/100)),1),1)</f>
        <v>0.8</v>
      </c>
      <c r="O55" s="87">
        <f t="shared" si="45"/>
        <v>9</v>
      </c>
      <c r="P55" s="86">
        <f>IFERROR(IF(VLOOKUP(A55,tbMoveset!A2:B112,2,FALSE)="Sever",Backdoors!AY5/100,IF(VLOOKUP(A55,tbMoveset!A2:B112,2,FALSE)="Blunt",Backdoors!AZ5/100,Backdoors!BA5/100)),"")</f>
        <v>0.5</v>
      </c>
      <c r="Q55" s="49">
        <f>IFERROR(IF(VLOOKUP(tbMoveset!A55,tbMoveset!A2:H112,8,FALSE)="Other",IF(VLOOKUP(tbMoveset!A55,tbMoveset!A2:I112,9,FALSE)="Fire",Backdoors!BB5,IF(VLOOKUP(tbMoveset!A55,tbMoveset!A2:I112,9,FALSE)="Water",Backdoors!BC5,IF(VLOOKUP(tbMoveset!A55,tbMoveset!A2:I112,9,FALSE)="Thunder",Backdoors!BD5,IF(VLOOKUP(tbMoveset!A55,tbMoveset!A2:I112,9,FALSE)="Ice",Backdoors!BE5,IF(VLOOKUP(tbMoveset!A55,tbMoveset!A2:I112,9,FALSE)="Dragon",Backdoors!BF5,Backdoors!BG5)))))/100,Backdoors!BG5/100),"")</f>
        <v>0</v>
      </c>
      <c r="R55" s="49">
        <f>IFERROR(IF(VLOOKUP(A55,tbMoveset!A2:J112,10,FALSE)=TRUE,IF((Backdoors!AI12+IF(P55&gt;=0.45,VLOOKUP(Calculator!E23,tbSkills!DH3:DI6,2,FALSE)+IF(AND(Calculator!B8=TRUE,Backdoors!BI5=TRUE),VLOOKUP(Calculator!E23,tbSkills!DH3:DJ6,3,FALSE),0),0))&gt;=0,1+(Backdoors!AL2*(IF((Backdoors!AI12+IF(P55&gt;=0.45,VLOOKUP(Calculator!E23,tbSkills!DH3:DI6,2,FALSE)+IF(AND(Calculator!B8=TRUE,Backdoors!BI5=TRUE),VLOOKUP(Calculator!E23,tbSkills!DH3:DJ6,3,FALSE),0),0))&gt;=100,100,(Backdoors!AI12+IF(P55&gt;=0.45,VLOOKUP(Calculator!E23,tbSkills!DH3:DI6,2,FALSE)+IF(AND(Calculator!B8=TRUE,Backdoors!BI5=TRUE),VLOOKUP(Calculator!E23,tbSkills!DH3:DJ6,3,FALSE),0),0)))/100)),(1-(0.25*((-Backdoors!AI12-IF(P55&gt;=0.45,VLOOKUP(Calculator!E23,tbSkills!DH3:DI6,2,FALSE)+IF(AND(Calculator!B8=TRUE,Backdoors!BI5=TRUE),VLOOKUP(Calculator!E23,tbSkills!DH3:DJ6,3,FALSE),0),0))/100)))),1),"")</f>
        <v>1</v>
      </c>
      <c r="S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P55)*R55)*(VLOOKUP(A55,tbMoveset!A2:C112,3,FALSE)/100)*IF(VLOOKUP(A55,tbMoveset!A2:B112,2,FALSE)="Projectile",Backdoors!N10,Backdoors!N9),0),"")</f>
        <v>7</v>
      </c>
      <c r="T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P55&gt;=0.45,VLOOKUP(Calculator!E23,tbSkills!DH3:DI6,2,FALSE)+IF(AND(Calculator!B8=TRUE,Backdoors!BI5=TRUE),VLOOKUP(Calculator!E23,tbSkills!DH3:DJ6,3,FALSE),0),0))&gt;=100,100,(Backdoors!AI12+IF(P55&gt;=0.45,VLOOKUP(Calculator!E23,tbSkills!DH3:DI6,2,FALSE)+IF(AND(Calculator!B8=TRUE,Backdoors!BI5=TRUE),VLOOKUP(Calculator!E23,tbSkills!DH3:DJ6,3,FALSE),0),0)))/100)),1))*IF(VLOOKUP(A55,tbMoveset!A2:K112,11,FALSE)=TRUE,Backdoors!AC5,1))*Q55,0),"")</f>
        <v>0</v>
      </c>
      <c r="U55" s="49">
        <f>VLOOKUP(A55,tbMoveset!A2:G112,7,FALSE)*IFERROR(IF(Backdoors!AI12&gt;=0,1+(IF(Calculator!E40&gt;0,VLOOKUP(Calculator!E40,tbSkills!AI3:AJ5,2,FALSE),Backdoors!AL4)*(IF((Backdoors!AI12+IF(P55&gt;=0.45,VLOOKUP(Calculator!E23,tbSkills!DH3:DI6,2,FALSE)+IF(AND(Calculator!B8=TRUE,Backdoors!BI5=TRUE),VLOOKUP(Calculator!E23,tbSkills!DH3:DJ6,3,FALSE),0),0))&gt;=100,100,(Backdoors!AI12+IF(P55&gt;=0.45,VLOOKUP(Calculator!E23,tbSkills!DH3:DI6,2,FALSE)+IF(AND(Calculator!B8=TRUE,Backdoors!BI5=TRUE),VLOOKUP(Calculator!E23,tbSkills!DH3:DJ6,3,FALSE),0),0)))/100)),1),1)</f>
        <v>0.8</v>
      </c>
      <c r="V55" s="87">
        <f t="shared" si="46"/>
        <v>7</v>
      </c>
      <c r="W55" s="86">
        <f>IFERROR(IF(VLOOKUP(A55,tbMoveset!A2:B112,2,FALSE)="Sever",Backdoors!AY6/100,IF(VLOOKUP(A55,tbMoveset!A2:B112,2,FALSE)="Blunt",Backdoors!AZ6/100,Backdoors!BA6/100)),"")</f>
        <v>0.45</v>
      </c>
      <c r="X55" s="49">
        <f>IFERROR(IF(VLOOKUP(tbMoveset!A55,tbMoveset!A2:H112,8,FALSE)="Other",IF(VLOOKUP(tbMoveset!A55,tbMoveset!A2:I112,9,FALSE)="Fire",Backdoors!BB6,IF(VLOOKUP(tbMoveset!A55,tbMoveset!A2:I112,9,FALSE)="Water",Backdoors!BC6,IF(VLOOKUP(tbMoveset!A55,tbMoveset!A2:I112,9,FALSE)="Thunder",Backdoors!BD6,IF(VLOOKUP(tbMoveset!A55,tbMoveset!A2:I112,9,FALSE)="Ice",Backdoors!BE6,IF(VLOOKUP(tbMoveset!A55,tbMoveset!A2:I112,9,FALSE)="Dragon",Backdoors!BF6,Backdoors!BG6)))))/100,Backdoors!BG6/100),"")</f>
        <v>0</v>
      </c>
      <c r="Y55" s="49">
        <f>IFERROR(IF(VLOOKUP(A55,tbMoveset!A2:J112,10,FALSE)=TRUE,IF((Backdoors!AI12+IF(W55&gt;=0.45,VLOOKUP(Calculator!E23,tbSkills!DH3:DI6,2,FALSE)+IF(AND(Calculator!B8=TRUE,Backdoors!BI6=TRUE),VLOOKUP(Calculator!E23,tbSkills!DH3:DJ6,3,FALSE),0),0))&gt;=0,1+(Backdoors!AL2*(IF((Backdoors!AI12+IF(W55&gt;=0.45,VLOOKUP(Calculator!E23,tbSkills!DH3:DI6,2,FALSE)+IF(AND(Calculator!B8=TRUE,Backdoors!BI6=TRUE),VLOOKUP(Calculator!E23,tbSkills!DH3:DJ6,3,FALSE),0),0))&gt;=100,100,(Backdoors!AI12+IF(W55&gt;=0.45,VLOOKUP(Calculator!E23,tbSkills!DH3:DI6,2,FALSE)+IF(AND(Calculator!B8=TRUE,Backdoors!BI6=TRUE),VLOOKUP(Calculator!E23,tbSkills!DH3:DJ6,3,FALSE),0),0)))/100)),(1-(0.25*((-Backdoors!AI12-IF(W55&gt;=0.45,VLOOKUP(Calculator!E23,tbSkills!DH3:DI6,2,FALSE)+IF(AND(Calculator!B8=TRUE,Backdoors!BI6=TRUE),VLOOKUP(Calculator!E23,tbSkills!DH3:DJ6,3,FALSE),0),0))/100)))),1),"")</f>
        <v>1</v>
      </c>
      <c r="Z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W55)*Y55)*(VLOOKUP(A55,tbMoveset!A2:C112,3,FALSE)/100)*IF(VLOOKUP(A55,tbMoveset!A2:B112,2,FALSE)="Projectile",Backdoors!N10,Backdoors!N9),0),"")</f>
        <v>6</v>
      </c>
      <c r="AA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W55&gt;=0.45,VLOOKUP(Calculator!E23,tbSkills!DH3:DI6,2,FALSE)+IF(AND(Calculator!B8=TRUE,Backdoors!BI6=TRUE),VLOOKUP(Calculator!E23,tbSkills!DH3:DJ6,3,FALSE),0),0))&gt;=100,100,(Backdoors!AI12+IF(W55&gt;=0.45,VLOOKUP(Calculator!E23,tbSkills!DH3:DI6,2,FALSE)+IF(AND(Calculator!B8=TRUE,Backdoors!BI6=TRUE),VLOOKUP(Calculator!E23,tbSkills!DH3:DJ6,3,FALSE),0),0)))/100)),1))*IF(VLOOKUP(A55,tbMoveset!A2:K112,11,FALSE)=TRUE,Backdoors!AC5,1))*X55,0),"")</f>
        <v>0</v>
      </c>
      <c r="AB55" s="49">
        <f>VLOOKUP(A55,tbMoveset!A2:G112,7,FALSE)*IFERROR(IF(Backdoors!AI12&gt;=0,1+(IF(Calculator!E40&gt;0,VLOOKUP(Calculator!E40,tbSkills!AI3:AJ5,2,FALSE),Backdoors!AL4)*(IF((Backdoors!AI12+IF(W55&gt;=0.45,VLOOKUP(Calculator!E23,tbSkills!DH3:DI6,2,FALSE)+IF(AND(Calculator!B8=TRUE,Backdoors!BI6=TRUE),VLOOKUP(Calculator!E23,tbSkills!DH3:DJ6,3,FALSE),0),0))&gt;=100,100,(Backdoors!AI12+IF(W55&gt;=0.45,VLOOKUP(Calculator!E23,tbSkills!DH3:DI6,2,FALSE)+IF(AND(Calculator!B8=TRUE,Backdoors!BI6=TRUE),VLOOKUP(Calculator!E23,tbSkills!DH3:DJ6,3,FALSE),0),0)))/100)),1),1)</f>
        <v>0.8</v>
      </c>
      <c r="AC55" s="87">
        <f t="shared" si="47"/>
        <v>6</v>
      </c>
      <c r="AD55" s="86">
        <f>IFERROR(IF(VLOOKUP(A55,tbMoveset!A2:B112,2,FALSE)="Sever",Backdoors!AY7/100,IF(VLOOKUP(A55,tbMoveset!A2:B112,2,FALSE)="Blunt",Backdoors!AZ7/100,Backdoors!BA7/100)),"")</f>
        <v>0.65</v>
      </c>
      <c r="AE55" s="49">
        <f>IFERROR(IF(VLOOKUP(tbMoveset!A55,tbMoveset!A2:H112,8,FALSE)="Other",IF(VLOOKUP(tbMoveset!A55,tbMoveset!A2:I112,9,FALSE)="Fire",Backdoors!BB7,IF(VLOOKUP(tbMoveset!A55,tbMoveset!A2:I112,9,FALSE)="Water",Backdoors!BC7,IF(VLOOKUP(tbMoveset!A55,tbMoveset!A2:I112,9,FALSE)="Thunder",Backdoors!BD7,IF(VLOOKUP(tbMoveset!A55,tbMoveset!A2:I112,9,FALSE)="Ice",Backdoors!BE7,IF(VLOOKUP(tbMoveset!A55,tbMoveset!A2:I112,9,FALSE)="Dragon",Backdoors!BF7,Backdoors!BG7)))))/100,Backdoors!BG7/100),"")</f>
        <v>0</v>
      </c>
      <c r="AF55" s="49">
        <f>IFERROR(IF(VLOOKUP(A55,tbMoveset!A2:J112,10,FALSE)=TRUE,IF((Backdoors!AI12+IF(AD55&gt;=0.45,VLOOKUP(Calculator!E23,tbSkills!DH3:DI6,2,FALSE)+IF(AND(Calculator!B8=TRUE,Backdoors!BI7=TRUE),VLOOKUP(Calculator!E23,tbSkills!DH3:DJ6,3,FALSE),0),0))&gt;=0,1+(Backdoors!AL2*(IF((Backdoors!AI12+IF(AD55&gt;=0.45,VLOOKUP(Calculator!E23,tbSkills!DH3:DI6,2,FALSE)+IF(AND(Calculator!B8=TRUE,Backdoors!BI7=TRUE),VLOOKUP(Calculator!E23,tbSkills!DH3:DJ6,3,FALSE),0),0))&gt;=100,100,(Backdoors!AI12+IF(AD55&gt;=0.45,VLOOKUP(Calculator!E23,tbSkills!DH3:DI6,2,FALSE)+IF(AND(Calculator!B8=TRUE,Backdoors!BI7=TRUE),VLOOKUP(Calculator!E23,tbSkills!DH3:DJ6,3,FALSE),0),0)))/100)),(1-(0.25*((-Backdoors!AI12-IF(AD55&gt;=0.45,VLOOKUP(Calculator!E23,tbSkills!DH3:DI6,2,FALSE)+IF(AND(Calculator!B8=TRUE,Backdoors!BI7=TRUE),VLOOKUP(Calculator!E23,tbSkills!DH3:DJ6,3,FALSE),0),0))/100)))),1),"")</f>
        <v>1</v>
      </c>
      <c r="AG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D55)*AF55)*(VLOOKUP(A55,tbMoveset!A2:C112,3,FALSE)/100)*IF(VLOOKUP(A55,tbMoveset!A2:B112,2,FALSE)="Projectile",Backdoors!N10,Backdoors!N9),0),"")</f>
        <v>9</v>
      </c>
      <c r="AH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D55&gt;=0.45,VLOOKUP(Calculator!E23,tbSkills!DH3:DI6,2,FALSE)+IF(AND(Calculator!B8=TRUE,Backdoors!BI7=TRUE),VLOOKUP(Calculator!E23,tbSkills!DH3:DJ6,3,FALSE),0),0))&gt;=100,100,(Backdoors!AI12+IF(AD55&gt;=0.45,VLOOKUP(Calculator!E23,tbSkills!DH3:DI6,2,FALSE)+IF(AND(Calculator!B8=TRUE,Backdoors!BI7=TRUE),VLOOKUP(Calculator!E23,tbSkills!DH3:DJ6,3,FALSE),0),0)))/100)),1))*IF(VLOOKUP(A55,tbMoveset!A2:K112,11,FALSE)=TRUE,Backdoors!AC5,1))*AE55,0),"")</f>
        <v>0</v>
      </c>
      <c r="AI55" s="49">
        <f>VLOOKUP(A55,tbMoveset!A2:G112,7,FALSE)*IFERROR(IF(Backdoors!AI12&gt;=0,1+(IF(Calculator!E40&gt;0,VLOOKUP(Calculator!E40,tbSkills!AI3:AJ5,2,FALSE),Backdoors!AL4)*(IF((Backdoors!AI12+IF(AD55&gt;=0.45,VLOOKUP(Calculator!E23,tbSkills!DH3:DI6,2,FALSE)+IF(AND(Calculator!B8=TRUE,Backdoors!BI7=TRUE),VLOOKUP(Calculator!E23,tbSkills!DH3:DJ6,3,FALSE),0),0))&gt;=100,100,(Backdoors!AI12+IF(AD55&gt;=0.45,VLOOKUP(Calculator!E23,tbSkills!DH3:DI6,2,FALSE)+IF(AND(Calculator!B8=TRUE,Backdoors!BI7=TRUE),VLOOKUP(Calculator!E23,tbSkills!DH3:DJ6,3,FALSE),0),0)))/100)),1),1)</f>
        <v>0.8</v>
      </c>
      <c r="AJ55" s="87">
        <f t="shared" si="48"/>
        <v>9</v>
      </c>
      <c r="AK55" s="91">
        <f>IFERROR(IF(VLOOKUP(A55,tbMoveset!A2:B112,2,FALSE)="Sever",Backdoors!AY8/100,IF(VLOOKUP(A55,tbMoveset!A2:B112,2,FALSE)="Blunt",Backdoors!AZ8/100,Backdoors!BA8/100)),"")</f>
        <v>0.45</v>
      </c>
      <c r="AL55" s="49">
        <f>IFERROR(IF(VLOOKUP(tbMoveset!A55,tbMoveset!A2:H112,8,FALSE)="Other",IF(VLOOKUP(tbMoveset!A55,tbMoveset!A2:I112,9,FALSE)="Fire",Backdoors!BB8,IF(VLOOKUP(tbMoveset!A55,tbMoveset!A2:I112,9,FALSE)="Water",Backdoors!BC8,IF(VLOOKUP(tbMoveset!A55,tbMoveset!A2:I112,9,FALSE)="Thunder",Backdoors!BD8,IF(VLOOKUP(tbMoveset!A55,tbMoveset!A2:I112,9,FALSE)="Ice",Backdoors!BE8,IF(VLOOKUP(tbMoveset!A55,tbMoveset!A2:I112,9,FALSE)="Dragon",Backdoors!BF8,Backdoors!BG8)))))/100,Backdoors!BG8/100),"")</f>
        <v>0</v>
      </c>
      <c r="AM55" s="49">
        <f>IFERROR(IF(VLOOKUP(A55,tbMoveset!A2:J112,10,FALSE)=TRUE,IF((Backdoors!AI12+IF(AK55&gt;=0.45,VLOOKUP(Calculator!E23,tbSkills!DH3:DI6,2,FALSE)+IF(AND(Calculator!B8=TRUE,Backdoors!BI8=TRUE),VLOOKUP(Calculator!E23,tbSkills!DH3:DJ6,3,FALSE),0),0))&gt;=0,1+(Backdoors!AL2*(IF((Backdoors!AI12+IF(AK55&gt;=0.45,VLOOKUP(Calculator!E23,tbSkills!DH3:DI6,2,FALSE)+IF(AND(Calculator!B8=TRUE,Backdoors!BI8=TRUE),VLOOKUP(Calculator!E23,tbSkills!DH3:DJ6,3,FALSE),0),0))&gt;=100,100,(Backdoors!AI12+IF(AK55&gt;=0.45,VLOOKUP(Calculator!E23,tbSkills!DH3:DI6,2,FALSE)+IF(AND(Calculator!B8=TRUE,Backdoors!BI8=TRUE),VLOOKUP(Calculator!E23,tbSkills!DH3:DJ6,3,FALSE),0),0)))/100)),(1-(0.25*((-Backdoors!AI12-IF(AK55&gt;=0.45,VLOOKUP(Calculator!E23,tbSkills!DH3:DI6,2,FALSE)+IF(AND(Calculator!B8=TRUE,Backdoors!BI8=TRUE),VLOOKUP(Calculator!E23,tbSkills!DH3:DJ6,3,FALSE),0),0))/100)))),1),"")</f>
        <v>1</v>
      </c>
      <c r="AN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K55)*AM55)*(VLOOKUP(A55,tbMoveset!A2:C112,3,FALSE)/100)*IF(VLOOKUP(A55,tbMoveset!A2:B112,2,FALSE)="Projectile",Backdoors!N10,Backdoors!N9),0),"")</f>
        <v>6</v>
      </c>
      <c r="AO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K55&gt;=0.45,VLOOKUP(Calculator!E23,tbSkills!DH3:DI6,2,FALSE)+IF(AND(Calculator!B8=TRUE,Backdoors!BI8=TRUE),VLOOKUP(Calculator!E23,tbSkills!DH3:DJ6,3,FALSE),0),0))&gt;=100,100,(Backdoors!AI12+IF(AK55&gt;=0.45,VLOOKUP(Calculator!E23,tbSkills!DH3:DI6,2,FALSE)+IF(AND(Calculator!B8=TRUE,Backdoors!BI8=TRUE),VLOOKUP(Calculator!E23,tbSkills!DH3:DJ6,3,FALSE),0),0)))/100)),1))*IF(VLOOKUP(A55,tbMoveset!A2:K112,11,FALSE)=TRUE,Backdoors!AC5,1))*AL55,0),"")</f>
        <v>0</v>
      </c>
      <c r="AP55" s="49">
        <f>VLOOKUP(A55,tbMoveset!A2:G112,7,FALSE)*IFERROR(IF(Backdoors!AI12&gt;=0,1+(IF(Calculator!E40&gt;0,VLOOKUP(Calculator!E40,tbSkills!AI3:AJ5,2,FALSE),Backdoors!AL4)*(IF((Backdoors!AI12+IF(AK55&gt;=0.45,VLOOKUP(Calculator!E23,tbSkills!DH3:DI6,2,FALSE)+IF(AND(Calculator!B8=TRUE,Backdoors!BI8=TRUE),VLOOKUP(Calculator!E23,tbSkills!DH3:DJ6,3,FALSE),0),0))&gt;=100,100,(Backdoors!AI12+IF(AK55&gt;=0.45,VLOOKUP(Calculator!E23,tbSkills!DH3:DI6,2,FALSE)+IF(AND(Calculator!B8=TRUE,Backdoors!BI8=TRUE),VLOOKUP(Calculator!E23,tbSkills!DH3:DJ6,3,FALSE),0),0)))/100)),1),1)</f>
        <v>0.8</v>
      </c>
      <c r="AQ55" s="87">
        <f t="shared" si="49"/>
        <v>6</v>
      </c>
      <c r="AR55" s="86">
        <f>IFERROR(IF(VLOOKUP(A55,tbMoveset!A2:B112,2,FALSE)="Sever",Backdoors!AY9/100,IF(VLOOKUP(A55,tbMoveset!A2:B112,2,FALSE)="Blunt",Backdoors!AZ9/100,Backdoors!BA9/100)),"")</f>
        <v>0.45</v>
      </c>
      <c r="AS55" s="49">
        <f>IFERROR(IF(VLOOKUP(tbMoveset!A55,tbMoveset!A2:H112,8,FALSE)="Other",IF(VLOOKUP(tbMoveset!A55,tbMoveset!A2:I112,9,FALSE)="Fire",Backdoors!BB9,IF(VLOOKUP(tbMoveset!A55,tbMoveset!A2:I112,9,FALSE)="Water",Backdoors!BC9,IF(VLOOKUP(tbMoveset!A55,tbMoveset!A2:I112,9,FALSE)="Thunder",Backdoors!BD9,IF(VLOOKUP(tbMoveset!A55,tbMoveset!A2:I112,9,FALSE)="Ice",Backdoors!BE9,IF(VLOOKUP(tbMoveset!A55,tbMoveset!A2:I112,9,FALSE)="Dragon",Backdoors!BF9,Backdoors!BG9)))))/100,Backdoors!BG9/100),"")</f>
        <v>0</v>
      </c>
      <c r="AT55" s="49">
        <f>IFERROR(IF(VLOOKUP(A55,tbMoveset!A2:J112,10,FALSE)=TRUE,IF((Backdoors!AI12+IF(AR55&gt;=0.45,VLOOKUP(Calculator!E23,tbSkills!DH3:DI6,2,FALSE)+IF(AND(Calculator!B8=TRUE,Backdoors!BI9=TRUE),VLOOKUP(Calculator!E23,tbSkills!DH3:DJ6,3,FALSE),0),0))&gt;=0,1+(Backdoors!AL2*(IF((Backdoors!AI12+IF(AR55&gt;=0.45,VLOOKUP(Calculator!E23,tbSkills!DH3:DI6,2,FALSE)+IF(AND(Calculator!B8=TRUE,Backdoors!BI9=TRUE),VLOOKUP(Calculator!E23,tbSkills!DH3:DJ6,3,FALSE),0),0))&gt;=100,100,(Backdoors!AI12+IF(AR55&gt;=0.45,VLOOKUP(Calculator!E23,tbSkills!DH3:DI6,2,FALSE)+IF(AND(Calculator!B8=TRUE,Backdoors!BI9=TRUE),VLOOKUP(Calculator!E23,tbSkills!DH3:DJ6,3,FALSE),0),0)))/100)),(1-(0.25*((-Backdoors!AI12-IF(AR55&gt;=0.45,VLOOKUP(Calculator!E23,tbSkills!DH3:DI6,2,FALSE)+IF(AND(Calculator!B8=TRUE,Backdoors!BI9=TRUE),VLOOKUP(Calculator!E23,tbSkills!DH3:DJ6,3,FALSE),0),0))/100)))),1),"")</f>
        <v>1</v>
      </c>
      <c r="AU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R55)*AT55)*(VLOOKUP(A55,tbMoveset!A2:C112,3,FALSE)/100)*IF(VLOOKUP(A55,tbMoveset!A2:B112,2,FALSE)="Projectile",Backdoors!N10,Backdoors!N9),0),"")</f>
        <v>6</v>
      </c>
      <c r="AV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R55&gt;=0.45,VLOOKUP(Calculator!E23,tbSkills!DH3:DI6,2,FALSE)+IF(AND(Calculator!B8=TRUE,Backdoors!BI9=TRUE),VLOOKUP(Calculator!E23,tbSkills!DH3:DJ6,3,FALSE),0),0))&gt;=100,100,(Backdoors!AI12+IF(AR55&gt;=0.45,VLOOKUP(Calculator!E23,tbSkills!DH3:DI6,2,FALSE)+IF(AND(Calculator!B8=TRUE,Backdoors!BI9=TRUE),VLOOKUP(Calculator!E23,tbSkills!DH3:DJ6,3,FALSE),0),0)))/100)),1))*IF(VLOOKUP(A55,tbMoveset!A2:K112,11,FALSE)=TRUE,Backdoors!AC5,1))*AS55,0),"")</f>
        <v>0</v>
      </c>
      <c r="AW55" s="49">
        <f>VLOOKUP(A55,tbMoveset!A2:G112,7,FALSE)*IFERROR(IF(Backdoors!AI12&gt;=0,1+(IF(Calculator!E40&gt;0,VLOOKUP(Calculator!E40,tbSkills!AI3:AJ5,2,FALSE),Backdoors!AL4)*(IF((Backdoors!AI12+IF(AR55&gt;=0.45,VLOOKUP(Calculator!E23,tbSkills!DH3:DI6,2,FALSE)+IF(AND(Calculator!B8=TRUE,Backdoors!BI9=TRUE),VLOOKUP(Calculator!E23,tbSkills!DH3:DJ6,3,FALSE),0),0))&gt;=100,100,(Backdoors!AI12+IF(AR55&gt;=0.45,VLOOKUP(Calculator!E23,tbSkills!DH3:DI6,2,FALSE)+IF(AND(Calculator!B8=TRUE,Backdoors!BI9=TRUE),VLOOKUP(Calculator!E23,tbSkills!DH3:DJ6,3,FALSE),0),0)))/100)),1),1)</f>
        <v>0.8</v>
      </c>
      <c r="AX55" s="87">
        <f t="shared" si="50"/>
        <v>6</v>
      </c>
      <c r="AY55" s="86">
        <f>IFERROR(IF(VLOOKUP(A55,tbMoveset!A2:B112,2,FALSE)="Sever",Backdoors!AY10/100,IF(VLOOKUP(A55,tbMoveset!A2:B112,2,FALSE)="Blunt",Backdoors!AZ10/100,Backdoors!BA10/100)),"")</f>
        <v>0.9</v>
      </c>
      <c r="AZ55" s="49">
        <f>IFERROR(IF(VLOOKUP(tbMoveset!A55,tbMoveset!A2:H112,8,FALSE)="Other",IF(VLOOKUP(tbMoveset!A55,tbMoveset!A2:I112,9,FALSE)="Fire",Backdoors!BB10,IF(VLOOKUP(tbMoveset!A55,tbMoveset!A2:I112,9,FALSE)="Water",Backdoors!BC10,IF(VLOOKUP(tbMoveset!A55,tbMoveset!A2:I112,9,FALSE)="Thunder",Backdoors!BD10,IF(VLOOKUP(tbMoveset!A55,tbMoveset!A2:I112,9,FALSE)="Ice",Backdoors!BE10,IF(VLOOKUP(tbMoveset!A55,tbMoveset!A2:I112,9,FALSE)="Dragon",Backdoors!BF10,Backdoors!BG10)))))/100,Backdoors!BG10/100),"")</f>
        <v>0</v>
      </c>
      <c r="BA55" s="49">
        <f>IFERROR(IF(VLOOKUP(A55,tbMoveset!A2:J112,10,FALSE)=TRUE,IF((Backdoors!AI12+IF(AY55&gt;=0.45,VLOOKUP(Calculator!E23,tbSkills!DH3:DI6,2,FALSE)+IF(AND(Calculator!B8=TRUE,Backdoors!BI10=TRUE),VLOOKUP(Calculator!E23,tbSkills!DH3:DJ6,3,FALSE),0),0))&gt;=0,1+(Backdoors!AL2*(IF((Backdoors!AI12+IF(AY55&gt;=0.45,VLOOKUP(Calculator!E23,tbSkills!DH3:DI6,2,FALSE)+IF(AND(Calculator!B8=TRUE,Backdoors!BI10=TRUE),VLOOKUP(Calculator!E23,tbSkills!DH3:DJ6,3,FALSE),0),0))&gt;=100,100,(Backdoors!AI12+IF(AY55&gt;=0.45,VLOOKUP(Calculator!E23,tbSkills!DH3:DI6,2,FALSE)+IF(AND(Calculator!B8=TRUE,Backdoors!BI10=TRUE),VLOOKUP(Calculator!E23,tbSkills!DH3:DJ6,3,FALSE),0),0)))/100)),(1-(0.25*((-Backdoors!AI12-IF(AY55&gt;=0.45,VLOOKUP(Calculator!E23,tbSkills!DH3:DI6,2,FALSE)+IF(AND(Calculator!B8=TRUE,Backdoors!BI10=TRUE),VLOOKUP(Calculator!E23,tbSkills!DH3:DJ6,3,FALSE),0),0))/100)))),1),"")</f>
        <v>1</v>
      </c>
      <c r="BB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Y55)*BA55)*(VLOOKUP(A55,tbMoveset!A2:C112,3,FALSE)/100)*IF(VLOOKUP(A55,tbMoveset!A2:B112,2,FALSE)="Projectile",Backdoors!N10,Backdoors!N9),0),"")</f>
        <v>13</v>
      </c>
      <c r="BC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Y55&gt;=0.45,VLOOKUP(Calculator!E23,tbSkills!DH3:DI6,2,FALSE)+IF(AND(Calculator!B8=TRUE,Backdoors!BI10=TRUE),VLOOKUP(Calculator!E23,tbSkills!DH3:DJ6,3,FALSE),0),0))&gt;=100,100,(Backdoors!AI12+IF(AY55&gt;=0.45,VLOOKUP(Calculator!E23,tbSkills!DH3:DI6,2,FALSE)+IF(AND(Calculator!B8=TRUE,Backdoors!BI10=TRUE),VLOOKUP(Calculator!E23,tbSkills!DH3:DJ6,3,FALSE),0),0)))/100)),1))*IF(VLOOKUP(A55,tbMoveset!A2:K112,11,FALSE)=TRUE,Backdoors!AC5,1))*AZ55,0),"")</f>
        <v>0</v>
      </c>
      <c r="BD55" s="49">
        <f>VLOOKUP(A55,tbMoveset!A2:G112,7,FALSE)*IFERROR(IF(Backdoors!AI12&gt;=0,1+(IF(Calculator!E40&gt;0,VLOOKUP(Calculator!E40,tbSkills!AI3:AJ5,2,FALSE),Backdoors!AL4)*(IF((Backdoors!AI12+IF(AY55&gt;=0.45,VLOOKUP(Calculator!E23,tbSkills!DH3:DI6,2,FALSE)+IF(AND(Calculator!B8=TRUE,Backdoors!BI10=TRUE),VLOOKUP(Calculator!E23,tbSkills!DH3:DJ6,3,FALSE),0),0))&gt;=100,100,(Backdoors!AI12+IF(AY55&gt;=0.45,VLOOKUP(Calculator!E23,tbSkills!DH3:DI6,2,FALSE)+IF(AND(Calculator!B8=TRUE,Backdoors!BI10=TRUE),VLOOKUP(Calculator!E23,tbSkills!DH3:DJ6,3,FALSE),0),0)))/100)),1),1)</f>
        <v>0.8</v>
      </c>
      <c r="BE55" s="87">
        <f t="shared" si="3"/>
        <v>13</v>
      </c>
      <c r="BF55" s="86" t="str">
        <f>IFERROR(IF(VLOOKUP(A55,tbMoveset!A2:B112,2,FALSE)="Sever",Backdoors!AY11/100,IF(VLOOKUP(A55,tbMoveset!A2:B112,2,FALSE)="Blunt",Backdoors!AZ11/100,Backdoors!BA11/100)),"")</f>
        <v/>
      </c>
      <c r="BG55" s="49">
        <f>IFERROR(IF(VLOOKUP(tbMoveset!A55,tbMoveset!A2:H112,8,FALSE)="Other",IF(VLOOKUP(tbMoveset!A55,tbMoveset!A2:I112,9,FALSE)="Fire",Backdoors!BB11,IF(VLOOKUP(tbMoveset!A55,tbMoveset!A2:I112,9,FALSE)="Water",Backdoors!BC11,IF(VLOOKUP(tbMoveset!A55,tbMoveset!A2:I112,9,FALSE)="Thunder",Backdoors!BD11,IF(VLOOKUP(tbMoveset!A55,tbMoveset!A2:I112,9,FALSE)="Ice",Backdoors!BE11,IF(VLOOKUP(tbMoveset!A55,tbMoveset!A2:I112,9,FALSE)="Dragon",Backdoors!BF11,Backdoors!BG11)))))/100,Backdoors!BG11/100),"")</f>
        <v>0</v>
      </c>
      <c r="BH55" s="49">
        <f>IFERROR(IF(VLOOKUP(A55,tbMoveset!A2:J112,10,FALSE)=TRUE,IF((Backdoors!AI12+IF(BF55&gt;=0.45,VLOOKUP(Calculator!E23,tbSkills!DH3:DI6,2,FALSE)+IF(AND(Calculator!B8=TRUE,Backdoors!BI11=TRUE),VLOOKUP(Calculator!E23,tbSkills!DH3:DJ6,3,FALSE),0),0))&gt;=0,1+(Backdoors!AL2*(IF((Backdoors!AI12+IF(BF55&gt;=0.45,VLOOKUP(Calculator!E23,tbSkills!DH3:DI6,2,FALSE)+IF(AND(Calculator!B8=TRUE,Backdoors!BI11=TRUE),VLOOKUP(Calculator!E23,tbSkills!DH3:DJ6,3,FALSE),0),0))&gt;=100,100,(Backdoors!AI12+IF(BF55&gt;=0.45,VLOOKUP(Calculator!E23,tbSkills!DH3:DI6,2,FALSE)+IF(AND(Calculator!B8=TRUE,Backdoors!BI11=TRUE),VLOOKUP(Calculator!E23,tbSkills!DH3:DJ6,3,FALSE),0),0)))/100)),(1-(0.25*((-Backdoors!AI12-IF(BF55&gt;=0.45,VLOOKUP(Calculator!E23,tbSkills!DH3:DI6,2,FALSE)+IF(AND(Calculator!B8=TRUE,Backdoors!BI11=TRUE),VLOOKUP(Calculator!E23,tbSkills!DH3:DJ6,3,FALSE),0),0))/100)))),1),"")</f>
        <v>1</v>
      </c>
      <c r="BI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F55)*BH55)*(VLOOKUP(A55,tbMoveset!A2:C112,3,FALSE)/100)*IF(VLOOKUP(A55,tbMoveset!A2:B112,2,FALSE)="Projectile",Backdoors!N10,Backdoors!N9),0),"")</f>
        <v/>
      </c>
      <c r="BJ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F55&gt;=0.45,VLOOKUP(Calculator!E23,tbSkills!DH3:DI6,2,FALSE)+IF(AND(Calculator!B8=TRUE,Backdoors!BI11=TRUE),VLOOKUP(Calculator!E23,tbSkills!DH3:DJ6,3,FALSE),0),0))&gt;=100,100,(Backdoors!AI12+IF(BF55&gt;=0.45,VLOOKUP(Calculator!E23,tbSkills!DH3:DI6,2,FALSE)+IF(AND(Calculator!B8=TRUE,Backdoors!BI11=TRUE),VLOOKUP(Calculator!E23,tbSkills!DH3:DJ6,3,FALSE),0),0)))/100)),1))*IF(VLOOKUP(A55,tbMoveset!A2:K112,11,FALSE)=TRUE,Backdoors!AC5,1))*BG55,0),"")</f>
        <v>0</v>
      </c>
      <c r="BK55" s="49">
        <f>VLOOKUP(A55,tbMoveset!A2:G112,7,FALSE)*IFERROR(IF(Backdoors!AI12&gt;=0,1+(IF(Calculator!E40&gt;0,VLOOKUP(Calculator!E40,tbSkills!AI3:AJ5,2,FALSE),Backdoors!AL4)*(IF((Backdoors!AI12+IF(BF55&gt;=0.45,VLOOKUP(Calculator!E23,tbSkills!DH3:DI6,2,FALSE)+IF(AND(Calculator!B8=TRUE,Backdoors!BI11=TRUE),VLOOKUP(Calculator!E23,tbSkills!DH3:DJ6,3,FALSE),0),0))&gt;=100,100,(Backdoors!AI12+IF(BF55&gt;=0.45,VLOOKUP(Calculator!E23,tbSkills!DH3:DI6,2,FALSE)+IF(AND(Calculator!B8=TRUE,Backdoors!BI11=TRUE),VLOOKUP(Calculator!E23,tbSkills!DH3:DJ6,3,FALSE),0),0)))/100)),1),1)</f>
        <v>0.8</v>
      </c>
      <c r="BL55" s="87">
        <f t="shared" si="4"/>
        <v>0</v>
      </c>
      <c r="BM55" s="86" t="str">
        <f>IFERROR(IF(VLOOKUP(A55,tbMoveset!A2:B112,2,FALSE)="Sever",Backdoors!AY12/100,IF(VLOOKUP(A55,tbMoveset!A2:B112,2,FALSE)="Blunt",Backdoors!AZ12/100,Backdoors!BA12/100)),"")</f>
        <v/>
      </c>
      <c r="BN55" s="49">
        <f>IFERROR(IF(VLOOKUP(tbMoveset!A55,tbMoveset!A2:H112,8,FALSE)="Other",IF(VLOOKUP(tbMoveset!A55,tbMoveset!A2:I112,9,FALSE)="Fire",Backdoors!BB12,IF(VLOOKUP(tbMoveset!A55,tbMoveset!A2:I112,9,FALSE)="Water",Backdoors!BC12,IF(VLOOKUP(tbMoveset!A55,tbMoveset!A2:I112,9,FALSE)="Thunder",Backdoors!BD12,IF(VLOOKUP(tbMoveset!A55,tbMoveset!A2:I112,9,FALSE)="Ice",Backdoors!BE12,IF(VLOOKUP(tbMoveset!A55,tbMoveset!A2:I112,9,FALSE)="Dragon",Backdoors!BF12,Backdoors!BG12)))))/100,Backdoors!BG12/100),"")</f>
        <v>0</v>
      </c>
      <c r="BO55" s="49">
        <f>IFERROR(IF(VLOOKUP(A55,tbMoveset!A2:J112,10,FALSE)=TRUE,IF((Backdoors!AI12+IF(BM55&gt;=0.45,VLOOKUP(Calculator!E23,tbSkills!DH3:DI6,2,FALSE)+IF(AND(Calculator!B8=TRUE,Backdoors!BI12=TRUE),VLOOKUP(Calculator!E23,tbSkills!DH3:DJ6,3,FALSE),0),0))&gt;=0,1+(Backdoors!AL2*(IF((Backdoors!AI12+IF(BM55&gt;=0.45,VLOOKUP(Calculator!E23,tbSkills!DH3:DI6,2,FALSE)+IF(AND(Calculator!B8=TRUE,Backdoors!BI12=TRUE),VLOOKUP(Calculator!E23,tbSkills!DH3:DJ6,3,FALSE),0),0))&gt;=100,100,(Backdoors!AI12+IF(BM55&gt;=0.45,VLOOKUP(Calculator!E23,tbSkills!DH3:DI6,2,FALSE)+IF(AND(Calculator!B8=TRUE,Backdoors!BI12=TRUE),VLOOKUP(Calculator!E23,tbSkills!DH3:DJ6,3,FALSE),0),0)))/100)),(1-(0.25*((-Backdoors!AI12-IF(BM55&gt;=0.45,VLOOKUP(Calculator!E23,tbSkills!DH3:DI6,2,FALSE)+IF(AND(Calculator!B8=TRUE,Backdoors!BI12=TRUE),VLOOKUP(Calculator!E23,tbSkills!DH3:DJ6,3,FALSE),0),0))/100)))),1),"")</f>
        <v>1</v>
      </c>
      <c r="BP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M55)*BO55)*(VLOOKUP(A55,tbMoveset!A2:C112,3,FALSE)/100)*IF(VLOOKUP(A55,tbMoveset!A2:B112,2,FALSE)="Projectile",Backdoors!N10,Backdoors!N9),0),"")</f>
        <v/>
      </c>
      <c r="BQ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M55&gt;=0.45,VLOOKUP(Calculator!E23,tbSkills!DH3:DI6,2,FALSE)+IF(AND(Calculator!B8=TRUE,Backdoors!BI12=TRUE),VLOOKUP(Calculator!E23,tbSkills!DH3:DJ6,3,FALSE),0),0))&gt;=100,100,(Backdoors!AI12+IF(BM55&gt;=0.45,VLOOKUP(Calculator!E23,tbSkills!DH3:DI6,2,FALSE)+IF(AND(Calculator!B8=TRUE,Backdoors!BI12=TRUE),VLOOKUP(Calculator!E23,tbSkills!DH3:DJ6,3,FALSE),0),0)))/100)),1))*IF(VLOOKUP(A55,tbMoveset!A2:K112,11,FALSE)=TRUE,Backdoors!AC5,1))*BN55,0),"")</f>
        <v>0</v>
      </c>
      <c r="BR55" s="49">
        <f>VLOOKUP(A55,tbMoveset!A2:G112,7,FALSE)*IFERROR(IF(Backdoors!AI12&gt;=0,1+(IF(Calculator!E40&gt;0,VLOOKUP(Calculator!E40,tbSkills!AI3:AJ5,2,FALSE),Backdoors!AL4)*(IF((Backdoors!AI12+IF(BM55&gt;=0.45,VLOOKUP(Calculator!E23,tbSkills!DH3:DI6,2,FALSE)+IF(AND(Calculator!B8=TRUE,Backdoors!BI12=TRUE),VLOOKUP(Calculator!E23,tbSkills!DH3:DJ6,3,FALSE),0),0))&gt;=100,100,(Backdoors!AI12+IF(BM55&gt;=0.45,VLOOKUP(Calculator!E23,tbSkills!DH3:DI6,2,FALSE)+IF(AND(Calculator!B8=TRUE,Backdoors!BI12=TRUE),VLOOKUP(Calculator!E23,tbSkills!DH3:DJ6,3,FALSE),0),0)))/100)),1),1)</f>
        <v>0.8</v>
      </c>
      <c r="BS55" s="87">
        <f t="shared" si="39"/>
        <v>0</v>
      </c>
      <c r="BT55" s="86" t="str">
        <f>IFERROR(IF(VLOOKUP(A55,tbMoveset!A2:B112,2,FALSE)="Sever",Backdoors!AY13/100,IF(VLOOKUP(A55,tbMoveset!A2:B112,2,FALSE)="Blunt",Backdoors!AZ13/100,Backdoors!BA13/100)),"")</f>
        <v/>
      </c>
      <c r="BU55" s="49">
        <f>IFERROR(IF(VLOOKUP(tbMoveset!A55,tbMoveset!A2:H112,8,FALSE)="Other",IF(VLOOKUP(tbMoveset!A55,tbMoveset!A2:I112,9,FALSE)="Fire",Backdoors!BB13,IF(VLOOKUP(tbMoveset!A55,tbMoveset!A2:I112,9,FALSE)="Water",Backdoors!BC13,IF(VLOOKUP(tbMoveset!A55,tbMoveset!A2:I112,9,FALSE)="Thunder",Backdoors!BD13,IF(VLOOKUP(tbMoveset!A55,tbMoveset!A2:I112,9,FALSE)="Ice",Backdoors!BE13,IF(VLOOKUP(tbMoveset!A55,tbMoveset!A2:I112,9,FALSE)="Dragon",Backdoors!BF13,Backdoors!BG13)))))/100,Backdoors!BG13/100),"")</f>
        <v>0</v>
      </c>
      <c r="BV55" s="49">
        <f>IFERROR(IF(VLOOKUP(A55,tbMoveset!A2:J112,10,FALSE)=TRUE,IF((Backdoors!AI12+IF(BT55&gt;=0.45,VLOOKUP(Calculator!E23,tbSkills!DH3:DI6,2,FALSE)+IF(AND(Calculator!B8=TRUE,Backdoors!BI13=TRUE),VLOOKUP(Calculator!E23,tbSkills!DH3:DJ6,3,FALSE),0),0))&gt;=0,1+(Backdoors!AL2*(IF((Backdoors!AI12+IF(BT55&gt;=0.45,VLOOKUP(Calculator!E23,tbSkills!DH3:DI6,2,FALSE)+IF(AND(Calculator!B8=TRUE,Backdoors!BI13=TRUE),VLOOKUP(Calculator!E23,tbSkills!DH3:DJ6,3,FALSE),0),0))&gt;=100,100,(Backdoors!AI12+IF(BT55&gt;=0.45,VLOOKUP(Calculator!E23,tbSkills!DH3:DI6,2,FALSE)+IF(AND(Calculator!B8=TRUE,Backdoors!BI13=TRUE),VLOOKUP(Calculator!E23,tbSkills!DH3:DJ6,3,FALSE),0),0)))/100)),(1-(0.25*((-Backdoors!AI12-IF(BT55&gt;=0.45,VLOOKUP(Calculator!E23,tbSkills!DH3:DI6,2,FALSE)+IF(AND(Calculator!B8=TRUE,Backdoors!BI13=TRUE),VLOOKUP(Calculator!E23,tbSkills!DH3:DJ6,3,FALSE),0),0))/100)))),1),"")</f>
        <v>1</v>
      </c>
      <c r="BW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T55)*BV55)*(VLOOKUP(A55,tbMoveset!A2:C112,3,FALSE)/100)*IF(VLOOKUP(A55,tbMoveset!A2:B112,2,FALSE)="Projectile",Backdoors!N10,Backdoors!N9),0),"")</f>
        <v/>
      </c>
      <c r="BX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T55&gt;=0.45,VLOOKUP(Calculator!E23,tbSkills!DH3:DI6,2,FALSE)+IF(AND(Calculator!B8=TRUE,Backdoors!BI13=TRUE),VLOOKUP(Calculator!E23,tbSkills!DH3:DJ6,3,FALSE),0),0))&gt;=100,100,(Backdoors!AI12+IF(BT55&gt;=0.45,VLOOKUP(Calculator!E23,tbSkills!DH3:DI6,2,FALSE)+IF(AND(Calculator!B8=TRUE,Backdoors!BI13=TRUE),VLOOKUP(Calculator!E23,tbSkills!DH3:DJ6,3,FALSE),0),0)))/100)),1))*IF(VLOOKUP(A55,tbMoveset!A2:K112,11,FALSE)=TRUE,Backdoors!AC5,1))*BU55,0),"")</f>
        <v>0</v>
      </c>
      <c r="BY55" s="49">
        <f>VLOOKUP(A55,tbMoveset!A2:G112,7,FALSE)*IFERROR(IF(Backdoors!AI12&gt;=0,1+(IF(Calculator!E40&gt;0,VLOOKUP(Calculator!E40,tbSkills!AI3:AJ5,2,FALSE),Backdoors!AL4)*(IF((Backdoors!AI12+IF(BT55&gt;=0.45,VLOOKUP(Calculator!E23,tbSkills!DH3:DI6,2,FALSE)+IF(AND(Calculator!B8=TRUE,Backdoors!BI13=TRUE),VLOOKUP(Calculator!E23,tbSkills!DH3:DJ6,3,FALSE),0),0))&gt;=100,100,(Backdoors!AI12+IF(BT55&gt;=0.45,VLOOKUP(Calculator!E23,tbSkills!DH3:DI6,2,FALSE)+IF(AND(Calculator!B8=TRUE,Backdoors!BI13=TRUE),VLOOKUP(Calculator!E23,tbSkills!DH3:DJ6,3,FALSE),0),0)))/100)),1),1)</f>
        <v>0.8</v>
      </c>
      <c r="BZ55" s="87">
        <f t="shared" si="5"/>
        <v>0</v>
      </c>
      <c r="CA55" s="86" t="str">
        <f>IFERROR(IF(VLOOKUP(A55,tbMoveset!A2:B112,2,FALSE)="Sever",Backdoors!AY14/100,IF(VLOOKUP(A55,tbMoveset!A2:B112,2,FALSE)="Blunt",Backdoors!AZ14/100,Backdoors!BA14/100)),"")</f>
        <v/>
      </c>
      <c r="CB55" s="49">
        <f>IFERROR(IF(VLOOKUP(tbMoveset!A55,tbMoveset!A2:H112,8,FALSE)="Other",IF(VLOOKUP(tbMoveset!A55,tbMoveset!A2:I112,9,FALSE)="Fire",Backdoors!BB14,IF(VLOOKUP(tbMoveset!A55,tbMoveset!A2:I112,9,FALSE)="Water",Backdoors!BC14,IF(VLOOKUP(tbMoveset!A55,tbMoveset!A2:I112,9,FALSE)="Thunder",Backdoors!BD14,IF(VLOOKUP(tbMoveset!A55,tbMoveset!A2:I112,9,FALSE)="Ice",Backdoors!BE14,IF(VLOOKUP(tbMoveset!A55,tbMoveset!A2:I112,9,FALSE)="Dragon",Backdoors!BF14,Backdoors!BG14)))))/100,Backdoors!BG14/100),"")</f>
        <v>0</v>
      </c>
      <c r="CC55" s="49">
        <f>IFERROR(IF(VLOOKUP(A55,tbMoveset!A2:J112,10,FALSE)=TRUE,IF((Backdoors!AI12+IF(CA55&gt;=0.45,VLOOKUP(Calculator!E23,tbSkills!DH3:DI6,2,FALSE)+IF(AND(Calculator!B8=TRUE,Backdoors!BI14=TRUE),VLOOKUP(Calculator!E23,tbSkills!DH3:DJ6,3,FALSE),0),0))&gt;=0,1+(Backdoors!AL2*(IF((Backdoors!AI12+IF(CA55&gt;=0.45,VLOOKUP(Calculator!E23,tbSkills!DH3:DI6,2,FALSE)+IF(AND(Calculator!B8=TRUE,Backdoors!BI14=TRUE),VLOOKUP(Calculator!E23,tbSkills!DH3:DJ6,3,FALSE),0),0))&gt;=100,100,(Backdoors!AI12+IF(CA55&gt;=0.45,VLOOKUP(Calculator!E23,tbSkills!DH3:DI6,2,FALSE)+IF(AND(Calculator!B8=TRUE,Backdoors!BI14=TRUE),VLOOKUP(Calculator!E23,tbSkills!DH3:DJ6,3,FALSE),0),0)))/100)),(1-(0.25*((-Backdoors!AI12-IF(CA55&gt;=0.45,VLOOKUP(Calculator!E23,tbSkills!DH3:DI6,2,FALSE)+IF(AND(Calculator!B8=TRUE,Backdoors!BI14=TRUE),VLOOKUP(Calculator!E23,tbSkills!DH3:DJ6,3,FALSE),0),0))/100)))),1),"")</f>
        <v>1</v>
      </c>
      <c r="CD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A55)*CC55)*(VLOOKUP(A55,tbMoveset!A2:C112,3,FALSE)/100)*IF(VLOOKUP(A55,tbMoveset!A2:B112,2,FALSE)="Projectile",Backdoors!N10,Backdoors!N9),0),"")</f>
        <v/>
      </c>
      <c r="CE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A55&gt;=0.45,VLOOKUP(Calculator!E23,tbSkills!DH3:DI6,2,FALSE)+IF(AND(Calculator!B8=TRUE,Backdoors!BI14=TRUE),VLOOKUP(Calculator!E23,tbSkills!DH3:DJ6,3,FALSE),0),0))&gt;=100,100,(Backdoors!AI12+IF(CA55&gt;=0.45,VLOOKUP(Calculator!E23,tbSkills!DH3:DI6,2,FALSE)+IF(AND(Calculator!B8=TRUE,Backdoors!BI14=TRUE),VLOOKUP(Calculator!E23,tbSkills!DH3:DJ6,3,FALSE),0),0)))/100)),1))*IF(VLOOKUP(A55,tbMoveset!A2:K112,11,FALSE)=TRUE,Backdoors!AC5,1))*CB55,0),"")</f>
        <v>0</v>
      </c>
      <c r="CF55" s="49">
        <f>VLOOKUP(A55,tbMoveset!A2:G112,7,FALSE)*IFERROR(IF(Backdoors!AI12&gt;=0,1+(IF(Calculator!E40&gt;0,VLOOKUP(Calculator!E40,tbSkills!AI3:AJ5,2,FALSE),Backdoors!AL4)*(IF((Backdoors!AI12+IF(CA55&gt;=0.45,VLOOKUP(Calculator!E23,tbSkills!DH3:DI6,2,FALSE)+IF(AND(Calculator!B8=TRUE,Backdoors!BI14=TRUE),VLOOKUP(Calculator!E23,tbSkills!DH3:DJ6,3,FALSE),0),0))&gt;=100,100,(Backdoors!AI12+IF(CA55&gt;=0.45,VLOOKUP(Calculator!E23,tbSkills!DH3:DI6,2,FALSE)+IF(AND(Calculator!B8=TRUE,Backdoors!BI14=TRUE),VLOOKUP(Calculator!E23,tbSkills!DH3:DJ6,3,FALSE),0),0)))/100)),1),1)</f>
        <v>0.8</v>
      </c>
      <c r="CG55" s="87">
        <f t="shared" si="6"/>
        <v>0</v>
      </c>
      <c r="CH55" s="86" t="str">
        <f>IFERROR(IF(VLOOKUP(A55,tbMoveset!A2:B112,2,FALSE)="Sever",Backdoors!AY15/100,IF(VLOOKUP(A55,tbMoveset!A2:B112,2,FALSE)="Blunt",Backdoors!AZ15/100,Backdoors!BA15/100)),"")</f>
        <v/>
      </c>
      <c r="CI55" s="49">
        <f>IFERROR(IF(VLOOKUP(tbMoveset!A55,tbMoveset!A2:H112,8,FALSE)="Other",IF(VLOOKUP(tbMoveset!A55,tbMoveset!A2:I112,9,FALSE)="Fire",Backdoors!BB15,IF(VLOOKUP(tbMoveset!A55,tbMoveset!A2:I112,9,FALSE)="Water",Backdoors!BC15,IF(VLOOKUP(tbMoveset!A55,tbMoveset!A2:I112,9,FALSE)="Thunder",Backdoors!BD15,IF(VLOOKUP(tbMoveset!A55,tbMoveset!A2:I112,9,FALSE)="Ice",Backdoors!BE15,IF(VLOOKUP(tbMoveset!A55,tbMoveset!A2:I112,9,FALSE)="Dragon",Backdoors!BF15,Backdoors!BG15)))))/100,Backdoors!BG15/100),"")</f>
        <v>0</v>
      </c>
      <c r="CJ55" s="49">
        <f>IFERROR(IF(VLOOKUP(A55,tbMoveset!A2:J112,10,FALSE)=TRUE,IF((Backdoors!AI12+IF(CH55&gt;=0.45,VLOOKUP(Calculator!E23,tbSkills!DH3:DI6,2,FALSE)+IF(AND(Calculator!B8=TRUE,Backdoors!BI15=TRUE),VLOOKUP(Calculator!E23,tbSkills!DH3:DJ6,3,FALSE),0),0))&gt;=0,1+(Backdoors!AL2*(IF((Backdoors!AI12+IF(CH55&gt;=0.45,VLOOKUP(Calculator!E23,tbSkills!DH3:DI6,2,FALSE)+IF(AND(Calculator!B8=TRUE,Backdoors!BI15=TRUE),VLOOKUP(Calculator!E23,tbSkills!DH3:DJ6,3,FALSE),0),0))&gt;=100,100,(Backdoors!AI12+IF(CH55&gt;=0.45,VLOOKUP(Calculator!E23,tbSkills!DH3:DI6,2,FALSE)+IF(AND(Calculator!B8=TRUE,Backdoors!BI15=TRUE),VLOOKUP(Calculator!E23,tbSkills!DH3:DJ6,3,FALSE),0),0)))/100)),(1-(0.25*((-Backdoors!AI12-IF(CH55&gt;=0.45,VLOOKUP(Calculator!E23,tbSkills!DH3:DI6,2,FALSE)+IF(AND(Calculator!B8=TRUE,Backdoors!BI15=TRUE),VLOOKUP(Calculator!E23,tbSkills!DH3:DJ6,3,FALSE),0),0))/100)))),1),"")</f>
        <v>1</v>
      </c>
      <c r="CK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H55)*CJ55)*(VLOOKUP(A55,tbMoveset!A2:C112,3,FALSE)/100)*IF(VLOOKUP(A55,tbMoveset!A2:B112,2,FALSE)="Projectile",Backdoors!N10,Backdoors!N9),0),"")</f>
        <v/>
      </c>
      <c r="CL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H55&gt;=0.45,VLOOKUP(Calculator!E23,tbSkills!DH3:DI6,2,FALSE)+IF(AND(Calculator!B8=TRUE,Backdoors!BI15=TRUE),VLOOKUP(Calculator!E23,tbSkills!DH3:DJ6,3,FALSE),0),0))&gt;=100,100,(Backdoors!AI12+IF(CH55&gt;=0.45,VLOOKUP(Calculator!E23,tbSkills!DH3:DI6,2,FALSE)+IF(AND(Calculator!B8=TRUE,Backdoors!BI15=TRUE),VLOOKUP(Calculator!E23,tbSkills!DH3:DJ6,3,FALSE),0),0)))/100)),1))*IF(VLOOKUP(A55,tbMoveset!A2:K112,11,FALSE)=TRUE,Backdoors!AC5,1))*CI55,0),"")</f>
        <v>0</v>
      </c>
      <c r="CM55" s="49">
        <f>VLOOKUP(A55,tbMoveset!A2:G112,7,FALSE)*IFERROR(IF(Backdoors!AI12&gt;=0,1+(IF(Calculator!E40&gt;0,VLOOKUP(Calculator!E40,tbSkills!AI3:AJ5,2,FALSE),Backdoors!AL4)*(IF((Backdoors!AI12+IF(CH55&gt;=0.45,VLOOKUP(Calculator!E23,tbSkills!DH3:DI6,2,FALSE)+IF(AND(Calculator!B8=TRUE,Backdoors!BI15=TRUE),VLOOKUP(Calculator!E23,tbSkills!DH3:DJ6,3,FALSE),0),0))&gt;=100,100,(Backdoors!AI12+IF(CH55&gt;=0.45,VLOOKUP(Calculator!E23,tbSkills!DH3:DI6,2,FALSE)+IF(AND(Calculator!B8=TRUE,Backdoors!BI15=TRUE),VLOOKUP(Calculator!E23,tbSkills!DH3:DJ6,3,FALSE),0),0)))/100)),1),1)</f>
        <v>0.8</v>
      </c>
      <c r="CN55" s="87">
        <f t="shared" si="7"/>
        <v>0</v>
      </c>
      <c r="CO55" s="86" t="str">
        <f>IFERROR(IF(VLOOKUP(A55,tbMoveset!A2:B112,2,FALSE)="Sever",Backdoors!AY16/100,IF(VLOOKUP(A55,tbMoveset!A2:B112,2,FALSE)="Blunt",Backdoors!AZ16/100,Backdoors!BA16/100)),"")</f>
        <v/>
      </c>
      <c r="CP55" s="49">
        <f>IFERROR(IF(VLOOKUP(tbMoveset!A55,tbMoveset!A2:H112,8,FALSE)="Other",IF(VLOOKUP(tbMoveset!A55,tbMoveset!A2:I112,9,FALSE)="Fire",Backdoors!BB16,IF(VLOOKUP(tbMoveset!A55,tbMoveset!A2:I112,9,FALSE)="Water",Backdoors!BC16,IF(VLOOKUP(tbMoveset!A55,tbMoveset!A2:I112,9,FALSE)="Thunder",Backdoors!BD16,IF(VLOOKUP(tbMoveset!A55,tbMoveset!A2:I112,9,FALSE)="Ice",Backdoors!BE16,IF(VLOOKUP(tbMoveset!A55,tbMoveset!A2:I112,9,FALSE)="Dragon",Backdoors!BF16,Backdoors!BG16)))))/100,Backdoors!BG16/100),"")</f>
        <v>0</v>
      </c>
      <c r="CQ55" s="49">
        <f>IFERROR(IF(VLOOKUP(A55,tbMoveset!A2:J112,10,FALSE)=TRUE,IF((Backdoors!AI12+IF(CO55&gt;=0.45,VLOOKUP(Calculator!E23,tbSkills!DH3:DI6,2,FALSE)+IF(AND(Calculator!B8=TRUE,Backdoors!BI16=TRUE),VLOOKUP(Calculator!E23,tbSkills!DH3:DJ6,3,FALSE),0),0))&gt;=0,1+(Backdoors!AL2*(IF((Backdoors!AI12+IF(CO55&gt;=0.45,VLOOKUP(Calculator!E23,tbSkills!DH3:DI6,2,FALSE)+IF(AND(Calculator!B8=TRUE,Backdoors!BI16=TRUE),VLOOKUP(Calculator!E23,tbSkills!DH3:DJ6,3,FALSE),0),0))&gt;=100,100,(Backdoors!AI12+IF(CO55&gt;=0.45,VLOOKUP(Calculator!E23,tbSkills!DH3:DI6,2,FALSE)+IF(AND(Calculator!B8=TRUE,Backdoors!BI16=TRUE),VLOOKUP(Calculator!E23,tbSkills!DH3:DJ6,3,FALSE),0),0)))/100)),(1-(0.25*((-Backdoors!AI12-IF(CO55&gt;=0.45,VLOOKUP(Calculator!E23,tbSkills!DH3:DI6,2,FALSE)+IF(AND(Calculator!B8=TRUE,Backdoors!BI16=TRUE),VLOOKUP(Calculator!E23,tbSkills!DH3:DJ6,3,FALSE),0),0))/100)))),1),"")</f>
        <v>1</v>
      </c>
      <c r="CR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O55)*CQ55)*(VLOOKUP(A55,tbMoveset!A2:C112,3,FALSE)/100)*IF(VLOOKUP(A55,tbMoveset!A2:B112,2,FALSE)="Projectile",Backdoors!N10,Backdoors!N9),0),"")</f>
        <v/>
      </c>
      <c r="CS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O55&gt;=0.45,VLOOKUP(Calculator!E23,tbSkills!DH3:DI6,2,FALSE)+IF(AND(Calculator!B8=TRUE,Backdoors!BI16=TRUE),VLOOKUP(Calculator!E23,tbSkills!DH3:DJ6,3,FALSE),0),0))&gt;=100,100,(Backdoors!AI12+IF(CO55&gt;=0.45,VLOOKUP(Calculator!E23,tbSkills!DH3:DI6,2,FALSE)+IF(AND(Calculator!B8=TRUE,Backdoors!BI16=TRUE),VLOOKUP(Calculator!E23,tbSkills!DH3:DJ6,3,FALSE),0),0)))/100)),1))*IF(VLOOKUP(A55,tbMoveset!A2:K112,11,FALSE)=TRUE,Backdoors!AC5,1))*CP55,0),"")</f>
        <v>0</v>
      </c>
      <c r="CT55" s="49">
        <f>VLOOKUP(A55,tbMoveset!A2:G112,7,FALSE)*IFERROR(IF(Backdoors!AI12&gt;=0,1+(IF(Calculator!E40&gt;0,VLOOKUP(Calculator!E40,tbSkills!AI3:AJ5,2,FALSE),Backdoors!AL4)*(IF((Backdoors!AI12+IF(CO55&gt;=0.45,VLOOKUP(Calculator!E23,tbSkills!DH3:DI6,2,FALSE)+IF(AND(Calculator!B8=TRUE,Backdoors!BI16=TRUE),VLOOKUP(Calculator!E23,tbSkills!DH3:DJ6,3,FALSE),0),0))&gt;=100,100,(Backdoors!AI12+IF(CO55&gt;=0.45,VLOOKUP(Calculator!E23,tbSkills!DH3:DI6,2,FALSE)+IF(AND(Calculator!B8=TRUE,Backdoors!BI16=TRUE),VLOOKUP(Calculator!E23,tbSkills!DH3:DJ6,3,FALSE),0),0)))/100)),1),1)</f>
        <v>0.8</v>
      </c>
      <c r="CU55" s="87">
        <f t="shared" si="40"/>
        <v>0</v>
      </c>
      <c r="CV55" s="86" t="str">
        <f>IFERROR(IF(VLOOKUP(A55,tbMoveset!A2:B112,2,FALSE)="Sever",Backdoors!AY17/100,IF(VLOOKUP(A55,tbMoveset!A2:B112,2,FALSE)="Blunt",Backdoors!AZ17/100,Backdoors!BA17/100)),"")</f>
        <v/>
      </c>
      <c r="CW55" s="49">
        <f>IFERROR(IF(VLOOKUP(tbMoveset!A55,tbMoveset!A2:H112,8,FALSE)="Other",IF(VLOOKUP(tbMoveset!A55,tbMoveset!A2:I112,9,FALSE)="Fire",Backdoors!BB17,IF(VLOOKUP(tbMoveset!A55,tbMoveset!A2:I112,9,FALSE)="Water",Backdoors!BC17,IF(VLOOKUP(tbMoveset!A55,tbMoveset!A2:I112,9,FALSE)="Thunder",Backdoors!BD17,IF(VLOOKUP(tbMoveset!A55,tbMoveset!A2:I112,9,FALSE)="Ice",Backdoors!BE17,IF(VLOOKUP(tbMoveset!A55,tbMoveset!A2:I112,9,FALSE)="Dragon",Backdoors!BF17,Backdoors!BG17)))))/100,Backdoors!BG17/100),"")</f>
        <v>0</v>
      </c>
      <c r="CX55" s="49">
        <f>IFERROR(IF(VLOOKUP(A55,tbMoveset!A2:J112,10,FALSE)=TRUE,IF((Backdoors!AI12+IF(CV55&gt;=0.45,VLOOKUP(Calculator!E23,tbSkills!DH3:DI6,2,FALSE)+IF(AND(Calculator!B8=TRUE,Backdoors!BI17=TRUE),VLOOKUP(Calculator!E23,tbSkills!DH3:DJ6,3,FALSE),0),0))&gt;=0,1+(Backdoors!AL2*(IF((Backdoors!AI12+IF(CV55&gt;=0.45,VLOOKUP(Calculator!E23,tbSkills!DH3:DI6,2,FALSE)+IF(AND(Calculator!B8=TRUE,Backdoors!BI17=TRUE),VLOOKUP(Calculator!E23,tbSkills!DH3:DJ6,3,FALSE),0),0))&gt;=100,100,(Backdoors!AI12+IF(CV55&gt;=0.45,VLOOKUP(Calculator!E23,tbSkills!DH3:DI6,2,FALSE)+IF(AND(Calculator!B8=TRUE,Backdoors!BI17=TRUE),VLOOKUP(Calculator!E23,tbSkills!DH3:DJ6,3,FALSE),0),0)))/100)),(1-(0.25*((-Backdoors!AI12-IF(CV55&gt;=0.45,VLOOKUP(Calculator!E23,tbSkills!DH3:DI6,2,FALSE)+IF(AND(Calculator!B8=TRUE,Backdoors!BI17=TRUE),VLOOKUP(Calculator!E23,tbSkills!DH3:DJ6,3,FALSE),0),0))/100)))),1),"")</f>
        <v>1</v>
      </c>
      <c r="CY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V55)*CX55)*(VLOOKUP(A55,tbMoveset!A2:C112,3,FALSE)/100)*IF(VLOOKUP(A55,tbMoveset!A2:B112,2,FALSE)="Projectile",Backdoors!N10,Backdoors!N9),0),"")</f>
        <v/>
      </c>
      <c r="CZ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V55&gt;=0.45,VLOOKUP(Calculator!E23,tbSkills!DH3:DI6,2,FALSE)+IF(AND(Calculator!B8=TRUE,Backdoors!BI17=TRUE),VLOOKUP(Calculator!E23,tbSkills!DH3:DJ6,3,FALSE),0),0))&gt;=100,100,(Backdoors!AI12+IF(CV55&gt;=0.45,VLOOKUP(Calculator!E23,tbSkills!DH3:DI6,2,FALSE)+IF(AND(Calculator!B8=TRUE,Backdoors!BI17=TRUE),VLOOKUP(Calculator!E23,tbSkills!DH3:DJ6,3,FALSE),0),0)))/100)),1))*IF(VLOOKUP(A55,tbMoveset!A2:K112,11,FALSE)=TRUE,Backdoors!AC5,1))*CW55,0),"")</f>
        <v>0</v>
      </c>
      <c r="DA55" s="49">
        <f>VLOOKUP(A55,tbMoveset!A2:G112,7,FALSE)*IFERROR(IF(Backdoors!AI12&gt;=0,1+(IF(Calculator!E40&gt;0,VLOOKUP(Calculator!E40,tbSkills!AI3:AJ5,2,FALSE),Backdoors!AL4)*(IF((Backdoors!AI12+IF(CV55&gt;=0.45,VLOOKUP(Calculator!E23,tbSkills!DH3:DI6,2,FALSE)+IF(AND(Calculator!B8=TRUE,Backdoors!BI17=TRUE),VLOOKUP(Calculator!E23,tbSkills!DH3:DJ6,3,FALSE),0),0))&gt;=100,100,(Backdoors!AI12+IF(CV55&gt;=0.45,VLOOKUP(Calculator!E23,tbSkills!DH3:DI6,2,FALSE)+IF(AND(Calculator!B8=TRUE,Backdoors!BI17=TRUE),VLOOKUP(Calculator!E23,tbSkills!DH3:DJ6,3,FALSE),0),0)))/100)),1),1)</f>
        <v>0.8</v>
      </c>
      <c r="DB55" s="87">
        <f t="shared" si="8"/>
        <v>0</v>
      </c>
      <c r="DC55" s="86" t="str">
        <f>IFERROR(IF(VLOOKUP(A55,tbMoveset!A2:B112,2,FALSE)="Sever",Backdoors!AY18/100,IF(VLOOKUP(A55,tbMoveset!A2:B112,2,FALSE)="Blunt",Backdoors!AZ18/100,Backdoors!BA18/100)),"")</f>
        <v/>
      </c>
      <c r="DD55" s="49">
        <f>IFERROR(IF(VLOOKUP(tbMoveset!A55,tbMoveset!A2:H112,8,FALSE)="Other",IF(VLOOKUP(tbMoveset!A55,tbMoveset!A2:I112,9,FALSE)="Fire",Backdoors!BB18,IF(VLOOKUP(tbMoveset!A55,tbMoveset!A2:I112,9,FALSE)="Water",Backdoors!BC18,IF(VLOOKUP(tbMoveset!A55,tbMoveset!A2:I112,9,FALSE)="Thunder",Backdoors!BD18,IF(VLOOKUP(tbMoveset!A55,tbMoveset!A2:I112,9,FALSE)="Ice",Backdoors!BE18,IF(VLOOKUP(tbMoveset!A55,tbMoveset!A2:I112,9,FALSE)="Dragon",Backdoors!BF18,Backdoors!BG18)))))/100,Backdoors!BG18/100),"")</f>
        <v>0</v>
      </c>
      <c r="DE55" s="49">
        <f>IFERROR(IF(VLOOKUP(A55,tbMoveset!A2:J112,10,FALSE)=TRUE,IF((Backdoors!AI12+IF(DC55&gt;=0.45,VLOOKUP(Calculator!E23,tbSkills!DH3:DI6,2,FALSE)+IF(AND(Calculator!B8=TRUE,Backdoors!BI18=TRUE),VLOOKUP(Calculator!E23,tbSkills!DH3:DJ6,3,FALSE),0),0))&gt;=0,1+(Backdoors!AL2*(IF((Backdoors!AI12+IF(DC55&gt;=0.45,VLOOKUP(Calculator!E23,tbSkills!DH3:DI6,2,FALSE)+IF(AND(Calculator!B8=TRUE,Backdoors!BI18=TRUE),VLOOKUP(Calculator!E23,tbSkills!DH3:DJ6,3,FALSE),0),0))&gt;=100,100,(Backdoors!AI12+IF(DC55&gt;=0.45,VLOOKUP(Calculator!E23,tbSkills!DH3:DI6,2,FALSE)+IF(AND(Calculator!B8=TRUE,Backdoors!BI18=TRUE),VLOOKUP(Calculator!E23,tbSkills!DH3:DJ6,3,FALSE),0),0)))/100)),(1-(0.25*((-Backdoors!AI12-IF(DC55&gt;=0.45,VLOOKUP(Calculator!E23,tbSkills!DH3:DI6,2,FALSE)+IF(AND(Calculator!B8=TRUE,Backdoors!BI18=TRUE),VLOOKUP(Calculator!E23,tbSkills!DH3:DJ6,3,FALSE),0),0))/100)))),1),"")</f>
        <v>1</v>
      </c>
      <c r="DF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C55)*DE55)*(VLOOKUP(A55,tbMoveset!A2:C112,3,FALSE)/100)*IF(VLOOKUP(A55,tbMoveset!A2:B112,2,FALSE)="Projectile",Backdoors!N10,Backdoors!N9),0),"")</f>
        <v/>
      </c>
      <c r="DG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C55&gt;=0.45,VLOOKUP(Calculator!E23,tbSkills!DH3:DI6,2,FALSE)+IF(AND(Calculator!B8=TRUE,Backdoors!BI18=TRUE),VLOOKUP(Calculator!E23,tbSkills!DH3:DJ6,3,FALSE),0),0))&gt;=100,100,(Backdoors!AI12+IF(DC55&gt;=0.45,VLOOKUP(Calculator!E23,tbSkills!DH3:DI6,2,FALSE)+IF(AND(Calculator!B8=TRUE,Backdoors!BI18=TRUE),VLOOKUP(Calculator!E23,tbSkills!DH3:DJ6,3,FALSE),0),0)))/100)),1))*IF(VLOOKUP(A55,tbMoveset!A2:K112,11,FALSE)=TRUE,Backdoors!AC5,1))*DD55,0),"")</f>
        <v>0</v>
      </c>
      <c r="DH55" s="49">
        <f>VLOOKUP(A55,tbMoveset!A2:G112,7,FALSE)*IFERROR(IF(Backdoors!AI12&gt;=0,1+(IF(Calculator!E40&gt;0,VLOOKUP(Calculator!E40,tbSkills!AI3:AJ5,2,FALSE),Backdoors!AL4)*(IF((Backdoors!AI12+IF(DC55&gt;=0.45,VLOOKUP(Calculator!E23,tbSkills!DH3:DI6,2,FALSE)+IF(AND(Calculator!B8=TRUE,Backdoors!BI18=TRUE),VLOOKUP(Calculator!E23,tbSkills!DH3:DJ6,3,FALSE),0),0))&gt;=100,100,(Backdoors!AI12+IF(DC55&gt;=0.45,VLOOKUP(Calculator!E23,tbSkills!DH3:DI6,2,FALSE)+IF(AND(Calculator!B8=TRUE,Backdoors!BI18=TRUE),VLOOKUP(Calculator!E23,tbSkills!DH3:DJ6,3,FALSE),0),0)))/100)),1),1)</f>
        <v>0.8</v>
      </c>
      <c r="DI55" s="87">
        <f t="shared" si="9"/>
        <v>0</v>
      </c>
      <c r="DJ55" s="86" t="str">
        <f>IFERROR(IF(VLOOKUP(A55,tbMoveset!A2:B112,2,FALSE)="Sever",Backdoors!AY19/100,IF(VLOOKUP(A55,tbMoveset!A2:B112,2,FALSE)="Blunt",Backdoors!AZ19/100,Backdoors!BA19/100)),"")</f>
        <v/>
      </c>
      <c r="DK55" s="49">
        <f>IFERROR(IF(VLOOKUP(tbMoveset!A55,tbMoveset!A2:H112,8,FALSE)="Other",IF(VLOOKUP(tbMoveset!A55,tbMoveset!A2:I112,9,FALSE)="Fire",Backdoors!BB19,IF(VLOOKUP(tbMoveset!A55,tbMoveset!A2:I112,9,FALSE)="Water",Backdoors!BC19,IF(VLOOKUP(tbMoveset!A55,tbMoveset!A2:I112,9,FALSE)="Thunder",Backdoors!BD19,IF(VLOOKUP(tbMoveset!A55,tbMoveset!A2:I112,9,FALSE)="Ice",Backdoors!BE19,IF(VLOOKUP(tbMoveset!A55,tbMoveset!A2:I112,9,FALSE)="Dragon",Backdoors!BF19,Backdoors!BG19)))))/100,Backdoors!BG19/100),"")</f>
        <v>0</v>
      </c>
      <c r="DL55" s="49">
        <f>IFERROR(IF(VLOOKUP(A55,tbMoveset!A2:J112,10,FALSE)=TRUE,IF((Backdoors!AI12+IF(DJ55&gt;=0.45,VLOOKUP(Calculator!E23,tbSkills!DH3:DI6,2,FALSE)+IF(AND(Calculator!B8=TRUE,Backdoors!BI19=TRUE),VLOOKUP(Calculator!E23,tbSkills!DH3:DJ6,3,FALSE),0),0))&gt;=0,1+(Backdoors!AL2*(IF((Backdoors!AI12+IF(DJ55&gt;=0.45,VLOOKUP(Calculator!E23,tbSkills!DH3:DI6,2,FALSE)+IF(AND(Calculator!B8=TRUE,Backdoors!BI19=TRUE),VLOOKUP(Calculator!E23,tbSkills!DH3:DJ6,3,FALSE),0),0))&gt;=100,100,(Backdoors!AI12+IF(DJ55&gt;=0.45,VLOOKUP(Calculator!E23,tbSkills!DH3:DI6,2,FALSE)+IF(AND(Calculator!B8=TRUE,Backdoors!BI19=TRUE),VLOOKUP(Calculator!E23,tbSkills!DH3:DJ6,3,FALSE),0),0)))/100)),(1-(0.25*((-Backdoors!AI12-IF(DJ55&gt;=0.45,VLOOKUP(Calculator!E23,tbSkills!DH3:DI6,2,FALSE)+IF(AND(Calculator!B8=TRUE,Backdoors!BI19=TRUE),VLOOKUP(Calculator!E23,tbSkills!DH3:DJ6,3,FALSE),0),0))/100)))),1),"")</f>
        <v>1</v>
      </c>
      <c r="DM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J55)*DL55)*(VLOOKUP(A55,tbMoveset!A2:C112,3,FALSE)/100)*IF(VLOOKUP(A55,tbMoveset!A2:B112,2,FALSE)="Projectile",Backdoors!N10,Backdoors!N9),0),"")</f>
        <v/>
      </c>
      <c r="DN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J55&gt;=0.45,VLOOKUP(Calculator!E23,tbSkills!DH3:DI6,2,FALSE)+IF(AND(Calculator!B8=TRUE,Backdoors!BI19=TRUE),VLOOKUP(Calculator!E23,tbSkills!DH3:DJ6,3,FALSE),0),0))&gt;=100,100,(Backdoors!AI12+IF(DJ55&gt;=0.45,VLOOKUP(Calculator!E23,tbSkills!DH3:DI6,2,FALSE)+IF(AND(Calculator!B8=TRUE,Backdoors!BI19=TRUE),VLOOKUP(Calculator!E23,tbSkills!DH3:DJ6,3,FALSE),0),0)))/100)),1))*IF(VLOOKUP(A55,tbMoveset!A2:K112,11,FALSE)=TRUE,Backdoors!AC5,1))*DK55,0),"")</f>
        <v>0</v>
      </c>
      <c r="DO55" s="49">
        <f>VLOOKUP(A55,tbMoveset!A2:G112,7,FALSE)*IFERROR(IF(Backdoors!AI12&gt;=0,1+(IF(Calculator!E40&gt;0,VLOOKUP(Calculator!E40,tbSkills!AI3:AJ5,2,FALSE),Backdoors!AL4)*(IF((Backdoors!AI12+IF(DJ55&gt;=0.45,VLOOKUP(Calculator!E23,tbSkills!DH3:DI6,2,FALSE)+IF(AND(Calculator!B8=TRUE,Backdoors!BI19=TRUE),VLOOKUP(Calculator!E23,tbSkills!DH3:DJ6,3,FALSE),0),0))&gt;=100,100,(Backdoors!AI12+IF(DJ55&gt;=0.45,VLOOKUP(Calculator!E23,tbSkills!DH3:DI6,2,FALSE)+IF(AND(Calculator!B8=TRUE,Backdoors!BI19=TRUE),VLOOKUP(Calculator!E23,tbSkills!DH3:DJ6,3,FALSE),0),0)))/100)),1),1)</f>
        <v>0.8</v>
      </c>
      <c r="DP55" s="87">
        <f t="shared" si="41"/>
        <v>0</v>
      </c>
      <c r="DQ55" s="86" t="str">
        <f>IFERROR(IF(VLOOKUP(A55,tbMoveset!A2:B112,2,FALSE)="Sever",Backdoors!AY20/100,IF(VLOOKUP(A55,tbMoveset!A2:B112,2,FALSE)="Blunt",Backdoors!AZ20/100,Backdoors!BA20/100)),"")</f>
        <v/>
      </c>
      <c r="DR55" s="49">
        <f>IFERROR(IF(VLOOKUP(tbMoveset!A55,tbMoveset!A2:H112,8,FALSE)="Other",IF(VLOOKUP(tbMoveset!A55,tbMoveset!A2:I112,9,FALSE)="Fire",Backdoors!BB20,IF(VLOOKUP(tbMoveset!A55,tbMoveset!A2:I112,9,FALSE)="Water",Backdoors!BC20,IF(VLOOKUP(tbMoveset!A55,tbMoveset!A2:I112,9,FALSE)="Thunder",Backdoors!BD20,IF(VLOOKUP(tbMoveset!A55,tbMoveset!A2:I112,9,FALSE)="Ice",Backdoors!BE20,IF(VLOOKUP(tbMoveset!A55,tbMoveset!A2:I112,9,FALSE)="Dragon",Backdoors!BF20,Backdoors!BG20)))))/100,Backdoors!BG20/100),"")</f>
        <v>0</v>
      </c>
      <c r="DS55" s="49">
        <f>IFERROR(IF(VLOOKUP(A55,tbMoveset!A2:J112,10,FALSE)=TRUE,IF((Backdoors!AI12+IF(DQ55&gt;=0.45,VLOOKUP(Calculator!E23,tbSkills!DH3:DI6,2,FALSE)+IF(AND(Calculator!B8=TRUE,Backdoors!BI20=TRUE),VLOOKUP(Calculator!E23,tbSkills!DH3:DJ6,3,FALSE),0),0))&gt;=0,1+(Backdoors!AL2*(IF((Backdoors!AI12+IF(DQ55&gt;=0.45,VLOOKUP(Calculator!E23,tbSkills!DH3:DI6,2,FALSE)+IF(AND(Calculator!B8=TRUE,Backdoors!BI20=TRUE),VLOOKUP(Calculator!E23,tbSkills!DH3:DJ6,3,FALSE),0),0))&gt;=100,100,(Backdoors!AI12+IF(DQ55&gt;=0.45,VLOOKUP(Calculator!E23,tbSkills!DH3:DI6,2,FALSE)+IF(AND(Calculator!B8=TRUE,Backdoors!BI20=TRUE),VLOOKUP(Calculator!E23,tbSkills!DH3:DJ6,3,FALSE),0),0)))/100)),(1-(0.25*((-Backdoors!AI12-IF(DQ55&gt;=0.45,VLOOKUP(Calculator!E23,tbSkills!DH3:DI6,2,FALSE)+IF(AND(Calculator!B8=TRUE,Backdoors!BI20=TRUE),VLOOKUP(Calculator!E23,tbSkills!DH3:DJ6,3,FALSE),0),0))/100)))),1),"")</f>
        <v>1</v>
      </c>
      <c r="DT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Q55)*DS55)*(VLOOKUP(A55,tbMoveset!A2:C112,3,FALSE)/100)*IF(VLOOKUP(A55,tbMoveset!A2:B112,2,FALSE)="Projectile",Backdoors!N10,Backdoors!N9),0),"")</f>
        <v/>
      </c>
      <c r="DU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Q55&gt;=0.45,VLOOKUP(Calculator!E23,tbSkills!DH3:DI6,2,FALSE)+IF(AND(Calculator!B8=TRUE,Backdoors!BI20=TRUE),VLOOKUP(Calculator!E23,tbSkills!DH3:DJ6,3,FALSE),0),0))&gt;=100,100,(Backdoors!AI12+IF(DQ55&gt;=0.45,VLOOKUP(Calculator!E23,tbSkills!DH3:DI6,2,FALSE)+IF(AND(Calculator!B8=TRUE,Backdoors!BI20=TRUE),VLOOKUP(Calculator!E23,tbSkills!DH3:DJ6,3,FALSE),0),0)))/100)),1))*IF(VLOOKUP(A55,tbMoveset!A2:K112,11,FALSE)=TRUE,Backdoors!AC5,1))*DR55,0),"")</f>
        <v>0</v>
      </c>
      <c r="DV55" s="49">
        <f>VLOOKUP(A55,tbMoveset!A2:G112,7,FALSE)*IFERROR(IF(Backdoors!AI12&gt;=0,1+(IF(Calculator!E40&gt;0,VLOOKUP(Calculator!E40,tbSkills!AI3:AJ5,2,FALSE),Backdoors!AL4)*(IF((Backdoors!AI12+IF(DQ55&gt;=0.45,VLOOKUP(Calculator!E23,tbSkills!DH3:DI6,2,FALSE)+IF(AND(Calculator!B8=TRUE,Backdoors!BI20=TRUE),VLOOKUP(Calculator!E23,tbSkills!DH3:DJ6,3,FALSE),0),0))&gt;=100,100,(Backdoors!AI12+IF(DQ55&gt;=0.45,VLOOKUP(Calculator!E23,tbSkills!DH3:DI6,2,FALSE)+IF(AND(Calculator!B8=TRUE,Backdoors!BI20=TRUE),VLOOKUP(Calculator!E23,tbSkills!DH3:DJ6,3,FALSE),0),0)))/100)),1),1)</f>
        <v>0.8</v>
      </c>
      <c r="DW55" s="87">
        <f t="shared" si="10"/>
        <v>0</v>
      </c>
      <c r="DX55" s="86" t="str">
        <f>IFERROR(IF(VLOOKUP(A55,tbMoveset!A2:B112,2,FALSE)="Sever",Backdoors!AY21/100,IF(VLOOKUP(A55,tbMoveset!A2:B112,2,FALSE)="Blunt",Backdoors!AZ21/100,Backdoors!BA21/100)),"")</f>
        <v/>
      </c>
      <c r="DY55" s="49">
        <f>IFERROR(IF(VLOOKUP(tbMoveset!A55,tbMoveset!A2:H112,8,FALSE)="Other",IF(VLOOKUP(tbMoveset!A55,tbMoveset!A2:I112,9,FALSE)="Fire",Backdoors!BB21,IF(VLOOKUP(tbMoveset!A55,tbMoveset!A2:I112,9,FALSE)="Water",Backdoors!BC21,IF(VLOOKUP(tbMoveset!A55,tbMoveset!A2:I112,9,FALSE)="Thunder",Backdoors!BD21,IF(VLOOKUP(tbMoveset!A55,tbMoveset!A2:I112,9,FALSE)="Ice",Backdoors!BE21,IF(VLOOKUP(tbMoveset!A55,tbMoveset!A2:I112,9,FALSE)="Dragon",Backdoors!BF21,Backdoors!BG21)))))/100,Backdoors!BG21/100),"")</f>
        <v>0</v>
      </c>
      <c r="DZ55" s="49">
        <f>IFERROR(IF(VLOOKUP(A55,tbMoveset!A2:J112,10,FALSE)=TRUE,IF((Backdoors!AI12+IF(DX55&gt;=0.45,VLOOKUP(Calculator!E23,tbSkills!DH3:DI6,2,FALSE)+IF(AND(Calculator!B8=TRUE,Backdoors!BI21=TRUE),VLOOKUP(Calculator!E23,tbSkills!DH3:DJ6,3,FALSE),0),0))&gt;=0,1+(Backdoors!AL2*(IF((Backdoors!AI12+IF(DX55&gt;=0.45,VLOOKUP(Calculator!E23,tbSkills!DH3:DI6,2,FALSE)+IF(AND(Calculator!B8=TRUE,Backdoors!BI21=TRUE),VLOOKUP(Calculator!E23,tbSkills!DH3:DJ6,3,FALSE),0),0))&gt;=100,100,(Backdoors!AI12+IF(DX55&gt;=0.45,VLOOKUP(Calculator!E23,tbSkills!DH3:DI6,2,FALSE)+IF(AND(Calculator!B8=TRUE,Backdoors!BI21=TRUE),VLOOKUP(Calculator!E23,tbSkills!DH3:DJ6,3,FALSE),0),0)))/100)),(1-(0.25*((-Backdoors!AI12-IF(DX55&gt;=0.45,VLOOKUP(Calculator!E23,tbSkills!DH3:DI6,2,FALSE)+IF(AND(Calculator!B8=TRUE,Backdoors!BI21=TRUE),VLOOKUP(Calculator!E23,tbSkills!DH3:DJ6,3,FALSE),0),0))/100)))),1),"")</f>
        <v>1</v>
      </c>
      <c r="EA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X55)*DZ55)*(VLOOKUP(A55,tbMoveset!A2:C112,3,FALSE)/100)*IF(VLOOKUP(A55,tbMoveset!A2:B112,2,FALSE)="Projectile",Backdoors!N10,Backdoors!N9),0),"")</f>
        <v/>
      </c>
      <c r="EB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X55&gt;=0.45,VLOOKUP(Calculator!E23,tbSkills!DH3:DI6,2,FALSE)+IF(AND(Calculator!B8=TRUE,Backdoors!BI21=TRUE),VLOOKUP(Calculator!E23,tbSkills!DH3:DJ6,3,FALSE),0),0))&gt;=100,100,(Backdoors!AI12+IF(DX55&gt;=0.45,VLOOKUP(Calculator!E23,tbSkills!DH3:DI6,2,FALSE)+IF(AND(Calculator!B8=TRUE,Backdoors!BI21=TRUE),VLOOKUP(Calculator!E23,tbSkills!DH3:DJ6,3,FALSE),0),0)))/100)),1))*IF(VLOOKUP(A55,tbMoveset!A2:K112,11,FALSE)=TRUE,Backdoors!AC5,1))*DY55,0),"")</f>
        <v>0</v>
      </c>
      <c r="EC55" s="49">
        <f>VLOOKUP(A55,tbMoveset!A2:G112,7,FALSE)*IFERROR(IF(Backdoors!AI12&gt;=0,1+(IF(Calculator!E40&gt;0,VLOOKUP(Calculator!E40,tbSkills!AI3:AJ5,2,FALSE),Backdoors!AL4)*(IF((Backdoors!AI12+IF(DX55&gt;=0.45,VLOOKUP(Calculator!E23,tbSkills!DH3:DI6,2,FALSE)+IF(AND(Calculator!B8=TRUE,Backdoors!BI21=TRUE),VLOOKUP(Calculator!E23,tbSkills!DH3:DJ6,3,FALSE),0),0))&gt;=100,100,(Backdoors!AI12+IF(DX55&gt;=0.45,VLOOKUP(Calculator!E23,tbSkills!DH3:DI6,2,FALSE)+IF(AND(Calculator!B8=TRUE,Backdoors!BI21=TRUE),VLOOKUP(Calculator!E23,tbSkills!DH3:DJ6,3,FALSE),0),0)))/100)),1),1)</f>
        <v>0.8</v>
      </c>
      <c r="ED55" s="87">
        <f t="shared" si="11"/>
        <v>0</v>
      </c>
      <c r="EE55" s="86" t="str">
        <f>IFERROR(IF(VLOOKUP(A55,tbMoveset!A2:B112,2,FALSE)="Sever",Backdoors!AY22/100,IF(VLOOKUP(A55,tbMoveset!A2:B112,2,FALSE)="Blunt",Backdoors!AZ22/100,Backdoors!BA22/100)),"")</f>
        <v/>
      </c>
      <c r="EF55" s="49">
        <f>IFERROR(IF(VLOOKUP(tbMoveset!A55,tbMoveset!A2:H112,8,FALSE)="Other",IF(VLOOKUP(tbMoveset!A55,tbMoveset!A2:I112,9,FALSE)="Fire",Backdoors!BB22,IF(VLOOKUP(tbMoveset!A55,tbMoveset!A2:I112,9,FALSE)="Water",Backdoors!BC22,IF(VLOOKUP(tbMoveset!A55,tbMoveset!A2:I112,9,FALSE)="Thunder",Backdoors!BD22,IF(VLOOKUP(tbMoveset!A55,tbMoveset!A2:I112,9,FALSE)="Ice",Backdoors!BE22,IF(VLOOKUP(tbMoveset!A55,tbMoveset!A2:I112,9,FALSE)="Dragon",Backdoors!BF22,Backdoors!BG22)))))/100,Backdoors!BG22/100),"")</f>
        <v>0</v>
      </c>
      <c r="EG55" s="49">
        <f>IFERROR(IF(VLOOKUP(A55,tbMoveset!A2:J112,10,FALSE)=TRUE,IF((Backdoors!AI12+IF(EE55&gt;=0.45,VLOOKUP(Calculator!E23,tbSkills!DH3:DI6,2,FALSE)+IF(AND(Calculator!B8=TRUE,Backdoors!BI22=TRUE),VLOOKUP(Calculator!E23,tbSkills!DH3:DJ6,3,FALSE),0),0))&gt;=0,1+(Backdoors!AL2*(IF((Backdoors!AI12+IF(EE55&gt;=0.45,VLOOKUP(Calculator!E23,tbSkills!DH3:DI6,2,FALSE)+IF(AND(Calculator!B8=TRUE,Backdoors!BI22=TRUE),VLOOKUP(Calculator!E23,tbSkills!DH3:DJ6,3,FALSE),0),0))&gt;=100,100,(Backdoors!AI12+IF(EE55&gt;=0.45,VLOOKUP(Calculator!E23,tbSkills!DH3:DI6,2,FALSE)+IF(AND(Calculator!B8=TRUE,Backdoors!BI22=TRUE),VLOOKUP(Calculator!E23,tbSkills!DH3:DJ6,3,FALSE),0),0)))/100)),(1-(0.25*((-Backdoors!AI12-IF(EE55&gt;=0.45,VLOOKUP(Calculator!E23,tbSkills!DH3:DI6,2,FALSE)+IF(AND(Calculator!B8=TRUE,Backdoors!BI22=TRUE),VLOOKUP(Calculator!E23,tbSkills!DH3:DJ6,3,FALSE),0),0))/100)))),1),"")</f>
        <v>1</v>
      </c>
      <c r="EH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E55)*EG55)*(VLOOKUP(A55,tbMoveset!A2:C112,3,FALSE)/100)*IF(VLOOKUP(A55,tbMoveset!A2:B112,2,FALSE)="Projectile",Backdoors!N10,Backdoors!N9),0),"")</f>
        <v/>
      </c>
      <c r="EI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E55&gt;=0.45,VLOOKUP(Calculator!E23,tbSkills!DH3:DI6,2,FALSE)+IF(AND(Calculator!B8=TRUE,Backdoors!BI22=TRUE),VLOOKUP(Calculator!E23,tbSkills!DH3:DJ6,3,FALSE),0),0))&gt;=100,100,(Backdoors!AI12+IF(EE55&gt;=0.45,VLOOKUP(Calculator!E23,tbSkills!DH3:DI6,2,FALSE)+IF(AND(Calculator!B8=TRUE,Backdoors!BI22=TRUE),VLOOKUP(Calculator!E23,tbSkills!DH3:DJ6,3,FALSE),0),0)))/100)),1))*IF(VLOOKUP(A55,tbMoveset!A2:K112,11,FALSE)=TRUE,Backdoors!AC5,1))*EF55,0),"")</f>
        <v>0</v>
      </c>
      <c r="EJ55" s="49">
        <f>VLOOKUP(A55,tbMoveset!A2:G112,7,FALSE)*IFERROR(IF(Backdoors!AI12&gt;=0,1+(IF(Calculator!E40&gt;0,VLOOKUP(Calculator!E40,tbSkills!AI3:AJ5,2,FALSE),Backdoors!AL4)*(IF((Backdoors!AI12+IF(EE55&gt;=0.45,VLOOKUP(Calculator!E23,tbSkills!DH3:DI6,2,FALSE)+IF(AND(Calculator!B8=TRUE,Backdoors!BI22=TRUE),VLOOKUP(Calculator!E23,tbSkills!DH3:DJ6,3,FALSE),0),0))&gt;=100,100,(Backdoors!AI12+IF(EE55&gt;=0.45,VLOOKUP(Calculator!E23,tbSkills!DH3:DI6,2,FALSE)+IF(AND(Calculator!B8=TRUE,Backdoors!BI22=TRUE),VLOOKUP(Calculator!E23,tbSkills!DH3:DJ6,3,FALSE),0),0)))/100)),1),1)</f>
        <v>0.8</v>
      </c>
      <c r="EK55" s="87">
        <f t="shared" si="12"/>
        <v>0</v>
      </c>
      <c r="EL55" s="86" t="str">
        <f>IFERROR(IF(VLOOKUP(A55,tbMoveset!A2:B112,2,FALSE)="Sever",Backdoors!AY23/100,IF(VLOOKUP(A55,tbMoveset!A2:B112,2,FALSE)="Blunt",Backdoors!AZ23/100,Backdoors!BA23/100)),"")</f>
        <v/>
      </c>
      <c r="EM55" s="49">
        <f>IFERROR(IF(VLOOKUP(tbMoveset!A55,tbMoveset!A2:H112,8,FALSE)="Other",IF(VLOOKUP(tbMoveset!A55,tbMoveset!A2:I112,9,FALSE)="Fire",Backdoors!BB23,IF(VLOOKUP(tbMoveset!A55,tbMoveset!A2:I112,9,FALSE)="Water",Backdoors!BC23,IF(VLOOKUP(tbMoveset!A55,tbMoveset!A2:I112,9,FALSE)="Thunder",Backdoors!BD23,IF(VLOOKUP(tbMoveset!A55,tbMoveset!A2:I112,9,FALSE)="Ice",Backdoors!BE23,IF(VLOOKUP(tbMoveset!A55,tbMoveset!A2:I112,9,FALSE)="Dragon",Backdoors!BF23,Backdoors!BG23)))))/100,Backdoors!BG23/100),"")</f>
        <v>0</v>
      </c>
      <c r="EN55" s="49">
        <f>IFERROR(IF(VLOOKUP(A55,tbMoveset!A2:J112,10,FALSE)=TRUE,IF((Backdoors!AI12+IF(EL55&gt;=0.45,VLOOKUP(Calculator!E23,tbSkills!DH3:DI6,2,FALSE)+IF(AND(Calculator!B8=TRUE,Backdoors!BI23=TRUE),VLOOKUP(Calculator!E23,tbSkills!DH3:DJ6,3,FALSE),0),0))&gt;=0,1+(Backdoors!AL2*(IF((Backdoors!AI12+IF(EL55&gt;=0.45,VLOOKUP(Calculator!E23,tbSkills!DH3:DI6,2,FALSE)+IF(AND(Calculator!B8=TRUE,Backdoors!BI23=TRUE),VLOOKUP(Calculator!E23,tbSkills!DH3:DJ6,3,FALSE),0),0))&gt;=100,100,(Backdoors!AI12+IF(EL55&gt;=0.45,VLOOKUP(Calculator!E23,tbSkills!DH3:DI6,2,FALSE)+IF(AND(Calculator!B8=TRUE,Backdoors!BI23=TRUE),VLOOKUP(Calculator!E23,tbSkills!DH3:DJ6,3,FALSE),0),0)))/100)),(1-(0.25*((-Backdoors!AI12-IF(EL55&gt;=0.45,VLOOKUP(Calculator!E23,tbSkills!DH3:DI6,2,FALSE)+IF(AND(Calculator!B8=TRUE,Backdoors!BI23=TRUE),VLOOKUP(Calculator!E23,tbSkills!DH3:DJ6,3,FALSE),0),0))/100)))),1),"")</f>
        <v>1</v>
      </c>
      <c r="EO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L55)*EN55)*(VLOOKUP(A55,tbMoveset!A2:C112,3,FALSE)/100)*IF(VLOOKUP(A55,tbMoveset!A2:B112,2,FALSE)="Projectile",Backdoors!N10,Backdoors!N9),0),"")</f>
        <v/>
      </c>
      <c r="EP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L55&gt;=0.45,VLOOKUP(Calculator!E23,tbSkills!DH3:DI6,2,FALSE)+IF(AND(Calculator!B8=TRUE,Backdoors!BI23=TRUE),VLOOKUP(Calculator!E23,tbSkills!DH3:DJ6,3,FALSE),0),0))&gt;=100,100,(Backdoors!AI12+IF(EL55&gt;=0.45,VLOOKUP(Calculator!E23,tbSkills!DH3:DI6,2,FALSE)+IF(AND(Calculator!B8=TRUE,Backdoors!BI23=TRUE),VLOOKUP(Calculator!E23,tbSkills!DH3:DJ6,3,FALSE),0),0)))/100)),1))*IF(VLOOKUP(A55,tbMoveset!A2:K112,11,FALSE)=TRUE,Backdoors!AC5,1))*EM55,0),"")</f>
        <v>0</v>
      </c>
      <c r="EQ55" s="49">
        <f>VLOOKUP(A55,tbMoveset!A2:G112,7,FALSE)*IFERROR(IF(Backdoors!AI12&gt;=0,1+(IF(Calculator!E40&gt;0,VLOOKUP(Calculator!E40,tbSkills!AI3:AJ5,2,FALSE),Backdoors!AL4)*(IF((Backdoors!AI12+IF(EL55&gt;=0.45,VLOOKUP(Calculator!E23,tbSkills!DH3:DI6,2,FALSE)+IF(AND(Calculator!B8=TRUE,Backdoors!BI23=TRUE),VLOOKUP(Calculator!E23,tbSkills!DH3:DJ6,3,FALSE),0),0))&gt;=100,100,(Backdoors!AI12+IF(EL55&gt;=0.45,VLOOKUP(Calculator!E23,tbSkills!DH3:DI6,2,FALSE)+IF(AND(Calculator!B8=TRUE,Backdoors!BI23=TRUE),VLOOKUP(Calculator!E23,tbSkills!DH3:DJ6,3,FALSE),0),0)))/100)),1),1)</f>
        <v>0.8</v>
      </c>
      <c r="ER55" s="87">
        <f t="shared" si="13"/>
        <v>0</v>
      </c>
      <c r="ES55" s="86" t="str">
        <f>IFERROR(IF(VLOOKUP(A55,tbMoveset!A2:B112,2,FALSE)="Sever",Backdoors!AY24/100,IF(VLOOKUP(A55,tbMoveset!A2:B112,2,FALSE)="Blunt",Backdoors!AZ24/100,Backdoors!BA24/100)),"")</f>
        <v/>
      </c>
      <c r="ET55" s="49">
        <f>IFERROR(IF(VLOOKUP(tbMoveset!A55,tbMoveset!A2:H112,8,FALSE)="Other",IF(VLOOKUP(tbMoveset!A55,tbMoveset!A2:I112,9,FALSE)="Fire",Backdoors!BB24,IF(VLOOKUP(tbMoveset!A55,tbMoveset!A2:I112,9,FALSE)="Water",Backdoors!BC24,IF(VLOOKUP(tbMoveset!A55,tbMoveset!A2:I112,9,FALSE)="Thunder",Backdoors!BD24,IF(VLOOKUP(tbMoveset!A55,tbMoveset!A2:I112,9,FALSE)="Ice",Backdoors!BE24,IF(VLOOKUP(tbMoveset!A55,tbMoveset!A2:I112,9,FALSE)="Dragon",Backdoors!BF24,Backdoors!BG24)))))/100,Backdoors!BG24/100),"")</f>
        <v>0</v>
      </c>
      <c r="EU55" s="49">
        <f>IFERROR(IF(VLOOKUP(A55,tbMoveset!A2:J112,10,FALSE)=TRUE,IF((Backdoors!AI12+IF(ES55&gt;=0.45,VLOOKUP(Calculator!E23,tbSkills!DH3:DI6,2,FALSE)+IF(AND(Calculator!B8=TRUE,Backdoors!BI24=TRUE),VLOOKUP(Calculator!E23,tbSkills!DH3:DJ6,3,FALSE),0),0))&gt;=0,1+(Backdoors!AL2*(IF((Backdoors!AI12+IF(ES55&gt;=0.45,VLOOKUP(Calculator!E23,tbSkills!DH3:DI6,2,FALSE)+IF(AND(Calculator!B8=TRUE,Backdoors!BI24=TRUE),VLOOKUP(Calculator!E23,tbSkills!DH3:DJ6,3,FALSE),0),0))&gt;=100,100,(Backdoors!AI12+IF(ES55&gt;=0.45,VLOOKUP(Calculator!E23,tbSkills!DH3:DI6,2,FALSE)+IF(AND(Calculator!B8=TRUE,Backdoors!BI24=TRUE),VLOOKUP(Calculator!E23,tbSkills!DH3:DJ6,3,FALSE),0),0)))/100)),(1-(0.25*((-Backdoors!AI12-IF(ES55&gt;=0.45,VLOOKUP(Calculator!E23,tbSkills!DH3:DI6,2,FALSE)+IF(AND(Calculator!B8=TRUE,Backdoors!BI24=TRUE),VLOOKUP(Calculator!E23,tbSkills!DH3:DJ6,3,FALSE),0),0))/100)))),1),"")</f>
        <v>1</v>
      </c>
      <c r="EV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S55)*EU55)*(VLOOKUP(A55,tbMoveset!A2:C112,3,FALSE)/100)*IF(VLOOKUP(A55,tbMoveset!A2:B112,2,FALSE)="Projectile",Backdoors!N10,Backdoors!N9),0),"")</f>
        <v/>
      </c>
      <c r="EW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S55&gt;=0.45,VLOOKUP(Calculator!E23,tbSkills!DH3:DI6,2,FALSE)+IF(AND(Calculator!B8=TRUE,Backdoors!BI24=TRUE),VLOOKUP(Calculator!E23,tbSkills!DH3:DJ6,3,FALSE),0),0))&gt;=100,100,(Backdoors!AI12+IF(ES55&gt;=0.45,VLOOKUP(Calculator!E23,tbSkills!DH3:DI6,2,FALSE)+IF(AND(Calculator!B8=TRUE,Backdoors!BI24=TRUE),VLOOKUP(Calculator!E23,tbSkills!DH3:DJ6,3,FALSE),0),0)))/100)),1))*IF(VLOOKUP(A55,tbMoveset!A2:K112,11,FALSE)=TRUE,Backdoors!AC5,1))*ET55,0),"")</f>
        <v>0</v>
      </c>
      <c r="EX55" s="49">
        <f>VLOOKUP(A55,tbMoveset!A2:G112,7,FALSE)*IFERROR(IF(Backdoors!AI12&gt;=0,1+(IF(Calculator!E40&gt;0,VLOOKUP(Calculator!E40,tbSkills!AI3:AJ5,2,FALSE),Backdoors!AL4)*(IF((Backdoors!AI12+IF(ES55&gt;=0.45,VLOOKUP(Calculator!E23,tbSkills!DH3:DI6,2,FALSE)+IF(AND(Calculator!B8=TRUE,Backdoors!BI24=TRUE),VLOOKUP(Calculator!E23,tbSkills!DH3:DJ6,3,FALSE),0),0))&gt;=100,100,(Backdoors!AI12+IF(ES55&gt;=0.45,VLOOKUP(Calculator!E23,tbSkills!DH3:DI6,2,FALSE)+IF(AND(Calculator!B8=TRUE,Backdoors!BI24=TRUE),VLOOKUP(Calculator!E23,tbSkills!DH3:DJ6,3,FALSE),0),0)))/100)),1),1)</f>
        <v>0.8</v>
      </c>
      <c r="EY55" s="87">
        <f t="shared" si="14"/>
        <v>0</v>
      </c>
      <c r="EZ55" s="86" t="str">
        <f>IFERROR(IF(VLOOKUP(A55,tbMoveset!A2:B112,2,FALSE)="Sever",Backdoors!AY25/100,IF(VLOOKUP(A55,tbMoveset!A2:B112,2,FALSE)="Blunt",Backdoors!AZ25/100,Backdoors!BA25/100)),"")</f>
        <v/>
      </c>
      <c r="FA55" s="49">
        <f>IFERROR(IF(VLOOKUP(tbMoveset!A55,tbMoveset!A2:H112,8,FALSE)="Other",IF(VLOOKUP(tbMoveset!A55,tbMoveset!A2:I112,9,FALSE)="Fire",Backdoors!BB25,IF(VLOOKUP(tbMoveset!A55,tbMoveset!A2:I112,9,FALSE)="Water",Backdoors!BC25,IF(VLOOKUP(tbMoveset!A55,tbMoveset!A2:I112,9,FALSE)="Thunder",Backdoors!BD25,IF(VLOOKUP(tbMoveset!A55,tbMoveset!A2:I112,9,FALSE)="Ice",Backdoors!BE25,IF(VLOOKUP(tbMoveset!A55,tbMoveset!A2:I112,9,FALSE)="Dragon",Backdoors!BF25,Backdoors!BG25)))))/100,Backdoors!BG25/100),"")</f>
        <v>0</v>
      </c>
      <c r="FB55" s="49">
        <f>IFERROR(IF(VLOOKUP(A55,tbMoveset!A2:J112,10,FALSE)=TRUE,IF((Backdoors!AI12+IF(EZ55&gt;=0.45,VLOOKUP(Calculator!E23,tbSkills!DH3:DI6,2,FALSE)+IF(AND(Calculator!B8=TRUE,Backdoors!BI25=TRUE),VLOOKUP(Calculator!E23,tbSkills!DH3:DJ6,3,FALSE),0),0))&gt;=0,1+(Backdoors!AL2*(IF((Backdoors!AI12+IF(EZ55&gt;=0.45,VLOOKUP(Calculator!E23,tbSkills!DH3:DI6,2,FALSE)+IF(AND(Calculator!B8=TRUE,Backdoors!BI25=TRUE),VLOOKUP(Calculator!E23,tbSkills!DH3:DJ6,3,FALSE),0),0))&gt;=100,100,(Backdoors!AI12+IF(EZ55&gt;=0.45,VLOOKUP(Calculator!E23,tbSkills!DH3:DI6,2,FALSE)+IF(AND(Calculator!B8=TRUE,Backdoors!BI25=TRUE),VLOOKUP(Calculator!E23,tbSkills!DH3:DJ6,3,FALSE),0),0)))/100)),(1-(0.25*((-Backdoors!AI12-IF(EZ55&gt;=0.45,VLOOKUP(Calculator!E23,tbSkills!DH3:DI6,2,FALSE)+IF(AND(Calculator!B8=TRUE,Backdoors!BI25=TRUE),VLOOKUP(Calculator!E23,tbSkills!DH3:DJ6,3,FALSE),0),0))/100)))),1),"")</f>
        <v>1</v>
      </c>
      <c r="FC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Z55)*FB55)*(VLOOKUP(A55,tbMoveset!A2:C112,3,FALSE)/100)*IF(VLOOKUP(A55,tbMoveset!A2:B112,2,FALSE)="Projectile",Backdoors!N10,Backdoors!N9),0),"")</f>
        <v/>
      </c>
      <c r="FD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Z55&gt;=0.45,VLOOKUP(Calculator!E23,tbSkills!DH3:DI6,2,FALSE)+IF(AND(Calculator!B8=TRUE,Backdoors!BI25=TRUE),VLOOKUP(Calculator!E23,tbSkills!DH3:DJ6,3,FALSE),0),0))&gt;=100,100,(Backdoors!AI12+IF(EZ55&gt;=0.45,VLOOKUP(Calculator!E23,tbSkills!DH3:DI6,2,FALSE)+IF(AND(Calculator!B8=TRUE,Backdoors!BI25=TRUE),VLOOKUP(Calculator!E23,tbSkills!DH3:DJ6,3,FALSE),0),0)))/100)),1))*IF(VLOOKUP(A55,tbMoveset!A2:K112,11,FALSE)=TRUE,Backdoors!AC5,1))*FA55,0),"")</f>
        <v>0</v>
      </c>
      <c r="FE55" s="49">
        <f>VLOOKUP(A55,tbMoveset!A2:G112,7,FALSE)*IFERROR(IF(Backdoors!AI12&gt;=0,1+(IF(Calculator!E40&gt;0,VLOOKUP(Calculator!E40,tbSkills!AI3:AJ5,2,FALSE),Backdoors!AL4)*(IF((Backdoors!AI12+IF(EZ55&gt;=0.45,VLOOKUP(Calculator!E23,tbSkills!DH3:DI6,2,FALSE)+IF(AND(Calculator!B8=TRUE,Backdoors!BI25=TRUE),VLOOKUP(Calculator!E23,tbSkills!DH3:DJ6,3,FALSE),0),0))&gt;=100,100,(Backdoors!AI12+IF(EZ55&gt;=0.45,VLOOKUP(Calculator!E23,tbSkills!DH3:DI6,2,FALSE)+IF(AND(Calculator!B8=TRUE,Backdoors!BI25=TRUE),VLOOKUP(Calculator!E23,tbSkills!DH3:DJ6,3,FALSE),0),0)))/100)),1),1)</f>
        <v>0.8</v>
      </c>
      <c r="FF55" s="87">
        <f t="shared" si="15"/>
        <v>0</v>
      </c>
      <c r="FG55" s="86" t="str">
        <f>IFERROR(IF(VLOOKUP(A55,tbMoveset!A2:B112,2,FALSE)="Sever",Backdoors!AY26/100,IF(VLOOKUP(A55,tbMoveset!A2:B112,2,FALSE)="Blunt",Backdoors!AZ26/100,Backdoors!BA26/100)),"")</f>
        <v/>
      </c>
      <c r="FH55" s="49">
        <f>IFERROR(IF(VLOOKUP(tbMoveset!A55,tbMoveset!A2:H112,8,FALSE)="Other",IF(VLOOKUP(tbMoveset!A55,tbMoveset!A2:I112,9,FALSE)="Fire",Backdoors!BB26,IF(VLOOKUP(tbMoveset!A55,tbMoveset!A2:I112,9,FALSE)="Water",Backdoors!BC26,IF(VLOOKUP(tbMoveset!A55,tbMoveset!A2:I112,9,FALSE)="Thunder",Backdoors!BD26,IF(VLOOKUP(tbMoveset!A55,tbMoveset!A2:I112,9,FALSE)="Ice",Backdoors!BE26,IF(VLOOKUP(tbMoveset!A55,tbMoveset!A2:I112,9,FALSE)="Dragon",Backdoors!BF26,Backdoors!BG26)))))/100,Backdoors!BG26/100),"")</f>
        <v>0</v>
      </c>
      <c r="FI55" s="49">
        <f>IFERROR(IF(VLOOKUP(A55,tbMoveset!A2:J112,10,FALSE)=TRUE,IF((Backdoors!AI12+IF(FG55&gt;=0.45,VLOOKUP(Calculator!E23,tbSkills!DH3:DI6,2,FALSE)+IF(AND(Calculator!B8=TRUE,Backdoors!BI26=TRUE),VLOOKUP(Calculator!E23,tbSkills!DH3:DJ6,3,FALSE),0),0))&gt;=0,1+(Backdoors!AL2*(IF((Backdoors!AI12+IF(FG55&gt;=0.45,VLOOKUP(Calculator!E23,tbSkills!DH3:DI6,2,FALSE)+IF(AND(Calculator!B8=TRUE,Backdoors!BI26=TRUE),VLOOKUP(Calculator!E23,tbSkills!DH3:DJ6,3,FALSE),0),0))&gt;=100,100,(Backdoors!AI12+IF(FG55&gt;=0.45,VLOOKUP(Calculator!E23,tbSkills!DH3:DI6,2,FALSE)+IF(AND(Calculator!B8=TRUE,Backdoors!BI26=TRUE),VLOOKUP(Calculator!E23,tbSkills!DH3:DJ6,3,FALSE),0),0)))/100)),(1-(0.25*((-Backdoors!AI12-IF(FG55&gt;=0.45,VLOOKUP(Calculator!E23,tbSkills!DH3:DI6,2,FALSE)+IF(AND(Calculator!B8=TRUE,Backdoors!BI26=TRUE),VLOOKUP(Calculator!E23,tbSkills!DH3:DJ6,3,FALSE),0),0))/100)))),1),"")</f>
        <v>1</v>
      </c>
      <c r="FJ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FG55)*FI55)*(VLOOKUP(A55,tbMoveset!A2:C112,3,FALSE)/100)*IF(VLOOKUP(A55,tbMoveset!A2:B112,2,FALSE)="Projectile",Backdoors!N10,Backdoors!N9),0),"")</f>
        <v/>
      </c>
      <c r="FK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FG55&gt;=0.45,VLOOKUP(Calculator!E23,tbSkills!DH3:DI6,2,FALSE)+IF(AND(Calculator!B8=TRUE,Backdoors!BI26=TRUE),VLOOKUP(Calculator!E23,tbSkills!DH3:DJ6,3,FALSE),0),0))&gt;=100,100,(Backdoors!AI12+IF(FG55&gt;=0.45,VLOOKUP(Calculator!E23,tbSkills!DH3:DI6,2,FALSE)+IF(AND(Calculator!B8=TRUE,Backdoors!BI26=TRUE),VLOOKUP(Calculator!E23,tbSkills!DH3:DJ6,3,FALSE),0),0)))/100)),1))*IF(VLOOKUP(A55,tbMoveset!A2:K112,11,FALSE)=TRUE,Backdoors!AC5,1))*FH55,0),"")</f>
        <v>0</v>
      </c>
      <c r="FL55" s="49">
        <f>VLOOKUP(A55,tbMoveset!A2:G112,7,FALSE)*IFERROR(IF(Backdoors!AI12&gt;=0,1+(IF(Calculator!E40&gt;0,VLOOKUP(Calculator!E40,tbSkills!AI3:AJ5,2,FALSE),Backdoors!AL4)*(IF((Backdoors!AI12+IF(FG55&gt;=0.45,VLOOKUP(Calculator!E23,tbSkills!DH3:DI6,2,FALSE)+IF(AND(Calculator!B8=TRUE,Backdoors!BI26=TRUE),VLOOKUP(Calculator!E23,tbSkills!DH3:DJ6,3,FALSE),0),0))&gt;=100,100,(Backdoors!AI12+IF(FG55&gt;=0.45,VLOOKUP(Calculator!E23,tbSkills!DH3:DI6,2,FALSE)+IF(AND(Calculator!B8=TRUE,Backdoors!BI26=TRUE),VLOOKUP(Calculator!E23,tbSkills!DH3:DJ6,3,FALSE),0),0)))/100)),1),1)</f>
        <v>0.8</v>
      </c>
      <c r="FM55" s="87">
        <f t="shared" si="16"/>
        <v>0</v>
      </c>
      <c r="FN55" s="86" t="str">
        <f>IFERROR(IF(VLOOKUP(A55,tbMoveset!A2:B112,2,FALSE)="Sever",Backdoors!AY27/100,IF(VLOOKUP(A55,tbMoveset!A2:B112,2,FALSE)="Blunt",Backdoors!AZ27/100,Backdoors!BA27/100)),"")</f>
        <v/>
      </c>
      <c r="FO55" s="49">
        <f>IFERROR(IF(VLOOKUP(tbMoveset!A55,tbMoveset!A2:H112,8,FALSE)="Other",IF(VLOOKUP(tbMoveset!A55,tbMoveset!A2:I112,9,FALSE)="Fire",Backdoors!BB27,IF(VLOOKUP(tbMoveset!A55,tbMoveset!A2:I112,9,FALSE)="Water",Backdoors!BC27,IF(VLOOKUP(tbMoveset!A55,tbMoveset!A2:I112,9,FALSE)="Thunder",Backdoors!BD27,IF(VLOOKUP(tbMoveset!A55,tbMoveset!A2:I112,9,FALSE)="Ice",Backdoors!BE27,IF(VLOOKUP(tbMoveset!A55,tbMoveset!A2:I112,9,FALSE)="Dragon",Backdoors!BF27,Backdoors!BG27)))))/100,Backdoors!BG27/100),"")</f>
        <v>0</v>
      </c>
      <c r="FP55" s="49">
        <f>IFERROR(IF(VLOOKUP(A55,tbMoveset!A2:J112,10,FALSE)=TRUE,IF((Backdoors!AI12+IF(FN55&gt;=0.45,VLOOKUP(Calculator!E23,tbSkills!DH3:DI6,2,FALSE)+IF(AND(Calculator!B8=TRUE,Backdoors!BI27=TRUE),VLOOKUP(Calculator!E23,tbSkills!DH3:DJ6,3,FALSE),0),0))&gt;=0,1+(Backdoors!AL2*(IF((Backdoors!AI12+IF(FN55&gt;=0.45,VLOOKUP(Calculator!E23,tbSkills!DH3:DI6,2,FALSE)+IF(AND(Calculator!B8=TRUE,Backdoors!BI27=TRUE),VLOOKUP(Calculator!E23,tbSkills!DH3:DJ6,3,FALSE),0),0))&gt;=100,100,(Backdoors!AI12+IF(FN55&gt;=0.45,VLOOKUP(Calculator!E23,tbSkills!DH3:DI6,2,FALSE)+IF(AND(Calculator!B8=TRUE,Backdoors!BI27=TRUE),VLOOKUP(Calculator!E23,tbSkills!DH3:DJ6,3,FALSE),0),0)))/100)),(1-(0.25*((-Backdoors!AI12-IF(FN55&gt;=0.45,VLOOKUP(Calculator!E23,tbSkills!DH3:DI6,2,FALSE)+IF(AND(Calculator!B8=TRUE,Backdoors!BI27=TRUE),VLOOKUP(Calculator!E23,tbSkills!DH3:DJ6,3,FALSE),0),0))/100)))),1),"")</f>
        <v>1</v>
      </c>
      <c r="FQ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FN55)*FP55)*(VLOOKUP(A55,tbMoveset!A2:C112,3,FALSE)/100)*IF(VLOOKUP(A55,tbMoveset!A2:B112,2,FALSE)="Projectile",Backdoors!N10,Backdoors!N9),0),"")</f>
        <v/>
      </c>
      <c r="FR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FN55&gt;=0.45,VLOOKUP(Calculator!E23,tbSkills!DH3:DI6,2,FALSE)+IF(AND(Calculator!B8=TRUE,Backdoors!BI27=TRUE),VLOOKUP(Calculator!E23,tbSkills!DH3:DJ6,3,FALSE),0),0))&gt;=100,100,(Backdoors!AI12+IF(FN55&gt;=0.45,VLOOKUP(Calculator!E23,tbSkills!DH3:DI6,2,FALSE)+IF(AND(Calculator!B8=TRUE,Backdoors!BI27=TRUE),VLOOKUP(Calculator!E23,tbSkills!DH3:DJ6,3,FALSE),0),0)))/100)),1))*IF(VLOOKUP(A55,tbMoveset!A2:K112,11,FALSE)=TRUE,Backdoors!AC5,1))*FO55,0),"")</f>
        <v>0</v>
      </c>
      <c r="FS55" s="49">
        <f>VLOOKUP(A55,tbMoveset!A2:G112,7,FALSE)*IFERROR(IF(Backdoors!AI12&gt;=0,1+(IF(Calculator!E40&gt;0,VLOOKUP(Calculator!E40,tbSkills!AI3:AJ5,2,FALSE),Backdoors!AL4)*(IF((Backdoors!AI12+IF(FN55&gt;=0.45,VLOOKUP(Calculator!E23,tbSkills!DH3:DI6,2,FALSE)+IF(AND(Calculator!B8=TRUE,Backdoors!BI27=TRUE),VLOOKUP(Calculator!E23,tbSkills!DH3:DJ6,3,FALSE),0),0))&gt;=100,100,(Backdoors!AI12+IF(FN55&gt;=0.45,VLOOKUP(Calculator!E23,tbSkills!DH3:DI6,2,FALSE)+IF(AND(Calculator!B8=TRUE,Backdoors!BI27=TRUE),VLOOKUP(Calculator!E23,tbSkills!DH3:DJ6,3,FALSE),0),0)))/100)),1),1)</f>
        <v>0.8</v>
      </c>
      <c r="FT55" s="87">
        <f t="shared" si="17"/>
        <v>0</v>
      </c>
      <c r="FU55" s="86" t="str">
        <f>IFERROR(IF(VLOOKUP(A55,tbMoveset!A2:B112,2,FALSE)="Sever",Backdoors!AY28/100,IF(VLOOKUP(A55,tbMoveset!A2:B112,2,FALSE)="Blunt",Backdoors!AZ28/100,Backdoors!BA28/100)),"")</f>
        <v/>
      </c>
      <c r="FV55" s="49">
        <f>IFERROR(IF(VLOOKUP(tbMoveset!A55,tbMoveset!A2:H112,8,FALSE)="Other",IF(VLOOKUP(tbMoveset!A55,tbMoveset!A2:I112,9,FALSE)="Fire",Backdoors!BB28,IF(VLOOKUP(tbMoveset!A55,tbMoveset!A2:I112,9,FALSE)="Water",Backdoors!BC28,IF(VLOOKUP(tbMoveset!A55,tbMoveset!A2:I112,9,FALSE)="Thunder",Backdoors!BD28,IF(VLOOKUP(tbMoveset!A55,tbMoveset!A2:I112,9,FALSE)="Ice",Backdoors!BE28,IF(VLOOKUP(tbMoveset!A55,tbMoveset!A2:I112,9,FALSE)="Dragon",Backdoors!BF28,Backdoors!BG28)))))/100,Backdoors!BG28/100),"")</f>
        <v>0</v>
      </c>
      <c r="FW55" s="49">
        <f>IFERROR(IF(VLOOKUP(A55,tbMoveset!A2:J112,10,FALSE)=TRUE,IF((Backdoors!AI12+IF(FU55&gt;=0.45,VLOOKUP(Calculator!E23,tbSkills!DH3:DI6,2,FALSE)+IF(AND(Calculator!B8=TRUE,Backdoors!BI28=TRUE),VLOOKUP(Calculator!E23,tbSkills!DH3:DJ6,3,FALSE),0),0))&gt;=0,1+(Backdoors!AL2*(IF((Backdoors!AI12+IF(FU55&gt;=0.45,VLOOKUP(Calculator!E23,tbSkills!DH3:DI6,2,FALSE)+IF(AND(Calculator!B8=TRUE,Backdoors!BI28=TRUE),VLOOKUP(Calculator!E23,tbSkills!DH3:DJ6,3,FALSE),0),0))&gt;=100,100,(Backdoors!AI12+IF(FU55&gt;=0.45,VLOOKUP(Calculator!E23,tbSkills!DH3:DI6,2,FALSE)+IF(AND(Calculator!B8=TRUE,Backdoors!BI28=TRUE),VLOOKUP(Calculator!E23,tbSkills!DH3:DJ6,3,FALSE),0),0)))/100)),(1-(0.25*((-Backdoors!AI12-IF(FU55&gt;=0.45,VLOOKUP(Calculator!E23,tbSkills!DH3:DI6,2,FALSE)+IF(AND(Calculator!B8=TRUE,Backdoors!BI28=TRUE),VLOOKUP(Calculator!E23,tbSkills!DH3:DJ6,3,FALSE),0),0))/100)))),1),"")</f>
        <v>1</v>
      </c>
      <c r="FX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FU55)*FW55)*(VLOOKUP(A55,tbMoveset!A2:C112,3,FALSE)/100)*IF(VLOOKUP(A55,tbMoveset!A2:B112,2,FALSE)="Projectile",Backdoors!N10,Backdoors!N9),0),"")</f>
        <v/>
      </c>
      <c r="FY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FU55&gt;=0.45,VLOOKUP(Calculator!E23,tbSkills!DH3:DI6,2,FALSE)+IF(AND(Calculator!B8=TRUE,Backdoors!BI28=TRUE),VLOOKUP(Calculator!E23,tbSkills!DH3:DJ6,3,FALSE),0),0))&gt;=100,100,(Backdoors!AI12+IF(FU55&gt;=0.45,VLOOKUP(Calculator!E23,tbSkills!DH3:DI6,2,FALSE)+IF(AND(Calculator!B8=TRUE,Backdoors!BI28=TRUE),VLOOKUP(Calculator!E23,tbSkills!DH3:DJ6,3,FALSE),0),0)))/100)),1))*IF(VLOOKUP(A55,tbMoveset!A2:K112,11,FALSE)=TRUE,Backdoors!AC5,1))*FV55,0),"")</f>
        <v>0</v>
      </c>
      <c r="FZ55" s="49">
        <f>VLOOKUP(A55,tbMoveset!A2:G112,7,FALSE)*IFERROR(IF(Backdoors!AI12&gt;=0,1+(IF(Calculator!E40&gt;0,VLOOKUP(Calculator!E40,tbSkills!AI3:AJ5,2,FALSE),Backdoors!AL4)*(IF((Backdoors!AI12+IF(FU55&gt;=0.45,VLOOKUP(Calculator!E23,tbSkills!DH3:DI6,2,FALSE)+IF(AND(Calculator!B8=TRUE,Backdoors!BI28=TRUE),VLOOKUP(Calculator!E23,tbSkills!DH3:DJ6,3,FALSE),0),0))&gt;=100,100,(Backdoors!AI12+IF(FU55&gt;=0.45,VLOOKUP(Calculator!E23,tbSkills!DH3:DI6,2,FALSE)+IF(AND(Calculator!B8=TRUE,Backdoors!BI28=TRUE),VLOOKUP(Calculator!E23,tbSkills!DH3:DJ6,3,FALSE),0),0)))/100)),1),1)</f>
        <v>0.8</v>
      </c>
      <c r="GA55" s="87">
        <f t="shared" si="18"/>
        <v>0</v>
      </c>
      <c r="GB55" s="86" t="str">
        <f>IFERROR(IF(VLOOKUP(A55,tbMoveset!A2:B112,2,FALSE)="Sever",Backdoors!AY29/100,IF(VLOOKUP(A55,tbMoveset!A2:B112,2,FALSE)="Blunt",Backdoors!AZ29/100,Backdoors!BA29/100)),"")</f>
        <v/>
      </c>
      <c r="GC55" s="49">
        <f>IFERROR(IF(VLOOKUP(tbMoveset!A55,tbMoveset!A2:H112,8,FALSE)="Other",IF(VLOOKUP(tbMoveset!A55,tbMoveset!A2:I112,9,FALSE)="Fire",Backdoors!BB29,IF(VLOOKUP(tbMoveset!A55,tbMoveset!A2:I112,9,FALSE)="Water",Backdoors!BC29,IF(VLOOKUP(tbMoveset!A55,tbMoveset!A2:I112,9,FALSE)="Thunder",Backdoors!BD29,IF(VLOOKUP(tbMoveset!A55,tbMoveset!A2:I112,9,FALSE)="Ice",Backdoors!BE29,IF(VLOOKUP(tbMoveset!A55,tbMoveset!A2:I112,9,FALSE)="Dragon",Backdoors!BF29,Backdoors!BG29)))))/100,Backdoors!BG29/100),"")</f>
        <v>0</v>
      </c>
      <c r="GD55" s="49">
        <f>IFERROR(IF(VLOOKUP(A55,tbMoveset!A2:J112,10,FALSE)=TRUE,IF((Backdoors!AI12+IF(GB55&gt;=0.45,VLOOKUP(Calculator!E23,tbSkills!DH3:DI6,2,FALSE)+IF(AND(Calculator!B8=TRUE,Backdoors!BI29=TRUE),VLOOKUP(Calculator!E23,tbSkills!DH3:DJ6,3,FALSE),0),0))&gt;=0,1+(Backdoors!AL2*(IF((Backdoors!AI12+IF(GB55&gt;=0.45,VLOOKUP(Calculator!E23,tbSkills!DH3:DI6,2,FALSE)+IF(AND(Calculator!B8=TRUE,Backdoors!BI29=TRUE),VLOOKUP(Calculator!E23,tbSkills!DH3:DJ6,3,FALSE),0),0))&gt;=100,100,(Backdoors!AI12+IF(GB55&gt;=0.45,VLOOKUP(Calculator!E23,tbSkills!DH3:DI6,2,FALSE)+IF(AND(Calculator!B8=TRUE,Backdoors!BI29=TRUE),VLOOKUP(Calculator!E23,tbSkills!DH3:DJ6,3,FALSE),0),0)))/100)),(1-(0.25*((-Backdoors!AI12-IF(GB55&gt;=0.45,VLOOKUP(Calculator!E23,tbSkills!DH3:DI6,2,FALSE)+IF(AND(Calculator!B8=TRUE,Backdoors!BI29=TRUE),VLOOKUP(Calculator!E23,tbSkills!DH3:DJ6,3,FALSE),0),0))/100)))),1),"")</f>
        <v>1</v>
      </c>
      <c r="GE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B55)*GD55)*(VLOOKUP(A55,tbMoveset!A2:C112,3,FALSE)/100)*IF(VLOOKUP(A55,tbMoveset!A2:B112,2,FALSE)="Projectile",Backdoors!N10,Backdoors!N9),0),"")</f>
        <v/>
      </c>
      <c r="GF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B55&gt;=0.45,VLOOKUP(Calculator!E23,tbSkills!DH3:DI6,2,FALSE)+IF(AND(Calculator!B8=TRUE,Backdoors!BI29=TRUE),VLOOKUP(Calculator!E23,tbSkills!DH3:DJ6,3,FALSE),0),0))&gt;=100,100,(Backdoors!AI12+IF(GB55&gt;=0.45,VLOOKUP(Calculator!E23,tbSkills!DH3:DI6,2,FALSE)+IF(AND(Calculator!B8=TRUE,Backdoors!BI29=TRUE),VLOOKUP(Calculator!E23,tbSkills!DH3:DJ6,3,FALSE),0),0)))/100)),1))*IF(VLOOKUP(A55,tbMoveset!A2:K112,11,FALSE)=TRUE,Backdoors!AC5,1))*GC55,0),"")</f>
        <v>0</v>
      </c>
      <c r="GG55" s="49">
        <f>VLOOKUP(A55,tbMoveset!A2:G112,7,FALSE)*IFERROR(IF(Backdoors!AI12&gt;=0,1+(IF(Calculator!E40&gt;0,VLOOKUP(Calculator!E40,tbSkills!AI3:AJ5,2,FALSE),Backdoors!AL4)*(IF((Backdoors!AI12+IF(GB55&gt;=0.45,VLOOKUP(Calculator!E23,tbSkills!DH3:DI6,2,FALSE)+IF(AND(Calculator!B8=TRUE,Backdoors!BI29=TRUE),VLOOKUP(Calculator!E23,tbSkills!DH3:DJ6,3,FALSE),0),0))&gt;=100,100,(Backdoors!AI12+IF(GB55&gt;=0.45,VLOOKUP(Calculator!E23,tbSkills!DH3:DI6,2,FALSE)+IF(AND(Calculator!B8=TRUE,Backdoors!BI29=TRUE),VLOOKUP(Calculator!E23,tbSkills!DH3:DJ6,3,FALSE),0),0)))/100)),1),1)</f>
        <v>0.8</v>
      </c>
      <c r="GH55" s="87">
        <f t="shared" si="19"/>
        <v>0</v>
      </c>
      <c r="GI55" s="86" t="str">
        <f>IFERROR(IF(VLOOKUP(A55,tbMoveset!A2:B112,2,FALSE)="Sever",Backdoors!AY30/100,IF(VLOOKUP(A55,tbMoveset!A2:B112,2,FALSE)="Blunt",Backdoors!AZ30/100,Backdoors!BA30/100)),"")</f>
        <v/>
      </c>
      <c r="GJ55" s="49">
        <f>IFERROR(IF(VLOOKUP(tbMoveset!A55,tbMoveset!A2:H112,8,FALSE)="Other",IF(VLOOKUP(tbMoveset!A55,tbMoveset!A2:I112,9,FALSE)="Fire",Backdoors!BB30,IF(VLOOKUP(tbMoveset!A55,tbMoveset!A2:I112,9,FALSE)="Water",Backdoors!BC30,IF(VLOOKUP(tbMoveset!A55,tbMoveset!A2:I112,9,FALSE)="Thunder",Backdoors!BD30,IF(VLOOKUP(tbMoveset!A55,tbMoveset!A2:I112,9,FALSE)="Ice",Backdoors!BE30,IF(VLOOKUP(tbMoveset!A55,tbMoveset!A2:I112,9,FALSE)="Dragon",Backdoors!BF30,Backdoors!BG30)))))/100,Backdoors!BG30/100),"")</f>
        <v>0</v>
      </c>
      <c r="GK55" s="49">
        <f>IFERROR(IF(VLOOKUP(A55,tbMoveset!A2:J112,10,FALSE)=TRUE,IF((Backdoors!AI12+IF(GI55&gt;=0.45,VLOOKUP(Calculator!E23,tbSkills!DH3:DI6,2,FALSE)+IF(AND(Calculator!B8=TRUE,Backdoors!BI30=TRUE),VLOOKUP(Calculator!E23,tbSkills!DH3:DJ6,3,FALSE),0),0))&gt;=0,1+(Backdoors!AL2*(IF((Backdoors!AI12+IF(GI55&gt;=0.45,VLOOKUP(Calculator!E23,tbSkills!DH3:DI6,2,FALSE)+IF(AND(Calculator!B8=TRUE,Backdoors!BI30=TRUE),VLOOKUP(Calculator!E23,tbSkills!DH3:DJ6,3,FALSE),0),0))&gt;=100,100,(Backdoors!AI12+IF(GI55&gt;=0.45,VLOOKUP(Calculator!E23,tbSkills!DH3:DI6,2,FALSE)+IF(AND(Calculator!B8=TRUE,Backdoors!BI30=TRUE),VLOOKUP(Calculator!E23,tbSkills!DH3:DJ6,3,FALSE),0),0)))/100)),(1-(0.25*((-Backdoors!AI12-IF(GI55&gt;=0.45,VLOOKUP(Calculator!E23,tbSkills!DH3:DI6,2,FALSE)+IF(AND(Calculator!B8=TRUE,Backdoors!BI30=TRUE),VLOOKUP(Calculator!E23,tbSkills!DH3:DJ6,3,FALSE),0),0))/100)))),1),"")</f>
        <v>1</v>
      </c>
      <c r="GL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I55)*GK55)*(VLOOKUP(A55,tbMoveset!A2:C112,3,FALSE)/100)*IF(VLOOKUP(A55,tbMoveset!A2:B112,2,FALSE)="Projectile",Backdoors!N10,Backdoors!N9),0),"")</f>
        <v/>
      </c>
      <c r="GM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I55&gt;=0.45,VLOOKUP(Calculator!E23,tbSkills!DH3:DI6,2,FALSE)+IF(AND(Calculator!B8=TRUE,Backdoors!BI30=TRUE),VLOOKUP(Calculator!E23,tbSkills!DH3:DJ6,3,FALSE),0),0))&gt;=100,100,(Backdoors!AI12+IF(GI55&gt;=0.45,VLOOKUP(Calculator!E23,tbSkills!DH3:DI6,2,FALSE)+IF(AND(Calculator!B8=TRUE,Backdoors!BI30=TRUE),VLOOKUP(Calculator!E23,tbSkills!DH3:DJ6,3,FALSE),0),0)))/100)),1))*IF(VLOOKUP(A55,tbMoveset!A2:K112,11,FALSE)=TRUE,Backdoors!AC5,1))*GJ55,0),"")</f>
        <v>0</v>
      </c>
      <c r="GN55" s="49">
        <f>VLOOKUP(A55,tbMoveset!A2:G112,7,FALSE)*IFERROR(IF(Backdoors!AI12&gt;=0,1+(IF(Calculator!E40&gt;0,VLOOKUP(Calculator!E40,tbSkills!AI3:AJ5,2,FALSE),Backdoors!AL4)*(IF((Backdoors!AI12+IF(GI55&gt;=0.45,VLOOKUP(Calculator!E23,tbSkills!DH3:DI6,2,FALSE)+IF(AND(Calculator!B8=TRUE,Backdoors!BI30=TRUE),VLOOKUP(Calculator!E23,tbSkills!DH3:DJ6,3,FALSE),0),0))&gt;=100,100,(Backdoors!AI12+IF(GI55&gt;=0.45,VLOOKUP(Calculator!E23,tbSkills!DH3:DI6,2,FALSE)+IF(AND(Calculator!B8=TRUE,Backdoors!BI30=TRUE),VLOOKUP(Calculator!E23,tbSkills!DH3:DJ6,3,FALSE),0),0)))/100)),1),1)</f>
        <v>0.8</v>
      </c>
      <c r="GO55" s="87">
        <f t="shared" si="20"/>
        <v>0</v>
      </c>
      <c r="GP55" s="86" t="str">
        <f>IFERROR(IF(VLOOKUP(A55,tbMoveset!A2:B112,2,FALSE)="Sever",Backdoors!AY31/100,IF(VLOOKUP(A55,tbMoveset!A2:B112,2,FALSE)="Blunt",Backdoors!AZ31/100,Backdoors!BA31/100)),"")</f>
        <v/>
      </c>
      <c r="GQ55" s="49">
        <f>IFERROR(IF(VLOOKUP(tbMoveset!A55,tbMoveset!A2:H112,8,FALSE)="Other",IF(VLOOKUP(tbMoveset!A55,tbMoveset!A2:I112,9,FALSE)="Fire",Backdoors!BB31,IF(VLOOKUP(tbMoveset!A55,tbMoveset!A2:I112,9,FALSE)="Water",Backdoors!BC31,IF(VLOOKUP(tbMoveset!A55,tbMoveset!A2:I112,9,FALSE)="Thunder",Backdoors!BD31,IF(VLOOKUP(tbMoveset!A55,tbMoveset!A2:I112,9,FALSE)="Ice",Backdoors!BE31,IF(VLOOKUP(tbMoveset!A55,tbMoveset!A2:I112,9,FALSE)="Dragon",Backdoors!BF31,Backdoors!BG31)))))/100,Backdoors!BG31/100),"")</f>
        <v>0</v>
      </c>
      <c r="GR55" s="49">
        <f>IFERROR(IF(VLOOKUP(A55,tbMoveset!A2:J112,10,FALSE)=TRUE,IF((Backdoors!AI12+IF(GP55&gt;=0.45,VLOOKUP(Calculator!E23,tbSkills!DH3:DI6,2,FALSE)+IF(AND(Calculator!B8=TRUE,Backdoors!BI31=TRUE),VLOOKUP(Calculator!E23,tbSkills!DH3:DJ6,3,FALSE),0),0))&gt;=0,1+(Backdoors!AL2*(IF((Backdoors!AI12+IF(GP55&gt;=0.45,VLOOKUP(Calculator!E23,tbSkills!DH3:DI6,2,FALSE)+IF(AND(Calculator!B8=TRUE,Backdoors!BI31=TRUE),VLOOKUP(Calculator!E23,tbSkills!DH3:DJ6,3,FALSE),0),0))&gt;=100,100,(Backdoors!AI12+IF(GP55&gt;=0.45,VLOOKUP(Calculator!E23,tbSkills!DH3:DI6,2,FALSE)+IF(AND(Calculator!B8=TRUE,Backdoors!BI31=TRUE),VLOOKUP(Calculator!E23,tbSkills!DH3:DJ6,3,FALSE),0),0)))/100)),(1-(0.25*((-Backdoors!AI12-IF(GP55&gt;=0.45,VLOOKUP(Calculator!E23,tbSkills!DH3:DI6,2,FALSE)+IF(AND(Calculator!B8=TRUE,Backdoors!BI31=TRUE),VLOOKUP(Calculator!E23,tbSkills!DH3:DJ6,3,FALSE),0),0))/100)))),1),"")</f>
        <v>1</v>
      </c>
      <c r="GS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P55)*GR55)*(VLOOKUP(A55,tbMoveset!A2:C112,3,FALSE)/100)*IF(VLOOKUP(A55,tbMoveset!A2:B112,2,FALSE)="Projectile",Backdoors!N10,Backdoors!N9),0),"")</f>
        <v/>
      </c>
      <c r="GT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P55&gt;=0.45,VLOOKUP(Calculator!E23,tbSkills!DH3:DI6,2,FALSE)+IF(AND(Calculator!B8=TRUE,Backdoors!BI31=TRUE),VLOOKUP(Calculator!E23,tbSkills!DH3:DJ6,3,FALSE),0),0))&gt;=100,100,(Backdoors!AI12+IF(GP55&gt;=0.45,VLOOKUP(Calculator!E23,tbSkills!DH3:DI6,2,FALSE)+IF(AND(Calculator!B8=TRUE,Backdoors!BI31=TRUE),VLOOKUP(Calculator!E23,tbSkills!DH3:DJ6,3,FALSE),0),0)))/100)),1))*IF(VLOOKUP(A55,tbMoveset!A2:K112,11,FALSE)=TRUE,Backdoors!AC5,1))*GQ55,0),"")</f>
        <v>0</v>
      </c>
      <c r="GU55" s="49">
        <f>VLOOKUP(A55,tbMoveset!A2:G112,7,FALSE)*IFERROR(IF(Backdoors!AI12&gt;=0,1+(IF(Calculator!E40&gt;0,VLOOKUP(Calculator!E40,tbSkills!AI3:AJ5,2,FALSE),Backdoors!AL4)*(IF((Backdoors!AI12+IF(GP55&gt;=0.45,VLOOKUP(Calculator!E23,tbSkills!DH3:DI6,2,FALSE)+IF(AND(Calculator!B8=TRUE,Backdoors!BI31=TRUE),VLOOKUP(Calculator!E23,tbSkills!DH3:DJ6,3,FALSE),0),0))&gt;=100,100,(Backdoors!AI12+IF(GP55&gt;=0.45,VLOOKUP(Calculator!E23,tbSkills!DH3:DI6,2,FALSE)+IF(AND(Calculator!B8=TRUE,Backdoors!BI31=TRUE),VLOOKUP(Calculator!E23,tbSkills!DH3:DJ6,3,FALSE),0),0)))/100)),1),1)</f>
        <v>0.8</v>
      </c>
      <c r="GV55" s="87">
        <f t="shared" si="21"/>
        <v>0</v>
      </c>
      <c r="GW55" s="86" t="str">
        <f>IFERROR(IF(VLOOKUP(A55,tbMoveset!A2:B112,2,FALSE)="Sever",Backdoors!AY32/100,IF(VLOOKUP(A55,tbMoveset!A2:B112,2,FALSE)="Blunt",Backdoors!AZ32/100,Backdoors!BA32/100)),"")</f>
        <v/>
      </c>
      <c r="GX55" s="49">
        <f>IFERROR(IF(VLOOKUP(tbMoveset!A55,tbMoveset!A2:H112,8,FALSE)="Other",IF(VLOOKUP(tbMoveset!A55,tbMoveset!A2:I112,9,FALSE)="Fire",Backdoors!BB32,IF(VLOOKUP(tbMoveset!A55,tbMoveset!A2:I112,9,FALSE)="Water",Backdoors!BC32,IF(VLOOKUP(tbMoveset!A55,tbMoveset!A2:I112,9,FALSE)="Thunder",Backdoors!BD32,IF(VLOOKUP(tbMoveset!A55,tbMoveset!A2:I112,9,FALSE)="Ice",Backdoors!BE32,IF(VLOOKUP(tbMoveset!A55,tbMoveset!A2:I112,9,FALSE)="Dragon",Backdoors!BF32,Backdoors!BG32)))))/100,Backdoors!BG32/100),"")</f>
        <v>0</v>
      </c>
      <c r="GY55" s="49">
        <f>IFERROR(IF(VLOOKUP(A55,tbMoveset!A2:J112,10,FALSE)=TRUE,IF((Backdoors!AI12+IF(GW55&gt;=0.45,VLOOKUP(Calculator!E23,tbSkills!DH3:DI6,2,FALSE)+IF(AND(Calculator!B8=TRUE,Backdoors!BI32=TRUE),VLOOKUP(Calculator!E23,tbSkills!DH3:DJ6,3,FALSE),0),0))&gt;=0,1+(Backdoors!AL2*(IF((Backdoors!AI12+IF(GW55&gt;=0.45,VLOOKUP(Calculator!E23,tbSkills!DH3:DI6,2,FALSE)+IF(AND(Calculator!B8=TRUE,Backdoors!BI32=TRUE),VLOOKUP(Calculator!E23,tbSkills!DH3:DJ6,3,FALSE),0),0))&gt;=100,100,(Backdoors!AI12+IF(GW55&gt;=0.45,VLOOKUP(Calculator!E23,tbSkills!DH3:DI6,2,FALSE)+IF(AND(Calculator!B8=TRUE,Backdoors!BI32=TRUE),VLOOKUP(Calculator!E23,tbSkills!DH3:DJ6,3,FALSE),0),0)))/100)),(1-(0.25*((-Backdoors!AI12-IF(GW55&gt;=0.45,VLOOKUP(Calculator!E23,tbSkills!DH3:DI6,2,FALSE)+IF(AND(Calculator!B8=TRUE,Backdoors!BI32=TRUE),VLOOKUP(Calculator!E23,tbSkills!DH3:DJ6,3,FALSE),0),0))/100)))),1),"")</f>
        <v>1</v>
      </c>
      <c r="GZ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W55)*GY55)*(VLOOKUP(A55,tbMoveset!A2:C112,3,FALSE)/100)*IF(VLOOKUP(A55,tbMoveset!A2:B112,2,FALSE)="Projectile",Backdoors!N10,Backdoors!N9),0),"")</f>
        <v/>
      </c>
      <c r="HA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W55&gt;=0.45,VLOOKUP(Calculator!E23,tbSkills!DH3:DI6,2,FALSE)+IF(AND(Calculator!B8=TRUE,Backdoors!BI32=TRUE),VLOOKUP(Calculator!E23,tbSkills!DH3:DJ6,3,FALSE),0),0))&gt;=100,100,(Backdoors!AI12+IF(GW55&gt;=0.45,VLOOKUP(Calculator!E23,tbSkills!DH3:DI6,2,FALSE)+IF(AND(Calculator!B8=TRUE,Backdoors!BI32=TRUE),VLOOKUP(Calculator!E23,tbSkills!DH3:DJ6,3,FALSE),0),0)))/100)),1))*IF(VLOOKUP(A55,tbMoveset!A2:K112,11,FALSE)=TRUE,Backdoors!AC5,1))*GX55,0),"")</f>
        <v>0</v>
      </c>
      <c r="HB55" s="49">
        <f>VLOOKUP(A55,tbMoveset!A2:G112,7,FALSE)*IFERROR(IF(Backdoors!AI12&gt;=0,1+(IF(Calculator!E40&gt;0,VLOOKUP(Calculator!E40,tbSkills!AI3:AJ5,2,FALSE),Backdoors!AL4)*(IF((Backdoors!AI12+IF(GW55&gt;=0.45,VLOOKUP(Calculator!E23,tbSkills!DH3:DI6,2,FALSE)+IF(AND(Calculator!B8=TRUE,Backdoors!BI32=TRUE),VLOOKUP(Calculator!E23,tbSkills!DH3:DJ6,3,FALSE),0),0))&gt;=100,100,(Backdoors!AI12+IF(GW55&gt;=0.45,VLOOKUP(Calculator!E23,tbSkills!DH3:DI6,2,FALSE)+IF(AND(Calculator!B8=TRUE,Backdoors!BI32=TRUE),VLOOKUP(Calculator!E23,tbSkills!DH3:DJ6,3,FALSE),0),0)))/100)),1),1)</f>
        <v>0.8</v>
      </c>
      <c r="HC55" s="87">
        <f t="shared" si="22"/>
        <v>0</v>
      </c>
      <c r="HD55" s="86" t="str">
        <f>IFERROR(IF(VLOOKUP(A55,tbMoveset!A2:B112,2,FALSE)="Sever",Backdoors!AY33/100,IF(VLOOKUP(A55,tbMoveset!A2:B112,2,FALSE)="Blunt",Backdoors!AZ33/100,Backdoors!BA33/100)),"")</f>
        <v/>
      </c>
      <c r="HE55" s="49">
        <f>IFERROR(IF(VLOOKUP(tbMoveset!A55,tbMoveset!A2:H112,8,FALSE)="Other",IF(VLOOKUP(tbMoveset!A55,tbMoveset!A2:I112,9,FALSE)="Fire",Backdoors!BB33,IF(VLOOKUP(tbMoveset!A55,tbMoveset!A2:I112,9,FALSE)="Water",Backdoors!BC33,IF(VLOOKUP(tbMoveset!A55,tbMoveset!A2:I112,9,FALSE)="Thunder",Backdoors!BD33,IF(VLOOKUP(tbMoveset!A55,tbMoveset!A2:I112,9,FALSE)="Ice",Backdoors!BE33,IF(VLOOKUP(tbMoveset!A55,tbMoveset!A2:I112,9,FALSE)="Dragon",Backdoors!BF33,Backdoors!BG33)))))/100,Backdoors!BG33/100),"")</f>
        <v>0</v>
      </c>
      <c r="HF55" s="49">
        <f>IFERROR(IF(VLOOKUP(A55,tbMoveset!A2:J112,10,FALSE)=TRUE,IF((Backdoors!AI12+IF(HD55&gt;=0.45,VLOOKUP(Calculator!E23,tbSkills!DH3:DI6,2,FALSE)+IF(AND(Calculator!B8=TRUE,Backdoors!BI33=TRUE),VLOOKUP(Calculator!E23,tbSkills!DH3:DJ6,3,FALSE),0),0))&gt;=0,1+(Backdoors!AL2*(IF((Backdoors!AI12+IF(HD55&gt;=0.45,VLOOKUP(Calculator!E23,tbSkills!DH3:DI6,2,FALSE)+IF(AND(Calculator!B8=TRUE,Backdoors!BI33=TRUE),VLOOKUP(Calculator!E23,tbSkills!DH3:DJ6,3,FALSE),0),0))&gt;=100,100,(Backdoors!AI12+IF(HD55&gt;=0.45,VLOOKUP(Calculator!E23,tbSkills!DH3:DI6,2,FALSE)+IF(AND(Calculator!B8=TRUE,Backdoors!BI33=TRUE),VLOOKUP(Calculator!E23,tbSkills!DH3:DJ6,3,FALSE),0),0)))/100)),(1-(0.25*((-Backdoors!AI12-IF(HD55&gt;=0.45,VLOOKUP(Calculator!E23,tbSkills!DH3:DI6,2,FALSE)+IF(AND(Calculator!B8=TRUE,Backdoors!BI33=TRUE),VLOOKUP(Calculator!E23,tbSkills!DH3:DJ6,3,FALSE),0),0))/100)))),1),"")</f>
        <v>1</v>
      </c>
      <c r="HG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D55)*HF55)*(VLOOKUP(A55,tbMoveset!A2:C112,3,FALSE)/100)*IF(VLOOKUP(A55,tbMoveset!A2:B112,2,FALSE)="Projectile",Backdoors!N10,Backdoors!N9),0),"")</f>
        <v/>
      </c>
      <c r="HH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D55&gt;=0.45,VLOOKUP(Calculator!E23,tbSkills!DH3:DI6,2,FALSE)+IF(AND(Calculator!B8=TRUE,Backdoors!BI33=TRUE),VLOOKUP(Calculator!E23,tbSkills!DH3:DJ6,3,FALSE),0),0))&gt;=100,100,(Backdoors!AI12+IF(HD55&gt;=0.45,VLOOKUP(Calculator!E23,tbSkills!DH3:DI6,2,FALSE)+IF(AND(Calculator!B8=TRUE,Backdoors!BI33=TRUE),VLOOKUP(Calculator!E23,tbSkills!DH3:DJ6,3,FALSE),0),0)))/100)),1))*IF(VLOOKUP(A55,tbMoveset!A2:K112,11,FALSE)=TRUE,Backdoors!AC5,1))*HE55,0),"")</f>
        <v>0</v>
      </c>
      <c r="HI55" s="49">
        <f>VLOOKUP(A55,tbMoveset!A2:G112,7,FALSE)*IFERROR(IF(Backdoors!AI12&gt;=0,1+(IF(Calculator!E40&gt;0,VLOOKUP(Calculator!E40,tbSkills!AI3:AJ5,2,FALSE),Backdoors!AL4)*(IF((Backdoors!AI12+IF(HD55&gt;=0.45,VLOOKUP(Calculator!E23,tbSkills!DH3:DI6,2,FALSE)+IF(AND(Calculator!B8=TRUE,Backdoors!BI33=TRUE),VLOOKUP(Calculator!E23,tbSkills!DH3:DJ6,3,FALSE),0),0))&gt;=100,100,(Backdoors!AI12+IF(HD55&gt;=0.45,VLOOKUP(Calculator!E23,tbSkills!DH3:DI6,2,FALSE)+IF(AND(Calculator!B8=TRUE,Backdoors!BI33=TRUE),VLOOKUP(Calculator!E23,tbSkills!DH3:DJ6,3,FALSE),0),0)))/100)),1),1)</f>
        <v>0.8</v>
      </c>
      <c r="HJ55" s="87">
        <f t="shared" si="23"/>
        <v>0</v>
      </c>
      <c r="HK55" s="86" t="str">
        <f>IFERROR(IF(VLOOKUP(A55,tbMoveset!A2:B112,2,FALSE)="Sever",Backdoors!AY34/100,IF(VLOOKUP(A55,tbMoveset!A2:B112,2,FALSE)="Blunt",Backdoors!AZ34/100,Backdoors!BA34/100)),"")</f>
        <v/>
      </c>
      <c r="HL55" s="49">
        <f>IFERROR(IF(VLOOKUP(tbMoveset!A55,tbMoveset!A2:H112,8,FALSE)="Other",IF(VLOOKUP(tbMoveset!A55,tbMoveset!A2:I112,9,FALSE)="Fire",Backdoors!BB34,IF(VLOOKUP(tbMoveset!A55,tbMoveset!A2:I112,9,FALSE)="Water",Backdoors!BC34,IF(VLOOKUP(tbMoveset!A55,tbMoveset!A2:I112,9,FALSE)="Thunder",Backdoors!BD34,IF(VLOOKUP(tbMoveset!A55,tbMoveset!A2:I112,9,FALSE)="Ice",Backdoors!BE34,IF(VLOOKUP(tbMoveset!A55,tbMoveset!A2:I112,9,FALSE)="Dragon",Backdoors!BF34,Backdoors!BG34)))))/100,Backdoors!BG34/100),"")</f>
        <v>0</v>
      </c>
      <c r="HM55" s="49">
        <f>IFERROR(IF(VLOOKUP(A55,tbMoveset!A2:J112,10,FALSE)=TRUE,IF((Backdoors!AI12+IF(HK55&gt;=0.45,VLOOKUP(Calculator!E23,tbSkills!DH3:DI6,2,FALSE)+IF(AND(Calculator!B8=TRUE,Backdoors!BI34=TRUE),VLOOKUP(Calculator!E23,tbSkills!DH3:DJ6,3,FALSE),0),0))&gt;=0,1+(Backdoors!AL2*(IF((Backdoors!AI12+IF(HK55&gt;=0.45,VLOOKUP(Calculator!E23,tbSkills!DH3:DI6,2,FALSE)+IF(AND(Calculator!B8=TRUE,Backdoors!BI34=TRUE),VLOOKUP(Calculator!E23,tbSkills!DH3:DJ6,3,FALSE),0),0))&gt;=100,100,(Backdoors!AI12+IF(HK55&gt;=0.45,VLOOKUP(Calculator!E23,tbSkills!DH3:DI6,2,FALSE)+IF(AND(Calculator!B8=TRUE,Backdoors!BI34=TRUE),VLOOKUP(Calculator!E23,tbSkills!DH3:DJ6,3,FALSE),0),0)))/100)),(1-(0.25*((-Backdoors!AI12-IF(HK55&gt;=0.45,VLOOKUP(Calculator!E23,tbSkills!DH3:DI6,2,FALSE)+IF(AND(Calculator!B8=TRUE,Backdoors!BI34=TRUE),VLOOKUP(Calculator!E23,tbSkills!DH3:DJ6,3,FALSE),0),0))/100)))),1),"")</f>
        <v>1</v>
      </c>
      <c r="HN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K55)*HM55)*(VLOOKUP(A55,tbMoveset!A2:C112,3,FALSE)/100)*IF(VLOOKUP(A55,tbMoveset!A2:B112,2,FALSE)="Projectile",Backdoors!N10,Backdoors!N9),0),"")</f>
        <v/>
      </c>
      <c r="HO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K55&gt;=0.45,VLOOKUP(Calculator!E23,tbSkills!DH3:DI6,2,FALSE)+IF(AND(Calculator!B8=TRUE,Backdoors!BI34=TRUE),VLOOKUP(Calculator!E23,tbSkills!DH3:DJ6,3,FALSE),0),0))&gt;=100,100,(Backdoors!AI12+IF(HK55&gt;=0.45,VLOOKUP(Calculator!E23,tbSkills!DH3:DI6,2,FALSE)+IF(AND(Calculator!B8=TRUE,Backdoors!BI34=TRUE),VLOOKUP(Calculator!E23,tbSkills!DH3:DJ6,3,FALSE),0),0)))/100)),1))*IF(VLOOKUP(A55,tbMoveset!A2:K112,11,FALSE)=TRUE,Backdoors!AC5,1))*HL55,0),"")</f>
        <v>0</v>
      </c>
      <c r="HP55" s="49">
        <f>VLOOKUP(A55,tbMoveset!A2:G112,7,FALSE)*IFERROR(IF(Backdoors!AI12&gt;=0,1+(IF(Calculator!E40&gt;0,VLOOKUP(Calculator!E40,tbSkills!AI3:AJ5,2,FALSE),Backdoors!AL4)*(IF((Backdoors!AI12+IF(HK55&gt;=0.45,VLOOKUP(Calculator!E23,tbSkills!DH3:DI6,2,FALSE)+IF(AND(Calculator!B8=TRUE,Backdoors!BI34=TRUE),VLOOKUP(Calculator!E23,tbSkills!DH3:DJ6,3,FALSE),0),0))&gt;=100,100,(Backdoors!AI12+IF(HK55&gt;=0.45,VLOOKUP(Calculator!E23,tbSkills!DH3:DI6,2,FALSE)+IF(AND(Calculator!B8=TRUE,Backdoors!BI34=TRUE),VLOOKUP(Calculator!E23,tbSkills!DH3:DJ6,3,FALSE),0),0)))/100)),1),1)</f>
        <v>0.8</v>
      </c>
      <c r="HQ55" s="87">
        <f t="shared" si="24"/>
        <v>0</v>
      </c>
      <c r="HR55" s="86" t="str">
        <f>IFERROR(IF(VLOOKUP(A55,tbMoveset!A2:B112,2,FALSE)="Sever",Backdoors!AY35/100,IF(VLOOKUP(A55,tbMoveset!A2:B112,2,FALSE)="Blunt",Backdoors!AZ35/100,Backdoors!BA35/100)),"")</f>
        <v/>
      </c>
      <c r="HS55" s="49">
        <f>IFERROR(IF(VLOOKUP(tbMoveset!A55,tbMoveset!A2:H112,8,FALSE)="Other",IF(VLOOKUP(tbMoveset!A55,tbMoveset!A2:I112,9,FALSE)="Fire",Backdoors!BB35,IF(VLOOKUP(tbMoveset!A55,tbMoveset!A2:I112,9,FALSE)="Water",Backdoors!BC35,IF(VLOOKUP(tbMoveset!A55,tbMoveset!A2:I112,9,FALSE)="Thunder",Backdoors!BD35,IF(VLOOKUP(tbMoveset!A55,tbMoveset!A2:I112,9,FALSE)="Ice",Backdoors!BE35,IF(VLOOKUP(tbMoveset!A55,tbMoveset!A2:I112,9,FALSE)="Dragon",Backdoors!BF35,Backdoors!BG35)))))/100,Backdoors!BG35/100),"")</f>
        <v>0</v>
      </c>
      <c r="HT55" s="49">
        <f>IFERROR(IF(VLOOKUP(A55,tbMoveset!A2:J112,10,FALSE)=TRUE,IF((Backdoors!AI12+IF(HR55&gt;=0.45,VLOOKUP(Calculator!E23,tbSkills!DH3:DI6,2,FALSE)+IF(AND(Calculator!B8=TRUE,Backdoors!BI35=TRUE),VLOOKUP(Calculator!E23,tbSkills!DH3:DJ6,3,FALSE),0),0))&gt;=0,1+(Backdoors!AL2*(IF((Backdoors!AI12+IF(HR55&gt;=0.45,VLOOKUP(Calculator!E23,tbSkills!DH3:DI6,2,FALSE)+IF(AND(Calculator!B8=TRUE,Backdoors!BI35=TRUE),VLOOKUP(Calculator!E23,tbSkills!DH3:DJ6,3,FALSE),0),0))&gt;=100,100,(Backdoors!AI12+IF(HR55&gt;=0.45,VLOOKUP(Calculator!E23,tbSkills!DH3:DI6,2,FALSE)+IF(AND(Calculator!B8=TRUE,Backdoors!BI35=TRUE),VLOOKUP(Calculator!E23,tbSkills!DH3:DJ6,3,FALSE),0),0)))/100)),(1-(0.25*((-Backdoors!AI12-IF(HR55&gt;=0.45,VLOOKUP(Calculator!E23,tbSkills!DH3:DI6,2,FALSE)+IF(AND(Calculator!B8=TRUE,Backdoors!BI35=TRUE),VLOOKUP(Calculator!E23,tbSkills!DH3:DJ6,3,FALSE),0),0))/100)))),1),"")</f>
        <v>1</v>
      </c>
      <c r="HU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R55)*HT55)*(VLOOKUP(A55,tbMoveset!A2:C112,3,FALSE)/100)*IF(VLOOKUP(A55,tbMoveset!A2:B112,2,FALSE)="Projectile",Backdoors!N10,Backdoors!N9),0),"")</f>
        <v/>
      </c>
      <c r="HV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R55&gt;=0.45,VLOOKUP(Calculator!E23,tbSkills!DH3:DI6,2,FALSE)+IF(AND(Calculator!B8=TRUE,Backdoors!BI35=TRUE),VLOOKUP(Calculator!E23,tbSkills!DH3:DJ6,3,FALSE),0),0))&gt;=100,100,(Backdoors!AI12+IF(HR55&gt;=0.45,VLOOKUP(Calculator!E23,tbSkills!DH3:DI6,2,FALSE)+IF(AND(Calculator!B8=TRUE,Backdoors!BI35=TRUE),VLOOKUP(Calculator!E23,tbSkills!DH3:DJ6,3,FALSE),0),0)))/100)),1))*IF(VLOOKUP(A55,tbMoveset!A2:K112,11,FALSE)=TRUE,Backdoors!AC5,1))*HS55,0),"")</f>
        <v>0</v>
      </c>
      <c r="HW55" s="49">
        <f>VLOOKUP(A55,tbMoveset!A2:G112,7,FALSE)*IFERROR(IF(Backdoors!AI12&gt;=0,1+(IF(Calculator!E40&gt;0,VLOOKUP(Calculator!E40,tbSkills!AI3:AJ5,2,FALSE),Backdoors!AL4)*(IF((Backdoors!AI12+IF(HR55&gt;=0.45,VLOOKUP(Calculator!E23,tbSkills!DH3:DI6,2,FALSE)+IF(AND(Calculator!B8=TRUE,Backdoors!BI35=TRUE),VLOOKUP(Calculator!E23,tbSkills!DH3:DJ6,3,FALSE),0),0))&gt;=100,100,(Backdoors!AI12+IF(HR55&gt;=0.45,VLOOKUP(Calculator!E23,tbSkills!DH3:DI6,2,FALSE)+IF(AND(Calculator!B8=TRUE,Backdoors!BI35=TRUE),VLOOKUP(Calculator!E23,tbSkills!DH3:DJ6,3,FALSE),0),0)))/100)),1),1)</f>
        <v>0.8</v>
      </c>
      <c r="HX55" s="87">
        <f t="shared" si="25"/>
        <v>0</v>
      </c>
      <c r="HY55" s="86" t="str">
        <f>IFERROR(IF(VLOOKUP(A55,tbMoveset!A2:B112,2,FALSE)="Sever",Backdoors!AY36/100,IF(VLOOKUP(A55,tbMoveset!A2:B112,2,FALSE)="Blunt",Backdoors!AZ36/100,Backdoors!BA36/100)),"")</f>
        <v/>
      </c>
      <c r="HZ55" s="49">
        <f>IFERROR(IF(VLOOKUP(tbMoveset!A55,tbMoveset!A2:H112,8,FALSE)="Other",IF(VLOOKUP(tbMoveset!A55,tbMoveset!A2:I112,9,FALSE)="Fire",Backdoors!BB36,IF(VLOOKUP(tbMoveset!A55,tbMoveset!A2:I112,9,FALSE)="Water",Backdoors!BC36,IF(VLOOKUP(tbMoveset!A55,tbMoveset!A2:I112,9,FALSE)="Thunder",Backdoors!BD36,IF(VLOOKUP(tbMoveset!A55,tbMoveset!A2:I112,9,FALSE)="Ice",Backdoors!BE36,IF(VLOOKUP(tbMoveset!A55,tbMoveset!A2:I112,9,FALSE)="Dragon",Backdoors!BF36,Backdoors!BG36)))))/100,Backdoors!BG36/100),"")</f>
        <v>0</v>
      </c>
      <c r="IA55" s="49">
        <f>IFERROR(IF(VLOOKUP(A55,tbMoveset!A2:J112,10,FALSE)=TRUE,IF((Backdoors!AI12+IF(HY55&gt;=0.45,VLOOKUP(Calculator!E23,tbSkills!DH3:DI6,2,FALSE)+IF(AND(Calculator!B8=TRUE,Backdoors!BI36=TRUE),VLOOKUP(Calculator!E23,tbSkills!DH3:DJ6,3,FALSE),0),0))&gt;=0,1+(Backdoors!AL2*(IF((Backdoors!AI12+IF(HY55&gt;=0.45,VLOOKUP(Calculator!E23,tbSkills!DH3:DI6,2,FALSE)+IF(AND(Calculator!B8=TRUE,Backdoors!BI36=TRUE),VLOOKUP(Calculator!E23,tbSkills!DH3:DJ6,3,FALSE),0),0))&gt;=100,100,(Backdoors!AI12+IF(HY55&gt;=0.45,VLOOKUP(Calculator!E23,tbSkills!DH3:DI6,2,FALSE)+IF(AND(Calculator!B8=TRUE,Backdoors!BI36=TRUE),VLOOKUP(Calculator!E23,tbSkills!DH3:DJ6,3,FALSE),0),0)))/100)),(1-(0.25*((-Backdoors!AI12-IF(HY55&gt;=0.45,VLOOKUP(Calculator!E23,tbSkills!DH3:DI6,2,FALSE)+IF(AND(Calculator!B8=TRUE,Backdoors!BI36=TRUE),VLOOKUP(Calculator!E23,tbSkills!DH3:DJ6,3,FALSE),0),0))/100)))),1),"")</f>
        <v>1</v>
      </c>
      <c r="IB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Y55)*IA55)*(VLOOKUP(A55,tbMoveset!A2:C112,3,FALSE)/100)*IF(VLOOKUP(A55,tbMoveset!A2:B112,2,FALSE)="Projectile",Backdoors!N10,Backdoors!N9),0),"")</f>
        <v/>
      </c>
      <c r="IC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Y55&gt;=0.45,VLOOKUP(Calculator!E23,tbSkills!DH3:DI6,2,FALSE)+IF(AND(Calculator!B8=TRUE,Backdoors!BI36=TRUE),VLOOKUP(Calculator!E23,tbSkills!DH3:DJ6,3,FALSE),0),0))&gt;=100,100,(Backdoors!AI12+IF(HY55&gt;=0.45,VLOOKUP(Calculator!E23,tbSkills!DH3:DI6,2,FALSE)+IF(AND(Calculator!B8=TRUE,Backdoors!BI36=TRUE),VLOOKUP(Calculator!E23,tbSkills!DH3:DJ6,3,FALSE),0),0)))/100)),1))*IF(VLOOKUP(A55,tbMoveset!A2:K112,11,FALSE)=TRUE,Backdoors!AC5,1))*HZ55,0),"")</f>
        <v>0</v>
      </c>
      <c r="ID55" s="49">
        <f>VLOOKUP(A55,tbMoveset!A2:G112,7,FALSE)*IFERROR(IF(Backdoors!AI12&gt;=0,1+(IF(Calculator!E40&gt;0,VLOOKUP(Calculator!E40,tbSkills!AI3:AJ5,2,FALSE),Backdoors!AL4)*(IF((Backdoors!AI12+IF(HY55&gt;=0.45,VLOOKUP(Calculator!E23,tbSkills!DH3:DI6,2,FALSE)+IF(AND(Calculator!B8=TRUE,Backdoors!BI36=TRUE),VLOOKUP(Calculator!E23,tbSkills!DH3:DJ6,3,FALSE),0),0))&gt;=100,100,(Backdoors!AI12+IF(HY55&gt;=0.45,VLOOKUP(Calculator!E23,tbSkills!DH3:DI6,2,FALSE)+IF(AND(Calculator!B8=TRUE,Backdoors!BI36=TRUE),VLOOKUP(Calculator!E23,tbSkills!DH3:DJ6,3,FALSE),0),0)))/100)),1),1)</f>
        <v>0.8</v>
      </c>
      <c r="IE55" s="87">
        <f t="shared" si="26"/>
        <v>0</v>
      </c>
      <c r="IF55" s="86" t="str">
        <f>IFERROR(IF(VLOOKUP(A55,tbMoveset!A2:B112,2,FALSE)="Sever",Backdoors!AY37/100,IF(VLOOKUP(A55,tbMoveset!A2:B112,2,FALSE)="Blunt",Backdoors!AZ37/100,Backdoors!BA37/100)),"")</f>
        <v/>
      </c>
      <c r="IG55" s="49">
        <f>IFERROR(IF(VLOOKUP(tbMoveset!A55,tbMoveset!A2:H112,8,FALSE)="Other",IF(VLOOKUP(tbMoveset!A55,tbMoveset!A2:I112,9,FALSE)="Fire",Backdoors!BB37,IF(VLOOKUP(tbMoveset!A55,tbMoveset!A2:I112,9,FALSE)="Water",Backdoors!BC37,IF(VLOOKUP(tbMoveset!A55,tbMoveset!A2:I112,9,FALSE)="Thunder",Backdoors!BD37,IF(VLOOKUP(tbMoveset!A55,tbMoveset!A2:I112,9,FALSE)="Ice",Backdoors!BE37,IF(VLOOKUP(tbMoveset!A55,tbMoveset!A2:I112,9,FALSE)="Dragon",Backdoors!BF37,Backdoors!BG37)))))/100,Backdoors!BG37/100),"")</f>
        <v>0</v>
      </c>
      <c r="IH55" s="49">
        <f>IFERROR(IF(VLOOKUP(A55,tbMoveset!A2:J112,10,FALSE)=TRUE,IF((Backdoors!AI12+IF(IF55&gt;=0.45,VLOOKUP(Calculator!E23,tbSkills!DH3:DI6,2,FALSE)+IF(AND(Calculator!B8=TRUE,Backdoors!BI37=TRUE),VLOOKUP(Calculator!E23,tbSkills!DH3:DJ6,3,FALSE),0),0))&gt;=0,1+(Backdoors!AL2*(IF((Backdoors!AI12+IF(IF55&gt;=0.45,VLOOKUP(Calculator!E23,tbSkills!DH3:DI6,2,FALSE)+IF(AND(Calculator!B8=TRUE,Backdoors!BI37=TRUE),VLOOKUP(Calculator!E23,tbSkills!DH3:DJ6,3,FALSE),0),0))&gt;=100,100,(Backdoors!AI12+IF(IF55&gt;=0.45,VLOOKUP(Calculator!E23,tbSkills!DH3:DI6,2,FALSE)+IF(AND(Calculator!B8=TRUE,Backdoors!BI37=TRUE),VLOOKUP(Calculator!E23,tbSkills!DH3:DJ6,3,FALSE),0),0)))/100)),(1-(0.25*((-Backdoors!AI12-IF(IF55&gt;=0.45,VLOOKUP(Calculator!E23,tbSkills!DH3:DI6,2,FALSE)+IF(AND(Calculator!B8=TRUE,Backdoors!BI37=TRUE),VLOOKUP(Calculator!E23,tbSkills!DH3:DJ6,3,FALSE),0),0))/100)))),1),"")</f>
        <v>1</v>
      </c>
      <c r="II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F55)*IH55)*(VLOOKUP(A55,tbMoveset!A2:C112,3,FALSE)/100)*IF(VLOOKUP(A55,tbMoveset!A2:B112,2,FALSE)="Projectile",Backdoors!N10,Backdoors!N9),0),"")</f>
        <v/>
      </c>
      <c r="IJ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IF55&gt;=0.45,VLOOKUP(Calculator!E23,tbSkills!DH3:DI6,2,FALSE)+IF(AND(Calculator!B8=TRUE,Backdoors!BI37=TRUE),VLOOKUP(Calculator!E23,tbSkills!DH3:DJ6,3,FALSE),0),0))&gt;=100,100,(Backdoors!AI12+IF(IF55&gt;=0.45,VLOOKUP(Calculator!E23,tbSkills!DH3:DI6,2,FALSE)+IF(AND(Calculator!B8=TRUE,Backdoors!BI37=TRUE),VLOOKUP(Calculator!E23,tbSkills!DH3:DJ6,3,FALSE),0),0)))/100)),1))*IF(VLOOKUP(A55,tbMoveset!A2:K112,11,FALSE)=TRUE,Backdoors!AC5,1))*IG55,0),"")</f>
        <v>0</v>
      </c>
      <c r="IK55" s="49">
        <f>VLOOKUP(A55,tbMoveset!A2:G112,7,FALSE)*IFERROR(IF(Backdoors!AI12&gt;=0,1+(IF(Calculator!E40&gt;0,VLOOKUP(Calculator!E40,tbSkills!AI3:AJ5,2,FALSE),Backdoors!AL4)*(IF((Backdoors!AI12+IF(IF55&gt;=0.45,VLOOKUP(Calculator!E23,tbSkills!DH3:DI6,2,FALSE)+IF(AND(Calculator!B8=TRUE,Backdoors!BI37=TRUE),VLOOKUP(Calculator!E23,tbSkills!DH3:DJ6,3,FALSE),0),0))&gt;=100,100,(Backdoors!AI12+IF(IF55&gt;=0.45,VLOOKUP(Calculator!E23,tbSkills!DH3:DI6,2,FALSE)+IF(AND(Calculator!B8=TRUE,Backdoors!BI37=TRUE),VLOOKUP(Calculator!E23,tbSkills!DH3:DJ6,3,FALSE),0),0)))/100)),1),1)</f>
        <v>0.8</v>
      </c>
      <c r="IL55" s="87">
        <f t="shared" si="27"/>
        <v>0</v>
      </c>
      <c r="IM55" s="86" t="str">
        <f>IFERROR(IF(VLOOKUP(A55,tbMoveset!A2:B112,2,FALSE)="Sever",Backdoors!AY38/100,IF(VLOOKUP(A55,tbMoveset!A2:B112,2,FALSE)="Blunt",Backdoors!AZ38/100,Backdoors!BA38/100)),"")</f>
        <v/>
      </c>
      <c r="IN55" s="49">
        <f>IFERROR(IF(VLOOKUP(tbMoveset!A55,tbMoveset!A2:H112,8,FALSE)="Other",IF(VLOOKUP(tbMoveset!A55,tbMoveset!A2:I112,9,FALSE)="Fire",Backdoors!BB38,IF(VLOOKUP(tbMoveset!A55,tbMoveset!A2:I112,9,FALSE)="Water",Backdoors!BC38,IF(VLOOKUP(tbMoveset!A55,tbMoveset!A2:I112,9,FALSE)="Thunder",Backdoors!BD38,IF(VLOOKUP(tbMoveset!A55,tbMoveset!A2:I112,9,FALSE)="Ice",Backdoors!BE38,IF(VLOOKUP(tbMoveset!A55,tbMoveset!A2:I112,9,FALSE)="Dragon",Backdoors!BF38,Backdoors!BG38)))))/100,Backdoors!BG38/100),"")</f>
        <v>0</v>
      </c>
      <c r="IO55" s="49">
        <f>IFERROR(IF(VLOOKUP(A55,tbMoveset!A2:J112,10,FALSE)=TRUE,IF((Backdoors!AI12+IF(IM55&gt;=0.45,VLOOKUP(Calculator!E23,tbSkills!DH3:DI6,2,FALSE)+IF(AND(Calculator!B8=TRUE,Backdoors!BI38=TRUE),VLOOKUP(Calculator!E23,tbSkills!DH3:DJ6,3,FALSE),0),0))&gt;=0,1+(Backdoors!AL2*(IF((Backdoors!AI12+IF(IM55&gt;=0.45,VLOOKUP(Calculator!E23,tbSkills!DH3:DI6,2,FALSE)+IF(AND(Calculator!B8=TRUE,Backdoors!BI38=TRUE),VLOOKUP(Calculator!E23,tbSkills!DH3:DJ6,3,FALSE),0),0))&gt;=100,100,(Backdoors!AI12+IF(IM55&gt;=0.45,VLOOKUP(Calculator!E23,tbSkills!DH3:DI6,2,FALSE)+IF(AND(Calculator!B8=TRUE,Backdoors!BI38=TRUE),VLOOKUP(Calculator!E23,tbSkills!DH3:DJ6,3,FALSE),0),0)))/100)),(1-(0.25*((-Backdoors!AI12-IF(IM55&gt;=0.45,VLOOKUP(Calculator!E23,tbSkills!DH3:DI6,2,FALSE)+IF(AND(Calculator!B8=TRUE,Backdoors!BI38=TRUE),VLOOKUP(Calculator!E23,tbSkills!DH3:DJ6,3,FALSE),0),0))/100)))),1),"")</f>
        <v>1</v>
      </c>
      <c r="IP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M55)*IO55)*(VLOOKUP(A55,tbMoveset!A2:C112,3,FALSE)/100)*IF(VLOOKUP(A55,tbMoveset!A2:B112,2,FALSE)="Projectile",Backdoors!N10,Backdoors!N9),0),"")</f>
        <v/>
      </c>
      <c r="IQ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IM55&gt;=0.45,VLOOKUP(Calculator!E23,tbSkills!DH3:DI6,2,FALSE)+IF(AND(Calculator!B8=TRUE,Backdoors!BI38=TRUE),VLOOKUP(Calculator!E23,tbSkills!DH3:DJ6,3,FALSE),0),0))&gt;=100,100,(Backdoors!AI12+IF(IM55&gt;=0.45,VLOOKUP(Calculator!E23,tbSkills!DH3:DI6,2,FALSE)+IF(AND(Calculator!B8=TRUE,Backdoors!BI38=TRUE),VLOOKUP(Calculator!E23,tbSkills!DH3:DJ6,3,FALSE),0),0)))/100)),1))*IF(VLOOKUP(A55,tbMoveset!A2:K112,11,FALSE)=TRUE,Backdoors!AC5,1))*IN55,0),"")</f>
        <v>0</v>
      </c>
      <c r="IR55" s="49">
        <f>VLOOKUP(A55,tbMoveset!A2:G112,7,FALSE)*IFERROR(IF(Backdoors!AI12&gt;=0,1+(IF(Calculator!E40&gt;0,VLOOKUP(Calculator!E40,tbSkills!AI3:AJ5,2,FALSE),Backdoors!AL4)*(IF((Backdoors!AI12+IF(IM55&gt;=0.45,VLOOKUP(Calculator!E23,tbSkills!DH3:DI6,2,FALSE)+IF(AND(Calculator!B8=TRUE,Backdoors!BI38=TRUE),VLOOKUP(Calculator!E23,tbSkills!DH3:DJ6,3,FALSE),0),0))&gt;=100,100,(Backdoors!AI12+IF(IM55&gt;=0.45,VLOOKUP(Calculator!E23,tbSkills!DH3:DI6,2,FALSE)+IF(AND(Calculator!B8=TRUE,Backdoors!BI38=TRUE),VLOOKUP(Calculator!E23,tbSkills!DH3:DJ6,3,FALSE),0),0)))/100)),1),1)</f>
        <v>0.8</v>
      </c>
      <c r="IS55" s="87">
        <f t="shared" si="42"/>
        <v>0</v>
      </c>
      <c r="IT55" s="86" t="str">
        <f>IFERROR(IF(VLOOKUP(A55,tbMoveset!A2:B112,2,FALSE)="Sever",Backdoors!AY39/100,IF(VLOOKUP(A55,tbMoveset!A2:B112,2,FALSE)="Blunt",Backdoors!AZ39/100,Backdoors!BA39/100)),"")</f>
        <v/>
      </c>
      <c r="IU55" s="49">
        <f>IFERROR(IF(VLOOKUP(tbMoveset!A55,tbMoveset!A2:H112,8,FALSE)="Other",IF(VLOOKUP(tbMoveset!A55,tbMoveset!A2:I112,9,FALSE)="Fire",Backdoors!BB39,IF(VLOOKUP(tbMoveset!A55,tbMoveset!A2:I112,9,FALSE)="Water",Backdoors!BC39,IF(VLOOKUP(tbMoveset!A55,tbMoveset!A2:I112,9,FALSE)="Thunder",Backdoors!BD39,IF(VLOOKUP(tbMoveset!A55,tbMoveset!A2:I112,9,FALSE)="Ice",Backdoors!BE39,IF(VLOOKUP(tbMoveset!A55,tbMoveset!A2:I112,9,FALSE)="Dragon",Backdoors!BF39,Backdoors!BG39)))))/100,Backdoors!BG39/100),"")</f>
        <v>0</v>
      </c>
      <c r="IV55" s="49">
        <f>IFERROR(IF(VLOOKUP(A55,tbMoveset!A2:J112,10,FALSE)=TRUE,IF((Backdoors!AI12+IF(IT55&gt;=0.45,VLOOKUP(Calculator!E23,tbSkills!DH3:DI6,2,FALSE)+IF(AND(Calculator!B8=TRUE,Backdoors!BI39=TRUE),VLOOKUP(Calculator!E23,tbSkills!DH3:DJ6,3,FALSE),0),0))&gt;=0,1+(Backdoors!AL2*(IF((Backdoors!AI12+IF(IT55&gt;=0.45,VLOOKUP(Calculator!E23,tbSkills!DH3:DI6,2,FALSE)+IF(AND(Calculator!B8=TRUE,Backdoors!BI39=TRUE),VLOOKUP(Calculator!E23,tbSkills!DH3:DJ6,3,FALSE),0),0))&gt;=100,100,(Backdoors!AI12+IF(IT55&gt;=0.45,VLOOKUP(Calculator!E23,tbSkills!DH3:DI6,2,FALSE)+IF(AND(Calculator!B8=TRUE,Backdoors!BI39=TRUE),VLOOKUP(Calculator!E23,tbSkills!DH3:DJ6,3,FALSE),0),0)))/100)),(1-(0.25*((-Backdoors!AI12-IF(IT55&gt;=0.45,VLOOKUP(Calculator!E23,tbSkills!DH3:DI6,2,FALSE)+IF(AND(Calculator!B8=TRUE,Backdoors!BI39=TRUE),VLOOKUP(Calculator!E23,tbSkills!DH3:DJ6,3,FALSE),0),0))/100)))),1),"")</f>
        <v>1</v>
      </c>
      <c r="IW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T55)*IV55)*(VLOOKUP(A55,tbMoveset!A2:C112,3,FALSE)/100)*IF(VLOOKUP(A55,tbMoveset!A2:B112,2,FALSE)="Projectile",Backdoors!N10,Backdoors!N9),0),"")</f>
        <v/>
      </c>
      <c r="IX55" s="49">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40&gt;0,VLOOKUP(Calculator!E40,tbSkills!AC3:AD5,2,FALSE),Backdoors!AL3)*(IF((Backdoors!AI12+IF(IT55&gt;=0.45,VLOOKUP(Calculator!E23,tbSkills!DH3:DI6,2,FALSE)+IF(AND(Calculator!B8=TRUE,Backdoors!BI39=TRUE),VLOOKUP(Calculator!E23,tbSkills!DH3:DJ6,3,FALSE),0),0))&gt;=100,100,(Backdoors!AI12+IF(IT55&gt;=0.45,VLOOKUP(Calculator!E23,tbSkills!DH3:DI6,2,FALSE)+IF(AND(Calculator!B8=TRUE,Backdoors!BI39=TRUE),VLOOKUP(Calculator!E23,tbSkills!DH3:DJ6,3,FALSE),0),0)))/100)),1))*IF(VLOOKUP(A55,tbMoveset!A2:K112,11,FALSE)=TRUE,Backdoors!AC5,1))*IU55,0),"")</f>
        <v>0</v>
      </c>
      <c r="IY55" s="49">
        <f>VLOOKUP(A55,tbMoveset!A2:G112,7,FALSE)*IFERROR(IF(Backdoors!AI12&gt;=0,1+(IF(Calculator!E40&gt;0,VLOOKUP(Calculator!E40,tbSkills!AI3:AJ5,2,FALSE),Backdoors!AL4)*(IF((Backdoors!AI12+IF(IT55&gt;=0.45,VLOOKUP(Calculator!E23,tbSkills!DH3:DI6,2,FALSE)+IF(AND(Calculator!B8=TRUE,Backdoors!BI39=TRUE),VLOOKUP(Calculator!E23,tbSkills!DH3:DJ6,3,FALSE),0),0))&gt;=100,100,(Backdoors!AI12+IF(IT55&gt;=0.45,VLOOKUP(Calculator!E23,tbSkills!DH3:DI6,2,FALSE)+IF(AND(Calculator!B8=TRUE,Backdoors!BI39=TRUE),VLOOKUP(Calculator!E23,tbSkills!DH3:DJ6,3,FALSE),0),0)))/100)),1),1)</f>
        <v>0.8</v>
      </c>
      <c r="IZ55" s="87">
        <f t="shared" si="28"/>
        <v>0</v>
      </c>
      <c r="JA55" s="86" t="str">
        <f>IFERROR(IF(VLOOKUP(A55,tbMoveset!A2:B112,2,FALSE)="Sever",Backdoors!AY40/100,IF(VLOOKUP(A55,tbMoveset!A2:B112,2,FALSE)="Blunt",Backdoors!AZ40/100,Backdoors!BA40/100)),"")</f>
        <v/>
      </c>
      <c r="JB55" s="49">
        <f>IFERROR(IF(VLOOKUP(tbMoveset!A55,tbMoveset!A2:H112,8,FALSE)="Other",IF(VLOOKUP(tbMoveset!A55,tbMoveset!A2:I112,9,FALSE)="Fire",Backdoors!BB40,IF(VLOOKUP(tbMoveset!A55,tbMoveset!A2:I112,9,FALSE)="Water",Backdoors!BC40,IF(VLOOKUP(tbMoveset!A55,tbMoveset!A2:I112,9,FALSE)="Thunder",Backdoors!BD40,IF(VLOOKUP(tbMoveset!A55,tbMoveset!A2:I112,9,FALSE)="Ice",Backdoors!BE40,IF(VLOOKUP(tbMoveset!A55,tbMoveset!A2:I112,9,FALSE)="Dragon",Backdoors!BF40,Backdoors!BG40)))))/100,Backdoors!BG40/100),"")</f>
        <v>0</v>
      </c>
      <c r="JC55" s="49">
        <f>IFERROR(IF(VLOOKUP(A55,tbMoveset!A2:J112,10,FALSE)=TRUE,IF((Backdoors!AI12+IF(JA55&gt;=0.45,VLOOKUP(Calculator!E23,tbSkills!DH3:DI6,2,FALSE)+IF(AND(Calculator!B8=TRUE,Backdoors!BI40=TRUE),VLOOKUP(Calculator!E23,tbSkills!DH3:DJ6,3,FALSE),0),0))&gt;=0,1+(Backdoors!AL2*(IF((Backdoors!AI12+IF(JA55&gt;=0.45,VLOOKUP(Calculator!E23,tbSkills!DH3:DI6,2,FALSE)+IF(AND(Calculator!B8=TRUE,Backdoors!BI40=TRUE),VLOOKUP(Calculator!E23,tbSkills!DH3:DJ6,3,FALSE),0),0))&gt;=100,100,(Backdoors!AI12+IF(JA55&gt;=0.45,VLOOKUP(Calculator!E23,tbSkills!DH3:DI6,2,FALSE)+IF(AND(Calculator!B8=TRUE,Backdoors!BI40=TRUE),VLOOKUP(Calculator!E23,tbSkills!DH3:DJ6,3,FALSE),0),0)))/100)),(1-(0.25*((-Backdoors!AI12-IF(JA55&gt;=0.45,VLOOKUP(Calculator!E23,tbSkills!DH3:DI6,2,FALSE)+IF(AND(Calculator!B8=TRUE,Backdoors!BI40=TRUE),VLOOKUP(Calculator!E23,tbSkills!DH3:DJ6,3,FALSE),0),0))/100)))),1),"")</f>
        <v>1</v>
      </c>
      <c r="JD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A55)*JC55)*(VLOOKUP(A55,tbMoveset!A2:C112,3,FALSE)/100)*IF(VLOOKUP(A55,tbMoveset!A2:B112,2,FALSE)="Projectile",Backdoors!N10,Backdoors!N9),0),"")</f>
        <v/>
      </c>
      <c r="JE55" s="49">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42&gt;0,VLOOKUP(Calculator!E42,tbSkills!AC3:AD5,2,FALSE),Backdoors!AL3)*(IF((Backdoors!AI12+IF(JA55&gt;=0.45,VLOOKUP(Calculator!E23,tbSkills!DH3:DI6,2,FALSE)+IF(AND(Calculator!B8=TRUE,Backdoors!BI40=TRUE),VLOOKUP(Calculator!E23,tbSkills!DH3:DJ6,3,FALSE),0),0))&gt;=100,100,(Backdoors!AI12+IF(JA55&gt;=0.45,VLOOKUP(Calculator!E23,tbSkills!DH3:DI6,2,FALSE)+IF(AND(Calculator!B8=TRUE,Backdoors!BI40=TRUE),VLOOKUP(Calculator!E23,tbSkills!DH3:DJ6,3,FALSE),0),0)))/100)),1))*IF(VLOOKUP(A55,tbMoveset!A2:K112,11,FALSE)=TRUE,Backdoors!AC5,1))*JB55,0),"")</f>
        <v>0</v>
      </c>
      <c r="JF55" s="49">
        <f>VLOOKUP(A55,tbMoveset!A2:G112,7,FALSE)*IFERROR(IF(Backdoors!AI12&gt;=0,1+(IF(Calculator!E40&gt;0,VLOOKUP(Calculator!E40,tbSkills!AI3:AJ5,2,FALSE),Backdoors!AL4)*(IF((Backdoors!AI12+IF(JA55&gt;=0.45,VLOOKUP(Calculator!E23,tbSkills!DH3:DI6,2,FALSE)+IF(AND(Calculator!B8=TRUE,Backdoors!BI40=TRUE),VLOOKUP(Calculator!E23,tbSkills!DH3:DJ6,3,FALSE),0),0))&gt;=100,100,(Backdoors!AI12+IF(JA55&gt;=0.45,VLOOKUP(Calculator!E23,tbSkills!DH3:DI6,2,FALSE)+IF(AND(Calculator!B8=TRUE,Backdoors!BI40=TRUE),VLOOKUP(Calculator!E23,tbSkills!DH3:DJ6,3,FALSE),0),0)))/100)),1),1)</f>
        <v>0.8</v>
      </c>
      <c r="JG55" s="87">
        <f t="shared" si="29"/>
        <v>0</v>
      </c>
      <c r="JH55" s="86" t="str">
        <f>IFERROR(IF(VLOOKUP(A55,tbMoveset!A2:B112,2,FALSE)="Sever",Backdoors!AY41/100,IF(VLOOKUP(A55,tbMoveset!A2:B112,2,FALSE)="Blunt",Backdoors!AZ41/100,Backdoors!BA41/100)),"")</f>
        <v/>
      </c>
      <c r="JI55" s="49">
        <f>IFERROR(IF(VLOOKUP(tbMoveset!A55,tbMoveset!A2:H112,8,FALSE)="Other",IF(VLOOKUP(tbMoveset!A55,tbMoveset!A2:I112,9,FALSE)="Fire",Backdoors!BB41,IF(VLOOKUP(tbMoveset!A55,tbMoveset!A2:I112,9,FALSE)="Water",Backdoors!BC41,IF(VLOOKUP(tbMoveset!A55,tbMoveset!A2:I112,9,FALSE)="Thunder",Backdoors!BD41,IF(VLOOKUP(tbMoveset!A55,tbMoveset!A2:I112,9,FALSE)="Ice",Backdoors!BE41,IF(VLOOKUP(tbMoveset!A55,tbMoveset!A2:I112,9,FALSE)="Dragon",Backdoors!BF41,Backdoors!BG41)))))/100,Backdoors!BG41/100),"")</f>
        <v>0</v>
      </c>
      <c r="JJ55" s="49">
        <f>IFERROR(IF(VLOOKUP(A55,tbMoveset!A2:J112,10,FALSE)=TRUE,IF((Backdoors!AI12+IF(JH55&gt;=0.45,VLOOKUP(Calculator!E23,tbSkills!DH3:DI6,2,FALSE)+IF(AND(Calculator!B8=TRUE,Backdoors!BI41=TRUE),VLOOKUP(Calculator!E23,tbSkills!DH3:DJ6,3,FALSE),0),0))&gt;=0,1+(Backdoors!AL2*(IF((Backdoors!AI12+IF(JH55&gt;=0.45,VLOOKUP(Calculator!E23,tbSkills!DH3:DI6,2,FALSE)+IF(AND(Calculator!B8=TRUE,Backdoors!BI41=TRUE),VLOOKUP(Calculator!E23,tbSkills!DH3:DJ6,3,FALSE),0),0))&gt;=100,100,(Backdoors!AI12+IF(JH55&gt;=0.45,VLOOKUP(Calculator!E23,tbSkills!DH3:DI6,2,FALSE)+IF(AND(Calculator!B8=TRUE,Backdoors!BI41=TRUE),VLOOKUP(Calculator!E23,tbSkills!DH3:DJ6,3,FALSE),0),0)))/100)),(1-(0.25*((-Backdoors!AI12-IF(JH55&gt;=0.45,VLOOKUP(Calculator!E23,tbSkills!DH3:DI6,2,FALSE)+IF(AND(Calculator!B8=TRUE,Backdoors!BI41=TRUE),VLOOKUP(Calculator!E23,tbSkills!DH3:DJ6,3,FALSE),0),0))/100)))),1),"")</f>
        <v>1</v>
      </c>
      <c r="JK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H55)*JJ55)*(VLOOKUP(A55,tbMoveset!A2:C112,3,FALSE)/100)*IF(VLOOKUP(A55,tbMoveset!A2:B112,2,FALSE)="Projectile",Backdoors!N10,Backdoors!N9),0),"")</f>
        <v/>
      </c>
      <c r="JL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43&gt;0,VLOOKUP(Calculator!E43,tbSkills!AC3:AD5,2,FALSE),Backdoors!AL3)*(IF((Backdoors!AI12+IF(JH55&gt;=0.45,VLOOKUP(Calculator!E23,tbSkills!DH3:DI6,2,FALSE)+IF(AND(Calculator!B8=TRUE,Backdoors!BI41=TRUE),VLOOKUP(Calculator!E23,tbSkills!DH3:DJ6,3,FALSE),0),0))&gt;=100,100,(Backdoors!AI12+IF(JH55&gt;=0.45,VLOOKUP(Calculator!E23,tbSkills!DH3:DI6,2,FALSE)+IF(AND(Calculator!B8=TRUE,Backdoors!BI41=TRUE),VLOOKUP(Calculator!E23,tbSkills!DH3:DJ6,3,FALSE),0),0)))/100)),1))*IF(VLOOKUP(A55,tbMoveset!A2:K112,11,FALSE)=TRUE,Backdoors!AC5,1))*JI55,0),"")</f>
        <v/>
      </c>
      <c r="JM55" s="49">
        <f>VLOOKUP(A55,tbMoveset!A2:G112,7,FALSE)*IFERROR(IF(Backdoors!AI12&gt;=0,1+(IF(Calculator!E40&gt;0,VLOOKUP(Calculator!E40,tbSkills!AI3:AJ5,2,FALSE),Backdoors!AL4)*(IF((Backdoors!AI12+IF(JH55&gt;=0.45,VLOOKUP(Calculator!E23,tbSkills!DH3:DI6,2,FALSE)+IF(AND(Calculator!B8=TRUE,Backdoors!BI41=TRUE),VLOOKUP(Calculator!E23,tbSkills!DH3:DJ6,3,FALSE),0),0))&gt;=100,100,(Backdoors!AI12+IF(JH55&gt;=0.45,VLOOKUP(Calculator!E23,tbSkills!DH3:DI6,2,FALSE)+IF(AND(Calculator!B8=TRUE,Backdoors!BI41=TRUE),VLOOKUP(Calculator!E23,tbSkills!DH3:DJ6,3,FALSE),0),0)))/100)),1),1)</f>
        <v>0.8</v>
      </c>
      <c r="JN55" s="87">
        <f t="shared" si="30"/>
        <v>0</v>
      </c>
      <c r="JO55" s="86" t="str">
        <f>IFERROR(IF(VLOOKUP(A55,tbMoveset!A2:B112,2,FALSE)="Sever",Backdoors!AY42/100,IF(VLOOKUP(A55,tbMoveset!A2:B112,2,FALSE)="Blunt",Backdoors!AZ42/100,Backdoors!BA42/100)),"")</f>
        <v/>
      </c>
      <c r="JP55" s="49">
        <f>IFERROR(IF(VLOOKUP(tbMoveset!A55,tbMoveset!A2:H112,8,FALSE)="Other",IF(VLOOKUP(tbMoveset!A55,tbMoveset!A2:I112,9,FALSE)="Fire",Backdoors!BB42,IF(VLOOKUP(tbMoveset!A55,tbMoveset!A2:I112,9,FALSE)="Water",Backdoors!BC42,IF(VLOOKUP(tbMoveset!A55,tbMoveset!A2:I112,9,FALSE)="Thunder",Backdoors!BD42,IF(VLOOKUP(tbMoveset!A55,tbMoveset!A2:I112,9,FALSE)="Ice",Backdoors!BE42,IF(VLOOKUP(tbMoveset!A55,tbMoveset!A2:I112,9,FALSE)="Dragon",Backdoors!BF42,Backdoors!BG42)))))/100,Backdoors!BG42/100),"")</f>
        <v>0</v>
      </c>
      <c r="JQ55" s="49">
        <f>IFERROR(IF(VLOOKUP(A55,tbMoveset!A2:J112,10,FALSE)=TRUE,IF((Backdoors!AI12+IF(JO55&gt;=0.45,VLOOKUP(Calculator!E23,tbSkills!DH3:DI6,2,FALSE)+IF(AND(Calculator!B8=TRUE,Backdoors!BI42=TRUE),VLOOKUP(Calculator!E23,tbSkills!DH3:DJ6,3,FALSE),0),0))&gt;=0,1+(Backdoors!AL2*(IF((Backdoors!AI12+IF(JO55&gt;=0.45,VLOOKUP(Calculator!E23,tbSkills!DH3:DI6,2,FALSE)+IF(AND(Calculator!B8=TRUE,Backdoors!BI42=TRUE),VLOOKUP(Calculator!E23,tbSkills!DH3:DJ6,3,FALSE),0),0))&gt;=100,100,(Backdoors!AI12+IF(JO55&gt;=0.45,VLOOKUP(Calculator!E23,tbSkills!DH3:DI6,2,FALSE)+IF(AND(Calculator!B8=TRUE,Backdoors!BI42=TRUE),VLOOKUP(Calculator!E23,tbSkills!DH3:DJ6,3,FALSE),0),0)))/100)),(1-(0.25*((-Backdoors!AI12-IF(JO55&gt;=0.45,VLOOKUP(Calculator!E23,tbSkills!DH3:DI6,2,FALSE)+IF(AND(Calculator!B8=TRUE,Backdoors!BI42=TRUE),VLOOKUP(Calculator!E23,tbSkills!DH3:DJ6,3,FALSE),0),0))/100)))),1),"")</f>
        <v>1</v>
      </c>
      <c r="JR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O55)*JQ55)*(VLOOKUP(A55,tbMoveset!A2:C112,3,FALSE)/100)*IF(VLOOKUP(A55,tbMoveset!A2:B112,2,FALSE)="Projectile",Backdoors!N10,Backdoors!N9),0),"")</f>
        <v/>
      </c>
      <c r="JS55" s="49">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45&gt;0,VLOOKUP(Calculator!E45,tbSkills!AC3:AD5,2,FALSE),Backdoors!AL3)*(IF((Backdoors!AI12+IF(JO55&gt;=0.45,VLOOKUP(Calculator!E23,tbSkills!DH3:DI6,2,FALSE)+IF(AND(Calculator!B8=TRUE,Backdoors!BI42=TRUE),VLOOKUP(Calculator!E23,tbSkills!DH3:DJ6,3,FALSE),0),0))&gt;=100,100,(Backdoors!AI12+IF(JO55&gt;=0.45,VLOOKUP(Calculator!E23,tbSkills!DH3:DI6,2,FALSE)+IF(AND(Calculator!B8=TRUE,Backdoors!BI42=TRUE),VLOOKUP(Calculator!E23,tbSkills!DH3:DJ6,3,FALSE),0),0)))/100)),1))*IF(VLOOKUP(A55,tbMoveset!A2:K112,11,FALSE)=TRUE,Backdoors!AC5,1))*JP55,0),"")</f>
        <v>0</v>
      </c>
      <c r="JT55" s="49">
        <f>VLOOKUP(A55,tbMoveset!A2:G112,7,FALSE)*IFERROR(IF(Backdoors!AI12&gt;=0,1+(IF(Calculator!E40&gt;0,VLOOKUP(Calculator!E40,tbSkills!AI3:AJ5,2,FALSE),Backdoors!AL4)*(IF((Backdoors!AI12+IF(JO55&gt;=0.45,VLOOKUP(Calculator!E23,tbSkills!DH3:DI6,2,FALSE)+IF(AND(Calculator!B8=TRUE,Backdoors!BI42=TRUE),VLOOKUP(Calculator!E23,tbSkills!DH3:DJ6,3,FALSE),0),0))&gt;=100,100,(Backdoors!AI12+IF(JO55&gt;=0.45,VLOOKUP(Calculator!E23,tbSkills!DH3:DI6,2,FALSE)+IF(AND(Calculator!B8=TRUE,Backdoors!BI42=TRUE),VLOOKUP(Calculator!E23,tbSkills!DH3:DJ6,3,FALSE),0),0)))/100)),1),1)</f>
        <v>0.8</v>
      </c>
      <c r="JU55" s="87">
        <f t="shared" si="31"/>
        <v>0</v>
      </c>
      <c r="JV55" s="86" t="str">
        <f>IFERROR(IF(VLOOKUP(A55,tbMoveset!A2:B112,2,FALSE)="Sever",Backdoors!AY43/100,IF(VLOOKUP(A55,tbMoveset!A2:B112,2,FALSE)="Blunt",Backdoors!AZ43/100,Backdoors!BA43/100)),"")</f>
        <v/>
      </c>
      <c r="JW55" s="49">
        <f>IFERROR(IF(VLOOKUP(tbMoveset!A55,tbMoveset!A2:H112,8,FALSE)="Other",IF(VLOOKUP(tbMoveset!A55,tbMoveset!A2:I112,9,FALSE)="Fire",Backdoors!BB43,IF(VLOOKUP(tbMoveset!A55,tbMoveset!A2:I112,9,FALSE)="Water",Backdoors!BC43,IF(VLOOKUP(tbMoveset!A55,tbMoveset!A2:I112,9,FALSE)="Thunder",Backdoors!BD43,IF(VLOOKUP(tbMoveset!A55,tbMoveset!A2:I112,9,FALSE)="Ice",Backdoors!BE43,IF(VLOOKUP(tbMoveset!A55,tbMoveset!A2:I112,9,FALSE)="Dragon",Backdoors!BF43,Backdoors!BG43)))))/100,Backdoors!BG43/100),"")</f>
        <v>0</v>
      </c>
      <c r="JX55" s="49">
        <f>IFERROR(IF(VLOOKUP(A55,tbMoveset!A2:J112,10,FALSE)=TRUE,IF((Backdoors!AI12+IF(JV55&gt;=0.45,VLOOKUP(Calculator!E23,tbSkills!DH3:DI6,2,FALSE)+IF(AND(Calculator!B8=TRUE,Backdoors!BI43=TRUE),VLOOKUP(Calculator!E23,tbSkills!DH3:DJ6,3,FALSE),0),0))&gt;=0,1+(Backdoors!AL2*(IF((Backdoors!AI12+IF(JV55&gt;=0.45,VLOOKUP(Calculator!E23,tbSkills!DH3:DI6,2,FALSE)+IF(AND(Calculator!B8=TRUE,Backdoors!BI43=TRUE),VLOOKUP(Calculator!E23,tbSkills!DH3:DJ6,3,FALSE),0),0))&gt;=100,100,(Backdoors!AI12+IF(JV55&gt;=0.45,VLOOKUP(Calculator!E23,tbSkills!DH3:DI6,2,FALSE)+IF(AND(Calculator!B8=TRUE,Backdoors!BI43=TRUE),VLOOKUP(Calculator!E23,tbSkills!DH3:DJ6,3,FALSE),0),0)))/100)),(1-(0.25*((-Backdoors!AI12-IF(JV55&gt;=0.45,VLOOKUP(Calculator!E23,tbSkills!DH3:DI6,2,FALSE)+IF(AND(Calculator!B8=TRUE,Backdoors!BI43=TRUE),VLOOKUP(Calculator!E23,tbSkills!DH3:DJ6,3,FALSE),0),0))/100)))),1),"")</f>
        <v>1</v>
      </c>
      <c r="JY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V55)*JX55)*(VLOOKUP(A55,tbMoveset!A2:C112,3,FALSE)/100)*IF(VLOOKUP(A55,tbMoveset!A2:B112,2,FALSE)="Projectile",Backdoors!N10,Backdoors!N9),0),"")</f>
        <v/>
      </c>
      <c r="JZ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46&gt;0,VLOOKUP(Calculator!E46,tbSkills!AC3:AD5,2,FALSE),Backdoors!AL3)*(IF((Backdoors!AI12+IF(JV55&gt;=0.45,VLOOKUP(Calculator!E23,tbSkills!DH3:DI6,2,FALSE)+IF(AND(Calculator!B8=TRUE,Backdoors!BI43=TRUE),VLOOKUP(Calculator!E23,tbSkills!DH3:DJ6,3,FALSE),0),0))&gt;=100,100,(Backdoors!AI12+IF(JV55&gt;=0.45,VLOOKUP(Calculator!E23,tbSkills!DH3:DI6,2,FALSE)+IF(AND(Calculator!B8=TRUE,Backdoors!BI43=TRUE),VLOOKUP(Calculator!E23,tbSkills!DH3:DJ6,3,FALSE),0),0)))/100)),1))*IF(VLOOKUP(A55,tbMoveset!A2:K112,11,FALSE)=TRUE,Backdoors!AC5,1))*JW55,0),"")</f>
        <v/>
      </c>
      <c r="KA55" s="49">
        <f>VLOOKUP(A55,tbMoveset!A2:G112,7,FALSE)*IFERROR(IF(Backdoors!AI12&gt;=0,1+(IF(Calculator!E40&gt;0,VLOOKUP(Calculator!E40,tbSkills!AI3:AJ5,2,FALSE),Backdoors!AL4)*(IF((Backdoors!AI12+IF(JV55&gt;=0.45,VLOOKUP(Calculator!E23,tbSkills!DH3:DI6,2,FALSE)+IF(AND(Calculator!B8=TRUE,Backdoors!BI43=TRUE),VLOOKUP(Calculator!E23,tbSkills!DH3:DJ6,3,FALSE),0),0))&gt;=100,100,(Backdoors!AI12+IF(JV55&gt;=0.45,VLOOKUP(Calculator!E23,tbSkills!DH3:DI6,2,FALSE)+IF(AND(Calculator!B8=TRUE,Backdoors!BI43=TRUE),VLOOKUP(Calculator!E23,tbSkills!DH3:DJ6,3,FALSE),0),0)))/100)),1),1)</f>
        <v>0.8</v>
      </c>
      <c r="KB55" s="87">
        <f t="shared" si="32"/>
        <v>0</v>
      </c>
      <c r="KC55" s="86" t="str">
        <f>IFERROR(IF(VLOOKUP(A55,tbMoveset!A2:B112,2,FALSE)="Sever",Backdoors!AY44/100,IF(VLOOKUP(A55,tbMoveset!A2:B112,2,FALSE)="Blunt",Backdoors!AZ44/100,Backdoors!BA44/100)),"")</f>
        <v/>
      </c>
      <c r="KD55" s="49">
        <f>IFERROR(IF(VLOOKUP(tbMoveset!A55,tbMoveset!A2:H112,8,FALSE)="Other",IF(VLOOKUP(tbMoveset!A55,tbMoveset!A2:I112,9,FALSE)="Fire",Backdoors!BB44,IF(VLOOKUP(tbMoveset!A55,tbMoveset!A2:I112,9,FALSE)="Water",Backdoors!BC44,IF(VLOOKUP(tbMoveset!A55,tbMoveset!A2:I112,9,FALSE)="Thunder",Backdoors!BD44,IF(VLOOKUP(tbMoveset!A55,tbMoveset!A2:I112,9,FALSE)="Ice",Backdoors!BE44,IF(VLOOKUP(tbMoveset!A55,tbMoveset!A2:I112,9,FALSE)="Dragon",Backdoors!BF44,Backdoors!BG44)))))/100,Backdoors!BG44/100),"")</f>
        <v>0</v>
      </c>
      <c r="KE55" s="49">
        <f>IFERROR(IF(VLOOKUP(A55,tbMoveset!A2:J112,10,FALSE)=TRUE,IF((Backdoors!AI12+IF(KC55&gt;=0.45,VLOOKUP(Calculator!E23,tbSkills!DH3:DI6,2,FALSE)+IF(AND(Calculator!B8=TRUE,Backdoors!BI44=TRUE),VLOOKUP(Calculator!E23,tbSkills!DH3:DJ6,3,FALSE),0),0))&gt;=0,1+(Backdoors!AL2*(IF((Backdoors!AI12+IF(KC55&gt;=0.45,VLOOKUP(Calculator!E23,tbSkills!DH3:DI6,2,FALSE)+IF(AND(Calculator!B8=TRUE,Backdoors!BI44=TRUE),VLOOKUP(Calculator!E23,tbSkills!DH3:DJ6,3,FALSE),0),0))&gt;=100,100,(Backdoors!AI12+IF(KC55&gt;=0.45,VLOOKUP(Calculator!E23,tbSkills!DH3:DI6,2,FALSE)+IF(AND(Calculator!B8=TRUE,Backdoors!BI44=TRUE),VLOOKUP(Calculator!E23,tbSkills!DH3:DJ6,3,FALSE),0),0)))/100)),(1-(0.25*((-Backdoors!AI12-IF(KC55&gt;=0.45,VLOOKUP(Calculator!E23,tbSkills!DH3:DI6,2,FALSE)+IF(AND(Calculator!B8=TRUE,Backdoors!BI44=TRUE),VLOOKUP(Calculator!E23,tbSkills!DH3:DJ6,3,FALSE),0),0))/100)))),1),"")</f>
        <v>1</v>
      </c>
      <c r="KF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KC55)*KE55)*(VLOOKUP(A55,tbMoveset!A2:C112,3,FALSE)/100)*IF(VLOOKUP(A55,tbMoveset!A2:B112,2,FALSE)="Projectile",Backdoors!N10,Backdoors!N9),0),"")</f>
        <v/>
      </c>
      <c r="KG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REF!&gt;0,VLOOKUP(Calculator!#REF!,tbSkills!AC3:AD5,2,FALSE),Backdoors!AL3)*(IF((Backdoors!AI12+IF(KC55&gt;=0.45,VLOOKUP(Calculator!E23,tbSkills!DH3:DI6,2,FALSE)+IF(AND(Calculator!B8=TRUE,Backdoors!BI44=TRUE),VLOOKUP(Calculator!E23,tbSkills!DH3:DJ6,3,FALSE),0),0))&gt;=100,100,(Backdoors!AI12+IF(KC55&gt;=0.45,VLOOKUP(Calculator!E23,tbSkills!DH3:DI6,2,FALSE)+IF(AND(Calculator!B8=TRUE,Backdoors!BI44=TRUE),VLOOKUP(Calculator!E23,tbSkills!DH3:DJ6,3,FALSE),0),0)))/100)),1))*IF(VLOOKUP(A55,tbMoveset!A2:K112,11,FALSE)=TRUE,Backdoors!AC5,1))*KD55,0),"")</f>
        <v/>
      </c>
      <c r="KH55" s="49">
        <f>VLOOKUP(A55,tbMoveset!A2:G112,7,FALSE)*IFERROR(IF(Backdoors!AI12&gt;=0,1+(IF(Calculator!E40&gt;0,VLOOKUP(Calculator!E40,tbSkills!AI3:AJ5,2,FALSE),Backdoors!AL4)*(IF((Backdoors!AI12+IF(KC55&gt;=0.45,VLOOKUP(Calculator!E23,tbSkills!DH3:DI6,2,FALSE)+IF(AND(Calculator!B8=TRUE,Backdoors!BI44=TRUE),VLOOKUP(Calculator!E23,tbSkills!DH3:DJ6,3,FALSE),0),0))&gt;=100,100,(Backdoors!AI12+IF(KC55&gt;=0.45,VLOOKUP(Calculator!E23,tbSkills!DH3:DI6,2,FALSE)+IF(AND(Calculator!B8=TRUE,Backdoors!BI44=TRUE),VLOOKUP(Calculator!E23,tbSkills!DH3:DJ6,3,FALSE),0),0)))/100)),1),1)</f>
        <v>0.8</v>
      </c>
      <c r="KI55" s="87">
        <f t="shared" si="33"/>
        <v>0</v>
      </c>
      <c r="KJ55" s="86" t="str">
        <f>IFERROR(IF(VLOOKUP(A55,tbMoveset!A2:B112,2,FALSE)="Sever",Backdoors!AY45/100,IF(VLOOKUP(A55,tbMoveset!A2:B112,2,FALSE)="Blunt",Backdoors!AZ45/100,Backdoors!BA45/100)),"")</f>
        <v/>
      </c>
      <c r="KK55" s="49">
        <f>IFERROR(IF(VLOOKUP(tbMoveset!A55,tbMoveset!A2:H112,8,FALSE)="Other",IF(VLOOKUP(tbMoveset!A55,tbMoveset!A2:I112,9,FALSE)="Fire",Backdoors!BB45,IF(VLOOKUP(tbMoveset!A55,tbMoveset!A2:I112,9,FALSE)="Water",Backdoors!BC45,IF(VLOOKUP(tbMoveset!A55,tbMoveset!A2:I112,9,FALSE)="Thunder",Backdoors!BD45,IF(VLOOKUP(tbMoveset!A55,tbMoveset!A2:I112,9,FALSE)="Ice",Backdoors!BE45,IF(VLOOKUP(tbMoveset!A55,tbMoveset!A2:I112,9,FALSE)="Dragon",Backdoors!BF45,Backdoors!BG45)))))/100,Backdoors!BG45/100),"")</f>
        <v>0</v>
      </c>
      <c r="KL55" s="49">
        <f>IFERROR(IF(VLOOKUP(A55,tbMoveset!A2:J112,10,FALSE)=TRUE,IF((Backdoors!AI12+IF(KJ55&gt;=0.45,VLOOKUP(Calculator!E23,tbSkills!DH3:DI6,2,FALSE)+IF(AND(Calculator!B8=TRUE,Backdoors!BI45=TRUE),VLOOKUP(Calculator!E23,tbSkills!DH3:DJ6,3,FALSE),0),0))&gt;=0,1+(Backdoors!AL2*(IF((Backdoors!AI12+IF(KJ55&gt;=0.45,VLOOKUP(Calculator!E23,tbSkills!DH3:DI6,2,FALSE)+IF(AND(Calculator!B8=TRUE,Backdoors!BI45=TRUE),VLOOKUP(Calculator!E23,tbSkills!DH3:DJ6,3,FALSE),0),0))&gt;=100,100,(Backdoors!AI12+IF(KJ55&gt;=0.45,VLOOKUP(Calculator!E23,tbSkills!DH3:DI6,2,FALSE)+IF(AND(Calculator!B8=TRUE,Backdoors!BI45=TRUE),VLOOKUP(Calculator!E23,tbSkills!DH3:DJ6,3,FALSE),0),0)))/100)),(1-(0.25*((-Backdoors!AI12-IF(KJ55&gt;=0.45,VLOOKUP(Calculator!E23,tbSkills!DH3:DI6,2,FALSE)+IF(AND(Calculator!B8=TRUE,Backdoors!BI45=TRUE),VLOOKUP(Calculator!E23,tbSkills!DH3:DJ6,3,FALSE),0),0))/100)))),1),"")</f>
        <v>1</v>
      </c>
      <c r="KM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KJ55)*KL55)*(VLOOKUP(A55,tbMoveset!A2:C112,3,FALSE)/100)*IF(VLOOKUP(A55,tbMoveset!A2:B112,2,FALSE)="Projectile",Backdoors!N10,Backdoors!N9),0),"")</f>
        <v/>
      </c>
      <c r="KN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REF!&gt;0,VLOOKUP(Calculator!#REF!,tbSkills!AC3:AD5,2,FALSE),Backdoors!AL3)*(IF((Backdoors!AI12+IF(KJ55&gt;=0.45,VLOOKUP(Calculator!E23,tbSkills!DH3:DI6,2,FALSE)+IF(AND(Calculator!B8=TRUE,Backdoors!BI45=TRUE),VLOOKUP(Calculator!E23,tbSkills!DH3:DJ6,3,FALSE),0),0))&gt;=100,100,(Backdoors!AI12+IF(KJ55&gt;=0.45,VLOOKUP(Calculator!E23,tbSkills!DH3:DI6,2,FALSE)+IF(AND(Calculator!B8=TRUE,Backdoors!BI45=TRUE),VLOOKUP(Calculator!E23,tbSkills!DH3:DJ6,3,FALSE),0),0)))/100)),1))*IF(VLOOKUP(A55,tbMoveset!A2:K112,11,FALSE)=TRUE,Backdoors!AC5,1))*KK55,0),"")</f>
        <v/>
      </c>
      <c r="KO55" s="49">
        <f>VLOOKUP(A55,tbMoveset!A2:G112,7,FALSE)*IFERROR(IF(Backdoors!AI12&gt;=0,1+(IF(Calculator!E40&gt;0,VLOOKUP(Calculator!E40,tbSkills!AI3:AJ5,2,FALSE),Backdoors!AL4)*(IF((Backdoors!AI12+IF(KJ55&gt;=0.45,VLOOKUP(Calculator!E23,tbSkills!DH3:DI6,2,FALSE)+IF(AND(Calculator!B8=TRUE,Backdoors!BI45=TRUE),VLOOKUP(Calculator!E23,tbSkills!DH3:DJ6,3,FALSE),0),0))&gt;=100,100,(Backdoors!AI12+IF(KJ55&gt;=0.45,VLOOKUP(Calculator!E23,tbSkills!DH3:DI6,2,FALSE)+IF(AND(Calculator!B8=TRUE,Backdoors!BI45=TRUE),VLOOKUP(Calculator!E23,tbSkills!DH3:DJ6,3,FALSE),0),0)))/100)),1),1)</f>
        <v>0.8</v>
      </c>
      <c r="KP55" s="87">
        <f t="shared" si="34"/>
        <v>0</v>
      </c>
      <c r="KQ55" s="86" t="str">
        <f>IFERROR(IF(VLOOKUP(A55,tbMoveset!A2:B112,2,FALSE)="Sever",Backdoors!AY46/100,IF(VLOOKUP(A55,tbMoveset!A2:B112,2,FALSE)="Blunt",Backdoors!AZ46/100,Backdoors!BA46/100)),"")</f>
        <v/>
      </c>
      <c r="KR55" s="49">
        <f>IFERROR(IF(VLOOKUP(tbMoveset!A55,tbMoveset!A2:H112,8,FALSE)="Other",IF(VLOOKUP(tbMoveset!A55,tbMoveset!A2:I112,9,FALSE)="Fire",Backdoors!BB46,IF(VLOOKUP(tbMoveset!A55,tbMoveset!A2:I112,9,FALSE)="Water",Backdoors!BC46,IF(VLOOKUP(tbMoveset!A55,tbMoveset!A2:I112,9,FALSE)="Thunder",Backdoors!BD46,IF(VLOOKUP(tbMoveset!A55,tbMoveset!A2:I112,9,FALSE)="Ice",Backdoors!BE46,IF(VLOOKUP(tbMoveset!A55,tbMoveset!A2:I112,9,FALSE)="Dragon",Backdoors!BF46,Backdoors!BG46)))))/100,Backdoors!BG46/100),"")</f>
        <v>0</v>
      </c>
      <c r="KS55" s="49">
        <f>IFERROR(IF(VLOOKUP(A55,tbMoveset!A2:J112,10,FALSE)=TRUE,IF((Backdoors!AI12+IF(KQ55&gt;=0.45,VLOOKUP(Calculator!E23,tbSkills!DH3:DI6,2,FALSE)+IF(AND(Calculator!B8=TRUE,Backdoors!BI46=TRUE),VLOOKUP(Calculator!E23,tbSkills!DH3:DJ6,3,FALSE),0),0))&gt;=0,1+(Backdoors!AL2*(IF((Backdoors!AI12+IF(KQ55&gt;=0.45,VLOOKUP(Calculator!E23,tbSkills!DH3:DI6,2,FALSE)+IF(AND(Calculator!B8=TRUE,Backdoors!BI46=TRUE),VLOOKUP(Calculator!E23,tbSkills!DH3:DJ6,3,FALSE),0),0))&gt;=100,100,(Backdoors!AI12+IF(KQ55&gt;=0.45,VLOOKUP(Calculator!E23,tbSkills!DH3:DI6,2,FALSE)+IF(AND(Calculator!B8=TRUE,Backdoors!BI46=TRUE),VLOOKUP(Calculator!E23,tbSkills!DH3:DJ6,3,FALSE),0),0)))/100)),(1-(0.25*((-Backdoors!AI12-IF(KQ55&gt;=0.45,VLOOKUP(Calculator!E23,tbSkills!DH3:DI6,2,FALSE)+IF(AND(Calculator!B8=TRUE,Backdoors!BI46=TRUE),VLOOKUP(Calculator!E23,tbSkills!DH3:DJ6,3,FALSE),0),0))/100)))),1),"")</f>
        <v>1</v>
      </c>
      <c r="KT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KQ55)*KS55)*(VLOOKUP(A55,tbMoveset!A2:C112,3,FALSE)/100)*IF(VLOOKUP(A55,tbMoveset!A2:B112,2,FALSE)="Projectile",Backdoors!N10,Backdoors!N9),0),"")</f>
        <v/>
      </c>
      <c r="KU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REF!&gt;0,VLOOKUP(Calculator!#REF!,tbSkills!AC3:AD5,2,FALSE),Backdoors!AL3)*(IF((Backdoors!AI12+IF(KQ55&gt;=0.45,VLOOKUP(Calculator!E23,tbSkills!DH3:DI6,2,FALSE)+IF(AND(Calculator!B8=TRUE,Backdoors!BI46=TRUE),VLOOKUP(Calculator!E23,tbSkills!DH3:DJ6,3,FALSE),0),0))&gt;=100,100,(Backdoors!AI12+IF(KQ55&gt;=0.45,VLOOKUP(Calculator!E23,tbSkills!DH3:DI6,2,FALSE)+IF(AND(Calculator!B8=TRUE,Backdoors!BI46=TRUE),VLOOKUP(Calculator!E23,tbSkills!DH3:DJ6,3,FALSE),0),0)))/100)),1))*IF(VLOOKUP(A55,tbMoveset!A2:K112,11,FALSE)=TRUE,Backdoors!AC5,1))*KR55,0),"")</f>
        <v/>
      </c>
      <c r="KV55" s="49">
        <f>VLOOKUP(A55,tbMoveset!A2:G112,7,FALSE)*IFERROR(IF(Backdoors!AI12&gt;=0,1+(IF(Calculator!E40&gt;0,VLOOKUP(Calculator!E40,tbSkills!AI3:AJ5,2,FALSE),Backdoors!AL4)*(IF((Backdoors!AI12+IF(KQ55&gt;=0.45,VLOOKUP(Calculator!E23,tbSkills!DH3:DI6,2,FALSE)+IF(AND(Calculator!B8=TRUE,Backdoors!BI46=TRUE),VLOOKUP(Calculator!E23,tbSkills!DH3:DJ6,3,FALSE),0),0))&gt;=100,100,(Backdoors!AI12+IF(KQ55&gt;=0.45,VLOOKUP(Calculator!E23,tbSkills!DH3:DI6,2,FALSE)+IF(AND(Calculator!B8=TRUE,Backdoors!BI46=TRUE),VLOOKUP(Calculator!E23,tbSkills!DH3:DJ6,3,FALSE),0),0)))/100)),1),1)</f>
        <v>0.8</v>
      </c>
      <c r="KW55" s="87">
        <f t="shared" si="35"/>
        <v>0</v>
      </c>
    </row>
    <row r="56" spans="1:309" x14ac:dyDescent="0.25">
      <c r="A56" s="95" t="str">
        <f>tbMoveset!A56</f>
        <v>Blade Dance (R1)</v>
      </c>
      <c r="B56" s="86">
        <f>IFERROR(IF(VLOOKUP(A56,tbMoveset!A2:B112,2,FALSE)="Sever",Backdoors!AY3/100,IF(VLOOKUP(A56,tbMoveset!A2:B112,2,FALSE)="Blunt",Backdoors!AZ3/100,Backdoors!BA3/100)),"")</f>
        <v>0.8</v>
      </c>
      <c r="C56" s="49">
        <f>IFERROR(IF(VLOOKUP(tbMoveset!A56,tbMoveset!A2:H112,8,FALSE)="Other",IF(VLOOKUP(tbMoveset!A56,tbMoveset!A2:I112,9,FALSE)="Fire",Backdoors!BB3,IF(VLOOKUP(tbMoveset!A56,tbMoveset!A2:I112,9,FALSE)="Water",Backdoors!BC3,IF(VLOOKUP(tbMoveset!A56,tbMoveset!A2:I112,9,FALSE)="Thunder",Backdoors!BD3,IF(VLOOKUP(tbMoveset!A56,tbMoveset!A2:I112,9,FALSE)="Ice",Backdoors!BE3,IF(VLOOKUP(tbMoveset!A56,tbMoveset!A2:I112,9,FALSE)="Dragon",Backdoors!BF3,Backdoors!BG3)))))/100,Backdoors!BG3/100),"")</f>
        <v>0</v>
      </c>
      <c r="D56" s="49">
        <f>IFERROR(IF(VLOOKUP(A56,tbMoveset!A2:J112,10,FALSE)=TRUE,IF((Backdoors!AI12+IF(B56&gt;=0.45,VLOOKUP(Calculator!E23,tbSkills!DH3:DI6,2,FALSE)+IF(AND(Calculator!B8=TRUE,Backdoors!BI3=TRUE),VLOOKUP(Calculator!E23,tbSkills!DH3:DJ6,3,FALSE),0),0))&gt;=0,1+(Backdoors!AL2*(IF((Backdoors!AI12+IF(B56&gt;=0.45,VLOOKUP(Calculator!E23,tbSkills!DH3:DI6,2,FALSE)+IF(AND(Calculator!B8=TRUE,Backdoors!BI3=TRUE),VLOOKUP(Calculator!E23,tbSkills!DH3:DJ6,3,FALSE),0),0))&gt;=100,100,(Backdoors!AI12+IF(B56&gt;=0.45,VLOOKUP(Calculator!E23,tbSkills!DH3:DI6,2,FALSE)+IF(AND(Calculator!B8=TRUE,Backdoors!BI3=TRUE),VLOOKUP(Calculator!E23,tbSkills!DH3:DJ6,3,FALSE),0),0)))/100)),(1-(0.25*((-Backdoors!AI12-IF(B56&gt;=0.45,VLOOKUP(Calculator!E23,tbSkills!DH3:DI6,2,FALSE)+IF(AND(Calculator!B8=TRUE,Backdoors!BI3=TRUE),VLOOKUP(Calculator!E23,tbSkills!DH3:DJ6,3,FALSE),0),0))/100)))),1),"")</f>
        <v>1</v>
      </c>
      <c r="E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56)*D56)*(VLOOKUP(A56,tbMoveset!A2:C112,3,FALSE)/100)*IF(VLOOKUP(A56,tbMoveset!A2:B112,2,FALSE)="Projectile",Backdoors!N10,Backdoors!N9),0),"")</f>
        <v>11</v>
      </c>
      <c r="F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56&gt;=0.45,VLOOKUP(Calculator!E23,tbSkills!DH3:DI6,2,FALSE)+IF(AND(Calculator!B8=TRUE,Backdoors!BI3=TRUE),VLOOKUP(Calculator!E23,tbSkills!DH3:DJ6,3,FALSE),0),0))&gt;=100,100,(Backdoors!AI12+IF(B56&gt;=0.45,VLOOKUP(Calculator!E23,tbSkills!DH3:DI6,2,FALSE)+IF(AND(Calculator!B8=TRUE,Backdoors!BI3=TRUE),VLOOKUP(Calculator!E23,tbSkills!DH3:DJ6,3,FALSE),0),0)))/100)),1))*IF(VLOOKUP(A56,tbMoveset!A2:K112,11,FALSE)=TRUE,Backdoors!AC5,1))*C56,0),"")</f>
        <v>0</v>
      </c>
      <c r="G56">
        <f>VLOOKUP(A56,tbMoveset!A2:G112,7,FALSE)*IFERROR(IF(Backdoors!AI12&gt;=0,1+(IF(Calculator!E40&gt;0,VLOOKUP(Calculator!E40,tbSkills!AI3:AJ5,2,FALSE),Backdoors!AL4)*(IF((Backdoors!AI12+IF(B56&gt;=0.45,VLOOKUP(Calculator!E23,tbSkills!DH3:DI6,2,FALSE)+IF(AND(Calculator!B8=TRUE,Backdoors!BI3=TRUE),VLOOKUP(Calculator!E23,tbSkills!DH3:DJ6,3,FALSE),0),0))&gt;=100,100,(Backdoors!AI12+IF(B56&gt;=0.45,VLOOKUP(Calculator!E23,tbSkills!DH3:DI6,2,FALSE)+IF(AND(Calculator!B8=TRUE,Backdoors!BI3=TRUE),VLOOKUP(Calculator!E23,tbSkills!DH3:DJ6,3,FALSE),0),0)))/100)),1),1)</f>
        <v>0.8</v>
      </c>
      <c r="H56" s="87">
        <f t="shared" si="44"/>
        <v>11</v>
      </c>
      <c r="I56" s="86">
        <f>IFERROR(IF(VLOOKUP(A56,tbMoveset!A2:B112,2,FALSE)="Sever",Backdoors!AY4/100,IF(VLOOKUP(A56,tbMoveset!A2:B112,2,FALSE)="Blunt",Backdoors!AZ4/100,Backdoors!BA4/100)),"")</f>
        <v>0.65</v>
      </c>
      <c r="J56" s="49">
        <f>IFERROR(IF(VLOOKUP(tbMoveset!A56,tbMoveset!A2:H112,8,FALSE)="Other",IF(VLOOKUP(tbMoveset!A56,tbMoveset!A2:I112,9,FALSE)="Fire",Backdoors!BB4,IF(VLOOKUP(tbMoveset!A56,tbMoveset!A2:I112,9,FALSE)="Water",Backdoors!BC4,IF(VLOOKUP(tbMoveset!A56,tbMoveset!A2:I112,9,FALSE)="Thunder",Backdoors!BD4,IF(VLOOKUP(tbMoveset!A56,tbMoveset!A2:I112,9,FALSE)="Ice",Backdoors!BE4,IF(VLOOKUP(tbMoveset!A56,tbMoveset!A2:I112,9,FALSE)="Dragon",Backdoors!BF4,Backdoors!BG4)))))/100,Backdoors!BG4/100),"")</f>
        <v>0</v>
      </c>
      <c r="K56" s="49">
        <f>IFERROR(IF(VLOOKUP(A56,tbMoveset!A2:J112,10,FALSE)=TRUE,IF((Backdoors!AI12+IF(I56&gt;=0.45,VLOOKUP(Calculator!E23,tbSkills!DH3:DI6,2,FALSE)+IF(AND(Calculator!B8=TRUE,Backdoors!BI4=TRUE),VLOOKUP(Calculator!E23,tbSkills!DH3:DJ6,3,FALSE),0),0))&gt;=0,1+(Backdoors!AL2*(IF((Backdoors!AI12+IF(I56&gt;=0.45,VLOOKUP(Calculator!E23,tbSkills!DH3:DI6,2,FALSE)+IF(AND(Calculator!B8=TRUE,Backdoors!BI4=TRUE),VLOOKUP(Calculator!E23,tbSkills!DH3:DJ6,3,FALSE),0),0))&gt;=100,100,(Backdoors!AI12+IF(I56&gt;=0.45,VLOOKUP(Calculator!E23,tbSkills!DH3:DI6,2,FALSE)+IF(AND(Calculator!B8=TRUE,Backdoors!BI4=TRUE),VLOOKUP(Calculator!E23,tbSkills!DH3:DJ6,3,FALSE),0),0)))/100)),(1-(0.25*((-Backdoors!AI12-IF(I56&gt;=0.45,VLOOKUP(Calculator!E23,tbSkills!DH3:DI6,2,FALSE)+IF(AND(Calculator!B8=TRUE,Backdoors!BI4=TRUE),VLOOKUP(Calculator!E23,tbSkills!DH3:DJ6,3,FALSE),0),0))/100)))),1),"")</f>
        <v>1</v>
      </c>
      <c r="L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56)*K56)*(VLOOKUP(A56,tbMoveset!A2:C112,3,FALSE)/100)*IF(VLOOKUP(A56,tbMoveset!A2:B112,2,FALSE)="Projectile",Backdoors!N10,Backdoors!N9),0),"")</f>
        <v>9</v>
      </c>
      <c r="M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I56&gt;=0.45,VLOOKUP(Calculator!E23,tbSkills!DH3:DI6,2,FALSE)+IF(AND(Calculator!B8=TRUE,Backdoors!BI4=TRUE),VLOOKUP(Calculator!E23,tbSkills!DH3:DJ6,3,FALSE),0),0))&gt;=100,100,(Backdoors!AI12+IF(I56&gt;=0.45,VLOOKUP(Calculator!E23,tbSkills!DH3:DI6,2,FALSE)+IF(AND(Calculator!B8=TRUE,Backdoors!BI4=TRUE),VLOOKUP(Calculator!E23,tbSkills!DH3:DJ6,3,FALSE),0),0)))/100)),1))*IF(VLOOKUP(A56,tbMoveset!A2:K112,11,FALSE)=TRUE,Backdoors!AC5,1))*J56,0),"")</f>
        <v>0</v>
      </c>
      <c r="N56" s="49">
        <f>VLOOKUP(A56,tbMoveset!A2:G112,7,FALSE)*IFERROR(IF(Backdoors!AI12&gt;=0,1+(IF(Calculator!E40&gt;0,VLOOKUP(Calculator!E40,tbSkills!AI3:AJ5,2,FALSE),Backdoors!AL4)*(IF((Backdoors!AI12+IF(I56&gt;=0.45,VLOOKUP(Calculator!E23,tbSkills!DH3:DI6,2,FALSE)+IF(AND(Calculator!B8=TRUE,Backdoors!BI4=TRUE),VLOOKUP(Calculator!E23,tbSkills!DH3:DJ6,3,FALSE),0),0))&gt;=100,100,(Backdoors!AI12+IF(I56&gt;=0.45,VLOOKUP(Calculator!E23,tbSkills!DH3:DI6,2,FALSE)+IF(AND(Calculator!B8=TRUE,Backdoors!BI4=TRUE),VLOOKUP(Calculator!E23,tbSkills!DH3:DJ6,3,FALSE),0),0)))/100)),1),1)</f>
        <v>0.8</v>
      </c>
      <c r="O56" s="87">
        <f t="shared" si="45"/>
        <v>9</v>
      </c>
      <c r="P56" s="86">
        <f>IFERROR(IF(VLOOKUP(A56,tbMoveset!A2:B112,2,FALSE)="Sever",Backdoors!AY5/100,IF(VLOOKUP(A56,tbMoveset!A2:B112,2,FALSE)="Blunt",Backdoors!AZ5/100,Backdoors!BA5/100)),"")</f>
        <v>0.5</v>
      </c>
      <c r="Q56" s="49">
        <f>IFERROR(IF(VLOOKUP(tbMoveset!A56,tbMoveset!A2:H112,8,FALSE)="Other",IF(VLOOKUP(tbMoveset!A56,tbMoveset!A2:I112,9,FALSE)="Fire",Backdoors!BB5,IF(VLOOKUP(tbMoveset!A56,tbMoveset!A2:I112,9,FALSE)="Water",Backdoors!BC5,IF(VLOOKUP(tbMoveset!A56,tbMoveset!A2:I112,9,FALSE)="Thunder",Backdoors!BD5,IF(VLOOKUP(tbMoveset!A56,tbMoveset!A2:I112,9,FALSE)="Ice",Backdoors!BE5,IF(VLOOKUP(tbMoveset!A56,tbMoveset!A2:I112,9,FALSE)="Dragon",Backdoors!BF5,Backdoors!BG5)))))/100,Backdoors!BG5/100),"")</f>
        <v>0</v>
      </c>
      <c r="R56" s="49">
        <f>IFERROR(IF(VLOOKUP(A56,tbMoveset!A2:J112,10,FALSE)=TRUE,IF((Backdoors!AI12+IF(P56&gt;=0.45,VLOOKUP(Calculator!E23,tbSkills!DH3:DI6,2,FALSE)+IF(AND(Calculator!B8=TRUE,Backdoors!BI5=TRUE),VLOOKUP(Calculator!E23,tbSkills!DH3:DJ6,3,FALSE),0),0))&gt;=0,1+(Backdoors!AL2*(IF((Backdoors!AI12+IF(P56&gt;=0.45,VLOOKUP(Calculator!E23,tbSkills!DH3:DI6,2,FALSE)+IF(AND(Calculator!B8=TRUE,Backdoors!BI5=TRUE),VLOOKUP(Calculator!E23,tbSkills!DH3:DJ6,3,FALSE),0),0))&gt;=100,100,(Backdoors!AI12+IF(P56&gt;=0.45,VLOOKUP(Calculator!E23,tbSkills!DH3:DI6,2,FALSE)+IF(AND(Calculator!B8=TRUE,Backdoors!BI5=TRUE),VLOOKUP(Calculator!E23,tbSkills!DH3:DJ6,3,FALSE),0),0)))/100)),(1-(0.25*((-Backdoors!AI12-IF(P56&gt;=0.45,VLOOKUP(Calculator!E23,tbSkills!DH3:DI6,2,FALSE)+IF(AND(Calculator!B8=TRUE,Backdoors!BI5=TRUE),VLOOKUP(Calculator!E23,tbSkills!DH3:DJ6,3,FALSE),0),0))/100)))),1),"")</f>
        <v>1</v>
      </c>
      <c r="S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P56)*R56)*(VLOOKUP(A56,tbMoveset!A2:C112,3,FALSE)/100)*IF(VLOOKUP(A56,tbMoveset!A2:B112,2,FALSE)="Projectile",Backdoors!N10,Backdoors!N9),0),"")</f>
        <v>7</v>
      </c>
      <c r="T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P56&gt;=0.45,VLOOKUP(Calculator!E23,tbSkills!DH3:DI6,2,FALSE)+IF(AND(Calculator!B8=TRUE,Backdoors!BI5=TRUE),VLOOKUP(Calculator!E23,tbSkills!DH3:DJ6,3,FALSE),0),0))&gt;=100,100,(Backdoors!AI12+IF(P56&gt;=0.45,VLOOKUP(Calculator!E23,tbSkills!DH3:DI6,2,FALSE)+IF(AND(Calculator!B8=TRUE,Backdoors!BI5=TRUE),VLOOKUP(Calculator!E23,tbSkills!DH3:DJ6,3,FALSE),0),0)))/100)),1))*IF(VLOOKUP(A56,tbMoveset!A2:K112,11,FALSE)=TRUE,Backdoors!AC5,1))*Q56,0),"")</f>
        <v>0</v>
      </c>
      <c r="U56" s="49">
        <f>VLOOKUP(A56,tbMoveset!A2:G112,7,FALSE)*IFERROR(IF(Backdoors!AI12&gt;=0,1+(IF(Calculator!E40&gt;0,VLOOKUP(Calculator!E40,tbSkills!AI3:AJ5,2,FALSE),Backdoors!AL4)*(IF((Backdoors!AI12+IF(P56&gt;=0.45,VLOOKUP(Calculator!E23,tbSkills!DH3:DI6,2,FALSE)+IF(AND(Calculator!B8=TRUE,Backdoors!BI5=TRUE),VLOOKUP(Calculator!E23,tbSkills!DH3:DJ6,3,FALSE),0),0))&gt;=100,100,(Backdoors!AI12+IF(P56&gt;=0.45,VLOOKUP(Calculator!E23,tbSkills!DH3:DI6,2,FALSE)+IF(AND(Calculator!B8=TRUE,Backdoors!BI5=TRUE),VLOOKUP(Calculator!E23,tbSkills!DH3:DJ6,3,FALSE),0),0)))/100)),1),1)</f>
        <v>0.8</v>
      </c>
      <c r="V56" s="87">
        <f t="shared" si="46"/>
        <v>7</v>
      </c>
      <c r="W56" s="86">
        <f>IFERROR(IF(VLOOKUP(A56,tbMoveset!A2:B112,2,FALSE)="Sever",Backdoors!AY6/100,IF(VLOOKUP(A56,tbMoveset!A2:B112,2,FALSE)="Blunt",Backdoors!AZ6/100,Backdoors!BA6/100)),"")</f>
        <v>0.45</v>
      </c>
      <c r="X56" s="49">
        <f>IFERROR(IF(VLOOKUP(tbMoveset!A56,tbMoveset!A2:H112,8,FALSE)="Other",IF(VLOOKUP(tbMoveset!A56,tbMoveset!A2:I112,9,FALSE)="Fire",Backdoors!BB6,IF(VLOOKUP(tbMoveset!A56,tbMoveset!A2:I112,9,FALSE)="Water",Backdoors!BC6,IF(VLOOKUP(tbMoveset!A56,tbMoveset!A2:I112,9,FALSE)="Thunder",Backdoors!BD6,IF(VLOOKUP(tbMoveset!A56,tbMoveset!A2:I112,9,FALSE)="Ice",Backdoors!BE6,IF(VLOOKUP(tbMoveset!A56,tbMoveset!A2:I112,9,FALSE)="Dragon",Backdoors!BF6,Backdoors!BG6)))))/100,Backdoors!BG6/100),"")</f>
        <v>0</v>
      </c>
      <c r="Y56" s="49">
        <f>IFERROR(IF(VLOOKUP(A56,tbMoveset!A2:J112,10,FALSE)=TRUE,IF((Backdoors!AI12+IF(W56&gt;=0.45,VLOOKUP(Calculator!E23,tbSkills!DH3:DI6,2,FALSE)+IF(AND(Calculator!B8=TRUE,Backdoors!BI6=TRUE),VLOOKUP(Calculator!E23,tbSkills!DH3:DJ6,3,FALSE),0),0))&gt;=0,1+(Backdoors!AL2*(IF((Backdoors!AI12+IF(W56&gt;=0.45,VLOOKUP(Calculator!E23,tbSkills!DH3:DI6,2,FALSE)+IF(AND(Calculator!B8=TRUE,Backdoors!BI6=TRUE),VLOOKUP(Calculator!E23,tbSkills!DH3:DJ6,3,FALSE),0),0))&gt;=100,100,(Backdoors!AI12+IF(W56&gt;=0.45,VLOOKUP(Calculator!E23,tbSkills!DH3:DI6,2,FALSE)+IF(AND(Calculator!B8=TRUE,Backdoors!BI6=TRUE),VLOOKUP(Calculator!E23,tbSkills!DH3:DJ6,3,FALSE),0),0)))/100)),(1-(0.25*((-Backdoors!AI12-IF(W56&gt;=0.45,VLOOKUP(Calculator!E23,tbSkills!DH3:DI6,2,FALSE)+IF(AND(Calculator!B8=TRUE,Backdoors!BI6=TRUE),VLOOKUP(Calculator!E23,tbSkills!DH3:DJ6,3,FALSE),0),0))/100)))),1),"")</f>
        <v>1</v>
      </c>
      <c r="Z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W56)*Y56)*(VLOOKUP(A56,tbMoveset!A2:C112,3,FALSE)/100)*IF(VLOOKUP(A56,tbMoveset!A2:B112,2,FALSE)="Projectile",Backdoors!N10,Backdoors!N9),0),"")</f>
        <v>6</v>
      </c>
      <c r="AA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W56&gt;=0.45,VLOOKUP(Calculator!E23,tbSkills!DH3:DI6,2,FALSE)+IF(AND(Calculator!B8=TRUE,Backdoors!BI6=TRUE),VLOOKUP(Calculator!E23,tbSkills!DH3:DJ6,3,FALSE),0),0))&gt;=100,100,(Backdoors!AI12+IF(W56&gt;=0.45,VLOOKUP(Calculator!E23,tbSkills!DH3:DI6,2,FALSE)+IF(AND(Calculator!B8=TRUE,Backdoors!BI6=TRUE),VLOOKUP(Calculator!E23,tbSkills!DH3:DJ6,3,FALSE),0),0)))/100)),1))*IF(VLOOKUP(A56,tbMoveset!A2:K112,11,FALSE)=TRUE,Backdoors!AC5,1))*X56,0),"")</f>
        <v>0</v>
      </c>
      <c r="AB56" s="49">
        <f>VLOOKUP(A56,tbMoveset!A2:G112,7,FALSE)*IFERROR(IF(Backdoors!AI12&gt;=0,1+(IF(Calculator!E40&gt;0,VLOOKUP(Calculator!E40,tbSkills!AI3:AJ5,2,FALSE),Backdoors!AL4)*(IF((Backdoors!AI12+IF(W56&gt;=0.45,VLOOKUP(Calculator!E23,tbSkills!DH3:DI6,2,FALSE)+IF(AND(Calculator!B8=TRUE,Backdoors!BI6=TRUE),VLOOKUP(Calculator!E23,tbSkills!DH3:DJ6,3,FALSE),0),0))&gt;=100,100,(Backdoors!AI12+IF(W56&gt;=0.45,VLOOKUP(Calculator!E23,tbSkills!DH3:DI6,2,FALSE)+IF(AND(Calculator!B8=TRUE,Backdoors!BI6=TRUE),VLOOKUP(Calculator!E23,tbSkills!DH3:DJ6,3,FALSE),0),0)))/100)),1),1)</f>
        <v>0.8</v>
      </c>
      <c r="AC56" s="87">
        <f t="shared" si="47"/>
        <v>6</v>
      </c>
      <c r="AD56" s="86">
        <f>IFERROR(IF(VLOOKUP(A56,tbMoveset!A2:B112,2,FALSE)="Sever",Backdoors!AY7/100,IF(VLOOKUP(A56,tbMoveset!A2:B112,2,FALSE)="Blunt",Backdoors!AZ7/100,Backdoors!BA7/100)),"")</f>
        <v>0.65</v>
      </c>
      <c r="AE56" s="49">
        <f>IFERROR(IF(VLOOKUP(tbMoveset!A56,tbMoveset!A2:H112,8,FALSE)="Other",IF(VLOOKUP(tbMoveset!A56,tbMoveset!A2:I112,9,FALSE)="Fire",Backdoors!BB7,IF(VLOOKUP(tbMoveset!A56,tbMoveset!A2:I112,9,FALSE)="Water",Backdoors!BC7,IF(VLOOKUP(tbMoveset!A56,tbMoveset!A2:I112,9,FALSE)="Thunder",Backdoors!BD7,IF(VLOOKUP(tbMoveset!A56,tbMoveset!A2:I112,9,FALSE)="Ice",Backdoors!BE7,IF(VLOOKUP(tbMoveset!A56,tbMoveset!A2:I112,9,FALSE)="Dragon",Backdoors!BF7,Backdoors!BG7)))))/100,Backdoors!BG7/100),"")</f>
        <v>0</v>
      </c>
      <c r="AF56" s="49">
        <f>IFERROR(IF(VLOOKUP(A56,tbMoveset!A2:J112,10,FALSE)=TRUE,IF((Backdoors!AI12+IF(AD56&gt;=0.45,VLOOKUP(Calculator!E23,tbSkills!DH3:DI6,2,FALSE)+IF(AND(Calculator!B8=TRUE,Backdoors!BI7=TRUE),VLOOKUP(Calculator!E23,tbSkills!DH3:DJ6,3,FALSE),0),0))&gt;=0,1+(Backdoors!AL2*(IF((Backdoors!AI12+IF(AD56&gt;=0.45,VLOOKUP(Calculator!E23,tbSkills!DH3:DI6,2,FALSE)+IF(AND(Calculator!B8=TRUE,Backdoors!BI7=TRUE),VLOOKUP(Calculator!E23,tbSkills!DH3:DJ6,3,FALSE),0),0))&gt;=100,100,(Backdoors!AI12+IF(AD56&gt;=0.45,VLOOKUP(Calculator!E23,tbSkills!DH3:DI6,2,FALSE)+IF(AND(Calculator!B8=TRUE,Backdoors!BI7=TRUE),VLOOKUP(Calculator!E23,tbSkills!DH3:DJ6,3,FALSE),0),0)))/100)),(1-(0.25*((-Backdoors!AI12-IF(AD56&gt;=0.45,VLOOKUP(Calculator!E23,tbSkills!DH3:DI6,2,FALSE)+IF(AND(Calculator!B8=TRUE,Backdoors!BI7=TRUE),VLOOKUP(Calculator!E23,tbSkills!DH3:DJ6,3,FALSE),0),0))/100)))),1),"")</f>
        <v>1</v>
      </c>
      <c r="AG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D56)*AF56)*(VLOOKUP(A56,tbMoveset!A2:C112,3,FALSE)/100)*IF(VLOOKUP(A56,tbMoveset!A2:B112,2,FALSE)="Projectile",Backdoors!N10,Backdoors!N9),0),"")</f>
        <v>9</v>
      </c>
      <c r="AH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D56&gt;=0.45,VLOOKUP(Calculator!E23,tbSkills!DH3:DI6,2,FALSE)+IF(AND(Calculator!B8=TRUE,Backdoors!BI7=TRUE),VLOOKUP(Calculator!E23,tbSkills!DH3:DJ6,3,FALSE),0),0))&gt;=100,100,(Backdoors!AI12+IF(AD56&gt;=0.45,VLOOKUP(Calculator!E23,tbSkills!DH3:DI6,2,FALSE)+IF(AND(Calculator!B8=TRUE,Backdoors!BI7=TRUE),VLOOKUP(Calculator!E23,tbSkills!DH3:DJ6,3,FALSE),0),0)))/100)),1))*IF(VLOOKUP(A56,tbMoveset!A2:K112,11,FALSE)=TRUE,Backdoors!AC5,1))*AE56,0),"")</f>
        <v>0</v>
      </c>
      <c r="AI56" s="49">
        <f>VLOOKUP(A56,tbMoveset!A2:G112,7,FALSE)*IFERROR(IF(Backdoors!AI12&gt;=0,1+(IF(Calculator!E40&gt;0,VLOOKUP(Calculator!E40,tbSkills!AI3:AJ5,2,FALSE),Backdoors!AL4)*(IF((Backdoors!AI12+IF(AD56&gt;=0.45,VLOOKUP(Calculator!E23,tbSkills!DH3:DI6,2,FALSE)+IF(AND(Calculator!B8=TRUE,Backdoors!BI7=TRUE),VLOOKUP(Calculator!E23,tbSkills!DH3:DJ6,3,FALSE),0),0))&gt;=100,100,(Backdoors!AI12+IF(AD56&gt;=0.45,VLOOKUP(Calculator!E23,tbSkills!DH3:DI6,2,FALSE)+IF(AND(Calculator!B8=TRUE,Backdoors!BI7=TRUE),VLOOKUP(Calculator!E23,tbSkills!DH3:DJ6,3,FALSE),0),0)))/100)),1),1)</f>
        <v>0.8</v>
      </c>
      <c r="AJ56" s="87">
        <f t="shared" si="48"/>
        <v>9</v>
      </c>
      <c r="AK56" s="91">
        <f>IFERROR(IF(VLOOKUP(A56,tbMoveset!A2:B112,2,FALSE)="Sever",Backdoors!AY8/100,IF(VLOOKUP(A56,tbMoveset!A2:B112,2,FALSE)="Blunt",Backdoors!AZ8/100,Backdoors!BA8/100)),"")</f>
        <v>0.45</v>
      </c>
      <c r="AL56" s="49">
        <f>IFERROR(IF(VLOOKUP(tbMoveset!A56,tbMoveset!A2:H112,8,FALSE)="Other",IF(VLOOKUP(tbMoveset!A56,tbMoveset!A2:I112,9,FALSE)="Fire",Backdoors!BB8,IF(VLOOKUP(tbMoveset!A56,tbMoveset!A2:I112,9,FALSE)="Water",Backdoors!BC8,IF(VLOOKUP(tbMoveset!A56,tbMoveset!A2:I112,9,FALSE)="Thunder",Backdoors!BD8,IF(VLOOKUP(tbMoveset!A56,tbMoveset!A2:I112,9,FALSE)="Ice",Backdoors!BE8,IF(VLOOKUP(tbMoveset!A56,tbMoveset!A2:I112,9,FALSE)="Dragon",Backdoors!BF8,Backdoors!BG8)))))/100,Backdoors!BG8/100),"")</f>
        <v>0</v>
      </c>
      <c r="AM56" s="49">
        <f>IFERROR(IF(VLOOKUP(A56,tbMoveset!A2:J112,10,FALSE)=TRUE,IF((Backdoors!AI12+IF(AK56&gt;=0.45,VLOOKUP(Calculator!E23,tbSkills!DH3:DI6,2,FALSE)+IF(AND(Calculator!B8=TRUE,Backdoors!BI8=TRUE),VLOOKUP(Calculator!E23,tbSkills!DH3:DJ6,3,FALSE),0),0))&gt;=0,1+(Backdoors!AL2*(IF((Backdoors!AI12+IF(AK56&gt;=0.45,VLOOKUP(Calculator!E23,tbSkills!DH3:DI6,2,FALSE)+IF(AND(Calculator!B8=TRUE,Backdoors!BI8=TRUE),VLOOKUP(Calculator!E23,tbSkills!DH3:DJ6,3,FALSE),0),0))&gt;=100,100,(Backdoors!AI12+IF(AK56&gt;=0.45,VLOOKUP(Calculator!E23,tbSkills!DH3:DI6,2,FALSE)+IF(AND(Calculator!B8=TRUE,Backdoors!BI8=TRUE),VLOOKUP(Calculator!E23,tbSkills!DH3:DJ6,3,FALSE),0),0)))/100)),(1-(0.25*((-Backdoors!AI12-IF(AK56&gt;=0.45,VLOOKUP(Calculator!E23,tbSkills!DH3:DI6,2,FALSE)+IF(AND(Calculator!B8=TRUE,Backdoors!BI8=TRUE),VLOOKUP(Calculator!E23,tbSkills!DH3:DJ6,3,FALSE),0),0))/100)))),1),"")</f>
        <v>1</v>
      </c>
      <c r="AN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K56)*AM56)*(VLOOKUP(A56,tbMoveset!A2:C112,3,FALSE)/100)*IF(VLOOKUP(A56,tbMoveset!A2:B112,2,FALSE)="Projectile",Backdoors!N10,Backdoors!N9),0),"")</f>
        <v>6</v>
      </c>
      <c r="AO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K56&gt;=0.45,VLOOKUP(Calculator!E23,tbSkills!DH3:DI6,2,FALSE)+IF(AND(Calculator!B8=TRUE,Backdoors!BI8=TRUE),VLOOKUP(Calculator!E23,tbSkills!DH3:DJ6,3,FALSE),0),0))&gt;=100,100,(Backdoors!AI12+IF(AK56&gt;=0.45,VLOOKUP(Calculator!E23,tbSkills!DH3:DI6,2,FALSE)+IF(AND(Calculator!B8=TRUE,Backdoors!BI8=TRUE),VLOOKUP(Calculator!E23,tbSkills!DH3:DJ6,3,FALSE),0),0)))/100)),1))*IF(VLOOKUP(A56,tbMoveset!A2:K112,11,FALSE)=TRUE,Backdoors!AC5,1))*AL56,0),"")</f>
        <v>0</v>
      </c>
      <c r="AP56" s="49">
        <f>VLOOKUP(A56,tbMoveset!A2:G112,7,FALSE)*IFERROR(IF(Backdoors!AI12&gt;=0,1+(IF(Calculator!E40&gt;0,VLOOKUP(Calculator!E40,tbSkills!AI3:AJ5,2,FALSE),Backdoors!AL4)*(IF((Backdoors!AI12+IF(AK56&gt;=0.45,VLOOKUP(Calculator!E23,tbSkills!DH3:DI6,2,FALSE)+IF(AND(Calculator!B8=TRUE,Backdoors!BI8=TRUE),VLOOKUP(Calculator!E23,tbSkills!DH3:DJ6,3,FALSE),0),0))&gt;=100,100,(Backdoors!AI12+IF(AK56&gt;=0.45,VLOOKUP(Calculator!E23,tbSkills!DH3:DI6,2,FALSE)+IF(AND(Calculator!B8=TRUE,Backdoors!BI8=TRUE),VLOOKUP(Calculator!E23,tbSkills!DH3:DJ6,3,FALSE),0),0)))/100)),1),1)</f>
        <v>0.8</v>
      </c>
      <c r="AQ56" s="87">
        <f t="shared" si="49"/>
        <v>6</v>
      </c>
      <c r="AR56" s="86">
        <f>IFERROR(IF(VLOOKUP(A56,tbMoveset!A2:B112,2,FALSE)="Sever",Backdoors!AY9/100,IF(VLOOKUP(A56,tbMoveset!A2:B112,2,FALSE)="Blunt",Backdoors!AZ9/100,Backdoors!BA9/100)),"")</f>
        <v>0.45</v>
      </c>
      <c r="AS56" s="49">
        <f>IFERROR(IF(VLOOKUP(tbMoveset!A56,tbMoveset!A2:H112,8,FALSE)="Other",IF(VLOOKUP(tbMoveset!A56,tbMoveset!A2:I112,9,FALSE)="Fire",Backdoors!BB9,IF(VLOOKUP(tbMoveset!A56,tbMoveset!A2:I112,9,FALSE)="Water",Backdoors!BC9,IF(VLOOKUP(tbMoveset!A56,tbMoveset!A2:I112,9,FALSE)="Thunder",Backdoors!BD9,IF(VLOOKUP(tbMoveset!A56,tbMoveset!A2:I112,9,FALSE)="Ice",Backdoors!BE9,IF(VLOOKUP(tbMoveset!A56,tbMoveset!A2:I112,9,FALSE)="Dragon",Backdoors!BF9,Backdoors!BG9)))))/100,Backdoors!BG9/100),"")</f>
        <v>0</v>
      </c>
      <c r="AT56" s="49">
        <f>IFERROR(IF(VLOOKUP(A56,tbMoveset!A2:J112,10,FALSE)=TRUE,IF((Backdoors!AI12+IF(AR56&gt;=0.45,VLOOKUP(Calculator!E23,tbSkills!DH3:DI6,2,FALSE)+IF(AND(Calculator!B8=TRUE,Backdoors!BI9=TRUE),VLOOKUP(Calculator!E23,tbSkills!DH3:DJ6,3,FALSE),0),0))&gt;=0,1+(Backdoors!AL2*(IF((Backdoors!AI12+IF(AR56&gt;=0.45,VLOOKUP(Calculator!E23,tbSkills!DH3:DI6,2,FALSE)+IF(AND(Calculator!B8=TRUE,Backdoors!BI9=TRUE),VLOOKUP(Calculator!E23,tbSkills!DH3:DJ6,3,FALSE),0),0))&gt;=100,100,(Backdoors!AI12+IF(AR56&gt;=0.45,VLOOKUP(Calculator!E23,tbSkills!DH3:DI6,2,FALSE)+IF(AND(Calculator!B8=TRUE,Backdoors!BI9=TRUE),VLOOKUP(Calculator!E23,tbSkills!DH3:DJ6,3,FALSE),0),0)))/100)),(1-(0.25*((-Backdoors!AI12-IF(AR56&gt;=0.45,VLOOKUP(Calculator!E23,tbSkills!DH3:DI6,2,FALSE)+IF(AND(Calculator!B8=TRUE,Backdoors!BI9=TRUE),VLOOKUP(Calculator!E23,tbSkills!DH3:DJ6,3,FALSE),0),0))/100)))),1),"")</f>
        <v>1</v>
      </c>
      <c r="AU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R56)*AT56)*(VLOOKUP(A56,tbMoveset!A2:C112,3,FALSE)/100)*IF(VLOOKUP(A56,tbMoveset!A2:B112,2,FALSE)="Projectile",Backdoors!N10,Backdoors!N9),0),"")</f>
        <v>6</v>
      </c>
      <c r="AV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R56&gt;=0.45,VLOOKUP(Calculator!E23,tbSkills!DH3:DI6,2,FALSE)+IF(AND(Calculator!B8=TRUE,Backdoors!BI9=TRUE),VLOOKUP(Calculator!E23,tbSkills!DH3:DJ6,3,FALSE),0),0))&gt;=100,100,(Backdoors!AI12+IF(AR56&gt;=0.45,VLOOKUP(Calculator!E23,tbSkills!DH3:DI6,2,FALSE)+IF(AND(Calculator!B8=TRUE,Backdoors!BI9=TRUE),VLOOKUP(Calculator!E23,tbSkills!DH3:DJ6,3,FALSE),0),0)))/100)),1))*IF(VLOOKUP(A56,tbMoveset!A2:K112,11,FALSE)=TRUE,Backdoors!AC5,1))*AS56,0),"")</f>
        <v>0</v>
      </c>
      <c r="AW56" s="49">
        <f>VLOOKUP(A56,tbMoveset!A2:G112,7,FALSE)*IFERROR(IF(Backdoors!AI12&gt;=0,1+(IF(Calculator!E40&gt;0,VLOOKUP(Calculator!E40,tbSkills!AI3:AJ5,2,FALSE),Backdoors!AL4)*(IF((Backdoors!AI12+IF(AR56&gt;=0.45,VLOOKUP(Calculator!E23,tbSkills!DH3:DI6,2,FALSE)+IF(AND(Calculator!B8=TRUE,Backdoors!BI9=TRUE),VLOOKUP(Calculator!E23,tbSkills!DH3:DJ6,3,FALSE),0),0))&gt;=100,100,(Backdoors!AI12+IF(AR56&gt;=0.45,VLOOKUP(Calculator!E23,tbSkills!DH3:DI6,2,FALSE)+IF(AND(Calculator!B8=TRUE,Backdoors!BI9=TRUE),VLOOKUP(Calculator!E23,tbSkills!DH3:DJ6,3,FALSE),0),0)))/100)),1),1)</f>
        <v>0.8</v>
      </c>
      <c r="AX56" s="87">
        <f t="shared" si="50"/>
        <v>6</v>
      </c>
      <c r="AY56" s="86">
        <f>IFERROR(IF(VLOOKUP(A56,tbMoveset!A2:B112,2,FALSE)="Sever",Backdoors!AY10/100,IF(VLOOKUP(A56,tbMoveset!A2:B112,2,FALSE)="Blunt",Backdoors!AZ10/100,Backdoors!BA10/100)),"")</f>
        <v>0.9</v>
      </c>
      <c r="AZ56" s="49">
        <f>IFERROR(IF(VLOOKUP(tbMoveset!A56,tbMoveset!A2:H112,8,FALSE)="Other",IF(VLOOKUP(tbMoveset!A56,tbMoveset!A2:I112,9,FALSE)="Fire",Backdoors!BB10,IF(VLOOKUP(tbMoveset!A56,tbMoveset!A2:I112,9,FALSE)="Water",Backdoors!BC10,IF(VLOOKUP(tbMoveset!A56,tbMoveset!A2:I112,9,FALSE)="Thunder",Backdoors!BD10,IF(VLOOKUP(tbMoveset!A56,tbMoveset!A2:I112,9,FALSE)="Ice",Backdoors!BE10,IF(VLOOKUP(tbMoveset!A56,tbMoveset!A2:I112,9,FALSE)="Dragon",Backdoors!BF10,Backdoors!BG10)))))/100,Backdoors!BG10/100),"")</f>
        <v>0</v>
      </c>
      <c r="BA56" s="49">
        <f>IFERROR(IF(VLOOKUP(A56,tbMoveset!A2:J112,10,FALSE)=TRUE,IF((Backdoors!AI12+IF(AY56&gt;=0.45,VLOOKUP(Calculator!E23,tbSkills!DH3:DI6,2,FALSE)+IF(AND(Calculator!B8=TRUE,Backdoors!BI10=TRUE),VLOOKUP(Calculator!E23,tbSkills!DH3:DJ6,3,FALSE),0),0))&gt;=0,1+(Backdoors!AL2*(IF((Backdoors!AI12+IF(AY56&gt;=0.45,VLOOKUP(Calculator!E23,tbSkills!DH3:DI6,2,FALSE)+IF(AND(Calculator!B8=TRUE,Backdoors!BI10=TRUE),VLOOKUP(Calculator!E23,tbSkills!DH3:DJ6,3,FALSE),0),0))&gt;=100,100,(Backdoors!AI12+IF(AY56&gt;=0.45,VLOOKUP(Calculator!E23,tbSkills!DH3:DI6,2,FALSE)+IF(AND(Calculator!B8=TRUE,Backdoors!BI10=TRUE),VLOOKUP(Calculator!E23,tbSkills!DH3:DJ6,3,FALSE),0),0)))/100)),(1-(0.25*((-Backdoors!AI12-IF(AY56&gt;=0.45,VLOOKUP(Calculator!E23,tbSkills!DH3:DI6,2,FALSE)+IF(AND(Calculator!B8=TRUE,Backdoors!BI10=TRUE),VLOOKUP(Calculator!E23,tbSkills!DH3:DJ6,3,FALSE),0),0))/100)))),1),"")</f>
        <v>1</v>
      </c>
      <c r="BB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Y56)*BA56)*(VLOOKUP(A56,tbMoveset!A2:C112,3,FALSE)/100)*IF(VLOOKUP(A56,tbMoveset!A2:B112,2,FALSE)="Projectile",Backdoors!N10,Backdoors!N9),0),"")</f>
        <v>13</v>
      </c>
      <c r="BC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Y56&gt;=0.45,VLOOKUP(Calculator!E23,tbSkills!DH3:DI6,2,FALSE)+IF(AND(Calculator!B8=TRUE,Backdoors!BI10=TRUE),VLOOKUP(Calculator!E23,tbSkills!DH3:DJ6,3,FALSE),0),0))&gt;=100,100,(Backdoors!AI12+IF(AY56&gt;=0.45,VLOOKUP(Calculator!E23,tbSkills!DH3:DI6,2,FALSE)+IF(AND(Calculator!B8=TRUE,Backdoors!BI10=TRUE),VLOOKUP(Calculator!E23,tbSkills!DH3:DJ6,3,FALSE),0),0)))/100)),1))*IF(VLOOKUP(A56,tbMoveset!A2:K112,11,FALSE)=TRUE,Backdoors!AC5,1))*AZ56,0),"")</f>
        <v>0</v>
      </c>
      <c r="BD56" s="49">
        <f>VLOOKUP(A56,tbMoveset!A2:G112,7,FALSE)*IFERROR(IF(Backdoors!AI12&gt;=0,1+(IF(Calculator!E40&gt;0,VLOOKUP(Calculator!E40,tbSkills!AI3:AJ5,2,FALSE),Backdoors!AL4)*(IF((Backdoors!AI12+IF(AY56&gt;=0.45,VLOOKUP(Calculator!E23,tbSkills!DH3:DI6,2,FALSE)+IF(AND(Calculator!B8=TRUE,Backdoors!BI10=TRUE),VLOOKUP(Calculator!E23,tbSkills!DH3:DJ6,3,FALSE),0),0))&gt;=100,100,(Backdoors!AI12+IF(AY56&gt;=0.45,VLOOKUP(Calculator!E23,tbSkills!DH3:DI6,2,FALSE)+IF(AND(Calculator!B8=TRUE,Backdoors!BI10=TRUE),VLOOKUP(Calculator!E23,tbSkills!DH3:DJ6,3,FALSE),0),0)))/100)),1),1)</f>
        <v>0.8</v>
      </c>
      <c r="BE56" s="87">
        <f t="shared" si="3"/>
        <v>13</v>
      </c>
      <c r="BF56" s="86" t="str">
        <f>IFERROR(IF(VLOOKUP(A56,tbMoveset!A2:B112,2,FALSE)="Sever",Backdoors!AY11/100,IF(VLOOKUP(A56,tbMoveset!A2:B112,2,FALSE)="Blunt",Backdoors!AZ11/100,Backdoors!BA11/100)),"")</f>
        <v/>
      </c>
      <c r="BG56" s="49">
        <f>IFERROR(IF(VLOOKUP(tbMoveset!A56,tbMoveset!A2:H112,8,FALSE)="Other",IF(VLOOKUP(tbMoveset!A56,tbMoveset!A2:I112,9,FALSE)="Fire",Backdoors!BB11,IF(VLOOKUP(tbMoveset!A56,tbMoveset!A2:I112,9,FALSE)="Water",Backdoors!BC11,IF(VLOOKUP(tbMoveset!A56,tbMoveset!A2:I112,9,FALSE)="Thunder",Backdoors!BD11,IF(VLOOKUP(tbMoveset!A56,tbMoveset!A2:I112,9,FALSE)="Ice",Backdoors!BE11,IF(VLOOKUP(tbMoveset!A56,tbMoveset!A2:I112,9,FALSE)="Dragon",Backdoors!BF11,Backdoors!BG11)))))/100,Backdoors!BG11/100),"")</f>
        <v>0</v>
      </c>
      <c r="BH56" s="49">
        <f>IFERROR(IF(VLOOKUP(A56,tbMoveset!A2:J112,10,FALSE)=TRUE,IF((Backdoors!AI12+IF(BF56&gt;=0.45,VLOOKUP(Calculator!E23,tbSkills!DH3:DI6,2,FALSE)+IF(AND(Calculator!B8=TRUE,Backdoors!BI11=TRUE),VLOOKUP(Calculator!E23,tbSkills!DH3:DJ6,3,FALSE),0),0))&gt;=0,1+(Backdoors!AL2*(IF((Backdoors!AI12+IF(BF56&gt;=0.45,VLOOKUP(Calculator!E23,tbSkills!DH3:DI6,2,FALSE)+IF(AND(Calculator!B8=TRUE,Backdoors!BI11=TRUE),VLOOKUP(Calculator!E23,tbSkills!DH3:DJ6,3,FALSE),0),0))&gt;=100,100,(Backdoors!AI12+IF(BF56&gt;=0.45,VLOOKUP(Calculator!E23,tbSkills!DH3:DI6,2,FALSE)+IF(AND(Calculator!B8=TRUE,Backdoors!BI11=TRUE),VLOOKUP(Calculator!E23,tbSkills!DH3:DJ6,3,FALSE),0),0)))/100)),(1-(0.25*((-Backdoors!AI12-IF(BF56&gt;=0.45,VLOOKUP(Calculator!E23,tbSkills!DH3:DI6,2,FALSE)+IF(AND(Calculator!B8=TRUE,Backdoors!BI11=TRUE),VLOOKUP(Calculator!E23,tbSkills!DH3:DJ6,3,FALSE),0),0))/100)))),1),"")</f>
        <v>1</v>
      </c>
      <c r="BI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F56)*BH56)*(VLOOKUP(A56,tbMoveset!A2:C112,3,FALSE)/100)*IF(VLOOKUP(A56,tbMoveset!A2:B112,2,FALSE)="Projectile",Backdoors!N10,Backdoors!N9),0),"")</f>
        <v/>
      </c>
      <c r="BJ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F56&gt;=0.45,VLOOKUP(Calculator!E23,tbSkills!DH3:DI6,2,FALSE)+IF(AND(Calculator!B8=TRUE,Backdoors!BI11=TRUE),VLOOKUP(Calculator!E23,tbSkills!DH3:DJ6,3,FALSE),0),0))&gt;=100,100,(Backdoors!AI12+IF(BF56&gt;=0.45,VLOOKUP(Calculator!E23,tbSkills!DH3:DI6,2,FALSE)+IF(AND(Calculator!B8=TRUE,Backdoors!BI11=TRUE),VLOOKUP(Calculator!E23,tbSkills!DH3:DJ6,3,FALSE),0),0)))/100)),1))*IF(VLOOKUP(A56,tbMoveset!A2:K112,11,FALSE)=TRUE,Backdoors!AC5,1))*BG56,0),"")</f>
        <v>0</v>
      </c>
      <c r="BK56" s="49">
        <f>VLOOKUP(A56,tbMoveset!A2:G112,7,FALSE)*IFERROR(IF(Backdoors!AI12&gt;=0,1+(IF(Calculator!E40&gt;0,VLOOKUP(Calculator!E40,tbSkills!AI3:AJ5,2,FALSE),Backdoors!AL4)*(IF((Backdoors!AI12+IF(BF56&gt;=0.45,VLOOKUP(Calculator!E23,tbSkills!DH3:DI6,2,FALSE)+IF(AND(Calculator!B8=TRUE,Backdoors!BI11=TRUE),VLOOKUP(Calculator!E23,tbSkills!DH3:DJ6,3,FALSE),0),0))&gt;=100,100,(Backdoors!AI12+IF(BF56&gt;=0.45,VLOOKUP(Calculator!E23,tbSkills!DH3:DI6,2,FALSE)+IF(AND(Calculator!B8=TRUE,Backdoors!BI11=TRUE),VLOOKUP(Calculator!E23,tbSkills!DH3:DJ6,3,FALSE),0),0)))/100)),1),1)</f>
        <v>0.8</v>
      </c>
      <c r="BL56" s="87">
        <f t="shared" si="4"/>
        <v>0</v>
      </c>
      <c r="BM56" s="86" t="str">
        <f>IFERROR(IF(VLOOKUP(A56,tbMoveset!A2:B112,2,FALSE)="Sever",Backdoors!AY12/100,IF(VLOOKUP(A56,tbMoveset!A2:B112,2,FALSE)="Blunt",Backdoors!AZ12/100,Backdoors!BA12/100)),"")</f>
        <v/>
      </c>
      <c r="BN56" s="49">
        <f>IFERROR(IF(VLOOKUP(tbMoveset!A56,tbMoveset!A2:H112,8,FALSE)="Other",IF(VLOOKUP(tbMoveset!A56,tbMoveset!A2:I112,9,FALSE)="Fire",Backdoors!BB12,IF(VLOOKUP(tbMoveset!A56,tbMoveset!A2:I112,9,FALSE)="Water",Backdoors!BC12,IF(VLOOKUP(tbMoveset!A56,tbMoveset!A2:I112,9,FALSE)="Thunder",Backdoors!BD12,IF(VLOOKUP(tbMoveset!A56,tbMoveset!A2:I112,9,FALSE)="Ice",Backdoors!BE12,IF(VLOOKUP(tbMoveset!A56,tbMoveset!A2:I112,9,FALSE)="Dragon",Backdoors!BF12,Backdoors!BG12)))))/100,Backdoors!BG12/100),"")</f>
        <v>0</v>
      </c>
      <c r="BO56" s="49">
        <f>IFERROR(IF(VLOOKUP(A56,tbMoveset!A2:J112,10,FALSE)=TRUE,IF((Backdoors!AI12+IF(BM56&gt;=0.45,VLOOKUP(Calculator!E23,tbSkills!DH3:DI6,2,FALSE)+IF(AND(Calculator!B8=TRUE,Backdoors!BI12=TRUE),VLOOKUP(Calculator!E23,tbSkills!DH3:DJ6,3,FALSE),0),0))&gt;=0,1+(Backdoors!AL2*(IF((Backdoors!AI12+IF(BM56&gt;=0.45,VLOOKUP(Calculator!E23,tbSkills!DH3:DI6,2,FALSE)+IF(AND(Calculator!B8=TRUE,Backdoors!BI12=TRUE),VLOOKUP(Calculator!E23,tbSkills!DH3:DJ6,3,FALSE),0),0))&gt;=100,100,(Backdoors!AI12+IF(BM56&gt;=0.45,VLOOKUP(Calculator!E23,tbSkills!DH3:DI6,2,FALSE)+IF(AND(Calculator!B8=TRUE,Backdoors!BI12=TRUE),VLOOKUP(Calculator!E23,tbSkills!DH3:DJ6,3,FALSE),0),0)))/100)),(1-(0.25*((-Backdoors!AI12-IF(BM56&gt;=0.45,VLOOKUP(Calculator!E23,tbSkills!DH3:DI6,2,FALSE)+IF(AND(Calculator!B8=TRUE,Backdoors!BI12=TRUE),VLOOKUP(Calculator!E23,tbSkills!DH3:DJ6,3,FALSE),0),0))/100)))),1),"")</f>
        <v>1</v>
      </c>
      <c r="BP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M56)*BO56)*(VLOOKUP(A56,tbMoveset!A2:C112,3,FALSE)/100)*IF(VLOOKUP(A56,tbMoveset!A2:B112,2,FALSE)="Projectile",Backdoors!N10,Backdoors!N9),0),"")</f>
        <v/>
      </c>
      <c r="BQ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M56&gt;=0.45,VLOOKUP(Calculator!E23,tbSkills!DH3:DI6,2,FALSE)+IF(AND(Calculator!B8=TRUE,Backdoors!BI12=TRUE),VLOOKUP(Calculator!E23,tbSkills!DH3:DJ6,3,FALSE),0),0))&gt;=100,100,(Backdoors!AI12+IF(BM56&gt;=0.45,VLOOKUP(Calculator!E23,tbSkills!DH3:DI6,2,FALSE)+IF(AND(Calculator!B8=TRUE,Backdoors!BI12=TRUE),VLOOKUP(Calculator!E23,tbSkills!DH3:DJ6,3,FALSE),0),0)))/100)),1))*IF(VLOOKUP(A56,tbMoveset!A2:K112,11,FALSE)=TRUE,Backdoors!AC5,1))*BN56,0),"")</f>
        <v>0</v>
      </c>
      <c r="BR56" s="49">
        <f>VLOOKUP(A56,tbMoveset!A2:G112,7,FALSE)*IFERROR(IF(Backdoors!AI12&gt;=0,1+(IF(Calculator!E40&gt;0,VLOOKUP(Calculator!E40,tbSkills!AI3:AJ5,2,FALSE),Backdoors!AL4)*(IF((Backdoors!AI12+IF(BM56&gt;=0.45,VLOOKUP(Calculator!E23,tbSkills!DH3:DI6,2,FALSE)+IF(AND(Calculator!B8=TRUE,Backdoors!BI12=TRUE),VLOOKUP(Calculator!E23,tbSkills!DH3:DJ6,3,FALSE),0),0))&gt;=100,100,(Backdoors!AI12+IF(BM56&gt;=0.45,VLOOKUP(Calculator!E23,tbSkills!DH3:DI6,2,FALSE)+IF(AND(Calculator!B8=TRUE,Backdoors!BI12=TRUE),VLOOKUP(Calculator!E23,tbSkills!DH3:DJ6,3,FALSE),0),0)))/100)),1),1)</f>
        <v>0.8</v>
      </c>
      <c r="BS56" s="87">
        <f t="shared" si="39"/>
        <v>0</v>
      </c>
      <c r="BT56" s="86" t="str">
        <f>IFERROR(IF(VLOOKUP(A56,tbMoveset!A2:B112,2,FALSE)="Sever",Backdoors!AY13/100,IF(VLOOKUP(A56,tbMoveset!A2:B112,2,FALSE)="Blunt",Backdoors!AZ13/100,Backdoors!BA13/100)),"")</f>
        <v/>
      </c>
      <c r="BU56" s="49">
        <f>IFERROR(IF(VLOOKUP(tbMoveset!A56,tbMoveset!A2:H112,8,FALSE)="Other",IF(VLOOKUP(tbMoveset!A56,tbMoveset!A2:I112,9,FALSE)="Fire",Backdoors!BB13,IF(VLOOKUP(tbMoveset!A56,tbMoveset!A2:I112,9,FALSE)="Water",Backdoors!BC13,IF(VLOOKUP(tbMoveset!A56,tbMoveset!A2:I112,9,FALSE)="Thunder",Backdoors!BD13,IF(VLOOKUP(tbMoveset!A56,tbMoveset!A2:I112,9,FALSE)="Ice",Backdoors!BE13,IF(VLOOKUP(tbMoveset!A56,tbMoveset!A2:I112,9,FALSE)="Dragon",Backdoors!BF13,Backdoors!BG13)))))/100,Backdoors!BG13/100),"")</f>
        <v>0</v>
      </c>
      <c r="BV56" s="49">
        <f>IFERROR(IF(VLOOKUP(A56,tbMoveset!A2:J112,10,FALSE)=TRUE,IF((Backdoors!AI12+IF(BT56&gt;=0.45,VLOOKUP(Calculator!E23,tbSkills!DH3:DI6,2,FALSE)+IF(AND(Calculator!B8=TRUE,Backdoors!BI13=TRUE),VLOOKUP(Calculator!E23,tbSkills!DH3:DJ6,3,FALSE),0),0))&gt;=0,1+(Backdoors!AL2*(IF((Backdoors!AI12+IF(BT56&gt;=0.45,VLOOKUP(Calculator!E23,tbSkills!DH3:DI6,2,FALSE)+IF(AND(Calculator!B8=TRUE,Backdoors!BI13=TRUE),VLOOKUP(Calculator!E23,tbSkills!DH3:DJ6,3,FALSE),0),0))&gt;=100,100,(Backdoors!AI12+IF(BT56&gt;=0.45,VLOOKUP(Calculator!E23,tbSkills!DH3:DI6,2,FALSE)+IF(AND(Calculator!B8=TRUE,Backdoors!BI13=TRUE),VLOOKUP(Calculator!E23,tbSkills!DH3:DJ6,3,FALSE),0),0)))/100)),(1-(0.25*((-Backdoors!AI12-IF(BT56&gt;=0.45,VLOOKUP(Calculator!E23,tbSkills!DH3:DI6,2,FALSE)+IF(AND(Calculator!B8=TRUE,Backdoors!BI13=TRUE),VLOOKUP(Calculator!E23,tbSkills!DH3:DJ6,3,FALSE),0),0))/100)))),1),"")</f>
        <v>1</v>
      </c>
      <c r="BW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T56)*BV56)*(VLOOKUP(A56,tbMoveset!A2:C112,3,FALSE)/100)*IF(VLOOKUP(A56,tbMoveset!A2:B112,2,FALSE)="Projectile",Backdoors!N10,Backdoors!N9),0),"")</f>
        <v/>
      </c>
      <c r="BX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T56&gt;=0.45,VLOOKUP(Calculator!E23,tbSkills!DH3:DI6,2,FALSE)+IF(AND(Calculator!B8=TRUE,Backdoors!BI13=TRUE),VLOOKUP(Calculator!E23,tbSkills!DH3:DJ6,3,FALSE),0),0))&gt;=100,100,(Backdoors!AI12+IF(BT56&gt;=0.45,VLOOKUP(Calculator!E23,tbSkills!DH3:DI6,2,FALSE)+IF(AND(Calculator!B8=TRUE,Backdoors!BI13=TRUE),VLOOKUP(Calculator!E23,tbSkills!DH3:DJ6,3,FALSE),0),0)))/100)),1))*IF(VLOOKUP(A56,tbMoveset!A2:K112,11,FALSE)=TRUE,Backdoors!AC5,1))*BU56,0),"")</f>
        <v>0</v>
      </c>
      <c r="BY56" s="49">
        <f>VLOOKUP(A56,tbMoveset!A2:G112,7,FALSE)*IFERROR(IF(Backdoors!AI12&gt;=0,1+(IF(Calculator!E40&gt;0,VLOOKUP(Calculator!E40,tbSkills!AI3:AJ5,2,FALSE),Backdoors!AL4)*(IF((Backdoors!AI12+IF(BT56&gt;=0.45,VLOOKUP(Calculator!E23,tbSkills!DH3:DI6,2,FALSE)+IF(AND(Calculator!B8=TRUE,Backdoors!BI13=TRUE),VLOOKUP(Calculator!E23,tbSkills!DH3:DJ6,3,FALSE),0),0))&gt;=100,100,(Backdoors!AI12+IF(BT56&gt;=0.45,VLOOKUP(Calculator!E23,tbSkills!DH3:DI6,2,FALSE)+IF(AND(Calculator!B8=TRUE,Backdoors!BI13=TRUE),VLOOKUP(Calculator!E23,tbSkills!DH3:DJ6,3,FALSE),0),0)))/100)),1),1)</f>
        <v>0.8</v>
      </c>
      <c r="BZ56" s="87">
        <f t="shared" si="5"/>
        <v>0</v>
      </c>
      <c r="CA56" s="86" t="str">
        <f>IFERROR(IF(VLOOKUP(A56,tbMoveset!A2:B112,2,FALSE)="Sever",Backdoors!AY14/100,IF(VLOOKUP(A56,tbMoveset!A2:B112,2,FALSE)="Blunt",Backdoors!AZ14/100,Backdoors!BA14/100)),"")</f>
        <v/>
      </c>
      <c r="CB56" s="49">
        <f>IFERROR(IF(VLOOKUP(tbMoveset!A56,tbMoveset!A2:H112,8,FALSE)="Other",IF(VLOOKUP(tbMoveset!A56,tbMoveset!A2:I112,9,FALSE)="Fire",Backdoors!BB14,IF(VLOOKUP(tbMoveset!A56,tbMoveset!A2:I112,9,FALSE)="Water",Backdoors!BC14,IF(VLOOKUP(tbMoveset!A56,tbMoveset!A2:I112,9,FALSE)="Thunder",Backdoors!BD14,IF(VLOOKUP(tbMoveset!A56,tbMoveset!A2:I112,9,FALSE)="Ice",Backdoors!BE14,IF(VLOOKUP(tbMoveset!A56,tbMoveset!A2:I112,9,FALSE)="Dragon",Backdoors!BF14,Backdoors!BG14)))))/100,Backdoors!BG14/100),"")</f>
        <v>0</v>
      </c>
      <c r="CC56" s="49">
        <f>IFERROR(IF(VLOOKUP(A56,tbMoveset!A2:J112,10,FALSE)=TRUE,IF((Backdoors!AI12+IF(CA56&gt;=0.45,VLOOKUP(Calculator!E23,tbSkills!DH3:DI6,2,FALSE)+IF(AND(Calculator!B8=TRUE,Backdoors!BI14=TRUE),VLOOKUP(Calculator!E23,tbSkills!DH3:DJ6,3,FALSE),0),0))&gt;=0,1+(Backdoors!AL2*(IF((Backdoors!AI12+IF(CA56&gt;=0.45,VLOOKUP(Calculator!E23,tbSkills!DH3:DI6,2,FALSE)+IF(AND(Calculator!B8=TRUE,Backdoors!BI14=TRUE),VLOOKUP(Calculator!E23,tbSkills!DH3:DJ6,3,FALSE),0),0))&gt;=100,100,(Backdoors!AI12+IF(CA56&gt;=0.45,VLOOKUP(Calculator!E23,tbSkills!DH3:DI6,2,FALSE)+IF(AND(Calculator!B8=TRUE,Backdoors!BI14=TRUE),VLOOKUP(Calculator!E23,tbSkills!DH3:DJ6,3,FALSE),0),0)))/100)),(1-(0.25*((-Backdoors!AI12-IF(CA56&gt;=0.45,VLOOKUP(Calculator!E23,tbSkills!DH3:DI6,2,FALSE)+IF(AND(Calculator!B8=TRUE,Backdoors!BI14=TRUE),VLOOKUP(Calculator!E23,tbSkills!DH3:DJ6,3,FALSE),0),0))/100)))),1),"")</f>
        <v>1</v>
      </c>
      <c r="CD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A56)*CC56)*(VLOOKUP(A56,tbMoveset!A2:C112,3,FALSE)/100)*IF(VLOOKUP(A56,tbMoveset!A2:B112,2,FALSE)="Projectile",Backdoors!N10,Backdoors!N9),0),"")</f>
        <v/>
      </c>
      <c r="CE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A56&gt;=0.45,VLOOKUP(Calculator!E23,tbSkills!DH3:DI6,2,FALSE)+IF(AND(Calculator!B8=TRUE,Backdoors!BI14=TRUE),VLOOKUP(Calculator!E23,tbSkills!DH3:DJ6,3,FALSE),0),0))&gt;=100,100,(Backdoors!AI12+IF(CA56&gt;=0.45,VLOOKUP(Calculator!E23,tbSkills!DH3:DI6,2,FALSE)+IF(AND(Calculator!B8=TRUE,Backdoors!BI14=TRUE),VLOOKUP(Calculator!E23,tbSkills!DH3:DJ6,3,FALSE),0),0)))/100)),1))*IF(VLOOKUP(A56,tbMoveset!A2:K112,11,FALSE)=TRUE,Backdoors!AC5,1))*CB56,0),"")</f>
        <v>0</v>
      </c>
      <c r="CF56" s="49">
        <f>VLOOKUP(A56,tbMoveset!A2:G112,7,FALSE)*IFERROR(IF(Backdoors!AI12&gt;=0,1+(IF(Calculator!E40&gt;0,VLOOKUP(Calculator!E40,tbSkills!AI3:AJ5,2,FALSE),Backdoors!AL4)*(IF((Backdoors!AI12+IF(CA56&gt;=0.45,VLOOKUP(Calculator!E23,tbSkills!DH3:DI6,2,FALSE)+IF(AND(Calculator!B8=TRUE,Backdoors!BI14=TRUE),VLOOKUP(Calculator!E23,tbSkills!DH3:DJ6,3,FALSE),0),0))&gt;=100,100,(Backdoors!AI12+IF(CA56&gt;=0.45,VLOOKUP(Calculator!E23,tbSkills!DH3:DI6,2,FALSE)+IF(AND(Calculator!B8=TRUE,Backdoors!BI14=TRUE),VLOOKUP(Calculator!E23,tbSkills!DH3:DJ6,3,FALSE),0),0)))/100)),1),1)</f>
        <v>0.8</v>
      </c>
      <c r="CG56" s="87">
        <f t="shared" si="6"/>
        <v>0</v>
      </c>
      <c r="CH56" s="86" t="str">
        <f>IFERROR(IF(VLOOKUP(A56,tbMoveset!A2:B112,2,FALSE)="Sever",Backdoors!AY15/100,IF(VLOOKUP(A56,tbMoveset!A2:B112,2,FALSE)="Blunt",Backdoors!AZ15/100,Backdoors!BA15/100)),"")</f>
        <v/>
      </c>
      <c r="CI56" s="49">
        <f>IFERROR(IF(VLOOKUP(tbMoveset!A56,tbMoveset!A2:H112,8,FALSE)="Other",IF(VLOOKUP(tbMoveset!A56,tbMoveset!A2:I112,9,FALSE)="Fire",Backdoors!BB15,IF(VLOOKUP(tbMoveset!A56,tbMoveset!A2:I112,9,FALSE)="Water",Backdoors!BC15,IF(VLOOKUP(tbMoveset!A56,tbMoveset!A2:I112,9,FALSE)="Thunder",Backdoors!BD15,IF(VLOOKUP(tbMoveset!A56,tbMoveset!A2:I112,9,FALSE)="Ice",Backdoors!BE15,IF(VLOOKUP(tbMoveset!A56,tbMoveset!A2:I112,9,FALSE)="Dragon",Backdoors!BF15,Backdoors!BG15)))))/100,Backdoors!BG15/100),"")</f>
        <v>0</v>
      </c>
      <c r="CJ56" s="49">
        <f>IFERROR(IF(VLOOKUP(A56,tbMoveset!A2:J112,10,FALSE)=TRUE,IF((Backdoors!AI12+IF(CH56&gt;=0.45,VLOOKUP(Calculator!E23,tbSkills!DH3:DI6,2,FALSE)+IF(AND(Calculator!B8=TRUE,Backdoors!BI15=TRUE),VLOOKUP(Calculator!E23,tbSkills!DH3:DJ6,3,FALSE),0),0))&gt;=0,1+(Backdoors!AL2*(IF((Backdoors!AI12+IF(CH56&gt;=0.45,VLOOKUP(Calculator!E23,tbSkills!DH3:DI6,2,FALSE)+IF(AND(Calculator!B8=TRUE,Backdoors!BI15=TRUE),VLOOKUP(Calculator!E23,tbSkills!DH3:DJ6,3,FALSE),0),0))&gt;=100,100,(Backdoors!AI12+IF(CH56&gt;=0.45,VLOOKUP(Calculator!E23,tbSkills!DH3:DI6,2,FALSE)+IF(AND(Calculator!B8=TRUE,Backdoors!BI15=TRUE),VLOOKUP(Calculator!E23,tbSkills!DH3:DJ6,3,FALSE),0),0)))/100)),(1-(0.25*((-Backdoors!AI12-IF(CH56&gt;=0.45,VLOOKUP(Calculator!E23,tbSkills!DH3:DI6,2,FALSE)+IF(AND(Calculator!B8=TRUE,Backdoors!BI15=TRUE),VLOOKUP(Calculator!E23,tbSkills!DH3:DJ6,3,FALSE),0),0))/100)))),1),"")</f>
        <v>1</v>
      </c>
      <c r="CK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H56)*CJ56)*(VLOOKUP(A56,tbMoveset!A2:C112,3,FALSE)/100)*IF(VLOOKUP(A56,tbMoveset!A2:B112,2,FALSE)="Projectile",Backdoors!N10,Backdoors!N9),0),"")</f>
        <v/>
      </c>
      <c r="CL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H56&gt;=0.45,VLOOKUP(Calculator!E23,tbSkills!DH3:DI6,2,FALSE)+IF(AND(Calculator!B8=TRUE,Backdoors!BI15=TRUE),VLOOKUP(Calculator!E23,tbSkills!DH3:DJ6,3,FALSE),0),0))&gt;=100,100,(Backdoors!AI12+IF(CH56&gt;=0.45,VLOOKUP(Calculator!E23,tbSkills!DH3:DI6,2,FALSE)+IF(AND(Calculator!B8=TRUE,Backdoors!BI15=TRUE),VLOOKUP(Calculator!E23,tbSkills!DH3:DJ6,3,FALSE),0),0)))/100)),1))*IF(VLOOKUP(A56,tbMoveset!A2:K112,11,FALSE)=TRUE,Backdoors!AC5,1))*CI56,0),"")</f>
        <v>0</v>
      </c>
      <c r="CM56" s="49">
        <f>VLOOKUP(A56,tbMoveset!A2:G112,7,FALSE)*IFERROR(IF(Backdoors!AI12&gt;=0,1+(IF(Calculator!E40&gt;0,VLOOKUP(Calculator!E40,tbSkills!AI3:AJ5,2,FALSE),Backdoors!AL4)*(IF((Backdoors!AI12+IF(CH56&gt;=0.45,VLOOKUP(Calculator!E23,tbSkills!DH3:DI6,2,FALSE)+IF(AND(Calculator!B8=TRUE,Backdoors!BI15=TRUE),VLOOKUP(Calculator!E23,tbSkills!DH3:DJ6,3,FALSE),0),0))&gt;=100,100,(Backdoors!AI12+IF(CH56&gt;=0.45,VLOOKUP(Calculator!E23,tbSkills!DH3:DI6,2,FALSE)+IF(AND(Calculator!B8=TRUE,Backdoors!BI15=TRUE),VLOOKUP(Calculator!E23,tbSkills!DH3:DJ6,3,FALSE),0),0)))/100)),1),1)</f>
        <v>0.8</v>
      </c>
      <c r="CN56" s="87">
        <f t="shared" si="7"/>
        <v>0</v>
      </c>
      <c r="CO56" s="86" t="str">
        <f>IFERROR(IF(VLOOKUP(A56,tbMoveset!A2:B112,2,FALSE)="Sever",Backdoors!AY16/100,IF(VLOOKUP(A56,tbMoveset!A2:B112,2,FALSE)="Blunt",Backdoors!AZ16/100,Backdoors!BA16/100)),"")</f>
        <v/>
      </c>
      <c r="CP56" s="49">
        <f>IFERROR(IF(VLOOKUP(tbMoveset!A56,tbMoveset!A2:H112,8,FALSE)="Other",IF(VLOOKUP(tbMoveset!A56,tbMoveset!A2:I112,9,FALSE)="Fire",Backdoors!BB16,IF(VLOOKUP(tbMoveset!A56,tbMoveset!A2:I112,9,FALSE)="Water",Backdoors!BC16,IF(VLOOKUP(tbMoveset!A56,tbMoveset!A2:I112,9,FALSE)="Thunder",Backdoors!BD16,IF(VLOOKUP(tbMoveset!A56,tbMoveset!A2:I112,9,FALSE)="Ice",Backdoors!BE16,IF(VLOOKUP(tbMoveset!A56,tbMoveset!A2:I112,9,FALSE)="Dragon",Backdoors!BF16,Backdoors!BG16)))))/100,Backdoors!BG16/100),"")</f>
        <v>0</v>
      </c>
      <c r="CQ56" s="49">
        <f>IFERROR(IF(VLOOKUP(A56,tbMoveset!A2:J112,10,FALSE)=TRUE,IF((Backdoors!AI12+IF(CO56&gt;=0.45,VLOOKUP(Calculator!E23,tbSkills!DH3:DI6,2,FALSE)+IF(AND(Calculator!B8=TRUE,Backdoors!BI16=TRUE),VLOOKUP(Calculator!E23,tbSkills!DH3:DJ6,3,FALSE),0),0))&gt;=0,1+(Backdoors!AL2*(IF((Backdoors!AI12+IF(CO56&gt;=0.45,VLOOKUP(Calculator!E23,tbSkills!DH3:DI6,2,FALSE)+IF(AND(Calculator!B8=TRUE,Backdoors!BI16=TRUE),VLOOKUP(Calculator!E23,tbSkills!DH3:DJ6,3,FALSE),0),0))&gt;=100,100,(Backdoors!AI12+IF(CO56&gt;=0.45,VLOOKUP(Calculator!E23,tbSkills!DH3:DI6,2,FALSE)+IF(AND(Calculator!B8=TRUE,Backdoors!BI16=TRUE),VLOOKUP(Calculator!E23,tbSkills!DH3:DJ6,3,FALSE),0),0)))/100)),(1-(0.25*((-Backdoors!AI12-IF(CO56&gt;=0.45,VLOOKUP(Calculator!E23,tbSkills!DH3:DI6,2,FALSE)+IF(AND(Calculator!B8=TRUE,Backdoors!BI16=TRUE),VLOOKUP(Calculator!E23,tbSkills!DH3:DJ6,3,FALSE),0),0))/100)))),1),"")</f>
        <v>1</v>
      </c>
      <c r="CR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O56)*CQ56)*(VLOOKUP(A56,tbMoveset!A2:C112,3,FALSE)/100)*IF(VLOOKUP(A56,tbMoveset!A2:B112,2,FALSE)="Projectile",Backdoors!N10,Backdoors!N9),0),"")</f>
        <v/>
      </c>
      <c r="CS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O56&gt;=0.45,VLOOKUP(Calculator!E23,tbSkills!DH3:DI6,2,FALSE)+IF(AND(Calculator!B8=TRUE,Backdoors!BI16=TRUE),VLOOKUP(Calculator!E23,tbSkills!DH3:DJ6,3,FALSE),0),0))&gt;=100,100,(Backdoors!AI12+IF(CO56&gt;=0.45,VLOOKUP(Calculator!E23,tbSkills!DH3:DI6,2,FALSE)+IF(AND(Calculator!B8=TRUE,Backdoors!BI16=TRUE),VLOOKUP(Calculator!E23,tbSkills!DH3:DJ6,3,FALSE),0),0)))/100)),1))*IF(VLOOKUP(A56,tbMoveset!A2:K112,11,FALSE)=TRUE,Backdoors!AC5,1))*CP56,0),"")</f>
        <v>0</v>
      </c>
      <c r="CT56" s="49">
        <f>VLOOKUP(A56,tbMoveset!A2:G112,7,FALSE)*IFERROR(IF(Backdoors!AI12&gt;=0,1+(IF(Calculator!E40&gt;0,VLOOKUP(Calculator!E40,tbSkills!AI3:AJ5,2,FALSE),Backdoors!AL4)*(IF((Backdoors!AI12+IF(CO56&gt;=0.45,VLOOKUP(Calculator!E23,tbSkills!DH3:DI6,2,FALSE)+IF(AND(Calculator!B8=TRUE,Backdoors!BI16=TRUE),VLOOKUP(Calculator!E23,tbSkills!DH3:DJ6,3,FALSE),0),0))&gt;=100,100,(Backdoors!AI12+IF(CO56&gt;=0.45,VLOOKUP(Calculator!E23,tbSkills!DH3:DI6,2,FALSE)+IF(AND(Calculator!B8=TRUE,Backdoors!BI16=TRUE),VLOOKUP(Calculator!E23,tbSkills!DH3:DJ6,3,FALSE),0),0)))/100)),1),1)</f>
        <v>0.8</v>
      </c>
      <c r="CU56" s="87">
        <f t="shared" si="40"/>
        <v>0</v>
      </c>
      <c r="CV56" s="86" t="str">
        <f>IFERROR(IF(VLOOKUP(A56,tbMoveset!A2:B112,2,FALSE)="Sever",Backdoors!AY17/100,IF(VLOOKUP(A56,tbMoveset!A2:B112,2,FALSE)="Blunt",Backdoors!AZ17/100,Backdoors!BA17/100)),"")</f>
        <v/>
      </c>
      <c r="CW56" s="49">
        <f>IFERROR(IF(VLOOKUP(tbMoveset!A56,tbMoveset!A2:H112,8,FALSE)="Other",IF(VLOOKUP(tbMoveset!A56,tbMoveset!A2:I112,9,FALSE)="Fire",Backdoors!BB17,IF(VLOOKUP(tbMoveset!A56,tbMoveset!A2:I112,9,FALSE)="Water",Backdoors!BC17,IF(VLOOKUP(tbMoveset!A56,tbMoveset!A2:I112,9,FALSE)="Thunder",Backdoors!BD17,IF(VLOOKUP(tbMoveset!A56,tbMoveset!A2:I112,9,FALSE)="Ice",Backdoors!BE17,IF(VLOOKUP(tbMoveset!A56,tbMoveset!A2:I112,9,FALSE)="Dragon",Backdoors!BF17,Backdoors!BG17)))))/100,Backdoors!BG17/100),"")</f>
        <v>0</v>
      </c>
      <c r="CX56" s="49">
        <f>IFERROR(IF(VLOOKUP(A56,tbMoveset!A2:J112,10,FALSE)=TRUE,IF((Backdoors!AI12+IF(CV56&gt;=0.45,VLOOKUP(Calculator!E23,tbSkills!DH3:DI6,2,FALSE)+IF(AND(Calculator!B8=TRUE,Backdoors!BI17=TRUE),VLOOKUP(Calculator!E23,tbSkills!DH3:DJ6,3,FALSE),0),0))&gt;=0,1+(Backdoors!AL2*(IF((Backdoors!AI12+IF(CV56&gt;=0.45,VLOOKUP(Calculator!E23,tbSkills!DH3:DI6,2,FALSE)+IF(AND(Calculator!B8=TRUE,Backdoors!BI17=TRUE),VLOOKUP(Calculator!E23,tbSkills!DH3:DJ6,3,FALSE),0),0))&gt;=100,100,(Backdoors!AI12+IF(CV56&gt;=0.45,VLOOKUP(Calculator!E23,tbSkills!DH3:DI6,2,FALSE)+IF(AND(Calculator!B8=TRUE,Backdoors!BI17=TRUE),VLOOKUP(Calculator!E23,tbSkills!DH3:DJ6,3,FALSE),0),0)))/100)),(1-(0.25*((-Backdoors!AI12-IF(CV56&gt;=0.45,VLOOKUP(Calculator!E23,tbSkills!DH3:DI6,2,FALSE)+IF(AND(Calculator!B8=TRUE,Backdoors!BI17=TRUE),VLOOKUP(Calculator!E23,tbSkills!DH3:DJ6,3,FALSE),0),0))/100)))),1),"")</f>
        <v>1</v>
      </c>
      <c r="CY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V56)*CX56)*(VLOOKUP(A56,tbMoveset!A2:C112,3,FALSE)/100)*IF(VLOOKUP(A56,tbMoveset!A2:B112,2,FALSE)="Projectile",Backdoors!N10,Backdoors!N9),0),"")</f>
        <v/>
      </c>
      <c r="CZ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V56&gt;=0.45,VLOOKUP(Calculator!E23,tbSkills!DH3:DI6,2,FALSE)+IF(AND(Calculator!B8=TRUE,Backdoors!BI17=TRUE),VLOOKUP(Calculator!E23,tbSkills!DH3:DJ6,3,FALSE),0),0))&gt;=100,100,(Backdoors!AI12+IF(CV56&gt;=0.45,VLOOKUP(Calculator!E23,tbSkills!DH3:DI6,2,FALSE)+IF(AND(Calculator!B8=TRUE,Backdoors!BI17=TRUE),VLOOKUP(Calculator!E23,tbSkills!DH3:DJ6,3,FALSE),0),0)))/100)),1))*IF(VLOOKUP(A56,tbMoveset!A2:K112,11,FALSE)=TRUE,Backdoors!AC5,1))*CW56,0),"")</f>
        <v>0</v>
      </c>
      <c r="DA56" s="49">
        <f>VLOOKUP(A56,tbMoveset!A2:G112,7,FALSE)*IFERROR(IF(Backdoors!AI12&gt;=0,1+(IF(Calculator!E40&gt;0,VLOOKUP(Calculator!E40,tbSkills!AI3:AJ5,2,FALSE),Backdoors!AL4)*(IF((Backdoors!AI12+IF(CV56&gt;=0.45,VLOOKUP(Calculator!E23,tbSkills!DH3:DI6,2,FALSE)+IF(AND(Calculator!B8=TRUE,Backdoors!BI17=TRUE),VLOOKUP(Calculator!E23,tbSkills!DH3:DJ6,3,FALSE),0),0))&gt;=100,100,(Backdoors!AI12+IF(CV56&gt;=0.45,VLOOKUP(Calculator!E23,tbSkills!DH3:DI6,2,FALSE)+IF(AND(Calculator!B8=TRUE,Backdoors!BI17=TRUE),VLOOKUP(Calculator!E23,tbSkills!DH3:DJ6,3,FALSE),0),0)))/100)),1),1)</f>
        <v>0.8</v>
      </c>
      <c r="DB56" s="87">
        <f t="shared" si="8"/>
        <v>0</v>
      </c>
      <c r="DC56" s="86" t="str">
        <f>IFERROR(IF(VLOOKUP(A56,tbMoveset!A2:B112,2,FALSE)="Sever",Backdoors!AY18/100,IF(VLOOKUP(A56,tbMoveset!A2:B112,2,FALSE)="Blunt",Backdoors!AZ18/100,Backdoors!BA18/100)),"")</f>
        <v/>
      </c>
      <c r="DD56" s="49">
        <f>IFERROR(IF(VLOOKUP(tbMoveset!A56,tbMoveset!A2:H112,8,FALSE)="Other",IF(VLOOKUP(tbMoveset!A56,tbMoveset!A2:I112,9,FALSE)="Fire",Backdoors!BB18,IF(VLOOKUP(tbMoveset!A56,tbMoveset!A2:I112,9,FALSE)="Water",Backdoors!BC18,IF(VLOOKUP(tbMoveset!A56,tbMoveset!A2:I112,9,FALSE)="Thunder",Backdoors!BD18,IF(VLOOKUP(tbMoveset!A56,tbMoveset!A2:I112,9,FALSE)="Ice",Backdoors!BE18,IF(VLOOKUP(tbMoveset!A56,tbMoveset!A2:I112,9,FALSE)="Dragon",Backdoors!BF18,Backdoors!BG18)))))/100,Backdoors!BG18/100),"")</f>
        <v>0</v>
      </c>
      <c r="DE56" s="49">
        <f>IFERROR(IF(VLOOKUP(A56,tbMoveset!A2:J112,10,FALSE)=TRUE,IF((Backdoors!AI12+IF(DC56&gt;=0.45,VLOOKUP(Calculator!E23,tbSkills!DH3:DI6,2,FALSE)+IF(AND(Calculator!B8=TRUE,Backdoors!BI18=TRUE),VLOOKUP(Calculator!E23,tbSkills!DH3:DJ6,3,FALSE),0),0))&gt;=0,1+(Backdoors!AL2*(IF((Backdoors!AI12+IF(DC56&gt;=0.45,VLOOKUP(Calculator!E23,tbSkills!DH3:DI6,2,FALSE)+IF(AND(Calculator!B8=TRUE,Backdoors!BI18=TRUE),VLOOKUP(Calculator!E23,tbSkills!DH3:DJ6,3,FALSE),0),0))&gt;=100,100,(Backdoors!AI12+IF(DC56&gt;=0.45,VLOOKUP(Calculator!E23,tbSkills!DH3:DI6,2,FALSE)+IF(AND(Calculator!B8=TRUE,Backdoors!BI18=TRUE),VLOOKUP(Calculator!E23,tbSkills!DH3:DJ6,3,FALSE),0),0)))/100)),(1-(0.25*((-Backdoors!AI12-IF(DC56&gt;=0.45,VLOOKUP(Calculator!E23,tbSkills!DH3:DI6,2,FALSE)+IF(AND(Calculator!B8=TRUE,Backdoors!BI18=TRUE),VLOOKUP(Calculator!E23,tbSkills!DH3:DJ6,3,FALSE),0),0))/100)))),1),"")</f>
        <v>1</v>
      </c>
      <c r="DF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C56)*DE56)*(VLOOKUP(A56,tbMoveset!A2:C112,3,FALSE)/100)*IF(VLOOKUP(A56,tbMoveset!A2:B112,2,FALSE)="Projectile",Backdoors!N10,Backdoors!N9),0),"")</f>
        <v/>
      </c>
      <c r="DG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C56&gt;=0.45,VLOOKUP(Calculator!E23,tbSkills!DH3:DI6,2,FALSE)+IF(AND(Calculator!B8=TRUE,Backdoors!BI18=TRUE),VLOOKUP(Calculator!E23,tbSkills!DH3:DJ6,3,FALSE),0),0))&gt;=100,100,(Backdoors!AI12+IF(DC56&gt;=0.45,VLOOKUP(Calculator!E23,tbSkills!DH3:DI6,2,FALSE)+IF(AND(Calculator!B8=TRUE,Backdoors!BI18=TRUE),VLOOKUP(Calculator!E23,tbSkills!DH3:DJ6,3,FALSE),0),0)))/100)),1))*IF(VLOOKUP(A56,tbMoveset!A2:K112,11,FALSE)=TRUE,Backdoors!AC5,1))*DD56,0),"")</f>
        <v>0</v>
      </c>
      <c r="DH56" s="49">
        <f>VLOOKUP(A56,tbMoveset!A2:G112,7,FALSE)*IFERROR(IF(Backdoors!AI12&gt;=0,1+(IF(Calculator!E40&gt;0,VLOOKUP(Calculator!E40,tbSkills!AI3:AJ5,2,FALSE),Backdoors!AL4)*(IF((Backdoors!AI12+IF(DC56&gt;=0.45,VLOOKUP(Calculator!E23,tbSkills!DH3:DI6,2,FALSE)+IF(AND(Calculator!B8=TRUE,Backdoors!BI18=TRUE),VLOOKUP(Calculator!E23,tbSkills!DH3:DJ6,3,FALSE),0),0))&gt;=100,100,(Backdoors!AI12+IF(DC56&gt;=0.45,VLOOKUP(Calculator!E23,tbSkills!DH3:DI6,2,FALSE)+IF(AND(Calculator!B8=TRUE,Backdoors!BI18=TRUE),VLOOKUP(Calculator!E23,tbSkills!DH3:DJ6,3,FALSE),0),0)))/100)),1),1)</f>
        <v>0.8</v>
      </c>
      <c r="DI56" s="87">
        <f t="shared" si="9"/>
        <v>0</v>
      </c>
      <c r="DJ56" s="86" t="str">
        <f>IFERROR(IF(VLOOKUP(A56,tbMoveset!A2:B112,2,FALSE)="Sever",Backdoors!AY19/100,IF(VLOOKUP(A56,tbMoveset!A2:B112,2,FALSE)="Blunt",Backdoors!AZ19/100,Backdoors!BA19/100)),"")</f>
        <v/>
      </c>
      <c r="DK56" s="49">
        <f>IFERROR(IF(VLOOKUP(tbMoveset!A56,tbMoveset!A2:H112,8,FALSE)="Other",IF(VLOOKUP(tbMoveset!A56,tbMoveset!A2:I112,9,FALSE)="Fire",Backdoors!BB19,IF(VLOOKUP(tbMoveset!A56,tbMoveset!A2:I112,9,FALSE)="Water",Backdoors!BC19,IF(VLOOKUP(tbMoveset!A56,tbMoveset!A2:I112,9,FALSE)="Thunder",Backdoors!BD19,IF(VLOOKUP(tbMoveset!A56,tbMoveset!A2:I112,9,FALSE)="Ice",Backdoors!BE19,IF(VLOOKUP(tbMoveset!A56,tbMoveset!A2:I112,9,FALSE)="Dragon",Backdoors!BF19,Backdoors!BG19)))))/100,Backdoors!BG19/100),"")</f>
        <v>0</v>
      </c>
      <c r="DL56" s="49">
        <f>IFERROR(IF(VLOOKUP(A56,tbMoveset!A2:J112,10,FALSE)=TRUE,IF((Backdoors!AI12+IF(DJ56&gt;=0.45,VLOOKUP(Calculator!E23,tbSkills!DH3:DI6,2,FALSE)+IF(AND(Calculator!B8=TRUE,Backdoors!BI19=TRUE),VLOOKUP(Calculator!E23,tbSkills!DH3:DJ6,3,FALSE),0),0))&gt;=0,1+(Backdoors!AL2*(IF((Backdoors!AI12+IF(DJ56&gt;=0.45,VLOOKUP(Calculator!E23,tbSkills!DH3:DI6,2,FALSE)+IF(AND(Calculator!B8=TRUE,Backdoors!BI19=TRUE),VLOOKUP(Calculator!E23,tbSkills!DH3:DJ6,3,FALSE),0),0))&gt;=100,100,(Backdoors!AI12+IF(DJ56&gt;=0.45,VLOOKUP(Calculator!E23,tbSkills!DH3:DI6,2,FALSE)+IF(AND(Calculator!B8=TRUE,Backdoors!BI19=TRUE),VLOOKUP(Calculator!E23,tbSkills!DH3:DJ6,3,FALSE),0),0)))/100)),(1-(0.25*((-Backdoors!AI12-IF(DJ56&gt;=0.45,VLOOKUP(Calculator!E23,tbSkills!DH3:DI6,2,FALSE)+IF(AND(Calculator!B8=TRUE,Backdoors!BI19=TRUE),VLOOKUP(Calculator!E23,tbSkills!DH3:DJ6,3,FALSE),0),0))/100)))),1),"")</f>
        <v>1</v>
      </c>
      <c r="DM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J56)*DL56)*(VLOOKUP(A56,tbMoveset!A2:C112,3,FALSE)/100)*IF(VLOOKUP(A56,tbMoveset!A2:B112,2,FALSE)="Projectile",Backdoors!N10,Backdoors!N9),0),"")</f>
        <v/>
      </c>
      <c r="DN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J56&gt;=0.45,VLOOKUP(Calculator!E23,tbSkills!DH3:DI6,2,FALSE)+IF(AND(Calculator!B8=TRUE,Backdoors!BI19=TRUE),VLOOKUP(Calculator!E23,tbSkills!DH3:DJ6,3,FALSE),0),0))&gt;=100,100,(Backdoors!AI12+IF(DJ56&gt;=0.45,VLOOKUP(Calculator!E23,tbSkills!DH3:DI6,2,FALSE)+IF(AND(Calculator!B8=TRUE,Backdoors!BI19=TRUE),VLOOKUP(Calculator!E23,tbSkills!DH3:DJ6,3,FALSE),0),0)))/100)),1))*IF(VLOOKUP(A56,tbMoveset!A2:K112,11,FALSE)=TRUE,Backdoors!AC5,1))*DK56,0),"")</f>
        <v>0</v>
      </c>
      <c r="DO56" s="49">
        <f>VLOOKUP(A56,tbMoveset!A2:G112,7,FALSE)*IFERROR(IF(Backdoors!AI12&gt;=0,1+(IF(Calculator!E40&gt;0,VLOOKUP(Calculator!E40,tbSkills!AI3:AJ5,2,FALSE),Backdoors!AL4)*(IF((Backdoors!AI12+IF(DJ56&gt;=0.45,VLOOKUP(Calculator!E23,tbSkills!DH3:DI6,2,FALSE)+IF(AND(Calculator!B8=TRUE,Backdoors!BI19=TRUE),VLOOKUP(Calculator!E23,tbSkills!DH3:DJ6,3,FALSE),0),0))&gt;=100,100,(Backdoors!AI12+IF(DJ56&gt;=0.45,VLOOKUP(Calculator!E23,tbSkills!DH3:DI6,2,FALSE)+IF(AND(Calculator!B8=TRUE,Backdoors!BI19=TRUE),VLOOKUP(Calculator!E23,tbSkills!DH3:DJ6,3,FALSE),0),0)))/100)),1),1)</f>
        <v>0.8</v>
      </c>
      <c r="DP56" s="87">
        <f t="shared" si="41"/>
        <v>0</v>
      </c>
      <c r="DQ56" s="86" t="str">
        <f>IFERROR(IF(VLOOKUP(A56,tbMoveset!A2:B112,2,FALSE)="Sever",Backdoors!AY20/100,IF(VLOOKUP(A56,tbMoveset!A2:B112,2,FALSE)="Blunt",Backdoors!AZ20/100,Backdoors!BA20/100)),"")</f>
        <v/>
      </c>
      <c r="DR56" s="49">
        <f>IFERROR(IF(VLOOKUP(tbMoveset!A56,tbMoveset!A2:H112,8,FALSE)="Other",IF(VLOOKUP(tbMoveset!A56,tbMoveset!A2:I112,9,FALSE)="Fire",Backdoors!BB20,IF(VLOOKUP(tbMoveset!A56,tbMoveset!A2:I112,9,FALSE)="Water",Backdoors!BC20,IF(VLOOKUP(tbMoveset!A56,tbMoveset!A2:I112,9,FALSE)="Thunder",Backdoors!BD20,IF(VLOOKUP(tbMoveset!A56,tbMoveset!A2:I112,9,FALSE)="Ice",Backdoors!BE20,IF(VLOOKUP(tbMoveset!A56,tbMoveset!A2:I112,9,FALSE)="Dragon",Backdoors!BF20,Backdoors!BG20)))))/100,Backdoors!BG20/100),"")</f>
        <v>0</v>
      </c>
      <c r="DS56" s="49">
        <f>IFERROR(IF(VLOOKUP(A56,tbMoveset!A2:J112,10,FALSE)=TRUE,IF((Backdoors!AI12+IF(DQ56&gt;=0.45,VLOOKUP(Calculator!E23,tbSkills!DH3:DI6,2,FALSE)+IF(AND(Calculator!B8=TRUE,Backdoors!BI20=TRUE),VLOOKUP(Calculator!E23,tbSkills!DH3:DJ6,3,FALSE),0),0))&gt;=0,1+(Backdoors!AL2*(IF((Backdoors!AI12+IF(DQ56&gt;=0.45,VLOOKUP(Calculator!E23,tbSkills!DH3:DI6,2,FALSE)+IF(AND(Calculator!B8=TRUE,Backdoors!BI20=TRUE),VLOOKUP(Calculator!E23,tbSkills!DH3:DJ6,3,FALSE),0),0))&gt;=100,100,(Backdoors!AI12+IF(DQ56&gt;=0.45,VLOOKUP(Calculator!E23,tbSkills!DH3:DI6,2,FALSE)+IF(AND(Calculator!B8=TRUE,Backdoors!BI20=TRUE),VLOOKUP(Calculator!E23,tbSkills!DH3:DJ6,3,FALSE),0),0)))/100)),(1-(0.25*((-Backdoors!AI12-IF(DQ56&gt;=0.45,VLOOKUP(Calculator!E23,tbSkills!DH3:DI6,2,FALSE)+IF(AND(Calculator!B8=TRUE,Backdoors!BI20=TRUE),VLOOKUP(Calculator!E23,tbSkills!DH3:DJ6,3,FALSE),0),0))/100)))),1),"")</f>
        <v>1</v>
      </c>
      <c r="DT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Q56)*DS56)*(VLOOKUP(A56,tbMoveset!A2:C112,3,FALSE)/100)*IF(VLOOKUP(A56,tbMoveset!A2:B112,2,FALSE)="Projectile",Backdoors!N10,Backdoors!N9),0),"")</f>
        <v/>
      </c>
      <c r="DU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Q56&gt;=0.45,VLOOKUP(Calculator!E23,tbSkills!DH3:DI6,2,FALSE)+IF(AND(Calculator!B8=TRUE,Backdoors!BI20=TRUE),VLOOKUP(Calculator!E23,tbSkills!DH3:DJ6,3,FALSE),0),0))&gt;=100,100,(Backdoors!AI12+IF(DQ56&gt;=0.45,VLOOKUP(Calculator!E23,tbSkills!DH3:DI6,2,FALSE)+IF(AND(Calculator!B8=TRUE,Backdoors!BI20=TRUE),VLOOKUP(Calculator!E23,tbSkills!DH3:DJ6,3,FALSE),0),0)))/100)),1))*IF(VLOOKUP(A56,tbMoveset!A2:K112,11,FALSE)=TRUE,Backdoors!AC5,1))*DR56,0),"")</f>
        <v>0</v>
      </c>
      <c r="DV56" s="49">
        <f>VLOOKUP(A56,tbMoveset!A2:G112,7,FALSE)*IFERROR(IF(Backdoors!AI12&gt;=0,1+(IF(Calculator!E40&gt;0,VLOOKUP(Calculator!E40,tbSkills!AI3:AJ5,2,FALSE),Backdoors!AL4)*(IF((Backdoors!AI12+IF(DQ56&gt;=0.45,VLOOKUP(Calculator!E23,tbSkills!DH3:DI6,2,FALSE)+IF(AND(Calculator!B8=TRUE,Backdoors!BI20=TRUE),VLOOKUP(Calculator!E23,tbSkills!DH3:DJ6,3,FALSE),0),0))&gt;=100,100,(Backdoors!AI12+IF(DQ56&gt;=0.45,VLOOKUP(Calculator!E23,tbSkills!DH3:DI6,2,FALSE)+IF(AND(Calculator!B8=TRUE,Backdoors!BI20=TRUE),VLOOKUP(Calculator!E23,tbSkills!DH3:DJ6,3,FALSE),0),0)))/100)),1),1)</f>
        <v>0.8</v>
      </c>
      <c r="DW56" s="87">
        <f t="shared" si="10"/>
        <v>0</v>
      </c>
      <c r="DX56" s="86" t="str">
        <f>IFERROR(IF(VLOOKUP(A56,tbMoveset!A2:B112,2,FALSE)="Sever",Backdoors!AY21/100,IF(VLOOKUP(A56,tbMoveset!A2:B112,2,FALSE)="Blunt",Backdoors!AZ21/100,Backdoors!BA21/100)),"")</f>
        <v/>
      </c>
      <c r="DY56" s="49">
        <f>IFERROR(IF(VLOOKUP(tbMoveset!A56,tbMoveset!A2:H112,8,FALSE)="Other",IF(VLOOKUP(tbMoveset!A56,tbMoveset!A2:I112,9,FALSE)="Fire",Backdoors!BB21,IF(VLOOKUP(tbMoveset!A56,tbMoveset!A2:I112,9,FALSE)="Water",Backdoors!BC21,IF(VLOOKUP(tbMoveset!A56,tbMoveset!A2:I112,9,FALSE)="Thunder",Backdoors!BD21,IF(VLOOKUP(tbMoveset!A56,tbMoveset!A2:I112,9,FALSE)="Ice",Backdoors!BE21,IF(VLOOKUP(tbMoveset!A56,tbMoveset!A2:I112,9,FALSE)="Dragon",Backdoors!BF21,Backdoors!BG21)))))/100,Backdoors!BG21/100),"")</f>
        <v>0</v>
      </c>
      <c r="DZ56" s="49">
        <f>IFERROR(IF(VLOOKUP(A56,tbMoveset!A2:J112,10,FALSE)=TRUE,IF((Backdoors!AI12+IF(DX56&gt;=0.45,VLOOKUP(Calculator!E23,tbSkills!DH3:DI6,2,FALSE)+IF(AND(Calculator!B8=TRUE,Backdoors!BI21=TRUE),VLOOKUP(Calculator!E23,tbSkills!DH3:DJ6,3,FALSE),0),0))&gt;=0,1+(Backdoors!AL2*(IF((Backdoors!AI12+IF(DX56&gt;=0.45,VLOOKUP(Calculator!E23,tbSkills!DH3:DI6,2,FALSE)+IF(AND(Calculator!B8=TRUE,Backdoors!BI21=TRUE),VLOOKUP(Calculator!E23,tbSkills!DH3:DJ6,3,FALSE),0),0))&gt;=100,100,(Backdoors!AI12+IF(DX56&gt;=0.45,VLOOKUP(Calculator!E23,tbSkills!DH3:DI6,2,FALSE)+IF(AND(Calculator!B8=TRUE,Backdoors!BI21=TRUE),VLOOKUP(Calculator!E23,tbSkills!DH3:DJ6,3,FALSE),0),0)))/100)),(1-(0.25*((-Backdoors!AI12-IF(DX56&gt;=0.45,VLOOKUP(Calculator!E23,tbSkills!DH3:DI6,2,FALSE)+IF(AND(Calculator!B8=TRUE,Backdoors!BI21=TRUE),VLOOKUP(Calculator!E23,tbSkills!DH3:DJ6,3,FALSE),0),0))/100)))),1),"")</f>
        <v>1</v>
      </c>
      <c r="EA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X56)*DZ56)*(VLOOKUP(A56,tbMoveset!A2:C112,3,FALSE)/100)*IF(VLOOKUP(A56,tbMoveset!A2:B112,2,FALSE)="Projectile",Backdoors!N10,Backdoors!N9),0),"")</f>
        <v/>
      </c>
      <c r="EB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X56&gt;=0.45,VLOOKUP(Calculator!E23,tbSkills!DH3:DI6,2,FALSE)+IF(AND(Calculator!B8=TRUE,Backdoors!BI21=TRUE),VLOOKUP(Calculator!E23,tbSkills!DH3:DJ6,3,FALSE),0),0))&gt;=100,100,(Backdoors!AI12+IF(DX56&gt;=0.45,VLOOKUP(Calculator!E23,tbSkills!DH3:DI6,2,FALSE)+IF(AND(Calculator!B8=TRUE,Backdoors!BI21=TRUE),VLOOKUP(Calculator!E23,tbSkills!DH3:DJ6,3,FALSE),0),0)))/100)),1))*IF(VLOOKUP(A56,tbMoveset!A2:K112,11,FALSE)=TRUE,Backdoors!AC5,1))*DY56,0),"")</f>
        <v>0</v>
      </c>
      <c r="EC56" s="49">
        <f>VLOOKUP(A56,tbMoveset!A2:G112,7,FALSE)*IFERROR(IF(Backdoors!AI12&gt;=0,1+(IF(Calculator!E40&gt;0,VLOOKUP(Calculator!E40,tbSkills!AI3:AJ5,2,FALSE),Backdoors!AL4)*(IF((Backdoors!AI12+IF(DX56&gt;=0.45,VLOOKUP(Calculator!E23,tbSkills!DH3:DI6,2,FALSE)+IF(AND(Calculator!B8=TRUE,Backdoors!BI21=TRUE),VLOOKUP(Calculator!E23,tbSkills!DH3:DJ6,3,FALSE),0),0))&gt;=100,100,(Backdoors!AI12+IF(DX56&gt;=0.45,VLOOKUP(Calculator!E23,tbSkills!DH3:DI6,2,FALSE)+IF(AND(Calculator!B8=TRUE,Backdoors!BI21=TRUE),VLOOKUP(Calculator!E23,tbSkills!DH3:DJ6,3,FALSE),0),0)))/100)),1),1)</f>
        <v>0.8</v>
      </c>
      <c r="ED56" s="87">
        <f t="shared" si="11"/>
        <v>0</v>
      </c>
      <c r="EE56" s="86" t="str">
        <f>IFERROR(IF(VLOOKUP(A56,tbMoveset!A2:B112,2,FALSE)="Sever",Backdoors!AY22/100,IF(VLOOKUP(A56,tbMoveset!A2:B112,2,FALSE)="Blunt",Backdoors!AZ22/100,Backdoors!BA22/100)),"")</f>
        <v/>
      </c>
      <c r="EF56" s="49">
        <f>IFERROR(IF(VLOOKUP(tbMoveset!A56,tbMoveset!A2:H112,8,FALSE)="Other",IF(VLOOKUP(tbMoveset!A56,tbMoveset!A2:I112,9,FALSE)="Fire",Backdoors!BB22,IF(VLOOKUP(tbMoveset!A56,tbMoveset!A2:I112,9,FALSE)="Water",Backdoors!BC22,IF(VLOOKUP(tbMoveset!A56,tbMoveset!A2:I112,9,FALSE)="Thunder",Backdoors!BD22,IF(VLOOKUP(tbMoveset!A56,tbMoveset!A2:I112,9,FALSE)="Ice",Backdoors!BE22,IF(VLOOKUP(tbMoveset!A56,tbMoveset!A2:I112,9,FALSE)="Dragon",Backdoors!BF22,Backdoors!BG22)))))/100,Backdoors!BG22/100),"")</f>
        <v>0</v>
      </c>
      <c r="EG56" s="49">
        <f>IFERROR(IF(VLOOKUP(A56,tbMoveset!A2:J112,10,FALSE)=TRUE,IF((Backdoors!AI12+IF(EE56&gt;=0.45,VLOOKUP(Calculator!E23,tbSkills!DH3:DI6,2,FALSE)+IF(AND(Calculator!B8=TRUE,Backdoors!BI22=TRUE),VLOOKUP(Calculator!E23,tbSkills!DH3:DJ6,3,FALSE),0),0))&gt;=0,1+(Backdoors!AL2*(IF((Backdoors!AI12+IF(EE56&gt;=0.45,VLOOKUP(Calculator!E23,tbSkills!DH3:DI6,2,FALSE)+IF(AND(Calculator!B8=TRUE,Backdoors!BI22=TRUE),VLOOKUP(Calculator!E23,tbSkills!DH3:DJ6,3,FALSE),0),0))&gt;=100,100,(Backdoors!AI12+IF(EE56&gt;=0.45,VLOOKUP(Calculator!E23,tbSkills!DH3:DI6,2,FALSE)+IF(AND(Calculator!B8=TRUE,Backdoors!BI22=TRUE),VLOOKUP(Calculator!E23,tbSkills!DH3:DJ6,3,FALSE),0),0)))/100)),(1-(0.25*((-Backdoors!AI12-IF(EE56&gt;=0.45,VLOOKUP(Calculator!E23,tbSkills!DH3:DI6,2,FALSE)+IF(AND(Calculator!B8=TRUE,Backdoors!BI22=TRUE),VLOOKUP(Calculator!E23,tbSkills!DH3:DJ6,3,FALSE),0),0))/100)))),1),"")</f>
        <v>1</v>
      </c>
      <c r="EH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E56)*EG56)*(VLOOKUP(A56,tbMoveset!A2:C112,3,FALSE)/100)*IF(VLOOKUP(A56,tbMoveset!A2:B112,2,FALSE)="Projectile",Backdoors!N10,Backdoors!N9),0),"")</f>
        <v/>
      </c>
      <c r="EI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E56&gt;=0.45,VLOOKUP(Calculator!E23,tbSkills!DH3:DI6,2,FALSE)+IF(AND(Calculator!B8=TRUE,Backdoors!BI22=TRUE),VLOOKUP(Calculator!E23,tbSkills!DH3:DJ6,3,FALSE),0),0))&gt;=100,100,(Backdoors!AI12+IF(EE56&gt;=0.45,VLOOKUP(Calculator!E23,tbSkills!DH3:DI6,2,FALSE)+IF(AND(Calculator!B8=TRUE,Backdoors!BI22=TRUE),VLOOKUP(Calculator!E23,tbSkills!DH3:DJ6,3,FALSE),0),0)))/100)),1))*IF(VLOOKUP(A56,tbMoveset!A2:K112,11,FALSE)=TRUE,Backdoors!AC5,1))*EF56,0),"")</f>
        <v>0</v>
      </c>
      <c r="EJ56" s="49">
        <f>VLOOKUP(A56,tbMoveset!A2:G112,7,FALSE)*IFERROR(IF(Backdoors!AI12&gt;=0,1+(IF(Calculator!E40&gt;0,VLOOKUP(Calculator!E40,tbSkills!AI3:AJ5,2,FALSE),Backdoors!AL4)*(IF((Backdoors!AI12+IF(EE56&gt;=0.45,VLOOKUP(Calculator!E23,tbSkills!DH3:DI6,2,FALSE)+IF(AND(Calculator!B8=TRUE,Backdoors!BI22=TRUE),VLOOKUP(Calculator!E23,tbSkills!DH3:DJ6,3,FALSE),0),0))&gt;=100,100,(Backdoors!AI12+IF(EE56&gt;=0.45,VLOOKUP(Calculator!E23,tbSkills!DH3:DI6,2,FALSE)+IF(AND(Calculator!B8=TRUE,Backdoors!BI22=TRUE),VLOOKUP(Calculator!E23,tbSkills!DH3:DJ6,3,FALSE),0),0)))/100)),1),1)</f>
        <v>0.8</v>
      </c>
      <c r="EK56" s="87">
        <f t="shared" si="12"/>
        <v>0</v>
      </c>
      <c r="EL56" s="86" t="str">
        <f>IFERROR(IF(VLOOKUP(A56,tbMoveset!A2:B112,2,FALSE)="Sever",Backdoors!AY23/100,IF(VLOOKUP(A56,tbMoveset!A2:B112,2,FALSE)="Blunt",Backdoors!AZ23/100,Backdoors!BA23/100)),"")</f>
        <v/>
      </c>
      <c r="EM56" s="49">
        <f>IFERROR(IF(VLOOKUP(tbMoveset!A56,tbMoveset!A2:H112,8,FALSE)="Other",IF(VLOOKUP(tbMoveset!A56,tbMoveset!A2:I112,9,FALSE)="Fire",Backdoors!BB23,IF(VLOOKUP(tbMoveset!A56,tbMoveset!A2:I112,9,FALSE)="Water",Backdoors!BC23,IF(VLOOKUP(tbMoveset!A56,tbMoveset!A2:I112,9,FALSE)="Thunder",Backdoors!BD23,IF(VLOOKUP(tbMoveset!A56,tbMoveset!A2:I112,9,FALSE)="Ice",Backdoors!BE23,IF(VLOOKUP(tbMoveset!A56,tbMoveset!A2:I112,9,FALSE)="Dragon",Backdoors!BF23,Backdoors!BG23)))))/100,Backdoors!BG23/100),"")</f>
        <v>0</v>
      </c>
      <c r="EN56" s="49">
        <f>IFERROR(IF(VLOOKUP(A56,tbMoveset!A2:J112,10,FALSE)=TRUE,IF((Backdoors!AI12+IF(EL56&gt;=0.45,VLOOKUP(Calculator!E23,tbSkills!DH3:DI6,2,FALSE)+IF(AND(Calculator!B8=TRUE,Backdoors!BI23=TRUE),VLOOKUP(Calculator!E23,tbSkills!DH3:DJ6,3,FALSE),0),0))&gt;=0,1+(Backdoors!AL2*(IF((Backdoors!AI12+IF(EL56&gt;=0.45,VLOOKUP(Calculator!E23,tbSkills!DH3:DI6,2,FALSE)+IF(AND(Calculator!B8=TRUE,Backdoors!BI23=TRUE),VLOOKUP(Calculator!E23,tbSkills!DH3:DJ6,3,FALSE),0),0))&gt;=100,100,(Backdoors!AI12+IF(EL56&gt;=0.45,VLOOKUP(Calculator!E23,tbSkills!DH3:DI6,2,FALSE)+IF(AND(Calculator!B8=TRUE,Backdoors!BI23=TRUE),VLOOKUP(Calculator!E23,tbSkills!DH3:DJ6,3,FALSE),0),0)))/100)),(1-(0.25*((-Backdoors!AI12-IF(EL56&gt;=0.45,VLOOKUP(Calculator!E23,tbSkills!DH3:DI6,2,FALSE)+IF(AND(Calculator!B8=TRUE,Backdoors!BI23=TRUE),VLOOKUP(Calculator!E23,tbSkills!DH3:DJ6,3,FALSE),0),0))/100)))),1),"")</f>
        <v>1</v>
      </c>
      <c r="EO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L56)*EN56)*(VLOOKUP(A56,tbMoveset!A2:C112,3,FALSE)/100)*IF(VLOOKUP(A56,tbMoveset!A2:B112,2,FALSE)="Projectile",Backdoors!N10,Backdoors!N9),0),"")</f>
        <v/>
      </c>
      <c r="EP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L56&gt;=0.45,VLOOKUP(Calculator!E23,tbSkills!DH3:DI6,2,FALSE)+IF(AND(Calculator!B8=TRUE,Backdoors!BI23=TRUE),VLOOKUP(Calculator!E23,tbSkills!DH3:DJ6,3,FALSE),0),0))&gt;=100,100,(Backdoors!AI12+IF(EL56&gt;=0.45,VLOOKUP(Calculator!E23,tbSkills!DH3:DI6,2,FALSE)+IF(AND(Calculator!B8=TRUE,Backdoors!BI23=TRUE),VLOOKUP(Calculator!E23,tbSkills!DH3:DJ6,3,FALSE),0),0)))/100)),1))*IF(VLOOKUP(A56,tbMoveset!A2:K112,11,FALSE)=TRUE,Backdoors!AC5,1))*EM56,0),"")</f>
        <v>0</v>
      </c>
      <c r="EQ56" s="49">
        <f>VLOOKUP(A56,tbMoveset!A2:G112,7,FALSE)*IFERROR(IF(Backdoors!AI12&gt;=0,1+(IF(Calculator!E40&gt;0,VLOOKUP(Calculator!E40,tbSkills!AI3:AJ5,2,FALSE),Backdoors!AL4)*(IF((Backdoors!AI12+IF(EL56&gt;=0.45,VLOOKUP(Calculator!E23,tbSkills!DH3:DI6,2,FALSE)+IF(AND(Calculator!B8=TRUE,Backdoors!BI23=TRUE),VLOOKUP(Calculator!E23,tbSkills!DH3:DJ6,3,FALSE),0),0))&gt;=100,100,(Backdoors!AI12+IF(EL56&gt;=0.45,VLOOKUP(Calculator!E23,tbSkills!DH3:DI6,2,FALSE)+IF(AND(Calculator!B8=TRUE,Backdoors!BI23=TRUE),VLOOKUP(Calculator!E23,tbSkills!DH3:DJ6,3,FALSE),0),0)))/100)),1),1)</f>
        <v>0.8</v>
      </c>
      <c r="ER56" s="87">
        <f t="shared" si="13"/>
        <v>0</v>
      </c>
      <c r="ES56" s="86" t="str">
        <f>IFERROR(IF(VLOOKUP(A56,tbMoveset!A2:B112,2,FALSE)="Sever",Backdoors!AY24/100,IF(VLOOKUP(A56,tbMoveset!A2:B112,2,FALSE)="Blunt",Backdoors!AZ24/100,Backdoors!BA24/100)),"")</f>
        <v/>
      </c>
      <c r="ET56" s="49">
        <f>IFERROR(IF(VLOOKUP(tbMoveset!A56,tbMoveset!A2:H112,8,FALSE)="Other",IF(VLOOKUP(tbMoveset!A56,tbMoveset!A2:I112,9,FALSE)="Fire",Backdoors!BB24,IF(VLOOKUP(tbMoveset!A56,tbMoveset!A2:I112,9,FALSE)="Water",Backdoors!BC24,IF(VLOOKUP(tbMoveset!A56,tbMoveset!A2:I112,9,FALSE)="Thunder",Backdoors!BD24,IF(VLOOKUP(tbMoveset!A56,tbMoveset!A2:I112,9,FALSE)="Ice",Backdoors!BE24,IF(VLOOKUP(tbMoveset!A56,tbMoveset!A2:I112,9,FALSE)="Dragon",Backdoors!BF24,Backdoors!BG24)))))/100,Backdoors!BG24/100),"")</f>
        <v>0</v>
      </c>
      <c r="EU56" s="49">
        <f>IFERROR(IF(VLOOKUP(A56,tbMoveset!A2:J112,10,FALSE)=TRUE,IF((Backdoors!AI12+IF(ES56&gt;=0.45,VLOOKUP(Calculator!E23,tbSkills!DH3:DI6,2,FALSE)+IF(AND(Calculator!B8=TRUE,Backdoors!BI24=TRUE),VLOOKUP(Calculator!E23,tbSkills!DH3:DJ6,3,FALSE),0),0))&gt;=0,1+(Backdoors!AL2*(IF((Backdoors!AI12+IF(ES56&gt;=0.45,VLOOKUP(Calculator!E23,tbSkills!DH3:DI6,2,FALSE)+IF(AND(Calculator!B8=TRUE,Backdoors!BI24=TRUE),VLOOKUP(Calculator!E23,tbSkills!DH3:DJ6,3,FALSE),0),0))&gt;=100,100,(Backdoors!AI12+IF(ES56&gt;=0.45,VLOOKUP(Calculator!E23,tbSkills!DH3:DI6,2,FALSE)+IF(AND(Calculator!B8=TRUE,Backdoors!BI24=TRUE),VLOOKUP(Calculator!E23,tbSkills!DH3:DJ6,3,FALSE),0),0)))/100)),(1-(0.25*((-Backdoors!AI12-IF(ES56&gt;=0.45,VLOOKUP(Calculator!E23,tbSkills!DH3:DI6,2,FALSE)+IF(AND(Calculator!B8=TRUE,Backdoors!BI24=TRUE),VLOOKUP(Calculator!E23,tbSkills!DH3:DJ6,3,FALSE),0),0))/100)))),1),"")</f>
        <v>1</v>
      </c>
      <c r="EV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S56)*EU56)*(VLOOKUP(A56,tbMoveset!A2:C112,3,FALSE)/100)*IF(VLOOKUP(A56,tbMoveset!A2:B112,2,FALSE)="Projectile",Backdoors!N10,Backdoors!N9),0),"")</f>
        <v/>
      </c>
      <c r="EW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S56&gt;=0.45,VLOOKUP(Calculator!E23,tbSkills!DH3:DI6,2,FALSE)+IF(AND(Calculator!B8=TRUE,Backdoors!BI24=TRUE),VLOOKUP(Calculator!E23,tbSkills!DH3:DJ6,3,FALSE),0),0))&gt;=100,100,(Backdoors!AI12+IF(ES56&gt;=0.45,VLOOKUP(Calculator!E23,tbSkills!DH3:DI6,2,FALSE)+IF(AND(Calculator!B8=TRUE,Backdoors!BI24=TRUE),VLOOKUP(Calculator!E23,tbSkills!DH3:DJ6,3,FALSE),0),0)))/100)),1))*IF(VLOOKUP(A56,tbMoveset!A2:K112,11,FALSE)=TRUE,Backdoors!AC5,1))*ET56,0),"")</f>
        <v>0</v>
      </c>
      <c r="EX56" s="49">
        <f>VLOOKUP(A56,tbMoveset!A2:G112,7,FALSE)*IFERROR(IF(Backdoors!AI12&gt;=0,1+(IF(Calculator!E40&gt;0,VLOOKUP(Calculator!E40,tbSkills!AI3:AJ5,2,FALSE),Backdoors!AL4)*(IF((Backdoors!AI12+IF(ES56&gt;=0.45,VLOOKUP(Calculator!E23,tbSkills!DH3:DI6,2,FALSE)+IF(AND(Calculator!B8=TRUE,Backdoors!BI24=TRUE),VLOOKUP(Calculator!E23,tbSkills!DH3:DJ6,3,FALSE),0),0))&gt;=100,100,(Backdoors!AI12+IF(ES56&gt;=0.45,VLOOKUP(Calculator!E23,tbSkills!DH3:DI6,2,FALSE)+IF(AND(Calculator!B8=TRUE,Backdoors!BI24=TRUE),VLOOKUP(Calculator!E23,tbSkills!DH3:DJ6,3,FALSE),0),0)))/100)),1),1)</f>
        <v>0.8</v>
      </c>
      <c r="EY56" s="87">
        <f t="shared" si="14"/>
        <v>0</v>
      </c>
      <c r="EZ56" s="86" t="str">
        <f>IFERROR(IF(VLOOKUP(A56,tbMoveset!A2:B112,2,FALSE)="Sever",Backdoors!AY25/100,IF(VLOOKUP(A56,tbMoveset!A2:B112,2,FALSE)="Blunt",Backdoors!AZ25/100,Backdoors!BA25/100)),"")</f>
        <v/>
      </c>
      <c r="FA56" s="49">
        <f>IFERROR(IF(VLOOKUP(tbMoveset!A56,tbMoveset!A2:H112,8,FALSE)="Other",IF(VLOOKUP(tbMoveset!A56,tbMoveset!A2:I112,9,FALSE)="Fire",Backdoors!BB25,IF(VLOOKUP(tbMoveset!A56,tbMoveset!A2:I112,9,FALSE)="Water",Backdoors!BC25,IF(VLOOKUP(tbMoveset!A56,tbMoveset!A2:I112,9,FALSE)="Thunder",Backdoors!BD25,IF(VLOOKUP(tbMoveset!A56,tbMoveset!A2:I112,9,FALSE)="Ice",Backdoors!BE25,IF(VLOOKUP(tbMoveset!A56,tbMoveset!A2:I112,9,FALSE)="Dragon",Backdoors!BF25,Backdoors!BG25)))))/100,Backdoors!BG25/100),"")</f>
        <v>0</v>
      </c>
      <c r="FB56" s="49">
        <f>IFERROR(IF(VLOOKUP(A56,tbMoveset!A2:J112,10,FALSE)=TRUE,IF((Backdoors!AI12+IF(EZ56&gt;=0.45,VLOOKUP(Calculator!E23,tbSkills!DH3:DI6,2,FALSE)+IF(AND(Calculator!B8=TRUE,Backdoors!BI25=TRUE),VLOOKUP(Calculator!E23,tbSkills!DH3:DJ6,3,FALSE),0),0))&gt;=0,1+(Backdoors!AL2*(IF((Backdoors!AI12+IF(EZ56&gt;=0.45,VLOOKUP(Calculator!E23,tbSkills!DH3:DI6,2,FALSE)+IF(AND(Calculator!B8=TRUE,Backdoors!BI25=TRUE),VLOOKUP(Calculator!E23,tbSkills!DH3:DJ6,3,FALSE),0),0))&gt;=100,100,(Backdoors!AI12+IF(EZ56&gt;=0.45,VLOOKUP(Calculator!E23,tbSkills!DH3:DI6,2,FALSE)+IF(AND(Calculator!B8=TRUE,Backdoors!BI25=TRUE),VLOOKUP(Calculator!E23,tbSkills!DH3:DJ6,3,FALSE),0),0)))/100)),(1-(0.25*((-Backdoors!AI12-IF(EZ56&gt;=0.45,VLOOKUP(Calculator!E23,tbSkills!DH3:DI6,2,FALSE)+IF(AND(Calculator!B8=TRUE,Backdoors!BI25=TRUE),VLOOKUP(Calculator!E23,tbSkills!DH3:DJ6,3,FALSE),0),0))/100)))),1),"")</f>
        <v>1</v>
      </c>
      <c r="FC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Z56)*FB56)*(VLOOKUP(A56,tbMoveset!A2:C112,3,FALSE)/100)*IF(VLOOKUP(A56,tbMoveset!A2:B112,2,FALSE)="Projectile",Backdoors!N10,Backdoors!N9),0),"")</f>
        <v/>
      </c>
      <c r="FD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Z56&gt;=0.45,VLOOKUP(Calculator!E23,tbSkills!DH3:DI6,2,FALSE)+IF(AND(Calculator!B8=TRUE,Backdoors!BI25=TRUE),VLOOKUP(Calculator!E23,tbSkills!DH3:DJ6,3,FALSE),0),0))&gt;=100,100,(Backdoors!AI12+IF(EZ56&gt;=0.45,VLOOKUP(Calculator!E23,tbSkills!DH3:DI6,2,FALSE)+IF(AND(Calculator!B8=TRUE,Backdoors!BI25=TRUE),VLOOKUP(Calculator!E23,tbSkills!DH3:DJ6,3,FALSE),0),0)))/100)),1))*IF(VLOOKUP(A56,tbMoveset!A2:K112,11,FALSE)=TRUE,Backdoors!AC5,1))*FA56,0),"")</f>
        <v>0</v>
      </c>
      <c r="FE56" s="49">
        <f>VLOOKUP(A56,tbMoveset!A2:G112,7,FALSE)*IFERROR(IF(Backdoors!AI12&gt;=0,1+(IF(Calculator!E40&gt;0,VLOOKUP(Calculator!E40,tbSkills!AI3:AJ5,2,FALSE),Backdoors!AL4)*(IF((Backdoors!AI12+IF(EZ56&gt;=0.45,VLOOKUP(Calculator!E23,tbSkills!DH3:DI6,2,FALSE)+IF(AND(Calculator!B8=TRUE,Backdoors!BI25=TRUE),VLOOKUP(Calculator!E23,tbSkills!DH3:DJ6,3,FALSE),0),0))&gt;=100,100,(Backdoors!AI12+IF(EZ56&gt;=0.45,VLOOKUP(Calculator!E23,tbSkills!DH3:DI6,2,FALSE)+IF(AND(Calculator!B8=TRUE,Backdoors!BI25=TRUE),VLOOKUP(Calculator!E23,tbSkills!DH3:DJ6,3,FALSE),0),0)))/100)),1),1)</f>
        <v>0.8</v>
      </c>
      <c r="FF56" s="87">
        <f t="shared" si="15"/>
        <v>0</v>
      </c>
      <c r="FG56" s="86" t="str">
        <f>IFERROR(IF(VLOOKUP(A56,tbMoveset!A2:B112,2,FALSE)="Sever",Backdoors!AY26/100,IF(VLOOKUP(A56,tbMoveset!A2:B112,2,FALSE)="Blunt",Backdoors!AZ26/100,Backdoors!BA26/100)),"")</f>
        <v/>
      </c>
      <c r="FH56" s="49">
        <f>IFERROR(IF(VLOOKUP(tbMoveset!A56,tbMoveset!A2:H112,8,FALSE)="Other",IF(VLOOKUP(tbMoveset!A56,tbMoveset!A2:I112,9,FALSE)="Fire",Backdoors!BB26,IF(VLOOKUP(tbMoveset!A56,tbMoveset!A2:I112,9,FALSE)="Water",Backdoors!BC26,IF(VLOOKUP(tbMoveset!A56,tbMoveset!A2:I112,9,FALSE)="Thunder",Backdoors!BD26,IF(VLOOKUP(tbMoveset!A56,tbMoveset!A2:I112,9,FALSE)="Ice",Backdoors!BE26,IF(VLOOKUP(tbMoveset!A56,tbMoveset!A2:I112,9,FALSE)="Dragon",Backdoors!BF26,Backdoors!BG26)))))/100,Backdoors!BG26/100),"")</f>
        <v>0</v>
      </c>
      <c r="FI56" s="49">
        <f>IFERROR(IF(VLOOKUP(A56,tbMoveset!A2:J112,10,FALSE)=TRUE,IF((Backdoors!AI12+IF(FG56&gt;=0.45,VLOOKUP(Calculator!E23,tbSkills!DH3:DI6,2,FALSE)+IF(AND(Calculator!B8=TRUE,Backdoors!BI26=TRUE),VLOOKUP(Calculator!E23,tbSkills!DH3:DJ6,3,FALSE),0),0))&gt;=0,1+(Backdoors!AL2*(IF((Backdoors!AI12+IF(FG56&gt;=0.45,VLOOKUP(Calculator!E23,tbSkills!DH3:DI6,2,FALSE)+IF(AND(Calculator!B8=TRUE,Backdoors!BI26=TRUE),VLOOKUP(Calculator!E23,tbSkills!DH3:DJ6,3,FALSE),0),0))&gt;=100,100,(Backdoors!AI12+IF(FG56&gt;=0.45,VLOOKUP(Calculator!E23,tbSkills!DH3:DI6,2,FALSE)+IF(AND(Calculator!B8=TRUE,Backdoors!BI26=TRUE),VLOOKUP(Calculator!E23,tbSkills!DH3:DJ6,3,FALSE),0),0)))/100)),(1-(0.25*((-Backdoors!AI12-IF(FG56&gt;=0.45,VLOOKUP(Calculator!E23,tbSkills!DH3:DI6,2,FALSE)+IF(AND(Calculator!B8=TRUE,Backdoors!BI26=TRUE),VLOOKUP(Calculator!E23,tbSkills!DH3:DJ6,3,FALSE),0),0))/100)))),1),"")</f>
        <v>1</v>
      </c>
      <c r="FJ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FG56)*FI56)*(VLOOKUP(A56,tbMoveset!A2:C112,3,FALSE)/100)*IF(VLOOKUP(A56,tbMoveset!A2:B112,2,FALSE)="Projectile",Backdoors!N10,Backdoors!N9),0),"")</f>
        <v/>
      </c>
      <c r="FK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FG56&gt;=0.45,VLOOKUP(Calculator!E23,tbSkills!DH3:DI6,2,FALSE)+IF(AND(Calculator!B8=TRUE,Backdoors!BI26=TRUE),VLOOKUP(Calculator!E23,tbSkills!DH3:DJ6,3,FALSE),0),0))&gt;=100,100,(Backdoors!AI12+IF(FG56&gt;=0.45,VLOOKUP(Calculator!E23,tbSkills!DH3:DI6,2,FALSE)+IF(AND(Calculator!B8=TRUE,Backdoors!BI26=TRUE),VLOOKUP(Calculator!E23,tbSkills!DH3:DJ6,3,FALSE),0),0)))/100)),1))*IF(VLOOKUP(A56,tbMoveset!A2:K112,11,FALSE)=TRUE,Backdoors!AC5,1))*FH56,0),"")</f>
        <v>0</v>
      </c>
      <c r="FL56" s="49">
        <f>VLOOKUP(A56,tbMoveset!A2:G112,7,FALSE)*IFERROR(IF(Backdoors!AI12&gt;=0,1+(IF(Calculator!E40&gt;0,VLOOKUP(Calculator!E40,tbSkills!AI3:AJ5,2,FALSE),Backdoors!AL4)*(IF((Backdoors!AI12+IF(FG56&gt;=0.45,VLOOKUP(Calculator!E23,tbSkills!DH3:DI6,2,FALSE)+IF(AND(Calculator!B8=TRUE,Backdoors!BI26=TRUE),VLOOKUP(Calculator!E23,tbSkills!DH3:DJ6,3,FALSE),0),0))&gt;=100,100,(Backdoors!AI12+IF(FG56&gt;=0.45,VLOOKUP(Calculator!E23,tbSkills!DH3:DI6,2,FALSE)+IF(AND(Calculator!B8=TRUE,Backdoors!BI26=TRUE),VLOOKUP(Calculator!E23,tbSkills!DH3:DJ6,3,FALSE),0),0)))/100)),1),1)</f>
        <v>0.8</v>
      </c>
      <c r="FM56" s="87">
        <f t="shared" si="16"/>
        <v>0</v>
      </c>
      <c r="FN56" s="86" t="str">
        <f>IFERROR(IF(VLOOKUP(A56,tbMoveset!A2:B112,2,FALSE)="Sever",Backdoors!AY27/100,IF(VLOOKUP(A56,tbMoveset!A2:B112,2,FALSE)="Blunt",Backdoors!AZ27/100,Backdoors!BA27/100)),"")</f>
        <v/>
      </c>
      <c r="FO56" s="49">
        <f>IFERROR(IF(VLOOKUP(tbMoveset!A56,tbMoveset!A2:H112,8,FALSE)="Other",IF(VLOOKUP(tbMoveset!A56,tbMoveset!A2:I112,9,FALSE)="Fire",Backdoors!BB27,IF(VLOOKUP(tbMoveset!A56,tbMoveset!A2:I112,9,FALSE)="Water",Backdoors!BC27,IF(VLOOKUP(tbMoveset!A56,tbMoveset!A2:I112,9,FALSE)="Thunder",Backdoors!BD27,IF(VLOOKUP(tbMoveset!A56,tbMoveset!A2:I112,9,FALSE)="Ice",Backdoors!BE27,IF(VLOOKUP(tbMoveset!A56,tbMoveset!A2:I112,9,FALSE)="Dragon",Backdoors!BF27,Backdoors!BG27)))))/100,Backdoors!BG27/100),"")</f>
        <v>0</v>
      </c>
      <c r="FP56" s="49">
        <f>IFERROR(IF(VLOOKUP(A56,tbMoveset!A2:J112,10,FALSE)=TRUE,IF((Backdoors!AI12+IF(FN56&gt;=0.45,VLOOKUP(Calculator!E23,tbSkills!DH3:DI6,2,FALSE)+IF(AND(Calculator!B8=TRUE,Backdoors!BI27=TRUE),VLOOKUP(Calculator!E23,tbSkills!DH3:DJ6,3,FALSE),0),0))&gt;=0,1+(Backdoors!AL2*(IF((Backdoors!AI12+IF(FN56&gt;=0.45,VLOOKUP(Calculator!E23,tbSkills!DH3:DI6,2,FALSE)+IF(AND(Calculator!B8=TRUE,Backdoors!BI27=TRUE),VLOOKUP(Calculator!E23,tbSkills!DH3:DJ6,3,FALSE),0),0))&gt;=100,100,(Backdoors!AI12+IF(FN56&gt;=0.45,VLOOKUP(Calculator!E23,tbSkills!DH3:DI6,2,FALSE)+IF(AND(Calculator!B8=TRUE,Backdoors!BI27=TRUE),VLOOKUP(Calculator!E23,tbSkills!DH3:DJ6,3,FALSE),0),0)))/100)),(1-(0.25*((-Backdoors!AI12-IF(FN56&gt;=0.45,VLOOKUP(Calculator!E23,tbSkills!DH3:DI6,2,FALSE)+IF(AND(Calculator!B8=TRUE,Backdoors!BI27=TRUE),VLOOKUP(Calculator!E23,tbSkills!DH3:DJ6,3,FALSE),0),0))/100)))),1),"")</f>
        <v>1</v>
      </c>
      <c r="FQ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FN56)*FP56)*(VLOOKUP(A56,tbMoveset!A2:C112,3,FALSE)/100)*IF(VLOOKUP(A56,tbMoveset!A2:B112,2,FALSE)="Projectile",Backdoors!N10,Backdoors!N9),0),"")</f>
        <v/>
      </c>
      <c r="FR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FN56&gt;=0.45,VLOOKUP(Calculator!E23,tbSkills!DH3:DI6,2,FALSE)+IF(AND(Calculator!B8=TRUE,Backdoors!BI27=TRUE),VLOOKUP(Calculator!E23,tbSkills!DH3:DJ6,3,FALSE),0),0))&gt;=100,100,(Backdoors!AI12+IF(FN56&gt;=0.45,VLOOKUP(Calculator!E23,tbSkills!DH3:DI6,2,FALSE)+IF(AND(Calculator!B8=TRUE,Backdoors!BI27=TRUE),VLOOKUP(Calculator!E23,tbSkills!DH3:DJ6,3,FALSE),0),0)))/100)),1))*IF(VLOOKUP(A56,tbMoveset!A2:K112,11,FALSE)=TRUE,Backdoors!AC5,1))*FO56,0),"")</f>
        <v>0</v>
      </c>
      <c r="FS56" s="49">
        <f>VLOOKUP(A56,tbMoveset!A2:G112,7,FALSE)*IFERROR(IF(Backdoors!AI12&gt;=0,1+(IF(Calculator!E40&gt;0,VLOOKUP(Calculator!E40,tbSkills!AI3:AJ5,2,FALSE),Backdoors!AL4)*(IF((Backdoors!AI12+IF(FN56&gt;=0.45,VLOOKUP(Calculator!E23,tbSkills!DH3:DI6,2,FALSE)+IF(AND(Calculator!B8=TRUE,Backdoors!BI27=TRUE),VLOOKUP(Calculator!E23,tbSkills!DH3:DJ6,3,FALSE),0),0))&gt;=100,100,(Backdoors!AI12+IF(FN56&gt;=0.45,VLOOKUP(Calculator!E23,tbSkills!DH3:DI6,2,FALSE)+IF(AND(Calculator!B8=TRUE,Backdoors!BI27=TRUE),VLOOKUP(Calculator!E23,tbSkills!DH3:DJ6,3,FALSE),0),0)))/100)),1),1)</f>
        <v>0.8</v>
      </c>
      <c r="FT56" s="87">
        <f t="shared" si="17"/>
        <v>0</v>
      </c>
      <c r="FU56" s="86" t="str">
        <f>IFERROR(IF(VLOOKUP(A56,tbMoveset!A2:B112,2,FALSE)="Sever",Backdoors!AY28/100,IF(VLOOKUP(A56,tbMoveset!A2:B112,2,FALSE)="Blunt",Backdoors!AZ28/100,Backdoors!BA28/100)),"")</f>
        <v/>
      </c>
      <c r="FV56" s="49">
        <f>IFERROR(IF(VLOOKUP(tbMoveset!A56,tbMoveset!A2:H112,8,FALSE)="Other",IF(VLOOKUP(tbMoveset!A56,tbMoveset!A2:I112,9,FALSE)="Fire",Backdoors!BB28,IF(VLOOKUP(tbMoveset!A56,tbMoveset!A2:I112,9,FALSE)="Water",Backdoors!BC28,IF(VLOOKUP(tbMoveset!A56,tbMoveset!A2:I112,9,FALSE)="Thunder",Backdoors!BD28,IF(VLOOKUP(tbMoveset!A56,tbMoveset!A2:I112,9,FALSE)="Ice",Backdoors!BE28,IF(VLOOKUP(tbMoveset!A56,tbMoveset!A2:I112,9,FALSE)="Dragon",Backdoors!BF28,Backdoors!BG28)))))/100,Backdoors!BG28/100),"")</f>
        <v>0</v>
      </c>
      <c r="FW56" s="49">
        <f>IFERROR(IF(VLOOKUP(A56,tbMoveset!A2:J112,10,FALSE)=TRUE,IF((Backdoors!AI12+IF(FU56&gt;=0.45,VLOOKUP(Calculator!E23,tbSkills!DH3:DI6,2,FALSE)+IF(AND(Calculator!B8=TRUE,Backdoors!BI28=TRUE),VLOOKUP(Calculator!E23,tbSkills!DH3:DJ6,3,FALSE),0),0))&gt;=0,1+(Backdoors!AL2*(IF((Backdoors!AI12+IF(FU56&gt;=0.45,VLOOKUP(Calculator!E23,tbSkills!DH3:DI6,2,FALSE)+IF(AND(Calculator!B8=TRUE,Backdoors!BI28=TRUE),VLOOKUP(Calculator!E23,tbSkills!DH3:DJ6,3,FALSE),0),0))&gt;=100,100,(Backdoors!AI12+IF(FU56&gt;=0.45,VLOOKUP(Calculator!E23,tbSkills!DH3:DI6,2,FALSE)+IF(AND(Calculator!B8=TRUE,Backdoors!BI28=TRUE),VLOOKUP(Calculator!E23,tbSkills!DH3:DJ6,3,FALSE),0),0)))/100)),(1-(0.25*((-Backdoors!AI12-IF(FU56&gt;=0.45,VLOOKUP(Calculator!E23,tbSkills!DH3:DI6,2,FALSE)+IF(AND(Calculator!B8=TRUE,Backdoors!BI28=TRUE),VLOOKUP(Calculator!E23,tbSkills!DH3:DJ6,3,FALSE),0),0))/100)))),1),"")</f>
        <v>1</v>
      </c>
      <c r="FX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FU56)*FW56)*(VLOOKUP(A56,tbMoveset!A2:C112,3,FALSE)/100)*IF(VLOOKUP(A56,tbMoveset!A2:B112,2,FALSE)="Projectile",Backdoors!N10,Backdoors!N9),0),"")</f>
        <v/>
      </c>
      <c r="FY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FU56&gt;=0.45,VLOOKUP(Calculator!E23,tbSkills!DH3:DI6,2,FALSE)+IF(AND(Calculator!B8=TRUE,Backdoors!BI28=TRUE),VLOOKUP(Calculator!E23,tbSkills!DH3:DJ6,3,FALSE),0),0))&gt;=100,100,(Backdoors!AI12+IF(FU56&gt;=0.45,VLOOKUP(Calculator!E23,tbSkills!DH3:DI6,2,FALSE)+IF(AND(Calculator!B8=TRUE,Backdoors!BI28=TRUE),VLOOKUP(Calculator!E23,tbSkills!DH3:DJ6,3,FALSE),0),0)))/100)),1))*IF(VLOOKUP(A56,tbMoveset!A2:K112,11,FALSE)=TRUE,Backdoors!AC5,1))*FV56,0),"")</f>
        <v>0</v>
      </c>
      <c r="FZ56" s="49">
        <f>VLOOKUP(A56,tbMoveset!A2:G112,7,FALSE)*IFERROR(IF(Backdoors!AI12&gt;=0,1+(IF(Calculator!E40&gt;0,VLOOKUP(Calculator!E40,tbSkills!AI3:AJ5,2,FALSE),Backdoors!AL4)*(IF((Backdoors!AI12+IF(FU56&gt;=0.45,VLOOKUP(Calculator!E23,tbSkills!DH3:DI6,2,FALSE)+IF(AND(Calculator!B8=TRUE,Backdoors!BI28=TRUE),VLOOKUP(Calculator!E23,tbSkills!DH3:DJ6,3,FALSE),0),0))&gt;=100,100,(Backdoors!AI12+IF(FU56&gt;=0.45,VLOOKUP(Calculator!E23,tbSkills!DH3:DI6,2,FALSE)+IF(AND(Calculator!B8=TRUE,Backdoors!BI28=TRUE),VLOOKUP(Calculator!E23,tbSkills!DH3:DJ6,3,FALSE),0),0)))/100)),1),1)</f>
        <v>0.8</v>
      </c>
      <c r="GA56" s="87">
        <f t="shared" si="18"/>
        <v>0</v>
      </c>
      <c r="GB56" s="86" t="str">
        <f>IFERROR(IF(VLOOKUP(A56,tbMoveset!A2:B112,2,FALSE)="Sever",Backdoors!AY29/100,IF(VLOOKUP(A56,tbMoveset!A2:B112,2,FALSE)="Blunt",Backdoors!AZ29/100,Backdoors!BA29/100)),"")</f>
        <v/>
      </c>
      <c r="GC56" s="49">
        <f>IFERROR(IF(VLOOKUP(tbMoveset!A56,tbMoveset!A2:H112,8,FALSE)="Other",IF(VLOOKUP(tbMoveset!A56,tbMoveset!A2:I112,9,FALSE)="Fire",Backdoors!BB29,IF(VLOOKUP(tbMoveset!A56,tbMoveset!A2:I112,9,FALSE)="Water",Backdoors!BC29,IF(VLOOKUP(tbMoveset!A56,tbMoveset!A2:I112,9,FALSE)="Thunder",Backdoors!BD29,IF(VLOOKUP(tbMoveset!A56,tbMoveset!A2:I112,9,FALSE)="Ice",Backdoors!BE29,IF(VLOOKUP(tbMoveset!A56,tbMoveset!A2:I112,9,FALSE)="Dragon",Backdoors!BF29,Backdoors!BG29)))))/100,Backdoors!BG29/100),"")</f>
        <v>0</v>
      </c>
      <c r="GD56" s="49">
        <f>IFERROR(IF(VLOOKUP(A56,tbMoveset!A2:J112,10,FALSE)=TRUE,IF((Backdoors!AI12+IF(GB56&gt;=0.45,VLOOKUP(Calculator!E23,tbSkills!DH3:DI6,2,FALSE)+IF(AND(Calculator!B8=TRUE,Backdoors!BI29=TRUE),VLOOKUP(Calculator!E23,tbSkills!DH3:DJ6,3,FALSE),0),0))&gt;=0,1+(Backdoors!AL2*(IF((Backdoors!AI12+IF(GB56&gt;=0.45,VLOOKUP(Calculator!E23,tbSkills!DH3:DI6,2,FALSE)+IF(AND(Calculator!B8=TRUE,Backdoors!BI29=TRUE),VLOOKUP(Calculator!E23,tbSkills!DH3:DJ6,3,FALSE),0),0))&gt;=100,100,(Backdoors!AI12+IF(GB56&gt;=0.45,VLOOKUP(Calculator!E23,tbSkills!DH3:DI6,2,FALSE)+IF(AND(Calculator!B8=TRUE,Backdoors!BI29=TRUE),VLOOKUP(Calculator!E23,tbSkills!DH3:DJ6,3,FALSE),0),0)))/100)),(1-(0.25*((-Backdoors!AI12-IF(GB56&gt;=0.45,VLOOKUP(Calculator!E23,tbSkills!DH3:DI6,2,FALSE)+IF(AND(Calculator!B8=TRUE,Backdoors!BI29=TRUE),VLOOKUP(Calculator!E23,tbSkills!DH3:DJ6,3,FALSE),0),0))/100)))),1),"")</f>
        <v>1</v>
      </c>
      <c r="GE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B56)*GD56)*(VLOOKUP(A56,tbMoveset!A2:C112,3,FALSE)/100)*IF(VLOOKUP(A56,tbMoveset!A2:B112,2,FALSE)="Projectile",Backdoors!N10,Backdoors!N9),0),"")</f>
        <v/>
      </c>
      <c r="GF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B56&gt;=0.45,VLOOKUP(Calculator!E23,tbSkills!DH3:DI6,2,FALSE)+IF(AND(Calculator!B8=TRUE,Backdoors!BI29=TRUE),VLOOKUP(Calculator!E23,tbSkills!DH3:DJ6,3,FALSE),0),0))&gt;=100,100,(Backdoors!AI12+IF(GB56&gt;=0.45,VLOOKUP(Calculator!E23,tbSkills!DH3:DI6,2,FALSE)+IF(AND(Calculator!B8=TRUE,Backdoors!BI29=TRUE),VLOOKUP(Calculator!E23,tbSkills!DH3:DJ6,3,FALSE),0),0)))/100)),1))*IF(VLOOKUP(A56,tbMoveset!A2:K112,11,FALSE)=TRUE,Backdoors!AC5,1))*GC56,0),"")</f>
        <v>0</v>
      </c>
      <c r="GG56" s="49">
        <f>VLOOKUP(A56,tbMoveset!A2:G112,7,FALSE)*IFERROR(IF(Backdoors!AI12&gt;=0,1+(IF(Calculator!E40&gt;0,VLOOKUP(Calculator!E40,tbSkills!AI3:AJ5,2,FALSE),Backdoors!AL4)*(IF((Backdoors!AI12+IF(GB56&gt;=0.45,VLOOKUP(Calculator!E23,tbSkills!DH3:DI6,2,FALSE)+IF(AND(Calculator!B8=TRUE,Backdoors!BI29=TRUE),VLOOKUP(Calculator!E23,tbSkills!DH3:DJ6,3,FALSE),0),0))&gt;=100,100,(Backdoors!AI12+IF(GB56&gt;=0.45,VLOOKUP(Calculator!E23,tbSkills!DH3:DI6,2,FALSE)+IF(AND(Calculator!B8=TRUE,Backdoors!BI29=TRUE),VLOOKUP(Calculator!E23,tbSkills!DH3:DJ6,3,FALSE),0),0)))/100)),1),1)</f>
        <v>0.8</v>
      </c>
      <c r="GH56" s="87">
        <f t="shared" si="19"/>
        <v>0</v>
      </c>
      <c r="GI56" s="86" t="str">
        <f>IFERROR(IF(VLOOKUP(A56,tbMoveset!A2:B112,2,FALSE)="Sever",Backdoors!AY30/100,IF(VLOOKUP(A56,tbMoveset!A2:B112,2,FALSE)="Blunt",Backdoors!AZ30/100,Backdoors!BA30/100)),"")</f>
        <v/>
      </c>
      <c r="GJ56" s="49">
        <f>IFERROR(IF(VLOOKUP(tbMoveset!A56,tbMoveset!A2:H112,8,FALSE)="Other",IF(VLOOKUP(tbMoveset!A56,tbMoveset!A2:I112,9,FALSE)="Fire",Backdoors!BB30,IF(VLOOKUP(tbMoveset!A56,tbMoveset!A2:I112,9,FALSE)="Water",Backdoors!BC30,IF(VLOOKUP(tbMoveset!A56,tbMoveset!A2:I112,9,FALSE)="Thunder",Backdoors!BD30,IF(VLOOKUP(tbMoveset!A56,tbMoveset!A2:I112,9,FALSE)="Ice",Backdoors!BE30,IF(VLOOKUP(tbMoveset!A56,tbMoveset!A2:I112,9,FALSE)="Dragon",Backdoors!BF30,Backdoors!BG30)))))/100,Backdoors!BG30/100),"")</f>
        <v>0</v>
      </c>
      <c r="GK56" s="49">
        <f>IFERROR(IF(VLOOKUP(A56,tbMoveset!A2:J112,10,FALSE)=TRUE,IF((Backdoors!AI12+IF(GI56&gt;=0.45,VLOOKUP(Calculator!E23,tbSkills!DH3:DI6,2,FALSE)+IF(AND(Calculator!B8=TRUE,Backdoors!BI30=TRUE),VLOOKUP(Calculator!E23,tbSkills!DH3:DJ6,3,FALSE),0),0))&gt;=0,1+(Backdoors!AL2*(IF((Backdoors!AI12+IF(GI56&gt;=0.45,VLOOKUP(Calculator!E23,tbSkills!DH3:DI6,2,FALSE)+IF(AND(Calculator!B8=TRUE,Backdoors!BI30=TRUE),VLOOKUP(Calculator!E23,tbSkills!DH3:DJ6,3,FALSE),0),0))&gt;=100,100,(Backdoors!AI12+IF(GI56&gt;=0.45,VLOOKUP(Calculator!E23,tbSkills!DH3:DI6,2,FALSE)+IF(AND(Calculator!B8=TRUE,Backdoors!BI30=TRUE),VLOOKUP(Calculator!E23,tbSkills!DH3:DJ6,3,FALSE),0),0)))/100)),(1-(0.25*((-Backdoors!AI12-IF(GI56&gt;=0.45,VLOOKUP(Calculator!E23,tbSkills!DH3:DI6,2,FALSE)+IF(AND(Calculator!B8=TRUE,Backdoors!BI30=TRUE),VLOOKUP(Calculator!E23,tbSkills!DH3:DJ6,3,FALSE),0),0))/100)))),1),"")</f>
        <v>1</v>
      </c>
      <c r="GL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I56)*GK56)*(VLOOKUP(A56,tbMoveset!A2:C112,3,FALSE)/100)*IF(VLOOKUP(A56,tbMoveset!A2:B112,2,FALSE)="Projectile",Backdoors!N10,Backdoors!N9),0),"")</f>
        <v/>
      </c>
      <c r="GM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I56&gt;=0.45,VLOOKUP(Calculator!E23,tbSkills!DH3:DI6,2,FALSE)+IF(AND(Calculator!B8=TRUE,Backdoors!BI30=TRUE),VLOOKUP(Calculator!E23,tbSkills!DH3:DJ6,3,FALSE),0),0))&gt;=100,100,(Backdoors!AI12+IF(GI56&gt;=0.45,VLOOKUP(Calculator!E23,tbSkills!DH3:DI6,2,FALSE)+IF(AND(Calculator!B8=TRUE,Backdoors!BI30=TRUE),VLOOKUP(Calculator!E23,tbSkills!DH3:DJ6,3,FALSE),0),0)))/100)),1))*IF(VLOOKUP(A56,tbMoveset!A2:K112,11,FALSE)=TRUE,Backdoors!AC5,1))*GJ56,0),"")</f>
        <v>0</v>
      </c>
      <c r="GN56" s="49">
        <f>VLOOKUP(A56,tbMoveset!A2:G112,7,FALSE)*IFERROR(IF(Backdoors!AI12&gt;=0,1+(IF(Calculator!E40&gt;0,VLOOKUP(Calculator!E40,tbSkills!AI3:AJ5,2,FALSE),Backdoors!AL4)*(IF((Backdoors!AI12+IF(GI56&gt;=0.45,VLOOKUP(Calculator!E23,tbSkills!DH3:DI6,2,FALSE)+IF(AND(Calculator!B8=TRUE,Backdoors!BI30=TRUE),VLOOKUP(Calculator!E23,tbSkills!DH3:DJ6,3,FALSE),0),0))&gt;=100,100,(Backdoors!AI12+IF(GI56&gt;=0.45,VLOOKUP(Calculator!E23,tbSkills!DH3:DI6,2,FALSE)+IF(AND(Calculator!B8=TRUE,Backdoors!BI30=TRUE),VLOOKUP(Calculator!E23,tbSkills!DH3:DJ6,3,FALSE),0),0)))/100)),1),1)</f>
        <v>0.8</v>
      </c>
      <c r="GO56" s="87">
        <f t="shared" si="20"/>
        <v>0</v>
      </c>
      <c r="GP56" s="86" t="str">
        <f>IFERROR(IF(VLOOKUP(A56,tbMoveset!A2:B112,2,FALSE)="Sever",Backdoors!AY31/100,IF(VLOOKUP(A56,tbMoveset!A2:B112,2,FALSE)="Blunt",Backdoors!AZ31/100,Backdoors!BA31/100)),"")</f>
        <v/>
      </c>
      <c r="GQ56" s="49">
        <f>IFERROR(IF(VLOOKUP(tbMoveset!A56,tbMoveset!A2:H112,8,FALSE)="Other",IF(VLOOKUP(tbMoveset!A56,tbMoveset!A2:I112,9,FALSE)="Fire",Backdoors!BB31,IF(VLOOKUP(tbMoveset!A56,tbMoveset!A2:I112,9,FALSE)="Water",Backdoors!BC31,IF(VLOOKUP(tbMoveset!A56,tbMoveset!A2:I112,9,FALSE)="Thunder",Backdoors!BD31,IF(VLOOKUP(tbMoveset!A56,tbMoveset!A2:I112,9,FALSE)="Ice",Backdoors!BE31,IF(VLOOKUP(tbMoveset!A56,tbMoveset!A2:I112,9,FALSE)="Dragon",Backdoors!BF31,Backdoors!BG31)))))/100,Backdoors!BG31/100),"")</f>
        <v>0</v>
      </c>
      <c r="GR56" s="49">
        <f>IFERROR(IF(VLOOKUP(A56,tbMoveset!A2:J112,10,FALSE)=TRUE,IF((Backdoors!AI12+IF(GP56&gt;=0.45,VLOOKUP(Calculator!E23,tbSkills!DH3:DI6,2,FALSE)+IF(AND(Calculator!B8=TRUE,Backdoors!BI31=TRUE),VLOOKUP(Calculator!E23,tbSkills!DH3:DJ6,3,FALSE),0),0))&gt;=0,1+(Backdoors!AL2*(IF((Backdoors!AI12+IF(GP56&gt;=0.45,VLOOKUP(Calculator!E23,tbSkills!DH3:DI6,2,FALSE)+IF(AND(Calculator!B8=TRUE,Backdoors!BI31=TRUE),VLOOKUP(Calculator!E23,tbSkills!DH3:DJ6,3,FALSE),0),0))&gt;=100,100,(Backdoors!AI12+IF(GP56&gt;=0.45,VLOOKUP(Calculator!E23,tbSkills!DH3:DI6,2,FALSE)+IF(AND(Calculator!B8=TRUE,Backdoors!BI31=TRUE),VLOOKUP(Calculator!E23,tbSkills!DH3:DJ6,3,FALSE),0),0)))/100)),(1-(0.25*((-Backdoors!AI12-IF(GP56&gt;=0.45,VLOOKUP(Calculator!E23,tbSkills!DH3:DI6,2,FALSE)+IF(AND(Calculator!B8=TRUE,Backdoors!BI31=TRUE),VLOOKUP(Calculator!E23,tbSkills!DH3:DJ6,3,FALSE),0),0))/100)))),1),"")</f>
        <v>1</v>
      </c>
      <c r="GS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P56)*GR56)*(VLOOKUP(A56,tbMoveset!A2:C112,3,FALSE)/100)*IF(VLOOKUP(A56,tbMoveset!A2:B112,2,FALSE)="Projectile",Backdoors!N10,Backdoors!N9),0),"")</f>
        <v/>
      </c>
      <c r="GT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P56&gt;=0.45,VLOOKUP(Calculator!E23,tbSkills!DH3:DI6,2,FALSE)+IF(AND(Calculator!B8=TRUE,Backdoors!BI31=TRUE),VLOOKUP(Calculator!E23,tbSkills!DH3:DJ6,3,FALSE),0),0))&gt;=100,100,(Backdoors!AI12+IF(GP56&gt;=0.45,VLOOKUP(Calculator!E23,tbSkills!DH3:DI6,2,FALSE)+IF(AND(Calculator!B8=TRUE,Backdoors!BI31=TRUE),VLOOKUP(Calculator!E23,tbSkills!DH3:DJ6,3,FALSE),0),0)))/100)),1))*IF(VLOOKUP(A56,tbMoveset!A2:K112,11,FALSE)=TRUE,Backdoors!AC5,1))*GQ56,0),"")</f>
        <v>0</v>
      </c>
      <c r="GU56" s="49">
        <f>VLOOKUP(A56,tbMoveset!A2:G112,7,FALSE)*IFERROR(IF(Backdoors!AI12&gt;=0,1+(IF(Calculator!E40&gt;0,VLOOKUP(Calculator!E40,tbSkills!AI3:AJ5,2,FALSE),Backdoors!AL4)*(IF((Backdoors!AI12+IF(GP56&gt;=0.45,VLOOKUP(Calculator!E23,tbSkills!DH3:DI6,2,FALSE)+IF(AND(Calculator!B8=TRUE,Backdoors!BI31=TRUE),VLOOKUP(Calculator!E23,tbSkills!DH3:DJ6,3,FALSE),0),0))&gt;=100,100,(Backdoors!AI12+IF(GP56&gt;=0.45,VLOOKUP(Calculator!E23,tbSkills!DH3:DI6,2,FALSE)+IF(AND(Calculator!B8=TRUE,Backdoors!BI31=TRUE),VLOOKUP(Calculator!E23,tbSkills!DH3:DJ6,3,FALSE),0),0)))/100)),1),1)</f>
        <v>0.8</v>
      </c>
      <c r="GV56" s="87">
        <f t="shared" si="21"/>
        <v>0</v>
      </c>
      <c r="GW56" s="86" t="str">
        <f>IFERROR(IF(VLOOKUP(A56,tbMoveset!A2:B112,2,FALSE)="Sever",Backdoors!AY32/100,IF(VLOOKUP(A56,tbMoveset!A2:B112,2,FALSE)="Blunt",Backdoors!AZ32/100,Backdoors!BA32/100)),"")</f>
        <v/>
      </c>
      <c r="GX56" s="49">
        <f>IFERROR(IF(VLOOKUP(tbMoveset!A56,tbMoveset!A2:H112,8,FALSE)="Other",IF(VLOOKUP(tbMoveset!A56,tbMoveset!A2:I112,9,FALSE)="Fire",Backdoors!BB32,IF(VLOOKUP(tbMoveset!A56,tbMoveset!A2:I112,9,FALSE)="Water",Backdoors!BC32,IF(VLOOKUP(tbMoveset!A56,tbMoveset!A2:I112,9,FALSE)="Thunder",Backdoors!BD32,IF(VLOOKUP(tbMoveset!A56,tbMoveset!A2:I112,9,FALSE)="Ice",Backdoors!BE32,IF(VLOOKUP(tbMoveset!A56,tbMoveset!A2:I112,9,FALSE)="Dragon",Backdoors!BF32,Backdoors!BG32)))))/100,Backdoors!BG32/100),"")</f>
        <v>0</v>
      </c>
      <c r="GY56" s="49">
        <f>IFERROR(IF(VLOOKUP(A56,tbMoveset!A2:J112,10,FALSE)=TRUE,IF((Backdoors!AI12+IF(GW56&gt;=0.45,VLOOKUP(Calculator!E23,tbSkills!DH3:DI6,2,FALSE)+IF(AND(Calculator!B8=TRUE,Backdoors!BI32=TRUE),VLOOKUP(Calculator!E23,tbSkills!DH3:DJ6,3,FALSE),0),0))&gt;=0,1+(Backdoors!AL2*(IF((Backdoors!AI12+IF(GW56&gt;=0.45,VLOOKUP(Calculator!E23,tbSkills!DH3:DI6,2,FALSE)+IF(AND(Calculator!B8=TRUE,Backdoors!BI32=TRUE),VLOOKUP(Calculator!E23,tbSkills!DH3:DJ6,3,FALSE),0),0))&gt;=100,100,(Backdoors!AI12+IF(GW56&gt;=0.45,VLOOKUP(Calculator!E23,tbSkills!DH3:DI6,2,FALSE)+IF(AND(Calculator!B8=TRUE,Backdoors!BI32=TRUE),VLOOKUP(Calculator!E23,tbSkills!DH3:DJ6,3,FALSE),0),0)))/100)),(1-(0.25*((-Backdoors!AI12-IF(GW56&gt;=0.45,VLOOKUP(Calculator!E23,tbSkills!DH3:DI6,2,FALSE)+IF(AND(Calculator!B8=TRUE,Backdoors!BI32=TRUE),VLOOKUP(Calculator!E23,tbSkills!DH3:DJ6,3,FALSE),0),0))/100)))),1),"")</f>
        <v>1</v>
      </c>
      <c r="GZ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W56)*GY56)*(VLOOKUP(A56,tbMoveset!A2:C112,3,FALSE)/100)*IF(VLOOKUP(A56,tbMoveset!A2:B112,2,FALSE)="Projectile",Backdoors!N10,Backdoors!N9),0),"")</f>
        <v/>
      </c>
      <c r="HA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W56&gt;=0.45,VLOOKUP(Calculator!E23,tbSkills!DH3:DI6,2,FALSE)+IF(AND(Calculator!B8=TRUE,Backdoors!BI32=TRUE),VLOOKUP(Calculator!E23,tbSkills!DH3:DJ6,3,FALSE),0),0))&gt;=100,100,(Backdoors!AI12+IF(GW56&gt;=0.45,VLOOKUP(Calculator!E23,tbSkills!DH3:DI6,2,FALSE)+IF(AND(Calculator!B8=TRUE,Backdoors!BI32=TRUE),VLOOKUP(Calculator!E23,tbSkills!DH3:DJ6,3,FALSE),0),0)))/100)),1))*IF(VLOOKUP(A56,tbMoveset!A2:K112,11,FALSE)=TRUE,Backdoors!AC5,1))*GX56,0),"")</f>
        <v>0</v>
      </c>
      <c r="HB56" s="49">
        <f>VLOOKUP(A56,tbMoveset!A2:G112,7,FALSE)*IFERROR(IF(Backdoors!AI12&gt;=0,1+(IF(Calculator!E40&gt;0,VLOOKUP(Calculator!E40,tbSkills!AI3:AJ5,2,FALSE),Backdoors!AL4)*(IF((Backdoors!AI12+IF(GW56&gt;=0.45,VLOOKUP(Calculator!E23,tbSkills!DH3:DI6,2,FALSE)+IF(AND(Calculator!B8=TRUE,Backdoors!BI32=TRUE),VLOOKUP(Calculator!E23,tbSkills!DH3:DJ6,3,FALSE),0),0))&gt;=100,100,(Backdoors!AI12+IF(GW56&gt;=0.45,VLOOKUP(Calculator!E23,tbSkills!DH3:DI6,2,FALSE)+IF(AND(Calculator!B8=TRUE,Backdoors!BI32=TRUE),VLOOKUP(Calculator!E23,tbSkills!DH3:DJ6,3,FALSE),0),0)))/100)),1),1)</f>
        <v>0.8</v>
      </c>
      <c r="HC56" s="87">
        <f t="shared" si="22"/>
        <v>0</v>
      </c>
      <c r="HD56" s="86" t="str">
        <f>IFERROR(IF(VLOOKUP(A56,tbMoveset!A2:B112,2,FALSE)="Sever",Backdoors!AY33/100,IF(VLOOKUP(A56,tbMoveset!A2:B112,2,FALSE)="Blunt",Backdoors!AZ33/100,Backdoors!BA33/100)),"")</f>
        <v/>
      </c>
      <c r="HE56" s="49">
        <f>IFERROR(IF(VLOOKUP(tbMoveset!A56,tbMoveset!A2:H112,8,FALSE)="Other",IF(VLOOKUP(tbMoveset!A56,tbMoveset!A2:I112,9,FALSE)="Fire",Backdoors!BB33,IF(VLOOKUP(tbMoveset!A56,tbMoveset!A2:I112,9,FALSE)="Water",Backdoors!BC33,IF(VLOOKUP(tbMoveset!A56,tbMoveset!A2:I112,9,FALSE)="Thunder",Backdoors!BD33,IF(VLOOKUP(tbMoveset!A56,tbMoveset!A2:I112,9,FALSE)="Ice",Backdoors!BE33,IF(VLOOKUP(tbMoveset!A56,tbMoveset!A2:I112,9,FALSE)="Dragon",Backdoors!BF33,Backdoors!BG33)))))/100,Backdoors!BG33/100),"")</f>
        <v>0</v>
      </c>
      <c r="HF56" s="49">
        <f>IFERROR(IF(VLOOKUP(A56,tbMoveset!A2:J112,10,FALSE)=TRUE,IF((Backdoors!AI12+IF(HD56&gt;=0.45,VLOOKUP(Calculator!E23,tbSkills!DH3:DI6,2,FALSE)+IF(AND(Calculator!B8=TRUE,Backdoors!BI33=TRUE),VLOOKUP(Calculator!E23,tbSkills!DH3:DJ6,3,FALSE),0),0))&gt;=0,1+(Backdoors!AL2*(IF((Backdoors!AI12+IF(HD56&gt;=0.45,VLOOKUP(Calculator!E23,tbSkills!DH3:DI6,2,FALSE)+IF(AND(Calculator!B8=TRUE,Backdoors!BI33=TRUE),VLOOKUP(Calculator!E23,tbSkills!DH3:DJ6,3,FALSE),0),0))&gt;=100,100,(Backdoors!AI12+IF(HD56&gt;=0.45,VLOOKUP(Calculator!E23,tbSkills!DH3:DI6,2,FALSE)+IF(AND(Calculator!B8=TRUE,Backdoors!BI33=TRUE),VLOOKUP(Calculator!E23,tbSkills!DH3:DJ6,3,FALSE),0),0)))/100)),(1-(0.25*((-Backdoors!AI12-IF(HD56&gt;=0.45,VLOOKUP(Calculator!E23,tbSkills!DH3:DI6,2,FALSE)+IF(AND(Calculator!B8=TRUE,Backdoors!BI33=TRUE),VLOOKUP(Calculator!E23,tbSkills!DH3:DJ6,3,FALSE),0),0))/100)))),1),"")</f>
        <v>1</v>
      </c>
      <c r="HG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D56)*HF56)*(VLOOKUP(A56,tbMoveset!A2:C112,3,FALSE)/100)*IF(VLOOKUP(A56,tbMoveset!A2:B112,2,FALSE)="Projectile",Backdoors!N10,Backdoors!N9),0),"")</f>
        <v/>
      </c>
      <c r="HH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D56&gt;=0.45,VLOOKUP(Calculator!E23,tbSkills!DH3:DI6,2,FALSE)+IF(AND(Calculator!B8=TRUE,Backdoors!BI33=TRUE),VLOOKUP(Calculator!E23,tbSkills!DH3:DJ6,3,FALSE),0),0))&gt;=100,100,(Backdoors!AI12+IF(HD56&gt;=0.45,VLOOKUP(Calculator!E23,tbSkills!DH3:DI6,2,FALSE)+IF(AND(Calculator!B8=TRUE,Backdoors!BI33=TRUE),VLOOKUP(Calculator!E23,tbSkills!DH3:DJ6,3,FALSE),0),0)))/100)),1))*IF(VLOOKUP(A56,tbMoveset!A2:K112,11,FALSE)=TRUE,Backdoors!AC5,1))*HE56,0),"")</f>
        <v>0</v>
      </c>
      <c r="HI56" s="49">
        <f>VLOOKUP(A56,tbMoveset!A2:G112,7,FALSE)*IFERROR(IF(Backdoors!AI12&gt;=0,1+(IF(Calculator!E40&gt;0,VLOOKUP(Calculator!E40,tbSkills!AI3:AJ5,2,FALSE),Backdoors!AL4)*(IF((Backdoors!AI12+IF(HD56&gt;=0.45,VLOOKUP(Calculator!E23,tbSkills!DH3:DI6,2,FALSE)+IF(AND(Calculator!B8=TRUE,Backdoors!BI33=TRUE),VLOOKUP(Calculator!E23,tbSkills!DH3:DJ6,3,FALSE),0),0))&gt;=100,100,(Backdoors!AI12+IF(HD56&gt;=0.45,VLOOKUP(Calculator!E23,tbSkills!DH3:DI6,2,FALSE)+IF(AND(Calculator!B8=TRUE,Backdoors!BI33=TRUE),VLOOKUP(Calculator!E23,tbSkills!DH3:DJ6,3,FALSE),0),0)))/100)),1),1)</f>
        <v>0.8</v>
      </c>
      <c r="HJ56" s="87">
        <f t="shared" si="23"/>
        <v>0</v>
      </c>
      <c r="HK56" s="86" t="str">
        <f>IFERROR(IF(VLOOKUP(A56,tbMoveset!A2:B112,2,FALSE)="Sever",Backdoors!AY34/100,IF(VLOOKUP(A56,tbMoveset!A2:B112,2,FALSE)="Blunt",Backdoors!AZ34/100,Backdoors!BA34/100)),"")</f>
        <v/>
      </c>
      <c r="HL56" s="49">
        <f>IFERROR(IF(VLOOKUP(tbMoveset!A56,tbMoveset!A2:H112,8,FALSE)="Other",IF(VLOOKUP(tbMoveset!A56,tbMoveset!A2:I112,9,FALSE)="Fire",Backdoors!BB34,IF(VLOOKUP(tbMoveset!A56,tbMoveset!A2:I112,9,FALSE)="Water",Backdoors!BC34,IF(VLOOKUP(tbMoveset!A56,tbMoveset!A2:I112,9,FALSE)="Thunder",Backdoors!BD34,IF(VLOOKUP(tbMoveset!A56,tbMoveset!A2:I112,9,FALSE)="Ice",Backdoors!BE34,IF(VLOOKUP(tbMoveset!A56,tbMoveset!A2:I112,9,FALSE)="Dragon",Backdoors!BF34,Backdoors!BG34)))))/100,Backdoors!BG34/100),"")</f>
        <v>0</v>
      </c>
      <c r="HM56" s="49">
        <f>IFERROR(IF(VLOOKUP(A56,tbMoveset!A2:J112,10,FALSE)=TRUE,IF((Backdoors!AI12+IF(HK56&gt;=0.45,VLOOKUP(Calculator!E23,tbSkills!DH3:DI6,2,FALSE)+IF(AND(Calculator!B8=TRUE,Backdoors!BI34=TRUE),VLOOKUP(Calculator!E23,tbSkills!DH3:DJ6,3,FALSE),0),0))&gt;=0,1+(Backdoors!AL2*(IF((Backdoors!AI12+IF(HK56&gt;=0.45,VLOOKUP(Calculator!E23,tbSkills!DH3:DI6,2,FALSE)+IF(AND(Calculator!B8=TRUE,Backdoors!BI34=TRUE),VLOOKUP(Calculator!E23,tbSkills!DH3:DJ6,3,FALSE),0),0))&gt;=100,100,(Backdoors!AI12+IF(HK56&gt;=0.45,VLOOKUP(Calculator!E23,tbSkills!DH3:DI6,2,FALSE)+IF(AND(Calculator!B8=TRUE,Backdoors!BI34=TRUE),VLOOKUP(Calculator!E23,tbSkills!DH3:DJ6,3,FALSE),0),0)))/100)),(1-(0.25*((-Backdoors!AI12-IF(HK56&gt;=0.45,VLOOKUP(Calculator!E23,tbSkills!DH3:DI6,2,FALSE)+IF(AND(Calculator!B8=TRUE,Backdoors!BI34=TRUE),VLOOKUP(Calculator!E23,tbSkills!DH3:DJ6,3,FALSE),0),0))/100)))),1),"")</f>
        <v>1</v>
      </c>
      <c r="HN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K56)*HM56)*(VLOOKUP(A56,tbMoveset!A2:C112,3,FALSE)/100)*IF(VLOOKUP(A56,tbMoveset!A2:B112,2,FALSE)="Projectile",Backdoors!N10,Backdoors!N9),0),"")</f>
        <v/>
      </c>
      <c r="HO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K56&gt;=0.45,VLOOKUP(Calculator!E23,tbSkills!DH3:DI6,2,FALSE)+IF(AND(Calculator!B8=TRUE,Backdoors!BI34=TRUE),VLOOKUP(Calculator!E23,tbSkills!DH3:DJ6,3,FALSE),0),0))&gt;=100,100,(Backdoors!AI12+IF(HK56&gt;=0.45,VLOOKUP(Calculator!E23,tbSkills!DH3:DI6,2,FALSE)+IF(AND(Calculator!B8=TRUE,Backdoors!BI34=TRUE),VLOOKUP(Calculator!E23,tbSkills!DH3:DJ6,3,FALSE),0),0)))/100)),1))*IF(VLOOKUP(A56,tbMoveset!A2:K112,11,FALSE)=TRUE,Backdoors!AC5,1))*HL56,0),"")</f>
        <v>0</v>
      </c>
      <c r="HP56" s="49">
        <f>VLOOKUP(A56,tbMoveset!A2:G112,7,FALSE)*IFERROR(IF(Backdoors!AI12&gt;=0,1+(IF(Calculator!E40&gt;0,VLOOKUP(Calculator!E40,tbSkills!AI3:AJ5,2,FALSE),Backdoors!AL4)*(IF((Backdoors!AI12+IF(HK56&gt;=0.45,VLOOKUP(Calculator!E23,tbSkills!DH3:DI6,2,FALSE)+IF(AND(Calculator!B8=TRUE,Backdoors!BI34=TRUE),VLOOKUP(Calculator!E23,tbSkills!DH3:DJ6,3,FALSE),0),0))&gt;=100,100,(Backdoors!AI12+IF(HK56&gt;=0.45,VLOOKUP(Calculator!E23,tbSkills!DH3:DI6,2,FALSE)+IF(AND(Calculator!B8=TRUE,Backdoors!BI34=TRUE),VLOOKUP(Calculator!E23,tbSkills!DH3:DJ6,3,FALSE),0),0)))/100)),1),1)</f>
        <v>0.8</v>
      </c>
      <c r="HQ56" s="87">
        <f t="shared" si="24"/>
        <v>0</v>
      </c>
      <c r="HR56" s="86" t="str">
        <f>IFERROR(IF(VLOOKUP(A56,tbMoveset!A2:B112,2,FALSE)="Sever",Backdoors!AY35/100,IF(VLOOKUP(A56,tbMoveset!A2:B112,2,FALSE)="Blunt",Backdoors!AZ35/100,Backdoors!BA35/100)),"")</f>
        <v/>
      </c>
      <c r="HS56" s="49">
        <f>IFERROR(IF(VLOOKUP(tbMoveset!A56,tbMoveset!A2:H112,8,FALSE)="Other",IF(VLOOKUP(tbMoveset!A56,tbMoveset!A2:I112,9,FALSE)="Fire",Backdoors!BB35,IF(VLOOKUP(tbMoveset!A56,tbMoveset!A2:I112,9,FALSE)="Water",Backdoors!BC35,IF(VLOOKUP(tbMoveset!A56,tbMoveset!A2:I112,9,FALSE)="Thunder",Backdoors!BD35,IF(VLOOKUP(tbMoveset!A56,tbMoveset!A2:I112,9,FALSE)="Ice",Backdoors!BE35,IF(VLOOKUP(tbMoveset!A56,tbMoveset!A2:I112,9,FALSE)="Dragon",Backdoors!BF35,Backdoors!BG35)))))/100,Backdoors!BG35/100),"")</f>
        <v>0</v>
      </c>
      <c r="HT56" s="49">
        <f>IFERROR(IF(VLOOKUP(A56,tbMoveset!A2:J112,10,FALSE)=TRUE,IF((Backdoors!AI12+IF(HR56&gt;=0.45,VLOOKUP(Calculator!E23,tbSkills!DH3:DI6,2,FALSE)+IF(AND(Calculator!B8=TRUE,Backdoors!BI35=TRUE),VLOOKUP(Calculator!E23,tbSkills!DH3:DJ6,3,FALSE),0),0))&gt;=0,1+(Backdoors!AL2*(IF((Backdoors!AI12+IF(HR56&gt;=0.45,VLOOKUP(Calculator!E23,tbSkills!DH3:DI6,2,FALSE)+IF(AND(Calculator!B8=TRUE,Backdoors!BI35=TRUE),VLOOKUP(Calculator!E23,tbSkills!DH3:DJ6,3,FALSE),0),0))&gt;=100,100,(Backdoors!AI12+IF(HR56&gt;=0.45,VLOOKUP(Calculator!E23,tbSkills!DH3:DI6,2,FALSE)+IF(AND(Calculator!B8=TRUE,Backdoors!BI35=TRUE),VLOOKUP(Calculator!E23,tbSkills!DH3:DJ6,3,FALSE),0),0)))/100)),(1-(0.25*((-Backdoors!AI12-IF(HR56&gt;=0.45,VLOOKUP(Calculator!E23,tbSkills!DH3:DI6,2,FALSE)+IF(AND(Calculator!B8=TRUE,Backdoors!BI35=TRUE),VLOOKUP(Calculator!E23,tbSkills!DH3:DJ6,3,FALSE),0),0))/100)))),1),"")</f>
        <v>1</v>
      </c>
      <c r="HU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R56)*HT56)*(VLOOKUP(A56,tbMoveset!A2:C112,3,FALSE)/100)*IF(VLOOKUP(A56,tbMoveset!A2:B112,2,FALSE)="Projectile",Backdoors!N10,Backdoors!N9),0),"")</f>
        <v/>
      </c>
      <c r="HV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R56&gt;=0.45,VLOOKUP(Calculator!E23,tbSkills!DH3:DI6,2,FALSE)+IF(AND(Calculator!B8=TRUE,Backdoors!BI35=TRUE),VLOOKUP(Calculator!E23,tbSkills!DH3:DJ6,3,FALSE),0),0))&gt;=100,100,(Backdoors!AI12+IF(HR56&gt;=0.45,VLOOKUP(Calculator!E23,tbSkills!DH3:DI6,2,FALSE)+IF(AND(Calculator!B8=TRUE,Backdoors!BI35=TRUE),VLOOKUP(Calculator!E23,tbSkills!DH3:DJ6,3,FALSE),0),0)))/100)),1))*IF(VLOOKUP(A56,tbMoveset!A2:K112,11,FALSE)=TRUE,Backdoors!AC5,1))*HS56,0),"")</f>
        <v>0</v>
      </c>
      <c r="HW56" s="49">
        <f>VLOOKUP(A56,tbMoveset!A2:G112,7,FALSE)*IFERROR(IF(Backdoors!AI12&gt;=0,1+(IF(Calculator!E40&gt;0,VLOOKUP(Calculator!E40,tbSkills!AI3:AJ5,2,FALSE),Backdoors!AL4)*(IF((Backdoors!AI12+IF(HR56&gt;=0.45,VLOOKUP(Calculator!E23,tbSkills!DH3:DI6,2,FALSE)+IF(AND(Calculator!B8=TRUE,Backdoors!BI35=TRUE),VLOOKUP(Calculator!E23,tbSkills!DH3:DJ6,3,FALSE),0),0))&gt;=100,100,(Backdoors!AI12+IF(HR56&gt;=0.45,VLOOKUP(Calculator!E23,tbSkills!DH3:DI6,2,FALSE)+IF(AND(Calculator!B8=TRUE,Backdoors!BI35=TRUE),VLOOKUP(Calculator!E23,tbSkills!DH3:DJ6,3,FALSE),0),0)))/100)),1),1)</f>
        <v>0.8</v>
      </c>
      <c r="HX56" s="87">
        <f t="shared" si="25"/>
        <v>0</v>
      </c>
      <c r="HY56" s="86" t="str">
        <f>IFERROR(IF(VLOOKUP(A56,tbMoveset!A2:B112,2,FALSE)="Sever",Backdoors!AY36/100,IF(VLOOKUP(A56,tbMoveset!A2:B112,2,FALSE)="Blunt",Backdoors!AZ36/100,Backdoors!BA36/100)),"")</f>
        <v/>
      </c>
      <c r="HZ56" s="49">
        <f>IFERROR(IF(VLOOKUP(tbMoveset!A56,tbMoveset!A2:H112,8,FALSE)="Other",IF(VLOOKUP(tbMoveset!A56,tbMoveset!A2:I112,9,FALSE)="Fire",Backdoors!BB36,IF(VLOOKUP(tbMoveset!A56,tbMoveset!A2:I112,9,FALSE)="Water",Backdoors!BC36,IF(VLOOKUP(tbMoveset!A56,tbMoveset!A2:I112,9,FALSE)="Thunder",Backdoors!BD36,IF(VLOOKUP(tbMoveset!A56,tbMoveset!A2:I112,9,FALSE)="Ice",Backdoors!BE36,IF(VLOOKUP(tbMoveset!A56,tbMoveset!A2:I112,9,FALSE)="Dragon",Backdoors!BF36,Backdoors!BG36)))))/100,Backdoors!BG36/100),"")</f>
        <v>0</v>
      </c>
      <c r="IA56" s="49">
        <f>IFERROR(IF(VLOOKUP(A56,tbMoveset!A2:J112,10,FALSE)=TRUE,IF((Backdoors!AI12+IF(HY56&gt;=0.45,VLOOKUP(Calculator!E23,tbSkills!DH3:DI6,2,FALSE)+IF(AND(Calculator!B8=TRUE,Backdoors!BI36=TRUE),VLOOKUP(Calculator!E23,tbSkills!DH3:DJ6,3,FALSE),0),0))&gt;=0,1+(Backdoors!AL2*(IF((Backdoors!AI12+IF(HY56&gt;=0.45,VLOOKUP(Calculator!E23,tbSkills!DH3:DI6,2,FALSE)+IF(AND(Calculator!B8=TRUE,Backdoors!BI36=TRUE),VLOOKUP(Calculator!E23,tbSkills!DH3:DJ6,3,FALSE),0),0))&gt;=100,100,(Backdoors!AI12+IF(HY56&gt;=0.45,VLOOKUP(Calculator!E23,tbSkills!DH3:DI6,2,FALSE)+IF(AND(Calculator!B8=TRUE,Backdoors!BI36=TRUE),VLOOKUP(Calculator!E23,tbSkills!DH3:DJ6,3,FALSE),0),0)))/100)),(1-(0.25*((-Backdoors!AI12-IF(HY56&gt;=0.45,VLOOKUP(Calculator!E23,tbSkills!DH3:DI6,2,FALSE)+IF(AND(Calculator!B8=TRUE,Backdoors!BI36=TRUE),VLOOKUP(Calculator!E23,tbSkills!DH3:DJ6,3,FALSE),0),0))/100)))),1),"")</f>
        <v>1</v>
      </c>
      <c r="IB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Y56)*IA56)*(VLOOKUP(A56,tbMoveset!A2:C112,3,FALSE)/100)*IF(VLOOKUP(A56,tbMoveset!A2:B112,2,FALSE)="Projectile",Backdoors!N10,Backdoors!N9),0),"")</f>
        <v/>
      </c>
      <c r="IC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Y56&gt;=0.45,VLOOKUP(Calculator!E23,tbSkills!DH3:DI6,2,FALSE)+IF(AND(Calculator!B8=TRUE,Backdoors!BI36=TRUE),VLOOKUP(Calculator!E23,tbSkills!DH3:DJ6,3,FALSE),0),0))&gt;=100,100,(Backdoors!AI12+IF(HY56&gt;=0.45,VLOOKUP(Calculator!E23,tbSkills!DH3:DI6,2,FALSE)+IF(AND(Calculator!B8=TRUE,Backdoors!BI36=TRUE),VLOOKUP(Calculator!E23,tbSkills!DH3:DJ6,3,FALSE),0),0)))/100)),1))*IF(VLOOKUP(A56,tbMoveset!A2:K112,11,FALSE)=TRUE,Backdoors!AC5,1))*HZ56,0),"")</f>
        <v>0</v>
      </c>
      <c r="ID56" s="49">
        <f>VLOOKUP(A56,tbMoveset!A2:G112,7,FALSE)*IFERROR(IF(Backdoors!AI12&gt;=0,1+(IF(Calculator!E40&gt;0,VLOOKUP(Calculator!E40,tbSkills!AI3:AJ5,2,FALSE),Backdoors!AL4)*(IF((Backdoors!AI12+IF(HY56&gt;=0.45,VLOOKUP(Calculator!E23,tbSkills!DH3:DI6,2,FALSE)+IF(AND(Calculator!B8=TRUE,Backdoors!BI36=TRUE),VLOOKUP(Calculator!E23,tbSkills!DH3:DJ6,3,FALSE),0),0))&gt;=100,100,(Backdoors!AI12+IF(HY56&gt;=0.45,VLOOKUP(Calculator!E23,tbSkills!DH3:DI6,2,FALSE)+IF(AND(Calculator!B8=TRUE,Backdoors!BI36=TRUE),VLOOKUP(Calculator!E23,tbSkills!DH3:DJ6,3,FALSE),0),0)))/100)),1),1)</f>
        <v>0.8</v>
      </c>
      <c r="IE56" s="87">
        <f t="shared" si="26"/>
        <v>0</v>
      </c>
      <c r="IF56" s="86" t="str">
        <f>IFERROR(IF(VLOOKUP(A56,tbMoveset!A2:B112,2,FALSE)="Sever",Backdoors!AY37/100,IF(VLOOKUP(A56,tbMoveset!A2:B112,2,FALSE)="Blunt",Backdoors!AZ37/100,Backdoors!BA37/100)),"")</f>
        <v/>
      </c>
      <c r="IG56" s="49">
        <f>IFERROR(IF(VLOOKUP(tbMoveset!A56,tbMoveset!A2:H112,8,FALSE)="Other",IF(VLOOKUP(tbMoveset!A56,tbMoveset!A2:I112,9,FALSE)="Fire",Backdoors!BB37,IF(VLOOKUP(tbMoveset!A56,tbMoveset!A2:I112,9,FALSE)="Water",Backdoors!BC37,IF(VLOOKUP(tbMoveset!A56,tbMoveset!A2:I112,9,FALSE)="Thunder",Backdoors!BD37,IF(VLOOKUP(tbMoveset!A56,tbMoveset!A2:I112,9,FALSE)="Ice",Backdoors!BE37,IF(VLOOKUP(tbMoveset!A56,tbMoveset!A2:I112,9,FALSE)="Dragon",Backdoors!BF37,Backdoors!BG37)))))/100,Backdoors!BG37/100),"")</f>
        <v>0</v>
      </c>
      <c r="IH56" s="49">
        <f>IFERROR(IF(VLOOKUP(A56,tbMoveset!A2:J112,10,FALSE)=TRUE,IF((Backdoors!AI12+IF(IF56&gt;=0.45,VLOOKUP(Calculator!E23,tbSkills!DH3:DI6,2,FALSE)+IF(AND(Calculator!B8=TRUE,Backdoors!BI37=TRUE),VLOOKUP(Calculator!E23,tbSkills!DH3:DJ6,3,FALSE),0),0))&gt;=0,1+(Backdoors!AL2*(IF((Backdoors!AI12+IF(IF56&gt;=0.45,VLOOKUP(Calculator!E23,tbSkills!DH3:DI6,2,FALSE)+IF(AND(Calculator!B8=TRUE,Backdoors!BI37=TRUE),VLOOKUP(Calculator!E23,tbSkills!DH3:DJ6,3,FALSE),0),0))&gt;=100,100,(Backdoors!AI12+IF(IF56&gt;=0.45,VLOOKUP(Calculator!E23,tbSkills!DH3:DI6,2,FALSE)+IF(AND(Calculator!B8=TRUE,Backdoors!BI37=TRUE),VLOOKUP(Calculator!E23,tbSkills!DH3:DJ6,3,FALSE),0),0)))/100)),(1-(0.25*((-Backdoors!AI12-IF(IF56&gt;=0.45,VLOOKUP(Calculator!E23,tbSkills!DH3:DI6,2,FALSE)+IF(AND(Calculator!B8=TRUE,Backdoors!BI37=TRUE),VLOOKUP(Calculator!E23,tbSkills!DH3:DJ6,3,FALSE),0),0))/100)))),1),"")</f>
        <v>1</v>
      </c>
      <c r="II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F56)*IH56)*(VLOOKUP(A56,tbMoveset!A2:C112,3,FALSE)/100)*IF(VLOOKUP(A56,tbMoveset!A2:B112,2,FALSE)="Projectile",Backdoors!N10,Backdoors!N9),0),"")</f>
        <v/>
      </c>
      <c r="IJ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IF56&gt;=0.45,VLOOKUP(Calculator!E23,tbSkills!DH3:DI6,2,FALSE)+IF(AND(Calculator!B8=TRUE,Backdoors!BI37=TRUE),VLOOKUP(Calculator!E23,tbSkills!DH3:DJ6,3,FALSE),0),0))&gt;=100,100,(Backdoors!AI12+IF(IF56&gt;=0.45,VLOOKUP(Calculator!E23,tbSkills!DH3:DI6,2,FALSE)+IF(AND(Calculator!B8=TRUE,Backdoors!BI37=TRUE),VLOOKUP(Calculator!E23,tbSkills!DH3:DJ6,3,FALSE),0),0)))/100)),1))*IF(VLOOKUP(A56,tbMoveset!A2:K112,11,FALSE)=TRUE,Backdoors!AC5,1))*IG56,0),"")</f>
        <v>0</v>
      </c>
      <c r="IK56" s="49">
        <f>VLOOKUP(A56,tbMoveset!A2:G112,7,FALSE)*IFERROR(IF(Backdoors!AI12&gt;=0,1+(IF(Calculator!E40&gt;0,VLOOKUP(Calculator!E40,tbSkills!AI3:AJ5,2,FALSE),Backdoors!AL4)*(IF((Backdoors!AI12+IF(IF56&gt;=0.45,VLOOKUP(Calculator!E23,tbSkills!DH3:DI6,2,FALSE)+IF(AND(Calculator!B8=TRUE,Backdoors!BI37=TRUE),VLOOKUP(Calculator!E23,tbSkills!DH3:DJ6,3,FALSE),0),0))&gt;=100,100,(Backdoors!AI12+IF(IF56&gt;=0.45,VLOOKUP(Calculator!E23,tbSkills!DH3:DI6,2,FALSE)+IF(AND(Calculator!B8=TRUE,Backdoors!BI37=TRUE),VLOOKUP(Calculator!E23,tbSkills!DH3:DJ6,3,FALSE),0),0)))/100)),1),1)</f>
        <v>0.8</v>
      </c>
      <c r="IL56" s="87">
        <f t="shared" si="27"/>
        <v>0</v>
      </c>
      <c r="IM56" s="86" t="str">
        <f>IFERROR(IF(VLOOKUP(A56,tbMoveset!A2:B112,2,FALSE)="Sever",Backdoors!AY38/100,IF(VLOOKUP(A56,tbMoveset!A2:B112,2,FALSE)="Blunt",Backdoors!AZ38/100,Backdoors!BA38/100)),"")</f>
        <v/>
      </c>
      <c r="IN56" s="49">
        <f>IFERROR(IF(VLOOKUP(tbMoveset!A56,tbMoveset!A2:H112,8,FALSE)="Other",IF(VLOOKUP(tbMoveset!A56,tbMoveset!A2:I112,9,FALSE)="Fire",Backdoors!BB38,IF(VLOOKUP(tbMoveset!A56,tbMoveset!A2:I112,9,FALSE)="Water",Backdoors!BC38,IF(VLOOKUP(tbMoveset!A56,tbMoveset!A2:I112,9,FALSE)="Thunder",Backdoors!BD38,IF(VLOOKUP(tbMoveset!A56,tbMoveset!A2:I112,9,FALSE)="Ice",Backdoors!BE38,IF(VLOOKUP(tbMoveset!A56,tbMoveset!A2:I112,9,FALSE)="Dragon",Backdoors!BF38,Backdoors!BG38)))))/100,Backdoors!BG38/100),"")</f>
        <v>0</v>
      </c>
      <c r="IO56" s="49">
        <f>IFERROR(IF(VLOOKUP(A56,tbMoveset!A2:J112,10,FALSE)=TRUE,IF((Backdoors!AI12+IF(IM56&gt;=0.45,VLOOKUP(Calculator!E23,tbSkills!DH3:DI6,2,FALSE)+IF(AND(Calculator!B8=TRUE,Backdoors!BI38=TRUE),VLOOKUP(Calculator!E23,tbSkills!DH3:DJ6,3,FALSE),0),0))&gt;=0,1+(Backdoors!AL2*(IF((Backdoors!AI12+IF(IM56&gt;=0.45,VLOOKUP(Calculator!E23,tbSkills!DH3:DI6,2,FALSE)+IF(AND(Calculator!B8=TRUE,Backdoors!BI38=TRUE),VLOOKUP(Calculator!E23,tbSkills!DH3:DJ6,3,FALSE),0),0))&gt;=100,100,(Backdoors!AI12+IF(IM56&gt;=0.45,VLOOKUP(Calculator!E23,tbSkills!DH3:DI6,2,FALSE)+IF(AND(Calculator!B8=TRUE,Backdoors!BI38=TRUE),VLOOKUP(Calculator!E23,tbSkills!DH3:DJ6,3,FALSE),0),0)))/100)),(1-(0.25*((-Backdoors!AI12-IF(IM56&gt;=0.45,VLOOKUP(Calculator!E23,tbSkills!DH3:DI6,2,FALSE)+IF(AND(Calculator!B8=TRUE,Backdoors!BI38=TRUE),VLOOKUP(Calculator!E23,tbSkills!DH3:DJ6,3,FALSE),0),0))/100)))),1),"")</f>
        <v>1</v>
      </c>
      <c r="IP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M56)*IO56)*(VLOOKUP(A56,tbMoveset!A2:C112,3,FALSE)/100)*IF(VLOOKUP(A56,tbMoveset!A2:B112,2,FALSE)="Projectile",Backdoors!N10,Backdoors!N9),0),"")</f>
        <v/>
      </c>
      <c r="IQ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IM56&gt;=0.45,VLOOKUP(Calculator!E23,tbSkills!DH3:DI6,2,FALSE)+IF(AND(Calculator!B8=TRUE,Backdoors!BI38=TRUE),VLOOKUP(Calculator!E23,tbSkills!DH3:DJ6,3,FALSE),0),0))&gt;=100,100,(Backdoors!AI12+IF(IM56&gt;=0.45,VLOOKUP(Calculator!E23,tbSkills!DH3:DI6,2,FALSE)+IF(AND(Calculator!B8=TRUE,Backdoors!BI38=TRUE),VLOOKUP(Calculator!E23,tbSkills!DH3:DJ6,3,FALSE),0),0)))/100)),1))*IF(VLOOKUP(A56,tbMoveset!A2:K112,11,FALSE)=TRUE,Backdoors!AC5,1))*IN56,0),"")</f>
        <v>0</v>
      </c>
      <c r="IR56" s="49">
        <f>VLOOKUP(A56,tbMoveset!A2:G112,7,FALSE)*IFERROR(IF(Backdoors!AI12&gt;=0,1+(IF(Calculator!E40&gt;0,VLOOKUP(Calculator!E40,tbSkills!AI3:AJ5,2,FALSE),Backdoors!AL4)*(IF((Backdoors!AI12+IF(IM56&gt;=0.45,VLOOKUP(Calculator!E23,tbSkills!DH3:DI6,2,FALSE)+IF(AND(Calculator!B8=TRUE,Backdoors!BI38=TRUE),VLOOKUP(Calculator!E23,tbSkills!DH3:DJ6,3,FALSE),0),0))&gt;=100,100,(Backdoors!AI12+IF(IM56&gt;=0.45,VLOOKUP(Calculator!E23,tbSkills!DH3:DI6,2,FALSE)+IF(AND(Calculator!B8=TRUE,Backdoors!BI38=TRUE),VLOOKUP(Calculator!E23,tbSkills!DH3:DJ6,3,FALSE),0),0)))/100)),1),1)</f>
        <v>0.8</v>
      </c>
      <c r="IS56" s="87">
        <f t="shared" si="42"/>
        <v>0</v>
      </c>
      <c r="IT56" s="86" t="str">
        <f>IFERROR(IF(VLOOKUP(A56,tbMoveset!A2:B112,2,FALSE)="Sever",Backdoors!AY39/100,IF(VLOOKUP(A56,tbMoveset!A2:B112,2,FALSE)="Blunt",Backdoors!AZ39/100,Backdoors!BA39/100)),"")</f>
        <v/>
      </c>
      <c r="IU56" s="49">
        <f>IFERROR(IF(VLOOKUP(tbMoveset!A56,tbMoveset!A2:H112,8,FALSE)="Other",IF(VLOOKUP(tbMoveset!A56,tbMoveset!A2:I112,9,FALSE)="Fire",Backdoors!BB39,IF(VLOOKUP(tbMoveset!A56,tbMoveset!A2:I112,9,FALSE)="Water",Backdoors!BC39,IF(VLOOKUP(tbMoveset!A56,tbMoveset!A2:I112,9,FALSE)="Thunder",Backdoors!BD39,IF(VLOOKUP(tbMoveset!A56,tbMoveset!A2:I112,9,FALSE)="Ice",Backdoors!BE39,IF(VLOOKUP(tbMoveset!A56,tbMoveset!A2:I112,9,FALSE)="Dragon",Backdoors!BF39,Backdoors!BG39)))))/100,Backdoors!BG39/100),"")</f>
        <v>0</v>
      </c>
      <c r="IV56" s="49">
        <f>IFERROR(IF(VLOOKUP(A56,tbMoveset!A2:J112,10,FALSE)=TRUE,IF((Backdoors!AI12+IF(IT56&gt;=0.45,VLOOKUP(Calculator!E23,tbSkills!DH3:DI6,2,FALSE)+IF(AND(Calculator!B8=TRUE,Backdoors!BI39=TRUE),VLOOKUP(Calculator!E23,tbSkills!DH3:DJ6,3,FALSE),0),0))&gt;=0,1+(Backdoors!AL2*(IF((Backdoors!AI12+IF(IT56&gt;=0.45,VLOOKUP(Calculator!E23,tbSkills!DH3:DI6,2,FALSE)+IF(AND(Calculator!B8=TRUE,Backdoors!BI39=TRUE),VLOOKUP(Calculator!E23,tbSkills!DH3:DJ6,3,FALSE),0),0))&gt;=100,100,(Backdoors!AI12+IF(IT56&gt;=0.45,VLOOKUP(Calculator!E23,tbSkills!DH3:DI6,2,FALSE)+IF(AND(Calculator!B8=TRUE,Backdoors!BI39=TRUE),VLOOKUP(Calculator!E23,tbSkills!DH3:DJ6,3,FALSE),0),0)))/100)),(1-(0.25*((-Backdoors!AI12-IF(IT56&gt;=0.45,VLOOKUP(Calculator!E23,tbSkills!DH3:DI6,2,FALSE)+IF(AND(Calculator!B8=TRUE,Backdoors!BI39=TRUE),VLOOKUP(Calculator!E23,tbSkills!DH3:DJ6,3,FALSE),0),0))/100)))),1),"")</f>
        <v>1</v>
      </c>
      <c r="IW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T56)*IV56)*(VLOOKUP(A56,tbMoveset!A2:C112,3,FALSE)/100)*IF(VLOOKUP(A56,tbMoveset!A2:B112,2,FALSE)="Projectile",Backdoors!N10,Backdoors!N9),0),"")</f>
        <v/>
      </c>
      <c r="IX56" s="49">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40&gt;0,VLOOKUP(Calculator!E40,tbSkills!AC3:AD5,2,FALSE),Backdoors!AL3)*(IF((Backdoors!AI12+IF(IT56&gt;=0.45,VLOOKUP(Calculator!E23,tbSkills!DH3:DI6,2,FALSE)+IF(AND(Calculator!B8=TRUE,Backdoors!BI39=TRUE),VLOOKUP(Calculator!E23,tbSkills!DH3:DJ6,3,FALSE),0),0))&gt;=100,100,(Backdoors!AI12+IF(IT56&gt;=0.45,VLOOKUP(Calculator!E23,tbSkills!DH3:DI6,2,FALSE)+IF(AND(Calculator!B8=TRUE,Backdoors!BI39=TRUE),VLOOKUP(Calculator!E23,tbSkills!DH3:DJ6,3,FALSE),0),0)))/100)),1))*IF(VLOOKUP(A56,tbMoveset!A2:K112,11,FALSE)=TRUE,Backdoors!AC5,1))*IU56,0),"")</f>
        <v>0</v>
      </c>
      <c r="IY56" s="49">
        <f>VLOOKUP(A56,tbMoveset!A2:G112,7,FALSE)*IFERROR(IF(Backdoors!AI12&gt;=0,1+(IF(Calculator!E40&gt;0,VLOOKUP(Calculator!E40,tbSkills!AI3:AJ5,2,FALSE),Backdoors!AL4)*(IF((Backdoors!AI12+IF(IT56&gt;=0.45,VLOOKUP(Calculator!E23,tbSkills!DH3:DI6,2,FALSE)+IF(AND(Calculator!B8=TRUE,Backdoors!BI39=TRUE),VLOOKUP(Calculator!E23,tbSkills!DH3:DJ6,3,FALSE),0),0))&gt;=100,100,(Backdoors!AI12+IF(IT56&gt;=0.45,VLOOKUP(Calculator!E23,tbSkills!DH3:DI6,2,FALSE)+IF(AND(Calculator!B8=TRUE,Backdoors!BI39=TRUE),VLOOKUP(Calculator!E23,tbSkills!DH3:DJ6,3,FALSE),0),0)))/100)),1),1)</f>
        <v>0.8</v>
      </c>
      <c r="IZ56" s="87">
        <f t="shared" si="28"/>
        <v>0</v>
      </c>
      <c r="JA56" s="86" t="str">
        <f>IFERROR(IF(VLOOKUP(A56,tbMoveset!A2:B112,2,FALSE)="Sever",Backdoors!AY40/100,IF(VLOOKUP(A56,tbMoveset!A2:B112,2,FALSE)="Blunt",Backdoors!AZ40/100,Backdoors!BA40/100)),"")</f>
        <v/>
      </c>
      <c r="JB56" s="49">
        <f>IFERROR(IF(VLOOKUP(tbMoveset!A56,tbMoveset!A2:H112,8,FALSE)="Other",IF(VLOOKUP(tbMoveset!A56,tbMoveset!A2:I112,9,FALSE)="Fire",Backdoors!BB40,IF(VLOOKUP(tbMoveset!A56,tbMoveset!A2:I112,9,FALSE)="Water",Backdoors!BC40,IF(VLOOKUP(tbMoveset!A56,tbMoveset!A2:I112,9,FALSE)="Thunder",Backdoors!BD40,IF(VLOOKUP(tbMoveset!A56,tbMoveset!A2:I112,9,FALSE)="Ice",Backdoors!BE40,IF(VLOOKUP(tbMoveset!A56,tbMoveset!A2:I112,9,FALSE)="Dragon",Backdoors!BF40,Backdoors!BG40)))))/100,Backdoors!BG40/100),"")</f>
        <v>0</v>
      </c>
      <c r="JC56" s="49">
        <f>IFERROR(IF(VLOOKUP(A56,tbMoveset!A2:J112,10,FALSE)=TRUE,IF((Backdoors!AI12+IF(JA56&gt;=0.45,VLOOKUP(Calculator!E23,tbSkills!DH3:DI6,2,FALSE)+IF(AND(Calculator!B8=TRUE,Backdoors!BI40=TRUE),VLOOKUP(Calculator!E23,tbSkills!DH3:DJ6,3,FALSE),0),0))&gt;=0,1+(Backdoors!AL2*(IF((Backdoors!AI12+IF(JA56&gt;=0.45,VLOOKUP(Calculator!E23,tbSkills!DH3:DI6,2,FALSE)+IF(AND(Calculator!B8=TRUE,Backdoors!BI40=TRUE),VLOOKUP(Calculator!E23,tbSkills!DH3:DJ6,3,FALSE),0),0))&gt;=100,100,(Backdoors!AI12+IF(JA56&gt;=0.45,VLOOKUP(Calculator!E23,tbSkills!DH3:DI6,2,FALSE)+IF(AND(Calculator!B8=TRUE,Backdoors!BI40=TRUE),VLOOKUP(Calculator!E23,tbSkills!DH3:DJ6,3,FALSE),0),0)))/100)),(1-(0.25*((-Backdoors!AI12-IF(JA56&gt;=0.45,VLOOKUP(Calculator!E23,tbSkills!DH3:DI6,2,FALSE)+IF(AND(Calculator!B8=TRUE,Backdoors!BI40=TRUE),VLOOKUP(Calculator!E23,tbSkills!DH3:DJ6,3,FALSE),0),0))/100)))),1),"")</f>
        <v>1</v>
      </c>
      <c r="JD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A56)*JC56)*(VLOOKUP(A56,tbMoveset!A2:C112,3,FALSE)/100)*IF(VLOOKUP(A56,tbMoveset!A2:B112,2,FALSE)="Projectile",Backdoors!N10,Backdoors!N9),0),"")</f>
        <v/>
      </c>
      <c r="JE56" s="49">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42&gt;0,VLOOKUP(Calculator!E42,tbSkills!AC3:AD5,2,FALSE),Backdoors!AL3)*(IF((Backdoors!AI12+IF(JA56&gt;=0.45,VLOOKUP(Calculator!E23,tbSkills!DH3:DI6,2,FALSE)+IF(AND(Calculator!B8=TRUE,Backdoors!BI40=TRUE),VLOOKUP(Calculator!E23,tbSkills!DH3:DJ6,3,FALSE),0),0))&gt;=100,100,(Backdoors!AI12+IF(JA56&gt;=0.45,VLOOKUP(Calculator!E23,tbSkills!DH3:DI6,2,FALSE)+IF(AND(Calculator!B8=TRUE,Backdoors!BI40=TRUE),VLOOKUP(Calculator!E23,tbSkills!DH3:DJ6,3,FALSE),0),0)))/100)),1))*IF(VLOOKUP(A56,tbMoveset!A2:K112,11,FALSE)=TRUE,Backdoors!AC5,1))*JB56,0),"")</f>
        <v>0</v>
      </c>
      <c r="JF56" s="49">
        <f>VLOOKUP(A56,tbMoveset!A2:G112,7,FALSE)*IFERROR(IF(Backdoors!AI12&gt;=0,1+(IF(Calculator!E40&gt;0,VLOOKUP(Calculator!E40,tbSkills!AI3:AJ5,2,FALSE),Backdoors!AL4)*(IF((Backdoors!AI12+IF(JA56&gt;=0.45,VLOOKUP(Calculator!E23,tbSkills!DH3:DI6,2,FALSE)+IF(AND(Calculator!B8=TRUE,Backdoors!BI40=TRUE),VLOOKUP(Calculator!E23,tbSkills!DH3:DJ6,3,FALSE),0),0))&gt;=100,100,(Backdoors!AI12+IF(JA56&gt;=0.45,VLOOKUP(Calculator!E23,tbSkills!DH3:DI6,2,FALSE)+IF(AND(Calculator!B8=TRUE,Backdoors!BI40=TRUE),VLOOKUP(Calculator!E23,tbSkills!DH3:DJ6,3,FALSE),0),0)))/100)),1),1)</f>
        <v>0.8</v>
      </c>
      <c r="JG56" s="87">
        <f t="shared" si="29"/>
        <v>0</v>
      </c>
      <c r="JH56" s="86" t="str">
        <f>IFERROR(IF(VLOOKUP(A56,tbMoveset!A2:B112,2,FALSE)="Sever",Backdoors!AY41/100,IF(VLOOKUP(A56,tbMoveset!A2:B112,2,FALSE)="Blunt",Backdoors!AZ41/100,Backdoors!BA41/100)),"")</f>
        <v/>
      </c>
      <c r="JI56" s="49">
        <f>IFERROR(IF(VLOOKUP(tbMoveset!A56,tbMoveset!A2:H112,8,FALSE)="Other",IF(VLOOKUP(tbMoveset!A56,tbMoveset!A2:I112,9,FALSE)="Fire",Backdoors!BB41,IF(VLOOKUP(tbMoveset!A56,tbMoveset!A2:I112,9,FALSE)="Water",Backdoors!BC41,IF(VLOOKUP(tbMoveset!A56,tbMoveset!A2:I112,9,FALSE)="Thunder",Backdoors!BD41,IF(VLOOKUP(tbMoveset!A56,tbMoveset!A2:I112,9,FALSE)="Ice",Backdoors!BE41,IF(VLOOKUP(tbMoveset!A56,tbMoveset!A2:I112,9,FALSE)="Dragon",Backdoors!BF41,Backdoors!BG41)))))/100,Backdoors!BG41/100),"")</f>
        <v>0</v>
      </c>
      <c r="JJ56" s="49">
        <f>IFERROR(IF(VLOOKUP(A56,tbMoveset!A2:J112,10,FALSE)=TRUE,IF((Backdoors!AI12+IF(JH56&gt;=0.45,VLOOKUP(Calculator!E23,tbSkills!DH3:DI6,2,FALSE)+IF(AND(Calculator!B8=TRUE,Backdoors!BI41=TRUE),VLOOKUP(Calculator!E23,tbSkills!DH3:DJ6,3,FALSE),0),0))&gt;=0,1+(Backdoors!AL2*(IF((Backdoors!AI12+IF(JH56&gt;=0.45,VLOOKUP(Calculator!E23,tbSkills!DH3:DI6,2,FALSE)+IF(AND(Calculator!B8=TRUE,Backdoors!BI41=TRUE),VLOOKUP(Calculator!E23,tbSkills!DH3:DJ6,3,FALSE),0),0))&gt;=100,100,(Backdoors!AI12+IF(JH56&gt;=0.45,VLOOKUP(Calculator!E23,tbSkills!DH3:DI6,2,FALSE)+IF(AND(Calculator!B8=TRUE,Backdoors!BI41=TRUE),VLOOKUP(Calculator!E23,tbSkills!DH3:DJ6,3,FALSE),0),0)))/100)),(1-(0.25*((-Backdoors!AI12-IF(JH56&gt;=0.45,VLOOKUP(Calculator!E23,tbSkills!DH3:DI6,2,FALSE)+IF(AND(Calculator!B8=TRUE,Backdoors!BI41=TRUE),VLOOKUP(Calculator!E23,tbSkills!DH3:DJ6,3,FALSE),0),0))/100)))),1),"")</f>
        <v>1</v>
      </c>
      <c r="JK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H56)*JJ56)*(VLOOKUP(A56,tbMoveset!A2:C112,3,FALSE)/100)*IF(VLOOKUP(A56,tbMoveset!A2:B112,2,FALSE)="Projectile",Backdoors!N10,Backdoors!N9),0),"")</f>
        <v/>
      </c>
      <c r="JL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43&gt;0,VLOOKUP(Calculator!E43,tbSkills!AC3:AD5,2,FALSE),Backdoors!AL3)*(IF((Backdoors!AI12+IF(JH56&gt;=0.45,VLOOKUP(Calculator!E23,tbSkills!DH3:DI6,2,FALSE)+IF(AND(Calculator!B8=TRUE,Backdoors!BI41=TRUE),VLOOKUP(Calculator!E23,tbSkills!DH3:DJ6,3,FALSE),0),0))&gt;=100,100,(Backdoors!AI12+IF(JH56&gt;=0.45,VLOOKUP(Calculator!E23,tbSkills!DH3:DI6,2,FALSE)+IF(AND(Calculator!B8=TRUE,Backdoors!BI41=TRUE),VLOOKUP(Calculator!E23,tbSkills!DH3:DJ6,3,FALSE),0),0)))/100)),1))*IF(VLOOKUP(A56,tbMoveset!A2:K112,11,FALSE)=TRUE,Backdoors!AC5,1))*JI56,0),"")</f>
        <v/>
      </c>
      <c r="JM56" s="49">
        <f>VLOOKUP(A56,tbMoveset!A2:G112,7,FALSE)*IFERROR(IF(Backdoors!AI12&gt;=0,1+(IF(Calculator!E40&gt;0,VLOOKUP(Calculator!E40,tbSkills!AI3:AJ5,2,FALSE),Backdoors!AL4)*(IF((Backdoors!AI12+IF(JH56&gt;=0.45,VLOOKUP(Calculator!E23,tbSkills!DH3:DI6,2,FALSE)+IF(AND(Calculator!B8=TRUE,Backdoors!BI41=TRUE),VLOOKUP(Calculator!E23,tbSkills!DH3:DJ6,3,FALSE),0),0))&gt;=100,100,(Backdoors!AI12+IF(JH56&gt;=0.45,VLOOKUP(Calculator!E23,tbSkills!DH3:DI6,2,FALSE)+IF(AND(Calculator!B8=TRUE,Backdoors!BI41=TRUE),VLOOKUP(Calculator!E23,tbSkills!DH3:DJ6,3,FALSE),0),0)))/100)),1),1)</f>
        <v>0.8</v>
      </c>
      <c r="JN56" s="87">
        <f t="shared" si="30"/>
        <v>0</v>
      </c>
      <c r="JO56" s="86" t="str">
        <f>IFERROR(IF(VLOOKUP(A56,tbMoveset!A2:B112,2,FALSE)="Sever",Backdoors!AY42/100,IF(VLOOKUP(A56,tbMoveset!A2:B112,2,FALSE)="Blunt",Backdoors!AZ42/100,Backdoors!BA42/100)),"")</f>
        <v/>
      </c>
      <c r="JP56" s="49">
        <f>IFERROR(IF(VLOOKUP(tbMoveset!A56,tbMoveset!A2:H112,8,FALSE)="Other",IF(VLOOKUP(tbMoveset!A56,tbMoveset!A2:I112,9,FALSE)="Fire",Backdoors!BB42,IF(VLOOKUP(tbMoveset!A56,tbMoveset!A2:I112,9,FALSE)="Water",Backdoors!BC42,IF(VLOOKUP(tbMoveset!A56,tbMoveset!A2:I112,9,FALSE)="Thunder",Backdoors!BD42,IF(VLOOKUP(tbMoveset!A56,tbMoveset!A2:I112,9,FALSE)="Ice",Backdoors!BE42,IF(VLOOKUP(tbMoveset!A56,tbMoveset!A2:I112,9,FALSE)="Dragon",Backdoors!BF42,Backdoors!BG42)))))/100,Backdoors!BG42/100),"")</f>
        <v>0</v>
      </c>
      <c r="JQ56" s="49">
        <f>IFERROR(IF(VLOOKUP(A56,tbMoveset!A2:J112,10,FALSE)=TRUE,IF((Backdoors!AI12+IF(JO56&gt;=0.45,VLOOKUP(Calculator!E23,tbSkills!DH3:DI6,2,FALSE)+IF(AND(Calculator!B8=TRUE,Backdoors!BI42=TRUE),VLOOKUP(Calculator!E23,tbSkills!DH3:DJ6,3,FALSE),0),0))&gt;=0,1+(Backdoors!AL2*(IF((Backdoors!AI12+IF(JO56&gt;=0.45,VLOOKUP(Calculator!E23,tbSkills!DH3:DI6,2,FALSE)+IF(AND(Calculator!B8=TRUE,Backdoors!BI42=TRUE),VLOOKUP(Calculator!E23,tbSkills!DH3:DJ6,3,FALSE),0),0))&gt;=100,100,(Backdoors!AI12+IF(JO56&gt;=0.45,VLOOKUP(Calculator!E23,tbSkills!DH3:DI6,2,FALSE)+IF(AND(Calculator!B8=TRUE,Backdoors!BI42=TRUE),VLOOKUP(Calculator!E23,tbSkills!DH3:DJ6,3,FALSE),0),0)))/100)),(1-(0.25*((-Backdoors!AI12-IF(JO56&gt;=0.45,VLOOKUP(Calculator!E23,tbSkills!DH3:DI6,2,FALSE)+IF(AND(Calculator!B8=TRUE,Backdoors!BI42=TRUE),VLOOKUP(Calculator!E23,tbSkills!DH3:DJ6,3,FALSE),0),0))/100)))),1),"")</f>
        <v>1</v>
      </c>
      <c r="JR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O56)*JQ56)*(VLOOKUP(A56,tbMoveset!A2:C112,3,FALSE)/100)*IF(VLOOKUP(A56,tbMoveset!A2:B112,2,FALSE)="Projectile",Backdoors!N10,Backdoors!N9),0),"")</f>
        <v/>
      </c>
      <c r="JS56" s="49">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45&gt;0,VLOOKUP(Calculator!E45,tbSkills!AC3:AD5,2,FALSE),Backdoors!AL3)*(IF((Backdoors!AI12+IF(JO56&gt;=0.45,VLOOKUP(Calculator!E23,tbSkills!DH3:DI6,2,FALSE)+IF(AND(Calculator!B8=TRUE,Backdoors!BI42=TRUE),VLOOKUP(Calculator!E23,tbSkills!DH3:DJ6,3,FALSE),0),0))&gt;=100,100,(Backdoors!AI12+IF(JO56&gt;=0.45,VLOOKUP(Calculator!E23,tbSkills!DH3:DI6,2,FALSE)+IF(AND(Calculator!B8=TRUE,Backdoors!BI42=TRUE),VLOOKUP(Calculator!E23,tbSkills!DH3:DJ6,3,FALSE),0),0)))/100)),1))*IF(VLOOKUP(A56,tbMoveset!A2:K112,11,FALSE)=TRUE,Backdoors!AC5,1))*JP56,0),"")</f>
        <v>0</v>
      </c>
      <c r="JT56" s="49">
        <f>VLOOKUP(A56,tbMoveset!A2:G112,7,FALSE)*IFERROR(IF(Backdoors!AI12&gt;=0,1+(IF(Calculator!E40&gt;0,VLOOKUP(Calculator!E40,tbSkills!AI3:AJ5,2,FALSE),Backdoors!AL4)*(IF((Backdoors!AI12+IF(JO56&gt;=0.45,VLOOKUP(Calculator!E23,tbSkills!DH3:DI6,2,FALSE)+IF(AND(Calculator!B8=TRUE,Backdoors!BI42=TRUE),VLOOKUP(Calculator!E23,tbSkills!DH3:DJ6,3,FALSE),0),0))&gt;=100,100,(Backdoors!AI12+IF(JO56&gt;=0.45,VLOOKUP(Calculator!E23,tbSkills!DH3:DI6,2,FALSE)+IF(AND(Calculator!B8=TRUE,Backdoors!BI42=TRUE),VLOOKUP(Calculator!E23,tbSkills!DH3:DJ6,3,FALSE),0),0)))/100)),1),1)</f>
        <v>0.8</v>
      </c>
      <c r="JU56" s="87">
        <f t="shared" si="31"/>
        <v>0</v>
      </c>
      <c r="JV56" s="86" t="str">
        <f>IFERROR(IF(VLOOKUP(A56,tbMoveset!A2:B112,2,FALSE)="Sever",Backdoors!AY43/100,IF(VLOOKUP(A56,tbMoveset!A2:B112,2,FALSE)="Blunt",Backdoors!AZ43/100,Backdoors!BA43/100)),"")</f>
        <v/>
      </c>
      <c r="JW56" s="49">
        <f>IFERROR(IF(VLOOKUP(tbMoveset!A56,tbMoveset!A2:H112,8,FALSE)="Other",IF(VLOOKUP(tbMoveset!A56,tbMoveset!A2:I112,9,FALSE)="Fire",Backdoors!BB43,IF(VLOOKUP(tbMoveset!A56,tbMoveset!A2:I112,9,FALSE)="Water",Backdoors!BC43,IF(VLOOKUP(tbMoveset!A56,tbMoveset!A2:I112,9,FALSE)="Thunder",Backdoors!BD43,IF(VLOOKUP(tbMoveset!A56,tbMoveset!A2:I112,9,FALSE)="Ice",Backdoors!BE43,IF(VLOOKUP(tbMoveset!A56,tbMoveset!A2:I112,9,FALSE)="Dragon",Backdoors!BF43,Backdoors!BG43)))))/100,Backdoors!BG43/100),"")</f>
        <v>0</v>
      </c>
      <c r="JX56" s="49">
        <f>IFERROR(IF(VLOOKUP(A56,tbMoveset!A2:J112,10,FALSE)=TRUE,IF((Backdoors!AI12+IF(JV56&gt;=0.45,VLOOKUP(Calculator!E23,tbSkills!DH3:DI6,2,FALSE)+IF(AND(Calculator!B8=TRUE,Backdoors!BI43=TRUE),VLOOKUP(Calculator!E23,tbSkills!DH3:DJ6,3,FALSE),0),0))&gt;=0,1+(Backdoors!AL2*(IF((Backdoors!AI12+IF(JV56&gt;=0.45,VLOOKUP(Calculator!E23,tbSkills!DH3:DI6,2,FALSE)+IF(AND(Calculator!B8=TRUE,Backdoors!BI43=TRUE),VLOOKUP(Calculator!E23,tbSkills!DH3:DJ6,3,FALSE),0),0))&gt;=100,100,(Backdoors!AI12+IF(JV56&gt;=0.45,VLOOKUP(Calculator!E23,tbSkills!DH3:DI6,2,FALSE)+IF(AND(Calculator!B8=TRUE,Backdoors!BI43=TRUE),VLOOKUP(Calculator!E23,tbSkills!DH3:DJ6,3,FALSE),0),0)))/100)),(1-(0.25*((-Backdoors!AI12-IF(JV56&gt;=0.45,VLOOKUP(Calculator!E23,tbSkills!DH3:DI6,2,FALSE)+IF(AND(Calculator!B8=TRUE,Backdoors!BI43=TRUE),VLOOKUP(Calculator!E23,tbSkills!DH3:DJ6,3,FALSE),0),0))/100)))),1),"")</f>
        <v>1</v>
      </c>
      <c r="JY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V56)*JX56)*(VLOOKUP(A56,tbMoveset!A2:C112,3,FALSE)/100)*IF(VLOOKUP(A56,tbMoveset!A2:B112,2,FALSE)="Projectile",Backdoors!N10,Backdoors!N9),0),"")</f>
        <v/>
      </c>
      <c r="JZ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46&gt;0,VLOOKUP(Calculator!E46,tbSkills!AC3:AD5,2,FALSE),Backdoors!AL3)*(IF((Backdoors!AI12+IF(JV56&gt;=0.45,VLOOKUP(Calculator!E23,tbSkills!DH3:DI6,2,FALSE)+IF(AND(Calculator!B8=TRUE,Backdoors!BI43=TRUE),VLOOKUP(Calculator!E23,tbSkills!DH3:DJ6,3,FALSE),0),0))&gt;=100,100,(Backdoors!AI12+IF(JV56&gt;=0.45,VLOOKUP(Calculator!E23,tbSkills!DH3:DI6,2,FALSE)+IF(AND(Calculator!B8=TRUE,Backdoors!BI43=TRUE),VLOOKUP(Calculator!E23,tbSkills!DH3:DJ6,3,FALSE),0),0)))/100)),1))*IF(VLOOKUP(A56,tbMoveset!A2:K112,11,FALSE)=TRUE,Backdoors!AC5,1))*JW56,0),"")</f>
        <v/>
      </c>
      <c r="KA56" s="49">
        <f>VLOOKUP(A56,tbMoveset!A2:G112,7,FALSE)*IFERROR(IF(Backdoors!AI12&gt;=0,1+(IF(Calculator!E40&gt;0,VLOOKUP(Calculator!E40,tbSkills!AI3:AJ5,2,FALSE),Backdoors!AL4)*(IF((Backdoors!AI12+IF(JV56&gt;=0.45,VLOOKUP(Calculator!E23,tbSkills!DH3:DI6,2,FALSE)+IF(AND(Calculator!B8=TRUE,Backdoors!BI43=TRUE),VLOOKUP(Calculator!E23,tbSkills!DH3:DJ6,3,FALSE),0),0))&gt;=100,100,(Backdoors!AI12+IF(JV56&gt;=0.45,VLOOKUP(Calculator!E23,tbSkills!DH3:DI6,2,FALSE)+IF(AND(Calculator!B8=TRUE,Backdoors!BI43=TRUE),VLOOKUP(Calculator!E23,tbSkills!DH3:DJ6,3,FALSE),0),0)))/100)),1),1)</f>
        <v>0.8</v>
      </c>
      <c r="KB56" s="87">
        <f t="shared" si="32"/>
        <v>0</v>
      </c>
      <c r="KC56" s="86" t="str">
        <f>IFERROR(IF(VLOOKUP(A56,tbMoveset!A2:B112,2,FALSE)="Sever",Backdoors!AY44/100,IF(VLOOKUP(A56,tbMoveset!A2:B112,2,FALSE)="Blunt",Backdoors!AZ44/100,Backdoors!BA44/100)),"")</f>
        <v/>
      </c>
      <c r="KD56" s="49">
        <f>IFERROR(IF(VLOOKUP(tbMoveset!A56,tbMoveset!A2:H112,8,FALSE)="Other",IF(VLOOKUP(tbMoveset!A56,tbMoveset!A2:I112,9,FALSE)="Fire",Backdoors!BB44,IF(VLOOKUP(tbMoveset!A56,tbMoveset!A2:I112,9,FALSE)="Water",Backdoors!BC44,IF(VLOOKUP(tbMoveset!A56,tbMoveset!A2:I112,9,FALSE)="Thunder",Backdoors!BD44,IF(VLOOKUP(tbMoveset!A56,tbMoveset!A2:I112,9,FALSE)="Ice",Backdoors!BE44,IF(VLOOKUP(tbMoveset!A56,tbMoveset!A2:I112,9,FALSE)="Dragon",Backdoors!BF44,Backdoors!BG44)))))/100,Backdoors!BG44/100),"")</f>
        <v>0</v>
      </c>
      <c r="KE56" s="49">
        <f>IFERROR(IF(VLOOKUP(A56,tbMoveset!A2:J112,10,FALSE)=TRUE,IF((Backdoors!AI12+IF(KC56&gt;=0.45,VLOOKUP(Calculator!E23,tbSkills!DH3:DI6,2,FALSE)+IF(AND(Calculator!B8=TRUE,Backdoors!BI44=TRUE),VLOOKUP(Calculator!E23,tbSkills!DH3:DJ6,3,FALSE),0),0))&gt;=0,1+(Backdoors!AL2*(IF((Backdoors!AI12+IF(KC56&gt;=0.45,VLOOKUP(Calculator!E23,tbSkills!DH3:DI6,2,FALSE)+IF(AND(Calculator!B8=TRUE,Backdoors!BI44=TRUE),VLOOKUP(Calculator!E23,tbSkills!DH3:DJ6,3,FALSE),0),0))&gt;=100,100,(Backdoors!AI12+IF(KC56&gt;=0.45,VLOOKUP(Calculator!E23,tbSkills!DH3:DI6,2,FALSE)+IF(AND(Calculator!B8=TRUE,Backdoors!BI44=TRUE),VLOOKUP(Calculator!E23,tbSkills!DH3:DJ6,3,FALSE),0),0)))/100)),(1-(0.25*((-Backdoors!AI12-IF(KC56&gt;=0.45,VLOOKUP(Calculator!E23,tbSkills!DH3:DI6,2,FALSE)+IF(AND(Calculator!B8=TRUE,Backdoors!BI44=TRUE),VLOOKUP(Calculator!E23,tbSkills!DH3:DJ6,3,FALSE),0),0))/100)))),1),"")</f>
        <v>1</v>
      </c>
      <c r="KF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KC56)*KE56)*(VLOOKUP(A56,tbMoveset!A2:C112,3,FALSE)/100)*IF(VLOOKUP(A56,tbMoveset!A2:B112,2,FALSE)="Projectile",Backdoors!N10,Backdoors!N9),0),"")</f>
        <v/>
      </c>
      <c r="KG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REF!&gt;0,VLOOKUP(Calculator!#REF!,tbSkills!AC3:AD5,2,FALSE),Backdoors!AL3)*(IF((Backdoors!AI12+IF(KC56&gt;=0.45,VLOOKUP(Calculator!E23,tbSkills!DH3:DI6,2,FALSE)+IF(AND(Calculator!B8=TRUE,Backdoors!BI44=TRUE),VLOOKUP(Calculator!E23,tbSkills!DH3:DJ6,3,FALSE),0),0))&gt;=100,100,(Backdoors!AI12+IF(KC56&gt;=0.45,VLOOKUP(Calculator!E23,tbSkills!DH3:DI6,2,FALSE)+IF(AND(Calculator!B8=TRUE,Backdoors!BI44=TRUE),VLOOKUP(Calculator!E23,tbSkills!DH3:DJ6,3,FALSE),0),0)))/100)),1))*IF(VLOOKUP(A56,tbMoveset!A2:K112,11,FALSE)=TRUE,Backdoors!AC5,1))*KD56,0),"")</f>
        <v/>
      </c>
      <c r="KH56" s="49">
        <f>VLOOKUP(A56,tbMoveset!A2:G112,7,FALSE)*IFERROR(IF(Backdoors!AI12&gt;=0,1+(IF(Calculator!E40&gt;0,VLOOKUP(Calculator!E40,tbSkills!AI3:AJ5,2,FALSE),Backdoors!AL4)*(IF((Backdoors!AI12+IF(KC56&gt;=0.45,VLOOKUP(Calculator!E23,tbSkills!DH3:DI6,2,FALSE)+IF(AND(Calculator!B8=TRUE,Backdoors!BI44=TRUE),VLOOKUP(Calculator!E23,tbSkills!DH3:DJ6,3,FALSE),0),0))&gt;=100,100,(Backdoors!AI12+IF(KC56&gt;=0.45,VLOOKUP(Calculator!E23,tbSkills!DH3:DI6,2,FALSE)+IF(AND(Calculator!B8=TRUE,Backdoors!BI44=TRUE),VLOOKUP(Calculator!E23,tbSkills!DH3:DJ6,3,FALSE),0),0)))/100)),1),1)</f>
        <v>0.8</v>
      </c>
      <c r="KI56" s="87">
        <f t="shared" si="33"/>
        <v>0</v>
      </c>
      <c r="KJ56" s="86" t="str">
        <f>IFERROR(IF(VLOOKUP(A56,tbMoveset!A2:B112,2,FALSE)="Sever",Backdoors!AY45/100,IF(VLOOKUP(A56,tbMoveset!A2:B112,2,FALSE)="Blunt",Backdoors!AZ45/100,Backdoors!BA45/100)),"")</f>
        <v/>
      </c>
      <c r="KK56" s="49">
        <f>IFERROR(IF(VLOOKUP(tbMoveset!A56,tbMoveset!A2:H112,8,FALSE)="Other",IF(VLOOKUP(tbMoveset!A56,tbMoveset!A2:I112,9,FALSE)="Fire",Backdoors!BB45,IF(VLOOKUP(tbMoveset!A56,tbMoveset!A2:I112,9,FALSE)="Water",Backdoors!BC45,IF(VLOOKUP(tbMoveset!A56,tbMoveset!A2:I112,9,FALSE)="Thunder",Backdoors!BD45,IF(VLOOKUP(tbMoveset!A56,tbMoveset!A2:I112,9,FALSE)="Ice",Backdoors!BE45,IF(VLOOKUP(tbMoveset!A56,tbMoveset!A2:I112,9,FALSE)="Dragon",Backdoors!BF45,Backdoors!BG45)))))/100,Backdoors!BG45/100),"")</f>
        <v>0</v>
      </c>
      <c r="KL56" s="49">
        <f>IFERROR(IF(VLOOKUP(A56,tbMoveset!A2:J112,10,FALSE)=TRUE,IF((Backdoors!AI12+IF(KJ56&gt;=0.45,VLOOKUP(Calculator!E23,tbSkills!DH3:DI6,2,FALSE)+IF(AND(Calculator!B8=TRUE,Backdoors!BI45=TRUE),VLOOKUP(Calculator!E23,tbSkills!DH3:DJ6,3,FALSE),0),0))&gt;=0,1+(Backdoors!AL2*(IF((Backdoors!AI12+IF(KJ56&gt;=0.45,VLOOKUP(Calculator!E23,tbSkills!DH3:DI6,2,FALSE)+IF(AND(Calculator!B8=TRUE,Backdoors!BI45=TRUE),VLOOKUP(Calculator!E23,tbSkills!DH3:DJ6,3,FALSE),0),0))&gt;=100,100,(Backdoors!AI12+IF(KJ56&gt;=0.45,VLOOKUP(Calculator!E23,tbSkills!DH3:DI6,2,FALSE)+IF(AND(Calculator!B8=TRUE,Backdoors!BI45=TRUE),VLOOKUP(Calculator!E23,tbSkills!DH3:DJ6,3,FALSE),0),0)))/100)),(1-(0.25*((-Backdoors!AI12-IF(KJ56&gt;=0.45,VLOOKUP(Calculator!E23,tbSkills!DH3:DI6,2,FALSE)+IF(AND(Calculator!B8=TRUE,Backdoors!BI45=TRUE),VLOOKUP(Calculator!E23,tbSkills!DH3:DJ6,3,FALSE),0),0))/100)))),1),"")</f>
        <v>1</v>
      </c>
      <c r="KM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KJ56)*KL56)*(VLOOKUP(A56,tbMoveset!A2:C112,3,FALSE)/100)*IF(VLOOKUP(A56,tbMoveset!A2:B112,2,FALSE)="Projectile",Backdoors!N10,Backdoors!N9),0),"")</f>
        <v/>
      </c>
      <c r="KN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REF!&gt;0,VLOOKUP(Calculator!#REF!,tbSkills!AC3:AD5,2,FALSE),Backdoors!AL3)*(IF((Backdoors!AI12+IF(KJ56&gt;=0.45,VLOOKUP(Calculator!E23,tbSkills!DH3:DI6,2,FALSE)+IF(AND(Calculator!B8=TRUE,Backdoors!BI45=TRUE),VLOOKUP(Calculator!E23,tbSkills!DH3:DJ6,3,FALSE),0),0))&gt;=100,100,(Backdoors!AI12+IF(KJ56&gt;=0.45,VLOOKUP(Calculator!E23,tbSkills!DH3:DI6,2,FALSE)+IF(AND(Calculator!B8=TRUE,Backdoors!BI45=TRUE),VLOOKUP(Calculator!E23,tbSkills!DH3:DJ6,3,FALSE),0),0)))/100)),1))*IF(VLOOKUP(A56,tbMoveset!A2:K112,11,FALSE)=TRUE,Backdoors!AC5,1))*KK56,0),"")</f>
        <v/>
      </c>
      <c r="KO56" s="49">
        <f>VLOOKUP(A56,tbMoveset!A2:G112,7,FALSE)*IFERROR(IF(Backdoors!AI12&gt;=0,1+(IF(Calculator!E40&gt;0,VLOOKUP(Calculator!E40,tbSkills!AI3:AJ5,2,FALSE),Backdoors!AL4)*(IF((Backdoors!AI12+IF(KJ56&gt;=0.45,VLOOKUP(Calculator!E23,tbSkills!DH3:DI6,2,FALSE)+IF(AND(Calculator!B8=TRUE,Backdoors!BI45=TRUE),VLOOKUP(Calculator!E23,tbSkills!DH3:DJ6,3,FALSE),0),0))&gt;=100,100,(Backdoors!AI12+IF(KJ56&gt;=0.45,VLOOKUP(Calculator!E23,tbSkills!DH3:DI6,2,FALSE)+IF(AND(Calculator!B8=TRUE,Backdoors!BI45=TRUE),VLOOKUP(Calculator!E23,tbSkills!DH3:DJ6,3,FALSE),0),0)))/100)),1),1)</f>
        <v>0.8</v>
      </c>
      <c r="KP56" s="87">
        <f t="shared" si="34"/>
        <v>0</v>
      </c>
      <c r="KQ56" s="86" t="str">
        <f>IFERROR(IF(VLOOKUP(A56,tbMoveset!A2:B112,2,FALSE)="Sever",Backdoors!AY46/100,IF(VLOOKUP(A56,tbMoveset!A2:B112,2,FALSE)="Blunt",Backdoors!AZ46/100,Backdoors!BA46/100)),"")</f>
        <v/>
      </c>
      <c r="KR56" s="49">
        <f>IFERROR(IF(VLOOKUP(tbMoveset!A56,tbMoveset!A2:H112,8,FALSE)="Other",IF(VLOOKUP(tbMoveset!A56,tbMoveset!A2:I112,9,FALSE)="Fire",Backdoors!BB46,IF(VLOOKUP(tbMoveset!A56,tbMoveset!A2:I112,9,FALSE)="Water",Backdoors!BC46,IF(VLOOKUP(tbMoveset!A56,tbMoveset!A2:I112,9,FALSE)="Thunder",Backdoors!BD46,IF(VLOOKUP(tbMoveset!A56,tbMoveset!A2:I112,9,FALSE)="Ice",Backdoors!BE46,IF(VLOOKUP(tbMoveset!A56,tbMoveset!A2:I112,9,FALSE)="Dragon",Backdoors!BF46,Backdoors!BG46)))))/100,Backdoors!BG46/100),"")</f>
        <v>0</v>
      </c>
      <c r="KS56" s="49">
        <f>IFERROR(IF(VLOOKUP(A56,tbMoveset!A2:J112,10,FALSE)=TRUE,IF((Backdoors!AI12+IF(KQ56&gt;=0.45,VLOOKUP(Calculator!E23,tbSkills!DH3:DI6,2,FALSE)+IF(AND(Calculator!B8=TRUE,Backdoors!BI46=TRUE),VLOOKUP(Calculator!E23,tbSkills!DH3:DJ6,3,FALSE),0),0))&gt;=0,1+(Backdoors!AL2*(IF((Backdoors!AI12+IF(KQ56&gt;=0.45,VLOOKUP(Calculator!E23,tbSkills!DH3:DI6,2,FALSE)+IF(AND(Calculator!B8=TRUE,Backdoors!BI46=TRUE),VLOOKUP(Calculator!E23,tbSkills!DH3:DJ6,3,FALSE),0),0))&gt;=100,100,(Backdoors!AI12+IF(KQ56&gt;=0.45,VLOOKUP(Calculator!E23,tbSkills!DH3:DI6,2,FALSE)+IF(AND(Calculator!B8=TRUE,Backdoors!BI46=TRUE),VLOOKUP(Calculator!E23,tbSkills!DH3:DJ6,3,FALSE),0),0)))/100)),(1-(0.25*((-Backdoors!AI12-IF(KQ56&gt;=0.45,VLOOKUP(Calculator!E23,tbSkills!DH3:DI6,2,FALSE)+IF(AND(Calculator!B8=TRUE,Backdoors!BI46=TRUE),VLOOKUP(Calculator!E23,tbSkills!DH3:DJ6,3,FALSE),0),0))/100)))),1),"")</f>
        <v>1</v>
      </c>
      <c r="KT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KQ56)*KS56)*(VLOOKUP(A56,tbMoveset!A2:C112,3,FALSE)/100)*IF(VLOOKUP(A56,tbMoveset!A2:B112,2,FALSE)="Projectile",Backdoors!N10,Backdoors!N9),0),"")</f>
        <v/>
      </c>
      <c r="KU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REF!&gt;0,VLOOKUP(Calculator!#REF!,tbSkills!AC3:AD5,2,FALSE),Backdoors!AL3)*(IF((Backdoors!AI12+IF(KQ56&gt;=0.45,VLOOKUP(Calculator!E23,tbSkills!DH3:DI6,2,FALSE)+IF(AND(Calculator!B8=TRUE,Backdoors!BI46=TRUE),VLOOKUP(Calculator!E23,tbSkills!DH3:DJ6,3,FALSE),0),0))&gt;=100,100,(Backdoors!AI12+IF(KQ56&gt;=0.45,VLOOKUP(Calculator!E23,tbSkills!DH3:DI6,2,FALSE)+IF(AND(Calculator!B8=TRUE,Backdoors!BI46=TRUE),VLOOKUP(Calculator!E23,tbSkills!DH3:DJ6,3,FALSE),0),0)))/100)),1))*IF(VLOOKUP(A56,tbMoveset!A2:K112,11,FALSE)=TRUE,Backdoors!AC5,1))*KR56,0),"")</f>
        <v/>
      </c>
      <c r="KV56" s="49">
        <f>VLOOKUP(A56,tbMoveset!A2:G112,7,FALSE)*IFERROR(IF(Backdoors!AI12&gt;=0,1+(IF(Calculator!E40&gt;0,VLOOKUP(Calculator!E40,tbSkills!AI3:AJ5,2,FALSE),Backdoors!AL4)*(IF((Backdoors!AI12+IF(KQ56&gt;=0.45,VLOOKUP(Calculator!E23,tbSkills!DH3:DI6,2,FALSE)+IF(AND(Calculator!B8=TRUE,Backdoors!BI46=TRUE),VLOOKUP(Calculator!E23,tbSkills!DH3:DJ6,3,FALSE),0),0))&gt;=100,100,(Backdoors!AI12+IF(KQ56&gt;=0.45,VLOOKUP(Calculator!E23,tbSkills!DH3:DI6,2,FALSE)+IF(AND(Calculator!B8=TRUE,Backdoors!BI46=TRUE),VLOOKUP(Calculator!E23,tbSkills!DH3:DJ6,3,FALSE),0),0)))/100)),1),1)</f>
        <v>0.8</v>
      </c>
      <c r="KW56" s="87">
        <f t="shared" si="35"/>
        <v>0</v>
      </c>
    </row>
    <row r="57" spans="1:309" x14ac:dyDescent="0.25">
      <c r="A57" s="95" t="str">
        <f>tbMoveset!A57</f>
        <v>Blade Dance (L2)</v>
      </c>
      <c r="B57" s="86">
        <f>IFERROR(IF(VLOOKUP(A57,tbMoveset!A2:B112,2,FALSE)="Sever",Backdoors!AY3/100,IF(VLOOKUP(A57,tbMoveset!A2:B112,2,FALSE)="Blunt",Backdoors!AZ3/100,Backdoors!BA3/100)),"")</f>
        <v>0.8</v>
      </c>
      <c r="C57" s="49">
        <f>IFERROR(IF(VLOOKUP(tbMoveset!A57,tbMoveset!A2:H112,8,FALSE)="Other",IF(VLOOKUP(tbMoveset!A57,tbMoveset!A2:I112,9,FALSE)="Fire",Backdoors!BB3,IF(VLOOKUP(tbMoveset!A57,tbMoveset!A2:I112,9,FALSE)="Water",Backdoors!BC3,IF(VLOOKUP(tbMoveset!A57,tbMoveset!A2:I112,9,FALSE)="Thunder",Backdoors!BD3,IF(VLOOKUP(tbMoveset!A57,tbMoveset!A2:I112,9,FALSE)="Ice",Backdoors!BE3,IF(VLOOKUP(tbMoveset!A57,tbMoveset!A2:I112,9,FALSE)="Dragon",Backdoors!BF3,Backdoors!BG3)))))/100,Backdoors!BG3/100),"")</f>
        <v>0</v>
      </c>
      <c r="D57" s="49">
        <f>IFERROR(IF(VLOOKUP(A57,tbMoveset!A2:J112,10,FALSE)=TRUE,IF((Backdoors!AI12+IF(B57&gt;=0.45,VLOOKUP(Calculator!E23,tbSkills!DH3:DI6,2,FALSE)+IF(AND(Calculator!B8=TRUE,Backdoors!BI3=TRUE),VLOOKUP(Calculator!E23,tbSkills!DH3:DJ6,3,FALSE),0),0))&gt;=0,1+(Backdoors!AL2*(IF((Backdoors!AI12+IF(B57&gt;=0.45,VLOOKUP(Calculator!E23,tbSkills!DH3:DI6,2,FALSE)+IF(AND(Calculator!B8=TRUE,Backdoors!BI3=TRUE),VLOOKUP(Calculator!E23,tbSkills!DH3:DJ6,3,FALSE),0),0))&gt;=100,100,(Backdoors!AI12+IF(B57&gt;=0.45,VLOOKUP(Calculator!E23,tbSkills!DH3:DI6,2,FALSE)+IF(AND(Calculator!B8=TRUE,Backdoors!BI3=TRUE),VLOOKUP(Calculator!E23,tbSkills!DH3:DJ6,3,FALSE),0),0)))/100)),(1-(0.25*((-Backdoors!AI12-IF(B57&gt;=0.45,VLOOKUP(Calculator!E23,tbSkills!DH3:DI6,2,FALSE)+IF(AND(Calculator!B8=TRUE,Backdoors!BI3=TRUE),VLOOKUP(Calculator!E23,tbSkills!DH3:DJ6,3,FALSE),0),0))/100)))),1),"")</f>
        <v>1</v>
      </c>
      <c r="E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57)*D57)*(VLOOKUP(A57,tbMoveset!A2:C112,3,FALSE)/100)*IF(VLOOKUP(A57,tbMoveset!A2:B112,2,FALSE)="Projectile",Backdoors!N10,Backdoors!N9),0),"")</f>
        <v>4</v>
      </c>
      <c r="F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57&gt;=0.45,VLOOKUP(Calculator!E23,tbSkills!DH3:DI6,2,FALSE)+IF(AND(Calculator!B8=TRUE,Backdoors!BI3=TRUE),VLOOKUP(Calculator!E23,tbSkills!DH3:DJ6,3,FALSE),0),0))&gt;=100,100,(Backdoors!AI12+IF(B57&gt;=0.45,VLOOKUP(Calculator!E23,tbSkills!DH3:DI6,2,FALSE)+IF(AND(Calculator!B8=TRUE,Backdoors!BI3=TRUE),VLOOKUP(Calculator!E23,tbSkills!DH3:DJ6,3,FALSE),0),0)))/100)),1))*IF(VLOOKUP(A57,tbMoveset!A2:K112,11,FALSE)=TRUE,Backdoors!AC5,1))*C57,0),"")</f>
        <v>0</v>
      </c>
      <c r="G57">
        <f>VLOOKUP(A57,tbMoveset!A2:G112,7,FALSE)*IFERROR(IF(Backdoors!AI12&gt;=0,1+(IF(Calculator!E40&gt;0,VLOOKUP(Calculator!E40,tbSkills!AI3:AJ5,2,FALSE),Backdoors!AL4)*(IF((Backdoors!AI12+IF(B57&gt;=0.45,VLOOKUP(Calculator!E23,tbSkills!DH3:DI6,2,FALSE)+IF(AND(Calculator!B8=TRUE,Backdoors!BI3=TRUE),VLOOKUP(Calculator!E23,tbSkills!DH3:DJ6,3,FALSE),0),0))&gt;=100,100,(Backdoors!AI12+IF(B57&gt;=0.45,VLOOKUP(Calculator!E23,tbSkills!DH3:DI6,2,FALSE)+IF(AND(Calculator!B8=TRUE,Backdoors!BI3=TRUE),VLOOKUP(Calculator!E23,tbSkills!DH3:DJ6,3,FALSE),0),0)))/100)),1),1)</f>
        <v>0.5</v>
      </c>
      <c r="H57" s="87">
        <f t="shared" si="44"/>
        <v>4</v>
      </c>
      <c r="I57" s="86">
        <f>IFERROR(IF(VLOOKUP(A57,tbMoveset!A2:B112,2,FALSE)="Sever",Backdoors!AY4/100,IF(VLOOKUP(A57,tbMoveset!A2:B112,2,FALSE)="Blunt",Backdoors!AZ4/100,Backdoors!BA4/100)),"")</f>
        <v>0.65</v>
      </c>
      <c r="J57" s="49">
        <f>IFERROR(IF(VLOOKUP(tbMoveset!A57,tbMoveset!A2:H112,8,FALSE)="Other",IF(VLOOKUP(tbMoveset!A57,tbMoveset!A2:I112,9,FALSE)="Fire",Backdoors!BB4,IF(VLOOKUP(tbMoveset!A57,tbMoveset!A2:I112,9,FALSE)="Water",Backdoors!BC4,IF(VLOOKUP(tbMoveset!A57,tbMoveset!A2:I112,9,FALSE)="Thunder",Backdoors!BD4,IF(VLOOKUP(tbMoveset!A57,tbMoveset!A2:I112,9,FALSE)="Ice",Backdoors!BE4,IF(VLOOKUP(tbMoveset!A57,tbMoveset!A2:I112,9,FALSE)="Dragon",Backdoors!BF4,Backdoors!BG4)))))/100,Backdoors!BG4/100),"")</f>
        <v>0</v>
      </c>
      <c r="K57" s="49">
        <f>IFERROR(IF(VLOOKUP(A57,tbMoveset!A2:J112,10,FALSE)=TRUE,IF((Backdoors!AI12+IF(I57&gt;=0.45,VLOOKUP(Calculator!E23,tbSkills!DH3:DI6,2,FALSE)+IF(AND(Calculator!B8=TRUE,Backdoors!BI4=TRUE),VLOOKUP(Calculator!E23,tbSkills!DH3:DJ6,3,FALSE),0),0))&gt;=0,1+(Backdoors!AL2*(IF((Backdoors!AI12+IF(I57&gt;=0.45,VLOOKUP(Calculator!E23,tbSkills!DH3:DI6,2,FALSE)+IF(AND(Calculator!B8=TRUE,Backdoors!BI4=TRUE),VLOOKUP(Calculator!E23,tbSkills!DH3:DJ6,3,FALSE),0),0))&gt;=100,100,(Backdoors!AI12+IF(I57&gt;=0.45,VLOOKUP(Calculator!E23,tbSkills!DH3:DI6,2,FALSE)+IF(AND(Calculator!B8=TRUE,Backdoors!BI4=TRUE),VLOOKUP(Calculator!E23,tbSkills!DH3:DJ6,3,FALSE),0),0)))/100)),(1-(0.25*((-Backdoors!AI12-IF(I57&gt;=0.45,VLOOKUP(Calculator!E23,tbSkills!DH3:DI6,2,FALSE)+IF(AND(Calculator!B8=TRUE,Backdoors!BI4=TRUE),VLOOKUP(Calculator!E23,tbSkills!DH3:DJ6,3,FALSE),0),0))/100)))),1),"")</f>
        <v>1</v>
      </c>
      <c r="L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57)*K57)*(VLOOKUP(A57,tbMoveset!A2:C112,3,FALSE)/100)*IF(VLOOKUP(A57,tbMoveset!A2:B112,2,FALSE)="Projectile",Backdoors!N10,Backdoors!N9),0),"")</f>
        <v>3</v>
      </c>
      <c r="M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I57&gt;=0.45,VLOOKUP(Calculator!E23,tbSkills!DH3:DI6,2,FALSE)+IF(AND(Calculator!B8=TRUE,Backdoors!BI4=TRUE),VLOOKUP(Calculator!E23,tbSkills!DH3:DJ6,3,FALSE),0),0))&gt;=100,100,(Backdoors!AI12+IF(I57&gt;=0.45,VLOOKUP(Calculator!E23,tbSkills!DH3:DI6,2,FALSE)+IF(AND(Calculator!B8=TRUE,Backdoors!BI4=TRUE),VLOOKUP(Calculator!E23,tbSkills!DH3:DJ6,3,FALSE),0),0)))/100)),1))*IF(VLOOKUP(A57,tbMoveset!A2:K112,11,FALSE)=TRUE,Backdoors!AC5,1))*J57,0),"")</f>
        <v>0</v>
      </c>
      <c r="N57" s="49">
        <f>VLOOKUP(A57,tbMoveset!A2:G112,7,FALSE)*IFERROR(IF(Backdoors!AI12&gt;=0,1+(IF(Calculator!E40&gt;0,VLOOKUP(Calculator!E40,tbSkills!AI3:AJ5,2,FALSE),Backdoors!AL4)*(IF((Backdoors!AI12+IF(I57&gt;=0.45,VLOOKUP(Calculator!E23,tbSkills!DH3:DI6,2,FALSE)+IF(AND(Calculator!B8=TRUE,Backdoors!BI4=TRUE),VLOOKUP(Calculator!E23,tbSkills!DH3:DJ6,3,FALSE),0),0))&gt;=100,100,(Backdoors!AI12+IF(I57&gt;=0.45,VLOOKUP(Calculator!E23,tbSkills!DH3:DI6,2,FALSE)+IF(AND(Calculator!B8=TRUE,Backdoors!BI4=TRUE),VLOOKUP(Calculator!E23,tbSkills!DH3:DJ6,3,FALSE),0),0)))/100)),1),1)</f>
        <v>0.5</v>
      </c>
      <c r="O57" s="87">
        <f t="shared" si="45"/>
        <v>3</v>
      </c>
      <c r="P57" s="86">
        <f>IFERROR(IF(VLOOKUP(A57,tbMoveset!A2:B112,2,FALSE)="Sever",Backdoors!AY5/100,IF(VLOOKUP(A57,tbMoveset!A2:B112,2,FALSE)="Blunt",Backdoors!AZ5/100,Backdoors!BA5/100)),"")</f>
        <v>0.5</v>
      </c>
      <c r="Q57" s="49">
        <f>IFERROR(IF(VLOOKUP(tbMoveset!A57,tbMoveset!A2:H112,8,FALSE)="Other",IF(VLOOKUP(tbMoveset!A57,tbMoveset!A2:I112,9,FALSE)="Fire",Backdoors!BB5,IF(VLOOKUP(tbMoveset!A57,tbMoveset!A2:I112,9,FALSE)="Water",Backdoors!BC5,IF(VLOOKUP(tbMoveset!A57,tbMoveset!A2:I112,9,FALSE)="Thunder",Backdoors!BD5,IF(VLOOKUP(tbMoveset!A57,tbMoveset!A2:I112,9,FALSE)="Ice",Backdoors!BE5,IF(VLOOKUP(tbMoveset!A57,tbMoveset!A2:I112,9,FALSE)="Dragon",Backdoors!BF5,Backdoors!BG5)))))/100,Backdoors!BG5/100),"")</f>
        <v>0</v>
      </c>
      <c r="R57" s="49">
        <f>IFERROR(IF(VLOOKUP(A57,tbMoveset!A2:J112,10,FALSE)=TRUE,IF((Backdoors!AI12+IF(P57&gt;=0.45,VLOOKUP(Calculator!E23,tbSkills!DH3:DI6,2,FALSE)+IF(AND(Calculator!B8=TRUE,Backdoors!BI5=TRUE),VLOOKUP(Calculator!E23,tbSkills!DH3:DJ6,3,FALSE),0),0))&gt;=0,1+(Backdoors!AL2*(IF((Backdoors!AI12+IF(P57&gt;=0.45,VLOOKUP(Calculator!E23,tbSkills!DH3:DI6,2,FALSE)+IF(AND(Calculator!B8=TRUE,Backdoors!BI5=TRUE),VLOOKUP(Calculator!E23,tbSkills!DH3:DJ6,3,FALSE),0),0))&gt;=100,100,(Backdoors!AI12+IF(P57&gt;=0.45,VLOOKUP(Calculator!E23,tbSkills!DH3:DI6,2,FALSE)+IF(AND(Calculator!B8=TRUE,Backdoors!BI5=TRUE),VLOOKUP(Calculator!E23,tbSkills!DH3:DJ6,3,FALSE),0),0)))/100)),(1-(0.25*((-Backdoors!AI12-IF(P57&gt;=0.45,VLOOKUP(Calculator!E23,tbSkills!DH3:DI6,2,FALSE)+IF(AND(Calculator!B8=TRUE,Backdoors!BI5=TRUE),VLOOKUP(Calculator!E23,tbSkills!DH3:DJ6,3,FALSE),0),0))/100)))),1),"")</f>
        <v>1</v>
      </c>
      <c r="S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P57)*R57)*(VLOOKUP(A57,tbMoveset!A2:C112,3,FALSE)/100)*IF(VLOOKUP(A57,tbMoveset!A2:B112,2,FALSE)="Projectile",Backdoors!N10,Backdoors!N9),0),"")</f>
        <v>3</v>
      </c>
      <c r="T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P57&gt;=0.45,VLOOKUP(Calculator!E23,tbSkills!DH3:DI6,2,FALSE)+IF(AND(Calculator!B8=TRUE,Backdoors!BI5=TRUE),VLOOKUP(Calculator!E23,tbSkills!DH3:DJ6,3,FALSE),0),0))&gt;=100,100,(Backdoors!AI12+IF(P57&gt;=0.45,VLOOKUP(Calculator!E23,tbSkills!DH3:DI6,2,FALSE)+IF(AND(Calculator!B8=TRUE,Backdoors!BI5=TRUE),VLOOKUP(Calculator!E23,tbSkills!DH3:DJ6,3,FALSE),0),0)))/100)),1))*IF(VLOOKUP(A57,tbMoveset!A2:K112,11,FALSE)=TRUE,Backdoors!AC5,1))*Q57,0),"")</f>
        <v>0</v>
      </c>
      <c r="U57" s="49">
        <f>VLOOKUP(A57,tbMoveset!A2:G112,7,FALSE)*IFERROR(IF(Backdoors!AI12&gt;=0,1+(IF(Calculator!E40&gt;0,VLOOKUP(Calculator!E40,tbSkills!AI3:AJ5,2,FALSE),Backdoors!AL4)*(IF((Backdoors!AI12+IF(P57&gt;=0.45,VLOOKUP(Calculator!E23,tbSkills!DH3:DI6,2,FALSE)+IF(AND(Calculator!B8=TRUE,Backdoors!BI5=TRUE),VLOOKUP(Calculator!E23,tbSkills!DH3:DJ6,3,FALSE),0),0))&gt;=100,100,(Backdoors!AI12+IF(P57&gt;=0.45,VLOOKUP(Calculator!E23,tbSkills!DH3:DI6,2,FALSE)+IF(AND(Calculator!B8=TRUE,Backdoors!BI5=TRUE),VLOOKUP(Calculator!E23,tbSkills!DH3:DJ6,3,FALSE),0),0)))/100)),1),1)</f>
        <v>0.5</v>
      </c>
      <c r="V57" s="87">
        <f t="shared" si="46"/>
        <v>3</v>
      </c>
      <c r="W57" s="86">
        <f>IFERROR(IF(VLOOKUP(A57,tbMoveset!A2:B112,2,FALSE)="Sever",Backdoors!AY6/100,IF(VLOOKUP(A57,tbMoveset!A2:B112,2,FALSE)="Blunt",Backdoors!AZ6/100,Backdoors!BA6/100)),"")</f>
        <v>0.45</v>
      </c>
      <c r="X57" s="49">
        <f>IFERROR(IF(VLOOKUP(tbMoveset!A57,tbMoveset!A2:H112,8,FALSE)="Other",IF(VLOOKUP(tbMoveset!A57,tbMoveset!A2:I112,9,FALSE)="Fire",Backdoors!BB6,IF(VLOOKUP(tbMoveset!A57,tbMoveset!A2:I112,9,FALSE)="Water",Backdoors!BC6,IF(VLOOKUP(tbMoveset!A57,tbMoveset!A2:I112,9,FALSE)="Thunder",Backdoors!BD6,IF(VLOOKUP(tbMoveset!A57,tbMoveset!A2:I112,9,FALSE)="Ice",Backdoors!BE6,IF(VLOOKUP(tbMoveset!A57,tbMoveset!A2:I112,9,FALSE)="Dragon",Backdoors!BF6,Backdoors!BG6)))))/100,Backdoors!BG6/100),"")</f>
        <v>0</v>
      </c>
      <c r="Y57" s="49">
        <f>IFERROR(IF(VLOOKUP(A57,tbMoveset!A2:J112,10,FALSE)=TRUE,IF((Backdoors!AI12+IF(W57&gt;=0.45,VLOOKUP(Calculator!E23,tbSkills!DH3:DI6,2,FALSE)+IF(AND(Calculator!B8=TRUE,Backdoors!BI6=TRUE),VLOOKUP(Calculator!E23,tbSkills!DH3:DJ6,3,FALSE),0),0))&gt;=0,1+(Backdoors!AL2*(IF((Backdoors!AI12+IF(W57&gt;=0.45,VLOOKUP(Calculator!E23,tbSkills!DH3:DI6,2,FALSE)+IF(AND(Calculator!B8=TRUE,Backdoors!BI6=TRUE),VLOOKUP(Calculator!E23,tbSkills!DH3:DJ6,3,FALSE),0),0))&gt;=100,100,(Backdoors!AI12+IF(W57&gt;=0.45,VLOOKUP(Calculator!E23,tbSkills!DH3:DI6,2,FALSE)+IF(AND(Calculator!B8=TRUE,Backdoors!BI6=TRUE),VLOOKUP(Calculator!E23,tbSkills!DH3:DJ6,3,FALSE),0),0)))/100)),(1-(0.25*((-Backdoors!AI12-IF(W57&gt;=0.45,VLOOKUP(Calculator!E23,tbSkills!DH3:DI6,2,FALSE)+IF(AND(Calculator!B8=TRUE,Backdoors!BI6=TRUE),VLOOKUP(Calculator!E23,tbSkills!DH3:DJ6,3,FALSE),0),0))/100)))),1),"")</f>
        <v>1</v>
      </c>
      <c r="Z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W57)*Y57)*(VLOOKUP(A57,tbMoveset!A2:C112,3,FALSE)/100)*IF(VLOOKUP(A57,tbMoveset!A2:B112,2,FALSE)="Projectile",Backdoors!N10,Backdoors!N9),0),"")</f>
        <v>2</v>
      </c>
      <c r="AA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W57&gt;=0.45,VLOOKUP(Calculator!E23,tbSkills!DH3:DI6,2,FALSE)+IF(AND(Calculator!B8=TRUE,Backdoors!BI6=TRUE),VLOOKUP(Calculator!E23,tbSkills!DH3:DJ6,3,FALSE),0),0))&gt;=100,100,(Backdoors!AI12+IF(W57&gt;=0.45,VLOOKUP(Calculator!E23,tbSkills!DH3:DI6,2,FALSE)+IF(AND(Calculator!B8=TRUE,Backdoors!BI6=TRUE),VLOOKUP(Calculator!E23,tbSkills!DH3:DJ6,3,FALSE),0),0)))/100)),1))*IF(VLOOKUP(A57,tbMoveset!A2:K112,11,FALSE)=TRUE,Backdoors!AC5,1))*X57,0),"")</f>
        <v>0</v>
      </c>
      <c r="AB57" s="49">
        <f>VLOOKUP(A57,tbMoveset!A2:G112,7,FALSE)*IFERROR(IF(Backdoors!AI12&gt;=0,1+(IF(Calculator!E40&gt;0,VLOOKUP(Calculator!E40,tbSkills!AI3:AJ5,2,FALSE),Backdoors!AL4)*(IF((Backdoors!AI12+IF(W57&gt;=0.45,VLOOKUP(Calculator!E23,tbSkills!DH3:DI6,2,FALSE)+IF(AND(Calculator!B8=TRUE,Backdoors!BI6=TRUE),VLOOKUP(Calculator!E23,tbSkills!DH3:DJ6,3,FALSE),0),0))&gt;=100,100,(Backdoors!AI12+IF(W57&gt;=0.45,VLOOKUP(Calculator!E23,tbSkills!DH3:DI6,2,FALSE)+IF(AND(Calculator!B8=TRUE,Backdoors!BI6=TRUE),VLOOKUP(Calculator!E23,tbSkills!DH3:DJ6,3,FALSE),0),0)))/100)),1),1)</f>
        <v>0.5</v>
      </c>
      <c r="AC57" s="87">
        <f t="shared" si="47"/>
        <v>2</v>
      </c>
      <c r="AD57" s="86">
        <f>IFERROR(IF(VLOOKUP(A57,tbMoveset!A2:B112,2,FALSE)="Sever",Backdoors!AY7/100,IF(VLOOKUP(A57,tbMoveset!A2:B112,2,FALSE)="Blunt",Backdoors!AZ7/100,Backdoors!BA7/100)),"")</f>
        <v>0.65</v>
      </c>
      <c r="AE57" s="49">
        <f>IFERROR(IF(VLOOKUP(tbMoveset!A57,tbMoveset!A2:H112,8,FALSE)="Other",IF(VLOOKUP(tbMoveset!A57,tbMoveset!A2:I112,9,FALSE)="Fire",Backdoors!BB7,IF(VLOOKUP(tbMoveset!A57,tbMoveset!A2:I112,9,FALSE)="Water",Backdoors!BC7,IF(VLOOKUP(tbMoveset!A57,tbMoveset!A2:I112,9,FALSE)="Thunder",Backdoors!BD7,IF(VLOOKUP(tbMoveset!A57,tbMoveset!A2:I112,9,FALSE)="Ice",Backdoors!BE7,IF(VLOOKUP(tbMoveset!A57,tbMoveset!A2:I112,9,FALSE)="Dragon",Backdoors!BF7,Backdoors!BG7)))))/100,Backdoors!BG7/100),"")</f>
        <v>0</v>
      </c>
      <c r="AF57" s="49">
        <f>IFERROR(IF(VLOOKUP(A57,tbMoveset!A2:J112,10,FALSE)=TRUE,IF((Backdoors!AI12+IF(AD57&gt;=0.45,VLOOKUP(Calculator!E23,tbSkills!DH3:DI6,2,FALSE)+IF(AND(Calculator!B8=TRUE,Backdoors!BI7=TRUE),VLOOKUP(Calculator!E23,tbSkills!DH3:DJ6,3,FALSE),0),0))&gt;=0,1+(Backdoors!AL2*(IF((Backdoors!AI12+IF(AD57&gt;=0.45,VLOOKUP(Calculator!E23,tbSkills!DH3:DI6,2,FALSE)+IF(AND(Calculator!B8=TRUE,Backdoors!BI7=TRUE),VLOOKUP(Calculator!E23,tbSkills!DH3:DJ6,3,FALSE),0),0))&gt;=100,100,(Backdoors!AI12+IF(AD57&gt;=0.45,VLOOKUP(Calculator!E23,tbSkills!DH3:DI6,2,FALSE)+IF(AND(Calculator!B8=TRUE,Backdoors!BI7=TRUE),VLOOKUP(Calculator!E23,tbSkills!DH3:DJ6,3,FALSE),0),0)))/100)),(1-(0.25*((-Backdoors!AI12-IF(AD57&gt;=0.45,VLOOKUP(Calculator!E23,tbSkills!DH3:DI6,2,FALSE)+IF(AND(Calculator!B8=TRUE,Backdoors!BI7=TRUE),VLOOKUP(Calculator!E23,tbSkills!DH3:DJ6,3,FALSE),0),0))/100)))),1),"")</f>
        <v>1</v>
      </c>
      <c r="AG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D57)*AF57)*(VLOOKUP(A57,tbMoveset!A2:C112,3,FALSE)/100)*IF(VLOOKUP(A57,tbMoveset!A2:B112,2,FALSE)="Projectile",Backdoors!N10,Backdoors!N9),0),"")</f>
        <v>3</v>
      </c>
      <c r="AH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D57&gt;=0.45,VLOOKUP(Calculator!E23,tbSkills!DH3:DI6,2,FALSE)+IF(AND(Calculator!B8=TRUE,Backdoors!BI7=TRUE),VLOOKUP(Calculator!E23,tbSkills!DH3:DJ6,3,FALSE),0),0))&gt;=100,100,(Backdoors!AI12+IF(AD57&gt;=0.45,VLOOKUP(Calculator!E23,tbSkills!DH3:DI6,2,FALSE)+IF(AND(Calculator!B8=TRUE,Backdoors!BI7=TRUE),VLOOKUP(Calculator!E23,tbSkills!DH3:DJ6,3,FALSE),0),0)))/100)),1))*IF(VLOOKUP(A57,tbMoveset!A2:K112,11,FALSE)=TRUE,Backdoors!AC5,1))*AE57,0),"")</f>
        <v>0</v>
      </c>
      <c r="AI57" s="49">
        <f>VLOOKUP(A57,tbMoveset!A2:G112,7,FALSE)*IFERROR(IF(Backdoors!AI12&gt;=0,1+(IF(Calculator!E40&gt;0,VLOOKUP(Calculator!E40,tbSkills!AI3:AJ5,2,FALSE),Backdoors!AL4)*(IF((Backdoors!AI12+IF(AD57&gt;=0.45,VLOOKUP(Calculator!E23,tbSkills!DH3:DI6,2,FALSE)+IF(AND(Calculator!B8=TRUE,Backdoors!BI7=TRUE),VLOOKUP(Calculator!E23,tbSkills!DH3:DJ6,3,FALSE),0),0))&gt;=100,100,(Backdoors!AI12+IF(AD57&gt;=0.45,VLOOKUP(Calculator!E23,tbSkills!DH3:DI6,2,FALSE)+IF(AND(Calculator!B8=TRUE,Backdoors!BI7=TRUE),VLOOKUP(Calculator!E23,tbSkills!DH3:DJ6,3,FALSE),0),0)))/100)),1),1)</f>
        <v>0.5</v>
      </c>
      <c r="AJ57" s="87">
        <f t="shared" si="48"/>
        <v>3</v>
      </c>
      <c r="AK57" s="91">
        <f>IFERROR(IF(VLOOKUP(A57,tbMoveset!A2:B112,2,FALSE)="Sever",Backdoors!AY8/100,IF(VLOOKUP(A57,tbMoveset!A2:B112,2,FALSE)="Blunt",Backdoors!AZ8/100,Backdoors!BA8/100)),"")</f>
        <v>0.45</v>
      </c>
      <c r="AL57" s="49">
        <f>IFERROR(IF(VLOOKUP(tbMoveset!A57,tbMoveset!A2:H112,8,FALSE)="Other",IF(VLOOKUP(tbMoveset!A57,tbMoveset!A2:I112,9,FALSE)="Fire",Backdoors!BB8,IF(VLOOKUP(tbMoveset!A57,tbMoveset!A2:I112,9,FALSE)="Water",Backdoors!BC8,IF(VLOOKUP(tbMoveset!A57,tbMoveset!A2:I112,9,FALSE)="Thunder",Backdoors!BD8,IF(VLOOKUP(tbMoveset!A57,tbMoveset!A2:I112,9,FALSE)="Ice",Backdoors!BE8,IF(VLOOKUP(tbMoveset!A57,tbMoveset!A2:I112,9,FALSE)="Dragon",Backdoors!BF8,Backdoors!BG8)))))/100,Backdoors!BG8/100),"")</f>
        <v>0</v>
      </c>
      <c r="AM57" s="49">
        <f>IFERROR(IF(VLOOKUP(A57,tbMoveset!A2:J112,10,FALSE)=TRUE,IF((Backdoors!AI12+IF(AK57&gt;=0.45,VLOOKUP(Calculator!E23,tbSkills!DH3:DI6,2,FALSE)+IF(AND(Calculator!B8=TRUE,Backdoors!BI8=TRUE),VLOOKUP(Calculator!E23,tbSkills!DH3:DJ6,3,FALSE),0),0))&gt;=0,1+(Backdoors!AL2*(IF((Backdoors!AI12+IF(AK57&gt;=0.45,VLOOKUP(Calculator!E23,tbSkills!DH3:DI6,2,FALSE)+IF(AND(Calculator!B8=TRUE,Backdoors!BI8=TRUE),VLOOKUP(Calculator!E23,tbSkills!DH3:DJ6,3,FALSE),0),0))&gt;=100,100,(Backdoors!AI12+IF(AK57&gt;=0.45,VLOOKUP(Calculator!E23,tbSkills!DH3:DI6,2,FALSE)+IF(AND(Calculator!B8=TRUE,Backdoors!BI8=TRUE),VLOOKUP(Calculator!E23,tbSkills!DH3:DJ6,3,FALSE),0),0)))/100)),(1-(0.25*((-Backdoors!AI12-IF(AK57&gt;=0.45,VLOOKUP(Calculator!E23,tbSkills!DH3:DI6,2,FALSE)+IF(AND(Calculator!B8=TRUE,Backdoors!BI8=TRUE),VLOOKUP(Calculator!E23,tbSkills!DH3:DJ6,3,FALSE),0),0))/100)))),1),"")</f>
        <v>1</v>
      </c>
      <c r="AN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K57)*AM57)*(VLOOKUP(A57,tbMoveset!A2:C112,3,FALSE)/100)*IF(VLOOKUP(A57,tbMoveset!A2:B112,2,FALSE)="Projectile",Backdoors!N10,Backdoors!N9),0),"")</f>
        <v>2</v>
      </c>
      <c r="AO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K57&gt;=0.45,VLOOKUP(Calculator!E23,tbSkills!DH3:DI6,2,FALSE)+IF(AND(Calculator!B8=TRUE,Backdoors!BI8=TRUE),VLOOKUP(Calculator!E23,tbSkills!DH3:DJ6,3,FALSE),0),0))&gt;=100,100,(Backdoors!AI12+IF(AK57&gt;=0.45,VLOOKUP(Calculator!E23,tbSkills!DH3:DI6,2,FALSE)+IF(AND(Calculator!B8=TRUE,Backdoors!BI8=TRUE),VLOOKUP(Calculator!E23,tbSkills!DH3:DJ6,3,FALSE),0),0)))/100)),1))*IF(VLOOKUP(A57,tbMoveset!A2:K112,11,FALSE)=TRUE,Backdoors!AC5,1))*AL57,0),"")</f>
        <v>0</v>
      </c>
      <c r="AP57" s="49">
        <f>VLOOKUP(A57,tbMoveset!A2:G112,7,FALSE)*IFERROR(IF(Backdoors!AI12&gt;=0,1+(IF(Calculator!E40&gt;0,VLOOKUP(Calculator!E40,tbSkills!AI3:AJ5,2,FALSE),Backdoors!AL4)*(IF((Backdoors!AI12+IF(AK57&gt;=0.45,VLOOKUP(Calculator!E23,tbSkills!DH3:DI6,2,FALSE)+IF(AND(Calculator!B8=TRUE,Backdoors!BI8=TRUE),VLOOKUP(Calculator!E23,tbSkills!DH3:DJ6,3,FALSE),0),0))&gt;=100,100,(Backdoors!AI12+IF(AK57&gt;=0.45,VLOOKUP(Calculator!E23,tbSkills!DH3:DI6,2,FALSE)+IF(AND(Calculator!B8=TRUE,Backdoors!BI8=TRUE),VLOOKUP(Calculator!E23,tbSkills!DH3:DJ6,3,FALSE),0),0)))/100)),1),1)</f>
        <v>0.5</v>
      </c>
      <c r="AQ57" s="87">
        <f t="shared" si="49"/>
        <v>2</v>
      </c>
      <c r="AR57" s="86">
        <f>IFERROR(IF(VLOOKUP(A57,tbMoveset!A2:B112,2,FALSE)="Sever",Backdoors!AY9/100,IF(VLOOKUP(A57,tbMoveset!A2:B112,2,FALSE)="Blunt",Backdoors!AZ9/100,Backdoors!BA9/100)),"")</f>
        <v>0.45</v>
      </c>
      <c r="AS57" s="49">
        <f>IFERROR(IF(VLOOKUP(tbMoveset!A57,tbMoveset!A2:H112,8,FALSE)="Other",IF(VLOOKUP(tbMoveset!A57,tbMoveset!A2:I112,9,FALSE)="Fire",Backdoors!BB9,IF(VLOOKUP(tbMoveset!A57,tbMoveset!A2:I112,9,FALSE)="Water",Backdoors!BC9,IF(VLOOKUP(tbMoveset!A57,tbMoveset!A2:I112,9,FALSE)="Thunder",Backdoors!BD9,IF(VLOOKUP(tbMoveset!A57,tbMoveset!A2:I112,9,FALSE)="Ice",Backdoors!BE9,IF(VLOOKUP(tbMoveset!A57,tbMoveset!A2:I112,9,FALSE)="Dragon",Backdoors!BF9,Backdoors!BG9)))))/100,Backdoors!BG9/100),"")</f>
        <v>0</v>
      </c>
      <c r="AT57" s="49">
        <f>IFERROR(IF(VLOOKUP(A57,tbMoveset!A2:J112,10,FALSE)=TRUE,IF((Backdoors!AI12+IF(AR57&gt;=0.45,VLOOKUP(Calculator!E23,tbSkills!DH3:DI6,2,FALSE)+IF(AND(Calculator!B8=TRUE,Backdoors!BI9=TRUE),VLOOKUP(Calculator!E23,tbSkills!DH3:DJ6,3,FALSE),0),0))&gt;=0,1+(Backdoors!AL2*(IF((Backdoors!AI12+IF(AR57&gt;=0.45,VLOOKUP(Calculator!E23,tbSkills!DH3:DI6,2,FALSE)+IF(AND(Calculator!B8=TRUE,Backdoors!BI9=TRUE),VLOOKUP(Calculator!E23,tbSkills!DH3:DJ6,3,FALSE),0),0))&gt;=100,100,(Backdoors!AI12+IF(AR57&gt;=0.45,VLOOKUP(Calculator!E23,tbSkills!DH3:DI6,2,FALSE)+IF(AND(Calculator!B8=TRUE,Backdoors!BI9=TRUE),VLOOKUP(Calculator!E23,tbSkills!DH3:DJ6,3,FALSE),0),0)))/100)),(1-(0.25*((-Backdoors!AI12-IF(AR57&gt;=0.45,VLOOKUP(Calculator!E23,tbSkills!DH3:DI6,2,FALSE)+IF(AND(Calculator!B8=TRUE,Backdoors!BI9=TRUE),VLOOKUP(Calculator!E23,tbSkills!DH3:DJ6,3,FALSE),0),0))/100)))),1),"")</f>
        <v>1</v>
      </c>
      <c r="AU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R57)*AT57)*(VLOOKUP(A57,tbMoveset!A2:C112,3,FALSE)/100)*IF(VLOOKUP(A57,tbMoveset!A2:B112,2,FALSE)="Projectile",Backdoors!N10,Backdoors!N9),0),"")</f>
        <v>2</v>
      </c>
      <c r="AV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R57&gt;=0.45,VLOOKUP(Calculator!E23,tbSkills!DH3:DI6,2,FALSE)+IF(AND(Calculator!B8=TRUE,Backdoors!BI9=TRUE),VLOOKUP(Calculator!E23,tbSkills!DH3:DJ6,3,FALSE),0),0))&gt;=100,100,(Backdoors!AI12+IF(AR57&gt;=0.45,VLOOKUP(Calculator!E23,tbSkills!DH3:DI6,2,FALSE)+IF(AND(Calculator!B8=TRUE,Backdoors!BI9=TRUE),VLOOKUP(Calculator!E23,tbSkills!DH3:DJ6,3,FALSE),0),0)))/100)),1))*IF(VLOOKUP(A57,tbMoveset!A2:K112,11,FALSE)=TRUE,Backdoors!AC5,1))*AS57,0),"")</f>
        <v>0</v>
      </c>
      <c r="AW57" s="49">
        <f>VLOOKUP(A57,tbMoveset!A2:G112,7,FALSE)*IFERROR(IF(Backdoors!AI12&gt;=0,1+(IF(Calculator!E40&gt;0,VLOOKUP(Calculator!E40,tbSkills!AI3:AJ5,2,FALSE),Backdoors!AL4)*(IF((Backdoors!AI12+IF(AR57&gt;=0.45,VLOOKUP(Calculator!E23,tbSkills!DH3:DI6,2,FALSE)+IF(AND(Calculator!B8=TRUE,Backdoors!BI9=TRUE),VLOOKUP(Calculator!E23,tbSkills!DH3:DJ6,3,FALSE),0),0))&gt;=100,100,(Backdoors!AI12+IF(AR57&gt;=0.45,VLOOKUP(Calculator!E23,tbSkills!DH3:DI6,2,FALSE)+IF(AND(Calculator!B8=TRUE,Backdoors!BI9=TRUE),VLOOKUP(Calculator!E23,tbSkills!DH3:DJ6,3,FALSE),0),0)))/100)),1),1)</f>
        <v>0.5</v>
      </c>
      <c r="AX57" s="87">
        <f t="shared" si="50"/>
        <v>2</v>
      </c>
      <c r="AY57" s="86">
        <f>IFERROR(IF(VLOOKUP(A57,tbMoveset!A2:B112,2,FALSE)="Sever",Backdoors!AY10/100,IF(VLOOKUP(A57,tbMoveset!A2:B112,2,FALSE)="Blunt",Backdoors!AZ10/100,Backdoors!BA10/100)),"")</f>
        <v>0.9</v>
      </c>
      <c r="AZ57" s="49">
        <f>IFERROR(IF(VLOOKUP(tbMoveset!A57,tbMoveset!A2:H112,8,FALSE)="Other",IF(VLOOKUP(tbMoveset!A57,tbMoveset!A2:I112,9,FALSE)="Fire",Backdoors!BB10,IF(VLOOKUP(tbMoveset!A57,tbMoveset!A2:I112,9,FALSE)="Water",Backdoors!BC10,IF(VLOOKUP(tbMoveset!A57,tbMoveset!A2:I112,9,FALSE)="Thunder",Backdoors!BD10,IF(VLOOKUP(tbMoveset!A57,tbMoveset!A2:I112,9,FALSE)="Ice",Backdoors!BE10,IF(VLOOKUP(tbMoveset!A57,tbMoveset!A2:I112,9,FALSE)="Dragon",Backdoors!BF10,Backdoors!BG10)))))/100,Backdoors!BG10/100),"")</f>
        <v>0</v>
      </c>
      <c r="BA57" s="49">
        <f>IFERROR(IF(VLOOKUP(A57,tbMoveset!A2:J112,10,FALSE)=TRUE,IF((Backdoors!AI12+IF(AY57&gt;=0.45,VLOOKUP(Calculator!E23,tbSkills!DH3:DI6,2,FALSE)+IF(AND(Calculator!B8=TRUE,Backdoors!BI10=TRUE),VLOOKUP(Calculator!E23,tbSkills!DH3:DJ6,3,FALSE),0),0))&gt;=0,1+(Backdoors!AL2*(IF((Backdoors!AI12+IF(AY57&gt;=0.45,VLOOKUP(Calculator!E23,tbSkills!DH3:DI6,2,FALSE)+IF(AND(Calculator!B8=TRUE,Backdoors!BI10=TRUE),VLOOKUP(Calculator!E23,tbSkills!DH3:DJ6,3,FALSE),0),0))&gt;=100,100,(Backdoors!AI12+IF(AY57&gt;=0.45,VLOOKUP(Calculator!E23,tbSkills!DH3:DI6,2,FALSE)+IF(AND(Calculator!B8=TRUE,Backdoors!BI10=TRUE),VLOOKUP(Calculator!E23,tbSkills!DH3:DJ6,3,FALSE),0),0)))/100)),(1-(0.25*((-Backdoors!AI12-IF(AY57&gt;=0.45,VLOOKUP(Calculator!E23,tbSkills!DH3:DI6,2,FALSE)+IF(AND(Calculator!B8=TRUE,Backdoors!BI10=TRUE),VLOOKUP(Calculator!E23,tbSkills!DH3:DJ6,3,FALSE),0),0))/100)))),1),"")</f>
        <v>1</v>
      </c>
      <c r="BB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Y57)*BA57)*(VLOOKUP(A57,tbMoveset!A2:C112,3,FALSE)/100)*IF(VLOOKUP(A57,tbMoveset!A2:B112,2,FALSE)="Projectile",Backdoors!N10,Backdoors!N9),0),"")</f>
        <v>5</v>
      </c>
      <c r="BC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Y57&gt;=0.45,VLOOKUP(Calculator!E23,tbSkills!DH3:DI6,2,FALSE)+IF(AND(Calculator!B8=TRUE,Backdoors!BI10=TRUE),VLOOKUP(Calculator!E23,tbSkills!DH3:DJ6,3,FALSE),0),0))&gt;=100,100,(Backdoors!AI12+IF(AY57&gt;=0.45,VLOOKUP(Calculator!E23,tbSkills!DH3:DI6,2,FALSE)+IF(AND(Calculator!B8=TRUE,Backdoors!BI10=TRUE),VLOOKUP(Calculator!E23,tbSkills!DH3:DJ6,3,FALSE),0),0)))/100)),1))*IF(VLOOKUP(A57,tbMoveset!A2:K112,11,FALSE)=TRUE,Backdoors!AC5,1))*AZ57,0),"")</f>
        <v>0</v>
      </c>
      <c r="BD57" s="49">
        <f>VLOOKUP(A57,tbMoveset!A2:G112,7,FALSE)*IFERROR(IF(Backdoors!AI12&gt;=0,1+(IF(Calculator!E40&gt;0,VLOOKUP(Calculator!E40,tbSkills!AI3:AJ5,2,FALSE),Backdoors!AL4)*(IF((Backdoors!AI12+IF(AY57&gt;=0.45,VLOOKUP(Calculator!E23,tbSkills!DH3:DI6,2,FALSE)+IF(AND(Calculator!B8=TRUE,Backdoors!BI10=TRUE),VLOOKUP(Calculator!E23,tbSkills!DH3:DJ6,3,FALSE),0),0))&gt;=100,100,(Backdoors!AI12+IF(AY57&gt;=0.45,VLOOKUP(Calculator!E23,tbSkills!DH3:DI6,2,FALSE)+IF(AND(Calculator!B8=TRUE,Backdoors!BI10=TRUE),VLOOKUP(Calculator!E23,tbSkills!DH3:DJ6,3,FALSE),0),0)))/100)),1),1)</f>
        <v>0.5</v>
      </c>
      <c r="BE57" s="87">
        <f t="shared" si="3"/>
        <v>5</v>
      </c>
      <c r="BF57" s="86" t="str">
        <f>IFERROR(IF(VLOOKUP(A57,tbMoveset!A2:B112,2,FALSE)="Sever",Backdoors!AY11/100,IF(VLOOKUP(A57,tbMoveset!A2:B112,2,FALSE)="Blunt",Backdoors!AZ11/100,Backdoors!BA11/100)),"")</f>
        <v/>
      </c>
      <c r="BG57" s="49">
        <f>IFERROR(IF(VLOOKUP(tbMoveset!A57,tbMoveset!A2:H112,8,FALSE)="Other",IF(VLOOKUP(tbMoveset!A57,tbMoveset!A2:I112,9,FALSE)="Fire",Backdoors!BB11,IF(VLOOKUP(tbMoveset!A57,tbMoveset!A2:I112,9,FALSE)="Water",Backdoors!BC11,IF(VLOOKUP(tbMoveset!A57,tbMoveset!A2:I112,9,FALSE)="Thunder",Backdoors!BD11,IF(VLOOKUP(tbMoveset!A57,tbMoveset!A2:I112,9,FALSE)="Ice",Backdoors!BE11,IF(VLOOKUP(tbMoveset!A57,tbMoveset!A2:I112,9,FALSE)="Dragon",Backdoors!BF11,Backdoors!BG11)))))/100,Backdoors!BG11/100),"")</f>
        <v>0</v>
      </c>
      <c r="BH57" s="49">
        <f>IFERROR(IF(VLOOKUP(A57,tbMoveset!A2:J112,10,FALSE)=TRUE,IF((Backdoors!AI12+IF(BF57&gt;=0.45,VLOOKUP(Calculator!E23,tbSkills!DH3:DI6,2,FALSE)+IF(AND(Calculator!B8=TRUE,Backdoors!BI11=TRUE),VLOOKUP(Calculator!E23,tbSkills!DH3:DJ6,3,FALSE),0),0))&gt;=0,1+(Backdoors!AL2*(IF((Backdoors!AI12+IF(BF57&gt;=0.45,VLOOKUP(Calculator!E23,tbSkills!DH3:DI6,2,FALSE)+IF(AND(Calculator!B8=TRUE,Backdoors!BI11=TRUE),VLOOKUP(Calculator!E23,tbSkills!DH3:DJ6,3,FALSE),0),0))&gt;=100,100,(Backdoors!AI12+IF(BF57&gt;=0.45,VLOOKUP(Calculator!E23,tbSkills!DH3:DI6,2,FALSE)+IF(AND(Calculator!B8=TRUE,Backdoors!BI11=TRUE),VLOOKUP(Calculator!E23,tbSkills!DH3:DJ6,3,FALSE),0),0)))/100)),(1-(0.25*((-Backdoors!AI12-IF(BF57&gt;=0.45,VLOOKUP(Calculator!E23,tbSkills!DH3:DI6,2,FALSE)+IF(AND(Calculator!B8=TRUE,Backdoors!BI11=TRUE),VLOOKUP(Calculator!E23,tbSkills!DH3:DJ6,3,FALSE),0),0))/100)))),1),"")</f>
        <v>1</v>
      </c>
      <c r="BI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F57)*BH57)*(VLOOKUP(A57,tbMoveset!A2:C112,3,FALSE)/100)*IF(VLOOKUP(A57,tbMoveset!A2:B112,2,FALSE)="Projectile",Backdoors!N10,Backdoors!N9),0),"")</f>
        <v/>
      </c>
      <c r="BJ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F57&gt;=0.45,VLOOKUP(Calculator!E23,tbSkills!DH3:DI6,2,FALSE)+IF(AND(Calculator!B8=TRUE,Backdoors!BI11=TRUE),VLOOKUP(Calculator!E23,tbSkills!DH3:DJ6,3,FALSE),0),0))&gt;=100,100,(Backdoors!AI12+IF(BF57&gt;=0.45,VLOOKUP(Calculator!E23,tbSkills!DH3:DI6,2,FALSE)+IF(AND(Calculator!B8=TRUE,Backdoors!BI11=TRUE),VLOOKUP(Calculator!E23,tbSkills!DH3:DJ6,3,FALSE),0),0)))/100)),1))*IF(VLOOKUP(A57,tbMoveset!A2:K112,11,FALSE)=TRUE,Backdoors!AC5,1))*BG57,0),"")</f>
        <v>0</v>
      </c>
      <c r="BK57" s="49">
        <f>VLOOKUP(A57,tbMoveset!A2:G112,7,FALSE)*IFERROR(IF(Backdoors!AI12&gt;=0,1+(IF(Calculator!E40&gt;0,VLOOKUP(Calculator!E40,tbSkills!AI3:AJ5,2,FALSE),Backdoors!AL4)*(IF((Backdoors!AI12+IF(BF57&gt;=0.45,VLOOKUP(Calculator!E23,tbSkills!DH3:DI6,2,FALSE)+IF(AND(Calculator!B8=TRUE,Backdoors!BI11=TRUE),VLOOKUP(Calculator!E23,tbSkills!DH3:DJ6,3,FALSE),0),0))&gt;=100,100,(Backdoors!AI12+IF(BF57&gt;=0.45,VLOOKUP(Calculator!E23,tbSkills!DH3:DI6,2,FALSE)+IF(AND(Calculator!B8=TRUE,Backdoors!BI11=TRUE),VLOOKUP(Calculator!E23,tbSkills!DH3:DJ6,3,FALSE),0),0)))/100)),1),1)</f>
        <v>0.5</v>
      </c>
      <c r="BL57" s="87">
        <f t="shared" si="4"/>
        <v>0</v>
      </c>
      <c r="BM57" s="86" t="str">
        <f>IFERROR(IF(VLOOKUP(A57,tbMoveset!A2:B112,2,FALSE)="Sever",Backdoors!AY12/100,IF(VLOOKUP(A57,tbMoveset!A2:B112,2,FALSE)="Blunt",Backdoors!AZ12/100,Backdoors!BA12/100)),"")</f>
        <v/>
      </c>
      <c r="BN57" s="49">
        <f>IFERROR(IF(VLOOKUP(tbMoveset!A57,tbMoveset!A2:H112,8,FALSE)="Other",IF(VLOOKUP(tbMoveset!A57,tbMoveset!A2:I112,9,FALSE)="Fire",Backdoors!BB12,IF(VLOOKUP(tbMoveset!A57,tbMoveset!A2:I112,9,FALSE)="Water",Backdoors!BC12,IF(VLOOKUP(tbMoveset!A57,tbMoveset!A2:I112,9,FALSE)="Thunder",Backdoors!BD12,IF(VLOOKUP(tbMoveset!A57,tbMoveset!A2:I112,9,FALSE)="Ice",Backdoors!BE12,IF(VLOOKUP(tbMoveset!A57,tbMoveset!A2:I112,9,FALSE)="Dragon",Backdoors!BF12,Backdoors!BG12)))))/100,Backdoors!BG12/100),"")</f>
        <v>0</v>
      </c>
      <c r="BO57" s="49">
        <f>IFERROR(IF(VLOOKUP(A57,tbMoveset!A2:J112,10,FALSE)=TRUE,IF((Backdoors!AI12+IF(BM57&gt;=0.45,VLOOKUP(Calculator!E23,tbSkills!DH3:DI6,2,FALSE)+IF(AND(Calculator!B8=TRUE,Backdoors!BI12=TRUE),VLOOKUP(Calculator!E23,tbSkills!DH3:DJ6,3,FALSE),0),0))&gt;=0,1+(Backdoors!AL2*(IF((Backdoors!AI12+IF(BM57&gt;=0.45,VLOOKUP(Calculator!E23,tbSkills!DH3:DI6,2,FALSE)+IF(AND(Calculator!B8=TRUE,Backdoors!BI12=TRUE),VLOOKUP(Calculator!E23,tbSkills!DH3:DJ6,3,FALSE),0),0))&gt;=100,100,(Backdoors!AI12+IF(BM57&gt;=0.45,VLOOKUP(Calculator!E23,tbSkills!DH3:DI6,2,FALSE)+IF(AND(Calculator!B8=TRUE,Backdoors!BI12=TRUE),VLOOKUP(Calculator!E23,tbSkills!DH3:DJ6,3,FALSE),0),0)))/100)),(1-(0.25*((-Backdoors!AI12-IF(BM57&gt;=0.45,VLOOKUP(Calculator!E23,tbSkills!DH3:DI6,2,FALSE)+IF(AND(Calculator!B8=TRUE,Backdoors!BI12=TRUE),VLOOKUP(Calculator!E23,tbSkills!DH3:DJ6,3,FALSE),0),0))/100)))),1),"")</f>
        <v>1</v>
      </c>
      <c r="BP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M57)*BO57)*(VLOOKUP(A57,tbMoveset!A2:C112,3,FALSE)/100)*IF(VLOOKUP(A57,tbMoveset!A2:B112,2,FALSE)="Projectile",Backdoors!N10,Backdoors!N9),0),"")</f>
        <v/>
      </c>
      <c r="BQ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M57&gt;=0.45,VLOOKUP(Calculator!E23,tbSkills!DH3:DI6,2,FALSE)+IF(AND(Calculator!B8=TRUE,Backdoors!BI12=TRUE),VLOOKUP(Calculator!E23,tbSkills!DH3:DJ6,3,FALSE),0),0))&gt;=100,100,(Backdoors!AI12+IF(BM57&gt;=0.45,VLOOKUP(Calculator!E23,tbSkills!DH3:DI6,2,FALSE)+IF(AND(Calculator!B8=TRUE,Backdoors!BI12=TRUE),VLOOKUP(Calculator!E23,tbSkills!DH3:DJ6,3,FALSE),0),0)))/100)),1))*IF(VLOOKUP(A57,tbMoveset!A2:K112,11,FALSE)=TRUE,Backdoors!AC5,1))*BN57,0),"")</f>
        <v>0</v>
      </c>
      <c r="BR57" s="49">
        <f>VLOOKUP(A57,tbMoveset!A2:G112,7,FALSE)*IFERROR(IF(Backdoors!AI12&gt;=0,1+(IF(Calculator!E40&gt;0,VLOOKUP(Calculator!E40,tbSkills!AI3:AJ5,2,FALSE),Backdoors!AL4)*(IF((Backdoors!AI12+IF(BM57&gt;=0.45,VLOOKUP(Calculator!E23,tbSkills!DH3:DI6,2,FALSE)+IF(AND(Calculator!B8=TRUE,Backdoors!BI12=TRUE),VLOOKUP(Calculator!E23,tbSkills!DH3:DJ6,3,FALSE),0),0))&gt;=100,100,(Backdoors!AI12+IF(BM57&gt;=0.45,VLOOKUP(Calculator!E23,tbSkills!DH3:DI6,2,FALSE)+IF(AND(Calculator!B8=TRUE,Backdoors!BI12=TRUE),VLOOKUP(Calculator!E23,tbSkills!DH3:DJ6,3,FALSE),0),0)))/100)),1),1)</f>
        <v>0.5</v>
      </c>
      <c r="BS57" s="87">
        <f t="shared" si="39"/>
        <v>0</v>
      </c>
      <c r="BT57" s="86" t="str">
        <f>IFERROR(IF(VLOOKUP(A57,tbMoveset!A2:B112,2,FALSE)="Sever",Backdoors!AY13/100,IF(VLOOKUP(A57,tbMoveset!A2:B112,2,FALSE)="Blunt",Backdoors!AZ13/100,Backdoors!BA13/100)),"")</f>
        <v/>
      </c>
      <c r="BU57" s="49">
        <f>IFERROR(IF(VLOOKUP(tbMoveset!A57,tbMoveset!A2:H112,8,FALSE)="Other",IF(VLOOKUP(tbMoveset!A57,tbMoveset!A2:I112,9,FALSE)="Fire",Backdoors!BB13,IF(VLOOKUP(tbMoveset!A57,tbMoveset!A2:I112,9,FALSE)="Water",Backdoors!BC13,IF(VLOOKUP(tbMoveset!A57,tbMoveset!A2:I112,9,FALSE)="Thunder",Backdoors!BD13,IF(VLOOKUP(tbMoveset!A57,tbMoveset!A2:I112,9,FALSE)="Ice",Backdoors!BE13,IF(VLOOKUP(tbMoveset!A57,tbMoveset!A2:I112,9,FALSE)="Dragon",Backdoors!BF13,Backdoors!BG13)))))/100,Backdoors!BG13/100),"")</f>
        <v>0</v>
      </c>
      <c r="BV57" s="49">
        <f>IFERROR(IF(VLOOKUP(A57,tbMoveset!A2:J112,10,FALSE)=TRUE,IF((Backdoors!AI12+IF(BT57&gt;=0.45,VLOOKUP(Calculator!E23,tbSkills!DH3:DI6,2,FALSE)+IF(AND(Calculator!B8=TRUE,Backdoors!BI13=TRUE),VLOOKUP(Calculator!E23,tbSkills!DH3:DJ6,3,FALSE),0),0))&gt;=0,1+(Backdoors!AL2*(IF((Backdoors!AI12+IF(BT57&gt;=0.45,VLOOKUP(Calculator!E23,tbSkills!DH3:DI6,2,FALSE)+IF(AND(Calculator!B8=TRUE,Backdoors!BI13=TRUE),VLOOKUP(Calculator!E23,tbSkills!DH3:DJ6,3,FALSE),0),0))&gt;=100,100,(Backdoors!AI12+IF(BT57&gt;=0.45,VLOOKUP(Calculator!E23,tbSkills!DH3:DI6,2,FALSE)+IF(AND(Calculator!B8=TRUE,Backdoors!BI13=TRUE),VLOOKUP(Calculator!E23,tbSkills!DH3:DJ6,3,FALSE),0),0)))/100)),(1-(0.25*((-Backdoors!AI12-IF(BT57&gt;=0.45,VLOOKUP(Calculator!E23,tbSkills!DH3:DI6,2,FALSE)+IF(AND(Calculator!B8=TRUE,Backdoors!BI13=TRUE),VLOOKUP(Calculator!E23,tbSkills!DH3:DJ6,3,FALSE),0),0))/100)))),1),"")</f>
        <v>1</v>
      </c>
      <c r="BW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T57)*BV57)*(VLOOKUP(A57,tbMoveset!A2:C112,3,FALSE)/100)*IF(VLOOKUP(A57,tbMoveset!A2:B112,2,FALSE)="Projectile",Backdoors!N10,Backdoors!N9),0),"")</f>
        <v/>
      </c>
      <c r="BX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T57&gt;=0.45,VLOOKUP(Calculator!E23,tbSkills!DH3:DI6,2,FALSE)+IF(AND(Calculator!B8=TRUE,Backdoors!BI13=TRUE),VLOOKUP(Calculator!E23,tbSkills!DH3:DJ6,3,FALSE),0),0))&gt;=100,100,(Backdoors!AI12+IF(BT57&gt;=0.45,VLOOKUP(Calculator!E23,tbSkills!DH3:DI6,2,FALSE)+IF(AND(Calculator!B8=TRUE,Backdoors!BI13=TRUE),VLOOKUP(Calculator!E23,tbSkills!DH3:DJ6,3,FALSE),0),0)))/100)),1))*IF(VLOOKUP(A57,tbMoveset!A2:K112,11,FALSE)=TRUE,Backdoors!AC5,1))*BU57,0),"")</f>
        <v>0</v>
      </c>
      <c r="BY57" s="49">
        <f>VLOOKUP(A57,tbMoveset!A2:G112,7,FALSE)*IFERROR(IF(Backdoors!AI12&gt;=0,1+(IF(Calculator!E40&gt;0,VLOOKUP(Calculator!E40,tbSkills!AI3:AJ5,2,FALSE),Backdoors!AL4)*(IF((Backdoors!AI12+IF(BT57&gt;=0.45,VLOOKUP(Calculator!E23,tbSkills!DH3:DI6,2,FALSE)+IF(AND(Calculator!B8=TRUE,Backdoors!BI13=TRUE),VLOOKUP(Calculator!E23,tbSkills!DH3:DJ6,3,FALSE),0),0))&gt;=100,100,(Backdoors!AI12+IF(BT57&gt;=0.45,VLOOKUP(Calculator!E23,tbSkills!DH3:DI6,2,FALSE)+IF(AND(Calculator!B8=TRUE,Backdoors!BI13=TRUE),VLOOKUP(Calculator!E23,tbSkills!DH3:DJ6,3,FALSE),0),0)))/100)),1),1)</f>
        <v>0.5</v>
      </c>
      <c r="BZ57" s="87">
        <f t="shared" si="5"/>
        <v>0</v>
      </c>
      <c r="CA57" s="86" t="str">
        <f>IFERROR(IF(VLOOKUP(A57,tbMoveset!A2:B112,2,FALSE)="Sever",Backdoors!AY14/100,IF(VLOOKUP(A57,tbMoveset!A2:B112,2,FALSE)="Blunt",Backdoors!AZ14/100,Backdoors!BA14/100)),"")</f>
        <v/>
      </c>
      <c r="CB57" s="49">
        <f>IFERROR(IF(VLOOKUP(tbMoveset!A57,tbMoveset!A2:H112,8,FALSE)="Other",IF(VLOOKUP(tbMoveset!A57,tbMoveset!A2:I112,9,FALSE)="Fire",Backdoors!BB14,IF(VLOOKUP(tbMoveset!A57,tbMoveset!A2:I112,9,FALSE)="Water",Backdoors!BC14,IF(VLOOKUP(tbMoveset!A57,tbMoveset!A2:I112,9,FALSE)="Thunder",Backdoors!BD14,IF(VLOOKUP(tbMoveset!A57,tbMoveset!A2:I112,9,FALSE)="Ice",Backdoors!BE14,IF(VLOOKUP(tbMoveset!A57,tbMoveset!A2:I112,9,FALSE)="Dragon",Backdoors!BF14,Backdoors!BG14)))))/100,Backdoors!BG14/100),"")</f>
        <v>0</v>
      </c>
      <c r="CC57" s="49">
        <f>IFERROR(IF(VLOOKUP(A57,tbMoveset!A2:J112,10,FALSE)=TRUE,IF((Backdoors!AI12+IF(CA57&gt;=0.45,VLOOKUP(Calculator!E23,tbSkills!DH3:DI6,2,FALSE)+IF(AND(Calculator!B8=TRUE,Backdoors!BI14=TRUE),VLOOKUP(Calculator!E23,tbSkills!DH3:DJ6,3,FALSE),0),0))&gt;=0,1+(Backdoors!AL2*(IF((Backdoors!AI12+IF(CA57&gt;=0.45,VLOOKUP(Calculator!E23,tbSkills!DH3:DI6,2,FALSE)+IF(AND(Calculator!B8=TRUE,Backdoors!BI14=TRUE),VLOOKUP(Calculator!E23,tbSkills!DH3:DJ6,3,FALSE),0),0))&gt;=100,100,(Backdoors!AI12+IF(CA57&gt;=0.45,VLOOKUP(Calculator!E23,tbSkills!DH3:DI6,2,FALSE)+IF(AND(Calculator!B8=TRUE,Backdoors!BI14=TRUE),VLOOKUP(Calculator!E23,tbSkills!DH3:DJ6,3,FALSE),0),0)))/100)),(1-(0.25*((-Backdoors!AI12-IF(CA57&gt;=0.45,VLOOKUP(Calculator!E23,tbSkills!DH3:DI6,2,FALSE)+IF(AND(Calculator!B8=TRUE,Backdoors!BI14=TRUE),VLOOKUP(Calculator!E23,tbSkills!DH3:DJ6,3,FALSE),0),0))/100)))),1),"")</f>
        <v>1</v>
      </c>
      <c r="CD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A57)*CC57)*(VLOOKUP(A57,tbMoveset!A2:C112,3,FALSE)/100)*IF(VLOOKUP(A57,tbMoveset!A2:B112,2,FALSE)="Projectile",Backdoors!N10,Backdoors!N9),0),"")</f>
        <v/>
      </c>
      <c r="CE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A57&gt;=0.45,VLOOKUP(Calculator!E23,tbSkills!DH3:DI6,2,FALSE)+IF(AND(Calculator!B8=TRUE,Backdoors!BI14=TRUE),VLOOKUP(Calculator!E23,tbSkills!DH3:DJ6,3,FALSE),0),0))&gt;=100,100,(Backdoors!AI12+IF(CA57&gt;=0.45,VLOOKUP(Calculator!E23,tbSkills!DH3:DI6,2,FALSE)+IF(AND(Calculator!B8=TRUE,Backdoors!BI14=TRUE),VLOOKUP(Calculator!E23,tbSkills!DH3:DJ6,3,FALSE),0),0)))/100)),1))*IF(VLOOKUP(A57,tbMoveset!A2:K112,11,FALSE)=TRUE,Backdoors!AC5,1))*CB57,0),"")</f>
        <v>0</v>
      </c>
      <c r="CF57" s="49">
        <f>VLOOKUP(A57,tbMoveset!A2:G112,7,FALSE)*IFERROR(IF(Backdoors!AI12&gt;=0,1+(IF(Calculator!E40&gt;0,VLOOKUP(Calculator!E40,tbSkills!AI3:AJ5,2,FALSE),Backdoors!AL4)*(IF((Backdoors!AI12+IF(CA57&gt;=0.45,VLOOKUP(Calculator!E23,tbSkills!DH3:DI6,2,FALSE)+IF(AND(Calculator!B8=TRUE,Backdoors!BI14=TRUE),VLOOKUP(Calculator!E23,tbSkills!DH3:DJ6,3,FALSE),0),0))&gt;=100,100,(Backdoors!AI12+IF(CA57&gt;=0.45,VLOOKUP(Calculator!E23,tbSkills!DH3:DI6,2,FALSE)+IF(AND(Calculator!B8=TRUE,Backdoors!BI14=TRUE),VLOOKUP(Calculator!E23,tbSkills!DH3:DJ6,3,FALSE),0),0)))/100)),1),1)</f>
        <v>0.5</v>
      </c>
      <c r="CG57" s="87">
        <f t="shared" si="6"/>
        <v>0</v>
      </c>
      <c r="CH57" s="86" t="str">
        <f>IFERROR(IF(VLOOKUP(A57,tbMoveset!A2:B112,2,FALSE)="Sever",Backdoors!AY15/100,IF(VLOOKUP(A57,tbMoveset!A2:B112,2,FALSE)="Blunt",Backdoors!AZ15/100,Backdoors!BA15/100)),"")</f>
        <v/>
      </c>
      <c r="CI57" s="49">
        <f>IFERROR(IF(VLOOKUP(tbMoveset!A57,tbMoveset!A2:H112,8,FALSE)="Other",IF(VLOOKUP(tbMoveset!A57,tbMoveset!A2:I112,9,FALSE)="Fire",Backdoors!BB15,IF(VLOOKUP(tbMoveset!A57,tbMoveset!A2:I112,9,FALSE)="Water",Backdoors!BC15,IF(VLOOKUP(tbMoveset!A57,tbMoveset!A2:I112,9,FALSE)="Thunder",Backdoors!BD15,IF(VLOOKUP(tbMoveset!A57,tbMoveset!A2:I112,9,FALSE)="Ice",Backdoors!BE15,IF(VLOOKUP(tbMoveset!A57,tbMoveset!A2:I112,9,FALSE)="Dragon",Backdoors!BF15,Backdoors!BG15)))))/100,Backdoors!BG15/100),"")</f>
        <v>0</v>
      </c>
      <c r="CJ57" s="49">
        <f>IFERROR(IF(VLOOKUP(A57,tbMoveset!A2:J112,10,FALSE)=TRUE,IF((Backdoors!AI12+IF(CH57&gt;=0.45,VLOOKUP(Calculator!E23,tbSkills!DH3:DI6,2,FALSE)+IF(AND(Calculator!B8=TRUE,Backdoors!BI15=TRUE),VLOOKUP(Calculator!E23,tbSkills!DH3:DJ6,3,FALSE),0),0))&gt;=0,1+(Backdoors!AL2*(IF((Backdoors!AI12+IF(CH57&gt;=0.45,VLOOKUP(Calculator!E23,tbSkills!DH3:DI6,2,FALSE)+IF(AND(Calculator!B8=TRUE,Backdoors!BI15=TRUE),VLOOKUP(Calculator!E23,tbSkills!DH3:DJ6,3,FALSE),0),0))&gt;=100,100,(Backdoors!AI12+IF(CH57&gt;=0.45,VLOOKUP(Calculator!E23,tbSkills!DH3:DI6,2,FALSE)+IF(AND(Calculator!B8=TRUE,Backdoors!BI15=TRUE),VLOOKUP(Calculator!E23,tbSkills!DH3:DJ6,3,FALSE),0),0)))/100)),(1-(0.25*((-Backdoors!AI12-IF(CH57&gt;=0.45,VLOOKUP(Calculator!E23,tbSkills!DH3:DI6,2,FALSE)+IF(AND(Calculator!B8=TRUE,Backdoors!BI15=TRUE),VLOOKUP(Calculator!E23,tbSkills!DH3:DJ6,3,FALSE),0),0))/100)))),1),"")</f>
        <v>1</v>
      </c>
      <c r="CK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H57)*CJ57)*(VLOOKUP(A57,tbMoveset!A2:C112,3,FALSE)/100)*IF(VLOOKUP(A57,tbMoveset!A2:B112,2,FALSE)="Projectile",Backdoors!N10,Backdoors!N9),0),"")</f>
        <v/>
      </c>
      <c r="CL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H57&gt;=0.45,VLOOKUP(Calculator!E23,tbSkills!DH3:DI6,2,FALSE)+IF(AND(Calculator!B8=TRUE,Backdoors!BI15=TRUE),VLOOKUP(Calculator!E23,tbSkills!DH3:DJ6,3,FALSE),0),0))&gt;=100,100,(Backdoors!AI12+IF(CH57&gt;=0.45,VLOOKUP(Calculator!E23,tbSkills!DH3:DI6,2,FALSE)+IF(AND(Calculator!B8=TRUE,Backdoors!BI15=TRUE),VLOOKUP(Calculator!E23,tbSkills!DH3:DJ6,3,FALSE),0),0)))/100)),1))*IF(VLOOKUP(A57,tbMoveset!A2:K112,11,FALSE)=TRUE,Backdoors!AC5,1))*CI57,0),"")</f>
        <v>0</v>
      </c>
      <c r="CM57" s="49">
        <f>VLOOKUP(A57,tbMoveset!A2:G112,7,FALSE)*IFERROR(IF(Backdoors!AI12&gt;=0,1+(IF(Calculator!E40&gt;0,VLOOKUP(Calculator!E40,tbSkills!AI3:AJ5,2,FALSE),Backdoors!AL4)*(IF((Backdoors!AI12+IF(CH57&gt;=0.45,VLOOKUP(Calculator!E23,tbSkills!DH3:DI6,2,FALSE)+IF(AND(Calculator!B8=TRUE,Backdoors!BI15=TRUE),VLOOKUP(Calculator!E23,tbSkills!DH3:DJ6,3,FALSE),0),0))&gt;=100,100,(Backdoors!AI12+IF(CH57&gt;=0.45,VLOOKUP(Calculator!E23,tbSkills!DH3:DI6,2,FALSE)+IF(AND(Calculator!B8=TRUE,Backdoors!BI15=TRUE),VLOOKUP(Calculator!E23,tbSkills!DH3:DJ6,3,FALSE),0),0)))/100)),1),1)</f>
        <v>0.5</v>
      </c>
      <c r="CN57" s="87">
        <f t="shared" si="7"/>
        <v>0</v>
      </c>
      <c r="CO57" s="86" t="str">
        <f>IFERROR(IF(VLOOKUP(A57,tbMoveset!A2:B112,2,FALSE)="Sever",Backdoors!AY16/100,IF(VLOOKUP(A57,tbMoveset!A2:B112,2,FALSE)="Blunt",Backdoors!AZ16/100,Backdoors!BA16/100)),"")</f>
        <v/>
      </c>
      <c r="CP57" s="49">
        <f>IFERROR(IF(VLOOKUP(tbMoveset!A57,tbMoveset!A2:H112,8,FALSE)="Other",IF(VLOOKUP(tbMoveset!A57,tbMoveset!A2:I112,9,FALSE)="Fire",Backdoors!BB16,IF(VLOOKUP(tbMoveset!A57,tbMoveset!A2:I112,9,FALSE)="Water",Backdoors!BC16,IF(VLOOKUP(tbMoveset!A57,tbMoveset!A2:I112,9,FALSE)="Thunder",Backdoors!BD16,IF(VLOOKUP(tbMoveset!A57,tbMoveset!A2:I112,9,FALSE)="Ice",Backdoors!BE16,IF(VLOOKUP(tbMoveset!A57,tbMoveset!A2:I112,9,FALSE)="Dragon",Backdoors!BF16,Backdoors!BG16)))))/100,Backdoors!BG16/100),"")</f>
        <v>0</v>
      </c>
      <c r="CQ57" s="49">
        <f>IFERROR(IF(VLOOKUP(A57,tbMoveset!A2:J112,10,FALSE)=TRUE,IF((Backdoors!AI12+IF(CO57&gt;=0.45,VLOOKUP(Calculator!E23,tbSkills!DH3:DI6,2,FALSE)+IF(AND(Calculator!B8=TRUE,Backdoors!BI16=TRUE),VLOOKUP(Calculator!E23,tbSkills!DH3:DJ6,3,FALSE),0),0))&gt;=0,1+(Backdoors!AL2*(IF((Backdoors!AI12+IF(CO57&gt;=0.45,VLOOKUP(Calculator!E23,tbSkills!DH3:DI6,2,FALSE)+IF(AND(Calculator!B8=TRUE,Backdoors!BI16=TRUE),VLOOKUP(Calculator!E23,tbSkills!DH3:DJ6,3,FALSE),0),0))&gt;=100,100,(Backdoors!AI12+IF(CO57&gt;=0.45,VLOOKUP(Calculator!E23,tbSkills!DH3:DI6,2,FALSE)+IF(AND(Calculator!B8=TRUE,Backdoors!BI16=TRUE),VLOOKUP(Calculator!E23,tbSkills!DH3:DJ6,3,FALSE),0),0)))/100)),(1-(0.25*((-Backdoors!AI12-IF(CO57&gt;=0.45,VLOOKUP(Calculator!E23,tbSkills!DH3:DI6,2,FALSE)+IF(AND(Calculator!B8=TRUE,Backdoors!BI16=TRUE),VLOOKUP(Calculator!E23,tbSkills!DH3:DJ6,3,FALSE),0),0))/100)))),1),"")</f>
        <v>1</v>
      </c>
      <c r="CR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O57)*CQ57)*(VLOOKUP(A57,tbMoveset!A2:C112,3,FALSE)/100)*IF(VLOOKUP(A57,tbMoveset!A2:B112,2,FALSE)="Projectile",Backdoors!N10,Backdoors!N9),0),"")</f>
        <v/>
      </c>
      <c r="CS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O57&gt;=0.45,VLOOKUP(Calculator!E23,tbSkills!DH3:DI6,2,FALSE)+IF(AND(Calculator!B8=TRUE,Backdoors!BI16=TRUE),VLOOKUP(Calculator!E23,tbSkills!DH3:DJ6,3,FALSE),0),0))&gt;=100,100,(Backdoors!AI12+IF(CO57&gt;=0.45,VLOOKUP(Calculator!E23,tbSkills!DH3:DI6,2,FALSE)+IF(AND(Calculator!B8=TRUE,Backdoors!BI16=TRUE),VLOOKUP(Calculator!E23,tbSkills!DH3:DJ6,3,FALSE),0),0)))/100)),1))*IF(VLOOKUP(A57,tbMoveset!A2:K112,11,FALSE)=TRUE,Backdoors!AC5,1))*CP57,0),"")</f>
        <v>0</v>
      </c>
      <c r="CT57" s="49">
        <f>VLOOKUP(A57,tbMoveset!A2:G112,7,FALSE)*IFERROR(IF(Backdoors!AI12&gt;=0,1+(IF(Calculator!E40&gt;0,VLOOKUP(Calculator!E40,tbSkills!AI3:AJ5,2,FALSE),Backdoors!AL4)*(IF((Backdoors!AI12+IF(CO57&gt;=0.45,VLOOKUP(Calculator!E23,tbSkills!DH3:DI6,2,FALSE)+IF(AND(Calculator!B8=TRUE,Backdoors!BI16=TRUE),VLOOKUP(Calculator!E23,tbSkills!DH3:DJ6,3,FALSE),0),0))&gt;=100,100,(Backdoors!AI12+IF(CO57&gt;=0.45,VLOOKUP(Calculator!E23,tbSkills!DH3:DI6,2,FALSE)+IF(AND(Calculator!B8=TRUE,Backdoors!BI16=TRUE),VLOOKUP(Calculator!E23,tbSkills!DH3:DJ6,3,FALSE),0),0)))/100)),1),1)</f>
        <v>0.5</v>
      </c>
      <c r="CU57" s="87">
        <f t="shared" si="40"/>
        <v>0</v>
      </c>
      <c r="CV57" s="86" t="str">
        <f>IFERROR(IF(VLOOKUP(A57,tbMoveset!A2:B112,2,FALSE)="Sever",Backdoors!AY17/100,IF(VLOOKUP(A57,tbMoveset!A2:B112,2,FALSE)="Blunt",Backdoors!AZ17/100,Backdoors!BA17/100)),"")</f>
        <v/>
      </c>
      <c r="CW57" s="49">
        <f>IFERROR(IF(VLOOKUP(tbMoveset!A57,tbMoveset!A2:H112,8,FALSE)="Other",IF(VLOOKUP(tbMoveset!A57,tbMoveset!A2:I112,9,FALSE)="Fire",Backdoors!BB17,IF(VLOOKUP(tbMoveset!A57,tbMoveset!A2:I112,9,FALSE)="Water",Backdoors!BC17,IF(VLOOKUP(tbMoveset!A57,tbMoveset!A2:I112,9,FALSE)="Thunder",Backdoors!BD17,IF(VLOOKUP(tbMoveset!A57,tbMoveset!A2:I112,9,FALSE)="Ice",Backdoors!BE17,IF(VLOOKUP(tbMoveset!A57,tbMoveset!A2:I112,9,FALSE)="Dragon",Backdoors!BF17,Backdoors!BG17)))))/100,Backdoors!BG17/100),"")</f>
        <v>0</v>
      </c>
      <c r="CX57" s="49">
        <f>IFERROR(IF(VLOOKUP(A57,tbMoveset!A2:J112,10,FALSE)=TRUE,IF((Backdoors!AI12+IF(CV57&gt;=0.45,VLOOKUP(Calculator!E23,tbSkills!DH3:DI6,2,FALSE)+IF(AND(Calculator!B8=TRUE,Backdoors!BI17=TRUE),VLOOKUP(Calculator!E23,tbSkills!DH3:DJ6,3,FALSE),0),0))&gt;=0,1+(Backdoors!AL2*(IF((Backdoors!AI12+IF(CV57&gt;=0.45,VLOOKUP(Calculator!E23,tbSkills!DH3:DI6,2,FALSE)+IF(AND(Calculator!B8=TRUE,Backdoors!BI17=TRUE),VLOOKUP(Calculator!E23,tbSkills!DH3:DJ6,3,FALSE),0),0))&gt;=100,100,(Backdoors!AI12+IF(CV57&gt;=0.45,VLOOKUP(Calculator!E23,tbSkills!DH3:DI6,2,FALSE)+IF(AND(Calculator!B8=TRUE,Backdoors!BI17=TRUE),VLOOKUP(Calculator!E23,tbSkills!DH3:DJ6,3,FALSE),0),0)))/100)),(1-(0.25*((-Backdoors!AI12-IF(CV57&gt;=0.45,VLOOKUP(Calculator!E23,tbSkills!DH3:DI6,2,FALSE)+IF(AND(Calculator!B8=TRUE,Backdoors!BI17=TRUE),VLOOKUP(Calculator!E23,tbSkills!DH3:DJ6,3,FALSE),0),0))/100)))),1),"")</f>
        <v>1</v>
      </c>
      <c r="CY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V57)*CX57)*(VLOOKUP(A57,tbMoveset!A2:C112,3,FALSE)/100)*IF(VLOOKUP(A57,tbMoveset!A2:B112,2,FALSE)="Projectile",Backdoors!N10,Backdoors!N9),0),"")</f>
        <v/>
      </c>
      <c r="CZ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V57&gt;=0.45,VLOOKUP(Calculator!E23,tbSkills!DH3:DI6,2,FALSE)+IF(AND(Calculator!B8=TRUE,Backdoors!BI17=TRUE),VLOOKUP(Calculator!E23,tbSkills!DH3:DJ6,3,FALSE),0),0))&gt;=100,100,(Backdoors!AI12+IF(CV57&gt;=0.45,VLOOKUP(Calculator!E23,tbSkills!DH3:DI6,2,FALSE)+IF(AND(Calculator!B8=TRUE,Backdoors!BI17=TRUE),VLOOKUP(Calculator!E23,tbSkills!DH3:DJ6,3,FALSE),0),0)))/100)),1))*IF(VLOOKUP(A57,tbMoveset!A2:K112,11,FALSE)=TRUE,Backdoors!AC5,1))*CW57,0),"")</f>
        <v>0</v>
      </c>
      <c r="DA57" s="49">
        <f>VLOOKUP(A57,tbMoveset!A2:G112,7,FALSE)*IFERROR(IF(Backdoors!AI12&gt;=0,1+(IF(Calculator!E40&gt;0,VLOOKUP(Calculator!E40,tbSkills!AI3:AJ5,2,FALSE),Backdoors!AL4)*(IF((Backdoors!AI12+IF(CV57&gt;=0.45,VLOOKUP(Calculator!E23,tbSkills!DH3:DI6,2,FALSE)+IF(AND(Calculator!B8=TRUE,Backdoors!BI17=TRUE),VLOOKUP(Calculator!E23,tbSkills!DH3:DJ6,3,FALSE),0),0))&gt;=100,100,(Backdoors!AI12+IF(CV57&gt;=0.45,VLOOKUP(Calculator!E23,tbSkills!DH3:DI6,2,FALSE)+IF(AND(Calculator!B8=TRUE,Backdoors!BI17=TRUE),VLOOKUP(Calculator!E23,tbSkills!DH3:DJ6,3,FALSE),0),0)))/100)),1),1)</f>
        <v>0.5</v>
      </c>
      <c r="DB57" s="87">
        <f t="shared" si="8"/>
        <v>0</v>
      </c>
      <c r="DC57" s="86" t="str">
        <f>IFERROR(IF(VLOOKUP(A57,tbMoveset!A2:B112,2,FALSE)="Sever",Backdoors!AY18/100,IF(VLOOKUP(A57,tbMoveset!A2:B112,2,FALSE)="Blunt",Backdoors!AZ18/100,Backdoors!BA18/100)),"")</f>
        <v/>
      </c>
      <c r="DD57" s="49">
        <f>IFERROR(IF(VLOOKUP(tbMoveset!A57,tbMoveset!A2:H112,8,FALSE)="Other",IF(VLOOKUP(tbMoveset!A57,tbMoveset!A2:I112,9,FALSE)="Fire",Backdoors!BB18,IF(VLOOKUP(tbMoveset!A57,tbMoveset!A2:I112,9,FALSE)="Water",Backdoors!BC18,IF(VLOOKUP(tbMoveset!A57,tbMoveset!A2:I112,9,FALSE)="Thunder",Backdoors!BD18,IF(VLOOKUP(tbMoveset!A57,tbMoveset!A2:I112,9,FALSE)="Ice",Backdoors!BE18,IF(VLOOKUP(tbMoveset!A57,tbMoveset!A2:I112,9,FALSE)="Dragon",Backdoors!BF18,Backdoors!BG18)))))/100,Backdoors!BG18/100),"")</f>
        <v>0</v>
      </c>
      <c r="DE57" s="49">
        <f>IFERROR(IF(VLOOKUP(A57,tbMoveset!A2:J112,10,FALSE)=TRUE,IF((Backdoors!AI12+IF(DC57&gt;=0.45,VLOOKUP(Calculator!E23,tbSkills!DH3:DI6,2,FALSE)+IF(AND(Calculator!B8=TRUE,Backdoors!BI18=TRUE),VLOOKUP(Calculator!E23,tbSkills!DH3:DJ6,3,FALSE),0),0))&gt;=0,1+(Backdoors!AL2*(IF((Backdoors!AI12+IF(DC57&gt;=0.45,VLOOKUP(Calculator!E23,tbSkills!DH3:DI6,2,FALSE)+IF(AND(Calculator!B8=TRUE,Backdoors!BI18=TRUE),VLOOKUP(Calculator!E23,tbSkills!DH3:DJ6,3,FALSE),0),0))&gt;=100,100,(Backdoors!AI12+IF(DC57&gt;=0.45,VLOOKUP(Calculator!E23,tbSkills!DH3:DI6,2,FALSE)+IF(AND(Calculator!B8=TRUE,Backdoors!BI18=TRUE),VLOOKUP(Calculator!E23,tbSkills!DH3:DJ6,3,FALSE),0),0)))/100)),(1-(0.25*((-Backdoors!AI12-IF(DC57&gt;=0.45,VLOOKUP(Calculator!E23,tbSkills!DH3:DI6,2,FALSE)+IF(AND(Calculator!B8=TRUE,Backdoors!BI18=TRUE),VLOOKUP(Calculator!E23,tbSkills!DH3:DJ6,3,FALSE),0),0))/100)))),1),"")</f>
        <v>1</v>
      </c>
      <c r="DF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C57)*DE57)*(VLOOKUP(A57,tbMoveset!A2:C112,3,FALSE)/100)*IF(VLOOKUP(A57,tbMoveset!A2:B112,2,FALSE)="Projectile",Backdoors!N10,Backdoors!N9),0),"")</f>
        <v/>
      </c>
      <c r="DG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C57&gt;=0.45,VLOOKUP(Calculator!E23,tbSkills!DH3:DI6,2,FALSE)+IF(AND(Calculator!B8=TRUE,Backdoors!BI18=TRUE),VLOOKUP(Calculator!E23,tbSkills!DH3:DJ6,3,FALSE),0),0))&gt;=100,100,(Backdoors!AI12+IF(DC57&gt;=0.45,VLOOKUP(Calculator!E23,tbSkills!DH3:DI6,2,FALSE)+IF(AND(Calculator!B8=TRUE,Backdoors!BI18=TRUE),VLOOKUP(Calculator!E23,tbSkills!DH3:DJ6,3,FALSE),0),0)))/100)),1))*IF(VLOOKUP(A57,tbMoveset!A2:K112,11,FALSE)=TRUE,Backdoors!AC5,1))*DD57,0),"")</f>
        <v>0</v>
      </c>
      <c r="DH57" s="49">
        <f>VLOOKUP(A57,tbMoveset!A2:G112,7,FALSE)*IFERROR(IF(Backdoors!AI12&gt;=0,1+(IF(Calculator!E40&gt;0,VLOOKUP(Calculator!E40,tbSkills!AI3:AJ5,2,FALSE),Backdoors!AL4)*(IF((Backdoors!AI12+IF(DC57&gt;=0.45,VLOOKUP(Calculator!E23,tbSkills!DH3:DI6,2,FALSE)+IF(AND(Calculator!B8=TRUE,Backdoors!BI18=TRUE),VLOOKUP(Calculator!E23,tbSkills!DH3:DJ6,3,FALSE),0),0))&gt;=100,100,(Backdoors!AI12+IF(DC57&gt;=0.45,VLOOKUP(Calculator!E23,tbSkills!DH3:DI6,2,FALSE)+IF(AND(Calculator!B8=TRUE,Backdoors!BI18=TRUE),VLOOKUP(Calculator!E23,tbSkills!DH3:DJ6,3,FALSE),0),0)))/100)),1),1)</f>
        <v>0.5</v>
      </c>
      <c r="DI57" s="87">
        <f t="shared" si="9"/>
        <v>0</v>
      </c>
      <c r="DJ57" s="86" t="str">
        <f>IFERROR(IF(VLOOKUP(A57,tbMoveset!A2:B112,2,FALSE)="Sever",Backdoors!AY19/100,IF(VLOOKUP(A57,tbMoveset!A2:B112,2,FALSE)="Blunt",Backdoors!AZ19/100,Backdoors!BA19/100)),"")</f>
        <v/>
      </c>
      <c r="DK57" s="49">
        <f>IFERROR(IF(VLOOKUP(tbMoveset!A57,tbMoveset!A2:H112,8,FALSE)="Other",IF(VLOOKUP(tbMoveset!A57,tbMoveset!A2:I112,9,FALSE)="Fire",Backdoors!BB19,IF(VLOOKUP(tbMoveset!A57,tbMoveset!A2:I112,9,FALSE)="Water",Backdoors!BC19,IF(VLOOKUP(tbMoveset!A57,tbMoveset!A2:I112,9,FALSE)="Thunder",Backdoors!BD19,IF(VLOOKUP(tbMoveset!A57,tbMoveset!A2:I112,9,FALSE)="Ice",Backdoors!BE19,IF(VLOOKUP(tbMoveset!A57,tbMoveset!A2:I112,9,FALSE)="Dragon",Backdoors!BF19,Backdoors!BG19)))))/100,Backdoors!BG19/100),"")</f>
        <v>0</v>
      </c>
      <c r="DL57" s="49">
        <f>IFERROR(IF(VLOOKUP(A57,tbMoveset!A2:J112,10,FALSE)=TRUE,IF((Backdoors!AI12+IF(DJ57&gt;=0.45,VLOOKUP(Calculator!E23,tbSkills!DH3:DI6,2,FALSE)+IF(AND(Calculator!B8=TRUE,Backdoors!BI19=TRUE),VLOOKUP(Calculator!E23,tbSkills!DH3:DJ6,3,FALSE),0),0))&gt;=0,1+(Backdoors!AL2*(IF((Backdoors!AI12+IF(DJ57&gt;=0.45,VLOOKUP(Calculator!E23,tbSkills!DH3:DI6,2,FALSE)+IF(AND(Calculator!B8=TRUE,Backdoors!BI19=TRUE),VLOOKUP(Calculator!E23,tbSkills!DH3:DJ6,3,FALSE),0),0))&gt;=100,100,(Backdoors!AI12+IF(DJ57&gt;=0.45,VLOOKUP(Calculator!E23,tbSkills!DH3:DI6,2,FALSE)+IF(AND(Calculator!B8=TRUE,Backdoors!BI19=TRUE),VLOOKUP(Calculator!E23,tbSkills!DH3:DJ6,3,FALSE),0),0)))/100)),(1-(0.25*((-Backdoors!AI12-IF(DJ57&gt;=0.45,VLOOKUP(Calculator!E23,tbSkills!DH3:DI6,2,FALSE)+IF(AND(Calculator!B8=TRUE,Backdoors!BI19=TRUE),VLOOKUP(Calculator!E23,tbSkills!DH3:DJ6,3,FALSE),0),0))/100)))),1),"")</f>
        <v>1</v>
      </c>
      <c r="DM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J57)*DL57)*(VLOOKUP(A57,tbMoveset!A2:C112,3,FALSE)/100)*IF(VLOOKUP(A57,tbMoveset!A2:B112,2,FALSE)="Projectile",Backdoors!N10,Backdoors!N9),0),"")</f>
        <v/>
      </c>
      <c r="DN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J57&gt;=0.45,VLOOKUP(Calculator!E23,tbSkills!DH3:DI6,2,FALSE)+IF(AND(Calculator!B8=TRUE,Backdoors!BI19=TRUE),VLOOKUP(Calculator!E23,tbSkills!DH3:DJ6,3,FALSE),0),0))&gt;=100,100,(Backdoors!AI12+IF(DJ57&gt;=0.45,VLOOKUP(Calculator!E23,tbSkills!DH3:DI6,2,FALSE)+IF(AND(Calculator!B8=TRUE,Backdoors!BI19=TRUE),VLOOKUP(Calculator!E23,tbSkills!DH3:DJ6,3,FALSE),0),0)))/100)),1))*IF(VLOOKUP(A57,tbMoveset!A2:K112,11,FALSE)=TRUE,Backdoors!AC5,1))*DK57,0),"")</f>
        <v>0</v>
      </c>
      <c r="DO57" s="49">
        <f>VLOOKUP(A57,tbMoveset!A2:G112,7,FALSE)*IFERROR(IF(Backdoors!AI12&gt;=0,1+(IF(Calculator!E40&gt;0,VLOOKUP(Calculator!E40,tbSkills!AI3:AJ5,2,FALSE),Backdoors!AL4)*(IF((Backdoors!AI12+IF(DJ57&gt;=0.45,VLOOKUP(Calculator!E23,tbSkills!DH3:DI6,2,FALSE)+IF(AND(Calculator!B8=TRUE,Backdoors!BI19=TRUE),VLOOKUP(Calculator!E23,tbSkills!DH3:DJ6,3,FALSE),0),0))&gt;=100,100,(Backdoors!AI12+IF(DJ57&gt;=0.45,VLOOKUP(Calculator!E23,tbSkills!DH3:DI6,2,FALSE)+IF(AND(Calculator!B8=TRUE,Backdoors!BI19=TRUE),VLOOKUP(Calculator!E23,tbSkills!DH3:DJ6,3,FALSE),0),0)))/100)),1),1)</f>
        <v>0.5</v>
      </c>
      <c r="DP57" s="87">
        <f t="shared" si="41"/>
        <v>0</v>
      </c>
      <c r="DQ57" s="86" t="str">
        <f>IFERROR(IF(VLOOKUP(A57,tbMoveset!A2:B112,2,FALSE)="Sever",Backdoors!AY20/100,IF(VLOOKUP(A57,tbMoveset!A2:B112,2,FALSE)="Blunt",Backdoors!AZ20/100,Backdoors!BA20/100)),"")</f>
        <v/>
      </c>
      <c r="DR57" s="49">
        <f>IFERROR(IF(VLOOKUP(tbMoveset!A57,tbMoveset!A2:H112,8,FALSE)="Other",IF(VLOOKUP(tbMoveset!A57,tbMoveset!A2:I112,9,FALSE)="Fire",Backdoors!BB20,IF(VLOOKUP(tbMoveset!A57,tbMoveset!A2:I112,9,FALSE)="Water",Backdoors!BC20,IF(VLOOKUP(tbMoveset!A57,tbMoveset!A2:I112,9,FALSE)="Thunder",Backdoors!BD20,IF(VLOOKUP(tbMoveset!A57,tbMoveset!A2:I112,9,FALSE)="Ice",Backdoors!BE20,IF(VLOOKUP(tbMoveset!A57,tbMoveset!A2:I112,9,FALSE)="Dragon",Backdoors!BF20,Backdoors!BG20)))))/100,Backdoors!BG20/100),"")</f>
        <v>0</v>
      </c>
      <c r="DS57" s="49">
        <f>IFERROR(IF(VLOOKUP(A57,tbMoveset!A2:J112,10,FALSE)=TRUE,IF((Backdoors!AI12+IF(DQ57&gt;=0.45,VLOOKUP(Calculator!E23,tbSkills!DH3:DI6,2,FALSE)+IF(AND(Calculator!B8=TRUE,Backdoors!BI20=TRUE),VLOOKUP(Calculator!E23,tbSkills!DH3:DJ6,3,FALSE),0),0))&gt;=0,1+(Backdoors!AL2*(IF((Backdoors!AI12+IF(DQ57&gt;=0.45,VLOOKUP(Calculator!E23,tbSkills!DH3:DI6,2,FALSE)+IF(AND(Calculator!B8=TRUE,Backdoors!BI20=TRUE),VLOOKUP(Calculator!E23,tbSkills!DH3:DJ6,3,FALSE),0),0))&gt;=100,100,(Backdoors!AI12+IF(DQ57&gt;=0.45,VLOOKUP(Calculator!E23,tbSkills!DH3:DI6,2,FALSE)+IF(AND(Calculator!B8=TRUE,Backdoors!BI20=TRUE),VLOOKUP(Calculator!E23,tbSkills!DH3:DJ6,3,FALSE),0),0)))/100)),(1-(0.25*((-Backdoors!AI12-IF(DQ57&gt;=0.45,VLOOKUP(Calculator!E23,tbSkills!DH3:DI6,2,FALSE)+IF(AND(Calculator!B8=TRUE,Backdoors!BI20=TRUE),VLOOKUP(Calculator!E23,tbSkills!DH3:DJ6,3,FALSE),0),0))/100)))),1),"")</f>
        <v>1</v>
      </c>
      <c r="DT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Q57)*DS57)*(VLOOKUP(A57,tbMoveset!A2:C112,3,FALSE)/100)*IF(VLOOKUP(A57,tbMoveset!A2:B112,2,FALSE)="Projectile",Backdoors!N10,Backdoors!N9),0),"")</f>
        <v/>
      </c>
      <c r="DU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Q57&gt;=0.45,VLOOKUP(Calculator!E23,tbSkills!DH3:DI6,2,FALSE)+IF(AND(Calculator!B8=TRUE,Backdoors!BI20=TRUE),VLOOKUP(Calculator!E23,tbSkills!DH3:DJ6,3,FALSE),0),0))&gt;=100,100,(Backdoors!AI12+IF(DQ57&gt;=0.45,VLOOKUP(Calculator!E23,tbSkills!DH3:DI6,2,FALSE)+IF(AND(Calculator!B8=TRUE,Backdoors!BI20=TRUE),VLOOKUP(Calculator!E23,tbSkills!DH3:DJ6,3,FALSE),0),0)))/100)),1))*IF(VLOOKUP(A57,tbMoveset!A2:K112,11,FALSE)=TRUE,Backdoors!AC5,1))*DR57,0),"")</f>
        <v>0</v>
      </c>
      <c r="DV57" s="49">
        <f>VLOOKUP(A57,tbMoveset!A2:G112,7,FALSE)*IFERROR(IF(Backdoors!AI12&gt;=0,1+(IF(Calculator!E40&gt;0,VLOOKUP(Calculator!E40,tbSkills!AI3:AJ5,2,FALSE),Backdoors!AL4)*(IF((Backdoors!AI12+IF(DQ57&gt;=0.45,VLOOKUP(Calculator!E23,tbSkills!DH3:DI6,2,FALSE)+IF(AND(Calculator!B8=TRUE,Backdoors!BI20=TRUE),VLOOKUP(Calculator!E23,tbSkills!DH3:DJ6,3,FALSE),0),0))&gt;=100,100,(Backdoors!AI12+IF(DQ57&gt;=0.45,VLOOKUP(Calculator!E23,tbSkills!DH3:DI6,2,FALSE)+IF(AND(Calculator!B8=TRUE,Backdoors!BI20=TRUE),VLOOKUP(Calculator!E23,tbSkills!DH3:DJ6,3,FALSE),0),0)))/100)),1),1)</f>
        <v>0.5</v>
      </c>
      <c r="DW57" s="87">
        <f t="shared" si="10"/>
        <v>0</v>
      </c>
      <c r="DX57" s="86" t="str">
        <f>IFERROR(IF(VLOOKUP(A57,tbMoveset!A2:B112,2,FALSE)="Sever",Backdoors!AY21/100,IF(VLOOKUP(A57,tbMoveset!A2:B112,2,FALSE)="Blunt",Backdoors!AZ21/100,Backdoors!BA21/100)),"")</f>
        <v/>
      </c>
      <c r="DY57" s="49">
        <f>IFERROR(IF(VLOOKUP(tbMoveset!A57,tbMoveset!A2:H112,8,FALSE)="Other",IF(VLOOKUP(tbMoveset!A57,tbMoveset!A2:I112,9,FALSE)="Fire",Backdoors!BB21,IF(VLOOKUP(tbMoveset!A57,tbMoveset!A2:I112,9,FALSE)="Water",Backdoors!BC21,IF(VLOOKUP(tbMoveset!A57,tbMoveset!A2:I112,9,FALSE)="Thunder",Backdoors!BD21,IF(VLOOKUP(tbMoveset!A57,tbMoveset!A2:I112,9,FALSE)="Ice",Backdoors!BE21,IF(VLOOKUP(tbMoveset!A57,tbMoveset!A2:I112,9,FALSE)="Dragon",Backdoors!BF21,Backdoors!BG21)))))/100,Backdoors!BG21/100),"")</f>
        <v>0</v>
      </c>
      <c r="DZ57" s="49">
        <f>IFERROR(IF(VLOOKUP(A57,tbMoveset!A2:J112,10,FALSE)=TRUE,IF((Backdoors!AI12+IF(DX57&gt;=0.45,VLOOKUP(Calculator!E23,tbSkills!DH3:DI6,2,FALSE)+IF(AND(Calculator!B8=TRUE,Backdoors!BI21=TRUE),VLOOKUP(Calculator!E23,tbSkills!DH3:DJ6,3,FALSE),0),0))&gt;=0,1+(Backdoors!AL2*(IF((Backdoors!AI12+IF(DX57&gt;=0.45,VLOOKUP(Calculator!E23,tbSkills!DH3:DI6,2,FALSE)+IF(AND(Calculator!B8=TRUE,Backdoors!BI21=TRUE),VLOOKUP(Calculator!E23,tbSkills!DH3:DJ6,3,FALSE),0),0))&gt;=100,100,(Backdoors!AI12+IF(DX57&gt;=0.45,VLOOKUP(Calculator!E23,tbSkills!DH3:DI6,2,FALSE)+IF(AND(Calculator!B8=TRUE,Backdoors!BI21=TRUE),VLOOKUP(Calculator!E23,tbSkills!DH3:DJ6,3,FALSE),0),0)))/100)),(1-(0.25*((-Backdoors!AI12-IF(DX57&gt;=0.45,VLOOKUP(Calculator!E23,tbSkills!DH3:DI6,2,FALSE)+IF(AND(Calculator!B8=TRUE,Backdoors!BI21=TRUE),VLOOKUP(Calculator!E23,tbSkills!DH3:DJ6,3,FALSE),0),0))/100)))),1),"")</f>
        <v>1</v>
      </c>
      <c r="EA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X57)*DZ57)*(VLOOKUP(A57,tbMoveset!A2:C112,3,FALSE)/100)*IF(VLOOKUP(A57,tbMoveset!A2:B112,2,FALSE)="Projectile",Backdoors!N10,Backdoors!N9),0),"")</f>
        <v/>
      </c>
      <c r="EB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X57&gt;=0.45,VLOOKUP(Calculator!E23,tbSkills!DH3:DI6,2,FALSE)+IF(AND(Calculator!B8=TRUE,Backdoors!BI21=TRUE),VLOOKUP(Calculator!E23,tbSkills!DH3:DJ6,3,FALSE),0),0))&gt;=100,100,(Backdoors!AI12+IF(DX57&gt;=0.45,VLOOKUP(Calculator!E23,tbSkills!DH3:DI6,2,FALSE)+IF(AND(Calculator!B8=TRUE,Backdoors!BI21=TRUE),VLOOKUP(Calculator!E23,tbSkills!DH3:DJ6,3,FALSE),0),0)))/100)),1))*IF(VLOOKUP(A57,tbMoveset!A2:K112,11,FALSE)=TRUE,Backdoors!AC5,1))*DY57,0),"")</f>
        <v>0</v>
      </c>
      <c r="EC57" s="49">
        <f>VLOOKUP(A57,tbMoveset!A2:G112,7,FALSE)*IFERROR(IF(Backdoors!AI12&gt;=0,1+(IF(Calculator!E40&gt;0,VLOOKUP(Calculator!E40,tbSkills!AI3:AJ5,2,FALSE),Backdoors!AL4)*(IF((Backdoors!AI12+IF(DX57&gt;=0.45,VLOOKUP(Calculator!E23,tbSkills!DH3:DI6,2,FALSE)+IF(AND(Calculator!B8=TRUE,Backdoors!BI21=TRUE),VLOOKUP(Calculator!E23,tbSkills!DH3:DJ6,3,FALSE),0),0))&gt;=100,100,(Backdoors!AI12+IF(DX57&gt;=0.45,VLOOKUP(Calculator!E23,tbSkills!DH3:DI6,2,FALSE)+IF(AND(Calculator!B8=TRUE,Backdoors!BI21=TRUE),VLOOKUP(Calculator!E23,tbSkills!DH3:DJ6,3,FALSE),0),0)))/100)),1),1)</f>
        <v>0.5</v>
      </c>
      <c r="ED57" s="87">
        <f t="shared" si="11"/>
        <v>0</v>
      </c>
      <c r="EE57" s="86" t="str">
        <f>IFERROR(IF(VLOOKUP(A57,tbMoveset!A2:B112,2,FALSE)="Sever",Backdoors!AY22/100,IF(VLOOKUP(A57,tbMoveset!A2:B112,2,FALSE)="Blunt",Backdoors!AZ22/100,Backdoors!BA22/100)),"")</f>
        <v/>
      </c>
      <c r="EF57" s="49">
        <f>IFERROR(IF(VLOOKUP(tbMoveset!A57,tbMoveset!A2:H112,8,FALSE)="Other",IF(VLOOKUP(tbMoveset!A57,tbMoveset!A2:I112,9,FALSE)="Fire",Backdoors!BB22,IF(VLOOKUP(tbMoveset!A57,tbMoveset!A2:I112,9,FALSE)="Water",Backdoors!BC22,IF(VLOOKUP(tbMoveset!A57,tbMoveset!A2:I112,9,FALSE)="Thunder",Backdoors!BD22,IF(VLOOKUP(tbMoveset!A57,tbMoveset!A2:I112,9,FALSE)="Ice",Backdoors!BE22,IF(VLOOKUP(tbMoveset!A57,tbMoveset!A2:I112,9,FALSE)="Dragon",Backdoors!BF22,Backdoors!BG22)))))/100,Backdoors!BG22/100),"")</f>
        <v>0</v>
      </c>
      <c r="EG57" s="49">
        <f>IFERROR(IF(VLOOKUP(A57,tbMoveset!A2:J112,10,FALSE)=TRUE,IF((Backdoors!AI12+IF(EE57&gt;=0.45,VLOOKUP(Calculator!E23,tbSkills!DH3:DI6,2,FALSE)+IF(AND(Calculator!B8=TRUE,Backdoors!BI22=TRUE),VLOOKUP(Calculator!E23,tbSkills!DH3:DJ6,3,FALSE),0),0))&gt;=0,1+(Backdoors!AL2*(IF((Backdoors!AI12+IF(EE57&gt;=0.45,VLOOKUP(Calculator!E23,tbSkills!DH3:DI6,2,FALSE)+IF(AND(Calculator!B8=TRUE,Backdoors!BI22=TRUE),VLOOKUP(Calculator!E23,tbSkills!DH3:DJ6,3,FALSE),0),0))&gt;=100,100,(Backdoors!AI12+IF(EE57&gt;=0.45,VLOOKUP(Calculator!E23,tbSkills!DH3:DI6,2,FALSE)+IF(AND(Calculator!B8=TRUE,Backdoors!BI22=TRUE),VLOOKUP(Calculator!E23,tbSkills!DH3:DJ6,3,FALSE),0),0)))/100)),(1-(0.25*((-Backdoors!AI12-IF(EE57&gt;=0.45,VLOOKUP(Calculator!E23,tbSkills!DH3:DI6,2,FALSE)+IF(AND(Calculator!B8=TRUE,Backdoors!BI22=TRUE),VLOOKUP(Calculator!E23,tbSkills!DH3:DJ6,3,FALSE),0),0))/100)))),1),"")</f>
        <v>1</v>
      </c>
      <c r="EH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E57)*EG57)*(VLOOKUP(A57,tbMoveset!A2:C112,3,FALSE)/100)*IF(VLOOKUP(A57,tbMoveset!A2:B112,2,FALSE)="Projectile",Backdoors!N10,Backdoors!N9),0),"")</f>
        <v/>
      </c>
      <c r="EI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E57&gt;=0.45,VLOOKUP(Calculator!E23,tbSkills!DH3:DI6,2,FALSE)+IF(AND(Calculator!B8=TRUE,Backdoors!BI22=TRUE),VLOOKUP(Calculator!E23,tbSkills!DH3:DJ6,3,FALSE),0),0))&gt;=100,100,(Backdoors!AI12+IF(EE57&gt;=0.45,VLOOKUP(Calculator!E23,tbSkills!DH3:DI6,2,FALSE)+IF(AND(Calculator!B8=TRUE,Backdoors!BI22=TRUE),VLOOKUP(Calculator!E23,tbSkills!DH3:DJ6,3,FALSE),0),0)))/100)),1))*IF(VLOOKUP(A57,tbMoveset!A2:K112,11,FALSE)=TRUE,Backdoors!AC5,1))*EF57,0),"")</f>
        <v>0</v>
      </c>
      <c r="EJ57" s="49">
        <f>VLOOKUP(A57,tbMoveset!A2:G112,7,FALSE)*IFERROR(IF(Backdoors!AI12&gt;=0,1+(IF(Calculator!E40&gt;0,VLOOKUP(Calculator!E40,tbSkills!AI3:AJ5,2,FALSE),Backdoors!AL4)*(IF((Backdoors!AI12+IF(EE57&gt;=0.45,VLOOKUP(Calculator!E23,tbSkills!DH3:DI6,2,FALSE)+IF(AND(Calculator!B8=TRUE,Backdoors!BI22=TRUE),VLOOKUP(Calculator!E23,tbSkills!DH3:DJ6,3,FALSE),0),0))&gt;=100,100,(Backdoors!AI12+IF(EE57&gt;=0.45,VLOOKUP(Calculator!E23,tbSkills!DH3:DI6,2,FALSE)+IF(AND(Calculator!B8=TRUE,Backdoors!BI22=TRUE),VLOOKUP(Calculator!E23,tbSkills!DH3:DJ6,3,FALSE),0),0)))/100)),1),1)</f>
        <v>0.5</v>
      </c>
      <c r="EK57" s="87">
        <f t="shared" si="12"/>
        <v>0</v>
      </c>
      <c r="EL57" s="86" t="str">
        <f>IFERROR(IF(VLOOKUP(A57,tbMoveset!A2:B112,2,FALSE)="Sever",Backdoors!AY23/100,IF(VLOOKUP(A57,tbMoveset!A2:B112,2,FALSE)="Blunt",Backdoors!AZ23/100,Backdoors!BA23/100)),"")</f>
        <v/>
      </c>
      <c r="EM57" s="49">
        <f>IFERROR(IF(VLOOKUP(tbMoveset!A57,tbMoveset!A2:H112,8,FALSE)="Other",IF(VLOOKUP(tbMoveset!A57,tbMoveset!A2:I112,9,FALSE)="Fire",Backdoors!BB23,IF(VLOOKUP(tbMoveset!A57,tbMoveset!A2:I112,9,FALSE)="Water",Backdoors!BC23,IF(VLOOKUP(tbMoveset!A57,tbMoveset!A2:I112,9,FALSE)="Thunder",Backdoors!BD23,IF(VLOOKUP(tbMoveset!A57,tbMoveset!A2:I112,9,FALSE)="Ice",Backdoors!BE23,IF(VLOOKUP(tbMoveset!A57,tbMoveset!A2:I112,9,FALSE)="Dragon",Backdoors!BF23,Backdoors!BG23)))))/100,Backdoors!BG23/100),"")</f>
        <v>0</v>
      </c>
      <c r="EN57" s="49">
        <f>IFERROR(IF(VLOOKUP(A57,tbMoveset!A2:J112,10,FALSE)=TRUE,IF((Backdoors!AI12+IF(EL57&gt;=0.45,VLOOKUP(Calculator!E23,tbSkills!DH3:DI6,2,FALSE)+IF(AND(Calculator!B8=TRUE,Backdoors!BI23=TRUE),VLOOKUP(Calculator!E23,tbSkills!DH3:DJ6,3,FALSE),0),0))&gt;=0,1+(Backdoors!AL2*(IF((Backdoors!AI12+IF(EL57&gt;=0.45,VLOOKUP(Calculator!E23,tbSkills!DH3:DI6,2,FALSE)+IF(AND(Calculator!B8=TRUE,Backdoors!BI23=TRUE),VLOOKUP(Calculator!E23,tbSkills!DH3:DJ6,3,FALSE),0),0))&gt;=100,100,(Backdoors!AI12+IF(EL57&gt;=0.45,VLOOKUP(Calculator!E23,tbSkills!DH3:DI6,2,FALSE)+IF(AND(Calculator!B8=TRUE,Backdoors!BI23=TRUE),VLOOKUP(Calculator!E23,tbSkills!DH3:DJ6,3,FALSE),0),0)))/100)),(1-(0.25*((-Backdoors!AI12-IF(EL57&gt;=0.45,VLOOKUP(Calculator!E23,tbSkills!DH3:DI6,2,FALSE)+IF(AND(Calculator!B8=TRUE,Backdoors!BI23=TRUE),VLOOKUP(Calculator!E23,tbSkills!DH3:DJ6,3,FALSE),0),0))/100)))),1),"")</f>
        <v>1</v>
      </c>
      <c r="EO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L57)*EN57)*(VLOOKUP(A57,tbMoveset!A2:C112,3,FALSE)/100)*IF(VLOOKUP(A57,tbMoveset!A2:B112,2,FALSE)="Projectile",Backdoors!N10,Backdoors!N9),0),"")</f>
        <v/>
      </c>
      <c r="EP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L57&gt;=0.45,VLOOKUP(Calculator!E23,tbSkills!DH3:DI6,2,FALSE)+IF(AND(Calculator!B8=TRUE,Backdoors!BI23=TRUE),VLOOKUP(Calculator!E23,tbSkills!DH3:DJ6,3,FALSE),0),0))&gt;=100,100,(Backdoors!AI12+IF(EL57&gt;=0.45,VLOOKUP(Calculator!E23,tbSkills!DH3:DI6,2,FALSE)+IF(AND(Calculator!B8=TRUE,Backdoors!BI23=TRUE),VLOOKUP(Calculator!E23,tbSkills!DH3:DJ6,3,FALSE),0),0)))/100)),1))*IF(VLOOKUP(A57,tbMoveset!A2:K112,11,FALSE)=TRUE,Backdoors!AC5,1))*EM57,0),"")</f>
        <v>0</v>
      </c>
      <c r="EQ57" s="49">
        <f>VLOOKUP(A57,tbMoveset!A2:G112,7,FALSE)*IFERROR(IF(Backdoors!AI12&gt;=0,1+(IF(Calculator!E40&gt;0,VLOOKUP(Calculator!E40,tbSkills!AI3:AJ5,2,FALSE),Backdoors!AL4)*(IF((Backdoors!AI12+IF(EL57&gt;=0.45,VLOOKUP(Calculator!E23,tbSkills!DH3:DI6,2,FALSE)+IF(AND(Calculator!B8=TRUE,Backdoors!BI23=TRUE),VLOOKUP(Calculator!E23,tbSkills!DH3:DJ6,3,FALSE),0),0))&gt;=100,100,(Backdoors!AI12+IF(EL57&gt;=0.45,VLOOKUP(Calculator!E23,tbSkills!DH3:DI6,2,FALSE)+IF(AND(Calculator!B8=TRUE,Backdoors!BI23=TRUE),VLOOKUP(Calculator!E23,tbSkills!DH3:DJ6,3,FALSE),0),0)))/100)),1),1)</f>
        <v>0.5</v>
      </c>
      <c r="ER57" s="87">
        <f t="shared" si="13"/>
        <v>0</v>
      </c>
      <c r="ES57" s="86" t="str">
        <f>IFERROR(IF(VLOOKUP(A57,tbMoveset!A2:B112,2,FALSE)="Sever",Backdoors!AY24/100,IF(VLOOKUP(A57,tbMoveset!A2:B112,2,FALSE)="Blunt",Backdoors!AZ24/100,Backdoors!BA24/100)),"")</f>
        <v/>
      </c>
      <c r="ET57" s="49">
        <f>IFERROR(IF(VLOOKUP(tbMoveset!A57,tbMoveset!A2:H112,8,FALSE)="Other",IF(VLOOKUP(tbMoveset!A57,tbMoveset!A2:I112,9,FALSE)="Fire",Backdoors!BB24,IF(VLOOKUP(tbMoveset!A57,tbMoveset!A2:I112,9,FALSE)="Water",Backdoors!BC24,IF(VLOOKUP(tbMoveset!A57,tbMoveset!A2:I112,9,FALSE)="Thunder",Backdoors!BD24,IF(VLOOKUP(tbMoveset!A57,tbMoveset!A2:I112,9,FALSE)="Ice",Backdoors!BE24,IF(VLOOKUP(tbMoveset!A57,tbMoveset!A2:I112,9,FALSE)="Dragon",Backdoors!BF24,Backdoors!BG24)))))/100,Backdoors!BG24/100),"")</f>
        <v>0</v>
      </c>
      <c r="EU57" s="49">
        <f>IFERROR(IF(VLOOKUP(A57,tbMoveset!A2:J112,10,FALSE)=TRUE,IF((Backdoors!AI12+IF(ES57&gt;=0.45,VLOOKUP(Calculator!E23,tbSkills!DH3:DI6,2,FALSE)+IF(AND(Calculator!B8=TRUE,Backdoors!BI24=TRUE),VLOOKUP(Calculator!E23,tbSkills!DH3:DJ6,3,FALSE),0),0))&gt;=0,1+(Backdoors!AL2*(IF((Backdoors!AI12+IF(ES57&gt;=0.45,VLOOKUP(Calculator!E23,tbSkills!DH3:DI6,2,FALSE)+IF(AND(Calculator!B8=TRUE,Backdoors!BI24=TRUE),VLOOKUP(Calculator!E23,tbSkills!DH3:DJ6,3,FALSE),0),0))&gt;=100,100,(Backdoors!AI12+IF(ES57&gt;=0.45,VLOOKUP(Calculator!E23,tbSkills!DH3:DI6,2,FALSE)+IF(AND(Calculator!B8=TRUE,Backdoors!BI24=TRUE),VLOOKUP(Calculator!E23,tbSkills!DH3:DJ6,3,FALSE),0),0)))/100)),(1-(0.25*((-Backdoors!AI12-IF(ES57&gt;=0.45,VLOOKUP(Calculator!E23,tbSkills!DH3:DI6,2,FALSE)+IF(AND(Calculator!B8=TRUE,Backdoors!BI24=TRUE),VLOOKUP(Calculator!E23,tbSkills!DH3:DJ6,3,FALSE),0),0))/100)))),1),"")</f>
        <v>1</v>
      </c>
      <c r="EV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S57)*EU57)*(VLOOKUP(A57,tbMoveset!A2:C112,3,FALSE)/100)*IF(VLOOKUP(A57,tbMoveset!A2:B112,2,FALSE)="Projectile",Backdoors!N10,Backdoors!N9),0),"")</f>
        <v/>
      </c>
      <c r="EW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S57&gt;=0.45,VLOOKUP(Calculator!E23,tbSkills!DH3:DI6,2,FALSE)+IF(AND(Calculator!B8=TRUE,Backdoors!BI24=TRUE),VLOOKUP(Calculator!E23,tbSkills!DH3:DJ6,3,FALSE),0),0))&gt;=100,100,(Backdoors!AI12+IF(ES57&gt;=0.45,VLOOKUP(Calculator!E23,tbSkills!DH3:DI6,2,FALSE)+IF(AND(Calculator!B8=TRUE,Backdoors!BI24=TRUE),VLOOKUP(Calculator!E23,tbSkills!DH3:DJ6,3,FALSE),0),0)))/100)),1))*IF(VLOOKUP(A57,tbMoveset!A2:K112,11,FALSE)=TRUE,Backdoors!AC5,1))*ET57,0),"")</f>
        <v>0</v>
      </c>
      <c r="EX57" s="49">
        <f>VLOOKUP(A57,tbMoveset!A2:G112,7,FALSE)*IFERROR(IF(Backdoors!AI12&gt;=0,1+(IF(Calculator!E40&gt;0,VLOOKUP(Calculator!E40,tbSkills!AI3:AJ5,2,FALSE),Backdoors!AL4)*(IF((Backdoors!AI12+IF(ES57&gt;=0.45,VLOOKUP(Calculator!E23,tbSkills!DH3:DI6,2,FALSE)+IF(AND(Calculator!B8=TRUE,Backdoors!BI24=TRUE),VLOOKUP(Calculator!E23,tbSkills!DH3:DJ6,3,FALSE),0),0))&gt;=100,100,(Backdoors!AI12+IF(ES57&gt;=0.45,VLOOKUP(Calculator!E23,tbSkills!DH3:DI6,2,FALSE)+IF(AND(Calculator!B8=TRUE,Backdoors!BI24=TRUE),VLOOKUP(Calculator!E23,tbSkills!DH3:DJ6,3,FALSE),0),0)))/100)),1),1)</f>
        <v>0.5</v>
      </c>
      <c r="EY57" s="87">
        <f t="shared" si="14"/>
        <v>0</v>
      </c>
      <c r="EZ57" s="86" t="str">
        <f>IFERROR(IF(VLOOKUP(A57,tbMoveset!A2:B112,2,FALSE)="Sever",Backdoors!AY25/100,IF(VLOOKUP(A57,tbMoveset!A2:B112,2,FALSE)="Blunt",Backdoors!AZ25/100,Backdoors!BA25/100)),"")</f>
        <v/>
      </c>
      <c r="FA57" s="49">
        <f>IFERROR(IF(VLOOKUP(tbMoveset!A57,tbMoveset!A2:H112,8,FALSE)="Other",IF(VLOOKUP(tbMoveset!A57,tbMoveset!A2:I112,9,FALSE)="Fire",Backdoors!BB25,IF(VLOOKUP(tbMoveset!A57,tbMoveset!A2:I112,9,FALSE)="Water",Backdoors!BC25,IF(VLOOKUP(tbMoveset!A57,tbMoveset!A2:I112,9,FALSE)="Thunder",Backdoors!BD25,IF(VLOOKUP(tbMoveset!A57,tbMoveset!A2:I112,9,FALSE)="Ice",Backdoors!BE25,IF(VLOOKUP(tbMoveset!A57,tbMoveset!A2:I112,9,FALSE)="Dragon",Backdoors!BF25,Backdoors!BG25)))))/100,Backdoors!BG25/100),"")</f>
        <v>0</v>
      </c>
      <c r="FB57" s="49">
        <f>IFERROR(IF(VLOOKUP(A57,tbMoveset!A2:J112,10,FALSE)=TRUE,IF((Backdoors!AI12+IF(EZ57&gt;=0.45,VLOOKUP(Calculator!E23,tbSkills!DH3:DI6,2,FALSE)+IF(AND(Calculator!B8=TRUE,Backdoors!BI25=TRUE),VLOOKUP(Calculator!E23,tbSkills!DH3:DJ6,3,FALSE),0),0))&gt;=0,1+(Backdoors!AL2*(IF((Backdoors!AI12+IF(EZ57&gt;=0.45,VLOOKUP(Calculator!E23,tbSkills!DH3:DI6,2,FALSE)+IF(AND(Calculator!B8=TRUE,Backdoors!BI25=TRUE),VLOOKUP(Calculator!E23,tbSkills!DH3:DJ6,3,FALSE),0),0))&gt;=100,100,(Backdoors!AI12+IF(EZ57&gt;=0.45,VLOOKUP(Calculator!E23,tbSkills!DH3:DI6,2,FALSE)+IF(AND(Calculator!B8=TRUE,Backdoors!BI25=TRUE),VLOOKUP(Calculator!E23,tbSkills!DH3:DJ6,3,FALSE),0),0)))/100)),(1-(0.25*((-Backdoors!AI12-IF(EZ57&gt;=0.45,VLOOKUP(Calculator!E23,tbSkills!DH3:DI6,2,FALSE)+IF(AND(Calculator!B8=TRUE,Backdoors!BI25=TRUE),VLOOKUP(Calculator!E23,tbSkills!DH3:DJ6,3,FALSE),0),0))/100)))),1),"")</f>
        <v>1</v>
      </c>
      <c r="FC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Z57)*FB57)*(VLOOKUP(A57,tbMoveset!A2:C112,3,FALSE)/100)*IF(VLOOKUP(A57,tbMoveset!A2:B112,2,FALSE)="Projectile",Backdoors!N10,Backdoors!N9),0),"")</f>
        <v/>
      </c>
      <c r="FD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Z57&gt;=0.45,VLOOKUP(Calculator!E23,tbSkills!DH3:DI6,2,FALSE)+IF(AND(Calculator!B8=TRUE,Backdoors!BI25=TRUE),VLOOKUP(Calculator!E23,tbSkills!DH3:DJ6,3,FALSE),0),0))&gt;=100,100,(Backdoors!AI12+IF(EZ57&gt;=0.45,VLOOKUP(Calculator!E23,tbSkills!DH3:DI6,2,FALSE)+IF(AND(Calculator!B8=TRUE,Backdoors!BI25=TRUE),VLOOKUP(Calculator!E23,tbSkills!DH3:DJ6,3,FALSE),0),0)))/100)),1))*IF(VLOOKUP(A57,tbMoveset!A2:K112,11,FALSE)=TRUE,Backdoors!AC5,1))*FA57,0),"")</f>
        <v>0</v>
      </c>
      <c r="FE57" s="49">
        <f>VLOOKUP(A57,tbMoveset!A2:G112,7,FALSE)*IFERROR(IF(Backdoors!AI12&gt;=0,1+(IF(Calculator!E40&gt;0,VLOOKUP(Calculator!E40,tbSkills!AI3:AJ5,2,FALSE),Backdoors!AL4)*(IF((Backdoors!AI12+IF(EZ57&gt;=0.45,VLOOKUP(Calculator!E23,tbSkills!DH3:DI6,2,FALSE)+IF(AND(Calculator!B8=TRUE,Backdoors!BI25=TRUE),VLOOKUP(Calculator!E23,tbSkills!DH3:DJ6,3,FALSE),0),0))&gt;=100,100,(Backdoors!AI12+IF(EZ57&gt;=0.45,VLOOKUP(Calculator!E23,tbSkills!DH3:DI6,2,FALSE)+IF(AND(Calculator!B8=TRUE,Backdoors!BI25=TRUE),VLOOKUP(Calculator!E23,tbSkills!DH3:DJ6,3,FALSE),0),0)))/100)),1),1)</f>
        <v>0.5</v>
      </c>
      <c r="FF57" s="87">
        <f t="shared" si="15"/>
        <v>0</v>
      </c>
      <c r="FG57" s="86" t="str">
        <f>IFERROR(IF(VLOOKUP(A57,tbMoveset!A2:B112,2,FALSE)="Sever",Backdoors!AY26/100,IF(VLOOKUP(A57,tbMoveset!A2:B112,2,FALSE)="Blunt",Backdoors!AZ26/100,Backdoors!BA26/100)),"")</f>
        <v/>
      </c>
      <c r="FH57" s="49">
        <f>IFERROR(IF(VLOOKUP(tbMoveset!A57,tbMoveset!A2:H112,8,FALSE)="Other",IF(VLOOKUP(tbMoveset!A57,tbMoveset!A2:I112,9,FALSE)="Fire",Backdoors!BB26,IF(VLOOKUP(tbMoveset!A57,tbMoveset!A2:I112,9,FALSE)="Water",Backdoors!BC26,IF(VLOOKUP(tbMoveset!A57,tbMoveset!A2:I112,9,FALSE)="Thunder",Backdoors!BD26,IF(VLOOKUP(tbMoveset!A57,tbMoveset!A2:I112,9,FALSE)="Ice",Backdoors!BE26,IF(VLOOKUP(tbMoveset!A57,tbMoveset!A2:I112,9,FALSE)="Dragon",Backdoors!BF26,Backdoors!BG26)))))/100,Backdoors!BG26/100),"")</f>
        <v>0</v>
      </c>
      <c r="FI57" s="49">
        <f>IFERROR(IF(VLOOKUP(A57,tbMoveset!A2:J112,10,FALSE)=TRUE,IF((Backdoors!AI12+IF(FG57&gt;=0.45,VLOOKUP(Calculator!E23,tbSkills!DH3:DI6,2,FALSE)+IF(AND(Calculator!B8=TRUE,Backdoors!BI26=TRUE),VLOOKUP(Calculator!E23,tbSkills!DH3:DJ6,3,FALSE),0),0))&gt;=0,1+(Backdoors!AL2*(IF((Backdoors!AI12+IF(FG57&gt;=0.45,VLOOKUP(Calculator!E23,tbSkills!DH3:DI6,2,FALSE)+IF(AND(Calculator!B8=TRUE,Backdoors!BI26=TRUE),VLOOKUP(Calculator!E23,tbSkills!DH3:DJ6,3,FALSE),0),0))&gt;=100,100,(Backdoors!AI12+IF(FG57&gt;=0.45,VLOOKUP(Calculator!E23,tbSkills!DH3:DI6,2,FALSE)+IF(AND(Calculator!B8=TRUE,Backdoors!BI26=TRUE),VLOOKUP(Calculator!E23,tbSkills!DH3:DJ6,3,FALSE),0),0)))/100)),(1-(0.25*((-Backdoors!AI12-IF(FG57&gt;=0.45,VLOOKUP(Calculator!E23,tbSkills!DH3:DI6,2,FALSE)+IF(AND(Calculator!B8=TRUE,Backdoors!BI26=TRUE),VLOOKUP(Calculator!E23,tbSkills!DH3:DJ6,3,FALSE),0),0))/100)))),1),"")</f>
        <v>1</v>
      </c>
      <c r="FJ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FG57)*FI57)*(VLOOKUP(A57,tbMoveset!A2:C112,3,FALSE)/100)*IF(VLOOKUP(A57,tbMoveset!A2:B112,2,FALSE)="Projectile",Backdoors!N10,Backdoors!N9),0),"")</f>
        <v/>
      </c>
      <c r="FK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FG57&gt;=0.45,VLOOKUP(Calculator!E23,tbSkills!DH3:DI6,2,FALSE)+IF(AND(Calculator!B8=TRUE,Backdoors!BI26=TRUE),VLOOKUP(Calculator!E23,tbSkills!DH3:DJ6,3,FALSE),0),0))&gt;=100,100,(Backdoors!AI12+IF(FG57&gt;=0.45,VLOOKUP(Calculator!E23,tbSkills!DH3:DI6,2,FALSE)+IF(AND(Calculator!B8=TRUE,Backdoors!BI26=TRUE),VLOOKUP(Calculator!E23,tbSkills!DH3:DJ6,3,FALSE),0),0)))/100)),1))*IF(VLOOKUP(A57,tbMoveset!A2:K112,11,FALSE)=TRUE,Backdoors!AC5,1))*FH57,0),"")</f>
        <v>0</v>
      </c>
      <c r="FL57" s="49">
        <f>VLOOKUP(A57,tbMoveset!A2:G112,7,FALSE)*IFERROR(IF(Backdoors!AI12&gt;=0,1+(IF(Calculator!E40&gt;0,VLOOKUP(Calculator!E40,tbSkills!AI3:AJ5,2,FALSE),Backdoors!AL4)*(IF((Backdoors!AI12+IF(FG57&gt;=0.45,VLOOKUP(Calculator!E23,tbSkills!DH3:DI6,2,FALSE)+IF(AND(Calculator!B8=TRUE,Backdoors!BI26=TRUE),VLOOKUP(Calculator!E23,tbSkills!DH3:DJ6,3,FALSE),0),0))&gt;=100,100,(Backdoors!AI12+IF(FG57&gt;=0.45,VLOOKUP(Calculator!E23,tbSkills!DH3:DI6,2,FALSE)+IF(AND(Calculator!B8=TRUE,Backdoors!BI26=TRUE),VLOOKUP(Calculator!E23,tbSkills!DH3:DJ6,3,FALSE),0),0)))/100)),1),1)</f>
        <v>0.5</v>
      </c>
      <c r="FM57" s="87">
        <f t="shared" si="16"/>
        <v>0</v>
      </c>
      <c r="FN57" s="86" t="str">
        <f>IFERROR(IF(VLOOKUP(A57,tbMoveset!A2:B112,2,FALSE)="Sever",Backdoors!AY27/100,IF(VLOOKUP(A57,tbMoveset!A2:B112,2,FALSE)="Blunt",Backdoors!AZ27/100,Backdoors!BA27/100)),"")</f>
        <v/>
      </c>
      <c r="FO57" s="49">
        <f>IFERROR(IF(VLOOKUP(tbMoveset!A57,tbMoveset!A2:H112,8,FALSE)="Other",IF(VLOOKUP(tbMoveset!A57,tbMoveset!A2:I112,9,FALSE)="Fire",Backdoors!BB27,IF(VLOOKUP(tbMoveset!A57,tbMoveset!A2:I112,9,FALSE)="Water",Backdoors!BC27,IF(VLOOKUP(tbMoveset!A57,tbMoveset!A2:I112,9,FALSE)="Thunder",Backdoors!BD27,IF(VLOOKUP(tbMoveset!A57,tbMoveset!A2:I112,9,FALSE)="Ice",Backdoors!BE27,IF(VLOOKUP(tbMoveset!A57,tbMoveset!A2:I112,9,FALSE)="Dragon",Backdoors!BF27,Backdoors!BG27)))))/100,Backdoors!BG27/100),"")</f>
        <v>0</v>
      </c>
      <c r="FP57" s="49">
        <f>IFERROR(IF(VLOOKUP(A57,tbMoveset!A2:J112,10,FALSE)=TRUE,IF((Backdoors!AI12+IF(FN57&gt;=0.45,VLOOKUP(Calculator!E23,tbSkills!DH3:DI6,2,FALSE)+IF(AND(Calculator!B8=TRUE,Backdoors!BI27=TRUE),VLOOKUP(Calculator!E23,tbSkills!DH3:DJ6,3,FALSE),0),0))&gt;=0,1+(Backdoors!AL2*(IF((Backdoors!AI12+IF(FN57&gt;=0.45,VLOOKUP(Calculator!E23,tbSkills!DH3:DI6,2,FALSE)+IF(AND(Calculator!B8=TRUE,Backdoors!BI27=TRUE),VLOOKUP(Calculator!E23,tbSkills!DH3:DJ6,3,FALSE),0),0))&gt;=100,100,(Backdoors!AI12+IF(FN57&gt;=0.45,VLOOKUP(Calculator!E23,tbSkills!DH3:DI6,2,FALSE)+IF(AND(Calculator!B8=TRUE,Backdoors!BI27=TRUE),VLOOKUP(Calculator!E23,tbSkills!DH3:DJ6,3,FALSE),0),0)))/100)),(1-(0.25*((-Backdoors!AI12-IF(FN57&gt;=0.45,VLOOKUP(Calculator!E23,tbSkills!DH3:DI6,2,FALSE)+IF(AND(Calculator!B8=TRUE,Backdoors!BI27=TRUE),VLOOKUP(Calculator!E23,tbSkills!DH3:DJ6,3,FALSE),0),0))/100)))),1),"")</f>
        <v>1</v>
      </c>
      <c r="FQ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FN57)*FP57)*(VLOOKUP(A57,tbMoveset!A2:C112,3,FALSE)/100)*IF(VLOOKUP(A57,tbMoveset!A2:B112,2,FALSE)="Projectile",Backdoors!N10,Backdoors!N9),0),"")</f>
        <v/>
      </c>
      <c r="FR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FN57&gt;=0.45,VLOOKUP(Calculator!E23,tbSkills!DH3:DI6,2,FALSE)+IF(AND(Calculator!B8=TRUE,Backdoors!BI27=TRUE),VLOOKUP(Calculator!E23,tbSkills!DH3:DJ6,3,FALSE),0),0))&gt;=100,100,(Backdoors!AI12+IF(FN57&gt;=0.45,VLOOKUP(Calculator!E23,tbSkills!DH3:DI6,2,FALSE)+IF(AND(Calculator!B8=TRUE,Backdoors!BI27=TRUE),VLOOKUP(Calculator!E23,tbSkills!DH3:DJ6,3,FALSE),0),0)))/100)),1))*IF(VLOOKUP(A57,tbMoveset!A2:K112,11,FALSE)=TRUE,Backdoors!AC5,1))*FO57,0),"")</f>
        <v>0</v>
      </c>
      <c r="FS57" s="49">
        <f>VLOOKUP(A57,tbMoveset!A2:G112,7,FALSE)*IFERROR(IF(Backdoors!AI12&gt;=0,1+(IF(Calculator!E40&gt;0,VLOOKUP(Calculator!E40,tbSkills!AI3:AJ5,2,FALSE),Backdoors!AL4)*(IF((Backdoors!AI12+IF(FN57&gt;=0.45,VLOOKUP(Calculator!E23,tbSkills!DH3:DI6,2,FALSE)+IF(AND(Calculator!B8=TRUE,Backdoors!BI27=TRUE),VLOOKUP(Calculator!E23,tbSkills!DH3:DJ6,3,FALSE),0),0))&gt;=100,100,(Backdoors!AI12+IF(FN57&gt;=0.45,VLOOKUP(Calculator!E23,tbSkills!DH3:DI6,2,FALSE)+IF(AND(Calculator!B8=TRUE,Backdoors!BI27=TRUE),VLOOKUP(Calculator!E23,tbSkills!DH3:DJ6,3,FALSE),0),0)))/100)),1),1)</f>
        <v>0.5</v>
      </c>
      <c r="FT57" s="87">
        <f t="shared" si="17"/>
        <v>0</v>
      </c>
      <c r="FU57" s="86" t="str">
        <f>IFERROR(IF(VLOOKUP(A57,tbMoveset!A2:B112,2,FALSE)="Sever",Backdoors!AY28/100,IF(VLOOKUP(A57,tbMoveset!A2:B112,2,FALSE)="Blunt",Backdoors!AZ28/100,Backdoors!BA28/100)),"")</f>
        <v/>
      </c>
      <c r="FV57" s="49">
        <f>IFERROR(IF(VLOOKUP(tbMoveset!A57,tbMoveset!A2:H112,8,FALSE)="Other",IF(VLOOKUP(tbMoveset!A57,tbMoveset!A2:I112,9,FALSE)="Fire",Backdoors!BB28,IF(VLOOKUP(tbMoveset!A57,tbMoveset!A2:I112,9,FALSE)="Water",Backdoors!BC28,IF(VLOOKUP(tbMoveset!A57,tbMoveset!A2:I112,9,FALSE)="Thunder",Backdoors!BD28,IF(VLOOKUP(tbMoveset!A57,tbMoveset!A2:I112,9,FALSE)="Ice",Backdoors!BE28,IF(VLOOKUP(tbMoveset!A57,tbMoveset!A2:I112,9,FALSE)="Dragon",Backdoors!BF28,Backdoors!BG28)))))/100,Backdoors!BG28/100),"")</f>
        <v>0</v>
      </c>
      <c r="FW57" s="49">
        <f>IFERROR(IF(VLOOKUP(A57,tbMoveset!A2:J112,10,FALSE)=TRUE,IF((Backdoors!AI12+IF(FU57&gt;=0.45,VLOOKUP(Calculator!E23,tbSkills!DH3:DI6,2,FALSE)+IF(AND(Calculator!B8=TRUE,Backdoors!BI28=TRUE),VLOOKUP(Calculator!E23,tbSkills!DH3:DJ6,3,FALSE),0),0))&gt;=0,1+(Backdoors!AL2*(IF((Backdoors!AI12+IF(FU57&gt;=0.45,VLOOKUP(Calculator!E23,tbSkills!DH3:DI6,2,FALSE)+IF(AND(Calculator!B8=TRUE,Backdoors!BI28=TRUE),VLOOKUP(Calculator!E23,tbSkills!DH3:DJ6,3,FALSE),0),0))&gt;=100,100,(Backdoors!AI12+IF(FU57&gt;=0.45,VLOOKUP(Calculator!E23,tbSkills!DH3:DI6,2,FALSE)+IF(AND(Calculator!B8=TRUE,Backdoors!BI28=TRUE),VLOOKUP(Calculator!E23,tbSkills!DH3:DJ6,3,FALSE),0),0)))/100)),(1-(0.25*((-Backdoors!AI12-IF(FU57&gt;=0.45,VLOOKUP(Calculator!E23,tbSkills!DH3:DI6,2,FALSE)+IF(AND(Calculator!B8=TRUE,Backdoors!BI28=TRUE),VLOOKUP(Calculator!E23,tbSkills!DH3:DJ6,3,FALSE),0),0))/100)))),1),"")</f>
        <v>1</v>
      </c>
      <c r="FX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FU57)*FW57)*(VLOOKUP(A57,tbMoveset!A2:C112,3,FALSE)/100)*IF(VLOOKUP(A57,tbMoveset!A2:B112,2,FALSE)="Projectile",Backdoors!N10,Backdoors!N9),0),"")</f>
        <v/>
      </c>
      <c r="FY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FU57&gt;=0.45,VLOOKUP(Calculator!E23,tbSkills!DH3:DI6,2,FALSE)+IF(AND(Calculator!B8=TRUE,Backdoors!BI28=TRUE),VLOOKUP(Calculator!E23,tbSkills!DH3:DJ6,3,FALSE),0),0))&gt;=100,100,(Backdoors!AI12+IF(FU57&gt;=0.45,VLOOKUP(Calculator!E23,tbSkills!DH3:DI6,2,FALSE)+IF(AND(Calculator!B8=TRUE,Backdoors!BI28=TRUE),VLOOKUP(Calculator!E23,tbSkills!DH3:DJ6,3,FALSE),0),0)))/100)),1))*IF(VLOOKUP(A57,tbMoveset!A2:K112,11,FALSE)=TRUE,Backdoors!AC5,1))*FV57,0),"")</f>
        <v>0</v>
      </c>
      <c r="FZ57" s="49">
        <f>VLOOKUP(A57,tbMoveset!A2:G112,7,FALSE)*IFERROR(IF(Backdoors!AI12&gt;=0,1+(IF(Calculator!E40&gt;0,VLOOKUP(Calculator!E40,tbSkills!AI3:AJ5,2,FALSE),Backdoors!AL4)*(IF((Backdoors!AI12+IF(FU57&gt;=0.45,VLOOKUP(Calculator!E23,tbSkills!DH3:DI6,2,FALSE)+IF(AND(Calculator!B8=TRUE,Backdoors!BI28=TRUE),VLOOKUP(Calculator!E23,tbSkills!DH3:DJ6,3,FALSE),0),0))&gt;=100,100,(Backdoors!AI12+IF(FU57&gt;=0.45,VLOOKUP(Calculator!E23,tbSkills!DH3:DI6,2,FALSE)+IF(AND(Calculator!B8=TRUE,Backdoors!BI28=TRUE),VLOOKUP(Calculator!E23,tbSkills!DH3:DJ6,3,FALSE),0),0)))/100)),1),1)</f>
        <v>0.5</v>
      </c>
      <c r="GA57" s="87">
        <f t="shared" si="18"/>
        <v>0</v>
      </c>
      <c r="GB57" s="86" t="str">
        <f>IFERROR(IF(VLOOKUP(A57,tbMoveset!A2:B112,2,FALSE)="Sever",Backdoors!AY29/100,IF(VLOOKUP(A57,tbMoveset!A2:B112,2,FALSE)="Blunt",Backdoors!AZ29/100,Backdoors!BA29/100)),"")</f>
        <v/>
      </c>
      <c r="GC57" s="49">
        <f>IFERROR(IF(VLOOKUP(tbMoveset!A57,tbMoveset!A2:H112,8,FALSE)="Other",IF(VLOOKUP(tbMoveset!A57,tbMoveset!A2:I112,9,FALSE)="Fire",Backdoors!BB29,IF(VLOOKUP(tbMoveset!A57,tbMoveset!A2:I112,9,FALSE)="Water",Backdoors!BC29,IF(VLOOKUP(tbMoveset!A57,tbMoveset!A2:I112,9,FALSE)="Thunder",Backdoors!BD29,IF(VLOOKUP(tbMoveset!A57,tbMoveset!A2:I112,9,FALSE)="Ice",Backdoors!BE29,IF(VLOOKUP(tbMoveset!A57,tbMoveset!A2:I112,9,FALSE)="Dragon",Backdoors!BF29,Backdoors!BG29)))))/100,Backdoors!BG29/100),"")</f>
        <v>0</v>
      </c>
      <c r="GD57" s="49">
        <f>IFERROR(IF(VLOOKUP(A57,tbMoveset!A2:J112,10,FALSE)=TRUE,IF((Backdoors!AI12+IF(GB57&gt;=0.45,VLOOKUP(Calculator!E23,tbSkills!DH3:DI6,2,FALSE)+IF(AND(Calculator!B8=TRUE,Backdoors!BI29=TRUE),VLOOKUP(Calculator!E23,tbSkills!DH3:DJ6,3,FALSE),0),0))&gt;=0,1+(Backdoors!AL2*(IF((Backdoors!AI12+IF(GB57&gt;=0.45,VLOOKUP(Calculator!E23,tbSkills!DH3:DI6,2,FALSE)+IF(AND(Calculator!B8=TRUE,Backdoors!BI29=TRUE),VLOOKUP(Calculator!E23,tbSkills!DH3:DJ6,3,FALSE),0),0))&gt;=100,100,(Backdoors!AI12+IF(GB57&gt;=0.45,VLOOKUP(Calculator!E23,tbSkills!DH3:DI6,2,FALSE)+IF(AND(Calculator!B8=TRUE,Backdoors!BI29=TRUE),VLOOKUP(Calculator!E23,tbSkills!DH3:DJ6,3,FALSE),0),0)))/100)),(1-(0.25*((-Backdoors!AI12-IF(GB57&gt;=0.45,VLOOKUP(Calculator!E23,tbSkills!DH3:DI6,2,FALSE)+IF(AND(Calculator!B8=TRUE,Backdoors!BI29=TRUE),VLOOKUP(Calculator!E23,tbSkills!DH3:DJ6,3,FALSE),0),0))/100)))),1),"")</f>
        <v>1</v>
      </c>
      <c r="GE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B57)*GD57)*(VLOOKUP(A57,tbMoveset!A2:C112,3,FALSE)/100)*IF(VLOOKUP(A57,tbMoveset!A2:B112,2,FALSE)="Projectile",Backdoors!N10,Backdoors!N9),0),"")</f>
        <v/>
      </c>
      <c r="GF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B57&gt;=0.45,VLOOKUP(Calculator!E23,tbSkills!DH3:DI6,2,FALSE)+IF(AND(Calculator!B8=TRUE,Backdoors!BI29=TRUE),VLOOKUP(Calculator!E23,tbSkills!DH3:DJ6,3,FALSE),0),0))&gt;=100,100,(Backdoors!AI12+IF(GB57&gt;=0.45,VLOOKUP(Calculator!E23,tbSkills!DH3:DI6,2,FALSE)+IF(AND(Calculator!B8=TRUE,Backdoors!BI29=TRUE),VLOOKUP(Calculator!E23,tbSkills!DH3:DJ6,3,FALSE),0),0)))/100)),1))*IF(VLOOKUP(A57,tbMoveset!A2:K112,11,FALSE)=TRUE,Backdoors!AC5,1))*GC57,0),"")</f>
        <v>0</v>
      </c>
      <c r="GG57" s="49">
        <f>VLOOKUP(A57,tbMoveset!A2:G112,7,FALSE)*IFERROR(IF(Backdoors!AI12&gt;=0,1+(IF(Calculator!E40&gt;0,VLOOKUP(Calculator!E40,tbSkills!AI3:AJ5,2,FALSE),Backdoors!AL4)*(IF((Backdoors!AI12+IF(GB57&gt;=0.45,VLOOKUP(Calculator!E23,tbSkills!DH3:DI6,2,FALSE)+IF(AND(Calculator!B8=TRUE,Backdoors!BI29=TRUE),VLOOKUP(Calculator!E23,tbSkills!DH3:DJ6,3,FALSE),0),0))&gt;=100,100,(Backdoors!AI12+IF(GB57&gt;=0.45,VLOOKUP(Calculator!E23,tbSkills!DH3:DI6,2,FALSE)+IF(AND(Calculator!B8=TRUE,Backdoors!BI29=TRUE),VLOOKUP(Calculator!E23,tbSkills!DH3:DJ6,3,FALSE),0),0)))/100)),1),1)</f>
        <v>0.5</v>
      </c>
      <c r="GH57" s="87">
        <f t="shared" si="19"/>
        <v>0</v>
      </c>
      <c r="GI57" s="86" t="str">
        <f>IFERROR(IF(VLOOKUP(A57,tbMoveset!A2:B112,2,FALSE)="Sever",Backdoors!AY30/100,IF(VLOOKUP(A57,tbMoveset!A2:B112,2,FALSE)="Blunt",Backdoors!AZ30/100,Backdoors!BA30/100)),"")</f>
        <v/>
      </c>
      <c r="GJ57" s="49">
        <f>IFERROR(IF(VLOOKUP(tbMoveset!A57,tbMoveset!A2:H112,8,FALSE)="Other",IF(VLOOKUP(tbMoveset!A57,tbMoveset!A2:I112,9,FALSE)="Fire",Backdoors!BB30,IF(VLOOKUP(tbMoveset!A57,tbMoveset!A2:I112,9,FALSE)="Water",Backdoors!BC30,IF(VLOOKUP(tbMoveset!A57,tbMoveset!A2:I112,9,FALSE)="Thunder",Backdoors!BD30,IF(VLOOKUP(tbMoveset!A57,tbMoveset!A2:I112,9,FALSE)="Ice",Backdoors!BE30,IF(VLOOKUP(tbMoveset!A57,tbMoveset!A2:I112,9,FALSE)="Dragon",Backdoors!BF30,Backdoors!BG30)))))/100,Backdoors!BG30/100),"")</f>
        <v>0</v>
      </c>
      <c r="GK57" s="49">
        <f>IFERROR(IF(VLOOKUP(A57,tbMoveset!A2:J112,10,FALSE)=TRUE,IF((Backdoors!AI12+IF(GI57&gt;=0.45,VLOOKUP(Calculator!E23,tbSkills!DH3:DI6,2,FALSE)+IF(AND(Calculator!B8=TRUE,Backdoors!BI30=TRUE),VLOOKUP(Calculator!E23,tbSkills!DH3:DJ6,3,FALSE),0),0))&gt;=0,1+(Backdoors!AL2*(IF((Backdoors!AI12+IF(GI57&gt;=0.45,VLOOKUP(Calculator!E23,tbSkills!DH3:DI6,2,FALSE)+IF(AND(Calculator!B8=TRUE,Backdoors!BI30=TRUE),VLOOKUP(Calculator!E23,tbSkills!DH3:DJ6,3,FALSE),0),0))&gt;=100,100,(Backdoors!AI12+IF(GI57&gt;=0.45,VLOOKUP(Calculator!E23,tbSkills!DH3:DI6,2,FALSE)+IF(AND(Calculator!B8=TRUE,Backdoors!BI30=TRUE),VLOOKUP(Calculator!E23,tbSkills!DH3:DJ6,3,FALSE),0),0)))/100)),(1-(0.25*((-Backdoors!AI12-IF(GI57&gt;=0.45,VLOOKUP(Calculator!E23,tbSkills!DH3:DI6,2,FALSE)+IF(AND(Calculator!B8=TRUE,Backdoors!BI30=TRUE),VLOOKUP(Calculator!E23,tbSkills!DH3:DJ6,3,FALSE),0),0))/100)))),1),"")</f>
        <v>1</v>
      </c>
      <c r="GL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I57)*GK57)*(VLOOKUP(A57,tbMoveset!A2:C112,3,FALSE)/100)*IF(VLOOKUP(A57,tbMoveset!A2:B112,2,FALSE)="Projectile",Backdoors!N10,Backdoors!N9),0),"")</f>
        <v/>
      </c>
      <c r="GM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I57&gt;=0.45,VLOOKUP(Calculator!E23,tbSkills!DH3:DI6,2,FALSE)+IF(AND(Calculator!B8=TRUE,Backdoors!BI30=TRUE),VLOOKUP(Calculator!E23,tbSkills!DH3:DJ6,3,FALSE),0),0))&gt;=100,100,(Backdoors!AI12+IF(GI57&gt;=0.45,VLOOKUP(Calculator!E23,tbSkills!DH3:DI6,2,FALSE)+IF(AND(Calculator!B8=TRUE,Backdoors!BI30=TRUE),VLOOKUP(Calculator!E23,tbSkills!DH3:DJ6,3,FALSE),0),0)))/100)),1))*IF(VLOOKUP(A57,tbMoveset!A2:K112,11,FALSE)=TRUE,Backdoors!AC5,1))*GJ57,0),"")</f>
        <v>0</v>
      </c>
      <c r="GN57" s="49">
        <f>VLOOKUP(A57,tbMoveset!A2:G112,7,FALSE)*IFERROR(IF(Backdoors!AI12&gt;=0,1+(IF(Calculator!E40&gt;0,VLOOKUP(Calculator!E40,tbSkills!AI3:AJ5,2,FALSE),Backdoors!AL4)*(IF((Backdoors!AI12+IF(GI57&gt;=0.45,VLOOKUP(Calculator!E23,tbSkills!DH3:DI6,2,FALSE)+IF(AND(Calculator!B8=TRUE,Backdoors!BI30=TRUE),VLOOKUP(Calculator!E23,tbSkills!DH3:DJ6,3,FALSE),0),0))&gt;=100,100,(Backdoors!AI12+IF(GI57&gt;=0.45,VLOOKUP(Calculator!E23,tbSkills!DH3:DI6,2,FALSE)+IF(AND(Calculator!B8=TRUE,Backdoors!BI30=TRUE),VLOOKUP(Calculator!E23,tbSkills!DH3:DJ6,3,FALSE),0),0)))/100)),1),1)</f>
        <v>0.5</v>
      </c>
      <c r="GO57" s="87">
        <f t="shared" si="20"/>
        <v>0</v>
      </c>
      <c r="GP57" s="86" t="str">
        <f>IFERROR(IF(VLOOKUP(A57,tbMoveset!A2:B112,2,FALSE)="Sever",Backdoors!AY31/100,IF(VLOOKUP(A57,tbMoveset!A2:B112,2,FALSE)="Blunt",Backdoors!AZ31/100,Backdoors!BA31/100)),"")</f>
        <v/>
      </c>
      <c r="GQ57" s="49">
        <f>IFERROR(IF(VLOOKUP(tbMoveset!A57,tbMoveset!A2:H112,8,FALSE)="Other",IF(VLOOKUP(tbMoveset!A57,tbMoveset!A2:I112,9,FALSE)="Fire",Backdoors!BB31,IF(VLOOKUP(tbMoveset!A57,tbMoveset!A2:I112,9,FALSE)="Water",Backdoors!BC31,IF(VLOOKUP(tbMoveset!A57,tbMoveset!A2:I112,9,FALSE)="Thunder",Backdoors!BD31,IF(VLOOKUP(tbMoveset!A57,tbMoveset!A2:I112,9,FALSE)="Ice",Backdoors!BE31,IF(VLOOKUP(tbMoveset!A57,tbMoveset!A2:I112,9,FALSE)="Dragon",Backdoors!BF31,Backdoors!BG31)))))/100,Backdoors!BG31/100),"")</f>
        <v>0</v>
      </c>
      <c r="GR57" s="49">
        <f>IFERROR(IF(VLOOKUP(A57,tbMoveset!A2:J112,10,FALSE)=TRUE,IF((Backdoors!AI12+IF(GP57&gt;=0.45,VLOOKUP(Calculator!E23,tbSkills!DH3:DI6,2,FALSE)+IF(AND(Calculator!B8=TRUE,Backdoors!BI31=TRUE),VLOOKUP(Calculator!E23,tbSkills!DH3:DJ6,3,FALSE),0),0))&gt;=0,1+(Backdoors!AL2*(IF((Backdoors!AI12+IF(GP57&gt;=0.45,VLOOKUP(Calculator!E23,tbSkills!DH3:DI6,2,FALSE)+IF(AND(Calculator!B8=TRUE,Backdoors!BI31=TRUE),VLOOKUP(Calculator!E23,tbSkills!DH3:DJ6,3,FALSE),0),0))&gt;=100,100,(Backdoors!AI12+IF(GP57&gt;=0.45,VLOOKUP(Calculator!E23,tbSkills!DH3:DI6,2,FALSE)+IF(AND(Calculator!B8=TRUE,Backdoors!BI31=TRUE),VLOOKUP(Calculator!E23,tbSkills!DH3:DJ6,3,FALSE),0),0)))/100)),(1-(0.25*((-Backdoors!AI12-IF(GP57&gt;=0.45,VLOOKUP(Calculator!E23,tbSkills!DH3:DI6,2,FALSE)+IF(AND(Calculator!B8=TRUE,Backdoors!BI31=TRUE),VLOOKUP(Calculator!E23,tbSkills!DH3:DJ6,3,FALSE),0),0))/100)))),1),"")</f>
        <v>1</v>
      </c>
      <c r="GS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P57)*GR57)*(VLOOKUP(A57,tbMoveset!A2:C112,3,FALSE)/100)*IF(VLOOKUP(A57,tbMoveset!A2:B112,2,FALSE)="Projectile",Backdoors!N10,Backdoors!N9),0),"")</f>
        <v/>
      </c>
      <c r="GT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P57&gt;=0.45,VLOOKUP(Calculator!E23,tbSkills!DH3:DI6,2,FALSE)+IF(AND(Calculator!B8=TRUE,Backdoors!BI31=TRUE),VLOOKUP(Calculator!E23,tbSkills!DH3:DJ6,3,FALSE),0),0))&gt;=100,100,(Backdoors!AI12+IF(GP57&gt;=0.45,VLOOKUP(Calculator!E23,tbSkills!DH3:DI6,2,FALSE)+IF(AND(Calculator!B8=TRUE,Backdoors!BI31=TRUE),VLOOKUP(Calculator!E23,tbSkills!DH3:DJ6,3,FALSE),0),0)))/100)),1))*IF(VLOOKUP(A57,tbMoveset!A2:K112,11,FALSE)=TRUE,Backdoors!AC5,1))*GQ57,0),"")</f>
        <v>0</v>
      </c>
      <c r="GU57" s="49">
        <f>VLOOKUP(A57,tbMoveset!A2:G112,7,FALSE)*IFERROR(IF(Backdoors!AI12&gt;=0,1+(IF(Calculator!E40&gt;0,VLOOKUP(Calculator!E40,tbSkills!AI3:AJ5,2,FALSE),Backdoors!AL4)*(IF((Backdoors!AI12+IF(GP57&gt;=0.45,VLOOKUP(Calculator!E23,tbSkills!DH3:DI6,2,FALSE)+IF(AND(Calculator!B8=TRUE,Backdoors!BI31=TRUE),VLOOKUP(Calculator!E23,tbSkills!DH3:DJ6,3,FALSE),0),0))&gt;=100,100,(Backdoors!AI12+IF(GP57&gt;=0.45,VLOOKUP(Calculator!E23,tbSkills!DH3:DI6,2,FALSE)+IF(AND(Calculator!B8=TRUE,Backdoors!BI31=TRUE),VLOOKUP(Calculator!E23,tbSkills!DH3:DJ6,3,FALSE),0),0)))/100)),1),1)</f>
        <v>0.5</v>
      </c>
      <c r="GV57" s="87">
        <f t="shared" si="21"/>
        <v>0</v>
      </c>
      <c r="GW57" s="86" t="str">
        <f>IFERROR(IF(VLOOKUP(A57,tbMoveset!A2:B112,2,FALSE)="Sever",Backdoors!AY32/100,IF(VLOOKUP(A57,tbMoveset!A2:B112,2,FALSE)="Blunt",Backdoors!AZ32/100,Backdoors!BA32/100)),"")</f>
        <v/>
      </c>
      <c r="GX57" s="49">
        <f>IFERROR(IF(VLOOKUP(tbMoveset!A57,tbMoveset!A2:H112,8,FALSE)="Other",IF(VLOOKUP(tbMoveset!A57,tbMoveset!A2:I112,9,FALSE)="Fire",Backdoors!BB32,IF(VLOOKUP(tbMoveset!A57,tbMoveset!A2:I112,9,FALSE)="Water",Backdoors!BC32,IF(VLOOKUP(tbMoveset!A57,tbMoveset!A2:I112,9,FALSE)="Thunder",Backdoors!BD32,IF(VLOOKUP(tbMoveset!A57,tbMoveset!A2:I112,9,FALSE)="Ice",Backdoors!BE32,IF(VLOOKUP(tbMoveset!A57,tbMoveset!A2:I112,9,FALSE)="Dragon",Backdoors!BF32,Backdoors!BG32)))))/100,Backdoors!BG32/100),"")</f>
        <v>0</v>
      </c>
      <c r="GY57" s="49">
        <f>IFERROR(IF(VLOOKUP(A57,tbMoveset!A2:J112,10,FALSE)=TRUE,IF((Backdoors!AI12+IF(GW57&gt;=0.45,VLOOKUP(Calculator!E23,tbSkills!DH3:DI6,2,FALSE)+IF(AND(Calculator!B8=TRUE,Backdoors!BI32=TRUE),VLOOKUP(Calculator!E23,tbSkills!DH3:DJ6,3,FALSE),0),0))&gt;=0,1+(Backdoors!AL2*(IF((Backdoors!AI12+IF(GW57&gt;=0.45,VLOOKUP(Calculator!E23,tbSkills!DH3:DI6,2,FALSE)+IF(AND(Calculator!B8=TRUE,Backdoors!BI32=TRUE),VLOOKUP(Calculator!E23,tbSkills!DH3:DJ6,3,FALSE),0),0))&gt;=100,100,(Backdoors!AI12+IF(GW57&gt;=0.45,VLOOKUP(Calculator!E23,tbSkills!DH3:DI6,2,FALSE)+IF(AND(Calculator!B8=TRUE,Backdoors!BI32=TRUE),VLOOKUP(Calculator!E23,tbSkills!DH3:DJ6,3,FALSE),0),0)))/100)),(1-(0.25*((-Backdoors!AI12-IF(GW57&gt;=0.45,VLOOKUP(Calculator!E23,tbSkills!DH3:DI6,2,FALSE)+IF(AND(Calculator!B8=TRUE,Backdoors!BI32=TRUE),VLOOKUP(Calculator!E23,tbSkills!DH3:DJ6,3,FALSE),0),0))/100)))),1),"")</f>
        <v>1</v>
      </c>
      <c r="GZ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W57)*GY57)*(VLOOKUP(A57,tbMoveset!A2:C112,3,FALSE)/100)*IF(VLOOKUP(A57,tbMoveset!A2:B112,2,FALSE)="Projectile",Backdoors!N10,Backdoors!N9),0),"")</f>
        <v/>
      </c>
      <c r="HA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W57&gt;=0.45,VLOOKUP(Calculator!E23,tbSkills!DH3:DI6,2,FALSE)+IF(AND(Calculator!B8=TRUE,Backdoors!BI32=TRUE),VLOOKUP(Calculator!E23,tbSkills!DH3:DJ6,3,FALSE),0),0))&gt;=100,100,(Backdoors!AI12+IF(GW57&gt;=0.45,VLOOKUP(Calculator!E23,tbSkills!DH3:DI6,2,FALSE)+IF(AND(Calculator!B8=TRUE,Backdoors!BI32=TRUE),VLOOKUP(Calculator!E23,tbSkills!DH3:DJ6,3,FALSE),0),0)))/100)),1))*IF(VLOOKUP(A57,tbMoveset!A2:K112,11,FALSE)=TRUE,Backdoors!AC5,1))*GX57,0),"")</f>
        <v>0</v>
      </c>
      <c r="HB57" s="49">
        <f>VLOOKUP(A57,tbMoveset!A2:G112,7,FALSE)*IFERROR(IF(Backdoors!AI12&gt;=0,1+(IF(Calculator!E40&gt;0,VLOOKUP(Calculator!E40,tbSkills!AI3:AJ5,2,FALSE),Backdoors!AL4)*(IF((Backdoors!AI12+IF(GW57&gt;=0.45,VLOOKUP(Calculator!E23,tbSkills!DH3:DI6,2,FALSE)+IF(AND(Calculator!B8=TRUE,Backdoors!BI32=TRUE),VLOOKUP(Calculator!E23,tbSkills!DH3:DJ6,3,FALSE),0),0))&gt;=100,100,(Backdoors!AI12+IF(GW57&gt;=0.45,VLOOKUP(Calculator!E23,tbSkills!DH3:DI6,2,FALSE)+IF(AND(Calculator!B8=TRUE,Backdoors!BI32=TRUE),VLOOKUP(Calculator!E23,tbSkills!DH3:DJ6,3,FALSE),0),0)))/100)),1),1)</f>
        <v>0.5</v>
      </c>
      <c r="HC57" s="87">
        <f t="shared" si="22"/>
        <v>0</v>
      </c>
      <c r="HD57" s="86" t="str">
        <f>IFERROR(IF(VLOOKUP(A57,tbMoveset!A2:B112,2,FALSE)="Sever",Backdoors!AY33/100,IF(VLOOKUP(A57,tbMoveset!A2:B112,2,FALSE)="Blunt",Backdoors!AZ33/100,Backdoors!BA33/100)),"")</f>
        <v/>
      </c>
      <c r="HE57" s="49">
        <f>IFERROR(IF(VLOOKUP(tbMoveset!A57,tbMoveset!A2:H112,8,FALSE)="Other",IF(VLOOKUP(tbMoveset!A57,tbMoveset!A2:I112,9,FALSE)="Fire",Backdoors!BB33,IF(VLOOKUP(tbMoveset!A57,tbMoveset!A2:I112,9,FALSE)="Water",Backdoors!BC33,IF(VLOOKUP(tbMoveset!A57,tbMoveset!A2:I112,9,FALSE)="Thunder",Backdoors!BD33,IF(VLOOKUP(tbMoveset!A57,tbMoveset!A2:I112,9,FALSE)="Ice",Backdoors!BE33,IF(VLOOKUP(tbMoveset!A57,tbMoveset!A2:I112,9,FALSE)="Dragon",Backdoors!BF33,Backdoors!BG33)))))/100,Backdoors!BG33/100),"")</f>
        <v>0</v>
      </c>
      <c r="HF57" s="49">
        <f>IFERROR(IF(VLOOKUP(A57,tbMoveset!A2:J112,10,FALSE)=TRUE,IF((Backdoors!AI12+IF(HD57&gt;=0.45,VLOOKUP(Calculator!E23,tbSkills!DH3:DI6,2,FALSE)+IF(AND(Calculator!B8=TRUE,Backdoors!BI33=TRUE),VLOOKUP(Calculator!E23,tbSkills!DH3:DJ6,3,FALSE),0),0))&gt;=0,1+(Backdoors!AL2*(IF((Backdoors!AI12+IF(HD57&gt;=0.45,VLOOKUP(Calculator!E23,tbSkills!DH3:DI6,2,FALSE)+IF(AND(Calculator!B8=TRUE,Backdoors!BI33=TRUE),VLOOKUP(Calculator!E23,tbSkills!DH3:DJ6,3,FALSE),0),0))&gt;=100,100,(Backdoors!AI12+IF(HD57&gt;=0.45,VLOOKUP(Calculator!E23,tbSkills!DH3:DI6,2,FALSE)+IF(AND(Calculator!B8=TRUE,Backdoors!BI33=TRUE),VLOOKUP(Calculator!E23,tbSkills!DH3:DJ6,3,FALSE),0),0)))/100)),(1-(0.25*((-Backdoors!AI12-IF(HD57&gt;=0.45,VLOOKUP(Calculator!E23,tbSkills!DH3:DI6,2,FALSE)+IF(AND(Calculator!B8=TRUE,Backdoors!BI33=TRUE),VLOOKUP(Calculator!E23,tbSkills!DH3:DJ6,3,FALSE),0),0))/100)))),1),"")</f>
        <v>1</v>
      </c>
      <c r="HG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D57)*HF57)*(VLOOKUP(A57,tbMoveset!A2:C112,3,FALSE)/100)*IF(VLOOKUP(A57,tbMoveset!A2:B112,2,FALSE)="Projectile",Backdoors!N10,Backdoors!N9),0),"")</f>
        <v/>
      </c>
      <c r="HH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D57&gt;=0.45,VLOOKUP(Calculator!E23,tbSkills!DH3:DI6,2,FALSE)+IF(AND(Calculator!B8=TRUE,Backdoors!BI33=TRUE),VLOOKUP(Calculator!E23,tbSkills!DH3:DJ6,3,FALSE),0),0))&gt;=100,100,(Backdoors!AI12+IF(HD57&gt;=0.45,VLOOKUP(Calculator!E23,tbSkills!DH3:DI6,2,FALSE)+IF(AND(Calculator!B8=TRUE,Backdoors!BI33=TRUE),VLOOKUP(Calculator!E23,tbSkills!DH3:DJ6,3,FALSE),0),0)))/100)),1))*IF(VLOOKUP(A57,tbMoveset!A2:K112,11,FALSE)=TRUE,Backdoors!AC5,1))*HE57,0),"")</f>
        <v>0</v>
      </c>
      <c r="HI57" s="49">
        <f>VLOOKUP(A57,tbMoveset!A2:G112,7,FALSE)*IFERROR(IF(Backdoors!AI12&gt;=0,1+(IF(Calculator!E40&gt;0,VLOOKUP(Calculator!E40,tbSkills!AI3:AJ5,2,FALSE),Backdoors!AL4)*(IF((Backdoors!AI12+IF(HD57&gt;=0.45,VLOOKUP(Calculator!E23,tbSkills!DH3:DI6,2,FALSE)+IF(AND(Calculator!B8=TRUE,Backdoors!BI33=TRUE),VLOOKUP(Calculator!E23,tbSkills!DH3:DJ6,3,FALSE),0),0))&gt;=100,100,(Backdoors!AI12+IF(HD57&gt;=0.45,VLOOKUP(Calculator!E23,tbSkills!DH3:DI6,2,FALSE)+IF(AND(Calculator!B8=TRUE,Backdoors!BI33=TRUE),VLOOKUP(Calculator!E23,tbSkills!DH3:DJ6,3,FALSE),0),0)))/100)),1),1)</f>
        <v>0.5</v>
      </c>
      <c r="HJ57" s="87">
        <f t="shared" si="23"/>
        <v>0</v>
      </c>
      <c r="HK57" s="86" t="str">
        <f>IFERROR(IF(VLOOKUP(A57,tbMoveset!A2:B112,2,FALSE)="Sever",Backdoors!AY34/100,IF(VLOOKUP(A57,tbMoveset!A2:B112,2,FALSE)="Blunt",Backdoors!AZ34/100,Backdoors!BA34/100)),"")</f>
        <v/>
      </c>
      <c r="HL57" s="49">
        <f>IFERROR(IF(VLOOKUP(tbMoveset!A57,tbMoveset!A2:H112,8,FALSE)="Other",IF(VLOOKUP(tbMoveset!A57,tbMoveset!A2:I112,9,FALSE)="Fire",Backdoors!BB34,IF(VLOOKUP(tbMoveset!A57,tbMoveset!A2:I112,9,FALSE)="Water",Backdoors!BC34,IF(VLOOKUP(tbMoveset!A57,tbMoveset!A2:I112,9,FALSE)="Thunder",Backdoors!BD34,IF(VLOOKUP(tbMoveset!A57,tbMoveset!A2:I112,9,FALSE)="Ice",Backdoors!BE34,IF(VLOOKUP(tbMoveset!A57,tbMoveset!A2:I112,9,FALSE)="Dragon",Backdoors!BF34,Backdoors!BG34)))))/100,Backdoors!BG34/100),"")</f>
        <v>0</v>
      </c>
      <c r="HM57" s="49">
        <f>IFERROR(IF(VLOOKUP(A57,tbMoveset!A2:J112,10,FALSE)=TRUE,IF((Backdoors!AI12+IF(HK57&gt;=0.45,VLOOKUP(Calculator!E23,tbSkills!DH3:DI6,2,FALSE)+IF(AND(Calculator!B8=TRUE,Backdoors!BI34=TRUE),VLOOKUP(Calculator!E23,tbSkills!DH3:DJ6,3,FALSE),0),0))&gt;=0,1+(Backdoors!AL2*(IF((Backdoors!AI12+IF(HK57&gt;=0.45,VLOOKUP(Calculator!E23,tbSkills!DH3:DI6,2,FALSE)+IF(AND(Calculator!B8=TRUE,Backdoors!BI34=TRUE),VLOOKUP(Calculator!E23,tbSkills!DH3:DJ6,3,FALSE),0),0))&gt;=100,100,(Backdoors!AI12+IF(HK57&gt;=0.45,VLOOKUP(Calculator!E23,tbSkills!DH3:DI6,2,FALSE)+IF(AND(Calculator!B8=TRUE,Backdoors!BI34=TRUE),VLOOKUP(Calculator!E23,tbSkills!DH3:DJ6,3,FALSE),0),0)))/100)),(1-(0.25*((-Backdoors!AI12-IF(HK57&gt;=0.45,VLOOKUP(Calculator!E23,tbSkills!DH3:DI6,2,FALSE)+IF(AND(Calculator!B8=TRUE,Backdoors!BI34=TRUE),VLOOKUP(Calculator!E23,tbSkills!DH3:DJ6,3,FALSE),0),0))/100)))),1),"")</f>
        <v>1</v>
      </c>
      <c r="HN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K57)*HM57)*(VLOOKUP(A57,tbMoveset!A2:C112,3,FALSE)/100)*IF(VLOOKUP(A57,tbMoveset!A2:B112,2,FALSE)="Projectile",Backdoors!N10,Backdoors!N9),0),"")</f>
        <v/>
      </c>
      <c r="HO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K57&gt;=0.45,VLOOKUP(Calculator!E23,tbSkills!DH3:DI6,2,FALSE)+IF(AND(Calculator!B8=TRUE,Backdoors!BI34=TRUE),VLOOKUP(Calculator!E23,tbSkills!DH3:DJ6,3,FALSE),0),0))&gt;=100,100,(Backdoors!AI12+IF(HK57&gt;=0.45,VLOOKUP(Calculator!E23,tbSkills!DH3:DI6,2,FALSE)+IF(AND(Calculator!B8=TRUE,Backdoors!BI34=TRUE),VLOOKUP(Calculator!E23,tbSkills!DH3:DJ6,3,FALSE),0),0)))/100)),1))*IF(VLOOKUP(A57,tbMoveset!A2:K112,11,FALSE)=TRUE,Backdoors!AC5,1))*HL57,0),"")</f>
        <v>0</v>
      </c>
      <c r="HP57" s="49">
        <f>VLOOKUP(A57,tbMoveset!A2:G112,7,FALSE)*IFERROR(IF(Backdoors!AI12&gt;=0,1+(IF(Calculator!E40&gt;0,VLOOKUP(Calculator!E40,tbSkills!AI3:AJ5,2,FALSE),Backdoors!AL4)*(IF((Backdoors!AI12+IF(HK57&gt;=0.45,VLOOKUP(Calculator!E23,tbSkills!DH3:DI6,2,FALSE)+IF(AND(Calculator!B8=TRUE,Backdoors!BI34=TRUE),VLOOKUP(Calculator!E23,tbSkills!DH3:DJ6,3,FALSE),0),0))&gt;=100,100,(Backdoors!AI12+IF(HK57&gt;=0.45,VLOOKUP(Calculator!E23,tbSkills!DH3:DI6,2,FALSE)+IF(AND(Calculator!B8=TRUE,Backdoors!BI34=TRUE),VLOOKUP(Calculator!E23,tbSkills!DH3:DJ6,3,FALSE),0),0)))/100)),1),1)</f>
        <v>0.5</v>
      </c>
      <c r="HQ57" s="87">
        <f t="shared" si="24"/>
        <v>0</v>
      </c>
      <c r="HR57" s="86" t="str">
        <f>IFERROR(IF(VLOOKUP(A57,tbMoveset!A2:B112,2,FALSE)="Sever",Backdoors!AY35/100,IF(VLOOKUP(A57,tbMoveset!A2:B112,2,FALSE)="Blunt",Backdoors!AZ35/100,Backdoors!BA35/100)),"")</f>
        <v/>
      </c>
      <c r="HS57" s="49">
        <f>IFERROR(IF(VLOOKUP(tbMoveset!A57,tbMoveset!A2:H112,8,FALSE)="Other",IF(VLOOKUP(tbMoveset!A57,tbMoveset!A2:I112,9,FALSE)="Fire",Backdoors!BB35,IF(VLOOKUP(tbMoveset!A57,tbMoveset!A2:I112,9,FALSE)="Water",Backdoors!BC35,IF(VLOOKUP(tbMoveset!A57,tbMoveset!A2:I112,9,FALSE)="Thunder",Backdoors!BD35,IF(VLOOKUP(tbMoveset!A57,tbMoveset!A2:I112,9,FALSE)="Ice",Backdoors!BE35,IF(VLOOKUP(tbMoveset!A57,tbMoveset!A2:I112,9,FALSE)="Dragon",Backdoors!BF35,Backdoors!BG35)))))/100,Backdoors!BG35/100),"")</f>
        <v>0</v>
      </c>
      <c r="HT57" s="49">
        <f>IFERROR(IF(VLOOKUP(A57,tbMoveset!A2:J112,10,FALSE)=TRUE,IF((Backdoors!AI12+IF(HR57&gt;=0.45,VLOOKUP(Calculator!E23,tbSkills!DH3:DI6,2,FALSE)+IF(AND(Calculator!B8=TRUE,Backdoors!BI35=TRUE),VLOOKUP(Calculator!E23,tbSkills!DH3:DJ6,3,FALSE),0),0))&gt;=0,1+(Backdoors!AL2*(IF((Backdoors!AI12+IF(HR57&gt;=0.45,VLOOKUP(Calculator!E23,tbSkills!DH3:DI6,2,FALSE)+IF(AND(Calculator!B8=TRUE,Backdoors!BI35=TRUE),VLOOKUP(Calculator!E23,tbSkills!DH3:DJ6,3,FALSE),0),0))&gt;=100,100,(Backdoors!AI12+IF(HR57&gt;=0.45,VLOOKUP(Calculator!E23,tbSkills!DH3:DI6,2,FALSE)+IF(AND(Calculator!B8=TRUE,Backdoors!BI35=TRUE),VLOOKUP(Calculator!E23,tbSkills!DH3:DJ6,3,FALSE),0),0)))/100)),(1-(0.25*((-Backdoors!AI12-IF(HR57&gt;=0.45,VLOOKUP(Calculator!E23,tbSkills!DH3:DI6,2,FALSE)+IF(AND(Calculator!B8=TRUE,Backdoors!BI35=TRUE),VLOOKUP(Calculator!E23,tbSkills!DH3:DJ6,3,FALSE),0),0))/100)))),1),"")</f>
        <v>1</v>
      </c>
      <c r="HU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R57)*HT57)*(VLOOKUP(A57,tbMoveset!A2:C112,3,FALSE)/100)*IF(VLOOKUP(A57,tbMoveset!A2:B112,2,FALSE)="Projectile",Backdoors!N10,Backdoors!N9),0),"")</f>
        <v/>
      </c>
      <c r="HV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R57&gt;=0.45,VLOOKUP(Calculator!E23,tbSkills!DH3:DI6,2,FALSE)+IF(AND(Calculator!B8=TRUE,Backdoors!BI35=TRUE),VLOOKUP(Calculator!E23,tbSkills!DH3:DJ6,3,FALSE),0),0))&gt;=100,100,(Backdoors!AI12+IF(HR57&gt;=0.45,VLOOKUP(Calculator!E23,tbSkills!DH3:DI6,2,FALSE)+IF(AND(Calculator!B8=TRUE,Backdoors!BI35=TRUE),VLOOKUP(Calculator!E23,tbSkills!DH3:DJ6,3,FALSE),0),0)))/100)),1))*IF(VLOOKUP(A57,tbMoveset!A2:K112,11,FALSE)=TRUE,Backdoors!AC5,1))*HS57,0),"")</f>
        <v>0</v>
      </c>
      <c r="HW57" s="49">
        <f>VLOOKUP(A57,tbMoveset!A2:G112,7,FALSE)*IFERROR(IF(Backdoors!AI12&gt;=0,1+(IF(Calculator!E40&gt;0,VLOOKUP(Calculator!E40,tbSkills!AI3:AJ5,2,FALSE),Backdoors!AL4)*(IF((Backdoors!AI12+IF(HR57&gt;=0.45,VLOOKUP(Calculator!E23,tbSkills!DH3:DI6,2,FALSE)+IF(AND(Calculator!B8=TRUE,Backdoors!BI35=TRUE),VLOOKUP(Calculator!E23,tbSkills!DH3:DJ6,3,FALSE),0),0))&gt;=100,100,(Backdoors!AI12+IF(HR57&gt;=0.45,VLOOKUP(Calculator!E23,tbSkills!DH3:DI6,2,FALSE)+IF(AND(Calculator!B8=TRUE,Backdoors!BI35=TRUE),VLOOKUP(Calculator!E23,tbSkills!DH3:DJ6,3,FALSE),0),0)))/100)),1),1)</f>
        <v>0.5</v>
      </c>
      <c r="HX57" s="87">
        <f t="shared" si="25"/>
        <v>0</v>
      </c>
      <c r="HY57" s="86" t="str">
        <f>IFERROR(IF(VLOOKUP(A57,tbMoveset!A2:B112,2,FALSE)="Sever",Backdoors!AY36/100,IF(VLOOKUP(A57,tbMoveset!A2:B112,2,FALSE)="Blunt",Backdoors!AZ36/100,Backdoors!BA36/100)),"")</f>
        <v/>
      </c>
      <c r="HZ57" s="49">
        <f>IFERROR(IF(VLOOKUP(tbMoveset!A57,tbMoveset!A2:H112,8,FALSE)="Other",IF(VLOOKUP(tbMoveset!A57,tbMoveset!A2:I112,9,FALSE)="Fire",Backdoors!BB36,IF(VLOOKUP(tbMoveset!A57,tbMoveset!A2:I112,9,FALSE)="Water",Backdoors!BC36,IF(VLOOKUP(tbMoveset!A57,tbMoveset!A2:I112,9,FALSE)="Thunder",Backdoors!BD36,IF(VLOOKUP(tbMoveset!A57,tbMoveset!A2:I112,9,FALSE)="Ice",Backdoors!BE36,IF(VLOOKUP(tbMoveset!A57,tbMoveset!A2:I112,9,FALSE)="Dragon",Backdoors!BF36,Backdoors!BG36)))))/100,Backdoors!BG36/100),"")</f>
        <v>0</v>
      </c>
      <c r="IA57" s="49">
        <f>IFERROR(IF(VLOOKUP(A57,tbMoveset!A2:J112,10,FALSE)=TRUE,IF((Backdoors!AI12+IF(HY57&gt;=0.45,VLOOKUP(Calculator!E23,tbSkills!DH3:DI6,2,FALSE)+IF(AND(Calculator!B8=TRUE,Backdoors!BI36=TRUE),VLOOKUP(Calculator!E23,tbSkills!DH3:DJ6,3,FALSE),0),0))&gt;=0,1+(Backdoors!AL2*(IF((Backdoors!AI12+IF(HY57&gt;=0.45,VLOOKUP(Calculator!E23,tbSkills!DH3:DI6,2,FALSE)+IF(AND(Calculator!B8=TRUE,Backdoors!BI36=TRUE),VLOOKUP(Calculator!E23,tbSkills!DH3:DJ6,3,FALSE),0),0))&gt;=100,100,(Backdoors!AI12+IF(HY57&gt;=0.45,VLOOKUP(Calculator!E23,tbSkills!DH3:DI6,2,FALSE)+IF(AND(Calculator!B8=TRUE,Backdoors!BI36=TRUE),VLOOKUP(Calculator!E23,tbSkills!DH3:DJ6,3,FALSE),0),0)))/100)),(1-(0.25*((-Backdoors!AI12-IF(HY57&gt;=0.45,VLOOKUP(Calculator!E23,tbSkills!DH3:DI6,2,FALSE)+IF(AND(Calculator!B8=TRUE,Backdoors!BI36=TRUE),VLOOKUP(Calculator!E23,tbSkills!DH3:DJ6,3,FALSE),0),0))/100)))),1),"")</f>
        <v>1</v>
      </c>
      <c r="IB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Y57)*IA57)*(VLOOKUP(A57,tbMoveset!A2:C112,3,FALSE)/100)*IF(VLOOKUP(A57,tbMoveset!A2:B112,2,FALSE)="Projectile",Backdoors!N10,Backdoors!N9),0),"")</f>
        <v/>
      </c>
      <c r="IC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Y57&gt;=0.45,VLOOKUP(Calculator!E23,tbSkills!DH3:DI6,2,FALSE)+IF(AND(Calculator!B8=TRUE,Backdoors!BI36=TRUE),VLOOKUP(Calculator!E23,tbSkills!DH3:DJ6,3,FALSE),0),0))&gt;=100,100,(Backdoors!AI12+IF(HY57&gt;=0.45,VLOOKUP(Calculator!E23,tbSkills!DH3:DI6,2,FALSE)+IF(AND(Calculator!B8=TRUE,Backdoors!BI36=TRUE),VLOOKUP(Calculator!E23,tbSkills!DH3:DJ6,3,FALSE),0),0)))/100)),1))*IF(VLOOKUP(A57,tbMoveset!A2:K112,11,FALSE)=TRUE,Backdoors!AC5,1))*HZ57,0),"")</f>
        <v>0</v>
      </c>
      <c r="ID57" s="49">
        <f>VLOOKUP(A57,tbMoveset!A2:G112,7,FALSE)*IFERROR(IF(Backdoors!AI12&gt;=0,1+(IF(Calculator!E40&gt;0,VLOOKUP(Calculator!E40,tbSkills!AI3:AJ5,2,FALSE),Backdoors!AL4)*(IF((Backdoors!AI12+IF(HY57&gt;=0.45,VLOOKUP(Calculator!E23,tbSkills!DH3:DI6,2,FALSE)+IF(AND(Calculator!B8=TRUE,Backdoors!BI36=TRUE),VLOOKUP(Calculator!E23,tbSkills!DH3:DJ6,3,FALSE),0),0))&gt;=100,100,(Backdoors!AI12+IF(HY57&gt;=0.45,VLOOKUP(Calculator!E23,tbSkills!DH3:DI6,2,FALSE)+IF(AND(Calculator!B8=TRUE,Backdoors!BI36=TRUE),VLOOKUP(Calculator!E23,tbSkills!DH3:DJ6,3,FALSE),0),0)))/100)),1),1)</f>
        <v>0.5</v>
      </c>
      <c r="IE57" s="87">
        <f t="shared" si="26"/>
        <v>0</v>
      </c>
      <c r="IF57" s="86" t="str">
        <f>IFERROR(IF(VLOOKUP(A57,tbMoveset!A2:B112,2,FALSE)="Sever",Backdoors!AY37/100,IF(VLOOKUP(A57,tbMoveset!A2:B112,2,FALSE)="Blunt",Backdoors!AZ37/100,Backdoors!BA37/100)),"")</f>
        <v/>
      </c>
      <c r="IG57" s="49">
        <f>IFERROR(IF(VLOOKUP(tbMoveset!A57,tbMoveset!A2:H112,8,FALSE)="Other",IF(VLOOKUP(tbMoveset!A57,tbMoveset!A2:I112,9,FALSE)="Fire",Backdoors!BB37,IF(VLOOKUP(tbMoveset!A57,tbMoveset!A2:I112,9,FALSE)="Water",Backdoors!BC37,IF(VLOOKUP(tbMoveset!A57,tbMoveset!A2:I112,9,FALSE)="Thunder",Backdoors!BD37,IF(VLOOKUP(tbMoveset!A57,tbMoveset!A2:I112,9,FALSE)="Ice",Backdoors!BE37,IF(VLOOKUP(tbMoveset!A57,tbMoveset!A2:I112,9,FALSE)="Dragon",Backdoors!BF37,Backdoors!BG37)))))/100,Backdoors!BG37/100),"")</f>
        <v>0</v>
      </c>
      <c r="IH57" s="49">
        <f>IFERROR(IF(VLOOKUP(A57,tbMoveset!A2:J112,10,FALSE)=TRUE,IF((Backdoors!AI12+IF(IF57&gt;=0.45,VLOOKUP(Calculator!E23,tbSkills!DH3:DI6,2,FALSE)+IF(AND(Calculator!B8=TRUE,Backdoors!BI37=TRUE),VLOOKUP(Calculator!E23,tbSkills!DH3:DJ6,3,FALSE),0),0))&gt;=0,1+(Backdoors!AL2*(IF((Backdoors!AI12+IF(IF57&gt;=0.45,VLOOKUP(Calculator!E23,tbSkills!DH3:DI6,2,FALSE)+IF(AND(Calculator!B8=TRUE,Backdoors!BI37=TRUE),VLOOKUP(Calculator!E23,tbSkills!DH3:DJ6,3,FALSE),0),0))&gt;=100,100,(Backdoors!AI12+IF(IF57&gt;=0.45,VLOOKUP(Calculator!E23,tbSkills!DH3:DI6,2,FALSE)+IF(AND(Calculator!B8=TRUE,Backdoors!BI37=TRUE),VLOOKUP(Calculator!E23,tbSkills!DH3:DJ6,3,FALSE),0),0)))/100)),(1-(0.25*((-Backdoors!AI12-IF(IF57&gt;=0.45,VLOOKUP(Calculator!E23,tbSkills!DH3:DI6,2,FALSE)+IF(AND(Calculator!B8=TRUE,Backdoors!BI37=TRUE),VLOOKUP(Calculator!E23,tbSkills!DH3:DJ6,3,FALSE),0),0))/100)))),1),"")</f>
        <v>1</v>
      </c>
      <c r="II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F57)*IH57)*(VLOOKUP(A57,tbMoveset!A2:C112,3,FALSE)/100)*IF(VLOOKUP(A57,tbMoveset!A2:B112,2,FALSE)="Projectile",Backdoors!N10,Backdoors!N9),0),"")</f>
        <v/>
      </c>
      <c r="IJ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IF57&gt;=0.45,VLOOKUP(Calculator!E23,tbSkills!DH3:DI6,2,FALSE)+IF(AND(Calculator!B8=TRUE,Backdoors!BI37=TRUE),VLOOKUP(Calculator!E23,tbSkills!DH3:DJ6,3,FALSE),0),0))&gt;=100,100,(Backdoors!AI12+IF(IF57&gt;=0.45,VLOOKUP(Calculator!E23,tbSkills!DH3:DI6,2,FALSE)+IF(AND(Calculator!B8=TRUE,Backdoors!BI37=TRUE),VLOOKUP(Calculator!E23,tbSkills!DH3:DJ6,3,FALSE),0),0)))/100)),1))*IF(VLOOKUP(A57,tbMoveset!A2:K112,11,FALSE)=TRUE,Backdoors!AC5,1))*IG57,0),"")</f>
        <v>0</v>
      </c>
      <c r="IK57" s="49">
        <f>VLOOKUP(A57,tbMoveset!A2:G112,7,FALSE)*IFERROR(IF(Backdoors!AI12&gt;=0,1+(IF(Calculator!E40&gt;0,VLOOKUP(Calculator!E40,tbSkills!AI3:AJ5,2,FALSE),Backdoors!AL4)*(IF((Backdoors!AI12+IF(IF57&gt;=0.45,VLOOKUP(Calculator!E23,tbSkills!DH3:DI6,2,FALSE)+IF(AND(Calculator!B8=TRUE,Backdoors!BI37=TRUE),VLOOKUP(Calculator!E23,tbSkills!DH3:DJ6,3,FALSE),0),0))&gt;=100,100,(Backdoors!AI12+IF(IF57&gt;=0.45,VLOOKUP(Calculator!E23,tbSkills!DH3:DI6,2,FALSE)+IF(AND(Calculator!B8=TRUE,Backdoors!BI37=TRUE),VLOOKUP(Calculator!E23,tbSkills!DH3:DJ6,3,FALSE),0),0)))/100)),1),1)</f>
        <v>0.5</v>
      </c>
      <c r="IL57" s="87">
        <f t="shared" si="27"/>
        <v>0</v>
      </c>
      <c r="IM57" s="86" t="str">
        <f>IFERROR(IF(VLOOKUP(A57,tbMoveset!A2:B112,2,FALSE)="Sever",Backdoors!AY38/100,IF(VLOOKUP(A57,tbMoveset!A2:B112,2,FALSE)="Blunt",Backdoors!AZ38/100,Backdoors!BA38/100)),"")</f>
        <v/>
      </c>
      <c r="IN57" s="49">
        <f>IFERROR(IF(VLOOKUP(tbMoveset!A57,tbMoveset!A2:H112,8,FALSE)="Other",IF(VLOOKUP(tbMoveset!A57,tbMoveset!A2:I112,9,FALSE)="Fire",Backdoors!BB38,IF(VLOOKUP(tbMoveset!A57,tbMoveset!A2:I112,9,FALSE)="Water",Backdoors!BC38,IF(VLOOKUP(tbMoveset!A57,tbMoveset!A2:I112,9,FALSE)="Thunder",Backdoors!BD38,IF(VLOOKUP(tbMoveset!A57,tbMoveset!A2:I112,9,FALSE)="Ice",Backdoors!BE38,IF(VLOOKUP(tbMoveset!A57,tbMoveset!A2:I112,9,FALSE)="Dragon",Backdoors!BF38,Backdoors!BG38)))))/100,Backdoors!BG38/100),"")</f>
        <v>0</v>
      </c>
      <c r="IO57" s="49">
        <f>IFERROR(IF(VLOOKUP(A57,tbMoveset!A2:J112,10,FALSE)=TRUE,IF((Backdoors!AI12+IF(IM57&gt;=0.45,VLOOKUP(Calculator!E23,tbSkills!DH3:DI6,2,FALSE)+IF(AND(Calculator!B8=TRUE,Backdoors!BI38=TRUE),VLOOKUP(Calculator!E23,tbSkills!DH3:DJ6,3,FALSE),0),0))&gt;=0,1+(Backdoors!AL2*(IF((Backdoors!AI12+IF(IM57&gt;=0.45,VLOOKUP(Calculator!E23,tbSkills!DH3:DI6,2,FALSE)+IF(AND(Calculator!B8=TRUE,Backdoors!BI38=TRUE),VLOOKUP(Calculator!E23,tbSkills!DH3:DJ6,3,FALSE),0),0))&gt;=100,100,(Backdoors!AI12+IF(IM57&gt;=0.45,VLOOKUP(Calculator!E23,tbSkills!DH3:DI6,2,FALSE)+IF(AND(Calculator!B8=TRUE,Backdoors!BI38=TRUE),VLOOKUP(Calculator!E23,tbSkills!DH3:DJ6,3,FALSE),0),0)))/100)),(1-(0.25*((-Backdoors!AI12-IF(IM57&gt;=0.45,VLOOKUP(Calculator!E23,tbSkills!DH3:DI6,2,FALSE)+IF(AND(Calculator!B8=TRUE,Backdoors!BI38=TRUE),VLOOKUP(Calculator!E23,tbSkills!DH3:DJ6,3,FALSE),0),0))/100)))),1),"")</f>
        <v>1</v>
      </c>
      <c r="IP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M57)*IO57)*(VLOOKUP(A57,tbMoveset!A2:C112,3,FALSE)/100)*IF(VLOOKUP(A57,tbMoveset!A2:B112,2,FALSE)="Projectile",Backdoors!N10,Backdoors!N9),0),"")</f>
        <v/>
      </c>
      <c r="IQ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IM57&gt;=0.45,VLOOKUP(Calculator!E23,tbSkills!DH3:DI6,2,FALSE)+IF(AND(Calculator!B8=TRUE,Backdoors!BI38=TRUE),VLOOKUP(Calculator!E23,tbSkills!DH3:DJ6,3,FALSE),0),0))&gt;=100,100,(Backdoors!AI12+IF(IM57&gt;=0.45,VLOOKUP(Calculator!E23,tbSkills!DH3:DI6,2,FALSE)+IF(AND(Calculator!B8=TRUE,Backdoors!BI38=TRUE),VLOOKUP(Calculator!E23,tbSkills!DH3:DJ6,3,FALSE),0),0)))/100)),1))*IF(VLOOKUP(A57,tbMoveset!A2:K112,11,FALSE)=TRUE,Backdoors!AC5,1))*IN57,0),"")</f>
        <v>0</v>
      </c>
      <c r="IR57" s="49">
        <f>VLOOKUP(A57,tbMoveset!A2:G112,7,FALSE)*IFERROR(IF(Backdoors!AI12&gt;=0,1+(IF(Calculator!E40&gt;0,VLOOKUP(Calculator!E40,tbSkills!AI3:AJ5,2,FALSE),Backdoors!AL4)*(IF((Backdoors!AI12+IF(IM57&gt;=0.45,VLOOKUP(Calculator!E23,tbSkills!DH3:DI6,2,FALSE)+IF(AND(Calculator!B8=TRUE,Backdoors!BI38=TRUE),VLOOKUP(Calculator!E23,tbSkills!DH3:DJ6,3,FALSE),0),0))&gt;=100,100,(Backdoors!AI12+IF(IM57&gt;=0.45,VLOOKUP(Calculator!E23,tbSkills!DH3:DI6,2,FALSE)+IF(AND(Calculator!B8=TRUE,Backdoors!BI38=TRUE),VLOOKUP(Calculator!E23,tbSkills!DH3:DJ6,3,FALSE),0),0)))/100)),1),1)</f>
        <v>0.5</v>
      </c>
      <c r="IS57" s="87">
        <f t="shared" si="42"/>
        <v>0</v>
      </c>
      <c r="IT57" s="86" t="str">
        <f>IFERROR(IF(VLOOKUP(A57,tbMoveset!A2:B112,2,FALSE)="Sever",Backdoors!AY39/100,IF(VLOOKUP(A57,tbMoveset!A2:B112,2,FALSE)="Blunt",Backdoors!AZ39/100,Backdoors!BA39/100)),"")</f>
        <v/>
      </c>
      <c r="IU57" s="49">
        <f>IFERROR(IF(VLOOKUP(tbMoveset!A57,tbMoveset!A2:H112,8,FALSE)="Other",IF(VLOOKUP(tbMoveset!A57,tbMoveset!A2:I112,9,FALSE)="Fire",Backdoors!BB39,IF(VLOOKUP(tbMoveset!A57,tbMoveset!A2:I112,9,FALSE)="Water",Backdoors!BC39,IF(VLOOKUP(tbMoveset!A57,tbMoveset!A2:I112,9,FALSE)="Thunder",Backdoors!BD39,IF(VLOOKUP(tbMoveset!A57,tbMoveset!A2:I112,9,FALSE)="Ice",Backdoors!BE39,IF(VLOOKUP(tbMoveset!A57,tbMoveset!A2:I112,9,FALSE)="Dragon",Backdoors!BF39,Backdoors!BG39)))))/100,Backdoors!BG39/100),"")</f>
        <v>0</v>
      </c>
      <c r="IV57" s="49">
        <f>IFERROR(IF(VLOOKUP(A57,tbMoveset!A2:J112,10,FALSE)=TRUE,IF((Backdoors!AI12+IF(IT57&gt;=0.45,VLOOKUP(Calculator!E23,tbSkills!DH3:DI6,2,FALSE)+IF(AND(Calculator!B8=TRUE,Backdoors!BI39=TRUE),VLOOKUP(Calculator!E23,tbSkills!DH3:DJ6,3,FALSE),0),0))&gt;=0,1+(Backdoors!AL2*(IF((Backdoors!AI12+IF(IT57&gt;=0.45,VLOOKUP(Calculator!E23,tbSkills!DH3:DI6,2,FALSE)+IF(AND(Calculator!B8=TRUE,Backdoors!BI39=TRUE),VLOOKUP(Calculator!E23,tbSkills!DH3:DJ6,3,FALSE),0),0))&gt;=100,100,(Backdoors!AI12+IF(IT57&gt;=0.45,VLOOKUP(Calculator!E23,tbSkills!DH3:DI6,2,FALSE)+IF(AND(Calculator!B8=TRUE,Backdoors!BI39=TRUE),VLOOKUP(Calculator!E23,tbSkills!DH3:DJ6,3,FALSE),0),0)))/100)),(1-(0.25*((-Backdoors!AI12-IF(IT57&gt;=0.45,VLOOKUP(Calculator!E23,tbSkills!DH3:DI6,2,FALSE)+IF(AND(Calculator!B8=TRUE,Backdoors!BI39=TRUE),VLOOKUP(Calculator!E23,tbSkills!DH3:DJ6,3,FALSE),0),0))/100)))),1),"")</f>
        <v>1</v>
      </c>
      <c r="IW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T57)*IV57)*(VLOOKUP(A57,tbMoveset!A2:C112,3,FALSE)/100)*IF(VLOOKUP(A57,tbMoveset!A2:B112,2,FALSE)="Projectile",Backdoors!N10,Backdoors!N9),0),"")</f>
        <v/>
      </c>
      <c r="IX57" s="49">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40&gt;0,VLOOKUP(Calculator!E40,tbSkills!AC3:AD5,2,FALSE),Backdoors!AL3)*(IF((Backdoors!AI12+IF(IT57&gt;=0.45,VLOOKUP(Calculator!E23,tbSkills!DH3:DI6,2,FALSE)+IF(AND(Calculator!B8=TRUE,Backdoors!BI39=TRUE),VLOOKUP(Calculator!E23,tbSkills!DH3:DJ6,3,FALSE),0),0))&gt;=100,100,(Backdoors!AI12+IF(IT57&gt;=0.45,VLOOKUP(Calculator!E23,tbSkills!DH3:DI6,2,FALSE)+IF(AND(Calculator!B8=TRUE,Backdoors!BI39=TRUE),VLOOKUP(Calculator!E23,tbSkills!DH3:DJ6,3,FALSE),0),0)))/100)),1))*IF(VLOOKUP(A57,tbMoveset!A2:K112,11,FALSE)=TRUE,Backdoors!AC5,1))*IU57,0),"")</f>
        <v>0</v>
      </c>
      <c r="IY57" s="49">
        <f>VLOOKUP(A57,tbMoveset!A2:G112,7,FALSE)*IFERROR(IF(Backdoors!AI12&gt;=0,1+(IF(Calculator!E40&gt;0,VLOOKUP(Calculator!E40,tbSkills!AI3:AJ5,2,FALSE),Backdoors!AL4)*(IF((Backdoors!AI12+IF(IT57&gt;=0.45,VLOOKUP(Calculator!E23,tbSkills!DH3:DI6,2,FALSE)+IF(AND(Calculator!B8=TRUE,Backdoors!BI39=TRUE),VLOOKUP(Calculator!E23,tbSkills!DH3:DJ6,3,FALSE),0),0))&gt;=100,100,(Backdoors!AI12+IF(IT57&gt;=0.45,VLOOKUP(Calculator!E23,tbSkills!DH3:DI6,2,FALSE)+IF(AND(Calculator!B8=TRUE,Backdoors!BI39=TRUE),VLOOKUP(Calculator!E23,tbSkills!DH3:DJ6,3,FALSE),0),0)))/100)),1),1)</f>
        <v>0.5</v>
      </c>
      <c r="IZ57" s="87">
        <f t="shared" si="28"/>
        <v>0</v>
      </c>
      <c r="JA57" s="86" t="str">
        <f>IFERROR(IF(VLOOKUP(A57,tbMoveset!A2:B112,2,FALSE)="Sever",Backdoors!AY40/100,IF(VLOOKUP(A57,tbMoveset!A2:B112,2,FALSE)="Blunt",Backdoors!AZ40/100,Backdoors!BA40/100)),"")</f>
        <v/>
      </c>
      <c r="JB57" s="49">
        <f>IFERROR(IF(VLOOKUP(tbMoveset!A57,tbMoveset!A2:H112,8,FALSE)="Other",IF(VLOOKUP(tbMoveset!A57,tbMoveset!A2:I112,9,FALSE)="Fire",Backdoors!BB40,IF(VLOOKUP(tbMoveset!A57,tbMoveset!A2:I112,9,FALSE)="Water",Backdoors!BC40,IF(VLOOKUP(tbMoveset!A57,tbMoveset!A2:I112,9,FALSE)="Thunder",Backdoors!BD40,IF(VLOOKUP(tbMoveset!A57,tbMoveset!A2:I112,9,FALSE)="Ice",Backdoors!BE40,IF(VLOOKUP(tbMoveset!A57,tbMoveset!A2:I112,9,FALSE)="Dragon",Backdoors!BF40,Backdoors!BG40)))))/100,Backdoors!BG40/100),"")</f>
        <v>0</v>
      </c>
      <c r="JC57" s="49">
        <f>IFERROR(IF(VLOOKUP(A57,tbMoveset!A2:J112,10,FALSE)=TRUE,IF((Backdoors!AI12+IF(JA57&gt;=0.45,VLOOKUP(Calculator!E23,tbSkills!DH3:DI6,2,FALSE)+IF(AND(Calculator!B8=TRUE,Backdoors!BI40=TRUE),VLOOKUP(Calculator!E23,tbSkills!DH3:DJ6,3,FALSE),0),0))&gt;=0,1+(Backdoors!AL2*(IF((Backdoors!AI12+IF(JA57&gt;=0.45,VLOOKUP(Calculator!E23,tbSkills!DH3:DI6,2,FALSE)+IF(AND(Calculator!B8=TRUE,Backdoors!BI40=TRUE),VLOOKUP(Calculator!E23,tbSkills!DH3:DJ6,3,FALSE),0),0))&gt;=100,100,(Backdoors!AI12+IF(JA57&gt;=0.45,VLOOKUP(Calculator!E23,tbSkills!DH3:DI6,2,FALSE)+IF(AND(Calculator!B8=TRUE,Backdoors!BI40=TRUE),VLOOKUP(Calculator!E23,tbSkills!DH3:DJ6,3,FALSE),0),0)))/100)),(1-(0.25*((-Backdoors!AI12-IF(JA57&gt;=0.45,VLOOKUP(Calculator!E23,tbSkills!DH3:DI6,2,FALSE)+IF(AND(Calculator!B8=TRUE,Backdoors!BI40=TRUE),VLOOKUP(Calculator!E23,tbSkills!DH3:DJ6,3,FALSE),0),0))/100)))),1),"")</f>
        <v>1</v>
      </c>
      <c r="JD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A57)*JC57)*(VLOOKUP(A57,tbMoveset!A2:C112,3,FALSE)/100)*IF(VLOOKUP(A57,tbMoveset!A2:B112,2,FALSE)="Projectile",Backdoors!N10,Backdoors!N9),0),"")</f>
        <v/>
      </c>
      <c r="JE57" s="49">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42&gt;0,VLOOKUP(Calculator!E42,tbSkills!AC3:AD5,2,FALSE),Backdoors!AL3)*(IF((Backdoors!AI12+IF(JA57&gt;=0.45,VLOOKUP(Calculator!E23,tbSkills!DH3:DI6,2,FALSE)+IF(AND(Calculator!B8=TRUE,Backdoors!BI40=TRUE),VLOOKUP(Calculator!E23,tbSkills!DH3:DJ6,3,FALSE),0),0))&gt;=100,100,(Backdoors!AI12+IF(JA57&gt;=0.45,VLOOKUP(Calculator!E23,tbSkills!DH3:DI6,2,FALSE)+IF(AND(Calculator!B8=TRUE,Backdoors!BI40=TRUE),VLOOKUP(Calculator!E23,tbSkills!DH3:DJ6,3,FALSE),0),0)))/100)),1))*IF(VLOOKUP(A57,tbMoveset!A2:K112,11,FALSE)=TRUE,Backdoors!AC5,1))*JB57,0),"")</f>
        <v>0</v>
      </c>
      <c r="JF57" s="49">
        <f>VLOOKUP(A57,tbMoveset!A2:G112,7,FALSE)*IFERROR(IF(Backdoors!AI12&gt;=0,1+(IF(Calculator!E40&gt;0,VLOOKUP(Calculator!E40,tbSkills!AI3:AJ5,2,FALSE),Backdoors!AL4)*(IF((Backdoors!AI12+IF(JA57&gt;=0.45,VLOOKUP(Calculator!E23,tbSkills!DH3:DI6,2,FALSE)+IF(AND(Calculator!B8=TRUE,Backdoors!BI40=TRUE),VLOOKUP(Calculator!E23,tbSkills!DH3:DJ6,3,FALSE),0),0))&gt;=100,100,(Backdoors!AI12+IF(JA57&gt;=0.45,VLOOKUP(Calculator!E23,tbSkills!DH3:DI6,2,FALSE)+IF(AND(Calculator!B8=TRUE,Backdoors!BI40=TRUE),VLOOKUP(Calculator!E23,tbSkills!DH3:DJ6,3,FALSE),0),0)))/100)),1),1)</f>
        <v>0.5</v>
      </c>
      <c r="JG57" s="87">
        <f t="shared" si="29"/>
        <v>0</v>
      </c>
      <c r="JH57" s="86" t="str">
        <f>IFERROR(IF(VLOOKUP(A57,tbMoveset!A2:B112,2,FALSE)="Sever",Backdoors!AY41/100,IF(VLOOKUP(A57,tbMoveset!A2:B112,2,FALSE)="Blunt",Backdoors!AZ41/100,Backdoors!BA41/100)),"")</f>
        <v/>
      </c>
      <c r="JI57" s="49">
        <f>IFERROR(IF(VLOOKUP(tbMoveset!A57,tbMoveset!A2:H112,8,FALSE)="Other",IF(VLOOKUP(tbMoveset!A57,tbMoveset!A2:I112,9,FALSE)="Fire",Backdoors!BB41,IF(VLOOKUP(tbMoveset!A57,tbMoveset!A2:I112,9,FALSE)="Water",Backdoors!BC41,IF(VLOOKUP(tbMoveset!A57,tbMoveset!A2:I112,9,FALSE)="Thunder",Backdoors!BD41,IF(VLOOKUP(tbMoveset!A57,tbMoveset!A2:I112,9,FALSE)="Ice",Backdoors!BE41,IF(VLOOKUP(tbMoveset!A57,tbMoveset!A2:I112,9,FALSE)="Dragon",Backdoors!BF41,Backdoors!BG41)))))/100,Backdoors!BG41/100),"")</f>
        <v>0</v>
      </c>
      <c r="JJ57" s="49">
        <f>IFERROR(IF(VLOOKUP(A57,tbMoveset!A2:J112,10,FALSE)=TRUE,IF((Backdoors!AI12+IF(JH57&gt;=0.45,VLOOKUP(Calculator!E23,tbSkills!DH3:DI6,2,FALSE)+IF(AND(Calculator!B8=TRUE,Backdoors!BI41=TRUE),VLOOKUP(Calculator!E23,tbSkills!DH3:DJ6,3,FALSE),0),0))&gt;=0,1+(Backdoors!AL2*(IF((Backdoors!AI12+IF(JH57&gt;=0.45,VLOOKUP(Calculator!E23,tbSkills!DH3:DI6,2,FALSE)+IF(AND(Calculator!B8=TRUE,Backdoors!BI41=TRUE),VLOOKUP(Calculator!E23,tbSkills!DH3:DJ6,3,FALSE),0),0))&gt;=100,100,(Backdoors!AI12+IF(JH57&gt;=0.45,VLOOKUP(Calculator!E23,tbSkills!DH3:DI6,2,FALSE)+IF(AND(Calculator!B8=TRUE,Backdoors!BI41=TRUE),VLOOKUP(Calculator!E23,tbSkills!DH3:DJ6,3,FALSE),0),0)))/100)),(1-(0.25*((-Backdoors!AI12-IF(JH57&gt;=0.45,VLOOKUP(Calculator!E23,tbSkills!DH3:DI6,2,FALSE)+IF(AND(Calculator!B8=TRUE,Backdoors!BI41=TRUE),VLOOKUP(Calculator!E23,tbSkills!DH3:DJ6,3,FALSE),0),0))/100)))),1),"")</f>
        <v>1</v>
      </c>
      <c r="JK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H57)*JJ57)*(VLOOKUP(A57,tbMoveset!A2:C112,3,FALSE)/100)*IF(VLOOKUP(A57,tbMoveset!A2:B112,2,FALSE)="Projectile",Backdoors!N10,Backdoors!N9),0),"")</f>
        <v/>
      </c>
      <c r="JL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43&gt;0,VLOOKUP(Calculator!E43,tbSkills!AC3:AD5,2,FALSE),Backdoors!AL3)*(IF((Backdoors!AI12+IF(JH57&gt;=0.45,VLOOKUP(Calculator!E23,tbSkills!DH3:DI6,2,FALSE)+IF(AND(Calculator!B8=TRUE,Backdoors!BI41=TRUE),VLOOKUP(Calculator!E23,tbSkills!DH3:DJ6,3,FALSE),0),0))&gt;=100,100,(Backdoors!AI12+IF(JH57&gt;=0.45,VLOOKUP(Calculator!E23,tbSkills!DH3:DI6,2,FALSE)+IF(AND(Calculator!B8=TRUE,Backdoors!BI41=TRUE),VLOOKUP(Calculator!E23,tbSkills!DH3:DJ6,3,FALSE),0),0)))/100)),1))*IF(VLOOKUP(A57,tbMoveset!A2:K112,11,FALSE)=TRUE,Backdoors!AC5,1))*JI57,0),"")</f>
        <v/>
      </c>
      <c r="JM57" s="49">
        <f>VLOOKUP(A57,tbMoveset!A2:G112,7,FALSE)*IFERROR(IF(Backdoors!AI12&gt;=0,1+(IF(Calculator!E40&gt;0,VLOOKUP(Calculator!E40,tbSkills!AI3:AJ5,2,FALSE),Backdoors!AL4)*(IF((Backdoors!AI12+IF(JH57&gt;=0.45,VLOOKUP(Calculator!E23,tbSkills!DH3:DI6,2,FALSE)+IF(AND(Calculator!B8=TRUE,Backdoors!BI41=TRUE),VLOOKUP(Calculator!E23,tbSkills!DH3:DJ6,3,FALSE),0),0))&gt;=100,100,(Backdoors!AI12+IF(JH57&gt;=0.45,VLOOKUP(Calculator!E23,tbSkills!DH3:DI6,2,FALSE)+IF(AND(Calculator!B8=TRUE,Backdoors!BI41=TRUE),VLOOKUP(Calculator!E23,tbSkills!DH3:DJ6,3,FALSE),0),0)))/100)),1),1)</f>
        <v>0.5</v>
      </c>
      <c r="JN57" s="87">
        <f t="shared" si="30"/>
        <v>0</v>
      </c>
      <c r="JO57" s="86" t="str">
        <f>IFERROR(IF(VLOOKUP(A57,tbMoveset!A2:B112,2,FALSE)="Sever",Backdoors!AY42/100,IF(VLOOKUP(A57,tbMoveset!A2:B112,2,FALSE)="Blunt",Backdoors!AZ42/100,Backdoors!BA42/100)),"")</f>
        <v/>
      </c>
      <c r="JP57" s="49">
        <f>IFERROR(IF(VLOOKUP(tbMoveset!A57,tbMoveset!A2:H112,8,FALSE)="Other",IF(VLOOKUP(tbMoveset!A57,tbMoveset!A2:I112,9,FALSE)="Fire",Backdoors!BB42,IF(VLOOKUP(tbMoveset!A57,tbMoveset!A2:I112,9,FALSE)="Water",Backdoors!BC42,IF(VLOOKUP(tbMoveset!A57,tbMoveset!A2:I112,9,FALSE)="Thunder",Backdoors!BD42,IF(VLOOKUP(tbMoveset!A57,tbMoveset!A2:I112,9,FALSE)="Ice",Backdoors!BE42,IF(VLOOKUP(tbMoveset!A57,tbMoveset!A2:I112,9,FALSE)="Dragon",Backdoors!BF42,Backdoors!BG42)))))/100,Backdoors!BG42/100),"")</f>
        <v>0</v>
      </c>
      <c r="JQ57" s="49">
        <f>IFERROR(IF(VLOOKUP(A57,tbMoveset!A2:J112,10,FALSE)=TRUE,IF((Backdoors!AI12+IF(JO57&gt;=0.45,VLOOKUP(Calculator!E23,tbSkills!DH3:DI6,2,FALSE)+IF(AND(Calculator!B8=TRUE,Backdoors!BI42=TRUE),VLOOKUP(Calculator!E23,tbSkills!DH3:DJ6,3,FALSE),0),0))&gt;=0,1+(Backdoors!AL2*(IF((Backdoors!AI12+IF(JO57&gt;=0.45,VLOOKUP(Calculator!E23,tbSkills!DH3:DI6,2,FALSE)+IF(AND(Calculator!B8=TRUE,Backdoors!BI42=TRUE),VLOOKUP(Calculator!E23,tbSkills!DH3:DJ6,3,FALSE),0),0))&gt;=100,100,(Backdoors!AI12+IF(JO57&gt;=0.45,VLOOKUP(Calculator!E23,tbSkills!DH3:DI6,2,FALSE)+IF(AND(Calculator!B8=TRUE,Backdoors!BI42=TRUE),VLOOKUP(Calculator!E23,tbSkills!DH3:DJ6,3,FALSE),0),0)))/100)),(1-(0.25*((-Backdoors!AI12-IF(JO57&gt;=0.45,VLOOKUP(Calculator!E23,tbSkills!DH3:DI6,2,FALSE)+IF(AND(Calculator!B8=TRUE,Backdoors!BI42=TRUE),VLOOKUP(Calculator!E23,tbSkills!DH3:DJ6,3,FALSE),0),0))/100)))),1),"")</f>
        <v>1</v>
      </c>
      <c r="JR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O57)*JQ57)*(VLOOKUP(A57,tbMoveset!A2:C112,3,FALSE)/100)*IF(VLOOKUP(A57,tbMoveset!A2:B112,2,FALSE)="Projectile",Backdoors!N10,Backdoors!N9),0),"")</f>
        <v/>
      </c>
      <c r="JS57" s="49">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45&gt;0,VLOOKUP(Calculator!E45,tbSkills!AC3:AD5,2,FALSE),Backdoors!AL3)*(IF((Backdoors!AI12+IF(JO57&gt;=0.45,VLOOKUP(Calculator!E23,tbSkills!DH3:DI6,2,FALSE)+IF(AND(Calculator!B8=TRUE,Backdoors!BI42=TRUE),VLOOKUP(Calculator!E23,tbSkills!DH3:DJ6,3,FALSE),0),0))&gt;=100,100,(Backdoors!AI12+IF(JO57&gt;=0.45,VLOOKUP(Calculator!E23,tbSkills!DH3:DI6,2,FALSE)+IF(AND(Calculator!B8=TRUE,Backdoors!BI42=TRUE),VLOOKUP(Calculator!E23,tbSkills!DH3:DJ6,3,FALSE),0),0)))/100)),1))*IF(VLOOKUP(A57,tbMoveset!A2:K112,11,FALSE)=TRUE,Backdoors!AC5,1))*JP57,0),"")</f>
        <v>0</v>
      </c>
      <c r="JT57" s="49">
        <f>VLOOKUP(A57,tbMoveset!A2:G112,7,FALSE)*IFERROR(IF(Backdoors!AI12&gt;=0,1+(IF(Calculator!E40&gt;0,VLOOKUP(Calculator!E40,tbSkills!AI3:AJ5,2,FALSE),Backdoors!AL4)*(IF((Backdoors!AI12+IF(JO57&gt;=0.45,VLOOKUP(Calculator!E23,tbSkills!DH3:DI6,2,FALSE)+IF(AND(Calculator!B8=TRUE,Backdoors!BI42=TRUE),VLOOKUP(Calculator!E23,tbSkills!DH3:DJ6,3,FALSE),0),0))&gt;=100,100,(Backdoors!AI12+IF(JO57&gt;=0.45,VLOOKUP(Calculator!E23,tbSkills!DH3:DI6,2,FALSE)+IF(AND(Calculator!B8=TRUE,Backdoors!BI42=TRUE),VLOOKUP(Calculator!E23,tbSkills!DH3:DJ6,3,FALSE),0),0)))/100)),1),1)</f>
        <v>0.5</v>
      </c>
      <c r="JU57" s="87">
        <f t="shared" si="31"/>
        <v>0</v>
      </c>
      <c r="JV57" s="86" t="str">
        <f>IFERROR(IF(VLOOKUP(A57,tbMoveset!A2:B112,2,FALSE)="Sever",Backdoors!AY43/100,IF(VLOOKUP(A57,tbMoveset!A2:B112,2,FALSE)="Blunt",Backdoors!AZ43/100,Backdoors!BA43/100)),"")</f>
        <v/>
      </c>
      <c r="JW57" s="49">
        <f>IFERROR(IF(VLOOKUP(tbMoveset!A57,tbMoveset!A2:H112,8,FALSE)="Other",IF(VLOOKUP(tbMoveset!A57,tbMoveset!A2:I112,9,FALSE)="Fire",Backdoors!BB43,IF(VLOOKUP(tbMoveset!A57,tbMoveset!A2:I112,9,FALSE)="Water",Backdoors!BC43,IF(VLOOKUP(tbMoveset!A57,tbMoveset!A2:I112,9,FALSE)="Thunder",Backdoors!BD43,IF(VLOOKUP(tbMoveset!A57,tbMoveset!A2:I112,9,FALSE)="Ice",Backdoors!BE43,IF(VLOOKUP(tbMoveset!A57,tbMoveset!A2:I112,9,FALSE)="Dragon",Backdoors!BF43,Backdoors!BG43)))))/100,Backdoors!BG43/100),"")</f>
        <v>0</v>
      </c>
      <c r="JX57" s="49">
        <f>IFERROR(IF(VLOOKUP(A57,tbMoveset!A2:J112,10,FALSE)=TRUE,IF((Backdoors!AI12+IF(JV57&gt;=0.45,VLOOKUP(Calculator!E23,tbSkills!DH3:DI6,2,FALSE)+IF(AND(Calculator!B8=TRUE,Backdoors!BI43=TRUE),VLOOKUP(Calculator!E23,tbSkills!DH3:DJ6,3,FALSE),0),0))&gt;=0,1+(Backdoors!AL2*(IF((Backdoors!AI12+IF(JV57&gt;=0.45,VLOOKUP(Calculator!E23,tbSkills!DH3:DI6,2,FALSE)+IF(AND(Calculator!B8=TRUE,Backdoors!BI43=TRUE),VLOOKUP(Calculator!E23,tbSkills!DH3:DJ6,3,FALSE),0),0))&gt;=100,100,(Backdoors!AI12+IF(JV57&gt;=0.45,VLOOKUP(Calculator!E23,tbSkills!DH3:DI6,2,FALSE)+IF(AND(Calculator!B8=TRUE,Backdoors!BI43=TRUE),VLOOKUP(Calculator!E23,tbSkills!DH3:DJ6,3,FALSE),0),0)))/100)),(1-(0.25*((-Backdoors!AI12-IF(JV57&gt;=0.45,VLOOKUP(Calculator!E23,tbSkills!DH3:DI6,2,FALSE)+IF(AND(Calculator!B8=TRUE,Backdoors!BI43=TRUE),VLOOKUP(Calculator!E23,tbSkills!DH3:DJ6,3,FALSE),0),0))/100)))),1),"")</f>
        <v>1</v>
      </c>
      <c r="JY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V57)*JX57)*(VLOOKUP(A57,tbMoveset!A2:C112,3,FALSE)/100)*IF(VLOOKUP(A57,tbMoveset!A2:B112,2,FALSE)="Projectile",Backdoors!N10,Backdoors!N9),0),"")</f>
        <v/>
      </c>
      <c r="JZ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46&gt;0,VLOOKUP(Calculator!E46,tbSkills!AC3:AD5,2,FALSE),Backdoors!AL3)*(IF((Backdoors!AI12+IF(JV57&gt;=0.45,VLOOKUP(Calculator!E23,tbSkills!DH3:DI6,2,FALSE)+IF(AND(Calculator!B8=TRUE,Backdoors!BI43=TRUE),VLOOKUP(Calculator!E23,tbSkills!DH3:DJ6,3,FALSE),0),0))&gt;=100,100,(Backdoors!AI12+IF(JV57&gt;=0.45,VLOOKUP(Calculator!E23,tbSkills!DH3:DI6,2,FALSE)+IF(AND(Calculator!B8=TRUE,Backdoors!BI43=TRUE),VLOOKUP(Calculator!E23,tbSkills!DH3:DJ6,3,FALSE),0),0)))/100)),1))*IF(VLOOKUP(A57,tbMoveset!A2:K112,11,FALSE)=TRUE,Backdoors!AC5,1))*JW57,0),"")</f>
        <v/>
      </c>
      <c r="KA57" s="49">
        <f>VLOOKUP(A57,tbMoveset!A2:G112,7,FALSE)*IFERROR(IF(Backdoors!AI12&gt;=0,1+(IF(Calculator!E40&gt;0,VLOOKUP(Calculator!E40,tbSkills!AI3:AJ5,2,FALSE),Backdoors!AL4)*(IF((Backdoors!AI12+IF(JV57&gt;=0.45,VLOOKUP(Calculator!E23,tbSkills!DH3:DI6,2,FALSE)+IF(AND(Calculator!B8=TRUE,Backdoors!BI43=TRUE),VLOOKUP(Calculator!E23,tbSkills!DH3:DJ6,3,FALSE),0),0))&gt;=100,100,(Backdoors!AI12+IF(JV57&gt;=0.45,VLOOKUP(Calculator!E23,tbSkills!DH3:DI6,2,FALSE)+IF(AND(Calculator!B8=TRUE,Backdoors!BI43=TRUE),VLOOKUP(Calculator!E23,tbSkills!DH3:DJ6,3,FALSE),0),0)))/100)),1),1)</f>
        <v>0.5</v>
      </c>
      <c r="KB57" s="87">
        <f t="shared" si="32"/>
        <v>0</v>
      </c>
      <c r="KC57" s="86" t="str">
        <f>IFERROR(IF(VLOOKUP(A57,tbMoveset!A2:B112,2,FALSE)="Sever",Backdoors!AY44/100,IF(VLOOKUP(A57,tbMoveset!A2:B112,2,FALSE)="Blunt",Backdoors!AZ44/100,Backdoors!BA44/100)),"")</f>
        <v/>
      </c>
      <c r="KD57" s="49">
        <f>IFERROR(IF(VLOOKUP(tbMoveset!A57,tbMoveset!A2:H112,8,FALSE)="Other",IF(VLOOKUP(tbMoveset!A57,tbMoveset!A2:I112,9,FALSE)="Fire",Backdoors!BB44,IF(VLOOKUP(tbMoveset!A57,tbMoveset!A2:I112,9,FALSE)="Water",Backdoors!BC44,IF(VLOOKUP(tbMoveset!A57,tbMoveset!A2:I112,9,FALSE)="Thunder",Backdoors!BD44,IF(VLOOKUP(tbMoveset!A57,tbMoveset!A2:I112,9,FALSE)="Ice",Backdoors!BE44,IF(VLOOKUP(tbMoveset!A57,tbMoveset!A2:I112,9,FALSE)="Dragon",Backdoors!BF44,Backdoors!BG44)))))/100,Backdoors!BG44/100),"")</f>
        <v>0</v>
      </c>
      <c r="KE57" s="49">
        <f>IFERROR(IF(VLOOKUP(A57,tbMoveset!A2:J112,10,FALSE)=TRUE,IF((Backdoors!AI12+IF(KC57&gt;=0.45,VLOOKUP(Calculator!E23,tbSkills!DH3:DI6,2,FALSE)+IF(AND(Calculator!B8=TRUE,Backdoors!BI44=TRUE),VLOOKUP(Calculator!E23,tbSkills!DH3:DJ6,3,FALSE),0),0))&gt;=0,1+(Backdoors!AL2*(IF((Backdoors!AI12+IF(KC57&gt;=0.45,VLOOKUP(Calculator!E23,tbSkills!DH3:DI6,2,FALSE)+IF(AND(Calculator!B8=TRUE,Backdoors!BI44=TRUE),VLOOKUP(Calculator!E23,tbSkills!DH3:DJ6,3,FALSE),0),0))&gt;=100,100,(Backdoors!AI12+IF(KC57&gt;=0.45,VLOOKUP(Calculator!E23,tbSkills!DH3:DI6,2,FALSE)+IF(AND(Calculator!B8=TRUE,Backdoors!BI44=TRUE),VLOOKUP(Calculator!E23,tbSkills!DH3:DJ6,3,FALSE),0),0)))/100)),(1-(0.25*((-Backdoors!AI12-IF(KC57&gt;=0.45,VLOOKUP(Calculator!E23,tbSkills!DH3:DI6,2,FALSE)+IF(AND(Calculator!B8=TRUE,Backdoors!BI44=TRUE),VLOOKUP(Calculator!E23,tbSkills!DH3:DJ6,3,FALSE),0),0))/100)))),1),"")</f>
        <v>1</v>
      </c>
      <c r="KF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KC57)*KE57)*(VLOOKUP(A57,tbMoveset!A2:C112,3,FALSE)/100)*IF(VLOOKUP(A57,tbMoveset!A2:B112,2,FALSE)="Projectile",Backdoors!N10,Backdoors!N9),0),"")</f>
        <v/>
      </c>
      <c r="KG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REF!&gt;0,VLOOKUP(Calculator!#REF!,tbSkills!AC3:AD5,2,FALSE),Backdoors!AL3)*(IF((Backdoors!AI12+IF(KC57&gt;=0.45,VLOOKUP(Calculator!E23,tbSkills!DH3:DI6,2,FALSE)+IF(AND(Calculator!B8=TRUE,Backdoors!BI44=TRUE),VLOOKUP(Calculator!E23,tbSkills!DH3:DJ6,3,FALSE),0),0))&gt;=100,100,(Backdoors!AI12+IF(KC57&gt;=0.45,VLOOKUP(Calculator!E23,tbSkills!DH3:DI6,2,FALSE)+IF(AND(Calculator!B8=TRUE,Backdoors!BI44=TRUE),VLOOKUP(Calculator!E23,tbSkills!DH3:DJ6,3,FALSE),0),0)))/100)),1))*IF(VLOOKUP(A57,tbMoveset!A2:K112,11,FALSE)=TRUE,Backdoors!AC5,1))*KD57,0),"")</f>
        <v/>
      </c>
      <c r="KH57" s="49">
        <f>VLOOKUP(A57,tbMoveset!A2:G112,7,FALSE)*IFERROR(IF(Backdoors!AI12&gt;=0,1+(IF(Calculator!E40&gt;0,VLOOKUP(Calculator!E40,tbSkills!AI3:AJ5,2,FALSE),Backdoors!AL4)*(IF((Backdoors!AI12+IF(KC57&gt;=0.45,VLOOKUP(Calculator!E23,tbSkills!DH3:DI6,2,FALSE)+IF(AND(Calculator!B8=TRUE,Backdoors!BI44=TRUE),VLOOKUP(Calculator!E23,tbSkills!DH3:DJ6,3,FALSE),0),0))&gt;=100,100,(Backdoors!AI12+IF(KC57&gt;=0.45,VLOOKUP(Calculator!E23,tbSkills!DH3:DI6,2,FALSE)+IF(AND(Calculator!B8=TRUE,Backdoors!BI44=TRUE),VLOOKUP(Calculator!E23,tbSkills!DH3:DJ6,3,FALSE),0),0)))/100)),1),1)</f>
        <v>0.5</v>
      </c>
      <c r="KI57" s="87">
        <f t="shared" si="33"/>
        <v>0</v>
      </c>
      <c r="KJ57" s="86" t="str">
        <f>IFERROR(IF(VLOOKUP(A57,tbMoveset!A2:B112,2,FALSE)="Sever",Backdoors!AY45/100,IF(VLOOKUP(A57,tbMoveset!A2:B112,2,FALSE)="Blunt",Backdoors!AZ45/100,Backdoors!BA45/100)),"")</f>
        <v/>
      </c>
      <c r="KK57" s="49">
        <f>IFERROR(IF(VLOOKUP(tbMoveset!A57,tbMoveset!A2:H112,8,FALSE)="Other",IF(VLOOKUP(tbMoveset!A57,tbMoveset!A2:I112,9,FALSE)="Fire",Backdoors!BB45,IF(VLOOKUP(tbMoveset!A57,tbMoveset!A2:I112,9,FALSE)="Water",Backdoors!BC45,IF(VLOOKUP(tbMoveset!A57,tbMoveset!A2:I112,9,FALSE)="Thunder",Backdoors!BD45,IF(VLOOKUP(tbMoveset!A57,tbMoveset!A2:I112,9,FALSE)="Ice",Backdoors!BE45,IF(VLOOKUP(tbMoveset!A57,tbMoveset!A2:I112,9,FALSE)="Dragon",Backdoors!BF45,Backdoors!BG45)))))/100,Backdoors!BG45/100),"")</f>
        <v>0</v>
      </c>
      <c r="KL57" s="49">
        <f>IFERROR(IF(VLOOKUP(A57,tbMoveset!A2:J112,10,FALSE)=TRUE,IF((Backdoors!AI12+IF(KJ57&gt;=0.45,VLOOKUP(Calculator!E23,tbSkills!DH3:DI6,2,FALSE)+IF(AND(Calculator!B8=TRUE,Backdoors!BI45=TRUE),VLOOKUP(Calculator!E23,tbSkills!DH3:DJ6,3,FALSE),0),0))&gt;=0,1+(Backdoors!AL2*(IF((Backdoors!AI12+IF(KJ57&gt;=0.45,VLOOKUP(Calculator!E23,tbSkills!DH3:DI6,2,FALSE)+IF(AND(Calculator!B8=TRUE,Backdoors!BI45=TRUE),VLOOKUP(Calculator!E23,tbSkills!DH3:DJ6,3,FALSE),0),0))&gt;=100,100,(Backdoors!AI12+IF(KJ57&gt;=0.45,VLOOKUP(Calculator!E23,tbSkills!DH3:DI6,2,FALSE)+IF(AND(Calculator!B8=TRUE,Backdoors!BI45=TRUE),VLOOKUP(Calculator!E23,tbSkills!DH3:DJ6,3,FALSE),0),0)))/100)),(1-(0.25*((-Backdoors!AI12-IF(KJ57&gt;=0.45,VLOOKUP(Calculator!E23,tbSkills!DH3:DI6,2,FALSE)+IF(AND(Calculator!B8=TRUE,Backdoors!BI45=TRUE),VLOOKUP(Calculator!E23,tbSkills!DH3:DJ6,3,FALSE),0),0))/100)))),1),"")</f>
        <v>1</v>
      </c>
      <c r="KM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KJ57)*KL57)*(VLOOKUP(A57,tbMoveset!A2:C112,3,FALSE)/100)*IF(VLOOKUP(A57,tbMoveset!A2:B112,2,FALSE)="Projectile",Backdoors!N10,Backdoors!N9),0),"")</f>
        <v/>
      </c>
      <c r="KN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REF!&gt;0,VLOOKUP(Calculator!#REF!,tbSkills!AC3:AD5,2,FALSE),Backdoors!AL3)*(IF((Backdoors!AI12+IF(KJ57&gt;=0.45,VLOOKUP(Calculator!E23,tbSkills!DH3:DI6,2,FALSE)+IF(AND(Calculator!B8=TRUE,Backdoors!BI45=TRUE),VLOOKUP(Calculator!E23,tbSkills!DH3:DJ6,3,FALSE),0),0))&gt;=100,100,(Backdoors!AI12+IF(KJ57&gt;=0.45,VLOOKUP(Calculator!E23,tbSkills!DH3:DI6,2,FALSE)+IF(AND(Calculator!B8=TRUE,Backdoors!BI45=TRUE),VLOOKUP(Calculator!E23,tbSkills!DH3:DJ6,3,FALSE),0),0)))/100)),1))*IF(VLOOKUP(A57,tbMoveset!A2:K112,11,FALSE)=TRUE,Backdoors!AC5,1))*KK57,0),"")</f>
        <v/>
      </c>
      <c r="KO57" s="49">
        <f>VLOOKUP(A57,tbMoveset!A2:G112,7,FALSE)*IFERROR(IF(Backdoors!AI12&gt;=0,1+(IF(Calculator!E40&gt;0,VLOOKUP(Calculator!E40,tbSkills!AI3:AJ5,2,FALSE),Backdoors!AL4)*(IF((Backdoors!AI12+IF(KJ57&gt;=0.45,VLOOKUP(Calculator!E23,tbSkills!DH3:DI6,2,FALSE)+IF(AND(Calculator!B8=TRUE,Backdoors!BI45=TRUE),VLOOKUP(Calculator!E23,tbSkills!DH3:DJ6,3,FALSE),0),0))&gt;=100,100,(Backdoors!AI12+IF(KJ57&gt;=0.45,VLOOKUP(Calculator!E23,tbSkills!DH3:DI6,2,FALSE)+IF(AND(Calculator!B8=TRUE,Backdoors!BI45=TRUE),VLOOKUP(Calculator!E23,tbSkills!DH3:DJ6,3,FALSE),0),0)))/100)),1),1)</f>
        <v>0.5</v>
      </c>
      <c r="KP57" s="87">
        <f t="shared" si="34"/>
        <v>0</v>
      </c>
      <c r="KQ57" s="86" t="str">
        <f>IFERROR(IF(VLOOKUP(A57,tbMoveset!A2:B112,2,FALSE)="Sever",Backdoors!AY46/100,IF(VLOOKUP(A57,tbMoveset!A2:B112,2,FALSE)="Blunt",Backdoors!AZ46/100,Backdoors!BA46/100)),"")</f>
        <v/>
      </c>
      <c r="KR57" s="49">
        <f>IFERROR(IF(VLOOKUP(tbMoveset!A57,tbMoveset!A2:H112,8,FALSE)="Other",IF(VLOOKUP(tbMoveset!A57,tbMoveset!A2:I112,9,FALSE)="Fire",Backdoors!BB46,IF(VLOOKUP(tbMoveset!A57,tbMoveset!A2:I112,9,FALSE)="Water",Backdoors!BC46,IF(VLOOKUP(tbMoveset!A57,tbMoveset!A2:I112,9,FALSE)="Thunder",Backdoors!BD46,IF(VLOOKUP(tbMoveset!A57,tbMoveset!A2:I112,9,FALSE)="Ice",Backdoors!BE46,IF(VLOOKUP(tbMoveset!A57,tbMoveset!A2:I112,9,FALSE)="Dragon",Backdoors!BF46,Backdoors!BG46)))))/100,Backdoors!BG46/100),"")</f>
        <v>0</v>
      </c>
      <c r="KS57" s="49">
        <f>IFERROR(IF(VLOOKUP(A57,tbMoveset!A2:J112,10,FALSE)=TRUE,IF((Backdoors!AI12+IF(KQ57&gt;=0.45,VLOOKUP(Calculator!E23,tbSkills!DH3:DI6,2,FALSE)+IF(AND(Calculator!B8=TRUE,Backdoors!BI46=TRUE),VLOOKUP(Calculator!E23,tbSkills!DH3:DJ6,3,FALSE),0),0))&gt;=0,1+(Backdoors!AL2*(IF((Backdoors!AI12+IF(KQ57&gt;=0.45,VLOOKUP(Calculator!E23,tbSkills!DH3:DI6,2,FALSE)+IF(AND(Calculator!B8=TRUE,Backdoors!BI46=TRUE),VLOOKUP(Calculator!E23,tbSkills!DH3:DJ6,3,FALSE),0),0))&gt;=100,100,(Backdoors!AI12+IF(KQ57&gt;=0.45,VLOOKUP(Calculator!E23,tbSkills!DH3:DI6,2,FALSE)+IF(AND(Calculator!B8=TRUE,Backdoors!BI46=TRUE),VLOOKUP(Calculator!E23,tbSkills!DH3:DJ6,3,FALSE),0),0)))/100)),(1-(0.25*((-Backdoors!AI12-IF(KQ57&gt;=0.45,VLOOKUP(Calculator!E23,tbSkills!DH3:DI6,2,FALSE)+IF(AND(Calculator!B8=TRUE,Backdoors!BI46=TRUE),VLOOKUP(Calculator!E23,tbSkills!DH3:DJ6,3,FALSE),0),0))/100)))),1),"")</f>
        <v>1</v>
      </c>
      <c r="KT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KQ57)*KS57)*(VLOOKUP(A57,tbMoveset!A2:C112,3,FALSE)/100)*IF(VLOOKUP(A57,tbMoveset!A2:B112,2,FALSE)="Projectile",Backdoors!N10,Backdoors!N9),0),"")</f>
        <v/>
      </c>
      <c r="KU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REF!&gt;0,VLOOKUP(Calculator!#REF!,tbSkills!AC3:AD5,2,FALSE),Backdoors!AL3)*(IF((Backdoors!AI12+IF(KQ57&gt;=0.45,VLOOKUP(Calculator!E23,tbSkills!DH3:DI6,2,FALSE)+IF(AND(Calculator!B8=TRUE,Backdoors!BI46=TRUE),VLOOKUP(Calculator!E23,tbSkills!DH3:DJ6,3,FALSE),0),0))&gt;=100,100,(Backdoors!AI12+IF(KQ57&gt;=0.45,VLOOKUP(Calculator!E23,tbSkills!DH3:DI6,2,FALSE)+IF(AND(Calculator!B8=TRUE,Backdoors!BI46=TRUE),VLOOKUP(Calculator!E23,tbSkills!DH3:DJ6,3,FALSE),0),0)))/100)),1))*IF(VLOOKUP(A57,tbMoveset!A2:K112,11,FALSE)=TRUE,Backdoors!AC5,1))*KR57,0),"")</f>
        <v/>
      </c>
      <c r="KV57" s="49">
        <f>VLOOKUP(A57,tbMoveset!A2:G112,7,FALSE)*IFERROR(IF(Backdoors!AI12&gt;=0,1+(IF(Calculator!E40&gt;0,VLOOKUP(Calculator!E40,tbSkills!AI3:AJ5,2,FALSE),Backdoors!AL4)*(IF((Backdoors!AI12+IF(KQ57&gt;=0.45,VLOOKUP(Calculator!E23,tbSkills!DH3:DI6,2,FALSE)+IF(AND(Calculator!B8=TRUE,Backdoors!BI46=TRUE),VLOOKUP(Calculator!E23,tbSkills!DH3:DJ6,3,FALSE),0),0))&gt;=100,100,(Backdoors!AI12+IF(KQ57&gt;=0.45,VLOOKUP(Calculator!E23,tbSkills!DH3:DI6,2,FALSE)+IF(AND(Calculator!B8=TRUE,Backdoors!BI46=TRUE),VLOOKUP(Calculator!E23,tbSkills!DH3:DJ6,3,FALSE),0),0)))/100)),1),1)</f>
        <v>0.5</v>
      </c>
      <c r="KW57" s="87">
        <f t="shared" si="35"/>
        <v>0</v>
      </c>
    </row>
    <row r="58" spans="1:309" x14ac:dyDescent="0.25">
      <c r="A58" s="95" t="str">
        <f>tbMoveset!A58</f>
        <v>Blade Dance (R2)</v>
      </c>
      <c r="B58" s="86">
        <f>IFERROR(IF(VLOOKUP(A58,tbMoveset!A2:B112,2,FALSE)="Sever",Backdoors!AY3/100,IF(VLOOKUP(A58,tbMoveset!A2:B112,2,FALSE)="Blunt",Backdoors!AZ3/100,Backdoors!BA3/100)),"")</f>
        <v>0.8</v>
      </c>
      <c r="C58" s="49">
        <f>IFERROR(IF(VLOOKUP(tbMoveset!A58,tbMoveset!A2:H112,8,FALSE)="Other",IF(VLOOKUP(tbMoveset!A58,tbMoveset!A2:I112,9,FALSE)="Fire",Backdoors!BB3,IF(VLOOKUP(tbMoveset!A58,tbMoveset!A2:I112,9,FALSE)="Water",Backdoors!BC3,IF(VLOOKUP(tbMoveset!A58,tbMoveset!A2:I112,9,FALSE)="Thunder",Backdoors!BD3,IF(VLOOKUP(tbMoveset!A58,tbMoveset!A2:I112,9,FALSE)="Ice",Backdoors!BE3,IF(VLOOKUP(tbMoveset!A58,tbMoveset!A2:I112,9,FALSE)="Dragon",Backdoors!BF3,Backdoors!BG3)))))/100,Backdoors!BG3/100),"")</f>
        <v>0</v>
      </c>
      <c r="D58" s="49">
        <f>IFERROR(IF(VLOOKUP(A58,tbMoveset!A2:J112,10,FALSE)=TRUE,IF((Backdoors!AI12+IF(B58&gt;=0.45,VLOOKUP(Calculator!E23,tbSkills!DH3:DI6,2,FALSE)+IF(AND(Calculator!B8=TRUE,Backdoors!BI3=TRUE),VLOOKUP(Calculator!E23,tbSkills!DH3:DJ6,3,FALSE),0),0))&gt;=0,1+(Backdoors!AL2*(IF((Backdoors!AI12+IF(B58&gt;=0.45,VLOOKUP(Calculator!E23,tbSkills!DH3:DI6,2,FALSE)+IF(AND(Calculator!B8=TRUE,Backdoors!BI3=TRUE),VLOOKUP(Calculator!E23,tbSkills!DH3:DJ6,3,FALSE),0),0))&gt;=100,100,(Backdoors!AI12+IF(B58&gt;=0.45,VLOOKUP(Calculator!E23,tbSkills!DH3:DI6,2,FALSE)+IF(AND(Calculator!B8=TRUE,Backdoors!BI3=TRUE),VLOOKUP(Calculator!E23,tbSkills!DH3:DJ6,3,FALSE),0),0)))/100)),(1-(0.25*((-Backdoors!AI12-IF(B58&gt;=0.45,VLOOKUP(Calculator!E23,tbSkills!DH3:DI6,2,FALSE)+IF(AND(Calculator!B8=TRUE,Backdoors!BI3=TRUE),VLOOKUP(Calculator!E23,tbSkills!DH3:DJ6,3,FALSE),0),0))/100)))),1),"")</f>
        <v>1</v>
      </c>
      <c r="E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58)*D58)*(VLOOKUP(A58,tbMoveset!A2:C112,3,FALSE)/100)*IF(VLOOKUP(A58,tbMoveset!A2:B112,2,FALSE)="Projectile",Backdoors!N10,Backdoors!N9),0),"")</f>
        <v>4</v>
      </c>
      <c r="F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58&gt;=0.45,VLOOKUP(Calculator!E23,tbSkills!DH3:DI6,2,FALSE)+IF(AND(Calculator!B8=TRUE,Backdoors!BI3=TRUE),VLOOKUP(Calculator!E23,tbSkills!DH3:DJ6,3,FALSE),0),0))&gt;=100,100,(Backdoors!AI12+IF(B58&gt;=0.45,VLOOKUP(Calculator!E23,tbSkills!DH3:DI6,2,FALSE)+IF(AND(Calculator!B8=TRUE,Backdoors!BI3=TRUE),VLOOKUP(Calculator!E23,tbSkills!DH3:DJ6,3,FALSE),0),0)))/100)),1))*IF(VLOOKUP(A58,tbMoveset!A2:K112,11,FALSE)=TRUE,Backdoors!AC5,1))*C58,0),"")</f>
        <v>0</v>
      </c>
      <c r="G58">
        <f>VLOOKUP(A58,tbMoveset!A2:G112,7,FALSE)*IFERROR(IF(Backdoors!AI12&gt;=0,1+(IF(Calculator!E40&gt;0,VLOOKUP(Calculator!E40,tbSkills!AI3:AJ5,2,FALSE),Backdoors!AL4)*(IF((Backdoors!AI12+IF(B58&gt;=0.45,VLOOKUP(Calculator!E23,tbSkills!DH3:DI6,2,FALSE)+IF(AND(Calculator!B8=TRUE,Backdoors!BI3=TRUE),VLOOKUP(Calculator!E23,tbSkills!DH3:DJ6,3,FALSE),0),0))&gt;=100,100,(Backdoors!AI12+IF(B58&gt;=0.45,VLOOKUP(Calculator!E23,tbSkills!DH3:DI6,2,FALSE)+IF(AND(Calculator!B8=TRUE,Backdoors!BI3=TRUE),VLOOKUP(Calculator!E23,tbSkills!DH3:DJ6,3,FALSE),0),0)))/100)),1),1)</f>
        <v>0.5</v>
      </c>
      <c r="H58" s="87">
        <f t="shared" si="44"/>
        <v>4</v>
      </c>
      <c r="I58" s="86">
        <f>IFERROR(IF(VLOOKUP(A58,tbMoveset!A2:B112,2,FALSE)="Sever",Backdoors!AY4/100,IF(VLOOKUP(A58,tbMoveset!A2:B112,2,FALSE)="Blunt",Backdoors!AZ4/100,Backdoors!BA4/100)),"")</f>
        <v>0.65</v>
      </c>
      <c r="J58" s="49">
        <f>IFERROR(IF(VLOOKUP(tbMoveset!A58,tbMoveset!A2:H112,8,FALSE)="Other",IF(VLOOKUP(tbMoveset!A58,tbMoveset!A2:I112,9,FALSE)="Fire",Backdoors!BB4,IF(VLOOKUP(tbMoveset!A58,tbMoveset!A2:I112,9,FALSE)="Water",Backdoors!BC4,IF(VLOOKUP(tbMoveset!A58,tbMoveset!A2:I112,9,FALSE)="Thunder",Backdoors!BD4,IF(VLOOKUP(tbMoveset!A58,tbMoveset!A2:I112,9,FALSE)="Ice",Backdoors!BE4,IF(VLOOKUP(tbMoveset!A58,tbMoveset!A2:I112,9,FALSE)="Dragon",Backdoors!BF4,Backdoors!BG4)))))/100,Backdoors!BG4/100),"")</f>
        <v>0</v>
      </c>
      <c r="K58" s="49">
        <f>IFERROR(IF(VLOOKUP(A58,tbMoveset!A2:J112,10,FALSE)=TRUE,IF((Backdoors!AI12+IF(I58&gt;=0.45,VLOOKUP(Calculator!E23,tbSkills!DH3:DI6,2,FALSE)+IF(AND(Calculator!B8=TRUE,Backdoors!BI4=TRUE),VLOOKUP(Calculator!E23,tbSkills!DH3:DJ6,3,FALSE),0),0))&gt;=0,1+(Backdoors!AL2*(IF((Backdoors!AI12+IF(I58&gt;=0.45,VLOOKUP(Calculator!E23,tbSkills!DH3:DI6,2,FALSE)+IF(AND(Calculator!B8=TRUE,Backdoors!BI4=TRUE),VLOOKUP(Calculator!E23,tbSkills!DH3:DJ6,3,FALSE),0),0))&gt;=100,100,(Backdoors!AI12+IF(I58&gt;=0.45,VLOOKUP(Calculator!E23,tbSkills!DH3:DI6,2,FALSE)+IF(AND(Calculator!B8=TRUE,Backdoors!BI4=TRUE),VLOOKUP(Calculator!E23,tbSkills!DH3:DJ6,3,FALSE),0),0)))/100)),(1-(0.25*((-Backdoors!AI12-IF(I58&gt;=0.45,VLOOKUP(Calculator!E23,tbSkills!DH3:DI6,2,FALSE)+IF(AND(Calculator!B8=TRUE,Backdoors!BI4=TRUE),VLOOKUP(Calculator!E23,tbSkills!DH3:DJ6,3,FALSE),0),0))/100)))),1),"")</f>
        <v>1</v>
      </c>
      <c r="L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58)*K58)*(VLOOKUP(A58,tbMoveset!A2:C112,3,FALSE)/100)*IF(VLOOKUP(A58,tbMoveset!A2:B112,2,FALSE)="Projectile",Backdoors!N10,Backdoors!N9),0),"")</f>
        <v>3</v>
      </c>
      <c r="M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I58&gt;=0.45,VLOOKUP(Calculator!E23,tbSkills!DH3:DI6,2,FALSE)+IF(AND(Calculator!B8=TRUE,Backdoors!BI4=TRUE),VLOOKUP(Calculator!E23,tbSkills!DH3:DJ6,3,FALSE),0),0))&gt;=100,100,(Backdoors!AI12+IF(I58&gt;=0.45,VLOOKUP(Calculator!E23,tbSkills!DH3:DI6,2,FALSE)+IF(AND(Calculator!B8=TRUE,Backdoors!BI4=TRUE),VLOOKUP(Calculator!E23,tbSkills!DH3:DJ6,3,FALSE),0),0)))/100)),1))*IF(VLOOKUP(A58,tbMoveset!A2:K112,11,FALSE)=TRUE,Backdoors!AC5,1))*J58,0),"")</f>
        <v>0</v>
      </c>
      <c r="N58" s="49">
        <f>VLOOKUP(A58,tbMoveset!A2:G112,7,FALSE)*IFERROR(IF(Backdoors!AI12&gt;=0,1+(IF(Calculator!E40&gt;0,VLOOKUP(Calculator!E40,tbSkills!AI3:AJ5,2,FALSE),Backdoors!AL4)*(IF((Backdoors!AI12+IF(I58&gt;=0.45,VLOOKUP(Calculator!E23,tbSkills!DH3:DI6,2,FALSE)+IF(AND(Calculator!B8=TRUE,Backdoors!BI4=TRUE),VLOOKUP(Calculator!E23,tbSkills!DH3:DJ6,3,FALSE),0),0))&gt;=100,100,(Backdoors!AI12+IF(I58&gt;=0.45,VLOOKUP(Calculator!E23,tbSkills!DH3:DI6,2,FALSE)+IF(AND(Calculator!B8=TRUE,Backdoors!BI4=TRUE),VLOOKUP(Calculator!E23,tbSkills!DH3:DJ6,3,FALSE),0),0)))/100)),1),1)</f>
        <v>0.5</v>
      </c>
      <c r="O58" s="87">
        <f t="shared" si="45"/>
        <v>3</v>
      </c>
      <c r="P58" s="86">
        <f>IFERROR(IF(VLOOKUP(A58,tbMoveset!A2:B112,2,FALSE)="Sever",Backdoors!AY5/100,IF(VLOOKUP(A58,tbMoveset!A2:B112,2,FALSE)="Blunt",Backdoors!AZ5/100,Backdoors!BA5/100)),"")</f>
        <v>0.5</v>
      </c>
      <c r="Q58" s="49">
        <f>IFERROR(IF(VLOOKUP(tbMoveset!A58,tbMoveset!A2:H112,8,FALSE)="Other",IF(VLOOKUP(tbMoveset!A58,tbMoveset!A2:I112,9,FALSE)="Fire",Backdoors!BB5,IF(VLOOKUP(tbMoveset!A58,tbMoveset!A2:I112,9,FALSE)="Water",Backdoors!BC5,IF(VLOOKUP(tbMoveset!A58,tbMoveset!A2:I112,9,FALSE)="Thunder",Backdoors!BD5,IF(VLOOKUP(tbMoveset!A58,tbMoveset!A2:I112,9,FALSE)="Ice",Backdoors!BE5,IF(VLOOKUP(tbMoveset!A58,tbMoveset!A2:I112,9,FALSE)="Dragon",Backdoors!BF5,Backdoors!BG5)))))/100,Backdoors!BG5/100),"")</f>
        <v>0</v>
      </c>
      <c r="R58" s="49">
        <f>IFERROR(IF(VLOOKUP(A58,tbMoveset!A2:J112,10,FALSE)=TRUE,IF((Backdoors!AI12+IF(P58&gt;=0.45,VLOOKUP(Calculator!E23,tbSkills!DH3:DI6,2,FALSE)+IF(AND(Calculator!B8=TRUE,Backdoors!BI5=TRUE),VLOOKUP(Calculator!E23,tbSkills!DH3:DJ6,3,FALSE),0),0))&gt;=0,1+(Backdoors!AL2*(IF((Backdoors!AI12+IF(P58&gt;=0.45,VLOOKUP(Calculator!E23,tbSkills!DH3:DI6,2,FALSE)+IF(AND(Calculator!B8=TRUE,Backdoors!BI5=TRUE),VLOOKUP(Calculator!E23,tbSkills!DH3:DJ6,3,FALSE),0),0))&gt;=100,100,(Backdoors!AI12+IF(P58&gt;=0.45,VLOOKUP(Calculator!E23,tbSkills!DH3:DI6,2,FALSE)+IF(AND(Calculator!B8=TRUE,Backdoors!BI5=TRUE),VLOOKUP(Calculator!E23,tbSkills!DH3:DJ6,3,FALSE),0),0)))/100)),(1-(0.25*((-Backdoors!AI12-IF(P58&gt;=0.45,VLOOKUP(Calculator!E23,tbSkills!DH3:DI6,2,FALSE)+IF(AND(Calculator!B8=TRUE,Backdoors!BI5=TRUE),VLOOKUP(Calculator!E23,tbSkills!DH3:DJ6,3,FALSE),0),0))/100)))),1),"")</f>
        <v>1</v>
      </c>
      <c r="S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P58)*R58)*(VLOOKUP(A58,tbMoveset!A2:C112,3,FALSE)/100)*IF(VLOOKUP(A58,tbMoveset!A2:B112,2,FALSE)="Projectile",Backdoors!N10,Backdoors!N9),0),"")</f>
        <v>3</v>
      </c>
      <c r="T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P58&gt;=0.45,VLOOKUP(Calculator!E23,tbSkills!DH3:DI6,2,FALSE)+IF(AND(Calculator!B8=TRUE,Backdoors!BI5=TRUE),VLOOKUP(Calculator!E23,tbSkills!DH3:DJ6,3,FALSE),0),0))&gt;=100,100,(Backdoors!AI12+IF(P58&gt;=0.45,VLOOKUP(Calculator!E23,tbSkills!DH3:DI6,2,FALSE)+IF(AND(Calculator!B8=TRUE,Backdoors!BI5=TRUE),VLOOKUP(Calculator!E23,tbSkills!DH3:DJ6,3,FALSE),0),0)))/100)),1))*IF(VLOOKUP(A58,tbMoveset!A2:K112,11,FALSE)=TRUE,Backdoors!AC5,1))*Q58,0),"")</f>
        <v>0</v>
      </c>
      <c r="U58" s="49">
        <f>VLOOKUP(A58,tbMoveset!A2:G112,7,FALSE)*IFERROR(IF(Backdoors!AI12&gt;=0,1+(IF(Calculator!E40&gt;0,VLOOKUP(Calculator!E40,tbSkills!AI3:AJ5,2,FALSE),Backdoors!AL4)*(IF((Backdoors!AI12+IF(P58&gt;=0.45,VLOOKUP(Calculator!E23,tbSkills!DH3:DI6,2,FALSE)+IF(AND(Calculator!B8=TRUE,Backdoors!BI5=TRUE),VLOOKUP(Calculator!E23,tbSkills!DH3:DJ6,3,FALSE),0),0))&gt;=100,100,(Backdoors!AI12+IF(P58&gt;=0.45,VLOOKUP(Calculator!E23,tbSkills!DH3:DI6,2,FALSE)+IF(AND(Calculator!B8=TRUE,Backdoors!BI5=TRUE),VLOOKUP(Calculator!E23,tbSkills!DH3:DJ6,3,FALSE),0),0)))/100)),1),1)</f>
        <v>0.5</v>
      </c>
      <c r="V58" s="87">
        <f t="shared" si="46"/>
        <v>3</v>
      </c>
      <c r="W58" s="86">
        <f>IFERROR(IF(VLOOKUP(A58,tbMoveset!A2:B112,2,FALSE)="Sever",Backdoors!AY6/100,IF(VLOOKUP(A58,tbMoveset!A2:B112,2,FALSE)="Blunt",Backdoors!AZ6/100,Backdoors!BA6/100)),"")</f>
        <v>0.45</v>
      </c>
      <c r="X58" s="49">
        <f>IFERROR(IF(VLOOKUP(tbMoveset!A58,tbMoveset!A2:H112,8,FALSE)="Other",IF(VLOOKUP(tbMoveset!A58,tbMoveset!A2:I112,9,FALSE)="Fire",Backdoors!BB6,IF(VLOOKUP(tbMoveset!A58,tbMoveset!A2:I112,9,FALSE)="Water",Backdoors!BC6,IF(VLOOKUP(tbMoveset!A58,tbMoveset!A2:I112,9,FALSE)="Thunder",Backdoors!BD6,IF(VLOOKUP(tbMoveset!A58,tbMoveset!A2:I112,9,FALSE)="Ice",Backdoors!BE6,IF(VLOOKUP(tbMoveset!A58,tbMoveset!A2:I112,9,FALSE)="Dragon",Backdoors!BF6,Backdoors!BG6)))))/100,Backdoors!BG6/100),"")</f>
        <v>0</v>
      </c>
      <c r="Y58" s="49">
        <f>IFERROR(IF(VLOOKUP(A58,tbMoveset!A2:J112,10,FALSE)=TRUE,IF((Backdoors!AI12+IF(W58&gt;=0.45,VLOOKUP(Calculator!E23,tbSkills!DH3:DI6,2,FALSE)+IF(AND(Calculator!B8=TRUE,Backdoors!BI6=TRUE),VLOOKUP(Calculator!E23,tbSkills!DH3:DJ6,3,FALSE),0),0))&gt;=0,1+(Backdoors!AL2*(IF((Backdoors!AI12+IF(W58&gt;=0.45,VLOOKUP(Calculator!E23,tbSkills!DH3:DI6,2,FALSE)+IF(AND(Calculator!B8=TRUE,Backdoors!BI6=TRUE),VLOOKUP(Calculator!E23,tbSkills!DH3:DJ6,3,FALSE),0),0))&gt;=100,100,(Backdoors!AI12+IF(W58&gt;=0.45,VLOOKUP(Calculator!E23,tbSkills!DH3:DI6,2,FALSE)+IF(AND(Calculator!B8=TRUE,Backdoors!BI6=TRUE),VLOOKUP(Calculator!E23,tbSkills!DH3:DJ6,3,FALSE),0),0)))/100)),(1-(0.25*((-Backdoors!AI12-IF(W58&gt;=0.45,VLOOKUP(Calculator!E23,tbSkills!DH3:DI6,2,FALSE)+IF(AND(Calculator!B8=TRUE,Backdoors!BI6=TRUE),VLOOKUP(Calculator!E23,tbSkills!DH3:DJ6,3,FALSE),0),0))/100)))),1),"")</f>
        <v>1</v>
      </c>
      <c r="Z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W58)*Y58)*(VLOOKUP(A58,tbMoveset!A2:C112,3,FALSE)/100)*IF(VLOOKUP(A58,tbMoveset!A2:B112,2,FALSE)="Projectile",Backdoors!N10,Backdoors!N9),0),"")</f>
        <v>2</v>
      </c>
      <c r="AA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W58&gt;=0.45,VLOOKUP(Calculator!E23,tbSkills!DH3:DI6,2,FALSE)+IF(AND(Calculator!B8=TRUE,Backdoors!BI6=TRUE),VLOOKUP(Calculator!E23,tbSkills!DH3:DJ6,3,FALSE),0),0))&gt;=100,100,(Backdoors!AI12+IF(W58&gt;=0.45,VLOOKUP(Calculator!E23,tbSkills!DH3:DI6,2,FALSE)+IF(AND(Calculator!B8=TRUE,Backdoors!BI6=TRUE),VLOOKUP(Calculator!E23,tbSkills!DH3:DJ6,3,FALSE),0),0)))/100)),1))*IF(VLOOKUP(A58,tbMoveset!A2:K112,11,FALSE)=TRUE,Backdoors!AC5,1))*X58,0),"")</f>
        <v>0</v>
      </c>
      <c r="AB58" s="49">
        <f>VLOOKUP(A58,tbMoveset!A2:G112,7,FALSE)*IFERROR(IF(Backdoors!AI12&gt;=0,1+(IF(Calculator!E40&gt;0,VLOOKUP(Calculator!E40,tbSkills!AI3:AJ5,2,FALSE),Backdoors!AL4)*(IF((Backdoors!AI12+IF(W58&gt;=0.45,VLOOKUP(Calculator!E23,tbSkills!DH3:DI6,2,FALSE)+IF(AND(Calculator!B8=TRUE,Backdoors!BI6=TRUE),VLOOKUP(Calculator!E23,tbSkills!DH3:DJ6,3,FALSE),0),0))&gt;=100,100,(Backdoors!AI12+IF(W58&gt;=0.45,VLOOKUP(Calculator!E23,tbSkills!DH3:DI6,2,FALSE)+IF(AND(Calculator!B8=TRUE,Backdoors!BI6=TRUE),VLOOKUP(Calculator!E23,tbSkills!DH3:DJ6,3,FALSE),0),0)))/100)),1),1)</f>
        <v>0.5</v>
      </c>
      <c r="AC58" s="87">
        <f t="shared" si="47"/>
        <v>2</v>
      </c>
      <c r="AD58" s="86">
        <f>IFERROR(IF(VLOOKUP(A58,tbMoveset!A2:B112,2,FALSE)="Sever",Backdoors!AY7/100,IF(VLOOKUP(A58,tbMoveset!A2:B112,2,FALSE)="Blunt",Backdoors!AZ7/100,Backdoors!BA7/100)),"")</f>
        <v>0.65</v>
      </c>
      <c r="AE58" s="49">
        <f>IFERROR(IF(VLOOKUP(tbMoveset!A58,tbMoveset!A2:H112,8,FALSE)="Other",IF(VLOOKUP(tbMoveset!A58,tbMoveset!A2:I112,9,FALSE)="Fire",Backdoors!BB7,IF(VLOOKUP(tbMoveset!A58,tbMoveset!A2:I112,9,FALSE)="Water",Backdoors!BC7,IF(VLOOKUP(tbMoveset!A58,tbMoveset!A2:I112,9,FALSE)="Thunder",Backdoors!BD7,IF(VLOOKUP(tbMoveset!A58,tbMoveset!A2:I112,9,FALSE)="Ice",Backdoors!BE7,IF(VLOOKUP(tbMoveset!A58,tbMoveset!A2:I112,9,FALSE)="Dragon",Backdoors!BF7,Backdoors!BG7)))))/100,Backdoors!BG7/100),"")</f>
        <v>0</v>
      </c>
      <c r="AF58" s="49">
        <f>IFERROR(IF(VLOOKUP(A58,tbMoveset!A2:J112,10,FALSE)=TRUE,IF((Backdoors!AI12+IF(AD58&gt;=0.45,VLOOKUP(Calculator!E23,tbSkills!DH3:DI6,2,FALSE)+IF(AND(Calculator!B8=TRUE,Backdoors!BI7=TRUE),VLOOKUP(Calculator!E23,tbSkills!DH3:DJ6,3,FALSE),0),0))&gt;=0,1+(Backdoors!AL2*(IF((Backdoors!AI12+IF(AD58&gt;=0.45,VLOOKUP(Calculator!E23,tbSkills!DH3:DI6,2,FALSE)+IF(AND(Calculator!B8=TRUE,Backdoors!BI7=TRUE),VLOOKUP(Calculator!E23,tbSkills!DH3:DJ6,3,FALSE),0),0))&gt;=100,100,(Backdoors!AI12+IF(AD58&gt;=0.45,VLOOKUP(Calculator!E23,tbSkills!DH3:DI6,2,FALSE)+IF(AND(Calculator!B8=TRUE,Backdoors!BI7=TRUE),VLOOKUP(Calculator!E23,tbSkills!DH3:DJ6,3,FALSE),0),0)))/100)),(1-(0.25*((-Backdoors!AI12-IF(AD58&gt;=0.45,VLOOKUP(Calculator!E23,tbSkills!DH3:DI6,2,FALSE)+IF(AND(Calculator!B8=TRUE,Backdoors!BI7=TRUE),VLOOKUP(Calculator!E23,tbSkills!DH3:DJ6,3,FALSE),0),0))/100)))),1),"")</f>
        <v>1</v>
      </c>
      <c r="AG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D58)*AF58)*(VLOOKUP(A58,tbMoveset!A2:C112,3,FALSE)/100)*IF(VLOOKUP(A58,tbMoveset!A2:B112,2,FALSE)="Projectile",Backdoors!N10,Backdoors!N9),0),"")</f>
        <v>3</v>
      </c>
      <c r="AH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D58&gt;=0.45,VLOOKUP(Calculator!E23,tbSkills!DH3:DI6,2,FALSE)+IF(AND(Calculator!B8=TRUE,Backdoors!BI7=TRUE),VLOOKUP(Calculator!E23,tbSkills!DH3:DJ6,3,FALSE),0),0))&gt;=100,100,(Backdoors!AI12+IF(AD58&gt;=0.45,VLOOKUP(Calculator!E23,tbSkills!DH3:DI6,2,FALSE)+IF(AND(Calculator!B8=TRUE,Backdoors!BI7=TRUE),VLOOKUP(Calculator!E23,tbSkills!DH3:DJ6,3,FALSE),0),0)))/100)),1))*IF(VLOOKUP(A58,tbMoveset!A2:K112,11,FALSE)=TRUE,Backdoors!AC5,1))*AE58,0),"")</f>
        <v>0</v>
      </c>
      <c r="AI58" s="49">
        <f>VLOOKUP(A58,tbMoveset!A2:G112,7,FALSE)*IFERROR(IF(Backdoors!AI12&gt;=0,1+(IF(Calculator!E40&gt;0,VLOOKUP(Calculator!E40,tbSkills!AI3:AJ5,2,FALSE),Backdoors!AL4)*(IF((Backdoors!AI12+IF(AD58&gt;=0.45,VLOOKUP(Calculator!E23,tbSkills!DH3:DI6,2,FALSE)+IF(AND(Calculator!B8=TRUE,Backdoors!BI7=TRUE),VLOOKUP(Calculator!E23,tbSkills!DH3:DJ6,3,FALSE),0),0))&gt;=100,100,(Backdoors!AI12+IF(AD58&gt;=0.45,VLOOKUP(Calculator!E23,tbSkills!DH3:DI6,2,FALSE)+IF(AND(Calculator!B8=TRUE,Backdoors!BI7=TRUE),VLOOKUP(Calculator!E23,tbSkills!DH3:DJ6,3,FALSE),0),0)))/100)),1),1)</f>
        <v>0.5</v>
      </c>
      <c r="AJ58" s="87">
        <f t="shared" si="48"/>
        <v>3</v>
      </c>
      <c r="AK58" s="91">
        <f>IFERROR(IF(VLOOKUP(A58,tbMoveset!A2:B112,2,FALSE)="Sever",Backdoors!AY8/100,IF(VLOOKUP(A58,tbMoveset!A2:B112,2,FALSE)="Blunt",Backdoors!AZ8/100,Backdoors!BA8/100)),"")</f>
        <v>0.45</v>
      </c>
      <c r="AL58" s="49">
        <f>IFERROR(IF(VLOOKUP(tbMoveset!A58,tbMoveset!A2:H112,8,FALSE)="Other",IF(VLOOKUP(tbMoveset!A58,tbMoveset!A2:I112,9,FALSE)="Fire",Backdoors!BB8,IF(VLOOKUP(tbMoveset!A58,tbMoveset!A2:I112,9,FALSE)="Water",Backdoors!BC8,IF(VLOOKUP(tbMoveset!A58,tbMoveset!A2:I112,9,FALSE)="Thunder",Backdoors!BD8,IF(VLOOKUP(tbMoveset!A58,tbMoveset!A2:I112,9,FALSE)="Ice",Backdoors!BE8,IF(VLOOKUP(tbMoveset!A58,tbMoveset!A2:I112,9,FALSE)="Dragon",Backdoors!BF8,Backdoors!BG8)))))/100,Backdoors!BG8/100),"")</f>
        <v>0</v>
      </c>
      <c r="AM58" s="49">
        <f>IFERROR(IF(VLOOKUP(A58,tbMoveset!A2:J112,10,FALSE)=TRUE,IF((Backdoors!AI12+IF(AK58&gt;=0.45,VLOOKUP(Calculator!E23,tbSkills!DH3:DI6,2,FALSE)+IF(AND(Calculator!B8=TRUE,Backdoors!BI8=TRUE),VLOOKUP(Calculator!E23,tbSkills!DH3:DJ6,3,FALSE),0),0))&gt;=0,1+(Backdoors!AL2*(IF((Backdoors!AI12+IF(AK58&gt;=0.45,VLOOKUP(Calculator!E23,tbSkills!DH3:DI6,2,FALSE)+IF(AND(Calculator!B8=TRUE,Backdoors!BI8=TRUE),VLOOKUP(Calculator!E23,tbSkills!DH3:DJ6,3,FALSE),0),0))&gt;=100,100,(Backdoors!AI12+IF(AK58&gt;=0.45,VLOOKUP(Calculator!E23,tbSkills!DH3:DI6,2,FALSE)+IF(AND(Calculator!B8=TRUE,Backdoors!BI8=TRUE),VLOOKUP(Calculator!E23,tbSkills!DH3:DJ6,3,FALSE),0),0)))/100)),(1-(0.25*((-Backdoors!AI12-IF(AK58&gt;=0.45,VLOOKUP(Calculator!E23,tbSkills!DH3:DI6,2,FALSE)+IF(AND(Calculator!B8=TRUE,Backdoors!BI8=TRUE),VLOOKUP(Calculator!E23,tbSkills!DH3:DJ6,3,FALSE),0),0))/100)))),1),"")</f>
        <v>1</v>
      </c>
      <c r="AN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K58)*AM58)*(VLOOKUP(A58,tbMoveset!A2:C112,3,FALSE)/100)*IF(VLOOKUP(A58,tbMoveset!A2:B112,2,FALSE)="Projectile",Backdoors!N10,Backdoors!N9),0),"")</f>
        <v>2</v>
      </c>
      <c r="AO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K58&gt;=0.45,VLOOKUP(Calculator!E23,tbSkills!DH3:DI6,2,FALSE)+IF(AND(Calculator!B8=TRUE,Backdoors!BI8=TRUE),VLOOKUP(Calculator!E23,tbSkills!DH3:DJ6,3,FALSE),0),0))&gt;=100,100,(Backdoors!AI12+IF(AK58&gt;=0.45,VLOOKUP(Calculator!E23,tbSkills!DH3:DI6,2,FALSE)+IF(AND(Calculator!B8=TRUE,Backdoors!BI8=TRUE),VLOOKUP(Calculator!E23,tbSkills!DH3:DJ6,3,FALSE),0),0)))/100)),1))*IF(VLOOKUP(A58,tbMoveset!A2:K112,11,FALSE)=TRUE,Backdoors!AC5,1))*AL58,0),"")</f>
        <v>0</v>
      </c>
      <c r="AP58" s="49">
        <f>VLOOKUP(A58,tbMoveset!A2:G112,7,FALSE)*IFERROR(IF(Backdoors!AI12&gt;=0,1+(IF(Calculator!E40&gt;0,VLOOKUP(Calculator!E40,tbSkills!AI3:AJ5,2,FALSE),Backdoors!AL4)*(IF((Backdoors!AI12+IF(AK58&gt;=0.45,VLOOKUP(Calculator!E23,tbSkills!DH3:DI6,2,FALSE)+IF(AND(Calculator!B8=TRUE,Backdoors!BI8=TRUE),VLOOKUP(Calculator!E23,tbSkills!DH3:DJ6,3,FALSE),0),0))&gt;=100,100,(Backdoors!AI12+IF(AK58&gt;=0.45,VLOOKUP(Calculator!E23,tbSkills!DH3:DI6,2,FALSE)+IF(AND(Calculator!B8=TRUE,Backdoors!BI8=TRUE),VLOOKUP(Calculator!E23,tbSkills!DH3:DJ6,3,FALSE),0),0)))/100)),1),1)</f>
        <v>0.5</v>
      </c>
      <c r="AQ58" s="87">
        <f t="shared" si="49"/>
        <v>2</v>
      </c>
      <c r="AR58" s="86">
        <f>IFERROR(IF(VLOOKUP(A58,tbMoveset!A2:B112,2,FALSE)="Sever",Backdoors!AY9/100,IF(VLOOKUP(A58,tbMoveset!A2:B112,2,FALSE)="Blunt",Backdoors!AZ9/100,Backdoors!BA9/100)),"")</f>
        <v>0.45</v>
      </c>
      <c r="AS58" s="49">
        <f>IFERROR(IF(VLOOKUP(tbMoveset!A58,tbMoveset!A2:H112,8,FALSE)="Other",IF(VLOOKUP(tbMoveset!A58,tbMoveset!A2:I112,9,FALSE)="Fire",Backdoors!BB9,IF(VLOOKUP(tbMoveset!A58,tbMoveset!A2:I112,9,FALSE)="Water",Backdoors!BC9,IF(VLOOKUP(tbMoveset!A58,tbMoveset!A2:I112,9,FALSE)="Thunder",Backdoors!BD9,IF(VLOOKUP(tbMoveset!A58,tbMoveset!A2:I112,9,FALSE)="Ice",Backdoors!BE9,IF(VLOOKUP(tbMoveset!A58,tbMoveset!A2:I112,9,FALSE)="Dragon",Backdoors!BF9,Backdoors!BG9)))))/100,Backdoors!BG9/100),"")</f>
        <v>0</v>
      </c>
      <c r="AT58" s="49">
        <f>IFERROR(IF(VLOOKUP(A58,tbMoveset!A2:J112,10,FALSE)=TRUE,IF((Backdoors!AI12+IF(AR58&gt;=0.45,VLOOKUP(Calculator!E23,tbSkills!DH3:DI6,2,FALSE)+IF(AND(Calculator!B8=TRUE,Backdoors!BI9=TRUE),VLOOKUP(Calculator!E23,tbSkills!DH3:DJ6,3,FALSE),0),0))&gt;=0,1+(Backdoors!AL2*(IF((Backdoors!AI12+IF(AR58&gt;=0.45,VLOOKUP(Calculator!E23,tbSkills!DH3:DI6,2,FALSE)+IF(AND(Calculator!B8=TRUE,Backdoors!BI9=TRUE),VLOOKUP(Calculator!E23,tbSkills!DH3:DJ6,3,FALSE),0),0))&gt;=100,100,(Backdoors!AI12+IF(AR58&gt;=0.45,VLOOKUP(Calculator!E23,tbSkills!DH3:DI6,2,FALSE)+IF(AND(Calculator!B8=TRUE,Backdoors!BI9=TRUE),VLOOKUP(Calculator!E23,tbSkills!DH3:DJ6,3,FALSE),0),0)))/100)),(1-(0.25*((-Backdoors!AI12-IF(AR58&gt;=0.45,VLOOKUP(Calculator!E23,tbSkills!DH3:DI6,2,FALSE)+IF(AND(Calculator!B8=TRUE,Backdoors!BI9=TRUE),VLOOKUP(Calculator!E23,tbSkills!DH3:DJ6,3,FALSE),0),0))/100)))),1),"")</f>
        <v>1</v>
      </c>
      <c r="AU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R58)*AT58)*(VLOOKUP(A58,tbMoveset!A2:C112,3,FALSE)/100)*IF(VLOOKUP(A58,tbMoveset!A2:B112,2,FALSE)="Projectile",Backdoors!N10,Backdoors!N9),0),"")</f>
        <v>2</v>
      </c>
      <c r="AV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R58&gt;=0.45,VLOOKUP(Calculator!E23,tbSkills!DH3:DI6,2,FALSE)+IF(AND(Calculator!B8=TRUE,Backdoors!BI9=TRUE),VLOOKUP(Calculator!E23,tbSkills!DH3:DJ6,3,FALSE),0),0))&gt;=100,100,(Backdoors!AI12+IF(AR58&gt;=0.45,VLOOKUP(Calculator!E23,tbSkills!DH3:DI6,2,FALSE)+IF(AND(Calculator!B8=TRUE,Backdoors!BI9=TRUE),VLOOKUP(Calculator!E23,tbSkills!DH3:DJ6,3,FALSE),0),0)))/100)),1))*IF(VLOOKUP(A58,tbMoveset!A2:K112,11,FALSE)=TRUE,Backdoors!AC5,1))*AS58,0),"")</f>
        <v>0</v>
      </c>
      <c r="AW58" s="49">
        <f>VLOOKUP(A58,tbMoveset!A2:G112,7,FALSE)*IFERROR(IF(Backdoors!AI12&gt;=0,1+(IF(Calculator!E40&gt;0,VLOOKUP(Calculator!E40,tbSkills!AI3:AJ5,2,FALSE),Backdoors!AL4)*(IF((Backdoors!AI12+IF(AR58&gt;=0.45,VLOOKUP(Calculator!E23,tbSkills!DH3:DI6,2,FALSE)+IF(AND(Calculator!B8=TRUE,Backdoors!BI9=TRUE),VLOOKUP(Calculator!E23,tbSkills!DH3:DJ6,3,FALSE),0),0))&gt;=100,100,(Backdoors!AI12+IF(AR58&gt;=0.45,VLOOKUP(Calculator!E23,tbSkills!DH3:DI6,2,FALSE)+IF(AND(Calculator!B8=TRUE,Backdoors!BI9=TRUE),VLOOKUP(Calculator!E23,tbSkills!DH3:DJ6,3,FALSE),0),0)))/100)),1),1)</f>
        <v>0.5</v>
      </c>
      <c r="AX58" s="87">
        <f t="shared" si="50"/>
        <v>2</v>
      </c>
      <c r="AY58" s="86">
        <f>IFERROR(IF(VLOOKUP(A58,tbMoveset!A2:B112,2,FALSE)="Sever",Backdoors!AY10/100,IF(VLOOKUP(A58,tbMoveset!A2:B112,2,FALSE)="Blunt",Backdoors!AZ10/100,Backdoors!BA10/100)),"")</f>
        <v>0.9</v>
      </c>
      <c r="AZ58" s="49">
        <f>IFERROR(IF(VLOOKUP(tbMoveset!A58,tbMoveset!A2:H112,8,FALSE)="Other",IF(VLOOKUP(tbMoveset!A58,tbMoveset!A2:I112,9,FALSE)="Fire",Backdoors!BB10,IF(VLOOKUP(tbMoveset!A58,tbMoveset!A2:I112,9,FALSE)="Water",Backdoors!BC10,IF(VLOOKUP(tbMoveset!A58,tbMoveset!A2:I112,9,FALSE)="Thunder",Backdoors!BD10,IF(VLOOKUP(tbMoveset!A58,tbMoveset!A2:I112,9,FALSE)="Ice",Backdoors!BE10,IF(VLOOKUP(tbMoveset!A58,tbMoveset!A2:I112,9,FALSE)="Dragon",Backdoors!BF10,Backdoors!BG10)))))/100,Backdoors!BG10/100),"")</f>
        <v>0</v>
      </c>
      <c r="BA58" s="49">
        <f>IFERROR(IF(VLOOKUP(A58,tbMoveset!A2:J112,10,FALSE)=TRUE,IF((Backdoors!AI12+IF(AY58&gt;=0.45,VLOOKUP(Calculator!E23,tbSkills!DH3:DI6,2,FALSE)+IF(AND(Calculator!B8=TRUE,Backdoors!BI10=TRUE),VLOOKUP(Calculator!E23,tbSkills!DH3:DJ6,3,FALSE),0),0))&gt;=0,1+(Backdoors!AL2*(IF((Backdoors!AI12+IF(AY58&gt;=0.45,VLOOKUP(Calculator!E23,tbSkills!DH3:DI6,2,FALSE)+IF(AND(Calculator!B8=TRUE,Backdoors!BI10=TRUE),VLOOKUP(Calculator!E23,tbSkills!DH3:DJ6,3,FALSE),0),0))&gt;=100,100,(Backdoors!AI12+IF(AY58&gt;=0.45,VLOOKUP(Calculator!E23,tbSkills!DH3:DI6,2,FALSE)+IF(AND(Calculator!B8=TRUE,Backdoors!BI10=TRUE),VLOOKUP(Calculator!E23,tbSkills!DH3:DJ6,3,FALSE),0),0)))/100)),(1-(0.25*((-Backdoors!AI12-IF(AY58&gt;=0.45,VLOOKUP(Calculator!E23,tbSkills!DH3:DI6,2,FALSE)+IF(AND(Calculator!B8=TRUE,Backdoors!BI10=TRUE),VLOOKUP(Calculator!E23,tbSkills!DH3:DJ6,3,FALSE),0),0))/100)))),1),"")</f>
        <v>1</v>
      </c>
      <c r="BB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Y58)*BA58)*(VLOOKUP(A58,tbMoveset!A2:C112,3,FALSE)/100)*IF(VLOOKUP(A58,tbMoveset!A2:B112,2,FALSE)="Projectile",Backdoors!N10,Backdoors!N9),0),"")</f>
        <v>5</v>
      </c>
      <c r="BC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Y58&gt;=0.45,VLOOKUP(Calculator!E23,tbSkills!DH3:DI6,2,FALSE)+IF(AND(Calculator!B8=TRUE,Backdoors!BI10=TRUE),VLOOKUP(Calculator!E23,tbSkills!DH3:DJ6,3,FALSE),0),0))&gt;=100,100,(Backdoors!AI12+IF(AY58&gt;=0.45,VLOOKUP(Calculator!E23,tbSkills!DH3:DI6,2,FALSE)+IF(AND(Calculator!B8=TRUE,Backdoors!BI10=TRUE),VLOOKUP(Calculator!E23,tbSkills!DH3:DJ6,3,FALSE),0),0)))/100)),1))*IF(VLOOKUP(A58,tbMoveset!A2:K112,11,FALSE)=TRUE,Backdoors!AC5,1))*AZ58,0),"")</f>
        <v>0</v>
      </c>
      <c r="BD58" s="49">
        <f>VLOOKUP(A58,tbMoveset!A2:G112,7,FALSE)*IFERROR(IF(Backdoors!AI12&gt;=0,1+(IF(Calculator!E40&gt;0,VLOOKUP(Calculator!E40,tbSkills!AI3:AJ5,2,FALSE),Backdoors!AL4)*(IF((Backdoors!AI12+IF(AY58&gt;=0.45,VLOOKUP(Calculator!E23,tbSkills!DH3:DI6,2,FALSE)+IF(AND(Calculator!B8=TRUE,Backdoors!BI10=TRUE),VLOOKUP(Calculator!E23,tbSkills!DH3:DJ6,3,FALSE),0),0))&gt;=100,100,(Backdoors!AI12+IF(AY58&gt;=0.45,VLOOKUP(Calculator!E23,tbSkills!DH3:DI6,2,FALSE)+IF(AND(Calculator!B8=TRUE,Backdoors!BI10=TRUE),VLOOKUP(Calculator!E23,tbSkills!DH3:DJ6,3,FALSE),0),0)))/100)),1),1)</f>
        <v>0.5</v>
      </c>
      <c r="BE58" s="87">
        <f t="shared" si="3"/>
        <v>5</v>
      </c>
      <c r="BF58" s="86" t="str">
        <f>IFERROR(IF(VLOOKUP(A58,tbMoveset!A2:B112,2,FALSE)="Sever",Backdoors!AY11/100,IF(VLOOKUP(A58,tbMoveset!A2:B112,2,FALSE)="Blunt",Backdoors!AZ11/100,Backdoors!BA11/100)),"")</f>
        <v/>
      </c>
      <c r="BG58" s="49">
        <f>IFERROR(IF(VLOOKUP(tbMoveset!A58,tbMoveset!A2:H112,8,FALSE)="Other",IF(VLOOKUP(tbMoveset!A58,tbMoveset!A2:I112,9,FALSE)="Fire",Backdoors!BB11,IF(VLOOKUP(tbMoveset!A58,tbMoveset!A2:I112,9,FALSE)="Water",Backdoors!BC11,IF(VLOOKUP(tbMoveset!A58,tbMoveset!A2:I112,9,FALSE)="Thunder",Backdoors!BD11,IF(VLOOKUP(tbMoveset!A58,tbMoveset!A2:I112,9,FALSE)="Ice",Backdoors!BE11,IF(VLOOKUP(tbMoveset!A58,tbMoveset!A2:I112,9,FALSE)="Dragon",Backdoors!BF11,Backdoors!BG11)))))/100,Backdoors!BG11/100),"")</f>
        <v>0</v>
      </c>
      <c r="BH58" s="49">
        <f>IFERROR(IF(VLOOKUP(A58,tbMoveset!A2:J112,10,FALSE)=TRUE,IF((Backdoors!AI12+IF(BF58&gt;=0.45,VLOOKUP(Calculator!E23,tbSkills!DH3:DI6,2,FALSE)+IF(AND(Calculator!B8=TRUE,Backdoors!BI11=TRUE),VLOOKUP(Calculator!E23,tbSkills!DH3:DJ6,3,FALSE),0),0))&gt;=0,1+(Backdoors!AL2*(IF((Backdoors!AI12+IF(BF58&gt;=0.45,VLOOKUP(Calculator!E23,tbSkills!DH3:DI6,2,FALSE)+IF(AND(Calculator!B8=TRUE,Backdoors!BI11=TRUE),VLOOKUP(Calculator!E23,tbSkills!DH3:DJ6,3,FALSE),0),0))&gt;=100,100,(Backdoors!AI12+IF(BF58&gt;=0.45,VLOOKUP(Calculator!E23,tbSkills!DH3:DI6,2,FALSE)+IF(AND(Calculator!B8=TRUE,Backdoors!BI11=TRUE),VLOOKUP(Calculator!E23,tbSkills!DH3:DJ6,3,FALSE),0),0)))/100)),(1-(0.25*((-Backdoors!AI12-IF(BF58&gt;=0.45,VLOOKUP(Calculator!E23,tbSkills!DH3:DI6,2,FALSE)+IF(AND(Calculator!B8=TRUE,Backdoors!BI11=TRUE),VLOOKUP(Calculator!E23,tbSkills!DH3:DJ6,3,FALSE),0),0))/100)))),1),"")</f>
        <v>1</v>
      </c>
      <c r="BI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F58)*BH58)*(VLOOKUP(A58,tbMoveset!A2:C112,3,FALSE)/100)*IF(VLOOKUP(A58,tbMoveset!A2:B112,2,FALSE)="Projectile",Backdoors!N10,Backdoors!N9),0),"")</f>
        <v/>
      </c>
      <c r="BJ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F58&gt;=0.45,VLOOKUP(Calculator!E23,tbSkills!DH3:DI6,2,FALSE)+IF(AND(Calculator!B8=TRUE,Backdoors!BI11=TRUE),VLOOKUP(Calculator!E23,tbSkills!DH3:DJ6,3,FALSE),0),0))&gt;=100,100,(Backdoors!AI12+IF(BF58&gt;=0.45,VLOOKUP(Calculator!E23,tbSkills!DH3:DI6,2,FALSE)+IF(AND(Calculator!B8=TRUE,Backdoors!BI11=TRUE),VLOOKUP(Calculator!E23,tbSkills!DH3:DJ6,3,FALSE),0),0)))/100)),1))*IF(VLOOKUP(A58,tbMoveset!A2:K112,11,FALSE)=TRUE,Backdoors!AC5,1))*BG58,0),"")</f>
        <v>0</v>
      </c>
      <c r="BK58" s="49">
        <f>VLOOKUP(A58,tbMoveset!A2:G112,7,FALSE)*IFERROR(IF(Backdoors!AI12&gt;=0,1+(IF(Calculator!E40&gt;0,VLOOKUP(Calculator!E40,tbSkills!AI3:AJ5,2,FALSE),Backdoors!AL4)*(IF((Backdoors!AI12+IF(BF58&gt;=0.45,VLOOKUP(Calculator!E23,tbSkills!DH3:DI6,2,FALSE)+IF(AND(Calculator!B8=TRUE,Backdoors!BI11=TRUE),VLOOKUP(Calculator!E23,tbSkills!DH3:DJ6,3,FALSE),0),0))&gt;=100,100,(Backdoors!AI12+IF(BF58&gt;=0.45,VLOOKUP(Calculator!E23,tbSkills!DH3:DI6,2,FALSE)+IF(AND(Calculator!B8=TRUE,Backdoors!BI11=TRUE),VLOOKUP(Calculator!E23,tbSkills!DH3:DJ6,3,FALSE),0),0)))/100)),1),1)</f>
        <v>0.5</v>
      </c>
      <c r="BL58" s="87">
        <f t="shared" si="4"/>
        <v>0</v>
      </c>
      <c r="BM58" s="86" t="str">
        <f>IFERROR(IF(VLOOKUP(A58,tbMoveset!A2:B112,2,FALSE)="Sever",Backdoors!AY12/100,IF(VLOOKUP(A58,tbMoveset!A2:B112,2,FALSE)="Blunt",Backdoors!AZ12/100,Backdoors!BA12/100)),"")</f>
        <v/>
      </c>
      <c r="BN58" s="49">
        <f>IFERROR(IF(VLOOKUP(tbMoveset!A58,tbMoveset!A2:H112,8,FALSE)="Other",IF(VLOOKUP(tbMoveset!A58,tbMoveset!A2:I112,9,FALSE)="Fire",Backdoors!BB12,IF(VLOOKUP(tbMoveset!A58,tbMoveset!A2:I112,9,FALSE)="Water",Backdoors!BC12,IF(VLOOKUP(tbMoveset!A58,tbMoveset!A2:I112,9,FALSE)="Thunder",Backdoors!BD12,IF(VLOOKUP(tbMoveset!A58,tbMoveset!A2:I112,9,FALSE)="Ice",Backdoors!BE12,IF(VLOOKUP(tbMoveset!A58,tbMoveset!A2:I112,9,FALSE)="Dragon",Backdoors!BF12,Backdoors!BG12)))))/100,Backdoors!BG12/100),"")</f>
        <v>0</v>
      </c>
      <c r="BO58" s="49">
        <f>IFERROR(IF(VLOOKUP(A58,tbMoveset!A2:J112,10,FALSE)=TRUE,IF((Backdoors!AI12+IF(BM58&gt;=0.45,VLOOKUP(Calculator!E23,tbSkills!DH3:DI6,2,FALSE)+IF(AND(Calculator!B8=TRUE,Backdoors!BI12=TRUE),VLOOKUP(Calculator!E23,tbSkills!DH3:DJ6,3,FALSE),0),0))&gt;=0,1+(Backdoors!AL2*(IF((Backdoors!AI12+IF(BM58&gt;=0.45,VLOOKUP(Calculator!E23,tbSkills!DH3:DI6,2,FALSE)+IF(AND(Calculator!B8=TRUE,Backdoors!BI12=TRUE),VLOOKUP(Calculator!E23,tbSkills!DH3:DJ6,3,FALSE),0),0))&gt;=100,100,(Backdoors!AI12+IF(BM58&gt;=0.45,VLOOKUP(Calculator!E23,tbSkills!DH3:DI6,2,FALSE)+IF(AND(Calculator!B8=TRUE,Backdoors!BI12=TRUE),VLOOKUP(Calculator!E23,tbSkills!DH3:DJ6,3,FALSE),0),0)))/100)),(1-(0.25*((-Backdoors!AI12-IF(BM58&gt;=0.45,VLOOKUP(Calculator!E23,tbSkills!DH3:DI6,2,FALSE)+IF(AND(Calculator!B8=TRUE,Backdoors!BI12=TRUE),VLOOKUP(Calculator!E23,tbSkills!DH3:DJ6,3,FALSE),0),0))/100)))),1),"")</f>
        <v>1</v>
      </c>
      <c r="BP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M58)*BO58)*(VLOOKUP(A58,tbMoveset!A2:C112,3,FALSE)/100)*IF(VLOOKUP(A58,tbMoveset!A2:B112,2,FALSE)="Projectile",Backdoors!N10,Backdoors!N9),0),"")</f>
        <v/>
      </c>
      <c r="BQ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M58&gt;=0.45,VLOOKUP(Calculator!E23,tbSkills!DH3:DI6,2,FALSE)+IF(AND(Calculator!B8=TRUE,Backdoors!BI12=TRUE),VLOOKUP(Calculator!E23,tbSkills!DH3:DJ6,3,FALSE),0),0))&gt;=100,100,(Backdoors!AI12+IF(BM58&gt;=0.45,VLOOKUP(Calculator!E23,tbSkills!DH3:DI6,2,FALSE)+IF(AND(Calculator!B8=TRUE,Backdoors!BI12=TRUE),VLOOKUP(Calculator!E23,tbSkills!DH3:DJ6,3,FALSE),0),0)))/100)),1))*IF(VLOOKUP(A58,tbMoveset!A2:K112,11,FALSE)=TRUE,Backdoors!AC5,1))*BN58,0),"")</f>
        <v>0</v>
      </c>
      <c r="BR58" s="49">
        <f>VLOOKUP(A58,tbMoveset!A2:G112,7,FALSE)*IFERROR(IF(Backdoors!AI12&gt;=0,1+(IF(Calculator!E40&gt;0,VLOOKUP(Calculator!E40,tbSkills!AI3:AJ5,2,FALSE),Backdoors!AL4)*(IF((Backdoors!AI12+IF(BM58&gt;=0.45,VLOOKUP(Calculator!E23,tbSkills!DH3:DI6,2,FALSE)+IF(AND(Calculator!B8=TRUE,Backdoors!BI12=TRUE),VLOOKUP(Calculator!E23,tbSkills!DH3:DJ6,3,FALSE),0),0))&gt;=100,100,(Backdoors!AI12+IF(BM58&gt;=0.45,VLOOKUP(Calculator!E23,tbSkills!DH3:DI6,2,FALSE)+IF(AND(Calculator!B8=TRUE,Backdoors!BI12=TRUE),VLOOKUP(Calculator!E23,tbSkills!DH3:DJ6,3,FALSE),0),0)))/100)),1),1)</f>
        <v>0.5</v>
      </c>
      <c r="BS58" s="87">
        <f t="shared" si="39"/>
        <v>0</v>
      </c>
      <c r="BT58" s="86" t="str">
        <f>IFERROR(IF(VLOOKUP(A58,tbMoveset!A2:B112,2,FALSE)="Sever",Backdoors!AY13/100,IF(VLOOKUP(A58,tbMoveset!A2:B112,2,FALSE)="Blunt",Backdoors!AZ13/100,Backdoors!BA13/100)),"")</f>
        <v/>
      </c>
      <c r="BU58" s="49">
        <f>IFERROR(IF(VLOOKUP(tbMoveset!A58,tbMoveset!A2:H112,8,FALSE)="Other",IF(VLOOKUP(tbMoveset!A58,tbMoveset!A2:I112,9,FALSE)="Fire",Backdoors!BB13,IF(VLOOKUP(tbMoveset!A58,tbMoveset!A2:I112,9,FALSE)="Water",Backdoors!BC13,IF(VLOOKUP(tbMoveset!A58,tbMoveset!A2:I112,9,FALSE)="Thunder",Backdoors!BD13,IF(VLOOKUP(tbMoveset!A58,tbMoveset!A2:I112,9,FALSE)="Ice",Backdoors!BE13,IF(VLOOKUP(tbMoveset!A58,tbMoveset!A2:I112,9,FALSE)="Dragon",Backdoors!BF13,Backdoors!BG13)))))/100,Backdoors!BG13/100),"")</f>
        <v>0</v>
      </c>
      <c r="BV58" s="49">
        <f>IFERROR(IF(VLOOKUP(A58,tbMoveset!A2:J112,10,FALSE)=TRUE,IF((Backdoors!AI12+IF(BT58&gt;=0.45,VLOOKUP(Calculator!E23,tbSkills!DH3:DI6,2,FALSE)+IF(AND(Calculator!B8=TRUE,Backdoors!BI13=TRUE),VLOOKUP(Calculator!E23,tbSkills!DH3:DJ6,3,FALSE),0),0))&gt;=0,1+(Backdoors!AL2*(IF((Backdoors!AI12+IF(BT58&gt;=0.45,VLOOKUP(Calculator!E23,tbSkills!DH3:DI6,2,FALSE)+IF(AND(Calculator!B8=TRUE,Backdoors!BI13=TRUE),VLOOKUP(Calculator!E23,tbSkills!DH3:DJ6,3,FALSE),0),0))&gt;=100,100,(Backdoors!AI12+IF(BT58&gt;=0.45,VLOOKUP(Calculator!E23,tbSkills!DH3:DI6,2,FALSE)+IF(AND(Calculator!B8=TRUE,Backdoors!BI13=TRUE),VLOOKUP(Calculator!E23,tbSkills!DH3:DJ6,3,FALSE),0),0)))/100)),(1-(0.25*((-Backdoors!AI12-IF(BT58&gt;=0.45,VLOOKUP(Calculator!E23,tbSkills!DH3:DI6,2,FALSE)+IF(AND(Calculator!B8=TRUE,Backdoors!BI13=TRUE),VLOOKUP(Calculator!E23,tbSkills!DH3:DJ6,3,FALSE),0),0))/100)))),1),"")</f>
        <v>1</v>
      </c>
      <c r="BW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T58)*BV58)*(VLOOKUP(A58,tbMoveset!A2:C112,3,FALSE)/100)*IF(VLOOKUP(A58,tbMoveset!A2:B112,2,FALSE)="Projectile",Backdoors!N10,Backdoors!N9),0),"")</f>
        <v/>
      </c>
      <c r="BX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T58&gt;=0.45,VLOOKUP(Calculator!E23,tbSkills!DH3:DI6,2,FALSE)+IF(AND(Calculator!B8=TRUE,Backdoors!BI13=TRUE),VLOOKUP(Calculator!E23,tbSkills!DH3:DJ6,3,FALSE),0),0))&gt;=100,100,(Backdoors!AI12+IF(BT58&gt;=0.45,VLOOKUP(Calculator!E23,tbSkills!DH3:DI6,2,FALSE)+IF(AND(Calculator!B8=TRUE,Backdoors!BI13=TRUE),VLOOKUP(Calculator!E23,tbSkills!DH3:DJ6,3,FALSE),0),0)))/100)),1))*IF(VLOOKUP(A58,tbMoveset!A2:K112,11,FALSE)=TRUE,Backdoors!AC5,1))*BU58,0),"")</f>
        <v>0</v>
      </c>
      <c r="BY58" s="49">
        <f>VLOOKUP(A58,tbMoveset!A2:G112,7,FALSE)*IFERROR(IF(Backdoors!AI12&gt;=0,1+(IF(Calculator!E40&gt;0,VLOOKUP(Calculator!E40,tbSkills!AI3:AJ5,2,FALSE),Backdoors!AL4)*(IF((Backdoors!AI12+IF(BT58&gt;=0.45,VLOOKUP(Calculator!E23,tbSkills!DH3:DI6,2,FALSE)+IF(AND(Calculator!B8=TRUE,Backdoors!BI13=TRUE),VLOOKUP(Calculator!E23,tbSkills!DH3:DJ6,3,FALSE),0),0))&gt;=100,100,(Backdoors!AI12+IF(BT58&gt;=0.45,VLOOKUP(Calculator!E23,tbSkills!DH3:DI6,2,FALSE)+IF(AND(Calculator!B8=TRUE,Backdoors!BI13=TRUE),VLOOKUP(Calculator!E23,tbSkills!DH3:DJ6,3,FALSE),0),0)))/100)),1),1)</f>
        <v>0.5</v>
      </c>
      <c r="BZ58" s="87">
        <f t="shared" si="5"/>
        <v>0</v>
      </c>
      <c r="CA58" s="86" t="str">
        <f>IFERROR(IF(VLOOKUP(A58,tbMoveset!A2:B112,2,FALSE)="Sever",Backdoors!AY14/100,IF(VLOOKUP(A58,tbMoveset!A2:B112,2,FALSE)="Blunt",Backdoors!AZ14/100,Backdoors!BA14/100)),"")</f>
        <v/>
      </c>
      <c r="CB58" s="49">
        <f>IFERROR(IF(VLOOKUP(tbMoveset!A58,tbMoveset!A2:H112,8,FALSE)="Other",IF(VLOOKUP(tbMoveset!A58,tbMoveset!A2:I112,9,FALSE)="Fire",Backdoors!BB14,IF(VLOOKUP(tbMoveset!A58,tbMoveset!A2:I112,9,FALSE)="Water",Backdoors!BC14,IF(VLOOKUP(tbMoveset!A58,tbMoveset!A2:I112,9,FALSE)="Thunder",Backdoors!BD14,IF(VLOOKUP(tbMoveset!A58,tbMoveset!A2:I112,9,FALSE)="Ice",Backdoors!BE14,IF(VLOOKUP(tbMoveset!A58,tbMoveset!A2:I112,9,FALSE)="Dragon",Backdoors!BF14,Backdoors!BG14)))))/100,Backdoors!BG14/100),"")</f>
        <v>0</v>
      </c>
      <c r="CC58" s="49">
        <f>IFERROR(IF(VLOOKUP(A58,tbMoveset!A2:J112,10,FALSE)=TRUE,IF((Backdoors!AI12+IF(CA58&gt;=0.45,VLOOKUP(Calculator!E23,tbSkills!DH3:DI6,2,FALSE)+IF(AND(Calculator!B8=TRUE,Backdoors!BI14=TRUE),VLOOKUP(Calculator!E23,tbSkills!DH3:DJ6,3,FALSE),0),0))&gt;=0,1+(Backdoors!AL2*(IF((Backdoors!AI12+IF(CA58&gt;=0.45,VLOOKUP(Calculator!E23,tbSkills!DH3:DI6,2,FALSE)+IF(AND(Calculator!B8=TRUE,Backdoors!BI14=TRUE),VLOOKUP(Calculator!E23,tbSkills!DH3:DJ6,3,FALSE),0),0))&gt;=100,100,(Backdoors!AI12+IF(CA58&gt;=0.45,VLOOKUP(Calculator!E23,tbSkills!DH3:DI6,2,FALSE)+IF(AND(Calculator!B8=TRUE,Backdoors!BI14=TRUE),VLOOKUP(Calculator!E23,tbSkills!DH3:DJ6,3,FALSE),0),0)))/100)),(1-(0.25*((-Backdoors!AI12-IF(CA58&gt;=0.45,VLOOKUP(Calculator!E23,tbSkills!DH3:DI6,2,FALSE)+IF(AND(Calculator!B8=TRUE,Backdoors!BI14=TRUE),VLOOKUP(Calculator!E23,tbSkills!DH3:DJ6,3,FALSE),0),0))/100)))),1),"")</f>
        <v>1</v>
      </c>
      <c r="CD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A58)*CC58)*(VLOOKUP(A58,tbMoveset!A2:C112,3,FALSE)/100)*IF(VLOOKUP(A58,tbMoveset!A2:B112,2,FALSE)="Projectile",Backdoors!N10,Backdoors!N9),0),"")</f>
        <v/>
      </c>
      <c r="CE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A58&gt;=0.45,VLOOKUP(Calculator!E23,tbSkills!DH3:DI6,2,FALSE)+IF(AND(Calculator!B8=TRUE,Backdoors!BI14=TRUE),VLOOKUP(Calculator!E23,tbSkills!DH3:DJ6,3,FALSE),0),0))&gt;=100,100,(Backdoors!AI12+IF(CA58&gt;=0.45,VLOOKUP(Calculator!E23,tbSkills!DH3:DI6,2,FALSE)+IF(AND(Calculator!B8=TRUE,Backdoors!BI14=TRUE),VLOOKUP(Calculator!E23,tbSkills!DH3:DJ6,3,FALSE),0),0)))/100)),1))*IF(VLOOKUP(A58,tbMoveset!A2:K112,11,FALSE)=TRUE,Backdoors!AC5,1))*CB58,0),"")</f>
        <v>0</v>
      </c>
      <c r="CF58" s="49">
        <f>VLOOKUP(A58,tbMoveset!A2:G112,7,FALSE)*IFERROR(IF(Backdoors!AI12&gt;=0,1+(IF(Calculator!E40&gt;0,VLOOKUP(Calculator!E40,tbSkills!AI3:AJ5,2,FALSE),Backdoors!AL4)*(IF((Backdoors!AI12+IF(CA58&gt;=0.45,VLOOKUP(Calculator!E23,tbSkills!DH3:DI6,2,FALSE)+IF(AND(Calculator!B8=TRUE,Backdoors!BI14=TRUE),VLOOKUP(Calculator!E23,tbSkills!DH3:DJ6,3,FALSE),0),0))&gt;=100,100,(Backdoors!AI12+IF(CA58&gt;=0.45,VLOOKUP(Calculator!E23,tbSkills!DH3:DI6,2,FALSE)+IF(AND(Calculator!B8=TRUE,Backdoors!BI14=TRUE),VLOOKUP(Calculator!E23,tbSkills!DH3:DJ6,3,FALSE),0),0)))/100)),1),1)</f>
        <v>0.5</v>
      </c>
      <c r="CG58" s="87">
        <f t="shared" si="6"/>
        <v>0</v>
      </c>
      <c r="CH58" s="86" t="str">
        <f>IFERROR(IF(VLOOKUP(A58,tbMoveset!A2:B112,2,FALSE)="Sever",Backdoors!AY15/100,IF(VLOOKUP(A58,tbMoveset!A2:B112,2,FALSE)="Blunt",Backdoors!AZ15/100,Backdoors!BA15/100)),"")</f>
        <v/>
      </c>
      <c r="CI58" s="49">
        <f>IFERROR(IF(VLOOKUP(tbMoveset!A58,tbMoveset!A2:H112,8,FALSE)="Other",IF(VLOOKUP(tbMoveset!A58,tbMoveset!A2:I112,9,FALSE)="Fire",Backdoors!BB15,IF(VLOOKUP(tbMoveset!A58,tbMoveset!A2:I112,9,FALSE)="Water",Backdoors!BC15,IF(VLOOKUP(tbMoveset!A58,tbMoveset!A2:I112,9,FALSE)="Thunder",Backdoors!BD15,IF(VLOOKUP(tbMoveset!A58,tbMoveset!A2:I112,9,FALSE)="Ice",Backdoors!BE15,IF(VLOOKUP(tbMoveset!A58,tbMoveset!A2:I112,9,FALSE)="Dragon",Backdoors!BF15,Backdoors!BG15)))))/100,Backdoors!BG15/100),"")</f>
        <v>0</v>
      </c>
      <c r="CJ58" s="49">
        <f>IFERROR(IF(VLOOKUP(A58,tbMoveset!A2:J112,10,FALSE)=TRUE,IF((Backdoors!AI12+IF(CH58&gt;=0.45,VLOOKUP(Calculator!E23,tbSkills!DH3:DI6,2,FALSE)+IF(AND(Calculator!B8=TRUE,Backdoors!BI15=TRUE),VLOOKUP(Calculator!E23,tbSkills!DH3:DJ6,3,FALSE),0),0))&gt;=0,1+(Backdoors!AL2*(IF((Backdoors!AI12+IF(CH58&gt;=0.45,VLOOKUP(Calculator!E23,tbSkills!DH3:DI6,2,FALSE)+IF(AND(Calculator!B8=TRUE,Backdoors!BI15=TRUE),VLOOKUP(Calculator!E23,tbSkills!DH3:DJ6,3,FALSE),0),0))&gt;=100,100,(Backdoors!AI12+IF(CH58&gt;=0.45,VLOOKUP(Calculator!E23,tbSkills!DH3:DI6,2,FALSE)+IF(AND(Calculator!B8=TRUE,Backdoors!BI15=TRUE),VLOOKUP(Calculator!E23,tbSkills!DH3:DJ6,3,FALSE),0),0)))/100)),(1-(0.25*((-Backdoors!AI12-IF(CH58&gt;=0.45,VLOOKUP(Calculator!E23,tbSkills!DH3:DI6,2,FALSE)+IF(AND(Calculator!B8=TRUE,Backdoors!BI15=TRUE),VLOOKUP(Calculator!E23,tbSkills!DH3:DJ6,3,FALSE),0),0))/100)))),1),"")</f>
        <v>1</v>
      </c>
      <c r="CK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H58)*CJ58)*(VLOOKUP(A58,tbMoveset!A2:C112,3,FALSE)/100)*IF(VLOOKUP(A58,tbMoveset!A2:B112,2,FALSE)="Projectile",Backdoors!N10,Backdoors!N9),0),"")</f>
        <v/>
      </c>
      <c r="CL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H58&gt;=0.45,VLOOKUP(Calculator!E23,tbSkills!DH3:DI6,2,FALSE)+IF(AND(Calculator!B8=TRUE,Backdoors!BI15=TRUE),VLOOKUP(Calculator!E23,tbSkills!DH3:DJ6,3,FALSE),0),0))&gt;=100,100,(Backdoors!AI12+IF(CH58&gt;=0.45,VLOOKUP(Calculator!E23,tbSkills!DH3:DI6,2,FALSE)+IF(AND(Calculator!B8=TRUE,Backdoors!BI15=TRUE),VLOOKUP(Calculator!E23,tbSkills!DH3:DJ6,3,FALSE),0),0)))/100)),1))*IF(VLOOKUP(A58,tbMoveset!A2:K112,11,FALSE)=TRUE,Backdoors!AC5,1))*CI58,0),"")</f>
        <v>0</v>
      </c>
      <c r="CM58" s="49">
        <f>VLOOKUP(A58,tbMoveset!A2:G112,7,FALSE)*IFERROR(IF(Backdoors!AI12&gt;=0,1+(IF(Calculator!E40&gt;0,VLOOKUP(Calculator!E40,tbSkills!AI3:AJ5,2,FALSE),Backdoors!AL4)*(IF((Backdoors!AI12+IF(CH58&gt;=0.45,VLOOKUP(Calculator!E23,tbSkills!DH3:DI6,2,FALSE)+IF(AND(Calculator!B8=TRUE,Backdoors!BI15=TRUE),VLOOKUP(Calculator!E23,tbSkills!DH3:DJ6,3,FALSE),0),0))&gt;=100,100,(Backdoors!AI12+IF(CH58&gt;=0.45,VLOOKUP(Calculator!E23,tbSkills!DH3:DI6,2,FALSE)+IF(AND(Calculator!B8=TRUE,Backdoors!BI15=TRUE),VLOOKUP(Calculator!E23,tbSkills!DH3:DJ6,3,FALSE),0),0)))/100)),1),1)</f>
        <v>0.5</v>
      </c>
      <c r="CN58" s="87">
        <f t="shared" si="7"/>
        <v>0</v>
      </c>
      <c r="CO58" s="86" t="str">
        <f>IFERROR(IF(VLOOKUP(A58,tbMoveset!A2:B112,2,FALSE)="Sever",Backdoors!AY16/100,IF(VLOOKUP(A58,tbMoveset!A2:B112,2,FALSE)="Blunt",Backdoors!AZ16/100,Backdoors!BA16/100)),"")</f>
        <v/>
      </c>
      <c r="CP58" s="49">
        <f>IFERROR(IF(VLOOKUP(tbMoveset!A58,tbMoveset!A2:H112,8,FALSE)="Other",IF(VLOOKUP(tbMoveset!A58,tbMoveset!A2:I112,9,FALSE)="Fire",Backdoors!BB16,IF(VLOOKUP(tbMoveset!A58,tbMoveset!A2:I112,9,FALSE)="Water",Backdoors!BC16,IF(VLOOKUP(tbMoveset!A58,tbMoveset!A2:I112,9,FALSE)="Thunder",Backdoors!BD16,IF(VLOOKUP(tbMoveset!A58,tbMoveset!A2:I112,9,FALSE)="Ice",Backdoors!BE16,IF(VLOOKUP(tbMoveset!A58,tbMoveset!A2:I112,9,FALSE)="Dragon",Backdoors!BF16,Backdoors!BG16)))))/100,Backdoors!BG16/100),"")</f>
        <v>0</v>
      </c>
      <c r="CQ58" s="49">
        <f>IFERROR(IF(VLOOKUP(A58,tbMoveset!A2:J112,10,FALSE)=TRUE,IF((Backdoors!AI12+IF(CO58&gt;=0.45,VLOOKUP(Calculator!E23,tbSkills!DH3:DI6,2,FALSE)+IF(AND(Calculator!B8=TRUE,Backdoors!BI16=TRUE),VLOOKUP(Calculator!E23,tbSkills!DH3:DJ6,3,FALSE),0),0))&gt;=0,1+(Backdoors!AL2*(IF((Backdoors!AI12+IF(CO58&gt;=0.45,VLOOKUP(Calculator!E23,tbSkills!DH3:DI6,2,FALSE)+IF(AND(Calculator!B8=TRUE,Backdoors!BI16=TRUE),VLOOKUP(Calculator!E23,tbSkills!DH3:DJ6,3,FALSE),0),0))&gt;=100,100,(Backdoors!AI12+IF(CO58&gt;=0.45,VLOOKUP(Calculator!E23,tbSkills!DH3:DI6,2,FALSE)+IF(AND(Calculator!B8=TRUE,Backdoors!BI16=TRUE),VLOOKUP(Calculator!E23,tbSkills!DH3:DJ6,3,FALSE),0),0)))/100)),(1-(0.25*((-Backdoors!AI12-IF(CO58&gt;=0.45,VLOOKUP(Calculator!E23,tbSkills!DH3:DI6,2,FALSE)+IF(AND(Calculator!B8=TRUE,Backdoors!BI16=TRUE),VLOOKUP(Calculator!E23,tbSkills!DH3:DJ6,3,FALSE),0),0))/100)))),1),"")</f>
        <v>1</v>
      </c>
      <c r="CR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O58)*CQ58)*(VLOOKUP(A58,tbMoveset!A2:C112,3,FALSE)/100)*IF(VLOOKUP(A58,tbMoveset!A2:B112,2,FALSE)="Projectile",Backdoors!N10,Backdoors!N9),0),"")</f>
        <v/>
      </c>
      <c r="CS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O58&gt;=0.45,VLOOKUP(Calculator!E23,tbSkills!DH3:DI6,2,FALSE)+IF(AND(Calculator!B8=TRUE,Backdoors!BI16=TRUE),VLOOKUP(Calculator!E23,tbSkills!DH3:DJ6,3,FALSE),0),0))&gt;=100,100,(Backdoors!AI12+IF(CO58&gt;=0.45,VLOOKUP(Calculator!E23,tbSkills!DH3:DI6,2,FALSE)+IF(AND(Calculator!B8=TRUE,Backdoors!BI16=TRUE),VLOOKUP(Calculator!E23,tbSkills!DH3:DJ6,3,FALSE),0),0)))/100)),1))*IF(VLOOKUP(A58,tbMoveset!A2:K112,11,FALSE)=TRUE,Backdoors!AC5,1))*CP58,0),"")</f>
        <v>0</v>
      </c>
      <c r="CT58" s="49">
        <f>VLOOKUP(A58,tbMoveset!A2:G112,7,FALSE)*IFERROR(IF(Backdoors!AI12&gt;=0,1+(IF(Calculator!E40&gt;0,VLOOKUP(Calculator!E40,tbSkills!AI3:AJ5,2,FALSE),Backdoors!AL4)*(IF((Backdoors!AI12+IF(CO58&gt;=0.45,VLOOKUP(Calculator!E23,tbSkills!DH3:DI6,2,FALSE)+IF(AND(Calculator!B8=TRUE,Backdoors!BI16=TRUE),VLOOKUP(Calculator!E23,tbSkills!DH3:DJ6,3,FALSE),0),0))&gt;=100,100,(Backdoors!AI12+IF(CO58&gt;=0.45,VLOOKUP(Calculator!E23,tbSkills!DH3:DI6,2,FALSE)+IF(AND(Calculator!B8=TRUE,Backdoors!BI16=TRUE),VLOOKUP(Calculator!E23,tbSkills!DH3:DJ6,3,FALSE),0),0)))/100)),1),1)</f>
        <v>0.5</v>
      </c>
      <c r="CU58" s="87">
        <f t="shared" si="40"/>
        <v>0</v>
      </c>
      <c r="CV58" s="86" t="str">
        <f>IFERROR(IF(VLOOKUP(A58,tbMoveset!A2:B112,2,FALSE)="Sever",Backdoors!AY17/100,IF(VLOOKUP(A58,tbMoveset!A2:B112,2,FALSE)="Blunt",Backdoors!AZ17/100,Backdoors!BA17/100)),"")</f>
        <v/>
      </c>
      <c r="CW58" s="49">
        <f>IFERROR(IF(VLOOKUP(tbMoveset!A58,tbMoveset!A2:H112,8,FALSE)="Other",IF(VLOOKUP(tbMoveset!A58,tbMoveset!A2:I112,9,FALSE)="Fire",Backdoors!BB17,IF(VLOOKUP(tbMoveset!A58,tbMoveset!A2:I112,9,FALSE)="Water",Backdoors!BC17,IF(VLOOKUP(tbMoveset!A58,tbMoveset!A2:I112,9,FALSE)="Thunder",Backdoors!BD17,IF(VLOOKUP(tbMoveset!A58,tbMoveset!A2:I112,9,FALSE)="Ice",Backdoors!BE17,IF(VLOOKUP(tbMoveset!A58,tbMoveset!A2:I112,9,FALSE)="Dragon",Backdoors!BF17,Backdoors!BG17)))))/100,Backdoors!BG17/100),"")</f>
        <v>0</v>
      </c>
      <c r="CX58" s="49">
        <f>IFERROR(IF(VLOOKUP(A58,tbMoveset!A2:J112,10,FALSE)=TRUE,IF((Backdoors!AI12+IF(CV58&gt;=0.45,VLOOKUP(Calculator!E23,tbSkills!DH3:DI6,2,FALSE)+IF(AND(Calculator!B8=TRUE,Backdoors!BI17=TRUE),VLOOKUP(Calculator!E23,tbSkills!DH3:DJ6,3,FALSE),0),0))&gt;=0,1+(Backdoors!AL2*(IF((Backdoors!AI12+IF(CV58&gt;=0.45,VLOOKUP(Calculator!E23,tbSkills!DH3:DI6,2,FALSE)+IF(AND(Calculator!B8=TRUE,Backdoors!BI17=TRUE),VLOOKUP(Calculator!E23,tbSkills!DH3:DJ6,3,FALSE),0),0))&gt;=100,100,(Backdoors!AI12+IF(CV58&gt;=0.45,VLOOKUP(Calculator!E23,tbSkills!DH3:DI6,2,FALSE)+IF(AND(Calculator!B8=TRUE,Backdoors!BI17=TRUE),VLOOKUP(Calculator!E23,tbSkills!DH3:DJ6,3,FALSE),0),0)))/100)),(1-(0.25*((-Backdoors!AI12-IF(CV58&gt;=0.45,VLOOKUP(Calculator!E23,tbSkills!DH3:DI6,2,FALSE)+IF(AND(Calculator!B8=TRUE,Backdoors!BI17=TRUE),VLOOKUP(Calculator!E23,tbSkills!DH3:DJ6,3,FALSE),0),0))/100)))),1),"")</f>
        <v>1</v>
      </c>
      <c r="CY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V58)*CX58)*(VLOOKUP(A58,tbMoveset!A2:C112,3,FALSE)/100)*IF(VLOOKUP(A58,tbMoveset!A2:B112,2,FALSE)="Projectile",Backdoors!N10,Backdoors!N9),0),"")</f>
        <v/>
      </c>
      <c r="CZ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V58&gt;=0.45,VLOOKUP(Calculator!E23,tbSkills!DH3:DI6,2,FALSE)+IF(AND(Calculator!B8=TRUE,Backdoors!BI17=TRUE),VLOOKUP(Calculator!E23,tbSkills!DH3:DJ6,3,FALSE),0),0))&gt;=100,100,(Backdoors!AI12+IF(CV58&gt;=0.45,VLOOKUP(Calculator!E23,tbSkills!DH3:DI6,2,FALSE)+IF(AND(Calculator!B8=TRUE,Backdoors!BI17=TRUE),VLOOKUP(Calculator!E23,tbSkills!DH3:DJ6,3,FALSE),0),0)))/100)),1))*IF(VLOOKUP(A58,tbMoveset!A2:K112,11,FALSE)=TRUE,Backdoors!AC5,1))*CW58,0),"")</f>
        <v>0</v>
      </c>
      <c r="DA58" s="49">
        <f>VLOOKUP(A58,tbMoveset!A2:G112,7,FALSE)*IFERROR(IF(Backdoors!AI12&gt;=0,1+(IF(Calculator!E40&gt;0,VLOOKUP(Calculator!E40,tbSkills!AI3:AJ5,2,FALSE),Backdoors!AL4)*(IF((Backdoors!AI12+IF(CV58&gt;=0.45,VLOOKUP(Calculator!E23,tbSkills!DH3:DI6,2,FALSE)+IF(AND(Calculator!B8=TRUE,Backdoors!BI17=TRUE),VLOOKUP(Calculator!E23,tbSkills!DH3:DJ6,3,FALSE),0),0))&gt;=100,100,(Backdoors!AI12+IF(CV58&gt;=0.45,VLOOKUP(Calculator!E23,tbSkills!DH3:DI6,2,FALSE)+IF(AND(Calculator!B8=TRUE,Backdoors!BI17=TRUE),VLOOKUP(Calculator!E23,tbSkills!DH3:DJ6,3,FALSE),0),0)))/100)),1),1)</f>
        <v>0.5</v>
      </c>
      <c r="DB58" s="87">
        <f t="shared" si="8"/>
        <v>0</v>
      </c>
      <c r="DC58" s="86" t="str">
        <f>IFERROR(IF(VLOOKUP(A58,tbMoveset!A2:B112,2,FALSE)="Sever",Backdoors!AY18/100,IF(VLOOKUP(A58,tbMoveset!A2:B112,2,FALSE)="Blunt",Backdoors!AZ18/100,Backdoors!BA18/100)),"")</f>
        <v/>
      </c>
      <c r="DD58" s="49">
        <f>IFERROR(IF(VLOOKUP(tbMoveset!A58,tbMoveset!A2:H112,8,FALSE)="Other",IF(VLOOKUP(tbMoveset!A58,tbMoveset!A2:I112,9,FALSE)="Fire",Backdoors!BB18,IF(VLOOKUP(tbMoveset!A58,tbMoveset!A2:I112,9,FALSE)="Water",Backdoors!BC18,IF(VLOOKUP(tbMoveset!A58,tbMoveset!A2:I112,9,FALSE)="Thunder",Backdoors!BD18,IF(VLOOKUP(tbMoveset!A58,tbMoveset!A2:I112,9,FALSE)="Ice",Backdoors!BE18,IF(VLOOKUP(tbMoveset!A58,tbMoveset!A2:I112,9,FALSE)="Dragon",Backdoors!BF18,Backdoors!BG18)))))/100,Backdoors!BG18/100),"")</f>
        <v>0</v>
      </c>
      <c r="DE58" s="49">
        <f>IFERROR(IF(VLOOKUP(A58,tbMoveset!A2:J112,10,FALSE)=TRUE,IF((Backdoors!AI12+IF(DC58&gt;=0.45,VLOOKUP(Calculator!E23,tbSkills!DH3:DI6,2,FALSE)+IF(AND(Calculator!B8=TRUE,Backdoors!BI18=TRUE),VLOOKUP(Calculator!E23,tbSkills!DH3:DJ6,3,FALSE),0),0))&gt;=0,1+(Backdoors!AL2*(IF((Backdoors!AI12+IF(DC58&gt;=0.45,VLOOKUP(Calculator!E23,tbSkills!DH3:DI6,2,FALSE)+IF(AND(Calculator!B8=TRUE,Backdoors!BI18=TRUE),VLOOKUP(Calculator!E23,tbSkills!DH3:DJ6,3,FALSE),0),0))&gt;=100,100,(Backdoors!AI12+IF(DC58&gt;=0.45,VLOOKUP(Calculator!E23,tbSkills!DH3:DI6,2,FALSE)+IF(AND(Calculator!B8=TRUE,Backdoors!BI18=TRUE),VLOOKUP(Calculator!E23,tbSkills!DH3:DJ6,3,FALSE),0),0)))/100)),(1-(0.25*((-Backdoors!AI12-IF(DC58&gt;=0.45,VLOOKUP(Calculator!E23,tbSkills!DH3:DI6,2,FALSE)+IF(AND(Calculator!B8=TRUE,Backdoors!BI18=TRUE),VLOOKUP(Calculator!E23,tbSkills!DH3:DJ6,3,FALSE),0),0))/100)))),1),"")</f>
        <v>1</v>
      </c>
      <c r="DF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C58)*DE58)*(VLOOKUP(A58,tbMoveset!A2:C112,3,FALSE)/100)*IF(VLOOKUP(A58,tbMoveset!A2:B112,2,FALSE)="Projectile",Backdoors!N10,Backdoors!N9),0),"")</f>
        <v/>
      </c>
      <c r="DG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C58&gt;=0.45,VLOOKUP(Calculator!E23,tbSkills!DH3:DI6,2,FALSE)+IF(AND(Calculator!B8=TRUE,Backdoors!BI18=TRUE),VLOOKUP(Calculator!E23,tbSkills!DH3:DJ6,3,FALSE),0),0))&gt;=100,100,(Backdoors!AI12+IF(DC58&gt;=0.45,VLOOKUP(Calculator!E23,tbSkills!DH3:DI6,2,FALSE)+IF(AND(Calculator!B8=TRUE,Backdoors!BI18=TRUE),VLOOKUP(Calculator!E23,tbSkills!DH3:DJ6,3,FALSE),0),0)))/100)),1))*IF(VLOOKUP(A58,tbMoveset!A2:K112,11,FALSE)=TRUE,Backdoors!AC5,1))*DD58,0),"")</f>
        <v>0</v>
      </c>
      <c r="DH58" s="49">
        <f>VLOOKUP(A58,tbMoveset!A2:G112,7,FALSE)*IFERROR(IF(Backdoors!AI12&gt;=0,1+(IF(Calculator!E40&gt;0,VLOOKUP(Calculator!E40,tbSkills!AI3:AJ5,2,FALSE),Backdoors!AL4)*(IF((Backdoors!AI12+IF(DC58&gt;=0.45,VLOOKUP(Calculator!E23,tbSkills!DH3:DI6,2,FALSE)+IF(AND(Calculator!B8=TRUE,Backdoors!BI18=TRUE),VLOOKUP(Calculator!E23,tbSkills!DH3:DJ6,3,FALSE),0),0))&gt;=100,100,(Backdoors!AI12+IF(DC58&gt;=0.45,VLOOKUP(Calculator!E23,tbSkills!DH3:DI6,2,FALSE)+IF(AND(Calculator!B8=TRUE,Backdoors!BI18=TRUE),VLOOKUP(Calculator!E23,tbSkills!DH3:DJ6,3,FALSE),0),0)))/100)),1),1)</f>
        <v>0.5</v>
      </c>
      <c r="DI58" s="87">
        <f t="shared" si="9"/>
        <v>0</v>
      </c>
      <c r="DJ58" s="86" t="str">
        <f>IFERROR(IF(VLOOKUP(A58,tbMoveset!A2:B112,2,FALSE)="Sever",Backdoors!AY19/100,IF(VLOOKUP(A58,tbMoveset!A2:B112,2,FALSE)="Blunt",Backdoors!AZ19/100,Backdoors!BA19/100)),"")</f>
        <v/>
      </c>
      <c r="DK58" s="49">
        <f>IFERROR(IF(VLOOKUP(tbMoveset!A58,tbMoveset!A2:H112,8,FALSE)="Other",IF(VLOOKUP(tbMoveset!A58,tbMoveset!A2:I112,9,FALSE)="Fire",Backdoors!BB19,IF(VLOOKUP(tbMoveset!A58,tbMoveset!A2:I112,9,FALSE)="Water",Backdoors!BC19,IF(VLOOKUP(tbMoveset!A58,tbMoveset!A2:I112,9,FALSE)="Thunder",Backdoors!BD19,IF(VLOOKUP(tbMoveset!A58,tbMoveset!A2:I112,9,FALSE)="Ice",Backdoors!BE19,IF(VLOOKUP(tbMoveset!A58,tbMoveset!A2:I112,9,FALSE)="Dragon",Backdoors!BF19,Backdoors!BG19)))))/100,Backdoors!BG19/100),"")</f>
        <v>0</v>
      </c>
      <c r="DL58" s="49">
        <f>IFERROR(IF(VLOOKUP(A58,tbMoveset!A2:J112,10,FALSE)=TRUE,IF((Backdoors!AI12+IF(DJ58&gt;=0.45,VLOOKUP(Calculator!E23,tbSkills!DH3:DI6,2,FALSE)+IF(AND(Calculator!B8=TRUE,Backdoors!BI19=TRUE),VLOOKUP(Calculator!E23,tbSkills!DH3:DJ6,3,FALSE),0),0))&gt;=0,1+(Backdoors!AL2*(IF((Backdoors!AI12+IF(DJ58&gt;=0.45,VLOOKUP(Calculator!E23,tbSkills!DH3:DI6,2,FALSE)+IF(AND(Calculator!B8=TRUE,Backdoors!BI19=TRUE),VLOOKUP(Calculator!E23,tbSkills!DH3:DJ6,3,FALSE),0),0))&gt;=100,100,(Backdoors!AI12+IF(DJ58&gt;=0.45,VLOOKUP(Calculator!E23,tbSkills!DH3:DI6,2,FALSE)+IF(AND(Calculator!B8=TRUE,Backdoors!BI19=TRUE),VLOOKUP(Calculator!E23,tbSkills!DH3:DJ6,3,FALSE),0),0)))/100)),(1-(0.25*((-Backdoors!AI12-IF(DJ58&gt;=0.45,VLOOKUP(Calculator!E23,tbSkills!DH3:DI6,2,FALSE)+IF(AND(Calculator!B8=TRUE,Backdoors!BI19=TRUE),VLOOKUP(Calculator!E23,tbSkills!DH3:DJ6,3,FALSE),0),0))/100)))),1),"")</f>
        <v>1</v>
      </c>
      <c r="DM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J58)*DL58)*(VLOOKUP(A58,tbMoveset!A2:C112,3,FALSE)/100)*IF(VLOOKUP(A58,tbMoveset!A2:B112,2,FALSE)="Projectile",Backdoors!N10,Backdoors!N9),0),"")</f>
        <v/>
      </c>
      <c r="DN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J58&gt;=0.45,VLOOKUP(Calculator!E23,tbSkills!DH3:DI6,2,FALSE)+IF(AND(Calculator!B8=TRUE,Backdoors!BI19=TRUE),VLOOKUP(Calculator!E23,tbSkills!DH3:DJ6,3,FALSE),0),0))&gt;=100,100,(Backdoors!AI12+IF(DJ58&gt;=0.45,VLOOKUP(Calculator!E23,tbSkills!DH3:DI6,2,FALSE)+IF(AND(Calculator!B8=TRUE,Backdoors!BI19=TRUE),VLOOKUP(Calculator!E23,tbSkills!DH3:DJ6,3,FALSE),0),0)))/100)),1))*IF(VLOOKUP(A58,tbMoveset!A2:K112,11,FALSE)=TRUE,Backdoors!AC5,1))*DK58,0),"")</f>
        <v>0</v>
      </c>
      <c r="DO58" s="49">
        <f>VLOOKUP(A58,tbMoveset!A2:G112,7,FALSE)*IFERROR(IF(Backdoors!AI12&gt;=0,1+(IF(Calculator!E40&gt;0,VLOOKUP(Calculator!E40,tbSkills!AI3:AJ5,2,FALSE),Backdoors!AL4)*(IF((Backdoors!AI12+IF(DJ58&gt;=0.45,VLOOKUP(Calculator!E23,tbSkills!DH3:DI6,2,FALSE)+IF(AND(Calculator!B8=TRUE,Backdoors!BI19=TRUE),VLOOKUP(Calculator!E23,tbSkills!DH3:DJ6,3,FALSE),0),0))&gt;=100,100,(Backdoors!AI12+IF(DJ58&gt;=0.45,VLOOKUP(Calculator!E23,tbSkills!DH3:DI6,2,FALSE)+IF(AND(Calculator!B8=TRUE,Backdoors!BI19=TRUE),VLOOKUP(Calculator!E23,tbSkills!DH3:DJ6,3,FALSE),0),0)))/100)),1),1)</f>
        <v>0.5</v>
      </c>
      <c r="DP58" s="87">
        <f t="shared" si="41"/>
        <v>0</v>
      </c>
      <c r="DQ58" s="86" t="str">
        <f>IFERROR(IF(VLOOKUP(A58,tbMoveset!A2:B112,2,FALSE)="Sever",Backdoors!AY20/100,IF(VLOOKUP(A58,tbMoveset!A2:B112,2,FALSE)="Blunt",Backdoors!AZ20/100,Backdoors!BA20/100)),"")</f>
        <v/>
      </c>
      <c r="DR58" s="49">
        <f>IFERROR(IF(VLOOKUP(tbMoveset!A58,tbMoveset!A2:H112,8,FALSE)="Other",IF(VLOOKUP(tbMoveset!A58,tbMoveset!A2:I112,9,FALSE)="Fire",Backdoors!BB20,IF(VLOOKUP(tbMoveset!A58,tbMoveset!A2:I112,9,FALSE)="Water",Backdoors!BC20,IF(VLOOKUP(tbMoveset!A58,tbMoveset!A2:I112,9,FALSE)="Thunder",Backdoors!BD20,IF(VLOOKUP(tbMoveset!A58,tbMoveset!A2:I112,9,FALSE)="Ice",Backdoors!BE20,IF(VLOOKUP(tbMoveset!A58,tbMoveset!A2:I112,9,FALSE)="Dragon",Backdoors!BF20,Backdoors!BG20)))))/100,Backdoors!BG20/100),"")</f>
        <v>0</v>
      </c>
      <c r="DS58" s="49">
        <f>IFERROR(IF(VLOOKUP(A58,tbMoveset!A2:J112,10,FALSE)=TRUE,IF((Backdoors!AI12+IF(DQ58&gt;=0.45,VLOOKUP(Calculator!E23,tbSkills!DH3:DI6,2,FALSE)+IF(AND(Calculator!B8=TRUE,Backdoors!BI20=TRUE),VLOOKUP(Calculator!E23,tbSkills!DH3:DJ6,3,FALSE),0),0))&gt;=0,1+(Backdoors!AL2*(IF((Backdoors!AI12+IF(DQ58&gt;=0.45,VLOOKUP(Calculator!E23,tbSkills!DH3:DI6,2,FALSE)+IF(AND(Calculator!B8=TRUE,Backdoors!BI20=TRUE),VLOOKUP(Calculator!E23,tbSkills!DH3:DJ6,3,FALSE),0),0))&gt;=100,100,(Backdoors!AI12+IF(DQ58&gt;=0.45,VLOOKUP(Calculator!E23,tbSkills!DH3:DI6,2,FALSE)+IF(AND(Calculator!B8=TRUE,Backdoors!BI20=TRUE),VLOOKUP(Calculator!E23,tbSkills!DH3:DJ6,3,FALSE),0),0)))/100)),(1-(0.25*((-Backdoors!AI12-IF(DQ58&gt;=0.45,VLOOKUP(Calculator!E23,tbSkills!DH3:DI6,2,FALSE)+IF(AND(Calculator!B8=TRUE,Backdoors!BI20=TRUE),VLOOKUP(Calculator!E23,tbSkills!DH3:DJ6,3,FALSE),0),0))/100)))),1),"")</f>
        <v>1</v>
      </c>
      <c r="DT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Q58)*DS58)*(VLOOKUP(A58,tbMoveset!A2:C112,3,FALSE)/100)*IF(VLOOKUP(A58,tbMoveset!A2:B112,2,FALSE)="Projectile",Backdoors!N10,Backdoors!N9),0),"")</f>
        <v/>
      </c>
      <c r="DU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Q58&gt;=0.45,VLOOKUP(Calculator!E23,tbSkills!DH3:DI6,2,FALSE)+IF(AND(Calculator!B8=TRUE,Backdoors!BI20=TRUE),VLOOKUP(Calculator!E23,tbSkills!DH3:DJ6,3,FALSE),0),0))&gt;=100,100,(Backdoors!AI12+IF(DQ58&gt;=0.45,VLOOKUP(Calculator!E23,tbSkills!DH3:DI6,2,FALSE)+IF(AND(Calculator!B8=TRUE,Backdoors!BI20=TRUE),VLOOKUP(Calculator!E23,tbSkills!DH3:DJ6,3,FALSE),0),0)))/100)),1))*IF(VLOOKUP(A58,tbMoveset!A2:K112,11,FALSE)=TRUE,Backdoors!AC5,1))*DR58,0),"")</f>
        <v>0</v>
      </c>
      <c r="DV58" s="49">
        <f>VLOOKUP(A58,tbMoveset!A2:G112,7,FALSE)*IFERROR(IF(Backdoors!AI12&gt;=0,1+(IF(Calculator!E40&gt;0,VLOOKUP(Calculator!E40,tbSkills!AI3:AJ5,2,FALSE),Backdoors!AL4)*(IF((Backdoors!AI12+IF(DQ58&gt;=0.45,VLOOKUP(Calculator!E23,tbSkills!DH3:DI6,2,FALSE)+IF(AND(Calculator!B8=TRUE,Backdoors!BI20=TRUE),VLOOKUP(Calculator!E23,tbSkills!DH3:DJ6,3,FALSE),0),0))&gt;=100,100,(Backdoors!AI12+IF(DQ58&gt;=0.45,VLOOKUP(Calculator!E23,tbSkills!DH3:DI6,2,FALSE)+IF(AND(Calculator!B8=TRUE,Backdoors!BI20=TRUE),VLOOKUP(Calculator!E23,tbSkills!DH3:DJ6,3,FALSE),0),0)))/100)),1),1)</f>
        <v>0.5</v>
      </c>
      <c r="DW58" s="87">
        <f t="shared" si="10"/>
        <v>0</v>
      </c>
      <c r="DX58" s="86" t="str">
        <f>IFERROR(IF(VLOOKUP(A58,tbMoveset!A2:B112,2,FALSE)="Sever",Backdoors!AY21/100,IF(VLOOKUP(A58,tbMoveset!A2:B112,2,FALSE)="Blunt",Backdoors!AZ21/100,Backdoors!BA21/100)),"")</f>
        <v/>
      </c>
      <c r="DY58" s="49">
        <f>IFERROR(IF(VLOOKUP(tbMoveset!A58,tbMoveset!A2:H112,8,FALSE)="Other",IF(VLOOKUP(tbMoveset!A58,tbMoveset!A2:I112,9,FALSE)="Fire",Backdoors!BB21,IF(VLOOKUP(tbMoveset!A58,tbMoveset!A2:I112,9,FALSE)="Water",Backdoors!BC21,IF(VLOOKUP(tbMoveset!A58,tbMoveset!A2:I112,9,FALSE)="Thunder",Backdoors!BD21,IF(VLOOKUP(tbMoveset!A58,tbMoveset!A2:I112,9,FALSE)="Ice",Backdoors!BE21,IF(VLOOKUP(tbMoveset!A58,tbMoveset!A2:I112,9,FALSE)="Dragon",Backdoors!BF21,Backdoors!BG21)))))/100,Backdoors!BG21/100),"")</f>
        <v>0</v>
      </c>
      <c r="DZ58" s="49">
        <f>IFERROR(IF(VLOOKUP(A58,tbMoveset!A2:J112,10,FALSE)=TRUE,IF((Backdoors!AI12+IF(DX58&gt;=0.45,VLOOKUP(Calculator!E23,tbSkills!DH3:DI6,2,FALSE)+IF(AND(Calculator!B8=TRUE,Backdoors!BI21=TRUE),VLOOKUP(Calculator!E23,tbSkills!DH3:DJ6,3,FALSE),0),0))&gt;=0,1+(Backdoors!AL2*(IF((Backdoors!AI12+IF(DX58&gt;=0.45,VLOOKUP(Calculator!E23,tbSkills!DH3:DI6,2,FALSE)+IF(AND(Calculator!B8=TRUE,Backdoors!BI21=TRUE),VLOOKUP(Calculator!E23,tbSkills!DH3:DJ6,3,FALSE),0),0))&gt;=100,100,(Backdoors!AI12+IF(DX58&gt;=0.45,VLOOKUP(Calculator!E23,tbSkills!DH3:DI6,2,FALSE)+IF(AND(Calculator!B8=TRUE,Backdoors!BI21=TRUE),VLOOKUP(Calculator!E23,tbSkills!DH3:DJ6,3,FALSE),0),0)))/100)),(1-(0.25*((-Backdoors!AI12-IF(DX58&gt;=0.45,VLOOKUP(Calculator!E23,tbSkills!DH3:DI6,2,FALSE)+IF(AND(Calculator!B8=TRUE,Backdoors!BI21=TRUE),VLOOKUP(Calculator!E23,tbSkills!DH3:DJ6,3,FALSE),0),0))/100)))),1),"")</f>
        <v>1</v>
      </c>
      <c r="EA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X58)*DZ58)*(VLOOKUP(A58,tbMoveset!A2:C112,3,FALSE)/100)*IF(VLOOKUP(A58,tbMoveset!A2:B112,2,FALSE)="Projectile",Backdoors!N10,Backdoors!N9),0),"")</f>
        <v/>
      </c>
      <c r="EB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X58&gt;=0.45,VLOOKUP(Calculator!E23,tbSkills!DH3:DI6,2,FALSE)+IF(AND(Calculator!B8=TRUE,Backdoors!BI21=TRUE),VLOOKUP(Calculator!E23,tbSkills!DH3:DJ6,3,FALSE),0),0))&gt;=100,100,(Backdoors!AI12+IF(DX58&gt;=0.45,VLOOKUP(Calculator!E23,tbSkills!DH3:DI6,2,FALSE)+IF(AND(Calculator!B8=TRUE,Backdoors!BI21=TRUE),VLOOKUP(Calculator!E23,tbSkills!DH3:DJ6,3,FALSE),0),0)))/100)),1))*IF(VLOOKUP(A58,tbMoveset!A2:K112,11,FALSE)=TRUE,Backdoors!AC5,1))*DY58,0),"")</f>
        <v>0</v>
      </c>
      <c r="EC58" s="49">
        <f>VLOOKUP(A58,tbMoveset!A2:G112,7,FALSE)*IFERROR(IF(Backdoors!AI12&gt;=0,1+(IF(Calculator!E40&gt;0,VLOOKUP(Calculator!E40,tbSkills!AI3:AJ5,2,FALSE),Backdoors!AL4)*(IF((Backdoors!AI12+IF(DX58&gt;=0.45,VLOOKUP(Calculator!E23,tbSkills!DH3:DI6,2,FALSE)+IF(AND(Calculator!B8=TRUE,Backdoors!BI21=TRUE),VLOOKUP(Calculator!E23,tbSkills!DH3:DJ6,3,FALSE),0),0))&gt;=100,100,(Backdoors!AI12+IF(DX58&gt;=0.45,VLOOKUP(Calculator!E23,tbSkills!DH3:DI6,2,FALSE)+IF(AND(Calculator!B8=TRUE,Backdoors!BI21=TRUE),VLOOKUP(Calculator!E23,tbSkills!DH3:DJ6,3,FALSE),0),0)))/100)),1),1)</f>
        <v>0.5</v>
      </c>
      <c r="ED58" s="87">
        <f t="shared" si="11"/>
        <v>0</v>
      </c>
      <c r="EE58" s="86" t="str">
        <f>IFERROR(IF(VLOOKUP(A58,tbMoveset!A2:B112,2,FALSE)="Sever",Backdoors!AY22/100,IF(VLOOKUP(A58,tbMoveset!A2:B112,2,FALSE)="Blunt",Backdoors!AZ22/100,Backdoors!BA22/100)),"")</f>
        <v/>
      </c>
      <c r="EF58" s="49">
        <f>IFERROR(IF(VLOOKUP(tbMoveset!A58,tbMoveset!A2:H112,8,FALSE)="Other",IF(VLOOKUP(tbMoveset!A58,tbMoveset!A2:I112,9,FALSE)="Fire",Backdoors!BB22,IF(VLOOKUP(tbMoveset!A58,tbMoveset!A2:I112,9,FALSE)="Water",Backdoors!BC22,IF(VLOOKUP(tbMoveset!A58,tbMoveset!A2:I112,9,FALSE)="Thunder",Backdoors!BD22,IF(VLOOKUP(tbMoveset!A58,tbMoveset!A2:I112,9,FALSE)="Ice",Backdoors!BE22,IF(VLOOKUP(tbMoveset!A58,tbMoveset!A2:I112,9,FALSE)="Dragon",Backdoors!BF22,Backdoors!BG22)))))/100,Backdoors!BG22/100),"")</f>
        <v>0</v>
      </c>
      <c r="EG58" s="49">
        <f>IFERROR(IF(VLOOKUP(A58,tbMoveset!A2:J112,10,FALSE)=TRUE,IF((Backdoors!AI12+IF(EE58&gt;=0.45,VLOOKUP(Calculator!E23,tbSkills!DH3:DI6,2,FALSE)+IF(AND(Calculator!B8=TRUE,Backdoors!BI22=TRUE),VLOOKUP(Calculator!E23,tbSkills!DH3:DJ6,3,FALSE),0),0))&gt;=0,1+(Backdoors!AL2*(IF((Backdoors!AI12+IF(EE58&gt;=0.45,VLOOKUP(Calculator!E23,tbSkills!DH3:DI6,2,FALSE)+IF(AND(Calculator!B8=TRUE,Backdoors!BI22=TRUE),VLOOKUP(Calculator!E23,tbSkills!DH3:DJ6,3,FALSE),0),0))&gt;=100,100,(Backdoors!AI12+IF(EE58&gt;=0.45,VLOOKUP(Calculator!E23,tbSkills!DH3:DI6,2,FALSE)+IF(AND(Calculator!B8=TRUE,Backdoors!BI22=TRUE),VLOOKUP(Calculator!E23,tbSkills!DH3:DJ6,3,FALSE),0),0)))/100)),(1-(0.25*((-Backdoors!AI12-IF(EE58&gt;=0.45,VLOOKUP(Calculator!E23,tbSkills!DH3:DI6,2,FALSE)+IF(AND(Calculator!B8=TRUE,Backdoors!BI22=TRUE),VLOOKUP(Calculator!E23,tbSkills!DH3:DJ6,3,FALSE),0),0))/100)))),1),"")</f>
        <v>1</v>
      </c>
      <c r="EH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E58)*EG58)*(VLOOKUP(A58,tbMoveset!A2:C112,3,FALSE)/100)*IF(VLOOKUP(A58,tbMoveset!A2:B112,2,FALSE)="Projectile",Backdoors!N10,Backdoors!N9),0),"")</f>
        <v/>
      </c>
      <c r="EI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E58&gt;=0.45,VLOOKUP(Calculator!E23,tbSkills!DH3:DI6,2,FALSE)+IF(AND(Calculator!B8=TRUE,Backdoors!BI22=TRUE),VLOOKUP(Calculator!E23,tbSkills!DH3:DJ6,3,FALSE),0),0))&gt;=100,100,(Backdoors!AI12+IF(EE58&gt;=0.45,VLOOKUP(Calculator!E23,tbSkills!DH3:DI6,2,FALSE)+IF(AND(Calculator!B8=TRUE,Backdoors!BI22=TRUE),VLOOKUP(Calculator!E23,tbSkills!DH3:DJ6,3,FALSE),0),0)))/100)),1))*IF(VLOOKUP(A58,tbMoveset!A2:K112,11,FALSE)=TRUE,Backdoors!AC5,1))*EF58,0),"")</f>
        <v>0</v>
      </c>
      <c r="EJ58" s="49">
        <f>VLOOKUP(A58,tbMoveset!A2:G112,7,FALSE)*IFERROR(IF(Backdoors!AI12&gt;=0,1+(IF(Calculator!E40&gt;0,VLOOKUP(Calculator!E40,tbSkills!AI3:AJ5,2,FALSE),Backdoors!AL4)*(IF((Backdoors!AI12+IF(EE58&gt;=0.45,VLOOKUP(Calculator!E23,tbSkills!DH3:DI6,2,FALSE)+IF(AND(Calculator!B8=TRUE,Backdoors!BI22=TRUE),VLOOKUP(Calculator!E23,tbSkills!DH3:DJ6,3,FALSE),0),0))&gt;=100,100,(Backdoors!AI12+IF(EE58&gt;=0.45,VLOOKUP(Calculator!E23,tbSkills!DH3:DI6,2,FALSE)+IF(AND(Calculator!B8=TRUE,Backdoors!BI22=TRUE),VLOOKUP(Calculator!E23,tbSkills!DH3:DJ6,3,FALSE),0),0)))/100)),1),1)</f>
        <v>0.5</v>
      </c>
      <c r="EK58" s="87">
        <f t="shared" si="12"/>
        <v>0</v>
      </c>
      <c r="EL58" s="86" t="str">
        <f>IFERROR(IF(VLOOKUP(A58,tbMoveset!A2:B112,2,FALSE)="Sever",Backdoors!AY23/100,IF(VLOOKUP(A58,tbMoveset!A2:B112,2,FALSE)="Blunt",Backdoors!AZ23/100,Backdoors!BA23/100)),"")</f>
        <v/>
      </c>
      <c r="EM58" s="49">
        <f>IFERROR(IF(VLOOKUP(tbMoveset!A58,tbMoveset!A2:H112,8,FALSE)="Other",IF(VLOOKUP(tbMoveset!A58,tbMoveset!A2:I112,9,FALSE)="Fire",Backdoors!BB23,IF(VLOOKUP(tbMoveset!A58,tbMoveset!A2:I112,9,FALSE)="Water",Backdoors!BC23,IF(VLOOKUP(tbMoveset!A58,tbMoveset!A2:I112,9,FALSE)="Thunder",Backdoors!BD23,IF(VLOOKUP(tbMoveset!A58,tbMoveset!A2:I112,9,FALSE)="Ice",Backdoors!BE23,IF(VLOOKUP(tbMoveset!A58,tbMoveset!A2:I112,9,FALSE)="Dragon",Backdoors!BF23,Backdoors!BG23)))))/100,Backdoors!BG23/100),"")</f>
        <v>0</v>
      </c>
      <c r="EN58" s="49">
        <f>IFERROR(IF(VLOOKUP(A58,tbMoveset!A2:J112,10,FALSE)=TRUE,IF((Backdoors!AI12+IF(EL58&gt;=0.45,VLOOKUP(Calculator!E23,tbSkills!DH3:DI6,2,FALSE)+IF(AND(Calculator!B8=TRUE,Backdoors!BI23=TRUE),VLOOKUP(Calculator!E23,tbSkills!DH3:DJ6,3,FALSE),0),0))&gt;=0,1+(Backdoors!AL2*(IF((Backdoors!AI12+IF(EL58&gt;=0.45,VLOOKUP(Calculator!E23,tbSkills!DH3:DI6,2,FALSE)+IF(AND(Calculator!B8=TRUE,Backdoors!BI23=TRUE),VLOOKUP(Calculator!E23,tbSkills!DH3:DJ6,3,FALSE),0),0))&gt;=100,100,(Backdoors!AI12+IF(EL58&gt;=0.45,VLOOKUP(Calculator!E23,tbSkills!DH3:DI6,2,FALSE)+IF(AND(Calculator!B8=TRUE,Backdoors!BI23=TRUE),VLOOKUP(Calculator!E23,tbSkills!DH3:DJ6,3,FALSE),0),0)))/100)),(1-(0.25*((-Backdoors!AI12-IF(EL58&gt;=0.45,VLOOKUP(Calculator!E23,tbSkills!DH3:DI6,2,FALSE)+IF(AND(Calculator!B8=TRUE,Backdoors!BI23=TRUE),VLOOKUP(Calculator!E23,tbSkills!DH3:DJ6,3,FALSE),0),0))/100)))),1),"")</f>
        <v>1</v>
      </c>
      <c r="EO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L58)*EN58)*(VLOOKUP(A58,tbMoveset!A2:C112,3,FALSE)/100)*IF(VLOOKUP(A58,tbMoveset!A2:B112,2,FALSE)="Projectile",Backdoors!N10,Backdoors!N9),0),"")</f>
        <v/>
      </c>
      <c r="EP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L58&gt;=0.45,VLOOKUP(Calculator!E23,tbSkills!DH3:DI6,2,FALSE)+IF(AND(Calculator!B8=TRUE,Backdoors!BI23=TRUE),VLOOKUP(Calculator!E23,tbSkills!DH3:DJ6,3,FALSE),0),0))&gt;=100,100,(Backdoors!AI12+IF(EL58&gt;=0.45,VLOOKUP(Calculator!E23,tbSkills!DH3:DI6,2,FALSE)+IF(AND(Calculator!B8=TRUE,Backdoors!BI23=TRUE),VLOOKUP(Calculator!E23,tbSkills!DH3:DJ6,3,FALSE),0),0)))/100)),1))*IF(VLOOKUP(A58,tbMoveset!A2:K112,11,FALSE)=TRUE,Backdoors!AC5,1))*EM58,0),"")</f>
        <v>0</v>
      </c>
      <c r="EQ58" s="49">
        <f>VLOOKUP(A58,tbMoveset!A2:G112,7,FALSE)*IFERROR(IF(Backdoors!AI12&gt;=0,1+(IF(Calculator!E40&gt;0,VLOOKUP(Calculator!E40,tbSkills!AI3:AJ5,2,FALSE),Backdoors!AL4)*(IF((Backdoors!AI12+IF(EL58&gt;=0.45,VLOOKUP(Calculator!E23,tbSkills!DH3:DI6,2,FALSE)+IF(AND(Calculator!B8=TRUE,Backdoors!BI23=TRUE),VLOOKUP(Calculator!E23,tbSkills!DH3:DJ6,3,FALSE),0),0))&gt;=100,100,(Backdoors!AI12+IF(EL58&gt;=0.45,VLOOKUP(Calculator!E23,tbSkills!DH3:DI6,2,FALSE)+IF(AND(Calculator!B8=TRUE,Backdoors!BI23=TRUE),VLOOKUP(Calculator!E23,tbSkills!DH3:DJ6,3,FALSE),0),0)))/100)),1),1)</f>
        <v>0.5</v>
      </c>
      <c r="ER58" s="87">
        <f t="shared" si="13"/>
        <v>0</v>
      </c>
      <c r="ES58" s="86" t="str">
        <f>IFERROR(IF(VLOOKUP(A58,tbMoveset!A2:B112,2,FALSE)="Sever",Backdoors!AY24/100,IF(VLOOKUP(A58,tbMoveset!A2:B112,2,FALSE)="Blunt",Backdoors!AZ24/100,Backdoors!BA24/100)),"")</f>
        <v/>
      </c>
      <c r="ET58" s="49">
        <f>IFERROR(IF(VLOOKUP(tbMoveset!A58,tbMoveset!A2:H112,8,FALSE)="Other",IF(VLOOKUP(tbMoveset!A58,tbMoveset!A2:I112,9,FALSE)="Fire",Backdoors!BB24,IF(VLOOKUP(tbMoveset!A58,tbMoveset!A2:I112,9,FALSE)="Water",Backdoors!BC24,IF(VLOOKUP(tbMoveset!A58,tbMoveset!A2:I112,9,FALSE)="Thunder",Backdoors!BD24,IF(VLOOKUP(tbMoveset!A58,tbMoveset!A2:I112,9,FALSE)="Ice",Backdoors!BE24,IF(VLOOKUP(tbMoveset!A58,tbMoveset!A2:I112,9,FALSE)="Dragon",Backdoors!BF24,Backdoors!BG24)))))/100,Backdoors!BG24/100),"")</f>
        <v>0</v>
      </c>
      <c r="EU58" s="49">
        <f>IFERROR(IF(VLOOKUP(A58,tbMoveset!A2:J112,10,FALSE)=TRUE,IF((Backdoors!AI12+IF(ES58&gt;=0.45,VLOOKUP(Calculator!E23,tbSkills!DH3:DI6,2,FALSE)+IF(AND(Calculator!B8=TRUE,Backdoors!BI24=TRUE),VLOOKUP(Calculator!E23,tbSkills!DH3:DJ6,3,FALSE),0),0))&gt;=0,1+(Backdoors!AL2*(IF((Backdoors!AI12+IF(ES58&gt;=0.45,VLOOKUP(Calculator!E23,tbSkills!DH3:DI6,2,FALSE)+IF(AND(Calculator!B8=TRUE,Backdoors!BI24=TRUE),VLOOKUP(Calculator!E23,tbSkills!DH3:DJ6,3,FALSE),0),0))&gt;=100,100,(Backdoors!AI12+IF(ES58&gt;=0.45,VLOOKUP(Calculator!E23,tbSkills!DH3:DI6,2,FALSE)+IF(AND(Calculator!B8=TRUE,Backdoors!BI24=TRUE),VLOOKUP(Calculator!E23,tbSkills!DH3:DJ6,3,FALSE),0),0)))/100)),(1-(0.25*((-Backdoors!AI12-IF(ES58&gt;=0.45,VLOOKUP(Calculator!E23,tbSkills!DH3:DI6,2,FALSE)+IF(AND(Calculator!B8=TRUE,Backdoors!BI24=TRUE),VLOOKUP(Calculator!E23,tbSkills!DH3:DJ6,3,FALSE),0),0))/100)))),1),"")</f>
        <v>1</v>
      </c>
      <c r="EV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S58)*EU58)*(VLOOKUP(A58,tbMoveset!A2:C112,3,FALSE)/100)*IF(VLOOKUP(A58,tbMoveset!A2:B112,2,FALSE)="Projectile",Backdoors!N10,Backdoors!N9),0),"")</f>
        <v/>
      </c>
      <c r="EW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S58&gt;=0.45,VLOOKUP(Calculator!E23,tbSkills!DH3:DI6,2,FALSE)+IF(AND(Calculator!B8=TRUE,Backdoors!BI24=TRUE),VLOOKUP(Calculator!E23,tbSkills!DH3:DJ6,3,FALSE),0),0))&gt;=100,100,(Backdoors!AI12+IF(ES58&gt;=0.45,VLOOKUP(Calculator!E23,tbSkills!DH3:DI6,2,FALSE)+IF(AND(Calculator!B8=TRUE,Backdoors!BI24=TRUE),VLOOKUP(Calculator!E23,tbSkills!DH3:DJ6,3,FALSE),0),0)))/100)),1))*IF(VLOOKUP(A58,tbMoveset!A2:K112,11,FALSE)=TRUE,Backdoors!AC5,1))*ET58,0),"")</f>
        <v>0</v>
      </c>
      <c r="EX58" s="49">
        <f>VLOOKUP(A58,tbMoveset!A2:G112,7,FALSE)*IFERROR(IF(Backdoors!AI12&gt;=0,1+(IF(Calculator!E40&gt;0,VLOOKUP(Calculator!E40,tbSkills!AI3:AJ5,2,FALSE),Backdoors!AL4)*(IF((Backdoors!AI12+IF(ES58&gt;=0.45,VLOOKUP(Calculator!E23,tbSkills!DH3:DI6,2,FALSE)+IF(AND(Calculator!B8=TRUE,Backdoors!BI24=TRUE),VLOOKUP(Calculator!E23,tbSkills!DH3:DJ6,3,FALSE),0),0))&gt;=100,100,(Backdoors!AI12+IF(ES58&gt;=0.45,VLOOKUP(Calculator!E23,tbSkills!DH3:DI6,2,FALSE)+IF(AND(Calculator!B8=TRUE,Backdoors!BI24=TRUE),VLOOKUP(Calculator!E23,tbSkills!DH3:DJ6,3,FALSE),0),0)))/100)),1),1)</f>
        <v>0.5</v>
      </c>
      <c r="EY58" s="87">
        <f t="shared" si="14"/>
        <v>0</v>
      </c>
      <c r="EZ58" s="86" t="str">
        <f>IFERROR(IF(VLOOKUP(A58,tbMoveset!A2:B112,2,FALSE)="Sever",Backdoors!AY25/100,IF(VLOOKUP(A58,tbMoveset!A2:B112,2,FALSE)="Blunt",Backdoors!AZ25/100,Backdoors!BA25/100)),"")</f>
        <v/>
      </c>
      <c r="FA58" s="49">
        <f>IFERROR(IF(VLOOKUP(tbMoveset!A58,tbMoveset!A2:H112,8,FALSE)="Other",IF(VLOOKUP(tbMoveset!A58,tbMoveset!A2:I112,9,FALSE)="Fire",Backdoors!BB25,IF(VLOOKUP(tbMoveset!A58,tbMoveset!A2:I112,9,FALSE)="Water",Backdoors!BC25,IF(VLOOKUP(tbMoveset!A58,tbMoveset!A2:I112,9,FALSE)="Thunder",Backdoors!BD25,IF(VLOOKUP(tbMoveset!A58,tbMoveset!A2:I112,9,FALSE)="Ice",Backdoors!BE25,IF(VLOOKUP(tbMoveset!A58,tbMoveset!A2:I112,9,FALSE)="Dragon",Backdoors!BF25,Backdoors!BG25)))))/100,Backdoors!BG25/100),"")</f>
        <v>0</v>
      </c>
      <c r="FB58" s="49">
        <f>IFERROR(IF(VLOOKUP(A58,tbMoveset!A2:J112,10,FALSE)=TRUE,IF((Backdoors!AI12+IF(EZ58&gt;=0.45,VLOOKUP(Calculator!E23,tbSkills!DH3:DI6,2,FALSE)+IF(AND(Calculator!B8=TRUE,Backdoors!BI25=TRUE),VLOOKUP(Calculator!E23,tbSkills!DH3:DJ6,3,FALSE),0),0))&gt;=0,1+(Backdoors!AL2*(IF((Backdoors!AI12+IF(EZ58&gt;=0.45,VLOOKUP(Calculator!E23,tbSkills!DH3:DI6,2,FALSE)+IF(AND(Calculator!B8=TRUE,Backdoors!BI25=TRUE),VLOOKUP(Calculator!E23,tbSkills!DH3:DJ6,3,FALSE),0),0))&gt;=100,100,(Backdoors!AI12+IF(EZ58&gt;=0.45,VLOOKUP(Calculator!E23,tbSkills!DH3:DI6,2,FALSE)+IF(AND(Calculator!B8=TRUE,Backdoors!BI25=TRUE),VLOOKUP(Calculator!E23,tbSkills!DH3:DJ6,3,FALSE),0),0)))/100)),(1-(0.25*((-Backdoors!AI12-IF(EZ58&gt;=0.45,VLOOKUP(Calculator!E23,tbSkills!DH3:DI6,2,FALSE)+IF(AND(Calculator!B8=TRUE,Backdoors!BI25=TRUE),VLOOKUP(Calculator!E23,tbSkills!DH3:DJ6,3,FALSE),0),0))/100)))),1),"")</f>
        <v>1</v>
      </c>
      <c r="FC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Z58)*FB58)*(VLOOKUP(A58,tbMoveset!A2:C112,3,FALSE)/100)*IF(VLOOKUP(A58,tbMoveset!A2:B112,2,FALSE)="Projectile",Backdoors!N10,Backdoors!N9),0),"")</f>
        <v/>
      </c>
      <c r="FD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Z58&gt;=0.45,VLOOKUP(Calculator!E23,tbSkills!DH3:DI6,2,FALSE)+IF(AND(Calculator!B8=TRUE,Backdoors!BI25=TRUE),VLOOKUP(Calculator!E23,tbSkills!DH3:DJ6,3,FALSE),0),0))&gt;=100,100,(Backdoors!AI12+IF(EZ58&gt;=0.45,VLOOKUP(Calculator!E23,tbSkills!DH3:DI6,2,FALSE)+IF(AND(Calculator!B8=TRUE,Backdoors!BI25=TRUE),VLOOKUP(Calculator!E23,tbSkills!DH3:DJ6,3,FALSE),0),0)))/100)),1))*IF(VLOOKUP(A58,tbMoveset!A2:K112,11,FALSE)=TRUE,Backdoors!AC5,1))*FA58,0),"")</f>
        <v>0</v>
      </c>
      <c r="FE58" s="49">
        <f>VLOOKUP(A58,tbMoveset!A2:G112,7,FALSE)*IFERROR(IF(Backdoors!AI12&gt;=0,1+(IF(Calculator!E40&gt;0,VLOOKUP(Calculator!E40,tbSkills!AI3:AJ5,2,FALSE),Backdoors!AL4)*(IF((Backdoors!AI12+IF(EZ58&gt;=0.45,VLOOKUP(Calculator!E23,tbSkills!DH3:DI6,2,FALSE)+IF(AND(Calculator!B8=TRUE,Backdoors!BI25=TRUE),VLOOKUP(Calculator!E23,tbSkills!DH3:DJ6,3,FALSE),0),0))&gt;=100,100,(Backdoors!AI12+IF(EZ58&gt;=0.45,VLOOKUP(Calculator!E23,tbSkills!DH3:DI6,2,FALSE)+IF(AND(Calculator!B8=TRUE,Backdoors!BI25=TRUE),VLOOKUP(Calculator!E23,tbSkills!DH3:DJ6,3,FALSE),0),0)))/100)),1),1)</f>
        <v>0.5</v>
      </c>
      <c r="FF58" s="87">
        <f t="shared" si="15"/>
        <v>0</v>
      </c>
      <c r="FG58" s="86" t="str">
        <f>IFERROR(IF(VLOOKUP(A58,tbMoveset!A2:B112,2,FALSE)="Sever",Backdoors!AY26/100,IF(VLOOKUP(A58,tbMoveset!A2:B112,2,FALSE)="Blunt",Backdoors!AZ26/100,Backdoors!BA26/100)),"")</f>
        <v/>
      </c>
      <c r="FH58" s="49">
        <f>IFERROR(IF(VLOOKUP(tbMoveset!A58,tbMoveset!A2:H112,8,FALSE)="Other",IF(VLOOKUP(tbMoveset!A58,tbMoveset!A2:I112,9,FALSE)="Fire",Backdoors!BB26,IF(VLOOKUP(tbMoveset!A58,tbMoveset!A2:I112,9,FALSE)="Water",Backdoors!BC26,IF(VLOOKUP(tbMoveset!A58,tbMoveset!A2:I112,9,FALSE)="Thunder",Backdoors!BD26,IF(VLOOKUP(tbMoveset!A58,tbMoveset!A2:I112,9,FALSE)="Ice",Backdoors!BE26,IF(VLOOKUP(tbMoveset!A58,tbMoveset!A2:I112,9,FALSE)="Dragon",Backdoors!BF26,Backdoors!BG26)))))/100,Backdoors!BG26/100),"")</f>
        <v>0</v>
      </c>
      <c r="FI58" s="49">
        <f>IFERROR(IF(VLOOKUP(A58,tbMoveset!A2:J112,10,FALSE)=TRUE,IF((Backdoors!AI12+IF(FG58&gt;=0.45,VLOOKUP(Calculator!E23,tbSkills!DH3:DI6,2,FALSE)+IF(AND(Calculator!B8=TRUE,Backdoors!BI26=TRUE),VLOOKUP(Calculator!E23,tbSkills!DH3:DJ6,3,FALSE),0),0))&gt;=0,1+(Backdoors!AL2*(IF((Backdoors!AI12+IF(FG58&gt;=0.45,VLOOKUP(Calculator!E23,tbSkills!DH3:DI6,2,FALSE)+IF(AND(Calculator!B8=TRUE,Backdoors!BI26=TRUE),VLOOKUP(Calculator!E23,tbSkills!DH3:DJ6,3,FALSE),0),0))&gt;=100,100,(Backdoors!AI12+IF(FG58&gt;=0.45,VLOOKUP(Calculator!E23,tbSkills!DH3:DI6,2,FALSE)+IF(AND(Calculator!B8=TRUE,Backdoors!BI26=TRUE),VLOOKUP(Calculator!E23,tbSkills!DH3:DJ6,3,FALSE),0),0)))/100)),(1-(0.25*((-Backdoors!AI12-IF(FG58&gt;=0.45,VLOOKUP(Calculator!E23,tbSkills!DH3:DI6,2,FALSE)+IF(AND(Calculator!B8=TRUE,Backdoors!BI26=TRUE),VLOOKUP(Calculator!E23,tbSkills!DH3:DJ6,3,FALSE),0),0))/100)))),1),"")</f>
        <v>1</v>
      </c>
      <c r="FJ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FG58)*FI58)*(VLOOKUP(A58,tbMoveset!A2:C112,3,FALSE)/100)*IF(VLOOKUP(A58,tbMoveset!A2:B112,2,FALSE)="Projectile",Backdoors!N10,Backdoors!N9),0),"")</f>
        <v/>
      </c>
      <c r="FK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FG58&gt;=0.45,VLOOKUP(Calculator!E23,tbSkills!DH3:DI6,2,FALSE)+IF(AND(Calculator!B8=TRUE,Backdoors!BI26=TRUE),VLOOKUP(Calculator!E23,tbSkills!DH3:DJ6,3,FALSE),0),0))&gt;=100,100,(Backdoors!AI12+IF(FG58&gt;=0.45,VLOOKUP(Calculator!E23,tbSkills!DH3:DI6,2,FALSE)+IF(AND(Calculator!B8=TRUE,Backdoors!BI26=TRUE),VLOOKUP(Calculator!E23,tbSkills!DH3:DJ6,3,FALSE),0),0)))/100)),1))*IF(VLOOKUP(A58,tbMoveset!A2:K112,11,FALSE)=TRUE,Backdoors!AC5,1))*FH58,0),"")</f>
        <v>0</v>
      </c>
      <c r="FL58" s="49">
        <f>VLOOKUP(A58,tbMoveset!A2:G112,7,FALSE)*IFERROR(IF(Backdoors!AI12&gt;=0,1+(IF(Calculator!E40&gt;0,VLOOKUP(Calculator!E40,tbSkills!AI3:AJ5,2,FALSE),Backdoors!AL4)*(IF((Backdoors!AI12+IF(FG58&gt;=0.45,VLOOKUP(Calculator!E23,tbSkills!DH3:DI6,2,FALSE)+IF(AND(Calculator!B8=TRUE,Backdoors!BI26=TRUE),VLOOKUP(Calculator!E23,tbSkills!DH3:DJ6,3,FALSE),0),0))&gt;=100,100,(Backdoors!AI12+IF(FG58&gt;=0.45,VLOOKUP(Calculator!E23,tbSkills!DH3:DI6,2,FALSE)+IF(AND(Calculator!B8=TRUE,Backdoors!BI26=TRUE),VLOOKUP(Calculator!E23,tbSkills!DH3:DJ6,3,FALSE),0),0)))/100)),1),1)</f>
        <v>0.5</v>
      </c>
      <c r="FM58" s="87">
        <f t="shared" si="16"/>
        <v>0</v>
      </c>
      <c r="FN58" s="86" t="str">
        <f>IFERROR(IF(VLOOKUP(A58,tbMoveset!A2:B112,2,FALSE)="Sever",Backdoors!AY27/100,IF(VLOOKUP(A58,tbMoveset!A2:B112,2,FALSE)="Blunt",Backdoors!AZ27/100,Backdoors!BA27/100)),"")</f>
        <v/>
      </c>
      <c r="FO58" s="49">
        <f>IFERROR(IF(VLOOKUP(tbMoveset!A58,tbMoveset!A2:H112,8,FALSE)="Other",IF(VLOOKUP(tbMoveset!A58,tbMoveset!A2:I112,9,FALSE)="Fire",Backdoors!BB27,IF(VLOOKUP(tbMoveset!A58,tbMoveset!A2:I112,9,FALSE)="Water",Backdoors!BC27,IF(VLOOKUP(tbMoveset!A58,tbMoveset!A2:I112,9,FALSE)="Thunder",Backdoors!BD27,IF(VLOOKUP(tbMoveset!A58,tbMoveset!A2:I112,9,FALSE)="Ice",Backdoors!BE27,IF(VLOOKUP(tbMoveset!A58,tbMoveset!A2:I112,9,FALSE)="Dragon",Backdoors!BF27,Backdoors!BG27)))))/100,Backdoors!BG27/100),"")</f>
        <v>0</v>
      </c>
      <c r="FP58" s="49">
        <f>IFERROR(IF(VLOOKUP(A58,tbMoveset!A2:J112,10,FALSE)=TRUE,IF((Backdoors!AI12+IF(FN58&gt;=0.45,VLOOKUP(Calculator!E23,tbSkills!DH3:DI6,2,FALSE)+IF(AND(Calculator!B8=TRUE,Backdoors!BI27=TRUE),VLOOKUP(Calculator!E23,tbSkills!DH3:DJ6,3,FALSE),0),0))&gt;=0,1+(Backdoors!AL2*(IF((Backdoors!AI12+IF(FN58&gt;=0.45,VLOOKUP(Calculator!E23,tbSkills!DH3:DI6,2,FALSE)+IF(AND(Calculator!B8=TRUE,Backdoors!BI27=TRUE),VLOOKUP(Calculator!E23,tbSkills!DH3:DJ6,3,FALSE),0),0))&gt;=100,100,(Backdoors!AI12+IF(FN58&gt;=0.45,VLOOKUP(Calculator!E23,tbSkills!DH3:DI6,2,FALSE)+IF(AND(Calculator!B8=TRUE,Backdoors!BI27=TRUE),VLOOKUP(Calculator!E23,tbSkills!DH3:DJ6,3,FALSE),0),0)))/100)),(1-(0.25*((-Backdoors!AI12-IF(FN58&gt;=0.45,VLOOKUP(Calculator!E23,tbSkills!DH3:DI6,2,FALSE)+IF(AND(Calculator!B8=TRUE,Backdoors!BI27=TRUE),VLOOKUP(Calculator!E23,tbSkills!DH3:DJ6,3,FALSE),0),0))/100)))),1),"")</f>
        <v>1</v>
      </c>
      <c r="FQ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FN58)*FP58)*(VLOOKUP(A58,tbMoveset!A2:C112,3,FALSE)/100)*IF(VLOOKUP(A58,tbMoveset!A2:B112,2,FALSE)="Projectile",Backdoors!N10,Backdoors!N9),0),"")</f>
        <v/>
      </c>
      <c r="FR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FN58&gt;=0.45,VLOOKUP(Calculator!E23,tbSkills!DH3:DI6,2,FALSE)+IF(AND(Calculator!B8=TRUE,Backdoors!BI27=TRUE),VLOOKUP(Calculator!E23,tbSkills!DH3:DJ6,3,FALSE),0),0))&gt;=100,100,(Backdoors!AI12+IF(FN58&gt;=0.45,VLOOKUP(Calculator!E23,tbSkills!DH3:DI6,2,FALSE)+IF(AND(Calculator!B8=TRUE,Backdoors!BI27=TRUE),VLOOKUP(Calculator!E23,tbSkills!DH3:DJ6,3,FALSE),0),0)))/100)),1))*IF(VLOOKUP(A58,tbMoveset!A2:K112,11,FALSE)=TRUE,Backdoors!AC5,1))*FO58,0),"")</f>
        <v>0</v>
      </c>
      <c r="FS58" s="49">
        <f>VLOOKUP(A58,tbMoveset!A2:G112,7,FALSE)*IFERROR(IF(Backdoors!AI12&gt;=0,1+(IF(Calculator!E40&gt;0,VLOOKUP(Calculator!E40,tbSkills!AI3:AJ5,2,FALSE),Backdoors!AL4)*(IF((Backdoors!AI12+IF(FN58&gt;=0.45,VLOOKUP(Calculator!E23,tbSkills!DH3:DI6,2,FALSE)+IF(AND(Calculator!B8=TRUE,Backdoors!BI27=TRUE),VLOOKUP(Calculator!E23,tbSkills!DH3:DJ6,3,FALSE),0),0))&gt;=100,100,(Backdoors!AI12+IF(FN58&gt;=0.45,VLOOKUP(Calculator!E23,tbSkills!DH3:DI6,2,FALSE)+IF(AND(Calculator!B8=TRUE,Backdoors!BI27=TRUE),VLOOKUP(Calculator!E23,tbSkills!DH3:DJ6,3,FALSE),0),0)))/100)),1),1)</f>
        <v>0.5</v>
      </c>
      <c r="FT58" s="87">
        <f t="shared" si="17"/>
        <v>0</v>
      </c>
      <c r="FU58" s="86" t="str">
        <f>IFERROR(IF(VLOOKUP(A58,tbMoveset!A2:B112,2,FALSE)="Sever",Backdoors!AY28/100,IF(VLOOKUP(A58,tbMoveset!A2:B112,2,FALSE)="Blunt",Backdoors!AZ28/100,Backdoors!BA28/100)),"")</f>
        <v/>
      </c>
      <c r="FV58" s="49">
        <f>IFERROR(IF(VLOOKUP(tbMoveset!A58,tbMoveset!A2:H112,8,FALSE)="Other",IF(VLOOKUP(tbMoveset!A58,tbMoveset!A2:I112,9,FALSE)="Fire",Backdoors!BB28,IF(VLOOKUP(tbMoveset!A58,tbMoveset!A2:I112,9,FALSE)="Water",Backdoors!BC28,IF(VLOOKUP(tbMoveset!A58,tbMoveset!A2:I112,9,FALSE)="Thunder",Backdoors!BD28,IF(VLOOKUP(tbMoveset!A58,tbMoveset!A2:I112,9,FALSE)="Ice",Backdoors!BE28,IF(VLOOKUP(tbMoveset!A58,tbMoveset!A2:I112,9,FALSE)="Dragon",Backdoors!BF28,Backdoors!BG28)))))/100,Backdoors!BG28/100),"")</f>
        <v>0</v>
      </c>
      <c r="FW58" s="49">
        <f>IFERROR(IF(VLOOKUP(A58,tbMoveset!A2:J112,10,FALSE)=TRUE,IF((Backdoors!AI12+IF(FU58&gt;=0.45,VLOOKUP(Calculator!E23,tbSkills!DH3:DI6,2,FALSE)+IF(AND(Calculator!B8=TRUE,Backdoors!BI28=TRUE),VLOOKUP(Calculator!E23,tbSkills!DH3:DJ6,3,FALSE),0),0))&gt;=0,1+(Backdoors!AL2*(IF((Backdoors!AI12+IF(FU58&gt;=0.45,VLOOKUP(Calculator!E23,tbSkills!DH3:DI6,2,FALSE)+IF(AND(Calculator!B8=TRUE,Backdoors!BI28=TRUE),VLOOKUP(Calculator!E23,tbSkills!DH3:DJ6,3,FALSE),0),0))&gt;=100,100,(Backdoors!AI12+IF(FU58&gt;=0.45,VLOOKUP(Calculator!E23,tbSkills!DH3:DI6,2,FALSE)+IF(AND(Calculator!B8=TRUE,Backdoors!BI28=TRUE),VLOOKUP(Calculator!E23,tbSkills!DH3:DJ6,3,FALSE),0),0)))/100)),(1-(0.25*((-Backdoors!AI12-IF(FU58&gt;=0.45,VLOOKUP(Calculator!E23,tbSkills!DH3:DI6,2,FALSE)+IF(AND(Calculator!B8=TRUE,Backdoors!BI28=TRUE),VLOOKUP(Calculator!E23,tbSkills!DH3:DJ6,3,FALSE),0),0))/100)))),1),"")</f>
        <v>1</v>
      </c>
      <c r="FX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FU58)*FW58)*(VLOOKUP(A58,tbMoveset!A2:C112,3,FALSE)/100)*IF(VLOOKUP(A58,tbMoveset!A2:B112,2,FALSE)="Projectile",Backdoors!N10,Backdoors!N9),0),"")</f>
        <v/>
      </c>
      <c r="FY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FU58&gt;=0.45,VLOOKUP(Calculator!E23,tbSkills!DH3:DI6,2,FALSE)+IF(AND(Calculator!B8=TRUE,Backdoors!BI28=TRUE),VLOOKUP(Calculator!E23,tbSkills!DH3:DJ6,3,FALSE),0),0))&gt;=100,100,(Backdoors!AI12+IF(FU58&gt;=0.45,VLOOKUP(Calculator!E23,tbSkills!DH3:DI6,2,FALSE)+IF(AND(Calculator!B8=TRUE,Backdoors!BI28=TRUE),VLOOKUP(Calculator!E23,tbSkills!DH3:DJ6,3,FALSE),0),0)))/100)),1))*IF(VLOOKUP(A58,tbMoveset!A2:K112,11,FALSE)=TRUE,Backdoors!AC5,1))*FV58,0),"")</f>
        <v>0</v>
      </c>
      <c r="FZ58" s="49">
        <f>VLOOKUP(A58,tbMoveset!A2:G112,7,FALSE)*IFERROR(IF(Backdoors!AI12&gt;=0,1+(IF(Calculator!E40&gt;0,VLOOKUP(Calculator!E40,tbSkills!AI3:AJ5,2,FALSE),Backdoors!AL4)*(IF((Backdoors!AI12+IF(FU58&gt;=0.45,VLOOKUP(Calculator!E23,tbSkills!DH3:DI6,2,FALSE)+IF(AND(Calculator!B8=TRUE,Backdoors!BI28=TRUE),VLOOKUP(Calculator!E23,tbSkills!DH3:DJ6,3,FALSE),0),0))&gt;=100,100,(Backdoors!AI12+IF(FU58&gt;=0.45,VLOOKUP(Calculator!E23,tbSkills!DH3:DI6,2,FALSE)+IF(AND(Calculator!B8=TRUE,Backdoors!BI28=TRUE),VLOOKUP(Calculator!E23,tbSkills!DH3:DJ6,3,FALSE),0),0)))/100)),1),1)</f>
        <v>0.5</v>
      </c>
      <c r="GA58" s="87">
        <f t="shared" si="18"/>
        <v>0</v>
      </c>
      <c r="GB58" s="86" t="str">
        <f>IFERROR(IF(VLOOKUP(A58,tbMoveset!A2:B112,2,FALSE)="Sever",Backdoors!AY29/100,IF(VLOOKUP(A58,tbMoveset!A2:B112,2,FALSE)="Blunt",Backdoors!AZ29/100,Backdoors!BA29/100)),"")</f>
        <v/>
      </c>
      <c r="GC58" s="49">
        <f>IFERROR(IF(VLOOKUP(tbMoveset!A58,tbMoveset!A2:H112,8,FALSE)="Other",IF(VLOOKUP(tbMoveset!A58,tbMoveset!A2:I112,9,FALSE)="Fire",Backdoors!BB29,IF(VLOOKUP(tbMoveset!A58,tbMoveset!A2:I112,9,FALSE)="Water",Backdoors!BC29,IF(VLOOKUP(tbMoveset!A58,tbMoveset!A2:I112,9,FALSE)="Thunder",Backdoors!BD29,IF(VLOOKUP(tbMoveset!A58,tbMoveset!A2:I112,9,FALSE)="Ice",Backdoors!BE29,IF(VLOOKUP(tbMoveset!A58,tbMoveset!A2:I112,9,FALSE)="Dragon",Backdoors!BF29,Backdoors!BG29)))))/100,Backdoors!BG29/100),"")</f>
        <v>0</v>
      </c>
      <c r="GD58" s="49">
        <f>IFERROR(IF(VLOOKUP(A58,tbMoveset!A2:J112,10,FALSE)=TRUE,IF((Backdoors!AI12+IF(GB58&gt;=0.45,VLOOKUP(Calculator!E23,tbSkills!DH3:DI6,2,FALSE)+IF(AND(Calculator!B8=TRUE,Backdoors!BI29=TRUE),VLOOKUP(Calculator!E23,tbSkills!DH3:DJ6,3,FALSE),0),0))&gt;=0,1+(Backdoors!AL2*(IF((Backdoors!AI12+IF(GB58&gt;=0.45,VLOOKUP(Calculator!E23,tbSkills!DH3:DI6,2,FALSE)+IF(AND(Calculator!B8=TRUE,Backdoors!BI29=TRUE),VLOOKUP(Calculator!E23,tbSkills!DH3:DJ6,3,FALSE),0),0))&gt;=100,100,(Backdoors!AI12+IF(GB58&gt;=0.45,VLOOKUP(Calculator!E23,tbSkills!DH3:DI6,2,FALSE)+IF(AND(Calculator!B8=TRUE,Backdoors!BI29=TRUE),VLOOKUP(Calculator!E23,tbSkills!DH3:DJ6,3,FALSE),0),0)))/100)),(1-(0.25*((-Backdoors!AI12-IF(GB58&gt;=0.45,VLOOKUP(Calculator!E23,tbSkills!DH3:DI6,2,FALSE)+IF(AND(Calculator!B8=TRUE,Backdoors!BI29=TRUE),VLOOKUP(Calculator!E23,tbSkills!DH3:DJ6,3,FALSE),0),0))/100)))),1),"")</f>
        <v>1</v>
      </c>
      <c r="GE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B58)*GD58)*(VLOOKUP(A58,tbMoveset!A2:C112,3,FALSE)/100)*IF(VLOOKUP(A58,tbMoveset!A2:B112,2,FALSE)="Projectile",Backdoors!N10,Backdoors!N9),0),"")</f>
        <v/>
      </c>
      <c r="GF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B58&gt;=0.45,VLOOKUP(Calculator!E23,tbSkills!DH3:DI6,2,FALSE)+IF(AND(Calculator!B8=TRUE,Backdoors!BI29=TRUE),VLOOKUP(Calculator!E23,tbSkills!DH3:DJ6,3,FALSE),0),0))&gt;=100,100,(Backdoors!AI12+IF(GB58&gt;=0.45,VLOOKUP(Calculator!E23,tbSkills!DH3:DI6,2,FALSE)+IF(AND(Calculator!B8=TRUE,Backdoors!BI29=TRUE),VLOOKUP(Calculator!E23,tbSkills!DH3:DJ6,3,FALSE),0),0)))/100)),1))*IF(VLOOKUP(A58,tbMoveset!A2:K112,11,FALSE)=TRUE,Backdoors!AC5,1))*GC58,0),"")</f>
        <v>0</v>
      </c>
      <c r="GG58" s="49">
        <f>VLOOKUP(A58,tbMoveset!A2:G112,7,FALSE)*IFERROR(IF(Backdoors!AI12&gt;=0,1+(IF(Calculator!E40&gt;0,VLOOKUP(Calculator!E40,tbSkills!AI3:AJ5,2,FALSE),Backdoors!AL4)*(IF((Backdoors!AI12+IF(GB58&gt;=0.45,VLOOKUP(Calculator!E23,tbSkills!DH3:DI6,2,FALSE)+IF(AND(Calculator!B8=TRUE,Backdoors!BI29=TRUE),VLOOKUP(Calculator!E23,tbSkills!DH3:DJ6,3,FALSE),0),0))&gt;=100,100,(Backdoors!AI12+IF(GB58&gt;=0.45,VLOOKUP(Calculator!E23,tbSkills!DH3:DI6,2,FALSE)+IF(AND(Calculator!B8=TRUE,Backdoors!BI29=TRUE),VLOOKUP(Calculator!E23,tbSkills!DH3:DJ6,3,FALSE),0),0)))/100)),1),1)</f>
        <v>0.5</v>
      </c>
      <c r="GH58" s="87">
        <f t="shared" si="19"/>
        <v>0</v>
      </c>
      <c r="GI58" s="86" t="str">
        <f>IFERROR(IF(VLOOKUP(A58,tbMoveset!A2:B112,2,FALSE)="Sever",Backdoors!AY30/100,IF(VLOOKUP(A58,tbMoveset!A2:B112,2,FALSE)="Blunt",Backdoors!AZ30/100,Backdoors!BA30/100)),"")</f>
        <v/>
      </c>
      <c r="GJ58" s="49">
        <f>IFERROR(IF(VLOOKUP(tbMoveset!A58,tbMoveset!A2:H112,8,FALSE)="Other",IF(VLOOKUP(tbMoveset!A58,tbMoveset!A2:I112,9,FALSE)="Fire",Backdoors!BB30,IF(VLOOKUP(tbMoveset!A58,tbMoveset!A2:I112,9,FALSE)="Water",Backdoors!BC30,IF(VLOOKUP(tbMoveset!A58,tbMoveset!A2:I112,9,FALSE)="Thunder",Backdoors!BD30,IF(VLOOKUP(tbMoveset!A58,tbMoveset!A2:I112,9,FALSE)="Ice",Backdoors!BE30,IF(VLOOKUP(tbMoveset!A58,tbMoveset!A2:I112,9,FALSE)="Dragon",Backdoors!BF30,Backdoors!BG30)))))/100,Backdoors!BG30/100),"")</f>
        <v>0</v>
      </c>
      <c r="GK58" s="49">
        <f>IFERROR(IF(VLOOKUP(A58,tbMoveset!A2:J112,10,FALSE)=TRUE,IF((Backdoors!AI12+IF(GI58&gt;=0.45,VLOOKUP(Calculator!E23,tbSkills!DH3:DI6,2,FALSE)+IF(AND(Calculator!B8=TRUE,Backdoors!BI30=TRUE),VLOOKUP(Calculator!E23,tbSkills!DH3:DJ6,3,FALSE),0),0))&gt;=0,1+(Backdoors!AL2*(IF((Backdoors!AI12+IF(GI58&gt;=0.45,VLOOKUP(Calculator!E23,tbSkills!DH3:DI6,2,FALSE)+IF(AND(Calculator!B8=TRUE,Backdoors!BI30=TRUE),VLOOKUP(Calculator!E23,tbSkills!DH3:DJ6,3,FALSE),0),0))&gt;=100,100,(Backdoors!AI12+IF(GI58&gt;=0.45,VLOOKUP(Calculator!E23,tbSkills!DH3:DI6,2,FALSE)+IF(AND(Calculator!B8=TRUE,Backdoors!BI30=TRUE),VLOOKUP(Calculator!E23,tbSkills!DH3:DJ6,3,FALSE),0),0)))/100)),(1-(0.25*((-Backdoors!AI12-IF(GI58&gt;=0.45,VLOOKUP(Calculator!E23,tbSkills!DH3:DI6,2,FALSE)+IF(AND(Calculator!B8=TRUE,Backdoors!BI30=TRUE),VLOOKUP(Calculator!E23,tbSkills!DH3:DJ6,3,FALSE),0),0))/100)))),1),"")</f>
        <v>1</v>
      </c>
      <c r="GL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I58)*GK58)*(VLOOKUP(A58,tbMoveset!A2:C112,3,FALSE)/100)*IF(VLOOKUP(A58,tbMoveset!A2:B112,2,FALSE)="Projectile",Backdoors!N10,Backdoors!N9),0),"")</f>
        <v/>
      </c>
      <c r="GM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I58&gt;=0.45,VLOOKUP(Calculator!E23,tbSkills!DH3:DI6,2,FALSE)+IF(AND(Calculator!B8=TRUE,Backdoors!BI30=TRUE),VLOOKUP(Calculator!E23,tbSkills!DH3:DJ6,3,FALSE),0),0))&gt;=100,100,(Backdoors!AI12+IF(GI58&gt;=0.45,VLOOKUP(Calculator!E23,tbSkills!DH3:DI6,2,FALSE)+IF(AND(Calculator!B8=TRUE,Backdoors!BI30=TRUE),VLOOKUP(Calculator!E23,tbSkills!DH3:DJ6,3,FALSE),0),0)))/100)),1))*IF(VLOOKUP(A58,tbMoveset!A2:K112,11,FALSE)=TRUE,Backdoors!AC5,1))*GJ58,0),"")</f>
        <v>0</v>
      </c>
      <c r="GN58" s="49">
        <f>VLOOKUP(A58,tbMoveset!A2:G112,7,FALSE)*IFERROR(IF(Backdoors!AI12&gt;=0,1+(IF(Calculator!E40&gt;0,VLOOKUP(Calculator!E40,tbSkills!AI3:AJ5,2,FALSE),Backdoors!AL4)*(IF((Backdoors!AI12+IF(GI58&gt;=0.45,VLOOKUP(Calculator!E23,tbSkills!DH3:DI6,2,FALSE)+IF(AND(Calculator!B8=TRUE,Backdoors!BI30=TRUE),VLOOKUP(Calculator!E23,tbSkills!DH3:DJ6,3,FALSE),0),0))&gt;=100,100,(Backdoors!AI12+IF(GI58&gt;=0.45,VLOOKUP(Calculator!E23,tbSkills!DH3:DI6,2,FALSE)+IF(AND(Calculator!B8=TRUE,Backdoors!BI30=TRUE),VLOOKUP(Calculator!E23,tbSkills!DH3:DJ6,3,FALSE),0),0)))/100)),1),1)</f>
        <v>0.5</v>
      </c>
      <c r="GO58" s="87">
        <f t="shared" si="20"/>
        <v>0</v>
      </c>
      <c r="GP58" s="86" t="str">
        <f>IFERROR(IF(VLOOKUP(A58,tbMoveset!A2:B112,2,FALSE)="Sever",Backdoors!AY31/100,IF(VLOOKUP(A58,tbMoveset!A2:B112,2,FALSE)="Blunt",Backdoors!AZ31/100,Backdoors!BA31/100)),"")</f>
        <v/>
      </c>
      <c r="GQ58" s="49">
        <f>IFERROR(IF(VLOOKUP(tbMoveset!A58,tbMoveset!A2:H112,8,FALSE)="Other",IF(VLOOKUP(tbMoveset!A58,tbMoveset!A2:I112,9,FALSE)="Fire",Backdoors!BB31,IF(VLOOKUP(tbMoveset!A58,tbMoveset!A2:I112,9,FALSE)="Water",Backdoors!BC31,IF(VLOOKUP(tbMoveset!A58,tbMoveset!A2:I112,9,FALSE)="Thunder",Backdoors!BD31,IF(VLOOKUP(tbMoveset!A58,tbMoveset!A2:I112,9,FALSE)="Ice",Backdoors!BE31,IF(VLOOKUP(tbMoveset!A58,tbMoveset!A2:I112,9,FALSE)="Dragon",Backdoors!BF31,Backdoors!BG31)))))/100,Backdoors!BG31/100),"")</f>
        <v>0</v>
      </c>
      <c r="GR58" s="49">
        <f>IFERROR(IF(VLOOKUP(A58,tbMoveset!A2:J112,10,FALSE)=TRUE,IF((Backdoors!AI12+IF(GP58&gt;=0.45,VLOOKUP(Calculator!E23,tbSkills!DH3:DI6,2,FALSE)+IF(AND(Calculator!B8=TRUE,Backdoors!BI31=TRUE),VLOOKUP(Calculator!E23,tbSkills!DH3:DJ6,3,FALSE),0),0))&gt;=0,1+(Backdoors!AL2*(IF((Backdoors!AI12+IF(GP58&gt;=0.45,VLOOKUP(Calculator!E23,tbSkills!DH3:DI6,2,FALSE)+IF(AND(Calculator!B8=TRUE,Backdoors!BI31=TRUE),VLOOKUP(Calculator!E23,tbSkills!DH3:DJ6,3,FALSE),0),0))&gt;=100,100,(Backdoors!AI12+IF(GP58&gt;=0.45,VLOOKUP(Calculator!E23,tbSkills!DH3:DI6,2,FALSE)+IF(AND(Calculator!B8=TRUE,Backdoors!BI31=TRUE),VLOOKUP(Calculator!E23,tbSkills!DH3:DJ6,3,FALSE),0),0)))/100)),(1-(0.25*((-Backdoors!AI12-IF(GP58&gt;=0.45,VLOOKUP(Calculator!E23,tbSkills!DH3:DI6,2,FALSE)+IF(AND(Calculator!B8=TRUE,Backdoors!BI31=TRUE),VLOOKUP(Calculator!E23,tbSkills!DH3:DJ6,3,FALSE),0),0))/100)))),1),"")</f>
        <v>1</v>
      </c>
      <c r="GS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P58)*GR58)*(VLOOKUP(A58,tbMoveset!A2:C112,3,FALSE)/100)*IF(VLOOKUP(A58,tbMoveset!A2:B112,2,FALSE)="Projectile",Backdoors!N10,Backdoors!N9),0),"")</f>
        <v/>
      </c>
      <c r="GT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P58&gt;=0.45,VLOOKUP(Calculator!E23,tbSkills!DH3:DI6,2,FALSE)+IF(AND(Calculator!B8=TRUE,Backdoors!BI31=TRUE),VLOOKUP(Calculator!E23,tbSkills!DH3:DJ6,3,FALSE),0),0))&gt;=100,100,(Backdoors!AI12+IF(GP58&gt;=0.45,VLOOKUP(Calculator!E23,tbSkills!DH3:DI6,2,FALSE)+IF(AND(Calculator!B8=TRUE,Backdoors!BI31=TRUE),VLOOKUP(Calculator!E23,tbSkills!DH3:DJ6,3,FALSE),0),0)))/100)),1))*IF(VLOOKUP(A58,tbMoveset!A2:K112,11,FALSE)=TRUE,Backdoors!AC5,1))*GQ58,0),"")</f>
        <v>0</v>
      </c>
      <c r="GU58" s="49">
        <f>VLOOKUP(A58,tbMoveset!A2:G112,7,FALSE)*IFERROR(IF(Backdoors!AI12&gt;=0,1+(IF(Calculator!E40&gt;0,VLOOKUP(Calculator!E40,tbSkills!AI3:AJ5,2,FALSE),Backdoors!AL4)*(IF((Backdoors!AI12+IF(GP58&gt;=0.45,VLOOKUP(Calculator!E23,tbSkills!DH3:DI6,2,FALSE)+IF(AND(Calculator!B8=TRUE,Backdoors!BI31=TRUE),VLOOKUP(Calculator!E23,tbSkills!DH3:DJ6,3,FALSE),0),0))&gt;=100,100,(Backdoors!AI12+IF(GP58&gt;=0.45,VLOOKUP(Calculator!E23,tbSkills!DH3:DI6,2,FALSE)+IF(AND(Calculator!B8=TRUE,Backdoors!BI31=TRUE),VLOOKUP(Calculator!E23,tbSkills!DH3:DJ6,3,FALSE),0),0)))/100)),1),1)</f>
        <v>0.5</v>
      </c>
      <c r="GV58" s="87">
        <f t="shared" si="21"/>
        <v>0</v>
      </c>
      <c r="GW58" s="86" t="str">
        <f>IFERROR(IF(VLOOKUP(A58,tbMoveset!A2:B112,2,FALSE)="Sever",Backdoors!AY32/100,IF(VLOOKUP(A58,tbMoveset!A2:B112,2,FALSE)="Blunt",Backdoors!AZ32/100,Backdoors!BA32/100)),"")</f>
        <v/>
      </c>
      <c r="GX58" s="49">
        <f>IFERROR(IF(VLOOKUP(tbMoveset!A58,tbMoveset!A2:H112,8,FALSE)="Other",IF(VLOOKUP(tbMoveset!A58,tbMoveset!A2:I112,9,FALSE)="Fire",Backdoors!BB32,IF(VLOOKUP(tbMoveset!A58,tbMoveset!A2:I112,9,FALSE)="Water",Backdoors!BC32,IF(VLOOKUP(tbMoveset!A58,tbMoveset!A2:I112,9,FALSE)="Thunder",Backdoors!BD32,IF(VLOOKUP(tbMoveset!A58,tbMoveset!A2:I112,9,FALSE)="Ice",Backdoors!BE32,IF(VLOOKUP(tbMoveset!A58,tbMoveset!A2:I112,9,FALSE)="Dragon",Backdoors!BF32,Backdoors!BG32)))))/100,Backdoors!BG32/100),"")</f>
        <v>0</v>
      </c>
      <c r="GY58" s="49">
        <f>IFERROR(IF(VLOOKUP(A58,tbMoveset!A2:J112,10,FALSE)=TRUE,IF((Backdoors!AI12+IF(GW58&gt;=0.45,VLOOKUP(Calculator!E23,tbSkills!DH3:DI6,2,FALSE)+IF(AND(Calculator!B8=TRUE,Backdoors!BI32=TRUE),VLOOKUP(Calculator!E23,tbSkills!DH3:DJ6,3,FALSE),0),0))&gt;=0,1+(Backdoors!AL2*(IF((Backdoors!AI12+IF(GW58&gt;=0.45,VLOOKUP(Calculator!E23,tbSkills!DH3:DI6,2,FALSE)+IF(AND(Calculator!B8=TRUE,Backdoors!BI32=TRUE),VLOOKUP(Calculator!E23,tbSkills!DH3:DJ6,3,FALSE),0),0))&gt;=100,100,(Backdoors!AI12+IF(GW58&gt;=0.45,VLOOKUP(Calculator!E23,tbSkills!DH3:DI6,2,FALSE)+IF(AND(Calculator!B8=TRUE,Backdoors!BI32=TRUE),VLOOKUP(Calculator!E23,tbSkills!DH3:DJ6,3,FALSE),0),0)))/100)),(1-(0.25*((-Backdoors!AI12-IF(GW58&gt;=0.45,VLOOKUP(Calculator!E23,tbSkills!DH3:DI6,2,FALSE)+IF(AND(Calculator!B8=TRUE,Backdoors!BI32=TRUE),VLOOKUP(Calculator!E23,tbSkills!DH3:DJ6,3,FALSE),0),0))/100)))),1),"")</f>
        <v>1</v>
      </c>
      <c r="GZ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W58)*GY58)*(VLOOKUP(A58,tbMoveset!A2:C112,3,FALSE)/100)*IF(VLOOKUP(A58,tbMoveset!A2:B112,2,FALSE)="Projectile",Backdoors!N10,Backdoors!N9),0),"")</f>
        <v/>
      </c>
      <c r="HA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W58&gt;=0.45,VLOOKUP(Calculator!E23,tbSkills!DH3:DI6,2,FALSE)+IF(AND(Calculator!B8=TRUE,Backdoors!BI32=TRUE),VLOOKUP(Calculator!E23,tbSkills!DH3:DJ6,3,FALSE),0),0))&gt;=100,100,(Backdoors!AI12+IF(GW58&gt;=0.45,VLOOKUP(Calculator!E23,tbSkills!DH3:DI6,2,FALSE)+IF(AND(Calculator!B8=TRUE,Backdoors!BI32=TRUE),VLOOKUP(Calculator!E23,tbSkills!DH3:DJ6,3,FALSE),0),0)))/100)),1))*IF(VLOOKUP(A58,tbMoveset!A2:K112,11,FALSE)=TRUE,Backdoors!AC5,1))*GX58,0),"")</f>
        <v>0</v>
      </c>
      <c r="HB58" s="49">
        <f>VLOOKUP(A58,tbMoveset!A2:G112,7,FALSE)*IFERROR(IF(Backdoors!AI12&gt;=0,1+(IF(Calculator!E40&gt;0,VLOOKUP(Calculator!E40,tbSkills!AI3:AJ5,2,FALSE),Backdoors!AL4)*(IF((Backdoors!AI12+IF(GW58&gt;=0.45,VLOOKUP(Calculator!E23,tbSkills!DH3:DI6,2,FALSE)+IF(AND(Calculator!B8=TRUE,Backdoors!BI32=TRUE),VLOOKUP(Calculator!E23,tbSkills!DH3:DJ6,3,FALSE),0),0))&gt;=100,100,(Backdoors!AI12+IF(GW58&gt;=0.45,VLOOKUP(Calculator!E23,tbSkills!DH3:DI6,2,FALSE)+IF(AND(Calculator!B8=TRUE,Backdoors!BI32=TRUE),VLOOKUP(Calculator!E23,tbSkills!DH3:DJ6,3,FALSE),0),0)))/100)),1),1)</f>
        <v>0.5</v>
      </c>
      <c r="HC58" s="87">
        <f t="shared" si="22"/>
        <v>0</v>
      </c>
      <c r="HD58" s="86" t="str">
        <f>IFERROR(IF(VLOOKUP(A58,tbMoveset!A2:B112,2,FALSE)="Sever",Backdoors!AY33/100,IF(VLOOKUP(A58,tbMoveset!A2:B112,2,FALSE)="Blunt",Backdoors!AZ33/100,Backdoors!BA33/100)),"")</f>
        <v/>
      </c>
      <c r="HE58" s="49">
        <f>IFERROR(IF(VLOOKUP(tbMoveset!A58,tbMoveset!A2:H112,8,FALSE)="Other",IF(VLOOKUP(tbMoveset!A58,tbMoveset!A2:I112,9,FALSE)="Fire",Backdoors!BB33,IF(VLOOKUP(tbMoveset!A58,tbMoveset!A2:I112,9,FALSE)="Water",Backdoors!BC33,IF(VLOOKUP(tbMoveset!A58,tbMoveset!A2:I112,9,FALSE)="Thunder",Backdoors!BD33,IF(VLOOKUP(tbMoveset!A58,tbMoveset!A2:I112,9,FALSE)="Ice",Backdoors!BE33,IF(VLOOKUP(tbMoveset!A58,tbMoveset!A2:I112,9,FALSE)="Dragon",Backdoors!BF33,Backdoors!BG33)))))/100,Backdoors!BG33/100),"")</f>
        <v>0</v>
      </c>
      <c r="HF58" s="49">
        <f>IFERROR(IF(VLOOKUP(A58,tbMoveset!A2:J112,10,FALSE)=TRUE,IF((Backdoors!AI12+IF(HD58&gt;=0.45,VLOOKUP(Calculator!E23,tbSkills!DH3:DI6,2,FALSE)+IF(AND(Calculator!B8=TRUE,Backdoors!BI33=TRUE),VLOOKUP(Calculator!E23,tbSkills!DH3:DJ6,3,FALSE),0),0))&gt;=0,1+(Backdoors!AL2*(IF((Backdoors!AI12+IF(HD58&gt;=0.45,VLOOKUP(Calculator!E23,tbSkills!DH3:DI6,2,FALSE)+IF(AND(Calculator!B8=TRUE,Backdoors!BI33=TRUE),VLOOKUP(Calculator!E23,tbSkills!DH3:DJ6,3,FALSE),0),0))&gt;=100,100,(Backdoors!AI12+IF(HD58&gt;=0.45,VLOOKUP(Calculator!E23,tbSkills!DH3:DI6,2,FALSE)+IF(AND(Calculator!B8=TRUE,Backdoors!BI33=TRUE),VLOOKUP(Calculator!E23,tbSkills!DH3:DJ6,3,FALSE),0),0)))/100)),(1-(0.25*((-Backdoors!AI12-IF(HD58&gt;=0.45,VLOOKUP(Calculator!E23,tbSkills!DH3:DI6,2,FALSE)+IF(AND(Calculator!B8=TRUE,Backdoors!BI33=TRUE),VLOOKUP(Calculator!E23,tbSkills!DH3:DJ6,3,FALSE),0),0))/100)))),1),"")</f>
        <v>1</v>
      </c>
      <c r="HG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D58)*HF58)*(VLOOKUP(A58,tbMoveset!A2:C112,3,FALSE)/100)*IF(VLOOKUP(A58,tbMoveset!A2:B112,2,FALSE)="Projectile",Backdoors!N10,Backdoors!N9),0),"")</f>
        <v/>
      </c>
      <c r="HH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D58&gt;=0.45,VLOOKUP(Calculator!E23,tbSkills!DH3:DI6,2,FALSE)+IF(AND(Calculator!B8=TRUE,Backdoors!BI33=TRUE),VLOOKUP(Calculator!E23,tbSkills!DH3:DJ6,3,FALSE),0),0))&gt;=100,100,(Backdoors!AI12+IF(HD58&gt;=0.45,VLOOKUP(Calculator!E23,tbSkills!DH3:DI6,2,FALSE)+IF(AND(Calculator!B8=TRUE,Backdoors!BI33=TRUE),VLOOKUP(Calculator!E23,tbSkills!DH3:DJ6,3,FALSE),0),0)))/100)),1))*IF(VLOOKUP(A58,tbMoveset!A2:K112,11,FALSE)=TRUE,Backdoors!AC5,1))*HE58,0),"")</f>
        <v>0</v>
      </c>
      <c r="HI58" s="49">
        <f>VLOOKUP(A58,tbMoveset!A2:G112,7,FALSE)*IFERROR(IF(Backdoors!AI12&gt;=0,1+(IF(Calculator!E40&gt;0,VLOOKUP(Calculator!E40,tbSkills!AI3:AJ5,2,FALSE),Backdoors!AL4)*(IF((Backdoors!AI12+IF(HD58&gt;=0.45,VLOOKUP(Calculator!E23,tbSkills!DH3:DI6,2,FALSE)+IF(AND(Calculator!B8=TRUE,Backdoors!BI33=TRUE),VLOOKUP(Calculator!E23,tbSkills!DH3:DJ6,3,FALSE),0),0))&gt;=100,100,(Backdoors!AI12+IF(HD58&gt;=0.45,VLOOKUP(Calculator!E23,tbSkills!DH3:DI6,2,FALSE)+IF(AND(Calculator!B8=TRUE,Backdoors!BI33=TRUE),VLOOKUP(Calculator!E23,tbSkills!DH3:DJ6,3,FALSE),0),0)))/100)),1),1)</f>
        <v>0.5</v>
      </c>
      <c r="HJ58" s="87">
        <f t="shared" si="23"/>
        <v>0</v>
      </c>
      <c r="HK58" s="86" t="str">
        <f>IFERROR(IF(VLOOKUP(A58,tbMoveset!A2:B112,2,FALSE)="Sever",Backdoors!AY34/100,IF(VLOOKUP(A58,tbMoveset!A2:B112,2,FALSE)="Blunt",Backdoors!AZ34/100,Backdoors!BA34/100)),"")</f>
        <v/>
      </c>
      <c r="HL58" s="49">
        <f>IFERROR(IF(VLOOKUP(tbMoveset!A58,tbMoveset!A2:H112,8,FALSE)="Other",IF(VLOOKUP(tbMoveset!A58,tbMoveset!A2:I112,9,FALSE)="Fire",Backdoors!BB34,IF(VLOOKUP(tbMoveset!A58,tbMoveset!A2:I112,9,FALSE)="Water",Backdoors!BC34,IF(VLOOKUP(tbMoveset!A58,tbMoveset!A2:I112,9,FALSE)="Thunder",Backdoors!BD34,IF(VLOOKUP(tbMoveset!A58,tbMoveset!A2:I112,9,FALSE)="Ice",Backdoors!BE34,IF(VLOOKUP(tbMoveset!A58,tbMoveset!A2:I112,9,FALSE)="Dragon",Backdoors!BF34,Backdoors!BG34)))))/100,Backdoors!BG34/100),"")</f>
        <v>0</v>
      </c>
      <c r="HM58" s="49">
        <f>IFERROR(IF(VLOOKUP(A58,tbMoveset!A2:J112,10,FALSE)=TRUE,IF((Backdoors!AI12+IF(HK58&gt;=0.45,VLOOKUP(Calculator!E23,tbSkills!DH3:DI6,2,FALSE)+IF(AND(Calculator!B8=TRUE,Backdoors!BI34=TRUE),VLOOKUP(Calculator!E23,tbSkills!DH3:DJ6,3,FALSE),0),0))&gt;=0,1+(Backdoors!AL2*(IF((Backdoors!AI12+IF(HK58&gt;=0.45,VLOOKUP(Calculator!E23,tbSkills!DH3:DI6,2,FALSE)+IF(AND(Calculator!B8=TRUE,Backdoors!BI34=TRUE),VLOOKUP(Calculator!E23,tbSkills!DH3:DJ6,3,FALSE),0),0))&gt;=100,100,(Backdoors!AI12+IF(HK58&gt;=0.45,VLOOKUP(Calculator!E23,tbSkills!DH3:DI6,2,FALSE)+IF(AND(Calculator!B8=TRUE,Backdoors!BI34=TRUE),VLOOKUP(Calculator!E23,tbSkills!DH3:DJ6,3,FALSE),0),0)))/100)),(1-(0.25*((-Backdoors!AI12-IF(HK58&gt;=0.45,VLOOKUP(Calculator!E23,tbSkills!DH3:DI6,2,FALSE)+IF(AND(Calculator!B8=TRUE,Backdoors!BI34=TRUE),VLOOKUP(Calculator!E23,tbSkills!DH3:DJ6,3,FALSE),0),0))/100)))),1),"")</f>
        <v>1</v>
      </c>
      <c r="HN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K58)*HM58)*(VLOOKUP(A58,tbMoveset!A2:C112,3,FALSE)/100)*IF(VLOOKUP(A58,tbMoveset!A2:B112,2,FALSE)="Projectile",Backdoors!N10,Backdoors!N9),0),"")</f>
        <v/>
      </c>
      <c r="HO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K58&gt;=0.45,VLOOKUP(Calculator!E23,tbSkills!DH3:DI6,2,FALSE)+IF(AND(Calculator!B8=TRUE,Backdoors!BI34=TRUE),VLOOKUP(Calculator!E23,tbSkills!DH3:DJ6,3,FALSE),0),0))&gt;=100,100,(Backdoors!AI12+IF(HK58&gt;=0.45,VLOOKUP(Calculator!E23,tbSkills!DH3:DI6,2,FALSE)+IF(AND(Calculator!B8=TRUE,Backdoors!BI34=TRUE),VLOOKUP(Calculator!E23,tbSkills!DH3:DJ6,3,FALSE),0),0)))/100)),1))*IF(VLOOKUP(A58,tbMoveset!A2:K112,11,FALSE)=TRUE,Backdoors!AC5,1))*HL58,0),"")</f>
        <v>0</v>
      </c>
      <c r="HP58" s="49">
        <f>VLOOKUP(A58,tbMoveset!A2:G112,7,FALSE)*IFERROR(IF(Backdoors!AI12&gt;=0,1+(IF(Calculator!E40&gt;0,VLOOKUP(Calculator!E40,tbSkills!AI3:AJ5,2,FALSE),Backdoors!AL4)*(IF((Backdoors!AI12+IF(HK58&gt;=0.45,VLOOKUP(Calculator!E23,tbSkills!DH3:DI6,2,FALSE)+IF(AND(Calculator!B8=TRUE,Backdoors!BI34=TRUE),VLOOKUP(Calculator!E23,tbSkills!DH3:DJ6,3,FALSE),0),0))&gt;=100,100,(Backdoors!AI12+IF(HK58&gt;=0.45,VLOOKUP(Calculator!E23,tbSkills!DH3:DI6,2,FALSE)+IF(AND(Calculator!B8=TRUE,Backdoors!BI34=TRUE),VLOOKUP(Calculator!E23,tbSkills!DH3:DJ6,3,FALSE),0),0)))/100)),1),1)</f>
        <v>0.5</v>
      </c>
      <c r="HQ58" s="87">
        <f t="shared" si="24"/>
        <v>0</v>
      </c>
      <c r="HR58" s="86" t="str">
        <f>IFERROR(IF(VLOOKUP(A58,tbMoveset!A2:B112,2,FALSE)="Sever",Backdoors!AY35/100,IF(VLOOKUP(A58,tbMoveset!A2:B112,2,FALSE)="Blunt",Backdoors!AZ35/100,Backdoors!BA35/100)),"")</f>
        <v/>
      </c>
      <c r="HS58" s="49">
        <f>IFERROR(IF(VLOOKUP(tbMoveset!A58,tbMoveset!A2:H112,8,FALSE)="Other",IF(VLOOKUP(tbMoveset!A58,tbMoveset!A2:I112,9,FALSE)="Fire",Backdoors!BB35,IF(VLOOKUP(tbMoveset!A58,tbMoveset!A2:I112,9,FALSE)="Water",Backdoors!BC35,IF(VLOOKUP(tbMoveset!A58,tbMoveset!A2:I112,9,FALSE)="Thunder",Backdoors!BD35,IF(VLOOKUP(tbMoveset!A58,tbMoveset!A2:I112,9,FALSE)="Ice",Backdoors!BE35,IF(VLOOKUP(tbMoveset!A58,tbMoveset!A2:I112,9,FALSE)="Dragon",Backdoors!BF35,Backdoors!BG35)))))/100,Backdoors!BG35/100),"")</f>
        <v>0</v>
      </c>
      <c r="HT58" s="49">
        <f>IFERROR(IF(VLOOKUP(A58,tbMoveset!A2:J112,10,FALSE)=TRUE,IF((Backdoors!AI12+IF(HR58&gt;=0.45,VLOOKUP(Calculator!E23,tbSkills!DH3:DI6,2,FALSE)+IF(AND(Calculator!B8=TRUE,Backdoors!BI35=TRUE),VLOOKUP(Calculator!E23,tbSkills!DH3:DJ6,3,FALSE),0),0))&gt;=0,1+(Backdoors!AL2*(IF((Backdoors!AI12+IF(HR58&gt;=0.45,VLOOKUP(Calculator!E23,tbSkills!DH3:DI6,2,FALSE)+IF(AND(Calculator!B8=TRUE,Backdoors!BI35=TRUE),VLOOKUP(Calculator!E23,tbSkills!DH3:DJ6,3,FALSE),0),0))&gt;=100,100,(Backdoors!AI12+IF(HR58&gt;=0.45,VLOOKUP(Calculator!E23,tbSkills!DH3:DI6,2,FALSE)+IF(AND(Calculator!B8=TRUE,Backdoors!BI35=TRUE),VLOOKUP(Calculator!E23,tbSkills!DH3:DJ6,3,FALSE),0),0)))/100)),(1-(0.25*((-Backdoors!AI12-IF(HR58&gt;=0.45,VLOOKUP(Calculator!E23,tbSkills!DH3:DI6,2,FALSE)+IF(AND(Calculator!B8=TRUE,Backdoors!BI35=TRUE),VLOOKUP(Calculator!E23,tbSkills!DH3:DJ6,3,FALSE),0),0))/100)))),1),"")</f>
        <v>1</v>
      </c>
      <c r="HU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R58)*HT58)*(VLOOKUP(A58,tbMoveset!A2:C112,3,FALSE)/100)*IF(VLOOKUP(A58,tbMoveset!A2:B112,2,FALSE)="Projectile",Backdoors!N10,Backdoors!N9),0),"")</f>
        <v/>
      </c>
      <c r="HV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R58&gt;=0.45,VLOOKUP(Calculator!E23,tbSkills!DH3:DI6,2,FALSE)+IF(AND(Calculator!B8=TRUE,Backdoors!BI35=TRUE),VLOOKUP(Calculator!E23,tbSkills!DH3:DJ6,3,FALSE),0),0))&gt;=100,100,(Backdoors!AI12+IF(HR58&gt;=0.45,VLOOKUP(Calculator!E23,tbSkills!DH3:DI6,2,FALSE)+IF(AND(Calculator!B8=TRUE,Backdoors!BI35=TRUE),VLOOKUP(Calculator!E23,tbSkills!DH3:DJ6,3,FALSE),0),0)))/100)),1))*IF(VLOOKUP(A58,tbMoveset!A2:K112,11,FALSE)=TRUE,Backdoors!AC5,1))*HS58,0),"")</f>
        <v>0</v>
      </c>
      <c r="HW58" s="49">
        <f>VLOOKUP(A58,tbMoveset!A2:G112,7,FALSE)*IFERROR(IF(Backdoors!AI12&gt;=0,1+(IF(Calculator!E40&gt;0,VLOOKUP(Calculator!E40,tbSkills!AI3:AJ5,2,FALSE),Backdoors!AL4)*(IF((Backdoors!AI12+IF(HR58&gt;=0.45,VLOOKUP(Calculator!E23,tbSkills!DH3:DI6,2,FALSE)+IF(AND(Calculator!B8=TRUE,Backdoors!BI35=TRUE),VLOOKUP(Calculator!E23,tbSkills!DH3:DJ6,3,FALSE),0),0))&gt;=100,100,(Backdoors!AI12+IF(HR58&gt;=0.45,VLOOKUP(Calculator!E23,tbSkills!DH3:DI6,2,FALSE)+IF(AND(Calculator!B8=TRUE,Backdoors!BI35=TRUE),VLOOKUP(Calculator!E23,tbSkills!DH3:DJ6,3,FALSE),0),0)))/100)),1),1)</f>
        <v>0.5</v>
      </c>
      <c r="HX58" s="87">
        <f t="shared" si="25"/>
        <v>0</v>
      </c>
      <c r="HY58" s="86" t="str">
        <f>IFERROR(IF(VLOOKUP(A58,tbMoveset!A2:B112,2,FALSE)="Sever",Backdoors!AY36/100,IF(VLOOKUP(A58,tbMoveset!A2:B112,2,FALSE)="Blunt",Backdoors!AZ36/100,Backdoors!BA36/100)),"")</f>
        <v/>
      </c>
      <c r="HZ58" s="49">
        <f>IFERROR(IF(VLOOKUP(tbMoveset!A58,tbMoveset!A2:H112,8,FALSE)="Other",IF(VLOOKUP(tbMoveset!A58,tbMoveset!A2:I112,9,FALSE)="Fire",Backdoors!BB36,IF(VLOOKUP(tbMoveset!A58,tbMoveset!A2:I112,9,FALSE)="Water",Backdoors!BC36,IF(VLOOKUP(tbMoveset!A58,tbMoveset!A2:I112,9,FALSE)="Thunder",Backdoors!BD36,IF(VLOOKUP(tbMoveset!A58,tbMoveset!A2:I112,9,FALSE)="Ice",Backdoors!BE36,IF(VLOOKUP(tbMoveset!A58,tbMoveset!A2:I112,9,FALSE)="Dragon",Backdoors!BF36,Backdoors!BG36)))))/100,Backdoors!BG36/100),"")</f>
        <v>0</v>
      </c>
      <c r="IA58" s="49">
        <f>IFERROR(IF(VLOOKUP(A58,tbMoveset!A2:J112,10,FALSE)=TRUE,IF((Backdoors!AI12+IF(HY58&gt;=0.45,VLOOKUP(Calculator!E23,tbSkills!DH3:DI6,2,FALSE)+IF(AND(Calculator!B8=TRUE,Backdoors!BI36=TRUE),VLOOKUP(Calculator!E23,tbSkills!DH3:DJ6,3,FALSE),0),0))&gt;=0,1+(Backdoors!AL2*(IF((Backdoors!AI12+IF(HY58&gt;=0.45,VLOOKUP(Calculator!E23,tbSkills!DH3:DI6,2,FALSE)+IF(AND(Calculator!B8=TRUE,Backdoors!BI36=TRUE),VLOOKUP(Calculator!E23,tbSkills!DH3:DJ6,3,FALSE),0),0))&gt;=100,100,(Backdoors!AI12+IF(HY58&gt;=0.45,VLOOKUP(Calculator!E23,tbSkills!DH3:DI6,2,FALSE)+IF(AND(Calculator!B8=TRUE,Backdoors!BI36=TRUE),VLOOKUP(Calculator!E23,tbSkills!DH3:DJ6,3,FALSE),0),0)))/100)),(1-(0.25*((-Backdoors!AI12-IF(HY58&gt;=0.45,VLOOKUP(Calculator!E23,tbSkills!DH3:DI6,2,FALSE)+IF(AND(Calculator!B8=TRUE,Backdoors!BI36=TRUE),VLOOKUP(Calculator!E23,tbSkills!DH3:DJ6,3,FALSE),0),0))/100)))),1),"")</f>
        <v>1</v>
      </c>
      <c r="IB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Y58)*IA58)*(VLOOKUP(A58,tbMoveset!A2:C112,3,FALSE)/100)*IF(VLOOKUP(A58,tbMoveset!A2:B112,2,FALSE)="Projectile",Backdoors!N10,Backdoors!N9),0),"")</f>
        <v/>
      </c>
      <c r="IC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Y58&gt;=0.45,VLOOKUP(Calculator!E23,tbSkills!DH3:DI6,2,FALSE)+IF(AND(Calculator!B8=TRUE,Backdoors!BI36=TRUE),VLOOKUP(Calculator!E23,tbSkills!DH3:DJ6,3,FALSE),0),0))&gt;=100,100,(Backdoors!AI12+IF(HY58&gt;=0.45,VLOOKUP(Calculator!E23,tbSkills!DH3:DI6,2,FALSE)+IF(AND(Calculator!B8=TRUE,Backdoors!BI36=TRUE),VLOOKUP(Calculator!E23,tbSkills!DH3:DJ6,3,FALSE),0),0)))/100)),1))*IF(VLOOKUP(A58,tbMoveset!A2:K112,11,FALSE)=TRUE,Backdoors!AC5,1))*HZ58,0),"")</f>
        <v>0</v>
      </c>
      <c r="ID58" s="49">
        <f>VLOOKUP(A58,tbMoveset!A2:G112,7,FALSE)*IFERROR(IF(Backdoors!AI12&gt;=0,1+(IF(Calculator!E40&gt;0,VLOOKUP(Calculator!E40,tbSkills!AI3:AJ5,2,FALSE),Backdoors!AL4)*(IF((Backdoors!AI12+IF(HY58&gt;=0.45,VLOOKUP(Calculator!E23,tbSkills!DH3:DI6,2,FALSE)+IF(AND(Calculator!B8=TRUE,Backdoors!BI36=TRUE),VLOOKUP(Calculator!E23,tbSkills!DH3:DJ6,3,FALSE),0),0))&gt;=100,100,(Backdoors!AI12+IF(HY58&gt;=0.45,VLOOKUP(Calculator!E23,tbSkills!DH3:DI6,2,FALSE)+IF(AND(Calculator!B8=TRUE,Backdoors!BI36=TRUE),VLOOKUP(Calculator!E23,tbSkills!DH3:DJ6,3,FALSE),0),0)))/100)),1),1)</f>
        <v>0.5</v>
      </c>
      <c r="IE58" s="87">
        <f t="shared" si="26"/>
        <v>0</v>
      </c>
      <c r="IF58" s="86" t="str">
        <f>IFERROR(IF(VLOOKUP(A58,tbMoveset!A2:B112,2,FALSE)="Sever",Backdoors!AY37/100,IF(VLOOKUP(A58,tbMoveset!A2:B112,2,FALSE)="Blunt",Backdoors!AZ37/100,Backdoors!BA37/100)),"")</f>
        <v/>
      </c>
      <c r="IG58" s="49">
        <f>IFERROR(IF(VLOOKUP(tbMoveset!A58,tbMoveset!A2:H112,8,FALSE)="Other",IF(VLOOKUP(tbMoveset!A58,tbMoveset!A2:I112,9,FALSE)="Fire",Backdoors!BB37,IF(VLOOKUP(tbMoveset!A58,tbMoveset!A2:I112,9,FALSE)="Water",Backdoors!BC37,IF(VLOOKUP(tbMoveset!A58,tbMoveset!A2:I112,9,FALSE)="Thunder",Backdoors!BD37,IF(VLOOKUP(tbMoveset!A58,tbMoveset!A2:I112,9,FALSE)="Ice",Backdoors!BE37,IF(VLOOKUP(tbMoveset!A58,tbMoveset!A2:I112,9,FALSE)="Dragon",Backdoors!BF37,Backdoors!BG37)))))/100,Backdoors!BG37/100),"")</f>
        <v>0</v>
      </c>
      <c r="IH58" s="49">
        <f>IFERROR(IF(VLOOKUP(A58,tbMoveset!A2:J112,10,FALSE)=TRUE,IF((Backdoors!AI12+IF(IF58&gt;=0.45,VLOOKUP(Calculator!E23,tbSkills!DH3:DI6,2,FALSE)+IF(AND(Calculator!B8=TRUE,Backdoors!BI37=TRUE),VLOOKUP(Calculator!E23,tbSkills!DH3:DJ6,3,FALSE),0),0))&gt;=0,1+(Backdoors!AL2*(IF((Backdoors!AI12+IF(IF58&gt;=0.45,VLOOKUP(Calculator!E23,tbSkills!DH3:DI6,2,FALSE)+IF(AND(Calculator!B8=TRUE,Backdoors!BI37=TRUE),VLOOKUP(Calculator!E23,tbSkills!DH3:DJ6,3,FALSE),0),0))&gt;=100,100,(Backdoors!AI12+IF(IF58&gt;=0.45,VLOOKUP(Calculator!E23,tbSkills!DH3:DI6,2,FALSE)+IF(AND(Calculator!B8=TRUE,Backdoors!BI37=TRUE),VLOOKUP(Calculator!E23,tbSkills!DH3:DJ6,3,FALSE),0),0)))/100)),(1-(0.25*((-Backdoors!AI12-IF(IF58&gt;=0.45,VLOOKUP(Calculator!E23,tbSkills!DH3:DI6,2,FALSE)+IF(AND(Calculator!B8=TRUE,Backdoors!BI37=TRUE),VLOOKUP(Calculator!E23,tbSkills!DH3:DJ6,3,FALSE),0),0))/100)))),1),"")</f>
        <v>1</v>
      </c>
      <c r="II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F58)*IH58)*(VLOOKUP(A58,tbMoveset!A2:C112,3,FALSE)/100)*IF(VLOOKUP(A58,tbMoveset!A2:B112,2,FALSE)="Projectile",Backdoors!N10,Backdoors!N9),0),"")</f>
        <v/>
      </c>
      <c r="IJ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IF58&gt;=0.45,VLOOKUP(Calculator!E23,tbSkills!DH3:DI6,2,FALSE)+IF(AND(Calculator!B8=TRUE,Backdoors!BI37=TRUE),VLOOKUP(Calculator!E23,tbSkills!DH3:DJ6,3,FALSE),0),0))&gt;=100,100,(Backdoors!AI12+IF(IF58&gt;=0.45,VLOOKUP(Calculator!E23,tbSkills!DH3:DI6,2,FALSE)+IF(AND(Calculator!B8=TRUE,Backdoors!BI37=TRUE),VLOOKUP(Calculator!E23,tbSkills!DH3:DJ6,3,FALSE),0),0)))/100)),1))*IF(VLOOKUP(A58,tbMoveset!A2:K112,11,FALSE)=TRUE,Backdoors!AC5,1))*IG58,0),"")</f>
        <v>0</v>
      </c>
      <c r="IK58" s="49">
        <f>VLOOKUP(A58,tbMoveset!A2:G112,7,FALSE)*IFERROR(IF(Backdoors!AI12&gt;=0,1+(IF(Calculator!E40&gt;0,VLOOKUP(Calculator!E40,tbSkills!AI3:AJ5,2,FALSE),Backdoors!AL4)*(IF((Backdoors!AI12+IF(IF58&gt;=0.45,VLOOKUP(Calculator!E23,tbSkills!DH3:DI6,2,FALSE)+IF(AND(Calculator!B8=TRUE,Backdoors!BI37=TRUE),VLOOKUP(Calculator!E23,tbSkills!DH3:DJ6,3,FALSE),0),0))&gt;=100,100,(Backdoors!AI12+IF(IF58&gt;=0.45,VLOOKUP(Calculator!E23,tbSkills!DH3:DI6,2,FALSE)+IF(AND(Calculator!B8=TRUE,Backdoors!BI37=TRUE),VLOOKUP(Calculator!E23,tbSkills!DH3:DJ6,3,FALSE),0),0)))/100)),1),1)</f>
        <v>0.5</v>
      </c>
      <c r="IL58" s="87">
        <f t="shared" si="27"/>
        <v>0</v>
      </c>
      <c r="IM58" s="86" t="str">
        <f>IFERROR(IF(VLOOKUP(A58,tbMoveset!A2:B112,2,FALSE)="Sever",Backdoors!AY38/100,IF(VLOOKUP(A58,tbMoveset!A2:B112,2,FALSE)="Blunt",Backdoors!AZ38/100,Backdoors!BA38/100)),"")</f>
        <v/>
      </c>
      <c r="IN58" s="49">
        <f>IFERROR(IF(VLOOKUP(tbMoveset!A58,tbMoveset!A2:H112,8,FALSE)="Other",IF(VLOOKUP(tbMoveset!A58,tbMoveset!A2:I112,9,FALSE)="Fire",Backdoors!BB38,IF(VLOOKUP(tbMoveset!A58,tbMoveset!A2:I112,9,FALSE)="Water",Backdoors!BC38,IF(VLOOKUP(tbMoveset!A58,tbMoveset!A2:I112,9,FALSE)="Thunder",Backdoors!BD38,IF(VLOOKUP(tbMoveset!A58,tbMoveset!A2:I112,9,FALSE)="Ice",Backdoors!BE38,IF(VLOOKUP(tbMoveset!A58,tbMoveset!A2:I112,9,FALSE)="Dragon",Backdoors!BF38,Backdoors!BG38)))))/100,Backdoors!BG38/100),"")</f>
        <v>0</v>
      </c>
      <c r="IO58" s="49">
        <f>IFERROR(IF(VLOOKUP(A58,tbMoveset!A2:J112,10,FALSE)=TRUE,IF((Backdoors!AI12+IF(IM58&gt;=0.45,VLOOKUP(Calculator!E23,tbSkills!DH3:DI6,2,FALSE)+IF(AND(Calculator!B8=TRUE,Backdoors!BI38=TRUE),VLOOKUP(Calculator!E23,tbSkills!DH3:DJ6,3,FALSE),0),0))&gt;=0,1+(Backdoors!AL2*(IF((Backdoors!AI12+IF(IM58&gt;=0.45,VLOOKUP(Calculator!E23,tbSkills!DH3:DI6,2,FALSE)+IF(AND(Calculator!B8=TRUE,Backdoors!BI38=TRUE),VLOOKUP(Calculator!E23,tbSkills!DH3:DJ6,3,FALSE),0),0))&gt;=100,100,(Backdoors!AI12+IF(IM58&gt;=0.45,VLOOKUP(Calculator!E23,tbSkills!DH3:DI6,2,FALSE)+IF(AND(Calculator!B8=TRUE,Backdoors!BI38=TRUE),VLOOKUP(Calculator!E23,tbSkills!DH3:DJ6,3,FALSE),0),0)))/100)),(1-(0.25*((-Backdoors!AI12-IF(IM58&gt;=0.45,VLOOKUP(Calculator!E23,tbSkills!DH3:DI6,2,FALSE)+IF(AND(Calculator!B8=TRUE,Backdoors!BI38=TRUE),VLOOKUP(Calculator!E23,tbSkills!DH3:DJ6,3,FALSE),0),0))/100)))),1),"")</f>
        <v>1</v>
      </c>
      <c r="IP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M58)*IO58)*(VLOOKUP(A58,tbMoveset!A2:C112,3,FALSE)/100)*IF(VLOOKUP(A58,tbMoveset!A2:B112,2,FALSE)="Projectile",Backdoors!N10,Backdoors!N9),0),"")</f>
        <v/>
      </c>
      <c r="IQ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IM58&gt;=0.45,VLOOKUP(Calculator!E23,tbSkills!DH3:DI6,2,FALSE)+IF(AND(Calculator!B8=TRUE,Backdoors!BI38=TRUE),VLOOKUP(Calculator!E23,tbSkills!DH3:DJ6,3,FALSE),0),0))&gt;=100,100,(Backdoors!AI12+IF(IM58&gt;=0.45,VLOOKUP(Calculator!E23,tbSkills!DH3:DI6,2,FALSE)+IF(AND(Calculator!B8=TRUE,Backdoors!BI38=TRUE),VLOOKUP(Calculator!E23,tbSkills!DH3:DJ6,3,FALSE),0),0)))/100)),1))*IF(VLOOKUP(A58,tbMoveset!A2:K112,11,FALSE)=TRUE,Backdoors!AC5,1))*IN58,0),"")</f>
        <v>0</v>
      </c>
      <c r="IR58" s="49">
        <f>VLOOKUP(A58,tbMoveset!A2:G112,7,FALSE)*IFERROR(IF(Backdoors!AI12&gt;=0,1+(IF(Calculator!E40&gt;0,VLOOKUP(Calculator!E40,tbSkills!AI3:AJ5,2,FALSE),Backdoors!AL4)*(IF((Backdoors!AI12+IF(IM58&gt;=0.45,VLOOKUP(Calculator!E23,tbSkills!DH3:DI6,2,FALSE)+IF(AND(Calculator!B8=TRUE,Backdoors!BI38=TRUE),VLOOKUP(Calculator!E23,tbSkills!DH3:DJ6,3,FALSE),0),0))&gt;=100,100,(Backdoors!AI12+IF(IM58&gt;=0.45,VLOOKUP(Calculator!E23,tbSkills!DH3:DI6,2,FALSE)+IF(AND(Calculator!B8=TRUE,Backdoors!BI38=TRUE),VLOOKUP(Calculator!E23,tbSkills!DH3:DJ6,3,FALSE),0),0)))/100)),1),1)</f>
        <v>0.5</v>
      </c>
      <c r="IS58" s="87">
        <f t="shared" si="42"/>
        <v>0</v>
      </c>
      <c r="IT58" s="86" t="str">
        <f>IFERROR(IF(VLOOKUP(A58,tbMoveset!A2:B112,2,FALSE)="Sever",Backdoors!AY39/100,IF(VLOOKUP(A58,tbMoveset!A2:B112,2,FALSE)="Blunt",Backdoors!AZ39/100,Backdoors!BA39/100)),"")</f>
        <v/>
      </c>
      <c r="IU58" s="49">
        <f>IFERROR(IF(VLOOKUP(tbMoveset!A58,tbMoveset!A2:H112,8,FALSE)="Other",IF(VLOOKUP(tbMoveset!A58,tbMoveset!A2:I112,9,FALSE)="Fire",Backdoors!BB39,IF(VLOOKUP(tbMoveset!A58,tbMoveset!A2:I112,9,FALSE)="Water",Backdoors!BC39,IF(VLOOKUP(tbMoveset!A58,tbMoveset!A2:I112,9,FALSE)="Thunder",Backdoors!BD39,IF(VLOOKUP(tbMoveset!A58,tbMoveset!A2:I112,9,FALSE)="Ice",Backdoors!BE39,IF(VLOOKUP(tbMoveset!A58,tbMoveset!A2:I112,9,FALSE)="Dragon",Backdoors!BF39,Backdoors!BG39)))))/100,Backdoors!BG39/100),"")</f>
        <v>0</v>
      </c>
      <c r="IV58" s="49">
        <f>IFERROR(IF(VLOOKUP(A58,tbMoveset!A2:J112,10,FALSE)=TRUE,IF((Backdoors!AI12+IF(IT58&gt;=0.45,VLOOKUP(Calculator!E23,tbSkills!DH3:DI6,2,FALSE)+IF(AND(Calculator!B8=TRUE,Backdoors!BI39=TRUE),VLOOKUP(Calculator!E23,tbSkills!DH3:DJ6,3,FALSE),0),0))&gt;=0,1+(Backdoors!AL2*(IF((Backdoors!AI12+IF(IT58&gt;=0.45,VLOOKUP(Calculator!E23,tbSkills!DH3:DI6,2,FALSE)+IF(AND(Calculator!B8=TRUE,Backdoors!BI39=TRUE),VLOOKUP(Calculator!E23,tbSkills!DH3:DJ6,3,FALSE),0),0))&gt;=100,100,(Backdoors!AI12+IF(IT58&gt;=0.45,VLOOKUP(Calculator!E23,tbSkills!DH3:DI6,2,FALSE)+IF(AND(Calculator!B8=TRUE,Backdoors!BI39=TRUE),VLOOKUP(Calculator!E23,tbSkills!DH3:DJ6,3,FALSE),0),0)))/100)),(1-(0.25*((-Backdoors!AI12-IF(IT58&gt;=0.45,VLOOKUP(Calculator!E23,tbSkills!DH3:DI6,2,FALSE)+IF(AND(Calculator!B8=TRUE,Backdoors!BI39=TRUE),VLOOKUP(Calculator!E23,tbSkills!DH3:DJ6,3,FALSE),0),0))/100)))),1),"")</f>
        <v>1</v>
      </c>
      <c r="IW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T58)*IV58)*(VLOOKUP(A58,tbMoveset!A2:C112,3,FALSE)/100)*IF(VLOOKUP(A58,tbMoveset!A2:B112,2,FALSE)="Projectile",Backdoors!N10,Backdoors!N9),0),"")</f>
        <v/>
      </c>
      <c r="IX58" s="49">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40&gt;0,VLOOKUP(Calculator!E40,tbSkills!AC3:AD5,2,FALSE),Backdoors!AL3)*(IF((Backdoors!AI12+IF(IT58&gt;=0.45,VLOOKUP(Calculator!E23,tbSkills!DH3:DI6,2,FALSE)+IF(AND(Calculator!B8=TRUE,Backdoors!BI39=TRUE),VLOOKUP(Calculator!E23,tbSkills!DH3:DJ6,3,FALSE),0),0))&gt;=100,100,(Backdoors!AI12+IF(IT58&gt;=0.45,VLOOKUP(Calculator!E23,tbSkills!DH3:DI6,2,FALSE)+IF(AND(Calculator!B8=TRUE,Backdoors!BI39=TRUE),VLOOKUP(Calculator!E23,tbSkills!DH3:DJ6,3,FALSE),0),0)))/100)),1))*IF(VLOOKUP(A58,tbMoveset!A2:K112,11,FALSE)=TRUE,Backdoors!AC5,1))*IU58,0),"")</f>
        <v>0</v>
      </c>
      <c r="IY58" s="49">
        <f>VLOOKUP(A58,tbMoveset!A2:G112,7,FALSE)*IFERROR(IF(Backdoors!AI12&gt;=0,1+(IF(Calculator!E40&gt;0,VLOOKUP(Calculator!E40,tbSkills!AI3:AJ5,2,FALSE),Backdoors!AL4)*(IF((Backdoors!AI12+IF(IT58&gt;=0.45,VLOOKUP(Calculator!E23,tbSkills!DH3:DI6,2,FALSE)+IF(AND(Calculator!B8=TRUE,Backdoors!BI39=TRUE),VLOOKUP(Calculator!E23,tbSkills!DH3:DJ6,3,FALSE),0),0))&gt;=100,100,(Backdoors!AI12+IF(IT58&gt;=0.45,VLOOKUP(Calculator!E23,tbSkills!DH3:DI6,2,FALSE)+IF(AND(Calculator!B8=TRUE,Backdoors!BI39=TRUE),VLOOKUP(Calculator!E23,tbSkills!DH3:DJ6,3,FALSE),0),0)))/100)),1),1)</f>
        <v>0.5</v>
      </c>
      <c r="IZ58" s="87">
        <f t="shared" si="28"/>
        <v>0</v>
      </c>
      <c r="JA58" s="86" t="str">
        <f>IFERROR(IF(VLOOKUP(A58,tbMoveset!A2:B112,2,FALSE)="Sever",Backdoors!AY40/100,IF(VLOOKUP(A58,tbMoveset!A2:B112,2,FALSE)="Blunt",Backdoors!AZ40/100,Backdoors!BA40/100)),"")</f>
        <v/>
      </c>
      <c r="JB58" s="49">
        <f>IFERROR(IF(VLOOKUP(tbMoveset!A58,tbMoveset!A2:H112,8,FALSE)="Other",IF(VLOOKUP(tbMoveset!A58,tbMoveset!A2:I112,9,FALSE)="Fire",Backdoors!BB40,IF(VLOOKUP(tbMoveset!A58,tbMoveset!A2:I112,9,FALSE)="Water",Backdoors!BC40,IF(VLOOKUP(tbMoveset!A58,tbMoveset!A2:I112,9,FALSE)="Thunder",Backdoors!BD40,IF(VLOOKUP(tbMoveset!A58,tbMoveset!A2:I112,9,FALSE)="Ice",Backdoors!BE40,IF(VLOOKUP(tbMoveset!A58,tbMoveset!A2:I112,9,FALSE)="Dragon",Backdoors!BF40,Backdoors!BG40)))))/100,Backdoors!BG40/100),"")</f>
        <v>0</v>
      </c>
      <c r="JC58" s="49">
        <f>IFERROR(IF(VLOOKUP(A58,tbMoveset!A2:J112,10,FALSE)=TRUE,IF((Backdoors!AI12+IF(JA58&gt;=0.45,VLOOKUP(Calculator!E23,tbSkills!DH3:DI6,2,FALSE)+IF(AND(Calculator!B8=TRUE,Backdoors!BI40=TRUE),VLOOKUP(Calculator!E23,tbSkills!DH3:DJ6,3,FALSE),0),0))&gt;=0,1+(Backdoors!AL2*(IF((Backdoors!AI12+IF(JA58&gt;=0.45,VLOOKUP(Calculator!E23,tbSkills!DH3:DI6,2,FALSE)+IF(AND(Calculator!B8=TRUE,Backdoors!BI40=TRUE),VLOOKUP(Calculator!E23,tbSkills!DH3:DJ6,3,FALSE),0),0))&gt;=100,100,(Backdoors!AI12+IF(JA58&gt;=0.45,VLOOKUP(Calculator!E23,tbSkills!DH3:DI6,2,FALSE)+IF(AND(Calculator!B8=TRUE,Backdoors!BI40=TRUE),VLOOKUP(Calculator!E23,tbSkills!DH3:DJ6,3,FALSE),0),0)))/100)),(1-(0.25*((-Backdoors!AI12-IF(JA58&gt;=0.45,VLOOKUP(Calculator!E23,tbSkills!DH3:DI6,2,FALSE)+IF(AND(Calculator!B8=TRUE,Backdoors!BI40=TRUE),VLOOKUP(Calculator!E23,tbSkills!DH3:DJ6,3,FALSE),0),0))/100)))),1),"")</f>
        <v>1</v>
      </c>
      <c r="JD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A58)*JC58)*(VLOOKUP(A58,tbMoveset!A2:C112,3,FALSE)/100)*IF(VLOOKUP(A58,tbMoveset!A2:B112,2,FALSE)="Projectile",Backdoors!N10,Backdoors!N9),0),"")</f>
        <v/>
      </c>
      <c r="JE58" s="49">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42&gt;0,VLOOKUP(Calculator!E42,tbSkills!AC3:AD5,2,FALSE),Backdoors!AL3)*(IF((Backdoors!AI12+IF(JA58&gt;=0.45,VLOOKUP(Calculator!E23,tbSkills!DH3:DI6,2,FALSE)+IF(AND(Calculator!B8=TRUE,Backdoors!BI40=TRUE),VLOOKUP(Calculator!E23,tbSkills!DH3:DJ6,3,FALSE),0),0))&gt;=100,100,(Backdoors!AI12+IF(JA58&gt;=0.45,VLOOKUP(Calculator!E23,tbSkills!DH3:DI6,2,FALSE)+IF(AND(Calculator!B8=TRUE,Backdoors!BI40=TRUE),VLOOKUP(Calculator!E23,tbSkills!DH3:DJ6,3,FALSE),0),0)))/100)),1))*IF(VLOOKUP(A58,tbMoveset!A2:K112,11,FALSE)=TRUE,Backdoors!AC5,1))*JB58,0),"")</f>
        <v>0</v>
      </c>
      <c r="JF58" s="49">
        <f>VLOOKUP(A58,tbMoveset!A2:G112,7,FALSE)*IFERROR(IF(Backdoors!AI12&gt;=0,1+(IF(Calculator!E40&gt;0,VLOOKUP(Calculator!E40,tbSkills!AI3:AJ5,2,FALSE),Backdoors!AL4)*(IF((Backdoors!AI12+IF(JA58&gt;=0.45,VLOOKUP(Calculator!E23,tbSkills!DH3:DI6,2,FALSE)+IF(AND(Calculator!B8=TRUE,Backdoors!BI40=TRUE),VLOOKUP(Calculator!E23,tbSkills!DH3:DJ6,3,FALSE),0),0))&gt;=100,100,(Backdoors!AI12+IF(JA58&gt;=0.45,VLOOKUP(Calculator!E23,tbSkills!DH3:DI6,2,FALSE)+IF(AND(Calculator!B8=TRUE,Backdoors!BI40=TRUE),VLOOKUP(Calculator!E23,tbSkills!DH3:DJ6,3,FALSE),0),0)))/100)),1),1)</f>
        <v>0.5</v>
      </c>
      <c r="JG58" s="87">
        <f t="shared" si="29"/>
        <v>0</v>
      </c>
      <c r="JH58" s="86" t="str">
        <f>IFERROR(IF(VLOOKUP(A58,tbMoveset!A2:B112,2,FALSE)="Sever",Backdoors!AY41/100,IF(VLOOKUP(A58,tbMoveset!A2:B112,2,FALSE)="Blunt",Backdoors!AZ41/100,Backdoors!BA41/100)),"")</f>
        <v/>
      </c>
      <c r="JI58" s="49">
        <f>IFERROR(IF(VLOOKUP(tbMoveset!A58,tbMoveset!A2:H112,8,FALSE)="Other",IF(VLOOKUP(tbMoveset!A58,tbMoveset!A2:I112,9,FALSE)="Fire",Backdoors!BB41,IF(VLOOKUP(tbMoveset!A58,tbMoveset!A2:I112,9,FALSE)="Water",Backdoors!BC41,IF(VLOOKUP(tbMoveset!A58,tbMoveset!A2:I112,9,FALSE)="Thunder",Backdoors!BD41,IF(VLOOKUP(tbMoveset!A58,tbMoveset!A2:I112,9,FALSE)="Ice",Backdoors!BE41,IF(VLOOKUP(tbMoveset!A58,tbMoveset!A2:I112,9,FALSE)="Dragon",Backdoors!BF41,Backdoors!BG41)))))/100,Backdoors!BG41/100),"")</f>
        <v>0</v>
      </c>
      <c r="JJ58" s="49">
        <f>IFERROR(IF(VLOOKUP(A58,tbMoveset!A2:J112,10,FALSE)=TRUE,IF((Backdoors!AI12+IF(JH58&gt;=0.45,VLOOKUP(Calculator!E23,tbSkills!DH3:DI6,2,FALSE)+IF(AND(Calculator!B8=TRUE,Backdoors!BI41=TRUE),VLOOKUP(Calculator!E23,tbSkills!DH3:DJ6,3,FALSE),0),0))&gt;=0,1+(Backdoors!AL2*(IF((Backdoors!AI12+IF(JH58&gt;=0.45,VLOOKUP(Calculator!E23,tbSkills!DH3:DI6,2,FALSE)+IF(AND(Calculator!B8=TRUE,Backdoors!BI41=TRUE),VLOOKUP(Calculator!E23,tbSkills!DH3:DJ6,3,FALSE),0),0))&gt;=100,100,(Backdoors!AI12+IF(JH58&gt;=0.45,VLOOKUP(Calculator!E23,tbSkills!DH3:DI6,2,FALSE)+IF(AND(Calculator!B8=TRUE,Backdoors!BI41=TRUE),VLOOKUP(Calculator!E23,tbSkills!DH3:DJ6,3,FALSE),0),0)))/100)),(1-(0.25*((-Backdoors!AI12-IF(JH58&gt;=0.45,VLOOKUP(Calculator!E23,tbSkills!DH3:DI6,2,FALSE)+IF(AND(Calculator!B8=TRUE,Backdoors!BI41=TRUE),VLOOKUP(Calculator!E23,tbSkills!DH3:DJ6,3,FALSE),0),0))/100)))),1),"")</f>
        <v>1</v>
      </c>
      <c r="JK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H58)*JJ58)*(VLOOKUP(A58,tbMoveset!A2:C112,3,FALSE)/100)*IF(VLOOKUP(A58,tbMoveset!A2:B112,2,FALSE)="Projectile",Backdoors!N10,Backdoors!N9),0),"")</f>
        <v/>
      </c>
      <c r="JL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43&gt;0,VLOOKUP(Calculator!E43,tbSkills!AC3:AD5,2,FALSE),Backdoors!AL3)*(IF((Backdoors!AI12+IF(JH58&gt;=0.45,VLOOKUP(Calculator!E23,tbSkills!DH3:DI6,2,FALSE)+IF(AND(Calculator!B8=TRUE,Backdoors!BI41=TRUE),VLOOKUP(Calculator!E23,tbSkills!DH3:DJ6,3,FALSE),0),0))&gt;=100,100,(Backdoors!AI12+IF(JH58&gt;=0.45,VLOOKUP(Calculator!E23,tbSkills!DH3:DI6,2,FALSE)+IF(AND(Calculator!B8=TRUE,Backdoors!BI41=TRUE),VLOOKUP(Calculator!E23,tbSkills!DH3:DJ6,3,FALSE),0),0)))/100)),1))*IF(VLOOKUP(A58,tbMoveset!A2:K112,11,FALSE)=TRUE,Backdoors!AC5,1))*JI58,0),"")</f>
        <v/>
      </c>
      <c r="JM58" s="49">
        <f>VLOOKUP(A58,tbMoveset!A2:G112,7,FALSE)*IFERROR(IF(Backdoors!AI12&gt;=0,1+(IF(Calculator!E40&gt;0,VLOOKUP(Calculator!E40,tbSkills!AI3:AJ5,2,FALSE),Backdoors!AL4)*(IF((Backdoors!AI12+IF(JH58&gt;=0.45,VLOOKUP(Calculator!E23,tbSkills!DH3:DI6,2,FALSE)+IF(AND(Calculator!B8=TRUE,Backdoors!BI41=TRUE),VLOOKUP(Calculator!E23,tbSkills!DH3:DJ6,3,FALSE),0),0))&gt;=100,100,(Backdoors!AI12+IF(JH58&gt;=0.45,VLOOKUP(Calculator!E23,tbSkills!DH3:DI6,2,FALSE)+IF(AND(Calculator!B8=TRUE,Backdoors!BI41=TRUE),VLOOKUP(Calculator!E23,tbSkills!DH3:DJ6,3,FALSE),0),0)))/100)),1),1)</f>
        <v>0.5</v>
      </c>
      <c r="JN58" s="87">
        <f t="shared" si="30"/>
        <v>0</v>
      </c>
      <c r="JO58" s="86" t="str">
        <f>IFERROR(IF(VLOOKUP(A58,tbMoveset!A2:B112,2,FALSE)="Sever",Backdoors!AY42/100,IF(VLOOKUP(A58,tbMoveset!A2:B112,2,FALSE)="Blunt",Backdoors!AZ42/100,Backdoors!BA42/100)),"")</f>
        <v/>
      </c>
      <c r="JP58" s="49">
        <f>IFERROR(IF(VLOOKUP(tbMoveset!A58,tbMoveset!A2:H112,8,FALSE)="Other",IF(VLOOKUP(tbMoveset!A58,tbMoveset!A2:I112,9,FALSE)="Fire",Backdoors!BB42,IF(VLOOKUP(tbMoveset!A58,tbMoveset!A2:I112,9,FALSE)="Water",Backdoors!BC42,IF(VLOOKUP(tbMoveset!A58,tbMoveset!A2:I112,9,FALSE)="Thunder",Backdoors!BD42,IF(VLOOKUP(tbMoveset!A58,tbMoveset!A2:I112,9,FALSE)="Ice",Backdoors!BE42,IF(VLOOKUP(tbMoveset!A58,tbMoveset!A2:I112,9,FALSE)="Dragon",Backdoors!BF42,Backdoors!BG42)))))/100,Backdoors!BG42/100),"")</f>
        <v>0</v>
      </c>
      <c r="JQ58" s="49">
        <f>IFERROR(IF(VLOOKUP(A58,tbMoveset!A2:J112,10,FALSE)=TRUE,IF((Backdoors!AI12+IF(JO58&gt;=0.45,VLOOKUP(Calculator!E23,tbSkills!DH3:DI6,2,FALSE)+IF(AND(Calculator!B8=TRUE,Backdoors!BI42=TRUE),VLOOKUP(Calculator!E23,tbSkills!DH3:DJ6,3,FALSE),0),0))&gt;=0,1+(Backdoors!AL2*(IF((Backdoors!AI12+IF(JO58&gt;=0.45,VLOOKUP(Calculator!E23,tbSkills!DH3:DI6,2,FALSE)+IF(AND(Calculator!B8=TRUE,Backdoors!BI42=TRUE),VLOOKUP(Calculator!E23,tbSkills!DH3:DJ6,3,FALSE),0),0))&gt;=100,100,(Backdoors!AI12+IF(JO58&gt;=0.45,VLOOKUP(Calculator!E23,tbSkills!DH3:DI6,2,FALSE)+IF(AND(Calculator!B8=TRUE,Backdoors!BI42=TRUE),VLOOKUP(Calculator!E23,tbSkills!DH3:DJ6,3,FALSE),0),0)))/100)),(1-(0.25*((-Backdoors!AI12-IF(JO58&gt;=0.45,VLOOKUP(Calculator!E23,tbSkills!DH3:DI6,2,FALSE)+IF(AND(Calculator!B8=TRUE,Backdoors!BI42=TRUE),VLOOKUP(Calculator!E23,tbSkills!DH3:DJ6,3,FALSE),0),0))/100)))),1),"")</f>
        <v>1</v>
      </c>
      <c r="JR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O58)*JQ58)*(VLOOKUP(A58,tbMoveset!A2:C112,3,FALSE)/100)*IF(VLOOKUP(A58,tbMoveset!A2:B112,2,FALSE)="Projectile",Backdoors!N10,Backdoors!N9),0),"")</f>
        <v/>
      </c>
      <c r="JS58" s="49">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45&gt;0,VLOOKUP(Calculator!E45,tbSkills!AC3:AD5,2,FALSE),Backdoors!AL3)*(IF((Backdoors!AI12+IF(JO58&gt;=0.45,VLOOKUP(Calculator!E23,tbSkills!DH3:DI6,2,FALSE)+IF(AND(Calculator!B8=TRUE,Backdoors!BI42=TRUE),VLOOKUP(Calculator!E23,tbSkills!DH3:DJ6,3,FALSE),0),0))&gt;=100,100,(Backdoors!AI12+IF(JO58&gt;=0.45,VLOOKUP(Calculator!E23,tbSkills!DH3:DI6,2,FALSE)+IF(AND(Calculator!B8=TRUE,Backdoors!BI42=TRUE),VLOOKUP(Calculator!E23,tbSkills!DH3:DJ6,3,FALSE),0),0)))/100)),1))*IF(VLOOKUP(A58,tbMoveset!A2:K112,11,FALSE)=TRUE,Backdoors!AC5,1))*JP58,0),"")</f>
        <v>0</v>
      </c>
      <c r="JT58" s="49">
        <f>VLOOKUP(A58,tbMoveset!A2:G112,7,FALSE)*IFERROR(IF(Backdoors!AI12&gt;=0,1+(IF(Calculator!E40&gt;0,VLOOKUP(Calculator!E40,tbSkills!AI3:AJ5,2,FALSE),Backdoors!AL4)*(IF((Backdoors!AI12+IF(JO58&gt;=0.45,VLOOKUP(Calculator!E23,tbSkills!DH3:DI6,2,FALSE)+IF(AND(Calculator!B8=TRUE,Backdoors!BI42=TRUE),VLOOKUP(Calculator!E23,tbSkills!DH3:DJ6,3,FALSE),0),0))&gt;=100,100,(Backdoors!AI12+IF(JO58&gt;=0.45,VLOOKUP(Calculator!E23,tbSkills!DH3:DI6,2,FALSE)+IF(AND(Calculator!B8=TRUE,Backdoors!BI42=TRUE),VLOOKUP(Calculator!E23,tbSkills!DH3:DJ6,3,FALSE),0),0)))/100)),1),1)</f>
        <v>0.5</v>
      </c>
      <c r="JU58" s="87">
        <f t="shared" si="31"/>
        <v>0</v>
      </c>
      <c r="JV58" s="86" t="str">
        <f>IFERROR(IF(VLOOKUP(A58,tbMoveset!A2:B112,2,FALSE)="Sever",Backdoors!AY43/100,IF(VLOOKUP(A58,tbMoveset!A2:B112,2,FALSE)="Blunt",Backdoors!AZ43/100,Backdoors!BA43/100)),"")</f>
        <v/>
      </c>
      <c r="JW58" s="49">
        <f>IFERROR(IF(VLOOKUP(tbMoveset!A58,tbMoveset!A2:H112,8,FALSE)="Other",IF(VLOOKUP(tbMoveset!A58,tbMoveset!A2:I112,9,FALSE)="Fire",Backdoors!BB43,IF(VLOOKUP(tbMoveset!A58,tbMoveset!A2:I112,9,FALSE)="Water",Backdoors!BC43,IF(VLOOKUP(tbMoveset!A58,tbMoveset!A2:I112,9,FALSE)="Thunder",Backdoors!BD43,IF(VLOOKUP(tbMoveset!A58,tbMoveset!A2:I112,9,FALSE)="Ice",Backdoors!BE43,IF(VLOOKUP(tbMoveset!A58,tbMoveset!A2:I112,9,FALSE)="Dragon",Backdoors!BF43,Backdoors!BG43)))))/100,Backdoors!BG43/100),"")</f>
        <v>0</v>
      </c>
      <c r="JX58" s="49">
        <f>IFERROR(IF(VLOOKUP(A58,tbMoveset!A2:J112,10,FALSE)=TRUE,IF((Backdoors!AI12+IF(JV58&gt;=0.45,VLOOKUP(Calculator!E23,tbSkills!DH3:DI6,2,FALSE)+IF(AND(Calculator!B8=TRUE,Backdoors!BI43=TRUE),VLOOKUP(Calculator!E23,tbSkills!DH3:DJ6,3,FALSE),0),0))&gt;=0,1+(Backdoors!AL2*(IF((Backdoors!AI12+IF(JV58&gt;=0.45,VLOOKUP(Calculator!E23,tbSkills!DH3:DI6,2,FALSE)+IF(AND(Calculator!B8=TRUE,Backdoors!BI43=TRUE),VLOOKUP(Calculator!E23,tbSkills!DH3:DJ6,3,FALSE),0),0))&gt;=100,100,(Backdoors!AI12+IF(JV58&gt;=0.45,VLOOKUP(Calculator!E23,tbSkills!DH3:DI6,2,FALSE)+IF(AND(Calculator!B8=TRUE,Backdoors!BI43=TRUE),VLOOKUP(Calculator!E23,tbSkills!DH3:DJ6,3,FALSE),0),0)))/100)),(1-(0.25*((-Backdoors!AI12-IF(JV58&gt;=0.45,VLOOKUP(Calculator!E23,tbSkills!DH3:DI6,2,FALSE)+IF(AND(Calculator!B8=TRUE,Backdoors!BI43=TRUE),VLOOKUP(Calculator!E23,tbSkills!DH3:DJ6,3,FALSE),0),0))/100)))),1),"")</f>
        <v>1</v>
      </c>
      <c r="JY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V58)*JX58)*(VLOOKUP(A58,tbMoveset!A2:C112,3,FALSE)/100)*IF(VLOOKUP(A58,tbMoveset!A2:B112,2,FALSE)="Projectile",Backdoors!N10,Backdoors!N9),0),"")</f>
        <v/>
      </c>
      <c r="JZ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46&gt;0,VLOOKUP(Calculator!E46,tbSkills!AC3:AD5,2,FALSE),Backdoors!AL3)*(IF((Backdoors!AI12+IF(JV58&gt;=0.45,VLOOKUP(Calculator!E23,tbSkills!DH3:DI6,2,FALSE)+IF(AND(Calculator!B8=TRUE,Backdoors!BI43=TRUE),VLOOKUP(Calculator!E23,tbSkills!DH3:DJ6,3,FALSE),0),0))&gt;=100,100,(Backdoors!AI12+IF(JV58&gt;=0.45,VLOOKUP(Calculator!E23,tbSkills!DH3:DI6,2,FALSE)+IF(AND(Calculator!B8=TRUE,Backdoors!BI43=TRUE),VLOOKUP(Calculator!E23,tbSkills!DH3:DJ6,3,FALSE),0),0)))/100)),1))*IF(VLOOKUP(A58,tbMoveset!A2:K112,11,FALSE)=TRUE,Backdoors!AC5,1))*JW58,0),"")</f>
        <v/>
      </c>
      <c r="KA58" s="49">
        <f>VLOOKUP(A58,tbMoveset!A2:G112,7,FALSE)*IFERROR(IF(Backdoors!AI12&gt;=0,1+(IF(Calculator!E40&gt;0,VLOOKUP(Calculator!E40,tbSkills!AI3:AJ5,2,FALSE),Backdoors!AL4)*(IF((Backdoors!AI12+IF(JV58&gt;=0.45,VLOOKUP(Calculator!E23,tbSkills!DH3:DI6,2,FALSE)+IF(AND(Calculator!B8=TRUE,Backdoors!BI43=TRUE),VLOOKUP(Calculator!E23,tbSkills!DH3:DJ6,3,FALSE),0),0))&gt;=100,100,(Backdoors!AI12+IF(JV58&gt;=0.45,VLOOKUP(Calculator!E23,tbSkills!DH3:DI6,2,FALSE)+IF(AND(Calculator!B8=TRUE,Backdoors!BI43=TRUE),VLOOKUP(Calculator!E23,tbSkills!DH3:DJ6,3,FALSE),0),0)))/100)),1),1)</f>
        <v>0.5</v>
      </c>
      <c r="KB58" s="87">
        <f t="shared" si="32"/>
        <v>0</v>
      </c>
      <c r="KC58" s="86" t="str">
        <f>IFERROR(IF(VLOOKUP(A58,tbMoveset!A2:B112,2,FALSE)="Sever",Backdoors!AY44/100,IF(VLOOKUP(A58,tbMoveset!A2:B112,2,FALSE)="Blunt",Backdoors!AZ44/100,Backdoors!BA44/100)),"")</f>
        <v/>
      </c>
      <c r="KD58" s="49">
        <f>IFERROR(IF(VLOOKUP(tbMoveset!A58,tbMoveset!A2:H112,8,FALSE)="Other",IF(VLOOKUP(tbMoveset!A58,tbMoveset!A2:I112,9,FALSE)="Fire",Backdoors!BB44,IF(VLOOKUP(tbMoveset!A58,tbMoveset!A2:I112,9,FALSE)="Water",Backdoors!BC44,IF(VLOOKUP(tbMoveset!A58,tbMoveset!A2:I112,9,FALSE)="Thunder",Backdoors!BD44,IF(VLOOKUP(tbMoveset!A58,tbMoveset!A2:I112,9,FALSE)="Ice",Backdoors!BE44,IF(VLOOKUP(tbMoveset!A58,tbMoveset!A2:I112,9,FALSE)="Dragon",Backdoors!BF44,Backdoors!BG44)))))/100,Backdoors!BG44/100),"")</f>
        <v>0</v>
      </c>
      <c r="KE58" s="49">
        <f>IFERROR(IF(VLOOKUP(A58,tbMoveset!A2:J112,10,FALSE)=TRUE,IF((Backdoors!AI12+IF(KC58&gt;=0.45,VLOOKUP(Calculator!E23,tbSkills!DH3:DI6,2,FALSE)+IF(AND(Calculator!B8=TRUE,Backdoors!BI44=TRUE),VLOOKUP(Calculator!E23,tbSkills!DH3:DJ6,3,FALSE),0),0))&gt;=0,1+(Backdoors!AL2*(IF((Backdoors!AI12+IF(KC58&gt;=0.45,VLOOKUP(Calculator!E23,tbSkills!DH3:DI6,2,FALSE)+IF(AND(Calculator!B8=TRUE,Backdoors!BI44=TRUE),VLOOKUP(Calculator!E23,tbSkills!DH3:DJ6,3,FALSE),0),0))&gt;=100,100,(Backdoors!AI12+IF(KC58&gt;=0.45,VLOOKUP(Calculator!E23,tbSkills!DH3:DI6,2,FALSE)+IF(AND(Calculator!B8=TRUE,Backdoors!BI44=TRUE),VLOOKUP(Calculator!E23,tbSkills!DH3:DJ6,3,FALSE),0),0)))/100)),(1-(0.25*((-Backdoors!AI12-IF(KC58&gt;=0.45,VLOOKUP(Calculator!E23,tbSkills!DH3:DI6,2,FALSE)+IF(AND(Calculator!B8=TRUE,Backdoors!BI44=TRUE),VLOOKUP(Calculator!E23,tbSkills!DH3:DJ6,3,FALSE),0),0))/100)))),1),"")</f>
        <v>1</v>
      </c>
      <c r="KF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KC58)*KE58)*(VLOOKUP(A58,tbMoveset!A2:C112,3,FALSE)/100)*IF(VLOOKUP(A58,tbMoveset!A2:B112,2,FALSE)="Projectile",Backdoors!N10,Backdoors!N9),0),"")</f>
        <v/>
      </c>
      <c r="KG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REF!&gt;0,VLOOKUP(Calculator!#REF!,tbSkills!AC3:AD5,2,FALSE),Backdoors!AL3)*(IF((Backdoors!AI12+IF(KC58&gt;=0.45,VLOOKUP(Calculator!E23,tbSkills!DH3:DI6,2,FALSE)+IF(AND(Calculator!B8=TRUE,Backdoors!BI44=TRUE),VLOOKUP(Calculator!E23,tbSkills!DH3:DJ6,3,FALSE),0),0))&gt;=100,100,(Backdoors!AI12+IF(KC58&gt;=0.45,VLOOKUP(Calculator!E23,tbSkills!DH3:DI6,2,FALSE)+IF(AND(Calculator!B8=TRUE,Backdoors!BI44=TRUE),VLOOKUP(Calculator!E23,tbSkills!DH3:DJ6,3,FALSE),0),0)))/100)),1))*IF(VLOOKUP(A58,tbMoveset!A2:K112,11,FALSE)=TRUE,Backdoors!AC5,1))*KD58,0),"")</f>
        <v/>
      </c>
      <c r="KH58" s="49">
        <f>VLOOKUP(A58,tbMoveset!A2:G112,7,FALSE)*IFERROR(IF(Backdoors!AI12&gt;=0,1+(IF(Calculator!E40&gt;0,VLOOKUP(Calculator!E40,tbSkills!AI3:AJ5,2,FALSE),Backdoors!AL4)*(IF((Backdoors!AI12+IF(KC58&gt;=0.45,VLOOKUP(Calculator!E23,tbSkills!DH3:DI6,2,FALSE)+IF(AND(Calculator!B8=TRUE,Backdoors!BI44=TRUE),VLOOKUP(Calculator!E23,tbSkills!DH3:DJ6,3,FALSE),0),0))&gt;=100,100,(Backdoors!AI12+IF(KC58&gt;=0.45,VLOOKUP(Calculator!E23,tbSkills!DH3:DI6,2,FALSE)+IF(AND(Calculator!B8=TRUE,Backdoors!BI44=TRUE),VLOOKUP(Calculator!E23,tbSkills!DH3:DJ6,3,FALSE),0),0)))/100)),1),1)</f>
        <v>0.5</v>
      </c>
      <c r="KI58" s="87">
        <f t="shared" si="33"/>
        <v>0</v>
      </c>
      <c r="KJ58" s="86" t="str">
        <f>IFERROR(IF(VLOOKUP(A58,tbMoveset!A2:B112,2,FALSE)="Sever",Backdoors!AY45/100,IF(VLOOKUP(A58,tbMoveset!A2:B112,2,FALSE)="Blunt",Backdoors!AZ45/100,Backdoors!BA45/100)),"")</f>
        <v/>
      </c>
      <c r="KK58" s="49">
        <f>IFERROR(IF(VLOOKUP(tbMoveset!A58,tbMoveset!A2:H112,8,FALSE)="Other",IF(VLOOKUP(tbMoveset!A58,tbMoveset!A2:I112,9,FALSE)="Fire",Backdoors!BB45,IF(VLOOKUP(tbMoveset!A58,tbMoveset!A2:I112,9,FALSE)="Water",Backdoors!BC45,IF(VLOOKUP(tbMoveset!A58,tbMoveset!A2:I112,9,FALSE)="Thunder",Backdoors!BD45,IF(VLOOKUP(tbMoveset!A58,tbMoveset!A2:I112,9,FALSE)="Ice",Backdoors!BE45,IF(VLOOKUP(tbMoveset!A58,tbMoveset!A2:I112,9,FALSE)="Dragon",Backdoors!BF45,Backdoors!BG45)))))/100,Backdoors!BG45/100),"")</f>
        <v>0</v>
      </c>
      <c r="KL58" s="49">
        <f>IFERROR(IF(VLOOKUP(A58,tbMoveset!A2:J112,10,FALSE)=TRUE,IF((Backdoors!AI12+IF(KJ58&gt;=0.45,VLOOKUP(Calculator!E23,tbSkills!DH3:DI6,2,FALSE)+IF(AND(Calculator!B8=TRUE,Backdoors!BI45=TRUE),VLOOKUP(Calculator!E23,tbSkills!DH3:DJ6,3,FALSE),0),0))&gt;=0,1+(Backdoors!AL2*(IF((Backdoors!AI12+IF(KJ58&gt;=0.45,VLOOKUP(Calculator!E23,tbSkills!DH3:DI6,2,FALSE)+IF(AND(Calculator!B8=TRUE,Backdoors!BI45=TRUE),VLOOKUP(Calculator!E23,tbSkills!DH3:DJ6,3,FALSE),0),0))&gt;=100,100,(Backdoors!AI12+IF(KJ58&gt;=0.45,VLOOKUP(Calculator!E23,tbSkills!DH3:DI6,2,FALSE)+IF(AND(Calculator!B8=TRUE,Backdoors!BI45=TRUE),VLOOKUP(Calculator!E23,tbSkills!DH3:DJ6,3,FALSE),0),0)))/100)),(1-(0.25*((-Backdoors!AI12-IF(KJ58&gt;=0.45,VLOOKUP(Calculator!E23,tbSkills!DH3:DI6,2,FALSE)+IF(AND(Calculator!B8=TRUE,Backdoors!BI45=TRUE),VLOOKUP(Calculator!E23,tbSkills!DH3:DJ6,3,FALSE),0),0))/100)))),1),"")</f>
        <v>1</v>
      </c>
      <c r="KM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KJ58)*KL58)*(VLOOKUP(A58,tbMoveset!A2:C112,3,FALSE)/100)*IF(VLOOKUP(A58,tbMoveset!A2:B112,2,FALSE)="Projectile",Backdoors!N10,Backdoors!N9),0),"")</f>
        <v/>
      </c>
      <c r="KN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REF!&gt;0,VLOOKUP(Calculator!#REF!,tbSkills!AC3:AD5,2,FALSE),Backdoors!AL3)*(IF((Backdoors!AI12+IF(KJ58&gt;=0.45,VLOOKUP(Calculator!E23,tbSkills!DH3:DI6,2,FALSE)+IF(AND(Calculator!B8=TRUE,Backdoors!BI45=TRUE),VLOOKUP(Calculator!E23,tbSkills!DH3:DJ6,3,FALSE),0),0))&gt;=100,100,(Backdoors!AI12+IF(KJ58&gt;=0.45,VLOOKUP(Calculator!E23,tbSkills!DH3:DI6,2,FALSE)+IF(AND(Calculator!B8=TRUE,Backdoors!BI45=TRUE),VLOOKUP(Calculator!E23,tbSkills!DH3:DJ6,3,FALSE),0),0)))/100)),1))*IF(VLOOKUP(A58,tbMoveset!A2:K112,11,FALSE)=TRUE,Backdoors!AC5,1))*KK58,0),"")</f>
        <v/>
      </c>
      <c r="KO58" s="49">
        <f>VLOOKUP(A58,tbMoveset!A2:G112,7,FALSE)*IFERROR(IF(Backdoors!AI12&gt;=0,1+(IF(Calculator!E40&gt;0,VLOOKUP(Calculator!E40,tbSkills!AI3:AJ5,2,FALSE),Backdoors!AL4)*(IF((Backdoors!AI12+IF(KJ58&gt;=0.45,VLOOKUP(Calculator!E23,tbSkills!DH3:DI6,2,FALSE)+IF(AND(Calculator!B8=TRUE,Backdoors!BI45=TRUE),VLOOKUP(Calculator!E23,tbSkills!DH3:DJ6,3,FALSE),0),0))&gt;=100,100,(Backdoors!AI12+IF(KJ58&gt;=0.45,VLOOKUP(Calculator!E23,tbSkills!DH3:DI6,2,FALSE)+IF(AND(Calculator!B8=TRUE,Backdoors!BI45=TRUE),VLOOKUP(Calculator!E23,tbSkills!DH3:DJ6,3,FALSE),0),0)))/100)),1),1)</f>
        <v>0.5</v>
      </c>
      <c r="KP58" s="87">
        <f t="shared" si="34"/>
        <v>0</v>
      </c>
      <c r="KQ58" s="86" t="str">
        <f>IFERROR(IF(VLOOKUP(A58,tbMoveset!A2:B112,2,FALSE)="Sever",Backdoors!AY46/100,IF(VLOOKUP(A58,tbMoveset!A2:B112,2,FALSE)="Blunt",Backdoors!AZ46/100,Backdoors!BA46/100)),"")</f>
        <v/>
      </c>
      <c r="KR58" s="49">
        <f>IFERROR(IF(VLOOKUP(tbMoveset!A58,tbMoveset!A2:H112,8,FALSE)="Other",IF(VLOOKUP(tbMoveset!A58,tbMoveset!A2:I112,9,FALSE)="Fire",Backdoors!BB46,IF(VLOOKUP(tbMoveset!A58,tbMoveset!A2:I112,9,FALSE)="Water",Backdoors!BC46,IF(VLOOKUP(tbMoveset!A58,tbMoveset!A2:I112,9,FALSE)="Thunder",Backdoors!BD46,IF(VLOOKUP(tbMoveset!A58,tbMoveset!A2:I112,9,FALSE)="Ice",Backdoors!BE46,IF(VLOOKUP(tbMoveset!A58,tbMoveset!A2:I112,9,FALSE)="Dragon",Backdoors!BF46,Backdoors!BG46)))))/100,Backdoors!BG46/100),"")</f>
        <v>0</v>
      </c>
      <c r="KS58" s="49">
        <f>IFERROR(IF(VLOOKUP(A58,tbMoveset!A2:J112,10,FALSE)=TRUE,IF((Backdoors!AI12+IF(KQ58&gt;=0.45,VLOOKUP(Calculator!E23,tbSkills!DH3:DI6,2,FALSE)+IF(AND(Calculator!B8=TRUE,Backdoors!BI46=TRUE),VLOOKUP(Calculator!E23,tbSkills!DH3:DJ6,3,FALSE),0),0))&gt;=0,1+(Backdoors!AL2*(IF((Backdoors!AI12+IF(KQ58&gt;=0.45,VLOOKUP(Calculator!E23,tbSkills!DH3:DI6,2,FALSE)+IF(AND(Calculator!B8=TRUE,Backdoors!BI46=TRUE),VLOOKUP(Calculator!E23,tbSkills!DH3:DJ6,3,FALSE),0),0))&gt;=100,100,(Backdoors!AI12+IF(KQ58&gt;=0.45,VLOOKUP(Calculator!E23,tbSkills!DH3:DI6,2,FALSE)+IF(AND(Calculator!B8=TRUE,Backdoors!BI46=TRUE),VLOOKUP(Calculator!E23,tbSkills!DH3:DJ6,3,FALSE),0),0)))/100)),(1-(0.25*((-Backdoors!AI12-IF(KQ58&gt;=0.45,VLOOKUP(Calculator!E23,tbSkills!DH3:DI6,2,FALSE)+IF(AND(Calculator!B8=TRUE,Backdoors!BI46=TRUE),VLOOKUP(Calculator!E23,tbSkills!DH3:DJ6,3,FALSE),0),0))/100)))),1),"")</f>
        <v>1</v>
      </c>
      <c r="KT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KQ58)*KS58)*(VLOOKUP(A58,tbMoveset!A2:C112,3,FALSE)/100)*IF(VLOOKUP(A58,tbMoveset!A2:B112,2,FALSE)="Projectile",Backdoors!N10,Backdoors!N9),0),"")</f>
        <v/>
      </c>
      <c r="KU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REF!&gt;0,VLOOKUP(Calculator!#REF!,tbSkills!AC3:AD5,2,FALSE),Backdoors!AL3)*(IF((Backdoors!AI12+IF(KQ58&gt;=0.45,VLOOKUP(Calculator!E23,tbSkills!DH3:DI6,2,FALSE)+IF(AND(Calculator!B8=TRUE,Backdoors!BI46=TRUE),VLOOKUP(Calculator!E23,tbSkills!DH3:DJ6,3,FALSE),0),0))&gt;=100,100,(Backdoors!AI12+IF(KQ58&gt;=0.45,VLOOKUP(Calculator!E23,tbSkills!DH3:DI6,2,FALSE)+IF(AND(Calculator!B8=TRUE,Backdoors!BI46=TRUE),VLOOKUP(Calculator!E23,tbSkills!DH3:DJ6,3,FALSE),0),0)))/100)),1))*IF(VLOOKUP(A58,tbMoveset!A2:K112,11,FALSE)=TRUE,Backdoors!AC5,1))*KR58,0),"")</f>
        <v/>
      </c>
      <c r="KV58" s="49">
        <f>VLOOKUP(A58,tbMoveset!A2:G112,7,FALSE)*IFERROR(IF(Backdoors!AI12&gt;=0,1+(IF(Calculator!E40&gt;0,VLOOKUP(Calculator!E40,tbSkills!AI3:AJ5,2,FALSE),Backdoors!AL4)*(IF((Backdoors!AI12+IF(KQ58&gt;=0.45,VLOOKUP(Calculator!E23,tbSkills!DH3:DI6,2,FALSE)+IF(AND(Calculator!B8=TRUE,Backdoors!BI46=TRUE),VLOOKUP(Calculator!E23,tbSkills!DH3:DJ6,3,FALSE),0),0))&gt;=100,100,(Backdoors!AI12+IF(KQ58&gt;=0.45,VLOOKUP(Calculator!E23,tbSkills!DH3:DI6,2,FALSE)+IF(AND(Calculator!B8=TRUE,Backdoors!BI46=TRUE),VLOOKUP(Calculator!E23,tbSkills!DH3:DJ6,3,FALSE),0),0)))/100)),1),1)</f>
        <v>0.5</v>
      </c>
      <c r="KW58" s="87">
        <f t="shared" si="35"/>
        <v>0</v>
      </c>
    </row>
    <row r="59" spans="1:309" x14ac:dyDescent="0.25">
      <c r="A59" s="95" t="str">
        <f>tbMoveset!A59</f>
        <v>Blade Dance (L3)</v>
      </c>
      <c r="B59" s="86">
        <f>IFERROR(IF(VLOOKUP(A59,tbMoveset!A2:B112,2,FALSE)="Sever",Backdoors!AY3/100,IF(VLOOKUP(A59,tbMoveset!A2:B112,2,FALSE)="Blunt",Backdoors!AZ3/100,Backdoors!BA3/100)),"")</f>
        <v>0.8</v>
      </c>
      <c r="C59" s="49">
        <f>IFERROR(IF(VLOOKUP(tbMoveset!A59,tbMoveset!A2:H112,8,FALSE)="Other",IF(VLOOKUP(tbMoveset!A59,tbMoveset!A2:I112,9,FALSE)="Fire",Backdoors!BB3,IF(VLOOKUP(tbMoveset!A59,tbMoveset!A2:I112,9,FALSE)="Water",Backdoors!BC3,IF(VLOOKUP(tbMoveset!A59,tbMoveset!A2:I112,9,FALSE)="Thunder",Backdoors!BD3,IF(VLOOKUP(tbMoveset!A59,tbMoveset!A2:I112,9,FALSE)="Ice",Backdoors!BE3,IF(VLOOKUP(tbMoveset!A59,tbMoveset!A2:I112,9,FALSE)="Dragon",Backdoors!BF3,Backdoors!BG3)))))/100,Backdoors!BG3/100),"")</f>
        <v>0</v>
      </c>
      <c r="D59" s="49">
        <f>IFERROR(IF(VLOOKUP(A59,tbMoveset!A2:J112,10,FALSE)=TRUE,IF((Backdoors!AI12+IF(B59&gt;=0.45,VLOOKUP(Calculator!E23,tbSkills!DH3:DI6,2,FALSE)+IF(AND(Calculator!B8=TRUE,Backdoors!BI3=TRUE),VLOOKUP(Calculator!E23,tbSkills!DH3:DJ6,3,FALSE),0),0))&gt;=0,1+(Backdoors!AL2*(IF((Backdoors!AI12+IF(B59&gt;=0.45,VLOOKUP(Calculator!E23,tbSkills!DH3:DI6,2,FALSE)+IF(AND(Calculator!B8=TRUE,Backdoors!BI3=TRUE),VLOOKUP(Calculator!E23,tbSkills!DH3:DJ6,3,FALSE),0),0))&gt;=100,100,(Backdoors!AI12+IF(B59&gt;=0.45,VLOOKUP(Calculator!E23,tbSkills!DH3:DI6,2,FALSE)+IF(AND(Calculator!B8=TRUE,Backdoors!BI3=TRUE),VLOOKUP(Calculator!E23,tbSkills!DH3:DJ6,3,FALSE),0),0)))/100)),(1-(0.25*((-Backdoors!AI12-IF(B59&gt;=0.45,VLOOKUP(Calculator!E23,tbSkills!DH3:DI6,2,FALSE)+IF(AND(Calculator!B8=TRUE,Backdoors!BI3=TRUE),VLOOKUP(Calculator!E23,tbSkills!DH3:DJ6,3,FALSE),0),0))/100)))),1),"")</f>
        <v>1</v>
      </c>
      <c r="E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59)*D59)*(VLOOKUP(A59,tbMoveset!A2:C112,3,FALSE)/100)*IF(VLOOKUP(A59,tbMoveset!A2:B112,2,FALSE)="Projectile",Backdoors!N10,Backdoors!N9),0),"")</f>
        <v>7</v>
      </c>
      <c r="F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59&gt;=0.45,VLOOKUP(Calculator!E23,tbSkills!DH3:DI6,2,FALSE)+IF(AND(Calculator!B8=TRUE,Backdoors!BI3=TRUE),VLOOKUP(Calculator!E23,tbSkills!DH3:DJ6,3,FALSE),0),0))&gt;=100,100,(Backdoors!AI12+IF(B59&gt;=0.45,VLOOKUP(Calculator!E23,tbSkills!DH3:DI6,2,FALSE)+IF(AND(Calculator!B8=TRUE,Backdoors!BI3=TRUE),VLOOKUP(Calculator!E23,tbSkills!DH3:DJ6,3,FALSE),0),0)))/100)),1))*IF(VLOOKUP(A59,tbMoveset!A2:K112,11,FALSE)=TRUE,Backdoors!AC5,1))*C59,0),"")</f>
        <v>0</v>
      </c>
      <c r="G59">
        <f>VLOOKUP(A59,tbMoveset!A2:G112,7,FALSE)*IFERROR(IF(Backdoors!AI12&gt;=0,1+(IF(Calculator!E40&gt;0,VLOOKUP(Calculator!E40,tbSkills!AI3:AJ5,2,FALSE),Backdoors!AL4)*(IF((Backdoors!AI12+IF(B59&gt;=0.45,VLOOKUP(Calculator!E23,tbSkills!DH3:DI6,2,FALSE)+IF(AND(Calculator!B8=TRUE,Backdoors!BI3=TRUE),VLOOKUP(Calculator!E23,tbSkills!DH3:DJ6,3,FALSE),0),0))&gt;=100,100,(Backdoors!AI12+IF(B59&gt;=0.45,VLOOKUP(Calculator!E23,tbSkills!DH3:DI6,2,FALSE)+IF(AND(Calculator!B8=TRUE,Backdoors!BI3=TRUE),VLOOKUP(Calculator!E23,tbSkills!DH3:DJ6,3,FALSE),0),0)))/100)),1),1)</f>
        <v>0.5</v>
      </c>
      <c r="H59" s="87">
        <f t="shared" si="44"/>
        <v>7</v>
      </c>
      <c r="I59" s="86">
        <f>IFERROR(IF(VLOOKUP(A59,tbMoveset!A2:B112,2,FALSE)="Sever",Backdoors!AY4/100,IF(VLOOKUP(A59,tbMoveset!A2:B112,2,FALSE)="Blunt",Backdoors!AZ4/100,Backdoors!BA4/100)),"")</f>
        <v>0.65</v>
      </c>
      <c r="J59" s="49">
        <f>IFERROR(IF(VLOOKUP(tbMoveset!A59,tbMoveset!A2:H112,8,FALSE)="Other",IF(VLOOKUP(tbMoveset!A59,tbMoveset!A2:I112,9,FALSE)="Fire",Backdoors!BB4,IF(VLOOKUP(tbMoveset!A59,tbMoveset!A2:I112,9,FALSE)="Water",Backdoors!BC4,IF(VLOOKUP(tbMoveset!A59,tbMoveset!A2:I112,9,FALSE)="Thunder",Backdoors!BD4,IF(VLOOKUP(tbMoveset!A59,tbMoveset!A2:I112,9,FALSE)="Ice",Backdoors!BE4,IF(VLOOKUP(tbMoveset!A59,tbMoveset!A2:I112,9,FALSE)="Dragon",Backdoors!BF4,Backdoors!BG4)))))/100,Backdoors!BG4/100),"")</f>
        <v>0</v>
      </c>
      <c r="K59" s="49">
        <f>IFERROR(IF(VLOOKUP(A59,tbMoveset!A2:J112,10,FALSE)=TRUE,IF((Backdoors!AI12+IF(I59&gt;=0.45,VLOOKUP(Calculator!E23,tbSkills!DH3:DI6,2,FALSE)+IF(AND(Calculator!B8=TRUE,Backdoors!BI4=TRUE),VLOOKUP(Calculator!E23,tbSkills!DH3:DJ6,3,FALSE),0),0))&gt;=0,1+(Backdoors!AL2*(IF((Backdoors!AI12+IF(I59&gt;=0.45,VLOOKUP(Calculator!E23,tbSkills!DH3:DI6,2,FALSE)+IF(AND(Calculator!B8=TRUE,Backdoors!BI4=TRUE),VLOOKUP(Calculator!E23,tbSkills!DH3:DJ6,3,FALSE),0),0))&gt;=100,100,(Backdoors!AI12+IF(I59&gt;=0.45,VLOOKUP(Calculator!E23,tbSkills!DH3:DI6,2,FALSE)+IF(AND(Calculator!B8=TRUE,Backdoors!BI4=TRUE),VLOOKUP(Calculator!E23,tbSkills!DH3:DJ6,3,FALSE),0),0)))/100)),(1-(0.25*((-Backdoors!AI12-IF(I59&gt;=0.45,VLOOKUP(Calculator!E23,tbSkills!DH3:DI6,2,FALSE)+IF(AND(Calculator!B8=TRUE,Backdoors!BI4=TRUE),VLOOKUP(Calculator!E23,tbSkills!DH3:DJ6,3,FALSE),0),0))/100)))),1),"")</f>
        <v>1</v>
      </c>
      <c r="L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59)*K59)*(VLOOKUP(A59,tbMoveset!A2:C112,3,FALSE)/100)*IF(VLOOKUP(A59,tbMoveset!A2:B112,2,FALSE)="Projectile",Backdoors!N10,Backdoors!N9),0),"")</f>
        <v>5</v>
      </c>
      <c r="M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I59&gt;=0.45,VLOOKUP(Calculator!E23,tbSkills!DH3:DI6,2,FALSE)+IF(AND(Calculator!B8=TRUE,Backdoors!BI4=TRUE),VLOOKUP(Calculator!E23,tbSkills!DH3:DJ6,3,FALSE),0),0))&gt;=100,100,(Backdoors!AI12+IF(I59&gt;=0.45,VLOOKUP(Calculator!E23,tbSkills!DH3:DI6,2,FALSE)+IF(AND(Calculator!B8=TRUE,Backdoors!BI4=TRUE),VLOOKUP(Calculator!E23,tbSkills!DH3:DJ6,3,FALSE),0),0)))/100)),1))*IF(VLOOKUP(A59,tbMoveset!A2:K112,11,FALSE)=TRUE,Backdoors!AC5,1))*J59,0),"")</f>
        <v>0</v>
      </c>
      <c r="N59" s="49">
        <f>VLOOKUP(A59,tbMoveset!A2:G112,7,FALSE)*IFERROR(IF(Backdoors!AI12&gt;=0,1+(IF(Calculator!E40&gt;0,VLOOKUP(Calculator!E40,tbSkills!AI3:AJ5,2,FALSE),Backdoors!AL4)*(IF((Backdoors!AI12+IF(I59&gt;=0.45,VLOOKUP(Calculator!E23,tbSkills!DH3:DI6,2,FALSE)+IF(AND(Calculator!B8=TRUE,Backdoors!BI4=TRUE),VLOOKUP(Calculator!E23,tbSkills!DH3:DJ6,3,FALSE),0),0))&gt;=100,100,(Backdoors!AI12+IF(I59&gt;=0.45,VLOOKUP(Calculator!E23,tbSkills!DH3:DI6,2,FALSE)+IF(AND(Calculator!B8=TRUE,Backdoors!BI4=TRUE),VLOOKUP(Calculator!E23,tbSkills!DH3:DJ6,3,FALSE),0),0)))/100)),1),1)</f>
        <v>0.5</v>
      </c>
      <c r="O59" s="87">
        <f t="shared" si="45"/>
        <v>5</v>
      </c>
      <c r="P59" s="86">
        <f>IFERROR(IF(VLOOKUP(A59,tbMoveset!A2:B112,2,FALSE)="Sever",Backdoors!AY5/100,IF(VLOOKUP(A59,tbMoveset!A2:B112,2,FALSE)="Blunt",Backdoors!AZ5/100,Backdoors!BA5/100)),"")</f>
        <v>0.5</v>
      </c>
      <c r="Q59" s="49">
        <f>IFERROR(IF(VLOOKUP(tbMoveset!A59,tbMoveset!A2:H112,8,FALSE)="Other",IF(VLOOKUP(tbMoveset!A59,tbMoveset!A2:I112,9,FALSE)="Fire",Backdoors!BB5,IF(VLOOKUP(tbMoveset!A59,tbMoveset!A2:I112,9,FALSE)="Water",Backdoors!BC5,IF(VLOOKUP(tbMoveset!A59,tbMoveset!A2:I112,9,FALSE)="Thunder",Backdoors!BD5,IF(VLOOKUP(tbMoveset!A59,tbMoveset!A2:I112,9,FALSE)="Ice",Backdoors!BE5,IF(VLOOKUP(tbMoveset!A59,tbMoveset!A2:I112,9,FALSE)="Dragon",Backdoors!BF5,Backdoors!BG5)))))/100,Backdoors!BG5/100),"")</f>
        <v>0</v>
      </c>
      <c r="R59" s="49">
        <f>IFERROR(IF(VLOOKUP(A59,tbMoveset!A2:J112,10,FALSE)=TRUE,IF((Backdoors!AI12+IF(P59&gt;=0.45,VLOOKUP(Calculator!E23,tbSkills!DH3:DI6,2,FALSE)+IF(AND(Calculator!B8=TRUE,Backdoors!BI5=TRUE),VLOOKUP(Calculator!E23,tbSkills!DH3:DJ6,3,FALSE),0),0))&gt;=0,1+(Backdoors!AL2*(IF((Backdoors!AI12+IF(P59&gt;=0.45,VLOOKUP(Calculator!E23,tbSkills!DH3:DI6,2,FALSE)+IF(AND(Calculator!B8=TRUE,Backdoors!BI5=TRUE),VLOOKUP(Calculator!E23,tbSkills!DH3:DJ6,3,FALSE),0),0))&gt;=100,100,(Backdoors!AI12+IF(P59&gt;=0.45,VLOOKUP(Calculator!E23,tbSkills!DH3:DI6,2,FALSE)+IF(AND(Calculator!B8=TRUE,Backdoors!BI5=TRUE),VLOOKUP(Calculator!E23,tbSkills!DH3:DJ6,3,FALSE),0),0)))/100)),(1-(0.25*((-Backdoors!AI12-IF(P59&gt;=0.45,VLOOKUP(Calculator!E23,tbSkills!DH3:DI6,2,FALSE)+IF(AND(Calculator!B8=TRUE,Backdoors!BI5=TRUE),VLOOKUP(Calculator!E23,tbSkills!DH3:DJ6,3,FALSE),0),0))/100)))),1),"")</f>
        <v>1</v>
      </c>
      <c r="S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P59)*R59)*(VLOOKUP(A59,tbMoveset!A2:C112,3,FALSE)/100)*IF(VLOOKUP(A59,tbMoveset!A2:B112,2,FALSE)="Projectile",Backdoors!N10,Backdoors!N9),0),"")</f>
        <v>4</v>
      </c>
      <c r="T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P59&gt;=0.45,VLOOKUP(Calculator!E23,tbSkills!DH3:DI6,2,FALSE)+IF(AND(Calculator!B8=TRUE,Backdoors!BI5=TRUE),VLOOKUP(Calculator!E23,tbSkills!DH3:DJ6,3,FALSE),0),0))&gt;=100,100,(Backdoors!AI12+IF(P59&gt;=0.45,VLOOKUP(Calculator!E23,tbSkills!DH3:DI6,2,FALSE)+IF(AND(Calculator!B8=TRUE,Backdoors!BI5=TRUE),VLOOKUP(Calculator!E23,tbSkills!DH3:DJ6,3,FALSE),0),0)))/100)),1))*IF(VLOOKUP(A59,tbMoveset!A2:K112,11,FALSE)=TRUE,Backdoors!AC5,1))*Q59,0),"")</f>
        <v>0</v>
      </c>
      <c r="U59" s="49">
        <f>VLOOKUP(A59,tbMoveset!A2:G112,7,FALSE)*IFERROR(IF(Backdoors!AI12&gt;=0,1+(IF(Calculator!E40&gt;0,VLOOKUP(Calculator!E40,tbSkills!AI3:AJ5,2,FALSE),Backdoors!AL4)*(IF((Backdoors!AI12+IF(P59&gt;=0.45,VLOOKUP(Calculator!E23,tbSkills!DH3:DI6,2,FALSE)+IF(AND(Calculator!B8=TRUE,Backdoors!BI5=TRUE),VLOOKUP(Calculator!E23,tbSkills!DH3:DJ6,3,FALSE),0),0))&gt;=100,100,(Backdoors!AI12+IF(P59&gt;=0.45,VLOOKUP(Calculator!E23,tbSkills!DH3:DI6,2,FALSE)+IF(AND(Calculator!B8=TRUE,Backdoors!BI5=TRUE),VLOOKUP(Calculator!E23,tbSkills!DH3:DJ6,3,FALSE),0),0)))/100)),1),1)</f>
        <v>0.5</v>
      </c>
      <c r="V59" s="87">
        <f t="shared" si="46"/>
        <v>4</v>
      </c>
      <c r="W59" s="86">
        <f>IFERROR(IF(VLOOKUP(A59,tbMoveset!A2:B112,2,FALSE)="Sever",Backdoors!AY6/100,IF(VLOOKUP(A59,tbMoveset!A2:B112,2,FALSE)="Blunt",Backdoors!AZ6/100,Backdoors!BA6/100)),"")</f>
        <v>0.45</v>
      </c>
      <c r="X59" s="49">
        <f>IFERROR(IF(VLOOKUP(tbMoveset!A59,tbMoveset!A2:H112,8,FALSE)="Other",IF(VLOOKUP(tbMoveset!A59,tbMoveset!A2:I112,9,FALSE)="Fire",Backdoors!BB6,IF(VLOOKUP(tbMoveset!A59,tbMoveset!A2:I112,9,FALSE)="Water",Backdoors!BC6,IF(VLOOKUP(tbMoveset!A59,tbMoveset!A2:I112,9,FALSE)="Thunder",Backdoors!BD6,IF(VLOOKUP(tbMoveset!A59,tbMoveset!A2:I112,9,FALSE)="Ice",Backdoors!BE6,IF(VLOOKUP(tbMoveset!A59,tbMoveset!A2:I112,9,FALSE)="Dragon",Backdoors!BF6,Backdoors!BG6)))))/100,Backdoors!BG6/100),"")</f>
        <v>0</v>
      </c>
      <c r="Y59" s="49">
        <f>IFERROR(IF(VLOOKUP(A59,tbMoveset!A2:J112,10,FALSE)=TRUE,IF((Backdoors!AI12+IF(W59&gt;=0.45,VLOOKUP(Calculator!E23,tbSkills!DH3:DI6,2,FALSE)+IF(AND(Calculator!B8=TRUE,Backdoors!BI6=TRUE),VLOOKUP(Calculator!E23,tbSkills!DH3:DJ6,3,FALSE),0),0))&gt;=0,1+(Backdoors!AL2*(IF((Backdoors!AI12+IF(W59&gt;=0.45,VLOOKUP(Calculator!E23,tbSkills!DH3:DI6,2,FALSE)+IF(AND(Calculator!B8=TRUE,Backdoors!BI6=TRUE),VLOOKUP(Calculator!E23,tbSkills!DH3:DJ6,3,FALSE),0),0))&gt;=100,100,(Backdoors!AI12+IF(W59&gt;=0.45,VLOOKUP(Calculator!E23,tbSkills!DH3:DI6,2,FALSE)+IF(AND(Calculator!B8=TRUE,Backdoors!BI6=TRUE),VLOOKUP(Calculator!E23,tbSkills!DH3:DJ6,3,FALSE),0),0)))/100)),(1-(0.25*((-Backdoors!AI12-IF(W59&gt;=0.45,VLOOKUP(Calculator!E23,tbSkills!DH3:DI6,2,FALSE)+IF(AND(Calculator!B8=TRUE,Backdoors!BI6=TRUE),VLOOKUP(Calculator!E23,tbSkills!DH3:DJ6,3,FALSE),0),0))/100)))),1),"")</f>
        <v>1</v>
      </c>
      <c r="Z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W59)*Y59)*(VLOOKUP(A59,tbMoveset!A2:C112,3,FALSE)/100)*IF(VLOOKUP(A59,tbMoveset!A2:B112,2,FALSE)="Projectile",Backdoors!N10,Backdoors!N9),0),"")</f>
        <v>4</v>
      </c>
      <c r="AA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W59&gt;=0.45,VLOOKUP(Calculator!E23,tbSkills!DH3:DI6,2,FALSE)+IF(AND(Calculator!B8=TRUE,Backdoors!BI6=TRUE),VLOOKUP(Calculator!E23,tbSkills!DH3:DJ6,3,FALSE),0),0))&gt;=100,100,(Backdoors!AI12+IF(W59&gt;=0.45,VLOOKUP(Calculator!E23,tbSkills!DH3:DI6,2,FALSE)+IF(AND(Calculator!B8=TRUE,Backdoors!BI6=TRUE),VLOOKUP(Calculator!E23,tbSkills!DH3:DJ6,3,FALSE),0),0)))/100)),1))*IF(VLOOKUP(A59,tbMoveset!A2:K112,11,FALSE)=TRUE,Backdoors!AC5,1))*X59,0),"")</f>
        <v>0</v>
      </c>
      <c r="AB59" s="49">
        <f>VLOOKUP(A59,tbMoveset!A2:G112,7,FALSE)*IFERROR(IF(Backdoors!AI12&gt;=0,1+(IF(Calculator!E40&gt;0,VLOOKUP(Calculator!E40,tbSkills!AI3:AJ5,2,FALSE),Backdoors!AL4)*(IF((Backdoors!AI12+IF(W59&gt;=0.45,VLOOKUP(Calculator!E23,tbSkills!DH3:DI6,2,FALSE)+IF(AND(Calculator!B8=TRUE,Backdoors!BI6=TRUE),VLOOKUP(Calculator!E23,tbSkills!DH3:DJ6,3,FALSE),0),0))&gt;=100,100,(Backdoors!AI12+IF(W59&gt;=0.45,VLOOKUP(Calculator!E23,tbSkills!DH3:DI6,2,FALSE)+IF(AND(Calculator!B8=TRUE,Backdoors!BI6=TRUE),VLOOKUP(Calculator!E23,tbSkills!DH3:DJ6,3,FALSE),0),0)))/100)),1),1)</f>
        <v>0.5</v>
      </c>
      <c r="AC59" s="87">
        <f t="shared" si="47"/>
        <v>4</v>
      </c>
      <c r="AD59" s="86">
        <f>IFERROR(IF(VLOOKUP(A59,tbMoveset!A2:B112,2,FALSE)="Sever",Backdoors!AY7/100,IF(VLOOKUP(A59,tbMoveset!A2:B112,2,FALSE)="Blunt",Backdoors!AZ7/100,Backdoors!BA7/100)),"")</f>
        <v>0.65</v>
      </c>
      <c r="AE59" s="49">
        <f>IFERROR(IF(VLOOKUP(tbMoveset!A59,tbMoveset!A2:H112,8,FALSE)="Other",IF(VLOOKUP(tbMoveset!A59,tbMoveset!A2:I112,9,FALSE)="Fire",Backdoors!BB7,IF(VLOOKUP(tbMoveset!A59,tbMoveset!A2:I112,9,FALSE)="Water",Backdoors!BC7,IF(VLOOKUP(tbMoveset!A59,tbMoveset!A2:I112,9,FALSE)="Thunder",Backdoors!BD7,IF(VLOOKUP(tbMoveset!A59,tbMoveset!A2:I112,9,FALSE)="Ice",Backdoors!BE7,IF(VLOOKUP(tbMoveset!A59,tbMoveset!A2:I112,9,FALSE)="Dragon",Backdoors!BF7,Backdoors!BG7)))))/100,Backdoors!BG7/100),"")</f>
        <v>0</v>
      </c>
      <c r="AF59" s="49">
        <f>IFERROR(IF(VLOOKUP(A59,tbMoveset!A2:J112,10,FALSE)=TRUE,IF((Backdoors!AI12+IF(AD59&gt;=0.45,VLOOKUP(Calculator!E23,tbSkills!DH3:DI6,2,FALSE)+IF(AND(Calculator!B8=TRUE,Backdoors!BI7=TRUE),VLOOKUP(Calculator!E23,tbSkills!DH3:DJ6,3,FALSE),0),0))&gt;=0,1+(Backdoors!AL2*(IF((Backdoors!AI12+IF(AD59&gt;=0.45,VLOOKUP(Calculator!E23,tbSkills!DH3:DI6,2,FALSE)+IF(AND(Calculator!B8=TRUE,Backdoors!BI7=TRUE),VLOOKUP(Calculator!E23,tbSkills!DH3:DJ6,3,FALSE),0),0))&gt;=100,100,(Backdoors!AI12+IF(AD59&gt;=0.45,VLOOKUP(Calculator!E23,tbSkills!DH3:DI6,2,FALSE)+IF(AND(Calculator!B8=TRUE,Backdoors!BI7=TRUE),VLOOKUP(Calculator!E23,tbSkills!DH3:DJ6,3,FALSE),0),0)))/100)),(1-(0.25*((-Backdoors!AI12-IF(AD59&gt;=0.45,VLOOKUP(Calculator!E23,tbSkills!DH3:DI6,2,FALSE)+IF(AND(Calculator!B8=TRUE,Backdoors!BI7=TRUE),VLOOKUP(Calculator!E23,tbSkills!DH3:DJ6,3,FALSE),0),0))/100)))),1),"")</f>
        <v>1</v>
      </c>
      <c r="AG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D59)*AF59)*(VLOOKUP(A59,tbMoveset!A2:C112,3,FALSE)/100)*IF(VLOOKUP(A59,tbMoveset!A2:B112,2,FALSE)="Projectile",Backdoors!N10,Backdoors!N9),0),"")</f>
        <v>5</v>
      </c>
      <c r="AH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D59&gt;=0.45,VLOOKUP(Calculator!E23,tbSkills!DH3:DI6,2,FALSE)+IF(AND(Calculator!B8=TRUE,Backdoors!BI7=TRUE),VLOOKUP(Calculator!E23,tbSkills!DH3:DJ6,3,FALSE),0),0))&gt;=100,100,(Backdoors!AI12+IF(AD59&gt;=0.45,VLOOKUP(Calculator!E23,tbSkills!DH3:DI6,2,FALSE)+IF(AND(Calculator!B8=TRUE,Backdoors!BI7=TRUE),VLOOKUP(Calculator!E23,tbSkills!DH3:DJ6,3,FALSE),0),0)))/100)),1))*IF(VLOOKUP(A59,tbMoveset!A2:K112,11,FALSE)=TRUE,Backdoors!AC5,1))*AE59,0),"")</f>
        <v>0</v>
      </c>
      <c r="AI59" s="49">
        <f>VLOOKUP(A59,tbMoveset!A2:G112,7,FALSE)*IFERROR(IF(Backdoors!AI12&gt;=0,1+(IF(Calculator!E40&gt;0,VLOOKUP(Calculator!E40,tbSkills!AI3:AJ5,2,FALSE),Backdoors!AL4)*(IF((Backdoors!AI12+IF(AD59&gt;=0.45,VLOOKUP(Calculator!E23,tbSkills!DH3:DI6,2,FALSE)+IF(AND(Calculator!B8=TRUE,Backdoors!BI7=TRUE),VLOOKUP(Calculator!E23,tbSkills!DH3:DJ6,3,FALSE),0),0))&gt;=100,100,(Backdoors!AI12+IF(AD59&gt;=0.45,VLOOKUP(Calculator!E23,tbSkills!DH3:DI6,2,FALSE)+IF(AND(Calculator!B8=TRUE,Backdoors!BI7=TRUE),VLOOKUP(Calculator!E23,tbSkills!DH3:DJ6,3,FALSE),0),0)))/100)),1),1)</f>
        <v>0.5</v>
      </c>
      <c r="AJ59" s="87">
        <f t="shared" si="48"/>
        <v>5</v>
      </c>
      <c r="AK59" s="91">
        <f>IFERROR(IF(VLOOKUP(A59,tbMoveset!A2:B112,2,FALSE)="Sever",Backdoors!AY8/100,IF(VLOOKUP(A59,tbMoveset!A2:B112,2,FALSE)="Blunt",Backdoors!AZ8/100,Backdoors!BA8/100)),"")</f>
        <v>0.45</v>
      </c>
      <c r="AL59" s="49">
        <f>IFERROR(IF(VLOOKUP(tbMoveset!A59,tbMoveset!A2:H112,8,FALSE)="Other",IF(VLOOKUP(tbMoveset!A59,tbMoveset!A2:I112,9,FALSE)="Fire",Backdoors!BB8,IF(VLOOKUP(tbMoveset!A59,tbMoveset!A2:I112,9,FALSE)="Water",Backdoors!BC8,IF(VLOOKUP(tbMoveset!A59,tbMoveset!A2:I112,9,FALSE)="Thunder",Backdoors!BD8,IF(VLOOKUP(tbMoveset!A59,tbMoveset!A2:I112,9,FALSE)="Ice",Backdoors!BE8,IF(VLOOKUP(tbMoveset!A59,tbMoveset!A2:I112,9,FALSE)="Dragon",Backdoors!BF8,Backdoors!BG8)))))/100,Backdoors!BG8/100),"")</f>
        <v>0</v>
      </c>
      <c r="AM59" s="49">
        <f>IFERROR(IF(VLOOKUP(A59,tbMoveset!A2:J112,10,FALSE)=TRUE,IF((Backdoors!AI12+IF(AK59&gt;=0.45,VLOOKUP(Calculator!E23,tbSkills!DH3:DI6,2,FALSE)+IF(AND(Calculator!B8=TRUE,Backdoors!BI8=TRUE),VLOOKUP(Calculator!E23,tbSkills!DH3:DJ6,3,FALSE),0),0))&gt;=0,1+(Backdoors!AL2*(IF((Backdoors!AI12+IF(AK59&gt;=0.45,VLOOKUP(Calculator!E23,tbSkills!DH3:DI6,2,FALSE)+IF(AND(Calculator!B8=TRUE,Backdoors!BI8=TRUE),VLOOKUP(Calculator!E23,tbSkills!DH3:DJ6,3,FALSE),0),0))&gt;=100,100,(Backdoors!AI12+IF(AK59&gt;=0.45,VLOOKUP(Calculator!E23,tbSkills!DH3:DI6,2,FALSE)+IF(AND(Calculator!B8=TRUE,Backdoors!BI8=TRUE),VLOOKUP(Calculator!E23,tbSkills!DH3:DJ6,3,FALSE),0),0)))/100)),(1-(0.25*((-Backdoors!AI12-IF(AK59&gt;=0.45,VLOOKUP(Calculator!E23,tbSkills!DH3:DI6,2,FALSE)+IF(AND(Calculator!B8=TRUE,Backdoors!BI8=TRUE),VLOOKUP(Calculator!E23,tbSkills!DH3:DJ6,3,FALSE),0),0))/100)))),1),"")</f>
        <v>1</v>
      </c>
      <c r="AN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K59)*AM59)*(VLOOKUP(A59,tbMoveset!A2:C112,3,FALSE)/100)*IF(VLOOKUP(A59,tbMoveset!A2:B112,2,FALSE)="Projectile",Backdoors!N10,Backdoors!N9),0),"")</f>
        <v>4</v>
      </c>
      <c r="AO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K59&gt;=0.45,VLOOKUP(Calculator!E23,tbSkills!DH3:DI6,2,FALSE)+IF(AND(Calculator!B8=TRUE,Backdoors!BI8=TRUE),VLOOKUP(Calculator!E23,tbSkills!DH3:DJ6,3,FALSE),0),0))&gt;=100,100,(Backdoors!AI12+IF(AK59&gt;=0.45,VLOOKUP(Calculator!E23,tbSkills!DH3:DI6,2,FALSE)+IF(AND(Calculator!B8=TRUE,Backdoors!BI8=TRUE),VLOOKUP(Calculator!E23,tbSkills!DH3:DJ6,3,FALSE),0),0)))/100)),1))*IF(VLOOKUP(A59,tbMoveset!A2:K112,11,FALSE)=TRUE,Backdoors!AC5,1))*AL59,0),"")</f>
        <v>0</v>
      </c>
      <c r="AP59" s="49">
        <f>VLOOKUP(A59,tbMoveset!A2:G112,7,FALSE)*IFERROR(IF(Backdoors!AI12&gt;=0,1+(IF(Calculator!E40&gt;0,VLOOKUP(Calculator!E40,tbSkills!AI3:AJ5,2,FALSE),Backdoors!AL4)*(IF((Backdoors!AI12+IF(AK59&gt;=0.45,VLOOKUP(Calculator!E23,tbSkills!DH3:DI6,2,FALSE)+IF(AND(Calculator!B8=TRUE,Backdoors!BI8=TRUE),VLOOKUP(Calculator!E23,tbSkills!DH3:DJ6,3,FALSE),0),0))&gt;=100,100,(Backdoors!AI12+IF(AK59&gt;=0.45,VLOOKUP(Calculator!E23,tbSkills!DH3:DI6,2,FALSE)+IF(AND(Calculator!B8=TRUE,Backdoors!BI8=TRUE),VLOOKUP(Calculator!E23,tbSkills!DH3:DJ6,3,FALSE),0),0)))/100)),1),1)</f>
        <v>0.5</v>
      </c>
      <c r="AQ59" s="87">
        <f t="shared" si="49"/>
        <v>4</v>
      </c>
      <c r="AR59" s="86">
        <f>IFERROR(IF(VLOOKUP(A59,tbMoveset!A2:B112,2,FALSE)="Sever",Backdoors!AY9/100,IF(VLOOKUP(A59,tbMoveset!A2:B112,2,FALSE)="Blunt",Backdoors!AZ9/100,Backdoors!BA9/100)),"")</f>
        <v>0.45</v>
      </c>
      <c r="AS59" s="49">
        <f>IFERROR(IF(VLOOKUP(tbMoveset!A59,tbMoveset!A2:H112,8,FALSE)="Other",IF(VLOOKUP(tbMoveset!A59,tbMoveset!A2:I112,9,FALSE)="Fire",Backdoors!BB9,IF(VLOOKUP(tbMoveset!A59,tbMoveset!A2:I112,9,FALSE)="Water",Backdoors!BC9,IF(VLOOKUP(tbMoveset!A59,tbMoveset!A2:I112,9,FALSE)="Thunder",Backdoors!BD9,IF(VLOOKUP(tbMoveset!A59,tbMoveset!A2:I112,9,FALSE)="Ice",Backdoors!BE9,IF(VLOOKUP(tbMoveset!A59,tbMoveset!A2:I112,9,FALSE)="Dragon",Backdoors!BF9,Backdoors!BG9)))))/100,Backdoors!BG9/100),"")</f>
        <v>0</v>
      </c>
      <c r="AT59" s="49">
        <f>IFERROR(IF(VLOOKUP(A59,tbMoveset!A2:J112,10,FALSE)=TRUE,IF((Backdoors!AI12+IF(AR59&gt;=0.45,VLOOKUP(Calculator!E23,tbSkills!DH3:DI6,2,FALSE)+IF(AND(Calculator!B8=TRUE,Backdoors!BI9=TRUE),VLOOKUP(Calculator!E23,tbSkills!DH3:DJ6,3,FALSE),0),0))&gt;=0,1+(Backdoors!AL2*(IF((Backdoors!AI12+IF(AR59&gt;=0.45,VLOOKUP(Calculator!E23,tbSkills!DH3:DI6,2,FALSE)+IF(AND(Calculator!B8=TRUE,Backdoors!BI9=TRUE),VLOOKUP(Calculator!E23,tbSkills!DH3:DJ6,3,FALSE),0),0))&gt;=100,100,(Backdoors!AI12+IF(AR59&gt;=0.45,VLOOKUP(Calculator!E23,tbSkills!DH3:DI6,2,FALSE)+IF(AND(Calculator!B8=TRUE,Backdoors!BI9=TRUE),VLOOKUP(Calculator!E23,tbSkills!DH3:DJ6,3,FALSE),0),0)))/100)),(1-(0.25*((-Backdoors!AI12-IF(AR59&gt;=0.45,VLOOKUP(Calculator!E23,tbSkills!DH3:DI6,2,FALSE)+IF(AND(Calculator!B8=TRUE,Backdoors!BI9=TRUE),VLOOKUP(Calculator!E23,tbSkills!DH3:DJ6,3,FALSE),0),0))/100)))),1),"")</f>
        <v>1</v>
      </c>
      <c r="AU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R59)*AT59)*(VLOOKUP(A59,tbMoveset!A2:C112,3,FALSE)/100)*IF(VLOOKUP(A59,tbMoveset!A2:B112,2,FALSE)="Projectile",Backdoors!N10,Backdoors!N9),0),"")</f>
        <v>4</v>
      </c>
      <c r="AV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R59&gt;=0.45,VLOOKUP(Calculator!E23,tbSkills!DH3:DI6,2,FALSE)+IF(AND(Calculator!B8=TRUE,Backdoors!BI9=TRUE),VLOOKUP(Calculator!E23,tbSkills!DH3:DJ6,3,FALSE),0),0))&gt;=100,100,(Backdoors!AI12+IF(AR59&gt;=0.45,VLOOKUP(Calculator!E23,tbSkills!DH3:DI6,2,FALSE)+IF(AND(Calculator!B8=TRUE,Backdoors!BI9=TRUE),VLOOKUP(Calculator!E23,tbSkills!DH3:DJ6,3,FALSE),0),0)))/100)),1))*IF(VLOOKUP(A59,tbMoveset!A2:K112,11,FALSE)=TRUE,Backdoors!AC5,1))*AS59,0),"")</f>
        <v>0</v>
      </c>
      <c r="AW59" s="49">
        <f>VLOOKUP(A59,tbMoveset!A2:G112,7,FALSE)*IFERROR(IF(Backdoors!AI12&gt;=0,1+(IF(Calculator!E40&gt;0,VLOOKUP(Calculator!E40,tbSkills!AI3:AJ5,2,FALSE),Backdoors!AL4)*(IF((Backdoors!AI12+IF(AR59&gt;=0.45,VLOOKUP(Calculator!E23,tbSkills!DH3:DI6,2,FALSE)+IF(AND(Calculator!B8=TRUE,Backdoors!BI9=TRUE),VLOOKUP(Calculator!E23,tbSkills!DH3:DJ6,3,FALSE),0),0))&gt;=100,100,(Backdoors!AI12+IF(AR59&gt;=0.45,VLOOKUP(Calculator!E23,tbSkills!DH3:DI6,2,FALSE)+IF(AND(Calculator!B8=TRUE,Backdoors!BI9=TRUE),VLOOKUP(Calculator!E23,tbSkills!DH3:DJ6,3,FALSE),0),0)))/100)),1),1)</f>
        <v>0.5</v>
      </c>
      <c r="AX59" s="87">
        <f t="shared" si="50"/>
        <v>4</v>
      </c>
      <c r="AY59" s="86">
        <f>IFERROR(IF(VLOOKUP(A59,tbMoveset!A2:B112,2,FALSE)="Sever",Backdoors!AY10/100,IF(VLOOKUP(A59,tbMoveset!A2:B112,2,FALSE)="Blunt",Backdoors!AZ10/100,Backdoors!BA10/100)),"")</f>
        <v>0.9</v>
      </c>
      <c r="AZ59" s="49">
        <f>IFERROR(IF(VLOOKUP(tbMoveset!A59,tbMoveset!A2:H112,8,FALSE)="Other",IF(VLOOKUP(tbMoveset!A59,tbMoveset!A2:I112,9,FALSE)="Fire",Backdoors!BB10,IF(VLOOKUP(tbMoveset!A59,tbMoveset!A2:I112,9,FALSE)="Water",Backdoors!BC10,IF(VLOOKUP(tbMoveset!A59,tbMoveset!A2:I112,9,FALSE)="Thunder",Backdoors!BD10,IF(VLOOKUP(tbMoveset!A59,tbMoveset!A2:I112,9,FALSE)="Ice",Backdoors!BE10,IF(VLOOKUP(tbMoveset!A59,tbMoveset!A2:I112,9,FALSE)="Dragon",Backdoors!BF10,Backdoors!BG10)))))/100,Backdoors!BG10/100),"")</f>
        <v>0</v>
      </c>
      <c r="BA59" s="49">
        <f>IFERROR(IF(VLOOKUP(A59,tbMoveset!A2:J112,10,FALSE)=TRUE,IF((Backdoors!AI12+IF(AY59&gt;=0.45,VLOOKUP(Calculator!E23,tbSkills!DH3:DI6,2,FALSE)+IF(AND(Calculator!B8=TRUE,Backdoors!BI10=TRUE),VLOOKUP(Calculator!E23,tbSkills!DH3:DJ6,3,FALSE),0),0))&gt;=0,1+(Backdoors!AL2*(IF((Backdoors!AI12+IF(AY59&gt;=0.45,VLOOKUP(Calculator!E23,tbSkills!DH3:DI6,2,FALSE)+IF(AND(Calculator!B8=TRUE,Backdoors!BI10=TRUE),VLOOKUP(Calculator!E23,tbSkills!DH3:DJ6,3,FALSE),0),0))&gt;=100,100,(Backdoors!AI12+IF(AY59&gt;=0.45,VLOOKUP(Calculator!E23,tbSkills!DH3:DI6,2,FALSE)+IF(AND(Calculator!B8=TRUE,Backdoors!BI10=TRUE),VLOOKUP(Calculator!E23,tbSkills!DH3:DJ6,3,FALSE),0),0)))/100)),(1-(0.25*((-Backdoors!AI12-IF(AY59&gt;=0.45,VLOOKUP(Calculator!E23,tbSkills!DH3:DI6,2,FALSE)+IF(AND(Calculator!B8=TRUE,Backdoors!BI10=TRUE),VLOOKUP(Calculator!E23,tbSkills!DH3:DJ6,3,FALSE),0),0))/100)))),1),"")</f>
        <v>1</v>
      </c>
      <c r="BB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Y59)*BA59)*(VLOOKUP(A59,tbMoveset!A2:C112,3,FALSE)/100)*IF(VLOOKUP(A59,tbMoveset!A2:B112,2,FALSE)="Projectile",Backdoors!N10,Backdoors!N9),0),"")</f>
        <v>8</v>
      </c>
      <c r="BC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Y59&gt;=0.45,VLOOKUP(Calculator!E23,tbSkills!DH3:DI6,2,FALSE)+IF(AND(Calculator!B8=TRUE,Backdoors!BI10=TRUE),VLOOKUP(Calculator!E23,tbSkills!DH3:DJ6,3,FALSE),0),0))&gt;=100,100,(Backdoors!AI12+IF(AY59&gt;=0.45,VLOOKUP(Calculator!E23,tbSkills!DH3:DI6,2,FALSE)+IF(AND(Calculator!B8=TRUE,Backdoors!BI10=TRUE),VLOOKUP(Calculator!E23,tbSkills!DH3:DJ6,3,FALSE),0),0)))/100)),1))*IF(VLOOKUP(A59,tbMoveset!A2:K112,11,FALSE)=TRUE,Backdoors!AC5,1))*AZ59,0),"")</f>
        <v>0</v>
      </c>
      <c r="BD59" s="49">
        <f>VLOOKUP(A59,tbMoveset!A2:G112,7,FALSE)*IFERROR(IF(Backdoors!AI12&gt;=0,1+(IF(Calculator!E40&gt;0,VLOOKUP(Calculator!E40,tbSkills!AI3:AJ5,2,FALSE),Backdoors!AL4)*(IF((Backdoors!AI12+IF(AY59&gt;=0.45,VLOOKUP(Calculator!E23,tbSkills!DH3:DI6,2,FALSE)+IF(AND(Calculator!B8=TRUE,Backdoors!BI10=TRUE),VLOOKUP(Calculator!E23,tbSkills!DH3:DJ6,3,FALSE),0),0))&gt;=100,100,(Backdoors!AI12+IF(AY59&gt;=0.45,VLOOKUP(Calculator!E23,tbSkills!DH3:DI6,2,FALSE)+IF(AND(Calculator!B8=TRUE,Backdoors!BI10=TRUE),VLOOKUP(Calculator!E23,tbSkills!DH3:DJ6,3,FALSE),0),0)))/100)),1),1)</f>
        <v>0.5</v>
      </c>
      <c r="BE59" s="87">
        <f t="shared" si="3"/>
        <v>8</v>
      </c>
      <c r="BF59" s="86" t="str">
        <f>IFERROR(IF(VLOOKUP(A59,tbMoveset!A2:B112,2,FALSE)="Sever",Backdoors!AY11/100,IF(VLOOKUP(A59,tbMoveset!A2:B112,2,FALSE)="Blunt",Backdoors!AZ11/100,Backdoors!BA11/100)),"")</f>
        <v/>
      </c>
      <c r="BG59" s="49">
        <f>IFERROR(IF(VLOOKUP(tbMoveset!A59,tbMoveset!A2:H112,8,FALSE)="Other",IF(VLOOKUP(tbMoveset!A59,tbMoveset!A2:I112,9,FALSE)="Fire",Backdoors!BB11,IF(VLOOKUP(tbMoveset!A59,tbMoveset!A2:I112,9,FALSE)="Water",Backdoors!BC11,IF(VLOOKUP(tbMoveset!A59,tbMoveset!A2:I112,9,FALSE)="Thunder",Backdoors!BD11,IF(VLOOKUP(tbMoveset!A59,tbMoveset!A2:I112,9,FALSE)="Ice",Backdoors!BE11,IF(VLOOKUP(tbMoveset!A59,tbMoveset!A2:I112,9,FALSE)="Dragon",Backdoors!BF11,Backdoors!BG11)))))/100,Backdoors!BG11/100),"")</f>
        <v>0</v>
      </c>
      <c r="BH59" s="49">
        <f>IFERROR(IF(VLOOKUP(A59,tbMoveset!A2:J112,10,FALSE)=TRUE,IF((Backdoors!AI12+IF(BF59&gt;=0.45,VLOOKUP(Calculator!E23,tbSkills!DH3:DI6,2,FALSE)+IF(AND(Calculator!B8=TRUE,Backdoors!BI11=TRUE),VLOOKUP(Calculator!E23,tbSkills!DH3:DJ6,3,FALSE),0),0))&gt;=0,1+(Backdoors!AL2*(IF((Backdoors!AI12+IF(BF59&gt;=0.45,VLOOKUP(Calculator!E23,tbSkills!DH3:DI6,2,FALSE)+IF(AND(Calculator!B8=TRUE,Backdoors!BI11=TRUE),VLOOKUP(Calculator!E23,tbSkills!DH3:DJ6,3,FALSE),0),0))&gt;=100,100,(Backdoors!AI12+IF(BF59&gt;=0.45,VLOOKUP(Calculator!E23,tbSkills!DH3:DI6,2,FALSE)+IF(AND(Calculator!B8=TRUE,Backdoors!BI11=TRUE),VLOOKUP(Calculator!E23,tbSkills!DH3:DJ6,3,FALSE),0),0)))/100)),(1-(0.25*((-Backdoors!AI12-IF(BF59&gt;=0.45,VLOOKUP(Calculator!E23,tbSkills!DH3:DI6,2,FALSE)+IF(AND(Calculator!B8=TRUE,Backdoors!BI11=TRUE),VLOOKUP(Calculator!E23,tbSkills!DH3:DJ6,3,FALSE),0),0))/100)))),1),"")</f>
        <v>1</v>
      </c>
      <c r="BI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F59)*BH59)*(VLOOKUP(A59,tbMoveset!A2:C112,3,FALSE)/100)*IF(VLOOKUP(A59,tbMoveset!A2:B112,2,FALSE)="Projectile",Backdoors!N10,Backdoors!N9),0),"")</f>
        <v/>
      </c>
      <c r="BJ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F59&gt;=0.45,VLOOKUP(Calculator!E23,tbSkills!DH3:DI6,2,FALSE)+IF(AND(Calculator!B8=TRUE,Backdoors!BI11=TRUE),VLOOKUP(Calculator!E23,tbSkills!DH3:DJ6,3,FALSE),0),0))&gt;=100,100,(Backdoors!AI12+IF(BF59&gt;=0.45,VLOOKUP(Calculator!E23,tbSkills!DH3:DI6,2,FALSE)+IF(AND(Calculator!B8=TRUE,Backdoors!BI11=TRUE),VLOOKUP(Calculator!E23,tbSkills!DH3:DJ6,3,FALSE),0),0)))/100)),1))*IF(VLOOKUP(A59,tbMoveset!A2:K112,11,FALSE)=TRUE,Backdoors!AC5,1))*BG59,0),"")</f>
        <v>0</v>
      </c>
      <c r="BK59" s="49">
        <f>VLOOKUP(A59,tbMoveset!A2:G112,7,FALSE)*IFERROR(IF(Backdoors!AI12&gt;=0,1+(IF(Calculator!E40&gt;0,VLOOKUP(Calculator!E40,tbSkills!AI3:AJ5,2,FALSE),Backdoors!AL4)*(IF((Backdoors!AI12+IF(BF59&gt;=0.45,VLOOKUP(Calculator!E23,tbSkills!DH3:DI6,2,FALSE)+IF(AND(Calculator!B8=TRUE,Backdoors!BI11=TRUE),VLOOKUP(Calculator!E23,tbSkills!DH3:DJ6,3,FALSE),0),0))&gt;=100,100,(Backdoors!AI12+IF(BF59&gt;=0.45,VLOOKUP(Calculator!E23,tbSkills!DH3:DI6,2,FALSE)+IF(AND(Calculator!B8=TRUE,Backdoors!BI11=TRUE),VLOOKUP(Calculator!E23,tbSkills!DH3:DJ6,3,FALSE),0),0)))/100)),1),1)</f>
        <v>0.5</v>
      </c>
      <c r="BL59" s="87">
        <f t="shared" si="4"/>
        <v>0</v>
      </c>
      <c r="BM59" s="86" t="str">
        <f>IFERROR(IF(VLOOKUP(A59,tbMoveset!A2:B112,2,FALSE)="Sever",Backdoors!AY12/100,IF(VLOOKUP(A59,tbMoveset!A2:B112,2,FALSE)="Blunt",Backdoors!AZ12/100,Backdoors!BA12/100)),"")</f>
        <v/>
      </c>
      <c r="BN59" s="49">
        <f>IFERROR(IF(VLOOKUP(tbMoveset!A59,tbMoveset!A2:H112,8,FALSE)="Other",IF(VLOOKUP(tbMoveset!A59,tbMoveset!A2:I112,9,FALSE)="Fire",Backdoors!BB12,IF(VLOOKUP(tbMoveset!A59,tbMoveset!A2:I112,9,FALSE)="Water",Backdoors!BC12,IF(VLOOKUP(tbMoveset!A59,tbMoveset!A2:I112,9,FALSE)="Thunder",Backdoors!BD12,IF(VLOOKUP(tbMoveset!A59,tbMoveset!A2:I112,9,FALSE)="Ice",Backdoors!BE12,IF(VLOOKUP(tbMoveset!A59,tbMoveset!A2:I112,9,FALSE)="Dragon",Backdoors!BF12,Backdoors!BG12)))))/100,Backdoors!BG12/100),"")</f>
        <v>0</v>
      </c>
      <c r="BO59" s="49">
        <f>IFERROR(IF(VLOOKUP(A59,tbMoveset!A2:J112,10,FALSE)=TRUE,IF((Backdoors!AI12+IF(BM59&gt;=0.45,VLOOKUP(Calculator!E23,tbSkills!DH3:DI6,2,FALSE)+IF(AND(Calculator!B8=TRUE,Backdoors!BI12=TRUE),VLOOKUP(Calculator!E23,tbSkills!DH3:DJ6,3,FALSE),0),0))&gt;=0,1+(Backdoors!AL2*(IF((Backdoors!AI12+IF(BM59&gt;=0.45,VLOOKUP(Calculator!E23,tbSkills!DH3:DI6,2,FALSE)+IF(AND(Calculator!B8=TRUE,Backdoors!BI12=TRUE),VLOOKUP(Calculator!E23,tbSkills!DH3:DJ6,3,FALSE),0),0))&gt;=100,100,(Backdoors!AI12+IF(BM59&gt;=0.45,VLOOKUP(Calculator!E23,tbSkills!DH3:DI6,2,FALSE)+IF(AND(Calculator!B8=TRUE,Backdoors!BI12=TRUE),VLOOKUP(Calculator!E23,tbSkills!DH3:DJ6,3,FALSE),0),0)))/100)),(1-(0.25*((-Backdoors!AI12-IF(BM59&gt;=0.45,VLOOKUP(Calculator!E23,tbSkills!DH3:DI6,2,FALSE)+IF(AND(Calculator!B8=TRUE,Backdoors!BI12=TRUE),VLOOKUP(Calculator!E23,tbSkills!DH3:DJ6,3,FALSE),0),0))/100)))),1),"")</f>
        <v>1</v>
      </c>
      <c r="BP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M59)*BO59)*(VLOOKUP(A59,tbMoveset!A2:C112,3,FALSE)/100)*IF(VLOOKUP(A59,tbMoveset!A2:B112,2,FALSE)="Projectile",Backdoors!N10,Backdoors!N9),0),"")</f>
        <v/>
      </c>
      <c r="BQ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M59&gt;=0.45,VLOOKUP(Calculator!E23,tbSkills!DH3:DI6,2,FALSE)+IF(AND(Calculator!B8=TRUE,Backdoors!BI12=TRUE),VLOOKUP(Calculator!E23,tbSkills!DH3:DJ6,3,FALSE),0),0))&gt;=100,100,(Backdoors!AI12+IF(BM59&gt;=0.45,VLOOKUP(Calculator!E23,tbSkills!DH3:DI6,2,FALSE)+IF(AND(Calculator!B8=TRUE,Backdoors!BI12=TRUE),VLOOKUP(Calculator!E23,tbSkills!DH3:DJ6,3,FALSE),0),0)))/100)),1))*IF(VLOOKUP(A59,tbMoveset!A2:K112,11,FALSE)=TRUE,Backdoors!AC5,1))*BN59,0),"")</f>
        <v>0</v>
      </c>
      <c r="BR59" s="49">
        <f>VLOOKUP(A59,tbMoveset!A2:G112,7,FALSE)*IFERROR(IF(Backdoors!AI12&gt;=0,1+(IF(Calculator!E40&gt;0,VLOOKUP(Calculator!E40,tbSkills!AI3:AJ5,2,FALSE),Backdoors!AL4)*(IF((Backdoors!AI12+IF(BM59&gt;=0.45,VLOOKUP(Calculator!E23,tbSkills!DH3:DI6,2,FALSE)+IF(AND(Calculator!B8=TRUE,Backdoors!BI12=TRUE),VLOOKUP(Calculator!E23,tbSkills!DH3:DJ6,3,FALSE),0),0))&gt;=100,100,(Backdoors!AI12+IF(BM59&gt;=0.45,VLOOKUP(Calculator!E23,tbSkills!DH3:DI6,2,FALSE)+IF(AND(Calculator!B8=TRUE,Backdoors!BI12=TRUE),VLOOKUP(Calculator!E23,tbSkills!DH3:DJ6,3,FALSE),0),0)))/100)),1),1)</f>
        <v>0.5</v>
      </c>
      <c r="BS59" s="87">
        <f t="shared" si="39"/>
        <v>0</v>
      </c>
      <c r="BT59" s="86" t="str">
        <f>IFERROR(IF(VLOOKUP(A59,tbMoveset!A2:B112,2,FALSE)="Sever",Backdoors!AY13/100,IF(VLOOKUP(A59,tbMoveset!A2:B112,2,FALSE)="Blunt",Backdoors!AZ13/100,Backdoors!BA13/100)),"")</f>
        <v/>
      </c>
      <c r="BU59" s="49">
        <f>IFERROR(IF(VLOOKUP(tbMoveset!A59,tbMoveset!A2:H112,8,FALSE)="Other",IF(VLOOKUP(tbMoveset!A59,tbMoveset!A2:I112,9,FALSE)="Fire",Backdoors!BB13,IF(VLOOKUP(tbMoveset!A59,tbMoveset!A2:I112,9,FALSE)="Water",Backdoors!BC13,IF(VLOOKUP(tbMoveset!A59,tbMoveset!A2:I112,9,FALSE)="Thunder",Backdoors!BD13,IF(VLOOKUP(tbMoveset!A59,tbMoveset!A2:I112,9,FALSE)="Ice",Backdoors!BE13,IF(VLOOKUP(tbMoveset!A59,tbMoveset!A2:I112,9,FALSE)="Dragon",Backdoors!BF13,Backdoors!BG13)))))/100,Backdoors!BG13/100),"")</f>
        <v>0</v>
      </c>
      <c r="BV59" s="49">
        <f>IFERROR(IF(VLOOKUP(A59,tbMoveset!A2:J112,10,FALSE)=TRUE,IF((Backdoors!AI12+IF(BT59&gt;=0.45,VLOOKUP(Calculator!E23,tbSkills!DH3:DI6,2,FALSE)+IF(AND(Calculator!B8=TRUE,Backdoors!BI13=TRUE),VLOOKUP(Calculator!E23,tbSkills!DH3:DJ6,3,FALSE),0),0))&gt;=0,1+(Backdoors!AL2*(IF((Backdoors!AI12+IF(BT59&gt;=0.45,VLOOKUP(Calculator!E23,tbSkills!DH3:DI6,2,FALSE)+IF(AND(Calculator!B8=TRUE,Backdoors!BI13=TRUE),VLOOKUP(Calculator!E23,tbSkills!DH3:DJ6,3,FALSE),0),0))&gt;=100,100,(Backdoors!AI12+IF(BT59&gt;=0.45,VLOOKUP(Calculator!E23,tbSkills!DH3:DI6,2,FALSE)+IF(AND(Calculator!B8=TRUE,Backdoors!BI13=TRUE),VLOOKUP(Calculator!E23,tbSkills!DH3:DJ6,3,FALSE),0),0)))/100)),(1-(0.25*((-Backdoors!AI12-IF(BT59&gt;=0.45,VLOOKUP(Calculator!E23,tbSkills!DH3:DI6,2,FALSE)+IF(AND(Calculator!B8=TRUE,Backdoors!BI13=TRUE),VLOOKUP(Calculator!E23,tbSkills!DH3:DJ6,3,FALSE),0),0))/100)))),1),"")</f>
        <v>1</v>
      </c>
      <c r="BW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T59)*BV59)*(VLOOKUP(A59,tbMoveset!A2:C112,3,FALSE)/100)*IF(VLOOKUP(A59,tbMoveset!A2:B112,2,FALSE)="Projectile",Backdoors!N10,Backdoors!N9),0),"")</f>
        <v/>
      </c>
      <c r="BX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T59&gt;=0.45,VLOOKUP(Calculator!E23,tbSkills!DH3:DI6,2,FALSE)+IF(AND(Calculator!B8=TRUE,Backdoors!BI13=TRUE),VLOOKUP(Calculator!E23,tbSkills!DH3:DJ6,3,FALSE),0),0))&gt;=100,100,(Backdoors!AI12+IF(BT59&gt;=0.45,VLOOKUP(Calculator!E23,tbSkills!DH3:DI6,2,FALSE)+IF(AND(Calculator!B8=TRUE,Backdoors!BI13=TRUE),VLOOKUP(Calculator!E23,tbSkills!DH3:DJ6,3,FALSE),0),0)))/100)),1))*IF(VLOOKUP(A59,tbMoveset!A2:K112,11,FALSE)=TRUE,Backdoors!AC5,1))*BU59,0),"")</f>
        <v>0</v>
      </c>
      <c r="BY59" s="49">
        <f>VLOOKUP(A59,tbMoveset!A2:G112,7,FALSE)*IFERROR(IF(Backdoors!AI12&gt;=0,1+(IF(Calculator!E40&gt;0,VLOOKUP(Calculator!E40,tbSkills!AI3:AJ5,2,FALSE),Backdoors!AL4)*(IF((Backdoors!AI12+IF(BT59&gt;=0.45,VLOOKUP(Calculator!E23,tbSkills!DH3:DI6,2,FALSE)+IF(AND(Calculator!B8=TRUE,Backdoors!BI13=TRUE),VLOOKUP(Calculator!E23,tbSkills!DH3:DJ6,3,FALSE),0),0))&gt;=100,100,(Backdoors!AI12+IF(BT59&gt;=0.45,VLOOKUP(Calculator!E23,tbSkills!DH3:DI6,2,FALSE)+IF(AND(Calculator!B8=TRUE,Backdoors!BI13=TRUE),VLOOKUP(Calculator!E23,tbSkills!DH3:DJ6,3,FALSE),0),0)))/100)),1),1)</f>
        <v>0.5</v>
      </c>
      <c r="BZ59" s="87">
        <f t="shared" si="5"/>
        <v>0</v>
      </c>
      <c r="CA59" s="86" t="str">
        <f>IFERROR(IF(VLOOKUP(A59,tbMoveset!A2:B112,2,FALSE)="Sever",Backdoors!AY14/100,IF(VLOOKUP(A59,tbMoveset!A2:B112,2,FALSE)="Blunt",Backdoors!AZ14/100,Backdoors!BA14/100)),"")</f>
        <v/>
      </c>
      <c r="CB59" s="49">
        <f>IFERROR(IF(VLOOKUP(tbMoveset!A59,tbMoveset!A2:H112,8,FALSE)="Other",IF(VLOOKUP(tbMoveset!A59,tbMoveset!A2:I112,9,FALSE)="Fire",Backdoors!BB14,IF(VLOOKUP(tbMoveset!A59,tbMoveset!A2:I112,9,FALSE)="Water",Backdoors!BC14,IF(VLOOKUP(tbMoveset!A59,tbMoveset!A2:I112,9,FALSE)="Thunder",Backdoors!BD14,IF(VLOOKUP(tbMoveset!A59,tbMoveset!A2:I112,9,FALSE)="Ice",Backdoors!BE14,IF(VLOOKUP(tbMoveset!A59,tbMoveset!A2:I112,9,FALSE)="Dragon",Backdoors!BF14,Backdoors!BG14)))))/100,Backdoors!BG14/100),"")</f>
        <v>0</v>
      </c>
      <c r="CC59" s="49">
        <f>IFERROR(IF(VLOOKUP(A59,tbMoveset!A2:J112,10,FALSE)=TRUE,IF((Backdoors!AI12+IF(CA59&gt;=0.45,VLOOKUP(Calculator!E23,tbSkills!DH3:DI6,2,FALSE)+IF(AND(Calculator!B8=TRUE,Backdoors!BI14=TRUE),VLOOKUP(Calculator!E23,tbSkills!DH3:DJ6,3,FALSE),0),0))&gt;=0,1+(Backdoors!AL2*(IF((Backdoors!AI12+IF(CA59&gt;=0.45,VLOOKUP(Calculator!E23,tbSkills!DH3:DI6,2,FALSE)+IF(AND(Calculator!B8=TRUE,Backdoors!BI14=TRUE),VLOOKUP(Calculator!E23,tbSkills!DH3:DJ6,3,FALSE),0),0))&gt;=100,100,(Backdoors!AI12+IF(CA59&gt;=0.45,VLOOKUP(Calculator!E23,tbSkills!DH3:DI6,2,FALSE)+IF(AND(Calculator!B8=TRUE,Backdoors!BI14=TRUE),VLOOKUP(Calculator!E23,tbSkills!DH3:DJ6,3,FALSE),0),0)))/100)),(1-(0.25*((-Backdoors!AI12-IF(CA59&gt;=0.45,VLOOKUP(Calculator!E23,tbSkills!DH3:DI6,2,FALSE)+IF(AND(Calculator!B8=TRUE,Backdoors!BI14=TRUE),VLOOKUP(Calculator!E23,tbSkills!DH3:DJ6,3,FALSE),0),0))/100)))),1),"")</f>
        <v>1</v>
      </c>
      <c r="CD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A59)*CC59)*(VLOOKUP(A59,tbMoveset!A2:C112,3,FALSE)/100)*IF(VLOOKUP(A59,tbMoveset!A2:B112,2,FALSE)="Projectile",Backdoors!N10,Backdoors!N9),0),"")</f>
        <v/>
      </c>
      <c r="CE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A59&gt;=0.45,VLOOKUP(Calculator!E23,tbSkills!DH3:DI6,2,FALSE)+IF(AND(Calculator!B8=TRUE,Backdoors!BI14=TRUE),VLOOKUP(Calculator!E23,tbSkills!DH3:DJ6,3,FALSE),0),0))&gt;=100,100,(Backdoors!AI12+IF(CA59&gt;=0.45,VLOOKUP(Calculator!E23,tbSkills!DH3:DI6,2,FALSE)+IF(AND(Calculator!B8=TRUE,Backdoors!BI14=TRUE),VLOOKUP(Calculator!E23,tbSkills!DH3:DJ6,3,FALSE),0),0)))/100)),1))*IF(VLOOKUP(A59,tbMoveset!A2:K112,11,FALSE)=TRUE,Backdoors!AC5,1))*CB59,0),"")</f>
        <v>0</v>
      </c>
      <c r="CF59" s="49">
        <f>VLOOKUP(A59,tbMoveset!A2:G112,7,FALSE)*IFERROR(IF(Backdoors!AI12&gt;=0,1+(IF(Calculator!E40&gt;0,VLOOKUP(Calculator!E40,tbSkills!AI3:AJ5,2,FALSE),Backdoors!AL4)*(IF((Backdoors!AI12+IF(CA59&gt;=0.45,VLOOKUP(Calculator!E23,tbSkills!DH3:DI6,2,FALSE)+IF(AND(Calculator!B8=TRUE,Backdoors!BI14=TRUE),VLOOKUP(Calculator!E23,tbSkills!DH3:DJ6,3,FALSE),0),0))&gt;=100,100,(Backdoors!AI12+IF(CA59&gt;=0.45,VLOOKUP(Calculator!E23,tbSkills!DH3:DI6,2,FALSE)+IF(AND(Calculator!B8=TRUE,Backdoors!BI14=TRUE),VLOOKUP(Calculator!E23,tbSkills!DH3:DJ6,3,FALSE),0),0)))/100)),1),1)</f>
        <v>0.5</v>
      </c>
      <c r="CG59" s="87">
        <f t="shared" si="6"/>
        <v>0</v>
      </c>
      <c r="CH59" s="86" t="str">
        <f>IFERROR(IF(VLOOKUP(A59,tbMoveset!A2:B112,2,FALSE)="Sever",Backdoors!AY15/100,IF(VLOOKUP(A59,tbMoveset!A2:B112,2,FALSE)="Blunt",Backdoors!AZ15/100,Backdoors!BA15/100)),"")</f>
        <v/>
      </c>
      <c r="CI59" s="49">
        <f>IFERROR(IF(VLOOKUP(tbMoveset!A59,tbMoveset!A2:H112,8,FALSE)="Other",IF(VLOOKUP(tbMoveset!A59,tbMoveset!A2:I112,9,FALSE)="Fire",Backdoors!BB15,IF(VLOOKUP(tbMoveset!A59,tbMoveset!A2:I112,9,FALSE)="Water",Backdoors!BC15,IF(VLOOKUP(tbMoveset!A59,tbMoveset!A2:I112,9,FALSE)="Thunder",Backdoors!BD15,IF(VLOOKUP(tbMoveset!A59,tbMoveset!A2:I112,9,FALSE)="Ice",Backdoors!BE15,IF(VLOOKUP(tbMoveset!A59,tbMoveset!A2:I112,9,FALSE)="Dragon",Backdoors!BF15,Backdoors!BG15)))))/100,Backdoors!BG15/100),"")</f>
        <v>0</v>
      </c>
      <c r="CJ59" s="49">
        <f>IFERROR(IF(VLOOKUP(A59,tbMoveset!A2:J112,10,FALSE)=TRUE,IF((Backdoors!AI12+IF(CH59&gt;=0.45,VLOOKUP(Calculator!E23,tbSkills!DH3:DI6,2,FALSE)+IF(AND(Calculator!B8=TRUE,Backdoors!BI15=TRUE),VLOOKUP(Calculator!E23,tbSkills!DH3:DJ6,3,FALSE),0),0))&gt;=0,1+(Backdoors!AL2*(IF((Backdoors!AI12+IF(CH59&gt;=0.45,VLOOKUP(Calculator!E23,tbSkills!DH3:DI6,2,FALSE)+IF(AND(Calculator!B8=TRUE,Backdoors!BI15=TRUE),VLOOKUP(Calculator!E23,tbSkills!DH3:DJ6,3,FALSE),0),0))&gt;=100,100,(Backdoors!AI12+IF(CH59&gt;=0.45,VLOOKUP(Calculator!E23,tbSkills!DH3:DI6,2,FALSE)+IF(AND(Calculator!B8=TRUE,Backdoors!BI15=TRUE),VLOOKUP(Calculator!E23,tbSkills!DH3:DJ6,3,FALSE),0),0)))/100)),(1-(0.25*((-Backdoors!AI12-IF(CH59&gt;=0.45,VLOOKUP(Calculator!E23,tbSkills!DH3:DI6,2,FALSE)+IF(AND(Calculator!B8=TRUE,Backdoors!BI15=TRUE),VLOOKUP(Calculator!E23,tbSkills!DH3:DJ6,3,FALSE),0),0))/100)))),1),"")</f>
        <v>1</v>
      </c>
      <c r="CK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H59)*CJ59)*(VLOOKUP(A59,tbMoveset!A2:C112,3,FALSE)/100)*IF(VLOOKUP(A59,tbMoveset!A2:B112,2,FALSE)="Projectile",Backdoors!N10,Backdoors!N9),0),"")</f>
        <v/>
      </c>
      <c r="CL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H59&gt;=0.45,VLOOKUP(Calculator!E23,tbSkills!DH3:DI6,2,FALSE)+IF(AND(Calculator!B8=TRUE,Backdoors!BI15=TRUE),VLOOKUP(Calculator!E23,tbSkills!DH3:DJ6,3,FALSE),0),0))&gt;=100,100,(Backdoors!AI12+IF(CH59&gt;=0.45,VLOOKUP(Calculator!E23,tbSkills!DH3:DI6,2,FALSE)+IF(AND(Calculator!B8=TRUE,Backdoors!BI15=TRUE),VLOOKUP(Calculator!E23,tbSkills!DH3:DJ6,3,FALSE),0),0)))/100)),1))*IF(VLOOKUP(A59,tbMoveset!A2:K112,11,FALSE)=TRUE,Backdoors!AC5,1))*CI59,0),"")</f>
        <v>0</v>
      </c>
      <c r="CM59" s="49">
        <f>VLOOKUP(A59,tbMoveset!A2:G112,7,FALSE)*IFERROR(IF(Backdoors!AI12&gt;=0,1+(IF(Calculator!E40&gt;0,VLOOKUP(Calculator!E40,tbSkills!AI3:AJ5,2,FALSE),Backdoors!AL4)*(IF((Backdoors!AI12+IF(CH59&gt;=0.45,VLOOKUP(Calculator!E23,tbSkills!DH3:DI6,2,FALSE)+IF(AND(Calculator!B8=TRUE,Backdoors!BI15=TRUE),VLOOKUP(Calculator!E23,tbSkills!DH3:DJ6,3,FALSE),0),0))&gt;=100,100,(Backdoors!AI12+IF(CH59&gt;=0.45,VLOOKUP(Calculator!E23,tbSkills!DH3:DI6,2,FALSE)+IF(AND(Calculator!B8=TRUE,Backdoors!BI15=TRUE),VLOOKUP(Calculator!E23,tbSkills!DH3:DJ6,3,FALSE),0),0)))/100)),1),1)</f>
        <v>0.5</v>
      </c>
      <c r="CN59" s="87">
        <f t="shared" si="7"/>
        <v>0</v>
      </c>
      <c r="CO59" s="86" t="str">
        <f>IFERROR(IF(VLOOKUP(A59,tbMoveset!A2:B112,2,FALSE)="Sever",Backdoors!AY16/100,IF(VLOOKUP(A59,tbMoveset!A2:B112,2,FALSE)="Blunt",Backdoors!AZ16/100,Backdoors!BA16/100)),"")</f>
        <v/>
      </c>
      <c r="CP59" s="49">
        <f>IFERROR(IF(VLOOKUP(tbMoveset!A59,tbMoveset!A2:H112,8,FALSE)="Other",IF(VLOOKUP(tbMoveset!A59,tbMoveset!A2:I112,9,FALSE)="Fire",Backdoors!BB16,IF(VLOOKUP(tbMoveset!A59,tbMoveset!A2:I112,9,FALSE)="Water",Backdoors!BC16,IF(VLOOKUP(tbMoveset!A59,tbMoveset!A2:I112,9,FALSE)="Thunder",Backdoors!BD16,IF(VLOOKUP(tbMoveset!A59,tbMoveset!A2:I112,9,FALSE)="Ice",Backdoors!BE16,IF(VLOOKUP(tbMoveset!A59,tbMoveset!A2:I112,9,FALSE)="Dragon",Backdoors!BF16,Backdoors!BG16)))))/100,Backdoors!BG16/100),"")</f>
        <v>0</v>
      </c>
      <c r="CQ59" s="49">
        <f>IFERROR(IF(VLOOKUP(A59,tbMoveset!A2:J112,10,FALSE)=TRUE,IF((Backdoors!AI12+IF(CO59&gt;=0.45,VLOOKUP(Calculator!E23,tbSkills!DH3:DI6,2,FALSE)+IF(AND(Calculator!B8=TRUE,Backdoors!BI16=TRUE),VLOOKUP(Calculator!E23,tbSkills!DH3:DJ6,3,FALSE),0),0))&gt;=0,1+(Backdoors!AL2*(IF((Backdoors!AI12+IF(CO59&gt;=0.45,VLOOKUP(Calculator!E23,tbSkills!DH3:DI6,2,FALSE)+IF(AND(Calculator!B8=TRUE,Backdoors!BI16=TRUE),VLOOKUP(Calculator!E23,tbSkills!DH3:DJ6,3,FALSE),0),0))&gt;=100,100,(Backdoors!AI12+IF(CO59&gt;=0.45,VLOOKUP(Calculator!E23,tbSkills!DH3:DI6,2,FALSE)+IF(AND(Calculator!B8=TRUE,Backdoors!BI16=TRUE),VLOOKUP(Calculator!E23,tbSkills!DH3:DJ6,3,FALSE),0),0)))/100)),(1-(0.25*((-Backdoors!AI12-IF(CO59&gt;=0.45,VLOOKUP(Calculator!E23,tbSkills!DH3:DI6,2,FALSE)+IF(AND(Calculator!B8=TRUE,Backdoors!BI16=TRUE),VLOOKUP(Calculator!E23,tbSkills!DH3:DJ6,3,FALSE),0),0))/100)))),1),"")</f>
        <v>1</v>
      </c>
      <c r="CR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O59)*CQ59)*(VLOOKUP(A59,tbMoveset!A2:C112,3,FALSE)/100)*IF(VLOOKUP(A59,tbMoveset!A2:B112,2,FALSE)="Projectile",Backdoors!N10,Backdoors!N9),0),"")</f>
        <v/>
      </c>
      <c r="CS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O59&gt;=0.45,VLOOKUP(Calculator!E23,tbSkills!DH3:DI6,2,FALSE)+IF(AND(Calculator!B8=TRUE,Backdoors!BI16=TRUE),VLOOKUP(Calculator!E23,tbSkills!DH3:DJ6,3,FALSE),0),0))&gt;=100,100,(Backdoors!AI12+IF(CO59&gt;=0.45,VLOOKUP(Calculator!E23,tbSkills!DH3:DI6,2,FALSE)+IF(AND(Calculator!B8=TRUE,Backdoors!BI16=TRUE),VLOOKUP(Calculator!E23,tbSkills!DH3:DJ6,3,FALSE),0),0)))/100)),1))*IF(VLOOKUP(A59,tbMoveset!A2:K112,11,FALSE)=TRUE,Backdoors!AC5,1))*CP59,0),"")</f>
        <v>0</v>
      </c>
      <c r="CT59" s="49">
        <f>VLOOKUP(A59,tbMoveset!A2:G112,7,FALSE)*IFERROR(IF(Backdoors!AI12&gt;=0,1+(IF(Calculator!E40&gt;0,VLOOKUP(Calculator!E40,tbSkills!AI3:AJ5,2,FALSE),Backdoors!AL4)*(IF((Backdoors!AI12+IF(CO59&gt;=0.45,VLOOKUP(Calculator!E23,tbSkills!DH3:DI6,2,FALSE)+IF(AND(Calculator!B8=TRUE,Backdoors!BI16=TRUE),VLOOKUP(Calculator!E23,tbSkills!DH3:DJ6,3,FALSE),0),0))&gt;=100,100,(Backdoors!AI12+IF(CO59&gt;=0.45,VLOOKUP(Calculator!E23,tbSkills!DH3:DI6,2,FALSE)+IF(AND(Calculator!B8=TRUE,Backdoors!BI16=TRUE),VLOOKUP(Calculator!E23,tbSkills!DH3:DJ6,3,FALSE),0),0)))/100)),1),1)</f>
        <v>0.5</v>
      </c>
      <c r="CU59" s="87">
        <f t="shared" si="40"/>
        <v>0</v>
      </c>
      <c r="CV59" s="86" t="str">
        <f>IFERROR(IF(VLOOKUP(A59,tbMoveset!A2:B112,2,FALSE)="Sever",Backdoors!AY17/100,IF(VLOOKUP(A59,tbMoveset!A2:B112,2,FALSE)="Blunt",Backdoors!AZ17/100,Backdoors!BA17/100)),"")</f>
        <v/>
      </c>
      <c r="CW59" s="49">
        <f>IFERROR(IF(VLOOKUP(tbMoveset!A59,tbMoveset!A2:H112,8,FALSE)="Other",IF(VLOOKUP(tbMoveset!A59,tbMoveset!A2:I112,9,FALSE)="Fire",Backdoors!BB17,IF(VLOOKUP(tbMoveset!A59,tbMoveset!A2:I112,9,FALSE)="Water",Backdoors!BC17,IF(VLOOKUP(tbMoveset!A59,tbMoveset!A2:I112,9,FALSE)="Thunder",Backdoors!BD17,IF(VLOOKUP(tbMoveset!A59,tbMoveset!A2:I112,9,FALSE)="Ice",Backdoors!BE17,IF(VLOOKUP(tbMoveset!A59,tbMoveset!A2:I112,9,FALSE)="Dragon",Backdoors!BF17,Backdoors!BG17)))))/100,Backdoors!BG17/100),"")</f>
        <v>0</v>
      </c>
      <c r="CX59" s="49">
        <f>IFERROR(IF(VLOOKUP(A59,tbMoveset!A2:J112,10,FALSE)=TRUE,IF((Backdoors!AI12+IF(CV59&gt;=0.45,VLOOKUP(Calculator!E23,tbSkills!DH3:DI6,2,FALSE)+IF(AND(Calculator!B8=TRUE,Backdoors!BI17=TRUE),VLOOKUP(Calculator!E23,tbSkills!DH3:DJ6,3,FALSE),0),0))&gt;=0,1+(Backdoors!AL2*(IF((Backdoors!AI12+IF(CV59&gt;=0.45,VLOOKUP(Calculator!E23,tbSkills!DH3:DI6,2,FALSE)+IF(AND(Calculator!B8=TRUE,Backdoors!BI17=TRUE),VLOOKUP(Calculator!E23,tbSkills!DH3:DJ6,3,FALSE),0),0))&gt;=100,100,(Backdoors!AI12+IF(CV59&gt;=0.45,VLOOKUP(Calculator!E23,tbSkills!DH3:DI6,2,FALSE)+IF(AND(Calculator!B8=TRUE,Backdoors!BI17=TRUE),VLOOKUP(Calculator!E23,tbSkills!DH3:DJ6,3,FALSE),0),0)))/100)),(1-(0.25*((-Backdoors!AI12-IF(CV59&gt;=0.45,VLOOKUP(Calculator!E23,tbSkills!DH3:DI6,2,FALSE)+IF(AND(Calculator!B8=TRUE,Backdoors!BI17=TRUE),VLOOKUP(Calculator!E23,tbSkills!DH3:DJ6,3,FALSE),0),0))/100)))),1),"")</f>
        <v>1</v>
      </c>
      <c r="CY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V59)*CX59)*(VLOOKUP(A59,tbMoveset!A2:C112,3,FALSE)/100)*IF(VLOOKUP(A59,tbMoveset!A2:B112,2,FALSE)="Projectile",Backdoors!N10,Backdoors!N9),0),"")</f>
        <v/>
      </c>
      <c r="CZ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V59&gt;=0.45,VLOOKUP(Calculator!E23,tbSkills!DH3:DI6,2,FALSE)+IF(AND(Calculator!B8=TRUE,Backdoors!BI17=TRUE),VLOOKUP(Calculator!E23,tbSkills!DH3:DJ6,3,FALSE),0),0))&gt;=100,100,(Backdoors!AI12+IF(CV59&gt;=0.45,VLOOKUP(Calculator!E23,tbSkills!DH3:DI6,2,FALSE)+IF(AND(Calculator!B8=TRUE,Backdoors!BI17=TRUE),VLOOKUP(Calculator!E23,tbSkills!DH3:DJ6,3,FALSE),0),0)))/100)),1))*IF(VLOOKUP(A59,tbMoveset!A2:K112,11,FALSE)=TRUE,Backdoors!AC5,1))*CW59,0),"")</f>
        <v>0</v>
      </c>
      <c r="DA59" s="49">
        <f>VLOOKUP(A59,tbMoveset!A2:G112,7,FALSE)*IFERROR(IF(Backdoors!AI12&gt;=0,1+(IF(Calculator!E40&gt;0,VLOOKUP(Calculator!E40,tbSkills!AI3:AJ5,2,FALSE),Backdoors!AL4)*(IF((Backdoors!AI12+IF(CV59&gt;=0.45,VLOOKUP(Calculator!E23,tbSkills!DH3:DI6,2,FALSE)+IF(AND(Calculator!B8=TRUE,Backdoors!BI17=TRUE),VLOOKUP(Calculator!E23,tbSkills!DH3:DJ6,3,FALSE),0),0))&gt;=100,100,(Backdoors!AI12+IF(CV59&gt;=0.45,VLOOKUP(Calculator!E23,tbSkills!DH3:DI6,2,FALSE)+IF(AND(Calculator!B8=TRUE,Backdoors!BI17=TRUE),VLOOKUP(Calculator!E23,tbSkills!DH3:DJ6,3,FALSE),0),0)))/100)),1),1)</f>
        <v>0.5</v>
      </c>
      <c r="DB59" s="87">
        <f t="shared" si="8"/>
        <v>0</v>
      </c>
      <c r="DC59" s="86" t="str">
        <f>IFERROR(IF(VLOOKUP(A59,tbMoveset!A2:B112,2,FALSE)="Sever",Backdoors!AY18/100,IF(VLOOKUP(A59,tbMoveset!A2:B112,2,FALSE)="Blunt",Backdoors!AZ18/100,Backdoors!BA18/100)),"")</f>
        <v/>
      </c>
      <c r="DD59" s="49">
        <f>IFERROR(IF(VLOOKUP(tbMoveset!A59,tbMoveset!A2:H112,8,FALSE)="Other",IF(VLOOKUP(tbMoveset!A59,tbMoveset!A2:I112,9,FALSE)="Fire",Backdoors!BB18,IF(VLOOKUP(tbMoveset!A59,tbMoveset!A2:I112,9,FALSE)="Water",Backdoors!BC18,IF(VLOOKUP(tbMoveset!A59,tbMoveset!A2:I112,9,FALSE)="Thunder",Backdoors!BD18,IF(VLOOKUP(tbMoveset!A59,tbMoveset!A2:I112,9,FALSE)="Ice",Backdoors!BE18,IF(VLOOKUP(tbMoveset!A59,tbMoveset!A2:I112,9,FALSE)="Dragon",Backdoors!BF18,Backdoors!BG18)))))/100,Backdoors!BG18/100),"")</f>
        <v>0</v>
      </c>
      <c r="DE59" s="49">
        <f>IFERROR(IF(VLOOKUP(A59,tbMoveset!A2:J112,10,FALSE)=TRUE,IF((Backdoors!AI12+IF(DC59&gt;=0.45,VLOOKUP(Calculator!E23,tbSkills!DH3:DI6,2,FALSE)+IF(AND(Calculator!B8=TRUE,Backdoors!BI18=TRUE),VLOOKUP(Calculator!E23,tbSkills!DH3:DJ6,3,FALSE),0),0))&gt;=0,1+(Backdoors!AL2*(IF((Backdoors!AI12+IF(DC59&gt;=0.45,VLOOKUP(Calculator!E23,tbSkills!DH3:DI6,2,FALSE)+IF(AND(Calculator!B8=TRUE,Backdoors!BI18=TRUE),VLOOKUP(Calculator!E23,tbSkills!DH3:DJ6,3,FALSE),0),0))&gt;=100,100,(Backdoors!AI12+IF(DC59&gt;=0.45,VLOOKUP(Calculator!E23,tbSkills!DH3:DI6,2,FALSE)+IF(AND(Calculator!B8=TRUE,Backdoors!BI18=TRUE),VLOOKUP(Calculator!E23,tbSkills!DH3:DJ6,3,FALSE),0),0)))/100)),(1-(0.25*((-Backdoors!AI12-IF(DC59&gt;=0.45,VLOOKUP(Calculator!E23,tbSkills!DH3:DI6,2,FALSE)+IF(AND(Calculator!B8=TRUE,Backdoors!BI18=TRUE),VLOOKUP(Calculator!E23,tbSkills!DH3:DJ6,3,FALSE),0),0))/100)))),1),"")</f>
        <v>1</v>
      </c>
      <c r="DF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C59)*DE59)*(VLOOKUP(A59,tbMoveset!A2:C112,3,FALSE)/100)*IF(VLOOKUP(A59,tbMoveset!A2:B112,2,FALSE)="Projectile",Backdoors!N10,Backdoors!N9),0),"")</f>
        <v/>
      </c>
      <c r="DG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C59&gt;=0.45,VLOOKUP(Calculator!E23,tbSkills!DH3:DI6,2,FALSE)+IF(AND(Calculator!B8=TRUE,Backdoors!BI18=TRUE),VLOOKUP(Calculator!E23,tbSkills!DH3:DJ6,3,FALSE),0),0))&gt;=100,100,(Backdoors!AI12+IF(DC59&gt;=0.45,VLOOKUP(Calculator!E23,tbSkills!DH3:DI6,2,FALSE)+IF(AND(Calculator!B8=TRUE,Backdoors!BI18=TRUE),VLOOKUP(Calculator!E23,tbSkills!DH3:DJ6,3,FALSE),0),0)))/100)),1))*IF(VLOOKUP(A59,tbMoveset!A2:K112,11,FALSE)=TRUE,Backdoors!AC5,1))*DD59,0),"")</f>
        <v>0</v>
      </c>
      <c r="DH59" s="49">
        <f>VLOOKUP(A59,tbMoveset!A2:G112,7,FALSE)*IFERROR(IF(Backdoors!AI12&gt;=0,1+(IF(Calculator!E40&gt;0,VLOOKUP(Calculator!E40,tbSkills!AI3:AJ5,2,FALSE),Backdoors!AL4)*(IF((Backdoors!AI12+IF(DC59&gt;=0.45,VLOOKUP(Calculator!E23,tbSkills!DH3:DI6,2,FALSE)+IF(AND(Calculator!B8=TRUE,Backdoors!BI18=TRUE),VLOOKUP(Calculator!E23,tbSkills!DH3:DJ6,3,FALSE),0),0))&gt;=100,100,(Backdoors!AI12+IF(DC59&gt;=0.45,VLOOKUP(Calculator!E23,tbSkills!DH3:DI6,2,FALSE)+IF(AND(Calculator!B8=TRUE,Backdoors!BI18=TRUE),VLOOKUP(Calculator!E23,tbSkills!DH3:DJ6,3,FALSE),0),0)))/100)),1),1)</f>
        <v>0.5</v>
      </c>
      <c r="DI59" s="87">
        <f t="shared" si="9"/>
        <v>0</v>
      </c>
      <c r="DJ59" s="86" t="str">
        <f>IFERROR(IF(VLOOKUP(A59,tbMoveset!A2:B112,2,FALSE)="Sever",Backdoors!AY19/100,IF(VLOOKUP(A59,tbMoveset!A2:B112,2,FALSE)="Blunt",Backdoors!AZ19/100,Backdoors!BA19/100)),"")</f>
        <v/>
      </c>
      <c r="DK59" s="49">
        <f>IFERROR(IF(VLOOKUP(tbMoveset!A59,tbMoveset!A2:H112,8,FALSE)="Other",IF(VLOOKUP(tbMoveset!A59,tbMoveset!A2:I112,9,FALSE)="Fire",Backdoors!BB19,IF(VLOOKUP(tbMoveset!A59,tbMoveset!A2:I112,9,FALSE)="Water",Backdoors!BC19,IF(VLOOKUP(tbMoveset!A59,tbMoveset!A2:I112,9,FALSE)="Thunder",Backdoors!BD19,IF(VLOOKUP(tbMoveset!A59,tbMoveset!A2:I112,9,FALSE)="Ice",Backdoors!BE19,IF(VLOOKUP(tbMoveset!A59,tbMoveset!A2:I112,9,FALSE)="Dragon",Backdoors!BF19,Backdoors!BG19)))))/100,Backdoors!BG19/100),"")</f>
        <v>0</v>
      </c>
      <c r="DL59" s="49">
        <f>IFERROR(IF(VLOOKUP(A59,tbMoveset!A2:J112,10,FALSE)=TRUE,IF((Backdoors!AI12+IF(DJ59&gt;=0.45,VLOOKUP(Calculator!E23,tbSkills!DH3:DI6,2,FALSE)+IF(AND(Calculator!B8=TRUE,Backdoors!BI19=TRUE),VLOOKUP(Calculator!E23,tbSkills!DH3:DJ6,3,FALSE),0),0))&gt;=0,1+(Backdoors!AL2*(IF((Backdoors!AI12+IF(DJ59&gt;=0.45,VLOOKUP(Calculator!E23,tbSkills!DH3:DI6,2,FALSE)+IF(AND(Calculator!B8=TRUE,Backdoors!BI19=TRUE),VLOOKUP(Calculator!E23,tbSkills!DH3:DJ6,3,FALSE),0),0))&gt;=100,100,(Backdoors!AI12+IF(DJ59&gt;=0.45,VLOOKUP(Calculator!E23,tbSkills!DH3:DI6,2,FALSE)+IF(AND(Calculator!B8=TRUE,Backdoors!BI19=TRUE),VLOOKUP(Calculator!E23,tbSkills!DH3:DJ6,3,FALSE),0),0)))/100)),(1-(0.25*((-Backdoors!AI12-IF(DJ59&gt;=0.45,VLOOKUP(Calculator!E23,tbSkills!DH3:DI6,2,FALSE)+IF(AND(Calculator!B8=TRUE,Backdoors!BI19=TRUE),VLOOKUP(Calculator!E23,tbSkills!DH3:DJ6,3,FALSE),0),0))/100)))),1),"")</f>
        <v>1</v>
      </c>
      <c r="DM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J59)*DL59)*(VLOOKUP(A59,tbMoveset!A2:C112,3,FALSE)/100)*IF(VLOOKUP(A59,tbMoveset!A2:B112,2,FALSE)="Projectile",Backdoors!N10,Backdoors!N9),0),"")</f>
        <v/>
      </c>
      <c r="DN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J59&gt;=0.45,VLOOKUP(Calculator!E23,tbSkills!DH3:DI6,2,FALSE)+IF(AND(Calculator!B8=TRUE,Backdoors!BI19=TRUE),VLOOKUP(Calculator!E23,tbSkills!DH3:DJ6,3,FALSE),0),0))&gt;=100,100,(Backdoors!AI12+IF(DJ59&gt;=0.45,VLOOKUP(Calculator!E23,tbSkills!DH3:DI6,2,FALSE)+IF(AND(Calculator!B8=TRUE,Backdoors!BI19=TRUE),VLOOKUP(Calculator!E23,tbSkills!DH3:DJ6,3,FALSE),0),0)))/100)),1))*IF(VLOOKUP(A59,tbMoveset!A2:K112,11,FALSE)=TRUE,Backdoors!AC5,1))*DK59,0),"")</f>
        <v>0</v>
      </c>
      <c r="DO59" s="49">
        <f>VLOOKUP(A59,tbMoveset!A2:G112,7,FALSE)*IFERROR(IF(Backdoors!AI12&gt;=0,1+(IF(Calculator!E40&gt;0,VLOOKUP(Calculator!E40,tbSkills!AI3:AJ5,2,FALSE),Backdoors!AL4)*(IF((Backdoors!AI12+IF(DJ59&gt;=0.45,VLOOKUP(Calculator!E23,tbSkills!DH3:DI6,2,FALSE)+IF(AND(Calculator!B8=TRUE,Backdoors!BI19=TRUE),VLOOKUP(Calculator!E23,tbSkills!DH3:DJ6,3,FALSE),0),0))&gt;=100,100,(Backdoors!AI12+IF(DJ59&gt;=0.45,VLOOKUP(Calculator!E23,tbSkills!DH3:DI6,2,FALSE)+IF(AND(Calculator!B8=TRUE,Backdoors!BI19=TRUE),VLOOKUP(Calculator!E23,tbSkills!DH3:DJ6,3,FALSE),0),0)))/100)),1),1)</f>
        <v>0.5</v>
      </c>
      <c r="DP59" s="87">
        <f t="shared" si="41"/>
        <v>0</v>
      </c>
      <c r="DQ59" s="86" t="str">
        <f>IFERROR(IF(VLOOKUP(A59,tbMoveset!A2:B112,2,FALSE)="Sever",Backdoors!AY20/100,IF(VLOOKUP(A59,tbMoveset!A2:B112,2,FALSE)="Blunt",Backdoors!AZ20/100,Backdoors!BA20/100)),"")</f>
        <v/>
      </c>
      <c r="DR59" s="49">
        <f>IFERROR(IF(VLOOKUP(tbMoveset!A59,tbMoveset!A2:H112,8,FALSE)="Other",IF(VLOOKUP(tbMoveset!A59,tbMoveset!A2:I112,9,FALSE)="Fire",Backdoors!BB20,IF(VLOOKUP(tbMoveset!A59,tbMoveset!A2:I112,9,FALSE)="Water",Backdoors!BC20,IF(VLOOKUP(tbMoveset!A59,tbMoveset!A2:I112,9,FALSE)="Thunder",Backdoors!BD20,IF(VLOOKUP(tbMoveset!A59,tbMoveset!A2:I112,9,FALSE)="Ice",Backdoors!BE20,IF(VLOOKUP(tbMoveset!A59,tbMoveset!A2:I112,9,FALSE)="Dragon",Backdoors!BF20,Backdoors!BG20)))))/100,Backdoors!BG20/100),"")</f>
        <v>0</v>
      </c>
      <c r="DS59" s="49">
        <f>IFERROR(IF(VLOOKUP(A59,tbMoveset!A2:J112,10,FALSE)=TRUE,IF((Backdoors!AI12+IF(DQ59&gt;=0.45,VLOOKUP(Calculator!E23,tbSkills!DH3:DI6,2,FALSE)+IF(AND(Calculator!B8=TRUE,Backdoors!BI20=TRUE),VLOOKUP(Calculator!E23,tbSkills!DH3:DJ6,3,FALSE),0),0))&gt;=0,1+(Backdoors!AL2*(IF((Backdoors!AI12+IF(DQ59&gt;=0.45,VLOOKUP(Calculator!E23,tbSkills!DH3:DI6,2,FALSE)+IF(AND(Calculator!B8=TRUE,Backdoors!BI20=TRUE),VLOOKUP(Calculator!E23,tbSkills!DH3:DJ6,3,FALSE),0),0))&gt;=100,100,(Backdoors!AI12+IF(DQ59&gt;=0.45,VLOOKUP(Calculator!E23,tbSkills!DH3:DI6,2,FALSE)+IF(AND(Calculator!B8=TRUE,Backdoors!BI20=TRUE),VLOOKUP(Calculator!E23,tbSkills!DH3:DJ6,3,FALSE),0),0)))/100)),(1-(0.25*((-Backdoors!AI12-IF(DQ59&gt;=0.45,VLOOKUP(Calculator!E23,tbSkills!DH3:DI6,2,FALSE)+IF(AND(Calculator!B8=TRUE,Backdoors!BI20=TRUE),VLOOKUP(Calculator!E23,tbSkills!DH3:DJ6,3,FALSE),0),0))/100)))),1),"")</f>
        <v>1</v>
      </c>
      <c r="DT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Q59)*DS59)*(VLOOKUP(A59,tbMoveset!A2:C112,3,FALSE)/100)*IF(VLOOKUP(A59,tbMoveset!A2:B112,2,FALSE)="Projectile",Backdoors!N10,Backdoors!N9),0),"")</f>
        <v/>
      </c>
      <c r="DU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Q59&gt;=0.45,VLOOKUP(Calculator!E23,tbSkills!DH3:DI6,2,FALSE)+IF(AND(Calculator!B8=TRUE,Backdoors!BI20=TRUE),VLOOKUP(Calculator!E23,tbSkills!DH3:DJ6,3,FALSE),0),0))&gt;=100,100,(Backdoors!AI12+IF(DQ59&gt;=0.45,VLOOKUP(Calculator!E23,tbSkills!DH3:DI6,2,FALSE)+IF(AND(Calculator!B8=TRUE,Backdoors!BI20=TRUE),VLOOKUP(Calculator!E23,tbSkills!DH3:DJ6,3,FALSE),0),0)))/100)),1))*IF(VLOOKUP(A59,tbMoveset!A2:K112,11,FALSE)=TRUE,Backdoors!AC5,1))*DR59,0),"")</f>
        <v>0</v>
      </c>
      <c r="DV59" s="49">
        <f>VLOOKUP(A59,tbMoveset!A2:G112,7,FALSE)*IFERROR(IF(Backdoors!AI12&gt;=0,1+(IF(Calculator!E40&gt;0,VLOOKUP(Calculator!E40,tbSkills!AI3:AJ5,2,FALSE),Backdoors!AL4)*(IF((Backdoors!AI12+IF(DQ59&gt;=0.45,VLOOKUP(Calculator!E23,tbSkills!DH3:DI6,2,FALSE)+IF(AND(Calculator!B8=TRUE,Backdoors!BI20=TRUE),VLOOKUP(Calculator!E23,tbSkills!DH3:DJ6,3,FALSE),0),0))&gt;=100,100,(Backdoors!AI12+IF(DQ59&gt;=0.45,VLOOKUP(Calculator!E23,tbSkills!DH3:DI6,2,FALSE)+IF(AND(Calculator!B8=TRUE,Backdoors!BI20=TRUE),VLOOKUP(Calculator!E23,tbSkills!DH3:DJ6,3,FALSE),0),0)))/100)),1),1)</f>
        <v>0.5</v>
      </c>
      <c r="DW59" s="87">
        <f t="shared" si="10"/>
        <v>0</v>
      </c>
      <c r="DX59" s="86" t="str">
        <f>IFERROR(IF(VLOOKUP(A59,tbMoveset!A2:B112,2,FALSE)="Sever",Backdoors!AY21/100,IF(VLOOKUP(A59,tbMoveset!A2:B112,2,FALSE)="Blunt",Backdoors!AZ21/100,Backdoors!BA21/100)),"")</f>
        <v/>
      </c>
      <c r="DY59" s="49">
        <f>IFERROR(IF(VLOOKUP(tbMoveset!A59,tbMoveset!A2:H112,8,FALSE)="Other",IF(VLOOKUP(tbMoveset!A59,tbMoveset!A2:I112,9,FALSE)="Fire",Backdoors!BB21,IF(VLOOKUP(tbMoveset!A59,tbMoveset!A2:I112,9,FALSE)="Water",Backdoors!BC21,IF(VLOOKUP(tbMoveset!A59,tbMoveset!A2:I112,9,FALSE)="Thunder",Backdoors!BD21,IF(VLOOKUP(tbMoveset!A59,tbMoveset!A2:I112,9,FALSE)="Ice",Backdoors!BE21,IF(VLOOKUP(tbMoveset!A59,tbMoveset!A2:I112,9,FALSE)="Dragon",Backdoors!BF21,Backdoors!BG21)))))/100,Backdoors!BG21/100),"")</f>
        <v>0</v>
      </c>
      <c r="DZ59" s="49">
        <f>IFERROR(IF(VLOOKUP(A59,tbMoveset!A2:J112,10,FALSE)=TRUE,IF((Backdoors!AI12+IF(DX59&gt;=0.45,VLOOKUP(Calculator!E23,tbSkills!DH3:DI6,2,FALSE)+IF(AND(Calculator!B8=TRUE,Backdoors!BI21=TRUE),VLOOKUP(Calculator!E23,tbSkills!DH3:DJ6,3,FALSE),0),0))&gt;=0,1+(Backdoors!AL2*(IF((Backdoors!AI12+IF(DX59&gt;=0.45,VLOOKUP(Calculator!E23,tbSkills!DH3:DI6,2,FALSE)+IF(AND(Calculator!B8=TRUE,Backdoors!BI21=TRUE),VLOOKUP(Calculator!E23,tbSkills!DH3:DJ6,3,FALSE),0),0))&gt;=100,100,(Backdoors!AI12+IF(DX59&gt;=0.45,VLOOKUP(Calculator!E23,tbSkills!DH3:DI6,2,FALSE)+IF(AND(Calculator!B8=TRUE,Backdoors!BI21=TRUE),VLOOKUP(Calculator!E23,tbSkills!DH3:DJ6,3,FALSE),0),0)))/100)),(1-(0.25*((-Backdoors!AI12-IF(DX59&gt;=0.45,VLOOKUP(Calculator!E23,tbSkills!DH3:DI6,2,FALSE)+IF(AND(Calculator!B8=TRUE,Backdoors!BI21=TRUE),VLOOKUP(Calculator!E23,tbSkills!DH3:DJ6,3,FALSE),0),0))/100)))),1),"")</f>
        <v>1</v>
      </c>
      <c r="EA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X59)*DZ59)*(VLOOKUP(A59,tbMoveset!A2:C112,3,FALSE)/100)*IF(VLOOKUP(A59,tbMoveset!A2:B112,2,FALSE)="Projectile",Backdoors!N10,Backdoors!N9),0),"")</f>
        <v/>
      </c>
      <c r="EB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X59&gt;=0.45,VLOOKUP(Calculator!E23,tbSkills!DH3:DI6,2,FALSE)+IF(AND(Calculator!B8=TRUE,Backdoors!BI21=TRUE),VLOOKUP(Calculator!E23,tbSkills!DH3:DJ6,3,FALSE),0),0))&gt;=100,100,(Backdoors!AI12+IF(DX59&gt;=0.45,VLOOKUP(Calculator!E23,tbSkills!DH3:DI6,2,FALSE)+IF(AND(Calculator!B8=TRUE,Backdoors!BI21=TRUE),VLOOKUP(Calculator!E23,tbSkills!DH3:DJ6,3,FALSE),0),0)))/100)),1))*IF(VLOOKUP(A59,tbMoveset!A2:K112,11,FALSE)=TRUE,Backdoors!AC5,1))*DY59,0),"")</f>
        <v>0</v>
      </c>
      <c r="EC59" s="49">
        <f>VLOOKUP(A59,tbMoveset!A2:G112,7,FALSE)*IFERROR(IF(Backdoors!AI12&gt;=0,1+(IF(Calculator!E40&gt;0,VLOOKUP(Calculator!E40,tbSkills!AI3:AJ5,2,FALSE),Backdoors!AL4)*(IF((Backdoors!AI12+IF(DX59&gt;=0.45,VLOOKUP(Calculator!E23,tbSkills!DH3:DI6,2,FALSE)+IF(AND(Calculator!B8=TRUE,Backdoors!BI21=TRUE),VLOOKUP(Calculator!E23,tbSkills!DH3:DJ6,3,FALSE),0),0))&gt;=100,100,(Backdoors!AI12+IF(DX59&gt;=0.45,VLOOKUP(Calculator!E23,tbSkills!DH3:DI6,2,FALSE)+IF(AND(Calculator!B8=TRUE,Backdoors!BI21=TRUE),VLOOKUP(Calculator!E23,tbSkills!DH3:DJ6,3,FALSE),0),0)))/100)),1),1)</f>
        <v>0.5</v>
      </c>
      <c r="ED59" s="87">
        <f t="shared" si="11"/>
        <v>0</v>
      </c>
      <c r="EE59" s="86" t="str">
        <f>IFERROR(IF(VLOOKUP(A59,tbMoveset!A2:B112,2,FALSE)="Sever",Backdoors!AY22/100,IF(VLOOKUP(A59,tbMoveset!A2:B112,2,FALSE)="Blunt",Backdoors!AZ22/100,Backdoors!BA22/100)),"")</f>
        <v/>
      </c>
      <c r="EF59" s="49">
        <f>IFERROR(IF(VLOOKUP(tbMoveset!A59,tbMoveset!A2:H112,8,FALSE)="Other",IF(VLOOKUP(tbMoveset!A59,tbMoveset!A2:I112,9,FALSE)="Fire",Backdoors!BB22,IF(VLOOKUP(tbMoveset!A59,tbMoveset!A2:I112,9,FALSE)="Water",Backdoors!BC22,IF(VLOOKUP(tbMoveset!A59,tbMoveset!A2:I112,9,FALSE)="Thunder",Backdoors!BD22,IF(VLOOKUP(tbMoveset!A59,tbMoveset!A2:I112,9,FALSE)="Ice",Backdoors!BE22,IF(VLOOKUP(tbMoveset!A59,tbMoveset!A2:I112,9,FALSE)="Dragon",Backdoors!BF22,Backdoors!BG22)))))/100,Backdoors!BG22/100),"")</f>
        <v>0</v>
      </c>
      <c r="EG59" s="49">
        <f>IFERROR(IF(VLOOKUP(A59,tbMoveset!A2:J112,10,FALSE)=TRUE,IF((Backdoors!AI12+IF(EE59&gt;=0.45,VLOOKUP(Calculator!E23,tbSkills!DH3:DI6,2,FALSE)+IF(AND(Calculator!B8=TRUE,Backdoors!BI22=TRUE),VLOOKUP(Calculator!E23,tbSkills!DH3:DJ6,3,FALSE),0),0))&gt;=0,1+(Backdoors!AL2*(IF((Backdoors!AI12+IF(EE59&gt;=0.45,VLOOKUP(Calculator!E23,tbSkills!DH3:DI6,2,FALSE)+IF(AND(Calculator!B8=TRUE,Backdoors!BI22=TRUE),VLOOKUP(Calculator!E23,tbSkills!DH3:DJ6,3,FALSE),0),0))&gt;=100,100,(Backdoors!AI12+IF(EE59&gt;=0.45,VLOOKUP(Calculator!E23,tbSkills!DH3:DI6,2,FALSE)+IF(AND(Calculator!B8=TRUE,Backdoors!BI22=TRUE),VLOOKUP(Calculator!E23,tbSkills!DH3:DJ6,3,FALSE),0),0)))/100)),(1-(0.25*((-Backdoors!AI12-IF(EE59&gt;=0.45,VLOOKUP(Calculator!E23,tbSkills!DH3:DI6,2,FALSE)+IF(AND(Calculator!B8=TRUE,Backdoors!BI22=TRUE),VLOOKUP(Calculator!E23,tbSkills!DH3:DJ6,3,FALSE),0),0))/100)))),1),"")</f>
        <v>1</v>
      </c>
      <c r="EH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E59)*EG59)*(VLOOKUP(A59,tbMoveset!A2:C112,3,FALSE)/100)*IF(VLOOKUP(A59,tbMoveset!A2:B112,2,FALSE)="Projectile",Backdoors!N10,Backdoors!N9),0),"")</f>
        <v/>
      </c>
      <c r="EI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E59&gt;=0.45,VLOOKUP(Calculator!E23,tbSkills!DH3:DI6,2,FALSE)+IF(AND(Calculator!B8=TRUE,Backdoors!BI22=TRUE),VLOOKUP(Calculator!E23,tbSkills!DH3:DJ6,3,FALSE),0),0))&gt;=100,100,(Backdoors!AI12+IF(EE59&gt;=0.45,VLOOKUP(Calculator!E23,tbSkills!DH3:DI6,2,FALSE)+IF(AND(Calculator!B8=TRUE,Backdoors!BI22=TRUE),VLOOKUP(Calculator!E23,tbSkills!DH3:DJ6,3,FALSE),0),0)))/100)),1))*IF(VLOOKUP(A59,tbMoveset!A2:K112,11,FALSE)=TRUE,Backdoors!AC5,1))*EF59,0),"")</f>
        <v>0</v>
      </c>
      <c r="EJ59" s="49">
        <f>VLOOKUP(A59,tbMoveset!A2:G112,7,FALSE)*IFERROR(IF(Backdoors!AI12&gt;=0,1+(IF(Calculator!E40&gt;0,VLOOKUP(Calculator!E40,tbSkills!AI3:AJ5,2,FALSE),Backdoors!AL4)*(IF((Backdoors!AI12+IF(EE59&gt;=0.45,VLOOKUP(Calculator!E23,tbSkills!DH3:DI6,2,FALSE)+IF(AND(Calculator!B8=TRUE,Backdoors!BI22=TRUE),VLOOKUP(Calculator!E23,tbSkills!DH3:DJ6,3,FALSE),0),0))&gt;=100,100,(Backdoors!AI12+IF(EE59&gt;=0.45,VLOOKUP(Calculator!E23,tbSkills!DH3:DI6,2,FALSE)+IF(AND(Calculator!B8=TRUE,Backdoors!BI22=TRUE),VLOOKUP(Calculator!E23,tbSkills!DH3:DJ6,3,FALSE),0),0)))/100)),1),1)</f>
        <v>0.5</v>
      </c>
      <c r="EK59" s="87">
        <f t="shared" si="12"/>
        <v>0</v>
      </c>
      <c r="EL59" s="86" t="str">
        <f>IFERROR(IF(VLOOKUP(A59,tbMoveset!A2:B112,2,FALSE)="Sever",Backdoors!AY23/100,IF(VLOOKUP(A59,tbMoveset!A2:B112,2,FALSE)="Blunt",Backdoors!AZ23/100,Backdoors!BA23/100)),"")</f>
        <v/>
      </c>
      <c r="EM59" s="49">
        <f>IFERROR(IF(VLOOKUP(tbMoveset!A59,tbMoveset!A2:H112,8,FALSE)="Other",IF(VLOOKUP(tbMoveset!A59,tbMoveset!A2:I112,9,FALSE)="Fire",Backdoors!BB23,IF(VLOOKUP(tbMoveset!A59,tbMoveset!A2:I112,9,FALSE)="Water",Backdoors!BC23,IF(VLOOKUP(tbMoveset!A59,tbMoveset!A2:I112,9,FALSE)="Thunder",Backdoors!BD23,IF(VLOOKUP(tbMoveset!A59,tbMoveset!A2:I112,9,FALSE)="Ice",Backdoors!BE23,IF(VLOOKUP(tbMoveset!A59,tbMoveset!A2:I112,9,FALSE)="Dragon",Backdoors!BF23,Backdoors!BG23)))))/100,Backdoors!BG23/100),"")</f>
        <v>0</v>
      </c>
      <c r="EN59" s="49">
        <f>IFERROR(IF(VLOOKUP(A59,tbMoveset!A2:J112,10,FALSE)=TRUE,IF((Backdoors!AI12+IF(EL59&gt;=0.45,VLOOKUP(Calculator!E23,tbSkills!DH3:DI6,2,FALSE)+IF(AND(Calculator!B8=TRUE,Backdoors!BI23=TRUE),VLOOKUP(Calculator!E23,tbSkills!DH3:DJ6,3,FALSE),0),0))&gt;=0,1+(Backdoors!AL2*(IF((Backdoors!AI12+IF(EL59&gt;=0.45,VLOOKUP(Calculator!E23,tbSkills!DH3:DI6,2,FALSE)+IF(AND(Calculator!B8=TRUE,Backdoors!BI23=TRUE),VLOOKUP(Calculator!E23,tbSkills!DH3:DJ6,3,FALSE),0),0))&gt;=100,100,(Backdoors!AI12+IF(EL59&gt;=0.45,VLOOKUP(Calculator!E23,tbSkills!DH3:DI6,2,FALSE)+IF(AND(Calculator!B8=TRUE,Backdoors!BI23=TRUE),VLOOKUP(Calculator!E23,tbSkills!DH3:DJ6,3,FALSE),0),0)))/100)),(1-(0.25*((-Backdoors!AI12-IF(EL59&gt;=0.45,VLOOKUP(Calculator!E23,tbSkills!DH3:DI6,2,FALSE)+IF(AND(Calculator!B8=TRUE,Backdoors!BI23=TRUE),VLOOKUP(Calculator!E23,tbSkills!DH3:DJ6,3,FALSE),0),0))/100)))),1),"")</f>
        <v>1</v>
      </c>
      <c r="EO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L59)*EN59)*(VLOOKUP(A59,tbMoveset!A2:C112,3,FALSE)/100)*IF(VLOOKUP(A59,tbMoveset!A2:B112,2,FALSE)="Projectile",Backdoors!N10,Backdoors!N9),0),"")</f>
        <v/>
      </c>
      <c r="EP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L59&gt;=0.45,VLOOKUP(Calculator!E23,tbSkills!DH3:DI6,2,FALSE)+IF(AND(Calculator!B8=TRUE,Backdoors!BI23=TRUE),VLOOKUP(Calculator!E23,tbSkills!DH3:DJ6,3,FALSE),0),0))&gt;=100,100,(Backdoors!AI12+IF(EL59&gt;=0.45,VLOOKUP(Calculator!E23,tbSkills!DH3:DI6,2,FALSE)+IF(AND(Calculator!B8=TRUE,Backdoors!BI23=TRUE),VLOOKUP(Calculator!E23,tbSkills!DH3:DJ6,3,FALSE),0),0)))/100)),1))*IF(VLOOKUP(A59,tbMoveset!A2:K112,11,FALSE)=TRUE,Backdoors!AC5,1))*EM59,0),"")</f>
        <v>0</v>
      </c>
      <c r="EQ59" s="49">
        <f>VLOOKUP(A59,tbMoveset!A2:G112,7,FALSE)*IFERROR(IF(Backdoors!AI12&gt;=0,1+(IF(Calculator!E40&gt;0,VLOOKUP(Calculator!E40,tbSkills!AI3:AJ5,2,FALSE),Backdoors!AL4)*(IF((Backdoors!AI12+IF(EL59&gt;=0.45,VLOOKUP(Calculator!E23,tbSkills!DH3:DI6,2,FALSE)+IF(AND(Calculator!B8=TRUE,Backdoors!BI23=TRUE),VLOOKUP(Calculator!E23,tbSkills!DH3:DJ6,3,FALSE),0),0))&gt;=100,100,(Backdoors!AI12+IF(EL59&gt;=0.45,VLOOKUP(Calculator!E23,tbSkills!DH3:DI6,2,FALSE)+IF(AND(Calculator!B8=TRUE,Backdoors!BI23=TRUE),VLOOKUP(Calculator!E23,tbSkills!DH3:DJ6,3,FALSE),0),0)))/100)),1),1)</f>
        <v>0.5</v>
      </c>
      <c r="ER59" s="87">
        <f t="shared" si="13"/>
        <v>0</v>
      </c>
      <c r="ES59" s="86" t="str">
        <f>IFERROR(IF(VLOOKUP(A59,tbMoveset!A2:B112,2,FALSE)="Sever",Backdoors!AY24/100,IF(VLOOKUP(A59,tbMoveset!A2:B112,2,FALSE)="Blunt",Backdoors!AZ24/100,Backdoors!BA24/100)),"")</f>
        <v/>
      </c>
      <c r="ET59" s="49">
        <f>IFERROR(IF(VLOOKUP(tbMoveset!A59,tbMoveset!A2:H112,8,FALSE)="Other",IF(VLOOKUP(tbMoveset!A59,tbMoveset!A2:I112,9,FALSE)="Fire",Backdoors!BB24,IF(VLOOKUP(tbMoveset!A59,tbMoveset!A2:I112,9,FALSE)="Water",Backdoors!BC24,IF(VLOOKUP(tbMoveset!A59,tbMoveset!A2:I112,9,FALSE)="Thunder",Backdoors!BD24,IF(VLOOKUP(tbMoveset!A59,tbMoveset!A2:I112,9,FALSE)="Ice",Backdoors!BE24,IF(VLOOKUP(tbMoveset!A59,tbMoveset!A2:I112,9,FALSE)="Dragon",Backdoors!BF24,Backdoors!BG24)))))/100,Backdoors!BG24/100),"")</f>
        <v>0</v>
      </c>
      <c r="EU59" s="49">
        <f>IFERROR(IF(VLOOKUP(A59,tbMoveset!A2:J112,10,FALSE)=TRUE,IF((Backdoors!AI12+IF(ES59&gt;=0.45,VLOOKUP(Calculator!E23,tbSkills!DH3:DI6,2,FALSE)+IF(AND(Calculator!B8=TRUE,Backdoors!BI24=TRUE),VLOOKUP(Calculator!E23,tbSkills!DH3:DJ6,3,FALSE),0),0))&gt;=0,1+(Backdoors!AL2*(IF((Backdoors!AI12+IF(ES59&gt;=0.45,VLOOKUP(Calculator!E23,tbSkills!DH3:DI6,2,FALSE)+IF(AND(Calculator!B8=TRUE,Backdoors!BI24=TRUE),VLOOKUP(Calculator!E23,tbSkills!DH3:DJ6,3,FALSE),0),0))&gt;=100,100,(Backdoors!AI12+IF(ES59&gt;=0.45,VLOOKUP(Calculator!E23,tbSkills!DH3:DI6,2,FALSE)+IF(AND(Calculator!B8=TRUE,Backdoors!BI24=TRUE),VLOOKUP(Calculator!E23,tbSkills!DH3:DJ6,3,FALSE),0),0)))/100)),(1-(0.25*((-Backdoors!AI12-IF(ES59&gt;=0.45,VLOOKUP(Calculator!E23,tbSkills!DH3:DI6,2,FALSE)+IF(AND(Calculator!B8=TRUE,Backdoors!BI24=TRUE),VLOOKUP(Calculator!E23,tbSkills!DH3:DJ6,3,FALSE),0),0))/100)))),1),"")</f>
        <v>1</v>
      </c>
      <c r="EV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S59)*EU59)*(VLOOKUP(A59,tbMoveset!A2:C112,3,FALSE)/100)*IF(VLOOKUP(A59,tbMoveset!A2:B112,2,FALSE)="Projectile",Backdoors!N10,Backdoors!N9),0),"")</f>
        <v/>
      </c>
      <c r="EW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S59&gt;=0.45,VLOOKUP(Calculator!E23,tbSkills!DH3:DI6,2,FALSE)+IF(AND(Calculator!B8=TRUE,Backdoors!BI24=TRUE),VLOOKUP(Calculator!E23,tbSkills!DH3:DJ6,3,FALSE),0),0))&gt;=100,100,(Backdoors!AI12+IF(ES59&gt;=0.45,VLOOKUP(Calculator!E23,tbSkills!DH3:DI6,2,FALSE)+IF(AND(Calculator!B8=TRUE,Backdoors!BI24=TRUE),VLOOKUP(Calculator!E23,tbSkills!DH3:DJ6,3,FALSE),0),0)))/100)),1))*IF(VLOOKUP(A59,tbMoveset!A2:K112,11,FALSE)=TRUE,Backdoors!AC5,1))*ET59,0),"")</f>
        <v>0</v>
      </c>
      <c r="EX59" s="49">
        <f>VLOOKUP(A59,tbMoveset!A2:G112,7,FALSE)*IFERROR(IF(Backdoors!AI12&gt;=0,1+(IF(Calculator!E40&gt;0,VLOOKUP(Calculator!E40,tbSkills!AI3:AJ5,2,FALSE),Backdoors!AL4)*(IF((Backdoors!AI12+IF(ES59&gt;=0.45,VLOOKUP(Calculator!E23,tbSkills!DH3:DI6,2,FALSE)+IF(AND(Calculator!B8=TRUE,Backdoors!BI24=TRUE),VLOOKUP(Calculator!E23,tbSkills!DH3:DJ6,3,FALSE),0),0))&gt;=100,100,(Backdoors!AI12+IF(ES59&gt;=0.45,VLOOKUP(Calculator!E23,tbSkills!DH3:DI6,2,FALSE)+IF(AND(Calculator!B8=TRUE,Backdoors!BI24=TRUE),VLOOKUP(Calculator!E23,tbSkills!DH3:DJ6,3,FALSE),0),0)))/100)),1),1)</f>
        <v>0.5</v>
      </c>
      <c r="EY59" s="87">
        <f t="shared" si="14"/>
        <v>0</v>
      </c>
      <c r="EZ59" s="86" t="str">
        <f>IFERROR(IF(VLOOKUP(A59,tbMoveset!A2:B112,2,FALSE)="Sever",Backdoors!AY25/100,IF(VLOOKUP(A59,tbMoveset!A2:B112,2,FALSE)="Blunt",Backdoors!AZ25/100,Backdoors!BA25/100)),"")</f>
        <v/>
      </c>
      <c r="FA59" s="49">
        <f>IFERROR(IF(VLOOKUP(tbMoveset!A59,tbMoveset!A2:H112,8,FALSE)="Other",IF(VLOOKUP(tbMoveset!A59,tbMoveset!A2:I112,9,FALSE)="Fire",Backdoors!BB25,IF(VLOOKUP(tbMoveset!A59,tbMoveset!A2:I112,9,FALSE)="Water",Backdoors!BC25,IF(VLOOKUP(tbMoveset!A59,tbMoveset!A2:I112,9,FALSE)="Thunder",Backdoors!BD25,IF(VLOOKUP(tbMoveset!A59,tbMoveset!A2:I112,9,FALSE)="Ice",Backdoors!BE25,IF(VLOOKUP(tbMoveset!A59,tbMoveset!A2:I112,9,FALSE)="Dragon",Backdoors!BF25,Backdoors!BG25)))))/100,Backdoors!BG25/100),"")</f>
        <v>0</v>
      </c>
      <c r="FB59" s="49">
        <f>IFERROR(IF(VLOOKUP(A59,tbMoveset!A2:J112,10,FALSE)=TRUE,IF((Backdoors!AI12+IF(EZ59&gt;=0.45,VLOOKUP(Calculator!E23,tbSkills!DH3:DI6,2,FALSE)+IF(AND(Calculator!B8=TRUE,Backdoors!BI25=TRUE),VLOOKUP(Calculator!E23,tbSkills!DH3:DJ6,3,FALSE),0),0))&gt;=0,1+(Backdoors!AL2*(IF((Backdoors!AI12+IF(EZ59&gt;=0.45,VLOOKUP(Calculator!E23,tbSkills!DH3:DI6,2,FALSE)+IF(AND(Calculator!B8=TRUE,Backdoors!BI25=TRUE),VLOOKUP(Calculator!E23,tbSkills!DH3:DJ6,3,FALSE),0),0))&gt;=100,100,(Backdoors!AI12+IF(EZ59&gt;=0.45,VLOOKUP(Calculator!E23,tbSkills!DH3:DI6,2,FALSE)+IF(AND(Calculator!B8=TRUE,Backdoors!BI25=TRUE),VLOOKUP(Calculator!E23,tbSkills!DH3:DJ6,3,FALSE),0),0)))/100)),(1-(0.25*((-Backdoors!AI12-IF(EZ59&gt;=0.45,VLOOKUP(Calculator!E23,tbSkills!DH3:DI6,2,FALSE)+IF(AND(Calculator!B8=TRUE,Backdoors!BI25=TRUE),VLOOKUP(Calculator!E23,tbSkills!DH3:DJ6,3,FALSE),0),0))/100)))),1),"")</f>
        <v>1</v>
      </c>
      <c r="FC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Z59)*FB59)*(VLOOKUP(A59,tbMoveset!A2:C112,3,FALSE)/100)*IF(VLOOKUP(A59,tbMoveset!A2:B112,2,FALSE)="Projectile",Backdoors!N10,Backdoors!N9),0),"")</f>
        <v/>
      </c>
      <c r="FD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Z59&gt;=0.45,VLOOKUP(Calculator!E23,tbSkills!DH3:DI6,2,FALSE)+IF(AND(Calculator!B8=TRUE,Backdoors!BI25=TRUE),VLOOKUP(Calculator!E23,tbSkills!DH3:DJ6,3,FALSE),0),0))&gt;=100,100,(Backdoors!AI12+IF(EZ59&gt;=0.45,VLOOKUP(Calculator!E23,tbSkills!DH3:DI6,2,FALSE)+IF(AND(Calculator!B8=TRUE,Backdoors!BI25=TRUE),VLOOKUP(Calculator!E23,tbSkills!DH3:DJ6,3,FALSE),0),0)))/100)),1))*IF(VLOOKUP(A59,tbMoveset!A2:K112,11,FALSE)=TRUE,Backdoors!AC5,1))*FA59,0),"")</f>
        <v>0</v>
      </c>
      <c r="FE59" s="49">
        <f>VLOOKUP(A59,tbMoveset!A2:G112,7,FALSE)*IFERROR(IF(Backdoors!AI12&gt;=0,1+(IF(Calculator!E40&gt;0,VLOOKUP(Calculator!E40,tbSkills!AI3:AJ5,2,FALSE),Backdoors!AL4)*(IF((Backdoors!AI12+IF(EZ59&gt;=0.45,VLOOKUP(Calculator!E23,tbSkills!DH3:DI6,2,FALSE)+IF(AND(Calculator!B8=TRUE,Backdoors!BI25=TRUE),VLOOKUP(Calculator!E23,tbSkills!DH3:DJ6,3,FALSE),0),0))&gt;=100,100,(Backdoors!AI12+IF(EZ59&gt;=0.45,VLOOKUP(Calculator!E23,tbSkills!DH3:DI6,2,FALSE)+IF(AND(Calculator!B8=TRUE,Backdoors!BI25=TRUE),VLOOKUP(Calculator!E23,tbSkills!DH3:DJ6,3,FALSE),0),0)))/100)),1),1)</f>
        <v>0.5</v>
      </c>
      <c r="FF59" s="87">
        <f t="shared" si="15"/>
        <v>0</v>
      </c>
      <c r="FG59" s="86" t="str">
        <f>IFERROR(IF(VLOOKUP(A59,tbMoveset!A2:B112,2,FALSE)="Sever",Backdoors!AY26/100,IF(VLOOKUP(A59,tbMoveset!A2:B112,2,FALSE)="Blunt",Backdoors!AZ26/100,Backdoors!BA26/100)),"")</f>
        <v/>
      </c>
      <c r="FH59" s="49">
        <f>IFERROR(IF(VLOOKUP(tbMoveset!A59,tbMoveset!A2:H112,8,FALSE)="Other",IF(VLOOKUP(tbMoveset!A59,tbMoveset!A2:I112,9,FALSE)="Fire",Backdoors!BB26,IF(VLOOKUP(tbMoveset!A59,tbMoveset!A2:I112,9,FALSE)="Water",Backdoors!BC26,IF(VLOOKUP(tbMoveset!A59,tbMoveset!A2:I112,9,FALSE)="Thunder",Backdoors!BD26,IF(VLOOKUP(tbMoveset!A59,tbMoveset!A2:I112,9,FALSE)="Ice",Backdoors!BE26,IF(VLOOKUP(tbMoveset!A59,tbMoveset!A2:I112,9,FALSE)="Dragon",Backdoors!BF26,Backdoors!BG26)))))/100,Backdoors!BG26/100),"")</f>
        <v>0</v>
      </c>
      <c r="FI59" s="49">
        <f>IFERROR(IF(VLOOKUP(A59,tbMoveset!A2:J112,10,FALSE)=TRUE,IF((Backdoors!AI12+IF(FG59&gt;=0.45,VLOOKUP(Calculator!E23,tbSkills!DH3:DI6,2,FALSE)+IF(AND(Calculator!B8=TRUE,Backdoors!BI26=TRUE),VLOOKUP(Calculator!E23,tbSkills!DH3:DJ6,3,FALSE),0),0))&gt;=0,1+(Backdoors!AL2*(IF((Backdoors!AI12+IF(FG59&gt;=0.45,VLOOKUP(Calculator!E23,tbSkills!DH3:DI6,2,FALSE)+IF(AND(Calculator!B8=TRUE,Backdoors!BI26=TRUE),VLOOKUP(Calculator!E23,tbSkills!DH3:DJ6,3,FALSE),0),0))&gt;=100,100,(Backdoors!AI12+IF(FG59&gt;=0.45,VLOOKUP(Calculator!E23,tbSkills!DH3:DI6,2,FALSE)+IF(AND(Calculator!B8=TRUE,Backdoors!BI26=TRUE),VLOOKUP(Calculator!E23,tbSkills!DH3:DJ6,3,FALSE),0),0)))/100)),(1-(0.25*((-Backdoors!AI12-IF(FG59&gt;=0.45,VLOOKUP(Calculator!E23,tbSkills!DH3:DI6,2,FALSE)+IF(AND(Calculator!B8=TRUE,Backdoors!BI26=TRUE),VLOOKUP(Calculator!E23,tbSkills!DH3:DJ6,3,FALSE),0),0))/100)))),1),"")</f>
        <v>1</v>
      </c>
      <c r="FJ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FG59)*FI59)*(VLOOKUP(A59,tbMoveset!A2:C112,3,FALSE)/100)*IF(VLOOKUP(A59,tbMoveset!A2:B112,2,FALSE)="Projectile",Backdoors!N10,Backdoors!N9),0),"")</f>
        <v/>
      </c>
      <c r="FK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FG59&gt;=0.45,VLOOKUP(Calculator!E23,tbSkills!DH3:DI6,2,FALSE)+IF(AND(Calculator!B8=TRUE,Backdoors!BI26=TRUE),VLOOKUP(Calculator!E23,tbSkills!DH3:DJ6,3,FALSE),0),0))&gt;=100,100,(Backdoors!AI12+IF(FG59&gt;=0.45,VLOOKUP(Calculator!E23,tbSkills!DH3:DI6,2,FALSE)+IF(AND(Calculator!B8=TRUE,Backdoors!BI26=TRUE),VLOOKUP(Calculator!E23,tbSkills!DH3:DJ6,3,FALSE),0),0)))/100)),1))*IF(VLOOKUP(A59,tbMoveset!A2:K112,11,FALSE)=TRUE,Backdoors!AC5,1))*FH59,0),"")</f>
        <v>0</v>
      </c>
      <c r="FL59" s="49">
        <f>VLOOKUP(A59,tbMoveset!A2:G112,7,FALSE)*IFERROR(IF(Backdoors!AI12&gt;=0,1+(IF(Calculator!E40&gt;0,VLOOKUP(Calculator!E40,tbSkills!AI3:AJ5,2,FALSE),Backdoors!AL4)*(IF((Backdoors!AI12+IF(FG59&gt;=0.45,VLOOKUP(Calculator!E23,tbSkills!DH3:DI6,2,FALSE)+IF(AND(Calculator!B8=TRUE,Backdoors!BI26=TRUE),VLOOKUP(Calculator!E23,tbSkills!DH3:DJ6,3,FALSE),0),0))&gt;=100,100,(Backdoors!AI12+IF(FG59&gt;=0.45,VLOOKUP(Calculator!E23,tbSkills!DH3:DI6,2,FALSE)+IF(AND(Calculator!B8=TRUE,Backdoors!BI26=TRUE),VLOOKUP(Calculator!E23,tbSkills!DH3:DJ6,3,FALSE),0),0)))/100)),1),1)</f>
        <v>0.5</v>
      </c>
      <c r="FM59" s="87">
        <f t="shared" si="16"/>
        <v>0</v>
      </c>
      <c r="FN59" s="86" t="str">
        <f>IFERROR(IF(VLOOKUP(A59,tbMoveset!A2:B112,2,FALSE)="Sever",Backdoors!AY27/100,IF(VLOOKUP(A59,tbMoveset!A2:B112,2,FALSE)="Blunt",Backdoors!AZ27/100,Backdoors!BA27/100)),"")</f>
        <v/>
      </c>
      <c r="FO59" s="49">
        <f>IFERROR(IF(VLOOKUP(tbMoveset!A59,tbMoveset!A2:H112,8,FALSE)="Other",IF(VLOOKUP(tbMoveset!A59,tbMoveset!A2:I112,9,FALSE)="Fire",Backdoors!BB27,IF(VLOOKUP(tbMoveset!A59,tbMoveset!A2:I112,9,FALSE)="Water",Backdoors!BC27,IF(VLOOKUP(tbMoveset!A59,tbMoveset!A2:I112,9,FALSE)="Thunder",Backdoors!BD27,IF(VLOOKUP(tbMoveset!A59,tbMoveset!A2:I112,9,FALSE)="Ice",Backdoors!BE27,IF(VLOOKUP(tbMoveset!A59,tbMoveset!A2:I112,9,FALSE)="Dragon",Backdoors!BF27,Backdoors!BG27)))))/100,Backdoors!BG27/100),"")</f>
        <v>0</v>
      </c>
      <c r="FP59" s="49">
        <f>IFERROR(IF(VLOOKUP(A59,tbMoveset!A2:J112,10,FALSE)=TRUE,IF((Backdoors!AI12+IF(FN59&gt;=0.45,VLOOKUP(Calculator!E23,tbSkills!DH3:DI6,2,FALSE)+IF(AND(Calculator!B8=TRUE,Backdoors!BI27=TRUE),VLOOKUP(Calculator!E23,tbSkills!DH3:DJ6,3,FALSE),0),0))&gt;=0,1+(Backdoors!AL2*(IF((Backdoors!AI12+IF(FN59&gt;=0.45,VLOOKUP(Calculator!E23,tbSkills!DH3:DI6,2,FALSE)+IF(AND(Calculator!B8=TRUE,Backdoors!BI27=TRUE),VLOOKUP(Calculator!E23,tbSkills!DH3:DJ6,3,FALSE),0),0))&gt;=100,100,(Backdoors!AI12+IF(FN59&gt;=0.45,VLOOKUP(Calculator!E23,tbSkills!DH3:DI6,2,FALSE)+IF(AND(Calculator!B8=TRUE,Backdoors!BI27=TRUE),VLOOKUP(Calculator!E23,tbSkills!DH3:DJ6,3,FALSE),0),0)))/100)),(1-(0.25*((-Backdoors!AI12-IF(FN59&gt;=0.45,VLOOKUP(Calculator!E23,tbSkills!DH3:DI6,2,FALSE)+IF(AND(Calculator!B8=TRUE,Backdoors!BI27=TRUE),VLOOKUP(Calculator!E23,tbSkills!DH3:DJ6,3,FALSE),0),0))/100)))),1),"")</f>
        <v>1</v>
      </c>
      <c r="FQ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FN59)*FP59)*(VLOOKUP(A59,tbMoveset!A2:C112,3,FALSE)/100)*IF(VLOOKUP(A59,tbMoveset!A2:B112,2,FALSE)="Projectile",Backdoors!N10,Backdoors!N9),0),"")</f>
        <v/>
      </c>
      <c r="FR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FN59&gt;=0.45,VLOOKUP(Calculator!E23,tbSkills!DH3:DI6,2,FALSE)+IF(AND(Calculator!B8=TRUE,Backdoors!BI27=TRUE),VLOOKUP(Calculator!E23,tbSkills!DH3:DJ6,3,FALSE),0),0))&gt;=100,100,(Backdoors!AI12+IF(FN59&gt;=0.45,VLOOKUP(Calculator!E23,tbSkills!DH3:DI6,2,FALSE)+IF(AND(Calculator!B8=TRUE,Backdoors!BI27=TRUE),VLOOKUP(Calculator!E23,tbSkills!DH3:DJ6,3,FALSE),0),0)))/100)),1))*IF(VLOOKUP(A59,tbMoveset!A2:K112,11,FALSE)=TRUE,Backdoors!AC5,1))*FO59,0),"")</f>
        <v>0</v>
      </c>
      <c r="FS59" s="49">
        <f>VLOOKUP(A59,tbMoveset!A2:G112,7,FALSE)*IFERROR(IF(Backdoors!AI12&gt;=0,1+(IF(Calculator!E40&gt;0,VLOOKUP(Calculator!E40,tbSkills!AI3:AJ5,2,FALSE),Backdoors!AL4)*(IF((Backdoors!AI12+IF(FN59&gt;=0.45,VLOOKUP(Calculator!E23,tbSkills!DH3:DI6,2,FALSE)+IF(AND(Calculator!B8=TRUE,Backdoors!BI27=TRUE),VLOOKUP(Calculator!E23,tbSkills!DH3:DJ6,3,FALSE),0),0))&gt;=100,100,(Backdoors!AI12+IF(FN59&gt;=0.45,VLOOKUP(Calculator!E23,tbSkills!DH3:DI6,2,FALSE)+IF(AND(Calculator!B8=TRUE,Backdoors!BI27=TRUE),VLOOKUP(Calculator!E23,tbSkills!DH3:DJ6,3,FALSE),0),0)))/100)),1),1)</f>
        <v>0.5</v>
      </c>
      <c r="FT59" s="87">
        <f t="shared" si="17"/>
        <v>0</v>
      </c>
      <c r="FU59" s="86" t="str">
        <f>IFERROR(IF(VLOOKUP(A59,tbMoveset!A2:B112,2,FALSE)="Sever",Backdoors!AY28/100,IF(VLOOKUP(A59,tbMoveset!A2:B112,2,FALSE)="Blunt",Backdoors!AZ28/100,Backdoors!BA28/100)),"")</f>
        <v/>
      </c>
      <c r="FV59" s="49">
        <f>IFERROR(IF(VLOOKUP(tbMoveset!A59,tbMoveset!A2:H112,8,FALSE)="Other",IF(VLOOKUP(tbMoveset!A59,tbMoveset!A2:I112,9,FALSE)="Fire",Backdoors!BB28,IF(VLOOKUP(tbMoveset!A59,tbMoveset!A2:I112,9,FALSE)="Water",Backdoors!BC28,IF(VLOOKUP(tbMoveset!A59,tbMoveset!A2:I112,9,FALSE)="Thunder",Backdoors!BD28,IF(VLOOKUP(tbMoveset!A59,tbMoveset!A2:I112,9,FALSE)="Ice",Backdoors!BE28,IF(VLOOKUP(tbMoveset!A59,tbMoveset!A2:I112,9,FALSE)="Dragon",Backdoors!BF28,Backdoors!BG28)))))/100,Backdoors!BG28/100),"")</f>
        <v>0</v>
      </c>
      <c r="FW59" s="49">
        <f>IFERROR(IF(VLOOKUP(A59,tbMoveset!A2:J112,10,FALSE)=TRUE,IF((Backdoors!AI12+IF(FU59&gt;=0.45,VLOOKUP(Calculator!E23,tbSkills!DH3:DI6,2,FALSE)+IF(AND(Calculator!B8=TRUE,Backdoors!BI28=TRUE),VLOOKUP(Calculator!E23,tbSkills!DH3:DJ6,3,FALSE),0),0))&gt;=0,1+(Backdoors!AL2*(IF((Backdoors!AI12+IF(FU59&gt;=0.45,VLOOKUP(Calculator!E23,tbSkills!DH3:DI6,2,FALSE)+IF(AND(Calculator!B8=TRUE,Backdoors!BI28=TRUE),VLOOKUP(Calculator!E23,tbSkills!DH3:DJ6,3,FALSE),0),0))&gt;=100,100,(Backdoors!AI12+IF(FU59&gt;=0.45,VLOOKUP(Calculator!E23,tbSkills!DH3:DI6,2,FALSE)+IF(AND(Calculator!B8=TRUE,Backdoors!BI28=TRUE),VLOOKUP(Calculator!E23,tbSkills!DH3:DJ6,3,FALSE),0),0)))/100)),(1-(0.25*((-Backdoors!AI12-IF(FU59&gt;=0.45,VLOOKUP(Calculator!E23,tbSkills!DH3:DI6,2,FALSE)+IF(AND(Calculator!B8=TRUE,Backdoors!BI28=TRUE),VLOOKUP(Calculator!E23,tbSkills!DH3:DJ6,3,FALSE),0),0))/100)))),1),"")</f>
        <v>1</v>
      </c>
      <c r="FX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FU59)*FW59)*(VLOOKUP(A59,tbMoveset!A2:C112,3,FALSE)/100)*IF(VLOOKUP(A59,tbMoveset!A2:B112,2,FALSE)="Projectile",Backdoors!N10,Backdoors!N9),0),"")</f>
        <v/>
      </c>
      <c r="FY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FU59&gt;=0.45,VLOOKUP(Calculator!E23,tbSkills!DH3:DI6,2,FALSE)+IF(AND(Calculator!B8=TRUE,Backdoors!BI28=TRUE),VLOOKUP(Calculator!E23,tbSkills!DH3:DJ6,3,FALSE),0),0))&gt;=100,100,(Backdoors!AI12+IF(FU59&gt;=0.45,VLOOKUP(Calculator!E23,tbSkills!DH3:DI6,2,FALSE)+IF(AND(Calculator!B8=TRUE,Backdoors!BI28=TRUE),VLOOKUP(Calculator!E23,tbSkills!DH3:DJ6,3,FALSE),0),0)))/100)),1))*IF(VLOOKUP(A59,tbMoveset!A2:K112,11,FALSE)=TRUE,Backdoors!AC5,1))*FV59,0),"")</f>
        <v>0</v>
      </c>
      <c r="FZ59" s="49">
        <f>VLOOKUP(A59,tbMoveset!A2:G112,7,FALSE)*IFERROR(IF(Backdoors!AI12&gt;=0,1+(IF(Calculator!E40&gt;0,VLOOKUP(Calculator!E40,tbSkills!AI3:AJ5,2,FALSE),Backdoors!AL4)*(IF((Backdoors!AI12+IF(FU59&gt;=0.45,VLOOKUP(Calculator!E23,tbSkills!DH3:DI6,2,FALSE)+IF(AND(Calculator!B8=TRUE,Backdoors!BI28=TRUE),VLOOKUP(Calculator!E23,tbSkills!DH3:DJ6,3,FALSE),0),0))&gt;=100,100,(Backdoors!AI12+IF(FU59&gt;=0.45,VLOOKUP(Calculator!E23,tbSkills!DH3:DI6,2,FALSE)+IF(AND(Calculator!B8=TRUE,Backdoors!BI28=TRUE),VLOOKUP(Calculator!E23,tbSkills!DH3:DJ6,3,FALSE),0),0)))/100)),1),1)</f>
        <v>0.5</v>
      </c>
      <c r="GA59" s="87">
        <f t="shared" si="18"/>
        <v>0</v>
      </c>
      <c r="GB59" s="86" t="str">
        <f>IFERROR(IF(VLOOKUP(A59,tbMoveset!A2:B112,2,FALSE)="Sever",Backdoors!AY29/100,IF(VLOOKUP(A59,tbMoveset!A2:B112,2,FALSE)="Blunt",Backdoors!AZ29/100,Backdoors!BA29/100)),"")</f>
        <v/>
      </c>
      <c r="GC59" s="49">
        <f>IFERROR(IF(VLOOKUP(tbMoveset!A59,tbMoveset!A2:H112,8,FALSE)="Other",IF(VLOOKUP(tbMoveset!A59,tbMoveset!A2:I112,9,FALSE)="Fire",Backdoors!BB29,IF(VLOOKUP(tbMoveset!A59,tbMoveset!A2:I112,9,FALSE)="Water",Backdoors!BC29,IF(VLOOKUP(tbMoveset!A59,tbMoveset!A2:I112,9,FALSE)="Thunder",Backdoors!BD29,IF(VLOOKUP(tbMoveset!A59,tbMoveset!A2:I112,9,FALSE)="Ice",Backdoors!BE29,IF(VLOOKUP(tbMoveset!A59,tbMoveset!A2:I112,9,FALSE)="Dragon",Backdoors!BF29,Backdoors!BG29)))))/100,Backdoors!BG29/100),"")</f>
        <v>0</v>
      </c>
      <c r="GD59" s="49">
        <f>IFERROR(IF(VLOOKUP(A59,tbMoveset!A2:J112,10,FALSE)=TRUE,IF((Backdoors!AI12+IF(GB59&gt;=0.45,VLOOKUP(Calculator!E23,tbSkills!DH3:DI6,2,FALSE)+IF(AND(Calculator!B8=TRUE,Backdoors!BI29=TRUE),VLOOKUP(Calculator!E23,tbSkills!DH3:DJ6,3,FALSE),0),0))&gt;=0,1+(Backdoors!AL2*(IF((Backdoors!AI12+IF(GB59&gt;=0.45,VLOOKUP(Calculator!E23,tbSkills!DH3:DI6,2,FALSE)+IF(AND(Calculator!B8=TRUE,Backdoors!BI29=TRUE),VLOOKUP(Calculator!E23,tbSkills!DH3:DJ6,3,FALSE),0),0))&gt;=100,100,(Backdoors!AI12+IF(GB59&gt;=0.45,VLOOKUP(Calculator!E23,tbSkills!DH3:DI6,2,FALSE)+IF(AND(Calculator!B8=TRUE,Backdoors!BI29=TRUE),VLOOKUP(Calculator!E23,tbSkills!DH3:DJ6,3,FALSE),0),0)))/100)),(1-(0.25*((-Backdoors!AI12-IF(GB59&gt;=0.45,VLOOKUP(Calculator!E23,tbSkills!DH3:DI6,2,FALSE)+IF(AND(Calculator!B8=TRUE,Backdoors!BI29=TRUE),VLOOKUP(Calculator!E23,tbSkills!DH3:DJ6,3,FALSE),0),0))/100)))),1),"")</f>
        <v>1</v>
      </c>
      <c r="GE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B59)*GD59)*(VLOOKUP(A59,tbMoveset!A2:C112,3,FALSE)/100)*IF(VLOOKUP(A59,tbMoveset!A2:B112,2,FALSE)="Projectile",Backdoors!N10,Backdoors!N9),0),"")</f>
        <v/>
      </c>
      <c r="GF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B59&gt;=0.45,VLOOKUP(Calculator!E23,tbSkills!DH3:DI6,2,FALSE)+IF(AND(Calculator!B8=TRUE,Backdoors!BI29=TRUE),VLOOKUP(Calculator!E23,tbSkills!DH3:DJ6,3,FALSE),0),0))&gt;=100,100,(Backdoors!AI12+IF(GB59&gt;=0.45,VLOOKUP(Calculator!E23,tbSkills!DH3:DI6,2,FALSE)+IF(AND(Calculator!B8=TRUE,Backdoors!BI29=TRUE),VLOOKUP(Calculator!E23,tbSkills!DH3:DJ6,3,FALSE),0),0)))/100)),1))*IF(VLOOKUP(A59,tbMoveset!A2:K112,11,FALSE)=TRUE,Backdoors!AC5,1))*GC59,0),"")</f>
        <v>0</v>
      </c>
      <c r="GG59" s="49">
        <f>VLOOKUP(A59,tbMoveset!A2:G112,7,FALSE)*IFERROR(IF(Backdoors!AI12&gt;=0,1+(IF(Calculator!E40&gt;0,VLOOKUP(Calculator!E40,tbSkills!AI3:AJ5,2,FALSE),Backdoors!AL4)*(IF((Backdoors!AI12+IF(GB59&gt;=0.45,VLOOKUP(Calculator!E23,tbSkills!DH3:DI6,2,FALSE)+IF(AND(Calculator!B8=TRUE,Backdoors!BI29=TRUE),VLOOKUP(Calculator!E23,tbSkills!DH3:DJ6,3,FALSE),0),0))&gt;=100,100,(Backdoors!AI12+IF(GB59&gt;=0.45,VLOOKUP(Calculator!E23,tbSkills!DH3:DI6,2,FALSE)+IF(AND(Calculator!B8=TRUE,Backdoors!BI29=TRUE),VLOOKUP(Calculator!E23,tbSkills!DH3:DJ6,3,FALSE),0),0)))/100)),1),1)</f>
        <v>0.5</v>
      </c>
      <c r="GH59" s="87">
        <f t="shared" si="19"/>
        <v>0</v>
      </c>
      <c r="GI59" s="86" t="str">
        <f>IFERROR(IF(VLOOKUP(A59,tbMoveset!A2:B112,2,FALSE)="Sever",Backdoors!AY30/100,IF(VLOOKUP(A59,tbMoveset!A2:B112,2,FALSE)="Blunt",Backdoors!AZ30/100,Backdoors!BA30/100)),"")</f>
        <v/>
      </c>
      <c r="GJ59" s="49">
        <f>IFERROR(IF(VLOOKUP(tbMoveset!A59,tbMoveset!A2:H112,8,FALSE)="Other",IF(VLOOKUP(tbMoveset!A59,tbMoveset!A2:I112,9,FALSE)="Fire",Backdoors!BB30,IF(VLOOKUP(tbMoveset!A59,tbMoveset!A2:I112,9,FALSE)="Water",Backdoors!BC30,IF(VLOOKUP(tbMoveset!A59,tbMoveset!A2:I112,9,FALSE)="Thunder",Backdoors!BD30,IF(VLOOKUP(tbMoveset!A59,tbMoveset!A2:I112,9,FALSE)="Ice",Backdoors!BE30,IF(VLOOKUP(tbMoveset!A59,tbMoveset!A2:I112,9,FALSE)="Dragon",Backdoors!BF30,Backdoors!BG30)))))/100,Backdoors!BG30/100),"")</f>
        <v>0</v>
      </c>
      <c r="GK59" s="49">
        <f>IFERROR(IF(VLOOKUP(A59,tbMoveset!A2:J112,10,FALSE)=TRUE,IF((Backdoors!AI12+IF(GI59&gt;=0.45,VLOOKUP(Calculator!E23,tbSkills!DH3:DI6,2,FALSE)+IF(AND(Calculator!B8=TRUE,Backdoors!BI30=TRUE),VLOOKUP(Calculator!E23,tbSkills!DH3:DJ6,3,FALSE),0),0))&gt;=0,1+(Backdoors!AL2*(IF((Backdoors!AI12+IF(GI59&gt;=0.45,VLOOKUP(Calculator!E23,tbSkills!DH3:DI6,2,FALSE)+IF(AND(Calculator!B8=TRUE,Backdoors!BI30=TRUE),VLOOKUP(Calculator!E23,tbSkills!DH3:DJ6,3,FALSE),0),0))&gt;=100,100,(Backdoors!AI12+IF(GI59&gt;=0.45,VLOOKUP(Calculator!E23,tbSkills!DH3:DI6,2,FALSE)+IF(AND(Calculator!B8=TRUE,Backdoors!BI30=TRUE),VLOOKUP(Calculator!E23,tbSkills!DH3:DJ6,3,FALSE),0),0)))/100)),(1-(0.25*((-Backdoors!AI12-IF(GI59&gt;=0.45,VLOOKUP(Calculator!E23,tbSkills!DH3:DI6,2,FALSE)+IF(AND(Calculator!B8=TRUE,Backdoors!BI30=TRUE),VLOOKUP(Calculator!E23,tbSkills!DH3:DJ6,3,FALSE),0),0))/100)))),1),"")</f>
        <v>1</v>
      </c>
      <c r="GL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I59)*GK59)*(VLOOKUP(A59,tbMoveset!A2:C112,3,FALSE)/100)*IF(VLOOKUP(A59,tbMoveset!A2:B112,2,FALSE)="Projectile",Backdoors!N10,Backdoors!N9),0),"")</f>
        <v/>
      </c>
      <c r="GM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I59&gt;=0.45,VLOOKUP(Calculator!E23,tbSkills!DH3:DI6,2,FALSE)+IF(AND(Calculator!B8=TRUE,Backdoors!BI30=TRUE),VLOOKUP(Calculator!E23,tbSkills!DH3:DJ6,3,FALSE),0),0))&gt;=100,100,(Backdoors!AI12+IF(GI59&gt;=0.45,VLOOKUP(Calculator!E23,tbSkills!DH3:DI6,2,FALSE)+IF(AND(Calculator!B8=TRUE,Backdoors!BI30=TRUE),VLOOKUP(Calculator!E23,tbSkills!DH3:DJ6,3,FALSE),0),0)))/100)),1))*IF(VLOOKUP(A59,tbMoveset!A2:K112,11,FALSE)=TRUE,Backdoors!AC5,1))*GJ59,0),"")</f>
        <v>0</v>
      </c>
      <c r="GN59" s="49">
        <f>VLOOKUP(A59,tbMoveset!A2:G112,7,FALSE)*IFERROR(IF(Backdoors!AI12&gt;=0,1+(IF(Calculator!E40&gt;0,VLOOKUP(Calculator!E40,tbSkills!AI3:AJ5,2,FALSE),Backdoors!AL4)*(IF((Backdoors!AI12+IF(GI59&gt;=0.45,VLOOKUP(Calculator!E23,tbSkills!DH3:DI6,2,FALSE)+IF(AND(Calculator!B8=TRUE,Backdoors!BI30=TRUE),VLOOKUP(Calculator!E23,tbSkills!DH3:DJ6,3,FALSE),0),0))&gt;=100,100,(Backdoors!AI12+IF(GI59&gt;=0.45,VLOOKUP(Calculator!E23,tbSkills!DH3:DI6,2,FALSE)+IF(AND(Calculator!B8=TRUE,Backdoors!BI30=TRUE),VLOOKUP(Calculator!E23,tbSkills!DH3:DJ6,3,FALSE),0),0)))/100)),1),1)</f>
        <v>0.5</v>
      </c>
      <c r="GO59" s="87">
        <f t="shared" si="20"/>
        <v>0</v>
      </c>
      <c r="GP59" s="86" t="str">
        <f>IFERROR(IF(VLOOKUP(A59,tbMoveset!A2:B112,2,FALSE)="Sever",Backdoors!AY31/100,IF(VLOOKUP(A59,tbMoveset!A2:B112,2,FALSE)="Blunt",Backdoors!AZ31/100,Backdoors!BA31/100)),"")</f>
        <v/>
      </c>
      <c r="GQ59" s="49">
        <f>IFERROR(IF(VLOOKUP(tbMoveset!A59,tbMoveset!A2:H112,8,FALSE)="Other",IF(VLOOKUP(tbMoveset!A59,tbMoveset!A2:I112,9,FALSE)="Fire",Backdoors!BB31,IF(VLOOKUP(tbMoveset!A59,tbMoveset!A2:I112,9,FALSE)="Water",Backdoors!BC31,IF(VLOOKUP(tbMoveset!A59,tbMoveset!A2:I112,9,FALSE)="Thunder",Backdoors!BD31,IF(VLOOKUP(tbMoveset!A59,tbMoveset!A2:I112,9,FALSE)="Ice",Backdoors!BE31,IF(VLOOKUP(tbMoveset!A59,tbMoveset!A2:I112,9,FALSE)="Dragon",Backdoors!BF31,Backdoors!BG31)))))/100,Backdoors!BG31/100),"")</f>
        <v>0</v>
      </c>
      <c r="GR59" s="49">
        <f>IFERROR(IF(VLOOKUP(A59,tbMoveset!A2:J112,10,FALSE)=TRUE,IF((Backdoors!AI12+IF(GP59&gt;=0.45,VLOOKUP(Calculator!E23,tbSkills!DH3:DI6,2,FALSE)+IF(AND(Calculator!B8=TRUE,Backdoors!BI31=TRUE),VLOOKUP(Calculator!E23,tbSkills!DH3:DJ6,3,FALSE),0),0))&gt;=0,1+(Backdoors!AL2*(IF((Backdoors!AI12+IF(GP59&gt;=0.45,VLOOKUP(Calculator!E23,tbSkills!DH3:DI6,2,FALSE)+IF(AND(Calculator!B8=TRUE,Backdoors!BI31=TRUE),VLOOKUP(Calculator!E23,tbSkills!DH3:DJ6,3,FALSE),0),0))&gt;=100,100,(Backdoors!AI12+IF(GP59&gt;=0.45,VLOOKUP(Calculator!E23,tbSkills!DH3:DI6,2,FALSE)+IF(AND(Calculator!B8=TRUE,Backdoors!BI31=TRUE),VLOOKUP(Calculator!E23,tbSkills!DH3:DJ6,3,FALSE),0),0)))/100)),(1-(0.25*((-Backdoors!AI12-IF(GP59&gt;=0.45,VLOOKUP(Calculator!E23,tbSkills!DH3:DI6,2,FALSE)+IF(AND(Calculator!B8=TRUE,Backdoors!BI31=TRUE),VLOOKUP(Calculator!E23,tbSkills!DH3:DJ6,3,FALSE),0),0))/100)))),1),"")</f>
        <v>1</v>
      </c>
      <c r="GS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P59)*GR59)*(VLOOKUP(A59,tbMoveset!A2:C112,3,FALSE)/100)*IF(VLOOKUP(A59,tbMoveset!A2:B112,2,FALSE)="Projectile",Backdoors!N10,Backdoors!N9),0),"")</f>
        <v/>
      </c>
      <c r="GT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P59&gt;=0.45,VLOOKUP(Calculator!E23,tbSkills!DH3:DI6,2,FALSE)+IF(AND(Calculator!B8=TRUE,Backdoors!BI31=TRUE),VLOOKUP(Calculator!E23,tbSkills!DH3:DJ6,3,FALSE),0),0))&gt;=100,100,(Backdoors!AI12+IF(GP59&gt;=0.45,VLOOKUP(Calculator!E23,tbSkills!DH3:DI6,2,FALSE)+IF(AND(Calculator!B8=TRUE,Backdoors!BI31=TRUE),VLOOKUP(Calculator!E23,tbSkills!DH3:DJ6,3,FALSE),0),0)))/100)),1))*IF(VLOOKUP(A59,tbMoveset!A2:K112,11,FALSE)=TRUE,Backdoors!AC5,1))*GQ59,0),"")</f>
        <v>0</v>
      </c>
      <c r="GU59" s="49">
        <f>VLOOKUP(A59,tbMoveset!A2:G112,7,FALSE)*IFERROR(IF(Backdoors!AI12&gt;=0,1+(IF(Calculator!E40&gt;0,VLOOKUP(Calculator!E40,tbSkills!AI3:AJ5,2,FALSE),Backdoors!AL4)*(IF((Backdoors!AI12+IF(GP59&gt;=0.45,VLOOKUP(Calculator!E23,tbSkills!DH3:DI6,2,FALSE)+IF(AND(Calculator!B8=TRUE,Backdoors!BI31=TRUE),VLOOKUP(Calculator!E23,tbSkills!DH3:DJ6,3,FALSE),0),0))&gt;=100,100,(Backdoors!AI12+IF(GP59&gt;=0.45,VLOOKUP(Calculator!E23,tbSkills!DH3:DI6,2,FALSE)+IF(AND(Calculator!B8=TRUE,Backdoors!BI31=TRUE),VLOOKUP(Calculator!E23,tbSkills!DH3:DJ6,3,FALSE),0),0)))/100)),1),1)</f>
        <v>0.5</v>
      </c>
      <c r="GV59" s="87">
        <f t="shared" si="21"/>
        <v>0</v>
      </c>
      <c r="GW59" s="86" t="str">
        <f>IFERROR(IF(VLOOKUP(A59,tbMoveset!A2:B112,2,FALSE)="Sever",Backdoors!AY32/100,IF(VLOOKUP(A59,tbMoveset!A2:B112,2,FALSE)="Blunt",Backdoors!AZ32/100,Backdoors!BA32/100)),"")</f>
        <v/>
      </c>
      <c r="GX59" s="49">
        <f>IFERROR(IF(VLOOKUP(tbMoveset!A59,tbMoveset!A2:H112,8,FALSE)="Other",IF(VLOOKUP(tbMoveset!A59,tbMoveset!A2:I112,9,FALSE)="Fire",Backdoors!BB32,IF(VLOOKUP(tbMoveset!A59,tbMoveset!A2:I112,9,FALSE)="Water",Backdoors!BC32,IF(VLOOKUP(tbMoveset!A59,tbMoveset!A2:I112,9,FALSE)="Thunder",Backdoors!BD32,IF(VLOOKUP(tbMoveset!A59,tbMoveset!A2:I112,9,FALSE)="Ice",Backdoors!BE32,IF(VLOOKUP(tbMoveset!A59,tbMoveset!A2:I112,9,FALSE)="Dragon",Backdoors!BF32,Backdoors!BG32)))))/100,Backdoors!BG32/100),"")</f>
        <v>0</v>
      </c>
      <c r="GY59" s="49">
        <f>IFERROR(IF(VLOOKUP(A59,tbMoveset!A2:J112,10,FALSE)=TRUE,IF((Backdoors!AI12+IF(GW59&gt;=0.45,VLOOKUP(Calculator!E23,tbSkills!DH3:DI6,2,FALSE)+IF(AND(Calculator!B8=TRUE,Backdoors!BI32=TRUE),VLOOKUP(Calculator!E23,tbSkills!DH3:DJ6,3,FALSE),0),0))&gt;=0,1+(Backdoors!AL2*(IF((Backdoors!AI12+IF(GW59&gt;=0.45,VLOOKUP(Calculator!E23,tbSkills!DH3:DI6,2,FALSE)+IF(AND(Calculator!B8=TRUE,Backdoors!BI32=TRUE),VLOOKUP(Calculator!E23,tbSkills!DH3:DJ6,3,FALSE),0),0))&gt;=100,100,(Backdoors!AI12+IF(GW59&gt;=0.45,VLOOKUP(Calculator!E23,tbSkills!DH3:DI6,2,FALSE)+IF(AND(Calculator!B8=TRUE,Backdoors!BI32=TRUE),VLOOKUP(Calculator!E23,tbSkills!DH3:DJ6,3,FALSE),0),0)))/100)),(1-(0.25*((-Backdoors!AI12-IF(GW59&gt;=0.45,VLOOKUP(Calculator!E23,tbSkills!DH3:DI6,2,FALSE)+IF(AND(Calculator!B8=TRUE,Backdoors!BI32=TRUE),VLOOKUP(Calculator!E23,tbSkills!DH3:DJ6,3,FALSE),0),0))/100)))),1),"")</f>
        <v>1</v>
      </c>
      <c r="GZ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W59)*GY59)*(VLOOKUP(A59,tbMoveset!A2:C112,3,FALSE)/100)*IF(VLOOKUP(A59,tbMoveset!A2:B112,2,FALSE)="Projectile",Backdoors!N10,Backdoors!N9),0),"")</f>
        <v/>
      </c>
      <c r="HA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W59&gt;=0.45,VLOOKUP(Calculator!E23,tbSkills!DH3:DI6,2,FALSE)+IF(AND(Calculator!B8=TRUE,Backdoors!BI32=TRUE),VLOOKUP(Calculator!E23,tbSkills!DH3:DJ6,3,FALSE),0),0))&gt;=100,100,(Backdoors!AI12+IF(GW59&gt;=0.45,VLOOKUP(Calculator!E23,tbSkills!DH3:DI6,2,FALSE)+IF(AND(Calculator!B8=TRUE,Backdoors!BI32=TRUE),VLOOKUP(Calculator!E23,tbSkills!DH3:DJ6,3,FALSE),0),0)))/100)),1))*IF(VLOOKUP(A59,tbMoveset!A2:K112,11,FALSE)=TRUE,Backdoors!AC5,1))*GX59,0),"")</f>
        <v>0</v>
      </c>
      <c r="HB59" s="49">
        <f>VLOOKUP(A59,tbMoveset!A2:G112,7,FALSE)*IFERROR(IF(Backdoors!AI12&gt;=0,1+(IF(Calculator!E40&gt;0,VLOOKUP(Calculator!E40,tbSkills!AI3:AJ5,2,FALSE),Backdoors!AL4)*(IF((Backdoors!AI12+IF(GW59&gt;=0.45,VLOOKUP(Calculator!E23,tbSkills!DH3:DI6,2,FALSE)+IF(AND(Calculator!B8=TRUE,Backdoors!BI32=TRUE),VLOOKUP(Calculator!E23,tbSkills!DH3:DJ6,3,FALSE),0),0))&gt;=100,100,(Backdoors!AI12+IF(GW59&gt;=0.45,VLOOKUP(Calculator!E23,tbSkills!DH3:DI6,2,FALSE)+IF(AND(Calculator!B8=TRUE,Backdoors!BI32=TRUE),VLOOKUP(Calculator!E23,tbSkills!DH3:DJ6,3,FALSE),0),0)))/100)),1),1)</f>
        <v>0.5</v>
      </c>
      <c r="HC59" s="87">
        <f t="shared" si="22"/>
        <v>0</v>
      </c>
      <c r="HD59" s="86" t="str">
        <f>IFERROR(IF(VLOOKUP(A59,tbMoveset!A2:B112,2,FALSE)="Sever",Backdoors!AY33/100,IF(VLOOKUP(A59,tbMoveset!A2:B112,2,FALSE)="Blunt",Backdoors!AZ33/100,Backdoors!BA33/100)),"")</f>
        <v/>
      </c>
      <c r="HE59" s="49">
        <f>IFERROR(IF(VLOOKUP(tbMoveset!A59,tbMoveset!A2:H112,8,FALSE)="Other",IF(VLOOKUP(tbMoveset!A59,tbMoveset!A2:I112,9,FALSE)="Fire",Backdoors!BB33,IF(VLOOKUP(tbMoveset!A59,tbMoveset!A2:I112,9,FALSE)="Water",Backdoors!BC33,IF(VLOOKUP(tbMoveset!A59,tbMoveset!A2:I112,9,FALSE)="Thunder",Backdoors!BD33,IF(VLOOKUP(tbMoveset!A59,tbMoveset!A2:I112,9,FALSE)="Ice",Backdoors!BE33,IF(VLOOKUP(tbMoveset!A59,tbMoveset!A2:I112,9,FALSE)="Dragon",Backdoors!BF33,Backdoors!BG33)))))/100,Backdoors!BG33/100),"")</f>
        <v>0</v>
      </c>
      <c r="HF59" s="49">
        <f>IFERROR(IF(VLOOKUP(A59,tbMoveset!A2:J112,10,FALSE)=TRUE,IF((Backdoors!AI12+IF(HD59&gt;=0.45,VLOOKUP(Calculator!E23,tbSkills!DH3:DI6,2,FALSE)+IF(AND(Calculator!B8=TRUE,Backdoors!BI33=TRUE),VLOOKUP(Calculator!E23,tbSkills!DH3:DJ6,3,FALSE),0),0))&gt;=0,1+(Backdoors!AL2*(IF((Backdoors!AI12+IF(HD59&gt;=0.45,VLOOKUP(Calculator!E23,tbSkills!DH3:DI6,2,FALSE)+IF(AND(Calculator!B8=TRUE,Backdoors!BI33=TRUE),VLOOKUP(Calculator!E23,tbSkills!DH3:DJ6,3,FALSE),0),0))&gt;=100,100,(Backdoors!AI12+IF(HD59&gt;=0.45,VLOOKUP(Calculator!E23,tbSkills!DH3:DI6,2,FALSE)+IF(AND(Calculator!B8=TRUE,Backdoors!BI33=TRUE),VLOOKUP(Calculator!E23,tbSkills!DH3:DJ6,3,FALSE),0),0)))/100)),(1-(0.25*((-Backdoors!AI12-IF(HD59&gt;=0.45,VLOOKUP(Calculator!E23,tbSkills!DH3:DI6,2,FALSE)+IF(AND(Calculator!B8=TRUE,Backdoors!BI33=TRUE),VLOOKUP(Calculator!E23,tbSkills!DH3:DJ6,3,FALSE),0),0))/100)))),1),"")</f>
        <v>1</v>
      </c>
      <c r="HG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D59)*HF59)*(VLOOKUP(A59,tbMoveset!A2:C112,3,FALSE)/100)*IF(VLOOKUP(A59,tbMoveset!A2:B112,2,FALSE)="Projectile",Backdoors!N10,Backdoors!N9),0),"")</f>
        <v/>
      </c>
      <c r="HH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D59&gt;=0.45,VLOOKUP(Calculator!E23,tbSkills!DH3:DI6,2,FALSE)+IF(AND(Calculator!B8=TRUE,Backdoors!BI33=TRUE),VLOOKUP(Calculator!E23,tbSkills!DH3:DJ6,3,FALSE),0),0))&gt;=100,100,(Backdoors!AI12+IF(HD59&gt;=0.45,VLOOKUP(Calculator!E23,tbSkills!DH3:DI6,2,FALSE)+IF(AND(Calculator!B8=TRUE,Backdoors!BI33=TRUE),VLOOKUP(Calculator!E23,tbSkills!DH3:DJ6,3,FALSE),0),0)))/100)),1))*IF(VLOOKUP(A59,tbMoveset!A2:K112,11,FALSE)=TRUE,Backdoors!AC5,1))*HE59,0),"")</f>
        <v>0</v>
      </c>
      <c r="HI59" s="49">
        <f>VLOOKUP(A59,tbMoveset!A2:G112,7,FALSE)*IFERROR(IF(Backdoors!AI12&gt;=0,1+(IF(Calculator!E40&gt;0,VLOOKUP(Calculator!E40,tbSkills!AI3:AJ5,2,FALSE),Backdoors!AL4)*(IF((Backdoors!AI12+IF(HD59&gt;=0.45,VLOOKUP(Calculator!E23,tbSkills!DH3:DI6,2,FALSE)+IF(AND(Calculator!B8=TRUE,Backdoors!BI33=TRUE),VLOOKUP(Calculator!E23,tbSkills!DH3:DJ6,3,FALSE),0),0))&gt;=100,100,(Backdoors!AI12+IF(HD59&gt;=0.45,VLOOKUP(Calculator!E23,tbSkills!DH3:DI6,2,FALSE)+IF(AND(Calculator!B8=TRUE,Backdoors!BI33=TRUE),VLOOKUP(Calculator!E23,tbSkills!DH3:DJ6,3,FALSE),0),0)))/100)),1),1)</f>
        <v>0.5</v>
      </c>
      <c r="HJ59" s="87">
        <f t="shared" si="23"/>
        <v>0</v>
      </c>
      <c r="HK59" s="86" t="str">
        <f>IFERROR(IF(VLOOKUP(A59,tbMoveset!A2:B112,2,FALSE)="Sever",Backdoors!AY34/100,IF(VLOOKUP(A59,tbMoveset!A2:B112,2,FALSE)="Blunt",Backdoors!AZ34/100,Backdoors!BA34/100)),"")</f>
        <v/>
      </c>
      <c r="HL59" s="49">
        <f>IFERROR(IF(VLOOKUP(tbMoveset!A59,tbMoveset!A2:H112,8,FALSE)="Other",IF(VLOOKUP(tbMoveset!A59,tbMoveset!A2:I112,9,FALSE)="Fire",Backdoors!BB34,IF(VLOOKUP(tbMoveset!A59,tbMoveset!A2:I112,9,FALSE)="Water",Backdoors!BC34,IF(VLOOKUP(tbMoveset!A59,tbMoveset!A2:I112,9,FALSE)="Thunder",Backdoors!BD34,IF(VLOOKUP(tbMoveset!A59,tbMoveset!A2:I112,9,FALSE)="Ice",Backdoors!BE34,IF(VLOOKUP(tbMoveset!A59,tbMoveset!A2:I112,9,FALSE)="Dragon",Backdoors!BF34,Backdoors!BG34)))))/100,Backdoors!BG34/100),"")</f>
        <v>0</v>
      </c>
      <c r="HM59" s="49">
        <f>IFERROR(IF(VLOOKUP(A59,tbMoveset!A2:J112,10,FALSE)=TRUE,IF((Backdoors!AI12+IF(HK59&gt;=0.45,VLOOKUP(Calculator!E23,tbSkills!DH3:DI6,2,FALSE)+IF(AND(Calculator!B8=TRUE,Backdoors!BI34=TRUE),VLOOKUP(Calculator!E23,tbSkills!DH3:DJ6,3,FALSE),0),0))&gt;=0,1+(Backdoors!AL2*(IF((Backdoors!AI12+IF(HK59&gt;=0.45,VLOOKUP(Calculator!E23,tbSkills!DH3:DI6,2,FALSE)+IF(AND(Calculator!B8=TRUE,Backdoors!BI34=TRUE),VLOOKUP(Calculator!E23,tbSkills!DH3:DJ6,3,FALSE),0),0))&gt;=100,100,(Backdoors!AI12+IF(HK59&gt;=0.45,VLOOKUP(Calculator!E23,tbSkills!DH3:DI6,2,FALSE)+IF(AND(Calculator!B8=TRUE,Backdoors!BI34=TRUE),VLOOKUP(Calculator!E23,tbSkills!DH3:DJ6,3,FALSE),0),0)))/100)),(1-(0.25*((-Backdoors!AI12-IF(HK59&gt;=0.45,VLOOKUP(Calculator!E23,tbSkills!DH3:DI6,2,FALSE)+IF(AND(Calculator!B8=TRUE,Backdoors!BI34=TRUE),VLOOKUP(Calculator!E23,tbSkills!DH3:DJ6,3,FALSE),0),0))/100)))),1),"")</f>
        <v>1</v>
      </c>
      <c r="HN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K59)*HM59)*(VLOOKUP(A59,tbMoveset!A2:C112,3,FALSE)/100)*IF(VLOOKUP(A59,tbMoveset!A2:B112,2,FALSE)="Projectile",Backdoors!N10,Backdoors!N9),0),"")</f>
        <v/>
      </c>
      <c r="HO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K59&gt;=0.45,VLOOKUP(Calculator!E23,tbSkills!DH3:DI6,2,FALSE)+IF(AND(Calculator!B8=TRUE,Backdoors!BI34=TRUE),VLOOKUP(Calculator!E23,tbSkills!DH3:DJ6,3,FALSE),0),0))&gt;=100,100,(Backdoors!AI12+IF(HK59&gt;=0.45,VLOOKUP(Calculator!E23,tbSkills!DH3:DI6,2,FALSE)+IF(AND(Calculator!B8=TRUE,Backdoors!BI34=TRUE),VLOOKUP(Calculator!E23,tbSkills!DH3:DJ6,3,FALSE),0),0)))/100)),1))*IF(VLOOKUP(A59,tbMoveset!A2:K112,11,FALSE)=TRUE,Backdoors!AC5,1))*HL59,0),"")</f>
        <v>0</v>
      </c>
      <c r="HP59" s="49">
        <f>VLOOKUP(A59,tbMoveset!A2:G112,7,FALSE)*IFERROR(IF(Backdoors!AI12&gt;=0,1+(IF(Calculator!E40&gt;0,VLOOKUP(Calculator!E40,tbSkills!AI3:AJ5,2,FALSE),Backdoors!AL4)*(IF((Backdoors!AI12+IF(HK59&gt;=0.45,VLOOKUP(Calculator!E23,tbSkills!DH3:DI6,2,FALSE)+IF(AND(Calculator!B8=TRUE,Backdoors!BI34=TRUE),VLOOKUP(Calculator!E23,tbSkills!DH3:DJ6,3,FALSE),0),0))&gt;=100,100,(Backdoors!AI12+IF(HK59&gt;=0.45,VLOOKUP(Calculator!E23,tbSkills!DH3:DI6,2,FALSE)+IF(AND(Calculator!B8=TRUE,Backdoors!BI34=TRUE),VLOOKUP(Calculator!E23,tbSkills!DH3:DJ6,3,FALSE),0),0)))/100)),1),1)</f>
        <v>0.5</v>
      </c>
      <c r="HQ59" s="87">
        <f t="shared" si="24"/>
        <v>0</v>
      </c>
      <c r="HR59" s="86" t="str">
        <f>IFERROR(IF(VLOOKUP(A59,tbMoveset!A2:B112,2,FALSE)="Sever",Backdoors!AY35/100,IF(VLOOKUP(A59,tbMoveset!A2:B112,2,FALSE)="Blunt",Backdoors!AZ35/100,Backdoors!BA35/100)),"")</f>
        <v/>
      </c>
      <c r="HS59" s="49">
        <f>IFERROR(IF(VLOOKUP(tbMoveset!A59,tbMoveset!A2:H112,8,FALSE)="Other",IF(VLOOKUP(tbMoveset!A59,tbMoveset!A2:I112,9,FALSE)="Fire",Backdoors!BB35,IF(VLOOKUP(tbMoveset!A59,tbMoveset!A2:I112,9,FALSE)="Water",Backdoors!BC35,IF(VLOOKUP(tbMoveset!A59,tbMoveset!A2:I112,9,FALSE)="Thunder",Backdoors!BD35,IF(VLOOKUP(tbMoveset!A59,tbMoveset!A2:I112,9,FALSE)="Ice",Backdoors!BE35,IF(VLOOKUP(tbMoveset!A59,tbMoveset!A2:I112,9,FALSE)="Dragon",Backdoors!BF35,Backdoors!BG35)))))/100,Backdoors!BG35/100),"")</f>
        <v>0</v>
      </c>
      <c r="HT59" s="49">
        <f>IFERROR(IF(VLOOKUP(A59,tbMoveset!A2:J112,10,FALSE)=TRUE,IF((Backdoors!AI12+IF(HR59&gt;=0.45,VLOOKUP(Calculator!E23,tbSkills!DH3:DI6,2,FALSE)+IF(AND(Calculator!B8=TRUE,Backdoors!BI35=TRUE),VLOOKUP(Calculator!E23,tbSkills!DH3:DJ6,3,FALSE),0),0))&gt;=0,1+(Backdoors!AL2*(IF((Backdoors!AI12+IF(HR59&gt;=0.45,VLOOKUP(Calculator!E23,tbSkills!DH3:DI6,2,FALSE)+IF(AND(Calculator!B8=TRUE,Backdoors!BI35=TRUE),VLOOKUP(Calculator!E23,tbSkills!DH3:DJ6,3,FALSE),0),0))&gt;=100,100,(Backdoors!AI12+IF(HR59&gt;=0.45,VLOOKUP(Calculator!E23,tbSkills!DH3:DI6,2,FALSE)+IF(AND(Calculator!B8=TRUE,Backdoors!BI35=TRUE),VLOOKUP(Calculator!E23,tbSkills!DH3:DJ6,3,FALSE),0),0)))/100)),(1-(0.25*((-Backdoors!AI12-IF(HR59&gt;=0.45,VLOOKUP(Calculator!E23,tbSkills!DH3:DI6,2,FALSE)+IF(AND(Calculator!B8=TRUE,Backdoors!BI35=TRUE),VLOOKUP(Calculator!E23,tbSkills!DH3:DJ6,3,FALSE),0),0))/100)))),1),"")</f>
        <v>1</v>
      </c>
      <c r="HU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R59)*HT59)*(VLOOKUP(A59,tbMoveset!A2:C112,3,FALSE)/100)*IF(VLOOKUP(A59,tbMoveset!A2:B112,2,FALSE)="Projectile",Backdoors!N10,Backdoors!N9),0),"")</f>
        <v/>
      </c>
      <c r="HV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R59&gt;=0.45,VLOOKUP(Calculator!E23,tbSkills!DH3:DI6,2,FALSE)+IF(AND(Calculator!B8=TRUE,Backdoors!BI35=TRUE),VLOOKUP(Calculator!E23,tbSkills!DH3:DJ6,3,FALSE),0),0))&gt;=100,100,(Backdoors!AI12+IF(HR59&gt;=0.45,VLOOKUP(Calculator!E23,tbSkills!DH3:DI6,2,FALSE)+IF(AND(Calculator!B8=TRUE,Backdoors!BI35=TRUE),VLOOKUP(Calculator!E23,tbSkills!DH3:DJ6,3,FALSE),0),0)))/100)),1))*IF(VLOOKUP(A59,tbMoveset!A2:K112,11,FALSE)=TRUE,Backdoors!AC5,1))*HS59,0),"")</f>
        <v>0</v>
      </c>
      <c r="HW59" s="49">
        <f>VLOOKUP(A59,tbMoveset!A2:G112,7,FALSE)*IFERROR(IF(Backdoors!AI12&gt;=0,1+(IF(Calculator!E40&gt;0,VLOOKUP(Calculator!E40,tbSkills!AI3:AJ5,2,FALSE),Backdoors!AL4)*(IF((Backdoors!AI12+IF(HR59&gt;=0.45,VLOOKUP(Calculator!E23,tbSkills!DH3:DI6,2,FALSE)+IF(AND(Calculator!B8=TRUE,Backdoors!BI35=TRUE),VLOOKUP(Calculator!E23,tbSkills!DH3:DJ6,3,FALSE),0),0))&gt;=100,100,(Backdoors!AI12+IF(HR59&gt;=0.45,VLOOKUP(Calculator!E23,tbSkills!DH3:DI6,2,FALSE)+IF(AND(Calculator!B8=TRUE,Backdoors!BI35=TRUE),VLOOKUP(Calculator!E23,tbSkills!DH3:DJ6,3,FALSE),0),0)))/100)),1),1)</f>
        <v>0.5</v>
      </c>
      <c r="HX59" s="87">
        <f t="shared" si="25"/>
        <v>0</v>
      </c>
      <c r="HY59" s="86" t="str">
        <f>IFERROR(IF(VLOOKUP(A59,tbMoveset!A2:B112,2,FALSE)="Sever",Backdoors!AY36/100,IF(VLOOKUP(A59,tbMoveset!A2:B112,2,FALSE)="Blunt",Backdoors!AZ36/100,Backdoors!BA36/100)),"")</f>
        <v/>
      </c>
      <c r="HZ59" s="49">
        <f>IFERROR(IF(VLOOKUP(tbMoveset!A59,tbMoveset!A2:H112,8,FALSE)="Other",IF(VLOOKUP(tbMoveset!A59,tbMoveset!A2:I112,9,FALSE)="Fire",Backdoors!BB36,IF(VLOOKUP(tbMoveset!A59,tbMoveset!A2:I112,9,FALSE)="Water",Backdoors!BC36,IF(VLOOKUP(tbMoveset!A59,tbMoveset!A2:I112,9,FALSE)="Thunder",Backdoors!BD36,IF(VLOOKUP(tbMoveset!A59,tbMoveset!A2:I112,9,FALSE)="Ice",Backdoors!BE36,IF(VLOOKUP(tbMoveset!A59,tbMoveset!A2:I112,9,FALSE)="Dragon",Backdoors!BF36,Backdoors!BG36)))))/100,Backdoors!BG36/100),"")</f>
        <v>0</v>
      </c>
      <c r="IA59" s="49">
        <f>IFERROR(IF(VLOOKUP(A59,tbMoveset!A2:J112,10,FALSE)=TRUE,IF((Backdoors!AI12+IF(HY59&gt;=0.45,VLOOKUP(Calculator!E23,tbSkills!DH3:DI6,2,FALSE)+IF(AND(Calculator!B8=TRUE,Backdoors!BI36=TRUE),VLOOKUP(Calculator!E23,tbSkills!DH3:DJ6,3,FALSE),0),0))&gt;=0,1+(Backdoors!AL2*(IF((Backdoors!AI12+IF(HY59&gt;=0.45,VLOOKUP(Calculator!E23,tbSkills!DH3:DI6,2,FALSE)+IF(AND(Calculator!B8=TRUE,Backdoors!BI36=TRUE),VLOOKUP(Calculator!E23,tbSkills!DH3:DJ6,3,FALSE),0),0))&gt;=100,100,(Backdoors!AI12+IF(HY59&gt;=0.45,VLOOKUP(Calculator!E23,tbSkills!DH3:DI6,2,FALSE)+IF(AND(Calculator!B8=TRUE,Backdoors!BI36=TRUE),VLOOKUP(Calculator!E23,tbSkills!DH3:DJ6,3,FALSE),0),0)))/100)),(1-(0.25*((-Backdoors!AI12-IF(HY59&gt;=0.45,VLOOKUP(Calculator!E23,tbSkills!DH3:DI6,2,FALSE)+IF(AND(Calculator!B8=TRUE,Backdoors!BI36=TRUE),VLOOKUP(Calculator!E23,tbSkills!DH3:DJ6,3,FALSE),0),0))/100)))),1),"")</f>
        <v>1</v>
      </c>
      <c r="IB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Y59)*IA59)*(VLOOKUP(A59,tbMoveset!A2:C112,3,FALSE)/100)*IF(VLOOKUP(A59,tbMoveset!A2:B112,2,FALSE)="Projectile",Backdoors!N10,Backdoors!N9),0),"")</f>
        <v/>
      </c>
      <c r="IC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Y59&gt;=0.45,VLOOKUP(Calculator!E23,tbSkills!DH3:DI6,2,FALSE)+IF(AND(Calculator!B8=TRUE,Backdoors!BI36=TRUE),VLOOKUP(Calculator!E23,tbSkills!DH3:DJ6,3,FALSE),0),0))&gt;=100,100,(Backdoors!AI12+IF(HY59&gt;=0.45,VLOOKUP(Calculator!E23,tbSkills!DH3:DI6,2,FALSE)+IF(AND(Calculator!B8=TRUE,Backdoors!BI36=TRUE),VLOOKUP(Calculator!E23,tbSkills!DH3:DJ6,3,FALSE),0),0)))/100)),1))*IF(VLOOKUP(A59,tbMoveset!A2:K112,11,FALSE)=TRUE,Backdoors!AC5,1))*HZ59,0),"")</f>
        <v>0</v>
      </c>
      <c r="ID59" s="49">
        <f>VLOOKUP(A59,tbMoveset!A2:G112,7,FALSE)*IFERROR(IF(Backdoors!AI12&gt;=0,1+(IF(Calculator!E40&gt;0,VLOOKUP(Calculator!E40,tbSkills!AI3:AJ5,2,FALSE),Backdoors!AL4)*(IF((Backdoors!AI12+IF(HY59&gt;=0.45,VLOOKUP(Calculator!E23,tbSkills!DH3:DI6,2,FALSE)+IF(AND(Calculator!B8=TRUE,Backdoors!BI36=TRUE),VLOOKUP(Calculator!E23,tbSkills!DH3:DJ6,3,FALSE),0),0))&gt;=100,100,(Backdoors!AI12+IF(HY59&gt;=0.45,VLOOKUP(Calculator!E23,tbSkills!DH3:DI6,2,FALSE)+IF(AND(Calculator!B8=TRUE,Backdoors!BI36=TRUE),VLOOKUP(Calculator!E23,tbSkills!DH3:DJ6,3,FALSE),0),0)))/100)),1),1)</f>
        <v>0.5</v>
      </c>
      <c r="IE59" s="87">
        <f t="shared" si="26"/>
        <v>0</v>
      </c>
      <c r="IF59" s="86" t="str">
        <f>IFERROR(IF(VLOOKUP(A59,tbMoveset!A2:B112,2,FALSE)="Sever",Backdoors!AY37/100,IF(VLOOKUP(A59,tbMoveset!A2:B112,2,FALSE)="Blunt",Backdoors!AZ37/100,Backdoors!BA37/100)),"")</f>
        <v/>
      </c>
      <c r="IG59" s="49">
        <f>IFERROR(IF(VLOOKUP(tbMoveset!A59,tbMoveset!A2:H112,8,FALSE)="Other",IF(VLOOKUP(tbMoveset!A59,tbMoveset!A2:I112,9,FALSE)="Fire",Backdoors!BB37,IF(VLOOKUP(tbMoveset!A59,tbMoveset!A2:I112,9,FALSE)="Water",Backdoors!BC37,IF(VLOOKUP(tbMoveset!A59,tbMoveset!A2:I112,9,FALSE)="Thunder",Backdoors!BD37,IF(VLOOKUP(tbMoveset!A59,tbMoveset!A2:I112,9,FALSE)="Ice",Backdoors!BE37,IF(VLOOKUP(tbMoveset!A59,tbMoveset!A2:I112,9,FALSE)="Dragon",Backdoors!BF37,Backdoors!BG37)))))/100,Backdoors!BG37/100),"")</f>
        <v>0</v>
      </c>
      <c r="IH59" s="49">
        <f>IFERROR(IF(VLOOKUP(A59,tbMoveset!A2:J112,10,FALSE)=TRUE,IF((Backdoors!AI12+IF(IF59&gt;=0.45,VLOOKUP(Calculator!E23,tbSkills!DH3:DI6,2,FALSE)+IF(AND(Calculator!B8=TRUE,Backdoors!BI37=TRUE),VLOOKUP(Calculator!E23,tbSkills!DH3:DJ6,3,FALSE),0),0))&gt;=0,1+(Backdoors!AL2*(IF((Backdoors!AI12+IF(IF59&gt;=0.45,VLOOKUP(Calculator!E23,tbSkills!DH3:DI6,2,FALSE)+IF(AND(Calculator!B8=TRUE,Backdoors!BI37=TRUE),VLOOKUP(Calculator!E23,tbSkills!DH3:DJ6,3,FALSE),0),0))&gt;=100,100,(Backdoors!AI12+IF(IF59&gt;=0.45,VLOOKUP(Calculator!E23,tbSkills!DH3:DI6,2,FALSE)+IF(AND(Calculator!B8=TRUE,Backdoors!BI37=TRUE),VLOOKUP(Calculator!E23,tbSkills!DH3:DJ6,3,FALSE),0),0)))/100)),(1-(0.25*((-Backdoors!AI12-IF(IF59&gt;=0.45,VLOOKUP(Calculator!E23,tbSkills!DH3:DI6,2,FALSE)+IF(AND(Calculator!B8=TRUE,Backdoors!BI37=TRUE),VLOOKUP(Calculator!E23,tbSkills!DH3:DJ6,3,FALSE),0),0))/100)))),1),"")</f>
        <v>1</v>
      </c>
      <c r="II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F59)*IH59)*(VLOOKUP(A59,tbMoveset!A2:C112,3,FALSE)/100)*IF(VLOOKUP(A59,tbMoveset!A2:B112,2,FALSE)="Projectile",Backdoors!N10,Backdoors!N9),0),"")</f>
        <v/>
      </c>
      <c r="IJ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IF59&gt;=0.45,VLOOKUP(Calculator!E23,tbSkills!DH3:DI6,2,FALSE)+IF(AND(Calculator!B8=TRUE,Backdoors!BI37=TRUE),VLOOKUP(Calculator!E23,tbSkills!DH3:DJ6,3,FALSE),0),0))&gt;=100,100,(Backdoors!AI12+IF(IF59&gt;=0.45,VLOOKUP(Calculator!E23,tbSkills!DH3:DI6,2,FALSE)+IF(AND(Calculator!B8=TRUE,Backdoors!BI37=TRUE),VLOOKUP(Calculator!E23,tbSkills!DH3:DJ6,3,FALSE),0),0)))/100)),1))*IF(VLOOKUP(A59,tbMoveset!A2:K112,11,FALSE)=TRUE,Backdoors!AC5,1))*IG59,0),"")</f>
        <v>0</v>
      </c>
      <c r="IK59" s="49">
        <f>VLOOKUP(A59,tbMoveset!A2:G112,7,FALSE)*IFERROR(IF(Backdoors!AI12&gt;=0,1+(IF(Calculator!E40&gt;0,VLOOKUP(Calculator!E40,tbSkills!AI3:AJ5,2,FALSE),Backdoors!AL4)*(IF((Backdoors!AI12+IF(IF59&gt;=0.45,VLOOKUP(Calculator!E23,tbSkills!DH3:DI6,2,FALSE)+IF(AND(Calculator!B8=TRUE,Backdoors!BI37=TRUE),VLOOKUP(Calculator!E23,tbSkills!DH3:DJ6,3,FALSE),0),0))&gt;=100,100,(Backdoors!AI12+IF(IF59&gt;=0.45,VLOOKUP(Calculator!E23,tbSkills!DH3:DI6,2,FALSE)+IF(AND(Calculator!B8=TRUE,Backdoors!BI37=TRUE),VLOOKUP(Calculator!E23,tbSkills!DH3:DJ6,3,FALSE),0),0)))/100)),1),1)</f>
        <v>0.5</v>
      </c>
      <c r="IL59" s="87">
        <f t="shared" si="27"/>
        <v>0</v>
      </c>
      <c r="IM59" s="86" t="str">
        <f>IFERROR(IF(VLOOKUP(A59,tbMoveset!A2:B112,2,FALSE)="Sever",Backdoors!AY38/100,IF(VLOOKUP(A59,tbMoveset!A2:B112,2,FALSE)="Blunt",Backdoors!AZ38/100,Backdoors!BA38/100)),"")</f>
        <v/>
      </c>
      <c r="IN59" s="49">
        <f>IFERROR(IF(VLOOKUP(tbMoveset!A59,tbMoveset!A2:H112,8,FALSE)="Other",IF(VLOOKUP(tbMoveset!A59,tbMoveset!A2:I112,9,FALSE)="Fire",Backdoors!BB38,IF(VLOOKUP(tbMoveset!A59,tbMoveset!A2:I112,9,FALSE)="Water",Backdoors!BC38,IF(VLOOKUP(tbMoveset!A59,tbMoveset!A2:I112,9,FALSE)="Thunder",Backdoors!BD38,IF(VLOOKUP(tbMoveset!A59,tbMoveset!A2:I112,9,FALSE)="Ice",Backdoors!BE38,IF(VLOOKUP(tbMoveset!A59,tbMoveset!A2:I112,9,FALSE)="Dragon",Backdoors!BF38,Backdoors!BG38)))))/100,Backdoors!BG38/100),"")</f>
        <v>0</v>
      </c>
      <c r="IO59" s="49">
        <f>IFERROR(IF(VLOOKUP(A59,tbMoveset!A2:J112,10,FALSE)=TRUE,IF((Backdoors!AI12+IF(IM59&gt;=0.45,VLOOKUP(Calculator!E23,tbSkills!DH3:DI6,2,FALSE)+IF(AND(Calculator!B8=TRUE,Backdoors!BI38=TRUE),VLOOKUP(Calculator!E23,tbSkills!DH3:DJ6,3,FALSE),0),0))&gt;=0,1+(Backdoors!AL2*(IF((Backdoors!AI12+IF(IM59&gt;=0.45,VLOOKUP(Calculator!E23,tbSkills!DH3:DI6,2,FALSE)+IF(AND(Calculator!B8=TRUE,Backdoors!BI38=TRUE),VLOOKUP(Calculator!E23,tbSkills!DH3:DJ6,3,FALSE),0),0))&gt;=100,100,(Backdoors!AI12+IF(IM59&gt;=0.45,VLOOKUP(Calculator!E23,tbSkills!DH3:DI6,2,FALSE)+IF(AND(Calculator!B8=TRUE,Backdoors!BI38=TRUE),VLOOKUP(Calculator!E23,tbSkills!DH3:DJ6,3,FALSE),0),0)))/100)),(1-(0.25*((-Backdoors!AI12-IF(IM59&gt;=0.45,VLOOKUP(Calculator!E23,tbSkills!DH3:DI6,2,FALSE)+IF(AND(Calculator!B8=TRUE,Backdoors!BI38=TRUE),VLOOKUP(Calculator!E23,tbSkills!DH3:DJ6,3,FALSE),0),0))/100)))),1),"")</f>
        <v>1</v>
      </c>
      <c r="IP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M59)*IO59)*(VLOOKUP(A59,tbMoveset!A2:C112,3,FALSE)/100)*IF(VLOOKUP(A59,tbMoveset!A2:B112,2,FALSE)="Projectile",Backdoors!N10,Backdoors!N9),0),"")</f>
        <v/>
      </c>
      <c r="IQ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IM59&gt;=0.45,VLOOKUP(Calculator!E23,tbSkills!DH3:DI6,2,FALSE)+IF(AND(Calculator!B8=TRUE,Backdoors!BI38=TRUE),VLOOKUP(Calculator!E23,tbSkills!DH3:DJ6,3,FALSE),0),0))&gt;=100,100,(Backdoors!AI12+IF(IM59&gt;=0.45,VLOOKUP(Calculator!E23,tbSkills!DH3:DI6,2,FALSE)+IF(AND(Calculator!B8=TRUE,Backdoors!BI38=TRUE),VLOOKUP(Calculator!E23,tbSkills!DH3:DJ6,3,FALSE),0),0)))/100)),1))*IF(VLOOKUP(A59,tbMoveset!A2:K112,11,FALSE)=TRUE,Backdoors!AC5,1))*IN59,0),"")</f>
        <v>0</v>
      </c>
      <c r="IR59" s="49">
        <f>VLOOKUP(A59,tbMoveset!A2:G112,7,FALSE)*IFERROR(IF(Backdoors!AI12&gt;=0,1+(IF(Calculator!E40&gt;0,VLOOKUP(Calculator!E40,tbSkills!AI3:AJ5,2,FALSE),Backdoors!AL4)*(IF((Backdoors!AI12+IF(IM59&gt;=0.45,VLOOKUP(Calculator!E23,tbSkills!DH3:DI6,2,FALSE)+IF(AND(Calculator!B8=TRUE,Backdoors!BI38=TRUE),VLOOKUP(Calculator!E23,tbSkills!DH3:DJ6,3,FALSE),0),0))&gt;=100,100,(Backdoors!AI12+IF(IM59&gt;=0.45,VLOOKUP(Calculator!E23,tbSkills!DH3:DI6,2,FALSE)+IF(AND(Calculator!B8=TRUE,Backdoors!BI38=TRUE),VLOOKUP(Calculator!E23,tbSkills!DH3:DJ6,3,FALSE),0),0)))/100)),1),1)</f>
        <v>0.5</v>
      </c>
      <c r="IS59" s="87">
        <f t="shared" si="42"/>
        <v>0</v>
      </c>
      <c r="IT59" s="86" t="str">
        <f>IFERROR(IF(VLOOKUP(A59,tbMoveset!A2:B112,2,FALSE)="Sever",Backdoors!AY39/100,IF(VLOOKUP(A59,tbMoveset!A2:B112,2,FALSE)="Blunt",Backdoors!AZ39/100,Backdoors!BA39/100)),"")</f>
        <v/>
      </c>
      <c r="IU59" s="49">
        <f>IFERROR(IF(VLOOKUP(tbMoveset!A59,tbMoveset!A2:H112,8,FALSE)="Other",IF(VLOOKUP(tbMoveset!A59,tbMoveset!A2:I112,9,FALSE)="Fire",Backdoors!BB39,IF(VLOOKUP(tbMoveset!A59,tbMoveset!A2:I112,9,FALSE)="Water",Backdoors!BC39,IF(VLOOKUP(tbMoveset!A59,tbMoveset!A2:I112,9,FALSE)="Thunder",Backdoors!BD39,IF(VLOOKUP(tbMoveset!A59,tbMoveset!A2:I112,9,FALSE)="Ice",Backdoors!BE39,IF(VLOOKUP(tbMoveset!A59,tbMoveset!A2:I112,9,FALSE)="Dragon",Backdoors!BF39,Backdoors!BG39)))))/100,Backdoors!BG39/100),"")</f>
        <v>0</v>
      </c>
      <c r="IV59" s="49">
        <f>IFERROR(IF(VLOOKUP(A59,tbMoveset!A2:J112,10,FALSE)=TRUE,IF((Backdoors!AI12+IF(IT59&gt;=0.45,VLOOKUP(Calculator!E23,tbSkills!DH3:DI6,2,FALSE)+IF(AND(Calculator!B8=TRUE,Backdoors!BI39=TRUE),VLOOKUP(Calculator!E23,tbSkills!DH3:DJ6,3,FALSE),0),0))&gt;=0,1+(Backdoors!AL2*(IF((Backdoors!AI12+IF(IT59&gt;=0.45,VLOOKUP(Calculator!E23,tbSkills!DH3:DI6,2,FALSE)+IF(AND(Calculator!B8=TRUE,Backdoors!BI39=TRUE),VLOOKUP(Calculator!E23,tbSkills!DH3:DJ6,3,FALSE),0),0))&gt;=100,100,(Backdoors!AI12+IF(IT59&gt;=0.45,VLOOKUP(Calculator!E23,tbSkills!DH3:DI6,2,FALSE)+IF(AND(Calculator!B8=TRUE,Backdoors!BI39=TRUE),VLOOKUP(Calculator!E23,tbSkills!DH3:DJ6,3,FALSE),0),0)))/100)),(1-(0.25*((-Backdoors!AI12-IF(IT59&gt;=0.45,VLOOKUP(Calculator!E23,tbSkills!DH3:DI6,2,FALSE)+IF(AND(Calculator!B8=TRUE,Backdoors!BI39=TRUE),VLOOKUP(Calculator!E23,tbSkills!DH3:DJ6,3,FALSE),0),0))/100)))),1),"")</f>
        <v>1</v>
      </c>
      <c r="IW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T59)*IV59)*(VLOOKUP(A59,tbMoveset!A2:C112,3,FALSE)/100)*IF(VLOOKUP(A59,tbMoveset!A2:B112,2,FALSE)="Projectile",Backdoors!N10,Backdoors!N9),0),"")</f>
        <v/>
      </c>
      <c r="IX59" s="49">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40&gt;0,VLOOKUP(Calculator!E40,tbSkills!AC3:AD5,2,FALSE),Backdoors!AL3)*(IF((Backdoors!AI12+IF(IT59&gt;=0.45,VLOOKUP(Calculator!E23,tbSkills!DH3:DI6,2,FALSE)+IF(AND(Calculator!B8=TRUE,Backdoors!BI39=TRUE),VLOOKUP(Calculator!E23,tbSkills!DH3:DJ6,3,FALSE),0),0))&gt;=100,100,(Backdoors!AI12+IF(IT59&gt;=0.45,VLOOKUP(Calculator!E23,tbSkills!DH3:DI6,2,FALSE)+IF(AND(Calculator!B8=TRUE,Backdoors!BI39=TRUE),VLOOKUP(Calculator!E23,tbSkills!DH3:DJ6,3,FALSE),0),0)))/100)),1))*IF(VLOOKUP(A59,tbMoveset!A2:K112,11,FALSE)=TRUE,Backdoors!AC5,1))*IU59,0),"")</f>
        <v>0</v>
      </c>
      <c r="IY59" s="49">
        <f>VLOOKUP(A59,tbMoveset!A2:G112,7,FALSE)*IFERROR(IF(Backdoors!AI12&gt;=0,1+(IF(Calculator!E40&gt;0,VLOOKUP(Calculator!E40,tbSkills!AI3:AJ5,2,FALSE),Backdoors!AL4)*(IF((Backdoors!AI12+IF(IT59&gt;=0.45,VLOOKUP(Calculator!E23,tbSkills!DH3:DI6,2,FALSE)+IF(AND(Calculator!B8=TRUE,Backdoors!BI39=TRUE),VLOOKUP(Calculator!E23,tbSkills!DH3:DJ6,3,FALSE),0),0))&gt;=100,100,(Backdoors!AI12+IF(IT59&gt;=0.45,VLOOKUP(Calculator!E23,tbSkills!DH3:DI6,2,FALSE)+IF(AND(Calculator!B8=TRUE,Backdoors!BI39=TRUE),VLOOKUP(Calculator!E23,tbSkills!DH3:DJ6,3,FALSE),0),0)))/100)),1),1)</f>
        <v>0.5</v>
      </c>
      <c r="IZ59" s="87">
        <f t="shared" si="28"/>
        <v>0</v>
      </c>
      <c r="JA59" s="86" t="str">
        <f>IFERROR(IF(VLOOKUP(A59,tbMoveset!A2:B112,2,FALSE)="Sever",Backdoors!AY40/100,IF(VLOOKUP(A59,tbMoveset!A2:B112,2,FALSE)="Blunt",Backdoors!AZ40/100,Backdoors!BA40/100)),"")</f>
        <v/>
      </c>
      <c r="JB59" s="49">
        <f>IFERROR(IF(VLOOKUP(tbMoveset!A59,tbMoveset!A2:H112,8,FALSE)="Other",IF(VLOOKUP(tbMoveset!A59,tbMoveset!A2:I112,9,FALSE)="Fire",Backdoors!BB40,IF(VLOOKUP(tbMoveset!A59,tbMoveset!A2:I112,9,FALSE)="Water",Backdoors!BC40,IF(VLOOKUP(tbMoveset!A59,tbMoveset!A2:I112,9,FALSE)="Thunder",Backdoors!BD40,IF(VLOOKUP(tbMoveset!A59,tbMoveset!A2:I112,9,FALSE)="Ice",Backdoors!BE40,IF(VLOOKUP(tbMoveset!A59,tbMoveset!A2:I112,9,FALSE)="Dragon",Backdoors!BF40,Backdoors!BG40)))))/100,Backdoors!BG40/100),"")</f>
        <v>0</v>
      </c>
      <c r="JC59" s="49">
        <f>IFERROR(IF(VLOOKUP(A59,tbMoveset!A2:J112,10,FALSE)=TRUE,IF((Backdoors!AI12+IF(JA59&gt;=0.45,VLOOKUP(Calculator!E23,tbSkills!DH3:DI6,2,FALSE)+IF(AND(Calculator!B8=TRUE,Backdoors!BI40=TRUE),VLOOKUP(Calculator!E23,tbSkills!DH3:DJ6,3,FALSE),0),0))&gt;=0,1+(Backdoors!AL2*(IF((Backdoors!AI12+IF(JA59&gt;=0.45,VLOOKUP(Calculator!E23,tbSkills!DH3:DI6,2,FALSE)+IF(AND(Calculator!B8=TRUE,Backdoors!BI40=TRUE),VLOOKUP(Calculator!E23,tbSkills!DH3:DJ6,3,FALSE),0),0))&gt;=100,100,(Backdoors!AI12+IF(JA59&gt;=0.45,VLOOKUP(Calculator!E23,tbSkills!DH3:DI6,2,FALSE)+IF(AND(Calculator!B8=TRUE,Backdoors!BI40=TRUE),VLOOKUP(Calculator!E23,tbSkills!DH3:DJ6,3,FALSE),0),0)))/100)),(1-(0.25*((-Backdoors!AI12-IF(JA59&gt;=0.45,VLOOKUP(Calculator!E23,tbSkills!DH3:DI6,2,FALSE)+IF(AND(Calculator!B8=TRUE,Backdoors!BI40=TRUE),VLOOKUP(Calculator!E23,tbSkills!DH3:DJ6,3,FALSE),0),0))/100)))),1),"")</f>
        <v>1</v>
      </c>
      <c r="JD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A59)*JC59)*(VLOOKUP(A59,tbMoveset!A2:C112,3,FALSE)/100)*IF(VLOOKUP(A59,tbMoveset!A2:B112,2,FALSE)="Projectile",Backdoors!N10,Backdoors!N9),0),"")</f>
        <v/>
      </c>
      <c r="JE59" s="49">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42&gt;0,VLOOKUP(Calculator!E42,tbSkills!AC3:AD5,2,FALSE),Backdoors!AL3)*(IF((Backdoors!AI12+IF(JA59&gt;=0.45,VLOOKUP(Calculator!E23,tbSkills!DH3:DI6,2,FALSE)+IF(AND(Calculator!B8=TRUE,Backdoors!BI40=TRUE),VLOOKUP(Calculator!E23,tbSkills!DH3:DJ6,3,FALSE),0),0))&gt;=100,100,(Backdoors!AI12+IF(JA59&gt;=0.45,VLOOKUP(Calculator!E23,tbSkills!DH3:DI6,2,FALSE)+IF(AND(Calculator!B8=TRUE,Backdoors!BI40=TRUE),VLOOKUP(Calculator!E23,tbSkills!DH3:DJ6,3,FALSE),0),0)))/100)),1))*IF(VLOOKUP(A59,tbMoveset!A2:K112,11,FALSE)=TRUE,Backdoors!AC5,1))*JB59,0),"")</f>
        <v>0</v>
      </c>
      <c r="JF59" s="49">
        <f>VLOOKUP(A59,tbMoveset!A2:G112,7,FALSE)*IFERROR(IF(Backdoors!AI12&gt;=0,1+(IF(Calculator!E40&gt;0,VLOOKUP(Calculator!E40,tbSkills!AI3:AJ5,2,FALSE),Backdoors!AL4)*(IF((Backdoors!AI12+IF(JA59&gt;=0.45,VLOOKUP(Calculator!E23,tbSkills!DH3:DI6,2,FALSE)+IF(AND(Calculator!B8=TRUE,Backdoors!BI40=TRUE),VLOOKUP(Calculator!E23,tbSkills!DH3:DJ6,3,FALSE),0),0))&gt;=100,100,(Backdoors!AI12+IF(JA59&gt;=0.45,VLOOKUP(Calculator!E23,tbSkills!DH3:DI6,2,FALSE)+IF(AND(Calculator!B8=TRUE,Backdoors!BI40=TRUE),VLOOKUP(Calculator!E23,tbSkills!DH3:DJ6,3,FALSE),0),0)))/100)),1),1)</f>
        <v>0.5</v>
      </c>
      <c r="JG59" s="87">
        <f t="shared" si="29"/>
        <v>0</v>
      </c>
      <c r="JH59" s="86" t="str">
        <f>IFERROR(IF(VLOOKUP(A59,tbMoveset!A2:B112,2,FALSE)="Sever",Backdoors!AY41/100,IF(VLOOKUP(A59,tbMoveset!A2:B112,2,FALSE)="Blunt",Backdoors!AZ41/100,Backdoors!BA41/100)),"")</f>
        <v/>
      </c>
      <c r="JI59" s="49">
        <f>IFERROR(IF(VLOOKUP(tbMoveset!A59,tbMoveset!A2:H112,8,FALSE)="Other",IF(VLOOKUP(tbMoveset!A59,tbMoveset!A2:I112,9,FALSE)="Fire",Backdoors!BB41,IF(VLOOKUP(tbMoveset!A59,tbMoveset!A2:I112,9,FALSE)="Water",Backdoors!BC41,IF(VLOOKUP(tbMoveset!A59,tbMoveset!A2:I112,9,FALSE)="Thunder",Backdoors!BD41,IF(VLOOKUP(tbMoveset!A59,tbMoveset!A2:I112,9,FALSE)="Ice",Backdoors!BE41,IF(VLOOKUP(tbMoveset!A59,tbMoveset!A2:I112,9,FALSE)="Dragon",Backdoors!BF41,Backdoors!BG41)))))/100,Backdoors!BG41/100),"")</f>
        <v>0</v>
      </c>
      <c r="JJ59" s="49">
        <f>IFERROR(IF(VLOOKUP(A59,tbMoveset!A2:J112,10,FALSE)=TRUE,IF((Backdoors!AI12+IF(JH59&gt;=0.45,VLOOKUP(Calculator!E23,tbSkills!DH3:DI6,2,FALSE)+IF(AND(Calculator!B8=TRUE,Backdoors!BI41=TRUE),VLOOKUP(Calculator!E23,tbSkills!DH3:DJ6,3,FALSE),0),0))&gt;=0,1+(Backdoors!AL2*(IF((Backdoors!AI12+IF(JH59&gt;=0.45,VLOOKUP(Calculator!E23,tbSkills!DH3:DI6,2,FALSE)+IF(AND(Calculator!B8=TRUE,Backdoors!BI41=TRUE),VLOOKUP(Calculator!E23,tbSkills!DH3:DJ6,3,FALSE),0),0))&gt;=100,100,(Backdoors!AI12+IF(JH59&gt;=0.45,VLOOKUP(Calculator!E23,tbSkills!DH3:DI6,2,FALSE)+IF(AND(Calculator!B8=TRUE,Backdoors!BI41=TRUE),VLOOKUP(Calculator!E23,tbSkills!DH3:DJ6,3,FALSE),0),0)))/100)),(1-(0.25*((-Backdoors!AI12-IF(JH59&gt;=0.45,VLOOKUP(Calculator!E23,tbSkills!DH3:DI6,2,FALSE)+IF(AND(Calculator!B8=TRUE,Backdoors!BI41=TRUE),VLOOKUP(Calculator!E23,tbSkills!DH3:DJ6,3,FALSE),0),0))/100)))),1),"")</f>
        <v>1</v>
      </c>
      <c r="JK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H59)*JJ59)*(VLOOKUP(A59,tbMoveset!A2:C112,3,FALSE)/100)*IF(VLOOKUP(A59,tbMoveset!A2:B112,2,FALSE)="Projectile",Backdoors!N10,Backdoors!N9),0),"")</f>
        <v/>
      </c>
      <c r="JL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43&gt;0,VLOOKUP(Calculator!E43,tbSkills!AC3:AD5,2,FALSE),Backdoors!AL3)*(IF((Backdoors!AI12+IF(JH59&gt;=0.45,VLOOKUP(Calculator!E23,tbSkills!DH3:DI6,2,FALSE)+IF(AND(Calculator!B8=TRUE,Backdoors!BI41=TRUE),VLOOKUP(Calculator!E23,tbSkills!DH3:DJ6,3,FALSE),0),0))&gt;=100,100,(Backdoors!AI12+IF(JH59&gt;=0.45,VLOOKUP(Calculator!E23,tbSkills!DH3:DI6,2,FALSE)+IF(AND(Calculator!B8=TRUE,Backdoors!BI41=TRUE),VLOOKUP(Calculator!E23,tbSkills!DH3:DJ6,3,FALSE),0),0)))/100)),1))*IF(VLOOKUP(A59,tbMoveset!A2:K112,11,FALSE)=TRUE,Backdoors!AC5,1))*JI59,0),"")</f>
        <v/>
      </c>
      <c r="JM59" s="49">
        <f>VLOOKUP(A59,tbMoveset!A2:G112,7,FALSE)*IFERROR(IF(Backdoors!AI12&gt;=0,1+(IF(Calculator!E40&gt;0,VLOOKUP(Calculator!E40,tbSkills!AI3:AJ5,2,FALSE),Backdoors!AL4)*(IF((Backdoors!AI12+IF(JH59&gt;=0.45,VLOOKUP(Calculator!E23,tbSkills!DH3:DI6,2,FALSE)+IF(AND(Calculator!B8=TRUE,Backdoors!BI41=TRUE),VLOOKUP(Calculator!E23,tbSkills!DH3:DJ6,3,FALSE),0),0))&gt;=100,100,(Backdoors!AI12+IF(JH59&gt;=0.45,VLOOKUP(Calculator!E23,tbSkills!DH3:DI6,2,FALSE)+IF(AND(Calculator!B8=TRUE,Backdoors!BI41=TRUE),VLOOKUP(Calculator!E23,tbSkills!DH3:DJ6,3,FALSE),0),0)))/100)),1),1)</f>
        <v>0.5</v>
      </c>
      <c r="JN59" s="87">
        <f t="shared" si="30"/>
        <v>0</v>
      </c>
      <c r="JO59" s="86" t="str">
        <f>IFERROR(IF(VLOOKUP(A59,tbMoveset!A2:B112,2,FALSE)="Sever",Backdoors!AY42/100,IF(VLOOKUP(A59,tbMoveset!A2:B112,2,FALSE)="Blunt",Backdoors!AZ42/100,Backdoors!BA42/100)),"")</f>
        <v/>
      </c>
      <c r="JP59" s="49">
        <f>IFERROR(IF(VLOOKUP(tbMoveset!A59,tbMoveset!A2:H112,8,FALSE)="Other",IF(VLOOKUP(tbMoveset!A59,tbMoveset!A2:I112,9,FALSE)="Fire",Backdoors!BB42,IF(VLOOKUP(tbMoveset!A59,tbMoveset!A2:I112,9,FALSE)="Water",Backdoors!BC42,IF(VLOOKUP(tbMoveset!A59,tbMoveset!A2:I112,9,FALSE)="Thunder",Backdoors!BD42,IF(VLOOKUP(tbMoveset!A59,tbMoveset!A2:I112,9,FALSE)="Ice",Backdoors!BE42,IF(VLOOKUP(tbMoveset!A59,tbMoveset!A2:I112,9,FALSE)="Dragon",Backdoors!BF42,Backdoors!BG42)))))/100,Backdoors!BG42/100),"")</f>
        <v>0</v>
      </c>
      <c r="JQ59" s="49">
        <f>IFERROR(IF(VLOOKUP(A59,tbMoveset!A2:J112,10,FALSE)=TRUE,IF((Backdoors!AI12+IF(JO59&gt;=0.45,VLOOKUP(Calculator!E23,tbSkills!DH3:DI6,2,FALSE)+IF(AND(Calculator!B8=TRUE,Backdoors!BI42=TRUE),VLOOKUP(Calculator!E23,tbSkills!DH3:DJ6,3,FALSE),0),0))&gt;=0,1+(Backdoors!AL2*(IF((Backdoors!AI12+IF(JO59&gt;=0.45,VLOOKUP(Calculator!E23,tbSkills!DH3:DI6,2,FALSE)+IF(AND(Calculator!B8=TRUE,Backdoors!BI42=TRUE),VLOOKUP(Calculator!E23,tbSkills!DH3:DJ6,3,FALSE),0),0))&gt;=100,100,(Backdoors!AI12+IF(JO59&gt;=0.45,VLOOKUP(Calculator!E23,tbSkills!DH3:DI6,2,FALSE)+IF(AND(Calculator!B8=TRUE,Backdoors!BI42=TRUE),VLOOKUP(Calculator!E23,tbSkills!DH3:DJ6,3,FALSE),0),0)))/100)),(1-(0.25*((-Backdoors!AI12-IF(JO59&gt;=0.45,VLOOKUP(Calculator!E23,tbSkills!DH3:DI6,2,FALSE)+IF(AND(Calculator!B8=TRUE,Backdoors!BI42=TRUE),VLOOKUP(Calculator!E23,tbSkills!DH3:DJ6,3,FALSE),0),0))/100)))),1),"")</f>
        <v>1</v>
      </c>
      <c r="JR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O59)*JQ59)*(VLOOKUP(A59,tbMoveset!A2:C112,3,FALSE)/100)*IF(VLOOKUP(A59,tbMoveset!A2:B112,2,FALSE)="Projectile",Backdoors!N10,Backdoors!N9),0),"")</f>
        <v/>
      </c>
      <c r="JS59" s="49">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45&gt;0,VLOOKUP(Calculator!E45,tbSkills!AC3:AD5,2,FALSE),Backdoors!AL3)*(IF((Backdoors!AI12+IF(JO59&gt;=0.45,VLOOKUP(Calculator!E23,tbSkills!DH3:DI6,2,FALSE)+IF(AND(Calculator!B8=TRUE,Backdoors!BI42=TRUE),VLOOKUP(Calculator!E23,tbSkills!DH3:DJ6,3,FALSE),0),0))&gt;=100,100,(Backdoors!AI12+IF(JO59&gt;=0.45,VLOOKUP(Calculator!E23,tbSkills!DH3:DI6,2,FALSE)+IF(AND(Calculator!B8=TRUE,Backdoors!BI42=TRUE),VLOOKUP(Calculator!E23,tbSkills!DH3:DJ6,3,FALSE),0),0)))/100)),1))*IF(VLOOKUP(A59,tbMoveset!A2:K112,11,FALSE)=TRUE,Backdoors!AC5,1))*JP59,0),"")</f>
        <v>0</v>
      </c>
      <c r="JT59" s="49">
        <f>VLOOKUP(A59,tbMoveset!A2:G112,7,FALSE)*IFERROR(IF(Backdoors!AI12&gt;=0,1+(IF(Calculator!E40&gt;0,VLOOKUP(Calculator!E40,tbSkills!AI3:AJ5,2,FALSE),Backdoors!AL4)*(IF((Backdoors!AI12+IF(JO59&gt;=0.45,VLOOKUP(Calculator!E23,tbSkills!DH3:DI6,2,FALSE)+IF(AND(Calculator!B8=TRUE,Backdoors!BI42=TRUE),VLOOKUP(Calculator!E23,tbSkills!DH3:DJ6,3,FALSE),0),0))&gt;=100,100,(Backdoors!AI12+IF(JO59&gt;=0.45,VLOOKUP(Calculator!E23,tbSkills!DH3:DI6,2,FALSE)+IF(AND(Calculator!B8=TRUE,Backdoors!BI42=TRUE),VLOOKUP(Calculator!E23,tbSkills!DH3:DJ6,3,FALSE),0),0)))/100)),1),1)</f>
        <v>0.5</v>
      </c>
      <c r="JU59" s="87">
        <f t="shared" si="31"/>
        <v>0</v>
      </c>
      <c r="JV59" s="86" t="str">
        <f>IFERROR(IF(VLOOKUP(A59,tbMoveset!A2:B112,2,FALSE)="Sever",Backdoors!AY43/100,IF(VLOOKUP(A59,tbMoveset!A2:B112,2,FALSE)="Blunt",Backdoors!AZ43/100,Backdoors!BA43/100)),"")</f>
        <v/>
      </c>
      <c r="JW59" s="49">
        <f>IFERROR(IF(VLOOKUP(tbMoveset!A59,tbMoveset!A2:H112,8,FALSE)="Other",IF(VLOOKUP(tbMoveset!A59,tbMoveset!A2:I112,9,FALSE)="Fire",Backdoors!BB43,IF(VLOOKUP(tbMoveset!A59,tbMoveset!A2:I112,9,FALSE)="Water",Backdoors!BC43,IF(VLOOKUP(tbMoveset!A59,tbMoveset!A2:I112,9,FALSE)="Thunder",Backdoors!BD43,IF(VLOOKUP(tbMoveset!A59,tbMoveset!A2:I112,9,FALSE)="Ice",Backdoors!BE43,IF(VLOOKUP(tbMoveset!A59,tbMoveset!A2:I112,9,FALSE)="Dragon",Backdoors!BF43,Backdoors!BG43)))))/100,Backdoors!BG43/100),"")</f>
        <v>0</v>
      </c>
      <c r="JX59" s="49">
        <f>IFERROR(IF(VLOOKUP(A59,tbMoveset!A2:J112,10,FALSE)=TRUE,IF((Backdoors!AI12+IF(JV59&gt;=0.45,VLOOKUP(Calculator!E23,tbSkills!DH3:DI6,2,FALSE)+IF(AND(Calculator!B8=TRUE,Backdoors!BI43=TRUE),VLOOKUP(Calculator!E23,tbSkills!DH3:DJ6,3,FALSE),0),0))&gt;=0,1+(Backdoors!AL2*(IF((Backdoors!AI12+IF(JV59&gt;=0.45,VLOOKUP(Calculator!E23,tbSkills!DH3:DI6,2,FALSE)+IF(AND(Calculator!B8=TRUE,Backdoors!BI43=TRUE),VLOOKUP(Calculator!E23,tbSkills!DH3:DJ6,3,FALSE),0),0))&gt;=100,100,(Backdoors!AI12+IF(JV59&gt;=0.45,VLOOKUP(Calculator!E23,tbSkills!DH3:DI6,2,FALSE)+IF(AND(Calculator!B8=TRUE,Backdoors!BI43=TRUE),VLOOKUP(Calculator!E23,tbSkills!DH3:DJ6,3,FALSE),0),0)))/100)),(1-(0.25*((-Backdoors!AI12-IF(JV59&gt;=0.45,VLOOKUP(Calculator!E23,tbSkills!DH3:DI6,2,FALSE)+IF(AND(Calculator!B8=TRUE,Backdoors!BI43=TRUE),VLOOKUP(Calculator!E23,tbSkills!DH3:DJ6,3,FALSE),0),0))/100)))),1),"")</f>
        <v>1</v>
      </c>
      <c r="JY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V59)*JX59)*(VLOOKUP(A59,tbMoveset!A2:C112,3,FALSE)/100)*IF(VLOOKUP(A59,tbMoveset!A2:B112,2,FALSE)="Projectile",Backdoors!N10,Backdoors!N9),0),"")</f>
        <v/>
      </c>
      <c r="JZ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46&gt;0,VLOOKUP(Calculator!E46,tbSkills!AC3:AD5,2,FALSE),Backdoors!AL3)*(IF((Backdoors!AI12+IF(JV59&gt;=0.45,VLOOKUP(Calculator!E23,tbSkills!DH3:DI6,2,FALSE)+IF(AND(Calculator!B8=TRUE,Backdoors!BI43=TRUE),VLOOKUP(Calculator!E23,tbSkills!DH3:DJ6,3,FALSE),0),0))&gt;=100,100,(Backdoors!AI12+IF(JV59&gt;=0.45,VLOOKUP(Calculator!E23,tbSkills!DH3:DI6,2,FALSE)+IF(AND(Calculator!B8=TRUE,Backdoors!BI43=TRUE),VLOOKUP(Calculator!E23,tbSkills!DH3:DJ6,3,FALSE),0),0)))/100)),1))*IF(VLOOKUP(A59,tbMoveset!A2:K112,11,FALSE)=TRUE,Backdoors!AC5,1))*JW59,0),"")</f>
        <v/>
      </c>
      <c r="KA59" s="49">
        <f>VLOOKUP(A59,tbMoveset!A2:G112,7,FALSE)*IFERROR(IF(Backdoors!AI12&gt;=0,1+(IF(Calculator!E40&gt;0,VLOOKUP(Calculator!E40,tbSkills!AI3:AJ5,2,FALSE),Backdoors!AL4)*(IF((Backdoors!AI12+IF(JV59&gt;=0.45,VLOOKUP(Calculator!E23,tbSkills!DH3:DI6,2,FALSE)+IF(AND(Calculator!B8=TRUE,Backdoors!BI43=TRUE),VLOOKUP(Calculator!E23,tbSkills!DH3:DJ6,3,FALSE),0),0))&gt;=100,100,(Backdoors!AI12+IF(JV59&gt;=0.45,VLOOKUP(Calculator!E23,tbSkills!DH3:DI6,2,FALSE)+IF(AND(Calculator!B8=TRUE,Backdoors!BI43=TRUE),VLOOKUP(Calculator!E23,tbSkills!DH3:DJ6,3,FALSE),0),0)))/100)),1),1)</f>
        <v>0.5</v>
      </c>
      <c r="KB59" s="87">
        <f t="shared" si="32"/>
        <v>0</v>
      </c>
      <c r="KC59" s="86" t="str">
        <f>IFERROR(IF(VLOOKUP(A59,tbMoveset!A2:B112,2,FALSE)="Sever",Backdoors!AY44/100,IF(VLOOKUP(A59,tbMoveset!A2:B112,2,FALSE)="Blunt",Backdoors!AZ44/100,Backdoors!BA44/100)),"")</f>
        <v/>
      </c>
      <c r="KD59" s="49">
        <f>IFERROR(IF(VLOOKUP(tbMoveset!A59,tbMoveset!A2:H112,8,FALSE)="Other",IF(VLOOKUP(tbMoveset!A59,tbMoveset!A2:I112,9,FALSE)="Fire",Backdoors!BB44,IF(VLOOKUP(tbMoveset!A59,tbMoveset!A2:I112,9,FALSE)="Water",Backdoors!BC44,IF(VLOOKUP(tbMoveset!A59,tbMoveset!A2:I112,9,FALSE)="Thunder",Backdoors!BD44,IF(VLOOKUP(tbMoveset!A59,tbMoveset!A2:I112,9,FALSE)="Ice",Backdoors!BE44,IF(VLOOKUP(tbMoveset!A59,tbMoveset!A2:I112,9,FALSE)="Dragon",Backdoors!BF44,Backdoors!BG44)))))/100,Backdoors!BG44/100),"")</f>
        <v>0</v>
      </c>
      <c r="KE59" s="49">
        <f>IFERROR(IF(VLOOKUP(A59,tbMoveset!A2:J112,10,FALSE)=TRUE,IF((Backdoors!AI12+IF(KC59&gt;=0.45,VLOOKUP(Calculator!E23,tbSkills!DH3:DI6,2,FALSE)+IF(AND(Calculator!B8=TRUE,Backdoors!BI44=TRUE),VLOOKUP(Calculator!E23,tbSkills!DH3:DJ6,3,FALSE),0),0))&gt;=0,1+(Backdoors!AL2*(IF((Backdoors!AI12+IF(KC59&gt;=0.45,VLOOKUP(Calculator!E23,tbSkills!DH3:DI6,2,FALSE)+IF(AND(Calculator!B8=TRUE,Backdoors!BI44=TRUE),VLOOKUP(Calculator!E23,tbSkills!DH3:DJ6,3,FALSE),0),0))&gt;=100,100,(Backdoors!AI12+IF(KC59&gt;=0.45,VLOOKUP(Calculator!E23,tbSkills!DH3:DI6,2,FALSE)+IF(AND(Calculator!B8=TRUE,Backdoors!BI44=TRUE),VLOOKUP(Calculator!E23,tbSkills!DH3:DJ6,3,FALSE),0),0)))/100)),(1-(0.25*((-Backdoors!AI12-IF(KC59&gt;=0.45,VLOOKUP(Calculator!E23,tbSkills!DH3:DI6,2,FALSE)+IF(AND(Calculator!B8=TRUE,Backdoors!BI44=TRUE),VLOOKUP(Calculator!E23,tbSkills!DH3:DJ6,3,FALSE),0),0))/100)))),1),"")</f>
        <v>1</v>
      </c>
      <c r="KF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KC59)*KE59)*(VLOOKUP(A59,tbMoveset!A2:C112,3,FALSE)/100)*IF(VLOOKUP(A59,tbMoveset!A2:B112,2,FALSE)="Projectile",Backdoors!N10,Backdoors!N9),0),"")</f>
        <v/>
      </c>
      <c r="KG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REF!&gt;0,VLOOKUP(Calculator!#REF!,tbSkills!AC3:AD5,2,FALSE),Backdoors!AL3)*(IF((Backdoors!AI12+IF(KC59&gt;=0.45,VLOOKUP(Calculator!E23,tbSkills!DH3:DI6,2,FALSE)+IF(AND(Calculator!B8=TRUE,Backdoors!BI44=TRUE),VLOOKUP(Calculator!E23,tbSkills!DH3:DJ6,3,FALSE),0),0))&gt;=100,100,(Backdoors!AI12+IF(KC59&gt;=0.45,VLOOKUP(Calculator!E23,tbSkills!DH3:DI6,2,FALSE)+IF(AND(Calculator!B8=TRUE,Backdoors!BI44=TRUE),VLOOKUP(Calculator!E23,tbSkills!DH3:DJ6,3,FALSE),0),0)))/100)),1))*IF(VLOOKUP(A59,tbMoveset!A2:K112,11,FALSE)=TRUE,Backdoors!AC5,1))*KD59,0),"")</f>
        <v/>
      </c>
      <c r="KH59" s="49">
        <f>VLOOKUP(A59,tbMoveset!A2:G112,7,FALSE)*IFERROR(IF(Backdoors!AI12&gt;=0,1+(IF(Calculator!E40&gt;0,VLOOKUP(Calculator!E40,tbSkills!AI3:AJ5,2,FALSE),Backdoors!AL4)*(IF((Backdoors!AI12+IF(KC59&gt;=0.45,VLOOKUP(Calculator!E23,tbSkills!DH3:DI6,2,FALSE)+IF(AND(Calculator!B8=TRUE,Backdoors!BI44=TRUE),VLOOKUP(Calculator!E23,tbSkills!DH3:DJ6,3,FALSE),0),0))&gt;=100,100,(Backdoors!AI12+IF(KC59&gt;=0.45,VLOOKUP(Calculator!E23,tbSkills!DH3:DI6,2,FALSE)+IF(AND(Calculator!B8=TRUE,Backdoors!BI44=TRUE),VLOOKUP(Calculator!E23,tbSkills!DH3:DJ6,3,FALSE),0),0)))/100)),1),1)</f>
        <v>0.5</v>
      </c>
      <c r="KI59" s="87">
        <f t="shared" si="33"/>
        <v>0</v>
      </c>
      <c r="KJ59" s="86" t="str">
        <f>IFERROR(IF(VLOOKUP(A59,tbMoveset!A2:B112,2,FALSE)="Sever",Backdoors!AY45/100,IF(VLOOKUP(A59,tbMoveset!A2:B112,2,FALSE)="Blunt",Backdoors!AZ45/100,Backdoors!BA45/100)),"")</f>
        <v/>
      </c>
      <c r="KK59" s="49">
        <f>IFERROR(IF(VLOOKUP(tbMoveset!A59,tbMoveset!A2:H112,8,FALSE)="Other",IF(VLOOKUP(tbMoveset!A59,tbMoveset!A2:I112,9,FALSE)="Fire",Backdoors!BB45,IF(VLOOKUP(tbMoveset!A59,tbMoveset!A2:I112,9,FALSE)="Water",Backdoors!BC45,IF(VLOOKUP(tbMoveset!A59,tbMoveset!A2:I112,9,FALSE)="Thunder",Backdoors!BD45,IF(VLOOKUP(tbMoveset!A59,tbMoveset!A2:I112,9,FALSE)="Ice",Backdoors!BE45,IF(VLOOKUP(tbMoveset!A59,tbMoveset!A2:I112,9,FALSE)="Dragon",Backdoors!BF45,Backdoors!BG45)))))/100,Backdoors!BG45/100),"")</f>
        <v>0</v>
      </c>
      <c r="KL59" s="49">
        <f>IFERROR(IF(VLOOKUP(A59,tbMoveset!A2:J112,10,FALSE)=TRUE,IF((Backdoors!AI12+IF(KJ59&gt;=0.45,VLOOKUP(Calculator!E23,tbSkills!DH3:DI6,2,FALSE)+IF(AND(Calculator!B8=TRUE,Backdoors!BI45=TRUE),VLOOKUP(Calculator!E23,tbSkills!DH3:DJ6,3,FALSE),0),0))&gt;=0,1+(Backdoors!AL2*(IF((Backdoors!AI12+IF(KJ59&gt;=0.45,VLOOKUP(Calculator!E23,tbSkills!DH3:DI6,2,FALSE)+IF(AND(Calculator!B8=TRUE,Backdoors!BI45=TRUE),VLOOKUP(Calculator!E23,tbSkills!DH3:DJ6,3,FALSE),0),0))&gt;=100,100,(Backdoors!AI12+IF(KJ59&gt;=0.45,VLOOKUP(Calculator!E23,tbSkills!DH3:DI6,2,FALSE)+IF(AND(Calculator!B8=TRUE,Backdoors!BI45=TRUE),VLOOKUP(Calculator!E23,tbSkills!DH3:DJ6,3,FALSE),0),0)))/100)),(1-(0.25*((-Backdoors!AI12-IF(KJ59&gt;=0.45,VLOOKUP(Calculator!E23,tbSkills!DH3:DI6,2,FALSE)+IF(AND(Calculator!B8=TRUE,Backdoors!BI45=TRUE),VLOOKUP(Calculator!E23,tbSkills!DH3:DJ6,3,FALSE),0),0))/100)))),1),"")</f>
        <v>1</v>
      </c>
      <c r="KM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KJ59)*KL59)*(VLOOKUP(A59,tbMoveset!A2:C112,3,FALSE)/100)*IF(VLOOKUP(A59,tbMoveset!A2:B112,2,FALSE)="Projectile",Backdoors!N10,Backdoors!N9),0),"")</f>
        <v/>
      </c>
      <c r="KN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REF!&gt;0,VLOOKUP(Calculator!#REF!,tbSkills!AC3:AD5,2,FALSE),Backdoors!AL3)*(IF((Backdoors!AI12+IF(KJ59&gt;=0.45,VLOOKUP(Calculator!E23,tbSkills!DH3:DI6,2,FALSE)+IF(AND(Calculator!B8=TRUE,Backdoors!BI45=TRUE),VLOOKUP(Calculator!E23,tbSkills!DH3:DJ6,3,FALSE),0),0))&gt;=100,100,(Backdoors!AI12+IF(KJ59&gt;=0.45,VLOOKUP(Calculator!E23,tbSkills!DH3:DI6,2,FALSE)+IF(AND(Calculator!B8=TRUE,Backdoors!BI45=TRUE),VLOOKUP(Calculator!E23,tbSkills!DH3:DJ6,3,FALSE),0),0)))/100)),1))*IF(VLOOKUP(A59,tbMoveset!A2:K112,11,FALSE)=TRUE,Backdoors!AC5,1))*KK59,0),"")</f>
        <v/>
      </c>
      <c r="KO59" s="49">
        <f>VLOOKUP(A59,tbMoveset!A2:G112,7,FALSE)*IFERROR(IF(Backdoors!AI12&gt;=0,1+(IF(Calculator!E40&gt;0,VLOOKUP(Calculator!E40,tbSkills!AI3:AJ5,2,FALSE),Backdoors!AL4)*(IF((Backdoors!AI12+IF(KJ59&gt;=0.45,VLOOKUP(Calculator!E23,tbSkills!DH3:DI6,2,FALSE)+IF(AND(Calculator!B8=TRUE,Backdoors!BI45=TRUE),VLOOKUP(Calculator!E23,tbSkills!DH3:DJ6,3,FALSE),0),0))&gt;=100,100,(Backdoors!AI12+IF(KJ59&gt;=0.45,VLOOKUP(Calculator!E23,tbSkills!DH3:DI6,2,FALSE)+IF(AND(Calculator!B8=TRUE,Backdoors!BI45=TRUE),VLOOKUP(Calculator!E23,tbSkills!DH3:DJ6,3,FALSE),0),0)))/100)),1),1)</f>
        <v>0.5</v>
      </c>
      <c r="KP59" s="87">
        <f t="shared" si="34"/>
        <v>0</v>
      </c>
      <c r="KQ59" s="86" t="str">
        <f>IFERROR(IF(VLOOKUP(A59,tbMoveset!A2:B112,2,FALSE)="Sever",Backdoors!AY46/100,IF(VLOOKUP(A59,tbMoveset!A2:B112,2,FALSE)="Blunt",Backdoors!AZ46/100,Backdoors!BA46/100)),"")</f>
        <v/>
      </c>
      <c r="KR59" s="49">
        <f>IFERROR(IF(VLOOKUP(tbMoveset!A59,tbMoveset!A2:H112,8,FALSE)="Other",IF(VLOOKUP(tbMoveset!A59,tbMoveset!A2:I112,9,FALSE)="Fire",Backdoors!BB46,IF(VLOOKUP(tbMoveset!A59,tbMoveset!A2:I112,9,FALSE)="Water",Backdoors!BC46,IF(VLOOKUP(tbMoveset!A59,tbMoveset!A2:I112,9,FALSE)="Thunder",Backdoors!BD46,IF(VLOOKUP(tbMoveset!A59,tbMoveset!A2:I112,9,FALSE)="Ice",Backdoors!BE46,IF(VLOOKUP(tbMoveset!A59,tbMoveset!A2:I112,9,FALSE)="Dragon",Backdoors!BF46,Backdoors!BG46)))))/100,Backdoors!BG46/100),"")</f>
        <v>0</v>
      </c>
      <c r="KS59" s="49">
        <f>IFERROR(IF(VLOOKUP(A59,tbMoveset!A2:J112,10,FALSE)=TRUE,IF((Backdoors!AI12+IF(KQ59&gt;=0.45,VLOOKUP(Calculator!E23,tbSkills!DH3:DI6,2,FALSE)+IF(AND(Calculator!B8=TRUE,Backdoors!BI46=TRUE),VLOOKUP(Calculator!E23,tbSkills!DH3:DJ6,3,FALSE),0),0))&gt;=0,1+(Backdoors!AL2*(IF((Backdoors!AI12+IF(KQ59&gt;=0.45,VLOOKUP(Calculator!E23,tbSkills!DH3:DI6,2,FALSE)+IF(AND(Calculator!B8=TRUE,Backdoors!BI46=TRUE),VLOOKUP(Calculator!E23,tbSkills!DH3:DJ6,3,FALSE),0),0))&gt;=100,100,(Backdoors!AI12+IF(KQ59&gt;=0.45,VLOOKUP(Calculator!E23,tbSkills!DH3:DI6,2,FALSE)+IF(AND(Calculator!B8=TRUE,Backdoors!BI46=TRUE),VLOOKUP(Calculator!E23,tbSkills!DH3:DJ6,3,FALSE),0),0)))/100)),(1-(0.25*((-Backdoors!AI12-IF(KQ59&gt;=0.45,VLOOKUP(Calculator!E23,tbSkills!DH3:DI6,2,FALSE)+IF(AND(Calculator!B8=TRUE,Backdoors!BI46=TRUE),VLOOKUP(Calculator!E23,tbSkills!DH3:DJ6,3,FALSE),0),0))/100)))),1),"")</f>
        <v>1</v>
      </c>
      <c r="KT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KQ59)*KS59)*(VLOOKUP(A59,tbMoveset!A2:C112,3,FALSE)/100)*IF(VLOOKUP(A59,tbMoveset!A2:B112,2,FALSE)="Projectile",Backdoors!N10,Backdoors!N9),0),"")</f>
        <v/>
      </c>
      <c r="KU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REF!&gt;0,VLOOKUP(Calculator!#REF!,tbSkills!AC3:AD5,2,FALSE),Backdoors!AL3)*(IF((Backdoors!AI12+IF(KQ59&gt;=0.45,VLOOKUP(Calculator!E23,tbSkills!DH3:DI6,2,FALSE)+IF(AND(Calculator!B8=TRUE,Backdoors!BI46=TRUE),VLOOKUP(Calculator!E23,tbSkills!DH3:DJ6,3,FALSE),0),0))&gt;=100,100,(Backdoors!AI12+IF(KQ59&gt;=0.45,VLOOKUP(Calculator!E23,tbSkills!DH3:DI6,2,FALSE)+IF(AND(Calculator!B8=TRUE,Backdoors!BI46=TRUE),VLOOKUP(Calculator!E23,tbSkills!DH3:DJ6,3,FALSE),0),0)))/100)),1))*IF(VLOOKUP(A59,tbMoveset!A2:K112,11,FALSE)=TRUE,Backdoors!AC5,1))*KR59,0),"")</f>
        <v/>
      </c>
      <c r="KV59" s="49">
        <f>VLOOKUP(A59,tbMoveset!A2:G112,7,FALSE)*IFERROR(IF(Backdoors!AI12&gt;=0,1+(IF(Calculator!E40&gt;0,VLOOKUP(Calculator!E40,tbSkills!AI3:AJ5,2,FALSE),Backdoors!AL4)*(IF((Backdoors!AI12+IF(KQ59&gt;=0.45,VLOOKUP(Calculator!E23,tbSkills!DH3:DI6,2,FALSE)+IF(AND(Calculator!B8=TRUE,Backdoors!BI46=TRUE),VLOOKUP(Calculator!E23,tbSkills!DH3:DJ6,3,FALSE),0),0))&gt;=100,100,(Backdoors!AI12+IF(KQ59&gt;=0.45,VLOOKUP(Calculator!E23,tbSkills!DH3:DI6,2,FALSE)+IF(AND(Calculator!B8=TRUE,Backdoors!BI46=TRUE),VLOOKUP(Calculator!E23,tbSkills!DH3:DJ6,3,FALSE),0),0)))/100)),1),1)</f>
        <v>0.5</v>
      </c>
      <c r="KW59" s="87">
        <f t="shared" si="35"/>
        <v>0</v>
      </c>
    </row>
    <row r="60" spans="1:309" x14ac:dyDescent="0.25">
      <c r="A60" s="95" t="str">
        <f>tbMoveset!A60</f>
        <v>Blade Dance (R3)</v>
      </c>
      <c r="B60" s="86">
        <f>IFERROR(IF(VLOOKUP(A60,tbMoveset!A2:B112,2,FALSE)="Sever",Backdoors!AY3/100,IF(VLOOKUP(A60,tbMoveset!A2:B112,2,FALSE)="Blunt",Backdoors!AZ3/100,Backdoors!BA3/100)),"")</f>
        <v>0.8</v>
      </c>
      <c r="C60" s="49">
        <f>IFERROR(IF(VLOOKUP(tbMoveset!A60,tbMoveset!A2:H112,8,FALSE)="Other",IF(VLOOKUP(tbMoveset!A60,tbMoveset!A2:I112,9,FALSE)="Fire",Backdoors!BB3,IF(VLOOKUP(tbMoveset!A60,tbMoveset!A2:I112,9,FALSE)="Water",Backdoors!BC3,IF(VLOOKUP(tbMoveset!A60,tbMoveset!A2:I112,9,FALSE)="Thunder",Backdoors!BD3,IF(VLOOKUP(tbMoveset!A60,tbMoveset!A2:I112,9,FALSE)="Ice",Backdoors!BE3,IF(VLOOKUP(tbMoveset!A60,tbMoveset!A2:I112,9,FALSE)="Dragon",Backdoors!BF3,Backdoors!BG3)))))/100,Backdoors!BG3/100),"")</f>
        <v>0</v>
      </c>
      <c r="D60" s="49">
        <f>IFERROR(IF(VLOOKUP(A60,tbMoveset!A2:J112,10,FALSE)=TRUE,IF((Backdoors!AI12+IF(B60&gt;=0.45,VLOOKUP(Calculator!E23,tbSkills!DH3:DI6,2,FALSE)+IF(AND(Calculator!B8=TRUE,Backdoors!BI3=TRUE),VLOOKUP(Calculator!E23,tbSkills!DH3:DJ6,3,FALSE),0),0))&gt;=0,1+(Backdoors!AL2*(IF((Backdoors!AI12+IF(B60&gt;=0.45,VLOOKUP(Calculator!E23,tbSkills!DH3:DI6,2,FALSE)+IF(AND(Calculator!B8=TRUE,Backdoors!BI3=TRUE),VLOOKUP(Calculator!E23,tbSkills!DH3:DJ6,3,FALSE),0),0))&gt;=100,100,(Backdoors!AI12+IF(B60&gt;=0.45,VLOOKUP(Calculator!E23,tbSkills!DH3:DI6,2,FALSE)+IF(AND(Calculator!B8=TRUE,Backdoors!BI3=TRUE),VLOOKUP(Calculator!E23,tbSkills!DH3:DJ6,3,FALSE),0),0)))/100)),(1-(0.25*((-Backdoors!AI12-IF(B60&gt;=0.45,VLOOKUP(Calculator!E23,tbSkills!DH3:DI6,2,FALSE)+IF(AND(Calculator!B8=TRUE,Backdoors!BI3=TRUE),VLOOKUP(Calculator!E23,tbSkills!DH3:DJ6,3,FALSE),0),0))/100)))),1),"")</f>
        <v>1</v>
      </c>
      <c r="E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60)*D60)*(VLOOKUP(A60,tbMoveset!A2:C112,3,FALSE)/100)*IF(VLOOKUP(A60,tbMoveset!A2:B112,2,FALSE)="Projectile",Backdoors!N10,Backdoors!N9),0),"")</f>
        <v>7</v>
      </c>
      <c r="F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60&gt;=0.45,VLOOKUP(Calculator!E23,tbSkills!DH3:DI6,2,FALSE)+IF(AND(Calculator!B8=TRUE,Backdoors!BI3=TRUE),VLOOKUP(Calculator!E23,tbSkills!DH3:DJ6,3,FALSE),0),0))&gt;=100,100,(Backdoors!AI12+IF(B60&gt;=0.45,VLOOKUP(Calculator!E23,tbSkills!DH3:DI6,2,FALSE)+IF(AND(Calculator!B8=TRUE,Backdoors!BI3=TRUE),VLOOKUP(Calculator!E23,tbSkills!DH3:DJ6,3,FALSE),0),0)))/100)),1))*IF(VLOOKUP(A60,tbMoveset!A2:K112,11,FALSE)=TRUE,Backdoors!AC5,1))*C60,0),"")</f>
        <v>0</v>
      </c>
      <c r="G60">
        <f>VLOOKUP(A60,tbMoveset!A2:G112,7,FALSE)*IFERROR(IF(Backdoors!AI12&gt;=0,1+(IF(Calculator!E40&gt;0,VLOOKUP(Calculator!E40,tbSkills!AI3:AJ5,2,FALSE),Backdoors!AL4)*(IF((Backdoors!AI12+IF(B60&gt;=0.45,VLOOKUP(Calculator!E23,tbSkills!DH3:DI6,2,FALSE)+IF(AND(Calculator!B8=TRUE,Backdoors!BI3=TRUE),VLOOKUP(Calculator!E23,tbSkills!DH3:DJ6,3,FALSE),0),0))&gt;=100,100,(Backdoors!AI12+IF(B60&gt;=0.45,VLOOKUP(Calculator!E23,tbSkills!DH3:DI6,2,FALSE)+IF(AND(Calculator!B8=TRUE,Backdoors!BI3=TRUE),VLOOKUP(Calculator!E23,tbSkills!DH3:DJ6,3,FALSE),0),0)))/100)),1),1)</f>
        <v>0.5</v>
      </c>
      <c r="H60" s="87">
        <f t="shared" si="44"/>
        <v>7</v>
      </c>
      <c r="I60" s="86">
        <f>IFERROR(IF(VLOOKUP(A60,tbMoveset!A2:B112,2,FALSE)="Sever",Backdoors!AY4/100,IF(VLOOKUP(A60,tbMoveset!A2:B112,2,FALSE)="Blunt",Backdoors!AZ4/100,Backdoors!BA4/100)),"")</f>
        <v>0.65</v>
      </c>
      <c r="J60" s="49">
        <f>IFERROR(IF(VLOOKUP(tbMoveset!A60,tbMoveset!A2:H112,8,FALSE)="Other",IF(VLOOKUP(tbMoveset!A60,tbMoveset!A2:I112,9,FALSE)="Fire",Backdoors!BB4,IF(VLOOKUP(tbMoveset!A60,tbMoveset!A2:I112,9,FALSE)="Water",Backdoors!BC4,IF(VLOOKUP(tbMoveset!A60,tbMoveset!A2:I112,9,FALSE)="Thunder",Backdoors!BD4,IF(VLOOKUP(tbMoveset!A60,tbMoveset!A2:I112,9,FALSE)="Ice",Backdoors!BE4,IF(VLOOKUP(tbMoveset!A60,tbMoveset!A2:I112,9,FALSE)="Dragon",Backdoors!BF4,Backdoors!BG4)))))/100,Backdoors!BG4/100),"")</f>
        <v>0</v>
      </c>
      <c r="K60" s="49">
        <f>IFERROR(IF(VLOOKUP(A60,tbMoveset!A2:J112,10,FALSE)=TRUE,IF((Backdoors!AI12+IF(I60&gt;=0.45,VLOOKUP(Calculator!E23,tbSkills!DH3:DI6,2,FALSE)+IF(AND(Calculator!B8=TRUE,Backdoors!BI4=TRUE),VLOOKUP(Calculator!E23,tbSkills!DH3:DJ6,3,FALSE),0),0))&gt;=0,1+(Backdoors!AL2*(IF((Backdoors!AI12+IF(I60&gt;=0.45,VLOOKUP(Calculator!E23,tbSkills!DH3:DI6,2,FALSE)+IF(AND(Calculator!B8=TRUE,Backdoors!BI4=TRUE),VLOOKUP(Calculator!E23,tbSkills!DH3:DJ6,3,FALSE),0),0))&gt;=100,100,(Backdoors!AI12+IF(I60&gt;=0.45,VLOOKUP(Calculator!E23,tbSkills!DH3:DI6,2,FALSE)+IF(AND(Calculator!B8=TRUE,Backdoors!BI4=TRUE),VLOOKUP(Calculator!E23,tbSkills!DH3:DJ6,3,FALSE),0),0)))/100)),(1-(0.25*((-Backdoors!AI12-IF(I60&gt;=0.45,VLOOKUP(Calculator!E23,tbSkills!DH3:DI6,2,FALSE)+IF(AND(Calculator!B8=TRUE,Backdoors!BI4=TRUE),VLOOKUP(Calculator!E23,tbSkills!DH3:DJ6,3,FALSE),0),0))/100)))),1),"")</f>
        <v>1</v>
      </c>
      <c r="L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60)*K60)*(VLOOKUP(A60,tbMoveset!A2:C112,3,FALSE)/100)*IF(VLOOKUP(A60,tbMoveset!A2:B112,2,FALSE)="Projectile",Backdoors!N10,Backdoors!N9),0),"")</f>
        <v>5</v>
      </c>
      <c r="M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I60&gt;=0.45,VLOOKUP(Calculator!E23,tbSkills!DH3:DI6,2,FALSE)+IF(AND(Calculator!B8=TRUE,Backdoors!BI4=TRUE),VLOOKUP(Calculator!E23,tbSkills!DH3:DJ6,3,FALSE),0),0))&gt;=100,100,(Backdoors!AI12+IF(I60&gt;=0.45,VLOOKUP(Calculator!E23,tbSkills!DH3:DI6,2,FALSE)+IF(AND(Calculator!B8=TRUE,Backdoors!BI4=TRUE),VLOOKUP(Calculator!E23,tbSkills!DH3:DJ6,3,FALSE),0),0)))/100)),1))*IF(VLOOKUP(A60,tbMoveset!A2:K112,11,FALSE)=TRUE,Backdoors!AC5,1))*J60,0),"")</f>
        <v>0</v>
      </c>
      <c r="N60" s="49">
        <f>VLOOKUP(A60,tbMoveset!A2:G112,7,FALSE)*IFERROR(IF(Backdoors!AI12&gt;=0,1+(IF(Calculator!E40&gt;0,VLOOKUP(Calculator!E40,tbSkills!AI3:AJ5,2,FALSE),Backdoors!AL4)*(IF((Backdoors!AI12+IF(I60&gt;=0.45,VLOOKUP(Calculator!E23,tbSkills!DH3:DI6,2,FALSE)+IF(AND(Calculator!B8=TRUE,Backdoors!BI4=TRUE),VLOOKUP(Calculator!E23,tbSkills!DH3:DJ6,3,FALSE),0),0))&gt;=100,100,(Backdoors!AI12+IF(I60&gt;=0.45,VLOOKUP(Calculator!E23,tbSkills!DH3:DI6,2,FALSE)+IF(AND(Calculator!B8=TRUE,Backdoors!BI4=TRUE),VLOOKUP(Calculator!E23,tbSkills!DH3:DJ6,3,FALSE),0),0)))/100)),1),1)</f>
        <v>0.5</v>
      </c>
      <c r="O60" s="87">
        <f t="shared" si="45"/>
        <v>5</v>
      </c>
      <c r="P60" s="86">
        <f>IFERROR(IF(VLOOKUP(A60,tbMoveset!A2:B112,2,FALSE)="Sever",Backdoors!AY5/100,IF(VLOOKUP(A60,tbMoveset!A2:B112,2,FALSE)="Blunt",Backdoors!AZ5/100,Backdoors!BA5/100)),"")</f>
        <v>0.5</v>
      </c>
      <c r="Q60" s="49">
        <f>IFERROR(IF(VLOOKUP(tbMoveset!A60,tbMoveset!A2:H112,8,FALSE)="Other",IF(VLOOKUP(tbMoveset!A60,tbMoveset!A2:I112,9,FALSE)="Fire",Backdoors!BB5,IF(VLOOKUP(tbMoveset!A60,tbMoveset!A2:I112,9,FALSE)="Water",Backdoors!BC5,IF(VLOOKUP(tbMoveset!A60,tbMoveset!A2:I112,9,FALSE)="Thunder",Backdoors!BD5,IF(VLOOKUP(tbMoveset!A60,tbMoveset!A2:I112,9,FALSE)="Ice",Backdoors!BE5,IF(VLOOKUP(tbMoveset!A60,tbMoveset!A2:I112,9,FALSE)="Dragon",Backdoors!BF5,Backdoors!BG5)))))/100,Backdoors!BG5/100),"")</f>
        <v>0</v>
      </c>
      <c r="R60" s="49">
        <f>IFERROR(IF(VLOOKUP(A60,tbMoveset!A2:J112,10,FALSE)=TRUE,IF((Backdoors!AI12+IF(P60&gt;=0.45,VLOOKUP(Calculator!E23,tbSkills!DH3:DI6,2,FALSE)+IF(AND(Calculator!B8=TRUE,Backdoors!BI5=TRUE),VLOOKUP(Calculator!E23,tbSkills!DH3:DJ6,3,FALSE),0),0))&gt;=0,1+(Backdoors!AL2*(IF((Backdoors!AI12+IF(P60&gt;=0.45,VLOOKUP(Calculator!E23,tbSkills!DH3:DI6,2,FALSE)+IF(AND(Calculator!B8=TRUE,Backdoors!BI5=TRUE),VLOOKUP(Calculator!E23,tbSkills!DH3:DJ6,3,FALSE),0),0))&gt;=100,100,(Backdoors!AI12+IF(P60&gt;=0.45,VLOOKUP(Calculator!E23,tbSkills!DH3:DI6,2,FALSE)+IF(AND(Calculator!B8=TRUE,Backdoors!BI5=TRUE),VLOOKUP(Calculator!E23,tbSkills!DH3:DJ6,3,FALSE),0),0)))/100)),(1-(0.25*((-Backdoors!AI12-IF(P60&gt;=0.45,VLOOKUP(Calculator!E23,tbSkills!DH3:DI6,2,FALSE)+IF(AND(Calculator!B8=TRUE,Backdoors!BI5=TRUE),VLOOKUP(Calculator!E23,tbSkills!DH3:DJ6,3,FALSE),0),0))/100)))),1),"")</f>
        <v>1</v>
      </c>
      <c r="S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P60)*R60)*(VLOOKUP(A60,tbMoveset!A2:C112,3,FALSE)/100)*IF(VLOOKUP(A60,tbMoveset!A2:B112,2,FALSE)="Projectile",Backdoors!N10,Backdoors!N9),0),"")</f>
        <v>4</v>
      </c>
      <c r="T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P60&gt;=0.45,VLOOKUP(Calculator!E23,tbSkills!DH3:DI6,2,FALSE)+IF(AND(Calculator!B8=TRUE,Backdoors!BI5=TRUE),VLOOKUP(Calculator!E23,tbSkills!DH3:DJ6,3,FALSE),0),0))&gt;=100,100,(Backdoors!AI12+IF(P60&gt;=0.45,VLOOKUP(Calculator!E23,tbSkills!DH3:DI6,2,FALSE)+IF(AND(Calculator!B8=TRUE,Backdoors!BI5=TRUE),VLOOKUP(Calculator!E23,tbSkills!DH3:DJ6,3,FALSE),0),0)))/100)),1))*IF(VLOOKUP(A60,tbMoveset!A2:K112,11,FALSE)=TRUE,Backdoors!AC5,1))*Q60,0),"")</f>
        <v>0</v>
      </c>
      <c r="U60" s="49">
        <f>VLOOKUP(A60,tbMoveset!A2:G112,7,FALSE)*IFERROR(IF(Backdoors!AI12&gt;=0,1+(IF(Calculator!E40&gt;0,VLOOKUP(Calculator!E40,tbSkills!AI3:AJ5,2,FALSE),Backdoors!AL4)*(IF((Backdoors!AI12+IF(P60&gt;=0.45,VLOOKUP(Calculator!E23,tbSkills!DH3:DI6,2,FALSE)+IF(AND(Calculator!B8=TRUE,Backdoors!BI5=TRUE),VLOOKUP(Calculator!E23,tbSkills!DH3:DJ6,3,FALSE),0),0))&gt;=100,100,(Backdoors!AI12+IF(P60&gt;=0.45,VLOOKUP(Calculator!E23,tbSkills!DH3:DI6,2,FALSE)+IF(AND(Calculator!B8=TRUE,Backdoors!BI5=TRUE),VLOOKUP(Calculator!E23,tbSkills!DH3:DJ6,3,FALSE),0),0)))/100)),1),1)</f>
        <v>0.5</v>
      </c>
      <c r="V60" s="87">
        <f t="shared" si="46"/>
        <v>4</v>
      </c>
      <c r="W60" s="86">
        <f>IFERROR(IF(VLOOKUP(A60,tbMoveset!A2:B112,2,FALSE)="Sever",Backdoors!AY6/100,IF(VLOOKUP(A60,tbMoveset!A2:B112,2,FALSE)="Blunt",Backdoors!AZ6/100,Backdoors!BA6/100)),"")</f>
        <v>0.45</v>
      </c>
      <c r="X60" s="49">
        <f>IFERROR(IF(VLOOKUP(tbMoveset!A60,tbMoveset!A2:H112,8,FALSE)="Other",IF(VLOOKUP(tbMoveset!A60,tbMoveset!A2:I112,9,FALSE)="Fire",Backdoors!BB6,IF(VLOOKUP(tbMoveset!A60,tbMoveset!A2:I112,9,FALSE)="Water",Backdoors!BC6,IF(VLOOKUP(tbMoveset!A60,tbMoveset!A2:I112,9,FALSE)="Thunder",Backdoors!BD6,IF(VLOOKUP(tbMoveset!A60,tbMoveset!A2:I112,9,FALSE)="Ice",Backdoors!BE6,IF(VLOOKUP(tbMoveset!A60,tbMoveset!A2:I112,9,FALSE)="Dragon",Backdoors!BF6,Backdoors!BG6)))))/100,Backdoors!BG6/100),"")</f>
        <v>0</v>
      </c>
      <c r="Y60" s="49">
        <f>IFERROR(IF(VLOOKUP(A60,tbMoveset!A2:J112,10,FALSE)=TRUE,IF((Backdoors!AI12+IF(W60&gt;=0.45,VLOOKUP(Calculator!E23,tbSkills!DH3:DI6,2,FALSE)+IF(AND(Calculator!B8=TRUE,Backdoors!BI6=TRUE),VLOOKUP(Calculator!E23,tbSkills!DH3:DJ6,3,FALSE),0),0))&gt;=0,1+(Backdoors!AL2*(IF((Backdoors!AI12+IF(W60&gt;=0.45,VLOOKUP(Calculator!E23,tbSkills!DH3:DI6,2,FALSE)+IF(AND(Calculator!B8=TRUE,Backdoors!BI6=TRUE),VLOOKUP(Calculator!E23,tbSkills!DH3:DJ6,3,FALSE),0),0))&gt;=100,100,(Backdoors!AI12+IF(W60&gt;=0.45,VLOOKUP(Calculator!E23,tbSkills!DH3:DI6,2,FALSE)+IF(AND(Calculator!B8=TRUE,Backdoors!BI6=TRUE),VLOOKUP(Calculator!E23,tbSkills!DH3:DJ6,3,FALSE),0),0)))/100)),(1-(0.25*((-Backdoors!AI12-IF(W60&gt;=0.45,VLOOKUP(Calculator!E23,tbSkills!DH3:DI6,2,FALSE)+IF(AND(Calculator!B8=TRUE,Backdoors!BI6=TRUE),VLOOKUP(Calculator!E23,tbSkills!DH3:DJ6,3,FALSE),0),0))/100)))),1),"")</f>
        <v>1</v>
      </c>
      <c r="Z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W60)*Y60)*(VLOOKUP(A60,tbMoveset!A2:C112,3,FALSE)/100)*IF(VLOOKUP(A60,tbMoveset!A2:B112,2,FALSE)="Projectile",Backdoors!N10,Backdoors!N9),0),"")</f>
        <v>4</v>
      </c>
      <c r="AA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W60&gt;=0.45,VLOOKUP(Calculator!E23,tbSkills!DH3:DI6,2,FALSE)+IF(AND(Calculator!B8=TRUE,Backdoors!BI6=TRUE),VLOOKUP(Calculator!E23,tbSkills!DH3:DJ6,3,FALSE),0),0))&gt;=100,100,(Backdoors!AI12+IF(W60&gt;=0.45,VLOOKUP(Calculator!E23,tbSkills!DH3:DI6,2,FALSE)+IF(AND(Calculator!B8=TRUE,Backdoors!BI6=TRUE),VLOOKUP(Calculator!E23,tbSkills!DH3:DJ6,3,FALSE),0),0)))/100)),1))*IF(VLOOKUP(A60,tbMoveset!A2:K112,11,FALSE)=TRUE,Backdoors!AC5,1))*X60,0),"")</f>
        <v>0</v>
      </c>
      <c r="AB60" s="49">
        <f>VLOOKUP(A60,tbMoveset!A2:G112,7,FALSE)*IFERROR(IF(Backdoors!AI12&gt;=0,1+(IF(Calculator!E40&gt;0,VLOOKUP(Calculator!E40,tbSkills!AI3:AJ5,2,FALSE),Backdoors!AL4)*(IF((Backdoors!AI12+IF(W60&gt;=0.45,VLOOKUP(Calculator!E23,tbSkills!DH3:DI6,2,FALSE)+IF(AND(Calculator!B8=TRUE,Backdoors!BI6=TRUE),VLOOKUP(Calculator!E23,tbSkills!DH3:DJ6,3,FALSE),0),0))&gt;=100,100,(Backdoors!AI12+IF(W60&gt;=0.45,VLOOKUP(Calculator!E23,tbSkills!DH3:DI6,2,FALSE)+IF(AND(Calculator!B8=TRUE,Backdoors!BI6=TRUE),VLOOKUP(Calculator!E23,tbSkills!DH3:DJ6,3,FALSE),0),0)))/100)),1),1)</f>
        <v>0.5</v>
      </c>
      <c r="AC60" s="87">
        <f t="shared" si="47"/>
        <v>4</v>
      </c>
      <c r="AD60" s="86">
        <f>IFERROR(IF(VLOOKUP(A60,tbMoveset!A2:B112,2,FALSE)="Sever",Backdoors!AY7/100,IF(VLOOKUP(A60,tbMoveset!A2:B112,2,FALSE)="Blunt",Backdoors!AZ7/100,Backdoors!BA7/100)),"")</f>
        <v>0.65</v>
      </c>
      <c r="AE60" s="49">
        <f>IFERROR(IF(VLOOKUP(tbMoveset!A60,tbMoveset!A2:H112,8,FALSE)="Other",IF(VLOOKUP(tbMoveset!A60,tbMoveset!A2:I112,9,FALSE)="Fire",Backdoors!BB7,IF(VLOOKUP(tbMoveset!A60,tbMoveset!A2:I112,9,FALSE)="Water",Backdoors!BC7,IF(VLOOKUP(tbMoveset!A60,tbMoveset!A2:I112,9,FALSE)="Thunder",Backdoors!BD7,IF(VLOOKUP(tbMoveset!A60,tbMoveset!A2:I112,9,FALSE)="Ice",Backdoors!BE7,IF(VLOOKUP(tbMoveset!A60,tbMoveset!A2:I112,9,FALSE)="Dragon",Backdoors!BF7,Backdoors!BG7)))))/100,Backdoors!BG7/100),"")</f>
        <v>0</v>
      </c>
      <c r="AF60" s="49">
        <f>IFERROR(IF(VLOOKUP(A60,tbMoveset!A2:J112,10,FALSE)=TRUE,IF((Backdoors!AI12+IF(AD60&gt;=0.45,VLOOKUP(Calculator!E23,tbSkills!DH3:DI6,2,FALSE)+IF(AND(Calculator!B8=TRUE,Backdoors!BI7=TRUE),VLOOKUP(Calculator!E23,tbSkills!DH3:DJ6,3,FALSE),0),0))&gt;=0,1+(Backdoors!AL2*(IF((Backdoors!AI12+IF(AD60&gt;=0.45,VLOOKUP(Calculator!E23,tbSkills!DH3:DI6,2,FALSE)+IF(AND(Calculator!B8=TRUE,Backdoors!BI7=TRUE),VLOOKUP(Calculator!E23,tbSkills!DH3:DJ6,3,FALSE),0),0))&gt;=100,100,(Backdoors!AI12+IF(AD60&gt;=0.45,VLOOKUP(Calculator!E23,tbSkills!DH3:DI6,2,FALSE)+IF(AND(Calculator!B8=TRUE,Backdoors!BI7=TRUE),VLOOKUP(Calculator!E23,tbSkills!DH3:DJ6,3,FALSE),0),0)))/100)),(1-(0.25*((-Backdoors!AI12-IF(AD60&gt;=0.45,VLOOKUP(Calculator!E23,tbSkills!DH3:DI6,2,FALSE)+IF(AND(Calculator!B8=TRUE,Backdoors!BI7=TRUE),VLOOKUP(Calculator!E23,tbSkills!DH3:DJ6,3,FALSE),0),0))/100)))),1),"")</f>
        <v>1</v>
      </c>
      <c r="AG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D60)*AF60)*(VLOOKUP(A60,tbMoveset!A2:C112,3,FALSE)/100)*IF(VLOOKUP(A60,tbMoveset!A2:B112,2,FALSE)="Projectile",Backdoors!N10,Backdoors!N9),0),"")</f>
        <v>5</v>
      </c>
      <c r="AH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D60&gt;=0.45,VLOOKUP(Calculator!E23,tbSkills!DH3:DI6,2,FALSE)+IF(AND(Calculator!B8=TRUE,Backdoors!BI7=TRUE),VLOOKUP(Calculator!E23,tbSkills!DH3:DJ6,3,FALSE),0),0))&gt;=100,100,(Backdoors!AI12+IF(AD60&gt;=0.45,VLOOKUP(Calculator!E23,tbSkills!DH3:DI6,2,FALSE)+IF(AND(Calculator!B8=TRUE,Backdoors!BI7=TRUE),VLOOKUP(Calculator!E23,tbSkills!DH3:DJ6,3,FALSE),0),0)))/100)),1))*IF(VLOOKUP(A60,tbMoveset!A2:K112,11,FALSE)=TRUE,Backdoors!AC5,1))*AE60,0),"")</f>
        <v>0</v>
      </c>
      <c r="AI60" s="49">
        <f>VLOOKUP(A60,tbMoveset!A2:G112,7,FALSE)*IFERROR(IF(Backdoors!AI12&gt;=0,1+(IF(Calculator!E40&gt;0,VLOOKUP(Calculator!E40,tbSkills!AI3:AJ5,2,FALSE),Backdoors!AL4)*(IF((Backdoors!AI12+IF(AD60&gt;=0.45,VLOOKUP(Calculator!E23,tbSkills!DH3:DI6,2,FALSE)+IF(AND(Calculator!B8=TRUE,Backdoors!BI7=TRUE),VLOOKUP(Calculator!E23,tbSkills!DH3:DJ6,3,FALSE),0),0))&gt;=100,100,(Backdoors!AI12+IF(AD60&gt;=0.45,VLOOKUP(Calculator!E23,tbSkills!DH3:DI6,2,FALSE)+IF(AND(Calculator!B8=TRUE,Backdoors!BI7=TRUE),VLOOKUP(Calculator!E23,tbSkills!DH3:DJ6,3,FALSE),0),0)))/100)),1),1)</f>
        <v>0.5</v>
      </c>
      <c r="AJ60" s="87">
        <f t="shared" si="48"/>
        <v>5</v>
      </c>
      <c r="AK60" s="91">
        <f>IFERROR(IF(VLOOKUP(A60,tbMoveset!A2:B112,2,FALSE)="Sever",Backdoors!AY8/100,IF(VLOOKUP(A60,tbMoveset!A2:B112,2,FALSE)="Blunt",Backdoors!AZ8/100,Backdoors!BA8/100)),"")</f>
        <v>0.45</v>
      </c>
      <c r="AL60" s="49">
        <f>IFERROR(IF(VLOOKUP(tbMoveset!A60,tbMoveset!A2:H112,8,FALSE)="Other",IF(VLOOKUP(tbMoveset!A60,tbMoveset!A2:I112,9,FALSE)="Fire",Backdoors!BB8,IF(VLOOKUP(tbMoveset!A60,tbMoveset!A2:I112,9,FALSE)="Water",Backdoors!BC8,IF(VLOOKUP(tbMoveset!A60,tbMoveset!A2:I112,9,FALSE)="Thunder",Backdoors!BD8,IF(VLOOKUP(tbMoveset!A60,tbMoveset!A2:I112,9,FALSE)="Ice",Backdoors!BE8,IF(VLOOKUP(tbMoveset!A60,tbMoveset!A2:I112,9,FALSE)="Dragon",Backdoors!BF8,Backdoors!BG8)))))/100,Backdoors!BG8/100),"")</f>
        <v>0</v>
      </c>
      <c r="AM60" s="49">
        <f>IFERROR(IF(VLOOKUP(A60,tbMoveset!A2:J112,10,FALSE)=TRUE,IF((Backdoors!AI12+IF(AK60&gt;=0.45,VLOOKUP(Calculator!E23,tbSkills!DH3:DI6,2,FALSE)+IF(AND(Calculator!B8=TRUE,Backdoors!BI8=TRUE),VLOOKUP(Calculator!E23,tbSkills!DH3:DJ6,3,FALSE),0),0))&gt;=0,1+(Backdoors!AL2*(IF((Backdoors!AI12+IF(AK60&gt;=0.45,VLOOKUP(Calculator!E23,tbSkills!DH3:DI6,2,FALSE)+IF(AND(Calculator!B8=TRUE,Backdoors!BI8=TRUE),VLOOKUP(Calculator!E23,tbSkills!DH3:DJ6,3,FALSE),0),0))&gt;=100,100,(Backdoors!AI12+IF(AK60&gt;=0.45,VLOOKUP(Calculator!E23,tbSkills!DH3:DI6,2,FALSE)+IF(AND(Calculator!B8=TRUE,Backdoors!BI8=TRUE),VLOOKUP(Calculator!E23,tbSkills!DH3:DJ6,3,FALSE),0),0)))/100)),(1-(0.25*((-Backdoors!AI12-IF(AK60&gt;=0.45,VLOOKUP(Calculator!E23,tbSkills!DH3:DI6,2,FALSE)+IF(AND(Calculator!B8=TRUE,Backdoors!BI8=TRUE),VLOOKUP(Calculator!E23,tbSkills!DH3:DJ6,3,FALSE),0),0))/100)))),1),"")</f>
        <v>1</v>
      </c>
      <c r="AN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K60)*AM60)*(VLOOKUP(A60,tbMoveset!A2:C112,3,FALSE)/100)*IF(VLOOKUP(A60,tbMoveset!A2:B112,2,FALSE)="Projectile",Backdoors!N10,Backdoors!N9),0),"")</f>
        <v>4</v>
      </c>
      <c r="AO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K60&gt;=0.45,VLOOKUP(Calculator!E23,tbSkills!DH3:DI6,2,FALSE)+IF(AND(Calculator!B8=TRUE,Backdoors!BI8=TRUE),VLOOKUP(Calculator!E23,tbSkills!DH3:DJ6,3,FALSE),0),0))&gt;=100,100,(Backdoors!AI12+IF(AK60&gt;=0.45,VLOOKUP(Calculator!E23,tbSkills!DH3:DI6,2,FALSE)+IF(AND(Calculator!B8=TRUE,Backdoors!BI8=TRUE),VLOOKUP(Calculator!E23,tbSkills!DH3:DJ6,3,FALSE),0),0)))/100)),1))*IF(VLOOKUP(A60,tbMoveset!A2:K112,11,FALSE)=TRUE,Backdoors!AC5,1))*AL60,0),"")</f>
        <v>0</v>
      </c>
      <c r="AP60" s="49">
        <f>VLOOKUP(A60,tbMoveset!A2:G112,7,FALSE)*IFERROR(IF(Backdoors!AI12&gt;=0,1+(IF(Calculator!E40&gt;0,VLOOKUP(Calculator!E40,tbSkills!AI3:AJ5,2,FALSE),Backdoors!AL4)*(IF((Backdoors!AI12+IF(AK60&gt;=0.45,VLOOKUP(Calculator!E23,tbSkills!DH3:DI6,2,FALSE)+IF(AND(Calculator!B8=TRUE,Backdoors!BI8=TRUE),VLOOKUP(Calculator!E23,tbSkills!DH3:DJ6,3,FALSE),0),0))&gt;=100,100,(Backdoors!AI12+IF(AK60&gt;=0.45,VLOOKUP(Calculator!E23,tbSkills!DH3:DI6,2,FALSE)+IF(AND(Calculator!B8=TRUE,Backdoors!BI8=TRUE),VLOOKUP(Calculator!E23,tbSkills!DH3:DJ6,3,FALSE),0),0)))/100)),1),1)</f>
        <v>0.5</v>
      </c>
      <c r="AQ60" s="87">
        <f t="shared" si="49"/>
        <v>4</v>
      </c>
      <c r="AR60" s="86">
        <f>IFERROR(IF(VLOOKUP(A60,tbMoveset!A2:B112,2,FALSE)="Sever",Backdoors!AY9/100,IF(VLOOKUP(A60,tbMoveset!A2:B112,2,FALSE)="Blunt",Backdoors!AZ9/100,Backdoors!BA9/100)),"")</f>
        <v>0.45</v>
      </c>
      <c r="AS60" s="49">
        <f>IFERROR(IF(VLOOKUP(tbMoveset!A60,tbMoveset!A2:H112,8,FALSE)="Other",IF(VLOOKUP(tbMoveset!A60,tbMoveset!A2:I112,9,FALSE)="Fire",Backdoors!BB9,IF(VLOOKUP(tbMoveset!A60,tbMoveset!A2:I112,9,FALSE)="Water",Backdoors!BC9,IF(VLOOKUP(tbMoveset!A60,tbMoveset!A2:I112,9,FALSE)="Thunder",Backdoors!BD9,IF(VLOOKUP(tbMoveset!A60,tbMoveset!A2:I112,9,FALSE)="Ice",Backdoors!BE9,IF(VLOOKUP(tbMoveset!A60,tbMoveset!A2:I112,9,FALSE)="Dragon",Backdoors!BF9,Backdoors!BG9)))))/100,Backdoors!BG9/100),"")</f>
        <v>0</v>
      </c>
      <c r="AT60" s="49">
        <f>IFERROR(IF(VLOOKUP(A60,tbMoveset!A2:J112,10,FALSE)=TRUE,IF((Backdoors!AI12+IF(AR60&gt;=0.45,VLOOKUP(Calculator!E23,tbSkills!DH3:DI6,2,FALSE)+IF(AND(Calculator!B8=TRUE,Backdoors!BI9=TRUE),VLOOKUP(Calculator!E23,tbSkills!DH3:DJ6,3,FALSE),0),0))&gt;=0,1+(Backdoors!AL2*(IF((Backdoors!AI12+IF(AR60&gt;=0.45,VLOOKUP(Calculator!E23,tbSkills!DH3:DI6,2,FALSE)+IF(AND(Calculator!B8=TRUE,Backdoors!BI9=TRUE),VLOOKUP(Calculator!E23,tbSkills!DH3:DJ6,3,FALSE),0),0))&gt;=100,100,(Backdoors!AI12+IF(AR60&gt;=0.45,VLOOKUP(Calculator!E23,tbSkills!DH3:DI6,2,FALSE)+IF(AND(Calculator!B8=TRUE,Backdoors!BI9=TRUE),VLOOKUP(Calculator!E23,tbSkills!DH3:DJ6,3,FALSE),0),0)))/100)),(1-(0.25*((-Backdoors!AI12-IF(AR60&gt;=0.45,VLOOKUP(Calculator!E23,tbSkills!DH3:DI6,2,FALSE)+IF(AND(Calculator!B8=TRUE,Backdoors!BI9=TRUE),VLOOKUP(Calculator!E23,tbSkills!DH3:DJ6,3,FALSE),0),0))/100)))),1),"")</f>
        <v>1</v>
      </c>
      <c r="AU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R60)*AT60)*(VLOOKUP(A60,tbMoveset!A2:C112,3,FALSE)/100)*IF(VLOOKUP(A60,tbMoveset!A2:B112,2,FALSE)="Projectile",Backdoors!N10,Backdoors!N9),0),"")</f>
        <v>4</v>
      </c>
      <c r="AV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R60&gt;=0.45,VLOOKUP(Calculator!E23,tbSkills!DH3:DI6,2,FALSE)+IF(AND(Calculator!B8=TRUE,Backdoors!BI9=TRUE),VLOOKUP(Calculator!E23,tbSkills!DH3:DJ6,3,FALSE),0),0))&gt;=100,100,(Backdoors!AI12+IF(AR60&gt;=0.45,VLOOKUP(Calculator!E23,tbSkills!DH3:DI6,2,FALSE)+IF(AND(Calculator!B8=TRUE,Backdoors!BI9=TRUE),VLOOKUP(Calculator!E23,tbSkills!DH3:DJ6,3,FALSE),0),0)))/100)),1))*IF(VLOOKUP(A60,tbMoveset!A2:K112,11,FALSE)=TRUE,Backdoors!AC5,1))*AS60,0),"")</f>
        <v>0</v>
      </c>
      <c r="AW60" s="49">
        <f>VLOOKUP(A60,tbMoveset!A2:G112,7,FALSE)*IFERROR(IF(Backdoors!AI12&gt;=0,1+(IF(Calculator!E40&gt;0,VLOOKUP(Calculator!E40,tbSkills!AI3:AJ5,2,FALSE),Backdoors!AL4)*(IF((Backdoors!AI12+IF(AR60&gt;=0.45,VLOOKUP(Calculator!E23,tbSkills!DH3:DI6,2,FALSE)+IF(AND(Calculator!B8=TRUE,Backdoors!BI9=TRUE),VLOOKUP(Calculator!E23,tbSkills!DH3:DJ6,3,FALSE),0),0))&gt;=100,100,(Backdoors!AI12+IF(AR60&gt;=0.45,VLOOKUP(Calculator!E23,tbSkills!DH3:DI6,2,FALSE)+IF(AND(Calculator!B8=TRUE,Backdoors!BI9=TRUE),VLOOKUP(Calculator!E23,tbSkills!DH3:DJ6,3,FALSE),0),0)))/100)),1),1)</f>
        <v>0.5</v>
      </c>
      <c r="AX60" s="87">
        <f t="shared" si="50"/>
        <v>4</v>
      </c>
      <c r="AY60" s="86">
        <f>IFERROR(IF(VLOOKUP(A60,tbMoveset!A2:B112,2,FALSE)="Sever",Backdoors!AY10/100,IF(VLOOKUP(A60,tbMoveset!A2:B112,2,FALSE)="Blunt",Backdoors!AZ10/100,Backdoors!BA10/100)),"")</f>
        <v>0.9</v>
      </c>
      <c r="AZ60" s="49">
        <f>IFERROR(IF(VLOOKUP(tbMoveset!A60,tbMoveset!A2:H112,8,FALSE)="Other",IF(VLOOKUP(tbMoveset!A60,tbMoveset!A2:I112,9,FALSE)="Fire",Backdoors!BB10,IF(VLOOKUP(tbMoveset!A60,tbMoveset!A2:I112,9,FALSE)="Water",Backdoors!BC10,IF(VLOOKUP(tbMoveset!A60,tbMoveset!A2:I112,9,FALSE)="Thunder",Backdoors!BD10,IF(VLOOKUP(tbMoveset!A60,tbMoveset!A2:I112,9,FALSE)="Ice",Backdoors!BE10,IF(VLOOKUP(tbMoveset!A60,tbMoveset!A2:I112,9,FALSE)="Dragon",Backdoors!BF10,Backdoors!BG10)))))/100,Backdoors!BG10/100),"")</f>
        <v>0</v>
      </c>
      <c r="BA60" s="49">
        <f>IFERROR(IF(VLOOKUP(A60,tbMoveset!A2:J112,10,FALSE)=TRUE,IF((Backdoors!AI12+IF(AY60&gt;=0.45,VLOOKUP(Calculator!E23,tbSkills!DH3:DI6,2,FALSE)+IF(AND(Calculator!B8=TRUE,Backdoors!BI10=TRUE),VLOOKUP(Calculator!E23,tbSkills!DH3:DJ6,3,FALSE),0),0))&gt;=0,1+(Backdoors!AL2*(IF((Backdoors!AI12+IF(AY60&gt;=0.45,VLOOKUP(Calculator!E23,tbSkills!DH3:DI6,2,FALSE)+IF(AND(Calculator!B8=TRUE,Backdoors!BI10=TRUE),VLOOKUP(Calculator!E23,tbSkills!DH3:DJ6,3,FALSE),0),0))&gt;=100,100,(Backdoors!AI12+IF(AY60&gt;=0.45,VLOOKUP(Calculator!E23,tbSkills!DH3:DI6,2,FALSE)+IF(AND(Calculator!B8=TRUE,Backdoors!BI10=TRUE),VLOOKUP(Calculator!E23,tbSkills!DH3:DJ6,3,FALSE),0),0)))/100)),(1-(0.25*((-Backdoors!AI12-IF(AY60&gt;=0.45,VLOOKUP(Calculator!E23,tbSkills!DH3:DI6,2,FALSE)+IF(AND(Calculator!B8=TRUE,Backdoors!BI10=TRUE),VLOOKUP(Calculator!E23,tbSkills!DH3:DJ6,3,FALSE),0),0))/100)))),1),"")</f>
        <v>1</v>
      </c>
      <c r="BB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Y60)*BA60)*(VLOOKUP(A60,tbMoveset!A2:C112,3,FALSE)/100)*IF(VLOOKUP(A60,tbMoveset!A2:B112,2,FALSE)="Projectile",Backdoors!N10,Backdoors!N9),0),"")</f>
        <v>8</v>
      </c>
      <c r="BC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Y60&gt;=0.45,VLOOKUP(Calculator!E23,tbSkills!DH3:DI6,2,FALSE)+IF(AND(Calculator!B8=TRUE,Backdoors!BI10=TRUE),VLOOKUP(Calculator!E23,tbSkills!DH3:DJ6,3,FALSE),0),0))&gt;=100,100,(Backdoors!AI12+IF(AY60&gt;=0.45,VLOOKUP(Calculator!E23,tbSkills!DH3:DI6,2,FALSE)+IF(AND(Calculator!B8=TRUE,Backdoors!BI10=TRUE),VLOOKUP(Calculator!E23,tbSkills!DH3:DJ6,3,FALSE),0),0)))/100)),1))*IF(VLOOKUP(A60,tbMoveset!A2:K112,11,FALSE)=TRUE,Backdoors!AC5,1))*AZ60,0),"")</f>
        <v>0</v>
      </c>
      <c r="BD60" s="49">
        <f>VLOOKUP(A60,tbMoveset!A2:G112,7,FALSE)*IFERROR(IF(Backdoors!AI12&gt;=0,1+(IF(Calculator!E40&gt;0,VLOOKUP(Calculator!E40,tbSkills!AI3:AJ5,2,FALSE),Backdoors!AL4)*(IF((Backdoors!AI12+IF(AY60&gt;=0.45,VLOOKUP(Calculator!E23,tbSkills!DH3:DI6,2,FALSE)+IF(AND(Calculator!B8=TRUE,Backdoors!BI10=TRUE),VLOOKUP(Calculator!E23,tbSkills!DH3:DJ6,3,FALSE),0),0))&gt;=100,100,(Backdoors!AI12+IF(AY60&gt;=0.45,VLOOKUP(Calculator!E23,tbSkills!DH3:DI6,2,FALSE)+IF(AND(Calculator!B8=TRUE,Backdoors!BI10=TRUE),VLOOKUP(Calculator!E23,tbSkills!DH3:DJ6,3,FALSE),0),0)))/100)),1),1)</f>
        <v>0.5</v>
      </c>
      <c r="BE60" s="87">
        <f t="shared" si="3"/>
        <v>8</v>
      </c>
      <c r="BF60" s="86" t="str">
        <f>IFERROR(IF(VLOOKUP(A60,tbMoveset!A2:B112,2,FALSE)="Sever",Backdoors!AY11/100,IF(VLOOKUP(A60,tbMoveset!A2:B112,2,FALSE)="Blunt",Backdoors!AZ11/100,Backdoors!BA11/100)),"")</f>
        <v/>
      </c>
      <c r="BG60" s="49">
        <f>IFERROR(IF(VLOOKUP(tbMoveset!A60,tbMoveset!A2:H112,8,FALSE)="Other",IF(VLOOKUP(tbMoveset!A60,tbMoveset!A2:I112,9,FALSE)="Fire",Backdoors!BB11,IF(VLOOKUP(tbMoveset!A60,tbMoveset!A2:I112,9,FALSE)="Water",Backdoors!BC11,IF(VLOOKUP(tbMoveset!A60,tbMoveset!A2:I112,9,FALSE)="Thunder",Backdoors!BD11,IF(VLOOKUP(tbMoveset!A60,tbMoveset!A2:I112,9,FALSE)="Ice",Backdoors!BE11,IF(VLOOKUP(tbMoveset!A60,tbMoveset!A2:I112,9,FALSE)="Dragon",Backdoors!BF11,Backdoors!BG11)))))/100,Backdoors!BG11/100),"")</f>
        <v>0</v>
      </c>
      <c r="BH60" s="49">
        <f>IFERROR(IF(VLOOKUP(A60,tbMoveset!A2:J112,10,FALSE)=TRUE,IF((Backdoors!AI12+IF(BF60&gt;=0.45,VLOOKUP(Calculator!E23,tbSkills!DH3:DI6,2,FALSE)+IF(AND(Calculator!B8=TRUE,Backdoors!BI11=TRUE),VLOOKUP(Calculator!E23,tbSkills!DH3:DJ6,3,FALSE),0),0))&gt;=0,1+(Backdoors!AL2*(IF((Backdoors!AI12+IF(BF60&gt;=0.45,VLOOKUP(Calculator!E23,tbSkills!DH3:DI6,2,FALSE)+IF(AND(Calculator!B8=TRUE,Backdoors!BI11=TRUE),VLOOKUP(Calculator!E23,tbSkills!DH3:DJ6,3,FALSE),0),0))&gt;=100,100,(Backdoors!AI12+IF(BF60&gt;=0.45,VLOOKUP(Calculator!E23,tbSkills!DH3:DI6,2,FALSE)+IF(AND(Calculator!B8=TRUE,Backdoors!BI11=TRUE),VLOOKUP(Calculator!E23,tbSkills!DH3:DJ6,3,FALSE),0),0)))/100)),(1-(0.25*((-Backdoors!AI12-IF(BF60&gt;=0.45,VLOOKUP(Calculator!E23,tbSkills!DH3:DI6,2,FALSE)+IF(AND(Calculator!B8=TRUE,Backdoors!BI11=TRUE),VLOOKUP(Calculator!E23,tbSkills!DH3:DJ6,3,FALSE),0),0))/100)))),1),"")</f>
        <v>1</v>
      </c>
      <c r="BI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F60)*BH60)*(VLOOKUP(A60,tbMoveset!A2:C112,3,FALSE)/100)*IF(VLOOKUP(A60,tbMoveset!A2:B112,2,FALSE)="Projectile",Backdoors!N10,Backdoors!N9),0),"")</f>
        <v/>
      </c>
      <c r="BJ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F60&gt;=0.45,VLOOKUP(Calculator!E23,tbSkills!DH3:DI6,2,FALSE)+IF(AND(Calculator!B8=TRUE,Backdoors!BI11=TRUE),VLOOKUP(Calculator!E23,tbSkills!DH3:DJ6,3,FALSE),0),0))&gt;=100,100,(Backdoors!AI12+IF(BF60&gt;=0.45,VLOOKUP(Calculator!E23,tbSkills!DH3:DI6,2,FALSE)+IF(AND(Calculator!B8=TRUE,Backdoors!BI11=TRUE),VLOOKUP(Calculator!E23,tbSkills!DH3:DJ6,3,FALSE),0),0)))/100)),1))*IF(VLOOKUP(A60,tbMoveset!A2:K112,11,FALSE)=TRUE,Backdoors!AC5,1))*BG60,0),"")</f>
        <v>0</v>
      </c>
      <c r="BK60" s="49">
        <f>VLOOKUP(A60,tbMoveset!A2:G112,7,FALSE)*IFERROR(IF(Backdoors!AI12&gt;=0,1+(IF(Calculator!E40&gt;0,VLOOKUP(Calculator!E40,tbSkills!AI3:AJ5,2,FALSE),Backdoors!AL4)*(IF((Backdoors!AI12+IF(BF60&gt;=0.45,VLOOKUP(Calculator!E23,tbSkills!DH3:DI6,2,FALSE)+IF(AND(Calculator!B8=TRUE,Backdoors!BI11=TRUE),VLOOKUP(Calculator!E23,tbSkills!DH3:DJ6,3,FALSE),0),0))&gt;=100,100,(Backdoors!AI12+IF(BF60&gt;=0.45,VLOOKUP(Calculator!E23,tbSkills!DH3:DI6,2,FALSE)+IF(AND(Calculator!B8=TRUE,Backdoors!BI11=TRUE),VLOOKUP(Calculator!E23,tbSkills!DH3:DJ6,3,FALSE),0),0)))/100)),1),1)</f>
        <v>0.5</v>
      </c>
      <c r="BL60" s="87">
        <f t="shared" si="4"/>
        <v>0</v>
      </c>
      <c r="BM60" s="86" t="str">
        <f>IFERROR(IF(VLOOKUP(A60,tbMoveset!A2:B112,2,FALSE)="Sever",Backdoors!AY12/100,IF(VLOOKUP(A60,tbMoveset!A2:B112,2,FALSE)="Blunt",Backdoors!AZ12/100,Backdoors!BA12/100)),"")</f>
        <v/>
      </c>
      <c r="BN60" s="49">
        <f>IFERROR(IF(VLOOKUP(tbMoveset!A60,tbMoveset!A2:H112,8,FALSE)="Other",IF(VLOOKUP(tbMoveset!A60,tbMoveset!A2:I112,9,FALSE)="Fire",Backdoors!BB12,IF(VLOOKUP(tbMoveset!A60,tbMoveset!A2:I112,9,FALSE)="Water",Backdoors!BC12,IF(VLOOKUP(tbMoveset!A60,tbMoveset!A2:I112,9,FALSE)="Thunder",Backdoors!BD12,IF(VLOOKUP(tbMoveset!A60,tbMoveset!A2:I112,9,FALSE)="Ice",Backdoors!BE12,IF(VLOOKUP(tbMoveset!A60,tbMoveset!A2:I112,9,FALSE)="Dragon",Backdoors!BF12,Backdoors!BG12)))))/100,Backdoors!BG12/100),"")</f>
        <v>0</v>
      </c>
      <c r="BO60" s="49">
        <f>IFERROR(IF(VLOOKUP(A60,tbMoveset!A2:J112,10,FALSE)=TRUE,IF((Backdoors!AI12+IF(BM60&gt;=0.45,VLOOKUP(Calculator!E23,tbSkills!DH3:DI6,2,FALSE)+IF(AND(Calculator!B8=TRUE,Backdoors!BI12=TRUE),VLOOKUP(Calculator!E23,tbSkills!DH3:DJ6,3,FALSE),0),0))&gt;=0,1+(Backdoors!AL2*(IF((Backdoors!AI12+IF(BM60&gt;=0.45,VLOOKUP(Calculator!E23,tbSkills!DH3:DI6,2,FALSE)+IF(AND(Calculator!B8=TRUE,Backdoors!BI12=TRUE),VLOOKUP(Calculator!E23,tbSkills!DH3:DJ6,3,FALSE),0),0))&gt;=100,100,(Backdoors!AI12+IF(BM60&gt;=0.45,VLOOKUP(Calculator!E23,tbSkills!DH3:DI6,2,FALSE)+IF(AND(Calculator!B8=TRUE,Backdoors!BI12=TRUE),VLOOKUP(Calculator!E23,tbSkills!DH3:DJ6,3,FALSE),0),0)))/100)),(1-(0.25*((-Backdoors!AI12-IF(BM60&gt;=0.45,VLOOKUP(Calculator!E23,tbSkills!DH3:DI6,2,FALSE)+IF(AND(Calculator!B8=TRUE,Backdoors!BI12=TRUE),VLOOKUP(Calculator!E23,tbSkills!DH3:DJ6,3,FALSE),0),0))/100)))),1),"")</f>
        <v>1</v>
      </c>
      <c r="BP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M60)*BO60)*(VLOOKUP(A60,tbMoveset!A2:C112,3,FALSE)/100)*IF(VLOOKUP(A60,tbMoveset!A2:B112,2,FALSE)="Projectile",Backdoors!N10,Backdoors!N9),0),"")</f>
        <v/>
      </c>
      <c r="BQ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M60&gt;=0.45,VLOOKUP(Calculator!E23,tbSkills!DH3:DI6,2,FALSE)+IF(AND(Calculator!B8=TRUE,Backdoors!BI12=TRUE),VLOOKUP(Calculator!E23,tbSkills!DH3:DJ6,3,FALSE),0),0))&gt;=100,100,(Backdoors!AI12+IF(BM60&gt;=0.45,VLOOKUP(Calculator!E23,tbSkills!DH3:DI6,2,FALSE)+IF(AND(Calculator!B8=TRUE,Backdoors!BI12=TRUE),VLOOKUP(Calculator!E23,tbSkills!DH3:DJ6,3,FALSE),0),0)))/100)),1))*IF(VLOOKUP(A60,tbMoveset!A2:K112,11,FALSE)=TRUE,Backdoors!AC5,1))*BN60,0),"")</f>
        <v>0</v>
      </c>
      <c r="BR60" s="49">
        <f>VLOOKUP(A60,tbMoveset!A2:G112,7,FALSE)*IFERROR(IF(Backdoors!AI12&gt;=0,1+(IF(Calculator!E40&gt;0,VLOOKUP(Calculator!E40,tbSkills!AI3:AJ5,2,FALSE),Backdoors!AL4)*(IF((Backdoors!AI12+IF(BM60&gt;=0.45,VLOOKUP(Calculator!E23,tbSkills!DH3:DI6,2,FALSE)+IF(AND(Calculator!B8=TRUE,Backdoors!BI12=TRUE),VLOOKUP(Calculator!E23,tbSkills!DH3:DJ6,3,FALSE),0),0))&gt;=100,100,(Backdoors!AI12+IF(BM60&gt;=0.45,VLOOKUP(Calculator!E23,tbSkills!DH3:DI6,2,FALSE)+IF(AND(Calculator!B8=TRUE,Backdoors!BI12=TRUE),VLOOKUP(Calculator!E23,tbSkills!DH3:DJ6,3,FALSE),0),0)))/100)),1),1)</f>
        <v>0.5</v>
      </c>
      <c r="BS60" s="87">
        <f t="shared" si="39"/>
        <v>0</v>
      </c>
      <c r="BT60" s="86" t="str">
        <f>IFERROR(IF(VLOOKUP(A60,tbMoveset!A2:B112,2,FALSE)="Sever",Backdoors!AY13/100,IF(VLOOKUP(A60,tbMoveset!A2:B112,2,FALSE)="Blunt",Backdoors!AZ13/100,Backdoors!BA13/100)),"")</f>
        <v/>
      </c>
      <c r="BU60" s="49">
        <f>IFERROR(IF(VLOOKUP(tbMoveset!A60,tbMoveset!A2:H112,8,FALSE)="Other",IF(VLOOKUP(tbMoveset!A60,tbMoveset!A2:I112,9,FALSE)="Fire",Backdoors!BB13,IF(VLOOKUP(tbMoveset!A60,tbMoveset!A2:I112,9,FALSE)="Water",Backdoors!BC13,IF(VLOOKUP(tbMoveset!A60,tbMoveset!A2:I112,9,FALSE)="Thunder",Backdoors!BD13,IF(VLOOKUP(tbMoveset!A60,tbMoveset!A2:I112,9,FALSE)="Ice",Backdoors!BE13,IF(VLOOKUP(tbMoveset!A60,tbMoveset!A2:I112,9,FALSE)="Dragon",Backdoors!BF13,Backdoors!BG13)))))/100,Backdoors!BG13/100),"")</f>
        <v>0</v>
      </c>
      <c r="BV60" s="49">
        <f>IFERROR(IF(VLOOKUP(A60,tbMoveset!A2:J112,10,FALSE)=TRUE,IF((Backdoors!AI12+IF(BT60&gt;=0.45,VLOOKUP(Calculator!E23,tbSkills!DH3:DI6,2,FALSE)+IF(AND(Calculator!B8=TRUE,Backdoors!BI13=TRUE),VLOOKUP(Calculator!E23,tbSkills!DH3:DJ6,3,FALSE),0),0))&gt;=0,1+(Backdoors!AL2*(IF((Backdoors!AI12+IF(BT60&gt;=0.45,VLOOKUP(Calculator!E23,tbSkills!DH3:DI6,2,FALSE)+IF(AND(Calculator!B8=TRUE,Backdoors!BI13=TRUE),VLOOKUP(Calculator!E23,tbSkills!DH3:DJ6,3,FALSE),0),0))&gt;=100,100,(Backdoors!AI12+IF(BT60&gt;=0.45,VLOOKUP(Calculator!E23,tbSkills!DH3:DI6,2,FALSE)+IF(AND(Calculator!B8=TRUE,Backdoors!BI13=TRUE),VLOOKUP(Calculator!E23,tbSkills!DH3:DJ6,3,FALSE),0),0)))/100)),(1-(0.25*((-Backdoors!AI12-IF(BT60&gt;=0.45,VLOOKUP(Calculator!E23,tbSkills!DH3:DI6,2,FALSE)+IF(AND(Calculator!B8=TRUE,Backdoors!BI13=TRUE),VLOOKUP(Calculator!E23,tbSkills!DH3:DJ6,3,FALSE),0),0))/100)))),1),"")</f>
        <v>1</v>
      </c>
      <c r="BW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T60)*BV60)*(VLOOKUP(A60,tbMoveset!A2:C112,3,FALSE)/100)*IF(VLOOKUP(A60,tbMoveset!A2:B112,2,FALSE)="Projectile",Backdoors!N10,Backdoors!N9),0),"")</f>
        <v/>
      </c>
      <c r="BX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T60&gt;=0.45,VLOOKUP(Calculator!E23,tbSkills!DH3:DI6,2,FALSE)+IF(AND(Calculator!B8=TRUE,Backdoors!BI13=TRUE),VLOOKUP(Calculator!E23,tbSkills!DH3:DJ6,3,FALSE),0),0))&gt;=100,100,(Backdoors!AI12+IF(BT60&gt;=0.45,VLOOKUP(Calculator!E23,tbSkills!DH3:DI6,2,FALSE)+IF(AND(Calculator!B8=TRUE,Backdoors!BI13=TRUE),VLOOKUP(Calculator!E23,tbSkills!DH3:DJ6,3,FALSE),0),0)))/100)),1))*IF(VLOOKUP(A60,tbMoveset!A2:K112,11,FALSE)=TRUE,Backdoors!AC5,1))*BU60,0),"")</f>
        <v>0</v>
      </c>
      <c r="BY60" s="49">
        <f>VLOOKUP(A60,tbMoveset!A2:G112,7,FALSE)*IFERROR(IF(Backdoors!AI12&gt;=0,1+(IF(Calculator!E40&gt;0,VLOOKUP(Calculator!E40,tbSkills!AI3:AJ5,2,FALSE),Backdoors!AL4)*(IF((Backdoors!AI12+IF(BT60&gt;=0.45,VLOOKUP(Calculator!E23,tbSkills!DH3:DI6,2,FALSE)+IF(AND(Calculator!B8=TRUE,Backdoors!BI13=TRUE),VLOOKUP(Calculator!E23,tbSkills!DH3:DJ6,3,FALSE),0),0))&gt;=100,100,(Backdoors!AI12+IF(BT60&gt;=0.45,VLOOKUP(Calculator!E23,tbSkills!DH3:DI6,2,FALSE)+IF(AND(Calculator!B8=TRUE,Backdoors!BI13=TRUE),VLOOKUP(Calculator!E23,tbSkills!DH3:DJ6,3,FALSE),0),0)))/100)),1),1)</f>
        <v>0.5</v>
      </c>
      <c r="BZ60" s="87">
        <f t="shared" si="5"/>
        <v>0</v>
      </c>
      <c r="CA60" s="86" t="str">
        <f>IFERROR(IF(VLOOKUP(A60,tbMoveset!A2:B112,2,FALSE)="Sever",Backdoors!AY14/100,IF(VLOOKUP(A60,tbMoveset!A2:B112,2,FALSE)="Blunt",Backdoors!AZ14/100,Backdoors!BA14/100)),"")</f>
        <v/>
      </c>
      <c r="CB60" s="49">
        <f>IFERROR(IF(VLOOKUP(tbMoveset!A60,tbMoveset!A2:H112,8,FALSE)="Other",IF(VLOOKUP(tbMoveset!A60,tbMoveset!A2:I112,9,FALSE)="Fire",Backdoors!BB14,IF(VLOOKUP(tbMoveset!A60,tbMoveset!A2:I112,9,FALSE)="Water",Backdoors!BC14,IF(VLOOKUP(tbMoveset!A60,tbMoveset!A2:I112,9,FALSE)="Thunder",Backdoors!BD14,IF(VLOOKUP(tbMoveset!A60,tbMoveset!A2:I112,9,FALSE)="Ice",Backdoors!BE14,IF(VLOOKUP(tbMoveset!A60,tbMoveset!A2:I112,9,FALSE)="Dragon",Backdoors!BF14,Backdoors!BG14)))))/100,Backdoors!BG14/100),"")</f>
        <v>0</v>
      </c>
      <c r="CC60" s="49">
        <f>IFERROR(IF(VLOOKUP(A60,tbMoveset!A2:J112,10,FALSE)=TRUE,IF((Backdoors!AI12+IF(CA60&gt;=0.45,VLOOKUP(Calculator!E23,tbSkills!DH3:DI6,2,FALSE)+IF(AND(Calculator!B8=TRUE,Backdoors!BI14=TRUE),VLOOKUP(Calculator!E23,tbSkills!DH3:DJ6,3,FALSE),0),0))&gt;=0,1+(Backdoors!AL2*(IF((Backdoors!AI12+IF(CA60&gt;=0.45,VLOOKUP(Calculator!E23,tbSkills!DH3:DI6,2,FALSE)+IF(AND(Calculator!B8=TRUE,Backdoors!BI14=TRUE),VLOOKUP(Calculator!E23,tbSkills!DH3:DJ6,3,FALSE),0),0))&gt;=100,100,(Backdoors!AI12+IF(CA60&gt;=0.45,VLOOKUP(Calculator!E23,tbSkills!DH3:DI6,2,FALSE)+IF(AND(Calculator!B8=TRUE,Backdoors!BI14=TRUE),VLOOKUP(Calculator!E23,tbSkills!DH3:DJ6,3,FALSE),0),0)))/100)),(1-(0.25*((-Backdoors!AI12-IF(CA60&gt;=0.45,VLOOKUP(Calculator!E23,tbSkills!DH3:DI6,2,FALSE)+IF(AND(Calculator!B8=TRUE,Backdoors!BI14=TRUE),VLOOKUP(Calculator!E23,tbSkills!DH3:DJ6,3,FALSE),0),0))/100)))),1),"")</f>
        <v>1</v>
      </c>
      <c r="CD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A60)*CC60)*(VLOOKUP(A60,tbMoveset!A2:C112,3,FALSE)/100)*IF(VLOOKUP(A60,tbMoveset!A2:B112,2,FALSE)="Projectile",Backdoors!N10,Backdoors!N9),0),"")</f>
        <v/>
      </c>
      <c r="CE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A60&gt;=0.45,VLOOKUP(Calculator!E23,tbSkills!DH3:DI6,2,FALSE)+IF(AND(Calculator!B8=TRUE,Backdoors!BI14=TRUE),VLOOKUP(Calculator!E23,tbSkills!DH3:DJ6,3,FALSE),0),0))&gt;=100,100,(Backdoors!AI12+IF(CA60&gt;=0.45,VLOOKUP(Calculator!E23,tbSkills!DH3:DI6,2,FALSE)+IF(AND(Calculator!B8=TRUE,Backdoors!BI14=TRUE),VLOOKUP(Calculator!E23,tbSkills!DH3:DJ6,3,FALSE),0),0)))/100)),1))*IF(VLOOKUP(A60,tbMoveset!A2:K112,11,FALSE)=TRUE,Backdoors!AC5,1))*CB60,0),"")</f>
        <v>0</v>
      </c>
      <c r="CF60" s="49">
        <f>VLOOKUP(A60,tbMoveset!A2:G112,7,FALSE)*IFERROR(IF(Backdoors!AI12&gt;=0,1+(IF(Calculator!E40&gt;0,VLOOKUP(Calculator!E40,tbSkills!AI3:AJ5,2,FALSE),Backdoors!AL4)*(IF((Backdoors!AI12+IF(CA60&gt;=0.45,VLOOKUP(Calculator!E23,tbSkills!DH3:DI6,2,FALSE)+IF(AND(Calculator!B8=TRUE,Backdoors!BI14=TRUE),VLOOKUP(Calculator!E23,tbSkills!DH3:DJ6,3,FALSE),0),0))&gt;=100,100,(Backdoors!AI12+IF(CA60&gt;=0.45,VLOOKUP(Calculator!E23,tbSkills!DH3:DI6,2,FALSE)+IF(AND(Calculator!B8=TRUE,Backdoors!BI14=TRUE),VLOOKUP(Calculator!E23,tbSkills!DH3:DJ6,3,FALSE),0),0)))/100)),1),1)</f>
        <v>0.5</v>
      </c>
      <c r="CG60" s="87">
        <f t="shared" si="6"/>
        <v>0</v>
      </c>
      <c r="CH60" s="86" t="str">
        <f>IFERROR(IF(VLOOKUP(A60,tbMoveset!A2:B112,2,FALSE)="Sever",Backdoors!AY15/100,IF(VLOOKUP(A60,tbMoveset!A2:B112,2,FALSE)="Blunt",Backdoors!AZ15/100,Backdoors!BA15/100)),"")</f>
        <v/>
      </c>
      <c r="CI60" s="49">
        <f>IFERROR(IF(VLOOKUP(tbMoveset!A60,tbMoveset!A2:H112,8,FALSE)="Other",IF(VLOOKUP(tbMoveset!A60,tbMoveset!A2:I112,9,FALSE)="Fire",Backdoors!BB15,IF(VLOOKUP(tbMoveset!A60,tbMoveset!A2:I112,9,FALSE)="Water",Backdoors!BC15,IF(VLOOKUP(tbMoveset!A60,tbMoveset!A2:I112,9,FALSE)="Thunder",Backdoors!BD15,IF(VLOOKUP(tbMoveset!A60,tbMoveset!A2:I112,9,FALSE)="Ice",Backdoors!BE15,IF(VLOOKUP(tbMoveset!A60,tbMoveset!A2:I112,9,FALSE)="Dragon",Backdoors!BF15,Backdoors!BG15)))))/100,Backdoors!BG15/100),"")</f>
        <v>0</v>
      </c>
      <c r="CJ60" s="49">
        <f>IFERROR(IF(VLOOKUP(A60,tbMoveset!A2:J112,10,FALSE)=TRUE,IF((Backdoors!AI12+IF(CH60&gt;=0.45,VLOOKUP(Calculator!E23,tbSkills!DH3:DI6,2,FALSE)+IF(AND(Calculator!B8=TRUE,Backdoors!BI15=TRUE),VLOOKUP(Calculator!E23,tbSkills!DH3:DJ6,3,FALSE),0),0))&gt;=0,1+(Backdoors!AL2*(IF((Backdoors!AI12+IF(CH60&gt;=0.45,VLOOKUP(Calculator!E23,tbSkills!DH3:DI6,2,FALSE)+IF(AND(Calculator!B8=TRUE,Backdoors!BI15=TRUE),VLOOKUP(Calculator!E23,tbSkills!DH3:DJ6,3,FALSE),0),0))&gt;=100,100,(Backdoors!AI12+IF(CH60&gt;=0.45,VLOOKUP(Calculator!E23,tbSkills!DH3:DI6,2,FALSE)+IF(AND(Calculator!B8=TRUE,Backdoors!BI15=TRUE),VLOOKUP(Calculator!E23,tbSkills!DH3:DJ6,3,FALSE),0),0)))/100)),(1-(0.25*((-Backdoors!AI12-IF(CH60&gt;=0.45,VLOOKUP(Calculator!E23,tbSkills!DH3:DI6,2,FALSE)+IF(AND(Calculator!B8=TRUE,Backdoors!BI15=TRUE),VLOOKUP(Calculator!E23,tbSkills!DH3:DJ6,3,FALSE),0),0))/100)))),1),"")</f>
        <v>1</v>
      </c>
      <c r="CK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H60)*CJ60)*(VLOOKUP(A60,tbMoveset!A2:C112,3,FALSE)/100)*IF(VLOOKUP(A60,tbMoveset!A2:B112,2,FALSE)="Projectile",Backdoors!N10,Backdoors!N9),0),"")</f>
        <v/>
      </c>
      <c r="CL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H60&gt;=0.45,VLOOKUP(Calculator!E23,tbSkills!DH3:DI6,2,FALSE)+IF(AND(Calculator!B8=TRUE,Backdoors!BI15=TRUE),VLOOKUP(Calculator!E23,tbSkills!DH3:DJ6,3,FALSE),0),0))&gt;=100,100,(Backdoors!AI12+IF(CH60&gt;=0.45,VLOOKUP(Calculator!E23,tbSkills!DH3:DI6,2,FALSE)+IF(AND(Calculator!B8=TRUE,Backdoors!BI15=TRUE),VLOOKUP(Calculator!E23,tbSkills!DH3:DJ6,3,FALSE),0),0)))/100)),1))*IF(VLOOKUP(A60,tbMoveset!A2:K112,11,FALSE)=TRUE,Backdoors!AC5,1))*CI60,0),"")</f>
        <v>0</v>
      </c>
      <c r="CM60" s="49">
        <f>VLOOKUP(A60,tbMoveset!A2:G112,7,FALSE)*IFERROR(IF(Backdoors!AI12&gt;=0,1+(IF(Calculator!E40&gt;0,VLOOKUP(Calculator!E40,tbSkills!AI3:AJ5,2,FALSE),Backdoors!AL4)*(IF((Backdoors!AI12+IF(CH60&gt;=0.45,VLOOKUP(Calculator!E23,tbSkills!DH3:DI6,2,FALSE)+IF(AND(Calculator!B8=TRUE,Backdoors!BI15=TRUE),VLOOKUP(Calculator!E23,tbSkills!DH3:DJ6,3,FALSE),0),0))&gt;=100,100,(Backdoors!AI12+IF(CH60&gt;=0.45,VLOOKUP(Calculator!E23,tbSkills!DH3:DI6,2,FALSE)+IF(AND(Calculator!B8=TRUE,Backdoors!BI15=TRUE),VLOOKUP(Calculator!E23,tbSkills!DH3:DJ6,3,FALSE),0),0)))/100)),1),1)</f>
        <v>0.5</v>
      </c>
      <c r="CN60" s="87">
        <f t="shared" si="7"/>
        <v>0</v>
      </c>
      <c r="CO60" s="86" t="str">
        <f>IFERROR(IF(VLOOKUP(A60,tbMoveset!A2:B112,2,FALSE)="Sever",Backdoors!AY16/100,IF(VLOOKUP(A60,tbMoveset!A2:B112,2,FALSE)="Blunt",Backdoors!AZ16/100,Backdoors!BA16/100)),"")</f>
        <v/>
      </c>
      <c r="CP60" s="49">
        <f>IFERROR(IF(VLOOKUP(tbMoveset!A60,tbMoveset!A2:H112,8,FALSE)="Other",IF(VLOOKUP(tbMoveset!A60,tbMoveset!A2:I112,9,FALSE)="Fire",Backdoors!BB16,IF(VLOOKUP(tbMoveset!A60,tbMoveset!A2:I112,9,FALSE)="Water",Backdoors!BC16,IF(VLOOKUP(tbMoveset!A60,tbMoveset!A2:I112,9,FALSE)="Thunder",Backdoors!BD16,IF(VLOOKUP(tbMoveset!A60,tbMoveset!A2:I112,9,FALSE)="Ice",Backdoors!BE16,IF(VLOOKUP(tbMoveset!A60,tbMoveset!A2:I112,9,FALSE)="Dragon",Backdoors!BF16,Backdoors!BG16)))))/100,Backdoors!BG16/100),"")</f>
        <v>0</v>
      </c>
      <c r="CQ60" s="49">
        <f>IFERROR(IF(VLOOKUP(A60,tbMoveset!A2:J112,10,FALSE)=TRUE,IF((Backdoors!AI12+IF(CO60&gt;=0.45,VLOOKUP(Calculator!E23,tbSkills!DH3:DI6,2,FALSE)+IF(AND(Calculator!B8=TRUE,Backdoors!BI16=TRUE),VLOOKUP(Calculator!E23,tbSkills!DH3:DJ6,3,FALSE),0),0))&gt;=0,1+(Backdoors!AL2*(IF((Backdoors!AI12+IF(CO60&gt;=0.45,VLOOKUP(Calculator!E23,tbSkills!DH3:DI6,2,FALSE)+IF(AND(Calculator!B8=TRUE,Backdoors!BI16=TRUE),VLOOKUP(Calculator!E23,tbSkills!DH3:DJ6,3,FALSE),0),0))&gt;=100,100,(Backdoors!AI12+IF(CO60&gt;=0.45,VLOOKUP(Calculator!E23,tbSkills!DH3:DI6,2,FALSE)+IF(AND(Calculator!B8=TRUE,Backdoors!BI16=TRUE),VLOOKUP(Calculator!E23,tbSkills!DH3:DJ6,3,FALSE),0),0)))/100)),(1-(0.25*((-Backdoors!AI12-IF(CO60&gt;=0.45,VLOOKUP(Calculator!E23,tbSkills!DH3:DI6,2,FALSE)+IF(AND(Calculator!B8=TRUE,Backdoors!BI16=TRUE),VLOOKUP(Calculator!E23,tbSkills!DH3:DJ6,3,FALSE),0),0))/100)))),1),"")</f>
        <v>1</v>
      </c>
      <c r="CR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O60)*CQ60)*(VLOOKUP(A60,tbMoveset!A2:C112,3,FALSE)/100)*IF(VLOOKUP(A60,tbMoveset!A2:B112,2,FALSE)="Projectile",Backdoors!N10,Backdoors!N9),0),"")</f>
        <v/>
      </c>
      <c r="CS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O60&gt;=0.45,VLOOKUP(Calculator!E23,tbSkills!DH3:DI6,2,FALSE)+IF(AND(Calculator!B8=TRUE,Backdoors!BI16=TRUE),VLOOKUP(Calculator!E23,tbSkills!DH3:DJ6,3,FALSE),0),0))&gt;=100,100,(Backdoors!AI12+IF(CO60&gt;=0.45,VLOOKUP(Calculator!E23,tbSkills!DH3:DI6,2,FALSE)+IF(AND(Calculator!B8=TRUE,Backdoors!BI16=TRUE),VLOOKUP(Calculator!E23,tbSkills!DH3:DJ6,3,FALSE),0),0)))/100)),1))*IF(VLOOKUP(A60,tbMoveset!A2:K112,11,FALSE)=TRUE,Backdoors!AC5,1))*CP60,0),"")</f>
        <v>0</v>
      </c>
      <c r="CT60" s="49">
        <f>VLOOKUP(A60,tbMoveset!A2:G112,7,FALSE)*IFERROR(IF(Backdoors!AI12&gt;=0,1+(IF(Calculator!E40&gt;0,VLOOKUP(Calculator!E40,tbSkills!AI3:AJ5,2,FALSE),Backdoors!AL4)*(IF((Backdoors!AI12+IF(CO60&gt;=0.45,VLOOKUP(Calculator!E23,tbSkills!DH3:DI6,2,FALSE)+IF(AND(Calculator!B8=TRUE,Backdoors!BI16=TRUE),VLOOKUP(Calculator!E23,tbSkills!DH3:DJ6,3,FALSE),0),0))&gt;=100,100,(Backdoors!AI12+IF(CO60&gt;=0.45,VLOOKUP(Calculator!E23,tbSkills!DH3:DI6,2,FALSE)+IF(AND(Calculator!B8=TRUE,Backdoors!BI16=TRUE),VLOOKUP(Calculator!E23,tbSkills!DH3:DJ6,3,FALSE),0),0)))/100)),1),1)</f>
        <v>0.5</v>
      </c>
      <c r="CU60" s="87">
        <f t="shared" si="40"/>
        <v>0</v>
      </c>
      <c r="CV60" s="86" t="str">
        <f>IFERROR(IF(VLOOKUP(A60,tbMoveset!A2:B112,2,FALSE)="Sever",Backdoors!AY17/100,IF(VLOOKUP(A60,tbMoveset!A2:B112,2,FALSE)="Blunt",Backdoors!AZ17/100,Backdoors!BA17/100)),"")</f>
        <v/>
      </c>
      <c r="CW60" s="49">
        <f>IFERROR(IF(VLOOKUP(tbMoveset!A60,tbMoveset!A2:H112,8,FALSE)="Other",IF(VLOOKUP(tbMoveset!A60,tbMoveset!A2:I112,9,FALSE)="Fire",Backdoors!BB17,IF(VLOOKUP(tbMoveset!A60,tbMoveset!A2:I112,9,FALSE)="Water",Backdoors!BC17,IF(VLOOKUP(tbMoveset!A60,tbMoveset!A2:I112,9,FALSE)="Thunder",Backdoors!BD17,IF(VLOOKUP(tbMoveset!A60,tbMoveset!A2:I112,9,FALSE)="Ice",Backdoors!BE17,IF(VLOOKUP(tbMoveset!A60,tbMoveset!A2:I112,9,FALSE)="Dragon",Backdoors!BF17,Backdoors!BG17)))))/100,Backdoors!BG17/100),"")</f>
        <v>0</v>
      </c>
      <c r="CX60" s="49">
        <f>IFERROR(IF(VLOOKUP(A60,tbMoveset!A2:J112,10,FALSE)=TRUE,IF((Backdoors!AI12+IF(CV60&gt;=0.45,VLOOKUP(Calculator!E23,tbSkills!DH3:DI6,2,FALSE)+IF(AND(Calculator!B8=TRUE,Backdoors!BI17=TRUE),VLOOKUP(Calculator!E23,tbSkills!DH3:DJ6,3,FALSE),0),0))&gt;=0,1+(Backdoors!AL2*(IF((Backdoors!AI12+IF(CV60&gt;=0.45,VLOOKUP(Calculator!E23,tbSkills!DH3:DI6,2,FALSE)+IF(AND(Calculator!B8=TRUE,Backdoors!BI17=TRUE),VLOOKUP(Calculator!E23,tbSkills!DH3:DJ6,3,FALSE),0),0))&gt;=100,100,(Backdoors!AI12+IF(CV60&gt;=0.45,VLOOKUP(Calculator!E23,tbSkills!DH3:DI6,2,FALSE)+IF(AND(Calculator!B8=TRUE,Backdoors!BI17=TRUE),VLOOKUP(Calculator!E23,tbSkills!DH3:DJ6,3,FALSE),0),0)))/100)),(1-(0.25*((-Backdoors!AI12-IF(CV60&gt;=0.45,VLOOKUP(Calculator!E23,tbSkills!DH3:DI6,2,FALSE)+IF(AND(Calculator!B8=TRUE,Backdoors!BI17=TRUE),VLOOKUP(Calculator!E23,tbSkills!DH3:DJ6,3,FALSE),0),0))/100)))),1),"")</f>
        <v>1</v>
      </c>
      <c r="CY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V60)*CX60)*(VLOOKUP(A60,tbMoveset!A2:C112,3,FALSE)/100)*IF(VLOOKUP(A60,tbMoveset!A2:B112,2,FALSE)="Projectile",Backdoors!N10,Backdoors!N9),0),"")</f>
        <v/>
      </c>
      <c r="CZ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V60&gt;=0.45,VLOOKUP(Calculator!E23,tbSkills!DH3:DI6,2,FALSE)+IF(AND(Calculator!B8=TRUE,Backdoors!BI17=TRUE),VLOOKUP(Calculator!E23,tbSkills!DH3:DJ6,3,FALSE),0),0))&gt;=100,100,(Backdoors!AI12+IF(CV60&gt;=0.45,VLOOKUP(Calculator!E23,tbSkills!DH3:DI6,2,FALSE)+IF(AND(Calculator!B8=TRUE,Backdoors!BI17=TRUE),VLOOKUP(Calculator!E23,tbSkills!DH3:DJ6,3,FALSE),0),0)))/100)),1))*IF(VLOOKUP(A60,tbMoveset!A2:K112,11,FALSE)=TRUE,Backdoors!AC5,1))*CW60,0),"")</f>
        <v>0</v>
      </c>
      <c r="DA60" s="49">
        <f>VLOOKUP(A60,tbMoveset!A2:G112,7,FALSE)*IFERROR(IF(Backdoors!AI12&gt;=0,1+(IF(Calculator!E40&gt;0,VLOOKUP(Calculator!E40,tbSkills!AI3:AJ5,2,FALSE),Backdoors!AL4)*(IF((Backdoors!AI12+IF(CV60&gt;=0.45,VLOOKUP(Calculator!E23,tbSkills!DH3:DI6,2,FALSE)+IF(AND(Calculator!B8=TRUE,Backdoors!BI17=TRUE),VLOOKUP(Calculator!E23,tbSkills!DH3:DJ6,3,FALSE),0),0))&gt;=100,100,(Backdoors!AI12+IF(CV60&gt;=0.45,VLOOKUP(Calculator!E23,tbSkills!DH3:DI6,2,FALSE)+IF(AND(Calculator!B8=TRUE,Backdoors!BI17=TRUE),VLOOKUP(Calculator!E23,tbSkills!DH3:DJ6,3,FALSE),0),0)))/100)),1),1)</f>
        <v>0.5</v>
      </c>
      <c r="DB60" s="87">
        <f t="shared" si="8"/>
        <v>0</v>
      </c>
      <c r="DC60" s="86" t="str">
        <f>IFERROR(IF(VLOOKUP(A60,tbMoveset!A2:B112,2,FALSE)="Sever",Backdoors!AY18/100,IF(VLOOKUP(A60,tbMoveset!A2:B112,2,FALSE)="Blunt",Backdoors!AZ18/100,Backdoors!BA18/100)),"")</f>
        <v/>
      </c>
      <c r="DD60" s="49">
        <f>IFERROR(IF(VLOOKUP(tbMoveset!A60,tbMoveset!A2:H112,8,FALSE)="Other",IF(VLOOKUP(tbMoveset!A60,tbMoveset!A2:I112,9,FALSE)="Fire",Backdoors!BB18,IF(VLOOKUP(tbMoveset!A60,tbMoveset!A2:I112,9,FALSE)="Water",Backdoors!BC18,IF(VLOOKUP(tbMoveset!A60,tbMoveset!A2:I112,9,FALSE)="Thunder",Backdoors!BD18,IF(VLOOKUP(tbMoveset!A60,tbMoveset!A2:I112,9,FALSE)="Ice",Backdoors!BE18,IF(VLOOKUP(tbMoveset!A60,tbMoveset!A2:I112,9,FALSE)="Dragon",Backdoors!BF18,Backdoors!BG18)))))/100,Backdoors!BG18/100),"")</f>
        <v>0</v>
      </c>
      <c r="DE60" s="49">
        <f>IFERROR(IF(VLOOKUP(A60,tbMoveset!A2:J112,10,FALSE)=TRUE,IF((Backdoors!AI12+IF(DC60&gt;=0.45,VLOOKUP(Calculator!E23,tbSkills!DH3:DI6,2,FALSE)+IF(AND(Calculator!B8=TRUE,Backdoors!BI18=TRUE),VLOOKUP(Calculator!E23,tbSkills!DH3:DJ6,3,FALSE),0),0))&gt;=0,1+(Backdoors!AL2*(IF((Backdoors!AI12+IF(DC60&gt;=0.45,VLOOKUP(Calculator!E23,tbSkills!DH3:DI6,2,FALSE)+IF(AND(Calculator!B8=TRUE,Backdoors!BI18=TRUE),VLOOKUP(Calculator!E23,tbSkills!DH3:DJ6,3,FALSE),0),0))&gt;=100,100,(Backdoors!AI12+IF(DC60&gt;=0.45,VLOOKUP(Calculator!E23,tbSkills!DH3:DI6,2,FALSE)+IF(AND(Calculator!B8=TRUE,Backdoors!BI18=TRUE),VLOOKUP(Calculator!E23,tbSkills!DH3:DJ6,3,FALSE),0),0)))/100)),(1-(0.25*((-Backdoors!AI12-IF(DC60&gt;=0.45,VLOOKUP(Calculator!E23,tbSkills!DH3:DI6,2,FALSE)+IF(AND(Calculator!B8=TRUE,Backdoors!BI18=TRUE),VLOOKUP(Calculator!E23,tbSkills!DH3:DJ6,3,FALSE),0),0))/100)))),1),"")</f>
        <v>1</v>
      </c>
      <c r="DF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C60)*DE60)*(VLOOKUP(A60,tbMoveset!A2:C112,3,FALSE)/100)*IF(VLOOKUP(A60,tbMoveset!A2:B112,2,FALSE)="Projectile",Backdoors!N10,Backdoors!N9),0),"")</f>
        <v/>
      </c>
      <c r="DG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C60&gt;=0.45,VLOOKUP(Calculator!E23,tbSkills!DH3:DI6,2,FALSE)+IF(AND(Calculator!B8=TRUE,Backdoors!BI18=TRUE),VLOOKUP(Calculator!E23,tbSkills!DH3:DJ6,3,FALSE),0),0))&gt;=100,100,(Backdoors!AI12+IF(DC60&gt;=0.45,VLOOKUP(Calculator!E23,tbSkills!DH3:DI6,2,FALSE)+IF(AND(Calculator!B8=TRUE,Backdoors!BI18=TRUE),VLOOKUP(Calculator!E23,tbSkills!DH3:DJ6,3,FALSE),0),0)))/100)),1))*IF(VLOOKUP(A60,tbMoveset!A2:K112,11,FALSE)=TRUE,Backdoors!AC5,1))*DD60,0),"")</f>
        <v>0</v>
      </c>
      <c r="DH60" s="49">
        <f>VLOOKUP(A60,tbMoveset!A2:G112,7,FALSE)*IFERROR(IF(Backdoors!AI12&gt;=0,1+(IF(Calculator!E40&gt;0,VLOOKUP(Calculator!E40,tbSkills!AI3:AJ5,2,FALSE),Backdoors!AL4)*(IF((Backdoors!AI12+IF(DC60&gt;=0.45,VLOOKUP(Calculator!E23,tbSkills!DH3:DI6,2,FALSE)+IF(AND(Calculator!B8=TRUE,Backdoors!BI18=TRUE),VLOOKUP(Calculator!E23,tbSkills!DH3:DJ6,3,FALSE),0),0))&gt;=100,100,(Backdoors!AI12+IF(DC60&gt;=0.45,VLOOKUP(Calculator!E23,tbSkills!DH3:DI6,2,FALSE)+IF(AND(Calculator!B8=TRUE,Backdoors!BI18=TRUE),VLOOKUP(Calculator!E23,tbSkills!DH3:DJ6,3,FALSE),0),0)))/100)),1),1)</f>
        <v>0.5</v>
      </c>
      <c r="DI60" s="87">
        <f t="shared" si="9"/>
        <v>0</v>
      </c>
      <c r="DJ60" s="86" t="str">
        <f>IFERROR(IF(VLOOKUP(A60,tbMoveset!A2:B112,2,FALSE)="Sever",Backdoors!AY19/100,IF(VLOOKUP(A60,tbMoveset!A2:B112,2,FALSE)="Blunt",Backdoors!AZ19/100,Backdoors!BA19/100)),"")</f>
        <v/>
      </c>
      <c r="DK60" s="49">
        <f>IFERROR(IF(VLOOKUP(tbMoveset!A60,tbMoveset!A2:H112,8,FALSE)="Other",IF(VLOOKUP(tbMoveset!A60,tbMoveset!A2:I112,9,FALSE)="Fire",Backdoors!BB19,IF(VLOOKUP(tbMoveset!A60,tbMoveset!A2:I112,9,FALSE)="Water",Backdoors!BC19,IF(VLOOKUP(tbMoveset!A60,tbMoveset!A2:I112,9,FALSE)="Thunder",Backdoors!BD19,IF(VLOOKUP(tbMoveset!A60,tbMoveset!A2:I112,9,FALSE)="Ice",Backdoors!BE19,IF(VLOOKUP(tbMoveset!A60,tbMoveset!A2:I112,9,FALSE)="Dragon",Backdoors!BF19,Backdoors!BG19)))))/100,Backdoors!BG19/100),"")</f>
        <v>0</v>
      </c>
      <c r="DL60" s="49">
        <f>IFERROR(IF(VLOOKUP(A60,tbMoveset!A2:J112,10,FALSE)=TRUE,IF((Backdoors!AI12+IF(DJ60&gt;=0.45,VLOOKUP(Calculator!E23,tbSkills!DH3:DI6,2,FALSE)+IF(AND(Calculator!B8=TRUE,Backdoors!BI19=TRUE),VLOOKUP(Calculator!E23,tbSkills!DH3:DJ6,3,FALSE),0),0))&gt;=0,1+(Backdoors!AL2*(IF((Backdoors!AI12+IF(DJ60&gt;=0.45,VLOOKUP(Calculator!E23,tbSkills!DH3:DI6,2,FALSE)+IF(AND(Calculator!B8=TRUE,Backdoors!BI19=TRUE),VLOOKUP(Calculator!E23,tbSkills!DH3:DJ6,3,FALSE),0),0))&gt;=100,100,(Backdoors!AI12+IF(DJ60&gt;=0.45,VLOOKUP(Calculator!E23,tbSkills!DH3:DI6,2,FALSE)+IF(AND(Calculator!B8=TRUE,Backdoors!BI19=TRUE),VLOOKUP(Calculator!E23,tbSkills!DH3:DJ6,3,FALSE),0),0)))/100)),(1-(0.25*((-Backdoors!AI12-IF(DJ60&gt;=0.45,VLOOKUP(Calculator!E23,tbSkills!DH3:DI6,2,FALSE)+IF(AND(Calculator!B8=TRUE,Backdoors!BI19=TRUE),VLOOKUP(Calculator!E23,tbSkills!DH3:DJ6,3,FALSE),0),0))/100)))),1),"")</f>
        <v>1</v>
      </c>
      <c r="DM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J60)*DL60)*(VLOOKUP(A60,tbMoveset!A2:C112,3,FALSE)/100)*IF(VLOOKUP(A60,tbMoveset!A2:B112,2,FALSE)="Projectile",Backdoors!N10,Backdoors!N9),0),"")</f>
        <v/>
      </c>
      <c r="DN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J60&gt;=0.45,VLOOKUP(Calculator!E23,tbSkills!DH3:DI6,2,FALSE)+IF(AND(Calculator!B8=TRUE,Backdoors!BI19=TRUE),VLOOKUP(Calculator!E23,tbSkills!DH3:DJ6,3,FALSE),0),0))&gt;=100,100,(Backdoors!AI12+IF(DJ60&gt;=0.45,VLOOKUP(Calculator!E23,tbSkills!DH3:DI6,2,FALSE)+IF(AND(Calculator!B8=TRUE,Backdoors!BI19=TRUE),VLOOKUP(Calculator!E23,tbSkills!DH3:DJ6,3,FALSE),0),0)))/100)),1))*IF(VLOOKUP(A60,tbMoveset!A2:K112,11,FALSE)=TRUE,Backdoors!AC5,1))*DK60,0),"")</f>
        <v>0</v>
      </c>
      <c r="DO60" s="49">
        <f>VLOOKUP(A60,tbMoveset!A2:G112,7,FALSE)*IFERROR(IF(Backdoors!AI12&gt;=0,1+(IF(Calculator!E40&gt;0,VLOOKUP(Calculator!E40,tbSkills!AI3:AJ5,2,FALSE),Backdoors!AL4)*(IF((Backdoors!AI12+IF(DJ60&gt;=0.45,VLOOKUP(Calculator!E23,tbSkills!DH3:DI6,2,FALSE)+IF(AND(Calculator!B8=TRUE,Backdoors!BI19=TRUE),VLOOKUP(Calculator!E23,tbSkills!DH3:DJ6,3,FALSE),0),0))&gt;=100,100,(Backdoors!AI12+IF(DJ60&gt;=0.45,VLOOKUP(Calculator!E23,tbSkills!DH3:DI6,2,FALSE)+IF(AND(Calculator!B8=TRUE,Backdoors!BI19=TRUE),VLOOKUP(Calculator!E23,tbSkills!DH3:DJ6,3,FALSE),0),0)))/100)),1),1)</f>
        <v>0.5</v>
      </c>
      <c r="DP60" s="87">
        <f t="shared" si="41"/>
        <v>0</v>
      </c>
      <c r="DQ60" s="86" t="str">
        <f>IFERROR(IF(VLOOKUP(A60,tbMoveset!A2:B112,2,FALSE)="Sever",Backdoors!AY20/100,IF(VLOOKUP(A60,tbMoveset!A2:B112,2,FALSE)="Blunt",Backdoors!AZ20/100,Backdoors!BA20/100)),"")</f>
        <v/>
      </c>
      <c r="DR60" s="49">
        <f>IFERROR(IF(VLOOKUP(tbMoveset!A60,tbMoveset!A2:H112,8,FALSE)="Other",IF(VLOOKUP(tbMoveset!A60,tbMoveset!A2:I112,9,FALSE)="Fire",Backdoors!BB20,IF(VLOOKUP(tbMoveset!A60,tbMoveset!A2:I112,9,FALSE)="Water",Backdoors!BC20,IF(VLOOKUP(tbMoveset!A60,tbMoveset!A2:I112,9,FALSE)="Thunder",Backdoors!BD20,IF(VLOOKUP(tbMoveset!A60,tbMoveset!A2:I112,9,FALSE)="Ice",Backdoors!BE20,IF(VLOOKUP(tbMoveset!A60,tbMoveset!A2:I112,9,FALSE)="Dragon",Backdoors!BF20,Backdoors!BG20)))))/100,Backdoors!BG20/100),"")</f>
        <v>0</v>
      </c>
      <c r="DS60" s="49">
        <f>IFERROR(IF(VLOOKUP(A60,tbMoveset!A2:J112,10,FALSE)=TRUE,IF((Backdoors!AI12+IF(DQ60&gt;=0.45,VLOOKUP(Calculator!E23,tbSkills!DH3:DI6,2,FALSE)+IF(AND(Calculator!B8=TRUE,Backdoors!BI20=TRUE),VLOOKUP(Calculator!E23,tbSkills!DH3:DJ6,3,FALSE),0),0))&gt;=0,1+(Backdoors!AL2*(IF((Backdoors!AI12+IF(DQ60&gt;=0.45,VLOOKUP(Calculator!E23,tbSkills!DH3:DI6,2,FALSE)+IF(AND(Calculator!B8=TRUE,Backdoors!BI20=TRUE),VLOOKUP(Calculator!E23,tbSkills!DH3:DJ6,3,FALSE),0),0))&gt;=100,100,(Backdoors!AI12+IF(DQ60&gt;=0.45,VLOOKUP(Calculator!E23,tbSkills!DH3:DI6,2,FALSE)+IF(AND(Calculator!B8=TRUE,Backdoors!BI20=TRUE),VLOOKUP(Calculator!E23,tbSkills!DH3:DJ6,3,FALSE),0),0)))/100)),(1-(0.25*((-Backdoors!AI12-IF(DQ60&gt;=0.45,VLOOKUP(Calculator!E23,tbSkills!DH3:DI6,2,FALSE)+IF(AND(Calculator!B8=TRUE,Backdoors!BI20=TRUE),VLOOKUP(Calculator!E23,tbSkills!DH3:DJ6,3,FALSE),0),0))/100)))),1),"")</f>
        <v>1</v>
      </c>
      <c r="DT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Q60)*DS60)*(VLOOKUP(A60,tbMoveset!A2:C112,3,FALSE)/100)*IF(VLOOKUP(A60,tbMoveset!A2:B112,2,FALSE)="Projectile",Backdoors!N10,Backdoors!N9),0),"")</f>
        <v/>
      </c>
      <c r="DU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Q60&gt;=0.45,VLOOKUP(Calculator!E23,tbSkills!DH3:DI6,2,FALSE)+IF(AND(Calculator!B8=TRUE,Backdoors!BI20=TRUE),VLOOKUP(Calculator!E23,tbSkills!DH3:DJ6,3,FALSE),0),0))&gt;=100,100,(Backdoors!AI12+IF(DQ60&gt;=0.45,VLOOKUP(Calculator!E23,tbSkills!DH3:DI6,2,FALSE)+IF(AND(Calculator!B8=TRUE,Backdoors!BI20=TRUE),VLOOKUP(Calculator!E23,tbSkills!DH3:DJ6,3,FALSE),0),0)))/100)),1))*IF(VLOOKUP(A60,tbMoveset!A2:K112,11,FALSE)=TRUE,Backdoors!AC5,1))*DR60,0),"")</f>
        <v>0</v>
      </c>
      <c r="DV60" s="49">
        <f>VLOOKUP(A60,tbMoveset!A2:G112,7,FALSE)*IFERROR(IF(Backdoors!AI12&gt;=0,1+(IF(Calculator!E40&gt;0,VLOOKUP(Calculator!E40,tbSkills!AI3:AJ5,2,FALSE),Backdoors!AL4)*(IF((Backdoors!AI12+IF(DQ60&gt;=0.45,VLOOKUP(Calculator!E23,tbSkills!DH3:DI6,2,FALSE)+IF(AND(Calculator!B8=TRUE,Backdoors!BI20=TRUE),VLOOKUP(Calculator!E23,tbSkills!DH3:DJ6,3,FALSE),0),0))&gt;=100,100,(Backdoors!AI12+IF(DQ60&gt;=0.45,VLOOKUP(Calculator!E23,tbSkills!DH3:DI6,2,FALSE)+IF(AND(Calculator!B8=TRUE,Backdoors!BI20=TRUE),VLOOKUP(Calculator!E23,tbSkills!DH3:DJ6,3,FALSE),0),0)))/100)),1),1)</f>
        <v>0.5</v>
      </c>
      <c r="DW60" s="87">
        <f t="shared" si="10"/>
        <v>0</v>
      </c>
      <c r="DX60" s="86" t="str">
        <f>IFERROR(IF(VLOOKUP(A60,tbMoveset!A2:B112,2,FALSE)="Sever",Backdoors!AY21/100,IF(VLOOKUP(A60,tbMoveset!A2:B112,2,FALSE)="Blunt",Backdoors!AZ21/100,Backdoors!BA21/100)),"")</f>
        <v/>
      </c>
      <c r="DY60" s="49">
        <f>IFERROR(IF(VLOOKUP(tbMoveset!A60,tbMoveset!A2:H112,8,FALSE)="Other",IF(VLOOKUP(tbMoveset!A60,tbMoveset!A2:I112,9,FALSE)="Fire",Backdoors!BB21,IF(VLOOKUP(tbMoveset!A60,tbMoveset!A2:I112,9,FALSE)="Water",Backdoors!BC21,IF(VLOOKUP(tbMoveset!A60,tbMoveset!A2:I112,9,FALSE)="Thunder",Backdoors!BD21,IF(VLOOKUP(tbMoveset!A60,tbMoveset!A2:I112,9,FALSE)="Ice",Backdoors!BE21,IF(VLOOKUP(tbMoveset!A60,tbMoveset!A2:I112,9,FALSE)="Dragon",Backdoors!BF21,Backdoors!BG21)))))/100,Backdoors!BG21/100),"")</f>
        <v>0</v>
      </c>
      <c r="DZ60" s="49">
        <f>IFERROR(IF(VLOOKUP(A60,tbMoveset!A2:J112,10,FALSE)=TRUE,IF((Backdoors!AI12+IF(DX60&gt;=0.45,VLOOKUP(Calculator!E23,tbSkills!DH3:DI6,2,FALSE)+IF(AND(Calculator!B8=TRUE,Backdoors!BI21=TRUE),VLOOKUP(Calculator!E23,tbSkills!DH3:DJ6,3,FALSE),0),0))&gt;=0,1+(Backdoors!AL2*(IF((Backdoors!AI12+IF(DX60&gt;=0.45,VLOOKUP(Calculator!E23,tbSkills!DH3:DI6,2,FALSE)+IF(AND(Calculator!B8=TRUE,Backdoors!BI21=TRUE),VLOOKUP(Calculator!E23,tbSkills!DH3:DJ6,3,FALSE),0),0))&gt;=100,100,(Backdoors!AI12+IF(DX60&gt;=0.45,VLOOKUP(Calculator!E23,tbSkills!DH3:DI6,2,FALSE)+IF(AND(Calculator!B8=TRUE,Backdoors!BI21=TRUE),VLOOKUP(Calculator!E23,tbSkills!DH3:DJ6,3,FALSE),0),0)))/100)),(1-(0.25*((-Backdoors!AI12-IF(DX60&gt;=0.45,VLOOKUP(Calculator!E23,tbSkills!DH3:DI6,2,FALSE)+IF(AND(Calculator!B8=TRUE,Backdoors!BI21=TRUE),VLOOKUP(Calculator!E23,tbSkills!DH3:DJ6,3,FALSE),0),0))/100)))),1),"")</f>
        <v>1</v>
      </c>
      <c r="EA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X60)*DZ60)*(VLOOKUP(A60,tbMoveset!A2:C112,3,FALSE)/100)*IF(VLOOKUP(A60,tbMoveset!A2:B112,2,FALSE)="Projectile",Backdoors!N10,Backdoors!N9),0),"")</f>
        <v/>
      </c>
      <c r="EB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X60&gt;=0.45,VLOOKUP(Calculator!E23,tbSkills!DH3:DI6,2,FALSE)+IF(AND(Calculator!B8=TRUE,Backdoors!BI21=TRUE),VLOOKUP(Calculator!E23,tbSkills!DH3:DJ6,3,FALSE),0),0))&gt;=100,100,(Backdoors!AI12+IF(DX60&gt;=0.45,VLOOKUP(Calculator!E23,tbSkills!DH3:DI6,2,FALSE)+IF(AND(Calculator!B8=TRUE,Backdoors!BI21=TRUE),VLOOKUP(Calculator!E23,tbSkills!DH3:DJ6,3,FALSE),0),0)))/100)),1))*IF(VLOOKUP(A60,tbMoveset!A2:K112,11,FALSE)=TRUE,Backdoors!AC5,1))*DY60,0),"")</f>
        <v>0</v>
      </c>
      <c r="EC60" s="49">
        <f>VLOOKUP(A60,tbMoveset!A2:G112,7,FALSE)*IFERROR(IF(Backdoors!AI12&gt;=0,1+(IF(Calculator!E40&gt;0,VLOOKUP(Calculator!E40,tbSkills!AI3:AJ5,2,FALSE),Backdoors!AL4)*(IF((Backdoors!AI12+IF(DX60&gt;=0.45,VLOOKUP(Calculator!E23,tbSkills!DH3:DI6,2,FALSE)+IF(AND(Calculator!B8=TRUE,Backdoors!BI21=TRUE),VLOOKUP(Calculator!E23,tbSkills!DH3:DJ6,3,FALSE),0),0))&gt;=100,100,(Backdoors!AI12+IF(DX60&gt;=0.45,VLOOKUP(Calculator!E23,tbSkills!DH3:DI6,2,FALSE)+IF(AND(Calculator!B8=TRUE,Backdoors!BI21=TRUE),VLOOKUP(Calculator!E23,tbSkills!DH3:DJ6,3,FALSE),0),0)))/100)),1),1)</f>
        <v>0.5</v>
      </c>
      <c r="ED60" s="87">
        <f t="shared" si="11"/>
        <v>0</v>
      </c>
      <c r="EE60" s="86" t="str">
        <f>IFERROR(IF(VLOOKUP(A60,tbMoveset!A2:B112,2,FALSE)="Sever",Backdoors!AY22/100,IF(VLOOKUP(A60,tbMoveset!A2:B112,2,FALSE)="Blunt",Backdoors!AZ22/100,Backdoors!BA22/100)),"")</f>
        <v/>
      </c>
      <c r="EF60" s="49">
        <f>IFERROR(IF(VLOOKUP(tbMoveset!A60,tbMoveset!A2:H112,8,FALSE)="Other",IF(VLOOKUP(tbMoveset!A60,tbMoveset!A2:I112,9,FALSE)="Fire",Backdoors!BB22,IF(VLOOKUP(tbMoveset!A60,tbMoveset!A2:I112,9,FALSE)="Water",Backdoors!BC22,IF(VLOOKUP(tbMoveset!A60,tbMoveset!A2:I112,9,FALSE)="Thunder",Backdoors!BD22,IF(VLOOKUP(tbMoveset!A60,tbMoveset!A2:I112,9,FALSE)="Ice",Backdoors!BE22,IF(VLOOKUP(tbMoveset!A60,tbMoveset!A2:I112,9,FALSE)="Dragon",Backdoors!BF22,Backdoors!BG22)))))/100,Backdoors!BG22/100),"")</f>
        <v>0</v>
      </c>
      <c r="EG60" s="49">
        <f>IFERROR(IF(VLOOKUP(A60,tbMoveset!A2:J112,10,FALSE)=TRUE,IF((Backdoors!AI12+IF(EE60&gt;=0.45,VLOOKUP(Calculator!E23,tbSkills!DH3:DI6,2,FALSE)+IF(AND(Calculator!B8=TRUE,Backdoors!BI22=TRUE),VLOOKUP(Calculator!E23,tbSkills!DH3:DJ6,3,FALSE),0),0))&gt;=0,1+(Backdoors!AL2*(IF((Backdoors!AI12+IF(EE60&gt;=0.45,VLOOKUP(Calculator!E23,tbSkills!DH3:DI6,2,FALSE)+IF(AND(Calculator!B8=TRUE,Backdoors!BI22=TRUE),VLOOKUP(Calculator!E23,tbSkills!DH3:DJ6,3,FALSE),0),0))&gt;=100,100,(Backdoors!AI12+IF(EE60&gt;=0.45,VLOOKUP(Calculator!E23,tbSkills!DH3:DI6,2,FALSE)+IF(AND(Calculator!B8=TRUE,Backdoors!BI22=TRUE),VLOOKUP(Calculator!E23,tbSkills!DH3:DJ6,3,FALSE),0),0)))/100)),(1-(0.25*((-Backdoors!AI12-IF(EE60&gt;=0.45,VLOOKUP(Calculator!E23,tbSkills!DH3:DI6,2,FALSE)+IF(AND(Calculator!B8=TRUE,Backdoors!BI22=TRUE),VLOOKUP(Calculator!E23,tbSkills!DH3:DJ6,3,FALSE),0),0))/100)))),1),"")</f>
        <v>1</v>
      </c>
      <c r="EH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E60)*EG60)*(VLOOKUP(A60,tbMoveset!A2:C112,3,FALSE)/100)*IF(VLOOKUP(A60,tbMoveset!A2:B112,2,FALSE)="Projectile",Backdoors!N10,Backdoors!N9),0),"")</f>
        <v/>
      </c>
      <c r="EI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E60&gt;=0.45,VLOOKUP(Calculator!E23,tbSkills!DH3:DI6,2,FALSE)+IF(AND(Calculator!B8=TRUE,Backdoors!BI22=TRUE),VLOOKUP(Calculator!E23,tbSkills!DH3:DJ6,3,FALSE),0),0))&gt;=100,100,(Backdoors!AI12+IF(EE60&gt;=0.45,VLOOKUP(Calculator!E23,tbSkills!DH3:DI6,2,FALSE)+IF(AND(Calculator!B8=TRUE,Backdoors!BI22=TRUE),VLOOKUP(Calculator!E23,tbSkills!DH3:DJ6,3,FALSE),0),0)))/100)),1))*IF(VLOOKUP(A60,tbMoveset!A2:K112,11,FALSE)=TRUE,Backdoors!AC5,1))*EF60,0),"")</f>
        <v>0</v>
      </c>
      <c r="EJ60" s="49">
        <f>VLOOKUP(A60,tbMoveset!A2:G112,7,FALSE)*IFERROR(IF(Backdoors!AI12&gt;=0,1+(IF(Calculator!E40&gt;0,VLOOKUP(Calculator!E40,tbSkills!AI3:AJ5,2,FALSE),Backdoors!AL4)*(IF((Backdoors!AI12+IF(EE60&gt;=0.45,VLOOKUP(Calculator!E23,tbSkills!DH3:DI6,2,FALSE)+IF(AND(Calculator!B8=TRUE,Backdoors!BI22=TRUE),VLOOKUP(Calculator!E23,tbSkills!DH3:DJ6,3,FALSE),0),0))&gt;=100,100,(Backdoors!AI12+IF(EE60&gt;=0.45,VLOOKUP(Calculator!E23,tbSkills!DH3:DI6,2,FALSE)+IF(AND(Calculator!B8=TRUE,Backdoors!BI22=TRUE),VLOOKUP(Calculator!E23,tbSkills!DH3:DJ6,3,FALSE),0),0)))/100)),1),1)</f>
        <v>0.5</v>
      </c>
      <c r="EK60" s="87">
        <f t="shared" si="12"/>
        <v>0</v>
      </c>
      <c r="EL60" s="86" t="str">
        <f>IFERROR(IF(VLOOKUP(A60,tbMoveset!A2:B112,2,FALSE)="Sever",Backdoors!AY23/100,IF(VLOOKUP(A60,tbMoveset!A2:B112,2,FALSE)="Blunt",Backdoors!AZ23/100,Backdoors!BA23/100)),"")</f>
        <v/>
      </c>
      <c r="EM60" s="49">
        <f>IFERROR(IF(VLOOKUP(tbMoveset!A60,tbMoveset!A2:H112,8,FALSE)="Other",IF(VLOOKUP(tbMoveset!A60,tbMoveset!A2:I112,9,FALSE)="Fire",Backdoors!BB23,IF(VLOOKUP(tbMoveset!A60,tbMoveset!A2:I112,9,FALSE)="Water",Backdoors!BC23,IF(VLOOKUP(tbMoveset!A60,tbMoveset!A2:I112,9,FALSE)="Thunder",Backdoors!BD23,IF(VLOOKUP(tbMoveset!A60,tbMoveset!A2:I112,9,FALSE)="Ice",Backdoors!BE23,IF(VLOOKUP(tbMoveset!A60,tbMoveset!A2:I112,9,FALSE)="Dragon",Backdoors!BF23,Backdoors!BG23)))))/100,Backdoors!BG23/100),"")</f>
        <v>0</v>
      </c>
      <c r="EN60" s="49">
        <f>IFERROR(IF(VLOOKUP(A60,tbMoveset!A2:J112,10,FALSE)=TRUE,IF((Backdoors!AI12+IF(EL60&gt;=0.45,VLOOKUP(Calculator!E23,tbSkills!DH3:DI6,2,FALSE)+IF(AND(Calculator!B8=TRUE,Backdoors!BI23=TRUE),VLOOKUP(Calculator!E23,tbSkills!DH3:DJ6,3,FALSE),0),0))&gt;=0,1+(Backdoors!AL2*(IF((Backdoors!AI12+IF(EL60&gt;=0.45,VLOOKUP(Calculator!E23,tbSkills!DH3:DI6,2,FALSE)+IF(AND(Calculator!B8=TRUE,Backdoors!BI23=TRUE),VLOOKUP(Calculator!E23,tbSkills!DH3:DJ6,3,FALSE),0),0))&gt;=100,100,(Backdoors!AI12+IF(EL60&gt;=0.45,VLOOKUP(Calculator!E23,tbSkills!DH3:DI6,2,FALSE)+IF(AND(Calculator!B8=TRUE,Backdoors!BI23=TRUE),VLOOKUP(Calculator!E23,tbSkills!DH3:DJ6,3,FALSE),0),0)))/100)),(1-(0.25*((-Backdoors!AI12-IF(EL60&gt;=0.45,VLOOKUP(Calculator!E23,tbSkills!DH3:DI6,2,FALSE)+IF(AND(Calculator!B8=TRUE,Backdoors!BI23=TRUE),VLOOKUP(Calculator!E23,tbSkills!DH3:DJ6,3,FALSE),0),0))/100)))),1),"")</f>
        <v>1</v>
      </c>
      <c r="EO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L60)*EN60)*(VLOOKUP(A60,tbMoveset!A2:C112,3,FALSE)/100)*IF(VLOOKUP(A60,tbMoveset!A2:B112,2,FALSE)="Projectile",Backdoors!N10,Backdoors!N9),0),"")</f>
        <v/>
      </c>
      <c r="EP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L60&gt;=0.45,VLOOKUP(Calculator!E23,tbSkills!DH3:DI6,2,FALSE)+IF(AND(Calculator!B8=TRUE,Backdoors!BI23=TRUE),VLOOKUP(Calculator!E23,tbSkills!DH3:DJ6,3,FALSE),0),0))&gt;=100,100,(Backdoors!AI12+IF(EL60&gt;=0.45,VLOOKUP(Calculator!E23,tbSkills!DH3:DI6,2,FALSE)+IF(AND(Calculator!B8=TRUE,Backdoors!BI23=TRUE),VLOOKUP(Calculator!E23,tbSkills!DH3:DJ6,3,FALSE),0),0)))/100)),1))*IF(VLOOKUP(A60,tbMoveset!A2:K112,11,FALSE)=TRUE,Backdoors!AC5,1))*EM60,0),"")</f>
        <v>0</v>
      </c>
      <c r="EQ60" s="49">
        <f>VLOOKUP(A60,tbMoveset!A2:G112,7,FALSE)*IFERROR(IF(Backdoors!AI12&gt;=0,1+(IF(Calculator!E40&gt;0,VLOOKUP(Calculator!E40,tbSkills!AI3:AJ5,2,FALSE),Backdoors!AL4)*(IF((Backdoors!AI12+IF(EL60&gt;=0.45,VLOOKUP(Calculator!E23,tbSkills!DH3:DI6,2,FALSE)+IF(AND(Calculator!B8=TRUE,Backdoors!BI23=TRUE),VLOOKUP(Calculator!E23,tbSkills!DH3:DJ6,3,FALSE),0),0))&gt;=100,100,(Backdoors!AI12+IF(EL60&gt;=0.45,VLOOKUP(Calculator!E23,tbSkills!DH3:DI6,2,FALSE)+IF(AND(Calculator!B8=TRUE,Backdoors!BI23=TRUE),VLOOKUP(Calculator!E23,tbSkills!DH3:DJ6,3,FALSE),0),0)))/100)),1),1)</f>
        <v>0.5</v>
      </c>
      <c r="ER60" s="87">
        <f t="shared" si="13"/>
        <v>0</v>
      </c>
      <c r="ES60" s="86" t="str">
        <f>IFERROR(IF(VLOOKUP(A60,tbMoveset!A2:B112,2,FALSE)="Sever",Backdoors!AY24/100,IF(VLOOKUP(A60,tbMoveset!A2:B112,2,FALSE)="Blunt",Backdoors!AZ24/100,Backdoors!BA24/100)),"")</f>
        <v/>
      </c>
      <c r="ET60" s="49">
        <f>IFERROR(IF(VLOOKUP(tbMoveset!A60,tbMoveset!A2:H112,8,FALSE)="Other",IF(VLOOKUP(tbMoveset!A60,tbMoveset!A2:I112,9,FALSE)="Fire",Backdoors!BB24,IF(VLOOKUP(tbMoveset!A60,tbMoveset!A2:I112,9,FALSE)="Water",Backdoors!BC24,IF(VLOOKUP(tbMoveset!A60,tbMoveset!A2:I112,9,FALSE)="Thunder",Backdoors!BD24,IF(VLOOKUP(tbMoveset!A60,tbMoveset!A2:I112,9,FALSE)="Ice",Backdoors!BE24,IF(VLOOKUP(tbMoveset!A60,tbMoveset!A2:I112,9,FALSE)="Dragon",Backdoors!BF24,Backdoors!BG24)))))/100,Backdoors!BG24/100),"")</f>
        <v>0</v>
      </c>
      <c r="EU60" s="49">
        <f>IFERROR(IF(VLOOKUP(A60,tbMoveset!A2:J112,10,FALSE)=TRUE,IF((Backdoors!AI12+IF(ES60&gt;=0.45,VLOOKUP(Calculator!E23,tbSkills!DH3:DI6,2,FALSE)+IF(AND(Calculator!B8=TRUE,Backdoors!BI24=TRUE),VLOOKUP(Calculator!E23,tbSkills!DH3:DJ6,3,FALSE),0),0))&gt;=0,1+(Backdoors!AL2*(IF((Backdoors!AI12+IF(ES60&gt;=0.45,VLOOKUP(Calculator!E23,tbSkills!DH3:DI6,2,FALSE)+IF(AND(Calculator!B8=TRUE,Backdoors!BI24=TRUE),VLOOKUP(Calculator!E23,tbSkills!DH3:DJ6,3,FALSE),0),0))&gt;=100,100,(Backdoors!AI12+IF(ES60&gt;=0.45,VLOOKUP(Calculator!E23,tbSkills!DH3:DI6,2,FALSE)+IF(AND(Calculator!B8=TRUE,Backdoors!BI24=TRUE),VLOOKUP(Calculator!E23,tbSkills!DH3:DJ6,3,FALSE),0),0)))/100)),(1-(0.25*((-Backdoors!AI12-IF(ES60&gt;=0.45,VLOOKUP(Calculator!E23,tbSkills!DH3:DI6,2,FALSE)+IF(AND(Calculator!B8=TRUE,Backdoors!BI24=TRUE),VLOOKUP(Calculator!E23,tbSkills!DH3:DJ6,3,FALSE),0),0))/100)))),1),"")</f>
        <v>1</v>
      </c>
      <c r="EV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S60)*EU60)*(VLOOKUP(A60,tbMoveset!A2:C112,3,FALSE)/100)*IF(VLOOKUP(A60,tbMoveset!A2:B112,2,FALSE)="Projectile",Backdoors!N10,Backdoors!N9),0),"")</f>
        <v/>
      </c>
      <c r="EW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S60&gt;=0.45,VLOOKUP(Calculator!E23,tbSkills!DH3:DI6,2,FALSE)+IF(AND(Calculator!B8=TRUE,Backdoors!BI24=TRUE),VLOOKUP(Calculator!E23,tbSkills!DH3:DJ6,3,FALSE),0),0))&gt;=100,100,(Backdoors!AI12+IF(ES60&gt;=0.45,VLOOKUP(Calculator!E23,tbSkills!DH3:DI6,2,FALSE)+IF(AND(Calculator!B8=TRUE,Backdoors!BI24=TRUE),VLOOKUP(Calculator!E23,tbSkills!DH3:DJ6,3,FALSE),0),0)))/100)),1))*IF(VLOOKUP(A60,tbMoveset!A2:K112,11,FALSE)=TRUE,Backdoors!AC5,1))*ET60,0),"")</f>
        <v>0</v>
      </c>
      <c r="EX60" s="49">
        <f>VLOOKUP(A60,tbMoveset!A2:G112,7,FALSE)*IFERROR(IF(Backdoors!AI12&gt;=0,1+(IF(Calculator!E40&gt;0,VLOOKUP(Calculator!E40,tbSkills!AI3:AJ5,2,FALSE),Backdoors!AL4)*(IF((Backdoors!AI12+IF(ES60&gt;=0.45,VLOOKUP(Calculator!E23,tbSkills!DH3:DI6,2,FALSE)+IF(AND(Calculator!B8=TRUE,Backdoors!BI24=TRUE),VLOOKUP(Calculator!E23,tbSkills!DH3:DJ6,3,FALSE),0),0))&gt;=100,100,(Backdoors!AI12+IF(ES60&gt;=0.45,VLOOKUP(Calculator!E23,tbSkills!DH3:DI6,2,FALSE)+IF(AND(Calculator!B8=TRUE,Backdoors!BI24=TRUE),VLOOKUP(Calculator!E23,tbSkills!DH3:DJ6,3,FALSE),0),0)))/100)),1),1)</f>
        <v>0.5</v>
      </c>
      <c r="EY60" s="87">
        <f t="shared" si="14"/>
        <v>0</v>
      </c>
      <c r="EZ60" s="86" t="str">
        <f>IFERROR(IF(VLOOKUP(A60,tbMoveset!A2:B112,2,FALSE)="Sever",Backdoors!AY25/100,IF(VLOOKUP(A60,tbMoveset!A2:B112,2,FALSE)="Blunt",Backdoors!AZ25/100,Backdoors!BA25/100)),"")</f>
        <v/>
      </c>
      <c r="FA60" s="49">
        <f>IFERROR(IF(VLOOKUP(tbMoveset!A60,tbMoveset!A2:H112,8,FALSE)="Other",IF(VLOOKUP(tbMoveset!A60,tbMoveset!A2:I112,9,FALSE)="Fire",Backdoors!BB25,IF(VLOOKUP(tbMoveset!A60,tbMoveset!A2:I112,9,FALSE)="Water",Backdoors!BC25,IF(VLOOKUP(tbMoveset!A60,tbMoveset!A2:I112,9,FALSE)="Thunder",Backdoors!BD25,IF(VLOOKUP(tbMoveset!A60,tbMoveset!A2:I112,9,FALSE)="Ice",Backdoors!BE25,IF(VLOOKUP(tbMoveset!A60,tbMoveset!A2:I112,9,FALSE)="Dragon",Backdoors!BF25,Backdoors!BG25)))))/100,Backdoors!BG25/100),"")</f>
        <v>0</v>
      </c>
      <c r="FB60" s="49">
        <f>IFERROR(IF(VLOOKUP(A60,tbMoveset!A2:J112,10,FALSE)=TRUE,IF((Backdoors!AI12+IF(EZ60&gt;=0.45,VLOOKUP(Calculator!E23,tbSkills!DH3:DI6,2,FALSE)+IF(AND(Calculator!B8=TRUE,Backdoors!BI25=TRUE),VLOOKUP(Calculator!E23,tbSkills!DH3:DJ6,3,FALSE),0),0))&gt;=0,1+(Backdoors!AL2*(IF((Backdoors!AI12+IF(EZ60&gt;=0.45,VLOOKUP(Calculator!E23,tbSkills!DH3:DI6,2,FALSE)+IF(AND(Calculator!B8=TRUE,Backdoors!BI25=TRUE),VLOOKUP(Calculator!E23,tbSkills!DH3:DJ6,3,FALSE),0),0))&gt;=100,100,(Backdoors!AI12+IF(EZ60&gt;=0.45,VLOOKUP(Calculator!E23,tbSkills!DH3:DI6,2,FALSE)+IF(AND(Calculator!B8=TRUE,Backdoors!BI25=TRUE),VLOOKUP(Calculator!E23,tbSkills!DH3:DJ6,3,FALSE),0),0)))/100)),(1-(0.25*((-Backdoors!AI12-IF(EZ60&gt;=0.45,VLOOKUP(Calculator!E23,tbSkills!DH3:DI6,2,FALSE)+IF(AND(Calculator!B8=TRUE,Backdoors!BI25=TRUE),VLOOKUP(Calculator!E23,tbSkills!DH3:DJ6,3,FALSE),0),0))/100)))),1),"")</f>
        <v>1</v>
      </c>
      <c r="FC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Z60)*FB60)*(VLOOKUP(A60,tbMoveset!A2:C112,3,FALSE)/100)*IF(VLOOKUP(A60,tbMoveset!A2:B112,2,FALSE)="Projectile",Backdoors!N10,Backdoors!N9),0),"")</f>
        <v/>
      </c>
      <c r="FD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Z60&gt;=0.45,VLOOKUP(Calculator!E23,tbSkills!DH3:DI6,2,FALSE)+IF(AND(Calculator!B8=TRUE,Backdoors!BI25=TRUE),VLOOKUP(Calculator!E23,tbSkills!DH3:DJ6,3,FALSE),0),0))&gt;=100,100,(Backdoors!AI12+IF(EZ60&gt;=0.45,VLOOKUP(Calculator!E23,tbSkills!DH3:DI6,2,FALSE)+IF(AND(Calculator!B8=TRUE,Backdoors!BI25=TRUE),VLOOKUP(Calculator!E23,tbSkills!DH3:DJ6,3,FALSE),0),0)))/100)),1))*IF(VLOOKUP(A60,tbMoveset!A2:K112,11,FALSE)=TRUE,Backdoors!AC5,1))*FA60,0),"")</f>
        <v>0</v>
      </c>
      <c r="FE60" s="49">
        <f>VLOOKUP(A60,tbMoveset!A2:G112,7,FALSE)*IFERROR(IF(Backdoors!AI12&gt;=0,1+(IF(Calculator!E40&gt;0,VLOOKUP(Calculator!E40,tbSkills!AI3:AJ5,2,FALSE),Backdoors!AL4)*(IF((Backdoors!AI12+IF(EZ60&gt;=0.45,VLOOKUP(Calculator!E23,tbSkills!DH3:DI6,2,FALSE)+IF(AND(Calculator!B8=TRUE,Backdoors!BI25=TRUE),VLOOKUP(Calculator!E23,tbSkills!DH3:DJ6,3,FALSE),0),0))&gt;=100,100,(Backdoors!AI12+IF(EZ60&gt;=0.45,VLOOKUP(Calculator!E23,tbSkills!DH3:DI6,2,FALSE)+IF(AND(Calculator!B8=TRUE,Backdoors!BI25=TRUE),VLOOKUP(Calculator!E23,tbSkills!DH3:DJ6,3,FALSE),0),0)))/100)),1),1)</f>
        <v>0.5</v>
      </c>
      <c r="FF60" s="87">
        <f t="shared" si="15"/>
        <v>0</v>
      </c>
      <c r="FG60" s="86" t="str">
        <f>IFERROR(IF(VLOOKUP(A60,tbMoveset!A2:B112,2,FALSE)="Sever",Backdoors!AY26/100,IF(VLOOKUP(A60,tbMoveset!A2:B112,2,FALSE)="Blunt",Backdoors!AZ26/100,Backdoors!BA26/100)),"")</f>
        <v/>
      </c>
      <c r="FH60" s="49">
        <f>IFERROR(IF(VLOOKUP(tbMoveset!A60,tbMoveset!A2:H112,8,FALSE)="Other",IF(VLOOKUP(tbMoveset!A60,tbMoveset!A2:I112,9,FALSE)="Fire",Backdoors!BB26,IF(VLOOKUP(tbMoveset!A60,tbMoveset!A2:I112,9,FALSE)="Water",Backdoors!BC26,IF(VLOOKUP(tbMoveset!A60,tbMoveset!A2:I112,9,FALSE)="Thunder",Backdoors!BD26,IF(VLOOKUP(tbMoveset!A60,tbMoveset!A2:I112,9,FALSE)="Ice",Backdoors!BE26,IF(VLOOKUP(tbMoveset!A60,tbMoveset!A2:I112,9,FALSE)="Dragon",Backdoors!BF26,Backdoors!BG26)))))/100,Backdoors!BG26/100),"")</f>
        <v>0</v>
      </c>
      <c r="FI60" s="49">
        <f>IFERROR(IF(VLOOKUP(A60,tbMoveset!A2:J112,10,FALSE)=TRUE,IF((Backdoors!AI12+IF(FG60&gt;=0.45,VLOOKUP(Calculator!E23,tbSkills!DH3:DI6,2,FALSE)+IF(AND(Calculator!B8=TRUE,Backdoors!BI26=TRUE),VLOOKUP(Calculator!E23,tbSkills!DH3:DJ6,3,FALSE),0),0))&gt;=0,1+(Backdoors!AL2*(IF((Backdoors!AI12+IF(FG60&gt;=0.45,VLOOKUP(Calculator!E23,tbSkills!DH3:DI6,2,FALSE)+IF(AND(Calculator!B8=TRUE,Backdoors!BI26=TRUE),VLOOKUP(Calculator!E23,tbSkills!DH3:DJ6,3,FALSE),0),0))&gt;=100,100,(Backdoors!AI12+IF(FG60&gt;=0.45,VLOOKUP(Calculator!E23,tbSkills!DH3:DI6,2,FALSE)+IF(AND(Calculator!B8=TRUE,Backdoors!BI26=TRUE),VLOOKUP(Calculator!E23,tbSkills!DH3:DJ6,3,FALSE),0),0)))/100)),(1-(0.25*((-Backdoors!AI12-IF(FG60&gt;=0.45,VLOOKUP(Calculator!E23,tbSkills!DH3:DI6,2,FALSE)+IF(AND(Calculator!B8=TRUE,Backdoors!BI26=TRUE),VLOOKUP(Calculator!E23,tbSkills!DH3:DJ6,3,FALSE),0),0))/100)))),1),"")</f>
        <v>1</v>
      </c>
      <c r="FJ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FG60)*FI60)*(VLOOKUP(A60,tbMoveset!A2:C112,3,FALSE)/100)*IF(VLOOKUP(A60,tbMoveset!A2:B112,2,FALSE)="Projectile",Backdoors!N10,Backdoors!N9),0),"")</f>
        <v/>
      </c>
      <c r="FK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FG60&gt;=0.45,VLOOKUP(Calculator!E23,tbSkills!DH3:DI6,2,FALSE)+IF(AND(Calculator!B8=TRUE,Backdoors!BI26=TRUE),VLOOKUP(Calculator!E23,tbSkills!DH3:DJ6,3,FALSE),0),0))&gt;=100,100,(Backdoors!AI12+IF(FG60&gt;=0.45,VLOOKUP(Calculator!E23,tbSkills!DH3:DI6,2,FALSE)+IF(AND(Calculator!B8=TRUE,Backdoors!BI26=TRUE),VLOOKUP(Calculator!E23,tbSkills!DH3:DJ6,3,FALSE),0),0)))/100)),1))*IF(VLOOKUP(A60,tbMoveset!A2:K112,11,FALSE)=TRUE,Backdoors!AC5,1))*FH60,0),"")</f>
        <v>0</v>
      </c>
      <c r="FL60" s="49">
        <f>VLOOKUP(A60,tbMoveset!A2:G112,7,FALSE)*IFERROR(IF(Backdoors!AI12&gt;=0,1+(IF(Calculator!E40&gt;0,VLOOKUP(Calculator!E40,tbSkills!AI3:AJ5,2,FALSE),Backdoors!AL4)*(IF((Backdoors!AI12+IF(FG60&gt;=0.45,VLOOKUP(Calculator!E23,tbSkills!DH3:DI6,2,FALSE)+IF(AND(Calculator!B8=TRUE,Backdoors!BI26=TRUE),VLOOKUP(Calculator!E23,tbSkills!DH3:DJ6,3,FALSE),0),0))&gt;=100,100,(Backdoors!AI12+IF(FG60&gt;=0.45,VLOOKUP(Calculator!E23,tbSkills!DH3:DI6,2,FALSE)+IF(AND(Calculator!B8=TRUE,Backdoors!BI26=TRUE),VLOOKUP(Calculator!E23,tbSkills!DH3:DJ6,3,FALSE),0),0)))/100)),1),1)</f>
        <v>0.5</v>
      </c>
      <c r="FM60" s="87">
        <f t="shared" si="16"/>
        <v>0</v>
      </c>
      <c r="FN60" s="86" t="str">
        <f>IFERROR(IF(VLOOKUP(A60,tbMoveset!A2:B112,2,FALSE)="Sever",Backdoors!AY27/100,IF(VLOOKUP(A60,tbMoveset!A2:B112,2,FALSE)="Blunt",Backdoors!AZ27/100,Backdoors!BA27/100)),"")</f>
        <v/>
      </c>
      <c r="FO60" s="49">
        <f>IFERROR(IF(VLOOKUP(tbMoveset!A60,tbMoveset!A2:H112,8,FALSE)="Other",IF(VLOOKUP(tbMoveset!A60,tbMoveset!A2:I112,9,FALSE)="Fire",Backdoors!BB27,IF(VLOOKUP(tbMoveset!A60,tbMoveset!A2:I112,9,FALSE)="Water",Backdoors!BC27,IF(VLOOKUP(tbMoveset!A60,tbMoveset!A2:I112,9,FALSE)="Thunder",Backdoors!BD27,IF(VLOOKUP(tbMoveset!A60,tbMoveset!A2:I112,9,FALSE)="Ice",Backdoors!BE27,IF(VLOOKUP(tbMoveset!A60,tbMoveset!A2:I112,9,FALSE)="Dragon",Backdoors!BF27,Backdoors!BG27)))))/100,Backdoors!BG27/100),"")</f>
        <v>0</v>
      </c>
      <c r="FP60" s="49">
        <f>IFERROR(IF(VLOOKUP(A60,tbMoveset!A2:J112,10,FALSE)=TRUE,IF((Backdoors!AI12+IF(FN60&gt;=0.45,VLOOKUP(Calculator!E23,tbSkills!DH3:DI6,2,FALSE)+IF(AND(Calculator!B8=TRUE,Backdoors!BI27=TRUE),VLOOKUP(Calculator!E23,tbSkills!DH3:DJ6,3,FALSE),0),0))&gt;=0,1+(Backdoors!AL2*(IF((Backdoors!AI12+IF(FN60&gt;=0.45,VLOOKUP(Calculator!E23,tbSkills!DH3:DI6,2,FALSE)+IF(AND(Calculator!B8=TRUE,Backdoors!BI27=TRUE),VLOOKUP(Calculator!E23,tbSkills!DH3:DJ6,3,FALSE),0),0))&gt;=100,100,(Backdoors!AI12+IF(FN60&gt;=0.45,VLOOKUP(Calculator!E23,tbSkills!DH3:DI6,2,FALSE)+IF(AND(Calculator!B8=TRUE,Backdoors!BI27=TRUE),VLOOKUP(Calculator!E23,tbSkills!DH3:DJ6,3,FALSE),0),0)))/100)),(1-(0.25*((-Backdoors!AI12-IF(FN60&gt;=0.45,VLOOKUP(Calculator!E23,tbSkills!DH3:DI6,2,FALSE)+IF(AND(Calculator!B8=TRUE,Backdoors!BI27=TRUE),VLOOKUP(Calculator!E23,tbSkills!DH3:DJ6,3,FALSE),0),0))/100)))),1),"")</f>
        <v>1</v>
      </c>
      <c r="FQ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FN60)*FP60)*(VLOOKUP(A60,tbMoveset!A2:C112,3,FALSE)/100)*IF(VLOOKUP(A60,tbMoveset!A2:B112,2,FALSE)="Projectile",Backdoors!N10,Backdoors!N9),0),"")</f>
        <v/>
      </c>
      <c r="FR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FN60&gt;=0.45,VLOOKUP(Calculator!E23,tbSkills!DH3:DI6,2,FALSE)+IF(AND(Calculator!B8=TRUE,Backdoors!BI27=TRUE),VLOOKUP(Calculator!E23,tbSkills!DH3:DJ6,3,FALSE),0),0))&gt;=100,100,(Backdoors!AI12+IF(FN60&gt;=0.45,VLOOKUP(Calculator!E23,tbSkills!DH3:DI6,2,FALSE)+IF(AND(Calculator!B8=TRUE,Backdoors!BI27=TRUE),VLOOKUP(Calculator!E23,tbSkills!DH3:DJ6,3,FALSE),0),0)))/100)),1))*IF(VLOOKUP(A60,tbMoveset!A2:K112,11,FALSE)=TRUE,Backdoors!AC5,1))*FO60,0),"")</f>
        <v>0</v>
      </c>
      <c r="FS60" s="49">
        <f>VLOOKUP(A60,tbMoveset!A2:G112,7,FALSE)*IFERROR(IF(Backdoors!AI12&gt;=0,1+(IF(Calculator!E40&gt;0,VLOOKUP(Calculator!E40,tbSkills!AI3:AJ5,2,FALSE),Backdoors!AL4)*(IF((Backdoors!AI12+IF(FN60&gt;=0.45,VLOOKUP(Calculator!E23,tbSkills!DH3:DI6,2,FALSE)+IF(AND(Calculator!B8=TRUE,Backdoors!BI27=TRUE),VLOOKUP(Calculator!E23,tbSkills!DH3:DJ6,3,FALSE),0),0))&gt;=100,100,(Backdoors!AI12+IF(FN60&gt;=0.45,VLOOKUP(Calculator!E23,tbSkills!DH3:DI6,2,FALSE)+IF(AND(Calculator!B8=TRUE,Backdoors!BI27=TRUE),VLOOKUP(Calculator!E23,tbSkills!DH3:DJ6,3,FALSE),0),0)))/100)),1),1)</f>
        <v>0.5</v>
      </c>
      <c r="FT60" s="87">
        <f t="shared" si="17"/>
        <v>0</v>
      </c>
      <c r="FU60" s="86" t="str">
        <f>IFERROR(IF(VLOOKUP(A60,tbMoveset!A2:B112,2,FALSE)="Sever",Backdoors!AY28/100,IF(VLOOKUP(A60,tbMoveset!A2:B112,2,FALSE)="Blunt",Backdoors!AZ28/100,Backdoors!BA28/100)),"")</f>
        <v/>
      </c>
      <c r="FV60" s="49">
        <f>IFERROR(IF(VLOOKUP(tbMoveset!A60,tbMoveset!A2:H112,8,FALSE)="Other",IF(VLOOKUP(tbMoveset!A60,tbMoveset!A2:I112,9,FALSE)="Fire",Backdoors!BB28,IF(VLOOKUP(tbMoveset!A60,tbMoveset!A2:I112,9,FALSE)="Water",Backdoors!BC28,IF(VLOOKUP(tbMoveset!A60,tbMoveset!A2:I112,9,FALSE)="Thunder",Backdoors!BD28,IF(VLOOKUP(tbMoveset!A60,tbMoveset!A2:I112,9,FALSE)="Ice",Backdoors!BE28,IF(VLOOKUP(tbMoveset!A60,tbMoveset!A2:I112,9,FALSE)="Dragon",Backdoors!BF28,Backdoors!BG28)))))/100,Backdoors!BG28/100),"")</f>
        <v>0</v>
      </c>
      <c r="FW60" s="49">
        <f>IFERROR(IF(VLOOKUP(A60,tbMoveset!A2:J112,10,FALSE)=TRUE,IF((Backdoors!AI12+IF(FU60&gt;=0.45,VLOOKUP(Calculator!E23,tbSkills!DH3:DI6,2,FALSE)+IF(AND(Calculator!B8=TRUE,Backdoors!BI28=TRUE),VLOOKUP(Calculator!E23,tbSkills!DH3:DJ6,3,FALSE),0),0))&gt;=0,1+(Backdoors!AL2*(IF((Backdoors!AI12+IF(FU60&gt;=0.45,VLOOKUP(Calculator!E23,tbSkills!DH3:DI6,2,FALSE)+IF(AND(Calculator!B8=TRUE,Backdoors!BI28=TRUE),VLOOKUP(Calculator!E23,tbSkills!DH3:DJ6,3,FALSE),0),0))&gt;=100,100,(Backdoors!AI12+IF(FU60&gt;=0.45,VLOOKUP(Calculator!E23,tbSkills!DH3:DI6,2,FALSE)+IF(AND(Calculator!B8=TRUE,Backdoors!BI28=TRUE),VLOOKUP(Calculator!E23,tbSkills!DH3:DJ6,3,FALSE),0),0)))/100)),(1-(0.25*((-Backdoors!AI12-IF(FU60&gt;=0.45,VLOOKUP(Calculator!E23,tbSkills!DH3:DI6,2,FALSE)+IF(AND(Calculator!B8=TRUE,Backdoors!BI28=TRUE),VLOOKUP(Calculator!E23,tbSkills!DH3:DJ6,3,FALSE),0),0))/100)))),1),"")</f>
        <v>1</v>
      </c>
      <c r="FX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FU60)*FW60)*(VLOOKUP(A60,tbMoveset!A2:C112,3,FALSE)/100)*IF(VLOOKUP(A60,tbMoveset!A2:B112,2,FALSE)="Projectile",Backdoors!N10,Backdoors!N9),0),"")</f>
        <v/>
      </c>
      <c r="FY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FU60&gt;=0.45,VLOOKUP(Calculator!E23,tbSkills!DH3:DI6,2,FALSE)+IF(AND(Calculator!B8=TRUE,Backdoors!BI28=TRUE),VLOOKUP(Calculator!E23,tbSkills!DH3:DJ6,3,FALSE),0),0))&gt;=100,100,(Backdoors!AI12+IF(FU60&gt;=0.45,VLOOKUP(Calculator!E23,tbSkills!DH3:DI6,2,FALSE)+IF(AND(Calculator!B8=TRUE,Backdoors!BI28=TRUE),VLOOKUP(Calculator!E23,tbSkills!DH3:DJ6,3,FALSE),0),0)))/100)),1))*IF(VLOOKUP(A60,tbMoveset!A2:K112,11,FALSE)=TRUE,Backdoors!AC5,1))*FV60,0),"")</f>
        <v>0</v>
      </c>
      <c r="FZ60" s="49">
        <f>VLOOKUP(A60,tbMoveset!A2:G112,7,FALSE)*IFERROR(IF(Backdoors!AI12&gt;=0,1+(IF(Calculator!E40&gt;0,VLOOKUP(Calculator!E40,tbSkills!AI3:AJ5,2,FALSE),Backdoors!AL4)*(IF((Backdoors!AI12+IF(FU60&gt;=0.45,VLOOKUP(Calculator!E23,tbSkills!DH3:DI6,2,FALSE)+IF(AND(Calculator!B8=TRUE,Backdoors!BI28=TRUE),VLOOKUP(Calculator!E23,tbSkills!DH3:DJ6,3,FALSE),0),0))&gt;=100,100,(Backdoors!AI12+IF(FU60&gt;=0.45,VLOOKUP(Calculator!E23,tbSkills!DH3:DI6,2,FALSE)+IF(AND(Calculator!B8=TRUE,Backdoors!BI28=TRUE),VLOOKUP(Calculator!E23,tbSkills!DH3:DJ6,3,FALSE),0),0)))/100)),1),1)</f>
        <v>0.5</v>
      </c>
      <c r="GA60" s="87">
        <f t="shared" si="18"/>
        <v>0</v>
      </c>
      <c r="GB60" s="86" t="str">
        <f>IFERROR(IF(VLOOKUP(A60,tbMoveset!A2:B112,2,FALSE)="Sever",Backdoors!AY29/100,IF(VLOOKUP(A60,tbMoveset!A2:B112,2,FALSE)="Blunt",Backdoors!AZ29/100,Backdoors!BA29/100)),"")</f>
        <v/>
      </c>
      <c r="GC60" s="49">
        <f>IFERROR(IF(VLOOKUP(tbMoveset!A60,tbMoveset!A2:H112,8,FALSE)="Other",IF(VLOOKUP(tbMoveset!A60,tbMoveset!A2:I112,9,FALSE)="Fire",Backdoors!BB29,IF(VLOOKUP(tbMoveset!A60,tbMoveset!A2:I112,9,FALSE)="Water",Backdoors!BC29,IF(VLOOKUP(tbMoveset!A60,tbMoveset!A2:I112,9,FALSE)="Thunder",Backdoors!BD29,IF(VLOOKUP(tbMoveset!A60,tbMoveset!A2:I112,9,FALSE)="Ice",Backdoors!BE29,IF(VLOOKUP(tbMoveset!A60,tbMoveset!A2:I112,9,FALSE)="Dragon",Backdoors!BF29,Backdoors!BG29)))))/100,Backdoors!BG29/100),"")</f>
        <v>0</v>
      </c>
      <c r="GD60" s="49">
        <f>IFERROR(IF(VLOOKUP(A60,tbMoveset!A2:J112,10,FALSE)=TRUE,IF((Backdoors!AI12+IF(GB60&gt;=0.45,VLOOKUP(Calculator!E23,tbSkills!DH3:DI6,2,FALSE)+IF(AND(Calculator!B8=TRUE,Backdoors!BI29=TRUE),VLOOKUP(Calculator!E23,tbSkills!DH3:DJ6,3,FALSE),0),0))&gt;=0,1+(Backdoors!AL2*(IF((Backdoors!AI12+IF(GB60&gt;=0.45,VLOOKUP(Calculator!E23,tbSkills!DH3:DI6,2,FALSE)+IF(AND(Calculator!B8=TRUE,Backdoors!BI29=TRUE),VLOOKUP(Calculator!E23,tbSkills!DH3:DJ6,3,FALSE),0),0))&gt;=100,100,(Backdoors!AI12+IF(GB60&gt;=0.45,VLOOKUP(Calculator!E23,tbSkills!DH3:DI6,2,FALSE)+IF(AND(Calculator!B8=TRUE,Backdoors!BI29=TRUE),VLOOKUP(Calculator!E23,tbSkills!DH3:DJ6,3,FALSE),0),0)))/100)),(1-(0.25*((-Backdoors!AI12-IF(GB60&gt;=0.45,VLOOKUP(Calculator!E23,tbSkills!DH3:DI6,2,FALSE)+IF(AND(Calculator!B8=TRUE,Backdoors!BI29=TRUE),VLOOKUP(Calculator!E23,tbSkills!DH3:DJ6,3,FALSE),0),0))/100)))),1),"")</f>
        <v>1</v>
      </c>
      <c r="GE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B60)*GD60)*(VLOOKUP(A60,tbMoveset!A2:C112,3,FALSE)/100)*IF(VLOOKUP(A60,tbMoveset!A2:B112,2,FALSE)="Projectile",Backdoors!N10,Backdoors!N9),0),"")</f>
        <v/>
      </c>
      <c r="GF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B60&gt;=0.45,VLOOKUP(Calculator!E23,tbSkills!DH3:DI6,2,FALSE)+IF(AND(Calculator!B8=TRUE,Backdoors!BI29=TRUE),VLOOKUP(Calculator!E23,tbSkills!DH3:DJ6,3,FALSE),0),0))&gt;=100,100,(Backdoors!AI12+IF(GB60&gt;=0.45,VLOOKUP(Calculator!E23,tbSkills!DH3:DI6,2,FALSE)+IF(AND(Calculator!B8=TRUE,Backdoors!BI29=TRUE),VLOOKUP(Calculator!E23,tbSkills!DH3:DJ6,3,FALSE),0),0)))/100)),1))*IF(VLOOKUP(A60,tbMoveset!A2:K112,11,FALSE)=TRUE,Backdoors!AC5,1))*GC60,0),"")</f>
        <v>0</v>
      </c>
      <c r="GG60" s="49">
        <f>VLOOKUP(A60,tbMoveset!A2:G112,7,FALSE)*IFERROR(IF(Backdoors!AI12&gt;=0,1+(IF(Calculator!E40&gt;0,VLOOKUP(Calculator!E40,tbSkills!AI3:AJ5,2,FALSE),Backdoors!AL4)*(IF((Backdoors!AI12+IF(GB60&gt;=0.45,VLOOKUP(Calculator!E23,tbSkills!DH3:DI6,2,FALSE)+IF(AND(Calculator!B8=TRUE,Backdoors!BI29=TRUE),VLOOKUP(Calculator!E23,tbSkills!DH3:DJ6,3,FALSE),0),0))&gt;=100,100,(Backdoors!AI12+IF(GB60&gt;=0.45,VLOOKUP(Calculator!E23,tbSkills!DH3:DI6,2,FALSE)+IF(AND(Calculator!B8=TRUE,Backdoors!BI29=TRUE),VLOOKUP(Calculator!E23,tbSkills!DH3:DJ6,3,FALSE),0),0)))/100)),1),1)</f>
        <v>0.5</v>
      </c>
      <c r="GH60" s="87">
        <f t="shared" si="19"/>
        <v>0</v>
      </c>
      <c r="GI60" s="86" t="str">
        <f>IFERROR(IF(VLOOKUP(A60,tbMoveset!A2:B112,2,FALSE)="Sever",Backdoors!AY30/100,IF(VLOOKUP(A60,tbMoveset!A2:B112,2,FALSE)="Blunt",Backdoors!AZ30/100,Backdoors!BA30/100)),"")</f>
        <v/>
      </c>
      <c r="GJ60" s="49">
        <f>IFERROR(IF(VLOOKUP(tbMoveset!A60,tbMoveset!A2:H112,8,FALSE)="Other",IF(VLOOKUP(tbMoveset!A60,tbMoveset!A2:I112,9,FALSE)="Fire",Backdoors!BB30,IF(VLOOKUP(tbMoveset!A60,tbMoveset!A2:I112,9,FALSE)="Water",Backdoors!BC30,IF(VLOOKUP(tbMoveset!A60,tbMoveset!A2:I112,9,FALSE)="Thunder",Backdoors!BD30,IF(VLOOKUP(tbMoveset!A60,tbMoveset!A2:I112,9,FALSE)="Ice",Backdoors!BE30,IF(VLOOKUP(tbMoveset!A60,tbMoveset!A2:I112,9,FALSE)="Dragon",Backdoors!BF30,Backdoors!BG30)))))/100,Backdoors!BG30/100),"")</f>
        <v>0</v>
      </c>
      <c r="GK60" s="49">
        <f>IFERROR(IF(VLOOKUP(A60,tbMoveset!A2:J112,10,FALSE)=TRUE,IF((Backdoors!AI12+IF(GI60&gt;=0.45,VLOOKUP(Calculator!E23,tbSkills!DH3:DI6,2,FALSE)+IF(AND(Calculator!B8=TRUE,Backdoors!BI30=TRUE),VLOOKUP(Calculator!E23,tbSkills!DH3:DJ6,3,FALSE),0),0))&gt;=0,1+(Backdoors!AL2*(IF((Backdoors!AI12+IF(GI60&gt;=0.45,VLOOKUP(Calculator!E23,tbSkills!DH3:DI6,2,FALSE)+IF(AND(Calculator!B8=TRUE,Backdoors!BI30=TRUE),VLOOKUP(Calculator!E23,tbSkills!DH3:DJ6,3,FALSE),0),0))&gt;=100,100,(Backdoors!AI12+IF(GI60&gt;=0.45,VLOOKUP(Calculator!E23,tbSkills!DH3:DI6,2,FALSE)+IF(AND(Calculator!B8=TRUE,Backdoors!BI30=TRUE),VLOOKUP(Calculator!E23,tbSkills!DH3:DJ6,3,FALSE),0),0)))/100)),(1-(0.25*((-Backdoors!AI12-IF(GI60&gt;=0.45,VLOOKUP(Calculator!E23,tbSkills!DH3:DI6,2,FALSE)+IF(AND(Calculator!B8=TRUE,Backdoors!BI30=TRUE),VLOOKUP(Calculator!E23,tbSkills!DH3:DJ6,3,FALSE),0),0))/100)))),1),"")</f>
        <v>1</v>
      </c>
      <c r="GL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I60)*GK60)*(VLOOKUP(A60,tbMoveset!A2:C112,3,FALSE)/100)*IF(VLOOKUP(A60,tbMoveset!A2:B112,2,FALSE)="Projectile",Backdoors!N10,Backdoors!N9),0),"")</f>
        <v/>
      </c>
      <c r="GM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I60&gt;=0.45,VLOOKUP(Calculator!E23,tbSkills!DH3:DI6,2,FALSE)+IF(AND(Calculator!B8=TRUE,Backdoors!BI30=TRUE),VLOOKUP(Calculator!E23,tbSkills!DH3:DJ6,3,FALSE),0),0))&gt;=100,100,(Backdoors!AI12+IF(GI60&gt;=0.45,VLOOKUP(Calculator!E23,tbSkills!DH3:DI6,2,FALSE)+IF(AND(Calculator!B8=TRUE,Backdoors!BI30=TRUE),VLOOKUP(Calculator!E23,tbSkills!DH3:DJ6,3,FALSE),0),0)))/100)),1))*IF(VLOOKUP(A60,tbMoveset!A2:K112,11,FALSE)=TRUE,Backdoors!AC5,1))*GJ60,0),"")</f>
        <v>0</v>
      </c>
      <c r="GN60" s="49">
        <f>VLOOKUP(A60,tbMoveset!A2:G112,7,FALSE)*IFERROR(IF(Backdoors!AI12&gt;=0,1+(IF(Calculator!E40&gt;0,VLOOKUP(Calculator!E40,tbSkills!AI3:AJ5,2,FALSE),Backdoors!AL4)*(IF((Backdoors!AI12+IF(GI60&gt;=0.45,VLOOKUP(Calculator!E23,tbSkills!DH3:DI6,2,FALSE)+IF(AND(Calculator!B8=TRUE,Backdoors!BI30=TRUE),VLOOKUP(Calculator!E23,tbSkills!DH3:DJ6,3,FALSE),0),0))&gt;=100,100,(Backdoors!AI12+IF(GI60&gt;=0.45,VLOOKUP(Calculator!E23,tbSkills!DH3:DI6,2,FALSE)+IF(AND(Calculator!B8=TRUE,Backdoors!BI30=TRUE),VLOOKUP(Calculator!E23,tbSkills!DH3:DJ6,3,FALSE),0),0)))/100)),1),1)</f>
        <v>0.5</v>
      </c>
      <c r="GO60" s="87">
        <f t="shared" si="20"/>
        <v>0</v>
      </c>
      <c r="GP60" s="86" t="str">
        <f>IFERROR(IF(VLOOKUP(A60,tbMoveset!A2:B112,2,FALSE)="Sever",Backdoors!AY31/100,IF(VLOOKUP(A60,tbMoveset!A2:B112,2,FALSE)="Blunt",Backdoors!AZ31/100,Backdoors!BA31/100)),"")</f>
        <v/>
      </c>
      <c r="GQ60" s="49">
        <f>IFERROR(IF(VLOOKUP(tbMoveset!A60,tbMoveset!A2:H112,8,FALSE)="Other",IF(VLOOKUP(tbMoveset!A60,tbMoveset!A2:I112,9,FALSE)="Fire",Backdoors!BB31,IF(VLOOKUP(tbMoveset!A60,tbMoveset!A2:I112,9,FALSE)="Water",Backdoors!BC31,IF(VLOOKUP(tbMoveset!A60,tbMoveset!A2:I112,9,FALSE)="Thunder",Backdoors!BD31,IF(VLOOKUP(tbMoveset!A60,tbMoveset!A2:I112,9,FALSE)="Ice",Backdoors!BE31,IF(VLOOKUP(tbMoveset!A60,tbMoveset!A2:I112,9,FALSE)="Dragon",Backdoors!BF31,Backdoors!BG31)))))/100,Backdoors!BG31/100),"")</f>
        <v>0</v>
      </c>
      <c r="GR60" s="49">
        <f>IFERROR(IF(VLOOKUP(A60,tbMoveset!A2:J112,10,FALSE)=TRUE,IF((Backdoors!AI12+IF(GP60&gt;=0.45,VLOOKUP(Calculator!E23,tbSkills!DH3:DI6,2,FALSE)+IF(AND(Calculator!B8=TRUE,Backdoors!BI31=TRUE),VLOOKUP(Calculator!E23,tbSkills!DH3:DJ6,3,FALSE),0),0))&gt;=0,1+(Backdoors!AL2*(IF((Backdoors!AI12+IF(GP60&gt;=0.45,VLOOKUP(Calculator!E23,tbSkills!DH3:DI6,2,FALSE)+IF(AND(Calculator!B8=TRUE,Backdoors!BI31=TRUE),VLOOKUP(Calculator!E23,tbSkills!DH3:DJ6,3,FALSE),0),0))&gt;=100,100,(Backdoors!AI12+IF(GP60&gt;=0.45,VLOOKUP(Calculator!E23,tbSkills!DH3:DI6,2,FALSE)+IF(AND(Calculator!B8=TRUE,Backdoors!BI31=TRUE),VLOOKUP(Calculator!E23,tbSkills!DH3:DJ6,3,FALSE),0),0)))/100)),(1-(0.25*((-Backdoors!AI12-IF(GP60&gt;=0.45,VLOOKUP(Calculator!E23,tbSkills!DH3:DI6,2,FALSE)+IF(AND(Calculator!B8=TRUE,Backdoors!BI31=TRUE),VLOOKUP(Calculator!E23,tbSkills!DH3:DJ6,3,FALSE),0),0))/100)))),1),"")</f>
        <v>1</v>
      </c>
      <c r="GS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P60)*GR60)*(VLOOKUP(A60,tbMoveset!A2:C112,3,FALSE)/100)*IF(VLOOKUP(A60,tbMoveset!A2:B112,2,FALSE)="Projectile",Backdoors!N10,Backdoors!N9),0),"")</f>
        <v/>
      </c>
      <c r="GT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P60&gt;=0.45,VLOOKUP(Calculator!E23,tbSkills!DH3:DI6,2,FALSE)+IF(AND(Calculator!B8=TRUE,Backdoors!BI31=TRUE),VLOOKUP(Calculator!E23,tbSkills!DH3:DJ6,3,FALSE),0),0))&gt;=100,100,(Backdoors!AI12+IF(GP60&gt;=0.45,VLOOKUP(Calculator!E23,tbSkills!DH3:DI6,2,FALSE)+IF(AND(Calculator!B8=TRUE,Backdoors!BI31=TRUE),VLOOKUP(Calculator!E23,tbSkills!DH3:DJ6,3,FALSE),0),0)))/100)),1))*IF(VLOOKUP(A60,tbMoveset!A2:K112,11,FALSE)=TRUE,Backdoors!AC5,1))*GQ60,0),"")</f>
        <v>0</v>
      </c>
      <c r="GU60" s="49">
        <f>VLOOKUP(A60,tbMoveset!A2:G112,7,FALSE)*IFERROR(IF(Backdoors!AI12&gt;=0,1+(IF(Calculator!E40&gt;0,VLOOKUP(Calculator!E40,tbSkills!AI3:AJ5,2,FALSE),Backdoors!AL4)*(IF((Backdoors!AI12+IF(GP60&gt;=0.45,VLOOKUP(Calculator!E23,tbSkills!DH3:DI6,2,FALSE)+IF(AND(Calculator!B8=TRUE,Backdoors!BI31=TRUE),VLOOKUP(Calculator!E23,tbSkills!DH3:DJ6,3,FALSE),0),0))&gt;=100,100,(Backdoors!AI12+IF(GP60&gt;=0.45,VLOOKUP(Calculator!E23,tbSkills!DH3:DI6,2,FALSE)+IF(AND(Calculator!B8=TRUE,Backdoors!BI31=TRUE),VLOOKUP(Calculator!E23,tbSkills!DH3:DJ6,3,FALSE),0),0)))/100)),1),1)</f>
        <v>0.5</v>
      </c>
      <c r="GV60" s="87">
        <f t="shared" si="21"/>
        <v>0</v>
      </c>
      <c r="GW60" s="86" t="str">
        <f>IFERROR(IF(VLOOKUP(A60,tbMoveset!A2:B112,2,FALSE)="Sever",Backdoors!AY32/100,IF(VLOOKUP(A60,tbMoveset!A2:B112,2,FALSE)="Blunt",Backdoors!AZ32/100,Backdoors!BA32/100)),"")</f>
        <v/>
      </c>
      <c r="GX60" s="49">
        <f>IFERROR(IF(VLOOKUP(tbMoveset!A60,tbMoveset!A2:H112,8,FALSE)="Other",IF(VLOOKUP(tbMoveset!A60,tbMoveset!A2:I112,9,FALSE)="Fire",Backdoors!BB32,IF(VLOOKUP(tbMoveset!A60,tbMoveset!A2:I112,9,FALSE)="Water",Backdoors!BC32,IF(VLOOKUP(tbMoveset!A60,tbMoveset!A2:I112,9,FALSE)="Thunder",Backdoors!BD32,IF(VLOOKUP(tbMoveset!A60,tbMoveset!A2:I112,9,FALSE)="Ice",Backdoors!BE32,IF(VLOOKUP(tbMoveset!A60,tbMoveset!A2:I112,9,FALSE)="Dragon",Backdoors!BF32,Backdoors!BG32)))))/100,Backdoors!BG32/100),"")</f>
        <v>0</v>
      </c>
      <c r="GY60" s="49">
        <f>IFERROR(IF(VLOOKUP(A60,tbMoveset!A2:J112,10,FALSE)=TRUE,IF((Backdoors!AI12+IF(GW60&gt;=0.45,VLOOKUP(Calculator!E23,tbSkills!DH3:DI6,2,FALSE)+IF(AND(Calculator!B8=TRUE,Backdoors!BI32=TRUE),VLOOKUP(Calculator!E23,tbSkills!DH3:DJ6,3,FALSE),0),0))&gt;=0,1+(Backdoors!AL2*(IF((Backdoors!AI12+IF(GW60&gt;=0.45,VLOOKUP(Calculator!E23,tbSkills!DH3:DI6,2,FALSE)+IF(AND(Calculator!B8=TRUE,Backdoors!BI32=TRUE),VLOOKUP(Calculator!E23,tbSkills!DH3:DJ6,3,FALSE),0),0))&gt;=100,100,(Backdoors!AI12+IF(GW60&gt;=0.45,VLOOKUP(Calculator!E23,tbSkills!DH3:DI6,2,FALSE)+IF(AND(Calculator!B8=TRUE,Backdoors!BI32=TRUE),VLOOKUP(Calculator!E23,tbSkills!DH3:DJ6,3,FALSE),0),0)))/100)),(1-(0.25*((-Backdoors!AI12-IF(GW60&gt;=0.45,VLOOKUP(Calculator!E23,tbSkills!DH3:DI6,2,FALSE)+IF(AND(Calculator!B8=TRUE,Backdoors!BI32=TRUE),VLOOKUP(Calculator!E23,tbSkills!DH3:DJ6,3,FALSE),0),0))/100)))),1),"")</f>
        <v>1</v>
      </c>
      <c r="GZ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W60)*GY60)*(VLOOKUP(A60,tbMoveset!A2:C112,3,FALSE)/100)*IF(VLOOKUP(A60,tbMoveset!A2:B112,2,FALSE)="Projectile",Backdoors!N10,Backdoors!N9),0),"")</f>
        <v/>
      </c>
      <c r="HA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W60&gt;=0.45,VLOOKUP(Calculator!E23,tbSkills!DH3:DI6,2,FALSE)+IF(AND(Calculator!B8=TRUE,Backdoors!BI32=TRUE),VLOOKUP(Calculator!E23,tbSkills!DH3:DJ6,3,FALSE),0),0))&gt;=100,100,(Backdoors!AI12+IF(GW60&gt;=0.45,VLOOKUP(Calculator!E23,tbSkills!DH3:DI6,2,FALSE)+IF(AND(Calculator!B8=TRUE,Backdoors!BI32=TRUE),VLOOKUP(Calculator!E23,tbSkills!DH3:DJ6,3,FALSE),0),0)))/100)),1))*IF(VLOOKUP(A60,tbMoveset!A2:K112,11,FALSE)=TRUE,Backdoors!AC5,1))*GX60,0),"")</f>
        <v>0</v>
      </c>
      <c r="HB60" s="49">
        <f>VLOOKUP(A60,tbMoveset!A2:G112,7,FALSE)*IFERROR(IF(Backdoors!AI12&gt;=0,1+(IF(Calculator!E40&gt;0,VLOOKUP(Calculator!E40,tbSkills!AI3:AJ5,2,FALSE),Backdoors!AL4)*(IF((Backdoors!AI12+IF(GW60&gt;=0.45,VLOOKUP(Calculator!E23,tbSkills!DH3:DI6,2,FALSE)+IF(AND(Calculator!B8=TRUE,Backdoors!BI32=TRUE),VLOOKUP(Calculator!E23,tbSkills!DH3:DJ6,3,FALSE),0),0))&gt;=100,100,(Backdoors!AI12+IF(GW60&gt;=0.45,VLOOKUP(Calculator!E23,tbSkills!DH3:DI6,2,FALSE)+IF(AND(Calculator!B8=TRUE,Backdoors!BI32=TRUE),VLOOKUP(Calculator!E23,tbSkills!DH3:DJ6,3,FALSE),0),0)))/100)),1),1)</f>
        <v>0.5</v>
      </c>
      <c r="HC60" s="87">
        <f t="shared" si="22"/>
        <v>0</v>
      </c>
      <c r="HD60" s="86" t="str">
        <f>IFERROR(IF(VLOOKUP(A60,tbMoveset!A2:B112,2,FALSE)="Sever",Backdoors!AY33/100,IF(VLOOKUP(A60,tbMoveset!A2:B112,2,FALSE)="Blunt",Backdoors!AZ33/100,Backdoors!BA33/100)),"")</f>
        <v/>
      </c>
      <c r="HE60" s="49">
        <f>IFERROR(IF(VLOOKUP(tbMoveset!A60,tbMoveset!A2:H112,8,FALSE)="Other",IF(VLOOKUP(tbMoveset!A60,tbMoveset!A2:I112,9,FALSE)="Fire",Backdoors!BB33,IF(VLOOKUP(tbMoveset!A60,tbMoveset!A2:I112,9,FALSE)="Water",Backdoors!BC33,IF(VLOOKUP(tbMoveset!A60,tbMoveset!A2:I112,9,FALSE)="Thunder",Backdoors!BD33,IF(VLOOKUP(tbMoveset!A60,tbMoveset!A2:I112,9,FALSE)="Ice",Backdoors!BE33,IF(VLOOKUP(tbMoveset!A60,tbMoveset!A2:I112,9,FALSE)="Dragon",Backdoors!BF33,Backdoors!BG33)))))/100,Backdoors!BG33/100),"")</f>
        <v>0</v>
      </c>
      <c r="HF60" s="49">
        <f>IFERROR(IF(VLOOKUP(A60,tbMoveset!A2:J112,10,FALSE)=TRUE,IF((Backdoors!AI12+IF(HD60&gt;=0.45,VLOOKUP(Calculator!E23,tbSkills!DH3:DI6,2,FALSE)+IF(AND(Calculator!B8=TRUE,Backdoors!BI33=TRUE),VLOOKUP(Calculator!E23,tbSkills!DH3:DJ6,3,FALSE),0),0))&gt;=0,1+(Backdoors!AL2*(IF((Backdoors!AI12+IF(HD60&gt;=0.45,VLOOKUP(Calculator!E23,tbSkills!DH3:DI6,2,FALSE)+IF(AND(Calculator!B8=TRUE,Backdoors!BI33=TRUE),VLOOKUP(Calculator!E23,tbSkills!DH3:DJ6,3,FALSE),0),0))&gt;=100,100,(Backdoors!AI12+IF(HD60&gt;=0.45,VLOOKUP(Calculator!E23,tbSkills!DH3:DI6,2,FALSE)+IF(AND(Calculator!B8=TRUE,Backdoors!BI33=TRUE),VLOOKUP(Calculator!E23,tbSkills!DH3:DJ6,3,FALSE),0),0)))/100)),(1-(0.25*((-Backdoors!AI12-IF(HD60&gt;=0.45,VLOOKUP(Calculator!E23,tbSkills!DH3:DI6,2,FALSE)+IF(AND(Calculator!B8=TRUE,Backdoors!BI33=TRUE),VLOOKUP(Calculator!E23,tbSkills!DH3:DJ6,3,FALSE),0),0))/100)))),1),"")</f>
        <v>1</v>
      </c>
      <c r="HG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D60)*HF60)*(VLOOKUP(A60,tbMoveset!A2:C112,3,FALSE)/100)*IF(VLOOKUP(A60,tbMoveset!A2:B112,2,FALSE)="Projectile",Backdoors!N10,Backdoors!N9),0),"")</f>
        <v/>
      </c>
      <c r="HH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D60&gt;=0.45,VLOOKUP(Calculator!E23,tbSkills!DH3:DI6,2,FALSE)+IF(AND(Calculator!B8=TRUE,Backdoors!BI33=TRUE),VLOOKUP(Calculator!E23,tbSkills!DH3:DJ6,3,FALSE),0),0))&gt;=100,100,(Backdoors!AI12+IF(HD60&gt;=0.45,VLOOKUP(Calculator!E23,tbSkills!DH3:DI6,2,FALSE)+IF(AND(Calculator!B8=TRUE,Backdoors!BI33=TRUE),VLOOKUP(Calculator!E23,tbSkills!DH3:DJ6,3,FALSE),0),0)))/100)),1))*IF(VLOOKUP(A60,tbMoveset!A2:K112,11,FALSE)=TRUE,Backdoors!AC5,1))*HE60,0),"")</f>
        <v>0</v>
      </c>
      <c r="HI60" s="49">
        <f>VLOOKUP(A60,tbMoveset!A2:G112,7,FALSE)*IFERROR(IF(Backdoors!AI12&gt;=0,1+(IF(Calculator!E40&gt;0,VLOOKUP(Calculator!E40,tbSkills!AI3:AJ5,2,FALSE),Backdoors!AL4)*(IF((Backdoors!AI12+IF(HD60&gt;=0.45,VLOOKUP(Calculator!E23,tbSkills!DH3:DI6,2,FALSE)+IF(AND(Calculator!B8=TRUE,Backdoors!BI33=TRUE),VLOOKUP(Calculator!E23,tbSkills!DH3:DJ6,3,FALSE),0),0))&gt;=100,100,(Backdoors!AI12+IF(HD60&gt;=0.45,VLOOKUP(Calculator!E23,tbSkills!DH3:DI6,2,FALSE)+IF(AND(Calculator!B8=TRUE,Backdoors!BI33=TRUE),VLOOKUP(Calculator!E23,tbSkills!DH3:DJ6,3,FALSE),0),0)))/100)),1),1)</f>
        <v>0.5</v>
      </c>
      <c r="HJ60" s="87">
        <f t="shared" si="23"/>
        <v>0</v>
      </c>
      <c r="HK60" s="86" t="str">
        <f>IFERROR(IF(VLOOKUP(A60,tbMoveset!A2:B112,2,FALSE)="Sever",Backdoors!AY34/100,IF(VLOOKUP(A60,tbMoveset!A2:B112,2,FALSE)="Blunt",Backdoors!AZ34/100,Backdoors!BA34/100)),"")</f>
        <v/>
      </c>
      <c r="HL60" s="49">
        <f>IFERROR(IF(VLOOKUP(tbMoveset!A60,tbMoveset!A2:H112,8,FALSE)="Other",IF(VLOOKUP(tbMoveset!A60,tbMoveset!A2:I112,9,FALSE)="Fire",Backdoors!BB34,IF(VLOOKUP(tbMoveset!A60,tbMoveset!A2:I112,9,FALSE)="Water",Backdoors!BC34,IF(VLOOKUP(tbMoveset!A60,tbMoveset!A2:I112,9,FALSE)="Thunder",Backdoors!BD34,IF(VLOOKUP(tbMoveset!A60,tbMoveset!A2:I112,9,FALSE)="Ice",Backdoors!BE34,IF(VLOOKUP(tbMoveset!A60,tbMoveset!A2:I112,9,FALSE)="Dragon",Backdoors!BF34,Backdoors!BG34)))))/100,Backdoors!BG34/100),"")</f>
        <v>0</v>
      </c>
      <c r="HM60" s="49">
        <f>IFERROR(IF(VLOOKUP(A60,tbMoveset!A2:J112,10,FALSE)=TRUE,IF((Backdoors!AI12+IF(HK60&gt;=0.45,VLOOKUP(Calculator!E23,tbSkills!DH3:DI6,2,FALSE)+IF(AND(Calculator!B8=TRUE,Backdoors!BI34=TRUE),VLOOKUP(Calculator!E23,tbSkills!DH3:DJ6,3,FALSE),0),0))&gt;=0,1+(Backdoors!AL2*(IF((Backdoors!AI12+IF(HK60&gt;=0.45,VLOOKUP(Calculator!E23,tbSkills!DH3:DI6,2,FALSE)+IF(AND(Calculator!B8=TRUE,Backdoors!BI34=TRUE),VLOOKUP(Calculator!E23,tbSkills!DH3:DJ6,3,FALSE),0),0))&gt;=100,100,(Backdoors!AI12+IF(HK60&gt;=0.45,VLOOKUP(Calculator!E23,tbSkills!DH3:DI6,2,FALSE)+IF(AND(Calculator!B8=TRUE,Backdoors!BI34=TRUE),VLOOKUP(Calculator!E23,tbSkills!DH3:DJ6,3,FALSE),0),0)))/100)),(1-(0.25*((-Backdoors!AI12-IF(HK60&gt;=0.45,VLOOKUP(Calculator!E23,tbSkills!DH3:DI6,2,FALSE)+IF(AND(Calculator!B8=TRUE,Backdoors!BI34=TRUE),VLOOKUP(Calculator!E23,tbSkills!DH3:DJ6,3,FALSE),0),0))/100)))),1),"")</f>
        <v>1</v>
      </c>
      <c r="HN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K60)*HM60)*(VLOOKUP(A60,tbMoveset!A2:C112,3,FALSE)/100)*IF(VLOOKUP(A60,tbMoveset!A2:B112,2,FALSE)="Projectile",Backdoors!N10,Backdoors!N9),0),"")</f>
        <v/>
      </c>
      <c r="HO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K60&gt;=0.45,VLOOKUP(Calculator!E23,tbSkills!DH3:DI6,2,FALSE)+IF(AND(Calculator!B8=TRUE,Backdoors!BI34=TRUE),VLOOKUP(Calculator!E23,tbSkills!DH3:DJ6,3,FALSE),0),0))&gt;=100,100,(Backdoors!AI12+IF(HK60&gt;=0.45,VLOOKUP(Calculator!E23,tbSkills!DH3:DI6,2,FALSE)+IF(AND(Calculator!B8=TRUE,Backdoors!BI34=TRUE),VLOOKUP(Calculator!E23,tbSkills!DH3:DJ6,3,FALSE),0),0)))/100)),1))*IF(VLOOKUP(A60,tbMoveset!A2:K112,11,FALSE)=TRUE,Backdoors!AC5,1))*HL60,0),"")</f>
        <v>0</v>
      </c>
      <c r="HP60" s="49">
        <f>VLOOKUP(A60,tbMoveset!A2:G112,7,FALSE)*IFERROR(IF(Backdoors!AI12&gt;=0,1+(IF(Calculator!E40&gt;0,VLOOKUP(Calculator!E40,tbSkills!AI3:AJ5,2,FALSE),Backdoors!AL4)*(IF((Backdoors!AI12+IF(HK60&gt;=0.45,VLOOKUP(Calculator!E23,tbSkills!DH3:DI6,2,FALSE)+IF(AND(Calculator!B8=TRUE,Backdoors!BI34=TRUE),VLOOKUP(Calculator!E23,tbSkills!DH3:DJ6,3,FALSE),0),0))&gt;=100,100,(Backdoors!AI12+IF(HK60&gt;=0.45,VLOOKUP(Calculator!E23,tbSkills!DH3:DI6,2,FALSE)+IF(AND(Calculator!B8=TRUE,Backdoors!BI34=TRUE),VLOOKUP(Calculator!E23,tbSkills!DH3:DJ6,3,FALSE),0),0)))/100)),1),1)</f>
        <v>0.5</v>
      </c>
      <c r="HQ60" s="87">
        <f t="shared" si="24"/>
        <v>0</v>
      </c>
      <c r="HR60" s="86" t="str">
        <f>IFERROR(IF(VLOOKUP(A60,tbMoveset!A2:B112,2,FALSE)="Sever",Backdoors!AY35/100,IF(VLOOKUP(A60,tbMoveset!A2:B112,2,FALSE)="Blunt",Backdoors!AZ35/100,Backdoors!BA35/100)),"")</f>
        <v/>
      </c>
      <c r="HS60" s="49">
        <f>IFERROR(IF(VLOOKUP(tbMoveset!A60,tbMoveset!A2:H112,8,FALSE)="Other",IF(VLOOKUP(tbMoveset!A60,tbMoveset!A2:I112,9,FALSE)="Fire",Backdoors!BB35,IF(VLOOKUP(tbMoveset!A60,tbMoveset!A2:I112,9,FALSE)="Water",Backdoors!BC35,IF(VLOOKUP(tbMoveset!A60,tbMoveset!A2:I112,9,FALSE)="Thunder",Backdoors!BD35,IF(VLOOKUP(tbMoveset!A60,tbMoveset!A2:I112,9,FALSE)="Ice",Backdoors!BE35,IF(VLOOKUP(tbMoveset!A60,tbMoveset!A2:I112,9,FALSE)="Dragon",Backdoors!BF35,Backdoors!BG35)))))/100,Backdoors!BG35/100),"")</f>
        <v>0</v>
      </c>
      <c r="HT60" s="49">
        <f>IFERROR(IF(VLOOKUP(A60,tbMoveset!A2:J112,10,FALSE)=TRUE,IF((Backdoors!AI12+IF(HR60&gt;=0.45,VLOOKUP(Calculator!E23,tbSkills!DH3:DI6,2,FALSE)+IF(AND(Calculator!B8=TRUE,Backdoors!BI35=TRUE),VLOOKUP(Calculator!E23,tbSkills!DH3:DJ6,3,FALSE),0),0))&gt;=0,1+(Backdoors!AL2*(IF((Backdoors!AI12+IF(HR60&gt;=0.45,VLOOKUP(Calculator!E23,tbSkills!DH3:DI6,2,FALSE)+IF(AND(Calculator!B8=TRUE,Backdoors!BI35=TRUE),VLOOKUP(Calculator!E23,tbSkills!DH3:DJ6,3,FALSE),0),0))&gt;=100,100,(Backdoors!AI12+IF(HR60&gt;=0.45,VLOOKUP(Calculator!E23,tbSkills!DH3:DI6,2,FALSE)+IF(AND(Calculator!B8=TRUE,Backdoors!BI35=TRUE),VLOOKUP(Calculator!E23,tbSkills!DH3:DJ6,3,FALSE),0),0)))/100)),(1-(0.25*((-Backdoors!AI12-IF(HR60&gt;=0.45,VLOOKUP(Calculator!E23,tbSkills!DH3:DI6,2,FALSE)+IF(AND(Calculator!B8=TRUE,Backdoors!BI35=TRUE),VLOOKUP(Calculator!E23,tbSkills!DH3:DJ6,3,FALSE),0),0))/100)))),1),"")</f>
        <v>1</v>
      </c>
      <c r="HU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R60)*HT60)*(VLOOKUP(A60,tbMoveset!A2:C112,3,FALSE)/100)*IF(VLOOKUP(A60,tbMoveset!A2:B112,2,FALSE)="Projectile",Backdoors!N10,Backdoors!N9),0),"")</f>
        <v/>
      </c>
      <c r="HV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R60&gt;=0.45,VLOOKUP(Calculator!E23,tbSkills!DH3:DI6,2,FALSE)+IF(AND(Calculator!B8=TRUE,Backdoors!BI35=TRUE),VLOOKUP(Calculator!E23,tbSkills!DH3:DJ6,3,FALSE),0),0))&gt;=100,100,(Backdoors!AI12+IF(HR60&gt;=0.45,VLOOKUP(Calculator!E23,tbSkills!DH3:DI6,2,FALSE)+IF(AND(Calculator!B8=TRUE,Backdoors!BI35=TRUE),VLOOKUP(Calculator!E23,tbSkills!DH3:DJ6,3,FALSE),0),0)))/100)),1))*IF(VLOOKUP(A60,tbMoveset!A2:K112,11,FALSE)=TRUE,Backdoors!AC5,1))*HS60,0),"")</f>
        <v>0</v>
      </c>
      <c r="HW60" s="49">
        <f>VLOOKUP(A60,tbMoveset!A2:G112,7,FALSE)*IFERROR(IF(Backdoors!AI12&gt;=0,1+(IF(Calculator!E40&gt;0,VLOOKUP(Calculator!E40,tbSkills!AI3:AJ5,2,FALSE),Backdoors!AL4)*(IF((Backdoors!AI12+IF(HR60&gt;=0.45,VLOOKUP(Calculator!E23,tbSkills!DH3:DI6,2,FALSE)+IF(AND(Calculator!B8=TRUE,Backdoors!BI35=TRUE),VLOOKUP(Calculator!E23,tbSkills!DH3:DJ6,3,FALSE),0),0))&gt;=100,100,(Backdoors!AI12+IF(HR60&gt;=0.45,VLOOKUP(Calculator!E23,tbSkills!DH3:DI6,2,FALSE)+IF(AND(Calculator!B8=TRUE,Backdoors!BI35=TRUE),VLOOKUP(Calculator!E23,tbSkills!DH3:DJ6,3,FALSE),0),0)))/100)),1),1)</f>
        <v>0.5</v>
      </c>
      <c r="HX60" s="87">
        <f t="shared" si="25"/>
        <v>0</v>
      </c>
      <c r="HY60" s="86" t="str">
        <f>IFERROR(IF(VLOOKUP(A60,tbMoveset!A2:B112,2,FALSE)="Sever",Backdoors!AY36/100,IF(VLOOKUP(A60,tbMoveset!A2:B112,2,FALSE)="Blunt",Backdoors!AZ36/100,Backdoors!BA36/100)),"")</f>
        <v/>
      </c>
      <c r="HZ60" s="49">
        <f>IFERROR(IF(VLOOKUP(tbMoveset!A60,tbMoveset!A2:H112,8,FALSE)="Other",IF(VLOOKUP(tbMoveset!A60,tbMoveset!A2:I112,9,FALSE)="Fire",Backdoors!BB36,IF(VLOOKUP(tbMoveset!A60,tbMoveset!A2:I112,9,FALSE)="Water",Backdoors!BC36,IF(VLOOKUP(tbMoveset!A60,tbMoveset!A2:I112,9,FALSE)="Thunder",Backdoors!BD36,IF(VLOOKUP(tbMoveset!A60,tbMoveset!A2:I112,9,FALSE)="Ice",Backdoors!BE36,IF(VLOOKUP(tbMoveset!A60,tbMoveset!A2:I112,9,FALSE)="Dragon",Backdoors!BF36,Backdoors!BG36)))))/100,Backdoors!BG36/100),"")</f>
        <v>0</v>
      </c>
      <c r="IA60" s="49">
        <f>IFERROR(IF(VLOOKUP(A60,tbMoveset!A2:J112,10,FALSE)=TRUE,IF((Backdoors!AI12+IF(HY60&gt;=0.45,VLOOKUP(Calculator!E23,tbSkills!DH3:DI6,2,FALSE)+IF(AND(Calculator!B8=TRUE,Backdoors!BI36=TRUE),VLOOKUP(Calculator!E23,tbSkills!DH3:DJ6,3,FALSE),0),0))&gt;=0,1+(Backdoors!AL2*(IF((Backdoors!AI12+IF(HY60&gt;=0.45,VLOOKUP(Calculator!E23,tbSkills!DH3:DI6,2,FALSE)+IF(AND(Calculator!B8=TRUE,Backdoors!BI36=TRUE),VLOOKUP(Calculator!E23,tbSkills!DH3:DJ6,3,FALSE),0),0))&gt;=100,100,(Backdoors!AI12+IF(HY60&gt;=0.45,VLOOKUP(Calculator!E23,tbSkills!DH3:DI6,2,FALSE)+IF(AND(Calculator!B8=TRUE,Backdoors!BI36=TRUE),VLOOKUP(Calculator!E23,tbSkills!DH3:DJ6,3,FALSE),0),0)))/100)),(1-(0.25*((-Backdoors!AI12-IF(HY60&gt;=0.45,VLOOKUP(Calculator!E23,tbSkills!DH3:DI6,2,FALSE)+IF(AND(Calculator!B8=TRUE,Backdoors!BI36=TRUE),VLOOKUP(Calculator!E23,tbSkills!DH3:DJ6,3,FALSE),0),0))/100)))),1),"")</f>
        <v>1</v>
      </c>
      <c r="IB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Y60)*IA60)*(VLOOKUP(A60,tbMoveset!A2:C112,3,FALSE)/100)*IF(VLOOKUP(A60,tbMoveset!A2:B112,2,FALSE)="Projectile",Backdoors!N10,Backdoors!N9),0),"")</f>
        <v/>
      </c>
      <c r="IC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Y60&gt;=0.45,VLOOKUP(Calculator!E23,tbSkills!DH3:DI6,2,FALSE)+IF(AND(Calculator!B8=TRUE,Backdoors!BI36=TRUE),VLOOKUP(Calculator!E23,tbSkills!DH3:DJ6,3,FALSE),0),0))&gt;=100,100,(Backdoors!AI12+IF(HY60&gt;=0.45,VLOOKUP(Calculator!E23,tbSkills!DH3:DI6,2,FALSE)+IF(AND(Calculator!B8=TRUE,Backdoors!BI36=TRUE),VLOOKUP(Calculator!E23,tbSkills!DH3:DJ6,3,FALSE),0),0)))/100)),1))*IF(VLOOKUP(A60,tbMoveset!A2:K112,11,FALSE)=TRUE,Backdoors!AC5,1))*HZ60,0),"")</f>
        <v>0</v>
      </c>
      <c r="ID60" s="49">
        <f>VLOOKUP(A60,tbMoveset!A2:G112,7,FALSE)*IFERROR(IF(Backdoors!AI12&gt;=0,1+(IF(Calculator!E40&gt;0,VLOOKUP(Calculator!E40,tbSkills!AI3:AJ5,2,FALSE),Backdoors!AL4)*(IF((Backdoors!AI12+IF(HY60&gt;=0.45,VLOOKUP(Calculator!E23,tbSkills!DH3:DI6,2,FALSE)+IF(AND(Calculator!B8=TRUE,Backdoors!BI36=TRUE),VLOOKUP(Calculator!E23,tbSkills!DH3:DJ6,3,FALSE),0),0))&gt;=100,100,(Backdoors!AI12+IF(HY60&gt;=0.45,VLOOKUP(Calculator!E23,tbSkills!DH3:DI6,2,FALSE)+IF(AND(Calculator!B8=TRUE,Backdoors!BI36=TRUE),VLOOKUP(Calculator!E23,tbSkills!DH3:DJ6,3,FALSE),0),0)))/100)),1),1)</f>
        <v>0.5</v>
      </c>
      <c r="IE60" s="87">
        <f t="shared" si="26"/>
        <v>0</v>
      </c>
      <c r="IF60" s="86" t="str">
        <f>IFERROR(IF(VLOOKUP(A60,tbMoveset!A2:B112,2,FALSE)="Sever",Backdoors!AY37/100,IF(VLOOKUP(A60,tbMoveset!A2:B112,2,FALSE)="Blunt",Backdoors!AZ37/100,Backdoors!BA37/100)),"")</f>
        <v/>
      </c>
      <c r="IG60" s="49">
        <f>IFERROR(IF(VLOOKUP(tbMoveset!A60,tbMoveset!A2:H112,8,FALSE)="Other",IF(VLOOKUP(tbMoveset!A60,tbMoveset!A2:I112,9,FALSE)="Fire",Backdoors!BB37,IF(VLOOKUP(tbMoveset!A60,tbMoveset!A2:I112,9,FALSE)="Water",Backdoors!BC37,IF(VLOOKUP(tbMoveset!A60,tbMoveset!A2:I112,9,FALSE)="Thunder",Backdoors!BD37,IF(VLOOKUP(tbMoveset!A60,tbMoveset!A2:I112,9,FALSE)="Ice",Backdoors!BE37,IF(VLOOKUP(tbMoveset!A60,tbMoveset!A2:I112,9,FALSE)="Dragon",Backdoors!BF37,Backdoors!BG37)))))/100,Backdoors!BG37/100),"")</f>
        <v>0</v>
      </c>
      <c r="IH60" s="49">
        <f>IFERROR(IF(VLOOKUP(A60,tbMoveset!A2:J112,10,FALSE)=TRUE,IF((Backdoors!AI12+IF(IF60&gt;=0.45,VLOOKUP(Calculator!E23,tbSkills!DH3:DI6,2,FALSE)+IF(AND(Calculator!B8=TRUE,Backdoors!BI37=TRUE),VLOOKUP(Calculator!E23,tbSkills!DH3:DJ6,3,FALSE),0),0))&gt;=0,1+(Backdoors!AL2*(IF((Backdoors!AI12+IF(IF60&gt;=0.45,VLOOKUP(Calculator!E23,tbSkills!DH3:DI6,2,FALSE)+IF(AND(Calculator!B8=TRUE,Backdoors!BI37=TRUE),VLOOKUP(Calculator!E23,tbSkills!DH3:DJ6,3,FALSE),0),0))&gt;=100,100,(Backdoors!AI12+IF(IF60&gt;=0.45,VLOOKUP(Calculator!E23,tbSkills!DH3:DI6,2,FALSE)+IF(AND(Calculator!B8=TRUE,Backdoors!BI37=TRUE),VLOOKUP(Calculator!E23,tbSkills!DH3:DJ6,3,FALSE),0),0)))/100)),(1-(0.25*((-Backdoors!AI12-IF(IF60&gt;=0.45,VLOOKUP(Calculator!E23,tbSkills!DH3:DI6,2,FALSE)+IF(AND(Calculator!B8=TRUE,Backdoors!BI37=TRUE),VLOOKUP(Calculator!E23,tbSkills!DH3:DJ6,3,FALSE),0),0))/100)))),1),"")</f>
        <v>1</v>
      </c>
      <c r="II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F60)*IH60)*(VLOOKUP(A60,tbMoveset!A2:C112,3,FALSE)/100)*IF(VLOOKUP(A60,tbMoveset!A2:B112,2,FALSE)="Projectile",Backdoors!N10,Backdoors!N9),0),"")</f>
        <v/>
      </c>
      <c r="IJ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IF60&gt;=0.45,VLOOKUP(Calculator!E23,tbSkills!DH3:DI6,2,FALSE)+IF(AND(Calculator!B8=TRUE,Backdoors!BI37=TRUE),VLOOKUP(Calculator!E23,tbSkills!DH3:DJ6,3,FALSE),0),0))&gt;=100,100,(Backdoors!AI12+IF(IF60&gt;=0.45,VLOOKUP(Calculator!E23,tbSkills!DH3:DI6,2,FALSE)+IF(AND(Calculator!B8=TRUE,Backdoors!BI37=TRUE),VLOOKUP(Calculator!E23,tbSkills!DH3:DJ6,3,FALSE),0),0)))/100)),1))*IF(VLOOKUP(A60,tbMoveset!A2:K112,11,FALSE)=TRUE,Backdoors!AC5,1))*IG60,0),"")</f>
        <v>0</v>
      </c>
      <c r="IK60" s="49">
        <f>VLOOKUP(A60,tbMoveset!A2:G112,7,FALSE)*IFERROR(IF(Backdoors!AI12&gt;=0,1+(IF(Calculator!E40&gt;0,VLOOKUP(Calculator!E40,tbSkills!AI3:AJ5,2,FALSE),Backdoors!AL4)*(IF((Backdoors!AI12+IF(IF60&gt;=0.45,VLOOKUP(Calculator!E23,tbSkills!DH3:DI6,2,FALSE)+IF(AND(Calculator!B8=TRUE,Backdoors!BI37=TRUE),VLOOKUP(Calculator!E23,tbSkills!DH3:DJ6,3,FALSE),0),0))&gt;=100,100,(Backdoors!AI12+IF(IF60&gt;=0.45,VLOOKUP(Calculator!E23,tbSkills!DH3:DI6,2,FALSE)+IF(AND(Calculator!B8=TRUE,Backdoors!BI37=TRUE),VLOOKUP(Calculator!E23,tbSkills!DH3:DJ6,3,FALSE),0),0)))/100)),1),1)</f>
        <v>0.5</v>
      </c>
      <c r="IL60" s="87">
        <f t="shared" si="27"/>
        <v>0</v>
      </c>
      <c r="IM60" s="86" t="str">
        <f>IFERROR(IF(VLOOKUP(A60,tbMoveset!A2:B112,2,FALSE)="Sever",Backdoors!AY38/100,IF(VLOOKUP(A60,tbMoveset!A2:B112,2,FALSE)="Blunt",Backdoors!AZ38/100,Backdoors!BA38/100)),"")</f>
        <v/>
      </c>
      <c r="IN60" s="49">
        <f>IFERROR(IF(VLOOKUP(tbMoveset!A60,tbMoveset!A2:H112,8,FALSE)="Other",IF(VLOOKUP(tbMoveset!A60,tbMoveset!A2:I112,9,FALSE)="Fire",Backdoors!BB38,IF(VLOOKUP(tbMoveset!A60,tbMoveset!A2:I112,9,FALSE)="Water",Backdoors!BC38,IF(VLOOKUP(tbMoveset!A60,tbMoveset!A2:I112,9,FALSE)="Thunder",Backdoors!BD38,IF(VLOOKUP(tbMoveset!A60,tbMoveset!A2:I112,9,FALSE)="Ice",Backdoors!BE38,IF(VLOOKUP(tbMoveset!A60,tbMoveset!A2:I112,9,FALSE)="Dragon",Backdoors!BF38,Backdoors!BG38)))))/100,Backdoors!BG38/100),"")</f>
        <v>0</v>
      </c>
      <c r="IO60" s="49">
        <f>IFERROR(IF(VLOOKUP(A60,tbMoveset!A2:J112,10,FALSE)=TRUE,IF((Backdoors!AI12+IF(IM60&gt;=0.45,VLOOKUP(Calculator!E23,tbSkills!DH3:DI6,2,FALSE)+IF(AND(Calculator!B8=TRUE,Backdoors!BI38=TRUE),VLOOKUP(Calculator!E23,tbSkills!DH3:DJ6,3,FALSE),0),0))&gt;=0,1+(Backdoors!AL2*(IF((Backdoors!AI12+IF(IM60&gt;=0.45,VLOOKUP(Calculator!E23,tbSkills!DH3:DI6,2,FALSE)+IF(AND(Calculator!B8=TRUE,Backdoors!BI38=TRUE),VLOOKUP(Calculator!E23,tbSkills!DH3:DJ6,3,FALSE),0),0))&gt;=100,100,(Backdoors!AI12+IF(IM60&gt;=0.45,VLOOKUP(Calculator!E23,tbSkills!DH3:DI6,2,FALSE)+IF(AND(Calculator!B8=TRUE,Backdoors!BI38=TRUE),VLOOKUP(Calculator!E23,tbSkills!DH3:DJ6,3,FALSE),0),0)))/100)),(1-(0.25*((-Backdoors!AI12-IF(IM60&gt;=0.45,VLOOKUP(Calculator!E23,tbSkills!DH3:DI6,2,FALSE)+IF(AND(Calculator!B8=TRUE,Backdoors!BI38=TRUE),VLOOKUP(Calculator!E23,tbSkills!DH3:DJ6,3,FALSE),0),0))/100)))),1),"")</f>
        <v>1</v>
      </c>
      <c r="IP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M60)*IO60)*(VLOOKUP(A60,tbMoveset!A2:C112,3,FALSE)/100)*IF(VLOOKUP(A60,tbMoveset!A2:B112,2,FALSE)="Projectile",Backdoors!N10,Backdoors!N9),0),"")</f>
        <v/>
      </c>
      <c r="IQ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IM60&gt;=0.45,VLOOKUP(Calculator!E23,tbSkills!DH3:DI6,2,FALSE)+IF(AND(Calculator!B8=TRUE,Backdoors!BI38=TRUE),VLOOKUP(Calculator!E23,tbSkills!DH3:DJ6,3,FALSE),0),0))&gt;=100,100,(Backdoors!AI12+IF(IM60&gt;=0.45,VLOOKUP(Calculator!E23,tbSkills!DH3:DI6,2,FALSE)+IF(AND(Calculator!B8=TRUE,Backdoors!BI38=TRUE),VLOOKUP(Calculator!E23,tbSkills!DH3:DJ6,3,FALSE),0),0)))/100)),1))*IF(VLOOKUP(A60,tbMoveset!A2:K112,11,FALSE)=TRUE,Backdoors!AC5,1))*IN60,0),"")</f>
        <v>0</v>
      </c>
      <c r="IR60" s="49">
        <f>VLOOKUP(A60,tbMoveset!A2:G112,7,FALSE)*IFERROR(IF(Backdoors!AI12&gt;=0,1+(IF(Calculator!E40&gt;0,VLOOKUP(Calculator!E40,tbSkills!AI3:AJ5,2,FALSE),Backdoors!AL4)*(IF((Backdoors!AI12+IF(IM60&gt;=0.45,VLOOKUP(Calculator!E23,tbSkills!DH3:DI6,2,FALSE)+IF(AND(Calculator!B8=TRUE,Backdoors!BI38=TRUE),VLOOKUP(Calculator!E23,tbSkills!DH3:DJ6,3,FALSE),0),0))&gt;=100,100,(Backdoors!AI12+IF(IM60&gt;=0.45,VLOOKUP(Calculator!E23,tbSkills!DH3:DI6,2,FALSE)+IF(AND(Calculator!B8=TRUE,Backdoors!BI38=TRUE),VLOOKUP(Calculator!E23,tbSkills!DH3:DJ6,3,FALSE),0),0)))/100)),1),1)</f>
        <v>0.5</v>
      </c>
      <c r="IS60" s="87">
        <f t="shared" si="42"/>
        <v>0</v>
      </c>
      <c r="IT60" s="86" t="str">
        <f>IFERROR(IF(VLOOKUP(A60,tbMoveset!A2:B112,2,FALSE)="Sever",Backdoors!AY39/100,IF(VLOOKUP(A60,tbMoveset!A2:B112,2,FALSE)="Blunt",Backdoors!AZ39/100,Backdoors!BA39/100)),"")</f>
        <v/>
      </c>
      <c r="IU60" s="49">
        <f>IFERROR(IF(VLOOKUP(tbMoveset!A60,tbMoveset!A2:H112,8,FALSE)="Other",IF(VLOOKUP(tbMoveset!A60,tbMoveset!A2:I112,9,FALSE)="Fire",Backdoors!BB39,IF(VLOOKUP(tbMoveset!A60,tbMoveset!A2:I112,9,FALSE)="Water",Backdoors!BC39,IF(VLOOKUP(tbMoveset!A60,tbMoveset!A2:I112,9,FALSE)="Thunder",Backdoors!BD39,IF(VLOOKUP(tbMoveset!A60,tbMoveset!A2:I112,9,FALSE)="Ice",Backdoors!BE39,IF(VLOOKUP(tbMoveset!A60,tbMoveset!A2:I112,9,FALSE)="Dragon",Backdoors!BF39,Backdoors!BG39)))))/100,Backdoors!BG39/100),"")</f>
        <v>0</v>
      </c>
      <c r="IV60" s="49">
        <f>IFERROR(IF(VLOOKUP(A60,tbMoveset!A2:J112,10,FALSE)=TRUE,IF((Backdoors!AI12+IF(IT60&gt;=0.45,VLOOKUP(Calculator!E23,tbSkills!DH3:DI6,2,FALSE)+IF(AND(Calculator!B8=TRUE,Backdoors!BI39=TRUE),VLOOKUP(Calculator!E23,tbSkills!DH3:DJ6,3,FALSE),0),0))&gt;=0,1+(Backdoors!AL2*(IF((Backdoors!AI12+IF(IT60&gt;=0.45,VLOOKUP(Calculator!E23,tbSkills!DH3:DI6,2,FALSE)+IF(AND(Calculator!B8=TRUE,Backdoors!BI39=TRUE),VLOOKUP(Calculator!E23,tbSkills!DH3:DJ6,3,FALSE),0),0))&gt;=100,100,(Backdoors!AI12+IF(IT60&gt;=0.45,VLOOKUP(Calculator!E23,tbSkills!DH3:DI6,2,FALSE)+IF(AND(Calculator!B8=TRUE,Backdoors!BI39=TRUE),VLOOKUP(Calculator!E23,tbSkills!DH3:DJ6,3,FALSE),0),0)))/100)),(1-(0.25*((-Backdoors!AI12-IF(IT60&gt;=0.45,VLOOKUP(Calculator!E23,tbSkills!DH3:DI6,2,FALSE)+IF(AND(Calculator!B8=TRUE,Backdoors!BI39=TRUE),VLOOKUP(Calculator!E23,tbSkills!DH3:DJ6,3,FALSE),0),0))/100)))),1),"")</f>
        <v>1</v>
      </c>
      <c r="IW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T60)*IV60)*(VLOOKUP(A60,tbMoveset!A2:C112,3,FALSE)/100)*IF(VLOOKUP(A60,tbMoveset!A2:B112,2,FALSE)="Projectile",Backdoors!N10,Backdoors!N9),0),"")</f>
        <v/>
      </c>
      <c r="IX60" s="49">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40&gt;0,VLOOKUP(Calculator!E40,tbSkills!AC3:AD5,2,FALSE),Backdoors!AL3)*(IF((Backdoors!AI12+IF(IT60&gt;=0.45,VLOOKUP(Calculator!E23,tbSkills!DH3:DI6,2,FALSE)+IF(AND(Calculator!B8=TRUE,Backdoors!BI39=TRUE),VLOOKUP(Calculator!E23,tbSkills!DH3:DJ6,3,FALSE),0),0))&gt;=100,100,(Backdoors!AI12+IF(IT60&gt;=0.45,VLOOKUP(Calculator!E23,tbSkills!DH3:DI6,2,FALSE)+IF(AND(Calculator!B8=TRUE,Backdoors!BI39=TRUE),VLOOKUP(Calculator!E23,tbSkills!DH3:DJ6,3,FALSE),0),0)))/100)),1))*IF(VLOOKUP(A60,tbMoveset!A2:K112,11,FALSE)=TRUE,Backdoors!AC5,1))*IU60,0),"")</f>
        <v>0</v>
      </c>
      <c r="IY60" s="49">
        <f>VLOOKUP(A60,tbMoveset!A2:G112,7,FALSE)*IFERROR(IF(Backdoors!AI12&gt;=0,1+(IF(Calculator!E40&gt;0,VLOOKUP(Calculator!E40,tbSkills!AI3:AJ5,2,FALSE),Backdoors!AL4)*(IF((Backdoors!AI12+IF(IT60&gt;=0.45,VLOOKUP(Calculator!E23,tbSkills!DH3:DI6,2,FALSE)+IF(AND(Calculator!B8=TRUE,Backdoors!BI39=TRUE),VLOOKUP(Calculator!E23,tbSkills!DH3:DJ6,3,FALSE),0),0))&gt;=100,100,(Backdoors!AI12+IF(IT60&gt;=0.45,VLOOKUP(Calculator!E23,tbSkills!DH3:DI6,2,FALSE)+IF(AND(Calculator!B8=TRUE,Backdoors!BI39=TRUE),VLOOKUP(Calculator!E23,tbSkills!DH3:DJ6,3,FALSE),0),0)))/100)),1),1)</f>
        <v>0.5</v>
      </c>
      <c r="IZ60" s="87">
        <f t="shared" si="28"/>
        <v>0</v>
      </c>
      <c r="JA60" s="86" t="str">
        <f>IFERROR(IF(VLOOKUP(A60,tbMoveset!A2:B112,2,FALSE)="Sever",Backdoors!AY40/100,IF(VLOOKUP(A60,tbMoveset!A2:B112,2,FALSE)="Blunt",Backdoors!AZ40/100,Backdoors!BA40/100)),"")</f>
        <v/>
      </c>
      <c r="JB60" s="49">
        <f>IFERROR(IF(VLOOKUP(tbMoveset!A60,tbMoveset!A2:H112,8,FALSE)="Other",IF(VLOOKUP(tbMoveset!A60,tbMoveset!A2:I112,9,FALSE)="Fire",Backdoors!BB40,IF(VLOOKUP(tbMoveset!A60,tbMoveset!A2:I112,9,FALSE)="Water",Backdoors!BC40,IF(VLOOKUP(tbMoveset!A60,tbMoveset!A2:I112,9,FALSE)="Thunder",Backdoors!BD40,IF(VLOOKUP(tbMoveset!A60,tbMoveset!A2:I112,9,FALSE)="Ice",Backdoors!BE40,IF(VLOOKUP(tbMoveset!A60,tbMoveset!A2:I112,9,FALSE)="Dragon",Backdoors!BF40,Backdoors!BG40)))))/100,Backdoors!BG40/100),"")</f>
        <v>0</v>
      </c>
      <c r="JC60" s="49">
        <f>IFERROR(IF(VLOOKUP(A60,tbMoveset!A2:J112,10,FALSE)=TRUE,IF((Backdoors!AI12+IF(JA60&gt;=0.45,VLOOKUP(Calculator!E23,tbSkills!DH3:DI6,2,FALSE)+IF(AND(Calculator!B8=TRUE,Backdoors!BI40=TRUE),VLOOKUP(Calculator!E23,tbSkills!DH3:DJ6,3,FALSE),0),0))&gt;=0,1+(Backdoors!AL2*(IF((Backdoors!AI12+IF(JA60&gt;=0.45,VLOOKUP(Calculator!E23,tbSkills!DH3:DI6,2,FALSE)+IF(AND(Calculator!B8=TRUE,Backdoors!BI40=TRUE),VLOOKUP(Calculator!E23,tbSkills!DH3:DJ6,3,FALSE),0),0))&gt;=100,100,(Backdoors!AI12+IF(JA60&gt;=0.45,VLOOKUP(Calculator!E23,tbSkills!DH3:DI6,2,FALSE)+IF(AND(Calculator!B8=TRUE,Backdoors!BI40=TRUE),VLOOKUP(Calculator!E23,tbSkills!DH3:DJ6,3,FALSE),0),0)))/100)),(1-(0.25*((-Backdoors!AI12-IF(JA60&gt;=0.45,VLOOKUP(Calculator!E23,tbSkills!DH3:DI6,2,FALSE)+IF(AND(Calculator!B8=TRUE,Backdoors!BI40=TRUE),VLOOKUP(Calculator!E23,tbSkills!DH3:DJ6,3,FALSE),0),0))/100)))),1),"")</f>
        <v>1</v>
      </c>
      <c r="JD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A60)*JC60)*(VLOOKUP(A60,tbMoveset!A2:C112,3,FALSE)/100)*IF(VLOOKUP(A60,tbMoveset!A2:B112,2,FALSE)="Projectile",Backdoors!N10,Backdoors!N9),0),"")</f>
        <v/>
      </c>
      <c r="JE60" s="49">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42&gt;0,VLOOKUP(Calculator!E42,tbSkills!AC3:AD5,2,FALSE),Backdoors!AL3)*(IF((Backdoors!AI12+IF(JA60&gt;=0.45,VLOOKUP(Calculator!E23,tbSkills!DH3:DI6,2,FALSE)+IF(AND(Calculator!B8=TRUE,Backdoors!BI40=TRUE),VLOOKUP(Calculator!E23,tbSkills!DH3:DJ6,3,FALSE),0),0))&gt;=100,100,(Backdoors!AI12+IF(JA60&gt;=0.45,VLOOKUP(Calculator!E23,tbSkills!DH3:DI6,2,FALSE)+IF(AND(Calculator!B8=TRUE,Backdoors!BI40=TRUE),VLOOKUP(Calculator!E23,tbSkills!DH3:DJ6,3,FALSE),0),0)))/100)),1))*IF(VLOOKUP(A60,tbMoveset!A2:K112,11,FALSE)=TRUE,Backdoors!AC5,1))*JB60,0),"")</f>
        <v>0</v>
      </c>
      <c r="JF60" s="49">
        <f>VLOOKUP(A60,tbMoveset!A2:G112,7,FALSE)*IFERROR(IF(Backdoors!AI12&gt;=0,1+(IF(Calculator!E40&gt;0,VLOOKUP(Calculator!E40,tbSkills!AI3:AJ5,2,FALSE),Backdoors!AL4)*(IF((Backdoors!AI12+IF(JA60&gt;=0.45,VLOOKUP(Calculator!E23,tbSkills!DH3:DI6,2,FALSE)+IF(AND(Calculator!B8=TRUE,Backdoors!BI40=TRUE),VLOOKUP(Calculator!E23,tbSkills!DH3:DJ6,3,FALSE),0),0))&gt;=100,100,(Backdoors!AI12+IF(JA60&gt;=0.45,VLOOKUP(Calculator!E23,tbSkills!DH3:DI6,2,FALSE)+IF(AND(Calculator!B8=TRUE,Backdoors!BI40=TRUE),VLOOKUP(Calculator!E23,tbSkills!DH3:DJ6,3,FALSE),0),0)))/100)),1),1)</f>
        <v>0.5</v>
      </c>
      <c r="JG60" s="87">
        <f t="shared" si="29"/>
        <v>0</v>
      </c>
      <c r="JH60" s="86" t="str">
        <f>IFERROR(IF(VLOOKUP(A60,tbMoveset!A2:B112,2,FALSE)="Sever",Backdoors!AY41/100,IF(VLOOKUP(A60,tbMoveset!A2:B112,2,FALSE)="Blunt",Backdoors!AZ41/100,Backdoors!BA41/100)),"")</f>
        <v/>
      </c>
      <c r="JI60" s="49">
        <f>IFERROR(IF(VLOOKUP(tbMoveset!A60,tbMoveset!A2:H112,8,FALSE)="Other",IF(VLOOKUP(tbMoveset!A60,tbMoveset!A2:I112,9,FALSE)="Fire",Backdoors!BB41,IF(VLOOKUP(tbMoveset!A60,tbMoveset!A2:I112,9,FALSE)="Water",Backdoors!BC41,IF(VLOOKUP(tbMoveset!A60,tbMoveset!A2:I112,9,FALSE)="Thunder",Backdoors!BD41,IF(VLOOKUP(tbMoveset!A60,tbMoveset!A2:I112,9,FALSE)="Ice",Backdoors!BE41,IF(VLOOKUP(tbMoveset!A60,tbMoveset!A2:I112,9,FALSE)="Dragon",Backdoors!BF41,Backdoors!BG41)))))/100,Backdoors!BG41/100),"")</f>
        <v>0</v>
      </c>
      <c r="JJ60" s="49">
        <f>IFERROR(IF(VLOOKUP(A60,tbMoveset!A2:J112,10,FALSE)=TRUE,IF((Backdoors!AI12+IF(JH60&gt;=0.45,VLOOKUP(Calculator!E23,tbSkills!DH3:DI6,2,FALSE)+IF(AND(Calculator!B8=TRUE,Backdoors!BI41=TRUE),VLOOKUP(Calculator!E23,tbSkills!DH3:DJ6,3,FALSE),0),0))&gt;=0,1+(Backdoors!AL2*(IF((Backdoors!AI12+IF(JH60&gt;=0.45,VLOOKUP(Calculator!E23,tbSkills!DH3:DI6,2,FALSE)+IF(AND(Calculator!B8=TRUE,Backdoors!BI41=TRUE),VLOOKUP(Calculator!E23,tbSkills!DH3:DJ6,3,FALSE),0),0))&gt;=100,100,(Backdoors!AI12+IF(JH60&gt;=0.45,VLOOKUP(Calculator!E23,tbSkills!DH3:DI6,2,FALSE)+IF(AND(Calculator!B8=TRUE,Backdoors!BI41=TRUE),VLOOKUP(Calculator!E23,tbSkills!DH3:DJ6,3,FALSE),0),0)))/100)),(1-(0.25*((-Backdoors!AI12-IF(JH60&gt;=0.45,VLOOKUP(Calculator!E23,tbSkills!DH3:DI6,2,FALSE)+IF(AND(Calculator!B8=TRUE,Backdoors!BI41=TRUE),VLOOKUP(Calculator!E23,tbSkills!DH3:DJ6,3,FALSE),0),0))/100)))),1),"")</f>
        <v>1</v>
      </c>
      <c r="JK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H60)*JJ60)*(VLOOKUP(A60,tbMoveset!A2:C112,3,FALSE)/100)*IF(VLOOKUP(A60,tbMoveset!A2:B112,2,FALSE)="Projectile",Backdoors!N10,Backdoors!N9),0),"")</f>
        <v/>
      </c>
      <c r="JL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43&gt;0,VLOOKUP(Calculator!E43,tbSkills!AC3:AD5,2,FALSE),Backdoors!AL3)*(IF((Backdoors!AI12+IF(JH60&gt;=0.45,VLOOKUP(Calculator!E23,tbSkills!DH3:DI6,2,FALSE)+IF(AND(Calculator!B8=TRUE,Backdoors!BI41=TRUE),VLOOKUP(Calculator!E23,tbSkills!DH3:DJ6,3,FALSE),0),0))&gt;=100,100,(Backdoors!AI12+IF(JH60&gt;=0.45,VLOOKUP(Calculator!E23,tbSkills!DH3:DI6,2,FALSE)+IF(AND(Calculator!B8=TRUE,Backdoors!BI41=TRUE),VLOOKUP(Calculator!E23,tbSkills!DH3:DJ6,3,FALSE),0),0)))/100)),1))*IF(VLOOKUP(A60,tbMoveset!A2:K112,11,FALSE)=TRUE,Backdoors!AC5,1))*JI60,0),"")</f>
        <v/>
      </c>
      <c r="JM60" s="49">
        <f>VLOOKUP(A60,tbMoveset!A2:G112,7,FALSE)*IFERROR(IF(Backdoors!AI12&gt;=0,1+(IF(Calculator!E40&gt;0,VLOOKUP(Calculator!E40,tbSkills!AI3:AJ5,2,FALSE),Backdoors!AL4)*(IF((Backdoors!AI12+IF(JH60&gt;=0.45,VLOOKUP(Calculator!E23,tbSkills!DH3:DI6,2,FALSE)+IF(AND(Calculator!B8=TRUE,Backdoors!BI41=TRUE),VLOOKUP(Calculator!E23,tbSkills!DH3:DJ6,3,FALSE),0),0))&gt;=100,100,(Backdoors!AI12+IF(JH60&gt;=0.45,VLOOKUP(Calculator!E23,tbSkills!DH3:DI6,2,FALSE)+IF(AND(Calculator!B8=TRUE,Backdoors!BI41=TRUE),VLOOKUP(Calculator!E23,tbSkills!DH3:DJ6,3,FALSE),0),0)))/100)),1),1)</f>
        <v>0.5</v>
      </c>
      <c r="JN60" s="87">
        <f t="shared" si="30"/>
        <v>0</v>
      </c>
      <c r="JO60" s="86" t="str">
        <f>IFERROR(IF(VLOOKUP(A60,tbMoveset!A2:B112,2,FALSE)="Sever",Backdoors!AY42/100,IF(VLOOKUP(A60,tbMoveset!A2:B112,2,FALSE)="Blunt",Backdoors!AZ42/100,Backdoors!BA42/100)),"")</f>
        <v/>
      </c>
      <c r="JP60" s="49">
        <f>IFERROR(IF(VLOOKUP(tbMoveset!A60,tbMoveset!A2:H112,8,FALSE)="Other",IF(VLOOKUP(tbMoveset!A60,tbMoveset!A2:I112,9,FALSE)="Fire",Backdoors!BB42,IF(VLOOKUP(tbMoveset!A60,tbMoveset!A2:I112,9,FALSE)="Water",Backdoors!BC42,IF(VLOOKUP(tbMoveset!A60,tbMoveset!A2:I112,9,FALSE)="Thunder",Backdoors!BD42,IF(VLOOKUP(tbMoveset!A60,tbMoveset!A2:I112,9,FALSE)="Ice",Backdoors!BE42,IF(VLOOKUP(tbMoveset!A60,tbMoveset!A2:I112,9,FALSE)="Dragon",Backdoors!BF42,Backdoors!BG42)))))/100,Backdoors!BG42/100),"")</f>
        <v>0</v>
      </c>
      <c r="JQ60" s="49">
        <f>IFERROR(IF(VLOOKUP(A60,tbMoveset!A2:J112,10,FALSE)=TRUE,IF((Backdoors!AI12+IF(JO60&gt;=0.45,VLOOKUP(Calculator!E23,tbSkills!DH3:DI6,2,FALSE)+IF(AND(Calculator!B8=TRUE,Backdoors!BI42=TRUE),VLOOKUP(Calculator!E23,tbSkills!DH3:DJ6,3,FALSE),0),0))&gt;=0,1+(Backdoors!AL2*(IF((Backdoors!AI12+IF(JO60&gt;=0.45,VLOOKUP(Calculator!E23,tbSkills!DH3:DI6,2,FALSE)+IF(AND(Calculator!B8=TRUE,Backdoors!BI42=TRUE),VLOOKUP(Calculator!E23,tbSkills!DH3:DJ6,3,FALSE),0),0))&gt;=100,100,(Backdoors!AI12+IF(JO60&gt;=0.45,VLOOKUP(Calculator!E23,tbSkills!DH3:DI6,2,FALSE)+IF(AND(Calculator!B8=TRUE,Backdoors!BI42=TRUE),VLOOKUP(Calculator!E23,tbSkills!DH3:DJ6,3,FALSE),0),0)))/100)),(1-(0.25*((-Backdoors!AI12-IF(JO60&gt;=0.45,VLOOKUP(Calculator!E23,tbSkills!DH3:DI6,2,FALSE)+IF(AND(Calculator!B8=TRUE,Backdoors!BI42=TRUE),VLOOKUP(Calculator!E23,tbSkills!DH3:DJ6,3,FALSE),0),0))/100)))),1),"")</f>
        <v>1</v>
      </c>
      <c r="JR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O60)*JQ60)*(VLOOKUP(A60,tbMoveset!A2:C112,3,FALSE)/100)*IF(VLOOKUP(A60,tbMoveset!A2:B112,2,FALSE)="Projectile",Backdoors!N10,Backdoors!N9),0),"")</f>
        <v/>
      </c>
      <c r="JS60" s="49">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45&gt;0,VLOOKUP(Calculator!E45,tbSkills!AC3:AD5,2,FALSE),Backdoors!AL3)*(IF((Backdoors!AI12+IF(JO60&gt;=0.45,VLOOKUP(Calculator!E23,tbSkills!DH3:DI6,2,FALSE)+IF(AND(Calculator!B8=TRUE,Backdoors!BI42=TRUE),VLOOKUP(Calculator!E23,tbSkills!DH3:DJ6,3,FALSE),0),0))&gt;=100,100,(Backdoors!AI12+IF(JO60&gt;=0.45,VLOOKUP(Calculator!E23,tbSkills!DH3:DI6,2,FALSE)+IF(AND(Calculator!B8=TRUE,Backdoors!BI42=TRUE),VLOOKUP(Calculator!E23,tbSkills!DH3:DJ6,3,FALSE),0),0)))/100)),1))*IF(VLOOKUP(A60,tbMoveset!A2:K112,11,FALSE)=TRUE,Backdoors!AC5,1))*JP60,0),"")</f>
        <v>0</v>
      </c>
      <c r="JT60" s="49">
        <f>VLOOKUP(A60,tbMoveset!A2:G112,7,FALSE)*IFERROR(IF(Backdoors!AI12&gt;=0,1+(IF(Calculator!E40&gt;0,VLOOKUP(Calculator!E40,tbSkills!AI3:AJ5,2,FALSE),Backdoors!AL4)*(IF((Backdoors!AI12+IF(JO60&gt;=0.45,VLOOKUP(Calculator!E23,tbSkills!DH3:DI6,2,FALSE)+IF(AND(Calculator!B8=TRUE,Backdoors!BI42=TRUE),VLOOKUP(Calculator!E23,tbSkills!DH3:DJ6,3,FALSE),0),0))&gt;=100,100,(Backdoors!AI12+IF(JO60&gt;=0.45,VLOOKUP(Calculator!E23,tbSkills!DH3:DI6,2,FALSE)+IF(AND(Calculator!B8=TRUE,Backdoors!BI42=TRUE),VLOOKUP(Calculator!E23,tbSkills!DH3:DJ6,3,FALSE),0),0)))/100)),1),1)</f>
        <v>0.5</v>
      </c>
      <c r="JU60" s="87">
        <f t="shared" si="31"/>
        <v>0</v>
      </c>
      <c r="JV60" s="86" t="str">
        <f>IFERROR(IF(VLOOKUP(A60,tbMoveset!A2:B112,2,FALSE)="Sever",Backdoors!AY43/100,IF(VLOOKUP(A60,tbMoveset!A2:B112,2,FALSE)="Blunt",Backdoors!AZ43/100,Backdoors!BA43/100)),"")</f>
        <v/>
      </c>
      <c r="JW60" s="49">
        <f>IFERROR(IF(VLOOKUP(tbMoveset!A60,tbMoveset!A2:H112,8,FALSE)="Other",IF(VLOOKUP(tbMoveset!A60,tbMoveset!A2:I112,9,FALSE)="Fire",Backdoors!BB43,IF(VLOOKUP(tbMoveset!A60,tbMoveset!A2:I112,9,FALSE)="Water",Backdoors!BC43,IF(VLOOKUP(tbMoveset!A60,tbMoveset!A2:I112,9,FALSE)="Thunder",Backdoors!BD43,IF(VLOOKUP(tbMoveset!A60,tbMoveset!A2:I112,9,FALSE)="Ice",Backdoors!BE43,IF(VLOOKUP(tbMoveset!A60,tbMoveset!A2:I112,9,FALSE)="Dragon",Backdoors!BF43,Backdoors!BG43)))))/100,Backdoors!BG43/100),"")</f>
        <v>0</v>
      </c>
      <c r="JX60" s="49">
        <f>IFERROR(IF(VLOOKUP(A60,tbMoveset!A2:J112,10,FALSE)=TRUE,IF((Backdoors!AI12+IF(JV60&gt;=0.45,VLOOKUP(Calculator!E23,tbSkills!DH3:DI6,2,FALSE)+IF(AND(Calculator!B8=TRUE,Backdoors!BI43=TRUE),VLOOKUP(Calculator!E23,tbSkills!DH3:DJ6,3,FALSE),0),0))&gt;=0,1+(Backdoors!AL2*(IF((Backdoors!AI12+IF(JV60&gt;=0.45,VLOOKUP(Calculator!E23,tbSkills!DH3:DI6,2,FALSE)+IF(AND(Calculator!B8=TRUE,Backdoors!BI43=TRUE),VLOOKUP(Calculator!E23,tbSkills!DH3:DJ6,3,FALSE),0),0))&gt;=100,100,(Backdoors!AI12+IF(JV60&gt;=0.45,VLOOKUP(Calculator!E23,tbSkills!DH3:DI6,2,FALSE)+IF(AND(Calculator!B8=TRUE,Backdoors!BI43=TRUE),VLOOKUP(Calculator!E23,tbSkills!DH3:DJ6,3,FALSE),0),0)))/100)),(1-(0.25*((-Backdoors!AI12-IF(JV60&gt;=0.45,VLOOKUP(Calculator!E23,tbSkills!DH3:DI6,2,FALSE)+IF(AND(Calculator!B8=TRUE,Backdoors!BI43=TRUE),VLOOKUP(Calculator!E23,tbSkills!DH3:DJ6,3,FALSE),0),0))/100)))),1),"")</f>
        <v>1</v>
      </c>
      <c r="JY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V60)*JX60)*(VLOOKUP(A60,tbMoveset!A2:C112,3,FALSE)/100)*IF(VLOOKUP(A60,tbMoveset!A2:B112,2,FALSE)="Projectile",Backdoors!N10,Backdoors!N9),0),"")</f>
        <v/>
      </c>
      <c r="JZ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46&gt;0,VLOOKUP(Calculator!E46,tbSkills!AC3:AD5,2,FALSE),Backdoors!AL3)*(IF((Backdoors!AI12+IF(JV60&gt;=0.45,VLOOKUP(Calculator!E23,tbSkills!DH3:DI6,2,FALSE)+IF(AND(Calculator!B8=TRUE,Backdoors!BI43=TRUE),VLOOKUP(Calculator!E23,tbSkills!DH3:DJ6,3,FALSE),0),0))&gt;=100,100,(Backdoors!AI12+IF(JV60&gt;=0.45,VLOOKUP(Calculator!E23,tbSkills!DH3:DI6,2,FALSE)+IF(AND(Calculator!B8=TRUE,Backdoors!BI43=TRUE),VLOOKUP(Calculator!E23,tbSkills!DH3:DJ6,3,FALSE),0),0)))/100)),1))*IF(VLOOKUP(A60,tbMoveset!A2:K112,11,FALSE)=TRUE,Backdoors!AC5,1))*JW60,0),"")</f>
        <v/>
      </c>
      <c r="KA60" s="49">
        <f>VLOOKUP(A60,tbMoveset!A2:G112,7,FALSE)*IFERROR(IF(Backdoors!AI12&gt;=0,1+(IF(Calculator!E40&gt;0,VLOOKUP(Calculator!E40,tbSkills!AI3:AJ5,2,FALSE),Backdoors!AL4)*(IF((Backdoors!AI12+IF(JV60&gt;=0.45,VLOOKUP(Calculator!E23,tbSkills!DH3:DI6,2,FALSE)+IF(AND(Calculator!B8=TRUE,Backdoors!BI43=TRUE),VLOOKUP(Calculator!E23,tbSkills!DH3:DJ6,3,FALSE),0),0))&gt;=100,100,(Backdoors!AI12+IF(JV60&gt;=0.45,VLOOKUP(Calculator!E23,tbSkills!DH3:DI6,2,FALSE)+IF(AND(Calculator!B8=TRUE,Backdoors!BI43=TRUE),VLOOKUP(Calculator!E23,tbSkills!DH3:DJ6,3,FALSE),0),0)))/100)),1),1)</f>
        <v>0.5</v>
      </c>
      <c r="KB60" s="87">
        <f t="shared" si="32"/>
        <v>0</v>
      </c>
      <c r="KC60" s="86" t="str">
        <f>IFERROR(IF(VLOOKUP(A60,tbMoveset!A2:B112,2,FALSE)="Sever",Backdoors!AY44/100,IF(VLOOKUP(A60,tbMoveset!A2:B112,2,FALSE)="Blunt",Backdoors!AZ44/100,Backdoors!BA44/100)),"")</f>
        <v/>
      </c>
      <c r="KD60" s="49">
        <f>IFERROR(IF(VLOOKUP(tbMoveset!A60,tbMoveset!A2:H112,8,FALSE)="Other",IF(VLOOKUP(tbMoveset!A60,tbMoveset!A2:I112,9,FALSE)="Fire",Backdoors!BB44,IF(VLOOKUP(tbMoveset!A60,tbMoveset!A2:I112,9,FALSE)="Water",Backdoors!BC44,IF(VLOOKUP(tbMoveset!A60,tbMoveset!A2:I112,9,FALSE)="Thunder",Backdoors!BD44,IF(VLOOKUP(tbMoveset!A60,tbMoveset!A2:I112,9,FALSE)="Ice",Backdoors!BE44,IF(VLOOKUP(tbMoveset!A60,tbMoveset!A2:I112,9,FALSE)="Dragon",Backdoors!BF44,Backdoors!BG44)))))/100,Backdoors!BG44/100),"")</f>
        <v>0</v>
      </c>
      <c r="KE60" s="49">
        <f>IFERROR(IF(VLOOKUP(A60,tbMoveset!A2:J112,10,FALSE)=TRUE,IF((Backdoors!AI12+IF(KC60&gt;=0.45,VLOOKUP(Calculator!E23,tbSkills!DH3:DI6,2,FALSE)+IF(AND(Calculator!B8=TRUE,Backdoors!BI44=TRUE),VLOOKUP(Calculator!E23,tbSkills!DH3:DJ6,3,FALSE),0),0))&gt;=0,1+(Backdoors!AL2*(IF((Backdoors!AI12+IF(KC60&gt;=0.45,VLOOKUP(Calculator!E23,tbSkills!DH3:DI6,2,FALSE)+IF(AND(Calculator!B8=TRUE,Backdoors!BI44=TRUE),VLOOKUP(Calculator!E23,tbSkills!DH3:DJ6,3,FALSE),0),0))&gt;=100,100,(Backdoors!AI12+IF(KC60&gt;=0.45,VLOOKUP(Calculator!E23,tbSkills!DH3:DI6,2,FALSE)+IF(AND(Calculator!B8=TRUE,Backdoors!BI44=TRUE),VLOOKUP(Calculator!E23,tbSkills!DH3:DJ6,3,FALSE),0),0)))/100)),(1-(0.25*((-Backdoors!AI12-IF(KC60&gt;=0.45,VLOOKUP(Calculator!E23,tbSkills!DH3:DI6,2,FALSE)+IF(AND(Calculator!B8=TRUE,Backdoors!BI44=TRUE),VLOOKUP(Calculator!E23,tbSkills!DH3:DJ6,3,FALSE),0),0))/100)))),1),"")</f>
        <v>1</v>
      </c>
      <c r="KF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KC60)*KE60)*(VLOOKUP(A60,tbMoveset!A2:C112,3,FALSE)/100)*IF(VLOOKUP(A60,tbMoveset!A2:B112,2,FALSE)="Projectile",Backdoors!N10,Backdoors!N9),0),"")</f>
        <v/>
      </c>
      <c r="KG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REF!&gt;0,VLOOKUP(Calculator!#REF!,tbSkills!AC3:AD5,2,FALSE),Backdoors!AL3)*(IF((Backdoors!AI12+IF(KC60&gt;=0.45,VLOOKUP(Calculator!E23,tbSkills!DH3:DI6,2,FALSE)+IF(AND(Calculator!B8=TRUE,Backdoors!BI44=TRUE),VLOOKUP(Calculator!E23,tbSkills!DH3:DJ6,3,FALSE),0),0))&gt;=100,100,(Backdoors!AI12+IF(KC60&gt;=0.45,VLOOKUP(Calculator!E23,tbSkills!DH3:DI6,2,FALSE)+IF(AND(Calculator!B8=TRUE,Backdoors!BI44=TRUE),VLOOKUP(Calculator!E23,tbSkills!DH3:DJ6,3,FALSE),0),0)))/100)),1))*IF(VLOOKUP(A60,tbMoveset!A2:K112,11,FALSE)=TRUE,Backdoors!AC5,1))*KD60,0),"")</f>
        <v/>
      </c>
      <c r="KH60" s="49">
        <f>VLOOKUP(A60,tbMoveset!A2:G112,7,FALSE)*IFERROR(IF(Backdoors!AI12&gt;=0,1+(IF(Calculator!E40&gt;0,VLOOKUP(Calculator!E40,tbSkills!AI3:AJ5,2,FALSE),Backdoors!AL4)*(IF((Backdoors!AI12+IF(KC60&gt;=0.45,VLOOKUP(Calculator!E23,tbSkills!DH3:DI6,2,FALSE)+IF(AND(Calculator!B8=TRUE,Backdoors!BI44=TRUE),VLOOKUP(Calculator!E23,tbSkills!DH3:DJ6,3,FALSE),0),0))&gt;=100,100,(Backdoors!AI12+IF(KC60&gt;=0.45,VLOOKUP(Calculator!E23,tbSkills!DH3:DI6,2,FALSE)+IF(AND(Calculator!B8=TRUE,Backdoors!BI44=TRUE),VLOOKUP(Calculator!E23,tbSkills!DH3:DJ6,3,FALSE),0),0)))/100)),1),1)</f>
        <v>0.5</v>
      </c>
      <c r="KI60" s="87">
        <f t="shared" si="33"/>
        <v>0</v>
      </c>
      <c r="KJ60" s="86" t="str">
        <f>IFERROR(IF(VLOOKUP(A60,tbMoveset!A2:B112,2,FALSE)="Sever",Backdoors!AY45/100,IF(VLOOKUP(A60,tbMoveset!A2:B112,2,FALSE)="Blunt",Backdoors!AZ45/100,Backdoors!BA45/100)),"")</f>
        <v/>
      </c>
      <c r="KK60" s="49">
        <f>IFERROR(IF(VLOOKUP(tbMoveset!A60,tbMoveset!A2:H112,8,FALSE)="Other",IF(VLOOKUP(tbMoveset!A60,tbMoveset!A2:I112,9,FALSE)="Fire",Backdoors!BB45,IF(VLOOKUP(tbMoveset!A60,tbMoveset!A2:I112,9,FALSE)="Water",Backdoors!BC45,IF(VLOOKUP(tbMoveset!A60,tbMoveset!A2:I112,9,FALSE)="Thunder",Backdoors!BD45,IF(VLOOKUP(tbMoveset!A60,tbMoveset!A2:I112,9,FALSE)="Ice",Backdoors!BE45,IF(VLOOKUP(tbMoveset!A60,tbMoveset!A2:I112,9,FALSE)="Dragon",Backdoors!BF45,Backdoors!BG45)))))/100,Backdoors!BG45/100),"")</f>
        <v>0</v>
      </c>
      <c r="KL60" s="49">
        <f>IFERROR(IF(VLOOKUP(A60,tbMoveset!A2:J112,10,FALSE)=TRUE,IF((Backdoors!AI12+IF(KJ60&gt;=0.45,VLOOKUP(Calculator!E23,tbSkills!DH3:DI6,2,FALSE)+IF(AND(Calculator!B8=TRUE,Backdoors!BI45=TRUE),VLOOKUP(Calculator!E23,tbSkills!DH3:DJ6,3,FALSE),0),0))&gt;=0,1+(Backdoors!AL2*(IF((Backdoors!AI12+IF(KJ60&gt;=0.45,VLOOKUP(Calculator!E23,tbSkills!DH3:DI6,2,FALSE)+IF(AND(Calculator!B8=TRUE,Backdoors!BI45=TRUE),VLOOKUP(Calculator!E23,tbSkills!DH3:DJ6,3,FALSE),0),0))&gt;=100,100,(Backdoors!AI12+IF(KJ60&gt;=0.45,VLOOKUP(Calculator!E23,tbSkills!DH3:DI6,2,FALSE)+IF(AND(Calculator!B8=TRUE,Backdoors!BI45=TRUE),VLOOKUP(Calculator!E23,tbSkills!DH3:DJ6,3,FALSE),0),0)))/100)),(1-(0.25*((-Backdoors!AI12-IF(KJ60&gt;=0.45,VLOOKUP(Calculator!E23,tbSkills!DH3:DI6,2,FALSE)+IF(AND(Calculator!B8=TRUE,Backdoors!BI45=TRUE),VLOOKUP(Calculator!E23,tbSkills!DH3:DJ6,3,FALSE),0),0))/100)))),1),"")</f>
        <v>1</v>
      </c>
      <c r="KM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KJ60)*KL60)*(VLOOKUP(A60,tbMoveset!A2:C112,3,FALSE)/100)*IF(VLOOKUP(A60,tbMoveset!A2:B112,2,FALSE)="Projectile",Backdoors!N10,Backdoors!N9),0),"")</f>
        <v/>
      </c>
      <c r="KN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REF!&gt;0,VLOOKUP(Calculator!#REF!,tbSkills!AC3:AD5,2,FALSE),Backdoors!AL3)*(IF((Backdoors!AI12+IF(KJ60&gt;=0.45,VLOOKUP(Calculator!E23,tbSkills!DH3:DI6,2,FALSE)+IF(AND(Calculator!B8=TRUE,Backdoors!BI45=TRUE),VLOOKUP(Calculator!E23,tbSkills!DH3:DJ6,3,FALSE),0),0))&gt;=100,100,(Backdoors!AI12+IF(KJ60&gt;=0.45,VLOOKUP(Calculator!E23,tbSkills!DH3:DI6,2,FALSE)+IF(AND(Calculator!B8=TRUE,Backdoors!BI45=TRUE),VLOOKUP(Calculator!E23,tbSkills!DH3:DJ6,3,FALSE),0),0)))/100)),1))*IF(VLOOKUP(A60,tbMoveset!A2:K112,11,FALSE)=TRUE,Backdoors!AC5,1))*KK60,0),"")</f>
        <v/>
      </c>
      <c r="KO60" s="49">
        <f>VLOOKUP(A60,tbMoveset!A2:G112,7,FALSE)*IFERROR(IF(Backdoors!AI12&gt;=0,1+(IF(Calculator!E40&gt;0,VLOOKUP(Calculator!E40,tbSkills!AI3:AJ5,2,FALSE),Backdoors!AL4)*(IF((Backdoors!AI12+IF(KJ60&gt;=0.45,VLOOKUP(Calculator!E23,tbSkills!DH3:DI6,2,FALSE)+IF(AND(Calculator!B8=TRUE,Backdoors!BI45=TRUE),VLOOKUP(Calculator!E23,tbSkills!DH3:DJ6,3,FALSE),0),0))&gt;=100,100,(Backdoors!AI12+IF(KJ60&gt;=0.45,VLOOKUP(Calculator!E23,tbSkills!DH3:DI6,2,FALSE)+IF(AND(Calculator!B8=TRUE,Backdoors!BI45=TRUE),VLOOKUP(Calculator!E23,tbSkills!DH3:DJ6,3,FALSE),0),0)))/100)),1),1)</f>
        <v>0.5</v>
      </c>
      <c r="KP60" s="87">
        <f t="shared" si="34"/>
        <v>0</v>
      </c>
      <c r="KQ60" s="86" t="str">
        <f>IFERROR(IF(VLOOKUP(A60,tbMoveset!A2:B112,2,FALSE)="Sever",Backdoors!AY46/100,IF(VLOOKUP(A60,tbMoveset!A2:B112,2,FALSE)="Blunt",Backdoors!AZ46/100,Backdoors!BA46/100)),"")</f>
        <v/>
      </c>
      <c r="KR60" s="49">
        <f>IFERROR(IF(VLOOKUP(tbMoveset!A60,tbMoveset!A2:H112,8,FALSE)="Other",IF(VLOOKUP(tbMoveset!A60,tbMoveset!A2:I112,9,FALSE)="Fire",Backdoors!BB46,IF(VLOOKUP(tbMoveset!A60,tbMoveset!A2:I112,9,FALSE)="Water",Backdoors!BC46,IF(VLOOKUP(tbMoveset!A60,tbMoveset!A2:I112,9,FALSE)="Thunder",Backdoors!BD46,IF(VLOOKUP(tbMoveset!A60,tbMoveset!A2:I112,9,FALSE)="Ice",Backdoors!BE46,IF(VLOOKUP(tbMoveset!A60,tbMoveset!A2:I112,9,FALSE)="Dragon",Backdoors!BF46,Backdoors!BG46)))))/100,Backdoors!BG46/100),"")</f>
        <v>0</v>
      </c>
      <c r="KS60" s="49">
        <f>IFERROR(IF(VLOOKUP(A60,tbMoveset!A2:J112,10,FALSE)=TRUE,IF((Backdoors!AI12+IF(KQ60&gt;=0.45,VLOOKUP(Calculator!E23,tbSkills!DH3:DI6,2,FALSE)+IF(AND(Calculator!B8=TRUE,Backdoors!BI46=TRUE),VLOOKUP(Calculator!E23,tbSkills!DH3:DJ6,3,FALSE),0),0))&gt;=0,1+(Backdoors!AL2*(IF((Backdoors!AI12+IF(KQ60&gt;=0.45,VLOOKUP(Calculator!E23,tbSkills!DH3:DI6,2,FALSE)+IF(AND(Calculator!B8=TRUE,Backdoors!BI46=TRUE),VLOOKUP(Calculator!E23,tbSkills!DH3:DJ6,3,FALSE),0),0))&gt;=100,100,(Backdoors!AI12+IF(KQ60&gt;=0.45,VLOOKUP(Calculator!E23,tbSkills!DH3:DI6,2,FALSE)+IF(AND(Calculator!B8=TRUE,Backdoors!BI46=TRUE),VLOOKUP(Calculator!E23,tbSkills!DH3:DJ6,3,FALSE),0),0)))/100)),(1-(0.25*((-Backdoors!AI12-IF(KQ60&gt;=0.45,VLOOKUP(Calculator!E23,tbSkills!DH3:DI6,2,FALSE)+IF(AND(Calculator!B8=TRUE,Backdoors!BI46=TRUE),VLOOKUP(Calculator!E23,tbSkills!DH3:DJ6,3,FALSE),0),0))/100)))),1),"")</f>
        <v>1</v>
      </c>
      <c r="KT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KQ60)*KS60)*(VLOOKUP(A60,tbMoveset!A2:C112,3,FALSE)/100)*IF(VLOOKUP(A60,tbMoveset!A2:B112,2,FALSE)="Projectile",Backdoors!N10,Backdoors!N9),0),"")</f>
        <v/>
      </c>
      <c r="KU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REF!&gt;0,VLOOKUP(Calculator!#REF!,tbSkills!AC3:AD5,2,FALSE),Backdoors!AL3)*(IF((Backdoors!AI12+IF(KQ60&gt;=0.45,VLOOKUP(Calculator!E23,tbSkills!DH3:DI6,2,FALSE)+IF(AND(Calculator!B8=TRUE,Backdoors!BI46=TRUE),VLOOKUP(Calculator!E23,tbSkills!DH3:DJ6,3,FALSE),0),0))&gt;=100,100,(Backdoors!AI12+IF(KQ60&gt;=0.45,VLOOKUP(Calculator!E23,tbSkills!DH3:DI6,2,FALSE)+IF(AND(Calculator!B8=TRUE,Backdoors!BI46=TRUE),VLOOKUP(Calculator!E23,tbSkills!DH3:DJ6,3,FALSE),0),0)))/100)),1))*IF(VLOOKUP(A60,tbMoveset!A2:K112,11,FALSE)=TRUE,Backdoors!AC5,1))*KR60,0),"")</f>
        <v/>
      </c>
      <c r="KV60" s="49">
        <f>VLOOKUP(A60,tbMoveset!A2:G112,7,FALSE)*IFERROR(IF(Backdoors!AI12&gt;=0,1+(IF(Calculator!E40&gt;0,VLOOKUP(Calculator!E40,tbSkills!AI3:AJ5,2,FALSE),Backdoors!AL4)*(IF((Backdoors!AI12+IF(KQ60&gt;=0.45,VLOOKUP(Calculator!E23,tbSkills!DH3:DI6,2,FALSE)+IF(AND(Calculator!B8=TRUE,Backdoors!BI46=TRUE),VLOOKUP(Calculator!E23,tbSkills!DH3:DJ6,3,FALSE),0),0))&gt;=100,100,(Backdoors!AI12+IF(KQ60&gt;=0.45,VLOOKUP(Calculator!E23,tbSkills!DH3:DI6,2,FALSE)+IF(AND(Calculator!B8=TRUE,Backdoors!BI46=TRUE),VLOOKUP(Calculator!E23,tbSkills!DH3:DJ6,3,FALSE),0),0)))/100)),1),1)</f>
        <v>0.5</v>
      </c>
      <c r="KW60" s="87">
        <f t="shared" si="35"/>
        <v>0</v>
      </c>
    </row>
    <row r="61" spans="1:309" x14ac:dyDescent="0.25">
      <c r="A61" s="95" t="str">
        <f>tbMoveset!A61</f>
        <v>Blade Dance (R4)</v>
      </c>
      <c r="B61" s="86">
        <f>IFERROR(IF(VLOOKUP(A61,tbMoveset!A2:B112,2,FALSE)="Sever",Backdoors!AY3/100,IF(VLOOKUP(A61,tbMoveset!A2:B112,2,FALSE)="Blunt",Backdoors!AZ3/100,Backdoors!BA3/100)),"")</f>
        <v>0.8</v>
      </c>
      <c r="C61" s="49">
        <f>IFERROR(IF(VLOOKUP(tbMoveset!A61,tbMoveset!A2:H112,8,FALSE)="Other",IF(VLOOKUP(tbMoveset!A61,tbMoveset!A2:I112,9,FALSE)="Fire",Backdoors!BB3,IF(VLOOKUP(tbMoveset!A61,tbMoveset!A2:I112,9,FALSE)="Water",Backdoors!BC3,IF(VLOOKUP(tbMoveset!A61,tbMoveset!A2:I112,9,FALSE)="Thunder",Backdoors!BD3,IF(VLOOKUP(tbMoveset!A61,tbMoveset!A2:I112,9,FALSE)="Ice",Backdoors!BE3,IF(VLOOKUP(tbMoveset!A61,tbMoveset!A2:I112,9,FALSE)="Dragon",Backdoors!BF3,Backdoors!BG3)))))/100,Backdoors!BG3/100),"")</f>
        <v>0</v>
      </c>
      <c r="D61" s="49">
        <f>IFERROR(IF(VLOOKUP(A61,tbMoveset!A2:J112,10,FALSE)=TRUE,IF((Backdoors!AI12+IF(B61&gt;=0.45,VLOOKUP(Calculator!E23,tbSkills!DH3:DI6,2,FALSE)+IF(AND(Calculator!B8=TRUE,Backdoors!BI3=TRUE),VLOOKUP(Calculator!E23,tbSkills!DH3:DJ6,3,FALSE),0),0))&gt;=0,1+(Backdoors!AL2*(IF((Backdoors!AI12+IF(B61&gt;=0.45,VLOOKUP(Calculator!E23,tbSkills!DH3:DI6,2,FALSE)+IF(AND(Calculator!B8=TRUE,Backdoors!BI3=TRUE),VLOOKUP(Calculator!E23,tbSkills!DH3:DJ6,3,FALSE),0),0))&gt;=100,100,(Backdoors!AI12+IF(B61&gt;=0.45,VLOOKUP(Calculator!E23,tbSkills!DH3:DI6,2,FALSE)+IF(AND(Calculator!B8=TRUE,Backdoors!BI3=TRUE),VLOOKUP(Calculator!E23,tbSkills!DH3:DJ6,3,FALSE),0),0)))/100)),(1-(0.25*((-Backdoors!AI12-IF(B61&gt;=0.45,VLOOKUP(Calculator!E23,tbSkills!DH3:DI6,2,FALSE)+IF(AND(Calculator!B8=TRUE,Backdoors!BI3=TRUE),VLOOKUP(Calculator!E23,tbSkills!DH3:DJ6,3,FALSE),0),0))/100)))),1),"")</f>
        <v>1</v>
      </c>
      <c r="E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61)*D61)*(VLOOKUP(A61,tbMoveset!A2:C112,3,FALSE)/100)*IF(VLOOKUP(A61,tbMoveset!A2:B112,2,FALSE)="Projectile",Backdoors!N10,Backdoors!N9),0),"")</f>
        <v>6</v>
      </c>
      <c r="F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61&gt;=0.45,VLOOKUP(Calculator!E23,tbSkills!DH3:DI6,2,FALSE)+IF(AND(Calculator!B8=TRUE,Backdoors!BI3=TRUE),VLOOKUP(Calculator!E23,tbSkills!DH3:DJ6,3,FALSE),0),0))&gt;=100,100,(Backdoors!AI12+IF(B61&gt;=0.45,VLOOKUP(Calculator!E23,tbSkills!DH3:DI6,2,FALSE)+IF(AND(Calculator!B8=TRUE,Backdoors!BI3=TRUE),VLOOKUP(Calculator!E23,tbSkills!DH3:DJ6,3,FALSE),0),0)))/100)),1))*IF(VLOOKUP(A61,tbMoveset!A2:K112,11,FALSE)=TRUE,Backdoors!AC5,1))*C61,0),"")</f>
        <v>0</v>
      </c>
      <c r="G61">
        <f>VLOOKUP(A61,tbMoveset!A2:G112,7,FALSE)*IFERROR(IF(Backdoors!AI12&gt;=0,1+(IF(Calculator!E40&gt;0,VLOOKUP(Calculator!E40,tbSkills!AI3:AJ5,2,FALSE),Backdoors!AL4)*(IF((Backdoors!AI12+IF(B61&gt;=0.45,VLOOKUP(Calculator!E23,tbSkills!DH3:DI6,2,FALSE)+IF(AND(Calculator!B8=TRUE,Backdoors!BI3=TRUE),VLOOKUP(Calculator!E23,tbSkills!DH3:DJ6,3,FALSE),0),0))&gt;=100,100,(Backdoors!AI12+IF(B61&gt;=0.45,VLOOKUP(Calculator!E23,tbSkills!DH3:DI6,2,FALSE)+IF(AND(Calculator!B8=TRUE,Backdoors!BI3=TRUE),VLOOKUP(Calculator!E23,tbSkills!DH3:DJ6,3,FALSE),0),0)))/100)),1),1)</f>
        <v>0.5</v>
      </c>
      <c r="H61" s="87">
        <f t="shared" si="44"/>
        <v>6</v>
      </c>
      <c r="I61" s="86">
        <f>IFERROR(IF(VLOOKUP(A61,tbMoveset!A2:B112,2,FALSE)="Sever",Backdoors!AY4/100,IF(VLOOKUP(A61,tbMoveset!A2:B112,2,FALSE)="Blunt",Backdoors!AZ4/100,Backdoors!BA4/100)),"")</f>
        <v>0.65</v>
      </c>
      <c r="J61" s="49">
        <f>IFERROR(IF(VLOOKUP(tbMoveset!A61,tbMoveset!A2:H112,8,FALSE)="Other",IF(VLOOKUP(tbMoveset!A61,tbMoveset!A2:I112,9,FALSE)="Fire",Backdoors!BB4,IF(VLOOKUP(tbMoveset!A61,tbMoveset!A2:I112,9,FALSE)="Water",Backdoors!BC4,IF(VLOOKUP(tbMoveset!A61,tbMoveset!A2:I112,9,FALSE)="Thunder",Backdoors!BD4,IF(VLOOKUP(tbMoveset!A61,tbMoveset!A2:I112,9,FALSE)="Ice",Backdoors!BE4,IF(VLOOKUP(tbMoveset!A61,tbMoveset!A2:I112,9,FALSE)="Dragon",Backdoors!BF4,Backdoors!BG4)))))/100,Backdoors!BG4/100),"")</f>
        <v>0</v>
      </c>
      <c r="K61" s="49">
        <f>IFERROR(IF(VLOOKUP(A61,tbMoveset!A2:J112,10,FALSE)=TRUE,IF((Backdoors!AI12+IF(I61&gt;=0.45,VLOOKUP(Calculator!E23,tbSkills!DH3:DI6,2,FALSE)+IF(AND(Calculator!B8=TRUE,Backdoors!BI4=TRUE),VLOOKUP(Calculator!E23,tbSkills!DH3:DJ6,3,FALSE),0),0))&gt;=0,1+(Backdoors!AL2*(IF((Backdoors!AI12+IF(I61&gt;=0.45,VLOOKUP(Calculator!E23,tbSkills!DH3:DI6,2,FALSE)+IF(AND(Calculator!B8=TRUE,Backdoors!BI4=TRUE),VLOOKUP(Calculator!E23,tbSkills!DH3:DJ6,3,FALSE),0),0))&gt;=100,100,(Backdoors!AI12+IF(I61&gt;=0.45,VLOOKUP(Calculator!E23,tbSkills!DH3:DI6,2,FALSE)+IF(AND(Calculator!B8=TRUE,Backdoors!BI4=TRUE),VLOOKUP(Calculator!E23,tbSkills!DH3:DJ6,3,FALSE),0),0)))/100)),(1-(0.25*((-Backdoors!AI12-IF(I61&gt;=0.45,VLOOKUP(Calculator!E23,tbSkills!DH3:DI6,2,FALSE)+IF(AND(Calculator!B8=TRUE,Backdoors!BI4=TRUE),VLOOKUP(Calculator!E23,tbSkills!DH3:DJ6,3,FALSE),0),0))/100)))),1),"")</f>
        <v>1</v>
      </c>
      <c r="L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61)*K61)*(VLOOKUP(A61,tbMoveset!A2:C112,3,FALSE)/100)*IF(VLOOKUP(A61,tbMoveset!A2:B112,2,FALSE)="Projectile",Backdoors!N10,Backdoors!N9),0),"")</f>
        <v>5</v>
      </c>
      <c r="M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I61&gt;=0.45,VLOOKUP(Calculator!E23,tbSkills!DH3:DI6,2,FALSE)+IF(AND(Calculator!B8=TRUE,Backdoors!BI4=TRUE),VLOOKUP(Calculator!E23,tbSkills!DH3:DJ6,3,FALSE),0),0))&gt;=100,100,(Backdoors!AI12+IF(I61&gt;=0.45,VLOOKUP(Calculator!E23,tbSkills!DH3:DI6,2,FALSE)+IF(AND(Calculator!B8=TRUE,Backdoors!BI4=TRUE),VLOOKUP(Calculator!E23,tbSkills!DH3:DJ6,3,FALSE),0),0)))/100)),1))*IF(VLOOKUP(A61,tbMoveset!A2:K112,11,FALSE)=TRUE,Backdoors!AC5,1))*J61,0),"")</f>
        <v>0</v>
      </c>
      <c r="N61" s="49">
        <f>VLOOKUP(A61,tbMoveset!A2:G112,7,FALSE)*IFERROR(IF(Backdoors!AI12&gt;=0,1+(IF(Calculator!E40&gt;0,VLOOKUP(Calculator!E40,tbSkills!AI3:AJ5,2,FALSE),Backdoors!AL4)*(IF((Backdoors!AI12+IF(I61&gt;=0.45,VLOOKUP(Calculator!E23,tbSkills!DH3:DI6,2,FALSE)+IF(AND(Calculator!B8=TRUE,Backdoors!BI4=TRUE),VLOOKUP(Calculator!E23,tbSkills!DH3:DJ6,3,FALSE),0),0))&gt;=100,100,(Backdoors!AI12+IF(I61&gt;=0.45,VLOOKUP(Calculator!E23,tbSkills!DH3:DI6,2,FALSE)+IF(AND(Calculator!B8=TRUE,Backdoors!BI4=TRUE),VLOOKUP(Calculator!E23,tbSkills!DH3:DJ6,3,FALSE),0),0)))/100)),1),1)</f>
        <v>0.5</v>
      </c>
      <c r="O61" s="87">
        <f t="shared" si="45"/>
        <v>5</v>
      </c>
      <c r="P61" s="86">
        <f>IFERROR(IF(VLOOKUP(A61,tbMoveset!A2:B112,2,FALSE)="Sever",Backdoors!AY5/100,IF(VLOOKUP(A61,tbMoveset!A2:B112,2,FALSE)="Blunt",Backdoors!AZ5/100,Backdoors!BA5/100)),"")</f>
        <v>0.5</v>
      </c>
      <c r="Q61" s="49">
        <f>IFERROR(IF(VLOOKUP(tbMoveset!A61,tbMoveset!A2:H112,8,FALSE)="Other",IF(VLOOKUP(tbMoveset!A61,tbMoveset!A2:I112,9,FALSE)="Fire",Backdoors!BB5,IF(VLOOKUP(tbMoveset!A61,tbMoveset!A2:I112,9,FALSE)="Water",Backdoors!BC5,IF(VLOOKUP(tbMoveset!A61,tbMoveset!A2:I112,9,FALSE)="Thunder",Backdoors!BD5,IF(VLOOKUP(tbMoveset!A61,tbMoveset!A2:I112,9,FALSE)="Ice",Backdoors!BE5,IF(VLOOKUP(tbMoveset!A61,tbMoveset!A2:I112,9,FALSE)="Dragon",Backdoors!BF5,Backdoors!BG5)))))/100,Backdoors!BG5/100),"")</f>
        <v>0</v>
      </c>
      <c r="R61" s="49">
        <f>IFERROR(IF(VLOOKUP(A61,tbMoveset!A2:J112,10,FALSE)=TRUE,IF((Backdoors!AI12+IF(P61&gt;=0.45,VLOOKUP(Calculator!E23,tbSkills!DH3:DI6,2,FALSE)+IF(AND(Calculator!B8=TRUE,Backdoors!BI5=TRUE),VLOOKUP(Calculator!E23,tbSkills!DH3:DJ6,3,FALSE),0),0))&gt;=0,1+(Backdoors!AL2*(IF((Backdoors!AI12+IF(P61&gt;=0.45,VLOOKUP(Calculator!E23,tbSkills!DH3:DI6,2,FALSE)+IF(AND(Calculator!B8=TRUE,Backdoors!BI5=TRUE),VLOOKUP(Calculator!E23,tbSkills!DH3:DJ6,3,FALSE),0),0))&gt;=100,100,(Backdoors!AI12+IF(P61&gt;=0.45,VLOOKUP(Calculator!E23,tbSkills!DH3:DI6,2,FALSE)+IF(AND(Calculator!B8=TRUE,Backdoors!BI5=TRUE),VLOOKUP(Calculator!E23,tbSkills!DH3:DJ6,3,FALSE),0),0)))/100)),(1-(0.25*((-Backdoors!AI12-IF(P61&gt;=0.45,VLOOKUP(Calculator!E23,tbSkills!DH3:DI6,2,FALSE)+IF(AND(Calculator!B8=TRUE,Backdoors!BI5=TRUE),VLOOKUP(Calculator!E23,tbSkills!DH3:DJ6,3,FALSE),0),0))/100)))),1),"")</f>
        <v>1</v>
      </c>
      <c r="S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P61)*R61)*(VLOOKUP(A61,tbMoveset!A2:C112,3,FALSE)/100)*IF(VLOOKUP(A61,tbMoveset!A2:B112,2,FALSE)="Projectile",Backdoors!N10,Backdoors!N9),0),"")</f>
        <v>4</v>
      </c>
      <c r="T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P61&gt;=0.45,VLOOKUP(Calculator!E23,tbSkills!DH3:DI6,2,FALSE)+IF(AND(Calculator!B8=TRUE,Backdoors!BI5=TRUE),VLOOKUP(Calculator!E23,tbSkills!DH3:DJ6,3,FALSE),0),0))&gt;=100,100,(Backdoors!AI12+IF(P61&gt;=0.45,VLOOKUP(Calculator!E23,tbSkills!DH3:DI6,2,FALSE)+IF(AND(Calculator!B8=TRUE,Backdoors!BI5=TRUE),VLOOKUP(Calculator!E23,tbSkills!DH3:DJ6,3,FALSE),0),0)))/100)),1))*IF(VLOOKUP(A61,tbMoveset!A2:K112,11,FALSE)=TRUE,Backdoors!AC5,1))*Q61,0),"")</f>
        <v>0</v>
      </c>
      <c r="U61" s="49">
        <f>VLOOKUP(A61,tbMoveset!A2:G112,7,FALSE)*IFERROR(IF(Backdoors!AI12&gt;=0,1+(IF(Calculator!E40&gt;0,VLOOKUP(Calculator!E40,tbSkills!AI3:AJ5,2,FALSE),Backdoors!AL4)*(IF((Backdoors!AI12+IF(P61&gt;=0.45,VLOOKUP(Calculator!E23,tbSkills!DH3:DI6,2,FALSE)+IF(AND(Calculator!B8=TRUE,Backdoors!BI5=TRUE),VLOOKUP(Calculator!E23,tbSkills!DH3:DJ6,3,FALSE),0),0))&gt;=100,100,(Backdoors!AI12+IF(P61&gt;=0.45,VLOOKUP(Calculator!E23,tbSkills!DH3:DI6,2,FALSE)+IF(AND(Calculator!B8=TRUE,Backdoors!BI5=TRUE),VLOOKUP(Calculator!E23,tbSkills!DH3:DJ6,3,FALSE),0),0)))/100)),1),1)</f>
        <v>0.5</v>
      </c>
      <c r="V61" s="87">
        <f t="shared" si="46"/>
        <v>4</v>
      </c>
      <c r="W61" s="86">
        <f>IFERROR(IF(VLOOKUP(A61,tbMoveset!A2:B112,2,FALSE)="Sever",Backdoors!AY6/100,IF(VLOOKUP(A61,tbMoveset!A2:B112,2,FALSE)="Blunt",Backdoors!AZ6/100,Backdoors!BA6/100)),"")</f>
        <v>0.45</v>
      </c>
      <c r="X61" s="49">
        <f>IFERROR(IF(VLOOKUP(tbMoveset!A61,tbMoveset!A2:H112,8,FALSE)="Other",IF(VLOOKUP(tbMoveset!A61,tbMoveset!A2:I112,9,FALSE)="Fire",Backdoors!BB6,IF(VLOOKUP(tbMoveset!A61,tbMoveset!A2:I112,9,FALSE)="Water",Backdoors!BC6,IF(VLOOKUP(tbMoveset!A61,tbMoveset!A2:I112,9,FALSE)="Thunder",Backdoors!BD6,IF(VLOOKUP(tbMoveset!A61,tbMoveset!A2:I112,9,FALSE)="Ice",Backdoors!BE6,IF(VLOOKUP(tbMoveset!A61,tbMoveset!A2:I112,9,FALSE)="Dragon",Backdoors!BF6,Backdoors!BG6)))))/100,Backdoors!BG6/100),"")</f>
        <v>0</v>
      </c>
      <c r="Y61" s="49">
        <f>IFERROR(IF(VLOOKUP(A61,tbMoveset!A2:J112,10,FALSE)=TRUE,IF((Backdoors!AI12+IF(W61&gt;=0.45,VLOOKUP(Calculator!E23,tbSkills!DH3:DI6,2,FALSE)+IF(AND(Calculator!B8=TRUE,Backdoors!BI6=TRUE),VLOOKUP(Calculator!E23,tbSkills!DH3:DJ6,3,FALSE),0),0))&gt;=0,1+(Backdoors!AL2*(IF((Backdoors!AI12+IF(W61&gt;=0.45,VLOOKUP(Calculator!E23,tbSkills!DH3:DI6,2,FALSE)+IF(AND(Calculator!B8=TRUE,Backdoors!BI6=TRUE),VLOOKUP(Calculator!E23,tbSkills!DH3:DJ6,3,FALSE),0),0))&gt;=100,100,(Backdoors!AI12+IF(W61&gt;=0.45,VLOOKUP(Calculator!E23,tbSkills!DH3:DI6,2,FALSE)+IF(AND(Calculator!B8=TRUE,Backdoors!BI6=TRUE),VLOOKUP(Calculator!E23,tbSkills!DH3:DJ6,3,FALSE),0),0)))/100)),(1-(0.25*((-Backdoors!AI12-IF(W61&gt;=0.45,VLOOKUP(Calculator!E23,tbSkills!DH3:DI6,2,FALSE)+IF(AND(Calculator!B8=TRUE,Backdoors!BI6=TRUE),VLOOKUP(Calculator!E23,tbSkills!DH3:DJ6,3,FALSE),0),0))/100)))),1),"")</f>
        <v>1</v>
      </c>
      <c r="Z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W61)*Y61)*(VLOOKUP(A61,tbMoveset!A2:C112,3,FALSE)/100)*IF(VLOOKUP(A61,tbMoveset!A2:B112,2,FALSE)="Projectile",Backdoors!N10,Backdoors!N9),0),"")</f>
        <v>3</v>
      </c>
      <c r="AA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W61&gt;=0.45,VLOOKUP(Calculator!E23,tbSkills!DH3:DI6,2,FALSE)+IF(AND(Calculator!B8=TRUE,Backdoors!BI6=TRUE),VLOOKUP(Calculator!E23,tbSkills!DH3:DJ6,3,FALSE),0),0))&gt;=100,100,(Backdoors!AI12+IF(W61&gt;=0.45,VLOOKUP(Calculator!E23,tbSkills!DH3:DI6,2,FALSE)+IF(AND(Calculator!B8=TRUE,Backdoors!BI6=TRUE),VLOOKUP(Calculator!E23,tbSkills!DH3:DJ6,3,FALSE),0),0)))/100)),1))*IF(VLOOKUP(A61,tbMoveset!A2:K112,11,FALSE)=TRUE,Backdoors!AC5,1))*X61,0),"")</f>
        <v>0</v>
      </c>
      <c r="AB61" s="49">
        <f>VLOOKUP(A61,tbMoveset!A2:G112,7,FALSE)*IFERROR(IF(Backdoors!AI12&gt;=0,1+(IF(Calculator!E40&gt;0,VLOOKUP(Calculator!E40,tbSkills!AI3:AJ5,2,FALSE),Backdoors!AL4)*(IF((Backdoors!AI12+IF(W61&gt;=0.45,VLOOKUP(Calculator!E23,tbSkills!DH3:DI6,2,FALSE)+IF(AND(Calculator!B8=TRUE,Backdoors!BI6=TRUE),VLOOKUP(Calculator!E23,tbSkills!DH3:DJ6,3,FALSE),0),0))&gt;=100,100,(Backdoors!AI12+IF(W61&gt;=0.45,VLOOKUP(Calculator!E23,tbSkills!DH3:DI6,2,FALSE)+IF(AND(Calculator!B8=TRUE,Backdoors!BI6=TRUE),VLOOKUP(Calculator!E23,tbSkills!DH3:DJ6,3,FALSE),0),0)))/100)),1),1)</f>
        <v>0.5</v>
      </c>
      <c r="AC61" s="87">
        <f t="shared" si="47"/>
        <v>3</v>
      </c>
      <c r="AD61" s="86">
        <f>IFERROR(IF(VLOOKUP(A61,tbMoveset!A2:B112,2,FALSE)="Sever",Backdoors!AY7/100,IF(VLOOKUP(A61,tbMoveset!A2:B112,2,FALSE)="Blunt",Backdoors!AZ7/100,Backdoors!BA7/100)),"")</f>
        <v>0.65</v>
      </c>
      <c r="AE61" s="49">
        <f>IFERROR(IF(VLOOKUP(tbMoveset!A61,tbMoveset!A2:H112,8,FALSE)="Other",IF(VLOOKUP(tbMoveset!A61,tbMoveset!A2:I112,9,FALSE)="Fire",Backdoors!BB7,IF(VLOOKUP(tbMoveset!A61,tbMoveset!A2:I112,9,FALSE)="Water",Backdoors!BC7,IF(VLOOKUP(tbMoveset!A61,tbMoveset!A2:I112,9,FALSE)="Thunder",Backdoors!BD7,IF(VLOOKUP(tbMoveset!A61,tbMoveset!A2:I112,9,FALSE)="Ice",Backdoors!BE7,IF(VLOOKUP(tbMoveset!A61,tbMoveset!A2:I112,9,FALSE)="Dragon",Backdoors!BF7,Backdoors!BG7)))))/100,Backdoors!BG7/100),"")</f>
        <v>0</v>
      </c>
      <c r="AF61" s="49">
        <f>IFERROR(IF(VLOOKUP(A61,tbMoveset!A2:J112,10,FALSE)=TRUE,IF((Backdoors!AI12+IF(AD61&gt;=0.45,VLOOKUP(Calculator!E23,tbSkills!DH3:DI6,2,FALSE)+IF(AND(Calculator!B8=TRUE,Backdoors!BI7=TRUE),VLOOKUP(Calculator!E23,tbSkills!DH3:DJ6,3,FALSE),0),0))&gt;=0,1+(Backdoors!AL2*(IF((Backdoors!AI12+IF(AD61&gt;=0.45,VLOOKUP(Calculator!E23,tbSkills!DH3:DI6,2,FALSE)+IF(AND(Calculator!B8=TRUE,Backdoors!BI7=TRUE),VLOOKUP(Calculator!E23,tbSkills!DH3:DJ6,3,FALSE),0),0))&gt;=100,100,(Backdoors!AI12+IF(AD61&gt;=0.45,VLOOKUP(Calculator!E23,tbSkills!DH3:DI6,2,FALSE)+IF(AND(Calculator!B8=TRUE,Backdoors!BI7=TRUE),VLOOKUP(Calculator!E23,tbSkills!DH3:DJ6,3,FALSE),0),0)))/100)),(1-(0.25*((-Backdoors!AI12-IF(AD61&gt;=0.45,VLOOKUP(Calculator!E23,tbSkills!DH3:DI6,2,FALSE)+IF(AND(Calculator!B8=TRUE,Backdoors!BI7=TRUE),VLOOKUP(Calculator!E23,tbSkills!DH3:DJ6,3,FALSE),0),0))/100)))),1),"")</f>
        <v>1</v>
      </c>
      <c r="AG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D61)*AF61)*(VLOOKUP(A61,tbMoveset!A2:C112,3,FALSE)/100)*IF(VLOOKUP(A61,tbMoveset!A2:B112,2,FALSE)="Projectile",Backdoors!N10,Backdoors!N9),0),"")</f>
        <v>5</v>
      </c>
      <c r="AH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D61&gt;=0.45,VLOOKUP(Calculator!E23,tbSkills!DH3:DI6,2,FALSE)+IF(AND(Calculator!B8=TRUE,Backdoors!BI7=TRUE),VLOOKUP(Calculator!E23,tbSkills!DH3:DJ6,3,FALSE),0),0))&gt;=100,100,(Backdoors!AI12+IF(AD61&gt;=0.45,VLOOKUP(Calculator!E23,tbSkills!DH3:DI6,2,FALSE)+IF(AND(Calculator!B8=TRUE,Backdoors!BI7=TRUE),VLOOKUP(Calculator!E23,tbSkills!DH3:DJ6,3,FALSE),0),0)))/100)),1))*IF(VLOOKUP(A61,tbMoveset!A2:K112,11,FALSE)=TRUE,Backdoors!AC5,1))*AE61,0),"")</f>
        <v>0</v>
      </c>
      <c r="AI61" s="49">
        <f>VLOOKUP(A61,tbMoveset!A2:G112,7,FALSE)*IFERROR(IF(Backdoors!AI12&gt;=0,1+(IF(Calculator!E40&gt;0,VLOOKUP(Calculator!E40,tbSkills!AI3:AJ5,2,FALSE),Backdoors!AL4)*(IF((Backdoors!AI12+IF(AD61&gt;=0.45,VLOOKUP(Calculator!E23,tbSkills!DH3:DI6,2,FALSE)+IF(AND(Calculator!B8=TRUE,Backdoors!BI7=TRUE),VLOOKUP(Calculator!E23,tbSkills!DH3:DJ6,3,FALSE),0),0))&gt;=100,100,(Backdoors!AI12+IF(AD61&gt;=0.45,VLOOKUP(Calculator!E23,tbSkills!DH3:DI6,2,FALSE)+IF(AND(Calculator!B8=TRUE,Backdoors!BI7=TRUE),VLOOKUP(Calculator!E23,tbSkills!DH3:DJ6,3,FALSE),0),0)))/100)),1),1)</f>
        <v>0.5</v>
      </c>
      <c r="AJ61" s="87">
        <f t="shared" si="48"/>
        <v>5</v>
      </c>
      <c r="AK61" s="91">
        <f>IFERROR(IF(VLOOKUP(A61,tbMoveset!A2:B112,2,FALSE)="Sever",Backdoors!AY8/100,IF(VLOOKUP(A61,tbMoveset!A2:B112,2,FALSE)="Blunt",Backdoors!AZ8/100,Backdoors!BA8/100)),"")</f>
        <v>0.45</v>
      </c>
      <c r="AL61" s="49">
        <f>IFERROR(IF(VLOOKUP(tbMoveset!A61,tbMoveset!A2:H112,8,FALSE)="Other",IF(VLOOKUP(tbMoveset!A61,tbMoveset!A2:I112,9,FALSE)="Fire",Backdoors!BB8,IF(VLOOKUP(tbMoveset!A61,tbMoveset!A2:I112,9,FALSE)="Water",Backdoors!BC8,IF(VLOOKUP(tbMoveset!A61,tbMoveset!A2:I112,9,FALSE)="Thunder",Backdoors!BD8,IF(VLOOKUP(tbMoveset!A61,tbMoveset!A2:I112,9,FALSE)="Ice",Backdoors!BE8,IF(VLOOKUP(tbMoveset!A61,tbMoveset!A2:I112,9,FALSE)="Dragon",Backdoors!BF8,Backdoors!BG8)))))/100,Backdoors!BG8/100),"")</f>
        <v>0</v>
      </c>
      <c r="AM61" s="49">
        <f>IFERROR(IF(VLOOKUP(A61,tbMoveset!A2:J112,10,FALSE)=TRUE,IF((Backdoors!AI12+IF(AK61&gt;=0.45,VLOOKUP(Calculator!E23,tbSkills!DH3:DI6,2,FALSE)+IF(AND(Calculator!B8=TRUE,Backdoors!BI8=TRUE),VLOOKUP(Calculator!E23,tbSkills!DH3:DJ6,3,FALSE),0),0))&gt;=0,1+(Backdoors!AL2*(IF((Backdoors!AI12+IF(AK61&gt;=0.45,VLOOKUP(Calculator!E23,tbSkills!DH3:DI6,2,FALSE)+IF(AND(Calculator!B8=TRUE,Backdoors!BI8=TRUE),VLOOKUP(Calculator!E23,tbSkills!DH3:DJ6,3,FALSE),0),0))&gt;=100,100,(Backdoors!AI12+IF(AK61&gt;=0.45,VLOOKUP(Calculator!E23,tbSkills!DH3:DI6,2,FALSE)+IF(AND(Calculator!B8=TRUE,Backdoors!BI8=TRUE),VLOOKUP(Calculator!E23,tbSkills!DH3:DJ6,3,FALSE),0),0)))/100)),(1-(0.25*((-Backdoors!AI12-IF(AK61&gt;=0.45,VLOOKUP(Calculator!E23,tbSkills!DH3:DI6,2,FALSE)+IF(AND(Calculator!B8=TRUE,Backdoors!BI8=TRUE),VLOOKUP(Calculator!E23,tbSkills!DH3:DJ6,3,FALSE),0),0))/100)))),1),"")</f>
        <v>1</v>
      </c>
      <c r="AN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K61)*AM61)*(VLOOKUP(A61,tbMoveset!A2:C112,3,FALSE)/100)*IF(VLOOKUP(A61,tbMoveset!A2:B112,2,FALSE)="Projectile",Backdoors!N10,Backdoors!N9),0),"")</f>
        <v>3</v>
      </c>
      <c r="AO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K61&gt;=0.45,VLOOKUP(Calculator!E23,tbSkills!DH3:DI6,2,FALSE)+IF(AND(Calculator!B8=TRUE,Backdoors!BI8=TRUE),VLOOKUP(Calculator!E23,tbSkills!DH3:DJ6,3,FALSE),0),0))&gt;=100,100,(Backdoors!AI12+IF(AK61&gt;=0.45,VLOOKUP(Calculator!E23,tbSkills!DH3:DI6,2,FALSE)+IF(AND(Calculator!B8=TRUE,Backdoors!BI8=TRUE),VLOOKUP(Calculator!E23,tbSkills!DH3:DJ6,3,FALSE),0),0)))/100)),1))*IF(VLOOKUP(A61,tbMoveset!A2:K112,11,FALSE)=TRUE,Backdoors!AC5,1))*AL61,0),"")</f>
        <v>0</v>
      </c>
      <c r="AP61" s="49">
        <f>VLOOKUP(A61,tbMoveset!A2:G112,7,FALSE)*IFERROR(IF(Backdoors!AI12&gt;=0,1+(IF(Calculator!E40&gt;0,VLOOKUP(Calculator!E40,tbSkills!AI3:AJ5,2,FALSE),Backdoors!AL4)*(IF((Backdoors!AI12+IF(AK61&gt;=0.45,VLOOKUP(Calculator!E23,tbSkills!DH3:DI6,2,FALSE)+IF(AND(Calculator!B8=TRUE,Backdoors!BI8=TRUE),VLOOKUP(Calculator!E23,tbSkills!DH3:DJ6,3,FALSE),0),0))&gt;=100,100,(Backdoors!AI12+IF(AK61&gt;=0.45,VLOOKUP(Calculator!E23,tbSkills!DH3:DI6,2,FALSE)+IF(AND(Calculator!B8=TRUE,Backdoors!BI8=TRUE),VLOOKUP(Calculator!E23,tbSkills!DH3:DJ6,3,FALSE),0),0)))/100)),1),1)</f>
        <v>0.5</v>
      </c>
      <c r="AQ61" s="87">
        <f t="shared" si="49"/>
        <v>3</v>
      </c>
      <c r="AR61" s="86">
        <f>IFERROR(IF(VLOOKUP(A61,tbMoveset!A2:B112,2,FALSE)="Sever",Backdoors!AY9/100,IF(VLOOKUP(A61,tbMoveset!A2:B112,2,FALSE)="Blunt",Backdoors!AZ9/100,Backdoors!BA9/100)),"")</f>
        <v>0.45</v>
      </c>
      <c r="AS61" s="49">
        <f>IFERROR(IF(VLOOKUP(tbMoveset!A61,tbMoveset!A2:H112,8,FALSE)="Other",IF(VLOOKUP(tbMoveset!A61,tbMoveset!A2:I112,9,FALSE)="Fire",Backdoors!BB9,IF(VLOOKUP(tbMoveset!A61,tbMoveset!A2:I112,9,FALSE)="Water",Backdoors!BC9,IF(VLOOKUP(tbMoveset!A61,tbMoveset!A2:I112,9,FALSE)="Thunder",Backdoors!BD9,IF(VLOOKUP(tbMoveset!A61,tbMoveset!A2:I112,9,FALSE)="Ice",Backdoors!BE9,IF(VLOOKUP(tbMoveset!A61,tbMoveset!A2:I112,9,FALSE)="Dragon",Backdoors!BF9,Backdoors!BG9)))))/100,Backdoors!BG9/100),"")</f>
        <v>0</v>
      </c>
      <c r="AT61" s="49">
        <f>IFERROR(IF(VLOOKUP(A61,tbMoveset!A2:J112,10,FALSE)=TRUE,IF((Backdoors!AI12+IF(AR61&gt;=0.45,VLOOKUP(Calculator!E23,tbSkills!DH3:DI6,2,FALSE)+IF(AND(Calculator!B8=TRUE,Backdoors!BI9=TRUE),VLOOKUP(Calculator!E23,tbSkills!DH3:DJ6,3,FALSE),0),0))&gt;=0,1+(Backdoors!AL2*(IF((Backdoors!AI12+IF(AR61&gt;=0.45,VLOOKUP(Calculator!E23,tbSkills!DH3:DI6,2,FALSE)+IF(AND(Calculator!B8=TRUE,Backdoors!BI9=TRUE),VLOOKUP(Calculator!E23,tbSkills!DH3:DJ6,3,FALSE),0),0))&gt;=100,100,(Backdoors!AI12+IF(AR61&gt;=0.45,VLOOKUP(Calculator!E23,tbSkills!DH3:DI6,2,FALSE)+IF(AND(Calculator!B8=TRUE,Backdoors!BI9=TRUE),VLOOKUP(Calculator!E23,tbSkills!DH3:DJ6,3,FALSE),0),0)))/100)),(1-(0.25*((-Backdoors!AI12-IF(AR61&gt;=0.45,VLOOKUP(Calculator!E23,tbSkills!DH3:DI6,2,FALSE)+IF(AND(Calculator!B8=TRUE,Backdoors!BI9=TRUE),VLOOKUP(Calculator!E23,tbSkills!DH3:DJ6,3,FALSE),0),0))/100)))),1),"")</f>
        <v>1</v>
      </c>
      <c r="AU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R61)*AT61)*(VLOOKUP(A61,tbMoveset!A2:C112,3,FALSE)/100)*IF(VLOOKUP(A61,tbMoveset!A2:B112,2,FALSE)="Projectile",Backdoors!N10,Backdoors!N9),0),"")</f>
        <v>3</v>
      </c>
      <c r="AV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R61&gt;=0.45,VLOOKUP(Calculator!E23,tbSkills!DH3:DI6,2,FALSE)+IF(AND(Calculator!B8=TRUE,Backdoors!BI9=TRUE),VLOOKUP(Calculator!E23,tbSkills!DH3:DJ6,3,FALSE),0),0))&gt;=100,100,(Backdoors!AI12+IF(AR61&gt;=0.45,VLOOKUP(Calculator!E23,tbSkills!DH3:DI6,2,FALSE)+IF(AND(Calculator!B8=TRUE,Backdoors!BI9=TRUE),VLOOKUP(Calculator!E23,tbSkills!DH3:DJ6,3,FALSE),0),0)))/100)),1))*IF(VLOOKUP(A61,tbMoveset!A2:K112,11,FALSE)=TRUE,Backdoors!AC5,1))*AS61,0),"")</f>
        <v>0</v>
      </c>
      <c r="AW61" s="49">
        <f>VLOOKUP(A61,tbMoveset!A2:G112,7,FALSE)*IFERROR(IF(Backdoors!AI12&gt;=0,1+(IF(Calculator!E40&gt;0,VLOOKUP(Calculator!E40,tbSkills!AI3:AJ5,2,FALSE),Backdoors!AL4)*(IF((Backdoors!AI12+IF(AR61&gt;=0.45,VLOOKUP(Calculator!E23,tbSkills!DH3:DI6,2,FALSE)+IF(AND(Calculator!B8=TRUE,Backdoors!BI9=TRUE),VLOOKUP(Calculator!E23,tbSkills!DH3:DJ6,3,FALSE),0),0))&gt;=100,100,(Backdoors!AI12+IF(AR61&gt;=0.45,VLOOKUP(Calculator!E23,tbSkills!DH3:DI6,2,FALSE)+IF(AND(Calculator!B8=TRUE,Backdoors!BI9=TRUE),VLOOKUP(Calculator!E23,tbSkills!DH3:DJ6,3,FALSE),0),0)))/100)),1),1)</f>
        <v>0.5</v>
      </c>
      <c r="AX61" s="87">
        <f t="shared" si="50"/>
        <v>3</v>
      </c>
      <c r="AY61" s="86">
        <f>IFERROR(IF(VLOOKUP(A61,tbMoveset!A2:B112,2,FALSE)="Sever",Backdoors!AY10/100,IF(VLOOKUP(A61,tbMoveset!A2:B112,2,FALSE)="Blunt",Backdoors!AZ10/100,Backdoors!BA10/100)),"")</f>
        <v>0.9</v>
      </c>
      <c r="AZ61" s="49">
        <f>IFERROR(IF(VLOOKUP(tbMoveset!A61,tbMoveset!A2:H112,8,FALSE)="Other",IF(VLOOKUP(tbMoveset!A61,tbMoveset!A2:I112,9,FALSE)="Fire",Backdoors!BB10,IF(VLOOKUP(tbMoveset!A61,tbMoveset!A2:I112,9,FALSE)="Water",Backdoors!BC10,IF(VLOOKUP(tbMoveset!A61,tbMoveset!A2:I112,9,FALSE)="Thunder",Backdoors!BD10,IF(VLOOKUP(tbMoveset!A61,tbMoveset!A2:I112,9,FALSE)="Ice",Backdoors!BE10,IF(VLOOKUP(tbMoveset!A61,tbMoveset!A2:I112,9,FALSE)="Dragon",Backdoors!BF10,Backdoors!BG10)))))/100,Backdoors!BG10/100),"")</f>
        <v>0</v>
      </c>
      <c r="BA61" s="49">
        <f>IFERROR(IF(VLOOKUP(A61,tbMoveset!A2:J112,10,FALSE)=TRUE,IF((Backdoors!AI12+IF(AY61&gt;=0.45,VLOOKUP(Calculator!E23,tbSkills!DH3:DI6,2,FALSE)+IF(AND(Calculator!B8=TRUE,Backdoors!BI10=TRUE),VLOOKUP(Calculator!E23,tbSkills!DH3:DJ6,3,FALSE),0),0))&gt;=0,1+(Backdoors!AL2*(IF((Backdoors!AI12+IF(AY61&gt;=0.45,VLOOKUP(Calculator!E23,tbSkills!DH3:DI6,2,FALSE)+IF(AND(Calculator!B8=TRUE,Backdoors!BI10=TRUE),VLOOKUP(Calculator!E23,tbSkills!DH3:DJ6,3,FALSE),0),0))&gt;=100,100,(Backdoors!AI12+IF(AY61&gt;=0.45,VLOOKUP(Calculator!E23,tbSkills!DH3:DI6,2,FALSE)+IF(AND(Calculator!B8=TRUE,Backdoors!BI10=TRUE),VLOOKUP(Calculator!E23,tbSkills!DH3:DJ6,3,FALSE),0),0)))/100)),(1-(0.25*((-Backdoors!AI12-IF(AY61&gt;=0.45,VLOOKUP(Calculator!E23,tbSkills!DH3:DI6,2,FALSE)+IF(AND(Calculator!B8=TRUE,Backdoors!BI10=TRUE),VLOOKUP(Calculator!E23,tbSkills!DH3:DJ6,3,FALSE),0),0))/100)))),1),"")</f>
        <v>1</v>
      </c>
      <c r="BB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Y61)*BA61)*(VLOOKUP(A61,tbMoveset!A2:C112,3,FALSE)/100)*IF(VLOOKUP(A61,tbMoveset!A2:B112,2,FALSE)="Projectile",Backdoors!N10,Backdoors!N9),0),"")</f>
        <v>7</v>
      </c>
      <c r="BC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Y61&gt;=0.45,VLOOKUP(Calculator!E23,tbSkills!DH3:DI6,2,FALSE)+IF(AND(Calculator!B8=TRUE,Backdoors!BI10=TRUE),VLOOKUP(Calculator!E23,tbSkills!DH3:DJ6,3,FALSE),0),0))&gt;=100,100,(Backdoors!AI12+IF(AY61&gt;=0.45,VLOOKUP(Calculator!E23,tbSkills!DH3:DI6,2,FALSE)+IF(AND(Calculator!B8=TRUE,Backdoors!BI10=TRUE),VLOOKUP(Calculator!E23,tbSkills!DH3:DJ6,3,FALSE),0),0)))/100)),1))*IF(VLOOKUP(A61,tbMoveset!A2:K112,11,FALSE)=TRUE,Backdoors!AC5,1))*AZ61,0),"")</f>
        <v>0</v>
      </c>
      <c r="BD61" s="49">
        <f>VLOOKUP(A61,tbMoveset!A2:G112,7,FALSE)*IFERROR(IF(Backdoors!AI12&gt;=0,1+(IF(Calculator!E40&gt;0,VLOOKUP(Calculator!E40,tbSkills!AI3:AJ5,2,FALSE),Backdoors!AL4)*(IF((Backdoors!AI12+IF(AY61&gt;=0.45,VLOOKUP(Calculator!E23,tbSkills!DH3:DI6,2,FALSE)+IF(AND(Calculator!B8=TRUE,Backdoors!BI10=TRUE),VLOOKUP(Calculator!E23,tbSkills!DH3:DJ6,3,FALSE),0),0))&gt;=100,100,(Backdoors!AI12+IF(AY61&gt;=0.45,VLOOKUP(Calculator!E23,tbSkills!DH3:DI6,2,FALSE)+IF(AND(Calculator!B8=TRUE,Backdoors!BI10=TRUE),VLOOKUP(Calculator!E23,tbSkills!DH3:DJ6,3,FALSE),0),0)))/100)),1),1)</f>
        <v>0.5</v>
      </c>
      <c r="BE61" s="87">
        <f t="shared" si="3"/>
        <v>7</v>
      </c>
      <c r="BF61" s="86" t="str">
        <f>IFERROR(IF(VLOOKUP(A61,tbMoveset!A2:B112,2,FALSE)="Sever",Backdoors!AY11/100,IF(VLOOKUP(A61,tbMoveset!A2:B112,2,FALSE)="Blunt",Backdoors!AZ11/100,Backdoors!BA11/100)),"")</f>
        <v/>
      </c>
      <c r="BG61" s="49">
        <f>IFERROR(IF(VLOOKUP(tbMoveset!A61,tbMoveset!A2:H112,8,FALSE)="Other",IF(VLOOKUP(tbMoveset!A61,tbMoveset!A2:I112,9,FALSE)="Fire",Backdoors!BB11,IF(VLOOKUP(tbMoveset!A61,tbMoveset!A2:I112,9,FALSE)="Water",Backdoors!BC11,IF(VLOOKUP(tbMoveset!A61,tbMoveset!A2:I112,9,FALSE)="Thunder",Backdoors!BD11,IF(VLOOKUP(tbMoveset!A61,tbMoveset!A2:I112,9,FALSE)="Ice",Backdoors!BE11,IF(VLOOKUP(tbMoveset!A61,tbMoveset!A2:I112,9,FALSE)="Dragon",Backdoors!BF11,Backdoors!BG11)))))/100,Backdoors!BG11/100),"")</f>
        <v>0</v>
      </c>
      <c r="BH61" s="49">
        <f>IFERROR(IF(VLOOKUP(A61,tbMoveset!A2:J112,10,FALSE)=TRUE,IF((Backdoors!AI12+IF(BF61&gt;=0.45,VLOOKUP(Calculator!E23,tbSkills!DH3:DI6,2,FALSE)+IF(AND(Calculator!B8=TRUE,Backdoors!BI11=TRUE),VLOOKUP(Calculator!E23,tbSkills!DH3:DJ6,3,FALSE),0),0))&gt;=0,1+(Backdoors!AL2*(IF((Backdoors!AI12+IF(BF61&gt;=0.45,VLOOKUP(Calculator!E23,tbSkills!DH3:DI6,2,FALSE)+IF(AND(Calculator!B8=TRUE,Backdoors!BI11=TRUE),VLOOKUP(Calculator!E23,tbSkills!DH3:DJ6,3,FALSE),0),0))&gt;=100,100,(Backdoors!AI12+IF(BF61&gt;=0.45,VLOOKUP(Calculator!E23,tbSkills!DH3:DI6,2,FALSE)+IF(AND(Calculator!B8=TRUE,Backdoors!BI11=TRUE),VLOOKUP(Calculator!E23,tbSkills!DH3:DJ6,3,FALSE),0),0)))/100)),(1-(0.25*((-Backdoors!AI12-IF(BF61&gt;=0.45,VLOOKUP(Calculator!E23,tbSkills!DH3:DI6,2,FALSE)+IF(AND(Calculator!B8=TRUE,Backdoors!BI11=TRUE),VLOOKUP(Calculator!E23,tbSkills!DH3:DJ6,3,FALSE),0),0))/100)))),1),"")</f>
        <v>1</v>
      </c>
      <c r="BI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F61)*BH61)*(VLOOKUP(A61,tbMoveset!A2:C112,3,FALSE)/100)*IF(VLOOKUP(A61,tbMoveset!A2:B112,2,FALSE)="Projectile",Backdoors!N10,Backdoors!N9),0),"")</f>
        <v/>
      </c>
      <c r="BJ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F61&gt;=0.45,VLOOKUP(Calculator!E23,tbSkills!DH3:DI6,2,FALSE)+IF(AND(Calculator!B8=TRUE,Backdoors!BI11=TRUE),VLOOKUP(Calculator!E23,tbSkills!DH3:DJ6,3,FALSE),0),0))&gt;=100,100,(Backdoors!AI12+IF(BF61&gt;=0.45,VLOOKUP(Calculator!E23,tbSkills!DH3:DI6,2,FALSE)+IF(AND(Calculator!B8=TRUE,Backdoors!BI11=TRUE),VLOOKUP(Calculator!E23,tbSkills!DH3:DJ6,3,FALSE),0),0)))/100)),1))*IF(VLOOKUP(A61,tbMoveset!A2:K112,11,FALSE)=TRUE,Backdoors!AC5,1))*BG61,0),"")</f>
        <v>0</v>
      </c>
      <c r="BK61" s="49">
        <f>VLOOKUP(A61,tbMoveset!A2:G112,7,FALSE)*IFERROR(IF(Backdoors!AI12&gt;=0,1+(IF(Calculator!E40&gt;0,VLOOKUP(Calculator!E40,tbSkills!AI3:AJ5,2,FALSE),Backdoors!AL4)*(IF((Backdoors!AI12+IF(BF61&gt;=0.45,VLOOKUP(Calculator!E23,tbSkills!DH3:DI6,2,FALSE)+IF(AND(Calculator!B8=TRUE,Backdoors!BI11=TRUE),VLOOKUP(Calculator!E23,tbSkills!DH3:DJ6,3,FALSE),0),0))&gt;=100,100,(Backdoors!AI12+IF(BF61&gt;=0.45,VLOOKUP(Calculator!E23,tbSkills!DH3:DI6,2,FALSE)+IF(AND(Calculator!B8=TRUE,Backdoors!BI11=TRUE),VLOOKUP(Calculator!E23,tbSkills!DH3:DJ6,3,FALSE),0),0)))/100)),1),1)</f>
        <v>0.5</v>
      </c>
      <c r="BL61" s="87">
        <f t="shared" si="4"/>
        <v>0</v>
      </c>
      <c r="BM61" s="86" t="str">
        <f>IFERROR(IF(VLOOKUP(A61,tbMoveset!A2:B112,2,FALSE)="Sever",Backdoors!AY12/100,IF(VLOOKUP(A61,tbMoveset!A2:B112,2,FALSE)="Blunt",Backdoors!AZ12/100,Backdoors!BA12/100)),"")</f>
        <v/>
      </c>
      <c r="BN61" s="49">
        <f>IFERROR(IF(VLOOKUP(tbMoveset!A61,tbMoveset!A2:H112,8,FALSE)="Other",IF(VLOOKUP(tbMoveset!A61,tbMoveset!A2:I112,9,FALSE)="Fire",Backdoors!BB12,IF(VLOOKUP(tbMoveset!A61,tbMoveset!A2:I112,9,FALSE)="Water",Backdoors!BC12,IF(VLOOKUP(tbMoveset!A61,tbMoveset!A2:I112,9,FALSE)="Thunder",Backdoors!BD12,IF(VLOOKUP(tbMoveset!A61,tbMoveset!A2:I112,9,FALSE)="Ice",Backdoors!BE12,IF(VLOOKUP(tbMoveset!A61,tbMoveset!A2:I112,9,FALSE)="Dragon",Backdoors!BF12,Backdoors!BG12)))))/100,Backdoors!BG12/100),"")</f>
        <v>0</v>
      </c>
      <c r="BO61" s="49">
        <f>IFERROR(IF(VLOOKUP(A61,tbMoveset!A2:J112,10,FALSE)=TRUE,IF((Backdoors!AI12+IF(BM61&gt;=0.45,VLOOKUP(Calculator!E23,tbSkills!DH3:DI6,2,FALSE)+IF(AND(Calculator!B8=TRUE,Backdoors!BI12=TRUE),VLOOKUP(Calculator!E23,tbSkills!DH3:DJ6,3,FALSE),0),0))&gt;=0,1+(Backdoors!AL2*(IF((Backdoors!AI12+IF(BM61&gt;=0.45,VLOOKUP(Calculator!E23,tbSkills!DH3:DI6,2,FALSE)+IF(AND(Calculator!B8=TRUE,Backdoors!BI12=TRUE),VLOOKUP(Calculator!E23,tbSkills!DH3:DJ6,3,FALSE),0),0))&gt;=100,100,(Backdoors!AI12+IF(BM61&gt;=0.45,VLOOKUP(Calculator!E23,tbSkills!DH3:DI6,2,FALSE)+IF(AND(Calculator!B8=TRUE,Backdoors!BI12=TRUE),VLOOKUP(Calculator!E23,tbSkills!DH3:DJ6,3,FALSE),0),0)))/100)),(1-(0.25*((-Backdoors!AI12-IF(BM61&gt;=0.45,VLOOKUP(Calculator!E23,tbSkills!DH3:DI6,2,FALSE)+IF(AND(Calculator!B8=TRUE,Backdoors!BI12=TRUE),VLOOKUP(Calculator!E23,tbSkills!DH3:DJ6,3,FALSE),0),0))/100)))),1),"")</f>
        <v>1</v>
      </c>
      <c r="BP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M61)*BO61)*(VLOOKUP(A61,tbMoveset!A2:C112,3,FALSE)/100)*IF(VLOOKUP(A61,tbMoveset!A2:B112,2,FALSE)="Projectile",Backdoors!N10,Backdoors!N9),0),"")</f>
        <v/>
      </c>
      <c r="BQ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M61&gt;=0.45,VLOOKUP(Calculator!E23,tbSkills!DH3:DI6,2,FALSE)+IF(AND(Calculator!B8=TRUE,Backdoors!BI12=TRUE),VLOOKUP(Calculator!E23,tbSkills!DH3:DJ6,3,FALSE),0),0))&gt;=100,100,(Backdoors!AI12+IF(BM61&gt;=0.45,VLOOKUP(Calculator!E23,tbSkills!DH3:DI6,2,FALSE)+IF(AND(Calculator!B8=TRUE,Backdoors!BI12=TRUE),VLOOKUP(Calculator!E23,tbSkills!DH3:DJ6,3,FALSE),0),0)))/100)),1))*IF(VLOOKUP(A61,tbMoveset!A2:K112,11,FALSE)=TRUE,Backdoors!AC5,1))*BN61,0),"")</f>
        <v>0</v>
      </c>
      <c r="BR61" s="49">
        <f>VLOOKUP(A61,tbMoveset!A2:G112,7,FALSE)*IFERROR(IF(Backdoors!AI12&gt;=0,1+(IF(Calculator!E40&gt;0,VLOOKUP(Calculator!E40,tbSkills!AI3:AJ5,2,FALSE),Backdoors!AL4)*(IF((Backdoors!AI12+IF(BM61&gt;=0.45,VLOOKUP(Calculator!E23,tbSkills!DH3:DI6,2,FALSE)+IF(AND(Calculator!B8=TRUE,Backdoors!BI12=TRUE),VLOOKUP(Calculator!E23,tbSkills!DH3:DJ6,3,FALSE),0),0))&gt;=100,100,(Backdoors!AI12+IF(BM61&gt;=0.45,VLOOKUP(Calculator!E23,tbSkills!DH3:DI6,2,FALSE)+IF(AND(Calculator!B8=TRUE,Backdoors!BI12=TRUE),VLOOKUP(Calculator!E23,tbSkills!DH3:DJ6,3,FALSE),0),0)))/100)),1),1)</f>
        <v>0.5</v>
      </c>
      <c r="BS61" s="87">
        <f t="shared" si="39"/>
        <v>0</v>
      </c>
      <c r="BT61" s="86" t="str">
        <f>IFERROR(IF(VLOOKUP(A61,tbMoveset!A2:B112,2,FALSE)="Sever",Backdoors!AY13/100,IF(VLOOKUP(A61,tbMoveset!A2:B112,2,FALSE)="Blunt",Backdoors!AZ13/100,Backdoors!BA13/100)),"")</f>
        <v/>
      </c>
      <c r="BU61" s="49">
        <f>IFERROR(IF(VLOOKUP(tbMoveset!A61,tbMoveset!A2:H112,8,FALSE)="Other",IF(VLOOKUP(tbMoveset!A61,tbMoveset!A2:I112,9,FALSE)="Fire",Backdoors!BB13,IF(VLOOKUP(tbMoveset!A61,tbMoveset!A2:I112,9,FALSE)="Water",Backdoors!BC13,IF(VLOOKUP(tbMoveset!A61,tbMoveset!A2:I112,9,FALSE)="Thunder",Backdoors!BD13,IF(VLOOKUP(tbMoveset!A61,tbMoveset!A2:I112,9,FALSE)="Ice",Backdoors!BE13,IF(VLOOKUP(tbMoveset!A61,tbMoveset!A2:I112,9,FALSE)="Dragon",Backdoors!BF13,Backdoors!BG13)))))/100,Backdoors!BG13/100),"")</f>
        <v>0</v>
      </c>
      <c r="BV61" s="49">
        <f>IFERROR(IF(VLOOKUP(A61,tbMoveset!A2:J112,10,FALSE)=TRUE,IF((Backdoors!AI12+IF(BT61&gt;=0.45,VLOOKUP(Calculator!E23,tbSkills!DH3:DI6,2,FALSE)+IF(AND(Calculator!B8=TRUE,Backdoors!BI13=TRUE),VLOOKUP(Calculator!E23,tbSkills!DH3:DJ6,3,FALSE),0),0))&gt;=0,1+(Backdoors!AL2*(IF((Backdoors!AI12+IF(BT61&gt;=0.45,VLOOKUP(Calculator!E23,tbSkills!DH3:DI6,2,FALSE)+IF(AND(Calculator!B8=TRUE,Backdoors!BI13=TRUE),VLOOKUP(Calculator!E23,tbSkills!DH3:DJ6,3,FALSE),0),0))&gt;=100,100,(Backdoors!AI12+IF(BT61&gt;=0.45,VLOOKUP(Calculator!E23,tbSkills!DH3:DI6,2,FALSE)+IF(AND(Calculator!B8=TRUE,Backdoors!BI13=TRUE),VLOOKUP(Calculator!E23,tbSkills!DH3:DJ6,3,FALSE),0),0)))/100)),(1-(0.25*((-Backdoors!AI12-IF(BT61&gt;=0.45,VLOOKUP(Calculator!E23,tbSkills!DH3:DI6,2,FALSE)+IF(AND(Calculator!B8=TRUE,Backdoors!BI13=TRUE),VLOOKUP(Calculator!E23,tbSkills!DH3:DJ6,3,FALSE),0),0))/100)))),1),"")</f>
        <v>1</v>
      </c>
      <c r="BW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T61)*BV61)*(VLOOKUP(A61,tbMoveset!A2:C112,3,FALSE)/100)*IF(VLOOKUP(A61,tbMoveset!A2:B112,2,FALSE)="Projectile",Backdoors!N10,Backdoors!N9),0),"")</f>
        <v/>
      </c>
      <c r="BX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T61&gt;=0.45,VLOOKUP(Calculator!E23,tbSkills!DH3:DI6,2,FALSE)+IF(AND(Calculator!B8=TRUE,Backdoors!BI13=TRUE),VLOOKUP(Calculator!E23,tbSkills!DH3:DJ6,3,FALSE),0),0))&gt;=100,100,(Backdoors!AI12+IF(BT61&gt;=0.45,VLOOKUP(Calculator!E23,tbSkills!DH3:DI6,2,FALSE)+IF(AND(Calculator!B8=TRUE,Backdoors!BI13=TRUE),VLOOKUP(Calculator!E23,tbSkills!DH3:DJ6,3,FALSE),0),0)))/100)),1))*IF(VLOOKUP(A61,tbMoveset!A2:K112,11,FALSE)=TRUE,Backdoors!AC5,1))*BU61,0),"")</f>
        <v>0</v>
      </c>
      <c r="BY61" s="49">
        <f>VLOOKUP(A61,tbMoveset!A2:G112,7,FALSE)*IFERROR(IF(Backdoors!AI12&gt;=0,1+(IF(Calculator!E40&gt;0,VLOOKUP(Calculator!E40,tbSkills!AI3:AJ5,2,FALSE),Backdoors!AL4)*(IF((Backdoors!AI12+IF(BT61&gt;=0.45,VLOOKUP(Calculator!E23,tbSkills!DH3:DI6,2,FALSE)+IF(AND(Calculator!B8=TRUE,Backdoors!BI13=TRUE),VLOOKUP(Calculator!E23,tbSkills!DH3:DJ6,3,FALSE),0),0))&gt;=100,100,(Backdoors!AI12+IF(BT61&gt;=0.45,VLOOKUP(Calculator!E23,tbSkills!DH3:DI6,2,FALSE)+IF(AND(Calculator!B8=TRUE,Backdoors!BI13=TRUE),VLOOKUP(Calculator!E23,tbSkills!DH3:DJ6,3,FALSE),0),0)))/100)),1),1)</f>
        <v>0.5</v>
      </c>
      <c r="BZ61" s="87">
        <f t="shared" si="5"/>
        <v>0</v>
      </c>
      <c r="CA61" s="86" t="str">
        <f>IFERROR(IF(VLOOKUP(A61,tbMoveset!A2:B112,2,FALSE)="Sever",Backdoors!AY14/100,IF(VLOOKUP(A61,tbMoveset!A2:B112,2,FALSE)="Blunt",Backdoors!AZ14/100,Backdoors!BA14/100)),"")</f>
        <v/>
      </c>
      <c r="CB61" s="49">
        <f>IFERROR(IF(VLOOKUP(tbMoveset!A61,tbMoveset!A2:H112,8,FALSE)="Other",IF(VLOOKUP(tbMoveset!A61,tbMoveset!A2:I112,9,FALSE)="Fire",Backdoors!BB14,IF(VLOOKUP(tbMoveset!A61,tbMoveset!A2:I112,9,FALSE)="Water",Backdoors!BC14,IF(VLOOKUP(tbMoveset!A61,tbMoveset!A2:I112,9,FALSE)="Thunder",Backdoors!BD14,IF(VLOOKUP(tbMoveset!A61,tbMoveset!A2:I112,9,FALSE)="Ice",Backdoors!BE14,IF(VLOOKUP(tbMoveset!A61,tbMoveset!A2:I112,9,FALSE)="Dragon",Backdoors!BF14,Backdoors!BG14)))))/100,Backdoors!BG14/100),"")</f>
        <v>0</v>
      </c>
      <c r="CC61" s="49">
        <f>IFERROR(IF(VLOOKUP(A61,tbMoveset!A2:J112,10,FALSE)=TRUE,IF((Backdoors!AI12+IF(CA61&gt;=0.45,VLOOKUP(Calculator!E23,tbSkills!DH3:DI6,2,FALSE)+IF(AND(Calculator!B8=TRUE,Backdoors!BI14=TRUE),VLOOKUP(Calculator!E23,tbSkills!DH3:DJ6,3,FALSE),0),0))&gt;=0,1+(Backdoors!AL2*(IF((Backdoors!AI12+IF(CA61&gt;=0.45,VLOOKUP(Calculator!E23,tbSkills!DH3:DI6,2,FALSE)+IF(AND(Calculator!B8=TRUE,Backdoors!BI14=TRUE),VLOOKUP(Calculator!E23,tbSkills!DH3:DJ6,3,FALSE),0),0))&gt;=100,100,(Backdoors!AI12+IF(CA61&gt;=0.45,VLOOKUP(Calculator!E23,tbSkills!DH3:DI6,2,FALSE)+IF(AND(Calculator!B8=TRUE,Backdoors!BI14=TRUE),VLOOKUP(Calculator!E23,tbSkills!DH3:DJ6,3,FALSE),0),0)))/100)),(1-(0.25*((-Backdoors!AI12-IF(CA61&gt;=0.45,VLOOKUP(Calculator!E23,tbSkills!DH3:DI6,2,FALSE)+IF(AND(Calculator!B8=TRUE,Backdoors!BI14=TRUE),VLOOKUP(Calculator!E23,tbSkills!DH3:DJ6,3,FALSE),0),0))/100)))),1),"")</f>
        <v>1</v>
      </c>
      <c r="CD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A61)*CC61)*(VLOOKUP(A61,tbMoveset!A2:C112,3,FALSE)/100)*IF(VLOOKUP(A61,tbMoveset!A2:B112,2,FALSE)="Projectile",Backdoors!N10,Backdoors!N9),0),"")</f>
        <v/>
      </c>
      <c r="CE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A61&gt;=0.45,VLOOKUP(Calculator!E23,tbSkills!DH3:DI6,2,FALSE)+IF(AND(Calculator!B8=TRUE,Backdoors!BI14=TRUE),VLOOKUP(Calculator!E23,tbSkills!DH3:DJ6,3,FALSE),0),0))&gt;=100,100,(Backdoors!AI12+IF(CA61&gt;=0.45,VLOOKUP(Calculator!E23,tbSkills!DH3:DI6,2,FALSE)+IF(AND(Calculator!B8=TRUE,Backdoors!BI14=TRUE),VLOOKUP(Calculator!E23,tbSkills!DH3:DJ6,3,FALSE),0),0)))/100)),1))*IF(VLOOKUP(A61,tbMoveset!A2:K112,11,FALSE)=TRUE,Backdoors!AC5,1))*CB61,0),"")</f>
        <v>0</v>
      </c>
      <c r="CF61" s="49">
        <f>VLOOKUP(A61,tbMoveset!A2:G112,7,FALSE)*IFERROR(IF(Backdoors!AI12&gt;=0,1+(IF(Calculator!E40&gt;0,VLOOKUP(Calculator!E40,tbSkills!AI3:AJ5,2,FALSE),Backdoors!AL4)*(IF((Backdoors!AI12+IF(CA61&gt;=0.45,VLOOKUP(Calculator!E23,tbSkills!DH3:DI6,2,FALSE)+IF(AND(Calculator!B8=TRUE,Backdoors!BI14=TRUE),VLOOKUP(Calculator!E23,tbSkills!DH3:DJ6,3,FALSE),0),0))&gt;=100,100,(Backdoors!AI12+IF(CA61&gt;=0.45,VLOOKUP(Calculator!E23,tbSkills!DH3:DI6,2,FALSE)+IF(AND(Calculator!B8=TRUE,Backdoors!BI14=TRUE),VLOOKUP(Calculator!E23,tbSkills!DH3:DJ6,3,FALSE),0),0)))/100)),1),1)</f>
        <v>0.5</v>
      </c>
      <c r="CG61" s="87">
        <f t="shared" si="6"/>
        <v>0</v>
      </c>
      <c r="CH61" s="86" t="str">
        <f>IFERROR(IF(VLOOKUP(A61,tbMoveset!A2:B112,2,FALSE)="Sever",Backdoors!AY15/100,IF(VLOOKUP(A61,tbMoveset!A2:B112,2,FALSE)="Blunt",Backdoors!AZ15/100,Backdoors!BA15/100)),"")</f>
        <v/>
      </c>
      <c r="CI61" s="49">
        <f>IFERROR(IF(VLOOKUP(tbMoveset!A61,tbMoveset!A2:H112,8,FALSE)="Other",IF(VLOOKUP(tbMoveset!A61,tbMoveset!A2:I112,9,FALSE)="Fire",Backdoors!BB15,IF(VLOOKUP(tbMoveset!A61,tbMoveset!A2:I112,9,FALSE)="Water",Backdoors!BC15,IF(VLOOKUP(tbMoveset!A61,tbMoveset!A2:I112,9,FALSE)="Thunder",Backdoors!BD15,IF(VLOOKUP(tbMoveset!A61,tbMoveset!A2:I112,9,FALSE)="Ice",Backdoors!BE15,IF(VLOOKUP(tbMoveset!A61,tbMoveset!A2:I112,9,FALSE)="Dragon",Backdoors!BF15,Backdoors!BG15)))))/100,Backdoors!BG15/100),"")</f>
        <v>0</v>
      </c>
      <c r="CJ61" s="49">
        <f>IFERROR(IF(VLOOKUP(A61,tbMoveset!A2:J112,10,FALSE)=TRUE,IF((Backdoors!AI12+IF(CH61&gt;=0.45,VLOOKUP(Calculator!E23,tbSkills!DH3:DI6,2,FALSE)+IF(AND(Calculator!B8=TRUE,Backdoors!BI15=TRUE),VLOOKUP(Calculator!E23,tbSkills!DH3:DJ6,3,FALSE),0),0))&gt;=0,1+(Backdoors!AL2*(IF((Backdoors!AI12+IF(CH61&gt;=0.45,VLOOKUP(Calculator!E23,tbSkills!DH3:DI6,2,FALSE)+IF(AND(Calculator!B8=TRUE,Backdoors!BI15=TRUE),VLOOKUP(Calculator!E23,tbSkills!DH3:DJ6,3,FALSE),0),0))&gt;=100,100,(Backdoors!AI12+IF(CH61&gt;=0.45,VLOOKUP(Calculator!E23,tbSkills!DH3:DI6,2,FALSE)+IF(AND(Calculator!B8=TRUE,Backdoors!BI15=TRUE),VLOOKUP(Calculator!E23,tbSkills!DH3:DJ6,3,FALSE),0),0)))/100)),(1-(0.25*((-Backdoors!AI12-IF(CH61&gt;=0.45,VLOOKUP(Calculator!E23,tbSkills!DH3:DI6,2,FALSE)+IF(AND(Calculator!B8=TRUE,Backdoors!BI15=TRUE),VLOOKUP(Calculator!E23,tbSkills!DH3:DJ6,3,FALSE),0),0))/100)))),1),"")</f>
        <v>1</v>
      </c>
      <c r="CK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H61)*CJ61)*(VLOOKUP(A61,tbMoveset!A2:C112,3,FALSE)/100)*IF(VLOOKUP(A61,tbMoveset!A2:B112,2,FALSE)="Projectile",Backdoors!N10,Backdoors!N9),0),"")</f>
        <v/>
      </c>
      <c r="CL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H61&gt;=0.45,VLOOKUP(Calculator!E23,tbSkills!DH3:DI6,2,FALSE)+IF(AND(Calculator!B8=TRUE,Backdoors!BI15=TRUE),VLOOKUP(Calculator!E23,tbSkills!DH3:DJ6,3,FALSE),0),0))&gt;=100,100,(Backdoors!AI12+IF(CH61&gt;=0.45,VLOOKUP(Calculator!E23,tbSkills!DH3:DI6,2,FALSE)+IF(AND(Calculator!B8=TRUE,Backdoors!BI15=TRUE),VLOOKUP(Calculator!E23,tbSkills!DH3:DJ6,3,FALSE),0),0)))/100)),1))*IF(VLOOKUP(A61,tbMoveset!A2:K112,11,FALSE)=TRUE,Backdoors!AC5,1))*CI61,0),"")</f>
        <v>0</v>
      </c>
      <c r="CM61" s="49">
        <f>VLOOKUP(A61,tbMoveset!A2:G112,7,FALSE)*IFERROR(IF(Backdoors!AI12&gt;=0,1+(IF(Calculator!E40&gt;0,VLOOKUP(Calculator!E40,tbSkills!AI3:AJ5,2,FALSE),Backdoors!AL4)*(IF((Backdoors!AI12+IF(CH61&gt;=0.45,VLOOKUP(Calculator!E23,tbSkills!DH3:DI6,2,FALSE)+IF(AND(Calculator!B8=TRUE,Backdoors!BI15=TRUE),VLOOKUP(Calculator!E23,tbSkills!DH3:DJ6,3,FALSE),0),0))&gt;=100,100,(Backdoors!AI12+IF(CH61&gt;=0.45,VLOOKUP(Calculator!E23,tbSkills!DH3:DI6,2,FALSE)+IF(AND(Calculator!B8=TRUE,Backdoors!BI15=TRUE),VLOOKUP(Calculator!E23,tbSkills!DH3:DJ6,3,FALSE),0),0)))/100)),1),1)</f>
        <v>0.5</v>
      </c>
      <c r="CN61" s="87">
        <f t="shared" si="7"/>
        <v>0</v>
      </c>
      <c r="CO61" s="86" t="str">
        <f>IFERROR(IF(VLOOKUP(A61,tbMoveset!A2:B112,2,FALSE)="Sever",Backdoors!AY16/100,IF(VLOOKUP(A61,tbMoveset!A2:B112,2,FALSE)="Blunt",Backdoors!AZ16/100,Backdoors!BA16/100)),"")</f>
        <v/>
      </c>
      <c r="CP61" s="49">
        <f>IFERROR(IF(VLOOKUP(tbMoveset!A61,tbMoveset!A2:H112,8,FALSE)="Other",IF(VLOOKUP(tbMoveset!A61,tbMoveset!A2:I112,9,FALSE)="Fire",Backdoors!BB16,IF(VLOOKUP(tbMoveset!A61,tbMoveset!A2:I112,9,FALSE)="Water",Backdoors!BC16,IF(VLOOKUP(tbMoveset!A61,tbMoveset!A2:I112,9,FALSE)="Thunder",Backdoors!BD16,IF(VLOOKUP(tbMoveset!A61,tbMoveset!A2:I112,9,FALSE)="Ice",Backdoors!BE16,IF(VLOOKUP(tbMoveset!A61,tbMoveset!A2:I112,9,FALSE)="Dragon",Backdoors!BF16,Backdoors!BG16)))))/100,Backdoors!BG16/100),"")</f>
        <v>0</v>
      </c>
      <c r="CQ61" s="49">
        <f>IFERROR(IF(VLOOKUP(A61,tbMoveset!A2:J112,10,FALSE)=TRUE,IF((Backdoors!AI12+IF(CO61&gt;=0.45,VLOOKUP(Calculator!E23,tbSkills!DH3:DI6,2,FALSE)+IF(AND(Calculator!B8=TRUE,Backdoors!BI16=TRUE),VLOOKUP(Calculator!E23,tbSkills!DH3:DJ6,3,FALSE),0),0))&gt;=0,1+(Backdoors!AL2*(IF((Backdoors!AI12+IF(CO61&gt;=0.45,VLOOKUP(Calculator!E23,tbSkills!DH3:DI6,2,FALSE)+IF(AND(Calculator!B8=TRUE,Backdoors!BI16=TRUE),VLOOKUP(Calculator!E23,tbSkills!DH3:DJ6,3,FALSE),0),0))&gt;=100,100,(Backdoors!AI12+IF(CO61&gt;=0.45,VLOOKUP(Calculator!E23,tbSkills!DH3:DI6,2,FALSE)+IF(AND(Calculator!B8=TRUE,Backdoors!BI16=TRUE),VLOOKUP(Calculator!E23,tbSkills!DH3:DJ6,3,FALSE),0),0)))/100)),(1-(0.25*((-Backdoors!AI12-IF(CO61&gt;=0.45,VLOOKUP(Calculator!E23,tbSkills!DH3:DI6,2,FALSE)+IF(AND(Calculator!B8=TRUE,Backdoors!BI16=TRUE),VLOOKUP(Calculator!E23,tbSkills!DH3:DJ6,3,FALSE),0),0))/100)))),1),"")</f>
        <v>1</v>
      </c>
      <c r="CR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O61)*CQ61)*(VLOOKUP(A61,tbMoveset!A2:C112,3,FALSE)/100)*IF(VLOOKUP(A61,tbMoveset!A2:B112,2,FALSE)="Projectile",Backdoors!N10,Backdoors!N9),0),"")</f>
        <v/>
      </c>
      <c r="CS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O61&gt;=0.45,VLOOKUP(Calculator!E23,tbSkills!DH3:DI6,2,FALSE)+IF(AND(Calculator!B8=TRUE,Backdoors!BI16=TRUE),VLOOKUP(Calculator!E23,tbSkills!DH3:DJ6,3,FALSE),0),0))&gt;=100,100,(Backdoors!AI12+IF(CO61&gt;=0.45,VLOOKUP(Calculator!E23,tbSkills!DH3:DI6,2,FALSE)+IF(AND(Calculator!B8=TRUE,Backdoors!BI16=TRUE),VLOOKUP(Calculator!E23,tbSkills!DH3:DJ6,3,FALSE),0),0)))/100)),1))*IF(VLOOKUP(A61,tbMoveset!A2:K112,11,FALSE)=TRUE,Backdoors!AC5,1))*CP61,0),"")</f>
        <v>0</v>
      </c>
      <c r="CT61" s="49">
        <f>VLOOKUP(A61,tbMoveset!A2:G112,7,FALSE)*IFERROR(IF(Backdoors!AI12&gt;=0,1+(IF(Calculator!E40&gt;0,VLOOKUP(Calculator!E40,tbSkills!AI3:AJ5,2,FALSE),Backdoors!AL4)*(IF((Backdoors!AI12+IF(CO61&gt;=0.45,VLOOKUP(Calculator!E23,tbSkills!DH3:DI6,2,FALSE)+IF(AND(Calculator!B8=TRUE,Backdoors!BI16=TRUE),VLOOKUP(Calculator!E23,tbSkills!DH3:DJ6,3,FALSE),0),0))&gt;=100,100,(Backdoors!AI12+IF(CO61&gt;=0.45,VLOOKUP(Calculator!E23,tbSkills!DH3:DI6,2,FALSE)+IF(AND(Calculator!B8=TRUE,Backdoors!BI16=TRUE),VLOOKUP(Calculator!E23,tbSkills!DH3:DJ6,3,FALSE),0),0)))/100)),1),1)</f>
        <v>0.5</v>
      </c>
      <c r="CU61" s="87">
        <f t="shared" si="40"/>
        <v>0</v>
      </c>
      <c r="CV61" s="86" t="str">
        <f>IFERROR(IF(VLOOKUP(A61,tbMoveset!A2:B112,2,FALSE)="Sever",Backdoors!AY17/100,IF(VLOOKUP(A61,tbMoveset!A2:B112,2,FALSE)="Blunt",Backdoors!AZ17/100,Backdoors!BA17/100)),"")</f>
        <v/>
      </c>
      <c r="CW61" s="49">
        <f>IFERROR(IF(VLOOKUP(tbMoveset!A61,tbMoveset!A2:H112,8,FALSE)="Other",IF(VLOOKUP(tbMoveset!A61,tbMoveset!A2:I112,9,FALSE)="Fire",Backdoors!BB17,IF(VLOOKUP(tbMoveset!A61,tbMoveset!A2:I112,9,FALSE)="Water",Backdoors!BC17,IF(VLOOKUP(tbMoveset!A61,tbMoveset!A2:I112,9,FALSE)="Thunder",Backdoors!BD17,IF(VLOOKUP(tbMoveset!A61,tbMoveset!A2:I112,9,FALSE)="Ice",Backdoors!BE17,IF(VLOOKUP(tbMoveset!A61,tbMoveset!A2:I112,9,FALSE)="Dragon",Backdoors!BF17,Backdoors!BG17)))))/100,Backdoors!BG17/100),"")</f>
        <v>0</v>
      </c>
      <c r="CX61" s="49">
        <f>IFERROR(IF(VLOOKUP(A61,tbMoveset!A2:J112,10,FALSE)=TRUE,IF((Backdoors!AI12+IF(CV61&gt;=0.45,VLOOKUP(Calculator!E23,tbSkills!DH3:DI6,2,FALSE)+IF(AND(Calculator!B8=TRUE,Backdoors!BI17=TRUE),VLOOKUP(Calculator!E23,tbSkills!DH3:DJ6,3,FALSE),0),0))&gt;=0,1+(Backdoors!AL2*(IF((Backdoors!AI12+IF(CV61&gt;=0.45,VLOOKUP(Calculator!E23,tbSkills!DH3:DI6,2,FALSE)+IF(AND(Calculator!B8=TRUE,Backdoors!BI17=TRUE),VLOOKUP(Calculator!E23,tbSkills!DH3:DJ6,3,FALSE),0),0))&gt;=100,100,(Backdoors!AI12+IF(CV61&gt;=0.45,VLOOKUP(Calculator!E23,tbSkills!DH3:DI6,2,FALSE)+IF(AND(Calculator!B8=TRUE,Backdoors!BI17=TRUE),VLOOKUP(Calculator!E23,tbSkills!DH3:DJ6,3,FALSE),0),0)))/100)),(1-(0.25*((-Backdoors!AI12-IF(CV61&gt;=0.45,VLOOKUP(Calculator!E23,tbSkills!DH3:DI6,2,FALSE)+IF(AND(Calculator!B8=TRUE,Backdoors!BI17=TRUE),VLOOKUP(Calculator!E23,tbSkills!DH3:DJ6,3,FALSE),0),0))/100)))),1),"")</f>
        <v>1</v>
      </c>
      <c r="CY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V61)*CX61)*(VLOOKUP(A61,tbMoveset!A2:C112,3,FALSE)/100)*IF(VLOOKUP(A61,tbMoveset!A2:B112,2,FALSE)="Projectile",Backdoors!N10,Backdoors!N9),0),"")</f>
        <v/>
      </c>
      <c r="CZ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V61&gt;=0.45,VLOOKUP(Calculator!E23,tbSkills!DH3:DI6,2,FALSE)+IF(AND(Calculator!B8=TRUE,Backdoors!BI17=TRUE),VLOOKUP(Calculator!E23,tbSkills!DH3:DJ6,3,FALSE),0),0))&gt;=100,100,(Backdoors!AI12+IF(CV61&gt;=0.45,VLOOKUP(Calculator!E23,tbSkills!DH3:DI6,2,FALSE)+IF(AND(Calculator!B8=TRUE,Backdoors!BI17=TRUE),VLOOKUP(Calculator!E23,tbSkills!DH3:DJ6,3,FALSE),0),0)))/100)),1))*IF(VLOOKUP(A61,tbMoveset!A2:K112,11,FALSE)=TRUE,Backdoors!AC5,1))*CW61,0),"")</f>
        <v>0</v>
      </c>
      <c r="DA61" s="49">
        <f>VLOOKUP(A61,tbMoveset!A2:G112,7,FALSE)*IFERROR(IF(Backdoors!AI12&gt;=0,1+(IF(Calculator!E40&gt;0,VLOOKUP(Calculator!E40,tbSkills!AI3:AJ5,2,FALSE),Backdoors!AL4)*(IF((Backdoors!AI12+IF(CV61&gt;=0.45,VLOOKUP(Calculator!E23,tbSkills!DH3:DI6,2,FALSE)+IF(AND(Calculator!B8=TRUE,Backdoors!BI17=TRUE),VLOOKUP(Calculator!E23,tbSkills!DH3:DJ6,3,FALSE),0),0))&gt;=100,100,(Backdoors!AI12+IF(CV61&gt;=0.45,VLOOKUP(Calculator!E23,tbSkills!DH3:DI6,2,FALSE)+IF(AND(Calculator!B8=TRUE,Backdoors!BI17=TRUE),VLOOKUP(Calculator!E23,tbSkills!DH3:DJ6,3,FALSE),0),0)))/100)),1),1)</f>
        <v>0.5</v>
      </c>
      <c r="DB61" s="87">
        <f t="shared" si="8"/>
        <v>0</v>
      </c>
      <c r="DC61" s="86" t="str">
        <f>IFERROR(IF(VLOOKUP(A61,tbMoveset!A2:B112,2,FALSE)="Sever",Backdoors!AY18/100,IF(VLOOKUP(A61,tbMoveset!A2:B112,2,FALSE)="Blunt",Backdoors!AZ18/100,Backdoors!BA18/100)),"")</f>
        <v/>
      </c>
      <c r="DD61" s="49">
        <f>IFERROR(IF(VLOOKUP(tbMoveset!A61,tbMoveset!A2:H112,8,FALSE)="Other",IF(VLOOKUP(tbMoveset!A61,tbMoveset!A2:I112,9,FALSE)="Fire",Backdoors!BB18,IF(VLOOKUP(tbMoveset!A61,tbMoveset!A2:I112,9,FALSE)="Water",Backdoors!BC18,IF(VLOOKUP(tbMoveset!A61,tbMoveset!A2:I112,9,FALSE)="Thunder",Backdoors!BD18,IF(VLOOKUP(tbMoveset!A61,tbMoveset!A2:I112,9,FALSE)="Ice",Backdoors!BE18,IF(VLOOKUP(tbMoveset!A61,tbMoveset!A2:I112,9,FALSE)="Dragon",Backdoors!BF18,Backdoors!BG18)))))/100,Backdoors!BG18/100),"")</f>
        <v>0</v>
      </c>
      <c r="DE61" s="49">
        <f>IFERROR(IF(VLOOKUP(A61,tbMoveset!A2:J112,10,FALSE)=TRUE,IF((Backdoors!AI12+IF(DC61&gt;=0.45,VLOOKUP(Calculator!E23,tbSkills!DH3:DI6,2,FALSE)+IF(AND(Calculator!B8=TRUE,Backdoors!BI18=TRUE),VLOOKUP(Calculator!E23,tbSkills!DH3:DJ6,3,FALSE),0),0))&gt;=0,1+(Backdoors!AL2*(IF((Backdoors!AI12+IF(DC61&gt;=0.45,VLOOKUP(Calculator!E23,tbSkills!DH3:DI6,2,FALSE)+IF(AND(Calculator!B8=TRUE,Backdoors!BI18=TRUE),VLOOKUP(Calculator!E23,tbSkills!DH3:DJ6,3,FALSE),0),0))&gt;=100,100,(Backdoors!AI12+IF(DC61&gt;=0.45,VLOOKUP(Calculator!E23,tbSkills!DH3:DI6,2,FALSE)+IF(AND(Calculator!B8=TRUE,Backdoors!BI18=TRUE),VLOOKUP(Calculator!E23,tbSkills!DH3:DJ6,3,FALSE),0),0)))/100)),(1-(0.25*((-Backdoors!AI12-IF(DC61&gt;=0.45,VLOOKUP(Calculator!E23,tbSkills!DH3:DI6,2,FALSE)+IF(AND(Calculator!B8=TRUE,Backdoors!BI18=TRUE),VLOOKUP(Calculator!E23,tbSkills!DH3:DJ6,3,FALSE),0),0))/100)))),1),"")</f>
        <v>1</v>
      </c>
      <c r="DF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C61)*DE61)*(VLOOKUP(A61,tbMoveset!A2:C112,3,FALSE)/100)*IF(VLOOKUP(A61,tbMoveset!A2:B112,2,FALSE)="Projectile",Backdoors!N10,Backdoors!N9),0),"")</f>
        <v/>
      </c>
      <c r="DG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C61&gt;=0.45,VLOOKUP(Calculator!E23,tbSkills!DH3:DI6,2,FALSE)+IF(AND(Calculator!B8=TRUE,Backdoors!BI18=TRUE),VLOOKUP(Calculator!E23,tbSkills!DH3:DJ6,3,FALSE),0),0))&gt;=100,100,(Backdoors!AI12+IF(DC61&gt;=0.45,VLOOKUP(Calculator!E23,tbSkills!DH3:DI6,2,FALSE)+IF(AND(Calculator!B8=TRUE,Backdoors!BI18=TRUE),VLOOKUP(Calculator!E23,tbSkills!DH3:DJ6,3,FALSE),0),0)))/100)),1))*IF(VLOOKUP(A61,tbMoveset!A2:K112,11,FALSE)=TRUE,Backdoors!AC5,1))*DD61,0),"")</f>
        <v>0</v>
      </c>
      <c r="DH61" s="49">
        <f>VLOOKUP(A61,tbMoveset!A2:G112,7,FALSE)*IFERROR(IF(Backdoors!AI12&gt;=0,1+(IF(Calculator!E40&gt;0,VLOOKUP(Calculator!E40,tbSkills!AI3:AJ5,2,FALSE),Backdoors!AL4)*(IF((Backdoors!AI12+IF(DC61&gt;=0.45,VLOOKUP(Calculator!E23,tbSkills!DH3:DI6,2,FALSE)+IF(AND(Calculator!B8=TRUE,Backdoors!BI18=TRUE),VLOOKUP(Calculator!E23,tbSkills!DH3:DJ6,3,FALSE),0),0))&gt;=100,100,(Backdoors!AI12+IF(DC61&gt;=0.45,VLOOKUP(Calculator!E23,tbSkills!DH3:DI6,2,FALSE)+IF(AND(Calculator!B8=TRUE,Backdoors!BI18=TRUE),VLOOKUP(Calculator!E23,tbSkills!DH3:DJ6,3,FALSE),0),0)))/100)),1),1)</f>
        <v>0.5</v>
      </c>
      <c r="DI61" s="87">
        <f t="shared" si="9"/>
        <v>0</v>
      </c>
      <c r="DJ61" s="86" t="str">
        <f>IFERROR(IF(VLOOKUP(A61,tbMoveset!A2:B112,2,FALSE)="Sever",Backdoors!AY19/100,IF(VLOOKUP(A61,tbMoveset!A2:B112,2,FALSE)="Blunt",Backdoors!AZ19/100,Backdoors!BA19/100)),"")</f>
        <v/>
      </c>
      <c r="DK61" s="49">
        <f>IFERROR(IF(VLOOKUP(tbMoveset!A61,tbMoveset!A2:H112,8,FALSE)="Other",IF(VLOOKUP(tbMoveset!A61,tbMoveset!A2:I112,9,FALSE)="Fire",Backdoors!BB19,IF(VLOOKUP(tbMoveset!A61,tbMoveset!A2:I112,9,FALSE)="Water",Backdoors!BC19,IF(VLOOKUP(tbMoveset!A61,tbMoveset!A2:I112,9,FALSE)="Thunder",Backdoors!BD19,IF(VLOOKUP(tbMoveset!A61,tbMoveset!A2:I112,9,FALSE)="Ice",Backdoors!BE19,IF(VLOOKUP(tbMoveset!A61,tbMoveset!A2:I112,9,FALSE)="Dragon",Backdoors!BF19,Backdoors!BG19)))))/100,Backdoors!BG19/100),"")</f>
        <v>0</v>
      </c>
      <c r="DL61" s="49">
        <f>IFERROR(IF(VLOOKUP(A61,tbMoveset!A2:J112,10,FALSE)=TRUE,IF((Backdoors!AI12+IF(DJ61&gt;=0.45,VLOOKUP(Calculator!E23,tbSkills!DH3:DI6,2,FALSE)+IF(AND(Calculator!B8=TRUE,Backdoors!BI19=TRUE),VLOOKUP(Calculator!E23,tbSkills!DH3:DJ6,3,FALSE),0),0))&gt;=0,1+(Backdoors!AL2*(IF((Backdoors!AI12+IF(DJ61&gt;=0.45,VLOOKUP(Calculator!E23,tbSkills!DH3:DI6,2,FALSE)+IF(AND(Calculator!B8=TRUE,Backdoors!BI19=TRUE),VLOOKUP(Calculator!E23,tbSkills!DH3:DJ6,3,FALSE),0),0))&gt;=100,100,(Backdoors!AI12+IF(DJ61&gt;=0.45,VLOOKUP(Calculator!E23,tbSkills!DH3:DI6,2,FALSE)+IF(AND(Calculator!B8=TRUE,Backdoors!BI19=TRUE),VLOOKUP(Calculator!E23,tbSkills!DH3:DJ6,3,FALSE),0),0)))/100)),(1-(0.25*((-Backdoors!AI12-IF(DJ61&gt;=0.45,VLOOKUP(Calculator!E23,tbSkills!DH3:DI6,2,FALSE)+IF(AND(Calculator!B8=TRUE,Backdoors!BI19=TRUE),VLOOKUP(Calculator!E23,tbSkills!DH3:DJ6,3,FALSE),0),0))/100)))),1),"")</f>
        <v>1</v>
      </c>
      <c r="DM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J61)*DL61)*(VLOOKUP(A61,tbMoveset!A2:C112,3,FALSE)/100)*IF(VLOOKUP(A61,tbMoveset!A2:B112,2,FALSE)="Projectile",Backdoors!N10,Backdoors!N9),0),"")</f>
        <v/>
      </c>
      <c r="DN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J61&gt;=0.45,VLOOKUP(Calculator!E23,tbSkills!DH3:DI6,2,FALSE)+IF(AND(Calculator!B8=TRUE,Backdoors!BI19=TRUE),VLOOKUP(Calculator!E23,tbSkills!DH3:DJ6,3,FALSE),0),0))&gt;=100,100,(Backdoors!AI12+IF(DJ61&gt;=0.45,VLOOKUP(Calculator!E23,tbSkills!DH3:DI6,2,FALSE)+IF(AND(Calculator!B8=TRUE,Backdoors!BI19=TRUE),VLOOKUP(Calculator!E23,tbSkills!DH3:DJ6,3,FALSE),0),0)))/100)),1))*IF(VLOOKUP(A61,tbMoveset!A2:K112,11,FALSE)=TRUE,Backdoors!AC5,1))*DK61,0),"")</f>
        <v>0</v>
      </c>
      <c r="DO61" s="49">
        <f>VLOOKUP(A61,tbMoveset!A2:G112,7,FALSE)*IFERROR(IF(Backdoors!AI12&gt;=0,1+(IF(Calculator!E40&gt;0,VLOOKUP(Calculator!E40,tbSkills!AI3:AJ5,2,FALSE),Backdoors!AL4)*(IF((Backdoors!AI12+IF(DJ61&gt;=0.45,VLOOKUP(Calculator!E23,tbSkills!DH3:DI6,2,FALSE)+IF(AND(Calculator!B8=TRUE,Backdoors!BI19=TRUE),VLOOKUP(Calculator!E23,tbSkills!DH3:DJ6,3,FALSE),0),0))&gt;=100,100,(Backdoors!AI12+IF(DJ61&gt;=0.45,VLOOKUP(Calculator!E23,tbSkills!DH3:DI6,2,FALSE)+IF(AND(Calculator!B8=TRUE,Backdoors!BI19=TRUE),VLOOKUP(Calculator!E23,tbSkills!DH3:DJ6,3,FALSE),0),0)))/100)),1),1)</f>
        <v>0.5</v>
      </c>
      <c r="DP61" s="87">
        <f t="shared" si="41"/>
        <v>0</v>
      </c>
      <c r="DQ61" s="86" t="str">
        <f>IFERROR(IF(VLOOKUP(A61,tbMoveset!A2:B112,2,FALSE)="Sever",Backdoors!AY20/100,IF(VLOOKUP(A61,tbMoveset!A2:B112,2,FALSE)="Blunt",Backdoors!AZ20/100,Backdoors!BA20/100)),"")</f>
        <v/>
      </c>
      <c r="DR61" s="49">
        <f>IFERROR(IF(VLOOKUP(tbMoveset!A61,tbMoveset!A2:H112,8,FALSE)="Other",IF(VLOOKUP(tbMoveset!A61,tbMoveset!A2:I112,9,FALSE)="Fire",Backdoors!BB20,IF(VLOOKUP(tbMoveset!A61,tbMoveset!A2:I112,9,FALSE)="Water",Backdoors!BC20,IF(VLOOKUP(tbMoveset!A61,tbMoveset!A2:I112,9,FALSE)="Thunder",Backdoors!BD20,IF(VLOOKUP(tbMoveset!A61,tbMoveset!A2:I112,9,FALSE)="Ice",Backdoors!BE20,IF(VLOOKUP(tbMoveset!A61,tbMoveset!A2:I112,9,FALSE)="Dragon",Backdoors!BF20,Backdoors!BG20)))))/100,Backdoors!BG20/100),"")</f>
        <v>0</v>
      </c>
      <c r="DS61" s="49">
        <f>IFERROR(IF(VLOOKUP(A61,tbMoveset!A2:J112,10,FALSE)=TRUE,IF((Backdoors!AI12+IF(DQ61&gt;=0.45,VLOOKUP(Calculator!E23,tbSkills!DH3:DI6,2,FALSE)+IF(AND(Calculator!B8=TRUE,Backdoors!BI20=TRUE),VLOOKUP(Calculator!E23,tbSkills!DH3:DJ6,3,FALSE),0),0))&gt;=0,1+(Backdoors!AL2*(IF((Backdoors!AI12+IF(DQ61&gt;=0.45,VLOOKUP(Calculator!E23,tbSkills!DH3:DI6,2,FALSE)+IF(AND(Calculator!B8=TRUE,Backdoors!BI20=TRUE),VLOOKUP(Calculator!E23,tbSkills!DH3:DJ6,3,FALSE),0),0))&gt;=100,100,(Backdoors!AI12+IF(DQ61&gt;=0.45,VLOOKUP(Calculator!E23,tbSkills!DH3:DI6,2,FALSE)+IF(AND(Calculator!B8=TRUE,Backdoors!BI20=TRUE),VLOOKUP(Calculator!E23,tbSkills!DH3:DJ6,3,FALSE),0),0)))/100)),(1-(0.25*((-Backdoors!AI12-IF(DQ61&gt;=0.45,VLOOKUP(Calculator!E23,tbSkills!DH3:DI6,2,FALSE)+IF(AND(Calculator!B8=TRUE,Backdoors!BI20=TRUE),VLOOKUP(Calculator!E23,tbSkills!DH3:DJ6,3,FALSE),0),0))/100)))),1),"")</f>
        <v>1</v>
      </c>
      <c r="DT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Q61)*DS61)*(VLOOKUP(A61,tbMoveset!A2:C112,3,FALSE)/100)*IF(VLOOKUP(A61,tbMoveset!A2:B112,2,FALSE)="Projectile",Backdoors!N10,Backdoors!N9),0),"")</f>
        <v/>
      </c>
      <c r="DU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Q61&gt;=0.45,VLOOKUP(Calculator!E23,tbSkills!DH3:DI6,2,FALSE)+IF(AND(Calculator!B8=TRUE,Backdoors!BI20=TRUE),VLOOKUP(Calculator!E23,tbSkills!DH3:DJ6,3,FALSE),0),0))&gt;=100,100,(Backdoors!AI12+IF(DQ61&gt;=0.45,VLOOKUP(Calculator!E23,tbSkills!DH3:DI6,2,FALSE)+IF(AND(Calculator!B8=TRUE,Backdoors!BI20=TRUE),VLOOKUP(Calculator!E23,tbSkills!DH3:DJ6,3,FALSE),0),0)))/100)),1))*IF(VLOOKUP(A61,tbMoveset!A2:K112,11,FALSE)=TRUE,Backdoors!AC5,1))*DR61,0),"")</f>
        <v>0</v>
      </c>
      <c r="DV61" s="49">
        <f>VLOOKUP(A61,tbMoveset!A2:G112,7,FALSE)*IFERROR(IF(Backdoors!AI12&gt;=0,1+(IF(Calculator!E40&gt;0,VLOOKUP(Calculator!E40,tbSkills!AI3:AJ5,2,FALSE),Backdoors!AL4)*(IF((Backdoors!AI12+IF(DQ61&gt;=0.45,VLOOKUP(Calculator!E23,tbSkills!DH3:DI6,2,FALSE)+IF(AND(Calculator!B8=TRUE,Backdoors!BI20=TRUE),VLOOKUP(Calculator!E23,tbSkills!DH3:DJ6,3,FALSE),0),0))&gt;=100,100,(Backdoors!AI12+IF(DQ61&gt;=0.45,VLOOKUP(Calculator!E23,tbSkills!DH3:DI6,2,FALSE)+IF(AND(Calculator!B8=TRUE,Backdoors!BI20=TRUE),VLOOKUP(Calculator!E23,tbSkills!DH3:DJ6,3,FALSE),0),0)))/100)),1),1)</f>
        <v>0.5</v>
      </c>
      <c r="DW61" s="87">
        <f t="shared" si="10"/>
        <v>0</v>
      </c>
      <c r="DX61" s="86" t="str">
        <f>IFERROR(IF(VLOOKUP(A61,tbMoveset!A2:B112,2,FALSE)="Sever",Backdoors!AY21/100,IF(VLOOKUP(A61,tbMoveset!A2:B112,2,FALSE)="Blunt",Backdoors!AZ21/100,Backdoors!BA21/100)),"")</f>
        <v/>
      </c>
      <c r="DY61" s="49">
        <f>IFERROR(IF(VLOOKUP(tbMoveset!A61,tbMoveset!A2:H112,8,FALSE)="Other",IF(VLOOKUP(tbMoveset!A61,tbMoveset!A2:I112,9,FALSE)="Fire",Backdoors!BB21,IF(VLOOKUP(tbMoveset!A61,tbMoveset!A2:I112,9,FALSE)="Water",Backdoors!BC21,IF(VLOOKUP(tbMoveset!A61,tbMoveset!A2:I112,9,FALSE)="Thunder",Backdoors!BD21,IF(VLOOKUP(tbMoveset!A61,tbMoveset!A2:I112,9,FALSE)="Ice",Backdoors!BE21,IF(VLOOKUP(tbMoveset!A61,tbMoveset!A2:I112,9,FALSE)="Dragon",Backdoors!BF21,Backdoors!BG21)))))/100,Backdoors!BG21/100),"")</f>
        <v>0</v>
      </c>
      <c r="DZ61" s="49">
        <f>IFERROR(IF(VLOOKUP(A61,tbMoveset!A2:J112,10,FALSE)=TRUE,IF((Backdoors!AI12+IF(DX61&gt;=0.45,VLOOKUP(Calculator!E23,tbSkills!DH3:DI6,2,FALSE)+IF(AND(Calculator!B8=TRUE,Backdoors!BI21=TRUE),VLOOKUP(Calculator!E23,tbSkills!DH3:DJ6,3,FALSE),0),0))&gt;=0,1+(Backdoors!AL2*(IF((Backdoors!AI12+IF(DX61&gt;=0.45,VLOOKUP(Calculator!E23,tbSkills!DH3:DI6,2,FALSE)+IF(AND(Calculator!B8=TRUE,Backdoors!BI21=TRUE),VLOOKUP(Calculator!E23,tbSkills!DH3:DJ6,3,FALSE),0),0))&gt;=100,100,(Backdoors!AI12+IF(DX61&gt;=0.45,VLOOKUP(Calculator!E23,tbSkills!DH3:DI6,2,FALSE)+IF(AND(Calculator!B8=TRUE,Backdoors!BI21=TRUE),VLOOKUP(Calculator!E23,tbSkills!DH3:DJ6,3,FALSE),0),0)))/100)),(1-(0.25*((-Backdoors!AI12-IF(DX61&gt;=0.45,VLOOKUP(Calculator!E23,tbSkills!DH3:DI6,2,FALSE)+IF(AND(Calculator!B8=TRUE,Backdoors!BI21=TRUE),VLOOKUP(Calculator!E23,tbSkills!DH3:DJ6,3,FALSE),0),0))/100)))),1),"")</f>
        <v>1</v>
      </c>
      <c r="EA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X61)*DZ61)*(VLOOKUP(A61,tbMoveset!A2:C112,3,FALSE)/100)*IF(VLOOKUP(A61,tbMoveset!A2:B112,2,FALSE)="Projectile",Backdoors!N10,Backdoors!N9),0),"")</f>
        <v/>
      </c>
      <c r="EB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X61&gt;=0.45,VLOOKUP(Calculator!E23,tbSkills!DH3:DI6,2,FALSE)+IF(AND(Calculator!B8=TRUE,Backdoors!BI21=TRUE),VLOOKUP(Calculator!E23,tbSkills!DH3:DJ6,3,FALSE),0),0))&gt;=100,100,(Backdoors!AI12+IF(DX61&gt;=0.45,VLOOKUP(Calculator!E23,tbSkills!DH3:DI6,2,FALSE)+IF(AND(Calculator!B8=TRUE,Backdoors!BI21=TRUE),VLOOKUP(Calculator!E23,tbSkills!DH3:DJ6,3,FALSE),0),0)))/100)),1))*IF(VLOOKUP(A61,tbMoveset!A2:K112,11,FALSE)=TRUE,Backdoors!AC5,1))*DY61,0),"")</f>
        <v>0</v>
      </c>
      <c r="EC61" s="49">
        <f>VLOOKUP(A61,tbMoveset!A2:G112,7,FALSE)*IFERROR(IF(Backdoors!AI12&gt;=0,1+(IF(Calculator!E40&gt;0,VLOOKUP(Calculator!E40,tbSkills!AI3:AJ5,2,FALSE),Backdoors!AL4)*(IF((Backdoors!AI12+IF(DX61&gt;=0.45,VLOOKUP(Calculator!E23,tbSkills!DH3:DI6,2,FALSE)+IF(AND(Calculator!B8=TRUE,Backdoors!BI21=TRUE),VLOOKUP(Calculator!E23,tbSkills!DH3:DJ6,3,FALSE),0),0))&gt;=100,100,(Backdoors!AI12+IF(DX61&gt;=0.45,VLOOKUP(Calculator!E23,tbSkills!DH3:DI6,2,FALSE)+IF(AND(Calculator!B8=TRUE,Backdoors!BI21=TRUE),VLOOKUP(Calculator!E23,tbSkills!DH3:DJ6,3,FALSE),0),0)))/100)),1),1)</f>
        <v>0.5</v>
      </c>
      <c r="ED61" s="87">
        <f t="shared" si="11"/>
        <v>0</v>
      </c>
      <c r="EE61" s="86" t="str">
        <f>IFERROR(IF(VLOOKUP(A61,tbMoveset!A2:B112,2,FALSE)="Sever",Backdoors!AY22/100,IF(VLOOKUP(A61,tbMoveset!A2:B112,2,FALSE)="Blunt",Backdoors!AZ22/100,Backdoors!BA22/100)),"")</f>
        <v/>
      </c>
      <c r="EF61" s="49">
        <f>IFERROR(IF(VLOOKUP(tbMoveset!A61,tbMoveset!A2:H112,8,FALSE)="Other",IF(VLOOKUP(tbMoveset!A61,tbMoveset!A2:I112,9,FALSE)="Fire",Backdoors!BB22,IF(VLOOKUP(tbMoveset!A61,tbMoveset!A2:I112,9,FALSE)="Water",Backdoors!BC22,IF(VLOOKUP(tbMoveset!A61,tbMoveset!A2:I112,9,FALSE)="Thunder",Backdoors!BD22,IF(VLOOKUP(tbMoveset!A61,tbMoveset!A2:I112,9,FALSE)="Ice",Backdoors!BE22,IF(VLOOKUP(tbMoveset!A61,tbMoveset!A2:I112,9,FALSE)="Dragon",Backdoors!BF22,Backdoors!BG22)))))/100,Backdoors!BG22/100),"")</f>
        <v>0</v>
      </c>
      <c r="EG61" s="49">
        <f>IFERROR(IF(VLOOKUP(A61,tbMoveset!A2:J112,10,FALSE)=TRUE,IF((Backdoors!AI12+IF(EE61&gt;=0.45,VLOOKUP(Calculator!E23,tbSkills!DH3:DI6,2,FALSE)+IF(AND(Calculator!B8=TRUE,Backdoors!BI22=TRUE),VLOOKUP(Calculator!E23,tbSkills!DH3:DJ6,3,FALSE),0),0))&gt;=0,1+(Backdoors!AL2*(IF((Backdoors!AI12+IF(EE61&gt;=0.45,VLOOKUP(Calculator!E23,tbSkills!DH3:DI6,2,FALSE)+IF(AND(Calculator!B8=TRUE,Backdoors!BI22=TRUE),VLOOKUP(Calculator!E23,tbSkills!DH3:DJ6,3,FALSE),0),0))&gt;=100,100,(Backdoors!AI12+IF(EE61&gt;=0.45,VLOOKUP(Calculator!E23,tbSkills!DH3:DI6,2,FALSE)+IF(AND(Calculator!B8=TRUE,Backdoors!BI22=TRUE),VLOOKUP(Calculator!E23,tbSkills!DH3:DJ6,3,FALSE),0),0)))/100)),(1-(0.25*((-Backdoors!AI12-IF(EE61&gt;=0.45,VLOOKUP(Calculator!E23,tbSkills!DH3:DI6,2,FALSE)+IF(AND(Calculator!B8=TRUE,Backdoors!BI22=TRUE),VLOOKUP(Calculator!E23,tbSkills!DH3:DJ6,3,FALSE),0),0))/100)))),1),"")</f>
        <v>1</v>
      </c>
      <c r="EH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E61)*EG61)*(VLOOKUP(A61,tbMoveset!A2:C112,3,FALSE)/100)*IF(VLOOKUP(A61,tbMoveset!A2:B112,2,FALSE)="Projectile",Backdoors!N10,Backdoors!N9),0),"")</f>
        <v/>
      </c>
      <c r="EI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E61&gt;=0.45,VLOOKUP(Calculator!E23,tbSkills!DH3:DI6,2,FALSE)+IF(AND(Calculator!B8=TRUE,Backdoors!BI22=TRUE),VLOOKUP(Calculator!E23,tbSkills!DH3:DJ6,3,FALSE),0),0))&gt;=100,100,(Backdoors!AI12+IF(EE61&gt;=0.45,VLOOKUP(Calculator!E23,tbSkills!DH3:DI6,2,FALSE)+IF(AND(Calculator!B8=TRUE,Backdoors!BI22=TRUE),VLOOKUP(Calculator!E23,tbSkills!DH3:DJ6,3,FALSE),0),0)))/100)),1))*IF(VLOOKUP(A61,tbMoveset!A2:K112,11,FALSE)=TRUE,Backdoors!AC5,1))*EF61,0),"")</f>
        <v>0</v>
      </c>
      <c r="EJ61" s="49">
        <f>VLOOKUP(A61,tbMoveset!A2:G112,7,FALSE)*IFERROR(IF(Backdoors!AI12&gt;=0,1+(IF(Calculator!E40&gt;0,VLOOKUP(Calculator!E40,tbSkills!AI3:AJ5,2,FALSE),Backdoors!AL4)*(IF((Backdoors!AI12+IF(EE61&gt;=0.45,VLOOKUP(Calculator!E23,tbSkills!DH3:DI6,2,FALSE)+IF(AND(Calculator!B8=TRUE,Backdoors!BI22=TRUE),VLOOKUP(Calculator!E23,tbSkills!DH3:DJ6,3,FALSE),0),0))&gt;=100,100,(Backdoors!AI12+IF(EE61&gt;=0.45,VLOOKUP(Calculator!E23,tbSkills!DH3:DI6,2,FALSE)+IF(AND(Calculator!B8=TRUE,Backdoors!BI22=TRUE),VLOOKUP(Calculator!E23,tbSkills!DH3:DJ6,3,FALSE),0),0)))/100)),1),1)</f>
        <v>0.5</v>
      </c>
      <c r="EK61" s="87">
        <f t="shared" si="12"/>
        <v>0</v>
      </c>
      <c r="EL61" s="86" t="str">
        <f>IFERROR(IF(VLOOKUP(A61,tbMoveset!A2:B112,2,FALSE)="Sever",Backdoors!AY23/100,IF(VLOOKUP(A61,tbMoveset!A2:B112,2,FALSE)="Blunt",Backdoors!AZ23/100,Backdoors!BA23/100)),"")</f>
        <v/>
      </c>
      <c r="EM61" s="49">
        <f>IFERROR(IF(VLOOKUP(tbMoveset!A61,tbMoveset!A2:H112,8,FALSE)="Other",IF(VLOOKUP(tbMoveset!A61,tbMoveset!A2:I112,9,FALSE)="Fire",Backdoors!BB23,IF(VLOOKUP(tbMoveset!A61,tbMoveset!A2:I112,9,FALSE)="Water",Backdoors!BC23,IF(VLOOKUP(tbMoveset!A61,tbMoveset!A2:I112,9,FALSE)="Thunder",Backdoors!BD23,IF(VLOOKUP(tbMoveset!A61,tbMoveset!A2:I112,9,FALSE)="Ice",Backdoors!BE23,IF(VLOOKUP(tbMoveset!A61,tbMoveset!A2:I112,9,FALSE)="Dragon",Backdoors!BF23,Backdoors!BG23)))))/100,Backdoors!BG23/100),"")</f>
        <v>0</v>
      </c>
      <c r="EN61" s="49">
        <f>IFERROR(IF(VLOOKUP(A61,tbMoveset!A2:J112,10,FALSE)=TRUE,IF((Backdoors!AI12+IF(EL61&gt;=0.45,VLOOKUP(Calculator!E23,tbSkills!DH3:DI6,2,FALSE)+IF(AND(Calculator!B8=TRUE,Backdoors!BI23=TRUE),VLOOKUP(Calculator!E23,tbSkills!DH3:DJ6,3,FALSE),0),0))&gt;=0,1+(Backdoors!AL2*(IF((Backdoors!AI12+IF(EL61&gt;=0.45,VLOOKUP(Calculator!E23,tbSkills!DH3:DI6,2,FALSE)+IF(AND(Calculator!B8=TRUE,Backdoors!BI23=TRUE),VLOOKUP(Calculator!E23,tbSkills!DH3:DJ6,3,FALSE),0),0))&gt;=100,100,(Backdoors!AI12+IF(EL61&gt;=0.45,VLOOKUP(Calculator!E23,tbSkills!DH3:DI6,2,FALSE)+IF(AND(Calculator!B8=TRUE,Backdoors!BI23=TRUE),VLOOKUP(Calculator!E23,tbSkills!DH3:DJ6,3,FALSE),0),0)))/100)),(1-(0.25*((-Backdoors!AI12-IF(EL61&gt;=0.45,VLOOKUP(Calculator!E23,tbSkills!DH3:DI6,2,FALSE)+IF(AND(Calculator!B8=TRUE,Backdoors!BI23=TRUE),VLOOKUP(Calculator!E23,tbSkills!DH3:DJ6,3,FALSE),0),0))/100)))),1),"")</f>
        <v>1</v>
      </c>
      <c r="EO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L61)*EN61)*(VLOOKUP(A61,tbMoveset!A2:C112,3,FALSE)/100)*IF(VLOOKUP(A61,tbMoveset!A2:B112,2,FALSE)="Projectile",Backdoors!N10,Backdoors!N9),0),"")</f>
        <v/>
      </c>
      <c r="EP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L61&gt;=0.45,VLOOKUP(Calculator!E23,tbSkills!DH3:DI6,2,FALSE)+IF(AND(Calculator!B8=TRUE,Backdoors!BI23=TRUE),VLOOKUP(Calculator!E23,tbSkills!DH3:DJ6,3,FALSE),0),0))&gt;=100,100,(Backdoors!AI12+IF(EL61&gt;=0.45,VLOOKUP(Calculator!E23,tbSkills!DH3:DI6,2,FALSE)+IF(AND(Calculator!B8=TRUE,Backdoors!BI23=TRUE),VLOOKUP(Calculator!E23,tbSkills!DH3:DJ6,3,FALSE),0),0)))/100)),1))*IF(VLOOKUP(A61,tbMoveset!A2:K112,11,FALSE)=TRUE,Backdoors!AC5,1))*EM61,0),"")</f>
        <v>0</v>
      </c>
      <c r="EQ61" s="49">
        <f>VLOOKUP(A61,tbMoveset!A2:G112,7,FALSE)*IFERROR(IF(Backdoors!AI12&gt;=0,1+(IF(Calculator!E40&gt;0,VLOOKUP(Calculator!E40,tbSkills!AI3:AJ5,2,FALSE),Backdoors!AL4)*(IF((Backdoors!AI12+IF(EL61&gt;=0.45,VLOOKUP(Calculator!E23,tbSkills!DH3:DI6,2,FALSE)+IF(AND(Calculator!B8=TRUE,Backdoors!BI23=TRUE),VLOOKUP(Calculator!E23,tbSkills!DH3:DJ6,3,FALSE),0),0))&gt;=100,100,(Backdoors!AI12+IF(EL61&gt;=0.45,VLOOKUP(Calculator!E23,tbSkills!DH3:DI6,2,FALSE)+IF(AND(Calculator!B8=TRUE,Backdoors!BI23=TRUE),VLOOKUP(Calculator!E23,tbSkills!DH3:DJ6,3,FALSE),0),0)))/100)),1),1)</f>
        <v>0.5</v>
      </c>
      <c r="ER61" s="87">
        <f t="shared" si="13"/>
        <v>0</v>
      </c>
      <c r="ES61" s="86" t="str">
        <f>IFERROR(IF(VLOOKUP(A61,tbMoveset!A2:B112,2,FALSE)="Sever",Backdoors!AY24/100,IF(VLOOKUP(A61,tbMoveset!A2:B112,2,FALSE)="Blunt",Backdoors!AZ24/100,Backdoors!BA24/100)),"")</f>
        <v/>
      </c>
      <c r="ET61" s="49">
        <f>IFERROR(IF(VLOOKUP(tbMoveset!A61,tbMoveset!A2:H112,8,FALSE)="Other",IF(VLOOKUP(tbMoveset!A61,tbMoveset!A2:I112,9,FALSE)="Fire",Backdoors!BB24,IF(VLOOKUP(tbMoveset!A61,tbMoveset!A2:I112,9,FALSE)="Water",Backdoors!BC24,IF(VLOOKUP(tbMoveset!A61,tbMoveset!A2:I112,9,FALSE)="Thunder",Backdoors!BD24,IF(VLOOKUP(tbMoveset!A61,tbMoveset!A2:I112,9,FALSE)="Ice",Backdoors!BE24,IF(VLOOKUP(tbMoveset!A61,tbMoveset!A2:I112,9,FALSE)="Dragon",Backdoors!BF24,Backdoors!BG24)))))/100,Backdoors!BG24/100),"")</f>
        <v>0</v>
      </c>
      <c r="EU61" s="49">
        <f>IFERROR(IF(VLOOKUP(A61,tbMoveset!A2:J112,10,FALSE)=TRUE,IF((Backdoors!AI12+IF(ES61&gt;=0.45,VLOOKUP(Calculator!E23,tbSkills!DH3:DI6,2,FALSE)+IF(AND(Calculator!B8=TRUE,Backdoors!BI24=TRUE),VLOOKUP(Calculator!E23,tbSkills!DH3:DJ6,3,FALSE),0),0))&gt;=0,1+(Backdoors!AL2*(IF((Backdoors!AI12+IF(ES61&gt;=0.45,VLOOKUP(Calculator!E23,tbSkills!DH3:DI6,2,FALSE)+IF(AND(Calculator!B8=TRUE,Backdoors!BI24=TRUE),VLOOKUP(Calculator!E23,tbSkills!DH3:DJ6,3,FALSE),0),0))&gt;=100,100,(Backdoors!AI12+IF(ES61&gt;=0.45,VLOOKUP(Calculator!E23,tbSkills!DH3:DI6,2,FALSE)+IF(AND(Calculator!B8=TRUE,Backdoors!BI24=TRUE),VLOOKUP(Calculator!E23,tbSkills!DH3:DJ6,3,FALSE),0),0)))/100)),(1-(0.25*((-Backdoors!AI12-IF(ES61&gt;=0.45,VLOOKUP(Calculator!E23,tbSkills!DH3:DI6,2,FALSE)+IF(AND(Calculator!B8=TRUE,Backdoors!BI24=TRUE),VLOOKUP(Calculator!E23,tbSkills!DH3:DJ6,3,FALSE),0),0))/100)))),1),"")</f>
        <v>1</v>
      </c>
      <c r="EV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S61)*EU61)*(VLOOKUP(A61,tbMoveset!A2:C112,3,FALSE)/100)*IF(VLOOKUP(A61,tbMoveset!A2:B112,2,FALSE)="Projectile",Backdoors!N10,Backdoors!N9),0),"")</f>
        <v/>
      </c>
      <c r="EW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S61&gt;=0.45,VLOOKUP(Calculator!E23,tbSkills!DH3:DI6,2,FALSE)+IF(AND(Calculator!B8=TRUE,Backdoors!BI24=TRUE),VLOOKUP(Calculator!E23,tbSkills!DH3:DJ6,3,FALSE),0),0))&gt;=100,100,(Backdoors!AI12+IF(ES61&gt;=0.45,VLOOKUP(Calculator!E23,tbSkills!DH3:DI6,2,FALSE)+IF(AND(Calculator!B8=TRUE,Backdoors!BI24=TRUE),VLOOKUP(Calculator!E23,tbSkills!DH3:DJ6,3,FALSE),0),0)))/100)),1))*IF(VLOOKUP(A61,tbMoveset!A2:K112,11,FALSE)=TRUE,Backdoors!AC5,1))*ET61,0),"")</f>
        <v>0</v>
      </c>
      <c r="EX61" s="49">
        <f>VLOOKUP(A61,tbMoveset!A2:G112,7,FALSE)*IFERROR(IF(Backdoors!AI12&gt;=0,1+(IF(Calculator!E40&gt;0,VLOOKUP(Calculator!E40,tbSkills!AI3:AJ5,2,FALSE),Backdoors!AL4)*(IF((Backdoors!AI12+IF(ES61&gt;=0.45,VLOOKUP(Calculator!E23,tbSkills!DH3:DI6,2,FALSE)+IF(AND(Calculator!B8=TRUE,Backdoors!BI24=TRUE),VLOOKUP(Calculator!E23,tbSkills!DH3:DJ6,3,FALSE),0),0))&gt;=100,100,(Backdoors!AI12+IF(ES61&gt;=0.45,VLOOKUP(Calculator!E23,tbSkills!DH3:DI6,2,FALSE)+IF(AND(Calculator!B8=TRUE,Backdoors!BI24=TRUE),VLOOKUP(Calculator!E23,tbSkills!DH3:DJ6,3,FALSE),0),0)))/100)),1),1)</f>
        <v>0.5</v>
      </c>
      <c r="EY61" s="87">
        <f t="shared" si="14"/>
        <v>0</v>
      </c>
      <c r="EZ61" s="86" t="str">
        <f>IFERROR(IF(VLOOKUP(A61,tbMoveset!A2:B112,2,FALSE)="Sever",Backdoors!AY25/100,IF(VLOOKUP(A61,tbMoveset!A2:B112,2,FALSE)="Blunt",Backdoors!AZ25/100,Backdoors!BA25/100)),"")</f>
        <v/>
      </c>
      <c r="FA61" s="49">
        <f>IFERROR(IF(VLOOKUP(tbMoveset!A61,tbMoveset!A2:H112,8,FALSE)="Other",IF(VLOOKUP(tbMoveset!A61,tbMoveset!A2:I112,9,FALSE)="Fire",Backdoors!BB25,IF(VLOOKUP(tbMoveset!A61,tbMoveset!A2:I112,9,FALSE)="Water",Backdoors!BC25,IF(VLOOKUP(tbMoveset!A61,tbMoveset!A2:I112,9,FALSE)="Thunder",Backdoors!BD25,IF(VLOOKUP(tbMoveset!A61,tbMoveset!A2:I112,9,FALSE)="Ice",Backdoors!BE25,IF(VLOOKUP(tbMoveset!A61,tbMoveset!A2:I112,9,FALSE)="Dragon",Backdoors!BF25,Backdoors!BG25)))))/100,Backdoors!BG25/100),"")</f>
        <v>0</v>
      </c>
      <c r="FB61" s="49">
        <f>IFERROR(IF(VLOOKUP(A61,tbMoveset!A2:J112,10,FALSE)=TRUE,IF((Backdoors!AI12+IF(EZ61&gt;=0.45,VLOOKUP(Calculator!E23,tbSkills!DH3:DI6,2,FALSE)+IF(AND(Calculator!B8=TRUE,Backdoors!BI25=TRUE),VLOOKUP(Calculator!E23,tbSkills!DH3:DJ6,3,FALSE),0),0))&gt;=0,1+(Backdoors!AL2*(IF((Backdoors!AI12+IF(EZ61&gt;=0.45,VLOOKUP(Calculator!E23,tbSkills!DH3:DI6,2,FALSE)+IF(AND(Calculator!B8=TRUE,Backdoors!BI25=TRUE),VLOOKUP(Calculator!E23,tbSkills!DH3:DJ6,3,FALSE),0),0))&gt;=100,100,(Backdoors!AI12+IF(EZ61&gt;=0.45,VLOOKUP(Calculator!E23,tbSkills!DH3:DI6,2,FALSE)+IF(AND(Calculator!B8=TRUE,Backdoors!BI25=TRUE),VLOOKUP(Calculator!E23,tbSkills!DH3:DJ6,3,FALSE),0),0)))/100)),(1-(0.25*((-Backdoors!AI12-IF(EZ61&gt;=0.45,VLOOKUP(Calculator!E23,tbSkills!DH3:DI6,2,FALSE)+IF(AND(Calculator!B8=TRUE,Backdoors!BI25=TRUE),VLOOKUP(Calculator!E23,tbSkills!DH3:DJ6,3,FALSE),0),0))/100)))),1),"")</f>
        <v>1</v>
      </c>
      <c r="FC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Z61)*FB61)*(VLOOKUP(A61,tbMoveset!A2:C112,3,FALSE)/100)*IF(VLOOKUP(A61,tbMoveset!A2:B112,2,FALSE)="Projectile",Backdoors!N10,Backdoors!N9),0),"")</f>
        <v/>
      </c>
      <c r="FD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Z61&gt;=0.45,VLOOKUP(Calculator!E23,tbSkills!DH3:DI6,2,FALSE)+IF(AND(Calculator!B8=TRUE,Backdoors!BI25=TRUE),VLOOKUP(Calculator!E23,tbSkills!DH3:DJ6,3,FALSE),0),0))&gt;=100,100,(Backdoors!AI12+IF(EZ61&gt;=0.45,VLOOKUP(Calculator!E23,tbSkills!DH3:DI6,2,FALSE)+IF(AND(Calculator!B8=TRUE,Backdoors!BI25=TRUE),VLOOKUP(Calculator!E23,tbSkills!DH3:DJ6,3,FALSE),0),0)))/100)),1))*IF(VLOOKUP(A61,tbMoveset!A2:K112,11,FALSE)=TRUE,Backdoors!AC5,1))*FA61,0),"")</f>
        <v>0</v>
      </c>
      <c r="FE61" s="49">
        <f>VLOOKUP(A61,tbMoveset!A2:G112,7,FALSE)*IFERROR(IF(Backdoors!AI12&gt;=0,1+(IF(Calculator!E40&gt;0,VLOOKUP(Calculator!E40,tbSkills!AI3:AJ5,2,FALSE),Backdoors!AL4)*(IF((Backdoors!AI12+IF(EZ61&gt;=0.45,VLOOKUP(Calculator!E23,tbSkills!DH3:DI6,2,FALSE)+IF(AND(Calculator!B8=TRUE,Backdoors!BI25=TRUE),VLOOKUP(Calculator!E23,tbSkills!DH3:DJ6,3,FALSE),0),0))&gt;=100,100,(Backdoors!AI12+IF(EZ61&gt;=0.45,VLOOKUP(Calculator!E23,tbSkills!DH3:DI6,2,FALSE)+IF(AND(Calculator!B8=TRUE,Backdoors!BI25=TRUE),VLOOKUP(Calculator!E23,tbSkills!DH3:DJ6,3,FALSE),0),0)))/100)),1),1)</f>
        <v>0.5</v>
      </c>
      <c r="FF61" s="87">
        <f t="shared" si="15"/>
        <v>0</v>
      </c>
      <c r="FG61" s="86" t="str">
        <f>IFERROR(IF(VLOOKUP(A61,tbMoveset!A2:B112,2,FALSE)="Sever",Backdoors!AY26/100,IF(VLOOKUP(A61,tbMoveset!A2:B112,2,FALSE)="Blunt",Backdoors!AZ26/100,Backdoors!BA26/100)),"")</f>
        <v/>
      </c>
      <c r="FH61" s="49">
        <f>IFERROR(IF(VLOOKUP(tbMoveset!A61,tbMoveset!A2:H112,8,FALSE)="Other",IF(VLOOKUP(tbMoveset!A61,tbMoveset!A2:I112,9,FALSE)="Fire",Backdoors!BB26,IF(VLOOKUP(tbMoveset!A61,tbMoveset!A2:I112,9,FALSE)="Water",Backdoors!BC26,IF(VLOOKUP(tbMoveset!A61,tbMoveset!A2:I112,9,FALSE)="Thunder",Backdoors!BD26,IF(VLOOKUP(tbMoveset!A61,tbMoveset!A2:I112,9,FALSE)="Ice",Backdoors!BE26,IF(VLOOKUP(tbMoveset!A61,tbMoveset!A2:I112,9,FALSE)="Dragon",Backdoors!BF26,Backdoors!BG26)))))/100,Backdoors!BG26/100),"")</f>
        <v>0</v>
      </c>
      <c r="FI61" s="49">
        <f>IFERROR(IF(VLOOKUP(A61,tbMoveset!A2:J112,10,FALSE)=TRUE,IF((Backdoors!AI12+IF(FG61&gt;=0.45,VLOOKUP(Calculator!E23,tbSkills!DH3:DI6,2,FALSE)+IF(AND(Calculator!B8=TRUE,Backdoors!BI26=TRUE),VLOOKUP(Calculator!E23,tbSkills!DH3:DJ6,3,FALSE),0),0))&gt;=0,1+(Backdoors!AL2*(IF((Backdoors!AI12+IF(FG61&gt;=0.45,VLOOKUP(Calculator!E23,tbSkills!DH3:DI6,2,FALSE)+IF(AND(Calculator!B8=TRUE,Backdoors!BI26=TRUE),VLOOKUP(Calculator!E23,tbSkills!DH3:DJ6,3,FALSE),0),0))&gt;=100,100,(Backdoors!AI12+IF(FG61&gt;=0.45,VLOOKUP(Calculator!E23,tbSkills!DH3:DI6,2,FALSE)+IF(AND(Calculator!B8=TRUE,Backdoors!BI26=TRUE),VLOOKUP(Calculator!E23,tbSkills!DH3:DJ6,3,FALSE),0),0)))/100)),(1-(0.25*((-Backdoors!AI12-IF(FG61&gt;=0.45,VLOOKUP(Calculator!E23,tbSkills!DH3:DI6,2,FALSE)+IF(AND(Calculator!B8=TRUE,Backdoors!BI26=TRUE),VLOOKUP(Calculator!E23,tbSkills!DH3:DJ6,3,FALSE),0),0))/100)))),1),"")</f>
        <v>1</v>
      </c>
      <c r="FJ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FG61)*FI61)*(VLOOKUP(A61,tbMoveset!A2:C112,3,FALSE)/100)*IF(VLOOKUP(A61,tbMoveset!A2:B112,2,FALSE)="Projectile",Backdoors!N10,Backdoors!N9),0),"")</f>
        <v/>
      </c>
      <c r="FK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FG61&gt;=0.45,VLOOKUP(Calculator!E23,tbSkills!DH3:DI6,2,FALSE)+IF(AND(Calculator!B8=TRUE,Backdoors!BI26=TRUE),VLOOKUP(Calculator!E23,tbSkills!DH3:DJ6,3,FALSE),0),0))&gt;=100,100,(Backdoors!AI12+IF(FG61&gt;=0.45,VLOOKUP(Calculator!E23,tbSkills!DH3:DI6,2,FALSE)+IF(AND(Calculator!B8=TRUE,Backdoors!BI26=TRUE),VLOOKUP(Calculator!E23,tbSkills!DH3:DJ6,3,FALSE),0),0)))/100)),1))*IF(VLOOKUP(A61,tbMoveset!A2:K112,11,FALSE)=TRUE,Backdoors!AC5,1))*FH61,0),"")</f>
        <v>0</v>
      </c>
      <c r="FL61" s="49">
        <f>VLOOKUP(A61,tbMoveset!A2:G112,7,FALSE)*IFERROR(IF(Backdoors!AI12&gt;=0,1+(IF(Calculator!E40&gt;0,VLOOKUP(Calculator!E40,tbSkills!AI3:AJ5,2,FALSE),Backdoors!AL4)*(IF((Backdoors!AI12+IF(FG61&gt;=0.45,VLOOKUP(Calculator!E23,tbSkills!DH3:DI6,2,FALSE)+IF(AND(Calculator!B8=TRUE,Backdoors!BI26=TRUE),VLOOKUP(Calculator!E23,tbSkills!DH3:DJ6,3,FALSE),0),0))&gt;=100,100,(Backdoors!AI12+IF(FG61&gt;=0.45,VLOOKUP(Calculator!E23,tbSkills!DH3:DI6,2,FALSE)+IF(AND(Calculator!B8=TRUE,Backdoors!BI26=TRUE),VLOOKUP(Calculator!E23,tbSkills!DH3:DJ6,3,FALSE),0),0)))/100)),1),1)</f>
        <v>0.5</v>
      </c>
      <c r="FM61" s="87">
        <f t="shared" si="16"/>
        <v>0</v>
      </c>
      <c r="FN61" s="86" t="str">
        <f>IFERROR(IF(VLOOKUP(A61,tbMoveset!A2:B112,2,FALSE)="Sever",Backdoors!AY27/100,IF(VLOOKUP(A61,tbMoveset!A2:B112,2,FALSE)="Blunt",Backdoors!AZ27/100,Backdoors!BA27/100)),"")</f>
        <v/>
      </c>
      <c r="FO61" s="49">
        <f>IFERROR(IF(VLOOKUP(tbMoveset!A61,tbMoveset!A2:H112,8,FALSE)="Other",IF(VLOOKUP(tbMoveset!A61,tbMoveset!A2:I112,9,FALSE)="Fire",Backdoors!BB27,IF(VLOOKUP(tbMoveset!A61,tbMoveset!A2:I112,9,FALSE)="Water",Backdoors!BC27,IF(VLOOKUP(tbMoveset!A61,tbMoveset!A2:I112,9,FALSE)="Thunder",Backdoors!BD27,IF(VLOOKUP(tbMoveset!A61,tbMoveset!A2:I112,9,FALSE)="Ice",Backdoors!BE27,IF(VLOOKUP(tbMoveset!A61,tbMoveset!A2:I112,9,FALSE)="Dragon",Backdoors!BF27,Backdoors!BG27)))))/100,Backdoors!BG27/100),"")</f>
        <v>0</v>
      </c>
      <c r="FP61" s="49">
        <f>IFERROR(IF(VLOOKUP(A61,tbMoveset!A2:J112,10,FALSE)=TRUE,IF((Backdoors!AI12+IF(FN61&gt;=0.45,VLOOKUP(Calculator!E23,tbSkills!DH3:DI6,2,FALSE)+IF(AND(Calculator!B8=TRUE,Backdoors!BI27=TRUE),VLOOKUP(Calculator!E23,tbSkills!DH3:DJ6,3,FALSE),0),0))&gt;=0,1+(Backdoors!AL2*(IF((Backdoors!AI12+IF(FN61&gt;=0.45,VLOOKUP(Calculator!E23,tbSkills!DH3:DI6,2,FALSE)+IF(AND(Calculator!B8=TRUE,Backdoors!BI27=TRUE),VLOOKUP(Calculator!E23,tbSkills!DH3:DJ6,3,FALSE),0),0))&gt;=100,100,(Backdoors!AI12+IF(FN61&gt;=0.45,VLOOKUP(Calculator!E23,tbSkills!DH3:DI6,2,FALSE)+IF(AND(Calculator!B8=TRUE,Backdoors!BI27=TRUE),VLOOKUP(Calculator!E23,tbSkills!DH3:DJ6,3,FALSE),0),0)))/100)),(1-(0.25*((-Backdoors!AI12-IF(FN61&gt;=0.45,VLOOKUP(Calculator!E23,tbSkills!DH3:DI6,2,FALSE)+IF(AND(Calculator!B8=TRUE,Backdoors!BI27=TRUE),VLOOKUP(Calculator!E23,tbSkills!DH3:DJ6,3,FALSE),0),0))/100)))),1),"")</f>
        <v>1</v>
      </c>
      <c r="FQ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FN61)*FP61)*(VLOOKUP(A61,tbMoveset!A2:C112,3,FALSE)/100)*IF(VLOOKUP(A61,tbMoveset!A2:B112,2,FALSE)="Projectile",Backdoors!N10,Backdoors!N9),0),"")</f>
        <v/>
      </c>
      <c r="FR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FN61&gt;=0.45,VLOOKUP(Calculator!E23,tbSkills!DH3:DI6,2,FALSE)+IF(AND(Calculator!B8=TRUE,Backdoors!BI27=TRUE),VLOOKUP(Calculator!E23,tbSkills!DH3:DJ6,3,FALSE),0),0))&gt;=100,100,(Backdoors!AI12+IF(FN61&gt;=0.45,VLOOKUP(Calculator!E23,tbSkills!DH3:DI6,2,FALSE)+IF(AND(Calculator!B8=TRUE,Backdoors!BI27=TRUE),VLOOKUP(Calculator!E23,tbSkills!DH3:DJ6,3,FALSE),0),0)))/100)),1))*IF(VLOOKUP(A61,tbMoveset!A2:K112,11,FALSE)=TRUE,Backdoors!AC5,1))*FO61,0),"")</f>
        <v>0</v>
      </c>
      <c r="FS61" s="49">
        <f>VLOOKUP(A61,tbMoveset!A2:G112,7,FALSE)*IFERROR(IF(Backdoors!AI12&gt;=0,1+(IF(Calculator!E40&gt;0,VLOOKUP(Calculator!E40,tbSkills!AI3:AJ5,2,FALSE),Backdoors!AL4)*(IF((Backdoors!AI12+IF(FN61&gt;=0.45,VLOOKUP(Calculator!E23,tbSkills!DH3:DI6,2,FALSE)+IF(AND(Calculator!B8=TRUE,Backdoors!BI27=TRUE),VLOOKUP(Calculator!E23,tbSkills!DH3:DJ6,3,FALSE),0),0))&gt;=100,100,(Backdoors!AI12+IF(FN61&gt;=0.45,VLOOKUP(Calculator!E23,tbSkills!DH3:DI6,2,FALSE)+IF(AND(Calculator!B8=TRUE,Backdoors!BI27=TRUE),VLOOKUP(Calculator!E23,tbSkills!DH3:DJ6,3,FALSE),0),0)))/100)),1),1)</f>
        <v>0.5</v>
      </c>
      <c r="FT61" s="87">
        <f t="shared" si="17"/>
        <v>0</v>
      </c>
      <c r="FU61" s="86" t="str">
        <f>IFERROR(IF(VLOOKUP(A61,tbMoveset!A2:B112,2,FALSE)="Sever",Backdoors!AY28/100,IF(VLOOKUP(A61,tbMoveset!A2:B112,2,FALSE)="Blunt",Backdoors!AZ28/100,Backdoors!BA28/100)),"")</f>
        <v/>
      </c>
      <c r="FV61" s="49">
        <f>IFERROR(IF(VLOOKUP(tbMoveset!A61,tbMoveset!A2:H112,8,FALSE)="Other",IF(VLOOKUP(tbMoveset!A61,tbMoveset!A2:I112,9,FALSE)="Fire",Backdoors!BB28,IF(VLOOKUP(tbMoveset!A61,tbMoveset!A2:I112,9,FALSE)="Water",Backdoors!BC28,IF(VLOOKUP(tbMoveset!A61,tbMoveset!A2:I112,9,FALSE)="Thunder",Backdoors!BD28,IF(VLOOKUP(tbMoveset!A61,tbMoveset!A2:I112,9,FALSE)="Ice",Backdoors!BE28,IF(VLOOKUP(tbMoveset!A61,tbMoveset!A2:I112,9,FALSE)="Dragon",Backdoors!BF28,Backdoors!BG28)))))/100,Backdoors!BG28/100),"")</f>
        <v>0</v>
      </c>
      <c r="FW61" s="49">
        <f>IFERROR(IF(VLOOKUP(A61,tbMoveset!A2:J112,10,FALSE)=TRUE,IF((Backdoors!AI12+IF(FU61&gt;=0.45,VLOOKUP(Calculator!E23,tbSkills!DH3:DI6,2,FALSE)+IF(AND(Calculator!B8=TRUE,Backdoors!BI28=TRUE),VLOOKUP(Calculator!E23,tbSkills!DH3:DJ6,3,FALSE),0),0))&gt;=0,1+(Backdoors!AL2*(IF((Backdoors!AI12+IF(FU61&gt;=0.45,VLOOKUP(Calculator!E23,tbSkills!DH3:DI6,2,FALSE)+IF(AND(Calculator!B8=TRUE,Backdoors!BI28=TRUE),VLOOKUP(Calculator!E23,tbSkills!DH3:DJ6,3,FALSE),0),0))&gt;=100,100,(Backdoors!AI12+IF(FU61&gt;=0.45,VLOOKUP(Calculator!E23,tbSkills!DH3:DI6,2,FALSE)+IF(AND(Calculator!B8=TRUE,Backdoors!BI28=TRUE),VLOOKUP(Calculator!E23,tbSkills!DH3:DJ6,3,FALSE),0),0)))/100)),(1-(0.25*((-Backdoors!AI12-IF(FU61&gt;=0.45,VLOOKUP(Calculator!E23,tbSkills!DH3:DI6,2,FALSE)+IF(AND(Calculator!B8=TRUE,Backdoors!BI28=TRUE),VLOOKUP(Calculator!E23,tbSkills!DH3:DJ6,3,FALSE),0),0))/100)))),1),"")</f>
        <v>1</v>
      </c>
      <c r="FX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FU61)*FW61)*(VLOOKUP(A61,tbMoveset!A2:C112,3,FALSE)/100)*IF(VLOOKUP(A61,tbMoveset!A2:B112,2,FALSE)="Projectile",Backdoors!N10,Backdoors!N9),0),"")</f>
        <v/>
      </c>
      <c r="FY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FU61&gt;=0.45,VLOOKUP(Calculator!E23,tbSkills!DH3:DI6,2,FALSE)+IF(AND(Calculator!B8=TRUE,Backdoors!BI28=TRUE),VLOOKUP(Calculator!E23,tbSkills!DH3:DJ6,3,FALSE),0),0))&gt;=100,100,(Backdoors!AI12+IF(FU61&gt;=0.45,VLOOKUP(Calculator!E23,tbSkills!DH3:DI6,2,FALSE)+IF(AND(Calculator!B8=TRUE,Backdoors!BI28=TRUE),VLOOKUP(Calculator!E23,tbSkills!DH3:DJ6,3,FALSE),0),0)))/100)),1))*IF(VLOOKUP(A61,tbMoveset!A2:K112,11,FALSE)=TRUE,Backdoors!AC5,1))*FV61,0),"")</f>
        <v>0</v>
      </c>
      <c r="FZ61" s="49">
        <f>VLOOKUP(A61,tbMoveset!A2:G112,7,FALSE)*IFERROR(IF(Backdoors!AI12&gt;=0,1+(IF(Calculator!E40&gt;0,VLOOKUP(Calculator!E40,tbSkills!AI3:AJ5,2,FALSE),Backdoors!AL4)*(IF((Backdoors!AI12+IF(FU61&gt;=0.45,VLOOKUP(Calculator!E23,tbSkills!DH3:DI6,2,FALSE)+IF(AND(Calculator!B8=TRUE,Backdoors!BI28=TRUE),VLOOKUP(Calculator!E23,tbSkills!DH3:DJ6,3,FALSE),0),0))&gt;=100,100,(Backdoors!AI12+IF(FU61&gt;=0.45,VLOOKUP(Calculator!E23,tbSkills!DH3:DI6,2,FALSE)+IF(AND(Calculator!B8=TRUE,Backdoors!BI28=TRUE),VLOOKUP(Calculator!E23,tbSkills!DH3:DJ6,3,FALSE),0),0)))/100)),1),1)</f>
        <v>0.5</v>
      </c>
      <c r="GA61" s="87">
        <f t="shared" si="18"/>
        <v>0</v>
      </c>
      <c r="GB61" s="86" t="str">
        <f>IFERROR(IF(VLOOKUP(A61,tbMoveset!A2:B112,2,FALSE)="Sever",Backdoors!AY29/100,IF(VLOOKUP(A61,tbMoveset!A2:B112,2,FALSE)="Blunt",Backdoors!AZ29/100,Backdoors!BA29/100)),"")</f>
        <v/>
      </c>
      <c r="GC61" s="49">
        <f>IFERROR(IF(VLOOKUP(tbMoveset!A61,tbMoveset!A2:H112,8,FALSE)="Other",IF(VLOOKUP(tbMoveset!A61,tbMoveset!A2:I112,9,FALSE)="Fire",Backdoors!BB29,IF(VLOOKUP(tbMoveset!A61,tbMoveset!A2:I112,9,FALSE)="Water",Backdoors!BC29,IF(VLOOKUP(tbMoveset!A61,tbMoveset!A2:I112,9,FALSE)="Thunder",Backdoors!BD29,IF(VLOOKUP(tbMoveset!A61,tbMoveset!A2:I112,9,FALSE)="Ice",Backdoors!BE29,IF(VLOOKUP(tbMoveset!A61,tbMoveset!A2:I112,9,FALSE)="Dragon",Backdoors!BF29,Backdoors!BG29)))))/100,Backdoors!BG29/100),"")</f>
        <v>0</v>
      </c>
      <c r="GD61" s="49">
        <f>IFERROR(IF(VLOOKUP(A61,tbMoveset!A2:J112,10,FALSE)=TRUE,IF((Backdoors!AI12+IF(GB61&gt;=0.45,VLOOKUP(Calculator!E23,tbSkills!DH3:DI6,2,FALSE)+IF(AND(Calculator!B8=TRUE,Backdoors!BI29=TRUE),VLOOKUP(Calculator!E23,tbSkills!DH3:DJ6,3,FALSE),0),0))&gt;=0,1+(Backdoors!AL2*(IF((Backdoors!AI12+IF(GB61&gt;=0.45,VLOOKUP(Calculator!E23,tbSkills!DH3:DI6,2,FALSE)+IF(AND(Calculator!B8=TRUE,Backdoors!BI29=TRUE),VLOOKUP(Calculator!E23,tbSkills!DH3:DJ6,3,FALSE),0),0))&gt;=100,100,(Backdoors!AI12+IF(GB61&gt;=0.45,VLOOKUP(Calculator!E23,tbSkills!DH3:DI6,2,FALSE)+IF(AND(Calculator!B8=TRUE,Backdoors!BI29=TRUE),VLOOKUP(Calculator!E23,tbSkills!DH3:DJ6,3,FALSE),0),0)))/100)),(1-(0.25*((-Backdoors!AI12-IF(GB61&gt;=0.45,VLOOKUP(Calculator!E23,tbSkills!DH3:DI6,2,FALSE)+IF(AND(Calculator!B8=TRUE,Backdoors!BI29=TRUE),VLOOKUP(Calculator!E23,tbSkills!DH3:DJ6,3,FALSE),0),0))/100)))),1),"")</f>
        <v>1</v>
      </c>
      <c r="GE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B61)*GD61)*(VLOOKUP(A61,tbMoveset!A2:C112,3,FALSE)/100)*IF(VLOOKUP(A61,tbMoveset!A2:B112,2,FALSE)="Projectile",Backdoors!N10,Backdoors!N9),0),"")</f>
        <v/>
      </c>
      <c r="GF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B61&gt;=0.45,VLOOKUP(Calculator!E23,tbSkills!DH3:DI6,2,FALSE)+IF(AND(Calculator!B8=TRUE,Backdoors!BI29=TRUE),VLOOKUP(Calculator!E23,tbSkills!DH3:DJ6,3,FALSE),0),0))&gt;=100,100,(Backdoors!AI12+IF(GB61&gt;=0.45,VLOOKUP(Calculator!E23,tbSkills!DH3:DI6,2,FALSE)+IF(AND(Calculator!B8=TRUE,Backdoors!BI29=TRUE),VLOOKUP(Calculator!E23,tbSkills!DH3:DJ6,3,FALSE),0),0)))/100)),1))*IF(VLOOKUP(A61,tbMoveset!A2:K112,11,FALSE)=TRUE,Backdoors!AC5,1))*GC61,0),"")</f>
        <v>0</v>
      </c>
      <c r="GG61" s="49">
        <f>VLOOKUP(A61,tbMoveset!A2:G112,7,FALSE)*IFERROR(IF(Backdoors!AI12&gt;=0,1+(IF(Calculator!E40&gt;0,VLOOKUP(Calculator!E40,tbSkills!AI3:AJ5,2,FALSE),Backdoors!AL4)*(IF((Backdoors!AI12+IF(GB61&gt;=0.45,VLOOKUP(Calculator!E23,tbSkills!DH3:DI6,2,FALSE)+IF(AND(Calculator!B8=TRUE,Backdoors!BI29=TRUE),VLOOKUP(Calculator!E23,tbSkills!DH3:DJ6,3,FALSE),0),0))&gt;=100,100,(Backdoors!AI12+IF(GB61&gt;=0.45,VLOOKUP(Calculator!E23,tbSkills!DH3:DI6,2,FALSE)+IF(AND(Calculator!B8=TRUE,Backdoors!BI29=TRUE),VLOOKUP(Calculator!E23,tbSkills!DH3:DJ6,3,FALSE),0),0)))/100)),1),1)</f>
        <v>0.5</v>
      </c>
      <c r="GH61" s="87">
        <f t="shared" si="19"/>
        <v>0</v>
      </c>
      <c r="GI61" s="86" t="str">
        <f>IFERROR(IF(VLOOKUP(A61,tbMoveset!A2:B112,2,FALSE)="Sever",Backdoors!AY30/100,IF(VLOOKUP(A61,tbMoveset!A2:B112,2,FALSE)="Blunt",Backdoors!AZ30/100,Backdoors!BA30/100)),"")</f>
        <v/>
      </c>
      <c r="GJ61" s="49">
        <f>IFERROR(IF(VLOOKUP(tbMoveset!A61,tbMoveset!A2:H112,8,FALSE)="Other",IF(VLOOKUP(tbMoveset!A61,tbMoveset!A2:I112,9,FALSE)="Fire",Backdoors!BB30,IF(VLOOKUP(tbMoveset!A61,tbMoveset!A2:I112,9,FALSE)="Water",Backdoors!BC30,IF(VLOOKUP(tbMoveset!A61,tbMoveset!A2:I112,9,FALSE)="Thunder",Backdoors!BD30,IF(VLOOKUP(tbMoveset!A61,tbMoveset!A2:I112,9,FALSE)="Ice",Backdoors!BE30,IF(VLOOKUP(tbMoveset!A61,tbMoveset!A2:I112,9,FALSE)="Dragon",Backdoors!BF30,Backdoors!BG30)))))/100,Backdoors!BG30/100),"")</f>
        <v>0</v>
      </c>
      <c r="GK61" s="49">
        <f>IFERROR(IF(VLOOKUP(A61,tbMoveset!A2:J112,10,FALSE)=TRUE,IF((Backdoors!AI12+IF(GI61&gt;=0.45,VLOOKUP(Calculator!E23,tbSkills!DH3:DI6,2,FALSE)+IF(AND(Calculator!B8=TRUE,Backdoors!BI30=TRUE),VLOOKUP(Calculator!E23,tbSkills!DH3:DJ6,3,FALSE),0),0))&gt;=0,1+(Backdoors!AL2*(IF((Backdoors!AI12+IF(GI61&gt;=0.45,VLOOKUP(Calculator!E23,tbSkills!DH3:DI6,2,FALSE)+IF(AND(Calculator!B8=TRUE,Backdoors!BI30=TRUE),VLOOKUP(Calculator!E23,tbSkills!DH3:DJ6,3,FALSE),0),0))&gt;=100,100,(Backdoors!AI12+IF(GI61&gt;=0.45,VLOOKUP(Calculator!E23,tbSkills!DH3:DI6,2,FALSE)+IF(AND(Calculator!B8=TRUE,Backdoors!BI30=TRUE),VLOOKUP(Calculator!E23,tbSkills!DH3:DJ6,3,FALSE),0),0)))/100)),(1-(0.25*((-Backdoors!AI12-IF(GI61&gt;=0.45,VLOOKUP(Calculator!E23,tbSkills!DH3:DI6,2,FALSE)+IF(AND(Calculator!B8=TRUE,Backdoors!BI30=TRUE),VLOOKUP(Calculator!E23,tbSkills!DH3:DJ6,3,FALSE),0),0))/100)))),1),"")</f>
        <v>1</v>
      </c>
      <c r="GL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I61)*GK61)*(VLOOKUP(A61,tbMoveset!A2:C112,3,FALSE)/100)*IF(VLOOKUP(A61,tbMoveset!A2:B112,2,FALSE)="Projectile",Backdoors!N10,Backdoors!N9),0),"")</f>
        <v/>
      </c>
      <c r="GM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I61&gt;=0.45,VLOOKUP(Calculator!E23,tbSkills!DH3:DI6,2,FALSE)+IF(AND(Calculator!B8=TRUE,Backdoors!BI30=TRUE),VLOOKUP(Calculator!E23,tbSkills!DH3:DJ6,3,FALSE),0),0))&gt;=100,100,(Backdoors!AI12+IF(GI61&gt;=0.45,VLOOKUP(Calculator!E23,tbSkills!DH3:DI6,2,FALSE)+IF(AND(Calculator!B8=TRUE,Backdoors!BI30=TRUE),VLOOKUP(Calculator!E23,tbSkills!DH3:DJ6,3,FALSE),0),0)))/100)),1))*IF(VLOOKUP(A61,tbMoveset!A2:K112,11,FALSE)=TRUE,Backdoors!AC5,1))*GJ61,0),"")</f>
        <v>0</v>
      </c>
      <c r="GN61" s="49">
        <f>VLOOKUP(A61,tbMoveset!A2:G112,7,FALSE)*IFERROR(IF(Backdoors!AI12&gt;=0,1+(IF(Calculator!E40&gt;0,VLOOKUP(Calculator!E40,tbSkills!AI3:AJ5,2,FALSE),Backdoors!AL4)*(IF((Backdoors!AI12+IF(GI61&gt;=0.45,VLOOKUP(Calculator!E23,tbSkills!DH3:DI6,2,FALSE)+IF(AND(Calculator!B8=TRUE,Backdoors!BI30=TRUE),VLOOKUP(Calculator!E23,tbSkills!DH3:DJ6,3,FALSE),0),0))&gt;=100,100,(Backdoors!AI12+IF(GI61&gt;=0.45,VLOOKUP(Calculator!E23,tbSkills!DH3:DI6,2,FALSE)+IF(AND(Calculator!B8=TRUE,Backdoors!BI30=TRUE),VLOOKUP(Calculator!E23,tbSkills!DH3:DJ6,3,FALSE),0),0)))/100)),1),1)</f>
        <v>0.5</v>
      </c>
      <c r="GO61" s="87">
        <f t="shared" si="20"/>
        <v>0</v>
      </c>
      <c r="GP61" s="86" t="str">
        <f>IFERROR(IF(VLOOKUP(A61,tbMoveset!A2:B112,2,FALSE)="Sever",Backdoors!AY31/100,IF(VLOOKUP(A61,tbMoveset!A2:B112,2,FALSE)="Blunt",Backdoors!AZ31/100,Backdoors!BA31/100)),"")</f>
        <v/>
      </c>
      <c r="GQ61" s="49">
        <f>IFERROR(IF(VLOOKUP(tbMoveset!A61,tbMoveset!A2:H112,8,FALSE)="Other",IF(VLOOKUP(tbMoveset!A61,tbMoveset!A2:I112,9,FALSE)="Fire",Backdoors!BB31,IF(VLOOKUP(tbMoveset!A61,tbMoveset!A2:I112,9,FALSE)="Water",Backdoors!BC31,IF(VLOOKUP(tbMoveset!A61,tbMoveset!A2:I112,9,FALSE)="Thunder",Backdoors!BD31,IF(VLOOKUP(tbMoveset!A61,tbMoveset!A2:I112,9,FALSE)="Ice",Backdoors!BE31,IF(VLOOKUP(tbMoveset!A61,tbMoveset!A2:I112,9,FALSE)="Dragon",Backdoors!BF31,Backdoors!BG31)))))/100,Backdoors!BG31/100),"")</f>
        <v>0</v>
      </c>
      <c r="GR61" s="49">
        <f>IFERROR(IF(VLOOKUP(A61,tbMoveset!A2:J112,10,FALSE)=TRUE,IF((Backdoors!AI12+IF(GP61&gt;=0.45,VLOOKUP(Calculator!E23,tbSkills!DH3:DI6,2,FALSE)+IF(AND(Calculator!B8=TRUE,Backdoors!BI31=TRUE),VLOOKUP(Calculator!E23,tbSkills!DH3:DJ6,3,FALSE),0),0))&gt;=0,1+(Backdoors!AL2*(IF((Backdoors!AI12+IF(GP61&gt;=0.45,VLOOKUP(Calculator!E23,tbSkills!DH3:DI6,2,FALSE)+IF(AND(Calculator!B8=TRUE,Backdoors!BI31=TRUE),VLOOKUP(Calculator!E23,tbSkills!DH3:DJ6,3,FALSE),0),0))&gt;=100,100,(Backdoors!AI12+IF(GP61&gt;=0.45,VLOOKUP(Calculator!E23,tbSkills!DH3:DI6,2,FALSE)+IF(AND(Calculator!B8=TRUE,Backdoors!BI31=TRUE),VLOOKUP(Calculator!E23,tbSkills!DH3:DJ6,3,FALSE),0),0)))/100)),(1-(0.25*((-Backdoors!AI12-IF(GP61&gt;=0.45,VLOOKUP(Calculator!E23,tbSkills!DH3:DI6,2,FALSE)+IF(AND(Calculator!B8=TRUE,Backdoors!BI31=TRUE),VLOOKUP(Calculator!E23,tbSkills!DH3:DJ6,3,FALSE),0),0))/100)))),1),"")</f>
        <v>1</v>
      </c>
      <c r="GS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P61)*GR61)*(VLOOKUP(A61,tbMoveset!A2:C112,3,FALSE)/100)*IF(VLOOKUP(A61,tbMoveset!A2:B112,2,FALSE)="Projectile",Backdoors!N10,Backdoors!N9),0),"")</f>
        <v/>
      </c>
      <c r="GT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P61&gt;=0.45,VLOOKUP(Calculator!E23,tbSkills!DH3:DI6,2,FALSE)+IF(AND(Calculator!B8=TRUE,Backdoors!BI31=TRUE),VLOOKUP(Calculator!E23,tbSkills!DH3:DJ6,3,FALSE),0),0))&gt;=100,100,(Backdoors!AI12+IF(GP61&gt;=0.45,VLOOKUP(Calculator!E23,tbSkills!DH3:DI6,2,FALSE)+IF(AND(Calculator!B8=TRUE,Backdoors!BI31=TRUE),VLOOKUP(Calculator!E23,tbSkills!DH3:DJ6,3,FALSE),0),0)))/100)),1))*IF(VLOOKUP(A61,tbMoveset!A2:K112,11,FALSE)=TRUE,Backdoors!AC5,1))*GQ61,0),"")</f>
        <v>0</v>
      </c>
      <c r="GU61" s="49">
        <f>VLOOKUP(A61,tbMoveset!A2:G112,7,FALSE)*IFERROR(IF(Backdoors!AI12&gt;=0,1+(IF(Calculator!E40&gt;0,VLOOKUP(Calculator!E40,tbSkills!AI3:AJ5,2,FALSE),Backdoors!AL4)*(IF((Backdoors!AI12+IF(GP61&gt;=0.45,VLOOKUP(Calculator!E23,tbSkills!DH3:DI6,2,FALSE)+IF(AND(Calculator!B8=TRUE,Backdoors!BI31=TRUE),VLOOKUP(Calculator!E23,tbSkills!DH3:DJ6,3,FALSE),0),0))&gt;=100,100,(Backdoors!AI12+IF(GP61&gt;=0.45,VLOOKUP(Calculator!E23,tbSkills!DH3:DI6,2,FALSE)+IF(AND(Calculator!B8=TRUE,Backdoors!BI31=TRUE),VLOOKUP(Calculator!E23,tbSkills!DH3:DJ6,3,FALSE),0),0)))/100)),1),1)</f>
        <v>0.5</v>
      </c>
      <c r="GV61" s="87">
        <f t="shared" si="21"/>
        <v>0</v>
      </c>
      <c r="GW61" s="86" t="str">
        <f>IFERROR(IF(VLOOKUP(A61,tbMoveset!A2:B112,2,FALSE)="Sever",Backdoors!AY32/100,IF(VLOOKUP(A61,tbMoveset!A2:B112,2,FALSE)="Blunt",Backdoors!AZ32/100,Backdoors!BA32/100)),"")</f>
        <v/>
      </c>
      <c r="GX61" s="49">
        <f>IFERROR(IF(VLOOKUP(tbMoveset!A61,tbMoveset!A2:H112,8,FALSE)="Other",IF(VLOOKUP(tbMoveset!A61,tbMoveset!A2:I112,9,FALSE)="Fire",Backdoors!BB32,IF(VLOOKUP(tbMoveset!A61,tbMoveset!A2:I112,9,FALSE)="Water",Backdoors!BC32,IF(VLOOKUP(tbMoveset!A61,tbMoveset!A2:I112,9,FALSE)="Thunder",Backdoors!BD32,IF(VLOOKUP(tbMoveset!A61,tbMoveset!A2:I112,9,FALSE)="Ice",Backdoors!BE32,IF(VLOOKUP(tbMoveset!A61,tbMoveset!A2:I112,9,FALSE)="Dragon",Backdoors!BF32,Backdoors!BG32)))))/100,Backdoors!BG32/100),"")</f>
        <v>0</v>
      </c>
      <c r="GY61" s="49">
        <f>IFERROR(IF(VLOOKUP(A61,tbMoveset!A2:J112,10,FALSE)=TRUE,IF((Backdoors!AI12+IF(GW61&gt;=0.45,VLOOKUP(Calculator!E23,tbSkills!DH3:DI6,2,FALSE)+IF(AND(Calculator!B8=TRUE,Backdoors!BI32=TRUE),VLOOKUP(Calculator!E23,tbSkills!DH3:DJ6,3,FALSE),0),0))&gt;=0,1+(Backdoors!AL2*(IF((Backdoors!AI12+IF(GW61&gt;=0.45,VLOOKUP(Calculator!E23,tbSkills!DH3:DI6,2,FALSE)+IF(AND(Calculator!B8=TRUE,Backdoors!BI32=TRUE),VLOOKUP(Calculator!E23,tbSkills!DH3:DJ6,3,FALSE),0),0))&gt;=100,100,(Backdoors!AI12+IF(GW61&gt;=0.45,VLOOKUP(Calculator!E23,tbSkills!DH3:DI6,2,FALSE)+IF(AND(Calculator!B8=TRUE,Backdoors!BI32=TRUE),VLOOKUP(Calculator!E23,tbSkills!DH3:DJ6,3,FALSE),0),0)))/100)),(1-(0.25*((-Backdoors!AI12-IF(GW61&gt;=0.45,VLOOKUP(Calculator!E23,tbSkills!DH3:DI6,2,FALSE)+IF(AND(Calculator!B8=TRUE,Backdoors!BI32=TRUE),VLOOKUP(Calculator!E23,tbSkills!DH3:DJ6,3,FALSE),0),0))/100)))),1),"")</f>
        <v>1</v>
      </c>
      <c r="GZ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W61)*GY61)*(VLOOKUP(A61,tbMoveset!A2:C112,3,FALSE)/100)*IF(VLOOKUP(A61,tbMoveset!A2:B112,2,FALSE)="Projectile",Backdoors!N10,Backdoors!N9),0),"")</f>
        <v/>
      </c>
      <c r="HA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W61&gt;=0.45,VLOOKUP(Calculator!E23,tbSkills!DH3:DI6,2,FALSE)+IF(AND(Calculator!B8=TRUE,Backdoors!BI32=TRUE),VLOOKUP(Calculator!E23,tbSkills!DH3:DJ6,3,FALSE),0),0))&gt;=100,100,(Backdoors!AI12+IF(GW61&gt;=0.45,VLOOKUP(Calculator!E23,tbSkills!DH3:DI6,2,FALSE)+IF(AND(Calculator!B8=TRUE,Backdoors!BI32=TRUE),VLOOKUP(Calculator!E23,tbSkills!DH3:DJ6,3,FALSE),0),0)))/100)),1))*IF(VLOOKUP(A61,tbMoveset!A2:K112,11,FALSE)=TRUE,Backdoors!AC5,1))*GX61,0),"")</f>
        <v>0</v>
      </c>
      <c r="HB61" s="49">
        <f>VLOOKUP(A61,tbMoveset!A2:G112,7,FALSE)*IFERROR(IF(Backdoors!AI12&gt;=0,1+(IF(Calculator!E40&gt;0,VLOOKUP(Calculator!E40,tbSkills!AI3:AJ5,2,FALSE),Backdoors!AL4)*(IF((Backdoors!AI12+IF(GW61&gt;=0.45,VLOOKUP(Calculator!E23,tbSkills!DH3:DI6,2,FALSE)+IF(AND(Calculator!B8=TRUE,Backdoors!BI32=TRUE),VLOOKUP(Calculator!E23,tbSkills!DH3:DJ6,3,FALSE),0),0))&gt;=100,100,(Backdoors!AI12+IF(GW61&gt;=0.45,VLOOKUP(Calculator!E23,tbSkills!DH3:DI6,2,FALSE)+IF(AND(Calculator!B8=TRUE,Backdoors!BI32=TRUE),VLOOKUP(Calculator!E23,tbSkills!DH3:DJ6,3,FALSE),0),0)))/100)),1),1)</f>
        <v>0.5</v>
      </c>
      <c r="HC61" s="87">
        <f t="shared" si="22"/>
        <v>0</v>
      </c>
      <c r="HD61" s="86" t="str">
        <f>IFERROR(IF(VLOOKUP(A61,tbMoveset!A2:B112,2,FALSE)="Sever",Backdoors!AY33/100,IF(VLOOKUP(A61,tbMoveset!A2:B112,2,FALSE)="Blunt",Backdoors!AZ33/100,Backdoors!BA33/100)),"")</f>
        <v/>
      </c>
      <c r="HE61" s="49">
        <f>IFERROR(IF(VLOOKUP(tbMoveset!A61,tbMoveset!A2:H112,8,FALSE)="Other",IF(VLOOKUP(tbMoveset!A61,tbMoveset!A2:I112,9,FALSE)="Fire",Backdoors!BB33,IF(VLOOKUP(tbMoveset!A61,tbMoveset!A2:I112,9,FALSE)="Water",Backdoors!BC33,IF(VLOOKUP(tbMoveset!A61,tbMoveset!A2:I112,9,FALSE)="Thunder",Backdoors!BD33,IF(VLOOKUP(tbMoveset!A61,tbMoveset!A2:I112,9,FALSE)="Ice",Backdoors!BE33,IF(VLOOKUP(tbMoveset!A61,tbMoveset!A2:I112,9,FALSE)="Dragon",Backdoors!BF33,Backdoors!BG33)))))/100,Backdoors!BG33/100),"")</f>
        <v>0</v>
      </c>
      <c r="HF61" s="49">
        <f>IFERROR(IF(VLOOKUP(A61,tbMoveset!A2:J112,10,FALSE)=TRUE,IF((Backdoors!AI12+IF(HD61&gt;=0.45,VLOOKUP(Calculator!E23,tbSkills!DH3:DI6,2,FALSE)+IF(AND(Calculator!B8=TRUE,Backdoors!BI33=TRUE),VLOOKUP(Calculator!E23,tbSkills!DH3:DJ6,3,FALSE),0),0))&gt;=0,1+(Backdoors!AL2*(IF((Backdoors!AI12+IF(HD61&gt;=0.45,VLOOKUP(Calculator!E23,tbSkills!DH3:DI6,2,FALSE)+IF(AND(Calculator!B8=TRUE,Backdoors!BI33=TRUE),VLOOKUP(Calculator!E23,tbSkills!DH3:DJ6,3,FALSE),0),0))&gt;=100,100,(Backdoors!AI12+IF(HD61&gt;=0.45,VLOOKUP(Calculator!E23,tbSkills!DH3:DI6,2,FALSE)+IF(AND(Calculator!B8=TRUE,Backdoors!BI33=TRUE),VLOOKUP(Calculator!E23,tbSkills!DH3:DJ6,3,FALSE),0),0)))/100)),(1-(0.25*((-Backdoors!AI12-IF(HD61&gt;=0.45,VLOOKUP(Calculator!E23,tbSkills!DH3:DI6,2,FALSE)+IF(AND(Calculator!B8=TRUE,Backdoors!BI33=TRUE),VLOOKUP(Calculator!E23,tbSkills!DH3:DJ6,3,FALSE),0),0))/100)))),1),"")</f>
        <v>1</v>
      </c>
      <c r="HG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D61)*HF61)*(VLOOKUP(A61,tbMoveset!A2:C112,3,FALSE)/100)*IF(VLOOKUP(A61,tbMoveset!A2:B112,2,FALSE)="Projectile",Backdoors!N10,Backdoors!N9),0),"")</f>
        <v/>
      </c>
      <c r="HH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D61&gt;=0.45,VLOOKUP(Calculator!E23,tbSkills!DH3:DI6,2,FALSE)+IF(AND(Calculator!B8=TRUE,Backdoors!BI33=TRUE),VLOOKUP(Calculator!E23,tbSkills!DH3:DJ6,3,FALSE),0),0))&gt;=100,100,(Backdoors!AI12+IF(HD61&gt;=0.45,VLOOKUP(Calculator!E23,tbSkills!DH3:DI6,2,FALSE)+IF(AND(Calculator!B8=TRUE,Backdoors!BI33=TRUE),VLOOKUP(Calculator!E23,tbSkills!DH3:DJ6,3,FALSE),0),0)))/100)),1))*IF(VLOOKUP(A61,tbMoveset!A2:K112,11,FALSE)=TRUE,Backdoors!AC5,1))*HE61,0),"")</f>
        <v>0</v>
      </c>
      <c r="HI61" s="49">
        <f>VLOOKUP(A61,tbMoveset!A2:G112,7,FALSE)*IFERROR(IF(Backdoors!AI12&gt;=0,1+(IF(Calculator!E40&gt;0,VLOOKUP(Calculator!E40,tbSkills!AI3:AJ5,2,FALSE),Backdoors!AL4)*(IF((Backdoors!AI12+IF(HD61&gt;=0.45,VLOOKUP(Calculator!E23,tbSkills!DH3:DI6,2,FALSE)+IF(AND(Calculator!B8=TRUE,Backdoors!BI33=TRUE),VLOOKUP(Calculator!E23,tbSkills!DH3:DJ6,3,FALSE),0),0))&gt;=100,100,(Backdoors!AI12+IF(HD61&gt;=0.45,VLOOKUP(Calculator!E23,tbSkills!DH3:DI6,2,FALSE)+IF(AND(Calculator!B8=TRUE,Backdoors!BI33=TRUE),VLOOKUP(Calculator!E23,tbSkills!DH3:DJ6,3,FALSE),0),0)))/100)),1),1)</f>
        <v>0.5</v>
      </c>
      <c r="HJ61" s="87">
        <f t="shared" si="23"/>
        <v>0</v>
      </c>
      <c r="HK61" s="86" t="str">
        <f>IFERROR(IF(VLOOKUP(A61,tbMoveset!A2:B112,2,FALSE)="Sever",Backdoors!AY34/100,IF(VLOOKUP(A61,tbMoveset!A2:B112,2,FALSE)="Blunt",Backdoors!AZ34/100,Backdoors!BA34/100)),"")</f>
        <v/>
      </c>
      <c r="HL61" s="49">
        <f>IFERROR(IF(VLOOKUP(tbMoveset!A61,tbMoveset!A2:H112,8,FALSE)="Other",IF(VLOOKUP(tbMoveset!A61,tbMoveset!A2:I112,9,FALSE)="Fire",Backdoors!BB34,IF(VLOOKUP(tbMoveset!A61,tbMoveset!A2:I112,9,FALSE)="Water",Backdoors!BC34,IF(VLOOKUP(tbMoveset!A61,tbMoveset!A2:I112,9,FALSE)="Thunder",Backdoors!BD34,IF(VLOOKUP(tbMoveset!A61,tbMoveset!A2:I112,9,FALSE)="Ice",Backdoors!BE34,IF(VLOOKUP(tbMoveset!A61,tbMoveset!A2:I112,9,FALSE)="Dragon",Backdoors!BF34,Backdoors!BG34)))))/100,Backdoors!BG34/100),"")</f>
        <v>0</v>
      </c>
      <c r="HM61" s="49">
        <f>IFERROR(IF(VLOOKUP(A61,tbMoveset!A2:J112,10,FALSE)=TRUE,IF((Backdoors!AI12+IF(HK61&gt;=0.45,VLOOKUP(Calculator!E23,tbSkills!DH3:DI6,2,FALSE)+IF(AND(Calculator!B8=TRUE,Backdoors!BI34=TRUE),VLOOKUP(Calculator!E23,tbSkills!DH3:DJ6,3,FALSE),0),0))&gt;=0,1+(Backdoors!AL2*(IF((Backdoors!AI12+IF(HK61&gt;=0.45,VLOOKUP(Calculator!E23,tbSkills!DH3:DI6,2,FALSE)+IF(AND(Calculator!B8=TRUE,Backdoors!BI34=TRUE),VLOOKUP(Calculator!E23,tbSkills!DH3:DJ6,3,FALSE),0),0))&gt;=100,100,(Backdoors!AI12+IF(HK61&gt;=0.45,VLOOKUP(Calculator!E23,tbSkills!DH3:DI6,2,FALSE)+IF(AND(Calculator!B8=TRUE,Backdoors!BI34=TRUE),VLOOKUP(Calculator!E23,tbSkills!DH3:DJ6,3,FALSE),0),0)))/100)),(1-(0.25*((-Backdoors!AI12-IF(HK61&gt;=0.45,VLOOKUP(Calculator!E23,tbSkills!DH3:DI6,2,FALSE)+IF(AND(Calculator!B8=TRUE,Backdoors!BI34=TRUE),VLOOKUP(Calculator!E23,tbSkills!DH3:DJ6,3,FALSE),0),0))/100)))),1),"")</f>
        <v>1</v>
      </c>
      <c r="HN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K61)*HM61)*(VLOOKUP(A61,tbMoveset!A2:C112,3,FALSE)/100)*IF(VLOOKUP(A61,tbMoveset!A2:B112,2,FALSE)="Projectile",Backdoors!N10,Backdoors!N9),0),"")</f>
        <v/>
      </c>
      <c r="HO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K61&gt;=0.45,VLOOKUP(Calculator!E23,tbSkills!DH3:DI6,2,FALSE)+IF(AND(Calculator!B8=TRUE,Backdoors!BI34=TRUE),VLOOKUP(Calculator!E23,tbSkills!DH3:DJ6,3,FALSE),0),0))&gt;=100,100,(Backdoors!AI12+IF(HK61&gt;=0.45,VLOOKUP(Calculator!E23,tbSkills!DH3:DI6,2,FALSE)+IF(AND(Calculator!B8=TRUE,Backdoors!BI34=TRUE),VLOOKUP(Calculator!E23,tbSkills!DH3:DJ6,3,FALSE),0),0)))/100)),1))*IF(VLOOKUP(A61,tbMoveset!A2:K112,11,FALSE)=TRUE,Backdoors!AC5,1))*HL61,0),"")</f>
        <v>0</v>
      </c>
      <c r="HP61" s="49">
        <f>VLOOKUP(A61,tbMoveset!A2:G112,7,FALSE)*IFERROR(IF(Backdoors!AI12&gt;=0,1+(IF(Calculator!E40&gt;0,VLOOKUP(Calculator!E40,tbSkills!AI3:AJ5,2,FALSE),Backdoors!AL4)*(IF((Backdoors!AI12+IF(HK61&gt;=0.45,VLOOKUP(Calculator!E23,tbSkills!DH3:DI6,2,FALSE)+IF(AND(Calculator!B8=TRUE,Backdoors!BI34=TRUE),VLOOKUP(Calculator!E23,tbSkills!DH3:DJ6,3,FALSE),0),0))&gt;=100,100,(Backdoors!AI12+IF(HK61&gt;=0.45,VLOOKUP(Calculator!E23,tbSkills!DH3:DI6,2,FALSE)+IF(AND(Calculator!B8=TRUE,Backdoors!BI34=TRUE),VLOOKUP(Calculator!E23,tbSkills!DH3:DJ6,3,FALSE),0),0)))/100)),1),1)</f>
        <v>0.5</v>
      </c>
      <c r="HQ61" s="87">
        <f t="shared" si="24"/>
        <v>0</v>
      </c>
      <c r="HR61" s="86" t="str">
        <f>IFERROR(IF(VLOOKUP(A61,tbMoveset!A2:B112,2,FALSE)="Sever",Backdoors!AY35/100,IF(VLOOKUP(A61,tbMoveset!A2:B112,2,FALSE)="Blunt",Backdoors!AZ35/100,Backdoors!BA35/100)),"")</f>
        <v/>
      </c>
      <c r="HS61" s="49">
        <f>IFERROR(IF(VLOOKUP(tbMoveset!A61,tbMoveset!A2:H112,8,FALSE)="Other",IF(VLOOKUP(tbMoveset!A61,tbMoveset!A2:I112,9,FALSE)="Fire",Backdoors!BB35,IF(VLOOKUP(tbMoveset!A61,tbMoveset!A2:I112,9,FALSE)="Water",Backdoors!BC35,IF(VLOOKUP(tbMoveset!A61,tbMoveset!A2:I112,9,FALSE)="Thunder",Backdoors!BD35,IF(VLOOKUP(tbMoveset!A61,tbMoveset!A2:I112,9,FALSE)="Ice",Backdoors!BE35,IF(VLOOKUP(tbMoveset!A61,tbMoveset!A2:I112,9,FALSE)="Dragon",Backdoors!BF35,Backdoors!BG35)))))/100,Backdoors!BG35/100),"")</f>
        <v>0</v>
      </c>
      <c r="HT61" s="49">
        <f>IFERROR(IF(VLOOKUP(A61,tbMoveset!A2:J112,10,FALSE)=TRUE,IF((Backdoors!AI12+IF(HR61&gt;=0.45,VLOOKUP(Calculator!E23,tbSkills!DH3:DI6,2,FALSE)+IF(AND(Calculator!B8=TRUE,Backdoors!BI35=TRUE),VLOOKUP(Calculator!E23,tbSkills!DH3:DJ6,3,FALSE),0),0))&gt;=0,1+(Backdoors!AL2*(IF((Backdoors!AI12+IF(HR61&gt;=0.45,VLOOKUP(Calculator!E23,tbSkills!DH3:DI6,2,FALSE)+IF(AND(Calculator!B8=TRUE,Backdoors!BI35=TRUE),VLOOKUP(Calculator!E23,tbSkills!DH3:DJ6,3,FALSE),0),0))&gt;=100,100,(Backdoors!AI12+IF(HR61&gt;=0.45,VLOOKUP(Calculator!E23,tbSkills!DH3:DI6,2,FALSE)+IF(AND(Calculator!B8=TRUE,Backdoors!BI35=TRUE),VLOOKUP(Calculator!E23,tbSkills!DH3:DJ6,3,FALSE),0),0)))/100)),(1-(0.25*((-Backdoors!AI12-IF(HR61&gt;=0.45,VLOOKUP(Calculator!E23,tbSkills!DH3:DI6,2,FALSE)+IF(AND(Calculator!B8=TRUE,Backdoors!BI35=TRUE),VLOOKUP(Calculator!E23,tbSkills!DH3:DJ6,3,FALSE),0),0))/100)))),1),"")</f>
        <v>1</v>
      </c>
      <c r="HU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R61)*HT61)*(VLOOKUP(A61,tbMoveset!A2:C112,3,FALSE)/100)*IF(VLOOKUP(A61,tbMoveset!A2:B112,2,FALSE)="Projectile",Backdoors!N10,Backdoors!N9),0),"")</f>
        <v/>
      </c>
      <c r="HV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R61&gt;=0.45,VLOOKUP(Calculator!E23,tbSkills!DH3:DI6,2,FALSE)+IF(AND(Calculator!B8=TRUE,Backdoors!BI35=TRUE),VLOOKUP(Calculator!E23,tbSkills!DH3:DJ6,3,FALSE),0),0))&gt;=100,100,(Backdoors!AI12+IF(HR61&gt;=0.45,VLOOKUP(Calculator!E23,tbSkills!DH3:DI6,2,FALSE)+IF(AND(Calculator!B8=TRUE,Backdoors!BI35=TRUE),VLOOKUP(Calculator!E23,tbSkills!DH3:DJ6,3,FALSE),0),0)))/100)),1))*IF(VLOOKUP(A61,tbMoveset!A2:K112,11,FALSE)=TRUE,Backdoors!AC5,1))*HS61,0),"")</f>
        <v>0</v>
      </c>
      <c r="HW61" s="49">
        <f>VLOOKUP(A61,tbMoveset!A2:G112,7,FALSE)*IFERROR(IF(Backdoors!AI12&gt;=0,1+(IF(Calculator!E40&gt;0,VLOOKUP(Calculator!E40,tbSkills!AI3:AJ5,2,FALSE),Backdoors!AL4)*(IF((Backdoors!AI12+IF(HR61&gt;=0.45,VLOOKUP(Calculator!E23,tbSkills!DH3:DI6,2,FALSE)+IF(AND(Calculator!B8=TRUE,Backdoors!BI35=TRUE),VLOOKUP(Calculator!E23,tbSkills!DH3:DJ6,3,FALSE),0),0))&gt;=100,100,(Backdoors!AI12+IF(HR61&gt;=0.45,VLOOKUP(Calculator!E23,tbSkills!DH3:DI6,2,FALSE)+IF(AND(Calculator!B8=TRUE,Backdoors!BI35=TRUE),VLOOKUP(Calculator!E23,tbSkills!DH3:DJ6,3,FALSE),0),0)))/100)),1),1)</f>
        <v>0.5</v>
      </c>
      <c r="HX61" s="87">
        <f t="shared" si="25"/>
        <v>0</v>
      </c>
      <c r="HY61" s="86" t="str">
        <f>IFERROR(IF(VLOOKUP(A61,tbMoveset!A2:B112,2,FALSE)="Sever",Backdoors!AY36/100,IF(VLOOKUP(A61,tbMoveset!A2:B112,2,FALSE)="Blunt",Backdoors!AZ36/100,Backdoors!BA36/100)),"")</f>
        <v/>
      </c>
      <c r="HZ61" s="49">
        <f>IFERROR(IF(VLOOKUP(tbMoveset!A61,tbMoveset!A2:H112,8,FALSE)="Other",IF(VLOOKUP(tbMoveset!A61,tbMoveset!A2:I112,9,FALSE)="Fire",Backdoors!BB36,IF(VLOOKUP(tbMoveset!A61,tbMoveset!A2:I112,9,FALSE)="Water",Backdoors!BC36,IF(VLOOKUP(tbMoveset!A61,tbMoveset!A2:I112,9,FALSE)="Thunder",Backdoors!BD36,IF(VLOOKUP(tbMoveset!A61,tbMoveset!A2:I112,9,FALSE)="Ice",Backdoors!BE36,IF(VLOOKUP(tbMoveset!A61,tbMoveset!A2:I112,9,FALSE)="Dragon",Backdoors!BF36,Backdoors!BG36)))))/100,Backdoors!BG36/100),"")</f>
        <v>0</v>
      </c>
      <c r="IA61" s="49">
        <f>IFERROR(IF(VLOOKUP(A61,tbMoveset!A2:J112,10,FALSE)=TRUE,IF((Backdoors!AI12+IF(HY61&gt;=0.45,VLOOKUP(Calculator!E23,tbSkills!DH3:DI6,2,FALSE)+IF(AND(Calculator!B8=TRUE,Backdoors!BI36=TRUE),VLOOKUP(Calculator!E23,tbSkills!DH3:DJ6,3,FALSE),0),0))&gt;=0,1+(Backdoors!AL2*(IF((Backdoors!AI12+IF(HY61&gt;=0.45,VLOOKUP(Calculator!E23,tbSkills!DH3:DI6,2,FALSE)+IF(AND(Calculator!B8=TRUE,Backdoors!BI36=TRUE),VLOOKUP(Calculator!E23,tbSkills!DH3:DJ6,3,FALSE),0),0))&gt;=100,100,(Backdoors!AI12+IF(HY61&gt;=0.45,VLOOKUP(Calculator!E23,tbSkills!DH3:DI6,2,FALSE)+IF(AND(Calculator!B8=TRUE,Backdoors!BI36=TRUE),VLOOKUP(Calculator!E23,tbSkills!DH3:DJ6,3,FALSE),0),0)))/100)),(1-(0.25*((-Backdoors!AI12-IF(HY61&gt;=0.45,VLOOKUP(Calculator!E23,tbSkills!DH3:DI6,2,FALSE)+IF(AND(Calculator!B8=TRUE,Backdoors!BI36=TRUE),VLOOKUP(Calculator!E23,tbSkills!DH3:DJ6,3,FALSE),0),0))/100)))),1),"")</f>
        <v>1</v>
      </c>
      <c r="IB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Y61)*IA61)*(VLOOKUP(A61,tbMoveset!A2:C112,3,FALSE)/100)*IF(VLOOKUP(A61,tbMoveset!A2:B112,2,FALSE)="Projectile",Backdoors!N10,Backdoors!N9),0),"")</f>
        <v/>
      </c>
      <c r="IC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Y61&gt;=0.45,VLOOKUP(Calculator!E23,tbSkills!DH3:DI6,2,FALSE)+IF(AND(Calculator!B8=TRUE,Backdoors!BI36=TRUE),VLOOKUP(Calculator!E23,tbSkills!DH3:DJ6,3,FALSE),0),0))&gt;=100,100,(Backdoors!AI12+IF(HY61&gt;=0.45,VLOOKUP(Calculator!E23,tbSkills!DH3:DI6,2,FALSE)+IF(AND(Calculator!B8=TRUE,Backdoors!BI36=TRUE),VLOOKUP(Calculator!E23,tbSkills!DH3:DJ6,3,FALSE),0),0)))/100)),1))*IF(VLOOKUP(A61,tbMoveset!A2:K112,11,FALSE)=TRUE,Backdoors!AC5,1))*HZ61,0),"")</f>
        <v>0</v>
      </c>
      <c r="ID61" s="49">
        <f>VLOOKUP(A61,tbMoveset!A2:G112,7,FALSE)*IFERROR(IF(Backdoors!AI12&gt;=0,1+(IF(Calculator!E40&gt;0,VLOOKUP(Calculator!E40,tbSkills!AI3:AJ5,2,FALSE),Backdoors!AL4)*(IF((Backdoors!AI12+IF(HY61&gt;=0.45,VLOOKUP(Calculator!E23,tbSkills!DH3:DI6,2,FALSE)+IF(AND(Calculator!B8=TRUE,Backdoors!BI36=TRUE),VLOOKUP(Calculator!E23,tbSkills!DH3:DJ6,3,FALSE),0),0))&gt;=100,100,(Backdoors!AI12+IF(HY61&gt;=0.45,VLOOKUP(Calculator!E23,tbSkills!DH3:DI6,2,FALSE)+IF(AND(Calculator!B8=TRUE,Backdoors!BI36=TRUE),VLOOKUP(Calculator!E23,tbSkills!DH3:DJ6,3,FALSE),0),0)))/100)),1),1)</f>
        <v>0.5</v>
      </c>
      <c r="IE61" s="87">
        <f t="shared" si="26"/>
        <v>0</v>
      </c>
      <c r="IF61" s="86" t="str">
        <f>IFERROR(IF(VLOOKUP(A61,tbMoveset!A2:B112,2,FALSE)="Sever",Backdoors!AY37/100,IF(VLOOKUP(A61,tbMoveset!A2:B112,2,FALSE)="Blunt",Backdoors!AZ37/100,Backdoors!BA37/100)),"")</f>
        <v/>
      </c>
      <c r="IG61" s="49">
        <f>IFERROR(IF(VLOOKUP(tbMoveset!A61,tbMoveset!A2:H112,8,FALSE)="Other",IF(VLOOKUP(tbMoveset!A61,tbMoveset!A2:I112,9,FALSE)="Fire",Backdoors!BB37,IF(VLOOKUP(tbMoveset!A61,tbMoveset!A2:I112,9,FALSE)="Water",Backdoors!BC37,IF(VLOOKUP(tbMoveset!A61,tbMoveset!A2:I112,9,FALSE)="Thunder",Backdoors!BD37,IF(VLOOKUP(tbMoveset!A61,tbMoveset!A2:I112,9,FALSE)="Ice",Backdoors!BE37,IF(VLOOKUP(tbMoveset!A61,tbMoveset!A2:I112,9,FALSE)="Dragon",Backdoors!BF37,Backdoors!BG37)))))/100,Backdoors!BG37/100),"")</f>
        <v>0</v>
      </c>
      <c r="IH61" s="49">
        <f>IFERROR(IF(VLOOKUP(A61,tbMoveset!A2:J112,10,FALSE)=TRUE,IF((Backdoors!AI12+IF(IF61&gt;=0.45,VLOOKUP(Calculator!E23,tbSkills!DH3:DI6,2,FALSE)+IF(AND(Calculator!B8=TRUE,Backdoors!BI37=TRUE),VLOOKUP(Calculator!E23,tbSkills!DH3:DJ6,3,FALSE),0),0))&gt;=0,1+(Backdoors!AL2*(IF((Backdoors!AI12+IF(IF61&gt;=0.45,VLOOKUP(Calculator!E23,tbSkills!DH3:DI6,2,FALSE)+IF(AND(Calculator!B8=TRUE,Backdoors!BI37=TRUE),VLOOKUP(Calculator!E23,tbSkills!DH3:DJ6,3,FALSE),0),0))&gt;=100,100,(Backdoors!AI12+IF(IF61&gt;=0.45,VLOOKUP(Calculator!E23,tbSkills!DH3:DI6,2,FALSE)+IF(AND(Calculator!B8=TRUE,Backdoors!BI37=TRUE),VLOOKUP(Calculator!E23,tbSkills!DH3:DJ6,3,FALSE),0),0)))/100)),(1-(0.25*((-Backdoors!AI12-IF(IF61&gt;=0.45,VLOOKUP(Calculator!E23,tbSkills!DH3:DI6,2,FALSE)+IF(AND(Calculator!B8=TRUE,Backdoors!BI37=TRUE),VLOOKUP(Calculator!E23,tbSkills!DH3:DJ6,3,FALSE),0),0))/100)))),1),"")</f>
        <v>1</v>
      </c>
      <c r="II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F61)*IH61)*(VLOOKUP(A61,tbMoveset!A2:C112,3,FALSE)/100)*IF(VLOOKUP(A61,tbMoveset!A2:B112,2,FALSE)="Projectile",Backdoors!N10,Backdoors!N9),0),"")</f>
        <v/>
      </c>
      <c r="IJ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IF61&gt;=0.45,VLOOKUP(Calculator!E23,tbSkills!DH3:DI6,2,FALSE)+IF(AND(Calculator!B8=TRUE,Backdoors!BI37=TRUE),VLOOKUP(Calculator!E23,tbSkills!DH3:DJ6,3,FALSE),0),0))&gt;=100,100,(Backdoors!AI12+IF(IF61&gt;=0.45,VLOOKUP(Calculator!E23,tbSkills!DH3:DI6,2,FALSE)+IF(AND(Calculator!B8=TRUE,Backdoors!BI37=TRUE),VLOOKUP(Calculator!E23,tbSkills!DH3:DJ6,3,FALSE),0),0)))/100)),1))*IF(VLOOKUP(A61,tbMoveset!A2:K112,11,FALSE)=TRUE,Backdoors!AC5,1))*IG61,0),"")</f>
        <v>0</v>
      </c>
      <c r="IK61" s="49">
        <f>VLOOKUP(A61,tbMoveset!A2:G112,7,FALSE)*IFERROR(IF(Backdoors!AI12&gt;=0,1+(IF(Calculator!E40&gt;0,VLOOKUP(Calculator!E40,tbSkills!AI3:AJ5,2,FALSE),Backdoors!AL4)*(IF((Backdoors!AI12+IF(IF61&gt;=0.45,VLOOKUP(Calculator!E23,tbSkills!DH3:DI6,2,FALSE)+IF(AND(Calculator!B8=TRUE,Backdoors!BI37=TRUE),VLOOKUP(Calculator!E23,tbSkills!DH3:DJ6,3,FALSE),0),0))&gt;=100,100,(Backdoors!AI12+IF(IF61&gt;=0.45,VLOOKUP(Calculator!E23,tbSkills!DH3:DI6,2,FALSE)+IF(AND(Calculator!B8=TRUE,Backdoors!BI37=TRUE),VLOOKUP(Calculator!E23,tbSkills!DH3:DJ6,3,FALSE),0),0)))/100)),1),1)</f>
        <v>0.5</v>
      </c>
      <c r="IL61" s="87">
        <f t="shared" si="27"/>
        <v>0</v>
      </c>
      <c r="IM61" s="86" t="str">
        <f>IFERROR(IF(VLOOKUP(A61,tbMoveset!A2:B112,2,FALSE)="Sever",Backdoors!AY38/100,IF(VLOOKUP(A61,tbMoveset!A2:B112,2,FALSE)="Blunt",Backdoors!AZ38/100,Backdoors!BA38/100)),"")</f>
        <v/>
      </c>
      <c r="IN61" s="49">
        <f>IFERROR(IF(VLOOKUP(tbMoveset!A61,tbMoveset!A2:H112,8,FALSE)="Other",IF(VLOOKUP(tbMoveset!A61,tbMoveset!A2:I112,9,FALSE)="Fire",Backdoors!BB38,IF(VLOOKUP(tbMoveset!A61,tbMoveset!A2:I112,9,FALSE)="Water",Backdoors!BC38,IF(VLOOKUP(tbMoveset!A61,tbMoveset!A2:I112,9,FALSE)="Thunder",Backdoors!BD38,IF(VLOOKUP(tbMoveset!A61,tbMoveset!A2:I112,9,FALSE)="Ice",Backdoors!BE38,IF(VLOOKUP(tbMoveset!A61,tbMoveset!A2:I112,9,FALSE)="Dragon",Backdoors!BF38,Backdoors!BG38)))))/100,Backdoors!BG38/100),"")</f>
        <v>0</v>
      </c>
      <c r="IO61" s="49">
        <f>IFERROR(IF(VLOOKUP(A61,tbMoveset!A2:J112,10,FALSE)=TRUE,IF((Backdoors!AI12+IF(IM61&gt;=0.45,VLOOKUP(Calculator!E23,tbSkills!DH3:DI6,2,FALSE)+IF(AND(Calculator!B8=TRUE,Backdoors!BI38=TRUE),VLOOKUP(Calculator!E23,tbSkills!DH3:DJ6,3,FALSE),0),0))&gt;=0,1+(Backdoors!AL2*(IF((Backdoors!AI12+IF(IM61&gt;=0.45,VLOOKUP(Calculator!E23,tbSkills!DH3:DI6,2,FALSE)+IF(AND(Calculator!B8=TRUE,Backdoors!BI38=TRUE),VLOOKUP(Calculator!E23,tbSkills!DH3:DJ6,3,FALSE),0),0))&gt;=100,100,(Backdoors!AI12+IF(IM61&gt;=0.45,VLOOKUP(Calculator!E23,tbSkills!DH3:DI6,2,FALSE)+IF(AND(Calculator!B8=TRUE,Backdoors!BI38=TRUE),VLOOKUP(Calculator!E23,tbSkills!DH3:DJ6,3,FALSE),0),0)))/100)),(1-(0.25*((-Backdoors!AI12-IF(IM61&gt;=0.45,VLOOKUP(Calculator!E23,tbSkills!DH3:DI6,2,FALSE)+IF(AND(Calculator!B8=TRUE,Backdoors!BI38=TRUE),VLOOKUP(Calculator!E23,tbSkills!DH3:DJ6,3,FALSE),0),0))/100)))),1),"")</f>
        <v>1</v>
      </c>
      <c r="IP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M61)*IO61)*(VLOOKUP(A61,tbMoveset!A2:C112,3,FALSE)/100)*IF(VLOOKUP(A61,tbMoveset!A2:B112,2,FALSE)="Projectile",Backdoors!N10,Backdoors!N9),0),"")</f>
        <v/>
      </c>
      <c r="IQ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IM61&gt;=0.45,VLOOKUP(Calculator!E23,tbSkills!DH3:DI6,2,FALSE)+IF(AND(Calculator!B8=TRUE,Backdoors!BI38=TRUE),VLOOKUP(Calculator!E23,tbSkills!DH3:DJ6,3,FALSE),0),0))&gt;=100,100,(Backdoors!AI12+IF(IM61&gt;=0.45,VLOOKUP(Calculator!E23,tbSkills!DH3:DI6,2,FALSE)+IF(AND(Calculator!B8=TRUE,Backdoors!BI38=TRUE),VLOOKUP(Calculator!E23,tbSkills!DH3:DJ6,3,FALSE),0),0)))/100)),1))*IF(VLOOKUP(A61,tbMoveset!A2:K112,11,FALSE)=TRUE,Backdoors!AC5,1))*IN61,0),"")</f>
        <v>0</v>
      </c>
      <c r="IR61" s="49">
        <f>VLOOKUP(A61,tbMoveset!A2:G112,7,FALSE)*IFERROR(IF(Backdoors!AI12&gt;=0,1+(IF(Calculator!E40&gt;0,VLOOKUP(Calculator!E40,tbSkills!AI3:AJ5,2,FALSE),Backdoors!AL4)*(IF((Backdoors!AI12+IF(IM61&gt;=0.45,VLOOKUP(Calculator!E23,tbSkills!DH3:DI6,2,FALSE)+IF(AND(Calculator!B8=TRUE,Backdoors!BI38=TRUE),VLOOKUP(Calculator!E23,tbSkills!DH3:DJ6,3,FALSE),0),0))&gt;=100,100,(Backdoors!AI12+IF(IM61&gt;=0.45,VLOOKUP(Calculator!E23,tbSkills!DH3:DI6,2,FALSE)+IF(AND(Calculator!B8=TRUE,Backdoors!BI38=TRUE),VLOOKUP(Calculator!E23,tbSkills!DH3:DJ6,3,FALSE),0),0)))/100)),1),1)</f>
        <v>0.5</v>
      </c>
      <c r="IS61" s="87">
        <f t="shared" si="42"/>
        <v>0</v>
      </c>
      <c r="IT61" s="86" t="str">
        <f>IFERROR(IF(VLOOKUP(A61,tbMoveset!A2:B112,2,FALSE)="Sever",Backdoors!AY39/100,IF(VLOOKUP(A61,tbMoveset!A2:B112,2,FALSE)="Blunt",Backdoors!AZ39/100,Backdoors!BA39/100)),"")</f>
        <v/>
      </c>
      <c r="IU61" s="49">
        <f>IFERROR(IF(VLOOKUP(tbMoveset!A61,tbMoveset!A2:H112,8,FALSE)="Other",IF(VLOOKUP(tbMoveset!A61,tbMoveset!A2:I112,9,FALSE)="Fire",Backdoors!BB39,IF(VLOOKUP(tbMoveset!A61,tbMoveset!A2:I112,9,FALSE)="Water",Backdoors!BC39,IF(VLOOKUP(tbMoveset!A61,tbMoveset!A2:I112,9,FALSE)="Thunder",Backdoors!BD39,IF(VLOOKUP(tbMoveset!A61,tbMoveset!A2:I112,9,FALSE)="Ice",Backdoors!BE39,IF(VLOOKUP(tbMoveset!A61,tbMoveset!A2:I112,9,FALSE)="Dragon",Backdoors!BF39,Backdoors!BG39)))))/100,Backdoors!BG39/100),"")</f>
        <v>0</v>
      </c>
      <c r="IV61" s="49">
        <f>IFERROR(IF(VLOOKUP(A61,tbMoveset!A2:J112,10,FALSE)=TRUE,IF((Backdoors!AI12+IF(IT61&gt;=0.45,VLOOKUP(Calculator!E23,tbSkills!DH3:DI6,2,FALSE)+IF(AND(Calculator!B8=TRUE,Backdoors!BI39=TRUE),VLOOKUP(Calculator!E23,tbSkills!DH3:DJ6,3,FALSE),0),0))&gt;=0,1+(Backdoors!AL2*(IF((Backdoors!AI12+IF(IT61&gt;=0.45,VLOOKUP(Calculator!E23,tbSkills!DH3:DI6,2,FALSE)+IF(AND(Calculator!B8=TRUE,Backdoors!BI39=TRUE),VLOOKUP(Calculator!E23,tbSkills!DH3:DJ6,3,FALSE),0),0))&gt;=100,100,(Backdoors!AI12+IF(IT61&gt;=0.45,VLOOKUP(Calculator!E23,tbSkills!DH3:DI6,2,FALSE)+IF(AND(Calculator!B8=TRUE,Backdoors!BI39=TRUE),VLOOKUP(Calculator!E23,tbSkills!DH3:DJ6,3,FALSE),0),0)))/100)),(1-(0.25*((-Backdoors!AI12-IF(IT61&gt;=0.45,VLOOKUP(Calculator!E23,tbSkills!DH3:DI6,2,FALSE)+IF(AND(Calculator!B8=TRUE,Backdoors!BI39=TRUE),VLOOKUP(Calculator!E23,tbSkills!DH3:DJ6,3,FALSE),0),0))/100)))),1),"")</f>
        <v>1</v>
      </c>
      <c r="IW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T61)*IV61)*(VLOOKUP(A61,tbMoveset!A2:C112,3,FALSE)/100)*IF(VLOOKUP(A61,tbMoveset!A2:B112,2,FALSE)="Projectile",Backdoors!N10,Backdoors!N9),0),"")</f>
        <v/>
      </c>
      <c r="IX61" s="49">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40&gt;0,VLOOKUP(Calculator!E40,tbSkills!AC3:AD5,2,FALSE),Backdoors!AL3)*(IF((Backdoors!AI12+IF(IT61&gt;=0.45,VLOOKUP(Calculator!E23,tbSkills!DH3:DI6,2,FALSE)+IF(AND(Calculator!B8=TRUE,Backdoors!BI39=TRUE),VLOOKUP(Calculator!E23,tbSkills!DH3:DJ6,3,FALSE),0),0))&gt;=100,100,(Backdoors!AI12+IF(IT61&gt;=0.45,VLOOKUP(Calculator!E23,tbSkills!DH3:DI6,2,FALSE)+IF(AND(Calculator!B8=TRUE,Backdoors!BI39=TRUE),VLOOKUP(Calculator!E23,tbSkills!DH3:DJ6,3,FALSE),0),0)))/100)),1))*IF(VLOOKUP(A61,tbMoveset!A2:K112,11,FALSE)=TRUE,Backdoors!AC5,1))*IU61,0),"")</f>
        <v>0</v>
      </c>
      <c r="IY61" s="49">
        <f>VLOOKUP(A61,tbMoveset!A2:G112,7,FALSE)*IFERROR(IF(Backdoors!AI12&gt;=0,1+(IF(Calculator!E40&gt;0,VLOOKUP(Calculator!E40,tbSkills!AI3:AJ5,2,FALSE),Backdoors!AL4)*(IF((Backdoors!AI12+IF(IT61&gt;=0.45,VLOOKUP(Calculator!E23,tbSkills!DH3:DI6,2,FALSE)+IF(AND(Calculator!B8=TRUE,Backdoors!BI39=TRUE),VLOOKUP(Calculator!E23,tbSkills!DH3:DJ6,3,FALSE),0),0))&gt;=100,100,(Backdoors!AI12+IF(IT61&gt;=0.45,VLOOKUP(Calculator!E23,tbSkills!DH3:DI6,2,FALSE)+IF(AND(Calculator!B8=TRUE,Backdoors!BI39=TRUE),VLOOKUP(Calculator!E23,tbSkills!DH3:DJ6,3,FALSE),0),0)))/100)),1),1)</f>
        <v>0.5</v>
      </c>
      <c r="IZ61" s="87">
        <f t="shared" si="28"/>
        <v>0</v>
      </c>
      <c r="JA61" s="86" t="str">
        <f>IFERROR(IF(VLOOKUP(A61,tbMoveset!A2:B112,2,FALSE)="Sever",Backdoors!AY40/100,IF(VLOOKUP(A61,tbMoveset!A2:B112,2,FALSE)="Blunt",Backdoors!AZ40/100,Backdoors!BA40/100)),"")</f>
        <v/>
      </c>
      <c r="JB61" s="49">
        <f>IFERROR(IF(VLOOKUP(tbMoveset!A61,tbMoveset!A2:H112,8,FALSE)="Other",IF(VLOOKUP(tbMoveset!A61,tbMoveset!A2:I112,9,FALSE)="Fire",Backdoors!BB40,IF(VLOOKUP(tbMoveset!A61,tbMoveset!A2:I112,9,FALSE)="Water",Backdoors!BC40,IF(VLOOKUP(tbMoveset!A61,tbMoveset!A2:I112,9,FALSE)="Thunder",Backdoors!BD40,IF(VLOOKUP(tbMoveset!A61,tbMoveset!A2:I112,9,FALSE)="Ice",Backdoors!BE40,IF(VLOOKUP(tbMoveset!A61,tbMoveset!A2:I112,9,FALSE)="Dragon",Backdoors!BF40,Backdoors!BG40)))))/100,Backdoors!BG40/100),"")</f>
        <v>0</v>
      </c>
      <c r="JC61" s="49">
        <f>IFERROR(IF(VLOOKUP(A61,tbMoveset!A2:J112,10,FALSE)=TRUE,IF((Backdoors!AI12+IF(JA61&gt;=0.45,VLOOKUP(Calculator!E23,tbSkills!DH3:DI6,2,FALSE)+IF(AND(Calculator!B8=TRUE,Backdoors!BI40=TRUE),VLOOKUP(Calculator!E23,tbSkills!DH3:DJ6,3,FALSE),0),0))&gt;=0,1+(Backdoors!AL2*(IF((Backdoors!AI12+IF(JA61&gt;=0.45,VLOOKUP(Calculator!E23,tbSkills!DH3:DI6,2,FALSE)+IF(AND(Calculator!B8=TRUE,Backdoors!BI40=TRUE),VLOOKUP(Calculator!E23,tbSkills!DH3:DJ6,3,FALSE),0),0))&gt;=100,100,(Backdoors!AI12+IF(JA61&gt;=0.45,VLOOKUP(Calculator!E23,tbSkills!DH3:DI6,2,FALSE)+IF(AND(Calculator!B8=TRUE,Backdoors!BI40=TRUE),VLOOKUP(Calculator!E23,tbSkills!DH3:DJ6,3,FALSE),0),0)))/100)),(1-(0.25*((-Backdoors!AI12-IF(JA61&gt;=0.45,VLOOKUP(Calculator!E23,tbSkills!DH3:DI6,2,FALSE)+IF(AND(Calculator!B8=TRUE,Backdoors!BI40=TRUE),VLOOKUP(Calculator!E23,tbSkills!DH3:DJ6,3,FALSE),0),0))/100)))),1),"")</f>
        <v>1</v>
      </c>
      <c r="JD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A61)*JC61)*(VLOOKUP(A61,tbMoveset!A2:C112,3,FALSE)/100)*IF(VLOOKUP(A61,tbMoveset!A2:B112,2,FALSE)="Projectile",Backdoors!N10,Backdoors!N9),0),"")</f>
        <v/>
      </c>
      <c r="JE61" s="49">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42&gt;0,VLOOKUP(Calculator!E42,tbSkills!AC3:AD5,2,FALSE),Backdoors!AL3)*(IF((Backdoors!AI12+IF(JA61&gt;=0.45,VLOOKUP(Calculator!E23,tbSkills!DH3:DI6,2,FALSE)+IF(AND(Calculator!B8=TRUE,Backdoors!BI40=TRUE),VLOOKUP(Calculator!E23,tbSkills!DH3:DJ6,3,FALSE),0),0))&gt;=100,100,(Backdoors!AI12+IF(JA61&gt;=0.45,VLOOKUP(Calculator!E23,tbSkills!DH3:DI6,2,FALSE)+IF(AND(Calculator!B8=TRUE,Backdoors!BI40=TRUE),VLOOKUP(Calculator!E23,tbSkills!DH3:DJ6,3,FALSE),0),0)))/100)),1))*IF(VLOOKUP(A61,tbMoveset!A2:K112,11,FALSE)=TRUE,Backdoors!AC5,1))*JB61,0),"")</f>
        <v>0</v>
      </c>
      <c r="JF61" s="49">
        <f>VLOOKUP(A61,tbMoveset!A2:G112,7,FALSE)*IFERROR(IF(Backdoors!AI12&gt;=0,1+(IF(Calculator!E40&gt;0,VLOOKUP(Calculator!E40,tbSkills!AI3:AJ5,2,FALSE),Backdoors!AL4)*(IF((Backdoors!AI12+IF(JA61&gt;=0.45,VLOOKUP(Calculator!E23,tbSkills!DH3:DI6,2,FALSE)+IF(AND(Calculator!B8=TRUE,Backdoors!BI40=TRUE),VLOOKUP(Calculator!E23,tbSkills!DH3:DJ6,3,FALSE),0),0))&gt;=100,100,(Backdoors!AI12+IF(JA61&gt;=0.45,VLOOKUP(Calculator!E23,tbSkills!DH3:DI6,2,FALSE)+IF(AND(Calculator!B8=TRUE,Backdoors!BI40=TRUE),VLOOKUP(Calculator!E23,tbSkills!DH3:DJ6,3,FALSE),0),0)))/100)),1),1)</f>
        <v>0.5</v>
      </c>
      <c r="JG61" s="87">
        <f t="shared" si="29"/>
        <v>0</v>
      </c>
      <c r="JH61" s="86" t="str">
        <f>IFERROR(IF(VLOOKUP(A61,tbMoveset!A2:B112,2,FALSE)="Sever",Backdoors!AY41/100,IF(VLOOKUP(A61,tbMoveset!A2:B112,2,FALSE)="Blunt",Backdoors!AZ41/100,Backdoors!BA41/100)),"")</f>
        <v/>
      </c>
      <c r="JI61" s="49">
        <f>IFERROR(IF(VLOOKUP(tbMoveset!A61,tbMoveset!A2:H112,8,FALSE)="Other",IF(VLOOKUP(tbMoveset!A61,tbMoveset!A2:I112,9,FALSE)="Fire",Backdoors!BB41,IF(VLOOKUP(tbMoveset!A61,tbMoveset!A2:I112,9,FALSE)="Water",Backdoors!BC41,IF(VLOOKUP(tbMoveset!A61,tbMoveset!A2:I112,9,FALSE)="Thunder",Backdoors!BD41,IF(VLOOKUP(tbMoveset!A61,tbMoveset!A2:I112,9,FALSE)="Ice",Backdoors!BE41,IF(VLOOKUP(tbMoveset!A61,tbMoveset!A2:I112,9,FALSE)="Dragon",Backdoors!BF41,Backdoors!BG41)))))/100,Backdoors!BG41/100),"")</f>
        <v>0</v>
      </c>
      <c r="JJ61" s="49">
        <f>IFERROR(IF(VLOOKUP(A61,tbMoveset!A2:J112,10,FALSE)=TRUE,IF((Backdoors!AI12+IF(JH61&gt;=0.45,VLOOKUP(Calculator!E23,tbSkills!DH3:DI6,2,FALSE)+IF(AND(Calculator!B8=TRUE,Backdoors!BI41=TRUE),VLOOKUP(Calculator!E23,tbSkills!DH3:DJ6,3,FALSE),0),0))&gt;=0,1+(Backdoors!AL2*(IF((Backdoors!AI12+IF(JH61&gt;=0.45,VLOOKUP(Calculator!E23,tbSkills!DH3:DI6,2,FALSE)+IF(AND(Calculator!B8=TRUE,Backdoors!BI41=TRUE),VLOOKUP(Calculator!E23,tbSkills!DH3:DJ6,3,FALSE),0),0))&gt;=100,100,(Backdoors!AI12+IF(JH61&gt;=0.45,VLOOKUP(Calculator!E23,tbSkills!DH3:DI6,2,FALSE)+IF(AND(Calculator!B8=TRUE,Backdoors!BI41=TRUE),VLOOKUP(Calculator!E23,tbSkills!DH3:DJ6,3,FALSE),0),0)))/100)),(1-(0.25*((-Backdoors!AI12-IF(JH61&gt;=0.45,VLOOKUP(Calculator!E23,tbSkills!DH3:DI6,2,FALSE)+IF(AND(Calculator!B8=TRUE,Backdoors!BI41=TRUE),VLOOKUP(Calculator!E23,tbSkills!DH3:DJ6,3,FALSE),0),0))/100)))),1),"")</f>
        <v>1</v>
      </c>
      <c r="JK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H61)*JJ61)*(VLOOKUP(A61,tbMoveset!A2:C112,3,FALSE)/100)*IF(VLOOKUP(A61,tbMoveset!A2:B112,2,FALSE)="Projectile",Backdoors!N10,Backdoors!N9),0),"")</f>
        <v/>
      </c>
      <c r="JL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43&gt;0,VLOOKUP(Calculator!E43,tbSkills!AC3:AD5,2,FALSE),Backdoors!AL3)*(IF((Backdoors!AI12+IF(JH61&gt;=0.45,VLOOKUP(Calculator!E23,tbSkills!DH3:DI6,2,FALSE)+IF(AND(Calculator!B8=TRUE,Backdoors!BI41=TRUE),VLOOKUP(Calculator!E23,tbSkills!DH3:DJ6,3,FALSE),0),0))&gt;=100,100,(Backdoors!AI12+IF(JH61&gt;=0.45,VLOOKUP(Calculator!E23,tbSkills!DH3:DI6,2,FALSE)+IF(AND(Calculator!B8=TRUE,Backdoors!BI41=TRUE),VLOOKUP(Calculator!E23,tbSkills!DH3:DJ6,3,FALSE),0),0)))/100)),1))*IF(VLOOKUP(A61,tbMoveset!A2:K112,11,FALSE)=TRUE,Backdoors!AC5,1))*JI61,0),"")</f>
        <v/>
      </c>
      <c r="JM61" s="49">
        <f>VLOOKUP(A61,tbMoveset!A2:G112,7,FALSE)*IFERROR(IF(Backdoors!AI12&gt;=0,1+(IF(Calculator!E40&gt;0,VLOOKUP(Calculator!E40,tbSkills!AI3:AJ5,2,FALSE),Backdoors!AL4)*(IF((Backdoors!AI12+IF(JH61&gt;=0.45,VLOOKUP(Calculator!E23,tbSkills!DH3:DI6,2,FALSE)+IF(AND(Calculator!B8=TRUE,Backdoors!BI41=TRUE),VLOOKUP(Calculator!E23,tbSkills!DH3:DJ6,3,FALSE),0),0))&gt;=100,100,(Backdoors!AI12+IF(JH61&gt;=0.45,VLOOKUP(Calculator!E23,tbSkills!DH3:DI6,2,FALSE)+IF(AND(Calculator!B8=TRUE,Backdoors!BI41=TRUE),VLOOKUP(Calculator!E23,tbSkills!DH3:DJ6,3,FALSE),0),0)))/100)),1),1)</f>
        <v>0.5</v>
      </c>
      <c r="JN61" s="87">
        <f t="shared" si="30"/>
        <v>0</v>
      </c>
      <c r="JO61" s="86" t="str">
        <f>IFERROR(IF(VLOOKUP(A61,tbMoveset!A2:B112,2,FALSE)="Sever",Backdoors!AY42/100,IF(VLOOKUP(A61,tbMoveset!A2:B112,2,FALSE)="Blunt",Backdoors!AZ42/100,Backdoors!BA42/100)),"")</f>
        <v/>
      </c>
      <c r="JP61" s="49">
        <f>IFERROR(IF(VLOOKUP(tbMoveset!A61,tbMoveset!A2:H112,8,FALSE)="Other",IF(VLOOKUP(tbMoveset!A61,tbMoveset!A2:I112,9,FALSE)="Fire",Backdoors!BB42,IF(VLOOKUP(tbMoveset!A61,tbMoveset!A2:I112,9,FALSE)="Water",Backdoors!BC42,IF(VLOOKUP(tbMoveset!A61,tbMoveset!A2:I112,9,FALSE)="Thunder",Backdoors!BD42,IF(VLOOKUP(tbMoveset!A61,tbMoveset!A2:I112,9,FALSE)="Ice",Backdoors!BE42,IF(VLOOKUP(tbMoveset!A61,tbMoveset!A2:I112,9,FALSE)="Dragon",Backdoors!BF42,Backdoors!BG42)))))/100,Backdoors!BG42/100),"")</f>
        <v>0</v>
      </c>
      <c r="JQ61" s="49">
        <f>IFERROR(IF(VLOOKUP(A61,tbMoveset!A2:J112,10,FALSE)=TRUE,IF((Backdoors!AI12+IF(JO61&gt;=0.45,VLOOKUP(Calculator!E23,tbSkills!DH3:DI6,2,FALSE)+IF(AND(Calculator!B8=TRUE,Backdoors!BI42=TRUE),VLOOKUP(Calculator!E23,tbSkills!DH3:DJ6,3,FALSE),0),0))&gt;=0,1+(Backdoors!AL2*(IF((Backdoors!AI12+IF(JO61&gt;=0.45,VLOOKUP(Calculator!E23,tbSkills!DH3:DI6,2,FALSE)+IF(AND(Calculator!B8=TRUE,Backdoors!BI42=TRUE),VLOOKUP(Calculator!E23,tbSkills!DH3:DJ6,3,FALSE),0),0))&gt;=100,100,(Backdoors!AI12+IF(JO61&gt;=0.45,VLOOKUP(Calculator!E23,tbSkills!DH3:DI6,2,FALSE)+IF(AND(Calculator!B8=TRUE,Backdoors!BI42=TRUE),VLOOKUP(Calculator!E23,tbSkills!DH3:DJ6,3,FALSE),0),0)))/100)),(1-(0.25*((-Backdoors!AI12-IF(JO61&gt;=0.45,VLOOKUP(Calculator!E23,tbSkills!DH3:DI6,2,FALSE)+IF(AND(Calculator!B8=TRUE,Backdoors!BI42=TRUE),VLOOKUP(Calculator!E23,tbSkills!DH3:DJ6,3,FALSE),0),0))/100)))),1),"")</f>
        <v>1</v>
      </c>
      <c r="JR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O61)*JQ61)*(VLOOKUP(A61,tbMoveset!A2:C112,3,FALSE)/100)*IF(VLOOKUP(A61,tbMoveset!A2:B112,2,FALSE)="Projectile",Backdoors!N10,Backdoors!N9),0),"")</f>
        <v/>
      </c>
      <c r="JS61" s="49">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45&gt;0,VLOOKUP(Calculator!E45,tbSkills!AC3:AD5,2,FALSE),Backdoors!AL3)*(IF((Backdoors!AI12+IF(JO61&gt;=0.45,VLOOKUP(Calculator!E23,tbSkills!DH3:DI6,2,FALSE)+IF(AND(Calculator!B8=TRUE,Backdoors!BI42=TRUE),VLOOKUP(Calculator!E23,tbSkills!DH3:DJ6,3,FALSE),0),0))&gt;=100,100,(Backdoors!AI12+IF(JO61&gt;=0.45,VLOOKUP(Calculator!E23,tbSkills!DH3:DI6,2,FALSE)+IF(AND(Calculator!B8=TRUE,Backdoors!BI42=TRUE),VLOOKUP(Calculator!E23,tbSkills!DH3:DJ6,3,FALSE),0),0)))/100)),1))*IF(VLOOKUP(A61,tbMoveset!A2:K112,11,FALSE)=TRUE,Backdoors!AC5,1))*JP61,0),"")</f>
        <v>0</v>
      </c>
      <c r="JT61" s="49">
        <f>VLOOKUP(A61,tbMoveset!A2:G112,7,FALSE)*IFERROR(IF(Backdoors!AI12&gt;=0,1+(IF(Calculator!E40&gt;0,VLOOKUP(Calculator!E40,tbSkills!AI3:AJ5,2,FALSE),Backdoors!AL4)*(IF((Backdoors!AI12+IF(JO61&gt;=0.45,VLOOKUP(Calculator!E23,tbSkills!DH3:DI6,2,FALSE)+IF(AND(Calculator!B8=TRUE,Backdoors!BI42=TRUE),VLOOKUP(Calculator!E23,tbSkills!DH3:DJ6,3,FALSE),0),0))&gt;=100,100,(Backdoors!AI12+IF(JO61&gt;=0.45,VLOOKUP(Calculator!E23,tbSkills!DH3:DI6,2,FALSE)+IF(AND(Calculator!B8=TRUE,Backdoors!BI42=TRUE),VLOOKUP(Calculator!E23,tbSkills!DH3:DJ6,3,FALSE),0),0)))/100)),1),1)</f>
        <v>0.5</v>
      </c>
      <c r="JU61" s="87">
        <f t="shared" si="31"/>
        <v>0</v>
      </c>
      <c r="JV61" s="86" t="str">
        <f>IFERROR(IF(VLOOKUP(A61,tbMoveset!A2:B112,2,FALSE)="Sever",Backdoors!AY43/100,IF(VLOOKUP(A61,tbMoveset!A2:B112,2,FALSE)="Blunt",Backdoors!AZ43/100,Backdoors!BA43/100)),"")</f>
        <v/>
      </c>
      <c r="JW61" s="49">
        <f>IFERROR(IF(VLOOKUP(tbMoveset!A61,tbMoveset!A2:H112,8,FALSE)="Other",IF(VLOOKUP(tbMoveset!A61,tbMoveset!A2:I112,9,FALSE)="Fire",Backdoors!BB43,IF(VLOOKUP(tbMoveset!A61,tbMoveset!A2:I112,9,FALSE)="Water",Backdoors!BC43,IF(VLOOKUP(tbMoveset!A61,tbMoveset!A2:I112,9,FALSE)="Thunder",Backdoors!BD43,IF(VLOOKUP(tbMoveset!A61,tbMoveset!A2:I112,9,FALSE)="Ice",Backdoors!BE43,IF(VLOOKUP(tbMoveset!A61,tbMoveset!A2:I112,9,FALSE)="Dragon",Backdoors!BF43,Backdoors!BG43)))))/100,Backdoors!BG43/100),"")</f>
        <v>0</v>
      </c>
      <c r="JX61" s="49">
        <f>IFERROR(IF(VLOOKUP(A61,tbMoveset!A2:J112,10,FALSE)=TRUE,IF((Backdoors!AI12+IF(JV61&gt;=0.45,VLOOKUP(Calculator!E23,tbSkills!DH3:DI6,2,FALSE)+IF(AND(Calculator!B8=TRUE,Backdoors!BI43=TRUE),VLOOKUP(Calculator!E23,tbSkills!DH3:DJ6,3,FALSE),0),0))&gt;=0,1+(Backdoors!AL2*(IF((Backdoors!AI12+IF(JV61&gt;=0.45,VLOOKUP(Calculator!E23,tbSkills!DH3:DI6,2,FALSE)+IF(AND(Calculator!B8=TRUE,Backdoors!BI43=TRUE),VLOOKUP(Calculator!E23,tbSkills!DH3:DJ6,3,FALSE),0),0))&gt;=100,100,(Backdoors!AI12+IF(JV61&gt;=0.45,VLOOKUP(Calculator!E23,tbSkills!DH3:DI6,2,FALSE)+IF(AND(Calculator!B8=TRUE,Backdoors!BI43=TRUE),VLOOKUP(Calculator!E23,tbSkills!DH3:DJ6,3,FALSE),0),0)))/100)),(1-(0.25*((-Backdoors!AI12-IF(JV61&gt;=0.45,VLOOKUP(Calculator!E23,tbSkills!DH3:DI6,2,FALSE)+IF(AND(Calculator!B8=TRUE,Backdoors!BI43=TRUE),VLOOKUP(Calculator!E23,tbSkills!DH3:DJ6,3,FALSE),0),0))/100)))),1),"")</f>
        <v>1</v>
      </c>
      <c r="JY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V61)*JX61)*(VLOOKUP(A61,tbMoveset!A2:C112,3,FALSE)/100)*IF(VLOOKUP(A61,tbMoveset!A2:B112,2,FALSE)="Projectile",Backdoors!N10,Backdoors!N9),0),"")</f>
        <v/>
      </c>
      <c r="JZ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46&gt;0,VLOOKUP(Calculator!E46,tbSkills!AC3:AD5,2,FALSE),Backdoors!AL3)*(IF((Backdoors!AI12+IF(JV61&gt;=0.45,VLOOKUP(Calculator!E23,tbSkills!DH3:DI6,2,FALSE)+IF(AND(Calculator!B8=TRUE,Backdoors!BI43=TRUE),VLOOKUP(Calculator!E23,tbSkills!DH3:DJ6,3,FALSE),0),0))&gt;=100,100,(Backdoors!AI12+IF(JV61&gt;=0.45,VLOOKUP(Calculator!E23,tbSkills!DH3:DI6,2,FALSE)+IF(AND(Calculator!B8=TRUE,Backdoors!BI43=TRUE),VLOOKUP(Calculator!E23,tbSkills!DH3:DJ6,3,FALSE),0),0)))/100)),1))*IF(VLOOKUP(A61,tbMoveset!A2:K112,11,FALSE)=TRUE,Backdoors!AC5,1))*JW61,0),"")</f>
        <v/>
      </c>
      <c r="KA61" s="49">
        <f>VLOOKUP(A61,tbMoveset!A2:G112,7,FALSE)*IFERROR(IF(Backdoors!AI12&gt;=0,1+(IF(Calculator!E40&gt;0,VLOOKUP(Calculator!E40,tbSkills!AI3:AJ5,2,FALSE),Backdoors!AL4)*(IF((Backdoors!AI12+IF(JV61&gt;=0.45,VLOOKUP(Calculator!E23,tbSkills!DH3:DI6,2,FALSE)+IF(AND(Calculator!B8=TRUE,Backdoors!BI43=TRUE),VLOOKUP(Calculator!E23,tbSkills!DH3:DJ6,3,FALSE),0),0))&gt;=100,100,(Backdoors!AI12+IF(JV61&gt;=0.45,VLOOKUP(Calculator!E23,tbSkills!DH3:DI6,2,FALSE)+IF(AND(Calculator!B8=TRUE,Backdoors!BI43=TRUE),VLOOKUP(Calculator!E23,tbSkills!DH3:DJ6,3,FALSE),0),0)))/100)),1),1)</f>
        <v>0.5</v>
      </c>
      <c r="KB61" s="87">
        <f t="shared" si="32"/>
        <v>0</v>
      </c>
      <c r="KC61" s="86" t="str">
        <f>IFERROR(IF(VLOOKUP(A61,tbMoveset!A2:B112,2,FALSE)="Sever",Backdoors!AY44/100,IF(VLOOKUP(A61,tbMoveset!A2:B112,2,FALSE)="Blunt",Backdoors!AZ44/100,Backdoors!BA44/100)),"")</f>
        <v/>
      </c>
      <c r="KD61" s="49">
        <f>IFERROR(IF(VLOOKUP(tbMoveset!A61,tbMoveset!A2:H112,8,FALSE)="Other",IF(VLOOKUP(tbMoveset!A61,tbMoveset!A2:I112,9,FALSE)="Fire",Backdoors!BB44,IF(VLOOKUP(tbMoveset!A61,tbMoveset!A2:I112,9,FALSE)="Water",Backdoors!BC44,IF(VLOOKUP(tbMoveset!A61,tbMoveset!A2:I112,9,FALSE)="Thunder",Backdoors!BD44,IF(VLOOKUP(tbMoveset!A61,tbMoveset!A2:I112,9,FALSE)="Ice",Backdoors!BE44,IF(VLOOKUP(tbMoveset!A61,tbMoveset!A2:I112,9,FALSE)="Dragon",Backdoors!BF44,Backdoors!BG44)))))/100,Backdoors!BG44/100),"")</f>
        <v>0</v>
      </c>
      <c r="KE61" s="49">
        <f>IFERROR(IF(VLOOKUP(A61,tbMoveset!A2:J112,10,FALSE)=TRUE,IF((Backdoors!AI12+IF(KC61&gt;=0.45,VLOOKUP(Calculator!E23,tbSkills!DH3:DI6,2,FALSE)+IF(AND(Calculator!B8=TRUE,Backdoors!BI44=TRUE),VLOOKUP(Calculator!E23,tbSkills!DH3:DJ6,3,FALSE),0),0))&gt;=0,1+(Backdoors!AL2*(IF((Backdoors!AI12+IF(KC61&gt;=0.45,VLOOKUP(Calculator!E23,tbSkills!DH3:DI6,2,FALSE)+IF(AND(Calculator!B8=TRUE,Backdoors!BI44=TRUE),VLOOKUP(Calculator!E23,tbSkills!DH3:DJ6,3,FALSE),0),0))&gt;=100,100,(Backdoors!AI12+IF(KC61&gt;=0.45,VLOOKUP(Calculator!E23,tbSkills!DH3:DI6,2,FALSE)+IF(AND(Calculator!B8=TRUE,Backdoors!BI44=TRUE),VLOOKUP(Calculator!E23,tbSkills!DH3:DJ6,3,FALSE),0),0)))/100)),(1-(0.25*((-Backdoors!AI12-IF(KC61&gt;=0.45,VLOOKUP(Calculator!E23,tbSkills!DH3:DI6,2,FALSE)+IF(AND(Calculator!B8=TRUE,Backdoors!BI44=TRUE),VLOOKUP(Calculator!E23,tbSkills!DH3:DJ6,3,FALSE),0),0))/100)))),1),"")</f>
        <v>1</v>
      </c>
      <c r="KF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KC61)*KE61)*(VLOOKUP(A61,tbMoveset!A2:C112,3,FALSE)/100)*IF(VLOOKUP(A61,tbMoveset!A2:B112,2,FALSE)="Projectile",Backdoors!N10,Backdoors!N9),0),"")</f>
        <v/>
      </c>
      <c r="KG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REF!&gt;0,VLOOKUP(Calculator!#REF!,tbSkills!AC3:AD5,2,FALSE),Backdoors!AL3)*(IF((Backdoors!AI12+IF(KC61&gt;=0.45,VLOOKUP(Calculator!E23,tbSkills!DH3:DI6,2,FALSE)+IF(AND(Calculator!B8=TRUE,Backdoors!BI44=TRUE),VLOOKUP(Calculator!E23,tbSkills!DH3:DJ6,3,FALSE),0),0))&gt;=100,100,(Backdoors!AI12+IF(KC61&gt;=0.45,VLOOKUP(Calculator!E23,tbSkills!DH3:DI6,2,FALSE)+IF(AND(Calculator!B8=TRUE,Backdoors!BI44=TRUE),VLOOKUP(Calculator!E23,tbSkills!DH3:DJ6,3,FALSE),0),0)))/100)),1))*IF(VLOOKUP(A61,tbMoveset!A2:K112,11,FALSE)=TRUE,Backdoors!AC5,1))*KD61,0),"")</f>
        <v/>
      </c>
      <c r="KH61" s="49">
        <f>VLOOKUP(A61,tbMoveset!A2:G112,7,FALSE)*IFERROR(IF(Backdoors!AI12&gt;=0,1+(IF(Calculator!E40&gt;0,VLOOKUP(Calculator!E40,tbSkills!AI3:AJ5,2,FALSE),Backdoors!AL4)*(IF((Backdoors!AI12+IF(KC61&gt;=0.45,VLOOKUP(Calculator!E23,tbSkills!DH3:DI6,2,FALSE)+IF(AND(Calculator!B8=TRUE,Backdoors!BI44=TRUE),VLOOKUP(Calculator!E23,tbSkills!DH3:DJ6,3,FALSE),0),0))&gt;=100,100,(Backdoors!AI12+IF(KC61&gt;=0.45,VLOOKUP(Calculator!E23,tbSkills!DH3:DI6,2,FALSE)+IF(AND(Calculator!B8=TRUE,Backdoors!BI44=TRUE),VLOOKUP(Calculator!E23,tbSkills!DH3:DJ6,3,FALSE),0),0)))/100)),1),1)</f>
        <v>0.5</v>
      </c>
      <c r="KI61" s="87">
        <f t="shared" si="33"/>
        <v>0</v>
      </c>
      <c r="KJ61" s="86" t="str">
        <f>IFERROR(IF(VLOOKUP(A61,tbMoveset!A2:B112,2,FALSE)="Sever",Backdoors!AY45/100,IF(VLOOKUP(A61,tbMoveset!A2:B112,2,FALSE)="Blunt",Backdoors!AZ45/100,Backdoors!BA45/100)),"")</f>
        <v/>
      </c>
      <c r="KK61" s="49">
        <f>IFERROR(IF(VLOOKUP(tbMoveset!A61,tbMoveset!A2:H112,8,FALSE)="Other",IF(VLOOKUP(tbMoveset!A61,tbMoveset!A2:I112,9,FALSE)="Fire",Backdoors!BB45,IF(VLOOKUP(tbMoveset!A61,tbMoveset!A2:I112,9,FALSE)="Water",Backdoors!BC45,IF(VLOOKUP(tbMoveset!A61,tbMoveset!A2:I112,9,FALSE)="Thunder",Backdoors!BD45,IF(VLOOKUP(tbMoveset!A61,tbMoveset!A2:I112,9,FALSE)="Ice",Backdoors!BE45,IF(VLOOKUP(tbMoveset!A61,tbMoveset!A2:I112,9,FALSE)="Dragon",Backdoors!BF45,Backdoors!BG45)))))/100,Backdoors!BG45/100),"")</f>
        <v>0</v>
      </c>
      <c r="KL61" s="49">
        <f>IFERROR(IF(VLOOKUP(A61,tbMoveset!A2:J112,10,FALSE)=TRUE,IF((Backdoors!AI12+IF(KJ61&gt;=0.45,VLOOKUP(Calculator!E23,tbSkills!DH3:DI6,2,FALSE)+IF(AND(Calculator!B8=TRUE,Backdoors!BI45=TRUE),VLOOKUP(Calculator!E23,tbSkills!DH3:DJ6,3,FALSE),0),0))&gt;=0,1+(Backdoors!AL2*(IF((Backdoors!AI12+IF(KJ61&gt;=0.45,VLOOKUP(Calculator!E23,tbSkills!DH3:DI6,2,FALSE)+IF(AND(Calculator!B8=TRUE,Backdoors!BI45=TRUE),VLOOKUP(Calculator!E23,tbSkills!DH3:DJ6,3,FALSE),0),0))&gt;=100,100,(Backdoors!AI12+IF(KJ61&gt;=0.45,VLOOKUP(Calculator!E23,tbSkills!DH3:DI6,2,FALSE)+IF(AND(Calculator!B8=TRUE,Backdoors!BI45=TRUE),VLOOKUP(Calculator!E23,tbSkills!DH3:DJ6,3,FALSE),0),0)))/100)),(1-(0.25*((-Backdoors!AI12-IF(KJ61&gt;=0.45,VLOOKUP(Calculator!E23,tbSkills!DH3:DI6,2,FALSE)+IF(AND(Calculator!B8=TRUE,Backdoors!BI45=TRUE),VLOOKUP(Calculator!E23,tbSkills!DH3:DJ6,3,FALSE),0),0))/100)))),1),"")</f>
        <v>1</v>
      </c>
      <c r="KM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KJ61)*KL61)*(VLOOKUP(A61,tbMoveset!A2:C112,3,FALSE)/100)*IF(VLOOKUP(A61,tbMoveset!A2:B112,2,FALSE)="Projectile",Backdoors!N10,Backdoors!N9),0),"")</f>
        <v/>
      </c>
      <c r="KN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REF!&gt;0,VLOOKUP(Calculator!#REF!,tbSkills!AC3:AD5,2,FALSE),Backdoors!AL3)*(IF((Backdoors!AI12+IF(KJ61&gt;=0.45,VLOOKUP(Calculator!E23,tbSkills!DH3:DI6,2,FALSE)+IF(AND(Calculator!B8=TRUE,Backdoors!BI45=TRUE),VLOOKUP(Calculator!E23,tbSkills!DH3:DJ6,3,FALSE),0),0))&gt;=100,100,(Backdoors!AI12+IF(KJ61&gt;=0.45,VLOOKUP(Calculator!E23,tbSkills!DH3:DI6,2,FALSE)+IF(AND(Calculator!B8=TRUE,Backdoors!BI45=TRUE),VLOOKUP(Calculator!E23,tbSkills!DH3:DJ6,3,FALSE),0),0)))/100)),1))*IF(VLOOKUP(A61,tbMoveset!A2:K112,11,FALSE)=TRUE,Backdoors!AC5,1))*KK61,0),"")</f>
        <v/>
      </c>
      <c r="KO61" s="49">
        <f>VLOOKUP(A61,tbMoveset!A2:G112,7,FALSE)*IFERROR(IF(Backdoors!AI12&gt;=0,1+(IF(Calculator!E40&gt;0,VLOOKUP(Calculator!E40,tbSkills!AI3:AJ5,2,FALSE),Backdoors!AL4)*(IF((Backdoors!AI12+IF(KJ61&gt;=0.45,VLOOKUP(Calculator!E23,tbSkills!DH3:DI6,2,FALSE)+IF(AND(Calculator!B8=TRUE,Backdoors!BI45=TRUE),VLOOKUP(Calculator!E23,tbSkills!DH3:DJ6,3,FALSE),0),0))&gt;=100,100,(Backdoors!AI12+IF(KJ61&gt;=0.45,VLOOKUP(Calculator!E23,tbSkills!DH3:DI6,2,FALSE)+IF(AND(Calculator!B8=TRUE,Backdoors!BI45=TRUE),VLOOKUP(Calculator!E23,tbSkills!DH3:DJ6,3,FALSE),0),0)))/100)),1),1)</f>
        <v>0.5</v>
      </c>
      <c r="KP61" s="87">
        <f t="shared" si="34"/>
        <v>0</v>
      </c>
      <c r="KQ61" s="86" t="str">
        <f>IFERROR(IF(VLOOKUP(A61,tbMoveset!A2:B112,2,FALSE)="Sever",Backdoors!AY46/100,IF(VLOOKUP(A61,tbMoveset!A2:B112,2,FALSE)="Blunt",Backdoors!AZ46/100,Backdoors!BA46/100)),"")</f>
        <v/>
      </c>
      <c r="KR61" s="49">
        <f>IFERROR(IF(VLOOKUP(tbMoveset!A61,tbMoveset!A2:H112,8,FALSE)="Other",IF(VLOOKUP(tbMoveset!A61,tbMoveset!A2:I112,9,FALSE)="Fire",Backdoors!BB46,IF(VLOOKUP(tbMoveset!A61,tbMoveset!A2:I112,9,FALSE)="Water",Backdoors!BC46,IF(VLOOKUP(tbMoveset!A61,tbMoveset!A2:I112,9,FALSE)="Thunder",Backdoors!BD46,IF(VLOOKUP(tbMoveset!A61,tbMoveset!A2:I112,9,FALSE)="Ice",Backdoors!BE46,IF(VLOOKUP(tbMoveset!A61,tbMoveset!A2:I112,9,FALSE)="Dragon",Backdoors!BF46,Backdoors!BG46)))))/100,Backdoors!BG46/100),"")</f>
        <v>0</v>
      </c>
      <c r="KS61" s="49">
        <f>IFERROR(IF(VLOOKUP(A61,tbMoveset!A2:J112,10,FALSE)=TRUE,IF((Backdoors!AI12+IF(KQ61&gt;=0.45,VLOOKUP(Calculator!E23,tbSkills!DH3:DI6,2,FALSE)+IF(AND(Calculator!B8=TRUE,Backdoors!BI46=TRUE),VLOOKUP(Calculator!E23,tbSkills!DH3:DJ6,3,FALSE),0),0))&gt;=0,1+(Backdoors!AL2*(IF((Backdoors!AI12+IF(KQ61&gt;=0.45,VLOOKUP(Calculator!E23,tbSkills!DH3:DI6,2,FALSE)+IF(AND(Calculator!B8=TRUE,Backdoors!BI46=TRUE),VLOOKUP(Calculator!E23,tbSkills!DH3:DJ6,3,FALSE),0),0))&gt;=100,100,(Backdoors!AI12+IF(KQ61&gt;=0.45,VLOOKUP(Calculator!E23,tbSkills!DH3:DI6,2,FALSE)+IF(AND(Calculator!B8=TRUE,Backdoors!BI46=TRUE),VLOOKUP(Calculator!E23,tbSkills!DH3:DJ6,3,FALSE),0),0)))/100)),(1-(0.25*((-Backdoors!AI12-IF(KQ61&gt;=0.45,VLOOKUP(Calculator!E23,tbSkills!DH3:DI6,2,FALSE)+IF(AND(Calculator!B8=TRUE,Backdoors!BI46=TRUE),VLOOKUP(Calculator!E23,tbSkills!DH3:DJ6,3,FALSE),0),0))/100)))),1),"")</f>
        <v>1</v>
      </c>
      <c r="KT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KQ61)*KS61)*(VLOOKUP(A61,tbMoveset!A2:C112,3,FALSE)/100)*IF(VLOOKUP(A61,tbMoveset!A2:B112,2,FALSE)="Projectile",Backdoors!N10,Backdoors!N9),0),"")</f>
        <v/>
      </c>
      <c r="KU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REF!&gt;0,VLOOKUP(Calculator!#REF!,tbSkills!AC3:AD5,2,FALSE),Backdoors!AL3)*(IF((Backdoors!AI12+IF(KQ61&gt;=0.45,VLOOKUP(Calculator!E23,tbSkills!DH3:DI6,2,FALSE)+IF(AND(Calculator!B8=TRUE,Backdoors!BI46=TRUE),VLOOKUP(Calculator!E23,tbSkills!DH3:DJ6,3,FALSE),0),0))&gt;=100,100,(Backdoors!AI12+IF(KQ61&gt;=0.45,VLOOKUP(Calculator!E23,tbSkills!DH3:DI6,2,FALSE)+IF(AND(Calculator!B8=TRUE,Backdoors!BI46=TRUE),VLOOKUP(Calculator!E23,tbSkills!DH3:DJ6,3,FALSE),0),0)))/100)),1))*IF(VLOOKUP(A61,tbMoveset!A2:K112,11,FALSE)=TRUE,Backdoors!AC5,1))*KR61,0),"")</f>
        <v/>
      </c>
      <c r="KV61" s="49">
        <f>VLOOKUP(A61,tbMoveset!A2:G112,7,FALSE)*IFERROR(IF(Backdoors!AI12&gt;=0,1+(IF(Calculator!E40&gt;0,VLOOKUP(Calculator!E40,tbSkills!AI3:AJ5,2,FALSE),Backdoors!AL4)*(IF((Backdoors!AI12+IF(KQ61&gt;=0.45,VLOOKUP(Calculator!E23,tbSkills!DH3:DI6,2,FALSE)+IF(AND(Calculator!B8=TRUE,Backdoors!BI46=TRUE),VLOOKUP(Calculator!E23,tbSkills!DH3:DJ6,3,FALSE),0),0))&gt;=100,100,(Backdoors!AI12+IF(KQ61&gt;=0.45,VLOOKUP(Calculator!E23,tbSkills!DH3:DI6,2,FALSE)+IF(AND(Calculator!B8=TRUE,Backdoors!BI46=TRUE),VLOOKUP(Calculator!E23,tbSkills!DH3:DJ6,3,FALSE),0),0)))/100)),1),1)</f>
        <v>0.5</v>
      </c>
      <c r="KW61" s="87">
        <f t="shared" si="35"/>
        <v>0</v>
      </c>
    </row>
    <row r="62" spans="1:309" x14ac:dyDescent="0.25">
      <c r="A62" s="95" t="str">
        <f>tbMoveset!A62</f>
        <v>Blade Dance (L4)</v>
      </c>
      <c r="B62" s="86">
        <f>IFERROR(IF(VLOOKUP(A62,tbMoveset!A2:B112,2,FALSE)="Sever",Backdoors!AY3/100,IF(VLOOKUP(A62,tbMoveset!A2:B112,2,FALSE)="Blunt",Backdoors!AZ3/100,Backdoors!BA3/100)),"")</f>
        <v>0.8</v>
      </c>
      <c r="C62" s="49">
        <f>IFERROR(IF(VLOOKUP(tbMoveset!A62,tbMoveset!A2:H112,8,FALSE)="Other",IF(VLOOKUP(tbMoveset!A62,tbMoveset!A2:I112,9,FALSE)="Fire",Backdoors!BB3,IF(VLOOKUP(tbMoveset!A62,tbMoveset!A2:I112,9,FALSE)="Water",Backdoors!BC3,IF(VLOOKUP(tbMoveset!A62,tbMoveset!A2:I112,9,FALSE)="Thunder",Backdoors!BD3,IF(VLOOKUP(tbMoveset!A62,tbMoveset!A2:I112,9,FALSE)="Ice",Backdoors!BE3,IF(VLOOKUP(tbMoveset!A62,tbMoveset!A2:I112,9,FALSE)="Dragon",Backdoors!BF3,Backdoors!BG3)))))/100,Backdoors!BG3/100),"")</f>
        <v>0</v>
      </c>
      <c r="D62" s="49">
        <f>IFERROR(IF(VLOOKUP(A62,tbMoveset!A2:J112,10,FALSE)=TRUE,IF((Backdoors!AI12+IF(B62&gt;=0.45,VLOOKUP(Calculator!E23,tbSkills!DH3:DI6,2,FALSE)+IF(AND(Calculator!B8=TRUE,Backdoors!BI3=TRUE),VLOOKUP(Calculator!E23,tbSkills!DH3:DJ6,3,FALSE),0),0))&gt;=0,1+(Backdoors!AL2*(IF((Backdoors!AI12+IF(B62&gt;=0.45,VLOOKUP(Calculator!E23,tbSkills!DH3:DI6,2,FALSE)+IF(AND(Calculator!B8=TRUE,Backdoors!BI3=TRUE),VLOOKUP(Calculator!E23,tbSkills!DH3:DJ6,3,FALSE),0),0))&gt;=100,100,(Backdoors!AI12+IF(B62&gt;=0.45,VLOOKUP(Calculator!E23,tbSkills!DH3:DI6,2,FALSE)+IF(AND(Calculator!B8=TRUE,Backdoors!BI3=TRUE),VLOOKUP(Calculator!E23,tbSkills!DH3:DJ6,3,FALSE),0),0)))/100)),(1-(0.25*((-Backdoors!AI12-IF(B62&gt;=0.45,VLOOKUP(Calculator!E23,tbSkills!DH3:DI6,2,FALSE)+IF(AND(Calculator!B8=TRUE,Backdoors!BI3=TRUE),VLOOKUP(Calculator!E23,tbSkills!DH3:DJ6,3,FALSE),0),0))/100)))),1),"")</f>
        <v>1</v>
      </c>
      <c r="E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62)*D62)*(VLOOKUP(A62,tbMoveset!A2:C112,3,FALSE)/100)*IF(VLOOKUP(A62,tbMoveset!A2:B112,2,FALSE)="Projectile",Backdoors!N10,Backdoors!N9),0),"")</f>
        <v>6</v>
      </c>
      <c r="F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62&gt;=0.45,VLOOKUP(Calculator!E23,tbSkills!DH3:DI6,2,FALSE)+IF(AND(Calculator!B8=TRUE,Backdoors!BI3=TRUE),VLOOKUP(Calculator!E23,tbSkills!DH3:DJ6,3,FALSE),0),0))&gt;=100,100,(Backdoors!AI12+IF(B62&gt;=0.45,VLOOKUP(Calculator!E23,tbSkills!DH3:DI6,2,FALSE)+IF(AND(Calculator!B8=TRUE,Backdoors!BI3=TRUE),VLOOKUP(Calculator!E23,tbSkills!DH3:DJ6,3,FALSE),0),0)))/100)),1))*IF(VLOOKUP(A62,tbMoveset!A2:K112,11,FALSE)=TRUE,Backdoors!AC5,1))*C62,0),"")</f>
        <v>0</v>
      </c>
      <c r="G62">
        <f>VLOOKUP(A62,tbMoveset!A2:G112,7,FALSE)*IFERROR(IF(Backdoors!AI12&gt;=0,1+(IF(Calculator!E40&gt;0,VLOOKUP(Calculator!E40,tbSkills!AI3:AJ5,2,FALSE),Backdoors!AL4)*(IF((Backdoors!AI12+IF(B62&gt;=0.45,VLOOKUP(Calculator!E23,tbSkills!DH3:DI6,2,FALSE)+IF(AND(Calculator!B8=TRUE,Backdoors!BI3=TRUE),VLOOKUP(Calculator!E23,tbSkills!DH3:DJ6,3,FALSE),0),0))&gt;=100,100,(Backdoors!AI12+IF(B62&gt;=0.45,VLOOKUP(Calculator!E23,tbSkills!DH3:DI6,2,FALSE)+IF(AND(Calculator!B8=TRUE,Backdoors!BI3=TRUE),VLOOKUP(Calculator!E23,tbSkills!DH3:DJ6,3,FALSE),0),0)))/100)),1),1)</f>
        <v>0.5</v>
      </c>
      <c r="H62" s="87">
        <f t="shared" si="44"/>
        <v>6</v>
      </c>
      <c r="I62" s="86">
        <f>IFERROR(IF(VLOOKUP(A62,tbMoveset!A2:B112,2,FALSE)="Sever",Backdoors!AY4/100,IF(VLOOKUP(A62,tbMoveset!A2:B112,2,FALSE)="Blunt",Backdoors!AZ4/100,Backdoors!BA4/100)),"")</f>
        <v>0.65</v>
      </c>
      <c r="J62" s="49">
        <f>IFERROR(IF(VLOOKUP(tbMoveset!A62,tbMoveset!A2:H112,8,FALSE)="Other",IF(VLOOKUP(tbMoveset!A62,tbMoveset!A2:I112,9,FALSE)="Fire",Backdoors!BB4,IF(VLOOKUP(tbMoveset!A62,tbMoveset!A2:I112,9,FALSE)="Water",Backdoors!BC4,IF(VLOOKUP(tbMoveset!A62,tbMoveset!A2:I112,9,FALSE)="Thunder",Backdoors!BD4,IF(VLOOKUP(tbMoveset!A62,tbMoveset!A2:I112,9,FALSE)="Ice",Backdoors!BE4,IF(VLOOKUP(tbMoveset!A62,tbMoveset!A2:I112,9,FALSE)="Dragon",Backdoors!BF4,Backdoors!BG4)))))/100,Backdoors!BG4/100),"")</f>
        <v>0</v>
      </c>
      <c r="K62" s="49">
        <f>IFERROR(IF(VLOOKUP(A62,tbMoveset!A2:J112,10,FALSE)=TRUE,IF((Backdoors!AI12+IF(I62&gt;=0.45,VLOOKUP(Calculator!E23,tbSkills!DH3:DI6,2,FALSE)+IF(AND(Calculator!B8=TRUE,Backdoors!BI4=TRUE),VLOOKUP(Calculator!E23,tbSkills!DH3:DJ6,3,FALSE),0),0))&gt;=0,1+(Backdoors!AL2*(IF((Backdoors!AI12+IF(I62&gt;=0.45,VLOOKUP(Calculator!E23,tbSkills!DH3:DI6,2,FALSE)+IF(AND(Calculator!B8=TRUE,Backdoors!BI4=TRUE),VLOOKUP(Calculator!E23,tbSkills!DH3:DJ6,3,FALSE),0),0))&gt;=100,100,(Backdoors!AI12+IF(I62&gt;=0.45,VLOOKUP(Calculator!E23,tbSkills!DH3:DI6,2,FALSE)+IF(AND(Calculator!B8=TRUE,Backdoors!BI4=TRUE),VLOOKUP(Calculator!E23,tbSkills!DH3:DJ6,3,FALSE),0),0)))/100)),(1-(0.25*((-Backdoors!AI12-IF(I62&gt;=0.45,VLOOKUP(Calculator!E23,tbSkills!DH3:DI6,2,FALSE)+IF(AND(Calculator!B8=TRUE,Backdoors!BI4=TRUE),VLOOKUP(Calculator!E23,tbSkills!DH3:DJ6,3,FALSE),0),0))/100)))),1),"")</f>
        <v>1</v>
      </c>
      <c r="L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62)*K62)*(VLOOKUP(A62,tbMoveset!A2:C112,3,FALSE)/100)*IF(VLOOKUP(A62,tbMoveset!A2:B112,2,FALSE)="Projectile",Backdoors!N10,Backdoors!N9),0),"")</f>
        <v>5</v>
      </c>
      <c r="M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I62&gt;=0.45,VLOOKUP(Calculator!E23,tbSkills!DH3:DI6,2,FALSE)+IF(AND(Calculator!B8=TRUE,Backdoors!BI4=TRUE),VLOOKUP(Calculator!E23,tbSkills!DH3:DJ6,3,FALSE),0),0))&gt;=100,100,(Backdoors!AI12+IF(I62&gt;=0.45,VLOOKUP(Calculator!E23,tbSkills!DH3:DI6,2,FALSE)+IF(AND(Calculator!B8=TRUE,Backdoors!BI4=TRUE),VLOOKUP(Calculator!E23,tbSkills!DH3:DJ6,3,FALSE),0),0)))/100)),1))*IF(VLOOKUP(A62,tbMoveset!A2:K112,11,FALSE)=TRUE,Backdoors!AC5,1))*J62,0),"")</f>
        <v>0</v>
      </c>
      <c r="N62" s="49">
        <f>VLOOKUP(A62,tbMoveset!A2:G112,7,FALSE)*IFERROR(IF(Backdoors!AI12&gt;=0,1+(IF(Calculator!E40&gt;0,VLOOKUP(Calculator!E40,tbSkills!AI3:AJ5,2,FALSE),Backdoors!AL4)*(IF((Backdoors!AI12+IF(I62&gt;=0.45,VLOOKUP(Calculator!E23,tbSkills!DH3:DI6,2,FALSE)+IF(AND(Calculator!B8=TRUE,Backdoors!BI4=TRUE),VLOOKUP(Calculator!E23,tbSkills!DH3:DJ6,3,FALSE),0),0))&gt;=100,100,(Backdoors!AI12+IF(I62&gt;=0.45,VLOOKUP(Calculator!E23,tbSkills!DH3:DI6,2,FALSE)+IF(AND(Calculator!B8=TRUE,Backdoors!BI4=TRUE),VLOOKUP(Calculator!E23,tbSkills!DH3:DJ6,3,FALSE),0),0)))/100)),1),1)</f>
        <v>0.5</v>
      </c>
      <c r="O62" s="87">
        <f t="shared" si="45"/>
        <v>5</v>
      </c>
      <c r="P62" s="86">
        <f>IFERROR(IF(VLOOKUP(A62,tbMoveset!A2:B112,2,FALSE)="Sever",Backdoors!AY5/100,IF(VLOOKUP(A62,tbMoveset!A2:B112,2,FALSE)="Blunt",Backdoors!AZ5/100,Backdoors!BA5/100)),"")</f>
        <v>0.5</v>
      </c>
      <c r="Q62" s="49">
        <f>IFERROR(IF(VLOOKUP(tbMoveset!A62,tbMoveset!A2:H112,8,FALSE)="Other",IF(VLOOKUP(tbMoveset!A62,tbMoveset!A2:I112,9,FALSE)="Fire",Backdoors!BB5,IF(VLOOKUP(tbMoveset!A62,tbMoveset!A2:I112,9,FALSE)="Water",Backdoors!BC5,IF(VLOOKUP(tbMoveset!A62,tbMoveset!A2:I112,9,FALSE)="Thunder",Backdoors!BD5,IF(VLOOKUP(tbMoveset!A62,tbMoveset!A2:I112,9,FALSE)="Ice",Backdoors!BE5,IF(VLOOKUP(tbMoveset!A62,tbMoveset!A2:I112,9,FALSE)="Dragon",Backdoors!BF5,Backdoors!BG5)))))/100,Backdoors!BG5/100),"")</f>
        <v>0</v>
      </c>
      <c r="R62" s="49">
        <f>IFERROR(IF(VLOOKUP(A62,tbMoveset!A2:J112,10,FALSE)=TRUE,IF((Backdoors!AI12+IF(P62&gt;=0.45,VLOOKUP(Calculator!E23,tbSkills!DH3:DI6,2,FALSE)+IF(AND(Calculator!B8=TRUE,Backdoors!BI5=TRUE),VLOOKUP(Calculator!E23,tbSkills!DH3:DJ6,3,FALSE),0),0))&gt;=0,1+(Backdoors!AL2*(IF((Backdoors!AI12+IF(P62&gt;=0.45,VLOOKUP(Calculator!E23,tbSkills!DH3:DI6,2,FALSE)+IF(AND(Calculator!B8=TRUE,Backdoors!BI5=TRUE),VLOOKUP(Calculator!E23,tbSkills!DH3:DJ6,3,FALSE),0),0))&gt;=100,100,(Backdoors!AI12+IF(P62&gt;=0.45,VLOOKUP(Calculator!E23,tbSkills!DH3:DI6,2,FALSE)+IF(AND(Calculator!B8=TRUE,Backdoors!BI5=TRUE),VLOOKUP(Calculator!E23,tbSkills!DH3:DJ6,3,FALSE),0),0)))/100)),(1-(0.25*((-Backdoors!AI12-IF(P62&gt;=0.45,VLOOKUP(Calculator!E23,tbSkills!DH3:DI6,2,FALSE)+IF(AND(Calculator!B8=TRUE,Backdoors!BI5=TRUE),VLOOKUP(Calculator!E23,tbSkills!DH3:DJ6,3,FALSE),0),0))/100)))),1),"")</f>
        <v>1</v>
      </c>
      <c r="S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P62)*R62)*(VLOOKUP(A62,tbMoveset!A2:C112,3,FALSE)/100)*IF(VLOOKUP(A62,tbMoveset!A2:B112,2,FALSE)="Projectile",Backdoors!N10,Backdoors!N9),0),"")</f>
        <v>4</v>
      </c>
      <c r="T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P62&gt;=0.45,VLOOKUP(Calculator!E23,tbSkills!DH3:DI6,2,FALSE)+IF(AND(Calculator!B8=TRUE,Backdoors!BI5=TRUE),VLOOKUP(Calculator!E23,tbSkills!DH3:DJ6,3,FALSE),0),0))&gt;=100,100,(Backdoors!AI12+IF(P62&gt;=0.45,VLOOKUP(Calculator!E23,tbSkills!DH3:DI6,2,FALSE)+IF(AND(Calculator!B8=TRUE,Backdoors!BI5=TRUE),VLOOKUP(Calculator!E23,tbSkills!DH3:DJ6,3,FALSE),0),0)))/100)),1))*IF(VLOOKUP(A62,tbMoveset!A2:K112,11,FALSE)=TRUE,Backdoors!AC5,1))*Q62,0),"")</f>
        <v>0</v>
      </c>
      <c r="U62" s="49">
        <f>VLOOKUP(A62,tbMoveset!A2:G112,7,FALSE)*IFERROR(IF(Backdoors!AI12&gt;=0,1+(IF(Calculator!E40&gt;0,VLOOKUP(Calculator!E40,tbSkills!AI3:AJ5,2,FALSE),Backdoors!AL4)*(IF((Backdoors!AI12+IF(P62&gt;=0.45,VLOOKUP(Calculator!E23,tbSkills!DH3:DI6,2,FALSE)+IF(AND(Calculator!B8=TRUE,Backdoors!BI5=TRUE),VLOOKUP(Calculator!E23,tbSkills!DH3:DJ6,3,FALSE),0),0))&gt;=100,100,(Backdoors!AI12+IF(P62&gt;=0.45,VLOOKUP(Calculator!E23,tbSkills!DH3:DI6,2,FALSE)+IF(AND(Calculator!B8=TRUE,Backdoors!BI5=TRUE),VLOOKUP(Calculator!E23,tbSkills!DH3:DJ6,3,FALSE),0),0)))/100)),1),1)</f>
        <v>0.5</v>
      </c>
      <c r="V62" s="87">
        <f t="shared" si="46"/>
        <v>4</v>
      </c>
      <c r="W62" s="86">
        <f>IFERROR(IF(VLOOKUP(A62,tbMoveset!A2:B112,2,FALSE)="Sever",Backdoors!AY6/100,IF(VLOOKUP(A62,tbMoveset!A2:B112,2,FALSE)="Blunt",Backdoors!AZ6/100,Backdoors!BA6/100)),"")</f>
        <v>0.45</v>
      </c>
      <c r="X62" s="49">
        <f>IFERROR(IF(VLOOKUP(tbMoveset!A62,tbMoveset!A2:H112,8,FALSE)="Other",IF(VLOOKUP(tbMoveset!A62,tbMoveset!A2:I112,9,FALSE)="Fire",Backdoors!BB6,IF(VLOOKUP(tbMoveset!A62,tbMoveset!A2:I112,9,FALSE)="Water",Backdoors!BC6,IF(VLOOKUP(tbMoveset!A62,tbMoveset!A2:I112,9,FALSE)="Thunder",Backdoors!BD6,IF(VLOOKUP(tbMoveset!A62,tbMoveset!A2:I112,9,FALSE)="Ice",Backdoors!BE6,IF(VLOOKUP(tbMoveset!A62,tbMoveset!A2:I112,9,FALSE)="Dragon",Backdoors!BF6,Backdoors!BG6)))))/100,Backdoors!BG6/100),"")</f>
        <v>0</v>
      </c>
      <c r="Y62" s="49">
        <f>IFERROR(IF(VLOOKUP(A62,tbMoveset!A2:J112,10,FALSE)=TRUE,IF((Backdoors!AI12+IF(W62&gt;=0.45,VLOOKUP(Calculator!E23,tbSkills!DH3:DI6,2,FALSE)+IF(AND(Calculator!B8=TRUE,Backdoors!BI6=TRUE),VLOOKUP(Calculator!E23,tbSkills!DH3:DJ6,3,FALSE),0),0))&gt;=0,1+(Backdoors!AL2*(IF((Backdoors!AI12+IF(W62&gt;=0.45,VLOOKUP(Calculator!E23,tbSkills!DH3:DI6,2,FALSE)+IF(AND(Calculator!B8=TRUE,Backdoors!BI6=TRUE),VLOOKUP(Calculator!E23,tbSkills!DH3:DJ6,3,FALSE),0),0))&gt;=100,100,(Backdoors!AI12+IF(W62&gt;=0.45,VLOOKUP(Calculator!E23,tbSkills!DH3:DI6,2,FALSE)+IF(AND(Calculator!B8=TRUE,Backdoors!BI6=TRUE),VLOOKUP(Calculator!E23,tbSkills!DH3:DJ6,3,FALSE),0),0)))/100)),(1-(0.25*((-Backdoors!AI12-IF(W62&gt;=0.45,VLOOKUP(Calculator!E23,tbSkills!DH3:DI6,2,FALSE)+IF(AND(Calculator!B8=TRUE,Backdoors!BI6=TRUE),VLOOKUP(Calculator!E23,tbSkills!DH3:DJ6,3,FALSE),0),0))/100)))),1),"")</f>
        <v>1</v>
      </c>
      <c r="Z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W62)*Y62)*(VLOOKUP(A62,tbMoveset!A2:C112,3,FALSE)/100)*IF(VLOOKUP(A62,tbMoveset!A2:B112,2,FALSE)="Projectile",Backdoors!N10,Backdoors!N9),0),"")</f>
        <v>3</v>
      </c>
      <c r="AA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W62&gt;=0.45,VLOOKUP(Calculator!E23,tbSkills!DH3:DI6,2,FALSE)+IF(AND(Calculator!B8=TRUE,Backdoors!BI6=TRUE),VLOOKUP(Calculator!E23,tbSkills!DH3:DJ6,3,FALSE),0),0))&gt;=100,100,(Backdoors!AI12+IF(W62&gt;=0.45,VLOOKUP(Calculator!E23,tbSkills!DH3:DI6,2,FALSE)+IF(AND(Calculator!B8=TRUE,Backdoors!BI6=TRUE),VLOOKUP(Calculator!E23,tbSkills!DH3:DJ6,3,FALSE),0),0)))/100)),1))*IF(VLOOKUP(A62,tbMoveset!A2:K112,11,FALSE)=TRUE,Backdoors!AC5,1))*X62,0),"")</f>
        <v>0</v>
      </c>
      <c r="AB62" s="49">
        <f>VLOOKUP(A62,tbMoveset!A2:G112,7,FALSE)*IFERROR(IF(Backdoors!AI12&gt;=0,1+(IF(Calculator!E40&gt;0,VLOOKUP(Calculator!E40,tbSkills!AI3:AJ5,2,FALSE),Backdoors!AL4)*(IF((Backdoors!AI12+IF(W62&gt;=0.45,VLOOKUP(Calculator!E23,tbSkills!DH3:DI6,2,FALSE)+IF(AND(Calculator!B8=TRUE,Backdoors!BI6=TRUE),VLOOKUP(Calculator!E23,tbSkills!DH3:DJ6,3,FALSE),0),0))&gt;=100,100,(Backdoors!AI12+IF(W62&gt;=0.45,VLOOKUP(Calculator!E23,tbSkills!DH3:DI6,2,FALSE)+IF(AND(Calculator!B8=TRUE,Backdoors!BI6=TRUE),VLOOKUP(Calculator!E23,tbSkills!DH3:DJ6,3,FALSE),0),0)))/100)),1),1)</f>
        <v>0.5</v>
      </c>
      <c r="AC62" s="87">
        <f t="shared" si="47"/>
        <v>3</v>
      </c>
      <c r="AD62" s="86">
        <f>IFERROR(IF(VLOOKUP(A62,tbMoveset!A2:B112,2,FALSE)="Sever",Backdoors!AY7/100,IF(VLOOKUP(A62,tbMoveset!A2:B112,2,FALSE)="Blunt",Backdoors!AZ7/100,Backdoors!BA7/100)),"")</f>
        <v>0.65</v>
      </c>
      <c r="AE62" s="49">
        <f>IFERROR(IF(VLOOKUP(tbMoveset!A62,tbMoveset!A2:H112,8,FALSE)="Other",IF(VLOOKUP(tbMoveset!A62,tbMoveset!A2:I112,9,FALSE)="Fire",Backdoors!BB7,IF(VLOOKUP(tbMoveset!A62,tbMoveset!A2:I112,9,FALSE)="Water",Backdoors!BC7,IF(VLOOKUP(tbMoveset!A62,tbMoveset!A2:I112,9,FALSE)="Thunder",Backdoors!BD7,IF(VLOOKUP(tbMoveset!A62,tbMoveset!A2:I112,9,FALSE)="Ice",Backdoors!BE7,IF(VLOOKUP(tbMoveset!A62,tbMoveset!A2:I112,9,FALSE)="Dragon",Backdoors!BF7,Backdoors!BG7)))))/100,Backdoors!BG7/100),"")</f>
        <v>0</v>
      </c>
      <c r="AF62" s="49">
        <f>IFERROR(IF(VLOOKUP(A62,tbMoveset!A2:J112,10,FALSE)=TRUE,IF((Backdoors!AI12+IF(AD62&gt;=0.45,VLOOKUP(Calculator!E23,tbSkills!DH3:DI6,2,FALSE)+IF(AND(Calculator!B8=TRUE,Backdoors!BI7=TRUE),VLOOKUP(Calculator!E23,tbSkills!DH3:DJ6,3,FALSE),0),0))&gt;=0,1+(Backdoors!AL2*(IF((Backdoors!AI12+IF(AD62&gt;=0.45,VLOOKUP(Calculator!E23,tbSkills!DH3:DI6,2,FALSE)+IF(AND(Calculator!B8=TRUE,Backdoors!BI7=TRUE),VLOOKUP(Calculator!E23,tbSkills!DH3:DJ6,3,FALSE),0),0))&gt;=100,100,(Backdoors!AI12+IF(AD62&gt;=0.45,VLOOKUP(Calculator!E23,tbSkills!DH3:DI6,2,FALSE)+IF(AND(Calculator!B8=TRUE,Backdoors!BI7=TRUE),VLOOKUP(Calculator!E23,tbSkills!DH3:DJ6,3,FALSE),0),0)))/100)),(1-(0.25*((-Backdoors!AI12-IF(AD62&gt;=0.45,VLOOKUP(Calculator!E23,tbSkills!DH3:DI6,2,FALSE)+IF(AND(Calculator!B8=TRUE,Backdoors!BI7=TRUE),VLOOKUP(Calculator!E23,tbSkills!DH3:DJ6,3,FALSE),0),0))/100)))),1),"")</f>
        <v>1</v>
      </c>
      <c r="AG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D62)*AF62)*(VLOOKUP(A62,tbMoveset!A2:C112,3,FALSE)/100)*IF(VLOOKUP(A62,tbMoveset!A2:B112,2,FALSE)="Projectile",Backdoors!N10,Backdoors!N9),0),"")</f>
        <v>5</v>
      </c>
      <c r="AH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D62&gt;=0.45,VLOOKUP(Calculator!E23,tbSkills!DH3:DI6,2,FALSE)+IF(AND(Calculator!B8=TRUE,Backdoors!BI7=TRUE),VLOOKUP(Calculator!E23,tbSkills!DH3:DJ6,3,FALSE),0),0))&gt;=100,100,(Backdoors!AI12+IF(AD62&gt;=0.45,VLOOKUP(Calculator!E23,tbSkills!DH3:DI6,2,FALSE)+IF(AND(Calculator!B8=TRUE,Backdoors!BI7=TRUE),VLOOKUP(Calculator!E23,tbSkills!DH3:DJ6,3,FALSE),0),0)))/100)),1))*IF(VLOOKUP(A62,tbMoveset!A2:K112,11,FALSE)=TRUE,Backdoors!AC5,1))*AE62,0),"")</f>
        <v>0</v>
      </c>
      <c r="AI62" s="49">
        <f>VLOOKUP(A62,tbMoveset!A2:G112,7,FALSE)*IFERROR(IF(Backdoors!AI12&gt;=0,1+(IF(Calculator!E40&gt;0,VLOOKUP(Calculator!E40,tbSkills!AI3:AJ5,2,FALSE),Backdoors!AL4)*(IF((Backdoors!AI12+IF(AD62&gt;=0.45,VLOOKUP(Calculator!E23,tbSkills!DH3:DI6,2,FALSE)+IF(AND(Calculator!B8=TRUE,Backdoors!BI7=TRUE),VLOOKUP(Calculator!E23,tbSkills!DH3:DJ6,3,FALSE),0),0))&gt;=100,100,(Backdoors!AI12+IF(AD62&gt;=0.45,VLOOKUP(Calculator!E23,tbSkills!DH3:DI6,2,FALSE)+IF(AND(Calculator!B8=TRUE,Backdoors!BI7=TRUE),VLOOKUP(Calculator!E23,tbSkills!DH3:DJ6,3,FALSE),0),0)))/100)),1),1)</f>
        <v>0.5</v>
      </c>
      <c r="AJ62" s="87">
        <f t="shared" si="48"/>
        <v>5</v>
      </c>
      <c r="AK62" s="91">
        <f>IFERROR(IF(VLOOKUP(A62,tbMoveset!A2:B112,2,FALSE)="Sever",Backdoors!AY8/100,IF(VLOOKUP(A62,tbMoveset!A2:B112,2,FALSE)="Blunt",Backdoors!AZ8/100,Backdoors!BA8/100)),"")</f>
        <v>0.45</v>
      </c>
      <c r="AL62" s="49">
        <f>IFERROR(IF(VLOOKUP(tbMoveset!A62,tbMoveset!A2:H112,8,FALSE)="Other",IF(VLOOKUP(tbMoveset!A62,tbMoveset!A2:I112,9,FALSE)="Fire",Backdoors!BB8,IF(VLOOKUP(tbMoveset!A62,tbMoveset!A2:I112,9,FALSE)="Water",Backdoors!BC8,IF(VLOOKUP(tbMoveset!A62,tbMoveset!A2:I112,9,FALSE)="Thunder",Backdoors!BD8,IF(VLOOKUP(tbMoveset!A62,tbMoveset!A2:I112,9,FALSE)="Ice",Backdoors!BE8,IF(VLOOKUP(tbMoveset!A62,tbMoveset!A2:I112,9,FALSE)="Dragon",Backdoors!BF8,Backdoors!BG8)))))/100,Backdoors!BG8/100),"")</f>
        <v>0</v>
      </c>
      <c r="AM62" s="49">
        <f>IFERROR(IF(VLOOKUP(A62,tbMoveset!A2:J112,10,FALSE)=TRUE,IF((Backdoors!AI12+IF(AK62&gt;=0.45,VLOOKUP(Calculator!E23,tbSkills!DH3:DI6,2,FALSE)+IF(AND(Calculator!B8=TRUE,Backdoors!BI8=TRUE),VLOOKUP(Calculator!E23,tbSkills!DH3:DJ6,3,FALSE),0),0))&gt;=0,1+(Backdoors!AL2*(IF((Backdoors!AI12+IF(AK62&gt;=0.45,VLOOKUP(Calculator!E23,tbSkills!DH3:DI6,2,FALSE)+IF(AND(Calculator!B8=TRUE,Backdoors!BI8=TRUE),VLOOKUP(Calculator!E23,tbSkills!DH3:DJ6,3,FALSE),0),0))&gt;=100,100,(Backdoors!AI12+IF(AK62&gt;=0.45,VLOOKUP(Calculator!E23,tbSkills!DH3:DI6,2,FALSE)+IF(AND(Calculator!B8=TRUE,Backdoors!BI8=TRUE),VLOOKUP(Calculator!E23,tbSkills!DH3:DJ6,3,FALSE),0),0)))/100)),(1-(0.25*((-Backdoors!AI12-IF(AK62&gt;=0.45,VLOOKUP(Calculator!E23,tbSkills!DH3:DI6,2,FALSE)+IF(AND(Calculator!B8=TRUE,Backdoors!BI8=TRUE),VLOOKUP(Calculator!E23,tbSkills!DH3:DJ6,3,FALSE),0),0))/100)))),1),"")</f>
        <v>1</v>
      </c>
      <c r="AN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K62)*AM62)*(VLOOKUP(A62,tbMoveset!A2:C112,3,FALSE)/100)*IF(VLOOKUP(A62,tbMoveset!A2:B112,2,FALSE)="Projectile",Backdoors!N10,Backdoors!N9),0),"")</f>
        <v>3</v>
      </c>
      <c r="AO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K62&gt;=0.45,VLOOKUP(Calculator!E23,tbSkills!DH3:DI6,2,FALSE)+IF(AND(Calculator!B8=TRUE,Backdoors!BI8=TRUE),VLOOKUP(Calculator!E23,tbSkills!DH3:DJ6,3,FALSE),0),0))&gt;=100,100,(Backdoors!AI12+IF(AK62&gt;=0.45,VLOOKUP(Calculator!E23,tbSkills!DH3:DI6,2,FALSE)+IF(AND(Calculator!B8=TRUE,Backdoors!BI8=TRUE),VLOOKUP(Calculator!E23,tbSkills!DH3:DJ6,3,FALSE),0),0)))/100)),1))*IF(VLOOKUP(A62,tbMoveset!A2:K112,11,FALSE)=TRUE,Backdoors!AC5,1))*AL62,0),"")</f>
        <v>0</v>
      </c>
      <c r="AP62" s="49">
        <f>VLOOKUP(A62,tbMoveset!A2:G112,7,FALSE)*IFERROR(IF(Backdoors!AI12&gt;=0,1+(IF(Calculator!E40&gt;0,VLOOKUP(Calculator!E40,tbSkills!AI3:AJ5,2,FALSE),Backdoors!AL4)*(IF((Backdoors!AI12+IF(AK62&gt;=0.45,VLOOKUP(Calculator!E23,tbSkills!DH3:DI6,2,FALSE)+IF(AND(Calculator!B8=TRUE,Backdoors!BI8=TRUE),VLOOKUP(Calculator!E23,tbSkills!DH3:DJ6,3,FALSE),0),0))&gt;=100,100,(Backdoors!AI12+IF(AK62&gt;=0.45,VLOOKUP(Calculator!E23,tbSkills!DH3:DI6,2,FALSE)+IF(AND(Calculator!B8=TRUE,Backdoors!BI8=TRUE),VLOOKUP(Calculator!E23,tbSkills!DH3:DJ6,3,FALSE),0),0)))/100)),1),1)</f>
        <v>0.5</v>
      </c>
      <c r="AQ62" s="87">
        <f t="shared" si="49"/>
        <v>3</v>
      </c>
      <c r="AR62" s="86">
        <f>IFERROR(IF(VLOOKUP(A62,tbMoveset!A2:B112,2,FALSE)="Sever",Backdoors!AY9/100,IF(VLOOKUP(A62,tbMoveset!A2:B112,2,FALSE)="Blunt",Backdoors!AZ9/100,Backdoors!BA9/100)),"")</f>
        <v>0.45</v>
      </c>
      <c r="AS62" s="49">
        <f>IFERROR(IF(VLOOKUP(tbMoveset!A62,tbMoveset!A2:H112,8,FALSE)="Other",IF(VLOOKUP(tbMoveset!A62,tbMoveset!A2:I112,9,FALSE)="Fire",Backdoors!BB9,IF(VLOOKUP(tbMoveset!A62,tbMoveset!A2:I112,9,FALSE)="Water",Backdoors!BC9,IF(VLOOKUP(tbMoveset!A62,tbMoveset!A2:I112,9,FALSE)="Thunder",Backdoors!BD9,IF(VLOOKUP(tbMoveset!A62,tbMoveset!A2:I112,9,FALSE)="Ice",Backdoors!BE9,IF(VLOOKUP(tbMoveset!A62,tbMoveset!A2:I112,9,FALSE)="Dragon",Backdoors!BF9,Backdoors!BG9)))))/100,Backdoors!BG9/100),"")</f>
        <v>0</v>
      </c>
      <c r="AT62" s="49">
        <f>IFERROR(IF(VLOOKUP(A62,tbMoveset!A2:J112,10,FALSE)=TRUE,IF((Backdoors!AI12+IF(AR62&gt;=0.45,VLOOKUP(Calculator!E23,tbSkills!DH3:DI6,2,FALSE)+IF(AND(Calculator!B8=TRUE,Backdoors!BI9=TRUE),VLOOKUP(Calculator!E23,tbSkills!DH3:DJ6,3,FALSE),0),0))&gt;=0,1+(Backdoors!AL2*(IF((Backdoors!AI12+IF(AR62&gt;=0.45,VLOOKUP(Calculator!E23,tbSkills!DH3:DI6,2,FALSE)+IF(AND(Calculator!B8=TRUE,Backdoors!BI9=TRUE),VLOOKUP(Calculator!E23,tbSkills!DH3:DJ6,3,FALSE),0),0))&gt;=100,100,(Backdoors!AI12+IF(AR62&gt;=0.45,VLOOKUP(Calculator!E23,tbSkills!DH3:DI6,2,FALSE)+IF(AND(Calculator!B8=TRUE,Backdoors!BI9=TRUE),VLOOKUP(Calculator!E23,tbSkills!DH3:DJ6,3,FALSE),0),0)))/100)),(1-(0.25*((-Backdoors!AI12-IF(AR62&gt;=0.45,VLOOKUP(Calculator!E23,tbSkills!DH3:DI6,2,FALSE)+IF(AND(Calculator!B8=TRUE,Backdoors!BI9=TRUE),VLOOKUP(Calculator!E23,tbSkills!DH3:DJ6,3,FALSE),0),0))/100)))),1),"")</f>
        <v>1</v>
      </c>
      <c r="AU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R62)*AT62)*(VLOOKUP(A62,tbMoveset!A2:C112,3,FALSE)/100)*IF(VLOOKUP(A62,tbMoveset!A2:B112,2,FALSE)="Projectile",Backdoors!N10,Backdoors!N9),0),"")</f>
        <v>3</v>
      </c>
      <c r="AV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R62&gt;=0.45,VLOOKUP(Calculator!E23,tbSkills!DH3:DI6,2,FALSE)+IF(AND(Calculator!B8=TRUE,Backdoors!BI9=TRUE),VLOOKUP(Calculator!E23,tbSkills!DH3:DJ6,3,FALSE),0),0))&gt;=100,100,(Backdoors!AI12+IF(AR62&gt;=0.45,VLOOKUP(Calculator!E23,tbSkills!DH3:DI6,2,FALSE)+IF(AND(Calculator!B8=TRUE,Backdoors!BI9=TRUE),VLOOKUP(Calculator!E23,tbSkills!DH3:DJ6,3,FALSE),0),0)))/100)),1))*IF(VLOOKUP(A62,tbMoveset!A2:K112,11,FALSE)=TRUE,Backdoors!AC5,1))*AS62,0),"")</f>
        <v>0</v>
      </c>
      <c r="AW62" s="49">
        <f>VLOOKUP(A62,tbMoveset!A2:G112,7,FALSE)*IFERROR(IF(Backdoors!AI12&gt;=0,1+(IF(Calculator!E40&gt;0,VLOOKUP(Calculator!E40,tbSkills!AI3:AJ5,2,FALSE),Backdoors!AL4)*(IF((Backdoors!AI12+IF(AR62&gt;=0.45,VLOOKUP(Calculator!E23,tbSkills!DH3:DI6,2,FALSE)+IF(AND(Calculator!B8=TRUE,Backdoors!BI9=TRUE),VLOOKUP(Calculator!E23,tbSkills!DH3:DJ6,3,FALSE),0),0))&gt;=100,100,(Backdoors!AI12+IF(AR62&gt;=0.45,VLOOKUP(Calculator!E23,tbSkills!DH3:DI6,2,FALSE)+IF(AND(Calculator!B8=TRUE,Backdoors!BI9=TRUE),VLOOKUP(Calculator!E23,tbSkills!DH3:DJ6,3,FALSE),0),0)))/100)),1),1)</f>
        <v>0.5</v>
      </c>
      <c r="AX62" s="87">
        <f t="shared" si="50"/>
        <v>3</v>
      </c>
      <c r="AY62" s="86">
        <f>IFERROR(IF(VLOOKUP(A62,tbMoveset!A2:B112,2,FALSE)="Sever",Backdoors!AY10/100,IF(VLOOKUP(A62,tbMoveset!A2:B112,2,FALSE)="Blunt",Backdoors!AZ10/100,Backdoors!BA10/100)),"")</f>
        <v>0.9</v>
      </c>
      <c r="AZ62" s="49">
        <f>IFERROR(IF(VLOOKUP(tbMoveset!A62,tbMoveset!A2:H112,8,FALSE)="Other",IF(VLOOKUP(tbMoveset!A62,tbMoveset!A2:I112,9,FALSE)="Fire",Backdoors!BB10,IF(VLOOKUP(tbMoveset!A62,tbMoveset!A2:I112,9,FALSE)="Water",Backdoors!BC10,IF(VLOOKUP(tbMoveset!A62,tbMoveset!A2:I112,9,FALSE)="Thunder",Backdoors!BD10,IF(VLOOKUP(tbMoveset!A62,tbMoveset!A2:I112,9,FALSE)="Ice",Backdoors!BE10,IF(VLOOKUP(tbMoveset!A62,tbMoveset!A2:I112,9,FALSE)="Dragon",Backdoors!BF10,Backdoors!BG10)))))/100,Backdoors!BG10/100),"")</f>
        <v>0</v>
      </c>
      <c r="BA62" s="49">
        <f>IFERROR(IF(VLOOKUP(A62,tbMoveset!A2:J112,10,FALSE)=TRUE,IF((Backdoors!AI12+IF(AY62&gt;=0.45,VLOOKUP(Calculator!E23,tbSkills!DH3:DI6,2,FALSE)+IF(AND(Calculator!B8=TRUE,Backdoors!BI10=TRUE),VLOOKUP(Calculator!E23,tbSkills!DH3:DJ6,3,FALSE),0),0))&gt;=0,1+(Backdoors!AL2*(IF((Backdoors!AI12+IF(AY62&gt;=0.45,VLOOKUP(Calculator!E23,tbSkills!DH3:DI6,2,FALSE)+IF(AND(Calculator!B8=TRUE,Backdoors!BI10=TRUE),VLOOKUP(Calculator!E23,tbSkills!DH3:DJ6,3,FALSE),0),0))&gt;=100,100,(Backdoors!AI12+IF(AY62&gt;=0.45,VLOOKUP(Calculator!E23,tbSkills!DH3:DI6,2,FALSE)+IF(AND(Calculator!B8=TRUE,Backdoors!BI10=TRUE),VLOOKUP(Calculator!E23,tbSkills!DH3:DJ6,3,FALSE),0),0)))/100)),(1-(0.25*((-Backdoors!AI12-IF(AY62&gt;=0.45,VLOOKUP(Calculator!E23,tbSkills!DH3:DI6,2,FALSE)+IF(AND(Calculator!B8=TRUE,Backdoors!BI10=TRUE),VLOOKUP(Calculator!E23,tbSkills!DH3:DJ6,3,FALSE),0),0))/100)))),1),"")</f>
        <v>1</v>
      </c>
      <c r="BB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Y62)*BA62)*(VLOOKUP(A62,tbMoveset!A2:C112,3,FALSE)/100)*IF(VLOOKUP(A62,tbMoveset!A2:B112,2,FALSE)="Projectile",Backdoors!N10,Backdoors!N9),0),"")</f>
        <v>7</v>
      </c>
      <c r="BC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Y62&gt;=0.45,VLOOKUP(Calculator!E23,tbSkills!DH3:DI6,2,FALSE)+IF(AND(Calculator!B8=TRUE,Backdoors!BI10=TRUE),VLOOKUP(Calculator!E23,tbSkills!DH3:DJ6,3,FALSE),0),0))&gt;=100,100,(Backdoors!AI12+IF(AY62&gt;=0.45,VLOOKUP(Calculator!E23,tbSkills!DH3:DI6,2,FALSE)+IF(AND(Calculator!B8=TRUE,Backdoors!BI10=TRUE),VLOOKUP(Calculator!E23,tbSkills!DH3:DJ6,3,FALSE),0),0)))/100)),1))*IF(VLOOKUP(A62,tbMoveset!A2:K112,11,FALSE)=TRUE,Backdoors!AC5,1))*AZ62,0),"")</f>
        <v>0</v>
      </c>
      <c r="BD62" s="49">
        <f>VLOOKUP(A62,tbMoveset!A2:G112,7,FALSE)*IFERROR(IF(Backdoors!AI12&gt;=0,1+(IF(Calculator!E40&gt;0,VLOOKUP(Calculator!E40,tbSkills!AI3:AJ5,2,FALSE),Backdoors!AL4)*(IF((Backdoors!AI12+IF(AY62&gt;=0.45,VLOOKUP(Calculator!E23,tbSkills!DH3:DI6,2,FALSE)+IF(AND(Calculator!B8=TRUE,Backdoors!BI10=TRUE),VLOOKUP(Calculator!E23,tbSkills!DH3:DJ6,3,FALSE),0),0))&gt;=100,100,(Backdoors!AI12+IF(AY62&gt;=0.45,VLOOKUP(Calculator!E23,tbSkills!DH3:DI6,2,FALSE)+IF(AND(Calculator!B8=TRUE,Backdoors!BI10=TRUE),VLOOKUP(Calculator!E23,tbSkills!DH3:DJ6,3,FALSE),0),0)))/100)),1),1)</f>
        <v>0.5</v>
      </c>
      <c r="BE62" s="87">
        <f t="shared" si="3"/>
        <v>7</v>
      </c>
      <c r="BF62" s="86" t="str">
        <f>IFERROR(IF(VLOOKUP(A62,tbMoveset!A2:B112,2,FALSE)="Sever",Backdoors!AY11/100,IF(VLOOKUP(A62,tbMoveset!A2:B112,2,FALSE)="Blunt",Backdoors!AZ11/100,Backdoors!BA11/100)),"")</f>
        <v/>
      </c>
      <c r="BG62" s="49">
        <f>IFERROR(IF(VLOOKUP(tbMoveset!A62,tbMoveset!A2:H112,8,FALSE)="Other",IF(VLOOKUP(tbMoveset!A62,tbMoveset!A2:I112,9,FALSE)="Fire",Backdoors!BB11,IF(VLOOKUP(tbMoveset!A62,tbMoveset!A2:I112,9,FALSE)="Water",Backdoors!BC11,IF(VLOOKUP(tbMoveset!A62,tbMoveset!A2:I112,9,FALSE)="Thunder",Backdoors!BD11,IF(VLOOKUP(tbMoveset!A62,tbMoveset!A2:I112,9,FALSE)="Ice",Backdoors!BE11,IF(VLOOKUP(tbMoveset!A62,tbMoveset!A2:I112,9,FALSE)="Dragon",Backdoors!BF11,Backdoors!BG11)))))/100,Backdoors!BG11/100),"")</f>
        <v>0</v>
      </c>
      <c r="BH62" s="49">
        <f>IFERROR(IF(VLOOKUP(A62,tbMoveset!A2:J112,10,FALSE)=TRUE,IF((Backdoors!AI12+IF(BF62&gt;=0.45,VLOOKUP(Calculator!E23,tbSkills!DH3:DI6,2,FALSE)+IF(AND(Calculator!B8=TRUE,Backdoors!BI11=TRUE),VLOOKUP(Calculator!E23,tbSkills!DH3:DJ6,3,FALSE),0),0))&gt;=0,1+(Backdoors!AL2*(IF((Backdoors!AI12+IF(BF62&gt;=0.45,VLOOKUP(Calculator!E23,tbSkills!DH3:DI6,2,FALSE)+IF(AND(Calculator!B8=TRUE,Backdoors!BI11=TRUE),VLOOKUP(Calculator!E23,tbSkills!DH3:DJ6,3,FALSE),0),0))&gt;=100,100,(Backdoors!AI12+IF(BF62&gt;=0.45,VLOOKUP(Calculator!E23,tbSkills!DH3:DI6,2,FALSE)+IF(AND(Calculator!B8=TRUE,Backdoors!BI11=TRUE),VLOOKUP(Calculator!E23,tbSkills!DH3:DJ6,3,FALSE),0),0)))/100)),(1-(0.25*((-Backdoors!AI12-IF(BF62&gt;=0.45,VLOOKUP(Calculator!E23,tbSkills!DH3:DI6,2,FALSE)+IF(AND(Calculator!B8=TRUE,Backdoors!BI11=TRUE),VLOOKUP(Calculator!E23,tbSkills!DH3:DJ6,3,FALSE),0),0))/100)))),1),"")</f>
        <v>1</v>
      </c>
      <c r="BI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F62)*BH62)*(VLOOKUP(A62,tbMoveset!A2:C112,3,FALSE)/100)*IF(VLOOKUP(A62,tbMoveset!A2:B112,2,FALSE)="Projectile",Backdoors!N10,Backdoors!N9),0),"")</f>
        <v/>
      </c>
      <c r="BJ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F62&gt;=0.45,VLOOKUP(Calculator!E23,tbSkills!DH3:DI6,2,FALSE)+IF(AND(Calculator!B8=TRUE,Backdoors!BI11=TRUE),VLOOKUP(Calculator!E23,tbSkills!DH3:DJ6,3,FALSE),0),0))&gt;=100,100,(Backdoors!AI12+IF(BF62&gt;=0.45,VLOOKUP(Calculator!E23,tbSkills!DH3:DI6,2,FALSE)+IF(AND(Calculator!B8=TRUE,Backdoors!BI11=TRUE),VLOOKUP(Calculator!E23,tbSkills!DH3:DJ6,3,FALSE),0),0)))/100)),1))*IF(VLOOKUP(A62,tbMoveset!A2:K112,11,FALSE)=TRUE,Backdoors!AC5,1))*BG62,0),"")</f>
        <v>0</v>
      </c>
      <c r="BK62" s="49">
        <f>VLOOKUP(A62,tbMoveset!A2:G112,7,FALSE)*IFERROR(IF(Backdoors!AI12&gt;=0,1+(IF(Calculator!E40&gt;0,VLOOKUP(Calculator!E40,tbSkills!AI3:AJ5,2,FALSE),Backdoors!AL4)*(IF((Backdoors!AI12+IF(BF62&gt;=0.45,VLOOKUP(Calculator!E23,tbSkills!DH3:DI6,2,FALSE)+IF(AND(Calculator!B8=TRUE,Backdoors!BI11=TRUE),VLOOKUP(Calculator!E23,tbSkills!DH3:DJ6,3,FALSE),0),0))&gt;=100,100,(Backdoors!AI12+IF(BF62&gt;=0.45,VLOOKUP(Calculator!E23,tbSkills!DH3:DI6,2,FALSE)+IF(AND(Calculator!B8=TRUE,Backdoors!BI11=TRUE),VLOOKUP(Calculator!E23,tbSkills!DH3:DJ6,3,FALSE),0),0)))/100)),1),1)</f>
        <v>0.5</v>
      </c>
      <c r="BL62" s="87">
        <f t="shared" si="4"/>
        <v>0</v>
      </c>
      <c r="BM62" s="86" t="str">
        <f>IFERROR(IF(VLOOKUP(A62,tbMoveset!A2:B112,2,FALSE)="Sever",Backdoors!AY12/100,IF(VLOOKUP(A62,tbMoveset!A2:B112,2,FALSE)="Blunt",Backdoors!AZ12/100,Backdoors!BA12/100)),"")</f>
        <v/>
      </c>
      <c r="BN62" s="49">
        <f>IFERROR(IF(VLOOKUP(tbMoveset!A62,tbMoveset!A2:H112,8,FALSE)="Other",IF(VLOOKUP(tbMoveset!A62,tbMoveset!A2:I112,9,FALSE)="Fire",Backdoors!BB12,IF(VLOOKUP(tbMoveset!A62,tbMoveset!A2:I112,9,FALSE)="Water",Backdoors!BC12,IF(VLOOKUP(tbMoveset!A62,tbMoveset!A2:I112,9,FALSE)="Thunder",Backdoors!BD12,IF(VLOOKUP(tbMoveset!A62,tbMoveset!A2:I112,9,FALSE)="Ice",Backdoors!BE12,IF(VLOOKUP(tbMoveset!A62,tbMoveset!A2:I112,9,FALSE)="Dragon",Backdoors!BF12,Backdoors!BG12)))))/100,Backdoors!BG12/100),"")</f>
        <v>0</v>
      </c>
      <c r="BO62" s="49">
        <f>IFERROR(IF(VLOOKUP(A62,tbMoveset!A2:J112,10,FALSE)=TRUE,IF((Backdoors!AI12+IF(BM62&gt;=0.45,VLOOKUP(Calculator!E23,tbSkills!DH3:DI6,2,FALSE)+IF(AND(Calculator!B8=TRUE,Backdoors!BI12=TRUE),VLOOKUP(Calculator!E23,tbSkills!DH3:DJ6,3,FALSE),0),0))&gt;=0,1+(Backdoors!AL2*(IF((Backdoors!AI12+IF(BM62&gt;=0.45,VLOOKUP(Calculator!E23,tbSkills!DH3:DI6,2,FALSE)+IF(AND(Calculator!B8=TRUE,Backdoors!BI12=TRUE),VLOOKUP(Calculator!E23,tbSkills!DH3:DJ6,3,FALSE),0),0))&gt;=100,100,(Backdoors!AI12+IF(BM62&gt;=0.45,VLOOKUP(Calculator!E23,tbSkills!DH3:DI6,2,FALSE)+IF(AND(Calculator!B8=TRUE,Backdoors!BI12=TRUE),VLOOKUP(Calculator!E23,tbSkills!DH3:DJ6,3,FALSE),0),0)))/100)),(1-(0.25*((-Backdoors!AI12-IF(BM62&gt;=0.45,VLOOKUP(Calculator!E23,tbSkills!DH3:DI6,2,FALSE)+IF(AND(Calculator!B8=TRUE,Backdoors!BI12=TRUE),VLOOKUP(Calculator!E23,tbSkills!DH3:DJ6,3,FALSE),0),0))/100)))),1),"")</f>
        <v>1</v>
      </c>
      <c r="BP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M62)*BO62)*(VLOOKUP(A62,tbMoveset!A2:C112,3,FALSE)/100)*IF(VLOOKUP(A62,tbMoveset!A2:B112,2,FALSE)="Projectile",Backdoors!N10,Backdoors!N9),0),"")</f>
        <v/>
      </c>
      <c r="BQ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M62&gt;=0.45,VLOOKUP(Calculator!E23,tbSkills!DH3:DI6,2,FALSE)+IF(AND(Calculator!B8=TRUE,Backdoors!BI12=TRUE),VLOOKUP(Calculator!E23,tbSkills!DH3:DJ6,3,FALSE),0),0))&gt;=100,100,(Backdoors!AI12+IF(BM62&gt;=0.45,VLOOKUP(Calculator!E23,tbSkills!DH3:DI6,2,FALSE)+IF(AND(Calculator!B8=TRUE,Backdoors!BI12=TRUE),VLOOKUP(Calculator!E23,tbSkills!DH3:DJ6,3,FALSE),0),0)))/100)),1))*IF(VLOOKUP(A62,tbMoveset!A2:K112,11,FALSE)=TRUE,Backdoors!AC5,1))*BN62,0),"")</f>
        <v>0</v>
      </c>
      <c r="BR62" s="49">
        <f>VLOOKUP(A62,tbMoveset!A2:G112,7,FALSE)*IFERROR(IF(Backdoors!AI12&gt;=0,1+(IF(Calculator!E40&gt;0,VLOOKUP(Calculator!E40,tbSkills!AI3:AJ5,2,FALSE),Backdoors!AL4)*(IF((Backdoors!AI12+IF(BM62&gt;=0.45,VLOOKUP(Calculator!E23,tbSkills!DH3:DI6,2,FALSE)+IF(AND(Calculator!B8=TRUE,Backdoors!BI12=TRUE),VLOOKUP(Calculator!E23,tbSkills!DH3:DJ6,3,FALSE),0),0))&gt;=100,100,(Backdoors!AI12+IF(BM62&gt;=0.45,VLOOKUP(Calculator!E23,tbSkills!DH3:DI6,2,FALSE)+IF(AND(Calculator!B8=TRUE,Backdoors!BI12=TRUE),VLOOKUP(Calculator!E23,tbSkills!DH3:DJ6,3,FALSE),0),0)))/100)),1),1)</f>
        <v>0.5</v>
      </c>
      <c r="BS62" s="87">
        <f t="shared" si="39"/>
        <v>0</v>
      </c>
      <c r="BT62" s="86" t="str">
        <f>IFERROR(IF(VLOOKUP(A62,tbMoveset!A2:B112,2,FALSE)="Sever",Backdoors!AY13/100,IF(VLOOKUP(A62,tbMoveset!A2:B112,2,FALSE)="Blunt",Backdoors!AZ13/100,Backdoors!BA13/100)),"")</f>
        <v/>
      </c>
      <c r="BU62" s="49">
        <f>IFERROR(IF(VLOOKUP(tbMoveset!A62,tbMoveset!A2:H112,8,FALSE)="Other",IF(VLOOKUP(tbMoveset!A62,tbMoveset!A2:I112,9,FALSE)="Fire",Backdoors!BB13,IF(VLOOKUP(tbMoveset!A62,tbMoveset!A2:I112,9,FALSE)="Water",Backdoors!BC13,IF(VLOOKUP(tbMoveset!A62,tbMoveset!A2:I112,9,FALSE)="Thunder",Backdoors!BD13,IF(VLOOKUP(tbMoveset!A62,tbMoveset!A2:I112,9,FALSE)="Ice",Backdoors!BE13,IF(VLOOKUP(tbMoveset!A62,tbMoveset!A2:I112,9,FALSE)="Dragon",Backdoors!BF13,Backdoors!BG13)))))/100,Backdoors!BG13/100),"")</f>
        <v>0</v>
      </c>
      <c r="BV62" s="49">
        <f>IFERROR(IF(VLOOKUP(A62,tbMoveset!A2:J112,10,FALSE)=TRUE,IF((Backdoors!AI12+IF(BT62&gt;=0.45,VLOOKUP(Calculator!E23,tbSkills!DH3:DI6,2,FALSE)+IF(AND(Calculator!B8=TRUE,Backdoors!BI13=TRUE),VLOOKUP(Calculator!E23,tbSkills!DH3:DJ6,3,FALSE),0),0))&gt;=0,1+(Backdoors!AL2*(IF((Backdoors!AI12+IF(BT62&gt;=0.45,VLOOKUP(Calculator!E23,tbSkills!DH3:DI6,2,FALSE)+IF(AND(Calculator!B8=TRUE,Backdoors!BI13=TRUE),VLOOKUP(Calculator!E23,tbSkills!DH3:DJ6,3,FALSE),0),0))&gt;=100,100,(Backdoors!AI12+IF(BT62&gt;=0.45,VLOOKUP(Calculator!E23,tbSkills!DH3:DI6,2,FALSE)+IF(AND(Calculator!B8=TRUE,Backdoors!BI13=TRUE),VLOOKUP(Calculator!E23,tbSkills!DH3:DJ6,3,FALSE),0),0)))/100)),(1-(0.25*((-Backdoors!AI12-IF(BT62&gt;=0.45,VLOOKUP(Calculator!E23,tbSkills!DH3:DI6,2,FALSE)+IF(AND(Calculator!B8=TRUE,Backdoors!BI13=TRUE),VLOOKUP(Calculator!E23,tbSkills!DH3:DJ6,3,FALSE),0),0))/100)))),1),"")</f>
        <v>1</v>
      </c>
      <c r="BW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T62)*BV62)*(VLOOKUP(A62,tbMoveset!A2:C112,3,FALSE)/100)*IF(VLOOKUP(A62,tbMoveset!A2:B112,2,FALSE)="Projectile",Backdoors!N10,Backdoors!N9),0),"")</f>
        <v/>
      </c>
      <c r="BX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T62&gt;=0.45,VLOOKUP(Calculator!E23,tbSkills!DH3:DI6,2,FALSE)+IF(AND(Calculator!B8=TRUE,Backdoors!BI13=TRUE),VLOOKUP(Calculator!E23,tbSkills!DH3:DJ6,3,FALSE),0),0))&gt;=100,100,(Backdoors!AI12+IF(BT62&gt;=0.45,VLOOKUP(Calculator!E23,tbSkills!DH3:DI6,2,FALSE)+IF(AND(Calculator!B8=TRUE,Backdoors!BI13=TRUE),VLOOKUP(Calculator!E23,tbSkills!DH3:DJ6,3,FALSE),0),0)))/100)),1))*IF(VLOOKUP(A62,tbMoveset!A2:K112,11,FALSE)=TRUE,Backdoors!AC5,1))*BU62,0),"")</f>
        <v>0</v>
      </c>
      <c r="BY62" s="49">
        <f>VLOOKUP(A62,tbMoveset!A2:G112,7,FALSE)*IFERROR(IF(Backdoors!AI12&gt;=0,1+(IF(Calculator!E40&gt;0,VLOOKUP(Calculator!E40,tbSkills!AI3:AJ5,2,FALSE),Backdoors!AL4)*(IF((Backdoors!AI12+IF(BT62&gt;=0.45,VLOOKUP(Calculator!E23,tbSkills!DH3:DI6,2,FALSE)+IF(AND(Calculator!B8=TRUE,Backdoors!BI13=TRUE),VLOOKUP(Calculator!E23,tbSkills!DH3:DJ6,3,FALSE),0),0))&gt;=100,100,(Backdoors!AI12+IF(BT62&gt;=0.45,VLOOKUP(Calculator!E23,tbSkills!DH3:DI6,2,FALSE)+IF(AND(Calculator!B8=TRUE,Backdoors!BI13=TRUE),VLOOKUP(Calculator!E23,tbSkills!DH3:DJ6,3,FALSE),0),0)))/100)),1),1)</f>
        <v>0.5</v>
      </c>
      <c r="BZ62" s="87">
        <f t="shared" si="5"/>
        <v>0</v>
      </c>
      <c r="CA62" s="86" t="str">
        <f>IFERROR(IF(VLOOKUP(A62,tbMoveset!A2:B112,2,FALSE)="Sever",Backdoors!AY14/100,IF(VLOOKUP(A62,tbMoveset!A2:B112,2,FALSE)="Blunt",Backdoors!AZ14/100,Backdoors!BA14/100)),"")</f>
        <v/>
      </c>
      <c r="CB62" s="49">
        <f>IFERROR(IF(VLOOKUP(tbMoveset!A62,tbMoveset!A2:H112,8,FALSE)="Other",IF(VLOOKUP(tbMoveset!A62,tbMoveset!A2:I112,9,FALSE)="Fire",Backdoors!BB14,IF(VLOOKUP(tbMoveset!A62,tbMoveset!A2:I112,9,FALSE)="Water",Backdoors!BC14,IF(VLOOKUP(tbMoveset!A62,tbMoveset!A2:I112,9,FALSE)="Thunder",Backdoors!BD14,IF(VLOOKUP(tbMoveset!A62,tbMoveset!A2:I112,9,FALSE)="Ice",Backdoors!BE14,IF(VLOOKUP(tbMoveset!A62,tbMoveset!A2:I112,9,FALSE)="Dragon",Backdoors!BF14,Backdoors!BG14)))))/100,Backdoors!BG14/100),"")</f>
        <v>0</v>
      </c>
      <c r="CC62" s="49">
        <f>IFERROR(IF(VLOOKUP(A62,tbMoveset!A2:J112,10,FALSE)=TRUE,IF((Backdoors!AI12+IF(CA62&gt;=0.45,VLOOKUP(Calculator!E23,tbSkills!DH3:DI6,2,FALSE)+IF(AND(Calculator!B8=TRUE,Backdoors!BI14=TRUE),VLOOKUP(Calculator!E23,tbSkills!DH3:DJ6,3,FALSE),0),0))&gt;=0,1+(Backdoors!AL2*(IF((Backdoors!AI12+IF(CA62&gt;=0.45,VLOOKUP(Calculator!E23,tbSkills!DH3:DI6,2,FALSE)+IF(AND(Calculator!B8=TRUE,Backdoors!BI14=TRUE),VLOOKUP(Calculator!E23,tbSkills!DH3:DJ6,3,FALSE),0),0))&gt;=100,100,(Backdoors!AI12+IF(CA62&gt;=0.45,VLOOKUP(Calculator!E23,tbSkills!DH3:DI6,2,FALSE)+IF(AND(Calculator!B8=TRUE,Backdoors!BI14=TRUE),VLOOKUP(Calculator!E23,tbSkills!DH3:DJ6,3,FALSE),0),0)))/100)),(1-(0.25*((-Backdoors!AI12-IF(CA62&gt;=0.45,VLOOKUP(Calculator!E23,tbSkills!DH3:DI6,2,FALSE)+IF(AND(Calculator!B8=TRUE,Backdoors!BI14=TRUE),VLOOKUP(Calculator!E23,tbSkills!DH3:DJ6,3,FALSE),0),0))/100)))),1),"")</f>
        <v>1</v>
      </c>
      <c r="CD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A62)*CC62)*(VLOOKUP(A62,tbMoveset!A2:C112,3,FALSE)/100)*IF(VLOOKUP(A62,tbMoveset!A2:B112,2,FALSE)="Projectile",Backdoors!N10,Backdoors!N9),0),"")</f>
        <v/>
      </c>
      <c r="CE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A62&gt;=0.45,VLOOKUP(Calculator!E23,tbSkills!DH3:DI6,2,FALSE)+IF(AND(Calculator!B8=TRUE,Backdoors!BI14=TRUE),VLOOKUP(Calculator!E23,tbSkills!DH3:DJ6,3,FALSE),0),0))&gt;=100,100,(Backdoors!AI12+IF(CA62&gt;=0.45,VLOOKUP(Calculator!E23,tbSkills!DH3:DI6,2,FALSE)+IF(AND(Calculator!B8=TRUE,Backdoors!BI14=TRUE),VLOOKUP(Calculator!E23,tbSkills!DH3:DJ6,3,FALSE),0),0)))/100)),1))*IF(VLOOKUP(A62,tbMoveset!A2:K112,11,FALSE)=TRUE,Backdoors!AC5,1))*CB62,0),"")</f>
        <v>0</v>
      </c>
      <c r="CF62" s="49">
        <f>VLOOKUP(A62,tbMoveset!A2:G112,7,FALSE)*IFERROR(IF(Backdoors!AI12&gt;=0,1+(IF(Calculator!E40&gt;0,VLOOKUP(Calculator!E40,tbSkills!AI3:AJ5,2,FALSE),Backdoors!AL4)*(IF((Backdoors!AI12+IF(CA62&gt;=0.45,VLOOKUP(Calculator!E23,tbSkills!DH3:DI6,2,FALSE)+IF(AND(Calculator!B8=TRUE,Backdoors!BI14=TRUE),VLOOKUP(Calculator!E23,tbSkills!DH3:DJ6,3,FALSE),0),0))&gt;=100,100,(Backdoors!AI12+IF(CA62&gt;=0.45,VLOOKUP(Calculator!E23,tbSkills!DH3:DI6,2,FALSE)+IF(AND(Calculator!B8=TRUE,Backdoors!BI14=TRUE),VLOOKUP(Calculator!E23,tbSkills!DH3:DJ6,3,FALSE),0),0)))/100)),1),1)</f>
        <v>0.5</v>
      </c>
      <c r="CG62" s="87">
        <f t="shared" si="6"/>
        <v>0</v>
      </c>
      <c r="CH62" s="86" t="str">
        <f>IFERROR(IF(VLOOKUP(A62,tbMoveset!A2:B112,2,FALSE)="Sever",Backdoors!AY15/100,IF(VLOOKUP(A62,tbMoveset!A2:B112,2,FALSE)="Blunt",Backdoors!AZ15/100,Backdoors!BA15/100)),"")</f>
        <v/>
      </c>
      <c r="CI62" s="49">
        <f>IFERROR(IF(VLOOKUP(tbMoveset!A62,tbMoveset!A2:H112,8,FALSE)="Other",IF(VLOOKUP(tbMoveset!A62,tbMoveset!A2:I112,9,FALSE)="Fire",Backdoors!BB15,IF(VLOOKUP(tbMoveset!A62,tbMoveset!A2:I112,9,FALSE)="Water",Backdoors!BC15,IF(VLOOKUP(tbMoveset!A62,tbMoveset!A2:I112,9,FALSE)="Thunder",Backdoors!BD15,IF(VLOOKUP(tbMoveset!A62,tbMoveset!A2:I112,9,FALSE)="Ice",Backdoors!BE15,IF(VLOOKUP(tbMoveset!A62,tbMoveset!A2:I112,9,FALSE)="Dragon",Backdoors!BF15,Backdoors!BG15)))))/100,Backdoors!BG15/100),"")</f>
        <v>0</v>
      </c>
      <c r="CJ62" s="49">
        <f>IFERROR(IF(VLOOKUP(A62,tbMoveset!A2:J112,10,FALSE)=TRUE,IF((Backdoors!AI12+IF(CH62&gt;=0.45,VLOOKUP(Calculator!E23,tbSkills!DH3:DI6,2,FALSE)+IF(AND(Calculator!B8=TRUE,Backdoors!BI15=TRUE),VLOOKUP(Calculator!E23,tbSkills!DH3:DJ6,3,FALSE),0),0))&gt;=0,1+(Backdoors!AL2*(IF((Backdoors!AI12+IF(CH62&gt;=0.45,VLOOKUP(Calculator!E23,tbSkills!DH3:DI6,2,FALSE)+IF(AND(Calculator!B8=TRUE,Backdoors!BI15=TRUE),VLOOKUP(Calculator!E23,tbSkills!DH3:DJ6,3,FALSE),0),0))&gt;=100,100,(Backdoors!AI12+IF(CH62&gt;=0.45,VLOOKUP(Calculator!E23,tbSkills!DH3:DI6,2,FALSE)+IF(AND(Calculator!B8=TRUE,Backdoors!BI15=TRUE),VLOOKUP(Calculator!E23,tbSkills!DH3:DJ6,3,FALSE),0),0)))/100)),(1-(0.25*((-Backdoors!AI12-IF(CH62&gt;=0.45,VLOOKUP(Calculator!E23,tbSkills!DH3:DI6,2,FALSE)+IF(AND(Calculator!B8=TRUE,Backdoors!BI15=TRUE),VLOOKUP(Calculator!E23,tbSkills!DH3:DJ6,3,FALSE),0),0))/100)))),1),"")</f>
        <v>1</v>
      </c>
      <c r="CK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H62)*CJ62)*(VLOOKUP(A62,tbMoveset!A2:C112,3,FALSE)/100)*IF(VLOOKUP(A62,tbMoveset!A2:B112,2,FALSE)="Projectile",Backdoors!N10,Backdoors!N9),0),"")</f>
        <v/>
      </c>
      <c r="CL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H62&gt;=0.45,VLOOKUP(Calculator!E23,tbSkills!DH3:DI6,2,FALSE)+IF(AND(Calculator!B8=TRUE,Backdoors!BI15=TRUE),VLOOKUP(Calculator!E23,tbSkills!DH3:DJ6,3,FALSE),0),0))&gt;=100,100,(Backdoors!AI12+IF(CH62&gt;=0.45,VLOOKUP(Calculator!E23,tbSkills!DH3:DI6,2,FALSE)+IF(AND(Calculator!B8=TRUE,Backdoors!BI15=TRUE),VLOOKUP(Calculator!E23,tbSkills!DH3:DJ6,3,FALSE),0),0)))/100)),1))*IF(VLOOKUP(A62,tbMoveset!A2:K112,11,FALSE)=TRUE,Backdoors!AC5,1))*CI62,0),"")</f>
        <v>0</v>
      </c>
      <c r="CM62" s="49">
        <f>VLOOKUP(A62,tbMoveset!A2:G112,7,FALSE)*IFERROR(IF(Backdoors!AI12&gt;=0,1+(IF(Calculator!E40&gt;0,VLOOKUP(Calculator!E40,tbSkills!AI3:AJ5,2,FALSE),Backdoors!AL4)*(IF((Backdoors!AI12+IF(CH62&gt;=0.45,VLOOKUP(Calculator!E23,tbSkills!DH3:DI6,2,FALSE)+IF(AND(Calculator!B8=TRUE,Backdoors!BI15=TRUE),VLOOKUP(Calculator!E23,tbSkills!DH3:DJ6,3,FALSE),0),0))&gt;=100,100,(Backdoors!AI12+IF(CH62&gt;=0.45,VLOOKUP(Calculator!E23,tbSkills!DH3:DI6,2,FALSE)+IF(AND(Calculator!B8=TRUE,Backdoors!BI15=TRUE),VLOOKUP(Calculator!E23,tbSkills!DH3:DJ6,3,FALSE),0),0)))/100)),1),1)</f>
        <v>0.5</v>
      </c>
      <c r="CN62" s="87">
        <f t="shared" si="7"/>
        <v>0</v>
      </c>
      <c r="CO62" s="86" t="str">
        <f>IFERROR(IF(VLOOKUP(A62,tbMoveset!A2:B112,2,FALSE)="Sever",Backdoors!AY16/100,IF(VLOOKUP(A62,tbMoveset!A2:B112,2,FALSE)="Blunt",Backdoors!AZ16/100,Backdoors!BA16/100)),"")</f>
        <v/>
      </c>
      <c r="CP62" s="49">
        <f>IFERROR(IF(VLOOKUP(tbMoveset!A62,tbMoveset!A2:H112,8,FALSE)="Other",IF(VLOOKUP(tbMoveset!A62,tbMoveset!A2:I112,9,FALSE)="Fire",Backdoors!BB16,IF(VLOOKUP(tbMoveset!A62,tbMoveset!A2:I112,9,FALSE)="Water",Backdoors!BC16,IF(VLOOKUP(tbMoveset!A62,tbMoveset!A2:I112,9,FALSE)="Thunder",Backdoors!BD16,IF(VLOOKUP(tbMoveset!A62,tbMoveset!A2:I112,9,FALSE)="Ice",Backdoors!BE16,IF(VLOOKUP(tbMoveset!A62,tbMoveset!A2:I112,9,FALSE)="Dragon",Backdoors!BF16,Backdoors!BG16)))))/100,Backdoors!BG16/100),"")</f>
        <v>0</v>
      </c>
      <c r="CQ62" s="49">
        <f>IFERROR(IF(VLOOKUP(A62,tbMoveset!A2:J112,10,FALSE)=TRUE,IF((Backdoors!AI12+IF(CO62&gt;=0.45,VLOOKUP(Calculator!E23,tbSkills!DH3:DI6,2,FALSE)+IF(AND(Calculator!B8=TRUE,Backdoors!BI16=TRUE),VLOOKUP(Calculator!E23,tbSkills!DH3:DJ6,3,FALSE),0),0))&gt;=0,1+(Backdoors!AL2*(IF((Backdoors!AI12+IF(CO62&gt;=0.45,VLOOKUP(Calculator!E23,tbSkills!DH3:DI6,2,FALSE)+IF(AND(Calculator!B8=TRUE,Backdoors!BI16=TRUE),VLOOKUP(Calculator!E23,tbSkills!DH3:DJ6,3,FALSE),0),0))&gt;=100,100,(Backdoors!AI12+IF(CO62&gt;=0.45,VLOOKUP(Calculator!E23,tbSkills!DH3:DI6,2,FALSE)+IF(AND(Calculator!B8=TRUE,Backdoors!BI16=TRUE),VLOOKUP(Calculator!E23,tbSkills!DH3:DJ6,3,FALSE),0),0)))/100)),(1-(0.25*((-Backdoors!AI12-IF(CO62&gt;=0.45,VLOOKUP(Calculator!E23,tbSkills!DH3:DI6,2,FALSE)+IF(AND(Calculator!B8=TRUE,Backdoors!BI16=TRUE),VLOOKUP(Calculator!E23,tbSkills!DH3:DJ6,3,FALSE),0),0))/100)))),1),"")</f>
        <v>1</v>
      </c>
      <c r="CR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O62)*CQ62)*(VLOOKUP(A62,tbMoveset!A2:C112,3,FALSE)/100)*IF(VLOOKUP(A62,tbMoveset!A2:B112,2,FALSE)="Projectile",Backdoors!N10,Backdoors!N9),0),"")</f>
        <v/>
      </c>
      <c r="CS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O62&gt;=0.45,VLOOKUP(Calculator!E23,tbSkills!DH3:DI6,2,FALSE)+IF(AND(Calculator!B8=TRUE,Backdoors!BI16=TRUE),VLOOKUP(Calculator!E23,tbSkills!DH3:DJ6,3,FALSE),0),0))&gt;=100,100,(Backdoors!AI12+IF(CO62&gt;=0.45,VLOOKUP(Calculator!E23,tbSkills!DH3:DI6,2,FALSE)+IF(AND(Calculator!B8=TRUE,Backdoors!BI16=TRUE),VLOOKUP(Calculator!E23,tbSkills!DH3:DJ6,3,FALSE),0),0)))/100)),1))*IF(VLOOKUP(A62,tbMoveset!A2:K112,11,FALSE)=TRUE,Backdoors!AC5,1))*CP62,0),"")</f>
        <v>0</v>
      </c>
      <c r="CT62" s="49">
        <f>VLOOKUP(A62,tbMoveset!A2:G112,7,FALSE)*IFERROR(IF(Backdoors!AI12&gt;=0,1+(IF(Calculator!E40&gt;0,VLOOKUP(Calculator!E40,tbSkills!AI3:AJ5,2,FALSE),Backdoors!AL4)*(IF((Backdoors!AI12+IF(CO62&gt;=0.45,VLOOKUP(Calculator!E23,tbSkills!DH3:DI6,2,FALSE)+IF(AND(Calculator!B8=TRUE,Backdoors!BI16=TRUE),VLOOKUP(Calculator!E23,tbSkills!DH3:DJ6,3,FALSE),0),0))&gt;=100,100,(Backdoors!AI12+IF(CO62&gt;=0.45,VLOOKUP(Calculator!E23,tbSkills!DH3:DI6,2,FALSE)+IF(AND(Calculator!B8=TRUE,Backdoors!BI16=TRUE),VLOOKUP(Calculator!E23,tbSkills!DH3:DJ6,3,FALSE),0),0)))/100)),1),1)</f>
        <v>0.5</v>
      </c>
      <c r="CU62" s="87">
        <f t="shared" si="40"/>
        <v>0</v>
      </c>
      <c r="CV62" s="86" t="str">
        <f>IFERROR(IF(VLOOKUP(A62,tbMoveset!A2:B112,2,FALSE)="Sever",Backdoors!AY17/100,IF(VLOOKUP(A62,tbMoveset!A2:B112,2,FALSE)="Blunt",Backdoors!AZ17/100,Backdoors!BA17/100)),"")</f>
        <v/>
      </c>
      <c r="CW62" s="49">
        <f>IFERROR(IF(VLOOKUP(tbMoveset!A62,tbMoveset!A2:H112,8,FALSE)="Other",IF(VLOOKUP(tbMoveset!A62,tbMoveset!A2:I112,9,FALSE)="Fire",Backdoors!BB17,IF(VLOOKUP(tbMoveset!A62,tbMoveset!A2:I112,9,FALSE)="Water",Backdoors!BC17,IF(VLOOKUP(tbMoveset!A62,tbMoveset!A2:I112,9,FALSE)="Thunder",Backdoors!BD17,IF(VLOOKUP(tbMoveset!A62,tbMoveset!A2:I112,9,FALSE)="Ice",Backdoors!BE17,IF(VLOOKUP(tbMoveset!A62,tbMoveset!A2:I112,9,FALSE)="Dragon",Backdoors!BF17,Backdoors!BG17)))))/100,Backdoors!BG17/100),"")</f>
        <v>0</v>
      </c>
      <c r="CX62" s="49">
        <f>IFERROR(IF(VLOOKUP(A62,tbMoveset!A2:J112,10,FALSE)=TRUE,IF((Backdoors!AI12+IF(CV62&gt;=0.45,VLOOKUP(Calculator!E23,tbSkills!DH3:DI6,2,FALSE)+IF(AND(Calculator!B8=TRUE,Backdoors!BI17=TRUE),VLOOKUP(Calculator!E23,tbSkills!DH3:DJ6,3,FALSE),0),0))&gt;=0,1+(Backdoors!AL2*(IF((Backdoors!AI12+IF(CV62&gt;=0.45,VLOOKUP(Calculator!E23,tbSkills!DH3:DI6,2,FALSE)+IF(AND(Calculator!B8=TRUE,Backdoors!BI17=TRUE),VLOOKUP(Calculator!E23,tbSkills!DH3:DJ6,3,FALSE),0),0))&gt;=100,100,(Backdoors!AI12+IF(CV62&gt;=0.45,VLOOKUP(Calculator!E23,tbSkills!DH3:DI6,2,FALSE)+IF(AND(Calculator!B8=TRUE,Backdoors!BI17=TRUE),VLOOKUP(Calculator!E23,tbSkills!DH3:DJ6,3,FALSE),0),0)))/100)),(1-(0.25*((-Backdoors!AI12-IF(CV62&gt;=0.45,VLOOKUP(Calculator!E23,tbSkills!DH3:DI6,2,FALSE)+IF(AND(Calculator!B8=TRUE,Backdoors!BI17=TRUE),VLOOKUP(Calculator!E23,tbSkills!DH3:DJ6,3,FALSE),0),0))/100)))),1),"")</f>
        <v>1</v>
      </c>
      <c r="CY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V62)*CX62)*(VLOOKUP(A62,tbMoveset!A2:C112,3,FALSE)/100)*IF(VLOOKUP(A62,tbMoveset!A2:B112,2,FALSE)="Projectile",Backdoors!N10,Backdoors!N9),0),"")</f>
        <v/>
      </c>
      <c r="CZ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V62&gt;=0.45,VLOOKUP(Calculator!E23,tbSkills!DH3:DI6,2,FALSE)+IF(AND(Calculator!B8=TRUE,Backdoors!BI17=TRUE),VLOOKUP(Calculator!E23,tbSkills!DH3:DJ6,3,FALSE),0),0))&gt;=100,100,(Backdoors!AI12+IF(CV62&gt;=0.45,VLOOKUP(Calculator!E23,tbSkills!DH3:DI6,2,FALSE)+IF(AND(Calculator!B8=TRUE,Backdoors!BI17=TRUE),VLOOKUP(Calculator!E23,tbSkills!DH3:DJ6,3,FALSE),0),0)))/100)),1))*IF(VLOOKUP(A62,tbMoveset!A2:K112,11,FALSE)=TRUE,Backdoors!AC5,1))*CW62,0),"")</f>
        <v>0</v>
      </c>
      <c r="DA62" s="49">
        <f>VLOOKUP(A62,tbMoveset!A2:G112,7,FALSE)*IFERROR(IF(Backdoors!AI12&gt;=0,1+(IF(Calculator!E40&gt;0,VLOOKUP(Calculator!E40,tbSkills!AI3:AJ5,2,FALSE),Backdoors!AL4)*(IF((Backdoors!AI12+IF(CV62&gt;=0.45,VLOOKUP(Calculator!E23,tbSkills!DH3:DI6,2,FALSE)+IF(AND(Calculator!B8=TRUE,Backdoors!BI17=TRUE),VLOOKUP(Calculator!E23,tbSkills!DH3:DJ6,3,FALSE),0),0))&gt;=100,100,(Backdoors!AI12+IF(CV62&gt;=0.45,VLOOKUP(Calculator!E23,tbSkills!DH3:DI6,2,FALSE)+IF(AND(Calculator!B8=TRUE,Backdoors!BI17=TRUE),VLOOKUP(Calculator!E23,tbSkills!DH3:DJ6,3,FALSE),0),0)))/100)),1),1)</f>
        <v>0.5</v>
      </c>
      <c r="DB62" s="87">
        <f t="shared" si="8"/>
        <v>0</v>
      </c>
      <c r="DC62" s="86" t="str">
        <f>IFERROR(IF(VLOOKUP(A62,tbMoveset!A2:B112,2,FALSE)="Sever",Backdoors!AY18/100,IF(VLOOKUP(A62,tbMoveset!A2:B112,2,FALSE)="Blunt",Backdoors!AZ18/100,Backdoors!BA18/100)),"")</f>
        <v/>
      </c>
      <c r="DD62" s="49">
        <f>IFERROR(IF(VLOOKUP(tbMoveset!A62,tbMoveset!A2:H112,8,FALSE)="Other",IF(VLOOKUP(tbMoveset!A62,tbMoveset!A2:I112,9,FALSE)="Fire",Backdoors!BB18,IF(VLOOKUP(tbMoveset!A62,tbMoveset!A2:I112,9,FALSE)="Water",Backdoors!BC18,IF(VLOOKUP(tbMoveset!A62,tbMoveset!A2:I112,9,FALSE)="Thunder",Backdoors!BD18,IF(VLOOKUP(tbMoveset!A62,tbMoveset!A2:I112,9,FALSE)="Ice",Backdoors!BE18,IF(VLOOKUP(tbMoveset!A62,tbMoveset!A2:I112,9,FALSE)="Dragon",Backdoors!BF18,Backdoors!BG18)))))/100,Backdoors!BG18/100),"")</f>
        <v>0</v>
      </c>
      <c r="DE62" s="49">
        <f>IFERROR(IF(VLOOKUP(A62,tbMoveset!A2:J112,10,FALSE)=TRUE,IF((Backdoors!AI12+IF(DC62&gt;=0.45,VLOOKUP(Calculator!E23,tbSkills!DH3:DI6,2,FALSE)+IF(AND(Calculator!B8=TRUE,Backdoors!BI18=TRUE),VLOOKUP(Calculator!E23,tbSkills!DH3:DJ6,3,FALSE),0),0))&gt;=0,1+(Backdoors!AL2*(IF((Backdoors!AI12+IF(DC62&gt;=0.45,VLOOKUP(Calculator!E23,tbSkills!DH3:DI6,2,FALSE)+IF(AND(Calculator!B8=TRUE,Backdoors!BI18=TRUE),VLOOKUP(Calculator!E23,tbSkills!DH3:DJ6,3,FALSE),0),0))&gt;=100,100,(Backdoors!AI12+IF(DC62&gt;=0.45,VLOOKUP(Calculator!E23,tbSkills!DH3:DI6,2,FALSE)+IF(AND(Calculator!B8=TRUE,Backdoors!BI18=TRUE),VLOOKUP(Calculator!E23,tbSkills!DH3:DJ6,3,FALSE),0),0)))/100)),(1-(0.25*((-Backdoors!AI12-IF(DC62&gt;=0.45,VLOOKUP(Calculator!E23,tbSkills!DH3:DI6,2,FALSE)+IF(AND(Calculator!B8=TRUE,Backdoors!BI18=TRUE),VLOOKUP(Calculator!E23,tbSkills!DH3:DJ6,3,FALSE),0),0))/100)))),1),"")</f>
        <v>1</v>
      </c>
      <c r="DF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C62)*DE62)*(VLOOKUP(A62,tbMoveset!A2:C112,3,FALSE)/100)*IF(VLOOKUP(A62,tbMoveset!A2:B112,2,FALSE)="Projectile",Backdoors!N10,Backdoors!N9),0),"")</f>
        <v/>
      </c>
      <c r="DG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C62&gt;=0.45,VLOOKUP(Calculator!E23,tbSkills!DH3:DI6,2,FALSE)+IF(AND(Calculator!B8=TRUE,Backdoors!BI18=TRUE),VLOOKUP(Calculator!E23,tbSkills!DH3:DJ6,3,FALSE),0),0))&gt;=100,100,(Backdoors!AI12+IF(DC62&gt;=0.45,VLOOKUP(Calculator!E23,tbSkills!DH3:DI6,2,FALSE)+IF(AND(Calculator!B8=TRUE,Backdoors!BI18=TRUE),VLOOKUP(Calculator!E23,tbSkills!DH3:DJ6,3,FALSE),0),0)))/100)),1))*IF(VLOOKUP(A62,tbMoveset!A2:K112,11,FALSE)=TRUE,Backdoors!AC5,1))*DD62,0),"")</f>
        <v>0</v>
      </c>
      <c r="DH62" s="49">
        <f>VLOOKUP(A62,tbMoveset!A2:G112,7,FALSE)*IFERROR(IF(Backdoors!AI12&gt;=0,1+(IF(Calculator!E40&gt;0,VLOOKUP(Calculator!E40,tbSkills!AI3:AJ5,2,FALSE),Backdoors!AL4)*(IF((Backdoors!AI12+IF(DC62&gt;=0.45,VLOOKUP(Calculator!E23,tbSkills!DH3:DI6,2,FALSE)+IF(AND(Calculator!B8=TRUE,Backdoors!BI18=TRUE),VLOOKUP(Calculator!E23,tbSkills!DH3:DJ6,3,FALSE),0),0))&gt;=100,100,(Backdoors!AI12+IF(DC62&gt;=0.45,VLOOKUP(Calculator!E23,tbSkills!DH3:DI6,2,FALSE)+IF(AND(Calculator!B8=TRUE,Backdoors!BI18=TRUE),VLOOKUP(Calculator!E23,tbSkills!DH3:DJ6,3,FALSE),0),0)))/100)),1),1)</f>
        <v>0.5</v>
      </c>
      <c r="DI62" s="87">
        <f t="shared" si="9"/>
        <v>0</v>
      </c>
      <c r="DJ62" s="86" t="str">
        <f>IFERROR(IF(VLOOKUP(A62,tbMoveset!A2:B112,2,FALSE)="Sever",Backdoors!AY19/100,IF(VLOOKUP(A62,tbMoveset!A2:B112,2,FALSE)="Blunt",Backdoors!AZ19/100,Backdoors!BA19/100)),"")</f>
        <v/>
      </c>
      <c r="DK62" s="49">
        <f>IFERROR(IF(VLOOKUP(tbMoveset!A62,tbMoveset!A2:H112,8,FALSE)="Other",IF(VLOOKUP(tbMoveset!A62,tbMoveset!A2:I112,9,FALSE)="Fire",Backdoors!BB19,IF(VLOOKUP(tbMoveset!A62,tbMoveset!A2:I112,9,FALSE)="Water",Backdoors!BC19,IF(VLOOKUP(tbMoveset!A62,tbMoveset!A2:I112,9,FALSE)="Thunder",Backdoors!BD19,IF(VLOOKUP(tbMoveset!A62,tbMoveset!A2:I112,9,FALSE)="Ice",Backdoors!BE19,IF(VLOOKUP(tbMoveset!A62,tbMoveset!A2:I112,9,FALSE)="Dragon",Backdoors!BF19,Backdoors!BG19)))))/100,Backdoors!BG19/100),"")</f>
        <v>0</v>
      </c>
      <c r="DL62" s="49">
        <f>IFERROR(IF(VLOOKUP(A62,tbMoveset!A2:J112,10,FALSE)=TRUE,IF((Backdoors!AI12+IF(DJ62&gt;=0.45,VLOOKUP(Calculator!E23,tbSkills!DH3:DI6,2,FALSE)+IF(AND(Calculator!B8=TRUE,Backdoors!BI19=TRUE),VLOOKUP(Calculator!E23,tbSkills!DH3:DJ6,3,FALSE),0),0))&gt;=0,1+(Backdoors!AL2*(IF((Backdoors!AI12+IF(DJ62&gt;=0.45,VLOOKUP(Calculator!E23,tbSkills!DH3:DI6,2,FALSE)+IF(AND(Calculator!B8=TRUE,Backdoors!BI19=TRUE),VLOOKUP(Calculator!E23,tbSkills!DH3:DJ6,3,FALSE),0),0))&gt;=100,100,(Backdoors!AI12+IF(DJ62&gt;=0.45,VLOOKUP(Calculator!E23,tbSkills!DH3:DI6,2,FALSE)+IF(AND(Calculator!B8=TRUE,Backdoors!BI19=TRUE),VLOOKUP(Calculator!E23,tbSkills!DH3:DJ6,3,FALSE),0),0)))/100)),(1-(0.25*((-Backdoors!AI12-IF(DJ62&gt;=0.45,VLOOKUP(Calculator!E23,tbSkills!DH3:DI6,2,FALSE)+IF(AND(Calculator!B8=TRUE,Backdoors!BI19=TRUE),VLOOKUP(Calculator!E23,tbSkills!DH3:DJ6,3,FALSE),0),0))/100)))),1),"")</f>
        <v>1</v>
      </c>
      <c r="DM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J62)*DL62)*(VLOOKUP(A62,tbMoveset!A2:C112,3,FALSE)/100)*IF(VLOOKUP(A62,tbMoveset!A2:B112,2,FALSE)="Projectile",Backdoors!N10,Backdoors!N9),0),"")</f>
        <v/>
      </c>
      <c r="DN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J62&gt;=0.45,VLOOKUP(Calculator!E23,tbSkills!DH3:DI6,2,FALSE)+IF(AND(Calculator!B8=TRUE,Backdoors!BI19=TRUE),VLOOKUP(Calculator!E23,tbSkills!DH3:DJ6,3,FALSE),0),0))&gt;=100,100,(Backdoors!AI12+IF(DJ62&gt;=0.45,VLOOKUP(Calculator!E23,tbSkills!DH3:DI6,2,FALSE)+IF(AND(Calculator!B8=TRUE,Backdoors!BI19=TRUE),VLOOKUP(Calculator!E23,tbSkills!DH3:DJ6,3,FALSE),0),0)))/100)),1))*IF(VLOOKUP(A62,tbMoveset!A2:K112,11,FALSE)=TRUE,Backdoors!AC5,1))*DK62,0),"")</f>
        <v>0</v>
      </c>
      <c r="DO62" s="49">
        <f>VLOOKUP(A62,tbMoveset!A2:G112,7,FALSE)*IFERROR(IF(Backdoors!AI12&gt;=0,1+(IF(Calculator!E40&gt;0,VLOOKUP(Calculator!E40,tbSkills!AI3:AJ5,2,FALSE),Backdoors!AL4)*(IF((Backdoors!AI12+IF(DJ62&gt;=0.45,VLOOKUP(Calculator!E23,tbSkills!DH3:DI6,2,FALSE)+IF(AND(Calculator!B8=TRUE,Backdoors!BI19=TRUE),VLOOKUP(Calculator!E23,tbSkills!DH3:DJ6,3,FALSE),0),0))&gt;=100,100,(Backdoors!AI12+IF(DJ62&gt;=0.45,VLOOKUP(Calculator!E23,tbSkills!DH3:DI6,2,FALSE)+IF(AND(Calculator!B8=TRUE,Backdoors!BI19=TRUE),VLOOKUP(Calculator!E23,tbSkills!DH3:DJ6,3,FALSE),0),0)))/100)),1),1)</f>
        <v>0.5</v>
      </c>
      <c r="DP62" s="87">
        <f t="shared" si="41"/>
        <v>0</v>
      </c>
      <c r="DQ62" s="86" t="str">
        <f>IFERROR(IF(VLOOKUP(A62,tbMoveset!A2:B112,2,FALSE)="Sever",Backdoors!AY20/100,IF(VLOOKUP(A62,tbMoveset!A2:B112,2,FALSE)="Blunt",Backdoors!AZ20/100,Backdoors!BA20/100)),"")</f>
        <v/>
      </c>
      <c r="DR62" s="49">
        <f>IFERROR(IF(VLOOKUP(tbMoveset!A62,tbMoveset!A2:H112,8,FALSE)="Other",IF(VLOOKUP(tbMoveset!A62,tbMoveset!A2:I112,9,FALSE)="Fire",Backdoors!BB20,IF(VLOOKUP(tbMoveset!A62,tbMoveset!A2:I112,9,FALSE)="Water",Backdoors!BC20,IF(VLOOKUP(tbMoveset!A62,tbMoveset!A2:I112,9,FALSE)="Thunder",Backdoors!BD20,IF(VLOOKUP(tbMoveset!A62,tbMoveset!A2:I112,9,FALSE)="Ice",Backdoors!BE20,IF(VLOOKUP(tbMoveset!A62,tbMoveset!A2:I112,9,FALSE)="Dragon",Backdoors!BF20,Backdoors!BG20)))))/100,Backdoors!BG20/100),"")</f>
        <v>0</v>
      </c>
      <c r="DS62" s="49">
        <f>IFERROR(IF(VLOOKUP(A62,tbMoveset!A2:J112,10,FALSE)=TRUE,IF((Backdoors!AI12+IF(DQ62&gt;=0.45,VLOOKUP(Calculator!E23,tbSkills!DH3:DI6,2,FALSE)+IF(AND(Calculator!B8=TRUE,Backdoors!BI20=TRUE),VLOOKUP(Calculator!E23,tbSkills!DH3:DJ6,3,FALSE),0),0))&gt;=0,1+(Backdoors!AL2*(IF((Backdoors!AI12+IF(DQ62&gt;=0.45,VLOOKUP(Calculator!E23,tbSkills!DH3:DI6,2,FALSE)+IF(AND(Calculator!B8=TRUE,Backdoors!BI20=TRUE),VLOOKUP(Calculator!E23,tbSkills!DH3:DJ6,3,FALSE),0),0))&gt;=100,100,(Backdoors!AI12+IF(DQ62&gt;=0.45,VLOOKUP(Calculator!E23,tbSkills!DH3:DI6,2,FALSE)+IF(AND(Calculator!B8=TRUE,Backdoors!BI20=TRUE),VLOOKUP(Calculator!E23,tbSkills!DH3:DJ6,3,FALSE),0),0)))/100)),(1-(0.25*((-Backdoors!AI12-IF(DQ62&gt;=0.45,VLOOKUP(Calculator!E23,tbSkills!DH3:DI6,2,FALSE)+IF(AND(Calculator!B8=TRUE,Backdoors!BI20=TRUE),VLOOKUP(Calculator!E23,tbSkills!DH3:DJ6,3,FALSE),0),0))/100)))),1),"")</f>
        <v>1</v>
      </c>
      <c r="DT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Q62)*DS62)*(VLOOKUP(A62,tbMoveset!A2:C112,3,FALSE)/100)*IF(VLOOKUP(A62,tbMoveset!A2:B112,2,FALSE)="Projectile",Backdoors!N10,Backdoors!N9),0),"")</f>
        <v/>
      </c>
      <c r="DU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Q62&gt;=0.45,VLOOKUP(Calculator!E23,tbSkills!DH3:DI6,2,FALSE)+IF(AND(Calculator!B8=TRUE,Backdoors!BI20=TRUE),VLOOKUP(Calculator!E23,tbSkills!DH3:DJ6,3,FALSE),0),0))&gt;=100,100,(Backdoors!AI12+IF(DQ62&gt;=0.45,VLOOKUP(Calculator!E23,tbSkills!DH3:DI6,2,FALSE)+IF(AND(Calculator!B8=TRUE,Backdoors!BI20=TRUE),VLOOKUP(Calculator!E23,tbSkills!DH3:DJ6,3,FALSE),0),0)))/100)),1))*IF(VLOOKUP(A62,tbMoveset!A2:K112,11,FALSE)=TRUE,Backdoors!AC5,1))*DR62,0),"")</f>
        <v>0</v>
      </c>
      <c r="DV62" s="49">
        <f>VLOOKUP(A62,tbMoveset!A2:G112,7,FALSE)*IFERROR(IF(Backdoors!AI12&gt;=0,1+(IF(Calculator!E40&gt;0,VLOOKUP(Calculator!E40,tbSkills!AI3:AJ5,2,FALSE),Backdoors!AL4)*(IF((Backdoors!AI12+IF(DQ62&gt;=0.45,VLOOKUP(Calculator!E23,tbSkills!DH3:DI6,2,FALSE)+IF(AND(Calculator!B8=TRUE,Backdoors!BI20=TRUE),VLOOKUP(Calculator!E23,tbSkills!DH3:DJ6,3,FALSE),0),0))&gt;=100,100,(Backdoors!AI12+IF(DQ62&gt;=0.45,VLOOKUP(Calculator!E23,tbSkills!DH3:DI6,2,FALSE)+IF(AND(Calculator!B8=TRUE,Backdoors!BI20=TRUE),VLOOKUP(Calculator!E23,tbSkills!DH3:DJ6,3,FALSE),0),0)))/100)),1),1)</f>
        <v>0.5</v>
      </c>
      <c r="DW62" s="87">
        <f t="shared" si="10"/>
        <v>0</v>
      </c>
      <c r="DX62" s="86" t="str">
        <f>IFERROR(IF(VLOOKUP(A62,tbMoveset!A2:B112,2,FALSE)="Sever",Backdoors!AY21/100,IF(VLOOKUP(A62,tbMoveset!A2:B112,2,FALSE)="Blunt",Backdoors!AZ21/100,Backdoors!BA21/100)),"")</f>
        <v/>
      </c>
      <c r="DY62" s="49">
        <f>IFERROR(IF(VLOOKUP(tbMoveset!A62,tbMoveset!A2:H112,8,FALSE)="Other",IF(VLOOKUP(tbMoveset!A62,tbMoveset!A2:I112,9,FALSE)="Fire",Backdoors!BB21,IF(VLOOKUP(tbMoveset!A62,tbMoveset!A2:I112,9,FALSE)="Water",Backdoors!BC21,IF(VLOOKUP(tbMoveset!A62,tbMoveset!A2:I112,9,FALSE)="Thunder",Backdoors!BD21,IF(VLOOKUP(tbMoveset!A62,tbMoveset!A2:I112,9,FALSE)="Ice",Backdoors!BE21,IF(VLOOKUP(tbMoveset!A62,tbMoveset!A2:I112,9,FALSE)="Dragon",Backdoors!BF21,Backdoors!BG21)))))/100,Backdoors!BG21/100),"")</f>
        <v>0</v>
      </c>
      <c r="DZ62" s="49">
        <f>IFERROR(IF(VLOOKUP(A62,tbMoveset!A2:J112,10,FALSE)=TRUE,IF((Backdoors!AI12+IF(DX62&gt;=0.45,VLOOKUP(Calculator!E23,tbSkills!DH3:DI6,2,FALSE)+IF(AND(Calculator!B8=TRUE,Backdoors!BI21=TRUE),VLOOKUP(Calculator!E23,tbSkills!DH3:DJ6,3,FALSE),0),0))&gt;=0,1+(Backdoors!AL2*(IF((Backdoors!AI12+IF(DX62&gt;=0.45,VLOOKUP(Calculator!E23,tbSkills!DH3:DI6,2,FALSE)+IF(AND(Calculator!B8=TRUE,Backdoors!BI21=TRUE),VLOOKUP(Calculator!E23,tbSkills!DH3:DJ6,3,FALSE),0),0))&gt;=100,100,(Backdoors!AI12+IF(DX62&gt;=0.45,VLOOKUP(Calculator!E23,tbSkills!DH3:DI6,2,FALSE)+IF(AND(Calculator!B8=TRUE,Backdoors!BI21=TRUE),VLOOKUP(Calculator!E23,tbSkills!DH3:DJ6,3,FALSE),0),0)))/100)),(1-(0.25*((-Backdoors!AI12-IF(DX62&gt;=0.45,VLOOKUP(Calculator!E23,tbSkills!DH3:DI6,2,FALSE)+IF(AND(Calculator!B8=TRUE,Backdoors!BI21=TRUE),VLOOKUP(Calculator!E23,tbSkills!DH3:DJ6,3,FALSE),0),0))/100)))),1),"")</f>
        <v>1</v>
      </c>
      <c r="EA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X62)*DZ62)*(VLOOKUP(A62,tbMoveset!A2:C112,3,FALSE)/100)*IF(VLOOKUP(A62,tbMoveset!A2:B112,2,FALSE)="Projectile",Backdoors!N10,Backdoors!N9),0),"")</f>
        <v/>
      </c>
      <c r="EB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X62&gt;=0.45,VLOOKUP(Calculator!E23,tbSkills!DH3:DI6,2,FALSE)+IF(AND(Calculator!B8=TRUE,Backdoors!BI21=TRUE),VLOOKUP(Calculator!E23,tbSkills!DH3:DJ6,3,FALSE),0),0))&gt;=100,100,(Backdoors!AI12+IF(DX62&gt;=0.45,VLOOKUP(Calculator!E23,tbSkills!DH3:DI6,2,FALSE)+IF(AND(Calculator!B8=TRUE,Backdoors!BI21=TRUE),VLOOKUP(Calculator!E23,tbSkills!DH3:DJ6,3,FALSE),0),0)))/100)),1))*IF(VLOOKUP(A62,tbMoveset!A2:K112,11,FALSE)=TRUE,Backdoors!AC5,1))*DY62,0),"")</f>
        <v>0</v>
      </c>
      <c r="EC62" s="49">
        <f>VLOOKUP(A62,tbMoveset!A2:G112,7,FALSE)*IFERROR(IF(Backdoors!AI12&gt;=0,1+(IF(Calculator!E40&gt;0,VLOOKUP(Calculator!E40,tbSkills!AI3:AJ5,2,FALSE),Backdoors!AL4)*(IF((Backdoors!AI12+IF(DX62&gt;=0.45,VLOOKUP(Calculator!E23,tbSkills!DH3:DI6,2,FALSE)+IF(AND(Calculator!B8=TRUE,Backdoors!BI21=TRUE),VLOOKUP(Calculator!E23,tbSkills!DH3:DJ6,3,FALSE),0),0))&gt;=100,100,(Backdoors!AI12+IF(DX62&gt;=0.45,VLOOKUP(Calculator!E23,tbSkills!DH3:DI6,2,FALSE)+IF(AND(Calculator!B8=TRUE,Backdoors!BI21=TRUE),VLOOKUP(Calculator!E23,tbSkills!DH3:DJ6,3,FALSE),0),0)))/100)),1),1)</f>
        <v>0.5</v>
      </c>
      <c r="ED62" s="87">
        <f t="shared" si="11"/>
        <v>0</v>
      </c>
      <c r="EE62" s="86" t="str">
        <f>IFERROR(IF(VLOOKUP(A62,tbMoveset!A2:B112,2,FALSE)="Sever",Backdoors!AY22/100,IF(VLOOKUP(A62,tbMoveset!A2:B112,2,FALSE)="Blunt",Backdoors!AZ22/100,Backdoors!BA22/100)),"")</f>
        <v/>
      </c>
      <c r="EF62" s="49">
        <f>IFERROR(IF(VLOOKUP(tbMoveset!A62,tbMoveset!A2:H112,8,FALSE)="Other",IF(VLOOKUP(tbMoveset!A62,tbMoveset!A2:I112,9,FALSE)="Fire",Backdoors!BB22,IF(VLOOKUP(tbMoveset!A62,tbMoveset!A2:I112,9,FALSE)="Water",Backdoors!BC22,IF(VLOOKUP(tbMoveset!A62,tbMoveset!A2:I112,9,FALSE)="Thunder",Backdoors!BD22,IF(VLOOKUP(tbMoveset!A62,tbMoveset!A2:I112,9,FALSE)="Ice",Backdoors!BE22,IF(VLOOKUP(tbMoveset!A62,tbMoveset!A2:I112,9,FALSE)="Dragon",Backdoors!BF22,Backdoors!BG22)))))/100,Backdoors!BG22/100),"")</f>
        <v>0</v>
      </c>
      <c r="EG62" s="49">
        <f>IFERROR(IF(VLOOKUP(A62,tbMoveset!A2:J112,10,FALSE)=TRUE,IF((Backdoors!AI12+IF(EE62&gt;=0.45,VLOOKUP(Calculator!E23,tbSkills!DH3:DI6,2,FALSE)+IF(AND(Calculator!B8=TRUE,Backdoors!BI22=TRUE),VLOOKUP(Calculator!E23,tbSkills!DH3:DJ6,3,FALSE),0),0))&gt;=0,1+(Backdoors!AL2*(IF((Backdoors!AI12+IF(EE62&gt;=0.45,VLOOKUP(Calculator!E23,tbSkills!DH3:DI6,2,FALSE)+IF(AND(Calculator!B8=TRUE,Backdoors!BI22=TRUE),VLOOKUP(Calculator!E23,tbSkills!DH3:DJ6,3,FALSE),0),0))&gt;=100,100,(Backdoors!AI12+IF(EE62&gt;=0.45,VLOOKUP(Calculator!E23,tbSkills!DH3:DI6,2,FALSE)+IF(AND(Calculator!B8=TRUE,Backdoors!BI22=TRUE),VLOOKUP(Calculator!E23,tbSkills!DH3:DJ6,3,FALSE),0),0)))/100)),(1-(0.25*((-Backdoors!AI12-IF(EE62&gt;=0.45,VLOOKUP(Calculator!E23,tbSkills!DH3:DI6,2,FALSE)+IF(AND(Calculator!B8=TRUE,Backdoors!BI22=TRUE),VLOOKUP(Calculator!E23,tbSkills!DH3:DJ6,3,FALSE),0),0))/100)))),1),"")</f>
        <v>1</v>
      </c>
      <c r="EH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E62)*EG62)*(VLOOKUP(A62,tbMoveset!A2:C112,3,FALSE)/100)*IF(VLOOKUP(A62,tbMoveset!A2:B112,2,FALSE)="Projectile",Backdoors!N10,Backdoors!N9),0),"")</f>
        <v/>
      </c>
      <c r="EI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E62&gt;=0.45,VLOOKUP(Calculator!E23,tbSkills!DH3:DI6,2,FALSE)+IF(AND(Calculator!B8=TRUE,Backdoors!BI22=TRUE),VLOOKUP(Calculator!E23,tbSkills!DH3:DJ6,3,FALSE),0),0))&gt;=100,100,(Backdoors!AI12+IF(EE62&gt;=0.45,VLOOKUP(Calculator!E23,tbSkills!DH3:DI6,2,FALSE)+IF(AND(Calculator!B8=TRUE,Backdoors!BI22=TRUE),VLOOKUP(Calculator!E23,tbSkills!DH3:DJ6,3,FALSE),0),0)))/100)),1))*IF(VLOOKUP(A62,tbMoveset!A2:K112,11,FALSE)=TRUE,Backdoors!AC5,1))*EF62,0),"")</f>
        <v>0</v>
      </c>
      <c r="EJ62" s="49">
        <f>VLOOKUP(A62,tbMoveset!A2:G112,7,FALSE)*IFERROR(IF(Backdoors!AI12&gt;=0,1+(IF(Calculator!E40&gt;0,VLOOKUP(Calculator!E40,tbSkills!AI3:AJ5,2,FALSE),Backdoors!AL4)*(IF((Backdoors!AI12+IF(EE62&gt;=0.45,VLOOKUP(Calculator!E23,tbSkills!DH3:DI6,2,FALSE)+IF(AND(Calculator!B8=TRUE,Backdoors!BI22=TRUE),VLOOKUP(Calculator!E23,tbSkills!DH3:DJ6,3,FALSE),0),0))&gt;=100,100,(Backdoors!AI12+IF(EE62&gt;=0.45,VLOOKUP(Calculator!E23,tbSkills!DH3:DI6,2,FALSE)+IF(AND(Calculator!B8=TRUE,Backdoors!BI22=TRUE),VLOOKUP(Calculator!E23,tbSkills!DH3:DJ6,3,FALSE),0),0)))/100)),1),1)</f>
        <v>0.5</v>
      </c>
      <c r="EK62" s="87">
        <f t="shared" si="12"/>
        <v>0</v>
      </c>
      <c r="EL62" s="86" t="str">
        <f>IFERROR(IF(VLOOKUP(A62,tbMoveset!A2:B112,2,FALSE)="Sever",Backdoors!AY23/100,IF(VLOOKUP(A62,tbMoveset!A2:B112,2,FALSE)="Blunt",Backdoors!AZ23/100,Backdoors!BA23/100)),"")</f>
        <v/>
      </c>
      <c r="EM62" s="49">
        <f>IFERROR(IF(VLOOKUP(tbMoveset!A62,tbMoveset!A2:H112,8,FALSE)="Other",IF(VLOOKUP(tbMoveset!A62,tbMoveset!A2:I112,9,FALSE)="Fire",Backdoors!BB23,IF(VLOOKUP(tbMoveset!A62,tbMoveset!A2:I112,9,FALSE)="Water",Backdoors!BC23,IF(VLOOKUP(tbMoveset!A62,tbMoveset!A2:I112,9,FALSE)="Thunder",Backdoors!BD23,IF(VLOOKUP(tbMoveset!A62,tbMoveset!A2:I112,9,FALSE)="Ice",Backdoors!BE23,IF(VLOOKUP(tbMoveset!A62,tbMoveset!A2:I112,9,FALSE)="Dragon",Backdoors!BF23,Backdoors!BG23)))))/100,Backdoors!BG23/100),"")</f>
        <v>0</v>
      </c>
      <c r="EN62" s="49">
        <f>IFERROR(IF(VLOOKUP(A62,tbMoveset!A2:J112,10,FALSE)=TRUE,IF((Backdoors!AI12+IF(EL62&gt;=0.45,VLOOKUP(Calculator!E23,tbSkills!DH3:DI6,2,FALSE)+IF(AND(Calculator!B8=TRUE,Backdoors!BI23=TRUE),VLOOKUP(Calculator!E23,tbSkills!DH3:DJ6,3,FALSE),0),0))&gt;=0,1+(Backdoors!AL2*(IF((Backdoors!AI12+IF(EL62&gt;=0.45,VLOOKUP(Calculator!E23,tbSkills!DH3:DI6,2,FALSE)+IF(AND(Calculator!B8=TRUE,Backdoors!BI23=TRUE),VLOOKUP(Calculator!E23,tbSkills!DH3:DJ6,3,FALSE),0),0))&gt;=100,100,(Backdoors!AI12+IF(EL62&gt;=0.45,VLOOKUP(Calculator!E23,tbSkills!DH3:DI6,2,FALSE)+IF(AND(Calculator!B8=TRUE,Backdoors!BI23=TRUE),VLOOKUP(Calculator!E23,tbSkills!DH3:DJ6,3,FALSE),0),0)))/100)),(1-(0.25*((-Backdoors!AI12-IF(EL62&gt;=0.45,VLOOKUP(Calculator!E23,tbSkills!DH3:DI6,2,FALSE)+IF(AND(Calculator!B8=TRUE,Backdoors!BI23=TRUE),VLOOKUP(Calculator!E23,tbSkills!DH3:DJ6,3,FALSE),0),0))/100)))),1),"")</f>
        <v>1</v>
      </c>
      <c r="EO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L62)*EN62)*(VLOOKUP(A62,tbMoveset!A2:C112,3,FALSE)/100)*IF(VLOOKUP(A62,tbMoveset!A2:B112,2,FALSE)="Projectile",Backdoors!N10,Backdoors!N9),0),"")</f>
        <v/>
      </c>
      <c r="EP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L62&gt;=0.45,VLOOKUP(Calculator!E23,tbSkills!DH3:DI6,2,FALSE)+IF(AND(Calculator!B8=TRUE,Backdoors!BI23=TRUE),VLOOKUP(Calculator!E23,tbSkills!DH3:DJ6,3,FALSE),0),0))&gt;=100,100,(Backdoors!AI12+IF(EL62&gt;=0.45,VLOOKUP(Calculator!E23,tbSkills!DH3:DI6,2,FALSE)+IF(AND(Calculator!B8=TRUE,Backdoors!BI23=TRUE),VLOOKUP(Calculator!E23,tbSkills!DH3:DJ6,3,FALSE),0),0)))/100)),1))*IF(VLOOKUP(A62,tbMoveset!A2:K112,11,FALSE)=TRUE,Backdoors!AC5,1))*EM62,0),"")</f>
        <v>0</v>
      </c>
      <c r="EQ62" s="49">
        <f>VLOOKUP(A62,tbMoveset!A2:G112,7,FALSE)*IFERROR(IF(Backdoors!AI12&gt;=0,1+(IF(Calculator!E40&gt;0,VLOOKUP(Calculator!E40,tbSkills!AI3:AJ5,2,FALSE),Backdoors!AL4)*(IF((Backdoors!AI12+IF(EL62&gt;=0.45,VLOOKUP(Calculator!E23,tbSkills!DH3:DI6,2,FALSE)+IF(AND(Calculator!B8=TRUE,Backdoors!BI23=TRUE),VLOOKUP(Calculator!E23,tbSkills!DH3:DJ6,3,FALSE),0),0))&gt;=100,100,(Backdoors!AI12+IF(EL62&gt;=0.45,VLOOKUP(Calculator!E23,tbSkills!DH3:DI6,2,FALSE)+IF(AND(Calculator!B8=TRUE,Backdoors!BI23=TRUE),VLOOKUP(Calculator!E23,tbSkills!DH3:DJ6,3,FALSE),0),0)))/100)),1),1)</f>
        <v>0.5</v>
      </c>
      <c r="ER62" s="87">
        <f t="shared" si="13"/>
        <v>0</v>
      </c>
      <c r="ES62" s="86" t="str">
        <f>IFERROR(IF(VLOOKUP(A62,tbMoveset!A2:B112,2,FALSE)="Sever",Backdoors!AY24/100,IF(VLOOKUP(A62,tbMoveset!A2:B112,2,FALSE)="Blunt",Backdoors!AZ24/100,Backdoors!BA24/100)),"")</f>
        <v/>
      </c>
      <c r="ET62" s="49">
        <f>IFERROR(IF(VLOOKUP(tbMoveset!A62,tbMoveset!A2:H112,8,FALSE)="Other",IF(VLOOKUP(tbMoveset!A62,tbMoveset!A2:I112,9,FALSE)="Fire",Backdoors!BB24,IF(VLOOKUP(tbMoveset!A62,tbMoveset!A2:I112,9,FALSE)="Water",Backdoors!BC24,IF(VLOOKUP(tbMoveset!A62,tbMoveset!A2:I112,9,FALSE)="Thunder",Backdoors!BD24,IF(VLOOKUP(tbMoveset!A62,tbMoveset!A2:I112,9,FALSE)="Ice",Backdoors!BE24,IF(VLOOKUP(tbMoveset!A62,tbMoveset!A2:I112,9,FALSE)="Dragon",Backdoors!BF24,Backdoors!BG24)))))/100,Backdoors!BG24/100),"")</f>
        <v>0</v>
      </c>
      <c r="EU62" s="49">
        <f>IFERROR(IF(VLOOKUP(A62,tbMoveset!A2:J112,10,FALSE)=TRUE,IF((Backdoors!AI12+IF(ES62&gt;=0.45,VLOOKUP(Calculator!E23,tbSkills!DH3:DI6,2,FALSE)+IF(AND(Calculator!B8=TRUE,Backdoors!BI24=TRUE),VLOOKUP(Calculator!E23,tbSkills!DH3:DJ6,3,FALSE),0),0))&gt;=0,1+(Backdoors!AL2*(IF((Backdoors!AI12+IF(ES62&gt;=0.45,VLOOKUP(Calculator!E23,tbSkills!DH3:DI6,2,FALSE)+IF(AND(Calculator!B8=TRUE,Backdoors!BI24=TRUE),VLOOKUP(Calculator!E23,tbSkills!DH3:DJ6,3,FALSE),0),0))&gt;=100,100,(Backdoors!AI12+IF(ES62&gt;=0.45,VLOOKUP(Calculator!E23,tbSkills!DH3:DI6,2,FALSE)+IF(AND(Calculator!B8=TRUE,Backdoors!BI24=TRUE),VLOOKUP(Calculator!E23,tbSkills!DH3:DJ6,3,FALSE),0),0)))/100)),(1-(0.25*((-Backdoors!AI12-IF(ES62&gt;=0.45,VLOOKUP(Calculator!E23,tbSkills!DH3:DI6,2,FALSE)+IF(AND(Calculator!B8=TRUE,Backdoors!BI24=TRUE),VLOOKUP(Calculator!E23,tbSkills!DH3:DJ6,3,FALSE),0),0))/100)))),1),"")</f>
        <v>1</v>
      </c>
      <c r="EV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S62)*EU62)*(VLOOKUP(A62,tbMoveset!A2:C112,3,FALSE)/100)*IF(VLOOKUP(A62,tbMoveset!A2:B112,2,FALSE)="Projectile",Backdoors!N10,Backdoors!N9),0),"")</f>
        <v/>
      </c>
      <c r="EW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S62&gt;=0.45,VLOOKUP(Calculator!E23,tbSkills!DH3:DI6,2,FALSE)+IF(AND(Calculator!B8=TRUE,Backdoors!BI24=TRUE),VLOOKUP(Calculator!E23,tbSkills!DH3:DJ6,3,FALSE),0),0))&gt;=100,100,(Backdoors!AI12+IF(ES62&gt;=0.45,VLOOKUP(Calculator!E23,tbSkills!DH3:DI6,2,FALSE)+IF(AND(Calculator!B8=TRUE,Backdoors!BI24=TRUE),VLOOKUP(Calculator!E23,tbSkills!DH3:DJ6,3,FALSE),0),0)))/100)),1))*IF(VLOOKUP(A62,tbMoveset!A2:K112,11,FALSE)=TRUE,Backdoors!AC5,1))*ET62,0),"")</f>
        <v>0</v>
      </c>
      <c r="EX62" s="49">
        <f>VLOOKUP(A62,tbMoveset!A2:G112,7,FALSE)*IFERROR(IF(Backdoors!AI12&gt;=0,1+(IF(Calculator!E40&gt;0,VLOOKUP(Calculator!E40,tbSkills!AI3:AJ5,2,FALSE),Backdoors!AL4)*(IF((Backdoors!AI12+IF(ES62&gt;=0.45,VLOOKUP(Calculator!E23,tbSkills!DH3:DI6,2,FALSE)+IF(AND(Calculator!B8=TRUE,Backdoors!BI24=TRUE),VLOOKUP(Calculator!E23,tbSkills!DH3:DJ6,3,FALSE),0),0))&gt;=100,100,(Backdoors!AI12+IF(ES62&gt;=0.45,VLOOKUP(Calculator!E23,tbSkills!DH3:DI6,2,FALSE)+IF(AND(Calculator!B8=TRUE,Backdoors!BI24=TRUE),VLOOKUP(Calculator!E23,tbSkills!DH3:DJ6,3,FALSE),0),0)))/100)),1),1)</f>
        <v>0.5</v>
      </c>
      <c r="EY62" s="87">
        <f t="shared" si="14"/>
        <v>0</v>
      </c>
      <c r="EZ62" s="86" t="str">
        <f>IFERROR(IF(VLOOKUP(A62,tbMoveset!A2:B112,2,FALSE)="Sever",Backdoors!AY25/100,IF(VLOOKUP(A62,tbMoveset!A2:B112,2,FALSE)="Blunt",Backdoors!AZ25/100,Backdoors!BA25/100)),"")</f>
        <v/>
      </c>
      <c r="FA62" s="49">
        <f>IFERROR(IF(VLOOKUP(tbMoveset!A62,tbMoveset!A2:H112,8,FALSE)="Other",IF(VLOOKUP(tbMoveset!A62,tbMoveset!A2:I112,9,FALSE)="Fire",Backdoors!BB25,IF(VLOOKUP(tbMoveset!A62,tbMoveset!A2:I112,9,FALSE)="Water",Backdoors!BC25,IF(VLOOKUP(tbMoveset!A62,tbMoveset!A2:I112,9,FALSE)="Thunder",Backdoors!BD25,IF(VLOOKUP(tbMoveset!A62,tbMoveset!A2:I112,9,FALSE)="Ice",Backdoors!BE25,IF(VLOOKUP(tbMoveset!A62,tbMoveset!A2:I112,9,FALSE)="Dragon",Backdoors!BF25,Backdoors!BG25)))))/100,Backdoors!BG25/100),"")</f>
        <v>0</v>
      </c>
      <c r="FB62" s="49">
        <f>IFERROR(IF(VLOOKUP(A62,tbMoveset!A2:J112,10,FALSE)=TRUE,IF((Backdoors!AI12+IF(EZ62&gt;=0.45,VLOOKUP(Calculator!E23,tbSkills!DH3:DI6,2,FALSE)+IF(AND(Calculator!B8=TRUE,Backdoors!BI25=TRUE),VLOOKUP(Calculator!E23,tbSkills!DH3:DJ6,3,FALSE),0),0))&gt;=0,1+(Backdoors!AL2*(IF((Backdoors!AI12+IF(EZ62&gt;=0.45,VLOOKUP(Calculator!E23,tbSkills!DH3:DI6,2,FALSE)+IF(AND(Calculator!B8=TRUE,Backdoors!BI25=TRUE),VLOOKUP(Calculator!E23,tbSkills!DH3:DJ6,3,FALSE),0),0))&gt;=100,100,(Backdoors!AI12+IF(EZ62&gt;=0.45,VLOOKUP(Calculator!E23,tbSkills!DH3:DI6,2,FALSE)+IF(AND(Calculator!B8=TRUE,Backdoors!BI25=TRUE),VLOOKUP(Calculator!E23,tbSkills!DH3:DJ6,3,FALSE),0),0)))/100)),(1-(0.25*((-Backdoors!AI12-IF(EZ62&gt;=0.45,VLOOKUP(Calculator!E23,tbSkills!DH3:DI6,2,FALSE)+IF(AND(Calculator!B8=TRUE,Backdoors!BI25=TRUE),VLOOKUP(Calculator!E23,tbSkills!DH3:DJ6,3,FALSE),0),0))/100)))),1),"")</f>
        <v>1</v>
      </c>
      <c r="FC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Z62)*FB62)*(VLOOKUP(A62,tbMoveset!A2:C112,3,FALSE)/100)*IF(VLOOKUP(A62,tbMoveset!A2:B112,2,FALSE)="Projectile",Backdoors!N10,Backdoors!N9),0),"")</f>
        <v/>
      </c>
      <c r="FD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Z62&gt;=0.45,VLOOKUP(Calculator!E23,tbSkills!DH3:DI6,2,FALSE)+IF(AND(Calculator!B8=TRUE,Backdoors!BI25=TRUE),VLOOKUP(Calculator!E23,tbSkills!DH3:DJ6,3,FALSE),0),0))&gt;=100,100,(Backdoors!AI12+IF(EZ62&gt;=0.45,VLOOKUP(Calculator!E23,tbSkills!DH3:DI6,2,FALSE)+IF(AND(Calculator!B8=TRUE,Backdoors!BI25=TRUE),VLOOKUP(Calculator!E23,tbSkills!DH3:DJ6,3,FALSE),0),0)))/100)),1))*IF(VLOOKUP(A62,tbMoveset!A2:K112,11,FALSE)=TRUE,Backdoors!AC5,1))*FA62,0),"")</f>
        <v>0</v>
      </c>
      <c r="FE62" s="49">
        <f>VLOOKUP(A62,tbMoveset!A2:G112,7,FALSE)*IFERROR(IF(Backdoors!AI12&gt;=0,1+(IF(Calculator!E40&gt;0,VLOOKUP(Calculator!E40,tbSkills!AI3:AJ5,2,FALSE),Backdoors!AL4)*(IF((Backdoors!AI12+IF(EZ62&gt;=0.45,VLOOKUP(Calculator!E23,tbSkills!DH3:DI6,2,FALSE)+IF(AND(Calculator!B8=TRUE,Backdoors!BI25=TRUE),VLOOKUP(Calculator!E23,tbSkills!DH3:DJ6,3,FALSE),0),0))&gt;=100,100,(Backdoors!AI12+IF(EZ62&gt;=0.45,VLOOKUP(Calculator!E23,tbSkills!DH3:DI6,2,FALSE)+IF(AND(Calculator!B8=TRUE,Backdoors!BI25=TRUE),VLOOKUP(Calculator!E23,tbSkills!DH3:DJ6,3,FALSE),0),0)))/100)),1),1)</f>
        <v>0.5</v>
      </c>
      <c r="FF62" s="87">
        <f t="shared" si="15"/>
        <v>0</v>
      </c>
      <c r="FG62" s="86" t="str">
        <f>IFERROR(IF(VLOOKUP(A62,tbMoveset!A2:B112,2,FALSE)="Sever",Backdoors!AY26/100,IF(VLOOKUP(A62,tbMoveset!A2:B112,2,FALSE)="Blunt",Backdoors!AZ26/100,Backdoors!BA26/100)),"")</f>
        <v/>
      </c>
      <c r="FH62" s="49">
        <f>IFERROR(IF(VLOOKUP(tbMoveset!A62,tbMoveset!A2:H112,8,FALSE)="Other",IF(VLOOKUP(tbMoveset!A62,tbMoveset!A2:I112,9,FALSE)="Fire",Backdoors!BB26,IF(VLOOKUP(tbMoveset!A62,tbMoveset!A2:I112,9,FALSE)="Water",Backdoors!BC26,IF(VLOOKUP(tbMoveset!A62,tbMoveset!A2:I112,9,FALSE)="Thunder",Backdoors!BD26,IF(VLOOKUP(tbMoveset!A62,tbMoveset!A2:I112,9,FALSE)="Ice",Backdoors!BE26,IF(VLOOKUP(tbMoveset!A62,tbMoveset!A2:I112,9,FALSE)="Dragon",Backdoors!BF26,Backdoors!BG26)))))/100,Backdoors!BG26/100),"")</f>
        <v>0</v>
      </c>
      <c r="FI62" s="49">
        <f>IFERROR(IF(VLOOKUP(A62,tbMoveset!A2:J112,10,FALSE)=TRUE,IF((Backdoors!AI12+IF(FG62&gt;=0.45,VLOOKUP(Calculator!E23,tbSkills!DH3:DI6,2,FALSE)+IF(AND(Calculator!B8=TRUE,Backdoors!BI26=TRUE),VLOOKUP(Calculator!E23,tbSkills!DH3:DJ6,3,FALSE),0),0))&gt;=0,1+(Backdoors!AL2*(IF((Backdoors!AI12+IF(FG62&gt;=0.45,VLOOKUP(Calculator!E23,tbSkills!DH3:DI6,2,FALSE)+IF(AND(Calculator!B8=TRUE,Backdoors!BI26=TRUE),VLOOKUP(Calculator!E23,tbSkills!DH3:DJ6,3,FALSE),0),0))&gt;=100,100,(Backdoors!AI12+IF(FG62&gt;=0.45,VLOOKUP(Calculator!E23,tbSkills!DH3:DI6,2,FALSE)+IF(AND(Calculator!B8=TRUE,Backdoors!BI26=TRUE),VLOOKUP(Calculator!E23,tbSkills!DH3:DJ6,3,FALSE),0),0)))/100)),(1-(0.25*((-Backdoors!AI12-IF(FG62&gt;=0.45,VLOOKUP(Calculator!E23,tbSkills!DH3:DI6,2,FALSE)+IF(AND(Calculator!B8=TRUE,Backdoors!BI26=TRUE),VLOOKUP(Calculator!E23,tbSkills!DH3:DJ6,3,FALSE),0),0))/100)))),1),"")</f>
        <v>1</v>
      </c>
      <c r="FJ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FG62)*FI62)*(VLOOKUP(A62,tbMoveset!A2:C112,3,FALSE)/100)*IF(VLOOKUP(A62,tbMoveset!A2:B112,2,FALSE)="Projectile",Backdoors!N10,Backdoors!N9),0),"")</f>
        <v/>
      </c>
      <c r="FK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FG62&gt;=0.45,VLOOKUP(Calculator!E23,tbSkills!DH3:DI6,2,FALSE)+IF(AND(Calculator!B8=TRUE,Backdoors!BI26=TRUE),VLOOKUP(Calculator!E23,tbSkills!DH3:DJ6,3,FALSE),0),0))&gt;=100,100,(Backdoors!AI12+IF(FG62&gt;=0.45,VLOOKUP(Calculator!E23,tbSkills!DH3:DI6,2,FALSE)+IF(AND(Calculator!B8=TRUE,Backdoors!BI26=TRUE),VLOOKUP(Calculator!E23,tbSkills!DH3:DJ6,3,FALSE),0),0)))/100)),1))*IF(VLOOKUP(A62,tbMoveset!A2:K112,11,FALSE)=TRUE,Backdoors!AC5,1))*FH62,0),"")</f>
        <v>0</v>
      </c>
      <c r="FL62" s="49">
        <f>VLOOKUP(A62,tbMoveset!A2:G112,7,FALSE)*IFERROR(IF(Backdoors!AI12&gt;=0,1+(IF(Calculator!E40&gt;0,VLOOKUP(Calculator!E40,tbSkills!AI3:AJ5,2,FALSE),Backdoors!AL4)*(IF((Backdoors!AI12+IF(FG62&gt;=0.45,VLOOKUP(Calculator!E23,tbSkills!DH3:DI6,2,FALSE)+IF(AND(Calculator!B8=TRUE,Backdoors!BI26=TRUE),VLOOKUP(Calculator!E23,tbSkills!DH3:DJ6,3,FALSE),0),0))&gt;=100,100,(Backdoors!AI12+IF(FG62&gt;=0.45,VLOOKUP(Calculator!E23,tbSkills!DH3:DI6,2,FALSE)+IF(AND(Calculator!B8=TRUE,Backdoors!BI26=TRUE),VLOOKUP(Calculator!E23,tbSkills!DH3:DJ6,3,FALSE),0),0)))/100)),1),1)</f>
        <v>0.5</v>
      </c>
      <c r="FM62" s="87">
        <f t="shared" si="16"/>
        <v>0</v>
      </c>
      <c r="FN62" s="86" t="str">
        <f>IFERROR(IF(VLOOKUP(A62,tbMoveset!A2:B112,2,FALSE)="Sever",Backdoors!AY27/100,IF(VLOOKUP(A62,tbMoveset!A2:B112,2,FALSE)="Blunt",Backdoors!AZ27/100,Backdoors!BA27/100)),"")</f>
        <v/>
      </c>
      <c r="FO62" s="49">
        <f>IFERROR(IF(VLOOKUP(tbMoveset!A62,tbMoveset!A2:H112,8,FALSE)="Other",IF(VLOOKUP(tbMoveset!A62,tbMoveset!A2:I112,9,FALSE)="Fire",Backdoors!BB27,IF(VLOOKUP(tbMoveset!A62,tbMoveset!A2:I112,9,FALSE)="Water",Backdoors!BC27,IF(VLOOKUP(tbMoveset!A62,tbMoveset!A2:I112,9,FALSE)="Thunder",Backdoors!BD27,IF(VLOOKUP(tbMoveset!A62,tbMoveset!A2:I112,9,FALSE)="Ice",Backdoors!BE27,IF(VLOOKUP(tbMoveset!A62,tbMoveset!A2:I112,9,FALSE)="Dragon",Backdoors!BF27,Backdoors!BG27)))))/100,Backdoors!BG27/100),"")</f>
        <v>0</v>
      </c>
      <c r="FP62" s="49">
        <f>IFERROR(IF(VLOOKUP(A62,tbMoveset!A2:J112,10,FALSE)=TRUE,IF((Backdoors!AI12+IF(FN62&gt;=0.45,VLOOKUP(Calculator!E23,tbSkills!DH3:DI6,2,FALSE)+IF(AND(Calculator!B8=TRUE,Backdoors!BI27=TRUE),VLOOKUP(Calculator!E23,tbSkills!DH3:DJ6,3,FALSE),0),0))&gt;=0,1+(Backdoors!AL2*(IF((Backdoors!AI12+IF(FN62&gt;=0.45,VLOOKUP(Calculator!E23,tbSkills!DH3:DI6,2,FALSE)+IF(AND(Calculator!B8=TRUE,Backdoors!BI27=TRUE),VLOOKUP(Calculator!E23,tbSkills!DH3:DJ6,3,FALSE),0),0))&gt;=100,100,(Backdoors!AI12+IF(FN62&gt;=0.45,VLOOKUP(Calculator!E23,tbSkills!DH3:DI6,2,FALSE)+IF(AND(Calculator!B8=TRUE,Backdoors!BI27=TRUE),VLOOKUP(Calculator!E23,tbSkills!DH3:DJ6,3,FALSE),0),0)))/100)),(1-(0.25*((-Backdoors!AI12-IF(FN62&gt;=0.45,VLOOKUP(Calculator!E23,tbSkills!DH3:DI6,2,FALSE)+IF(AND(Calculator!B8=TRUE,Backdoors!BI27=TRUE),VLOOKUP(Calculator!E23,tbSkills!DH3:DJ6,3,FALSE),0),0))/100)))),1),"")</f>
        <v>1</v>
      </c>
      <c r="FQ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FN62)*FP62)*(VLOOKUP(A62,tbMoveset!A2:C112,3,FALSE)/100)*IF(VLOOKUP(A62,tbMoveset!A2:B112,2,FALSE)="Projectile",Backdoors!N10,Backdoors!N9),0),"")</f>
        <v/>
      </c>
      <c r="FR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FN62&gt;=0.45,VLOOKUP(Calculator!E23,tbSkills!DH3:DI6,2,FALSE)+IF(AND(Calculator!B8=TRUE,Backdoors!BI27=TRUE),VLOOKUP(Calculator!E23,tbSkills!DH3:DJ6,3,FALSE),0),0))&gt;=100,100,(Backdoors!AI12+IF(FN62&gt;=0.45,VLOOKUP(Calculator!E23,tbSkills!DH3:DI6,2,FALSE)+IF(AND(Calculator!B8=TRUE,Backdoors!BI27=TRUE),VLOOKUP(Calculator!E23,tbSkills!DH3:DJ6,3,FALSE),0),0)))/100)),1))*IF(VLOOKUP(A62,tbMoveset!A2:K112,11,FALSE)=TRUE,Backdoors!AC5,1))*FO62,0),"")</f>
        <v>0</v>
      </c>
      <c r="FS62" s="49">
        <f>VLOOKUP(A62,tbMoveset!A2:G112,7,FALSE)*IFERROR(IF(Backdoors!AI12&gt;=0,1+(IF(Calculator!E40&gt;0,VLOOKUP(Calculator!E40,tbSkills!AI3:AJ5,2,FALSE),Backdoors!AL4)*(IF((Backdoors!AI12+IF(FN62&gt;=0.45,VLOOKUP(Calculator!E23,tbSkills!DH3:DI6,2,FALSE)+IF(AND(Calculator!B8=TRUE,Backdoors!BI27=TRUE),VLOOKUP(Calculator!E23,tbSkills!DH3:DJ6,3,FALSE),0),0))&gt;=100,100,(Backdoors!AI12+IF(FN62&gt;=0.45,VLOOKUP(Calculator!E23,tbSkills!DH3:DI6,2,FALSE)+IF(AND(Calculator!B8=TRUE,Backdoors!BI27=TRUE),VLOOKUP(Calculator!E23,tbSkills!DH3:DJ6,3,FALSE),0),0)))/100)),1),1)</f>
        <v>0.5</v>
      </c>
      <c r="FT62" s="87">
        <f t="shared" si="17"/>
        <v>0</v>
      </c>
      <c r="FU62" s="86" t="str">
        <f>IFERROR(IF(VLOOKUP(A62,tbMoveset!A2:B112,2,FALSE)="Sever",Backdoors!AY28/100,IF(VLOOKUP(A62,tbMoveset!A2:B112,2,FALSE)="Blunt",Backdoors!AZ28/100,Backdoors!BA28/100)),"")</f>
        <v/>
      </c>
      <c r="FV62" s="49">
        <f>IFERROR(IF(VLOOKUP(tbMoveset!A62,tbMoveset!A2:H112,8,FALSE)="Other",IF(VLOOKUP(tbMoveset!A62,tbMoveset!A2:I112,9,FALSE)="Fire",Backdoors!BB28,IF(VLOOKUP(tbMoveset!A62,tbMoveset!A2:I112,9,FALSE)="Water",Backdoors!BC28,IF(VLOOKUP(tbMoveset!A62,tbMoveset!A2:I112,9,FALSE)="Thunder",Backdoors!BD28,IF(VLOOKUP(tbMoveset!A62,tbMoveset!A2:I112,9,FALSE)="Ice",Backdoors!BE28,IF(VLOOKUP(tbMoveset!A62,tbMoveset!A2:I112,9,FALSE)="Dragon",Backdoors!BF28,Backdoors!BG28)))))/100,Backdoors!BG28/100),"")</f>
        <v>0</v>
      </c>
      <c r="FW62" s="49">
        <f>IFERROR(IF(VLOOKUP(A62,tbMoveset!A2:J112,10,FALSE)=TRUE,IF((Backdoors!AI12+IF(FU62&gt;=0.45,VLOOKUP(Calculator!E23,tbSkills!DH3:DI6,2,FALSE)+IF(AND(Calculator!B8=TRUE,Backdoors!BI28=TRUE),VLOOKUP(Calculator!E23,tbSkills!DH3:DJ6,3,FALSE),0),0))&gt;=0,1+(Backdoors!AL2*(IF((Backdoors!AI12+IF(FU62&gt;=0.45,VLOOKUP(Calculator!E23,tbSkills!DH3:DI6,2,FALSE)+IF(AND(Calculator!B8=TRUE,Backdoors!BI28=TRUE),VLOOKUP(Calculator!E23,tbSkills!DH3:DJ6,3,FALSE),0),0))&gt;=100,100,(Backdoors!AI12+IF(FU62&gt;=0.45,VLOOKUP(Calculator!E23,tbSkills!DH3:DI6,2,FALSE)+IF(AND(Calculator!B8=TRUE,Backdoors!BI28=TRUE),VLOOKUP(Calculator!E23,tbSkills!DH3:DJ6,3,FALSE),0),0)))/100)),(1-(0.25*((-Backdoors!AI12-IF(FU62&gt;=0.45,VLOOKUP(Calculator!E23,tbSkills!DH3:DI6,2,FALSE)+IF(AND(Calculator!B8=TRUE,Backdoors!BI28=TRUE),VLOOKUP(Calculator!E23,tbSkills!DH3:DJ6,3,FALSE),0),0))/100)))),1),"")</f>
        <v>1</v>
      </c>
      <c r="FX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FU62)*FW62)*(VLOOKUP(A62,tbMoveset!A2:C112,3,FALSE)/100)*IF(VLOOKUP(A62,tbMoveset!A2:B112,2,FALSE)="Projectile",Backdoors!N10,Backdoors!N9),0),"")</f>
        <v/>
      </c>
      <c r="FY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FU62&gt;=0.45,VLOOKUP(Calculator!E23,tbSkills!DH3:DI6,2,FALSE)+IF(AND(Calculator!B8=TRUE,Backdoors!BI28=TRUE),VLOOKUP(Calculator!E23,tbSkills!DH3:DJ6,3,FALSE),0),0))&gt;=100,100,(Backdoors!AI12+IF(FU62&gt;=0.45,VLOOKUP(Calculator!E23,tbSkills!DH3:DI6,2,FALSE)+IF(AND(Calculator!B8=TRUE,Backdoors!BI28=TRUE),VLOOKUP(Calculator!E23,tbSkills!DH3:DJ6,3,FALSE),0),0)))/100)),1))*IF(VLOOKUP(A62,tbMoveset!A2:K112,11,FALSE)=TRUE,Backdoors!AC5,1))*FV62,0),"")</f>
        <v>0</v>
      </c>
      <c r="FZ62" s="49">
        <f>VLOOKUP(A62,tbMoveset!A2:G112,7,FALSE)*IFERROR(IF(Backdoors!AI12&gt;=0,1+(IF(Calculator!E40&gt;0,VLOOKUP(Calculator!E40,tbSkills!AI3:AJ5,2,FALSE),Backdoors!AL4)*(IF((Backdoors!AI12+IF(FU62&gt;=0.45,VLOOKUP(Calculator!E23,tbSkills!DH3:DI6,2,FALSE)+IF(AND(Calculator!B8=TRUE,Backdoors!BI28=TRUE),VLOOKUP(Calculator!E23,tbSkills!DH3:DJ6,3,FALSE),0),0))&gt;=100,100,(Backdoors!AI12+IF(FU62&gt;=0.45,VLOOKUP(Calculator!E23,tbSkills!DH3:DI6,2,FALSE)+IF(AND(Calculator!B8=TRUE,Backdoors!BI28=TRUE),VLOOKUP(Calculator!E23,tbSkills!DH3:DJ6,3,FALSE),0),0)))/100)),1),1)</f>
        <v>0.5</v>
      </c>
      <c r="GA62" s="87">
        <f t="shared" si="18"/>
        <v>0</v>
      </c>
      <c r="GB62" s="86" t="str">
        <f>IFERROR(IF(VLOOKUP(A62,tbMoveset!A2:B112,2,FALSE)="Sever",Backdoors!AY29/100,IF(VLOOKUP(A62,tbMoveset!A2:B112,2,FALSE)="Blunt",Backdoors!AZ29/100,Backdoors!BA29/100)),"")</f>
        <v/>
      </c>
      <c r="GC62" s="49">
        <f>IFERROR(IF(VLOOKUP(tbMoveset!A62,tbMoveset!A2:H112,8,FALSE)="Other",IF(VLOOKUP(tbMoveset!A62,tbMoveset!A2:I112,9,FALSE)="Fire",Backdoors!BB29,IF(VLOOKUP(tbMoveset!A62,tbMoveset!A2:I112,9,FALSE)="Water",Backdoors!BC29,IF(VLOOKUP(tbMoveset!A62,tbMoveset!A2:I112,9,FALSE)="Thunder",Backdoors!BD29,IF(VLOOKUP(tbMoveset!A62,tbMoveset!A2:I112,9,FALSE)="Ice",Backdoors!BE29,IF(VLOOKUP(tbMoveset!A62,tbMoveset!A2:I112,9,FALSE)="Dragon",Backdoors!BF29,Backdoors!BG29)))))/100,Backdoors!BG29/100),"")</f>
        <v>0</v>
      </c>
      <c r="GD62" s="49">
        <f>IFERROR(IF(VLOOKUP(A62,tbMoveset!A2:J112,10,FALSE)=TRUE,IF((Backdoors!AI12+IF(GB62&gt;=0.45,VLOOKUP(Calculator!E23,tbSkills!DH3:DI6,2,FALSE)+IF(AND(Calculator!B8=TRUE,Backdoors!BI29=TRUE),VLOOKUP(Calculator!E23,tbSkills!DH3:DJ6,3,FALSE),0),0))&gt;=0,1+(Backdoors!AL2*(IF((Backdoors!AI12+IF(GB62&gt;=0.45,VLOOKUP(Calculator!E23,tbSkills!DH3:DI6,2,FALSE)+IF(AND(Calculator!B8=TRUE,Backdoors!BI29=TRUE),VLOOKUP(Calculator!E23,tbSkills!DH3:DJ6,3,FALSE),0),0))&gt;=100,100,(Backdoors!AI12+IF(GB62&gt;=0.45,VLOOKUP(Calculator!E23,tbSkills!DH3:DI6,2,FALSE)+IF(AND(Calculator!B8=TRUE,Backdoors!BI29=TRUE),VLOOKUP(Calculator!E23,tbSkills!DH3:DJ6,3,FALSE),0),0)))/100)),(1-(0.25*((-Backdoors!AI12-IF(GB62&gt;=0.45,VLOOKUP(Calculator!E23,tbSkills!DH3:DI6,2,FALSE)+IF(AND(Calculator!B8=TRUE,Backdoors!BI29=TRUE),VLOOKUP(Calculator!E23,tbSkills!DH3:DJ6,3,FALSE),0),0))/100)))),1),"")</f>
        <v>1</v>
      </c>
      <c r="GE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B62)*GD62)*(VLOOKUP(A62,tbMoveset!A2:C112,3,FALSE)/100)*IF(VLOOKUP(A62,tbMoveset!A2:B112,2,FALSE)="Projectile",Backdoors!N10,Backdoors!N9),0),"")</f>
        <v/>
      </c>
      <c r="GF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B62&gt;=0.45,VLOOKUP(Calculator!E23,tbSkills!DH3:DI6,2,FALSE)+IF(AND(Calculator!B8=TRUE,Backdoors!BI29=TRUE),VLOOKUP(Calculator!E23,tbSkills!DH3:DJ6,3,FALSE),0),0))&gt;=100,100,(Backdoors!AI12+IF(GB62&gt;=0.45,VLOOKUP(Calculator!E23,tbSkills!DH3:DI6,2,FALSE)+IF(AND(Calculator!B8=TRUE,Backdoors!BI29=TRUE),VLOOKUP(Calculator!E23,tbSkills!DH3:DJ6,3,FALSE),0),0)))/100)),1))*IF(VLOOKUP(A62,tbMoveset!A2:K112,11,FALSE)=TRUE,Backdoors!AC5,1))*GC62,0),"")</f>
        <v>0</v>
      </c>
      <c r="GG62" s="49">
        <f>VLOOKUP(A62,tbMoveset!A2:G112,7,FALSE)*IFERROR(IF(Backdoors!AI12&gt;=0,1+(IF(Calculator!E40&gt;0,VLOOKUP(Calculator!E40,tbSkills!AI3:AJ5,2,FALSE),Backdoors!AL4)*(IF((Backdoors!AI12+IF(GB62&gt;=0.45,VLOOKUP(Calculator!E23,tbSkills!DH3:DI6,2,FALSE)+IF(AND(Calculator!B8=TRUE,Backdoors!BI29=TRUE),VLOOKUP(Calculator!E23,tbSkills!DH3:DJ6,3,FALSE),0),0))&gt;=100,100,(Backdoors!AI12+IF(GB62&gt;=0.45,VLOOKUP(Calculator!E23,tbSkills!DH3:DI6,2,FALSE)+IF(AND(Calculator!B8=TRUE,Backdoors!BI29=TRUE),VLOOKUP(Calculator!E23,tbSkills!DH3:DJ6,3,FALSE),0),0)))/100)),1),1)</f>
        <v>0.5</v>
      </c>
      <c r="GH62" s="87">
        <f t="shared" si="19"/>
        <v>0</v>
      </c>
      <c r="GI62" s="86" t="str">
        <f>IFERROR(IF(VLOOKUP(A62,tbMoveset!A2:B112,2,FALSE)="Sever",Backdoors!AY30/100,IF(VLOOKUP(A62,tbMoveset!A2:B112,2,FALSE)="Blunt",Backdoors!AZ30/100,Backdoors!BA30/100)),"")</f>
        <v/>
      </c>
      <c r="GJ62" s="49">
        <f>IFERROR(IF(VLOOKUP(tbMoveset!A62,tbMoveset!A2:H112,8,FALSE)="Other",IF(VLOOKUP(tbMoveset!A62,tbMoveset!A2:I112,9,FALSE)="Fire",Backdoors!BB30,IF(VLOOKUP(tbMoveset!A62,tbMoveset!A2:I112,9,FALSE)="Water",Backdoors!BC30,IF(VLOOKUP(tbMoveset!A62,tbMoveset!A2:I112,9,FALSE)="Thunder",Backdoors!BD30,IF(VLOOKUP(tbMoveset!A62,tbMoveset!A2:I112,9,FALSE)="Ice",Backdoors!BE30,IF(VLOOKUP(tbMoveset!A62,tbMoveset!A2:I112,9,FALSE)="Dragon",Backdoors!BF30,Backdoors!BG30)))))/100,Backdoors!BG30/100),"")</f>
        <v>0</v>
      </c>
      <c r="GK62" s="49">
        <f>IFERROR(IF(VLOOKUP(A62,tbMoveset!A2:J112,10,FALSE)=TRUE,IF((Backdoors!AI12+IF(GI62&gt;=0.45,VLOOKUP(Calculator!E23,tbSkills!DH3:DI6,2,FALSE)+IF(AND(Calculator!B8=TRUE,Backdoors!BI30=TRUE),VLOOKUP(Calculator!E23,tbSkills!DH3:DJ6,3,FALSE),0),0))&gt;=0,1+(Backdoors!AL2*(IF((Backdoors!AI12+IF(GI62&gt;=0.45,VLOOKUP(Calculator!E23,tbSkills!DH3:DI6,2,FALSE)+IF(AND(Calculator!B8=TRUE,Backdoors!BI30=TRUE),VLOOKUP(Calculator!E23,tbSkills!DH3:DJ6,3,FALSE),0),0))&gt;=100,100,(Backdoors!AI12+IF(GI62&gt;=0.45,VLOOKUP(Calculator!E23,tbSkills!DH3:DI6,2,FALSE)+IF(AND(Calculator!B8=TRUE,Backdoors!BI30=TRUE),VLOOKUP(Calculator!E23,tbSkills!DH3:DJ6,3,FALSE),0),0)))/100)),(1-(0.25*((-Backdoors!AI12-IF(GI62&gt;=0.45,VLOOKUP(Calculator!E23,tbSkills!DH3:DI6,2,FALSE)+IF(AND(Calculator!B8=TRUE,Backdoors!BI30=TRUE),VLOOKUP(Calculator!E23,tbSkills!DH3:DJ6,3,FALSE),0),0))/100)))),1),"")</f>
        <v>1</v>
      </c>
      <c r="GL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I62)*GK62)*(VLOOKUP(A62,tbMoveset!A2:C112,3,FALSE)/100)*IF(VLOOKUP(A62,tbMoveset!A2:B112,2,FALSE)="Projectile",Backdoors!N10,Backdoors!N9),0),"")</f>
        <v/>
      </c>
      <c r="GM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I62&gt;=0.45,VLOOKUP(Calculator!E23,tbSkills!DH3:DI6,2,FALSE)+IF(AND(Calculator!B8=TRUE,Backdoors!BI30=TRUE),VLOOKUP(Calculator!E23,tbSkills!DH3:DJ6,3,FALSE),0),0))&gt;=100,100,(Backdoors!AI12+IF(GI62&gt;=0.45,VLOOKUP(Calculator!E23,tbSkills!DH3:DI6,2,FALSE)+IF(AND(Calculator!B8=TRUE,Backdoors!BI30=TRUE),VLOOKUP(Calculator!E23,tbSkills!DH3:DJ6,3,FALSE),0),0)))/100)),1))*IF(VLOOKUP(A62,tbMoveset!A2:K112,11,FALSE)=TRUE,Backdoors!AC5,1))*GJ62,0),"")</f>
        <v>0</v>
      </c>
      <c r="GN62" s="49">
        <f>VLOOKUP(A62,tbMoveset!A2:G112,7,FALSE)*IFERROR(IF(Backdoors!AI12&gt;=0,1+(IF(Calculator!E40&gt;0,VLOOKUP(Calculator!E40,tbSkills!AI3:AJ5,2,FALSE),Backdoors!AL4)*(IF((Backdoors!AI12+IF(GI62&gt;=0.45,VLOOKUP(Calculator!E23,tbSkills!DH3:DI6,2,FALSE)+IF(AND(Calculator!B8=TRUE,Backdoors!BI30=TRUE),VLOOKUP(Calculator!E23,tbSkills!DH3:DJ6,3,FALSE),0),0))&gt;=100,100,(Backdoors!AI12+IF(GI62&gt;=0.45,VLOOKUP(Calculator!E23,tbSkills!DH3:DI6,2,FALSE)+IF(AND(Calculator!B8=TRUE,Backdoors!BI30=TRUE),VLOOKUP(Calculator!E23,tbSkills!DH3:DJ6,3,FALSE),0),0)))/100)),1),1)</f>
        <v>0.5</v>
      </c>
      <c r="GO62" s="87">
        <f t="shared" si="20"/>
        <v>0</v>
      </c>
      <c r="GP62" s="86" t="str">
        <f>IFERROR(IF(VLOOKUP(A62,tbMoveset!A2:B112,2,FALSE)="Sever",Backdoors!AY31/100,IF(VLOOKUP(A62,tbMoveset!A2:B112,2,FALSE)="Blunt",Backdoors!AZ31/100,Backdoors!BA31/100)),"")</f>
        <v/>
      </c>
      <c r="GQ62" s="49">
        <f>IFERROR(IF(VLOOKUP(tbMoveset!A62,tbMoveset!A2:H112,8,FALSE)="Other",IF(VLOOKUP(tbMoveset!A62,tbMoveset!A2:I112,9,FALSE)="Fire",Backdoors!BB31,IF(VLOOKUP(tbMoveset!A62,tbMoveset!A2:I112,9,FALSE)="Water",Backdoors!BC31,IF(VLOOKUP(tbMoveset!A62,tbMoveset!A2:I112,9,FALSE)="Thunder",Backdoors!BD31,IF(VLOOKUP(tbMoveset!A62,tbMoveset!A2:I112,9,FALSE)="Ice",Backdoors!BE31,IF(VLOOKUP(tbMoveset!A62,tbMoveset!A2:I112,9,FALSE)="Dragon",Backdoors!BF31,Backdoors!BG31)))))/100,Backdoors!BG31/100),"")</f>
        <v>0</v>
      </c>
      <c r="GR62" s="49">
        <f>IFERROR(IF(VLOOKUP(A62,tbMoveset!A2:J112,10,FALSE)=TRUE,IF((Backdoors!AI12+IF(GP62&gt;=0.45,VLOOKUP(Calculator!E23,tbSkills!DH3:DI6,2,FALSE)+IF(AND(Calculator!B8=TRUE,Backdoors!BI31=TRUE),VLOOKUP(Calculator!E23,tbSkills!DH3:DJ6,3,FALSE),0),0))&gt;=0,1+(Backdoors!AL2*(IF((Backdoors!AI12+IF(GP62&gt;=0.45,VLOOKUP(Calculator!E23,tbSkills!DH3:DI6,2,FALSE)+IF(AND(Calculator!B8=TRUE,Backdoors!BI31=TRUE),VLOOKUP(Calculator!E23,tbSkills!DH3:DJ6,3,FALSE),0),0))&gt;=100,100,(Backdoors!AI12+IF(GP62&gt;=0.45,VLOOKUP(Calculator!E23,tbSkills!DH3:DI6,2,FALSE)+IF(AND(Calculator!B8=TRUE,Backdoors!BI31=TRUE),VLOOKUP(Calculator!E23,tbSkills!DH3:DJ6,3,FALSE),0),0)))/100)),(1-(0.25*((-Backdoors!AI12-IF(GP62&gt;=0.45,VLOOKUP(Calculator!E23,tbSkills!DH3:DI6,2,FALSE)+IF(AND(Calculator!B8=TRUE,Backdoors!BI31=TRUE),VLOOKUP(Calculator!E23,tbSkills!DH3:DJ6,3,FALSE),0),0))/100)))),1),"")</f>
        <v>1</v>
      </c>
      <c r="GS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P62)*GR62)*(VLOOKUP(A62,tbMoveset!A2:C112,3,FALSE)/100)*IF(VLOOKUP(A62,tbMoveset!A2:B112,2,FALSE)="Projectile",Backdoors!N10,Backdoors!N9),0),"")</f>
        <v/>
      </c>
      <c r="GT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P62&gt;=0.45,VLOOKUP(Calculator!E23,tbSkills!DH3:DI6,2,FALSE)+IF(AND(Calculator!B8=TRUE,Backdoors!BI31=TRUE),VLOOKUP(Calculator!E23,tbSkills!DH3:DJ6,3,FALSE),0),0))&gt;=100,100,(Backdoors!AI12+IF(GP62&gt;=0.45,VLOOKUP(Calculator!E23,tbSkills!DH3:DI6,2,FALSE)+IF(AND(Calculator!B8=TRUE,Backdoors!BI31=TRUE),VLOOKUP(Calculator!E23,tbSkills!DH3:DJ6,3,FALSE),0),0)))/100)),1))*IF(VLOOKUP(A62,tbMoveset!A2:K112,11,FALSE)=TRUE,Backdoors!AC5,1))*GQ62,0),"")</f>
        <v>0</v>
      </c>
      <c r="GU62" s="49">
        <f>VLOOKUP(A62,tbMoveset!A2:G112,7,FALSE)*IFERROR(IF(Backdoors!AI12&gt;=0,1+(IF(Calculator!E40&gt;0,VLOOKUP(Calculator!E40,tbSkills!AI3:AJ5,2,FALSE),Backdoors!AL4)*(IF((Backdoors!AI12+IF(GP62&gt;=0.45,VLOOKUP(Calculator!E23,tbSkills!DH3:DI6,2,FALSE)+IF(AND(Calculator!B8=TRUE,Backdoors!BI31=TRUE),VLOOKUP(Calculator!E23,tbSkills!DH3:DJ6,3,FALSE),0),0))&gt;=100,100,(Backdoors!AI12+IF(GP62&gt;=0.45,VLOOKUP(Calculator!E23,tbSkills!DH3:DI6,2,FALSE)+IF(AND(Calculator!B8=TRUE,Backdoors!BI31=TRUE),VLOOKUP(Calculator!E23,tbSkills!DH3:DJ6,3,FALSE),0),0)))/100)),1),1)</f>
        <v>0.5</v>
      </c>
      <c r="GV62" s="87">
        <f t="shared" si="21"/>
        <v>0</v>
      </c>
      <c r="GW62" s="86" t="str">
        <f>IFERROR(IF(VLOOKUP(A62,tbMoveset!A2:B112,2,FALSE)="Sever",Backdoors!AY32/100,IF(VLOOKUP(A62,tbMoveset!A2:B112,2,FALSE)="Blunt",Backdoors!AZ32/100,Backdoors!BA32/100)),"")</f>
        <v/>
      </c>
      <c r="GX62" s="49">
        <f>IFERROR(IF(VLOOKUP(tbMoveset!A62,tbMoveset!A2:H112,8,FALSE)="Other",IF(VLOOKUP(tbMoveset!A62,tbMoveset!A2:I112,9,FALSE)="Fire",Backdoors!BB32,IF(VLOOKUP(tbMoveset!A62,tbMoveset!A2:I112,9,FALSE)="Water",Backdoors!BC32,IF(VLOOKUP(tbMoveset!A62,tbMoveset!A2:I112,9,FALSE)="Thunder",Backdoors!BD32,IF(VLOOKUP(tbMoveset!A62,tbMoveset!A2:I112,9,FALSE)="Ice",Backdoors!BE32,IF(VLOOKUP(tbMoveset!A62,tbMoveset!A2:I112,9,FALSE)="Dragon",Backdoors!BF32,Backdoors!BG32)))))/100,Backdoors!BG32/100),"")</f>
        <v>0</v>
      </c>
      <c r="GY62" s="49">
        <f>IFERROR(IF(VLOOKUP(A62,tbMoveset!A2:J112,10,FALSE)=TRUE,IF((Backdoors!AI12+IF(GW62&gt;=0.45,VLOOKUP(Calculator!E23,tbSkills!DH3:DI6,2,FALSE)+IF(AND(Calculator!B8=TRUE,Backdoors!BI32=TRUE),VLOOKUP(Calculator!E23,tbSkills!DH3:DJ6,3,FALSE),0),0))&gt;=0,1+(Backdoors!AL2*(IF((Backdoors!AI12+IF(GW62&gt;=0.45,VLOOKUP(Calculator!E23,tbSkills!DH3:DI6,2,FALSE)+IF(AND(Calculator!B8=TRUE,Backdoors!BI32=TRUE),VLOOKUP(Calculator!E23,tbSkills!DH3:DJ6,3,FALSE),0),0))&gt;=100,100,(Backdoors!AI12+IF(GW62&gt;=0.45,VLOOKUP(Calculator!E23,tbSkills!DH3:DI6,2,FALSE)+IF(AND(Calculator!B8=TRUE,Backdoors!BI32=TRUE),VLOOKUP(Calculator!E23,tbSkills!DH3:DJ6,3,FALSE),0),0)))/100)),(1-(0.25*((-Backdoors!AI12-IF(GW62&gt;=0.45,VLOOKUP(Calculator!E23,tbSkills!DH3:DI6,2,FALSE)+IF(AND(Calculator!B8=TRUE,Backdoors!BI32=TRUE),VLOOKUP(Calculator!E23,tbSkills!DH3:DJ6,3,FALSE),0),0))/100)))),1),"")</f>
        <v>1</v>
      </c>
      <c r="GZ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W62)*GY62)*(VLOOKUP(A62,tbMoveset!A2:C112,3,FALSE)/100)*IF(VLOOKUP(A62,tbMoveset!A2:B112,2,FALSE)="Projectile",Backdoors!N10,Backdoors!N9),0),"")</f>
        <v/>
      </c>
      <c r="HA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W62&gt;=0.45,VLOOKUP(Calculator!E23,tbSkills!DH3:DI6,2,FALSE)+IF(AND(Calculator!B8=TRUE,Backdoors!BI32=TRUE),VLOOKUP(Calculator!E23,tbSkills!DH3:DJ6,3,FALSE),0),0))&gt;=100,100,(Backdoors!AI12+IF(GW62&gt;=0.45,VLOOKUP(Calculator!E23,tbSkills!DH3:DI6,2,FALSE)+IF(AND(Calculator!B8=TRUE,Backdoors!BI32=TRUE),VLOOKUP(Calculator!E23,tbSkills!DH3:DJ6,3,FALSE),0),0)))/100)),1))*IF(VLOOKUP(A62,tbMoveset!A2:K112,11,FALSE)=TRUE,Backdoors!AC5,1))*GX62,0),"")</f>
        <v>0</v>
      </c>
      <c r="HB62" s="49">
        <f>VLOOKUP(A62,tbMoveset!A2:G112,7,FALSE)*IFERROR(IF(Backdoors!AI12&gt;=0,1+(IF(Calculator!E40&gt;0,VLOOKUP(Calculator!E40,tbSkills!AI3:AJ5,2,FALSE),Backdoors!AL4)*(IF((Backdoors!AI12+IF(GW62&gt;=0.45,VLOOKUP(Calculator!E23,tbSkills!DH3:DI6,2,FALSE)+IF(AND(Calculator!B8=TRUE,Backdoors!BI32=TRUE),VLOOKUP(Calculator!E23,tbSkills!DH3:DJ6,3,FALSE),0),0))&gt;=100,100,(Backdoors!AI12+IF(GW62&gt;=0.45,VLOOKUP(Calculator!E23,tbSkills!DH3:DI6,2,FALSE)+IF(AND(Calculator!B8=TRUE,Backdoors!BI32=TRUE),VLOOKUP(Calculator!E23,tbSkills!DH3:DJ6,3,FALSE),0),0)))/100)),1),1)</f>
        <v>0.5</v>
      </c>
      <c r="HC62" s="87">
        <f t="shared" si="22"/>
        <v>0</v>
      </c>
      <c r="HD62" s="86" t="str">
        <f>IFERROR(IF(VLOOKUP(A62,tbMoveset!A2:B112,2,FALSE)="Sever",Backdoors!AY33/100,IF(VLOOKUP(A62,tbMoveset!A2:B112,2,FALSE)="Blunt",Backdoors!AZ33/100,Backdoors!BA33/100)),"")</f>
        <v/>
      </c>
      <c r="HE62" s="49">
        <f>IFERROR(IF(VLOOKUP(tbMoveset!A62,tbMoveset!A2:H112,8,FALSE)="Other",IF(VLOOKUP(tbMoveset!A62,tbMoveset!A2:I112,9,FALSE)="Fire",Backdoors!BB33,IF(VLOOKUP(tbMoveset!A62,tbMoveset!A2:I112,9,FALSE)="Water",Backdoors!BC33,IF(VLOOKUP(tbMoveset!A62,tbMoveset!A2:I112,9,FALSE)="Thunder",Backdoors!BD33,IF(VLOOKUP(tbMoveset!A62,tbMoveset!A2:I112,9,FALSE)="Ice",Backdoors!BE33,IF(VLOOKUP(tbMoveset!A62,tbMoveset!A2:I112,9,FALSE)="Dragon",Backdoors!BF33,Backdoors!BG33)))))/100,Backdoors!BG33/100),"")</f>
        <v>0</v>
      </c>
      <c r="HF62" s="49">
        <f>IFERROR(IF(VLOOKUP(A62,tbMoveset!A2:J112,10,FALSE)=TRUE,IF((Backdoors!AI12+IF(HD62&gt;=0.45,VLOOKUP(Calculator!E23,tbSkills!DH3:DI6,2,FALSE)+IF(AND(Calculator!B8=TRUE,Backdoors!BI33=TRUE),VLOOKUP(Calculator!E23,tbSkills!DH3:DJ6,3,FALSE),0),0))&gt;=0,1+(Backdoors!AL2*(IF((Backdoors!AI12+IF(HD62&gt;=0.45,VLOOKUP(Calculator!E23,tbSkills!DH3:DI6,2,FALSE)+IF(AND(Calculator!B8=TRUE,Backdoors!BI33=TRUE),VLOOKUP(Calculator!E23,tbSkills!DH3:DJ6,3,FALSE),0),0))&gt;=100,100,(Backdoors!AI12+IF(HD62&gt;=0.45,VLOOKUP(Calculator!E23,tbSkills!DH3:DI6,2,FALSE)+IF(AND(Calculator!B8=TRUE,Backdoors!BI33=TRUE),VLOOKUP(Calculator!E23,tbSkills!DH3:DJ6,3,FALSE),0),0)))/100)),(1-(0.25*((-Backdoors!AI12-IF(HD62&gt;=0.45,VLOOKUP(Calculator!E23,tbSkills!DH3:DI6,2,FALSE)+IF(AND(Calculator!B8=TRUE,Backdoors!BI33=TRUE),VLOOKUP(Calculator!E23,tbSkills!DH3:DJ6,3,FALSE),0),0))/100)))),1),"")</f>
        <v>1</v>
      </c>
      <c r="HG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D62)*HF62)*(VLOOKUP(A62,tbMoveset!A2:C112,3,FALSE)/100)*IF(VLOOKUP(A62,tbMoveset!A2:B112,2,FALSE)="Projectile",Backdoors!N10,Backdoors!N9),0),"")</f>
        <v/>
      </c>
      <c r="HH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D62&gt;=0.45,VLOOKUP(Calculator!E23,tbSkills!DH3:DI6,2,FALSE)+IF(AND(Calculator!B8=TRUE,Backdoors!BI33=TRUE),VLOOKUP(Calculator!E23,tbSkills!DH3:DJ6,3,FALSE),0),0))&gt;=100,100,(Backdoors!AI12+IF(HD62&gt;=0.45,VLOOKUP(Calculator!E23,tbSkills!DH3:DI6,2,FALSE)+IF(AND(Calculator!B8=TRUE,Backdoors!BI33=TRUE),VLOOKUP(Calculator!E23,tbSkills!DH3:DJ6,3,FALSE),0),0)))/100)),1))*IF(VLOOKUP(A62,tbMoveset!A2:K112,11,FALSE)=TRUE,Backdoors!AC5,1))*HE62,0),"")</f>
        <v>0</v>
      </c>
      <c r="HI62" s="49">
        <f>VLOOKUP(A62,tbMoveset!A2:G112,7,FALSE)*IFERROR(IF(Backdoors!AI12&gt;=0,1+(IF(Calculator!E40&gt;0,VLOOKUP(Calculator!E40,tbSkills!AI3:AJ5,2,FALSE),Backdoors!AL4)*(IF((Backdoors!AI12+IF(HD62&gt;=0.45,VLOOKUP(Calculator!E23,tbSkills!DH3:DI6,2,FALSE)+IF(AND(Calculator!B8=TRUE,Backdoors!BI33=TRUE),VLOOKUP(Calculator!E23,tbSkills!DH3:DJ6,3,FALSE),0),0))&gt;=100,100,(Backdoors!AI12+IF(HD62&gt;=0.45,VLOOKUP(Calculator!E23,tbSkills!DH3:DI6,2,FALSE)+IF(AND(Calculator!B8=TRUE,Backdoors!BI33=TRUE),VLOOKUP(Calculator!E23,tbSkills!DH3:DJ6,3,FALSE),0),0)))/100)),1),1)</f>
        <v>0.5</v>
      </c>
      <c r="HJ62" s="87">
        <f t="shared" si="23"/>
        <v>0</v>
      </c>
      <c r="HK62" s="86" t="str">
        <f>IFERROR(IF(VLOOKUP(A62,tbMoveset!A2:B112,2,FALSE)="Sever",Backdoors!AY34/100,IF(VLOOKUP(A62,tbMoveset!A2:B112,2,FALSE)="Blunt",Backdoors!AZ34/100,Backdoors!BA34/100)),"")</f>
        <v/>
      </c>
      <c r="HL62" s="49">
        <f>IFERROR(IF(VLOOKUP(tbMoveset!A62,tbMoveset!A2:H112,8,FALSE)="Other",IF(VLOOKUP(tbMoveset!A62,tbMoveset!A2:I112,9,FALSE)="Fire",Backdoors!BB34,IF(VLOOKUP(tbMoveset!A62,tbMoveset!A2:I112,9,FALSE)="Water",Backdoors!BC34,IF(VLOOKUP(tbMoveset!A62,tbMoveset!A2:I112,9,FALSE)="Thunder",Backdoors!BD34,IF(VLOOKUP(tbMoveset!A62,tbMoveset!A2:I112,9,FALSE)="Ice",Backdoors!BE34,IF(VLOOKUP(tbMoveset!A62,tbMoveset!A2:I112,9,FALSE)="Dragon",Backdoors!BF34,Backdoors!BG34)))))/100,Backdoors!BG34/100),"")</f>
        <v>0</v>
      </c>
      <c r="HM62" s="49">
        <f>IFERROR(IF(VLOOKUP(A62,tbMoveset!A2:J112,10,FALSE)=TRUE,IF((Backdoors!AI12+IF(HK62&gt;=0.45,VLOOKUP(Calculator!E23,tbSkills!DH3:DI6,2,FALSE)+IF(AND(Calculator!B8=TRUE,Backdoors!BI34=TRUE),VLOOKUP(Calculator!E23,tbSkills!DH3:DJ6,3,FALSE),0),0))&gt;=0,1+(Backdoors!AL2*(IF((Backdoors!AI12+IF(HK62&gt;=0.45,VLOOKUP(Calculator!E23,tbSkills!DH3:DI6,2,FALSE)+IF(AND(Calculator!B8=TRUE,Backdoors!BI34=TRUE),VLOOKUP(Calculator!E23,tbSkills!DH3:DJ6,3,FALSE),0),0))&gt;=100,100,(Backdoors!AI12+IF(HK62&gt;=0.45,VLOOKUP(Calculator!E23,tbSkills!DH3:DI6,2,FALSE)+IF(AND(Calculator!B8=TRUE,Backdoors!BI34=TRUE),VLOOKUP(Calculator!E23,tbSkills!DH3:DJ6,3,FALSE),0),0)))/100)),(1-(0.25*((-Backdoors!AI12-IF(HK62&gt;=0.45,VLOOKUP(Calculator!E23,tbSkills!DH3:DI6,2,FALSE)+IF(AND(Calculator!B8=TRUE,Backdoors!BI34=TRUE),VLOOKUP(Calculator!E23,tbSkills!DH3:DJ6,3,FALSE),0),0))/100)))),1),"")</f>
        <v>1</v>
      </c>
      <c r="HN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K62)*HM62)*(VLOOKUP(A62,tbMoveset!A2:C112,3,FALSE)/100)*IF(VLOOKUP(A62,tbMoveset!A2:B112,2,FALSE)="Projectile",Backdoors!N10,Backdoors!N9),0),"")</f>
        <v/>
      </c>
      <c r="HO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K62&gt;=0.45,VLOOKUP(Calculator!E23,tbSkills!DH3:DI6,2,FALSE)+IF(AND(Calculator!B8=TRUE,Backdoors!BI34=TRUE),VLOOKUP(Calculator!E23,tbSkills!DH3:DJ6,3,FALSE),0),0))&gt;=100,100,(Backdoors!AI12+IF(HK62&gt;=0.45,VLOOKUP(Calculator!E23,tbSkills!DH3:DI6,2,FALSE)+IF(AND(Calculator!B8=TRUE,Backdoors!BI34=TRUE),VLOOKUP(Calculator!E23,tbSkills!DH3:DJ6,3,FALSE),0),0)))/100)),1))*IF(VLOOKUP(A62,tbMoveset!A2:K112,11,FALSE)=TRUE,Backdoors!AC5,1))*HL62,0),"")</f>
        <v>0</v>
      </c>
      <c r="HP62" s="49">
        <f>VLOOKUP(A62,tbMoveset!A2:G112,7,FALSE)*IFERROR(IF(Backdoors!AI12&gt;=0,1+(IF(Calculator!E40&gt;0,VLOOKUP(Calculator!E40,tbSkills!AI3:AJ5,2,FALSE),Backdoors!AL4)*(IF((Backdoors!AI12+IF(HK62&gt;=0.45,VLOOKUP(Calculator!E23,tbSkills!DH3:DI6,2,FALSE)+IF(AND(Calculator!B8=TRUE,Backdoors!BI34=TRUE),VLOOKUP(Calculator!E23,tbSkills!DH3:DJ6,3,FALSE),0),0))&gt;=100,100,(Backdoors!AI12+IF(HK62&gt;=0.45,VLOOKUP(Calculator!E23,tbSkills!DH3:DI6,2,FALSE)+IF(AND(Calculator!B8=TRUE,Backdoors!BI34=TRUE),VLOOKUP(Calculator!E23,tbSkills!DH3:DJ6,3,FALSE),0),0)))/100)),1),1)</f>
        <v>0.5</v>
      </c>
      <c r="HQ62" s="87">
        <f t="shared" si="24"/>
        <v>0</v>
      </c>
      <c r="HR62" s="86" t="str">
        <f>IFERROR(IF(VLOOKUP(A62,tbMoveset!A2:B112,2,FALSE)="Sever",Backdoors!AY35/100,IF(VLOOKUP(A62,tbMoveset!A2:B112,2,FALSE)="Blunt",Backdoors!AZ35/100,Backdoors!BA35/100)),"")</f>
        <v/>
      </c>
      <c r="HS62" s="49">
        <f>IFERROR(IF(VLOOKUP(tbMoveset!A62,tbMoveset!A2:H112,8,FALSE)="Other",IF(VLOOKUP(tbMoveset!A62,tbMoveset!A2:I112,9,FALSE)="Fire",Backdoors!BB35,IF(VLOOKUP(tbMoveset!A62,tbMoveset!A2:I112,9,FALSE)="Water",Backdoors!BC35,IF(VLOOKUP(tbMoveset!A62,tbMoveset!A2:I112,9,FALSE)="Thunder",Backdoors!BD35,IF(VLOOKUP(tbMoveset!A62,tbMoveset!A2:I112,9,FALSE)="Ice",Backdoors!BE35,IF(VLOOKUP(tbMoveset!A62,tbMoveset!A2:I112,9,FALSE)="Dragon",Backdoors!BF35,Backdoors!BG35)))))/100,Backdoors!BG35/100),"")</f>
        <v>0</v>
      </c>
      <c r="HT62" s="49">
        <f>IFERROR(IF(VLOOKUP(A62,tbMoveset!A2:J112,10,FALSE)=TRUE,IF((Backdoors!AI12+IF(HR62&gt;=0.45,VLOOKUP(Calculator!E23,tbSkills!DH3:DI6,2,FALSE)+IF(AND(Calculator!B8=TRUE,Backdoors!BI35=TRUE),VLOOKUP(Calculator!E23,tbSkills!DH3:DJ6,3,FALSE),0),0))&gt;=0,1+(Backdoors!AL2*(IF((Backdoors!AI12+IF(HR62&gt;=0.45,VLOOKUP(Calculator!E23,tbSkills!DH3:DI6,2,FALSE)+IF(AND(Calculator!B8=TRUE,Backdoors!BI35=TRUE),VLOOKUP(Calculator!E23,tbSkills!DH3:DJ6,3,FALSE),0),0))&gt;=100,100,(Backdoors!AI12+IF(HR62&gt;=0.45,VLOOKUP(Calculator!E23,tbSkills!DH3:DI6,2,FALSE)+IF(AND(Calculator!B8=TRUE,Backdoors!BI35=TRUE),VLOOKUP(Calculator!E23,tbSkills!DH3:DJ6,3,FALSE),0),0)))/100)),(1-(0.25*((-Backdoors!AI12-IF(HR62&gt;=0.45,VLOOKUP(Calculator!E23,tbSkills!DH3:DI6,2,FALSE)+IF(AND(Calculator!B8=TRUE,Backdoors!BI35=TRUE),VLOOKUP(Calculator!E23,tbSkills!DH3:DJ6,3,FALSE),0),0))/100)))),1),"")</f>
        <v>1</v>
      </c>
      <c r="HU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R62)*HT62)*(VLOOKUP(A62,tbMoveset!A2:C112,3,FALSE)/100)*IF(VLOOKUP(A62,tbMoveset!A2:B112,2,FALSE)="Projectile",Backdoors!N10,Backdoors!N9),0),"")</f>
        <v/>
      </c>
      <c r="HV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R62&gt;=0.45,VLOOKUP(Calculator!E23,tbSkills!DH3:DI6,2,FALSE)+IF(AND(Calculator!B8=TRUE,Backdoors!BI35=TRUE),VLOOKUP(Calculator!E23,tbSkills!DH3:DJ6,3,FALSE),0),0))&gt;=100,100,(Backdoors!AI12+IF(HR62&gt;=0.45,VLOOKUP(Calculator!E23,tbSkills!DH3:DI6,2,FALSE)+IF(AND(Calculator!B8=TRUE,Backdoors!BI35=TRUE),VLOOKUP(Calculator!E23,tbSkills!DH3:DJ6,3,FALSE),0),0)))/100)),1))*IF(VLOOKUP(A62,tbMoveset!A2:K112,11,FALSE)=TRUE,Backdoors!AC5,1))*HS62,0),"")</f>
        <v>0</v>
      </c>
      <c r="HW62" s="49">
        <f>VLOOKUP(A62,tbMoveset!A2:G112,7,FALSE)*IFERROR(IF(Backdoors!AI12&gt;=0,1+(IF(Calculator!E40&gt;0,VLOOKUP(Calculator!E40,tbSkills!AI3:AJ5,2,FALSE),Backdoors!AL4)*(IF((Backdoors!AI12+IF(HR62&gt;=0.45,VLOOKUP(Calculator!E23,tbSkills!DH3:DI6,2,FALSE)+IF(AND(Calculator!B8=TRUE,Backdoors!BI35=TRUE),VLOOKUP(Calculator!E23,tbSkills!DH3:DJ6,3,FALSE),0),0))&gt;=100,100,(Backdoors!AI12+IF(HR62&gt;=0.45,VLOOKUP(Calculator!E23,tbSkills!DH3:DI6,2,FALSE)+IF(AND(Calculator!B8=TRUE,Backdoors!BI35=TRUE),VLOOKUP(Calculator!E23,tbSkills!DH3:DJ6,3,FALSE),0),0)))/100)),1),1)</f>
        <v>0.5</v>
      </c>
      <c r="HX62" s="87">
        <f t="shared" si="25"/>
        <v>0</v>
      </c>
      <c r="HY62" s="86" t="str">
        <f>IFERROR(IF(VLOOKUP(A62,tbMoveset!A2:B112,2,FALSE)="Sever",Backdoors!AY36/100,IF(VLOOKUP(A62,tbMoveset!A2:B112,2,FALSE)="Blunt",Backdoors!AZ36/100,Backdoors!BA36/100)),"")</f>
        <v/>
      </c>
      <c r="HZ62" s="49">
        <f>IFERROR(IF(VLOOKUP(tbMoveset!A62,tbMoveset!A2:H112,8,FALSE)="Other",IF(VLOOKUP(tbMoveset!A62,tbMoveset!A2:I112,9,FALSE)="Fire",Backdoors!BB36,IF(VLOOKUP(tbMoveset!A62,tbMoveset!A2:I112,9,FALSE)="Water",Backdoors!BC36,IF(VLOOKUP(tbMoveset!A62,tbMoveset!A2:I112,9,FALSE)="Thunder",Backdoors!BD36,IF(VLOOKUP(tbMoveset!A62,tbMoveset!A2:I112,9,FALSE)="Ice",Backdoors!BE36,IF(VLOOKUP(tbMoveset!A62,tbMoveset!A2:I112,9,FALSE)="Dragon",Backdoors!BF36,Backdoors!BG36)))))/100,Backdoors!BG36/100),"")</f>
        <v>0</v>
      </c>
      <c r="IA62" s="49">
        <f>IFERROR(IF(VLOOKUP(A62,tbMoveset!A2:J112,10,FALSE)=TRUE,IF((Backdoors!AI12+IF(HY62&gt;=0.45,VLOOKUP(Calculator!E23,tbSkills!DH3:DI6,2,FALSE)+IF(AND(Calculator!B8=TRUE,Backdoors!BI36=TRUE),VLOOKUP(Calculator!E23,tbSkills!DH3:DJ6,3,FALSE),0),0))&gt;=0,1+(Backdoors!AL2*(IF((Backdoors!AI12+IF(HY62&gt;=0.45,VLOOKUP(Calculator!E23,tbSkills!DH3:DI6,2,FALSE)+IF(AND(Calculator!B8=TRUE,Backdoors!BI36=TRUE),VLOOKUP(Calculator!E23,tbSkills!DH3:DJ6,3,FALSE),0),0))&gt;=100,100,(Backdoors!AI12+IF(HY62&gt;=0.45,VLOOKUP(Calculator!E23,tbSkills!DH3:DI6,2,FALSE)+IF(AND(Calculator!B8=TRUE,Backdoors!BI36=TRUE),VLOOKUP(Calculator!E23,tbSkills!DH3:DJ6,3,FALSE),0),0)))/100)),(1-(0.25*((-Backdoors!AI12-IF(HY62&gt;=0.45,VLOOKUP(Calculator!E23,tbSkills!DH3:DI6,2,FALSE)+IF(AND(Calculator!B8=TRUE,Backdoors!BI36=TRUE),VLOOKUP(Calculator!E23,tbSkills!DH3:DJ6,3,FALSE),0),0))/100)))),1),"")</f>
        <v>1</v>
      </c>
      <c r="IB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Y62)*IA62)*(VLOOKUP(A62,tbMoveset!A2:C112,3,FALSE)/100)*IF(VLOOKUP(A62,tbMoveset!A2:B112,2,FALSE)="Projectile",Backdoors!N10,Backdoors!N9),0),"")</f>
        <v/>
      </c>
      <c r="IC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Y62&gt;=0.45,VLOOKUP(Calculator!E23,tbSkills!DH3:DI6,2,FALSE)+IF(AND(Calculator!B8=TRUE,Backdoors!BI36=TRUE),VLOOKUP(Calculator!E23,tbSkills!DH3:DJ6,3,FALSE),0),0))&gt;=100,100,(Backdoors!AI12+IF(HY62&gt;=0.45,VLOOKUP(Calculator!E23,tbSkills!DH3:DI6,2,FALSE)+IF(AND(Calculator!B8=TRUE,Backdoors!BI36=TRUE),VLOOKUP(Calculator!E23,tbSkills!DH3:DJ6,3,FALSE),0),0)))/100)),1))*IF(VLOOKUP(A62,tbMoveset!A2:K112,11,FALSE)=TRUE,Backdoors!AC5,1))*HZ62,0),"")</f>
        <v>0</v>
      </c>
      <c r="ID62" s="49">
        <f>VLOOKUP(A62,tbMoveset!A2:G112,7,FALSE)*IFERROR(IF(Backdoors!AI12&gt;=0,1+(IF(Calculator!E40&gt;0,VLOOKUP(Calculator!E40,tbSkills!AI3:AJ5,2,FALSE),Backdoors!AL4)*(IF((Backdoors!AI12+IF(HY62&gt;=0.45,VLOOKUP(Calculator!E23,tbSkills!DH3:DI6,2,FALSE)+IF(AND(Calculator!B8=TRUE,Backdoors!BI36=TRUE),VLOOKUP(Calculator!E23,tbSkills!DH3:DJ6,3,FALSE),0),0))&gt;=100,100,(Backdoors!AI12+IF(HY62&gt;=0.45,VLOOKUP(Calculator!E23,tbSkills!DH3:DI6,2,FALSE)+IF(AND(Calculator!B8=TRUE,Backdoors!BI36=TRUE),VLOOKUP(Calculator!E23,tbSkills!DH3:DJ6,3,FALSE),0),0)))/100)),1),1)</f>
        <v>0.5</v>
      </c>
      <c r="IE62" s="87">
        <f t="shared" si="26"/>
        <v>0</v>
      </c>
      <c r="IF62" s="86" t="str">
        <f>IFERROR(IF(VLOOKUP(A62,tbMoveset!A2:B112,2,FALSE)="Sever",Backdoors!AY37/100,IF(VLOOKUP(A62,tbMoveset!A2:B112,2,FALSE)="Blunt",Backdoors!AZ37/100,Backdoors!BA37/100)),"")</f>
        <v/>
      </c>
      <c r="IG62" s="49">
        <f>IFERROR(IF(VLOOKUP(tbMoveset!A62,tbMoveset!A2:H112,8,FALSE)="Other",IF(VLOOKUP(tbMoveset!A62,tbMoveset!A2:I112,9,FALSE)="Fire",Backdoors!BB37,IF(VLOOKUP(tbMoveset!A62,tbMoveset!A2:I112,9,FALSE)="Water",Backdoors!BC37,IF(VLOOKUP(tbMoveset!A62,tbMoveset!A2:I112,9,FALSE)="Thunder",Backdoors!BD37,IF(VLOOKUP(tbMoveset!A62,tbMoveset!A2:I112,9,FALSE)="Ice",Backdoors!BE37,IF(VLOOKUP(tbMoveset!A62,tbMoveset!A2:I112,9,FALSE)="Dragon",Backdoors!BF37,Backdoors!BG37)))))/100,Backdoors!BG37/100),"")</f>
        <v>0</v>
      </c>
      <c r="IH62" s="49">
        <f>IFERROR(IF(VLOOKUP(A62,tbMoveset!A2:J112,10,FALSE)=TRUE,IF((Backdoors!AI12+IF(IF62&gt;=0.45,VLOOKUP(Calculator!E23,tbSkills!DH3:DI6,2,FALSE)+IF(AND(Calculator!B8=TRUE,Backdoors!BI37=TRUE),VLOOKUP(Calculator!E23,tbSkills!DH3:DJ6,3,FALSE),0),0))&gt;=0,1+(Backdoors!AL2*(IF((Backdoors!AI12+IF(IF62&gt;=0.45,VLOOKUP(Calculator!E23,tbSkills!DH3:DI6,2,FALSE)+IF(AND(Calculator!B8=TRUE,Backdoors!BI37=TRUE),VLOOKUP(Calculator!E23,tbSkills!DH3:DJ6,3,FALSE),0),0))&gt;=100,100,(Backdoors!AI12+IF(IF62&gt;=0.45,VLOOKUP(Calculator!E23,tbSkills!DH3:DI6,2,FALSE)+IF(AND(Calculator!B8=TRUE,Backdoors!BI37=TRUE),VLOOKUP(Calculator!E23,tbSkills!DH3:DJ6,3,FALSE),0),0)))/100)),(1-(0.25*((-Backdoors!AI12-IF(IF62&gt;=0.45,VLOOKUP(Calculator!E23,tbSkills!DH3:DI6,2,FALSE)+IF(AND(Calculator!B8=TRUE,Backdoors!BI37=TRUE),VLOOKUP(Calculator!E23,tbSkills!DH3:DJ6,3,FALSE),0),0))/100)))),1),"")</f>
        <v>1</v>
      </c>
      <c r="II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F62)*IH62)*(VLOOKUP(A62,tbMoveset!A2:C112,3,FALSE)/100)*IF(VLOOKUP(A62,tbMoveset!A2:B112,2,FALSE)="Projectile",Backdoors!N10,Backdoors!N9),0),"")</f>
        <v/>
      </c>
      <c r="IJ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IF62&gt;=0.45,VLOOKUP(Calculator!E23,tbSkills!DH3:DI6,2,FALSE)+IF(AND(Calculator!B8=TRUE,Backdoors!BI37=TRUE),VLOOKUP(Calculator!E23,tbSkills!DH3:DJ6,3,FALSE),0),0))&gt;=100,100,(Backdoors!AI12+IF(IF62&gt;=0.45,VLOOKUP(Calculator!E23,tbSkills!DH3:DI6,2,FALSE)+IF(AND(Calculator!B8=TRUE,Backdoors!BI37=TRUE),VLOOKUP(Calculator!E23,tbSkills!DH3:DJ6,3,FALSE),0),0)))/100)),1))*IF(VLOOKUP(A62,tbMoveset!A2:K112,11,FALSE)=TRUE,Backdoors!AC5,1))*IG62,0),"")</f>
        <v>0</v>
      </c>
      <c r="IK62" s="49">
        <f>VLOOKUP(A62,tbMoveset!A2:G112,7,FALSE)*IFERROR(IF(Backdoors!AI12&gt;=0,1+(IF(Calculator!E40&gt;0,VLOOKUP(Calculator!E40,tbSkills!AI3:AJ5,2,FALSE),Backdoors!AL4)*(IF((Backdoors!AI12+IF(IF62&gt;=0.45,VLOOKUP(Calculator!E23,tbSkills!DH3:DI6,2,FALSE)+IF(AND(Calculator!B8=TRUE,Backdoors!BI37=TRUE),VLOOKUP(Calculator!E23,tbSkills!DH3:DJ6,3,FALSE),0),0))&gt;=100,100,(Backdoors!AI12+IF(IF62&gt;=0.45,VLOOKUP(Calculator!E23,tbSkills!DH3:DI6,2,FALSE)+IF(AND(Calculator!B8=TRUE,Backdoors!BI37=TRUE),VLOOKUP(Calculator!E23,tbSkills!DH3:DJ6,3,FALSE),0),0)))/100)),1),1)</f>
        <v>0.5</v>
      </c>
      <c r="IL62" s="87">
        <f t="shared" si="27"/>
        <v>0</v>
      </c>
      <c r="IM62" s="86" t="str">
        <f>IFERROR(IF(VLOOKUP(A62,tbMoveset!A2:B112,2,FALSE)="Sever",Backdoors!AY38/100,IF(VLOOKUP(A62,tbMoveset!A2:B112,2,FALSE)="Blunt",Backdoors!AZ38/100,Backdoors!BA38/100)),"")</f>
        <v/>
      </c>
      <c r="IN62" s="49">
        <f>IFERROR(IF(VLOOKUP(tbMoveset!A62,tbMoveset!A2:H112,8,FALSE)="Other",IF(VLOOKUP(tbMoveset!A62,tbMoveset!A2:I112,9,FALSE)="Fire",Backdoors!BB38,IF(VLOOKUP(tbMoveset!A62,tbMoveset!A2:I112,9,FALSE)="Water",Backdoors!BC38,IF(VLOOKUP(tbMoveset!A62,tbMoveset!A2:I112,9,FALSE)="Thunder",Backdoors!BD38,IF(VLOOKUP(tbMoveset!A62,tbMoveset!A2:I112,9,FALSE)="Ice",Backdoors!BE38,IF(VLOOKUP(tbMoveset!A62,tbMoveset!A2:I112,9,FALSE)="Dragon",Backdoors!BF38,Backdoors!BG38)))))/100,Backdoors!BG38/100),"")</f>
        <v>0</v>
      </c>
      <c r="IO62" s="49">
        <f>IFERROR(IF(VLOOKUP(A62,tbMoveset!A2:J112,10,FALSE)=TRUE,IF((Backdoors!AI12+IF(IM62&gt;=0.45,VLOOKUP(Calculator!E23,tbSkills!DH3:DI6,2,FALSE)+IF(AND(Calculator!B8=TRUE,Backdoors!BI38=TRUE),VLOOKUP(Calculator!E23,tbSkills!DH3:DJ6,3,FALSE),0),0))&gt;=0,1+(Backdoors!AL2*(IF((Backdoors!AI12+IF(IM62&gt;=0.45,VLOOKUP(Calculator!E23,tbSkills!DH3:DI6,2,FALSE)+IF(AND(Calculator!B8=TRUE,Backdoors!BI38=TRUE),VLOOKUP(Calculator!E23,tbSkills!DH3:DJ6,3,FALSE),0),0))&gt;=100,100,(Backdoors!AI12+IF(IM62&gt;=0.45,VLOOKUP(Calculator!E23,tbSkills!DH3:DI6,2,FALSE)+IF(AND(Calculator!B8=TRUE,Backdoors!BI38=TRUE),VLOOKUP(Calculator!E23,tbSkills!DH3:DJ6,3,FALSE),0),0)))/100)),(1-(0.25*((-Backdoors!AI12-IF(IM62&gt;=0.45,VLOOKUP(Calculator!E23,tbSkills!DH3:DI6,2,FALSE)+IF(AND(Calculator!B8=TRUE,Backdoors!BI38=TRUE),VLOOKUP(Calculator!E23,tbSkills!DH3:DJ6,3,FALSE),0),0))/100)))),1),"")</f>
        <v>1</v>
      </c>
      <c r="IP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M62)*IO62)*(VLOOKUP(A62,tbMoveset!A2:C112,3,FALSE)/100)*IF(VLOOKUP(A62,tbMoveset!A2:B112,2,FALSE)="Projectile",Backdoors!N10,Backdoors!N9),0),"")</f>
        <v/>
      </c>
      <c r="IQ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IM62&gt;=0.45,VLOOKUP(Calculator!E23,tbSkills!DH3:DI6,2,FALSE)+IF(AND(Calculator!B8=TRUE,Backdoors!BI38=TRUE),VLOOKUP(Calculator!E23,tbSkills!DH3:DJ6,3,FALSE),0),0))&gt;=100,100,(Backdoors!AI12+IF(IM62&gt;=0.45,VLOOKUP(Calculator!E23,tbSkills!DH3:DI6,2,FALSE)+IF(AND(Calculator!B8=TRUE,Backdoors!BI38=TRUE),VLOOKUP(Calculator!E23,tbSkills!DH3:DJ6,3,FALSE),0),0)))/100)),1))*IF(VLOOKUP(A62,tbMoveset!A2:K112,11,FALSE)=TRUE,Backdoors!AC5,1))*IN62,0),"")</f>
        <v>0</v>
      </c>
      <c r="IR62" s="49">
        <f>VLOOKUP(A62,tbMoveset!A2:G112,7,FALSE)*IFERROR(IF(Backdoors!AI12&gt;=0,1+(IF(Calculator!E40&gt;0,VLOOKUP(Calculator!E40,tbSkills!AI3:AJ5,2,FALSE),Backdoors!AL4)*(IF((Backdoors!AI12+IF(IM62&gt;=0.45,VLOOKUP(Calculator!E23,tbSkills!DH3:DI6,2,FALSE)+IF(AND(Calculator!B8=TRUE,Backdoors!BI38=TRUE),VLOOKUP(Calculator!E23,tbSkills!DH3:DJ6,3,FALSE),0),0))&gt;=100,100,(Backdoors!AI12+IF(IM62&gt;=0.45,VLOOKUP(Calculator!E23,tbSkills!DH3:DI6,2,FALSE)+IF(AND(Calculator!B8=TRUE,Backdoors!BI38=TRUE),VLOOKUP(Calculator!E23,tbSkills!DH3:DJ6,3,FALSE),0),0)))/100)),1),1)</f>
        <v>0.5</v>
      </c>
      <c r="IS62" s="87">
        <f t="shared" si="42"/>
        <v>0</v>
      </c>
      <c r="IT62" s="86" t="str">
        <f>IFERROR(IF(VLOOKUP(A62,tbMoveset!A2:B112,2,FALSE)="Sever",Backdoors!AY39/100,IF(VLOOKUP(A62,tbMoveset!A2:B112,2,FALSE)="Blunt",Backdoors!AZ39/100,Backdoors!BA39/100)),"")</f>
        <v/>
      </c>
      <c r="IU62" s="49">
        <f>IFERROR(IF(VLOOKUP(tbMoveset!A62,tbMoveset!A2:H112,8,FALSE)="Other",IF(VLOOKUP(tbMoveset!A62,tbMoveset!A2:I112,9,FALSE)="Fire",Backdoors!BB39,IF(VLOOKUP(tbMoveset!A62,tbMoveset!A2:I112,9,FALSE)="Water",Backdoors!BC39,IF(VLOOKUP(tbMoveset!A62,tbMoveset!A2:I112,9,FALSE)="Thunder",Backdoors!BD39,IF(VLOOKUP(tbMoveset!A62,tbMoveset!A2:I112,9,FALSE)="Ice",Backdoors!BE39,IF(VLOOKUP(tbMoveset!A62,tbMoveset!A2:I112,9,FALSE)="Dragon",Backdoors!BF39,Backdoors!BG39)))))/100,Backdoors!BG39/100),"")</f>
        <v>0</v>
      </c>
      <c r="IV62" s="49">
        <f>IFERROR(IF(VLOOKUP(A62,tbMoveset!A2:J112,10,FALSE)=TRUE,IF((Backdoors!AI12+IF(IT62&gt;=0.45,VLOOKUP(Calculator!E23,tbSkills!DH3:DI6,2,FALSE)+IF(AND(Calculator!B8=TRUE,Backdoors!BI39=TRUE),VLOOKUP(Calculator!E23,tbSkills!DH3:DJ6,3,FALSE),0),0))&gt;=0,1+(Backdoors!AL2*(IF((Backdoors!AI12+IF(IT62&gt;=0.45,VLOOKUP(Calculator!E23,tbSkills!DH3:DI6,2,FALSE)+IF(AND(Calculator!B8=TRUE,Backdoors!BI39=TRUE),VLOOKUP(Calculator!E23,tbSkills!DH3:DJ6,3,FALSE),0),0))&gt;=100,100,(Backdoors!AI12+IF(IT62&gt;=0.45,VLOOKUP(Calculator!E23,tbSkills!DH3:DI6,2,FALSE)+IF(AND(Calculator!B8=TRUE,Backdoors!BI39=TRUE),VLOOKUP(Calculator!E23,tbSkills!DH3:DJ6,3,FALSE),0),0)))/100)),(1-(0.25*((-Backdoors!AI12-IF(IT62&gt;=0.45,VLOOKUP(Calculator!E23,tbSkills!DH3:DI6,2,FALSE)+IF(AND(Calculator!B8=TRUE,Backdoors!BI39=TRUE),VLOOKUP(Calculator!E23,tbSkills!DH3:DJ6,3,FALSE),0),0))/100)))),1),"")</f>
        <v>1</v>
      </c>
      <c r="IW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T62)*IV62)*(VLOOKUP(A62,tbMoveset!A2:C112,3,FALSE)/100)*IF(VLOOKUP(A62,tbMoveset!A2:B112,2,FALSE)="Projectile",Backdoors!N10,Backdoors!N9),0),"")</f>
        <v/>
      </c>
      <c r="IX62" s="49">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40&gt;0,VLOOKUP(Calculator!E40,tbSkills!AC3:AD5,2,FALSE),Backdoors!AL3)*(IF((Backdoors!AI12+IF(IT62&gt;=0.45,VLOOKUP(Calculator!E23,tbSkills!DH3:DI6,2,FALSE)+IF(AND(Calculator!B8=TRUE,Backdoors!BI39=TRUE),VLOOKUP(Calculator!E23,tbSkills!DH3:DJ6,3,FALSE),0),0))&gt;=100,100,(Backdoors!AI12+IF(IT62&gt;=0.45,VLOOKUP(Calculator!E23,tbSkills!DH3:DI6,2,FALSE)+IF(AND(Calculator!B8=TRUE,Backdoors!BI39=TRUE),VLOOKUP(Calculator!E23,tbSkills!DH3:DJ6,3,FALSE),0),0)))/100)),1))*IF(VLOOKUP(A62,tbMoveset!A2:K112,11,FALSE)=TRUE,Backdoors!AC5,1))*IU62,0),"")</f>
        <v>0</v>
      </c>
      <c r="IY62" s="49">
        <f>VLOOKUP(A62,tbMoveset!A2:G112,7,FALSE)*IFERROR(IF(Backdoors!AI12&gt;=0,1+(IF(Calculator!E40&gt;0,VLOOKUP(Calculator!E40,tbSkills!AI3:AJ5,2,FALSE),Backdoors!AL4)*(IF((Backdoors!AI12+IF(IT62&gt;=0.45,VLOOKUP(Calculator!E23,tbSkills!DH3:DI6,2,FALSE)+IF(AND(Calculator!B8=TRUE,Backdoors!BI39=TRUE),VLOOKUP(Calculator!E23,tbSkills!DH3:DJ6,3,FALSE),0),0))&gt;=100,100,(Backdoors!AI12+IF(IT62&gt;=0.45,VLOOKUP(Calculator!E23,tbSkills!DH3:DI6,2,FALSE)+IF(AND(Calculator!B8=TRUE,Backdoors!BI39=TRUE),VLOOKUP(Calculator!E23,tbSkills!DH3:DJ6,3,FALSE),0),0)))/100)),1),1)</f>
        <v>0.5</v>
      </c>
      <c r="IZ62" s="87">
        <f t="shared" si="28"/>
        <v>0</v>
      </c>
      <c r="JA62" s="86" t="str">
        <f>IFERROR(IF(VLOOKUP(A62,tbMoveset!A2:B112,2,FALSE)="Sever",Backdoors!AY40/100,IF(VLOOKUP(A62,tbMoveset!A2:B112,2,FALSE)="Blunt",Backdoors!AZ40/100,Backdoors!BA40/100)),"")</f>
        <v/>
      </c>
      <c r="JB62" s="49">
        <f>IFERROR(IF(VLOOKUP(tbMoveset!A62,tbMoveset!A2:H112,8,FALSE)="Other",IF(VLOOKUP(tbMoveset!A62,tbMoveset!A2:I112,9,FALSE)="Fire",Backdoors!BB40,IF(VLOOKUP(tbMoveset!A62,tbMoveset!A2:I112,9,FALSE)="Water",Backdoors!BC40,IF(VLOOKUP(tbMoveset!A62,tbMoveset!A2:I112,9,FALSE)="Thunder",Backdoors!BD40,IF(VLOOKUP(tbMoveset!A62,tbMoveset!A2:I112,9,FALSE)="Ice",Backdoors!BE40,IF(VLOOKUP(tbMoveset!A62,tbMoveset!A2:I112,9,FALSE)="Dragon",Backdoors!BF40,Backdoors!BG40)))))/100,Backdoors!BG40/100),"")</f>
        <v>0</v>
      </c>
      <c r="JC62" s="49">
        <f>IFERROR(IF(VLOOKUP(A62,tbMoveset!A2:J112,10,FALSE)=TRUE,IF((Backdoors!AI12+IF(JA62&gt;=0.45,VLOOKUP(Calculator!E23,tbSkills!DH3:DI6,2,FALSE)+IF(AND(Calculator!B8=TRUE,Backdoors!BI40=TRUE),VLOOKUP(Calculator!E23,tbSkills!DH3:DJ6,3,FALSE),0),0))&gt;=0,1+(Backdoors!AL2*(IF((Backdoors!AI12+IF(JA62&gt;=0.45,VLOOKUP(Calculator!E23,tbSkills!DH3:DI6,2,FALSE)+IF(AND(Calculator!B8=TRUE,Backdoors!BI40=TRUE),VLOOKUP(Calculator!E23,tbSkills!DH3:DJ6,3,FALSE),0),0))&gt;=100,100,(Backdoors!AI12+IF(JA62&gt;=0.45,VLOOKUP(Calculator!E23,tbSkills!DH3:DI6,2,FALSE)+IF(AND(Calculator!B8=TRUE,Backdoors!BI40=TRUE),VLOOKUP(Calculator!E23,tbSkills!DH3:DJ6,3,FALSE),0),0)))/100)),(1-(0.25*((-Backdoors!AI12-IF(JA62&gt;=0.45,VLOOKUP(Calculator!E23,tbSkills!DH3:DI6,2,FALSE)+IF(AND(Calculator!B8=TRUE,Backdoors!BI40=TRUE),VLOOKUP(Calculator!E23,tbSkills!DH3:DJ6,3,FALSE),0),0))/100)))),1),"")</f>
        <v>1</v>
      </c>
      <c r="JD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A62)*JC62)*(VLOOKUP(A62,tbMoveset!A2:C112,3,FALSE)/100)*IF(VLOOKUP(A62,tbMoveset!A2:B112,2,FALSE)="Projectile",Backdoors!N10,Backdoors!N9),0),"")</f>
        <v/>
      </c>
      <c r="JE62" s="49">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42&gt;0,VLOOKUP(Calculator!E42,tbSkills!AC3:AD5,2,FALSE),Backdoors!AL3)*(IF((Backdoors!AI12+IF(JA62&gt;=0.45,VLOOKUP(Calculator!E23,tbSkills!DH3:DI6,2,FALSE)+IF(AND(Calculator!B8=TRUE,Backdoors!BI40=TRUE),VLOOKUP(Calculator!E23,tbSkills!DH3:DJ6,3,FALSE),0),0))&gt;=100,100,(Backdoors!AI12+IF(JA62&gt;=0.45,VLOOKUP(Calculator!E23,tbSkills!DH3:DI6,2,FALSE)+IF(AND(Calculator!B8=TRUE,Backdoors!BI40=TRUE),VLOOKUP(Calculator!E23,tbSkills!DH3:DJ6,3,FALSE),0),0)))/100)),1))*IF(VLOOKUP(A62,tbMoveset!A2:K112,11,FALSE)=TRUE,Backdoors!AC5,1))*JB62,0),"")</f>
        <v>0</v>
      </c>
      <c r="JF62" s="49">
        <f>VLOOKUP(A62,tbMoveset!A2:G112,7,FALSE)*IFERROR(IF(Backdoors!AI12&gt;=0,1+(IF(Calculator!E40&gt;0,VLOOKUP(Calculator!E40,tbSkills!AI3:AJ5,2,FALSE),Backdoors!AL4)*(IF((Backdoors!AI12+IF(JA62&gt;=0.45,VLOOKUP(Calculator!E23,tbSkills!DH3:DI6,2,FALSE)+IF(AND(Calculator!B8=TRUE,Backdoors!BI40=TRUE),VLOOKUP(Calculator!E23,tbSkills!DH3:DJ6,3,FALSE),0),0))&gt;=100,100,(Backdoors!AI12+IF(JA62&gt;=0.45,VLOOKUP(Calculator!E23,tbSkills!DH3:DI6,2,FALSE)+IF(AND(Calculator!B8=TRUE,Backdoors!BI40=TRUE),VLOOKUP(Calculator!E23,tbSkills!DH3:DJ6,3,FALSE),0),0)))/100)),1),1)</f>
        <v>0.5</v>
      </c>
      <c r="JG62" s="87">
        <f t="shared" si="29"/>
        <v>0</v>
      </c>
      <c r="JH62" s="86" t="str">
        <f>IFERROR(IF(VLOOKUP(A62,tbMoveset!A2:B112,2,FALSE)="Sever",Backdoors!AY41/100,IF(VLOOKUP(A62,tbMoveset!A2:B112,2,FALSE)="Blunt",Backdoors!AZ41/100,Backdoors!BA41/100)),"")</f>
        <v/>
      </c>
      <c r="JI62" s="49">
        <f>IFERROR(IF(VLOOKUP(tbMoveset!A62,tbMoveset!A2:H112,8,FALSE)="Other",IF(VLOOKUP(tbMoveset!A62,tbMoveset!A2:I112,9,FALSE)="Fire",Backdoors!BB41,IF(VLOOKUP(tbMoveset!A62,tbMoveset!A2:I112,9,FALSE)="Water",Backdoors!BC41,IF(VLOOKUP(tbMoveset!A62,tbMoveset!A2:I112,9,FALSE)="Thunder",Backdoors!BD41,IF(VLOOKUP(tbMoveset!A62,tbMoveset!A2:I112,9,FALSE)="Ice",Backdoors!BE41,IF(VLOOKUP(tbMoveset!A62,tbMoveset!A2:I112,9,FALSE)="Dragon",Backdoors!BF41,Backdoors!BG41)))))/100,Backdoors!BG41/100),"")</f>
        <v>0</v>
      </c>
      <c r="JJ62" s="49">
        <f>IFERROR(IF(VLOOKUP(A62,tbMoveset!A2:J112,10,FALSE)=TRUE,IF((Backdoors!AI12+IF(JH62&gt;=0.45,VLOOKUP(Calculator!E23,tbSkills!DH3:DI6,2,FALSE)+IF(AND(Calculator!B8=TRUE,Backdoors!BI41=TRUE),VLOOKUP(Calculator!E23,tbSkills!DH3:DJ6,3,FALSE),0),0))&gt;=0,1+(Backdoors!AL2*(IF((Backdoors!AI12+IF(JH62&gt;=0.45,VLOOKUP(Calculator!E23,tbSkills!DH3:DI6,2,FALSE)+IF(AND(Calculator!B8=TRUE,Backdoors!BI41=TRUE),VLOOKUP(Calculator!E23,tbSkills!DH3:DJ6,3,FALSE),0),0))&gt;=100,100,(Backdoors!AI12+IF(JH62&gt;=0.45,VLOOKUP(Calculator!E23,tbSkills!DH3:DI6,2,FALSE)+IF(AND(Calculator!B8=TRUE,Backdoors!BI41=TRUE),VLOOKUP(Calculator!E23,tbSkills!DH3:DJ6,3,FALSE),0),0)))/100)),(1-(0.25*((-Backdoors!AI12-IF(JH62&gt;=0.45,VLOOKUP(Calculator!E23,tbSkills!DH3:DI6,2,FALSE)+IF(AND(Calculator!B8=TRUE,Backdoors!BI41=TRUE),VLOOKUP(Calculator!E23,tbSkills!DH3:DJ6,3,FALSE),0),0))/100)))),1),"")</f>
        <v>1</v>
      </c>
      <c r="JK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H62)*JJ62)*(VLOOKUP(A62,tbMoveset!A2:C112,3,FALSE)/100)*IF(VLOOKUP(A62,tbMoveset!A2:B112,2,FALSE)="Projectile",Backdoors!N10,Backdoors!N9),0),"")</f>
        <v/>
      </c>
      <c r="JL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43&gt;0,VLOOKUP(Calculator!E43,tbSkills!AC3:AD5,2,FALSE),Backdoors!AL3)*(IF((Backdoors!AI12+IF(JH62&gt;=0.45,VLOOKUP(Calculator!E23,tbSkills!DH3:DI6,2,FALSE)+IF(AND(Calculator!B8=TRUE,Backdoors!BI41=TRUE),VLOOKUP(Calculator!E23,tbSkills!DH3:DJ6,3,FALSE),0),0))&gt;=100,100,(Backdoors!AI12+IF(JH62&gt;=0.45,VLOOKUP(Calculator!E23,tbSkills!DH3:DI6,2,FALSE)+IF(AND(Calculator!B8=TRUE,Backdoors!BI41=TRUE),VLOOKUP(Calculator!E23,tbSkills!DH3:DJ6,3,FALSE),0),0)))/100)),1))*IF(VLOOKUP(A62,tbMoveset!A2:K112,11,FALSE)=TRUE,Backdoors!AC5,1))*JI62,0),"")</f>
        <v/>
      </c>
      <c r="JM62" s="49">
        <f>VLOOKUP(A62,tbMoveset!A2:G112,7,FALSE)*IFERROR(IF(Backdoors!AI12&gt;=0,1+(IF(Calculator!E40&gt;0,VLOOKUP(Calculator!E40,tbSkills!AI3:AJ5,2,FALSE),Backdoors!AL4)*(IF((Backdoors!AI12+IF(JH62&gt;=0.45,VLOOKUP(Calculator!E23,tbSkills!DH3:DI6,2,FALSE)+IF(AND(Calculator!B8=TRUE,Backdoors!BI41=TRUE),VLOOKUP(Calculator!E23,tbSkills!DH3:DJ6,3,FALSE),0),0))&gt;=100,100,(Backdoors!AI12+IF(JH62&gt;=0.45,VLOOKUP(Calculator!E23,tbSkills!DH3:DI6,2,FALSE)+IF(AND(Calculator!B8=TRUE,Backdoors!BI41=TRUE),VLOOKUP(Calculator!E23,tbSkills!DH3:DJ6,3,FALSE),0),0)))/100)),1),1)</f>
        <v>0.5</v>
      </c>
      <c r="JN62" s="87">
        <f t="shared" si="30"/>
        <v>0</v>
      </c>
      <c r="JO62" s="86" t="str">
        <f>IFERROR(IF(VLOOKUP(A62,tbMoveset!A2:B112,2,FALSE)="Sever",Backdoors!AY42/100,IF(VLOOKUP(A62,tbMoveset!A2:B112,2,FALSE)="Blunt",Backdoors!AZ42/100,Backdoors!BA42/100)),"")</f>
        <v/>
      </c>
      <c r="JP62" s="49">
        <f>IFERROR(IF(VLOOKUP(tbMoveset!A62,tbMoveset!A2:H112,8,FALSE)="Other",IF(VLOOKUP(tbMoveset!A62,tbMoveset!A2:I112,9,FALSE)="Fire",Backdoors!BB42,IF(VLOOKUP(tbMoveset!A62,tbMoveset!A2:I112,9,FALSE)="Water",Backdoors!BC42,IF(VLOOKUP(tbMoveset!A62,tbMoveset!A2:I112,9,FALSE)="Thunder",Backdoors!BD42,IF(VLOOKUP(tbMoveset!A62,tbMoveset!A2:I112,9,FALSE)="Ice",Backdoors!BE42,IF(VLOOKUP(tbMoveset!A62,tbMoveset!A2:I112,9,FALSE)="Dragon",Backdoors!BF42,Backdoors!BG42)))))/100,Backdoors!BG42/100),"")</f>
        <v>0</v>
      </c>
      <c r="JQ62" s="49">
        <f>IFERROR(IF(VLOOKUP(A62,tbMoveset!A2:J112,10,FALSE)=TRUE,IF((Backdoors!AI12+IF(JO62&gt;=0.45,VLOOKUP(Calculator!E23,tbSkills!DH3:DI6,2,FALSE)+IF(AND(Calculator!B8=TRUE,Backdoors!BI42=TRUE),VLOOKUP(Calculator!E23,tbSkills!DH3:DJ6,3,FALSE),0),0))&gt;=0,1+(Backdoors!AL2*(IF((Backdoors!AI12+IF(JO62&gt;=0.45,VLOOKUP(Calculator!E23,tbSkills!DH3:DI6,2,FALSE)+IF(AND(Calculator!B8=TRUE,Backdoors!BI42=TRUE),VLOOKUP(Calculator!E23,tbSkills!DH3:DJ6,3,FALSE),0),0))&gt;=100,100,(Backdoors!AI12+IF(JO62&gt;=0.45,VLOOKUP(Calculator!E23,tbSkills!DH3:DI6,2,FALSE)+IF(AND(Calculator!B8=TRUE,Backdoors!BI42=TRUE),VLOOKUP(Calculator!E23,tbSkills!DH3:DJ6,3,FALSE),0),0)))/100)),(1-(0.25*((-Backdoors!AI12-IF(JO62&gt;=0.45,VLOOKUP(Calculator!E23,tbSkills!DH3:DI6,2,FALSE)+IF(AND(Calculator!B8=TRUE,Backdoors!BI42=TRUE),VLOOKUP(Calculator!E23,tbSkills!DH3:DJ6,3,FALSE),0),0))/100)))),1),"")</f>
        <v>1</v>
      </c>
      <c r="JR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O62)*JQ62)*(VLOOKUP(A62,tbMoveset!A2:C112,3,FALSE)/100)*IF(VLOOKUP(A62,tbMoveset!A2:B112,2,FALSE)="Projectile",Backdoors!N10,Backdoors!N9),0),"")</f>
        <v/>
      </c>
      <c r="JS62" s="49">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45&gt;0,VLOOKUP(Calculator!E45,tbSkills!AC3:AD5,2,FALSE),Backdoors!AL3)*(IF((Backdoors!AI12+IF(JO62&gt;=0.45,VLOOKUP(Calculator!E23,tbSkills!DH3:DI6,2,FALSE)+IF(AND(Calculator!B8=TRUE,Backdoors!BI42=TRUE),VLOOKUP(Calculator!E23,tbSkills!DH3:DJ6,3,FALSE),0),0))&gt;=100,100,(Backdoors!AI12+IF(JO62&gt;=0.45,VLOOKUP(Calculator!E23,tbSkills!DH3:DI6,2,FALSE)+IF(AND(Calculator!B8=TRUE,Backdoors!BI42=TRUE),VLOOKUP(Calculator!E23,tbSkills!DH3:DJ6,3,FALSE),0),0)))/100)),1))*IF(VLOOKUP(A62,tbMoveset!A2:K112,11,FALSE)=TRUE,Backdoors!AC5,1))*JP62,0),"")</f>
        <v>0</v>
      </c>
      <c r="JT62" s="49">
        <f>VLOOKUP(A62,tbMoveset!A2:G112,7,FALSE)*IFERROR(IF(Backdoors!AI12&gt;=0,1+(IF(Calculator!E40&gt;0,VLOOKUP(Calculator!E40,tbSkills!AI3:AJ5,2,FALSE),Backdoors!AL4)*(IF((Backdoors!AI12+IF(JO62&gt;=0.45,VLOOKUP(Calculator!E23,tbSkills!DH3:DI6,2,FALSE)+IF(AND(Calculator!B8=TRUE,Backdoors!BI42=TRUE),VLOOKUP(Calculator!E23,tbSkills!DH3:DJ6,3,FALSE),0),0))&gt;=100,100,(Backdoors!AI12+IF(JO62&gt;=0.45,VLOOKUP(Calculator!E23,tbSkills!DH3:DI6,2,FALSE)+IF(AND(Calculator!B8=TRUE,Backdoors!BI42=TRUE),VLOOKUP(Calculator!E23,tbSkills!DH3:DJ6,3,FALSE),0),0)))/100)),1),1)</f>
        <v>0.5</v>
      </c>
      <c r="JU62" s="87">
        <f t="shared" si="31"/>
        <v>0</v>
      </c>
      <c r="JV62" s="86" t="str">
        <f>IFERROR(IF(VLOOKUP(A62,tbMoveset!A2:B112,2,FALSE)="Sever",Backdoors!AY43/100,IF(VLOOKUP(A62,tbMoveset!A2:B112,2,FALSE)="Blunt",Backdoors!AZ43/100,Backdoors!BA43/100)),"")</f>
        <v/>
      </c>
      <c r="JW62" s="49">
        <f>IFERROR(IF(VLOOKUP(tbMoveset!A62,tbMoveset!A2:H112,8,FALSE)="Other",IF(VLOOKUP(tbMoveset!A62,tbMoveset!A2:I112,9,FALSE)="Fire",Backdoors!BB43,IF(VLOOKUP(tbMoveset!A62,tbMoveset!A2:I112,9,FALSE)="Water",Backdoors!BC43,IF(VLOOKUP(tbMoveset!A62,tbMoveset!A2:I112,9,FALSE)="Thunder",Backdoors!BD43,IF(VLOOKUP(tbMoveset!A62,tbMoveset!A2:I112,9,FALSE)="Ice",Backdoors!BE43,IF(VLOOKUP(tbMoveset!A62,tbMoveset!A2:I112,9,FALSE)="Dragon",Backdoors!BF43,Backdoors!BG43)))))/100,Backdoors!BG43/100),"")</f>
        <v>0</v>
      </c>
      <c r="JX62" s="49">
        <f>IFERROR(IF(VLOOKUP(A62,tbMoveset!A2:J112,10,FALSE)=TRUE,IF((Backdoors!AI12+IF(JV62&gt;=0.45,VLOOKUP(Calculator!E23,tbSkills!DH3:DI6,2,FALSE)+IF(AND(Calculator!B8=TRUE,Backdoors!BI43=TRUE),VLOOKUP(Calculator!E23,tbSkills!DH3:DJ6,3,FALSE),0),0))&gt;=0,1+(Backdoors!AL2*(IF((Backdoors!AI12+IF(JV62&gt;=0.45,VLOOKUP(Calculator!E23,tbSkills!DH3:DI6,2,FALSE)+IF(AND(Calculator!B8=TRUE,Backdoors!BI43=TRUE),VLOOKUP(Calculator!E23,tbSkills!DH3:DJ6,3,FALSE),0),0))&gt;=100,100,(Backdoors!AI12+IF(JV62&gt;=0.45,VLOOKUP(Calculator!E23,tbSkills!DH3:DI6,2,FALSE)+IF(AND(Calculator!B8=TRUE,Backdoors!BI43=TRUE),VLOOKUP(Calculator!E23,tbSkills!DH3:DJ6,3,FALSE),0),0)))/100)),(1-(0.25*((-Backdoors!AI12-IF(JV62&gt;=0.45,VLOOKUP(Calculator!E23,tbSkills!DH3:DI6,2,FALSE)+IF(AND(Calculator!B8=TRUE,Backdoors!BI43=TRUE),VLOOKUP(Calculator!E23,tbSkills!DH3:DJ6,3,FALSE),0),0))/100)))),1),"")</f>
        <v>1</v>
      </c>
      <c r="JY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V62)*JX62)*(VLOOKUP(A62,tbMoveset!A2:C112,3,FALSE)/100)*IF(VLOOKUP(A62,tbMoveset!A2:B112,2,FALSE)="Projectile",Backdoors!N10,Backdoors!N9),0),"")</f>
        <v/>
      </c>
      <c r="JZ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46&gt;0,VLOOKUP(Calculator!E46,tbSkills!AC3:AD5,2,FALSE),Backdoors!AL3)*(IF((Backdoors!AI12+IF(JV62&gt;=0.45,VLOOKUP(Calculator!E23,tbSkills!DH3:DI6,2,FALSE)+IF(AND(Calculator!B8=TRUE,Backdoors!BI43=TRUE),VLOOKUP(Calculator!E23,tbSkills!DH3:DJ6,3,FALSE),0),0))&gt;=100,100,(Backdoors!AI12+IF(JV62&gt;=0.45,VLOOKUP(Calculator!E23,tbSkills!DH3:DI6,2,FALSE)+IF(AND(Calculator!B8=TRUE,Backdoors!BI43=TRUE),VLOOKUP(Calculator!E23,tbSkills!DH3:DJ6,3,FALSE),0),0)))/100)),1))*IF(VLOOKUP(A62,tbMoveset!A2:K112,11,FALSE)=TRUE,Backdoors!AC5,1))*JW62,0),"")</f>
        <v/>
      </c>
      <c r="KA62" s="49">
        <f>VLOOKUP(A62,tbMoveset!A2:G112,7,FALSE)*IFERROR(IF(Backdoors!AI12&gt;=0,1+(IF(Calculator!E40&gt;0,VLOOKUP(Calculator!E40,tbSkills!AI3:AJ5,2,FALSE),Backdoors!AL4)*(IF((Backdoors!AI12+IF(JV62&gt;=0.45,VLOOKUP(Calculator!E23,tbSkills!DH3:DI6,2,FALSE)+IF(AND(Calculator!B8=TRUE,Backdoors!BI43=TRUE),VLOOKUP(Calculator!E23,tbSkills!DH3:DJ6,3,FALSE),0),0))&gt;=100,100,(Backdoors!AI12+IF(JV62&gt;=0.45,VLOOKUP(Calculator!E23,tbSkills!DH3:DI6,2,FALSE)+IF(AND(Calculator!B8=TRUE,Backdoors!BI43=TRUE),VLOOKUP(Calculator!E23,tbSkills!DH3:DJ6,3,FALSE),0),0)))/100)),1),1)</f>
        <v>0.5</v>
      </c>
      <c r="KB62" s="87">
        <f t="shared" si="32"/>
        <v>0</v>
      </c>
      <c r="KC62" s="86" t="str">
        <f>IFERROR(IF(VLOOKUP(A62,tbMoveset!A2:B112,2,FALSE)="Sever",Backdoors!AY44/100,IF(VLOOKUP(A62,tbMoveset!A2:B112,2,FALSE)="Blunt",Backdoors!AZ44/100,Backdoors!BA44/100)),"")</f>
        <v/>
      </c>
      <c r="KD62" s="49">
        <f>IFERROR(IF(VLOOKUP(tbMoveset!A62,tbMoveset!A2:H112,8,FALSE)="Other",IF(VLOOKUP(tbMoveset!A62,tbMoveset!A2:I112,9,FALSE)="Fire",Backdoors!BB44,IF(VLOOKUP(tbMoveset!A62,tbMoveset!A2:I112,9,FALSE)="Water",Backdoors!BC44,IF(VLOOKUP(tbMoveset!A62,tbMoveset!A2:I112,9,FALSE)="Thunder",Backdoors!BD44,IF(VLOOKUP(tbMoveset!A62,tbMoveset!A2:I112,9,FALSE)="Ice",Backdoors!BE44,IF(VLOOKUP(tbMoveset!A62,tbMoveset!A2:I112,9,FALSE)="Dragon",Backdoors!BF44,Backdoors!BG44)))))/100,Backdoors!BG44/100),"")</f>
        <v>0</v>
      </c>
      <c r="KE62" s="49">
        <f>IFERROR(IF(VLOOKUP(A62,tbMoveset!A2:J112,10,FALSE)=TRUE,IF((Backdoors!AI12+IF(KC62&gt;=0.45,VLOOKUP(Calculator!E23,tbSkills!DH3:DI6,2,FALSE)+IF(AND(Calculator!B8=TRUE,Backdoors!BI44=TRUE),VLOOKUP(Calculator!E23,tbSkills!DH3:DJ6,3,FALSE),0),0))&gt;=0,1+(Backdoors!AL2*(IF((Backdoors!AI12+IF(KC62&gt;=0.45,VLOOKUP(Calculator!E23,tbSkills!DH3:DI6,2,FALSE)+IF(AND(Calculator!B8=TRUE,Backdoors!BI44=TRUE),VLOOKUP(Calculator!E23,tbSkills!DH3:DJ6,3,FALSE),0),0))&gt;=100,100,(Backdoors!AI12+IF(KC62&gt;=0.45,VLOOKUP(Calculator!E23,tbSkills!DH3:DI6,2,FALSE)+IF(AND(Calculator!B8=TRUE,Backdoors!BI44=TRUE),VLOOKUP(Calculator!E23,tbSkills!DH3:DJ6,3,FALSE),0),0)))/100)),(1-(0.25*((-Backdoors!AI12-IF(KC62&gt;=0.45,VLOOKUP(Calculator!E23,tbSkills!DH3:DI6,2,FALSE)+IF(AND(Calculator!B8=TRUE,Backdoors!BI44=TRUE),VLOOKUP(Calculator!E23,tbSkills!DH3:DJ6,3,FALSE),0),0))/100)))),1),"")</f>
        <v>1</v>
      </c>
      <c r="KF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KC62)*KE62)*(VLOOKUP(A62,tbMoveset!A2:C112,3,FALSE)/100)*IF(VLOOKUP(A62,tbMoveset!A2:B112,2,FALSE)="Projectile",Backdoors!N10,Backdoors!N9),0),"")</f>
        <v/>
      </c>
      <c r="KG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REF!&gt;0,VLOOKUP(Calculator!#REF!,tbSkills!AC3:AD5,2,FALSE),Backdoors!AL3)*(IF((Backdoors!AI12+IF(KC62&gt;=0.45,VLOOKUP(Calculator!E23,tbSkills!DH3:DI6,2,FALSE)+IF(AND(Calculator!B8=TRUE,Backdoors!BI44=TRUE),VLOOKUP(Calculator!E23,tbSkills!DH3:DJ6,3,FALSE),0),0))&gt;=100,100,(Backdoors!AI12+IF(KC62&gt;=0.45,VLOOKUP(Calculator!E23,tbSkills!DH3:DI6,2,FALSE)+IF(AND(Calculator!B8=TRUE,Backdoors!BI44=TRUE),VLOOKUP(Calculator!E23,tbSkills!DH3:DJ6,3,FALSE),0),0)))/100)),1))*IF(VLOOKUP(A62,tbMoveset!A2:K112,11,FALSE)=TRUE,Backdoors!AC5,1))*KD62,0),"")</f>
        <v/>
      </c>
      <c r="KH62" s="49">
        <f>VLOOKUP(A62,tbMoveset!A2:G112,7,FALSE)*IFERROR(IF(Backdoors!AI12&gt;=0,1+(IF(Calculator!E40&gt;0,VLOOKUP(Calculator!E40,tbSkills!AI3:AJ5,2,FALSE),Backdoors!AL4)*(IF((Backdoors!AI12+IF(KC62&gt;=0.45,VLOOKUP(Calculator!E23,tbSkills!DH3:DI6,2,FALSE)+IF(AND(Calculator!B8=TRUE,Backdoors!BI44=TRUE),VLOOKUP(Calculator!E23,tbSkills!DH3:DJ6,3,FALSE),0),0))&gt;=100,100,(Backdoors!AI12+IF(KC62&gt;=0.45,VLOOKUP(Calculator!E23,tbSkills!DH3:DI6,2,FALSE)+IF(AND(Calculator!B8=TRUE,Backdoors!BI44=TRUE),VLOOKUP(Calculator!E23,tbSkills!DH3:DJ6,3,FALSE),0),0)))/100)),1),1)</f>
        <v>0.5</v>
      </c>
      <c r="KI62" s="87">
        <f t="shared" si="33"/>
        <v>0</v>
      </c>
      <c r="KJ62" s="86" t="str">
        <f>IFERROR(IF(VLOOKUP(A62,tbMoveset!A2:B112,2,FALSE)="Sever",Backdoors!AY45/100,IF(VLOOKUP(A62,tbMoveset!A2:B112,2,FALSE)="Blunt",Backdoors!AZ45/100,Backdoors!BA45/100)),"")</f>
        <v/>
      </c>
      <c r="KK62" s="49">
        <f>IFERROR(IF(VLOOKUP(tbMoveset!A62,tbMoveset!A2:H112,8,FALSE)="Other",IF(VLOOKUP(tbMoveset!A62,tbMoveset!A2:I112,9,FALSE)="Fire",Backdoors!BB45,IF(VLOOKUP(tbMoveset!A62,tbMoveset!A2:I112,9,FALSE)="Water",Backdoors!BC45,IF(VLOOKUP(tbMoveset!A62,tbMoveset!A2:I112,9,FALSE)="Thunder",Backdoors!BD45,IF(VLOOKUP(tbMoveset!A62,tbMoveset!A2:I112,9,FALSE)="Ice",Backdoors!BE45,IF(VLOOKUP(tbMoveset!A62,tbMoveset!A2:I112,9,FALSE)="Dragon",Backdoors!BF45,Backdoors!BG45)))))/100,Backdoors!BG45/100),"")</f>
        <v>0</v>
      </c>
      <c r="KL62" s="49">
        <f>IFERROR(IF(VLOOKUP(A62,tbMoveset!A2:J112,10,FALSE)=TRUE,IF((Backdoors!AI12+IF(KJ62&gt;=0.45,VLOOKUP(Calculator!E23,tbSkills!DH3:DI6,2,FALSE)+IF(AND(Calculator!B8=TRUE,Backdoors!BI45=TRUE),VLOOKUP(Calculator!E23,tbSkills!DH3:DJ6,3,FALSE),0),0))&gt;=0,1+(Backdoors!AL2*(IF((Backdoors!AI12+IF(KJ62&gt;=0.45,VLOOKUP(Calculator!E23,tbSkills!DH3:DI6,2,FALSE)+IF(AND(Calculator!B8=TRUE,Backdoors!BI45=TRUE),VLOOKUP(Calculator!E23,tbSkills!DH3:DJ6,3,FALSE),0),0))&gt;=100,100,(Backdoors!AI12+IF(KJ62&gt;=0.45,VLOOKUP(Calculator!E23,tbSkills!DH3:DI6,2,FALSE)+IF(AND(Calculator!B8=TRUE,Backdoors!BI45=TRUE),VLOOKUP(Calculator!E23,tbSkills!DH3:DJ6,3,FALSE),0),0)))/100)),(1-(0.25*((-Backdoors!AI12-IF(KJ62&gt;=0.45,VLOOKUP(Calculator!E23,tbSkills!DH3:DI6,2,FALSE)+IF(AND(Calculator!B8=TRUE,Backdoors!BI45=TRUE),VLOOKUP(Calculator!E23,tbSkills!DH3:DJ6,3,FALSE),0),0))/100)))),1),"")</f>
        <v>1</v>
      </c>
      <c r="KM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KJ62)*KL62)*(VLOOKUP(A62,tbMoveset!A2:C112,3,FALSE)/100)*IF(VLOOKUP(A62,tbMoveset!A2:B112,2,FALSE)="Projectile",Backdoors!N10,Backdoors!N9),0),"")</f>
        <v/>
      </c>
      <c r="KN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REF!&gt;0,VLOOKUP(Calculator!#REF!,tbSkills!AC3:AD5,2,FALSE),Backdoors!AL3)*(IF((Backdoors!AI12+IF(KJ62&gt;=0.45,VLOOKUP(Calculator!E23,tbSkills!DH3:DI6,2,FALSE)+IF(AND(Calculator!B8=TRUE,Backdoors!BI45=TRUE),VLOOKUP(Calculator!E23,tbSkills!DH3:DJ6,3,FALSE),0),0))&gt;=100,100,(Backdoors!AI12+IF(KJ62&gt;=0.45,VLOOKUP(Calculator!E23,tbSkills!DH3:DI6,2,FALSE)+IF(AND(Calculator!B8=TRUE,Backdoors!BI45=TRUE),VLOOKUP(Calculator!E23,tbSkills!DH3:DJ6,3,FALSE),0),0)))/100)),1))*IF(VLOOKUP(A62,tbMoveset!A2:K112,11,FALSE)=TRUE,Backdoors!AC5,1))*KK62,0),"")</f>
        <v/>
      </c>
      <c r="KO62" s="49">
        <f>VLOOKUP(A62,tbMoveset!A2:G112,7,FALSE)*IFERROR(IF(Backdoors!AI12&gt;=0,1+(IF(Calculator!E40&gt;0,VLOOKUP(Calculator!E40,tbSkills!AI3:AJ5,2,FALSE),Backdoors!AL4)*(IF((Backdoors!AI12+IF(KJ62&gt;=0.45,VLOOKUP(Calculator!E23,tbSkills!DH3:DI6,2,FALSE)+IF(AND(Calculator!B8=TRUE,Backdoors!BI45=TRUE),VLOOKUP(Calculator!E23,tbSkills!DH3:DJ6,3,FALSE),0),0))&gt;=100,100,(Backdoors!AI12+IF(KJ62&gt;=0.45,VLOOKUP(Calculator!E23,tbSkills!DH3:DI6,2,FALSE)+IF(AND(Calculator!B8=TRUE,Backdoors!BI45=TRUE),VLOOKUP(Calculator!E23,tbSkills!DH3:DJ6,3,FALSE),0),0)))/100)),1),1)</f>
        <v>0.5</v>
      </c>
      <c r="KP62" s="87">
        <f t="shared" si="34"/>
        <v>0</v>
      </c>
      <c r="KQ62" s="86" t="str">
        <f>IFERROR(IF(VLOOKUP(A62,tbMoveset!A2:B112,2,FALSE)="Sever",Backdoors!AY46/100,IF(VLOOKUP(A62,tbMoveset!A2:B112,2,FALSE)="Blunt",Backdoors!AZ46/100,Backdoors!BA46/100)),"")</f>
        <v/>
      </c>
      <c r="KR62" s="49">
        <f>IFERROR(IF(VLOOKUP(tbMoveset!A62,tbMoveset!A2:H112,8,FALSE)="Other",IF(VLOOKUP(tbMoveset!A62,tbMoveset!A2:I112,9,FALSE)="Fire",Backdoors!BB46,IF(VLOOKUP(tbMoveset!A62,tbMoveset!A2:I112,9,FALSE)="Water",Backdoors!BC46,IF(VLOOKUP(tbMoveset!A62,tbMoveset!A2:I112,9,FALSE)="Thunder",Backdoors!BD46,IF(VLOOKUP(tbMoveset!A62,tbMoveset!A2:I112,9,FALSE)="Ice",Backdoors!BE46,IF(VLOOKUP(tbMoveset!A62,tbMoveset!A2:I112,9,FALSE)="Dragon",Backdoors!BF46,Backdoors!BG46)))))/100,Backdoors!BG46/100),"")</f>
        <v>0</v>
      </c>
      <c r="KS62" s="49">
        <f>IFERROR(IF(VLOOKUP(A62,tbMoveset!A2:J112,10,FALSE)=TRUE,IF((Backdoors!AI12+IF(KQ62&gt;=0.45,VLOOKUP(Calculator!E23,tbSkills!DH3:DI6,2,FALSE)+IF(AND(Calculator!B8=TRUE,Backdoors!BI46=TRUE),VLOOKUP(Calculator!E23,tbSkills!DH3:DJ6,3,FALSE),0),0))&gt;=0,1+(Backdoors!AL2*(IF((Backdoors!AI12+IF(KQ62&gt;=0.45,VLOOKUP(Calculator!E23,tbSkills!DH3:DI6,2,FALSE)+IF(AND(Calculator!B8=TRUE,Backdoors!BI46=TRUE),VLOOKUP(Calculator!E23,tbSkills!DH3:DJ6,3,FALSE),0),0))&gt;=100,100,(Backdoors!AI12+IF(KQ62&gt;=0.45,VLOOKUP(Calculator!E23,tbSkills!DH3:DI6,2,FALSE)+IF(AND(Calculator!B8=TRUE,Backdoors!BI46=TRUE),VLOOKUP(Calculator!E23,tbSkills!DH3:DJ6,3,FALSE),0),0)))/100)),(1-(0.25*((-Backdoors!AI12-IF(KQ62&gt;=0.45,VLOOKUP(Calculator!E23,tbSkills!DH3:DI6,2,FALSE)+IF(AND(Calculator!B8=TRUE,Backdoors!BI46=TRUE),VLOOKUP(Calculator!E23,tbSkills!DH3:DJ6,3,FALSE),0),0))/100)))),1),"")</f>
        <v>1</v>
      </c>
      <c r="KT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KQ62)*KS62)*(VLOOKUP(A62,tbMoveset!A2:C112,3,FALSE)/100)*IF(VLOOKUP(A62,tbMoveset!A2:B112,2,FALSE)="Projectile",Backdoors!N10,Backdoors!N9),0),"")</f>
        <v/>
      </c>
      <c r="KU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REF!&gt;0,VLOOKUP(Calculator!#REF!,tbSkills!AC3:AD5,2,FALSE),Backdoors!AL3)*(IF((Backdoors!AI12+IF(KQ62&gt;=0.45,VLOOKUP(Calculator!E23,tbSkills!DH3:DI6,2,FALSE)+IF(AND(Calculator!B8=TRUE,Backdoors!BI46=TRUE),VLOOKUP(Calculator!E23,tbSkills!DH3:DJ6,3,FALSE),0),0))&gt;=100,100,(Backdoors!AI12+IF(KQ62&gt;=0.45,VLOOKUP(Calculator!E23,tbSkills!DH3:DI6,2,FALSE)+IF(AND(Calculator!B8=TRUE,Backdoors!BI46=TRUE),VLOOKUP(Calculator!E23,tbSkills!DH3:DJ6,3,FALSE),0),0)))/100)),1))*IF(VLOOKUP(A62,tbMoveset!A2:K112,11,FALSE)=TRUE,Backdoors!AC5,1))*KR62,0),"")</f>
        <v/>
      </c>
      <c r="KV62" s="49">
        <f>VLOOKUP(A62,tbMoveset!A2:G112,7,FALSE)*IFERROR(IF(Backdoors!AI12&gt;=0,1+(IF(Calculator!E40&gt;0,VLOOKUP(Calculator!E40,tbSkills!AI3:AJ5,2,FALSE),Backdoors!AL4)*(IF((Backdoors!AI12+IF(KQ62&gt;=0.45,VLOOKUP(Calculator!E23,tbSkills!DH3:DI6,2,FALSE)+IF(AND(Calculator!B8=TRUE,Backdoors!BI46=TRUE),VLOOKUP(Calculator!E23,tbSkills!DH3:DJ6,3,FALSE),0),0))&gt;=100,100,(Backdoors!AI12+IF(KQ62&gt;=0.45,VLOOKUP(Calculator!E23,tbSkills!DH3:DI6,2,FALSE)+IF(AND(Calculator!B8=TRUE,Backdoors!BI46=TRUE),VLOOKUP(Calculator!E23,tbSkills!DH3:DJ6,3,FALSE),0),0)))/100)),1),1)</f>
        <v>0.5</v>
      </c>
      <c r="KW62" s="87">
        <f t="shared" si="35"/>
        <v>0</v>
      </c>
    </row>
    <row r="63" spans="1:309" x14ac:dyDescent="0.25">
      <c r="A63" s="95" t="str">
        <f>tbMoveset!A63</f>
        <v>Blade Dance (R5)</v>
      </c>
      <c r="B63" s="86">
        <f>IFERROR(IF(VLOOKUP(A63,tbMoveset!A2:B112,2,FALSE)="Sever",Backdoors!AY3/100,IF(VLOOKUP(A63,tbMoveset!A2:B112,2,FALSE)="Blunt",Backdoors!AZ3/100,Backdoors!BA3/100)),"")</f>
        <v>0.8</v>
      </c>
      <c r="C63" s="49">
        <f>IFERROR(IF(VLOOKUP(tbMoveset!A63,tbMoveset!A2:H112,8,FALSE)="Other",IF(VLOOKUP(tbMoveset!A63,tbMoveset!A2:I112,9,FALSE)="Fire",Backdoors!BB3,IF(VLOOKUP(tbMoveset!A63,tbMoveset!A2:I112,9,FALSE)="Water",Backdoors!BC3,IF(VLOOKUP(tbMoveset!A63,tbMoveset!A2:I112,9,FALSE)="Thunder",Backdoors!BD3,IF(VLOOKUP(tbMoveset!A63,tbMoveset!A2:I112,9,FALSE)="Ice",Backdoors!BE3,IF(VLOOKUP(tbMoveset!A63,tbMoveset!A2:I112,9,FALSE)="Dragon",Backdoors!BF3,Backdoors!BG3)))))/100,Backdoors!BG3/100),"")</f>
        <v>0</v>
      </c>
      <c r="D63" s="49">
        <f>IFERROR(IF(VLOOKUP(A63,tbMoveset!A2:J112,10,FALSE)=TRUE,IF((Backdoors!AI12+IF(B63&gt;=0.45,VLOOKUP(Calculator!E23,tbSkills!DH3:DI6,2,FALSE)+IF(AND(Calculator!B8=TRUE,Backdoors!BI3=TRUE),VLOOKUP(Calculator!E23,tbSkills!DH3:DJ6,3,FALSE),0),0))&gt;=0,1+(Backdoors!AL2*(IF((Backdoors!AI12+IF(B63&gt;=0.45,VLOOKUP(Calculator!E23,tbSkills!DH3:DI6,2,FALSE)+IF(AND(Calculator!B8=TRUE,Backdoors!BI3=TRUE),VLOOKUP(Calculator!E23,tbSkills!DH3:DJ6,3,FALSE),0),0))&gt;=100,100,(Backdoors!AI12+IF(B63&gt;=0.45,VLOOKUP(Calculator!E23,tbSkills!DH3:DI6,2,FALSE)+IF(AND(Calculator!B8=TRUE,Backdoors!BI3=TRUE),VLOOKUP(Calculator!E23,tbSkills!DH3:DJ6,3,FALSE),0),0)))/100)),(1-(0.25*((-Backdoors!AI12-IF(B63&gt;=0.45,VLOOKUP(Calculator!E23,tbSkills!DH3:DI6,2,FALSE)+IF(AND(Calculator!B8=TRUE,Backdoors!BI3=TRUE),VLOOKUP(Calculator!E23,tbSkills!DH3:DJ6,3,FALSE),0),0))/100)))),1),"")</f>
        <v>1</v>
      </c>
      <c r="E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63)*D63)*(VLOOKUP(A63,tbMoveset!A2:C112,3,FALSE)/100)*IF(VLOOKUP(A63,tbMoveset!A2:B112,2,FALSE)="Projectile",Backdoors!N10,Backdoors!N9),0),"")</f>
        <v>7</v>
      </c>
      <c r="F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63&gt;=0.45,VLOOKUP(Calculator!E23,tbSkills!DH3:DI6,2,FALSE)+IF(AND(Calculator!B8=TRUE,Backdoors!BI3=TRUE),VLOOKUP(Calculator!E23,tbSkills!DH3:DJ6,3,FALSE),0),0))&gt;=100,100,(Backdoors!AI12+IF(B63&gt;=0.45,VLOOKUP(Calculator!E23,tbSkills!DH3:DI6,2,FALSE)+IF(AND(Calculator!B8=TRUE,Backdoors!BI3=TRUE),VLOOKUP(Calculator!E23,tbSkills!DH3:DJ6,3,FALSE),0),0)))/100)),1))*IF(VLOOKUP(A63,tbMoveset!A2:K112,11,FALSE)=TRUE,Backdoors!AC5,1))*C63,0),"")</f>
        <v>0</v>
      </c>
      <c r="G63">
        <f>VLOOKUP(A63,tbMoveset!A2:G112,7,FALSE)*IFERROR(IF(Backdoors!AI12&gt;=0,1+(IF(Calculator!E40&gt;0,VLOOKUP(Calculator!E40,tbSkills!AI3:AJ5,2,FALSE),Backdoors!AL4)*(IF((Backdoors!AI12+IF(B63&gt;=0.45,VLOOKUP(Calculator!E23,tbSkills!DH3:DI6,2,FALSE)+IF(AND(Calculator!B8=TRUE,Backdoors!BI3=TRUE),VLOOKUP(Calculator!E23,tbSkills!DH3:DJ6,3,FALSE),0),0))&gt;=100,100,(Backdoors!AI12+IF(B63&gt;=0.45,VLOOKUP(Calculator!E23,tbSkills!DH3:DI6,2,FALSE)+IF(AND(Calculator!B8=TRUE,Backdoors!BI3=TRUE),VLOOKUP(Calculator!E23,tbSkills!DH3:DJ6,3,FALSE),0),0)))/100)),1),1)</f>
        <v>0.6</v>
      </c>
      <c r="H63" s="87">
        <f t="shared" si="44"/>
        <v>7</v>
      </c>
      <c r="I63" s="86">
        <f>IFERROR(IF(VLOOKUP(A63,tbMoveset!A2:B112,2,FALSE)="Sever",Backdoors!AY4/100,IF(VLOOKUP(A63,tbMoveset!A2:B112,2,FALSE)="Blunt",Backdoors!AZ4/100,Backdoors!BA4/100)),"")</f>
        <v>0.65</v>
      </c>
      <c r="J63" s="49">
        <f>IFERROR(IF(VLOOKUP(tbMoveset!A63,tbMoveset!A2:H112,8,FALSE)="Other",IF(VLOOKUP(tbMoveset!A63,tbMoveset!A2:I112,9,FALSE)="Fire",Backdoors!BB4,IF(VLOOKUP(tbMoveset!A63,tbMoveset!A2:I112,9,FALSE)="Water",Backdoors!BC4,IF(VLOOKUP(tbMoveset!A63,tbMoveset!A2:I112,9,FALSE)="Thunder",Backdoors!BD4,IF(VLOOKUP(tbMoveset!A63,tbMoveset!A2:I112,9,FALSE)="Ice",Backdoors!BE4,IF(VLOOKUP(tbMoveset!A63,tbMoveset!A2:I112,9,FALSE)="Dragon",Backdoors!BF4,Backdoors!BG4)))))/100,Backdoors!BG4/100),"")</f>
        <v>0</v>
      </c>
      <c r="K63" s="49">
        <f>IFERROR(IF(VLOOKUP(A63,tbMoveset!A2:J112,10,FALSE)=TRUE,IF((Backdoors!AI12+IF(I63&gt;=0.45,VLOOKUP(Calculator!E23,tbSkills!DH3:DI6,2,FALSE)+IF(AND(Calculator!B8=TRUE,Backdoors!BI4=TRUE),VLOOKUP(Calculator!E23,tbSkills!DH3:DJ6,3,FALSE),0),0))&gt;=0,1+(Backdoors!AL2*(IF((Backdoors!AI12+IF(I63&gt;=0.45,VLOOKUP(Calculator!E23,tbSkills!DH3:DI6,2,FALSE)+IF(AND(Calculator!B8=TRUE,Backdoors!BI4=TRUE),VLOOKUP(Calculator!E23,tbSkills!DH3:DJ6,3,FALSE),0),0))&gt;=100,100,(Backdoors!AI12+IF(I63&gt;=0.45,VLOOKUP(Calculator!E23,tbSkills!DH3:DI6,2,FALSE)+IF(AND(Calculator!B8=TRUE,Backdoors!BI4=TRUE),VLOOKUP(Calculator!E23,tbSkills!DH3:DJ6,3,FALSE),0),0)))/100)),(1-(0.25*((-Backdoors!AI12-IF(I63&gt;=0.45,VLOOKUP(Calculator!E23,tbSkills!DH3:DI6,2,FALSE)+IF(AND(Calculator!B8=TRUE,Backdoors!BI4=TRUE),VLOOKUP(Calculator!E23,tbSkills!DH3:DJ6,3,FALSE),0),0))/100)))),1),"")</f>
        <v>1</v>
      </c>
      <c r="L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63)*K63)*(VLOOKUP(A63,tbMoveset!A2:C112,3,FALSE)/100)*IF(VLOOKUP(A63,tbMoveset!A2:B112,2,FALSE)="Projectile",Backdoors!N10,Backdoors!N9),0),"")</f>
        <v>6</v>
      </c>
      <c r="M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I63&gt;=0.45,VLOOKUP(Calculator!E23,tbSkills!DH3:DI6,2,FALSE)+IF(AND(Calculator!B8=TRUE,Backdoors!BI4=TRUE),VLOOKUP(Calculator!E23,tbSkills!DH3:DJ6,3,FALSE),0),0))&gt;=100,100,(Backdoors!AI12+IF(I63&gt;=0.45,VLOOKUP(Calculator!E23,tbSkills!DH3:DI6,2,FALSE)+IF(AND(Calculator!B8=TRUE,Backdoors!BI4=TRUE),VLOOKUP(Calculator!E23,tbSkills!DH3:DJ6,3,FALSE),0),0)))/100)),1))*IF(VLOOKUP(A63,tbMoveset!A2:K112,11,FALSE)=TRUE,Backdoors!AC5,1))*J63,0),"")</f>
        <v>0</v>
      </c>
      <c r="N63" s="49">
        <f>VLOOKUP(A63,tbMoveset!A2:G112,7,FALSE)*IFERROR(IF(Backdoors!AI12&gt;=0,1+(IF(Calculator!E40&gt;0,VLOOKUP(Calculator!E40,tbSkills!AI3:AJ5,2,FALSE),Backdoors!AL4)*(IF((Backdoors!AI12+IF(I63&gt;=0.45,VLOOKUP(Calculator!E23,tbSkills!DH3:DI6,2,FALSE)+IF(AND(Calculator!B8=TRUE,Backdoors!BI4=TRUE),VLOOKUP(Calculator!E23,tbSkills!DH3:DJ6,3,FALSE),0),0))&gt;=100,100,(Backdoors!AI12+IF(I63&gt;=0.45,VLOOKUP(Calculator!E23,tbSkills!DH3:DI6,2,FALSE)+IF(AND(Calculator!B8=TRUE,Backdoors!BI4=TRUE),VLOOKUP(Calculator!E23,tbSkills!DH3:DJ6,3,FALSE),0),0)))/100)),1),1)</f>
        <v>0.6</v>
      </c>
      <c r="O63" s="87">
        <f t="shared" si="45"/>
        <v>6</v>
      </c>
      <c r="P63" s="86">
        <f>IFERROR(IF(VLOOKUP(A63,tbMoveset!A2:B112,2,FALSE)="Sever",Backdoors!AY5/100,IF(VLOOKUP(A63,tbMoveset!A2:B112,2,FALSE)="Blunt",Backdoors!AZ5/100,Backdoors!BA5/100)),"")</f>
        <v>0.5</v>
      </c>
      <c r="Q63" s="49">
        <f>IFERROR(IF(VLOOKUP(tbMoveset!A63,tbMoveset!A2:H112,8,FALSE)="Other",IF(VLOOKUP(tbMoveset!A63,tbMoveset!A2:I112,9,FALSE)="Fire",Backdoors!BB5,IF(VLOOKUP(tbMoveset!A63,tbMoveset!A2:I112,9,FALSE)="Water",Backdoors!BC5,IF(VLOOKUP(tbMoveset!A63,tbMoveset!A2:I112,9,FALSE)="Thunder",Backdoors!BD5,IF(VLOOKUP(tbMoveset!A63,tbMoveset!A2:I112,9,FALSE)="Ice",Backdoors!BE5,IF(VLOOKUP(tbMoveset!A63,tbMoveset!A2:I112,9,FALSE)="Dragon",Backdoors!BF5,Backdoors!BG5)))))/100,Backdoors!BG5/100),"")</f>
        <v>0</v>
      </c>
      <c r="R63" s="49">
        <f>IFERROR(IF(VLOOKUP(A63,tbMoveset!A2:J112,10,FALSE)=TRUE,IF((Backdoors!AI12+IF(P63&gt;=0.45,VLOOKUP(Calculator!E23,tbSkills!DH3:DI6,2,FALSE)+IF(AND(Calculator!B8=TRUE,Backdoors!BI5=TRUE),VLOOKUP(Calculator!E23,tbSkills!DH3:DJ6,3,FALSE),0),0))&gt;=0,1+(Backdoors!AL2*(IF((Backdoors!AI12+IF(P63&gt;=0.45,VLOOKUP(Calculator!E23,tbSkills!DH3:DI6,2,FALSE)+IF(AND(Calculator!B8=TRUE,Backdoors!BI5=TRUE),VLOOKUP(Calculator!E23,tbSkills!DH3:DJ6,3,FALSE),0),0))&gt;=100,100,(Backdoors!AI12+IF(P63&gt;=0.45,VLOOKUP(Calculator!E23,tbSkills!DH3:DI6,2,FALSE)+IF(AND(Calculator!B8=TRUE,Backdoors!BI5=TRUE),VLOOKUP(Calculator!E23,tbSkills!DH3:DJ6,3,FALSE),0),0)))/100)),(1-(0.25*((-Backdoors!AI12-IF(P63&gt;=0.45,VLOOKUP(Calculator!E23,tbSkills!DH3:DI6,2,FALSE)+IF(AND(Calculator!B8=TRUE,Backdoors!BI5=TRUE),VLOOKUP(Calculator!E23,tbSkills!DH3:DJ6,3,FALSE),0),0))/100)))),1),"")</f>
        <v>1</v>
      </c>
      <c r="S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P63)*R63)*(VLOOKUP(A63,tbMoveset!A2:C112,3,FALSE)/100)*IF(VLOOKUP(A63,tbMoveset!A2:B112,2,FALSE)="Projectile",Backdoors!N10,Backdoors!N9),0),"")</f>
        <v>5</v>
      </c>
      <c r="T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P63&gt;=0.45,VLOOKUP(Calculator!E23,tbSkills!DH3:DI6,2,FALSE)+IF(AND(Calculator!B8=TRUE,Backdoors!BI5=TRUE),VLOOKUP(Calculator!E23,tbSkills!DH3:DJ6,3,FALSE),0),0))&gt;=100,100,(Backdoors!AI12+IF(P63&gt;=0.45,VLOOKUP(Calculator!E23,tbSkills!DH3:DI6,2,FALSE)+IF(AND(Calculator!B8=TRUE,Backdoors!BI5=TRUE),VLOOKUP(Calculator!E23,tbSkills!DH3:DJ6,3,FALSE),0),0)))/100)),1))*IF(VLOOKUP(A63,tbMoveset!A2:K112,11,FALSE)=TRUE,Backdoors!AC5,1))*Q63,0),"")</f>
        <v>0</v>
      </c>
      <c r="U63" s="49">
        <f>VLOOKUP(A63,tbMoveset!A2:G112,7,FALSE)*IFERROR(IF(Backdoors!AI12&gt;=0,1+(IF(Calculator!E40&gt;0,VLOOKUP(Calculator!E40,tbSkills!AI3:AJ5,2,FALSE),Backdoors!AL4)*(IF((Backdoors!AI12+IF(P63&gt;=0.45,VLOOKUP(Calculator!E23,tbSkills!DH3:DI6,2,FALSE)+IF(AND(Calculator!B8=TRUE,Backdoors!BI5=TRUE),VLOOKUP(Calculator!E23,tbSkills!DH3:DJ6,3,FALSE),0),0))&gt;=100,100,(Backdoors!AI12+IF(P63&gt;=0.45,VLOOKUP(Calculator!E23,tbSkills!DH3:DI6,2,FALSE)+IF(AND(Calculator!B8=TRUE,Backdoors!BI5=TRUE),VLOOKUP(Calculator!E23,tbSkills!DH3:DJ6,3,FALSE),0),0)))/100)),1),1)</f>
        <v>0.6</v>
      </c>
      <c r="V63" s="87">
        <f t="shared" si="46"/>
        <v>5</v>
      </c>
      <c r="W63" s="86">
        <f>IFERROR(IF(VLOOKUP(A63,tbMoveset!A2:B112,2,FALSE)="Sever",Backdoors!AY6/100,IF(VLOOKUP(A63,tbMoveset!A2:B112,2,FALSE)="Blunt",Backdoors!AZ6/100,Backdoors!BA6/100)),"")</f>
        <v>0.45</v>
      </c>
      <c r="X63" s="49">
        <f>IFERROR(IF(VLOOKUP(tbMoveset!A63,tbMoveset!A2:H112,8,FALSE)="Other",IF(VLOOKUP(tbMoveset!A63,tbMoveset!A2:I112,9,FALSE)="Fire",Backdoors!BB6,IF(VLOOKUP(tbMoveset!A63,tbMoveset!A2:I112,9,FALSE)="Water",Backdoors!BC6,IF(VLOOKUP(tbMoveset!A63,tbMoveset!A2:I112,9,FALSE)="Thunder",Backdoors!BD6,IF(VLOOKUP(tbMoveset!A63,tbMoveset!A2:I112,9,FALSE)="Ice",Backdoors!BE6,IF(VLOOKUP(tbMoveset!A63,tbMoveset!A2:I112,9,FALSE)="Dragon",Backdoors!BF6,Backdoors!BG6)))))/100,Backdoors!BG6/100),"")</f>
        <v>0</v>
      </c>
      <c r="Y63" s="49">
        <f>IFERROR(IF(VLOOKUP(A63,tbMoveset!A2:J112,10,FALSE)=TRUE,IF((Backdoors!AI12+IF(W63&gt;=0.45,VLOOKUP(Calculator!E23,tbSkills!DH3:DI6,2,FALSE)+IF(AND(Calculator!B8=TRUE,Backdoors!BI6=TRUE),VLOOKUP(Calculator!E23,tbSkills!DH3:DJ6,3,FALSE),0),0))&gt;=0,1+(Backdoors!AL2*(IF((Backdoors!AI12+IF(W63&gt;=0.45,VLOOKUP(Calculator!E23,tbSkills!DH3:DI6,2,FALSE)+IF(AND(Calculator!B8=TRUE,Backdoors!BI6=TRUE),VLOOKUP(Calculator!E23,tbSkills!DH3:DJ6,3,FALSE),0),0))&gt;=100,100,(Backdoors!AI12+IF(W63&gt;=0.45,VLOOKUP(Calculator!E23,tbSkills!DH3:DI6,2,FALSE)+IF(AND(Calculator!B8=TRUE,Backdoors!BI6=TRUE),VLOOKUP(Calculator!E23,tbSkills!DH3:DJ6,3,FALSE),0),0)))/100)),(1-(0.25*((-Backdoors!AI12-IF(W63&gt;=0.45,VLOOKUP(Calculator!E23,tbSkills!DH3:DI6,2,FALSE)+IF(AND(Calculator!B8=TRUE,Backdoors!BI6=TRUE),VLOOKUP(Calculator!E23,tbSkills!DH3:DJ6,3,FALSE),0),0))/100)))),1),"")</f>
        <v>1</v>
      </c>
      <c r="Z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W63)*Y63)*(VLOOKUP(A63,tbMoveset!A2:C112,3,FALSE)/100)*IF(VLOOKUP(A63,tbMoveset!A2:B112,2,FALSE)="Projectile",Backdoors!N10,Backdoors!N9),0),"")</f>
        <v>4</v>
      </c>
      <c r="AA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W63&gt;=0.45,VLOOKUP(Calculator!E23,tbSkills!DH3:DI6,2,FALSE)+IF(AND(Calculator!B8=TRUE,Backdoors!BI6=TRUE),VLOOKUP(Calculator!E23,tbSkills!DH3:DJ6,3,FALSE),0),0))&gt;=100,100,(Backdoors!AI12+IF(W63&gt;=0.45,VLOOKUP(Calculator!E23,tbSkills!DH3:DI6,2,FALSE)+IF(AND(Calculator!B8=TRUE,Backdoors!BI6=TRUE),VLOOKUP(Calculator!E23,tbSkills!DH3:DJ6,3,FALSE),0),0)))/100)),1))*IF(VLOOKUP(A63,tbMoveset!A2:K112,11,FALSE)=TRUE,Backdoors!AC5,1))*X63,0),"")</f>
        <v>0</v>
      </c>
      <c r="AB63" s="49">
        <f>VLOOKUP(A63,tbMoveset!A2:G112,7,FALSE)*IFERROR(IF(Backdoors!AI12&gt;=0,1+(IF(Calculator!E40&gt;0,VLOOKUP(Calculator!E40,tbSkills!AI3:AJ5,2,FALSE),Backdoors!AL4)*(IF((Backdoors!AI12+IF(W63&gt;=0.45,VLOOKUP(Calculator!E23,tbSkills!DH3:DI6,2,FALSE)+IF(AND(Calculator!B8=TRUE,Backdoors!BI6=TRUE),VLOOKUP(Calculator!E23,tbSkills!DH3:DJ6,3,FALSE),0),0))&gt;=100,100,(Backdoors!AI12+IF(W63&gt;=0.45,VLOOKUP(Calculator!E23,tbSkills!DH3:DI6,2,FALSE)+IF(AND(Calculator!B8=TRUE,Backdoors!BI6=TRUE),VLOOKUP(Calculator!E23,tbSkills!DH3:DJ6,3,FALSE),0),0)))/100)),1),1)</f>
        <v>0.6</v>
      </c>
      <c r="AC63" s="87">
        <f t="shared" si="47"/>
        <v>4</v>
      </c>
      <c r="AD63" s="86">
        <f>IFERROR(IF(VLOOKUP(A63,tbMoveset!A2:B112,2,FALSE)="Sever",Backdoors!AY7/100,IF(VLOOKUP(A63,tbMoveset!A2:B112,2,FALSE)="Blunt",Backdoors!AZ7/100,Backdoors!BA7/100)),"")</f>
        <v>0.65</v>
      </c>
      <c r="AE63" s="49">
        <f>IFERROR(IF(VLOOKUP(tbMoveset!A63,tbMoveset!A2:H112,8,FALSE)="Other",IF(VLOOKUP(tbMoveset!A63,tbMoveset!A2:I112,9,FALSE)="Fire",Backdoors!BB7,IF(VLOOKUP(tbMoveset!A63,tbMoveset!A2:I112,9,FALSE)="Water",Backdoors!BC7,IF(VLOOKUP(tbMoveset!A63,tbMoveset!A2:I112,9,FALSE)="Thunder",Backdoors!BD7,IF(VLOOKUP(tbMoveset!A63,tbMoveset!A2:I112,9,FALSE)="Ice",Backdoors!BE7,IF(VLOOKUP(tbMoveset!A63,tbMoveset!A2:I112,9,FALSE)="Dragon",Backdoors!BF7,Backdoors!BG7)))))/100,Backdoors!BG7/100),"")</f>
        <v>0</v>
      </c>
      <c r="AF63" s="49">
        <f>IFERROR(IF(VLOOKUP(A63,tbMoveset!A2:J112,10,FALSE)=TRUE,IF((Backdoors!AI12+IF(AD63&gt;=0.45,VLOOKUP(Calculator!E23,tbSkills!DH3:DI6,2,FALSE)+IF(AND(Calculator!B8=TRUE,Backdoors!BI7=TRUE),VLOOKUP(Calculator!E23,tbSkills!DH3:DJ6,3,FALSE),0),0))&gt;=0,1+(Backdoors!AL2*(IF((Backdoors!AI12+IF(AD63&gt;=0.45,VLOOKUP(Calculator!E23,tbSkills!DH3:DI6,2,FALSE)+IF(AND(Calculator!B8=TRUE,Backdoors!BI7=TRUE),VLOOKUP(Calculator!E23,tbSkills!DH3:DJ6,3,FALSE),0),0))&gt;=100,100,(Backdoors!AI12+IF(AD63&gt;=0.45,VLOOKUP(Calculator!E23,tbSkills!DH3:DI6,2,FALSE)+IF(AND(Calculator!B8=TRUE,Backdoors!BI7=TRUE),VLOOKUP(Calculator!E23,tbSkills!DH3:DJ6,3,FALSE),0),0)))/100)),(1-(0.25*((-Backdoors!AI12-IF(AD63&gt;=0.45,VLOOKUP(Calculator!E23,tbSkills!DH3:DI6,2,FALSE)+IF(AND(Calculator!B8=TRUE,Backdoors!BI7=TRUE),VLOOKUP(Calculator!E23,tbSkills!DH3:DJ6,3,FALSE),0),0))/100)))),1),"")</f>
        <v>1</v>
      </c>
      <c r="AG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D63)*AF63)*(VLOOKUP(A63,tbMoveset!A2:C112,3,FALSE)/100)*IF(VLOOKUP(A63,tbMoveset!A2:B112,2,FALSE)="Projectile",Backdoors!N10,Backdoors!N9),0),"")</f>
        <v>6</v>
      </c>
      <c r="AH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D63&gt;=0.45,VLOOKUP(Calculator!E23,tbSkills!DH3:DI6,2,FALSE)+IF(AND(Calculator!B8=TRUE,Backdoors!BI7=TRUE),VLOOKUP(Calculator!E23,tbSkills!DH3:DJ6,3,FALSE),0),0))&gt;=100,100,(Backdoors!AI12+IF(AD63&gt;=0.45,VLOOKUP(Calculator!E23,tbSkills!DH3:DI6,2,FALSE)+IF(AND(Calculator!B8=TRUE,Backdoors!BI7=TRUE),VLOOKUP(Calculator!E23,tbSkills!DH3:DJ6,3,FALSE),0),0)))/100)),1))*IF(VLOOKUP(A63,tbMoveset!A2:K112,11,FALSE)=TRUE,Backdoors!AC5,1))*AE63,0),"")</f>
        <v>0</v>
      </c>
      <c r="AI63" s="49">
        <f>VLOOKUP(A63,tbMoveset!A2:G112,7,FALSE)*IFERROR(IF(Backdoors!AI12&gt;=0,1+(IF(Calculator!E40&gt;0,VLOOKUP(Calculator!E40,tbSkills!AI3:AJ5,2,FALSE),Backdoors!AL4)*(IF((Backdoors!AI12+IF(AD63&gt;=0.45,VLOOKUP(Calculator!E23,tbSkills!DH3:DI6,2,FALSE)+IF(AND(Calculator!B8=TRUE,Backdoors!BI7=TRUE),VLOOKUP(Calculator!E23,tbSkills!DH3:DJ6,3,FALSE),0),0))&gt;=100,100,(Backdoors!AI12+IF(AD63&gt;=0.45,VLOOKUP(Calculator!E23,tbSkills!DH3:DI6,2,FALSE)+IF(AND(Calculator!B8=TRUE,Backdoors!BI7=TRUE),VLOOKUP(Calculator!E23,tbSkills!DH3:DJ6,3,FALSE),0),0)))/100)),1),1)</f>
        <v>0.6</v>
      </c>
      <c r="AJ63" s="87">
        <f t="shared" si="48"/>
        <v>6</v>
      </c>
      <c r="AK63" s="91">
        <f>IFERROR(IF(VLOOKUP(A63,tbMoveset!A2:B112,2,FALSE)="Sever",Backdoors!AY8/100,IF(VLOOKUP(A63,tbMoveset!A2:B112,2,FALSE)="Blunt",Backdoors!AZ8/100,Backdoors!BA8/100)),"")</f>
        <v>0.45</v>
      </c>
      <c r="AL63" s="49">
        <f>IFERROR(IF(VLOOKUP(tbMoveset!A63,tbMoveset!A2:H112,8,FALSE)="Other",IF(VLOOKUP(tbMoveset!A63,tbMoveset!A2:I112,9,FALSE)="Fire",Backdoors!BB8,IF(VLOOKUP(tbMoveset!A63,tbMoveset!A2:I112,9,FALSE)="Water",Backdoors!BC8,IF(VLOOKUP(tbMoveset!A63,tbMoveset!A2:I112,9,FALSE)="Thunder",Backdoors!BD8,IF(VLOOKUP(tbMoveset!A63,tbMoveset!A2:I112,9,FALSE)="Ice",Backdoors!BE8,IF(VLOOKUP(tbMoveset!A63,tbMoveset!A2:I112,9,FALSE)="Dragon",Backdoors!BF8,Backdoors!BG8)))))/100,Backdoors!BG8/100),"")</f>
        <v>0</v>
      </c>
      <c r="AM63" s="49">
        <f>IFERROR(IF(VLOOKUP(A63,tbMoveset!A2:J112,10,FALSE)=TRUE,IF((Backdoors!AI12+IF(AK63&gt;=0.45,VLOOKUP(Calculator!E23,tbSkills!DH3:DI6,2,FALSE)+IF(AND(Calculator!B8=TRUE,Backdoors!BI8=TRUE),VLOOKUP(Calculator!E23,tbSkills!DH3:DJ6,3,FALSE),0),0))&gt;=0,1+(Backdoors!AL2*(IF((Backdoors!AI12+IF(AK63&gt;=0.45,VLOOKUP(Calculator!E23,tbSkills!DH3:DI6,2,FALSE)+IF(AND(Calculator!B8=TRUE,Backdoors!BI8=TRUE),VLOOKUP(Calculator!E23,tbSkills!DH3:DJ6,3,FALSE),0),0))&gt;=100,100,(Backdoors!AI12+IF(AK63&gt;=0.45,VLOOKUP(Calculator!E23,tbSkills!DH3:DI6,2,FALSE)+IF(AND(Calculator!B8=TRUE,Backdoors!BI8=TRUE),VLOOKUP(Calculator!E23,tbSkills!DH3:DJ6,3,FALSE),0),0)))/100)),(1-(0.25*((-Backdoors!AI12-IF(AK63&gt;=0.45,VLOOKUP(Calculator!E23,tbSkills!DH3:DI6,2,FALSE)+IF(AND(Calculator!B8=TRUE,Backdoors!BI8=TRUE),VLOOKUP(Calculator!E23,tbSkills!DH3:DJ6,3,FALSE),0),0))/100)))),1),"")</f>
        <v>1</v>
      </c>
      <c r="AN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K63)*AM63)*(VLOOKUP(A63,tbMoveset!A2:C112,3,FALSE)/100)*IF(VLOOKUP(A63,tbMoveset!A2:B112,2,FALSE)="Projectile",Backdoors!N10,Backdoors!N9),0),"")</f>
        <v>4</v>
      </c>
      <c r="AO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K63&gt;=0.45,VLOOKUP(Calculator!E23,tbSkills!DH3:DI6,2,FALSE)+IF(AND(Calculator!B8=TRUE,Backdoors!BI8=TRUE),VLOOKUP(Calculator!E23,tbSkills!DH3:DJ6,3,FALSE),0),0))&gt;=100,100,(Backdoors!AI12+IF(AK63&gt;=0.45,VLOOKUP(Calculator!E23,tbSkills!DH3:DI6,2,FALSE)+IF(AND(Calculator!B8=TRUE,Backdoors!BI8=TRUE),VLOOKUP(Calculator!E23,tbSkills!DH3:DJ6,3,FALSE),0),0)))/100)),1))*IF(VLOOKUP(A63,tbMoveset!A2:K112,11,FALSE)=TRUE,Backdoors!AC5,1))*AL63,0),"")</f>
        <v>0</v>
      </c>
      <c r="AP63" s="49">
        <f>VLOOKUP(A63,tbMoveset!A2:G112,7,FALSE)*IFERROR(IF(Backdoors!AI12&gt;=0,1+(IF(Calculator!E40&gt;0,VLOOKUP(Calculator!E40,tbSkills!AI3:AJ5,2,FALSE),Backdoors!AL4)*(IF((Backdoors!AI12+IF(AK63&gt;=0.45,VLOOKUP(Calculator!E23,tbSkills!DH3:DI6,2,FALSE)+IF(AND(Calculator!B8=TRUE,Backdoors!BI8=TRUE),VLOOKUP(Calculator!E23,tbSkills!DH3:DJ6,3,FALSE),0),0))&gt;=100,100,(Backdoors!AI12+IF(AK63&gt;=0.45,VLOOKUP(Calculator!E23,tbSkills!DH3:DI6,2,FALSE)+IF(AND(Calculator!B8=TRUE,Backdoors!BI8=TRUE),VLOOKUP(Calculator!E23,tbSkills!DH3:DJ6,3,FALSE),0),0)))/100)),1),1)</f>
        <v>0.6</v>
      </c>
      <c r="AQ63" s="87">
        <f t="shared" si="49"/>
        <v>4</v>
      </c>
      <c r="AR63" s="86">
        <f>IFERROR(IF(VLOOKUP(A63,tbMoveset!A2:B112,2,FALSE)="Sever",Backdoors!AY9/100,IF(VLOOKUP(A63,tbMoveset!A2:B112,2,FALSE)="Blunt",Backdoors!AZ9/100,Backdoors!BA9/100)),"")</f>
        <v>0.45</v>
      </c>
      <c r="AS63" s="49">
        <f>IFERROR(IF(VLOOKUP(tbMoveset!A63,tbMoveset!A2:H112,8,FALSE)="Other",IF(VLOOKUP(tbMoveset!A63,tbMoveset!A2:I112,9,FALSE)="Fire",Backdoors!BB9,IF(VLOOKUP(tbMoveset!A63,tbMoveset!A2:I112,9,FALSE)="Water",Backdoors!BC9,IF(VLOOKUP(tbMoveset!A63,tbMoveset!A2:I112,9,FALSE)="Thunder",Backdoors!BD9,IF(VLOOKUP(tbMoveset!A63,tbMoveset!A2:I112,9,FALSE)="Ice",Backdoors!BE9,IF(VLOOKUP(tbMoveset!A63,tbMoveset!A2:I112,9,FALSE)="Dragon",Backdoors!BF9,Backdoors!BG9)))))/100,Backdoors!BG9/100),"")</f>
        <v>0</v>
      </c>
      <c r="AT63" s="49">
        <f>IFERROR(IF(VLOOKUP(A63,tbMoveset!A2:J112,10,FALSE)=TRUE,IF((Backdoors!AI12+IF(AR63&gt;=0.45,VLOOKUP(Calculator!E23,tbSkills!DH3:DI6,2,FALSE)+IF(AND(Calculator!B8=TRUE,Backdoors!BI9=TRUE),VLOOKUP(Calculator!E23,tbSkills!DH3:DJ6,3,FALSE),0),0))&gt;=0,1+(Backdoors!AL2*(IF((Backdoors!AI12+IF(AR63&gt;=0.45,VLOOKUP(Calculator!E23,tbSkills!DH3:DI6,2,FALSE)+IF(AND(Calculator!B8=TRUE,Backdoors!BI9=TRUE),VLOOKUP(Calculator!E23,tbSkills!DH3:DJ6,3,FALSE),0),0))&gt;=100,100,(Backdoors!AI12+IF(AR63&gt;=0.45,VLOOKUP(Calculator!E23,tbSkills!DH3:DI6,2,FALSE)+IF(AND(Calculator!B8=TRUE,Backdoors!BI9=TRUE),VLOOKUP(Calculator!E23,tbSkills!DH3:DJ6,3,FALSE),0),0)))/100)),(1-(0.25*((-Backdoors!AI12-IF(AR63&gt;=0.45,VLOOKUP(Calculator!E23,tbSkills!DH3:DI6,2,FALSE)+IF(AND(Calculator!B8=TRUE,Backdoors!BI9=TRUE),VLOOKUP(Calculator!E23,tbSkills!DH3:DJ6,3,FALSE),0),0))/100)))),1),"")</f>
        <v>1</v>
      </c>
      <c r="AU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R63)*AT63)*(VLOOKUP(A63,tbMoveset!A2:C112,3,FALSE)/100)*IF(VLOOKUP(A63,tbMoveset!A2:B112,2,FALSE)="Projectile",Backdoors!N10,Backdoors!N9),0),"")</f>
        <v>4</v>
      </c>
      <c r="AV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R63&gt;=0.45,VLOOKUP(Calculator!E23,tbSkills!DH3:DI6,2,FALSE)+IF(AND(Calculator!B8=TRUE,Backdoors!BI9=TRUE),VLOOKUP(Calculator!E23,tbSkills!DH3:DJ6,3,FALSE),0),0))&gt;=100,100,(Backdoors!AI12+IF(AR63&gt;=0.45,VLOOKUP(Calculator!E23,tbSkills!DH3:DI6,2,FALSE)+IF(AND(Calculator!B8=TRUE,Backdoors!BI9=TRUE),VLOOKUP(Calculator!E23,tbSkills!DH3:DJ6,3,FALSE),0),0)))/100)),1))*IF(VLOOKUP(A63,tbMoveset!A2:K112,11,FALSE)=TRUE,Backdoors!AC5,1))*AS63,0),"")</f>
        <v>0</v>
      </c>
      <c r="AW63" s="49">
        <f>VLOOKUP(A63,tbMoveset!A2:G112,7,FALSE)*IFERROR(IF(Backdoors!AI12&gt;=0,1+(IF(Calculator!E40&gt;0,VLOOKUP(Calculator!E40,tbSkills!AI3:AJ5,2,FALSE),Backdoors!AL4)*(IF((Backdoors!AI12+IF(AR63&gt;=0.45,VLOOKUP(Calculator!E23,tbSkills!DH3:DI6,2,FALSE)+IF(AND(Calculator!B8=TRUE,Backdoors!BI9=TRUE),VLOOKUP(Calculator!E23,tbSkills!DH3:DJ6,3,FALSE),0),0))&gt;=100,100,(Backdoors!AI12+IF(AR63&gt;=0.45,VLOOKUP(Calculator!E23,tbSkills!DH3:DI6,2,FALSE)+IF(AND(Calculator!B8=TRUE,Backdoors!BI9=TRUE),VLOOKUP(Calculator!E23,tbSkills!DH3:DJ6,3,FALSE),0),0)))/100)),1),1)</f>
        <v>0.6</v>
      </c>
      <c r="AX63" s="87">
        <f t="shared" si="50"/>
        <v>4</v>
      </c>
      <c r="AY63" s="86">
        <f>IFERROR(IF(VLOOKUP(A63,tbMoveset!A2:B112,2,FALSE)="Sever",Backdoors!AY10/100,IF(VLOOKUP(A63,tbMoveset!A2:B112,2,FALSE)="Blunt",Backdoors!AZ10/100,Backdoors!BA10/100)),"")</f>
        <v>0.9</v>
      </c>
      <c r="AZ63" s="49">
        <f>IFERROR(IF(VLOOKUP(tbMoveset!A63,tbMoveset!A2:H112,8,FALSE)="Other",IF(VLOOKUP(tbMoveset!A63,tbMoveset!A2:I112,9,FALSE)="Fire",Backdoors!BB10,IF(VLOOKUP(tbMoveset!A63,tbMoveset!A2:I112,9,FALSE)="Water",Backdoors!BC10,IF(VLOOKUP(tbMoveset!A63,tbMoveset!A2:I112,9,FALSE)="Thunder",Backdoors!BD10,IF(VLOOKUP(tbMoveset!A63,tbMoveset!A2:I112,9,FALSE)="Ice",Backdoors!BE10,IF(VLOOKUP(tbMoveset!A63,tbMoveset!A2:I112,9,FALSE)="Dragon",Backdoors!BF10,Backdoors!BG10)))))/100,Backdoors!BG10/100),"")</f>
        <v>0</v>
      </c>
      <c r="BA63" s="49">
        <f>IFERROR(IF(VLOOKUP(A63,tbMoveset!A2:J112,10,FALSE)=TRUE,IF((Backdoors!AI12+IF(AY63&gt;=0.45,VLOOKUP(Calculator!E23,tbSkills!DH3:DI6,2,FALSE)+IF(AND(Calculator!B8=TRUE,Backdoors!BI10=TRUE),VLOOKUP(Calculator!E23,tbSkills!DH3:DJ6,3,FALSE),0),0))&gt;=0,1+(Backdoors!AL2*(IF((Backdoors!AI12+IF(AY63&gt;=0.45,VLOOKUP(Calculator!E23,tbSkills!DH3:DI6,2,FALSE)+IF(AND(Calculator!B8=TRUE,Backdoors!BI10=TRUE),VLOOKUP(Calculator!E23,tbSkills!DH3:DJ6,3,FALSE),0),0))&gt;=100,100,(Backdoors!AI12+IF(AY63&gt;=0.45,VLOOKUP(Calculator!E23,tbSkills!DH3:DI6,2,FALSE)+IF(AND(Calculator!B8=TRUE,Backdoors!BI10=TRUE),VLOOKUP(Calculator!E23,tbSkills!DH3:DJ6,3,FALSE),0),0)))/100)),(1-(0.25*((-Backdoors!AI12-IF(AY63&gt;=0.45,VLOOKUP(Calculator!E23,tbSkills!DH3:DI6,2,FALSE)+IF(AND(Calculator!B8=TRUE,Backdoors!BI10=TRUE),VLOOKUP(Calculator!E23,tbSkills!DH3:DJ6,3,FALSE),0),0))/100)))),1),"")</f>
        <v>1</v>
      </c>
      <c r="BB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Y63)*BA63)*(VLOOKUP(A63,tbMoveset!A2:C112,3,FALSE)/100)*IF(VLOOKUP(A63,tbMoveset!A2:B112,2,FALSE)="Projectile",Backdoors!N10,Backdoors!N9),0),"")</f>
        <v>8</v>
      </c>
      <c r="BC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Y63&gt;=0.45,VLOOKUP(Calculator!E23,tbSkills!DH3:DI6,2,FALSE)+IF(AND(Calculator!B8=TRUE,Backdoors!BI10=TRUE),VLOOKUP(Calculator!E23,tbSkills!DH3:DJ6,3,FALSE),0),0))&gt;=100,100,(Backdoors!AI12+IF(AY63&gt;=0.45,VLOOKUP(Calculator!E23,tbSkills!DH3:DI6,2,FALSE)+IF(AND(Calculator!B8=TRUE,Backdoors!BI10=TRUE),VLOOKUP(Calculator!E23,tbSkills!DH3:DJ6,3,FALSE),0),0)))/100)),1))*IF(VLOOKUP(A63,tbMoveset!A2:K112,11,FALSE)=TRUE,Backdoors!AC5,1))*AZ63,0),"")</f>
        <v>0</v>
      </c>
      <c r="BD63" s="49">
        <f>VLOOKUP(A63,tbMoveset!A2:G112,7,FALSE)*IFERROR(IF(Backdoors!AI12&gt;=0,1+(IF(Calculator!E40&gt;0,VLOOKUP(Calculator!E40,tbSkills!AI3:AJ5,2,FALSE),Backdoors!AL4)*(IF((Backdoors!AI12+IF(AY63&gt;=0.45,VLOOKUP(Calculator!E23,tbSkills!DH3:DI6,2,FALSE)+IF(AND(Calculator!B8=TRUE,Backdoors!BI10=TRUE),VLOOKUP(Calculator!E23,tbSkills!DH3:DJ6,3,FALSE),0),0))&gt;=100,100,(Backdoors!AI12+IF(AY63&gt;=0.45,VLOOKUP(Calculator!E23,tbSkills!DH3:DI6,2,FALSE)+IF(AND(Calculator!B8=TRUE,Backdoors!BI10=TRUE),VLOOKUP(Calculator!E23,tbSkills!DH3:DJ6,3,FALSE),0),0)))/100)),1),1)</f>
        <v>0.6</v>
      </c>
      <c r="BE63" s="87">
        <f t="shared" si="3"/>
        <v>8</v>
      </c>
      <c r="BF63" s="86" t="str">
        <f>IFERROR(IF(VLOOKUP(A63,tbMoveset!A2:B112,2,FALSE)="Sever",Backdoors!AY11/100,IF(VLOOKUP(A63,tbMoveset!A2:B112,2,FALSE)="Blunt",Backdoors!AZ11/100,Backdoors!BA11/100)),"")</f>
        <v/>
      </c>
      <c r="BG63" s="49">
        <f>IFERROR(IF(VLOOKUP(tbMoveset!A63,tbMoveset!A2:H112,8,FALSE)="Other",IF(VLOOKUP(tbMoveset!A63,tbMoveset!A2:I112,9,FALSE)="Fire",Backdoors!BB11,IF(VLOOKUP(tbMoveset!A63,tbMoveset!A2:I112,9,FALSE)="Water",Backdoors!BC11,IF(VLOOKUP(tbMoveset!A63,tbMoveset!A2:I112,9,FALSE)="Thunder",Backdoors!BD11,IF(VLOOKUP(tbMoveset!A63,tbMoveset!A2:I112,9,FALSE)="Ice",Backdoors!BE11,IF(VLOOKUP(tbMoveset!A63,tbMoveset!A2:I112,9,FALSE)="Dragon",Backdoors!BF11,Backdoors!BG11)))))/100,Backdoors!BG11/100),"")</f>
        <v>0</v>
      </c>
      <c r="BH63" s="49">
        <f>IFERROR(IF(VLOOKUP(A63,tbMoveset!A2:J112,10,FALSE)=TRUE,IF((Backdoors!AI12+IF(BF63&gt;=0.45,VLOOKUP(Calculator!E23,tbSkills!DH3:DI6,2,FALSE)+IF(AND(Calculator!B8=TRUE,Backdoors!BI11=TRUE),VLOOKUP(Calculator!E23,tbSkills!DH3:DJ6,3,FALSE),0),0))&gt;=0,1+(Backdoors!AL2*(IF((Backdoors!AI12+IF(BF63&gt;=0.45,VLOOKUP(Calculator!E23,tbSkills!DH3:DI6,2,FALSE)+IF(AND(Calculator!B8=TRUE,Backdoors!BI11=TRUE),VLOOKUP(Calculator!E23,tbSkills!DH3:DJ6,3,FALSE),0),0))&gt;=100,100,(Backdoors!AI12+IF(BF63&gt;=0.45,VLOOKUP(Calculator!E23,tbSkills!DH3:DI6,2,FALSE)+IF(AND(Calculator!B8=TRUE,Backdoors!BI11=TRUE),VLOOKUP(Calculator!E23,tbSkills!DH3:DJ6,3,FALSE),0),0)))/100)),(1-(0.25*((-Backdoors!AI12-IF(BF63&gt;=0.45,VLOOKUP(Calculator!E23,tbSkills!DH3:DI6,2,FALSE)+IF(AND(Calculator!B8=TRUE,Backdoors!BI11=TRUE),VLOOKUP(Calculator!E23,tbSkills!DH3:DJ6,3,FALSE),0),0))/100)))),1),"")</f>
        <v>1</v>
      </c>
      <c r="BI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F63)*BH63)*(VLOOKUP(A63,tbMoveset!A2:C112,3,FALSE)/100)*IF(VLOOKUP(A63,tbMoveset!A2:B112,2,FALSE)="Projectile",Backdoors!N10,Backdoors!N9),0),"")</f>
        <v/>
      </c>
      <c r="BJ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F63&gt;=0.45,VLOOKUP(Calculator!E23,tbSkills!DH3:DI6,2,FALSE)+IF(AND(Calculator!B8=TRUE,Backdoors!BI11=TRUE),VLOOKUP(Calculator!E23,tbSkills!DH3:DJ6,3,FALSE),0),0))&gt;=100,100,(Backdoors!AI12+IF(BF63&gt;=0.45,VLOOKUP(Calculator!E23,tbSkills!DH3:DI6,2,FALSE)+IF(AND(Calculator!B8=TRUE,Backdoors!BI11=TRUE),VLOOKUP(Calculator!E23,tbSkills!DH3:DJ6,3,FALSE),0),0)))/100)),1))*IF(VLOOKUP(A63,tbMoveset!A2:K112,11,FALSE)=TRUE,Backdoors!AC5,1))*BG63,0),"")</f>
        <v>0</v>
      </c>
      <c r="BK63" s="49">
        <f>VLOOKUP(A63,tbMoveset!A2:G112,7,FALSE)*IFERROR(IF(Backdoors!AI12&gt;=0,1+(IF(Calculator!E40&gt;0,VLOOKUP(Calculator!E40,tbSkills!AI3:AJ5,2,FALSE),Backdoors!AL4)*(IF((Backdoors!AI12+IF(BF63&gt;=0.45,VLOOKUP(Calculator!E23,tbSkills!DH3:DI6,2,FALSE)+IF(AND(Calculator!B8=TRUE,Backdoors!BI11=TRUE),VLOOKUP(Calculator!E23,tbSkills!DH3:DJ6,3,FALSE),0),0))&gt;=100,100,(Backdoors!AI12+IF(BF63&gt;=0.45,VLOOKUP(Calculator!E23,tbSkills!DH3:DI6,2,FALSE)+IF(AND(Calculator!B8=TRUE,Backdoors!BI11=TRUE),VLOOKUP(Calculator!E23,tbSkills!DH3:DJ6,3,FALSE),0),0)))/100)),1),1)</f>
        <v>0.6</v>
      </c>
      <c r="BL63" s="87">
        <f t="shared" si="4"/>
        <v>0</v>
      </c>
      <c r="BM63" s="86" t="str">
        <f>IFERROR(IF(VLOOKUP(A63,tbMoveset!A2:B112,2,FALSE)="Sever",Backdoors!AY12/100,IF(VLOOKUP(A63,tbMoveset!A2:B112,2,FALSE)="Blunt",Backdoors!AZ12/100,Backdoors!BA12/100)),"")</f>
        <v/>
      </c>
      <c r="BN63" s="49">
        <f>IFERROR(IF(VLOOKUP(tbMoveset!A63,tbMoveset!A2:H112,8,FALSE)="Other",IF(VLOOKUP(tbMoveset!A63,tbMoveset!A2:I112,9,FALSE)="Fire",Backdoors!BB12,IF(VLOOKUP(tbMoveset!A63,tbMoveset!A2:I112,9,FALSE)="Water",Backdoors!BC12,IF(VLOOKUP(tbMoveset!A63,tbMoveset!A2:I112,9,FALSE)="Thunder",Backdoors!BD12,IF(VLOOKUP(tbMoveset!A63,tbMoveset!A2:I112,9,FALSE)="Ice",Backdoors!BE12,IF(VLOOKUP(tbMoveset!A63,tbMoveset!A2:I112,9,FALSE)="Dragon",Backdoors!BF12,Backdoors!BG12)))))/100,Backdoors!BG12/100),"")</f>
        <v>0</v>
      </c>
      <c r="BO63" s="49">
        <f>IFERROR(IF(VLOOKUP(A63,tbMoveset!A2:J112,10,FALSE)=TRUE,IF((Backdoors!AI12+IF(BM63&gt;=0.45,VLOOKUP(Calculator!E23,tbSkills!DH3:DI6,2,FALSE)+IF(AND(Calculator!B8=TRUE,Backdoors!BI12=TRUE),VLOOKUP(Calculator!E23,tbSkills!DH3:DJ6,3,FALSE),0),0))&gt;=0,1+(Backdoors!AL2*(IF((Backdoors!AI12+IF(BM63&gt;=0.45,VLOOKUP(Calculator!E23,tbSkills!DH3:DI6,2,FALSE)+IF(AND(Calculator!B8=TRUE,Backdoors!BI12=TRUE),VLOOKUP(Calculator!E23,tbSkills!DH3:DJ6,3,FALSE),0),0))&gt;=100,100,(Backdoors!AI12+IF(BM63&gt;=0.45,VLOOKUP(Calculator!E23,tbSkills!DH3:DI6,2,FALSE)+IF(AND(Calculator!B8=TRUE,Backdoors!BI12=TRUE),VLOOKUP(Calculator!E23,tbSkills!DH3:DJ6,3,FALSE),0),0)))/100)),(1-(0.25*((-Backdoors!AI12-IF(BM63&gt;=0.45,VLOOKUP(Calculator!E23,tbSkills!DH3:DI6,2,FALSE)+IF(AND(Calculator!B8=TRUE,Backdoors!BI12=TRUE),VLOOKUP(Calculator!E23,tbSkills!DH3:DJ6,3,FALSE),0),0))/100)))),1),"")</f>
        <v>1</v>
      </c>
      <c r="BP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M63)*BO63)*(VLOOKUP(A63,tbMoveset!A2:C112,3,FALSE)/100)*IF(VLOOKUP(A63,tbMoveset!A2:B112,2,FALSE)="Projectile",Backdoors!N10,Backdoors!N9),0),"")</f>
        <v/>
      </c>
      <c r="BQ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M63&gt;=0.45,VLOOKUP(Calculator!E23,tbSkills!DH3:DI6,2,FALSE)+IF(AND(Calculator!B8=TRUE,Backdoors!BI12=TRUE),VLOOKUP(Calculator!E23,tbSkills!DH3:DJ6,3,FALSE),0),0))&gt;=100,100,(Backdoors!AI12+IF(BM63&gt;=0.45,VLOOKUP(Calculator!E23,tbSkills!DH3:DI6,2,FALSE)+IF(AND(Calculator!B8=TRUE,Backdoors!BI12=TRUE),VLOOKUP(Calculator!E23,tbSkills!DH3:DJ6,3,FALSE),0),0)))/100)),1))*IF(VLOOKUP(A63,tbMoveset!A2:K112,11,FALSE)=TRUE,Backdoors!AC5,1))*BN63,0),"")</f>
        <v>0</v>
      </c>
      <c r="BR63" s="49">
        <f>VLOOKUP(A63,tbMoveset!A2:G112,7,FALSE)*IFERROR(IF(Backdoors!AI12&gt;=0,1+(IF(Calculator!E40&gt;0,VLOOKUP(Calculator!E40,tbSkills!AI3:AJ5,2,FALSE),Backdoors!AL4)*(IF((Backdoors!AI12+IF(BM63&gt;=0.45,VLOOKUP(Calculator!E23,tbSkills!DH3:DI6,2,FALSE)+IF(AND(Calculator!B8=TRUE,Backdoors!BI12=TRUE),VLOOKUP(Calculator!E23,tbSkills!DH3:DJ6,3,FALSE),0),0))&gt;=100,100,(Backdoors!AI12+IF(BM63&gt;=0.45,VLOOKUP(Calculator!E23,tbSkills!DH3:DI6,2,FALSE)+IF(AND(Calculator!B8=TRUE,Backdoors!BI12=TRUE),VLOOKUP(Calculator!E23,tbSkills!DH3:DJ6,3,FALSE),0),0)))/100)),1),1)</f>
        <v>0.6</v>
      </c>
      <c r="BS63" s="87">
        <f t="shared" si="39"/>
        <v>0</v>
      </c>
      <c r="BT63" s="86" t="str">
        <f>IFERROR(IF(VLOOKUP(A63,tbMoveset!A2:B112,2,FALSE)="Sever",Backdoors!AY13/100,IF(VLOOKUP(A63,tbMoveset!A2:B112,2,FALSE)="Blunt",Backdoors!AZ13/100,Backdoors!BA13/100)),"")</f>
        <v/>
      </c>
      <c r="BU63" s="49">
        <f>IFERROR(IF(VLOOKUP(tbMoveset!A63,tbMoveset!A2:H112,8,FALSE)="Other",IF(VLOOKUP(tbMoveset!A63,tbMoveset!A2:I112,9,FALSE)="Fire",Backdoors!BB13,IF(VLOOKUP(tbMoveset!A63,tbMoveset!A2:I112,9,FALSE)="Water",Backdoors!BC13,IF(VLOOKUP(tbMoveset!A63,tbMoveset!A2:I112,9,FALSE)="Thunder",Backdoors!BD13,IF(VLOOKUP(tbMoveset!A63,tbMoveset!A2:I112,9,FALSE)="Ice",Backdoors!BE13,IF(VLOOKUP(tbMoveset!A63,tbMoveset!A2:I112,9,FALSE)="Dragon",Backdoors!BF13,Backdoors!BG13)))))/100,Backdoors!BG13/100),"")</f>
        <v>0</v>
      </c>
      <c r="BV63" s="49">
        <f>IFERROR(IF(VLOOKUP(A63,tbMoveset!A2:J112,10,FALSE)=TRUE,IF((Backdoors!AI12+IF(BT63&gt;=0.45,VLOOKUP(Calculator!E23,tbSkills!DH3:DI6,2,FALSE)+IF(AND(Calculator!B8=TRUE,Backdoors!BI13=TRUE),VLOOKUP(Calculator!E23,tbSkills!DH3:DJ6,3,FALSE),0),0))&gt;=0,1+(Backdoors!AL2*(IF((Backdoors!AI12+IF(BT63&gt;=0.45,VLOOKUP(Calculator!E23,tbSkills!DH3:DI6,2,FALSE)+IF(AND(Calculator!B8=TRUE,Backdoors!BI13=TRUE),VLOOKUP(Calculator!E23,tbSkills!DH3:DJ6,3,FALSE),0),0))&gt;=100,100,(Backdoors!AI12+IF(BT63&gt;=0.45,VLOOKUP(Calculator!E23,tbSkills!DH3:DI6,2,FALSE)+IF(AND(Calculator!B8=TRUE,Backdoors!BI13=TRUE),VLOOKUP(Calculator!E23,tbSkills!DH3:DJ6,3,FALSE),0),0)))/100)),(1-(0.25*((-Backdoors!AI12-IF(BT63&gt;=0.45,VLOOKUP(Calculator!E23,tbSkills!DH3:DI6,2,FALSE)+IF(AND(Calculator!B8=TRUE,Backdoors!BI13=TRUE),VLOOKUP(Calculator!E23,tbSkills!DH3:DJ6,3,FALSE),0),0))/100)))),1),"")</f>
        <v>1</v>
      </c>
      <c r="BW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T63)*BV63)*(VLOOKUP(A63,tbMoveset!A2:C112,3,FALSE)/100)*IF(VLOOKUP(A63,tbMoveset!A2:B112,2,FALSE)="Projectile",Backdoors!N10,Backdoors!N9),0),"")</f>
        <v/>
      </c>
      <c r="BX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T63&gt;=0.45,VLOOKUP(Calculator!E23,tbSkills!DH3:DI6,2,FALSE)+IF(AND(Calculator!B8=TRUE,Backdoors!BI13=TRUE),VLOOKUP(Calculator!E23,tbSkills!DH3:DJ6,3,FALSE),0),0))&gt;=100,100,(Backdoors!AI12+IF(BT63&gt;=0.45,VLOOKUP(Calculator!E23,tbSkills!DH3:DI6,2,FALSE)+IF(AND(Calculator!B8=TRUE,Backdoors!BI13=TRUE),VLOOKUP(Calculator!E23,tbSkills!DH3:DJ6,3,FALSE),0),0)))/100)),1))*IF(VLOOKUP(A63,tbMoveset!A2:K112,11,FALSE)=TRUE,Backdoors!AC5,1))*BU63,0),"")</f>
        <v>0</v>
      </c>
      <c r="BY63" s="49">
        <f>VLOOKUP(A63,tbMoveset!A2:G112,7,FALSE)*IFERROR(IF(Backdoors!AI12&gt;=0,1+(IF(Calculator!E40&gt;0,VLOOKUP(Calculator!E40,tbSkills!AI3:AJ5,2,FALSE),Backdoors!AL4)*(IF((Backdoors!AI12+IF(BT63&gt;=0.45,VLOOKUP(Calculator!E23,tbSkills!DH3:DI6,2,FALSE)+IF(AND(Calculator!B8=TRUE,Backdoors!BI13=TRUE),VLOOKUP(Calculator!E23,tbSkills!DH3:DJ6,3,FALSE),0),0))&gt;=100,100,(Backdoors!AI12+IF(BT63&gt;=0.45,VLOOKUP(Calculator!E23,tbSkills!DH3:DI6,2,FALSE)+IF(AND(Calculator!B8=TRUE,Backdoors!BI13=TRUE),VLOOKUP(Calculator!E23,tbSkills!DH3:DJ6,3,FALSE),0),0)))/100)),1),1)</f>
        <v>0.6</v>
      </c>
      <c r="BZ63" s="87">
        <f t="shared" si="5"/>
        <v>0</v>
      </c>
      <c r="CA63" s="86" t="str">
        <f>IFERROR(IF(VLOOKUP(A63,tbMoveset!A2:B112,2,FALSE)="Sever",Backdoors!AY14/100,IF(VLOOKUP(A63,tbMoveset!A2:B112,2,FALSE)="Blunt",Backdoors!AZ14/100,Backdoors!BA14/100)),"")</f>
        <v/>
      </c>
      <c r="CB63" s="49">
        <f>IFERROR(IF(VLOOKUP(tbMoveset!A63,tbMoveset!A2:H112,8,FALSE)="Other",IF(VLOOKUP(tbMoveset!A63,tbMoveset!A2:I112,9,FALSE)="Fire",Backdoors!BB14,IF(VLOOKUP(tbMoveset!A63,tbMoveset!A2:I112,9,FALSE)="Water",Backdoors!BC14,IF(VLOOKUP(tbMoveset!A63,tbMoveset!A2:I112,9,FALSE)="Thunder",Backdoors!BD14,IF(VLOOKUP(tbMoveset!A63,tbMoveset!A2:I112,9,FALSE)="Ice",Backdoors!BE14,IF(VLOOKUP(tbMoveset!A63,tbMoveset!A2:I112,9,FALSE)="Dragon",Backdoors!BF14,Backdoors!BG14)))))/100,Backdoors!BG14/100),"")</f>
        <v>0</v>
      </c>
      <c r="CC63" s="49">
        <f>IFERROR(IF(VLOOKUP(A63,tbMoveset!A2:J112,10,FALSE)=TRUE,IF((Backdoors!AI12+IF(CA63&gt;=0.45,VLOOKUP(Calculator!E23,tbSkills!DH3:DI6,2,FALSE)+IF(AND(Calculator!B8=TRUE,Backdoors!BI14=TRUE),VLOOKUP(Calculator!E23,tbSkills!DH3:DJ6,3,FALSE),0),0))&gt;=0,1+(Backdoors!AL2*(IF((Backdoors!AI12+IF(CA63&gt;=0.45,VLOOKUP(Calculator!E23,tbSkills!DH3:DI6,2,FALSE)+IF(AND(Calculator!B8=TRUE,Backdoors!BI14=TRUE),VLOOKUP(Calculator!E23,tbSkills!DH3:DJ6,3,FALSE),0),0))&gt;=100,100,(Backdoors!AI12+IF(CA63&gt;=0.45,VLOOKUP(Calculator!E23,tbSkills!DH3:DI6,2,FALSE)+IF(AND(Calculator!B8=TRUE,Backdoors!BI14=TRUE),VLOOKUP(Calculator!E23,tbSkills!DH3:DJ6,3,FALSE),0),0)))/100)),(1-(0.25*((-Backdoors!AI12-IF(CA63&gt;=0.45,VLOOKUP(Calculator!E23,tbSkills!DH3:DI6,2,FALSE)+IF(AND(Calculator!B8=TRUE,Backdoors!BI14=TRUE),VLOOKUP(Calculator!E23,tbSkills!DH3:DJ6,3,FALSE),0),0))/100)))),1),"")</f>
        <v>1</v>
      </c>
      <c r="CD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A63)*CC63)*(VLOOKUP(A63,tbMoveset!A2:C112,3,FALSE)/100)*IF(VLOOKUP(A63,tbMoveset!A2:B112,2,FALSE)="Projectile",Backdoors!N10,Backdoors!N9),0),"")</f>
        <v/>
      </c>
      <c r="CE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A63&gt;=0.45,VLOOKUP(Calculator!E23,tbSkills!DH3:DI6,2,FALSE)+IF(AND(Calculator!B8=TRUE,Backdoors!BI14=TRUE),VLOOKUP(Calculator!E23,tbSkills!DH3:DJ6,3,FALSE),0),0))&gt;=100,100,(Backdoors!AI12+IF(CA63&gt;=0.45,VLOOKUP(Calculator!E23,tbSkills!DH3:DI6,2,FALSE)+IF(AND(Calculator!B8=TRUE,Backdoors!BI14=TRUE),VLOOKUP(Calculator!E23,tbSkills!DH3:DJ6,3,FALSE),0),0)))/100)),1))*IF(VLOOKUP(A63,tbMoveset!A2:K112,11,FALSE)=TRUE,Backdoors!AC5,1))*CB63,0),"")</f>
        <v>0</v>
      </c>
      <c r="CF63" s="49">
        <f>VLOOKUP(A63,tbMoveset!A2:G112,7,FALSE)*IFERROR(IF(Backdoors!AI12&gt;=0,1+(IF(Calculator!E40&gt;0,VLOOKUP(Calculator!E40,tbSkills!AI3:AJ5,2,FALSE),Backdoors!AL4)*(IF((Backdoors!AI12+IF(CA63&gt;=0.45,VLOOKUP(Calculator!E23,tbSkills!DH3:DI6,2,FALSE)+IF(AND(Calculator!B8=TRUE,Backdoors!BI14=TRUE),VLOOKUP(Calculator!E23,tbSkills!DH3:DJ6,3,FALSE),0),0))&gt;=100,100,(Backdoors!AI12+IF(CA63&gt;=0.45,VLOOKUP(Calculator!E23,tbSkills!DH3:DI6,2,FALSE)+IF(AND(Calculator!B8=TRUE,Backdoors!BI14=TRUE),VLOOKUP(Calculator!E23,tbSkills!DH3:DJ6,3,FALSE),0),0)))/100)),1),1)</f>
        <v>0.6</v>
      </c>
      <c r="CG63" s="87">
        <f t="shared" si="6"/>
        <v>0</v>
      </c>
      <c r="CH63" s="86" t="str">
        <f>IFERROR(IF(VLOOKUP(A63,tbMoveset!A2:B112,2,FALSE)="Sever",Backdoors!AY15/100,IF(VLOOKUP(A63,tbMoveset!A2:B112,2,FALSE)="Blunt",Backdoors!AZ15/100,Backdoors!BA15/100)),"")</f>
        <v/>
      </c>
      <c r="CI63" s="49">
        <f>IFERROR(IF(VLOOKUP(tbMoveset!A63,tbMoveset!A2:H112,8,FALSE)="Other",IF(VLOOKUP(tbMoveset!A63,tbMoveset!A2:I112,9,FALSE)="Fire",Backdoors!BB15,IF(VLOOKUP(tbMoveset!A63,tbMoveset!A2:I112,9,FALSE)="Water",Backdoors!BC15,IF(VLOOKUP(tbMoveset!A63,tbMoveset!A2:I112,9,FALSE)="Thunder",Backdoors!BD15,IF(VLOOKUP(tbMoveset!A63,tbMoveset!A2:I112,9,FALSE)="Ice",Backdoors!BE15,IF(VLOOKUP(tbMoveset!A63,tbMoveset!A2:I112,9,FALSE)="Dragon",Backdoors!BF15,Backdoors!BG15)))))/100,Backdoors!BG15/100),"")</f>
        <v>0</v>
      </c>
      <c r="CJ63" s="49">
        <f>IFERROR(IF(VLOOKUP(A63,tbMoveset!A2:J112,10,FALSE)=TRUE,IF((Backdoors!AI12+IF(CH63&gt;=0.45,VLOOKUP(Calculator!E23,tbSkills!DH3:DI6,2,FALSE)+IF(AND(Calculator!B8=TRUE,Backdoors!BI15=TRUE),VLOOKUP(Calculator!E23,tbSkills!DH3:DJ6,3,FALSE),0),0))&gt;=0,1+(Backdoors!AL2*(IF((Backdoors!AI12+IF(CH63&gt;=0.45,VLOOKUP(Calculator!E23,tbSkills!DH3:DI6,2,FALSE)+IF(AND(Calculator!B8=TRUE,Backdoors!BI15=TRUE),VLOOKUP(Calculator!E23,tbSkills!DH3:DJ6,3,FALSE),0),0))&gt;=100,100,(Backdoors!AI12+IF(CH63&gt;=0.45,VLOOKUP(Calculator!E23,tbSkills!DH3:DI6,2,FALSE)+IF(AND(Calculator!B8=TRUE,Backdoors!BI15=TRUE),VLOOKUP(Calculator!E23,tbSkills!DH3:DJ6,3,FALSE),0),0)))/100)),(1-(0.25*((-Backdoors!AI12-IF(CH63&gt;=0.45,VLOOKUP(Calculator!E23,tbSkills!DH3:DI6,2,FALSE)+IF(AND(Calculator!B8=TRUE,Backdoors!BI15=TRUE),VLOOKUP(Calculator!E23,tbSkills!DH3:DJ6,3,FALSE),0),0))/100)))),1),"")</f>
        <v>1</v>
      </c>
      <c r="CK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H63)*CJ63)*(VLOOKUP(A63,tbMoveset!A2:C112,3,FALSE)/100)*IF(VLOOKUP(A63,tbMoveset!A2:B112,2,FALSE)="Projectile",Backdoors!N10,Backdoors!N9),0),"")</f>
        <v/>
      </c>
      <c r="CL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H63&gt;=0.45,VLOOKUP(Calculator!E23,tbSkills!DH3:DI6,2,FALSE)+IF(AND(Calculator!B8=TRUE,Backdoors!BI15=TRUE),VLOOKUP(Calculator!E23,tbSkills!DH3:DJ6,3,FALSE),0),0))&gt;=100,100,(Backdoors!AI12+IF(CH63&gt;=0.45,VLOOKUP(Calculator!E23,tbSkills!DH3:DI6,2,FALSE)+IF(AND(Calculator!B8=TRUE,Backdoors!BI15=TRUE),VLOOKUP(Calculator!E23,tbSkills!DH3:DJ6,3,FALSE),0),0)))/100)),1))*IF(VLOOKUP(A63,tbMoveset!A2:K112,11,FALSE)=TRUE,Backdoors!AC5,1))*CI63,0),"")</f>
        <v>0</v>
      </c>
      <c r="CM63" s="49">
        <f>VLOOKUP(A63,tbMoveset!A2:G112,7,FALSE)*IFERROR(IF(Backdoors!AI12&gt;=0,1+(IF(Calculator!E40&gt;0,VLOOKUP(Calculator!E40,tbSkills!AI3:AJ5,2,FALSE),Backdoors!AL4)*(IF((Backdoors!AI12+IF(CH63&gt;=0.45,VLOOKUP(Calculator!E23,tbSkills!DH3:DI6,2,FALSE)+IF(AND(Calculator!B8=TRUE,Backdoors!BI15=TRUE),VLOOKUP(Calculator!E23,tbSkills!DH3:DJ6,3,FALSE),0),0))&gt;=100,100,(Backdoors!AI12+IF(CH63&gt;=0.45,VLOOKUP(Calculator!E23,tbSkills!DH3:DI6,2,FALSE)+IF(AND(Calculator!B8=TRUE,Backdoors!BI15=TRUE),VLOOKUP(Calculator!E23,tbSkills!DH3:DJ6,3,FALSE),0),0)))/100)),1),1)</f>
        <v>0.6</v>
      </c>
      <c r="CN63" s="87">
        <f t="shared" si="7"/>
        <v>0</v>
      </c>
      <c r="CO63" s="86" t="str">
        <f>IFERROR(IF(VLOOKUP(A63,tbMoveset!A2:B112,2,FALSE)="Sever",Backdoors!AY16/100,IF(VLOOKUP(A63,tbMoveset!A2:B112,2,FALSE)="Blunt",Backdoors!AZ16/100,Backdoors!BA16/100)),"")</f>
        <v/>
      </c>
      <c r="CP63" s="49">
        <f>IFERROR(IF(VLOOKUP(tbMoveset!A63,tbMoveset!A2:H112,8,FALSE)="Other",IF(VLOOKUP(tbMoveset!A63,tbMoveset!A2:I112,9,FALSE)="Fire",Backdoors!BB16,IF(VLOOKUP(tbMoveset!A63,tbMoveset!A2:I112,9,FALSE)="Water",Backdoors!BC16,IF(VLOOKUP(tbMoveset!A63,tbMoveset!A2:I112,9,FALSE)="Thunder",Backdoors!BD16,IF(VLOOKUP(tbMoveset!A63,tbMoveset!A2:I112,9,FALSE)="Ice",Backdoors!BE16,IF(VLOOKUP(tbMoveset!A63,tbMoveset!A2:I112,9,FALSE)="Dragon",Backdoors!BF16,Backdoors!BG16)))))/100,Backdoors!BG16/100),"")</f>
        <v>0</v>
      </c>
      <c r="CQ63" s="49">
        <f>IFERROR(IF(VLOOKUP(A63,tbMoveset!A2:J112,10,FALSE)=TRUE,IF((Backdoors!AI12+IF(CO63&gt;=0.45,VLOOKUP(Calculator!E23,tbSkills!DH3:DI6,2,FALSE)+IF(AND(Calculator!B8=TRUE,Backdoors!BI16=TRUE),VLOOKUP(Calculator!E23,tbSkills!DH3:DJ6,3,FALSE),0),0))&gt;=0,1+(Backdoors!AL2*(IF((Backdoors!AI12+IF(CO63&gt;=0.45,VLOOKUP(Calculator!E23,tbSkills!DH3:DI6,2,FALSE)+IF(AND(Calculator!B8=TRUE,Backdoors!BI16=TRUE),VLOOKUP(Calculator!E23,tbSkills!DH3:DJ6,3,FALSE),0),0))&gt;=100,100,(Backdoors!AI12+IF(CO63&gt;=0.45,VLOOKUP(Calculator!E23,tbSkills!DH3:DI6,2,FALSE)+IF(AND(Calculator!B8=TRUE,Backdoors!BI16=TRUE),VLOOKUP(Calculator!E23,tbSkills!DH3:DJ6,3,FALSE),0),0)))/100)),(1-(0.25*((-Backdoors!AI12-IF(CO63&gt;=0.45,VLOOKUP(Calculator!E23,tbSkills!DH3:DI6,2,FALSE)+IF(AND(Calculator!B8=TRUE,Backdoors!BI16=TRUE),VLOOKUP(Calculator!E23,tbSkills!DH3:DJ6,3,FALSE),0),0))/100)))),1),"")</f>
        <v>1</v>
      </c>
      <c r="CR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O63)*CQ63)*(VLOOKUP(A63,tbMoveset!A2:C112,3,FALSE)/100)*IF(VLOOKUP(A63,tbMoveset!A2:B112,2,FALSE)="Projectile",Backdoors!N10,Backdoors!N9),0),"")</f>
        <v/>
      </c>
      <c r="CS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O63&gt;=0.45,VLOOKUP(Calculator!E23,tbSkills!DH3:DI6,2,FALSE)+IF(AND(Calculator!B8=TRUE,Backdoors!BI16=TRUE),VLOOKUP(Calculator!E23,tbSkills!DH3:DJ6,3,FALSE),0),0))&gt;=100,100,(Backdoors!AI12+IF(CO63&gt;=0.45,VLOOKUP(Calculator!E23,tbSkills!DH3:DI6,2,FALSE)+IF(AND(Calculator!B8=TRUE,Backdoors!BI16=TRUE),VLOOKUP(Calculator!E23,tbSkills!DH3:DJ6,3,FALSE),0),0)))/100)),1))*IF(VLOOKUP(A63,tbMoveset!A2:K112,11,FALSE)=TRUE,Backdoors!AC5,1))*CP63,0),"")</f>
        <v>0</v>
      </c>
      <c r="CT63" s="49">
        <f>VLOOKUP(A63,tbMoveset!A2:G112,7,FALSE)*IFERROR(IF(Backdoors!AI12&gt;=0,1+(IF(Calculator!E40&gt;0,VLOOKUP(Calculator!E40,tbSkills!AI3:AJ5,2,FALSE),Backdoors!AL4)*(IF((Backdoors!AI12+IF(CO63&gt;=0.45,VLOOKUP(Calculator!E23,tbSkills!DH3:DI6,2,FALSE)+IF(AND(Calculator!B8=TRUE,Backdoors!BI16=TRUE),VLOOKUP(Calculator!E23,tbSkills!DH3:DJ6,3,FALSE),0),0))&gt;=100,100,(Backdoors!AI12+IF(CO63&gt;=0.45,VLOOKUP(Calculator!E23,tbSkills!DH3:DI6,2,FALSE)+IF(AND(Calculator!B8=TRUE,Backdoors!BI16=TRUE),VLOOKUP(Calculator!E23,tbSkills!DH3:DJ6,3,FALSE),0),0)))/100)),1),1)</f>
        <v>0.6</v>
      </c>
      <c r="CU63" s="87">
        <f t="shared" si="40"/>
        <v>0</v>
      </c>
      <c r="CV63" s="86" t="str">
        <f>IFERROR(IF(VLOOKUP(A63,tbMoveset!A2:B112,2,FALSE)="Sever",Backdoors!AY17/100,IF(VLOOKUP(A63,tbMoveset!A2:B112,2,FALSE)="Blunt",Backdoors!AZ17/100,Backdoors!BA17/100)),"")</f>
        <v/>
      </c>
      <c r="CW63" s="49">
        <f>IFERROR(IF(VLOOKUP(tbMoveset!A63,tbMoveset!A2:H112,8,FALSE)="Other",IF(VLOOKUP(tbMoveset!A63,tbMoveset!A2:I112,9,FALSE)="Fire",Backdoors!BB17,IF(VLOOKUP(tbMoveset!A63,tbMoveset!A2:I112,9,FALSE)="Water",Backdoors!BC17,IF(VLOOKUP(tbMoveset!A63,tbMoveset!A2:I112,9,FALSE)="Thunder",Backdoors!BD17,IF(VLOOKUP(tbMoveset!A63,tbMoveset!A2:I112,9,FALSE)="Ice",Backdoors!BE17,IF(VLOOKUP(tbMoveset!A63,tbMoveset!A2:I112,9,FALSE)="Dragon",Backdoors!BF17,Backdoors!BG17)))))/100,Backdoors!BG17/100),"")</f>
        <v>0</v>
      </c>
      <c r="CX63" s="49">
        <f>IFERROR(IF(VLOOKUP(A63,tbMoveset!A2:J112,10,FALSE)=TRUE,IF((Backdoors!AI12+IF(CV63&gt;=0.45,VLOOKUP(Calculator!E23,tbSkills!DH3:DI6,2,FALSE)+IF(AND(Calculator!B8=TRUE,Backdoors!BI17=TRUE),VLOOKUP(Calculator!E23,tbSkills!DH3:DJ6,3,FALSE),0),0))&gt;=0,1+(Backdoors!AL2*(IF((Backdoors!AI12+IF(CV63&gt;=0.45,VLOOKUP(Calculator!E23,tbSkills!DH3:DI6,2,FALSE)+IF(AND(Calculator!B8=TRUE,Backdoors!BI17=TRUE),VLOOKUP(Calculator!E23,tbSkills!DH3:DJ6,3,FALSE),0),0))&gt;=100,100,(Backdoors!AI12+IF(CV63&gt;=0.45,VLOOKUP(Calculator!E23,tbSkills!DH3:DI6,2,FALSE)+IF(AND(Calculator!B8=TRUE,Backdoors!BI17=TRUE),VLOOKUP(Calculator!E23,tbSkills!DH3:DJ6,3,FALSE),0),0)))/100)),(1-(0.25*((-Backdoors!AI12-IF(CV63&gt;=0.45,VLOOKUP(Calculator!E23,tbSkills!DH3:DI6,2,FALSE)+IF(AND(Calculator!B8=TRUE,Backdoors!BI17=TRUE),VLOOKUP(Calculator!E23,tbSkills!DH3:DJ6,3,FALSE),0),0))/100)))),1),"")</f>
        <v>1</v>
      </c>
      <c r="CY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V63)*CX63)*(VLOOKUP(A63,tbMoveset!A2:C112,3,FALSE)/100)*IF(VLOOKUP(A63,tbMoveset!A2:B112,2,FALSE)="Projectile",Backdoors!N10,Backdoors!N9),0),"")</f>
        <v/>
      </c>
      <c r="CZ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V63&gt;=0.45,VLOOKUP(Calculator!E23,tbSkills!DH3:DI6,2,FALSE)+IF(AND(Calculator!B8=TRUE,Backdoors!BI17=TRUE),VLOOKUP(Calculator!E23,tbSkills!DH3:DJ6,3,FALSE),0),0))&gt;=100,100,(Backdoors!AI12+IF(CV63&gt;=0.45,VLOOKUP(Calculator!E23,tbSkills!DH3:DI6,2,FALSE)+IF(AND(Calculator!B8=TRUE,Backdoors!BI17=TRUE),VLOOKUP(Calculator!E23,tbSkills!DH3:DJ6,3,FALSE),0),0)))/100)),1))*IF(VLOOKUP(A63,tbMoveset!A2:K112,11,FALSE)=TRUE,Backdoors!AC5,1))*CW63,0),"")</f>
        <v>0</v>
      </c>
      <c r="DA63" s="49">
        <f>VLOOKUP(A63,tbMoveset!A2:G112,7,FALSE)*IFERROR(IF(Backdoors!AI12&gt;=0,1+(IF(Calculator!E40&gt;0,VLOOKUP(Calculator!E40,tbSkills!AI3:AJ5,2,FALSE),Backdoors!AL4)*(IF((Backdoors!AI12+IF(CV63&gt;=0.45,VLOOKUP(Calculator!E23,tbSkills!DH3:DI6,2,FALSE)+IF(AND(Calculator!B8=TRUE,Backdoors!BI17=TRUE),VLOOKUP(Calculator!E23,tbSkills!DH3:DJ6,3,FALSE),0),0))&gt;=100,100,(Backdoors!AI12+IF(CV63&gt;=0.45,VLOOKUP(Calculator!E23,tbSkills!DH3:DI6,2,FALSE)+IF(AND(Calculator!B8=TRUE,Backdoors!BI17=TRUE),VLOOKUP(Calculator!E23,tbSkills!DH3:DJ6,3,FALSE),0),0)))/100)),1),1)</f>
        <v>0.6</v>
      </c>
      <c r="DB63" s="87">
        <f t="shared" si="8"/>
        <v>0</v>
      </c>
      <c r="DC63" s="86" t="str">
        <f>IFERROR(IF(VLOOKUP(A63,tbMoveset!A2:B112,2,FALSE)="Sever",Backdoors!AY18/100,IF(VLOOKUP(A63,tbMoveset!A2:B112,2,FALSE)="Blunt",Backdoors!AZ18/100,Backdoors!BA18/100)),"")</f>
        <v/>
      </c>
      <c r="DD63" s="49">
        <f>IFERROR(IF(VLOOKUP(tbMoveset!A63,tbMoveset!A2:H112,8,FALSE)="Other",IF(VLOOKUP(tbMoveset!A63,tbMoveset!A2:I112,9,FALSE)="Fire",Backdoors!BB18,IF(VLOOKUP(tbMoveset!A63,tbMoveset!A2:I112,9,FALSE)="Water",Backdoors!BC18,IF(VLOOKUP(tbMoveset!A63,tbMoveset!A2:I112,9,FALSE)="Thunder",Backdoors!BD18,IF(VLOOKUP(tbMoveset!A63,tbMoveset!A2:I112,9,FALSE)="Ice",Backdoors!BE18,IF(VLOOKUP(tbMoveset!A63,tbMoveset!A2:I112,9,FALSE)="Dragon",Backdoors!BF18,Backdoors!BG18)))))/100,Backdoors!BG18/100),"")</f>
        <v>0</v>
      </c>
      <c r="DE63" s="49">
        <f>IFERROR(IF(VLOOKUP(A63,tbMoveset!A2:J112,10,FALSE)=TRUE,IF((Backdoors!AI12+IF(DC63&gt;=0.45,VLOOKUP(Calculator!E23,tbSkills!DH3:DI6,2,FALSE)+IF(AND(Calculator!B8=TRUE,Backdoors!BI18=TRUE),VLOOKUP(Calculator!E23,tbSkills!DH3:DJ6,3,FALSE),0),0))&gt;=0,1+(Backdoors!AL2*(IF((Backdoors!AI12+IF(DC63&gt;=0.45,VLOOKUP(Calculator!E23,tbSkills!DH3:DI6,2,FALSE)+IF(AND(Calculator!B8=TRUE,Backdoors!BI18=TRUE),VLOOKUP(Calculator!E23,tbSkills!DH3:DJ6,3,FALSE),0),0))&gt;=100,100,(Backdoors!AI12+IF(DC63&gt;=0.45,VLOOKUP(Calculator!E23,tbSkills!DH3:DI6,2,FALSE)+IF(AND(Calculator!B8=TRUE,Backdoors!BI18=TRUE),VLOOKUP(Calculator!E23,tbSkills!DH3:DJ6,3,FALSE),0),0)))/100)),(1-(0.25*((-Backdoors!AI12-IF(DC63&gt;=0.45,VLOOKUP(Calculator!E23,tbSkills!DH3:DI6,2,FALSE)+IF(AND(Calculator!B8=TRUE,Backdoors!BI18=TRUE),VLOOKUP(Calculator!E23,tbSkills!DH3:DJ6,3,FALSE),0),0))/100)))),1),"")</f>
        <v>1</v>
      </c>
      <c r="DF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C63)*DE63)*(VLOOKUP(A63,tbMoveset!A2:C112,3,FALSE)/100)*IF(VLOOKUP(A63,tbMoveset!A2:B112,2,FALSE)="Projectile",Backdoors!N10,Backdoors!N9),0),"")</f>
        <v/>
      </c>
      <c r="DG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C63&gt;=0.45,VLOOKUP(Calculator!E23,tbSkills!DH3:DI6,2,FALSE)+IF(AND(Calculator!B8=TRUE,Backdoors!BI18=TRUE),VLOOKUP(Calculator!E23,tbSkills!DH3:DJ6,3,FALSE),0),0))&gt;=100,100,(Backdoors!AI12+IF(DC63&gt;=0.45,VLOOKUP(Calculator!E23,tbSkills!DH3:DI6,2,FALSE)+IF(AND(Calculator!B8=TRUE,Backdoors!BI18=TRUE),VLOOKUP(Calculator!E23,tbSkills!DH3:DJ6,3,FALSE),0),0)))/100)),1))*IF(VLOOKUP(A63,tbMoveset!A2:K112,11,FALSE)=TRUE,Backdoors!AC5,1))*DD63,0),"")</f>
        <v>0</v>
      </c>
      <c r="DH63" s="49">
        <f>VLOOKUP(A63,tbMoveset!A2:G112,7,FALSE)*IFERROR(IF(Backdoors!AI12&gt;=0,1+(IF(Calculator!E40&gt;0,VLOOKUP(Calculator!E40,tbSkills!AI3:AJ5,2,FALSE),Backdoors!AL4)*(IF((Backdoors!AI12+IF(DC63&gt;=0.45,VLOOKUP(Calculator!E23,tbSkills!DH3:DI6,2,FALSE)+IF(AND(Calculator!B8=TRUE,Backdoors!BI18=TRUE),VLOOKUP(Calculator!E23,tbSkills!DH3:DJ6,3,FALSE),0),0))&gt;=100,100,(Backdoors!AI12+IF(DC63&gt;=0.45,VLOOKUP(Calculator!E23,tbSkills!DH3:DI6,2,FALSE)+IF(AND(Calculator!B8=TRUE,Backdoors!BI18=TRUE),VLOOKUP(Calculator!E23,tbSkills!DH3:DJ6,3,FALSE),0),0)))/100)),1),1)</f>
        <v>0.6</v>
      </c>
      <c r="DI63" s="87">
        <f t="shared" si="9"/>
        <v>0</v>
      </c>
      <c r="DJ63" s="86" t="str">
        <f>IFERROR(IF(VLOOKUP(A63,tbMoveset!A2:B112,2,FALSE)="Sever",Backdoors!AY19/100,IF(VLOOKUP(A63,tbMoveset!A2:B112,2,FALSE)="Blunt",Backdoors!AZ19/100,Backdoors!BA19/100)),"")</f>
        <v/>
      </c>
      <c r="DK63" s="49">
        <f>IFERROR(IF(VLOOKUP(tbMoveset!A63,tbMoveset!A2:H112,8,FALSE)="Other",IF(VLOOKUP(tbMoveset!A63,tbMoveset!A2:I112,9,FALSE)="Fire",Backdoors!BB19,IF(VLOOKUP(tbMoveset!A63,tbMoveset!A2:I112,9,FALSE)="Water",Backdoors!BC19,IF(VLOOKUP(tbMoveset!A63,tbMoveset!A2:I112,9,FALSE)="Thunder",Backdoors!BD19,IF(VLOOKUP(tbMoveset!A63,tbMoveset!A2:I112,9,FALSE)="Ice",Backdoors!BE19,IF(VLOOKUP(tbMoveset!A63,tbMoveset!A2:I112,9,FALSE)="Dragon",Backdoors!BF19,Backdoors!BG19)))))/100,Backdoors!BG19/100),"")</f>
        <v>0</v>
      </c>
      <c r="DL63" s="49">
        <f>IFERROR(IF(VLOOKUP(A63,tbMoveset!A2:J112,10,FALSE)=TRUE,IF((Backdoors!AI12+IF(DJ63&gt;=0.45,VLOOKUP(Calculator!E23,tbSkills!DH3:DI6,2,FALSE)+IF(AND(Calculator!B8=TRUE,Backdoors!BI19=TRUE),VLOOKUP(Calculator!E23,tbSkills!DH3:DJ6,3,FALSE),0),0))&gt;=0,1+(Backdoors!AL2*(IF((Backdoors!AI12+IF(DJ63&gt;=0.45,VLOOKUP(Calculator!E23,tbSkills!DH3:DI6,2,FALSE)+IF(AND(Calculator!B8=TRUE,Backdoors!BI19=TRUE),VLOOKUP(Calculator!E23,tbSkills!DH3:DJ6,3,FALSE),0),0))&gt;=100,100,(Backdoors!AI12+IF(DJ63&gt;=0.45,VLOOKUP(Calculator!E23,tbSkills!DH3:DI6,2,FALSE)+IF(AND(Calculator!B8=TRUE,Backdoors!BI19=TRUE),VLOOKUP(Calculator!E23,tbSkills!DH3:DJ6,3,FALSE),0),0)))/100)),(1-(0.25*((-Backdoors!AI12-IF(DJ63&gt;=0.45,VLOOKUP(Calculator!E23,tbSkills!DH3:DI6,2,FALSE)+IF(AND(Calculator!B8=TRUE,Backdoors!BI19=TRUE),VLOOKUP(Calculator!E23,tbSkills!DH3:DJ6,3,FALSE),0),0))/100)))),1),"")</f>
        <v>1</v>
      </c>
      <c r="DM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J63)*DL63)*(VLOOKUP(A63,tbMoveset!A2:C112,3,FALSE)/100)*IF(VLOOKUP(A63,tbMoveset!A2:B112,2,FALSE)="Projectile",Backdoors!N10,Backdoors!N9),0),"")</f>
        <v/>
      </c>
      <c r="DN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J63&gt;=0.45,VLOOKUP(Calculator!E23,tbSkills!DH3:DI6,2,FALSE)+IF(AND(Calculator!B8=TRUE,Backdoors!BI19=TRUE),VLOOKUP(Calculator!E23,tbSkills!DH3:DJ6,3,FALSE),0),0))&gt;=100,100,(Backdoors!AI12+IF(DJ63&gt;=0.45,VLOOKUP(Calculator!E23,tbSkills!DH3:DI6,2,FALSE)+IF(AND(Calculator!B8=TRUE,Backdoors!BI19=TRUE),VLOOKUP(Calculator!E23,tbSkills!DH3:DJ6,3,FALSE),0),0)))/100)),1))*IF(VLOOKUP(A63,tbMoveset!A2:K112,11,FALSE)=TRUE,Backdoors!AC5,1))*DK63,0),"")</f>
        <v>0</v>
      </c>
      <c r="DO63" s="49">
        <f>VLOOKUP(A63,tbMoveset!A2:G112,7,FALSE)*IFERROR(IF(Backdoors!AI12&gt;=0,1+(IF(Calculator!E40&gt;0,VLOOKUP(Calculator!E40,tbSkills!AI3:AJ5,2,FALSE),Backdoors!AL4)*(IF((Backdoors!AI12+IF(DJ63&gt;=0.45,VLOOKUP(Calculator!E23,tbSkills!DH3:DI6,2,FALSE)+IF(AND(Calculator!B8=TRUE,Backdoors!BI19=TRUE),VLOOKUP(Calculator!E23,tbSkills!DH3:DJ6,3,FALSE),0),0))&gt;=100,100,(Backdoors!AI12+IF(DJ63&gt;=0.45,VLOOKUP(Calculator!E23,tbSkills!DH3:DI6,2,FALSE)+IF(AND(Calculator!B8=TRUE,Backdoors!BI19=TRUE),VLOOKUP(Calculator!E23,tbSkills!DH3:DJ6,3,FALSE),0),0)))/100)),1),1)</f>
        <v>0.6</v>
      </c>
      <c r="DP63" s="87">
        <f t="shared" si="41"/>
        <v>0</v>
      </c>
      <c r="DQ63" s="86" t="str">
        <f>IFERROR(IF(VLOOKUP(A63,tbMoveset!A2:B112,2,FALSE)="Sever",Backdoors!AY20/100,IF(VLOOKUP(A63,tbMoveset!A2:B112,2,FALSE)="Blunt",Backdoors!AZ20/100,Backdoors!BA20/100)),"")</f>
        <v/>
      </c>
      <c r="DR63" s="49">
        <f>IFERROR(IF(VLOOKUP(tbMoveset!A63,tbMoveset!A2:H112,8,FALSE)="Other",IF(VLOOKUP(tbMoveset!A63,tbMoveset!A2:I112,9,FALSE)="Fire",Backdoors!BB20,IF(VLOOKUP(tbMoveset!A63,tbMoveset!A2:I112,9,FALSE)="Water",Backdoors!BC20,IF(VLOOKUP(tbMoveset!A63,tbMoveset!A2:I112,9,FALSE)="Thunder",Backdoors!BD20,IF(VLOOKUP(tbMoveset!A63,tbMoveset!A2:I112,9,FALSE)="Ice",Backdoors!BE20,IF(VLOOKUP(tbMoveset!A63,tbMoveset!A2:I112,9,FALSE)="Dragon",Backdoors!BF20,Backdoors!BG20)))))/100,Backdoors!BG20/100),"")</f>
        <v>0</v>
      </c>
      <c r="DS63" s="49">
        <f>IFERROR(IF(VLOOKUP(A63,tbMoveset!A2:J112,10,FALSE)=TRUE,IF((Backdoors!AI12+IF(DQ63&gt;=0.45,VLOOKUP(Calculator!E23,tbSkills!DH3:DI6,2,FALSE)+IF(AND(Calculator!B8=TRUE,Backdoors!BI20=TRUE),VLOOKUP(Calculator!E23,tbSkills!DH3:DJ6,3,FALSE),0),0))&gt;=0,1+(Backdoors!AL2*(IF((Backdoors!AI12+IF(DQ63&gt;=0.45,VLOOKUP(Calculator!E23,tbSkills!DH3:DI6,2,FALSE)+IF(AND(Calculator!B8=TRUE,Backdoors!BI20=TRUE),VLOOKUP(Calculator!E23,tbSkills!DH3:DJ6,3,FALSE),0),0))&gt;=100,100,(Backdoors!AI12+IF(DQ63&gt;=0.45,VLOOKUP(Calculator!E23,tbSkills!DH3:DI6,2,FALSE)+IF(AND(Calculator!B8=TRUE,Backdoors!BI20=TRUE),VLOOKUP(Calculator!E23,tbSkills!DH3:DJ6,3,FALSE),0),0)))/100)),(1-(0.25*((-Backdoors!AI12-IF(DQ63&gt;=0.45,VLOOKUP(Calculator!E23,tbSkills!DH3:DI6,2,FALSE)+IF(AND(Calculator!B8=TRUE,Backdoors!BI20=TRUE),VLOOKUP(Calculator!E23,tbSkills!DH3:DJ6,3,FALSE),0),0))/100)))),1),"")</f>
        <v>1</v>
      </c>
      <c r="DT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Q63)*DS63)*(VLOOKUP(A63,tbMoveset!A2:C112,3,FALSE)/100)*IF(VLOOKUP(A63,tbMoveset!A2:B112,2,FALSE)="Projectile",Backdoors!N10,Backdoors!N9),0),"")</f>
        <v/>
      </c>
      <c r="DU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Q63&gt;=0.45,VLOOKUP(Calculator!E23,tbSkills!DH3:DI6,2,FALSE)+IF(AND(Calculator!B8=TRUE,Backdoors!BI20=TRUE),VLOOKUP(Calculator!E23,tbSkills!DH3:DJ6,3,FALSE),0),0))&gt;=100,100,(Backdoors!AI12+IF(DQ63&gt;=0.45,VLOOKUP(Calculator!E23,tbSkills!DH3:DI6,2,FALSE)+IF(AND(Calculator!B8=TRUE,Backdoors!BI20=TRUE),VLOOKUP(Calculator!E23,tbSkills!DH3:DJ6,3,FALSE),0),0)))/100)),1))*IF(VLOOKUP(A63,tbMoveset!A2:K112,11,FALSE)=TRUE,Backdoors!AC5,1))*DR63,0),"")</f>
        <v>0</v>
      </c>
      <c r="DV63" s="49">
        <f>VLOOKUP(A63,tbMoveset!A2:G112,7,FALSE)*IFERROR(IF(Backdoors!AI12&gt;=0,1+(IF(Calculator!E40&gt;0,VLOOKUP(Calculator!E40,tbSkills!AI3:AJ5,2,FALSE),Backdoors!AL4)*(IF((Backdoors!AI12+IF(DQ63&gt;=0.45,VLOOKUP(Calculator!E23,tbSkills!DH3:DI6,2,FALSE)+IF(AND(Calculator!B8=TRUE,Backdoors!BI20=TRUE),VLOOKUP(Calculator!E23,tbSkills!DH3:DJ6,3,FALSE),0),0))&gt;=100,100,(Backdoors!AI12+IF(DQ63&gt;=0.45,VLOOKUP(Calculator!E23,tbSkills!DH3:DI6,2,FALSE)+IF(AND(Calculator!B8=TRUE,Backdoors!BI20=TRUE),VLOOKUP(Calculator!E23,tbSkills!DH3:DJ6,3,FALSE),0),0)))/100)),1),1)</f>
        <v>0.6</v>
      </c>
      <c r="DW63" s="87">
        <f t="shared" si="10"/>
        <v>0</v>
      </c>
      <c r="DX63" s="86" t="str">
        <f>IFERROR(IF(VLOOKUP(A63,tbMoveset!A2:B112,2,FALSE)="Sever",Backdoors!AY21/100,IF(VLOOKUP(A63,tbMoveset!A2:B112,2,FALSE)="Blunt",Backdoors!AZ21/100,Backdoors!BA21/100)),"")</f>
        <v/>
      </c>
      <c r="DY63" s="49">
        <f>IFERROR(IF(VLOOKUP(tbMoveset!A63,tbMoveset!A2:H112,8,FALSE)="Other",IF(VLOOKUP(tbMoveset!A63,tbMoveset!A2:I112,9,FALSE)="Fire",Backdoors!BB21,IF(VLOOKUP(tbMoveset!A63,tbMoveset!A2:I112,9,FALSE)="Water",Backdoors!BC21,IF(VLOOKUP(tbMoveset!A63,tbMoveset!A2:I112,9,FALSE)="Thunder",Backdoors!BD21,IF(VLOOKUP(tbMoveset!A63,tbMoveset!A2:I112,9,FALSE)="Ice",Backdoors!BE21,IF(VLOOKUP(tbMoveset!A63,tbMoveset!A2:I112,9,FALSE)="Dragon",Backdoors!BF21,Backdoors!BG21)))))/100,Backdoors!BG21/100),"")</f>
        <v>0</v>
      </c>
      <c r="DZ63" s="49">
        <f>IFERROR(IF(VLOOKUP(A63,tbMoveset!A2:J112,10,FALSE)=TRUE,IF((Backdoors!AI12+IF(DX63&gt;=0.45,VLOOKUP(Calculator!E23,tbSkills!DH3:DI6,2,FALSE)+IF(AND(Calculator!B8=TRUE,Backdoors!BI21=TRUE),VLOOKUP(Calculator!E23,tbSkills!DH3:DJ6,3,FALSE),0),0))&gt;=0,1+(Backdoors!AL2*(IF((Backdoors!AI12+IF(DX63&gt;=0.45,VLOOKUP(Calculator!E23,tbSkills!DH3:DI6,2,FALSE)+IF(AND(Calculator!B8=TRUE,Backdoors!BI21=TRUE),VLOOKUP(Calculator!E23,tbSkills!DH3:DJ6,3,FALSE),0),0))&gt;=100,100,(Backdoors!AI12+IF(DX63&gt;=0.45,VLOOKUP(Calculator!E23,tbSkills!DH3:DI6,2,FALSE)+IF(AND(Calculator!B8=TRUE,Backdoors!BI21=TRUE),VLOOKUP(Calculator!E23,tbSkills!DH3:DJ6,3,FALSE),0),0)))/100)),(1-(0.25*((-Backdoors!AI12-IF(DX63&gt;=0.45,VLOOKUP(Calculator!E23,tbSkills!DH3:DI6,2,FALSE)+IF(AND(Calculator!B8=TRUE,Backdoors!BI21=TRUE),VLOOKUP(Calculator!E23,tbSkills!DH3:DJ6,3,FALSE),0),0))/100)))),1),"")</f>
        <v>1</v>
      </c>
      <c r="EA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X63)*DZ63)*(VLOOKUP(A63,tbMoveset!A2:C112,3,FALSE)/100)*IF(VLOOKUP(A63,tbMoveset!A2:B112,2,FALSE)="Projectile",Backdoors!N10,Backdoors!N9),0),"")</f>
        <v/>
      </c>
      <c r="EB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X63&gt;=0.45,VLOOKUP(Calculator!E23,tbSkills!DH3:DI6,2,FALSE)+IF(AND(Calculator!B8=TRUE,Backdoors!BI21=TRUE),VLOOKUP(Calculator!E23,tbSkills!DH3:DJ6,3,FALSE),0),0))&gt;=100,100,(Backdoors!AI12+IF(DX63&gt;=0.45,VLOOKUP(Calculator!E23,tbSkills!DH3:DI6,2,FALSE)+IF(AND(Calculator!B8=TRUE,Backdoors!BI21=TRUE),VLOOKUP(Calculator!E23,tbSkills!DH3:DJ6,3,FALSE),0),0)))/100)),1))*IF(VLOOKUP(A63,tbMoveset!A2:K112,11,FALSE)=TRUE,Backdoors!AC5,1))*DY63,0),"")</f>
        <v>0</v>
      </c>
      <c r="EC63" s="49">
        <f>VLOOKUP(A63,tbMoveset!A2:G112,7,FALSE)*IFERROR(IF(Backdoors!AI12&gt;=0,1+(IF(Calculator!E40&gt;0,VLOOKUP(Calculator!E40,tbSkills!AI3:AJ5,2,FALSE),Backdoors!AL4)*(IF((Backdoors!AI12+IF(DX63&gt;=0.45,VLOOKUP(Calculator!E23,tbSkills!DH3:DI6,2,FALSE)+IF(AND(Calculator!B8=TRUE,Backdoors!BI21=TRUE),VLOOKUP(Calculator!E23,tbSkills!DH3:DJ6,3,FALSE),0),0))&gt;=100,100,(Backdoors!AI12+IF(DX63&gt;=0.45,VLOOKUP(Calculator!E23,tbSkills!DH3:DI6,2,FALSE)+IF(AND(Calculator!B8=TRUE,Backdoors!BI21=TRUE),VLOOKUP(Calculator!E23,tbSkills!DH3:DJ6,3,FALSE),0),0)))/100)),1),1)</f>
        <v>0.6</v>
      </c>
      <c r="ED63" s="87">
        <f t="shared" si="11"/>
        <v>0</v>
      </c>
      <c r="EE63" s="86" t="str">
        <f>IFERROR(IF(VLOOKUP(A63,tbMoveset!A2:B112,2,FALSE)="Sever",Backdoors!AY22/100,IF(VLOOKUP(A63,tbMoveset!A2:B112,2,FALSE)="Blunt",Backdoors!AZ22/100,Backdoors!BA22/100)),"")</f>
        <v/>
      </c>
      <c r="EF63" s="49">
        <f>IFERROR(IF(VLOOKUP(tbMoveset!A63,tbMoveset!A2:H112,8,FALSE)="Other",IF(VLOOKUP(tbMoveset!A63,tbMoveset!A2:I112,9,FALSE)="Fire",Backdoors!BB22,IF(VLOOKUP(tbMoveset!A63,tbMoveset!A2:I112,9,FALSE)="Water",Backdoors!BC22,IF(VLOOKUP(tbMoveset!A63,tbMoveset!A2:I112,9,FALSE)="Thunder",Backdoors!BD22,IF(VLOOKUP(tbMoveset!A63,tbMoveset!A2:I112,9,FALSE)="Ice",Backdoors!BE22,IF(VLOOKUP(tbMoveset!A63,tbMoveset!A2:I112,9,FALSE)="Dragon",Backdoors!BF22,Backdoors!BG22)))))/100,Backdoors!BG22/100),"")</f>
        <v>0</v>
      </c>
      <c r="EG63" s="49">
        <f>IFERROR(IF(VLOOKUP(A63,tbMoveset!A2:J112,10,FALSE)=TRUE,IF((Backdoors!AI12+IF(EE63&gt;=0.45,VLOOKUP(Calculator!E23,tbSkills!DH3:DI6,2,FALSE)+IF(AND(Calculator!B8=TRUE,Backdoors!BI22=TRUE),VLOOKUP(Calculator!E23,tbSkills!DH3:DJ6,3,FALSE),0),0))&gt;=0,1+(Backdoors!AL2*(IF((Backdoors!AI12+IF(EE63&gt;=0.45,VLOOKUP(Calculator!E23,tbSkills!DH3:DI6,2,FALSE)+IF(AND(Calculator!B8=TRUE,Backdoors!BI22=TRUE),VLOOKUP(Calculator!E23,tbSkills!DH3:DJ6,3,FALSE),0),0))&gt;=100,100,(Backdoors!AI12+IF(EE63&gt;=0.45,VLOOKUP(Calculator!E23,tbSkills!DH3:DI6,2,FALSE)+IF(AND(Calculator!B8=TRUE,Backdoors!BI22=TRUE),VLOOKUP(Calculator!E23,tbSkills!DH3:DJ6,3,FALSE),0),0)))/100)),(1-(0.25*((-Backdoors!AI12-IF(EE63&gt;=0.45,VLOOKUP(Calculator!E23,tbSkills!DH3:DI6,2,FALSE)+IF(AND(Calculator!B8=TRUE,Backdoors!BI22=TRUE),VLOOKUP(Calculator!E23,tbSkills!DH3:DJ6,3,FALSE),0),0))/100)))),1),"")</f>
        <v>1</v>
      </c>
      <c r="EH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E63)*EG63)*(VLOOKUP(A63,tbMoveset!A2:C112,3,FALSE)/100)*IF(VLOOKUP(A63,tbMoveset!A2:B112,2,FALSE)="Projectile",Backdoors!N10,Backdoors!N9),0),"")</f>
        <v/>
      </c>
      <c r="EI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E63&gt;=0.45,VLOOKUP(Calculator!E23,tbSkills!DH3:DI6,2,FALSE)+IF(AND(Calculator!B8=TRUE,Backdoors!BI22=TRUE),VLOOKUP(Calculator!E23,tbSkills!DH3:DJ6,3,FALSE),0),0))&gt;=100,100,(Backdoors!AI12+IF(EE63&gt;=0.45,VLOOKUP(Calculator!E23,tbSkills!DH3:DI6,2,FALSE)+IF(AND(Calculator!B8=TRUE,Backdoors!BI22=TRUE),VLOOKUP(Calculator!E23,tbSkills!DH3:DJ6,3,FALSE),0),0)))/100)),1))*IF(VLOOKUP(A63,tbMoveset!A2:K112,11,FALSE)=TRUE,Backdoors!AC5,1))*EF63,0),"")</f>
        <v>0</v>
      </c>
      <c r="EJ63" s="49">
        <f>VLOOKUP(A63,tbMoveset!A2:G112,7,FALSE)*IFERROR(IF(Backdoors!AI12&gt;=0,1+(IF(Calculator!E40&gt;0,VLOOKUP(Calculator!E40,tbSkills!AI3:AJ5,2,FALSE),Backdoors!AL4)*(IF((Backdoors!AI12+IF(EE63&gt;=0.45,VLOOKUP(Calculator!E23,tbSkills!DH3:DI6,2,FALSE)+IF(AND(Calculator!B8=TRUE,Backdoors!BI22=TRUE),VLOOKUP(Calculator!E23,tbSkills!DH3:DJ6,3,FALSE),0),0))&gt;=100,100,(Backdoors!AI12+IF(EE63&gt;=0.45,VLOOKUP(Calculator!E23,tbSkills!DH3:DI6,2,FALSE)+IF(AND(Calculator!B8=TRUE,Backdoors!BI22=TRUE),VLOOKUP(Calculator!E23,tbSkills!DH3:DJ6,3,FALSE),0),0)))/100)),1),1)</f>
        <v>0.6</v>
      </c>
      <c r="EK63" s="87">
        <f t="shared" si="12"/>
        <v>0</v>
      </c>
      <c r="EL63" s="86" t="str">
        <f>IFERROR(IF(VLOOKUP(A63,tbMoveset!A2:B112,2,FALSE)="Sever",Backdoors!AY23/100,IF(VLOOKUP(A63,tbMoveset!A2:B112,2,FALSE)="Blunt",Backdoors!AZ23/100,Backdoors!BA23/100)),"")</f>
        <v/>
      </c>
      <c r="EM63" s="49">
        <f>IFERROR(IF(VLOOKUP(tbMoveset!A63,tbMoveset!A2:H112,8,FALSE)="Other",IF(VLOOKUP(tbMoveset!A63,tbMoveset!A2:I112,9,FALSE)="Fire",Backdoors!BB23,IF(VLOOKUP(tbMoveset!A63,tbMoveset!A2:I112,9,FALSE)="Water",Backdoors!BC23,IF(VLOOKUP(tbMoveset!A63,tbMoveset!A2:I112,9,FALSE)="Thunder",Backdoors!BD23,IF(VLOOKUP(tbMoveset!A63,tbMoveset!A2:I112,9,FALSE)="Ice",Backdoors!BE23,IF(VLOOKUP(tbMoveset!A63,tbMoveset!A2:I112,9,FALSE)="Dragon",Backdoors!BF23,Backdoors!BG23)))))/100,Backdoors!BG23/100),"")</f>
        <v>0</v>
      </c>
      <c r="EN63" s="49">
        <f>IFERROR(IF(VLOOKUP(A63,tbMoveset!A2:J112,10,FALSE)=TRUE,IF((Backdoors!AI12+IF(EL63&gt;=0.45,VLOOKUP(Calculator!E23,tbSkills!DH3:DI6,2,FALSE)+IF(AND(Calculator!B8=TRUE,Backdoors!BI23=TRUE),VLOOKUP(Calculator!E23,tbSkills!DH3:DJ6,3,FALSE),0),0))&gt;=0,1+(Backdoors!AL2*(IF((Backdoors!AI12+IF(EL63&gt;=0.45,VLOOKUP(Calculator!E23,tbSkills!DH3:DI6,2,FALSE)+IF(AND(Calculator!B8=TRUE,Backdoors!BI23=TRUE),VLOOKUP(Calculator!E23,tbSkills!DH3:DJ6,3,FALSE),0),0))&gt;=100,100,(Backdoors!AI12+IF(EL63&gt;=0.45,VLOOKUP(Calculator!E23,tbSkills!DH3:DI6,2,FALSE)+IF(AND(Calculator!B8=TRUE,Backdoors!BI23=TRUE),VLOOKUP(Calculator!E23,tbSkills!DH3:DJ6,3,FALSE),0),0)))/100)),(1-(0.25*((-Backdoors!AI12-IF(EL63&gt;=0.45,VLOOKUP(Calculator!E23,tbSkills!DH3:DI6,2,FALSE)+IF(AND(Calculator!B8=TRUE,Backdoors!BI23=TRUE),VLOOKUP(Calculator!E23,tbSkills!DH3:DJ6,3,FALSE),0),0))/100)))),1),"")</f>
        <v>1</v>
      </c>
      <c r="EO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L63)*EN63)*(VLOOKUP(A63,tbMoveset!A2:C112,3,FALSE)/100)*IF(VLOOKUP(A63,tbMoveset!A2:B112,2,FALSE)="Projectile",Backdoors!N10,Backdoors!N9),0),"")</f>
        <v/>
      </c>
      <c r="EP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L63&gt;=0.45,VLOOKUP(Calculator!E23,tbSkills!DH3:DI6,2,FALSE)+IF(AND(Calculator!B8=TRUE,Backdoors!BI23=TRUE),VLOOKUP(Calculator!E23,tbSkills!DH3:DJ6,3,FALSE),0),0))&gt;=100,100,(Backdoors!AI12+IF(EL63&gt;=0.45,VLOOKUP(Calculator!E23,tbSkills!DH3:DI6,2,FALSE)+IF(AND(Calculator!B8=TRUE,Backdoors!BI23=TRUE),VLOOKUP(Calculator!E23,tbSkills!DH3:DJ6,3,FALSE),0),0)))/100)),1))*IF(VLOOKUP(A63,tbMoveset!A2:K112,11,FALSE)=TRUE,Backdoors!AC5,1))*EM63,0),"")</f>
        <v>0</v>
      </c>
      <c r="EQ63" s="49">
        <f>VLOOKUP(A63,tbMoveset!A2:G112,7,FALSE)*IFERROR(IF(Backdoors!AI12&gt;=0,1+(IF(Calculator!E40&gt;0,VLOOKUP(Calculator!E40,tbSkills!AI3:AJ5,2,FALSE),Backdoors!AL4)*(IF((Backdoors!AI12+IF(EL63&gt;=0.45,VLOOKUP(Calculator!E23,tbSkills!DH3:DI6,2,FALSE)+IF(AND(Calculator!B8=TRUE,Backdoors!BI23=TRUE),VLOOKUP(Calculator!E23,tbSkills!DH3:DJ6,3,FALSE),0),0))&gt;=100,100,(Backdoors!AI12+IF(EL63&gt;=0.45,VLOOKUP(Calculator!E23,tbSkills!DH3:DI6,2,FALSE)+IF(AND(Calculator!B8=TRUE,Backdoors!BI23=TRUE),VLOOKUP(Calculator!E23,tbSkills!DH3:DJ6,3,FALSE),0),0)))/100)),1),1)</f>
        <v>0.6</v>
      </c>
      <c r="ER63" s="87">
        <f t="shared" si="13"/>
        <v>0</v>
      </c>
      <c r="ES63" s="86" t="str">
        <f>IFERROR(IF(VLOOKUP(A63,tbMoveset!A2:B112,2,FALSE)="Sever",Backdoors!AY24/100,IF(VLOOKUP(A63,tbMoveset!A2:B112,2,FALSE)="Blunt",Backdoors!AZ24/100,Backdoors!BA24/100)),"")</f>
        <v/>
      </c>
      <c r="ET63" s="49">
        <f>IFERROR(IF(VLOOKUP(tbMoveset!A63,tbMoveset!A2:H112,8,FALSE)="Other",IF(VLOOKUP(tbMoveset!A63,tbMoveset!A2:I112,9,FALSE)="Fire",Backdoors!BB24,IF(VLOOKUP(tbMoveset!A63,tbMoveset!A2:I112,9,FALSE)="Water",Backdoors!BC24,IF(VLOOKUP(tbMoveset!A63,tbMoveset!A2:I112,9,FALSE)="Thunder",Backdoors!BD24,IF(VLOOKUP(tbMoveset!A63,tbMoveset!A2:I112,9,FALSE)="Ice",Backdoors!BE24,IF(VLOOKUP(tbMoveset!A63,tbMoveset!A2:I112,9,FALSE)="Dragon",Backdoors!BF24,Backdoors!BG24)))))/100,Backdoors!BG24/100),"")</f>
        <v>0</v>
      </c>
      <c r="EU63" s="49">
        <f>IFERROR(IF(VLOOKUP(A63,tbMoveset!A2:J112,10,FALSE)=TRUE,IF((Backdoors!AI12+IF(ES63&gt;=0.45,VLOOKUP(Calculator!E23,tbSkills!DH3:DI6,2,FALSE)+IF(AND(Calculator!B8=TRUE,Backdoors!BI24=TRUE),VLOOKUP(Calculator!E23,tbSkills!DH3:DJ6,3,FALSE),0),0))&gt;=0,1+(Backdoors!AL2*(IF((Backdoors!AI12+IF(ES63&gt;=0.45,VLOOKUP(Calculator!E23,tbSkills!DH3:DI6,2,FALSE)+IF(AND(Calculator!B8=TRUE,Backdoors!BI24=TRUE),VLOOKUP(Calculator!E23,tbSkills!DH3:DJ6,3,FALSE),0),0))&gt;=100,100,(Backdoors!AI12+IF(ES63&gt;=0.45,VLOOKUP(Calculator!E23,tbSkills!DH3:DI6,2,FALSE)+IF(AND(Calculator!B8=TRUE,Backdoors!BI24=TRUE),VLOOKUP(Calculator!E23,tbSkills!DH3:DJ6,3,FALSE),0),0)))/100)),(1-(0.25*((-Backdoors!AI12-IF(ES63&gt;=0.45,VLOOKUP(Calculator!E23,tbSkills!DH3:DI6,2,FALSE)+IF(AND(Calculator!B8=TRUE,Backdoors!BI24=TRUE),VLOOKUP(Calculator!E23,tbSkills!DH3:DJ6,3,FALSE),0),0))/100)))),1),"")</f>
        <v>1</v>
      </c>
      <c r="EV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S63)*EU63)*(VLOOKUP(A63,tbMoveset!A2:C112,3,FALSE)/100)*IF(VLOOKUP(A63,tbMoveset!A2:B112,2,FALSE)="Projectile",Backdoors!N10,Backdoors!N9),0),"")</f>
        <v/>
      </c>
      <c r="EW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S63&gt;=0.45,VLOOKUP(Calculator!E23,tbSkills!DH3:DI6,2,FALSE)+IF(AND(Calculator!B8=TRUE,Backdoors!BI24=TRUE),VLOOKUP(Calculator!E23,tbSkills!DH3:DJ6,3,FALSE),0),0))&gt;=100,100,(Backdoors!AI12+IF(ES63&gt;=0.45,VLOOKUP(Calculator!E23,tbSkills!DH3:DI6,2,FALSE)+IF(AND(Calculator!B8=TRUE,Backdoors!BI24=TRUE),VLOOKUP(Calculator!E23,tbSkills!DH3:DJ6,3,FALSE),0),0)))/100)),1))*IF(VLOOKUP(A63,tbMoveset!A2:K112,11,FALSE)=TRUE,Backdoors!AC5,1))*ET63,0),"")</f>
        <v>0</v>
      </c>
      <c r="EX63" s="49">
        <f>VLOOKUP(A63,tbMoveset!A2:G112,7,FALSE)*IFERROR(IF(Backdoors!AI12&gt;=0,1+(IF(Calculator!E40&gt;0,VLOOKUP(Calculator!E40,tbSkills!AI3:AJ5,2,FALSE),Backdoors!AL4)*(IF((Backdoors!AI12+IF(ES63&gt;=0.45,VLOOKUP(Calculator!E23,tbSkills!DH3:DI6,2,FALSE)+IF(AND(Calculator!B8=TRUE,Backdoors!BI24=TRUE),VLOOKUP(Calculator!E23,tbSkills!DH3:DJ6,3,FALSE),0),0))&gt;=100,100,(Backdoors!AI12+IF(ES63&gt;=0.45,VLOOKUP(Calculator!E23,tbSkills!DH3:DI6,2,FALSE)+IF(AND(Calculator!B8=TRUE,Backdoors!BI24=TRUE),VLOOKUP(Calculator!E23,tbSkills!DH3:DJ6,3,FALSE),0),0)))/100)),1),1)</f>
        <v>0.6</v>
      </c>
      <c r="EY63" s="87">
        <f t="shared" si="14"/>
        <v>0</v>
      </c>
      <c r="EZ63" s="86" t="str">
        <f>IFERROR(IF(VLOOKUP(A63,tbMoveset!A2:B112,2,FALSE)="Sever",Backdoors!AY25/100,IF(VLOOKUP(A63,tbMoveset!A2:B112,2,FALSE)="Blunt",Backdoors!AZ25/100,Backdoors!BA25/100)),"")</f>
        <v/>
      </c>
      <c r="FA63" s="49">
        <f>IFERROR(IF(VLOOKUP(tbMoveset!A63,tbMoveset!A2:H112,8,FALSE)="Other",IF(VLOOKUP(tbMoveset!A63,tbMoveset!A2:I112,9,FALSE)="Fire",Backdoors!BB25,IF(VLOOKUP(tbMoveset!A63,tbMoveset!A2:I112,9,FALSE)="Water",Backdoors!BC25,IF(VLOOKUP(tbMoveset!A63,tbMoveset!A2:I112,9,FALSE)="Thunder",Backdoors!BD25,IF(VLOOKUP(tbMoveset!A63,tbMoveset!A2:I112,9,FALSE)="Ice",Backdoors!BE25,IF(VLOOKUP(tbMoveset!A63,tbMoveset!A2:I112,9,FALSE)="Dragon",Backdoors!BF25,Backdoors!BG25)))))/100,Backdoors!BG25/100),"")</f>
        <v>0</v>
      </c>
      <c r="FB63" s="49">
        <f>IFERROR(IF(VLOOKUP(A63,tbMoveset!A2:J112,10,FALSE)=TRUE,IF((Backdoors!AI12+IF(EZ63&gt;=0.45,VLOOKUP(Calculator!E23,tbSkills!DH3:DI6,2,FALSE)+IF(AND(Calculator!B8=TRUE,Backdoors!BI25=TRUE),VLOOKUP(Calculator!E23,tbSkills!DH3:DJ6,3,FALSE),0),0))&gt;=0,1+(Backdoors!AL2*(IF((Backdoors!AI12+IF(EZ63&gt;=0.45,VLOOKUP(Calculator!E23,tbSkills!DH3:DI6,2,FALSE)+IF(AND(Calculator!B8=TRUE,Backdoors!BI25=TRUE),VLOOKUP(Calculator!E23,tbSkills!DH3:DJ6,3,FALSE),0),0))&gt;=100,100,(Backdoors!AI12+IF(EZ63&gt;=0.45,VLOOKUP(Calculator!E23,tbSkills!DH3:DI6,2,FALSE)+IF(AND(Calculator!B8=TRUE,Backdoors!BI25=TRUE),VLOOKUP(Calculator!E23,tbSkills!DH3:DJ6,3,FALSE),0),0)))/100)),(1-(0.25*((-Backdoors!AI12-IF(EZ63&gt;=0.45,VLOOKUP(Calculator!E23,tbSkills!DH3:DI6,2,FALSE)+IF(AND(Calculator!B8=TRUE,Backdoors!BI25=TRUE),VLOOKUP(Calculator!E23,tbSkills!DH3:DJ6,3,FALSE),0),0))/100)))),1),"")</f>
        <v>1</v>
      </c>
      <c r="FC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Z63)*FB63)*(VLOOKUP(A63,tbMoveset!A2:C112,3,FALSE)/100)*IF(VLOOKUP(A63,tbMoveset!A2:B112,2,FALSE)="Projectile",Backdoors!N10,Backdoors!N9),0),"")</f>
        <v/>
      </c>
      <c r="FD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Z63&gt;=0.45,VLOOKUP(Calculator!E23,tbSkills!DH3:DI6,2,FALSE)+IF(AND(Calculator!B8=TRUE,Backdoors!BI25=TRUE),VLOOKUP(Calculator!E23,tbSkills!DH3:DJ6,3,FALSE),0),0))&gt;=100,100,(Backdoors!AI12+IF(EZ63&gt;=0.45,VLOOKUP(Calculator!E23,tbSkills!DH3:DI6,2,FALSE)+IF(AND(Calculator!B8=TRUE,Backdoors!BI25=TRUE),VLOOKUP(Calculator!E23,tbSkills!DH3:DJ6,3,FALSE),0),0)))/100)),1))*IF(VLOOKUP(A63,tbMoveset!A2:K112,11,FALSE)=TRUE,Backdoors!AC5,1))*FA63,0),"")</f>
        <v>0</v>
      </c>
      <c r="FE63" s="49">
        <f>VLOOKUP(A63,tbMoveset!A2:G112,7,FALSE)*IFERROR(IF(Backdoors!AI12&gt;=0,1+(IF(Calculator!E40&gt;0,VLOOKUP(Calculator!E40,tbSkills!AI3:AJ5,2,FALSE),Backdoors!AL4)*(IF((Backdoors!AI12+IF(EZ63&gt;=0.45,VLOOKUP(Calculator!E23,tbSkills!DH3:DI6,2,FALSE)+IF(AND(Calculator!B8=TRUE,Backdoors!BI25=TRUE),VLOOKUP(Calculator!E23,tbSkills!DH3:DJ6,3,FALSE),0),0))&gt;=100,100,(Backdoors!AI12+IF(EZ63&gt;=0.45,VLOOKUP(Calculator!E23,tbSkills!DH3:DI6,2,FALSE)+IF(AND(Calculator!B8=TRUE,Backdoors!BI25=TRUE),VLOOKUP(Calculator!E23,tbSkills!DH3:DJ6,3,FALSE),0),0)))/100)),1),1)</f>
        <v>0.6</v>
      </c>
      <c r="FF63" s="87">
        <f t="shared" si="15"/>
        <v>0</v>
      </c>
      <c r="FG63" s="86" t="str">
        <f>IFERROR(IF(VLOOKUP(A63,tbMoveset!A2:B112,2,FALSE)="Sever",Backdoors!AY26/100,IF(VLOOKUP(A63,tbMoveset!A2:B112,2,FALSE)="Blunt",Backdoors!AZ26/100,Backdoors!BA26/100)),"")</f>
        <v/>
      </c>
      <c r="FH63" s="49">
        <f>IFERROR(IF(VLOOKUP(tbMoveset!A63,tbMoveset!A2:H112,8,FALSE)="Other",IF(VLOOKUP(tbMoveset!A63,tbMoveset!A2:I112,9,FALSE)="Fire",Backdoors!BB26,IF(VLOOKUP(tbMoveset!A63,tbMoveset!A2:I112,9,FALSE)="Water",Backdoors!BC26,IF(VLOOKUP(tbMoveset!A63,tbMoveset!A2:I112,9,FALSE)="Thunder",Backdoors!BD26,IF(VLOOKUP(tbMoveset!A63,tbMoveset!A2:I112,9,FALSE)="Ice",Backdoors!BE26,IF(VLOOKUP(tbMoveset!A63,tbMoveset!A2:I112,9,FALSE)="Dragon",Backdoors!BF26,Backdoors!BG26)))))/100,Backdoors!BG26/100),"")</f>
        <v>0</v>
      </c>
      <c r="FI63" s="49">
        <f>IFERROR(IF(VLOOKUP(A63,tbMoveset!A2:J112,10,FALSE)=TRUE,IF((Backdoors!AI12+IF(FG63&gt;=0.45,VLOOKUP(Calculator!E23,tbSkills!DH3:DI6,2,FALSE)+IF(AND(Calculator!B8=TRUE,Backdoors!BI26=TRUE),VLOOKUP(Calculator!E23,tbSkills!DH3:DJ6,3,FALSE),0),0))&gt;=0,1+(Backdoors!AL2*(IF((Backdoors!AI12+IF(FG63&gt;=0.45,VLOOKUP(Calculator!E23,tbSkills!DH3:DI6,2,FALSE)+IF(AND(Calculator!B8=TRUE,Backdoors!BI26=TRUE),VLOOKUP(Calculator!E23,tbSkills!DH3:DJ6,3,FALSE),0),0))&gt;=100,100,(Backdoors!AI12+IF(FG63&gt;=0.45,VLOOKUP(Calculator!E23,tbSkills!DH3:DI6,2,FALSE)+IF(AND(Calculator!B8=TRUE,Backdoors!BI26=TRUE),VLOOKUP(Calculator!E23,tbSkills!DH3:DJ6,3,FALSE),0),0)))/100)),(1-(0.25*((-Backdoors!AI12-IF(FG63&gt;=0.45,VLOOKUP(Calculator!E23,tbSkills!DH3:DI6,2,FALSE)+IF(AND(Calculator!B8=TRUE,Backdoors!BI26=TRUE),VLOOKUP(Calculator!E23,tbSkills!DH3:DJ6,3,FALSE),0),0))/100)))),1),"")</f>
        <v>1</v>
      </c>
      <c r="FJ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FG63)*FI63)*(VLOOKUP(A63,tbMoveset!A2:C112,3,FALSE)/100)*IF(VLOOKUP(A63,tbMoveset!A2:B112,2,FALSE)="Projectile",Backdoors!N10,Backdoors!N9),0),"")</f>
        <v/>
      </c>
      <c r="FK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FG63&gt;=0.45,VLOOKUP(Calculator!E23,tbSkills!DH3:DI6,2,FALSE)+IF(AND(Calculator!B8=TRUE,Backdoors!BI26=TRUE),VLOOKUP(Calculator!E23,tbSkills!DH3:DJ6,3,FALSE),0),0))&gt;=100,100,(Backdoors!AI12+IF(FG63&gt;=0.45,VLOOKUP(Calculator!E23,tbSkills!DH3:DI6,2,FALSE)+IF(AND(Calculator!B8=TRUE,Backdoors!BI26=TRUE),VLOOKUP(Calculator!E23,tbSkills!DH3:DJ6,3,FALSE),0),0)))/100)),1))*IF(VLOOKUP(A63,tbMoveset!A2:K112,11,FALSE)=TRUE,Backdoors!AC5,1))*FH63,0),"")</f>
        <v>0</v>
      </c>
      <c r="FL63" s="49">
        <f>VLOOKUP(A63,tbMoveset!A2:G112,7,FALSE)*IFERROR(IF(Backdoors!AI12&gt;=0,1+(IF(Calculator!E40&gt;0,VLOOKUP(Calculator!E40,tbSkills!AI3:AJ5,2,FALSE),Backdoors!AL4)*(IF((Backdoors!AI12+IF(FG63&gt;=0.45,VLOOKUP(Calculator!E23,tbSkills!DH3:DI6,2,FALSE)+IF(AND(Calculator!B8=TRUE,Backdoors!BI26=TRUE),VLOOKUP(Calculator!E23,tbSkills!DH3:DJ6,3,FALSE),0),0))&gt;=100,100,(Backdoors!AI12+IF(FG63&gt;=0.45,VLOOKUP(Calculator!E23,tbSkills!DH3:DI6,2,FALSE)+IF(AND(Calculator!B8=TRUE,Backdoors!BI26=TRUE),VLOOKUP(Calculator!E23,tbSkills!DH3:DJ6,3,FALSE),0),0)))/100)),1),1)</f>
        <v>0.6</v>
      </c>
      <c r="FM63" s="87">
        <f t="shared" si="16"/>
        <v>0</v>
      </c>
      <c r="FN63" s="86" t="str">
        <f>IFERROR(IF(VLOOKUP(A63,tbMoveset!A2:B112,2,FALSE)="Sever",Backdoors!AY27/100,IF(VLOOKUP(A63,tbMoveset!A2:B112,2,FALSE)="Blunt",Backdoors!AZ27/100,Backdoors!BA27/100)),"")</f>
        <v/>
      </c>
      <c r="FO63" s="49">
        <f>IFERROR(IF(VLOOKUP(tbMoveset!A63,tbMoveset!A2:H112,8,FALSE)="Other",IF(VLOOKUP(tbMoveset!A63,tbMoveset!A2:I112,9,FALSE)="Fire",Backdoors!BB27,IF(VLOOKUP(tbMoveset!A63,tbMoveset!A2:I112,9,FALSE)="Water",Backdoors!BC27,IF(VLOOKUP(tbMoveset!A63,tbMoveset!A2:I112,9,FALSE)="Thunder",Backdoors!BD27,IF(VLOOKUP(tbMoveset!A63,tbMoveset!A2:I112,9,FALSE)="Ice",Backdoors!BE27,IF(VLOOKUP(tbMoveset!A63,tbMoveset!A2:I112,9,FALSE)="Dragon",Backdoors!BF27,Backdoors!BG27)))))/100,Backdoors!BG27/100),"")</f>
        <v>0</v>
      </c>
      <c r="FP63" s="49">
        <f>IFERROR(IF(VLOOKUP(A63,tbMoveset!A2:J112,10,FALSE)=TRUE,IF((Backdoors!AI12+IF(FN63&gt;=0.45,VLOOKUP(Calculator!E23,tbSkills!DH3:DI6,2,FALSE)+IF(AND(Calculator!B8=TRUE,Backdoors!BI27=TRUE),VLOOKUP(Calculator!E23,tbSkills!DH3:DJ6,3,FALSE),0),0))&gt;=0,1+(Backdoors!AL2*(IF((Backdoors!AI12+IF(FN63&gt;=0.45,VLOOKUP(Calculator!E23,tbSkills!DH3:DI6,2,FALSE)+IF(AND(Calculator!B8=TRUE,Backdoors!BI27=TRUE),VLOOKUP(Calculator!E23,tbSkills!DH3:DJ6,3,FALSE),0),0))&gt;=100,100,(Backdoors!AI12+IF(FN63&gt;=0.45,VLOOKUP(Calculator!E23,tbSkills!DH3:DI6,2,FALSE)+IF(AND(Calculator!B8=TRUE,Backdoors!BI27=TRUE),VLOOKUP(Calculator!E23,tbSkills!DH3:DJ6,3,FALSE),0),0)))/100)),(1-(0.25*((-Backdoors!AI12-IF(FN63&gt;=0.45,VLOOKUP(Calculator!E23,tbSkills!DH3:DI6,2,FALSE)+IF(AND(Calculator!B8=TRUE,Backdoors!BI27=TRUE),VLOOKUP(Calculator!E23,tbSkills!DH3:DJ6,3,FALSE),0),0))/100)))),1),"")</f>
        <v>1</v>
      </c>
      <c r="FQ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FN63)*FP63)*(VLOOKUP(A63,tbMoveset!A2:C112,3,FALSE)/100)*IF(VLOOKUP(A63,tbMoveset!A2:B112,2,FALSE)="Projectile",Backdoors!N10,Backdoors!N9),0),"")</f>
        <v/>
      </c>
      <c r="FR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FN63&gt;=0.45,VLOOKUP(Calculator!E23,tbSkills!DH3:DI6,2,FALSE)+IF(AND(Calculator!B8=TRUE,Backdoors!BI27=TRUE),VLOOKUP(Calculator!E23,tbSkills!DH3:DJ6,3,FALSE),0),0))&gt;=100,100,(Backdoors!AI12+IF(FN63&gt;=0.45,VLOOKUP(Calculator!E23,tbSkills!DH3:DI6,2,FALSE)+IF(AND(Calculator!B8=TRUE,Backdoors!BI27=TRUE),VLOOKUP(Calculator!E23,tbSkills!DH3:DJ6,3,FALSE),0),0)))/100)),1))*IF(VLOOKUP(A63,tbMoveset!A2:K112,11,FALSE)=TRUE,Backdoors!AC5,1))*FO63,0),"")</f>
        <v>0</v>
      </c>
      <c r="FS63" s="49">
        <f>VLOOKUP(A63,tbMoveset!A2:G112,7,FALSE)*IFERROR(IF(Backdoors!AI12&gt;=0,1+(IF(Calculator!E40&gt;0,VLOOKUP(Calculator!E40,tbSkills!AI3:AJ5,2,FALSE),Backdoors!AL4)*(IF((Backdoors!AI12+IF(FN63&gt;=0.45,VLOOKUP(Calculator!E23,tbSkills!DH3:DI6,2,FALSE)+IF(AND(Calculator!B8=TRUE,Backdoors!BI27=TRUE),VLOOKUP(Calculator!E23,tbSkills!DH3:DJ6,3,FALSE),0),0))&gt;=100,100,(Backdoors!AI12+IF(FN63&gt;=0.45,VLOOKUP(Calculator!E23,tbSkills!DH3:DI6,2,FALSE)+IF(AND(Calculator!B8=TRUE,Backdoors!BI27=TRUE),VLOOKUP(Calculator!E23,tbSkills!DH3:DJ6,3,FALSE),0),0)))/100)),1),1)</f>
        <v>0.6</v>
      </c>
      <c r="FT63" s="87">
        <f t="shared" si="17"/>
        <v>0</v>
      </c>
      <c r="FU63" s="86" t="str">
        <f>IFERROR(IF(VLOOKUP(A63,tbMoveset!A2:B112,2,FALSE)="Sever",Backdoors!AY28/100,IF(VLOOKUP(A63,tbMoveset!A2:B112,2,FALSE)="Blunt",Backdoors!AZ28/100,Backdoors!BA28/100)),"")</f>
        <v/>
      </c>
      <c r="FV63" s="49">
        <f>IFERROR(IF(VLOOKUP(tbMoveset!A63,tbMoveset!A2:H112,8,FALSE)="Other",IF(VLOOKUP(tbMoveset!A63,tbMoveset!A2:I112,9,FALSE)="Fire",Backdoors!BB28,IF(VLOOKUP(tbMoveset!A63,tbMoveset!A2:I112,9,FALSE)="Water",Backdoors!BC28,IF(VLOOKUP(tbMoveset!A63,tbMoveset!A2:I112,9,FALSE)="Thunder",Backdoors!BD28,IF(VLOOKUP(tbMoveset!A63,tbMoveset!A2:I112,9,FALSE)="Ice",Backdoors!BE28,IF(VLOOKUP(tbMoveset!A63,tbMoveset!A2:I112,9,FALSE)="Dragon",Backdoors!BF28,Backdoors!BG28)))))/100,Backdoors!BG28/100),"")</f>
        <v>0</v>
      </c>
      <c r="FW63" s="49">
        <f>IFERROR(IF(VLOOKUP(A63,tbMoveset!A2:J112,10,FALSE)=TRUE,IF((Backdoors!AI12+IF(FU63&gt;=0.45,VLOOKUP(Calculator!E23,tbSkills!DH3:DI6,2,FALSE)+IF(AND(Calculator!B8=TRUE,Backdoors!BI28=TRUE),VLOOKUP(Calculator!E23,tbSkills!DH3:DJ6,3,FALSE),0),0))&gt;=0,1+(Backdoors!AL2*(IF((Backdoors!AI12+IF(FU63&gt;=0.45,VLOOKUP(Calculator!E23,tbSkills!DH3:DI6,2,FALSE)+IF(AND(Calculator!B8=TRUE,Backdoors!BI28=TRUE),VLOOKUP(Calculator!E23,tbSkills!DH3:DJ6,3,FALSE),0),0))&gt;=100,100,(Backdoors!AI12+IF(FU63&gt;=0.45,VLOOKUP(Calculator!E23,tbSkills!DH3:DI6,2,FALSE)+IF(AND(Calculator!B8=TRUE,Backdoors!BI28=TRUE),VLOOKUP(Calculator!E23,tbSkills!DH3:DJ6,3,FALSE),0),0)))/100)),(1-(0.25*((-Backdoors!AI12-IF(FU63&gt;=0.45,VLOOKUP(Calculator!E23,tbSkills!DH3:DI6,2,FALSE)+IF(AND(Calculator!B8=TRUE,Backdoors!BI28=TRUE),VLOOKUP(Calculator!E23,tbSkills!DH3:DJ6,3,FALSE),0),0))/100)))),1),"")</f>
        <v>1</v>
      </c>
      <c r="FX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FU63)*FW63)*(VLOOKUP(A63,tbMoveset!A2:C112,3,FALSE)/100)*IF(VLOOKUP(A63,tbMoveset!A2:B112,2,FALSE)="Projectile",Backdoors!N10,Backdoors!N9),0),"")</f>
        <v/>
      </c>
      <c r="FY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FU63&gt;=0.45,VLOOKUP(Calculator!E23,tbSkills!DH3:DI6,2,FALSE)+IF(AND(Calculator!B8=TRUE,Backdoors!BI28=TRUE),VLOOKUP(Calculator!E23,tbSkills!DH3:DJ6,3,FALSE),0),0))&gt;=100,100,(Backdoors!AI12+IF(FU63&gt;=0.45,VLOOKUP(Calculator!E23,tbSkills!DH3:DI6,2,FALSE)+IF(AND(Calculator!B8=TRUE,Backdoors!BI28=TRUE),VLOOKUP(Calculator!E23,tbSkills!DH3:DJ6,3,FALSE),0),0)))/100)),1))*IF(VLOOKUP(A63,tbMoveset!A2:K112,11,FALSE)=TRUE,Backdoors!AC5,1))*FV63,0),"")</f>
        <v>0</v>
      </c>
      <c r="FZ63" s="49">
        <f>VLOOKUP(A63,tbMoveset!A2:G112,7,FALSE)*IFERROR(IF(Backdoors!AI12&gt;=0,1+(IF(Calculator!E40&gt;0,VLOOKUP(Calculator!E40,tbSkills!AI3:AJ5,2,FALSE),Backdoors!AL4)*(IF((Backdoors!AI12+IF(FU63&gt;=0.45,VLOOKUP(Calculator!E23,tbSkills!DH3:DI6,2,FALSE)+IF(AND(Calculator!B8=TRUE,Backdoors!BI28=TRUE),VLOOKUP(Calculator!E23,tbSkills!DH3:DJ6,3,FALSE),0),0))&gt;=100,100,(Backdoors!AI12+IF(FU63&gt;=0.45,VLOOKUP(Calculator!E23,tbSkills!DH3:DI6,2,FALSE)+IF(AND(Calculator!B8=TRUE,Backdoors!BI28=TRUE),VLOOKUP(Calculator!E23,tbSkills!DH3:DJ6,3,FALSE),0),0)))/100)),1),1)</f>
        <v>0.6</v>
      </c>
      <c r="GA63" s="87">
        <f t="shared" si="18"/>
        <v>0</v>
      </c>
      <c r="GB63" s="86" t="str">
        <f>IFERROR(IF(VLOOKUP(A63,tbMoveset!A2:B112,2,FALSE)="Sever",Backdoors!AY29/100,IF(VLOOKUP(A63,tbMoveset!A2:B112,2,FALSE)="Blunt",Backdoors!AZ29/100,Backdoors!BA29/100)),"")</f>
        <v/>
      </c>
      <c r="GC63" s="49">
        <f>IFERROR(IF(VLOOKUP(tbMoveset!A63,tbMoveset!A2:H112,8,FALSE)="Other",IF(VLOOKUP(tbMoveset!A63,tbMoveset!A2:I112,9,FALSE)="Fire",Backdoors!BB29,IF(VLOOKUP(tbMoveset!A63,tbMoveset!A2:I112,9,FALSE)="Water",Backdoors!BC29,IF(VLOOKUP(tbMoveset!A63,tbMoveset!A2:I112,9,FALSE)="Thunder",Backdoors!BD29,IF(VLOOKUP(tbMoveset!A63,tbMoveset!A2:I112,9,FALSE)="Ice",Backdoors!BE29,IF(VLOOKUP(tbMoveset!A63,tbMoveset!A2:I112,9,FALSE)="Dragon",Backdoors!BF29,Backdoors!BG29)))))/100,Backdoors!BG29/100),"")</f>
        <v>0</v>
      </c>
      <c r="GD63" s="49">
        <f>IFERROR(IF(VLOOKUP(A63,tbMoveset!A2:J112,10,FALSE)=TRUE,IF((Backdoors!AI12+IF(GB63&gt;=0.45,VLOOKUP(Calculator!E23,tbSkills!DH3:DI6,2,FALSE)+IF(AND(Calculator!B8=TRUE,Backdoors!BI29=TRUE),VLOOKUP(Calculator!E23,tbSkills!DH3:DJ6,3,FALSE),0),0))&gt;=0,1+(Backdoors!AL2*(IF((Backdoors!AI12+IF(GB63&gt;=0.45,VLOOKUP(Calculator!E23,tbSkills!DH3:DI6,2,FALSE)+IF(AND(Calculator!B8=TRUE,Backdoors!BI29=TRUE),VLOOKUP(Calculator!E23,tbSkills!DH3:DJ6,3,FALSE),0),0))&gt;=100,100,(Backdoors!AI12+IF(GB63&gt;=0.45,VLOOKUP(Calculator!E23,tbSkills!DH3:DI6,2,FALSE)+IF(AND(Calculator!B8=TRUE,Backdoors!BI29=TRUE),VLOOKUP(Calculator!E23,tbSkills!DH3:DJ6,3,FALSE),0),0)))/100)),(1-(0.25*((-Backdoors!AI12-IF(GB63&gt;=0.45,VLOOKUP(Calculator!E23,tbSkills!DH3:DI6,2,FALSE)+IF(AND(Calculator!B8=TRUE,Backdoors!BI29=TRUE),VLOOKUP(Calculator!E23,tbSkills!DH3:DJ6,3,FALSE),0),0))/100)))),1),"")</f>
        <v>1</v>
      </c>
      <c r="GE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B63)*GD63)*(VLOOKUP(A63,tbMoveset!A2:C112,3,FALSE)/100)*IF(VLOOKUP(A63,tbMoveset!A2:B112,2,FALSE)="Projectile",Backdoors!N10,Backdoors!N9),0),"")</f>
        <v/>
      </c>
      <c r="GF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B63&gt;=0.45,VLOOKUP(Calculator!E23,tbSkills!DH3:DI6,2,FALSE)+IF(AND(Calculator!B8=TRUE,Backdoors!BI29=TRUE),VLOOKUP(Calculator!E23,tbSkills!DH3:DJ6,3,FALSE),0),0))&gt;=100,100,(Backdoors!AI12+IF(GB63&gt;=0.45,VLOOKUP(Calculator!E23,tbSkills!DH3:DI6,2,FALSE)+IF(AND(Calculator!B8=TRUE,Backdoors!BI29=TRUE),VLOOKUP(Calculator!E23,tbSkills!DH3:DJ6,3,FALSE),0),0)))/100)),1))*IF(VLOOKUP(A63,tbMoveset!A2:K112,11,FALSE)=TRUE,Backdoors!AC5,1))*GC63,0),"")</f>
        <v>0</v>
      </c>
      <c r="GG63" s="49">
        <f>VLOOKUP(A63,tbMoveset!A2:G112,7,FALSE)*IFERROR(IF(Backdoors!AI12&gt;=0,1+(IF(Calculator!E40&gt;0,VLOOKUP(Calculator!E40,tbSkills!AI3:AJ5,2,FALSE),Backdoors!AL4)*(IF((Backdoors!AI12+IF(GB63&gt;=0.45,VLOOKUP(Calculator!E23,tbSkills!DH3:DI6,2,FALSE)+IF(AND(Calculator!B8=TRUE,Backdoors!BI29=TRUE),VLOOKUP(Calculator!E23,tbSkills!DH3:DJ6,3,FALSE),0),0))&gt;=100,100,(Backdoors!AI12+IF(GB63&gt;=0.45,VLOOKUP(Calculator!E23,tbSkills!DH3:DI6,2,FALSE)+IF(AND(Calculator!B8=TRUE,Backdoors!BI29=TRUE),VLOOKUP(Calculator!E23,tbSkills!DH3:DJ6,3,FALSE),0),0)))/100)),1),1)</f>
        <v>0.6</v>
      </c>
      <c r="GH63" s="87">
        <f t="shared" si="19"/>
        <v>0</v>
      </c>
      <c r="GI63" s="86" t="str">
        <f>IFERROR(IF(VLOOKUP(A63,tbMoveset!A2:B112,2,FALSE)="Sever",Backdoors!AY30/100,IF(VLOOKUP(A63,tbMoveset!A2:B112,2,FALSE)="Blunt",Backdoors!AZ30/100,Backdoors!BA30/100)),"")</f>
        <v/>
      </c>
      <c r="GJ63" s="49">
        <f>IFERROR(IF(VLOOKUP(tbMoveset!A63,tbMoveset!A2:H112,8,FALSE)="Other",IF(VLOOKUP(tbMoveset!A63,tbMoveset!A2:I112,9,FALSE)="Fire",Backdoors!BB30,IF(VLOOKUP(tbMoveset!A63,tbMoveset!A2:I112,9,FALSE)="Water",Backdoors!BC30,IF(VLOOKUP(tbMoveset!A63,tbMoveset!A2:I112,9,FALSE)="Thunder",Backdoors!BD30,IF(VLOOKUP(tbMoveset!A63,tbMoveset!A2:I112,9,FALSE)="Ice",Backdoors!BE30,IF(VLOOKUP(tbMoveset!A63,tbMoveset!A2:I112,9,FALSE)="Dragon",Backdoors!BF30,Backdoors!BG30)))))/100,Backdoors!BG30/100),"")</f>
        <v>0</v>
      </c>
      <c r="GK63" s="49">
        <f>IFERROR(IF(VLOOKUP(A63,tbMoveset!A2:J112,10,FALSE)=TRUE,IF((Backdoors!AI12+IF(GI63&gt;=0.45,VLOOKUP(Calculator!E23,tbSkills!DH3:DI6,2,FALSE)+IF(AND(Calculator!B8=TRUE,Backdoors!BI30=TRUE),VLOOKUP(Calculator!E23,tbSkills!DH3:DJ6,3,FALSE),0),0))&gt;=0,1+(Backdoors!AL2*(IF((Backdoors!AI12+IF(GI63&gt;=0.45,VLOOKUP(Calculator!E23,tbSkills!DH3:DI6,2,FALSE)+IF(AND(Calculator!B8=TRUE,Backdoors!BI30=TRUE),VLOOKUP(Calculator!E23,tbSkills!DH3:DJ6,3,FALSE),0),0))&gt;=100,100,(Backdoors!AI12+IF(GI63&gt;=0.45,VLOOKUP(Calculator!E23,tbSkills!DH3:DI6,2,FALSE)+IF(AND(Calculator!B8=TRUE,Backdoors!BI30=TRUE),VLOOKUP(Calculator!E23,tbSkills!DH3:DJ6,3,FALSE),0),0)))/100)),(1-(0.25*((-Backdoors!AI12-IF(GI63&gt;=0.45,VLOOKUP(Calculator!E23,tbSkills!DH3:DI6,2,FALSE)+IF(AND(Calculator!B8=TRUE,Backdoors!BI30=TRUE),VLOOKUP(Calculator!E23,tbSkills!DH3:DJ6,3,FALSE),0),0))/100)))),1),"")</f>
        <v>1</v>
      </c>
      <c r="GL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I63)*GK63)*(VLOOKUP(A63,tbMoveset!A2:C112,3,FALSE)/100)*IF(VLOOKUP(A63,tbMoveset!A2:B112,2,FALSE)="Projectile",Backdoors!N10,Backdoors!N9),0),"")</f>
        <v/>
      </c>
      <c r="GM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I63&gt;=0.45,VLOOKUP(Calculator!E23,tbSkills!DH3:DI6,2,FALSE)+IF(AND(Calculator!B8=TRUE,Backdoors!BI30=TRUE),VLOOKUP(Calculator!E23,tbSkills!DH3:DJ6,3,FALSE),0),0))&gt;=100,100,(Backdoors!AI12+IF(GI63&gt;=0.45,VLOOKUP(Calculator!E23,tbSkills!DH3:DI6,2,FALSE)+IF(AND(Calculator!B8=TRUE,Backdoors!BI30=TRUE),VLOOKUP(Calculator!E23,tbSkills!DH3:DJ6,3,FALSE),0),0)))/100)),1))*IF(VLOOKUP(A63,tbMoveset!A2:K112,11,FALSE)=TRUE,Backdoors!AC5,1))*GJ63,0),"")</f>
        <v>0</v>
      </c>
      <c r="GN63" s="49">
        <f>VLOOKUP(A63,tbMoveset!A2:G112,7,FALSE)*IFERROR(IF(Backdoors!AI12&gt;=0,1+(IF(Calculator!E40&gt;0,VLOOKUP(Calculator!E40,tbSkills!AI3:AJ5,2,FALSE),Backdoors!AL4)*(IF((Backdoors!AI12+IF(GI63&gt;=0.45,VLOOKUP(Calculator!E23,tbSkills!DH3:DI6,2,FALSE)+IF(AND(Calculator!B8=TRUE,Backdoors!BI30=TRUE),VLOOKUP(Calculator!E23,tbSkills!DH3:DJ6,3,FALSE),0),0))&gt;=100,100,(Backdoors!AI12+IF(GI63&gt;=0.45,VLOOKUP(Calculator!E23,tbSkills!DH3:DI6,2,FALSE)+IF(AND(Calculator!B8=TRUE,Backdoors!BI30=TRUE),VLOOKUP(Calculator!E23,tbSkills!DH3:DJ6,3,FALSE),0),0)))/100)),1),1)</f>
        <v>0.6</v>
      </c>
      <c r="GO63" s="87">
        <f t="shared" si="20"/>
        <v>0</v>
      </c>
      <c r="GP63" s="86" t="str">
        <f>IFERROR(IF(VLOOKUP(A63,tbMoveset!A2:B112,2,FALSE)="Sever",Backdoors!AY31/100,IF(VLOOKUP(A63,tbMoveset!A2:B112,2,FALSE)="Blunt",Backdoors!AZ31/100,Backdoors!BA31/100)),"")</f>
        <v/>
      </c>
      <c r="GQ63" s="49">
        <f>IFERROR(IF(VLOOKUP(tbMoveset!A63,tbMoveset!A2:H112,8,FALSE)="Other",IF(VLOOKUP(tbMoveset!A63,tbMoveset!A2:I112,9,FALSE)="Fire",Backdoors!BB31,IF(VLOOKUP(tbMoveset!A63,tbMoveset!A2:I112,9,FALSE)="Water",Backdoors!BC31,IF(VLOOKUP(tbMoveset!A63,tbMoveset!A2:I112,9,FALSE)="Thunder",Backdoors!BD31,IF(VLOOKUP(tbMoveset!A63,tbMoveset!A2:I112,9,FALSE)="Ice",Backdoors!BE31,IF(VLOOKUP(tbMoveset!A63,tbMoveset!A2:I112,9,FALSE)="Dragon",Backdoors!BF31,Backdoors!BG31)))))/100,Backdoors!BG31/100),"")</f>
        <v>0</v>
      </c>
      <c r="GR63" s="49">
        <f>IFERROR(IF(VLOOKUP(A63,tbMoveset!A2:J112,10,FALSE)=TRUE,IF((Backdoors!AI12+IF(GP63&gt;=0.45,VLOOKUP(Calculator!E23,tbSkills!DH3:DI6,2,FALSE)+IF(AND(Calculator!B8=TRUE,Backdoors!BI31=TRUE),VLOOKUP(Calculator!E23,tbSkills!DH3:DJ6,3,FALSE),0),0))&gt;=0,1+(Backdoors!AL2*(IF((Backdoors!AI12+IF(GP63&gt;=0.45,VLOOKUP(Calculator!E23,tbSkills!DH3:DI6,2,FALSE)+IF(AND(Calculator!B8=TRUE,Backdoors!BI31=TRUE),VLOOKUP(Calculator!E23,tbSkills!DH3:DJ6,3,FALSE),0),0))&gt;=100,100,(Backdoors!AI12+IF(GP63&gt;=0.45,VLOOKUP(Calculator!E23,tbSkills!DH3:DI6,2,FALSE)+IF(AND(Calculator!B8=TRUE,Backdoors!BI31=TRUE),VLOOKUP(Calculator!E23,tbSkills!DH3:DJ6,3,FALSE),0),0)))/100)),(1-(0.25*((-Backdoors!AI12-IF(GP63&gt;=0.45,VLOOKUP(Calculator!E23,tbSkills!DH3:DI6,2,FALSE)+IF(AND(Calculator!B8=TRUE,Backdoors!BI31=TRUE),VLOOKUP(Calculator!E23,tbSkills!DH3:DJ6,3,FALSE),0),0))/100)))),1),"")</f>
        <v>1</v>
      </c>
      <c r="GS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P63)*GR63)*(VLOOKUP(A63,tbMoveset!A2:C112,3,FALSE)/100)*IF(VLOOKUP(A63,tbMoveset!A2:B112,2,FALSE)="Projectile",Backdoors!N10,Backdoors!N9),0),"")</f>
        <v/>
      </c>
      <c r="GT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P63&gt;=0.45,VLOOKUP(Calculator!E23,tbSkills!DH3:DI6,2,FALSE)+IF(AND(Calculator!B8=TRUE,Backdoors!BI31=TRUE),VLOOKUP(Calculator!E23,tbSkills!DH3:DJ6,3,FALSE),0),0))&gt;=100,100,(Backdoors!AI12+IF(GP63&gt;=0.45,VLOOKUP(Calculator!E23,tbSkills!DH3:DI6,2,FALSE)+IF(AND(Calculator!B8=TRUE,Backdoors!BI31=TRUE),VLOOKUP(Calculator!E23,tbSkills!DH3:DJ6,3,FALSE),0),0)))/100)),1))*IF(VLOOKUP(A63,tbMoveset!A2:K112,11,FALSE)=TRUE,Backdoors!AC5,1))*GQ63,0),"")</f>
        <v>0</v>
      </c>
      <c r="GU63" s="49">
        <f>VLOOKUP(A63,tbMoveset!A2:G112,7,FALSE)*IFERROR(IF(Backdoors!AI12&gt;=0,1+(IF(Calculator!E40&gt;0,VLOOKUP(Calculator!E40,tbSkills!AI3:AJ5,2,FALSE),Backdoors!AL4)*(IF((Backdoors!AI12+IF(GP63&gt;=0.45,VLOOKUP(Calculator!E23,tbSkills!DH3:DI6,2,FALSE)+IF(AND(Calculator!B8=TRUE,Backdoors!BI31=TRUE),VLOOKUP(Calculator!E23,tbSkills!DH3:DJ6,3,FALSE),0),0))&gt;=100,100,(Backdoors!AI12+IF(GP63&gt;=0.45,VLOOKUP(Calculator!E23,tbSkills!DH3:DI6,2,FALSE)+IF(AND(Calculator!B8=TRUE,Backdoors!BI31=TRUE),VLOOKUP(Calculator!E23,tbSkills!DH3:DJ6,3,FALSE),0),0)))/100)),1),1)</f>
        <v>0.6</v>
      </c>
      <c r="GV63" s="87">
        <f t="shared" si="21"/>
        <v>0</v>
      </c>
      <c r="GW63" s="86" t="str">
        <f>IFERROR(IF(VLOOKUP(A63,tbMoveset!A2:B112,2,FALSE)="Sever",Backdoors!AY32/100,IF(VLOOKUP(A63,tbMoveset!A2:B112,2,FALSE)="Blunt",Backdoors!AZ32/100,Backdoors!BA32/100)),"")</f>
        <v/>
      </c>
      <c r="GX63" s="49">
        <f>IFERROR(IF(VLOOKUP(tbMoveset!A63,tbMoveset!A2:H112,8,FALSE)="Other",IF(VLOOKUP(tbMoveset!A63,tbMoveset!A2:I112,9,FALSE)="Fire",Backdoors!BB32,IF(VLOOKUP(tbMoveset!A63,tbMoveset!A2:I112,9,FALSE)="Water",Backdoors!BC32,IF(VLOOKUP(tbMoveset!A63,tbMoveset!A2:I112,9,FALSE)="Thunder",Backdoors!BD32,IF(VLOOKUP(tbMoveset!A63,tbMoveset!A2:I112,9,FALSE)="Ice",Backdoors!BE32,IF(VLOOKUP(tbMoveset!A63,tbMoveset!A2:I112,9,FALSE)="Dragon",Backdoors!BF32,Backdoors!BG32)))))/100,Backdoors!BG32/100),"")</f>
        <v>0</v>
      </c>
      <c r="GY63" s="49">
        <f>IFERROR(IF(VLOOKUP(A63,tbMoveset!A2:J112,10,FALSE)=TRUE,IF((Backdoors!AI12+IF(GW63&gt;=0.45,VLOOKUP(Calculator!E23,tbSkills!DH3:DI6,2,FALSE)+IF(AND(Calculator!B8=TRUE,Backdoors!BI32=TRUE),VLOOKUP(Calculator!E23,tbSkills!DH3:DJ6,3,FALSE),0),0))&gt;=0,1+(Backdoors!AL2*(IF((Backdoors!AI12+IF(GW63&gt;=0.45,VLOOKUP(Calculator!E23,tbSkills!DH3:DI6,2,FALSE)+IF(AND(Calculator!B8=TRUE,Backdoors!BI32=TRUE),VLOOKUP(Calculator!E23,tbSkills!DH3:DJ6,3,FALSE),0),0))&gt;=100,100,(Backdoors!AI12+IF(GW63&gt;=0.45,VLOOKUP(Calculator!E23,tbSkills!DH3:DI6,2,FALSE)+IF(AND(Calculator!B8=TRUE,Backdoors!BI32=TRUE),VLOOKUP(Calculator!E23,tbSkills!DH3:DJ6,3,FALSE),0),0)))/100)),(1-(0.25*((-Backdoors!AI12-IF(GW63&gt;=0.45,VLOOKUP(Calculator!E23,tbSkills!DH3:DI6,2,FALSE)+IF(AND(Calculator!B8=TRUE,Backdoors!BI32=TRUE),VLOOKUP(Calculator!E23,tbSkills!DH3:DJ6,3,FALSE),0),0))/100)))),1),"")</f>
        <v>1</v>
      </c>
      <c r="GZ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W63)*GY63)*(VLOOKUP(A63,tbMoveset!A2:C112,3,FALSE)/100)*IF(VLOOKUP(A63,tbMoveset!A2:B112,2,FALSE)="Projectile",Backdoors!N10,Backdoors!N9),0),"")</f>
        <v/>
      </c>
      <c r="HA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W63&gt;=0.45,VLOOKUP(Calculator!E23,tbSkills!DH3:DI6,2,FALSE)+IF(AND(Calculator!B8=TRUE,Backdoors!BI32=TRUE),VLOOKUP(Calculator!E23,tbSkills!DH3:DJ6,3,FALSE),0),0))&gt;=100,100,(Backdoors!AI12+IF(GW63&gt;=0.45,VLOOKUP(Calculator!E23,tbSkills!DH3:DI6,2,FALSE)+IF(AND(Calculator!B8=TRUE,Backdoors!BI32=TRUE),VLOOKUP(Calculator!E23,tbSkills!DH3:DJ6,3,FALSE),0),0)))/100)),1))*IF(VLOOKUP(A63,tbMoveset!A2:K112,11,FALSE)=TRUE,Backdoors!AC5,1))*GX63,0),"")</f>
        <v>0</v>
      </c>
      <c r="HB63" s="49">
        <f>VLOOKUP(A63,tbMoveset!A2:G112,7,FALSE)*IFERROR(IF(Backdoors!AI12&gt;=0,1+(IF(Calculator!E40&gt;0,VLOOKUP(Calculator!E40,tbSkills!AI3:AJ5,2,FALSE),Backdoors!AL4)*(IF((Backdoors!AI12+IF(GW63&gt;=0.45,VLOOKUP(Calculator!E23,tbSkills!DH3:DI6,2,FALSE)+IF(AND(Calculator!B8=TRUE,Backdoors!BI32=TRUE),VLOOKUP(Calculator!E23,tbSkills!DH3:DJ6,3,FALSE),0),0))&gt;=100,100,(Backdoors!AI12+IF(GW63&gt;=0.45,VLOOKUP(Calculator!E23,tbSkills!DH3:DI6,2,FALSE)+IF(AND(Calculator!B8=TRUE,Backdoors!BI32=TRUE),VLOOKUP(Calculator!E23,tbSkills!DH3:DJ6,3,FALSE),0),0)))/100)),1),1)</f>
        <v>0.6</v>
      </c>
      <c r="HC63" s="87">
        <f t="shared" si="22"/>
        <v>0</v>
      </c>
      <c r="HD63" s="86" t="str">
        <f>IFERROR(IF(VLOOKUP(A63,tbMoveset!A2:B112,2,FALSE)="Sever",Backdoors!AY33/100,IF(VLOOKUP(A63,tbMoveset!A2:B112,2,FALSE)="Blunt",Backdoors!AZ33/100,Backdoors!BA33/100)),"")</f>
        <v/>
      </c>
      <c r="HE63" s="49">
        <f>IFERROR(IF(VLOOKUP(tbMoveset!A63,tbMoveset!A2:H112,8,FALSE)="Other",IF(VLOOKUP(tbMoveset!A63,tbMoveset!A2:I112,9,FALSE)="Fire",Backdoors!BB33,IF(VLOOKUP(tbMoveset!A63,tbMoveset!A2:I112,9,FALSE)="Water",Backdoors!BC33,IF(VLOOKUP(tbMoveset!A63,tbMoveset!A2:I112,9,FALSE)="Thunder",Backdoors!BD33,IF(VLOOKUP(tbMoveset!A63,tbMoveset!A2:I112,9,FALSE)="Ice",Backdoors!BE33,IF(VLOOKUP(tbMoveset!A63,tbMoveset!A2:I112,9,FALSE)="Dragon",Backdoors!BF33,Backdoors!BG33)))))/100,Backdoors!BG33/100),"")</f>
        <v>0</v>
      </c>
      <c r="HF63" s="49">
        <f>IFERROR(IF(VLOOKUP(A63,tbMoveset!A2:J112,10,FALSE)=TRUE,IF((Backdoors!AI12+IF(HD63&gt;=0.45,VLOOKUP(Calculator!E23,tbSkills!DH3:DI6,2,FALSE)+IF(AND(Calculator!B8=TRUE,Backdoors!BI33=TRUE),VLOOKUP(Calculator!E23,tbSkills!DH3:DJ6,3,FALSE),0),0))&gt;=0,1+(Backdoors!AL2*(IF((Backdoors!AI12+IF(HD63&gt;=0.45,VLOOKUP(Calculator!E23,tbSkills!DH3:DI6,2,FALSE)+IF(AND(Calculator!B8=TRUE,Backdoors!BI33=TRUE),VLOOKUP(Calculator!E23,tbSkills!DH3:DJ6,3,FALSE),0),0))&gt;=100,100,(Backdoors!AI12+IF(HD63&gt;=0.45,VLOOKUP(Calculator!E23,tbSkills!DH3:DI6,2,FALSE)+IF(AND(Calculator!B8=TRUE,Backdoors!BI33=TRUE),VLOOKUP(Calculator!E23,tbSkills!DH3:DJ6,3,FALSE),0),0)))/100)),(1-(0.25*((-Backdoors!AI12-IF(HD63&gt;=0.45,VLOOKUP(Calculator!E23,tbSkills!DH3:DI6,2,FALSE)+IF(AND(Calculator!B8=TRUE,Backdoors!BI33=TRUE),VLOOKUP(Calculator!E23,tbSkills!DH3:DJ6,3,FALSE),0),0))/100)))),1),"")</f>
        <v>1</v>
      </c>
      <c r="HG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D63)*HF63)*(VLOOKUP(A63,tbMoveset!A2:C112,3,FALSE)/100)*IF(VLOOKUP(A63,tbMoveset!A2:B112,2,FALSE)="Projectile",Backdoors!N10,Backdoors!N9),0),"")</f>
        <v/>
      </c>
      <c r="HH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D63&gt;=0.45,VLOOKUP(Calculator!E23,tbSkills!DH3:DI6,2,FALSE)+IF(AND(Calculator!B8=TRUE,Backdoors!BI33=TRUE),VLOOKUP(Calculator!E23,tbSkills!DH3:DJ6,3,FALSE),0),0))&gt;=100,100,(Backdoors!AI12+IF(HD63&gt;=0.45,VLOOKUP(Calculator!E23,tbSkills!DH3:DI6,2,FALSE)+IF(AND(Calculator!B8=TRUE,Backdoors!BI33=TRUE),VLOOKUP(Calculator!E23,tbSkills!DH3:DJ6,3,FALSE),0),0)))/100)),1))*IF(VLOOKUP(A63,tbMoveset!A2:K112,11,FALSE)=TRUE,Backdoors!AC5,1))*HE63,0),"")</f>
        <v>0</v>
      </c>
      <c r="HI63" s="49">
        <f>VLOOKUP(A63,tbMoveset!A2:G112,7,FALSE)*IFERROR(IF(Backdoors!AI12&gt;=0,1+(IF(Calculator!E40&gt;0,VLOOKUP(Calculator!E40,tbSkills!AI3:AJ5,2,FALSE),Backdoors!AL4)*(IF((Backdoors!AI12+IF(HD63&gt;=0.45,VLOOKUP(Calculator!E23,tbSkills!DH3:DI6,2,FALSE)+IF(AND(Calculator!B8=TRUE,Backdoors!BI33=TRUE),VLOOKUP(Calculator!E23,tbSkills!DH3:DJ6,3,FALSE),0),0))&gt;=100,100,(Backdoors!AI12+IF(HD63&gt;=0.45,VLOOKUP(Calculator!E23,tbSkills!DH3:DI6,2,FALSE)+IF(AND(Calculator!B8=TRUE,Backdoors!BI33=TRUE),VLOOKUP(Calculator!E23,tbSkills!DH3:DJ6,3,FALSE),0),0)))/100)),1),1)</f>
        <v>0.6</v>
      </c>
      <c r="HJ63" s="87">
        <f t="shared" si="23"/>
        <v>0</v>
      </c>
      <c r="HK63" s="86" t="str">
        <f>IFERROR(IF(VLOOKUP(A63,tbMoveset!A2:B112,2,FALSE)="Sever",Backdoors!AY34/100,IF(VLOOKUP(A63,tbMoveset!A2:B112,2,FALSE)="Blunt",Backdoors!AZ34/100,Backdoors!BA34/100)),"")</f>
        <v/>
      </c>
      <c r="HL63" s="49">
        <f>IFERROR(IF(VLOOKUP(tbMoveset!A63,tbMoveset!A2:H112,8,FALSE)="Other",IF(VLOOKUP(tbMoveset!A63,tbMoveset!A2:I112,9,FALSE)="Fire",Backdoors!BB34,IF(VLOOKUP(tbMoveset!A63,tbMoveset!A2:I112,9,FALSE)="Water",Backdoors!BC34,IF(VLOOKUP(tbMoveset!A63,tbMoveset!A2:I112,9,FALSE)="Thunder",Backdoors!BD34,IF(VLOOKUP(tbMoveset!A63,tbMoveset!A2:I112,9,FALSE)="Ice",Backdoors!BE34,IF(VLOOKUP(tbMoveset!A63,tbMoveset!A2:I112,9,FALSE)="Dragon",Backdoors!BF34,Backdoors!BG34)))))/100,Backdoors!BG34/100),"")</f>
        <v>0</v>
      </c>
      <c r="HM63" s="49">
        <f>IFERROR(IF(VLOOKUP(A63,tbMoveset!A2:J112,10,FALSE)=TRUE,IF((Backdoors!AI12+IF(HK63&gt;=0.45,VLOOKUP(Calculator!E23,tbSkills!DH3:DI6,2,FALSE)+IF(AND(Calculator!B8=TRUE,Backdoors!BI34=TRUE),VLOOKUP(Calculator!E23,tbSkills!DH3:DJ6,3,FALSE),0),0))&gt;=0,1+(Backdoors!AL2*(IF((Backdoors!AI12+IF(HK63&gt;=0.45,VLOOKUP(Calculator!E23,tbSkills!DH3:DI6,2,FALSE)+IF(AND(Calculator!B8=TRUE,Backdoors!BI34=TRUE),VLOOKUP(Calculator!E23,tbSkills!DH3:DJ6,3,FALSE),0),0))&gt;=100,100,(Backdoors!AI12+IF(HK63&gt;=0.45,VLOOKUP(Calculator!E23,tbSkills!DH3:DI6,2,FALSE)+IF(AND(Calculator!B8=TRUE,Backdoors!BI34=TRUE),VLOOKUP(Calculator!E23,tbSkills!DH3:DJ6,3,FALSE),0),0)))/100)),(1-(0.25*((-Backdoors!AI12-IF(HK63&gt;=0.45,VLOOKUP(Calculator!E23,tbSkills!DH3:DI6,2,FALSE)+IF(AND(Calculator!B8=TRUE,Backdoors!BI34=TRUE),VLOOKUP(Calculator!E23,tbSkills!DH3:DJ6,3,FALSE),0),0))/100)))),1),"")</f>
        <v>1</v>
      </c>
      <c r="HN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K63)*HM63)*(VLOOKUP(A63,tbMoveset!A2:C112,3,FALSE)/100)*IF(VLOOKUP(A63,tbMoveset!A2:B112,2,FALSE)="Projectile",Backdoors!N10,Backdoors!N9),0),"")</f>
        <v/>
      </c>
      <c r="HO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K63&gt;=0.45,VLOOKUP(Calculator!E23,tbSkills!DH3:DI6,2,FALSE)+IF(AND(Calculator!B8=TRUE,Backdoors!BI34=TRUE),VLOOKUP(Calculator!E23,tbSkills!DH3:DJ6,3,FALSE),0),0))&gt;=100,100,(Backdoors!AI12+IF(HK63&gt;=0.45,VLOOKUP(Calculator!E23,tbSkills!DH3:DI6,2,FALSE)+IF(AND(Calculator!B8=TRUE,Backdoors!BI34=TRUE),VLOOKUP(Calculator!E23,tbSkills!DH3:DJ6,3,FALSE),0),0)))/100)),1))*IF(VLOOKUP(A63,tbMoveset!A2:K112,11,FALSE)=TRUE,Backdoors!AC5,1))*HL63,0),"")</f>
        <v>0</v>
      </c>
      <c r="HP63" s="49">
        <f>VLOOKUP(A63,tbMoveset!A2:G112,7,FALSE)*IFERROR(IF(Backdoors!AI12&gt;=0,1+(IF(Calculator!E40&gt;0,VLOOKUP(Calculator!E40,tbSkills!AI3:AJ5,2,FALSE),Backdoors!AL4)*(IF((Backdoors!AI12+IF(HK63&gt;=0.45,VLOOKUP(Calculator!E23,tbSkills!DH3:DI6,2,FALSE)+IF(AND(Calculator!B8=TRUE,Backdoors!BI34=TRUE),VLOOKUP(Calculator!E23,tbSkills!DH3:DJ6,3,FALSE),0),0))&gt;=100,100,(Backdoors!AI12+IF(HK63&gt;=0.45,VLOOKUP(Calculator!E23,tbSkills!DH3:DI6,2,FALSE)+IF(AND(Calculator!B8=TRUE,Backdoors!BI34=TRUE),VLOOKUP(Calculator!E23,tbSkills!DH3:DJ6,3,FALSE),0),0)))/100)),1),1)</f>
        <v>0.6</v>
      </c>
      <c r="HQ63" s="87">
        <f t="shared" si="24"/>
        <v>0</v>
      </c>
      <c r="HR63" s="86" t="str">
        <f>IFERROR(IF(VLOOKUP(A63,tbMoveset!A2:B112,2,FALSE)="Sever",Backdoors!AY35/100,IF(VLOOKUP(A63,tbMoveset!A2:B112,2,FALSE)="Blunt",Backdoors!AZ35/100,Backdoors!BA35/100)),"")</f>
        <v/>
      </c>
      <c r="HS63" s="49">
        <f>IFERROR(IF(VLOOKUP(tbMoveset!A63,tbMoveset!A2:H112,8,FALSE)="Other",IF(VLOOKUP(tbMoveset!A63,tbMoveset!A2:I112,9,FALSE)="Fire",Backdoors!BB35,IF(VLOOKUP(tbMoveset!A63,tbMoveset!A2:I112,9,FALSE)="Water",Backdoors!BC35,IF(VLOOKUP(tbMoveset!A63,tbMoveset!A2:I112,9,FALSE)="Thunder",Backdoors!BD35,IF(VLOOKUP(tbMoveset!A63,tbMoveset!A2:I112,9,FALSE)="Ice",Backdoors!BE35,IF(VLOOKUP(tbMoveset!A63,tbMoveset!A2:I112,9,FALSE)="Dragon",Backdoors!BF35,Backdoors!BG35)))))/100,Backdoors!BG35/100),"")</f>
        <v>0</v>
      </c>
      <c r="HT63" s="49">
        <f>IFERROR(IF(VLOOKUP(A63,tbMoveset!A2:J112,10,FALSE)=TRUE,IF((Backdoors!AI12+IF(HR63&gt;=0.45,VLOOKUP(Calculator!E23,tbSkills!DH3:DI6,2,FALSE)+IF(AND(Calculator!B8=TRUE,Backdoors!BI35=TRUE),VLOOKUP(Calculator!E23,tbSkills!DH3:DJ6,3,FALSE),0),0))&gt;=0,1+(Backdoors!AL2*(IF((Backdoors!AI12+IF(HR63&gt;=0.45,VLOOKUP(Calculator!E23,tbSkills!DH3:DI6,2,FALSE)+IF(AND(Calculator!B8=TRUE,Backdoors!BI35=TRUE),VLOOKUP(Calculator!E23,tbSkills!DH3:DJ6,3,FALSE),0),0))&gt;=100,100,(Backdoors!AI12+IF(HR63&gt;=0.45,VLOOKUP(Calculator!E23,tbSkills!DH3:DI6,2,FALSE)+IF(AND(Calculator!B8=TRUE,Backdoors!BI35=TRUE),VLOOKUP(Calculator!E23,tbSkills!DH3:DJ6,3,FALSE),0),0)))/100)),(1-(0.25*((-Backdoors!AI12-IF(HR63&gt;=0.45,VLOOKUP(Calculator!E23,tbSkills!DH3:DI6,2,FALSE)+IF(AND(Calculator!B8=TRUE,Backdoors!BI35=TRUE),VLOOKUP(Calculator!E23,tbSkills!DH3:DJ6,3,FALSE),0),0))/100)))),1),"")</f>
        <v>1</v>
      </c>
      <c r="HU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R63)*HT63)*(VLOOKUP(A63,tbMoveset!A2:C112,3,FALSE)/100)*IF(VLOOKUP(A63,tbMoveset!A2:B112,2,FALSE)="Projectile",Backdoors!N10,Backdoors!N9),0),"")</f>
        <v/>
      </c>
      <c r="HV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R63&gt;=0.45,VLOOKUP(Calculator!E23,tbSkills!DH3:DI6,2,FALSE)+IF(AND(Calculator!B8=TRUE,Backdoors!BI35=TRUE),VLOOKUP(Calculator!E23,tbSkills!DH3:DJ6,3,FALSE),0),0))&gt;=100,100,(Backdoors!AI12+IF(HR63&gt;=0.45,VLOOKUP(Calculator!E23,tbSkills!DH3:DI6,2,FALSE)+IF(AND(Calculator!B8=TRUE,Backdoors!BI35=TRUE),VLOOKUP(Calculator!E23,tbSkills!DH3:DJ6,3,FALSE),0),0)))/100)),1))*IF(VLOOKUP(A63,tbMoveset!A2:K112,11,FALSE)=TRUE,Backdoors!AC5,1))*HS63,0),"")</f>
        <v>0</v>
      </c>
      <c r="HW63" s="49">
        <f>VLOOKUP(A63,tbMoveset!A2:G112,7,FALSE)*IFERROR(IF(Backdoors!AI12&gt;=0,1+(IF(Calculator!E40&gt;0,VLOOKUP(Calculator!E40,tbSkills!AI3:AJ5,2,FALSE),Backdoors!AL4)*(IF((Backdoors!AI12+IF(HR63&gt;=0.45,VLOOKUP(Calculator!E23,tbSkills!DH3:DI6,2,FALSE)+IF(AND(Calculator!B8=TRUE,Backdoors!BI35=TRUE),VLOOKUP(Calculator!E23,tbSkills!DH3:DJ6,3,FALSE),0),0))&gt;=100,100,(Backdoors!AI12+IF(HR63&gt;=0.45,VLOOKUP(Calculator!E23,tbSkills!DH3:DI6,2,FALSE)+IF(AND(Calculator!B8=TRUE,Backdoors!BI35=TRUE),VLOOKUP(Calculator!E23,tbSkills!DH3:DJ6,3,FALSE),0),0)))/100)),1),1)</f>
        <v>0.6</v>
      </c>
      <c r="HX63" s="87">
        <f t="shared" si="25"/>
        <v>0</v>
      </c>
      <c r="HY63" s="86" t="str">
        <f>IFERROR(IF(VLOOKUP(A63,tbMoveset!A2:B112,2,FALSE)="Sever",Backdoors!AY36/100,IF(VLOOKUP(A63,tbMoveset!A2:B112,2,FALSE)="Blunt",Backdoors!AZ36/100,Backdoors!BA36/100)),"")</f>
        <v/>
      </c>
      <c r="HZ63" s="49">
        <f>IFERROR(IF(VLOOKUP(tbMoveset!A63,tbMoveset!A2:H112,8,FALSE)="Other",IF(VLOOKUP(tbMoveset!A63,tbMoveset!A2:I112,9,FALSE)="Fire",Backdoors!BB36,IF(VLOOKUP(tbMoveset!A63,tbMoveset!A2:I112,9,FALSE)="Water",Backdoors!BC36,IF(VLOOKUP(tbMoveset!A63,tbMoveset!A2:I112,9,FALSE)="Thunder",Backdoors!BD36,IF(VLOOKUP(tbMoveset!A63,tbMoveset!A2:I112,9,FALSE)="Ice",Backdoors!BE36,IF(VLOOKUP(tbMoveset!A63,tbMoveset!A2:I112,9,FALSE)="Dragon",Backdoors!BF36,Backdoors!BG36)))))/100,Backdoors!BG36/100),"")</f>
        <v>0</v>
      </c>
      <c r="IA63" s="49">
        <f>IFERROR(IF(VLOOKUP(A63,tbMoveset!A2:J112,10,FALSE)=TRUE,IF((Backdoors!AI12+IF(HY63&gt;=0.45,VLOOKUP(Calculator!E23,tbSkills!DH3:DI6,2,FALSE)+IF(AND(Calculator!B8=TRUE,Backdoors!BI36=TRUE),VLOOKUP(Calculator!E23,tbSkills!DH3:DJ6,3,FALSE),0),0))&gt;=0,1+(Backdoors!AL2*(IF((Backdoors!AI12+IF(HY63&gt;=0.45,VLOOKUP(Calculator!E23,tbSkills!DH3:DI6,2,FALSE)+IF(AND(Calculator!B8=TRUE,Backdoors!BI36=TRUE),VLOOKUP(Calculator!E23,tbSkills!DH3:DJ6,3,FALSE),0),0))&gt;=100,100,(Backdoors!AI12+IF(HY63&gt;=0.45,VLOOKUP(Calculator!E23,tbSkills!DH3:DI6,2,FALSE)+IF(AND(Calculator!B8=TRUE,Backdoors!BI36=TRUE),VLOOKUP(Calculator!E23,tbSkills!DH3:DJ6,3,FALSE),0),0)))/100)),(1-(0.25*((-Backdoors!AI12-IF(HY63&gt;=0.45,VLOOKUP(Calculator!E23,tbSkills!DH3:DI6,2,FALSE)+IF(AND(Calculator!B8=TRUE,Backdoors!BI36=TRUE),VLOOKUP(Calculator!E23,tbSkills!DH3:DJ6,3,FALSE),0),0))/100)))),1),"")</f>
        <v>1</v>
      </c>
      <c r="IB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Y63)*IA63)*(VLOOKUP(A63,tbMoveset!A2:C112,3,FALSE)/100)*IF(VLOOKUP(A63,tbMoveset!A2:B112,2,FALSE)="Projectile",Backdoors!N10,Backdoors!N9),0),"")</f>
        <v/>
      </c>
      <c r="IC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Y63&gt;=0.45,VLOOKUP(Calculator!E23,tbSkills!DH3:DI6,2,FALSE)+IF(AND(Calculator!B8=TRUE,Backdoors!BI36=TRUE),VLOOKUP(Calculator!E23,tbSkills!DH3:DJ6,3,FALSE),0),0))&gt;=100,100,(Backdoors!AI12+IF(HY63&gt;=0.45,VLOOKUP(Calculator!E23,tbSkills!DH3:DI6,2,FALSE)+IF(AND(Calculator!B8=TRUE,Backdoors!BI36=TRUE),VLOOKUP(Calculator!E23,tbSkills!DH3:DJ6,3,FALSE),0),0)))/100)),1))*IF(VLOOKUP(A63,tbMoveset!A2:K112,11,FALSE)=TRUE,Backdoors!AC5,1))*HZ63,0),"")</f>
        <v>0</v>
      </c>
      <c r="ID63" s="49">
        <f>VLOOKUP(A63,tbMoveset!A2:G112,7,FALSE)*IFERROR(IF(Backdoors!AI12&gt;=0,1+(IF(Calculator!E40&gt;0,VLOOKUP(Calculator!E40,tbSkills!AI3:AJ5,2,FALSE),Backdoors!AL4)*(IF((Backdoors!AI12+IF(HY63&gt;=0.45,VLOOKUP(Calculator!E23,tbSkills!DH3:DI6,2,FALSE)+IF(AND(Calculator!B8=TRUE,Backdoors!BI36=TRUE),VLOOKUP(Calculator!E23,tbSkills!DH3:DJ6,3,FALSE),0),0))&gt;=100,100,(Backdoors!AI12+IF(HY63&gt;=0.45,VLOOKUP(Calculator!E23,tbSkills!DH3:DI6,2,FALSE)+IF(AND(Calculator!B8=TRUE,Backdoors!BI36=TRUE),VLOOKUP(Calculator!E23,tbSkills!DH3:DJ6,3,FALSE),0),0)))/100)),1),1)</f>
        <v>0.6</v>
      </c>
      <c r="IE63" s="87">
        <f t="shared" si="26"/>
        <v>0</v>
      </c>
      <c r="IF63" s="86" t="str">
        <f>IFERROR(IF(VLOOKUP(A63,tbMoveset!A2:B112,2,FALSE)="Sever",Backdoors!AY37/100,IF(VLOOKUP(A63,tbMoveset!A2:B112,2,FALSE)="Blunt",Backdoors!AZ37/100,Backdoors!BA37/100)),"")</f>
        <v/>
      </c>
      <c r="IG63" s="49">
        <f>IFERROR(IF(VLOOKUP(tbMoveset!A63,tbMoveset!A2:H112,8,FALSE)="Other",IF(VLOOKUP(tbMoveset!A63,tbMoveset!A2:I112,9,FALSE)="Fire",Backdoors!BB37,IF(VLOOKUP(tbMoveset!A63,tbMoveset!A2:I112,9,FALSE)="Water",Backdoors!BC37,IF(VLOOKUP(tbMoveset!A63,tbMoveset!A2:I112,9,FALSE)="Thunder",Backdoors!BD37,IF(VLOOKUP(tbMoveset!A63,tbMoveset!A2:I112,9,FALSE)="Ice",Backdoors!BE37,IF(VLOOKUP(tbMoveset!A63,tbMoveset!A2:I112,9,FALSE)="Dragon",Backdoors!BF37,Backdoors!BG37)))))/100,Backdoors!BG37/100),"")</f>
        <v>0</v>
      </c>
      <c r="IH63" s="49">
        <f>IFERROR(IF(VLOOKUP(A63,tbMoveset!A2:J112,10,FALSE)=TRUE,IF((Backdoors!AI12+IF(IF63&gt;=0.45,VLOOKUP(Calculator!E23,tbSkills!DH3:DI6,2,FALSE)+IF(AND(Calculator!B8=TRUE,Backdoors!BI37=TRUE),VLOOKUP(Calculator!E23,tbSkills!DH3:DJ6,3,FALSE),0),0))&gt;=0,1+(Backdoors!AL2*(IF((Backdoors!AI12+IF(IF63&gt;=0.45,VLOOKUP(Calculator!E23,tbSkills!DH3:DI6,2,FALSE)+IF(AND(Calculator!B8=TRUE,Backdoors!BI37=TRUE),VLOOKUP(Calculator!E23,tbSkills!DH3:DJ6,3,FALSE),0),0))&gt;=100,100,(Backdoors!AI12+IF(IF63&gt;=0.45,VLOOKUP(Calculator!E23,tbSkills!DH3:DI6,2,FALSE)+IF(AND(Calculator!B8=TRUE,Backdoors!BI37=TRUE),VLOOKUP(Calculator!E23,tbSkills!DH3:DJ6,3,FALSE),0),0)))/100)),(1-(0.25*((-Backdoors!AI12-IF(IF63&gt;=0.45,VLOOKUP(Calculator!E23,tbSkills!DH3:DI6,2,FALSE)+IF(AND(Calculator!B8=TRUE,Backdoors!BI37=TRUE),VLOOKUP(Calculator!E23,tbSkills!DH3:DJ6,3,FALSE),0),0))/100)))),1),"")</f>
        <v>1</v>
      </c>
      <c r="II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F63)*IH63)*(VLOOKUP(A63,tbMoveset!A2:C112,3,FALSE)/100)*IF(VLOOKUP(A63,tbMoveset!A2:B112,2,FALSE)="Projectile",Backdoors!N10,Backdoors!N9),0),"")</f>
        <v/>
      </c>
      <c r="IJ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IF63&gt;=0.45,VLOOKUP(Calculator!E23,tbSkills!DH3:DI6,2,FALSE)+IF(AND(Calculator!B8=TRUE,Backdoors!BI37=TRUE),VLOOKUP(Calculator!E23,tbSkills!DH3:DJ6,3,FALSE),0),0))&gt;=100,100,(Backdoors!AI12+IF(IF63&gt;=0.45,VLOOKUP(Calculator!E23,tbSkills!DH3:DI6,2,FALSE)+IF(AND(Calculator!B8=TRUE,Backdoors!BI37=TRUE),VLOOKUP(Calculator!E23,tbSkills!DH3:DJ6,3,FALSE),0),0)))/100)),1))*IF(VLOOKUP(A63,tbMoveset!A2:K112,11,FALSE)=TRUE,Backdoors!AC5,1))*IG63,0),"")</f>
        <v>0</v>
      </c>
      <c r="IK63" s="49">
        <f>VLOOKUP(A63,tbMoveset!A2:G112,7,FALSE)*IFERROR(IF(Backdoors!AI12&gt;=0,1+(IF(Calculator!E40&gt;0,VLOOKUP(Calculator!E40,tbSkills!AI3:AJ5,2,FALSE),Backdoors!AL4)*(IF((Backdoors!AI12+IF(IF63&gt;=0.45,VLOOKUP(Calculator!E23,tbSkills!DH3:DI6,2,FALSE)+IF(AND(Calculator!B8=TRUE,Backdoors!BI37=TRUE),VLOOKUP(Calculator!E23,tbSkills!DH3:DJ6,3,FALSE),0),0))&gt;=100,100,(Backdoors!AI12+IF(IF63&gt;=0.45,VLOOKUP(Calculator!E23,tbSkills!DH3:DI6,2,FALSE)+IF(AND(Calculator!B8=TRUE,Backdoors!BI37=TRUE),VLOOKUP(Calculator!E23,tbSkills!DH3:DJ6,3,FALSE),0),0)))/100)),1),1)</f>
        <v>0.6</v>
      </c>
      <c r="IL63" s="87">
        <f t="shared" si="27"/>
        <v>0</v>
      </c>
      <c r="IM63" s="86" t="str">
        <f>IFERROR(IF(VLOOKUP(A63,tbMoveset!A2:B112,2,FALSE)="Sever",Backdoors!AY38/100,IF(VLOOKUP(A63,tbMoveset!A2:B112,2,FALSE)="Blunt",Backdoors!AZ38/100,Backdoors!BA38/100)),"")</f>
        <v/>
      </c>
      <c r="IN63" s="49">
        <f>IFERROR(IF(VLOOKUP(tbMoveset!A63,tbMoveset!A2:H112,8,FALSE)="Other",IF(VLOOKUP(tbMoveset!A63,tbMoveset!A2:I112,9,FALSE)="Fire",Backdoors!BB38,IF(VLOOKUP(tbMoveset!A63,tbMoveset!A2:I112,9,FALSE)="Water",Backdoors!BC38,IF(VLOOKUP(tbMoveset!A63,tbMoveset!A2:I112,9,FALSE)="Thunder",Backdoors!BD38,IF(VLOOKUP(tbMoveset!A63,tbMoveset!A2:I112,9,FALSE)="Ice",Backdoors!BE38,IF(VLOOKUP(tbMoveset!A63,tbMoveset!A2:I112,9,FALSE)="Dragon",Backdoors!BF38,Backdoors!BG38)))))/100,Backdoors!BG38/100),"")</f>
        <v>0</v>
      </c>
      <c r="IO63" s="49">
        <f>IFERROR(IF(VLOOKUP(A63,tbMoveset!A2:J112,10,FALSE)=TRUE,IF((Backdoors!AI12+IF(IM63&gt;=0.45,VLOOKUP(Calculator!E23,tbSkills!DH3:DI6,2,FALSE)+IF(AND(Calculator!B8=TRUE,Backdoors!BI38=TRUE),VLOOKUP(Calculator!E23,tbSkills!DH3:DJ6,3,FALSE),0),0))&gt;=0,1+(Backdoors!AL2*(IF((Backdoors!AI12+IF(IM63&gt;=0.45,VLOOKUP(Calculator!E23,tbSkills!DH3:DI6,2,FALSE)+IF(AND(Calculator!B8=TRUE,Backdoors!BI38=TRUE),VLOOKUP(Calculator!E23,tbSkills!DH3:DJ6,3,FALSE),0),0))&gt;=100,100,(Backdoors!AI12+IF(IM63&gt;=0.45,VLOOKUP(Calculator!E23,tbSkills!DH3:DI6,2,FALSE)+IF(AND(Calculator!B8=TRUE,Backdoors!BI38=TRUE),VLOOKUP(Calculator!E23,tbSkills!DH3:DJ6,3,FALSE),0),0)))/100)),(1-(0.25*((-Backdoors!AI12-IF(IM63&gt;=0.45,VLOOKUP(Calculator!E23,tbSkills!DH3:DI6,2,FALSE)+IF(AND(Calculator!B8=TRUE,Backdoors!BI38=TRUE),VLOOKUP(Calculator!E23,tbSkills!DH3:DJ6,3,FALSE),0),0))/100)))),1),"")</f>
        <v>1</v>
      </c>
      <c r="IP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M63)*IO63)*(VLOOKUP(A63,tbMoveset!A2:C112,3,FALSE)/100)*IF(VLOOKUP(A63,tbMoveset!A2:B112,2,FALSE)="Projectile",Backdoors!N10,Backdoors!N9),0),"")</f>
        <v/>
      </c>
      <c r="IQ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IM63&gt;=0.45,VLOOKUP(Calculator!E23,tbSkills!DH3:DI6,2,FALSE)+IF(AND(Calculator!B8=TRUE,Backdoors!BI38=TRUE),VLOOKUP(Calculator!E23,tbSkills!DH3:DJ6,3,FALSE),0),0))&gt;=100,100,(Backdoors!AI12+IF(IM63&gt;=0.45,VLOOKUP(Calculator!E23,tbSkills!DH3:DI6,2,FALSE)+IF(AND(Calculator!B8=TRUE,Backdoors!BI38=TRUE),VLOOKUP(Calculator!E23,tbSkills!DH3:DJ6,3,FALSE),0),0)))/100)),1))*IF(VLOOKUP(A63,tbMoveset!A2:K112,11,FALSE)=TRUE,Backdoors!AC5,1))*IN63,0),"")</f>
        <v>0</v>
      </c>
      <c r="IR63" s="49">
        <f>VLOOKUP(A63,tbMoveset!A2:G112,7,FALSE)*IFERROR(IF(Backdoors!AI12&gt;=0,1+(IF(Calculator!E40&gt;0,VLOOKUP(Calculator!E40,tbSkills!AI3:AJ5,2,FALSE),Backdoors!AL4)*(IF((Backdoors!AI12+IF(IM63&gt;=0.45,VLOOKUP(Calculator!E23,tbSkills!DH3:DI6,2,FALSE)+IF(AND(Calculator!B8=TRUE,Backdoors!BI38=TRUE),VLOOKUP(Calculator!E23,tbSkills!DH3:DJ6,3,FALSE),0),0))&gt;=100,100,(Backdoors!AI12+IF(IM63&gt;=0.45,VLOOKUP(Calculator!E23,tbSkills!DH3:DI6,2,FALSE)+IF(AND(Calculator!B8=TRUE,Backdoors!BI38=TRUE),VLOOKUP(Calculator!E23,tbSkills!DH3:DJ6,3,FALSE),0),0)))/100)),1),1)</f>
        <v>0.6</v>
      </c>
      <c r="IS63" s="87">
        <f t="shared" si="42"/>
        <v>0</v>
      </c>
      <c r="IT63" s="86" t="str">
        <f>IFERROR(IF(VLOOKUP(A63,tbMoveset!A2:B112,2,FALSE)="Sever",Backdoors!AY39/100,IF(VLOOKUP(A63,tbMoveset!A2:B112,2,FALSE)="Blunt",Backdoors!AZ39/100,Backdoors!BA39/100)),"")</f>
        <v/>
      </c>
      <c r="IU63" s="49">
        <f>IFERROR(IF(VLOOKUP(tbMoveset!A63,tbMoveset!A2:H112,8,FALSE)="Other",IF(VLOOKUP(tbMoveset!A63,tbMoveset!A2:I112,9,FALSE)="Fire",Backdoors!BB39,IF(VLOOKUP(tbMoveset!A63,tbMoveset!A2:I112,9,FALSE)="Water",Backdoors!BC39,IF(VLOOKUP(tbMoveset!A63,tbMoveset!A2:I112,9,FALSE)="Thunder",Backdoors!BD39,IF(VLOOKUP(tbMoveset!A63,tbMoveset!A2:I112,9,FALSE)="Ice",Backdoors!BE39,IF(VLOOKUP(tbMoveset!A63,tbMoveset!A2:I112,9,FALSE)="Dragon",Backdoors!BF39,Backdoors!BG39)))))/100,Backdoors!BG39/100),"")</f>
        <v>0</v>
      </c>
      <c r="IV63" s="49">
        <f>IFERROR(IF(VLOOKUP(A63,tbMoveset!A2:J112,10,FALSE)=TRUE,IF((Backdoors!AI12+IF(IT63&gt;=0.45,VLOOKUP(Calculator!E23,tbSkills!DH3:DI6,2,FALSE)+IF(AND(Calculator!B8=TRUE,Backdoors!BI39=TRUE),VLOOKUP(Calculator!E23,tbSkills!DH3:DJ6,3,FALSE),0),0))&gt;=0,1+(Backdoors!AL2*(IF((Backdoors!AI12+IF(IT63&gt;=0.45,VLOOKUP(Calculator!E23,tbSkills!DH3:DI6,2,FALSE)+IF(AND(Calculator!B8=TRUE,Backdoors!BI39=TRUE),VLOOKUP(Calculator!E23,tbSkills!DH3:DJ6,3,FALSE),0),0))&gt;=100,100,(Backdoors!AI12+IF(IT63&gt;=0.45,VLOOKUP(Calculator!E23,tbSkills!DH3:DI6,2,FALSE)+IF(AND(Calculator!B8=TRUE,Backdoors!BI39=TRUE),VLOOKUP(Calculator!E23,tbSkills!DH3:DJ6,3,FALSE),0),0)))/100)),(1-(0.25*((-Backdoors!AI12-IF(IT63&gt;=0.45,VLOOKUP(Calculator!E23,tbSkills!DH3:DI6,2,FALSE)+IF(AND(Calculator!B8=TRUE,Backdoors!BI39=TRUE),VLOOKUP(Calculator!E23,tbSkills!DH3:DJ6,3,FALSE),0),0))/100)))),1),"")</f>
        <v>1</v>
      </c>
      <c r="IW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T63)*IV63)*(VLOOKUP(A63,tbMoveset!A2:C112,3,FALSE)/100)*IF(VLOOKUP(A63,tbMoveset!A2:B112,2,FALSE)="Projectile",Backdoors!N10,Backdoors!N9),0),"")</f>
        <v/>
      </c>
      <c r="IX63" s="49">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40&gt;0,VLOOKUP(Calculator!E40,tbSkills!AC3:AD5,2,FALSE),Backdoors!AL3)*(IF((Backdoors!AI12+IF(IT63&gt;=0.45,VLOOKUP(Calculator!E23,tbSkills!DH3:DI6,2,FALSE)+IF(AND(Calculator!B8=TRUE,Backdoors!BI39=TRUE),VLOOKUP(Calculator!E23,tbSkills!DH3:DJ6,3,FALSE),0),0))&gt;=100,100,(Backdoors!AI12+IF(IT63&gt;=0.45,VLOOKUP(Calculator!E23,tbSkills!DH3:DI6,2,FALSE)+IF(AND(Calculator!B8=TRUE,Backdoors!BI39=TRUE),VLOOKUP(Calculator!E23,tbSkills!DH3:DJ6,3,FALSE),0),0)))/100)),1))*IF(VLOOKUP(A63,tbMoveset!A2:K112,11,FALSE)=TRUE,Backdoors!AC5,1))*IU63,0),"")</f>
        <v>0</v>
      </c>
      <c r="IY63" s="49">
        <f>VLOOKUP(A63,tbMoveset!A2:G112,7,FALSE)*IFERROR(IF(Backdoors!AI12&gt;=0,1+(IF(Calculator!E40&gt;0,VLOOKUP(Calculator!E40,tbSkills!AI3:AJ5,2,FALSE),Backdoors!AL4)*(IF((Backdoors!AI12+IF(IT63&gt;=0.45,VLOOKUP(Calculator!E23,tbSkills!DH3:DI6,2,FALSE)+IF(AND(Calculator!B8=TRUE,Backdoors!BI39=TRUE),VLOOKUP(Calculator!E23,tbSkills!DH3:DJ6,3,FALSE),0),0))&gt;=100,100,(Backdoors!AI12+IF(IT63&gt;=0.45,VLOOKUP(Calculator!E23,tbSkills!DH3:DI6,2,FALSE)+IF(AND(Calculator!B8=TRUE,Backdoors!BI39=TRUE),VLOOKUP(Calculator!E23,tbSkills!DH3:DJ6,3,FALSE),0),0)))/100)),1),1)</f>
        <v>0.6</v>
      </c>
      <c r="IZ63" s="87">
        <f t="shared" si="28"/>
        <v>0</v>
      </c>
      <c r="JA63" s="86" t="str">
        <f>IFERROR(IF(VLOOKUP(A63,tbMoveset!A2:B112,2,FALSE)="Sever",Backdoors!AY40/100,IF(VLOOKUP(A63,tbMoveset!A2:B112,2,FALSE)="Blunt",Backdoors!AZ40/100,Backdoors!BA40/100)),"")</f>
        <v/>
      </c>
      <c r="JB63" s="49">
        <f>IFERROR(IF(VLOOKUP(tbMoveset!A63,tbMoveset!A2:H112,8,FALSE)="Other",IF(VLOOKUP(tbMoveset!A63,tbMoveset!A2:I112,9,FALSE)="Fire",Backdoors!BB40,IF(VLOOKUP(tbMoveset!A63,tbMoveset!A2:I112,9,FALSE)="Water",Backdoors!BC40,IF(VLOOKUP(tbMoveset!A63,tbMoveset!A2:I112,9,FALSE)="Thunder",Backdoors!BD40,IF(VLOOKUP(tbMoveset!A63,tbMoveset!A2:I112,9,FALSE)="Ice",Backdoors!BE40,IF(VLOOKUP(tbMoveset!A63,tbMoveset!A2:I112,9,FALSE)="Dragon",Backdoors!BF40,Backdoors!BG40)))))/100,Backdoors!BG40/100),"")</f>
        <v>0</v>
      </c>
      <c r="JC63" s="49">
        <f>IFERROR(IF(VLOOKUP(A63,tbMoveset!A2:J112,10,FALSE)=TRUE,IF((Backdoors!AI12+IF(JA63&gt;=0.45,VLOOKUP(Calculator!E23,tbSkills!DH3:DI6,2,FALSE)+IF(AND(Calculator!B8=TRUE,Backdoors!BI40=TRUE),VLOOKUP(Calculator!E23,tbSkills!DH3:DJ6,3,FALSE),0),0))&gt;=0,1+(Backdoors!AL2*(IF((Backdoors!AI12+IF(JA63&gt;=0.45,VLOOKUP(Calculator!E23,tbSkills!DH3:DI6,2,FALSE)+IF(AND(Calculator!B8=TRUE,Backdoors!BI40=TRUE),VLOOKUP(Calculator!E23,tbSkills!DH3:DJ6,3,FALSE),0),0))&gt;=100,100,(Backdoors!AI12+IF(JA63&gt;=0.45,VLOOKUP(Calculator!E23,tbSkills!DH3:DI6,2,FALSE)+IF(AND(Calculator!B8=TRUE,Backdoors!BI40=TRUE),VLOOKUP(Calculator!E23,tbSkills!DH3:DJ6,3,FALSE),0),0)))/100)),(1-(0.25*((-Backdoors!AI12-IF(JA63&gt;=0.45,VLOOKUP(Calculator!E23,tbSkills!DH3:DI6,2,FALSE)+IF(AND(Calculator!B8=TRUE,Backdoors!BI40=TRUE),VLOOKUP(Calculator!E23,tbSkills!DH3:DJ6,3,FALSE),0),0))/100)))),1),"")</f>
        <v>1</v>
      </c>
      <c r="JD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A63)*JC63)*(VLOOKUP(A63,tbMoveset!A2:C112,3,FALSE)/100)*IF(VLOOKUP(A63,tbMoveset!A2:B112,2,FALSE)="Projectile",Backdoors!N10,Backdoors!N9),0),"")</f>
        <v/>
      </c>
      <c r="JE63" s="49">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42&gt;0,VLOOKUP(Calculator!E42,tbSkills!AC3:AD5,2,FALSE),Backdoors!AL3)*(IF((Backdoors!AI12+IF(JA63&gt;=0.45,VLOOKUP(Calculator!E23,tbSkills!DH3:DI6,2,FALSE)+IF(AND(Calculator!B8=TRUE,Backdoors!BI40=TRUE),VLOOKUP(Calculator!E23,tbSkills!DH3:DJ6,3,FALSE),0),0))&gt;=100,100,(Backdoors!AI12+IF(JA63&gt;=0.45,VLOOKUP(Calculator!E23,tbSkills!DH3:DI6,2,FALSE)+IF(AND(Calculator!B8=TRUE,Backdoors!BI40=TRUE),VLOOKUP(Calculator!E23,tbSkills!DH3:DJ6,3,FALSE),0),0)))/100)),1))*IF(VLOOKUP(A63,tbMoveset!A2:K112,11,FALSE)=TRUE,Backdoors!AC5,1))*JB63,0),"")</f>
        <v>0</v>
      </c>
      <c r="JF63" s="49">
        <f>VLOOKUP(A63,tbMoveset!A2:G112,7,FALSE)*IFERROR(IF(Backdoors!AI12&gt;=0,1+(IF(Calculator!E40&gt;0,VLOOKUP(Calculator!E40,tbSkills!AI3:AJ5,2,FALSE),Backdoors!AL4)*(IF((Backdoors!AI12+IF(JA63&gt;=0.45,VLOOKUP(Calculator!E23,tbSkills!DH3:DI6,2,FALSE)+IF(AND(Calculator!B8=TRUE,Backdoors!BI40=TRUE),VLOOKUP(Calculator!E23,tbSkills!DH3:DJ6,3,FALSE),0),0))&gt;=100,100,(Backdoors!AI12+IF(JA63&gt;=0.45,VLOOKUP(Calculator!E23,tbSkills!DH3:DI6,2,FALSE)+IF(AND(Calculator!B8=TRUE,Backdoors!BI40=TRUE),VLOOKUP(Calculator!E23,tbSkills!DH3:DJ6,3,FALSE),0),0)))/100)),1),1)</f>
        <v>0.6</v>
      </c>
      <c r="JG63" s="87">
        <f t="shared" si="29"/>
        <v>0</v>
      </c>
      <c r="JH63" s="86" t="str">
        <f>IFERROR(IF(VLOOKUP(A63,tbMoveset!A2:B112,2,FALSE)="Sever",Backdoors!AY41/100,IF(VLOOKUP(A63,tbMoveset!A2:B112,2,FALSE)="Blunt",Backdoors!AZ41/100,Backdoors!BA41/100)),"")</f>
        <v/>
      </c>
      <c r="JI63" s="49">
        <f>IFERROR(IF(VLOOKUP(tbMoveset!A63,tbMoveset!A2:H112,8,FALSE)="Other",IF(VLOOKUP(tbMoveset!A63,tbMoveset!A2:I112,9,FALSE)="Fire",Backdoors!BB41,IF(VLOOKUP(tbMoveset!A63,tbMoveset!A2:I112,9,FALSE)="Water",Backdoors!BC41,IF(VLOOKUP(tbMoveset!A63,tbMoveset!A2:I112,9,FALSE)="Thunder",Backdoors!BD41,IF(VLOOKUP(tbMoveset!A63,tbMoveset!A2:I112,9,FALSE)="Ice",Backdoors!BE41,IF(VLOOKUP(tbMoveset!A63,tbMoveset!A2:I112,9,FALSE)="Dragon",Backdoors!BF41,Backdoors!BG41)))))/100,Backdoors!BG41/100),"")</f>
        <v>0</v>
      </c>
      <c r="JJ63" s="49">
        <f>IFERROR(IF(VLOOKUP(A63,tbMoveset!A2:J112,10,FALSE)=TRUE,IF((Backdoors!AI12+IF(JH63&gt;=0.45,VLOOKUP(Calculator!E23,tbSkills!DH3:DI6,2,FALSE)+IF(AND(Calculator!B8=TRUE,Backdoors!BI41=TRUE),VLOOKUP(Calculator!E23,tbSkills!DH3:DJ6,3,FALSE),0),0))&gt;=0,1+(Backdoors!AL2*(IF((Backdoors!AI12+IF(JH63&gt;=0.45,VLOOKUP(Calculator!E23,tbSkills!DH3:DI6,2,FALSE)+IF(AND(Calculator!B8=TRUE,Backdoors!BI41=TRUE),VLOOKUP(Calculator!E23,tbSkills!DH3:DJ6,3,FALSE),0),0))&gt;=100,100,(Backdoors!AI12+IF(JH63&gt;=0.45,VLOOKUP(Calculator!E23,tbSkills!DH3:DI6,2,FALSE)+IF(AND(Calculator!B8=TRUE,Backdoors!BI41=TRUE),VLOOKUP(Calculator!E23,tbSkills!DH3:DJ6,3,FALSE),0),0)))/100)),(1-(0.25*((-Backdoors!AI12-IF(JH63&gt;=0.45,VLOOKUP(Calculator!E23,tbSkills!DH3:DI6,2,FALSE)+IF(AND(Calculator!B8=TRUE,Backdoors!BI41=TRUE),VLOOKUP(Calculator!E23,tbSkills!DH3:DJ6,3,FALSE),0),0))/100)))),1),"")</f>
        <v>1</v>
      </c>
      <c r="JK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H63)*JJ63)*(VLOOKUP(A63,tbMoveset!A2:C112,3,FALSE)/100)*IF(VLOOKUP(A63,tbMoveset!A2:B112,2,FALSE)="Projectile",Backdoors!N10,Backdoors!N9),0),"")</f>
        <v/>
      </c>
      <c r="JL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43&gt;0,VLOOKUP(Calculator!E43,tbSkills!AC3:AD5,2,FALSE),Backdoors!AL3)*(IF((Backdoors!AI12+IF(JH63&gt;=0.45,VLOOKUP(Calculator!E23,tbSkills!DH3:DI6,2,FALSE)+IF(AND(Calculator!B8=TRUE,Backdoors!BI41=TRUE),VLOOKUP(Calculator!E23,tbSkills!DH3:DJ6,3,FALSE),0),0))&gt;=100,100,(Backdoors!AI12+IF(JH63&gt;=0.45,VLOOKUP(Calculator!E23,tbSkills!DH3:DI6,2,FALSE)+IF(AND(Calculator!B8=TRUE,Backdoors!BI41=TRUE),VLOOKUP(Calculator!E23,tbSkills!DH3:DJ6,3,FALSE),0),0)))/100)),1))*IF(VLOOKUP(A63,tbMoveset!A2:K112,11,FALSE)=TRUE,Backdoors!AC5,1))*JI63,0),"")</f>
        <v/>
      </c>
      <c r="JM63" s="49">
        <f>VLOOKUP(A63,tbMoveset!A2:G112,7,FALSE)*IFERROR(IF(Backdoors!AI12&gt;=0,1+(IF(Calculator!E40&gt;0,VLOOKUP(Calculator!E40,tbSkills!AI3:AJ5,2,FALSE),Backdoors!AL4)*(IF((Backdoors!AI12+IF(JH63&gt;=0.45,VLOOKUP(Calculator!E23,tbSkills!DH3:DI6,2,FALSE)+IF(AND(Calculator!B8=TRUE,Backdoors!BI41=TRUE),VLOOKUP(Calculator!E23,tbSkills!DH3:DJ6,3,FALSE),0),0))&gt;=100,100,(Backdoors!AI12+IF(JH63&gt;=0.45,VLOOKUP(Calculator!E23,tbSkills!DH3:DI6,2,FALSE)+IF(AND(Calculator!B8=TRUE,Backdoors!BI41=TRUE),VLOOKUP(Calculator!E23,tbSkills!DH3:DJ6,3,FALSE),0),0)))/100)),1),1)</f>
        <v>0.6</v>
      </c>
      <c r="JN63" s="87">
        <f t="shared" si="30"/>
        <v>0</v>
      </c>
      <c r="JO63" s="86" t="str">
        <f>IFERROR(IF(VLOOKUP(A63,tbMoveset!A2:B112,2,FALSE)="Sever",Backdoors!AY42/100,IF(VLOOKUP(A63,tbMoveset!A2:B112,2,FALSE)="Blunt",Backdoors!AZ42/100,Backdoors!BA42/100)),"")</f>
        <v/>
      </c>
      <c r="JP63" s="49">
        <f>IFERROR(IF(VLOOKUP(tbMoveset!A63,tbMoveset!A2:H112,8,FALSE)="Other",IF(VLOOKUP(tbMoveset!A63,tbMoveset!A2:I112,9,FALSE)="Fire",Backdoors!BB42,IF(VLOOKUP(tbMoveset!A63,tbMoveset!A2:I112,9,FALSE)="Water",Backdoors!BC42,IF(VLOOKUP(tbMoveset!A63,tbMoveset!A2:I112,9,FALSE)="Thunder",Backdoors!BD42,IF(VLOOKUP(tbMoveset!A63,tbMoveset!A2:I112,9,FALSE)="Ice",Backdoors!BE42,IF(VLOOKUP(tbMoveset!A63,tbMoveset!A2:I112,9,FALSE)="Dragon",Backdoors!BF42,Backdoors!BG42)))))/100,Backdoors!BG42/100),"")</f>
        <v>0</v>
      </c>
      <c r="JQ63" s="49">
        <f>IFERROR(IF(VLOOKUP(A63,tbMoveset!A2:J112,10,FALSE)=TRUE,IF((Backdoors!AI12+IF(JO63&gt;=0.45,VLOOKUP(Calculator!E23,tbSkills!DH3:DI6,2,FALSE)+IF(AND(Calculator!B8=TRUE,Backdoors!BI42=TRUE),VLOOKUP(Calculator!E23,tbSkills!DH3:DJ6,3,FALSE),0),0))&gt;=0,1+(Backdoors!AL2*(IF((Backdoors!AI12+IF(JO63&gt;=0.45,VLOOKUP(Calculator!E23,tbSkills!DH3:DI6,2,FALSE)+IF(AND(Calculator!B8=TRUE,Backdoors!BI42=TRUE),VLOOKUP(Calculator!E23,tbSkills!DH3:DJ6,3,FALSE),0),0))&gt;=100,100,(Backdoors!AI12+IF(JO63&gt;=0.45,VLOOKUP(Calculator!E23,tbSkills!DH3:DI6,2,FALSE)+IF(AND(Calculator!B8=TRUE,Backdoors!BI42=TRUE),VLOOKUP(Calculator!E23,tbSkills!DH3:DJ6,3,FALSE),0),0)))/100)),(1-(0.25*((-Backdoors!AI12-IF(JO63&gt;=0.45,VLOOKUP(Calculator!E23,tbSkills!DH3:DI6,2,FALSE)+IF(AND(Calculator!B8=TRUE,Backdoors!BI42=TRUE),VLOOKUP(Calculator!E23,tbSkills!DH3:DJ6,3,FALSE),0),0))/100)))),1),"")</f>
        <v>1</v>
      </c>
      <c r="JR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O63)*JQ63)*(VLOOKUP(A63,tbMoveset!A2:C112,3,FALSE)/100)*IF(VLOOKUP(A63,tbMoveset!A2:B112,2,FALSE)="Projectile",Backdoors!N10,Backdoors!N9),0),"")</f>
        <v/>
      </c>
      <c r="JS63" s="49">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45&gt;0,VLOOKUP(Calculator!E45,tbSkills!AC3:AD5,2,FALSE),Backdoors!AL3)*(IF((Backdoors!AI12+IF(JO63&gt;=0.45,VLOOKUP(Calculator!E23,tbSkills!DH3:DI6,2,FALSE)+IF(AND(Calculator!B8=TRUE,Backdoors!BI42=TRUE),VLOOKUP(Calculator!E23,tbSkills!DH3:DJ6,3,FALSE),0),0))&gt;=100,100,(Backdoors!AI12+IF(JO63&gt;=0.45,VLOOKUP(Calculator!E23,tbSkills!DH3:DI6,2,FALSE)+IF(AND(Calculator!B8=TRUE,Backdoors!BI42=TRUE),VLOOKUP(Calculator!E23,tbSkills!DH3:DJ6,3,FALSE),0),0)))/100)),1))*IF(VLOOKUP(A63,tbMoveset!A2:K112,11,FALSE)=TRUE,Backdoors!AC5,1))*JP63,0),"")</f>
        <v>0</v>
      </c>
      <c r="JT63" s="49">
        <f>VLOOKUP(A63,tbMoveset!A2:G112,7,FALSE)*IFERROR(IF(Backdoors!AI12&gt;=0,1+(IF(Calculator!E40&gt;0,VLOOKUP(Calculator!E40,tbSkills!AI3:AJ5,2,FALSE),Backdoors!AL4)*(IF((Backdoors!AI12+IF(JO63&gt;=0.45,VLOOKUP(Calculator!E23,tbSkills!DH3:DI6,2,FALSE)+IF(AND(Calculator!B8=TRUE,Backdoors!BI42=TRUE),VLOOKUP(Calculator!E23,tbSkills!DH3:DJ6,3,FALSE),0),0))&gt;=100,100,(Backdoors!AI12+IF(JO63&gt;=0.45,VLOOKUP(Calculator!E23,tbSkills!DH3:DI6,2,FALSE)+IF(AND(Calculator!B8=TRUE,Backdoors!BI42=TRUE),VLOOKUP(Calculator!E23,tbSkills!DH3:DJ6,3,FALSE),0),0)))/100)),1),1)</f>
        <v>0.6</v>
      </c>
      <c r="JU63" s="87">
        <f t="shared" si="31"/>
        <v>0</v>
      </c>
      <c r="JV63" s="86" t="str">
        <f>IFERROR(IF(VLOOKUP(A63,tbMoveset!A2:B112,2,FALSE)="Sever",Backdoors!AY43/100,IF(VLOOKUP(A63,tbMoveset!A2:B112,2,FALSE)="Blunt",Backdoors!AZ43/100,Backdoors!BA43/100)),"")</f>
        <v/>
      </c>
      <c r="JW63" s="49">
        <f>IFERROR(IF(VLOOKUP(tbMoveset!A63,tbMoveset!A2:H112,8,FALSE)="Other",IF(VLOOKUP(tbMoveset!A63,tbMoveset!A2:I112,9,FALSE)="Fire",Backdoors!BB43,IF(VLOOKUP(tbMoveset!A63,tbMoveset!A2:I112,9,FALSE)="Water",Backdoors!BC43,IF(VLOOKUP(tbMoveset!A63,tbMoveset!A2:I112,9,FALSE)="Thunder",Backdoors!BD43,IF(VLOOKUP(tbMoveset!A63,tbMoveset!A2:I112,9,FALSE)="Ice",Backdoors!BE43,IF(VLOOKUP(tbMoveset!A63,tbMoveset!A2:I112,9,FALSE)="Dragon",Backdoors!BF43,Backdoors!BG43)))))/100,Backdoors!BG43/100),"")</f>
        <v>0</v>
      </c>
      <c r="JX63" s="49">
        <f>IFERROR(IF(VLOOKUP(A63,tbMoveset!A2:J112,10,FALSE)=TRUE,IF((Backdoors!AI12+IF(JV63&gt;=0.45,VLOOKUP(Calculator!E23,tbSkills!DH3:DI6,2,FALSE)+IF(AND(Calculator!B8=TRUE,Backdoors!BI43=TRUE),VLOOKUP(Calculator!E23,tbSkills!DH3:DJ6,3,FALSE),0),0))&gt;=0,1+(Backdoors!AL2*(IF((Backdoors!AI12+IF(JV63&gt;=0.45,VLOOKUP(Calculator!E23,tbSkills!DH3:DI6,2,FALSE)+IF(AND(Calculator!B8=TRUE,Backdoors!BI43=TRUE),VLOOKUP(Calculator!E23,tbSkills!DH3:DJ6,3,FALSE),0),0))&gt;=100,100,(Backdoors!AI12+IF(JV63&gt;=0.45,VLOOKUP(Calculator!E23,tbSkills!DH3:DI6,2,FALSE)+IF(AND(Calculator!B8=TRUE,Backdoors!BI43=TRUE),VLOOKUP(Calculator!E23,tbSkills!DH3:DJ6,3,FALSE),0),0)))/100)),(1-(0.25*((-Backdoors!AI12-IF(JV63&gt;=0.45,VLOOKUP(Calculator!E23,tbSkills!DH3:DI6,2,FALSE)+IF(AND(Calculator!B8=TRUE,Backdoors!BI43=TRUE),VLOOKUP(Calculator!E23,tbSkills!DH3:DJ6,3,FALSE),0),0))/100)))),1),"")</f>
        <v>1</v>
      </c>
      <c r="JY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V63)*JX63)*(VLOOKUP(A63,tbMoveset!A2:C112,3,FALSE)/100)*IF(VLOOKUP(A63,tbMoveset!A2:B112,2,FALSE)="Projectile",Backdoors!N10,Backdoors!N9),0),"")</f>
        <v/>
      </c>
      <c r="JZ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46&gt;0,VLOOKUP(Calculator!E46,tbSkills!AC3:AD5,2,FALSE),Backdoors!AL3)*(IF((Backdoors!AI12+IF(JV63&gt;=0.45,VLOOKUP(Calculator!E23,tbSkills!DH3:DI6,2,FALSE)+IF(AND(Calculator!B8=TRUE,Backdoors!BI43=TRUE),VLOOKUP(Calculator!E23,tbSkills!DH3:DJ6,3,FALSE),0),0))&gt;=100,100,(Backdoors!AI12+IF(JV63&gt;=0.45,VLOOKUP(Calculator!E23,tbSkills!DH3:DI6,2,FALSE)+IF(AND(Calculator!B8=TRUE,Backdoors!BI43=TRUE),VLOOKUP(Calculator!E23,tbSkills!DH3:DJ6,3,FALSE),0),0)))/100)),1))*IF(VLOOKUP(A63,tbMoveset!A2:K112,11,FALSE)=TRUE,Backdoors!AC5,1))*JW63,0),"")</f>
        <v/>
      </c>
      <c r="KA63" s="49">
        <f>VLOOKUP(A63,tbMoveset!A2:G112,7,FALSE)*IFERROR(IF(Backdoors!AI12&gt;=0,1+(IF(Calculator!E40&gt;0,VLOOKUP(Calculator!E40,tbSkills!AI3:AJ5,2,FALSE),Backdoors!AL4)*(IF((Backdoors!AI12+IF(JV63&gt;=0.45,VLOOKUP(Calculator!E23,tbSkills!DH3:DI6,2,FALSE)+IF(AND(Calculator!B8=TRUE,Backdoors!BI43=TRUE),VLOOKUP(Calculator!E23,tbSkills!DH3:DJ6,3,FALSE),0),0))&gt;=100,100,(Backdoors!AI12+IF(JV63&gt;=0.45,VLOOKUP(Calculator!E23,tbSkills!DH3:DI6,2,FALSE)+IF(AND(Calculator!B8=TRUE,Backdoors!BI43=TRUE),VLOOKUP(Calculator!E23,tbSkills!DH3:DJ6,3,FALSE),0),0)))/100)),1),1)</f>
        <v>0.6</v>
      </c>
      <c r="KB63" s="87">
        <f t="shared" si="32"/>
        <v>0</v>
      </c>
      <c r="KC63" s="86" t="str">
        <f>IFERROR(IF(VLOOKUP(A63,tbMoveset!A2:B112,2,FALSE)="Sever",Backdoors!AY44/100,IF(VLOOKUP(A63,tbMoveset!A2:B112,2,FALSE)="Blunt",Backdoors!AZ44/100,Backdoors!BA44/100)),"")</f>
        <v/>
      </c>
      <c r="KD63" s="49">
        <f>IFERROR(IF(VLOOKUP(tbMoveset!A63,tbMoveset!A2:H112,8,FALSE)="Other",IF(VLOOKUP(tbMoveset!A63,tbMoveset!A2:I112,9,FALSE)="Fire",Backdoors!BB44,IF(VLOOKUP(tbMoveset!A63,tbMoveset!A2:I112,9,FALSE)="Water",Backdoors!BC44,IF(VLOOKUP(tbMoveset!A63,tbMoveset!A2:I112,9,FALSE)="Thunder",Backdoors!BD44,IF(VLOOKUP(tbMoveset!A63,tbMoveset!A2:I112,9,FALSE)="Ice",Backdoors!BE44,IF(VLOOKUP(tbMoveset!A63,tbMoveset!A2:I112,9,FALSE)="Dragon",Backdoors!BF44,Backdoors!BG44)))))/100,Backdoors!BG44/100),"")</f>
        <v>0</v>
      </c>
      <c r="KE63" s="49">
        <f>IFERROR(IF(VLOOKUP(A63,tbMoveset!A2:J112,10,FALSE)=TRUE,IF((Backdoors!AI12+IF(KC63&gt;=0.45,VLOOKUP(Calculator!E23,tbSkills!DH3:DI6,2,FALSE)+IF(AND(Calculator!B8=TRUE,Backdoors!BI44=TRUE),VLOOKUP(Calculator!E23,tbSkills!DH3:DJ6,3,FALSE),0),0))&gt;=0,1+(Backdoors!AL2*(IF((Backdoors!AI12+IF(KC63&gt;=0.45,VLOOKUP(Calculator!E23,tbSkills!DH3:DI6,2,FALSE)+IF(AND(Calculator!B8=TRUE,Backdoors!BI44=TRUE),VLOOKUP(Calculator!E23,tbSkills!DH3:DJ6,3,FALSE),0),0))&gt;=100,100,(Backdoors!AI12+IF(KC63&gt;=0.45,VLOOKUP(Calculator!E23,tbSkills!DH3:DI6,2,FALSE)+IF(AND(Calculator!B8=TRUE,Backdoors!BI44=TRUE),VLOOKUP(Calculator!E23,tbSkills!DH3:DJ6,3,FALSE),0),0)))/100)),(1-(0.25*((-Backdoors!AI12-IF(KC63&gt;=0.45,VLOOKUP(Calculator!E23,tbSkills!DH3:DI6,2,FALSE)+IF(AND(Calculator!B8=TRUE,Backdoors!BI44=TRUE),VLOOKUP(Calculator!E23,tbSkills!DH3:DJ6,3,FALSE),0),0))/100)))),1),"")</f>
        <v>1</v>
      </c>
      <c r="KF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KC63)*KE63)*(VLOOKUP(A63,tbMoveset!A2:C112,3,FALSE)/100)*IF(VLOOKUP(A63,tbMoveset!A2:B112,2,FALSE)="Projectile",Backdoors!N10,Backdoors!N9),0),"")</f>
        <v/>
      </c>
      <c r="KG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REF!&gt;0,VLOOKUP(Calculator!#REF!,tbSkills!AC3:AD5,2,FALSE),Backdoors!AL3)*(IF((Backdoors!AI12+IF(KC63&gt;=0.45,VLOOKUP(Calculator!E23,tbSkills!DH3:DI6,2,FALSE)+IF(AND(Calculator!B8=TRUE,Backdoors!BI44=TRUE),VLOOKUP(Calculator!E23,tbSkills!DH3:DJ6,3,FALSE),0),0))&gt;=100,100,(Backdoors!AI12+IF(KC63&gt;=0.45,VLOOKUP(Calculator!E23,tbSkills!DH3:DI6,2,FALSE)+IF(AND(Calculator!B8=TRUE,Backdoors!BI44=TRUE),VLOOKUP(Calculator!E23,tbSkills!DH3:DJ6,3,FALSE),0),0)))/100)),1))*IF(VLOOKUP(A63,tbMoveset!A2:K112,11,FALSE)=TRUE,Backdoors!AC5,1))*KD63,0),"")</f>
        <v/>
      </c>
      <c r="KH63" s="49">
        <f>VLOOKUP(A63,tbMoveset!A2:G112,7,FALSE)*IFERROR(IF(Backdoors!AI12&gt;=0,1+(IF(Calculator!E40&gt;0,VLOOKUP(Calculator!E40,tbSkills!AI3:AJ5,2,FALSE),Backdoors!AL4)*(IF((Backdoors!AI12+IF(KC63&gt;=0.45,VLOOKUP(Calculator!E23,tbSkills!DH3:DI6,2,FALSE)+IF(AND(Calculator!B8=TRUE,Backdoors!BI44=TRUE),VLOOKUP(Calculator!E23,tbSkills!DH3:DJ6,3,FALSE),0),0))&gt;=100,100,(Backdoors!AI12+IF(KC63&gt;=0.45,VLOOKUP(Calculator!E23,tbSkills!DH3:DI6,2,FALSE)+IF(AND(Calculator!B8=TRUE,Backdoors!BI44=TRUE),VLOOKUP(Calculator!E23,tbSkills!DH3:DJ6,3,FALSE),0),0)))/100)),1),1)</f>
        <v>0.6</v>
      </c>
      <c r="KI63" s="87">
        <f t="shared" si="33"/>
        <v>0</v>
      </c>
      <c r="KJ63" s="86" t="str">
        <f>IFERROR(IF(VLOOKUP(A63,tbMoveset!A2:B112,2,FALSE)="Sever",Backdoors!AY45/100,IF(VLOOKUP(A63,tbMoveset!A2:B112,2,FALSE)="Blunt",Backdoors!AZ45/100,Backdoors!BA45/100)),"")</f>
        <v/>
      </c>
      <c r="KK63" s="49">
        <f>IFERROR(IF(VLOOKUP(tbMoveset!A63,tbMoveset!A2:H112,8,FALSE)="Other",IF(VLOOKUP(tbMoveset!A63,tbMoveset!A2:I112,9,FALSE)="Fire",Backdoors!BB45,IF(VLOOKUP(tbMoveset!A63,tbMoveset!A2:I112,9,FALSE)="Water",Backdoors!BC45,IF(VLOOKUP(tbMoveset!A63,tbMoveset!A2:I112,9,FALSE)="Thunder",Backdoors!BD45,IF(VLOOKUP(tbMoveset!A63,tbMoveset!A2:I112,9,FALSE)="Ice",Backdoors!BE45,IF(VLOOKUP(tbMoveset!A63,tbMoveset!A2:I112,9,FALSE)="Dragon",Backdoors!BF45,Backdoors!BG45)))))/100,Backdoors!BG45/100),"")</f>
        <v>0</v>
      </c>
      <c r="KL63" s="49">
        <f>IFERROR(IF(VLOOKUP(A63,tbMoveset!A2:J112,10,FALSE)=TRUE,IF((Backdoors!AI12+IF(KJ63&gt;=0.45,VLOOKUP(Calculator!E23,tbSkills!DH3:DI6,2,FALSE)+IF(AND(Calculator!B8=TRUE,Backdoors!BI45=TRUE),VLOOKUP(Calculator!E23,tbSkills!DH3:DJ6,3,FALSE),0),0))&gt;=0,1+(Backdoors!AL2*(IF((Backdoors!AI12+IF(KJ63&gt;=0.45,VLOOKUP(Calculator!E23,tbSkills!DH3:DI6,2,FALSE)+IF(AND(Calculator!B8=TRUE,Backdoors!BI45=TRUE),VLOOKUP(Calculator!E23,tbSkills!DH3:DJ6,3,FALSE),0),0))&gt;=100,100,(Backdoors!AI12+IF(KJ63&gt;=0.45,VLOOKUP(Calculator!E23,tbSkills!DH3:DI6,2,FALSE)+IF(AND(Calculator!B8=TRUE,Backdoors!BI45=TRUE),VLOOKUP(Calculator!E23,tbSkills!DH3:DJ6,3,FALSE),0),0)))/100)),(1-(0.25*((-Backdoors!AI12-IF(KJ63&gt;=0.45,VLOOKUP(Calculator!E23,tbSkills!DH3:DI6,2,FALSE)+IF(AND(Calculator!B8=TRUE,Backdoors!BI45=TRUE),VLOOKUP(Calculator!E23,tbSkills!DH3:DJ6,3,FALSE),0),0))/100)))),1),"")</f>
        <v>1</v>
      </c>
      <c r="KM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KJ63)*KL63)*(VLOOKUP(A63,tbMoveset!A2:C112,3,FALSE)/100)*IF(VLOOKUP(A63,tbMoveset!A2:B112,2,FALSE)="Projectile",Backdoors!N10,Backdoors!N9),0),"")</f>
        <v/>
      </c>
      <c r="KN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REF!&gt;0,VLOOKUP(Calculator!#REF!,tbSkills!AC3:AD5,2,FALSE),Backdoors!AL3)*(IF((Backdoors!AI12+IF(KJ63&gt;=0.45,VLOOKUP(Calculator!E23,tbSkills!DH3:DI6,2,FALSE)+IF(AND(Calculator!B8=TRUE,Backdoors!BI45=TRUE),VLOOKUP(Calculator!E23,tbSkills!DH3:DJ6,3,FALSE),0),0))&gt;=100,100,(Backdoors!AI12+IF(KJ63&gt;=0.45,VLOOKUP(Calculator!E23,tbSkills!DH3:DI6,2,FALSE)+IF(AND(Calculator!B8=TRUE,Backdoors!BI45=TRUE),VLOOKUP(Calculator!E23,tbSkills!DH3:DJ6,3,FALSE),0),0)))/100)),1))*IF(VLOOKUP(A63,tbMoveset!A2:K112,11,FALSE)=TRUE,Backdoors!AC5,1))*KK63,0),"")</f>
        <v/>
      </c>
      <c r="KO63" s="49">
        <f>VLOOKUP(A63,tbMoveset!A2:G112,7,FALSE)*IFERROR(IF(Backdoors!AI12&gt;=0,1+(IF(Calculator!E40&gt;0,VLOOKUP(Calculator!E40,tbSkills!AI3:AJ5,2,FALSE),Backdoors!AL4)*(IF((Backdoors!AI12+IF(KJ63&gt;=0.45,VLOOKUP(Calculator!E23,tbSkills!DH3:DI6,2,FALSE)+IF(AND(Calculator!B8=TRUE,Backdoors!BI45=TRUE),VLOOKUP(Calculator!E23,tbSkills!DH3:DJ6,3,FALSE),0),0))&gt;=100,100,(Backdoors!AI12+IF(KJ63&gt;=0.45,VLOOKUP(Calculator!E23,tbSkills!DH3:DI6,2,FALSE)+IF(AND(Calculator!B8=TRUE,Backdoors!BI45=TRUE),VLOOKUP(Calculator!E23,tbSkills!DH3:DJ6,3,FALSE),0),0)))/100)),1),1)</f>
        <v>0.6</v>
      </c>
      <c r="KP63" s="87">
        <f t="shared" si="34"/>
        <v>0</v>
      </c>
      <c r="KQ63" s="86" t="str">
        <f>IFERROR(IF(VLOOKUP(A63,tbMoveset!A2:B112,2,FALSE)="Sever",Backdoors!AY46/100,IF(VLOOKUP(A63,tbMoveset!A2:B112,2,FALSE)="Blunt",Backdoors!AZ46/100,Backdoors!BA46/100)),"")</f>
        <v/>
      </c>
      <c r="KR63" s="49">
        <f>IFERROR(IF(VLOOKUP(tbMoveset!A63,tbMoveset!A2:H112,8,FALSE)="Other",IF(VLOOKUP(tbMoveset!A63,tbMoveset!A2:I112,9,FALSE)="Fire",Backdoors!BB46,IF(VLOOKUP(tbMoveset!A63,tbMoveset!A2:I112,9,FALSE)="Water",Backdoors!BC46,IF(VLOOKUP(tbMoveset!A63,tbMoveset!A2:I112,9,FALSE)="Thunder",Backdoors!BD46,IF(VLOOKUP(tbMoveset!A63,tbMoveset!A2:I112,9,FALSE)="Ice",Backdoors!BE46,IF(VLOOKUP(tbMoveset!A63,tbMoveset!A2:I112,9,FALSE)="Dragon",Backdoors!BF46,Backdoors!BG46)))))/100,Backdoors!BG46/100),"")</f>
        <v>0</v>
      </c>
      <c r="KS63" s="49">
        <f>IFERROR(IF(VLOOKUP(A63,tbMoveset!A2:J112,10,FALSE)=TRUE,IF((Backdoors!AI12+IF(KQ63&gt;=0.45,VLOOKUP(Calculator!E23,tbSkills!DH3:DI6,2,FALSE)+IF(AND(Calculator!B8=TRUE,Backdoors!BI46=TRUE),VLOOKUP(Calculator!E23,tbSkills!DH3:DJ6,3,FALSE),0),0))&gt;=0,1+(Backdoors!AL2*(IF((Backdoors!AI12+IF(KQ63&gt;=0.45,VLOOKUP(Calculator!E23,tbSkills!DH3:DI6,2,FALSE)+IF(AND(Calculator!B8=TRUE,Backdoors!BI46=TRUE),VLOOKUP(Calculator!E23,tbSkills!DH3:DJ6,3,FALSE),0),0))&gt;=100,100,(Backdoors!AI12+IF(KQ63&gt;=0.45,VLOOKUP(Calculator!E23,tbSkills!DH3:DI6,2,FALSE)+IF(AND(Calculator!B8=TRUE,Backdoors!BI46=TRUE),VLOOKUP(Calculator!E23,tbSkills!DH3:DJ6,3,FALSE),0),0)))/100)),(1-(0.25*((-Backdoors!AI12-IF(KQ63&gt;=0.45,VLOOKUP(Calculator!E23,tbSkills!DH3:DI6,2,FALSE)+IF(AND(Calculator!B8=TRUE,Backdoors!BI46=TRUE),VLOOKUP(Calculator!E23,tbSkills!DH3:DJ6,3,FALSE),0),0))/100)))),1),"")</f>
        <v>1</v>
      </c>
      <c r="KT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KQ63)*KS63)*(VLOOKUP(A63,tbMoveset!A2:C112,3,FALSE)/100)*IF(VLOOKUP(A63,tbMoveset!A2:B112,2,FALSE)="Projectile",Backdoors!N10,Backdoors!N9),0),"")</f>
        <v/>
      </c>
      <c r="KU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REF!&gt;0,VLOOKUP(Calculator!#REF!,tbSkills!AC3:AD5,2,FALSE),Backdoors!AL3)*(IF((Backdoors!AI12+IF(KQ63&gt;=0.45,VLOOKUP(Calculator!E23,tbSkills!DH3:DI6,2,FALSE)+IF(AND(Calculator!B8=TRUE,Backdoors!BI46=TRUE),VLOOKUP(Calculator!E23,tbSkills!DH3:DJ6,3,FALSE),0),0))&gt;=100,100,(Backdoors!AI12+IF(KQ63&gt;=0.45,VLOOKUP(Calculator!E23,tbSkills!DH3:DI6,2,FALSE)+IF(AND(Calculator!B8=TRUE,Backdoors!BI46=TRUE),VLOOKUP(Calculator!E23,tbSkills!DH3:DJ6,3,FALSE),0),0)))/100)),1))*IF(VLOOKUP(A63,tbMoveset!A2:K112,11,FALSE)=TRUE,Backdoors!AC5,1))*KR63,0),"")</f>
        <v/>
      </c>
      <c r="KV63" s="49">
        <f>VLOOKUP(A63,tbMoveset!A2:G112,7,FALSE)*IFERROR(IF(Backdoors!AI12&gt;=0,1+(IF(Calculator!E40&gt;0,VLOOKUP(Calculator!E40,tbSkills!AI3:AJ5,2,FALSE),Backdoors!AL4)*(IF((Backdoors!AI12+IF(KQ63&gt;=0.45,VLOOKUP(Calculator!E23,tbSkills!DH3:DI6,2,FALSE)+IF(AND(Calculator!B8=TRUE,Backdoors!BI46=TRUE),VLOOKUP(Calculator!E23,tbSkills!DH3:DJ6,3,FALSE),0),0))&gt;=100,100,(Backdoors!AI12+IF(KQ63&gt;=0.45,VLOOKUP(Calculator!E23,tbSkills!DH3:DI6,2,FALSE)+IF(AND(Calculator!B8=TRUE,Backdoors!BI46=TRUE),VLOOKUP(Calculator!E23,tbSkills!DH3:DJ6,3,FALSE),0),0)))/100)),1),1)</f>
        <v>0.6</v>
      </c>
      <c r="KW63" s="87">
        <f t="shared" si="35"/>
        <v>0</v>
      </c>
    </row>
    <row r="64" spans="1:309" x14ac:dyDescent="0.25">
      <c r="A64" s="95" t="str">
        <f>tbMoveset!A64</f>
        <v>Blade Dance (L5)</v>
      </c>
      <c r="B64" s="86">
        <f>IFERROR(IF(VLOOKUP(A64,tbMoveset!A2:B112,2,FALSE)="Sever",Backdoors!AY3/100,IF(VLOOKUP(A64,tbMoveset!A2:B112,2,FALSE)="Blunt",Backdoors!AZ3/100,Backdoors!BA3/100)),"")</f>
        <v>0.8</v>
      </c>
      <c r="C64" s="49">
        <f>IFERROR(IF(VLOOKUP(tbMoveset!A64,tbMoveset!A2:H112,8,FALSE)="Other",IF(VLOOKUP(tbMoveset!A64,tbMoveset!A2:I112,9,FALSE)="Fire",Backdoors!BB3,IF(VLOOKUP(tbMoveset!A64,tbMoveset!A2:I112,9,FALSE)="Water",Backdoors!BC3,IF(VLOOKUP(tbMoveset!A64,tbMoveset!A2:I112,9,FALSE)="Thunder",Backdoors!BD3,IF(VLOOKUP(tbMoveset!A64,tbMoveset!A2:I112,9,FALSE)="Ice",Backdoors!BE3,IF(VLOOKUP(tbMoveset!A64,tbMoveset!A2:I112,9,FALSE)="Dragon",Backdoors!BF3,Backdoors!BG3)))))/100,Backdoors!BG3/100),"")</f>
        <v>0</v>
      </c>
      <c r="D64" s="49">
        <f>IFERROR(IF(VLOOKUP(A64,tbMoveset!A2:J112,10,FALSE)=TRUE,IF((Backdoors!AI12+IF(B64&gt;=0.45,VLOOKUP(Calculator!E23,tbSkills!DH3:DI6,2,FALSE)+IF(AND(Calculator!B8=TRUE,Backdoors!BI3=TRUE),VLOOKUP(Calculator!E23,tbSkills!DH3:DJ6,3,FALSE),0),0))&gt;=0,1+(Backdoors!AL2*(IF((Backdoors!AI12+IF(B64&gt;=0.45,VLOOKUP(Calculator!E23,tbSkills!DH3:DI6,2,FALSE)+IF(AND(Calculator!B8=TRUE,Backdoors!BI3=TRUE),VLOOKUP(Calculator!E23,tbSkills!DH3:DJ6,3,FALSE),0),0))&gt;=100,100,(Backdoors!AI12+IF(B64&gt;=0.45,VLOOKUP(Calculator!E23,tbSkills!DH3:DI6,2,FALSE)+IF(AND(Calculator!B8=TRUE,Backdoors!BI3=TRUE),VLOOKUP(Calculator!E23,tbSkills!DH3:DJ6,3,FALSE),0),0)))/100)),(1-(0.25*((-Backdoors!AI12-IF(B64&gt;=0.45,VLOOKUP(Calculator!E23,tbSkills!DH3:DI6,2,FALSE)+IF(AND(Calculator!B8=TRUE,Backdoors!BI3=TRUE),VLOOKUP(Calculator!E23,tbSkills!DH3:DJ6,3,FALSE),0),0))/100)))),1),"")</f>
        <v>1</v>
      </c>
      <c r="E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64)*D64)*(VLOOKUP(A64,tbMoveset!A2:C112,3,FALSE)/100)*IF(VLOOKUP(A64,tbMoveset!A2:B112,2,FALSE)="Projectile",Backdoors!N10,Backdoors!N9),0),"")</f>
        <v>7</v>
      </c>
      <c r="F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64&gt;=0.45,VLOOKUP(Calculator!E23,tbSkills!DH3:DI6,2,FALSE)+IF(AND(Calculator!B8=TRUE,Backdoors!BI3=TRUE),VLOOKUP(Calculator!E23,tbSkills!DH3:DJ6,3,FALSE),0),0))&gt;=100,100,(Backdoors!AI12+IF(B64&gt;=0.45,VLOOKUP(Calculator!E23,tbSkills!DH3:DI6,2,FALSE)+IF(AND(Calculator!B8=TRUE,Backdoors!BI3=TRUE),VLOOKUP(Calculator!E23,tbSkills!DH3:DJ6,3,FALSE),0),0)))/100)),1))*IF(VLOOKUP(A64,tbMoveset!A2:K112,11,FALSE)=TRUE,Backdoors!AC5,1))*C64,0),"")</f>
        <v>0</v>
      </c>
      <c r="G64">
        <f>VLOOKUP(A64,tbMoveset!A2:G112,7,FALSE)*IFERROR(IF(Backdoors!AI12&gt;=0,1+(IF(Calculator!E40&gt;0,VLOOKUP(Calculator!E40,tbSkills!AI3:AJ5,2,FALSE),Backdoors!AL4)*(IF((Backdoors!AI12+IF(B64&gt;=0.45,VLOOKUP(Calculator!E23,tbSkills!DH3:DI6,2,FALSE)+IF(AND(Calculator!B8=TRUE,Backdoors!BI3=TRUE),VLOOKUP(Calculator!E23,tbSkills!DH3:DJ6,3,FALSE),0),0))&gt;=100,100,(Backdoors!AI12+IF(B64&gt;=0.45,VLOOKUP(Calculator!E23,tbSkills!DH3:DI6,2,FALSE)+IF(AND(Calculator!B8=TRUE,Backdoors!BI3=TRUE),VLOOKUP(Calculator!E23,tbSkills!DH3:DJ6,3,FALSE),0),0)))/100)),1),1)</f>
        <v>0.6</v>
      </c>
      <c r="H64" s="87">
        <f t="shared" si="44"/>
        <v>7</v>
      </c>
      <c r="I64" s="86">
        <f>IFERROR(IF(VLOOKUP(A64,tbMoveset!A2:B112,2,FALSE)="Sever",Backdoors!AY4/100,IF(VLOOKUP(A64,tbMoveset!A2:B112,2,FALSE)="Blunt",Backdoors!AZ4/100,Backdoors!BA4/100)),"")</f>
        <v>0.65</v>
      </c>
      <c r="J64" s="49">
        <f>IFERROR(IF(VLOOKUP(tbMoveset!A64,tbMoveset!A2:H112,8,FALSE)="Other",IF(VLOOKUP(tbMoveset!A64,tbMoveset!A2:I112,9,FALSE)="Fire",Backdoors!BB4,IF(VLOOKUP(tbMoveset!A64,tbMoveset!A2:I112,9,FALSE)="Water",Backdoors!BC4,IF(VLOOKUP(tbMoveset!A64,tbMoveset!A2:I112,9,FALSE)="Thunder",Backdoors!BD4,IF(VLOOKUP(tbMoveset!A64,tbMoveset!A2:I112,9,FALSE)="Ice",Backdoors!BE4,IF(VLOOKUP(tbMoveset!A64,tbMoveset!A2:I112,9,FALSE)="Dragon",Backdoors!BF4,Backdoors!BG4)))))/100,Backdoors!BG4/100),"")</f>
        <v>0</v>
      </c>
      <c r="K64" s="49">
        <f>IFERROR(IF(VLOOKUP(A64,tbMoveset!A2:J112,10,FALSE)=TRUE,IF((Backdoors!AI12+IF(I64&gt;=0.45,VLOOKUP(Calculator!E23,tbSkills!DH3:DI6,2,FALSE)+IF(AND(Calculator!B8=TRUE,Backdoors!BI4=TRUE),VLOOKUP(Calculator!E23,tbSkills!DH3:DJ6,3,FALSE),0),0))&gt;=0,1+(Backdoors!AL2*(IF((Backdoors!AI12+IF(I64&gt;=0.45,VLOOKUP(Calculator!E23,tbSkills!DH3:DI6,2,FALSE)+IF(AND(Calculator!B8=TRUE,Backdoors!BI4=TRUE),VLOOKUP(Calculator!E23,tbSkills!DH3:DJ6,3,FALSE),0),0))&gt;=100,100,(Backdoors!AI12+IF(I64&gt;=0.45,VLOOKUP(Calculator!E23,tbSkills!DH3:DI6,2,FALSE)+IF(AND(Calculator!B8=TRUE,Backdoors!BI4=TRUE),VLOOKUP(Calculator!E23,tbSkills!DH3:DJ6,3,FALSE),0),0)))/100)),(1-(0.25*((-Backdoors!AI12-IF(I64&gt;=0.45,VLOOKUP(Calculator!E23,tbSkills!DH3:DI6,2,FALSE)+IF(AND(Calculator!B8=TRUE,Backdoors!BI4=TRUE),VLOOKUP(Calculator!E23,tbSkills!DH3:DJ6,3,FALSE),0),0))/100)))),1),"")</f>
        <v>1</v>
      </c>
      <c r="L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64)*K64)*(VLOOKUP(A64,tbMoveset!A2:C112,3,FALSE)/100)*IF(VLOOKUP(A64,tbMoveset!A2:B112,2,FALSE)="Projectile",Backdoors!N10,Backdoors!N9),0),"")</f>
        <v>6</v>
      </c>
      <c r="M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I64&gt;=0.45,VLOOKUP(Calculator!E23,tbSkills!DH3:DI6,2,FALSE)+IF(AND(Calculator!B8=TRUE,Backdoors!BI4=TRUE),VLOOKUP(Calculator!E23,tbSkills!DH3:DJ6,3,FALSE),0),0))&gt;=100,100,(Backdoors!AI12+IF(I64&gt;=0.45,VLOOKUP(Calculator!E23,tbSkills!DH3:DI6,2,FALSE)+IF(AND(Calculator!B8=TRUE,Backdoors!BI4=TRUE),VLOOKUP(Calculator!E23,tbSkills!DH3:DJ6,3,FALSE),0),0)))/100)),1))*IF(VLOOKUP(A64,tbMoveset!A2:K112,11,FALSE)=TRUE,Backdoors!AC5,1))*J64,0),"")</f>
        <v>0</v>
      </c>
      <c r="N64" s="49">
        <f>VLOOKUP(A64,tbMoveset!A2:G112,7,FALSE)*IFERROR(IF(Backdoors!AI12&gt;=0,1+(IF(Calculator!E40&gt;0,VLOOKUP(Calculator!E40,tbSkills!AI3:AJ5,2,FALSE),Backdoors!AL4)*(IF((Backdoors!AI12+IF(I64&gt;=0.45,VLOOKUP(Calculator!E23,tbSkills!DH3:DI6,2,FALSE)+IF(AND(Calculator!B8=TRUE,Backdoors!BI4=TRUE),VLOOKUP(Calculator!E23,tbSkills!DH3:DJ6,3,FALSE),0),0))&gt;=100,100,(Backdoors!AI12+IF(I64&gt;=0.45,VLOOKUP(Calculator!E23,tbSkills!DH3:DI6,2,FALSE)+IF(AND(Calculator!B8=TRUE,Backdoors!BI4=TRUE),VLOOKUP(Calculator!E23,tbSkills!DH3:DJ6,3,FALSE),0),0)))/100)),1),1)</f>
        <v>0.6</v>
      </c>
      <c r="O64" s="87">
        <f t="shared" si="45"/>
        <v>6</v>
      </c>
      <c r="P64" s="86">
        <f>IFERROR(IF(VLOOKUP(A64,tbMoveset!A2:B112,2,FALSE)="Sever",Backdoors!AY5/100,IF(VLOOKUP(A64,tbMoveset!A2:B112,2,FALSE)="Blunt",Backdoors!AZ5/100,Backdoors!BA5/100)),"")</f>
        <v>0.5</v>
      </c>
      <c r="Q64" s="49">
        <f>IFERROR(IF(VLOOKUP(tbMoveset!A64,tbMoveset!A2:H112,8,FALSE)="Other",IF(VLOOKUP(tbMoveset!A64,tbMoveset!A2:I112,9,FALSE)="Fire",Backdoors!BB5,IF(VLOOKUP(tbMoveset!A64,tbMoveset!A2:I112,9,FALSE)="Water",Backdoors!BC5,IF(VLOOKUP(tbMoveset!A64,tbMoveset!A2:I112,9,FALSE)="Thunder",Backdoors!BD5,IF(VLOOKUP(tbMoveset!A64,tbMoveset!A2:I112,9,FALSE)="Ice",Backdoors!BE5,IF(VLOOKUP(tbMoveset!A64,tbMoveset!A2:I112,9,FALSE)="Dragon",Backdoors!BF5,Backdoors!BG5)))))/100,Backdoors!BG5/100),"")</f>
        <v>0</v>
      </c>
      <c r="R64" s="49">
        <f>IFERROR(IF(VLOOKUP(A64,tbMoveset!A2:J112,10,FALSE)=TRUE,IF((Backdoors!AI12+IF(P64&gt;=0.45,VLOOKUP(Calculator!E23,tbSkills!DH3:DI6,2,FALSE)+IF(AND(Calculator!B8=TRUE,Backdoors!BI5=TRUE),VLOOKUP(Calculator!E23,tbSkills!DH3:DJ6,3,FALSE),0),0))&gt;=0,1+(Backdoors!AL2*(IF((Backdoors!AI12+IF(P64&gt;=0.45,VLOOKUP(Calculator!E23,tbSkills!DH3:DI6,2,FALSE)+IF(AND(Calculator!B8=TRUE,Backdoors!BI5=TRUE),VLOOKUP(Calculator!E23,tbSkills!DH3:DJ6,3,FALSE),0),0))&gt;=100,100,(Backdoors!AI12+IF(P64&gt;=0.45,VLOOKUP(Calculator!E23,tbSkills!DH3:DI6,2,FALSE)+IF(AND(Calculator!B8=TRUE,Backdoors!BI5=TRUE),VLOOKUP(Calculator!E23,tbSkills!DH3:DJ6,3,FALSE),0),0)))/100)),(1-(0.25*((-Backdoors!AI12-IF(P64&gt;=0.45,VLOOKUP(Calculator!E23,tbSkills!DH3:DI6,2,FALSE)+IF(AND(Calculator!B8=TRUE,Backdoors!BI5=TRUE),VLOOKUP(Calculator!E23,tbSkills!DH3:DJ6,3,FALSE),0),0))/100)))),1),"")</f>
        <v>1</v>
      </c>
      <c r="S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P64)*R64)*(VLOOKUP(A64,tbMoveset!A2:C112,3,FALSE)/100)*IF(VLOOKUP(A64,tbMoveset!A2:B112,2,FALSE)="Projectile",Backdoors!N10,Backdoors!N9),0),"")</f>
        <v>5</v>
      </c>
      <c r="T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P64&gt;=0.45,VLOOKUP(Calculator!E23,tbSkills!DH3:DI6,2,FALSE)+IF(AND(Calculator!B8=TRUE,Backdoors!BI5=TRUE),VLOOKUP(Calculator!E23,tbSkills!DH3:DJ6,3,FALSE),0),0))&gt;=100,100,(Backdoors!AI12+IF(P64&gt;=0.45,VLOOKUP(Calculator!E23,tbSkills!DH3:DI6,2,FALSE)+IF(AND(Calculator!B8=TRUE,Backdoors!BI5=TRUE),VLOOKUP(Calculator!E23,tbSkills!DH3:DJ6,3,FALSE),0),0)))/100)),1))*IF(VLOOKUP(A64,tbMoveset!A2:K112,11,FALSE)=TRUE,Backdoors!AC5,1))*Q64,0),"")</f>
        <v>0</v>
      </c>
      <c r="U64" s="49">
        <f>VLOOKUP(A64,tbMoveset!A2:G112,7,FALSE)*IFERROR(IF(Backdoors!AI12&gt;=0,1+(IF(Calculator!E40&gt;0,VLOOKUP(Calculator!E40,tbSkills!AI3:AJ5,2,FALSE),Backdoors!AL4)*(IF((Backdoors!AI12+IF(P64&gt;=0.45,VLOOKUP(Calculator!E23,tbSkills!DH3:DI6,2,FALSE)+IF(AND(Calculator!B8=TRUE,Backdoors!BI5=TRUE),VLOOKUP(Calculator!E23,tbSkills!DH3:DJ6,3,FALSE),0),0))&gt;=100,100,(Backdoors!AI12+IF(P64&gt;=0.45,VLOOKUP(Calculator!E23,tbSkills!DH3:DI6,2,FALSE)+IF(AND(Calculator!B8=TRUE,Backdoors!BI5=TRUE),VLOOKUP(Calculator!E23,tbSkills!DH3:DJ6,3,FALSE),0),0)))/100)),1),1)</f>
        <v>0.6</v>
      </c>
      <c r="V64" s="87">
        <f t="shared" si="46"/>
        <v>5</v>
      </c>
      <c r="W64" s="86">
        <f>IFERROR(IF(VLOOKUP(A64,tbMoveset!A2:B112,2,FALSE)="Sever",Backdoors!AY6/100,IF(VLOOKUP(A64,tbMoveset!A2:B112,2,FALSE)="Blunt",Backdoors!AZ6/100,Backdoors!BA6/100)),"")</f>
        <v>0.45</v>
      </c>
      <c r="X64" s="49">
        <f>IFERROR(IF(VLOOKUP(tbMoveset!A64,tbMoveset!A2:H112,8,FALSE)="Other",IF(VLOOKUP(tbMoveset!A64,tbMoveset!A2:I112,9,FALSE)="Fire",Backdoors!BB6,IF(VLOOKUP(tbMoveset!A64,tbMoveset!A2:I112,9,FALSE)="Water",Backdoors!BC6,IF(VLOOKUP(tbMoveset!A64,tbMoveset!A2:I112,9,FALSE)="Thunder",Backdoors!BD6,IF(VLOOKUP(tbMoveset!A64,tbMoveset!A2:I112,9,FALSE)="Ice",Backdoors!BE6,IF(VLOOKUP(tbMoveset!A64,tbMoveset!A2:I112,9,FALSE)="Dragon",Backdoors!BF6,Backdoors!BG6)))))/100,Backdoors!BG6/100),"")</f>
        <v>0</v>
      </c>
      <c r="Y64" s="49">
        <f>IFERROR(IF(VLOOKUP(A64,tbMoveset!A2:J112,10,FALSE)=TRUE,IF((Backdoors!AI12+IF(W64&gt;=0.45,VLOOKUP(Calculator!E23,tbSkills!DH3:DI6,2,FALSE)+IF(AND(Calculator!B8=TRUE,Backdoors!BI6=TRUE),VLOOKUP(Calculator!E23,tbSkills!DH3:DJ6,3,FALSE),0),0))&gt;=0,1+(Backdoors!AL2*(IF((Backdoors!AI12+IF(W64&gt;=0.45,VLOOKUP(Calculator!E23,tbSkills!DH3:DI6,2,FALSE)+IF(AND(Calculator!B8=TRUE,Backdoors!BI6=TRUE),VLOOKUP(Calculator!E23,tbSkills!DH3:DJ6,3,FALSE),0),0))&gt;=100,100,(Backdoors!AI12+IF(W64&gt;=0.45,VLOOKUP(Calculator!E23,tbSkills!DH3:DI6,2,FALSE)+IF(AND(Calculator!B8=TRUE,Backdoors!BI6=TRUE),VLOOKUP(Calculator!E23,tbSkills!DH3:DJ6,3,FALSE),0),0)))/100)),(1-(0.25*((-Backdoors!AI12-IF(W64&gt;=0.45,VLOOKUP(Calculator!E23,tbSkills!DH3:DI6,2,FALSE)+IF(AND(Calculator!B8=TRUE,Backdoors!BI6=TRUE),VLOOKUP(Calculator!E23,tbSkills!DH3:DJ6,3,FALSE),0),0))/100)))),1),"")</f>
        <v>1</v>
      </c>
      <c r="Z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W64)*Y64)*(VLOOKUP(A64,tbMoveset!A2:C112,3,FALSE)/100)*IF(VLOOKUP(A64,tbMoveset!A2:B112,2,FALSE)="Projectile",Backdoors!N10,Backdoors!N9),0),"")</f>
        <v>4</v>
      </c>
      <c r="AA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W64&gt;=0.45,VLOOKUP(Calculator!E23,tbSkills!DH3:DI6,2,FALSE)+IF(AND(Calculator!B8=TRUE,Backdoors!BI6=TRUE),VLOOKUP(Calculator!E23,tbSkills!DH3:DJ6,3,FALSE),0),0))&gt;=100,100,(Backdoors!AI12+IF(W64&gt;=0.45,VLOOKUP(Calculator!E23,tbSkills!DH3:DI6,2,FALSE)+IF(AND(Calculator!B8=TRUE,Backdoors!BI6=TRUE),VLOOKUP(Calculator!E23,tbSkills!DH3:DJ6,3,FALSE),0),0)))/100)),1))*IF(VLOOKUP(A64,tbMoveset!A2:K112,11,FALSE)=TRUE,Backdoors!AC5,1))*X64,0),"")</f>
        <v>0</v>
      </c>
      <c r="AB64" s="49">
        <f>VLOOKUP(A64,tbMoveset!A2:G112,7,FALSE)*IFERROR(IF(Backdoors!AI12&gt;=0,1+(IF(Calculator!E40&gt;0,VLOOKUP(Calculator!E40,tbSkills!AI3:AJ5,2,FALSE),Backdoors!AL4)*(IF((Backdoors!AI12+IF(W64&gt;=0.45,VLOOKUP(Calculator!E23,tbSkills!DH3:DI6,2,FALSE)+IF(AND(Calculator!B8=TRUE,Backdoors!BI6=TRUE),VLOOKUP(Calculator!E23,tbSkills!DH3:DJ6,3,FALSE),0),0))&gt;=100,100,(Backdoors!AI12+IF(W64&gt;=0.45,VLOOKUP(Calculator!E23,tbSkills!DH3:DI6,2,FALSE)+IF(AND(Calculator!B8=TRUE,Backdoors!BI6=TRUE),VLOOKUP(Calculator!E23,tbSkills!DH3:DJ6,3,FALSE),0),0)))/100)),1),1)</f>
        <v>0.6</v>
      </c>
      <c r="AC64" s="87">
        <f t="shared" si="47"/>
        <v>4</v>
      </c>
      <c r="AD64" s="86">
        <f>IFERROR(IF(VLOOKUP(A64,tbMoveset!A2:B112,2,FALSE)="Sever",Backdoors!AY7/100,IF(VLOOKUP(A64,tbMoveset!A2:B112,2,FALSE)="Blunt",Backdoors!AZ7/100,Backdoors!BA7/100)),"")</f>
        <v>0.65</v>
      </c>
      <c r="AE64" s="49">
        <f>IFERROR(IF(VLOOKUP(tbMoveset!A64,tbMoveset!A2:H112,8,FALSE)="Other",IF(VLOOKUP(tbMoveset!A64,tbMoveset!A2:I112,9,FALSE)="Fire",Backdoors!BB7,IF(VLOOKUP(tbMoveset!A64,tbMoveset!A2:I112,9,FALSE)="Water",Backdoors!BC7,IF(VLOOKUP(tbMoveset!A64,tbMoveset!A2:I112,9,FALSE)="Thunder",Backdoors!BD7,IF(VLOOKUP(tbMoveset!A64,tbMoveset!A2:I112,9,FALSE)="Ice",Backdoors!BE7,IF(VLOOKUP(tbMoveset!A64,tbMoveset!A2:I112,9,FALSE)="Dragon",Backdoors!BF7,Backdoors!BG7)))))/100,Backdoors!BG7/100),"")</f>
        <v>0</v>
      </c>
      <c r="AF64" s="49">
        <f>IFERROR(IF(VLOOKUP(A64,tbMoveset!A2:J112,10,FALSE)=TRUE,IF((Backdoors!AI12+IF(AD64&gt;=0.45,VLOOKUP(Calculator!E23,tbSkills!DH3:DI6,2,FALSE)+IF(AND(Calculator!B8=TRUE,Backdoors!BI7=TRUE),VLOOKUP(Calculator!E23,tbSkills!DH3:DJ6,3,FALSE),0),0))&gt;=0,1+(Backdoors!AL2*(IF((Backdoors!AI12+IF(AD64&gt;=0.45,VLOOKUP(Calculator!E23,tbSkills!DH3:DI6,2,FALSE)+IF(AND(Calculator!B8=TRUE,Backdoors!BI7=TRUE),VLOOKUP(Calculator!E23,tbSkills!DH3:DJ6,3,FALSE),0),0))&gt;=100,100,(Backdoors!AI12+IF(AD64&gt;=0.45,VLOOKUP(Calculator!E23,tbSkills!DH3:DI6,2,FALSE)+IF(AND(Calculator!B8=TRUE,Backdoors!BI7=TRUE),VLOOKUP(Calculator!E23,tbSkills!DH3:DJ6,3,FALSE),0),0)))/100)),(1-(0.25*((-Backdoors!AI12-IF(AD64&gt;=0.45,VLOOKUP(Calculator!E23,tbSkills!DH3:DI6,2,FALSE)+IF(AND(Calculator!B8=TRUE,Backdoors!BI7=TRUE),VLOOKUP(Calculator!E23,tbSkills!DH3:DJ6,3,FALSE),0),0))/100)))),1),"")</f>
        <v>1</v>
      </c>
      <c r="AG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D64)*AF64)*(VLOOKUP(A64,tbMoveset!A2:C112,3,FALSE)/100)*IF(VLOOKUP(A64,tbMoveset!A2:B112,2,FALSE)="Projectile",Backdoors!N10,Backdoors!N9),0),"")</f>
        <v>6</v>
      </c>
      <c r="AH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D64&gt;=0.45,VLOOKUP(Calculator!E23,tbSkills!DH3:DI6,2,FALSE)+IF(AND(Calculator!B8=TRUE,Backdoors!BI7=TRUE),VLOOKUP(Calculator!E23,tbSkills!DH3:DJ6,3,FALSE),0),0))&gt;=100,100,(Backdoors!AI12+IF(AD64&gt;=0.45,VLOOKUP(Calculator!E23,tbSkills!DH3:DI6,2,FALSE)+IF(AND(Calculator!B8=TRUE,Backdoors!BI7=TRUE),VLOOKUP(Calculator!E23,tbSkills!DH3:DJ6,3,FALSE),0),0)))/100)),1))*IF(VLOOKUP(A64,tbMoveset!A2:K112,11,FALSE)=TRUE,Backdoors!AC5,1))*AE64,0),"")</f>
        <v>0</v>
      </c>
      <c r="AI64" s="49">
        <f>VLOOKUP(A64,tbMoveset!A2:G112,7,FALSE)*IFERROR(IF(Backdoors!AI12&gt;=0,1+(IF(Calculator!E40&gt;0,VLOOKUP(Calculator!E40,tbSkills!AI3:AJ5,2,FALSE),Backdoors!AL4)*(IF((Backdoors!AI12+IF(AD64&gt;=0.45,VLOOKUP(Calculator!E23,tbSkills!DH3:DI6,2,FALSE)+IF(AND(Calculator!B8=TRUE,Backdoors!BI7=TRUE),VLOOKUP(Calculator!E23,tbSkills!DH3:DJ6,3,FALSE),0),0))&gt;=100,100,(Backdoors!AI12+IF(AD64&gt;=0.45,VLOOKUP(Calculator!E23,tbSkills!DH3:DI6,2,FALSE)+IF(AND(Calculator!B8=TRUE,Backdoors!BI7=TRUE),VLOOKUP(Calculator!E23,tbSkills!DH3:DJ6,3,FALSE),0),0)))/100)),1),1)</f>
        <v>0.6</v>
      </c>
      <c r="AJ64" s="87">
        <f t="shared" si="48"/>
        <v>6</v>
      </c>
      <c r="AK64" s="91">
        <f>IFERROR(IF(VLOOKUP(A64,tbMoveset!A2:B112,2,FALSE)="Sever",Backdoors!AY8/100,IF(VLOOKUP(A64,tbMoveset!A2:B112,2,FALSE)="Blunt",Backdoors!AZ8/100,Backdoors!BA8/100)),"")</f>
        <v>0.45</v>
      </c>
      <c r="AL64" s="49">
        <f>IFERROR(IF(VLOOKUP(tbMoveset!A64,tbMoveset!A2:H112,8,FALSE)="Other",IF(VLOOKUP(tbMoveset!A64,tbMoveset!A2:I112,9,FALSE)="Fire",Backdoors!BB8,IF(VLOOKUP(tbMoveset!A64,tbMoveset!A2:I112,9,FALSE)="Water",Backdoors!BC8,IF(VLOOKUP(tbMoveset!A64,tbMoveset!A2:I112,9,FALSE)="Thunder",Backdoors!BD8,IF(VLOOKUP(tbMoveset!A64,tbMoveset!A2:I112,9,FALSE)="Ice",Backdoors!BE8,IF(VLOOKUP(tbMoveset!A64,tbMoveset!A2:I112,9,FALSE)="Dragon",Backdoors!BF8,Backdoors!BG8)))))/100,Backdoors!BG8/100),"")</f>
        <v>0</v>
      </c>
      <c r="AM64" s="49">
        <f>IFERROR(IF(VLOOKUP(A64,tbMoveset!A2:J112,10,FALSE)=TRUE,IF((Backdoors!AI12+IF(AK64&gt;=0.45,VLOOKUP(Calculator!E23,tbSkills!DH3:DI6,2,FALSE)+IF(AND(Calculator!B8=TRUE,Backdoors!BI8=TRUE),VLOOKUP(Calculator!E23,tbSkills!DH3:DJ6,3,FALSE),0),0))&gt;=0,1+(Backdoors!AL2*(IF((Backdoors!AI12+IF(AK64&gt;=0.45,VLOOKUP(Calculator!E23,tbSkills!DH3:DI6,2,FALSE)+IF(AND(Calculator!B8=TRUE,Backdoors!BI8=TRUE),VLOOKUP(Calculator!E23,tbSkills!DH3:DJ6,3,FALSE),0),0))&gt;=100,100,(Backdoors!AI12+IF(AK64&gt;=0.45,VLOOKUP(Calculator!E23,tbSkills!DH3:DI6,2,FALSE)+IF(AND(Calculator!B8=TRUE,Backdoors!BI8=TRUE),VLOOKUP(Calculator!E23,tbSkills!DH3:DJ6,3,FALSE),0),0)))/100)),(1-(0.25*((-Backdoors!AI12-IF(AK64&gt;=0.45,VLOOKUP(Calculator!E23,tbSkills!DH3:DI6,2,FALSE)+IF(AND(Calculator!B8=TRUE,Backdoors!BI8=TRUE),VLOOKUP(Calculator!E23,tbSkills!DH3:DJ6,3,FALSE),0),0))/100)))),1),"")</f>
        <v>1</v>
      </c>
      <c r="AN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K64)*AM64)*(VLOOKUP(A64,tbMoveset!A2:C112,3,FALSE)/100)*IF(VLOOKUP(A64,tbMoveset!A2:B112,2,FALSE)="Projectile",Backdoors!N10,Backdoors!N9),0),"")</f>
        <v>4</v>
      </c>
      <c r="AO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K64&gt;=0.45,VLOOKUP(Calculator!E23,tbSkills!DH3:DI6,2,FALSE)+IF(AND(Calculator!B8=TRUE,Backdoors!BI8=TRUE),VLOOKUP(Calculator!E23,tbSkills!DH3:DJ6,3,FALSE),0),0))&gt;=100,100,(Backdoors!AI12+IF(AK64&gt;=0.45,VLOOKUP(Calculator!E23,tbSkills!DH3:DI6,2,FALSE)+IF(AND(Calculator!B8=TRUE,Backdoors!BI8=TRUE),VLOOKUP(Calculator!E23,tbSkills!DH3:DJ6,3,FALSE),0),0)))/100)),1))*IF(VLOOKUP(A64,tbMoveset!A2:K112,11,FALSE)=TRUE,Backdoors!AC5,1))*AL64,0),"")</f>
        <v>0</v>
      </c>
      <c r="AP64" s="49">
        <f>VLOOKUP(A64,tbMoveset!A2:G112,7,FALSE)*IFERROR(IF(Backdoors!AI12&gt;=0,1+(IF(Calculator!E40&gt;0,VLOOKUP(Calculator!E40,tbSkills!AI3:AJ5,2,FALSE),Backdoors!AL4)*(IF((Backdoors!AI12+IF(AK64&gt;=0.45,VLOOKUP(Calculator!E23,tbSkills!DH3:DI6,2,FALSE)+IF(AND(Calculator!B8=TRUE,Backdoors!BI8=TRUE),VLOOKUP(Calculator!E23,tbSkills!DH3:DJ6,3,FALSE),0),0))&gt;=100,100,(Backdoors!AI12+IF(AK64&gt;=0.45,VLOOKUP(Calculator!E23,tbSkills!DH3:DI6,2,FALSE)+IF(AND(Calculator!B8=TRUE,Backdoors!BI8=TRUE),VLOOKUP(Calculator!E23,tbSkills!DH3:DJ6,3,FALSE),0),0)))/100)),1),1)</f>
        <v>0.6</v>
      </c>
      <c r="AQ64" s="87">
        <f t="shared" si="49"/>
        <v>4</v>
      </c>
      <c r="AR64" s="86">
        <f>IFERROR(IF(VLOOKUP(A64,tbMoveset!A2:B112,2,FALSE)="Sever",Backdoors!AY9/100,IF(VLOOKUP(A64,tbMoveset!A2:B112,2,FALSE)="Blunt",Backdoors!AZ9/100,Backdoors!BA9/100)),"")</f>
        <v>0.45</v>
      </c>
      <c r="AS64" s="49">
        <f>IFERROR(IF(VLOOKUP(tbMoveset!A64,tbMoveset!A2:H112,8,FALSE)="Other",IF(VLOOKUP(tbMoveset!A64,tbMoveset!A2:I112,9,FALSE)="Fire",Backdoors!BB9,IF(VLOOKUP(tbMoveset!A64,tbMoveset!A2:I112,9,FALSE)="Water",Backdoors!BC9,IF(VLOOKUP(tbMoveset!A64,tbMoveset!A2:I112,9,FALSE)="Thunder",Backdoors!BD9,IF(VLOOKUP(tbMoveset!A64,tbMoveset!A2:I112,9,FALSE)="Ice",Backdoors!BE9,IF(VLOOKUP(tbMoveset!A64,tbMoveset!A2:I112,9,FALSE)="Dragon",Backdoors!BF9,Backdoors!BG9)))))/100,Backdoors!BG9/100),"")</f>
        <v>0</v>
      </c>
      <c r="AT64" s="49">
        <f>IFERROR(IF(VLOOKUP(A64,tbMoveset!A2:J112,10,FALSE)=TRUE,IF((Backdoors!AI12+IF(AR64&gt;=0.45,VLOOKUP(Calculator!E23,tbSkills!DH3:DI6,2,FALSE)+IF(AND(Calculator!B8=TRUE,Backdoors!BI9=TRUE),VLOOKUP(Calculator!E23,tbSkills!DH3:DJ6,3,FALSE),0),0))&gt;=0,1+(Backdoors!AL2*(IF((Backdoors!AI12+IF(AR64&gt;=0.45,VLOOKUP(Calculator!E23,tbSkills!DH3:DI6,2,FALSE)+IF(AND(Calculator!B8=TRUE,Backdoors!BI9=TRUE),VLOOKUP(Calculator!E23,tbSkills!DH3:DJ6,3,FALSE),0),0))&gt;=100,100,(Backdoors!AI12+IF(AR64&gt;=0.45,VLOOKUP(Calculator!E23,tbSkills!DH3:DI6,2,FALSE)+IF(AND(Calculator!B8=TRUE,Backdoors!BI9=TRUE),VLOOKUP(Calculator!E23,tbSkills!DH3:DJ6,3,FALSE),0),0)))/100)),(1-(0.25*((-Backdoors!AI12-IF(AR64&gt;=0.45,VLOOKUP(Calculator!E23,tbSkills!DH3:DI6,2,FALSE)+IF(AND(Calculator!B8=TRUE,Backdoors!BI9=TRUE),VLOOKUP(Calculator!E23,tbSkills!DH3:DJ6,3,FALSE),0),0))/100)))),1),"")</f>
        <v>1</v>
      </c>
      <c r="AU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R64)*AT64)*(VLOOKUP(A64,tbMoveset!A2:C112,3,FALSE)/100)*IF(VLOOKUP(A64,tbMoveset!A2:B112,2,FALSE)="Projectile",Backdoors!N10,Backdoors!N9),0),"")</f>
        <v>4</v>
      </c>
      <c r="AV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R64&gt;=0.45,VLOOKUP(Calculator!E23,tbSkills!DH3:DI6,2,FALSE)+IF(AND(Calculator!B8=TRUE,Backdoors!BI9=TRUE),VLOOKUP(Calculator!E23,tbSkills!DH3:DJ6,3,FALSE),0),0))&gt;=100,100,(Backdoors!AI12+IF(AR64&gt;=0.45,VLOOKUP(Calculator!E23,tbSkills!DH3:DI6,2,FALSE)+IF(AND(Calculator!B8=TRUE,Backdoors!BI9=TRUE),VLOOKUP(Calculator!E23,tbSkills!DH3:DJ6,3,FALSE),0),0)))/100)),1))*IF(VLOOKUP(A64,tbMoveset!A2:K112,11,FALSE)=TRUE,Backdoors!AC5,1))*AS64,0),"")</f>
        <v>0</v>
      </c>
      <c r="AW64" s="49">
        <f>VLOOKUP(A64,tbMoveset!A2:G112,7,FALSE)*IFERROR(IF(Backdoors!AI12&gt;=0,1+(IF(Calculator!E40&gt;0,VLOOKUP(Calculator!E40,tbSkills!AI3:AJ5,2,FALSE),Backdoors!AL4)*(IF((Backdoors!AI12+IF(AR64&gt;=0.45,VLOOKUP(Calculator!E23,tbSkills!DH3:DI6,2,FALSE)+IF(AND(Calculator!B8=TRUE,Backdoors!BI9=TRUE),VLOOKUP(Calculator!E23,tbSkills!DH3:DJ6,3,FALSE),0),0))&gt;=100,100,(Backdoors!AI12+IF(AR64&gt;=0.45,VLOOKUP(Calculator!E23,tbSkills!DH3:DI6,2,FALSE)+IF(AND(Calculator!B8=TRUE,Backdoors!BI9=TRUE),VLOOKUP(Calculator!E23,tbSkills!DH3:DJ6,3,FALSE),0),0)))/100)),1),1)</f>
        <v>0.6</v>
      </c>
      <c r="AX64" s="87">
        <f t="shared" si="50"/>
        <v>4</v>
      </c>
      <c r="AY64" s="86">
        <f>IFERROR(IF(VLOOKUP(A64,tbMoveset!A2:B112,2,FALSE)="Sever",Backdoors!AY10/100,IF(VLOOKUP(A64,tbMoveset!A2:B112,2,FALSE)="Blunt",Backdoors!AZ10/100,Backdoors!BA10/100)),"")</f>
        <v>0.9</v>
      </c>
      <c r="AZ64" s="49">
        <f>IFERROR(IF(VLOOKUP(tbMoveset!A64,tbMoveset!A2:H112,8,FALSE)="Other",IF(VLOOKUP(tbMoveset!A64,tbMoveset!A2:I112,9,FALSE)="Fire",Backdoors!BB10,IF(VLOOKUP(tbMoveset!A64,tbMoveset!A2:I112,9,FALSE)="Water",Backdoors!BC10,IF(VLOOKUP(tbMoveset!A64,tbMoveset!A2:I112,9,FALSE)="Thunder",Backdoors!BD10,IF(VLOOKUP(tbMoveset!A64,tbMoveset!A2:I112,9,FALSE)="Ice",Backdoors!BE10,IF(VLOOKUP(tbMoveset!A64,tbMoveset!A2:I112,9,FALSE)="Dragon",Backdoors!BF10,Backdoors!BG10)))))/100,Backdoors!BG10/100),"")</f>
        <v>0</v>
      </c>
      <c r="BA64" s="49">
        <f>IFERROR(IF(VLOOKUP(A64,tbMoveset!A2:J112,10,FALSE)=TRUE,IF((Backdoors!AI12+IF(AY64&gt;=0.45,VLOOKUP(Calculator!E23,tbSkills!DH3:DI6,2,FALSE)+IF(AND(Calculator!B8=TRUE,Backdoors!BI10=TRUE),VLOOKUP(Calculator!E23,tbSkills!DH3:DJ6,3,FALSE),0),0))&gt;=0,1+(Backdoors!AL2*(IF((Backdoors!AI12+IF(AY64&gt;=0.45,VLOOKUP(Calculator!E23,tbSkills!DH3:DI6,2,FALSE)+IF(AND(Calculator!B8=TRUE,Backdoors!BI10=TRUE),VLOOKUP(Calculator!E23,tbSkills!DH3:DJ6,3,FALSE),0),0))&gt;=100,100,(Backdoors!AI12+IF(AY64&gt;=0.45,VLOOKUP(Calculator!E23,tbSkills!DH3:DI6,2,FALSE)+IF(AND(Calculator!B8=TRUE,Backdoors!BI10=TRUE),VLOOKUP(Calculator!E23,tbSkills!DH3:DJ6,3,FALSE),0),0)))/100)),(1-(0.25*((-Backdoors!AI12-IF(AY64&gt;=0.45,VLOOKUP(Calculator!E23,tbSkills!DH3:DI6,2,FALSE)+IF(AND(Calculator!B8=TRUE,Backdoors!BI10=TRUE),VLOOKUP(Calculator!E23,tbSkills!DH3:DJ6,3,FALSE),0),0))/100)))),1),"")</f>
        <v>1</v>
      </c>
      <c r="BB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Y64)*BA64)*(VLOOKUP(A64,tbMoveset!A2:C112,3,FALSE)/100)*IF(VLOOKUP(A64,tbMoveset!A2:B112,2,FALSE)="Projectile",Backdoors!N10,Backdoors!N9),0),"")</f>
        <v>8</v>
      </c>
      <c r="BC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Y64&gt;=0.45,VLOOKUP(Calculator!E23,tbSkills!DH3:DI6,2,FALSE)+IF(AND(Calculator!B8=TRUE,Backdoors!BI10=TRUE),VLOOKUP(Calculator!E23,tbSkills!DH3:DJ6,3,FALSE),0),0))&gt;=100,100,(Backdoors!AI12+IF(AY64&gt;=0.45,VLOOKUP(Calculator!E23,tbSkills!DH3:DI6,2,FALSE)+IF(AND(Calculator!B8=TRUE,Backdoors!BI10=TRUE),VLOOKUP(Calculator!E23,tbSkills!DH3:DJ6,3,FALSE),0),0)))/100)),1))*IF(VLOOKUP(A64,tbMoveset!A2:K112,11,FALSE)=TRUE,Backdoors!AC5,1))*AZ64,0),"")</f>
        <v>0</v>
      </c>
      <c r="BD64" s="49">
        <f>VLOOKUP(A64,tbMoveset!A2:G112,7,FALSE)*IFERROR(IF(Backdoors!AI12&gt;=0,1+(IF(Calculator!E40&gt;0,VLOOKUP(Calculator!E40,tbSkills!AI3:AJ5,2,FALSE),Backdoors!AL4)*(IF((Backdoors!AI12+IF(AY64&gt;=0.45,VLOOKUP(Calculator!E23,tbSkills!DH3:DI6,2,FALSE)+IF(AND(Calculator!B8=TRUE,Backdoors!BI10=TRUE),VLOOKUP(Calculator!E23,tbSkills!DH3:DJ6,3,FALSE),0),0))&gt;=100,100,(Backdoors!AI12+IF(AY64&gt;=0.45,VLOOKUP(Calculator!E23,tbSkills!DH3:DI6,2,FALSE)+IF(AND(Calculator!B8=TRUE,Backdoors!BI10=TRUE),VLOOKUP(Calculator!E23,tbSkills!DH3:DJ6,3,FALSE),0),0)))/100)),1),1)</f>
        <v>0.6</v>
      </c>
      <c r="BE64" s="87">
        <f t="shared" si="3"/>
        <v>8</v>
      </c>
      <c r="BF64" s="86" t="str">
        <f>IFERROR(IF(VLOOKUP(A64,tbMoveset!A2:B112,2,FALSE)="Sever",Backdoors!AY11/100,IF(VLOOKUP(A64,tbMoveset!A2:B112,2,FALSE)="Blunt",Backdoors!AZ11/100,Backdoors!BA11/100)),"")</f>
        <v/>
      </c>
      <c r="BG64" s="49">
        <f>IFERROR(IF(VLOOKUP(tbMoveset!A64,tbMoveset!A2:H112,8,FALSE)="Other",IF(VLOOKUP(tbMoveset!A64,tbMoveset!A2:I112,9,FALSE)="Fire",Backdoors!BB11,IF(VLOOKUP(tbMoveset!A64,tbMoveset!A2:I112,9,FALSE)="Water",Backdoors!BC11,IF(VLOOKUP(tbMoveset!A64,tbMoveset!A2:I112,9,FALSE)="Thunder",Backdoors!BD11,IF(VLOOKUP(tbMoveset!A64,tbMoveset!A2:I112,9,FALSE)="Ice",Backdoors!BE11,IF(VLOOKUP(tbMoveset!A64,tbMoveset!A2:I112,9,FALSE)="Dragon",Backdoors!BF11,Backdoors!BG11)))))/100,Backdoors!BG11/100),"")</f>
        <v>0</v>
      </c>
      <c r="BH64" s="49">
        <f>IFERROR(IF(VLOOKUP(A64,tbMoveset!A2:J112,10,FALSE)=TRUE,IF((Backdoors!AI12+IF(BF64&gt;=0.45,VLOOKUP(Calculator!E23,tbSkills!DH3:DI6,2,FALSE)+IF(AND(Calculator!B8=TRUE,Backdoors!BI11=TRUE),VLOOKUP(Calculator!E23,tbSkills!DH3:DJ6,3,FALSE),0),0))&gt;=0,1+(Backdoors!AL2*(IF((Backdoors!AI12+IF(BF64&gt;=0.45,VLOOKUP(Calculator!E23,tbSkills!DH3:DI6,2,FALSE)+IF(AND(Calculator!B8=TRUE,Backdoors!BI11=TRUE),VLOOKUP(Calculator!E23,tbSkills!DH3:DJ6,3,FALSE),0),0))&gt;=100,100,(Backdoors!AI12+IF(BF64&gt;=0.45,VLOOKUP(Calculator!E23,tbSkills!DH3:DI6,2,FALSE)+IF(AND(Calculator!B8=TRUE,Backdoors!BI11=TRUE),VLOOKUP(Calculator!E23,tbSkills!DH3:DJ6,3,FALSE),0),0)))/100)),(1-(0.25*((-Backdoors!AI12-IF(BF64&gt;=0.45,VLOOKUP(Calculator!E23,tbSkills!DH3:DI6,2,FALSE)+IF(AND(Calculator!B8=TRUE,Backdoors!BI11=TRUE),VLOOKUP(Calculator!E23,tbSkills!DH3:DJ6,3,FALSE),0),0))/100)))),1),"")</f>
        <v>1</v>
      </c>
      <c r="BI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F64)*BH64)*(VLOOKUP(A64,tbMoveset!A2:C112,3,FALSE)/100)*IF(VLOOKUP(A64,tbMoveset!A2:B112,2,FALSE)="Projectile",Backdoors!N10,Backdoors!N9),0),"")</f>
        <v/>
      </c>
      <c r="BJ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F64&gt;=0.45,VLOOKUP(Calculator!E23,tbSkills!DH3:DI6,2,FALSE)+IF(AND(Calculator!B8=TRUE,Backdoors!BI11=TRUE),VLOOKUP(Calculator!E23,tbSkills!DH3:DJ6,3,FALSE),0),0))&gt;=100,100,(Backdoors!AI12+IF(BF64&gt;=0.45,VLOOKUP(Calculator!E23,tbSkills!DH3:DI6,2,FALSE)+IF(AND(Calculator!B8=TRUE,Backdoors!BI11=TRUE),VLOOKUP(Calculator!E23,tbSkills!DH3:DJ6,3,FALSE),0),0)))/100)),1))*IF(VLOOKUP(A64,tbMoveset!A2:K112,11,FALSE)=TRUE,Backdoors!AC5,1))*BG64,0),"")</f>
        <v>0</v>
      </c>
      <c r="BK64" s="49">
        <f>VLOOKUP(A64,tbMoveset!A2:G112,7,FALSE)*IFERROR(IF(Backdoors!AI12&gt;=0,1+(IF(Calculator!E40&gt;0,VLOOKUP(Calculator!E40,tbSkills!AI3:AJ5,2,FALSE),Backdoors!AL4)*(IF((Backdoors!AI12+IF(BF64&gt;=0.45,VLOOKUP(Calculator!E23,tbSkills!DH3:DI6,2,FALSE)+IF(AND(Calculator!B8=TRUE,Backdoors!BI11=TRUE),VLOOKUP(Calculator!E23,tbSkills!DH3:DJ6,3,FALSE),0),0))&gt;=100,100,(Backdoors!AI12+IF(BF64&gt;=0.45,VLOOKUP(Calculator!E23,tbSkills!DH3:DI6,2,FALSE)+IF(AND(Calculator!B8=TRUE,Backdoors!BI11=TRUE),VLOOKUP(Calculator!E23,tbSkills!DH3:DJ6,3,FALSE),0),0)))/100)),1),1)</f>
        <v>0.6</v>
      </c>
      <c r="BL64" s="87">
        <f t="shared" si="4"/>
        <v>0</v>
      </c>
      <c r="BM64" s="86" t="str">
        <f>IFERROR(IF(VLOOKUP(A64,tbMoveset!A2:B112,2,FALSE)="Sever",Backdoors!AY12/100,IF(VLOOKUP(A64,tbMoveset!A2:B112,2,FALSE)="Blunt",Backdoors!AZ12/100,Backdoors!BA12/100)),"")</f>
        <v/>
      </c>
      <c r="BN64" s="49">
        <f>IFERROR(IF(VLOOKUP(tbMoveset!A64,tbMoveset!A2:H112,8,FALSE)="Other",IF(VLOOKUP(tbMoveset!A64,tbMoveset!A2:I112,9,FALSE)="Fire",Backdoors!BB12,IF(VLOOKUP(tbMoveset!A64,tbMoveset!A2:I112,9,FALSE)="Water",Backdoors!BC12,IF(VLOOKUP(tbMoveset!A64,tbMoveset!A2:I112,9,FALSE)="Thunder",Backdoors!BD12,IF(VLOOKUP(tbMoveset!A64,tbMoveset!A2:I112,9,FALSE)="Ice",Backdoors!BE12,IF(VLOOKUP(tbMoveset!A64,tbMoveset!A2:I112,9,FALSE)="Dragon",Backdoors!BF12,Backdoors!BG12)))))/100,Backdoors!BG12/100),"")</f>
        <v>0</v>
      </c>
      <c r="BO64" s="49">
        <f>IFERROR(IF(VLOOKUP(A64,tbMoveset!A2:J112,10,FALSE)=TRUE,IF((Backdoors!AI12+IF(BM64&gt;=0.45,VLOOKUP(Calculator!E23,tbSkills!DH3:DI6,2,FALSE)+IF(AND(Calculator!B8=TRUE,Backdoors!BI12=TRUE),VLOOKUP(Calculator!E23,tbSkills!DH3:DJ6,3,FALSE),0),0))&gt;=0,1+(Backdoors!AL2*(IF((Backdoors!AI12+IF(BM64&gt;=0.45,VLOOKUP(Calculator!E23,tbSkills!DH3:DI6,2,FALSE)+IF(AND(Calculator!B8=TRUE,Backdoors!BI12=TRUE),VLOOKUP(Calculator!E23,tbSkills!DH3:DJ6,3,FALSE),0),0))&gt;=100,100,(Backdoors!AI12+IF(BM64&gt;=0.45,VLOOKUP(Calculator!E23,tbSkills!DH3:DI6,2,FALSE)+IF(AND(Calculator!B8=TRUE,Backdoors!BI12=TRUE),VLOOKUP(Calculator!E23,tbSkills!DH3:DJ6,3,FALSE),0),0)))/100)),(1-(0.25*((-Backdoors!AI12-IF(BM64&gt;=0.45,VLOOKUP(Calculator!E23,tbSkills!DH3:DI6,2,FALSE)+IF(AND(Calculator!B8=TRUE,Backdoors!BI12=TRUE),VLOOKUP(Calculator!E23,tbSkills!DH3:DJ6,3,FALSE),0),0))/100)))),1),"")</f>
        <v>1</v>
      </c>
      <c r="BP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M64)*BO64)*(VLOOKUP(A64,tbMoveset!A2:C112,3,FALSE)/100)*IF(VLOOKUP(A64,tbMoveset!A2:B112,2,FALSE)="Projectile",Backdoors!N10,Backdoors!N9),0),"")</f>
        <v/>
      </c>
      <c r="BQ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M64&gt;=0.45,VLOOKUP(Calculator!E23,tbSkills!DH3:DI6,2,FALSE)+IF(AND(Calculator!B8=TRUE,Backdoors!BI12=TRUE),VLOOKUP(Calculator!E23,tbSkills!DH3:DJ6,3,FALSE),0),0))&gt;=100,100,(Backdoors!AI12+IF(BM64&gt;=0.45,VLOOKUP(Calculator!E23,tbSkills!DH3:DI6,2,FALSE)+IF(AND(Calculator!B8=TRUE,Backdoors!BI12=TRUE),VLOOKUP(Calculator!E23,tbSkills!DH3:DJ6,3,FALSE),0),0)))/100)),1))*IF(VLOOKUP(A64,tbMoveset!A2:K112,11,FALSE)=TRUE,Backdoors!AC5,1))*BN64,0),"")</f>
        <v>0</v>
      </c>
      <c r="BR64" s="49">
        <f>VLOOKUP(A64,tbMoveset!A2:G112,7,FALSE)*IFERROR(IF(Backdoors!AI12&gt;=0,1+(IF(Calculator!E40&gt;0,VLOOKUP(Calculator!E40,tbSkills!AI3:AJ5,2,FALSE),Backdoors!AL4)*(IF((Backdoors!AI12+IF(BM64&gt;=0.45,VLOOKUP(Calculator!E23,tbSkills!DH3:DI6,2,FALSE)+IF(AND(Calculator!B8=TRUE,Backdoors!BI12=TRUE),VLOOKUP(Calculator!E23,tbSkills!DH3:DJ6,3,FALSE),0),0))&gt;=100,100,(Backdoors!AI12+IF(BM64&gt;=0.45,VLOOKUP(Calculator!E23,tbSkills!DH3:DI6,2,FALSE)+IF(AND(Calculator!B8=TRUE,Backdoors!BI12=TRUE),VLOOKUP(Calculator!E23,tbSkills!DH3:DJ6,3,FALSE),0),0)))/100)),1),1)</f>
        <v>0.6</v>
      </c>
      <c r="BS64" s="87">
        <f t="shared" si="39"/>
        <v>0</v>
      </c>
      <c r="BT64" s="86" t="str">
        <f>IFERROR(IF(VLOOKUP(A64,tbMoveset!A2:B112,2,FALSE)="Sever",Backdoors!AY13/100,IF(VLOOKUP(A64,tbMoveset!A2:B112,2,FALSE)="Blunt",Backdoors!AZ13/100,Backdoors!BA13/100)),"")</f>
        <v/>
      </c>
      <c r="BU64" s="49">
        <f>IFERROR(IF(VLOOKUP(tbMoveset!A64,tbMoveset!A2:H112,8,FALSE)="Other",IF(VLOOKUP(tbMoveset!A64,tbMoveset!A2:I112,9,FALSE)="Fire",Backdoors!BB13,IF(VLOOKUP(tbMoveset!A64,tbMoveset!A2:I112,9,FALSE)="Water",Backdoors!BC13,IF(VLOOKUP(tbMoveset!A64,tbMoveset!A2:I112,9,FALSE)="Thunder",Backdoors!BD13,IF(VLOOKUP(tbMoveset!A64,tbMoveset!A2:I112,9,FALSE)="Ice",Backdoors!BE13,IF(VLOOKUP(tbMoveset!A64,tbMoveset!A2:I112,9,FALSE)="Dragon",Backdoors!BF13,Backdoors!BG13)))))/100,Backdoors!BG13/100),"")</f>
        <v>0</v>
      </c>
      <c r="BV64" s="49">
        <f>IFERROR(IF(VLOOKUP(A64,tbMoveset!A2:J112,10,FALSE)=TRUE,IF((Backdoors!AI12+IF(BT64&gt;=0.45,VLOOKUP(Calculator!E23,tbSkills!DH3:DI6,2,FALSE)+IF(AND(Calculator!B8=TRUE,Backdoors!BI13=TRUE),VLOOKUP(Calculator!E23,tbSkills!DH3:DJ6,3,FALSE),0),0))&gt;=0,1+(Backdoors!AL2*(IF((Backdoors!AI12+IF(BT64&gt;=0.45,VLOOKUP(Calculator!E23,tbSkills!DH3:DI6,2,FALSE)+IF(AND(Calculator!B8=TRUE,Backdoors!BI13=TRUE),VLOOKUP(Calculator!E23,tbSkills!DH3:DJ6,3,FALSE),0),0))&gt;=100,100,(Backdoors!AI12+IF(BT64&gt;=0.45,VLOOKUP(Calculator!E23,tbSkills!DH3:DI6,2,FALSE)+IF(AND(Calculator!B8=TRUE,Backdoors!BI13=TRUE),VLOOKUP(Calculator!E23,tbSkills!DH3:DJ6,3,FALSE),0),0)))/100)),(1-(0.25*((-Backdoors!AI12-IF(BT64&gt;=0.45,VLOOKUP(Calculator!E23,tbSkills!DH3:DI6,2,FALSE)+IF(AND(Calculator!B8=TRUE,Backdoors!BI13=TRUE),VLOOKUP(Calculator!E23,tbSkills!DH3:DJ6,3,FALSE),0),0))/100)))),1),"")</f>
        <v>1</v>
      </c>
      <c r="BW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T64)*BV64)*(VLOOKUP(A64,tbMoveset!A2:C112,3,FALSE)/100)*IF(VLOOKUP(A64,tbMoveset!A2:B112,2,FALSE)="Projectile",Backdoors!N10,Backdoors!N9),0),"")</f>
        <v/>
      </c>
      <c r="BX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T64&gt;=0.45,VLOOKUP(Calculator!E23,tbSkills!DH3:DI6,2,FALSE)+IF(AND(Calculator!B8=TRUE,Backdoors!BI13=TRUE),VLOOKUP(Calculator!E23,tbSkills!DH3:DJ6,3,FALSE),0),0))&gt;=100,100,(Backdoors!AI12+IF(BT64&gt;=0.45,VLOOKUP(Calculator!E23,tbSkills!DH3:DI6,2,FALSE)+IF(AND(Calculator!B8=TRUE,Backdoors!BI13=TRUE),VLOOKUP(Calculator!E23,tbSkills!DH3:DJ6,3,FALSE),0),0)))/100)),1))*IF(VLOOKUP(A64,tbMoveset!A2:K112,11,FALSE)=TRUE,Backdoors!AC5,1))*BU64,0),"")</f>
        <v>0</v>
      </c>
      <c r="BY64" s="49">
        <f>VLOOKUP(A64,tbMoveset!A2:G112,7,FALSE)*IFERROR(IF(Backdoors!AI12&gt;=0,1+(IF(Calculator!E40&gt;0,VLOOKUP(Calculator!E40,tbSkills!AI3:AJ5,2,FALSE),Backdoors!AL4)*(IF((Backdoors!AI12+IF(BT64&gt;=0.45,VLOOKUP(Calculator!E23,tbSkills!DH3:DI6,2,FALSE)+IF(AND(Calculator!B8=TRUE,Backdoors!BI13=TRUE),VLOOKUP(Calculator!E23,tbSkills!DH3:DJ6,3,FALSE),0),0))&gt;=100,100,(Backdoors!AI12+IF(BT64&gt;=0.45,VLOOKUP(Calculator!E23,tbSkills!DH3:DI6,2,FALSE)+IF(AND(Calculator!B8=TRUE,Backdoors!BI13=TRUE),VLOOKUP(Calculator!E23,tbSkills!DH3:DJ6,3,FALSE),0),0)))/100)),1),1)</f>
        <v>0.6</v>
      </c>
      <c r="BZ64" s="87">
        <f t="shared" si="5"/>
        <v>0</v>
      </c>
      <c r="CA64" s="86" t="str">
        <f>IFERROR(IF(VLOOKUP(A64,tbMoveset!A2:B112,2,FALSE)="Sever",Backdoors!AY14/100,IF(VLOOKUP(A64,tbMoveset!A2:B112,2,FALSE)="Blunt",Backdoors!AZ14/100,Backdoors!BA14/100)),"")</f>
        <v/>
      </c>
      <c r="CB64" s="49">
        <f>IFERROR(IF(VLOOKUP(tbMoveset!A64,tbMoveset!A2:H112,8,FALSE)="Other",IF(VLOOKUP(tbMoveset!A64,tbMoveset!A2:I112,9,FALSE)="Fire",Backdoors!BB14,IF(VLOOKUP(tbMoveset!A64,tbMoveset!A2:I112,9,FALSE)="Water",Backdoors!BC14,IF(VLOOKUP(tbMoveset!A64,tbMoveset!A2:I112,9,FALSE)="Thunder",Backdoors!BD14,IF(VLOOKUP(tbMoveset!A64,tbMoveset!A2:I112,9,FALSE)="Ice",Backdoors!BE14,IF(VLOOKUP(tbMoveset!A64,tbMoveset!A2:I112,9,FALSE)="Dragon",Backdoors!BF14,Backdoors!BG14)))))/100,Backdoors!BG14/100),"")</f>
        <v>0</v>
      </c>
      <c r="CC64" s="49">
        <f>IFERROR(IF(VLOOKUP(A64,tbMoveset!A2:J112,10,FALSE)=TRUE,IF((Backdoors!AI12+IF(CA64&gt;=0.45,VLOOKUP(Calculator!E23,tbSkills!DH3:DI6,2,FALSE)+IF(AND(Calculator!B8=TRUE,Backdoors!BI14=TRUE),VLOOKUP(Calculator!E23,tbSkills!DH3:DJ6,3,FALSE),0),0))&gt;=0,1+(Backdoors!AL2*(IF((Backdoors!AI12+IF(CA64&gt;=0.45,VLOOKUP(Calculator!E23,tbSkills!DH3:DI6,2,FALSE)+IF(AND(Calculator!B8=TRUE,Backdoors!BI14=TRUE),VLOOKUP(Calculator!E23,tbSkills!DH3:DJ6,3,FALSE),0),0))&gt;=100,100,(Backdoors!AI12+IF(CA64&gt;=0.45,VLOOKUP(Calculator!E23,tbSkills!DH3:DI6,2,FALSE)+IF(AND(Calculator!B8=TRUE,Backdoors!BI14=TRUE),VLOOKUP(Calculator!E23,tbSkills!DH3:DJ6,3,FALSE),0),0)))/100)),(1-(0.25*((-Backdoors!AI12-IF(CA64&gt;=0.45,VLOOKUP(Calculator!E23,tbSkills!DH3:DI6,2,FALSE)+IF(AND(Calculator!B8=TRUE,Backdoors!BI14=TRUE),VLOOKUP(Calculator!E23,tbSkills!DH3:DJ6,3,FALSE),0),0))/100)))),1),"")</f>
        <v>1</v>
      </c>
      <c r="CD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A64)*CC64)*(VLOOKUP(A64,tbMoveset!A2:C112,3,FALSE)/100)*IF(VLOOKUP(A64,tbMoveset!A2:B112,2,FALSE)="Projectile",Backdoors!N10,Backdoors!N9),0),"")</f>
        <v/>
      </c>
      <c r="CE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A64&gt;=0.45,VLOOKUP(Calculator!E23,tbSkills!DH3:DI6,2,FALSE)+IF(AND(Calculator!B8=TRUE,Backdoors!BI14=TRUE),VLOOKUP(Calculator!E23,tbSkills!DH3:DJ6,3,FALSE),0),0))&gt;=100,100,(Backdoors!AI12+IF(CA64&gt;=0.45,VLOOKUP(Calculator!E23,tbSkills!DH3:DI6,2,FALSE)+IF(AND(Calculator!B8=TRUE,Backdoors!BI14=TRUE),VLOOKUP(Calculator!E23,tbSkills!DH3:DJ6,3,FALSE),0),0)))/100)),1))*IF(VLOOKUP(A64,tbMoveset!A2:K112,11,FALSE)=TRUE,Backdoors!AC5,1))*CB64,0),"")</f>
        <v>0</v>
      </c>
      <c r="CF64" s="49">
        <f>VLOOKUP(A64,tbMoveset!A2:G112,7,FALSE)*IFERROR(IF(Backdoors!AI12&gt;=0,1+(IF(Calculator!E40&gt;0,VLOOKUP(Calculator!E40,tbSkills!AI3:AJ5,2,FALSE),Backdoors!AL4)*(IF((Backdoors!AI12+IF(CA64&gt;=0.45,VLOOKUP(Calculator!E23,tbSkills!DH3:DI6,2,FALSE)+IF(AND(Calculator!B8=TRUE,Backdoors!BI14=TRUE),VLOOKUP(Calculator!E23,tbSkills!DH3:DJ6,3,FALSE),0),0))&gt;=100,100,(Backdoors!AI12+IF(CA64&gt;=0.45,VLOOKUP(Calculator!E23,tbSkills!DH3:DI6,2,FALSE)+IF(AND(Calculator!B8=TRUE,Backdoors!BI14=TRUE),VLOOKUP(Calculator!E23,tbSkills!DH3:DJ6,3,FALSE),0),0)))/100)),1),1)</f>
        <v>0.6</v>
      </c>
      <c r="CG64" s="87">
        <f t="shared" si="6"/>
        <v>0</v>
      </c>
      <c r="CH64" s="86" t="str">
        <f>IFERROR(IF(VLOOKUP(A64,tbMoveset!A2:B112,2,FALSE)="Sever",Backdoors!AY15/100,IF(VLOOKUP(A64,tbMoveset!A2:B112,2,FALSE)="Blunt",Backdoors!AZ15/100,Backdoors!BA15/100)),"")</f>
        <v/>
      </c>
      <c r="CI64" s="49">
        <f>IFERROR(IF(VLOOKUP(tbMoveset!A64,tbMoveset!A2:H112,8,FALSE)="Other",IF(VLOOKUP(tbMoveset!A64,tbMoveset!A2:I112,9,FALSE)="Fire",Backdoors!BB15,IF(VLOOKUP(tbMoveset!A64,tbMoveset!A2:I112,9,FALSE)="Water",Backdoors!BC15,IF(VLOOKUP(tbMoveset!A64,tbMoveset!A2:I112,9,FALSE)="Thunder",Backdoors!BD15,IF(VLOOKUP(tbMoveset!A64,tbMoveset!A2:I112,9,FALSE)="Ice",Backdoors!BE15,IF(VLOOKUP(tbMoveset!A64,tbMoveset!A2:I112,9,FALSE)="Dragon",Backdoors!BF15,Backdoors!BG15)))))/100,Backdoors!BG15/100),"")</f>
        <v>0</v>
      </c>
      <c r="CJ64" s="49">
        <f>IFERROR(IF(VLOOKUP(A64,tbMoveset!A2:J112,10,FALSE)=TRUE,IF((Backdoors!AI12+IF(CH64&gt;=0.45,VLOOKUP(Calculator!E23,tbSkills!DH3:DI6,2,FALSE)+IF(AND(Calculator!B8=TRUE,Backdoors!BI15=TRUE),VLOOKUP(Calculator!E23,tbSkills!DH3:DJ6,3,FALSE),0),0))&gt;=0,1+(Backdoors!AL2*(IF((Backdoors!AI12+IF(CH64&gt;=0.45,VLOOKUP(Calculator!E23,tbSkills!DH3:DI6,2,FALSE)+IF(AND(Calculator!B8=TRUE,Backdoors!BI15=TRUE),VLOOKUP(Calculator!E23,tbSkills!DH3:DJ6,3,FALSE),0),0))&gt;=100,100,(Backdoors!AI12+IF(CH64&gt;=0.45,VLOOKUP(Calculator!E23,tbSkills!DH3:DI6,2,FALSE)+IF(AND(Calculator!B8=TRUE,Backdoors!BI15=TRUE),VLOOKUP(Calculator!E23,tbSkills!DH3:DJ6,3,FALSE),0),0)))/100)),(1-(0.25*((-Backdoors!AI12-IF(CH64&gt;=0.45,VLOOKUP(Calculator!E23,tbSkills!DH3:DI6,2,FALSE)+IF(AND(Calculator!B8=TRUE,Backdoors!BI15=TRUE),VLOOKUP(Calculator!E23,tbSkills!DH3:DJ6,3,FALSE),0),0))/100)))),1),"")</f>
        <v>1</v>
      </c>
      <c r="CK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H64)*CJ64)*(VLOOKUP(A64,tbMoveset!A2:C112,3,FALSE)/100)*IF(VLOOKUP(A64,tbMoveset!A2:B112,2,FALSE)="Projectile",Backdoors!N10,Backdoors!N9),0),"")</f>
        <v/>
      </c>
      <c r="CL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H64&gt;=0.45,VLOOKUP(Calculator!E23,tbSkills!DH3:DI6,2,FALSE)+IF(AND(Calculator!B8=TRUE,Backdoors!BI15=TRUE),VLOOKUP(Calculator!E23,tbSkills!DH3:DJ6,3,FALSE),0),0))&gt;=100,100,(Backdoors!AI12+IF(CH64&gt;=0.45,VLOOKUP(Calculator!E23,tbSkills!DH3:DI6,2,FALSE)+IF(AND(Calculator!B8=TRUE,Backdoors!BI15=TRUE),VLOOKUP(Calculator!E23,tbSkills!DH3:DJ6,3,FALSE),0),0)))/100)),1))*IF(VLOOKUP(A64,tbMoveset!A2:K112,11,FALSE)=TRUE,Backdoors!AC5,1))*CI64,0),"")</f>
        <v>0</v>
      </c>
      <c r="CM64" s="49">
        <f>VLOOKUP(A64,tbMoveset!A2:G112,7,FALSE)*IFERROR(IF(Backdoors!AI12&gt;=0,1+(IF(Calculator!E40&gt;0,VLOOKUP(Calculator!E40,tbSkills!AI3:AJ5,2,FALSE),Backdoors!AL4)*(IF((Backdoors!AI12+IF(CH64&gt;=0.45,VLOOKUP(Calculator!E23,tbSkills!DH3:DI6,2,FALSE)+IF(AND(Calculator!B8=TRUE,Backdoors!BI15=TRUE),VLOOKUP(Calculator!E23,tbSkills!DH3:DJ6,3,FALSE),0),0))&gt;=100,100,(Backdoors!AI12+IF(CH64&gt;=0.45,VLOOKUP(Calculator!E23,tbSkills!DH3:DI6,2,FALSE)+IF(AND(Calculator!B8=TRUE,Backdoors!BI15=TRUE),VLOOKUP(Calculator!E23,tbSkills!DH3:DJ6,3,FALSE),0),0)))/100)),1),1)</f>
        <v>0.6</v>
      </c>
      <c r="CN64" s="87">
        <f t="shared" si="7"/>
        <v>0</v>
      </c>
      <c r="CO64" s="86" t="str">
        <f>IFERROR(IF(VLOOKUP(A64,tbMoveset!A2:B112,2,FALSE)="Sever",Backdoors!AY16/100,IF(VLOOKUP(A64,tbMoveset!A2:B112,2,FALSE)="Blunt",Backdoors!AZ16/100,Backdoors!BA16/100)),"")</f>
        <v/>
      </c>
      <c r="CP64" s="49">
        <f>IFERROR(IF(VLOOKUP(tbMoveset!A64,tbMoveset!A2:H112,8,FALSE)="Other",IF(VLOOKUP(tbMoveset!A64,tbMoveset!A2:I112,9,FALSE)="Fire",Backdoors!BB16,IF(VLOOKUP(tbMoveset!A64,tbMoveset!A2:I112,9,FALSE)="Water",Backdoors!BC16,IF(VLOOKUP(tbMoveset!A64,tbMoveset!A2:I112,9,FALSE)="Thunder",Backdoors!BD16,IF(VLOOKUP(tbMoveset!A64,tbMoveset!A2:I112,9,FALSE)="Ice",Backdoors!BE16,IF(VLOOKUP(tbMoveset!A64,tbMoveset!A2:I112,9,FALSE)="Dragon",Backdoors!BF16,Backdoors!BG16)))))/100,Backdoors!BG16/100),"")</f>
        <v>0</v>
      </c>
      <c r="CQ64" s="49">
        <f>IFERROR(IF(VLOOKUP(A64,tbMoveset!A2:J112,10,FALSE)=TRUE,IF((Backdoors!AI12+IF(CO64&gt;=0.45,VLOOKUP(Calculator!E23,tbSkills!DH3:DI6,2,FALSE)+IF(AND(Calculator!B8=TRUE,Backdoors!BI16=TRUE),VLOOKUP(Calculator!E23,tbSkills!DH3:DJ6,3,FALSE),0),0))&gt;=0,1+(Backdoors!AL2*(IF((Backdoors!AI12+IF(CO64&gt;=0.45,VLOOKUP(Calculator!E23,tbSkills!DH3:DI6,2,FALSE)+IF(AND(Calculator!B8=TRUE,Backdoors!BI16=TRUE),VLOOKUP(Calculator!E23,tbSkills!DH3:DJ6,3,FALSE),0),0))&gt;=100,100,(Backdoors!AI12+IF(CO64&gt;=0.45,VLOOKUP(Calculator!E23,tbSkills!DH3:DI6,2,FALSE)+IF(AND(Calculator!B8=TRUE,Backdoors!BI16=TRUE),VLOOKUP(Calculator!E23,tbSkills!DH3:DJ6,3,FALSE),0),0)))/100)),(1-(0.25*((-Backdoors!AI12-IF(CO64&gt;=0.45,VLOOKUP(Calculator!E23,tbSkills!DH3:DI6,2,FALSE)+IF(AND(Calculator!B8=TRUE,Backdoors!BI16=TRUE),VLOOKUP(Calculator!E23,tbSkills!DH3:DJ6,3,FALSE),0),0))/100)))),1),"")</f>
        <v>1</v>
      </c>
      <c r="CR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O64)*CQ64)*(VLOOKUP(A64,tbMoveset!A2:C112,3,FALSE)/100)*IF(VLOOKUP(A64,tbMoveset!A2:B112,2,FALSE)="Projectile",Backdoors!N10,Backdoors!N9),0),"")</f>
        <v/>
      </c>
      <c r="CS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O64&gt;=0.45,VLOOKUP(Calculator!E23,tbSkills!DH3:DI6,2,FALSE)+IF(AND(Calculator!B8=TRUE,Backdoors!BI16=TRUE),VLOOKUP(Calculator!E23,tbSkills!DH3:DJ6,3,FALSE),0),0))&gt;=100,100,(Backdoors!AI12+IF(CO64&gt;=0.45,VLOOKUP(Calculator!E23,tbSkills!DH3:DI6,2,FALSE)+IF(AND(Calculator!B8=TRUE,Backdoors!BI16=TRUE),VLOOKUP(Calculator!E23,tbSkills!DH3:DJ6,3,FALSE),0),0)))/100)),1))*IF(VLOOKUP(A64,tbMoveset!A2:K112,11,FALSE)=TRUE,Backdoors!AC5,1))*CP64,0),"")</f>
        <v>0</v>
      </c>
      <c r="CT64" s="49">
        <f>VLOOKUP(A64,tbMoveset!A2:G112,7,FALSE)*IFERROR(IF(Backdoors!AI12&gt;=0,1+(IF(Calculator!E40&gt;0,VLOOKUP(Calculator!E40,tbSkills!AI3:AJ5,2,FALSE),Backdoors!AL4)*(IF((Backdoors!AI12+IF(CO64&gt;=0.45,VLOOKUP(Calculator!E23,tbSkills!DH3:DI6,2,FALSE)+IF(AND(Calculator!B8=TRUE,Backdoors!BI16=TRUE),VLOOKUP(Calculator!E23,tbSkills!DH3:DJ6,3,FALSE),0),0))&gt;=100,100,(Backdoors!AI12+IF(CO64&gt;=0.45,VLOOKUP(Calculator!E23,tbSkills!DH3:DI6,2,FALSE)+IF(AND(Calculator!B8=TRUE,Backdoors!BI16=TRUE),VLOOKUP(Calculator!E23,tbSkills!DH3:DJ6,3,FALSE),0),0)))/100)),1),1)</f>
        <v>0.6</v>
      </c>
      <c r="CU64" s="87">
        <f t="shared" si="40"/>
        <v>0</v>
      </c>
      <c r="CV64" s="86" t="str">
        <f>IFERROR(IF(VLOOKUP(A64,tbMoveset!A2:B112,2,FALSE)="Sever",Backdoors!AY17/100,IF(VLOOKUP(A64,tbMoveset!A2:B112,2,FALSE)="Blunt",Backdoors!AZ17/100,Backdoors!BA17/100)),"")</f>
        <v/>
      </c>
      <c r="CW64" s="49">
        <f>IFERROR(IF(VLOOKUP(tbMoveset!A64,tbMoveset!A2:H112,8,FALSE)="Other",IF(VLOOKUP(tbMoveset!A64,tbMoveset!A2:I112,9,FALSE)="Fire",Backdoors!BB17,IF(VLOOKUP(tbMoveset!A64,tbMoveset!A2:I112,9,FALSE)="Water",Backdoors!BC17,IF(VLOOKUP(tbMoveset!A64,tbMoveset!A2:I112,9,FALSE)="Thunder",Backdoors!BD17,IF(VLOOKUP(tbMoveset!A64,tbMoveset!A2:I112,9,FALSE)="Ice",Backdoors!BE17,IF(VLOOKUP(tbMoveset!A64,tbMoveset!A2:I112,9,FALSE)="Dragon",Backdoors!BF17,Backdoors!BG17)))))/100,Backdoors!BG17/100),"")</f>
        <v>0</v>
      </c>
      <c r="CX64" s="49">
        <f>IFERROR(IF(VLOOKUP(A64,tbMoveset!A2:J112,10,FALSE)=TRUE,IF((Backdoors!AI12+IF(CV64&gt;=0.45,VLOOKUP(Calculator!E23,tbSkills!DH3:DI6,2,FALSE)+IF(AND(Calculator!B8=TRUE,Backdoors!BI17=TRUE),VLOOKUP(Calculator!E23,tbSkills!DH3:DJ6,3,FALSE),0),0))&gt;=0,1+(Backdoors!AL2*(IF((Backdoors!AI12+IF(CV64&gt;=0.45,VLOOKUP(Calculator!E23,tbSkills!DH3:DI6,2,FALSE)+IF(AND(Calculator!B8=TRUE,Backdoors!BI17=TRUE),VLOOKUP(Calculator!E23,tbSkills!DH3:DJ6,3,FALSE),0),0))&gt;=100,100,(Backdoors!AI12+IF(CV64&gt;=0.45,VLOOKUP(Calculator!E23,tbSkills!DH3:DI6,2,FALSE)+IF(AND(Calculator!B8=TRUE,Backdoors!BI17=TRUE),VLOOKUP(Calculator!E23,tbSkills!DH3:DJ6,3,FALSE),0),0)))/100)),(1-(0.25*((-Backdoors!AI12-IF(CV64&gt;=0.45,VLOOKUP(Calculator!E23,tbSkills!DH3:DI6,2,FALSE)+IF(AND(Calculator!B8=TRUE,Backdoors!BI17=TRUE),VLOOKUP(Calculator!E23,tbSkills!DH3:DJ6,3,FALSE),0),0))/100)))),1),"")</f>
        <v>1</v>
      </c>
      <c r="CY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V64)*CX64)*(VLOOKUP(A64,tbMoveset!A2:C112,3,FALSE)/100)*IF(VLOOKUP(A64,tbMoveset!A2:B112,2,FALSE)="Projectile",Backdoors!N10,Backdoors!N9),0),"")</f>
        <v/>
      </c>
      <c r="CZ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V64&gt;=0.45,VLOOKUP(Calculator!E23,tbSkills!DH3:DI6,2,FALSE)+IF(AND(Calculator!B8=TRUE,Backdoors!BI17=TRUE),VLOOKUP(Calculator!E23,tbSkills!DH3:DJ6,3,FALSE),0),0))&gt;=100,100,(Backdoors!AI12+IF(CV64&gt;=0.45,VLOOKUP(Calculator!E23,tbSkills!DH3:DI6,2,FALSE)+IF(AND(Calculator!B8=TRUE,Backdoors!BI17=TRUE),VLOOKUP(Calculator!E23,tbSkills!DH3:DJ6,3,FALSE),0),0)))/100)),1))*IF(VLOOKUP(A64,tbMoveset!A2:K112,11,FALSE)=TRUE,Backdoors!AC5,1))*CW64,0),"")</f>
        <v>0</v>
      </c>
      <c r="DA64" s="49">
        <f>VLOOKUP(A64,tbMoveset!A2:G112,7,FALSE)*IFERROR(IF(Backdoors!AI12&gt;=0,1+(IF(Calculator!E40&gt;0,VLOOKUP(Calculator!E40,tbSkills!AI3:AJ5,2,FALSE),Backdoors!AL4)*(IF((Backdoors!AI12+IF(CV64&gt;=0.45,VLOOKUP(Calculator!E23,tbSkills!DH3:DI6,2,FALSE)+IF(AND(Calculator!B8=TRUE,Backdoors!BI17=TRUE),VLOOKUP(Calculator!E23,tbSkills!DH3:DJ6,3,FALSE),0),0))&gt;=100,100,(Backdoors!AI12+IF(CV64&gt;=0.45,VLOOKUP(Calculator!E23,tbSkills!DH3:DI6,2,FALSE)+IF(AND(Calculator!B8=TRUE,Backdoors!BI17=TRUE),VLOOKUP(Calculator!E23,tbSkills!DH3:DJ6,3,FALSE),0),0)))/100)),1),1)</f>
        <v>0.6</v>
      </c>
      <c r="DB64" s="87">
        <f t="shared" si="8"/>
        <v>0</v>
      </c>
      <c r="DC64" s="86" t="str">
        <f>IFERROR(IF(VLOOKUP(A64,tbMoveset!A2:B112,2,FALSE)="Sever",Backdoors!AY18/100,IF(VLOOKUP(A64,tbMoveset!A2:B112,2,FALSE)="Blunt",Backdoors!AZ18/100,Backdoors!BA18/100)),"")</f>
        <v/>
      </c>
      <c r="DD64" s="49">
        <f>IFERROR(IF(VLOOKUP(tbMoveset!A64,tbMoveset!A2:H112,8,FALSE)="Other",IF(VLOOKUP(tbMoveset!A64,tbMoveset!A2:I112,9,FALSE)="Fire",Backdoors!BB18,IF(VLOOKUP(tbMoveset!A64,tbMoveset!A2:I112,9,FALSE)="Water",Backdoors!BC18,IF(VLOOKUP(tbMoveset!A64,tbMoveset!A2:I112,9,FALSE)="Thunder",Backdoors!BD18,IF(VLOOKUP(tbMoveset!A64,tbMoveset!A2:I112,9,FALSE)="Ice",Backdoors!BE18,IF(VLOOKUP(tbMoveset!A64,tbMoveset!A2:I112,9,FALSE)="Dragon",Backdoors!BF18,Backdoors!BG18)))))/100,Backdoors!BG18/100),"")</f>
        <v>0</v>
      </c>
      <c r="DE64" s="49">
        <f>IFERROR(IF(VLOOKUP(A64,tbMoveset!A2:J112,10,FALSE)=TRUE,IF((Backdoors!AI12+IF(DC64&gt;=0.45,VLOOKUP(Calculator!E23,tbSkills!DH3:DI6,2,FALSE)+IF(AND(Calculator!B8=TRUE,Backdoors!BI18=TRUE),VLOOKUP(Calculator!E23,tbSkills!DH3:DJ6,3,FALSE),0),0))&gt;=0,1+(Backdoors!AL2*(IF((Backdoors!AI12+IF(DC64&gt;=0.45,VLOOKUP(Calculator!E23,tbSkills!DH3:DI6,2,FALSE)+IF(AND(Calculator!B8=TRUE,Backdoors!BI18=TRUE),VLOOKUP(Calculator!E23,tbSkills!DH3:DJ6,3,FALSE),0),0))&gt;=100,100,(Backdoors!AI12+IF(DC64&gt;=0.45,VLOOKUP(Calculator!E23,tbSkills!DH3:DI6,2,FALSE)+IF(AND(Calculator!B8=TRUE,Backdoors!BI18=TRUE),VLOOKUP(Calculator!E23,tbSkills!DH3:DJ6,3,FALSE),0),0)))/100)),(1-(0.25*((-Backdoors!AI12-IF(DC64&gt;=0.45,VLOOKUP(Calculator!E23,tbSkills!DH3:DI6,2,FALSE)+IF(AND(Calculator!B8=TRUE,Backdoors!BI18=TRUE),VLOOKUP(Calculator!E23,tbSkills!DH3:DJ6,3,FALSE),0),0))/100)))),1),"")</f>
        <v>1</v>
      </c>
      <c r="DF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C64)*DE64)*(VLOOKUP(A64,tbMoveset!A2:C112,3,FALSE)/100)*IF(VLOOKUP(A64,tbMoveset!A2:B112,2,FALSE)="Projectile",Backdoors!N10,Backdoors!N9),0),"")</f>
        <v/>
      </c>
      <c r="DG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C64&gt;=0.45,VLOOKUP(Calculator!E23,tbSkills!DH3:DI6,2,FALSE)+IF(AND(Calculator!B8=TRUE,Backdoors!BI18=TRUE),VLOOKUP(Calculator!E23,tbSkills!DH3:DJ6,3,FALSE),0),0))&gt;=100,100,(Backdoors!AI12+IF(DC64&gt;=0.45,VLOOKUP(Calculator!E23,tbSkills!DH3:DI6,2,FALSE)+IF(AND(Calculator!B8=TRUE,Backdoors!BI18=TRUE),VLOOKUP(Calculator!E23,tbSkills!DH3:DJ6,3,FALSE),0),0)))/100)),1))*IF(VLOOKUP(A64,tbMoveset!A2:K112,11,FALSE)=TRUE,Backdoors!AC5,1))*DD64,0),"")</f>
        <v>0</v>
      </c>
      <c r="DH64" s="49">
        <f>VLOOKUP(A64,tbMoveset!A2:G112,7,FALSE)*IFERROR(IF(Backdoors!AI12&gt;=0,1+(IF(Calculator!E40&gt;0,VLOOKUP(Calculator!E40,tbSkills!AI3:AJ5,2,FALSE),Backdoors!AL4)*(IF((Backdoors!AI12+IF(DC64&gt;=0.45,VLOOKUP(Calculator!E23,tbSkills!DH3:DI6,2,FALSE)+IF(AND(Calculator!B8=TRUE,Backdoors!BI18=TRUE),VLOOKUP(Calculator!E23,tbSkills!DH3:DJ6,3,FALSE),0),0))&gt;=100,100,(Backdoors!AI12+IF(DC64&gt;=0.45,VLOOKUP(Calculator!E23,tbSkills!DH3:DI6,2,FALSE)+IF(AND(Calculator!B8=TRUE,Backdoors!BI18=TRUE),VLOOKUP(Calculator!E23,tbSkills!DH3:DJ6,3,FALSE),0),0)))/100)),1),1)</f>
        <v>0.6</v>
      </c>
      <c r="DI64" s="87">
        <f t="shared" si="9"/>
        <v>0</v>
      </c>
      <c r="DJ64" s="86" t="str">
        <f>IFERROR(IF(VLOOKUP(A64,tbMoveset!A2:B112,2,FALSE)="Sever",Backdoors!AY19/100,IF(VLOOKUP(A64,tbMoveset!A2:B112,2,FALSE)="Blunt",Backdoors!AZ19/100,Backdoors!BA19/100)),"")</f>
        <v/>
      </c>
      <c r="DK64" s="49">
        <f>IFERROR(IF(VLOOKUP(tbMoveset!A64,tbMoveset!A2:H112,8,FALSE)="Other",IF(VLOOKUP(tbMoveset!A64,tbMoveset!A2:I112,9,FALSE)="Fire",Backdoors!BB19,IF(VLOOKUP(tbMoveset!A64,tbMoveset!A2:I112,9,FALSE)="Water",Backdoors!BC19,IF(VLOOKUP(tbMoveset!A64,tbMoveset!A2:I112,9,FALSE)="Thunder",Backdoors!BD19,IF(VLOOKUP(tbMoveset!A64,tbMoveset!A2:I112,9,FALSE)="Ice",Backdoors!BE19,IF(VLOOKUP(tbMoveset!A64,tbMoveset!A2:I112,9,FALSE)="Dragon",Backdoors!BF19,Backdoors!BG19)))))/100,Backdoors!BG19/100),"")</f>
        <v>0</v>
      </c>
      <c r="DL64" s="49">
        <f>IFERROR(IF(VLOOKUP(A64,tbMoveset!A2:J112,10,FALSE)=TRUE,IF((Backdoors!AI12+IF(DJ64&gt;=0.45,VLOOKUP(Calculator!E23,tbSkills!DH3:DI6,2,FALSE)+IF(AND(Calculator!B8=TRUE,Backdoors!BI19=TRUE),VLOOKUP(Calculator!E23,tbSkills!DH3:DJ6,3,FALSE),0),0))&gt;=0,1+(Backdoors!AL2*(IF((Backdoors!AI12+IF(DJ64&gt;=0.45,VLOOKUP(Calculator!E23,tbSkills!DH3:DI6,2,FALSE)+IF(AND(Calculator!B8=TRUE,Backdoors!BI19=TRUE),VLOOKUP(Calculator!E23,tbSkills!DH3:DJ6,3,FALSE),0),0))&gt;=100,100,(Backdoors!AI12+IF(DJ64&gt;=0.45,VLOOKUP(Calculator!E23,tbSkills!DH3:DI6,2,FALSE)+IF(AND(Calculator!B8=TRUE,Backdoors!BI19=TRUE),VLOOKUP(Calculator!E23,tbSkills!DH3:DJ6,3,FALSE),0),0)))/100)),(1-(0.25*((-Backdoors!AI12-IF(DJ64&gt;=0.45,VLOOKUP(Calculator!E23,tbSkills!DH3:DI6,2,FALSE)+IF(AND(Calculator!B8=TRUE,Backdoors!BI19=TRUE),VLOOKUP(Calculator!E23,tbSkills!DH3:DJ6,3,FALSE),0),0))/100)))),1),"")</f>
        <v>1</v>
      </c>
      <c r="DM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J64)*DL64)*(VLOOKUP(A64,tbMoveset!A2:C112,3,FALSE)/100)*IF(VLOOKUP(A64,tbMoveset!A2:B112,2,FALSE)="Projectile",Backdoors!N10,Backdoors!N9),0),"")</f>
        <v/>
      </c>
      <c r="DN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J64&gt;=0.45,VLOOKUP(Calculator!E23,tbSkills!DH3:DI6,2,FALSE)+IF(AND(Calculator!B8=TRUE,Backdoors!BI19=TRUE),VLOOKUP(Calculator!E23,tbSkills!DH3:DJ6,3,FALSE),0),0))&gt;=100,100,(Backdoors!AI12+IF(DJ64&gt;=0.45,VLOOKUP(Calculator!E23,tbSkills!DH3:DI6,2,FALSE)+IF(AND(Calculator!B8=TRUE,Backdoors!BI19=TRUE),VLOOKUP(Calculator!E23,tbSkills!DH3:DJ6,3,FALSE),0),0)))/100)),1))*IF(VLOOKUP(A64,tbMoveset!A2:K112,11,FALSE)=TRUE,Backdoors!AC5,1))*DK64,0),"")</f>
        <v>0</v>
      </c>
      <c r="DO64" s="49">
        <f>VLOOKUP(A64,tbMoveset!A2:G112,7,FALSE)*IFERROR(IF(Backdoors!AI12&gt;=0,1+(IF(Calculator!E40&gt;0,VLOOKUP(Calculator!E40,tbSkills!AI3:AJ5,2,FALSE),Backdoors!AL4)*(IF((Backdoors!AI12+IF(DJ64&gt;=0.45,VLOOKUP(Calculator!E23,tbSkills!DH3:DI6,2,FALSE)+IF(AND(Calculator!B8=TRUE,Backdoors!BI19=TRUE),VLOOKUP(Calculator!E23,tbSkills!DH3:DJ6,3,FALSE),0),0))&gt;=100,100,(Backdoors!AI12+IF(DJ64&gt;=0.45,VLOOKUP(Calculator!E23,tbSkills!DH3:DI6,2,FALSE)+IF(AND(Calculator!B8=TRUE,Backdoors!BI19=TRUE),VLOOKUP(Calculator!E23,tbSkills!DH3:DJ6,3,FALSE),0),0)))/100)),1),1)</f>
        <v>0.6</v>
      </c>
      <c r="DP64" s="87">
        <f t="shared" si="41"/>
        <v>0</v>
      </c>
      <c r="DQ64" s="86" t="str">
        <f>IFERROR(IF(VLOOKUP(A64,tbMoveset!A2:B112,2,FALSE)="Sever",Backdoors!AY20/100,IF(VLOOKUP(A64,tbMoveset!A2:B112,2,FALSE)="Blunt",Backdoors!AZ20/100,Backdoors!BA20/100)),"")</f>
        <v/>
      </c>
      <c r="DR64" s="49">
        <f>IFERROR(IF(VLOOKUP(tbMoveset!A64,tbMoveset!A2:H112,8,FALSE)="Other",IF(VLOOKUP(tbMoveset!A64,tbMoveset!A2:I112,9,FALSE)="Fire",Backdoors!BB20,IF(VLOOKUP(tbMoveset!A64,tbMoveset!A2:I112,9,FALSE)="Water",Backdoors!BC20,IF(VLOOKUP(tbMoveset!A64,tbMoveset!A2:I112,9,FALSE)="Thunder",Backdoors!BD20,IF(VLOOKUP(tbMoveset!A64,tbMoveset!A2:I112,9,FALSE)="Ice",Backdoors!BE20,IF(VLOOKUP(tbMoveset!A64,tbMoveset!A2:I112,9,FALSE)="Dragon",Backdoors!BF20,Backdoors!BG20)))))/100,Backdoors!BG20/100),"")</f>
        <v>0</v>
      </c>
      <c r="DS64" s="49">
        <f>IFERROR(IF(VLOOKUP(A64,tbMoveset!A2:J112,10,FALSE)=TRUE,IF((Backdoors!AI12+IF(DQ64&gt;=0.45,VLOOKUP(Calculator!E23,tbSkills!DH3:DI6,2,FALSE)+IF(AND(Calculator!B8=TRUE,Backdoors!BI20=TRUE),VLOOKUP(Calculator!E23,tbSkills!DH3:DJ6,3,FALSE),0),0))&gt;=0,1+(Backdoors!AL2*(IF((Backdoors!AI12+IF(DQ64&gt;=0.45,VLOOKUP(Calculator!E23,tbSkills!DH3:DI6,2,FALSE)+IF(AND(Calculator!B8=TRUE,Backdoors!BI20=TRUE),VLOOKUP(Calculator!E23,tbSkills!DH3:DJ6,3,FALSE),0),0))&gt;=100,100,(Backdoors!AI12+IF(DQ64&gt;=0.45,VLOOKUP(Calculator!E23,tbSkills!DH3:DI6,2,FALSE)+IF(AND(Calculator!B8=TRUE,Backdoors!BI20=TRUE),VLOOKUP(Calculator!E23,tbSkills!DH3:DJ6,3,FALSE),0),0)))/100)),(1-(0.25*((-Backdoors!AI12-IF(DQ64&gt;=0.45,VLOOKUP(Calculator!E23,tbSkills!DH3:DI6,2,FALSE)+IF(AND(Calculator!B8=TRUE,Backdoors!BI20=TRUE),VLOOKUP(Calculator!E23,tbSkills!DH3:DJ6,3,FALSE),0),0))/100)))),1),"")</f>
        <v>1</v>
      </c>
      <c r="DT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Q64)*DS64)*(VLOOKUP(A64,tbMoveset!A2:C112,3,FALSE)/100)*IF(VLOOKUP(A64,tbMoveset!A2:B112,2,FALSE)="Projectile",Backdoors!N10,Backdoors!N9),0),"")</f>
        <v/>
      </c>
      <c r="DU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Q64&gt;=0.45,VLOOKUP(Calculator!E23,tbSkills!DH3:DI6,2,FALSE)+IF(AND(Calculator!B8=TRUE,Backdoors!BI20=TRUE),VLOOKUP(Calculator!E23,tbSkills!DH3:DJ6,3,FALSE),0),0))&gt;=100,100,(Backdoors!AI12+IF(DQ64&gt;=0.45,VLOOKUP(Calculator!E23,tbSkills!DH3:DI6,2,FALSE)+IF(AND(Calculator!B8=TRUE,Backdoors!BI20=TRUE),VLOOKUP(Calculator!E23,tbSkills!DH3:DJ6,3,FALSE),0),0)))/100)),1))*IF(VLOOKUP(A64,tbMoveset!A2:K112,11,FALSE)=TRUE,Backdoors!AC5,1))*DR64,0),"")</f>
        <v>0</v>
      </c>
      <c r="DV64" s="49">
        <f>VLOOKUP(A64,tbMoveset!A2:G112,7,FALSE)*IFERROR(IF(Backdoors!AI12&gt;=0,1+(IF(Calculator!E40&gt;0,VLOOKUP(Calculator!E40,tbSkills!AI3:AJ5,2,FALSE),Backdoors!AL4)*(IF((Backdoors!AI12+IF(DQ64&gt;=0.45,VLOOKUP(Calculator!E23,tbSkills!DH3:DI6,2,FALSE)+IF(AND(Calculator!B8=TRUE,Backdoors!BI20=TRUE),VLOOKUP(Calculator!E23,tbSkills!DH3:DJ6,3,FALSE),0),0))&gt;=100,100,(Backdoors!AI12+IF(DQ64&gt;=0.45,VLOOKUP(Calculator!E23,tbSkills!DH3:DI6,2,FALSE)+IF(AND(Calculator!B8=TRUE,Backdoors!BI20=TRUE),VLOOKUP(Calculator!E23,tbSkills!DH3:DJ6,3,FALSE),0),0)))/100)),1),1)</f>
        <v>0.6</v>
      </c>
      <c r="DW64" s="87">
        <f t="shared" si="10"/>
        <v>0</v>
      </c>
      <c r="DX64" s="86" t="str">
        <f>IFERROR(IF(VLOOKUP(A64,tbMoveset!A2:B112,2,FALSE)="Sever",Backdoors!AY21/100,IF(VLOOKUP(A64,tbMoveset!A2:B112,2,FALSE)="Blunt",Backdoors!AZ21/100,Backdoors!BA21/100)),"")</f>
        <v/>
      </c>
      <c r="DY64" s="49">
        <f>IFERROR(IF(VLOOKUP(tbMoveset!A64,tbMoveset!A2:H112,8,FALSE)="Other",IF(VLOOKUP(tbMoveset!A64,tbMoveset!A2:I112,9,FALSE)="Fire",Backdoors!BB21,IF(VLOOKUP(tbMoveset!A64,tbMoveset!A2:I112,9,FALSE)="Water",Backdoors!BC21,IF(VLOOKUP(tbMoveset!A64,tbMoveset!A2:I112,9,FALSE)="Thunder",Backdoors!BD21,IF(VLOOKUP(tbMoveset!A64,tbMoveset!A2:I112,9,FALSE)="Ice",Backdoors!BE21,IF(VLOOKUP(tbMoveset!A64,tbMoveset!A2:I112,9,FALSE)="Dragon",Backdoors!BF21,Backdoors!BG21)))))/100,Backdoors!BG21/100),"")</f>
        <v>0</v>
      </c>
      <c r="DZ64" s="49">
        <f>IFERROR(IF(VLOOKUP(A64,tbMoveset!A2:J112,10,FALSE)=TRUE,IF((Backdoors!AI12+IF(DX64&gt;=0.45,VLOOKUP(Calculator!E23,tbSkills!DH3:DI6,2,FALSE)+IF(AND(Calculator!B8=TRUE,Backdoors!BI21=TRUE),VLOOKUP(Calculator!E23,tbSkills!DH3:DJ6,3,FALSE),0),0))&gt;=0,1+(Backdoors!AL2*(IF((Backdoors!AI12+IF(DX64&gt;=0.45,VLOOKUP(Calculator!E23,tbSkills!DH3:DI6,2,FALSE)+IF(AND(Calculator!B8=TRUE,Backdoors!BI21=TRUE),VLOOKUP(Calculator!E23,tbSkills!DH3:DJ6,3,FALSE),0),0))&gt;=100,100,(Backdoors!AI12+IF(DX64&gt;=0.45,VLOOKUP(Calculator!E23,tbSkills!DH3:DI6,2,FALSE)+IF(AND(Calculator!B8=TRUE,Backdoors!BI21=TRUE),VLOOKUP(Calculator!E23,tbSkills!DH3:DJ6,3,FALSE),0),0)))/100)),(1-(0.25*((-Backdoors!AI12-IF(DX64&gt;=0.45,VLOOKUP(Calculator!E23,tbSkills!DH3:DI6,2,FALSE)+IF(AND(Calculator!B8=TRUE,Backdoors!BI21=TRUE),VLOOKUP(Calculator!E23,tbSkills!DH3:DJ6,3,FALSE),0),0))/100)))),1),"")</f>
        <v>1</v>
      </c>
      <c r="EA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X64)*DZ64)*(VLOOKUP(A64,tbMoveset!A2:C112,3,FALSE)/100)*IF(VLOOKUP(A64,tbMoveset!A2:B112,2,FALSE)="Projectile",Backdoors!N10,Backdoors!N9),0),"")</f>
        <v/>
      </c>
      <c r="EB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X64&gt;=0.45,VLOOKUP(Calculator!E23,tbSkills!DH3:DI6,2,FALSE)+IF(AND(Calculator!B8=TRUE,Backdoors!BI21=TRUE),VLOOKUP(Calculator!E23,tbSkills!DH3:DJ6,3,FALSE),0),0))&gt;=100,100,(Backdoors!AI12+IF(DX64&gt;=0.45,VLOOKUP(Calculator!E23,tbSkills!DH3:DI6,2,FALSE)+IF(AND(Calculator!B8=TRUE,Backdoors!BI21=TRUE),VLOOKUP(Calculator!E23,tbSkills!DH3:DJ6,3,FALSE),0),0)))/100)),1))*IF(VLOOKUP(A64,tbMoveset!A2:K112,11,FALSE)=TRUE,Backdoors!AC5,1))*DY64,0),"")</f>
        <v>0</v>
      </c>
      <c r="EC64" s="49">
        <f>VLOOKUP(A64,tbMoveset!A2:G112,7,FALSE)*IFERROR(IF(Backdoors!AI12&gt;=0,1+(IF(Calculator!E40&gt;0,VLOOKUP(Calculator!E40,tbSkills!AI3:AJ5,2,FALSE),Backdoors!AL4)*(IF((Backdoors!AI12+IF(DX64&gt;=0.45,VLOOKUP(Calculator!E23,tbSkills!DH3:DI6,2,FALSE)+IF(AND(Calculator!B8=TRUE,Backdoors!BI21=TRUE),VLOOKUP(Calculator!E23,tbSkills!DH3:DJ6,3,FALSE),0),0))&gt;=100,100,(Backdoors!AI12+IF(DX64&gt;=0.45,VLOOKUP(Calculator!E23,tbSkills!DH3:DI6,2,FALSE)+IF(AND(Calculator!B8=TRUE,Backdoors!BI21=TRUE),VLOOKUP(Calculator!E23,tbSkills!DH3:DJ6,3,FALSE),0),0)))/100)),1),1)</f>
        <v>0.6</v>
      </c>
      <c r="ED64" s="87">
        <f t="shared" si="11"/>
        <v>0</v>
      </c>
      <c r="EE64" s="86" t="str">
        <f>IFERROR(IF(VLOOKUP(A64,tbMoveset!A2:B112,2,FALSE)="Sever",Backdoors!AY22/100,IF(VLOOKUP(A64,tbMoveset!A2:B112,2,FALSE)="Blunt",Backdoors!AZ22/100,Backdoors!BA22/100)),"")</f>
        <v/>
      </c>
      <c r="EF64" s="49">
        <f>IFERROR(IF(VLOOKUP(tbMoveset!A64,tbMoveset!A2:H112,8,FALSE)="Other",IF(VLOOKUP(tbMoveset!A64,tbMoveset!A2:I112,9,FALSE)="Fire",Backdoors!BB22,IF(VLOOKUP(tbMoveset!A64,tbMoveset!A2:I112,9,FALSE)="Water",Backdoors!BC22,IF(VLOOKUP(tbMoveset!A64,tbMoveset!A2:I112,9,FALSE)="Thunder",Backdoors!BD22,IF(VLOOKUP(tbMoveset!A64,tbMoveset!A2:I112,9,FALSE)="Ice",Backdoors!BE22,IF(VLOOKUP(tbMoveset!A64,tbMoveset!A2:I112,9,FALSE)="Dragon",Backdoors!BF22,Backdoors!BG22)))))/100,Backdoors!BG22/100),"")</f>
        <v>0</v>
      </c>
      <c r="EG64" s="49">
        <f>IFERROR(IF(VLOOKUP(A64,tbMoveset!A2:J112,10,FALSE)=TRUE,IF((Backdoors!AI12+IF(EE64&gt;=0.45,VLOOKUP(Calculator!E23,tbSkills!DH3:DI6,2,FALSE)+IF(AND(Calculator!B8=TRUE,Backdoors!BI22=TRUE),VLOOKUP(Calculator!E23,tbSkills!DH3:DJ6,3,FALSE),0),0))&gt;=0,1+(Backdoors!AL2*(IF((Backdoors!AI12+IF(EE64&gt;=0.45,VLOOKUP(Calculator!E23,tbSkills!DH3:DI6,2,FALSE)+IF(AND(Calculator!B8=TRUE,Backdoors!BI22=TRUE),VLOOKUP(Calculator!E23,tbSkills!DH3:DJ6,3,FALSE),0),0))&gt;=100,100,(Backdoors!AI12+IF(EE64&gt;=0.45,VLOOKUP(Calculator!E23,tbSkills!DH3:DI6,2,FALSE)+IF(AND(Calculator!B8=TRUE,Backdoors!BI22=TRUE),VLOOKUP(Calculator!E23,tbSkills!DH3:DJ6,3,FALSE),0),0)))/100)),(1-(0.25*((-Backdoors!AI12-IF(EE64&gt;=0.45,VLOOKUP(Calculator!E23,tbSkills!DH3:DI6,2,FALSE)+IF(AND(Calculator!B8=TRUE,Backdoors!BI22=TRUE),VLOOKUP(Calculator!E23,tbSkills!DH3:DJ6,3,FALSE),0),0))/100)))),1),"")</f>
        <v>1</v>
      </c>
      <c r="EH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E64)*EG64)*(VLOOKUP(A64,tbMoveset!A2:C112,3,FALSE)/100)*IF(VLOOKUP(A64,tbMoveset!A2:B112,2,FALSE)="Projectile",Backdoors!N10,Backdoors!N9),0),"")</f>
        <v/>
      </c>
      <c r="EI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E64&gt;=0.45,VLOOKUP(Calculator!E23,tbSkills!DH3:DI6,2,FALSE)+IF(AND(Calculator!B8=TRUE,Backdoors!BI22=TRUE),VLOOKUP(Calculator!E23,tbSkills!DH3:DJ6,3,FALSE),0),0))&gt;=100,100,(Backdoors!AI12+IF(EE64&gt;=0.45,VLOOKUP(Calculator!E23,tbSkills!DH3:DI6,2,FALSE)+IF(AND(Calculator!B8=TRUE,Backdoors!BI22=TRUE),VLOOKUP(Calculator!E23,tbSkills!DH3:DJ6,3,FALSE),0),0)))/100)),1))*IF(VLOOKUP(A64,tbMoveset!A2:K112,11,FALSE)=TRUE,Backdoors!AC5,1))*EF64,0),"")</f>
        <v>0</v>
      </c>
      <c r="EJ64" s="49">
        <f>VLOOKUP(A64,tbMoveset!A2:G112,7,FALSE)*IFERROR(IF(Backdoors!AI12&gt;=0,1+(IF(Calculator!E40&gt;0,VLOOKUP(Calculator!E40,tbSkills!AI3:AJ5,2,FALSE),Backdoors!AL4)*(IF((Backdoors!AI12+IF(EE64&gt;=0.45,VLOOKUP(Calculator!E23,tbSkills!DH3:DI6,2,FALSE)+IF(AND(Calculator!B8=TRUE,Backdoors!BI22=TRUE),VLOOKUP(Calculator!E23,tbSkills!DH3:DJ6,3,FALSE),0),0))&gt;=100,100,(Backdoors!AI12+IF(EE64&gt;=0.45,VLOOKUP(Calculator!E23,tbSkills!DH3:DI6,2,FALSE)+IF(AND(Calculator!B8=TRUE,Backdoors!BI22=TRUE),VLOOKUP(Calculator!E23,tbSkills!DH3:DJ6,3,FALSE),0),0)))/100)),1),1)</f>
        <v>0.6</v>
      </c>
      <c r="EK64" s="87">
        <f t="shared" si="12"/>
        <v>0</v>
      </c>
      <c r="EL64" s="86" t="str">
        <f>IFERROR(IF(VLOOKUP(A64,tbMoveset!A2:B112,2,FALSE)="Sever",Backdoors!AY23/100,IF(VLOOKUP(A64,tbMoveset!A2:B112,2,FALSE)="Blunt",Backdoors!AZ23/100,Backdoors!BA23/100)),"")</f>
        <v/>
      </c>
      <c r="EM64" s="49">
        <f>IFERROR(IF(VLOOKUP(tbMoveset!A64,tbMoveset!A2:H112,8,FALSE)="Other",IF(VLOOKUP(tbMoveset!A64,tbMoveset!A2:I112,9,FALSE)="Fire",Backdoors!BB23,IF(VLOOKUP(tbMoveset!A64,tbMoveset!A2:I112,9,FALSE)="Water",Backdoors!BC23,IF(VLOOKUP(tbMoveset!A64,tbMoveset!A2:I112,9,FALSE)="Thunder",Backdoors!BD23,IF(VLOOKUP(tbMoveset!A64,tbMoveset!A2:I112,9,FALSE)="Ice",Backdoors!BE23,IF(VLOOKUP(tbMoveset!A64,tbMoveset!A2:I112,9,FALSE)="Dragon",Backdoors!BF23,Backdoors!BG23)))))/100,Backdoors!BG23/100),"")</f>
        <v>0</v>
      </c>
      <c r="EN64" s="49">
        <f>IFERROR(IF(VLOOKUP(A64,tbMoveset!A2:J112,10,FALSE)=TRUE,IF((Backdoors!AI12+IF(EL64&gt;=0.45,VLOOKUP(Calculator!E23,tbSkills!DH3:DI6,2,FALSE)+IF(AND(Calculator!B8=TRUE,Backdoors!BI23=TRUE),VLOOKUP(Calculator!E23,tbSkills!DH3:DJ6,3,FALSE),0),0))&gt;=0,1+(Backdoors!AL2*(IF((Backdoors!AI12+IF(EL64&gt;=0.45,VLOOKUP(Calculator!E23,tbSkills!DH3:DI6,2,FALSE)+IF(AND(Calculator!B8=TRUE,Backdoors!BI23=TRUE),VLOOKUP(Calculator!E23,tbSkills!DH3:DJ6,3,FALSE),0),0))&gt;=100,100,(Backdoors!AI12+IF(EL64&gt;=0.45,VLOOKUP(Calculator!E23,tbSkills!DH3:DI6,2,FALSE)+IF(AND(Calculator!B8=TRUE,Backdoors!BI23=TRUE),VLOOKUP(Calculator!E23,tbSkills!DH3:DJ6,3,FALSE),0),0)))/100)),(1-(0.25*((-Backdoors!AI12-IF(EL64&gt;=0.45,VLOOKUP(Calculator!E23,tbSkills!DH3:DI6,2,FALSE)+IF(AND(Calculator!B8=TRUE,Backdoors!BI23=TRUE),VLOOKUP(Calculator!E23,tbSkills!DH3:DJ6,3,FALSE),0),0))/100)))),1),"")</f>
        <v>1</v>
      </c>
      <c r="EO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L64)*EN64)*(VLOOKUP(A64,tbMoveset!A2:C112,3,FALSE)/100)*IF(VLOOKUP(A64,tbMoveset!A2:B112,2,FALSE)="Projectile",Backdoors!N10,Backdoors!N9),0),"")</f>
        <v/>
      </c>
      <c r="EP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L64&gt;=0.45,VLOOKUP(Calculator!E23,tbSkills!DH3:DI6,2,FALSE)+IF(AND(Calculator!B8=TRUE,Backdoors!BI23=TRUE),VLOOKUP(Calculator!E23,tbSkills!DH3:DJ6,3,FALSE),0),0))&gt;=100,100,(Backdoors!AI12+IF(EL64&gt;=0.45,VLOOKUP(Calculator!E23,tbSkills!DH3:DI6,2,FALSE)+IF(AND(Calculator!B8=TRUE,Backdoors!BI23=TRUE),VLOOKUP(Calculator!E23,tbSkills!DH3:DJ6,3,FALSE),0),0)))/100)),1))*IF(VLOOKUP(A64,tbMoveset!A2:K112,11,FALSE)=TRUE,Backdoors!AC5,1))*EM64,0),"")</f>
        <v>0</v>
      </c>
      <c r="EQ64" s="49">
        <f>VLOOKUP(A64,tbMoveset!A2:G112,7,FALSE)*IFERROR(IF(Backdoors!AI12&gt;=0,1+(IF(Calculator!E40&gt;0,VLOOKUP(Calculator!E40,tbSkills!AI3:AJ5,2,FALSE),Backdoors!AL4)*(IF((Backdoors!AI12+IF(EL64&gt;=0.45,VLOOKUP(Calculator!E23,tbSkills!DH3:DI6,2,FALSE)+IF(AND(Calculator!B8=TRUE,Backdoors!BI23=TRUE),VLOOKUP(Calculator!E23,tbSkills!DH3:DJ6,3,FALSE),0),0))&gt;=100,100,(Backdoors!AI12+IF(EL64&gt;=0.45,VLOOKUP(Calculator!E23,tbSkills!DH3:DI6,2,FALSE)+IF(AND(Calculator!B8=TRUE,Backdoors!BI23=TRUE),VLOOKUP(Calculator!E23,tbSkills!DH3:DJ6,3,FALSE),0),0)))/100)),1),1)</f>
        <v>0.6</v>
      </c>
      <c r="ER64" s="87">
        <f t="shared" si="13"/>
        <v>0</v>
      </c>
      <c r="ES64" s="86" t="str">
        <f>IFERROR(IF(VLOOKUP(A64,tbMoveset!A2:B112,2,FALSE)="Sever",Backdoors!AY24/100,IF(VLOOKUP(A64,tbMoveset!A2:B112,2,FALSE)="Blunt",Backdoors!AZ24/100,Backdoors!BA24/100)),"")</f>
        <v/>
      </c>
      <c r="ET64" s="49">
        <f>IFERROR(IF(VLOOKUP(tbMoveset!A64,tbMoveset!A2:H112,8,FALSE)="Other",IF(VLOOKUP(tbMoveset!A64,tbMoveset!A2:I112,9,FALSE)="Fire",Backdoors!BB24,IF(VLOOKUP(tbMoveset!A64,tbMoveset!A2:I112,9,FALSE)="Water",Backdoors!BC24,IF(VLOOKUP(tbMoveset!A64,tbMoveset!A2:I112,9,FALSE)="Thunder",Backdoors!BD24,IF(VLOOKUP(tbMoveset!A64,tbMoveset!A2:I112,9,FALSE)="Ice",Backdoors!BE24,IF(VLOOKUP(tbMoveset!A64,tbMoveset!A2:I112,9,FALSE)="Dragon",Backdoors!BF24,Backdoors!BG24)))))/100,Backdoors!BG24/100),"")</f>
        <v>0</v>
      </c>
      <c r="EU64" s="49">
        <f>IFERROR(IF(VLOOKUP(A64,tbMoveset!A2:J112,10,FALSE)=TRUE,IF((Backdoors!AI12+IF(ES64&gt;=0.45,VLOOKUP(Calculator!E23,tbSkills!DH3:DI6,2,FALSE)+IF(AND(Calculator!B8=TRUE,Backdoors!BI24=TRUE),VLOOKUP(Calculator!E23,tbSkills!DH3:DJ6,3,FALSE),0),0))&gt;=0,1+(Backdoors!AL2*(IF((Backdoors!AI12+IF(ES64&gt;=0.45,VLOOKUP(Calculator!E23,tbSkills!DH3:DI6,2,FALSE)+IF(AND(Calculator!B8=TRUE,Backdoors!BI24=TRUE),VLOOKUP(Calculator!E23,tbSkills!DH3:DJ6,3,FALSE),0),0))&gt;=100,100,(Backdoors!AI12+IF(ES64&gt;=0.45,VLOOKUP(Calculator!E23,tbSkills!DH3:DI6,2,FALSE)+IF(AND(Calculator!B8=TRUE,Backdoors!BI24=TRUE),VLOOKUP(Calculator!E23,tbSkills!DH3:DJ6,3,FALSE),0),0)))/100)),(1-(0.25*((-Backdoors!AI12-IF(ES64&gt;=0.45,VLOOKUP(Calculator!E23,tbSkills!DH3:DI6,2,FALSE)+IF(AND(Calculator!B8=TRUE,Backdoors!BI24=TRUE),VLOOKUP(Calculator!E23,tbSkills!DH3:DJ6,3,FALSE),0),0))/100)))),1),"")</f>
        <v>1</v>
      </c>
      <c r="EV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S64)*EU64)*(VLOOKUP(A64,tbMoveset!A2:C112,3,FALSE)/100)*IF(VLOOKUP(A64,tbMoveset!A2:B112,2,FALSE)="Projectile",Backdoors!N10,Backdoors!N9),0),"")</f>
        <v/>
      </c>
      <c r="EW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S64&gt;=0.45,VLOOKUP(Calculator!E23,tbSkills!DH3:DI6,2,FALSE)+IF(AND(Calculator!B8=TRUE,Backdoors!BI24=TRUE),VLOOKUP(Calculator!E23,tbSkills!DH3:DJ6,3,FALSE),0),0))&gt;=100,100,(Backdoors!AI12+IF(ES64&gt;=0.45,VLOOKUP(Calculator!E23,tbSkills!DH3:DI6,2,FALSE)+IF(AND(Calculator!B8=TRUE,Backdoors!BI24=TRUE),VLOOKUP(Calculator!E23,tbSkills!DH3:DJ6,3,FALSE),0),0)))/100)),1))*IF(VLOOKUP(A64,tbMoveset!A2:K112,11,FALSE)=TRUE,Backdoors!AC5,1))*ET64,0),"")</f>
        <v>0</v>
      </c>
      <c r="EX64" s="49">
        <f>VLOOKUP(A64,tbMoveset!A2:G112,7,FALSE)*IFERROR(IF(Backdoors!AI12&gt;=0,1+(IF(Calculator!E40&gt;0,VLOOKUP(Calculator!E40,tbSkills!AI3:AJ5,2,FALSE),Backdoors!AL4)*(IF((Backdoors!AI12+IF(ES64&gt;=0.45,VLOOKUP(Calculator!E23,tbSkills!DH3:DI6,2,FALSE)+IF(AND(Calculator!B8=TRUE,Backdoors!BI24=TRUE),VLOOKUP(Calculator!E23,tbSkills!DH3:DJ6,3,FALSE),0),0))&gt;=100,100,(Backdoors!AI12+IF(ES64&gt;=0.45,VLOOKUP(Calculator!E23,tbSkills!DH3:DI6,2,FALSE)+IF(AND(Calculator!B8=TRUE,Backdoors!BI24=TRUE),VLOOKUP(Calculator!E23,tbSkills!DH3:DJ6,3,FALSE),0),0)))/100)),1),1)</f>
        <v>0.6</v>
      </c>
      <c r="EY64" s="87">
        <f t="shared" si="14"/>
        <v>0</v>
      </c>
      <c r="EZ64" s="86" t="str">
        <f>IFERROR(IF(VLOOKUP(A64,tbMoveset!A2:B112,2,FALSE)="Sever",Backdoors!AY25/100,IF(VLOOKUP(A64,tbMoveset!A2:B112,2,FALSE)="Blunt",Backdoors!AZ25/100,Backdoors!BA25/100)),"")</f>
        <v/>
      </c>
      <c r="FA64" s="49">
        <f>IFERROR(IF(VLOOKUP(tbMoveset!A64,tbMoveset!A2:H112,8,FALSE)="Other",IF(VLOOKUP(tbMoveset!A64,tbMoveset!A2:I112,9,FALSE)="Fire",Backdoors!BB25,IF(VLOOKUP(tbMoveset!A64,tbMoveset!A2:I112,9,FALSE)="Water",Backdoors!BC25,IF(VLOOKUP(tbMoveset!A64,tbMoveset!A2:I112,9,FALSE)="Thunder",Backdoors!BD25,IF(VLOOKUP(tbMoveset!A64,tbMoveset!A2:I112,9,FALSE)="Ice",Backdoors!BE25,IF(VLOOKUP(tbMoveset!A64,tbMoveset!A2:I112,9,FALSE)="Dragon",Backdoors!BF25,Backdoors!BG25)))))/100,Backdoors!BG25/100),"")</f>
        <v>0</v>
      </c>
      <c r="FB64" s="49">
        <f>IFERROR(IF(VLOOKUP(A64,tbMoveset!A2:J112,10,FALSE)=TRUE,IF((Backdoors!AI12+IF(EZ64&gt;=0.45,VLOOKUP(Calculator!E23,tbSkills!DH3:DI6,2,FALSE)+IF(AND(Calculator!B8=TRUE,Backdoors!BI25=TRUE),VLOOKUP(Calculator!E23,tbSkills!DH3:DJ6,3,FALSE),0),0))&gt;=0,1+(Backdoors!AL2*(IF((Backdoors!AI12+IF(EZ64&gt;=0.45,VLOOKUP(Calculator!E23,tbSkills!DH3:DI6,2,FALSE)+IF(AND(Calculator!B8=TRUE,Backdoors!BI25=TRUE),VLOOKUP(Calculator!E23,tbSkills!DH3:DJ6,3,FALSE),0),0))&gt;=100,100,(Backdoors!AI12+IF(EZ64&gt;=0.45,VLOOKUP(Calculator!E23,tbSkills!DH3:DI6,2,FALSE)+IF(AND(Calculator!B8=TRUE,Backdoors!BI25=TRUE),VLOOKUP(Calculator!E23,tbSkills!DH3:DJ6,3,FALSE),0),0)))/100)),(1-(0.25*((-Backdoors!AI12-IF(EZ64&gt;=0.45,VLOOKUP(Calculator!E23,tbSkills!DH3:DI6,2,FALSE)+IF(AND(Calculator!B8=TRUE,Backdoors!BI25=TRUE),VLOOKUP(Calculator!E23,tbSkills!DH3:DJ6,3,FALSE),0),0))/100)))),1),"")</f>
        <v>1</v>
      </c>
      <c r="FC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Z64)*FB64)*(VLOOKUP(A64,tbMoveset!A2:C112,3,FALSE)/100)*IF(VLOOKUP(A64,tbMoveset!A2:B112,2,FALSE)="Projectile",Backdoors!N10,Backdoors!N9),0),"")</f>
        <v/>
      </c>
      <c r="FD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Z64&gt;=0.45,VLOOKUP(Calculator!E23,tbSkills!DH3:DI6,2,FALSE)+IF(AND(Calculator!B8=TRUE,Backdoors!BI25=TRUE),VLOOKUP(Calculator!E23,tbSkills!DH3:DJ6,3,FALSE),0),0))&gt;=100,100,(Backdoors!AI12+IF(EZ64&gt;=0.45,VLOOKUP(Calculator!E23,tbSkills!DH3:DI6,2,FALSE)+IF(AND(Calculator!B8=TRUE,Backdoors!BI25=TRUE),VLOOKUP(Calculator!E23,tbSkills!DH3:DJ6,3,FALSE),0),0)))/100)),1))*IF(VLOOKUP(A64,tbMoveset!A2:K112,11,FALSE)=TRUE,Backdoors!AC5,1))*FA64,0),"")</f>
        <v>0</v>
      </c>
      <c r="FE64" s="49">
        <f>VLOOKUP(A64,tbMoveset!A2:G112,7,FALSE)*IFERROR(IF(Backdoors!AI12&gt;=0,1+(IF(Calculator!E40&gt;0,VLOOKUP(Calculator!E40,tbSkills!AI3:AJ5,2,FALSE),Backdoors!AL4)*(IF((Backdoors!AI12+IF(EZ64&gt;=0.45,VLOOKUP(Calculator!E23,tbSkills!DH3:DI6,2,FALSE)+IF(AND(Calculator!B8=TRUE,Backdoors!BI25=TRUE),VLOOKUP(Calculator!E23,tbSkills!DH3:DJ6,3,FALSE),0),0))&gt;=100,100,(Backdoors!AI12+IF(EZ64&gt;=0.45,VLOOKUP(Calculator!E23,tbSkills!DH3:DI6,2,FALSE)+IF(AND(Calculator!B8=TRUE,Backdoors!BI25=TRUE),VLOOKUP(Calculator!E23,tbSkills!DH3:DJ6,3,FALSE),0),0)))/100)),1),1)</f>
        <v>0.6</v>
      </c>
      <c r="FF64" s="87">
        <f t="shared" si="15"/>
        <v>0</v>
      </c>
      <c r="FG64" s="86" t="str">
        <f>IFERROR(IF(VLOOKUP(A64,tbMoveset!A2:B112,2,FALSE)="Sever",Backdoors!AY26/100,IF(VLOOKUP(A64,tbMoveset!A2:B112,2,FALSE)="Blunt",Backdoors!AZ26/100,Backdoors!BA26/100)),"")</f>
        <v/>
      </c>
      <c r="FH64" s="49">
        <f>IFERROR(IF(VLOOKUP(tbMoveset!A64,tbMoveset!A2:H112,8,FALSE)="Other",IF(VLOOKUP(tbMoveset!A64,tbMoveset!A2:I112,9,FALSE)="Fire",Backdoors!BB26,IF(VLOOKUP(tbMoveset!A64,tbMoveset!A2:I112,9,FALSE)="Water",Backdoors!BC26,IF(VLOOKUP(tbMoveset!A64,tbMoveset!A2:I112,9,FALSE)="Thunder",Backdoors!BD26,IF(VLOOKUP(tbMoveset!A64,tbMoveset!A2:I112,9,FALSE)="Ice",Backdoors!BE26,IF(VLOOKUP(tbMoveset!A64,tbMoveset!A2:I112,9,FALSE)="Dragon",Backdoors!BF26,Backdoors!BG26)))))/100,Backdoors!BG26/100),"")</f>
        <v>0</v>
      </c>
      <c r="FI64" s="49">
        <f>IFERROR(IF(VLOOKUP(A64,tbMoveset!A2:J112,10,FALSE)=TRUE,IF((Backdoors!AI12+IF(FG64&gt;=0.45,VLOOKUP(Calculator!E23,tbSkills!DH3:DI6,2,FALSE)+IF(AND(Calculator!B8=TRUE,Backdoors!BI26=TRUE),VLOOKUP(Calculator!E23,tbSkills!DH3:DJ6,3,FALSE),0),0))&gt;=0,1+(Backdoors!AL2*(IF((Backdoors!AI12+IF(FG64&gt;=0.45,VLOOKUP(Calculator!E23,tbSkills!DH3:DI6,2,FALSE)+IF(AND(Calculator!B8=TRUE,Backdoors!BI26=TRUE),VLOOKUP(Calculator!E23,tbSkills!DH3:DJ6,3,FALSE),0),0))&gt;=100,100,(Backdoors!AI12+IF(FG64&gt;=0.45,VLOOKUP(Calculator!E23,tbSkills!DH3:DI6,2,FALSE)+IF(AND(Calculator!B8=TRUE,Backdoors!BI26=TRUE),VLOOKUP(Calculator!E23,tbSkills!DH3:DJ6,3,FALSE),0),0)))/100)),(1-(0.25*((-Backdoors!AI12-IF(FG64&gt;=0.45,VLOOKUP(Calculator!E23,tbSkills!DH3:DI6,2,FALSE)+IF(AND(Calculator!B8=TRUE,Backdoors!BI26=TRUE),VLOOKUP(Calculator!E23,tbSkills!DH3:DJ6,3,FALSE),0),0))/100)))),1),"")</f>
        <v>1</v>
      </c>
      <c r="FJ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FG64)*FI64)*(VLOOKUP(A64,tbMoveset!A2:C112,3,FALSE)/100)*IF(VLOOKUP(A64,tbMoveset!A2:B112,2,FALSE)="Projectile",Backdoors!N10,Backdoors!N9),0),"")</f>
        <v/>
      </c>
      <c r="FK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FG64&gt;=0.45,VLOOKUP(Calculator!E23,tbSkills!DH3:DI6,2,FALSE)+IF(AND(Calculator!B8=TRUE,Backdoors!BI26=TRUE),VLOOKUP(Calculator!E23,tbSkills!DH3:DJ6,3,FALSE),0),0))&gt;=100,100,(Backdoors!AI12+IF(FG64&gt;=0.45,VLOOKUP(Calculator!E23,tbSkills!DH3:DI6,2,FALSE)+IF(AND(Calculator!B8=TRUE,Backdoors!BI26=TRUE),VLOOKUP(Calculator!E23,tbSkills!DH3:DJ6,3,FALSE),0),0)))/100)),1))*IF(VLOOKUP(A64,tbMoveset!A2:K112,11,FALSE)=TRUE,Backdoors!AC5,1))*FH64,0),"")</f>
        <v>0</v>
      </c>
      <c r="FL64" s="49">
        <f>VLOOKUP(A64,tbMoveset!A2:G112,7,FALSE)*IFERROR(IF(Backdoors!AI12&gt;=0,1+(IF(Calculator!E40&gt;0,VLOOKUP(Calculator!E40,tbSkills!AI3:AJ5,2,FALSE),Backdoors!AL4)*(IF((Backdoors!AI12+IF(FG64&gt;=0.45,VLOOKUP(Calculator!E23,tbSkills!DH3:DI6,2,FALSE)+IF(AND(Calculator!B8=TRUE,Backdoors!BI26=TRUE),VLOOKUP(Calculator!E23,tbSkills!DH3:DJ6,3,FALSE),0),0))&gt;=100,100,(Backdoors!AI12+IF(FG64&gt;=0.45,VLOOKUP(Calculator!E23,tbSkills!DH3:DI6,2,FALSE)+IF(AND(Calculator!B8=TRUE,Backdoors!BI26=TRUE),VLOOKUP(Calculator!E23,tbSkills!DH3:DJ6,3,FALSE),0),0)))/100)),1),1)</f>
        <v>0.6</v>
      </c>
      <c r="FM64" s="87">
        <f t="shared" si="16"/>
        <v>0</v>
      </c>
      <c r="FN64" s="86" t="str">
        <f>IFERROR(IF(VLOOKUP(A64,tbMoveset!A2:B112,2,FALSE)="Sever",Backdoors!AY27/100,IF(VLOOKUP(A64,tbMoveset!A2:B112,2,FALSE)="Blunt",Backdoors!AZ27/100,Backdoors!BA27/100)),"")</f>
        <v/>
      </c>
      <c r="FO64" s="49">
        <f>IFERROR(IF(VLOOKUP(tbMoveset!A64,tbMoveset!A2:H112,8,FALSE)="Other",IF(VLOOKUP(tbMoveset!A64,tbMoveset!A2:I112,9,FALSE)="Fire",Backdoors!BB27,IF(VLOOKUP(tbMoveset!A64,tbMoveset!A2:I112,9,FALSE)="Water",Backdoors!BC27,IF(VLOOKUP(tbMoveset!A64,tbMoveset!A2:I112,9,FALSE)="Thunder",Backdoors!BD27,IF(VLOOKUP(tbMoveset!A64,tbMoveset!A2:I112,9,FALSE)="Ice",Backdoors!BE27,IF(VLOOKUP(tbMoveset!A64,tbMoveset!A2:I112,9,FALSE)="Dragon",Backdoors!BF27,Backdoors!BG27)))))/100,Backdoors!BG27/100),"")</f>
        <v>0</v>
      </c>
      <c r="FP64" s="49">
        <f>IFERROR(IF(VLOOKUP(A64,tbMoveset!A2:J112,10,FALSE)=TRUE,IF((Backdoors!AI12+IF(FN64&gt;=0.45,VLOOKUP(Calculator!E23,tbSkills!DH3:DI6,2,FALSE)+IF(AND(Calculator!B8=TRUE,Backdoors!BI27=TRUE),VLOOKUP(Calculator!E23,tbSkills!DH3:DJ6,3,FALSE),0),0))&gt;=0,1+(Backdoors!AL2*(IF((Backdoors!AI12+IF(FN64&gt;=0.45,VLOOKUP(Calculator!E23,tbSkills!DH3:DI6,2,FALSE)+IF(AND(Calculator!B8=TRUE,Backdoors!BI27=TRUE),VLOOKUP(Calculator!E23,tbSkills!DH3:DJ6,3,FALSE),0),0))&gt;=100,100,(Backdoors!AI12+IF(FN64&gt;=0.45,VLOOKUP(Calculator!E23,tbSkills!DH3:DI6,2,FALSE)+IF(AND(Calculator!B8=TRUE,Backdoors!BI27=TRUE),VLOOKUP(Calculator!E23,tbSkills!DH3:DJ6,3,FALSE),0),0)))/100)),(1-(0.25*((-Backdoors!AI12-IF(FN64&gt;=0.45,VLOOKUP(Calculator!E23,tbSkills!DH3:DI6,2,FALSE)+IF(AND(Calculator!B8=TRUE,Backdoors!BI27=TRUE),VLOOKUP(Calculator!E23,tbSkills!DH3:DJ6,3,FALSE),0),0))/100)))),1),"")</f>
        <v>1</v>
      </c>
      <c r="FQ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FN64)*FP64)*(VLOOKUP(A64,tbMoveset!A2:C112,3,FALSE)/100)*IF(VLOOKUP(A64,tbMoveset!A2:B112,2,FALSE)="Projectile",Backdoors!N10,Backdoors!N9),0),"")</f>
        <v/>
      </c>
      <c r="FR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FN64&gt;=0.45,VLOOKUP(Calculator!E23,tbSkills!DH3:DI6,2,FALSE)+IF(AND(Calculator!B8=TRUE,Backdoors!BI27=TRUE),VLOOKUP(Calculator!E23,tbSkills!DH3:DJ6,3,FALSE),0),0))&gt;=100,100,(Backdoors!AI12+IF(FN64&gt;=0.45,VLOOKUP(Calculator!E23,tbSkills!DH3:DI6,2,FALSE)+IF(AND(Calculator!B8=TRUE,Backdoors!BI27=TRUE),VLOOKUP(Calculator!E23,tbSkills!DH3:DJ6,3,FALSE),0),0)))/100)),1))*IF(VLOOKUP(A64,tbMoveset!A2:K112,11,FALSE)=TRUE,Backdoors!AC5,1))*FO64,0),"")</f>
        <v>0</v>
      </c>
      <c r="FS64" s="49">
        <f>VLOOKUP(A64,tbMoveset!A2:G112,7,FALSE)*IFERROR(IF(Backdoors!AI12&gt;=0,1+(IF(Calculator!E40&gt;0,VLOOKUP(Calculator!E40,tbSkills!AI3:AJ5,2,FALSE),Backdoors!AL4)*(IF((Backdoors!AI12+IF(FN64&gt;=0.45,VLOOKUP(Calculator!E23,tbSkills!DH3:DI6,2,FALSE)+IF(AND(Calculator!B8=TRUE,Backdoors!BI27=TRUE),VLOOKUP(Calculator!E23,tbSkills!DH3:DJ6,3,FALSE),0),0))&gt;=100,100,(Backdoors!AI12+IF(FN64&gt;=0.45,VLOOKUP(Calculator!E23,tbSkills!DH3:DI6,2,FALSE)+IF(AND(Calculator!B8=TRUE,Backdoors!BI27=TRUE),VLOOKUP(Calculator!E23,tbSkills!DH3:DJ6,3,FALSE),0),0)))/100)),1),1)</f>
        <v>0.6</v>
      </c>
      <c r="FT64" s="87">
        <f t="shared" si="17"/>
        <v>0</v>
      </c>
      <c r="FU64" s="86" t="str">
        <f>IFERROR(IF(VLOOKUP(A64,tbMoveset!A2:B112,2,FALSE)="Sever",Backdoors!AY28/100,IF(VLOOKUP(A64,tbMoveset!A2:B112,2,FALSE)="Blunt",Backdoors!AZ28/100,Backdoors!BA28/100)),"")</f>
        <v/>
      </c>
      <c r="FV64" s="49">
        <f>IFERROR(IF(VLOOKUP(tbMoveset!A64,tbMoveset!A2:H112,8,FALSE)="Other",IF(VLOOKUP(tbMoveset!A64,tbMoveset!A2:I112,9,FALSE)="Fire",Backdoors!BB28,IF(VLOOKUP(tbMoveset!A64,tbMoveset!A2:I112,9,FALSE)="Water",Backdoors!BC28,IF(VLOOKUP(tbMoveset!A64,tbMoveset!A2:I112,9,FALSE)="Thunder",Backdoors!BD28,IF(VLOOKUP(tbMoveset!A64,tbMoveset!A2:I112,9,FALSE)="Ice",Backdoors!BE28,IF(VLOOKUP(tbMoveset!A64,tbMoveset!A2:I112,9,FALSE)="Dragon",Backdoors!BF28,Backdoors!BG28)))))/100,Backdoors!BG28/100),"")</f>
        <v>0</v>
      </c>
      <c r="FW64" s="49">
        <f>IFERROR(IF(VLOOKUP(A64,tbMoveset!A2:J112,10,FALSE)=TRUE,IF((Backdoors!AI12+IF(FU64&gt;=0.45,VLOOKUP(Calculator!E23,tbSkills!DH3:DI6,2,FALSE)+IF(AND(Calculator!B8=TRUE,Backdoors!BI28=TRUE),VLOOKUP(Calculator!E23,tbSkills!DH3:DJ6,3,FALSE),0),0))&gt;=0,1+(Backdoors!AL2*(IF((Backdoors!AI12+IF(FU64&gt;=0.45,VLOOKUP(Calculator!E23,tbSkills!DH3:DI6,2,FALSE)+IF(AND(Calculator!B8=TRUE,Backdoors!BI28=TRUE),VLOOKUP(Calculator!E23,tbSkills!DH3:DJ6,3,FALSE),0),0))&gt;=100,100,(Backdoors!AI12+IF(FU64&gt;=0.45,VLOOKUP(Calculator!E23,tbSkills!DH3:DI6,2,FALSE)+IF(AND(Calculator!B8=TRUE,Backdoors!BI28=TRUE),VLOOKUP(Calculator!E23,tbSkills!DH3:DJ6,3,FALSE),0),0)))/100)),(1-(0.25*((-Backdoors!AI12-IF(FU64&gt;=0.45,VLOOKUP(Calculator!E23,tbSkills!DH3:DI6,2,FALSE)+IF(AND(Calculator!B8=TRUE,Backdoors!BI28=TRUE),VLOOKUP(Calculator!E23,tbSkills!DH3:DJ6,3,FALSE),0),0))/100)))),1),"")</f>
        <v>1</v>
      </c>
      <c r="FX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FU64)*FW64)*(VLOOKUP(A64,tbMoveset!A2:C112,3,FALSE)/100)*IF(VLOOKUP(A64,tbMoveset!A2:B112,2,FALSE)="Projectile",Backdoors!N10,Backdoors!N9),0),"")</f>
        <v/>
      </c>
      <c r="FY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FU64&gt;=0.45,VLOOKUP(Calculator!E23,tbSkills!DH3:DI6,2,FALSE)+IF(AND(Calculator!B8=TRUE,Backdoors!BI28=TRUE),VLOOKUP(Calculator!E23,tbSkills!DH3:DJ6,3,FALSE),0),0))&gt;=100,100,(Backdoors!AI12+IF(FU64&gt;=0.45,VLOOKUP(Calculator!E23,tbSkills!DH3:DI6,2,FALSE)+IF(AND(Calculator!B8=TRUE,Backdoors!BI28=TRUE),VLOOKUP(Calculator!E23,tbSkills!DH3:DJ6,3,FALSE),0),0)))/100)),1))*IF(VLOOKUP(A64,tbMoveset!A2:K112,11,FALSE)=TRUE,Backdoors!AC5,1))*FV64,0),"")</f>
        <v>0</v>
      </c>
      <c r="FZ64" s="49">
        <f>VLOOKUP(A64,tbMoveset!A2:G112,7,FALSE)*IFERROR(IF(Backdoors!AI12&gt;=0,1+(IF(Calculator!E40&gt;0,VLOOKUP(Calculator!E40,tbSkills!AI3:AJ5,2,FALSE),Backdoors!AL4)*(IF((Backdoors!AI12+IF(FU64&gt;=0.45,VLOOKUP(Calculator!E23,tbSkills!DH3:DI6,2,FALSE)+IF(AND(Calculator!B8=TRUE,Backdoors!BI28=TRUE),VLOOKUP(Calculator!E23,tbSkills!DH3:DJ6,3,FALSE),0),0))&gt;=100,100,(Backdoors!AI12+IF(FU64&gt;=0.45,VLOOKUP(Calculator!E23,tbSkills!DH3:DI6,2,FALSE)+IF(AND(Calculator!B8=TRUE,Backdoors!BI28=TRUE),VLOOKUP(Calculator!E23,tbSkills!DH3:DJ6,3,FALSE),0),0)))/100)),1),1)</f>
        <v>0.6</v>
      </c>
      <c r="GA64" s="87">
        <f t="shared" si="18"/>
        <v>0</v>
      </c>
      <c r="GB64" s="86" t="str">
        <f>IFERROR(IF(VLOOKUP(A64,tbMoveset!A2:B112,2,FALSE)="Sever",Backdoors!AY29/100,IF(VLOOKUP(A64,tbMoveset!A2:B112,2,FALSE)="Blunt",Backdoors!AZ29/100,Backdoors!BA29/100)),"")</f>
        <v/>
      </c>
      <c r="GC64" s="49">
        <f>IFERROR(IF(VLOOKUP(tbMoveset!A64,tbMoveset!A2:H112,8,FALSE)="Other",IF(VLOOKUP(tbMoveset!A64,tbMoveset!A2:I112,9,FALSE)="Fire",Backdoors!BB29,IF(VLOOKUP(tbMoveset!A64,tbMoveset!A2:I112,9,FALSE)="Water",Backdoors!BC29,IF(VLOOKUP(tbMoveset!A64,tbMoveset!A2:I112,9,FALSE)="Thunder",Backdoors!BD29,IF(VLOOKUP(tbMoveset!A64,tbMoveset!A2:I112,9,FALSE)="Ice",Backdoors!BE29,IF(VLOOKUP(tbMoveset!A64,tbMoveset!A2:I112,9,FALSE)="Dragon",Backdoors!BF29,Backdoors!BG29)))))/100,Backdoors!BG29/100),"")</f>
        <v>0</v>
      </c>
      <c r="GD64" s="49">
        <f>IFERROR(IF(VLOOKUP(A64,tbMoveset!A2:J112,10,FALSE)=TRUE,IF((Backdoors!AI12+IF(GB64&gt;=0.45,VLOOKUP(Calculator!E23,tbSkills!DH3:DI6,2,FALSE)+IF(AND(Calculator!B8=TRUE,Backdoors!BI29=TRUE),VLOOKUP(Calculator!E23,tbSkills!DH3:DJ6,3,FALSE),0),0))&gt;=0,1+(Backdoors!AL2*(IF((Backdoors!AI12+IF(GB64&gt;=0.45,VLOOKUP(Calculator!E23,tbSkills!DH3:DI6,2,FALSE)+IF(AND(Calculator!B8=TRUE,Backdoors!BI29=TRUE),VLOOKUP(Calculator!E23,tbSkills!DH3:DJ6,3,FALSE),0),0))&gt;=100,100,(Backdoors!AI12+IF(GB64&gt;=0.45,VLOOKUP(Calculator!E23,tbSkills!DH3:DI6,2,FALSE)+IF(AND(Calculator!B8=TRUE,Backdoors!BI29=TRUE),VLOOKUP(Calculator!E23,tbSkills!DH3:DJ6,3,FALSE),0),0)))/100)),(1-(0.25*((-Backdoors!AI12-IF(GB64&gt;=0.45,VLOOKUP(Calculator!E23,tbSkills!DH3:DI6,2,FALSE)+IF(AND(Calculator!B8=TRUE,Backdoors!BI29=TRUE),VLOOKUP(Calculator!E23,tbSkills!DH3:DJ6,3,FALSE),0),0))/100)))),1),"")</f>
        <v>1</v>
      </c>
      <c r="GE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B64)*GD64)*(VLOOKUP(A64,tbMoveset!A2:C112,3,FALSE)/100)*IF(VLOOKUP(A64,tbMoveset!A2:B112,2,FALSE)="Projectile",Backdoors!N10,Backdoors!N9),0),"")</f>
        <v/>
      </c>
      <c r="GF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B64&gt;=0.45,VLOOKUP(Calculator!E23,tbSkills!DH3:DI6,2,FALSE)+IF(AND(Calculator!B8=TRUE,Backdoors!BI29=TRUE),VLOOKUP(Calculator!E23,tbSkills!DH3:DJ6,3,FALSE),0),0))&gt;=100,100,(Backdoors!AI12+IF(GB64&gt;=0.45,VLOOKUP(Calculator!E23,tbSkills!DH3:DI6,2,FALSE)+IF(AND(Calculator!B8=TRUE,Backdoors!BI29=TRUE),VLOOKUP(Calculator!E23,tbSkills!DH3:DJ6,3,FALSE),0),0)))/100)),1))*IF(VLOOKUP(A64,tbMoveset!A2:K112,11,FALSE)=TRUE,Backdoors!AC5,1))*GC64,0),"")</f>
        <v>0</v>
      </c>
      <c r="GG64" s="49">
        <f>VLOOKUP(A64,tbMoveset!A2:G112,7,FALSE)*IFERROR(IF(Backdoors!AI12&gt;=0,1+(IF(Calculator!E40&gt;0,VLOOKUP(Calculator!E40,tbSkills!AI3:AJ5,2,FALSE),Backdoors!AL4)*(IF((Backdoors!AI12+IF(GB64&gt;=0.45,VLOOKUP(Calculator!E23,tbSkills!DH3:DI6,2,FALSE)+IF(AND(Calculator!B8=TRUE,Backdoors!BI29=TRUE),VLOOKUP(Calculator!E23,tbSkills!DH3:DJ6,3,FALSE),0),0))&gt;=100,100,(Backdoors!AI12+IF(GB64&gt;=0.45,VLOOKUP(Calculator!E23,tbSkills!DH3:DI6,2,FALSE)+IF(AND(Calculator!B8=TRUE,Backdoors!BI29=TRUE),VLOOKUP(Calculator!E23,tbSkills!DH3:DJ6,3,FALSE),0),0)))/100)),1),1)</f>
        <v>0.6</v>
      </c>
      <c r="GH64" s="87">
        <f t="shared" si="19"/>
        <v>0</v>
      </c>
      <c r="GI64" s="86" t="str">
        <f>IFERROR(IF(VLOOKUP(A64,tbMoveset!A2:B112,2,FALSE)="Sever",Backdoors!AY30/100,IF(VLOOKUP(A64,tbMoveset!A2:B112,2,FALSE)="Blunt",Backdoors!AZ30/100,Backdoors!BA30/100)),"")</f>
        <v/>
      </c>
      <c r="GJ64" s="49">
        <f>IFERROR(IF(VLOOKUP(tbMoveset!A64,tbMoveset!A2:H112,8,FALSE)="Other",IF(VLOOKUP(tbMoveset!A64,tbMoveset!A2:I112,9,FALSE)="Fire",Backdoors!BB30,IF(VLOOKUP(tbMoveset!A64,tbMoveset!A2:I112,9,FALSE)="Water",Backdoors!BC30,IF(VLOOKUP(tbMoveset!A64,tbMoveset!A2:I112,9,FALSE)="Thunder",Backdoors!BD30,IF(VLOOKUP(tbMoveset!A64,tbMoveset!A2:I112,9,FALSE)="Ice",Backdoors!BE30,IF(VLOOKUP(tbMoveset!A64,tbMoveset!A2:I112,9,FALSE)="Dragon",Backdoors!BF30,Backdoors!BG30)))))/100,Backdoors!BG30/100),"")</f>
        <v>0</v>
      </c>
      <c r="GK64" s="49">
        <f>IFERROR(IF(VLOOKUP(A64,tbMoveset!A2:J112,10,FALSE)=TRUE,IF((Backdoors!AI12+IF(GI64&gt;=0.45,VLOOKUP(Calculator!E23,tbSkills!DH3:DI6,2,FALSE)+IF(AND(Calculator!B8=TRUE,Backdoors!BI30=TRUE),VLOOKUP(Calculator!E23,tbSkills!DH3:DJ6,3,FALSE),0),0))&gt;=0,1+(Backdoors!AL2*(IF((Backdoors!AI12+IF(GI64&gt;=0.45,VLOOKUP(Calculator!E23,tbSkills!DH3:DI6,2,FALSE)+IF(AND(Calculator!B8=TRUE,Backdoors!BI30=TRUE),VLOOKUP(Calculator!E23,tbSkills!DH3:DJ6,3,FALSE),0),0))&gt;=100,100,(Backdoors!AI12+IF(GI64&gt;=0.45,VLOOKUP(Calculator!E23,tbSkills!DH3:DI6,2,FALSE)+IF(AND(Calculator!B8=TRUE,Backdoors!BI30=TRUE),VLOOKUP(Calculator!E23,tbSkills!DH3:DJ6,3,FALSE),0),0)))/100)),(1-(0.25*((-Backdoors!AI12-IF(GI64&gt;=0.45,VLOOKUP(Calculator!E23,tbSkills!DH3:DI6,2,FALSE)+IF(AND(Calculator!B8=TRUE,Backdoors!BI30=TRUE),VLOOKUP(Calculator!E23,tbSkills!DH3:DJ6,3,FALSE),0),0))/100)))),1),"")</f>
        <v>1</v>
      </c>
      <c r="GL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I64)*GK64)*(VLOOKUP(A64,tbMoveset!A2:C112,3,FALSE)/100)*IF(VLOOKUP(A64,tbMoveset!A2:B112,2,FALSE)="Projectile",Backdoors!N10,Backdoors!N9),0),"")</f>
        <v/>
      </c>
      <c r="GM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I64&gt;=0.45,VLOOKUP(Calculator!E23,tbSkills!DH3:DI6,2,FALSE)+IF(AND(Calculator!B8=TRUE,Backdoors!BI30=TRUE),VLOOKUP(Calculator!E23,tbSkills!DH3:DJ6,3,FALSE),0),0))&gt;=100,100,(Backdoors!AI12+IF(GI64&gt;=0.45,VLOOKUP(Calculator!E23,tbSkills!DH3:DI6,2,FALSE)+IF(AND(Calculator!B8=TRUE,Backdoors!BI30=TRUE),VLOOKUP(Calculator!E23,tbSkills!DH3:DJ6,3,FALSE),0),0)))/100)),1))*IF(VLOOKUP(A64,tbMoveset!A2:K112,11,FALSE)=TRUE,Backdoors!AC5,1))*GJ64,0),"")</f>
        <v>0</v>
      </c>
      <c r="GN64" s="49">
        <f>VLOOKUP(A64,tbMoveset!A2:G112,7,FALSE)*IFERROR(IF(Backdoors!AI12&gt;=0,1+(IF(Calculator!E40&gt;0,VLOOKUP(Calculator!E40,tbSkills!AI3:AJ5,2,FALSE),Backdoors!AL4)*(IF((Backdoors!AI12+IF(GI64&gt;=0.45,VLOOKUP(Calculator!E23,tbSkills!DH3:DI6,2,FALSE)+IF(AND(Calculator!B8=TRUE,Backdoors!BI30=TRUE),VLOOKUP(Calculator!E23,tbSkills!DH3:DJ6,3,FALSE),0),0))&gt;=100,100,(Backdoors!AI12+IF(GI64&gt;=0.45,VLOOKUP(Calculator!E23,tbSkills!DH3:DI6,2,FALSE)+IF(AND(Calculator!B8=TRUE,Backdoors!BI30=TRUE),VLOOKUP(Calculator!E23,tbSkills!DH3:DJ6,3,FALSE),0),0)))/100)),1),1)</f>
        <v>0.6</v>
      </c>
      <c r="GO64" s="87">
        <f t="shared" si="20"/>
        <v>0</v>
      </c>
      <c r="GP64" s="86" t="str">
        <f>IFERROR(IF(VLOOKUP(A64,tbMoveset!A2:B112,2,FALSE)="Sever",Backdoors!AY31/100,IF(VLOOKUP(A64,tbMoveset!A2:B112,2,FALSE)="Blunt",Backdoors!AZ31/100,Backdoors!BA31/100)),"")</f>
        <v/>
      </c>
      <c r="GQ64" s="49">
        <f>IFERROR(IF(VLOOKUP(tbMoveset!A64,tbMoveset!A2:H112,8,FALSE)="Other",IF(VLOOKUP(tbMoveset!A64,tbMoveset!A2:I112,9,FALSE)="Fire",Backdoors!BB31,IF(VLOOKUP(tbMoveset!A64,tbMoveset!A2:I112,9,FALSE)="Water",Backdoors!BC31,IF(VLOOKUP(tbMoveset!A64,tbMoveset!A2:I112,9,FALSE)="Thunder",Backdoors!BD31,IF(VLOOKUP(tbMoveset!A64,tbMoveset!A2:I112,9,FALSE)="Ice",Backdoors!BE31,IF(VLOOKUP(tbMoveset!A64,tbMoveset!A2:I112,9,FALSE)="Dragon",Backdoors!BF31,Backdoors!BG31)))))/100,Backdoors!BG31/100),"")</f>
        <v>0</v>
      </c>
      <c r="GR64" s="49">
        <f>IFERROR(IF(VLOOKUP(A64,tbMoveset!A2:J112,10,FALSE)=TRUE,IF((Backdoors!AI12+IF(GP64&gt;=0.45,VLOOKUP(Calculator!E23,tbSkills!DH3:DI6,2,FALSE)+IF(AND(Calculator!B8=TRUE,Backdoors!BI31=TRUE),VLOOKUP(Calculator!E23,tbSkills!DH3:DJ6,3,FALSE),0),0))&gt;=0,1+(Backdoors!AL2*(IF((Backdoors!AI12+IF(GP64&gt;=0.45,VLOOKUP(Calculator!E23,tbSkills!DH3:DI6,2,FALSE)+IF(AND(Calculator!B8=TRUE,Backdoors!BI31=TRUE),VLOOKUP(Calculator!E23,tbSkills!DH3:DJ6,3,FALSE),0),0))&gt;=100,100,(Backdoors!AI12+IF(GP64&gt;=0.45,VLOOKUP(Calculator!E23,tbSkills!DH3:DI6,2,FALSE)+IF(AND(Calculator!B8=TRUE,Backdoors!BI31=TRUE),VLOOKUP(Calculator!E23,tbSkills!DH3:DJ6,3,FALSE),0),0)))/100)),(1-(0.25*((-Backdoors!AI12-IF(GP64&gt;=0.45,VLOOKUP(Calculator!E23,tbSkills!DH3:DI6,2,FALSE)+IF(AND(Calculator!B8=TRUE,Backdoors!BI31=TRUE),VLOOKUP(Calculator!E23,tbSkills!DH3:DJ6,3,FALSE),0),0))/100)))),1),"")</f>
        <v>1</v>
      </c>
      <c r="GS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P64)*GR64)*(VLOOKUP(A64,tbMoveset!A2:C112,3,FALSE)/100)*IF(VLOOKUP(A64,tbMoveset!A2:B112,2,FALSE)="Projectile",Backdoors!N10,Backdoors!N9),0),"")</f>
        <v/>
      </c>
      <c r="GT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P64&gt;=0.45,VLOOKUP(Calculator!E23,tbSkills!DH3:DI6,2,FALSE)+IF(AND(Calculator!B8=TRUE,Backdoors!BI31=TRUE),VLOOKUP(Calculator!E23,tbSkills!DH3:DJ6,3,FALSE),0),0))&gt;=100,100,(Backdoors!AI12+IF(GP64&gt;=0.45,VLOOKUP(Calculator!E23,tbSkills!DH3:DI6,2,FALSE)+IF(AND(Calculator!B8=TRUE,Backdoors!BI31=TRUE),VLOOKUP(Calculator!E23,tbSkills!DH3:DJ6,3,FALSE),0),0)))/100)),1))*IF(VLOOKUP(A64,tbMoveset!A2:K112,11,FALSE)=TRUE,Backdoors!AC5,1))*GQ64,0),"")</f>
        <v>0</v>
      </c>
      <c r="GU64" s="49">
        <f>VLOOKUP(A64,tbMoveset!A2:G112,7,FALSE)*IFERROR(IF(Backdoors!AI12&gt;=0,1+(IF(Calculator!E40&gt;0,VLOOKUP(Calculator!E40,tbSkills!AI3:AJ5,2,FALSE),Backdoors!AL4)*(IF((Backdoors!AI12+IF(GP64&gt;=0.45,VLOOKUP(Calculator!E23,tbSkills!DH3:DI6,2,FALSE)+IF(AND(Calculator!B8=TRUE,Backdoors!BI31=TRUE),VLOOKUP(Calculator!E23,tbSkills!DH3:DJ6,3,FALSE),0),0))&gt;=100,100,(Backdoors!AI12+IF(GP64&gt;=0.45,VLOOKUP(Calculator!E23,tbSkills!DH3:DI6,2,FALSE)+IF(AND(Calculator!B8=TRUE,Backdoors!BI31=TRUE),VLOOKUP(Calculator!E23,tbSkills!DH3:DJ6,3,FALSE),0),0)))/100)),1),1)</f>
        <v>0.6</v>
      </c>
      <c r="GV64" s="87">
        <f t="shared" si="21"/>
        <v>0</v>
      </c>
      <c r="GW64" s="86" t="str">
        <f>IFERROR(IF(VLOOKUP(A64,tbMoveset!A2:B112,2,FALSE)="Sever",Backdoors!AY32/100,IF(VLOOKUP(A64,tbMoveset!A2:B112,2,FALSE)="Blunt",Backdoors!AZ32/100,Backdoors!BA32/100)),"")</f>
        <v/>
      </c>
      <c r="GX64" s="49">
        <f>IFERROR(IF(VLOOKUP(tbMoveset!A64,tbMoveset!A2:H112,8,FALSE)="Other",IF(VLOOKUP(tbMoveset!A64,tbMoveset!A2:I112,9,FALSE)="Fire",Backdoors!BB32,IF(VLOOKUP(tbMoveset!A64,tbMoveset!A2:I112,9,FALSE)="Water",Backdoors!BC32,IF(VLOOKUP(tbMoveset!A64,tbMoveset!A2:I112,9,FALSE)="Thunder",Backdoors!BD32,IF(VLOOKUP(tbMoveset!A64,tbMoveset!A2:I112,9,FALSE)="Ice",Backdoors!BE32,IF(VLOOKUP(tbMoveset!A64,tbMoveset!A2:I112,9,FALSE)="Dragon",Backdoors!BF32,Backdoors!BG32)))))/100,Backdoors!BG32/100),"")</f>
        <v>0</v>
      </c>
      <c r="GY64" s="49">
        <f>IFERROR(IF(VLOOKUP(A64,tbMoveset!A2:J112,10,FALSE)=TRUE,IF((Backdoors!AI12+IF(GW64&gt;=0.45,VLOOKUP(Calculator!E23,tbSkills!DH3:DI6,2,FALSE)+IF(AND(Calculator!B8=TRUE,Backdoors!BI32=TRUE),VLOOKUP(Calculator!E23,tbSkills!DH3:DJ6,3,FALSE),0),0))&gt;=0,1+(Backdoors!AL2*(IF((Backdoors!AI12+IF(GW64&gt;=0.45,VLOOKUP(Calculator!E23,tbSkills!DH3:DI6,2,FALSE)+IF(AND(Calculator!B8=TRUE,Backdoors!BI32=TRUE),VLOOKUP(Calculator!E23,tbSkills!DH3:DJ6,3,FALSE),0),0))&gt;=100,100,(Backdoors!AI12+IF(GW64&gt;=0.45,VLOOKUP(Calculator!E23,tbSkills!DH3:DI6,2,FALSE)+IF(AND(Calculator!B8=TRUE,Backdoors!BI32=TRUE),VLOOKUP(Calculator!E23,tbSkills!DH3:DJ6,3,FALSE),0),0)))/100)),(1-(0.25*((-Backdoors!AI12-IF(GW64&gt;=0.45,VLOOKUP(Calculator!E23,tbSkills!DH3:DI6,2,FALSE)+IF(AND(Calculator!B8=TRUE,Backdoors!BI32=TRUE),VLOOKUP(Calculator!E23,tbSkills!DH3:DJ6,3,FALSE),0),0))/100)))),1),"")</f>
        <v>1</v>
      </c>
      <c r="GZ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W64)*GY64)*(VLOOKUP(A64,tbMoveset!A2:C112,3,FALSE)/100)*IF(VLOOKUP(A64,tbMoveset!A2:B112,2,FALSE)="Projectile",Backdoors!N10,Backdoors!N9),0),"")</f>
        <v/>
      </c>
      <c r="HA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W64&gt;=0.45,VLOOKUP(Calculator!E23,tbSkills!DH3:DI6,2,FALSE)+IF(AND(Calculator!B8=TRUE,Backdoors!BI32=TRUE),VLOOKUP(Calculator!E23,tbSkills!DH3:DJ6,3,FALSE),0),0))&gt;=100,100,(Backdoors!AI12+IF(GW64&gt;=0.45,VLOOKUP(Calculator!E23,tbSkills!DH3:DI6,2,FALSE)+IF(AND(Calculator!B8=TRUE,Backdoors!BI32=TRUE),VLOOKUP(Calculator!E23,tbSkills!DH3:DJ6,3,FALSE),0),0)))/100)),1))*IF(VLOOKUP(A64,tbMoveset!A2:K112,11,FALSE)=TRUE,Backdoors!AC5,1))*GX64,0),"")</f>
        <v>0</v>
      </c>
      <c r="HB64" s="49">
        <f>VLOOKUP(A64,tbMoveset!A2:G112,7,FALSE)*IFERROR(IF(Backdoors!AI12&gt;=0,1+(IF(Calculator!E40&gt;0,VLOOKUP(Calculator!E40,tbSkills!AI3:AJ5,2,FALSE),Backdoors!AL4)*(IF((Backdoors!AI12+IF(GW64&gt;=0.45,VLOOKUP(Calculator!E23,tbSkills!DH3:DI6,2,FALSE)+IF(AND(Calculator!B8=TRUE,Backdoors!BI32=TRUE),VLOOKUP(Calculator!E23,tbSkills!DH3:DJ6,3,FALSE),0),0))&gt;=100,100,(Backdoors!AI12+IF(GW64&gt;=0.45,VLOOKUP(Calculator!E23,tbSkills!DH3:DI6,2,FALSE)+IF(AND(Calculator!B8=TRUE,Backdoors!BI32=TRUE),VLOOKUP(Calculator!E23,tbSkills!DH3:DJ6,3,FALSE),0),0)))/100)),1),1)</f>
        <v>0.6</v>
      </c>
      <c r="HC64" s="87">
        <f t="shared" si="22"/>
        <v>0</v>
      </c>
      <c r="HD64" s="86" t="str">
        <f>IFERROR(IF(VLOOKUP(A64,tbMoveset!A2:B112,2,FALSE)="Sever",Backdoors!AY33/100,IF(VLOOKUP(A64,tbMoveset!A2:B112,2,FALSE)="Blunt",Backdoors!AZ33/100,Backdoors!BA33/100)),"")</f>
        <v/>
      </c>
      <c r="HE64" s="49">
        <f>IFERROR(IF(VLOOKUP(tbMoveset!A64,tbMoveset!A2:H112,8,FALSE)="Other",IF(VLOOKUP(tbMoveset!A64,tbMoveset!A2:I112,9,FALSE)="Fire",Backdoors!BB33,IF(VLOOKUP(tbMoveset!A64,tbMoveset!A2:I112,9,FALSE)="Water",Backdoors!BC33,IF(VLOOKUP(tbMoveset!A64,tbMoveset!A2:I112,9,FALSE)="Thunder",Backdoors!BD33,IF(VLOOKUP(tbMoveset!A64,tbMoveset!A2:I112,9,FALSE)="Ice",Backdoors!BE33,IF(VLOOKUP(tbMoveset!A64,tbMoveset!A2:I112,9,FALSE)="Dragon",Backdoors!BF33,Backdoors!BG33)))))/100,Backdoors!BG33/100),"")</f>
        <v>0</v>
      </c>
      <c r="HF64" s="49">
        <f>IFERROR(IF(VLOOKUP(A64,tbMoveset!A2:J112,10,FALSE)=TRUE,IF((Backdoors!AI12+IF(HD64&gt;=0.45,VLOOKUP(Calculator!E23,tbSkills!DH3:DI6,2,FALSE)+IF(AND(Calculator!B8=TRUE,Backdoors!BI33=TRUE),VLOOKUP(Calculator!E23,tbSkills!DH3:DJ6,3,FALSE),0),0))&gt;=0,1+(Backdoors!AL2*(IF((Backdoors!AI12+IF(HD64&gt;=0.45,VLOOKUP(Calculator!E23,tbSkills!DH3:DI6,2,FALSE)+IF(AND(Calculator!B8=TRUE,Backdoors!BI33=TRUE),VLOOKUP(Calculator!E23,tbSkills!DH3:DJ6,3,FALSE),0),0))&gt;=100,100,(Backdoors!AI12+IF(HD64&gt;=0.45,VLOOKUP(Calculator!E23,tbSkills!DH3:DI6,2,FALSE)+IF(AND(Calculator!B8=TRUE,Backdoors!BI33=TRUE),VLOOKUP(Calculator!E23,tbSkills!DH3:DJ6,3,FALSE),0),0)))/100)),(1-(0.25*((-Backdoors!AI12-IF(HD64&gt;=0.45,VLOOKUP(Calculator!E23,tbSkills!DH3:DI6,2,FALSE)+IF(AND(Calculator!B8=TRUE,Backdoors!BI33=TRUE),VLOOKUP(Calculator!E23,tbSkills!DH3:DJ6,3,FALSE),0),0))/100)))),1),"")</f>
        <v>1</v>
      </c>
      <c r="HG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D64)*HF64)*(VLOOKUP(A64,tbMoveset!A2:C112,3,FALSE)/100)*IF(VLOOKUP(A64,tbMoveset!A2:B112,2,FALSE)="Projectile",Backdoors!N10,Backdoors!N9),0),"")</f>
        <v/>
      </c>
      <c r="HH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D64&gt;=0.45,VLOOKUP(Calculator!E23,tbSkills!DH3:DI6,2,FALSE)+IF(AND(Calculator!B8=TRUE,Backdoors!BI33=TRUE),VLOOKUP(Calculator!E23,tbSkills!DH3:DJ6,3,FALSE),0),0))&gt;=100,100,(Backdoors!AI12+IF(HD64&gt;=0.45,VLOOKUP(Calculator!E23,tbSkills!DH3:DI6,2,FALSE)+IF(AND(Calculator!B8=TRUE,Backdoors!BI33=TRUE),VLOOKUP(Calculator!E23,tbSkills!DH3:DJ6,3,FALSE),0),0)))/100)),1))*IF(VLOOKUP(A64,tbMoveset!A2:K112,11,FALSE)=TRUE,Backdoors!AC5,1))*HE64,0),"")</f>
        <v>0</v>
      </c>
      <c r="HI64" s="49">
        <f>VLOOKUP(A64,tbMoveset!A2:G112,7,FALSE)*IFERROR(IF(Backdoors!AI12&gt;=0,1+(IF(Calculator!E40&gt;0,VLOOKUP(Calculator!E40,tbSkills!AI3:AJ5,2,FALSE),Backdoors!AL4)*(IF((Backdoors!AI12+IF(HD64&gt;=0.45,VLOOKUP(Calculator!E23,tbSkills!DH3:DI6,2,FALSE)+IF(AND(Calculator!B8=TRUE,Backdoors!BI33=TRUE),VLOOKUP(Calculator!E23,tbSkills!DH3:DJ6,3,FALSE),0),0))&gt;=100,100,(Backdoors!AI12+IF(HD64&gt;=0.45,VLOOKUP(Calculator!E23,tbSkills!DH3:DI6,2,FALSE)+IF(AND(Calculator!B8=TRUE,Backdoors!BI33=TRUE),VLOOKUP(Calculator!E23,tbSkills!DH3:DJ6,3,FALSE),0),0)))/100)),1),1)</f>
        <v>0.6</v>
      </c>
      <c r="HJ64" s="87">
        <f t="shared" si="23"/>
        <v>0</v>
      </c>
      <c r="HK64" s="86" t="str">
        <f>IFERROR(IF(VLOOKUP(A64,tbMoveset!A2:B112,2,FALSE)="Sever",Backdoors!AY34/100,IF(VLOOKUP(A64,tbMoveset!A2:B112,2,FALSE)="Blunt",Backdoors!AZ34/100,Backdoors!BA34/100)),"")</f>
        <v/>
      </c>
      <c r="HL64" s="49">
        <f>IFERROR(IF(VLOOKUP(tbMoveset!A64,tbMoveset!A2:H112,8,FALSE)="Other",IF(VLOOKUP(tbMoveset!A64,tbMoveset!A2:I112,9,FALSE)="Fire",Backdoors!BB34,IF(VLOOKUP(tbMoveset!A64,tbMoveset!A2:I112,9,FALSE)="Water",Backdoors!BC34,IF(VLOOKUP(tbMoveset!A64,tbMoveset!A2:I112,9,FALSE)="Thunder",Backdoors!BD34,IF(VLOOKUP(tbMoveset!A64,tbMoveset!A2:I112,9,FALSE)="Ice",Backdoors!BE34,IF(VLOOKUP(tbMoveset!A64,tbMoveset!A2:I112,9,FALSE)="Dragon",Backdoors!BF34,Backdoors!BG34)))))/100,Backdoors!BG34/100),"")</f>
        <v>0</v>
      </c>
      <c r="HM64" s="49">
        <f>IFERROR(IF(VLOOKUP(A64,tbMoveset!A2:J112,10,FALSE)=TRUE,IF((Backdoors!AI12+IF(HK64&gt;=0.45,VLOOKUP(Calculator!E23,tbSkills!DH3:DI6,2,FALSE)+IF(AND(Calculator!B8=TRUE,Backdoors!BI34=TRUE),VLOOKUP(Calculator!E23,tbSkills!DH3:DJ6,3,FALSE),0),0))&gt;=0,1+(Backdoors!AL2*(IF((Backdoors!AI12+IF(HK64&gt;=0.45,VLOOKUP(Calculator!E23,tbSkills!DH3:DI6,2,FALSE)+IF(AND(Calculator!B8=TRUE,Backdoors!BI34=TRUE),VLOOKUP(Calculator!E23,tbSkills!DH3:DJ6,3,FALSE),0),0))&gt;=100,100,(Backdoors!AI12+IF(HK64&gt;=0.45,VLOOKUP(Calculator!E23,tbSkills!DH3:DI6,2,FALSE)+IF(AND(Calculator!B8=TRUE,Backdoors!BI34=TRUE),VLOOKUP(Calculator!E23,tbSkills!DH3:DJ6,3,FALSE),0),0)))/100)),(1-(0.25*((-Backdoors!AI12-IF(HK64&gt;=0.45,VLOOKUP(Calculator!E23,tbSkills!DH3:DI6,2,FALSE)+IF(AND(Calculator!B8=TRUE,Backdoors!BI34=TRUE),VLOOKUP(Calculator!E23,tbSkills!DH3:DJ6,3,FALSE),0),0))/100)))),1),"")</f>
        <v>1</v>
      </c>
      <c r="HN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K64)*HM64)*(VLOOKUP(A64,tbMoveset!A2:C112,3,FALSE)/100)*IF(VLOOKUP(A64,tbMoveset!A2:B112,2,FALSE)="Projectile",Backdoors!N10,Backdoors!N9),0),"")</f>
        <v/>
      </c>
      <c r="HO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K64&gt;=0.45,VLOOKUP(Calculator!E23,tbSkills!DH3:DI6,2,FALSE)+IF(AND(Calculator!B8=TRUE,Backdoors!BI34=TRUE),VLOOKUP(Calculator!E23,tbSkills!DH3:DJ6,3,FALSE),0),0))&gt;=100,100,(Backdoors!AI12+IF(HK64&gt;=0.45,VLOOKUP(Calculator!E23,tbSkills!DH3:DI6,2,FALSE)+IF(AND(Calculator!B8=TRUE,Backdoors!BI34=TRUE),VLOOKUP(Calculator!E23,tbSkills!DH3:DJ6,3,FALSE),0),0)))/100)),1))*IF(VLOOKUP(A64,tbMoveset!A2:K112,11,FALSE)=TRUE,Backdoors!AC5,1))*HL64,0),"")</f>
        <v>0</v>
      </c>
      <c r="HP64" s="49">
        <f>VLOOKUP(A64,tbMoveset!A2:G112,7,FALSE)*IFERROR(IF(Backdoors!AI12&gt;=0,1+(IF(Calculator!E40&gt;0,VLOOKUP(Calculator!E40,tbSkills!AI3:AJ5,2,FALSE),Backdoors!AL4)*(IF((Backdoors!AI12+IF(HK64&gt;=0.45,VLOOKUP(Calculator!E23,tbSkills!DH3:DI6,2,FALSE)+IF(AND(Calculator!B8=TRUE,Backdoors!BI34=TRUE),VLOOKUP(Calculator!E23,tbSkills!DH3:DJ6,3,FALSE),0),0))&gt;=100,100,(Backdoors!AI12+IF(HK64&gt;=0.45,VLOOKUP(Calculator!E23,tbSkills!DH3:DI6,2,FALSE)+IF(AND(Calculator!B8=TRUE,Backdoors!BI34=TRUE),VLOOKUP(Calculator!E23,tbSkills!DH3:DJ6,3,FALSE),0),0)))/100)),1),1)</f>
        <v>0.6</v>
      </c>
      <c r="HQ64" s="87">
        <f t="shared" si="24"/>
        <v>0</v>
      </c>
      <c r="HR64" s="86" t="str">
        <f>IFERROR(IF(VLOOKUP(A64,tbMoveset!A2:B112,2,FALSE)="Sever",Backdoors!AY35/100,IF(VLOOKUP(A64,tbMoveset!A2:B112,2,FALSE)="Blunt",Backdoors!AZ35/100,Backdoors!BA35/100)),"")</f>
        <v/>
      </c>
      <c r="HS64" s="49">
        <f>IFERROR(IF(VLOOKUP(tbMoveset!A64,tbMoveset!A2:H112,8,FALSE)="Other",IF(VLOOKUP(tbMoveset!A64,tbMoveset!A2:I112,9,FALSE)="Fire",Backdoors!BB35,IF(VLOOKUP(tbMoveset!A64,tbMoveset!A2:I112,9,FALSE)="Water",Backdoors!BC35,IF(VLOOKUP(tbMoveset!A64,tbMoveset!A2:I112,9,FALSE)="Thunder",Backdoors!BD35,IF(VLOOKUP(tbMoveset!A64,tbMoveset!A2:I112,9,FALSE)="Ice",Backdoors!BE35,IF(VLOOKUP(tbMoveset!A64,tbMoveset!A2:I112,9,FALSE)="Dragon",Backdoors!BF35,Backdoors!BG35)))))/100,Backdoors!BG35/100),"")</f>
        <v>0</v>
      </c>
      <c r="HT64" s="49">
        <f>IFERROR(IF(VLOOKUP(A64,tbMoveset!A2:J112,10,FALSE)=TRUE,IF((Backdoors!AI12+IF(HR64&gt;=0.45,VLOOKUP(Calculator!E23,tbSkills!DH3:DI6,2,FALSE)+IF(AND(Calculator!B8=TRUE,Backdoors!BI35=TRUE),VLOOKUP(Calculator!E23,tbSkills!DH3:DJ6,3,FALSE),0),0))&gt;=0,1+(Backdoors!AL2*(IF((Backdoors!AI12+IF(HR64&gt;=0.45,VLOOKUP(Calculator!E23,tbSkills!DH3:DI6,2,FALSE)+IF(AND(Calculator!B8=TRUE,Backdoors!BI35=TRUE),VLOOKUP(Calculator!E23,tbSkills!DH3:DJ6,3,FALSE),0),0))&gt;=100,100,(Backdoors!AI12+IF(HR64&gt;=0.45,VLOOKUP(Calculator!E23,tbSkills!DH3:DI6,2,FALSE)+IF(AND(Calculator!B8=TRUE,Backdoors!BI35=TRUE),VLOOKUP(Calculator!E23,tbSkills!DH3:DJ6,3,FALSE),0),0)))/100)),(1-(0.25*((-Backdoors!AI12-IF(HR64&gt;=0.45,VLOOKUP(Calculator!E23,tbSkills!DH3:DI6,2,FALSE)+IF(AND(Calculator!B8=TRUE,Backdoors!BI35=TRUE),VLOOKUP(Calculator!E23,tbSkills!DH3:DJ6,3,FALSE),0),0))/100)))),1),"")</f>
        <v>1</v>
      </c>
      <c r="HU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R64)*HT64)*(VLOOKUP(A64,tbMoveset!A2:C112,3,FALSE)/100)*IF(VLOOKUP(A64,tbMoveset!A2:B112,2,FALSE)="Projectile",Backdoors!N10,Backdoors!N9),0),"")</f>
        <v/>
      </c>
      <c r="HV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R64&gt;=0.45,VLOOKUP(Calculator!E23,tbSkills!DH3:DI6,2,FALSE)+IF(AND(Calculator!B8=TRUE,Backdoors!BI35=TRUE),VLOOKUP(Calculator!E23,tbSkills!DH3:DJ6,3,FALSE),0),0))&gt;=100,100,(Backdoors!AI12+IF(HR64&gt;=0.45,VLOOKUP(Calculator!E23,tbSkills!DH3:DI6,2,FALSE)+IF(AND(Calculator!B8=TRUE,Backdoors!BI35=TRUE),VLOOKUP(Calculator!E23,tbSkills!DH3:DJ6,3,FALSE),0),0)))/100)),1))*IF(VLOOKUP(A64,tbMoveset!A2:K112,11,FALSE)=TRUE,Backdoors!AC5,1))*HS64,0),"")</f>
        <v>0</v>
      </c>
      <c r="HW64" s="49">
        <f>VLOOKUP(A64,tbMoveset!A2:G112,7,FALSE)*IFERROR(IF(Backdoors!AI12&gt;=0,1+(IF(Calculator!E40&gt;0,VLOOKUP(Calculator!E40,tbSkills!AI3:AJ5,2,FALSE),Backdoors!AL4)*(IF((Backdoors!AI12+IF(HR64&gt;=0.45,VLOOKUP(Calculator!E23,tbSkills!DH3:DI6,2,FALSE)+IF(AND(Calculator!B8=TRUE,Backdoors!BI35=TRUE),VLOOKUP(Calculator!E23,tbSkills!DH3:DJ6,3,FALSE),0),0))&gt;=100,100,(Backdoors!AI12+IF(HR64&gt;=0.45,VLOOKUP(Calculator!E23,tbSkills!DH3:DI6,2,FALSE)+IF(AND(Calculator!B8=TRUE,Backdoors!BI35=TRUE),VLOOKUP(Calculator!E23,tbSkills!DH3:DJ6,3,FALSE),0),0)))/100)),1),1)</f>
        <v>0.6</v>
      </c>
      <c r="HX64" s="87">
        <f t="shared" si="25"/>
        <v>0</v>
      </c>
      <c r="HY64" s="86" t="str">
        <f>IFERROR(IF(VLOOKUP(A64,tbMoveset!A2:B112,2,FALSE)="Sever",Backdoors!AY36/100,IF(VLOOKUP(A64,tbMoveset!A2:B112,2,FALSE)="Blunt",Backdoors!AZ36/100,Backdoors!BA36/100)),"")</f>
        <v/>
      </c>
      <c r="HZ64" s="49">
        <f>IFERROR(IF(VLOOKUP(tbMoveset!A64,tbMoveset!A2:H112,8,FALSE)="Other",IF(VLOOKUP(tbMoveset!A64,tbMoveset!A2:I112,9,FALSE)="Fire",Backdoors!BB36,IF(VLOOKUP(tbMoveset!A64,tbMoveset!A2:I112,9,FALSE)="Water",Backdoors!BC36,IF(VLOOKUP(tbMoveset!A64,tbMoveset!A2:I112,9,FALSE)="Thunder",Backdoors!BD36,IF(VLOOKUP(tbMoveset!A64,tbMoveset!A2:I112,9,FALSE)="Ice",Backdoors!BE36,IF(VLOOKUP(tbMoveset!A64,tbMoveset!A2:I112,9,FALSE)="Dragon",Backdoors!BF36,Backdoors!BG36)))))/100,Backdoors!BG36/100),"")</f>
        <v>0</v>
      </c>
      <c r="IA64" s="49">
        <f>IFERROR(IF(VLOOKUP(A64,tbMoveset!A2:J112,10,FALSE)=TRUE,IF((Backdoors!AI12+IF(HY64&gt;=0.45,VLOOKUP(Calculator!E23,tbSkills!DH3:DI6,2,FALSE)+IF(AND(Calculator!B8=TRUE,Backdoors!BI36=TRUE),VLOOKUP(Calculator!E23,tbSkills!DH3:DJ6,3,FALSE),0),0))&gt;=0,1+(Backdoors!AL2*(IF((Backdoors!AI12+IF(HY64&gt;=0.45,VLOOKUP(Calculator!E23,tbSkills!DH3:DI6,2,FALSE)+IF(AND(Calculator!B8=TRUE,Backdoors!BI36=TRUE),VLOOKUP(Calculator!E23,tbSkills!DH3:DJ6,3,FALSE),0),0))&gt;=100,100,(Backdoors!AI12+IF(HY64&gt;=0.45,VLOOKUP(Calculator!E23,tbSkills!DH3:DI6,2,FALSE)+IF(AND(Calculator!B8=TRUE,Backdoors!BI36=TRUE),VLOOKUP(Calculator!E23,tbSkills!DH3:DJ6,3,FALSE),0),0)))/100)),(1-(0.25*((-Backdoors!AI12-IF(HY64&gt;=0.45,VLOOKUP(Calculator!E23,tbSkills!DH3:DI6,2,FALSE)+IF(AND(Calculator!B8=TRUE,Backdoors!BI36=TRUE),VLOOKUP(Calculator!E23,tbSkills!DH3:DJ6,3,FALSE),0),0))/100)))),1),"")</f>
        <v>1</v>
      </c>
      <c r="IB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Y64)*IA64)*(VLOOKUP(A64,tbMoveset!A2:C112,3,FALSE)/100)*IF(VLOOKUP(A64,tbMoveset!A2:B112,2,FALSE)="Projectile",Backdoors!N10,Backdoors!N9),0),"")</f>
        <v/>
      </c>
      <c r="IC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Y64&gt;=0.45,VLOOKUP(Calculator!E23,tbSkills!DH3:DI6,2,FALSE)+IF(AND(Calculator!B8=TRUE,Backdoors!BI36=TRUE),VLOOKUP(Calculator!E23,tbSkills!DH3:DJ6,3,FALSE),0),0))&gt;=100,100,(Backdoors!AI12+IF(HY64&gt;=0.45,VLOOKUP(Calculator!E23,tbSkills!DH3:DI6,2,FALSE)+IF(AND(Calculator!B8=TRUE,Backdoors!BI36=TRUE),VLOOKUP(Calculator!E23,tbSkills!DH3:DJ6,3,FALSE),0),0)))/100)),1))*IF(VLOOKUP(A64,tbMoveset!A2:K112,11,FALSE)=TRUE,Backdoors!AC5,1))*HZ64,0),"")</f>
        <v>0</v>
      </c>
      <c r="ID64" s="49">
        <f>VLOOKUP(A64,tbMoveset!A2:G112,7,FALSE)*IFERROR(IF(Backdoors!AI12&gt;=0,1+(IF(Calculator!E40&gt;0,VLOOKUP(Calculator!E40,tbSkills!AI3:AJ5,2,FALSE),Backdoors!AL4)*(IF((Backdoors!AI12+IF(HY64&gt;=0.45,VLOOKUP(Calculator!E23,tbSkills!DH3:DI6,2,FALSE)+IF(AND(Calculator!B8=TRUE,Backdoors!BI36=TRUE),VLOOKUP(Calculator!E23,tbSkills!DH3:DJ6,3,FALSE),0),0))&gt;=100,100,(Backdoors!AI12+IF(HY64&gt;=0.45,VLOOKUP(Calculator!E23,tbSkills!DH3:DI6,2,FALSE)+IF(AND(Calculator!B8=TRUE,Backdoors!BI36=TRUE),VLOOKUP(Calculator!E23,tbSkills!DH3:DJ6,3,FALSE),0),0)))/100)),1),1)</f>
        <v>0.6</v>
      </c>
      <c r="IE64" s="87">
        <f t="shared" si="26"/>
        <v>0</v>
      </c>
      <c r="IF64" s="86" t="str">
        <f>IFERROR(IF(VLOOKUP(A64,tbMoveset!A2:B112,2,FALSE)="Sever",Backdoors!AY37/100,IF(VLOOKUP(A64,tbMoveset!A2:B112,2,FALSE)="Blunt",Backdoors!AZ37/100,Backdoors!BA37/100)),"")</f>
        <v/>
      </c>
      <c r="IG64" s="49">
        <f>IFERROR(IF(VLOOKUP(tbMoveset!A64,tbMoveset!A2:H112,8,FALSE)="Other",IF(VLOOKUP(tbMoveset!A64,tbMoveset!A2:I112,9,FALSE)="Fire",Backdoors!BB37,IF(VLOOKUP(tbMoveset!A64,tbMoveset!A2:I112,9,FALSE)="Water",Backdoors!BC37,IF(VLOOKUP(tbMoveset!A64,tbMoveset!A2:I112,9,FALSE)="Thunder",Backdoors!BD37,IF(VLOOKUP(tbMoveset!A64,tbMoveset!A2:I112,9,FALSE)="Ice",Backdoors!BE37,IF(VLOOKUP(tbMoveset!A64,tbMoveset!A2:I112,9,FALSE)="Dragon",Backdoors!BF37,Backdoors!BG37)))))/100,Backdoors!BG37/100),"")</f>
        <v>0</v>
      </c>
      <c r="IH64" s="49">
        <f>IFERROR(IF(VLOOKUP(A64,tbMoveset!A2:J112,10,FALSE)=TRUE,IF((Backdoors!AI12+IF(IF64&gt;=0.45,VLOOKUP(Calculator!E23,tbSkills!DH3:DI6,2,FALSE)+IF(AND(Calculator!B8=TRUE,Backdoors!BI37=TRUE),VLOOKUP(Calculator!E23,tbSkills!DH3:DJ6,3,FALSE),0),0))&gt;=0,1+(Backdoors!AL2*(IF((Backdoors!AI12+IF(IF64&gt;=0.45,VLOOKUP(Calculator!E23,tbSkills!DH3:DI6,2,FALSE)+IF(AND(Calculator!B8=TRUE,Backdoors!BI37=TRUE),VLOOKUP(Calculator!E23,tbSkills!DH3:DJ6,3,FALSE),0),0))&gt;=100,100,(Backdoors!AI12+IF(IF64&gt;=0.45,VLOOKUP(Calculator!E23,tbSkills!DH3:DI6,2,FALSE)+IF(AND(Calculator!B8=TRUE,Backdoors!BI37=TRUE),VLOOKUP(Calculator!E23,tbSkills!DH3:DJ6,3,FALSE),0),0)))/100)),(1-(0.25*((-Backdoors!AI12-IF(IF64&gt;=0.45,VLOOKUP(Calculator!E23,tbSkills!DH3:DI6,2,FALSE)+IF(AND(Calculator!B8=TRUE,Backdoors!BI37=TRUE),VLOOKUP(Calculator!E23,tbSkills!DH3:DJ6,3,FALSE),0),0))/100)))),1),"")</f>
        <v>1</v>
      </c>
      <c r="II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F64)*IH64)*(VLOOKUP(A64,tbMoveset!A2:C112,3,FALSE)/100)*IF(VLOOKUP(A64,tbMoveset!A2:B112,2,FALSE)="Projectile",Backdoors!N10,Backdoors!N9),0),"")</f>
        <v/>
      </c>
      <c r="IJ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IF64&gt;=0.45,VLOOKUP(Calculator!E23,tbSkills!DH3:DI6,2,FALSE)+IF(AND(Calculator!B8=TRUE,Backdoors!BI37=TRUE),VLOOKUP(Calculator!E23,tbSkills!DH3:DJ6,3,FALSE),0),0))&gt;=100,100,(Backdoors!AI12+IF(IF64&gt;=0.45,VLOOKUP(Calculator!E23,tbSkills!DH3:DI6,2,FALSE)+IF(AND(Calculator!B8=TRUE,Backdoors!BI37=TRUE),VLOOKUP(Calculator!E23,tbSkills!DH3:DJ6,3,FALSE),0),0)))/100)),1))*IF(VLOOKUP(A64,tbMoveset!A2:K112,11,FALSE)=TRUE,Backdoors!AC5,1))*IG64,0),"")</f>
        <v>0</v>
      </c>
      <c r="IK64" s="49">
        <f>VLOOKUP(A64,tbMoveset!A2:G112,7,FALSE)*IFERROR(IF(Backdoors!AI12&gt;=0,1+(IF(Calculator!E40&gt;0,VLOOKUP(Calculator!E40,tbSkills!AI3:AJ5,2,FALSE),Backdoors!AL4)*(IF((Backdoors!AI12+IF(IF64&gt;=0.45,VLOOKUP(Calculator!E23,tbSkills!DH3:DI6,2,FALSE)+IF(AND(Calculator!B8=TRUE,Backdoors!BI37=TRUE),VLOOKUP(Calculator!E23,tbSkills!DH3:DJ6,3,FALSE),0),0))&gt;=100,100,(Backdoors!AI12+IF(IF64&gt;=0.45,VLOOKUP(Calculator!E23,tbSkills!DH3:DI6,2,FALSE)+IF(AND(Calculator!B8=TRUE,Backdoors!BI37=TRUE),VLOOKUP(Calculator!E23,tbSkills!DH3:DJ6,3,FALSE),0),0)))/100)),1),1)</f>
        <v>0.6</v>
      </c>
      <c r="IL64" s="87">
        <f t="shared" si="27"/>
        <v>0</v>
      </c>
      <c r="IM64" s="86" t="str">
        <f>IFERROR(IF(VLOOKUP(A64,tbMoveset!A2:B112,2,FALSE)="Sever",Backdoors!AY38/100,IF(VLOOKUP(A64,tbMoveset!A2:B112,2,FALSE)="Blunt",Backdoors!AZ38/100,Backdoors!BA38/100)),"")</f>
        <v/>
      </c>
      <c r="IN64" s="49">
        <f>IFERROR(IF(VLOOKUP(tbMoveset!A64,tbMoveset!A2:H112,8,FALSE)="Other",IF(VLOOKUP(tbMoveset!A64,tbMoveset!A2:I112,9,FALSE)="Fire",Backdoors!BB38,IF(VLOOKUP(tbMoveset!A64,tbMoveset!A2:I112,9,FALSE)="Water",Backdoors!BC38,IF(VLOOKUP(tbMoveset!A64,tbMoveset!A2:I112,9,FALSE)="Thunder",Backdoors!BD38,IF(VLOOKUP(tbMoveset!A64,tbMoveset!A2:I112,9,FALSE)="Ice",Backdoors!BE38,IF(VLOOKUP(tbMoveset!A64,tbMoveset!A2:I112,9,FALSE)="Dragon",Backdoors!BF38,Backdoors!BG38)))))/100,Backdoors!BG38/100),"")</f>
        <v>0</v>
      </c>
      <c r="IO64" s="49">
        <f>IFERROR(IF(VLOOKUP(A64,tbMoveset!A2:J112,10,FALSE)=TRUE,IF((Backdoors!AI12+IF(IM64&gt;=0.45,VLOOKUP(Calculator!E23,tbSkills!DH3:DI6,2,FALSE)+IF(AND(Calculator!B8=TRUE,Backdoors!BI38=TRUE),VLOOKUP(Calculator!E23,tbSkills!DH3:DJ6,3,FALSE),0),0))&gt;=0,1+(Backdoors!AL2*(IF((Backdoors!AI12+IF(IM64&gt;=0.45,VLOOKUP(Calculator!E23,tbSkills!DH3:DI6,2,FALSE)+IF(AND(Calculator!B8=TRUE,Backdoors!BI38=TRUE),VLOOKUP(Calculator!E23,tbSkills!DH3:DJ6,3,FALSE),0),0))&gt;=100,100,(Backdoors!AI12+IF(IM64&gt;=0.45,VLOOKUP(Calculator!E23,tbSkills!DH3:DI6,2,FALSE)+IF(AND(Calculator!B8=TRUE,Backdoors!BI38=TRUE),VLOOKUP(Calculator!E23,tbSkills!DH3:DJ6,3,FALSE),0),0)))/100)),(1-(0.25*((-Backdoors!AI12-IF(IM64&gt;=0.45,VLOOKUP(Calculator!E23,tbSkills!DH3:DI6,2,FALSE)+IF(AND(Calculator!B8=TRUE,Backdoors!BI38=TRUE),VLOOKUP(Calculator!E23,tbSkills!DH3:DJ6,3,FALSE),0),0))/100)))),1),"")</f>
        <v>1</v>
      </c>
      <c r="IP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M64)*IO64)*(VLOOKUP(A64,tbMoveset!A2:C112,3,FALSE)/100)*IF(VLOOKUP(A64,tbMoveset!A2:B112,2,FALSE)="Projectile",Backdoors!N10,Backdoors!N9),0),"")</f>
        <v/>
      </c>
      <c r="IQ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IM64&gt;=0.45,VLOOKUP(Calculator!E23,tbSkills!DH3:DI6,2,FALSE)+IF(AND(Calculator!B8=TRUE,Backdoors!BI38=TRUE),VLOOKUP(Calculator!E23,tbSkills!DH3:DJ6,3,FALSE),0),0))&gt;=100,100,(Backdoors!AI12+IF(IM64&gt;=0.45,VLOOKUP(Calculator!E23,tbSkills!DH3:DI6,2,FALSE)+IF(AND(Calculator!B8=TRUE,Backdoors!BI38=TRUE),VLOOKUP(Calculator!E23,tbSkills!DH3:DJ6,3,FALSE),0),0)))/100)),1))*IF(VLOOKUP(A64,tbMoveset!A2:K112,11,FALSE)=TRUE,Backdoors!AC5,1))*IN64,0),"")</f>
        <v>0</v>
      </c>
      <c r="IR64" s="49">
        <f>VLOOKUP(A64,tbMoveset!A2:G112,7,FALSE)*IFERROR(IF(Backdoors!AI12&gt;=0,1+(IF(Calculator!E40&gt;0,VLOOKUP(Calculator!E40,tbSkills!AI3:AJ5,2,FALSE),Backdoors!AL4)*(IF((Backdoors!AI12+IF(IM64&gt;=0.45,VLOOKUP(Calculator!E23,tbSkills!DH3:DI6,2,FALSE)+IF(AND(Calculator!B8=TRUE,Backdoors!BI38=TRUE),VLOOKUP(Calculator!E23,tbSkills!DH3:DJ6,3,FALSE),0),0))&gt;=100,100,(Backdoors!AI12+IF(IM64&gt;=0.45,VLOOKUP(Calculator!E23,tbSkills!DH3:DI6,2,FALSE)+IF(AND(Calculator!B8=TRUE,Backdoors!BI38=TRUE),VLOOKUP(Calculator!E23,tbSkills!DH3:DJ6,3,FALSE),0),0)))/100)),1),1)</f>
        <v>0.6</v>
      </c>
      <c r="IS64" s="87">
        <f t="shared" si="42"/>
        <v>0</v>
      </c>
      <c r="IT64" s="86" t="str">
        <f>IFERROR(IF(VLOOKUP(A64,tbMoveset!A2:B112,2,FALSE)="Sever",Backdoors!AY39/100,IF(VLOOKUP(A64,tbMoveset!A2:B112,2,FALSE)="Blunt",Backdoors!AZ39/100,Backdoors!BA39/100)),"")</f>
        <v/>
      </c>
      <c r="IU64" s="49">
        <f>IFERROR(IF(VLOOKUP(tbMoveset!A64,tbMoveset!A2:H112,8,FALSE)="Other",IF(VLOOKUP(tbMoveset!A64,tbMoveset!A2:I112,9,FALSE)="Fire",Backdoors!BB39,IF(VLOOKUP(tbMoveset!A64,tbMoveset!A2:I112,9,FALSE)="Water",Backdoors!BC39,IF(VLOOKUP(tbMoveset!A64,tbMoveset!A2:I112,9,FALSE)="Thunder",Backdoors!BD39,IF(VLOOKUP(tbMoveset!A64,tbMoveset!A2:I112,9,FALSE)="Ice",Backdoors!BE39,IF(VLOOKUP(tbMoveset!A64,tbMoveset!A2:I112,9,FALSE)="Dragon",Backdoors!BF39,Backdoors!BG39)))))/100,Backdoors!BG39/100),"")</f>
        <v>0</v>
      </c>
      <c r="IV64" s="49">
        <f>IFERROR(IF(VLOOKUP(A64,tbMoveset!A2:J112,10,FALSE)=TRUE,IF((Backdoors!AI12+IF(IT64&gt;=0.45,VLOOKUP(Calculator!E23,tbSkills!DH3:DI6,2,FALSE)+IF(AND(Calculator!B8=TRUE,Backdoors!BI39=TRUE),VLOOKUP(Calculator!E23,tbSkills!DH3:DJ6,3,FALSE),0),0))&gt;=0,1+(Backdoors!AL2*(IF((Backdoors!AI12+IF(IT64&gt;=0.45,VLOOKUP(Calculator!E23,tbSkills!DH3:DI6,2,FALSE)+IF(AND(Calculator!B8=TRUE,Backdoors!BI39=TRUE),VLOOKUP(Calculator!E23,tbSkills!DH3:DJ6,3,FALSE),0),0))&gt;=100,100,(Backdoors!AI12+IF(IT64&gt;=0.45,VLOOKUP(Calculator!E23,tbSkills!DH3:DI6,2,FALSE)+IF(AND(Calculator!B8=TRUE,Backdoors!BI39=TRUE),VLOOKUP(Calculator!E23,tbSkills!DH3:DJ6,3,FALSE),0),0)))/100)),(1-(0.25*((-Backdoors!AI12-IF(IT64&gt;=0.45,VLOOKUP(Calculator!E23,tbSkills!DH3:DI6,2,FALSE)+IF(AND(Calculator!B8=TRUE,Backdoors!BI39=TRUE),VLOOKUP(Calculator!E23,tbSkills!DH3:DJ6,3,FALSE),0),0))/100)))),1),"")</f>
        <v>1</v>
      </c>
      <c r="IW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T64)*IV64)*(VLOOKUP(A64,tbMoveset!A2:C112,3,FALSE)/100)*IF(VLOOKUP(A64,tbMoveset!A2:B112,2,FALSE)="Projectile",Backdoors!N10,Backdoors!N9),0),"")</f>
        <v/>
      </c>
      <c r="IX64" s="49">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40&gt;0,VLOOKUP(Calculator!E40,tbSkills!AC3:AD5,2,FALSE),Backdoors!AL3)*(IF((Backdoors!AI12+IF(IT64&gt;=0.45,VLOOKUP(Calculator!E23,tbSkills!DH3:DI6,2,FALSE)+IF(AND(Calculator!B8=TRUE,Backdoors!BI39=TRUE),VLOOKUP(Calculator!E23,tbSkills!DH3:DJ6,3,FALSE),0),0))&gt;=100,100,(Backdoors!AI12+IF(IT64&gt;=0.45,VLOOKUP(Calculator!E23,tbSkills!DH3:DI6,2,FALSE)+IF(AND(Calculator!B8=TRUE,Backdoors!BI39=TRUE),VLOOKUP(Calculator!E23,tbSkills!DH3:DJ6,3,FALSE),0),0)))/100)),1))*IF(VLOOKUP(A64,tbMoveset!A2:K112,11,FALSE)=TRUE,Backdoors!AC5,1))*IU64,0),"")</f>
        <v>0</v>
      </c>
      <c r="IY64" s="49">
        <f>VLOOKUP(A64,tbMoveset!A2:G112,7,FALSE)*IFERROR(IF(Backdoors!AI12&gt;=0,1+(IF(Calculator!E40&gt;0,VLOOKUP(Calculator!E40,tbSkills!AI3:AJ5,2,FALSE),Backdoors!AL4)*(IF((Backdoors!AI12+IF(IT64&gt;=0.45,VLOOKUP(Calculator!E23,tbSkills!DH3:DI6,2,FALSE)+IF(AND(Calculator!B8=TRUE,Backdoors!BI39=TRUE),VLOOKUP(Calculator!E23,tbSkills!DH3:DJ6,3,FALSE),0),0))&gt;=100,100,(Backdoors!AI12+IF(IT64&gt;=0.45,VLOOKUP(Calculator!E23,tbSkills!DH3:DI6,2,FALSE)+IF(AND(Calculator!B8=TRUE,Backdoors!BI39=TRUE),VLOOKUP(Calculator!E23,tbSkills!DH3:DJ6,3,FALSE),0),0)))/100)),1),1)</f>
        <v>0.6</v>
      </c>
      <c r="IZ64" s="87">
        <f t="shared" si="28"/>
        <v>0</v>
      </c>
      <c r="JA64" s="86" t="str">
        <f>IFERROR(IF(VLOOKUP(A64,tbMoveset!A2:B112,2,FALSE)="Sever",Backdoors!AY40/100,IF(VLOOKUP(A64,tbMoveset!A2:B112,2,FALSE)="Blunt",Backdoors!AZ40/100,Backdoors!BA40/100)),"")</f>
        <v/>
      </c>
      <c r="JB64" s="49">
        <f>IFERROR(IF(VLOOKUP(tbMoveset!A64,tbMoveset!A2:H112,8,FALSE)="Other",IF(VLOOKUP(tbMoveset!A64,tbMoveset!A2:I112,9,FALSE)="Fire",Backdoors!BB40,IF(VLOOKUP(tbMoveset!A64,tbMoveset!A2:I112,9,FALSE)="Water",Backdoors!BC40,IF(VLOOKUP(tbMoveset!A64,tbMoveset!A2:I112,9,FALSE)="Thunder",Backdoors!BD40,IF(VLOOKUP(tbMoveset!A64,tbMoveset!A2:I112,9,FALSE)="Ice",Backdoors!BE40,IF(VLOOKUP(tbMoveset!A64,tbMoveset!A2:I112,9,FALSE)="Dragon",Backdoors!BF40,Backdoors!BG40)))))/100,Backdoors!BG40/100),"")</f>
        <v>0</v>
      </c>
      <c r="JC64" s="49">
        <f>IFERROR(IF(VLOOKUP(A64,tbMoveset!A2:J112,10,FALSE)=TRUE,IF((Backdoors!AI12+IF(JA64&gt;=0.45,VLOOKUP(Calculator!E23,tbSkills!DH3:DI6,2,FALSE)+IF(AND(Calculator!B8=TRUE,Backdoors!BI40=TRUE),VLOOKUP(Calculator!E23,tbSkills!DH3:DJ6,3,FALSE),0),0))&gt;=0,1+(Backdoors!AL2*(IF((Backdoors!AI12+IF(JA64&gt;=0.45,VLOOKUP(Calculator!E23,tbSkills!DH3:DI6,2,FALSE)+IF(AND(Calculator!B8=TRUE,Backdoors!BI40=TRUE),VLOOKUP(Calculator!E23,tbSkills!DH3:DJ6,3,FALSE),0),0))&gt;=100,100,(Backdoors!AI12+IF(JA64&gt;=0.45,VLOOKUP(Calculator!E23,tbSkills!DH3:DI6,2,FALSE)+IF(AND(Calculator!B8=TRUE,Backdoors!BI40=TRUE),VLOOKUP(Calculator!E23,tbSkills!DH3:DJ6,3,FALSE),0),0)))/100)),(1-(0.25*((-Backdoors!AI12-IF(JA64&gt;=0.45,VLOOKUP(Calculator!E23,tbSkills!DH3:DI6,2,FALSE)+IF(AND(Calculator!B8=TRUE,Backdoors!BI40=TRUE),VLOOKUP(Calculator!E23,tbSkills!DH3:DJ6,3,FALSE),0),0))/100)))),1),"")</f>
        <v>1</v>
      </c>
      <c r="JD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A64)*JC64)*(VLOOKUP(A64,tbMoveset!A2:C112,3,FALSE)/100)*IF(VLOOKUP(A64,tbMoveset!A2:B112,2,FALSE)="Projectile",Backdoors!N10,Backdoors!N9),0),"")</f>
        <v/>
      </c>
      <c r="JE64" s="49">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42&gt;0,VLOOKUP(Calculator!E42,tbSkills!AC3:AD5,2,FALSE),Backdoors!AL3)*(IF((Backdoors!AI12+IF(JA64&gt;=0.45,VLOOKUP(Calculator!E23,tbSkills!DH3:DI6,2,FALSE)+IF(AND(Calculator!B8=TRUE,Backdoors!BI40=TRUE),VLOOKUP(Calculator!E23,tbSkills!DH3:DJ6,3,FALSE),0),0))&gt;=100,100,(Backdoors!AI12+IF(JA64&gt;=0.45,VLOOKUP(Calculator!E23,tbSkills!DH3:DI6,2,FALSE)+IF(AND(Calculator!B8=TRUE,Backdoors!BI40=TRUE),VLOOKUP(Calculator!E23,tbSkills!DH3:DJ6,3,FALSE),0),0)))/100)),1))*IF(VLOOKUP(A64,tbMoveset!A2:K112,11,FALSE)=TRUE,Backdoors!AC5,1))*JB64,0),"")</f>
        <v>0</v>
      </c>
      <c r="JF64" s="49">
        <f>VLOOKUP(A64,tbMoveset!A2:G112,7,FALSE)*IFERROR(IF(Backdoors!AI12&gt;=0,1+(IF(Calculator!E40&gt;0,VLOOKUP(Calculator!E40,tbSkills!AI3:AJ5,2,FALSE),Backdoors!AL4)*(IF((Backdoors!AI12+IF(JA64&gt;=0.45,VLOOKUP(Calculator!E23,tbSkills!DH3:DI6,2,FALSE)+IF(AND(Calculator!B8=TRUE,Backdoors!BI40=TRUE),VLOOKUP(Calculator!E23,tbSkills!DH3:DJ6,3,FALSE),0),0))&gt;=100,100,(Backdoors!AI12+IF(JA64&gt;=0.45,VLOOKUP(Calculator!E23,tbSkills!DH3:DI6,2,FALSE)+IF(AND(Calculator!B8=TRUE,Backdoors!BI40=TRUE),VLOOKUP(Calculator!E23,tbSkills!DH3:DJ6,3,FALSE),0),0)))/100)),1),1)</f>
        <v>0.6</v>
      </c>
      <c r="JG64" s="87">
        <f t="shared" si="29"/>
        <v>0</v>
      </c>
      <c r="JH64" s="86" t="str">
        <f>IFERROR(IF(VLOOKUP(A64,tbMoveset!A2:B112,2,FALSE)="Sever",Backdoors!AY41/100,IF(VLOOKUP(A64,tbMoveset!A2:B112,2,FALSE)="Blunt",Backdoors!AZ41/100,Backdoors!BA41/100)),"")</f>
        <v/>
      </c>
      <c r="JI64" s="49">
        <f>IFERROR(IF(VLOOKUP(tbMoveset!A64,tbMoveset!A2:H112,8,FALSE)="Other",IF(VLOOKUP(tbMoveset!A64,tbMoveset!A2:I112,9,FALSE)="Fire",Backdoors!BB41,IF(VLOOKUP(tbMoveset!A64,tbMoveset!A2:I112,9,FALSE)="Water",Backdoors!BC41,IF(VLOOKUP(tbMoveset!A64,tbMoveset!A2:I112,9,FALSE)="Thunder",Backdoors!BD41,IF(VLOOKUP(tbMoveset!A64,tbMoveset!A2:I112,9,FALSE)="Ice",Backdoors!BE41,IF(VLOOKUP(tbMoveset!A64,tbMoveset!A2:I112,9,FALSE)="Dragon",Backdoors!BF41,Backdoors!BG41)))))/100,Backdoors!BG41/100),"")</f>
        <v>0</v>
      </c>
      <c r="JJ64" s="49">
        <f>IFERROR(IF(VLOOKUP(A64,tbMoveset!A2:J112,10,FALSE)=TRUE,IF((Backdoors!AI12+IF(JH64&gt;=0.45,VLOOKUP(Calculator!E23,tbSkills!DH3:DI6,2,FALSE)+IF(AND(Calculator!B8=TRUE,Backdoors!BI41=TRUE),VLOOKUP(Calculator!E23,tbSkills!DH3:DJ6,3,FALSE),0),0))&gt;=0,1+(Backdoors!AL2*(IF((Backdoors!AI12+IF(JH64&gt;=0.45,VLOOKUP(Calculator!E23,tbSkills!DH3:DI6,2,FALSE)+IF(AND(Calculator!B8=TRUE,Backdoors!BI41=TRUE),VLOOKUP(Calculator!E23,tbSkills!DH3:DJ6,3,FALSE),0),0))&gt;=100,100,(Backdoors!AI12+IF(JH64&gt;=0.45,VLOOKUP(Calculator!E23,tbSkills!DH3:DI6,2,FALSE)+IF(AND(Calculator!B8=TRUE,Backdoors!BI41=TRUE),VLOOKUP(Calculator!E23,tbSkills!DH3:DJ6,3,FALSE),0),0)))/100)),(1-(0.25*((-Backdoors!AI12-IF(JH64&gt;=0.45,VLOOKUP(Calculator!E23,tbSkills!DH3:DI6,2,FALSE)+IF(AND(Calculator!B8=TRUE,Backdoors!BI41=TRUE),VLOOKUP(Calculator!E23,tbSkills!DH3:DJ6,3,FALSE),0),0))/100)))),1),"")</f>
        <v>1</v>
      </c>
      <c r="JK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H64)*JJ64)*(VLOOKUP(A64,tbMoveset!A2:C112,3,FALSE)/100)*IF(VLOOKUP(A64,tbMoveset!A2:B112,2,FALSE)="Projectile",Backdoors!N10,Backdoors!N9),0),"")</f>
        <v/>
      </c>
      <c r="JL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43&gt;0,VLOOKUP(Calculator!E43,tbSkills!AC3:AD5,2,FALSE),Backdoors!AL3)*(IF((Backdoors!AI12+IF(JH64&gt;=0.45,VLOOKUP(Calculator!E23,tbSkills!DH3:DI6,2,FALSE)+IF(AND(Calculator!B8=TRUE,Backdoors!BI41=TRUE),VLOOKUP(Calculator!E23,tbSkills!DH3:DJ6,3,FALSE),0),0))&gt;=100,100,(Backdoors!AI12+IF(JH64&gt;=0.45,VLOOKUP(Calculator!E23,tbSkills!DH3:DI6,2,FALSE)+IF(AND(Calculator!B8=TRUE,Backdoors!BI41=TRUE),VLOOKUP(Calculator!E23,tbSkills!DH3:DJ6,3,FALSE),0),0)))/100)),1))*IF(VLOOKUP(A64,tbMoveset!A2:K112,11,FALSE)=TRUE,Backdoors!AC5,1))*JI64,0),"")</f>
        <v/>
      </c>
      <c r="JM64" s="49">
        <f>VLOOKUP(A64,tbMoveset!A2:G112,7,FALSE)*IFERROR(IF(Backdoors!AI12&gt;=0,1+(IF(Calculator!E40&gt;0,VLOOKUP(Calculator!E40,tbSkills!AI3:AJ5,2,FALSE),Backdoors!AL4)*(IF((Backdoors!AI12+IF(JH64&gt;=0.45,VLOOKUP(Calculator!E23,tbSkills!DH3:DI6,2,FALSE)+IF(AND(Calculator!B8=TRUE,Backdoors!BI41=TRUE),VLOOKUP(Calculator!E23,tbSkills!DH3:DJ6,3,FALSE),0),0))&gt;=100,100,(Backdoors!AI12+IF(JH64&gt;=0.45,VLOOKUP(Calculator!E23,tbSkills!DH3:DI6,2,FALSE)+IF(AND(Calculator!B8=TRUE,Backdoors!BI41=TRUE),VLOOKUP(Calculator!E23,tbSkills!DH3:DJ6,3,FALSE),0),0)))/100)),1),1)</f>
        <v>0.6</v>
      </c>
      <c r="JN64" s="87">
        <f t="shared" si="30"/>
        <v>0</v>
      </c>
      <c r="JO64" s="86" t="str">
        <f>IFERROR(IF(VLOOKUP(A64,tbMoveset!A2:B112,2,FALSE)="Sever",Backdoors!AY42/100,IF(VLOOKUP(A64,tbMoveset!A2:B112,2,FALSE)="Blunt",Backdoors!AZ42/100,Backdoors!BA42/100)),"")</f>
        <v/>
      </c>
      <c r="JP64" s="49">
        <f>IFERROR(IF(VLOOKUP(tbMoveset!A64,tbMoveset!A2:H112,8,FALSE)="Other",IF(VLOOKUP(tbMoveset!A64,tbMoveset!A2:I112,9,FALSE)="Fire",Backdoors!BB42,IF(VLOOKUP(tbMoveset!A64,tbMoveset!A2:I112,9,FALSE)="Water",Backdoors!BC42,IF(VLOOKUP(tbMoveset!A64,tbMoveset!A2:I112,9,FALSE)="Thunder",Backdoors!BD42,IF(VLOOKUP(tbMoveset!A64,tbMoveset!A2:I112,9,FALSE)="Ice",Backdoors!BE42,IF(VLOOKUP(tbMoveset!A64,tbMoveset!A2:I112,9,FALSE)="Dragon",Backdoors!BF42,Backdoors!BG42)))))/100,Backdoors!BG42/100),"")</f>
        <v>0</v>
      </c>
      <c r="JQ64" s="49">
        <f>IFERROR(IF(VLOOKUP(A64,tbMoveset!A2:J112,10,FALSE)=TRUE,IF((Backdoors!AI12+IF(JO64&gt;=0.45,VLOOKUP(Calculator!E23,tbSkills!DH3:DI6,2,FALSE)+IF(AND(Calculator!B8=TRUE,Backdoors!BI42=TRUE),VLOOKUP(Calculator!E23,tbSkills!DH3:DJ6,3,FALSE),0),0))&gt;=0,1+(Backdoors!AL2*(IF((Backdoors!AI12+IF(JO64&gt;=0.45,VLOOKUP(Calculator!E23,tbSkills!DH3:DI6,2,FALSE)+IF(AND(Calculator!B8=TRUE,Backdoors!BI42=TRUE),VLOOKUP(Calculator!E23,tbSkills!DH3:DJ6,3,FALSE),0),0))&gt;=100,100,(Backdoors!AI12+IF(JO64&gt;=0.45,VLOOKUP(Calculator!E23,tbSkills!DH3:DI6,2,FALSE)+IF(AND(Calculator!B8=TRUE,Backdoors!BI42=TRUE),VLOOKUP(Calculator!E23,tbSkills!DH3:DJ6,3,FALSE),0),0)))/100)),(1-(0.25*((-Backdoors!AI12-IF(JO64&gt;=0.45,VLOOKUP(Calculator!E23,tbSkills!DH3:DI6,2,FALSE)+IF(AND(Calculator!B8=TRUE,Backdoors!BI42=TRUE),VLOOKUP(Calculator!E23,tbSkills!DH3:DJ6,3,FALSE),0),0))/100)))),1),"")</f>
        <v>1</v>
      </c>
      <c r="JR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O64)*JQ64)*(VLOOKUP(A64,tbMoveset!A2:C112,3,FALSE)/100)*IF(VLOOKUP(A64,tbMoveset!A2:B112,2,FALSE)="Projectile",Backdoors!N10,Backdoors!N9),0),"")</f>
        <v/>
      </c>
      <c r="JS64" s="49">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45&gt;0,VLOOKUP(Calculator!E45,tbSkills!AC3:AD5,2,FALSE),Backdoors!AL3)*(IF((Backdoors!AI12+IF(JO64&gt;=0.45,VLOOKUP(Calculator!E23,tbSkills!DH3:DI6,2,FALSE)+IF(AND(Calculator!B8=TRUE,Backdoors!BI42=TRUE),VLOOKUP(Calculator!E23,tbSkills!DH3:DJ6,3,FALSE),0),0))&gt;=100,100,(Backdoors!AI12+IF(JO64&gt;=0.45,VLOOKUP(Calculator!E23,tbSkills!DH3:DI6,2,FALSE)+IF(AND(Calculator!B8=TRUE,Backdoors!BI42=TRUE),VLOOKUP(Calculator!E23,tbSkills!DH3:DJ6,3,FALSE),0),0)))/100)),1))*IF(VLOOKUP(A64,tbMoveset!A2:K112,11,FALSE)=TRUE,Backdoors!AC5,1))*JP64,0),"")</f>
        <v>0</v>
      </c>
      <c r="JT64" s="49">
        <f>VLOOKUP(A64,tbMoveset!A2:G112,7,FALSE)*IFERROR(IF(Backdoors!AI12&gt;=0,1+(IF(Calculator!E40&gt;0,VLOOKUP(Calculator!E40,tbSkills!AI3:AJ5,2,FALSE),Backdoors!AL4)*(IF((Backdoors!AI12+IF(JO64&gt;=0.45,VLOOKUP(Calculator!E23,tbSkills!DH3:DI6,2,FALSE)+IF(AND(Calculator!B8=TRUE,Backdoors!BI42=TRUE),VLOOKUP(Calculator!E23,tbSkills!DH3:DJ6,3,FALSE),0),0))&gt;=100,100,(Backdoors!AI12+IF(JO64&gt;=0.45,VLOOKUP(Calculator!E23,tbSkills!DH3:DI6,2,FALSE)+IF(AND(Calculator!B8=TRUE,Backdoors!BI42=TRUE),VLOOKUP(Calculator!E23,tbSkills!DH3:DJ6,3,FALSE),0),0)))/100)),1),1)</f>
        <v>0.6</v>
      </c>
      <c r="JU64" s="87">
        <f t="shared" si="31"/>
        <v>0</v>
      </c>
      <c r="JV64" s="86" t="str">
        <f>IFERROR(IF(VLOOKUP(A64,tbMoveset!A2:B112,2,FALSE)="Sever",Backdoors!AY43/100,IF(VLOOKUP(A64,tbMoveset!A2:B112,2,FALSE)="Blunt",Backdoors!AZ43/100,Backdoors!BA43/100)),"")</f>
        <v/>
      </c>
      <c r="JW64" s="49">
        <f>IFERROR(IF(VLOOKUP(tbMoveset!A64,tbMoveset!A2:H112,8,FALSE)="Other",IF(VLOOKUP(tbMoveset!A64,tbMoveset!A2:I112,9,FALSE)="Fire",Backdoors!BB43,IF(VLOOKUP(tbMoveset!A64,tbMoveset!A2:I112,9,FALSE)="Water",Backdoors!BC43,IF(VLOOKUP(tbMoveset!A64,tbMoveset!A2:I112,9,FALSE)="Thunder",Backdoors!BD43,IF(VLOOKUP(tbMoveset!A64,tbMoveset!A2:I112,9,FALSE)="Ice",Backdoors!BE43,IF(VLOOKUP(tbMoveset!A64,tbMoveset!A2:I112,9,FALSE)="Dragon",Backdoors!BF43,Backdoors!BG43)))))/100,Backdoors!BG43/100),"")</f>
        <v>0</v>
      </c>
      <c r="JX64" s="49">
        <f>IFERROR(IF(VLOOKUP(A64,tbMoveset!A2:J112,10,FALSE)=TRUE,IF((Backdoors!AI12+IF(JV64&gt;=0.45,VLOOKUP(Calculator!E23,tbSkills!DH3:DI6,2,FALSE)+IF(AND(Calculator!B8=TRUE,Backdoors!BI43=TRUE),VLOOKUP(Calculator!E23,tbSkills!DH3:DJ6,3,FALSE),0),0))&gt;=0,1+(Backdoors!AL2*(IF((Backdoors!AI12+IF(JV64&gt;=0.45,VLOOKUP(Calculator!E23,tbSkills!DH3:DI6,2,FALSE)+IF(AND(Calculator!B8=TRUE,Backdoors!BI43=TRUE),VLOOKUP(Calculator!E23,tbSkills!DH3:DJ6,3,FALSE),0),0))&gt;=100,100,(Backdoors!AI12+IF(JV64&gt;=0.45,VLOOKUP(Calculator!E23,tbSkills!DH3:DI6,2,FALSE)+IF(AND(Calculator!B8=TRUE,Backdoors!BI43=TRUE),VLOOKUP(Calculator!E23,tbSkills!DH3:DJ6,3,FALSE),0),0)))/100)),(1-(0.25*((-Backdoors!AI12-IF(JV64&gt;=0.45,VLOOKUP(Calculator!E23,tbSkills!DH3:DI6,2,FALSE)+IF(AND(Calculator!B8=TRUE,Backdoors!BI43=TRUE),VLOOKUP(Calculator!E23,tbSkills!DH3:DJ6,3,FALSE),0),0))/100)))),1),"")</f>
        <v>1</v>
      </c>
      <c r="JY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V64)*JX64)*(VLOOKUP(A64,tbMoveset!A2:C112,3,FALSE)/100)*IF(VLOOKUP(A64,tbMoveset!A2:B112,2,FALSE)="Projectile",Backdoors!N10,Backdoors!N9),0),"")</f>
        <v/>
      </c>
      <c r="JZ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46&gt;0,VLOOKUP(Calculator!E46,tbSkills!AC3:AD5,2,FALSE),Backdoors!AL3)*(IF((Backdoors!AI12+IF(JV64&gt;=0.45,VLOOKUP(Calculator!E23,tbSkills!DH3:DI6,2,FALSE)+IF(AND(Calculator!B8=TRUE,Backdoors!BI43=TRUE),VLOOKUP(Calculator!E23,tbSkills!DH3:DJ6,3,FALSE),0),0))&gt;=100,100,(Backdoors!AI12+IF(JV64&gt;=0.45,VLOOKUP(Calculator!E23,tbSkills!DH3:DI6,2,FALSE)+IF(AND(Calculator!B8=TRUE,Backdoors!BI43=TRUE),VLOOKUP(Calculator!E23,tbSkills!DH3:DJ6,3,FALSE),0),0)))/100)),1))*IF(VLOOKUP(A64,tbMoveset!A2:K112,11,FALSE)=TRUE,Backdoors!AC5,1))*JW64,0),"")</f>
        <v/>
      </c>
      <c r="KA64" s="49">
        <f>VLOOKUP(A64,tbMoveset!A2:G112,7,FALSE)*IFERROR(IF(Backdoors!AI12&gt;=0,1+(IF(Calculator!E40&gt;0,VLOOKUP(Calculator!E40,tbSkills!AI3:AJ5,2,FALSE),Backdoors!AL4)*(IF((Backdoors!AI12+IF(JV64&gt;=0.45,VLOOKUP(Calculator!E23,tbSkills!DH3:DI6,2,FALSE)+IF(AND(Calculator!B8=TRUE,Backdoors!BI43=TRUE),VLOOKUP(Calculator!E23,tbSkills!DH3:DJ6,3,FALSE),0),0))&gt;=100,100,(Backdoors!AI12+IF(JV64&gt;=0.45,VLOOKUP(Calculator!E23,tbSkills!DH3:DI6,2,FALSE)+IF(AND(Calculator!B8=TRUE,Backdoors!BI43=TRUE),VLOOKUP(Calculator!E23,tbSkills!DH3:DJ6,3,FALSE),0),0)))/100)),1),1)</f>
        <v>0.6</v>
      </c>
      <c r="KB64" s="87">
        <f t="shared" si="32"/>
        <v>0</v>
      </c>
      <c r="KC64" s="86" t="str">
        <f>IFERROR(IF(VLOOKUP(A64,tbMoveset!A2:B112,2,FALSE)="Sever",Backdoors!AY44/100,IF(VLOOKUP(A64,tbMoveset!A2:B112,2,FALSE)="Blunt",Backdoors!AZ44/100,Backdoors!BA44/100)),"")</f>
        <v/>
      </c>
      <c r="KD64" s="49">
        <f>IFERROR(IF(VLOOKUP(tbMoveset!A64,tbMoveset!A2:H112,8,FALSE)="Other",IF(VLOOKUP(tbMoveset!A64,tbMoveset!A2:I112,9,FALSE)="Fire",Backdoors!BB44,IF(VLOOKUP(tbMoveset!A64,tbMoveset!A2:I112,9,FALSE)="Water",Backdoors!BC44,IF(VLOOKUP(tbMoveset!A64,tbMoveset!A2:I112,9,FALSE)="Thunder",Backdoors!BD44,IF(VLOOKUP(tbMoveset!A64,tbMoveset!A2:I112,9,FALSE)="Ice",Backdoors!BE44,IF(VLOOKUP(tbMoveset!A64,tbMoveset!A2:I112,9,FALSE)="Dragon",Backdoors!BF44,Backdoors!BG44)))))/100,Backdoors!BG44/100),"")</f>
        <v>0</v>
      </c>
      <c r="KE64" s="49">
        <f>IFERROR(IF(VLOOKUP(A64,tbMoveset!A2:J112,10,FALSE)=TRUE,IF((Backdoors!AI12+IF(KC64&gt;=0.45,VLOOKUP(Calculator!E23,tbSkills!DH3:DI6,2,FALSE)+IF(AND(Calculator!B8=TRUE,Backdoors!BI44=TRUE),VLOOKUP(Calculator!E23,tbSkills!DH3:DJ6,3,FALSE),0),0))&gt;=0,1+(Backdoors!AL2*(IF((Backdoors!AI12+IF(KC64&gt;=0.45,VLOOKUP(Calculator!E23,tbSkills!DH3:DI6,2,FALSE)+IF(AND(Calculator!B8=TRUE,Backdoors!BI44=TRUE),VLOOKUP(Calculator!E23,tbSkills!DH3:DJ6,3,FALSE),0),0))&gt;=100,100,(Backdoors!AI12+IF(KC64&gt;=0.45,VLOOKUP(Calculator!E23,tbSkills!DH3:DI6,2,FALSE)+IF(AND(Calculator!B8=TRUE,Backdoors!BI44=TRUE),VLOOKUP(Calculator!E23,tbSkills!DH3:DJ6,3,FALSE),0),0)))/100)),(1-(0.25*((-Backdoors!AI12-IF(KC64&gt;=0.45,VLOOKUP(Calculator!E23,tbSkills!DH3:DI6,2,FALSE)+IF(AND(Calculator!B8=TRUE,Backdoors!BI44=TRUE),VLOOKUP(Calculator!E23,tbSkills!DH3:DJ6,3,FALSE),0),0))/100)))),1),"")</f>
        <v>1</v>
      </c>
      <c r="KF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KC64)*KE64)*(VLOOKUP(A64,tbMoveset!A2:C112,3,FALSE)/100)*IF(VLOOKUP(A64,tbMoveset!A2:B112,2,FALSE)="Projectile",Backdoors!N10,Backdoors!N9),0),"")</f>
        <v/>
      </c>
      <c r="KG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REF!&gt;0,VLOOKUP(Calculator!#REF!,tbSkills!AC3:AD5,2,FALSE),Backdoors!AL3)*(IF((Backdoors!AI12+IF(KC64&gt;=0.45,VLOOKUP(Calculator!E23,tbSkills!DH3:DI6,2,FALSE)+IF(AND(Calculator!B8=TRUE,Backdoors!BI44=TRUE),VLOOKUP(Calculator!E23,tbSkills!DH3:DJ6,3,FALSE),0),0))&gt;=100,100,(Backdoors!AI12+IF(KC64&gt;=0.45,VLOOKUP(Calculator!E23,tbSkills!DH3:DI6,2,FALSE)+IF(AND(Calculator!B8=TRUE,Backdoors!BI44=TRUE),VLOOKUP(Calculator!E23,tbSkills!DH3:DJ6,3,FALSE),0),0)))/100)),1))*IF(VLOOKUP(A64,tbMoveset!A2:K112,11,FALSE)=TRUE,Backdoors!AC5,1))*KD64,0),"")</f>
        <v/>
      </c>
      <c r="KH64" s="49">
        <f>VLOOKUP(A64,tbMoveset!A2:G112,7,FALSE)*IFERROR(IF(Backdoors!AI12&gt;=0,1+(IF(Calculator!E40&gt;0,VLOOKUP(Calculator!E40,tbSkills!AI3:AJ5,2,FALSE),Backdoors!AL4)*(IF((Backdoors!AI12+IF(KC64&gt;=0.45,VLOOKUP(Calculator!E23,tbSkills!DH3:DI6,2,FALSE)+IF(AND(Calculator!B8=TRUE,Backdoors!BI44=TRUE),VLOOKUP(Calculator!E23,tbSkills!DH3:DJ6,3,FALSE),0),0))&gt;=100,100,(Backdoors!AI12+IF(KC64&gt;=0.45,VLOOKUP(Calculator!E23,tbSkills!DH3:DI6,2,FALSE)+IF(AND(Calculator!B8=TRUE,Backdoors!BI44=TRUE),VLOOKUP(Calculator!E23,tbSkills!DH3:DJ6,3,FALSE),0),0)))/100)),1),1)</f>
        <v>0.6</v>
      </c>
      <c r="KI64" s="87">
        <f t="shared" si="33"/>
        <v>0</v>
      </c>
      <c r="KJ64" s="86" t="str">
        <f>IFERROR(IF(VLOOKUP(A64,tbMoveset!A2:B112,2,FALSE)="Sever",Backdoors!AY45/100,IF(VLOOKUP(A64,tbMoveset!A2:B112,2,FALSE)="Blunt",Backdoors!AZ45/100,Backdoors!BA45/100)),"")</f>
        <v/>
      </c>
      <c r="KK64" s="49">
        <f>IFERROR(IF(VLOOKUP(tbMoveset!A64,tbMoveset!A2:H112,8,FALSE)="Other",IF(VLOOKUP(tbMoveset!A64,tbMoveset!A2:I112,9,FALSE)="Fire",Backdoors!BB45,IF(VLOOKUP(tbMoveset!A64,tbMoveset!A2:I112,9,FALSE)="Water",Backdoors!BC45,IF(VLOOKUP(tbMoveset!A64,tbMoveset!A2:I112,9,FALSE)="Thunder",Backdoors!BD45,IF(VLOOKUP(tbMoveset!A64,tbMoveset!A2:I112,9,FALSE)="Ice",Backdoors!BE45,IF(VLOOKUP(tbMoveset!A64,tbMoveset!A2:I112,9,FALSE)="Dragon",Backdoors!BF45,Backdoors!BG45)))))/100,Backdoors!BG45/100),"")</f>
        <v>0</v>
      </c>
      <c r="KL64" s="49">
        <f>IFERROR(IF(VLOOKUP(A64,tbMoveset!A2:J112,10,FALSE)=TRUE,IF((Backdoors!AI12+IF(KJ64&gt;=0.45,VLOOKUP(Calculator!E23,tbSkills!DH3:DI6,2,FALSE)+IF(AND(Calculator!B8=TRUE,Backdoors!BI45=TRUE),VLOOKUP(Calculator!E23,tbSkills!DH3:DJ6,3,FALSE),0),0))&gt;=0,1+(Backdoors!AL2*(IF((Backdoors!AI12+IF(KJ64&gt;=0.45,VLOOKUP(Calculator!E23,tbSkills!DH3:DI6,2,FALSE)+IF(AND(Calculator!B8=TRUE,Backdoors!BI45=TRUE),VLOOKUP(Calculator!E23,tbSkills!DH3:DJ6,3,FALSE),0),0))&gt;=100,100,(Backdoors!AI12+IF(KJ64&gt;=0.45,VLOOKUP(Calculator!E23,tbSkills!DH3:DI6,2,FALSE)+IF(AND(Calculator!B8=TRUE,Backdoors!BI45=TRUE),VLOOKUP(Calculator!E23,tbSkills!DH3:DJ6,3,FALSE),0),0)))/100)),(1-(0.25*((-Backdoors!AI12-IF(KJ64&gt;=0.45,VLOOKUP(Calculator!E23,tbSkills!DH3:DI6,2,FALSE)+IF(AND(Calculator!B8=TRUE,Backdoors!BI45=TRUE),VLOOKUP(Calculator!E23,tbSkills!DH3:DJ6,3,FALSE),0),0))/100)))),1),"")</f>
        <v>1</v>
      </c>
      <c r="KM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KJ64)*KL64)*(VLOOKUP(A64,tbMoveset!A2:C112,3,FALSE)/100)*IF(VLOOKUP(A64,tbMoveset!A2:B112,2,FALSE)="Projectile",Backdoors!N10,Backdoors!N9),0),"")</f>
        <v/>
      </c>
      <c r="KN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REF!&gt;0,VLOOKUP(Calculator!#REF!,tbSkills!AC3:AD5,2,FALSE),Backdoors!AL3)*(IF((Backdoors!AI12+IF(KJ64&gt;=0.45,VLOOKUP(Calculator!E23,tbSkills!DH3:DI6,2,FALSE)+IF(AND(Calculator!B8=TRUE,Backdoors!BI45=TRUE),VLOOKUP(Calculator!E23,tbSkills!DH3:DJ6,3,FALSE),0),0))&gt;=100,100,(Backdoors!AI12+IF(KJ64&gt;=0.45,VLOOKUP(Calculator!E23,tbSkills!DH3:DI6,2,FALSE)+IF(AND(Calculator!B8=TRUE,Backdoors!BI45=TRUE),VLOOKUP(Calculator!E23,tbSkills!DH3:DJ6,3,FALSE),0),0)))/100)),1))*IF(VLOOKUP(A64,tbMoveset!A2:K112,11,FALSE)=TRUE,Backdoors!AC5,1))*KK64,0),"")</f>
        <v/>
      </c>
      <c r="KO64" s="49">
        <f>VLOOKUP(A64,tbMoveset!A2:G112,7,FALSE)*IFERROR(IF(Backdoors!AI12&gt;=0,1+(IF(Calculator!E40&gt;0,VLOOKUP(Calculator!E40,tbSkills!AI3:AJ5,2,FALSE),Backdoors!AL4)*(IF((Backdoors!AI12+IF(KJ64&gt;=0.45,VLOOKUP(Calculator!E23,tbSkills!DH3:DI6,2,FALSE)+IF(AND(Calculator!B8=TRUE,Backdoors!BI45=TRUE),VLOOKUP(Calculator!E23,tbSkills!DH3:DJ6,3,FALSE),0),0))&gt;=100,100,(Backdoors!AI12+IF(KJ64&gt;=0.45,VLOOKUP(Calculator!E23,tbSkills!DH3:DI6,2,FALSE)+IF(AND(Calculator!B8=TRUE,Backdoors!BI45=TRUE),VLOOKUP(Calculator!E23,tbSkills!DH3:DJ6,3,FALSE),0),0)))/100)),1),1)</f>
        <v>0.6</v>
      </c>
      <c r="KP64" s="87">
        <f t="shared" si="34"/>
        <v>0</v>
      </c>
      <c r="KQ64" s="86" t="str">
        <f>IFERROR(IF(VLOOKUP(A64,tbMoveset!A2:B112,2,FALSE)="Sever",Backdoors!AY46/100,IF(VLOOKUP(A64,tbMoveset!A2:B112,2,FALSE)="Blunt",Backdoors!AZ46/100,Backdoors!BA46/100)),"")</f>
        <v/>
      </c>
      <c r="KR64" s="49">
        <f>IFERROR(IF(VLOOKUP(tbMoveset!A64,tbMoveset!A2:H112,8,FALSE)="Other",IF(VLOOKUP(tbMoveset!A64,tbMoveset!A2:I112,9,FALSE)="Fire",Backdoors!BB46,IF(VLOOKUP(tbMoveset!A64,tbMoveset!A2:I112,9,FALSE)="Water",Backdoors!BC46,IF(VLOOKUP(tbMoveset!A64,tbMoveset!A2:I112,9,FALSE)="Thunder",Backdoors!BD46,IF(VLOOKUP(tbMoveset!A64,tbMoveset!A2:I112,9,FALSE)="Ice",Backdoors!BE46,IF(VLOOKUP(tbMoveset!A64,tbMoveset!A2:I112,9,FALSE)="Dragon",Backdoors!BF46,Backdoors!BG46)))))/100,Backdoors!BG46/100),"")</f>
        <v>0</v>
      </c>
      <c r="KS64" s="49">
        <f>IFERROR(IF(VLOOKUP(A64,tbMoveset!A2:J112,10,FALSE)=TRUE,IF((Backdoors!AI12+IF(KQ64&gt;=0.45,VLOOKUP(Calculator!E23,tbSkills!DH3:DI6,2,FALSE)+IF(AND(Calculator!B8=TRUE,Backdoors!BI46=TRUE),VLOOKUP(Calculator!E23,tbSkills!DH3:DJ6,3,FALSE),0),0))&gt;=0,1+(Backdoors!AL2*(IF((Backdoors!AI12+IF(KQ64&gt;=0.45,VLOOKUP(Calculator!E23,tbSkills!DH3:DI6,2,FALSE)+IF(AND(Calculator!B8=TRUE,Backdoors!BI46=TRUE),VLOOKUP(Calculator!E23,tbSkills!DH3:DJ6,3,FALSE),0),0))&gt;=100,100,(Backdoors!AI12+IF(KQ64&gt;=0.45,VLOOKUP(Calculator!E23,tbSkills!DH3:DI6,2,FALSE)+IF(AND(Calculator!B8=TRUE,Backdoors!BI46=TRUE),VLOOKUP(Calculator!E23,tbSkills!DH3:DJ6,3,FALSE),0),0)))/100)),(1-(0.25*((-Backdoors!AI12-IF(KQ64&gt;=0.45,VLOOKUP(Calculator!E23,tbSkills!DH3:DI6,2,FALSE)+IF(AND(Calculator!B8=TRUE,Backdoors!BI46=TRUE),VLOOKUP(Calculator!E23,tbSkills!DH3:DJ6,3,FALSE),0),0))/100)))),1),"")</f>
        <v>1</v>
      </c>
      <c r="KT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KQ64)*KS64)*(VLOOKUP(A64,tbMoveset!A2:C112,3,FALSE)/100)*IF(VLOOKUP(A64,tbMoveset!A2:B112,2,FALSE)="Projectile",Backdoors!N10,Backdoors!N9),0),"")</f>
        <v/>
      </c>
      <c r="KU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REF!&gt;0,VLOOKUP(Calculator!#REF!,tbSkills!AC3:AD5,2,FALSE),Backdoors!AL3)*(IF((Backdoors!AI12+IF(KQ64&gt;=0.45,VLOOKUP(Calculator!E23,tbSkills!DH3:DI6,2,FALSE)+IF(AND(Calculator!B8=TRUE,Backdoors!BI46=TRUE),VLOOKUP(Calculator!E23,tbSkills!DH3:DJ6,3,FALSE),0),0))&gt;=100,100,(Backdoors!AI12+IF(KQ64&gt;=0.45,VLOOKUP(Calculator!E23,tbSkills!DH3:DI6,2,FALSE)+IF(AND(Calculator!B8=TRUE,Backdoors!BI46=TRUE),VLOOKUP(Calculator!E23,tbSkills!DH3:DJ6,3,FALSE),0),0)))/100)),1))*IF(VLOOKUP(A64,tbMoveset!A2:K112,11,FALSE)=TRUE,Backdoors!AC5,1))*KR64,0),"")</f>
        <v/>
      </c>
      <c r="KV64" s="49">
        <f>VLOOKUP(A64,tbMoveset!A2:G112,7,FALSE)*IFERROR(IF(Backdoors!AI12&gt;=0,1+(IF(Calculator!E40&gt;0,VLOOKUP(Calculator!E40,tbSkills!AI3:AJ5,2,FALSE),Backdoors!AL4)*(IF((Backdoors!AI12+IF(KQ64&gt;=0.45,VLOOKUP(Calculator!E23,tbSkills!DH3:DI6,2,FALSE)+IF(AND(Calculator!B8=TRUE,Backdoors!BI46=TRUE),VLOOKUP(Calculator!E23,tbSkills!DH3:DJ6,3,FALSE),0),0))&gt;=100,100,(Backdoors!AI12+IF(KQ64&gt;=0.45,VLOOKUP(Calculator!E23,tbSkills!DH3:DI6,2,FALSE)+IF(AND(Calculator!B8=TRUE,Backdoors!BI46=TRUE),VLOOKUP(Calculator!E23,tbSkills!DH3:DJ6,3,FALSE),0),0)))/100)),1),1)</f>
        <v>0.6</v>
      </c>
      <c r="KW64" s="87">
        <f t="shared" si="35"/>
        <v>0</v>
      </c>
    </row>
    <row r="65" spans="1:309" x14ac:dyDescent="0.25">
      <c r="A65" s="95" t="str">
        <f>tbMoveset!A65</f>
        <v>Blade Dance (L6)</v>
      </c>
      <c r="B65" s="86">
        <f>IFERROR(IF(VLOOKUP(A65,tbMoveset!A2:B112,2,FALSE)="Sever",Backdoors!AY3/100,IF(VLOOKUP(A65,tbMoveset!A2:B112,2,FALSE)="Blunt",Backdoors!AZ3/100,Backdoors!BA3/100)),"")</f>
        <v>0.8</v>
      </c>
      <c r="C65" s="49">
        <f>IFERROR(IF(VLOOKUP(tbMoveset!A65,tbMoveset!A2:H112,8,FALSE)="Other",IF(VLOOKUP(tbMoveset!A65,tbMoveset!A2:I112,9,FALSE)="Fire",Backdoors!BB3,IF(VLOOKUP(tbMoveset!A65,tbMoveset!A2:I112,9,FALSE)="Water",Backdoors!BC3,IF(VLOOKUP(tbMoveset!A65,tbMoveset!A2:I112,9,FALSE)="Thunder",Backdoors!BD3,IF(VLOOKUP(tbMoveset!A65,tbMoveset!A2:I112,9,FALSE)="Ice",Backdoors!BE3,IF(VLOOKUP(tbMoveset!A65,tbMoveset!A2:I112,9,FALSE)="Dragon",Backdoors!BF3,Backdoors!BG3)))))/100,Backdoors!BG3/100),"")</f>
        <v>0</v>
      </c>
      <c r="D65" s="49">
        <f>IFERROR(IF(VLOOKUP(A65,tbMoveset!A2:J112,10,FALSE)=TRUE,IF((Backdoors!AI12+IF(B65&gt;=0.45,VLOOKUP(Calculator!E23,tbSkills!DH3:DI6,2,FALSE)+IF(AND(Calculator!B8=TRUE,Backdoors!BI3=TRUE),VLOOKUP(Calculator!E23,tbSkills!DH3:DJ6,3,FALSE),0),0))&gt;=0,1+(Backdoors!AL2*(IF((Backdoors!AI12+IF(B65&gt;=0.45,VLOOKUP(Calculator!E23,tbSkills!DH3:DI6,2,FALSE)+IF(AND(Calculator!B8=TRUE,Backdoors!BI3=TRUE),VLOOKUP(Calculator!E23,tbSkills!DH3:DJ6,3,FALSE),0),0))&gt;=100,100,(Backdoors!AI12+IF(B65&gt;=0.45,VLOOKUP(Calculator!E23,tbSkills!DH3:DI6,2,FALSE)+IF(AND(Calculator!B8=TRUE,Backdoors!BI3=TRUE),VLOOKUP(Calculator!E23,tbSkills!DH3:DJ6,3,FALSE),0),0)))/100)),(1-(0.25*((-Backdoors!AI12-IF(B65&gt;=0.45,VLOOKUP(Calculator!E23,tbSkills!DH3:DI6,2,FALSE)+IF(AND(Calculator!B8=TRUE,Backdoors!BI3=TRUE),VLOOKUP(Calculator!E23,tbSkills!DH3:DJ6,3,FALSE),0),0))/100)))),1),"")</f>
        <v>1</v>
      </c>
      <c r="E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65)*D65)*(VLOOKUP(A65,tbMoveset!A2:C112,3,FALSE)/100)*IF(VLOOKUP(A65,tbMoveset!A2:B112,2,FALSE)="Projectile",Backdoors!N10,Backdoors!N9),0),"")</f>
        <v>6</v>
      </c>
      <c r="F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65&gt;=0.45,VLOOKUP(Calculator!E23,tbSkills!DH3:DI6,2,FALSE)+IF(AND(Calculator!B8=TRUE,Backdoors!BI3=TRUE),VLOOKUP(Calculator!E23,tbSkills!DH3:DJ6,3,FALSE),0),0))&gt;=100,100,(Backdoors!AI12+IF(B65&gt;=0.45,VLOOKUP(Calculator!E23,tbSkills!DH3:DI6,2,FALSE)+IF(AND(Calculator!B8=TRUE,Backdoors!BI3=TRUE),VLOOKUP(Calculator!E23,tbSkills!DH3:DJ6,3,FALSE),0),0)))/100)),1))*IF(VLOOKUP(A65,tbMoveset!A2:K112,11,FALSE)=TRUE,Backdoors!AC5,1))*C65,0),"")</f>
        <v>0</v>
      </c>
      <c r="G65">
        <f>VLOOKUP(A65,tbMoveset!A2:G112,7,FALSE)*IFERROR(IF(Backdoors!AI12&gt;=0,1+(IF(Calculator!E40&gt;0,VLOOKUP(Calculator!E40,tbSkills!AI3:AJ5,2,FALSE),Backdoors!AL4)*(IF((Backdoors!AI12+IF(B65&gt;=0.45,VLOOKUP(Calculator!E23,tbSkills!DH3:DI6,2,FALSE)+IF(AND(Calculator!B8=TRUE,Backdoors!BI3=TRUE),VLOOKUP(Calculator!E23,tbSkills!DH3:DJ6,3,FALSE),0),0))&gt;=100,100,(Backdoors!AI12+IF(B65&gt;=0.45,VLOOKUP(Calculator!E23,tbSkills!DH3:DI6,2,FALSE)+IF(AND(Calculator!B8=TRUE,Backdoors!BI3=TRUE),VLOOKUP(Calculator!E23,tbSkills!DH3:DJ6,3,FALSE),0),0)))/100)),1),1)</f>
        <v>0.6</v>
      </c>
      <c r="H65" s="87">
        <f t="shared" si="44"/>
        <v>6</v>
      </c>
      <c r="I65" s="86">
        <f>IFERROR(IF(VLOOKUP(A65,tbMoveset!A2:B112,2,FALSE)="Sever",Backdoors!AY4/100,IF(VLOOKUP(A65,tbMoveset!A2:B112,2,FALSE)="Blunt",Backdoors!AZ4/100,Backdoors!BA4/100)),"")</f>
        <v>0.65</v>
      </c>
      <c r="J65" s="49">
        <f>IFERROR(IF(VLOOKUP(tbMoveset!A65,tbMoveset!A2:H112,8,FALSE)="Other",IF(VLOOKUP(tbMoveset!A65,tbMoveset!A2:I112,9,FALSE)="Fire",Backdoors!BB4,IF(VLOOKUP(tbMoveset!A65,tbMoveset!A2:I112,9,FALSE)="Water",Backdoors!BC4,IF(VLOOKUP(tbMoveset!A65,tbMoveset!A2:I112,9,FALSE)="Thunder",Backdoors!BD4,IF(VLOOKUP(tbMoveset!A65,tbMoveset!A2:I112,9,FALSE)="Ice",Backdoors!BE4,IF(VLOOKUP(tbMoveset!A65,tbMoveset!A2:I112,9,FALSE)="Dragon",Backdoors!BF4,Backdoors!BG4)))))/100,Backdoors!BG4/100),"")</f>
        <v>0</v>
      </c>
      <c r="K65" s="49">
        <f>IFERROR(IF(VLOOKUP(A65,tbMoveset!A2:J112,10,FALSE)=TRUE,IF((Backdoors!AI12+IF(I65&gt;=0.45,VLOOKUP(Calculator!E23,tbSkills!DH3:DI6,2,FALSE)+IF(AND(Calculator!B8=TRUE,Backdoors!BI4=TRUE),VLOOKUP(Calculator!E23,tbSkills!DH3:DJ6,3,FALSE),0),0))&gt;=0,1+(Backdoors!AL2*(IF((Backdoors!AI12+IF(I65&gt;=0.45,VLOOKUP(Calculator!E23,tbSkills!DH3:DI6,2,FALSE)+IF(AND(Calculator!B8=TRUE,Backdoors!BI4=TRUE),VLOOKUP(Calculator!E23,tbSkills!DH3:DJ6,3,FALSE),0),0))&gt;=100,100,(Backdoors!AI12+IF(I65&gt;=0.45,VLOOKUP(Calculator!E23,tbSkills!DH3:DI6,2,FALSE)+IF(AND(Calculator!B8=TRUE,Backdoors!BI4=TRUE),VLOOKUP(Calculator!E23,tbSkills!DH3:DJ6,3,FALSE),0),0)))/100)),(1-(0.25*((-Backdoors!AI12-IF(I65&gt;=0.45,VLOOKUP(Calculator!E23,tbSkills!DH3:DI6,2,FALSE)+IF(AND(Calculator!B8=TRUE,Backdoors!BI4=TRUE),VLOOKUP(Calculator!E23,tbSkills!DH3:DJ6,3,FALSE),0),0))/100)))),1),"")</f>
        <v>1</v>
      </c>
      <c r="L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65)*K65)*(VLOOKUP(A65,tbMoveset!A2:C112,3,FALSE)/100)*IF(VLOOKUP(A65,tbMoveset!A2:B112,2,FALSE)="Projectile",Backdoors!N10,Backdoors!N9),0),"")</f>
        <v>5</v>
      </c>
      <c r="M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I65&gt;=0.45,VLOOKUP(Calculator!E23,tbSkills!DH3:DI6,2,FALSE)+IF(AND(Calculator!B8=TRUE,Backdoors!BI4=TRUE),VLOOKUP(Calculator!E23,tbSkills!DH3:DJ6,3,FALSE),0),0))&gt;=100,100,(Backdoors!AI12+IF(I65&gt;=0.45,VLOOKUP(Calculator!E23,tbSkills!DH3:DI6,2,FALSE)+IF(AND(Calculator!B8=TRUE,Backdoors!BI4=TRUE),VLOOKUP(Calculator!E23,tbSkills!DH3:DJ6,3,FALSE),0),0)))/100)),1))*IF(VLOOKUP(A65,tbMoveset!A2:K112,11,FALSE)=TRUE,Backdoors!AC5,1))*J65,0),"")</f>
        <v>0</v>
      </c>
      <c r="N65" s="49">
        <f>VLOOKUP(A65,tbMoveset!A2:G112,7,FALSE)*IFERROR(IF(Backdoors!AI12&gt;=0,1+(IF(Calculator!E40&gt;0,VLOOKUP(Calculator!E40,tbSkills!AI3:AJ5,2,FALSE),Backdoors!AL4)*(IF((Backdoors!AI12+IF(I65&gt;=0.45,VLOOKUP(Calculator!E23,tbSkills!DH3:DI6,2,FALSE)+IF(AND(Calculator!B8=TRUE,Backdoors!BI4=TRUE),VLOOKUP(Calculator!E23,tbSkills!DH3:DJ6,3,FALSE),0),0))&gt;=100,100,(Backdoors!AI12+IF(I65&gt;=0.45,VLOOKUP(Calculator!E23,tbSkills!DH3:DI6,2,FALSE)+IF(AND(Calculator!B8=TRUE,Backdoors!BI4=TRUE),VLOOKUP(Calculator!E23,tbSkills!DH3:DJ6,3,FALSE),0),0)))/100)),1),1)</f>
        <v>0.6</v>
      </c>
      <c r="O65" s="87">
        <f t="shared" si="45"/>
        <v>5</v>
      </c>
      <c r="P65" s="86">
        <f>IFERROR(IF(VLOOKUP(A65,tbMoveset!A2:B112,2,FALSE)="Sever",Backdoors!AY5/100,IF(VLOOKUP(A65,tbMoveset!A2:B112,2,FALSE)="Blunt",Backdoors!AZ5/100,Backdoors!BA5/100)),"")</f>
        <v>0.5</v>
      </c>
      <c r="Q65" s="49">
        <f>IFERROR(IF(VLOOKUP(tbMoveset!A65,tbMoveset!A2:H112,8,FALSE)="Other",IF(VLOOKUP(tbMoveset!A65,tbMoveset!A2:I112,9,FALSE)="Fire",Backdoors!BB5,IF(VLOOKUP(tbMoveset!A65,tbMoveset!A2:I112,9,FALSE)="Water",Backdoors!BC5,IF(VLOOKUP(tbMoveset!A65,tbMoveset!A2:I112,9,FALSE)="Thunder",Backdoors!BD5,IF(VLOOKUP(tbMoveset!A65,tbMoveset!A2:I112,9,FALSE)="Ice",Backdoors!BE5,IF(VLOOKUP(tbMoveset!A65,tbMoveset!A2:I112,9,FALSE)="Dragon",Backdoors!BF5,Backdoors!BG5)))))/100,Backdoors!BG5/100),"")</f>
        <v>0</v>
      </c>
      <c r="R65" s="49">
        <f>IFERROR(IF(VLOOKUP(A65,tbMoveset!A2:J112,10,FALSE)=TRUE,IF((Backdoors!AI12+IF(P65&gt;=0.45,VLOOKUP(Calculator!E23,tbSkills!DH3:DI6,2,FALSE)+IF(AND(Calculator!B8=TRUE,Backdoors!BI5=TRUE),VLOOKUP(Calculator!E23,tbSkills!DH3:DJ6,3,FALSE),0),0))&gt;=0,1+(Backdoors!AL2*(IF((Backdoors!AI12+IF(P65&gt;=0.45,VLOOKUP(Calculator!E23,tbSkills!DH3:DI6,2,FALSE)+IF(AND(Calculator!B8=TRUE,Backdoors!BI5=TRUE),VLOOKUP(Calculator!E23,tbSkills!DH3:DJ6,3,FALSE),0),0))&gt;=100,100,(Backdoors!AI12+IF(P65&gt;=0.45,VLOOKUP(Calculator!E23,tbSkills!DH3:DI6,2,FALSE)+IF(AND(Calculator!B8=TRUE,Backdoors!BI5=TRUE),VLOOKUP(Calculator!E23,tbSkills!DH3:DJ6,3,FALSE),0),0)))/100)),(1-(0.25*((-Backdoors!AI12-IF(P65&gt;=0.45,VLOOKUP(Calculator!E23,tbSkills!DH3:DI6,2,FALSE)+IF(AND(Calculator!B8=TRUE,Backdoors!BI5=TRUE),VLOOKUP(Calculator!E23,tbSkills!DH3:DJ6,3,FALSE),0),0))/100)))),1),"")</f>
        <v>1</v>
      </c>
      <c r="S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P65)*R65)*(VLOOKUP(A65,tbMoveset!A2:C112,3,FALSE)/100)*IF(VLOOKUP(A65,tbMoveset!A2:B112,2,FALSE)="Projectile",Backdoors!N10,Backdoors!N9),0),"")</f>
        <v>4</v>
      </c>
      <c r="T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P65&gt;=0.45,VLOOKUP(Calculator!E23,tbSkills!DH3:DI6,2,FALSE)+IF(AND(Calculator!B8=TRUE,Backdoors!BI5=TRUE),VLOOKUP(Calculator!E23,tbSkills!DH3:DJ6,3,FALSE),0),0))&gt;=100,100,(Backdoors!AI12+IF(P65&gt;=0.45,VLOOKUP(Calculator!E23,tbSkills!DH3:DI6,2,FALSE)+IF(AND(Calculator!B8=TRUE,Backdoors!BI5=TRUE),VLOOKUP(Calculator!E23,tbSkills!DH3:DJ6,3,FALSE),0),0)))/100)),1))*IF(VLOOKUP(A65,tbMoveset!A2:K112,11,FALSE)=TRUE,Backdoors!AC5,1))*Q65,0),"")</f>
        <v>0</v>
      </c>
      <c r="U65" s="49">
        <f>VLOOKUP(A65,tbMoveset!A2:G112,7,FALSE)*IFERROR(IF(Backdoors!AI12&gt;=0,1+(IF(Calculator!E40&gt;0,VLOOKUP(Calculator!E40,tbSkills!AI3:AJ5,2,FALSE),Backdoors!AL4)*(IF((Backdoors!AI12+IF(P65&gt;=0.45,VLOOKUP(Calculator!E23,tbSkills!DH3:DI6,2,FALSE)+IF(AND(Calculator!B8=TRUE,Backdoors!BI5=TRUE),VLOOKUP(Calculator!E23,tbSkills!DH3:DJ6,3,FALSE),0),0))&gt;=100,100,(Backdoors!AI12+IF(P65&gt;=0.45,VLOOKUP(Calculator!E23,tbSkills!DH3:DI6,2,FALSE)+IF(AND(Calculator!B8=TRUE,Backdoors!BI5=TRUE),VLOOKUP(Calculator!E23,tbSkills!DH3:DJ6,3,FALSE),0),0)))/100)),1),1)</f>
        <v>0.6</v>
      </c>
      <c r="V65" s="87">
        <f t="shared" si="46"/>
        <v>4</v>
      </c>
      <c r="W65" s="86">
        <f>IFERROR(IF(VLOOKUP(A65,tbMoveset!A2:B112,2,FALSE)="Sever",Backdoors!AY6/100,IF(VLOOKUP(A65,tbMoveset!A2:B112,2,FALSE)="Blunt",Backdoors!AZ6/100,Backdoors!BA6/100)),"")</f>
        <v>0.45</v>
      </c>
      <c r="X65" s="49">
        <f>IFERROR(IF(VLOOKUP(tbMoveset!A65,tbMoveset!A2:H112,8,FALSE)="Other",IF(VLOOKUP(tbMoveset!A65,tbMoveset!A2:I112,9,FALSE)="Fire",Backdoors!BB6,IF(VLOOKUP(tbMoveset!A65,tbMoveset!A2:I112,9,FALSE)="Water",Backdoors!BC6,IF(VLOOKUP(tbMoveset!A65,tbMoveset!A2:I112,9,FALSE)="Thunder",Backdoors!BD6,IF(VLOOKUP(tbMoveset!A65,tbMoveset!A2:I112,9,FALSE)="Ice",Backdoors!BE6,IF(VLOOKUP(tbMoveset!A65,tbMoveset!A2:I112,9,FALSE)="Dragon",Backdoors!BF6,Backdoors!BG6)))))/100,Backdoors!BG6/100),"")</f>
        <v>0</v>
      </c>
      <c r="Y65" s="49">
        <f>IFERROR(IF(VLOOKUP(A65,tbMoveset!A2:J112,10,FALSE)=TRUE,IF((Backdoors!AI12+IF(W65&gt;=0.45,VLOOKUP(Calculator!E23,tbSkills!DH3:DI6,2,FALSE)+IF(AND(Calculator!B8=TRUE,Backdoors!BI6=TRUE),VLOOKUP(Calculator!E23,tbSkills!DH3:DJ6,3,FALSE),0),0))&gt;=0,1+(Backdoors!AL2*(IF((Backdoors!AI12+IF(W65&gt;=0.45,VLOOKUP(Calculator!E23,tbSkills!DH3:DI6,2,FALSE)+IF(AND(Calculator!B8=TRUE,Backdoors!BI6=TRUE),VLOOKUP(Calculator!E23,tbSkills!DH3:DJ6,3,FALSE),0),0))&gt;=100,100,(Backdoors!AI12+IF(W65&gt;=0.45,VLOOKUP(Calculator!E23,tbSkills!DH3:DI6,2,FALSE)+IF(AND(Calculator!B8=TRUE,Backdoors!BI6=TRUE),VLOOKUP(Calculator!E23,tbSkills!DH3:DJ6,3,FALSE),0),0)))/100)),(1-(0.25*((-Backdoors!AI12-IF(W65&gt;=0.45,VLOOKUP(Calculator!E23,tbSkills!DH3:DI6,2,FALSE)+IF(AND(Calculator!B8=TRUE,Backdoors!BI6=TRUE),VLOOKUP(Calculator!E23,tbSkills!DH3:DJ6,3,FALSE),0),0))/100)))),1),"")</f>
        <v>1</v>
      </c>
      <c r="Z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W65)*Y65)*(VLOOKUP(A65,tbMoveset!A2:C112,3,FALSE)/100)*IF(VLOOKUP(A65,tbMoveset!A2:B112,2,FALSE)="Projectile",Backdoors!N10,Backdoors!N9),0),"")</f>
        <v>3</v>
      </c>
      <c r="AA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W65&gt;=0.45,VLOOKUP(Calculator!E23,tbSkills!DH3:DI6,2,FALSE)+IF(AND(Calculator!B8=TRUE,Backdoors!BI6=TRUE),VLOOKUP(Calculator!E23,tbSkills!DH3:DJ6,3,FALSE),0),0))&gt;=100,100,(Backdoors!AI12+IF(W65&gt;=0.45,VLOOKUP(Calculator!E23,tbSkills!DH3:DI6,2,FALSE)+IF(AND(Calculator!B8=TRUE,Backdoors!BI6=TRUE),VLOOKUP(Calculator!E23,tbSkills!DH3:DJ6,3,FALSE),0),0)))/100)),1))*IF(VLOOKUP(A65,tbMoveset!A2:K112,11,FALSE)=TRUE,Backdoors!AC5,1))*X65,0),"")</f>
        <v>0</v>
      </c>
      <c r="AB65" s="49">
        <f>VLOOKUP(A65,tbMoveset!A2:G112,7,FALSE)*IFERROR(IF(Backdoors!AI12&gt;=0,1+(IF(Calculator!E40&gt;0,VLOOKUP(Calculator!E40,tbSkills!AI3:AJ5,2,FALSE),Backdoors!AL4)*(IF((Backdoors!AI12+IF(W65&gt;=0.45,VLOOKUP(Calculator!E23,tbSkills!DH3:DI6,2,FALSE)+IF(AND(Calculator!B8=TRUE,Backdoors!BI6=TRUE),VLOOKUP(Calculator!E23,tbSkills!DH3:DJ6,3,FALSE),0),0))&gt;=100,100,(Backdoors!AI12+IF(W65&gt;=0.45,VLOOKUP(Calculator!E23,tbSkills!DH3:DI6,2,FALSE)+IF(AND(Calculator!B8=TRUE,Backdoors!BI6=TRUE),VLOOKUP(Calculator!E23,tbSkills!DH3:DJ6,3,FALSE),0),0)))/100)),1),1)</f>
        <v>0.6</v>
      </c>
      <c r="AC65" s="87">
        <f t="shared" si="47"/>
        <v>3</v>
      </c>
      <c r="AD65" s="86">
        <f>IFERROR(IF(VLOOKUP(A65,tbMoveset!A2:B112,2,FALSE)="Sever",Backdoors!AY7/100,IF(VLOOKUP(A65,tbMoveset!A2:B112,2,FALSE)="Blunt",Backdoors!AZ7/100,Backdoors!BA7/100)),"")</f>
        <v>0.65</v>
      </c>
      <c r="AE65" s="49">
        <f>IFERROR(IF(VLOOKUP(tbMoveset!A65,tbMoveset!A2:H112,8,FALSE)="Other",IF(VLOOKUP(tbMoveset!A65,tbMoveset!A2:I112,9,FALSE)="Fire",Backdoors!BB7,IF(VLOOKUP(tbMoveset!A65,tbMoveset!A2:I112,9,FALSE)="Water",Backdoors!BC7,IF(VLOOKUP(tbMoveset!A65,tbMoveset!A2:I112,9,FALSE)="Thunder",Backdoors!BD7,IF(VLOOKUP(tbMoveset!A65,tbMoveset!A2:I112,9,FALSE)="Ice",Backdoors!BE7,IF(VLOOKUP(tbMoveset!A65,tbMoveset!A2:I112,9,FALSE)="Dragon",Backdoors!BF7,Backdoors!BG7)))))/100,Backdoors!BG7/100),"")</f>
        <v>0</v>
      </c>
      <c r="AF65" s="49">
        <f>IFERROR(IF(VLOOKUP(A65,tbMoveset!A2:J112,10,FALSE)=TRUE,IF((Backdoors!AI12+IF(AD65&gt;=0.45,VLOOKUP(Calculator!E23,tbSkills!DH3:DI6,2,FALSE)+IF(AND(Calculator!B8=TRUE,Backdoors!BI7=TRUE),VLOOKUP(Calculator!E23,tbSkills!DH3:DJ6,3,FALSE),0),0))&gt;=0,1+(Backdoors!AL2*(IF((Backdoors!AI12+IF(AD65&gt;=0.45,VLOOKUP(Calculator!E23,tbSkills!DH3:DI6,2,FALSE)+IF(AND(Calculator!B8=TRUE,Backdoors!BI7=TRUE),VLOOKUP(Calculator!E23,tbSkills!DH3:DJ6,3,FALSE),0),0))&gt;=100,100,(Backdoors!AI12+IF(AD65&gt;=0.45,VLOOKUP(Calculator!E23,tbSkills!DH3:DI6,2,FALSE)+IF(AND(Calculator!B8=TRUE,Backdoors!BI7=TRUE),VLOOKUP(Calculator!E23,tbSkills!DH3:DJ6,3,FALSE),0),0)))/100)),(1-(0.25*((-Backdoors!AI12-IF(AD65&gt;=0.45,VLOOKUP(Calculator!E23,tbSkills!DH3:DI6,2,FALSE)+IF(AND(Calculator!B8=TRUE,Backdoors!BI7=TRUE),VLOOKUP(Calculator!E23,tbSkills!DH3:DJ6,3,FALSE),0),0))/100)))),1),"")</f>
        <v>1</v>
      </c>
      <c r="AG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D65)*AF65)*(VLOOKUP(A65,tbMoveset!A2:C112,3,FALSE)/100)*IF(VLOOKUP(A65,tbMoveset!A2:B112,2,FALSE)="Projectile",Backdoors!N10,Backdoors!N9),0),"")</f>
        <v>5</v>
      </c>
      <c r="AH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D65&gt;=0.45,VLOOKUP(Calculator!E23,tbSkills!DH3:DI6,2,FALSE)+IF(AND(Calculator!B8=TRUE,Backdoors!BI7=TRUE),VLOOKUP(Calculator!E23,tbSkills!DH3:DJ6,3,FALSE),0),0))&gt;=100,100,(Backdoors!AI12+IF(AD65&gt;=0.45,VLOOKUP(Calculator!E23,tbSkills!DH3:DI6,2,FALSE)+IF(AND(Calculator!B8=TRUE,Backdoors!BI7=TRUE),VLOOKUP(Calculator!E23,tbSkills!DH3:DJ6,3,FALSE),0),0)))/100)),1))*IF(VLOOKUP(A65,tbMoveset!A2:K112,11,FALSE)=TRUE,Backdoors!AC5,1))*AE65,0),"")</f>
        <v>0</v>
      </c>
      <c r="AI65" s="49">
        <f>VLOOKUP(A65,tbMoveset!A2:G112,7,FALSE)*IFERROR(IF(Backdoors!AI12&gt;=0,1+(IF(Calculator!E40&gt;0,VLOOKUP(Calculator!E40,tbSkills!AI3:AJ5,2,FALSE),Backdoors!AL4)*(IF((Backdoors!AI12+IF(AD65&gt;=0.45,VLOOKUP(Calculator!E23,tbSkills!DH3:DI6,2,FALSE)+IF(AND(Calculator!B8=TRUE,Backdoors!BI7=TRUE),VLOOKUP(Calculator!E23,tbSkills!DH3:DJ6,3,FALSE),0),0))&gt;=100,100,(Backdoors!AI12+IF(AD65&gt;=0.45,VLOOKUP(Calculator!E23,tbSkills!DH3:DI6,2,FALSE)+IF(AND(Calculator!B8=TRUE,Backdoors!BI7=TRUE),VLOOKUP(Calculator!E23,tbSkills!DH3:DJ6,3,FALSE),0),0)))/100)),1),1)</f>
        <v>0.6</v>
      </c>
      <c r="AJ65" s="87">
        <f t="shared" si="48"/>
        <v>5</v>
      </c>
      <c r="AK65" s="91">
        <f>IFERROR(IF(VLOOKUP(A65,tbMoveset!A2:B112,2,FALSE)="Sever",Backdoors!AY8/100,IF(VLOOKUP(A65,tbMoveset!A2:B112,2,FALSE)="Blunt",Backdoors!AZ8/100,Backdoors!BA8/100)),"")</f>
        <v>0.45</v>
      </c>
      <c r="AL65" s="49">
        <f>IFERROR(IF(VLOOKUP(tbMoveset!A65,tbMoveset!A2:H112,8,FALSE)="Other",IF(VLOOKUP(tbMoveset!A65,tbMoveset!A2:I112,9,FALSE)="Fire",Backdoors!BB8,IF(VLOOKUP(tbMoveset!A65,tbMoveset!A2:I112,9,FALSE)="Water",Backdoors!BC8,IF(VLOOKUP(tbMoveset!A65,tbMoveset!A2:I112,9,FALSE)="Thunder",Backdoors!BD8,IF(VLOOKUP(tbMoveset!A65,tbMoveset!A2:I112,9,FALSE)="Ice",Backdoors!BE8,IF(VLOOKUP(tbMoveset!A65,tbMoveset!A2:I112,9,FALSE)="Dragon",Backdoors!BF8,Backdoors!BG8)))))/100,Backdoors!BG8/100),"")</f>
        <v>0</v>
      </c>
      <c r="AM65" s="49">
        <f>IFERROR(IF(VLOOKUP(A65,tbMoveset!A2:J112,10,FALSE)=TRUE,IF((Backdoors!AI12+IF(AK65&gt;=0.45,VLOOKUP(Calculator!E23,tbSkills!DH3:DI6,2,FALSE)+IF(AND(Calculator!B8=TRUE,Backdoors!BI8=TRUE),VLOOKUP(Calculator!E23,tbSkills!DH3:DJ6,3,FALSE),0),0))&gt;=0,1+(Backdoors!AL2*(IF((Backdoors!AI12+IF(AK65&gt;=0.45,VLOOKUP(Calculator!E23,tbSkills!DH3:DI6,2,FALSE)+IF(AND(Calculator!B8=TRUE,Backdoors!BI8=TRUE),VLOOKUP(Calculator!E23,tbSkills!DH3:DJ6,3,FALSE),0),0))&gt;=100,100,(Backdoors!AI12+IF(AK65&gt;=0.45,VLOOKUP(Calculator!E23,tbSkills!DH3:DI6,2,FALSE)+IF(AND(Calculator!B8=TRUE,Backdoors!BI8=TRUE),VLOOKUP(Calculator!E23,tbSkills!DH3:DJ6,3,FALSE),0),0)))/100)),(1-(0.25*((-Backdoors!AI12-IF(AK65&gt;=0.45,VLOOKUP(Calculator!E23,tbSkills!DH3:DI6,2,FALSE)+IF(AND(Calculator!B8=TRUE,Backdoors!BI8=TRUE),VLOOKUP(Calculator!E23,tbSkills!DH3:DJ6,3,FALSE),0),0))/100)))),1),"")</f>
        <v>1</v>
      </c>
      <c r="AN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K65)*AM65)*(VLOOKUP(A65,tbMoveset!A2:C112,3,FALSE)/100)*IF(VLOOKUP(A65,tbMoveset!A2:B112,2,FALSE)="Projectile",Backdoors!N10,Backdoors!N9),0),"")</f>
        <v>3</v>
      </c>
      <c r="AO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K65&gt;=0.45,VLOOKUP(Calculator!E23,tbSkills!DH3:DI6,2,FALSE)+IF(AND(Calculator!B8=TRUE,Backdoors!BI8=TRUE),VLOOKUP(Calculator!E23,tbSkills!DH3:DJ6,3,FALSE),0),0))&gt;=100,100,(Backdoors!AI12+IF(AK65&gt;=0.45,VLOOKUP(Calculator!E23,tbSkills!DH3:DI6,2,FALSE)+IF(AND(Calculator!B8=TRUE,Backdoors!BI8=TRUE),VLOOKUP(Calculator!E23,tbSkills!DH3:DJ6,3,FALSE),0),0)))/100)),1))*IF(VLOOKUP(A65,tbMoveset!A2:K112,11,FALSE)=TRUE,Backdoors!AC5,1))*AL65,0),"")</f>
        <v>0</v>
      </c>
      <c r="AP65" s="49">
        <f>VLOOKUP(A65,tbMoveset!A2:G112,7,FALSE)*IFERROR(IF(Backdoors!AI12&gt;=0,1+(IF(Calculator!E40&gt;0,VLOOKUP(Calculator!E40,tbSkills!AI3:AJ5,2,FALSE),Backdoors!AL4)*(IF((Backdoors!AI12+IF(AK65&gt;=0.45,VLOOKUP(Calculator!E23,tbSkills!DH3:DI6,2,FALSE)+IF(AND(Calculator!B8=TRUE,Backdoors!BI8=TRUE),VLOOKUP(Calculator!E23,tbSkills!DH3:DJ6,3,FALSE),0),0))&gt;=100,100,(Backdoors!AI12+IF(AK65&gt;=0.45,VLOOKUP(Calculator!E23,tbSkills!DH3:DI6,2,FALSE)+IF(AND(Calculator!B8=TRUE,Backdoors!BI8=TRUE),VLOOKUP(Calculator!E23,tbSkills!DH3:DJ6,3,FALSE),0),0)))/100)),1),1)</f>
        <v>0.6</v>
      </c>
      <c r="AQ65" s="87">
        <f t="shared" si="49"/>
        <v>3</v>
      </c>
      <c r="AR65" s="86">
        <f>IFERROR(IF(VLOOKUP(A65,tbMoveset!A2:B112,2,FALSE)="Sever",Backdoors!AY9/100,IF(VLOOKUP(A65,tbMoveset!A2:B112,2,FALSE)="Blunt",Backdoors!AZ9/100,Backdoors!BA9/100)),"")</f>
        <v>0.45</v>
      </c>
      <c r="AS65" s="49">
        <f>IFERROR(IF(VLOOKUP(tbMoveset!A65,tbMoveset!A2:H112,8,FALSE)="Other",IF(VLOOKUP(tbMoveset!A65,tbMoveset!A2:I112,9,FALSE)="Fire",Backdoors!BB9,IF(VLOOKUP(tbMoveset!A65,tbMoveset!A2:I112,9,FALSE)="Water",Backdoors!BC9,IF(VLOOKUP(tbMoveset!A65,tbMoveset!A2:I112,9,FALSE)="Thunder",Backdoors!BD9,IF(VLOOKUP(tbMoveset!A65,tbMoveset!A2:I112,9,FALSE)="Ice",Backdoors!BE9,IF(VLOOKUP(tbMoveset!A65,tbMoveset!A2:I112,9,FALSE)="Dragon",Backdoors!BF9,Backdoors!BG9)))))/100,Backdoors!BG9/100),"")</f>
        <v>0</v>
      </c>
      <c r="AT65" s="49">
        <f>IFERROR(IF(VLOOKUP(A65,tbMoveset!A2:J112,10,FALSE)=TRUE,IF((Backdoors!AI12+IF(AR65&gt;=0.45,VLOOKUP(Calculator!E23,tbSkills!DH3:DI6,2,FALSE)+IF(AND(Calculator!B8=TRUE,Backdoors!BI9=TRUE),VLOOKUP(Calculator!E23,tbSkills!DH3:DJ6,3,FALSE),0),0))&gt;=0,1+(Backdoors!AL2*(IF((Backdoors!AI12+IF(AR65&gt;=0.45,VLOOKUP(Calculator!E23,tbSkills!DH3:DI6,2,FALSE)+IF(AND(Calculator!B8=TRUE,Backdoors!BI9=TRUE),VLOOKUP(Calculator!E23,tbSkills!DH3:DJ6,3,FALSE),0),0))&gt;=100,100,(Backdoors!AI12+IF(AR65&gt;=0.45,VLOOKUP(Calculator!E23,tbSkills!DH3:DI6,2,FALSE)+IF(AND(Calculator!B8=TRUE,Backdoors!BI9=TRUE),VLOOKUP(Calculator!E23,tbSkills!DH3:DJ6,3,FALSE),0),0)))/100)),(1-(0.25*((-Backdoors!AI12-IF(AR65&gt;=0.45,VLOOKUP(Calculator!E23,tbSkills!DH3:DI6,2,FALSE)+IF(AND(Calculator!B8=TRUE,Backdoors!BI9=TRUE),VLOOKUP(Calculator!E23,tbSkills!DH3:DJ6,3,FALSE),0),0))/100)))),1),"")</f>
        <v>1</v>
      </c>
      <c r="AU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R65)*AT65)*(VLOOKUP(A65,tbMoveset!A2:C112,3,FALSE)/100)*IF(VLOOKUP(A65,tbMoveset!A2:B112,2,FALSE)="Projectile",Backdoors!N10,Backdoors!N9),0),"")</f>
        <v>3</v>
      </c>
      <c r="AV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R65&gt;=0.45,VLOOKUP(Calculator!E23,tbSkills!DH3:DI6,2,FALSE)+IF(AND(Calculator!B8=TRUE,Backdoors!BI9=TRUE),VLOOKUP(Calculator!E23,tbSkills!DH3:DJ6,3,FALSE),0),0))&gt;=100,100,(Backdoors!AI12+IF(AR65&gt;=0.45,VLOOKUP(Calculator!E23,tbSkills!DH3:DI6,2,FALSE)+IF(AND(Calculator!B8=TRUE,Backdoors!BI9=TRUE),VLOOKUP(Calculator!E23,tbSkills!DH3:DJ6,3,FALSE),0),0)))/100)),1))*IF(VLOOKUP(A65,tbMoveset!A2:K112,11,FALSE)=TRUE,Backdoors!AC5,1))*AS65,0),"")</f>
        <v>0</v>
      </c>
      <c r="AW65" s="49">
        <f>VLOOKUP(A65,tbMoveset!A2:G112,7,FALSE)*IFERROR(IF(Backdoors!AI12&gt;=0,1+(IF(Calculator!E40&gt;0,VLOOKUP(Calculator!E40,tbSkills!AI3:AJ5,2,FALSE),Backdoors!AL4)*(IF((Backdoors!AI12+IF(AR65&gt;=0.45,VLOOKUP(Calculator!E23,tbSkills!DH3:DI6,2,FALSE)+IF(AND(Calculator!B8=TRUE,Backdoors!BI9=TRUE),VLOOKUP(Calculator!E23,tbSkills!DH3:DJ6,3,FALSE),0),0))&gt;=100,100,(Backdoors!AI12+IF(AR65&gt;=0.45,VLOOKUP(Calculator!E23,tbSkills!DH3:DI6,2,FALSE)+IF(AND(Calculator!B8=TRUE,Backdoors!BI9=TRUE),VLOOKUP(Calculator!E23,tbSkills!DH3:DJ6,3,FALSE),0),0)))/100)),1),1)</f>
        <v>0.6</v>
      </c>
      <c r="AX65" s="87">
        <f t="shared" si="50"/>
        <v>3</v>
      </c>
      <c r="AY65" s="86">
        <f>IFERROR(IF(VLOOKUP(A65,tbMoveset!A2:B112,2,FALSE)="Sever",Backdoors!AY10/100,IF(VLOOKUP(A65,tbMoveset!A2:B112,2,FALSE)="Blunt",Backdoors!AZ10/100,Backdoors!BA10/100)),"")</f>
        <v>0.9</v>
      </c>
      <c r="AZ65" s="49">
        <f>IFERROR(IF(VLOOKUP(tbMoveset!A65,tbMoveset!A2:H112,8,FALSE)="Other",IF(VLOOKUP(tbMoveset!A65,tbMoveset!A2:I112,9,FALSE)="Fire",Backdoors!BB10,IF(VLOOKUP(tbMoveset!A65,tbMoveset!A2:I112,9,FALSE)="Water",Backdoors!BC10,IF(VLOOKUP(tbMoveset!A65,tbMoveset!A2:I112,9,FALSE)="Thunder",Backdoors!BD10,IF(VLOOKUP(tbMoveset!A65,tbMoveset!A2:I112,9,FALSE)="Ice",Backdoors!BE10,IF(VLOOKUP(tbMoveset!A65,tbMoveset!A2:I112,9,FALSE)="Dragon",Backdoors!BF10,Backdoors!BG10)))))/100,Backdoors!BG10/100),"")</f>
        <v>0</v>
      </c>
      <c r="BA65" s="49">
        <f>IFERROR(IF(VLOOKUP(A65,tbMoveset!A2:J112,10,FALSE)=TRUE,IF((Backdoors!AI12+IF(AY65&gt;=0.45,VLOOKUP(Calculator!E23,tbSkills!DH3:DI6,2,FALSE)+IF(AND(Calculator!B8=TRUE,Backdoors!BI10=TRUE),VLOOKUP(Calculator!E23,tbSkills!DH3:DJ6,3,FALSE),0),0))&gt;=0,1+(Backdoors!AL2*(IF((Backdoors!AI12+IF(AY65&gt;=0.45,VLOOKUP(Calculator!E23,tbSkills!DH3:DI6,2,FALSE)+IF(AND(Calculator!B8=TRUE,Backdoors!BI10=TRUE),VLOOKUP(Calculator!E23,tbSkills!DH3:DJ6,3,FALSE),0),0))&gt;=100,100,(Backdoors!AI12+IF(AY65&gt;=0.45,VLOOKUP(Calculator!E23,tbSkills!DH3:DI6,2,FALSE)+IF(AND(Calculator!B8=TRUE,Backdoors!BI10=TRUE),VLOOKUP(Calculator!E23,tbSkills!DH3:DJ6,3,FALSE),0),0)))/100)),(1-(0.25*((-Backdoors!AI12-IF(AY65&gt;=0.45,VLOOKUP(Calculator!E23,tbSkills!DH3:DI6,2,FALSE)+IF(AND(Calculator!B8=TRUE,Backdoors!BI10=TRUE),VLOOKUP(Calculator!E23,tbSkills!DH3:DJ6,3,FALSE),0),0))/100)))),1),"")</f>
        <v>1</v>
      </c>
      <c r="BB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Y65)*BA65)*(VLOOKUP(A65,tbMoveset!A2:C112,3,FALSE)/100)*IF(VLOOKUP(A65,tbMoveset!A2:B112,2,FALSE)="Projectile",Backdoors!N10,Backdoors!N9),0),"")</f>
        <v>7</v>
      </c>
      <c r="BC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Y65&gt;=0.45,VLOOKUP(Calculator!E23,tbSkills!DH3:DI6,2,FALSE)+IF(AND(Calculator!B8=TRUE,Backdoors!BI10=TRUE),VLOOKUP(Calculator!E23,tbSkills!DH3:DJ6,3,FALSE),0),0))&gt;=100,100,(Backdoors!AI12+IF(AY65&gt;=0.45,VLOOKUP(Calculator!E23,tbSkills!DH3:DI6,2,FALSE)+IF(AND(Calculator!B8=TRUE,Backdoors!BI10=TRUE),VLOOKUP(Calculator!E23,tbSkills!DH3:DJ6,3,FALSE),0),0)))/100)),1))*IF(VLOOKUP(A65,tbMoveset!A2:K112,11,FALSE)=TRUE,Backdoors!AC5,1))*AZ65,0),"")</f>
        <v>0</v>
      </c>
      <c r="BD65" s="49">
        <f>VLOOKUP(A65,tbMoveset!A2:G112,7,FALSE)*IFERROR(IF(Backdoors!AI12&gt;=0,1+(IF(Calculator!E40&gt;0,VLOOKUP(Calculator!E40,tbSkills!AI3:AJ5,2,FALSE),Backdoors!AL4)*(IF((Backdoors!AI12+IF(AY65&gt;=0.45,VLOOKUP(Calculator!E23,tbSkills!DH3:DI6,2,FALSE)+IF(AND(Calculator!B8=TRUE,Backdoors!BI10=TRUE),VLOOKUP(Calculator!E23,tbSkills!DH3:DJ6,3,FALSE),0),0))&gt;=100,100,(Backdoors!AI12+IF(AY65&gt;=0.45,VLOOKUP(Calculator!E23,tbSkills!DH3:DI6,2,FALSE)+IF(AND(Calculator!B8=TRUE,Backdoors!BI10=TRUE),VLOOKUP(Calculator!E23,tbSkills!DH3:DJ6,3,FALSE),0),0)))/100)),1),1)</f>
        <v>0.6</v>
      </c>
      <c r="BE65" s="87">
        <f t="shared" si="3"/>
        <v>7</v>
      </c>
      <c r="BF65" s="86" t="str">
        <f>IFERROR(IF(VLOOKUP(A65,tbMoveset!A2:B112,2,FALSE)="Sever",Backdoors!AY11/100,IF(VLOOKUP(A65,tbMoveset!A2:B112,2,FALSE)="Blunt",Backdoors!AZ11/100,Backdoors!BA11/100)),"")</f>
        <v/>
      </c>
      <c r="BG65" s="49">
        <f>IFERROR(IF(VLOOKUP(tbMoveset!A65,tbMoveset!A2:H112,8,FALSE)="Other",IF(VLOOKUP(tbMoveset!A65,tbMoveset!A2:I112,9,FALSE)="Fire",Backdoors!BB11,IF(VLOOKUP(tbMoveset!A65,tbMoveset!A2:I112,9,FALSE)="Water",Backdoors!BC11,IF(VLOOKUP(tbMoveset!A65,tbMoveset!A2:I112,9,FALSE)="Thunder",Backdoors!BD11,IF(VLOOKUP(tbMoveset!A65,tbMoveset!A2:I112,9,FALSE)="Ice",Backdoors!BE11,IF(VLOOKUP(tbMoveset!A65,tbMoveset!A2:I112,9,FALSE)="Dragon",Backdoors!BF11,Backdoors!BG11)))))/100,Backdoors!BG11/100),"")</f>
        <v>0</v>
      </c>
      <c r="BH65" s="49">
        <f>IFERROR(IF(VLOOKUP(A65,tbMoveset!A2:J112,10,FALSE)=TRUE,IF((Backdoors!AI12+IF(BF65&gt;=0.45,VLOOKUP(Calculator!E23,tbSkills!DH3:DI6,2,FALSE)+IF(AND(Calculator!B8=TRUE,Backdoors!BI11=TRUE),VLOOKUP(Calculator!E23,tbSkills!DH3:DJ6,3,FALSE),0),0))&gt;=0,1+(Backdoors!AL2*(IF((Backdoors!AI12+IF(BF65&gt;=0.45,VLOOKUP(Calculator!E23,tbSkills!DH3:DI6,2,FALSE)+IF(AND(Calculator!B8=TRUE,Backdoors!BI11=TRUE),VLOOKUP(Calculator!E23,tbSkills!DH3:DJ6,3,FALSE),0),0))&gt;=100,100,(Backdoors!AI12+IF(BF65&gt;=0.45,VLOOKUP(Calculator!E23,tbSkills!DH3:DI6,2,FALSE)+IF(AND(Calculator!B8=TRUE,Backdoors!BI11=TRUE),VLOOKUP(Calculator!E23,tbSkills!DH3:DJ6,3,FALSE),0),0)))/100)),(1-(0.25*((-Backdoors!AI12-IF(BF65&gt;=0.45,VLOOKUP(Calculator!E23,tbSkills!DH3:DI6,2,FALSE)+IF(AND(Calculator!B8=TRUE,Backdoors!BI11=TRUE),VLOOKUP(Calculator!E23,tbSkills!DH3:DJ6,3,FALSE),0),0))/100)))),1),"")</f>
        <v>1</v>
      </c>
      <c r="BI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F65)*BH65)*(VLOOKUP(A65,tbMoveset!A2:C112,3,FALSE)/100)*IF(VLOOKUP(A65,tbMoveset!A2:B112,2,FALSE)="Projectile",Backdoors!N10,Backdoors!N9),0),"")</f>
        <v/>
      </c>
      <c r="BJ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F65&gt;=0.45,VLOOKUP(Calculator!E23,tbSkills!DH3:DI6,2,FALSE)+IF(AND(Calculator!B8=TRUE,Backdoors!BI11=TRUE),VLOOKUP(Calculator!E23,tbSkills!DH3:DJ6,3,FALSE),0),0))&gt;=100,100,(Backdoors!AI12+IF(BF65&gt;=0.45,VLOOKUP(Calculator!E23,tbSkills!DH3:DI6,2,FALSE)+IF(AND(Calculator!B8=TRUE,Backdoors!BI11=TRUE),VLOOKUP(Calculator!E23,tbSkills!DH3:DJ6,3,FALSE),0),0)))/100)),1))*IF(VLOOKUP(A65,tbMoveset!A2:K112,11,FALSE)=TRUE,Backdoors!AC5,1))*BG65,0),"")</f>
        <v>0</v>
      </c>
      <c r="BK65" s="49">
        <f>VLOOKUP(A65,tbMoveset!A2:G112,7,FALSE)*IFERROR(IF(Backdoors!AI12&gt;=0,1+(IF(Calculator!E40&gt;0,VLOOKUP(Calculator!E40,tbSkills!AI3:AJ5,2,FALSE),Backdoors!AL4)*(IF((Backdoors!AI12+IF(BF65&gt;=0.45,VLOOKUP(Calculator!E23,tbSkills!DH3:DI6,2,FALSE)+IF(AND(Calculator!B8=TRUE,Backdoors!BI11=TRUE),VLOOKUP(Calculator!E23,tbSkills!DH3:DJ6,3,FALSE),0),0))&gt;=100,100,(Backdoors!AI12+IF(BF65&gt;=0.45,VLOOKUP(Calculator!E23,tbSkills!DH3:DI6,2,FALSE)+IF(AND(Calculator!B8=TRUE,Backdoors!BI11=TRUE),VLOOKUP(Calculator!E23,tbSkills!DH3:DJ6,3,FALSE),0),0)))/100)),1),1)</f>
        <v>0.6</v>
      </c>
      <c r="BL65" s="87">
        <f t="shared" si="4"/>
        <v>0</v>
      </c>
      <c r="BM65" s="86" t="str">
        <f>IFERROR(IF(VLOOKUP(A65,tbMoveset!A2:B112,2,FALSE)="Sever",Backdoors!AY12/100,IF(VLOOKUP(A65,tbMoveset!A2:B112,2,FALSE)="Blunt",Backdoors!AZ12/100,Backdoors!BA12/100)),"")</f>
        <v/>
      </c>
      <c r="BN65" s="49">
        <f>IFERROR(IF(VLOOKUP(tbMoveset!A65,tbMoveset!A2:H112,8,FALSE)="Other",IF(VLOOKUP(tbMoveset!A65,tbMoveset!A2:I112,9,FALSE)="Fire",Backdoors!BB12,IF(VLOOKUP(tbMoveset!A65,tbMoveset!A2:I112,9,FALSE)="Water",Backdoors!BC12,IF(VLOOKUP(tbMoveset!A65,tbMoveset!A2:I112,9,FALSE)="Thunder",Backdoors!BD12,IF(VLOOKUP(tbMoveset!A65,tbMoveset!A2:I112,9,FALSE)="Ice",Backdoors!BE12,IF(VLOOKUP(tbMoveset!A65,tbMoveset!A2:I112,9,FALSE)="Dragon",Backdoors!BF12,Backdoors!BG12)))))/100,Backdoors!BG12/100),"")</f>
        <v>0</v>
      </c>
      <c r="BO65" s="49">
        <f>IFERROR(IF(VLOOKUP(A65,tbMoveset!A2:J112,10,FALSE)=TRUE,IF((Backdoors!AI12+IF(BM65&gt;=0.45,VLOOKUP(Calculator!E23,tbSkills!DH3:DI6,2,FALSE)+IF(AND(Calculator!B8=TRUE,Backdoors!BI12=TRUE),VLOOKUP(Calculator!E23,tbSkills!DH3:DJ6,3,FALSE),0),0))&gt;=0,1+(Backdoors!AL2*(IF((Backdoors!AI12+IF(BM65&gt;=0.45,VLOOKUP(Calculator!E23,tbSkills!DH3:DI6,2,FALSE)+IF(AND(Calculator!B8=TRUE,Backdoors!BI12=TRUE),VLOOKUP(Calculator!E23,tbSkills!DH3:DJ6,3,FALSE),0),0))&gt;=100,100,(Backdoors!AI12+IF(BM65&gt;=0.45,VLOOKUP(Calculator!E23,tbSkills!DH3:DI6,2,FALSE)+IF(AND(Calculator!B8=TRUE,Backdoors!BI12=TRUE),VLOOKUP(Calculator!E23,tbSkills!DH3:DJ6,3,FALSE),0),0)))/100)),(1-(0.25*((-Backdoors!AI12-IF(BM65&gt;=0.45,VLOOKUP(Calculator!E23,tbSkills!DH3:DI6,2,FALSE)+IF(AND(Calculator!B8=TRUE,Backdoors!BI12=TRUE),VLOOKUP(Calculator!E23,tbSkills!DH3:DJ6,3,FALSE),0),0))/100)))),1),"")</f>
        <v>1</v>
      </c>
      <c r="BP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M65)*BO65)*(VLOOKUP(A65,tbMoveset!A2:C112,3,FALSE)/100)*IF(VLOOKUP(A65,tbMoveset!A2:B112,2,FALSE)="Projectile",Backdoors!N10,Backdoors!N9),0),"")</f>
        <v/>
      </c>
      <c r="BQ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M65&gt;=0.45,VLOOKUP(Calculator!E23,tbSkills!DH3:DI6,2,FALSE)+IF(AND(Calculator!B8=TRUE,Backdoors!BI12=TRUE),VLOOKUP(Calculator!E23,tbSkills!DH3:DJ6,3,FALSE),0),0))&gt;=100,100,(Backdoors!AI12+IF(BM65&gt;=0.45,VLOOKUP(Calculator!E23,tbSkills!DH3:DI6,2,FALSE)+IF(AND(Calculator!B8=TRUE,Backdoors!BI12=TRUE),VLOOKUP(Calculator!E23,tbSkills!DH3:DJ6,3,FALSE),0),0)))/100)),1))*IF(VLOOKUP(A65,tbMoveset!A2:K112,11,FALSE)=TRUE,Backdoors!AC5,1))*BN65,0),"")</f>
        <v>0</v>
      </c>
      <c r="BR65" s="49">
        <f>VLOOKUP(A65,tbMoveset!A2:G112,7,FALSE)*IFERROR(IF(Backdoors!AI12&gt;=0,1+(IF(Calculator!E40&gt;0,VLOOKUP(Calculator!E40,tbSkills!AI3:AJ5,2,FALSE),Backdoors!AL4)*(IF((Backdoors!AI12+IF(BM65&gt;=0.45,VLOOKUP(Calculator!E23,tbSkills!DH3:DI6,2,FALSE)+IF(AND(Calculator!B8=TRUE,Backdoors!BI12=TRUE),VLOOKUP(Calculator!E23,tbSkills!DH3:DJ6,3,FALSE),0),0))&gt;=100,100,(Backdoors!AI12+IF(BM65&gt;=0.45,VLOOKUP(Calculator!E23,tbSkills!DH3:DI6,2,FALSE)+IF(AND(Calculator!B8=TRUE,Backdoors!BI12=TRUE),VLOOKUP(Calculator!E23,tbSkills!DH3:DJ6,3,FALSE),0),0)))/100)),1),1)</f>
        <v>0.6</v>
      </c>
      <c r="BS65" s="87">
        <f t="shared" si="39"/>
        <v>0</v>
      </c>
      <c r="BT65" s="86" t="str">
        <f>IFERROR(IF(VLOOKUP(A65,tbMoveset!A2:B112,2,FALSE)="Sever",Backdoors!AY13/100,IF(VLOOKUP(A65,tbMoveset!A2:B112,2,FALSE)="Blunt",Backdoors!AZ13/100,Backdoors!BA13/100)),"")</f>
        <v/>
      </c>
      <c r="BU65" s="49">
        <f>IFERROR(IF(VLOOKUP(tbMoveset!A65,tbMoveset!A2:H112,8,FALSE)="Other",IF(VLOOKUP(tbMoveset!A65,tbMoveset!A2:I112,9,FALSE)="Fire",Backdoors!BB13,IF(VLOOKUP(tbMoveset!A65,tbMoveset!A2:I112,9,FALSE)="Water",Backdoors!BC13,IF(VLOOKUP(tbMoveset!A65,tbMoveset!A2:I112,9,FALSE)="Thunder",Backdoors!BD13,IF(VLOOKUP(tbMoveset!A65,tbMoveset!A2:I112,9,FALSE)="Ice",Backdoors!BE13,IF(VLOOKUP(tbMoveset!A65,tbMoveset!A2:I112,9,FALSE)="Dragon",Backdoors!BF13,Backdoors!BG13)))))/100,Backdoors!BG13/100),"")</f>
        <v>0</v>
      </c>
      <c r="BV65" s="49">
        <f>IFERROR(IF(VLOOKUP(A65,tbMoveset!A2:J112,10,FALSE)=TRUE,IF((Backdoors!AI12+IF(BT65&gt;=0.45,VLOOKUP(Calculator!E23,tbSkills!DH3:DI6,2,FALSE)+IF(AND(Calculator!B8=TRUE,Backdoors!BI13=TRUE),VLOOKUP(Calculator!E23,tbSkills!DH3:DJ6,3,FALSE),0),0))&gt;=0,1+(Backdoors!AL2*(IF((Backdoors!AI12+IF(BT65&gt;=0.45,VLOOKUP(Calculator!E23,tbSkills!DH3:DI6,2,FALSE)+IF(AND(Calculator!B8=TRUE,Backdoors!BI13=TRUE),VLOOKUP(Calculator!E23,tbSkills!DH3:DJ6,3,FALSE),0),0))&gt;=100,100,(Backdoors!AI12+IF(BT65&gt;=0.45,VLOOKUP(Calculator!E23,tbSkills!DH3:DI6,2,FALSE)+IF(AND(Calculator!B8=TRUE,Backdoors!BI13=TRUE),VLOOKUP(Calculator!E23,tbSkills!DH3:DJ6,3,FALSE),0),0)))/100)),(1-(0.25*((-Backdoors!AI12-IF(BT65&gt;=0.45,VLOOKUP(Calculator!E23,tbSkills!DH3:DI6,2,FALSE)+IF(AND(Calculator!B8=TRUE,Backdoors!BI13=TRUE),VLOOKUP(Calculator!E23,tbSkills!DH3:DJ6,3,FALSE),0),0))/100)))),1),"")</f>
        <v>1</v>
      </c>
      <c r="BW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T65)*BV65)*(VLOOKUP(A65,tbMoveset!A2:C112,3,FALSE)/100)*IF(VLOOKUP(A65,tbMoveset!A2:B112,2,FALSE)="Projectile",Backdoors!N10,Backdoors!N9),0),"")</f>
        <v/>
      </c>
      <c r="BX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T65&gt;=0.45,VLOOKUP(Calculator!E23,tbSkills!DH3:DI6,2,FALSE)+IF(AND(Calculator!B8=TRUE,Backdoors!BI13=TRUE),VLOOKUP(Calculator!E23,tbSkills!DH3:DJ6,3,FALSE),0),0))&gt;=100,100,(Backdoors!AI12+IF(BT65&gt;=0.45,VLOOKUP(Calculator!E23,tbSkills!DH3:DI6,2,FALSE)+IF(AND(Calculator!B8=TRUE,Backdoors!BI13=TRUE),VLOOKUP(Calculator!E23,tbSkills!DH3:DJ6,3,FALSE),0),0)))/100)),1))*IF(VLOOKUP(A65,tbMoveset!A2:K112,11,FALSE)=TRUE,Backdoors!AC5,1))*BU65,0),"")</f>
        <v>0</v>
      </c>
      <c r="BY65" s="49">
        <f>VLOOKUP(A65,tbMoveset!A2:G112,7,FALSE)*IFERROR(IF(Backdoors!AI12&gt;=0,1+(IF(Calculator!E40&gt;0,VLOOKUP(Calculator!E40,tbSkills!AI3:AJ5,2,FALSE),Backdoors!AL4)*(IF((Backdoors!AI12+IF(BT65&gt;=0.45,VLOOKUP(Calculator!E23,tbSkills!DH3:DI6,2,FALSE)+IF(AND(Calculator!B8=TRUE,Backdoors!BI13=TRUE),VLOOKUP(Calculator!E23,tbSkills!DH3:DJ6,3,FALSE),0),0))&gt;=100,100,(Backdoors!AI12+IF(BT65&gt;=0.45,VLOOKUP(Calculator!E23,tbSkills!DH3:DI6,2,FALSE)+IF(AND(Calculator!B8=TRUE,Backdoors!BI13=TRUE),VLOOKUP(Calculator!E23,tbSkills!DH3:DJ6,3,FALSE),0),0)))/100)),1),1)</f>
        <v>0.6</v>
      </c>
      <c r="BZ65" s="87">
        <f t="shared" si="5"/>
        <v>0</v>
      </c>
      <c r="CA65" s="86" t="str">
        <f>IFERROR(IF(VLOOKUP(A65,tbMoveset!A2:B112,2,FALSE)="Sever",Backdoors!AY14/100,IF(VLOOKUP(A65,tbMoveset!A2:B112,2,FALSE)="Blunt",Backdoors!AZ14/100,Backdoors!BA14/100)),"")</f>
        <v/>
      </c>
      <c r="CB65" s="49">
        <f>IFERROR(IF(VLOOKUP(tbMoveset!A65,tbMoveset!A2:H112,8,FALSE)="Other",IF(VLOOKUP(tbMoveset!A65,tbMoveset!A2:I112,9,FALSE)="Fire",Backdoors!BB14,IF(VLOOKUP(tbMoveset!A65,tbMoveset!A2:I112,9,FALSE)="Water",Backdoors!BC14,IF(VLOOKUP(tbMoveset!A65,tbMoveset!A2:I112,9,FALSE)="Thunder",Backdoors!BD14,IF(VLOOKUP(tbMoveset!A65,tbMoveset!A2:I112,9,FALSE)="Ice",Backdoors!BE14,IF(VLOOKUP(tbMoveset!A65,tbMoveset!A2:I112,9,FALSE)="Dragon",Backdoors!BF14,Backdoors!BG14)))))/100,Backdoors!BG14/100),"")</f>
        <v>0</v>
      </c>
      <c r="CC65" s="49">
        <f>IFERROR(IF(VLOOKUP(A65,tbMoveset!A2:J112,10,FALSE)=TRUE,IF((Backdoors!AI12+IF(CA65&gt;=0.45,VLOOKUP(Calculator!E23,tbSkills!DH3:DI6,2,FALSE)+IF(AND(Calculator!B8=TRUE,Backdoors!BI14=TRUE),VLOOKUP(Calculator!E23,tbSkills!DH3:DJ6,3,FALSE),0),0))&gt;=0,1+(Backdoors!AL2*(IF((Backdoors!AI12+IF(CA65&gt;=0.45,VLOOKUP(Calculator!E23,tbSkills!DH3:DI6,2,FALSE)+IF(AND(Calculator!B8=TRUE,Backdoors!BI14=TRUE),VLOOKUP(Calculator!E23,tbSkills!DH3:DJ6,3,FALSE),0),0))&gt;=100,100,(Backdoors!AI12+IF(CA65&gt;=0.45,VLOOKUP(Calculator!E23,tbSkills!DH3:DI6,2,FALSE)+IF(AND(Calculator!B8=TRUE,Backdoors!BI14=TRUE),VLOOKUP(Calculator!E23,tbSkills!DH3:DJ6,3,FALSE),0),0)))/100)),(1-(0.25*((-Backdoors!AI12-IF(CA65&gt;=0.45,VLOOKUP(Calculator!E23,tbSkills!DH3:DI6,2,FALSE)+IF(AND(Calculator!B8=TRUE,Backdoors!BI14=TRUE),VLOOKUP(Calculator!E23,tbSkills!DH3:DJ6,3,FALSE),0),0))/100)))),1),"")</f>
        <v>1</v>
      </c>
      <c r="CD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A65)*CC65)*(VLOOKUP(A65,tbMoveset!A2:C112,3,FALSE)/100)*IF(VLOOKUP(A65,tbMoveset!A2:B112,2,FALSE)="Projectile",Backdoors!N10,Backdoors!N9),0),"")</f>
        <v/>
      </c>
      <c r="CE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A65&gt;=0.45,VLOOKUP(Calculator!E23,tbSkills!DH3:DI6,2,FALSE)+IF(AND(Calculator!B8=TRUE,Backdoors!BI14=TRUE),VLOOKUP(Calculator!E23,tbSkills!DH3:DJ6,3,FALSE),0),0))&gt;=100,100,(Backdoors!AI12+IF(CA65&gt;=0.45,VLOOKUP(Calculator!E23,tbSkills!DH3:DI6,2,FALSE)+IF(AND(Calculator!B8=TRUE,Backdoors!BI14=TRUE),VLOOKUP(Calculator!E23,tbSkills!DH3:DJ6,3,FALSE),0),0)))/100)),1))*IF(VLOOKUP(A65,tbMoveset!A2:K112,11,FALSE)=TRUE,Backdoors!AC5,1))*CB65,0),"")</f>
        <v>0</v>
      </c>
      <c r="CF65" s="49">
        <f>VLOOKUP(A65,tbMoveset!A2:G112,7,FALSE)*IFERROR(IF(Backdoors!AI12&gt;=0,1+(IF(Calculator!E40&gt;0,VLOOKUP(Calculator!E40,tbSkills!AI3:AJ5,2,FALSE),Backdoors!AL4)*(IF((Backdoors!AI12+IF(CA65&gt;=0.45,VLOOKUP(Calculator!E23,tbSkills!DH3:DI6,2,FALSE)+IF(AND(Calculator!B8=TRUE,Backdoors!BI14=TRUE),VLOOKUP(Calculator!E23,tbSkills!DH3:DJ6,3,FALSE),0),0))&gt;=100,100,(Backdoors!AI12+IF(CA65&gt;=0.45,VLOOKUP(Calculator!E23,tbSkills!DH3:DI6,2,FALSE)+IF(AND(Calculator!B8=TRUE,Backdoors!BI14=TRUE),VLOOKUP(Calculator!E23,tbSkills!DH3:DJ6,3,FALSE),0),0)))/100)),1),1)</f>
        <v>0.6</v>
      </c>
      <c r="CG65" s="87">
        <f t="shared" si="6"/>
        <v>0</v>
      </c>
      <c r="CH65" s="86" t="str">
        <f>IFERROR(IF(VLOOKUP(A65,tbMoveset!A2:B112,2,FALSE)="Sever",Backdoors!AY15/100,IF(VLOOKUP(A65,tbMoveset!A2:B112,2,FALSE)="Blunt",Backdoors!AZ15/100,Backdoors!BA15/100)),"")</f>
        <v/>
      </c>
      <c r="CI65" s="49">
        <f>IFERROR(IF(VLOOKUP(tbMoveset!A65,tbMoveset!A2:H112,8,FALSE)="Other",IF(VLOOKUP(tbMoveset!A65,tbMoveset!A2:I112,9,FALSE)="Fire",Backdoors!BB15,IF(VLOOKUP(tbMoveset!A65,tbMoveset!A2:I112,9,FALSE)="Water",Backdoors!BC15,IF(VLOOKUP(tbMoveset!A65,tbMoveset!A2:I112,9,FALSE)="Thunder",Backdoors!BD15,IF(VLOOKUP(tbMoveset!A65,tbMoveset!A2:I112,9,FALSE)="Ice",Backdoors!BE15,IF(VLOOKUP(tbMoveset!A65,tbMoveset!A2:I112,9,FALSE)="Dragon",Backdoors!BF15,Backdoors!BG15)))))/100,Backdoors!BG15/100),"")</f>
        <v>0</v>
      </c>
      <c r="CJ65" s="49">
        <f>IFERROR(IF(VLOOKUP(A65,tbMoveset!A2:J112,10,FALSE)=TRUE,IF((Backdoors!AI12+IF(CH65&gt;=0.45,VLOOKUP(Calculator!E23,tbSkills!DH3:DI6,2,FALSE)+IF(AND(Calculator!B8=TRUE,Backdoors!BI15=TRUE),VLOOKUP(Calculator!E23,tbSkills!DH3:DJ6,3,FALSE),0),0))&gt;=0,1+(Backdoors!AL2*(IF((Backdoors!AI12+IF(CH65&gt;=0.45,VLOOKUP(Calculator!E23,tbSkills!DH3:DI6,2,FALSE)+IF(AND(Calculator!B8=TRUE,Backdoors!BI15=TRUE),VLOOKUP(Calculator!E23,tbSkills!DH3:DJ6,3,FALSE),0),0))&gt;=100,100,(Backdoors!AI12+IF(CH65&gt;=0.45,VLOOKUP(Calculator!E23,tbSkills!DH3:DI6,2,FALSE)+IF(AND(Calculator!B8=TRUE,Backdoors!BI15=TRUE),VLOOKUP(Calculator!E23,tbSkills!DH3:DJ6,3,FALSE),0),0)))/100)),(1-(0.25*((-Backdoors!AI12-IF(CH65&gt;=0.45,VLOOKUP(Calculator!E23,tbSkills!DH3:DI6,2,FALSE)+IF(AND(Calculator!B8=TRUE,Backdoors!BI15=TRUE),VLOOKUP(Calculator!E23,tbSkills!DH3:DJ6,3,FALSE),0),0))/100)))),1),"")</f>
        <v>1</v>
      </c>
      <c r="CK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H65)*CJ65)*(VLOOKUP(A65,tbMoveset!A2:C112,3,FALSE)/100)*IF(VLOOKUP(A65,tbMoveset!A2:B112,2,FALSE)="Projectile",Backdoors!N10,Backdoors!N9),0),"")</f>
        <v/>
      </c>
      <c r="CL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H65&gt;=0.45,VLOOKUP(Calculator!E23,tbSkills!DH3:DI6,2,FALSE)+IF(AND(Calculator!B8=TRUE,Backdoors!BI15=TRUE),VLOOKUP(Calculator!E23,tbSkills!DH3:DJ6,3,FALSE),0),0))&gt;=100,100,(Backdoors!AI12+IF(CH65&gt;=0.45,VLOOKUP(Calculator!E23,tbSkills!DH3:DI6,2,FALSE)+IF(AND(Calculator!B8=TRUE,Backdoors!BI15=TRUE),VLOOKUP(Calculator!E23,tbSkills!DH3:DJ6,3,FALSE),0),0)))/100)),1))*IF(VLOOKUP(A65,tbMoveset!A2:K112,11,FALSE)=TRUE,Backdoors!AC5,1))*CI65,0),"")</f>
        <v>0</v>
      </c>
      <c r="CM65" s="49">
        <f>VLOOKUP(A65,tbMoveset!A2:G112,7,FALSE)*IFERROR(IF(Backdoors!AI12&gt;=0,1+(IF(Calculator!E40&gt;0,VLOOKUP(Calculator!E40,tbSkills!AI3:AJ5,2,FALSE),Backdoors!AL4)*(IF((Backdoors!AI12+IF(CH65&gt;=0.45,VLOOKUP(Calculator!E23,tbSkills!DH3:DI6,2,FALSE)+IF(AND(Calculator!B8=TRUE,Backdoors!BI15=TRUE),VLOOKUP(Calculator!E23,tbSkills!DH3:DJ6,3,FALSE),0),0))&gt;=100,100,(Backdoors!AI12+IF(CH65&gt;=0.45,VLOOKUP(Calculator!E23,tbSkills!DH3:DI6,2,FALSE)+IF(AND(Calculator!B8=TRUE,Backdoors!BI15=TRUE),VLOOKUP(Calculator!E23,tbSkills!DH3:DJ6,3,FALSE),0),0)))/100)),1),1)</f>
        <v>0.6</v>
      </c>
      <c r="CN65" s="87">
        <f t="shared" si="7"/>
        <v>0</v>
      </c>
      <c r="CO65" s="86" t="str">
        <f>IFERROR(IF(VLOOKUP(A65,tbMoveset!A2:B112,2,FALSE)="Sever",Backdoors!AY16/100,IF(VLOOKUP(A65,tbMoveset!A2:B112,2,FALSE)="Blunt",Backdoors!AZ16/100,Backdoors!BA16/100)),"")</f>
        <v/>
      </c>
      <c r="CP65" s="49">
        <f>IFERROR(IF(VLOOKUP(tbMoveset!A65,tbMoveset!A2:H112,8,FALSE)="Other",IF(VLOOKUP(tbMoveset!A65,tbMoveset!A2:I112,9,FALSE)="Fire",Backdoors!BB16,IF(VLOOKUP(tbMoveset!A65,tbMoveset!A2:I112,9,FALSE)="Water",Backdoors!BC16,IF(VLOOKUP(tbMoveset!A65,tbMoveset!A2:I112,9,FALSE)="Thunder",Backdoors!BD16,IF(VLOOKUP(tbMoveset!A65,tbMoveset!A2:I112,9,FALSE)="Ice",Backdoors!BE16,IF(VLOOKUP(tbMoveset!A65,tbMoveset!A2:I112,9,FALSE)="Dragon",Backdoors!BF16,Backdoors!BG16)))))/100,Backdoors!BG16/100),"")</f>
        <v>0</v>
      </c>
      <c r="CQ65" s="49">
        <f>IFERROR(IF(VLOOKUP(A65,tbMoveset!A2:J112,10,FALSE)=TRUE,IF((Backdoors!AI12+IF(CO65&gt;=0.45,VLOOKUP(Calculator!E23,tbSkills!DH3:DI6,2,FALSE)+IF(AND(Calculator!B8=TRUE,Backdoors!BI16=TRUE),VLOOKUP(Calculator!E23,tbSkills!DH3:DJ6,3,FALSE),0),0))&gt;=0,1+(Backdoors!AL2*(IF((Backdoors!AI12+IF(CO65&gt;=0.45,VLOOKUP(Calculator!E23,tbSkills!DH3:DI6,2,FALSE)+IF(AND(Calculator!B8=TRUE,Backdoors!BI16=TRUE),VLOOKUP(Calculator!E23,tbSkills!DH3:DJ6,3,FALSE),0),0))&gt;=100,100,(Backdoors!AI12+IF(CO65&gt;=0.45,VLOOKUP(Calculator!E23,tbSkills!DH3:DI6,2,FALSE)+IF(AND(Calculator!B8=TRUE,Backdoors!BI16=TRUE),VLOOKUP(Calculator!E23,tbSkills!DH3:DJ6,3,FALSE),0),0)))/100)),(1-(0.25*((-Backdoors!AI12-IF(CO65&gt;=0.45,VLOOKUP(Calculator!E23,tbSkills!DH3:DI6,2,FALSE)+IF(AND(Calculator!B8=TRUE,Backdoors!BI16=TRUE),VLOOKUP(Calculator!E23,tbSkills!DH3:DJ6,3,FALSE),0),0))/100)))),1),"")</f>
        <v>1</v>
      </c>
      <c r="CR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O65)*CQ65)*(VLOOKUP(A65,tbMoveset!A2:C112,3,FALSE)/100)*IF(VLOOKUP(A65,tbMoveset!A2:B112,2,FALSE)="Projectile",Backdoors!N10,Backdoors!N9),0),"")</f>
        <v/>
      </c>
      <c r="CS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O65&gt;=0.45,VLOOKUP(Calculator!E23,tbSkills!DH3:DI6,2,FALSE)+IF(AND(Calculator!B8=TRUE,Backdoors!BI16=TRUE),VLOOKUP(Calculator!E23,tbSkills!DH3:DJ6,3,FALSE),0),0))&gt;=100,100,(Backdoors!AI12+IF(CO65&gt;=0.45,VLOOKUP(Calculator!E23,tbSkills!DH3:DI6,2,FALSE)+IF(AND(Calculator!B8=TRUE,Backdoors!BI16=TRUE),VLOOKUP(Calculator!E23,tbSkills!DH3:DJ6,3,FALSE),0),0)))/100)),1))*IF(VLOOKUP(A65,tbMoveset!A2:K112,11,FALSE)=TRUE,Backdoors!AC5,1))*CP65,0),"")</f>
        <v>0</v>
      </c>
      <c r="CT65" s="49">
        <f>VLOOKUP(A65,tbMoveset!A2:G112,7,FALSE)*IFERROR(IF(Backdoors!AI12&gt;=0,1+(IF(Calculator!E40&gt;0,VLOOKUP(Calculator!E40,tbSkills!AI3:AJ5,2,FALSE),Backdoors!AL4)*(IF((Backdoors!AI12+IF(CO65&gt;=0.45,VLOOKUP(Calculator!E23,tbSkills!DH3:DI6,2,FALSE)+IF(AND(Calculator!B8=TRUE,Backdoors!BI16=TRUE),VLOOKUP(Calculator!E23,tbSkills!DH3:DJ6,3,FALSE),0),0))&gt;=100,100,(Backdoors!AI12+IF(CO65&gt;=0.45,VLOOKUP(Calculator!E23,tbSkills!DH3:DI6,2,FALSE)+IF(AND(Calculator!B8=TRUE,Backdoors!BI16=TRUE),VLOOKUP(Calculator!E23,tbSkills!DH3:DJ6,3,FALSE),0),0)))/100)),1),1)</f>
        <v>0.6</v>
      </c>
      <c r="CU65" s="87">
        <f t="shared" si="40"/>
        <v>0</v>
      </c>
      <c r="CV65" s="86" t="str">
        <f>IFERROR(IF(VLOOKUP(A65,tbMoveset!A2:B112,2,FALSE)="Sever",Backdoors!AY17/100,IF(VLOOKUP(A65,tbMoveset!A2:B112,2,FALSE)="Blunt",Backdoors!AZ17/100,Backdoors!BA17/100)),"")</f>
        <v/>
      </c>
      <c r="CW65" s="49">
        <f>IFERROR(IF(VLOOKUP(tbMoveset!A65,tbMoveset!A2:H112,8,FALSE)="Other",IF(VLOOKUP(tbMoveset!A65,tbMoveset!A2:I112,9,FALSE)="Fire",Backdoors!BB17,IF(VLOOKUP(tbMoveset!A65,tbMoveset!A2:I112,9,FALSE)="Water",Backdoors!BC17,IF(VLOOKUP(tbMoveset!A65,tbMoveset!A2:I112,9,FALSE)="Thunder",Backdoors!BD17,IF(VLOOKUP(tbMoveset!A65,tbMoveset!A2:I112,9,FALSE)="Ice",Backdoors!BE17,IF(VLOOKUP(tbMoveset!A65,tbMoveset!A2:I112,9,FALSE)="Dragon",Backdoors!BF17,Backdoors!BG17)))))/100,Backdoors!BG17/100),"")</f>
        <v>0</v>
      </c>
      <c r="CX65" s="49">
        <f>IFERROR(IF(VLOOKUP(A65,tbMoveset!A2:J112,10,FALSE)=TRUE,IF((Backdoors!AI12+IF(CV65&gt;=0.45,VLOOKUP(Calculator!E23,tbSkills!DH3:DI6,2,FALSE)+IF(AND(Calculator!B8=TRUE,Backdoors!BI17=TRUE),VLOOKUP(Calculator!E23,tbSkills!DH3:DJ6,3,FALSE),0),0))&gt;=0,1+(Backdoors!AL2*(IF((Backdoors!AI12+IF(CV65&gt;=0.45,VLOOKUP(Calculator!E23,tbSkills!DH3:DI6,2,FALSE)+IF(AND(Calculator!B8=TRUE,Backdoors!BI17=TRUE),VLOOKUP(Calculator!E23,tbSkills!DH3:DJ6,3,FALSE),0),0))&gt;=100,100,(Backdoors!AI12+IF(CV65&gt;=0.45,VLOOKUP(Calculator!E23,tbSkills!DH3:DI6,2,FALSE)+IF(AND(Calculator!B8=TRUE,Backdoors!BI17=TRUE),VLOOKUP(Calculator!E23,tbSkills!DH3:DJ6,3,FALSE),0),0)))/100)),(1-(0.25*((-Backdoors!AI12-IF(CV65&gt;=0.45,VLOOKUP(Calculator!E23,tbSkills!DH3:DI6,2,FALSE)+IF(AND(Calculator!B8=TRUE,Backdoors!BI17=TRUE),VLOOKUP(Calculator!E23,tbSkills!DH3:DJ6,3,FALSE),0),0))/100)))),1),"")</f>
        <v>1</v>
      </c>
      <c r="CY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V65)*CX65)*(VLOOKUP(A65,tbMoveset!A2:C112,3,FALSE)/100)*IF(VLOOKUP(A65,tbMoveset!A2:B112,2,FALSE)="Projectile",Backdoors!N10,Backdoors!N9),0),"")</f>
        <v/>
      </c>
      <c r="CZ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V65&gt;=0.45,VLOOKUP(Calculator!E23,tbSkills!DH3:DI6,2,FALSE)+IF(AND(Calculator!B8=TRUE,Backdoors!BI17=TRUE),VLOOKUP(Calculator!E23,tbSkills!DH3:DJ6,3,FALSE),0),0))&gt;=100,100,(Backdoors!AI12+IF(CV65&gt;=0.45,VLOOKUP(Calculator!E23,tbSkills!DH3:DI6,2,FALSE)+IF(AND(Calculator!B8=TRUE,Backdoors!BI17=TRUE),VLOOKUP(Calculator!E23,tbSkills!DH3:DJ6,3,FALSE),0),0)))/100)),1))*IF(VLOOKUP(A65,tbMoveset!A2:K112,11,FALSE)=TRUE,Backdoors!AC5,1))*CW65,0),"")</f>
        <v>0</v>
      </c>
      <c r="DA65" s="49">
        <f>VLOOKUP(A65,tbMoveset!A2:G112,7,FALSE)*IFERROR(IF(Backdoors!AI12&gt;=0,1+(IF(Calculator!E40&gt;0,VLOOKUP(Calculator!E40,tbSkills!AI3:AJ5,2,FALSE),Backdoors!AL4)*(IF((Backdoors!AI12+IF(CV65&gt;=0.45,VLOOKUP(Calculator!E23,tbSkills!DH3:DI6,2,FALSE)+IF(AND(Calculator!B8=TRUE,Backdoors!BI17=TRUE),VLOOKUP(Calculator!E23,tbSkills!DH3:DJ6,3,FALSE),0),0))&gt;=100,100,(Backdoors!AI12+IF(CV65&gt;=0.45,VLOOKUP(Calculator!E23,tbSkills!DH3:DI6,2,FALSE)+IF(AND(Calculator!B8=TRUE,Backdoors!BI17=TRUE),VLOOKUP(Calculator!E23,tbSkills!DH3:DJ6,3,FALSE),0),0)))/100)),1),1)</f>
        <v>0.6</v>
      </c>
      <c r="DB65" s="87">
        <f t="shared" si="8"/>
        <v>0</v>
      </c>
      <c r="DC65" s="86" t="str">
        <f>IFERROR(IF(VLOOKUP(A65,tbMoveset!A2:B112,2,FALSE)="Sever",Backdoors!AY18/100,IF(VLOOKUP(A65,tbMoveset!A2:B112,2,FALSE)="Blunt",Backdoors!AZ18/100,Backdoors!BA18/100)),"")</f>
        <v/>
      </c>
      <c r="DD65" s="49">
        <f>IFERROR(IF(VLOOKUP(tbMoveset!A65,tbMoveset!A2:H112,8,FALSE)="Other",IF(VLOOKUP(tbMoveset!A65,tbMoveset!A2:I112,9,FALSE)="Fire",Backdoors!BB18,IF(VLOOKUP(tbMoveset!A65,tbMoveset!A2:I112,9,FALSE)="Water",Backdoors!BC18,IF(VLOOKUP(tbMoveset!A65,tbMoveset!A2:I112,9,FALSE)="Thunder",Backdoors!BD18,IF(VLOOKUP(tbMoveset!A65,tbMoveset!A2:I112,9,FALSE)="Ice",Backdoors!BE18,IF(VLOOKUP(tbMoveset!A65,tbMoveset!A2:I112,9,FALSE)="Dragon",Backdoors!BF18,Backdoors!BG18)))))/100,Backdoors!BG18/100),"")</f>
        <v>0</v>
      </c>
      <c r="DE65" s="49">
        <f>IFERROR(IF(VLOOKUP(A65,tbMoveset!A2:J112,10,FALSE)=TRUE,IF((Backdoors!AI12+IF(DC65&gt;=0.45,VLOOKUP(Calculator!E23,tbSkills!DH3:DI6,2,FALSE)+IF(AND(Calculator!B8=TRUE,Backdoors!BI18=TRUE),VLOOKUP(Calculator!E23,tbSkills!DH3:DJ6,3,FALSE),0),0))&gt;=0,1+(Backdoors!AL2*(IF((Backdoors!AI12+IF(DC65&gt;=0.45,VLOOKUP(Calculator!E23,tbSkills!DH3:DI6,2,FALSE)+IF(AND(Calculator!B8=TRUE,Backdoors!BI18=TRUE),VLOOKUP(Calculator!E23,tbSkills!DH3:DJ6,3,FALSE),0),0))&gt;=100,100,(Backdoors!AI12+IF(DC65&gt;=0.45,VLOOKUP(Calculator!E23,tbSkills!DH3:DI6,2,FALSE)+IF(AND(Calculator!B8=TRUE,Backdoors!BI18=TRUE),VLOOKUP(Calculator!E23,tbSkills!DH3:DJ6,3,FALSE),0),0)))/100)),(1-(0.25*((-Backdoors!AI12-IF(DC65&gt;=0.45,VLOOKUP(Calculator!E23,tbSkills!DH3:DI6,2,FALSE)+IF(AND(Calculator!B8=TRUE,Backdoors!BI18=TRUE),VLOOKUP(Calculator!E23,tbSkills!DH3:DJ6,3,FALSE),0),0))/100)))),1),"")</f>
        <v>1</v>
      </c>
      <c r="DF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C65)*DE65)*(VLOOKUP(A65,tbMoveset!A2:C112,3,FALSE)/100)*IF(VLOOKUP(A65,tbMoveset!A2:B112,2,FALSE)="Projectile",Backdoors!N10,Backdoors!N9),0),"")</f>
        <v/>
      </c>
      <c r="DG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C65&gt;=0.45,VLOOKUP(Calculator!E23,tbSkills!DH3:DI6,2,FALSE)+IF(AND(Calculator!B8=TRUE,Backdoors!BI18=TRUE),VLOOKUP(Calculator!E23,tbSkills!DH3:DJ6,3,FALSE),0),0))&gt;=100,100,(Backdoors!AI12+IF(DC65&gt;=0.45,VLOOKUP(Calculator!E23,tbSkills!DH3:DI6,2,FALSE)+IF(AND(Calculator!B8=TRUE,Backdoors!BI18=TRUE),VLOOKUP(Calculator!E23,tbSkills!DH3:DJ6,3,FALSE),0),0)))/100)),1))*IF(VLOOKUP(A65,tbMoveset!A2:K112,11,FALSE)=TRUE,Backdoors!AC5,1))*DD65,0),"")</f>
        <v>0</v>
      </c>
      <c r="DH65" s="49">
        <f>VLOOKUP(A65,tbMoveset!A2:G112,7,FALSE)*IFERROR(IF(Backdoors!AI12&gt;=0,1+(IF(Calculator!E40&gt;0,VLOOKUP(Calculator!E40,tbSkills!AI3:AJ5,2,FALSE),Backdoors!AL4)*(IF((Backdoors!AI12+IF(DC65&gt;=0.45,VLOOKUP(Calculator!E23,tbSkills!DH3:DI6,2,FALSE)+IF(AND(Calculator!B8=TRUE,Backdoors!BI18=TRUE),VLOOKUP(Calculator!E23,tbSkills!DH3:DJ6,3,FALSE),0),0))&gt;=100,100,(Backdoors!AI12+IF(DC65&gt;=0.45,VLOOKUP(Calculator!E23,tbSkills!DH3:DI6,2,FALSE)+IF(AND(Calculator!B8=TRUE,Backdoors!BI18=TRUE),VLOOKUP(Calculator!E23,tbSkills!DH3:DJ6,3,FALSE),0),0)))/100)),1),1)</f>
        <v>0.6</v>
      </c>
      <c r="DI65" s="87">
        <f t="shared" si="9"/>
        <v>0</v>
      </c>
      <c r="DJ65" s="86" t="str">
        <f>IFERROR(IF(VLOOKUP(A65,tbMoveset!A2:B112,2,FALSE)="Sever",Backdoors!AY19/100,IF(VLOOKUP(A65,tbMoveset!A2:B112,2,FALSE)="Blunt",Backdoors!AZ19/100,Backdoors!BA19/100)),"")</f>
        <v/>
      </c>
      <c r="DK65" s="49">
        <f>IFERROR(IF(VLOOKUP(tbMoveset!A65,tbMoveset!A2:H112,8,FALSE)="Other",IF(VLOOKUP(tbMoveset!A65,tbMoveset!A2:I112,9,FALSE)="Fire",Backdoors!BB19,IF(VLOOKUP(tbMoveset!A65,tbMoveset!A2:I112,9,FALSE)="Water",Backdoors!BC19,IF(VLOOKUP(tbMoveset!A65,tbMoveset!A2:I112,9,FALSE)="Thunder",Backdoors!BD19,IF(VLOOKUP(tbMoveset!A65,tbMoveset!A2:I112,9,FALSE)="Ice",Backdoors!BE19,IF(VLOOKUP(tbMoveset!A65,tbMoveset!A2:I112,9,FALSE)="Dragon",Backdoors!BF19,Backdoors!BG19)))))/100,Backdoors!BG19/100),"")</f>
        <v>0</v>
      </c>
      <c r="DL65" s="49">
        <f>IFERROR(IF(VLOOKUP(A65,tbMoveset!A2:J112,10,FALSE)=TRUE,IF((Backdoors!AI12+IF(DJ65&gt;=0.45,VLOOKUP(Calculator!E23,tbSkills!DH3:DI6,2,FALSE)+IF(AND(Calculator!B8=TRUE,Backdoors!BI19=TRUE),VLOOKUP(Calculator!E23,tbSkills!DH3:DJ6,3,FALSE),0),0))&gt;=0,1+(Backdoors!AL2*(IF((Backdoors!AI12+IF(DJ65&gt;=0.45,VLOOKUP(Calculator!E23,tbSkills!DH3:DI6,2,FALSE)+IF(AND(Calculator!B8=TRUE,Backdoors!BI19=TRUE),VLOOKUP(Calculator!E23,tbSkills!DH3:DJ6,3,FALSE),0),0))&gt;=100,100,(Backdoors!AI12+IF(DJ65&gt;=0.45,VLOOKUP(Calculator!E23,tbSkills!DH3:DI6,2,FALSE)+IF(AND(Calculator!B8=TRUE,Backdoors!BI19=TRUE),VLOOKUP(Calculator!E23,tbSkills!DH3:DJ6,3,FALSE),0),0)))/100)),(1-(0.25*((-Backdoors!AI12-IF(DJ65&gt;=0.45,VLOOKUP(Calculator!E23,tbSkills!DH3:DI6,2,FALSE)+IF(AND(Calculator!B8=TRUE,Backdoors!BI19=TRUE),VLOOKUP(Calculator!E23,tbSkills!DH3:DJ6,3,FALSE),0),0))/100)))),1),"")</f>
        <v>1</v>
      </c>
      <c r="DM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J65)*DL65)*(VLOOKUP(A65,tbMoveset!A2:C112,3,FALSE)/100)*IF(VLOOKUP(A65,tbMoveset!A2:B112,2,FALSE)="Projectile",Backdoors!N10,Backdoors!N9),0),"")</f>
        <v/>
      </c>
      <c r="DN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J65&gt;=0.45,VLOOKUP(Calculator!E23,tbSkills!DH3:DI6,2,FALSE)+IF(AND(Calculator!B8=TRUE,Backdoors!BI19=TRUE),VLOOKUP(Calculator!E23,tbSkills!DH3:DJ6,3,FALSE),0),0))&gt;=100,100,(Backdoors!AI12+IF(DJ65&gt;=0.45,VLOOKUP(Calculator!E23,tbSkills!DH3:DI6,2,FALSE)+IF(AND(Calculator!B8=TRUE,Backdoors!BI19=TRUE),VLOOKUP(Calculator!E23,tbSkills!DH3:DJ6,3,FALSE),0),0)))/100)),1))*IF(VLOOKUP(A65,tbMoveset!A2:K112,11,FALSE)=TRUE,Backdoors!AC5,1))*DK65,0),"")</f>
        <v>0</v>
      </c>
      <c r="DO65" s="49">
        <f>VLOOKUP(A65,tbMoveset!A2:G112,7,FALSE)*IFERROR(IF(Backdoors!AI12&gt;=0,1+(IF(Calculator!E40&gt;0,VLOOKUP(Calculator!E40,tbSkills!AI3:AJ5,2,FALSE),Backdoors!AL4)*(IF((Backdoors!AI12+IF(DJ65&gt;=0.45,VLOOKUP(Calculator!E23,tbSkills!DH3:DI6,2,FALSE)+IF(AND(Calculator!B8=TRUE,Backdoors!BI19=TRUE),VLOOKUP(Calculator!E23,tbSkills!DH3:DJ6,3,FALSE),0),0))&gt;=100,100,(Backdoors!AI12+IF(DJ65&gt;=0.45,VLOOKUP(Calculator!E23,tbSkills!DH3:DI6,2,FALSE)+IF(AND(Calculator!B8=TRUE,Backdoors!BI19=TRUE),VLOOKUP(Calculator!E23,tbSkills!DH3:DJ6,3,FALSE),0),0)))/100)),1),1)</f>
        <v>0.6</v>
      </c>
      <c r="DP65" s="87">
        <f t="shared" si="41"/>
        <v>0</v>
      </c>
      <c r="DQ65" s="86" t="str">
        <f>IFERROR(IF(VLOOKUP(A65,tbMoveset!A2:B112,2,FALSE)="Sever",Backdoors!AY20/100,IF(VLOOKUP(A65,tbMoveset!A2:B112,2,FALSE)="Blunt",Backdoors!AZ20/100,Backdoors!BA20/100)),"")</f>
        <v/>
      </c>
      <c r="DR65" s="49">
        <f>IFERROR(IF(VLOOKUP(tbMoveset!A65,tbMoveset!A2:H112,8,FALSE)="Other",IF(VLOOKUP(tbMoveset!A65,tbMoveset!A2:I112,9,FALSE)="Fire",Backdoors!BB20,IF(VLOOKUP(tbMoveset!A65,tbMoveset!A2:I112,9,FALSE)="Water",Backdoors!BC20,IF(VLOOKUP(tbMoveset!A65,tbMoveset!A2:I112,9,FALSE)="Thunder",Backdoors!BD20,IF(VLOOKUP(tbMoveset!A65,tbMoveset!A2:I112,9,FALSE)="Ice",Backdoors!BE20,IF(VLOOKUP(tbMoveset!A65,tbMoveset!A2:I112,9,FALSE)="Dragon",Backdoors!BF20,Backdoors!BG20)))))/100,Backdoors!BG20/100),"")</f>
        <v>0</v>
      </c>
      <c r="DS65" s="49">
        <f>IFERROR(IF(VLOOKUP(A65,tbMoveset!A2:J112,10,FALSE)=TRUE,IF((Backdoors!AI12+IF(DQ65&gt;=0.45,VLOOKUP(Calculator!E23,tbSkills!DH3:DI6,2,FALSE)+IF(AND(Calculator!B8=TRUE,Backdoors!BI20=TRUE),VLOOKUP(Calculator!E23,tbSkills!DH3:DJ6,3,FALSE),0),0))&gt;=0,1+(Backdoors!AL2*(IF((Backdoors!AI12+IF(DQ65&gt;=0.45,VLOOKUP(Calculator!E23,tbSkills!DH3:DI6,2,FALSE)+IF(AND(Calculator!B8=TRUE,Backdoors!BI20=TRUE),VLOOKUP(Calculator!E23,tbSkills!DH3:DJ6,3,FALSE),0),0))&gt;=100,100,(Backdoors!AI12+IF(DQ65&gt;=0.45,VLOOKUP(Calculator!E23,tbSkills!DH3:DI6,2,FALSE)+IF(AND(Calculator!B8=TRUE,Backdoors!BI20=TRUE),VLOOKUP(Calculator!E23,tbSkills!DH3:DJ6,3,FALSE),0),0)))/100)),(1-(0.25*((-Backdoors!AI12-IF(DQ65&gt;=0.45,VLOOKUP(Calculator!E23,tbSkills!DH3:DI6,2,FALSE)+IF(AND(Calculator!B8=TRUE,Backdoors!BI20=TRUE),VLOOKUP(Calculator!E23,tbSkills!DH3:DJ6,3,FALSE),0),0))/100)))),1),"")</f>
        <v>1</v>
      </c>
      <c r="DT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Q65)*DS65)*(VLOOKUP(A65,tbMoveset!A2:C112,3,FALSE)/100)*IF(VLOOKUP(A65,tbMoveset!A2:B112,2,FALSE)="Projectile",Backdoors!N10,Backdoors!N9),0),"")</f>
        <v/>
      </c>
      <c r="DU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Q65&gt;=0.45,VLOOKUP(Calculator!E23,tbSkills!DH3:DI6,2,FALSE)+IF(AND(Calculator!B8=TRUE,Backdoors!BI20=TRUE),VLOOKUP(Calculator!E23,tbSkills!DH3:DJ6,3,FALSE),0),0))&gt;=100,100,(Backdoors!AI12+IF(DQ65&gt;=0.45,VLOOKUP(Calculator!E23,tbSkills!DH3:DI6,2,FALSE)+IF(AND(Calculator!B8=TRUE,Backdoors!BI20=TRUE),VLOOKUP(Calculator!E23,tbSkills!DH3:DJ6,3,FALSE),0),0)))/100)),1))*IF(VLOOKUP(A65,tbMoveset!A2:K112,11,FALSE)=TRUE,Backdoors!AC5,1))*DR65,0),"")</f>
        <v>0</v>
      </c>
      <c r="DV65" s="49">
        <f>VLOOKUP(A65,tbMoveset!A2:G112,7,FALSE)*IFERROR(IF(Backdoors!AI12&gt;=0,1+(IF(Calculator!E40&gt;0,VLOOKUP(Calculator!E40,tbSkills!AI3:AJ5,2,FALSE),Backdoors!AL4)*(IF((Backdoors!AI12+IF(DQ65&gt;=0.45,VLOOKUP(Calculator!E23,tbSkills!DH3:DI6,2,FALSE)+IF(AND(Calculator!B8=TRUE,Backdoors!BI20=TRUE),VLOOKUP(Calculator!E23,tbSkills!DH3:DJ6,3,FALSE),0),0))&gt;=100,100,(Backdoors!AI12+IF(DQ65&gt;=0.45,VLOOKUP(Calculator!E23,tbSkills!DH3:DI6,2,FALSE)+IF(AND(Calculator!B8=TRUE,Backdoors!BI20=TRUE),VLOOKUP(Calculator!E23,tbSkills!DH3:DJ6,3,FALSE),0),0)))/100)),1),1)</f>
        <v>0.6</v>
      </c>
      <c r="DW65" s="87">
        <f t="shared" si="10"/>
        <v>0</v>
      </c>
      <c r="DX65" s="86" t="str">
        <f>IFERROR(IF(VLOOKUP(A65,tbMoveset!A2:B112,2,FALSE)="Sever",Backdoors!AY21/100,IF(VLOOKUP(A65,tbMoveset!A2:B112,2,FALSE)="Blunt",Backdoors!AZ21/100,Backdoors!BA21/100)),"")</f>
        <v/>
      </c>
      <c r="DY65" s="49">
        <f>IFERROR(IF(VLOOKUP(tbMoveset!A65,tbMoveset!A2:H112,8,FALSE)="Other",IF(VLOOKUP(tbMoveset!A65,tbMoveset!A2:I112,9,FALSE)="Fire",Backdoors!BB21,IF(VLOOKUP(tbMoveset!A65,tbMoveset!A2:I112,9,FALSE)="Water",Backdoors!BC21,IF(VLOOKUP(tbMoveset!A65,tbMoveset!A2:I112,9,FALSE)="Thunder",Backdoors!BD21,IF(VLOOKUP(tbMoveset!A65,tbMoveset!A2:I112,9,FALSE)="Ice",Backdoors!BE21,IF(VLOOKUP(tbMoveset!A65,tbMoveset!A2:I112,9,FALSE)="Dragon",Backdoors!BF21,Backdoors!BG21)))))/100,Backdoors!BG21/100),"")</f>
        <v>0</v>
      </c>
      <c r="DZ65" s="49">
        <f>IFERROR(IF(VLOOKUP(A65,tbMoveset!A2:J112,10,FALSE)=TRUE,IF((Backdoors!AI12+IF(DX65&gt;=0.45,VLOOKUP(Calculator!E23,tbSkills!DH3:DI6,2,FALSE)+IF(AND(Calculator!B8=TRUE,Backdoors!BI21=TRUE),VLOOKUP(Calculator!E23,tbSkills!DH3:DJ6,3,FALSE),0),0))&gt;=0,1+(Backdoors!AL2*(IF((Backdoors!AI12+IF(DX65&gt;=0.45,VLOOKUP(Calculator!E23,tbSkills!DH3:DI6,2,FALSE)+IF(AND(Calculator!B8=TRUE,Backdoors!BI21=TRUE),VLOOKUP(Calculator!E23,tbSkills!DH3:DJ6,3,FALSE),0),0))&gt;=100,100,(Backdoors!AI12+IF(DX65&gt;=0.45,VLOOKUP(Calculator!E23,tbSkills!DH3:DI6,2,FALSE)+IF(AND(Calculator!B8=TRUE,Backdoors!BI21=TRUE),VLOOKUP(Calculator!E23,tbSkills!DH3:DJ6,3,FALSE),0),0)))/100)),(1-(0.25*((-Backdoors!AI12-IF(DX65&gt;=0.45,VLOOKUP(Calculator!E23,tbSkills!DH3:DI6,2,FALSE)+IF(AND(Calculator!B8=TRUE,Backdoors!BI21=TRUE),VLOOKUP(Calculator!E23,tbSkills!DH3:DJ6,3,FALSE),0),0))/100)))),1),"")</f>
        <v>1</v>
      </c>
      <c r="EA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X65)*DZ65)*(VLOOKUP(A65,tbMoveset!A2:C112,3,FALSE)/100)*IF(VLOOKUP(A65,tbMoveset!A2:B112,2,FALSE)="Projectile",Backdoors!N10,Backdoors!N9),0),"")</f>
        <v/>
      </c>
      <c r="EB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X65&gt;=0.45,VLOOKUP(Calculator!E23,tbSkills!DH3:DI6,2,FALSE)+IF(AND(Calculator!B8=TRUE,Backdoors!BI21=TRUE),VLOOKUP(Calculator!E23,tbSkills!DH3:DJ6,3,FALSE),0),0))&gt;=100,100,(Backdoors!AI12+IF(DX65&gt;=0.45,VLOOKUP(Calculator!E23,tbSkills!DH3:DI6,2,FALSE)+IF(AND(Calculator!B8=TRUE,Backdoors!BI21=TRUE),VLOOKUP(Calculator!E23,tbSkills!DH3:DJ6,3,FALSE),0),0)))/100)),1))*IF(VLOOKUP(A65,tbMoveset!A2:K112,11,FALSE)=TRUE,Backdoors!AC5,1))*DY65,0),"")</f>
        <v>0</v>
      </c>
      <c r="EC65" s="49">
        <f>VLOOKUP(A65,tbMoveset!A2:G112,7,FALSE)*IFERROR(IF(Backdoors!AI12&gt;=0,1+(IF(Calculator!E40&gt;0,VLOOKUP(Calculator!E40,tbSkills!AI3:AJ5,2,FALSE),Backdoors!AL4)*(IF((Backdoors!AI12+IF(DX65&gt;=0.45,VLOOKUP(Calculator!E23,tbSkills!DH3:DI6,2,FALSE)+IF(AND(Calculator!B8=TRUE,Backdoors!BI21=TRUE),VLOOKUP(Calculator!E23,tbSkills!DH3:DJ6,3,FALSE),0),0))&gt;=100,100,(Backdoors!AI12+IF(DX65&gt;=0.45,VLOOKUP(Calculator!E23,tbSkills!DH3:DI6,2,FALSE)+IF(AND(Calculator!B8=TRUE,Backdoors!BI21=TRUE),VLOOKUP(Calculator!E23,tbSkills!DH3:DJ6,3,FALSE),0),0)))/100)),1),1)</f>
        <v>0.6</v>
      </c>
      <c r="ED65" s="87">
        <f t="shared" si="11"/>
        <v>0</v>
      </c>
      <c r="EE65" s="86" t="str">
        <f>IFERROR(IF(VLOOKUP(A65,tbMoveset!A2:B112,2,FALSE)="Sever",Backdoors!AY22/100,IF(VLOOKUP(A65,tbMoveset!A2:B112,2,FALSE)="Blunt",Backdoors!AZ22/100,Backdoors!BA22/100)),"")</f>
        <v/>
      </c>
      <c r="EF65" s="49">
        <f>IFERROR(IF(VLOOKUP(tbMoveset!A65,tbMoveset!A2:H112,8,FALSE)="Other",IF(VLOOKUP(tbMoveset!A65,tbMoveset!A2:I112,9,FALSE)="Fire",Backdoors!BB22,IF(VLOOKUP(tbMoveset!A65,tbMoveset!A2:I112,9,FALSE)="Water",Backdoors!BC22,IF(VLOOKUP(tbMoveset!A65,tbMoveset!A2:I112,9,FALSE)="Thunder",Backdoors!BD22,IF(VLOOKUP(tbMoveset!A65,tbMoveset!A2:I112,9,FALSE)="Ice",Backdoors!BE22,IF(VLOOKUP(tbMoveset!A65,tbMoveset!A2:I112,9,FALSE)="Dragon",Backdoors!BF22,Backdoors!BG22)))))/100,Backdoors!BG22/100),"")</f>
        <v>0</v>
      </c>
      <c r="EG65" s="49">
        <f>IFERROR(IF(VLOOKUP(A65,tbMoveset!A2:J112,10,FALSE)=TRUE,IF((Backdoors!AI12+IF(EE65&gt;=0.45,VLOOKUP(Calculator!E23,tbSkills!DH3:DI6,2,FALSE)+IF(AND(Calculator!B8=TRUE,Backdoors!BI22=TRUE),VLOOKUP(Calculator!E23,tbSkills!DH3:DJ6,3,FALSE),0),0))&gt;=0,1+(Backdoors!AL2*(IF((Backdoors!AI12+IF(EE65&gt;=0.45,VLOOKUP(Calculator!E23,tbSkills!DH3:DI6,2,FALSE)+IF(AND(Calculator!B8=TRUE,Backdoors!BI22=TRUE),VLOOKUP(Calculator!E23,tbSkills!DH3:DJ6,3,FALSE),0),0))&gt;=100,100,(Backdoors!AI12+IF(EE65&gt;=0.45,VLOOKUP(Calculator!E23,tbSkills!DH3:DI6,2,FALSE)+IF(AND(Calculator!B8=TRUE,Backdoors!BI22=TRUE),VLOOKUP(Calculator!E23,tbSkills!DH3:DJ6,3,FALSE),0),0)))/100)),(1-(0.25*((-Backdoors!AI12-IF(EE65&gt;=0.45,VLOOKUP(Calculator!E23,tbSkills!DH3:DI6,2,FALSE)+IF(AND(Calculator!B8=TRUE,Backdoors!BI22=TRUE),VLOOKUP(Calculator!E23,tbSkills!DH3:DJ6,3,FALSE),0),0))/100)))),1),"")</f>
        <v>1</v>
      </c>
      <c r="EH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E65)*EG65)*(VLOOKUP(A65,tbMoveset!A2:C112,3,FALSE)/100)*IF(VLOOKUP(A65,tbMoveset!A2:B112,2,FALSE)="Projectile",Backdoors!N10,Backdoors!N9),0),"")</f>
        <v/>
      </c>
      <c r="EI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E65&gt;=0.45,VLOOKUP(Calculator!E23,tbSkills!DH3:DI6,2,FALSE)+IF(AND(Calculator!B8=TRUE,Backdoors!BI22=TRUE),VLOOKUP(Calculator!E23,tbSkills!DH3:DJ6,3,FALSE),0),0))&gt;=100,100,(Backdoors!AI12+IF(EE65&gt;=0.45,VLOOKUP(Calculator!E23,tbSkills!DH3:DI6,2,FALSE)+IF(AND(Calculator!B8=TRUE,Backdoors!BI22=TRUE),VLOOKUP(Calculator!E23,tbSkills!DH3:DJ6,3,FALSE),0),0)))/100)),1))*IF(VLOOKUP(A65,tbMoveset!A2:K112,11,FALSE)=TRUE,Backdoors!AC5,1))*EF65,0),"")</f>
        <v>0</v>
      </c>
      <c r="EJ65" s="49">
        <f>VLOOKUP(A65,tbMoveset!A2:G112,7,FALSE)*IFERROR(IF(Backdoors!AI12&gt;=0,1+(IF(Calculator!E40&gt;0,VLOOKUP(Calculator!E40,tbSkills!AI3:AJ5,2,FALSE),Backdoors!AL4)*(IF((Backdoors!AI12+IF(EE65&gt;=0.45,VLOOKUP(Calculator!E23,tbSkills!DH3:DI6,2,FALSE)+IF(AND(Calculator!B8=TRUE,Backdoors!BI22=TRUE),VLOOKUP(Calculator!E23,tbSkills!DH3:DJ6,3,FALSE),0),0))&gt;=100,100,(Backdoors!AI12+IF(EE65&gt;=0.45,VLOOKUP(Calculator!E23,tbSkills!DH3:DI6,2,FALSE)+IF(AND(Calculator!B8=TRUE,Backdoors!BI22=TRUE),VLOOKUP(Calculator!E23,tbSkills!DH3:DJ6,3,FALSE),0),0)))/100)),1),1)</f>
        <v>0.6</v>
      </c>
      <c r="EK65" s="87">
        <f t="shared" si="12"/>
        <v>0</v>
      </c>
      <c r="EL65" s="86" t="str">
        <f>IFERROR(IF(VLOOKUP(A65,tbMoveset!A2:B112,2,FALSE)="Sever",Backdoors!AY23/100,IF(VLOOKUP(A65,tbMoveset!A2:B112,2,FALSE)="Blunt",Backdoors!AZ23/100,Backdoors!BA23/100)),"")</f>
        <v/>
      </c>
      <c r="EM65" s="49">
        <f>IFERROR(IF(VLOOKUP(tbMoveset!A65,tbMoveset!A2:H112,8,FALSE)="Other",IF(VLOOKUP(tbMoveset!A65,tbMoveset!A2:I112,9,FALSE)="Fire",Backdoors!BB23,IF(VLOOKUP(tbMoveset!A65,tbMoveset!A2:I112,9,FALSE)="Water",Backdoors!BC23,IF(VLOOKUP(tbMoveset!A65,tbMoveset!A2:I112,9,FALSE)="Thunder",Backdoors!BD23,IF(VLOOKUP(tbMoveset!A65,tbMoveset!A2:I112,9,FALSE)="Ice",Backdoors!BE23,IF(VLOOKUP(tbMoveset!A65,tbMoveset!A2:I112,9,FALSE)="Dragon",Backdoors!BF23,Backdoors!BG23)))))/100,Backdoors!BG23/100),"")</f>
        <v>0</v>
      </c>
      <c r="EN65" s="49">
        <f>IFERROR(IF(VLOOKUP(A65,tbMoveset!A2:J112,10,FALSE)=TRUE,IF((Backdoors!AI12+IF(EL65&gt;=0.45,VLOOKUP(Calculator!E23,tbSkills!DH3:DI6,2,FALSE)+IF(AND(Calculator!B8=TRUE,Backdoors!BI23=TRUE),VLOOKUP(Calculator!E23,tbSkills!DH3:DJ6,3,FALSE),0),0))&gt;=0,1+(Backdoors!AL2*(IF((Backdoors!AI12+IF(EL65&gt;=0.45,VLOOKUP(Calculator!E23,tbSkills!DH3:DI6,2,FALSE)+IF(AND(Calculator!B8=TRUE,Backdoors!BI23=TRUE),VLOOKUP(Calculator!E23,tbSkills!DH3:DJ6,3,FALSE),0),0))&gt;=100,100,(Backdoors!AI12+IF(EL65&gt;=0.45,VLOOKUP(Calculator!E23,tbSkills!DH3:DI6,2,FALSE)+IF(AND(Calculator!B8=TRUE,Backdoors!BI23=TRUE),VLOOKUP(Calculator!E23,tbSkills!DH3:DJ6,3,FALSE),0),0)))/100)),(1-(0.25*((-Backdoors!AI12-IF(EL65&gt;=0.45,VLOOKUP(Calculator!E23,tbSkills!DH3:DI6,2,FALSE)+IF(AND(Calculator!B8=TRUE,Backdoors!BI23=TRUE),VLOOKUP(Calculator!E23,tbSkills!DH3:DJ6,3,FALSE),0),0))/100)))),1),"")</f>
        <v>1</v>
      </c>
      <c r="EO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L65)*EN65)*(VLOOKUP(A65,tbMoveset!A2:C112,3,FALSE)/100)*IF(VLOOKUP(A65,tbMoveset!A2:B112,2,FALSE)="Projectile",Backdoors!N10,Backdoors!N9),0),"")</f>
        <v/>
      </c>
      <c r="EP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L65&gt;=0.45,VLOOKUP(Calculator!E23,tbSkills!DH3:DI6,2,FALSE)+IF(AND(Calculator!B8=TRUE,Backdoors!BI23=TRUE),VLOOKUP(Calculator!E23,tbSkills!DH3:DJ6,3,FALSE),0),0))&gt;=100,100,(Backdoors!AI12+IF(EL65&gt;=0.45,VLOOKUP(Calculator!E23,tbSkills!DH3:DI6,2,FALSE)+IF(AND(Calculator!B8=TRUE,Backdoors!BI23=TRUE),VLOOKUP(Calculator!E23,tbSkills!DH3:DJ6,3,FALSE),0),0)))/100)),1))*IF(VLOOKUP(A65,tbMoveset!A2:K112,11,FALSE)=TRUE,Backdoors!AC5,1))*EM65,0),"")</f>
        <v>0</v>
      </c>
      <c r="EQ65" s="49">
        <f>VLOOKUP(A65,tbMoveset!A2:G112,7,FALSE)*IFERROR(IF(Backdoors!AI12&gt;=0,1+(IF(Calculator!E40&gt;0,VLOOKUP(Calculator!E40,tbSkills!AI3:AJ5,2,FALSE),Backdoors!AL4)*(IF((Backdoors!AI12+IF(EL65&gt;=0.45,VLOOKUP(Calculator!E23,tbSkills!DH3:DI6,2,FALSE)+IF(AND(Calculator!B8=TRUE,Backdoors!BI23=TRUE),VLOOKUP(Calculator!E23,tbSkills!DH3:DJ6,3,FALSE),0),0))&gt;=100,100,(Backdoors!AI12+IF(EL65&gt;=0.45,VLOOKUP(Calculator!E23,tbSkills!DH3:DI6,2,FALSE)+IF(AND(Calculator!B8=TRUE,Backdoors!BI23=TRUE),VLOOKUP(Calculator!E23,tbSkills!DH3:DJ6,3,FALSE),0),0)))/100)),1),1)</f>
        <v>0.6</v>
      </c>
      <c r="ER65" s="87">
        <f t="shared" si="13"/>
        <v>0</v>
      </c>
      <c r="ES65" s="86" t="str">
        <f>IFERROR(IF(VLOOKUP(A65,tbMoveset!A2:B112,2,FALSE)="Sever",Backdoors!AY24/100,IF(VLOOKUP(A65,tbMoveset!A2:B112,2,FALSE)="Blunt",Backdoors!AZ24/100,Backdoors!BA24/100)),"")</f>
        <v/>
      </c>
      <c r="ET65" s="49">
        <f>IFERROR(IF(VLOOKUP(tbMoveset!A65,tbMoveset!A2:H112,8,FALSE)="Other",IF(VLOOKUP(tbMoveset!A65,tbMoveset!A2:I112,9,FALSE)="Fire",Backdoors!BB24,IF(VLOOKUP(tbMoveset!A65,tbMoveset!A2:I112,9,FALSE)="Water",Backdoors!BC24,IF(VLOOKUP(tbMoveset!A65,tbMoveset!A2:I112,9,FALSE)="Thunder",Backdoors!BD24,IF(VLOOKUP(tbMoveset!A65,tbMoveset!A2:I112,9,FALSE)="Ice",Backdoors!BE24,IF(VLOOKUP(tbMoveset!A65,tbMoveset!A2:I112,9,FALSE)="Dragon",Backdoors!BF24,Backdoors!BG24)))))/100,Backdoors!BG24/100),"")</f>
        <v>0</v>
      </c>
      <c r="EU65" s="49">
        <f>IFERROR(IF(VLOOKUP(A65,tbMoveset!A2:J112,10,FALSE)=TRUE,IF((Backdoors!AI12+IF(ES65&gt;=0.45,VLOOKUP(Calculator!E23,tbSkills!DH3:DI6,2,FALSE)+IF(AND(Calculator!B8=TRUE,Backdoors!BI24=TRUE),VLOOKUP(Calculator!E23,tbSkills!DH3:DJ6,3,FALSE),0),0))&gt;=0,1+(Backdoors!AL2*(IF((Backdoors!AI12+IF(ES65&gt;=0.45,VLOOKUP(Calculator!E23,tbSkills!DH3:DI6,2,FALSE)+IF(AND(Calculator!B8=TRUE,Backdoors!BI24=TRUE),VLOOKUP(Calculator!E23,tbSkills!DH3:DJ6,3,FALSE),0),0))&gt;=100,100,(Backdoors!AI12+IF(ES65&gt;=0.45,VLOOKUP(Calculator!E23,tbSkills!DH3:DI6,2,FALSE)+IF(AND(Calculator!B8=TRUE,Backdoors!BI24=TRUE),VLOOKUP(Calculator!E23,tbSkills!DH3:DJ6,3,FALSE),0),0)))/100)),(1-(0.25*((-Backdoors!AI12-IF(ES65&gt;=0.45,VLOOKUP(Calculator!E23,tbSkills!DH3:DI6,2,FALSE)+IF(AND(Calculator!B8=TRUE,Backdoors!BI24=TRUE),VLOOKUP(Calculator!E23,tbSkills!DH3:DJ6,3,FALSE),0),0))/100)))),1),"")</f>
        <v>1</v>
      </c>
      <c r="EV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S65)*EU65)*(VLOOKUP(A65,tbMoveset!A2:C112,3,FALSE)/100)*IF(VLOOKUP(A65,tbMoveset!A2:B112,2,FALSE)="Projectile",Backdoors!N10,Backdoors!N9),0),"")</f>
        <v/>
      </c>
      <c r="EW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S65&gt;=0.45,VLOOKUP(Calculator!E23,tbSkills!DH3:DI6,2,FALSE)+IF(AND(Calculator!B8=TRUE,Backdoors!BI24=TRUE),VLOOKUP(Calculator!E23,tbSkills!DH3:DJ6,3,FALSE),0),0))&gt;=100,100,(Backdoors!AI12+IF(ES65&gt;=0.45,VLOOKUP(Calculator!E23,tbSkills!DH3:DI6,2,FALSE)+IF(AND(Calculator!B8=TRUE,Backdoors!BI24=TRUE),VLOOKUP(Calculator!E23,tbSkills!DH3:DJ6,3,FALSE),0),0)))/100)),1))*IF(VLOOKUP(A65,tbMoveset!A2:K112,11,FALSE)=TRUE,Backdoors!AC5,1))*ET65,0),"")</f>
        <v>0</v>
      </c>
      <c r="EX65" s="49">
        <f>VLOOKUP(A65,tbMoveset!A2:G112,7,FALSE)*IFERROR(IF(Backdoors!AI12&gt;=0,1+(IF(Calculator!E40&gt;0,VLOOKUP(Calculator!E40,tbSkills!AI3:AJ5,2,FALSE),Backdoors!AL4)*(IF((Backdoors!AI12+IF(ES65&gt;=0.45,VLOOKUP(Calculator!E23,tbSkills!DH3:DI6,2,FALSE)+IF(AND(Calculator!B8=TRUE,Backdoors!BI24=TRUE),VLOOKUP(Calculator!E23,tbSkills!DH3:DJ6,3,FALSE),0),0))&gt;=100,100,(Backdoors!AI12+IF(ES65&gt;=0.45,VLOOKUP(Calculator!E23,tbSkills!DH3:DI6,2,FALSE)+IF(AND(Calculator!B8=TRUE,Backdoors!BI24=TRUE),VLOOKUP(Calculator!E23,tbSkills!DH3:DJ6,3,FALSE),0),0)))/100)),1),1)</f>
        <v>0.6</v>
      </c>
      <c r="EY65" s="87">
        <f t="shared" si="14"/>
        <v>0</v>
      </c>
      <c r="EZ65" s="86" t="str">
        <f>IFERROR(IF(VLOOKUP(A65,tbMoveset!A2:B112,2,FALSE)="Sever",Backdoors!AY25/100,IF(VLOOKUP(A65,tbMoveset!A2:B112,2,FALSE)="Blunt",Backdoors!AZ25/100,Backdoors!BA25/100)),"")</f>
        <v/>
      </c>
      <c r="FA65" s="49">
        <f>IFERROR(IF(VLOOKUP(tbMoveset!A65,tbMoveset!A2:H112,8,FALSE)="Other",IF(VLOOKUP(tbMoveset!A65,tbMoveset!A2:I112,9,FALSE)="Fire",Backdoors!BB25,IF(VLOOKUP(tbMoveset!A65,tbMoveset!A2:I112,9,FALSE)="Water",Backdoors!BC25,IF(VLOOKUP(tbMoveset!A65,tbMoveset!A2:I112,9,FALSE)="Thunder",Backdoors!BD25,IF(VLOOKUP(tbMoveset!A65,tbMoveset!A2:I112,9,FALSE)="Ice",Backdoors!BE25,IF(VLOOKUP(tbMoveset!A65,tbMoveset!A2:I112,9,FALSE)="Dragon",Backdoors!BF25,Backdoors!BG25)))))/100,Backdoors!BG25/100),"")</f>
        <v>0</v>
      </c>
      <c r="FB65" s="49">
        <f>IFERROR(IF(VLOOKUP(A65,tbMoveset!A2:J112,10,FALSE)=TRUE,IF((Backdoors!AI12+IF(EZ65&gt;=0.45,VLOOKUP(Calculator!E23,tbSkills!DH3:DI6,2,FALSE)+IF(AND(Calculator!B8=TRUE,Backdoors!BI25=TRUE),VLOOKUP(Calculator!E23,tbSkills!DH3:DJ6,3,FALSE),0),0))&gt;=0,1+(Backdoors!AL2*(IF((Backdoors!AI12+IF(EZ65&gt;=0.45,VLOOKUP(Calculator!E23,tbSkills!DH3:DI6,2,FALSE)+IF(AND(Calculator!B8=TRUE,Backdoors!BI25=TRUE),VLOOKUP(Calculator!E23,tbSkills!DH3:DJ6,3,FALSE),0),0))&gt;=100,100,(Backdoors!AI12+IF(EZ65&gt;=0.45,VLOOKUP(Calculator!E23,tbSkills!DH3:DI6,2,FALSE)+IF(AND(Calculator!B8=TRUE,Backdoors!BI25=TRUE),VLOOKUP(Calculator!E23,tbSkills!DH3:DJ6,3,FALSE),0),0)))/100)),(1-(0.25*((-Backdoors!AI12-IF(EZ65&gt;=0.45,VLOOKUP(Calculator!E23,tbSkills!DH3:DI6,2,FALSE)+IF(AND(Calculator!B8=TRUE,Backdoors!BI25=TRUE),VLOOKUP(Calculator!E23,tbSkills!DH3:DJ6,3,FALSE),0),0))/100)))),1),"")</f>
        <v>1</v>
      </c>
      <c r="FC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Z65)*FB65)*(VLOOKUP(A65,tbMoveset!A2:C112,3,FALSE)/100)*IF(VLOOKUP(A65,tbMoveset!A2:B112,2,FALSE)="Projectile",Backdoors!N10,Backdoors!N9),0),"")</f>
        <v/>
      </c>
      <c r="FD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Z65&gt;=0.45,VLOOKUP(Calculator!E23,tbSkills!DH3:DI6,2,FALSE)+IF(AND(Calculator!B8=TRUE,Backdoors!BI25=TRUE),VLOOKUP(Calculator!E23,tbSkills!DH3:DJ6,3,FALSE),0),0))&gt;=100,100,(Backdoors!AI12+IF(EZ65&gt;=0.45,VLOOKUP(Calculator!E23,tbSkills!DH3:DI6,2,FALSE)+IF(AND(Calculator!B8=TRUE,Backdoors!BI25=TRUE),VLOOKUP(Calculator!E23,tbSkills!DH3:DJ6,3,FALSE),0),0)))/100)),1))*IF(VLOOKUP(A65,tbMoveset!A2:K112,11,FALSE)=TRUE,Backdoors!AC5,1))*FA65,0),"")</f>
        <v>0</v>
      </c>
      <c r="FE65" s="49">
        <f>VLOOKUP(A65,tbMoveset!A2:G112,7,FALSE)*IFERROR(IF(Backdoors!AI12&gt;=0,1+(IF(Calculator!E40&gt;0,VLOOKUP(Calculator!E40,tbSkills!AI3:AJ5,2,FALSE),Backdoors!AL4)*(IF((Backdoors!AI12+IF(EZ65&gt;=0.45,VLOOKUP(Calculator!E23,tbSkills!DH3:DI6,2,FALSE)+IF(AND(Calculator!B8=TRUE,Backdoors!BI25=TRUE),VLOOKUP(Calculator!E23,tbSkills!DH3:DJ6,3,FALSE),0),0))&gt;=100,100,(Backdoors!AI12+IF(EZ65&gt;=0.45,VLOOKUP(Calculator!E23,tbSkills!DH3:DI6,2,FALSE)+IF(AND(Calculator!B8=TRUE,Backdoors!BI25=TRUE),VLOOKUP(Calculator!E23,tbSkills!DH3:DJ6,3,FALSE),0),0)))/100)),1),1)</f>
        <v>0.6</v>
      </c>
      <c r="FF65" s="87">
        <f t="shared" si="15"/>
        <v>0</v>
      </c>
      <c r="FG65" s="86" t="str">
        <f>IFERROR(IF(VLOOKUP(A65,tbMoveset!A2:B112,2,FALSE)="Sever",Backdoors!AY26/100,IF(VLOOKUP(A65,tbMoveset!A2:B112,2,FALSE)="Blunt",Backdoors!AZ26/100,Backdoors!BA26/100)),"")</f>
        <v/>
      </c>
      <c r="FH65" s="49">
        <f>IFERROR(IF(VLOOKUP(tbMoveset!A65,tbMoveset!A2:H112,8,FALSE)="Other",IF(VLOOKUP(tbMoveset!A65,tbMoveset!A2:I112,9,FALSE)="Fire",Backdoors!BB26,IF(VLOOKUP(tbMoveset!A65,tbMoveset!A2:I112,9,FALSE)="Water",Backdoors!BC26,IF(VLOOKUP(tbMoveset!A65,tbMoveset!A2:I112,9,FALSE)="Thunder",Backdoors!BD26,IF(VLOOKUP(tbMoveset!A65,tbMoveset!A2:I112,9,FALSE)="Ice",Backdoors!BE26,IF(VLOOKUP(tbMoveset!A65,tbMoveset!A2:I112,9,FALSE)="Dragon",Backdoors!BF26,Backdoors!BG26)))))/100,Backdoors!BG26/100),"")</f>
        <v>0</v>
      </c>
      <c r="FI65" s="49">
        <f>IFERROR(IF(VLOOKUP(A65,tbMoveset!A2:J112,10,FALSE)=TRUE,IF((Backdoors!AI12+IF(FG65&gt;=0.45,VLOOKUP(Calculator!E23,tbSkills!DH3:DI6,2,FALSE)+IF(AND(Calculator!B8=TRUE,Backdoors!BI26=TRUE),VLOOKUP(Calculator!E23,tbSkills!DH3:DJ6,3,FALSE),0),0))&gt;=0,1+(Backdoors!AL2*(IF((Backdoors!AI12+IF(FG65&gt;=0.45,VLOOKUP(Calculator!E23,tbSkills!DH3:DI6,2,FALSE)+IF(AND(Calculator!B8=TRUE,Backdoors!BI26=TRUE),VLOOKUP(Calculator!E23,tbSkills!DH3:DJ6,3,FALSE),0),0))&gt;=100,100,(Backdoors!AI12+IF(FG65&gt;=0.45,VLOOKUP(Calculator!E23,tbSkills!DH3:DI6,2,FALSE)+IF(AND(Calculator!B8=TRUE,Backdoors!BI26=TRUE),VLOOKUP(Calculator!E23,tbSkills!DH3:DJ6,3,FALSE),0),0)))/100)),(1-(0.25*((-Backdoors!AI12-IF(FG65&gt;=0.45,VLOOKUP(Calculator!E23,tbSkills!DH3:DI6,2,FALSE)+IF(AND(Calculator!B8=TRUE,Backdoors!BI26=TRUE),VLOOKUP(Calculator!E23,tbSkills!DH3:DJ6,3,FALSE),0),0))/100)))),1),"")</f>
        <v>1</v>
      </c>
      <c r="FJ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FG65)*FI65)*(VLOOKUP(A65,tbMoveset!A2:C112,3,FALSE)/100)*IF(VLOOKUP(A65,tbMoveset!A2:B112,2,FALSE)="Projectile",Backdoors!N10,Backdoors!N9),0),"")</f>
        <v/>
      </c>
      <c r="FK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FG65&gt;=0.45,VLOOKUP(Calculator!E23,tbSkills!DH3:DI6,2,FALSE)+IF(AND(Calculator!B8=TRUE,Backdoors!BI26=TRUE),VLOOKUP(Calculator!E23,tbSkills!DH3:DJ6,3,FALSE),0),0))&gt;=100,100,(Backdoors!AI12+IF(FG65&gt;=0.45,VLOOKUP(Calculator!E23,tbSkills!DH3:DI6,2,FALSE)+IF(AND(Calculator!B8=TRUE,Backdoors!BI26=TRUE),VLOOKUP(Calculator!E23,tbSkills!DH3:DJ6,3,FALSE),0),0)))/100)),1))*IF(VLOOKUP(A65,tbMoveset!A2:K112,11,FALSE)=TRUE,Backdoors!AC5,1))*FH65,0),"")</f>
        <v>0</v>
      </c>
      <c r="FL65" s="49">
        <f>VLOOKUP(A65,tbMoveset!A2:G112,7,FALSE)*IFERROR(IF(Backdoors!AI12&gt;=0,1+(IF(Calculator!E40&gt;0,VLOOKUP(Calculator!E40,tbSkills!AI3:AJ5,2,FALSE),Backdoors!AL4)*(IF((Backdoors!AI12+IF(FG65&gt;=0.45,VLOOKUP(Calculator!E23,tbSkills!DH3:DI6,2,FALSE)+IF(AND(Calculator!B8=TRUE,Backdoors!BI26=TRUE),VLOOKUP(Calculator!E23,tbSkills!DH3:DJ6,3,FALSE),0),0))&gt;=100,100,(Backdoors!AI12+IF(FG65&gt;=0.45,VLOOKUP(Calculator!E23,tbSkills!DH3:DI6,2,FALSE)+IF(AND(Calculator!B8=TRUE,Backdoors!BI26=TRUE),VLOOKUP(Calculator!E23,tbSkills!DH3:DJ6,3,FALSE),0),0)))/100)),1),1)</f>
        <v>0.6</v>
      </c>
      <c r="FM65" s="87">
        <f t="shared" si="16"/>
        <v>0</v>
      </c>
      <c r="FN65" s="86" t="str">
        <f>IFERROR(IF(VLOOKUP(A65,tbMoveset!A2:B112,2,FALSE)="Sever",Backdoors!AY27/100,IF(VLOOKUP(A65,tbMoveset!A2:B112,2,FALSE)="Blunt",Backdoors!AZ27/100,Backdoors!BA27/100)),"")</f>
        <v/>
      </c>
      <c r="FO65" s="49">
        <f>IFERROR(IF(VLOOKUP(tbMoveset!A65,tbMoveset!A2:H112,8,FALSE)="Other",IF(VLOOKUP(tbMoveset!A65,tbMoveset!A2:I112,9,FALSE)="Fire",Backdoors!BB27,IF(VLOOKUP(tbMoveset!A65,tbMoveset!A2:I112,9,FALSE)="Water",Backdoors!BC27,IF(VLOOKUP(tbMoveset!A65,tbMoveset!A2:I112,9,FALSE)="Thunder",Backdoors!BD27,IF(VLOOKUP(tbMoveset!A65,tbMoveset!A2:I112,9,FALSE)="Ice",Backdoors!BE27,IF(VLOOKUP(tbMoveset!A65,tbMoveset!A2:I112,9,FALSE)="Dragon",Backdoors!BF27,Backdoors!BG27)))))/100,Backdoors!BG27/100),"")</f>
        <v>0</v>
      </c>
      <c r="FP65" s="49">
        <f>IFERROR(IF(VLOOKUP(A65,tbMoveset!A2:J112,10,FALSE)=TRUE,IF((Backdoors!AI12+IF(FN65&gt;=0.45,VLOOKUP(Calculator!E23,tbSkills!DH3:DI6,2,FALSE)+IF(AND(Calculator!B8=TRUE,Backdoors!BI27=TRUE),VLOOKUP(Calculator!E23,tbSkills!DH3:DJ6,3,FALSE),0),0))&gt;=0,1+(Backdoors!AL2*(IF((Backdoors!AI12+IF(FN65&gt;=0.45,VLOOKUP(Calculator!E23,tbSkills!DH3:DI6,2,FALSE)+IF(AND(Calculator!B8=TRUE,Backdoors!BI27=TRUE),VLOOKUP(Calculator!E23,tbSkills!DH3:DJ6,3,FALSE),0),0))&gt;=100,100,(Backdoors!AI12+IF(FN65&gt;=0.45,VLOOKUP(Calculator!E23,tbSkills!DH3:DI6,2,FALSE)+IF(AND(Calculator!B8=TRUE,Backdoors!BI27=TRUE),VLOOKUP(Calculator!E23,tbSkills!DH3:DJ6,3,FALSE),0),0)))/100)),(1-(0.25*((-Backdoors!AI12-IF(FN65&gt;=0.45,VLOOKUP(Calculator!E23,tbSkills!DH3:DI6,2,FALSE)+IF(AND(Calculator!B8=TRUE,Backdoors!BI27=TRUE),VLOOKUP(Calculator!E23,tbSkills!DH3:DJ6,3,FALSE),0),0))/100)))),1),"")</f>
        <v>1</v>
      </c>
      <c r="FQ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FN65)*FP65)*(VLOOKUP(A65,tbMoveset!A2:C112,3,FALSE)/100)*IF(VLOOKUP(A65,tbMoveset!A2:B112,2,FALSE)="Projectile",Backdoors!N10,Backdoors!N9),0),"")</f>
        <v/>
      </c>
      <c r="FR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FN65&gt;=0.45,VLOOKUP(Calculator!E23,tbSkills!DH3:DI6,2,FALSE)+IF(AND(Calculator!B8=TRUE,Backdoors!BI27=TRUE),VLOOKUP(Calculator!E23,tbSkills!DH3:DJ6,3,FALSE),0),0))&gt;=100,100,(Backdoors!AI12+IF(FN65&gt;=0.45,VLOOKUP(Calculator!E23,tbSkills!DH3:DI6,2,FALSE)+IF(AND(Calculator!B8=TRUE,Backdoors!BI27=TRUE),VLOOKUP(Calculator!E23,tbSkills!DH3:DJ6,3,FALSE),0),0)))/100)),1))*IF(VLOOKUP(A65,tbMoveset!A2:K112,11,FALSE)=TRUE,Backdoors!AC5,1))*FO65,0),"")</f>
        <v>0</v>
      </c>
      <c r="FS65" s="49">
        <f>VLOOKUP(A65,tbMoveset!A2:G112,7,FALSE)*IFERROR(IF(Backdoors!AI12&gt;=0,1+(IF(Calculator!E40&gt;0,VLOOKUP(Calculator!E40,tbSkills!AI3:AJ5,2,FALSE),Backdoors!AL4)*(IF((Backdoors!AI12+IF(FN65&gt;=0.45,VLOOKUP(Calculator!E23,tbSkills!DH3:DI6,2,FALSE)+IF(AND(Calculator!B8=TRUE,Backdoors!BI27=TRUE),VLOOKUP(Calculator!E23,tbSkills!DH3:DJ6,3,FALSE),0),0))&gt;=100,100,(Backdoors!AI12+IF(FN65&gt;=0.45,VLOOKUP(Calculator!E23,tbSkills!DH3:DI6,2,FALSE)+IF(AND(Calculator!B8=TRUE,Backdoors!BI27=TRUE),VLOOKUP(Calculator!E23,tbSkills!DH3:DJ6,3,FALSE),0),0)))/100)),1),1)</f>
        <v>0.6</v>
      </c>
      <c r="FT65" s="87">
        <f t="shared" si="17"/>
        <v>0</v>
      </c>
      <c r="FU65" s="86" t="str">
        <f>IFERROR(IF(VLOOKUP(A65,tbMoveset!A2:B112,2,FALSE)="Sever",Backdoors!AY28/100,IF(VLOOKUP(A65,tbMoveset!A2:B112,2,FALSE)="Blunt",Backdoors!AZ28/100,Backdoors!BA28/100)),"")</f>
        <v/>
      </c>
      <c r="FV65" s="49">
        <f>IFERROR(IF(VLOOKUP(tbMoveset!A65,tbMoveset!A2:H112,8,FALSE)="Other",IF(VLOOKUP(tbMoveset!A65,tbMoveset!A2:I112,9,FALSE)="Fire",Backdoors!BB28,IF(VLOOKUP(tbMoveset!A65,tbMoveset!A2:I112,9,FALSE)="Water",Backdoors!BC28,IF(VLOOKUP(tbMoveset!A65,tbMoveset!A2:I112,9,FALSE)="Thunder",Backdoors!BD28,IF(VLOOKUP(tbMoveset!A65,tbMoveset!A2:I112,9,FALSE)="Ice",Backdoors!BE28,IF(VLOOKUP(tbMoveset!A65,tbMoveset!A2:I112,9,FALSE)="Dragon",Backdoors!BF28,Backdoors!BG28)))))/100,Backdoors!BG28/100),"")</f>
        <v>0</v>
      </c>
      <c r="FW65" s="49">
        <f>IFERROR(IF(VLOOKUP(A65,tbMoveset!A2:J112,10,FALSE)=TRUE,IF((Backdoors!AI12+IF(FU65&gt;=0.45,VLOOKUP(Calculator!E23,tbSkills!DH3:DI6,2,FALSE)+IF(AND(Calculator!B8=TRUE,Backdoors!BI28=TRUE),VLOOKUP(Calculator!E23,tbSkills!DH3:DJ6,3,FALSE),0),0))&gt;=0,1+(Backdoors!AL2*(IF((Backdoors!AI12+IF(FU65&gt;=0.45,VLOOKUP(Calculator!E23,tbSkills!DH3:DI6,2,FALSE)+IF(AND(Calculator!B8=TRUE,Backdoors!BI28=TRUE),VLOOKUP(Calculator!E23,tbSkills!DH3:DJ6,3,FALSE),0),0))&gt;=100,100,(Backdoors!AI12+IF(FU65&gt;=0.45,VLOOKUP(Calculator!E23,tbSkills!DH3:DI6,2,FALSE)+IF(AND(Calculator!B8=TRUE,Backdoors!BI28=TRUE),VLOOKUP(Calculator!E23,tbSkills!DH3:DJ6,3,FALSE),0),0)))/100)),(1-(0.25*((-Backdoors!AI12-IF(FU65&gt;=0.45,VLOOKUP(Calculator!E23,tbSkills!DH3:DI6,2,FALSE)+IF(AND(Calculator!B8=TRUE,Backdoors!BI28=TRUE),VLOOKUP(Calculator!E23,tbSkills!DH3:DJ6,3,FALSE),0),0))/100)))),1),"")</f>
        <v>1</v>
      </c>
      <c r="FX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FU65)*FW65)*(VLOOKUP(A65,tbMoveset!A2:C112,3,FALSE)/100)*IF(VLOOKUP(A65,tbMoveset!A2:B112,2,FALSE)="Projectile",Backdoors!N10,Backdoors!N9),0),"")</f>
        <v/>
      </c>
      <c r="FY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FU65&gt;=0.45,VLOOKUP(Calculator!E23,tbSkills!DH3:DI6,2,FALSE)+IF(AND(Calculator!B8=TRUE,Backdoors!BI28=TRUE),VLOOKUP(Calculator!E23,tbSkills!DH3:DJ6,3,FALSE),0),0))&gt;=100,100,(Backdoors!AI12+IF(FU65&gt;=0.45,VLOOKUP(Calculator!E23,tbSkills!DH3:DI6,2,FALSE)+IF(AND(Calculator!B8=TRUE,Backdoors!BI28=TRUE),VLOOKUP(Calculator!E23,tbSkills!DH3:DJ6,3,FALSE),0),0)))/100)),1))*IF(VLOOKUP(A65,tbMoveset!A2:K112,11,FALSE)=TRUE,Backdoors!AC5,1))*FV65,0),"")</f>
        <v>0</v>
      </c>
      <c r="FZ65" s="49">
        <f>VLOOKUP(A65,tbMoveset!A2:G112,7,FALSE)*IFERROR(IF(Backdoors!AI12&gt;=0,1+(IF(Calculator!E40&gt;0,VLOOKUP(Calculator!E40,tbSkills!AI3:AJ5,2,FALSE),Backdoors!AL4)*(IF((Backdoors!AI12+IF(FU65&gt;=0.45,VLOOKUP(Calculator!E23,tbSkills!DH3:DI6,2,FALSE)+IF(AND(Calculator!B8=TRUE,Backdoors!BI28=TRUE),VLOOKUP(Calculator!E23,tbSkills!DH3:DJ6,3,FALSE),0),0))&gt;=100,100,(Backdoors!AI12+IF(FU65&gt;=0.45,VLOOKUP(Calculator!E23,tbSkills!DH3:DI6,2,FALSE)+IF(AND(Calculator!B8=TRUE,Backdoors!BI28=TRUE),VLOOKUP(Calculator!E23,tbSkills!DH3:DJ6,3,FALSE),0),0)))/100)),1),1)</f>
        <v>0.6</v>
      </c>
      <c r="GA65" s="87">
        <f t="shared" si="18"/>
        <v>0</v>
      </c>
      <c r="GB65" s="86" t="str">
        <f>IFERROR(IF(VLOOKUP(A65,tbMoveset!A2:B112,2,FALSE)="Sever",Backdoors!AY29/100,IF(VLOOKUP(A65,tbMoveset!A2:B112,2,FALSE)="Blunt",Backdoors!AZ29/100,Backdoors!BA29/100)),"")</f>
        <v/>
      </c>
      <c r="GC65" s="49">
        <f>IFERROR(IF(VLOOKUP(tbMoveset!A65,tbMoveset!A2:H112,8,FALSE)="Other",IF(VLOOKUP(tbMoveset!A65,tbMoveset!A2:I112,9,FALSE)="Fire",Backdoors!BB29,IF(VLOOKUP(tbMoveset!A65,tbMoveset!A2:I112,9,FALSE)="Water",Backdoors!BC29,IF(VLOOKUP(tbMoveset!A65,tbMoveset!A2:I112,9,FALSE)="Thunder",Backdoors!BD29,IF(VLOOKUP(tbMoveset!A65,tbMoveset!A2:I112,9,FALSE)="Ice",Backdoors!BE29,IF(VLOOKUP(tbMoveset!A65,tbMoveset!A2:I112,9,FALSE)="Dragon",Backdoors!BF29,Backdoors!BG29)))))/100,Backdoors!BG29/100),"")</f>
        <v>0</v>
      </c>
      <c r="GD65" s="49">
        <f>IFERROR(IF(VLOOKUP(A65,tbMoveset!A2:J112,10,FALSE)=TRUE,IF((Backdoors!AI12+IF(GB65&gt;=0.45,VLOOKUP(Calculator!E23,tbSkills!DH3:DI6,2,FALSE)+IF(AND(Calculator!B8=TRUE,Backdoors!BI29=TRUE),VLOOKUP(Calculator!E23,tbSkills!DH3:DJ6,3,FALSE),0),0))&gt;=0,1+(Backdoors!AL2*(IF((Backdoors!AI12+IF(GB65&gt;=0.45,VLOOKUP(Calculator!E23,tbSkills!DH3:DI6,2,FALSE)+IF(AND(Calculator!B8=TRUE,Backdoors!BI29=TRUE),VLOOKUP(Calculator!E23,tbSkills!DH3:DJ6,3,FALSE),0),0))&gt;=100,100,(Backdoors!AI12+IF(GB65&gt;=0.45,VLOOKUP(Calculator!E23,tbSkills!DH3:DI6,2,FALSE)+IF(AND(Calculator!B8=TRUE,Backdoors!BI29=TRUE),VLOOKUP(Calculator!E23,tbSkills!DH3:DJ6,3,FALSE),0),0)))/100)),(1-(0.25*((-Backdoors!AI12-IF(GB65&gt;=0.45,VLOOKUP(Calculator!E23,tbSkills!DH3:DI6,2,FALSE)+IF(AND(Calculator!B8=TRUE,Backdoors!BI29=TRUE),VLOOKUP(Calculator!E23,tbSkills!DH3:DJ6,3,FALSE),0),0))/100)))),1),"")</f>
        <v>1</v>
      </c>
      <c r="GE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B65)*GD65)*(VLOOKUP(A65,tbMoveset!A2:C112,3,FALSE)/100)*IF(VLOOKUP(A65,tbMoveset!A2:B112,2,FALSE)="Projectile",Backdoors!N10,Backdoors!N9),0),"")</f>
        <v/>
      </c>
      <c r="GF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B65&gt;=0.45,VLOOKUP(Calculator!E23,tbSkills!DH3:DI6,2,FALSE)+IF(AND(Calculator!B8=TRUE,Backdoors!BI29=TRUE),VLOOKUP(Calculator!E23,tbSkills!DH3:DJ6,3,FALSE),0),0))&gt;=100,100,(Backdoors!AI12+IF(GB65&gt;=0.45,VLOOKUP(Calculator!E23,tbSkills!DH3:DI6,2,FALSE)+IF(AND(Calculator!B8=TRUE,Backdoors!BI29=TRUE),VLOOKUP(Calculator!E23,tbSkills!DH3:DJ6,3,FALSE),0),0)))/100)),1))*IF(VLOOKUP(A65,tbMoveset!A2:K112,11,FALSE)=TRUE,Backdoors!AC5,1))*GC65,0),"")</f>
        <v>0</v>
      </c>
      <c r="GG65" s="49">
        <f>VLOOKUP(A65,tbMoveset!A2:G112,7,FALSE)*IFERROR(IF(Backdoors!AI12&gt;=0,1+(IF(Calculator!E40&gt;0,VLOOKUP(Calculator!E40,tbSkills!AI3:AJ5,2,FALSE),Backdoors!AL4)*(IF((Backdoors!AI12+IF(GB65&gt;=0.45,VLOOKUP(Calculator!E23,tbSkills!DH3:DI6,2,FALSE)+IF(AND(Calculator!B8=TRUE,Backdoors!BI29=TRUE),VLOOKUP(Calculator!E23,tbSkills!DH3:DJ6,3,FALSE),0),0))&gt;=100,100,(Backdoors!AI12+IF(GB65&gt;=0.45,VLOOKUP(Calculator!E23,tbSkills!DH3:DI6,2,FALSE)+IF(AND(Calculator!B8=TRUE,Backdoors!BI29=TRUE),VLOOKUP(Calculator!E23,tbSkills!DH3:DJ6,3,FALSE),0),0)))/100)),1),1)</f>
        <v>0.6</v>
      </c>
      <c r="GH65" s="87">
        <f t="shared" si="19"/>
        <v>0</v>
      </c>
      <c r="GI65" s="86" t="str">
        <f>IFERROR(IF(VLOOKUP(A65,tbMoveset!A2:B112,2,FALSE)="Sever",Backdoors!AY30/100,IF(VLOOKUP(A65,tbMoveset!A2:B112,2,FALSE)="Blunt",Backdoors!AZ30/100,Backdoors!BA30/100)),"")</f>
        <v/>
      </c>
      <c r="GJ65" s="49">
        <f>IFERROR(IF(VLOOKUP(tbMoveset!A65,tbMoveset!A2:H112,8,FALSE)="Other",IF(VLOOKUP(tbMoveset!A65,tbMoveset!A2:I112,9,FALSE)="Fire",Backdoors!BB30,IF(VLOOKUP(tbMoveset!A65,tbMoveset!A2:I112,9,FALSE)="Water",Backdoors!BC30,IF(VLOOKUP(tbMoveset!A65,tbMoveset!A2:I112,9,FALSE)="Thunder",Backdoors!BD30,IF(VLOOKUP(tbMoveset!A65,tbMoveset!A2:I112,9,FALSE)="Ice",Backdoors!BE30,IF(VLOOKUP(tbMoveset!A65,tbMoveset!A2:I112,9,FALSE)="Dragon",Backdoors!BF30,Backdoors!BG30)))))/100,Backdoors!BG30/100),"")</f>
        <v>0</v>
      </c>
      <c r="GK65" s="49">
        <f>IFERROR(IF(VLOOKUP(A65,tbMoveset!A2:J112,10,FALSE)=TRUE,IF((Backdoors!AI12+IF(GI65&gt;=0.45,VLOOKUP(Calculator!E23,tbSkills!DH3:DI6,2,FALSE)+IF(AND(Calculator!B8=TRUE,Backdoors!BI30=TRUE),VLOOKUP(Calculator!E23,tbSkills!DH3:DJ6,3,FALSE),0),0))&gt;=0,1+(Backdoors!AL2*(IF((Backdoors!AI12+IF(GI65&gt;=0.45,VLOOKUP(Calculator!E23,tbSkills!DH3:DI6,2,FALSE)+IF(AND(Calculator!B8=TRUE,Backdoors!BI30=TRUE),VLOOKUP(Calculator!E23,tbSkills!DH3:DJ6,3,FALSE),0),0))&gt;=100,100,(Backdoors!AI12+IF(GI65&gt;=0.45,VLOOKUP(Calculator!E23,tbSkills!DH3:DI6,2,FALSE)+IF(AND(Calculator!B8=TRUE,Backdoors!BI30=TRUE),VLOOKUP(Calculator!E23,tbSkills!DH3:DJ6,3,FALSE),0),0)))/100)),(1-(0.25*((-Backdoors!AI12-IF(GI65&gt;=0.45,VLOOKUP(Calculator!E23,tbSkills!DH3:DI6,2,FALSE)+IF(AND(Calculator!B8=TRUE,Backdoors!BI30=TRUE),VLOOKUP(Calculator!E23,tbSkills!DH3:DJ6,3,FALSE),0),0))/100)))),1),"")</f>
        <v>1</v>
      </c>
      <c r="GL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I65)*GK65)*(VLOOKUP(A65,tbMoveset!A2:C112,3,FALSE)/100)*IF(VLOOKUP(A65,tbMoveset!A2:B112,2,FALSE)="Projectile",Backdoors!N10,Backdoors!N9),0),"")</f>
        <v/>
      </c>
      <c r="GM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I65&gt;=0.45,VLOOKUP(Calculator!E23,tbSkills!DH3:DI6,2,FALSE)+IF(AND(Calculator!B8=TRUE,Backdoors!BI30=TRUE),VLOOKUP(Calculator!E23,tbSkills!DH3:DJ6,3,FALSE),0),0))&gt;=100,100,(Backdoors!AI12+IF(GI65&gt;=0.45,VLOOKUP(Calculator!E23,tbSkills!DH3:DI6,2,FALSE)+IF(AND(Calculator!B8=TRUE,Backdoors!BI30=TRUE),VLOOKUP(Calculator!E23,tbSkills!DH3:DJ6,3,FALSE),0),0)))/100)),1))*IF(VLOOKUP(A65,tbMoveset!A2:K112,11,FALSE)=TRUE,Backdoors!AC5,1))*GJ65,0),"")</f>
        <v>0</v>
      </c>
      <c r="GN65" s="49">
        <f>VLOOKUP(A65,tbMoveset!A2:G112,7,FALSE)*IFERROR(IF(Backdoors!AI12&gt;=0,1+(IF(Calculator!E40&gt;0,VLOOKUP(Calculator!E40,tbSkills!AI3:AJ5,2,FALSE),Backdoors!AL4)*(IF((Backdoors!AI12+IF(GI65&gt;=0.45,VLOOKUP(Calculator!E23,tbSkills!DH3:DI6,2,FALSE)+IF(AND(Calculator!B8=TRUE,Backdoors!BI30=TRUE),VLOOKUP(Calculator!E23,tbSkills!DH3:DJ6,3,FALSE),0),0))&gt;=100,100,(Backdoors!AI12+IF(GI65&gt;=0.45,VLOOKUP(Calculator!E23,tbSkills!DH3:DI6,2,FALSE)+IF(AND(Calculator!B8=TRUE,Backdoors!BI30=TRUE),VLOOKUP(Calculator!E23,tbSkills!DH3:DJ6,3,FALSE),0),0)))/100)),1),1)</f>
        <v>0.6</v>
      </c>
      <c r="GO65" s="87">
        <f t="shared" si="20"/>
        <v>0</v>
      </c>
      <c r="GP65" s="86" t="str">
        <f>IFERROR(IF(VLOOKUP(A65,tbMoveset!A2:B112,2,FALSE)="Sever",Backdoors!AY31/100,IF(VLOOKUP(A65,tbMoveset!A2:B112,2,FALSE)="Blunt",Backdoors!AZ31/100,Backdoors!BA31/100)),"")</f>
        <v/>
      </c>
      <c r="GQ65" s="49">
        <f>IFERROR(IF(VLOOKUP(tbMoveset!A65,tbMoveset!A2:H112,8,FALSE)="Other",IF(VLOOKUP(tbMoveset!A65,tbMoveset!A2:I112,9,FALSE)="Fire",Backdoors!BB31,IF(VLOOKUP(tbMoveset!A65,tbMoveset!A2:I112,9,FALSE)="Water",Backdoors!BC31,IF(VLOOKUP(tbMoveset!A65,tbMoveset!A2:I112,9,FALSE)="Thunder",Backdoors!BD31,IF(VLOOKUP(tbMoveset!A65,tbMoveset!A2:I112,9,FALSE)="Ice",Backdoors!BE31,IF(VLOOKUP(tbMoveset!A65,tbMoveset!A2:I112,9,FALSE)="Dragon",Backdoors!BF31,Backdoors!BG31)))))/100,Backdoors!BG31/100),"")</f>
        <v>0</v>
      </c>
      <c r="GR65" s="49">
        <f>IFERROR(IF(VLOOKUP(A65,tbMoveset!A2:J112,10,FALSE)=TRUE,IF((Backdoors!AI12+IF(GP65&gt;=0.45,VLOOKUP(Calculator!E23,tbSkills!DH3:DI6,2,FALSE)+IF(AND(Calculator!B8=TRUE,Backdoors!BI31=TRUE),VLOOKUP(Calculator!E23,tbSkills!DH3:DJ6,3,FALSE),0),0))&gt;=0,1+(Backdoors!AL2*(IF((Backdoors!AI12+IF(GP65&gt;=0.45,VLOOKUP(Calculator!E23,tbSkills!DH3:DI6,2,FALSE)+IF(AND(Calculator!B8=TRUE,Backdoors!BI31=TRUE),VLOOKUP(Calculator!E23,tbSkills!DH3:DJ6,3,FALSE),0),0))&gt;=100,100,(Backdoors!AI12+IF(GP65&gt;=0.45,VLOOKUP(Calculator!E23,tbSkills!DH3:DI6,2,FALSE)+IF(AND(Calculator!B8=TRUE,Backdoors!BI31=TRUE),VLOOKUP(Calculator!E23,tbSkills!DH3:DJ6,3,FALSE),0),0)))/100)),(1-(0.25*((-Backdoors!AI12-IF(GP65&gt;=0.45,VLOOKUP(Calculator!E23,tbSkills!DH3:DI6,2,FALSE)+IF(AND(Calculator!B8=TRUE,Backdoors!BI31=TRUE),VLOOKUP(Calculator!E23,tbSkills!DH3:DJ6,3,FALSE),0),0))/100)))),1),"")</f>
        <v>1</v>
      </c>
      <c r="GS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P65)*GR65)*(VLOOKUP(A65,tbMoveset!A2:C112,3,FALSE)/100)*IF(VLOOKUP(A65,tbMoveset!A2:B112,2,FALSE)="Projectile",Backdoors!N10,Backdoors!N9),0),"")</f>
        <v/>
      </c>
      <c r="GT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P65&gt;=0.45,VLOOKUP(Calculator!E23,tbSkills!DH3:DI6,2,FALSE)+IF(AND(Calculator!B8=TRUE,Backdoors!BI31=TRUE),VLOOKUP(Calculator!E23,tbSkills!DH3:DJ6,3,FALSE),0),0))&gt;=100,100,(Backdoors!AI12+IF(GP65&gt;=0.45,VLOOKUP(Calculator!E23,tbSkills!DH3:DI6,2,FALSE)+IF(AND(Calculator!B8=TRUE,Backdoors!BI31=TRUE),VLOOKUP(Calculator!E23,tbSkills!DH3:DJ6,3,FALSE),0),0)))/100)),1))*IF(VLOOKUP(A65,tbMoveset!A2:K112,11,FALSE)=TRUE,Backdoors!AC5,1))*GQ65,0),"")</f>
        <v>0</v>
      </c>
      <c r="GU65" s="49">
        <f>VLOOKUP(A65,tbMoveset!A2:G112,7,FALSE)*IFERROR(IF(Backdoors!AI12&gt;=0,1+(IF(Calculator!E40&gt;0,VLOOKUP(Calculator!E40,tbSkills!AI3:AJ5,2,FALSE),Backdoors!AL4)*(IF((Backdoors!AI12+IF(GP65&gt;=0.45,VLOOKUP(Calculator!E23,tbSkills!DH3:DI6,2,FALSE)+IF(AND(Calculator!B8=TRUE,Backdoors!BI31=TRUE),VLOOKUP(Calculator!E23,tbSkills!DH3:DJ6,3,FALSE),0),0))&gt;=100,100,(Backdoors!AI12+IF(GP65&gt;=0.45,VLOOKUP(Calculator!E23,tbSkills!DH3:DI6,2,FALSE)+IF(AND(Calculator!B8=TRUE,Backdoors!BI31=TRUE),VLOOKUP(Calculator!E23,tbSkills!DH3:DJ6,3,FALSE),0),0)))/100)),1),1)</f>
        <v>0.6</v>
      </c>
      <c r="GV65" s="87">
        <f t="shared" si="21"/>
        <v>0</v>
      </c>
      <c r="GW65" s="86" t="str">
        <f>IFERROR(IF(VLOOKUP(A65,tbMoveset!A2:B112,2,FALSE)="Sever",Backdoors!AY32/100,IF(VLOOKUP(A65,tbMoveset!A2:B112,2,FALSE)="Blunt",Backdoors!AZ32/100,Backdoors!BA32/100)),"")</f>
        <v/>
      </c>
      <c r="GX65" s="49">
        <f>IFERROR(IF(VLOOKUP(tbMoveset!A65,tbMoveset!A2:H112,8,FALSE)="Other",IF(VLOOKUP(tbMoveset!A65,tbMoveset!A2:I112,9,FALSE)="Fire",Backdoors!BB32,IF(VLOOKUP(tbMoveset!A65,tbMoveset!A2:I112,9,FALSE)="Water",Backdoors!BC32,IF(VLOOKUP(tbMoveset!A65,tbMoveset!A2:I112,9,FALSE)="Thunder",Backdoors!BD32,IF(VLOOKUP(tbMoveset!A65,tbMoveset!A2:I112,9,FALSE)="Ice",Backdoors!BE32,IF(VLOOKUP(tbMoveset!A65,tbMoveset!A2:I112,9,FALSE)="Dragon",Backdoors!BF32,Backdoors!BG32)))))/100,Backdoors!BG32/100),"")</f>
        <v>0</v>
      </c>
      <c r="GY65" s="49">
        <f>IFERROR(IF(VLOOKUP(A65,tbMoveset!A2:J112,10,FALSE)=TRUE,IF((Backdoors!AI12+IF(GW65&gt;=0.45,VLOOKUP(Calculator!E23,tbSkills!DH3:DI6,2,FALSE)+IF(AND(Calculator!B8=TRUE,Backdoors!BI32=TRUE),VLOOKUP(Calculator!E23,tbSkills!DH3:DJ6,3,FALSE),0),0))&gt;=0,1+(Backdoors!AL2*(IF((Backdoors!AI12+IF(GW65&gt;=0.45,VLOOKUP(Calculator!E23,tbSkills!DH3:DI6,2,FALSE)+IF(AND(Calculator!B8=TRUE,Backdoors!BI32=TRUE),VLOOKUP(Calculator!E23,tbSkills!DH3:DJ6,3,FALSE),0),0))&gt;=100,100,(Backdoors!AI12+IF(GW65&gt;=0.45,VLOOKUP(Calculator!E23,tbSkills!DH3:DI6,2,FALSE)+IF(AND(Calculator!B8=TRUE,Backdoors!BI32=TRUE),VLOOKUP(Calculator!E23,tbSkills!DH3:DJ6,3,FALSE),0),0)))/100)),(1-(0.25*((-Backdoors!AI12-IF(GW65&gt;=0.45,VLOOKUP(Calculator!E23,tbSkills!DH3:DI6,2,FALSE)+IF(AND(Calculator!B8=TRUE,Backdoors!BI32=TRUE),VLOOKUP(Calculator!E23,tbSkills!DH3:DJ6,3,FALSE),0),0))/100)))),1),"")</f>
        <v>1</v>
      </c>
      <c r="GZ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W65)*GY65)*(VLOOKUP(A65,tbMoveset!A2:C112,3,FALSE)/100)*IF(VLOOKUP(A65,tbMoveset!A2:B112,2,FALSE)="Projectile",Backdoors!N10,Backdoors!N9),0),"")</f>
        <v/>
      </c>
      <c r="HA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W65&gt;=0.45,VLOOKUP(Calculator!E23,tbSkills!DH3:DI6,2,FALSE)+IF(AND(Calculator!B8=TRUE,Backdoors!BI32=TRUE),VLOOKUP(Calculator!E23,tbSkills!DH3:DJ6,3,FALSE),0),0))&gt;=100,100,(Backdoors!AI12+IF(GW65&gt;=0.45,VLOOKUP(Calculator!E23,tbSkills!DH3:DI6,2,FALSE)+IF(AND(Calculator!B8=TRUE,Backdoors!BI32=TRUE),VLOOKUP(Calculator!E23,tbSkills!DH3:DJ6,3,FALSE),0),0)))/100)),1))*IF(VLOOKUP(A65,tbMoveset!A2:K112,11,FALSE)=TRUE,Backdoors!AC5,1))*GX65,0),"")</f>
        <v>0</v>
      </c>
      <c r="HB65" s="49">
        <f>VLOOKUP(A65,tbMoveset!A2:G112,7,FALSE)*IFERROR(IF(Backdoors!AI12&gt;=0,1+(IF(Calculator!E40&gt;0,VLOOKUP(Calculator!E40,tbSkills!AI3:AJ5,2,FALSE),Backdoors!AL4)*(IF((Backdoors!AI12+IF(GW65&gt;=0.45,VLOOKUP(Calculator!E23,tbSkills!DH3:DI6,2,FALSE)+IF(AND(Calculator!B8=TRUE,Backdoors!BI32=TRUE),VLOOKUP(Calculator!E23,tbSkills!DH3:DJ6,3,FALSE),0),0))&gt;=100,100,(Backdoors!AI12+IF(GW65&gt;=0.45,VLOOKUP(Calculator!E23,tbSkills!DH3:DI6,2,FALSE)+IF(AND(Calculator!B8=TRUE,Backdoors!BI32=TRUE),VLOOKUP(Calculator!E23,tbSkills!DH3:DJ6,3,FALSE),0),0)))/100)),1),1)</f>
        <v>0.6</v>
      </c>
      <c r="HC65" s="87">
        <f t="shared" si="22"/>
        <v>0</v>
      </c>
      <c r="HD65" s="86" t="str">
        <f>IFERROR(IF(VLOOKUP(A65,tbMoveset!A2:B112,2,FALSE)="Sever",Backdoors!AY33/100,IF(VLOOKUP(A65,tbMoveset!A2:B112,2,FALSE)="Blunt",Backdoors!AZ33/100,Backdoors!BA33/100)),"")</f>
        <v/>
      </c>
      <c r="HE65" s="49">
        <f>IFERROR(IF(VLOOKUP(tbMoveset!A65,tbMoveset!A2:H112,8,FALSE)="Other",IF(VLOOKUP(tbMoveset!A65,tbMoveset!A2:I112,9,FALSE)="Fire",Backdoors!BB33,IF(VLOOKUP(tbMoveset!A65,tbMoveset!A2:I112,9,FALSE)="Water",Backdoors!BC33,IF(VLOOKUP(tbMoveset!A65,tbMoveset!A2:I112,9,FALSE)="Thunder",Backdoors!BD33,IF(VLOOKUP(tbMoveset!A65,tbMoveset!A2:I112,9,FALSE)="Ice",Backdoors!BE33,IF(VLOOKUP(tbMoveset!A65,tbMoveset!A2:I112,9,FALSE)="Dragon",Backdoors!BF33,Backdoors!BG33)))))/100,Backdoors!BG33/100),"")</f>
        <v>0</v>
      </c>
      <c r="HF65" s="49">
        <f>IFERROR(IF(VLOOKUP(A65,tbMoveset!A2:J112,10,FALSE)=TRUE,IF((Backdoors!AI12+IF(HD65&gt;=0.45,VLOOKUP(Calculator!E23,tbSkills!DH3:DI6,2,FALSE)+IF(AND(Calculator!B8=TRUE,Backdoors!BI33=TRUE),VLOOKUP(Calculator!E23,tbSkills!DH3:DJ6,3,FALSE),0),0))&gt;=0,1+(Backdoors!AL2*(IF((Backdoors!AI12+IF(HD65&gt;=0.45,VLOOKUP(Calculator!E23,tbSkills!DH3:DI6,2,FALSE)+IF(AND(Calculator!B8=TRUE,Backdoors!BI33=TRUE),VLOOKUP(Calculator!E23,tbSkills!DH3:DJ6,3,FALSE),0),0))&gt;=100,100,(Backdoors!AI12+IF(HD65&gt;=0.45,VLOOKUP(Calculator!E23,tbSkills!DH3:DI6,2,FALSE)+IF(AND(Calculator!B8=TRUE,Backdoors!BI33=TRUE),VLOOKUP(Calculator!E23,tbSkills!DH3:DJ6,3,FALSE),0),0)))/100)),(1-(0.25*((-Backdoors!AI12-IF(HD65&gt;=0.45,VLOOKUP(Calculator!E23,tbSkills!DH3:DI6,2,FALSE)+IF(AND(Calculator!B8=TRUE,Backdoors!BI33=TRUE),VLOOKUP(Calculator!E23,tbSkills!DH3:DJ6,3,FALSE),0),0))/100)))),1),"")</f>
        <v>1</v>
      </c>
      <c r="HG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D65)*HF65)*(VLOOKUP(A65,tbMoveset!A2:C112,3,FALSE)/100)*IF(VLOOKUP(A65,tbMoveset!A2:B112,2,FALSE)="Projectile",Backdoors!N10,Backdoors!N9),0),"")</f>
        <v/>
      </c>
      <c r="HH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D65&gt;=0.45,VLOOKUP(Calculator!E23,tbSkills!DH3:DI6,2,FALSE)+IF(AND(Calculator!B8=TRUE,Backdoors!BI33=TRUE),VLOOKUP(Calculator!E23,tbSkills!DH3:DJ6,3,FALSE),0),0))&gt;=100,100,(Backdoors!AI12+IF(HD65&gt;=0.45,VLOOKUP(Calculator!E23,tbSkills!DH3:DI6,2,FALSE)+IF(AND(Calculator!B8=TRUE,Backdoors!BI33=TRUE),VLOOKUP(Calculator!E23,tbSkills!DH3:DJ6,3,FALSE),0),0)))/100)),1))*IF(VLOOKUP(A65,tbMoveset!A2:K112,11,FALSE)=TRUE,Backdoors!AC5,1))*HE65,0),"")</f>
        <v>0</v>
      </c>
      <c r="HI65" s="49">
        <f>VLOOKUP(A65,tbMoveset!A2:G112,7,FALSE)*IFERROR(IF(Backdoors!AI12&gt;=0,1+(IF(Calculator!E40&gt;0,VLOOKUP(Calculator!E40,tbSkills!AI3:AJ5,2,FALSE),Backdoors!AL4)*(IF((Backdoors!AI12+IF(HD65&gt;=0.45,VLOOKUP(Calculator!E23,tbSkills!DH3:DI6,2,FALSE)+IF(AND(Calculator!B8=TRUE,Backdoors!BI33=TRUE),VLOOKUP(Calculator!E23,tbSkills!DH3:DJ6,3,FALSE),0),0))&gt;=100,100,(Backdoors!AI12+IF(HD65&gt;=0.45,VLOOKUP(Calculator!E23,tbSkills!DH3:DI6,2,FALSE)+IF(AND(Calculator!B8=TRUE,Backdoors!BI33=TRUE),VLOOKUP(Calculator!E23,tbSkills!DH3:DJ6,3,FALSE),0),0)))/100)),1),1)</f>
        <v>0.6</v>
      </c>
      <c r="HJ65" s="87">
        <f t="shared" si="23"/>
        <v>0</v>
      </c>
      <c r="HK65" s="86" t="str">
        <f>IFERROR(IF(VLOOKUP(A65,tbMoveset!A2:B112,2,FALSE)="Sever",Backdoors!AY34/100,IF(VLOOKUP(A65,tbMoveset!A2:B112,2,FALSE)="Blunt",Backdoors!AZ34/100,Backdoors!BA34/100)),"")</f>
        <v/>
      </c>
      <c r="HL65" s="49">
        <f>IFERROR(IF(VLOOKUP(tbMoveset!A65,tbMoveset!A2:H112,8,FALSE)="Other",IF(VLOOKUP(tbMoveset!A65,tbMoveset!A2:I112,9,FALSE)="Fire",Backdoors!BB34,IF(VLOOKUP(tbMoveset!A65,tbMoveset!A2:I112,9,FALSE)="Water",Backdoors!BC34,IF(VLOOKUP(tbMoveset!A65,tbMoveset!A2:I112,9,FALSE)="Thunder",Backdoors!BD34,IF(VLOOKUP(tbMoveset!A65,tbMoveset!A2:I112,9,FALSE)="Ice",Backdoors!BE34,IF(VLOOKUP(tbMoveset!A65,tbMoveset!A2:I112,9,FALSE)="Dragon",Backdoors!BF34,Backdoors!BG34)))))/100,Backdoors!BG34/100),"")</f>
        <v>0</v>
      </c>
      <c r="HM65" s="49">
        <f>IFERROR(IF(VLOOKUP(A65,tbMoveset!A2:J112,10,FALSE)=TRUE,IF((Backdoors!AI12+IF(HK65&gt;=0.45,VLOOKUP(Calculator!E23,tbSkills!DH3:DI6,2,FALSE)+IF(AND(Calculator!B8=TRUE,Backdoors!BI34=TRUE),VLOOKUP(Calculator!E23,tbSkills!DH3:DJ6,3,FALSE),0),0))&gt;=0,1+(Backdoors!AL2*(IF((Backdoors!AI12+IF(HK65&gt;=0.45,VLOOKUP(Calculator!E23,tbSkills!DH3:DI6,2,FALSE)+IF(AND(Calculator!B8=TRUE,Backdoors!BI34=TRUE),VLOOKUP(Calculator!E23,tbSkills!DH3:DJ6,3,FALSE),0),0))&gt;=100,100,(Backdoors!AI12+IF(HK65&gt;=0.45,VLOOKUP(Calculator!E23,tbSkills!DH3:DI6,2,FALSE)+IF(AND(Calculator!B8=TRUE,Backdoors!BI34=TRUE),VLOOKUP(Calculator!E23,tbSkills!DH3:DJ6,3,FALSE),0),0)))/100)),(1-(0.25*((-Backdoors!AI12-IF(HK65&gt;=0.45,VLOOKUP(Calculator!E23,tbSkills!DH3:DI6,2,FALSE)+IF(AND(Calculator!B8=TRUE,Backdoors!BI34=TRUE),VLOOKUP(Calculator!E23,tbSkills!DH3:DJ6,3,FALSE),0),0))/100)))),1),"")</f>
        <v>1</v>
      </c>
      <c r="HN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K65)*HM65)*(VLOOKUP(A65,tbMoveset!A2:C112,3,FALSE)/100)*IF(VLOOKUP(A65,tbMoveset!A2:B112,2,FALSE)="Projectile",Backdoors!N10,Backdoors!N9),0),"")</f>
        <v/>
      </c>
      <c r="HO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K65&gt;=0.45,VLOOKUP(Calculator!E23,tbSkills!DH3:DI6,2,FALSE)+IF(AND(Calculator!B8=TRUE,Backdoors!BI34=TRUE),VLOOKUP(Calculator!E23,tbSkills!DH3:DJ6,3,FALSE),0),0))&gt;=100,100,(Backdoors!AI12+IF(HK65&gt;=0.45,VLOOKUP(Calculator!E23,tbSkills!DH3:DI6,2,FALSE)+IF(AND(Calculator!B8=TRUE,Backdoors!BI34=TRUE),VLOOKUP(Calculator!E23,tbSkills!DH3:DJ6,3,FALSE),0),0)))/100)),1))*IF(VLOOKUP(A65,tbMoveset!A2:K112,11,FALSE)=TRUE,Backdoors!AC5,1))*HL65,0),"")</f>
        <v>0</v>
      </c>
      <c r="HP65" s="49">
        <f>VLOOKUP(A65,tbMoveset!A2:G112,7,FALSE)*IFERROR(IF(Backdoors!AI12&gt;=0,1+(IF(Calculator!E40&gt;0,VLOOKUP(Calculator!E40,tbSkills!AI3:AJ5,2,FALSE),Backdoors!AL4)*(IF((Backdoors!AI12+IF(HK65&gt;=0.45,VLOOKUP(Calculator!E23,tbSkills!DH3:DI6,2,FALSE)+IF(AND(Calculator!B8=TRUE,Backdoors!BI34=TRUE),VLOOKUP(Calculator!E23,tbSkills!DH3:DJ6,3,FALSE),0),0))&gt;=100,100,(Backdoors!AI12+IF(HK65&gt;=0.45,VLOOKUP(Calculator!E23,tbSkills!DH3:DI6,2,FALSE)+IF(AND(Calculator!B8=TRUE,Backdoors!BI34=TRUE),VLOOKUP(Calculator!E23,tbSkills!DH3:DJ6,3,FALSE),0),0)))/100)),1),1)</f>
        <v>0.6</v>
      </c>
      <c r="HQ65" s="87">
        <f t="shared" si="24"/>
        <v>0</v>
      </c>
      <c r="HR65" s="86" t="str">
        <f>IFERROR(IF(VLOOKUP(A65,tbMoveset!A2:B112,2,FALSE)="Sever",Backdoors!AY35/100,IF(VLOOKUP(A65,tbMoveset!A2:B112,2,FALSE)="Blunt",Backdoors!AZ35/100,Backdoors!BA35/100)),"")</f>
        <v/>
      </c>
      <c r="HS65" s="49">
        <f>IFERROR(IF(VLOOKUP(tbMoveset!A65,tbMoveset!A2:H112,8,FALSE)="Other",IF(VLOOKUP(tbMoveset!A65,tbMoveset!A2:I112,9,FALSE)="Fire",Backdoors!BB35,IF(VLOOKUP(tbMoveset!A65,tbMoveset!A2:I112,9,FALSE)="Water",Backdoors!BC35,IF(VLOOKUP(tbMoveset!A65,tbMoveset!A2:I112,9,FALSE)="Thunder",Backdoors!BD35,IF(VLOOKUP(tbMoveset!A65,tbMoveset!A2:I112,9,FALSE)="Ice",Backdoors!BE35,IF(VLOOKUP(tbMoveset!A65,tbMoveset!A2:I112,9,FALSE)="Dragon",Backdoors!BF35,Backdoors!BG35)))))/100,Backdoors!BG35/100),"")</f>
        <v>0</v>
      </c>
      <c r="HT65" s="49">
        <f>IFERROR(IF(VLOOKUP(A65,tbMoveset!A2:J112,10,FALSE)=TRUE,IF((Backdoors!AI12+IF(HR65&gt;=0.45,VLOOKUP(Calculator!E23,tbSkills!DH3:DI6,2,FALSE)+IF(AND(Calculator!B8=TRUE,Backdoors!BI35=TRUE),VLOOKUP(Calculator!E23,tbSkills!DH3:DJ6,3,FALSE),0),0))&gt;=0,1+(Backdoors!AL2*(IF((Backdoors!AI12+IF(HR65&gt;=0.45,VLOOKUP(Calculator!E23,tbSkills!DH3:DI6,2,FALSE)+IF(AND(Calculator!B8=TRUE,Backdoors!BI35=TRUE),VLOOKUP(Calculator!E23,tbSkills!DH3:DJ6,3,FALSE),0),0))&gt;=100,100,(Backdoors!AI12+IF(HR65&gt;=0.45,VLOOKUP(Calculator!E23,tbSkills!DH3:DI6,2,FALSE)+IF(AND(Calculator!B8=TRUE,Backdoors!BI35=TRUE),VLOOKUP(Calculator!E23,tbSkills!DH3:DJ6,3,FALSE),0),0)))/100)),(1-(0.25*((-Backdoors!AI12-IF(HR65&gt;=0.45,VLOOKUP(Calculator!E23,tbSkills!DH3:DI6,2,FALSE)+IF(AND(Calculator!B8=TRUE,Backdoors!BI35=TRUE),VLOOKUP(Calculator!E23,tbSkills!DH3:DJ6,3,FALSE),0),0))/100)))),1),"")</f>
        <v>1</v>
      </c>
      <c r="HU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R65)*HT65)*(VLOOKUP(A65,tbMoveset!A2:C112,3,FALSE)/100)*IF(VLOOKUP(A65,tbMoveset!A2:B112,2,FALSE)="Projectile",Backdoors!N10,Backdoors!N9),0),"")</f>
        <v/>
      </c>
      <c r="HV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R65&gt;=0.45,VLOOKUP(Calculator!E23,tbSkills!DH3:DI6,2,FALSE)+IF(AND(Calculator!B8=TRUE,Backdoors!BI35=TRUE),VLOOKUP(Calculator!E23,tbSkills!DH3:DJ6,3,FALSE),0),0))&gt;=100,100,(Backdoors!AI12+IF(HR65&gt;=0.45,VLOOKUP(Calculator!E23,tbSkills!DH3:DI6,2,FALSE)+IF(AND(Calculator!B8=TRUE,Backdoors!BI35=TRUE),VLOOKUP(Calculator!E23,tbSkills!DH3:DJ6,3,FALSE),0),0)))/100)),1))*IF(VLOOKUP(A65,tbMoveset!A2:K112,11,FALSE)=TRUE,Backdoors!AC5,1))*HS65,0),"")</f>
        <v>0</v>
      </c>
      <c r="HW65" s="49">
        <f>VLOOKUP(A65,tbMoveset!A2:G112,7,FALSE)*IFERROR(IF(Backdoors!AI12&gt;=0,1+(IF(Calculator!E40&gt;0,VLOOKUP(Calculator!E40,tbSkills!AI3:AJ5,2,FALSE),Backdoors!AL4)*(IF((Backdoors!AI12+IF(HR65&gt;=0.45,VLOOKUP(Calculator!E23,tbSkills!DH3:DI6,2,FALSE)+IF(AND(Calculator!B8=TRUE,Backdoors!BI35=TRUE),VLOOKUP(Calculator!E23,tbSkills!DH3:DJ6,3,FALSE),0),0))&gt;=100,100,(Backdoors!AI12+IF(HR65&gt;=0.45,VLOOKUP(Calculator!E23,tbSkills!DH3:DI6,2,FALSE)+IF(AND(Calculator!B8=TRUE,Backdoors!BI35=TRUE),VLOOKUP(Calculator!E23,tbSkills!DH3:DJ6,3,FALSE),0),0)))/100)),1),1)</f>
        <v>0.6</v>
      </c>
      <c r="HX65" s="87">
        <f t="shared" si="25"/>
        <v>0</v>
      </c>
      <c r="HY65" s="86" t="str">
        <f>IFERROR(IF(VLOOKUP(A65,tbMoveset!A2:B112,2,FALSE)="Sever",Backdoors!AY36/100,IF(VLOOKUP(A65,tbMoveset!A2:B112,2,FALSE)="Blunt",Backdoors!AZ36/100,Backdoors!BA36/100)),"")</f>
        <v/>
      </c>
      <c r="HZ65" s="49">
        <f>IFERROR(IF(VLOOKUP(tbMoveset!A65,tbMoveset!A2:H112,8,FALSE)="Other",IF(VLOOKUP(tbMoveset!A65,tbMoveset!A2:I112,9,FALSE)="Fire",Backdoors!BB36,IF(VLOOKUP(tbMoveset!A65,tbMoveset!A2:I112,9,FALSE)="Water",Backdoors!BC36,IF(VLOOKUP(tbMoveset!A65,tbMoveset!A2:I112,9,FALSE)="Thunder",Backdoors!BD36,IF(VLOOKUP(tbMoveset!A65,tbMoveset!A2:I112,9,FALSE)="Ice",Backdoors!BE36,IF(VLOOKUP(tbMoveset!A65,tbMoveset!A2:I112,9,FALSE)="Dragon",Backdoors!BF36,Backdoors!BG36)))))/100,Backdoors!BG36/100),"")</f>
        <v>0</v>
      </c>
      <c r="IA65" s="49">
        <f>IFERROR(IF(VLOOKUP(A65,tbMoveset!A2:J112,10,FALSE)=TRUE,IF((Backdoors!AI12+IF(HY65&gt;=0.45,VLOOKUP(Calculator!E23,tbSkills!DH3:DI6,2,FALSE)+IF(AND(Calculator!B8=TRUE,Backdoors!BI36=TRUE),VLOOKUP(Calculator!E23,tbSkills!DH3:DJ6,3,FALSE),0),0))&gt;=0,1+(Backdoors!AL2*(IF((Backdoors!AI12+IF(HY65&gt;=0.45,VLOOKUP(Calculator!E23,tbSkills!DH3:DI6,2,FALSE)+IF(AND(Calculator!B8=TRUE,Backdoors!BI36=TRUE),VLOOKUP(Calculator!E23,tbSkills!DH3:DJ6,3,FALSE),0),0))&gt;=100,100,(Backdoors!AI12+IF(HY65&gt;=0.45,VLOOKUP(Calculator!E23,tbSkills!DH3:DI6,2,FALSE)+IF(AND(Calculator!B8=TRUE,Backdoors!BI36=TRUE),VLOOKUP(Calculator!E23,tbSkills!DH3:DJ6,3,FALSE),0),0)))/100)),(1-(0.25*((-Backdoors!AI12-IF(HY65&gt;=0.45,VLOOKUP(Calculator!E23,tbSkills!DH3:DI6,2,FALSE)+IF(AND(Calculator!B8=TRUE,Backdoors!BI36=TRUE),VLOOKUP(Calculator!E23,tbSkills!DH3:DJ6,3,FALSE),0),0))/100)))),1),"")</f>
        <v>1</v>
      </c>
      <c r="IB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Y65)*IA65)*(VLOOKUP(A65,tbMoveset!A2:C112,3,FALSE)/100)*IF(VLOOKUP(A65,tbMoveset!A2:B112,2,FALSE)="Projectile",Backdoors!N10,Backdoors!N9),0),"")</f>
        <v/>
      </c>
      <c r="IC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Y65&gt;=0.45,VLOOKUP(Calculator!E23,tbSkills!DH3:DI6,2,FALSE)+IF(AND(Calculator!B8=TRUE,Backdoors!BI36=TRUE),VLOOKUP(Calculator!E23,tbSkills!DH3:DJ6,3,FALSE),0),0))&gt;=100,100,(Backdoors!AI12+IF(HY65&gt;=0.45,VLOOKUP(Calculator!E23,tbSkills!DH3:DI6,2,FALSE)+IF(AND(Calculator!B8=TRUE,Backdoors!BI36=TRUE),VLOOKUP(Calculator!E23,tbSkills!DH3:DJ6,3,FALSE),0),0)))/100)),1))*IF(VLOOKUP(A65,tbMoveset!A2:K112,11,FALSE)=TRUE,Backdoors!AC5,1))*HZ65,0),"")</f>
        <v>0</v>
      </c>
      <c r="ID65" s="49">
        <f>VLOOKUP(A65,tbMoveset!A2:G112,7,FALSE)*IFERROR(IF(Backdoors!AI12&gt;=0,1+(IF(Calculator!E40&gt;0,VLOOKUP(Calculator!E40,tbSkills!AI3:AJ5,2,FALSE),Backdoors!AL4)*(IF((Backdoors!AI12+IF(HY65&gt;=0.45,VLOOKUP(Calculator!E23,tbSkills!DH3:DI6,2,FALSE)+IF(AND(Calculator!B8=TRUE,Backdoors!BI36=TRUE),VLOOKUP(Calculator!E23,tbSkills!DH3:DJ6,3,FALSE),0),0))&gt;=100,100,(Backdoors!AI12+IF(HY65&gt;=0.45,VLOOKUP(Calculator!E23,tbSkills!DH3:DI6,2,FALSE)+IF(AND(Calculator!B8=TRUE,Backdoors!BI36=TRUE),VLOOKUP(Calculator!E23,tbSkills!DH3:DJ6,3,FALSE),0),0)))/100)),1),1)</f>
        <v>0.6</v>
      </c>
      <c r="IE65" s="87">
        <f t="shared" si="26"/>
        <v>0</v>
      </c>
      <c r="IF65" s="86" t="str">
        <f>IFERROR(IF(VLOOKUP(A65,tbMoveset!A2:B112,2,FALSE)="Sever",Backdoors!AY37/100,IF(VLOOKUP(A65,tbMoveset!A2:B112,2,FALSE)="Blunt",Backdoors!AZ37/100,Backdoors!BA37/100)),"")</f>
        <v/>
      </c>
      <c r="IG65" s="49">
        <f>IFERROR(IF(VLOOKUP(tbMoveset!A65,tbMoveset!A2:H112,8,FALSE)="Other",IF(VLOOKUP(tbMoveset!A65,tbMoveset!A2:I112,9,FALSE)="Fire",Backdoors!BB37,IF(VLOOKUP(tbMoveset!A65,tbMoveset!A2:I112,9,FALSE)="Water",Backdoors!BC37,IF(VLOOKUP(tbMoveset!A65,tbMoveset!A2:I112,9,FALSE)="Thunder",Backdoors!BD37,IF(VLOOKUP(tbMoveset!A65,tbMoveset!A2:I112,9,FALSE)="Ice",Backdoors!BE37,IF(VLOOKUP(tbMoveset!A65,tbMoveset!A2:I112,9,FALSE)="Dragon",Backdoors!BF37,Backdoors!BG37)))))/100,Backdoors!BG37/100),"")</f>
        <v>0</v>
      </c>
      <c r="IH65" s="49">
        <f>IFERROR(IF(VLOOKUP(A65,tbMoveset!A2:J112,10,FALSE)=TRUE,IF((Backdoors!AI12+IF(IF65&gt;=0.45,VLOOKUP(Calculator!E23,tbSkills!DH3:DI6,2,FALSE)+IF(AND(Calculator!B8=TRUE,Backdoors!BI37=TRUE),VLOOKUP(Calculator!E23,tbSkills!DH3:DJ6,3,FALSE),0),0))&gt;=0,1+(Backdoors!AL2*(IF((Backdoors!AI12+IF(IF65&gt;=0.45,VLOOKUP(Calculator!E23,tbSkills!DH3:DI6,2,FALSE)+IF(AND(Calculator!B8=TRUE,Backdoors!BI37=TRUE),VLOOKUP(Calculator!E23,tbSkills!DH3:DJ6,3,FALSE),0),0))&gt;=100,100,(Backdoors!AI12+IF(IF65&gt;=0.45,VLOOKUP(Calculator!E23,tbSkills!DH3:DI6,2,FALSE)+IF(AND(Calculator!B8=TRUE,Backdoors!BI37=TRUE),VLOOKUP(Calculator!E23,tbSkills!DH3:DJ6,3,FALSE),0),0)))/100)),(1-(0.25*((-Backdoors!AI12-IF(IF65&gt;=0.45,VLOOKUP(Calculator!E23,tbSkills!DH3:DI6,2,FALSE)+IF(AND(Calculator!B8=TRUE,Backdoors!BI37=TRUE),VLOOKUP(Calculator!E23,tbSkills!DH3:DJ6,3,FALSE),0),0))/100)))),1),"")</f>
        <v>1</v>
      </c>
      <c r="II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F65)*IH65)*(VLOOKUP(A65,tbMoveset!A2:C112,3,FALSE)/100)*IF(VLOOKUP(A65,tbMoveset!A2:B112,2,FALSE)="Projectile",Backdoors!N10,Backdoors!N9),0),"")</f>
        <v/>
      </c>
      <c r="IJ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IF65&gt;=0.45,VLOOKUP(Calculator!E23,tbSkills!DH3:DI6,2,FALSE)+IF(AND(Calculator!B8=TRUE,Backdoors!BI37=TRUE),VLOOKUP(Calculator!E23,tbSkills!DH3:DJ6,3,FALSE),0),0))&gt;=100,100,(Backdoors!AI12+IF(IF65&gt;=0.45,VLOOKUP(Calculator!E23,tbSkills!DH3:DI6,2,FALSE)+IF(AND(Calculator!B8=TRUE,Backdoors!BI37=TRUE),VLOOKUP(Calculator!E23,tbSkills!DH3:DJ6,3,FALSE),0),0)))/100)),1))*IF(VLOOKUP(A65,tbMoveset!A2:K112,11,FALSE)=TRUE,Backdoors!AC5,1))*IG65,0),"")</f>
        <v>0</v>
      </c>
      <c r="IK65" s="49">
        <f>VLOOKUP(A65,tbMoveset!A2:G112,7,FALSE)*IFERROR(IF(Backdoors!AI12&gt;=0,1+(IF(Calculator!E40&gt;0,VLOOKUP(Calculator!E40,tbSkills!AI3:AJ5,2,FALSE),Backdoors!AL4)*(IF((Backdoors!AI12+IF(IF65&gt;=0.45,VLOOKUP(Calculator!E23,tbSkills!DH3:DI6,2,FALSE)+IF(AND(Calculator!B8=TRUE,Backdoors!BI37=TRUE),VLOOKUP(Calculator!E23,tbSkills!DH3:DJ6,3,FALSE),0),0))&gt;=100,100,(Backdoors!AI12+IF(IF65&gt;=0.45,VLOOKUP(Calculator!E23,tbSkills!DH3:DI6,2,FALSE)+IF(AND(Calculator!B8=TRUE,Backdoors!BI37=TRUE),VLOOKUP(Calculator!E23,tbSkills!DH3:DJ6,3,FALSE),0),0)))/100)),1),1)</f>
        <v>0.6</v>
      </c>
      <c r="IL65" s="87">
        <f t="shared" si="27"/>
        <v>0</v>
      </c>
      <c r="IM65" s="86" t="str">
        <f>IFERROR(IF(VLOOKUP(A65,tbMoveset!A2:B112,2,FALSE)="Sever",Backdoors!AY38/100,IF(VLOOKUP(A65,tbMoveset!A2:B112,2,FALSE)="Blunt",Backdoors!AZ38/100,Backdoors!BA38/100)),"")</f>
        <v/>
      </c>
      <c r="IN65" s="49">
        <f>IFERROR(IF(VLOOKUP(tbMoveset!A65,tbMoveset!A2:H112,8,FALSE)="Other",IF(VLOOKUP(tbMoveset!A65,tbMoveset!A2:I112,9,FALSE)="Fire",Backdoors!BB38,IF(VLOOKUP(tbMoveset!A65,tbMoveset!A2:I112,9,FALSE)="Water",Backdoors!BC38,IF(VLOOKUP(tbMoveset!A65,tbMoveset!A2:I112,9,FALSE)="Thunder",Backdoors!BD38,IF(VLOOKUP(tbMoveset!A65,tbMoveset!A2:I112,9,FALSE)="Ice",Backdoors!BE38,IF(VLOOKUP(tbMoveset!A65,tbMoveset!A2:I112,9,FALSE)="Dragon",Backdoors!BF38,Backdoors!BG38)))))/100,Backdoors!BG38/100),"")</f>
        <v>0</v>
      </c>
      <c r="IO65" s="49">
        <f>IFERROR(IF(VLOOKUP(A65,tbMoveset!A2:J112,10,FALSE)=TRUE,IF((Backdoors!AI12+IF(IM65&gt;=0.45,VLOOKUP(Calculator!E23,tbSkills!DH3:DI6,2,FALSE)+IF(AND(Calculator!B8=TRUE,Backdoors!BI38=TRUE),VLOOKUP(Calculator!E23,tbSkills!DH3:DJ6,3,FALSE),0),0))&gt;=0,1+(Backdoors!AL2*(IF((Backdoors!AI12+IF(IM65&gt;=0.45,VLOOKUP(Calculator!E23,tbSkills!DH3:DI6,2,FALSE)+IF(AND(Calculator!B8=TRUE,Backdoors!BI38=TRUE),VLOOKUP(Calculator!E23,tbSkills!DH3:DJ6,3,FALSE),0),0))&gt;=100,100,(Backdoors!AI12+IF(IM65&gt;=0.45,VLOOKUP(Calculator!E23,tbSkills!DH3:DI6,2,FALSE)+IF(AND(Calculator!B8=TRUE,Backdoors!BI38=TRUE),VLOOKUP(Calculator!E23,tbSkills!DH3:DJ6,3,FALSE),0),0)))/100)),(1-(0.25*((-Backdoors!AI12-IF(IM65&gt;=0.45,VLOOKUP(Calculator!E23,tbSkills!DH3:DI6,2,FALSE)+IF(AND(Calculator!B8=TRUE,Backdoors!BI38=TRUE),VLOOKUP(Calculator!E23,tbSkills!DH3:DJ6,3,FALSE),0),0))/100)))),1),"")</f>
        <v>1</v>
      </c>
      <c r="IP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M65)*IO65)*(VLOOKUP(A65,tbMoveset!A2:C112,3,FALSE)/100)*IF(VLOOKUP(A65,tbMoveset!A2:B112,2,FALSE)="Projectile",Backdoors!N10,Backdoors!N9),0),"")</f>
        <v/>
      </c>
      <c r="IQ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IM65&gt;=0.45,VLOOKUP(Calculator!E23,tbSkills!DH3:DI6,2,FALSE)+IF(AND(Calculator!B8=TRUE,Backdoors!BI38=TRUE),VLOOKUP(Calculator!E23,tbSkills!DH3:DJ6,3,FALSE),0),0))&gt;=100,100,(Backdoors!AI12+IF(IM65&gt;=0.45,VLOOKUP(Calculator!E23,tbSkills!DH3:DI6,2,FALSE)+IF(AND(Calculator!B8=TRUE,Backdoors!BI38=TRUE),VLOOKUP(Calculator!E23,tbSkills!DH3:DJ6,3,FALSE),0),0)))/100)),1))*IF(VLOOKUP(A65,tbMoveset!A2:K112,11,FALSE)=TRUE,Backdoors!AC5,1))*IN65,0),"")</f>
        <v>0</v>
      </c>
      <c r="IR65" s="49">
        <f>VLOOKUP(A65,tbMoveset!A2:G112,7,FALSE)*IFERROR(IF(Backdoors!AI12&gt;=0,1+(IF(Calculator!E40&gt;0,VLOOKUP(Calculator!E40,tbSkills!AI3:AJ5,2,FALSE),Backdoors!AL4)*(IF((Backdoors!AI12+IF(IM65&gt;=0.45,VLOOKUP(Calculator!E23,tbSkills!DH3:DI6,2,FALSE)+IF(AND(Calculator!B8=TRUE,Backdoors!BI38=TRUE),VLOOKUP(Calculator!E23,tbSkills!DH3:DJ6,3,FALSE),0),0))&gt;=100,100,(Backdoors!AI12+IF(IM65&gt;=0.45,VLOOKUP(Calculator!E23,tbSkills!DH3:DI6,2,FALSE)+IF(AND(Calculator!B8=TRUE,Backdoors!BI38=TRUE),VLOOKUP(Calculator!E23,tbSkills!DH3:DJ6,3,FALSE),0),0)))/100)),1),1)</f>
        <v>0.6</v>
      </c>
      <c r="IS65" s="87">
        <f t="shared" si="42"/>
        <v>0</v>
      </c>
      <c r="IT65" s="86" t="str">
        <f>IFERROR(IF(VLOOKUP(A65,tbMoveset!A2:B112,2,FALSE)="Sever",Backdoors!AY39/100,IF(VLOOKUP(A65,tbMoveset!A2:B112,2,FALSE)="Blunt",Backdoors!AZ39/100,Backdoors!BA39/100)),"")</f>
        <v/>
      </c>
      <c r="IU65" s="49">
        <f>IFERROR(IF(VLOOKUP(tbMoveset!A65,tbMoveset!A2:H112,8,FALSE)="Other",IF(VLOOKUP(tbMoveset!A65,tbMoveset!A2:I112,9,FALSE)="Fire",Backdoors!BB39,IF(VLOOKUP(tbMoveset!A65,tbMoveset!A2:I112,9,FALSE)="Water",Backdoors!BC39,IF(VLOOKUP(tbMoveset!A65,tbMoveset!A2:I112,9,FALSE)="Thunder",Backdoors!BD39,IF(VLOOKUP(tbMoveset!A65,tbMoveset!A2:I112,9,FALSE)="Ice",Backdoors!BE39,IF(VLOOKUP(tbMoveset!A65,tbMoveset!A2:I112,9,FALSE)="Dragon",Backdoors!BF39,Backdoors!BG39)))))/100,Backdoors!BG39/100),"")</f>
        <v>0</v>
      </c>
      <c r="IV65" s="49">
        <f>IFERROR(IF(VLOOKUP(A65,tbMoveset!A2:J112,10,FALSE)=TRUE,IF((Backdoors!AI12+IF(IT65&gt;=0.45,VLOOKUP(Calculator!E23,tbSkills!DH3:DI6,2,FALSE)+IF(AND(Calculator!B8=TRUE,Backdoors!BI39=TRUE),VLOOKUP(Calculator!E23,tbSkills!DH3:DJ6,3,FALSE),0),0))&gt;=0,1+(Backdoors!AL2*(IF((Backdoors!AI12+IF(IT65&gt;=0.45,VLOOKUP(Calculator!E23,tbSkills!DH3:DI6,2,FALSE)+IF(AND(Calculator!B8=TRUE,Backdoors!BI39=TRUE),VLOOKUP(Calculator!E23,tbSkills!DH3:DJ6,3,FALSE),0),0))&gt;=100,100,(Backdoors!AI12+IF(IT65&gt;=0.45,VLOOKUP(Calculator!E23,tbSkills!DH3:DI6,2,FALSE)+IF(AND(Calculator!B8=TRUE,Backdoors!BI39=TRUE),VLOOKUP(Calculator!E23,tbSkills!DH3:DJ6,3,FALSE),0),0)))/100)),(1-(0.25*((-Backdoors!AI12-IF(IT65&gt;=0.45,VLOOKUP(Calculator!E23,tbSkills!DH3:DI6,2,FALSE)+IF(AND(Calculator!B8=TRUE,Backdoors!BI39=TRUE),VLOOKUP(Calculator!E23,tbSkills!DH3:DJ6,3,FALSE),0),0))/100)))),1),"")</f>
        <v>1</v>
      </c>
      <c r="IW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T65)*IV65)*(VLOOKUP(A65,tbMoveset!A2:C112,3,FALSE)/100)*IF(VLOOKUP(A65,tbMoveset!A2:B112,2,FALSE)="Projectile",Backdoors!N10,Backdoors!N9),0),"")</f>
        <v/>
      </c>
      <c r="IX65" s="49">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40&gt;0,VLOOKUP(Calculator!E40,tbSkills!AC3:AD5,2,FALSE),Backdoors!AL3)*(IF((Backdoors!AI12+IF(IT65&gt;=0.45,VLOOKUP(Calculator!E23,tbSkills!DH3:DI6,2,FALSE)+IF(AND(Calculator!B8=TRUE,Backdoors!BI39=TRUE),VLOOKUP(Calculator!E23,tbSkills!DH3:DJ6,3,FALSE),0),0))&gt;=100,100,(Backdoors!AI12+IF(IT65&gt;=0.45,VLOOKUP(Calculator!E23,tbSkills!DH3:DI6,2,FALSE)+IF(AND(Calculator!B8=TRUE,Backdoors!BI39=TRUE),VLOOKUP(Calculator!E23,tbSkills!DH3:DJ6,3,FALSE),0),0)))/100)),1))*IF(VLOOKUP(A65,tbMoveset!A2:K112,11,FALSE)=TRUE,Backdoors!AC5,1))*IU65,0),"")</f>
        <v>0</v>
      </c>
      <c r="IY65" s="49">
        <f>VLOOKUP(A65,tbMoveset!A2:G112,7,FALSE)*IFERROR(IF(Backdoors!AI12&gt;=0,1+(IF(Calculator!E40&gt;0,VLOOKUP(Calculator!E40,tbSkills!AI3:AJ5,2,FALSE),Backdoors!AL4)*(IF((Backdoors!AI12+IF(IT65&gt;=0.45,VLOOKUP(Calculator!E23,tbSkills!DH3:DI6,2,FALSE)+IF(AND(Calculator!B8=TRUE,Backdoors!BI39=TRUE),VLOOKUP(Calculator!E23,tbSkills!DH3:DJ6,3,FALSE),0),0))&gt;=100,100,(Backdoors!AI12+IF(IT65&gt;=0.45,VLOOKUP(Calculator!E23,tbSkills!DH3:DI6,2,FALSE)+IF(AND(Calculator!B8=TRUE,Backdoors!BI39=TRUE),VLOOKUP(Calculator!E23,tbSkills!DH3:DJ6,3,FALSE),0),0)))/100)),1),1)</f>
        <v>0.6</v>
      </c>
      <c r="IZ65" s="87">
        <f t="shared" si="28"/>
        <v>0</v>
      </c>
      <c r="JA65" s="86" t="str">
        <f>IFERROR(IF(VLOOKUP(A65,tbMoveset!A2:B112,2,FALSE)="Sever",Backdoors!AY40/100,IF(VLOOKUP(A65,tbMoveset!A2:B112,2,FALSE)="Blunt",Backdoors!AZ40/100,Backdoors!BA40/100)),"")</f>
        <v/>
      </c>
      <c r="JB65" s="49">
        <f>IFERROR(IF(VLOOKUP(tbMoveset!A65,tbMoveset!A2:H112,8,FALSE)="Other",IF(VLOOKUP(tbMoveset!A65,tbMoveset!A2:I112,9,FALSE)="Fire",Backdoors!BB40,IF(VLOOKUP(tbMoveset!A65,tbMoveset!A2:I112,9,FALSE)="Water",Backdoors!BC40,IF(VLOOKUP(tbMoveset!A65,tbMoveset!A2:I112,9,FALSE)="Thunder",Backdoors!BD40,IF(VLOOKUP(tbMoveset!A65,tbMoveset!A2:I112,9,FALSE)="Ice",Backdoors!BE40,IF(VLOOKUP(tbMoveset!A65,tbMoveset!A2:I112,9,FALSE)="Dragon",Backdoors!BF40,Backdoors!BG40)))))/100,Backdoors!BG40/100),"")</f>
        <v>0</v>
      </c>
      <c r="JC65" s="49">
        <f>IFERROR(IF(VLOOKUP(A65,tbMoveset!A2:J112,10,FALSE)=TRUE,IF((Backdoors!AI12+IF(JA65&gt;=0.45,VLOOKUP(Calculator!E23,tbSkills!DH3:DI6,2,FALSE)+IF(AND(Calculator!B8=TRUE,Backdoors!BI40=TRUE),VLOOKUP(Calculator!E23,tbSkills!DH3:DJ6,3,FALSE),0),0))&gt;=0,1+(Backdoors!AL2*(IF((Backdoors!AI12+IF(JA65&gt;=0.45,VLOOKUP(Calculator!E23,tbSkills!DH3:DI6,2,FALSE)+IF(AND(Calculator!B8=TRUE,Backdoors!BI40=TRUE),VLOOKUP(Calculator!E23,tbSkills!DH3:DJ6,3,FALSE),0),0))&gt;=100,100,(Backdoors!AI12+IF(JA65&gt;=0.45,VLOOKUP(Calculator!E23,tbSkills!DH3:DI6,2,FALSE)+IF(AND(Calculator!B8=TRUE,Backdoors!BI40=TRUE),VLOOKUP(Calculator!E23,tbSkills!DH3:DJ6,3,FALSE),0),0)))/100)),(1-(0.25*((-Backdoors!AI12-IF(JA65&gt;=0.45,VLOOKUP(Calculator!E23,tbSkills!DH3:DI6,2,FALSE)+IF(AND(Calculator!B8=TRUE,Backdoors!BI40=TRUE),VLOOKUP(Calculator!E23,tbSkills!DH3:DJ6,3,FALSE),0),0))/100)))),1),"")</f>
        <v>1</v>
      </c>
      <c r="JD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A65)*JC65)*(VLOOKUP(A65,tbMoveset!A2:C112,3,FALSE)/100)*IF(VLOOKUP(A65,tbMoveset!A2:B112,2,FALSE)="Projectile",Backdoors!N10,Backdoors!N9),0),"")</f>
        <v/>
      </c>
      <c r="JE65" s="49">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42&gt;0,VLOOKUP(Calculator!E42,tbSkills!AC3:AD5,2,FALSE),Backdoors!AL3)*(IF((Backdoors!AI12+IF(JA65&gt;=0.45,VLOOKUP(Calculator!E23,tbSkills!DH3:DI6,2,FALSE)+IF(AND(Calculator!B8=TRUE,Backdoors!BI40=TRUE),VLOOKUP(Calculator!E23,tbSkills!DH3:DJ6,3,FALSE),0),0))&gt;=100,100,(Backdoors!AI12+IF(JA65&gt;=0.45,VLOOKUP(Calculator!E23,tbSkills!DH3:DI6,2,FALSE)+IF(AND(Calculator!B8=TRUE,Backdoors!BI40=TRUE),VLOOKUP(Calculator!E23,tbSkills!DH3:DJ6,3,FALSE),0),0)))/100)),1))*IF(VLOOKUP(A65,tbMoveset!A2:K112,11,FALSE)=TRUE,Backdoors!AC5,1))*JB65,0),"")</f>
        <v>0</v>
      </c>
      <c r="JF65" s="49">
        <f>VLOOKUP(A65,tbMoveset!A2:G112,7,FALSE)*IFERROR(IF(Backdoors!AI12&gt;=0,1+(IF(Calculator!E40&gt;0,VLOOKUP(Calculator!E40,tbSkills!AI3:AJ5,2,FALSE),Backdoors!AL4)*(IF((Backdoors!AI12+IF(JA65&gt;=0.45,VLOOKUP(Calculator!E23,tbSkills!DH3:DI6,2,FALSE)+IF(AND(Calculator!B8=TRUE,Backdoors!BI40=TRUE),VLOOKUP(Calculator!E23,tbSkills!DH3:DJ6,3,FALSE),0),0))&gt;=100,100,(Backdoors!AI12+IF(JA65&gt;=0.45,VLOOKUP(Calculator!E23,tbSkills!DH3:DI6,2,FALSE)+IF(AND(Calculator!B8=TRUE,Backdoors!BI40=TRUE),VLOOKUP(Calculator!E23,tbSkills!DH3:DJ6,3,FALSE),0),0)))/100)),1),1)</f>
        <v>0.6</v>
      </c>
      <c r="JG65" s="87">
        <f t="shared" si="29"/>
        <v>0</v>
      </c>
      <c r="JH65" s="86" t="str">
        <f>IFERROR(IF(VLOOKUP(A65,tbMoveset!A2:B112,2,FALSE)="Sever",Backdoors!AY41/100,IF(VLOOKUP(A65,tbMoveset!A2:B112,2,FALSE)="Blunt",Backdoors!AZ41/100,Backdoors!BA41/100)),"")</f>
        <v/>
      </c>
      <c r="JI65" s="49">
        <f>IFERROR(IF(VLOOKUP(tbMoveset!A65,tbMoveset!A2:H112,8,FALSE)="Other",IF(VLOOKUP(tbMoveset!A65,tbMoveset!A2:I112,9,FALSE)="Fire",Backdoors!BB41,IF(VLOOKUP(tbMoveset!A65,tbMoveset!A2:I112,9,FALSE)="Water",Backdoors!BC41,IF(VLOOKUP(tbMoveset!A65,tbMoveset!A2:I112,9,FALSE)="Thunder",Backdoors!BD41,IF(VLOOKUP(tbMoveset!A65,tbMoveset!A2:I112,9,FALSE)="Ice",Backdoors!BE41,IF(VLOOKUP(tbMoveset!A65,tbMoveset!A2:I112,9,FALSE)="Dragon",Backdoors!BF41,Backdoors!BG41)))))/100,Backdoors!BG41/100),"")</f>
        <v>0</v>
      </c>
      <c r="JJ65" s="49">
        <f>IFERROR(IF(VLOOKUP(A65,tbMoveset!A2:J112,10,FALSE)=TRUE,IF((Backdoors!AI12+IF(JH65&gt;=0.45,VLOOKUP(Calculator!E23,tbSkills!DH3:DI6,2,FALSE)+IF(AND(Calculator!B8=TRUE,Backdoors!BI41=TRUE),VLOOKUP(Calculator!E23,tbSkills!DH3:DJ6,3,FALSE),0),0))&gt;=0,1+(Backdoors!AL2*(IF((Backdoors!AI12+IF(JH65&gt;=0.45,VLOOKUP(Calculator!E23,tbSkills!DH3:DI6,2,FALSE)+IF(AND(Calculator!B8=TRUE,Backdoors!BI41=TRUE),VLOOKUP(Calculator!E23,tbSkills!DH3:DJ6,3,FALSE),0),0))&gt;=100,100,(Backdoors!AI12+IF(JH65&gt;=0.45,VLOOKUP(Calculator!E23,tbSkills!DH3:DI6,2,FALSE)+IF(AND(Calculator!B8=TRUE,Backdoors!BI41=TRUE),VLOOKUP(Calculator!E23,tbSkills!DH3:DJ6,3,FALSE),0),0)))/100)),(1-(0.25*((-Backdoors!AI12-IF(JH65&gt;=0.45,VLOOKUP(Calculator!E23,tbSkills!DH3:DI6,2,FALSE)+IF(AND(Calculator!B8=TRUE,Backdoors!BI41=TRUE),VLOOKUP(Calculator!E23,tbSkills!DH3:DJ6,3,FALSE),0),0))/100)))),1),"")</f>
        <v>1</v>
      </c>
      <c r="JK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H65)*JJ65)*(VLOOKUP(A65,tbMoveset!A2:C112,3,FALSE)/100)*IF(VLOOKUP(A65,tbMoveset!A2:B112,2,FALSE)="Projectile",Backdoors!N10,Backdoors!N9),0),"")</f>
        <v/>
      </c>
      <c r="JL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43&gt;0,VLOOKUP(Calculator!E43,tbSkills!AC3:AD5,2,FALSE),Backdoors!AL3)*(IF((Backdoors!AI12+IF(JH65&gt;=0.45,VLOOKUP(Calculator!E23,tbSkills!DH3:DI6,2,FALSE)+IF(AND(Calculator!B8=TRUE,Backdoors!BI41=TRUE),VLOOKUP(Calculator!E23,tbSkills!DH3:DJ6,3,FALSE),0),0))&gt;=100,100,(Backdoors!AI12+IF(JH65&gt;=0.45,VLOOKUP(Calculator!E23,tbSkills!DH3:DI6,2,FALSE)+IF(AND(Calculator!B8=TRUE,Backdoors!BI41=TRUE),VLOOKUP(Calculator!E23,tbSkills!DH3:DJ6,3,FALSE),0),0)))/100)),1))*IF(VLOOKUP(A65,tbMoveset!A2:K112,11,FALSE)=TRUE,Backdoors!AC5,1))*JI65,0),"")</f>
        <v/>
      </c>
      <c r="JM65" s="49">
        <f>VLOOKUP(A65,tbMoveset!A2:G112,7,FALSE)*IFERROR(IF(Backdoors!AI12&gt;=0,1+(IF(Calculator!E40&gt;0,VLOOKUP(Calculator!E40,tbSkills!AI3:AJ5,2,FALSE),Backdoors!AL4)*(IF((Backdoors!AI12+IF(JH65&gt;=0.45,VLOOKUP(Calculator!E23,tbSkills!DH3:DI6,2,FALSE)+IF(AND(Calculator!B8=TRUE,Backdoors!BI41=TRUE),VLOOKUP(Calculator!E23,tbSkills!DH3:DJ6,3,FALSE),0),0))&gt;=100,100,(Backdoors!AI12+IF(JH65&gt;=0.45,VLOOKUP(Calculator!E23,tbSkills!DH3:DI6,2,FALSE)+IF(AND(Calculator!B8=TRUE,Backdoors!BI41=TRUE),VLOOKUP(Calculator!E23,tbSkills!DH3:DJ6,3,FALSE),0),0)))/100)),1),1)</f>
        <v>0.6</v>
      </c>
      <c r="JN65" s="87">
        <f t="shared" si="30"/>
        <v>0</v>
      </c>
      <c r="JO65" s="86" t="str">
        <f>IFERROR(IF(VLOOKUP(A65,tbMoveset!A2:B112,2,FALSE)="Sever",Backdoors!AY42/100,IF(VLOOKUP(A65,tbMoveset!A2:B112,2,FALSE)="Blunt",Backdoors!AZ42/100,Backdoors!BA42/100)),"")</f>
        <v/>
      </c>
      <c r="JP65" s="49">
        <f>IFERROR(IF(VLOOKUP(tbMoveset!A65,tbMoveset!A2:H112,8,FALSE)="Other",IF(VLOOKUP(tbMoveset!A65,tbMoveset!A2:I112,9,FALSE)="Fire",Backdoors!BB42,IF(VLOOKUP(tbMoveset!A65,tbMoveset!A2:I112,9,FALSE)="Water",Backdoors!BC42,IF(VLOOKUP(tbMoveset!A65,tbMoveset!A2:I112,9,FALSE)="Thunder",Backdoors!BD42,IF(VLOOKUP(tbMoveset!A65,tbMoveset!A2:I112,9,FALSE)="Ice",Backdoors!BE42,IF(VLOOKUP(tbMoveset!A65,tbMoveset!A2:I112,9,FALSE)="Dragon",Backdoors!BF42,Backdoors!BG42)))))/100,Backdoors!BG42/100),"")</f>
        <v>0</v>
      </c>
      <c r="JQ65" s="49">
        <f>IFERROR(IF(VLOOKUP(A65,tbMoveset!A2:J112,10,FALSE)=TRUE,IF((Backdoors!AI12+IF(JO65&gt;=0.45,VLOOKUP(Calculator!E23,tbSkills!DH3:DI6,2,FALSE)+IF(AND(Calculator!B8=TRUE,Backdoors!BI42=TRUE),VLOOKUP(Calculator!E23,tbSkills!DH3:DJ6,3,FALSE),0),0))&gt;=0,1+(Backdoors!AL2*(IF((Backdoors!AI12+IF(JO65&gt;=0.45,VLOOKUP(Calculator!E23,tbSkills!DH3:DI6,2,FALSE)+IF(AND(Calculator!B8=TRUE,Backdoors!BI42=TRUE),VLOOKUP(Calculator!E23,tbSkills!DH3:DJ6,3,FALSE),0),0))&gt;=100,100,(Backdoors!AI12+IF(JO65&gt;=0.45,VLOOKUP(Calculator!E23,tbSkills!DH3:DI6,2,FALSE)+IF(AND(Calculator!B8=TRUE,Backdoors!BI42=TRUE),VLOOKUP(Calculator!E23,tbSkills!DH3:DJ6,3,FALSE),0),0)))/100)),(1-(0.25*((-Backdoors!AI12-IF(JO65&gt;=0.45,VLOOKUP(Calculator!E23,tbSkills!DH3:DI6,2,FALSE)+IF(AND(Calculator!B8=TRUE,Backdoors!BI42=TRUE),VLOOKUP(Calculator!E23,tbSkills!DH3:DJ6,3,FALSE),0),0))/100)))),1),"")</f>
        <v>1</v>
      </c>
      <c r="JR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O65)*JQ65)*(VLOOKUP(A65,tbMoveset!A2:C112,3,FALSE)/100)*IF(VLOOKUP(A65,tbMoveset!A2:B112,2,FALSE)="Projectile",Backdoors!N10,Backdoors!N9),0),"")</f>
        <v/>
      </c>
      <c r="JS65" s="49">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45&gt;0,VLOOKUP(Calculator!E45,tbSkills!AC3:AD5,2,FALSE),Backdoors!AL3)*(IF((Backdoors!AI12+IF(JO65&gt;=0.45,VLOOKUP(Calculator!E23,tbSkills!DH3:DI6,2,FALSE)+IF(AND(Calculator!B8=TRUE,Backdoors!BI42=TRUE),VLOOKUP(Calculator!E23,tbSkills!DH3:DJ6,3,FALSE),0),0))&gt;=100,100,(Backdoors!AI12+IF(JO65&gt;=0.45,VLOOKUP(Calculator!E23,tbSkills!DH3:DI6,2,FALSE)+IF(AND(Calculator!B8=TRUE,Backdoors!BI42=TRUE),VLOOKUP(Calculator!E23,tbSkills!DH3:DJ6,3,FALSE),0),0)))/100)),1))*IF(VLOOKUP(A65,tbMoveset!A2:K112,11,FALSE)=TRUE,Backdoors!AC5,1))*JP65,0),"")</f>
        <v>0</v>
      </c>
      <c r="JT65" s="49">
        <f>VLOOKUP(A65,tbMoveset!A2:G112,7,FALSE)*IFERROR(IF(Backdoors!AI12&gt;=0,1+(IF(Calculator!E40&gt;0,VLOOKUP(Calculator!E40,tbSkills!AI3:AJ5,2,FALSE),Backdoors!AL4)*(IF((Backdoors!AI12+IF(JO65&gt;=0.45,VLOOKUP(Calculator!E23,tbSkills!DH3:DI6,2,FALSE)+IF(AND(Calculator!B8=TRUE,Backdoors!BI42=TRUE),VLOOKUP(Calculator!E23,tbSkills!DH3:DJ6,3,FALSE),0),0))&gt;=100,100,(Backdoors!AI12+IF(JO65&gt;=0.45,VLOOKUP(Calculator!E23,tbSkills!DH3:DI6,2,FALSE)+IF(AND(Calculator!B8=TRUE,Backdoors!BI42=TRUE),VLOOKUP(Calculator!E23,tbSkills!DH3:DJ6,3,FALSE),0),0)))/100)),1),1)</f>
        <v>0.6</v>
      </c>
      <c r="JU65" s="87">
        <f t="shared" si="31"/>
        <v>0</v>
      </c>
      <c r="JV65" s="86" t="str">
        <f>IFERROR(IF(VLOOKUP(A65,tbMoveset!A2:B112,2,FALSE)="Sever",Backdoors!AY43/100,IF(VLOOKUP(A65,tbMoveset!A2:B112,2,FALSE)="Blunt",Backdoors!AZ43/100,Backdoors!BA43/100)),"")</f>
        <v/>
      </c>
      <c r="JW65" s="49">
        <f>IFERROR(IF(VLOOKUP(tbMoveset!A65,tbMoveset!A2:H112,8,FALSE)="Other",IF(VLOOKUP(tbMoveset!A65,tbMoveset!A2:I112,9,FALSE)="Fire",Backdoors!BB43,IF(VLOOKUP(tbMoveset!A65,tbMoveset!A2:I112,9,FALSE)="Water",Backdoors!BC43,IF(VLOOKUP(tbMoveset!A65,tbMoveset!A2:I112,9,FALSE)="Thunder",Backdoors!BD43,IF(VLOOKUP(tbMoveset!A65,tbMoveset!A2:I112,9,FALSE)="Ice",Backdoors!BE43,IF(VLOOKUP(tbMoveset!A65,tbMoveset!A2:I112,9,FALSE)="Dragon",Backdoors!BF43,Backdoors!BG43)))))/100,Backdoors!BG43/100),"")</f>
        <v>0</v>
      </c>
      <c r="JX65" s="49">
        <f>IFERROR(IF(VLOOKUP(A65,tbMoveset!A2:J112,10,FALSE)=TRUE,IF((Backdoors!AI12+IF(JV65&gt;=0.45,VLOOKUP(Calculator!E23,tbSkills!DH3:DI6,2,FALSE)+IF(AND(Calculator!B8=TRUE,Backdoors!BI43=TRUE),VLOOKUP(Calculator!E23,tbSkills!DH3:DJ6,3,FALSE),0),0))&gt;=0,1+(Backdoors!AL2*(IF((Backdoors!AI12+IF(JV65&gt;=0.45,VLOOKUP(Calculator!E23,tbSkills!DH3:DI6,2,FALSE)+IF(AND(Calculator!B8=TRUE,Backdoors!BI43=TRUE),VLOOKUP(Calculator!E23,tbSkills!DH3:DJ6,3,FALSE),0),0))&gt;=100,100,(Backdoors!AI12+IF(JV65&gt;=0.45,VLOOKUP(Calculator!E23,tbSkills!DH3:DI6,2,FALSE)+IF(AND(Calculator!B8=TRUE,Backdoors!BI43=TRUE),VLOOKUP(Calculator!E23,tbSkills!DH3:DJ6,3,FALSE),0),0)))/100)),(1-(0.25*((-Backdoors!AI12-IF(JV65&gt;=0.45,VLOOKUP(Calculator!E23,tbSkills!DH3:DI6,2,FALSE)+IF(AND(Calculator!B8=TRUE,Backdoors!BI43=TRUE),VLOOKUP(Calculator!E23,tbSkills!DH3:DJ6,3,FALSE),0),0))/100)))),1),"")</f>
        <v>1</v>
      </c>
      <c r="JY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V65)*JX65)*(VLOOKUP(A65,tbMoveset!A2:C112,3,FALSE)/100)*IF(VLOOKUP(A65,tbMoveset!A2:B112,2,FALSE)="Projectile",Backdoors!N10,Backdoors!N9),0),"")</f>
        <v/>
      </c>
      <c r="JZ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46&gt;0,VLOOKUP(Calculator!E46,tbSkills!AC3:AD5,2,FALSE),Backdoors!AL3)*(IF((Backdoors!AI12+IF(JV65&gt;=0.45,VLOOKUP(Calculator!E23,tbSkills!DH3:DI6,2,FALSE)+IF(AND(Calculator!B8=TRUE,Backdoors!BI43=TRUE),VLOOKUP(Calculator!E23,tbSkills!DH3:DJ6,3,FALSE),0),0))&gt;=100,100,(Backdoors!AI12+IF(JV65&gt;=0.45,VLOOKUP(Calculator!E23,tbSkills!DH3:DI6,2,FALSE)+IF(AND(Calculator!B8=TRUE,Backdoors!BI43=TRUE),VLOOKUP(Calculator!E23,tbSkills!DH3:DJ6,3,FALSE),0),0)))/100)),1))*IF(VLOOKUP(A65,tbMoveset!A2:K112,11,FALSE)=TRUE,Backdoors!AC5,1))*JW65,0),"")</f>
        <v/>
      </c>
      <c r="KA65" s="49">
        <f>VLOOKUP(A65,tbMoveset!A2:G112,7,FALSE)*IFERROR(IF(Backdoors!AI12&gt;=0,1+(IF(Calculator!E40&gt;0,VLOOKUP(Calculator!E40,tbSkills!AI3:AJ5,2,FALSE),Backdoors!AL4)*(IF((Backdoors!AI12+IF(JV65&gt;=0.45,VLOOKUP(Calculator!E23,tbSkills!DH3:DI6,2,FALSE)+IF(AND(Calculator!B8=TRUE,Backdoors!BI43=TRUE),VLOOKUP(Calculator!E23,tbSkills!DH3:DJ6,3,FALSE),0),0))&gt;=100,100,(Backdoors!AI12+IF(JV65&gt;=0.45,VLOOKUP(Calculator!E23,tbSkills!DH3:DI6,2,FALSE)+IF(AND(Calculator!B8=TRUE,Backdoors!BI43=TRUE),VLOOKUP(Calculator!E23,tbSkills!DH3:DJ6,3,FALSE),0),0)))/100)),1),1)</f>
        <v>0.6</v>
      </c>
      <c r="KB65" s="87">
        <f t="shared" si="32"/>
        <v>0</v>
      </c>
      <c r="KC65" s="86" t="str">
        <f>IFERROR(IF(VLOOKUP(A65,tbMoveset!A2:B112,2,FALSE)="Sever",Backdoors!AY44/100,IF(VLOOKUP(A65,tbMoveset!A2:B112,2,FALSE)="Blunt",Backdoors!AZ44/100,Backdoors!BA44/100)),"")</f>
        <v/>
      </c>
      <c r="KD65" s="49">
        <f>IFERROR(IF(VLOOKUP(tbMoveset!A65,tbMoveset!A2:H112,8,FALSE)="Other",IF(VLOOKUP(tbMoveset!A65,tbMoveset!A2:I112,9,FALSE)="Fire",Backdoors!BB44,IF(VLOOKUP(tbMoveset!A65,tbMoveset!A2:I112,9,FALSE)="Water",Backdoors!BC44,IF(VLOOKUP(tbMoveset!A65,tbMoveset!A2:I112,9,FALSE)="Thunder",Backdoors!BD44,IF(VLOOKUP(tbMoveset!A65,tbMoveset!A2:I112,9,FALSE)="Ice",Backdoors!BE44,IF(VLOOKUP(tbMoveset!A65,tbMoveset!A2:I112,9,FALSE)="Dragon",Backdoors!BF44,Backdoors!BG44)))))/100,Backdoors!BG44/100),"")</f>
        <v>0</v>
      </c>
      <c r="KE65" s="49">
        <f>IFERROR(IF(VLOOKUP(A65,tbMoveset!A2:J112,10,FALSE)=TRUE,IF((Backdoors!AI12+IF(KC65&gt;=0.45,VLOOKUP(Calculator!E23,tbSkills!DH3:DI6,2,FALSE)+IF(AND(Calculator!B8=TRUE,Backdoors!BI44=TRUE),VLOOKUP(Calculator!E23,tbSkills!DH3:DJ6,3,FALSE),0),0))&gt;=0,1+(Backdoors!AL2*(IF((Backdoors!AI12+IF(KC65&gt;=0.45,VLOOKUP(Calculator!E23,tbSkills!DH3:DI6,2,FALSE)+IF(AND(Calculator!B8=TRUE,Backdoors!BI44=TRUE),VLOOKUP(Calculator!E23,tbSkills!DH3:DJ6,3,FALSE),0),0))&gt;=100,100,(Backdoors!AI12+IF(KC65&gt;=0.45,VLOOKUP(Calculator!E23,tbSkills!DH3:DI6,2,FALSE)+IF(AND(Calculator!B8=TRUE,Backdoors!BI44=TRUE),VLOOKUP(Calculator!E23,tbSkills!DH3:DJ6,3,FALSE),0),0)))/100)),(1-(0.25*((-Backdoors!AI12-IF(KC65&gt;=0.45,VLOOKUP(Calculator!E23,tbSkills!DH3:DI6,2,FALSE)+IF(AND(Calculator!B8=TRUE,Backdoors!BI44=TRUE),VLOOKUP(Calculator!E23,tbSkills!DH3:DJ6,3,FALSE),0),0))/100)))),1),"")</f>
        <v>1</v>
      </c>
      <c r="KF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KC65)*KE65)*(VLOOKUP(A65,tbMoveset!A2:C112,3,FALSE)/100)*IF(VLOOKUP(A65,tbMoveset!A2:B112,2,FALSE)="Projectile",Backdoors!N10,Backdoors!N9),0),"")</f>
        <v/>
      </c>
      <c r="KG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REF!&gt;0,VLOOKUP(Calculator!#REF!,tbSkills!AC3:AD5,2,FALSE),Backdoors!AL3)*(IF((Backdoors!AI12+IF(KC65&gt;=0.45,VLOOKUP(Calculator!E23,tbSkills!DH3:DI6,2,FALSE)+IF(AND(Calculator!B8=TRUE,Backdoors!BI44=TRUE),VLOOKUP(Calculator!E23,tbSkills!DH3:DJ6,3,FALSE),0),0))&gt;=100,100,(Backdoors!AI12+IF(KC65&gt;=0.45,VLOOKUP(Calculator!E23,tbSkills!DH3:DI6,2,FALSE)+IF(AND(Calculator!B8=TRUE,Backdoors!BI44=TRUE),VLOOKUP(Calculator!E23,tbSkills!DH3:DJ6,3,FALSE),0),0)))/100)),1))*IF(VLOOKUP(A65,tbMoveset!A2:K112,11,FALSE)=TRUE,Backdoors!AC5,1))*KD65,0),"")</f>
        <v/>
      </c>
      <c r="KH65" s="49">
        <f>VLOOKUP(A65,tbMoveset!A2:G112,7,FALSE)*IFERROR(IF(Backdoors!AI12&gt;=0,1+(IF(Calculator!E40&gt;0,VLOOKUP(Calculator!E40,tbSkills!AI3:AJ5,2,FALSE),Backdoors!AL4)*(IF((Backdoors!AI12+IF(KC65&gt;=0.45,VLOOKUP(Calculator!E23,tbSkills!DH3:DI6,2,FALSE)+IF(AND(Calculator!B8=TRUE,Backdoors!BI44=TRUE),VLOOKUP(Calculator!E23,tbSkills!DH3:DJ6,3,FALSE),0),0))&gt;=100,100,(Backdoors!AI12+IF(KC65&gt;=0.45,VLOOKUP(Calculator!E23,tbSkills!DH3:DI6,2,FALSE)+IF(AND(Calculator!B8=TRUE,Backdoors!BI44=TRUE),VLOOKUP(Calculator!E23,tbSkills!DH3:DJ6,3,FALSE),0),0)))/100)),1),1)</f>
        <v>0.6</v>
      </c>
      <c r="KI65" s="87">
        <f t="shared" si="33"/>
        <v>0</v>
      </c>
      <c r="KJ65" s="86" t="str">
        <f>IFERROR(IF(VLOOKUP(A65,tbMoveset!A2:B112,2,FALSE)="Sever",Backdoors!AY45/100,IF(VLOOKUP(A65,tbMoveset!A2:B112,2,FALSE)="Blunt",Backdoors!AZ45/100,Backdoors!BA45/100)),"")</f>
        <v/>
      </c>
      <c r="KK65" s="49">
        <f>IFERROR(IF(VLOOKUP(tbMoveset!A65,tbMoveset!A2:H112,8,FALSE)="Other",IF(VLOOKUP(tbMoveset!A65,tbMoveset!A2:I112,9,FALSE)="Fire",Backdoors!BB45,IF(VLOOKUP(tbMoveset!A65,tbMoveset!A2:I112,9,FALSE)="Water",Backdoors!BC45,IF(VLOOKUP(tbMoveset!A65,tbMoveset!A2:I112,9,FALSE)="Thunder",Backdoors!BD45,IF(VLOOKUP(tbMoveset!A65,tbMoveset!A2:I112,9,FALSE)="Ice",Backdoors!BE45,IF(VLOOKUP(tbMoveset!A65,tbMoveset!A2:I112,9,FALSE)="Dragon",Backdoors!BF45,Backdoors!BG45)))))/100,Backdoors!BG45/100),"")</f>
        <v>0</v>
      </c>
      <c r="KL65" s="49">
        <f>IFERROR(IF(VLOOKUP(A65,tbMoveset!A2:J112,10,FALSE)=TRUE,IF((Backdoors!AI12+IF(KJ65&gt;=0.45,VLOOKUP(Calculator!E23,tbSkills!DH3:DI6,2,FALSE)+IF(AND(Calculator!B8=TRUE,Backdoors!BI45=TRUE),VLOOKUP(Calculator!E23,tbSkills!DH3:DJ6,3,FALSE),0),0))&gt;=0,1+(Backdoors!AL2*(IF((Backdoors!AI12+IF(KJ65&gt;=0.45,VLOOKUP(Calculator!E23,tbSkills!DH3:DI6,2,FALSE)+IF(AND(Calculator!B8=TRUE,Backdoors!BI45=TRUE),VLOOKUP(Calculator!E23,tbSkills!DH3:DJ6,3,FALSE),0),0))&gt;=100,100,(Backdoors!AI12+IF(KJ65&gt;=0.45,VLOOKUP(Calculator!E23,tbSkills!DH3:DI6,2,FALSE)+IF(AND(Calculator!B8=TRUE,Backdoors!BI45=TRUE),VLOOKUP(Calculator!E23,tbSkills!DH3:DJ6,3,FALSE),0),0)))/100)),(1-(0.25*((-Backdoors!AI12-IF(KJ65&gt;=0.45,VLOOKUP(Calculator!E23,tbSkills!DH3:DI6,2,FALSE)+IF(AND(Calculator!B8=TRUE,Backdoors!BI45=TRUE),VLOOKUP(Calculator!E23,tbSkills!DH3:DJ6,3,FALSE),0),0))/100)))),1),"")</f>
        <v>1</v>
      </c>
      <c r="KM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KJ65)*KL65)*(VLOOKUP(A65,tbMoveset!A2:C112,3,FALSE)/100)*IF(VLOOKUP(A65,tbMoveset!A2:B112,2,FALSE)="Projectile",Backdoors!N10,Backdoors!N9),0),"")</f>
        <v/>
      </c>
      <c r="KN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REF!&gt;0,VLOOKUP(Calculator!#REF!,tbSkills!AC3:AD5,2,FALSE),Backdoors!AL3)*(IF((Backdoors!AI12+IF(KJ65&gt;=0.45,VLOOKUP(Calculator!E23,tbSkills!DH3:DI6,2,FALSE)+IF(AND(Calculator!B8=TRUE,Backdoors!BI45=TRUE),VLOOKUP(Calculator!E23,tbSkills!DH3:DJ6,3,FALSE),0),0))&gt;=100,100,(Backdoors!AI12+IF(KJ65&gt;=0.45,VLOOKUP(Calculator!E23,tbSkills!DH3:DI6,2,FALSE)+IF(AND(Calculator!B8=TRUE,Backdoors!BI45=TRUE),VLOOKUP(Calculator!E23,tbSkills!DH3:DJ6,3,FALSE),0),0)))/100)),1))*IF(VLOOKUP(A65,tbMoveset!A2:K112,11,FALSE)=TRUE,Backdoors!AC5,1))*KK65,0),"")</f>
        <v/>
      </c>
      <c r="KO65" s="49">
        <f>VLOOKUP(A65,tbMoveset!A2:G112,7,FALSE)*IFERROR(IF(Backdoors!AI12&gt;=0,1+(IF(Calculator!E40&gt;0,VLOOKUP(Calculator!E40,tbSkills!AI3:AJ5,2,FALSE),Backdoors!AL4)*(IF((Backdoors!AI12+IF(KJ65&gt;=0.45,VLOOKUP(Calculator!E23,tbSkills!DH3:DI6,2,FALSE)+IF(AND(Calculator!B8=TRUE,Backdoors!BI45=TRUE),VLOOKUP(Calculator!E23,tbSkills!DH3:DJ6,3,FALSE),0),0))&gt;=100,100,(Backdoors!AI12+IF(KJ65&gt;=0.45,VLOOKUP(Calculator!E23,tbSkills!DH3:DI6,2,FALSE)+IF(AND(Calculator!B8=TRUE,Backdoors!BI45=TRUE),VLOOKUP(Calculator!E23,tbSkills!DH3:DJ6,3,FALSE),0),0)))/100)),1),1)</f>
        <v>0.6</v>
      </c>
      <c r="KP65" s="87">
        <f t="shared" si="34"/>
        <v>0</v>
      </c>
      <c r="KQ65" s="86" t="str">
        <f>IFERROR(IF(VLOOKUP(A65,tbMoveset!A2:B112,2,FALSE)="Sever",Backdoors!AY46/100,IF(VLOOKUP(A65,tbMoveset!A2:B112,2,FALSE)="Blunt",Backdoors!AZ46/100,Backdoors!BA46/100)),"")</f>
        <v/>
      </c>
      <c r="KR65" s="49">
        <f>IFERROR(IF(VLOOKUP(tbMoveset!A65,tbMoveset!A2:H112,8,FALSE)="Other",IF(VLOOKUP(tbMoveset!A65,tbMoveset!A2:I112,9,FALSE)="Fire",Backdoors!BB46,IF(VLOOKUP(tbMoveset!A65,tbMoveset!A2:I112,9,FALSE)="Water",Backdoors!BC46,IF(VLOOKUP(tbMoveset!A65,tbMoveset!A2:I112,9,FALSE)="Thunder",Backdoors!BD46,IF(VLOOKUP(tbMoveset!A65,tbMoveset!A2:I112,9,FALSE)="Ice",Backdoors!BE46,IF(VLOOKUP(tbMoveset!A65,tbMoveset!A2:I112,9,FALSE)="Dragon",Backdoors!BF46,Backdoors!BG46)))))/100,Backdoors!BG46/100),"")</f>
        <v>0</v>
      </c>
      <c r="KS65" s="49">
        <f>IFERROR(IF(VLOOKUP(A65,tbMoveset!A2:J112,10,FALSE)=TRUE,IF((Backdoors!AI12+IF(KQ65&gt;=0.45,VLOOKUP(Calculator!E23,tbSkills!DH3:DI6,2,FALSE)+IF(AND(Calculator!B8=TRUE,Backdoors!BI46=TRUE),VLOOKUP(Calculator!E23,tbSkills!DH3:DJ6,3,FALSE),0),0))&gt;=0,1+(Backdoors!AL2*(IF((Backdoors!AI12+IF(KQ65&gt;=0.45,VLOOKUP(Calculator!E23,tbSkills!DH3:DI6,2,FALSE)+IF(AND(Calculator!B8=TRUE,Backdoors!BI46=TRUE),VLOOKUP(Calculator!E23,tbSkills!DH3:DJ6,3,FALSE),0),0))&gt;=100,100,(Backdoors!AI12+IF(KQ65&gt;=0.45,VLOOKUP(Calculator!E23,tbSkills!DH3:DI6,2,FALSE)+IF(AND(Calculator!B8=TRUE,Backdoors!BI46=TRUE),VLOOKUP(Calculator!E23,tbSkills!DH3:DJ6,3,FALSE),0),0)))/100)),(1-(0.25*((-Backdoors!AI12-IF(KQ65&gt;=0.45,VLOOKUP(Calculator!E23,tbSkills!DH3:DI6,2,FALSE)+IF(AND(Calculator!B8=TRUE,Backdoors!BI46=TRUE),VLOOKUP(Calculator!E23,tbSkills!DH3:DJ6,3,FALSE),0),0))/100)))),1),"")</f>
        <v>1</v>
      </c>
      <c r="KT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KQ65)*KS65)*(VLOOKUP(A65,tbMoveset!A2:C112,3,FALSE)/100)*IF(VLOOKUP(A65,tbMoveset!A2:B112,2,FALSE)="Projectile",Backdoors!N10,Backdoors!N9),0),"")</f>
        <v/>
      </c>
      <c r="KU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REF!&gt;0,VLOOKUP(Calculator!#REF!,tbSkills!AC3:AD5,2,FALSE),Backdoors!AL3)*(IF((Backdoors!AI12+IF(KQ65&gt;=0.45,VLOOKUP(Calculator!E23,tbSkills!DH3:DI6,2,FALSE)+IF(AND(Calculator!B8=TRUE,Backdoors!BI46=TRUE),VLOOKUP(Calculator!E23,tbSkills!DH3:DJ6,3,FALSE),0),0))&gt;=100,100,(Backdoors!AI12+IF(KQ65&gt;=0.45,VLOOKUP(Calculator!E23,tbSkills!DH3:DI6,2,FALSE)+IF(AND(Calculator!B8=TRUE,Backdoors!BI46=TRUE),VLOOKUP(Calculator!E23,tbSkills!DH3:DJ6,3,FALSE),0),0)))/100)),1))*IF(VLOOKUP(A65,tbMoveset!A2:K112,11,FALSE)=TRUE,Backdoors!AC5,1))*KR65,0),"")</f>
        <v/>
      </c>
      <c r="KV65" s="49">
        <f>VLOOKUP(A65,tbMoveset!A2:G112,7,FALSE)*IFERROR(IF(Backdoors!AI12&gt;=0,1+(IF(Calculator!E40&gt;0,VLOOKUP(Calculator!E40,tbSkills!AI3:AJ5,2,FALSE),Backdoors!AL4)*(IF((Backdoors!AI12+IF(KQ65&gt;=0.45,VLOOKUP(Calculator!E23,tbSkills!DH3:DI6,2,FALSE)+IF(AND(Calculator!B8=TRUE,Backdoors!BI46=TRUE),VLOOKUP(Calculator!E23,tbSkills!DH3:DJ6,3,FALSE),0),0))&gt;=100,100,(Backdoors!AI12+IF(KQ65&gt;=0.45,VLOOKUP(Calculator!E23,tbSkills!DH3:DI6,2,FALSE)+IF(AND(Calculator!B8=TRUE,Backdoors!BI46=TRUE),VLOOKUP(Calculator!E23,tbSkills!DH3:DJ6,3,FALSE),0),0)))/100)),1),1)</f>
        <v>0.6</v>
      </c>
      <c r="KW65" s="87">
        <f t="shared" si="35"/>
        <v>0</v>
      </c>
    </row>
    <row r="66" spans="1:309" x14ac:dyDescent="0.25">
      <c r="A66" s="95" t="str">
        <f>tbMoveset!A66</f>
        <v>Blade Dance (R6)</v>
      </c>
      <c r="B66" s="86">
        <f>IFERROR(IF(VLOOKUP(A66,tbMoveset!A2:B112,2,FALSE)="Sever",Backdoors!AY3/100,IF(VLOOKUP(A66,tbMoveset!A2:B112,2,FALSE)="Blunt",Backdoors!AZ3/100,Backdoors!BA3/100)),"")</f>
        <v>0.8</v>
      </c>
      <c r="C66" s="49">
        <f>IFERROR(IF(VLOOKUP(tbMoveset!A66,tbMoveset!A2:H112,8,FALSE)="Other",IF(VLOOKUP(tbMoveset!A66,tbMoveset!A2:I112,9,FALSE)="Fire",Backdoors!BB3,IF(VLOOKUP(tbMoveset!A66,tbMoveset!A2:I112,9,FALSE)="Water",Backdoors!BC3,IF(VLOOKUP(tbMoveset!A66,tbMoveset!A2:I112,9,FALSE)="Thunder",Backdoors!BD3,IF(VLOOKUP(tbMoveset!A66,tbMoveset!A2:I112,9,FALSE)="Ice",Backdoors!BE3,IF(VLOOKUP(tbMoveset!A66,tbMoveset!A2:I112,9,FALSE)="Dragon",Backdoors!BF3,Backdoors!BG3)))))/100,Backdoors!BG3/100),"")</f>
        <v>0</v>
      </c>
      <c r="D66" s="49">
        <f>IFERROR(IF(VLOOKUP(A66,tbMoveset!A2:J112,10,FALSE)=TRUE,IF((Backdoors!AI12+IF(B66&gt;=0.45,VLOOKUP(Calculator!E23,tbSkills!DH3:DI6,2,FALSE)+IF(AND(Calculator!B8=TRUE,Backdoors!BI3=TRUE),VLOOKUP(Calculator!E23,tbSkills!DH3:DJ6,3,FALSE),0),0))&gt;=0,1+(Backdoors!AL2*(IF((Backdoors!AI12+IF(B66&gt;=0.45,VLOOKUP(Calculator!E23,tbSkills!DH3:DI6,2,FALSE)+IF(AND(Calculator!B8=TRUE,Backdoors!BI3=TRUE),VLOOKUP(Calculator!E23,tbSkills!DH3:DJ6,3,FALSE),0),0))&gt;=100,100,(Backdoors!AI12+IF(B66&gt;=0.45,VLOOKUP(Calculator!E23,tbSkills!DH3:DI6,2,FALSE)+IF(AND(Calculator!B8=TRUE,Backdoors!BI3=TRUE),VLOOKUP(Calculator!E23,tbSkills!DH3:DJ6,3,FALSE),0),0)))/100)),(1-(0.25*((-Backdoors!AI12-IF(B66&gt;=0.45,VLOOKUP(Calculator!E23,tbSkills!DH3:DI6,2,FALSE)+IF(AND(Calculator!B8=TRUE,Backdoors!BI3=TRUE),VLOOKUP(Calculator!E23,tbSkills!DH3:DJ6,3,FALSE),0),0))/100)))),1),"")</f>
        <v>1</v>
      </c>
      <c r="E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66)*D66)*(VLOOKUP(A66,tbMoveset!A2:C112,3,FALSE)/100)*IF(VLOOKUP(A66,tbMoveset!A2:B112,2,FALSE)="Projectile",Backdoors!N10,Backdoors!N9),0),"")</f>
        <v>6</v>
      </c>
      <c r="F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66&gt;=0.45,VLOOKUP(Calculator!E23,tbSkills!DH3:DI6,2,FALSE)+IF(AND(Calculator!B8=TRUE,Backdoors!BI3=TRUE),VLOOKUP(Calculator!E23,tbSkills!DH3:DJ6,3,FALSE),0),0))&gt;=100,100,(Backdoors!AI12+IF(B66&gt;=0.45,VLOOKUP(Calculator!E23,tbSkills!DH3:DI6,2,FALSE)+IF(AND(Calculator!B8=TRUE,Backdoors!BI3=TRUE),VLOOKUP(Calculator!E23,tbSkills!DH3:DJ6,3,FALSE),0),0)))/100)),1))*IF(VLOOKUP(A66,tbMoveset!A2:K112,11,FALSE)=TRUE,Backdoors!AC5,1))*C66,0),"")</f>
        <v>0</v>
      </c>
      <c r="G66">
        <f>VLOOKUP(A66,tbMoveset!A2:G112,7,FALSE)*IFERROR(IF(Backdoors!AI12&gt;=0,1+(IF(Calculator!E40&gt;0,VLOOKUP(Calculator!E40,tbSkills!AI3:AJ5,2,FALSE),Backdoors!AL4)*(IF((Backdoors!AI12+IF(B66&gt;=0.45,VLOOKUP(Calculator!E23,tbSkills!DH3:DI6,2,FALSE)+IF(AND(Calculator!B8=TRUE,Backdoors!BI3=TRUE),VLOOKUP(Calculator!E23,tbSkills!DH3:DJ6,3,FALSE),0),0))&gt;=100,100,(Backdoors!AI12+IF(B66&gt;=0.45,VLOOKUP(Calculator!E23,tbSkills!DH3:DI6,2,FALSE)+IF(AND(Calculator!B8=TRUE,Backdoors!BI3=TRUE),VLOOKUP(Calculator!E23,tbSkills!DH3:DJ6,3,FALSE),0),0)))/100)),1),1)</f>
        <v>0.6</v>
      </c>
      <c r="H66" s="87">
        <f t="shared" si="44"/>
        <v>6</v>
      </c>
      <c r="I66" s="86">
        <f>IFERROR(IF(VLOOKUP(A66,tbMoveset!A2:B112,2,FALSE)="Sever",Backdoors!AY4/100,IF(VLOOKUP(A66,tbMoveset!A2:B112,2,FALSE)="Blunt",Backdoors!AZ4/100,Backdoors!BA4/100)),"")</f>
        <v>0.65</v>
      </c>
      <c r="J66" s="49">
        <f>IFERROR(IF(VLOOKUP(tbMoveset!A66,tbMoveset!A2:H112,8,FALSE)="Other",IF(VLOOKUP(tbMoveset!A66,tbMoveset!A2:I112,9,FALSE)="Fire",Backdoors!BB4,IF(VLOOKUP(tbMoveset!A66,tbMoveset!A2:I112,9,FALSE)="Water",Backdoors!BC4,IF(VLOOKUP(tbMoveset!A66,tbMoveset!A2:I112,9,FALSE)="Thunder",Backdoors!BD4,IF(VLOOKUP(tbMoveset!A66,tbMoveset!A2:I112,9,FALSE)="Ice",Backdoors!BE4,IF(VLOOKUP(tbMoveset!A66,tbMoveset!A2:I112,9,FALSE)="Dragon",Backdoors!BF4,Backdoors!BG4)))))/100,Backdoors!BG4/100),"")</f>
        <v>0</v>
      </c>
      <c r="K66" s="49">
        <f>IFERROR(IF(VLOOKUP(A66,tbMoveset!A2:J112,10,FALSE)=TRUE,IF((Backdoors!AI12+IF(I66&gt;=0.45,VLOOKUP(Calculator!E23,tbSkills!DH3:DI6,2,FALSE)+IF(AND(Calculator!B8=TRUE,Backdoors!BI4=TRUE),VLOOKUP(Calculator!E23,tbSkills!DH3:DJ6,3,FALSE),0),0))&gt;=0,1+(Backdoors!AL2*(IF((Backdoors!AI12+IF(I66&gt;=0.45,VLOOKUP(Calculator!E23,tbSkills!DH3:DI6,2,FALSE)+IF(AND(Calculator!B8=TRUE,Backdoors!BI4=TRUE),VLOOKUP(Calculator!E23,tbSkills!DH3:DJ6,3,FALSE),0),0))&gt;=100,100,(Backdoors!AI12+IF(I66&gt;=0.45,VLOOKUP(Calculator!E23,tbSkills!DH3:DI6,2,FALSE)+IF(AND(Calculator!B8=TRUE,Backdoors!BI4=TRUE),VLOOKUP(Calculator!E23,tbSkills!DH3:DJ6,3,FALSE),0),0)))/100)),(1-(0.25*((-Backdoors!AI12-IF(I66&gt;=0.45,VLOOKUP(Calculator!E23,tbSkills!DH3:DI6,2,FALSE)+IF(AND(Calculator!B8=TRUE,Backdoors!BI4=TRUE),VLOOKUP(Calculator!E23,tbSkills!DH3:DJ6,3,FALSE),0),0))/100)))),1),"")</f>
        <v>1</v>
      </c>
      <c r="L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66)*K66)*(VLOOKUP(A66,tbMoveset!A2:C112,3,FALSE)/100)*IF(VLOOKUP(A66,tbMoveset!A2:B112,2,FALSE)="Projectile",Backdoors!N10,Backdoors!N9),0),"")</f>
        <v>5</v>
      </c>
      <c r="M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I66&gt;=0.45,VLOOKUP(Calculator!E23,tbSkills!DH3:DI6,2,FALSE)+IF(AND(Calculator!B8=TRUE,Backdoors!BI4=TRUE),VLOOKUP(Calculator!E23,tbSkills!DH3:DJ6,3,FALSE),0),0))&gt;=100,100,(Backdoors!AI12+IF(I66&gt;=0.45,VLOOKUP(Calculator!E23,tbSkills!DH3:DI6,2,FALSE)+IF(AND(Calculator!B8=TRUE,Backdoors!BI4=TRUE),VLOOKUP(Calculator!E23,tbSkills!DH3:DJ6,3,FALSE),0),0)))/100)),1))*IF(VLOOKUP(A66,tbMoveset!A2:K112,11,FALSE)=TRUE,Backdoors!AC5,1))*J66,0),"")</f>
        <v>0</v>
      </c>
      <c r="N66" s="49">
        <f>VLOOKUP(A66,tbMoveset!A2:G112,7,FALSE)*IFERROR(IF(Backdoors!AI12&gt;=0,1+(IF(Calculator!E40&gt;0,VLOOKUP(Calculator!E40,tbSkills!AI3:AJ5,2,FALSE),Backdoors!AL4)*(IF((Backdoors!AI12+IF(I66&gt;=0.45,VLOOKUP(Calculator!E23,tbSkills!DH3:DI6,2,FALSE)+IF(AND(Calculator!B8=TRUE,Backdoors!BI4=TRUE),VLOOKUP(Calculator!E23,tbSkills!DH3:DJ6,3,FALSE),0),0))&gt;=100,100,(Backdoors!AI12+IF(I66&gt;=0.45,VLOOKUP(Calculator!E23,tbSkills!DH3:DI6,2,FALSE)+IF(AND(Calculator!B8=TRUE,Backdoors!BI4=TRUE),VLOOKUP(Calculator!E23,tbSkills!DH3:DJ6,3,FALSE),0),0)))/100)),1),1)</f>
        <v>0.6</v>
      </c>
      <c r="O66" s="87">
        <f t="shared" si="45"/>
        <v>5</v>
      </c>
      <c r="P66" s="86">
        <f>IFERROR(IF(VLOOKUP(A66,tbMoveset!A2:B112,2,FALSE)="Sever",Backdoors!AY5/100,IF(VLOOKUP(A66,tbMoveset!A2:B112,2,FALSE)="Blunt",Backdoors!AZ5/100,Backdoors!BA5/100)),"")</f>
        <v>0.5</v>
      </c>
      <c r="Q66" s="49">
        <f>IFERROR(IF(VLOOKUP(tbMoveset!A66,tbMoveset!A2:H112,8,FALSE)="Other",IF(VLOOKUP(tbMoveset!A66,tbMoveset!A2:I112,9,FALSE)="Fire",Backdoors!BB5,IF(VLOOKUP(tbMoveset!A66,tbMoveset!A2:I112,9,FALSE)="Water",Backdoors!BC5,IF(VLOOKUP(tbMoveset!A66,tbMoveset!A2:I112,9,FALSE)="Thunder",Backdoors!BD5,IF(VLOOKUP(tbMoveset!A66,tbMoveset!A2:I112,9,FALSE)="Ice",Backdoors!BE5,IF(VLOOKUP(tbMoveset!A66,tbMoveset!A2:I112,9,FALSE)="Dragon",Backdoors!BF5,Backdoors!BG5)))))/100,Backdoors!BG5/100),"")</f>
        <v>0</v>
      </c>
      <c r="R66" s="49">
        <f>IFERROR(IF(VLOOKUP(A66,tbMoveset!A2:J112,10,FALSE)=TRUE,IF((Backdoors!AI12+IF(P66&gt;=0.45,VLOOKUP(Calculator!E23,tbSkills!DH3:DI6,2,FALSE)+IF(AND(Calculator!B8=TRUE,Backdoors!BI5=TRUE),VLOOKUP(Calculator!E23,tbSkills!DH3:DJ6,3,FALSE),0),0))&gt;=0,1+(Backdoors!AL2*(IF((Backdoors!AI12+IF(P66&gt;=0.45,VLOOKUP(Calculator!E23,tbSkills!DH3:DI6,2,FALSE)+IF(AND(Calculator!B8=TRUE,Backdoors!BI5=TRUE),VLOOKUP(Calculator!E23,tbSkills!DH3:DJ6,3,FALSE),0),0))&gt;=100,100,(Backdoors!AI12+IF(P66&gt;=0.45,VLOOKUP(Calculator!E23,tbSkills!DH3:DI6,2,FALSE)+IF(AND(Calculator!B8=TRUE,Backdoors!BI5=TRUE),VLOOKUP(Calculator!E23,tbSkills!DH3:DJ6,3,FALSE),0),0)))/100)),(1-(0.25*((-Backdoors!AI12-IF(P66&gt;=0.45,VLOOKUP(Calculator!E23,tbSkills!DH3:DI6,2,FALSE)+IF(AND(Calculator!B8=TRUE,Backdoors!BI5=TRUE),VLOOKUP(Calculator!E23,tbSkills!DH3:DJ6,3,FALSE),0),0))/100)))),1),"")</f>
        <v>1</v>
      </c>
      <c r="S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P66)*R66)*(VLOOKUP(A66,tbMoveset!A2:C112,3,FALSE)/100)*IF(VLOOKUP(A66,tbMoveset!A2:B112,2,FALSE)="Projectile",Backdoors!N10,Backdoors!N9),0),"")</f>
        <v>4</v>
      </c>
      <c r="T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P66&gt;=0.45,VLOOKUP(Calculator!E23,tbSkills!DH3:DI6,2,FALSE)+IF(AND(Calculator!B8=TRUE,Backdoors!BI5=TRUE),VLOOKUP(Calculator!E23,tbSkills!DH3:DJ6,3,FALSE),0),0))&gt;=100,100,(Backdoors!AI12+IF(P66&gt;=0.45,VLOOKUP(Calculator!E23,tbSkills!DH3:DI6,2,FALSE)+IF(AND(Calculator!B8=TRUE,Backdoors!BI5=TRUE),VLOOKUP(Calculator!E23,tbSkills!DH3:DJ6,3,FALSE),0),0)))/100)),1))*IF(VLOOKUP(A66,tbMoveset!A2:K112,11,FALSE)=TRUE,Backdoors!AC5,1))*Q66,0),"")</f>
        <v>0</v>
      </c>
      <c r="U66" s="49">
        <f>VLOOKUP(A66,tbMoveset!A2:G112,7,FALSE)*IFERROR(IF(Backdoors!AI12&gt;=0,1+(IF(Calculator!E40&gt;0,VLOOKUP(Calculator!E40,tbSkills!AI3:AJ5,2,FALSE),Backdoors!AL4)*(IF((Backdoors!AI12+IF(P66&gt;=0.45,VLOOKUP(Calculator!E23,tbSkills!DH3:DI6,2,FALSE)+IF(AND(Calculator!B8=TRUE,Backdoors!BI5=TRUE),VLOOKUP(Calculator!E23,tbSkills!DH3:DJ6,3,FALSE),0),0))&gt;=100,100,(Backdoors!AI12+IF(P66&gt;=0.45,VLOOKUP(Calculator!E23,tbSkills!DH3:DI6,2,FALSE)+IF(AND(Calculator!B8=TRUE,Backdoors!BI5=TRUE),VLOOKUP(Calculator!E23,tbSkills!DH3:DJ6,3,FALSE),0),0)))/100)),1),1)</f>
        <v>0.6</v>
      </c>
      <c r="V66" s="87">
        <f t="shared" si="46"/>
        <v>4</v>
      </c>
      <c r="W66" s="86">
        <f>IFERROR(IF(VLOOKUP(A66,tbMoveset!A2:B112,2,FALSE)="Sever",Backdoors!AY6/100,IF(VLOOKUP(A66,tbMoveset!A2:B112,2,FALSE)="Blunt",Backdoors!AZ6/100,Backdoors!BA6/100)),"")</f>
        <v>0.45</v>
      </c>
      <c r="X66" s="49">
        <f>IFERROR(IF(VLOOKUP(tbMoveset!A66,tbMoveset!A2:H112,8,FALSE)="Other",IF(VLOOKUP(tbMoveset!A66,tbMoveset!A2:I112,9,FALSE)="Fire",Backdoors!BB6,IF(VLOOKUP(tbMoveset!A66,tbMoveset!A2:I112,9,FALSE)="Water",Backdoors!BC6,IF(VLOOKUP(tbMoveset!A66,tbMoveset!A2:I112,9,FALSE)="Thunder",Backdoors!BD6,IF(VLOOKUP(tbMoveset!A66,tbMoveset!A2:I112,9,FALSE)="Ice",Backdoors!BE6,IF(VLOOKUP(tbMoveset!A66,tbMoveset!A2:I112,9,FALSE)="Dragon",Backdoors!BF6,Backdoors!BG6)))))/100,Backdoors!BG6/100),"")</f>
        <v>0</v>
      </c>
      <c r="Y66" s="49">
        <f>IFERROR(IF(VLOOKUP(A66,tbMoveset!A2:J112,10,FALSE)=TRUE,IF((Backdoors!AI12+IF(W66&gt;=0.45,VLOOKUP(Calculator!E23,tbSkills!DH3:DI6,2,FALSE)+IF(AND(Calculator!B8=TRUE,Backdoors!BI6=TRUE),VLOOKUP(Calculator!E23,tbSkills!DH3:DJ6,3,FALSE),0),0))&gt;=0,1+(Backdoors!AL2*(IF((Backdoors!AI12+IF(W66&gt;=0.45,VLOOKUP(Calculator!E23,tbSkills!DH3:DI6,2,FALSE)+IF(AND(Calculator!B8=TRUE,Backdoors!BI6=TRUE),VLOOKUP(Calculator!E23,tbSkills!DH3:DJ6,3,FALSE),0),0))&gt;=100,100,(Backdoors!AI12+IF(W66&gt;=0.45,VLOOKUP(Calculator!E23,tbSkills!DH3:DI6,2,FALSE)+IF(AND(Calculator!B8=TRUE,Backdoors!BI6=TRUE),VLOOKUP(Calculator!E23,tbSkills!DH3:DJ6,3,FALSE),0),0)))/100)),(1-(0.25*((-Backdoors!AI12-IF(W66&gt;=0.45,VLOOKUP(Calculator!E23,tbSkills!DH3:DI6,2,FALSE)+IF(AND(Calculator!B8=TRUE,Backdoors!BI6=TRUE),VLOOKUP(Calculator!E23,tbSkills!DH3:DJ6,3,FALSE),0),0))/100)))),1),"")</f>
        <v>1</v>
      </c>
      <c r="Z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W66)*Y66)*(VLOOKUP(A66,tbMoveset!A2:C112,3,FALSE)/100)*IF(VLOOKUP(A66,tbMoveset!A2:B112,2,FALSE)="Projectile",Backdoors!N10,Backdoors!N9),0),"")</f>
        <v>3</v>
      </c>
      <c r="AA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W66&gt;=0.45,VLOOKUP(Calculator!E23,tbSkills!DH3:DI6,2,FALSE)+IF(AND(Calculator!B8=TRUE,Backdoors!BI6=TRUE),VLOOKUP(Calculator!E23,tbSkills!DH3:DJ6,3,FALSE),0),0))&gt;=100,100,(Backdoors!AI12+IF(W66&gt;=0.45,VLOOKUP(Calculator!E23,tbSkills!DH3:DI6,2,FALSE)+IF(AND(Calculator!B8=TRUE,Backdoors!BI6=TRUE),VLOOKUP(Calculator!E23,tbSkills!DH3:DJ6,3,FALSE),0),0)))/100)),1))*IF(VLOOKUP(A66,tbMoveset!A2:K112,11,FALSE)=TRUE,Backdoors!AC5,1))*X66,0),"")</f>
        <v>0</v>
      </c>
      <c r="AB66" s="49">
        <f>VLOOKUP(A66,tbMoveset!A2:G112,7,FALSE)*IFERROR(IF(Backdoors!AI12&gt;=0,1+(IF(Calculator!E40&gt;0,VLOOKUP(Calculator!E40,tbSkills!AI3:AJ5,2,FALSE),Backdoors!AL4)*(IF((Backdoors!AI12+IF(W66&gt;=0.45,VLOOKUP(Calculator!E23,tbSkills!DH3:DI6,2,FALSE)+IF(AND(Calculator!B8=TRUE,Backdoors!BI6=TRUE),VLOOKUP(Calculator!E23,tbSkills!DH3:DJ6,3,FALSE),0),0))&gt;=100,100,(Backdoors!AI12+IF(W66&gt;=0.45,VLOOKUP(Calculator!E23,tbSkills!DH3:DI6,2,FALSE)+IF(AND(Calculator!B8=TRUE,Backdoors!BI6=TRUE),VLOOKUP(Calculator!E23,tbSkills!DH3:DJ6,3,FALSE),0),0)))/100)),1),1)</f>
        <v>0.6</v>
      </c>
      <c r="AC66" s="87">
        <f t="shared" si="47"/>
        <v>3</v>
      </c>
      <c r="AD66" s="86">
        <f>IFERROR(IF(VLOOKUP(A66,tbMoveset!A2:B112,2,FALSE)="Sever",Backdoors!AY7/100,IF(VLOOKUP(A66,tbMoveset!A2:B112,2,FALSE)="Blunt",Backdoors!AZ7/100,Backdoors!BA7/100)),"")</f>
        <v>0.65</v>
      </c>
      <c r="AE66" s="49">
        <f>IFERROR(IF(VLOOKUP(tbMoveset!A66,tbMoveset!A2:H112,8,FALSE)="Other",IF(VLOOKUP(tbMoveset!A66,tbMoveset!A2:I112,9,FALSE)="Fire",Backdoors!BB7,IF(VLOOKUP(tbMoveset!A66,tbMoveset!A2:I112,9,FALSE)="Water",Backdoors!BC7,IF(VLOOKUP(tbMoveset!A66,tbMoveset!A2:I112,9,FALSE)="Thunder",Backdoors!BD7,IF(VLOOKUP(tbMoveset!A66,tbMoveset!A2:I112,9,FALSE)="Ice",Backdoors!BE7,IF(VLOOKUP(tbMoveset!A66,tbMoveset!A2:I112,9,FALSE)="Dragon",Backdoors!BF7,Backdoors!BG7)))))/100,Backdoors!BG7/100),"")</f>
        <v>0</v>
      </c>
      <c r="AF66" s="49">
        <f>IFERROR(IF(VLOOKUP(A66,tbMoveset!A2:J112,10,FALSE)=TRUE,IF((Backdoors!AI12+IF(AD66&gt;=0.45,VLOOKUP(Calculator!E23,tbSkills!DH3:DI6,2,FALSE)+IF(AND(Calculator!B8=TRUE,Backdoors!BI7=TRUE),VLOOKUP(Calculator!E23,tbSkills!DH3:DJ6,3,FALSE),0),0))&gt;=0,1+(Backdoors!AL2*(IF((Backdoors!AI12+IF(AD66&gt;=0.45,VLOOKUP(Calculator!E23,tbSkills!DH3:DI6,2,FALSE)+IF(AND(Calculator!B8=TRUE,Backdoors!BI7=TRUE),VLOOKUP(Calculator!E23,tbSkills!DH3:DJ6,3,FALSE),0),0))&gt;=100,100,(Backdoors!AI12+IF(AD66&gt;=0.45,VLOOKUP(Calculator!E23,tbSkills!DH3:DI6,2,FALSE)+IF(AND(Calculator!B8=TRUE,Backdoors!BI7=TRUE),VLOOKUP(Calculator!E23,tbSkills!DH3:DJ6,3,FALSE),0),0)))/100)),(1-(0.25*((-Backdoors!AI12-IF(AD66&gt;=0.45,VLOOKUP(Calculator!E23,tbSkills!DH3:DI6,2,FALSE)+IF(AND(Calculator!B8=TRUE,Backdoors!BI7=TRUE),VLOOKUP(Calculator!E23,tbSkills!DH3:DJ6,3,FALSE),0),0))/100)))),1),"")</f>
        <v>1</v>
      </c>
      <c r="AG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D66)*AF66)*(VLOOKUP(A66,tbMoveset!A2:C112,3,FALSE)/100)*IF(VLOOKUP(A66,tbMoveset!A2:B112,2,FALSE)="Projectile",Backdoors!N10,Backdoors!N9),0),"")</f>
        <v>5</v>
      </c>
      <c r="AH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D66&gt;=0.45,VLOOKUP(Calculator!E23,tbSkills!DH3:DI6,2,FALSE)+IF(AND(Calculator!B8=TRUE,Backdoors!BI7=TRUE),VLOOKUP(Calculator!E23,tbSkills!DH3:DJ6,3,FALSE),0),0))&gt;=100,100,(Backdoors!AI12+IF(AD66&gt;=0.45,VLOOKUP(Calculator!E23,tbSkills!DH3:DI6,2,FALSE)+IF(AND(Calculator!B8=TRUE,Backdoors!BI7=TRUE),VLOOKUP(Calculator!E23,tbSkills!DH3:DJ6,3,FALSE),0),0)))/100)),1))*IF(VLOOKUP(A66,tbMoveset!A2:K112,11,FALSE)=TRUE,Backdoors!AC5,1))*AE66,0),"")</f>
        <v>0</v>
      </c>
      <c r="AI66" s="49">
        <f>VLOOKUP(A66,tbMoveset!A2:G112,7,FALSE)*IFERROR(IF(Backdoors!AI12&gt;=0,1+(IF(Calculator!E40&gt;0,VLOOKUP(Calculator!E40,tbSkills!AI3:AJ5,2,FALSE),Backdoors!AL4)*(IF((Backdoors!AI12+IF(AD66&gt;=0.45,VLOOKUP(Calculator!E23,tbSkills!DH3:DI6,2,FALSE)+IF(AND(Calculator!B8=TRUE,Backdoors!BI7=TRUE),VLOOKUP(Calculator!E23,tbSkills!DH3:DJ6,3,FALSE),0),0))&gt;=100,100,(Backdoors!AI12+IF(AD66&gt;=0.45,VLOOKUP(Calculator!E23,tbSkills!DH3:DI6,2,FALSE)+IF(AND(Calculator!B8=TRUE,Backdoors!BI7=TRUE),VLOOKUP(Calculator!E23,tbSkills!DH3:DJ6,3,FALSE),0),0)))/100)),1),1)</f>
        <v>0.6</v>
      </c>
      <c r="AJ66" s="87">
        <f t="shared" si="48"/>
        <v>5</v>
      </c>
      <c r="AK66" s="91">
        <f>IFERROR(IF(VLOOKUP(A66,tbMoveset!A2:B112,2,FALSE)="Sever",Backdoors!AY8/100,IF(VLOOKUP(A66,tbMoveset!A2:B112,2,FALSE)="Blunt",Backdoors!AZ8/100,Backdoors!BA8/100)),"")</f>
        <v>0.45</v>
      </c>
      <c r="AL66" s="49">
        <f>IFERROR(IF(VLOOKUP(tbMoveset!A66,tbMoveset!A2:H112,8,FALSE)="Other",IF(VLOOKUP(tbMoveset!A66,tbMoveset!A2:I112,9,FALSE)="Fire",Backdoors!BB8,IF(VLOOKUP(tbMoveset!A66,tbMoveset!A2:I112,9,FALSE)="Water",Backdoors!BC8,IF(VLOOKUP(tbMoveset!A66,tbMoveset!A2:I112,9,FALSE)="Thunder",Backdoors!BD8,IF(VLOOKUP(tbMoveset!A66,tbMoveset!A2:I112,9,FALSE)="Ice",Backdoors!BE8,IF(VLOOKUP(tbMoveset!A66,tbMoveset!A2:I112,9,FALSE)="Dragon",Backdoors!BF8,Backdoors!BG8)))))/100,Backdoors!BG8/100),"")</f>
        <v>0</v>
      </c>
      <c r="AM66" s="49">
        <f>IFERROR(IF(VLOOKUP(A66,tbMoveset!A2:J112,10,FALSE)=TRUE,IF((Backdoors!AI12+IF(AK66&gt;=0.45,VLOOKUP(Calculator!E23,tbSkills!DH3:DI6,2,FALSE)+IF(AND(Calculator!B8=TRUE,Backdoors!BI8=TRUE),VLOOKUP(Calculator!E23,tbSkills!DH3:DJ6,3,FALSE),0),0))&gt;=0,1+(Backdoors!AL2*(IF((Backdoors!AI12+IF(AK66&gt;=0.45,VLOOKUP(Calculator!E23,tbSkills!DH3:DI6,2,FALSE)+IF(AND(Calculator!B8=TRUE,Backdoors!BI8=TRUE),VLOOKUP(Calculator!E23,tbSkills!DH3:DJ6,3,FALSE),0),0))&gt;=100,100,(Backdoors!AI12+IF(AK66&gt;=0.45,VLOOKUP(Calculator!E23,tbSkills!DH3:DI6,2,FALSE)+IF(AND(Calculator!B8=TRUE,Backdoors!BI8=TRUE),VLOOKUP(Calculator!E23,tbSkills!DH3:DJ6,3,FALSE),0),0)))/100)),(1-(0.25*((-Backdoors!AI12-IF(AK66&gt;=0.45,VLOOKUP(Calculator!E23,tbSkills!DH3:DI6,2,FALSE)+IF(AND(Calculator!B8=TRUE,Backdoors!BI8=TRUE),VLOOKUP(Calculator!E23,tbSkills!DH3:DJ6,3,FALSE),0),0))/100)))),1),"")</f>
        <v>1</v>
      </c>
      <c r="AN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K66)*AM66)*(VLOOKUP(A66,tbMoveset!A2:C112,3,FALSE)/100)*IF(VLOOKUP(A66,tbMoveset!A2:B112,2,FALSE)="Projectile",Backdoors!N10,Backdoors!N9),0),"")</f>
        <v>3</v>
      </c>
      <c r="AO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K66&gt;=0.45,VLOOKUP(Calculator!E23,tbSkills!DH3:DI6,2,FALSE)+IF(AND(Calculator!B8=TRUE,Backdoors!BI8=TRUE),VLOOKUP(Calculator!E23,tbSkills!DH3:DJ6,3,FALSE),0),0))&gt;=100,100,(Backdoors!AI12+IF(AK66&gt;=0.45,VLOOKUP(Calculator!E23,tbSkills!DH3:DI6,2,FALSE)+IF(AND(Calculator!B8=TRUE,Backdoors!BI8=TRUE),VLOOKUP(Calculator!E23,tbSkills!DH3:DJ6,3,FALSE),0),0)))/100)),1))*IF(VLOOKUP(A66,tbMoveset!A2:K112,11,FALSE)=TRUE,Backdoors!AC5,1))*AL66,0),"")</f>
        <v>0</v>
      </c>
      <c r="AP66" s="49">
        <f>VLOOKUP(A66,tbMoveset!A2:G112,7,FALSE)*IFERROR(IF(Backdoors!AI12&gt;=0,1+(IF(Calculator!E40&gt;0,VLOOKUP(Calculator!E40,tbSkills!AI3:AJ5,2,FALSE),Backdoors!AL4)*(IF((Backdoors!AI12+IF(AK66&gt;=0.45,VLOOKUP(Calculator!E23,tbSkills!DH3:DI6,2,FALSE)+IF(AND(Calculator!B8=TRUE,Backdoors!BI8=TRUE),VLOOKUP(Calculator!E23,tbSkills!DH3:DJ6,3,FALSE),0),0))&gt;=100,100,(Backdoors!AI12+IF(AK66&gt;=0.45,VLOOKUP(Calculator!E23,tbSkills!DH3:DI6,2,FALSE)+IF(AND(Calculator!B8=TRUE,Backdoors!BI8=TRUE),VLOOKUP(Calculator!E23,tbSkills!DH3:DJ6,3,FALSE),0),0)))/100)),1),1)</f>
        <v>0.6</v>
      </c>
      <c r="AQ66" s="87">
        <f t="shared" si="49"/>
        <v>3</v>
      </c>
      <c r="AR66" s="86">
        <f>IFERROR(IF(VLOOKUP(A66,tbMoveset!A2:B112,2,FALSE)="Sever",Backdoors!AY9/100,IF(VLOOKUP(A66,tbMoveset!A2:B112,2,FALSE)="Blunt",Backdoors!AZ9/100,Backdoors!BA9/100)),"")</f>
        <v>0.45</v>
      </c>
      <c r="AS66" s="49">
        <f>IFERROR(IF(VLOOKUP(tbMoveset!A66,tbMoveset!A2:H112,8,FALSE)="Other",IF(VLOOKUP(tbMoveset!A66,tbMoveset!A2:I112,9,FALSE)="Fire",Backdoors!BB9,IF(VLOOKUP(tbMoveset!A66,tbMoveset!A2:I112,9,FALSE)="Water",Backdoors!BC9,IF(VLOOKUP(tbMoveset!A66,tbMoveset!A2:I112,9,FALSE)="Thunder",Backdoors!BD9,IF(VLOOKUP(tbMoveset!A66,tbMoveset!A2:I112,9,FALSE)="Ice",Backdoors!BE9,IF(VLOOKUP(tbMoveset!A66,tbMoveset!A2:I112,9,FALSE)="Dragon",Backdoors!BF9,Backdoors!BG9)))))/100,Backdoors!BG9/100),"")</f>
        <v>0</v>
      </c>
      <c r="AT66" s="49">
        <f>IFERROR(IF(VLOOKUP(A66,tbMoveset!A2:J112,10,FALSE)=TRUE,IF((Backdoors!AI12+IF(AR66&gt;=0.45,VLOOKUP(Calculator!E23,tbSkills!DH3:DI6,2,FALSE)+IF(AND(Calculator!B8=TRUE,Backdoors!BI9=TRUE),VLOOKUP(Calculator!E23,tbSkills!DH3:DJ6,3,FALSE),0),0))&gt;=0,1+(Backdoors!AL2*(IF((Backdoors!AI12+IF(AR66&gt;=0.45,VLOOKUP(Calculator!E23,tbSkills!DH3:DI6,2,FALSE)+IF(AND(Calculator!B8=TRUE,Backdoors!BI9=TRUE),VLOOKUP(Calculator!E23,tbSkills!DH3:DJ6,3,FALSE),0),0))&gt;=100,100,(Backdoors!AI12+IF(AR66&gt;=0.45,VLOOKUP(Calculator!E23,tbSkills!DH3:DI6,2,FALSE)+IF(AND(Calculator!B8=TRUE,Backdoors!BI9=TRUE),VLOOKUP(Calculator!E23,tbSkills!DH3:DJ6,3,FALSE),0),0)))/100)),(1-(0.25*((-Backdoors!AI12-IF(AR66&gt;=0.45,VLOOKUP(Calculator!E23,tbSkills!DH3:DI6,2,FALSE)+IF(AND(Calculator!B8=TRUE,Backdoors!BI9=TRUE),VLOOKUP(Calculator!E23,tbSkills!DH3:DJ6,3,FALSE),0),0))/100)))),1),"")</f>
        <v>1</v>
      </c>
      <c r="AU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R66)*AT66)*(VLOOKUP(A66,tbMoveset!A2:C112,3,FALSE)/100)*IF(VLOOKUP(A66,tbMoveset!A2:B112,2,FALSE)="Projectile",Backdoors!N10,Backdoors!N9),0),"")</f>
        <v>3</v>
      </c>
      <c r="AV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R66&gt;=0.45,VLOOKUP(Calculator!E23,tbSkills!DH3:DI6,2,FALSE)+IF(AND(Calculator!B8=TRUE,Backdoors!BI9=TRUE),VLOOKUP(Calculator!E23,tbSkills!DH3:DJ6,3,FALSE),0),0))&gt;=100,100,(Backdoors!AI12+IF(AR66&gt;=0.45,VLOOKUP(Calculator!E23,tbSkills!DH3:DI6,2,FALSE)+IF(AND(Calculator!B8=TRUE,Backdoors!BI9=TRUE),VLOOKUP(Calculator!E23,tbSkills!DH3:DJ6,3,FALSE),0),0)))/100)),1))*IF(VLOOKUP(A66,tbMoveset!A2:K112,11,FALSE)=TRUE,Backdoors!AC5,1))*AS66,0),"")</f>
        <v>0</v>
      </c>
      <c r="AW66" s="49">
        <f>VLOOKUP(A66,tbMoveset!A2:G112,7,FALSE)*IFERROR(IF(Backdoors!AI12&gt;=0,1+(IF(Calculator!E40&gt;0,VLOOKUP(Calculator!E40,tbSkills!AI3:AJ5,2,FALSE),Backdoors!AL4)*(IF((Backdoors!AI12+IF(AR66&gt;=0.45,VLOOKUP(Calculator!E23,tbSkills!DH3:DI6,2,FALSE)+IF(AND(Calculator!B8=TRUE,Backdoors!BI9=TRUE),VLOOKUP(Calculator!E23,tbSkills!DH3:DJ6,3,FALSE),0),0))&gt;=100,100,(Backdoors!AI12+IF(AR66&gt;=0.45,VLOOKUP(Calculator!E23,tbSkills!DH3:DI6,2,FALSE)+IF(AND(Calculator!B8=TRUE,Backdoors!BI9=TRUE),VLOOKUP(Calculator!E23,tbSkills!DH3:DJ6,3,FALSE),0),0)))/100)),1),1)</f>
        <v>0.6</v>
      </c>
      <c r="AX66" s="87">
        <f t="shared" si="50"/>
        <v>3</v>
      </c>
      <c r="AY66" s="86">
        <f>IFERROR(IF(VLOOKUP(A66,tbMoveset!A2:B112,2,FALSE)="Sever",Backdoors!AY10/100,IF(VLOOKUP(A66,tbMoveset!A2:B112,2,FALSE)="Blunt",Backdoors!AZ10/100,Backdoors!BA10/100)),"")</f>
        <v>0.9</v>
      </c>
      <c r="AZ66" s="49">
        <f>IFERROR(IF(VLOOKUP(tbMoveset!A66,tbMoveset!A2:H112,8,FALSE)="Other",IF(VLOOKUP(tbMoveset!A66,tbMoveset!A2:I112,9,FALSE)="Fire",Backdoors!BB10,IF(VLOOKUP(tbMoveset!A66,tbMoveset!A2:I112,9,FALSE)="Water",Backdoors!BC10,IF(VLOOKUP(tbMoveset!A66,tbMoveset!A2:I112,9,FALSE)="Thunder",Backdoors!BD10,IF(VLOOKUP(tbMoveset!A66,tbMoveset!A2:I112,9,FALSE)="Ice",Backdoors!BE10,IF(VLOOKUP(tbMoveset!A66,tbMoveset!A2:I112,9,FALSE)="Dragon",Backdoors!BF10,Backdoors!BG10)))))/100,Backdoors!BG10/100),"")</f>
        <v>0</v>
      </c>
      <c r="BA66" s="49">
        <f>IFERROR(IF(VLOOKUP(A66,tbMoveset!A2:J112,10,FALSE)=TRUE,IF((Backdoors!AI12+IF(AY66&gt;=0.45,VLOOKUP(Calculator!E23,tbSkills!DH3:DI6,2,FALSE)+IF(AND(Calculator!B8=TRUE,Backdoors!BI10=TRUE),VLOOKUP(Calculator!E23,tbSkills!DH3:DJ6,3,FALSE),0),0))&gt;=0,1+(Backdoors!AL2*(IF((Backdoors!AI12+IF(AY66&gt;=0.45,VLOOKUP(Calculator!E23,tbSkills!DH3:DI6,2,FALSE)+IF(AND(Calculator!B8=TRUE,Backdoors!BI10=TRUE),VLOOKUP(Calculator!E23,tbSkills!DH3:DJ6,3,FALSE),0),0))&gt;=100,100,(Backdoors!AI12+IF(AY66&gt;=0.45,VLOOKUP(Calculator!E23,tbSkills!DH3:DI6,2,FALSE)+IF(AND(Calculator!B8=TRUE,Backdoors!BI10=TRUE),VLOOKUP(Calculator!E23,tbSkills!DH3:DJ6,3,FALSE),0),0)))/100)),(1-(0.25*((-Backdoors!AI12-IF(AY66&gt;=0.45,VLOOKUP(Calculator!E23,tbSkills!DH3:DI6,2,FALSE)+IF(AND(Calculator!B8=TRUE,Backdoors!BI10=TRUE),VLOOKUP(Calculator!E23,tbSkills!DH3:DJ6,3,FALSE),0),0))/100)))),1),"")</f>
        <v>1</v>
      </c>
      <c r="BB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Y66)*BA66)*(VLOOKUP(A66,tbMoveset!A2:C112,3,FALSE)/100)*IF(VLOOKUP(A66,tbMoveset!A2:B112,2,FALSE)="Projectile",Backdoors!N10,Backdoors!N9),0),"")</f>
        <v>7</v>
      </c>
      <c r="BC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Y66&gt;=0.45,VLOOKUP(Calculator!E23,tbSkills!DH3:DI6,2,FALSE)+IF(AND(Calculator!B8=TRUE,Backdoors!BI10=TRUE),VLOOKUP(Calculator!E23,tbSkills!DH3:DJ6,3,FALSE),0),0))&gt;=100,100,(Backdoors!AI12+IF(AY66&gt;=0.45,VLOOKUP(Calculator!E23,tbSkills!DH3:DI6,2,FALSE)+IF(AND(Calculator!B8=TRUE,Backdoors!BI10=TRUE),VLOOKUP(Calculator!E23,tbSkills!DH3:DJ6,3,FALSE),0),0)))/100)),1))*IF(VLOOKUP(A66,tbMoveset!A2:K112,11,FALSE)=TRUE,Backdoors!AC5,1))*AZ66,0),"")</f>
        <v>0</v>
      </c>
      <c r="BD66" s="49">
        <f>VLOOKUP(A66,tbMoveset!A2:G112,7,FALSE)*IFERROR(IF(Backdoors!AI12&gt;=0,1+(IF(Calculator!E40&gt;0,VLOOKUP(Calculator!E40,tbSkills!AI3:AJ5,2,FALSE),Backdoors!AL4)*(IF((Backdoors!AI12+IF(AY66&gt;=0.45,VLOOKUP(Calculator!E23,tbSkills!DH3:DI6,2,FALSE)+IF(AND(Calculator!B8=TRUE,Backdoors!BI10=TRUE),VLOOKUP(Calculator!E23,tbSkills!DH3:DJ6,3,FALSE),0),0))&gt;=100,100,(Backdoors!AI12+IF(AY66&gt;=0.45,VLOOKUP(Calculator!E23,tbSkills!DH3:DI6,2,FALSE)+IF(AND(Calculator!B8=TRUE,Backdoors!BI10=TRUE),VLOOKUP(Calculator!E23,tbSkills!DH3:DJ6,3,FALSE),0),0)))/100)),1),1)</f>
        <v>0.6</v>
      </c>
      <c r="BE66" s="87">
        <f t="shared" si="3"/>
        <v>7</v>
      </c>
      <c r="BF66" s="86" t="str">
        <f>IFERROR(IF(VLOOKUP(A66,tbMoveset!A2:B112,2,FALSE)="Sever",Backdoors!AY11/100,IF(VLOOKUP(A66,tbMoveset!A2:B112,2,FALSE)="Blunt",Backdoors!AZ11/100,Backdoors!BA11/100)),"")</f>
        <v/>
      </c>
      <c r="BG66" s="49">
        <f>IFERROR(IF(VLOOKUP(tbMoveset!A66,tbMoveset!A2:H112,8,FALSE)="Other",IF(VLOOKUP(tbMoveset!A66,tbMoveset!A2:I112,9,FALSE)="Fire",Backdoors!BB11,IF(VLOOKUP(tbMoveset!A66,tbMoveset!A2:I112,9,FALSE)="Water",Backdoors!BC11,IF(VLOOKUP(tbMoveset!A66,tbMoveset!A2:I112,9,FALSE)="Thunder",Backdoors!BD11,IF(VLOOKUP(tbMoveset!A66,tbMoveset!A2:I112,9,FALSE)="Ice",Backdoors!BE11,IF(VLOOKUP(tbMoveset!A66,tbMoveset!A2:I112,9,FALSE)="Dragon",Backdoors!BF11,Backdoors!BG11)))))/100,Backdoors!BG11/100),"")</f>
        <v>0</v>
      </c>
      <c r="BH66" s="49">
        <f>IFERROR(IF(VLOOKUP(A66,tbMoveset!A2:J112,10,FALSE)=TRUE,IF((Backdoors!AI12+IF(BF66&gt;=0.45,VLOOKUP(Calculator!E23,tbSkills!DH3:DI6,2,FALSE)+IF(AND(Calculator!B8=TRUE,Backdoors!BI11=TRUE),VLOOKUP(Calculator!E23,tbSkills!DH3:DJ6,3,FALSE),0),0))&gt;=0,1+(Backdoors!AL2*(IF((Backdoors!AI12+IF(BF66&gt;=0.45,VLOOKUP(Calculator!E23,tbSkills!DH3:DI6,2,FALSE)+IF(AND(Calculator!B8=TRUE,Backdoors!BI11=TRUE),VLOOKUP(Calculator!E23,tbSkills!DH3:DJ6,3,FALSE),0),0))&gt;=100,100,(Backdoors!AI12+IF(BF66&gt;=0.45,VLOOKUP(Calculator!E23,tbSkills!DH3:DI6,2,FALSE)+IF(AND(Calculator!B8=TRUE,Backdoors!BI11=TRUE),VLOOKUP(Calculator!E23,tbSkills!DH3:DJ6,3,FALSE),0),0)))/100)),(1-(0.25*((-Backdoors!AI12-IF(BF66&gt;=0.45,VLOOKUP(Calculator!E23,tbSkills!DH3:DI6,2,FALSE)+IF(AND(Calculator!B8=TRUE,Backdoors!BI11=TRUE),VLOOKUP(Calculator!E23,tbSkills!DH3:DJ6,3,FALSE),0),0))/100)))),1),"")</f>
        <v>1</v>
      </c>
      <c r="BI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F66)*BH66)*(VLOOKUP(A66,tbMoveset!A2:C112,3,FALSE)/100)*IF(VLOOKUP(A66,tbMoveset!A2:B112,2,FALSE)="Projectile",Backdoors!N10,Backdoors!N9),0),"")</f>
        <v/>
      </c>
      <c r="BJ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F66&gt;=0.45,VLOOKUP(Calculator!E23,tbSkills!DH3:DI6,2,FALSE)+IF(AND(Calculator!B8=TRUE,Backdoors!BI11=TRUE),VLOOKUP(Calculator!E23,tbSkills!DH3:DJ6,3,FALSE),0),0))&gt;=100,100,(Backdoors!AI12+IF(BF66&gt;=0.45,VLOOKUP(Calculator!E23,tbSkills!DH3:DI6,2,FALSE)+IF(AND(Calculator!B8=TRUE,Backdoors!BI11=TRUE),VLOOKUP(Calculator!E23,tbSkills!DH3:DJ6,3,FALSE),0),0)))/100)),1))*IF(VLOOKUP(A66,tbMoveset!A2:K112,11,FALSE)=TRUE,Backdoors!AC5,1))*BG66,0),"")</f>
        <v>0</v>
      </c>
      <c r="BK66" s="49">
        <f>VLOOKUP(A66,tbMoveset!A2:G112,7,FALSE)*IFERROR(IF(Backdoors!AI12&gt;=0,1+(IF(Calculator!E40&gt;0,VLOOKUP(Calculator!E40,tbSkills!AI3:AJ5,2,FALSE),Backdoors!AL4)*(IF((Backdoors!AI12+IF(BF66&gt;=0.45,VLOOKUP(Calculator!E23,tbSkills!DH3:DI6,2,FALSE)+IF(AND(Calculator!B8=TRUE,Backdoors!BI11=TRUE),VLOOKUP(Calculator!E23,tbSkills!DH3:DJ6,3,FALSE),0),0))&gt;=100,100,(Backdoors!AI12+IF(BF66&gt;=0.45,VLOOKUP(Calculator!E23,tbSkills!DH3:DI6,2,FALSE)+IF(AND(Calculator!B8=TRUE,Backdoors!BI11=TRUE),VLOOKUP(Calculator!E23,tbSkills!DH3:DJ6,3,FALSE),0),0)))/100)),1),1)</f>
        <v>0.6</v>
      </c>
      <c r="BL66" s="87">
        <f t="shared" si="4"/>
        <v>0</v>
      </c>
      <c r="BM66" s="86" t="str">
        <f>IFERROR(IF(VLOOKUP(A66,tbMoveset!A2:B112,2,FALSE)="Sever",Backdoors!AY12/100,IF(VLOOKUP(A66,tbMoveset!A2:B112,2,FALSE)="Blunt",Backdoors!AZ12/100,Backdoors!BA12/100)),"")</f>
        <v/>
      </c>
      <c r="BN66" s="49">
        <f>IFERROR(IF(VLOOKUP(tbMoveset!A66,tbMoveset!A2:H112,8,FALSE)="Other",IF(VLOOKUP(tbMoveset!A66,tbMoveset!A2:I112,9,FALSE)="Fire",Backdoors!BB12,IF(VLOOKUP(tbMoveset!A66,tbMoveset!A2:I112,9,FALSE)="Water",Backdoors!BC12,IF(VLOOKUP(tbMoveset!A66,tbMoveset!A2:I112,9,FALSE)="Thunder",Backdoors!BD12,IF(VLOOKUP(tbMoveset!A66,tbMoveset!A2:I112,9,FALSE)="Ice",Backdoors!BE12,IF(VLOOKUP(tbMoveset!A66,tbMoveset!A2:I112,9,FALSE)="Dragon",Backdoors!BF12,Backdoors!BG12)))))/100,Backdoors!BG12/100),"")</f>
        <v>0</v>
      </c>
      <c r="BO66" s="49">
        <f>IFERROR(IF(VLOOKUP(A66,tbMoveset!A2:J112,10,FALSE)=TRUE,IF((Backdoors!AI12+IF(BM66&gt;=0.45,VLOOKUP(Calculator!E23,tbSkills!DH3:DI6,2,FALSE)+IF(AND(Calculator!B8=TRUE,Backdoors!BI12=TRUE),VLOOKUP(Calculator!E23,tbSkills!DH3:DJ6,3,FALSE),0),0))&gt;=0,1+(Backdoors!AL2*(IF((Backdoors!AI12+IF(BM66&gt;=0.45,VLOOKUP(Calculator!E23,tbSkills!DH3:DI6,2,FALSE)+IF(AND(Calculator!B8=TRUE,Backdoors!BI12=TRUE),VLOOKUP(Calculator!E23,tbSkills!DH3:DJ6,3,FALSE),0),0))&gt;=100,100,(Backdoors!AI12+IF(BM66&gt;=0.45,VLOOKUP(Calculator!E23,tbSkills!DH3:DI6,2,FALSE)+IF(AND(Calculator!B8=TRUE,Backdoors!BI12=TRUE),VLOOKUP(Calculator!E23,tbSkills!DH3:DJ6,3,FALSE),0),0)))/100)),(1-(0.25*((-Backdoors!AI12-IF(BM66&gt;=0.45,VLOOKUP(Calculator!E23,tbSkills!DH3:DI6,2,FALSE)+IF(AND(Calculator!B8=TRUE,Backdoors!BI12=TRUE),VLOOKUP(Calculator!E23,tbSkills!DH3:DJ6,3,FALSE),0),0))/100)))),1),"")</f>
        <v>1</v>
      </c>
      <c r="BP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M66)*BO66)*(VLOOKUP(A66,tbMoveset!A2:C112,3,FALSE)/100)*IF(VLOOKUP(A66,tbMoveset!A2:B112,2,FALSE)="Projectile",Backdoors!N10,Backdoors!N9),0),"")</f>
        <v/>
      </c>
      <c r="BQ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M66&gt;=0.45,VLOOKUP(Calculator!E23,tbSkills!DH3:DI6,2,FALSE)+IF(AND(Calculator!B8=TRUE,Backdoors!BI12=TRUE),VLOOKUP(Calculator!E23,tbSkills!DH3:DJ6,3,FALSE),0),0))&gt;=100,100,(Backdoors!AI12+IF(BM66&gt;=0.45,VLOOKUP(Calculator!E23,tbSkills!DH3:DI6,2,FALSE)+IF(AND(Calculator!B8=TRUE,Backdoors!BI12=TRUE),VLOOKUP(Calculator!E23,tbSkills!DH3:DJ6,3,FALSE),0),0)))/100)),1))*IF(VLOOKUP(A66,tbMoveset!A2:K112,11,FALSE)=TRUE,Backdoors!AC5,1))*BN66,0),"")</f>
        <v>0</v>
      </c>
      <c r="BR66" s="49">
        <f>VLOOKUP(A66,tbMoveset!A2:G112,7,FALSE)*IFERROR(IF(Backdoors!AI12&gt;=0,1+(IF(Calculator!E40&gt;0,VLOOKUP(Calculator!E40,tbSkills!AI3:AJ5,2,FALSE),Backdoors!AL4)*(IF((Backdoors!AI12+IF(BM66&gt;=0.45,VLOOKUP(Calculator!E23,tbSkills!DH3:DI6,2,FALSE)+IF(AND(Calculator!B8=TRUE,Backdoors!BI12=TRUE),VLOOKUP(Calculator!E23,tbSkills!DH3:DJ6,3,FALSE),0),0))&gt;=100,100,(Backdoors!AI12+IF(BM66&gt;=0.45,VLOOKUP(Calculator!E23,tbSkills!DH3:DI6,2,FALSE)+IF(AND(Calculator!B8=TRUE,Backdoors!BI12=TRUE),VLOOKUP(Calculator!E23,tbSkills!DH3:DJ6,3,FALSE),0),0)))/100)),1),1)</f>
        <v>0.6</v>
      </c>
      <c r="BS66" s="87">
        <f t="shared" si="39"/>
        <v>0</v>
      </c>
      <c r="BT66" s="86" t="str">
        <f>IFERROR(IF(VLOOKUP(A66,tbMoveset!A2:B112,2,FALSE)="Sever",Backdoors!AY13/100,IF(VLOOKUP(A66,tbMoveset!A2:B112,2,FALSE)="Blunt",Backdoors!AZ13/100,Backdoors!BA13/100)),"")</f>
        <v/>
      </c>
      <c r="BU66" s="49">
        <f>IFERROR(IF(VLOOKUP(tbMoveset!A66,tbMoveset!A2:H112,8,FALSE)="Other",IF(VLOOKUP(tbMoveset!A66,tbMoveset!A2:I112,9,FALSE)="Fire",Backdoors!BB13,IF(VLOOKUP(tbMoveset!A66,tbMoveset!A2:I112,9,FALSE)="Water",Backdoors!BC13,IF(VLOOKUP(tbMoveset!A66,tbMoveset!A2:I112,9,FALSE)="Thunder",Backdoors!BD13,IF(VLOOKUP(tbMoveset!A66,tbMoveset!A2:I112,9,FALSE)="Ice",Backdoors!BE13,IF(VLOOKUP(tbMoveset!A66,tbMoveset!A2:I112,9,FALSE)="Dragon",Backdoors!BF13,Backdoors!BG13)))))/100,Backdoors!BG13/100),"")</f>
        <v>0</v>
      </c>
      <c r="BV66" s="49">
        <f>IFERROR(IF(VLOOKUP(A66,tbMoveset!A2:J112,10,FALSE)=TRUE,IF((Backdoors!AI12+IF(BT66&gt;=0.45,VLOOKUP(Calculator!E23,tbSkills!DH3:DI6,2,FALSE)+IF(AND(Calculator!B8=TRUE,Backdoors!BI13=TRUE),VLOOKUP(Calculator!E23,tbSkills!DH3:DJ6,3,FALSE),0),0))&gt;=0,1+(Backdoors!AL2*(IF((Backdoors!AI12+IF(BT66&gt;=0.45,VLOOKUP(Calculator!E23,tbSkills!DH3:DI6,2,FALSE)+IF(AND(Calculator!B8=TRUE,Backdoors!BI13=TRUE),VLOOKUP(Calculator!E23,tbSkills!DH3:DJ6,3,FALSE),0),0))&gt;=100,100,(Backdoors!AI12+IF(BT66&gt;=0.45,VLOOKUP(Calculator!E23,tbSkills!DH3:DI6,2,FALSE)+IF(AND(Calculator!B8=TRUE,Backdoors!BI13=TRUE),VLOOKUP(Calculator!E23,tbSkills!DH3:DJ6,3,FALSE),0),0)))/100)),(1-(0.25*((-Backdoors!AI12-IF(BT66&gt;=0.45,VLOOKUP(Calculator!E23,tbSkills!DH3:DI6,2,FALSE)+IF(AND(Calculator!B8=TRUE,Backdoors!BI13=TRUE),VLOOKUP(Calculator!E23,tbSkills!DH3:DJ6,3,FALSE),0),0))/100)))),1),"")</f>
        <v>1</v>
      </c>
      <c r="BW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T66)*BV66)*(VLOOKUP(A66,tbMoveset!A2:C112,3,FALSE)/100)*IF(VLOOKUP(A66,tbMoveset!A2:B112,2,FALSE)="Projectile",Backdoors!N10,Backdoors!N9),0),"")</f>
        <v/>
      </c>
      <c r="BX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T66&gt;=0.45,VLOOKUP(Calculator!E23,tbSkills!DH3:DI6,2,FALSE)+IF(AND(Calculator!B8=TRUE,Backdoors!BI13=TRUE),VLOOKUP(Calculator!E23,tbSkills!DH3:DJ6,3,FALSE),0),0))&gt;=100,100,(Backdoors!AI12+IF(BT66&gt;=0.45,VLOOKUP(Calculator!E23,tbSkills!DH3:DI6,2,FALSE)+IF(AND(Calculator!B8=TRUE,Backdoors!BI13=TRUE),VLOOKUP(Calculator!E23,tbSkills!DH3:DJ6,3,FALSE),0),0)))/100)),1))*IF(VLOOKUP(A66,tbMoveset!A2:K112,11,FALSE)=TRUE,Backdoors!AC5,1))*BU66,0),"")</f>
        <v>0</v>
      </c>
      <c r="BY66" s="49">
        <f>VLOOKUP(A66,tbMoveset!A2:G112,7,FALSE)*IFERROR(IF(Backdoors!AI12&gt;=0,1+(IF(Calculator!E40&gt;0,VLOOKUP(Calculator!E40,tbSkills!AI3:AJ5,2,FALSE),Backdoors!AL4)*(IF((Backdoors!AI12+IF(BT66&gt;=0.45,VLOOKUP(Calculator!E23,tbSkills!DH3:DI6,2,FALSE)+IF(AND(Calculator!B8=TRUE,Backdoors!BI13=TRUE),VLOOKUP(Calculator!E23,tbSkills!DH3:DJ6,3,FALSE),0),0))&gt;=100,100,(Backdoors!AI12+IF(BT66&gt;=0.45,VLOOKUP(Calculator!E23,tbSkills!DH3:DI6,2,FALSE)+IF(AND(Calculator!B8=TRUE,Backdoors!BI13=TRUE),VLOOKUP(Calculator!E23,tbSkills!DH3:DJ6,3,FALSE),0),0)))/100)),1),1)</f>
        <v>0.6</v>
      </c>
      <c r="BZ66" s="87">
        <f t="shared" si="5"/>
        <v>0</v>
      </c>
      <c r="CA66" s="86" t="str">
        <f>IFERROR(IF(VLOOKUP(A66,tbMoveset!A2:B112,2,FALSE)="Sever",Backdoors!AY14/100,IF(VLOOKUP(A66,tbMoveset!A2:B112,2,FALSE)="Blunt",Backdoors!AZ14/100,Backdoors!BA14/100)),"")</f>
        <v/>
      </c>
      <c r="CB66" s="49">
        <f>IFERROR(IF(VLOOKUP(tbMoveset!A66,tbMoveset!A2:H112,8,FALSE)="Other",IF(VLOOKUP(tbMoveset!A66,tbMoveset!A2:I112,9,FALSE)="Fire",Backdoors!BB14,IF(VLOOKUP(tbMoveset!A66,tbMoveset!A2:I112,9,FALSE)="Water",Backdoors!BC14,IF(VLOOKUP(tbMoveset!A66,tbMoveset!A2:I112,9,FALSE)="Thunder",Backdoors!BD14,IF(VLOOKUP(tbMoveset!A66,tbMoveset!A2:I112,9,FALSE)="Ice",Backdoors!BE14,IF(VLOOKUP(tbMoveset!A66,tbMoveset!A2:I112,9,FALSE)="Dragon",Backdoors!BF14,Backdoors!BG14)))))/100,Backdoors!BG14/100),"")</f>
        <v>0</v>
      </c>
      <c r="CC66" s="49">
        <f>IFERROR(IF(VLOOKUP(A66,tbMoveset!A2:J112,10,FALSE)=TRUE,IF((Backdoors!AI12+IF(CA66&gt;=0.45,VLOOKUP(Calculator!E23,tbSkills!DH3:DI6,2,FALSE)+IF(AND(Calculator!B8=TRUE,Backdoors!BI14=TRUE),VLOOKUP(Calculator!E23,tbSkills!DH3:DJ6,3,FALSE),0),0))&gt;=0,1+(Backdoors!AL2*(IF((Backdoors!AI12+IF(CA66&gt;=0.45,VLOOKUP(Calculator!E23,tbSkills!DH3:DI6,2,FALSE)+IF(AND(Calculator!B8=TRUE,Backdoors!BI14=TRUE),VLOOKUP(Calculator!E23,tbSkills!DH3:DJ6,3,FALSE),0),0))&gt;=100,100,(Backdoors!AI12+IF(CA66&gt;=0.45,VLOOKUP(Calculator!E23,tbSkills!DH3:DI6,2,FALSE)+IF(AND(Calculator!B8=TRUE,Backdoors!BI14=TRUE),VLOOKUP(Calculator!E23,tbSkills!DH3:DJ6,3,FALSE),0),0)))/100)),(1-(0.25*((-Backdoors!AI12-IF(CA66&gt;=0.45,VLOOKUP(Calculator!E23,tbSkills!DH3:DI6,2,FALSE)+IF(AND(Calculator!B8=TRUE,Backdoors!BI14=TRUE),VLOOKUP(Calculator!E23,tbSkills!DH3:DJ6,3,FALSE),0),0))/100)))),1),"")</f>
        <v>1</v>
      </c>
      <c r="CD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A66)*CC66)*(VLOOKUP(A66,tbMoveset!A2:C112,3,FALSE)/100)*IF(VLOOKUP(A66,tbMoveset!A2:B112,2,FALSE)="Projectile",Backdoors!N10,Backdoors!N9),0),"")</f>
        <v/>
      </c>
      <c r="CE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A66&gt;=0.45,VLOOKUP(Calculator!E23,tbSkills!DH3:DI6,2,FALSE)+IF(AND(Calculator!B8=TRUE,Backdoors!BI14=TRUE),VLOOKUP(Calculator!E23,tbSkills!DH3:DJ6,3,FALSE),0),0))&gt;=100,100,(Backdoors!AI12+IF(CA66&gt;=0.45,VLOOKUP(Calculator!E23,tbSkills!DH3:DI6,2,FALSE)+IF(AND(Calculator!B8=TRUE,Backdoors!BI14=TRUE),VLOOKUP(Calculator!E23,tbSkills!DH3:DJ6,3,FALSE),0),0)))/100)),1))*IF(VLOOKUP(A66,tbMoveset!A2:K112,11,FALSE)=TRUE,Backdoors!AC5,1))*CB66,0),"")</f>
        <v>0</v>
      </c>
      <c r="CF66" s="49">
        <f>VLOOKUP(A66,tbMoveset!A2:G112,7,FALSE)*IFERROR(IF(Backdoors!AI12&gt;=0,1+(IF(Calculator!E40&gt;0,VLOOKUP(Calculator!E40,tbSkills!AI3:AJ5,2,FALSE),Backdoors!AL4)*(IF((Backdoors!AI12+IF(CA66&gt;=0.45,VLOOKUP(Calculator!E23,tbSkills!DH3:DI6,2,FALSE)+IF(AND(Calculator!B8=TRUE,Backdoors!BI14=TRUE),VLOOKUP(Calculator!E23,tbSkills!DH3:DJ6,3,FALSE),0),0))&gt;=100,100,(Backdoors!AI12+IF(CA66&gt;=0.45,VLOOKUP(Calculator!E23,tbSkills!DH3:DI6,2,FALSE)+IF(AND(Calculator!B8=TRUE,Backdoors!BI14=TRUE),VLOOKUP(Calculator!E23,tbSkills!DH3:DJ6,3,FALSE),0),0)))/100)),1),1)</f>
        <v>0.6</v>
      </c>
      <c r="CG66" s="87">
        <f t="shared" si="6"/>
        <v>0</v>
      </c>
      <c r="CH66" s="86" t="str">
        <f>IFERROR(IF(VLOOKUP(A66,tbMoveset!A2:B112,2,FALSE)="Sever",Backdoors!AY15/100,IF(VLOOKUP(A66,tbMoveset!A2:B112,2,FALSE)="Blunt",Backdoors!AZ15/100,Backdoors!BA15/100)),"")</f>
        <v/>
      </c>
      <c r="CI66" s="49">
        <f>IFERROR(IF(VLOOKUP(tbMoveset!A66,tbMoveset!A2:H112,8,FALSE)="Other",IF(VLOOKUP(tbMoveset!A66,tbMoveset!A2:I112,9,FALSE)="Fire",Backdoors!BB15,IF(VLOOKUP(tbMoveset!A66,tbMoveset!A2:I112,9,FALSE)="Water",Backdoors!BC15,IF(VLOOKUP(tbMoveset!A66,tbMoveset!A2:I112,9,FALSE)="Thunder",Backdoors!BD15,IF(VLOOKUP(tbMoveset!A66,tbMoveset!A2:I112,9,FALSE)="Ice",Backdoors!BE15,IF(VLOOKUP(tbMoveset!A66,tbMoveset!A2:I112,9,FALSE)="Dragon",Backdoors!BF15,Backdoors!BG15)))))/100,Backdoors!BG15/100),"")</f>
        <v>0</v>
      </c>
      <c r="CJ66" s="49">
        <f>IFERROR(IF(VLOOKUP(A66,tbMoveset!A2:J112,10,FALSE)=TRUE,IF((Backdoors!AI12+IF(CH66&gt;=0.45,VLOOKUP(Calculator!E23,tbSkills!DH3:DI6,2,FALSE)+IF(AND(Calculator!B8=TRUE,Backdoors!BI15=TRUE),VLOOKUP(Calculator!E23,tbSkills!DH3:DJ6,3,FALSE),0),0))&gt;=0,1+(Backdoors!AL2*(IF((Backdoors!AI12+IF(CH66&gt;=0.45,VLOOKUP(Calculator!E23,tbSkills!DH3:DI6,2,FALSE)+IF(AND(Calculator!B8=TRUE,Backdoors!BI15=TRUE),VLOOKUP(Calculator!E23,tbSkills!DH3:DJ6,3,FALSE),0),0))&gt;=100,100,(Backdoors!AI12+IF(CH66&gt;=0.45,VLOOKUP(Calculator!E23,tbSkills!DH3:DI6,2,FALSE)+IF(AND(Calculator!B8=TRUE,Backdoors!BI15=TRUE),VLOOKUP(Calculator!E23,tbSkills!DH3:DJ6,3,FALSE),0),0)))/100)),(1-(0.25*((-Backdoors!AI12-IF(CH66&gt;=0.45,VLOOKUP(Calculator!E23,tbSkills!DH3:DI6,2,FALSE)+IF(AND(Calculator!B8=TRUE,Backdoors!BI15=TRUE),VLOOKUP(Calculator!E23,tbSkills!DH3:DJ6,3,FALSE),0),0))/100)))),1),"")</f>
        <v>1</v>
      </c>
      <c r="CK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H66)*CJ66)*(VLOOKUP(A66,tbMoveset!A2:C112,3,FALSE)/100)*IF(VLOOKUP(A66,tbMoveset!A2:B112,2,FALSE)="Projectile",Backdoors!N10,Backdoors!N9),0),"")</f>
        <v/>
      </c>
      <c r="CL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H66&gt;=0.45,VLOOKUP(Calculator!E23,tbSkills!DH3:DI6,2,FALSE)+IF(AND(Calculator!B8=TRUE,Backdoors!BI15=TRUE),VLOOKUP(Calculator!E23,tbSkills!DH3:DJ6,3,FALSE),0),0))&gt;=100,100,(Backdoors!AI12+IF(CH66&gt;=0.45,VLOOKUP(Calculator!E23,tbSkills!DH3:DI6,2,FALSE)+IF(AND(Calculator!B8=TRUE,Backdoors!BI15=TRUE),VLOOKUP(Calculator!E23,tbSkills!DH3:DJ6,3,FALSE),0),0)))/100)),1))*IF(VLOOKUP(A66,tbMoveset!A2:K112,11,FALSE)=TRUE,Backdoors!AC5,1))*CI66,0),"")</f>
        <v>0</v>
      </c>
      <c r="CM66" s="49">
        <f>VLOOKUP(A66,tbMoveset!A2:G112,7,FALSE)*IFERROR(IF(Backdoors!AI12&gt;=0,1+(IF(Calculator!E40&gt;0,VLOOKUP(Calculator!E40,tbSkills!AI3:AJ5,2,FALSE),Backdoors!AL4)*(IF((Backdoors!AI12+IF(CH66&gt;=0.45,VLOOKUP(Calculator!E23,tbSkills!DH3:DI6,2,FALSE)+IF(AND(Calculator!B8=TRUE,Backdoors!BI15=TRUE),VLOOKUP(Calculator!E23,tbSkills!DH3:DJ6,3,FALSE),0),0))&gt;=100,100,(Backdoors!AI12+IF(CH66&gt;=0.45,VLOOKUP(Calculator!E23,tbSkills!DH3:DI6,2,FALSE)+IF(AND(Calculator!B8=TRUE,Backdoors!BI15=TRUE),VLOOKUP(Calculator!E23,tbSkills!DH3:DJ6,3,FALSE),0),0)))/100)),1),1)</f>
        <v>0.6</v>
      </c>
      <c r="CN66" s="87">
        <f t="shared" si="7"/>
        <v>0</v>
      </c>
      <c r="CO66" s="86" t="str">
        <f>IFERROR(IF(VLOOKUP(A66,tbMoveset!A2:B112,2,FALSE)="Sever",Backdoors!AY16/100,IF(VLOOKUP(A66,tbMoveset!A2:B112,2,FALSE)="Blunt",Backdoors!AZ16/100,Backdoors!BA16/100)),"")</f>
        <v/>
      </c>
      <c r="CP66" s="49">
        <f>IFERROR(IF(VLOOKUP(tbMoveset!A66,tbMoveset!A2:H112,8,FALSE)="Other",IF(VLOOKUP(tbMoveset!A66,tbMoveset!A2:I112,9,FALSE)="Fire",Backdoors!BB16,IF(VLOOKUP(tbMoveset!A66,tbMoveset!A2:I112,9,FALSE)="Water",Backdoors!BC16,IF(VLOOKUP(tbMoveset!A66,tbMoveset!A2:I112,9,FALSE)="Thunder",Backdoors!BD16,IF(VLOOKUP(tbMoveset!A66,tbMoveset!A2:I112,9,FALSE)="Ice",Backdoors!BE16,IF(VLOOKUP(tbMoveset!A66,tbMoveset!A2:I112,9,FALSE)="Dragon",Backdoors!BF16,Backdoors!BG16)))))/100,Backdoors!BG16/100),"")</f>
        <v>0</v>
      </c>
      <c r="CQ66" s="49">
        <f>IFERROR(IF(VLOOKUP(A66,tbMoveset!A2:J112,10,FALSE)=TRUE,IF((Backdoors!AI12+IF(CO66&gt;=0.45,VLOOKUP(Calculator!E23,tbSkills!DH3:DI6,2,FALSE)+IF(AND(Calculator!B8=TRUE,Backdoors!BI16=TRUE),VLOOKUP(Calculator!E23,tbSkills!DH3:DJ6,3,FALSE),0),0))&gt;=0,1+(Backdoors!AL2*(IF((Backdoors!AI12+IF(CO66&gt;=0.45,VLOOKUP(Calculator!E23,tbSkills!DH3:DI6,2,FALSE)+IF(AND(Calculator!B8=TRUE,Backdoors!BI16=TRUE),VLOOKUP(Calculator!E23,tbSkills!DH3:DJ6,3,FALSE),0),0))&gt;=100,100,(Backdoors!AI12+IF(CO66&gt;=0.45,VLOOKUP(Calculator!E23,tbSkills!DH3:DI6,2,FALSE)+IF(AND(Calculator!B8=TRUE,Backdoors!BI16=TRUE),VLOOKUP(Calculator!E23,tbSkills!DH3:DJ6,3,FALSE),0),0)))/100)),(1-(0.25*((-Backdoors!AI12-IF(CO66&gt;=0.45,VLOOKUP(Calculator!E23,tbSkills!DH3:DI6,2,FALSE)+IF(AND(Calculator!B8=TRUE,Backdoors!BI16=TRUE),VLOOKUP(Calculator!E23,tbSkills!DH3:DJ6,3,FALSE),0),0))/100)))),1),"")</f>
        <v>1</v>
      </c>
      <c r="CR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O66)*CQ66)*(VLOOKUP(A66,tbMoveset!A2:C112,3,FALSE)/100)*IF(VLOOKUP(A66,tbMoveset!A2:B112,2,FALSE)="Projectile",Backdoors!N10,Backdoors!N9),0),"")</f>
        <v/>
      </c>
      <c r="CS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O66&gt;=0.45,VLOOKUP(Calculator!E23,tbSkills!DH3:DI6,2,FALSE)+IF(AND(Calculator!B8=TRUE,Backdoors!BI16=TRUE),VLOOKUP(Calculator!E23,tbSkills!DH3:DJ6,3,FALSE),0),0))&gt;=100,100,(Backdoors!AI12+IF(CO66&gt;=0.45,VLOOKUP(Calculator!E23,tbSkills!DH3:DI6,2,FALSE)+IF(AND(Calculator!B8=TRUE,Backdoors!BI16=TRUE),VLOOKUP(Calculator!E23,tbSkills!DH3:DJ6,3,FALSE),0),0)))/100)),1))*IF(VLOOKUP(A66,tbMoveset!A2:K112,11,FALSE)=TRUE,Backdoors!AC5,1))*CP66,0),"")</f>
        <v>0</v>
      </c>
      <c r="CT66" s="49">
        <f>VLOOKUP(A66,tbMoveset!A2:G112,7,FALSE)*IFERROR(IF(Backdoors!AI12&gt;=0,1+(IF(Calculator!E40&gt;0,VLOOKUP(Calculator!E40,tbSkills!AI3:AJ5,2,FALSE),Backdoors!AL4)*(IF((Backdoors!AI12+IF(CO66&gt;=0.45,VLOOKUP(Calculator!E23,tbSkills!DH3:DI6,2,FALSE)+IF(AND(Calculator!B8=TRUE,Backdoors!BI16=TRUE),VLOOKUP(Calculator!E23,tbSkills!DH3:DJ6,3,FALSE),0),0))&gt;=100,100,(Backdoors!AI12+IF(CO66&gt;=0.45,VLOOKUP(Calculator!E23,tbSkills!DH3:DI6,2,FALSE)+IF(AND(Calculator!B8=TRUE,Backdoors!BI16=TRUE),VLOOKUP(Calculator!E23,tbSkills!DH3:DJ6,3,FALSE),0),0)))/100)),1),1)</f>
        <v>0.6</v>
      </c>
      <c r="CU66" s="87">
        <f t="shared" si="40"/>
        <v>0</v>
      </c>
      <c r="CV66" s="86" t="str">
        <f>IFERROR(IF(VLOOKUP(A66,tbMoveset!A2:B112,2,FALSE)="Sever",Backdoors!AY17/100,IF(VLOOKUP(A66,tbMoveset!A2:B112,2,FALSE)="Blunt",Backdoors!AZ17/100,Backdoors!BA17/100)),"")</f>
        <v/>
      </c>
      <c r="CW66" s="49">
        <f>IFERROR(IF(VLOOKUP(tbMoveset!A66,tbMoveset!A2:H112,8,FALSE)="Other",IF(VLOOKUP(tbMoveset!A66,tbMoveset!A2:I112,9,FALSE)="Fire",Backdoors!BB17,IF(VLOOKUP(tbMoveset!A66,tbMoveset!A2:I112,9,FALSE)="Water",Backdoors!BC17,IF(VLOOKUP(tbMoveset!A66,tbMoveset!A2:I112,9,FALSE)="Thunder",Backdoors!BD17,IF(VLOOKUP(tbMoveset!A66,tbMoveset!A2:I112,9,FALSE)="Ice",Backdoors!BE17,IF(VLOOKUP(tbMoveset!A66,tbMoveset!A2:I112,9,FALSE)="Dragon",Backdoors!BF17,Backdoors!BG17)))))/100,Backdoors!BG17/100),"")</f>
        <v>0</v>
      </c>
      <c r="CX66" s="49">
        <f>IFERROR(IF(VLOOKUP(A66,tbMoveset!A2:J112,10,FALSE)=TRUE,IF((Backdoors!AI12+IF(CV66&gt;=0.45,VLOOKUP(Calculator!E23,tbSkills!DH3:DI6,2,FALSE)+IF(AND(Calculator!B8=TRUE,Backdoors!BI17=TRUE),VLOOKUP(Calculator!E23,tbSkills!DH3:DJ6,3,FALSE),0),0))&gt;=0,1+(Backdoors!AL2*(IF((Backdoors!AI12+IF(CV66&gt;=0.45,VLOOKUP(Calculator!E23,tbSkills!DH3:DI6,2,FALSE)+IF(AND(Calculator!B8=TRUE,Backdoors!BI17=TRUE),VLOOKUP(Calculator!E23,tbSkills!DH3:DJ6,3,FALSE),0),0))&gt;=100,100,(Backdoors!AI12+IF(CV66&gt;=0.45,VLOOKUP(Calculator!E23,tbSkills!DH3:DI6,2,FALSE)+IF(AND(Calculator!B8=TRUE,Backdoors!BI17=TRUE),VLOOKUP(Calculator!E23,tbSkills!DH3:DJ6,3,FALSE),0),0)))/100)),(1-(0.25*((-Backdoors!AI12-IF(CV66&gt;=0.45,VLOOKUP(Calculator!E23,tbSkills!DH3:DI6,2,FALSE)+IF(AND(Calculator!B8=TRUE,Backdoors!BI17=TRUE),VLOOKUP(Calculator!E23,tbSkills!DH3:DJ6,3,FALSE),0),0))/100)))),1),"")</f>
        <v>1</v>
      </c>
      <c r="CY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V66)*CX66)*(VLOOKUP(A66,tbMoveset!A2:C112,3,FALSE)/100)*IF(VLOOKUP(A66,tbMoveset!A2:B112,2,FALSE)="Projectile",Backdoors!N10,Backdoors!N9),0),"")</f>
        <v/>
      </c>
      <c r="CZ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V66&gt;=0.45,VLOOKUP(Calculator!E23,tbSkills!DH3:DI6,2,FALSE)+IF(AND(Calculator!B8=TRUE,Backdoors!BI17=TRUE),VLOOKUP(Calculator!E23,tbSkills!DH3:DJ6,3,FALSE),0),0))&gt;=100,100,(Backdoors!AI12+IF(CV66&gt;=0.45,VLOOKUP(Calculator!E23,tbSkills!DH3:DI6,2,FALSE)+IF(AND(Calculator!B8=TRUE,Backdoors!BI17=TRUE),VLOOKUP(Calculator!E23,tbSkills!DH3:DJ6,3,FALSE),0),0)))/100)),1))*IF(VLOOKUP(A66,tbMoveset!A2:K112,11,FALSE)=TRUE,Backdoors!AC5,1))*CW66,0),"")</f>
        <v>0</v>
      </c>
      <c r="DA66" s="49">
        <f>VLOOKUP(A66,tbMoveset!A2:G112,7,FALSE)*IFERROR(IF(Backdoors!AI12&gt;=0,1+(IF(Calculator!E40&gt;0,VLOOKUP(Calculator!E40,tbSkills!AI3:AJ5,2,FALSE),Backdoors!AL4)*(IF((Backdoors!AI12+IF(CV66&gt;=0.45,VLOOKUP(Calculator!E23,tbSkills!DH3:DI6,2,FALSE)+IF(AND(Calculator!B8=TRUE,Backdoors!BI17=TRUE),VLOOKUP(Calculator!E23,tbSkills!DH3:DJ6,3,FALSE),0),0))&gt;=100,100,(Backdoors!AI12+IF(CV66&gt;=0.45,VLOOKUP(Calculator!E23,tbSkills!DH3:DI6,2,FALSE)+IF(AND(Calculator!B8=TRUE,Backdoors!BI17=TRUE),VLOOKUP(Calculator!E23,tbSkills!DH3:DJ6,3,FALSE),0),0)))/100)),1),1)</f>
        <v>0.6</v>
      </c>
      <c r="DB66" s="87">
        <f t="shared" si="8"/>
        <v>0</v>
      </c>
      <c r="DC66" s="86" t="str">
        <f>IFERROR(IF(VLOOKUP(A66,tbMoveset!A2:B112,2,FALSE)="Sever",Backdoors!AY18/100,IF(VLOOKUP(A66,tbMoveset!A2:B112,2,FALSE)="Blunt",Backdoors!AZ18/100,Backdoors!BA18/100)),"")</f>
        <v/>
      </c>
      <c r="DD66" s="49">
        <f>IFERROR(IF(VLOOKUP(tbMoveset!A66,tbMoveset!A2:H112,8,FALSE)="Other",IF(VLOOKUP(tbMoveset!A66,tbMoveset!A2:I112,9,FALSE)="Fire",Backdoors!BB18,IF(VLOOKUP(tbMoveset!A66,tbMoveset!A2:I112,9,FALSE)="Water",Backdoors!BC18,IF(VLOOKUP(tbMoveset!A66,tbMoveset!A2:I112,9,FALSE)="Thunder",Backdoors!BD18,IF(VLOOKUP(tbMoveset!A66,tbMoveset!A2:I112,9,FALSE)="Ice",Backdoors!BE18,IF(VLOOKUP(tbMoveset!A66,tbMoveset!A2:I112,9,FALSE)="Dragon",Backdoors!BF18,Backdoors!BG18)))))/100,Backdoors!BG18/100),"")</f>
        <v>0</v>
      </c>
      <c r="DE66" s="49">
        <f>IFERROR(IF(VLOOKUP(A66,tbMoveset!A2:J112,10,FALSE)=TRUE,IF((Backdoors!AI12+IF(DC66&gt;=0.45,VLOOKUP(Calculator!E23,tbSkills!DH3:DI6,2,FALSE)+IF(AND(Calculator!B8=TRUE,Backdoors!BI18=TRUE),VLOOKUP(Calculator!E23,tbSkills!DH3:DJ6,3,FALSE),0),0))&gt;=0,1+(Backdoors!AL2*(IF((Backdoors!AI12+IF(DC66&gt;=0.45,VLOOKUP(Calculator!E23,tbSkills!DH3:DI6,2,FALSE)+IF(AND(Calculator!B8=TRUE,Backdoors!BI18=TRUE),VLOOKUP(Calculator!E23,tbSkills!DH3:DJ6,3,FALSE),0),0))&gt;=100,100,(Backdoors!AI12+IF(DC66&gt;=0.45,VLOOKUP(Calculator!E23,tbSkills!DH3:DI6,2,FALSE)+IF(AND(Calculator!B8=TRUE,Backdoors!BI18=TRUE),VLOOKUP(Calculator!E23,tbSkills!DH3:DJ6,3,FALSE),0),0)))/100)),(1-(0.25*((-Backdoors!AI12-IF(DC66&gt;=0.45,VLOOKUP(Calculator!E23,tbSkills!DH3:DI6,2,FALSE)+IF(AND(Calculator!B8=TRUE,Backdoors!BI18=TRUE),VLOOKUP(Calculator!E23,tbSkills!DH3:DJ6,3,FALSE),0),0))/100)))),1),"")</f>
        <v>1</v>
      </c>
      <c r="DF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C66)*DE66)*(VLOOKUP(A66,tbMoveset!A2:C112,3,FALSE)/100)*IF(VLOOKUP(A66,tbMoveset!A2:B112,2,FALSE)="Projectile",Backdoors!N10,Backdoors!N9),0),"")</f>
        <v/>
      </c>
      <c r="DG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C66&gt;=0.45,VLOOKUP(Calculator!E23,tbSkills!DH3:DI6,2,FALSE)+IF(AND(Calculator!B8=TRUE,Backdoors!BI18=TRUE),VLOOKUP(Calculator!E23,tbSkills!DH3:DJ6,3,FALSE),0),0))&gt;=100,100,(Backdoors!AI12+IF(DC66&gt;=0.45,VLOOKUP(Calculator!E23,tbSkills!DH3:DI6,2,FALSE)+IF(AND(Calculator!B8=TRUE,Backdoors!BI18=TRUE),VLOOKUP(Calculator!E23,tbSkills!DH3:DJ6,3,FALSE),0),0)))/100)),1))*IF(VLOOKUP(A66,tbMoveset!A2:K112,11,FALSE)=TRUE,Backdoors!AC5,1))*DD66,0),"")</f>
        <v>0</v>
      </c>
      <c r="DH66" s="49">
        <f>VLOOKUP(A66,tbMoveset!A2:G112,7,FALSE)*IFERROR(IF(Backdoors!AI12&gt;=0,1+(IF(Calculator!E40&gt;0,VLOOKUP(Calculator!E40,tbSkills!AI3:AJ5,2,FALSE),Backdoors!AL4)*(IF((Backdoors!AI12+IF(DC66&gt;=0.45,VLOOKUP(Calculator!E23,tbSkills!DH3:DI6,2,FALSE)+IF(AND(Calculator!B8=TRUE,Backdoors!BI18=TRUE),VLOOKUP(Calculator!E23,tbSkills!DH3:DJ6,3,FALSE),0),0))&gt;=100,100,(Backdoors!AI12+IF(DC66&gt;=0.45,VLOOKUP(Calculator!E23,tbSkills!DH3:DI6,2,FALSE)+IF(AND(Calculator!B8=TRUE,Backdoors!BI18=TRUE),VLOOKUP(Calculator!E23,tbSkills!DH3:DJ6,3,FALSE),0),0)))/100)),1),1)</f>
        <v>0.6</v>
      </c>
      <c r="DI66" s="87">
        <f t="shared" si="9"/>
        <v>0</v>
      </c>
      <c r="DJ66" s="86" t="str">
        <f>IFERROR(IF(VLOOKUP(A66,tbMoveset!A2:B112,2,FALSE)="Sever",Backdoors!AY19/100,IF(VLOOKUP(A66,tbMoveset!A2:B112,2,FALSE)="Blunt",Backdoors!AZ19/100,Backdoors!BA19/100)),"")</f>
        <v/>
      </c>
      <c r="DK66" s="49">
        <f>IFERROR(IF(VLOOKUP(tbMoveset!A66,tbMoveset!A2:H112,8,FALSE)="Other",IF(VLOOKUP(tbMoveset!A66,tbMoveset!A2:I112,9,FALSE)="Fire",Backdoors!BB19,IF(VLOOKUP(tbMoveset!A66,tbMoveset!A2:I112,9,FALSE)="Water",Backdoors!BC19,IF(VLOOKUP(tbMoveset!A66,tbMoveset!A2:I112,9,FALSE)="Thunder",Backdoors!BD19,IF(VLOOKUP(tbMoveset!A66,tbMoveset!A2:I112,9,FALSE)="Ice",Backdoors!BE19,IF(VLOOKUP(tbMoveset!A66,tbMoveset!A2:I112,9,FALSE)="Dragon",Backdoors!BF19,Backdoors!BG19)))))/100,Backdoors!BG19/100),"")</f>
        <v>0</v>
      </c>
      <c r="DL66" s="49">
        <f>IFERROR(IF(VLOOKUP(A66,tbMoveset!A2:J112,10,FALSE)=TRUE,IF((Backdoors!AI12+IF(DJ66&gt;=0.45,VLOOKUP(Calculator!E23,tbSkills!DH3:DI6,2,FALSE)+IF(AND(Calculator!B8=TRUE,Backdoors!BI19=TRUE),VLOOKUP(Calculator!E23,tbSkills!DH3:DJ6,3,FALSE),0),0))&gt;=0,1+(Backdoors!AL2*(IF((Backdoors!AI12+IF(DJ66&gt;=0.45,VLOOKUP(Calculator!E23,tbSkills!DH3:DI6,2,FALSE)+IF(AND(Calculator!B8=TRUE,Backdoors!BI19=TRUE),VLOOKUP(Calculator!E23,tbSkills!DH3:DJ6,3,FALSE),0),0))&gt;=100,100,(Backdoors!AI12+IF(DJ66&gt;=0.45,VLOOKUP(Calculator!E23,tbSkills!DH3:DI6,2,FALSE)+IF(AND(Calculator!B8=TRUE,Backdoors!BI19=TRUE),VLOOKUP(Calculator!E23,tbSkills!DH3:DJ6,3,FALSE),0),0)))/100)),(1-(0.25*((-Backdoors!AI12-IF(DJ66&gt;=0.45,VLOOKUP(Calculator!E23,tbSkills!DH3:DI6,2,FALSE)+IF(AND(Calculator!B8=TRUE,Backdoors!BI19=TRUE),VLOOKUP(Calculator!E23,tbSkills!DH3:DJ6,3,FALSE),0),0))/100)))),1),"")</f>
        <v>1</v>
      </c>
      <c r="DM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J66)*DL66)*(VLOOKUP(A66,tbMoveset!A2:C112,3,FALSE)/100)*IF(VLOOKUP(A66,tbMoveset!A2:B112,2,FALSE)="Projectile",Backdoors!N10,Backdoors!N9),0),"")</f>
        <v/>
      </c>
      <c r="DN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J66&gt;=0.45,VLOOKUP(Calculator!E23,tbSkills!DH3:DI6,2,FALSE)+IF(AND(Calculator!B8=TRUE,Backdoors!BI19=TRUE),VLOOKUP(Calculator!E23,tbSkills!DH3:DJ6,3,FALSE),0),0))&gt;=100,100,(Backdoors!AI12+IF(DJ66&gt;=0.45,VLOOKUP(Calculator!E23,tbSkills!DH3:DI6,2,FALSE)+IF(AND(Calculator!B8=TRUE,Backdoors!BI19=TRUE),VLOOKUP(Calculator!E23,tbSkills!DH3:DJ6,3,FALSE),0),0)))/100)),1))*IF(VLOOKUP(A66,tbMoveset!A2:K112,11,FALSE)=TRUE,Backdoors!AC5,1))*DK66,0),"")</f>
        <v>0</v>
      </c>
      <c r="DO66" s="49">
        <f>VLOOKUP(A66,tbMoveset!A2:G112,7,FALSE)*IFERROR(IF(Backdoors!AI12&gt;=0,1+(IF(Calculator!E40&gt;0,VLOOKUP(Calculator!E40,tbSkills!AI3:AJ5,2,FALSE),Backdoors!AL4)*(IF((Backdoors!AI12+IF(DJ66&gt;=0.45,VLOOKUP(Calculator!E23,tbSkills!DH3:DI6,2,FALSE)+IF(AND(Calculator!B8=TRUE,Backdoors!BI19=TRUE),VLOOKUP(Calculator!E23,tbSkills!DH3:DJ6,3,FALSE),0),0))&gt;=100,100,(Backdoors!AI12+IF(DJ66&gt;=0.45,VLOOKUP(Calculator!E23,tbSkills!DH3:DI6,2,FALSE)+IF(AND(Calculator!B8=TRUE,Backdoors!BI19=TRUE),VLOOKUP(Calculator!E23,tbSkills!DH3:DJ6,3,FALSE),0),0)))/100)),1),1)</f>
        <v>0.6</v>
      </c>
      <c r="DP66" s="87">
        <f t="shared" si="41"/>
        <v>0</v>
      </c>
      <c r="DQ66" s="86" t="str">
        <f>IFERROR(IF(VLOOKUP(A66,tbMoveset!A2:B112,2,FALSE)="Sever",Backdoors!AY20/100,IF(VLOOKUP(A66,tbMoveset!A2:B112,2,FALSE)="Blunt",Backdoors!AZ20/100,Backdoors!BA20/100)),"")</f>
        <v/>
      </c>
      <c r="DR66" s="49">
        <f>IFERROR(IF(VLOOKUP(tbMoveset!A66,tbMoveset!A2:H112,8,FALSE)="Other",IF(VLOOKUP(tbMoveset!A66,tbMoveset!A2:I112,9,FALSE)="Fire",Backdoors!BB20,IF(VLOOKUP(tbMoveset!A66,tbMoveset!A2:I112,9,FALSE)="Water",Backdoors!BC20,IF(VLOOKUP(tbMoveset!A66,tbMoveset!A2:I112,9,FALSE)="Thunder",Backdoors!BD20,IF(VLOOKUP(tbMoveset!A66,tbMoveset!A2:I112,9,FALSE)="Ice",Backdoors!BE20,IF(VLOOKUP(tbMoveset!A66,tbMoveset!A2:I112,9,FALSE)="Dragon",Backdoors!BF20,Backdoors!BG20)))))/100,Backdoors!BG20/100),"")</f>
        <v>0</v>
      </c>
      <c r="DS66" s="49">
        <f>IFERROR(IF(VLOOKUP(A66,tbMoveset!A2:J112,10,FALSE)=TRUE,IF((Backdoors!AI12+IF(DQ66&gt;=0.45,VLOOKUP(Calculator!E23,tbSkills!DH3:DI6,2,FALSE)+IF(AND(Calculator!B8=TRUE,Backdoors!BI20=TRUE),VLOOKUP(Calculator!E23,tbSkills!DH3:DJ6,3,FALSE),0),0))&gt;=0,1+(Backdoors!AL2*(IF((Backdoors!AI12+IF(DQ66&gt;=0.45,VLOOKUP(Calculator!E23,tbSkills!DH3:DI6,2,FALSE)+IF(AND(Calculator!B8=TRUE,Backdoors!BI20=TRUE),VLOOKUP(Calculator!E23,tbSkills!DH3:DJ6,3,FALSE),0),0))&gt;=100,100,(Backdoors!AI12+IF(DQ66&gt;=0.45,VLOOKUP(Calculator!E23,tbSkills!DH3:DI6,2,FALSE)+IF(AND(Calculator!B8=TRUE,Backdoors!BI20=TRUE),VLOOKUP(Calculator!E23,tbSkills!DH3:DJ6,3,FALSE),0),0)))/100)),(1-(0.25*((-Backdoors!AI12-IF(DQ66&gt;=0.45,VLOOKUP(Calculator!E23,tbSkills!DH3:DI6,2,FALSE)+IF(AND(Calculator!B8=TRUE,Backdoors!BI20=TRUE),VLOOKUP(Calculator!E23,tbSkills!DH3:DJ6,3,FALSE),0),0))/100)))),1),"")</f>
        <v>1</v>
      </c>
      <c r="DT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Q66)*DS66)*(VLOOKUP(A66,tbMoveset!A2:C112,3,FALSE)/100)*IF(VLOOKUP(A66,tbMoveset!A2:B112,2,FALSE)="Projectile",Backdoors!N10,Backdoors!N9),0),"")</f>
        <v/>
      </c>
      <c r="DU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Q66&gt;=0.45,VLOOKUP(Calculator!E23,tbSkills!DH3:DI6,2,FALSE)+IF(AND(Calculator!B8=TRUE,Backdoors!BI20=TRUE),VLOOKUP(Calculator!E23,tbSkills!DH3:DJ6,3,FALSE),0),0))&gt;=100,100,(Backdoors!AI12+IF(DQ66&gt;=0.45,VLOOKUP(Calculator!E23,tbSkills!DH3:DI6,2,FALSE)+IF(AND(Calculator!B8=TRUE,Backdoors!BI20=TRUE),VLOOKUP(Calculator!E23,tbSkills!DH3:DJ6,3,FALSE),0),0)))/100)),1))*IF(VLOOKUP(A66,tbMoveset!A2:K112,11,FALSE)=TRUE,Backdoors!AC5,1))*DR66,0),"")</f>
        <v>0</v>
      </c>
      <c r="DV66" s="49">
        <f>VLOOKUP(A66,tbMoveset!A2:G112,7,FALSE)*IFERROR(IF(Backdoors!AI12&gt;=0,1+(IF(Calculator!E40&gt;0,VLOOKUP(Calculator!E40,tbSkills!AI3:AJ5,2,FALSE),Backdoors!AL4)*(IF((Backdoors!AI12+IF(DQ66&gt;=0.45,VLOOKUP(Calculator!E23,tbSkills!DH3:DI6,2,FALSE)+IF(AND(Calculator!B8=TRUE,Backdoors!BI20=TRUE),VLOOKUP(Calculator!E23,tbSkills!DH3:DJ6,3,FALSE),0),0))&gt;=100,100,(Backdoors!AI12+IF(DQ66&gt;=0.45,VLOOKUP(Calculator!E23,tbSkills!DH3:DI6,2,FALSE)+IF(AND(Calculator!B8=TRUE,Backdoors!BI20=TRUE),VLOOKUP(Calculator!E23,tbSkills!DH3:DJ6,3,FALSE),0),0)))/100)),1),1)</f>
        <v>0.6</v>
      </c>
      <c r="DW66" s="87">
        <f t="shared" si="10"/>
        <v>0</v>
      </c>
      <c r="DX66" s="86" t="str">
        <f>IFERROR(IF(VLOOKUP(A66,tbMoveset!A2:B112,2,FALSE)="Sever",Backdoors!AY21/100,IF(VLOOKUP(A66,tbMoveset!A2:B112,2,FALSE)="Blunt",Backdoors!AZ21/100,Backdoors!BA21/100)),"")</f>
        <v/>
      </c>
      <c r="DY66" s="49">
        <f>IFERROR(IF(VLOOKUP(tbMoveset!A66,tbMoveset!A2:H112,8,FALSE)="Other",IF(VLOOKUP(tbMoveset!A66,tbMoveset!A2:I112,9,FALSE)="Fire",Backdoors!BB21,IF(VLOOKUP(tbMoveset!A66,tbMoveset!A2:I112,9,FALSE)="Water",Backdoors!BC21,IF(VLOOKUP(tbMoveset!A66,tbMoveset!A2:I112,9,FALSE)="Thunder",Backdoors!BD21,IF(VLOOKUP(tbMoveset!A66,tbMoveset!A2:I112,9,FALSE)="Ice",Backdoors!BE21,IF(VLOOKUP(tbMoveset!A66,tbMoveset!A2:I112,9,FALSE)="Dragon",Backdoors!BF21,Backdoors!BG21)))))/100,Backdoors!BG21/100),"")</f>
        <v>0</v>
      </c>
      <c r="DZ66" s="49">
        <f>IFERROR(IF(VLOOKUP(A66,tbMoveset!A2:J112,10,FALSE)=TRUE,IF((Backdoors!AI12+IF(DX66&gt;=0.45,VLOOKUP(Calculator!E23,tbSkills!DH3:DI6,2,FALSE)+IF(AND(Calculator!B8=TRUE,Backdoors!BI21=TRUE),VLOOKUP(Calculator!E23,tbSkills!DH3:DJ6,3,FALSE),0),0))&gt;=0,1+(Backdoors!AL2*(IF((Backdoors!AI12+IF(DX66&gt;=0.45,VLOOKUP(Calculator!E23,tbSkills!DH3:DI6,2,FALSE)+IF(AND(Calculator!B8=TRUE,Backdoors!BI21=TRUE),VLOOKUP(Calculator!E23,tbSkills!DH3:DJ6,3,FALSE),0),0))&gt;=100,100,(Backdoors!AI12+IF(DX66&gt;=0.45,VLOOKUP(Calculator!E23,tbSkills!DH3:DI6,2,FALSE)+IF(AND(Calculator!B8=TRUE,Backdoors!BI21=TRUE),VLOOKUP(Calculator!E23,tbSkills!DH3:DJ6,3,FALSE),0),0)))/100)),(1-(0.25*((-Backdoors!AI12-IF(DX66&gt;=0.45,VLOOKUP(Calculator!E23,tbSkills!DH3:DI6,2,FALSE)+IF(AND(Calculator!B8=TRUE,Backdoors!BI21=TRUE),VLOOKUP(Calculator!E23,tbSkills!DH3:DJ6,3,FALSE),0),0))/100)))),1),"")</f>
        <v>1</v>
      </c>
      <c r="EA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X66)*DZ66)*(VLOOKUP(A66,tbMoveset!A2:C112,3,FALSE)/100)*IF(VLOOKUP(A66,tbMoveset!A2:B112,2,FALSE)="Projectile",Backdoors!N10,Backdoors!N9),0),"")</f>
        <v/>
      </c>
      <c r="EB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X66&gt;=0.45,VLOOKUP(Calculator!E23,tbSkills!DH3:DI6,2,FALSE)+IF(AND(Calculator!B8=TRUE,Backdoors!BI21=TRUE),VLOOKUP(Calculator!E23,tbSkills!DH3:DJ6,3,FALSE),0),0))&gt;=100,100,(Backdoors!AI12+IF(DX66&gt;=0.45,VLOOKUP(Calculator!E23,tbSkills!DH3:DI6,2,FALSE)+IF(AND(Calculator!B8=TRUE,Backdoors!BI21=TRUE),VLOOKUP(Calculator!E23,tbSkills!DH3:DJ6,3,FALSE),0),0)))/100)),1))*IF(VLOOKUP(A66,tbMoveset!A2:K112,11,FALSE)=TRUE,Backdoors!AC5,1))*DY66,0),"")</f>
        <v>0</v>
      </c>
      <c r="EC66" s="49">
        <f>VLOOKUP(A66,tbMoveset!A2:G112,7,FALSE)*IFERROR(IF(Backdoors!AI12&gt;=0,1+(IF(Calculator!E40&gt;0,VLOOKUP(Calculator!E40,tbSkills!AI3:AJ5,2,FALSE),Backdoors!AL4)*(IF((Backdoors!AI12+IF(DX66&gt;=0.45,VLOOKUP(Calculator!E23,tbSkills!DH3:DI6,2,FALSE)+IF(AND(Calculator!B8=TRUE,Backdoors!BI21=TRUE),VLOOKUP(Calculator!E23,tbSkills!DH3:DJ6,3,FALSE),0),0))&gt;=100,100,(Backdoors!AI12+IF(DX66&gt;=0.45,VLOOKUP(Calculator!E23,tbSkills!DH3:DI6,2,FALSE)+IF(AND(Calculator!B8=TRUE,Backdoors!BI21=TRUE),VLOOKUP(Calculator!E23,tbSkills!DH3:DJ6,3,FALSE),0),0)))/100)),1),1)</f>
        <v>0.6</v>
      </c>
      <c r="ED66" s="87">
        <f t="shared" si="11"/>
        <v>0</v>
      </c>
      <c r="EE66" s="86" t="str">
        <f>IFERROR(IF(VLOOKUP(A66,tbMoveset!A2:B112,2,FALSE)="Sever",Backdoors!AY22/100,IF(VLOOKUP(A66,tbMoveset!A2:B112,2,FALSE)="Blunt",Backdoors!AZ22/100,Backdoors!BA22/100)),"")</f>
        <v/>
      </c>
      <c r="EF66" s="49">
        <f>IFERROR(IF(VLOOKUP(tbMoveset!A66,tbMoveset!A2:H112,8,FALSE)="Other",IF(VLOOKUP(tbMoveset!A66,tbMoveset!A2:I112,9,FALSE)="Fire",Backdoors!BB22,IF(VLOOKUP(tbMoveset!A66,tbMoveset!A2:I112,9,FALSE)="Water",Backdoors!BC22,IF(VLOOKUP(tbMoveset!A66,tbMoveset!A2:I112,9,FALSE)="Thunder",Backdoors!BD22,IF(VLOOKUP(tbMoveset!A66,tbMoveset!A2:I112,9,FALSE)="Ice",Backdoors!BE22,IF(VLOOKUP(tbMoveset!A66,tbMoveset!A2:I112,9,FALSE)="Dragon",Backdoors!BF22,Backdoors!BG22)))))/100,Backdoors!BG22/100),"")</f>
        <v>0</v>
      </c>
      <c r="EG66" s="49">
        <f>IFERROR(IF(VLOOKUP(A66,tbMoveset!A2:J112,10,FALSE)=TRUE,IF((Backdoors!AI12+IF(EE66&gt;=0.45,VLOOKUP(Calculator!E23,tbSkills!DH3:DI6,2,FALSE)+IF(AND(Calculator!B8=TRUE,Backdoors!BI22=TRUE),VLOOKUP(Calculator!E23,tbSkills!DH3:DJ6,3,FALSE),0),0))&gt;=0,1+(Backdoors!AL2*(IF((Backdoors!AI12+IF(EE66&gt;=0.45,VLOOKUP(Calculator!E23,tbSkills!DH3:DI6,2,FALSE)+IF(AND(Calculator!B8=TRUE,Backdoors!BI22=TRUE),VLOOKUP(Calculator!E23,tbSkills!DH3:DJ6,3,FALSE),0),0))&gt;=100,100,(Backdoors!AI12+IF(EE66&gt;=0.45,VLOOKUP(Calculator!E23,tbSkills!DH3:DI6,2,FALSE)+IF(AND(Calculator!B8=TRUE,Backdoors!BI22=TRUE),VLOOKUP(Calculator!E23,tbSkills!DH3:DJ6,3,FALSE),0),0)))/100)),(1-(0.25*((-Backdoors!AI12-IF(EE66&gt;=0.45,VLOOKUP(Calculator!E23,tbSkills!DH3:DI6,2,FALSE)+IF(AND(Calculator!B8=TRUE,Backdoors!BI22=TRUE),VLOOKUP(Calculator!E23,tbSkills!DH3:DJ6,3,FALSE),0),0))/100)))),1),"")</f>
        <v>1</v>
      </c>
      <c r="EH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E66)*EG66)*(VLOOKUP(A66,tbMoveset!A2:C112,3,FALSE)/100)*IF(VLOOKUP(A66,tbMoveset!A2:B112,2,FALSE)="Projectile",Backdoors!N10,Backdoors!N9),0),"")</f>
        <v/>
      </c>
      <c r="EI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E66&gt;=0.45,VLOOKUP(Calculator!E23,tbSkills!DH3:DI6,2,FALSE)+IF(AND(Calculator!B8=TRUE,Backdoors!BI22=TRUE),VLOOKUP(Calculator!E23,tbSkills!DH3:DJ6,3,FALSE),0),0))&gt;=100,100,(Backdoors!AI12+IF(EE66&gt;=0.45,VLOOKUP(Calculator!E23,tbSkills!DH3:DI6,2,FALSE)+IF(AND(Calculator!B8=TRUE,Backdoors!BI22=TRUE),VLOOKUP(Calculator!E23,tbSkills!DH3:DJ6,3,FALSE),0),0)))/100)),1))*IF(VLOOKUP(A66,tbMoveset!A2:K112,11,FALSE)=TRUE,Backdoors!AC5,1))*EF66,0),"")</f>
        <v>0</v>
      </c>
      <c r="EJ66" s="49">
        <f>VLOOKUP(A66,tbMoveset!A2:G112,7,FALSE)*IFERROR(IF(Backdoors!AI12&gt;=0,1+(IF(Calculator!E40&gt;0,VLOOKUP(Calculator!E40,tbSkills!AI3:AJ5,2,FALSE),Backdoors!AL4)*(IF((Backdoors!AI12+IF(EE66&gt;=0.45,VLOOKUP(Calculator!E23,tbSkills!DH3:DI6,2,FALSE)+IF(AND(Calculator!B8=TRUE,Backdoors!BI22=TRUE),VLOOKUP(Calculator!E23,tbSkills!DH3:DJ6,3,FALSE),0),0))&gt;=100,100,(Backdoors!AI12+IF(EE66&gt;=0.45,VLOOKUP(Calculator!E23,tbSkills!DH3:DI6,2,FALSE)+IF(AND(Calculator!B8=TRUE,Backdoors!BI22=TRUE),VLOOKUP(Calculator!E23,tbSkills!DH3:DJ6,3,FALSE),0),0)))/100)),1),1)</f>
        <v>0.6</v>
      </c>
      <c r="EK66" s="87">
        <f t="shared" si="12"/>
        <v>0</v>
      </c>
      <c r="EL66" s="86" t="str">
        <f>IFERROR(IF(VLOOKUP(A66,tbMoveset!A2:B112,2,FALSE)="Sever",Backdoors!AY23/100,IF(VLOOKUP(A66,tbMoveset!A2:B112,2,FALSE)="Blunt",Backdoors!AZ23/100,Backdoors!BA23/100)),"")</f>
        <v/>
      </c>
      <c r="EM66" s="49">
        <f>IFERROR(IF(VLOOKUP(tbMoveset!A66,tbMoveset!A2:H112,8,FALSE)="Other",IF(VLOOKUP(tbMoveset!A66,tbMoveset!A2:I112,9,FALSE)="Fire",Backdoors!BB23,IF(VLOOKUP(tbMoveset!A66,tbMoveset!A2:I112,9,FALSE)="Water",Backdoors!BC23,IF(VLOOKUP(tbMoveset!A66,tbMoveset!A2:I112,9,FALSE)="Thunder",Backdoors!BD23,IF(VLOOKUP(tbMoveset!A66,tbMoveset!A2:I112,9,FALSE)="Ice",Backdoors!BE23,IF(VLOOKUP(tbMoveset!A66,tbMoveset!A2:I112,9,FALSE)="Dragon",Backdoors!BF23,Backdoors!BG23)))))/100,Backdoors!BG23/100),"")</f>
        <v>0</v>
      </c>
      <c r="EN66" s="49">
        <f>IFERROR(IF(VLOOKUP(A66,tbMoveset!A2:J112,10,FALSE)=TRUE,IF((Backdoors!AI12+IF(EL66&gt;=0.45,VLOOKUP(Calculator!E23,tbSkills!DH3:DI6,2,FALSE)+IF(AND(Calculator!B8=TRUE,Backdoors!BI23=TRUE),VLOOKUP(Calculator!E23,tbSkills!DH3:DJ6,3,FALSE),0),0))&gt;=0,1+(Backdoors!AL2*(IF((Backdoors!AI12+IF(EL66&gt;=0.45,VLOOKUP(Calculator!E23,tbSkills!DH3:DI6,2,FALSE)+IF(AND(Calculator!B8=TRUE,Backdoors!BI23=TRUE),VLOOKUP(Calculator!E23,tbSkills!DH3:DJ6,3,FALSE),0),0))&gt;=100,100,(Backdoors!AI12+IF(EL66&gt;=0.45,VLOOKUP(Calculator!E23,tbSkills!DH3:DI6,2,FALSE)+IF(AND(Calculator!B8=TRUE,Backdoors!BI23=TRUE),VLOOKUP(Calculator!E23,tbSkills!DH3:DJ6,3,FALSE),0),0)))/100)),(1-(0.25*((-Backdoors!AI12-IF(EL66&gt;=0.45,VLOOKUP(Calculator!E23,tbSkills!DH3:DI6,2,FALSE)+IF(AND(Calculator!B8=TRUE,Backdoors!BI23=TRUE),VLOOKUP(Calculator!E23,tbSkills!DH3:DJ6,3,FALSE),0),0))/100)))),1),"")</f>
        <v>1</v>
      </c>
      <c r="EO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L66)*EN66)*(VLOOKUP(A66,tbMoveset!A2:C112,3,FALSE)/100)*IF(VLOOKUP(A66,tbMoveset!A2:B112,2,FALSE)="Projectile",Backdoors!N10,Backdoors!N9),0),"")</f>
        <v/>
      </c>
      <c r="EP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L66&gt;=0.45,VLOOKUP(Calculator!E23,tbSkills!DH3:DI6,2,FALSE)+IF(AND(Calculator!B8=TRUE,Backdoors!BI23=TRUE),VLOOKUP(Calculator!E23,tbSkills!DH3:DJ6,3,FALSE),0),0))&gt;=100,100,(Backdoors!AI12+IF(EL66&gt;=0.45,VLOOKUP(Calculator!E23,tbSkills!DH3:DI6,2,FALSE)+IF(AND(Calculator!B8=TRUE,Backdoors!BI23=TRUE),VLOOKUP(Calculator!E23,tbSkills!DH3:DJ6,3,FALSE),0),0)))/100)),1))*IF(VLOOKUP(A66,tbMoveset!A2:K112,11,FALSE)=TRUE,Backdoors!AC5,1))*EM66,0),"")</f>
        <v>0</v>
      </c>
      <c r="EQ66" s="49">
        <f>VLOOKUP(A66,tbMoveset!A2:G112,7,FALSE)*IFERROR(IF(Backdoors!AI12&gt;=0,1+(IF(Calculator!E40&gt;0,VLOOKUP(Calculator!E40,tbSkills!AI3:AJ5,2,FALSE),Backdoors!AL4)*(IF((Backdoors!AI12+IF(EL66&gt;=0.45,VLOOKUP(Calculator!E23,tbSkills!DH3:DI6,2,FALSE)+IF(AND(Calculator!B8=TRUE,Backdoors!BI23=TRUE),VLOOKUP(Calculator!E23,tbSkills!DH3:DJ6,3,FALSE),0),0))&gt;=100,100,(Backdoors!AI12+IF(EL66&gt;=0.45,VLOOKUP(Calculator!E23,tbSkills!DH3:DI6,2,FALSE)+IF(AND(Calculator!B8=TRUE,Backdoors!BI23=TRUE),VLOOKUP(Calculator!E23,tbSkills!DH3:DJ6,3,FALSE),0),0)))/100)),1),1)</f>
        <v>0.6</v>
      </c>
      <c r="ER66" s="87">
        <f t="shared" si="13"/>
        <v>0</v>
      </c>
      <c r="ES66" s="86" t="str">
        <f>IFERROR(IF(VLOOKUP(A66,tbMoveset!A2:B112,2,FALSE)="Sever",Backdoors!AY24/100,IF(VLOOKUP(A66,tbMoveset!A2:B112,2,FALSE)="Blunt",Backdoors!AZ24/100,Backdoors!BA24/100)),"")</f>
        <v/>
      </c>
      <c r="ET66" s="49">
        <f>IFERROR(IF(VLOOKUP(tbMoveset!A66,tbMoveset!A2:H112,8,FALSE)="Other",IF(VLOOKUP(tbMoveset!A66,tbMoveset!A2:I112,9,FALSE)="Fire",Backdoors!BB24,IF(VLOOKUP(tbMoveset!A66,tbMoveset!A2:I112,9,FALSE)="Water",Backdoors!BC24,IF(VLOOKUP(tbMoveset!A66,tbMoveset!A2:I112,9,FALSE)="Thunder",Backdoors!BD24,IF(VLOOKUP(tbMoveset!A66,tbMoveset!A2:I112,9,FALSE)="Ice",Backdoors!BE24,IF(VLOOKUP(tbMoveset!A66,tbMoveset!A2:I112,9,FALSE)="Dragon",Backdoors!BF24,Backdoors!BG24)))))/100,Backdoors!BG24/100),"")</f>
        <v>0</v>
      </c>
      <c r="EU66" s="49">
        <f>IFERROR(IF(VLOOKUP(A66,tbMoveset!A2:J112,10,FALSE)=TRUE,IF((Backdoors!AI12+IF(ES66&gt;=0.45,VLOOKUP(Calculator!E23,tbSkills!DH3:DI6,2,FALSE)+IF(AND(Calculator!B8=TRUE,Backdoors!BI24=TRUE),VLOOKUP(Calculator!E23,tbSkills!DH3:DJ6,3,FALSE),0),0))&gt;=0,1+(Backdoors!AL2*(IF((Backdoors!AI12+IF(ES66&gt;=0.45,VLOOKUP(Calculator!E23,tbSkills!DH3:DI6,2,FALSE)+IF(AND(Calculator!B8=TRUE,Backdoors!BI24=TRUE),VLOOKUP(Calculator!E23,tbSkills!DH3:DJ6,3,FALSE),0),0))&gt;=100,100,(Backdoors!AI12+IF(ES66&gt;=0.45,VLOOKUP(Calculator!E23,tbSkills!DH3:DI6,2,FALSE)+IF(AND(Calculator!B8=TRUE,Backdoors!BI24=TRUE),VLOOKUP(Calculator!E23,tbSkills!DH3:DJ6,3,FALSE),0),0)))/100)),(1-(0.25*((-Backdoors!AI12-IF(ES66&gt;=0.45,VLOOKUP(Calculator!E23,tbSkills!DH3:DI6,2,FALSE)+IF(AND(Calculator!B8=TRUE,Backdoors!BI24=TRUE),VLOOKUP(Calculator!E23,tbSkills!DH3:DJ6,3,FALSE),0),0))/100)))),1),"")</f>
        <v>1</v>
      </c>
      <c r="EV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S66)*EU66)*(VLOOKUP(A66,tbMoveset!A2:C112,3,FALSE)/100)*IF(VLOOKUP(A66,tbMoveset!A2:B112,2,FALSE)="Projectile",Backdoors!N10,Backdoors!N9),0),"")</f>
        <v/>
      </c>
      <c r="EW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S66&gt;=0.45,VLOOKUP(Calculator!E23,tbSkills!DH3:DI6,2,FALSE)+IF(AND(Calculator!B8=TRUE,Backdoors!BI24=TRUE),VLOOKUP(Calculator!E23,tbSkills!DH3:DJ6,3,FALSE),0),0))&gt;=100,100,(Backdoors!AI12+IF(ES66&gt;=0.45,VLOOKUP(Calculator!E23,tbSkills!DH3:DI6,2,FALSE)+IF(AND(Calculator!B8=TRUE,Backdoors!BI24=TRUE),VLOOKUP(Calculator!E23,tbSkills!DH3:DJ6,3,FALSE),0),0)))/100)),1))*IF(VLOOKUP(A66,tbMoveset!A2:K112,11,FALSE)=TRUE,Backdoors!AC5,1))*ET66,0),"")</f>
        <v>0</v>
      </c>
      <c r="EX66" s="49">
        <f>VLOOKUP(A66,tbMoveset!A2:G112,7,FALSE)*IFERROR(IF(Backdoors!AI12&gt;=0,1+(IF(Calculator!E40&gt;0,VLOOKUP(Calculator!E40,tbSkills!AI3:AJ5,2,FALSE),Backdoors!AL4)*(IF((Backdoors!AI12+IF(ES66&gt;=0.45,VLOOKUP(Calculator!E23,tbSkills!DH3:DI6,2,FALSE)+IF(AND(Calculator!B8=TRUE,Backdoors!BI24=TRUE),VLOOKUP(Calculator!E23,tbSkills!DH3:DJ6,3,FALSE),0),0))&gt;=100,100,(Backdoors!AI12+IF(ES66&gt;=0.45,VLOOKUP(Calculator!E23,tbSkills!DH3:DI6,2,FALSE)+IF(AND(Calculator!B8=TRUE,Backdoors!BI24=TRUE),VLOOKUP(Calculator!E23,tbSkills!DH3:DJ6,3,FALSE),0),0)))/100)),1),1)</f>
        <v>0.6</v>
      </c>
      <c r="EY66" s="87">
        <f t="shared" si="14"/>
        <v>0</v>
      </c>
      <c r="EZ66" s="86" t="str">
        <f>IFERROR(IF(VLOOKUP(A66,tbMoveset!A2:B112,2,FALSE)="Sever",Backdoors!AY25/100,IF(VLOOKUP(A66,tbMoveset!A2:B112,2,FALSE)="Blunt",Backdoors!AZ25/100,Backdoors!BA25/100)),"")</f>
        <v/>
      </c>
      <c r="FA66" s="49">
        <f>IFERROR(IF(VLOOKUP(tbMoveset!A66,tbMoveset!A2:H112,8,FALSE)="Other",IF(VLOOKUP(tbMoveset!A66,tbMoveset!A2:I112,9,FALSE)="Fire",Backdoors!BB25,IF(VLOOKUP(tbMoveset!A66,tbMoveset!A2:I112,9,FALSE)="Water",Backdoors!BC25,IF(VLOOKUP(tbMoveset!A66,tbMoveset!A2:I112,9,FALSE)="Thunder",Backdoors!BD25,IF(VLOOKUP(tbMoveset!A66,tbMoveset!A2:I112,9,FALSE)="Ice",Backdoors!BE25,IF(VLOOKUP(tbMoveset!A66,tbMoveset!A2:I112,9,FALSE)="Dragon",Backdoors!BF25,Backdoors!BG25)))))/100,Backdoors!BG25/100),"")</f>
        <v>0</v>
      </c>
      <c r="FB66" s="49">
        <f>IFERROR(IF(VLOOKUP(A66,tbMoveset!A2:J112,10,FALSE)=TRUE,IF((Backdoors!AI12+IF(EZ66&gt;=0.45,VLOOKUP(Calculator!E23,tbSkills!DH3:DI6,2,FALSE)+IF(AND(Calculator!B8=TRUE,Backdoors!BI25=TRUE),VLOOKUP(Calculator!E23,tbSkills!DH3:DJ6,3,FALSE),0),0))&gt;=0,1+(Backdoors!AL2*(IF((Backdoors!AI12+IF(EZ66&gt;=0.45,VLOOKUP(Calculator!E23,tbSkills!DH3:DI6,2,FALSE)+IF(AND(Calculator!B8=TRUE,Backdoors!BI25=TRUE),VLOOKUP(Calculator!E23,tbSkills!DH3:DJ6,3,FALSE),0),0))&gt;=100,100,(Backdoors!AI12+IF(EZ66&gt;=0.45,VLOOKUP(Calculator!E23,tbSkills!DH3:DI6,2,FALSE)+IF(AND(Calculator!B8=TRUE,Backdoors!BI25=TRUE),VLOOKUP(Calculator!E23,tbSkills!DH3:DJ6,3,FALSE),0),0)))/100)),(1-(0.25*((-Backdoors!AI12-IF(EZ66&gt;=0.45,VLOOKUP(Calculator!E23,tbSkills!DH3:DI6,2,FALSE)+IF(AND(Calculator!B8=TRUE,Backdoors!BI25=TRUE),VLOOKUP(Calculator!E23,tbSkills!DH3:DJ6,3,FALSE),0),0))/100)))),1),"")</f>
        <v>1</v>
      </c>
      <c r="FC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Z66)*FB66)*(VLOOKUP(A66,tbMoveset!A2:C112,3,FALSE)/100)*IF(VLOOKUP(A66,tbMoveset!A2:B112,2,FALSE)="Projectile",Backdoors!N10,Backdoors!N9),0),"")</f>
        <v/>
      </c>
      <c r="FD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Z66&gt;=0.45,VLOOKUP(Calculator!E23,tbSkills!DH3:DI6,2,FALSE)+IF(AND(Calculator!B8=TRUE,Backdoors!BI25=TRUE),VLOOKUP(Calculator!E23,tbSkills!DH3:DJ6,3,FALSE),0),0))&gt;=100,100,(Backdoors!AI12+IF(EZ66&gt;=0.45,VLOOKUP(Calculator!E23,tbSkills!DH3:DI6,2,FALSE)+IF(AND(Calculator!B8=TRUE,Backdoors!BI25=TRUE),VLOOKUP(Calculator!E23,tbSkills!DH3:DJ6,3,FALSE),0),0)))/100)),1))*IF(VLOOKUP(A66,tbMoveset!A2:K112,11,FALSE)=TRUE,Backdoors!AC5,1))*FA66,0),"")</f>
        <v>0</v>
      </c>
      <c r="FE66" s="49">
        <f>VLOOKUP(A66,tbMoveset!A2:G112,7,FALSE)*IFERROR(IF(Backdoors!AI12&gt;=0,1+(IF(Calculator!E40&gt;0,VLOOKUP(Calculator!E40,tbSkills!AI3:AJ5,2,FALSE),Backdoors!AL4)*(IF((Backdoors!AI12+IF(EZ66&gt;=0.45,VLOOKUP(Calculator!E23,tbSkills!DH3:DI6,2,FALSE)+IF(AND(Calculator!B8=TRUE,Backdoors!BI25=TRUE),VLOOKUP(Calculator!E23,tbSkills!DH3:DJ6,3,FALSE),0),0))&gt;=100,100,(Backdoors!AI12+IF(EZ66&gt;=0.45,VLOOKUP(Calculator!E23,tbSkills!DH3:DI6,2,FALSE)+IF(AND(Calculator!B8=TRUE,Backdoors!BI25=TRUE),VLOOKUP(Calculator!E23,tbSkills!DH3:DJ6,3,FALSE),0),0)))/100)),1),1)</f>
        <v>0.6</v>
      </c>
      <c r="FF66" s="87">
        <f t="shared" si="15"/>
        <v>0</v>
      </c>
      <c r="FG66" s="86" t="str">
        <f>IFERROR(IF(VLOOKUP(A66,tbMoveset!A2:B112,2,FALSE)="Sever",Backdoors!AY26/100,IF(VLOOKUP(A66,tbMoveset!A2:B112,2,FALSE)="Blunt",Backdoors!AZ26/100,Backdoors!BA26/100)),"")</f>
        <v/>
      </c>
      <c r="FH66" s="49">
        <f>IFERROR(IF(VLOOKUP(tbMoveset!A66,tbMoveset!A2:H112,8,FALSE)="Other",IF(VLOOKUP(tbMoveset!A66,tbMoveset!A2:I112,9,FALSE)="Fire",Backdoors!BB26,IF(VLOOKUP(tbMoveset!A66,tbMoveset!A2:I112,9,FALSE)="Water",Backdoors!BC26,IF(VLOOKUP(tbMoveset!A66,tbMoveset!A2:I112,9,FALSE)="Thunder",Backdoors!BD26,IF(VLOOKUP(tbMoveset!A66,tbMoveset!A2:I112,9,FALSE)="Ice",Backdoors!BE26,IF(VLOOKUP(tbMoveset!A66,tbMoveset!A2:I112,9,FALSE)="Dragon",Backdoors!BF26,Backdoors!BG26)))))/100,Backdoors!BG26/100),"")</f>
        <v>0</v>
      </c>
      <c r="FI66" s="49">
        <f>IFERROR(IF(VLOOKUP(A66,tbMoveset!A2:J112,10,FALSE)=TRUE,IF((Backdoors!AI12+IF(FG66&gt;=0.45,VLOOKUP(Calculator!E23,tbSkills!DH3:DI6,2,FALSE)+IF(AND(Calculator!B8=TRUE,Backdoors!BI26=TRUE),VLOOKUP(Calculator!E23,tbSkills!DH3:DJ6,3,FALSE),0),0))&gt;=0,1+(Backdoors!AL2*(IF((Backdoors!AI12+IF(FG66&gt;=0.45,VLOOKUP(Calculator!E23,tbSkills!DH3:DI6,2,FALSE)+IF(AND(Calculator!B8=TRUE,Backdoors!BI26=TRUE),VLOOKUP(Calculator!E23,tbSkills!DH3:DJ6,3,FALSE),0),0))&gt;=100,100,(Backdoors!AI12+IF(FG66&gt;=0.45,VLOOKUP(Calculator!E23,tbSkills!DH3:DI6,2,FALSE)+IF(AND(Calculator!B8=TRUE,Backdoors!BI26=TRUE),VLOOKUP(Calculator!E23,tbSkills!DH3:DJ6,3,FALSE),0),0)))/100)),(1-(0.25*((-Backdoors!AI12-IF(FG66&gt;=0.45,VLOOKUP(Calculator!E23,tbSkills!DH3:DI6,2,FALSE)+IF(AND(Calculator!B8=TRUE,Backdoors!BI26=TRUE),VLOOKUP(Calculator!E23,tbSkills!DH3:DJ6,3,FALSE),0),0))/100)))),1),"")</f>
        <v>1</v>
      </c>
      <c r="FJ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FG66)*FI66)*(VLOOKUP(A66,tbMoveset!A2:C112,3,FALSE)/100)*IF(VLOOKUP(A66,tbMoveset!A2:B112,2,FALSE)="Projectile",Backdoors!N10,Backdoors!N9),0),"")</f>
        <v/>
      </c>
      <c r="FK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FG66&gt;=0.45,VLOOKUP(Calculator!E23,tbSkills!DH3:DI6,2,FALSE)+IF(AND(Calculator!B8=TRUE,Backdoors!BI26=TRUE),VLOOKUP(Calculator!E23,tbSkills!DH3:DJ6,3,FALSE),0),0))&gt;=100,100,(Backdoors!AI12+IF(FG66&gt;=0.45,VLOOKUP(Calculator!E23,tbSkills!DH3:DI6,2,FALSE)+IF(AND(Calculator!B8=TRUE,Backdoors!BI26=TRUE),VLOOKUP(Calculator!E23,tbSkills!DH3:DJ6,3,FALSE),0),0)))/100)),1))*IF(VLOOKUP(A66,tbMoveset!A2:K112,11,FALSE)=TRUE,Backdoors!AC5,1))*FH66,0),"")</f>
        <v>0</v>
      </c>
      <c r="FL66" s="49">
        <f>VLOOKUP(A66,tbMoveset!A2:G112,7,FALSE)*IFERROR(IF(Backdoors!AI12&gt;=0,1+(IF(Calculator!E40&gt;0,VLOOKUP(Calculator!E40,tbSkills!AI3:AJ5,2,FALSE),Backdoors!AL4)*(IF((Backdoors!AI12+IF(FG66&gt;=0.45,VLOOKUP(Calculator!E23,tbSkills!DH3:DI6,2,FALSE)+IF(AND(Calculator!B8=TRUE,Backdoors!BI26=TRUE),VLOOKUP(Calculator!E23,tbSkills!DH3:DJ6,3,FALSE),0),0))&gt;=100,100,(Backdoors!AI12+IF(FG66&gt;=0.45,VLOOKUP(Calculator!E23,tbSkills!DH3:DI6,2,FALSE)+IF(AND(Calculator!B8=TRUE,Backdoors!BI26=TRUE),VLOOKUP(Calculator!E23,tbSkills!DH3:DJ6,3,FALSE),0),0)))/100)),1),1)</f>
        <v>0.6</v>
      </c>
      <c r="FM66" s="87">
        <f t="shared" si="16"/>
        <v>0</v>
      </c>
      <c r="FN66" s="86" t="str">
        <f>IFERROR(IF(VLOOKUP(A66,tbMoveset!A2:B112,2,FALSE)="Sever",Backdoors!AY27/100,IF(VLOOKUP(A66,tbMoveset!A2:B112,2,FALSE)="Blunt",Backdoors!AZ27/100,Backdoors!BA27/100)),"")</f>
        <v/>
      </c>
      <c r="FO66" s="49">
        <f>IFERROR(IF(VLOOKUP(tbMoveset!A66,tbMoveset!A2:H112,8,FALSE)="Other",IF(VLOOKUP(tbMoveset!A66,tbMoveset!A2:I112,9,FALSE)="Fire",Backdoors!BB27,IF(VLOOKUP(tbMoveset!A66,tbMoveset!A2:I112,9,FALSE)="Water",Backdoors!BC27,IF(VLOOKUP(tbMoveset!A66,tbMoveset!A2:I112,9,FALSE)="Thunder",Backdoors!BD27,IF(VLOOKUP(tbMoveset!A66,tbMoveset!A2:I112,9,FALSE)="Ice",Backdoors!BE27,IF(VLOOKUP(tbMoveset!A66,tbMoveset!A2:I112,9,FALSE)="Dragon",Backdoors!BF27,Backdoors!BG27)))))/100,Backdoors!BG27/100),"")</f>
        <v>0</v>
      </c>
      <c r="FP66" s="49">
        <f>IFERROR(IF(VLOOKUP(A66,tbMoveset!A2:J112,10,FALSE)=TRUE,IF((Backdoors!AI12+IF(FN66&gt;=0.45,VLOOKUP(Calculator!E23,tbSkills!DH3:DI6,2,FALSE)+IF(AND(Calculator!B8=TRUE,Backdoors!BI27=TRUE),VLOOKUP(Calculator!E23,tbSkills!DH3:DJ6,3,FALSE),0),0))&gt;=0,1+(Backdoors!AL2*(IF((Backdoors!AI12+IF(FN66&gt;=0.45,VLOOKUP(Calculator!E23,tbSkills!DH3:DI6,2,FALSE)+IF(AND(Calculator!B8=TRUE,Backdoors!BI27=TRUE),VLOOKUP(Calculator!E23,tbSkills!DH3:DJ6,3,FALSE),0),0))&gt;=100,100,(Backdoors!AI12+IF(FN66&gt;=0.45,VLOOKUP(Calculator!E23,tbSkills!DH3:DI6,2,FALSE)+IF(AND(Calculator!B8=TRUE,Backdoors!BI27=TRUE),VLOOKUP(Calculator!E23,tbSkills!DH3:DJ6,3,FALSE),0),0)))/100)),(1-(0.25*((-Backdoors!AI12-IF(FN66&gt;=0.45,VLOOKUP(Calculator!E23,tbSkills!DH3:DI6,2,FALSE)+IF(AND(Calculator!B8=TRUE,Backdoors!BI27=TRUE),VLOOKUP(Calculator!E23,tbSkills!DH3:DJ6,3,FALSE),0),0))/100)))),1),"")</f>
        <v>1</v>
      </c>
      <c r="FQ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FN66)*FP66)*(VLOOKUP(A66,tbMoveset!A2:C112,3,FALSE)/100)*IF(VLOOKUP(A66,tbMoveset!A2:B112,2,FALSE)="Projectile",Backdoors!N10,Backdoors!N9),0),"")</f>
        <v/>
      </c>
      <c r="FR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FN66&gt;=0.45,VLOOKUP(Calculator!E23,tbSkills!DH3:DI6,2,FALSE)+IF(AND(Calculator!B8=TRUE,Backdoors!BI27=TRUE),VLOOKUP(Calculator!E23,tbSkills!DH3:DJ6,3,FALSE),0),0))&gt;=100,100,(Backdoors!AI12+IF(FN66&gt;=0.45,VLOOKUP(Calculator!E23,tbSkills!DH3:DI6,2,FALSE)+IF(AND(Calculator!B8=TRUE,Backdoors!BI27=TRUE),VLOOKUP(Calculator!E23,tbSkills!DH3:DJ6,3,FALSE),0),0)))/100)),1))*IF(VLOOKUP(A66,tbMoveset!A2:K112,11,FALSE)=TRUE,Backdoors!AC5,1))*FO66,0),"")</f>
        <v>0</v>
      </c>
      <c r="FS66" s="49">
        <f>VLOOKUP(A66,tbMoveset!A2:G112,7,FALSE)*IFERROR(IF(Backdoors!AI12&gt;=0,1+(IF(Calculator!E40&gt;0,VLOOKUP(Calculator!E40,tbSkills!AI3:AJ5,2,FALSE),Backdoors!AL4)*(IF((Backdoors!AI12+IF(FN66&gt;=0.45,VLOOKUP(Calculator!E23,tbSkills!DH3:DI6,2,FALSE)+IF(AND(Calculator!B8=TRUE,Backdoors!BI27=TRUE),VLOOKUP(Calculator!E23,tbSkills!DH3:DJ6,3,FALSE),0),0))&gt;=100,100,(Backdoors!AI12+IF(FN66&gt;=0.45,VLOOKUP(Calculator!E23,tbSkills!DH3:DI6,2,FALSE)+IF(AND(Calculator!B8=TRUE,Backdoors!BI27=TRUE),VLOOKUP(Calculator!E23,tbSkills!DH3:DJ6,3,FALSE),0),0)))/100)),1),1)</f>
        <v>0.6</v>
      </c>
      <c r="FT66" s="87">
        <f t="shared" si="17"/>
        <v>0</v>
      </c>
      <c r="FU66" s="86" t="str">
        <f>IFERROR(IF(VLOOKUP(A66,tbMoveset!A2:B112,2,FALSE)="Sever",Backdoors!AY28/100,IF(VLOOKUP(A66,tbMoveset!A2:B112,2,FALSE)="Blunt",Backdoors!AZ28/100,Backdoors!BA28/100)),"")</f>
        <v/>
      </c>
      <c r="FV66" s="49">
        <f>IFERROR(IF(VLOOKUP(tbMoveset!A66,tbMoveset!A2:H112,8,FALSE)="Other",IF(VLOOKUP(tbMoveset!A66,tbMoveset!A2:I112,9,FALSE)="Fire",Backdoors!BB28,IF(VLOOKUP(tbMoveset!A66,tbMoveset!A2:I112,9,FALSE)="Water",Backdoors!BC28,IF(VLOOKUP(tbMoveset!A66,tbMoveset!A2:I112,9,FALSE)="Thunder",Backdoors!BD28,IF(VLOOKUP(tbMoveset!A66,tbMoveset!A2:I112,9,FALSE)="Ice",Backdoors!BE28,IF(VLOOKUP(tbMoveset!A66,tbMoveset!A2:I112,9,FALSE)="Dragon",Backdoors!BF28,Backdoors!BG28)))))/100,Backdoors!BG28/100),"")</f>
        <v>0</v>
      </c>
      <c r="FW66" s="49">
        <f>IFERROR(IF(VLOOKUP(A66,tbMoveset!A2:J112,10,FALSE)=TRUE,IF((Backdoors!AI12+IF(FU66&gt;=0.45,VLOOKUP(Calculator!E23,tbSkills!DH3:DI6,2,FALSE)+IF(AND(Calculator!B8=TRUE,Backdoors!BI28=TRUE),VLOOKUP(Calculator!E23,tbSkills!DH3:DJ6,3,FALSE),0),0))&gt;=0,1+(Backdoors!AL2*(IF((Backdoors!AI12+IF(FU66&gt;=0.45,VLOOKUP(Calculator!E23,tbSkills!DH3:DI6,2,FALSE)+IF(AND(Calculator!B8=TRUE,Backdoors!BI28=TRUE),VLOOKUP(Calculator!E23,tbSkills!DH3:DJ6,3,FALSE),0),0))&gt;=100,100,(Backdoors!AI12+IF(FU66&gt;=0.45,VLOOKUP(Calculator!E23,tbSkills!DH3:DI6,2,FALSE)+IF(AND(Calculator!B8=TRUE,Backdoors!BI28=TRUE),VLOOKUP(Calculator!E23,tbSkills!DH3:DJ6,3,FALSE),0),0)))/100)),(1-(0.25*((-Backdoors!AI12-IF(FU66&gt;=0.45,VLOOKUP(Calculator!E23,tbSkills!DH3:DI6,2,FALSE)+IF(AND(Calculator!B8=TRUE,Backdoors!BI28=TRUE),VLOOKUP(Calculator!E23,tbSkills!DH3:DJ6,3,FALSE),0),0))/100)))),1),"")</f>
        <v>1</v>
      </c>
      <c r="FX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FU66)*FW66)*(VLOOKUP(A66,tbMoveset!A2:C112,3,FALSE)/100)*IF(VLOOKUP(A66,tbMoveset!A2:B112,2,FALSE)="Projectile",Backdoors!N10,Backdoors!N9),0),"")</f>
        <v/>
      </c>
      <c r="FY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FU66&gt;=0.45,VLOOKUP(Calculator!E23,tbSkills!DH3:DI6,2,FALSE)+IF(AND(Calculator!B8=TRUE,Backdoors!BI28=TRUE),VLOOKUP(Calculator!E23,tbSkills!DH3:DJ6,3,FALSE),0),0))&gt;=100,100,(Backdoors!AI12+IF(FU66&gt;=0.45,VLOOKUP(Calculator!E23,tbSkills!DH3:DI6,2,FALSE)+IF(AND(Calculator!B8=TRUE,Backdoors!BI28=TRUE),VLOOKUP(Calculator!E23,tbSkills!DH3:DJ6,3,FALSE),0),0)))/100)),1))*IF(VLOOKUP(A66,tbMoveset!A2:K112,11,FALSE)=TRUE,Backdoors!AC5,1))*FV66,0),"")</f>
        <v>0</v>
      </c>
      <c r="FZ66" s="49">
        <f>VLOOKUP(A66,tbMoveset!A2:G112,7,FALSE)*IFERROR(IF(Backdoors!AI12&gt;=0,1+(IF(Calculator!E40&gt;0,VLOOKUP(Calculator!E40,tbSkills!AI3:AJ5,2,FALSE),Backdoors!AL4)*(IF((Backdoors!AI12+IF(FU66&gt;=0.45,VLOOKUP(Calculator!E23,tbSkills!DH3:DI6,2,FALSE)+IF(AND(Calculator!B8=TRUE,Backdoors!BI28=TRUE),VLOOKUP(Calculator!E23,tbSkills!DH3:DJ6,3,FALSE),0),0))&gt;=100,100,(Backdoors!AI12+IF(FU66&gt;=0.45,VLOOKUP(Calculator!E23,tbSkills!DH3:DI6,2,FALSE)+IF(AND(Calculator!B8=TRUE,Backdoors!BI28=TRUE),VLOOKUP(Calculator!E23,tbSkills!DH3:DJ6,3,FALSE),0),0)))/100)),1),1)</f>
        <v>0.6</v>
      </c>
      <c r="GA66" s="87">
        <f t="shared" si="18"/>
        <v>0</v>
      </c>
      <c r="GB66" s="86" t="str">
        <f>IFERROR(IF(VLOOKUP(A66,tbMoveset!A2:B112,2,FALSE)="Sever",Backdoors!AY29/100,IF(VLOOKUP(A66,tbMoveset!A2:B112,2,FALSE)="Blunt",Backdoors!AZ29/100,Backdoors!BA29/100)),"")</f>
        <v/>
      </c>
      <c r="GC66" s="49">
        <f>IFERROR(IF(VLOOKUP(tbMoveset!A66,tbMoveset!A2:H112,8,FALSE)="Other",IF(VLOOKUP(tbMoveset!A66,tbMoveset!A2:I112,9,FALSE)="Fire",Backdoors!BB29,IF(VLOOKUP(tbMoveset!A66,tbMoveset!A2:I112,9,FALSE)="Water",Backdoors!BC29,IF(VLOOKUP(tbMoveset!A66,tbMoveset!A2:I112,9,FALSE)="Thunder",Backdoors!BD29,IF(VLOOKUP(tbMoveset!A66,tbMoveset!A2:I112,9,FALSE)="Ice",Backdoors!BE29,IF(VLOOKUP(tbMoveset!A66,tbMoveset!A2:I112,9,FALSE)="Dragon",Backdoors!BF29,Backdoors!BG29)))))/100,Backdoors!BG29/100),"")</f>
        <v>0</v>
      </c>
      <c r="GD66" s="49">
        <f>IFERROR(IF(VLOOKUP(A66,tbMoveset!A2:J112,10,FALSE)=TRUE,IF((Backdoors!AI12+IF(GB66&gt;=0.45,VLOOKUP(Calculator!E23,tbSkills!DH3:DI6,2,FALSE)+IF(AND(Calculator!B8=TRUE,Backdoors!BI29=TRUE),VLOOKUP(Calculator!E23,tbSkills!DH3:DJ6,3,FALSE),0),0))&gt;=0,1+(Backdoors!AL2*(IF((Backdoors!AI12+IF(GB66&gt;=0.45,VLOOKUP(Calculator!E23,tbSkills!DH3:DI6,2,FALSE)+IF(AND(Calculator!B8=TRUE,Backdoors!BI29=TRUE),VLOOKUP(Calculator!E23,tbSkills!DH3:DJ6,3,FALSE),0),0))&gt;=100,100,(Backdoors!AI12+IF(GB66&gt;=0.45,VLOOKUP(Calculator!E23,tbSkills!DH3:DI6,2,FALSE)+IF(AND(Calculator!B8=TRUE,Backdoors!BI29=TRUE),VLOOKUP(Calculator!E23,tbSkills!DH3:DJ6,3,FALSE),0),0)))/100)),(1-(0.25*((-Backdoors!AI12-IF(GB66&gt;=0.45,VLOOKUP(Calculator!E23,tbSkills!DH3:DI6,2,FALSE)+IF(AND(Calculator!B8=TRUE,Backdoors!BI29=TRUE),VLOOKUP(Calculator!E23,tbSkills!DH3:DJ6,3,FALSE),0),0))/100)))),1),"")</f>
        <v>1</v>
      </c>
      <c r="GE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B66)*GD66)*(VLOOKUP(A66,tbMoveset!A2:C112,3,FALSE)/100)*IF(VLOOKUP(A66,tbMoveset!A2:B112,2,FALSE)="Projectile",Backdoors!N10,Backdoors!N9),0),"")</f>
        <v/>
      </c>
      <c r="GF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B66&gt;=0.45,VLOOKUP(Calculator!E23,tbSkills!DH3:DI6,2,FALSE)+IF(AND(Calculator!B8=TRUE,Backdoors!BI29=TRUE),VLOOKUP(Calculator!E23,tbSkills!DH3:DJ6,3,FALSE),0),0))&gt;=100,100,(Backdoors!AI12+IF(GB66&gt;=0.45,VLOOKUP(Calculator!E23,tbSkills!DH3:DI6,2,FALSE)+IF(AND(Calculator!B8=TRUE,Backdoors!BI29=TRUE),VLOOKUP(Calculator!E23,tbSkills!DH3:DJ6,3,FALSE),0),0)))/100)),1))*IF(VLOOKUP(A66,tbMoveset!A2:K112,11,FALSE)=TRUE,Backdoors!AC5,1))*GC66,0),"")</f>
        <v>0</v>
      </c>
      <c r="GG66" s="49">
        <f>VLOOKUP(A66,tbMoveset!A2:G112,7,FALSE)*IFERROR(IF(Backdoors!AI12&gt;=0,1+(IF(Calculator!E40&gt;0,VLOOKUP(Calculator!E40,tbSkills!AI3:AJ5,2,FALSE),Backdoors!AL4)*(IF((Backdoors!AI12+IF(GB66&gt;=0.45,VLOOKUP(Calculator!E23,tbSkills!DH3:DI6,2,FALSE)+IF(AND(Calculator!B8=TRUE,Backdoors!BI29=TRUE),VLOOKUP(Calculator!E23,tbSkills!DH3:DJ6,3,FALSE),0),0))&gt;=100,100,(Backdoors!AI12+IF(GB66&gt;=0.45,VLOOKUP(Calculator!E23,tbSkills!DH3:DI6,2,FALSE)+IF(AND(Calculator!B8=TRUE,Backdoors!BI29=TRUE),VLOOKUP(Calculator!E23,tbSkills!DH3:DJ6,3,FALSE),0),0)))/100)),1),1)</f>
        <v>0.6</v>
      </c>
      <c r="GH66" s="87">
        <f t="shared" si="19"/>
        <v>0</v>
      </c>
      <c r="GI66" s="86" t="str">
        <f>IFERROR(IF(VLOOKUP(A66,tbMoveset!A2:B112,2,FALSE)="Sever",Backdoors!AY30/100,IF(VLOOKUP(A66,tbMoveset!A2:B112,2,FALSE)="Blunt",Backdoors!AZ30/100,Backdoors!BA30/100)),"")</f>
        <v/>
      </c>
      <c r="GJ66" s="49">
        <f>IFERROR(IF(VLOOKUP(tbMoveset!A66,tbMoveset!A2:H112,8,FALSE)="Other",IF(VLOOKUP(tbMoveset!A66,tbMoveset!A2:I112,9,FALSE)="Fire",Backdoors!BB30,IF(VLOOKUP(tbMoveset!A66,tbMoveset!A2:I112,9,FALSE)="Water",Backdoors!BC30,IF(VLOOKUP(tbMoveset!A66,tbMoveset!A2:I112,9,FALSE)="Thunder",Backdoors!BD30,IF(VLOOKUP(tbMoveset!A66,tbMoveset!A2:I112,9,FALSE)="Ice",Backdoors!BE30,IF(VLOOKUP(tbMoveset!A66,tbMoveset!A2:I112,9,FALSE)="Dragon",Backdoors!BF30,Backdoors!BG30)))))/100,Backdoors!BG30/100),"")</f>
        <v>0</v>
      </c>
      <c r="GK66" s="49">
        <f>IFERROR(IF(VLOOKUP(A66,tbMoveset!A2:J112,10,FALSE)=TRUE,IF((Backdoors!AI12+IF(GI66&gt;=0.45,VLOOKUP(Calculator!E23,tbSkills!DH3:DI6,2,FALSE)+IF(AND(Calculator!B8=TRUE,Backdoors!BI30=TRUE),VLOOKUP(Calculator!E23,tbSkills!DH3:DJ6,3,FALSE),0),0))&gt;=0,1+(Backdoors!AL2*(IF((Backdoors!AI12+IF(GI66&gt;=0.45,VLOOKUP(Calculator!E23,tbSkills!DH3:DI6,2,FALSE)+IF(AND(Calculator!B8=TRUE,Backdoors!BI30=TRUE),VLOOKUP(Calculator!E23,tbSkills!DH3:DJ6,3,FALSE),0),0))&gt;=100,100,(Backdoors!AI12+IF(GI66&gt;=0.45,VLOOKUP(Calculator!E23,tbSkills!DH3:DI6,2,FALSE)+IF(AND(Calculator!B8=TRUE,Backdoors!BI30=TRUE),VLOOKUP(Calculator!E23,tbSkills!DH3:DJ6,3,FALSE),0),0)))/100)),(1-(0.25*((-Backdoors!AI12-IF(GI66&gt;=0.45,VLOOKUP(Calculator!E23,tbSkills!DH3:DI6,2,FALSE)+IF(AND(Calculator!B8=TRUE,Backdoors!BI30=TRUE),VLOOKUP(Calculator!E23,tbSkills!DH3:DJ6,3,FALSE),0),0))/100)))),1),"")</f>
        <v>1</v>
      </c>
      <c r="GL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I66)*GK66)*(VLOOKUP(A66,tbMoveset!A2:C112,3,FALSE)/100)*IF(VLOOKUP(A66,tbMoveset!A2:B112,2,FALSE)="Projectile",Backdoors!N10,Backdoors!N9),0),"")</f>
        <v/>
      </c>
      <c r="GM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I66&gt;=0.45,VLOOKUP(Calculator!E23,tbSkills!DH3:DI6,2,FALSE)+IF(AND(Calculator!B8=TRUE,Backdoors!BI30=TRUE),VLOOKUP(Calculator!E23,tbSkills!DH3:DJ6,3,FALSE),0),0))&gt;=100,100,(Backdoors!AI12+IF(GI66&gt;=0.45,VLOOKUP(Calculator!E23,tbSkills!DH3:DI6,2,FALSE)+IF(AND(Calculator!B8=TRUE,Backdoors!BI30=TRUE),VLOOKUP(Calculator!E23,tbSkills!DH3:DJ6,3,FALSE),0),0)))/100)),1))*IF(VLOOKUP(A66,tbMoveset!A2:K112,11,FALSE)=TRUE,Backdoors!AC5,1))*GJ66,0),"")</f>
        <v>0</v>
      </c>
      <c r="GN66" s="49">
        <f>VLOOKUP(A66,tbMoveset!A2:G112,7,FALSE)*IFERROR(IF(Backdoors!AI12&gt;=0,1+(IF(Calculator!E40&gt;0,VLOOKUP(Calculator!E40,tbSkills!AI3:AJ5,2,FALSE),Backdoors!AL4)*(IF((Backdoors!AI12+IF(GI66&gt;=0.45,VLOOKUP(Calculator!E23,tbSkills!DH3:DI6,2,FALSE)+IF(AND(Calculator!B8=TRUE,Backdoors!BI30=TRUE),VLOOKUP(Calculator!E23,tbSkills!DH3:DJ6,3,FALSE),0),0))&gt;=100,100,(Backdoors!AI12+IF(GI66&gt;=0.45,VLOOKUP(Calculator!E23,tbSkills!DH3:DI6,2,FALSE)+IF(AND(Calculator!B8=TRUE,Backdoors!BI30=TRUE),VLOOKUP(Calculator!E23,tbSkills!DH3:DJ6,3,FALSE),0),0)))/100)),1),1)</f>
        <v>0.6</v>
      </c>
      <c r="GO66" s="87">
        <f t="shared" si="20"/>
        <v>0</v>
      </c>
      <c r="GP66" s="86" t="str">
        <f>IFERROR(IF(VLOOKUP(A66,tbMoveset!A2:B112,2,FALSE)="Sever",Backdoors!AY31/100,IF(VLOOKUP(A66,tbMoveset!A2:B112,2,FALSE)="Blunt",Backdoors!AZ31/100,Backdoors!BA31/100)),"")</f>
        <v/>
      </c>
      <c r="GQ66" s="49">
        <f>IFERROR(IF(VLOOKUP(tbMoveset!A66,tbMoveset!A2:H112,8,FALSE)="Other",IF(VLOOKUP(tbMoveset!A66,tbMoveset!A2:I112,9,FALSE)="Fire",Backdoors!BB31,IF(VLOOKUP(tbMoveset!A66,tbMoveset!A2:I112,9,FALSE)="Water",Backdoors!BC31,IF(VLOOKUP(tbMoveset!A66,tbMoveset!A2:I112,9,FALSE)="Thunder",Backdoors!BD31,IF(VLOOKUP(tbMoveset!A66,tbMoveset!A2:I112,9,FALSE)="Ice",Backdoors!BE31,IF(VLOOKUP(tbMoveset!A66,tbMoveset!A2:I112,9,FALSE)="Dragon",Backdoors!BF31,Backdoors!BG31)))))/100,Backdoors!BG31/100),"")</f>
        <v>0</v>
      </c>
      <c r="GR66" s="49">
        <f>IFERROR(IF(VLOOKUP(A66,tbMoveset!A2:J112,10,FALSE)=TRUE,IF((Backdoors!AI12+IF(GP66&gt;=0.45,VLOOKUP(Calculator!E23,tbSkills!DH3:DI6,2,FALSE)+IF(AND(Calculator!B8=TRUE,Backdoors!BI31=TRUE),VLOOKUP(Calculator!E23,tbSkills!DH3:DJ6,3,FALSE),0),0))&gt;=0,1+(Backdoors!AL2*(IF((Backdoors!AI12+IF(GP66&gt;=0.45,VLOOKUP(Calculator!E23,tbSkills!DH3:DI6,2,FALSE)+IF(AND(Calculator!B8=TRUE,Backdoors!BI31=TRUE),VLOOKUP(Calculator!E23,tbSkills!DH3:DJ6,3,FALSE),0),0))&gt;=100,100,(Backdoors!AI12+IF(GP66&gt;=0.45,VLOOKUP(Calculator!E23,tbSkills!DH3:DI6,2,FALSE)+IF(AND(Calculator!B8=TRUE,Backdoors!BI31=TRUE),VLOOKUP(Calculator!E23,tbSkills!DH3:DJ6,3,FALSE),0),0)))/100)),(1-(0.25*((-Backdoors!AI12-IF(GP66&gt;=0.45,VLOOKUP(Calculator!E23,tbSkills!DH3:DI6,2,FALSE)+IF(AND(Calculator!B8=TRUE,Backdoors!BI31=TRUE),VLOOKUP(Calculator!E23,tbSkills!DH3:DJ6,3,FALSE),0),0))/100)))),1),"")</f>
        <v>1</v>
      </c>
      <c r="GS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P66)*GR66)*(VLOOKUP(A66,tbMoveset!A2:C112,3,FALSE)/100)*IF(VLOOKUP(A66,tbMoveset!A2:B112,2,FALSE)="Projectile",Backdoors!N10,Backdoors!N9),0),"")</f>
        <v/>
      </c>
      <c r="GT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P66&gt;=0.45,VLOOKUP(Calculator!E23,tbSkills!DH3:DI6,2,FALSE)+IF(AND(Calculator!B8=TRUE,Backdoors!BI31=TRUE),VLOOKUP(Calculator!E23,tbSkills!DH3:DJ6,3,FALSE),0),0))&gt;=100,100,(Backdoors!AI12+IF(GP66&gt;=0.45,VLOOKUP(Calculator!E23,tbSkills!DH3:DI6,2,FALSE)+IF(AND(Calculator!B8=TRUE,Backdoors!BI31=TRUE),VLOOKUP(Calculator!E23,tbSkills!DH3:DJ6,3,FALSE),0),0)))/100)),1))*IF(VLOOKUP(A66,tbMoveset!A2:K112,11,FALSE)=TRUE,Backdoors!AC5,1))*GQ66,0),"")</f>
        <v>0</v>
      </c>
      <c r="GU66" s="49">
        <f>VLOOKUP(A66,tbMoveset!A2:G112,7,FALSE)*IFERROR(IF(Backdoors!AI12&gt;=0,1+(IF(Calculator!E40&gt;0,VLOOKUP(Calculator!E40,tbSkills!AI3:AJ5,2,FALSE),Backdoors!AL4)*(IF((Backdoors!AI12+IF(GP66&gt;=0.45,VLOOKUP(Calculator!E23,tbSkills!DH3:DI6,2,FALSE)+IF(AND(Calculator!B8=TRUE,Backdoors!BI31=TRUE),VLOOKUP(Calculator!E23,tbSkills!DH3:DJ6,3,FALSE),0),0))&gt;=100,100,(Backdoors!AI12+IF(GP66&gt;=0.45,VLOOKUP(Calculator!E23,tbSkills!DH3:DI6,2,FALSE)+IF(AND(Calculator!B8=TRUE,Backdoors!BI31=TRUE),VLOOKUP(Calculator!E23,tbSkills!DH3:DJ6,3,FALSE),0),0)))/100)),1),1)</f>
        <v>0.6</v>
      </c>
      <c r="GV66" s="87">
        <f t="shared" si="21"/>
        <v>0</v>
      </c>
      <c r="GW66" s="86" t="str">
        <f>IFERROR(IF(VLOOKUP(A66,tbMoveset!A2:B112,2,FALSE)="Sever",Backdoors!AY32/100,IF(VLOOKUP(A66,tbMoveset!A2:B112,2,FALSE)="Blunt",Backdoors!AZ32/100,Backdoors!BA32/100)),"")</f>
        <v/>
      </c>
      <c r="GX66" s="49">
        <f>IFERROR(IF(VLOOKUP(tbMoveset!A66,tbMoveset!A2:H112,8,FALSE)="Other",IF(VLOOKUP(tbMoveset!A66,tbMoveset!A2:I112,9,FALSE)="Fire",Backdoors!BB32,IF(VLOOKUP(tbMoveset!A66,tbMoveset!A2:I112,9,FALSE)="Water",Backdoors!BC32,IF(VLOOKUP(tbMoveset!A66,tbMoveset!A2:I112,9,FALSE)="Thunder",Backdoors!BD32,IF(VLOOKUP(tbMoveset!A66,tbMoveset!A2:I112,9,FALSE)="Ice",Backdoors!BE32,IF(VLOOKUP(tbMoveset!A66,tbMoveset!A2:I112,9,FALSE)="Dragon",Backdoors!BF32,Backdoors!BG32)))))/100,Backdoors!BG32/100),"")</f>
        <v>0</v>
      </c>
      <c r="GY66" s="49">
        <f>IFERROR(IF(VLOOKUP(A66,tbMoveset!A2:J112,10,FALSE)=TRUE,IF((Backdoors!AI12+IF(GW66&gt;=0.45,VLOOKUP(Calculator!E23,tbSkills!DH3:DI6,2,FALSE)+IF(AND(Calculator!B8=TRUE,Backdoors!BI32=TRUE),VLOOKUP(Calculator!E23,tbSkills!DH3:DJ6,3,FALSE),0),0))&gt;=0,1+(Backdoors!AL2*(IF((Backdoors!AI12+IF(GW66&gt;=0.45,VLOOKUP(Calculator!E23,tbSkills!DH3:DI6,2,FALSE)+IF(AND(Calculator!B8=TRUE,Backdoors!BI32=TRUE),VLOOKUP(Calculator!E23,tbSkills!DH3:DJ6,3,FALSE),0),0))&gt;=100,100,(Backdoors!AI12+IF(GW66&gt;=0.45,VLOOKUP(Calculator!E23,tbSkills!DH3:DI6,2,FALSE)+IF(AND(Calculator!B8=TRUE,Backdoors!BI32=TRUE),VLOOKUP(Calculator!E23,tbSkills!DH3:DJ6,3,FALSE),0),0)))/100)),(1-(0.25*((-Backdoors!AI12-IF(GW66&gt;=0.45,VLOOKUP(Calculator!E23,tbSkills!DH3:DI6,2,FALSE)+IF(AND(Calculator!B8=TRUE,Backdoors!BI32=TRUE),VLOOKUP(Calculator!E23,tbSkills!DH3:DJ6,3,FALSE),0),0))/100)))),1),"")</f>
        <v>1</v>
      </c>
      <c r="GZ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W66)*GY66)*(VLOOKUP(A66,tbMoveset!A2:C112,3,FALSE)/100)*IF(VLOOKUP(A66,tbMoveset!A2:B112,2,FALSE)="Projectile",Backdoors!N10,Backdoors!N9),0),"")</f>
        <v/>
      </c>
      <c r="HA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W66&gt;=0.45,VLOOKUP(Calculator!E23,tbSkills!DH3:DI6,2,FALSE)+IF(AND(Calculator!B8=TRUE,Backdoors!BI32=TRUE),VLOOKUP(Calculator!E23,tbSkills!DH3:DJ6,3,FALSE),0),0))&gt;=100,100,(Backdoors!AI12+IF(GW66&gt;=0.45,VLOOKUP(Calculator!E23,tbSkills!DH3:DI6,2,FALSE)+IF(AND(Calculator!B8=TRUE,Backdoors!BI32=TRUE),VLOOKUP(Calculator!E23,tbSkills!DH3:DJ6,3,FALSE),0),0)))/100)),1))*IF(VLOOKUP(A66,tbMoveset!A2:K112,11,FALSE)=TRUE,Backdoors!AC5,1))*GX66,0),"")</f>
        <v>0</v>
      </c>
      <c r="HB66" s="49">
        <f>VLOOKUP(A66,tbMoveset!A2:G112,7,FALSE)*IFERROR(IF(Backdoors!AI12&gt;=0,1+(IF(Calculator!E40&gt;0,VLOOKUP(Calculator!E40,tbSkills!AI3:AJ5,2,FALSE),Backdoors!AL4)*(IF((Backdoors!AI12+IF(GW66&gt;=0.45,VLOOKUP(Calculator!E23,tbSkills!DH3:DI6,2,FALSE)+IF(AND(Calculator!B8=TRUE,Backdoors!BI32=TRUE),VLOOKUP(Calculator!E23,tbSkills!DH3:DJ6,3,FALSE),0),0))&gt;=100,100,(Backdoors!AI12+IF(GW66&gt;=0.45,VLOOKUP(Calculator!E23,tbSkills!DH3:DI6,2,FALSE)+IF(AND(Calculator!B8=TRUE,Backdoors!BI32=TRUE),VLOOKUP(Calculator!E23,tbSkills!DH3:DJ6,3,FALSE),0),0)))/100)),1),1)</f>
        <v>0.6</v>
      </c>
      <c r="HC66" s="87">
        <f t="shared" si="22"/>
        <v>0</v>
      </c>
      <c r="HD66" s="86" t="str">
        <f>IFERROR(IF(VLOOKUP(A66,tbMoveset!A2:B112,2,FALSE)="Sever",Backdoors!AY33/100,IF(VLOOKUP(A66,tbMoveset!A2:B112,2,FALSE)="Blunt",Backdoors!AZ33/100,Backdoors!BA33/100)),"")</f>
        <v/>
      </c>
      <c r="HE66" s="49">
        <f>IFERROR(IF(VLOOKUP(tbMoveset!A66,tbMoveset!A2:H112,8,FALSE)="Other",IF(VLOOKUP(tbMoveset!A66,tbMoveset!A2:I112,9,FALSE)="Fire",Backdoors!BB33,IF(VLOOKUP(tbMoveset!A66,tbMoveset!A2:I112,9,FALSE)="Water",Backdoors!BC33,IF(VLOOKUP(tbMoveset!A66,tbMoveset!A2:I112,9,FALSE)="Thunder",Backdoors!BD33,IF(VLOOKUP(tbMoveset!A66,tbMoveset!A2:I112,9,FALSE)="Ice",Backdoors!BE33,IF(VLOOKUP(tbMoveset!A66,tbMoveset!A2:I112,9,FALSE)="Dragon",Backdoors!BF33,Backdoors!BG33)))))/100,Backdoors!BG33/100),"")</f>
        <v>0</v>
      </c>
      <c r="HF66" s="49">
        <f>IFERROR(IF(VLOOKUP(A66,tbMoveset!A2:J112,10,FALSE)=TRUE,IF((Backdoors!AI12+IF(HD66&gt;=0.45,VLOOKUP(Calculator!E23,tbSkills!DH3:DI6,2,FALSE)+IF(AND(Calculator!B8=TRUE,Backdoors!BI33=TRUE),VLOOKUP(Calculator!E23,tbSkills!DH3:DJ6,3,FALSE),0),0))&gt;=0,1+(Backdoors!AL2*(IF((Backdoors!AI12+IF(HD66&gt;=0.45,VLOOKUP(Calculator!E23,tbSkills!DH3:DI6,2,FALSE)+IF(AND(Calculator!B8=TRUE,Backdoors!BI33=TRUE),VLOOKUP(Calculator!E23,tbSkills!DH3:DJ6,3,FALSE),0),0))&gt;=100,100,(Backdoors!AI12+IF(HD66&gt;=0.45,VLOOKUP(Calculator!E23,tbSkills!DH3:DI6,2,FALSE)+IF(AND(Calculator!B8=TRUE,Backdoors!BI33=TRUE),VLOOKUP(Calculator!E23,tbSkills!DH3:DJ6,3,FALSE),0),0)))/100)),(1-(0.25*((-Backdoors!AI12-IF(HD66&gt;=0.45,VLOOKUP(Calculator!E23,tbSkills!DH3:DI6,2,FALSE)+IF(AND(Calculator!B8=TRUE,Backdoors!BI33=TRUE),VLOOKUP(Calculator!E23,tbSkills!DH3:DJ6,3,FALSE),0),0))/100)))),1),"")</f>
        <v>1</v>
      </c>
      <c r="HG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D66)*HF66)*(VLOOKUP(A66,tbMoveset!A2:C112,3,FALSE)/100)*IF(VLOOKUP(A66,tbMoveset!A2:B112,2,FALSE)="Projectile",Backdoors!N10,Backdoors!N9),0),"")</f>
        <v/>
      </c>
      <c r="HH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D66&gt;=0.45,VLOOKUP(Calculator!E23,tbSkills!DH3:DI6,2,FALSE)+IF(AND(Calculator!B8=TRUE,Backdoors!BI33=TRUE),VLOOKUP(Calculator!E23,tbSkills!DH3:DJ6,3,FALSE),0),0))&gt;=100,100,(Backdoors!AI12+IF(HD66&gt;=0.45,VLOOKUP(Calculator!E23,tbSkills!DH3:DI6,2,FALSE)+IF(AND(Calculator!B8=TRUE,Backdoors!BI33=TRUE),VLOOKUP(Calculator!E23,tbSkills!DH3:DJ6,3,FALSE),0),0)))/100)),1))*IF(VLOOKUP(A66,tbMoveset!A2:K112,11,FALSE)=TRUE,Backdoors!AC5,1))*HE66,0),"")</f>
        <v>0</v>
      </c>
      <c r="HI66" s="49">
        <f>VLOOKUP(A66,tbMoveset!A2:G112,7,FALSE)*IFERROR(IF(Backdoors!AI12&gt;=0,1+(IF(Calculator!E40&gt;0,VLOOKUP(Calculator!E40,tbSkills!AI3:AJ5,2,FALSE),Backdoors!AL4)*(IF((Backdoors!AI12+IF(HD66&gt;=0.45,VLOOKUP(Calculator!E23,tbSkills!DH3:DI6,2,FALSE)+IF(AND(Calculator!B8=TRUE,Backdoors!BI33=TRUE),VLOOKUP(Calculator!E23,tbSkills!DH3:DJ6,3,FALSE),0),0))&gt;=100,100,(Backdoors!AI12+IF(HD66&gt;=0.45,VLOOKUP(Calculator!E23,tbSkills!DH3:DI6,2,FALSE)+IF(AND(Calculator!B8=TRUE,Backdoors!BI33=TRUE),VLOOKUP(Calculator!E23,tbSkills!DH3:DJ6,3,FALSE),0),0)))/100)),1),1)</f>
        <v>0.6</v>
      </c>
      <c r="HJ66" s="87">
        <f t="shared" si="23"/>
        <v>0</v>
      </c>
      <c r="HK66" s="86" t="str">
        <f>IFERROR(IF(VLOOKUP(A66,tbMoveset!A2:B112,2,FALSE)="Sever",Backdoors!AY34/100,IF(VLOOKUP(A66,tbMoveset!A2:B112,2,FALSE)="Blunt",Backdoors!AZ34/100,Backdoors!BA34/100)),"")</f>
        <v/>
      </c>
      <c r="HL66" s="49">
        <f>IFERROR(IF(VLOOKUP(tbMoveset!A66,tbMoveset!A2:H112,8,FALSE)="Other",IF(VLOOKUP(tbMoveset!A66,tbMoveset!A2:I112,9,FALSE)="Fire",Backdoors!BB34,IF(VLOOKUP(tbMoveset!A66,tbMoveset!A2:I112,9,FALSE)="Water",Backdoors!BC34,IF(VLOOKUP(tbMoveset!A66,tbMoveset!A2:I112,9,FALSE)="Thunder",Backdoors!BD34,IF(VLOOKUP(tbMoveset!A66,tbMoveset!A2:I112,9,FALSE)="Ice",Backdoors!BE34,IF(VLOOKUP(tbMoveset!A66,tbMoveset!A2:I112,9,FALSE)="Dragon",Backdoors!BF34,Backdoors!BG34)))))/100,Backdoors!BG34/100),"")</f>
        <v>0</v>
      </c>
      <c r="HM66" s="49">
        <f>IFERROR(IF(VLOOKUP(A66,tbMoveset!A2:J112,10,FALSE)=TRUE,IF((Backdoors!AI12+IF(HK66&gt;=0.45,VLOOKUP(Calculator!E23,tbSkills!DH3:DI6,2,FALSE)+IF(AND(Calculator!B8=TRUE,Backdoors!BI34=TRUE),VLOOKUP(Calculator!E23,tbSkills!DH3:DJ6,3,FALSE),0),0))&gt;=0,1+(Backdoors!AL2*(IF((Backdoors!AI12+IF(HK66&gt;=0.45,VLOOKUP(Calculator!E23,tbSkills!DH3:DI6,2,FALSE)+IF(AND(Calculator!B8=TRUE,Backdoors!BI34=TRUE),VLOOKUP(Calculator!E23,tbSkills!DH3:DJ6,3,FALSE),0),0))&gt;=100,100,(Backdoors!AI12+IF(HK66&gt;=0.45,VLOOKUP(Calculator!E23,tbSkills!DH3:DI6,2,FALSE)+IF(AND(Calculator!B8=TRUE,Backdoors!BI34=TRUE),VLOOKUP(Calculator!E23,tbSkills!DH3:DJ6,3,FALSE),0),0)))/100)),(1-(0.25*((-Backdoors!AI12-IF(HK66&gt;=0.45,VLOOKUP(Calculator!E23,tbSkills!DH3:DI6,2,FALSE)+IF(AND(Calculator!B8=TRUE,Backdoors!BI34=TRUE),VLOOKUP(Calculator!E23,tbSkills!DH3:DJ6,3,FALSE),0),0))/100)))),1),"")</f>
        <v>1</v>
      </c>
      <c r="HN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K66)*HM66)*(VLOOKUP(A66,tbMoveset!A2:C112,3,FALSE)/100)*IF(VLOOKUP(A66,tbMoveset!A2:B112,2,FALSE)="Projectile",Backdoors!N10,Backdoors!N9),0),"")</f>
        <v/>
      </c>
      <c r="HO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K66&gt;=0.45,VLOOKUP(Calculator!E23,tbSkills!DH3:DI6,2,FALSE)+IF(AND(Calculator!B8=TRUE,Backdoors!BI34=TRUE),VLOOKUP(Calculator!E23,tbSkills!DH3:DJ6,3,FALSE),0),0))&gt;=100,100,(Backdoors!AI12+IF(HK66&gt;=0.45,VLOOKUP(Calculator!E23,tbSkills!DH3:DI6,2,FALSE)+IF(AND(Calculator!B8=TRUE,Backdoors!BI34=TRUE),VLOOKUP(Calculator!E23,tbSkills!DH3:DJ6,3,FALSE),0),0)))/100)),1))*IF(VLOOKUP(A66,tbMoveset!A2:K112,11,FALSE)=TRUE,Backdoors!AC5,1))*HL66,0),"")</f>
        <v>0</v>
      </c>
      <c r="HP66" s="49">
        <f>VLOOKUP(A66,tbMoveset!A2:G112,7,FALSE)*IFERROR(IF(Backdoors!AI12&gt;=0,1+(IF(Calculator!E40&gt;0,VLOOKUP(Calculator!E40,tbSkills!AI3:AJ5,2,FALSE),Backdoors!AL4)*(IF((Backdoors!AI12+IF(HK66&gt;=0.45,VLOOKUP(Calculator!E23,tbSkills!DH3:DI6,2,FALSE)+IF(AND(Calculator!B8=TRUE,Backdoors!BI34=TRUE),VLOOKUP(Calculator!E23,tbSkills!DH3:DJ6,3,FALSE),0),0))&gt;=100,100,(Backdoors!AI12+IF(HK66&gt;=0.45,VLOOKUP(Calculator!E23,tbSkills!DH3:DI6,2,FALSE)+IF(AND(Calculator!B8=TRUE,Backdoors!BI34=TRUE),VLOOKUP(Calculator!E23,tbSkills!DH3:DJ6,3,FALSE),0),0)))/100)),1),1)</f>
        <v>0.6</v>
      </c>
      <c r="HQ66" s="87">
        <f t="shared" si="24"/>
        <v>0</v>
      </c>
      <c r="HR66" s="86" t="str">
        <f>IFERROR(IF(VLOOKUP(A66,tbMoveset!A2:B112,2,FALSE)="Sever",Backdoors!AY35/100,IF(VLOOKUP(A66,tbMoveset!A2:B112,2,FALSE)="Blunt",Backdoors!AZ35/100,Backdoors!BA35/100)),"")</f>
        <v/>
      </c>
      <c r="HS66" s="49">
        <f>IFERROR(IF(VLOOKUP(tbMoveset!A66,tbMoveset!A2:H112,8,FALSE)="Other",IF(VLOOKUP(tbMoveset!A66,tbMoveset!A2:I112,9,FALSE)="Fire",Backdoors!BB35,IF(VLOOKUP(tbMoveset!A66,tbMoveset!A2:I112,9,FALSE)="Water",Backdoors!BC35,IF(VLOOKUP(tbMoveset!A66,tbMoveset!A2:I112,9,FALSE)="Thunder",Backdoors!BD35,IF(VLOOKUP(tbMoveset!A66,tbMoveset!A2:I112,9,FALSE)="Ice",Backdoors!BE35,IF(VLOOKUP(tbMoveset!A66,tbMoveset!A2:I112,9,FALSE)="Dragon",Backdoors!BF35,Backdoors!BG35)))))/100,Backdoors!BG35/100),"")</f>
        <v>0</v>
      </c>
      <c r="HT66" s="49">
        <f>IFERROR(IF(VLOOKUP(A66,tbMoveset!A2:J112,10,FALSE)=TRUE,IF((Backdoors!AI12+IF(HR66&gt;=0.45,VLOOKUP(Calculator!E23,tbSkills!DH3:DI6,2,FALSE)+IF(AND(Calculator!B8=TRUE,Backdoors!BI35=TRUE),VLOOKUP(Calculator!E23,tbSkills!DH3:DJ6,3,FALSE),0),0))&gt;=0,1+(Backdoors!AL2*(IF((Backdoors!AI12+IF(HR66&gt;=0.45,VLOOKUP(Calculator!E23,tbSkills!DH3:DI6,2,FALSE)+IF(AND(Calculator!B8=TRUE,Backdoors!BI35=TRUE),VLOOKUP(Calculator!E23,tbSkills!DH3:DJ6,3,FALSE),0),0))&gt;=100,100,(Backdoors!AI12+IF(HR66&gt;=0.45,VLOOKUP(Calculator!E23,tbSkills!DH3:DI6,2,FALSE)+IF(AND(Calculator!B8=TRUE,Backdoors!BI35=TRUE),VLOOKUP(Calculator!E23,tbSkills!DH3:DJ6,3,FALSE),0),0)))/100)),(1-(0.25*((-Backdoors!AI12-IF(HR66&gt;=0.45,VLOOKUP(Calculator!E23,tbSkills!DH3:DI6,2,FALSE)+IF(AND(Calculator!B8=TRUE,Backdoors!BI35=TRUE),VLOOKUP(Calculator!E23,tbSkills!DH3:DJ6,3,FALSE),0),0))/100)))),1),"")</f>
        <v>1</v>
      </c>
      <c r="HU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R66)*HT66)*(VLOOKUP(A66,tbMoveset!A2:C112,3,FALSE)/100)*IF(VLOOKUP(A66,tbMoveset!A2:B112,2,FALSE)="Projectile",Backdoors!N10,Backdoors!N9),0),"")</f>
        <v/>
      </c>
      <c r="HV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R66&gt;=0.45,VLOOKUP(Calculator!E23,tbSkills!DH3:DI6,2,FALSE)+IF(AND(Calculator!B8=TRUE,Backdoors!BI35=TRUE),VLOOKUP(Calculator!E23,tbSkills!DH3:DJ6,3,FALSE),0),0))&gt;=100,100,(Backdoors!AI12+IF(HR66&gt;=0.45,VLOOKUP(Calculator!E23,tbSkills!DH3:DI6,2,FALSE)+IF(AND(Calculator!B8=TRUE,Backdoors!BI35=TRUE),VLOOKUP(Calculator!E23,tbSkills!DH3:DJ6,3,FALSE),0),0)))/100)),1))*IF(VLOOKUP(A66,tbMoveset!A2:K112,11,FALSE)=TRUE,Backdoors!AC5,1))*HS66,0),"")</f>
        <v>0</v>
      </c>
      <c r="HW66" s="49">
        <f>VLOOKUP(A66,tbMoveset!A2:G112,7,FALSE)*IFERROR(IF(Backdoors!AI12&gt;=0,1+(IF(Calculator!E40&gt;0,VLOOKUP(Calculator!E40,tbSkills!AI3:AJ5,2,FALSE),Backdoors!AL4)*(IF((Backdoors!AI12+IF(HR66&gt;=0.45,VLOOKUP(Calculator!E23,tbSkills!DH3:DI6,2,FALSE)+IF(AND(Calculator!B8=TRUE,Backdoors!BI35=TRUE),VLOOKUP(Calculator!E23,tbSkills!DH3:DJ6,3,FALSE),0),0))&gt;=100,100,(Backdoors!AI12+IF(HR66&gt;=0.45,VLOOKUP(Calculator!E23,tbSkills!DH3:DI6,2,FALSE)+IF(AND(Calculator!B8=TRUE,Backdoors!BI35=TRUE),VLOOKUP(Calculator!E23,tbSkills!DH3:DJ6,3,FALSE),0),0)))/100)),1),1)</f>
        <v>0.6</v>
      </c>
      <c r="HX66" s="87">
        <f t="shared" si="25"/>
        <v>0</v>
      </c>
      <c r="HY66" s="86" t="str">
        <f>IFERROR(IF(VLOOKUP(A66,tbMoveset!A2:B112,2,FALSE)="Sever",Backdoors!AY36/100,IF(VLOOKUP(A66,tbMoveset!A2:B112,2,FALSE)="Blunt",Backdoors!AZ36/100,Backdoors!BA36/100)),"")</f>
        <v/>
      </c>
      <c r="HZ66" s="49">
        <f>IFERROR(IF(VLOOKUP(tbMoveset!A66,tbMoveset!A2:H112,8,FALSE)="Other",IF(VLOOKUP(tbMoveset!A66,tbMoveset!A2:I112,9,FALSE)="Fire",Backdoors!BB36,IF(VLOOKUP(tbMoveset!A66,tbMoveset!A2:I112,9,FALSE)="Water",Backdoors!BC36,IF(VLOOKUP(tbMoveset!A66,tbMoveset!A2:I112,9,FALSE)="Thunder",Backdoors!BD36,IF(VLOOKUP(tbMoveset!A66,tbMoveset!A2:I112,9,FALSE)="Ice",Backdoors!BE36,IF(VLOOKUP(tbMoveset!A66,tbMoveset!A2:I112,9,FALSE)="Dragon",Backdoors!BF36,Backdoors!BG36)))))/100,Backdoors!BG36/100),"")</f>
        <v>0</v>
      </c>
      <c r="IA66" s="49">
        <f>IFERROR(IF(VLOOKUP(A66,tbMoveset!A2:J112,10,FALSE)=TRUE,IF((Backdoors!AI12+IF(HY66&gt;=0.45,VLOOKUP(Calculator!E23,tbSkills!DH3:DI6,2,FALSE)+IF(AND(Calculator!B8=TRUE,Backdoors!BI36=TRUE),VLOOKUP(Calculator!E23,tbSkills!DH3:DJ6,3,FALSE),0),0))&gt;=0,1+(Backdoors!AL2*(IF((Backdoors!AI12+IF(HY66&gt;=0.45,VLOOKUP(Calculator!E23,tbSkills!DH3:DI6,2,FALSE)+IF(AND(Calculator!B8=TRUE,Backdoors!BI36=TRUE),VLOOKUP(Calculator!E23,tbSkills!DH3:DJ6,3,FALSE),0),0))&gt;=100,100,(Backdoors!AI12+IF(HY66&gt;=0.45,VLOOKUP(Calculator!E23,tbSkills!DH3:DI6,2,FALSE)+IF(AND(Calculator!B8=TRUE,Backdoors!BI36=TRUE),VLOOKUP(Calculator!E23,tbSkills!DH3:DJ6,3,FALSE),0),0)))/100)),(1-(0.25*((-Backdoors!AI12-IF(HY66&gt;=0.45,VLOOKUP(Calculator!E23,tbSkills!DH3:DI6,2,FALSE)+IF(AND(Calculator!B8=TRUE,Backdoors!BI36=TRUE),VLOOKUP(Calculator!E23,tbSkills!DH3:DJ6,3,FALSE),0),0))/100)))),1),"")</f>
        <v>1</v>
      </c>
      <c r="IB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Y66)*IA66)*(VLOOKUP(A66,tbMoveset!A2:C112,3,FALSE)/100)*IF(VLOOKUP(A66,tbMoveset!A2:B112,2,FALSE)="Projectile",Backdoors!N10,Backdoors!N9),0),"")</f>
        <v/>
      </c>
      <c r="IC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Y66&gt;=0.45,VLOOKUP(Calculator!E23,tbSkills!DH3:DI6,2,FALSE)+IF(AND(Calculator!B8=TRUE,Backdoors!BI36=TRUE),VLOOKUP(Calculator!E23,tbSkills!DH3:DJ6,3,FALSE),0),0))&gt;=100,100,(Backdoors!AI12+IF(HY66&gt;=0.45,VLOOKUP(Calculator!E23,tbSkills!DH3:DI6,2,FALSE)+IF(AND(Calculator!B8=TRUE,Backdoors!BI36=TRUE),VLOOKUP(Calculator!E23,tbSkills!DH3:DJ6,3,FALSE),0),0)))/100)),1))*IF(VLOOKUP(A66,tbMoveset!A2:K112,11,FALSE)=TRUE,Backdoors!AC5,1))*HZ66,0),"")</f>
        <v>0</v>
      </c>
      <c r="ID66" s="49">
        <f>VLOOKUP(A66,tbMoveset!A2:G112,7,FALSE)*IFERROR(IF(Backdoors!AI12&gt;=0,1+(IF(Calculator!E40&gt;0,VLOOKUP(Calculator!E40,tbSkills!AI3:AJ5,2,FALSE),Backdoors!AL4)*(IF((Backdoors!AI12+IF(HY66&gt;=0.45,VLOOKUP(Calculator!E23,tbSkills!DH3:DI6,2,FALSE)+IF(AND(Calculator!B8=TRUE,Backdoors!BI36=TRUE),VLOOKUP(Calculator!E23,tbSkills!DH3:DJ6,3,FALSE),0),0))&gt;=100,100,(Backdoors!AI12+IF(HY66&gt;=0.45,VLOOKUP(Calculator!E23,tbSkills!DH3:DI6,2,FALSE)+IF(AND(Calculator!B8=TRUE,Backdoors!BI36=TRUE),VLOOKUP(Calculator!E23,tbSkills!DH3:DJ6,3,FALSE),0),0)))/100)),1),1)</f>
        <v>0.6</v>
      </c>
      <c r="IE66" s="87">
        <f t="shared" si="26"/>
        <v>0</v>
      </c>
      <c r="IF66" s="86" t="str">
        <f>IFERROR(IF(VLOOKUP(A66,tbMoveset!A2:B112,2,FALSE)="Sever",Backdoors!AY37/100,IF(VLOOKUP(A66,tbMoveset!A2:B112,2,FALSE)="Blunt",Backdoors!AZ37/100,Backdoors!BA37/100)),"")</f>
        <v/>
      </c>
      <c r="IG66" s="49">
        <f>IFERROR(IF(VLOOKUP(tbMoveset!A66,tbMoveset!A2:H112,8,FALSE)="Other",IF(VLOOKUP(tbMoveset!A66,tbMoveset!A2:I112,9,FALSE)="Fire",Backdoors!BB37,IF(VLOOKUP(tbMoveset!A66,tbMoveset!A2:I112,9,FALSE)="Water",Backdoors!BC37,IF(VLOOKUP(tbMoveset!A66,tbMoveset!A2:I112,9,FALSE)="Thunder",Backdoors!BD37,IF(VLOOKUP(tbMoveset!A66,tbMoveset!A2:I112,9,FALSE)="Ice",Backdoors!BE37,IF(VLOOKUP(tbMoveset!A66,tbMoveset!A2:I112,9,FALSE)="Dragon",Backdoors!BF37,Backdoors!BG37)))))/100,Backdoors!BG37/100),"")</f>
        <v>0</v>
      </c>
      <c r="IH66" s="49">
        <f>IFERROR(IF(VLOOKUP(A66,tbMoveset!A2:J112,10,FALSE)=TRUE,IF((Backdoors!AI12+IF(IF66&gt;=0.45,VLOOKUP(Calculator!E23,tbSkills!DH3:DI6,2,FALSE)+IF(AND(Calculator!B8=TRUE,Backdoors!BI37=TRUE),VLOOKUP(Calculator!E23,tbSkills!DH3:DJ6,3,FALSE),0),0))&gt;=0,1+(Backdoors!AL2*(IF((Backdoors!AI12+IF(IF66&gt;=0.45,VLOOKUP(Calculator!E23,tbSkills!DH3:DI6,2,FALSE)+IF(AND(Calculator!B8=TRUE,Backdoors!BI37=TRUE),VLOOKUP(Calculator!E23,tbSkills!DH3:DJ6,3,FALSE),0),0))&gt;=100,100,(Backdoors!AI12+IF(IF66&gt;=0.45,VLOOKUP(Calculator!E23,tbSkills!DH3:DI6,2,FALSE)+IF(AND(Calculator!B8=TRUE,Backdoors!BI37=TRUE),VLOOKUP(Calculator!E23,tbSkills!DH3:DJ6,3,FALSE),0),0)))/100)),(1-(0.25*((-Backdoors!AI12-IF(IF66&gt;=0.45,VLOOKUP(Calculator!E23,tbSkills!DH3:DI6,2,FALSE)+IF(AND(Calculator!B8=TRUE,Backdoors!BI37=TRUE),VLOOKUP(Calculator!E23,tbSkills!DH3:DJ6,3,FALSE),0),0))/100)))),1),"")</f>
        <v>1</v>
      </c>
      <c r="II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F66)*IH66)*(VLOOKUP(A66,tbMoveset!A2:C112,3,FALSE)/100)*IF(VLOOKUP(A66,tbMoveset!A2:B112,2,FALSE)="Projectile",Backdoors!N10,Backdoors!N9),0),"")</f>
        <v/>
      </c>
      <c r="IJ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IF66&gt;=0.45,VLOOKUP(Calculator!E23,tbSkills!DH3:DI6,2,FALSE)+IF(AND(Calculator!B8=TRUE,Backdoors!BI37=TRUE),VLOOKUP(Calculator!E23,tbSkills!DH3:DJ6,3,FALSE),0),0))&gt;=100,100,(Backdoors!AI12+IF(IF66&gt;=0.45,VLOOKUP(Calculator!E23,tbSkills!DH3:DI6,2,FALSE)+IF(AND(Calculator!B8=TRUE,Backdoors!BI37=TRUE),VLOOKUP(Calculator!E23,tbSkills!DH3:DJ6,3,FALSE),0),0)))/100)),1))*IF(VLOOKUP(A66,tbMoveset!A2:K112,11,FALSE)=TRUE,Backdoors!AC5,1))*IG66,0),"")</f>
        <v>0</v>
      </c>
      <c r="IK66" s="49">
        <f>VLOOKUP(A66,tbMoveset!A2:G112,7,FALSE)*IFERROR(IF(Backdoors!AI12&gt;=0,1+(IF(Calculator!E40&gt;0,VLOOKUP(Calculator!E40,tbSkills!AI3:AJ5,2,FALSE),Backdoors!AL4)*(IF((Backdoors!AI12+IF(IF66&gt;=0.45,VLOOKUP(Calculator!E23,tbSkills!DH3:DI6,2,FALSE)+IF(AND(Calculator!B8=TRUE,Backdoors!BI37=TRUE),VLOOKUP(Calculator!E23,tbSkills!DH3:DJ6,3,FALSE),0),0))&gt;=100,100,(Backdoors!AI12+IF(IF66&gt;=0.45,VLOOKUP(Calculator!E23,tbSkills!DH3:DI6,2,FALSE)+IF(AND(Calculator!B8=TRUE,Backdoors!BI37=TRUE),VLOOKUP(Calculator!E23,tbSkills!DH3:DJ6,3,FALSE),0),0)))/100)),1),1)</f>
        <v>0.6</v>
      </c>
      <c r="IL66" s="87">
        <f t="shared" si="27"/>
        <v>0</v>
      </c>
      <c r="IM66" s="86" t="str">
        <f>IFERROR(IF(VLOOKUP(A66,tbMoveset!A2:B112,2,FALSE)="Sever",Backdoors!AY38/100,IF(VLOOKUP(A66,tbMoveset!A2:B112,2,FALSE)="Blunt",Backdoors!AZ38/100,Backdoors!BA38/100)),"")</f>
        <v/>
      </c>
      <c r="IN66" s="49">
        <f>IFERROR(IF(VLOOKUP(tbMoveset!A66,tbMoveset!A2:H112,8,FALSE)="Other",IF(VLOOKUP(tbMoveset!A66,tbMoveset!A2:I112,9,FALSE)="Fire",Backdoors!BB38,IF(VLOOKUP(tbMoveset!A66,tbMoveset!A2:I112,9,FALSE)="Water",Backdoors!BC38,IF(VLOOKUP(tbMoveset!A66,tbMoveset!A2:I112,9,FALSE)="Thunder",Backdoors!BD38,IF(VLOOKUP(tbMoveset!A66,tbMoveset!A2:I112,9,FALSE)="Ice",Backdoors!BE38,IF(VLOOKUP(tbMoveset!A66,tbMoveset!A2:I112,9,FALSE)="Dragon",Backdoors!BF38,Backdoors!BG38)))))/100,Backdoors!BG38/100),"")</f>
        <v>0</v>
      </c>
      <c r="IO66" s="49">
        <f>IFERROR(IF(VLOOKUP(A66,tbMoveset!A2:J112,10,FALSE)=TRUE,IF((Backdoors!AI12+IF(IM66&gt;=0.45,VLOOKUP(Calculator!E23,tbSkills!DH3:DI6,2,FALSE)+IF(AND(Calculator!B8=TRUE,Backdoors!BI38=TRUE),VLOOKUP(Calculator!E23,tbSkills!DH3:DJ6,3,FALSE),0),0))&gt;=0,1+(Backdoors!AL2*(IF((Backdoors!AI12+IF(IM66&gt;=0.45,VLOOKUP(Calculator!E23,tbSkills!DH3:DI6,2,FALSE)+IF(AND(Calculator!B8=TRUE,Backdoors!BI38=TRUE),VLOOKUP(Calculator!E23,tbSkills!DH3:DJ6,3,FALSE),0),0))&gt;=100,100,(Backdoors!AI12+IF(IM66&gt;=0.45,VLOOKUP(Calculator!E23,tbSkills!DH3:DI6,2,FALSE)+IF(AND(Calculator!B8=TRUE,Backdoors!BI38=TRUE),VLOOKUP(Calculator!E23,tbSkills!DH3:DJ6,3,FALSE),0),0)))/100)),(1-(0.25*((-Backdoors!AI12-IF(IM66&gt;=0.45,VLOOKUP(Calculator!E23,tbSkills!DH3:DI6,2,FALSE)+IF(AND(Calculator!B8=TRUE,Backdoors!BI38=TRUE),VLOOKUP(Calculator!E23,tbSkills!DH3:DJ6,3,FALSE),0),0))/100)))),1),"")</f>
        <v>1</v>
      </c>
      <c r="IP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M66)*IO66)*(VLOOKUP(A66,tbMoveset!A2:C112,3,FALSE)/100)*IF(VLOOKUP(A66,tbMoveset!A2:B112,2,FALSE)="Projectile",Backdoors!N10,Backdoors!N9),0),"")</f>
        <v/>
      </c>
      <c r="IQ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IM66&gt;=0.45,VLOOKUP(Calculator!E23,tbSkills!DH3:DI6,2,FALSE)+IF(AND(Calculator!B8=TRUE,Backdoors!BI38=TRUE),VLOOKUP(Calculator!E23,tbSkills!DH3:DJ6,3,FALSE),0),0))&gt;=100,100,(Backdoors!AI12+IF(IM66&gt;=0.45,VLOOKUP(Calculator!E23,tbSkills!DH3:DI6,2,FALSE)+IF(AND(Calculator!B8=TRUE,Backdoors!BI38=TRUE),VLOOKUP(Calculator!E23,tbSkills!DH3:DJ6,3,FALSE),0),0)))/100)),1))*IF(VLOOKUP(A66,tbMoveset!A2:K112,11,FALSE)=TRUE,Backdoors!AC5,1))*IN66,0),"")</f>
        <v>0</v>
      </c>
      <c r="IR66" s="49">
        <f>VLOOKUP(A66,tbMoveset!A2:G112,7,FALSE)*IFERROR(IF(Backdoors!AI12&gt;=0,1+(IF(Calculator!E40&gt;0,VLOOKUP(Calculator!E40,tbSkills!AI3:AJ5,2,FALSE),Backdoors!AL4)*(IF((Backdoors!AI12+IF(IM66&gt;=0.45,VLOOKUP(Calculator!E23,tbSkills!DH3:DI6,2,FALSE)+IF(AND(Calculator!B8=TRUE,Backdoors!BI38=TRUE),VLOOKUP(Calculator!E23,tbSkills!DH3:DJ6,3,FALSE),0),0))&gt;=100,100,(Backdoors!AI12+IF(IM66&gt;=0.45,VLOOKUP(Calculator!E23,tbSkills!DH3:DI6,2,FALSE)+IF(AND(Calculator!B8=TRUE,Backdoors!BI38=TRUE),VLOOKUP(Calculator!E23,tbSkills!DH3:DJ6,3,FALSE),0),0)))/100)),1),1)</f>
        <v>0.6</v>
      </c>
      <c r="IS66" s="87">
        <f t="shared" si="42"/>
        <v>0</v>
      </c>
      <c r="IT66" s="86" t="str">
        <f>IFERROR(IF(VLOOKUP(A66,tbMoveset!A2:B112,2,FALSE)="Sever",Backdoors!AY39/100,IF(VLOOKUP(A66,tbMoveset!A2:B112,2,FALSE)="Blunt",Backdoors!AZ39/100,Backdoors!BA39/100)),"")</f>
        <v/>
      </c>
      <c r="IU66" s="49">
        <f>IFERROR(IF(VLOOKUP(tbMoveset!A66,tbMoveset!A2:H112,8,FALSE)="Other",IF(VLOOKUP(tbMoveset!A66,tbMoveset!A2:I112,9,FALSE)="Fire",Backdoors!BB39,IF(VLOOKUP(tbMoveset!A66,tbMoveset!A2:I112,9,FALSE)="Water",Backdoors!BC39,IF(VLOOKUP(tbMoveset!A66,tbMoveset!A2:I112,9,FALSE)="Thunder",Backdoors!BD39,IF(VLOOKUP(tbMoveset!A66,tbMoveset!A2:I112,9,FALSE)="Ice",Backdoors!BE39,IF(VLOOKUP(tbMoveset!A66,tbMoveset!A2:I112,9,FALSE)="Dragon",Backdoors!BF39,Backdoors!BG39)))))/100,Backdoors!BG39/100),"")</f>
        <v>0</v>
      </c>
      <c r="IV66" s="49">
        <f>IFERROR(IF(VLOOKUP(A66,tbMoveset!A2:J112,10,FALSE)=TRUE,IF((Backdoors!AI12+IF(IT66&gt;=0.45,VLOOKUP(Calculator!E23,tbSkills!DH3:DI6,2,FALSE)+IF(AND(Calculator!B8=TRUE,Backdoors!BI39=TRUE),VLOOKUP(Calculator!E23,tbSkills!DH3:DJ6,3,FALSE),0),0))&gt;=0,1+(Backdoors!AL2*(IF((Backdoors!AI12+IF(IT66&gt;=0.45,VLOOKUP(Calculator!E23,tbSkills!DH3:DI6,2,FALSE)+IF(AND(Calculator!B8=TRUE,Backdoors!BI39=TRUE),VLOOKUP(Calculator!E23,tbSkills!DH3:DJ6,3,FALSE),0),0))&gt;=100,100,(Backdoors!AI12+IF(IT66&gt;=0.45,VLOOKUP(Calculator!E23,tbSkills!DH3:DI6,2,FALSE)+IF(AND(Calculator!B8=TRUE,Backdoors!BI39=TRUE),VLOOKUP(Calculator!E23,tbSkills!DH3:DJ6,3,FALSE),0),0)))/100)),(1-(0.25*((-Backdoors!AI12-IF(IT66&gt;=0.45,VLOOKUP(Calculator!E23,tbSkills!DH3:DI6,2,FALSE)+IF(AND(Calculator!B8=TRUE,Backdoors!BI39=TRUE),VLOOKUP(Calculator!E23,tbSkills!DH3:DJ6,3,FALSE),0),0))/100)))),1),"")</f>
        <v>1</v>
      </c>
      <c r="IW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T66)*IV66)*(VLOOKUP(A66,tbMoveset!A2:C112,3,FALSE)/100)*IF(VLOOKUP(A66,tbMoveset!A2:B112,2,FALSE)="Projectile",Backdoors!N10,Backdoors!N9),0),"")</f>
        <v/>
      </c>
      <c r="IX66" s="49">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40&gt;0,VLOOKUP(Calculator!E40,tbSkills!AC3:AD5,2,FALSE),Backdoors!AL3)*(IF((Backdoors!AI12+IF(IT66&gt;=0.45,VLOOKUP(Calculator!E23,tbSkills!DH3:DI6,2,FALSE)+IF(AND(Calculator!B8=TRUE,Backdoors!BI39=TRUE),VLOOKUP(Calculator!E23,tbSkills!DH3:DJ6,3,FALSE),0),0))&gt;=100,100,(Backdoors!AI12+IF(IT66&gt;=0.45,VLOOKUP(Calculator!E23,tbSkills!DH3:DI6,2,FALSE)+IF(AND(Calculator!B8=TRUE,Backdoors!BI39=TRUE),VLOOKUP(Calculator!E23,tbSkills!DH3:DJ6,3,FALSE),0),0)))/100)),1))*IF(VLOOKUP(A66,tbMoveset!A2:K112,11,FALSE)=TRUE,Backdoors!AC5,1))*IU66,0),"")</f>
        <v>0</v>
      </c>
      <c r="IY66" s="49">
        <f>VLOOKUP(A66,tbMoveset!A2:G112,7,FALSE)*IFERROR(IF(Backdoors!AI12&gt;=0,1+(IF(Calculator!E40&gt;0,VLOOKUP(Calculator!E40,tbSkills!AI3:AJ5,2,FALSE),Backdoors!AL4)*(IF((Backdoors!AI12+IF(IT66&gt;=0.45,VLOOKUP(Calculator!E23,tbSkills!DH3:DI6,2,FALSE)+IF(AND(Calculator!B8=TRUE,Backdoors!BI39=TRUE),VLOOKUP(Calculator!E23,tbSkills!DH3:DJ6,3,FALSE),0),0))&gt;=100,100,(Backdoors!AI12+IF(IT66&gt;=0.45,VLOOKUP(Calculator!E23,tbSkills!DH3:DI6,2,FALSE)+IF(AND(Calculator!B8=TRUE,Backdoors!BI39=TRUE),VLOOKUP(Calculator!E23,tbSkills!DH3:DJ6,3,FALSE),0),0)))/100)),1),1)</f>
        <v>0.6</v>
      </c>
      <c r="IZ66" s="87">
        <f t="shared" si="28"/>
        <v>0</v>
      </c>
      <c r="JA66" s="86" t="str">
        <f>IFERROR(IF(VLOOKUP(A66,tbMoveset!A2:B112,2,FALSE)="Sever",Backdoors!AY40/100,IF(VLOOKUP(A66,tbMoveset!A2:B112,2,FALSE)="Blunt",Backdoors!AZ40/100,Backdoors!BA40/100)),"")</f>
        <v/>
      </c>
      <c r="JB66" s="49">
        <f>IFERROR(IF(VLOOKUP(tbMoveset!A66,tbMoveset!A2:H112,8,FALSE)="Other",IF(VLOOKUP(tbMoveset!A66,tbMoveset!A2:I112,9,FALSE)="Fire",Backdoors!BB40,IF(VLOOKUP(tbMoveset!A66,tbMoveset!A2:I112,9,FALSE)="Water",Backdoors!BC40,IF(VLOOKUP(tbMoveset!A66,tbMoveset!A2:I112,9,FALSE)="Thunder",Backdoors!BD40,IF(VLOOKUP(tbMoveset!A66,tbMoveset!A2:I112,9,FALSE)="Ice",Backdoors!BE40,IF(VLOOKUP(tbMoveset!A66,tbMoveset!A2:I112,9,FALSE)="Dragon",Backdoors!BF40,Backdoors!BG40)))))/100,Backdoors!BG40/100),"")</f>
        <v>0</v>
      </c>
      <c r="JC66" s="49">
        <f>IFERROR(IF(VLOOKUP(A66,tbMoveset!A2:J112,10,FALSE)=TRUE,IF((Backdoors!AI12+IF(JA66&gt;=0.45,VLOOKUP(Calculator!E23,tbSkills!DH3:DI6,2,FALSE)+IF(AND(Calculator!B8=TRUE,Backdoors!BI40=TRUE),VLOOKUP(Calculator!E23,tbSkills!DH3:DJ6,3,FALSE),0),0))&gt;=0,1+(Backdoors!AL2*(IF((Backdoors!AI12+IF(JA66&gt;=0.45,VLOOKUP(Calculator!E23,tbSkills!DH3:DI6,2,FALSE)+IF(AND(Calculator!B8=TRUE,Backdoors!BI40=TRUE),VLOOKUP(Calculator!E23,tbSkills!DH3:DJ6,3,FALSE),0),0))&gt;=100,100,(Backdoors!AI12+IF(JA66&gt;=0.45,VLOOKUP(Calculator!E23,tbSkills!DH3:DI6,2,FALSE)+IF(AND(Calculator!B8=TRUE,Backdoors!BI40=TRUE),VLOOKUP(Calculator!E23,tbSkills!DH3:DJ6,3,FALSE),0),0)))/100)),(1-(0.25*((-Backdoors!AI12-IF(JA66&gt;=0.45,VLOOKUP(Calculator!E23,tbSkills!DH3:DI6,2,FALSE)+IF(AND(Calculator!B8=TRUE,Backdoors!BI40=TRUE),VLOOKUP(Calculator!E23,tbSkills!DH3:DJ6,3,FALSE),0),0))/100)))),1),"")</f>
        <v>1</v>
      </c>
      <c r="JD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A66)*JC66)*(VLOOKUP(A66,tbMoveset!A2:C112,3,FALSE)/100)*IF(VLOOKUP(A66,tbMoveset!A2:B112,2,FALSE)="Projectile",Backdoors!N10,Backdoors!N9),0),"")</f>
        <v/>
      </c>
      <c r="JE66" s="49">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42&gt;0,VLOOKUP(Calculator!E42,tbSkills!AC3:AD5,2,FALSE),Backdoors!AL3)*(IF((Backdoors!AI12+IF(JA66&gt;=0.45,VLOOKUP(Calculator!E23,tbSkills!DH3:DI6,2,FALSE)+IF(AND(Calculator!B8=TRUE,Backdoors!BI40=TRUE),VLOOKUP(Calculator!E23,tbSkills!DH3:DJ6,3,FALSE),0),0))&gt;=100,100,(Backdoors!AI12+IF(JA66&gt;=0.45,VLOOKUP(Calculator!E23,tbSkills!DH3:DI6,2,FALSE)+IF(AND(Calculator!B8=TRUE,Backdoors!BI40=TRUE),VLOOKUP(Calculator!E23,tbSkills!DH3:DJ6,3,FALSE),0),0)))/100)),1))*IF(VLOOKUP(A66,tbMoveset!A2:K112,11,FALSE)=TRUE,Backdoors!AC5,1))*JB66,0),"")</f>
        <v>0</v>
      </c>
      <c r="JF66" s="49">
        <f>VLOOKUP(A66,tbMoveset!A2:G112,7,FALSE)*IFERROR(IF(Backdoors!AI12&gt;=0,1+(IF(Calculator!E40&gt;0,VLOOKUP(Calculator!E40,tbSkills!AI3:AJ5,2,FALSE),Backdoors!AL4)*(IF((Backdoors!AI12+IF(JA66&gt;=0.45,VLOOKUP(Calculator!E23,tbSkills!DH3:DI6,2,FALSE)+IF(AND(Calculator!B8=TRUE,Backdoors!BI40=TRUE),VLOOKUP(Calculator!E23,tbSkills!DH3:DJ6,3,FALSE),0),0))&gt;=100,100,(Backdoors!AI12+IF(JA66&gt;=0.45,VLOOKUP(Calculator!E23,tbSkills!DH3:DI6,2,FALSE)+IF(AND(Calculator!B8=TRUE,Backdoors!BI40=TRUE),VLOOKUP(Calculator!E23,tbSkills!DH3:DJ6,3,FALSE),0),0)))/100)),1),1)</f>
        <v>0.6</v>
      </c>
      <c r="JG66" s="87">
        <f t="shared" si="29"/>
        <v>0</v>
      </c>
      <c r="JH66" s="86" t="str">
        <f>IFERROR(IF(VLOOKUP(A66,tbMoveset!A2:B112,2,FALSE)="Sever",Backdoors!AY41/100,IF(VLOOKUP(A66,tbMoveset!A2:B112,2,FALSE)="Blunt",Backdoors!AZ41/100,Backdoors!BA41/100)),"")</f>
        <v/>
      </c>
      <c r="JI66" s="49">
        <f>IFERROR(IF(VLOOKUP(tbMoveset!A66,tbMoveset!A2:H112,8,FALSE)="Other",IF(VLOOKUP(tbMoveset!A66,tbMoveset!A2:I112,9,FALSE)="Fire",Backdoors!BB41,IF(VLOOKUP(tbMoveset!A66,tbMoveset!A2:I112,9,FALSE)="Water",Backdoors!BC41,IF(VLOOKUP(tbMoveset!A66,tbMoveset!A2:I112,9,FALSE)="Thunder",Backdoors!BD41,IF(VLOOKUP(tbMoveset!A66,tbMoveset!A2:I112,9,FALSE)="Ice",Backdoors!BE41,IF(VLOOKUP(tbMoveset!A66,tbMoveset!A2:I112,9,FALSE)="Dragon",Backdoors!BF41,Backdoors!BG41)))))/100,Backdoors!BG41/100),"")</f>
        <v>0</v>
      </c>
      <c r="JJ66" s="49">
        <f>IFERROR(IF(VLOOKUP(A66,tbMoveset!A2:J112,10,FALSE)=TRUE,IF((Backdoors!AI12+IF(JH66&gt;=0.45,VLOOKUP(Calculator!E23,tbSkills!DH3:DI6,2,FALSE)+IF(AND(Calculator!B8=TRUE,Backdoors!BI41=TRUE),VLOOKUP(Calculator!E23,tbSkills!DH3:DJ6,3,FALSE),0),0))&gt;=0,1+(Backdoors!AL2*(IF((Backdoors!AI12+IF(JH66&gt;=0.45,VLOOKUP(Calculator!E23,tbSkills!DH3:DI6,2,FALSE)+IF(AND(Calculator!B8=TRUE,Backdoors!BI41=TRUE),VLOOKUP(Calculator!E23,tbSkills!DH3:DJ6,3,FALSE),0),0))&gt;=100,100,(Backdoors!AI12+IF(JH66&gt;=0.45,VLOOKUP(Calculator!E23,tbSkills!DH3:DI6,2,FALSE)+IF(AND(Calculator!B8=TRUE,Backdoors!BI41=TRUE),VLOOKUP(Calculator!E23,tbSkills!DH3:DJ6,3,FALSE),0),0)))/100)),(1-(0.25*((-Backdoors!AI12-IF(JH66&gt;=0.45,VLOOKUP(Calculator!E23,tbSkills!DH3:DI6,2,FALSE)+IF(AND(Calculator!B8=TRUE,Backdoors!BI41=TRUE),VLOOKUP(Calculator!E23,tbSkills!DH3:DJ6,3,FALSE),0),0))/100)))),1),"")</f>
        <v>1</v>
      </c>
      <c r="JK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H66)*JJ66)*(VLOOKUP(A66,tbMoveset!A2:C112,3,FALSE)/100)*IF(VLOOKUP(A66,tbMoveset!A2:B112,2,FALSE)="Projectile",Backdoors!N10,Backdoors!N9),0),"")</f>
        <v/>
      </c>
      <c r="JL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43&gt;0,VLOOKUP(Calculator!E43,tbSkills!AC3:AD5,2,FALSE),Backdoors!AL3)*(IF((Backdoors!AI12+IF(JH66&gt;=0.45,VLOOKUP(Calculator!E23,tbSkills!DH3:DI6,2,FALSE)+IF(AND(Calculator!B8=TRUE,Backdoors!BI41=TRUE),VLOOKUP(Calculator!E23,tbSkills!DH3:DJ6,3,FALSE),0),0))&gt;=100,100,(Backdoors!AI12+IF(JH66&gt;=0.45,VLOOKUP(Calculator!E23,tbSkills!DH3:DI6,2,FALSE)+IF(AND(Calculator!B8=TRUE,Backdoors!BI41=TRUE),VLOOKUP(Calculator!E23,tbSkills!DH3:DJ6,3,FALSE),0),0)))/100)),1))*IF(VLOOKUP(A66,tbMoveset!A2:K112,11,FALSE)=TRUE,Backdoors!AC5,1))*JI66,0),"")</f>
        <v/>
      </c>
      <c r="JM66" s="49">
        <f>VLOOKUP(A66,tbMoveset!A2:G112,7,FALSE)*IFERROR(IF(Backdoors!AI12&gt;=0,1+(IF(Calculator!E40&gt;0,VLOOKUP(Calculator!E40,tbSkills!AI3:AJ5,2,FALSE),Backdoors!AL4)*(IF((Backdoors!AI12+IF(JH66&gt;=0.45,VLOOKUP(Calculator!E23,tbSkills!DH3:DI6,2,FALSE)+IF(AND(Calculator!B8=TRUE,Backdoors!BI41=TRUE),VLOOKUP(Calculator!E23,tbSkills!DH3:DJ6,3,FALSE),0),0))&gt;=100,100,(Backdoors!AI12+IF(JH66&gt;=0.45,VLOOKUP(Calculator!E23,tbSkills!DH3:DI6,2,FALSE)+IF(AND(Calculator!B8=TRUE,Backdoors!BI41=TRUE),VLOOKUP(Calculator!E23,tbSkills!DH3:DJ6,3,FALSE),0),0)))/100)),1),1)</f>
        <v>0.6</v>
      </c>
      <c r="JN66" s="87">
        <f t="shared" si="30"/>
        <v>0</v>
      </c>
      <c r="JO66" s="86" t="str">
        <f>IFERROR(IF(VLOOKUP(A66,tbMoveset!A2:B112,2,FALSE)="Sever",Backdoors!AY42/100,IF(VLOOKUP(A66,tbMoveset!A2:B112,2,FALSE)="Blunt",Backdoors!AZ42/100,Backdoors!BA42/100)),"")</f>
        <v/>
      </c>
      <c r="JP66" s="49">
        <f>IFERROR(IF(VLOOKUP(tbMoveset!A66,tbMoveset!A2:H112,8,FALSE)="Other",IF(VLOOKUP(tbMoveset!A66,tbMoveset!A2:I112,9,FALSE)="Fire",Backdoors!BB42,IF(VLOOKUP(tbMoveset!A66,tbMoveset!A2:I112,9,FALSE)="Water",Backdoors!BC42,IF(VLOOKUP(tbMoveset!A66,tbMoveset!A2:I112,9,FALSE)="Thunder",Backdoors!BD42,IF(VLOOKUP(tbMoveset!A66,tbMoveset!A2:I112,9,FALSE)="Ice",Backdoors!BE42,IF(VLOOKUP(tbMoveset!A66,tbMoveset!A2:I112,9,FALSE)="Dragon",Backdoors!BF42,Backdoors!BG42)))))/100,Backdoors!BG42/100),"")</f>
        <v>0</v>
      </c>
      <c r="JQ66" s="49">
        <f>IFERROR(IF(VLOOKUP(A66,tbMoveset!A2:J112,10,FALSE)=TRUE,IF((Backdoors!AI12+IF(JO66&gt;=0.45,VLOOKUP(Calculator!E23,tbSkills!DH3:DI6,2,FALSE)+IF(AND(Calculator!B8=TRUE,Backdoors!BI42=TRUE),VLOOKUP(Calculator!E23,tbSkills!DH3:DJ6,3,FALSE),0),0))&gt;=0,1+(Backdoors!AL2*(IF((Backdoors!AI12+IF(JO66&gt;=0.45,VLOOKUP(Calculator!E23,tbSkills!DH3:DI6,2,FALSE)+IF(AND(Calculator!B8=TRUE,Backdoors!BI42=TRUE),VLOOKUP(Calculator!E23,tbSkills!DH3:DJ6,3,FALSE),0),0))&gt;=100,100,(Backdoors!AI12+IF(JO66&gt;=0.45,VLOOKUP(Calculator!E23,tbSkills!DH3:DI6,2,FALSE)+IF(AND(Calculator!B8=TRUE,Backdoors!BI42=TRUE),VLOOKUP(Calculator!E23,tbSkills!DH3:DJ6,3,FALSE),0),0)))/100)),(1-(0.25*((-Backdoors!AI12-IF(JO66&gt;=0.45,VLOOKUP(Calculator!E23,tbSkills!DH3:DI6,2,FALSE)+IF(AND(Calculator!B8=TRUE,Backdoors!BI42=TRUE),VLOOKUP(Calculator!E23,tbSkills!DH3:DJ6,3,FALSE),0),0))/100)))),1),"")</f>
        <v>1</v>
      </c>
      <c r="JR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O66)*JQ66)*(VLOOKUP(A66,tbMoveset!A2:C112,3,FALSE)/100)*IF(VLOOKUP(A66,tbMoveset!A2:B112,2,FALSE)="Projectile",Backdoors!N10,Backdoors!N9),0),"")</f>
        <v/>
      </c>
      <c r="JS66" s="49">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45&gt;0,VLOOKUP(Calculator!E45,tbSkills!AC3:AD5,2,FALSE),Backdoors!AL3)*(IF((Backdoors!AI12+IF(JO66&gt;=0.45,VLOOKUP(Calculator!E23,tbSkills!DH3:DI6,2,FALSE)+IF(AND(Calculator!B8=TRUE,Backdoors!BI42=TRUE),VLOOKUP(Calculator!E23,tbSkills!DH3:DJ6,3,FALSE),0),0))&gt;=100,100,(Backdoors!AI12+IF(JO66&gt;=0.45,VLOOKUP(Calculator!E23,tbSkills!DH3:DI6,2,FALSE)+IF(AND(Calculator!B8=TRUE,Backdoors!BI42=TRUE),VLOOKUP(Calculator!E23,tbSkills!DH3:DJ6,3,FALSE),0),0)))/100)),1))*IF(VLOOKUP(A66,tbMoveset!A2:K112,11,FALSE)=TRUE,Backdoors!AC5,1))*JP66,0),"")</f>
        <v>0</v>
      </c>
      <c r="JT66" s="49">
        <f>VLOOKUP(A66,tbMoveset!A2:G112,7,FALSE)*IFERROR(IF(Backdoors!AI12&gt;=0,1+(IF(Calculator!E40&gt;0,VLOOKUP(Calculator!E40,tbSkills!AI3:AJ5,2,FALSE),Backdoors!AL4)*(IF((Backdoors!AI12+IF(JO66&gt;=0.45,VLOOKUP(Calculator!E23,tbSkills!DH3:DI6,2,FALSE)+IF(AND(Calculator!B8=TRUE,Backdoors!BI42=TRUE),VLOOKUP(Calculator!E23,tbSkills!DH3:DJ6,3,FALSE),0),0))&gt;=100,100,(Backdoors!AI12+IF(JO66&gt;=0.45,VLOOKUP(Calculator!E23,tbSkills!DH3:DI6,2,FALSE)+IF(AND(Calculator!B8=TRUE,Backdoors!BI42=TRUE),VLOOKUP(Calculator!E23,tbSkills!DH3:DJ6,3,FALSE),0),0)))/100)),1),1)</f>
        <v>0.6</v>
      </c>
      <c r="JU66" s="87">
        <f t="shared" si="31"/>
        <v>0</v>
      </c>
      <c r="JV66" s="86" t="str">
        <f>IFERROR(IF(VLOOKUP(A66,tbMoveset!A2:B112,2,FALSE)="Sever",Backdoors!AY43/100,IF(VLOOKUP(A66,tbMoveset!A2:B112,2,FALSE)="Blunt",Backdoors!AZ43/100,Backdoors!BA43/100)),"")</f>
        <v/>
      </c>
      <c r="JW66" s="49">
        <f>IFERROR(IF(VLOOKUP(tbMoveset!A66,tbMoveset!A2:H112,8,FALSE)="Other",IF(VLOOKUP(tbMoveset!A66,tbMoveset!A2:I112,9,FALSE)="Fire",Backdoors!BB43,IF(VLOOKUP(tbMoveset!A66,tbMoveset!A2:I112,9,FALSE)="Water",Backdoors!BC43,IF(VLOOKUP(tbMoveset!A66,tbMoveset!A2:I112,9,FALSE)="Thunder",Backdoors!BD43,IF(VLOOKUP(tbMoveset!A66,tbMoveset!A2:I112,9,FALSE)="Ice",Backdoors!BE43,IF(VLOOKUP(tbMoveset!A66,tbMoveset!A2:I112,9,FALSE)="Dragon",Backdoors!BF43,Backdoors!BG43)))))/100,Backdoors!BG43/100),"")</f>
        <v>0</v>
      </c>
      <c r="JX66" s="49">
        <f>IFERROR(IF(VLOOKUP(A66,tbMoveset!A2:J112,10,FALSE)=TRUE,IF((Backdoors!AI12+IF(JV66&gt;=0.45,VLOOKUP(Calculator!E23,tbSkills!DH3:DI6,2,FALSE)+IF(AND(Calculator!B8=TRUE,Backdoors!BI43=TRUE),VLOOKUP(Calculator!E23,tbSkills!DH3:DJ6,3,FALSE),0),0))&gt;=0,1+(Backdoors!AL2*(IF((Backdoors!AI12+IF(JV66&gt;=0.45,VLOOKUP(Calculator!E23,tbSkills!DH3:DI6,2,FALSE)+IF(AND(Calculator!B8=TRUE,Backdoors!BI43=TRUE),VLOOKUP(Calculator!E23,tbSkills!DH3:DJ6,3,FALSE),0),0))&gt;=100,100,(Backdoors!AI12+IF(JV66&gt;=0.45,VLOOKUP(Calculator!E23,tbSkills!DH3:DI6,2,FALSE)+IF(AND(Calculator!B8=TRUE,Backdoors!BI43=TRUE),VLOOKUP(Calculator!E23,tbSkills!DH3:DJ6,3,FALSE),0),0)))/100)),(1-(0.25*((-Backdoors!AI12-IF(JV66&gt;=0.45,VLOOKUP(Calculator!E23,tbSkills!DH3:DI6,2,FALSE)+IF(AND(Calculator!B8=TRUE,Backdoors!BI43=TRUE),VLOOKUP(Calculator!E23,tbSkills!DH3:DJ6,3,FALSE),0),0))/100)))),1),"")</f>
        <v>1</v>
      </c>
      <c r="JY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V66)*JX66)*(VLOOKUP(A66,tbMoveset!A2:C112,3,FALSE)/100)*IF(VLOOKUP(A66,tbMoveset!A2:B112,2,FALSE)="Projectile",Backdoors!N10,Backdoors!N9),0),"")</f>
        <v/>
      </c>
      <c r="JZ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46&gt;0,VLOOKUP(Calculator!E46,tbSkills!AC3:AD5,2,FALSE),Backdoors!AL3)*(IF((Backdoors!AI12+IF(JV66&gt;=0.45,VLOOKUP(Calculator!E23,tbSkills!DH3:DI6,2,FALSE)+IF(AND(Calculator!B8=TRUE,Backdoors!BI43=TRUE),VLOOKUP(Calculator!E23,tbSkills!DH3:DJ6,3,FALSE),0),0))&gt;=100,100,(Backdoors!AI12+IF(JV66&gt;=0.45,VLOOKUP(Calculator!E23,tbSkills!DH3:DI6,2,FALSE)+IF(AND(Calculator!B8=TRUE,Backdoors!BI43=TRUE),VLOOKUP(Calculator!E23,tbSkills!DH3:DJ6,3,FALSE),0),0)))/100)),1))*IF(VLOOKUP(A66,tbMoveset!A2:K112,11,FALSE)=TRUE,Backdoors!AC5,1))*JW66,0),"")</f>
        <v/>
      </c>
      <c r="KA66" s="49">
        <f>VLOOKUP(A66,tbMoveset!A2:G112,7,FALSE)*IFERROR(IF(Backdoors!AI12&gt;=0,1+(IF(Calculator!E40&gt;0,VLOOKUP(Calculator!E40,tbSkills!AI3:AJ5,2,FALSE),Backdoors!AL4)*(IF((Backdoors!AI12+IF(JV66&gt;=0.45,VLOOKUP(Calculator!E23,tbSkills!DH3:DI6,2,FALSE)+IF(AND(Calculator!B8=TRUE,Backdoors!BI43=TRUE),VLOOKUP(Calculator!E23,tbSkills!DH3:DJ6,3,FALSE),0),0))&gt;=100,100,(Backdoors!AI12+IF(JV66&gt;=0.45,VLOOKUP(Calculator!E23,tbSkills!DH3:DI6,2,FALSE)+IF(AND(Calculator!B8=TRUE,Backdoors!BI43=TRUE),VLOOKUP(Calculator!E23,tbSkills!DH3:DJ6,3,FALSE),0),0)))/100)),1),1)</f>
        <v>0.6</v>
      </c>
      <c r="KB66" s="87">
        <f t="shared" si="32"/>
        <v>0</v>
      </c>
      <c r="KC66" s="86" t="str">
        <f>IFERROR(IF(VLOOKUP(A66,tbMoveset!A2:B112,2,FALSE)="Sever",Backdoors!AY44/100,IF(VLOOKUP(A66,tbMoveset!A2:B112,2,FALSE)="Blunt",Backdoors!AZ44/100,Backdoors!BA44/100)),"")</f>
        <v/>
      </c>
      <c r="KD66" s="49">
        <f>IFERROR(IF(VLOOKUP(tbMoveset!A66,tbMoveset!A2:H112,8,FALSE)="Other",IF(VLOOKUP(tbMoveset!A66,tbMoveset!A2:I112,9,FALSE)="Fire",Backdoors!BB44,IF(VLOOKUP(tbMoveset!A66,tbMoveset!A2:I112,9,FALSE)="Water",Backdoors!BC44,IF(VLOOKUP(tbMoveset!A66,tbMoveset!A2:I112,9,FALSE)="Thunder",Backdoors!BD44,IF(VLOOKUP(tbMoveset!A66,tbMoveset!A2:I112,9,FALSE)="Ice",Backdoors!BE44,IF(VLOOKUP(tbMoveset!A66,tbMoveset!A2:I112,9,FALSE)="Dragon",Backdoors!BF44,Backdoors!BG44)))))/100,Backdoors!BG44/100),"")</f>
        <v>0</v>
      </c>
      <c r="KE66" s="49">
        <f>IFERROR(IF(VLOOKUP(A66,tbMoveset!A2:J112,10,FALSE)=TRUE,IF((Backdoors!AI12+IF(KC66&gt;=0.45,VLOOKUP(Calculator!E23,tbSkills!DH3:DI6,2,FALSE)+IF(AND(Calculator!B8=TRUE,Backdoors!BI44=TRUE),VLOOKUP(Calculator!E23,tbSkills!DH3:DJ6,3,FALSE),0),0))&gt;=0,1+(Backdoors!AL2*(IF((Backdoors!AI12+IF(KC66&gt;=0.45,VLOOKUP(Calculator!E23,tbSkills!DH3:DI6,2,FALSE)+IF(AND(Calculator!B8=TRUE,Backdoors!BI44=TRUE),VLOOKUP(Calculator!E23,tbSkills!DH3:DJ6,3,FALSE),0),0))&gt;=100,100,(Backdoors!AI12+IF(KC66&gt;=0.45,VLOOKUP(Calculator!E23,tbSkills!DH3:DI6,2,FALSE)+IF(AND(Calculator!B8=TRUE,Backdoors!BI44=TRUE),VLOOKUP(Calculator!E23,tbSkills!DH3:DJ6,3,FALSE),0),0)))/100)),(1-(0.25*((-Backdoors!AI12-IF(KC66&gt;=0.45,VLOOKUP(Calculator!E23,tbSkills!DH3:DI6,2,FALSE)+IF(AND(Calculator!B8=TRUE,Backdoors!BI44=TRUE),VLOOKUP(Calculator!E23,tbSkills!DH3:DJ6,3,FALSE),0),0))/100)))),1),"")</f>
        <v>1</v>
      </c>
      <c r="KF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KC66)*KE66)*(VLOOKUP(A66,tbMoveset!A2:C112,3,FALSE)/100)*IF(VLOOKUP(A66,tbMoveset!A2:B112,2,FALSE)="Projectile",Backdoors!N10,Backdoors!N9),0),"")</f>
        <v/>
      </c>
      <c r="KG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REF!&gt;0,VLOOKUP(Calculator!#REF!,tbSkills!AC3:AD5,2,FALSE),Backdoors!AL3)*(IF((Backdoors!AI12+IF(KC66&gt;=0.45,VLOOKUP(Calculator!E23,tbSkills!DH3:DI6,2,FALSE)+IF(AND(Calculator!B8=TRUE,Backdoors!BI44=TRUE),VLOOKUP(Calculator!E23,tbSkills!DH3:DJ6,3,FALSE),0),0))&gt;=100,100,(Backdoors!AI12+IF(KC66&gt;=0.45,VLOOKUP(Calculator!E23,tbSkills!DH3:DI6,2,FALSE)+IF(AND(Calculator!B8=TRUE,Backdoors!BI44=TRUE),VLOOKUP(Calculator!E23,tbSkills!DH3:DJ6,3,FALSE),0),0)))/100)),1))*IF(VLOOKUP(A66,tbMoveset!A2:K112,11,FALSE)=TRUE,Backdoors!AC5,1))*KD66,0),"")</f>
        <v/>
      </c>
      <c r="KH66" s="49">
        <f>VLOOKUP(A66,tbMoveset!A2:G112,7,FALSE)*IFERROR(IF(Backdoors!AI12&gt;=0,1+(IF(Calculator!E40&gt;0,VLOOKUP(Calculator!E40,tbSkills!AI3:AJ5,2,FALSE),Backdoors!AL4)*(IF((Backdoors!AI12+IF(KC66&gt;=0.45,VLOOKUP(Calculator!E23,tbSkills!DH3:DI6,2,FALSE)+IF(AND(Calculator!B8=TRUE,Backdoors!BI44=TRUE),VLOOKUP(Calculator!E23,tbSkills!DH3:DJ6,3,FALSE),0),0))&gt;=100,100,(Backdoors!AI12+IF(KC66&gt;=0.45,VLOOKUP(Calculator!E23,tbSkills!DH3:DI6,2,FALSE)+IF(AND(Calculator!B8=TRUE,Backdoors!BI44=TRUE),VLOOKUP(Calculator!E23,tbSkills!DH3:DJ6,3,FALSE),0),0)))/100)),1),1)</f>
        <v>0.6</v>
      </c>
      <c r="KI66" s="87">
        <f t="shared" si="33"/>
        <v>0</v>
      </c>
      <c r="KJ66" s="86" t="str">
        <f>IFERROR(IF(VLOOKUP(A66,tbMoveset!A2:B112,2,FALSE)="Sever",Backdoors!AY45/100,IF(VLOOKUP(A66,tbMoveset!A2:B112,2,FALSE)="Blunt",Backdoors!AZ45/100,Backdoors!BA45/100)),"")</f>
        <v/>
      </c>
      <c r="KK66" s="49">
        <f>IFERROR(IF(VLOOKUP(tbMoveset!A66,tbMoveset!A2:H112,8,FALSE)="Other",IF(VLOOKUP(tbMoveset!A66,tbMoveset!A2:I112,9,FALSE)="Fire",Backdoors!BB45,IF(VLOOKUP(tbMoveset!A66,tbMoveset!A2:I112,9,FALSE)="Water",Backdoors!BC45,IF(VLOOKUP(tbMoveset!A66,tbMoveset!A2:I112,9,FALSE)="Thunder",Backdoors!BD45,IF(VLOOKUP(tbMoveset!A66,tbMoveset!A2:I112,9,FALSE)="Ice",Backdoors!BE45,IF(VLOOKUP(tbMoveset!A66,tbMoveset!A2:I112,9,FALSE)="Dragon",Backdoors!BF45,Backdoors!BG45)))))/100,Backdoors!BG45/100),"")</f>
        <v>0</v>
      </c>
      <c r="KL66" s="49">
        <f>IFERROR(IF(VLOOKUP(A66,tbMoveset!A2:J112,10,FALSE)=TRUE,IF((Backdoors!AI12+IF(KJ66&gt;=0.45,VLOOKUP(Calculator!E23,tbSkills!DH3:DI6,2,FALSE)+IF(AND(Calculator!B8=TRUE,Backdoors!BI45=TRUE),VLOOKUP(Calculator!E23,tbSkills!DH3:DJ6,3,FALSE),0),0))&gt;=0,1+(Backdoors!AL2*(IF((Backdoors!AI12+IF(KJ66&gt;=0.45,VLOOKUP(Calculator!E23,tbSkills!DH3:DI6,2,FALSE)+IF(AND(Calculator!B8=TRUE,Backdoors!BI45=TRUE),VLOOKUP(Calculator!E23,tbSkills!DH3:DJ6,3,FALSE),0),0))&gt;=100,100,(Backdoors!AI12+IF(KJ66&gt;=0.45,VLOOKUP(Calculator!E23,tbSkills!DH3:DI6,2,FALSE)+IF(AND(Calculator!B8=TRUE,Backdoors!BI45=TRUE),VLOOKUP(Calculator!E23,tbSkills!DH3:DJ6,3,FALSE),0),0)))/100)),(1-(0.25*((-Backdoors!AI12-IF(KJ66&gt;=0.45,VLOOKUP(Calculator!E23,tbSkills!DH3:DI6,2,FALSE)+IF(AND(Calculator!B8=TRUE,Backdoors!BI45=TRUE),VLOOKUP(Calculator!E23,tbSkills!DH3:DJ6,3,FALSE),0),0))/100)))),1),"")</f>
        <v>1</v>
      </c>
      <c r="KM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KJ66)*KL66)*(VLOOKUP(A66,tbMoveset!A2:C112,3,FALSE)/100)*IF(VLOOKUP(A66,tbMoveset!A2:B112,2,FALSE)="Projectile",Backdoors!N10,Backdoors!N9),0),"")</f>
        <v/>
      </c>
      <c r="KN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REF!&gt;0,VLOOKUP(Calculator!#REF!,tbSkills!AC3:AD5,2,FALSE),Backdoors!AL3)*(IF((Backdoors!AI12+IF(KJ66&gt;=0.45,VLOOKUP(Calculator!E23,tbSkills!DH3:DI6,2,FALSE)+IF(AND(Calculator!B8=TRUE,Backdoors!BI45=TRUE),VLOOKUP(Calculator!E23,tbSkills!DH3:DJ6,3,FALSE),0),0))&gt;=100,100,(Backdoors!AI12+IF(KJ66&gt;=0.45,VLOOKUP(Calculator!E23,tbSkills!DH3:DI6,2,FALSE)+IF(AND(Calculator!B8=TRUE,Backdoors!BI45=TRUE),VLOOKUP(Calculator!E23,tbSkills!DH3:DJ6,3,FALSE),0),0)))/100)),1))*IF(VLOOKUP(A66,tbMoveset!A2:K112,11,FALSE)=TRUE,Backdoors!AC5,1))*KK66,0),"")</f>
        <v/>
      </c>
      <c r="KO66" s="49">
        <f>VLOOKUP(A66,tbMoveset!A2:G112,7,FALSE)*IFERROR(IF(Backdoors!AI12&gt;=0,1+(IF(Calculator!E40&gt;0,VLOOKUP(Calculator!E40,tbSkills!AI3:AJ5,2,FALSE),Backdoors!AL4)*(IF((Backdoors!AI12+IF(KJ66&gt;=0.45,VLOOKUP(Calculator!E23,tbSkills!DH3:DI6,2,FALSE)+IF(AND(Calculator!B8=TRUE,Backdoors!BI45=TRUE),VLOOKUP(Calculator!E23,tbSkills!DH3:DJ6,3,FALSE),0),0))&gt;=100,100,(Backdoors!AI12+IF(KJ66&gt;=0.45,VLOOKUP(Calculator!E23,tbSkills!DH3:DI6,2,FALSE)+IF(AND(Calculator!B8=TRUE,Backdoors!BI45=TRUE),VLOOKUP(Calculator!E23,tbSkills!DH3:DJ6,3,FALSE),0),0)))/100)),1),1)</f>
        <v>0.6</v>
      </c>
      <c r="KP66" s="87">
        <f t="shared" si="34"/>
        <v>0</v>
      </c>
      <c r="KQ66" s="86" t="str">
        <f>IFERROR(IF(VLOOKUP(A66,tbMoveset!A2:B112,2,FALSE)="Sever",Backdoors!AY46/100,IF(VLOOKUP(A66,tbMoveset!A2:B112,2,FALSE)="Blunt",Backdoors!AZ46/100,Backdoors!BA46/100)),"")</f>
        <v/>
      </c>
      <c r="KR66" s="49">
        <f>IFERROR(IF(VLOOKUP(tbMoveset!A66,tbMoveset!A2:H112,8,FALSE)="Other",IF(VLOOKUP(tbMoveset!A66,tbMoveset!A2:I112,9,FALSE)="Fire",Backdoors!BB46,IF(VLOOKUP(tbMoveset!A66,tbMoveset!A2:I112,9,FALSE)="Water",Backdoors!BC46,IF(VLOOKUP(tbMoveset!A66,tbMoveset!A2:I112,9,FALSE)="Thunder",Backdoors!BD46,IF(VLOOKUP(tbMoveset!A66,tbMoveset!A2:I112,9,FALSE)="Ice",Backdoors!BE46,IF(VLOOKUP(tbMoveset!A66,tbMoveset!A2:I112,9,FALSE)="Dragon",Backdoors!BF46,Backdoors!BG46)))))/100,Backdoors!BG46/100),"")</f>
        <v>0</v>
      </c>
      <c r="KS66" s="49">
        <f>IFERROR(IF(VLOOKUP(A66,tbMoveset!A2:J112,10,FALSE)=TRUE,IF((Backdoors!AI12+IF(KQ66&gt;=0.45,VLOOKUP(Calculator!E23,tbSkills!DH3:DI6,2,FALSE)+IF(AND(Calculator!B8=TRUE,Backdoors!BI46=TRUE),VLOOKUP(Calculator!E23,tbSkills!DH3:DJ6,3,FALSE),0),0))&gt;=0,1+(Backdoors!AL2*(IF((Backdoors!AI12+IF(KQ66&gt;=0.45,VLOOKUP(Calculator!E23,tbSkills!DH3:DI6,2,FALSE)+IF(AND(Calculator!B8=TRUE,Backdoors!BI46=TRUE),VLOOKUP(Calculator!E23,tbSkills!DH3:DJ6,3,FALSE),0),0))&gt;=100,100,(Backdoors!AI12+IF(KQ66&gt;=0.45,VLOOKUP(Calculator!E23,tbSkills!DH3:DI6,2,FALSE)+IF(AND(Calculator!B8=TRUE,Backdoors!BI46=TRUE),VLOOKUP(Calculator!E23,tbSkills!DH3:DJ6,3,FALSE),0),0)))/100)),(1-(0.25*((-Backdoors!AI12-IF(KQ66&gt;=0.45,VLOOKUP(Calculator!E23,tbSkills!DH3:DI6,2,FALSE)+IF(AND(Calculator!B8=TRUE,Backdoors!BI46=TRUE),VLOOKUP(Calculator!E23,tbSkills!DH3:DJ6,3,FALSE),0),0))/100)))),1),"")</f>
        <v>1</v>
      </c>
      <c r="KT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KQ66)*KS66)*(VLOOKUP(A66,tbMoveset!A2:C112,3,FALSE)/100)*IF(VLOOKUP(A66,tbMoveset!A2:B112,2,FALSE)="Projectile",Backdoors!N10,Backdoors!N9),0),"")</f>
        <v/>
      </c>
      <c r="KU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REF!&gt;0,VLOOKUP(Calculator!#REF!,tbSkills!AC3:AD5,2,FALSE),Backdoors!AL3)*(IF((Backdoors!AI12+IF(KQ66&gt;=0.45,VLOOKUP(Calculator!E23,tbSkills!DH3:DI6,2,FALSE)+IF(AND(Calculator!B8=TRUE,Backdoors!BI46=TRUE),VLOOKUP(Calculator!E23,tbSkills!DH3:DJ6,3,FALSE),0),0))&gt;=100,100,(Backdoors!AI12+IF(KQ66&gt;=0.45,VLOOKUP(Calculator!E23,tbSkills!DH3:DI6,2,FALSE)+IF(AND(Calculator!B8=TRUE,Backdoors!BI46=TRUE),VLOOKUP(Calculator!E23,tbSkills!DH3:DJ6,3,FALSE),0),0)))/100)),1))*IF(VLOOKUP(A66,tbMoveset!A2:K112,11,FALSE)=TRUE,Backdoors!AC5,1))*KR66,0),"")</f>
        <v/>
      </c>
      <c r="KV66" s="49">
        <f>VLOOKUP(A66,tbMoveset!A2:G112,7,FALSE)*IFERROR(IF(Backdoors!AI12&gt;=0,1+(IF(Calculator!E40&gt;0,VLOOKUP(Calculator!E40,tbSkills!AI3:AJ5,2,FALSE),Backdoors!AL4)*(IF((Backdoors!AI12+IF(KQ66&gt;=0.45,VLOOKUP(Calculator!E23,tbSkills!DH3:DI6,2,FALSE)+IF(AND(Calculator!B8=TRUE,Backdoors!BI46=TRUE),VLOOKUP(Calculator!E23,tbSkills!DH3:DJ6,3,FALSE),0),0))&gt;=100,100,(Backdoors!AI12+IF(KQ66&gt;=0.45,VLOOKUP(Calculator!E23,tbSkills!DH3:DI6,2,FALSE)+IF(AND(Calculator!B8=TRUE,Backdoors!BI46=TRUE),VLOOKUP(Calculator!E23,tbSkills!DH3:DJ6,3,FALSE),0),0)))/100)),1),1)</f>
        <v>0.6</v>
      </c>
      <c r="KW66" s="87">
        <f t="shared" si="35"/>
        <v>0</v>
      </c>
    </row>
    <row r="67" spans="1:309" x14ac:dyDescent="0.25">
      <c r="A67" s="95" t="str">
        <f>tbMoveset!A67</f>
        <v>Blade Dance (L7)</v>
      </c>
      <c r="B67" s="86">
        <f>IFERROR(IF(VLOOKUP(A67,tbMoveset!A2:B112,2,FALSE)="Sever",Backdoors!AY3/100,IF(VLOOKUP(A67,tbMoveset!A2:B112,2,FALSE)="Blunt",Backdoors!AZ3/100,Backdoors!BA3/100)),"")</f>
        <v>0.8</v>
      </c>
      <c r="C67" s="49">
        <f>IFERROR(IF(VLOOKUP(tbMoveset!A67,tbMoveset!A2:H112,8,FALSE)="Other",IF(VLOOKUP(tbMoveset!A67,tbMoveset!A2:I112,9,FALSE)="Fire",Backdoors!BB3,IF(VLOOKUP(tbMoveset!A67,tbMoveset!A2:I112,9,FALSE)="Water",Backdoors!BC3,IF(VLOOKUP(tbMoveset!A67,tbMoveset!A2:I112,9,FALSE)="Thunder",Backdoors!BD3,IF(VLOOKUP(tbMoveset!A67,tbMoveset!A2:I112,9,FALSE)="Ice",Backdoors!BE3,IF(VLOOKUP(tbMoveset!A67,tbMoveset!A2:I112,9,FALSE)="Dragon",Backdoors!BF3,Backdoors!BG3)))))/100,Backdoors!BG3/100),"")</f>
        <v>0</v>
      </c>
      <c r="D67" s="49">
        <f>IFERROR(IF(VLOOKUP(A67,tbMoveset!A2:J112,10,FALSE)=TRUE,IF((Backdoors!AI12+IF(B67&gt;=0.45,VLOOKUP(Calculator!E23,tbSkills!DH3:DI6,2,FALSE)+IF(AND(Calculator!B8=TRUE,Backdoors!BI3=TRUE),VLOOKUP(Calculator!E23,tbSkills!DH3:DJ6,3,FALSE),0),0))&gt;=0,1+(Backdoors!AL2*(IF((Backdoors!AI12+IF(B67&gt;=0.45,VLOOKUP(Calculator!E23,tbSkills!DH3:DI6,2,FALSE)+IF(AND(Calculator!B8=TRUE,Backdoors!BI3=TRUE),VLOOKUP(Calculator!E23,tbSkills!DH3:DJ6,3,FALSE),0),0))&gt;=100,100,(Backdoors!AI12+IF(B67&gt;=0.45,VLOOKUP(Calculator!E23,tbSkills!DH3:DI6,2,FALSE)+IF(AND(Calculator!B8=TRUE,Backdoors!BI3=TRUE),VLOOKUP(Calculator!E23,tbSkills!DH3:DJ6,3,FALSE),0),0)))/100)),(1-(0.25*((-Backdoors!AI12-IF(B67&gt;=0.45,VLOOKUP(Calculator!E23,tbSkills!DH3:DI6,2,FALSE)+IF(AND(Calculator!B8=TRUE,Backdoors!BI3=TRUE),VLOOKUP(Calculator!E23,tbSkills!DH3:DJ6,3,FALSE),0),0))/100)))),1),"")</f>
        <v>1</v>
      </c>
      <c r="E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67)*D67)*(VLOOKUP(A67,tbMoveset!A2:C112,3,FALSE)/100)*IF(VLOOKUP(A67,tbMoveset!A2:B112,2,FALSE)="Projectile",Backdoors!N10,Backdoors!N9),0),"")</f>
        <v>8</v>
      </c>
      <c r="F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67&gt;=0.45,VLOOKUP(Calculator!E23,tbSkills!DH3:DI6,2,FALSE)+IF(AND(Calculator!B8=TRUE,Backdoors!BI3=TRUE),VLOOKUP(Calculator!E23,tbSkills!DH3:DJ6,3,FALSE),0),0))&gt;=100,100,(Backdoors!AI12+IF(B67&gt;=0.45,VLOOKUP(Calculator!E23,tbSkills!DH3:DI6,2,FALSE)+IF(AND(Calculator!B8=TRUE,Backdoors!BI3=TRUE),VLOOKUP(Calculator!E23,tbSkills!DH3:DJ6,3,FALSE),0),0)))/100)),1))*IF(VLOOKUP(A67,tbMoveset!A2:K112,11,FALSE)=TRUE,Backdoors!AC5,1))*C67,0),"")</f>
        <v>0</v>
      </c>
      <c r="G67">
        <f>VLOOKUP(A67,tbMoveset!A2:G112,7,FALSE)*IFERROR(IF(Backdoors!AI12&gt;=0,1+(IF(Calculator!E40&gt;0,VLOOKUP(Calculator!E40,tbSkills!AI3:AJ5,2,FALSE),Backdoors!AL4)*(IF((Backdoors!AI12+IF(B67&gt;=0.45,VLOOKUP(Calculator!E23,tbSkills!DH3:DI6,2,FALSE)+IF(AND(Calculator!B8=TRUE,Backdoors!BI3=TRUE),VLOOKUP(Calculator!E23,tbSkills!DH3:DJ6,3,FALSE),0),0))&gt;=100,100,(Backdoors!AI12+IF(B67&gt;=0.45,VLOOKUP(Calculator!E23,tbSkills!DH3:DI6,2,FALSE)+IF(AND(Calculator!B8=TRUE,Backdoors!BI3=TRUE),VLOOKUP(Calculator!E23,tbSkills!DH3:DJ6,3,FALSE),0),0)))/100)),1),1)</f>
        <v>0.6</v>
      </c>
      <c r="H67" s="87">
        <f t="shared" ref="H67:H98" si="51">SUM(E67:F67)</f>
        <v>8</v>
      </c>
      <c r="I67" s="86">
        <f>IFERROR(IF(VLOOKUP(A67,tbMoveset!A2:B112,2,FALSE)="Sever",Backdoors!AY4/100,IF(VLOOKUP(A67,tbMoveset!A2:B112,2,FALSE)="Blunt",Backdoors!AZ4/100,Backdoors!BA4/100)),"")</f>
        <v>0.65</v>
      </c>
      <c r="J67" s="49">
        <f>IFERROR(IF(VLOOKUP(tbMoveset!A67,tbMoveset!A2:H112,8,FALSE)="Other",IF(VLOOKUP(tbMoveset!A67,tbMoveset!A2:I112,9,FALSE)="Fire",Backdoors!BB4,IF(VLOOKUP(tbMoveset!A67,tbMoveset!A2:I112,9,FALSE)="Water",Backdoors!BC4,IF(VLOOKUP(tbMoveset!A67,tbMoveset!A2:I112,9,FALSE)="Thunder",Backdoors!BD4,IF(VLOOKUP(tbMoveset!A67,tbMoveset!A2:I112,9,FALSE)="Ice",Backdoors!BE4,IF(VLOOKUP(tbMoveset!A67,tbMoveset!A2:I112,9,FALSE)="Dragon",Backdoors!BF4,Backdoors!BG4)))))/100,Backdoors!BG4/100),"")</f>
        <v>0</v>
      </c>
      <c r="K67" s="49">
        <f>IFERROR(IF(VLOOKUP(A67,tbMoveset!A2:J112,10,FALSE)=TRUE,IF((Backdoors!AI12+IF(I67&gt;=0.45,VLOOKUP(Calculator!E23,tbSkills!DH3:DI6,2,FALSE)+IF(AND(Calculator!B8=TRUE,Backdoors!BI4=TRUE),VLOOKUP(Calculator!E23,tbSkills!DH3:DJ6,3,FALSE),0),0))&gt;=0,1+(Backdoors!AL2*(IF((Backdoors!AI12+IF(I67&gt;=0.45,VLOOKUP(Calculator!E23,tbSkills!DH3:DI6,2,FALSE)+IF(AND(Calculator!B8=TRUE,Backdoors!BI4=TRUE),VLOOKUP(Calculator!E23,tbSkills!DH3:DJ6,3,FALSE),0),0))&gt;=100,100,(Backdoors!AI12+IF(I67&gt;=0.45,VLOOKUP(Calculator!E23,tbSkills!DH3:DI6,2,FALSE)+IF(AND(Calculator!B8=TRUE,Backdoors!BI4=TRUE),VLOOKUP(Calculator!E23,tbSkills!DH3:DJ6,3,FALSE),0),0)))/100)),(1-(0.25*((-Backdoors!AI12-IF(I67&gt;=0.45,VLOOKUP(Calculator!E23,tbSkills!DH3:DI6,2,FALSE)+IF(AND(Calculator!B8=TRUE,Backdoors!BI4=TRUE),VLOOKUP(Calculator!E23,tbSkills!DH3:DJ6,3,FALSE),0),0))/100)))),1),"")</f>
        <v>1</v>
      </c>
      <c r="L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67)*K67)*(VLOOKUP(A67,tbMoveset!A2:C112,3,FALSE)/100)*IF(VLOOKUP(A67,tbMoveset!A2:B112,2,FALSE)="Projectile",Backdoors!N10,Backdoors!N9),0),"")</f>
        <v>7</v>
      </c>
      <c r="M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I67&gt;=0.45,VLOOKUP(Calculator!E23,tbSkills!DH3:DI6,2,FALSE)+IF(AND(Calculator!B8=TRUE,Backdoors!BI4=TRUE),VLOOKUP(Calculator!E23,tbSkills!DH3:DJ6,3,FALSE),0),0))&gt;=100,100,(Backdoors!AI12+IF(I67&gt;=0.45,VLOOKUP(Calculator!E23,tbSkills!DH3:DI6,2,FALSE)+IF(AND(Calculator!B8=TRUE,Backdoors!BI4=TRUE),VLOOKUP(Calculator!E23,tbSkills!DH3:DJ6,3,FALSE),0),0)))/100)),1))*IF(VLOOKUP(A67,tbMoveset!A2:K112,11,FALSE)=TRUE,Backdoors!AC5,1))*J67,0),"")</f>
        <v>0</v>
      </c>
      <c r="N67" s="49">
        <f>VLOOKUP(A67,tbMoveset!A2:G112,7,FALSE)*IFERROR(IF(Backdoors!AI12&gt;=0,1+(IF(Calculator!E40&gt;0,VLOOKUP(Calculator!E40,tbSkills!AI3:AJ5,2,FALSE),Backdoors!AL4)*(IF((Backdoors!AI12+IF(I67&gt;=0.45,VLOOKUP(Calculator!E23,tbSkills!DH3:DI6,2,FALSE)+IF(AND(Calculator!B8=TRUE,Backdoors!BI4=TRUE),VLOOKUP(Calculator!E23,tbSkills!DH3:DJ6,3,FALSE),0),0))&gt;=100,100,(Backdoors!AI12+IF(I67&gt;=0.45,VLOOKUP(Calculator!E23,tbSkills!DH3:DI6,2,FALSE)+IF(AND(Calculator!B8=TRUE,Backdoors!BI4=TRUE),VLOOKUP(Calculator!E23,tbSkills!DH3:DJ6,3,FALSE),0),0)))/100)),1),1)</f>
        <v>0.6</v>
      </c>
      <c r="O67" s="87">
        <f t="shared" ref="O67:O98" si="52">SUM(L67:M67)</f>
        <v>7</v>
      </c>
      <c r="P67" s="86">
        <f>IFERROR(IF(VLOOKUP(A67,tbMoveset!A2:B112,2,FALSE)="Sever",Backdoors!AY5/100,IF(VLOOKUP(A67,tbMoveset!A2:B112,2,FALSE)="Blunt",Backdoors!AZ5/100,Backdoors!BA5/100)),"")</f>
        <v>0.5</v>
      </c>
      <c r="Q67" s="49">
        <f>IFERROR(IF(VLOOKUP(tbMoveset!A67,tbMoveset!A2:H112,8,FALSE)="Other",IF(VLOOKUP(tbMoveset!A67,tbMoveset!A2:I112,9,FALSE)="Fire",Backdoors!BB5,IF(VLOOKUP(tbMoveset!A67,tbMoveset!A2:I112,9,FALSE)="Water",Backdoors!BC5,IF(VLOOKUP(tbMoveset!A67,tbMoveset!A2:I112,9,FALSE)="Thunder",Backdoors!BD5,IF(VLOOKUP(tbMoveset!A67,tbMoveset!A2:I112,9,FALSE)="Ice",Backdoors!BE5,IF(VLOOKUP(tbMoveset!A67,tbMoveset!A2:I112,9,FALSE)="Dragon",Backdoors!BF5,Backdoors!BG5)))))/100,Backdoors!BG5/100),"")</f>
        <v>0</v>
      </c>
      <c r="R67" s="49">
        <f>IFERROR(IF(VLOOKUP(A67,tbMoveset!A2:J112,10,FALSE)=TRUE,IF((Backdoors!AI12+IF(P67&gt;=0.45,VLOOKUP(Calculator!E23,tbSkills!DH3:DI6,2,FALSE)+IF(AND(Calculator!B8=TRUE,Backdoors!BI5=TRUE),VLOOKUP(Calculator!E23,tbSkills!DH3:DJ6,3,FALSE),0),0))&gt;=0,1+(Backdoors!AL2*(IF((Backdoors!AI12+IF(P67&gt;=0.45,VLOOKUP(Calculator!E23,tbSkills!DH3:DI6,2,FALSE)+IF(AND(Calculator!B8=TRUE,Backdoors!BI5=TRUE),VLOOKUP(Calculator!E23,tbSkills!DH3:DJ6,3,FALSE),0),0))&gt;=100,100,(Backdoors!AI12+IF(P67&gt;=0.45,VLOOKUP(Calculator!E23,tbSkills!DH3:DI6,2,FALSE)+IF(AND(Calculator!B8=TRUE,Backdoors!BI5=TRUE),VLOOKUP(Calculator!E23,tbSkills!DH3:DJ6,3,FALSE),0),0)))/100)),(1-(0.25*((-Backdoors!AI12-IF(P67&gt;=0.45,VLOOKUP(Calculator!E23,tbSkills!DH3:DI6,2,FALSE)+IF(AND(Calculator!B8=TRUE,Backdoors!BI5=TRUE),VLOOKUP(Calculator!E23,tbSkills!DH3:DJ6,3,FALSE),0),0))/100)))),1),"")</f>
        <v>1</v>
      </c>
      <c r="S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P67)*R67)*(VLOOKUP(A67,tbMoveset!A2:C112,3,FALSE)/100)*IF(VLOOKUP(A67,tbMoveset!A2:B112,2,FALSE)="Projectile",Backdoors!N10,Backdoors!N9),0),"")</f>
        <v>5</v>
      </c>
      <c r="T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P67&gt;=0.45,VLOOKUP(Calculator!E23,tbSkills!DH3:DI6,2,FALSE)+IF(AND(Calculator!B8=TRUE,Backdoors!BI5=TRUE),VLOOKUP(Calculator!E23,tbSkills!DH3:DJ6,3,FALSE),0),0))&gt;=100,100,(Backdoors!AI12+IF(P67&gt;=0.45,VLOOKUP(Calculator!E23,tbSkills!DH3:DI6,2,FALSE)+IF(AND(Calculator!B8=TRUE,Backdoors!BI5=TRUE),VLOOKUP(Calculator!E23,tbSkills!DH3:DJ6,3,FALSE),0),0)))/100)),1))*IF(VLOOKUP(A67,tbMoveset!A2:K112,11,FALSE)=TRUE,Backdoors!AC5,1))*Q67,0),"")</f>
        <v>0</v>
      </c>
      <c r="U67" s="49">
        <f>VLOOKUP(A67,tbMoveset!A2:G112,7,FALSE)*IFERROR(IF(Backdoors!AI12&gt;=0,1+(IF(Calculator!E40&gt;0,VLOOKUP(Calculator!E40,tbSkills!AI3:AJ5,2,FALSE),Backdoors!AL4)*(IF((Backdoors!AI12+IF(P67&gt;=0.45,VLOOKUP(Calculator!E23,tbSkills!DH3:DI6,2,FALSE)+IF(AND(Calculator!B8=TRUE,Backdoors!BI5=TRUE),VLOOKUP(Calculator!E23,tbSkills!DH3:DJ6,3,FALSE),0),0))&gt;=100,100,(Backdoors!AI12+IF(P67&gt;=0.45,VLOOKUP(Calculator!E23,tbSkills!DH3:DI6,2,FALSE)+IF(AND(Calculator!B8=TRUE,Backdoors!BI5=TRUE),VLOOKUP(Calculator!E23,tbSkills!DH3:DJ6,3,FALSE),0),0)))/100)),1),1)</f>
        <v>0.6</v>
      </c>
      <c r="V67" s="87">
        <f t="shared" ref="V67:V112" si="53">SUM(S67:T67)</f>
        <v>5</v>
      </c>
      <c r="W67" s="86">
        <f>IFERROR(IF(VLOOKUP(A67,tbMoveset!A2:B112,2,FALSE)="Sever",Backdoors!AY6/100,IF(VLOOKUP(A67,tbMoveset!A2:B112,2,FALSE)="Blunt",Backdoors!AZ6/100,Backdoors!BA6/100)),"")</f>
        <v>0.45</v>
      </c>
      <c r="X67" s="49">
        <f>IFERROR(IF(VLOOKUP(tbMoveset!A67,tbMoveset!A2:H112,8,FALSE)="Other",IF(VLOOKUP(tbMoveset!A67,tbMoveset!A2:I112,9,FALSE)="Fire",Backdoors!BB6,IF(VLOOKUP(tbMoveset!A67,tbMoveset!A2:I112,9,FALSE)="Water",Backdoors!BC6,IF(VLOOKUP(tbMoveset!A67,tbMoveset!A2:I112,9,FALSE)="Thunder",Backdoors!BD6,IF(VLOOKUP(tbMoveset!A67,tbMoveset!A2:I112,9,FALSE)="Ice",Backdoors!BE6,IF(VLOOKUP(tbMoveset!A67,tbMoveset!A2:I112,9,FALSE)="Dragon",Backdoors!BF6,Backdoors!BG6)))))/100,Backdoors!BG6/100),"")</f>
        <v>0</v>
      </c>
      <c r="Y67" s="49">
        <f>IFERROR(IF(VLOOKUP(A67,tbMoveset!A2:J112,10,FALSE)=TRUE,IF((Backdoors!AI12+IF(W67&gt;=0.45,VLOOKUP(Calculator!E23,tbSkills!DH3:DI6,2,FALSE)+IF(AND(Calculator!B8=TRUE,Backdoors!BI6=TRUE),VLOOKUP(Calculator!E23,tbSkills!DH3:DJ6,3,FALSE),0),0))&gt;=0,1+(Backdoors!AL2*(IF((Backdoors!AI12+IF(W67&gt;=0.45,VLOOKUP(Calculator!E23,tbSkills!DH3:DI6,2,FALSE)+IF(AND(Calculator!B8=TRUE,Backdoors!BI6=TRUE),VLOOKUP(Calculator!E23,tbSkills!DH3:DJ6,3,FALSE),0),0))&gt;=100,100,(Backdoors!AI12+IF(W67&gt;=0.45,VLOOKUP(Calculator!E23,tbSkills!DH3:DI6,2,FALSE)+IF(AND(Calculator!B8=TRUE,Backdoors!BI6=TRUE),VLOOKUP(Calculator!E23,tbSkills!DH3:DJ6,3,FALSE),0),0)))/100)),(1-(0.25*((-Backdoors!AI12-IF(W67&gt;=0.45,VLOOKUP(Calculator!E23,tbSkills!DH3:DI6,2,FALSE)+IF(AND(Calculator!B8=TRUE,Backdoors!BI6=TRUE),VLOOKUP(Calculator!E23,tbSkills!DH3:DJ6,3,FALSE),0),0))/100)))),1),"")</f>
        <v>1</v>
      </c>
      <c r="Z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W67)*Y67)*(VLOOKUP(A67,tbMoveset!A2:C112,3,FALSE)/100)*IF(VLOOKUP(A67,tbMoveset!A2:B112,2,FALSE)="Projectile",Backdoors!N10,Backdoors!N9),0),"")</f>
        <v>5</v>
      </c>
      <c r="AA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W67&gt;=0.45,VLOOKUP(Calculator!E23,tbSkills!DH3:DI6,2,FALSE)+IF(AND(Calculator!B8=TRUE,Backdoors!BI6=TRUE),VLOOKUP(Calculator!E23,tbSkills!DH3:DJ6,3,FALSE),0),0))&gt;=100,100,(Backdoors!AI12+IF(W67&gt;=0.45,VLOOKUP(Calculator!E23,tbSkills!DH3:DI6,2,FALSE)+IF(AND(Calculator!B8=TRUE,Backdoors!BI6=TRUE),VLOOKUP(Calculator!E23,tbSkills!DH3:DJ6,3,FALSE),0),0)))/100)),1))*IF(VLOOKUP(A67,tbMoveset!A2:K112,11,FALSE)=TRUE,Backdoors!AC5,1))*X67,0),"")</f>
        <v>0</v>
      </c>
      <c r="AB67" s="49">
        <f>VLOOKUP(A67,tbMoveset!A2:G112,7,FALSE)*IFERROR(IF(Backdoors!AI12&gt;=0,1+(IF(Calculator!E40&gt;0,VLOOKUP(Calculator!E40,tbSkills!AI3:AJ5,2,FALSE),Backdoors!AL4)*(IF((Backdoors!AI12+IF(W67&gt;=0.45,VLOOKUP(Calculator!E23,tbSkills!DH3:DI6,2,FALSE)+IF(AND(Calculator!B8=TRUE,Backdoors!BI6=TRUE),VLOOKUP(Calculator!E23,tbSkills!DH3:DJ6,3,FALSE),0),0))&gt;=100,100,(Backdoors!AI12+IF(W67&gt;=0.45,VLOOKUP(Calculator!E23,tbSkills!DH3:DI6,2,FALSE)+IF(AND(Calculator!B8=TRUE,Backdoors!BI6=TRUE),VLOOKUP(Calculator!E23,tbSkills!DH3:DJ6,3,FALSE),0),0)))/100)),1),1)</f>
        <v>0.6</v>
      </c>
      <c r="AC67" s="87">
        <f t="shared" ref="AC67:AC112" si="54">SUM(Z67:AA67)</f>
        <v>5</v>
      </c>
      <c r="AD67" s="86">
        <f>IFERROR(IF(VLOOKUP(A67,tbMoveset!A2:B112,2,FALSE)="Sever",Backdoors!AY7/100,IF(VLOOKUP(A67,tbMoveset!A2:B112,2,FALSE)="Blunt",Backdoors!AZ7/100,Backdoors!BA7/100)),"")</f>
        <v>0.65</v>
      </c>
      <c r="AE67" s="49">
        <f>IFERROR(IF(VLOOKUP(tbMoveset!A67,tbMoveset!A2:H112,8,FALSE)="Other",IF(VLOOKUP(tbMoveset!A67,tbMoveset!A2:I112,9,FALSE)="Fire",Backdoors!BB7,IF(VLOOKUP(tbMoveset!A67,tbMoveset!A2:I112,9,FALSE)="Water",Backdoors!BC7,IF(VLOOKUP(tbMoveset!A67,tbMoveset!A2:I112,9,FALSE)="Thunder",Backdoors!BD7,IF(VLOOKUP(tbMoveset!A67,tbMoveset!A2:I112,9,FALSE)="Ice",Backdoors!BE7,IF(VLOOKUP(tbMoveset!A67,tbMoveset!A2:I112,9,FALSE)="Dragon",Backdoors!BF7,Backdoors!BG7)))))/100,Backdoors!BG7/100),"")</f>
        <v>0</v>
      </c>
      <c r="AF67" s="49">
        <f>IFERROR(IF(VLOOKUP(A67,tbMoveset!A2:J112,10,FALSE)=TRUE,IF((Backdoors!AI12+IF(AD67&gt;=0.45,VLOOKUP(Calculator!E23,tbSkills!DH3:DI6,2,FALSE)+IF(AND(Calculator!B8=TRUE,Backdoors!BI7=TRUE),VLOOKUP(Calculator!E23,tbSkills!DH3:DJ6,3,FALSE),0),0))&gt;=0,1+(Backdoors!AL2*(IF((Backdoors!AI12+IF(AD67&gt;=0.45,VLOOKUP(Calculator!E23,tbSkills!DH3:DI6,2,FALSE)+IF(AND(Calculator!B8=TRUE,Backdoors!BI7=TRUE),VLOOKUP(Calculator!E23,tbSkills!DH3:DJ6,3,FALSE),0),0))&gt;=100,100,(Backdoors!AI12+IF(AD67&gt;=0.45,VLOOKUP(Calculator!E23,tbSkills!DH3:DI6,2,FALSE)+IF(AND(Calculator!B8=TRUE,Backdoors!BI7=TRUE),VLOOKUP(Calculator!E23,tbSkills!DH3:DJ6,3,FALSE),0),0)))/100)),(1-(0.25*((-Backdoors!AI12-IF(AD67&gt;=0.45,VLOOKUP(Calculator!E23,tbSkills!DH3:DI6,2,FALSE)+IF(AND(Calculator!B8=TRUE,Backdoors!BI7=TRUE),VLOOKUP(Calculator!E23,tbSkills!DH3:DJ6,3,FALSE),0),0))/100)))),1),"")</f>
        <v>1</v>
      </c>
      <c r="AG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D67)*AF67)*(VLOOKUP(A67,tbMoveset!A2:C112,3,FALSE)/100)*IF(VLOOKUP(A67,tbMoveset!A2:B112,2,FALSE)="Projectile",Backdoors!N10,Backdoors!N9),0),"")</f>
        <v>7</v>
      </c>
      <c r="AH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D67&gt;=0.45,VLOOKUP(Calculator!E23,tbSkills!DH3:DI6,2,FALSE)+IF(AND(Calculator!B8=TRUE,Backdoors!BI7=TRUE),VLOOKUP(Calculator!E23,tbSkills!DH3:DJ6,3,FALSE),0),0))&gt;=100,100,(Backdoors!AI12+IF(AD67&gt;=0.45,VLOOKUP(Calculator!E23,tbSkills!DH3:DI6,2,FALSE)+IF(AND(Calculator!B8=TRUE,Backdoors!BI7=TRUE),VLOOKUP(Calculator!E23,tbSkills!DH3:DJ6,3,FALSE),0),0)))/100)),1))*IF(VLOOKUP(A67,tbMoveset!A2:K112,11,FALSE)=TRUE,Backdoors!AC5,1))*AE67,0),"")</f>
        <v>0</v>
      </c>
      <c r="AI67" s="49">
        <f>VLOOKUP(A67,tbMoveset!A2:G112,7,FALSE)*IFERROR(IF(Backdoors!AI12&gt;=0,1+(IF(Calculator!E40&gt;0,VLOOKUP(Calculator!E40,tbSkills!AI3:AJ5,2,FALSE),Backdoors!AL4)*(IF((Backdoors!AI12+IF(AD67&gt;=0.45,VLOOKUP(Calculator!E23,tbSkills!DH3:DI6,2,FALSE)+IF(AND(Calculator!B8=TRUE,Backdoors!BI7=TRUE),VLOOKUP(Calculator!E23,tbSkills!DH3:DJ6,3,FALSE),0),0))&gt;=100,100,(Backdoors!AI12+IF(AD67&gt;=0.45,VLOOKUP(Calculator!E23,tbSkills!DH3:DI6,2,FALSE)+IF(AND(Calculator!B8=TRUE,Backdoors!BI7=TRUE),VLOOKUP(Calculator!E23,tbSkills!DH3:DJ6,3,FALSE),0),0)))/100)),1),1)</f>
        <v>0.6</v>
      </c>
      <c r="AJ67" s="87">
        <f t="shared" ref="AJ67:AJ112" si="55">SUM(AG67:AH67)</f>
        <v>7</v>
      </c>
      <c r="AK67" s="91">
        <f>IFERROR(IF(VLOOKUP(A67,tbMoveset!A2:B112,2,FALSE)="Sever",Backdoors!AY8/100,IF(VLOOKUP(A67,tbMoveset!A2:B112,2,FALSE)="Blunt",Backdoors!AZ8/100,Backdoors!BA8/100)),"")</f>
        <v>0.45</v>
      </c>
      <c r="AL67" s="49">
        <f>IFERROR(IF(VLOOKUP(tbMoveset!A67,tbMoveset!A2:H112,8,FALSE)="Other",IF(VLOOKUP(tbMoveset!A67,tbMoveset!A2:I112,9,FALSE)="Fire",Backdoors!BB8,IF(VLOOKUP(tbMoveset!A67,tbMoveset!A2:I112,9,FALSE)="Water",Backdoors!BC8,IF(VLOOKUP(tbMoveset!A67,tbMoveset!A2:I112,9,FALSE)="Thunder",Backdoors!BD8,IF(VLOOKUP(tbMoveset!A67,tbMoveset!A2:I112,9,FALSE)="Ice",Backdoors!BE8,IF(VLOOKUP(tbMoveset!A67,tbMoveset!A2:I112,9,FALSE)="Dragon",Backdoors!BF8,Backdoors!BG8)))))/100,Backdoors!BG8/100),"")</f>
        <v>0</v>
      </c>
      <c r="AM67" s="49">
        <f>IFERROR(IF(VLOOKUP(A67,tbMoveset!A2:J112,10,FALSE)=TRUE,IF((Backdoors!AI12+IF(AK67&gt;=0.45,VLOOKUP(Calculator!E23,tbSkills!DH3:DI6,2,FALSE)+IF(AND(Calculator!B8=TRUE,Backdoors!BI8=TRUE),VLOOKUP(Calculator!E23,tbSkills!DH3:DJ6,3,FALSE),0),0))&gt;=0,1+(Backdoors!AL2*(IF((Backdoors!AI12+IF(AK67&gt;=0.45,VLOOKUP(Calculator!E23,tbSkills!DH3:DI6,2,FALSE)+IF(AND(Calculator!B8=TRUE,Backdoors!BI8=TRUE),VLOOKUP(Calculator!E23,tbSkills!DH3:DJ6,3,FALSE),0),0))&gt;=100,100,(Backdoors!AI12+IF(AK67&gt;=0.45,VLOOKUP(Calculator!E23,tbSkills!DH3:DI6,2,FALSE)+IF(AND(Calculator!B8=TRUE,Backdoors!BI8=TRUE),VLOOKUP(Calculator!E23,tbSkills!DH3:DJ6,3,FALSE),0),0)))/100)),(1-(0.25*((-Backdoors!AI12-IF(AK67&gt;=0.45,VLOOKUP(Calculator!E23,tbSkills!DH3:DI6,2,FALSE)+IF(AND(Calculator!B8=TRUE,Backdoors!BI8=TRUE),VLOOKUP(Calculator!E23,tbSkills!DH3:DJ6,3,FALSE),0),0))/100)))),1),"")</f>
        <v>1</v>
      </c>
      <c r="AN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K67)*AM67)*(VLOOKUP(A67,tbMoveset!A2:C112,3,FALSE)/100)*IF(VLOOKUP(A67,tbMoveset!A2:B112,2,FALSE)="Projectile",Backdoors!N10,Backdoors!N9),0),"")</f>
        <v>5</v>
      </c>
      <c r="AO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K67&gt;=0.45,VLOOKUP(Calculator!E23,tbSkills!DH3:DI6,2,FALSE)+IF(AND(Calculator!B8=TRUE,Backdoors!BI8=TRUE),VLOOKUP(Calculator!E23,tbSkills!DH3:DJ6,3,FALSE),0),0))&gt;=100,100,(Backdoors!AI12+IF(AK67&gt;=0.45,VLOOKUP(Calculator!E23,tbSkills!DH3:DI6,2,FALSE)+IF(AND(Calculator!B8=TRUE,Backdoors!BI8=TRUE),VLOOKUP(Calculator!E23,tbSkills!DH3:DJ6,3,FALSE),0),0)))/100)),1))*IF(VLOOKUP(A67,tbMoveset!A2:K112,11,FALSE)=TRUE,Backdoors!AC5,1))*AL67,0),"")</f>
        <v>0</v>
      </c>
      <c r="AP67" s="49">
        <f>VLOOKUP(A67,tbMoveset!A2:G112,7,FALSE)*IFERROR(IF(Backdoors!AI12&gt;=0,1+(IF(Calculator!E40&gt;0,VLOOKUP(Calculator!E40,tbSkills!AI3:AJ5,2,FALSE),Backdoors!AL4)*(IF((Backdoors!AI12+IF(AK67&gt;=0.45,VLOOKUP(Calculator!E23,tbSkills!DH3:DI6,2,FALSE)+IF(AND(Calculator!B8=TRUE,Backdoors!BI8=TRUE),VLOOKUP(Calculator!E23,tbSkills!DH3:DJ6,3,FALSE),0),0))&gt;=100,100,(Backdoors!AI12+IF(AK67&gt;=0.45,VLOOKUP(Calculator!E23,tbSkills!DH3:DI6,2,FALSE)+IF(AND(Calculator!B8=TRUE,Backdoors!BI8=TRUE),VLOOKUP(Calculator!E23,tbSkills!DH3:DJ6,3,FALSE),0),0)))/100)),1),1)</f>
        <v>0.6</v>
      </c>
      <c r="AQ67" s="87">
        <f t="shared" ref="AQ67:AQ112" si="56">SUM(AN67:AO67)</f>
        <v>5</v>
      </c>
      <c r="AR67" s="86">
        <f>IFERROR(IF(VLOOKUP(A67,tbMoveset!A2:B112,2,FALSE)="Sever",Backdoors!AY9/100,IF(VLOOKUP(A67,tbMoveset!A2:B112,2,FALSE)="Blunt",Backdoors!AZ9/100,Backdoors!BA9/100)),"")</f>
        <v>0.45</v>
      </c>
      <c r="AS67" s="49">
        <f>IFERROR(IF(VLOOKUP(tbMoveset!A67,tbMoveset!A2:H112,8,FALSE)="Other",IF(VLOOKUP(tbMoveset!A67,tbMoveset!A2:I112,9,FALSE)="Fire",Backdoors!BB9,IF(VLOOKUP(tbMoveset!A67,tbMoveset!A2:I112,9,FALSE)="Water",Backdoors!BC9,IF(VLOOKUP(tbMoveset!A67,tbMoveset!A2:I112,9,FALSE)="Thunder",Backdoors!BD9,IF(VLOOKUP(tbMoveset!A67,tbMoveset!A2:I112,9,FALSE)="Ice",Backdoors!BE9,IF(VLOOKUP(tbMoveset!A67,tbMoveset!A2:I112,9,FALSE)="Dragon",Backdoors!BF9,Backdoors!BG9)))))/100,Backdoors!BG9/100),"")</f>
        <v>0</v>
      </c>
      <c r="AT67" s="49">
        <f>IFERROR(IF(VLOOKUP(A67,tbMoveset!A2:J112,10,FALSE)=TRUE,IF((Backdoors!AI12+IF(AR67&gt;=0.45,VLOOKUP(Calculator!E23,tbSkills!DH3:DI6,2,FALSE)+IF(AND(Calculator!B8=TRUE,Backdoors!BI9=TRUE),VLOOKUP(Calculator!E23,tbSkills!DH3:DJ6,3,FALSE),0),0))&gt;=0,1+(Backdoors!AL2*(IF((Backdoors!AI12+IF(AR67&gt;=0.45,VLOOKUP(Calculator!E23,tbSkills!DH3:DI6,2,FALSE)+IF(AND(Calculator!B8=TRUE,Backdoors!BI9=TRUE),VLOOKUP(Calculator!E23,tbSkills!DH3:DJ6,3,FALSE),0),0))&gt;=100,100,(Backdoors!AI12+IF(AR67&gt;=0.45,VLOOKUP(Calculator!E23,tbSkills!DH3:DI6,2,FALSE)+IF(AND(Calculator!B8=TRUE,Backdoors!BI9=TRUE),VLOOKUP(Calculator!E23,tbSkills!DH3:DJ6,3,FALSE),0),0)))/100)),(1-(0.25*((-Backdoors!AI12-IF(AR67&gt;=0.45,VLOOKUP(Calculator!E23,tbSkills!DH3:DI6,2,FALSE)+IF(AND(Calculator!B8=TRUE,Backdoors!BI9=TRUE),VLOOKUP(Calculator!E23,tbSkills!DH3:DJ6,3,FALSE),0),0))/100)))),1),"")</f>
        <v>1</v>
      </c>
      <c r="AU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R67)*AT67)*(VLOOKUP(A67,tbMoveset!A2:C112,3,FALSE)/100)*IF(VLOOKUP(A67,tbMoveset!A2:B112,2,FALSE)="Projectile",Backdoors!N10,Backdoors!N9),0),"")</f>
        <v>5</v>
      </c>
      <c r="AV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R67&gt;=0.45,VLOOKUP(Calculator!E23,tbSkills!DH3:DI6,2,FALSE)+IF(AND(Calculator!B8=TRUE,Backdoors!BI9=TRUE),VLOOKUP(Calculator!E23,tbSkills!DH3:DJ6,3,FALSE),0),0))&gt;=100,100,(Backdoors!AI12+IF(AR67&gt;=0.45,VLOOKUP(Calculator!E23,tbSkills!DH3:DI6,2,FALSE)+IF(AND(Calculator!B8=TRUE,Backdoors!BI9=TRUE),VLOOKUP(Calculator!E23,tbSkills!DH3:DJ6,3,FALSE),0),0)))/100)),1))*IF(VLOOKUP(A67,tbMoveset!A2:K112,11,FALSE)=TRUE,Backdoors!AC5,1))*AS67,0),"")</f>
        <v>0</v>
      </c>
      <c r="AW67" s="49">
        <f>VLOOKUP(A67,tbMoveset!A2:G112,7,FALSE)*IFERROR(IF(Backdoors!AI12&gt;=0,1+(IF(Calculator!E40&gt;0,VLOOKUP(Calculator!E40,tbSkills!AI3:AJ5,2,FALSE),Backdoors!AL4)*(IF((Backdoors!AI12+IF(AR67&gt;=0.45,VLOOKUP(Calculator!E23,tbSkills!DH3:DI6,2,FALSE)+IF(AND(Calculator!B8=TRUE,Backdoors!BI9=TRUE),VLOOKUP(Calculator!E23,tbSkills!DH3:DJ6,3,FALSE),0),0))&gt;=100,100,(Backdoors!AI12+IF(AR67&gt;=0.45,VLOOKUP(Calculator!E23,tbSkills!DH3:DI6,2,FALSE)+IF(AND(Calculator!B8=TRUE,Backdoors!BI9=TRUE),VLOOKUP(Calculator!E23,tbSkills!DH3:DJ6,3,FALSE),0),0)))/100)),1),1)</f>
        <v>0.6</v>
      </c>
      <c r="AX67" s="87">
        <f t="shared" ref="AX67:AX112" si="57">SUM(AU67:AV67)</f>
        <v>5</v>
      </c>
      <c r="AY67" s="86">
        <f>IFERROR(IF(VLOOKUP(A67,tbMoveset!A2:B112,2,FALSE)="Sever",Backdoors!AY10/100,IF(VLOOKUP(A67,tbMoveset!A2:B112,2,FALSE)="Blunt",Backdoors!AZ10/100,Backdoors!BA10/100)),"")</f>
        <v>0.9</v>
      </c>
      <c r="AZ67" s="49">
        <f>IFERROR(IF(VLOOKUP(tbMoveset!A67,tbMoveset!A2:H112,8,FALSE)="Other",IF(VLOOKUP(tbMoveset!A67,tbMoveset!A2:I112,9,FALSE)="Fire",Backdoors!BB10,IF(VLOOKUP(tbMoveset!A67,tbMoveset!A2:I112,9,FALSE)="Water",Backdoors!BC10,IF(VLOOKUP(tbMoveset!A67,tbMoveset!A2:I112,9,FALSE)="Thunder",Backdoors!BD10,IF(VLOOKUP(tbMoveset!A67,tbMoveset!A2:I112,9,FALSE)="Ice",Backdoors!BE10,IF(VLOOKUP(tbMoveset!A67,tbMoveset!A2:I112,9,FALSE)="Dragon",Backdoors!BF10,Backdoors!BG10)))))/100,Backdoors!BG10/100),"")</f>
        <v>0</v>
      </c>
      <c r="BA67" s="49">
        <f>IFERROR(IF(VLOOKUP(A67,tbMoveset!A2:J112,10,FALSE)=TRUE,IF((Backdoors!AI12+IF(AY67&gt;=0.45,VLOOKUP(Calculator!E23,tbSkills!DH3:DI6,2,FALSE)+IF(AND(Calculator!B8=TRUE,Backdoors!BI10=TRUE),VLOOKUP(Calculator!E23,tbSkills!DH3:DJ6,3,FALSE),0),0))&gt;=0,1+(Backdoors!AL2*(IF((Backdoors!AI12+IF(AY67&gt;=0.45,VLOOKUP(Calculator!E23,tbSkills!DH3:DI6,2,FALSE)+IF(AND(Calculator!B8=TRUE,Backdoors!BI10=TRUE),VLOOKUP(Calculator!E23,tbSkills!DH3:DJ6,3,FALSE),0),0))&gt;=100,100,(Backdoors!AI12+IF(AY67&gt;=0.45,VLOOKUP(Calculator!E23,tbSkills!DH3:DI6,2,FALSE)+IF(AND(Calculator!B8=TRUE,Backdoors!BI10=TRUE),VLOOKUP(Calculator!E23,tbSkills!DH3:DJ6,3,FALSE),0),0)))/100)),(1-(0.25*((-Backdoors!AI12-IF(AY67&gt;=0.45,VLOOKUP(Calculator!E23,tbSkills!DH3:DI6,2,FALSE)+IF(AND(Calculator!B8=TRUE,Backdoors!BI10=TRUE),VLOOKUP(Calculator!E23,tbSkills!DH3:DJ6,3,FALSE),0),0))/100)))),1),"")</f>
        <v>1</v>
      </c>
      <c r="BB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Y67)*BA67)*(VLOOKUP(A67,tbMoveset!A2:C112,3,FALSE)/100)*IF(VLOOKUP(A67,tbMoveset!A2:B112,2,FALSE)="Projectile",Backdoors!N10,Backdoors!N9),0),"")</f>
        <v>9</v>
      </c>
      <c r="BC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Y67&gt;=0.45,VLOOKUP(Calculator!E23,tbSkills!DH3:DI6,2,FALSE)+IF(AND(Calculator!B8=TRUE,Backdoors!BI10=TRUE),VLOOKUP(Calculator!E23,tbSkills!DH3:DJ6,3,FALSE),0),0))&gt;=100,100,(Backdoors!AI12+IF(AY67&gt;=0.45,VLOOKUP(Calculator!E23,tbSkills!DH3:DI6,2,FALSE)+IF(AND(Calculator!B8=TRUE,Backdoors!BI10=TRUE),VLOOKUP(Calculator!E23,tbSkills!DH3:DJ6,3,FALSE),0),0)))/100)),1))*IF(VLOOKUP(A67,tbMoveset!A2:K112,11,FALSE)=TRUE,Backdoors!AC5,1))*AZ67,0),"")</f>
        <v>0</v>
      </c>
      <c r="BD67" s="49">
        <f>VLOOKUP(A67,tbMoveset!A2:G112,7,FALSE)*IFERROR(IF(Backdoors!AI12&gt;=0,1+(IF(Calculator!E40&gt;0,VLOOKUP(Calculator!E40,tbSkills!AI3:AJ5,2,FALSE),Backdoors!AL4)*(IF((Backdoors!AI12+IF(AY67&gt;=0.45,VLOOKUP(Calculator!E23,tbSkills!DH3:DI6,2,FALSE)+IF(AND(Calculator!B8=TRUE,Backdoors!BI10=TRUE),VLOOKUP(Calculator!E23,tbSkills!DH3:DJ6,3,FALSE),0),0))&gt;=100,100,(Backdoors!AI12+IF(AY67&gt;=0.45,VLOOKUP(Calculator!E23,tbSkills!DH3:DI6,2,FALSE)+IF(AND(Calculator!B8=TRUE,Backdoors!BI10=TRUE),VLOOKUP(Calculator!E23,tbSkills!DH3:DJ6,3,FALSE),0),0)))/100)),1),1)</f>
        <v>0.6</v>
      </c>
      <c r="BE67" s="87">
        <f t="shared" ref="BE67:BE112" si="58">SUM(BB67:BC67)</f>
        <v>9</v>
      </c>
      <c r="BF67" s="86" t="str">
        <f>IFERROR(IF(VLOOKUP(A67,tbMoveset!A2:B112,2,FALSE)="Sever",Backdoors!AY11/100,IF(VLOOKUP(A67,tbMoveset!A2:B112,2,FALSE)="Blunt",Backdoors!AZ11/100,Backdoors!BA11/100)),"")</f>
        <v/>
      </c>
      <c r="BG67" s="49">
        <f>IFERROR(IF(VLOOKUP(tbMoveset!A67,tbMoveset!A2:H112,8,FALSE)="Other",IF(VLOOKUP(tbMoveset!A67,tbMoveset!A2:I112,9,FALSE)="Fire",Backdoors!BB11,IF(VLOOKUP(tbMoveset!A67,tbMoveset!A2:I112,9,FALSE)="Water",Backdoors!BC11,IF(VLOOKUP(tbMoveset!A67,tbMoveset!A2:I112,9,FALSE)="Thunder",Backdoors!BD11,IF(VLOOKUP(tbMoveset!A67,tbMoveset!A2:I112,9,FALSE)="Ice",Backdoors!BE11,IF(VLOOKUP(tbMoveset!A67,tbMoveset!A2:I112,9,FALSE)="Dragon",Backdoors!BF11,Backdoors!BG11)))))/100,Backdoors!BG11/100),"")</f>
        <v>0</v>
      </c>
      <c r="BH67" s="49">
        <f>IFERROR(IF(VLOOKUP(A67,tbMoveset!A2:J112,10,FALSE)=TRUE,IF((Backdoors!AI12+IF(BF67&gt;=0.45,VLOOKUP(Calculator!E23,tbSkills!DH3:DI6,2,FALSE)+IF(AND(Calculator!B8=TRUE,Backdoors!BI11=TRUE),VLOOKUP(Calculator!E23,tbSkills!DH3:DJ6,3,FALSE),0),0))&gt;=0,1+(Backdoors!AL2*(IF((Backdoors!AI12+IF(BF67&gt;=0.45,VLOOKUP(Calculator!E23,tbSkills!DH3:DI6,2,FALSE)+IF(AND(Calculator!B8=TRUE,Backdoors!BI11=TRUE),VLOOKUP(Calculator!E23,tbSkills!DH3:DJ6,3,FALSE),0),0))&gt;=100,100,(Backdoors!AI12+IF(BF67&gt;=0.45,VLOOKUP(Calculator!E23,tbSkills!DH3:DI6,2,FALSE)+IF(AND(Calculator!B8=TRUE,Backdoors!BI11=TRUE),VLOOKUP(Calculator!E23,tbSkills!DH3:DJ6,3,FALSE),0),0)))/100)),(1-(0.25*((-Backdoors!AI12-IF(BF67&gt;=0.45,VLOOKUP(Calculator!E23,tbSkills!DH3:DI6,2,FALSE)+IF(AND(Calculator!B8=TRUE,Backdoors!BI11=TRUE),VLOOKUP(Calculator!E23,tbSkills!DH3:DJ6,3,FALSE),0),0))/100)))),1),"")</f>
        <v>1</v>
      </c>
      <c r="BI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F67)*BH67)*(VLOOKUP(A67,tbMoveset!A2:C112,3,FALSE)/100)*IF(VLOOKUP(A67,tbMoveset!A2:B112,2,FALSE)="Projectile",Backdoors!N10,Backdoors!N9),0),"")</f>
        <v/>
      </c>
      <c r="BJ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F67&gt;=0.45,VLOOKUP(Calculator!E23,tbSkills!DH3:DI6,2,FALSE)+IF(AND(Calculator!B8=TRUE,Backdoors!BI11=TRUE),VLOOKUP(Calculator!E23,tbSkills!DH3:DJ6,3,FALSE),0),0))&gt;=100,100,(Backdoors!AI12+IF(BF67&gt;=0.45,VLOOKUP(Calculator!E23,tbSkills!DH3:DI6,2,FALSE)+IF(AND(Calculator!B8=TRUE,Backdoors!BI11=TRUE),VLOOKUP(Calculator!E23,tbSkills!DH3:DJ6,3,FALSE),0),0)))/100)),1))*IF(VLOOKUP(A67,tbMoveset!A2:K112,11,FALSE)=TRUE,Backdoors!AC5,1))*BG67,0),"")</f>
        <v>0</v>
      </c>
      <c r="BK67" s="49">
        <f>VLOOKUP(A67,tbMoveset!A2:G112,7,FALSE)*IFERROR(IF(Backdoors!AI12&gt;=0,1+(IF(Calculator!E40&gt;0,VLOOKUP(Calculator!E40,tbSkills!AI3:AJ5,2,FALSE),Backdoors!AL4)*(IF((Backdoors!AI12+IF(BF67&gt;=0.45,VLOOKUP(Calculator!E23,tbSkills!DH3:DI6,2,FALSE)+IF(AND(Calculator!B8=TRUE,Backdoors!BI11=TRUE),VLOOKUP(Calculator!E23,tbSkills!DH3:DJ6,3,FALSE),0),0))&gt;=100,100,(Backdoors!AI12+IF(BF67&gt;=0.45,VLOOKUP(Calculator!E23,tbSkills!DH3:DI6,2,FALSE)+IF(AND(Calculator!B8=TRUE,Backdoors!BI11=TRUE),VLOOKUP(Calculator!E23,tbSkills!DH3:DJ6,3,FALSE),0),0)))/100)),1),1)</f>
        <v>0.6</v>
      </c>
      <c r="BL67" s="87">
        <f t="shared" ref="BL67:BL112" si="59">SUM(BI67:BJ67)</f>
        <v>0</v>
      </c>
      <c r="BM67" s="86" t="str">
        <f>IFERROR(IF(VLOOKUP(A67,tbMoveset!A2:B112,2,FALSE)="Sever",Backdoors!AY12/100,IF(VLOOKUP(A67,tbMoveset!A2:B112,2,FALSE)="Blunt",Backdoors!AZ12/100,Backdoors!BA12/100)),"")</f>
        <v/>
      </c>
      <c r="BN67" s="49">
        <f>IFERROR(IF(VLOOKUP(tbMoveset!A67,tbMoveset!A2:H112,8,FALSE)="Other",IF(VLOOKUP(tbMoveset!A67,tbMoveset!A2:I112,9,FALSE)="Fire",Backdoors!BB12,IF(VLOOKUP(tbMoveset!A67,tbMoveset!A2:I112,9,FALSE)="Water",Backdoors!BC12,IF(VLOOKUP(tbMoveset!A67,tbMoveset!A2:I112,9,FALSE)="Thunder",Backdoors!BD12,IF(VLOOKUP(tbMoveset!A67,tbMoveset!A2:I112,9,FALSE)="Ice",Backdoors!BE12,IF(VLOOKUP(tbMoveset!A67,tbMoveset!A2:I112,9,FALSE)="Dragon",Backdoors!BF12,Backdoors!BG12)))))/100,Backdoors!BG12/100),"")</f>
        <v>0</v>
      </c>
      <c r="BO67" s="49">
        <f>IFERROR(IF(VLOOKUP(A67,tbMoveset!A2:J112,10,FALSE)=TRUE,IF((Backdoors!AI12+IF(BM67&gt;=0.45,VLOOKUP(Calculator!E23,tbSkills!DH3:DI6,2,FALSE)+IF(AND(Calculator!B8=TRUE,Backdoors!BI12=TRUE),VLOOKUP(Calculator!E23,tbSkills!DH3:DJ6,3,FALSE),0),0))&gt;=0,1+(Backdoors!AL2*(IF((Backdoors!AI12+IF(BM67&gt;=0.45,VLOOKUP(Calculator!E23,tbSkills!DH3:DI6,2,FALSE)+IF(AND(Calculator!B8=TRUE,Backdoors!BI12=TRUE),VLOOKUP(Calculator!E23,tbSkills!DH3:DJ6,3,FALSE),0),0))&gt;=100,100,(Backdoors!AI12+IF(BM67&gt;=0.45,VLOOKUP(Calculator!E23,tbSkills!DH3:DI6,2,FALSE)+IF(AND(Calculator!B8=TRUE,Backdoors!BI12=TRUE),VLOOKUP(Calculator!E23,tbSkills!DH3:DJ6,3,FALSE),0),0)))/100)),(1-(0.25*((-Backdoors!AI12-IF(BM67&gt;=0.45,VLOOKUP(Calculator!E23,tbSkills!DH3:DI6,2,FALSE)+IF(AND(Calculator!B8=TRUE,Backdoors!BI12=TRUE),VLOOKUP(Calculator!E23,tbSkills!DH3:DJ6,3,FALSE),0),0))/100)))),1),"")</f>
        <v>1</v>
      </c>
      <c r="BP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M67)*BO67)*(VLOOKUP(A67,tbMoveset!A2:C112,3,FALSE)/100)*IF(VLOOKUP(A67,tbMoveset!A2:B112,2,FALSE)="Projectile",Backdoors!N10,Backdoors!N9),0),"")</f>
        <v/>
      </c>
      <c r="BQ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M67&gt;=0.45,VLOOKUP(Calculator!E23,tbSkills!DH3:DI6,2,FALSE)+IF(AND(Calculator!B8=TRUE,Backdoors!BI12=TRUE),VLOOKUP(Calculator!E23,tbSkills!DH3:DJ6,3,FALSE),0),0))&gt;=100,100,(Backdoors!AI12+IF(BM67&gt;=0.45,VLOOKUP(Calculator!E23,tbSkills!DH3:DI6,2,FALSE)+IF(AND(Calculator!B8=TRUE,Backdoors!BI12=TRUE),VLOOKUP(Calculator!E23,tbSkills!DH3:DJ6,3,FALSE),0),0)))/100)),1))*IF(VLOOKUP(A67,tbMoveset!A2:K112,11,FALSE)=TRUE,Backdoors!AC5,1))*BN67,0),"")</f>
        <v>0</v>
      </c>
      <c r="BR67" s="49">
        <f>VLOOKUP(A67,tbMoveset!A2:G112,7,FALSE)*IFERROR(IF(Backdoors!AI12&gt;=0,1+(IF(Calculator!E40&gt;0,VLOOKUP(Calculator!E40,tbSkills!AI3:AJ5,2,FALSE),Backdoors!AL4)*(IF((Backdoors!AI12+IF(BM67&gt;=0.45,VLOOKUP(Calculator!E23,tbSkills!DH3:DI6,2,FALSE)+IF(AND(Calculator!B8=TRUE,Backdoors!BI12=TRUE),VLOOKUP(Calculator!E23,tbSkills!DH3:DJ6,3,FALSE),0),0))&gt;=100,100,(Backdoors!AI12+IF(BM67&gt;=0.45,VLOOKUP(Calculator!E23,tbSkills!DH3:DI6,2,FALSE)+IF(AND(Calculator!B8=TRUE,Backdoors!BI12=TRUE),VLOOKUP(Calculator!E23,tbSkills!DH3:DJ6,3,FALSE),0),0)))/100)),1),1)</f>
        <v>0.6</v>
      </c>
      <c r="BS67" s="87">
        <f t="shared" ref="BS67:BS112" si="60">SUM(BP67:BQ67)</f>
        <v>0</v>
      </c>
      <c r="BT67" s="86" t="str">
        <f>IFERROR(IF(VLOOKUP(A67,tbMoveset!A2:B112,2,FALSE)="Sever",Backdoors!AY13/100,IF(VLOOKUP(A67,tbMoveset!A2:B112,2,FALSE)="Blunt",Backdoors!AZ13/100,Backdoors!BA13/100)),"")</f>
        <v/>
      </c>
      <c r="BU67" s="49">
        <f>IFERROR(IF(VLOOKUP(tbMoveset!A67,tbMoveset!A2:H112,8,FALSE)="Other",IF(VLOOKUP(tbMoveset!A67,tbMoveset!A2:I112,9,FALSE)="Fire",Backdoors!BB13,IF(VLOOKUP(tbMoveset!A67,tbMoveset!A2:I112,9,FALSE)="Water",Backdoors!BC13,IF(VLOOKUP(tbMoveset!A67,tbMoveset!A2:I112,9,FALSE)="Thunder",Backdoors!BD13,IF(VLOOKUP(tbMoveset!A67,tbMoveset!A2:I112,9,FALSE)="Ice",Backdoors!BE13,IF(VLOOKUP(tbMoveset!A67,tbMoveset!A2:I112,9,FALSE)="Dragon",Backdoors!BF13,Backdoors!BG13)))))/100,Backdoors!BG13/100),"")</f>
        <v>0</v>
      </c>
      <c r="BV67" s="49">
        <f>IFERROR(IF(VLOOKUP(A67,tbMoveset!A2:J112,10,FALSE)=TRUE,IF((Backdoors!AI12+IF(BT67&gt;=0.45,VLOOKUP(Calculator!E23,tbSkills!DH3:DI6,2,FALSE)+IF(AND(Calculator!B8=TRUE,Backdoors!BI13=TRUE),VLOOKUP(Calculator!E23,tbSkills!DH3:DJ6,3,FALSE),0),0))&gt;=0,1+(Backdoors!AL2*(IF((Backdoors!AI12+IF(BT67&gt;=0.45,VLOOKUP(Calculator!E23,tbSkills!DH3:DI6,2,FALSE)+IF(AND(Calculator!B8=TRUE,Backdoors!BI13=TRUE),VLOOKUP(Calculator!E23,tbSkills!DH3:DJ6,3,FALSE),0),0))&gt;=100,100,(Backdoors!AI12+IF(BT67&gt;=0.45,VLOOKUP(Calculator!E23,tbSkills!DH3:DI6,2,FALSE)+IF(AND(Calculator!B8=TRUE,Backdoors!BI13=TRUE),VLOOKUP(Calculator!E23,tbSkills!DH3:DJ6,3,FALSE),0),0)))/100)),(1-(0.25*((-Backdoors!AI12-IF(BT67&gt;=0.45,VLOOKUP(Calculator!E23,tbSkills!DH3:DI6,2,FALSE)+IF(AND(Calculator!B8=TRUE,Backdoors!BI13=TRUE),VLOOKUP(Calculator!E23,tbSkills!DH3:DJ6,3,FALSE),0),0))/100)))),1),"")</f>
        <v>1</v>
      </c>
      <c r="BW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T67)*BV67)*(VLOOKUP(A67,tbMoveset!A2:C112,3,FALSE)/100)*IF(VLOOKUP(A67,tbMoveset!A2:B112,2,FALSE)="Projectile",Backdoors!N10,Backdoors!N9),0),"")</f>
        <v/>
      </c>
      <c r="BX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T67&gt;=0.45,VLOOKUP(Calculator!E23,tbSkills!DH3:DI6,2,FALSE)+IF(AND(Calculator!B8=TRUE,Backdoors!BI13=TRUE),VLOOKUP(Calculator!E23,tbSkills!DH3:DJ6,3,FALSE),0),0))&gt;=100,100,(Backdoors!AI12+IF(BT67&gt;=0.45,VLOOKUP(Calculator!E23,tbSkills!DH3:DI6,2,FALSE)+IF(AND(Calculator!B8=TRUE,Backdoors!BI13=TRUE),VLOOKUP(Calculator!E23,tbSkills!DH3:DJ6,3,FALSE),0),0)))/100)),1))*IF(VLOOKUP(A67,tbMoveset!A2:K112,11,FALSE)=TRUE,Backdoors!AC5,1))*BU67,0),"")</f>
        <v>0</v>
      </c>
      <c r="BY67" s="49">
        <f>VLOOKUP(A67,tbMoveset!A2:G112,7,FALSE)*IFERROR(IF(Backdoors!AI12&gt;=0,1+(IF(Calculator!E40&gt;0,VLOOKUP(Calculator!E40,tbSkills!AI3:AJ5,2,FALSE),Backdoors!AL4)*(IF((Backdoors!AI12+IF(BT67&gt;=0.45,VLOOKUP(Calculator!E23,tbSkills!DH3:DI6,2,FALSE)+IF(AND(Calculator!B8=TRUE,Backdoors!BI13=TRUE),VLOOKUP(Calculator!E23,tbSkills!DH3:DJ6,3,FALSE),0),0))&gt;=100,100,(Backdoors!AI12+IF(BT67&gt;=0.45,VLOOKUP(Calculator!E23,tbSkills!DH3:DI6,2,FALSE)+IF(AND(Calculator!B8=TRUE,Backdoors!BI13=TRUE),VLOOKUP(Calculator!E23,tbSkills!DH3:DJ6,3,FALSE),0),0)))/100)),1),1)</f>
        <v>0.6</v>
      </c>
      <c r="BZ67" s="87">
        <f t="shared" ref="BZ67:BZ112" si="61">SUM(BW67:BX67)</f>
        <v>0</v>
      </c>
      <c r="CA67" s="86" t="str">
        <f>IFERROR(IF(VLOOKUP(A67,tbMoveset!A2:B112,2,FALSE)="Sever",Backdoors!AY14/100,IF(VLOOKUP(A67,tbMoveset!A2:B112,2,FALSE)="Blunt",Backdoors!AZ14/100,Backdoors!BA14/100)),"")</f>
        <v/>
      </c>
      <c r="CB67" s="49">
        <f>IFERROR(IF(VLOOKUP(tbMoveset!A67,tbMoveset!A2:H112,8,FALSE)="Other",IF(VLOOKUP(tbMoveset!A67,tbMoveset!A2:I112,9,FALSE)="Fire",Backdoors!BB14,IF(VLOOKUP(tbMoveset!A67,tbMoveset!A2:I112,9,FALSE)="Water",Backdoors!BC14,IF(VLOOKUP(tbMoveset!A67,tbMoveset!A2:I112,9,FALSE)="Thunder",Backdoors!BD14,IF(VLOOKUP(tbMoveset!A67,tbMoveset!A2:I112,9,FALSE)="Ice",Backdoors!BE14,IF(VLOOKUP(tbMoveset!A67,tbMoveset!A2:I112,9,FALSE)="Dragon",Backdoors!BF14,Backdoors!BG14)))))/100,Backdoors!BG14/100),"")</f>
        <v>0</v>
      </c>
      <c r="CC67" s="49">
        <f>IFERROR(IF(VLOOKUP(A67,tbMoveset!A2:J112,10,FALSE)=TRUE,IF((Backdoors!AI12+IF(CA67&gt;=0.45,VLOOKUP(Calculator!E23,tbSkills!DH3:DI6,2,FALSE)+IF(AND(Calculator!B8=TRUE,Backdoors!BI14=TRUE),VLOOKUP(Calculator!E23,tbSkills!DH3:DJ6,3,FALSE),0),0))&gt;=0,1+(Backdoors!AL2*(IF((Backdoors!AI12+IF(CA67&gt;=0.45,VLOOKUP(Calculator!E23,tbSkills!DH3:DI6,2,FALSE)+IF(AND(Calculator!B8=TRUE,Backdoors!BI14=TRUE),VLOOKUP(Calculator!E23,tbSkills!DH3:DJ6,3,FALSE),0),0))&gt;=100,100,(Backdoors!AI12+IF(CA67&gt;=0.45,VLOOKUP(Calculator!E23,tbSkills!DH3:DI6,2,FALSE)+IF(AND(Calculator!B8=TRUE,Backdoors!BI14=TRUE),VLOOKUP(Calculator!E23,tbSkills!DH3:DJ6,3,FALSE),0),0)))/100)),(1-(0.25*((-Backdoors!AI12-IF(CA67&gt;=0.45,VLOOKUP(Calculator!E23,tbSkills!DH3:DI6,2,FALSE)+IF(AND(Calculator!B8=TRUE,Backdoors!BI14=TRUE),VLOOKUP(Calculator!E23,tbSkills!DH3:DJ6,3,FALSE),0),0))/100)))),1),"")</f>
        <v>1</v>
      </c>
      <c r="CD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A67)*CC67)*(VLOOKUP(A67,tbMoveset!A2:C112,3,FALSE)/100)*IF(VLOOKUP(A67,tbMoveset!A2:B112,2,FALSE)="Projectile",Backdoors!N10,Backdoors!N9),0),"")</f>
        <v/>
      </c>
      <c r="CE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A67&gt;=0.45,VLOOKUP(Calculator!E23,tbSkills!DH3:DI6,2,FALSE)+IF(AND(Calculator!B8=TRUE,Backdoors!BI14=TRUE),VLOOKUP(Calculator!E23,tbSkills!DH3:DJ6,3,FALSE),0),0))&gt;=100,100,(Backdoors!AI12+IF(CA67&gt;=0.45,VLOOKUP(Calculator!E23,tbSkills!DH3:DI6,2,FALSE)+IF(AND(Calculator!B8=TRUE,Backdoors!BI14=TRUE),VLOOKUP(Calculator!E23,tbSkills!DH3:DJ6,3,FALSE),0),0)))/100)),1))*IF(VLOOKUP(A67,tbMoveset!A2:K112,11,FALSE)=TRUE,Backdoors!AC5,1))*CB67,0),"")</f>
        <v>0</v>
      </c>
      <c r="CF67" s="49">
        <f>VLOOKUP(A67,tbMoveset!A2:G112,7,FALSE)*IFERROR(IF(Backdoors!AI12&gt;=0,1+(IF(Calculator!E40&gt;0,VLOOKUP(Calculator!E40,tbSkills!AI3:AJ5,2,FALSE),Backdoors!AL4)*(IF((Backdoors!AI12+IF(CA67&gt;=0.45,VLOOKUP(Calculator!E23,tbSkills!DH3:DI6,2,FALSE)+IF(AND(Calculator!B8=TRUE,Backdoors!BI14=TRUE),VLOOKUP(Calculator!E23,tbSkills!DH3:DJ6,3,FALSE),0),0))&gt;=100,100,(Backdoors!AI12+IF(CA67&gt;=0.45,VLOOKUP(Calculator!E23,tbSkills!DH3:DI6,2,FALSE)+IF(AND(Calculator!B8=TRUE,Backdoors!BI14=TRUE),VLOOKUP(Calculator!E23,tbSkills!DH3:DJ6,3,FALSE),0),0)))/100)),1),1)</f>
        <v>0.6</v>
      </c>
      <c r="CG67" s="87">
        <f t="shared" si="6"/>
        <v>0</v>
      </c>
      <c r="CH67" s="86" t="str">
        <f>IFERROR(IF(VLOOKUP(A67,tbMoveset!A2:B112,2,FALSE)="Sever",Backdoors!AY15/100,IF(VLOOKUP(A67,tbMoveset!A2:B112,2,FALSE)="Blunt",Backdoors!AZ15/100,Backdoors!BA15/100)),"")</f>
        <v/>
      </c>
      <c r="CI67" s="49">
        <f>IFERROR(IF(VLOOKUP(tbMoveset!A67,tbMoveset!A2:H112,8,FALSE)="Other",IF(VLOOKUP(tbMoveset!A67,tbMoveset!A2:I112,9,FALSE)="Fire",Backdoors!BB15,IF(VLOOKUP(tbMoveset!A67,tbMoveset!A2:I112,9,FALSE)="Water",Backdoors!BC15,IF(VLOOKUP(tbMoveset!A67,tbMoveset!A2:I112,9,FALSE)="Thunder",Backdoors!BD15,IF(VLOOKUP(tbMoveset!A67,tbMoveset!A2:I112,9,FALSE)="Ice",Backdoors!BE15,IF(VLOOKUP(tbMoveset!A67,tbMoveset!A2:I112,9,FALSE)="Dragon",Backdoors!BF15,Backdoors!BG15)))))/100,Backdoors!BG15/100),"")</f>
        <v>0</v>
      </c>
      <c r="CJ67" s="49">
        <f>IFERROR(IF(VLOOKUP(A67,tbMoveset!A2:J112,10,FALSE)=TRUE,IF((Backdoors!AI12+IF(CH67&gt;=0.45,VLOOKUP(Calculator!E23,tbSkills!DH3:DI6,2,FALSE)+IF(AND(Calculator!B8=TRUE,Backdoors!BI15=TRUE),VLOOKUP(Calculator!E23,tbSkills!DH3:DJ6,3,FALSE),0),0))&gt;=0,1+(Backdoors!AL2*(IF((Backdoors!AI12+IF(CH67&gt;=0.45,VLOOKUP(Calculator!E23,tbSkills!DH3:DI6,2,FALSE)+IF(AND(Calculator!B8=TRUE,Backdoors!BI15=TRUE),VLOOKUP(Calculator!E23,tbSkills!DH3:DJ6,3,FALSE),0),0))&gt;=100,100,(Backdoors!AI12+IF(CH67&gt;=0.45,VLOOKUP(Calculator!E23,tbSkills!DH3:DI6,2,FALSE)+IF(AND(Calculator!B8=TRUE,Backdoors!BI15=TRUE),VLOOKUP(Calculator!E23,tbSkills!DH3:DJ6,3,FALSE),0),0)))/100)),(1-(0.25*((-Backdoors!AI12-IF(CH67&gt;=0.45,VLOOKUP(Calculator!E23,tbSkills!DH3:DI6,2,FALSE)+IF(AND(Calculator!B8=TRUE,Backdoors!BI15=TRUE),VLOOKUP(Calculator!E23,tbSkills!DH3:DJ6,3,FALSE),0),0))/100)))),1),"")</f>
        <v>1</v>
      </c>
      <c r="CK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H67)*CJ67)*(VLOOKUP(A67,tbMoveset!A2:C112,3,FALSE)/100)*IF(VLOOKUP(A67,tbMoveset!A2:B112,2,FALSE)="Projectile",Backdoors!N10,Backdoors!N9),0),"")</f>
        <v/>
      </c>
      <c r="CL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H67&gt;=0.45,VLOOKUP(Calculator!E23,tbSkills!DH3:DI6,2,FALSE)+IF(AND(Calculator!B8=TRUE,Backdoors!BI15=TRUE),VLOOKUP(Calculator!E23,tbSkills!DH3:DJ6,3,FALSE),0),0))&gt;=100,100,(Backdoors!AI12+IF(CH67&gt;=0.45,VLOOKUP(Calculator!E23,tbSkills!DH3:DI6,2,FALSE)+IF(AND(Calculator!B8=TRUE,Backdoors!BI15=TRUE),VLOOKUP(Calculator!E23,tbSkills!DH3:DJ6,3,FALSE),0),0)))/100)),1))*IF(VLOOKUP(A67,tbMoveset!A2:K112,11,FALSE)=TRUE,Backdoors!AC5,1))*CI67,0),"")</f>
        <v>0</v>
      </c>
      <c r="CM67" s="49">
        <f>VLOOKUP(A67,tbMoveset!A2:G112,7,FALSE)*IFERROR(IF(Backdoors!AI12&gt;=0,1+(IF(Calculator!E40&gt;0,VLOOKUP(Calculator!E40,tbSkills!AI3:AJ5,2,FALSE),Backdoors!AL4)*(IF((Backdoors!AI12+IF(CH67&gt;=0.45,VLOOKUP(Calculator!E23,tbSkills!DH3:DI6,2,FALSE)+IF(AND(Calculator!B8=TRUE,Backdoors!BI15=TRUE),VLOOKUP(Calculator!E23,tbSkills!DH3:DJ6,3,FALSE),0),0))&gt;=100,100,(Backdoors!AI12+IF(CH67&gt;=0.45,VLOOKUP(Calculator!E23,tbSkills!DH3:DI6,2,FALSE)+IF(AND(Calculator!B8=TRUE,Backdoors!BI15=TRUE),VLOOKUP(Calculator!E23,tbSkills!DH3:DJ6,3,FALSE),0),0)))/100)),1),1)</f>
        <v>0.6</v>
      </c>
      <c r="CN67" s="87">
        <f t="shared" si="7"/>
        <v>0</v>
      </c>
      <c r="CO67" s="86" t="str">
        <f>IFERROR(IF(VLOOKUP(A67,tbMoveset!A2:B112,2,FALSE)="Sever",Backdoors!AY16/100,IF(VLOOKUP(A67,tbMoveset!A2:B112,2,FALSE)="Blunt",Backdoors!AZ16/100,Backdoors!BA16/100)),"")</f>
        <v/>
      </c>
      <c r="CP67" s="49">
        <f>IFERROR(IF(VLOOKUP(tbMoveset!A67,tbMoveset!A2:H112,8,FALSE)="Other",IF(VLOOKUP(tbMoveset!A67,tbMoveset!A2:I112,9,FALSE)="Fire",Backdoors!BB16,IF(VLOOKUP(tbMoveset!A67,tbMoveset!A2:I112,9,FALSE)="Water",Backdoors!BC16,IF(VLOOKUP(tbMoveset!A67,tbMoveset!A2:I112,9,FALSE)="Thunder",Backdoors!BD16,IF(VLOOKUP(tbMoveset!A67,tbMoveset!A2:I112,9,FALSE)="Ice",Backdoors!BE16,IF(VLOOKUP(tbMoveset!A67,tbMoveset!A2:I112,9,FALSE)="Dragon",Backdoors!BF16,Backdoors!BG16)))))/100,Backdoors!BG16/100),"")</f>
        <v>0</v>
      </c>
      <c r="CQ67" s="49">
        <f>IFERROR(IF(VLOOKUP(A67,tbMoveset!A2:J112,10,FALSE)=TRUE,IF((Backdoors!AI12+IF(CO67&gt;=0.45,VLOOKUP(Calculator!E23,tbSkills!DH3:DI6,2,FALSE)+IF(AND(Calculator!B8=TRUE,Backdoors!BI16=TRUE),VLOOKUP(Calculator!E23,tbSkills!DH3:DJ6,3,FALSE),0),0))&gt;=0,1+(Backdoors!AL2*(IF((Backdoors!AI12+IF(CO67&gt;=0.45,VLOOKUP(Calculator!E23,tbSkills!DH3:DI6,2,FALSE)+IF(AND(Calculator!B8=TRUE,Backdoors!BI16=TRUE),VLOOKUP(Calculator!E23,tbSkills!DH3:DJ6,3,FALSE),0),0))&gt;=100,100,(Backdoors!AI12+IF(CO67&gt;=0.45,VLOOKUP(Calculator!E23,tbSkills!DH3:DI6,2,FALSE)+IF(AND(Calculator!B8=TRUE,Backdoors!BI16=TRUE),VLOOKUP(Calculator!E23,tbSkills!DH3:DJ6,3,FALSE),0),0)))/100)),(1-(0.25*((-Backdoors!AI12-IF(CO67&gt;=0.45,VLOOKUP(Calculator!E23,tbSkills!DH3:DI6,2,FALSE)+IF(AND(Calculator!B8=TRUE,Backdoors!BI16=TRUE),VLOOKUP(Calculator!E23,tbSkills!DH3:DJ6,3,FALSE),0),0))/100)))),1),"")</f>
        <v>1</v>
      </c>
      <c r="CR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O67)*CQ67)*(VLOOKUP(A67,tbMoveset!A2:C112,3,FALSE)/100)*IF(VLOOKUP(A67,tbMoveset!A2:B112,2,FALSE)="Projectile",Backdoors!N10,Backdoors!N9),0),"")</f>
        <v/>
      </c>
      <c r="CS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O67&gt;=0.45,VLOOKUP(Calculator!E23,tbSkills!DH3:DI6,2,FALSE)+IF(AND(Calculator!B8=TRUE,Backdoors!BI16=TRUE),VLOOKUP(Calculator!E23,tbSkills!DH3:DJ6,3,FALSE),0),0))&gt;=100,100,(Backdoors!AI12+IF(CO67&gt;=0.45,VLOOKUP(Calculator!E23,tbSkills!DH3:DI6,2,FALSE)+IF(AND(Calculator!B8=TRUE,Backdoors!BI16=TRUE),VLOOKUP(Calculator!E23,tbSkills!DH3:DJ6,3,FALSE),0),0)))/100)),1))*IF(VLOOKUP(A67,tbMoveset!A2:K112,11,FALSE)=TRUE,Backdoors!AC5,1))*CP67,0),"")</f>
        <v>0</v>
      </c>
      <c r="CT67" s="49">
        <f>VLOOKUP(A67,tbMoveset!A2:G112,7,FALSE)*IFERROR(IF(Backdoors!AI12&gt;=0,1+(IF(Calculator!E40&gt;0,VLOOKUP(Calculator!E40,tbSkills!AI3:AJ5,2,FALSE),Backdoors!AL4)*(IF((Backdoors!AI12+IF(CO67&gt;=0.45,VLOOKUP(Calculator!E23,tbSkills!DH3:DI6,2,FALSE)+IF(AND(Calculator!B8=TRUE,Backdoors!BI16=TRUE),VLOOKUP(Calculator!E23,tbSkills!DH3:DJ6,3,FALSE),0),0))&gt;=100,100,(Backdoors!AI12+IF(CO67&gt;=0.45,VLOOKUP(Calculator!E23,tbSkills!DH3:DI6,2,FALSE)+IF(AND(Calculator!B8=TRUE,Backdoors!BI16=TRUE),VLOOKUP(Calculator!E23,tbSkills!DH3:DJ6,3,FALSE),0),0)))/100)),1),1)</f>
        <v>0.6</v>
      </c>
      <c r="CU67" s="87">
        <f t="shared" si="40"/>
        <v>0</v>
      </c>
      <c r="CV67" s="86" t="str">
        <f>IFERROR(IF(VLOOKUP(A67,tbMoveset!A2:B112,2,FALSE)="Sever",Backdoors!AY17/100,IF(VLOOKUP(A67,tbMoveset!A2:B112,2,FALSE)="Blunt",Backdoors!AZ17/100,Backdoors!BA17/100)),"")</f>
        <v/>
      </c>
      <c r="CW67" s="49">
        <f>IFERROR(IF(VLOOKUP(tbMoveset!A67,tbMoveset!A2:H112,8,FALSE)="Other",IF(VLOOKUP(tbMoveset!A67,tbMoveset!A2:I112,9,FALSE)="Fire",Backdoors!BB17,IF(VLOOKUP(tbMoveset!A67,tbMoveset!A2:I112,9,FALSE)="Water",Backdoors!BC17,IF(VLOOKUP(tbMoveset!A67,tbMoveset!A2:I112,9,FALSE)="Thunder",Backdoors!BD17,IF(VLOOKUP(tbMoveset!A67,tbMoveset!A2:I112,9,FALSE)="Ice",Backdoors!BE17,IF(VLOOKUP(tbMoveset!A67,tbMoveset!A2:I112,9,FALSE)="Dragon",Backdoors!BF17,Backdoors!BG17)))))/100,Backdoors!BG17/100),"")</f>
        <v>0</v>
      </c>
      <c r="CX67" s="49">
        <f>IFERROR(IF(VLOOKUP(A67,tbMoveset!A2:J112,10,FALSE)=TRUE,IF((Backdoors!AI12+IF(CV67&gt;=0.45,VLOOKUP(Calculator!E23,tbSkills!DH3:DI6,2,FALSE)+IF(AND(Calculator!B8=TRUE,Backdoors!BI17=TRUE),VLOOKUP(Calculator!E23,tbSkills!DH3:DJ6,3,FALSE),0),0))&gt;=0,1+(Backdoors!AL2*(IF((Backdoors!AI12+IF(CV67&gt;=0.45,VLOOKUP(Calculator!E23,tbSkills!DH3:DI6,2,FALSE)+IF(AND(Calculator!B8=TRUE,Backdoors!BI17=TRUE),VLOOKUP(Calculator!E23,tbSkills!DH3:DJ6,3,FALSE),0),0))&gt;=100,100,(Backdoors!AI12+IF(CV67&gt;=0.45,VLOOKUP(Calculator!E23,tbSkills!DH3:DI6,2,FALSE)+IF(AND(Calculator!B8=TRUE,Backdoors!BI17=TRUE),VLOOKUP(Calculator!E23,tbSkills!DH3:DJ6,3,FALSE),0),0)))/100)),(1-(0.25*((-Backdoors!AI12-IF(CV67&gt;=0.45,VLOOKUP(Calculator!E23,tbSkills!DH3:DI6,2,FALSE)+IF(AND(Calculator!B8=TRUE,Backdoors!BI17=TRUE),VLOOKUP(Calculator!E23,tbSkills!DH3:DJ6,3,FALSE),0),0))/100)))),1),"")</f>
        <v>1</v>
      </c>
      <c r="CY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V67)*CX67)*(VLOOKUP(A67,tbMoveset!A2:C112,3,FALSE)/100)*IF(VLOOKUP(A67,tbMoveset!A2:B112,2,FALSE)="Projectile",Backdoors!N10,Backdoors!N9),0),"")</f>
        <v/>
      </c>
      <c r="CZ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V67&gt;=0.45,VLOOKUP(Calculator!E23,tbSkills!DH3:DI6,2,FALSE)+IF(AND(Calculator!B8=TRUE,Backdoors!BI17=TRUE),VLOOKUP(Calculator!E23,tbSkills!DH3:DJ6,3,FALSE),0),0))&gt;=100,100,(Backdoors!AI12+IF(CV67&gt;=0.45,VLOOKUP(Calculator!E23,tbSkills!DH3:DI6,2,FALSE)+IF(AND(Calculator!B8=TRUE,Backdoors!BI17=TRUE),VLOOKUP(Calculator!E23,tbSkills!DH3:DJ6,3,FALSE),0),0)))/100)),1))*IF(VLOOKUP(A67,tbMoveset!A2:K112,11,FALSE)=TRUE,Backdoors!AC5,1))*CW67,0),"")</f>
        <v>0</v>
      </c>
      <c r="DA67" s="49">
        <f>VLOOKUP(A67,tbMoveset!A2:G112,7,FALSE)*IFERROR(IF(Backdoors!AI12&gt;=0,1+(IF(Calculator!E40&gt;0,VLOOKUP(Calculator!E40,tbSkills!AI3:AJ5,2,FALSE),Backdoors!AL4)*(IF((Backdoors!AI12+IF(CV67&gt;=0.45,VLOOKUP(Calculator!E23,tbSkills!DH3:DI6,2,FALSE)+IF(AND(Calculator!B8=TRUE,Backdoors!BI17=TRUE),VLOOKUP(Calculator!E23,tbSkills!DH3:DJ6,3,FALSE),0),0))&gt;=100,100,(Backdoors!AI12+IF(CV67&gt;=0.45,VLOOKUP(Calculator!E23,tbSkills!DH3:DI6,2,FALSE)+IF(AND(Calculator!B8=TRUE,Backdoors!BI17=TRUE),VLOOKUP(Calculator!E23,tbSkills!DH3:DJ6,3,FALSE),0),0)))/100)),1),1)</f>
        <v>0.6</v>
      </c>
      <c r="DB67" s="87">
        <f t="shared" si="8"/>
        <v>0</v>
      </c>
      <c r="DC67" s="86" t="str">
        <f>IFERROR(IF(VLOOKUP(A67,tbMoveset!A2:B112,2,FALSE)="Sever",Backdoors!AY18/100,IF(VLOOKUP(A67,tbMoveset!A2:B112,2,FALSE)="Blunt",Backdoors!AZ18/100,Backdoors!BA18/100)),"")</f>
        <v/>
      </c>
      <c r="DD67" s="49">
        <f>IFERROR(IF(VLOOKUP(tbMoveset!A67,tbMoveset!A2:H112,8,FALSE)="Other",IF(VLOOKUP(tbMoveset!A67,tbMoveset!A2:I112,9,FALSE)="Fire",Backdoors!BB18,IF(VLOOKUP(tbMoveset!A67,tbMoveset!A2:I112,9,FALSE)="Water",Backdoors!BC18,IF(VLOOKUP(tbMoveset!A67,tbMoveset!A2:I112,9,FALSE)="Thunder",Backdoors!BD18,IF(VLOOKUP(tbMoveset!A67,tbMoveset!A2:I112,9,FALSE)="Ice",Backdoors!BE18,IF(VLOOKUP(tbMoveset!A67,tbMoveset!A2:I112,9,FALSE)="Dragon",Backdoors!BF18,Backdoors!BG18)))))/100,Backdoors!BG18/100),"")</f>
        <v>0</v>
      </c>
      <c r="DE67" s="49">
        <f>IFERROR(IF(VLOOKUP(A67,tbMoveset!A2:J112,10,FALSE)=TRUE,IF((Backdoors!AI12+IF(DC67&gt;=0.45,VLOOKUP(Calculator!E23,tbSkills!DH3:DI6,2,FALSE)+IF(AND(Calculator!B8=TRUE,Backdoors!BI18=TRUE),VLOOKUP(Calculator!E23,tbSkills!DH3:DJ6,3,FALSE),0),0))&gt;=0,1+(Backdoors!AL2*(IF((Backdoors!AI12+IF(DC67&gt;=0.45,VLOOKUP(Calculator!E23,tbSkills!DH3:DI6,2,FALSE)+IF(AND(Calculator!B8=TRUE,Backdoors!BI18=TRUE),VLOOKUP(Calculator!E23,tbSkills!DH3:DJ6,3,FALSE),0),0))&gt;=100,100,(Backdoors!AI12+IF(DC67&gt;=0.45,VLOOKUP(Calculator!E23,tbSkills!DH3:DI6,2,FALSE)+IF(AND(Calculator!B8=TRUE,Backdoors!BI18=TRUE),VLOOKUP(Calculator!E23,tbSkills!DH3:DJ6,3,FALSE),0),0)))/100)),(1-(0.25*((-Backdoors!AI12-IF(DC67&gt;=0.45,VLOOKUP(Calculator!E23,tbSkills!DH3:DI6,2,FALSE)+IF(AND(Calculator!B8=TRUE,Backdoors!BI18=TRUE),VLOOKUP(Calculator!E23,tbSkills!DH3:DJ6,3,FALSE),0),0))/100)))),1),"")</f>
        <v>1</v>
      </c>
      <c r="DF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C67)*DE67)*(VLOOKUP(A67,tbMoveset!A2:C112,3,FALSE)/100)*IF(VLOOKUP(A67,tbMoveset!A2:B112,2,FALSE)="Projectile",Backdoors!N10,Backdoors!N9),0),"")</f>
        <v/>
      </c>
      <c r="DG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C67&gt;=0.45,VLOOKUP(Calculator!E23,tbSkills!DH3:DI6,2,FALSE)+IF(AND(Calculator!B8=TRUE,Backdoors!BI18=TRUE),VLOOKUP(Calculator!E23,tbSkills!DH3:DJ6,3,FALSE),0),0))&gt;=100,100,(Backdoors!AI12+IF(DC67&gt;=0.45,VLOOKUP(Calculator!E23,tbSkills!DH3:DI6,2,FALSE)+IF(AND(Calculator!B8=TRUE,Backdoors!BI18=TRUE),VLOOKUP(Calculator!E23,tbSkills!DH3:DJ6,3,FALSE),0),0)))/100)),1))*IF(VLOOKUP(A67,tbMoveset!A2:K112,11,FALSE)=TRUE,Backdoors!AC5,1))*DD67,0),"")</f>
        <v>0</v>
      </c>
      <c r="DH67" s="49">
        <f>VLOOKUP(A67,tbMoveset!A2:G112,7,FALSE)*IFERROR(IF(Backdoors!AI12&gt;=0,1+(IF(Calculator!E40&gt;0,VLOOKUP(Calculator!E40,tbSkills!AI3:AJ5,2,FALSE),Backdoors!AL4)*(IF((Backdoors!AI12+IF(DC67&gt;=0.45,VLOOKUP(Calculator!E23,tbSkills!DH3:DI6,2,FALSE)+IF(AND(Calculator!B8=TRUE,Backdoors!BI18=TRUE),VLOOKUP(Calculator!E23,tbSkills!DH3:DJ6,3,FALSE),0),0))&gt;=100,100,(Backdoors!AI12+IF(DC67&gt;=0.45,VLOOKUP(Calculator!E23,tbSkills!DH3:DI6,2,FALSE)+IF(AND(Calculator!B8=TRUE,Backdoors!BI18=TRUE),VLOOKUP(Calculator!E23,tbSkills!DH3:DJ6,3,FALSE),0),0)))/100)),1),1)</f>
        <v>0.6</v>
      </c>
      <c r="DI67" s="87">
        <f t="shared" si="9"/>
        <v>0</v>
      </c>
      <c r="DJ67" s="86" t="str">
        <f>IFERROR(IF(VLOOKUP(A67,tbMoveset!A2:B112,2,FALSE)="Sever",Backdoors!AY19/100,IF(VLOOKUP(A67,tbMoveset!A2:B112,2,FALSE)="Blunt",Backdoors!AZ19/100,Backdoors!BA19/100)),"")</f>
        <v/>
      </c>
      <c r="DK67" s="49">
        <f>IFERROR(IF(VLOOKUP(tbMoveset!A67,tbMoveset!A2:H112,8,FALSE)="Other",IF(VLOOKUP(tbMoveset!A67,tbMoveset!A2:I112,9,FALSE)="Fire",Backdoors!BB19,IF(VLOOKUP(tbMoveset!A67,tbMoveset!A2:I112,9,FALSE)="Water",Backdoors!BC19,IF(VLOOKUP(tbMoveset!A67,tbMoveset!A2:I112,9,FALSE)="Thunder",Backdoors!BD19,IF(VLOOKUP(tbMoveset!A67,tbMoveset!A2:I112,9,FALSE)="Ice",Backdoors!BE19,IF(VLOOKUP(tbMoveset!A67,tbMoveset!A2:I112,9,FALSE)="Dragon",Backdoors!BF19,Backdoors!BG19)))))/100,Backdoors!BG19/100),"")</f>
        <v>0</v>
      </c>
      <c r="DL67" s="49">
        <f>IFERROR(IF(VLOOKUP(A67,tbMoveset!A2:J112,10,FALSE)=TRUE,IF((Backdoors!AI12+IF(DJ67&gt;=0.45,VLOOKUP(Calculator!E23,tbSkills!DH3:DI6,2,FALSE)+IF(AND(Calculator!B8=TRUE,Backdoors!BI19=TRUE),VLOOKUP(Calculator!E23,tbSkills!DH3:DJ6,3,FALSE),0),0))&gt;=0,1+(Backdoors!AL2*(IF((Backdoors!AI12+IF(DJ67&gt;=0.45,VLOOKUP(Calculator!E23,tbSkills!DH3:DI6,2,FALSE)+IF(AND(Calculator!B8=TRUE,Backdoors!BI19=TRUE),VLOOKUP(Calculator!E23,tbSkills!DH3:DJ6,3,FALSE),0),0))&gt;=100,100,(Backdoors!AI12+IF(DJ67&gt;=0.45,VLOOKUP(Calculator!E23,tbSkills!DH3:DI6,2,FALSE)+IF(AND(Calculator!B8=TRUE,Backdoors!BI19=TRUE),VLOOKUP(Calculator!E23,tbSkills!DH3:DJ6,3,FALSE),0),0)))/100)),(1-(0.25*((-Backdoors!AI12-IF(DJ67&gt;=0.45,VLOOKUP(Calculator!E23,tbSkills!DH3:DI6,2,FALSE)+IF(AND(Calculator!B8=TRUE,Backdoors!BI19=TRUE),VLOOKUP(Calculator!E23,tbSkills!DH3:DJ6,3,FALSE),0),0))/100)))),1),"")</f>
        <v>1</v>
      </c>
      <c r="DM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J67)*DL67)*(VLOOKUP(A67,tbMoveset!A2:C112,3,FALSE)/100)*IF(VLOOKUP(A67,tbMoveset!A2:B112,2,FALSE)="Projectile",Backdoors!N10,Backdoors!N9),0),"")</f>
        <v/>
      </c>
      <c r="DN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J67&gt;=0.45,VLOOKUP(Calculator!E23,tbSkills!DH3:DI6,2,FALSE)+IF(AND(Calculator!B8=TRUE,Backdoors!BI19=TRUE),VLOOKUP(Calculator!E23,tbSkills!DH3:DJ6,3,FALSE),0),0))&gt;=100,100,(Backdoors!AI12+IF(DJ67&gt;=0.45,VLOOKUP(Calculator!E23,tbSkills!DH3:DI6,2,FALSE)+IF(AND(Calculator!B8=TRUE,Backdoors!BI19=TRUE),VLOOKUP(Calculator!E23,tbSkills!DH3:DJ6,3,FALSE),0),0)))/100)),1))*IF(VLOOKUP(A67,tbMoveset!A2:K112,11,FALSE)=TRUE,Backdoors!AC5,1))*DK67,0),"")</f>
        <v>0</v>
      </c>
      <c r="DO67" s="49">
        <f>VLOOKUP(A67,tbMoveset!A2:G112,7,FALSE)*IFERROR(IF(Backdoors!AI12&gt;=0,1+(IF(Calculator!E40&gt;0,VLOOKUP(Calculator!E40,tbSkills!AI3:AJ5,2,FALSE),Backdoors!AL4)*(IF((Backdoors!AI12+IF(DJ67&gt;=0.45,VLOOKUP(Calculator!E23,tbSkills!DH3:DI6,2,FALSE)+IF(AND(Calculator!B8=TRUE,Backdoors!BI19=TRUE),VLOOKUP(Calculator!E23,tbSkills!DH3:DJ6,3,FALSE),0),0))&gt;=100,100,(Backdoors!AI12+IF(DJ67&gt;=0.45,VLOOKUP(Calculator!E23,tbSkills!DH3:DI6,2,FALSE)+IF(AND(Calculator!B8=TRUE,Backdoors!BI19=TRUE),VLOOKUP(Calculator!E23,tbSkills!DH3:DJ6,3,FALSE),0),0)))/100)),1),1)</f>
        <v>0.6</v>
      </c>
      <c r="DP67" s="87">
        <f t="shared" si="41"/>
        <v>0</v>
      </c>
      <c r="DQ67" s="86" t="str">
        <f>IFERROR(IF(VLOOKUP(A67,tbMoveset!A2:B112,2,FALSE)="Sever",Backdoors!AY20/100,IF(VLOOKUP(A67,tbMoveset!A2:B112,2,FALSE)="Blunt",Backdoors!AZ20/100,Backdoors!BA20/100)),"")</f>
        <v/>
      </c>
      <c r="DR67" s="49">
        <f>IFERROR(IF(VLOOKUP(tbMoveset!A67,tbMoveset!A2:H112,8,FALSE)="Other",IF(VLOOKUP(tbMoveset!A67,tbMoveset!A2:I112,9,FALSE)="Fire",Backdoors!BB20,IF(VLOOKUP(tbMoveset!A67,tbMoveset!A2:I112,9,FALSE)="Water",Backdoors!BC20,IF(VLOOKUP(tbMoveset!A67,tbMoveset!A2:I112,9,FALSE)="Thunder",Backdoors!BD20,IF(VLOOKUP(tbMoveset!A67,tbMoveset!A2:I112,9,FALSE)="Ice",Backdoors!BE20,IF(VLOOKUP(tbMoveset!A67,tbMoveset!A2:I112,9,FALSE)="Dragon",Backdoors!BF20,Backdoors!BG20)))))/100,Backdoors!BG20/100),"")</f>
        <v>0</v>
      </c>
      <c r="DS67" s="49">
        <f>IFERROR(IF(VLOOKUP(A67,tbMoveset!A2:J112,10,FALSE)=TRUE,IF((Backdoors!AI12+IF(DQ67&gt;=0.45,VLOOKUP(Calculator!E23,tbSkills!DH3:DI6,2,FALSE)+IF(AND(Calculator!B8=TRUE,Backdoors!BI20=TRUE),VLOOKUP(Calculator!E23,tbSkills!DH3:DJ6,3,FALSE),0),0))&gt;=0,1+(Backdoors!AL2*(IF((Backdoors!AI12+IF(DQ67&gt;=0.45,VLOOKUP(Calculator!E23,tbSkills!DH3:DI6,2,FALSE)+IF(AND(Calculator!B8=TRUE,Backdoors!BI20=TRUE),VLOOKUP(Calculator!E23,tbSkills!DH3:DJ6,3,FALSE),0),0))&gt;=100,100,(Backdoors!AI12+IF(DQ67&gt;=0.45,VLOOKUP(Calculator!E23,tbSkills!DH3:DI6,2,FALSE)+IF(AND(Calculator!B8=TRUE,Backdoors!BI20=TRUE),VLOOKUP(Calculator!E23,tbSkills!DH3:DJ6,3,FALSE),0),0)))/100)),(1-(0.25*((-Backdoors!AI12-IF(DQ67&gt;=0.45,VLOOKUP(Calculator!E23,tbSkills!DH3:DI6,2,FALSE)+IF(AND(Calculator!B8=TRUE,Backdoors!BI20=TRUE),VLOOKUP(Calculator!E23,tbSkills!DH3:DJ6,3,FALSE),0),0))/100)))),1),"")</f>
        <v>1</v>
      </c>
      <c r="DT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Q67)*DS67)*(VLOOKUP(A67,tbMoveset!A2:C112,3,FALSE)/100)*IF(VLOOKUP(A67,tbMoveset!A2:B112,2,FALSE)="Projectile",Backdoors!N10,Backdoors!N9),0),"")</f>
        <v/>
      </c>
      <c r="DU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Q67&gt;=0.45,VLOOKUP(Calculator!E23,tbSkills!DH3:DI6,2,FALSE)+IF(AND(Calculator!B8=TRUE,Backdoors!BI20=TRUE),VLOOKUP(Calculator!E23,tbSkills!DH3:DJ6,3,FALSE),0),0))&gt;=100,100,(Backdoors!AI12+IF(DQ67&gt;=0.45,VLOOKUP(Calculator!E23,tbSkills!DH3:DI6,2,FALSE)+IF(AND(Calculator!B8=TRUE,Backdoors!BI20=TRUE),VLOOKUP(Calculator!E23,tbSkills!DH3:DJ6,3,FALSE),0),0)))/100)),1))*IF(VLOOKUP(A67,tbMoveset!A2:K112,11,FALSE)=TRUE,Backdoors!AC5,1))*DR67,0),"")</f>
        <v>0</v>
      </c>
      <c r="DV67" s="49">
        <f>VLOOKUP(A67,tbMoveset!A2:G112,7,FALSE)*IFERROR(IF(Backdoors!AI12&gt;=0,1+(IF(Calculator!E40&gt;0,VLOOKUP(Calculator!E40,tbSkills!AI3:AJ5,2,FALSE),Backdoors!AL4)*(IF((Backdoors!AI12+IF(DQ67&gt;=0.45,VLOOKUP(Calculator!E23,tbSkills!DH3:DI6,2,FALSE)+IF(AND(Calculator!B8=TRUE,Backdoors!BI20=TRUE),VLOOKUP(Calculator!E23,tbSkills!DH3:DJ6,3,FALSE),0),0))&gt;=100,100,(Backdoors!AI12+IF(DQ67&gt;=0.45,VLOOKUP(Calculator!E23,tbSkills!DH3:DI6,2,FALSE)+IF(AND(Calculator!B8=TRUE,Backdoors!BI20=TRUE),VLOOKUP(Calculator!E23,tbSkills!DH3:DJ6,3,FALSE),0),0)))/100)),1),1)</f>
        <v>0.6</v>
      </c>
      <c r="DW67" s="87">
        <f t="shared" si="10"/>
        <v>0</v>
      </c>
      <c r="DX67" s="86" t="str">
        <f>IFERROR(IF(VLOOKUP(A67,tbMoveset!A2:B112,2,FALSE)="Sever",Backdoors!AY21/100,IF(VLOOKUP(A67,tbMoveset!A2:B112,2,FALSE)="Blunt",Backdoors!AZ21/100,Backdoors!BA21/100)),"")</f>
        <v/>
      </c>
      <c r="DY67" s="49">
        <f>IFERROR(IF(VLOOKUP(tbMoveset!A67,tbMoveset!A2:H112,8,FALSE)="Other",IF(VLOOKUP(tbMoveset!A67,tbMoveset!A2:I112,9,FALSE)="Fire",Backdoors!BB21,IF(VLOOKUP(tbMoveset!A67,tbMoveset!A2:I112,9,FALSE)="Water",Backdoors!BC21,IF(VLOOKUP(tbMoveset!A67,tbMoveset!A2:I112,9,FALSE)="Thunder",Backdoors!BD21,IF(VLOOKUP(tbMoveset!A67,tbMoveset!A2:I112,9,FALSE)="Ice",Backdoors!BE21,IF(VLOOKUP(tbMoveset!A67,tbMoveset!A2:I112,9,FALSE)="Dragon",Backdoors!BF21,Backdoors!BG21)))))/100,Backdoors!BG21/100),"")</f>
        <v>0</v>
      </c>
      <c r="DZ67" s="49">
        <f>IFERROR(IF(VLOOKUP(A67,tbMoveset!A2:J112,10,FALSE)=TRUE,IF((Backdoors!AI12+IF(DX67&gt;=0.45,VLOOKUP(Calculator!E23,tbSkills!DH3:DI6,2,FALSE)+IF(AND(Calculator!B8=TRUE,Backdoors!BI21=TRUE),VLOOKUP(Calculator!E23,tbSkills!DH3:DJ6,3,FALSE),0),0))&gt;=0,1+(Backdoors!AL2*(IF((Backdoors!AI12+IF(DX67&gt;=0.45,VLOOKUP(Calculator!E23,tbSkills!DH3:DI6,2,FALSE)+IF(AND(Calculator!B8=TRUE,Backdoors!BI21=TRUE),VLOOKUP(Calculator!E23,tbSkills!DH3:DJ6,3,FALSE),0),0))&gt;=100,100,(Backdoors!AI12+IF(DX67&gt;=0.45,VLOOKUP(Calculator!E23,tbSkills!DH3:DI6,2,FALSE)+IF(AND(Calculator!B8=TRUE,Backdoors!BI21=TRUE),VLOOKUP(Calculator!E23,tbSkills!DH3:DJ6,3,FALSE),0),0)))/100)),(1-(0.25*((-Backdoors!AI12-IF(DX67&gt;=0.45,VLOOKUP(Calculator!E23,tbSkills!DH3:DI6,2,FALSE)+IF(AND(Calculator!B8=TRUE,Backdoors!BI21=TRUE),VLOOKUP(Calculator!E23,tbSkills!DH3:DJ6,3,FALSE),0),0))/100)))),1),"")</f>
        <v>1</v>
      </c>
      <c r="EA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X67)*DZ67)*(VLOOKUP(A67,tbMoveset!A2:C112,3,FALSE)/100)*IF(VLOOKUP(A67,tbMoveset!A2:B112,2,FALSE)="Projectile",Backdoors!N10,Backdoors!N9),0),"")</f>
        <v/>
      </c>
      <c r="EB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X67&gt;=0.45,VLOOKUP(Calculator!E23,tbSkills!DH3:DI6,2,FALSE)+IF(AND(Calculator!B8=TRUE,Backdoors!BI21=TRUE),VLOOKUP(Calculator!E23,tbSkills!DH3:DJ6,3,FALSE),0),0))&gt;=100,100,(Backdoors!AI12+IF(DX67&gt;=0.45,VLOOKUP(Calculator!E23,tbSkills!DH3:DI6,2,FALSE)+IF(AND(Calculator!B8=TRUE,Backdoors!BI21=TRUE),VLOOKUP(Calculator!E23,tbSkills!DH3:DJ6,3,FALSE),0),0)))/100)),1))*IF(VLOOKUP(A67,tbMoveset!A2:K112,11,FALSE)=TRUE,Backdoors!AC5,1))*DY67,0),"")</f>
        <v>0</v>
      </c>
      <c r="EC67" s="49">
        <f>VLOOKUP(A67,tbMoveset!A2:G112,7,FALSE)*IFERROR(IF(Backdoors!AI12&gt;=0,1+(IF(Calculator!E40&gt;0,VLOOKUP(Calculator!E40,tbSkills!AI3:AJ5,2,FALSE),Backdoors!AL4)*(IF((Backdoors!AI12+IF(DX67&gt;=0.45,VLOOKUP(Calculator!E23,tbSkills!DH3:DI6,2,FALSE)+IF(AND(Calculator!B8=TRUE,Backdoors!BI21=TRUE),VLOOKUP(Calculator!E23,tbSkills!DH3:DJ6,3,FALSE),0),0))&gt;=100,100,(Backdoors!AI12+IF(DX67&gt;=0.45,VLOOKUP(Calculator!E23,tbSkills!DH3:DI6,2,FALSE)+IF(AND(Calculator!B8=TRUE,Backdoors!BI21=TRUE),VLOOKUP(Calculator!E23,tbSkills!DH3:DJ6,3,FALSE),0),0)))/100)),1),1)</f>
        <v>0.6</v>
      </c>
      <c r="ED67" s="87">
        <f t="shared" si="11"/>
        <v>0</v>
      </c>
      <c r="EE67" s="86" t="str">
        <f>IFERROR(IF(VLOOKUP(A67,tbMoveset!A2:B112,2,FALSE)="Sever",Backdoors!AY22/100,IF(VLOOKUP(A67,tbMoveset!A2:B112,2,FALSE)="Blunt",Backdoors!AZ22/100,Backdoors!BA22/100)),"")</f>
        <v/>
      </c>
      <c r="EF67" s="49">
        <f>IFERROR(IF(VLOOKUP(tbMoveset!A67,tbMoveset!A2:H112,8,FALSE)="Other",IF(VLOOKUP(tbMoveset!A67,tbMoveset!A2:I112,9,FALSE)="Fire",Backdoors!BB22,IF(VLOOKUP(tbMoveset!A67,tbMoveset!A2:I112,9,FALSE)="Water",Backdoors!BC22,IF(VLOOKUP(tbMoveset!A67,tbMoveset!A2:I112,9,FALSE)="Thunder",Backdoors!BD22,IF(VLOOKUP(tbMoveset!A67,tbMoveset!A2:I112,9,FALSE)="Ice",Backdoors!BE22,IF(VLOOKUP(tbMoveset!A67,tbMoveset!A2:I112,9,FALSE)="Dragon",Backdoors!BF22,Backdoors!BG22)))))/100,Backdoors!BG22/100),"")</f>
        <v>0</v>
      </c>
      <c r="EG67" s="49">
        <f>IFERROR(IF(VLOOKUP(A67,tbMoveset!A2:J112,10,FALSE)=TRUE,IF((Backdoors!AI12+IF(EE67&gt;=0.45,VLOOKUP(Calculator!E23,tbSkills!DH3:DI6,2,FALSE)+IF(AND(Calculator!B8=TRUE,Backdoors!BI22=TRUE),VLOOKUP(Calculator!E23,tbSkills!DH3:DJ6,3,FALSE),0),0))&gt;=0,1+(Backdoors!AL2*(IF((Backdoors!AI12+IF(EE67&gt;=0.45,VLOOKUP(Calculator!E23,tbSkills!DH3:DI6,2,FALSE)+IF(AND(Calculator!B8=TRUE,Backdoors!BI22=TRUE),VLOOKUP(Calculator!E23,tbSkills!DH3:DJ6,3,FALSE),0),0))&gt;=100,100,(Backdoors!AI12+IF(EE67&gt;=0.45,VLOOKUP(Calculator!E23,tbSkills!DH3:DI6,2,FALSE)+IF(AND(Calculator!B8=TRUE,Backdoors!BI22=TRUE),VLOOKUP(Calculator!E23,tbSkills!DH3:DJ6,3,FALSE),0),0)))/100)),(1-(0.25*((-Backdoors!AI12-IF(EE67&gt;=0.45,VLOOKUP(Calculator!E23,tbSkills!DH3:DI6,2,FALSE)+IF(AND(Calculator!B8=TRUE,Backdoors!BI22=TRUE),VLOOKUP(Calculator!E23,tbSkills!DH3:DJ6,3,FALSE),0),0))/100)))),1),"")</f>
        <v>1</v>
      </c>
      <c r="EH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E67)*EG67)*(VLOOKUP(A67,tbMoveset!A2:C112,3,FALSE)/100)*IF(VLOOKUP(A67,tbMoveset!A2:B112,2,FALSE)="Projectile",Backdoors!N10,Backdoors!N9),0),"")</f>
        <v/>
      </c>
      <c r="EI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E67&gt;=0.45,VLOOKUP(Calculator!E23,tbSkills!DH3:DI6,2,FALSE)+IF(AND(Calculator!B8=TRUE,Backdoors!BI22=TRUE),VLOOKUP(Calculator!E23,tbSkills!DH3:DJ6,3,FALSE),0),0))&gt;=100,100,(Backdoors!AI12+IF(EE67&gt;=0.45,VLOOKUP(Calculator!E23,tbSkills!DH3:DI6,2,FALSE)+IF(AND(Calculator!B8=TRUE,Backdoors!BI22=TRUE),VLOOKUP(Calculator!E23,tbSkills!DH3:DJ6,3,FALSE),0),0)))/100)),1))*IF(VLOOKUP(A67,tbMoveset!A2:K112,11,FALSE)=TRUE,Backdoors!AC5,1))*EF67,0),"")</f>
        <v>0</v>
      </c>
      <c r="EJ67" s="49">
        <f>VLOOKUP(A67,tbMoveset!A2:G112,7,FALSE)*IFERROR(IF(Backdoors!AI12&gt;=0,1+(IF(Calculator!E40&gt;0,VLOOKUP(Calculator!E40,tbSkills!AI3:AJ5,2,FALSE),Backdoors!AL4)*(IF((Backdoors!AI12+IF(EE67&gt;=0.45,VLOOKUP(Calculator!E23,tbSkills!DH3:DI6,2,FALSE)+IF(AND(Calculator!B8=TRUE,Backdoors!BI22=TRUE),VLOOKUP(Calculator!E23,tbSkills!DH3:DJ6,3,FALSE),0),0))&gt;=100,100,(Backdoors!AI12+IF(EE67&gt;=0.45,VLOOKUP(Calculator!E23,tbSkills!DH3:DI6,2,FALSE)+IF(AND(Calculator!B8=TRUE,Backdoors!BI22=TRUE),VLOOKUP(Calculator!E23,tbSkills!DH3:DJ6,3,FALSE),0),0)))/100)),1),1)</f>
        <v>0.6</v>
      </c>
      <c r="EK67" s="87">
        <f t="shared" si="12"/>
        <v>0</v>
      </c>
      <c r="EL67" s="86" t="str">
        <f>IFERROR(IF(VLOOKUP(A67,tbMoveset!A2:B112,2,FALSE)="Sever",Backdoors!AY23/100,IF(VLOOKUP(A67,tbMoveset!A2:B112,2,FALSE)="Blunt",Backdoors!AZ23/100,Backdoors!BA23/100)),"")</f>
        <v/>
      </c>
      <c r="EM67" s="49">
        <f>IFERROR(IF(VLOOKUP(tbMoveset!A67,tbMoveset!A2:H112,8,FALSE)="Other",IF(VLOOKUP(tbMoveset!A67,tbMoveset!A2:I112,9,FALSE)="Fire",Backdoors!BB23,IF(VLOOKUP(tbMoveset!A67,tbMoveset!A2:I112,9,FALSE)="Water",Backdoors!BC23,IF(VLOOKUP(tbMoveset!A67,tbMoveset!A2:I112,9,FALSE)="Thunder",Backdoors!BD23,IF(VLOOKUP(tbMoveset!A67,tbMoveset!A2:I112,9,FALSE)="Ice",Backdoors!BE23,IF(VLOOKUP(tbMoveset!A67,tbMoveset!A2:I112,9,FALSE)="Dragon",Backdoors!BF23,Backdoors!BG23)))))/100,Backdoors!BG23/100),"")</f>
        <v>0</v>
      </c>
      <c r="EN67" s="49">
        <f>IFERROR(IF(VLOOKUP(A67,tbMoveset!A2:J112,10,FALSE)=TRUE,IF((Backdoors!AI12+IF(EL67&gt;=0.45,VLOOKUP(Calculator!E23,tbSkills!DH3:DI6,2,FALSE)+IF(AND(Calculator!B8=TRUE,Backdoors!BI23=TRUE),VLOOKUP(Calculator!E23,tbSkills!DH3:DJ6,3,FALSE),0),0))&gt;=0,1+(Backdoors!AL2*(IF((Backdoors!AI12+IF(EL67&gt;=0.45,VLOOKUP(Calculator!E23,tbSkills!DH3:DI6,2,FALSE)+IF(AND(Calculator!B8=TRUE,Backdoors!BI23=TRUE),VLOOKUP(Calculator!E23,tbSkills!DH3:DJ6,3,FALSE),0),0))&gt;=100,100,(Backdoors!AI12+IF(EL67&gt;=0.45,VLOOKUP(Calculator!E23,tbSkills!DH3:DI6,2,FALSE)+IF(AND(Calculator!B8=TRUE,Backdoors!BI23=TRUE),VLOOKUP(Calculator!E23,tbSkills!DH3:DJ6,3,FALSE),0),0)))/100)),(1-(0.25*((-Backdoors!AI12-IF(EL67&gt;=0.45,VLOOKUP(Calculator!E23,tbSkills!DH3:DI6,2,FALSE)+IF(AND(Calculator!B8=TRUE,Backdoors!BI23=TRUE),VLOOKUP(Calculator!E23,tbSkills!DH3:DJ6,3,FALSE),0),0))/100)))),1),"")</f>
        <v>1</v>
      </c>
      <c r="EO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L67)*EN67)*(VLOOKUP(A67,tbMoveset!A2:C112,3,FALSE)/100)*IF(VLOOKUP(A67,tbMoveset!A2:B112,2,FALSE)="Projectile",Backdoors!N10,Backdoors!N9),0),"")</f>
        <v/>
      </c>
      <c r="EP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L67&gt;=0.45,VLOOKUP(Calculator!E23,tbSkills!DH3:DI6,2,FALSE)+IF(AND(Calculator!B8=TRUE,Backdoors!BI23=TRUE),VLOOKUP(Calculator!E23,tbSkills!DH3:DJ6,3,FALSE),0),0))&gt;=100,100,(Backdoors!AI12+IF(EL67&gt;=0.45,VLOOKUP(Calculator!E23,tbSkills!DH3:DI6,2,FALSE)+IF(AND(Calculator!B8=TRUE,Backdoors!BI23=TRUE),VLOOKUP(Calculator!E23,tbSkills!DH3:DJ6,3,FALSE),0),0)))/100)),1))*IF(VLOOKUP(A67,tbMoveset!A2:K112,11,FALSE)=TRUE,Backdoors!AC5,1))*EM67,0),"")</f>
        <v>0</v>
      </c>
      <c r="EQ67" s="49">
        <f>VLOOKUP(A67,tbMoveset!A2:G112,7,FALSE)*IFERROR(IF(Backdoors!AI12&gt;=0,1+(IF(Calculator!E40&gt;0,VLOOKUP(Calculator!E40,tbSkills!AI3:AJ5,2,FALSE),Backdoors!AL4)*(IF((Backdoors!AI12+IF(EL67&gt;=0.45,VLOOKUP(Calculator!E23,tbSkills!DH3:DI6,2,FALSE)+IF(AND(Calculator!B8=TRUE,Backdoors!BI23=TRUE),VLOOKUP(Calculator!E23,tbSkills!DH3:DJ6,3,FALSE),0),0))&gt;=100,100,(Backdoors!AI12+IF(EL67&gt;=0.45,VLOOKUP(Calculator!E23,tbSkills!DH3:DI6,2,FALSE)+IF(AND(Calculator!B8=TRUE,Backdoors!BI23=TRUE),VLOOKUP(Calculator!E23,tbSkills!DH3:DJ6,3,FALSE),0),0)))/100)),1),1)</f>
        <v>0.6</v>
      </c>
      <c r="ER67" s="87">
        <f t="shared" si="13"/>
        <v>0</v>
      </c>
      <c r="ES67" s="86" t="str">
        <f>IFERROR(IF(VLOOKUP(A67,tbMoveset!A2:B112,2,FALSE)="Sever",Backdoors!AY24/100,IF(VLOOKUP(A67,tbMoveset!A2:B112,2,FALSE)="Blunt",Backdoors!AZ24/100,Backdoors!BA24/100)),"")</f>
        <v/>
      </c>
      <c r="ET67" s="49">
        <f>IFERROR(IF(VLOOKUP(tbMoveset!A67,tbMoveset!A2:H112,8,FALSE)="Other",IF(VLOOKUP(tbMoveset!A67,tbMoveset!A2:I112,9,FALSE)="Fire",Backdoors!BB24,IF(VLOOKUP(tbMoveset!A67,tbMoveset!A2:I112,9,FALSE)="Water",Backdoors!BC24,IF(VLOOKUP(tbMoveset!A67,tbMoveset!A2:I112,9,FALSE)="Thunder",Backdoors!BD24,IF(VLOOKUP(tbMoveset!A67,tbMoveset!A2:I112,9,FALSE)="Ice",Backdoors!BE24,IF(VLOOKUP(tbMoveset!A67,tbMoveset!A2:I112,9,FALSE)="Dragon",Backdoors!BF24,Backdoors!BG24)))))/100,Backdoors!BG24/100),"")</f>
        <v>0</v>
      </c>
      <c r="EU67" s="49">
        <f>IFERROR(IF(VLOOKUP(A67,tbMoveset!A2:J112,10,FALSE)=TRUE,IF((Backdoors!AI12+IF(ES67&gt;=0.45,VLOOKUP(Calculator!E23,tbSkills!DH3:DI6,2,FALSE)+IF(AND(Calculator!B8=TRUE,Backdoors!BI24=TRUE),VLOOKUP(Calculator!E23,tbSkills!DH3:DJ6,3,FALSE),0),0))&gt;=0,1+(Backdoors!AL2*(IF((Backdoors!AI12+IF(ES67&gt;=0.45,VLOOKUP(Calculator!E23,tbSkills!DH3:DI6,2,FALSE)+IF(AND(Calculator!B8=TRUE,Backdoors!BI24=TRUE),VLOOKUP(Calculator!E23,tbSkills!DH3:DJ6,3,FALSE),0),0))&gt;=100,100,(Backdoors!AI12+IF(ES67&gt;=0.45,VLOOKUP(Calculator!E23,tbSkills!DH3:DI6,2,FALSE)+IF(AND(Calculator!B8=TRUE,Backdoors!BI24=TRUE),VLOOKUP(Calculator!E23,tbSkills!DH3:DJ6,3,FALSE),0),0)))/100)),(1-(0.25*((-Backdoors!AI12-IF(ES67&gt;=0.45,VLOOKUP(Calculator!E23,tbSkills!DH3:DI6,2,FALSE)+IF(AND(Calculator!B8=TRUE,Backdoors!BI24=TRUE),VLOOKUP(Calculator!E23,tbSkills!DH3:DJ6,3,FALSE),0),0))/100)))),1),"")</f>
        <v>1</v>
      </c>
      <c r="EV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S67)*EU67)*(VLOOKUP(A67,tbMoveset!A2:C112,3,FALSE)/100)*IF(VLOOKUP(A67,tbMoveset!A2:B112,2,FALSE)="Projectile",Backdoors!N10,Backdoors!N9),0),"")</f>
        <v/>
      </c>
      <c r="EW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S67&gt;=0.45,VLOOKUP(Calculator!E23,tbSkills!DH3:DI6,2,FALSE)+IF(AND(Calculator!B8=TRUE,Backdoors!BI24=TRUE),VLOOKUP(Calculator!E23,tbSkills!DH3:DJ6,3,FALSE),0),0))&gt;=100,100,(Backdoors!AI12+IF(ES67&gt;=0.45,VLOOKUP(Calculator!E23,tbSkills!DH3:DI6,2,FALSE)+IF(AND(Calculator!B8=TRUE,Backdoors!BI24=TRUE),VLOOKUP(Calculator!E23,tbSkills!DH3:DJ6,3,FALSE),0),0)))/100)),1))*IF(VLOOKUP(A67,tbMoveset!A2:K112,11,FALSE)=TRUE,Backdoors!AC5,1))*ET67,0),"")</f>
        <v>0</v>
      </c>
      <c r="EX67" s="49">
        <f>VLOOKUP(A67,tbMoveset!A2:G112,7,FALSE)*IFERROR(IF(Backdoors!AI12&gt;=0,1+(IF(Calculator!E40&gt;0,VLOOKUP(Calculator!E40,tbSkills!AI3:AJ5,2,FALSE),Backdoors!AL4)*(IF((Backdoors!AI12+IF(ES67&gt;=0.45,VLOOKUP(Calculator!E23,tbSkills!DH3:DI6,2,FALSE)+IF(AND(Calculator!B8=TRUE,Backdoors!BI24=TRUE),VLOOKUP(Calculator!E23,tbSkills!DH3:DJ6,3,FALSE),0),0))&gt;=100,100,(Backdoors!AI12+IF(ES67&gt;=0.45,VLOOKUP(Calculator!E23,tbSkills!DH3:DI6,2,FALSE)+IF(AND(Calculator!B8=TRUE,Backdoors!BI24=TRUE),VLOOKUP(Calculator!E23,tbSkills!DH3:DJ6,3,FALSE),0),0)))/100)),1),1)</f>
        <v>0.6</v>
      </c>
      <c r="EY67" s="87">
        <f t="shared" si="14"/>
        <v>0</v>
      </c>
      <c r="EZ67" s="86" t="str">
        <f>IFERROR(IF(VLOOKUP(A67,tbMoveset!A2:B112,2,FALSE)="Sever",Backdoors!AY25/100,IF(VLOOKUP(A67,tbMoveset!A2:B112,2,FALSE)="Blunt",Backdoors!AZ25/100,Backdoors!BA25/100)),"")</f>
        <v/>
      </c>
      <c r="FA67" s="49">
        <f>IFERROR(IF(VLOOKUP(tbMoveset!A67,tbMoveset!A2:H112,8,FALSE)="Other",IF(VLOOKUP(tbMoveset!A67,tbMoveset!A2:I112,9,FALSE)="Fire",Backdoors!BB25,IF(VLOOKUP(tbMoveset!A67,tbMoveset!A2:I112,9,FALSE)="Water",Backdoors!BC25,IF(VLOOKUP(tbMoveset!A67,tbMoveset!A2:I112,9,FALSE)="Thunder",Backdoors!BD25,IF(VLOOKUP(tbMoveset!A67,tbMoveset!A2:I112,9,FALSE)="Ice",Backdoors!BE25,IF(VLOOKUP(tbMoveset!A67,tbMoveset!A2:I112,9,FALSE)="Dragon",Backdoors!BF25,Backdoors!BG25)))))/100,Backdoors!BG25/100),"")</f>
        <v>0</v>
      </c>
      <c r="FB67" s="49">
        <f>IFERROR(IF(VLOOKUP(A67,tbMoveset!A2:J112,10,FALSE)=TRUE,IF((Backdoors!AI12+IF(EZ67&gt;=0.45,VLOOKUP(Calculator!E23,tbSkills!DH3:DI6,2,FALSE)+IF(AND(Calculator!B8=TRUE,Backdoors!BI25=TRUE),VLOOKUP(Calculator!E23,tbSkills!DH3:DJ6,3,FALSE),0),0))&gt;=0,1+(Backdoors!AL2*(IF((Backdoors!AI12+IF(EZ67&gt;=0.45,VLOOKUP(Calculator!E23,tbSkills!DH3:DI6,2,FALSE)+IF(AND(Calculator!B8=TRUE,Backdoors!BI25=TRUE),VLOOKUP(Calculator!E23,tbSkills!DH3:DJ6,3,FALSE),0),0))&gt;=100,100,(Backdoors!AI12+IF(EZ67&gt;=0.45,VLOOKUP(Calculator!E23,tbSkills!DH3:DI6,2,FALSE)+IF(AND(Calculator!B8=TRUE,Backdoors!BI25=TRUE),VLOOKUP(Calculator!E23,tbSkills!DH3:DJ6,3,FALSE),0),0)))/100)),(1-(0.25*((-Backdoors!AI12-IF(EZ67&gt;=0.45,VLOOKUP(Calculator!E23,tbSkills!DH3:DI6,2,FALSE)+IF(AND(Calculator!B8=TRUE,Backdoors!BI25=TRUE),VLOOKUP(Calculator!E23,tbSkills!DH3:DJ6,3,FALSE),0),0))/100)))),1),"")</f>
        <v>1</v>
      </c>
      <c r="FC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Z67)*FB67)*(VLOOKUP(A67,tbMoveset!A2:C112,3,FALSE)/100)*IF(VLOOKUP(A67,tbMoveset!A2:B112,2,FALSE)="Projectile",Backdoors!N10,Backdoors!N9),0),"")</f>
        <v/>
      </c>
      <c r="FD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Z67&gt;=0.45,VLOOKUP(Calculator!E23,tbSkills!DH3:DI6,2,FALSE)+IF(AND(Calculator!B8=TRUE,Backdoors!BI25=TRUE),VLOOKUP(Calculator!E23,tbSkills!DH3:DJ6,3,FALSE),0),0))&gt;=100,100,(Backdoors!AI12+IF(EZ67&gt;=0.45,VLOOKUP(Calculator!E23,tbSkills!DH3:DI6,2,FALSE)+IF(AND(Calculator!B8=TRUE,Backdoors!BI25=TRUE),VLOOKUP(Calculator!E23,tbSkills!DH3:DJ6,3,FALSE),0),0)))/100)),1))*IF(VLOOKUP(A67,tbMoveset!A2:K112,11,FALSE)=TRUE,Backdoors!AC5,1))*FA67,0),"")</f>
        <v>0</v>
      </c>
      <c r="FE67" s="49">
        <f>VLOOKUP(A67,tbMoveset!A2:G112,7,FALSE)*IFERROR(IF(Backdoors!AI12&gt;=0,1+(IF(Calculator!E40&gt;0,VLOOKUP(Calculator!E40,tbSkills!AI3:AJ5,2,FALSE),Backdoors!AL4)*(IF((Backdoors!AI12+IF(EZ67&gt;=0.45,VLOOKUP(Calculator!E23,tbSkills!DH3:DI6,2,FALSE)+IF(AND(Calculator!B8=TRUE,Backdoors!BI25=TRUE),VLOOKUP(Calculator!E23,tbSkills!DH3:DJ6,3,FALSE),0),0))&gt;=100,100,(Backdoors!AI12+IF(EZ67&gt;=0.45,VLOOKUP(Calculator!E23,tbSkills!DH3:DI6,2,FALSE)+IF(AND(Calculator!B8=TRUE,Backdoors!BI25=TRUE),VLOOKUP(Calculator!E23,tbSkills!DH3:DJ6,3,FALSE),0),0)))/100)),1),1)</f>
        <v>0.6</v>
      </c>
      <c r="FF67" s="87">
        <f t="shared" si="15"/>
        <v>0</v>
      </c>
      <c r="FG67" s="86" t="str">
        <f>IFERROR(IF(VLOOKUP(A67,tbMoveset!A2:B112,2,FALSE)="Sever",Backdoors!AY26/100,IF(VLOOKUP(A67,tbMoveset!A2:B112,2,FALSE)="Blunt",Backdoors!AZ26/100,Backdoors!BA26/100)),"")</f>
        <v/>
      </c>
      <c r="FH67" s="49">
        <f>IFERROR(IF(VLOOKUP(tbMoveset!A67,tbMoveset!A2:H112,8,FALSE)="Other",IF(VLOOKUP(tbMoveset!A67,tbMoveset!A2:I112,9,FALSE)="Fire",Backdoors!BB26,IF(VLOOKUP(tbMoveset!A67,tbMoveset!A2:I112,9,FALSE)="Water",Backdoors!BC26,IF(VLOOKUP(tbMoveset!A67,tbMoveset!A2:I112,9,FALSE)="Thunder",Backdoors!BD26,IF(VLOOKUP(tbMoveset!A67,tbMoveset!A2:I112,9,FALSE)="Ice",Backdoors!BE26,IF(VLOOKUP(tbMoveset!A67,tbMoveset!A2:I112,9,FALSE)="Dragon",Backdoors!BF26,Backdoors!BG26)))))/100,Backdoors!BG26/100),"")</f>
        <v>0</v>
      </c>
      <c r="FI67" s="49">
        <f>IFERROR(IF(VLOOKUP(A67,tbMoveset!A2:J112,10,FALSE)=TRUE,IF((Backdoors!AI12+IF(FG67&gt;=0.45,VLOOKUP(Calculator!E23,tbSkills!DH3:DI6,2,FALSE)+IF(AND(Calculator!B8=TRUE,Backdoors!BI26=TRUE),VLOOKUP(Calculator!E23,tbSkills!DH3:DJ6,3,FALSE),0),0))&gt;=0,1+(Backdoors!AL2*(IF((Backdoors!AI12+IF(FG67&gt;=0.45,VLOOKUP(Calculator!E23,tbSkills!DH3:DI6,2,FALSE)+IF(AND(Calculator!B8=TRUE,Backdoors!BI26=TRUE),VLOOKUP(Calculator!E23,tbSkills!DH3:DJ6,3,FALSE),0),0))&gt;=100,100,(Backdoors!AI12+IF(FG67&gt;=0.45,VLOOKUP(Calculator!E23,tbSkills!DH3:DI6,2,FALSE)+IF(AND(Calculator!B8=TRUE,Backdoors!BI26=TRUE),VLOOKUP(Calculator!E23,tbSkills!DH3:DJ6,3,FALSE),0),0)))/100)),(1-(0.25*((-Backdoors!AI12-IF(FG67&gt;=0.45,VLOOKUP(Calculator!E23,tbSkills!DH3:DI6,2,FALSE)+IF(AND(Calculator!B8=TRUE,Backdoors!BI26=TRUE),VLOOKUP(Calculator!E23,tbSkills!DH3:DJ6,3,FALSE),0),0))/100)))),1),"")</f>
        <v>1</v>
      </c>
      <c r="FJ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FG67)*FI67)*(VLOOKUP(A67,tbMoveset!A2:C112,3,FALSE)/100)*IF(VLOOKUP(A67,tbMoveset!A2:B112,2,FALSE)="Projectile",Backdoors!N10,Backdoors!N9),0),"")</f>
        <v/>
      </c>
      <c r="FK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FG67&gt;=0.45,VLOOKUP(Calculator!E23,tbSkills!DH3:DI6,2,FALSE)+IF(AND(Calculator!B8=TRUE,Backdoors!BI26=TRUE),VLOOKUP(Calculator!E23,tbSkills!DH3:DJ6,3,FALSE),0),0))&gt;=100,100,(Backdoors!AI12+IF(FG67&gt;=0.45,VLOOKUP(Calculator!E23,tbSkills!DH3:DI6,2,FALSE)+IF(AND(Calculator!B8=TRUE,Backdoors!BI26=TRUE),VLOOKUP(Calculator!E23,tbSkills!DH3:DJ6,3,FALSE),0),0)))/100)),1))*IF(VLOOKUP(A67,tbMoveset!A2:K112,11,FALSE)=TRUE,Backdoors!AC5,1))*FH67,0),"")</f>
        <v>0</v>
      </c>
      <c r="FL67" s="49">
        <f>VLOOKUP(A67,tbMoveset!A2:G112,7,FALSE)*IFERROR(IF(Backdoors!AI12&gt;=0,1+(IF(Calculator!E40&gt;0,VLOOKUP(Calculator!E40,tbSkills!AI3:AJ5,2,FALSE),Backdoors!AL4)*(IF((Backdoors!AI12+IF(FG67&gt;=0.45,VLOOKUP(Calculator!E23,tbSkills!DH3:DI6,2,FALSE)+IF(AND(Calculator!B8=TRUE,Backdoors!BI26=TRUE),VLOOKUP(Calculator!E23,tbSkills!DH3:DJ6,3,FALSE),0),0))&gt;=100,100,(Backdoors!AI12+IF(FG67&gt;=0.45,VLOOKUP(Calculator!E23,tbSkills!DH3:DI6,2,FALSE)+IF(AND(Calculator!B8=TRUE,Backdoors!BI26=TRUE),VLOOKUP(Calculator!E23,tbSkills!DH3:DJ6,3,FALSE),0),0)))/100)),1),1)</f>
        <v>0.6</v>
      </c>
      <c r="FM67" s="87">
        <f t="shared" si="16"/>
        <v>0</v>
      </c>
      <c r="FN67" s="86" t="str">
        <f>IFERROR(IF(VLOOKUP(A67,tbMoveset!A2:B112,2,FALSE)="Sever",Backdoors!AY27/100,IF(VLOOKUP(A67,tbMoveset!A2:B112,2,FALSE)="Blunt",Backdoors!AZ27/100,Backdoors!BA27/100)),"")</f>
        <v/>
      </c>
      <c r="FO67" s="49">
        <f>IFERROR(IF(VLOOKUP(tbMoveset!A67,tbMoveset!A2:H112,8,FALSE)="Other",IF(VLOOKUP(tbMoveset!A67,tbMoveset!A2:I112,9,FALSE)="Fire",Backdoors!BB27,IF(VLOOKUP(tbMoveset!A67,tbMoveset!A2:I112,9,FALSE)="Water",Backdoors!BC27,IF(VLOOKUP(tbMoveset!A67,tbMoveset!A2:I112,9,FALSE)="Thunder",Backdoors!BD27,IF(VLOOKUP(tbMoveset!A67,tbMoveset!A2:I112,9,FALSE)="Ice",Backdoors!BE27,IF(VLOOKUP(tbMoveset!A67,tbMoveset!A2:I112,9,FALSE)="Dragon",Backdoors!BF27,Backdoors!BG27)))))/100,Backdoors!BG27/100),"")</f>
        <v>0</v>
      </c>
      <c r="FP67" s="49">
        <f>IFERROR(IF(VLOOKUP(A67,tbMoveset!A2:J112,10,FALSE)=TRUE,IF((Backdoors!AI12+IF(FN67&gt;=0.45,VLOOKUP(Calculator!E23,tbSkills!DH3:DI6,2,FALSE)+IF(AND(Calculator!B8=TRUE,Backdoors!BI27=TRUE),VLOOKUP(Calculator!E23,tbSkills!DH3:DJ6,3,FALSE),0),0))&gt;=0,1+(Backdoors!AL2*(IF((Backdoors!AI12+IF(FN67&gt;=0.45,VLOOKUP(Calculator!E23,tbSkills!DH3:DI6,2,FALSE)+IF(AND(Calculator!B8=TRUE,Backdoors!BI27=TRUE),VLOOKUP(Calculator!E23,tbSkills!DH3:DJ6,3,FALSE),0),0))&gt;=100,100,(Backdoors!AI12+IF(FN67&gt;=0.45,VLOOKUP(Calculator!E23,tbSkills!DH3:DI6,2,FALSE)+IF(AND(Calculator!B8=TRUE,Backdoors!BI27=TRUE),VLOOKUP(Calculator!E23,tbSkills!DH3:DJ6,3,FALSE),0),0)))/100)),(1-(0.25*((-Backdoors!AI12-IF(FN67&gt;=0.45,VLOOKUP(Calculator!E23,tbSkills!DH3:DI6,2,FALSE)+IF(AND(Calculator!B8=TRUE,Backdoors!BI27=TRUE),VLOOKUP(Calculator!E23,tbSkills!DH3:DJ6,3,FALSE),0),0))/100)))),1),"")</f>
        <v>1</v>
      </c>
      <c r="FQ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FN67)*FP67)*(VLOOKUP(A67,tbMoveset!A2:C112,3,FALSE)/100)*IF(VLOOKUP(A67,tbMoveset!A2:B112,2,FALSE)="Projectile",Backdoors!N10,Backdoors!N9),0),"")</f>
        <v/>
      </c>
      <c r="FR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FN67&gt;=0.45,VLOOKUP(Calculator!E23,tbSkills!DH3:DI6,2,FALSE)+IF(AND(Calculator!B8=TRUE,Backdoors!BI27=TRUE),VLOOKUP(Calculator!E23,tbSkills!DH3:DJ6,3,FALSE),0),0))&gt;=100,100,(Backdoors!AI12+IF(FN67&gt;=0.45,VLOOKUP(Calculator!E23,tbSkills!DH3:DI6,2,FALSE)+IF(AND(Calculator!B8=TRUE,Backdoors!BI27=TRUE),VLOOKUP(Calculator!E23,tbSkills!DH3:DJ6,3,FALSE),0),0)))/100)),1))*IF(VLOOKUP(A67,tbMoveset!A2:K112,11,FALSE)=TRUE,Backdoors!AC5,1))*FO67,0),"")</f>
        <v>0</v>
      </c>
      <c r="FS67" s="49">
        <f>VLOOKUP(A67,tbMoveset!A2:G112,7,FALSE)*IFERROR(IF(Backdoors!AI12&gt;=0,1+(IF(Calculator!E40&gt;0,VLOOKUP(Calculator!E40,tbSkills!AI3:AJ5,2,FALSE),Backdoors!AL4)*(IF((Backdoors!AI12+IF(FN67&gt;=0.45,VLOOKUP(Calculator!E23,tbSkills!DH3:DI6,2,FALSE)+IF(AND(Calculator!B8=TRUE,Backdoors!BI27=TRUE),VLOOKUP(Calculator!E23,tbSkills!DH3:DJ6,3,FALSE),0),0))&gt;=100,100,(Backdoors!AI12+IF(FN67&gt;=0.45,VLOOKUP(Calculator!E23,tbSkills!DH3:DI6,2,FALSE)+IF(AND(Calculator!B8=TRUE,Backdoors!BI27=TRUE),VLOOKUP(Calculator!E23,tbSkills!DH3:DJ6,3,FALSE),0),0)))/100)),1),1)</f>
        <v>0.6</v>
      </c>
      <c r="FT67" s="87">
        <f t="shared" si="17"/>
        <v>0</v>
      </c>
      <c r="FU67" s="86" t="str">
        <f>IFERROR(IF(VLOOKUP(A67,tbMoveset!A2:B112,2,FALSE)="Sever",Backdoors!AY28/100,IF(VLOOKUP(A67,tbMoveset!A2:B112,2,FALSE)="Blunt",Backdoors!AZ28/100,Backdoors!BA28/100)),"")</f>
        <v/>
      </c>
      <c r="FV67" s="49">
        <f>IFERROR(IF(VLOOKUP(tbMoveset!A67,tbMoveset!A2:H112,8,FALSE)="Other",IF(VLOOKUP(tbMoveset!A67,tbMoveset!A2:I112,9,FALSE)="Fire",Backdoors!BB28,IF(VLOOKUP(tbMoveset!A67,tbMoveset!A2:I112,9,FALSE)="Water",Backdoors!BC28,IF(VLOOKUP(tbMoveset!A67,tbMoveset!A2:I112,9,FALSE)="Thunder",Backdoors!BD28,IF(VLOOKUP(tbMoveset!A67,tbMoveset!A2:I112,9,FALSE)="Ice",Backdoors!BE28,IF(VLOOKUP(tbMoveset!A67,tbMoveset!A2:I112,9,FALSE)="Dragon",Backdoors!BF28,Backdoors!BG28)))))/100,Backdoors!BG28/100),"")</f>
        <v>0</v>
      </c>
      <c r="FW67" s="49">
        <f>IFERROR(IF(VLOOKUP(A67,tbMoveset!A2:J112,10,FALSE)=TRUE,IF((Backdoors!AI12+IF(FU67&gt;=0.45,VLOOKUP(Calculator!E23,tbSkills!DH3:DI6,2,FALSE)+IF(AND(Calculator!B8=TRUE,Backdoors!BI28=TRUE),VLOOKUP(Calculator!E23,tbSkills!DH3:DJ6,3,FALSE),0),0))&gt;=0,1+(Backdoors!AL2*(IF((Backdoors!AI12+IF(FU67&gt;=0.45,VLOOKUP(Calculator!E23,tbSkills!DH3:DI6,2,FALSE)+IF(AND(Calculator!B8=TRUE,Backdoors!BI28=TRUE),VLOOKUP(Calculator!E23,tbSkills!DH3:DJ6,3,FALSE),0),0))&gt;=100,100,(Backdoors!AI12+IF(FU67&gt;=0.45,VLOOKUP(Calculator!E23,tbSkills!DH3:DI6,2,FALSE)+IF(AND(Calculator!B8=TRUE,Backdoors!BI28=TRUE),VLOOKUP(Calculator!E23,tbSkills!DH3:DJ6,3,FALSE),0),0)))/100)),(1-(0.25*((-Backdoors!AI12-IF(FU67&gt;=0.45,VLOOKUP(Calculator!E23,tbSkills!DH3:DI6,2,FALSE)+IF(AND(Calculator!B8=TRUE,Backdoors!BI28=TRUE),VLOOKUP(Calculator!E23,tbSkills!DH3:DJ6,3,FALSE),0),0))/100)))),1),"")</f>
        <v>1</v>
      </c>
      <c r="FX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FU67)*FW67)*(VLOOKUP(A67,tbMoveset!A2:C112,3,FALSE)/100)*IF(VLOOKUP(A67,tbMoveset!A2:B112,2,FALSE)="Projectile",Backdoors!N10,Backdoors!N9),0),"")</f>
        <v/>
      </c>
      <c r="FY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FU67&gt;=0.45,VLOOKUP(Calculator!E23,tbSkills!DH3:DI6,2,FALSE)+IF(AND(Calculator!B8=TRUE,Backdoors!BI28=TRUE),VLOOKUP(Calculator!E23,tbSkills!DH3:DJ6,3,FALSE),0),0))&gt;=100,100,(Backdoors!AI12+IF(FU67&gt;=0.45,VLOOKUP(Calculator!E23,tbSkills!DH3:DI6,2,FALSE)+IF(AND(Calculator!B8=TRUE,Backdoors!BI28=TRUE),VLOOKUP(Calculator!E23,tbSkills!DH3:DJ6,3,FALSE),0),0)))/100)),1))*IF(VLOOKUP(A67,tbMoveset!A2:K112,11,FALSE)=TRUE,Backdoors!AC5,1))*FV67,0),"")</f>
        <v>0</v>
      </c>
      <c r="FZ67" s="49">
        <f>VLOOKUP(A67,tbMoveset!A2:G112,7,FALSE)*IFERROR(IF(Backdoors!AI12&gt;=0,1+(IF(Calculator!E40&gt;0,VLOOKUP(Calculator!E40,tbSkills!AI3:AJ5,2,FALSE),Backdoors!AL4)*(IF((Backdoors!AI12+IF(FU67&gt;=0.45,VLOOKUP(Calculator!E23,tbSkills!DH3:DI6,2,FALSE)+IF(AND(Calculator!B8=TRUE,Backdoors!BI28=TRUE),VLOOKUP(Calculator!E23,tbSkills!DH3:DJ6,3,FALSE),0),0))&gt;=100,100,(Backdoors!AI12+IF(FU67&gt;=0.45,VLOOKUP(Calculator!E23,tbSkills!DH3:DI6,2,FALSE)+IF(AND(Calculator!B8=TRUE,Backdoors!BI28=TRUE),VLOOKUP(Calculator!E23,tbSkills!DH3:DJ6,3,FALSE),0),0)))/100)),1),1)</f>
        <v>0.6</v>
      </c>
      <c r="GA67" s="87">
        <f t="shared" si="18"/>
        <v>0</v>
      </c>
      <c r="GB67" s="86" t="str">
        <f>IFERROR(IF(VLOOKUP(A67,tbMoveset!A2:B112,2,FALSE)="Sever",Backdoors!AY29/100,IF(VLOOKUP(A67,tbMoveset!A2:B112,2,FALSE)="Blunt",Backdoors!AZ29/100,Backdoors!BA29/100)),"")</f>
        <v/>
      </c>
      <c r="GC67" s="49">
        <f>IFERROR(IF(VLOOKUP(tbMoveset!A67,tbMoveset!A2:H112,8,FALSE)="Other",IF(VLOOKUP(tbMoveset!A67,tbMoveset!A2:I112,9,FALSE)="Fire",Backdoors!BB29,IF(VLOOKUP(tbMoveset!A67,tbMoveset!A2:I112,9,FALSE)="Water",Backdoors!BC29,IF(VLOOKUP(tbMoveset!A67,tbMoveset!A2:I112,9,FALSE)="Thunder",Backdoors!BD29,IF(VLOOKUP(tbMoveset!A67,tbMoveset!A2:I112,9,FALSE)="Ice",Backdoors!BE29,IF(VLOOKUP(tbMoveset!A67,tbMoveset!A2:I112,9,FALSE)="Dragon",Backdoors!BF29,Backdoors!BG29)))))/100,Backdoors!BG29/100),"")</f>
        <v>0</v>
      </c>
      <c r="GD67" s="49">
        <f>IFERROR(IF(VLOOKUP(A67,tbMoveset!A2:J112,10,FALSE)=TRUE,IF((Backdoors!AI12+IF(GB67&gt;=0.45,VLOOKUP(Calculator!E23,tbSkills!DH3:DI6,2,FALSE)+IF(AND(Calculator!B8=TRUE,Backdoors!BI29=TRUE),VLOOKUP(Calculator!E23,tbSkills!DH3:DJ6,3,FALSE),0),0))&gt;=0,1+(Backdoors!AL2*(IF((Backdoors!AI12+IF(GB67&gt;=0.45,VLOOKUP(Calculator!E23,tbSkills!DH3:DI6,2,FALSE)+IF(AND(Calculator!B8=TRUE,Backdoors!BI29=TRUE),VLOOKUP(Calculator!E23,tbSkills!DH3:DJ6,3,FALSE),0),0))&gt;=100,100,(Backdoors!AI12+IF(GB67&gt;=0.45,VLOOKUP(Calculator!E23,tbSkills!DH3:DI6,2,FALSE)+IF(AND(Calculator!B8=TRUE,Backdoors!BI29=TRUE),VLOOKUP(Calculator!E23,tbSkills!DH3:DJ6,3,FALSE),0),0)))/100)),(1-(0.25*((-Backdoors!AI12-IF(GB67&gt;=0.45,VLOOKUP(Calculator!E23,tbSkills!DH3:DI6,2,FALSE)+IF(AND(Calculator!B8=TRUE,Backdoors!BI29=TRUE),VLOOKUP(Calculator!E23,tbSkills!DH3:DJ6,3,FALSE),0),0))/100)))),1),"")</f>
        <v>1</v>
      </c>
      <c r="GE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B67)*GD67)*(VLOOKUP(A67,tbMoveset!A2:C112,3,FALSE)/100)*IF(VLOOKUP(A67,tbMoveset!A2:B112,2,FALSE)="Projectile",Backdoors!N10,Backdoors!N9),0),"")</f>
        <v/>
      </c>
      <c r="GF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B67&gt;=0.45,VLOOKUP(Calculator!E23,tbSkills!DH3:DI6,2,FALSE)+IF(AND(Calculator!B8=TRUE,Backdoors!BI29=TRUE),VLOOKUP(Calculator!E23,tbSkills!DH3:DJ6,3,FALSE),0),0))&gt;=100,100,(Backdoors!AI12+IF(GB67&gt;=0.45,VLOOKUP(Calculator!E23,tbSkills!DH3:DI6,2,FALSE)+IF(AND(Calculator!B8=TRUE,Backdoors!BI29=TRUE),VLOOKUP(Calculator!E23,tbSkills!DH3:DJ6,3,FALSE),0),0)))/100)),1))*IF(VLOOKUP(A67,tbMoveset!A2:K112,11,FALSE)=TRUE,Backdoors!AC5,1))*GC67,0),"")</f>
        <v>0</v>
      </c>
      <c r="GG67" s="49">
        <f>VLOOKUP(A67,tbMoveset!A2:G112,7,FALSE)*IFERROR(IF(Backdoors!AI12&gt;=0,1+(IF(Calculator!E40&gt;0,VLOOKUP(Calculator!E40,tbSkills!AI3:AJ5,2,FALSE),Backdoors!AL4)*(IF((Backdoors!AI12+IF(GB67&gt;=0.45,VLOOKUP(Calculator!E23,tbSkills!DH3:DI6,2,FALSE)+IF(AND(Calculator!B8=TRUE,Backdoors!BI29=TRUE),VLOOKUP(Calculator!E23,tbSkills!DH3:DJ6,3,FALSE),0),0))&gt;=100,100,(Backdoors!AI12+IF(GB67&gt;=0.45,VLOOKUP(Calculator!E23,tbSkills!DH3:DI6,2,FALSE)+IF(AND(Calculator!B8=TRUE,Backdoors!BI29=TRUE),VLOOKUP(Calculator!E23,tbSkills!DH3:DJ6,3,FALSE),0),0)))/100)),1),1)</f>
        <v>0.6</v>
      </c>
      <c r="GH67" s="87">
        <f t="shared" si="19"/>
        <v>0</v>
      </c>
      <c r="GI67" s="86" t="str">
        <f>IFERROR(IF(VLOOKUP(A67,tbMoveset!A2:B112,2,FALSE)="Sever",Backdoors!AY30/100,IF(VLOOKUP(A67,tbMoveset!A2:B112,2,FALSE)="Blunt",Backdoors!AZ30/100,Backdoors!BA30/100)),"")</f>
        <v/>
      </c>
      <c r="GJ67" s="49">
        <f>IFERROR(IF(VLOOKUP(tbMoveset!A67,tbMoveset!A2:H112,8,FALSE)="Other",IF(VLOOKUP(tbMoveset!A67,tbMoveset!A2:I112,9,FALSE)="Fire",Backdoors!BB30,IF(VLOOKUP(tbMoveset!A67,tbMoveset!A2:I112,9,FALSE)="Water",Backdoors!BC30,IF(VLOOKUP(tbMoveset!A67,tbMoveset!A2:I112,9,FALSE)="Thunder",Backdoors!BD30,IF(VLOOKUP(tbMoveset!A67,tbMoveset!A2:I112,9,FALSE)="Ice",Backdoors!BE30,IF(VLOOKUP(tbMoveset!A67,tbMoveset!A2:I112,9,FALSE)="Dragon",Backdoors!BF30,Backdoors!BG30)))))/100,Backdoors!BG30/100),"")</f>
        <v>0</v>
      </c>
      <c r="GK67" s="49">
        <f>IFERROR(IF(VLOOKUP(A67,tbMoveset!A2:J112,10,FALSE)=TRUE,IF((Backdoors!AI12+IF(GI67&gt;=0.45,VLOOKUP(Calculator!E23,tbSkills!DH3:DI6,2,FALSE)+IF(AND(Calculator!B8=TRUE,Backdoors!BI30=TRUE),VLOOKUP(Calculator!E23,tbSkills!DH3:DJ6,3,FALSE),0),0))&gt;=0,1+(Backdoors!AL2*(IF((Backdoors!AI12+IF(GI67&gt;=0.45,VLOOKUP(Calculator!E23,tbSkills!DH3:DI6,2,FALSE)+IF(AND(Calculator!B8=TRUE,Backdoors!BI30=TRUE),VLOOKUP(Calculator!E23,tbSkills!DH3:DJ6,3,FALSE),0),0))&gt;=100,100,(Backdoors!AI12+IF(GI67&gt;=0.45,VLOOKUP(Calculator!E23,tbSkills!DH3:DI6,2,FALSE)+IF(AND(Calculator!B8=TRUE,Backdoors!BI30=TRUE),VLOOKUP(Calculator!E23,tbSkills!DH3:DJ6,3,FALSE),0),0)))/100)),(1-(0.25*((-Backdoors!AI12-IF(GI67&gt;=0.45,VLOOKUP(Calculator!E23,tbSkills!DH3:DI6,2,FALSE)+IF(AND(Calculator!B8=TRUE,Backdoors!BI30=TRUE),VLOOKUP(Calculator!E23,tbSkills!DH3:DJ6,3,FALSE),0),0))/100)))),1),"")</f>
        <v>1</v>
      </c>
      <c r="GL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I67)*GK67)*(VLOOKUP(A67,tbMoveset!A2:C112,3,FALSE)/100)*IF(VLOOKUP(A67,tbMoveset!A2:B112,2,FALSE)="Projectile",Backdoors!N10,Backdoors!N9),0),"")</f>
        <v/>
      </c>
      <c r="GM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I67&gt;=0.45,VLOOKUP(Calculator!E23,tbSkills!DH3:DI6,2,FALSE)+IF(AND(Calculator!B8=TRUE,Backdoors!BI30=TRUE),VLOOKUP(Calculator!E23,tbSkills!DH3:DJ6,3,FALSE),0),0))&gt;=100,100,(Backdoors!AI12+IF(GI67&gt;=0.45,VLOOKUP(Calculator!E23,tbSkills!DH3:DI6,2,FALSE)+IF(AND(Calculator!B8=TRUE,Backdoors!BI30=TRUE),VLOOKUP(Calculator!E23,tbSkills!DH3:DJ6,3,FALSE),0),0)))/100)),1))*IF(VLOOKUP(A67,tbMoveset!A2:K112,11,FALSE)=TRUE,Backdoors!AC5,1))*GJ67,0),"")</f>
        <v>0</v>
      </c>
      <c r="GN67" s="49">
        <f>VLOOKUP(A67,tbMoveset!A2:G112,7,FALSE)*IFERROR(IF(Backdoors!AI12&gt;=0,1+(IF(Calculator!E40&gt;0,VLOOKUP(Calculator!E40,tbSkills!AI3:AJ5,2,FALSE),Backdoors!AL4)*(IF((Backdoors!AI12+IF(GI67&gt;=0.45,VLOOKUP(Calculator!E23,tbSkills!DH3:DI6,2,FALSE)+IF(AND(Calculator!B8=TRUE,Backdoors!BI30=TRUE),VLOOKUP(Calculator!E23,tbSkills!DH3:DJ6,3,FALSE),0),0))&gt;=100,100,(Backdoors!AI12+IF(GI67&gt;=0.45,VLOOKUP(Calculator!E23,tbSkills!DH3:DI6,2,FALSE)+IF(AND(Calculator!B8=TRUE,Backdoors!BI30=TRUE),VLOOKUP(Calculator!E23,tbSkills!DH3:DJ6,3,FALSE),0),0)))/100)),1),1)</f>
        <v>0.6</v>
      </c>
      <c r="GO67" s="87">
        <f t="shared" si="20"/>
        <v>0</v>
      </c>
      <c r="GP67" s="86" t="str">
        <f>IFERROR(IF(VLOOKUP(A67,tbMoveset!A2:B112,2,FALSE)="Sever",Backdoors!AY31/100,IF(VLOOKUP(A67,tbMoveset!A2:B112,2,FALSE)="Blunt",Backdoors!AZ31/100,Backdoors!BA31/100)),"")</f>
        <v/>
      </c>
      <c r="GQ67" s="49">
        <f>IFERROR(IF(VLOOKUP(tbMoveset!A67,tbMoveset!A2:H112,8,FALSE)="Other",IF(VLOOKUP(tbMoveset!A67,tbMoveset!A2:I112,9,FALSE)="Fire",Backdoors!BB31,IF(VLOOKUP(tbMoveset!A67,tbMoveset!A2:I112,9,FALSE)="Water",Backdoors!BC31,IF(VLOOKUP(tbMoveset!A67,tbMoveset!A2:I112,9,FALSE)="Thunder",Backdoors!BD31,IF(VLOOKUP(tbMoveset!A67,tbMoveset!A2:I112,9,FALSE)="Ice",Backdoors!BE31,IF(VLOOKUP(tbMoveset!A67,tbMoveset!A2:I112,9,FALSE)="Dragon",Backdoors!BF31,Backdoors!BG31)))))/100,Backdoors!BG31/100),"")</f>
        <v>0</v>
      </c>
      <c r="GR67" s="49">
        <f>IFERROR(IF(VLOOKUP(A67,tbMoveset!A2:J112,10,FALSE)=TRUE,IF((Backdoors!AI12+IF(GP67&gt;=0.45,VLOOKUP(Calculator!E23,tbSkills!DH3:DI6,2,FALSE)+IF(AND(Calculator!B8=TRUE,Backdoors!BI31=TRUE),VLOOKUP(Calculator!E23,tbSkills!DH3:DJ6,3,FALSE),0),0))&gt;=0,1+(Backdoors!AL2*(IF((Backdoors!AI12+IF(GP67&gt;=0.45,VLOOKUP(Calculator!E23,tbSkills!DH3:DI6,2,FALSE)+IF(AND(Calculator!B8=TRUE,Backdoors!BI31=TRUE),VLOOKUP(Calculator!E23,tbSkills!DH3:DJ6,3,FALSE),0),0))&gt;=100,100,(Backdoors!AI12+IF(GP67&gt;=0.45,VLOOKUP(Calculator!E23,tbSkills!DH3:DI6,2,FALSE)+IF(AND(Calculator!B8=TRUE,Backdoors!BI31=TRUE),VLOOKUP(Calculator!E23,tbSkills!DH3:DJ6,3,FALSE),0),0)))/100)),(1-(0.25*((-Backdoors!AI12-IF(GP67&gt;=0.45,VLOOKUP(Calculator!E23,tbSkills!DH3:DI6,2,FALSE)+IF(AND(Calculator!B8=TRUE,Backdoors!BI31=TRUE),VLOOKUP(Calculator!E23,tbSkills!DH3:DJ6,3,FALSE),0),0))/100)))),1),"")</f>
        <v>1</v>
      </c>
      <c r="GS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P67)*GR67)*(VLOOKUP(A67,tbMoveset!A2:C112,3,FALSE)/100)*IF(VLOOKUP(A67,tbMoveset!A2:B112,2,FALSE)="Projectile",Backdoors!N10,Backdoors!N9),0),"")</f>
        <v/>
      </c>
      <c r="GT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P67&gt;=0.45,VLOOKUP(Calculator!E23,tbSkills!DH3:DI6,2,FALSE)+IF(AND(Calculator!B8=TRUE,Backdoors!BI31=TRUE),VLOOKUP(Calculator!E23,tbSkills!DH3:DJ6,3,FALSE),0),0))&gt;=100,100,(Backdoors!AI12+IF(GP67&gt;=0.45,VLOOKUP(Calculator!E23,tbSkills!DH3:DI6,2,FALSE)+IF(AND(Calculator!B8=TRUE,Backdoors!BI31=TRUE),VLOOKUP(Calculator!E23,tbSkills!DH3:DJ6,3,FALSE),0),0)))/100)),1))*IF(VLOOKUP(A67,tbMoveset!A2:K112,11,FALSE)=TRUE,Backdoors!AC5,1))*GQ67,0),"")</f>
        <v>0</v>
      </c>
      <c r="GU67" s="49">
        <f>VLOOKUP(A67,tbMoveset!A2:G112,7,FALSE)*IFERROR(IF(Backdoors!AI12&gt;=0,1+(IF(Calculator!E40&gt;0,VLOOKUP(Calculator!E40,tbSkills!AI3:AJ5,2,FALSE),Backdoors!AL4)*(IF((Backdoors!AI12+IF(GP67&gt;=0.45,VLOOKUP(Calculator!E23,tbSkills!DH3:DI6,2,FALSE)+IF(AND(Calculator!B8=TRUE,Backdoors!BI31=TRUE),VLOOKUP(Calculator!E23,tbSkills!DH3:DJ6,3,FALSE),0),0))&gt;=100,100,(Backdoors!AI12+IF(GP67&gt;=0.45,VLOOKUP(Calculator!E23,tbSkills!DH3:DI6,2,FALSE)+IF(AND(Calculator!B8=TRUE,Backdoors!BI31=TRUE),VLOOKUP(Calculator!E23,tbSkills!DH3:DJ6,3,FALSE),0),0)))/100)),1),1)</f>
        <v>0.6</v>
      </c>
      <c r="GV67" s="87">
        <f t="shared" si="21"/>
        <v>0</v>
      </c>
      <c r="GW67" s="86" t="str">
        <f>IFERROR(IF(VLOOKUP(A67,tbMoveset!A2:B112,2,FALSE)="Sever",Backdoors!AY32/100,IF(VLOOKUP(A67,tbMoveset!A2:B112,2,FALSE)="Blunt",Backdoors!AZ32/100,Backdoors!BA32/100)),"")</f>
        <v/>
      </c>
      <c r="GX67" s="49">
        <f>IFERROR(IF(VLOOKUP(tbMoveset!A67,tbMoveset!A2:H112,8,FALSE)="Other",IF(VLOOKUP(tbMoveset!A67,tbMoveset!A2:I112,9,FALSE)="Fire",Backdoors!BB32,IF(VLOOKUP(tbMoveset!A67,tbMoveset!A2:I112,9,FALSE)="Water",Backdoors!BC32,IF(VLOOKUP(tbMoveset!A67,tbMoveset!A2:I112,9,FALSE)="Thunder",Backdoors!BD32,IF(VLOOKUP(tbMoveset!A67,tbMoveset!A2:I112,9,FALSE)="Ice",Backdoors!BE32,IF(VLOOKUP(tbMoveset!A67,tbMoveset!A2:I112,9,FALSE)="Dragon",Backdoors!BF32,Backdoors!BG32)))))/100,Backdoors!BG32/100),"")</f>
        <v>0</v>
      </c>
      <c r="GY67" s="49">
        <f>IFERROR(IF(VLOOKUP(A67,tbMoveset!A2:J112,10,FALSE)=TRUE,IF((Backdoors!AI12+IF(GW67&gt;=0.45,VLOOKUP(Calculator!E23,tbSkills!DH3:DI6,2,FALSE)+IF(AND(Calculator!B8=TRUE,Backdoors!BI32=TRUE),VLOOKUP(Calculator!E23,tbSkills!DH3:DJ6,3,FALSE),0),0))&gt;=0,1+(Backdoors!AL2*(IF((Backdoors!AI12+IF(GW67&gt;=0.45,VLOOKUP(Calculator!E23,tbSkills!DH3:DI6,2,FALSE)+IF(AND(Calculator!B8=TRUE,Backdoors!BI32=TRUE),VLOOKUP(Calculator!E23,tbSkills!DH3:DJ6,3,FALSE),0),0))&gt;=100,100,(Backdoors!AI12+IF(GW67&gt;=0.45,VLOOKUP(Calculator!E23,tbSkills!DH3:DI6,2,FALSE)+IF(AND(Calculator!B8=TRUE,Backdoors!BI32=TRUE),VLOOKUP(Calculator!E23,tbSkills!DH3:DJ6,3,FALSE),0),0)))/100)),(1-(0.25*((-Backdoors!AI12-IF(GW67&gt;=0.45,VLOOKUP(Calculator!E23,tbSkills!DH3:DI6,2,FALSE)+IF(AND(Calculator!B8=TRUE,Backdoors!BI32=TRUE),VLOOKUP(Calculator!E23,tbSkills!DH3:DJ6,3,FALSE),0),0))/100)))),1),"")</f>
        <v>1</v>
      </c>
      <c r="GZ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W67)*GY67)*(VLOOKUP(A67,tbMoveset!A2:C112,3,FALSE)/100)*IF(VLOOKUP(A67,tbMoveset!A2:B112,2,FALSE)="Projectile",Backdoors!N10,Backdoors!N9),0),"")</f>
        <v/>
      </c>
      <c r="HA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W67&gt;=0.45,VLOOKUP(Calculator!E23,tbSkills!DH3:DI6,2,FALSE)+IF(AND(Calculator!B8=TRUE,Backdoors!BI32=TRUE),VLOOKUP(Calculator!E23,tbSkills!DH3:DJ6,3,FALSE),0),0))&gt;=100,100,(Backdoors!AI12+IF(GW67&gt;=0.45,VLOOKUP(Calculator!E23,tbSkills!DH3:DI6,2,FALSE)+IF(AND(Calculator!B8=TRUE,Backdoors!BI32=TRUE),VLOOKUP(Calculator!E23,tbSkills!DH3:DJ6,3,FALSE),0),0)))/100)),1))*IF(VLOOKUP(A67,tbMoveset!A2:K112,11,FALSE)=TRUE,Backdoors!AC5,1))*GX67,0),"")</f>
        <v>0</v>
      </c>
      <c r="HB67" s="49">
        <f>VLOOKUP(A67,tbMoveset!A2:G112,7,FALSE)*IFERROR(IF(Backdoors!AI12&gt;=0,1+(IF(Calculator!E40&gt;0,VLOOKUP(Calculator!E40,tbSkills!AI3:AJ5,2,FALSE),Backdoors!AL4)*(IF((Backdoors!AI12+IF(GW67&gt;=0.45,VLOOKUP(Calculator!E23,tbSkills!DH3:DI6,2,FALSE)+IF(AND(Calculator!B8=TRUE,Backdoors!BI32=TRUE),VLOOKUP(Calculator!E23,tbSkills!DH3:DJ6,3,FALSE),0),0))&gt;=100,100,(Backdoors!AI12+IF(GW67&gt;=0.45,VLOOKUP(Calculator!E23,tbSkills!DH3:DI6,2,FALSE)+IF(AND(Calculator!B8=TRUE,Backdoors!BI32=TRUE),VLOOKUP(Calculator!E23,tbSkills!DH3:DJ6,3,FALSE),0),0)))/100)),1),1)</f>
        <v>0.6</v>
      </c>
      <c r="HC67" s="87">
        <f t="shared" si="22"/>
        <v>0</v>
      </c>
      <c r="HD67" s="86" t="str">
        <f>IFERROR(IF(VLOOKUP(A67,tbMoveset!A2:B112,2,FALSE)="Sever",Backdoors!AY33/100,IF(VLOOKUP(A67,tbMoveset!A2:B112,2,FALSE)="Blunt",Backdoors!AZ33/100,Backdoors!BA33/100)),"")</f>
        <v/>
      </c>
      <c r="HE67" s="49">
        <f>IFERROR(IF(VLOOKUP(tbMoveset!A67,tbMoveset!A2:H112,8,FALSE)="Other",IF(VLOOKUP(tbMoveset!A67,tbMoveset!A2:I112,9,FALSE)="Fire",Backdoors!BB33,IF(VLOOKUP(tbMoveset!A67,tbMoveset!A2:I112,9,FALSE)="Water",Backdoors!BC33,IF(VLOOKUP(tbMoveset!A67,tbMoveset!A2:I112,9,FALSE)="Thunder",Backdoors!BD33,IF(VLOOKUP(tbMoveset!A67,tbMoveset!A2:I112,9,FALSE)="Ice",Backdoors!BE33,IF(VLOOKUP(tbMoveset!A67,tbMoveset!A2:I112,9,FALSE)="Dragon",Backdoors!BF33,Backdoors!BG33)))))/100,Backdoors!BG33/100),"")</f>
        <v>0</v>
      </c>
      <c r="HF67" s="49">
        <f>IFERROR(IF(VLOOKUP(A67,tbMoveset!A2:J112,10,FALSE)=TRUE,IF((Backdoors!AI12+IF(HD67&gt;=0.45,VLOOKUP(Calculator!E23,tbSkills!DH3:DI6,2,FALSE)+IF(AND(Calculator!B8=TRUE,Backdoors!BI33=TRUE),VLOOKUP(Calculator!E23,tbSkills!DH3:DJ6,3,FALSE),0),0))&gt;=0,1+(Backdoors!AL2*(IF((Backdoors!AI12+IF(HD67&gt;=0.45,VLOOKUP(Calculator!E23,tbSkills!DH3:DI6,2,FALSE)+IF(AND(Calculator!B8=TRUE,Backdoors!BI33=TRUE),VLOOKUP(Calculator!E23,tbSkills!DH3:DJ6,3,FALSE),0),0))&gt;=100,100,(Backdoors!AI12+IF(HD67&gt;=0.45,VLOOKUP(Calculator!E23,tbSkills!DH3:DI6,2,FALSE)+IF(AND(Calculator!B8=TRUE,Backdoors!BI33=TRUE),VLOOKUP(Calculator!E23,tbSkills!DH3:DJ6,3,FALSE),0),0)))/100)),(1-(0.25*((-Backdoors!AI12-IF(HD67&gt;=0.45,VLOOKUP(Calculator!E23,tbSkills!DH3:DI6,2,FALSE)+IF(AND(Calculator!B8=TRUE,Backdoors!BI33=TRUE),VLOOKUP(Calculator!E23,tbSkills!DH3:DJ6,3,FALSE),0),0))/100)))),1),"")</f>
        <v>1</v>
      </c>
      <c r="HG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D67)*HF67)*(VLOOKUP(A67,tbMoveset!A2:C112,3,FALSE)/100)*IF(VLOOKUP(A67,tbMoveset!A2:B112,2,FALSE)="Projectile",Backdoors!N10,Backdoors!N9),0),"")</f>
        <v/>
      </c>
      <c r="HH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D67&gt;=0.45,VLOOKUP(Calculator!E23,tbSkills!DH3:DI6,2,FALSE)+IF(AND(Calculator!B8=TRUE,Backdoors!BI33=TRUE),VLOOKUP(Calculator!E23,tbSkills!DH3:DJ6,3,FALSE),0),0))&gt;=100,100,(Backdoors!AI12+IF(HD67&gt;=0.45,VLOOKUP(Calculator!E23,tbSkills!DH3:DI6,2,FALSE)+IF(AND(Calculator!B8=TRUE,Backdoors!BI33=TRUE),VLOOKUP(Calculator!E23,tbSkills!DH3:DJ6,3,FALSE),0),0)))/100)),1))*IF(VLOOKUP(A67,tbMoveset!A2:K112,11,FALSE)=TRUE,Backdoors!AC5,1))*HE67,0),"")</f>
        <v>0</v>
      </c>
      <c r="HI67" s="49">
        <f>VLOOKUP(A67,tbMoveset!A2:G112,7,FALSE)*IFERROR(IF(Backdoors!AI12&gt;=0,1+(IF(Calculator!E40&gt;0,VLOOKUP(Calculator!E40,tbSkills!AI3:AJ5,2,FALSE),Backdoors!AL4)*(IF((Backdoors!AI12+IF(HD67&gt;=0.45,VLOOKUP(Calculator!E23,tbSkills!DH3:DI6,2,FALSE)+IF(AND(Calculator!B8=TRUE,Backdoors!BI33=TRUE),VLOOKUP(Calculator!E23,tbSkills!DH3:DJ6,3,FALSE),0),0))&gt;=100,100,(Backdoors!AI12+IF(HD67&gt;=0.45,VLOOKUP(Calculator!E23,tbSkills!DH3:DI6,2,FALSE)+IF(AND(Calculator!B8=TRUE,Backdoors!BI33=TRUE),VLOOKUP(Calculator!E23,tbSkills!DH3:DJ6,3,FALSE),0),0)))/100)),1),1)</f>
        <v>0.6</v>
      </c>
      <c r="HJ67" s="87">
        <f t="shared" si="23"/>
        <v>0</v>
      </c>
      <c r="HK67" s="86" t="str">
        <f>IFERROR(IF(VLOOKUP(A67,tbMoveset!A2:B112,2,FALSE)="Sever",Backdoors!AY34/100,IF(VLOOKUP(A67,tbMoveset!A2:B112,2,FALSE)="Blunt",Backdoors!AZ34/100,Backdoors!BA34/100)),"")</f>
        <v/>
      </c>
      <c r="HL67" s="49">
        <f>IFERROR(IF(VLOOKUP(tbMoveset!A67,tbMoveset!A2:H112,8,FALSE)="Other",IF(VLOOKUP(tbMoveset!A67,tbMoveset!A2:I112,9,FALSE)="Fire",Backdoors!BB34,IF(VLOOKUP(tbMoveset!A67,tbMoveset!A2:I112,9,FALSE)="Water",Backdoors!BC34,IF(VLOOKUP(tbMoveset!A67,tbMoveset!A2:I112,9,FALSE)="Thunder",Backdoors!BD34,IF(VLOOKUP(tbMoveset!A67,tbMoveset!A2:I112,9,FALSE)="Ice",Backdoors!BE34,IF(VLOOKUP(tbMoveset!A67,tbMoveset!A2:I112,9,FALSE)="Dragon",Backdoors!BF34,Backdoors!BG34)))))/100,Backdoors!BG34/100),"")</f>
        <v>0</v>
      </c>
      <c r="HM67" s="49">
        <f>IFERROR(IF(VLOOKUP(A67,tbMoveset!A2:J112,10,FALSE)=TRUE,IF((Backdoors!AI12+IF(HK67&gt;=0.45,VLOOKUP(Calculator!E23,tbSkills!DH3:DI6,2,FALSE)+IF(AND(Calculator!B8=TRUE,Backdoors!BI34=TRUE),VLOOKUP(Calculator!E23,tbSkills!DH3:DJ6,3,FALSE),0),0))&gt;=0,1+(Backdoors!AL2*(IF((Backdoors!AI12+IF(HK67&gt;=0.45,VLOOKUP(Calculator!E23,tbSkills!DH3:DI6,2,FALSE)+IF(AND(Calculator!B8=TRUE,Backdoors!BI34=TRUE),VLOOKUP(Calculator!E23,tbSkills!DH3:DJ6,3,FALSE),0),0))&gt;=100,100,(Backdoors!AI12+IF(HK67&gt;=0.45,VLOOKUP(Calculator!E23,tbSkills!DH3:DI6,2,FALSE)+IF(AND(Calculator!B8=TRUE,Backdoors!BI34=TRUE),VLOOKUP(Calculator!E23,tbSkills!DH3:DJ6,3,FALSE),0),0)))/100)),(1-(0.25*((-Backdoors!AI12-IF(HK67&gt;=0.45,VLOOKUP(Calculator!E23,tbSkills!DH3:DI6,2,FALSE)+IF(AND(Calculator!B8=TRUE,Backdoors!BI34=TRUE),VLOOKUP(Calculator!E23,tbSkills!DH3:DJ6,3,FALSE),0),0))/100)))),1),"")</f>
        <v>1</v>
      </c>
      <c r="HN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K67)*HM67)*(VLOOKUP(A67,tbMoveset!A2:C112,3,FALSE)/100)*IF(VLOOKUP(A67,tbMoveset!A2:B112,2,FALSE)="Projectile",Backdoors!N10,Backdoors!N9),0),"")</f>
        <v/>
      </c>
      <c r="HO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K67&gt;=0.45,VLOOKUP(Calculator!E23,tbSkills!DH3:DI6,2,FALSE)+IF(AND(Calculator!B8=TRUE,Backdoors!BI34=TRUE),VLOOKUP(Calculator!E23,tbSkills!DH3:DJ6,3,FALSE),0),0))&gt;=100,100,(Backdoors!AI12+IF(HK67&gt;=0.45,VLOOKUP(Calculator!E23,tbSkills!DH3:DI6,2,FALSE)+IF(AND(Calculator!B8=TRUE,Backdoors!BI34=TRUE),VLOOKUP(Calculator!E23,tbSkills!DH3:DJ6,3,FALSE),0),0)))/100)),1))*IF(VLOOKUP(A67,tbMoveset!A2:K112,11,FALSE)=TRUE,Backdoors!AC5,1))*HL67,0),"")</f>
        <v>0</v>
      </c>
      <c r="HP67" s="49">
        <f>VLOOKUP(A67,tbMoveset!A2:G112,7,FALSE)*IFERROR(IF(Backdoors!AI12&gt;=0,1+(IF(Calculator!E40&gt;0,VLOOKUP(Calculator!E40,tbSkills!AI3:AJ5,2,FALSE),Backdoors!AL4)*(IF((Backdoors!AI12+IF(HK67&gt;=0.45,VLOOKUP(Calculator!E23,tbSkills!DH3:DI6,2,FALSE)+IF(AND(Calculator!B8=TRUE,Backdoors!BI34=TRUE),VLOOKUP(Calculator!E23,tbSkills!DH3:DJ6,3,FALSE),0),0))&gt;=100,100,(Backdoors!AI12+IF(HK67&gt;=0.45,VLOOKUP(Calculator!E23,tbSkills!DH3:DI6,2,FALSE)+IF(AND(Calculator!B8=TRUE,Backdoors!BI34=TRUE),VLOOKUP(Calculator!E23,tbSkills!DH3:DJ6,3,FALSE),0),0)))/100)),1),1)</f>
        <v>0.6</v>
      </c>
      <c r="HQ67" s="87">
        <f t="shared" si="24"/>
        <v>0</v>
      </c>
      <c r="HR67" s="86" t="str">
        <f>IFERROR(IF(VLOOKUP(A67,tbMoveset!A2:B112,2,FALSE)="Sever",Backdoors!AY35/100,IF(VLOOKUP(A67,tbMoveset!A2:B112,2,FALSE)="Blunt",Backdoors!AZ35/100,Backdoors!BA35/100)),"")</f>
        <v/>
      </c>
      <c r="HS67" s="49">
        <f>IFERROR(IF(VLOOKUP(tbMoveset!A67,tbMoveset!A2:H112,8,FALSE)="Other",IF(VLOOKUP(tbMoveset!A67,tbMoveset!A2:I112,9,FALSE)="Fire",Backdoors!BB35,IF(VLOOKUP(tbMoveset!A67,tbMoveset!A2:I112,9,FALSE)="Water",Backdoors!BC35,IF(VLOOKUP(tbMoveset!A67,tbMoveset!A2:I112,9,FALSE)="Thunder",Backdoors!BD35,IF(VLOOKUP(tbMoveset!A67,tbMoveset!A2:I112,9,FALSE)="Ice",Backdoors!BE35,IF(VLOOKUP(tbMoveset!A67,tbMoveset!A2:I112,9,FALSE)="Dragon",Backdoors!BF35,Backdoors!BG35)))))/100,Backdoors!BG35/100),"")</f>
        <v>0</v>
      </c>
      <c r="HT67" s="49">
        <f>IFERROR(IF(VLOOKUP(A67,tbMoveset!A2:J112,10,FALSE)=TRUE,IF((Backdoors!AI12+IF(HR67&gt;=0.45,VLOOKUP(Calculator!E23,tbSkills!DH3:DI6,2,FALSE)+IF(AND(Calculator!B8=TRUE,Backdoors!BI35=TRUE),VLOOKUP(Calculator!E23,tbSkills!DH3:DJ6,3,FALSE),0),0))&gt;=0,1+(Backdoors!AL2*(IF((Backdoors!AI12+IF(HR67&gt;=0.45,VLOOKUP(Calculator!E23,tbSkills!DH3:DI6,2,FALSE)+IF(AND(Calculator!B8=TRUE,Backdoors!BI35=TRUE),VLOOKUP(Calculator!E23,tbSkills!DH3:DJ6,3,FALSE),0),0))&gt;=100,100,(Backdoors!AI12+IF(HR67&gt;=0.45,VLOOKUP(Calculator!E23,tbSkills!DH3:DI6,2,FALSE)+IF(AND(Calculator!B8=TRUE,Backdoors!BI35=TRUE),VLOOKUP(Calculator!E23,tbSkills!DH3:DJ6,3,FALSE),0),0)))/100)),(1-(0.25*((-Backdoors!AI12-IF(HR67&gt;=0.45,VLOOKUP(Calculator!E23,tbSkills!DH3:DI6,2,FALSE)+IF(AND(Calculator!B8=TRUE,Backdoors!BI35=TRUE),VLOOKUP(Calculator!E23,tbSkills!DH3:DJ6,3,FALSE),0),0))/100)))),1),"")</f>
        <v>1</v>
      </c>
      <c r="HU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R67)*HT67)*(VLOOKUP(A67,tbMoveset!A2:C112,3,FALSE)/100)*IF(VLOOKUP(A67,tbMoveset!A2:B112,2,FALSE)="Projectile",Backdoors!N10,Backdoors!N9),0),"")</f>
        <v/>
      </c>
      <c r="HV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R67&gt;=0.45,VLOOKUP(Calculator!E23,tbSkills!DH3:DI6,2,FALSE)+IF(AND(Calculator!B8=TRUE,Backdoors!BI35=TRUE),VLOOKUP(Calculator!E23,tbSkills!DH3:DJ6,3,FALSE),0),0))&gt;=100,100,(Backdoors!AI12+IF(HR67&gt;=0.45,VLOOKUP(Calculator!E23,tbSkills!DH3:DI6,2,FALSE)+IF(AND(Calculator!B8=TRUE,Backdoors!BI35=TRUE),VLOOKUP(Calculator!E23,tbSkills!DH3:DJ6,3,FALSE),0),0)))/100)),1))*IF(VLOOKUP(A67,tbMoveset!A2:K112,11,FALSE)=TRUE,Backdoors!AC5,1))*HS67,0),"")</f>
        <v>0</v>
      </c>
      <c r="HW67" s="49">
        <f>VLOOKUP(A67,tbMoveset!A2:G112,7,FALSE)*IFERROR(IF(Backdoors!AI12&gt;=0,1+(IF(Calculator!E40&gt;0,VLOOKUP(Calculator!E40,tbSkills!AI3:AJ5,2,FALSE),Backdoors!AL4)*(IF((Backdoors!AI12+IF(HR67&gt;=0.45,VLOOKUP(Calculator!E23,tbSkills!DH3:DI6,2,FALSE)+IF(AND(Calculator!B8=TRUE,Backdoors!BI35=TRUE),VLOOKUP(Calculator!E23,tbSkills!DH3:DJ6,3,FALSE),0),0))&gt;=100,100,(Backdoors!AI12+IF(HR67&gt;=0.45,VLOOKUP(Calculator!E23,tbSkills!DH3:DI6,2,FALSE)+IF(AND(Calculator!B8=TRUE,Backdoors!BI35=TRUE),VLOOKUP(Calculator!E23,tbSkills!DH3:DJ6,3,FALSE),0),0)))/100)),1),1)</f>
        <v>0.6</v>
      </c>
      <c r="HX67" s="87">
        <f t="shared" si="25"/>
        <v>0</v>
      </c>
      <c r="HY67" s="86" t="str">
        <f>IFERROR(IF(VLOOKUP(A67,tbMoveset!A2:B112,2,FALSE)="Sever",Backdoors!AY36/100,IF(VLOOKUP(A67,tbMoveset!A2:B112,2,FALSE)="Blunt",Backdoors!AZ36/100,Backdoors!BA36/100)),"")</f>
        <v/>
      </c>
      <c r="HZ67" s="49">
        <f>IFERROR(IF(VLOOKUP(tbMoveset!A67,tbMoveset!A2:H112,8,FALSE)="Other",IF(VLOOKUP(tbMoveset!A67,tbMoveset!A2:I112,9,FALSE)="Fire",Backdoors!BB36,IF(VLOOKUP(tbMoveset!A67,tbMoveset!A2:I112,9,FALSE)="Water",Backdoors!BC36,IF(VLOOKUP(tbMoveset!A67,tbMoveset!A2:I112,9,FALSE)="Thunder",Backdoors!BD36,IF(VLOOKUP(tbMoveset!A67,tbMoveset!A2:I112,9,FALSE)="Ice",Backdoors!BE36,IF(VLOOKUP(tbMoveset!A67,tbMoveset!A2:I112,9,FALSE)="Dragon",Backdoors!BF36,Backdoors!BG36)))))/100,Backdoors!BG36/100),"")</f>
        <v>0</v>
      </c>
      <c r="IA67" s="49">
        <f>IFERROR(IF(VLOOKUP(A67,tbMoveset!A2:J112,10,FALSE)=TRUE,IF((Backdoors!AI12+IF(HY67&gt;=0.45,VLOOKUP(Calculator!E23,tbSkills!DH3:DI6,2,FALSE)+IF(AND(Calculator!B8=TRUE,Backdoors!BI36=TRUE),VLOOKUP(Calculator!E23,tbSkills!DH3:DJ6,3,FALSE),0),0))&gt;=0,1+(Backdoors!AL2*(IF((Backdoors!AI12+IF(HY67&gt;=0.45,VLOOKUP(Calculator!E23,tbSkills!DH3:DI6,2,FALSE)+IF(AND(Calculator!B8=TRUE,Backdoors!BI36=TRUE),VLOOKUP(Calculator!E23,tbSkills!DH3:DJ6,3,FALSE),0),0))&gt;=100,100,(Backdoors!AI12+IF(HY67&gt;=0.45,VLOOKUP(Calculator!E23,tbSkills!DH3:DI6,2,FALSE)+IF(AND(Calculator!B8=TRUE,Backdoors!BI36=TRUE),VLOOKUP(Calculator!E23,tbSkills!DH3:DJ6,3,FALSE),0),0)))/100)),(1-(0.25*((-Backdoors!AI12-IF(HY67&gt;=0.45,VLOOKUP(Calculator!E23,tbSkills!DH3:DI6,2,FALSE)+IF(AND(Calculator!B8=TRUE,Backdoors!BI36=TRUE),VLOOKUP(Calculator!E23,tbSkills!DH3:DJ6,3,FALSE),0),0))/100)))),1),"")</f>
        <v>1</v>
      </c>
      <c r="IB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Y67)*IA67)*(VLOOKUP(A67,tbMoveset!A2:C112,3,FALSE)/100)*IF(VLOOKUP(A67,tbMoveset!A2:B112,2,FALSE)="Projectile",Backdoors!N10,Backdoors!N9),0),"")</f>
        <v/>
      </c>
      <c r="IC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Y67&gt;=0.45,VLOOKUP(Calculator!E23,tbSkills!DH3:DI6,2,FALSE)+IF(AND(Calculator!B8=TRUE,Backdoors!BI36=TRUE),VLOOKUP(Calculator!E23,tbSkills!DH3:DJ6,3,FALSE),0),0))&gt;=100,100,(Backdoors!AI12+IF(HY67&gt;=0.45,VLOOKUP(Calculator!E23,tbSkills!DH3:DI6,2,FALSE)+IF(AND(Calculator!B8=TRUE,Backdoors!BI36=TRUE),VLOOKUP(Calculator!E23,tbSkills!DH3:DJ6,3,FALSE),0),0)))/100)),1))*IF(VLOOKUP(A67,tbMoveset!A2:K112,11,FALSE)=TRUE,Backdoors!AC5,1))*HZ67,0),"")</f>
        <v>0</v>
      </c>
      <c r="ID67" s="49">
        <f>VLOOKUP(A67,tbMoveset!A2:G112,7,FALSE)*IFERROR(IF(Backdoors!AI12&gt;=0,1+(IF(Calculator!E40&gt;0,VLOOKUP(Calculator!E40,tbSkills!AI3:AJ5,2,FALSE),Backdoors!AL4)*(IF((Backdoors!AI12+IF(HY67&gt;=0.45,VLOOKUP(Calculator!E23,tbSkills!DH3:DI6,2,FALSE)+IF(AND(Calculator!B8=TRUE,Backdoors!BI36=TRUE),VLOOKUP(Calculator!E23,tbSkills!DH3:DJ6,3,FALSE),0),0))&gt;=100,100,(Backdoors!AI12+IF(HY67&gt;=0.45,VLOOKUP(Calculator!E23,tbSkills!DH3:DI6,2,FALSE)+IF(AND(Calculator!B8=TRUE,Backdoors!BI36=TRUE),VLOOKUP(Calculator!E23,tbSkills!DH3:DJ6,3,FALSE),0),0)))/100)),1),1)</f>
        <v>0.6</v>
      </c>
      <c r="IE67" s="87">
        <f t="shared" si="26"/>
        <v>0</v>
      </c>
      <c r="IF67" s="86" t="str">
        <f>IFERROR(IF(VLOOKUP(A67,tbMoveset!A2:B112,2,FALSE)="Sever",Backdoors!AY37/100,IF(VLOOKUP(A67,tbMoveset!A2:B112,2,FALSE)="Blunt",Backdoors!AZ37/100,Backdoors!BA37/100)),"")</f>
        <v/>
      </c>
      <c r="IG67" s="49">
        <f>IFERROR(IF(VLOOKUP(tbMoveset!A67,tbMoveset!A2:H112,8,FALSE)="Other",IF(VLOOKUP(tbMoveset!A67,tbMoveset!A2:I112,9,FALSE)="Fire",Backdoors!BB37,IF(VLOOKUP(tbMoveset!A67,tbMoveset!A2:I112,9,FALSE)="Water",Backdoors!BC37,IF(VLOOKUP(tbMoveset!A67,tbMoveset!A2:I112,9,FALSE)="Thunder",Backdoors!BD37,IF(VLOOKUP(tbMoveset!A67,tbMoveset!A2:I112,9,FALSE)="Ice",Backdoors!BE37,IF(VLOOKUP(tbMoveset!A67,tbMoveset!A2:I112,9,FALSE)="Dragon",Backdoors!BF37,Backdoors!BG37)))))/100,Backdoors!BG37/100),"")</f>
        <v>0</v>
      </c>
      <c r="IH67" s="49">
        <f>IFERROR(IF(VLOOKUP(A67,tbMoveset!A2:J112,10,FALSE)=TRUE,IF((Backdoors!AI12+IF(IF67&gt;=0.45,VLOOKUP(Calculator!E23,tbSkills!DH3:DI6,2,FALSE)+IF(AND(Calculator!B8=TRUE,Backdoors!BI37=TRUE),VLOOKUP(Calculator!E23,tbSkills!DH3:DJ6,3,FALSE),0),0))&gt;=0,1+(Backdoors!AL2*(IF((Backdoors!AI12+IF(IF67&gt;=0.45,VLOOKUP(Calculator!E23,tbSkills!DH3:DI6,2,FALSE)+IF(AND(Calculator!B8=TRUE,Backdoors!BI37=TRUE),VLOOKUP(Calculator!E23,tbSkills!DH3:DJ6,3,FALSE),0),0))&gt;=100,100,(Backdoors!AI12+IF(IF67&gt;=0.45,VLOOKUP(Calculator!E23,tbSkills!DH3:DI6,2,FALSE)+IF(AND(Calculator!B8=TRUE,Backdoors!BI37=TRUE),VLOOKUP(Calculator!E23,tbSkills!DH3:DJ6,3,FALSE),0),0)))/100)),(1-(0.25*((-Backdoors!AI12-IF(IF67&gt;=0.45,VLOOKUP(Calculator!E23,tbSkills!DH3:DI6,2,FALSE)+IF(AND(Calculator!B8=TRUE,Backdoors!BI37=TRUE),VLOOKUP(Calculator!E23,tbSkills!DH3:DJ6,3,FALSE),0),0))/100)))),1),"")</f>
        <v>1</v>
      </c>
      <c r="II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F67)*IH67)*(VLOOKUP(A67,tbMoveset!A2:C112,3,FALSE)/100)*IF(VLOOKUP(A67,tbMoveset!A2:B112,2,FALSE)="Projectile",Backdoors!N10,Backdoors!N9),0),"")</f>
        <v/>
      </c>
      <c r="IJ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IF67&gt;=0.45,VLOOKUP(Calculator!E23,tbSkills!DH3:DI6,2,FALSE)+IF(AND(Calculator!B8=TRUE,Backdoors!BI37=TRUE),VLOOKUP(Calculator!E23,tbSkills!DH3:DJ6,3,FALSE),0),0))&gt;=100,100,(Backdoors!AI12+IF(IF67&gt;=0.45,VLOOKUP(Calculator!E23,tbSkills!DH3:DI6,2,FALSE)+IF(AND(Calculator!B8=TRUE,Backdoors!BI37=TRUE),VLOOKUP(Calculator!E23,tbSkills!DH3:DJ6,3,FALSE),0),0)))/100)),1))*IF(VLOOKUP(A67,tbMoveset!A2:K112,11,FALSE)=TRUE,Backdoors!AC5,1))*IG67,0),"")</f>
        <v>0</v>
      </c>
      <c r="IK67" s="49">
        <f>VLOOKUP(A67,tbMoveset!A2:G112,7,FALSE)*IFERROR(IF(Backdoors!AI12&gt;=0,1+(IF(Calculator!E40&gt;0,VLOOKUP(Calculator!E40,tbSkills!AI3:AJ5,2,FALSE),Backdoors!AL4)*(IF((Backdoors!AI12+IF(IF67&gt;=0.45,VLOOKUP(Calculator!E23,tbSkills!DH3:DI6,2,FALSE)+IF(AND(Calculator!B8=TRUE,Backdoors!BI37=TRUE),VLOOKUP(Calculator!E23,tbSkills!DH3:DJ6,3,FALSE),0),0))&gt;=100,100,(Backdoors!AI12+IF(IF67&gt;=0.45,VLOOKUP(Calculator!E23,tbSkills!DH3:DI6,2,FALSE)+IF(AND(Calculator!B8=TRUE,Backdoors!BI37=TRUE),VLOOKUP(Calculator!E23,tbSkills!DH3:DJ6,3,FALSE),0),0)))/100)),1),1)</f>
        <v>0.6</v>
      </c>
      <c r="IL67" s="87">
        <f t="shared" si="27"/>
        <v>0</v>
      </c>
      <c r="IM67" s="86" t="str">
        <f>IFERROR(IF(VLOOKUP(A67,tbMoveset!A2:B112,2,FALSE)="Sever",Backdoors!AY38/100,IF(VLOOKUP(A67,tbMoveset!A2:B112,2,FALSE)="Blunt",Backdoors!AZ38/100,Backdoors!BA38/100)),"")</f>
        <v/>
      </c>
      <c r="IN67" s="49">
        <f>IFERROR(IF(VLOOKUP(tbMoveset!A67,tbMoveset!A2:H112,8,FALSE)="Other",IF(VLOOKUP(tbMoveset!A67,tbMoveset!A2:I112,9,FALSE)="Fire",Backdoors!BB38,IF(VLOOKUP(tbMoveset!A67,tbMoveset!A2:I112,9,FALSE)="Water",Backdoors!BC38,IF(VLOOKUP(tbMoveset!A67,tbMoveset!A2:I112,9,FALSE)="Thunder",Backdoors!BD38,IF(VLOOKUP(tbMoveset!A67,tbMoveset!A2:I112,9,FALSE)="Ice",Backdoors!BE38,IF(VLOOKUP(tbMoveset!A67,tbMoveset!A2:I112,9,FALSE)="Dragon",Backdoors!BF38,Backdoors!BG38)))))/100,Backdoors!BG38/100),"")</f>
        <v>0</v>
      </c>
      <c r="IO67" s="49">
        <f>IFERROR(IF(VLOOKUP(A67,tbMoveset!A2:J112,10,FALSE)=TRUE,IF((Backdoors!AI12+IF(IM67&gt;=0.45,VLOOKUP(Calculator!E23,tbSkills!DH3:DI6,2,FALSE)+IF(AND(Calculator!B8=TRUE,Backdoors!BI38=TRUE),VLOOKUP(Calculator!E23,tbSkills!DH3:DJ6,3,FALSE),0),0))&gt;=0,1+(Backdoors!AL2*(IF((Backdoors!AI12+IF(IM67&gt;=0.45,VLOOKUP(Calculator!E23,tbSkills!DH3:DI6,2,FALSE)+IF(AND(Calculator!B8=TRUE,Backdoors!BI38=TRUE),VLOOKUP(Calculator!E23,tbSkills!DH3:DJ6,3,FALSE),0),0))&gt;=100,100,(Backdoors!AI12+IF(IM67&gt;=0.45,VLOOKUP(Calculator!E23,tbSkills!DH3:DI6,2,FALSE)+IF(AND(Calculator!B8=TRUE,Backdoors!BI38=TRUE),VLOOKUP(Calculator!E23,tbSkills!DH3:DJ6,3,FALSE),0),0)))/100)),(1-(0.25*((-Backdoors!AI12-IF(IM67&gt;=0.45,VLOOKUP(Calculator!E23,tbSkills!DH3:DI6,2,FALSE)+IF(AND(Calculator!B8=TRUE,Backdoors!BI38=TRUE),VLOOKUP(Calculator!E23,tbSkills!DH3:DJ6,3,FALSE),0),0))/100)))),1),"")</f>
        <v>1</v>
      </c>
      <c r="IP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M67)*IO67)*(VLOOKUP(A67,tbMoveset!A2:C112,3,FALSE)/100)*IF(VLOOKUP(A67,tbMoveset!A2:B112,2,FALSE)="Projectile",Backdoors!N10,Backdoors!N9),0),"")</f>
        <v/>
      </c>
      <c r="IQ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IM67&gt;=0.45,VLOOKUP(Calculator!E23,tbSkills!DH3:DI6,2,FALSE)+IF(AND(Calculator!B8=TRUE,Backdoors!BI38=TRUE),VLOOKUP(Calculator!E23,tbSkills!DH3:DJ6,3,FALSE),0),0))&gt;=100,100,(Backdoors!AI12+IF(IM67&gt;=0.45,VLOOKUP(Calculator!E23,tbSkills!DH3:DI6,2,FALSE)+IF(AND(Calculator!B8=TRUE,Backdoors!BI38=TRUE),VLOOKUP(Calculator!E23,tbSkills!DH3:DJ6,3,FALSE),0),0)))/100)),1))*IF(VLOOKUP(A67,tbMoveset!A2:K112,11,FALSE)=TRUE,Backdoors!AC5,1))*IN67,0),"")</f>
        <v>0</v>
      </c>
      <c r="IR67" s="49">
        <f>VLOOKUP(A67,tbMoveset!A2:G112,7,FALSE)*IFERROR(IF(Backdoors!AI12&gt;=0,1+(IF(Calculator!E40&gt;0,VLOOKUP(Calculator!E40,tbSkills!AI3:AJ5,2,FALSE),Backdoors!AL4)*(IF((Backdoors!AI12+IF(IM67&gt;=0.45,VLOOKUP(Calculator!E23,tbSkills!DH3:DI6,2,FALSE)+IF(AND(Calculator!B8=TRUE,Backdoors!BI38=TRUE),VLOOKUP(Calculator!E23,tbSkills!DH3:DJ6,3,FALSE),0),0))&gt;=100,100,(Backdoors!AI12+IF(IM67&gt;=0.45,VLOOKUP(Calculator!E23,tbSkills!DH3:DI6,2,FALSE)+IF(AND(Calculator!B8=TRUE,Backdoors!BI38=TRUE),VLOOKUP(Calculator!E23,tbSkills!DH3:DJ6,3,FALSE),0),0)))/100)),1),1)</f>
        <v>0.6</v>
      </c>
      <c r="IS67" s="87">
        <f t="shared" si="42"/>
        <v>0</v>
      </c>
      <c r="IT67" s="86" t="str">
        <f>IFERROR(IF(VLOOKUP(A67,tbMoveset!A2:B112,2,FALSE)="Sever",Backdoors!AY39/100,IF(VLOOKUP(A67,tbMoveset!A2:B112,2,FALSE)="Blunt",Backdoors!AZ39/100,Backdoors!BA39/100)),"")</f>
        <v/>
      </c>
      <c r="IU67" s="49">
        <f>IFERROR(IF(VLOOKUP(tbMoveset!A67,tbMoveset!A2:H112,8,FALSE)="Other",IF(VLOOKUP(tbMoveset!A67,tbMoveset!A2:I112,9,FALSE)="Fire",Backdoors!BB39,IF(VLOOKUP(tbMoveset!A67,tbMoveset!A2:I112,9,FALSE)="Water",Backdoors!BC39,IF(VLOOKUP(tbMoveset!A67,tbMoveset!A2:I112,9,FALSE)="Thunder",Backdoors!BD39,IF(VLOOKUP(tbMoveset!A67,tbMoveset!A2:I112,9,FALSE)="Ice",Backdoors!BE39,IF(VLOOKUP(tbMoveset!A67,tbMoveset!A2:I112,9,FALSE)="Dragon",Backdoors!BF39,Backdoors!BG39)))))/100,Backdoors!BG39/100),"")</f>
        <v>0</v>
      </c>
      <c r="IV67" s="49">
        <f>IFERROR(IF(VLOOKUP(A67,tbMoveset!A2:J112,10,FALSE)=TRUE,IF((Backdoors!AI12+IF(IT67&gt;=0.45,VLOOKUP(Calculator!E23,tbSkills!DH3:DI6,2,FALSE)+IF(AND(Calculator!B8=TRUE,Backdoors!BI39=TRUE),VLOOKUP(Calculator!E23,tbSkills!DH3:DJ6,3,FALSE),0),0))&gt;=0,1+(Backdoors!AL2*(IF((Backdoors!AI12+IF(IT67&gt;=0.45,VLOOKUP(Calculator!E23,tbSkills!DH3:DI6,2,FALSE)+IF(AND(Calculator!B8=TRUE,Backdoors!BI39=TRUE),VLOOKUP(Calculator!E23,tbSkills!DH3:DJ6,3,FALSE),0),0))&gt;=100,100,(Backdoors!AI12+IF(IT67&gt;=0.45,VLOOKUP(Calculator!E23,tbSkills!DH3:DI6,2,FALSE)+IF(AND(Calculator!B8=TRUE,Backdoors!BI39=TRUE),VLOOKUP(Calculator!E23,tbSkills!DH3:DJ6,3,FALSE),0),0)))/100)),(1-(0.25*((-Backdoors!AI12-IF(IT67&gt;=0.45,VLOOKUP(Calculator!E23,tbSkills!DH3:DI6,2,FALSE)+IF(AND(Calculator!B8=TRUE,Backdoors!BI39=TRUE),VLOOKUP(Calculator!E23,tbSkills!DH3:DJ6,3,FALSE),0),0))/100)))),1),"")</f>
        <v>1</v>
      </c>
      <c r="IW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T67)*IV67)*(VLOOKUP(A67,tbMoveset!A2:C112,3,FALSE)/100)*IF(VLOOKUP(A67,tbMoveset!A2:B112,2,FALSE)="Projectile",Backdoors!N10,Backdoors!N9),0),"")</f>
        <v/>
      </c>
      <c r="IX67" s="49">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40&gt;0,VLOOKUP(Calculator!E40,tbSkills!AC3:AD5,2,FALSE),Backdoors!AL3)*(IF((Backdoors!AI12+IF(IT67&gt;=0.45,VLOOKUP(Calculator!E23,tbSkills!DH3:DI6,2,FALSE)+IF(AND(Calculator!B8=TRUE,Backdoors!BI39=TRUE),VLOOKUP(Calculator!E23,tbSkills!DH3:DJ6,3,FALSE),0),0))&gt;=100,100,(Backdoors!AI12+IF(IT67&gt;=0.45,VLOOKUP(Calculator!E23,tbSkills!DH3:DI6,2,FALSE)+IF(AND(Calculator!B8=TRUE,Backdoors!BI39=TRUE),VLOOKUP(Calculator!E23,tbSkills!DH3:DJ6,3,FALSE),0),0)))/100)),1))*IF(VLOOKUP(A67,tbMoveset!A2:K112,11,FALSE)=TRUE,Backdoors!AC5,1))*IU67,0),"")</f>
        <v>0</v>
      </c>
      <c r="IY67" s="49">
        <f>VLOOKUP(A67,tbMoveset!A2:G112,7,FALSE)*IFERROR(IF(Backdoors!AI12&gt;=0,1+(IF(Calculator!E40&gt;0,VLOOKUP(Calculator!E40,tbSkills!AI3:AJ5,2,FALSE),Backdoors!AL4)*(IF((Backdoors!AI12+IF(IT67&gt;=0.45,VLOOKUP(Calculator!E23,tbSkills!DH3:DI6,2,FALSE)+IF(AND(Calculator!B8=TRUE,Backdoors!BI39=TRUE),VLOOKUP(Calculator!E23,tbSkills!DH3:DJ6,3,FALSE),0),0))&gt;=100,100,(Backdoors!AI12+IF(IT67&gt;=0.45,VLOOKUP(Calculator!E23,tbSkills!DH3:DI6,2,FALSE)+IF(AND(Calculator!B8=TRUE,Backdoors!BI39=TRUE),VLOOKUP(Calculator!E23,tbSkills!DH3:DJ6,3,FALSE),0),0)))/100)),1),1)</f>
        <v>0.6</v>
      </c>
      <c r="IZ67" s="87">
        <f t="shared" si="28"/>
        <v>0</v>
      </c>
      <c r="JA67" s="86" t="str">
        <f>IFERROR(IF(VLOOKUP(A67,tbMoveset!A2:B112,2,FALSE)="Sever",Backdoors!AY40/100,IF(VLOOKUP(A67,tbMoveset!A2:B112,2,FALSE)="Blunt",Backdoors!AZ40/100,Backdoors!BA40/100)),"")</f>
        <v/>
      </c>
      <c r="JB67" s="49">
        <f>IFERROR(IF(VLOOKUP(tbMoveset!A67,tbMoveset!A2:H112,8,FALSE)="Other",IF(VLOOKUP(tbMoveset!A67,tbMoveset!A2:I112,9,FALSE)="Fire",Backdoors!BB40,IF(VLOOKUP(tbMoveset!A67,tbMoveset!A2:I112,9,FALSE)="Water",Backdoors!BC40,IF(VLOOKUP(tbMoveset!A67,tbMoveset!A2:I112,9,FALSE)="Thunder",Backdoors!BD40,IF(VLOOKUP(tbMoveset!A67,tbMoveset!A2:I112,9,FALSE)="Ice",Backdoors!BE40,IF(VLOOKUP(tbMoveset!A67,tbMoveset!A2:I112,9,FALSE)="Dragon",Backdoors!BF40,Backdoors!BG40)))))/100,Backdoors!BG40/100),"")</f>
        <v>0</v>
      </c>
      <c r="JC67" s="49">
        <f>IFERROR(IF(VLOOKUP(A67,tbMoveset!A2:J112,10,FALSE)=TRUE,IF((Backdoors!AI12+IF(JA67&gt;=0.45,VLOOKUP(Calculator!E23,tbSkills!DH3:DI6,2,FALSE)+IF(AND(Calculator!B8=TRUE,Backdoors!BI40=TRUE),VLOOKUP(Calculator!E23,tbSkills!DH3:DJ6,3,FALSE),0),0))&gt;=0,1+(Backdoors!AL2*(IF((Backdoors!AI12+IF(JA67&gt;=0.45,VLOOKUP(Calculator!E23,tbSkills!DH3:DI6,2,FALSE)+IF(AND(Calculator!B8=TRUE,Backdoors!BI40=TRUE),VLOOKUP(Calculator!E23,tbSkills!DH3:DJ6,3,FALSE),0),0))&gt;=100,100,(Backdoors!AI12+IF(JA67&gt;=0.45,VLOOKUP(Calculator!E23,tbSkills!DH3:DI6,2,FALSE)+IF(AND(Calculator!B8=TRUE,Backdoors!BI40=TRUE),VLOOKUP(Calculator!E23,tbSkills!DH3:DJ6,3,FALSE),0),0)))/100)),(1-(0.25*((-Backdoors!AI12-IF(JA67&gt;=0.45,VLOOKUP(Calculator!E23,tbSkills!DH3:DI6,2,FALSE)+IF(AND(Calculator!B8=TRUE,Backdoors!BI40=TRUE),VLOOKUP(Calculator!E23,tbSkills!DH3:DJ6,3,FALSE),0),0))/100)))),1),"")</f>
        <v>1</v>
      </c>
      <c r="JD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A67)*JC67)*(VLOOKUP(A67,tbMoveset!A2:C112,3,FALSE)/100)*IF(VLOOKUP(A67,tbMoveset!A2:B112,2,FALSE)="Projectile",Backdoors!N10,Backdoors!N9),0),"")</f>
        <v/>
      </c>
      <c r="JE67" s="49">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42&gt;0,VLOOKUP(Calculator!E42,tbSkills!AC3:AD5,2,FALSE),Backdoors!AL3)*(IF((Backdoors!AI12+IF(JA67&gt;=0.45,VLOOKUP(Calculator!E23,tbSkills!DH3:DI6,2,FALSE)+IF(AND(Calculator!B8=TRUE,Backdoors!BI40=TRUE),VLOOKUP(Calculator!E23,tbSkills!DH3:DJ6,3,FALSE),0),0))&gt;=100,100,(Backdoors!AI12+IF(JA67&gt;=0.45,VLOOKUP(Calculator!E23,tbSkills!DH3:DI6,2,FALSE)+IF(AND(Calculator!B8=TRUE,Backdoors!BI40=TRUE),VLOOKUP(Calculator!E23,tbSkills!DH3:DJ6,3,FALSE),0),0)))/100)),1))*IF(VLOOKUP(A67,tbMoveset!A2:K112,11,FALSE)=TRUE,Backdoors!AC5,1))*JB67,0),"")</f>
        <v>0</v>
      </c>
      <c r="JF67" s="49">
        <f>VLOOKUP(A67,tbMoveset!A2:G112,7,FALSE)*IFERROR(IF(Backdoors!AI12&gt;=0,1+(IF(Calculator!E40&gt;0,VLOOKUP(Calculator!E40,tbSkills!AI3:AJ5,2,FALSE),Backdoors!AL4)*(IF((Backdoors!AI12+IF(JA67&gt;=0.45,VLOOKUP(Calculator!E23,tbSkills!DH3:DI6,2,FALSE)+IF(AND(Calculator!B8=TRUE,Backdoors!BI40=TRUE),VLOOKUP(Calculator!E23,tbSkills!DH3:DJ6,3,FALSE),0),0))&gt;=100,100,(Backdoors!AI12+IF(JA67&gt;=0.45,VLOOKUP(Calculator!E23,tbSkills!DH3:DI6,2,FALSE)+IF(AND(Calculator!B8=TRUE,Backdoors!BI40=TRUE),VLOOKUP(Calculator!E23,tbSkills!DH3:DJ6,3,FALSE),0),0)))/100)),1),1)</f>
        <v>0.6</v>
      </c>
      <c r="JG67" s="87">
        <f t="shared" si="29"/>
        <v>0</v>
      </c>
      <c r="JH67" s="86" t="str">
        <f>IFERROR(IF(VLOOKUP(A67,tbMoveset!A2:B112,2,FALSE)="Sever",Backdoors!AY41/100,IF(VLOOKUP(A67,tbMoveset!A2:B112,2,FALSE)="Blunt",Backdoors!AZ41/100,Backdoors!BA41/100)),"")</f>
        <v/>
      </c>
      <c r="JI67" s="49">
        <f>IFERROR(IF(VLOOKUP(tbMoveset!A67,tbMoveset!A2:H112,8,FALSE)="Other",IF(VLOOKUP(tbMoveset!A67,tbMoveset!A2:I112,9,FALSE)="Fire",Backdoors!BB41,IF(VLOOKUP(tbMoveset!A67,tbMoveset!A2:I112,9,FALSE)="Water",Backdoors!BC41,IF(VLOOKUP(tbMoveset!A67,tbMoveset!A2:I112,9,FALSE)="Thunder",Backdoors!BD41,IF(VLOOKUP(tbMoveset!A67,tbMoveset!A2:I112,9,FALSE)="Ice",Backdoors!BE41,IF(VLOOKUP(tbMoveset!A67,tbMoveset!A2:I112,9,FALSE)="Dragon",Backdoors!BF41,Backdoors!BG41)))))/100,Backdoors!BG41/100),"")</f>
        <v>0</v>
      </c>
      <c r="JJ67" s="49">
        <f>IFERROR(IF(VLOOKUP(A67,tbMoveset!A2:J112,10,FALSE)=TRUE,IF((Backdoors!AI12+IF(JH67&gt;=0.45,VLOOKUP(Calculator!E23,tbSkills!DH3:DI6,2,FALSE)+IF(AND(Calculator!B8=TRUE,Backdoors!BI41=TRUE),VLOOKUP(Calculator!E23,tbSkills!DH3:DJ6,3,FALSE),0),0))&gt;=0,1+(Backdoors!AL2*(IF((Backdoors!AI12+IF(JH67&gt;=0.45,VLOOKUP(Calculator!E23,tbSkills!DH3:DI6,2,FALSE)+IF(AND(Calculator!B8=TRUE,Backdoors!BI41=TRUE),VLOOKUP(Calculator!E23,tbSkills!DH3:DJ6,3,FALSE),0),0))&gt;=100,100,(Backdoors!AI12+IF(JH67&gt;=0.45,VLOOKUP(Calculator!E23,tbSkills!DH3:DI6,2,FALSE)+IF(AND(Calculator!B8=TRUE,Backdoors!BI41=TRUE),VLOOKUP(Calculator!E23,tbSkills!DH3:DJ6,3,FALSE),0),0)))/100)),(1-(0.25*((-Backdoors!AI12-IF(JH67&gt;=0.45,VLOOKUP(Calculator!E23,tbSkills!DH3:DI6,2,FALSE)+IF(AND(Calculator!B8=TRUE,Backdoors!BI41=TRUE),VLOOKUP(Calculator!E23,tbSkills!DH3:DJ6,3,FALSE),0),0))/100)))),1),"")</f>
        <v>1</v>
      </c>
      <c r="JK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H67)*JJ67)*(VLOOKUP(A67,tbMoveset!A2:C112,3,FALSE)/100)*IF(VLOOKUP(A67,tbMoveset!A2:B112,2,FALSE)="Projectile",Backdoors!N10,Backdoors!N9),0),"")</f>
        <v/>
      </c>
      <c r="JL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43&gt;0,VLOOKUP(Calculator!E43,tbSkills!AC3:AD5,2,FALSE),Backdoors!AL3)*(IF((Backdoors!AI12+IF(JH67&gt;=0.45,VLOOKUP(Calculator!E23,tbSkills!DH3:DI6,2,FALSE)+IF(AND(Calculator!B8=TRUE,Backdoors!BI41=TRUE),VLOOKUP(Calculator!E23,tbSkills!DH3:DJ6,3,FALSE),0),0))&gt;=100,100,(Backdoors!AI12+IF(JH67&gt;=0.45,VLOOKUP(Calculator!E23,tbSkills!DH3:DI6,2,FALSE)+IF(AND(Calculator!B8=TRUE,Backdoors!BI41=TRUE),VLOOKUP(Calculator!E23,tbSkills!DH3:DJ6,3,FALSE),0),0)))/100)),1))*IF(VLOOKUP(A67,tbMoveset!A2:K112,11,FALSE)=TRUE,Backdoors!AC5,1))*JI67,0),"")</f>
        <v/>
      </c>
      <c r="JM67" s="49">
        <f>VLOOKUP(A67,tbMoveset!A2:G112,7,FALSE)*IFERROR(IF(Backdoors!AI12&gt;=0,1+(IF(Calculator!E40&gt;0,VLOOKUP(Calculator!E40,tbSkills!AI3:AJ5,2,FALSE),Backdoors!AL4)*(IF((Backdoors!AI12+IF(JH67&gt;=0.45,VLOOKUP(Calculator!E23,tbSkills!DH3:DI6,2,FALSE)+IF(AND(Calculator!B8=TRUE,Backdoors!BI41=TRUE),VLOOKUP(Calculator!E23,tbSkills!DH3:DJ6,3,FALSE),0),0))&gt;=100,100,(Backdoors!AI12+IF(JH67&gt;=0.45,VLOOKUP(Calculator!E23,tbSkills!DH3:DI6,2,FALSE)+IF(AND(Calculator!B8=TRUE,Backdoors!BI41=TRUE),VLOOKUP(Calculator!E23,tbSkills!DH3:DJ6,3,FALSE),0),0)))/100)),1),1)</f>
        <v>0.6</v>
      </c>
      <c r="JN67" s="87">
        <f t="shared" si="30"/>
        <v>0</v>
      </c>
      <c r="JO67" s="86" t="str">
        <f>IFERROR(IF(VLOOKUP(A67,tbMoveset!A2:B112,2,FALSE)="Sever",Backdoors!AY42/100,IF(VLOOKUP(A67,tbMoveset!A2:B112,2,FALSE)="Blunt",Backdoors!AZ42/100,Backdoors!BA42/100)),"")</f>
        <v/>
      </c>
      <c r="JP67" s="49">
        <f>IFERROR(IF(VLOOKUP(tbMoveset!A67,tbMoveset!A2:H112,8,FALSE)="Other",IF(VLOOKUP(tbMoveset!A67,tbMoveset!A2:I112,9,FALSE)="Fire",Backdoors!BB42,IF(VLOOKUP(tbMoveset!A67,tbMoveset!A2:I112,9,FALSE)="Water",Backdoors!BC42,IF(VLOOKUP(tbMoveset!A67,tbMoveset!A2:I112,9,FALSE)="Thunder",Backdoors!BD42,IF(VLOOKUP(tbMoveset!A67,tbMoveset!A2:I112,9,FALSE)="Ice",Backdoors!BE42,IF(VLOOKUP(tbMoveset!A67,tbMoveset!A2:I112,9,FALSE)="Dragon",Backdoors!BF42,Backdoors!BG42)))))/100,Backdoors!BG42/100),"")</f>
        <v>0</v>
      </c>
      <c r="JQ67" s="49">
        <f>IFERROR(IF(VLOOKUP(A67,tbMoveset!A2:J112,10,FALSE)=TRUE,IF((Backdoors!AI12+IF(JO67&gt;=0.45,VLOOKUP(Calculator!E23,tbSkills!DH3:DI6,2,FALSE)+IF(AND(Calculator!B8=TRUE,Backdoors!BI42=TRUE),VLOOKUP(Calculator!E23,tbSkills!DH3:DJ6,3,FALSE),0),0))&gt;=0,1+(Backdoors!AL2*(IF((Backdoors!AI12+IF(JO67&gt;=0.45,VLOOKUP(Calculator!E23,tbSkills!DH3:DI6,2,FALSE)+IF(AND(Calculator!B8=TRUE,Backdoors!BI42=TRUE),VLOOKUP(Calculator!E23,tbSkills!DH3:DJ6,3,FALSE),0),0))&gt;=100,100,(Backdoors!AI12+IF(JO67&gt;=0.45,VLOOKUP(Calculator!E23,tbSkills!DH3:DI6,2,FALSE)+IF(AND(Calculator!B8=TRUE,Backdoors!BI42=TRUE),VLOOKUP(Calculator!E23,tbSkills!DH3:DJ6,3,FALSE),0),0)))/100)),(1-(0.25*((-Backdoors!AI12-IF(JO67&gt;=0.45,VLOOKUP(Calculator!E23,tbSkills!DH3:DI6,2,FALSE)+IF(AND(Calculator!B8=TRUE,Backdoors!BI42=TRUE),VLOOKUP(Calculator!E23,tbSkills!DH3:DJ6,3,FALSE),0),0))/100)))),1),"")</f>
        <v>1</v>
      </c>
      <c r="JR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O67)*JQ67)*(VLOOKUP(A67,tbMoveset!A2:C112,3,FALSE)/100)*IF(VLOOKUP(A67,tbMoveset!A2:B112,2,FALSE)="Projectile",Backdoors!N10,Backdoors!N9),0),"")</f>
        <v/>
      </c>
      <c r="JS67" s="49">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45&gt;0,VLOOKUP(Calculator!E45,tbSkills!AC3:AD5,2,FALSE),Backdoors!AL3)*(IF((Backdoors!AI12+IF(JO67&gt;=0.45,VLOOKUP(Calculator!E23,tbSkills!DH3:DI6,2,FALSE)+IF(AND(Calculator!B8=TRUE,Backdoors!BI42=TRUE),VLOOKUP(Calculator!E23,tbSkills!DH3:DJ6,3,FALSE),0),0))&gt;=100,100,(Backdoors!AI12+IF(JO67&gt;=0.45,VLOOKUP(Calculator!E23,tbSkills!DH3:DI6,2,FALSE)+IF(AND(Calculator!B8=TRUE,Backdoors!BI42=TRUE),VLOOKUP(Calculator!E23,tbSkills!DH3:DJ6,3,FALSE),0),0)))/100)),1))*IF(VLOOKUP(A67,tbMoveset!A2:K112,11,FALSE)=TRUE,Backdoors!AC5,1))*JP67,0),"")</f>
        <v>0</v>
      </c>
      <c r="JT67" s="49">
        <f>VLOOKUP(A67,tbMoveset!A2:G112,7,FALSE)*IFERROR(IF(Backdoors!AI12&gt;=0,1+(IF(Calculator!E40&gt;0,VLOOKUP(Calculator!E40,tbSkills!AI3:AJ5,2,FALSE),Backdoors!AL4)*(IF((Backdoors!AI12+IF(JO67&gt;=0.45,VLOOKUP(Calculator!E23,tbSkills!DH3:DI6,2,FALSE)+IF(AND(Calculator!B8=TRUE,Backdoors!BI42=TRUE),VLOOKUP(Calculator!E23,tbSkills!DH3:DJ6,3,FALSE),0),0))&gt;=100,100,(Backdoors!AI12+IF(JO67&gt;=0.45,VLOOKUP(Calculator!E23,tbSkills!DH3:DI6,2,FALSE)+IF(AND(Calculator!B8=TRUE,Backdoors!BI42=TRUE),VLOOKUP(Calculator!E23,tbSkills!DH3:DJ6,3,FALSE),0),0)))/100)),1),1)</f>
        <v>0.6</v>
      </c>
      <c r="JU67" s="87">
        <f t="shared" si="31"/>
        <v>0</v>
      </c>
      <c r="JV67" s="86" t="str">
        <f>IFERROR(IF(VLOOKUP(A67,tbMoveset!A2:B112,2,FALSE)="Sever",Backdoors!AY43/100,IF(VLOOKUP(A67,tbMoveset!A2:B112,2,FALSE)="Blunt",Backdoors!AZ43/100,Backdoors!BA43/100)),"")</f>
        <v/>
      </c>
      <c r="JW67" s="49">
        <f>IFERROR(IF(VLOOKUP(tbMoveset!A67,tbMoveset!A2:H112,8,FALSE)="Other",IF(VLOOKUP(tbMoveset!A67,tbMoveset!A2:I112,9,FALSE)="Fire",Backdoors!BB43,IF(VLOOKUP(tbMoveset!A67,tbMoveset!A2:I112,9,FALSE)="Water",Backdoors!BC43,IF(VLOOKUP(tbMoveset!A67,tbMoveset!A2:I112,9,FALSE)="Thunder",Backdoors!BD43,IF(VLOOKUP(tbMoveset!A67,tbMoveset!A2:I112,9,FALSE)="Ice",Backdoors!BE43,IF(VLOOKUP(tbMoveset!A67,tbMoveset!A2:I112,9,FALSE)="Dragon",Backdoors!BF43,Backdoors!BG43)))))/100,Backdoors!BG43/100),"")</f>
        <v>0</v>
      </c>
      <c r="JX67" s="49">
        <f>IFERROR(IF(VLOOKUP(A67,tbMoveset!A2:J112,10,FALSE)=TRUE,IF((Backdoors!AI12+IF(JV67&gt;=0.45,VLOOKUP(Calculator!E23,tbSkills!DH3:DI6,2,FALSE)+IF(AND(Calculator!B8=TRUE,Backdoors!BI43=TRUE),VLOOKUP(Calculator!E23,tbSkills!DH3:DJ6,3,FALSE),0),0))&gt;=0,1+(Backdoors!AL2*(IF((Backdoors!AI12+IF(JV67&gt;=0.45,VLOOKUP(Calculator!E23,tbSkills!DH3:DI6,2,FALSE)+IF(AND(Calculator!B8=TRUE,Backdoors!BI43=TRUE),VLOOKUP(Calculator!E23,tbSkills!DH3:DJ6,3,FALSE),0),0))&gt;=100,100,(Backdoors!AI12+IF(JV67&gt;=0.45,VLOOKUP(Calculator!E23,tbSkills!DH3:DI6,2,FALSE)+IF(AND(Calculator!B8=TRUE,Backdoors!BI43=TRUE),VLOOKUP(Calculator!E23,tbSkills!DH3:DJ6,3,FALSE),0),0)))/100)),(1-(0.25*((-Backdoors!AI12-IF(JV67&gt;=0.45,VLOOKUP(Calculator!E23,tbSkills!DH3:DI6,2,FALSE)+IF(AND(Calculator!B8=TRUE,Backdoors!BI43=TRUE),VLOOKUP(Calculator!E23,tbSkills!DH3:DJ6,3,FALSE),0),0))/100)))),1),"")</f>
        <v>1</v>
      </c>
      <c r="JY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V67)*JX67)*(VLOOKUP(A67,tbMoveset!A2:C112,3,FALSE)/100)*IF(VLOOKUP(A67,tbMoveset!A2:B112,2,FALSE)="Projectile",Backdoors!N10,Backdoors!N9),0),"")</f>
        <v/>
      </c>
      <c r="JZ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46&gt;0,VLOOKUP(Calculator!E46,tbSkills!AC3:AD5,2,FALSE),Backdoors!AL3)*(IF((Backdoors!AI12+IF(JV67&gt;=0.45,VLOOKUP(Calculator!E23,tbSkills!DH3:DI6,2,FALSE)+IF(AND(Calculator!B8=TRUE,Backdoors!BI43=TRUE),VLOOKUP(Calculator!E23,tbSkills!DH3:DJ6,3,FALSE),0),0))&gt;=100,100,(Backdoors!AI12+IF(JV67&gt;=0.45,VLOOKUP(Calculator!E23,tbSkills!DH3:DI6,2,FALSE)+IF(AND(Calculator!B8=TRUE,Backdoors!BI43=TRUE),VLOOKUP(Calculator!E23,tbSkills!DH3:DJ6,3,FALSE),0),0)))/100)),1))*IF(VLOOKUP(A67,tbMoveset!A2:K112,11,FALSE)=TRUE,Backdoors!AC5,1))*JW67,0),"")</f>
        <v/>
      </c>
      <c r="KA67" s="49">
        <f>VLOOKUP(A67,tbMoveset!A2:G112,7,FALSE)*IFERROR(IF(Backdoors!AI12&gt;=0,1+(IF(Calculator!E40&gt;0,VLOOKUP(Calculator!E40,tbSkills!AI3:AJ5,2,FALSE),Backdoors!AL4)*(IF((Backdoors!AI12+IF(JV67&gt;=0.45,VLOOKUP(Calculator!E23,tbSkills!DH3:DI6,2,FALSE)+IF(AND(Calculator!B8=TRUE,Backdoors!BI43=TRUE),VLOOKUP(Calculator!E23,tbSkills!DH3:DJ6,3,FALSE),0),0))&gt;=100,100,(Backdoors!AI12+IF(JV67&gt;=0.45,VLOOKUP(Calculator!E23,tbSkills!DH3:DI6,2,FALSE)+IF(AND(Calculator!B8=TRUE,Backdoors!BI43=TRUE),VLOOKUP(Calculator!E23,tbSkills!DH3:DJ6,3,FALSE),0),0)))/100)),1),1)</f>
        <v>0.6</v>
      </c>
      <c r="KB67" s="87">
        <f t="shared" si="32"/>
        <v>0</v>
      </c>
      <c r="KC67" s="86" t="str">
        <f>IFERROR(IF(VLOOKUP(A67,tbMoveset!A2:B112,2,FALSE)="Sever",Backdoors!AY44/100,IF(VLOOKUP(A67,tbMoveset!A2:B112,2,FALSE)="Blunt",Backdoors!AZ44/100,Backdoors!BA44/100)),"")</f>
        <v/>
      </c>
      <c r="KD67" s="49">
        <f>IFERROR(IF(VLOOKUP(tbMoveset!A67,tbMoveset!A2:H112,8,FALSE)="Other",IF(VLOOKUP(tbMoveset!A67,tbMoveset!A2:I112,9,FALSE)="Fire",Backdoors!BB44,IF(VLOOKUP(tbMoveset!A67,tbMoveset!A2:I112,9,FALSE)="Water",Backdoors!BC44,IF(VLOOKUP(tbMoveset!A67,tbMoveset!A2:I112,9,FALSE)="Thunder",Backdoors!BD44,IF(VLOOKUP(tbMoveset!A67,tbMoveset!A2:I112,9,FALSE)="Ice",Backdoors!BE44,IF(VLOOKUP(tbMoveset!A67,tbMoveset!A2:I112,9,FALSE)="Dragon",Backdoors!BF44,Backdoors!BG44)))))/100,Backdoors!BG44/100),"")</f>
        <v>0</v>
      </c>
      <c r="KE67" s="49">
        <f>IFERROR(IF(VLOOKUP(A67,tbMoveset!A2:J112,10,FALSE)=TRUE,IF((Backdoors!AI12+IF(KC67&gt;=0.45,VLOOKUP(Calculator!E23,tbSkills!DH3:DI6,2,FALSE)+IF(AND(Calculator!B8=TRUE,Backdoors!BI44=TRUE),VLOOKUP(Calculator!E23,tbSkills!DH3:DJ6,3,FALSE),0),0))&gt;=0,1+(Backdoors!AL2*(IF((Backdoors!AI12+IF(KC67&gt;=0.45,VLOOKUP(Calculator!E23,tbSkills!DH3:DI6,2,FALSE)+IF(AND(Calculator!B8=TRUE,Backdoors!BI44=TRUE),VLOOKUP(Calculator!E23,tbSkills!DH3:DJ6,3,FALSE),0),0))&gt;=100,100,(Backdoors!AI12+IF(KC67&gt;=0.45,VLOOKUP(Calculator!E23,tbSkills!DH3:DI6,2,FALSE)+IF(AND(Calculator!B8=TRUE,Backdoors!BI44=TRUE),VLOOKUP(Calculator!E23,tbSkills!DH3:DJ6,3,FALSE),0),0)))/100)),(1-(0.25*((-Backdoors!AI12-IF(KC67&gt;=0.45,VLOOKUP(Calculator!E23,tbSkills!DH3:DI6,2,FALSE)+IF(AND(Calculator!B8=TRUE,Backdoors!BI44=TRUE),VLOOKUP(Calculator!E23,tbSkills!DH3:DJ6,3,FALSE),0),0))/100)))),1),"")</f>
        <v>1</v>
      </c>
      <c r="KF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KC67)*KE67)*(VLOOKUP(A67,tbMoveset!A2:C112,3,FALSE)/100)*IF(VLOOKUP(A67,tbMoveset!A2:B112,2,FALSE)="Projectile",Backdoors!N10,Backdoors!N9),0),"")</f>
        <v/>
      </c>
      <c r="KG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REF!&gt;0,VLOOKUP(Calculator!#REF!,tbSkills!AC3:AD5,2,FALSE),Backdoors!AL3)*(IF((Backdoors!AI12+IF(KC67&gt;=0.45,VLOOKUP(Calculator!E23,tbSkills!DH3:DI6,2,FALSE)+IF(AND(Calculator!B8=TRUE,Backdoors!BI44=TRUE),VLOOKUP(Calculator!E23,tbSkills!DH3:DJ6,3,FALSE),0),0))&gt;=100,100,(Backdoors!AI12+IF(KC67&gt;=0.45,VLOOKUP(Calculator!E23,tbSkills!DH3:DI6,2,FALSE)+IF(AND(Calculator!B8=TRUE,Backdoors!BI44=TRUE),VLOOKUP(Calculator!E23,tbSkills!DH3:DJ6,3,FALSE),0),0)))/100)),1))*IF(VLOOKUP(A67,tbMoveset!A2:K112,11,FALSE)=TRUE,Backdoors!AC5,1))*KD67,0),"")</f>
        <v/>
      </c>
      <c r="KH67" s="49">
        <f>VLOOKUP(A67,tbMoveset!A2:G112,7,FALSE)*IFERROR(IF(Backdoors!AI12&gt;=0,1+(IF(Calculator!E40&gt;0,VLOOKUP(Calculator!E40,tbSkills!AI3:AJ5,2,FALSE),Backdoors!AL4)*(IF((Backdoors!AI12+IF(KC67&gt;=0.45,VLOOKUP(Calculator!E23,tbSkills!DH3:DI6,2,FALSE)+IF(AND(Calculator!B8=TRUE,Backdoors!BI44=TRUE),VLOOKUP(Calculator!E23,tbSkills!DH3:DJ6,3,FALSE),0),0))&gt;=100,100,(Backdoors!AI12+IF(KC67&gt;=0.45,VLOOKUP(Calculator!E23,tbSkills!DH3:DI6,2,FALSE)+IF(AND(Calculator!B8=TRUE,Backdoors!BI44=TRUE),VLOOKUP(Calculator!E23,tbSkills!DH3:DJ6,3,FALSE),0),0)))/100)),1),1)</f>
        <v>0.6</v>
      </c>
      <c r="KI67" s="87">
        <f t="shared" si="33"/>
        <v>0</v>
      </c>
      <c r="KJ67" s="86" t="str">
        <f>IFERROR(IF(VLOOKUP(A67,tbMoveset!A2:B112,2,FALSE)="Sever",Backdoors!AY45/100,IF(VLOOKUP(A67,tbMoveset!A2:B112,2,FALSE)="Blunt",Backdoors!AZ45/100,Backdoors!BA45/100)),"")</f>
        <v/>
      </c>
      <c r="KK67" s="49">
        <f>IFERROR(IF(VLOOKUP(tbMoveset!A67,tbMoveset!A2:H112,8,FALSE)="Other",IF(VLOOKUP(tbMoveset!A67,tbMoveset!A2:I112,9,FALSE)="Fire",Backdoors!BB45,IF(VLOOKUP(tbMoveset!A67,tbMoveset!A2:I112,9,FALSE)="Water",Backdoors!BC45,IF(VLOOKUP(tbMoveset!A67,tbMoveset!A2:I112,9,FALSE)="Thunder",Backdoors!BD45,IF(VLOOKUP(tbMoveset!A67,tbMoveset!A2:I112,9,FALSE)="Ice",Backdoors!BE45,IF(VLOOKUP(tbMoveset!A67,tbMoveset!A2:I112,9,FALSE)="Dragon",Backdoors!BF45,Backdoors!BG45)))))/100,Backdoors!BG45/100),"")</f>
        <v>0</v>
      </c>
      <c r="KL67" s="49">
        <f>IFERROR(IF(VLOOKUP(A67,tbMoveset!A2:J112,10,FALSE)=TRUE,IF((Backdoors!AI12+IF(KJ67&gt;=0.45,VLOOKUP(Calculator!E23,tbSkills!DH3:DI6,2,FALSE)+IF(AND(Calculator!B8=TRUE,Backdoors!BI45=TRUE),VLOOKUP(Calculator!E23,tbSkills!DH3:DJ6,3,FALSE),0),0))&gt;=0,1+(Backdoors!AL2*(IF((Backdoors!AI12+IF(KJ67&gt;=0.45,VLOOKUP(Calculator!E23,tbSkills!DH3:DI6,2,FALSE)+IF(AND(Calculator!B8=TRUE,Backdoors!BI45=TRUE),VLOOKUP(Calculator!E23,tbSkills!DH3:DJ6,3,FALSE),0),0))&gt;=100,100,(Backdoors!AI12+IF(KJ67&gt;=0.45,VLOOKUP(Calculator!E23,tbSkills!DH3:DI6,2,FALSE)+IF(AND(Calculator!B8=TRUE,Backdoors!BI45=TRUE),VLOOKUP(Calculator!E23,tbSkills!DH3:DJ6,3,FALSE),0),0)))/100)),(1-(0.25*((-Backdoors!AI12-IF(KJ67&gt;=0.45,VLOOKUP(Calculator!E23,tbSkills!DH3:DI6,2,FALSE)+IF(AND(Calculator!B8=TRUE,Backdoors!BI45=TRUE),VLOOKUP(Calculator!E23,tbSkills!DH3:DJ6,3,FALSE),0),0))/100)))),1),"")</f>
        <v>1</v>
      </c>
      <c r="KM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KJ67)*KL67)*(VLOOKUP(A67,tbMoveset!A2:C112,3,FALSE)/100)*IF(VLOOKUP(A67,tbMoveset!A2:B112,2,FALSE)="Projectile",Backdoors!N10,Backdoors!N9),0),"")</f>
        <v/>
      </c>
      <c r="KN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REF!&gt;0,VLOOKUP(Calculator!#REF!,tbSkills!AC3:AD5,2,FALSE),Backdoors!AL3)*(IF((Backdoors!AI12+IF(KJ67&gt;=0.45,VLOOKUP(Calculator!E23,tbSkills!DH3:DI6,2,FALSE)+IF(AND(Calculator!B8=TRUE,Backdoors!BI45=TRUE),VLOOKUP(Calculator!E23,tbSkills!DH3:DJ6,3,FALSE),0),0))&gt;=100,100,(Backdoors!AI12+IF(KJ67&gt;=0.45,VLOOKUP(Calculator!E23,tbSkills!DH3:DI6,2,FALSE)+IF(AND(Calculator!B8=TRUE,Backdoors!BI45=TRUE),VLOOKUP(Calculator!E23,tbSkills!DH3:DJ6,3,FALSE),0),0)))/100)),1))*IF(VLOOKUP(A67,tbMoveset!A2:K112,11,FALSE)=TRUE,Backdoors!AC5,1))*KK67,0),"")</f>
        <v/>
      </c>
      <c r="KO67" s="49">
        <f>VLOOKUP(A67,tbMoveset!A2:G112,7,FALSE)*IFERROR(IF(Backdoors!AI12&gt;=0,1+(IF(Calculator!E40&gt;0,VLOOKUP(Calculator!E40,tbSkills!AI3:AJ5,2,FALSE),Backdoors!AL4)*(IF((Backdoors!AI12+IF(KJ67&gt;=0.45,VLOOKUP(Calculator!E23,tbSkills!DH3:DI6,2,FALSE)+IF(AND(Calculator!B8=TRUE,Backdoors!BI45=TRUE),VLOOKUP(Calculator!E23,tbSkills!DH3:DJ6,3,FALSE),0),0))&gt;=100,100,(Backdoors!AI12+IF(KJ67&gt;=0.45,VLOOKUP(Calculator!E23,tbSkills!DH3:DI6,2,FALSE)+IF(AND(Calculator!B8=TRUE,Backdoors!BI45=TRUE),VLOOKUP(Calculator!E23,tbSkills!DH3:DJ6,3,FALSE),0),0)))/100)),1),1)</f>
        <v>0.6</v>
      </c>
      <c r="KP67" s="87">
        <f t="shared" si="34"/>
        <v>0</v>
      </c>
      <c r="KQ67" s="86" t="str">
        <f>IFERROR(IF(VLOOKUP(A67,tbMoveset!A2:B112,2,FALSE)="Sever",Backdoors!AY46/100,IF(VLOOKUP(A67,tbMoveset!A2:B112,2,FALSE)="Blunt",Backdoors!AZ46/100,Backdoors!BA46/100)),"")</f>
        <v/>
      </c>
      <c r="KR67" s="49">
        <f>IFERROR(IF(VLOOKUP(tbMoveset!A67,tbMoveset!A2:H112,8,FALSE)="Other",IF(VLOOKUP(tbMoveset!A67,tbMoveset!A2:I112,9,FALSE)="Fire",Backdoors!BB46,IF(VLOOKUP(tbMoveset!A67,tbMoveset!A2:I112,9,FALSE)="Water",Backdoors!BC46,IF(VLOOKUP(tbMoveset!A67,tbMoveset!A2:I112,9,FALSE)="Thunder",Backdoors!BD46,IF(VLOOKUP(tbMoveset!A67,tbMoveset!A2:I112,9,FALSE)="Ice",Backdoors!BE46,IF(VLOOKUP(tbMoveset!A67,tbMoveset!A2:I112,9,FALSE)="Dragon",Backdoors!BF46,Backdoors!BG46)))))/100,Backdoors!BG46/100),"")</f>
        <v>0</v>
      </c>
      <c r="KS67" s="49">
        <f>IFERROR(IF(VLOOKUP(A67,tbMoveset!A2:J112,10,FALSE)=TRUE,IF((Backdoors!AI12+IF(KQ67&gt;=0.45,VLOOKUP(Calculator!E23,tbSkills!DH3:DI6,2,FALSE)+IF(AND(Calculator!B8=TRUE,Backdoors!BI46=TRUE),VLOOKUP(Calculator!E23,tbSkills!DH3:DJ6,3,FALSE),0),0))&gt;=0,1+(Backdoors!AL2*(IF((Backdoors!AI12+IF(KQ67&gt;=0.45,VLOOKUP(Calculator!E23,tbSkills!DH3:DI6,2,FALSE)+IF(AND(Calculator!B8=TRUE,Backdoors!BI46=TRUE),VLOOKUP(Calculator!E23,tbSkills!DH3:DJ6,3,FALSE),0),0))&gt;=100,100,(Backdoors!AI12+IF(KQ67&gt;=0.45,VLOOKUP(Calculator!E23,tbSkills!DH3:DI6,2,FALSE)+IF(AND(Calculator!B8=TRUE,Backdoors!BI46=TRUE),VLOOKUP(Calculator!E23,tbSkills!DH3:DJ6,3,FALSE),0),0)))/100)),(1-(0.25*((-Backdoors!AI12-IF(KQ67&gt;=0.45,VLOOKUP(Calculator!E23,tbSkills!DH3:DI6,2,FALSE)+IF(AND(Calculator!B8=TRUE,Backdoors!BI46=TRUE),VLOOKUP(Calculator!E23,tbSkills!DH3:DJ6,3,FALSE),0),0))/100)))),1),"")</f>
        <v>1</v>
      </c>
      <c r="KT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KQ67)*KS67)*(VLOOKUP(A67,tbMoveset!A2:C112,3,FALSE)/100)*IF(VLOOKUP(A67,tbMoveset!A2:B112,2,FALSE)="Projectile",Backdoors!N10,Backdoors!N9),0),"")</f>
        <v/>
      </c>
      <c r="KU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REF!&gt;0,VLOOKUP(Calculator!#REF!,tbSkills!AC3:AD5,2,FALSE),Backdoors!AL3)*(IF((Backdoors!AI12+IF(KQ67&gt;=0.45,VLOOKUP(Calculator!E23,tbSkills!DH3:DI6,2,FALSE)+IF(AND(Calculator!B8=TRUE,Backdoors!BI46=TRUE),VLOOKUP(Calculator!E23,tbSkills!DH3:DJ6,3,FALSE),0),0))&gt;=100,100,(Backdoors!AI12+IF(KQ67&gt;=0.45,VLOOKUP(Calculator!E23,tbSkills!DH3:DI6,2,FALSE)+IF(AND(Calculator!B8=TRUE,Backdoors!BI46=TRUE),VLOOKUP(Calculator!E23,tbSkills!DH3:DJ6,3,FALSE),0),0)))/100)),1))*IF(VLOOKUP(A67,tbMoveset!A2:K112,11,FALSE)=TRUE,Backdoors!AC5,1))*KR67,0),"")</f>
        <v/>
      </c>
      <c r="KV67" s="49">
        <f>VLOOKUP(A67,tbMoveset!A2:G112,7,FALSE)*IFERROR(IF(Backdoors!AI12&gt;=0,1+(IF(Calculator!E40&gt;0,VLOOKUP(Calculator!E40,tbSkills!AI3:AJ5,2,FALSE),Backdoors!AL4)*(IF((Backdoors!AI12+IF(KQ67&gt;=0.45,VLOOKUP(Calculator!E23,tbSkills!DH3:DI6,2,FALSE)+IF(AND(Calculator!B8=TRUE,Backdoors!BI46=TRUE),VLOOKUP(Calculator!E23,tbSkills!DH3:DJ6,3,FALSE),0),0))&gt;=100,100,(Backdoors!AI12+IF(KQ67&gt;=0.45,VLOOKUP(Calculator!E23,tbSkills!DH3:DI6,2,FALSE)+IF(AND(Calculator!B8=TRUE,Backdoors!BI46=TRUE),VLOOKUP(Calculator!E23,tbSkills!DH3:DJ6,3,FALSE),0),0)))/100)),1),1)</f>
        <v>0.6</v>
      </c>
      <c r="KW67" s="87">
        <f t="shared" si="35"/>
        <v>0</v>
      </c>
    </row>
    <row r="68" spans="1:309" x14ac:dyDescent="0.25">
      <c r="A68" s="95" t="str">
        <f>tbMoveset!A68</f>
        <v>Blade Dance (R7)</v>
      </c>
      <c r="B68" s="86">
        <f>IFERROR(IF(VLOOKUP(A68,tbMoveset!A2:B112,2,FALSE)="Sever",Backdoors!AY3/100,IF(VLOOKUP(A68,tbMoveset!A2:B112,2,FALSE)="Blunt",Backdoors!AZ3/100,Backdoors!BA3/100)),"")</f>
        <v>0.8</v>
      </c>
      <c r="C68" s="49">
        <f>IFERROR(IF(VLOOKUP(tbMoveset!A68,tbMoveset!A2:H112,8,FALSE)="Other",IF(VLOOKUP(tbMoveset!A68,tbMoveset!A2:I112,9,FALSE)="Fire",Backdoors!BB3,IF(VLOOKUP(tbMoveset!A68,tbMoveset!A2:I112,9,FALSE)="Water",Backdoors!BC3,IF(VLOOKUP(tbMoveset!A68,tbMoveset!A2:I112,9,FALSE)="Thunder",Backdoors!BD3,IF(VLOOKUP(tbMoveset!A68,tbMoveset!A2:I112,9,FALSE)="Ice",Backdoors!BE3,IF(VLOOKUP(tbMoveset!A68,tbMoveset!A2:I112,9,FALSE)="Dragon",Backdoors!BF3,Backdoors!BG3)))))/100,Backdoors!BG3/100),"")</f>
        <v>0</v>
      </c>
      <c r="D68" s="49">
        <f>IFERROR(IF(VLOOKUP(A68,tbMoveset!A2:J112,10,FALSE)=TRUE,IF((Backdoors!AI12+IF(B68&gt;=0.45,VLOOKUP(Calculator!E23,tbSkills!DH3:DI6,2,FALSE)+IF(AND(Calculator!B8=TRUE,Backdoors!BI3=TRUE),VLOOKUP(Calculator!E23,tbSkills!DH3:DJ6,3,FALSE),0),0))&gt;=0,1+(Backdoors!AL2*(IF((Backdoors!AI12+IF(B68&gt;=0.45,VLOOKUP(Calculator!E23,tbSkills!DH3:DI6,2,FALSE)+IF(AND(Calculator!B8=TRUE,Backdoors!BI3=TRUE),VLOOKUP(Calculator!E23,tbSkills!DH3:DJ6,3,FALSE),0),0))&gt;=100,100,(Backdoors!AI12+IF(B68&gt;=0.45,VLOOKUP(Calculator!E23,tbSkills!DH3:DI6,2,FALSE)+IF(AND(Calculator!B8=TRUE,Backdoors!BI3=TRUE),VLOOKUP(Calculator!E23,tbSkills!DH3:DJ6,3,FALSE),0),0)))/100)),(1-(0.25*((-Backdoors!AI12-IF(B68&gt;=0.45,VLOOKUP(Calculator!E23,tbSkills!DH3:DI6,2,FALSE)+IF(AND(Calculator!B8=TRUE,Backdoors!BI3=TRUE),VLOOKUP(Calculator!E23,tbSkills!DH3:DJ6,3,FALSE),0),0))/100)))),1),"")</f>
        <v>1</v>
      </c>
      <c r="E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68)*D68)*(VLOOKUP(A68,tbMoveset!A2:C112,3,FALSE)/100)*IF(VLOOKUP(A68,tbMoveset!A2:B112,2,FALSE)="Projectile",Backdoors!N10,Backdoors!N9),0),"")</f>
        <v>8</v>
      </c>
      <c r="F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68&gt;=0.45,VLOOKUP(Calculator!E23,tbSkills!DH3:DI6,2,FALSE)+IF(AND(Calculator!B8=TRUE,Backdoors!BI3=TRUE),VLOOKUP(Calculator!E23,tbSkills!DH3:DJ6,3,FALSE),0),0))&gt;=100,100,(Backdoors!AI12+IF(B68&gt;=0.45,VLOOKUP(Calculator!E23,tbSkills!DH3:DI6,2,FALSE)+IF(AND(Calculator!B8=TRUE,Backdoors!BI3=TRUE),VLOOKUP(Calculator!E23,tbSkills!DH3:DJ6,3,FALSE),0),0)))/100)),1))*IF(VLOOKUP(A68,tbMoveset!A2:K112,11,FALSE)=TRUE,Backdoors!AC5,1))*C68,0),"")</f>
        <v>0</v>
      </c>
      <c r="G68">
        <f>VLOOKUP(A68,tbMoveset!A2:G112,7,FALSE)*IFERROR(IF(Backdoors!AI12&gt;=0,1+(IF(Calculator!E40&gt;0,VLOOKUP(Calculator!E40,tbSkills!AI3:AJ5,2,FALSE),Backdoors!AL4)*(IF((Backdoors!AI12+IF(B68&gt;=0.45,VLOOKUP(Calculator!E23,tbSkills!DH3:DI6,2,FALSE)+IF(AND(Calculator!B8=TRUE,Backdoors!BI3=TRUE),VLOOKUP(Calculator!E23,tbSkills!DH3:DJ6,3,FALSE),0),0))&gt;=100,100,(Backdoors!AI12+IF(B68&gt;=0.45,VLOOKUP(Calculator!E23,tbSkills!DH3:DI6,2,FALSE)+IF(AND(Calculator!B8=TRUE,Backdoors!BI3=TRUE),VLOOKUP(Calculator!E23,tbSkills!DH3:DJ6,3,FALSE),0),0)))/100)),1),1)</f>
        <v>0.6</v>
      </c>
      <c r="H68" s="87">
        <f t="shared" si="51"/>
        <v>8</v>
      </c>
      <c r="I68" s="86">
        <f>IFERROR(IF(VLOOKUP(A68,tbMoveset!A2:B112,2,FALSE)="Sever",Backdoors!AY4/100,IF(VLOOKUP(A68,tbMoveset!A2:B112,2,FALSE)="Blunt",Backdoors!AZ4/100,Backdoors!BA4/100)),"")</f>
        <v>0.65</v>
      </c>
      <c r="J68" s="49">
        <f>IFERROR(IF(VLOOKUP(tbMoveset!A68,tbMoveset!A2:H112,8,FALSE)="Other",IF(VLOOKUP(tbMoveset!A68,tbMoveset!A2:I112,9,FALSE)="Fire",Backdoors!BB4,IF(VLOOKUP(tbMoveset!A68,tbMoveset!A2:I112,9,FALSE)="Water",Backdoors!BC4,IF(VLOOKUP(tbMoveset!A68,tbMoveset!A2:I112,9,FALSE)="Thunder",Backdoors!BD4,IF(VLOOKUP(tbMoveset!A68,tbMoveset!A2:I112,9,FALSE)="Ice",Backdoors!BE4,IF(VLOOKUP(tbMoveset!A68,tbMoveset!A2:I112,9,FALSE)="Dragon",Backdoors!BF4,Backdoors!BG4)))))/100,Backdoors!BG4/100),"")</f>
        <v>0</v>
      </c>
      <c r="K68" s="49">
        <f>IFERROR(IF(VLOOKUP(A68,tbMoveset!A2:J112,10,FALSE)=TRUE,IF((Backdoors!AI12+IF(I68&gt;=0.45,VLOOKUP(Calculator!E23,tbSkills!DH3:DI6,2,FALSE)+IF(AND(Calculator!B8=TRUE,Backdoors!BI4=TRUE),VLOOKUP(Calculator!E23,tbSkills!DH3:DJ6,3,FALSE),0),0))&gt;=0,1+(Backdoors!AL2*(IF((Backdoors!AI12+IF(I68&gt;=0.45,VLOOKUP(Calculator!E23,tbSkills!DH3:DI6,2,FALSE)+IF(AND(Calculator!B8=TRUE,Backdoors!BI4=TRUE),VLOOKUP(Calculator!E23,tbSkills!DH3:DJ6,3,FALSE),0),0))&gt;=100,100,(Backdoors!AI12+IF(I68&gt;=0.45,VLOOKUP(Calculator!E23,tbSkills!DH3:DI6,2,FALSE)+IF(AND(Calculator!B8=TRUE,Backdoors!BI4=TRUE),VLOOKUP(Calculator!E23,tbSkills!DH3:DJ6,3,FALSE),0),0)))/100)),(1-(0.25*((-Backdoors!AI12-IF(I68&gt;=0.45,VLOOKUP(Calculator!E23,tbSkills!DH3:DI6,2,FALSE)+IF(AND(Calculator!B8=TRUE,Backdoors!BI4=TRUE),VLOOKUP(Calculator!E23,tbSkills!DH3:DJ6,3,FALSE),0),0))/100)))),1),"")</f>
        <v>1</v>
      </c>
      <c r="L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68)*K68)*(VLOOKUP(A68,tbMoveset!A2:C112,3,FALSE)/100)*IF(VLOOKUP(A68,tbMoveset!A2:B112,2,FALSE)="Projectile",Backdoors!N10,Backdoors!N9),0),"")</f>
        <v>7</v>
      </c>
      <c r="M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I68&gt;=0.45,VLOOKUP(Calculator!E23,tbSkills!DH3:DI6,2,FALSE)+IF(AND(Calculator!B8=TRUE,Backdoors!BI4=TRUE),VLOOKUP(Calculator!E23,tbSkills!DH3:DJ6,3,FALSE),0),0))&gt;=100,100,(Backdoors!AI12+IF(I68&gt;=0.45,VLOOKUP(Calculator!E23,tbSkills!DH3:DI6,2,FALSE)+IF(AND(Calculator!B8=TRUE,Backdoors!BI4=TRUE),VLOOKUP(Calculator!E23,tbSkills!DH3:DJ6,3,FALSE),0),0)))/100)),1))*IF(VLOOKUP(A68,tbMoveset!A2:K112,11,FALSE)=TRUE,Backdoors!AC5,1))*J68,0),"")</f>
        <v>0</v>
      </c>
      <c r="N68" s="49">
        <f>VLOOKUP(A68,tbMoveset!A2:G112,7,FALSE)*IFERROR(IF(Backdoors!AI12&gt;=0,1+(IF(Calculator!E40&gt;0,VLOOKUP(Calculator!E40,tbSkills!AI3:AJ5,2,FALSE),Backdoors!AL4)*(IF((Backdoors!AI12+IF(I68&gt;=0.45,VLOOKUP(Calculator!E23,tbSkills!DH3:DI6,2,FALSE)+IF(AND(Calculator!B8=TRUE,Backdoors!BI4=TRUE),VLOOKUP(Calculator!E23,tbSkills!DH3:DJ6,3,FALSE),0),0))&gt;=100,100,(Backdoors!AI12+IF(I68&gt;=0.45,VLOOKUP(Calculator!E23,tbSkills!DH3:DI6,2,FALSE)+IF(AND(Calculator!B8=TRUE,Backdoors!BI4=TRUE),VLOOKUP(Calculator!E23,tbSkills!DH3:DJ6,3,FALSE),0),0)))/100)),1),1)</f>
        <v>0.6</v>
      </c>
      <c r="O68" s="87">
        <f t="shared" si="52"/>
        <v>7</v>
      </c>
      <c r="P68" s="86">
        <f>IFERROR(IF(VLOOKUP(A68,tbMoveset!A2:B112,2,FALSE)="Sever",Backdoors!AY5/100,IF(VLOOKUP(A68,tbMoveset!A2:B112,2,FALSE)="Blunt",Backdoors!AZ5/100,Backdoors!BA5/100)),"")</f>
        <v>0.5</v>
      </c>
      <c r="Q68" s="49">
        <f>IFERROR(IF(VLOOKUP(tbMoveset!A68,tbMoveset!A2:H112,8,FALSE)="Other",IF(VLOOKUP(tbMoveset!A68,tbMoveset!A2:I112,9,FALSE)="Fire",Backdoors!BB5,IF(VLOOKUP(tbMoveset!A68,tbMoveset!A2:I112,9,FALSE)="Water",Backdoors!BC5,IF(VLOOKUP(tbMoveset!A68,tbMoveset!A2:I112,9,FALSE)="Thunder",Backdoors!BD5,IF(VLOOKUP(tbMoveset!A68,tbMoveset!A2:I112,9,FALSE)="Ice",Backdoors!BE5,IF(VLOOKUP(tbMoveset!A68,tbMoveset!A2:I112,9,FALSE)="Dragon",Backdoors!BF5,Backdoors!BG5)))))/100,Backdoors!BG5/100),"")</f>
        <v>0</v>
      </c>
      <c r="R68" s="49">
        <f>IFERROR(IF(VLOOKUP(A68,tbMoveset!A2:J112,10,FALSE)=TRUE,IF((Backdoors!AI12+IF(P68&gt;=0.45,VLOOKUP(Calculator!E23,tbSkills!DH3:DI6,2,FALSE)+IF(AND(Calculator!B8=TRUE,Backdoors!BI5=TRUE),VLOOKUP(Calculator!E23,tbSkills!DH3:DJ6,3,FALSE),0),0))&gt;=0,1+(Backdoors!AL2*(IF((Backdoors!AI12+IF(P68&gt;=0.45,VLOOKUP(Calculator!E23,tbSkills!DH3:DI6,2,FALSE)+IF(AND(Calculator!B8=TRUE,Backdoors!BI5=TRUE),VLOOKUP(Calculator!E23,tbSkills!DH3:DJ6,3,FALSE),0),0))&gt;=100,100,(Backdoors!AI12+IF(P68&gt;=0.45,VLOOKUP(Calculator!E23,tbSkills!DH3:DI6,2,FALSE)+IF(AND(Calculator!B8=TRUE,Backdoors!BI5=TRUE),VLOOKUP(Calculator!E23,tbSkills!DH3:DJ6,3,FALSE),0),0)))/100)),(1-(0.25*((-Backdoors!AI12-IF(P68&gt;=0.45,VLOOKUP(Calculator!E23,tbSkills!DH3:DI6,2,FALSE)+IF(AND(Calculator!B8=TRUE,Backdoors!BI5=TRUE),VLOOKUP(Calculator!E23,tbSkills!DH3:DJ6,3,FALSE),0),0))/100)))),1),"")</f>
        <v>1</v>
      </c>
      <c r="S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P68)*R68)*(VLOOKUP(A68,tbMoveset!A2:C112,3,FALSE)/100)*IF(VLOOKUP(A68,tbMoveset!A2:B112,2,FALSE)="Projectile",Backdoors!N10,Backdoors!N9),0),"")</f>
        <v>5</v>
      </c>
      <c r="T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P68&gt;=0.45,VLOOKUP(Calculator!E23,tbSkills!DH3:DI6,2,FALSE)+IF(AND(Calculator!B8=TRUE,Backdoors!BI5=TRUE),VLOOKUP(Calculator!E23,tbSkills!DH3:DJ6,3,FALSE),0),0))&gt;=100,100,(Backdoors!AI12+IF(P68&gt;=0.45,VLOOKUP(Calculator!E23,tbSkills!DH3:DI6,2,FALSE)+IF(AND(Calculator!B8=TRUE,Backdoors!BI5=TRUE),VLOOKUP(Calculator!E23,tbSkills!DH3:DJ6,3,FALSE),0),0)))/100)),1))*IF(VLOOKUP(A68,tbMoveset!A2:K112,11,FALSE)=TRUE,Backdoors!AC5,1))*Q68,0),"")</f>
        <v>0</v>
      </c>
      <c r="U68" s="49">
        <f>VLOOKUP(A68,tbMoveset!A2:G112,7,FALSE)*IFERROR(IF(Backdoors!AI12&gt;=0,1+(IF(Calculator!E40&gt;0,VLOOKUP(Calculator!E40,tbSkills!AI3:AJ5,2,FALSE),Backdoors!AL4)*(IF((Backdoors!AI12+IF(P68&gt;=0.45,VLOOKUP(Calculator!E23,tbSkills!DH3:DI6,2,FALSE)+IF(AND(Calculator!B8=TRUE,Backdoors!BI5=TRUE),VLOOKUP(Calculator!E23,tbSkills!DH3:DJ6,3,FALSE),0),0))&gt;=100,100,(Backdoors!AI12+IF(P68&gt;=0.45,VLOOKUP(Calculator!E23,tbSkills!DH3:DI6,2,FALSE)+IF(AND(Calculator!B8=TRUE,Backdoors!BI5=TRUE),VLOOKUP(Calculator!E23,tbSkills!DH3:DJ6,3,FALSE),0),0)))/100)),1),1)</f>
        <v>0.6</v>
      </c>
      <c r="V68" s="87">
        <f t="shared" si="53"/>
        <v>5</v>
      </c>
      <c r="W68" s="86">
        <f>IFERROR(IF(VLOOKUP(A68,tbMoveset!A2:B112,2,FALSE)="Sever",Backdoors!AY6/100,IF(VLOOKUP(A68,tbMoveset!A2:B112,2,FALSE)="Blunt",Backdoors!AZ6/100,Backdoors!BA6/100)),"")</f>
        <v>0.45</v>
      </c>
      <c r="X68" s="49">
        <f>IFERROR(IF(VLOOKUP(tbMoveset!A68,tbMoveset!A2:H112,8,FALSE)="Other",IF(VLOOKUP(tbMoveset!A68,tbMoveset!A2:I112,9,FALSE)="Fire",Backdoors!BB6,IF(VLOOKUP(tbMoveset!A68,tbMoveset!A2:I112,9,FALSE)="Water",Backdoors!BC6,IF(VLOOKUP(tbMoveset!A68,tbMoveset!A2:I112,9,FALSE)="Thunder",Backdoors!BD6,IF(VLOOKUP(tbMoveset!A68,tbMoveset!A2:I112,9,FALSE)="Ice",Backdoors!BE6,IF(VLOOKUP(tbMoveset!A68,tbMoveset!A2:I112,9,FALSE)="Dragon",Backdoors!BF6,Backdoors!BG6)))))/100,Backdoors!BG6/100),"")</f>
        <v>0</v>
      </c>
      <c r="Y68" s="49">
        <f>IFERROR(IF(VLOOKUP(A68,tbMoveset!A2:J112,10,FALSE)=TRUE,IF((Backdoors!AI12+IF(W68&gt;=0.45,VLOOKUP(Calculator!E23,tbSkills!DH3:DI6,2,FALSE)+IF(AND(Calculator!B8=TRUE,Backdoors!BI6=TRUE),VLOOKUP(Calculator!E23,tbSkills!DH3:DJ6,3,FALSE),0),0))&gt;=0,1+(Backdoors!AL2*(IF((Backdoors!AI12+IF(W68&gt;=0.45,VLOOKUP(Calculator!E23,tbSkills!DH3:DI6,2,FALSE)+IF(AND(Calculator!B8=TRUE,Backdoors!BI6=TRUE),VLOOKUP(Calculator!E23,tbSkills!DH3:DJ6,3,FALSE),0),0))&gt;=100,100,(Backdoors!AI12+IF(W68&gt;=0.45,VLOOKUP(Calculator!E23,tbSkills!DH3:DI6,2,FALSE)+IF(AND(Calculator!B8=TRUE,Backdoors!BI6=TRUE),VLOOKUP(Calculator!E23,tbSkills!DH3:DJ6,3,FALSE),0),0)))/100)),(1-(0.25*((-Backdoors!AI12-IF(W68&gt;=0.45,VLOOKUP(Calculator!E23,tbSkills!DH3:DI6,2,FALSE)+IF(AND(Calculator!B8=TRUE,Backdoors!BI6=TRUE),VLOOKUP(Calculator!E23,tbSkills!DH3:DJ6,3,FALSE),0),0))/100)))),1),"")</f>
        <v>1</v>
      </c>
      <c r="Z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W68)*Y68)*(VLOOKUP(A68,tbMoveset!A2:C112,3,FALSE)/100)*IF(VLOOKUP(A68,tbMoveset!A2:B112,2,FALSE)="Projectile",Backdoors!N10,Backdoors!N9),0),"")</f>
        <v>5</v>
      </c>
      <c r="AA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W68&gt;=0.45,VLOOKUP(Calculator!E23,tbSkills!DH3:DI6,2,FALSE)+IF(AND(Calculator!B8=TRUE,Backdoors!BI6=TRUE),VLOOKUP(Calculator!E23,tbSkills!DH3:DJ6,3,FALSE),0),0))&gt;=100,100,(Backdoors!AI12+IF(W68&gt;=0.45,VLOOKUP(Calculator!E23,tbSkills!DH3:DI6,2,FALSE)+IF(AND(Calculator!B8=TRUE,Backdoors!BI6=TRUE),VLOOKUP(Calculator!E23,tbSkills!DH3:DJ6,3,FALSE),0),0)))/100)),1))*IF(VLOOKUP(A68,tbMoveset!A2:K112,11,FALSE)=TRUE,Backdoors!AC5,1))*X68,0),"")</f>
        <v>0</v>
      </c>
      <c r="AB68" s="49">
        <f>VLOOKUP(A68,tbMoveset!A2:G112,7,FALSE)*IFERROR(IF(Backdoors!AI12&gt;=0,1+(IF(Calculator!E40&gt;0,VLOOKUP(Calculator!E40,tbSkills!AI3:AJ5,2,FALSE),Backdoors!AL4)*(IF((Backdoors!AI12+IF(W68&gt;=0.45,VLOOKUP(Calculator!E23,tbSkills!DH3:DI6,2,FALSE)+IF(AND(Calculator!B8=TRUE,Backdoors!BI6=TRUE),VLOOKUP(Calculator!E23,tbSkills!DH3:DJ6,3,FALSE),0),0))&gt;=100,100,(Backdoors!AI12+IF(W68&gt;=0.45,VLOOKUP(Calculator!E23,tbSkills!DH3:DI6,2,FALSE)+IF(AND(Calculator!B8=TRUE,Backdoors!BI6=TRUE),VLOOKUP(Calculator!E23,tbSkills!DH3:DJ6,3,FALSE),0),0)))/100)),1),1)</f>
        <v>0.6</v>
      </c>
      <c r="AC68" s="87">
        <f t="shared" si="54"/>
        <v>5</v>
      </c>
      <c r="AD68" s="86">
        <f>IFERROR(IF(VLOOKUP(A68,tbMoveset!A2:B112,2,FALSE)="Sever",Backdoors!AY7/100,IF(VLOOKUP(A68,tbMoveset!A2:B112,2,FALSE)="Blunt",Backdoors!AZ7/100,Backdoors!BA7/100)),"")</f>
        <v>0.65</v>
      </c>
      <c r="AE68" s="49">
        <f>IFERROR(IF(VLOOKUP(tbMoveset!A68,tbMoveset!A2:H112,8,FALSE)="Other",IF(VLOOKUP(tbMoveset!A68,tbMoveset!A2:I112,9,FALSE)="Fire",Backdoors!BB7,IF(VLOOKUP(tbMoveset!A68,tbMoveset!A2:I112,9,FALSE)="Water",Backdoors!BC7,IF(VLOOKUP(tbMoveset!A68,tbMoveset!A2:I112,9,FALSE)="Thunder",Backdoors!BD7,IF(VLOOKUP(tbMoveset!A68,tbMoveset!A2:I112,9,FALSE)="Ice",Backdoors!BE7,IF(VLOOKUP(tbMoveset!A68,tbMoveset!A2:I112,9,FALSE)="Dragon",Backdoors!BF7,Backdoors!BG7)))))/100,Backdoors!BG7/100),"")</f>
        <v>0</v>
      </c>
      <c r="AF68" s="49">
        <f>IFERROR(IF(VLOOKUP(A68,tbMoveset!A2:J112,10,FALSE)=TRUE,IF((Backdoors!AI12+IF(AD68&gt;=0.45,VLOOKUP(Calculator!E23,tbSkills!DH3:DI6,2,FALSE)+IF(AND(Calculator!B8=TRUE,Backdoors!BI7=TRUE),VLOOKUP(Calculator!E23,tbSkills!DH3:DJ6,3,FALSE),0),0))&gt;=0,1+(Backdoors!AL2*(IF((Backdoors!AI12+IF(AD68&gt;=0.45,VLOOKUP(Calculator!E23,tbSkills!DH3:DI6,2,FALSE)+IF(AND(Calculator!B8=TRUE,Backdoors!BI7=TRUE),VLOOKUP(Calculator!E23,tbSkills!DH3:DJ6,3,FALSE),0),0))&gt;=100,100,(Backdoors!AI12+IF(AD68&gt;=0.45,VLOOKUP(Calculator!E23,tbSkills!DH3:DI6,2,FALSE)+IF(AND(Calculator!B8=TRUE,Backdoors!BI7=TRUE),VLOOKUP(Calculator!E23,tbSkills!DH3:DJ6,3,FALSE),0),0)))/100)),(1-(0.25*((-Backdoors!AI12-IF(AD68&gt;=0.45,VLOOKUP(Calculator!E23,tbSkills!DH3:DI6,2,FALSE)+IF(AND(Calculator!B8=TRUE,Backdoors!BI7=TRUE),VLOOKUP(Calculator!E23,tbSkills!DH3:DJ6,3,FALSE),0),0))/100)))),1),"")</f>
        <v>1</v>
      </c>
      <c r="AG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D68)*AF68)*(VLOOKUP(A68,tbMoveset!A2:C112,3,FALSE)/100)*IF(VLOOKUP(A68,tbMoveset!A2:B112,2,FALSE)="Projectile",Backdoors!N10,Backdoors!N9),0),"")</f>
        <v>7</v>
      </c>
      <c r="AH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D68&gt;=0.45,VLOOKUP(Calculator!E23,tbSkills!DH3:DI6,2,FALSE)+IF(AND(Calculator!B8=TRUE,Backdoors!BI7=TRUE),VLOOKUP(Calculator!E23,tbSkills!DH3:DJ6,3,FALSE),0),0))&gt;=100,100,(Backdoors!AI12+IF(AD68&gt;=0.45,VLOOKUP(Calculator!E23,tbSkills!DH3:DI6,2,FALSE)+IF(AND(Calculator!B8=TRUE,Backdoors!BI7=TRUE),VLOOKUP(Calculator!E23,tbSkills!DH3:DJ6,3,FALSE),0),0)))/100)),1))*IF(VLOOKUP(A68,tbMoveset!A2:K112,11,FALSE)=TRUE,Backdoors!AC5,1))*AE68,0),"")</f>
        <v>0</v>
      </c>
      <c r="AI68" s="49">
        <f>VLOOKUP(A68,tbMoveset!A2:G112,7,FALSE)*IFERROR(IF(Backdoors!AI12&gt;=0,1+(IF(Calculator!E40&gt;0,VLOOKUP(Calculator!E40,tbSkills!AI3:AJ5,2,FALSE),Backdoors!AL4)*(IF((Backdoors!AI12+IF(AD68&gt;=0.45,VLOOKUP(Calculator!E23,tbSkills!DH3:DI6,2,FALSE)+IF(AND(Calculator!B8=TRUE,Backdoors!BI7=TRUE),VLOOKUP(Calculator!E23,tbSkills!DH3:DJ6,3,FALSE),0),0))&gt;=100,100,(Backdoors!AI12+IF(AD68&gt;=0.45,VLOOKUP(Calculator!E23,tbSkills!DH3:DI6,2,FALSE)+IF(AND(Calculator!B8=TRUE,Backdoors!BI7=TRUE),VLOOKUP(Calculator!E23,tbSkills!DH3:DJ6,3,FALSE),0),0)))/100)),1),1)</f>
        <v>0.6</v>
      </c>
      <c r="AJ68" s="87">
        <f t="shared" si="55"/>
        <v>7</v>
      </c>
      <c r="AK68" s="91">
        <f>IFERROR(IF(VLOOKUP(A68,tbMoveset!A2:B112,2,FALSE)="Sever",Backdoors!AY8/100,IF(VLOOKUP(A68,tbMoveset!A2:B112,2,FALSE)="Blunt",Backdoors!AZ8/100,Backdoors!BA8/100)),"")</f>
        <v>0.45</v>
      </c>
      <c r="AL68" s="49">
        <f>IFERROR(IF(VLOOKUP(tbMoveset!A68,tbMoveset!A2:H112,8,FALSE)="Other",IF(VLOOKUP(tbMoveset!A68,tbMoveset!A2:I112,9,FALSE)="Fire",Backdoors!BB8,IF(VLOOKUP(tbMoveset!A68,tbMoveset!A2:I112,9,FALSE)="Water",Backdoors!BC8,IF(VLOOKUP(tbMoveset!A68,tbMoveset!A2:I112,9,FALSE)="Thunder",Backdoors!BD8,IF(VLOOKUP(tbMoveset!A68,tbMoveset!A2:I112,9,FALSE)="Ice",Backdoors!BE8,IF(VLOOKUP(tbMoveset!A68,tbMoveset!A2:I112,9,FALSE)="Dragon",Backdoors!BF8,Backdoors!BG8)))))/100,Backdoors!BG8/100),"")</f>
        <v>0</v>
      </c>
      <c r="AM68" s="49">
        <f>IFERROR(IF(VLOOKUP(A68,tbMoveset!A2:J112,10,FALSE)=TRUE,IF((Backdoors!AI12+IF(AK68&gt;=0.45,VLOOKUP(Calculator!E23,tbSkills!DH3:DI6,2,FALSE)+IF(AND(Calculator!B8=TRUE,Backdoors!BI8=TRUE),VLOOKUP(Calculator!E23,tbSkills!DH3:DJ6,3,FALSE),0),0))&gt;=0,1+(Backdoors!AL2*(IF((Backdoors!AI12+IF(AK68&gt;=0.45,VLOOKUP(Calculator!E23,tbSkills!DH3:DI6,2,FALSE)+IF(AND(Calculator!B8=TRUE,Backdoors!BI8=TRUE),VLOOKUP(Calculator!E23,tbSkills!DH3:DJ6,3,FALSE),0),0))&gt;=100,100,(Backdoors!AI12+IF(AK68&gt;=0.45,VLOOKUP(Calculator!E23,tbSkills!DH3:DI6,2,FALSE)+IF(AND(Calculator!B8=TRUE,Backdoors!BI8=TRUE),VLOOKUP(Calculator!E23,tbSkills!DH3:DJ6,3,FALSE),0),0)))/100)),(1-(0.25*((-Backdoors!AI12-IF(AK68&gt;=0.45,VLOOKUP(Calculator!E23,tbSkills!DH3:DI6,2,FALSE)+IF(AND(Calculator!B8=TRUE,Backdoors!BI8=TRUE),VLOOKUP(Calculator!E23,tbSkills!DH3:DJ6,3,FALSE),0),0))/100)))),1),"")</f>
        <v>1</v>
      </c>
      <c r="AN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K68)*AM68)*(VLOOKUP(A68,tbMoveset!A2:C112,3,FALSE)/100)*IF(VLOOKUP(A68,tbMoveset!A2:B112,2,FALSE)="Projectile",Backdoors!N10,Backdoors!N9),0),"")</f>
        <v>5</v>
      </c>
      <c r="AO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K68&gt;=0.45,VLOOKUP(Calculator!E23,tbSkills!DH3:DI6,2,FALSE)+IF(AND(Calculator!B8=TRUE,Backdoors!BI8=TRUE),VLOOKUP(Calculator!E23,tbSkills!DH3:DJ6,3,FALSE),0),0))&gt;=100,100,(Backdoors!AI12+IF(AK68&gt;=0.45,VLOOKUP(Calculator!E23,tbSkills!DH3:DI6,2,FALSE)+IF(AND(Calculator!B8=TRUE,Backdoors!BI8=TRUE),VLOOKUP(Calculator!E23,tbSkills!DH3:DJ6,3,FALSE),0),0)))/100)),1))*IF(VLOOKUP(A68,tbMoveset!A2:K112,11,FALSE)=TRUE,Backdoors!AC5,1))*AL68,0),"")</f>
        <v>0</v>
      </c>
      <c r="AP68" s="49">
        <f>VLOOKUP(A68,tbMoveset!A2:G112,7,FALSE)*IFERROR(IF(Backdoors!AI12&gt;=0,1+(IF(Calculator!E40&gt;0,VLOOKUP(Calculator!E40,tbSkills!AI3:AJ5,2,FALSE),Backdoors!AL4)*(IF((Backdoors!AI12+IF(AK68&gt;=0.45,VLOOKUP(Calculator!E23,tbSkills!DH3:DI6,2,FALSE)+IF(AND(Calculator!B8=TRUE,Backdoors!BI8=TRUE),VLOOKUP(Calculator!E23,tbSkills!DH3:DJ6,3,FALSE),0),0))&gt;=100,100,(Backdoors!AI12+IF(AK68&gt;=0.45,VLOOKUP(Calculator!E23,tbSkills!DH3:DI6,2,FALSE)+IF(AND(Calculator!B8=TRUE,Backdoors!BI8=TRUE),VLOOKUP(Calculator!E23,tbSkills!DH3:DJ6,3,FALSE),0),0)))/100)),1),1)</f>
        <v>0.6</v>
      </c>
      <c r="AQ68" s="87">
        <f t="shared" si="56"/>
        <v>5</v>
      </c>
      <c r="AR68" s="86">
        <f>IFERROR(IF(VLOOKUP(A68,tbMoveset!A2:B112,2,FALSE)="Sever",Backdoors!AY9/100,IF(VLOOKUP(A68,tbMoveset!A2:B112,2,FALSE)="Blunt",Backdoors!AZ9/100,Backdoors!BA9/100)),"")</f>
        <v>0.45</v>
      </c>
      <c r="AS68" s="49">
        <f>IFERROR(IF(VLOOKUP(tbMoveset!A68,tbMoveset!A2:H112,8,FALSE)="Other",IF(VLOOKUP(tbMoveset!A68,tbMoveset!A2:I112,9,FALSE)="Fire",Backdoors!BB9,IF(VLOOKUP(tbMoveset!A68,tbMoveset!A2:I112,9,FALSE)="Water",Backdoors!BC9,IF(VLOOKUP(tbMoveset!A68,tbMoveset!A2:I112,9,FALSE)="Thunder",Backdoors!BD9,IF(VLOOKUP(tbMoveset!A68,tbMoveset!A2:I112,9,FALSE)="Ice",Backdoors!BE9,IF(VLOOKUP(tbMoveset!A68,tbMoveset!A2:I112,9,FALSE)="Dragon",Backdoors!BF9,Backdoors!BG9)))))/100,Backdoors!BG9/100),"")</f>
        <v>0</v>
      </c>
      <c r="AT68" s="49">
        <f>IFERROR(IF(VLOOKUP(A68,tbMoveset!A2:J112,10,FALSE)=TRUE,IF((Backdoors!AI12+IF(AR68&gt;=0.45,VLOOKUP(Calculator!E23,tbSkills!DH3:DI6,2,FALSE)+IF(AND(Calculator!B8=TRUE,Backdoors!BI9=TRUE),VLOOKUP(Calculator!E23,tbSkills!DH3:DJ6,3,FALSE),0),0))&gt;=0,1+(Backdoors!AL2*(IF((Backdoors!AI12+IF(AR68&gt;=0.45,VLOOKUP(Calculator!E23,tbSkills!DH3:DI6,2,FALSE)+IF(AND(Calculator!B8=TRUE,Backdoors!BI9=TRUE),VLOOKUP(Calculator!E23,tbSkills!DH3:DJ6,3,FALSE),0),0))&gt;=100,100,(Backdoors!AI12+IF(AR68&gt;=0.45,VLOOKUP(Calculator!E23,tbSkills!DH3:DI6,2,FALSE)+IF(AND(Calculator!B8=TRUE,Backdoors!BI9=TRUE),VLOOKUP(Calculator!E23,tbSkills!DH3:DJ6,3,FALSE),0),0)))/100)),(1-(0.25*((-Backdoors!AI12-IF(AR68&gt;=0.45,VLOOKUP(Calculator!E23,tbSkills!DH3:DI6,2,FALSE)+IF(AND(Calculator!B8=TRUE,Backdoors!BI9=TRUE),VLOOKUP(Calculator!E23,tbSkills!DH3:DJ6,3,FALSE),0),0))/100)))),1),"")</f>
        <v>1</v>
      </c>
      <c r="AU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R68)*AT68)*(VLOOKUP(A68,tbMoveset!A2:C112,3,FALSE)/100)*IF(VLOOKUP(A68,tbMoveset!A2:B112,2,FALSE)="Projectile",Backdoors!N10,Backdoors!N9),0),"")</f>
        <v>5</v>
      </c>
      <c r="AV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R68&gt;=0.45,VLOOKUP(Calculator!E23,tbSkills!DH3:DI6,2,FALSE)+IF(AND(Calculator!B8=TRUE,Backdoors!BI9=TRUE),VLOOKUP(Calculator!E23,tbSkills!DH3:DJ6,3,FALSE),0),0))&gt;=100,100,(Backdoors!AI12+IF(AR68&gt;=0.45,VLOOKUP(Calculator!E23,tbSkills!DH3:DI6,2,FALSE)+IF(AND(Calculator!B8=TRUE,Backdoors!BI9=TRUE),VLOOKUP(Calculator!E23,tbSkills!DH3:DJ6,3,FALSE),0),0)))/100)),1))*IF(VLOOKUP(A68,tbMoveset!A2:K112,11,FALSE)=TRUE,Backdoors!AC5,1))*AS68,0),"")</f>
        <v>0</v>
      </c>
      <c r="AW68" s="49">
        <f>VLOOKUP(A68,tbMoveset!A2:G112,7,FALSE)*IFERROR(IF(Backdoors!AI12&gt;=0,1+(IF(Calculator!E40&gt;0,VLOOKUP(Calculator!E40,tbSkills!AI3:AJ5,2,FALSE),Backdoors!AL4)*(IF((Backdoors!AI12+IF(AR68&gt;=0.45,VLOOKUP(Calculator!E23,tbSkills!DH3:DI6,2,FALSE)+IF(AND(Calculator!B8=TRUE,Backdoors!BI9=TRUE),VLOOKUP(Calculator!E23,tbSkills!DH3:DJ6,3,FALSE),0),0))&gt;=100,100,(Backdoors!AI12+IF(AR68&gt;=0.45,VLOOKUP(Calculator!E23,tbSkills!DH3:DI6,2,FALSE)+IF(AND(Calculator!B8=TRUE,Backdoors!BI9=TRUE),VLOOKUP(Calculator!E23,tbSkills!DH3:DJ6,3,FALSE),0),0)))/100)),1),1)</f>
        <v>0.6</v>
      </c>
      <c r="AX68" s="87">
        <f t="shared" si="57"/>
        <v>5</v>
      </c>
      <c r="AY68" s="86">
        <f>IFERROR(IF(VLOOKUP(A68,tbMoveset!A2:B112,2,FALSE)="Sever",Backdoors!AY10/100,IF(VLOOKUP(A68,tbMoveset!A2:B112,2,FALSE)="Blunt",Backdoors!AZ10/100,Backdoors!BA10/100)),"")</f>
        <v>0.9</v>
      </c>
      <c r="AZ68" s="49">
        <f>IFERROR(IF(VLOOKUP(tbMoveset!A68,tbMoveset!A2:H112,8,FALSE)="Other",IF(VLOOKUP(tbMoveset!A68,tbMoveset!A2:I112,9,FALSE)="Fire",Backdoors!BB10,IF(VLOOKUP(tbMoveset!A68,tbMoveset!A2:I112,9,FALSE)="Water",Backdoors!BC10,IF(VLOOKUP(tbMoveset!A68,tbMoveset!A2:I112,9,FALSE)="Thunder",Backdoors!BD10,IF(VLOOKUP(tbMoveset!A68,tbMoveset!A2:I112,9,FALSE)="Ice",Backdoors!BE10,IF(VLOOKUP(tbMoveset!A68,tbMoveset!A2:I112,9,FALSE)="Dragon",Backdoors!BF10,Backdoors!BG10)))))/100,Backdoors!BG10/100),"")</f>
        <v>0</v>
      </c>
      <c r="BA68" s="49">
        <f>IFERROR(IF(VLOOKUP(A68,tbMoveset!A2:J112,10,FALSE)=TRUE,IF((Backdoors!AI12+IF(AY68&gt;=0.45,VLOOKUP(Calculator!E23,tbSkills!DH3:DI6,2,FALSE)+IF(AND(Calculator!B8=TRUE,Backdoors!BI10=TRUE),VLOOKUP(Calculator!E23,tbSkills!DH3:DJ6,3,FALSE),0),0))&gt;=0,1+(Backdoors!AL2*(IF((Backdoors!AI12+IF(AY68&gt;=0.45,VLOOKUP(Calculator!E23,tbSkills!DH3:DI6,2,FALSE)+IF(AND(Calculator!B8=TRUE,Backdoors!BI10=TRUE),VLOOKUP(Calculator!E23,tbSkills!DH3:DJ6,3,FALSE),0),0))&gt;=100,100,(Backdoors!AI12+IF(AY68&gt;=0.45,VLOOKUP(Calculator!E23,tbSkills!DH3:DI6,2,FALSE)+IF(AND(Calculator!B8=TRUE,Backdoors!BI10=TRUE),VLOOKUP(Calculator!E23,tbSkills!DH3:DJ6,3,FALSE),0),0)))/100)),(1-(0.25*((-Backdoors!AI12-IF(AY68&gt;=0.45,VLOOKUP(Calculator!E23,tbSkills!DH3:DI6,2,FALSE)+IF(AND(Calculator!B8=TRUE,Backdoors!BI10=TRUE),VLOOKUP(Calculator!E23,tbSkills!DH3:DJ6,3,FALSE),0),0))/100)))),1),"")</f>
        <v>1</v>
      </c>
      <c r="BB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Y68)*BA68)*(VLOOKUP(A68,tbMoveset!A2:C112,3,FALSE)/100)*IF(VLOOKUP(A68,tbMoveset!A2:B112,2,FALSE)="Projectile",Backdoors!N10,Backdoors!N9),0),"")</f>
        <v>9</v>
      </c>
      <c r="BC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Y68&gt;=0.45,VLOOKUP(Calculator!E23,tbSkills!DH3:DI6,2,FALSE)+IF(AND(Calculator!B8=TRUE,Backdoors!BI10=TRUE),VLOOKUP(Calculator!E23,tbSkills!DH3:DJ6,3,FALSE),0),0))&gt;=100,100,(Backdoors!AI12+IF(AY68&gt;=0.45,VLOOKUP(Calculator!E23,tbSkills!DH3:DI6,2,FALSE)+IF(AND(Calculator!B8=TRUE,Backdoors!BI10=TRUE),VLOOKUP(Calculator!E23,tbSkills!DH3:DJ6,3,FALSE),0),0)))/100)),1))*IF(VLOOKUP(A68,tbMoveset!A2:K112,11,FALSE)=TRUE,Backdoors!AC5,1))*AZ68,0),"")</f>
        <v>0</v>
      </c>
      <c r="BD68" s="49">
        <f>VLOOKUP(A68,tbMoveset!A2:G112,7,FALSE)*IFERROR(IF(Backdoors!AI12&gt;=0,1+(IF(Calculator!E40&gt;0,VLOOKUP(Calculator!E40,tbSkills!AI3:AJ5,2,FALSE),Backdoors!AL4)*(IF((Backdoors!AI12+IF(AY68&gt;=0.45,VLOOKUP(Calculator!E23,tbSkills!DH3:DI6,2,FALSE)+IF(AND(Calculator!B8=TRUE,Backdoors!BI10=TRUE),VLOOKUP(Calculator!E23,tbSkills!DH3:DJ6,3,FALSE),0),0))&gt;=100,100,(Backdoors!AI12+IF(AY68&gt;=0.45,VLOOKUP(Calculator!E23,tbSkills!DH3:DI6,2,FALSE)+IF(AND(Calculator!B8=TRUE,Backdoors!BI10=TRUE),VLOOKUP(Calculator!E23,tbSkills!DH3:DJ6,3,FALSE),0),0)))/100)),1),1)</f>
        <v>0.6</v>
      </c>
      <c r="BE68" s="87">
        <f t="shared" si="58"/>
        <v>9</v>
      </c>
      <c r="BF68" s="86" t="str">
        <f>IFERROR(IF(VLOOKUP(A68,tbMoveset!A2:B112,2,FALSE)="Sever",Backdoors!AY11/100,IF(VLOOKUP(A68,tbMoveset!A2:B112,2,FALSE)="Blunt",Backdoors!AZ11/100,Backdoors!BA11/100)),"")</f>
        <v/>
      </c>
      <c r="BG68" s="49">
        <f>IFERROR(IF(VLOOKUP(tbMoveset!A68,tbMoveset!A2:H112,8,FALSE)="Other",IF(VLOOKUP(tbMoveset!A68,tbMoveset!A2:I112,9,FALSE)="Fire",Backdoors!BB11,IF(VLOOKUP(tbMoveset!A68,tbMoveset!A2:I112,9,FALSE)="Water",Backdoors!BC11,IF(VLOOKUP(tbMoveset!A68,tbMoveset!A2:I112,9,FALSE)="Thunder",Backdoors!BD11,IF(VLOOKUP(tbMoveset!A68,tbMoveset!A2:I112,9,FALSE)="Ice",Backdoors!BE11,IF(VLOOKUP(tbMoveset!A68,tbMoveset!A2:I112,9,FALSE)="Dragon",Backdoors!BF11,Backdoors!BG11)))))/100,Backdoors!BG11/100),"")</f>
        <v>0</v>
      </c>
      <c r="BH68" s="49">
        <f>IFERROR(IF(VLOOKUP(A68,tbMoveset!A2:J112,10,FALSE)=TRUE,IF((Backdoors!AI12+IF(BF68&gt;=0.45,VLOOKUP(Calculator!E23,tbSkills!DH3:DI6,2,FALSE)+IF(AND(Calculator!B8=TRUE,Backdoors!BI11=TRUE),VLOOKUP(Calculator!E23,tbSkills!DH3:DJ6,3,FALSE),0),0))&gt;=0,1+(Backdoors!AL2*(IF((Backdoors!AI12+IF(BF68&gt;=0.45,VLOOKUP(Calculator!E23,tbSkills!DH3:DI6,2,FALSE)+IF(AND(Calculator!B8=TRUE,Backdoors!BI11=TRUE),VLOOKUP(Calculator!E23,tbSkills!DH3:DJ6,3,FALSE),0),0))&gt;=100,100,(Backdoors!AI12+IF(BF68&gt;=0.45,VLOOKUP(Calculator!E23,tbSkills!DH3:DI6,2,FALSE)+IF(AND(Calculator!B8=TRUE,Backdoors!BI11=TRUE),VLOOKUP(Calculator!E23,tbSkills!DH3:DJ6,3,FALSE),0),0)))/100)),(1-(0.25*((-Backdoors!AI12-IF(BF68&gt;=0.45,VLOOKUP(Calculator!E23,tbSkills!DH3:DI6,2,FALSE)+IF(AND(Calculator!B8=TRUE,Backdoors!BI11=TRUE),VLOOKUP(Calculator!E23,tbSkills!DH3:DJ6,3,FALSE),0),0))/100)))),1),"")</f>
        <v>1</v>
      </c>
      <c r="BI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F68)*BH68)*(VLOOKUP(A68,tbMoveset!A2:C112,3,FALSE)/100)*IF(VLOOKUP(A68,tbMoveset!A2:B112,2,FALSE)="Projectile",Backdoors!N10,Backdoors!N9),0),"")</f>
        <v/>
      </c>
      <c r="BJ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F68&gt;=0.45,VLOOKUP(Calculator!E23,tbSkills!DH3:DI6,2,FALSE)+IF(AND(Calculator!B8=TRUE,Backdoors!BI11=TRUE),VLOOKUP(Calculator!E23,tbSkills!DH3:DJ6,3,FALSE),0),0))&gt;=100,100,(Backdoors!AI12+IF(BF68&gt;=0.45,VLOOKUP(Calculator!E23,tbSkills!DH3:DI6,2,FALSE)+IF(AND(Calculator!B8=TRUE,Backdoors!BI11=TRUE),VLOOKUP(Calculator!E23,tbSkills!DH3:DJ6,3,FALSE),0),0)))/100)),1))*IF(VLOOKUP(A68,tbMoveset!A2:K112,11,FALSE)=TRUE,Backdoors!AC5,1))*BG68,0),"")</f>
        <v>0</v>
      </c>
      <c r="BK68" s="49">
        <f>VLOOKUP(A68,tbMoveset!A2:G112,7,FALSE)*IFERROR(IF(Backdoors!AI12&gt;=0,1+(IF(Calculator!E40&gt;0,VLOOKUP(Calculator!E40,tbSkills!AI3:AJ5,2,FALSE),Backdoors!AL4)*(IF((Backdoors!AI12+IF(BF68&gt;=0.45,VLOOKUP(Calculator!E23,tbSkills!DH3:DI6,2,FALSE)+IF(AND(Calculator!B8=TRUE,Backdoors!BI11=TRUE),VLOOKUP(Calculator!E23,tbSkills!DH3:DJ6,3,FALSE),0),0))&gt;=100,100,(Backdoors!AI12+IF(BF68&gt;=0.45,VLOOKUP(Calculator!E23,tbSkills!DH3:DI6,2,FALSE)+IF(AND(Calculator!B8=TRUE,Backdoors!BI11=TRUE),VLOOKUP(Calculator!E23,tbSkills!DH3:DJ6,3,FALSE),0),0)))/100)),1),1)</f>
        <v>0.6</v>
      </c>
      <c r="BL68" s="87">
        <f t="shared" si="59"/>
        <v>0</v>
      </c>
      <c r="BM68" s="86" t="str">
        <f>IFERROR(IF(VLOOKUP(A68,tbMoveset!A2:B112,2,FALSE)="Sever",Backdoors!AY12/100,IF(VLOOKUP(A68,tbMoveset!A2:B112,2,FALSE)="Blunt",Backdoors!AZ12/100,Backdoors!BA12/100)),"")</f>
        <v/>
      </c>
      <c r="BN68" s="49">
        <f>IFERROR(IF(VLOOKUP(tbMoveset!A68,tbMoveset!A2:H112,8,FALSE)="Other",IF(VLOOKUP(tbMoveset!A68,tbMoveset!A2:I112,9,FALSE)="Fire",Backdoors!BB12,IF(VLOOKUP(tbMoveset!A68,tbMoveset!A2:I112,9,FALSE)="Water",Backdoors!BC12,IF(VLOOKUP(tbMoveset!A68,tbMoveset!A2:I112,9,FALSE)="Thunder",Backdoors!BD12,IF(VLOOKUP(tbMoveset!A68,tbMoveset!A2:I112,9,FALSE)="Ice",Backdoors!BE12,IF(VLOOKUP(tbMoveset!A68,tbMoveset!A2:I112,9,FALSE)="Dragon",Backdoors!BF12,Backdoors!BG12)))))/100,Backdoors!BG12/100),"")</f>
        <v>0</v>
      </c>
      <c r="BO68" s="49">
        <f>IFERROR(IF(VLOOKUP(A68,tbMoveset!A2:J112,10,FALSE)=TRUE,IF((Backdoors!AI12+IF(BM68&gt;=0.45,VLOOKUP(Calculator!E23,tbSkills!DH3:DI6,2,FALSE)+IF(AND(Calculator!B8=TRUE,Backdoors!BI12=TRUE),VLOOKUP(Calculator!E23,tbSkills!DH3:DJ6,3,FALSE),0),0))&gt;=0,1+(Backdoors!AL2*(IF((Backdoors!AI12+IF(BM68&gt;=0.45,VLOOKUP(Calculator!E23,tbSkills!DH3:DI6,2,FALSE)+IF(AND(Calculator!B8=TRUE,Backdoors!BI12=TRUE),VLOOKUP(Calculator!E23,tbSkills!DH3:DJ6,3,FALSE),0),0))&gt;=100,100,(Backdoors!AI12+IF(BM68&gt;=0.45,VLOOKUP(Calculator!E23,tbSkills!DH3:DI6,2,FALSE)+IF(AND(Calculator!B8=TRUE,Backdoors!BI12=TRUE),VLOOKUP(Calculator!E23,tbSkills!DH3:DJ6,3,FALSE),0),0)))/100)),(1-(0.25*((-Backdoors!AI12-IF(BM68&gt;=0.45,VLOOKUP(Calculator!E23,tbSkills!DH3:DI6,2,FALSE)+IF(AND(Calculator!B8=TRUE,Backdoors!BI12=TRUE),VLOOKUP(Calculator!E23,tbSkills!DH3:DJ6,3,FALSE),0),0))/100)))),1),"")</f>
        <v>1</v>
      </c>
      <c r="BP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M68)*BO68)*(VLOOKUP(A68,tbMoveset!A2:C112,3,FALSE)/100)*IF(VLOOKUP(A68,tbMoveset!A2:B112,2,FALSE)="Projectile",Backdoors!N10,Backdoors!N9),0),"")</f>
        <v/>
      </c>
      <c r="BQ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M68&gt;=0.45,VLOOKUP(Calculator!E23,tbSkills!DH3:DI6,2,FALSE)+IF(AND(Calculator!B8=TRUE,Backdoors!BI12=TRUE),VLOOKUP(Calculator!E23,tbSkills!DH3:DJ6,3,FALSE),0),0))&gt;=100,100,(Backdoors!AI12+IF(BM68&gt;=0.45,VLOOKUP(Calculator!E23,tbSkills!DH3:DI6,2,FALSE)+IF(AND(Calculator!B8=TRUE,Backdoors!BI12=TRUE),VLOOKUP(Calculator!E23,tbSkills!DH3:DJ6,3,FALSE),0),0)))/100)),1))*IF(VLOOKUP(A68,tbMoveset!A2:K112,11,FALSE)=TRUE,Backdoors!AC5,1))*BN68,0),"")</f>
        <v>0</v>
      </c>
      <c r="BR68" s="49">
        <f>VLOOKUP(A68,tbMoveset!A2:G112,7,FALSE)*IFERROR(IF(Backdoors!AI12&gt;=0,1+(IF(Calculator!E40&gt;0,VLOOKUP(Calculator!E40,tbSkills!AI3:AJ5,2,FALSE),Backdoors!AL4)*(IF((Backdoors!AI12+IF(BM68&gt;=0.45,VLOOKUP(Calculator!E23,tbSkills!DH3:DI6,2,FALSE)+IF(AND(Calculator!B8=TRUE,Backdoors!BI12=TRUE),VLOOKUP(Calculator!E23,tbSkills!DH3:DJ6,3,FALSE),0),0))&gt;=100,100,(Backdoors!AI12+IF(BM68&gt;=0.45,VLOOKUP(Calculator!E23,tbSkills!DH3:DI6,2,FALSE)+IF(AND(Calculator!B8=TRUE,Backdoors!BI12=TRUE),VLOOKUP(Calculator!E23,tbSkills!DH3:DJ6,3,FALSE),0),0)))/100)),1),1)</f>
        <v>0.6</v>
      </c>
      <c r="BS68" s="87">
        <f t="shared" si="60"/>
        <v>0</v>
      </c>
      <c r="BT68" s="86" t="str">
        <f>IFERROR(IF(VLOOKUP(A68,tbMoveset!A2:B112,2,FALSE)="Sever",Backdoors!AY13/100,IF(VLOOKUP(A68,tbMoveset!A2:B112,2,FALSE)="Blunt",Backdoors!AZ13/100,Backdoors!BA13/100)),"")</f>
        <v/>
      </c>
      <c r="BU68" s="49">
        <f>IFERROR(IF(VLOOKUP(tbMoveset!A68,tbMoveset!A2:H112,8,FALSE)="Other",IF(VLOOKUP(tbMoveset!A68,tbMoveset!A2:I112,9,FALSE)="Fire",Backdoors!BB13,IF(VLOOKUP(tbMoveset!A68,tbMoveset!A2:I112,9,FALSE)="Water",Backdoors!BC13,IF(VLOOKUP(tbMoveset!A68,tbMoveset!A2:I112,9,FALSE)="Thunder",Backdoors!BD13,IF(VLOOKUP(tbMoveset!A68,tbMoveset!A2:I112,9,FALSE)="Ice",Backdoors!BE13,IF(VLOOKUP(tbMoveset!A68,tbMoveset!A2:I112,9,FALSE)="Dragon",Backdoors!BF13,Backdoors!BG13)))))/100,Backdoors!BG13/100),"")</f>
        <v>0</v>
      </c>
      <c r="BV68" s="49">
        <f>IFERROR(IF(VLOOKUP(A68,tbMoveset!A2:J112,10,FALSE)=TRUE,IF((Backdoors!AI12+IF(BT68&gt;=0.45,VLOOKUP(Calculator!E23,tbSkills!DH3:DI6,2,FALSE)+IF(AND(Calculator!B8=TRUE,Backdoors!BI13=TRUE),VLOOKUP(Calculator!E23,tbSkills!DH3:DJ6,3,FALSE),0),0))&gt;=0,1+(Backdoors!AL2*(IF((Backdoors!AI12+IF(BT68&gt;=0.45,VLOOKUP(Calculator!E23,tbSkills!DH3:DI6,2,FALSE)+IF(AND(Calculator!B8=TRUE,Backdoors!BI13=TRUE),VLOOKUP(Calculator!E23,tbSkills!DH3:DJ6,3,FALSE),0),0))&gt;=100,100,(Backdoors!AI12+IF(BT68&gt;=0.45,VLOOKUP(Calculator!E23,tbSkills!DH3:DI6,2,FALSE)+IF(AND(Calculator!B8=TRUE,Backdoors!BI13=TRUE),VLOOKUP(Calculator!E23,tbSkills!DH3:DJ6,3,FALSE),0),0)))/100)),(1-(0.25*((-Backdoors!AI12-IF(BT68&gt;=0.45,VLOOKUP(Calculator!E23,tbSkills!DH3:DI6,2,FALSE)+IF(AND(Calculator!B8=TRUE,Backdoors!BI13=TRUE),VLOOKUP(Calculator!E23,tbSkills!DH3:DJ6,3,FALSE),0),0))/100)))),1),"")</f>
        <v>1</v>
      </c>
      <c r="BW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T68)*BV68)*(VLOOKUP(A68,tbMoveset!A2:C112,3,FALSE)/100)*IF(VLOOKUP(A68,tbMoveset!A2:B112,2,FALSE)="Projectile",Backdoors!N10,Backdoors!N9),0),"")</f>
        <v/>
      </c>
      <c r="BX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T68&gt;=0.45,VLOOKUP(Calculator!E23,tbSkills!DH3:DI6,2,FALSE)+IF(AND(Calculator!B8=TRUE,Backdoors!BI13=TRUE),VLOOKUP(Calculator!E23,tbSkills!DH3:DJ6,3,FALSE),0),0))&gt;=100,100,(Backdoors!AI12+IF(BT68&gt;=0.45,VLOOKUP(Calculator!E23,tbSkills!DH3:DI6,2,FALSE)+IF(AND(Calculator!B8=TRUE,Backdoors!BI13=TRUE),VLOOKUP(Calculator!E23,tbSkills!DH3:DJ6,3,FALSE),0),0)))/100)),1))*IF(VLOOKUP(A68,tbMoveset!A2:K112,11,FALSE)=TRUE,Backdoors!AC5,1))*BU68,0),"")</f>
        <v>0</v>
      </c>
      <c r="BY68" s="49">
        <f>VLOOKUP(A68,tbMoveset!A2:G112,7,FALSE)*IFERROR(IF(Backdoors!AI12&gt;=0,1+(IF(Calculator!E40&gt;0,VLOOKUP(Calculator!E40,tbSkills!AI3:AJ5,2,FALSE),Backdoors!AL4)*(IF((Backdoors!AI12+IF(BT68&gt;=0.45,VLOOKUP(Calculator!E23,tbSkills!DH3:DI6,2,FALSE)+IF(AND(Calculator!B8=TRUE,Backdoors!BI13=TRUE),VLOOKUP(Calculator!E23,tbSkills!DH3:DJ6,3,FALSE),0),0))&gt;=100,100,(Backdoors!AI12+IF(BT68&gt;=0.45,VLOOKUP(Calculator!E23,tbSkills!DH3:DI6,2,FALSE)+IF(AND(Calculator!B8=TRUE,Backdoors!BI13=TRUE),VLOOKUP(Calculator!E23,tbSkills!DH3:DJ6,3,FALSE),0),0)))/100)),1),1)</f>
        <v>0.6</v>
      </c>
      <c r="BZ68" s="87">
        <f t="shared" si="61"/>
        <v>0</v>
      </c>
      <c r="CA68" s="86" t="str">
        <f>IFERROR(IF(VLOOKUP(A68,tbMoveset!A2:B112,2,FALSE)="Sever",Backdoors!AY14/100,IF(VLOOKUP(A68,tbMoveset!A2:B112,2,FALSE)="Blunt",Backdoors!AZ14/100,Backdoors!BA14/100)),"")</f>
        <v/>
      </c>
      <c r="CB68" s="49">
        <f>IFERROR(IF(VLOOKUP(tbMoveset!A68,tbMoveset!A2:H112,8,FALSE)="Other",IF(VLOOKUP(tbMoveset!A68,tbMoveset!A2:I112,9,FALSE)="Fire",Backdoors!BB14,IF(VLOOKUP(tbMoveset!A68,tbMoveset!A2:I112,9,FALSE)="Water",Backdoors!BC14,IF(VLOOKUP(tbMoveset!A68,tbMoveset!A2:I112,9,FALSE)="Thunder",Backdoors!BD14,IF(VLOOKUP(tbMoveset!A68,tbMoveset!A2:I112,9,FALSE)="Ice",Backdoors!BE14,IF(VLOOKUP(tbMoveset!A68,tbMoveset!A2:I112,9,FALSE)="Dragon",Backdoors!BF14,Backdoors!BG14)))))/100,Backdoors!BG14/100),"")</f>
        <v>0</v>
      </c>
      <c r="CC68" s="49">
        <f>IFERROR(IF(VLOOKUP(A68,tbMoveset!A2:J112,10,FALSE)=TRUE,IF((Backdoors!AI12+IF(CA68&gt;=0.45,VLOOKUP(Calculator!E23,tbSkills!DH3:DI6,2,FALSE)+IF(AND(Calculator!B8=TRUE,Backdoors!BI14=TRUE),VLOOKUP(Calculator!E23,tbSkills!DH3:DJ6,3,FALSE),0),0))&gt;=0,1+(Backdoors!AL2*(IF((Backdoors!AI12+IF(CA68&gt;=0.45,VLOOKUP(Calculator!E23,tbSkills!DH3:DI6,2,FALSE)+IF(AND(Calculator!B8=TRUE,Backdoors!BI14=TRUE),VLOOKUP(Calculator!E23,tbSkills!DH3:DJ6,3,FALSE),0),0))&gt;=100,100,(Backdoors!AI12+IF(CA68&gt;=0.45,VLOOKUP(Calculator!E23,tbSkills!DH3:DI6,2,FALSE)+IF(AND(Calculator!B8=TRUE,Backdoors!BI14=TRUE),VLOOKUP(Calculator!E23,tbSkills!DH3:DJ6,3,FALSE),0),0)))/100)),(1-(0.25*((-Backdoors!AI12-IF(CA68&gt;=0.45,VLOOKUP(Calculator!E23,tbSkills!DH3:DI6,2,FALSE)+IF(AND(Calculator!B8=TRUE,Backdoors!BI14=TRUE),VLOOKUP(Calculator!E23,tbSkills!DH3:DJ6,3,FALSE),0),0))/100)))),1),"")</f>
        <v>1</v>
      </c>
      <c r="CD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A68)*CC68)*(VLOOKUP(A68,tbMoveset!A2:C112,3,FALSE)/100)*IF(VLOOKUP(A68,tbMoveset!A2:B112,2,FALSE)="Projectile",Backdoors!N10,Backdoors!N9),0),"")</f>
        <v/>
      </c>
      <c r="CE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A68&gt;=0.45,VLOOKUP(Calculator!E23,tbSkills!DH3:DI6,2,FALSE)+IF(AND(Calculator!B8=TRUE,Backdoors!BI14=TRUE),VLOOKUP(Calculator!E23,tbSkills!DH3:DJ6,3,FALSE),0),0))&gt;=100,100,(Backdoors!AI12+IF(CA68&gt;=0.45,VLOOKUP(Calculator!E23,tbSkills!DH3:DI6,2,FALSE)+IF(AND(Calculator!B8=TRUE,Backdoors!BI14=TRUE),VLOOKUP(Calculator!E23,tbSkills!DH3:DJ6,3,FALSE),0),0)))/100)),1))*IF(VLOOKUP(A68,tbMoveset!A2:K112,11,FALSE)=TRUE,Backdoors!AC5,1))*CB68,0),"")</f>
        <v>0</v>
      </c>
      <c r="CF68" s="49">
        <f>VLOOKUP(A68,tbMoveset!A2:G112,7,FALSE)*IFERROR(IF(Backdoors!AI12&gt;=0,1+(IF(Calculator!E40&gt;0,VLOOKUP(Calculator!E40,tbSkills!AI3:AJ5,2,FALSE),Backdoors!AL4)*(IF((Backdoors!AI12+IF(CA68&gt;=0.45,VLOOKUP(Calculator!E23,tbSkills!DH3:DI6,2,FALSE)+IF(AND(Calculator!B8=TRUE,Backdoors!BI14=TRUE),VLOOKUP(Calculator!E23,tbSkills!DH3:DJ6,3,FALSE),0),0))&gt;=100,100,(Backdoors!AI12+IF(CA68&gt;=0.45,VLOOKUP(Calculator!E23,tbSkills!DH3:DI6,2,FALSE)+IF(AND(Calculator!B8=TRUE,Backdoors!BI14=TRUE),VLOOKUP(Calculator!E23,tbSkills!DH3:DJ6,3,FALSE),0),0)))/100)),1),1)</f>
        <v>0.6</v>
      </c>
      <c r="CG68" s="87">
        <f t="shared" ref="CG68:CG112" si="62">SUM(CD68:CE68)</f>
        <v>0</v>
      </c>
      <c r="CH68" s="86" t="str">
        <f>IFERROR(IF(VLOOKUP(A68,tbMoveset!A2:B112,2,FALSE)="Sever",Backdoors!AY15/100,IF(VLOOKUP(A68,tbMoveset!A2:B112,2,FALSE)="Blunt",Backdoors!AZ15/100,Backdoors!BA15/100)),"")</f>
        <v/>
      </c>
      <c r="CI68" s="49">
        <f>IFERROR(IF(VLOOKUP(tbMoveset!A68,tbMoveset!A2:H112,8,FALSE)="Other",IF(VLOOKUP(tbMoveset!A68,tbMoveset!A2:I112,9,FALSE)="Fire",Backdoors!BB15,IF(VLOOKUP(tbMoveset!A68,tbMoveset!A2:I112,9,FALSE)="Water",Backdoors!BC15,IF(VLOOKUP(tbMoveset!A68,tbMoveset!A2:I112,9,FALSE)="Thunder",Backdoors!BD15,IF(VLOOKUP(tbMoveset!A68,tbMoveset!A2:I112,9,FALSE)="Ice",Backdoors!BE15,IF(VLOOKUP(tbMoveset!A68,tbMoveset!A2:I112,9,FALSE)="Dragon",Backdoors!BF15,Backdoors!BG15)))))/100,Backdoors!BG15/100),"")</f>
        <v>0</v>
      </c>
      <c r="CJ68" s="49">
        <f>IFERROR(IF(VLOOKUP(A68,tbMoveset!A2:J112,10,FALSE)=TRUE,IF((Backdoors!AI12+IF(CH68&gt;=0.45,VLOOKUP(Calculator!E23,tbSkills!DH3:DI6,2,FALSE)+IF(AND(Calculator!B8=TRUE,Backdoors!BI15=TRUE),VLOOKUP(Calculator!E23,tbSkills!DH3:DJ6,3,FALSE),0),0))&gt;=0,1+(Backdoors!AL2*(IF((Backdoors!AI12+IF(CH68&gt;=0.45,VLOOKUP(Calculator!E23,tbSkills!DH3:DI6,2,FALSE)+IF(AND(Calculator!B8=TRUE,Backdoors!BI15=TRUE),VLOOKUP(Calculator!E23,tbSkills!DH3:DJ6,3,FALSE),0),0))&gt;=100,100,(Backdoors!AI12+IF(CH68&gt;=0.45,VLOOKUP(Calculator!E23,tbSkills!DH3:DI6,2,FALSE)+IF(AND(Calculator!B8=TRUE,Backdoors!BI15=TRUE),VLOOKUP(Calculator!E23,tbSkills!DH3:DJ6,3,FALSE),0),0)))/100)),(1-(0.25*((-Backdoors!AI12-IF(CH68&gt;=0.45,VLOOKUP(Calculator!E23,tbSkills!DH3:DI6,2,FALSE)+IF(AND(Calculator!B8=TRUE,Backdoors!BI15=TRUE),VLOOKUP(Calculator!E23,tbSkills!DH3:DJ6,3,FALSE),0),0))/100)))),1),"")</f>
        <v>1</v>
      </c>
      <c r="CK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H68)*CJ68)*(VLOOKUP(A68,tbMoveset!A2:C112,3,FALSE)/100)*IF(VLOOKUP(A68,tbMoveset!A2:B112,2,FALSE)="Projectile",Backdoors!N10,Backdoors!N9),0),"")</f>
        <v/>
      </c>
      <c r="CL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H68&gt;=0.45,VLOOKUP(Calculator!E23,tbSkills!DH3:DI6,2,FALSE)+IF(AND(Calculator!B8=TRUE,Backdoors!BI15=TRUE),VLOOKUP(Calculator!E23,tbSkills!DH3:DJ6,3,FALSE),0),0))&gt;=100,100,(Backdoors!AI12+IF(CH68&gt;=0.45,VLOOKUP(Calculator!E23,tbSkills!DH3:DI6,2,FALSE)+IF(AND(Calculator!B8=TRUE,Backdoors!BI15=TRUE),VLOOKUP(Calculator!E23,tbSkills!DH3:DJ6,3,FALSE),0),0)))/100)),1))*IF(VLOOKUP(A68,tbMoveset!A2:K112,11,FALSE)=TRUE,Backdoors!AC5,1))*CI68,0),"")</f>
        <v>0</v>
      </c>
      <c r="CM68" s="49">
        <f>VLOOKUP(A68,tbMoveset!A2:G112,7,FALSE)*IFERROR(IF(Backdoors!AI12&gt;=0,1+(IF(Calculator!E40&gt;0,VLOOKUP(Calculator!E40,tbSkills!AI3:AJ5,2,FALSE),Backdoors!AL4)*(IF((Backdoors!AI12+IF(CH68&gt;=0.45,VLOOKUP(Calculator!E23,tbSkills!DH3:DI6,2,FALSE)+IF(AND(Calculator!B8=TRUE,Backdoors!BI15=TRUE),VLOOKUP(Calculator!E23,tbSkills!DH3:DJ6,3,FALSE),0),0))&gt;=100,100,(Backdoors!AI12+IF(CH68&gt;=0.45,VLOOKUP(Calculator!E23,tbSkills!DH3:DI6,2,FALSE)+IF(AND(Calculator!B8=TRUE,Backdoors!BI15=TRUE),VLOOKUP(Calculator!E23,tbSkills!DH3:DJ6,3,FALSE),0),0)))/100)),1),1)</f>
        <v>0.6</v>
      </c>
      <c r="CN68" s="87">
        <f t="shared" ref="CN68:CN112" si="63">SUM(CK68:CL68)</f>
        <v>0</v>
      </c>
      <c r="CO68" s="86" t="str">
        <f>IFERROR(IF(VLOOKUP(A68,tbMoveset!A2:B112,2,FALSE)="Sever",Backdoors!AY16/100,IF(VLOOKUP(A68,tbMoveset!A2:B112,2,FALSE)="Blunt",Backdoors!AZ16/100,Backdoors!BA16/100)),"")</f>
        <v/>
      </c>
      <c r="CP68" s="49">
        <f>IFERROR(IF(VLOOKUP(tbMoveset!A68,tbMoveset!A2:H112,8,FALSE)="Other",IF(VLOOKUP(tbMoveset!A68,tbMoveset!A2:I112,9,FALSE)="Fire",Backdoors!BB16,IF(VLOOKUP(tbMoveset!A68,tbMoveset!A2:I112,9,FALSE)="Water",Backdoors!BC16,IF(VLOOKUP(tbMoveset!A68,tbMoveset!A2:I112,9,FALSE)="Thunder",Backdoors!BD16,IF(VLOOKUP(tbMoveset!A68,tbMoveset!A2:I112,9,FALSE)="Ice",Backdoors!BE16,IF(VLOOKUP(tbMoveset!A68,tbMoveset!A2:I112,9,FALSE)="Dragon",Backdoors!BF16,Backdoors!BG16)))))/100,Backdoors!BG16/100),"")</f>
        <v>0</v>
      </c>
      <c r="CQ68" s="49">
        <f>IFERROR(IF(VLOOKUP(A68,tbMoveset!A2:J112,10,FALSE)=TRUE,IF((Backdoors!AI12+IF(CO68&gt;=0.45,VLOOKUP(Calculator!E23,tbSkills!DH3:DI6,2,FALSE)+IF(AND(Calculator!B8=TRUE,Backdoors!BI16=TRUE),VLOOKUP(Calculator!E23,tbSkills!DH3:DJ6,3,FALSE),0),0))&gt;=0,1+(Backdoors!AL2*(IF((Backdoors!AI12+IF(CO68&gt;=0.45,VLOOKUP(Calculator!E23,tbSkills!DH3:DI6,2,FALSE)+IF(AND(Calculator!B8=TRUE,Backdoors!BI16=TRUE),VLOOKUP(Calculator!E23,tbSkills!DH3:DJ6,3,FALSE),0),0))&gt;=100,100,(Backdoors!AI12+IF(CO68&gt;=0.45,VLOOKUP(Calculator!E23,tbSkills!DH3:DI6,2,FALSE)+IF(AND(Calculator!B8=TRUE,Backdoors!BI16=TRUE),VLOOKUP(Calculator!E23,tbSkills!DH3:DJ6,3,FALSE),0),0)))/100)),(1-(0.25*((-Backdoors!AI12-IF(CO68&gt;=0.45,VLOOKUP(Calculator!E23,tbSkills!DH3:DI6,2,FALSE)+IF(AND(Calculator!B8=TRUE,Backdoors!BI16=TRUE),VLOOKUP(Calculator!E23,tbSkills!DH3:DJ6,3,FALSE),0),0))/100)))),1),"")</f>
        <v>1</v>
      </c>
      <c r="CR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O68)*CQ68)*(VLOOKUP(A68,tbMoveset!A2:C112,3,FALSE)/100)*IF(VLOOKUP(A68,tbMoveset!A2:B112,2,FALSE)="Projectile",Backdoors!N10,Backdoors!N9),0),"")</f>
        <v/>
      </c>
      <c r="CS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O68&gt;=0.45,VLOOKUP(Calculator!E23,tbSkills!DH3:DI6,2,FALSE)+IF(AND(Calculator!B8=TRUE,Backdoors!BI16=TRUE),VLOOKUP(Calculator!E23,tbSkills!DH3:DJ6,3,FALSE),0),0))&gt;=100,100,(Backdoors!AI12+IF(CO68&gt;=0.45,VLOOKUP(Calculator!E23,tbSkills!DH3:DI6,2,FALSE)+IF(AND(Calculator!B8=TRUE,Backdoors!BI16=TRUE),VLOOKUP(Calculator!E23,tbSkills!DH3:DJ6,3,FALSE),0),0)))/100)),1))*IF(VLOOKUP(A68,tbMoveset!A2:K112,11,FALSE)=TRUE,Backdoors!AC5,1))*CP68,0),"")</f>
        <v>0</v>
      </c>
      <c r="CT68" s="49">
        <f>VLOOKUP(A68,tbMoveset!A2:G112,7,FALSE)*IFERROR(IF(Backdoors!AI12&gt;=0,1+(IF(Calculator!E40&gt;0,VLOOKUP(Calculator!E40,tbSkills!AI3:AJ5,2,FALSE),Backdoors!AL4)*(IF((Backdoors!AI12+IF(CO68&gt;=0.45,VLOOKUP(Calculator!E23,tbSkills!DH3:DI6,2,FALSE)+IF(AND(Calculator!B8=TRUE,Backdoors!BI16=TRUE),VLOOKUP(Calculator!E23,tbSkills!DH3:DJ6,3,FALSE),0),0))&gt;=100,100,(Backdoors!AI12+IF(CO68&gt;=0.45,VLOOKUP(Calculator!E23,tbSkills!DH3:DI6,2,FALSE)+IF(AND(Calculator!B8=TRUE,Backdoors!BI16=TRUE),VLOOKUP(Calculator!E23,tbSkills!DH3:DJ6,3,FALSE),0),0)))/100)),1),1)</f>
        <v>0.6</v>
      </c>
      <c r="CU68" s="87">
        <f t="shared" ref="CU68:CU112" si="64">SUM(CR68:CS68)</f>
        <v>0</v>
      </c>
      <c r="CV68" s="86" t="str">
        <f>IFERROR(IF(VLOOKUP(A68,tbMoveset!A2:B112,2,FALSE)="Sever",Backdoors!AY17/100,IF(VLOOKUP(A68,tbMoveset!A2:B112,2,FALSE)="Blunt",Backdoors!AZ17/100,Backdoors!BA17/100)),"")</f>
        <v/>
      </c>
      <c r="CW68" s="49">
        <f>IFERROR(IF(VLOOKUP(tbMoveset!A68,tbMoveset!A2:H112,8,FALSE)="Other",IF(VLOOKUP(tbMoveset!A68,tbMoveset!A2:I112,9,FALSE)="Fire",Backdoors!BB17,IF(VLOOKUP(tbMoveset!A68,tbMoveset!A2:I112,9,FALSE)="Water",Backdoors!BC17,IF(VLOOKUP(tbMoveset!A68,tbMoveset!A2:I112,9,FALSE)="Thunder",Backdoors!BD17,IF(VLOOKUP(tbMoveset!A68,tbMoveset!A2:I112,9,FALSE)="Ice",Backdoors!BE17,IF(VLOOKUP(tbMoveset!A68,tbMoveset!A2:I112,9,FALSE)="Dragon",Backdoors!BF17,Backdoors!BG17)))))/100,Backdoors!BG17/100),"")</f>
        <v>0</v>
      </c>
      <c r="CX68" s="49">
        <f>IFERROR(IF(VLOOKUP(A68,tbMoveset!A2:J112,10,FALSE)=TRUE,IF((Backdoors!AI12+IF(CV68&gt;=0.45,VLOOKUP(Calculator!E23,tbSkills!DH3:DI6,2,FALSE)+IF(AND(Calculator!B8=TRUE,Backdoors!BI17=TRUE),VLOOKUP(Calculator!E23,tbSkills!DH3:DJ6,3,FALSE),0),0))&gt;=0,1+(Backdoors!AL2*(IF((Backdoors!AI12+IF(CV68&gt;=0.45,VLOOKUP(Calculator!E23,tbSkills!DH3:DI6,2,FALSE)+IF(AND(Calculator!B8=TRUE,Backdoors!BI17=TRUE),VLOOKUP(Calculator!E23,tbSkills!DH3:DJ6,3,FALSE),0),0))&gt;=100,100,(Backdoors!AI12+IF(CV68&gt;=0.45,VLOOKUP(Calculator!E23,tbSkills!DH3:DI6,2,FALSE)+IF(AND(Calculator!B8=TRUE,Backdoors!BI17=TRUE),VLOOKUP(Calculator!E23,tbSkills!DH3:DJ6,3,FALSE),0),0)))/100)),(1-(0.25*((-Backdoors!AI12-IF(CV68&gt;=0.45,VLOOKUP(Calculator!E23,tbSkills!DH3:DI6,2,FALSE)+IF(AND(Calculator!B8=TRUE,Backdoors!BI17=TRUE),VLOOKUP(Calculator!E23,tbSkills!DH3:DJ6,3,FALSE),0),0))/100)))),1),"")</f>
        <v>1</v>
      </c>
      <c r="CY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V68)*CX68)*(VLOOKUP(A68,tbMoveset!A2:C112,3,FALSE)/100)*IF(VLOOKUP(A68,tbMoveset!A2:B112,2,FALSE)="Projectile",Backdoors!N10,Backdoors!N9),0),"")</f>
        <v/>
      </c>
      <c r="CZ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V68&gt;=0.45,VLOOKUP(Calculator!E23,tbSkills!DH3:DI6,2,FALSE)+IF(AND(Calculator!B8=TRUE,Backdoors!BI17=TRUE),VLOOKUP(Calculator!E23,tbSkills!DH3:DJ6,3,FALSE),0),0))&gt;=100,100,(Backdoors!AI12+IF(CV68&gt;=0.45,VLOOKUP(Calculator!E23,tbSkills!DH3:DI6,2,FALSE)+IF(AND(Calculator!B8=TRUE,Backdoors!BI17=TRUE),VLOOKUP(Calculator!E23,tbSkills!DH3:DJ6,3,FALSE),0),0)))/100)),1))*IF(VLOOKUP(A68,tbMoveset!A2:K112,11,FALSE)=TRUE,Backdoors!AC5,1))*CW68,0),"")</f>
        <v>0</v>
      </c>
      <c r="DA68" s="49">
        <f>VLOOKUP(A68,tbMoveset!A2:G112,7,FALSE)*IFERROR(IF(Backdoors!AI12&gt;=0,1+(IF(Calculator!E40&gt;0,VLOOKUP(Calculator!E40,tbSkills!AI3:AJ5,2,FALSE),Backdoors!AL4)*(IF((Backdoors!AI12+IF(CV68&gt;=0.45,VLOOKUP(Calculator!E23,tbSkills!DH3:DI6,2,FALSE)+IF(AND(Calculator!B8=TRUE,Backdoors!BI17=TRUE),VLOOKUP(Calculator!E23,tbSkills!DH3:DJ6,3,FALSE),0),0))&gt;=100,100,(Backdoors!AI12+IF(CV68&gt;=0.45,VLOOKUP(Calculator!E23,tbSkills!DH3:DI6,2,FALSE)+IF(AND(Calculator!B8=TRUE,Backdoors!BI17=TRUE),VLOOKUP(Calculator!E23,tbSkills!DH3:DJ6,3,FALSE),0),0)))/100)),1),1)</f>
        <v>0.6</v>
      </c>
      <c r="DB68" s="87">
        <f t="shared" ref="DB68:DB112" si="65">SUM(CY68:CZ68)</f>
        <v>0</v>
      </c>
      <c r="DC68" s="86" t="str">
        <f>IFERROR(IF(VLOOKUP(A68,tbMoveset!A2:B112,2,FALSE)="Sever",Backdoors!AY18/100,IF(VLOOKUP(A68,tbMoveset!A2:B112,2,FALSE)="Blunt",Backdoors!AZ18/100,Backdoors!BA18/100)),"")</f>
        <v/>
      </c>
      <c r="DD68" s="49">
        <f>IFERROR(IF(VLOOKUP(tbMoveset!A68,tbMoveset!A2:H112,8,FALSE)="Other",IF(VLOOKUP(tbMoveset!A68,tbMoveset!A2:I112,9,FALSE)="Fire",Backdoors!BB18,IF(VLOOKUP(tbMoveset!A68,tbMoveset!A2:I112,9,FALSE)="Water",Backdoors!BC18,IF(VLOOKUP(tbMoveset!A68,tbMoveset!A2:I112,9,FALSE)="Thunder",Backdoors!BD18,IF(VLOOKUP(tbMoveset!A68,tbMoveset!A2:I112,9,FALSE)="Ice",Backdoors!BE18,IF(VLOOKUP(tbMoveset!A68,tbMoveset!A2:I112,9,FALSE)="Dragon",Backdoors!BF18,Backdoors!BG18)))))/100,Backdoors!BG18/100),"")</f>
        <v>0</v>
      </c>
      <c r="DE68" s="49">
        <f>IFERROR(IF(VLOOKUP(A68,tbMoveset!A2:J112,10,FALSE)=TRUE,IF((Backdoors!AI12+IF(DC68&gt;=0.45,VLOOKUP(Calculator!E23,tbSkills!DH3:DI6,2,FALSE)+IF(AND(Calculator!B8=TRUE,Backdoors!BI18=TRUE),VLOOKUP(Calculator!E23,tbSkills!DH3:DJ6,3,FALSE),0),0))&gt;=0,1+(Backdoors!AL2*(IF((Backdoors!AI12+IF(DC68&gt;=0.45,VLOOKUP(Calculator!E23,tbSkills!DH3:DI6,2,FALSE)+IF(AND(Calculator!B8=TRUE,Backdoors!BI18=TRUE),VLOOKUP(Calculator!E23,tbSkills!DH3:DJ6,3,FALSE),0),0))&gt;=100,100,(Backdoors!AI12+IF(DC68&gt;=0.45,VLOOKUP(Calculator!E23,tbSkills!DH3:DI6,2,FALSE)+IF(AND(Calculator!B8=TRUE,Backdoors!BI18=TRUE),VLOOKUP(Calculator!E23,tbSkills!DH3:DJ6,3,FALSE),0),0)))/100)),(1-(0.25*((-Backdoors!AI12-IF(DC68&gt;=0.45,VLOOKUP(Calculator!E23,tbSkills!DH3:DI6,2,FALSE)+IF(AND(Calculator!B8=TRUE,Backdoors!BI18=TRUE),VLOOKUP(Calculator!E23,tbSkills!DH3:DJ6,3,FALSE),0),0))/100)))),1),"")</f>
        <v>1</v>
      </c>
      <c r="DF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C68)*DE68)*(VLOOKUP(A68,tbMoveset!A2:C112,3,FALSE)/100)*IF(VLOOKUP(A68,tbMoveset!A2:B112,2,FALSE)="Projectile",Backdoors!N10,Backdoors!N9),0),"")</f>
        <v/>
      </c>
      <c r="DG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C68&gt;=0.45,VLOOKUP(Calculator!E23,tbSkills!DH3:DI6,2,FALSE)+IF(AND(Calculator!B8=TRUE,Backdoors!BI18=TRUE),VLOOKUP(Calculator!E23,tbSkills!DH3:DJ6,3,FALSE),0),0))&gt;=100,100,(Backdoors!AI12+IF(DC68&gt;=0.45,VLOOKUP(Calculator!E23,tbSkills!DH3:DI6,2,FALSE)+IF(AND(Calculator!B8=TRUE,Backdoors!BI18=TRUE),VLOOKUP(Calculator!E23,tbSkills!DH3:DJ6,3,FALSE),0),0)))/100)),1))*IF(VLOOKUP(A68,tbMoveset!A2:K112,11,FALSE)=TRUE,Backdoors!AC5,1))*DD68,0),"")</f>
        <v>0</v>
      </c>
      <c r="DH68" s="49">
        <f>VLOOKUP(A68,tbMoveset!A2:G112,7,FALSE)*IFERROR(IF(Backdoors!AI12&gt;=0,1+(IF(Calculator!E40&gt;0,VLOOKUP(Calculator!E40,tbSkills!AI3:AJ5,2,FALSE),Backdoors!AL4)*(IF((Backdoors!AI12+IF(DC68&gt;=0.45,VLOOKUP(Calculator!E23,tbSkills!DH3:DI6,2,FALSE)+IF(AND(Calculator!B8=TRUE,Backdoors!BI18=TRUE),VLOOKUP(Calculator!E23,tbSkills!DH3:DJ6,3,FALSE),0),0))&gt;=100,100,(Backdoors!AI12+IF(DC68&gt;=0.45,VLOOKUP(Calculator!E23,tbSkills!DH3:DI6,2,FALSE)+IF(AND(Calculator!B8=TRUE,Backdoors!BI18=TRUE),VLOOKUP(Calculator!E23,tbSkills!DH3:DJ6,3,FALSE),0),0)))/100)),1),1)</f>
        <v>0.6</v>
      </c>
      <c r="DI68" s="87">
        <f t="shared" ref="DI68:DI112" si="66">SUM(DF68:DG68)</f>
        <v>0</v>
      </c>
      <c r="DJ68" s="86" t="str">
        <f>IFERROR(IF(VLOOKUP(A68,tbMoveset!A2:B112,2,FALSE)="Sever",Backdoors!AY19/100,IF(VLOOKUP(A68,tbMoveset!A2:B112,2,FALSE)="Blunt",Backdoors!AZ19/100,Backdoors!BA19/100)),"")</f>
        <v/>
      </c>
      <c r="DK68" s="49">
        <f>IFERROR(IF(VLOOKUP(tbMoveset!A68,tbMoveset!A2:H112,8,FALSE)="Other",IF(VLOOKUP(tbMoveset!A68,tbMoveset!A2:I112,9,FALSE)="Fire",Backdoors!BB19,IF(VLOOKUP(tbMoveset!A68,tbMoveset!A2:I112,9,FALSE)="Water",Backdoors!BC19,IF(VLOOKUP(tbMoveset!A68,tbMoveset!A2:I112,9,FALSE)="Thunder",Backdoors!BD19,IF(VLOOKUP(tbMoveset!A68,tbMoveset!A2:I112,9,FALSE)="Ice",Backdoors!BE19,IF(VLOOKUP(tbMoveset!A68,tbMoveset!A2:I112,9,FALSE)="Dragon",Backdoors!BF19,Backdoors!BG19)))))/100,Backdoors!BG19/100),"")</f>
        <v>0</v>
      </c>
      <c r="DL68" s="49">
        <f>IFERROR(IF(VLOOKUP(A68,tbMoveset!A2:J112,10,FALSE)=TRUE,IF((Backdoors!AI12+IF(DJ68&gt;=0.45,VLOOKUP(Calculator!E23,tbSkills!DH3:DI6,2,FALSE)+IF(AND(Calculator!B8=TRUE,Backdoors!BI19=TRUE),VLOOKUP(Calculator!E23,tbSkills!DH3:DJ6,3,FALSE),0),0))&gt;=0,1+(Backdoors!AL2*(IF((Backdoors!AI12+IF(DJ68&gt;=0.45,VLOOKUP(Calculator!E23,tbSkills!DH3:DI6,2,FALSE)+IF(AND(Calculator!B8=TRUE,Backdoors!BI19=TRUE),VLOOKUP(Calculator!E23,tbSkills!DH3:DJ6,3,FALSE),0),0))&gt;=100,100,(Backdoors!AI12+IF(DJ68&gt;=0.45,VLOOKUP(Calculator!E23,tbSkills!DH3:DI6,2,FALSE)+IF(AND(Calculator!B8=TRUE,Backdoors!BI19=TRUE),VLOOKUP(Calculator!E23,tbSkills!DH3:DJ6,3,FALSE),0),0)))/100)),(1-(0.25*((-Backdoors!AI12-IF(DJ68&gt;=0.45,VLOOKUP(Calculator!E23,tbSkills!DH3:DI6,2,FALSE)+IF(AND(Calculator!B8=TRUE,Backdoors!BI19=TRUE),VLOOKUP(Calculator!E23,tbSkills!DH3:DJ6,3,FALSE),0),0))/100)))),1),"")</f>
        <v>1</v>
      </c>
      <c r="DM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J68)*DL68)*(VLOOKUP(A68,tbMoveset!A2:C112,3,FALSE)/100)*IF(VLOOKUP(A68,tbMoveset!A2:B112,2,FALSE)="Projectile",Backdoors!N10,Backdoors!N9),0),"")</f>
        <v/>
      </c>
      <c r="DN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J68&gt;=0.45,VLOOKUP(Calculator!E23,tbSkills!DH3:DI6,2,FALSE)+IF(AND(Calculator!B8=TRUE,Backdoors!BI19=TRUE),VLOOKUP(Calculator!E23,tbSkills!DH3:DJ6,3,FALSE),0),0))&gt;=100,100,(Backdoors!AI12+IF(DJ68&gt;=0.45,VLOOKUP(Calculator!E23,tbSkills!DH3:DI6,2,FALSE)+IF(AND(Calculator!B8=TRUE,Backdoors!BI19=TRUE),VLOOKUP(Calculator!E23,tbSkills!DH3:DJ6,3,FALSE),0),0)))/100)),1))*IF(VLOOKUP(A68,tbMoveset!A2:K112,11,FALSE)=TRUE,Backdoors!AC5,1))*DK68,0),"")</f>
        <v>0</v>
      </c>
      <c r="DO68" s="49">
        <f>VLOOKUP(A68,tbMoveset!A2:G112,7,FALSE)*IFERROR(IF(Backdoors!AI12&gt;=0,1+(IF(Calculator!E40&gt;0,VLOOKUP(Calculator!E40,tbSkills!AI3:AJ5,2,FALSE),Backdoors!AL4)*(IF((Backdoors!AI12+IF(DJ68&gt;=0.45,VLOOKUP(Calculator!E23,tbSkills!DH3:DI6,2,FALSE)+IF(AND(Calculator!B8=TRUE,Backdoors!BI19=TRUE),VLOOKUP(Calculator!E23,tbSkills!DH3:DJ6,3,FALSE),0),0))&gt;=100,100,(Backdoors!AI12+IF(DJ68&gt;=0.45,VLOOKUP(Calculator!E23,tbSkills!DH3:DI6,2,FALSE)+IF(AND(Calculator!B8=TRUE,Backdoors!BI19=TRUE),VLOOKUP(Calculator!E23,tbSkills!DH3:DJ6,3,FALSE),0),0)))/100)),1),1)</f>
        <v>0.6</v>
      </c>
      <c r="DP68" s="87">
        <f t="shared" ref="DP68:DP112" si="67">SUM(DM68:DN68)</f>
        <v>0</v>
      </c>
      <c r="DQ68" s="86" t="str">
        <f>IFERROR(IF(VLOOKUP(A68,tbMoveset!A2:B112,2,FALSE)="Sever",Backdoors!AY20/100,IF(VLOOKUP(A68,tbMoveset!A2:B112,2,FALSE)="Blunt",Backdoors!AZ20/100,Backdoors!BA20/100)),"")</f>
        <v/>
      </c>
      <c r="DR68" s="49">
        <f>IFERROR(IF(VLOOKUP(tbMoveset!A68,tbMoveset!A2:H112,8,FALSE)="Other",IF(VLOOKUP(tbMoveset!A68,tbMoveset!A2:I112,9,FALSE)="Fire",Backdoors!BB20,IF(VLOOKUP(tbMoveset!A68,tbMoveset!A2:I112,9,FALSE)="Water",Backdoors!BC20,IF(VLOOKUP(tbMoveset!A68,tbMoveset!A2:I112,9,FALSE)="Thunder",Backdoors!BD20,IF(VLOOKUP(tbMoveset!A68,tbMoveset!A2:I112,9,FALSE)="Ice",Backdoors!BE20,IF(VLOOKUP(tbMoveset!A68,tbMoveset!A2:I112,9,FALSE)="Dragon",Backdoors!BF20,Backdoors!BG20)))))/100,Backdoors!BG20/100),"")</f>
        <v>0</v>
      </c>
      <c r="DS68" s="49">
        <f>IFERROR(IF(VLOOKUP(A68,tbMoveset!A2:J112,10,FALSE)=TRUE,IF((Backdoors!AI12+IF(DQ68&gt;=0.45,VLOOKUP(Calculator!E23,tbSkills!DH3:DI6,2,FALSE)+IF(AND(Calculator!B8=TRUE,Backdoors!BI20=TRUE),VLOOKUP(Calculator!E23,tbSkills!DH3:DJ6,3,FALSE),0),0))&gt;=0,1+(Backdoors!AL2*(IF((Backdoors!AI12+IF(DQ68&gt;=0.45,VLOOKUP(Calculator!E23,tbSkills!DH3:DI6,2,FALSE)+IF(AND(Calculator!B8=TRUE,Backdoors!BI20=TRUE),VLOOKUP(Calculator!E23,tbSkills!DH3:DJ6,3,FALSE),0),0))&gt;=100,100,(Backdoors!AI12+IF(DQ68&gt;=0.45,VLOOKUP(Calculator!E23,tbSkills!DH3:DI6,2,FALSE)+IF(AND(Calculator!B8=TRUE,Backdoors!BI20=TRUE),VLOOKUP(Calculator!E23,tbSkills!DH3:DJ6,3,FALSE),0),0)))/100)),(1-(0.25*((-Backdoors!AI12-IF(DQ68&gt;=0.45,VLOOKUP(Calculator!E23,tbSkills!DH3:DI6,2,FALSE)+IF(AND(Calculator!B8=TRUE,Backdoors!BI20=TRUE),VLOOKUP(Calculator!E23,tbSkills!DH3:DJ6,3,FALSE),0),0))/100)))),1),"")</f>
        <v>1</v>
      </c>
      <c r="DT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Q68)*DS68)*(VLOOKUP(A68,tbMoveset!A2:C112,3,FALSE)/100)*IF(VLOOKUP(A68,tbMoveset!A2:B112,2,FALSE)="Projectile",Backdoors!N10,Backdoors!N9),0),"")</f>
        <v/>
      </c>
      <c r="DU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Q68&gt;=0.45,VLOOKUP(Calculator!E23,tbSkills!DH3:DI6,2,FALSE)+IF(AND(Calculator!B8=TRUE,Backdoors!BI20=TRUE),VLOOKUP(Calculator!E23,tbSkills!DH3:DJ6,3,FALSE),0),0))&gt;=100,100,(Backdoors!AI12+IF(DQ68&gt;=0.45,VLOOKUP(Calculator!E23,tbSkills!DH3:DI6,2,FALSE)+IF(AND(Calculator!B8=TRUE,Backdoors!BI20=TRUE),VLOOKUP(Calculator!E23,tbSkills!DH3:DJ6,3,FALSE),0),0)))/100)),1))*IF(VLOOKUP(A68,tbMoveset!A2:K112,11,FALSE)=TRUE,Backdoors!AC5,1))*DR68,0),"")</f>
        <v>0</v>
      </c>
      <c r="DV68" s="49">
        <f>VLOOKUP(A68,tbMoveset!A2:G112,7,FALSE)*IFERROR(IF(Backdoors!AI12&gt;=0,1+(IF(Calculator!E40&gt;0,VLOOKUP(Calculator!E40,tbSkills!AI3:AJ5,2,FALSE),Backdoors!AL4)*(IF((Backdoors!AI12+IF(DQ68&gt;=0.45,VLOOKUP(Calculator!E23,tbSkills!DH3:DI6,2,FALSE)+IF(AND(Calculator!B8=TRUE,Backdoors!BI20=TRUE),VLOOKUP(Calculator!E23,tbSkills!DH3:DJ6,3,FALSE),0),0))&gt;=100,100,(Backdoors!AI12+IF(DQ68&gt;=0.45,VLOOKUP(Calculator!E23,tbSkills!DH3:DI6,2,FALSE)+IF(AND(Calculator!B8=TRUE,Backdoors!BI20=TRUE),VLOOKUP(Calculator!E23,tbSkills!DH3:DJ6,3,FALSE),0),0)))/100)),1),1)</f>
        <v>0.6</v>
      </c>
      <c r="DW68" s="87">
        <f t="shared" ref="DW68:DW112" si="68">SUM(DT68:DU68)</f>
        <v>0</v>
      </c>
      <c r="DX68" s="86" t="str">
        <f>IFERROR(IF(VLOOKUP(A68,tbMoveset!A2:B112,2,FALSE)="Sever",Backdoors!AY21/100,IF(VLOOKUP(A68,tbMoveset!A2:B112,2,FALSE)="Blunt",Backdoors!AZ21/100,Backdoors!BA21/100)),"")</f>
        <v/>
      </c>
      <c r="DY68" s="49">
        <f>IFERROR(IF(VLOOKUP(tbMoveset!A68,tbMoveset!A2:H112,8,FALSE)="Other",IF(VLOOKUP(tbMoveset!A68,tbMoveset!A2:I112,9,FALSE)="Fire",Backdoors!BB21,IF(VLOOKUP(tbMoveset!A68,tbMoveset!A2:I112,9,FALSE)="Water",Backdoors!BC21,IF(VLOOKUP(tbMoveset!A68,tbMoveset!A2:I112,9,FALSE)="Thunder",Backdoors!BD21,IF(VLOOKUP(tbMoveset!A68,tbMoveset!A2:I112,9,FALSE)="Ice",Backdoors!BE21,IF(VLOOKUP(tbMoveset!A68,tbMoveset!A2:I112,9,FALSE)="Dragon",Backdoors!BF21,Backdoors!BG21)))))/100,Backdoors!BG21/100),"")</f>
        <v>0</v>
      </c>
      <c r="DZ68" s="49">
        <f>IFERROR(IF(VLOOKUP(A68,tbMoveset!A2:J112,10,FALSE)=TRUE,IF((Backdoors!AI12+IF(DX68&gt;=0.45,VLOOKUP(Calculator!E23,tbSkills!DH3:DI6,2,FALSE)+IF(AND(Calculator!B8=TRUE,Backdoors!BI21=TRUE),VLOOKUP(Calculator!E23,tbSkills!DH3:DJ6,3,FALSE),0),0))&gt;=0,1+(Backdoors!AL2*(IF((Backdoors!AI12+IF(DX68&gt;=0.45,VLOOKUP(Calculator!E23,tbSkills!DH3:DI6,2,FALSE)+IF(AND(Calculator!B8=TRUE,Backdoors!BI21=TRUE),VLOOKUP(Calculator!E23,tbSkills!DH3:DJ6,3,FALSE),0),0))&gt;=100,100,(Backdoors!AI12+IF(DX68&gt;=0.45,VLOOKUP(Calculator!E23,tbSkills!DH3:DI6,2,FALSE)+IF(AND(Calculator!B8=TRUE,Backdoors!BI21=TRUE),VLOOKUP(Calculator!E23,tbSkills!DH3:DJ6,3,FALSE),0),0)))/100)),(1-(0.25*((-Backdoors!AI12-IF(DX68&gt;=0.45,VLOOKUP(Calculator!E23,tbSkills!DH3:DI6,2,FALSE)+IF(AND(Calculator!B8=TRUE,Backdoors!BI21=TRUE),VLOOKUP(Calculator!E23,tbSkills!DH3:DJ6,3,FALSE),0),0))/100)))),1),"")</f>
        <v>1</v>
      </c>
      <c r="EA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X68)*DZ68)*(VLOOKUP(A68,tbMoveset!A2:C112,3,FALSE)/100)*IF(VLOOKUP(A68,tbMoveset!A2:B112,2,FALSE)="Projectile",Backdoors!N10,Backdoors!N9),0),"")</f>
        <v/>
      </c>
      <c r="EB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X68&gt;=0.45,VLOOKUP(Calculator!E23,tbSkills!DH3:DI6,2,FALSE)+IF(AND(Calculator!B8=TRUE,Backdoors!BI21=TRUE),VLOOKUP(Calculator!E23,tbSkills!DH3:DJ6,3,FALSE),0),0))&gt;=100,100,(Backdoors!AI12+IF(DX68&gt;=0.45,VLOOKUP(Calculator!E23,tbSkills!DH3:DI6,2,FALSE)+IF(AND(Calculator!B8=TRUE,Backdoors!BI21=TRUE),VLOOKUP(Calculator!E23,tbSkills!DH3:DJ6,3,FALSE),0),0)))/100)),1))*IF(VLOOKUP(A68,tbMoveset!A2:K112,11,FALSE)=TRUE,Backdoors!AC5,1))*DY68,0),"")</f>
        <v>0</v>
      </c>
      <c r="EC68" s="49">
        <f>VLOOKUP(A68,tbMoveset!A2:G112,7,FALSE)*IFERROR(IF(Backdoors!AI12&gt;=0,1+(IF(Calculator!E40&gt;0,VLOOKUP(Calculator!E40,tbSkills!AI3:AJ5,2,FALSE),Backdoors!AL4)*(IF((Backdoors!AI12+IF(DX68&gt;=0.45,VLOOKUP(Calculator!E23,tbSkills!DH3:DI6,2,FALSE)+IF(AND(Calculator!B8=TRUE,Backdoors!BI21=TRUE),VLOOKUP(Calculator!E23,tbSkills!DH3:DJ6,3,FALSE),0),0))&gt;=100,100,(Backdoors!AI12+IF(DX68&gt;=0.45,VLOOKUP(Calculator!E23,tbSkills!DH3:DI6,2,FALSE)+IF(AND(Calculator!B8=TRUE,Backdoors!BI21=TRUE),VLOOKUP(Calculator!E23,tbSkills!DH3:DJ6,3,FALSE),0),0)))/100)),1),1)</f>
        <v>0.6</v>
      </c>
      <c r="ED68" s="87">
        <f t="shared" ref="ED68:ED112" si="69">SUM(EA68:EB68)</f>
        <v>0</v>
      </c>
      <c r="EE68" s="86" t="str">
        <f>IFERROR(IF(VLOOKUP(A68,tbMoveset!A2:B112,2,FALSE)="Sever",Backdoors!AY22/100,IF(VLOOKUP(A68,tbMoveset!A2:B112,2,FALSE)="Blunt",Backdoors!AZ22/100,Backdoors!BA22/100)),"")</f>
        <v/>
      </c>
      <c r="EF68" s="49">
        <f>IFERROR(IF(VLOOKUP(tbMoveset!A68,tbMoveset!A2:H112,8,FALSE)="Other",IF(VLOOKUP(tbMoveset!A68,tbMoveset!A2:I112,9,FALSE)="Fire",Backdoors!BB22,IF(VLOOKUP(tbMoveset!A68,tbMoveset!A2:I112,9,FALSE)="Water",Backdoors!BC22,IF(VLOOKUP(tbMoveset!A68,tbMoveset!A2:I112,9,FALSE)="Thunder",Backdoors!BD22,IF(VLOOKUP(tbMoveset!A68,tbMoveset!A2:I112,9,FALSE)="Ice",Backdoors!BE22,IF(VLOOKUP(tbMoveset!A68,tbMoveset!A2:I112,9,FALSE)="Dragon",Backdoors!BF22,Backdoors!BG22)))))/100,Backdoors!BG22/100),"")</f>
        <v>0</v>
      </c>
      <c r="EG68" s="49">
        <f>IFERROR(IF(VLOOKUP(A68,tbMoveset!A2:J112,10,FALSE)=TRUE,IF((Backdoors!AI12+IF(EE68&gt;=0.45,VLOOKUP(Calculator!E23,tbSkills!DH3:DI6,2,FALSE)+IF(AND(Calculator!B8=TRUE,Backdoors!BI22=TRUE),VLOOKUP(Calculator!E23,tbSkills!DH3:DJ6,3,FALSE),0),0))&gt;=0,1+(Backdoors!AL2*(IF((Backdoors!AI12+IF(EE68&gt;=0.45,VLOOKUP(Calculator!E23,tbSkills!DH3:DI6,2,FALSE)+IF(AND(Calculator!B8=TRUE,Backdoors!BI22=TRUE),VLOOKUP(Calculator!E23,tbSkills!DH3:DJ6,3,FALSE),0),0))&gt;=100,100,(Backdoors!AI12+IF(EE68&gt;=0.45,VLOOKUP(Calculator!E23,tbSkills!DH3:DI6,2,FALSE)+IF(AND(Calculator!B8=TRUE,Backdoors!BI22=TRUE),VLOOKUP(Calculator!E23,tbSkills!DH3:DJ6,3,FALSE),0),0)))/100)),(1-(0.25*((-Backdoors!AI12-IF(EE68&gt;=0.45,VLOOKUP(Calculator!E23,tbSkills!DH3:DI6,2,FALSE)+IF(AND(Calculator!B8=TRUE,Backdoors!BI22=TRUE),VLOOKUP(Calculator!E23,tbSkills!DH3:DJ6,3,FALSE),0),0))/100)))),1),"")</f>
        <v>1</v>
      </c>
      <c r="EH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E68)*EG68)*(VLOOKUP(A68,tbMoveset!A2:C112,3,FALSE)/100)*IF(VLOOKUP(A68,tbMoveset!A2:B112,2,FALSE)="Projectile",Backdoors!N10,Backdoors!N9),0),"")</f>
        <v/>
      </c>
      <c r="EI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E68&gt;=0.45,VLOOKUP(Calculator!E23,tbSkills!DH3:DI6,2,FALSE)+IF(AND(Calculator!B8=TRUE,Backdoors!BI22=TRUE),VLOOKUP(Calculator!E23,tbSkills!DH3:DJ6,3,FALSE),0),0))&gt;=100,100,(Backdoors!AI12+IF(EE68&gt;=0.45,VLOOKUP(Calculator!E23,tbSkills!DH3:DI6,2,FALSE)+IF(AND(Calculator!B8=TRUE,Backdoors!BI22=TRUE),VLOOKUP(Calculator!E23,tbSkills!DH3:DJ6,3,FALSE),0),0)))/100)),1))*IF(VLOOKUP(A68,tbMoveset!A2:K112,11,FALSE)=TRUE,Backdoors!AC5,1))*EF68,0),"")</f>
        <v>0</v>
      </c>
      <c r="EJ68" s="49">
        <f>VLOOKUP(A68,tbMoveset!A2:G112,7,FALSE)*IFERROR(IF(Backdoors!AI12&gt;=0,1+(IF(Calculator!E40&gt;0,VLOOKUP(Calculator!E40,tbSkills!AI3:AJ5,2,FALSE),Backdoors!AL4)*(IF((Backdoors!AI12+IF(EE68&gt;=0.45,VLOOKUP(Calculator!E23,tbSkills!DH3:DI6,2,FALSE)+IF(AND(Calculator!B8=TRUE,Backdoors!BI22=TRUE),VLOOKUP(Calculator!E23,tbSkills!DH3:DJ6,3,FALSE),0),0))&gt;=100,100,(Backdoors!AI12+IF(EE68&gt;=0.45,VLOOKUP(Calculator!E23,tbSkills!DH3:DI6,2,FALSE)+IF(AND(Calculator!B8=TRUE,Backdoors!BI22=TRUE),VLOOKUP(Calculator!E23,tbSkills!DH3:DJ6,3,FALSE),0),0)))/100)),1),1)</f>
        <v>0.6</v>
      </c>
      <c r="EK68" s="87">
        <f t="shared" ref="EK68:EK112" si="70">SUM(EH68:EI68)</f>
        <v>0</v>
      </c>
      <c r="EL68" s="86" t="str">
        <f>IFERROR(IF(VLOOKUP(A68,tbMoveset!A2:B112,2,FALSE)="Sever",Backdoors!AY23/100,IF(VLOOKUP(A68,tbMoveset!A2:B112,2,FALSE)="Blunt",Backdoors!AZ23/100,Backdoors!BA23/100)),"")</f>
        <v/>
      </c>
      <c r="EM68" s="49">
        <f>IFERROR(IF(VLOOKUP(tbMoveset!A68,tbMoveset!A2:H112,8,FALSE)="Other",IF(VLOOKUP(tbMoveset!A68,tbMoveset!A2:I112,9,FALSE)="Fire",Backdoors!BB23,IF(VLOOKUP(tbMoveset!A68,tbMoveset!A2:I112,9,FALSE)="Water",Backdoors!BC23,IF(VLOOKUP(tbMoveset!A68,tbMoveset!A2:I112,9,FALSE)="Thunder",Backdoors!BD23,IF(VLOOKUP(tbMoveset!A68,tbMoveset!A2:I112,9,FALSE)="Ice",Backdoors!BE23,IF(VLOOKUP(tbMoveset!A68,tbMoveset!A2:I112,9,FALSE)="Dragon",Backdoors!BF23,Backdoors!BG23)))))/100,Backdoors!BG23/100),"")</f>
        <v>0</v>
      </c>
      <c r="EN68" s="49">
        <f>IFERROR(IF(VLOOKUP(A68,tbMoveset!A2:J112,10,FALSE)=TRUE,IF((Backdoors!AI12+IF(EL68&gt;=0.45,VLOOKUP(Calculator!E23,tbSkills!DH3:DI6,2,FALSE)+IF(AND(Calculator!B8=TRUE,Backdoors!BI23=TRUE),VLOOKUP(Calculator!E23,tbSkills!DH3:DJ6,3,FALSE),0),0))&gt;=0,1+(Backdoors!AL2*(IF((Backdoors!AI12+IF(EL68&gt;=0.45,VLOOKUP(Calculator!E23,tbSkills!DH3:DI6,2,FALSE)+IF(AND(Calculator!B8=TRUE,Backdoors!BI23=TRUE),VLOOKUP(Calculator!E23,tbSkills!DH3:DJ6,3,FALSE),0),0))&gt;=100,100,(Backdoors!AI12+IF(EL68&gt;=0.45,VLOOKUP(Calculator!E23,tbSkills!DH3:DI6,2,FALSE)+IF(AND(Calculator!B8=TRUE,Backdoors!BI23=TRUE),VLOOKUP(Calculator!E23,tbSkills!DH3:DJ6,3,FALSE),0),0)))/100)),(1-(0.25*((-Backdoors!AI12-IF(EL68&gt;=0.45,VLOOKUP(Calculator!E23,tbSkills!DH3:DI6,2,FALSE)+IF(AND(Calculator!B8=TRUE,Backdoors!BI23=TRUE),VLOOKUP(Calculator!E23,tbSkills!DH3:DJ6,3,FALSE),0),0))/100)))),1),"")</f>
        <v>1</v>
      </c>
      <c r="EO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L68)*EN68)*(VLOOKUP(A68,tbMoveset!A2:C112,3,FALSE)/100)*IF(VLOOKUP(A68,tbMoveset!A2:B112,2,FALSE)="Projectile",Backdoors!N10,Backdoors!N9),0),"")</f>
        <v/>
      </c>
      <c r="EP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L68&gt;=0.45,VLOOKUP(Calculator!E23,tbSkills!DH3:DI6,2,FALSE)+IF(AND(Calculator!B8=TRUE,Backdoors!BI23=TRUE),VLOOKUP(Calculator!E23,tbSkills!DH3:DJ6,3,FALSE),0),0))&gt;=100,100,(Backdoors!AI12+IF(EL68&gt;=0.45,VLOOKUP(Calculator!E23,tbSkills!DH3:DI6,2,FALSE)+IF(AND(Calculator!B8=TRUE,Backdoors!BI23=TRUE),VLOOKUP(Calculator!E23,tbSkills!DH3:DJ6,3,FALSE),0),0)))/100)),1))*IF(VLOOKUP(A68,tbMoveset!A2:K112,11,FALSE)=TRUE,Backdoors!AC5,1))*EM68,0),"")</f>
        <v>0</v>
      </c>
      <c r="EQ68" s="49">
        <f>VLOOKUP(A68,tbMoveset!A2:G112,7,FALSE)*IFERROR(IF(Backdoors!AI12&gt;=0,1+(IF(Calculator!E40&gt;0,VLOOKUP(Calculator!E40,tbSkills!AI3:AJ5,2,FALSE),Backdoors!AL4)*(IF((Backdoors!AI12+IF(EL68&gt;=0.45,VLOOKUP(Calculator!E23,tbSkills!DH3:DI6,2,FALSE)+IF(AND(Calculator!B8=TRUE,Backdoors!BI23=TRUE),VLOOKUP(Calculator!E23,tbSkills!DH3:DJ6,3,FALSE),0),0))&gt;=100,100,(Backdoors!AI12+IF(EL68&gt;=0.45,VLOOKUP(Calculator!E23,tbSkills!DH3:DI6,2,FALSE)+IF(AND(Calculator!B8=TRUE,Backdoors!BI23=TRUE),VLOOKUP(Calculator!E23,tbSkills!DH3:DJ6,3,FALSE),0),0)))/100)),1),1)</f>
        <v>0.6</v>
      </c>
      <c r="ER68" s="87">
        <f t="shared" ref="ER68:ER112" si="71">SUM(EO68:EP68)</f>
        <v>0</v>
      </c>
      <c r="ES68" s="86" t="str">
        <f>IFERROR(IF(VLOOKUP(A68,tbMoveset!A2:B112,2,FALSE)="Sever",Backdoors!AY24/100,IF(VLOOKUP(A68,tbMoveset!A2:B112,2,FALSE)="Blunt",Backdoors!AZ24/100,Backdoors!BA24/100)),"")</f>
        <v/>
      </c>
      <c r="ET68" s="49">
        <f>IFERROR(IF(VLOOKUP(tbMoveset!A68,tbMoveset!A2:H112,8,FALSE)="Other",IF(VLOOKUP(tbMoveset!A68,tbMoveset!A2:I112,9,FALSE)="Fire",Backdoors!BB24,IF(VLOOKUP(tbMoveset!A68,tbMoveset!A2:I112,9,FALSE)="Water",Backdoors!BC24,IF(VLOOKUP(tbMoveset!A68,tbMoveset!A2:I112,9,FALSE)="Thunder",Backdoors!BD24,IF(VLOOKUP(tbMoveset!A68,tbMoveset!A2:I112,9,FALSE)="Ice",Backdoors!BE24,IF(VLOOKUP(tbMoveset!A68,tbMoveset!A2:I112,9,FALSE)="Dragon",Backdoors!BF24,Backdoors!BG24)))))/100,Backdoors!BG24/100),"")</f>
        <v>0</v>
      </c>
      <c r="EU68" s="49">
        <f>IFERROR(IF(VLOOKUP(A68,tbMoveset!A2:J112,10,FALSE)=TRUE,IF((Backdoors!AI12+IF(ES68&gt;=0.45,VLOOKUP(Calculator!E23,tbSkills!DH3:DI6,2,FALSE)+IF(AND(Calculator!B8=TRUE,Backdoors!BI24=TRUE),VLOOKUP(Calculator!E23,tbSkills!DH3:DJ6,3,FALSE),0),0))&gt;=0,1+(Backdoors!AL2*(IF((Backdoors!AI12+IF(ES68&gt;=0.45,VLOOKUP(Calculator!E23,tbSkills!DH3:DI6,2,FALSE)+IF(AND(Calculator!B8=TRUE,Backdoors!BI24=TRUE),VLOOKUP(Calculator!E23,tbSkills!DH3:DJ6,3,FALSE),0),0))&gt;=100,100,(Backdoors!AI12+IF(ES68&gt;=0.45,VLOOKUP(Calculator!E23,tbSkills!DH3:DI6,2,FALSE)+IF(AND(Calculator!B8=TRUE,Backdoors!BI24=TRUE),VLOOKUP(Calculator!E23,tbSkills!DH3:DJ6,3,FALSE),0),0)))/100)),(1-(0.25*((-Backdoors!AI12-IF(ES68&gt;=0.45,VLOOKUP(Calculator!E23,tbSkills!DH3:DI6,2,FALSE)+IF(AND(Calculator!B8=TRUE,Backdoors!BI24=TRUE),VLOOKUP(Calculator!E23,tbSkills!DH3:DJ6,3,FALSE),0),0))/100)))),1),"")</f>
        <v>1</v>
      </c>
      <c r="EV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S68)*EU68)*(VLOOKUP(A68,tbMoveset!A2:C112,3,FALSE)/100)*IF(VLOOKUP(A68,tbMoveset!A2:B112,2,FALSE)="Projectile",Backdoors!N10,Backdoors!N9),0),"")</f>
        <v/>
      </c>
      <c r="EW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S68&gt;=0.45,VLOOKUP(Calculator!E23,tbSkills!DH3:DI6,2,FALSE)+IF(AND(Calculator!B8=TRUE,Backdoors!BI24=TRUE),VLOOKUP(Calculator!E23,tbSkills!DH3:DJ6,3,FALSE),0),0))&gt;=100,100,(Backdoors!AI12+IF(ES68&gt;=0.45,VLOOKUP(Calculator!E23,tbSkills!DH3:DI6,2,FALSE)+IF(AND(Calculator!B8=TRUE,Backdoors!BI24=TRUE),VLOOKUP(Calculator!E23,tbSkills!DH3:DJ6,3,FALSE),0),0)))/100)),1))*IF(VLOOKUP(A68,tbMoveset!A2:K112,11,FALSE)=TRUE,Backdoors!AC5,1))*ET68,0),"")</f>
        <v>0</v>
      </c>
      <c r="EX68" s="49">
        <f>VLOOKUP(A68,tbMoveset!A2:G112,7,FALSE)*IFERROR(IF(Backdoors!AI12&gt;=0,1+(IF(Calculator!E40&gt;0,VLOOKUP(Calculator!E40,tbSkills!AI3:AJ5,2,FALSE),Backdoors!AL4)*(IF((Backdoors!AI12+IF(ES68&gt;=0.45,VLOOKUP(Calculator!E23,tbSkills!DH3:DI6,2,FALSE)+IF(AND(Calculator!B8=TRUE,Backdoors!BI24=TRUE),VLOOKUP(Calculator!E23,tbSkills!DH3:DJ6,3,FALSE),0),0))&gt;=100,100,(Backdoors!AI12+IF(ES68&gt;=0.45,VLOOKUP(Calculator!E23,tbSkills!DH3:DI6,2,FALSE)+IF(AND(Calculator!B8=TRUE,Backdoors!BI24=TRUE),VLOOKUP(Calculator!E23,tbSkills!DH3:DJ6,3,FALSE),0),0)))/100)),1),1)</f>
        <v>0.6</v>
      </c>
      <c r="EY68" s="87">
        <f t="shared" ref="EY68:EY112" si="72">SUM(EV68:EW68)</f>
        <v>0</v>
      </c>
      <c r="EZ68" s="86" t="str">
        <f>IFERROR(IF(VLOOKUP(A68,tbMoveset!A2:B112,2,FALSE)="Sever",Backdoors!AY25/100,IF(VLOOKUP(A68,tbMoveset!A2:B112,2,FALSE)="Blunt",Backdoors!AZ25/100,Backdoors!BA25/100)),"")</f>
        <v/>
      </c>
      <c r="FA68" s="49">
        <f>IFERROR(IF(VLOOKUP(tbMoveset!A68,tbMoveset!A2:H112,8,FALSE)="Other",IF(VLOOKUP(tbMoveset!A68,tbMoveset!A2:I112,9,FALSE)="Fire",Backdoors!BB25,IF(VLOOKUP(tbMoveset!A68,tbMoveset!A2:I112,9,FALSE)="Water",Backdoors!BC25,IF(VLOOKUP(tbMoveset!A68,tbMoveset!A2:I112,9,FALSE)="Thunder",Backdoors!BD25,IF(VLOOKUP(tbMoveset!A68,tbMoveset!A2:I112,9,FALSE)="Ice",Backdoors!BE25,IF(VLOOKUP(tbMoveset!A68,tbMoveset!A2:I112,9,FALSE)="Dragon",Backdoors!BF25,Backdoors!BG25)))))/100,Backdoors!BG25/100),"")</f>
        <v>0</v>
      </c>
      <c r="FB68" s="49">
        <f>IFERROR(IF(VLOOKUP(A68,tbMoveset!A2:J112,10,FALSE)=TRUE,IF((Backdoors!AI12+IF(EZ68&gt;=0.45,VLOOKUP(Calculator!E23,tbSkills!DH3:DI6,2,FALSE)+IF(AND(Calculator!B8=TRUE,Backdoors!BI25=TRUE),VLOOKUP(Calculator!E23,tbSkills!DH3:DJ6,3,FALSE),0),0))&gt;=0,1+(Backdoors!AL2*(IF((Backdoors!AI12+IF(EZ68&gt;=0.45,VLOOKUP(Calculator!E23,tbSkills!DH3:DI6,2,FALSE)+IF(AND(Calculator!B8=TRUE,Backdoors!BI25=TRUE),VLOOKUP(Calculator!E23,tbSkills!DH3:DJ6,3,FALSE),0),0))&gt;=100,100,(Backdoors!AI12+IF(EZ68&gt;=0.45,VLOOKUP(Calculator!E23,tbSkills!DH3:DI6,2,FALSE)+IF(AND(Calculator!B8=TRUE,Backdoors!BI25=TRUE),VLOOKUP(Calculator!E23,tbSkills!DH3:DJ6,3,FALSE),0),0)))/100)),(1-(0.25*((-Backdoors!AI12-IF(EZ68&gt;=0.45,VLOOKUP(Calculator!E23,tbSkills!DH3:DI6,2,FALSE)+IF(AND(Calculator!B8=TRUE,Backdoors!BI25=TRUE),VLOOKUP(Calculator!E23,tbSkills!DH3:DJ6,3,FALSE),0),0))/100)))),1),"")</f>
        <v>1</v>
      </c>
      <c r="FC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Z68)*FB68)*(VLOOKUP(A68,tbMoveset!A2:C112,3,FALSE)/100)*IF(VLOOKUP(A68,tbMoveset!A2:B112,2,FALSE)="Projectile",Backdoors!N10,Backdoors!N9),0),"")</f>
        <v/>
      </c>
      <c r="FD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Z68&gt;=0.45,VLOOKUP(Calculator!E23,tbSkills!DH3:DI6,2,FALSE)+IF(AND(Calculator!B8=TRUE,Backdoors!BI25=TRUE),VLOOKUP(Calculator!E23,tbSkills!DH3:DJ6,3,FALSE),0),0))&gt;=100,100,(Backdoors!AI12+IF(EZ68&gt;=0.45,VLOOKUP(Calculator!E23,tbSkills!DH3:DI6,2,FALSE)+IF(AND(Calculator!B8=TRUE,Backdoors!BI25=TRUE),VLOOKUP(Calculator!E23,tbSkills!DH3:DJ6,3,FALSE),0),0)))/100)),1))*IF(VLOOKUP(A68,tbMoveset!A2:K112,11,FALSE)=TRUE,Backdoors!AC5,1))*FA68,0),"")</f>
        <v>0</v>
      </c>
      <c r="FE68" s="49">
        <f>VLOOKUP(A68,tbMoveset!A2:G112,7,FALSE)*IFERROR(IF(Backdoors!AI12&gt;=0,1+(IF(Calculator!E40&gt;0,VLOOKUP(Calculator!E40,tbSkills!AI3:AJ5,2,FALSE),Backdoors!AL4)*(IF((Backdoors!AI12+IF(EZ68&gt;=0.45,VLOOKUP(Calculator!E23,tbSkills!DH3:DI6,2,FALSE)+IF(AND(Calculator!B8=TRUE,Backdoors!BI25=TRUE),VLOOKUP(Calculator!E23,tbSkills!DH3:DJ6,3,FALSE),0),0))&gt;=100,100,(Backdoors!AI12+IF(EZ68&gt;=0.45,VLOOKUP(Calculator!E23,tbSkills!DH3:DI6,2,FALSE)+IF(AND(Calculator!B8=TRUE,Backdoors!BI25=TRUE),VLOOKUP(Calculator!E23,tbSkills!DH3:DJ6,3,FALSE),0),0)))/100)),1),1)</f>
        <v>0.6</v>
      </c>
      <c r="FF68" s="87">
        <f t="shared" ref="FF68:FF112" si="73">SUM(FC68:FD68)</f>
        <v>0</v>
      </c>
      <c r="FG68" s="86" t="str">
        <f>IFERROR(IF(VLOOKUP(A68,tbMoveset!A2:B112,2,FALSE)="Sever",Backdoors!AY26/100,IF(VLOOKUP(A68,tbMoveset!A2:B112,2,FALSE)="Blunt",Backdoors!AZ26/100,Backdoors!BA26/100)),"")</f>
        <v/>
      </c>
      <c r="FH68" s="49">
        <f>IFERROR(IF(VLOOKUP(tbMoveset!A68,tbMoveset!A2:H112,8,FALSE)="Other",IF(VLOOKUP(tbMoveset!A68,tbMoveset!A2:I112,9,FALSE)="Fire",Backdoors!BB26,IF(VLOOKUP(tbMoveset!A68,tbMoveset!A2:I112,9,FALSE)="Water",Backdoors!BC26,IF(VLOOKUP(tbMoveset!A68,tbMoveset!A2:I112,9,FALSE)="Thunder",Backdoors!BD26,IF(VLOOKUP(tbMoveset!A68,tbMoveset!A2:I112,9,FALSE)="Ice",Backdoors!BE26,IF(VLOOKUP(tbMoveset!A68,tbMoveset!A2:I112,9,FALSE)="Dragon",Backdoors!BF26,Backdoors!BG26)))))/100,Backdoors!BG26/100),"")</f>
        <v>0</v>
      </c>
      <c r="FI68" s="49">
        <f>IFERROR(IF(VLOOKUP(A68,tbMoveset!A2:J112,10,FALSE)=TRUE,IF((Backdoors!AI12+IF(FG68&gt;=0.45,VLOOKUP(Calculator!E23,tbSkills!DH3:DI6,2,FALSE)+IF(AND(Calculator!B8=TRUE,Backdoors!BI26=TRUE),VLOOKUP(Calculator!E23,tbSkills!DH3:DJ6,3,FALSE),0),0))&gt;=0,1+(Backdoors!AL2*(IF((Backdoors!AI12+IF(FG68&gt;=0.45,VLOOKUP(Calculator!E23,tbSkills!DH3:DI6,2,FALSE)+IF(AND(Calculator!B8=TRUE,Backdoors!BI26=TRUE),VLOOKUP(Calculator!E23,tbSkills!DH3:DJ6,3,FALSE),0),0))&gt;=100,100,(Backdoors!AI12+IF(FG68&gt;=0.45,VLOOKUP(Calculator!E23,tbSkills!DH3:DI6,2,FALSE)+IF(AND(Calculator!B8=TRUE,Backdoors!BI26=TRUE),VLOOKUP(Calculator!E23,tbSkills!DH3:DJ6,3,FALSE),0),0)))/100)),(1-(0.25*((-Backdoors!AI12-IF(FG68&gt;=0.45,VLOOKUP(Calculator!E23,tbSkills!DH3:DI6,2,FALSE)+IF(AND(Calculator!B8=TRUE,Backdoors!BI26=TRUE),VLOOKUP(Calculator!E23,tbSkills!DH3:DJ6,3,FALSE),0),0))/100)))),1),"")</f>
        <v>1</v>
      </c>
      <c r="FJ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FG68)*FI68)*(VLOOKUP(A68,tbMoveset!A2:C112,3,FALSE)/100)*IF(VLOOKUP(A68,tbMoveset!A2:B112,2,FALSE)="Projectile",Backdoors!N10,Backdoors!N9),0),"")</f>
        <v/>
      </c>
      <c r="FK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FG68&gt;=0.45,VLOOKUP(Calculator!E23,tbSkills!DH3:DI6,2,FALSE)+IF(AND(Calculator!B8=TRUE,Backdoors!BI26=TRUE),VLOOKUP(Calculator!E23,tbSkills!DH3:DJ6,3,FALSE),0),0))&gt;=100,100,(Backdoors!AI12+IF(FG68&gt;=0.45,VLOOKUP(Calculator!E23,tbSkills!DH3:DI6,2,FALSE)+IF(AND(Calculator!B8=TRUE,Backdoors!BI26=TRUE),VLOOKUP(Calculator!E23,tbSkills!DH3:DJ6,3,FALSE),0),0)))/100)),1))*IF(VLOOKUP(A68,tbMoveset!A2:K112,11,FALSE)=TRUE,Backdoors!AC5,1))*FH68,0),"")</f>
        <v>0</v>
      </c>
      <c r="FL68" s="49">
        <f>VLOOKUP(A68,tbMoveset!A2:G112,7,FALSE)*IFERROR(IF(Backdoors!AI12&gt;=0,1+(IF(Calculator!E40&gt;0,VLOOKUP(Calculator!E40,tbSkills!AI3:AJ5,2,FALSE),Backdoors!AL4)*(IF((Backdoors!AI12+IF(FG68&gt;=0.45,VLOOKUP(Calculator!E23,tbSkills!DH3:DI6,2,FALSE)+IF(AND(Calculator!B8=TRUE,Backdoors!BI26=TRUE),VLOOKUP(Calculator!E23,tbSkills!DH3:DJ6,3,FALSE),0),0))&gt;=100,100,(Backdoors!AI12+IF(FG68&gt;=0.45,VLOOKUP(Calculator!E23,tbSkills!DH3:DI6,2,FALSE)+IF(AND(Calculator!B8=TRUE,Backdoors!BI26=TRUE),VLOOKUP(Calculator!E23,tbSkills!DH3:DJ6,3,FALSE),0),0)))/100)),1),1)</f>
        <v>0.6</v>
      </c>
      <c r="FM68" s="87">
        <f t="shared" ref="FM68:FM112" si="74">SUM(FJ68:FK68)</f>
        <v>0</v>
      </c>
      <c r="FN68" s="86" t="str">
        <f>IFERROR(IF(VLOOKUP(A68,tbMoveset!A2:B112,2,FALSE)="Sever",Backdoors!AY27/100,IF(VLOOKUP(A68,tbMoveset!A2:B112,2,FALSE)="Blunt",Backdoors!AZ27/100,Backdoors!BA27/100)),"")</f>
        <v/>
      </c>
      <c r="FO68" s="49">
        <f>IFERROR(IF(VLOOKUP(tbMoveset!A68,tbMoveset!A2:H112,8,FALSE)="Other",IF(VLOOKUP(tbMoveset!A68,tbMoveset!A2:I112,9,FALSE)="Fire",Backdoors!BB27,IF(VLOOKUP(tbMoveset!A68,tbMoveset!A2:I112,9,FALSE)="Water",Backdoors!BC27,IF(VLOOKUP(tbMoveset!A68,tbMoveset!A2:I112,9,FALSE)="Thunder",Backdoors!BD27,IF(VLOOKUP(tbMoveset!A68,tbMoveset!A2:I112,9,FALSE)="Ice",Backdoors!BE27,IF(VLOOKUP(tbMoveset!A68,tbMoveset!A2:I112,9,FALSE)="Dragon",Backdoors!BF27,Backdoors!BG27)))))/100,Backdoors!BG27/100),"")</f>
        <v>0</v>
      </c>
      <c r="FP68" s="49">
        <f>IFERROR(IF(VLOOKUP(A68,tbMoveset!A2:J112,10,FALSE)=TRUE,IF((Backdoors!AI12+IF(FN68&gt;=0.45,VLOOKUP(Calculator!E23,tbSkills!DH3:DI6,2,FALSE)+IF(AND(Calculator!B8=TRUE,Backdoors!BI27=TRUE),VLOOKUP(Calculator!E23,tbSkills!DH3:DJ6,3,FALSE),0),0))&gt;=0,1+(Backdoors!AL2*(IF((Backdoors!AI12+IF(FN68&gt;=0.45,VLOOKUP(Calculator!E23,tbSkills!DH3:DI6,2,FALSE)+IF(AND(Calculator!B8=TRUE,Backdoors!BI27=TRUE),VLOOKUP(Calculator!E23,tbSkills!DH3:DJ6,3,FALSE),0),0))&gt;=100,100,(Backdoors!AI12+IF(FN68&gt;=0.45,VLOOKUP(Calculator!E23,tbSkills!DH3:DI6,2,FALSE)+IF(AND(Calculator!B8=TRUE,Backdoors!BI27=TRUE),VLOOKUP(Calculator!E23,tbSkills!DH3:DJ6,3,FALSE),0),0)))/100)),(1-(0.25*((-Backdoors!AI12-IF(FN68&gt;=0.45,VLOOKUP(Calculator!E23,tbSkills!DH3:DI6,2,FALSE)+IF(AND(Calculator!B8=TRUE,Backdoors!BI27=TRUE),VLOOKUP(Calculator!E23,tbSkills!DH3:DJ6,3,FALSE),0),0))/100)))),1),"")</f>
        <v>1</v>
      </c>
      <c r="FQ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FN68)*FP68)*(VLOOKUP(A68,tbMoveset!A2:C112,3,FALSE)/100)*IF(VLOOKUP(A68,tbMoveset!A2:B112,2,FALSE)="Projectile",Backdoors!N10,Backdoors!N9),0),"")</f>
        <v/>
      </c>
      <c r="FR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FN68&gt;=0.45,VLOOKUP(Calculator!E23,tbSkills!DH3:DI6,2,FALSE)+IF(AND(Calculator!B8=TRUE,Backdoors!BI27=TRUE),VLOOKUP(Calculator!E23,tbSkills!DH3:DJ6,3,FALSE),0),0))&gt;=100,100,(Backdoors!AI12+IF(FN68&gt;=0.45,VLOOKUP(Calculator!E23,tbSkills!DH3:DI6,2,FALSE)+IF(AND(Calculator!B8=TRUE,Backdoors!BI27=TRUE),VLOOKUP(Calculator!E23,tbSkills!DH3:DJ6,3,FALSE),0),0)))/100)),1))*IF(VLOOKUP(A68,tbMoveset!A2:K112,11,FALSE)=TRUE,Backdoors!AC5,1))*FO68,0),"")</f>
        <v>0</v>
      </c>
      <c r="FS68" s="49">
        <f>VLOOKUP(A68,tbMoveset!A2:G112,7,FALSE)*IFERROR(IF(Backdoors!AI12&gt;=0,1+(IF(Calculator!E40&gt;0,VLOOKUP(Calculator!E40,tbSkills!AI3:AJ5,2,FALSE),Backdoors!AL4)*(IF((Backdoors!AI12+IF(FN68&gt;=0.45,VLOOKUP(Calculator!E23,tbSkills!DH3:DI6,2,FALSE)+IF(AND(Calculator!B8=TRUE,Backdoors!BI27=TRUE),VLOOKUP(Calculator!E23,tbSkills!DH3:DJ6,3,FALSE),0),0))&gt;=100,100,(Backdoors!AI12+IF(FN68&gt;=0.45,VLOOKUP(Calculator!E23,tbSkills!DH3:DI6,2,FALSE)+IF(AND(Calculator!B8=TRUE,Backdoors!BI27=TRUE),VLOOKUP(Calculator!E23,tbSkills!DH3:DJ6,3,FALSE),0),0)))/100)),1),1)</f>
        <v>0.6</v>
      </c>
      <c r="FT68" s="87">
        <f t="shared" ref="FT68:FT112" si="75">SUM(FQ68:FR68)</f>
        <v>0</v>
      </c>
      <c r="FU68" s="86" t="str">
        <f>IFERROR(IF(VLOOKUP(A68,tbMoveset!A2:B112,2,FALSE)="Sever",Backdoors!AY28/100,IF(VLOOKUP(A68,tbMoveset!A2:B112,2,FALSE)="Blunt",Backdoors!AZ28/100,Backdoors!BA28/100)),"")</f>
        <v/>
      </c>
      <c r="FV68" s="49">
        <f>IFERROR(IF(VLOOKUP(tbMoveset!A68,tbMoveset!A2:H112,8,FALSE)="Other",IF(VLOOKUP(tbMoveset!A68,tbMoveset!A2:I112,9,FALSE)="Fire",Backdoors!BB28,IF(VLOOKUP(tbMoveset!A68,tbMoveset!A2:I112,9,FALSE)="Water",Backdoors!BC28,IF(VLOOKUP(tbMoveset!A68,tbMoveset!A2:I112,9,FALSE)="Thunder",Backdoors!BD28,IF(VLOOKUP(tbMoveset!A68,tbMoveset!A2:I112,9,FALSE)="Ice",Backdoors!BE28,IF(VLOOKUP(tbMoveset!A68,tbMoveset!A2:I112,9,FALSE)="Dragon",Backdoors!BF28,Backdoors!BG28)))))/100,Backdoors!BG28/100),"")</f>
        <v>0</v>
      </c>
      <c r="FW68" s="49">
        <f>IFERROR(IF(VLOOKUP(A68,tbMoveset!A2:J112,10,FALSE)=TRUE,IF((Backdoors!AI12+IF(FU68&gt;=0.45,VLOOKUP(Calculator!E23,tbSkills!DH3:DI6,2,FALSE)+IF(AND(Calculator!B8=TRUE,Backdoors!BI28=TRUE),VLOOKUP(Calculator!E23,tbSkills!DH3:DJ6,3,FALSE),0),0))&gt;=0,1+(Backdoors!AL2*(IF((Backdoors!AI12+IF(FU68&gt;=0.45,VLOOKUP(Calculator!E23,tbSkills!DH3:DI6,2,FALSE)+IF(AND(Calculator!B8=TRUE,Backdoors!BI28=TRUE),VLOOKUP(Calculator!E23,tbSkills!DH3:DJ6,3,FALSE),0),0))&gt;=100,100,(Backdoors!AI12+IF(FU68&gt;=0.45,VLOOKUP(Calculator!E23,tbSkills!DH3:DI6,2,FALSE)+IF(AND(Calculator!B8=TRUE,Backdoors!BI28=TRUE),VLOOKUP(Calculator!E23,tbSkills!DH3:DJ6,3,FALSE),0),0)))/100)),(1-(0.25*((-Backdoors!AI12-IF(FU68&gt;=0.45,VLOOKUP(Calculator!E23,tbSkills!DH3:DI6,2,FALSE)+IF(AND(Calculator!B8=TRUE,Backdoors!BI28=TRUE),VLOOKUP(Calculator!E23,tbSkills!DH3:DJ6,3,FALSE),0),0))/100)))),1),"")</f>
        <v>1</v>
      </c>
      <c r="FX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FU68)*FW68)*(VLOOKUP(A68,tbMoveset!A2:C112,3,FALSE)/100)*IF(VLOOKUP(A68,tbMoveset!A2:B112,2,FALSE)="Projectile",Backdoors!N10,Backdoors!N9),0),"")</f>
        <v/>
      </c>
      <c r="FY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FU68&gt;=0.45,VLOOKUP(Calculator!E23,tbSkills!DH3:DI6,2,FALSE)+IF(AND(Calculator!B8=TRUE,Backdoors!BI28=TRUE),VLOOKUP(Calculator!E23,tbSkills!DH3:DJ6,3,FALSE),0),0))&gt;=100,100,(Backdoors!AI12+IF(FU68&gt;=0.45,VLOOKUP(Calculator!E23,tbSkills!DH3:DI6,2,FALSE)+IF(AND(Calculator!B8=TRUE,Backdoors!BI28=TRUE),VLOOKUP(Calculator!E23,tbSkills!DH3:DJ6,3,FALSE),0),0)))/100)),1))*IF(VLOOKUP(A68,tbMoveset!A2:K112,11,FALSE)=TRUE,Backdoors!AC5,1))*FV68,0),"")</f>
        <v>0</v>
      </c>
      <c r="FZ68" s="49">
        <f>VLOOKUP(A68,tbMoveset!A2:G112,7,FALSE)*IFERROR(IF(Backdoors!AI12&gt;=0,1+(IF(Calculator!E40&gt;0,VLOOKUP(Calculator!E40,tbSkills!AI3:AJ5,2,FALSE),Backdoors!AL4)*(IF((Backdoors!AI12+IF(FU68&gt;=0.45,VLOOKUP(Calculator!E23,tbSkills!DH3:DI6,2,FALSE)+IF(AND(Calculator!B8=TRUE,Backdoors!BI28=TRUE),VLOOKUP(Calculator!E23,tbSkills!DH3:DJ6,3,FALSE),0),0))&gt;=100,100,(Backdoors!AI12+IF(FU68&gt;=0.45,VLOOKUP(Calculator!E23,tbSkills!DH3:DI6,2,FALSE)+IF(AND(Calculator!B8=TRUE,Backdoors!BI28=TRUE),VLOOKUP(Calculator!E23,tbSkills!DH3:DJ6,3,FALSE),0),0)))/100)),1),1)</f>
        <v>0.6</v>
      </c>
      <c r="GA68" s="87">
        <f t="shared" ref="GA68:GA112" si="76">SUM(FX68:FY68)</f>
        <v>0</v>
      </c>
      <c r="GB68" s="86" t="str">
        <f>IFERROR(IF(VLOOKUP(A68,tbMoveset!A2:B112,2,FALSE)="Sever",Backdoors!AY29/100,IF(VLOOKUP(A68,tbMoveset!A2:B112,2,FALSE)="Blunt",Backdoors!AZ29/100,Backdoors!BA29/100)),"")</f>
        <v/>
      </c>
      <c r="GC68" s="49">
        <f>IFERROR(IF(VLOOKUP(tbMoveset!A68,tbMoveset!A2:H112,8,FALSE)="Other",IF(VLOOKUP(tbMoveset!A68,tbMoveset!A2:I112,9,FALSE)="Fire",Backdoors!BB29,IF(VLOOKUP(tbMoveset!A68,tbMoveset!A2:I112,9,FALSE)="Water",Backdoors!BC29,IF(VLOOKUP(tbMoveset!A68,tbMoveset!A2:I112,9,FALSE)="Thunder",Backdoors!BD29,IF(VLOOKUP(tbMoveset!A68,tbMoveset!A2:I112,9,FALSE)="Ice",Backdoors!BE29,IF(VLOOKUP(tbMoveset!A68,tbMoveset!A2:I112,9,FALSE)="Dragon",Backdoors!BF29,Backdoors!BG29)))))/100,Backdoors!BG29/100),"")</f>
        <v>0</v>
      </c>
      <c r="GD68" s="49">
        <f>IFERROR(IF(VLOOKUP(A68,tbMoveset!A2:J112,10,FALSE)=TRUE,IF((Backdoors!AI12+IF(GB68&gt;=0.45,VLOOKUP(Calculator!E23,tbSkills!DH3:DI6,2,FALSE)+IF(AND(Calculator!B8=TRUE,Backdoors!BI29=TRUE),VLOOKUP(Calculator!E23,tbSkills!DH3:DJ6,3,FALSE),0),0))&gt;=0,1+(Backdoors!AL2*(IF((Backdoors!AI12+IF(GB68&gt;=0.45,VLOOKUP(Calculator!E23,tbSkills!DH3:DI6,2,FALSE)+IF(AND(Calculator!B8=TRUE,Backdoors!BI29=TRUE),VLOOKUP(Calculator!E23,tbSkills!DH3:DJ6,3,FALSE),0),0))&gt;=100,100,(Backdoors!AI12+IF(GB68&gt;=0.45,VLOOKUP(Calculator!E23,tbSkills!DH3:DI6,2,FALSE)+IF(AND(Calculator!B8=TRUE,Backdoors!BI29=TRUE),VLOOKUP(Calculator!E23,tbSkills!DH3:DJ6,3,FALSE),0),0)))/100)),(1-(0.25*((-Backdoors!AI12-IF(GB68&gt;=0.45,VLOOKUP(Calculator!E23,tbSkills!DH3:DI6,2,FALSE)+IF(AND(Calculator!B8=TRUE,Backdoors!BI29=TRUE),VLOOKUP(Calculator!E23,tbSkills!DH3:DJ6,3,FALSE),0),0))/100)))),1),"")</f>
        <v>1</v>
      </c>
      <c r="GE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B68)*GD68)*(VLOOKUP(A68,tbMoveset!A2:C112,3,FALSE)/100)*IF(VLOOKUP(A68,tbMoveset!A2:B112,2,FALSE)="Projectile",Backdoors!N10,Backdoors!N9),0),"")</f>
        <v/>
      </c>
      <c r="GF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B68&gt;=0.45,VLOOKUP(Calculator!E23,tbSkills!DH3:DI6,2,FALSE)+IF(AND(Calculator!B8=TRUE,Backdoors!BI29=TRUE),VLOOKUP(Calculator!E23,tbSkills!DH3:DJ6,3,FALSE),0),0))&gt;=100,100,(Backdoors!AI12+IF(GB68&gt;=0.45,VLOOKUP(Calculator!E23,tbSkills!DH3:DI6,2,FALSE)+IF(AND(Calculator!B8=TRUE,Backdoors!BI29=TRUE),VLOOKUP(Calculator!E23,tbSkills!DH3:DJ6,3,FALSE),0),0)))/100)),1))*IF(VLOOKUP(A68,tbMoveset!A2:K112,11,FALSE)=TRUE,Backdoors!AC5,1))*GC68,0),"")</f>
        <v>0</v>
      </c>
      <c r="GG68" s="49">
        <f>VLOOKUP(A68,tbMoveset!A2:G112,7,FALSE)*IFERROR(IF(Backdoors!AI12&gt;=0,1+(IF(Calculator!E40&gt;0,VLOOKUP(Calculator!E40,tbSkills!AI3:AJ5,2,FALSE),Backdoors!AL4)*(IF((Backdoors!AI12+IF(GB68&gt;=0.45,VLOOKUP(Calculator!E23,tbSkills!DH3:DI6,2,FALSE)+IF(AND(Calculator!B8=TRUE,Backdoors!BI29=TRUE),VLOOKUP(Calculator!E23,tbSkills!DH3:DJ6,3,FALSE),0),0))&gt;=100,100,(Backdoors!AI12+IF(GB68&gt;=0.45,VLOOKUP(Calculator!E23,tbSkills!DH3:DI6,2,FALSE)+IF(AND(Calculator!B8=TRUE,Backdoors!BI29=TRUE),VLOOKUP(Calculator!E23,tbSkills!DH3:DJ6,3,FALSE),0),0)))/100)),1),1)</f>
        <v>0.6</v>
      </c>
      <c r="GH68" s="87">
        <f t="shared" ref="GH68:GH112" si="77">SUM(GE68:GF68)</f>
        <v>0</v>
      </c>
      <c r="GI68" s="86" t="str">
        <f>IFERROR(IF(VLOOKUP(A68,tbMoveset!A2:B112,2,FALSE)="Sever",Backdoors!AY30/100,IF(VLOOKUP(A68,tbMoveset!A2:B112,2,FALSE)="Blunt",Backdoors!AZ30/100,Backdoors!BA30/100)),"")</f>
        <v/>
      </c>
      <c r="GJ68" s="49">
        <f>IFERROR(IF(VLOOKUP(tbMoveset!A68,tbMoveset!A2:H112,8,FALSE)="Other",IF(VLOOKUP(tbMoveset!A68,tbMoveset!A2:I112,9,FALSE)="Fire",Backdoors!BB30,IF(VLOOKUP(tbMoveset!A68,tbMoveset!A2:I112,9,FALSE)="Water",Backdoors!BC30,IF(VLOOKUP(tbMoveset!A68,tbMoveset!A2:I112,9,FALSE)="Thunder",Backdoors!BD30,IF(VLOOKUP(tbMoveset!A68,tbMoveset!A2:I112,9,FALSE)="Ice",Backdoors!BE30,IF(VLOOKUP(tbMoveset!A68,tbMoveset!A2:I112,9,FALSE)="Dragon",Backdoors!BF30,Backdoors!BG30)))))/100,Backdoors!BG30/100),"")</f>
        <v>0</v>
      </c>
      <c r="GK68" s="49">
        <f>IFERROR(IF(VLOOKUP(A68,tbMoveset!A2:J112,10,FALSE)=TRUE,IF((Backdoors!AI12+IF(GI68&gt;=0.45,VLOOKUP(Calculator!E23,tbSkills!DH3:DI6,2,FALSE)+IF(AND(Calculator!B8=TRUE,Backdoors!BI30=TRUE),VLOOKUP(Calculator!E23,tbSkills!DH3:DJ6,3,FALSE),0),0))&gt;=0,1+(Backdoors!AL2*(IF((Backdoors!AI12+IF(GI68&gt;=0.45,VLOOKUP(Calculator!E23,tbSkills!DH3:DI6,2,FALSE)+IF(AND(Calculator!B8=TRUE,Backdoors!BI30=TRUE),VLOOKUP(Calculator!E23,tbSkills!DH3:DJ6,3,FALSE),0),0))&gt;=100,100,(Backdoors!AI12+IF(GI68&gt;=0.45,VLOOKUP(Calculator!E23,tbSkills!DH3:DI6,2,FALSE)+IF(AND(Calculator!B8=TRUE,Backdoors!BI30=TRUE),VLOOKUP(Calculator!E23,tbSkills!DH3:DJ6,3,FALSE),0),0)))/100)),(1-(0.25*((-Backdoors!AI12-IF(GI68&gt;=0.45,VLOOKUP(Calculator!E23,tbSkills!DH3:DI6,2,FALSE)+IF(AND(Calculator!B8=TRUE,Backdoors!BI30=TRUE),VLOOKUP(Calculator!E23,tbSkills!DH3:DJ6,3,FALSE),0),0))/100)))),1),"")</f>
        <v>1</v>
      </c>
      <c r="GL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I68)*GK68)*(VLOOKUP(A68,tbMoveset!A2:C112,3,FALSE)/100)*IF(VLOOKUP(A68,tbMoveset!A2:B112,2,FALSE)="Projectile",Backdoors!N10,Backdoors!N9),0),"")</f>
        <v/>
      </c>
      <c r="GM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I68&gt;=0.45,VLOOKUP(Calculator!E23,tbSkills!DH3:DI6,2,FALSE)+IF(AND(Calculator!B8=TRUE,Backdoors!BI30=TRUE),VLOOKUP(Calculator!E23,tbSkills!DH3:DJ6,3,FALSE),0),0))&gt;=100,100,(Backdoors!AI12+IF(GI68&gt;=0.45,VLOOKUP(Calculator!E23,tbSkills!DH3:DI6,2,FALSE)+IF(AND(Calculator!B8=TRUE,Backdoors!BI30=TRUE),VLOOKUP(Calculator!E23,tbSkills!DH3:DJ6,3,FALSE),0),0)))/100)),1))*IF(VLOOKUP(A68,tbMoveset!A2:K112,11,FALSE)=TRUE,Backdoors!AC5,1))*GJ68,0),"")</f>
        <v>0</v>
      </c>
      <c r="GN68" s="49">
        <f>VLOOKUP(A68,tbMoveset!A2:G112,7,FALSE)*IFERROR(IF(Backdoors!AI12&gt;=0,1+(IF(Calculator!E40&gt;0,VLOOKUP(Calculator!E40,tbSkills!AI3:AJ5,2,FALSE),Backdoors!AL4)*(IF((Backdoors!AI12+IF(GI68&gt;=0.45,VLOOKUP(Calculator!E23,tbSkills!DH3:DI6,2,FALSE)+IF(AND(Calculator!B8=TRUE,Backdoors!BI30=TRUE),VLOOKUP(Calculator!E23,tbSkills!DH3:DJ6,3,FALSE),0),0))&gt;=100,100,(Backdoors!AI12+IF(GI68&gt;=0.45,VLOOKUP(Calculator!E23,tbSkills!DH3:DI6,2,FALSE)+IF(AND(Calculator!B8=TRUE,Backdoors!BI30=TRUE),VLOOKUP(Calculator!E23,tbSkills!DH3:DJ6,3,FALSE),0),0)))/100)),1),1)</f>
        <v>0.6</v>
      </c>
      <c r="GO68" s="87">
        <f t="shared" ref="GO68:GO112" si="78">SUM(GL68:GM68)</f>
        <v>0</v>
      </c>
      <c r="GP68" s="86" t="str">
        <f>IFERROR(IF(VLOOKUP(A68,tbMoveset!A2:B112,2,FALSE)="Sever",Backdoors!AY31/100,IF(VLOOKUP(A68,tbMoveset!A2:B112,2,FALSE)="Blunt",Backdoors!AZ31/100,Backdoors!BA31/100)),"")</f>
        <v/>
      </c>
      <c r="GQ68" s="49">
        <f>IFERROR(IF(VLOOKUP(tbMoveset!A68,tbMoveset!A2:H112,8,FALSE)="Other",IF(VLOOKUP(tbMoveset!A68,tbMoveset!A2:I112,9,FALSE)="Fire",Backdoors!BB31,IF(VLOOKUP(tbMoveset!A68,tbMoveset!A2:I112,9,FALSE)="Water",Backdoors!BC31,IF(VLOOKUP(tbMoveset!A68,tbMoveset!A2:I112,9,FALSE)="Thunder",Backdoors!BD31,IF(VLOOKUP(tbMoveset!A68,tbMoveset!A2:I112,9,FALSE)="Ice",Backdoors!BE31,IF(VLOOKUP(tbMoveset!A68,tbMoveset!A2:I112,9,FALSE)="Dragon",Backdoors!BF31,Backdoors!BG31)))))/100,Backdoors!BG31/100),"")</f>
        <v>0</v>
      </c>
      <c r="GR68" s="49">
        <f>IFERROR(IF(VLOOKUP(A68,tbMoveset!A2:J112,10,FALSE)=TRUE,IF((Backdoors!AI12+IF(GP68&gt;=0.45,VLOOKUP(Calculator!E23,tbSkills!DH3:DI6,2,FALSE)+IF(AND(Calculator!B8=TRUE,Backdoors!BI31=TRUE),VLOOKUP(Calculator!E23,tbSkills!DH3:DJ6,3,FALSE),0),0))&gt;=0,1+(Backdoors!AL2*(IF((Backdoors!AI12+IF(GP68&gt;=0.45,VLOOKUP(Calculator!E23,tbSkills!DH3:DI6,2,FALSE)+IF(AND(Calculator!B8=TRUE,Backdoors!BI31=TRUE),VLOOKUP(Calculator!E23,tbSkills!DH3:DJ6,3,FALSE),0),0))&gt;=100,100,(Backdoors!AI12+IF(GP68&gt;=0.45,VLOOKUP(Calculator!E23,tbSkills!DH3:DI6,2,FALSE)+IF(AND(Calculator!B8=TRUE,Backdoors!BI31=TRUE),VLOOKUP(Calculator!E23,tbSkills!DH3:DJ6,3,FALSE),0),0)))/100)),(1-(0.25*((-Backdoors!AI12-IF(GP68&gt;=0.45,VLOOKUP(Calculator!E23,tbSkills!DH3:DI6,2,FALSE)+IF(AND(Calculator!B8=TRUE,Backdoors!BI31=TRUE),VLOOKUP(Calculator!E23,tbSkills!DH3:DJ6,3,FALSE),0),0))/100)))),1),"")</f>
        <v>1</v>
      </c>
      <c r="GS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P68)*GR68)*(VLOOKUP(A68,tbMoveset!A2:C112,3,FALSE)/100)*IF(VLOOKUP(A68,tbMoveset!A2:B112,2,FALSE)="Projectile",Backdoors!N10,Backdoors!N9),0),"")</f>
        <v/>
      </c>
      <c r="GT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P68&gt;=0.45,VLOOKUP(Calculator!E23,tbSkills!DH3:DI6,2,FALSE)+IF(AND(Calculator!B8=TRUE,Backdoors!BI31=TRUE),VLOOKUP(Calculator!E23,tbSkills!DH3:DJ6,3,FALSE),0),0))&gt;=100,100,(Backdoors!AI12+IF(GP68&gt;=0.45,VLOOKUP(Calculator!E23,tbSkills!DH3:DI6,2,FALSE)+IF(AND(Calculator!B8=TRUE,Backdoors!BI31=TRUE),VLOOKUP(Calculator!E23,tbSkills!DH3:DJ6,3,FALSE),0),0)))/100)),1))*IF(VLOOKUP(A68,tbMoveset!A2:K112,11,FALSE)=TRUE,Backdoors!AC5,1))*GQ68,0),"")</f>
        <v>0</v>
      </c>
      <c r="GU68" s="49">
        <f>VLOOKUP(A68,tbMoveset!A2:G112,7,FALSE)*IFERROR(IF(Backdoors!AI12&gt;=0,1+(IF(Calculator!E40&gt;0,VLOOKUP(Calculator!E40,tbSkills!AI3:AJ5,2,FALSE),Backdoors!AL4)*(IF((Backdoors!AI12+IF(GP68&gt;=0.45,VLOOKUP(Calculator!E23,tbSkills!DH3:DI6,2,FALSE)+IF(AND(Calculator!B8=TRUE,Backdoors!BI31=TRUE),VLOOKUP(Calculator!E23,tbSkills!DH3:DJ6,3,FALSE),0),0))&gt;=100,100,(Backdoors!AI12+IF(GP68&gt;=0.45,VLOOKUP(Calculator!E23,tbSkills!DH3:DI6,2,FALSE)+IF(AND(Calculator!B8=TRUE,Backdoors!BI31=TRUE),VLOOKUP(Calculator!E23,tbSkills!DH3:DJ6,3,FALSE),0),0)))/100)),1),1)</f>
        <v>0.6</v>
      </c>
      <c r="GV68" s="87">
        <f t="shared" ref="GV68:GV112" si="79">SUM(GS68:GT68)</f>
        <v>0</v>
      </c>
      <c r="GW68" s="86" t="str">
        <f>IFERROR(IF(VLOOKUP(A68,tbMoveset!A2:B112,2,FALSE)="Sever",Backdoors!AY32/100,IF(VLOOKUP(A68,tbMoveset!A2:B112,2,FALSE)="Blunt",Backdoors!AZ32/100,Backdoors!BA32/100)),"")</f>
        <v/>
      </c>
      <c r="GX68" s="49">
        <f>IFERROR(IF(VLOOKUP(tbMoveset!A68,tbMoveset!A2:H112,8,FALSE)="Other",IF(VLOOKUP(tbMoveset!A68,tbMoveset!A2:I112,9,FALSE)="Fire",Backdoors!BB32,IF(VLOOKUP(tbMoveset!A68,tbMoveset!A2:I112,9,FALSE)="Water",Backdoors!BC32,IF(VLOOKUP(tbMoveset!A68,tbMoveset!A2:I112,9,FALSE)="Thunder",Backdoors!BD32,IF(VLOOKUP(tbMoveset!A68,tbMoveset!A2:I112,9,FALSE)="Ice",Backdoors!BE32,IF(VLOOKUP(tbMoveset!A68,tbMoveset!A2:I112,9,FALSE)="Dragon",Backdoors!BF32,Backdoors!BG32)))))/100,Backdoors!BG32/100),"")</f>
        <v>0</v>
      </c>
      <c r="GY68" s="49">
        <f>IFERROR(IF(VLOOKUP(A68,tbMoveset!A2:J112,10,FALSE)=TRUE,IF((Backdoors!AI12+IF(GW68&gt;=0.45,VLOOKUP(Calculator!E23,tbSkills!DH3:DI6,2,FALSE)+IF(AND(Calculator!B8=TRUE,Backdoors!BI32=TRUE),VLOOKUP(Calculator!E23,tbSkills!DH3:DJ6,3,FALSE),0),0))&gt;=0,1+(Backdoors!AL2*(IF((Backdoors!AI12+IF(GW68&gt;=0.45,VLOOKUP(Calculator!E23,tbSkills!DH3:DI6,2,FALSE)+IF(AND(Calculator!B8=TRUE,Backdoors!BI32=TRUE),VLOOKUP(Calculator!E23,tbSkills!DH3:DJ6,3,FALSE),0),0))&gt;=100,100,(Backdoors!AI12+IF(GW68&gt;=0.45,VLOOKUP(Calculator!E23,tbSkills!DH3:DI6,2,FALSE)+IF(AND(Calculator!B8=TRUE,Backdoors!BI32=TRUE),VLOOKUP(Calculator!E23,tbSkills!DH3:DJ6,3,FALSE),0),0)))/100)),(1-(0.25*((-Backdoors!AI12-IF(GW68&gt;=0.45,VLOOKUP(Calculator!E23,tbSkills!DH3:DI6,2,FALSE)+IF(AND(Calculator!B8=TRUE,Backdoors!BI32=TRUE),VLOOKUP(Calculator!E23,tbSkills!DH3:DJ6,3,FALSE),0),0))/100)))),1),"")</f>
        <v>1</v>
      </c>
      <c r="GZ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W68)*GY68)*(VLOOKUP(A68,tbMoveset!A2:C112,3,FALSE)/100)*IF(VLOOKUP(A68,tbMoveset!A2:B112,2,FALSE)="Projectile",Backdoors!N10,Backdoors!N9),0),"")</f>
        <v/>
      </c>
      <c r="HA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W68&gt;=0.45,VLOOKUP(Calculator!E23,tbSkills!DH3:DI6,2,FALSE)+IF(AND(Calculator!B8=TRUE,Backdoors!BI32=TRUE),VLOOKUP(Calculator!E23,tbSkills!DH3:DJ6,3,FALSE),0),0))&gt;=100,100,(Backdoors!AI12+IF(GW68&gt;=0.45,VLOOKUP(Calculator!E23,tbSkills!DH3:DI6,2,FALSE)+IF(AND(Calculator!B8=TRUE,Backdoors!BI32=TRUE),VLOOKUP(Calculator!E23,tbSkills!DH3:DJ6,3,FALSE),0),0)))/100)),1))*IF(VLOOKUP(A68,tbMoveset!A2:K112,11,FALSE)=TRUE,Backdoors!AC5,1))*GX68,0),"")</f>
        <v>0</v>
      </c>
      <c r="HB68" s="49">
        <f>VLOOKUP(A68,tbMoveset!A2:G112,7,FALSE)*IFERROR(IF(Backdoors!AI12&gt;=0,1+(IF(Calculator!E40&gt;0,VLOOKUP(Calculator!E40,tbSkills!AI3:AJ5,2,FALSE),Backdoors!AL4)*(IF((Backdoors!AI12+IF(GW68&gt;=0.45,VLOOKUP(Calculator!E23,tbSkills!DH3:DI6,2,FALSE)+IF(AND(Calculator!B8=TRUE,Backdoors!BI32=TRUE),VLOOKUP(Calculator!E23,tbSkills!DH3:DJ6,3,FALSE),0),0))&gt;=100,100,(Backdoors!AI12+IF(GW68&gt;=0.45,VLOOKUP(Calculator!E23,tbSkills!DH3:DI6,2,FALSE)+IF(AND(Calculator!B8=TRUE,Backdoors!BI32=TRUE),VLOOKUP(Calculator!E23,tbSkills!DH3:DJ6,3,FALSE),0),0)))/100)),1),1)</f>
        <v>0.6</v>
      </c>
      <c r="HC68" s="87">
        <f t="shared" ref="HC68:HC112" si="80">SUM(GZ68:HA68)</f>
        <v>0</v>
      </c>
      <c r="HD68" s="86" t="str">
        <f>IFERROR(IF(VLOOKUP(A68,tbMoveset!A2:B112,2,FALSE)="Sever",Backdoors!AY33/100,IF(VLOOKUP(A68,tbMoveset!A2:B112,2,FALSE)="Blunt",Backdoors!AZ33/100,Backdoors!BA33/100)),"")</f>
        <v/>
      </c>
      <c r="HE68" s="49">
        <f>IFERROR(IF(VLOOKUP(tbMoveset!A68,tbMoveset!A2:H112,8,FALSE)="Other",IF(VLOOKUP(tbMoveset!A68,tbMoveset!A2:I112,9,FALSE)="Fire",Backdoors!BB33,IF(VLOOKUP(tbMoveset!A68,tbMoveset!A2:I112,9,FALSE)="Water",Backdoors!BC33,IF(VLOOKUP(tbMoveset!A68,tbMoveset!A2:I112,9,FALSE)="Thunder",Backdoors!BD33,IF(VLOOKUP(tbMoveset!A68,tbMoveset!A2:I112,9,FALSE)="Ice",Backdoors!BE33,IF(VLOOKUP(tbMoveset!A68,tbMoveset!A2:I112,9,FALSE)="Dragon",Backdoors!BF33,Backdoors!BG33)))))/100,Backdoors!BG33/100),"")</f>
        <v>0</v>
      </c>
      <c r="HF68" s="49">
        <f>IFERROR(IF(VLOOKUP(A68,tbMoveset!A2:J112,10,FALSE)=TRUE,IF((Backdoors!AI12+IF(HD68&gt;=0.45,VLOOKUP(Calculator!E23,tbSkills!DH3:DI6,2,FALSE)+IF(AND(Calculator!B8=TRUE,Backdoors!BI33=TRUE),VLOOKUP(Calculator!E23,tbSkills!DH3:DJ6,3,FALSE),0),0))&gt;=0,1+(Backdoors!AL2*(IF((Backdoors!AI12+IF(HD68&gt;=0.45,VLOOKUP(Calculator!E23,tbSkills!DH3:DI6,2,FALSE)+IF(AND(Calculator!B8=TRUE,Backdoors!BI33=TRUE),VLOOKUP(Calculator!E23,tbSkills!DH3:DJ6,3,FALSE),0),0))&gt;=100,100,(Backdoors!AI12+IF(HD68&gt;=0.45,VLOOKUP(Calculator!E23,tbSkills!DH3:DI6,2,FALSE)+IF(AND(Calculator!B8=TRUE,Backdoors!BI33=TRUE),VLOOKUP(Calculator!E23,tbSkills!DH3:DJ6,3,FALSE),0),0)))/100)),(1-(0.25*((-Backdoors!AI12-IF(HD68&gt;=0.45,VLOOKUP(Calculator!E23,tbSkills!DH3:DI6,2,FALSE)+IF(AND(Calculator!B8=TRUE,Backdoors!BI33=TRUE),VLOOKUP(Calculator!E23,tbSkills!DH3:DJ6,3,FALSE),0),0))/100)))),1),"")</f>
        <v>1</v>
      </c>
      <c r="HG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D68)*HF68)*(VLOOKUP(A68,tbMoveset!A2:C112,3,FALSE)/100)*IF(VLOOKUP(A68,tbMoveset!A2:B112,2,FALSE)="Projectile",Backdoors!N10,Backdoors!N9),0),"")</f>
        <v/>
      </c>
      <c r="HH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D68&gt;=0.45,VLOOKUP(Calculator!E23,tbSkills!DH3:DI6,2,FALSE)+IF(AND(Calculator!B8=TRUE,Backdoors!BI33=TRUE),VLOOKUP(Calculator!E23,tbSkills!DH3:DJ6,3,FALSE),0),0))&gt;=100,100,(Backdoors!AI12+IF(HD68&gt;=0.45,VLOOKUP(Calculator!E23,tbSkills!DH3:DI6,2,FALSE)+IF(AND(Calculator!B8=TRUE,Backdoors!BI33=TRUE),VLOOKUP(Calculator!E23,tbSkills!DH3:DJ6,3,FALSE),0),0)))/100)),1))*IF(VLOOKUP(A68,tbMoveset!A2:K112,11,FALSE)=TRUE,Backdoors!AC5,1))*HE68,0),"")</f>
        <v>0</v>
      </c>
      <c r="HI68" s="49">
        <f>VLOOKUP(A68,tbMoveset!A2:G112,7,FALSE)*IFERROR(IF(Backdoors!AI12&gt;=0,1+(IF(Calculator!E40&gt;0,VLOOKUP(Calculator!E40,tbSkills!AI3:AJ5,2,FALSE),Backdoors!AL4)*(IF((Backdoors!AI12+IF(HD68&gt;=0.45,VLOOKUP(Calculator!E23,tbSkills!DH3:DI6,2,FALSE)+IF(AND(Calculator!B8=TRUE,Backdoors!BI33=TRUE),VLOOKUP(Calculator!E23,tbSkills!DH3:DJ6,3,FALSE),0),0))&gt;=100,100,(Backdoors!AI12+IF(HD68&gt;=0.45,VLOOKUP(Calculator!E23,tbSkills!DH3:DI6,2,FALSE)+IF(AND(Calculator!B8=TRUE,Backdoors!BI33=TRUE),VLOOKUP(Calculator!E23,tbSkills!DH3:DJ6,3,FALSE),0),0)))/100)),1),1)</f>
        <v>0.6</v>
      </c>
      <c r="HJ68" s="87">
        <f t="shared" ref="HJ68:HJ112" si="81">SUM(HG68:HH68)</f>
        <v>0</v>
      </c>
      <c r="HK68" s="86" t="str">
        <f>IFERROR(IF(VLOOKUP(A68,tbMoveset!A2:B112,2,FALSE)="Sever",Backdoors!AY34/100,IF(VLOOKUP(A68,tbMoveset!A2:B112,2,FALSE)="Blunt",Backdoors!AZ34/100,Backdoors!BA34/100)),"")</f>
        <v/>
      </c>
      <c r="HL68" s="49">
        <f>IFERROR(IF(VLOOKUP(tbMoveset!A68,tbMoveset!A2:H112,8,FALSE)="Other",IF(VLOOKUP(tbMoveset!A68,tbMoveset!A2:I112,9,FALSE)="Fire",Backdoors!BB34,IF(VLOOKUP(tbMoveset!A68,tbMoveset!A2:I112,9,FALSE)="Water",Backdoors!BC34,IF(VLOOKUP(tbMoveset!A68,tbMoveset!A2:I112,9,FALSE)="Thunder",Backdoors!BD34,IF(VLOOKUP(tbMoveset!A68,tbMoveset!A2:I112,9,FALSE)="Ice",Backdoors!BE34,IF(VLOOKUP(tbMoveset!A68,tbMoveset!A2:I112,9,FALSE)="Dragon",Backdoors!BF34,Backdoors!BG34)))))/100,Backdoors!BG34/100),"")</f>
        <v>0</v>
      </c>
      <c r="HM68" s="49">
        <f>IFERROR(IF(VLOOKUP(A68,tbMoveset!A2:J112,10,FALSE)=TRUE,IF((Backdoors!AI12+IF(HK68&gt;=0.45,VLOOKUP(Calculator!E23,tbSkills!DH3:DI6,2,FALSE)+IF(AND(Calculator!B8=TRUE,Backdoors!BI34=TRUE),VLOOKUP(Calculator!E23,tbSkills!DH3:DJ6,3,FALSE),0),0))&gt;=0,1+(Backdoors!AL2*(IF((Backdoors!AI12+IF(HK68&gt;=0.45,VLOOKUP(Calculator!E23,tbSkills!DH3:DI6,2,FALSE)+IF(AND(Calculator!B8=TRUE,Backdoors!BI34=TRUE),VLOOKUP(Calculator!E23,tbSkills!DH3:DJ6,3,FALSE),0),0))&gt;=100,100,(Backdoors!AI12+IF(HK68&gt;=0.45,VLOOKUP(Calculator!E23,tbSkills!DH3:DI6,2,FALSE)+IF(AND(Calculator!B8=TRUE,Backdoors!BI34=TRUE),VLOOKUP(Calculator!E23,tbSkills!DH3:DJ6,3,FALSE),0),0)))/100)),(1-(0.25*((-Backdoors!AI12-IF(HK68&gt;=0.45,VLOOKUP(Calculator!E23,tbSkills!DH3:DI6,2,FALSE)+IF(AND(Calculator!B8=TRUE,Backdoors!BI34=TRUE),VLOOKUP(Calculator!E23,tbSkills!DH3:DJ6,3,FALSE),0),0))/100)))),1),"")</f>
        <v>1</v>
      </c>
      <c r="HN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K68)*HM68)*(VLOOKUP(A68,tbMoveset!A2:C112,3,FALSE)/100)*IF(VLOOKUP(A68,tbMoveset!A2:B112,2,FALSE)="Projectile",Backdoors!N10,Backdoors!N9),0),"")</f>
        <v/>
      </c>
      <c r="HO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K68&gt;=0.45,VLOOKUP(Calculator!E23,tbSkills!DH3:DI6,2,FALSE)+IF(AND(Calculator!B8=TRUE,Backdoors!BI34=TRUE),VLOOKUP(Calculator!E23,tbSkills!DH3:DJ6,3,FALSE),0),0))&gt;=100,100,(Backdoors!AI12+IF(HK68&gt;=0.45,VLOOKUP(Calculator!E23,tbSkills!DH3:DI6,2,FALSE)+IF(AND(Calculator!B8=TRUE,Backdoors!BI34=TRUE),VLOOKUP(Calculator!E23,tbSkills!DH3:DJ6,3,FALSE),0),0)))/100)),1))*IF(VLOOKUP(A68,tbMoveset!A2:K112,11,FALSE)=TRUE,Backdoors!AC5,1))*HL68,0),"")</f>
        <v>0</v>
      </c>
      <c r="HP68" s="49">
        <f>VLOOKUP(A68,tbMoveset!A2:G112,7,FALSE)*IFERROR(IF(Backdoors!AI12&gt;=0,1+(IF(Calculator!E40&gt;0,VLOOKUP(Calculator!E40,tbSkills!AI3:AJ5,2,FALSE),Backdoors!AL4)*(IF((Backdoors!AI12+IF(HK68&gt;=0.45,VLOOKUP(Calculator!E23,tbSkills!DH3:DI6,2,FALSE)+IF(AND(Calculator!B8=TRUE,Backdoors!BI34=TRUE),VLOOKUP(Calculator!E23,tbSkills!DH3:DJ6,3,FALSE),0),0))&gt;=100,100,(Backdoors!AI12+IF(HK68&gt;=0.45,VLOOKUP(Calculator!E23,tbSkills!DH3:DI6,2,FALSE)+IF(AND(Calculator!B8=TRUE,Backdoors!BI34=TRUE),VLOOKUP(Calculator!E23,tbSkills!DH3:DJ6,3,FALSE),0),0)))/100)),1),1)</f>
        <v>0.6</v>
      </c>
      <c r="HQ68" s="87">
        <f t="shared" ref="HQ68:HQ112" si="82">SUM(HN68:HO68)</f>
        <v>0</v>
      </c>
      <c r="HR68" s="86" t="str">
        <f>IFERROR(IF(VLOOKUP(A68,tbMoveset!A2:B112,2,FALSE)="Sever",Backdoors!AY35/100,IF(VLOOKUP(A68,tbMoveset!A2:B112,2,FALSE)="Blunt",Backdoors!AZ35/100,Backdoors!BA35/100)),"")</f>
        <v/>
      </c>
      <c r="HS68" s="49">
        <f>IFERROR(IF(VLOOKUP(tbMoveset!A68,tbMoveset!A2:H112,8,FALSE)="Other",IF(VLOOKUP(tbMoveset!A68,tbMoveset!A2:I112,9,FALSE)="Fire",Backdoors!BB35,IF(VLOOKUP(tbMoveset!A68,tbMoveset!A2:I112,9,FALSE)="Water",Backdoors!BC35,IF(VLOOKUP(tbMoveset!A68,tbMoveset!A2:I112,9,FALSE)="Thunder",Backdoors!BD35,IF(VLOOKUP(tbMoveset!A68,tbMoveset!A2:I112,9,FALSE)="Ice",Backdoors!BE35,IF(VLOOKUP(tbMoveset!A68,tbMoveset!A2:I112,9,FALSE)="Dragon",Backdoors!BF35,Backdoors!BG35)))))/100,Backdoors!BG35/100),"")</f>
        <v>0</v>
      </c>
      <c r="HT68" s="49">
        <f>IFERROR(IF(VLOOKUP(A68,tbMoveset!A2:J112,10,FALSE)=TRUE,IF((Backdoors!AI12+IF(HR68&gt;=0.45,VLOOKUP(Calculator!E23,tbSkills!DH3:DI6,2,FALSE)+IF(AND(Calculator!B8=TRUE,Backdoors!BI35=TRUE),VLOOKUP(Calculator!E23,tbSkills!DH3:DJ6,3,FALSE),0),0))&gt;=0,1+(Backdoors!AL2*(IF((Backdoors!AI12+IF(HR68&gt;=0.45,VLOOKUP(Calculator!E23,tbSkills!DH3:DI6,2,FALSE)+IF(AND(Calculator!B8=TRUE,Backdoors!BI35=TRUE),VLOOKUP(Calculator!E23,tbSkills!DH3:DJ6,3,FALSE),0),0))&gt;=100,100,(Backdoors!AI12+IF(HR68&gt;=0.45,VLOOKUP(Calculator!E23,tbSkills!DH3:DI6,2,FALSE)+IF(AND(Calculator!B8=TRUE,Backdoors!BI35=TRUE),VLOOKUP(Calculator!E23,tbSkills!DH3:DJ6,3,FALSE),0),0)))/100)),(1-(0.25*((-Backdoors!AI12-IF(HR68&gt;=0.45,VLOOKUP(Calculator!E23,tbSkills!DH3:DI6,2,FALSE)+IF(AND(Calculator!B8=TRUE,Backdoors!BI35=TRUE),VLOOKUP(Calculator!E23,tbSkills!DH3:DJ6,3,FALSE),0),0))/100)))),1),"")</f>
        <v>1</v>
      </c>
      <c r="HU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R68)*HT68)*(VLOOKUP(A68,tbMoveset!A2:C112,3,FALSE)/100)*IF(VLOOKUP(A68,tbMoveset!A2:B112,2,FALSE)="Projectile",Backdoors!N10,Backdoors!N9),0),"")</f>
        <v/>
      </c>
      <c r="HV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R68&gt;=0.45,VLOOKUP(Calculator!E23,tbSkills!DH3:DI6,2,FALSE)+IF(AND(Calculator!B8=TRUE,Backdoors!BI35=TRUE),VLOOKUP(Calculator!E23,tbSkills!DH3:DJ6,3,FALSE),0),0))&gt;=100,100,(Backdoors!AI12+IF(HR68&gt;=0.45,VLOOKUP(Calculator!E23,tbSkills!DH3:DI6,2,FALSE)+IF(AND(Calculator!B8=TRUE,Backdoors!BI35=TRUE),VLOOKUP(Calculator!E23,tbSkills!DH3:DJ6,3,FALSE),0),0)))/100)),1))*IF(VLOOKUP(A68,tbMoveset!A2:K112,11,FALSE)=TRUE,Backdoors!AC5,1))*HS68,0),"")</f>
        <v>0</v>
      </c>
      <c r="HW68" s="49">
        <f>VLOOKUP(A68,tbMoveset!A2:G112,7,FALSE)*IFERROR(IF(Backdoors!AI12&gt;=0,1+(IF(Calculator!E40&gt;0,VLOOKUP(Calculator!E40,tbSkills!AI3:AJ5,2,FALSE),Backdoors!AL4)*(IF((Backdoors!AI12+IF(HR68&gt;=0.45,VLOOKUP(Calculator!E23,tbSkills!DH3:DI6,2,FALSE)+IF(AND(Calculator!B8=TRUE,Backdoors!BI35=TRUE),VLOOKUP(Calculator!E23,tbSkills!DH3:DJ6,3,FALSE),0),0))&gt;=100,100,(Backdoors!AI12+IF(HR68&gt;=0.45,VLOOKUP(Calculator!E23,tbSkills!DH3:DI6,2,FALSE)+IF(AND(Calculator!B8=TRUE,Backdoors!BI35=TRUE),VLOOKUP(Calculator!E23,tbSkills!DH3:DJ6,3,FALSE),0),0)))/100)),1),1)</f>
        <v>0.6</v>
      </c>
      <c r="HX68" s="87">
        <f t="shared" ref="HX68:HX112" si="83">SUM(HU68:HV68)</f>
        <v>0</v>
      </c>
      <c r="HY68" s="86" t="str">
        <f>IFERROR(IF(VLOOKUP(A68,tbMoveset!A2:B112,2,FALSE)="Sever",Backdoors!AY36/100,IF(VLOOKUP(A68,tbMoveset!A2:B112,2,FALSE)="Blunt",Backdoors!AZ36/100,Backdoors!BA36/100)),"")</f>
        <v/>
      </c>
      <c r="HZ68" s="49">
        <f>IFERROR(IF(VLOOKUP(tbMoveset!A68,tbMoveset!A2:H112,8,FALSE)="Other",IF(VLOOKUP(tbMoveset!A68,tbMoveset!A2:I112,9,FALSE)="Fire",Backdoors!BB36,IF(VLOOKUP(tbMoveset!A68,tbMoveset!A2:I112,9,FALSE)="Water",Backdoors!BC36,IF(VLOOKUP(tbMoveset!A68,tbMoveset!A2:I112,9,FALSE)="Thunder",Backdoors!BD36,IF(VLOOKUP(tbMoveset!A68,tbMoveset!A2:I112,9,FALSE)="Ice",Backdoors!BE36,IF(VLOOKUP(tbMoveset!A68,tbMoveset!A2:I112,9,FALSE)="Dragon",Backdoors!BF36,Backdoors!BG36)))))/100,Backdoors!BG36/100),"")</f>
        <v>0</v>
      </c>
      <c r="IA68" s="49">
        <f>IFERROR(IF(VLOOKUP(A68,tbMoveset!A2:J112,10,FALSE)=TRUE,IF((Backdoors!AI12+IF(HY68&gt;=0.45,VLOOKUP(Calculator!E23,tbSkills!DH3:DI6,2,FALSE)+IF(AND(Calculator!B8=TRUE,Backdoors!BI36=TRUE),VLOOKUP(Calculator!E23,tbSkills!DH3:DJ6,3,FALSE),0),0))&gt;=0,1+(Backdoors!AL2*(IF((Backdoors!AI12+IF(HY68&gt;=0.45,VLOOKUP(Calculator!E23,tbSkills!DH3:DI6,2,FALSE)+IF(AND(Calculator!B8=TRUE,Backdoors!BI36=TRUE),VLOOKUP(Calculator!E23,tbSkills!DH3:DJ6,3,FALSE),0),0))&gt;=100,100,(Backdoors!AI12+IF(HY68&gt;=0.45,VLOOKUP(Calculator!E23,tbSkills!DH3:DI6,2,FALSE)+IF(AND(Calculator!B8=TRUE,Backdoors!BI36=TRUE),VLOOKUP(Calculator!E23,tbSkills!DH3:DJ6,3,FALSE),0),0)))/100)),(1-(0.25*((-Backdoors!AI12-IF(HY68&gt;=0.45,VLOOKUP(Calculator!E23,tbSkills!DH3:DI6,2,FALSE)+IF(AND(Calculator!B8=TRUE,Backdoors!BI36=TRUE),VLOOKUP(Calculator!E23,tbSkills!DH3:DJ6,3,FALSE),0),0))/100)))),1),"")</f>
        <v>1</v>
      </c>
      <c r="IB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Y68)*IA68)*(VLOOKUP(A68,tbMoveset!A2:C112,3,FALSE)/100)*IF(VLOOKUP(A68,tbMoveset!A2:B112,2,FALSE)="Projectile",Backdoors!N10,Backdoors!N9),0),"")</f>
        <v/>
      </c>
      <c r="IC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Y68&gt;=0.45,VLOOKUP(Calculator!E23,tbSkills!DH3:DI6,2,FALSE)+IF(AND(Calculator!B8=TRUE,Backdoors!BI36=TRUE),VLOOKUP(Calculator!E23,tbSkills!DH3:DJ6,3,FALSE),0),0))&gt;=100,100,(Backdoors!AI12+IF(HY68&gt;=0.45,VLOOKUP(Calculator!E23,tbSkills!DH3:DI6,2,FALSE)+IF(AND(Calculator!B8=TRUE,Backdoors!BI36=TRUE),VLOOKUP(Calculator!E23,tbSkills!DH3:DJ6,3,FALSE),0),0)))/100)),1))*IF(VLOOKUP(A68,tbMoveset!A2:K112,11,FALSE)=TRUE,Backdoors!AC5,1))*HZ68,0),"")</f>
        <v>0</v>
      </c>
      <c r="ID68" s="49">
        <f>VLOOKUP(A68,tbMoveset!A2:G112,7,FALSE)*IFERROR(IF(Backdoors!AI12&gt;=0,1+(IF(Calculator!E40&gt;0,VLOOKUP(Calculator!E40,tbSkills!AI3:AJ5,2,FALSE),Backdoors!AL4)*(IF((Backdoors!AI12+IF(HY68&gt;=0.45,VLOOKUP(Calculator!E23,tbSkills!DH3:DI6,2,FALSE)+IF(AND(Calculator!B8=TRUE,Backdoors!BI36=TRUE),VLOOKUP(Calculator!E23,tbSkills!DH3:DJ6,3,FALSE),0),0))&gt;=100,100,(Backdoors!AI12+IF(HY68&gt;=0.45,VLOOKUP(Calculator!E23,tbSkills!DH3:DI6,2,FALSE)+IF(AND(Calculator!B8=TRUE,Backdoors!BI36=TRUE),VLOOKUP(Calculator!E23,tbSkills!DH3:DJ6,3,FALSE),0),0)))/100)),1),1)</f>
        <v>0.6</v>
      </c>
      <c r="IE68" s="87">
        <f t="shared" ref="IE68:IE112" si="84">SUM(IB68:IC68)</f>
        <v>0</v>
      </c>
      <c r="IF68" s="86" t="str">
        <f>IFERROR(IF(VLOOKUP(A68,tbMoveset!A2:B112,2,FALSE)="Sever",Backdoors!AY37/100,IF(VLOOKUP(A68,tbMoveset!A2:B112,2,FALSE)="Blunt",Backdoors!AZ37/100,Backdoors!BA37/100)),"")</f>
        <v/>
      </c>
      <c r="IG68" s="49">
        <f>IFERROR(IF(VLOOKUP(tbMoveset!A68,tbMoveset!A2:H112,8,FALSE)="Other",IF(VLOOKUP(tbMoveset!A68,tbMoveset!A2:I112,9,FALSE)="Fire",Backdoors!BB37,IF(VLOOKUP(tbMoveset!A68,tbMoveset!A2:I112,9,FALSE)="Water",Backdoors!BC37,IF(VLOOKUP(tbMoveset!A68,tbMoveset!A2:I112,9,FALSE)="Thunder",Backdoors!BD37,IF(VLOOKUP(tbMoveset!A68,tbMoveset!A2:I112,9,FALSE)="Ice",Backdoors!BE37,IF(VLOOKUP(tbMoveset!A68,tbMoveset!A2:I112,9,FALSE)="Dragon",Backdoors!BF37,Backdoors!BG37)))))/100,Backdoors!BG37/100),"")</f>
        <v>0</v>
      </c>
      <c r="IH68" s="49">
        <f>IFERROR(IF(VLOOKUP(A68,tbMoveset!A2:J112,10,FALSE)=TRUE,IF((Backdoors!AI12+IF(IF68&gt;=0.45,VLOOKUP(Calculator!E23,tbSkills!DH3:DI6,2,FALSE)+IF(AND(Calculator!B8=TRUE,Backdoors!BI37=TRUE),VLOOKUP(Calculator!E23,tbSkills!DH3:DJ6,3,FALSE),0),0))&gt;=0,1+(Backdoors!AL2*(IF((Backdoors!AI12+IF(IF68&gt;=0.45,VLOOKUP(Calculator!E23,tbSkills!DH3:DI6,2,FALSE)+IF(AND(Calculator!B8=TRUE,Backdoors!BI37=TRUE),VLOOKUP(Calculator!E23,tbSkills!DH3:DJ6,3,FALSE),0),0))&gt;=100,100,(Backdoors!AI12+IF(IF68&gt;=0.45,VLOOKUP(Calculator!E23,tbSkills!DH3:DI6,2,FALSE)+IF(AND(Calculator!B8=TRUE,Backdoors!BI37=TRUE),VLOOKUP(Calculator!E23,tbSkills!DH3:DJ6,3,FALSE),0),0)))/100)),(1-(0.25*((-Backdoors!AI12-IF(IF68&gt;=0.45,VLOOKUP(Calculator!E23,tbSkills!DH3:DI6,2,FALSE)+IF(AND(Calculator!B8=TRUE,Backdoors!BI37=TRUE),VLOOKUP(Calculator!E23,tbSkills!DH3:DJ6,3,FALSE),0),0))/100)))),1),"")</f>
        <v>1</v>
      </c>
      <c r="II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F68)*IH68)*(VLOOKUP(A68,tbMoveset!A2:C112,3,FALSE)/100)*IF(VLOOKUP(A68,tbMoveset!A2:B112,2,FALSE)="Projectile",Backdoors!N10,Backdoors!N9),0),"")</f>
        <v/>
      </c>
      <c r="IJ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IF68&gt;=0.45,VLOOKUP(Calculator!E23,tbSkills!DH3:DI6,2,FALSE)+IF(AND(Calculator!B8=TRUE,Backdoors!BI37=TRUE),VLOOKUP(Calculator!E23,tbSkills!DH3:DJ6,3,FALSE),0),0))&gt;=100,100,(Backdoors!AI12+IF(IF68&gt;=0.45,VLOOKUP(Calculator!E23,tbSkills!DH3:DI6,2,FALSE)+IF(AND(Calculator!B8=TRUE,Backdoors!BI37=TRUE),VLOOKUP(Calculator!E23,tbSkills!DH3:DJ6,3,FALSE),0),0)))/100)),1))*IF(VLOOKUP(A68,tbMoveset!A2:K112,11,FALSE)=TRUE,Backdoors!AC5,1))*IG68,0),"")</f>
        <v>0</v>
      </c>
      <c r="IK68" s="49">
        <f>VLOOKUP(A68,tbMoveset!A2:G112,7,FALSE)*IFERROR(IF(Backdoors!AI12&gt;=0,1+(IF(Calculator!E40&gt;0,VLOOKUP(Calculator!E40,tbSkills!AI3:AJ5,2,FALSE),Backdoors!AL4)*(IF((Backdoors!AI12+IF(IF68&gt;=0.45,VLOOKUP(Calculator!E23,tbSkills!DH3:DI6,2,FALSE)+IF(AND(Calculator!B8=TRUE,Backdoors!BI37=TRUE),VLOOKUP(Calculator!E23,tbSkills!DH3:DJ6,3,FALSE),0),0))&gt;=100,100,(Backdoors!AI12+IF(IF68&gt;=0.45,VLOOKUP(Calculator!E23,tbSkills!DH3:DI6,2,FALSE)+IF(AND(Calculator!B8=TRUE,Backdoors!BI37=TRUE),VLOOKUP(Calculator!E23,tbSkills!DH3:DJ6,3,FALSE),0),0)))/100)),1),1)</f>
        <v>0.6</v>
      </c>
      <c r="IL68" s="87">
        <f t="shared" ref="IL68:IL112" si="85">SUM(II68:IJ68)</f>
        <v>0</v>
      </c>
      <c r="IM68" s="86" t="str">
        <f>IFERROR(IF(VLOOKUP(A68,tbMoveset!A2:B112,2,FALSE)="Sever",Backdoors!AY38/100,IF(VLOOKUP(A68,tbMoveset!A2:B112,2,FALSE)="Blunt",Backdoors!AZ38/100,Backdoors!BA38/100)),"")</f>
        <v/>
      </c>
      <c r="IN68" s="49">
        <f>IFERROR(IF(VLOOKUP(tbMoveset!A68,tbMoveset!A2:H112,8,FALSE)="Other",IF(VLOOKUP(tbMoveset!A68,tbMoveset!A2:I112,9,FALSE)="Fire",Backdoors!BB38,IF(VLOOKUP(tbMoveset!A68,tbMoveset!A2:I112,9,FALSE)="Water",Backdoors!BC38,IF(VLOOKUP(tbMoveset!A68,tbMoveset!A2:I112,9,FALSE)="Thunder",Backdoors!BD38,IF(VLOOKUP(tbMoveset!A68,tbMoveset!A2:I112,9,FALSE)="Ice",Backdoors!BE38,IF(VLOOKUP(tbMoveset!A68,tbMoveset!A2:I112,9,FALSE)="Dragon",Backdoors!BF38,Backdoors!BG38)))))/100,Backdoors!BG38/100),"")</f>
        <v>0</v>
      </c>
      <c r="IO68" s="49">
        <f>IFERROR(IF(VLOOKUP(A68,tbMoveset!A2:J112,10,FALSE)=TRUE,IF((Backdoors!AI12+IF(IM68&gt;=0.45,VLOOKUP(Calculator!E23,tbSkills!DH3:DI6,2,FALSE)+IF(AND(Calculator!B8=TRUE,Backdoors!BI38=TRUE),VLOOKUP(Calculator!E23,tbSkills!DH3:DJ6,3,FALSE),0),0))&gt;=0,1+(Backdoors!AL2*(IF((Backdoors!AI12+IF(IM68&gt;=0.45,VLOOKUP(Calculator!E23,tbSkills!DH3:DI6,2,FALSE)+IF(AND(Calculator!B8=TRUE,Backdoors!BI38=TRUE),VLOOKUP(Calculator!E23,tbSkills!DH3:DJ6,3,FALSE),0),0))&gt;=100,100,(Backdoors!AI12+IF(IM68&gt;=0.45,VLOOKUP(Calculator!E23,tbSkills!DH3:DI6,2,FALSE)+IF(AND(Calculator!B8=TRUE,Backdoors!BI38=TRUE),VLOOKUP(Calculator!E23,tbSkills!DH3:DJ6,3,FALSE),0),0)))/100)),(1-(0.25*((-Backdoors!AI12-IF(IM68&gt;=0.45,VLOOKUP(Calculator!E23,tbSkills!DH3:DI6,2,FALSE)+IF(AND(Calculator!B8=TRUE,Backdoors!BI38=TRUE),VLOOKUP(Calculator!E23,tbSkills!DH3:DJ6,3,FALSE),0),0))/100)))),1),"")</f>
        <v>1</v>
      </c>
      <c r="IP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M68)*IO68)*(VLOOKUP(A68,tbMoveset!A2:C112,3,FALSE)/100)*IF(VLOOKUP(A68,tbMoveset!A2:B112,2,FALSE)="Projectile",Backdoors!N10,Backdoors!N9),0),"")</f>
        <v/>
      </c>
      <c r="IQ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IM68&gt;=0.45,VLOOKUP(Calculator!E23,tbSkills!DH3:DI6,2,FALSE)+IF(AND(Calculator!B8=TRUE,Backdoors!BI38=TRUE),VLOOKUP(Calculator!E23,tbSkills!DH3:DJ6,3,FALSE),0),0))&gt;=100,100,(Backdoors!AI12+IF(IM68&gt;=0.45,VLOOKUP(Calculator!E23,tbSkills!DH3:DI6,2,FALSE)+IF(AND(Calculator!B8=TRUE,Backdoors!BI38=TRUE),VLOOKUP(Calculator!E23,tbSkills!DH3:DJ6,3,FALSE),0),0)))/100)),1))*IF(VLOOKUP(A68,tbMoveset!A2:K112,11,FALSE)=TRUE,Backdoors!AC5,1))*IN68,0),"")</f>
        <v>0</v>
      </c>
      <c r="IR68" s="49">
        <f>VLOOKUP(A68,tbMoveset!A2:G112,7,FALSE)*IFERROR(IF(Backdoors!AI12&gt;=0,1+(IF(Calculator!E40&gt;0,VLOOKUP(Calculator!E40,tbSkills!AI3:AJ5,2,FALSE),Backdoors!AL4)*(IF((Backdoors!AI12+IF(IM68&gt;=0.45,VLOOKUP(Calculator!E23,tbSkills!DH3:DI6,2,FALSE)+IF(AND(Calculator!B8=TRUE,Backdoors!BI38=TRUE),VLOOKUP(Calculator!E23,tbSkills!DH3:DJ6,3,FALSE),0),0))&gt;=100,100,(Backdoors!AI12+IF(IM68&gt;=0.45,VLOOKUP(Calculator!E23,tbSkills!DH3:DI6,2,FALSE)+IF(AND(Calculator!B8=TRUE,Backdoors!BI38=TRUE),VLOOKUP(Calculator!E23,tbSkills!DH3:DJ6,3,FALSE),0),0)))/100)),1),1)</f>
        <v>0.6</v>
      </c>
      <c r="IS68" s="87">
        <f t="shared" ref="IS68:IS112" si="86">SUM(IP68:IQ68)</f>
        <v>0</v>
      </c>
      <c r="IT68" s="86" t="str">
        <f>IFERROR(IF(VLOOKUP(A68,tbMoveset!A2:B112,2,FALSE)="Sever",Backdoors!AY39/100,IF(VLOOKUP(A68,tbMoveset!A2:B112,2,FALSE)="Blunt",Backdoors!AZ39/100,Backdoors!BA39/100)),"")</f>
        <v/>
      </c>
      <c r="IU68" s="49">
        <f>IFERROR(IF(VLOOKUP(tbMoveset!A68,tbMoveset!A2:H112,8,FALSE)="Other",IF(VLOOKUP(tbMoveset!A68,tbMoveset!A2:I112,9,FALSE)="Fire",Backdoors!BB39,IF(VLOOKUP(tbMoveset!A68,tbMoveset!A2:I112,9,FALSE)="Water",Backdoors!BC39,IF(VLOOKUP(tbMoveset!A68,tbMoveset!A2:I112,9,FALSE)="Thunder",Backdoors!BD39,IF(VLOOKUP(tbMoveset!A68,tbMoveset!A2:I112,9,FALSE)="Ice",Backdoors!BE39,IF(VLOOKUP(tbMoveset!A68,tbMoveset!A2:I112,9,FALSE)="Dragon",Backdoors!BF39,Backdoors!BG39)))))/100,Backdoors!BG39/100),"")</f>
        <v>0</v>
      </c>
      <c r="IV68" s="49">
        <f>IFERROR(IF(VLOOKUP(A68,tbMoveset!A2:J112,10,FALSE)=TRUE,IF((Backdoors!AI12+IF(IT68&gt;=0.45,VLOOKUP(Calculator!E23,tbSkills!DH3:DI6,2,FALSE)+IF(AND(Calculator!B8=TRUE,Backdoors!BI39=TRUE),VLOOKUP(Calculator!E23,tbSkills!DH3:DJ6,3,FALSE),0),0))&gt;=0,1+(Backdoors!AL2*(IF((Backdoors!AI12+IF(IT68&gt;=0.45,VLOOKUP(Calculator!E23,tbSkills!DH3:DI6,2,FALSE)+IF(AND(Calculator!B8=TRUE,Backdoors!BI39=TRUE),VLOOKUP(Calculator!E23,tbSkills!DH3:DJ6,3,FALSE),0),0))&gt;=100,100,(Backdoors!AI12+IF(IT68&gt;=0.45,VLOOKUP(Calculator!E23,tbSkills!DH3:DI6,2,FALSE)+IF(AND(Calculator!B8=TRUE,Backdoors!BI39=TRUE),VLOOKUP(Calculator!E23,tbSkills!DH3:DJ6,3,FALSE),0),0)))/100)),(1-(0.25*((-Backdoors!AI12-IF(IT68&gt;=0.45,VLOOKUP(Calculator!E23,tbSkills!DH3:DI6,2,FALSE)+IF(AND(Calculator!B8=TRUE,Backdoors!BI39=TRUE),VLOOKUP(Calculator!E23,tbSkills!DH3:DJ6,3,FALSE),0),0))/100)))),1),"")</f>
        <v>1</v>
      </c>
      <c r="IW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T68)*IV68)*(VLOOKUP(A68,tbMoveset!A2:C112,3,FALSE)/100)*IF(VLOOKUP(A68,tbMoveset!A2:B112,2,FALSE)="Projectile",Backdoors!N10,Backdoors!N9),0),"")</f>
        <v/>
      </c>
      <c r="IX68" s="49">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40&gt;0,VLOOKUP(Calculator!E40,tbSkills!AC3:AD5,2,FALSE),Backdoors!AL3)*(IF((Backdoors!AI12+IF(IT68&gt;=0.45,VLOOKUP(Calculator!E23,tbSkills!DH3:DI6,2,FALSE)+IF(AND(Calculator!B8=TRUE,Backdoors!BI39=TRUE),VLOOKUP(Calculator!E23,tbSkills!DH3:DJ6,3,FALSE),0),0))&gt;=100,100,(Backdoors!AI12+IF(IT68&gt;=0.45,VLOOKUP(Calculator!E23,tbSkills!DH3:DI6,2,FALSE)+IF(AND(Calculator!B8=TRUE,Backdoors!BI39=TRUE),VLOOKUP(Calculator!E23,tbSkills!DH3:DJ6,3,FALSE),0),0)))/100)),1))*IF(VLOOKUP(A68,tbMoveset!A2:K112,11,FALSE)=TRUE,Backdoors!AC5,1))*IU68,0),"")</f>
        <v>0</v>
      </c>
      <c r="IY68" s="49">
        <f>VLOOKUP(A68,tbMoveset!A2:G112,7,FALSE)*IFERROR(IF(Backdoors!AI12&gt;=0,1+(IF(Calculator!E40&gt;0,VLOOKUP(Calculator!E40,tbSkills!AI3:AJ5,2,FALSE),Backdoors!AL4)*(IF((Backdoors!AI12+IF(IT68&gt;=0.45,VLOOKUP(Calculator!E23,tbSkills!DH3:DI6,2,FALSE)+IF(AND(Calculator!B8=TRUE,Backdoors!BI39=TRUE),VLOOKUP(Calculator!E23,tbSkills!DH3:DJ6,3,FALSE),0),0))&gt;=100,100,(Backdoors!AI12+IF(IT68&gt;=0.45,VLOOKUP(Calculator!E23,tbSkills!DH3:DI6,2,FALSE)+IF(AND(Calculator!B8=TRUE,Backdoors!BI39=TRUE),VLOOKUP(Calculator!E23,tbSkills!DH3:DJ6,3,FALSE),0),0)))/100)),1),1)</f>
        <v>0.6</v>
      </c>
      <c r="IZ68" s="87">
        <f t="shared" ref="IZ68:IZ112" si="87">SUM(IW68:IX68)</f>
        <v>0</v>
      </c>
      <c r="JA68" s="86" t="str">
        <f>IFERROR(IF(VLOOKUP(A68,tbMoveset!A2:B112,2,FALSE)="Sever",Backdoors!AY40/100,IF(VLOOKUP(A68,tbMoveset!A2:B112,2,FALSE)="Blunt",Backdoors!AZ40/100,Backdoors!BA40/100)),"")</f>
        <v/>
      </c>
      <c r="JB68" s="49">
        <f>IFERROR(IF(VLOOKUP(tbMoveset!A68,tbMoveset!A2:H112,8,FALSE)="Other",IF(VLOOKUP(tbMoveset!A68,tbMoveset!A2:I112,9,FALSE)="Fire",Backdoors!BB40,IF(VLOOKUP(tbMoveset!A68,tbMoveset!A2:I112,9,FALSE)="Water",Backdoors!BC40,IF(VLOOKUP(tbMoveset!A68,tbMoveset!A2:I112,9,FALSE)="Thunder",Backdoors!BD40,IF(VLOOKUP(tbMoveset!A68,tbMoveset!A2:I112,9,FALSE)="Ice",Backdoors!BE40,IF(VLOOKUP(tbMoveset!A68,tbMoveset!A2:I112,9,FALSE)="Dragon",Backdoors!BF40,Backdoors!BG40)))))/100,Backdoors!BG40/100),"")</f>
        <v>0</v>
      </c>
      <c r="JC68" s="49">
        <f>IFERROR(IF(VLOOKUP(A68,tbMoveset!A2:J112,10,FALSE)=TRUE,IF((Backdoors!AI12+IF(JA68&gt;=0.45,VLOOKUP(Calculator!E23,tbSkills!DH3:DI6,2,FALSE)+IF(AND(Calculator!B8=TRUE,Backdoors!BI40=TRUE),VLOOKUP(Calculator!E23,tbSkills!DH3:DJ6,3,FALSE),0),0))&gt;=0,1+(Backdoors!AL2*(IF((Backdoors!AI12+IF(JA68&gt;=0.45,VLOOKUP(Calculator!E23,tbSkills!DH3:DI6,2,FALSE)+IF(AND(Calculator!B8=TRUE,Backdoors!BI40=TRUE),VLOOKUP(Calculator!E23,tbSkills!DH3:DJ6,3,FALSE),0),0))&gt;=100,100,(Backdoors!AI12+IF(JA68&gt;=0.45,VLOOKUP(Calculator!E23,tbSkills!DH3:DI6,2,FALSE)+IF(AND(Calculator!B8=TRUE,Backdoors!BI40=TRUE),VLOOKUP(Calculator!E23,tbSkills!DH3:DJ6,3,FALSE),0),0)))/100)),(1-(0.25*((-Backdoors!AI12-IF(JA68&gt;=0.45,VLOOKUP(Calculator!E23,tbSkills!DH3:DI6,2,FALSE)+IF(AND(Calculator!B8=TRUE,Backdoors!BI40=TRUE),VLOOKUP(Calculator!E23,tbSkills!DH3:DJ6,3,FALSE),0),0))/100)))),1),"")</f>
        <v>1</v>
      </c>
      <c r="JD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A68)*JC68)*(VLOOKUP(A68,tbMoveset!A2:C112,3,FALSE)/100)*IF(VLOOKUP(A68,tbMoveset!A2:B112,2,FALSE)="Projectile",Backdoors!N10,Backdoors!N9),0),"")</f>
        <v/>
      </c>
      <c r="JE68" s="49">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42&gt;0,VLOOKUP(Calculator!E42,tbSkills!AC3:AD5,2,FALSE),Backdoors!AL3)*(IF((Backdoors!AI12+IF(JA68&gt;=0.45,VLOOKUP(Calculator!E23,tbSkills!DH3:DI6,2,FALSE)+IF(AND(Calculator!B8=TRUE,Backdoors!BI40=TRUE),VLOOKUP(Calculator!E23,tbSkills!DH3:DJ6,3,FALSE),0),0))&gt;=100,100,(Backdoors!AI12+IF(JA68&gt;=0.45,VLOOKUP(Calculator!E23,tbSkills!DH3:DI6,2,FALSE)+IF(AND(Calculator!B8=TRUE,Backdoors!BI40=TRUE),VLOOKUP(Calculator!E23,tbSkills!DH3:DJ6,3,FALSE),0),0)))/100)),1))*IF(VLOOKUP(A68,tbMoveset!A2:K112,11,FALSE)=TRUE,Backdoors!AC5,1))*JB68,0),"")</f>
        <v>0</v>
      </c>
      <c r="JF68" s="49">
        <f>VLOOKUP(A68,tbMoveset!A2:G112,7,FALSE)*IFERROR(IF(Backdoors!AI12&gt;=0,1+(IF(Calculator!E40&gt;0,VLOOKUP(Calculator!E40,tbSkills!AI3:AJ5,2,FALSE),Backdoors!AL4)*(IF((Backdoors!AI12+IF(JA68&gt;=0.45,VLOOKUP(Calculator!E23,tbSkills!DH3:DI6,2,FALSE)+IF(AND(Calculator!B8=TRUE,Backdoors!BI40=TRUE),VLOOKUP(Calculator!E23,tbSkills!DH3:DJ6,3,FALSE),0),0))&gt;=100,100,(Backdoors!AI12+IF(JA68&gt;=0.45,VLOOKUP(Calculator!E23,tbSkills!DH3:DI6,2,FALSE)+IF(AND(Calculator!B8=TRUE,Backdoors!BI40=TRUE),VLOOKUP(Calculator!E23,tbSkills!DH3:DJ6,3,FALSE),0),0)))/100)),1),1)</f>
        <v>0.6</v>
      </c>
      <c r="JG68" s="87">
        <f t="shared" ref="JG68:JG112" si="88">SUM(JD68:JE68)</f>
        <v>0</v>
      </c>
      <c r="JH68" s="86" t="str">
        <f>IFERROR(IF(VLOOKUP(A68,tbMoveset!A2:B112,2,FALSE)="Sever",Backdoors!AY41/100,IF(VLOOKUP(A68,tbMoveset!A2:B112,2,FALSE)="Blunt",Backdoors!AZ41/100,Backdoors!BA41/100)),"")</f>
        <v/>
      </c>
      <c r="JI68" s="49">
        <f>IFERROR(IF(VLOOKUP(tbMoveset!A68,tbMoveset!A2:H112,8,FALSE)="Other",IF(VLOOKUP(tbMoveset!A68,tbMoveset!A2:I112,9,FALSE)="Fire",Backdoors!BB41,IF(VLOOKUP(tbMoveset!A68,tbMoveset!A2:I112,9,FALSE)="Water",Backdoors!BC41,IF(VLOOKUP(tbMoveset!A68,tbMoveset!A2:I112,9,FALSE)="Thunder",Backdoors!BD41,IF(VLOOKUP(tbMoveset!A68,tbMoveset!A2:I112,9,FALSE)="Ice",Backdoors!BE41,IF(VLOOKUP(tbMoveset!A68,tbMoveset!A2:I112,9,FALSE)="Dragon",Backdoors!BF41,Backdoors!BG41)))))/100,Backdoors!BG41/100),"")</f>
        <v>0</v>
      </c>
      <c r="JJ68" s="49">
        <f>IFERROR(IF(VLOOKUP(A68,tbMoveset!A2:J112,10,FALSE)=TRUE,IF((Backdoors!AI12+IF(JH68&gt;=0.45,VLOOKUP(Calculator!E23,tbSkills!DH3:DI6,2,FALSE)+IF(AND(Calculator!B8=TRUE,Backdoors!BI41=TRUE),VLOOKUP(Calculator!E23,tbSkills!DH3:DJ6,3,FALSE),0),0))&gt;=0,1+(Backdoors!AL2*(IF((Backdoors!AI12+IF(JH68&gt;=0.45,VLOOKUP(Calculator!E23,tbSkills!DH3:DI6,2,FALSE)+IF(AND(Calculator!B8=TRUE,Backdoors!BI41=TRUE),VLOOKUP(Calculator!E23,tbSkills!DH3:DJ6,3,FALSE),0),0))&gt;=100,100,(Backdoors!AI12+IF(JH68&gt;=0.45,VLOOKUP(Calculator!E23,tbSkills!DH3:DI6,2,FALSE)+IF(AND(Calculator!B8=TRUE,Backdoors!BI41=TRUE),VLOOKUP(Calculator!E23,tbSkills!DH3:DJ6,3,FALSE),0),0)))/100)),(1-(0.25*((-Backdoors!AI12-IF(JH68&gt;=0.45,VLOOKUP(Calculator!E23,tbSkills!DH3:DI6,2,FALSE)+IF(AND(Calculator!B8=TRUE,Backdoors!BI41=TRUE),VLOOKUP(Calculator!E23,tbSkills!DH3:DJ6,3,FALSE),0),0))/100)))),1),"")</f>
        <v>1</v>
      </c>
      <c r="JK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H68)*JJ68)*(VLOOKUP(A68,tbMoveset!A2:C112,3,FALSE)/100)*IF(VLOOKUP(A68,tbMoveset!A2:B112,2,FALSE)="Projectile",Backdoors!N10,Backdoors!N9),0),"")</f>
        <v/>
      </c>
      <c r="JL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43&gt;0,VLOOKUP(Calculator!E43,tbSkills!AC3:AD5,2,FALSE),Backdoors!AL3)*(IF((Backdoors!AI12+IF(JH68&gt;=0.45,VLOOKUP(Calculator!E23,tbSkills!DH3:DI6,2,FALSE)+IF(AND(Calculator!B8=TRUE,Backdoors!BI41=TRUE),VLOOKUP(Calculator!E23,tbSkills!DH3:DJ6,3,FALSE),0),0))&gt;=100,100,(Backdoors!AI12+IF(JH68&gt;=0.45,VLOOKUP(Calculator!E23,tbSkills!DH3:DI6,2,FALSE)+IF(AND(Calculator!B8=TRUE,Backdoors!BI41=TRUE),VLOOKUP(Calculator!E23,tbSkills!DH3:DJ6,3,FALSE),0),0)))/100)),1))*IF(VLOOKUP(A68,tbMoveset!A2:K112,11,FALSE)=TRUE,Backdoors!AC5,1))*JI68,0),"")</f>
        <v/>
      </c>
      <c r="JM68" s="49">
        <f>VLOOKUP(A68,tbMoveset!A2:G112,7,FALSE)*IFERROR(IF(Backdoors!AI12&gt;=0,1+(IF(Calculator!E40&gt;0,VLOOKUP(Calculator!E40,tbSkills!AI3:AJ5,2,FALSE),Backdoors!AL4)*(IF((Backdoors!AI12+IF(JH68&gt;=0.45,VLOOKUP(Calculator!E23,tbSkills!DH3:DI6,2,FALSE)+IF(AND(Calculator!B8=TRUE,Backdoors!BI41=TRUE),VLOOKUP(Calculator!E23,tbSkills!DH3:DJ6,3,FALSE),0),0))&gt;=100,100,(Backdoors!AI12+IF(JH68&gt;=0.45,VLOOKUP(Calculator!E23,tbSkills!DH3:DI6,2,FALSE)+IF(AND(Calculator!B8=TRUE,Backdoors!BI41=TRUE),VLOOKUP(Calculator!E23,tbSkills!DH3:DJ6,3,FALSE),0),0)))/100)),1),1)</f>
        <v>0.6</v>
      </c>
      <c r="JN68" s="87">
        <f t="shared" ref="JN68:JN112" si="89">SUM(JK68:JL68)</f>
        <v>0</v>
      </c>
      <c r="JO68" s="86" t="str">
        <f>IFERROR(IF(VLOOKUP(A68,tbMoveset!A2:B112,2,FALSE)="Sever",Backdoors!AY42/100,IF(VLOOKUP(A68,tbMoveset!A2:B112,2,FALSE)="Blunt",Backdoors!AZ42/100,Backdoors!BA42/100)),"")</f>
        <v/>
      </c>
      <c r="JP68" s="49">
        <f>IFERROR(IF(VLOOKUP(tbMoveset!A68,tbMoveset!A2:H112,8,FALSE)="Other",IF(VLOOKUP(tbMoveset!A68,tbMoveset!A2:I112,9,FALSE)="Fire",Backdoors!BB42,IF(VLOOKUP(tbMoveset!A68,tbMoveset!A2:I112,9,FALSE)="Water",Backdoors!BC42,IF(VLOOKUP(tbMoveset!A68,tbMoveset!A2:I112,9,FALSE)="Thunder",Backdoors!BD42,IF(VLOOKUP(tbMoveset!A68,tbMoveset!A2:I112,9,FALSE)="Ice",Backdoors!BE42,IF(VLOOKUP(tbMoveset!A68,tbMoveset!A2:I112,9,FALSE)="Dragon",Backdoors!BF42,Backdoors!BG42)))))/100,Backdoors!BG42/100),"")</f>
        <v>0</v>
      </c>
      <c r="JQ68" s="49">
        <f>IFERROR(IF(VLOOKUP(A68,tbMoveset!A2:J112,10,FALSE)=TRUE,IF((Backdoors!AI12+IF(JO68&gt;=0.45,VLOOKUP(Calculator!E23,tbSkills!DH3:DI6,2,FALSE)+IF(AND(Calculator!B8=TRUE,Backdoors!BI42=TRUE),VLOOKUP(Calculator!E23,tbSkills!DH3:DJ6,3,FALSE),0),0))&gt;=0,1+(Backdoors!AL2*(IF((Backdoors!AI12+IF(JO68&gt;=0.45,VLOOKUP(Calculator!E23,tbSkills!DH3:DI6,2,FALSE)+IF(AND(Calculator!B8=TRUE,Backdoors!BI42=TRUE),VLOOKUP(Calculator!E23,tbSkills!DH3:DJ6,3,FALSE),0),0))&gt;=100,100,(Backdoors!AI12+IF(JO68&gt;=0.45,VLOOKUP(Calculator!E23,tbSkills!DH3:DI6,2,FALSE)+IF(AND(Calculator!B8=TRUE,Backdoors!BI42=TRUE),VLOOKUP(Calculator!E23,tbSkills!DH3:DJ6,3,FALSE),0),0)))/100)),(1-(0.25*((-Backdoors!AI12-IF(JO68&gt;=0.45,VLOOKUP(Calculator!E23,tbSkills!DH3:DI6,2,FALSE)+IF(AND(Calculator!B8=TRUE,Backdoors!BI42=TRUE),VLOOKUP(Calculator!E23,tbSkills!DH3:DJ6,3,FALSE),0),0))/100)))),1),"")</f>
        <v>1</v>
      </c>
      <c r="JR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O68)*JQ68)*(VLOOKUP(A68,tbMoveset!A2:C112,3,FALSE)/100)*IF(VLOOKUP(A68,tbMoveset!A2:B112,2,FALSE)="Projectile",Backdoors!N10,Backdoors!N9),0),"")</f>
        <v/>
      </c>
      <c r="JS68" s="49">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45&gt;0,VLOOKUP(Calculator!E45,tbSkills!AC3:AD5,2,FALSE),Backdoors!AL3)*(IF((Backdoors!AI12+IF(JO68&gt;=0.45,VLOOKUP(Calculator!E23,tbSkills!DH3:DI6,2,FALSE)+IF(AND(Calculator!B8=TRUE,Backdoors!BI42=TRUE),VLOOKUP(Calculator!E23,tbSkills!DH3:DJ6,3,FALSE),0),0))&gt;=100,100,(Backdoors!AI12+IF(JO68&gt;=0.45,VLOOKUP(Calculator!E23,tbSkills!DH3:DI6,2,FALSE)+IF(AND(Calculator!B8=TRUE,Backdoors!BI42=TRUE),VLOOKUP(Calculator!E23,tbSkills!DH3:DJ6,3,FALSE),0),0)))/100)),1))*IF(VLOOKUP(A68,tbMoveset!A2:K112,11,FALSE)=TRUE,Backdoors!AC5,1))*JP68,0),"")</f>
        <v>0</v>
      </c>
      <c r="JT68" s="49">
        <f>VLOOKUP(A68,tbMoveset!A2:G112,7,FALSE)*IFERROR(IF(Backdoors!AI12&gt;=0,1+(IF(Calculator!E40&gt;0,VLOOKUP(Calculator!E40,tbSkills!AI3:AJ5,2,FALSE),Backdoors!AL4)*(IF((Backdoors!AI12+IF(JO68&gt;=0.45,VLOOKUP(Calculator!E23,tbSkills!DH3:DI6,2,FALSE)+IF(AND(Calculator!B8=TRUE,Backdoors!BI42=TRUE),VLOOKUP(Calculator!E23,tbSkills!DH3:DJ6,3,FALSE),0),0))&gt;=100,100,(Backdoors!AI12+IF(JO68&gt;=0.45,VLOOKUP(Calculator!E23,tbSkills!DH3:DI6,2,FALSE)+IF(AND(Calculator!B8=TRUE,Backdoors!BI42=TRUE),VLOOKUP(Calculator!E23,tbSkills!DH3:DJ6,3,FALSE),0),0)))/100)),1),1)</f>
        <v>0.6</v>
      </c>
      <c r="JU68" s="87">
        <f t="shared" ref="JU68:JU112" si="90">SUM(JR68:JS68)</f>
        <v>0</v>
      </c>
      <c r="JV68" s="86" t="str">
        <f>IFERROR(IF(VLOOKUP(A68,tbMoveset!A2:B112,2,FALSE)="Sever",Backdoors!AY43/100,IF(VLOOKUP(A68,tbMoveset!A2:B112,2,FALSE)="Blunt",Backdoors!AZ43/100,Backdoors!BA43/100)),"")</f>
        <v/>
      </c>
      <c r="JW68" s="49">
        <f>IFERROR(IF(VLOOKUP(tbMoveset!A68,tbMoveset!A2:H112,8,FALSE)="Other",IF(VLOOKUP(tbMoveset!A68,tbMoveset!A2:I112,9,FALSE)="Fire",Backdoors!BB43,IF(VLOOKUP(tbMoveset!A68,tbMoveset!A2:I112,9,FALSE)="Water",Backdoors!BC43,IF(VLOOKUP(tbMoveset!A68,tbMoveset!A2:I112,9,FALSE)="Thunder",Backdoors!BD43,IF(VLOOKUP(tbMoveset!A68,tbMoveset!A2:I112,9,FALSE)="Ice",Backdoors!BE43,IF(VLOOKUP(tbMoveset!A68,tbMoveset!A2:I112,9,FALSE)="Dragon",Backdoors!BF43,Backdoors!BG43)))))/100,Backdoors!BG43/100),"")</f>
        <v>0</v>
      </c>
      <c r="JX68" s="49">
        <f>IFERROR(IF(VLOOKUP(A68,tbMoveset!A2:J112,10,FALSE)=TRUE,IF((Backdoors!AI12+IF(JV68&gt;=0.45,VLOOKUP(Calculator!E23,tbSkills!DH3:DI6,2,FALSE)+IF(AND(Calculator!B8=TRUE,Backdoors!BI43=TRUE),VLOOKUP(Calculator!E23,tbSkills!DH3:DJ6,3,FALSE),0),0))&gt;=0,1+(Backdoors!AL2*(IF((Backdoors!AI12+IF(JV68&gt;=0.45,VLOOKUP(Calculator!E23,tbSkills!DH3:DI6,2,FALSE)+IF(AND(Calculator!B8=TRUE,Backdoors!BI43=TRUE),VLOOKUP(Calculator!E23,tbSkills!DH3:DJ6,3,FALSE),0),0))&gt;=100,100,(Backdoors!AI12+IF(JV68&gt;=0.45,VLOOKUP(Calculator!E23,tbSkills!DH3:DI6,2,FALSE)+IF(AND(Calculator!B8=TRUE,Backdoors!BI43=TRUE),VLOOKUP(Calculator!E23,tbSkills!DH3:DJ6,3,FALSE),0),0)))/100)),(1-(0.25*((-Backdoors!AI12-IF(JV68&gt;=0.45,VLOOKUP(Calculator!E23,tbSkills!DH3:DI6,2,FALSE)+IF(AND(Calculator!B8=TRUE,Backdoors!BI43=TRUE),VLOOKUP(Calculator!E23,tbSkills!DH3:DJ6,3,FALSE),0),0))/100)))),1),"")</f>
        <v>1</v>
      </c>
      <c r="JY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V68)*JX68)*(VLOOKUP(A68,tbMoveset!A2:C112,3,FALSE)/100)*IF(VLOOKUP(A68,tbMoveset!A2:B112,2,FALSE)="Projectile",Backdoors!N10,Backdoors!N9),0),"")</f>
        <v/>
      </c>
      <c r="JZ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46&gt;0,VLOOKUP(Calculator!E46,tbSkills!AC3:AD5,2,FALSE),Backdoors!AL3)*(IF((Backdoors!AI12+IF(JV68&gt;=0.45,VLOOKUP(Calculator!E23,tbSkills!DH3:DI6,2,FALSE)+IF(AND(Calculator!B8=TRUE,Backdoors!BI43=TRUE),VLOOKUP(Calculator!E23,tbSkills!DH3:DJ6,3,FALSE),0),0))&gt;=100,100,(Backdoors!AI12+IF(JV68&gt;=0.45,VLOOKUP(Calculator!E23,tbSkills!DH3:DI6,2,FALSE)+IF(AND(Calculator!B8=TRUE,Backdoors!BI43=TRUE),VLOOKUP(Calculator!E23,tbSkills!DH3:DJ6,3,FALSE),0),0)))/100)),1))*IF(VLOOKUP(A68,tbMoveset!A2:K112,11,FALSE)=TRUE,Backdoors!AC5,1))*JW68,0),"")</f>
        <v/>
      </c>
      <c r="KA68" s="49">
        <f>VLOOKUP(A68,tbMoveset!A2:G112,7,FALSE)*IFERROR(IF(Backdoors!AI12&gt;=0,1+(IF(Calculator!E40&gt;0,VLOOKUP(Calculator!E40,tbSkills!AI3:AJ5,2,FALSE),Backdoors!AL4)*(IF((Backdoors!AI12+IF(JV68&gt;=0.45,VLOOKUP(Calculator!E23,tbSkills!DH3:DI6,2,FALSE)+IF(AND(Calculator!B8=TRUE,Backdoors!BI43=TRUE),VLOOKUP(Calculator!E23,tbSkills!DH3:DJ6,3,FALSE),0),0))&gt;=100,100,(Backdoors!AI12+IF(JV68&gt;=0.45,VLOOKUP(Calculator!E23,tbSkills!DH3:DI6,2,FALSE)+IF(AND(Calculator!B8=TRUE,Backdoors!BI43=TRUE),VLOOKUP(Calculator!E23,tbSkills!DH3:DJ6,3,FALSE),0),0)))/100)),1),1)</f>
        <v>0.6</v>
      </c>
      <c r="KB68" s="87">
        <f t="shared" ref="KB68:KB112" si="91">SUM(JY68:JZ68)</f>
        <v>0</v>
      </c>
      <c r="KC68" s="86" t="str">
        <f>IFERROR(IF(VLOOKUP(A68,tbMoveset!A2:B112,2,FALSE)="Sever",Backdoors!AY44/100,IF(VLOOKUP(A68,tbMoveset!A2:B112,2,FALSE)="Blunt",Backdoors!AZ44/100,Backdoors!BA44/100)),"")</f>
        <v/>
      </c>
      <c r="KD68" s="49">
        <f>IFERROR(IF(VLOOKUP(tbMoveset!A68,tbMoveset!A2:H112,8,FALSE)="Other",IF(VLOOKUP(tbMoveset!A68,tbMoveset!A2:I112,9,FALSE)="Fire",Backdoors!BB44,IF(VLOOKUP(tbMoveset!A68,tbMoveset!A2:I112,9,FALSE)="Water",Backdoors!BC44,IF(VLOOKUP(tbMoveset!A68,tbMoveset!A2:I112,9,FALSE)="Thunder",Backdoors!BD44,IF(VLOOKUP(tbMoveset!A68,tbMoveset!A2:I112,9,FALSE)="Ice",Backdoors!BE44,IF(VLOOKUP(tbMoveset!A68,tbMoveset!A2:I112,9,FALSE)="Dragon",Backdoors!BF44,Backdoors!BG44)))))/100,Backdoors!BG44/100),"")</f>
        <v>0</v>
      </c>
      <c r="KE68" s="49">
        <f>IFERROR(IF(VLOOKUP(A68,tbMoveset!A2:J112,10,FALSE)=TRUE,IF((Backdoors!AI12+IF(KC68&gt;=0.45,VLOOKUP(Calculator!E23,tbSkills!DH3:DI6,2,FALSE)+IF(AND(Calculator!B8=TRUE,Backdoors!BI44=TRUE),VLOOKUP(Calculator!E23,tbSkills!DH3:DJ6,3,FALSE),0),0))&gt;=0,1+(Backdoors!AL2*(IF((Backdoors!AI12+IF(KC68&gt;=0.45,VLOOKUP(Calculator!E23,tbSkills!DH3:DI6,2,FALSE)+IF(AND(Calculator!B8=TRUE,Backdoors!BI44=TRUE),VLOOKUP(Calculator!E23,tbSkills!DH3:DJ6,3,FALSE),0),0))&gt;=100,100,(Backdoors!AI12+IF(KC68&gt;=0.45,VLOOKUP(Calculator!E23,tbSkills!DH3:DI6,2,FALSE)+IF(AND(Calculator!B8=TRUE,Backdoors!BI44=TRUE),VLOOKUP(Calculator!E23,tbSkills!DH3:DJ6,3,FALSE),0),0)))/100)),(1-(0.25*((-Backdoors!AI12-IF(KC68&gt;=0.45,VLOOKUP(Calculator!E23,tbSkills!DH3:DI6,2,FALSE)+IF(AND(Calculator!B8=TRUE,Backdoors!BI44=TRUE),VLOOKUP(Calculator!E23,tbSkills!DH3:DJ6,3,FALSE),0),0))/100)))),1),"")</f>
        <v>1</v>
      </c>
      <c r="KF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KC68)*KE68)*(VLOOKUP(A68,tbMoveset!A2:C112,3,FALSE)/100)*IF(VLOOKUP(A68,tbMoveset!A2:B112,2,FALSE)="Projectile",Backdoors!N10,Backdoors!N9),0),"")</f>
        <v/>
      </c>
      <c r="KG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REF!&gt;0,VLOOKUP(Calculator!#REF!,tbSkills!AC3:AD5,2,FALSE),Backdoors!AL3)*(IF((Backdoors!AI12+IF(KC68&gt;=0.45,VLOOKUP(Calculator!E23,tbSkills!DH3:DI6,2,FALSE)+IF(AND(Calculator!B8=TRUE,Backdoors!BI44=TRUE),VLOOKUP(Calculator!E23,tbSkills!DH3:DJ6,3,FALSE),0),0))&gt;=100,100,(Backdoors!AI12+IF(KC68&gt;=0.45,VLOOKUP(Calculator!E23,tbSkills!DH3:DI6,2,FALSE)+IF(AND(Calculator!B8=TRUE,Backdoors!BI44=TRUE),VLOOKUP(Calculator!E23,tbSkills!DH3:DJ6,3,FALSE),0),0)))/100)),1))*IF(VLOOKUP(A68,tbMoveset!A2:K112,11,FALSE)=TRUE,Backdoors!AC5,1))*KD68,0),"")</f>
        <v/>
      </c>
      <c r="KH68" s="49">
        <f>VLOOKUP(A68,tbMoveset!A2:G112,7,FALSE)*IFERROR(IF(Backdoors!AI12&gt;=0,1+(IF(Calculator!E40&gt;0,VLOOKUP(Calculator!E40,tbSkills!AI3:AJ5,2,FALSE),Backdoors!AL4)*(IF((Backdoors!AI12+IF(KC68&gt;=0.45,VLOOKUP(Calculator!E23,tbSkills!DH3:DI6,2,FALSE)+IF(AND(Calculator!B8=TRUE,Backdoors!BI44=TRUE),VLOOKUP(Calculator!E23,tbSkills!DH3:DJ6,3,FALSE),0),0))&gt;=100,100,(Backdoors!AI12+IF(KC68&gt;=0.45,VLOOKUP(Calculator!E23,tbSkills!DH3:DI6,2,FALSE)+IF(AND(Calculator!B8=TRUE,Backdoors!BI44=TRUE),VLOOKUP(Calculator!E23,tbSkills!DH3:DJ6,3,FALSE),0),0)))/100)),1),1)</f>
        <v>0.6</v>
      </c>
      <c r="KI68" s="87">
        <f t="shared" ref="KI68:KI112" si="92">SUM(KF68:KG68)</f>
        <v>0</v>
      </c>
      <c r="KJ68" s="86" t="str">
        <f>IFERROR(IF(VLOOKUP(A68,tbMoveset!A2:B112,2,FALSE)="Sever",Backdoors!AY45/100,IF(VLOOKUP(A68,tbMoveset!A2:B112,2,FALSE)="Blunt",Backdoors!AZ45/100,Backdoors!BA45/100)),"")</f>
        <v/>
      </c>
      <c r="KK68" s="49">
        <f>IFERROR(IF(VLOOKUP(tbMoveset!A68,tbMoveset!A2:H112,8,FALSE)="Other",IF(VLOOKUP(tbMoveset!A68,tbMoveset!A2:I112,9,FALSE)="Fire",Backdoors!BB45,IF(VLOOKUP(tbMoveset!A68,tbMoveset!A2:I112,9,FALSE)="Water",Backdoors!BC45,IF(VLOOKUP(tbMoveset!A68,tbMoveset!A2:I112,9,FALSE)="Thunder",Backdoors!BD45,IF(VLOOKUP(tbMoveset!A68,tbMoveset!A2:I112,9,FALSE)="Ice",Backdoors!BE45,IF(VLOOKUP(tbMoveset!A68,tbMoveset!A2:I112,9,FALSE)="Dragon",Backdoors!BF45,Backdoors!BG45)))))/100,Backdoors!BG45/100),"")</f>
        <v>0</v>
      </c>
      <c r="KL68" s="49">
        <f>IFERROR(IF(VLOOKUP(A68,tbMoveset!A2:J112,10,FALSE)=TRUE,IF((Backdoors!AI12+IF(KJ68&gt;=0.45,VLOOKUP(Calculator!E23,tbSkills!DH3:DI6,2,FALSE)+IF(AND(Calculator!B8=TRUE,Backdoors!BI45=TRUE),VLOOKUP(Calculator!E23,tbSkills!DH3:DJ6,3,FALSE),0),0))&gt;=0,1+(Backdoors!AL2*(IF((Backdoors!AI12+IF(KJ68&gt;=0.45,VLOOKUP(Calculator!E23,tbSkills!DH3:DI6,2,FALSE)+IF(AND(Calculator!B8=TRUE,Backdoors!BI45=TRUE),VLOOKUP(Calculator!E23,tbSkills!DH3:DJ6,3,FALSE),0),0))&gt;=100,100,(Backdoors!AI12+IF(KJ68&gt;=0.45,VLOOKUP(Calculator!E23,tbSkills!DH3:DI6,2,FALSE)+IF(AND(Calculator!B8=TRUE,Backdoors!BI45=TRUE),VLOOKUP(Calculator!E23,tbSkills!DH3:DJ6,3,FALSE),0),0)))/100)),(1-(0.25*((-Backdoors!AI12-IF(KJ68&gt;=0.45,VLOOKUP(Calculator!E23,tbSkills!DH3:DI6,2,FALSE)+IF(AND(Calculator!B8=TRUE,Backdoors!BI45=TRUE),VLOOKUP(Calculator!E23,tbSkills!DH3:DJ6,3,FALSE),0),0))/100)))),1),"")</f>
        <v>1</v>
      </c>
      <c r="KM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KJ68)*KL68)*(VLOOKUP(A68,tbMoveset!A2:C112,3,FALSE)/100)*IF(VLOOKUP(A68,tbMoveset!A2:B112,2,FALSE)="Projectile",Backdoors!N10,Backdoors!N9),0),"")</f>
        <v/>
      </c>
      <c r="KN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REF!&gt;0,VLOOKUP(Calculator!#REF!,tbSkills!AC3:AD5,2,FALSE),Backdoors!AL3)*(IF((Backdoors!AI12+IF(KJ68&gt;=0.45,VLOOKUP(Calculator!E23,tbSkills!DH3:DI6,2,FALSE)+IF(AND(Calculator!B8=TRUE,Backdoors!BI45=TRUE),VLOOKUP(Calculator!E23,tbSkills!DH3:DJ6,3,FALSE),0),0))&gt;=100,100,(Backdoors!AI12+IF(KJ68&gt;=0.45,VLOOKUP(Calculator!E23,tbSkills!DH3:DI6,2,FALSE)+IF(AND(Calculator!B8=TRUE,Backdoors!BI45=TRUE),VLOOKUP(Calculator!E23,tbSkills!DH3:DJ6,3,FALSE),0),0)))/100)),1))*IF(VLOOKUP(A68,tbMoveset!A2:K112,11,FALSE)=TRUE,Backdoors!AC5,1))*KK68,0),"")</f>
        <v/>
      </c>
      <c r="KO68" s="49">
        <f>VLOOKUP(A68,tbMoveset!A2:G112,7,FALSE)*IFERROR(IF(Backdoors!AI12&gt;=0,1+(IF(Calculator!E40&gt;0,VLOOKUP(Calculator!E40,tbSkills!AI3:AJ5,2,FALSE),Backdoors!AL4)*(IF((Backdoors!AI12+IF(KJ68&gt;=0.45,VLOOKUP(Calculator!E23,tbSkills!DH3:DI6,2,FALSE)+IF(AND(Calculator!B8=TRUE,Backdoors!BI45=TRUE),VLOOKUP(Calculator!E23,tbSkills!DH3:DJ6,3,FALSE),0),0))&gt;=100,100,(Backdoors!AI12+IF(KJ68&gt;=0.45,VLOOKUP(Calculator!E23,tbSkills!DH3:DI6,2,FALSE)+IF(AND(Calculator!B8=TRUE,Backdoors!BI45=TRUE),VLOOKUP(Calculator!E23,tbSkills!DH3:DJ6,3,FALSE),0),0)))/100)),1),1)</f>
        <v>0.6</v>
      </c>
      <c r="KP68" s="87">
        <f t="shared" ref="KP68:KP112" si="93">SUM(KM68:KN68)</f>
        <v>0</v>
      </c>
      <c r="KQ68" s="86" t="str">
        <f>IFERROR(IF(VLOOKUP(A68,tbMoveset!A2:B112,2,FALSE)="Sever",Backdoors!AY46/100,IF(VLOOKUP(A68,tbMoveset!A2:B112,2,FALSE)="Blunt",Backdoors!AZ46/100,Backdoors!BA46/100)),"")</f>
        <v/>
      </c>
      <c r="KR68" s="49">
        <f>IFERROR(IF(VLOOKUP(tbMoveset!A68,tbMoveset!A2:H112,8,FALSE)="Other",IF(VLOOKUP(tbMoveset!A68,tbMoveset!A2:I112,9,FALSE)="Fire",Backdoors!BB46,IF(VLOOKUP(tbMoveset!A68,tbMoveset!A2:I112,9,FALSE)="Water",Backdoors!BC46,IF(VLOOKUP(tbMoveset!A68,tbMoveset!A2:I112,9,FALSE)="Thunder",Backdoors!BD46,IF(VLOOKUP(tbMoveset!A68,tbMoveset!A2:I112,9,FALSE)="Ice",Backdoors!BE46,IF(VLOOKUP(tbMoveset!A68,tbMoveset!A2:I112,9,FALSE)="Dragon",Backdoors!BF46,Backdoors!BG46)))))/100,Backdoors!BG46/100),"")</f>
        <v>0</v>
      </c>
      <c r="KS68" s="49">
        <f>IFERROR(IF(VLOOKUP(A68,tbMoveset!A2:J112,10,FALSE)=TRUE,IF((Backdoors!AI12+IF(KQ68&gt;=0.45,VLOOKUP(Calculator!E23,tbSkills!DH3:DI6,2,FALSE)+IF(AND(Calculator!B8=TRUE,Backdoors!BI46=TRUE),VLOOKUP(Calculator!E23,tbSkills!DH3:DJ6,3,FALSE),0),0))&gt;=0,1+(Backdoors!AL2*(IF((Backdoors!AI12+IF(KQ68&gt;=0.45,VLOOKUP(Calculator!E23,tbSkills!DH3:DI6,2,FALSE)+IF(AND(Calculator!B8=TRUE,Backdoors!BI46=TRUE),VLOOKUP(Calculator!E23,tbSkills!DH3:DJ6,3,FALSE),0),0))&gt;=100,100,(Backdoors!AI12+IF(KQ68&gt;=0.45,VLOOKUP(Calculator!E23,tbSkills!DH3:DI6,2,FALSE)+IF(AND(Calculator!B8=TRUE,Backdoors!BI46=TRUE),VLOOKUP(Calculator!E23,tbSkills!DH3:DJ6,3,FALSE),0),0)))/100)),(1-(0.25*((-Backdoors!AI12-IF(KQ68&gt;=0.45,VLOOKUP(Calculator!E23,tbSkills!DH3:DI6,2,FALSE)+IF(AND(Calculator!B8=TRUE,Backdoors!BI46=TRUE),VLOOKUP(Calculator!E23,tbSkills!DH3:DJ6,3,FALSE),0),0))/100)))),1),"")</f>
        <v>1</v>
      </c>
      <c r="KT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KQ68)*KS68)*(VLOOKUP(A68,tbMoveset!A2:C112,3,FALSE)/100)*IF(VLOOKUP(A68,tbMoveset!A2:B112,2,FALSE)="Projectile",Backdoors!N10,Backdoors!N9),0),"")</f>
        <v/>
      </c>
      <c r="KU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REF!&gt;0,VLOOKUP(Calculator!#REF!,tbSkills!AC3:AD5,2,FALSE),Backdoors!AL3)*(IF((Backdoors!AI12+IF(KQ68&gt;=0.45,VLOOKUP(Calculator!E23,tbSkills!DH3:DI6,2,FALSE)+IF(AND(Calculator!B8=TRUE,Backdoors!BI46=TRUE),VLOOKUP(Calculator!E23,tbSkills!DH3:DJ6,3,FALSE),0),0))&gt;=100,100,(Backdoors!AI12+IF(KQ68&gt;=0.45,VLOOKUP(Calculator!E23,tbSkills!DH3:DI6,2,FALSE)+IF(AND(Calculator!B8=TRUE,Backdoors!BI46=TRUE),VLOOKUP(Calculator!E23,tbSkills!DH3:DJ6,3,FALSE),0),0)))/100)),1))*IF(VLOOKUP(A68,tbMoveset!A2:K112,11,FALSE)=TRUE,Backdoors!AC5,1))*KR68,0),"")</f>
        <v/>
      </c>
      <c r="KV68" s="49">
        <f>VLOOKUP(A68,tbMoveset!A2:G112,7,FALSE)*IFERROR(IF(Backdoors!AI12&gt;=0,1+(IF(Calculator!E40&gt;0,VLOOKUP(Calculator!E40,tbSkills!AI3:AJ5,2,FALSE),Backdoors!AL4)*(IF((Backdoors!AI12+IF(KQ68&gt;=0.45,VLOOKUP(Calculator!E23,tbSkills!DH3:DI6,2,FALSE)+IF(AND(Calculator!B8=TRUE,Backdoors!BI46=TRUE),VLOOKUP(Calculator!E23,tbSkills!DH3:DJ6,3,FALSE),0),0))&gt;=100,100,(Backdoors!AI12+IF(KQ68&gt;=0.45,VLOOKUP(Calculator!E23,tbSkills!DH3:DI6,2,FALSE)+IF(AND(Calculator!B8=TRUE,Backdoors!BI46=TRUE),VLOOKUP(Calculator!E23,tbSkills!DH3:DJ6,3,FALSE),0),0)))/100)),1),1)</f>
        <v>0.6</v>
      </c>
      <c r="KW68" s="87">
        <f t="shared" ref="KW68:KW112" si="94">SUM(KT68:KU68)</f>
        <v>0</v>
      </c>
    </row>
    <row r="69" spans="1:309" x14ac:dyDescent="0.25">
      <c r="A69" s="95" t="str">
        <f>tbMoveset!A69</f>
        <v>Blade Dance (L8)</v>
      </c>
      <c r="B69" s="86">
        <f>IFERROR(IF(VLOOKUP(A69,tbMoveset!A2:B112,2,FALSE)="Sever",Backdoors!AY3/100,IF(VLOOKUP(A69,tbMoveset!A2:B112,2,FALSE)="Blunt",Backdoors!AZ3/100,Backdoors!BA3/100)),"")</f>
        <v>0.8</v>
      </c>
      <c r="C69" s="49">
        <f>IFERROR(IF(VLOOKUP(tbMoveset!A69,tbMoveset!A2:H112,8,FALSE)="Other",IF(VLOOKUP(tbMoveset!A69,tbMoveset!A2:I112,9,FALSE)="Fire",Backdoors!BB3,IF(VLOOKUP(tbMoveset!A69,tbMoveset!A2:I112,9,FALSE)="Water",Backdoors!BC3,IF(VLOOKUP(tbMoveset!A69,tbMoveset!A2:I112,9,FALSE)="Thunder",Backdoors!BD3,IF(VLOOKUP(tbMoveset!A69,tbMoveset!A2:I112,9,FALSE)="Ice",Backdoors!BE3,IF(VLOOKUP(tbMoveset!A69,tbMoveset!A2:I112,9,FALSE)="Dragon",Backdoors!BF3,Backdoors!BG3)))))/100,Backdoors!BG3/100),"")</f>
        <v>0</v>
      </c>
      <c r="D69" s="49">
        <f>IFERROR(IF(VLOOKUP(A69,tbMoveset!A2:J112,10,FALSE)=TRUE,IF((Backdoors!AI12+IF(B69&gt;=0.45,VLOOKUP(Calculator!E23,tbSkills!DH3:DI6,2,FALSE)+IF(AND(Calculator!B8=TRUE,Backdoors!BI3=TRUE),VLOOKUP(Calculator!E23,tbSkills!DH3:DJ6,3,FALSE),0),0))&gt;=0,1+(Backdoors!AL2*(IF((Backdoors!AI12+IF(B69&gt;=0.45,VLOOKUP(Calculator!E23,tbSkills!DH3:DI6,2,FALSE)+IF(AND(Calculator!B8=TRUE,Backdoors!BI3=TRUE),VLOOKUP(Calculator!E23,tbSkills!DH3:DJ6,3,FALSE),0),0))&gt;=100,100,(Backdoors!AI12+IF(B69&gt;=0.45,VLOOKUP(Calculator!E23,tbSkills!DH3:DI6,2,FALSE)+IF(AND(Calculator!B8=TRUE,Backdoors!BI3=TRUE),VLOOKUP(Calculator!E23,tbSkills!DH3:DJ6,3,FALSE),0),0)))/100)),(1-(0.25*((-Backdoors!AI12-IF(B69&gt;=0.45,VLOOKUP(Calculator!E23,tbSkills!DH3:DI6,2,FALSE)+IF(AND(Calculator!B8=TRUE,Backdoors!BI3=TRUE),VLOOKUP(Calculator!E23,tbSkills!DH3:DJ6,3,FALSE),0),0))/100)))),1),"")</f>
        <v>1</v>
      </c>
      <c r="E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69)*D69)*(VLOOKUP(A69,tbMoveset!A2:C112,3,FALSE)/100)*IF(VLOOKUP(A69,tbMoveset!A2:B112,2,FALSE)="Projectile",Backdoors!N10,Backdoors!N9),0),"")</f>
        <v>5</v>
      </c>
      <c r="F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69&gt;=0.45,VLOOKUP(Calculator!E23,tbSkills!DH3:DI6,2,FALSE)+IF(AND(Calculator!B8=TRUE,Backdoors!BI3=TRUE),VLOOKUP(Calculator!E23,tbSkills!DH3:DJ6,3,FALSE),0),0))&gt;=100,100,(Backdoors!AI12+IF(B69&gt;=0.45,VLOOKUP(Calculator!E23,tbSkills!DH3:DI6,2,FALSE)+IF(AND(Calculator!B8=TRUE,Backdoors!BI3=TRUE),VLOOKUP(Calculator!E23,tbSkills!DH3:DJ6,3,FALSE),0),0)))/100)),1))*IF(VLOOKUP(A69,tbMoveset!A2:K112,11,FALSE)=TRUE,Backdoors!AC5,1))*C69,0),"")</f>
        <v>0</v>
      </c>
      <c r="G69">
        <f>VLOOKUP(A69,tbMoveset!A2:G112,7,FALSE)*IFERROR(IF(Backdoors!AI12&gt;=0,1+(IF(Calculator!E40&gt;0,VLOOKUP(Calculator!E40,tbSkills!AI3:AJ5,2,FALSE),Backdoors!AL4)*(IF((Backdoors!AI12+IF(B69&gt;=0.45,VLOOKUP(Calculator!E23,tbSkills!DH3:DI6,2,FALSE)+IF(AND(Calculator!B8=TRUE,Backdoors!BI3=TRUE),VLOOKUP(Calculator!E23,tbSkills!DH3:DJ6,3,FALSE),0),0))&gt;=100,100,(Backdoors!AI12+IF(B69&gt;=0.45,VLOOKUP(Calculator!E23,tbSkills!DH3:DI6,2,FALSE)+IF(AND(Calculator!B8=TRUE,Backdoors!BI3=TRUE),VLOOKUP(Calculator!E23,tbSkills!DH3:DJ6,3,FALSE),0),0)))/100)),1),1)</f>
        <v>0.8</v>
      </c>
      <c r="H69" s="87">
        <f t="shared" si="51"/>
        <v>5</v>
      </c>
      <c r="I69" s="86">
        <f>IFERROR(IF(VLOOKUP(A69,tbMoveset!A2:B112,2,FALSE)="Sever",Backdoors!AY4/100,IF(VLOOKUP(A69,tbMoveset!A2:B112,2,FALSE)="Blunt",Backdoors!AZ4/100,Backdoors!BA4/100)),"")</f>
        <v>0.65</v>
      </c>
      <c r="J69" s="49">
        <f>IFERROR(IF(VLOOKUP(tbMoveset!A69,tbMoveset!A2:H112,8,FALSE)="Other",IF(VLOOKUP(tbMoveset!A69,tbMoveset!A2:I112,9,FALSE)="Fire",Backdoors!BB4,IF(VLOOKUP(tbMoveset!A69,tbMoveset!A2:I112,9,FALSE)="Water",Backdoors!BC4,IF(VLOOKUP(tbMoveset!A69,tbMoveset!A2:I112,9,FALSE)="Thunder",Backdoors!BD4,IF(VLOOKUP(tbMoveset!A69,tbMoveset!A2:I112,9,FALSE)="Ice",Backdoors!BE4,IF(VLOOKUP(tbMoveset!A69,tbMoveset!A2:I112,9,FALSE)="Dragon",Backdoors!BF4,Backdoors!BG4)))))/100,Backdoors!BG4/100),"")</f>
        <v>0</v>
      </c>
      <c r="K69" s="49">
        <f>IFERROR(IF(VLOOKUP(A69,tbMoveset!A2:J112,10,FALSE)=TRUE,IF((Backdoors!AI12+IF(I69&gt;=0.45,VLOOKUP(Calculator!E23,tbSkills!DH3:DI6,2,FALSE)+IF(AND(Calculator!B8=TRUE,Backdoors!BI4=TRUE),VLOOKUP(Calculator!E23,tbSkills!DH3:DJ6,3,FALSE),0),0))&gt;=0,1+(Backdoors!AL2*(IF((Backdoors!AI12+IF(I69&gt;=0.45,VLOOKUP(Calculator!E23,tbSkills!DH3:DI6,2,FALSE)+IF(AND(Calculator!B8=TRUE,Backdoors!BI4=TRUE),VLOOKUP(Calculator!E23,tbSkills!DH3:DJ6,3,FALSE),0),0))&gt;=100,100,(Backdoors!AI12+IF(I69&gt;=0.45,VLOOKUP(Calculator!E23,tbSkills!DH3:DI6,2,FALSE)+IF(AND(Calculator!B8=TRUE,Backdoors!BI4=TRUE),VLOOKUP(Calculator!E23,tbSkills!DH3:DJ6,3,FALSE),0),0)))/100)),(1-(0.25*((-Backdoors!AI12-IF(I69&gt;=0.45,VLOOKUP(Calculator!E23,tbSkills!DH3:DI6,2,FALSE)+IF(AND(Calculator!B8=TRUE,Backdoors!BI4=TRUE),VLOOKUP(Calculator!E23,tbSkills!DH3:DJ6,3,FALSE),0),0))/100)))),1),"")</f>
        <v>1</v>
      </c>
      <c r="L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69)*K69)*(VLOOKUP(A69,tbMoveset!A2:C112,3,FALSE)/100)*IF(VLOOKUP(A69,tbMoveset!A2:B112,2,FALSE)="Projectile",Backdoors!N10,Backdoors!N9),0),"")</f>
        <v>4</v>
      </c>
      <c r="M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I69&gt;=0.45,VLOOKUP(Calculator!E23,tbSkills!DH3:DI6,2,FALSE)+IF(AND(Calculator!B8=TRUE,Backdoors!BI4=TRUE),VLOOKUP(Calculator!E23,tbSkills!DH3:DJ6,3,FALSE),0),0))&gt;=100,100,(Backdoors!AI12+IF(I69&gt;=0.45,VLOOKUP(Calculator!E23,tbSkills!DH3:DI6,2,FALSE)+IF(AND(Calculator!B8=TRUE,Backdoors!BI4=TRUE),VLOOKUP(Calculator!E23,tbSkills!DH3:DJ6,3,FALSE),0),0)))/100)),1))*IF(VLOOKUP(A69,tbMoveset!A2:K112,11,FALSE)=TRUE,Backdoors!AC5,1))*J69,0),"")</f>
        <v>0</v>
      </c>
      <c r="N69" s="49">
        <f>VLOOKUP(A69,tbMoveset!A2:G112,7,FALSE)*IFERROR(IF(Backdoors!AI12&gt;=0,1+(IF(Calculator!E40&gt;0,VLOOKUP(Calculator!E40,tbSkills!AI3:AJ5,2,FALSE),Backdoors!AL4)*(IF((Backdoors!AI12+IF(I69&gt;=0.45,VLOOKUP(Calculator!E23,tbSkills!DH3:DI6,2,FALSE)+IF(AND(Calculator!B8=TRUE,Backdoors!BI4=TRUE),VLOOKUP(Calculator!E23,tbSkills!DH3:DJ6,3,FALSE),0),0))&gt;=100,100,(Backdoors!AI12+IF(I69&gt;=0.45,VLOOKUP(Calculator!E23,tbSkills!DH3:DI6,2,FALSE)+IF(AND(Calculator!B8=TRUE,Backdoors!BI4=TRUE),VLOOKUP(Calculator!E23,tbSkills!DH3:DJ6,3,FALSE),0),0)))/100)),1),1)</f>
        <v>0.8</v>
      </c>
      <c r="O69" s="87">
        <f t="shared" si="52"/>
        <v>4</v>
      </c>
      <c r="P69" s="86">
        <f>IFERROR(IF(VLOOKUP(A69,tbMoveset!A2:B112,2,FALSE)="Sever",Backdoors!AY5/100,IF(VLOOKUP(A69,tbMoveset!A2:B112,2,FALSE)="Blunt",Backdoors!AZ5/100,Backdoors!BA5/100)),"")</f>
        <v>0.5</v>
      </c>
      <c r="Q69" s="49">
        <f>IFERROR(IF(VLOOKUP(tbMoveset!A69,tbMoveset!A2:H112,8,FALSE)="Other",IF(VLOOKUP(tbMoveset!A69,tbMoveset!A2:I112,9,FALSE)="Fire",Backdoors!BB5,IF(VLOOKUP(tbMoveset!A69,tbMoveset!A2:I112,9,FALSE)="Water",Backdoors!BC5,IF(VLOOKUP(tbMoveset!A69,tbMoveset!A2:I112,9,FALSE)="Thunder",Backdoors!BD5,IF(VLOOKUP(tbMoveset!A69,tbMoveset!A2:I112,9,FALSE)="Ice",Backdoors!BE5,IF(VLOOKUP(tbMoveset!A69,tbMoveset!A2:I112,9,FALSE)="Dragon",Backdoors!BF5,Backdoors!BG5)))))/100,Backdoors!BG5/100),"")</f>
        <v>0</v>
      </c>
      <c r="R69" s="49">
        <f>IFERROR(IF(VLOOKUP(A69,tbMoveset!A2:J112,10,FALSE)=TRUE,IF((Backdoors!AI12+IF(P69&gt;=0.45,VLOOKUP(Calculator!E23,tbSkills!DH3:DI6,2,FALSE)+IF(AND(Calculator!B8=TRUE,Backdoors!BI5=TRUE),VLOOKUP(Calculator!E23,tbSkills!DH3:DJ6,3,FALSE),0),0))&gt;=0,1+(Backdoors!AL2*(IF((Backdoors!AI12+IF(P69&gt;=0.45,VLOOKUP(Calculator!E23,tbSkills!DH3:DI6,2,FALSE)+IF(AND(Calculator!B8=TRUE,Backdoors!BI5=TRUE),VLOOKUP(Calculator!E23,tbSkills!DH3:DJ6,3,FALSE),0),0))&gt;=100,100,(Backdoors!AI12+IF(P69&gt;=0.45,VLOOKUP(Calculator!E23,tbSkills!DH3:DI6,2,FALSE)+IF(AND(Calculator!B8=TRUE,Backdoors!BI5=TRUE),VLOOKUP(Calculator!E23,tbSkills!DH3:DJ6,3,FALSE),0),0)))/100)),(1-(0.25*((-Backdoors!AI12-IF(P69&gt;=0.45,VLOOKUP(Calculator!E23,tbSkills!DH3:DI6,2,FALSE)+IF(AND(Calculator!B8=TRUE,Backdoors!BI5=TRUE),VLOOKUP(Calculator!E23,tbSkills!DH3:DJ6,3,FALSE),0),0))/100)))),1),"")</f>
        <v>1</v>
      </c>
      <c r="S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P69)*R69)*(VLOOKUP(A69,tbMoveset!A2:C112,3,FALSE)/100)*IF(VLOOKUP(A69,tbMoveset!A2:B112,2,FALSE)="Projectile",Backdoors!N10,Backdoors!N9),0),"")</f>
        <v>3</v>
      </c>
      <c r="T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P69&gt;=0.45,VLOOKUP(Calculator!E23,tbSkills!DH3:DI6,2,FALSE)+IF(AND(Calculator!B8=TRUE,Backdoors!BI5=TRUE),VLOOKUP(Calculator!E23,tbSkills!DH3:DJ6,3,FALSE),0),0))&gt;=100,100,(Backdoors!AI12+IF(P69&gt;=0.45,VLOOKUP(Calculator!E23,tbSkills!DH3:DI6,2,FALSE)+IF(AND(Calculator!B8=TRUE,Backdoors!BI5=TRUE),VLOOKUP(Calculator!E23,tbSkills!DH3:DJ6,3,FALSE),0),0)))/100)),1))*IF(VLOOKUP(A69,tbMoveset!A2:K112,11,FALSE)=TRUE,Backdoors!AC5,1))*Q69,0),"")</f>
        <v>0</v>
      </c>
      <c r="U69" s="49">
        <f>VLOOKUP(A69,tbMoveset!A2:G112,7,FALSE)*IFERROR(IF(Backdoors!AI12&gt;=0,1+(IF(Calculator!E40&gt;0,VLOOKUP(Calculator!E40,tbSkills!AI3:AJ5,2,FALSE),Backdoors!AL4)*(IF((Backdoors!AI12+IF(P69&gt;=0.45,VLOOKUP(Calculator!E23,tbSkills!DH3:DI6,2,FALSE)+IF(AND(Calculator!B8=TRUE,Backdoors!BI5=TRUE),VLOOKUP(Calculator!E23,tbSkills!DH3:DJ6,3,FALSE),0),0))&gt;=100,100,(Backdoors!AI12+IF(P69&gt;=0.45,VLOOKUP(Calculator!E23,tbSkills!DH3:DI6,2,FALSE)+IF(AND(Calculator!B8=TRUE,Backdoors!BI5=TRUE),VLOOKUP(Calculator!E23,tbSkills!DH3:DJ6,3,FALSE),0),0)))/100)),1),1)</f>
        <v>0.8</v>
      </c>
      <c r="V69" s="87">
        <f t="shared" si="53"/>
        <v>3</v>
      </c>
      <c r="W69" s="86">
        <f>IFERROR(IF(VLOOKUP(A69,tbMoveset!A2:B112,2,FALSE)="Sever",Backdoors!AY6/100,IF(VLOOKUP(A69,tbMoveset!A2:B112,2,FALSE)="Blunt",Backdoors!AZ6/100,Backdoors!BA6/100)),"")</f>
        <v>0.45</v>
      </c>
      <c r="X69" s="49">
        <f>IFERROR(IF(VLOOKUP(tbMoveset!A69,tbMoveset!A2:H112,8,FALSE)="Other",IF(VLOOKUP(tbMoveset!A69,tbMoveset!A2:I112,9,FALSE)="Fire",Backdoors!BB6,IF(VLOOKUP(tbMoveset!A69,tbMoveset!A2:I112,9,FALSE)="Water",Backdoors!BC6,IF(VLOOKUP(tbMoveset!A69,tbMoveset!A2:I112,9,FALSE)="Thunder",Backdoors!BD6,IF(VLOOKUP(tbMoveset!A69,tbMoveset!A2:I112,9,FALSE)="Ice",Backdoors!BE6,IF(VLOOKUP(tbMoveset!A69,tbMoveset!A2:I112,9,FALSE)="Dragon",Backdoors!BF6,Backdoors!BG6)))))/100,Backdoors!BG6/100),"")</f>
        <v>0</v>
      </c>
      <c r="Y69" s="49">
        <f>IFERROR(IF(VLOOKUP(A69,tbMoveset!A2:J112,10,FALSE)=TRUE,IF((Backdoors!AI12+IF(W69&gt;=0.45,VLOOKUP(Calculator!E23,tbSkills!DH3:DI6,2,FALSE)+IF(AND(Calculator!B8=TRUE,Backdoors!BI6=TRUE),VLOOKUP(Calculator!E23,tbSkills!DH3:DJ6,3,FALSE),0),0))&gt;=0,1+(Backdoors!AL2*(IF((Backdoors!AI12+IF(W69&gt;=0.45,VLOOKUP(Calculator!E23,tbSkills!DH3:DI6,2,FALSE)+IF(AND(Calculator!B8=TRUE,Backdoors!BI6=TRUE),VLOOKUP(Calculator!E23,tbSkills!DH3:DJ6,3,FALSE),0),0))&gt;=100,100,(Backdoors!AI12+IF(W69&gt;=0.45,VLOOKUP(Calculator!E23,tbSkills!DH3:DI6,2,FALSE)+IF(AND(Calculator!B8=TRUE,Backdoors!BI6=TRUE),VLOOKUP(Calculator!E23,tbSkills!DH3:DJ6,3,FALSE),0),0)))/100)),(1-(0.25*((-Backdoors!AI12-IF(W69&gt;=0.45,VLOOKUP(Calculator!E23,tbSkills!DH3:DI6,2,FALSE)+IF(AND(Calculator!B8=TRUE,Backdoors!BI6=TRUE),VLOOKUP(Calculator!E23,tbSkills!DH3:DJ6,3,FALSE),0),0))/100)))),1),"")</f>
        <v>1</v>
      </c>
      <c r="Z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W69)*Y69)*(VLOOKUP(A69,tbMoveset!A2:C112,3,FALSE)/100)*IF(VLOOKUP(A69,tbMoveset!A2:B112,2,FALSE)="Projectile",Backdoors!N10,Backdoors!N9),0),"")</f>
        <v>3</v>
      </c>
      <c r="AA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W69&gt;=0.45,VLOOKUP(Calculator!E23,tbSkills!DH3:DI6,2,FALSE)+IF(AND(Calculator!B8=TRUE,Backdoors!BI6=TRUE),VLOOKUP(Calculator!E23,tbSkills!DH3:DJ6,3,FALSE),0),0))&gt;=100,100,(Backdoors!AI12+IF(W69&gt;=0.45,VLOOKUP(Calculator!E23,tbSkills!DH3:DI6,2,FALSE)+IF(AND(Calculator!B8=TRUE,Backdoors!BI6=TRUE),VLOOKUP(Calculator!E23,tbSkills!DH3:DJ6,3,FALSE),0),0)))/100)),1))*IF(VLOOKUP(A69,tbMoveset!A2:K112,11,FALSE)=TRUE,Backdoors!AC5,1))*X69,0),"")</f>
        <v>0</v>
      </c>
      <c r="AB69" s="49">
        <f>VLOOKUP(A69,tbMoveset!A2:G112,7,FALSE)*IFERROR(IF(Backdoors!AI12&gt;=0,1+(IF(Calculator!E40&gt;0,VLOOKUP(Calculator!E40,tbSkills!AI3:AJ5,2,FALSE),Backdoors!AL4)*(IF((Backdoors!AI12+IF(W69&gt;=0.45,VLOOKUP(Calculator!E23,tbSkills!DH3:DI6,2,FALSE)+IF(AND(Calculator!B8=TRUE,Backdoors!BI6=TRUE),VLOOKUP(Calculator!E23,tbSkills!DH3:DJ6,3,FALSE),0),0))&gt;=100,100,(Backdoors!AI12+IF(W69&gt;=0.45,VLOOKUP(Calculator!E23,tbSkills!DH3:DI6,2,FALSE)+IF(AND(Calculator!B8=TRUE,Backdoors!BI6=TRUE),VLOOKUP(Calculator!E23,tbSkills!DH3:DJ6,3,FALSE),0),0)))/100)),1),1)</f>
        <v>0.8</v>
      </c>
      <c r="AC69" s="87">
        <f t="shared" si="54"/>
        <v>3</v>
      </c>
      <c r="AD69" s="86">
        <f>IFERROR(IF(VLOOKUP(A69,tbMoveset!A2:B112,2,FALSE)="Sever",Backdoors!AY7/100,IF(VLOOKUP(A69,tbMoveset!A2:B112,2,FALSE)="Blunt",Backdoors!AZ7/100,Backdoors!BA7/100)),"")</f>
        <v>0.65</v>
      </c>
      <c r="AE69" s="49">
        <f>IFERROR(IF(VLOOKUP(tbMoveset!A69,tbMoveset!A2:H112,8,FALSE)="Other",IF(VLOOKUP(tbMoveset!A69,tbMoveset!A2:I112,9,FALSE)="Fire",Backdoors!BB7,IF(VLOOKUP(tbMoveset!A69,tbMoveset!A2:I112,9,FALSE)="Water",Backdoors!BC7,IF(VLOOKUP(tbMoveset!A69,tbMoveset!A2:I112,9,FALSE)="Thunder",Backdoors!BD7,IF(VLOOKUP(tbMoveset!A69,tbMoveset!A2:I112,9,FALSE)="Ice",Backdoors!BE7,IF(VLOOKUP(tbMoveset!A69,tbMoveset!A2:I112,9,FALSE)="Dragon",Backdoors!BF7,Backdoors!BG7)))))/100,Backdoors!BG7/100),"")</f>
        <v>0</v>
      </c>
      <c r="AF69" s="49">
        <f>IFERROR(IF(VLOOKUP(A69,tbMoveset!A2:J112,10,FALSE)=TRUE,IF((Backdoors!AI12+IF(AD69&gt;=0.45,VLOOKUP(Calculator!E23,tbSkills!DH3:DI6,2,FALSE)+IF(AND(Calculator!B8=TRUE,Backdoors!BI7=TRUE),VLOOKUP(Calculator!E23,tbSkills!DH3:DJ6,3,FALSE),0),0))&gt;=0,1+(Backdoors!AL2*(IF((Backdoors!AI12+IF(AD69&gt;=0.45,VLOOKUP(Calculator!E23,tbSkills!DH3:DI6,2,FALSE)+IF(AND(Calculator!B8=TRUE,Backdoors!BI7=TRUE),VLOOKUP(Calculator!E23,tbSkills!DH3:DJ6,3,FALSE),0),0))&gt;=100,100,(Backdoors!AI12+IF(AD69&gt;=0.45,VLOOKUP(Calculator!E23,tbSkills!DH3:DI6,2,FALSE)+IF(AND(Calculator!B8=TRUE,Backdoors!BI7=TRUE),VLOOKUP(Calculator!E23,tbSkills!DH3:DJ6,3,FALSE),0),0)))/100)),(1-(0.25*((-Backdoors!AI12-IF(AD69&gt;=0.45,VLOOKUP(Calculator!E23,tbSkills!DH3:DI6,2,FALSE)+IF(AND(Calculator!B8=TRUE,Backdoors!BI7=TRUE),VLOOKUP(Calculator!E23,tbSkills!DH3:DJ6,3,FALSE),0),0))/100)))),1),"")</f>
        <v>1</v>
      </c>
      <c r="AG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D69)*AF69)*(VLOOKUP(A69,tbMoveset!A2:C112,3,FALSE)/100)*IF(VLOOKUP(A69,tbMoveset!A2:B112,2,FALSE)="Projectile",Backdoors!N10,Backdoors!N9),0),"")</f>
        <v>4</v>
      </c>
      <c r="AH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D69&gt;=0.45,VLOOKUP(Calculator!E23,tbSkills!DH3:DI6,2,FALSE)+IF(AND(Calculator!B8=TRUE,Backdoors!BI7=TRUE),VLOOKUP(Calculator!E23,tbSkills!DH3:DJ6,3,FALSE),0),0))&gt;=100,100,(Backdoors!AI12+IF(AD69&gt;=0.45,VLOOKUP(Calculator!E23,tbSkills!DH3:DI6,2,FALSE)+IF(AND(Calculator!B8=TRUE,Backdoors!BI7=TRUE),VLOOKUP(Calculator!E23,tbSkills!DH3:DJ6,3,FALSE),0),0)))/100)),1))*IF(VLOOKUP(A69,tbMoveset!A2:K112,11,FALSE)=TRUE,Backdoors!AC5,1))*AE69,0),"")</f>
        <v>0</v>
      </c>
      <c r="AI69" s="49">
        <f>VLOOKUP(A69,tbMoveset!A2:G112,7,FALSE)*IFERROR(IF(Backdoors!AI12&gt;=0,1+(IF(Calculator!E40&gt;0,VLOOKUP(Calculator!E40,tbSkills!AI3:AJ5,2,FALSE),Backdoors!AL4)*(IF((Backdoors!AI12+IF(AD69&gt;=0.45,VLOOKUP(Calculator!E23,tbSkills!DH3:DI6,2,FALSE)+IF(AND(Calculator!B8=TRUE,Backdoors!BI7=TRUE),VLOOKUP(Calculator!E23,tbSkills!DH3:DJ6,3,FALSE),0),0))&gt;=100,100,(Backdoors!AI12+IF(AD69&gt;=0.45,VLOOKUP(Calculator!E23,tbSkills!DH3:DI6,2,FALSE)+IF(AND(Calculator!B8=TRUE,Backdoors!BI7=TRUE),VLOOKUP(Calculator!E23,tbSkills!DH3:DJ6,3,FALSE),0),0)))/100)),1),1)</f>
        <v>0.8</v>
      </c>
      <c r="AJ69" s="87">
        <f t="shared" si="55"/>
        <v>4</v>
      </c>
      <c r="AK69" s="91">
        <f>IFERROR(IF(VLOOKUP(A69,tbMoveset!A2:B112,2,FALSE)="Sever",Backdoors!AY8/100,IF(VLOOKUP(A69,tbMoveset!A2:B112,2,FALSE)="Blunt",Backdoors!AZ8/100,Backdoors!BA8/100)),"")</f>
        <v>0.45</v>
      </c>
      <c r="AL69" s="49">
        <f>IFERROR(IF(VLOOKUP(tbMoveset!A69,tbMoveset!A2:H112,8,FALSE)="Other",IF(VLOOKUP(tbMoveset!A69,tbMoveset!A2:I112,9,FALSE)="Fire",Backdoors!BB8,IF(VLOOKUP(tbMoveset!A69,tbMoveset!A2:I112,9,FALSE)="Water",Backdoors!BC8,IF(VLOOKUP(tbMoveset!A69,tbMoveset!A2:I112,9,FALSE)="Thunder",Backdoors!BD8,IF(VLOOKUP(tbMoveset!A69,tbMoveset!A2:I112,9,FALSE)="Ice",Backdoors!BE8,IF(VLOOKUP(tbMoveset!A69,tbMoveset!A2:I112,9,FALSE)="Dragon",Backdoors!BF8,Backdoors!BG8)))))/100,Backdoors!BG8/100),"")</f>
        <v>0</v>
      </c>
      <c r="AM69" s="49">
        <f>IFERROR(IF(VLOOKUP(A69,tbMoveset!A2:J112,10,FALSE)=TRUE,IF((Backdoors!AI12+IF(AK69&gt;=0.45,VLOOKUP(Calculator!E23,tbSkills!DH3:DI6,2,FALSE)+IF(AND(Calculator!B8=TRUE,Backdoors!BI8=TRUE),VLOOKUP(Calculator!E23,tbSkills!DH3:DJ6,3,FALSE),0),0))&gt;=0,1+(Backdoors!AL2*(IF((Backdoors!AI12+IF(AK69&gt;=0.45,VLOOKUP(Calculator!E23,tbSkills!DH3:DI6,2,FALSE)+IF(AND(Calculator!B8=TRUE,Backdoors!BI8=TRUE),VLOOKUP(Calculator!E23,tbSkills!DH3:DJ6,3,FALSE),0),0))&gt;=100,100,(Backdoors!AI12+IF(AK69&gt;=0.45,VLOOKUP(Calculator!E23,tbSkills!DH3:DI6,2,FALSE)+IF(AND(Calculator!B8=TRUE,Backdoors!BI8=TRUE),VLOOKUP(Calculator!E23,tbSkills!DH3:DJ6,3,FALSE),0),0)))/100)),(1-(0.25*((-Backdoors!AI12-IF(AK69&gt;=0.45,VLOOKUP(Calculator!E23,tbSkills!DH3:DI6,2,FALSE)+IF(AND(Calculator!B8=TRUE,Backdoors!BI8=TRUE),VLOOKUP(Calculator!E23,tbSkills!DH3:DJ6,3,FALSE),0),0))/100)))),1),"")</f>
        <v>1</v>
      </c>
      <c r="AN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K69)*AM69)*(VLOOKUP(A69,tbMoveset!A2:C112,3,FALSE)/100)*IF(VLOOKUP(A69,tbMoveset!A2:B112,2,FALSE)="Projectile",Backdoors!N10,Backdoors!N9),0),"")</f>
        <v>3</v>
      </c>
      <c r="AO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K69&gt;=0.45,VLOOKUP(Calculator!E23,tbSkills!DH3:DI6,2,FALSE)+IF(AND(Calculator!B8=TRUE,Backdoors!BI8=TRUE),VLOOKUP(Calculator!E23,tbSkills!DH3:DJ6,3,FALSE),0),0))&gt;=100,100,(Backdoors!AI12+IF(AK69&gt;=0.45,VLOOKUP(Calculator!E23,tbSkills!DH3:DI6,2,FALSE)+IF(AND(Calculator!B8=TRUE,Backdoors!BI8=TRUE),VLOOKUP(Calculator!E23,tbSkills!DH3:DJ6,3,FALSE),0),0)))/100)),1))*IF(VLOOKUP(A69,tbMoveset!A2:K112,11,FALSE)=TRUE,Backdoors!AC5,1))*AL69,0),"")</f>
        <v>0</v>
      </c>
      <c r="AP69" s="49">
        <f>VLOOKUP(A69,tbMoveset!A2:G112,7,FALSE)*IFERROR(IF(Backdoors!AI12&gt;=0,1+(IF(Calculator!E40&gt;0,VLOOKUP(Calculator!E40,tbSkills!AI3:AJ5,2,FALSE),Backdoors!AL4)*(IF((Backdoors!AI12+IF(AK69&gt;=0.45,VLOOKUP(Calculator!E23,tbSkills!DH3:DI6,2,FALSE)+IF(AND(Calculator!B8=TRUE,Backdoors!BI8=TRUE),VLOOKUP(Calculator!E23,tbSkills!DH3:DJ6,3,FALSE),0),0))&gt;=100,100,(Backdoors!AI12+IF(AK69&gt;=0.45,VLOOKUP(Calculator!E23,tbSkills!DH3:DI6,2,FALSE)+IF(AND(Calculator!B8=TRUE,Backdoors!BI8=TRUE),VLOOKUP(Calculator!E23,tbSkills!DH3:DJ6,3,FALSE),0),0)))/100)),1),1)</f>
        <v>0.8</v>
      </c>
      <c r="AQ69" s="87">
        <f t="shared" si="56"/>
        <v>3</v>
      </c>
      <c r="AR69" s="86">
        <f>IFERROR(IF(VLOOKUP(A69,tbMoveset!A2:B112,2,FALSE)="Sever",Backdoors!AY9/100,IF(VLOOKUP(A69,tbMoveset!A2:B112,2,FALSE)="Blunt",Backdoors!AZ9/100,Backdoors!BA9/100)),"")</f>
        <v>0.45</v>
      </c>
      <c r="AS69" s="49">
        <f>IFERROR(IF(VLOOKUP(tbMoveset!A69,tbMoveset!A2:H112,8,FALSE)="Other",IF(VLOOKUP(tbMoveset!A69,tbMoveset!A2:I112,9,FALSE)="Fire",Backdoors!BB9,IF(VLOOKUP(tbMoveset!A69,tbMoveset!A2:I112,9,FALSE)="Water",Backdoors!BC9,IF(VLOOKUP(tbMoveset!A69,tbMoveset!A2:I112,9,FALSE)="Thunder",Backdoors!BD9,IF(VLOOKUP(tbMoveset!A69,tbMoveset!A2:I112,9,FALSE)="Ice",Backdoors!BE9,IF(VLOOKUP(tbMoveset!A69,tbMoveset!A2:I112,9,FALSE)="Dragon",Backdoors!BF9,Backdoors!BG9)))))/100,Backdoors!BG9/100),"")</f>
        <v>0</v>
      </c>
      <c r="AT69" s="49">
        <f>IFERROR(IF(VLOOKUP(A69,tbMoveset!A2:J112,10,FALSE)=TRUE,IF((Backdoors!AI12+IF(AR69&gt;=0.45,VLOOKUP(Calculator!E23,tbSkills!DH3:DI6,2,FALSE)+IF(AND(Calculator!B8=TRUE,Backdoors!BI9=TRUE),VLOOKUP(Calculator!E23,tbSkills!DH3:DJ6,3,FALSE),0),0))&gt;=0,1+(Backdoors!AL2*(IF((Backdoors!AI12+IF(AR69&gt;=0.45,VLOOKUP(Calculator!E23,tbSkills!DH3:DI6,2,FALSE)+IF(AND(Calculator!B8=TRUE,Backdoors!BI9=TRUE),VLOOKUP(Calculator!E23,tbSkills!DH3:DJ6,3,FALSE),0),0))&gt;=100,100,(Backdoors!AI12+IF(AR69&gt;=0.45,VLOOKUP(Calculator!E23,tbSkills!DH3:DI6,2,FALSE)+IF(AND(Calculator!B8=TRUE,Backdoors!BI9=TRUE),VLOOKUP(Calculator!E23,tbSkills!DH3:DJ6,3,FALSE),0),0)))/100)),(1-(0.25*((-Backdoors!AI12-IF(AR69&gt;=0.45,VLOOKUP(Calculator!E23,tbSkills!DH3:DI6,2,FALSE)+IF(AND(Calculator!B8=TRUE,Backdoors!BI9=TRUE),VLOOKUP(Calculator!E23,tbSkills!DH3:DJ6,3,FALSE),0),0))/100)))),1),"")</f>
        <v>1</v>
      </c>
      <c r="AU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R69)*AT69)*(VLOOKUP(A69,tbMoveset!A2:C112,3,FALSE)/100)*IF(VLOOKUP(A69,tbMoveset!A2:B112,2,FALSE)="Projectile",Backdoors!N10,Backdoors!N9),0),"")</f>
        <v>3</v>
      </c>
      <c r="AV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R69&gt;=0.45,VLOOKUP(Calculator!E23,tbSkills!DH3:DI6,2,FALSE)+IF(AND(Calculator!B8=TRUE,Backdoors!BI9=TRUE),VLOOKUP(Calculator!E23,tbSkills!DH3:DJ6,3,FALSE),0),0))&gt;=100,100,(Backdoors!AI12+IF(AR69&gt;=0.45,VLOOKUP(Calculator!E23,tbSkills!DH3:DI6,2,FALSE)+IF(AND(Calculator!B8=TRUE,Backdoors!BI9=TRUE),VLOOKUP(Calculator!E23,tbSkills!DH3:DJ6,3,FALSE),0),0)))/100)),1))*IF(VLOOKUP(A69,tbMoveset!A2:K112,11,FALSE)=TRUE,Backdoors!AC5,1))*AS69,0),"")</f>
        <v>0</v>
      </c>
      <c r="AW69" s="49">
        <f>VLOOKUP(A69,tbMoveset!A2:G112,7,FALSE)*IFERROR(IF(Backdoors!AI12&gt;=0,1+(IF(Calculator!E40&gt;0,VLOOKUP(Calculator!E40,tbSkills!AI3:AJ5,2,FALSE),Backdoors!AL4)*(IF((Backdoors!AI12+IF(AR69&gt;=0.45,VLOOKUP(Calculator!E23,tbSkills!DH3:DI6,2,FALSE)+IF(AND(Calculator!B8=TRUE,Backdoors!BI9=TRUE),VLOOKUP(Calculator!E23,tbSkills!DH3:DJ6,3,FALSE),0),0))&gt;=100,100,(Backdoors!AI12+IF(AR69&gt;=0.45,VLOOKUP(Calculator!E23,tbSkills!DH3:DI6,2,FALSE)+IF(AND(Calculator!B8=TRUE,Backdoors!BI9=TRUE),VLOOKUP(Calculator!E23,tbSkills!DH3:DJ6,3,FALSE),0),0)))/100)),1),1)</f>
        <v>0.8</v>
      </c>
      <c r="AX69" s="87">
        <f t="shared" si="57"/>
        <v>3</v>
      </c>
      <c r="AY69" s="86">
        <f>IFERROR(IF(VLOOKUP(A69,tbMoveset!A2:B112,2,FALSE)="Sever",Backdoors!AY10/100,IF(VLOOKUP(A69,tbMoveset!A2:B112,2,FALSE)="Blunt",Backdoors!AZ10/100,Backdoors!BA10/100)),"")</f>
        <v>0.9</v>
      </c>
      <c r="AZ69" s="49">
        <f>IFERROR(IF(VLOOKUP(tbMoveset!A69,tbMoveset!A2:H112,8,FALSE)="Other",IF(VLOOKUP(tbMoveset!A69,tbMoveset!A2:I112,9,FALSE)="Fire",Backdoors!BB10,IF(VLOOKUP(tbMoveset!A69,tbMoveset!A2:I112,9,FALSE)="Water",Backdoors!BC10,IF(VLOOKUP(tbMoveset!A69,tbMoveset!A2:I112,9,FALSE)="Thunder",Backdoors!BD10,IF(VLOOKUP(tbMoveset!A69,tbMoveset!A2:I112,9,FALSE)="Ice",Backdoors!BE10,IF(VLOOKUP(tbMoveset!A69,tbMoveset!A2:I112,9,FALSE)="Dragon",Backdoors!BF10,Backdoors!BG10)))))/100,Backdoors!BG10/100),"")</f>
        <v>0</v>
      </c>
      <c r="BA69" s="49">
        <f>IFERROR(IF(VLOOKUP(A69,tbMoveset!A2:J112,10,FALSE)=TRUE,IF((Backdoors!AI12+IF(AY69&gt;=0.45,VLOOKUP(Calculator!E23,tbSkills!DH3:DI6,2,FALSE)+IF(AND(Calculator!B8=TRUE,Backdoors!BI10=TRUE),VLOOKUP(Calculator!E23,tbSkills!DH3:DJ6,3,FALSE),0),0))&gt;=0,1+(Backdoors!AL2*(IF((Backdoors!AI12+IF(AY69&gt;=0.45,VLOOKUP(Calculator!E23,tbSkills!DH3:DI6,2,FALSE)+IF(AND(Calculator!B8=TRUE,Backdoors!BI10=TRUE),VLOOKUP(Calculator!E23,tbSkills!DH3:DJ6,3,FALSE),0),0))&gt;=100,100,(Backdoors!AI12+IF(AY69&gt;=0.45,VLOOKUP(Calculator!E23,tbSkills!DH3:DI6,2,FALSE)+IF(AND(Calculator!B8=TRUE,Backdoors!BI10=TRUE),VLOOKUP(Calculator!E23,tbSkills!DH3:DJ6,3,FALSE),0),0)))/100)),(1-(0.25*((-Backdoors!AI12-IF(AY69&gt;=0.45,VLOOKUP(Calculator!E23,tbSkills!DH3:DI6,2,FALSE)+IF(AND(Calculator!B8=TRUE,Backdoors!BI10=TRUE),VLOOKUP(Calculator!E23,tbSkills!DH3:DJ6,3,FALSE),0),0))/100)))),1),"")</f>
        <v>1</v>
      </c>
      <c r="BB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Y69)*BA69)*(VLOOKUP(A69,tbMoveset!A2:C112,3,FALSE)/100)*IF(VLOOKUP(A69,tbMoveset!A2:B112,2,FALSE)="Projectile",Backdoors!N10,Backdoors!N9),0),"")</f>
        <v>5</v>
      </c>
      <c r="BC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Y69&gt;=0.45,VLOOKUP(Calculator!E23,tbSkills!DH3:DI6,2,FALSE)+IF(AND(Calculator!B8=TRUE,Backdoors!BI10=TRUE),VLOOKUP(Calculator!E23,tbSkills!DH3:DJ6,3,FALSE),0),0))&gt;=100,100,(Backdoors!AI12+IF(AY69&gt;=0.45,VLOOKUP(Calculator!E23,tbSkills!DH3:DI6,2,FALSE)+IF(AND(Calculator!B8=TRUE,Backdoors!BI10=TRUE),VLOOKUP(Calculator!E23,tbSkills!DH3:DJ6,3,FALSE),0),0)))/100)),1))*IF(VLOOKUP(A69,tbMoveset!A2:K112,11,FALSE)=TRUE,Backdoors!AC5,1))*AZ69,0),"")</f>
        <v>0</v>
      </c>
      <c r="BD69" s="49">
        <f>VLOOKUP(A69,tbMoveset!A2:G112,7,FALSE)*IFERROR(IF(Backdoors!AI12&gt;=0,1+(IF(Calculator!E40&gt;0,VLOOKUP(Calculator!E40,tbSkills!AI3:AJ5,2,FALSE),Backdoors!AL4)*(IF((Backdoors!AI12+IF(AY69&gt;=0.45,VLOOKUP(Calculator!E23,tbSkills!DH3:DI6,2,FALSE)+IF(AND(Calculator!B8=TRUE,Backdoors!BI10=TRUE),VLOOKUP(Calculator!E23,tbSkills!DH3:DJ6,3,FALSE),0),0))&gt;=100,100,(Backdoors!AI12+IF(AY69&gt;=0.45,VLOOKUP(Calculator!E23,tbSkills!DH3:DI6,2,FALSE)+IF(AND(Calculator!B8=TRUE,Backdoors!BI10=TRUE),VLOOKUP(Calculator!E23,tbSkills!DH3:DJ6,3,FALSE),0),0)))/100)),1),1)</f>
        <v>0.8</v>
      </c>
      <c r="BE69" s="87">
        <f t="shared" si="58"/>
        <v>5</v>
      </c>
      <c r="BF69" s="86" t="str">
        <f>IFERROR(IF(VLOOKUP(A69,tbMoveset!A2:B112,2,FALSE)="Sever",Backdoors!AY11/100,IF(VLOOKUP(A69,tbMoveset!A2:B112,2,FALSE)="Blunt",Backdoors!AZ11/100,Backdoors!BA11/100)),"")</f>
        <v/>
      </c>
      <c r="BG69" s="49">
        <f>IFERROR(IF(VLOOKUP(tbMoveset!A69,tbMoveset!A2:H112,8,FALSE)="Other",IF(VLOOKUP(tbMoveset!A69,tbMoveset!A2:I112,9,FALSE)="Fire",Backdoors!BB11,IF(VLOOKUP(tbMoveset!A69,tbMoveset!A2:I112,9,FALSE)="Water",Backdoors!BC11,IF(VLOOKUP(tbMoveset!A69,tbMoveset!A2:I112,9,FALSE)="Thunder",Backdoors!BD11,IF(VLOOKUP(tbMoveset!A69,tbMoveset!A2:I112,9,FALSE)="Ice",Backdoors!BE11,IF(VLOOKUP(tbMoveset!A69,tbMoveset!A2:I112,9,FALSE)="Dragon",Backdoors!BF11,Backdoors!BG11)))))/100,Backdoors!BG11/100),"")</f>
        <v>0</v>
      </c>
      <c r="BH69" s="49">
        <f>IFERROR(IF(VLOOKUP(A69,tbMoveset!A2:J112,10,FALSE)=TRUE,IF((Backdoors!AI12+IF(BF69&gt;=0.45,VLOOKUP(Calculator!E23,tbSkills!DH3:DI6,2,FALSE)+IF(AND(Calculator!B8=TRUE,Backdoors!BI11=TRUE),VLOOKUP(Calculator!E23,tbSkills!DH3:DJ6,3,FALSE),0),0))&gt;=0,1+(Backdoors!AL2*(IF((Backdoors!AI12+IF(BF69&gt;=0.45,VLOOKUP(Calculator!E23,tbSkills!DH3:DI6,2,FALSE)+IF(AND(Calculator!B8=TRUE,Backdoors!BI11=TRUE),VLOOKUP(Calculator!E23,tbSkills!DH3:DJ6,3,FALSE),0),0))&gt;=100,100,(Backdoors!AI12+IF(BF69&gt;=0.45,VLOOKUP(Calculator!E23,tbSkills!DH3:DI6,2,FALSE)+IF(AND(Calculator!B8=TRUE,Backdoors!BI11=TRUE),VLOOKUP(Calculator!E23,tbSkills!DH3:DJ6,3,FALSE),0),0)))/100)),(1-(0.25*((-Backdoors!AI12-IF(BF69&gt;=0.45,VLOOKUP(Calculator!E23,tbSkills!DH3:DI6,2,FALSE)+IF(AND(Calculator!B8=TRUE,Backdoors!BI11=TRUE),VLOOKUP(Calculator!E23,tbSkills!DH3:DJ6,3,FALSE),0),0))/100)))),1),"")</f>
        <v>1</v>
      </c>
      <c r="BI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F69)*BH69)*(VLOOKUP(A69,tbMoveset!A2:C112,3,FALSE)/100)*IF(VLOOKUP(A69,tbMoveset!A2:B112,2,FALSE)="Projectile",Backdoors!N10,Backdoors!N9),0),"")</f>
        <v/>
      </c>
      <c r="BJ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F69&gt;=0.45,VLOOKUP(Calculator!E23,tbSkills!DH3:DI6,2,FALSE)+IF(AND(Calculator!B8=TRUE,Backdoors!BI11=TRUE),VLOOKUP(Calculator!E23,tbSkills!DH3:DJ6,3,FALSE),0),0))&gt;=100,100,(Backdoors!AI12+IF(BF69&gt;=0.45,VLOOKUP(Calculator!E23,tbSkills!DH3:DI6,2,FALSE)+IF(AND(Calculator!B8=TRUE,Backdoors!BI11=TRUE),VLOOKUP(Calculator!E23,tbSkills!DH3:DJ6,3,FALSE),0),0)))/100)),1))*IF(VLOOKUP(A69,tbMoveset!A2:K112,11,FALSE)=TRUE,Backdoors!AC5,1))*BG69,0),"")</f>
        <v>0</v>
      </c>
      <c r="BK69" s="49">
        <f>VLOOKUP(A69,tbMoveset!A2:G112,7,FALSE)*IFERROR(IF(Backdoors!AI12&gt;=0,1+(IF(Calculator!E40&gt;0,VLOOKUP(Calculator!E40,tbSkills!AI3:AJ5,2,FALSE),Backdoors!AL4)*(IF((Backdoors!AI12+IF(BF69&gt;=0.45,VLOOKUP(Calculator!E23,tbSkills!DH3:DI6,2,FALSE)+IF(AND(Calculator!B8=TRUE,Backdoors!BI11=TRUE),VLOOKUP(Calculator!E23,tbSkills!DH3:DJ6,3,FALSE),0),0))&gt;=100,100,(Backdoors!AI12+IF(BF69&gt;=0.45,VLOOKUP(Calculator!E23,tbSkills!DH3:DI6,2,FALSE)+IF(AND(Calculator!B8=TRUE,Backdoors!BI11=TRUE),VLOOKUP(Calculator!E23,tbSkills!DH3:DJ6,3,FALSE),0),0)))/100)),1),1)</f>
        <v>0.8</v>
      </c>
      <c r="BL69" s="87">
        <f t="shared" si="59"/>
        <v>0</v>
      </c>
      <c r="BM69" s="86" t="str">
        <f>IFERROR(IF(VLOOKUP(A69,tbMoveset!A2:B112,2,FALSE)="Sever",Backdoors!AY12/100,IF(VLOOKUP(A69,tbMoveset!A2:B112,2,FALSE)="Blunt",Backdoors!AZ12/100,Backdoors!BA12/100)),"")</f>
        <v/>
      </c>
      <c r="BN69" s="49">
        <f>IFERROR(IF(VLOOKUP(tbMoveset!A69,tbMoveset!A2:H112,8,FALSE)="Other",IF(VLOOKUP(tbMoveset!A69,tbMoveset!A2:I112,9,FALSE)="Fire",Backdoors!BB12,IF(VLOOKUP(tbMoveset!A69,tbMoveset!A2:I112,9,FALSE)="Water",Backdoors!BC12,IF(VLOOKUP(tbMoveset!A69,tbMoveset!A2:I112,9,FALSE)="Thunder",Backdoors!BD12,IF(VLOOKUP(tbMoveset!A69,tbMoveset!A2:I112,9,FALSE)="Ice",Backdoors!BE12,IF(VLOOKUP(tbMoveset!A69,tbMoveset!A2:I112,9,FALSE)="Dragon",Backdoors!BF12,Backdoors!BG12)))))/100,Backdoors!BG12/100),"")</f>
        <v>0</v>
      </c>
      <c r="BO69" s="49">
        <f>IFERROR(IF(VLOOKUP(A69,tbMoveset!A2:J112,10,FALSE)=TRUE,IF((Backdoors!AI12+IF(BM69&gt;=0.45,VLOOKUP(Calculator!E23,tbSkills!DH3:DI6,2,FALSE)+IF(AND(Calculator!B8=TRUE,Backdoors!BI12=TRUE),VLOOKUP(Calculator!E23,tbSkills!DH3:DJ6,3,FALSE),0),0))&gt;=0,1+(Backdoors!AL2*(IF((Backdoors!AI12+IF(BM69&gt;=0.45,VLOOKUP(Calculator!E23,tbSkills!DH3:DI6,2,FALSE)+IF(AND(Calculator!B8=TRUE,Backdoors!BI12=TRUE),VLOOKUP(Calculator!E23,tbSkills!DH3:DJ6,3,FALSE),0),0))&gt;=100,100,(Backdoors!AI12+IF(BM69&gt;=0.45,VLOOKUP(Calculator!E23,tbSkills!DH3:DI6,2,FALSE)+IF(AND(Calculator!B8=TRUE,Backdoors!BI12=TRUE),VLOOKUP(Calculator!E23,tbSkills!DH3:DJ6,3,FALSE),0),0)))/100)),(1-(0.25*((-Backdoors!AI12-IF(BM69&gt;=0.45,VLOOKUP(Calculator!E23,tbSkills!DH3:DI6,2,FALSE)+IF(AND(Calculator!B8=TRUE,Backdoors!BI12=TRUE),VLOOKUP(Calculator!E23,tbSkills!DH3:DJ6,3,FALSE),0),0))/100)))),1),"")</f>
        <v>1</v>
      </c>
      <c r="BP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M69)*BO69)*(VLOOKUP(A69,tbMoveset!A2:C112,3,FALSE)/100)*IF(VLOOKUP(A69,tbMoveset!A2:B112,2,FALSE)="Projectile",Backdoors!N10,Backdoors!N9),0),"")</f>
        <v/>
      </c>
      <c r="BQ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M69&gt;=0.45,VLOOKUP(Calculator!E23,tbSkills!DH3:DI6,2,FALSE)+IF(AND(Calculator!B8=TRUE,Backdoors!BI12=TRUE),VLOOKUP(Calculator!E23,tbSkills!DH3:DJ6,3,FALSE),0),0))&gt;=100,100,(Backdoors!AI12+IF(BM69&gt;=0.45,VLOOKUP(Calculator!E23,tbSkills!DH3:DI6,2,FALSE)+IF(AND(Calculator!B8=TRUE,Backdoors!BI12=TRUE),VLOOKUP(Calculator!E23,tbSkills!DH3:DJ6,3,FALSE),0),0)))/100)),1))*IF(VLOOKUP(A69,tbMoveset!A2:K112,11,FALSE)=TRUE,Backdoors!AC5,1))*BN69,0),"")</f>
        <v>0</v>
      </c>
      <c r="BR69" s="49">
        <f>VLOOKUP(A69,tbMoveset!A2:G112,7,FALSE)*IFERROR(IF(Backdoors!AI12&gt;=0,1+(IF(Calculator!E40&gt;0,VLOOKUP(Calculator!E40,tbSkills!AI3:AJ5,2,FALSE),Backdoors!AL4)*(IF((Backdoors!AI12+IF(BM69&gt;=0.45,VLOOKUP(Calculator!E23,tbSkills!DH3:DI6,2,FALSE)+IF(AND(Calculator!B8=TRUE,Backdoors!BI12=TRUE),VLOOKUP(Calculator!E23,tbSkills!DH3:DJ6,3,FALSE),0),0))&gt;=100,100,(Backdoors!AI12+IF(BM69&gt;=0.45,VLOOKUP(Calculator!E23,tbSkills!DH3:DI6,2,FALSE)+IF(AND(Calculator!B8=TRUE,Backdoors!BI12=TRUE),VLOOKUP(Calculator!E23,tbSkills!DH3:DJ6,3,FALSE),0),0)))/100)),1),1)</f>
        <v>0.8</v>
      </c>
      <c r="BS69" s="87">
        <f t="shared" si="60"/>
        <v>0</v>
      </c>
      <c r="BT69" s="86" t="str">
        <f>IFERROR(IF(VLOOKUP(A69,tbMoveset!A2:B112,2,FALSE)="Sever",Backdoors!AY13/100,IF(VLOOKUP(A69,tbMoveset!A2:B112,2,FALSE)="Blunt",Backdoors!AZ13/100,Backdoors!BA13/100)),"")</f>
        <v/>
      </c>
      <c r="BU69" s="49">
        <f>IFERROR(IF(VLOOKUP(tbMoveset!A69,tbMoveset!A2:H112,8,FALSE)="Other",IF(VLOOKUP(tbMoveset!A69,tbMoveset!A2:I112,9,FALSE)="Fire",Backdoors!BB13,IF(VLOOKUP(tbMoveset!A69,tbMoveset!A2:I112,9,FALSE)="Water",Backdoors!BC13,IF(VLOOKUP(tbMoveset!A69,tbMoveset!A2:I112,9,FALSE)="Thunder",Backdoors!BD13,IF(VLOOKUP(tbMoveset!A69,tbMoveset!A2:I112,9,FALSE)="Ice",Backdoors!BE13,IF(VLOOKUP(tbMoveset!A69,tbMoveset!A2:I112,9,FALSE)="Dragon",Backdoors!BF13,Backdoors!BG13)))))/100,Backdoors!BG13/100),"")</f>
        <v>0</v>
      </c>
      <c r="BV69" s="49">
        <f>IFERROR(IF(VLOOKUP(A69,tbMoveset!A2:J112,10,FALSE)=TRUE,IF((Backdoors!AI12+IF(BT69&gt;=0.45,VLOOKUP(Calculator!E23,tbSkills!DH3:DI6,2,FALSE)+IF(AND(Calculator!B8=TRUE,Backdoors!BI13=TRUE),VLOOKUP(Calculator!E23,tbSkills!DH3:DJ6,3,FALSE),0),0))&gt;=0,1+(Backdoors!AL2*(IF((Backdoors!AI12+IF(BT69&gt;=0.45,VLOOKUP(Calculator!E23,tbSkills!DH3:DI6,2,FALSE)+IF(AND(Calculator!B8=TRUE,Backdoors!BI13=TRUE),VLOOKUP(Calculator!E23,tbSkills!DH3:DJ6,3,FALSE),0),0))&gt;=100,100,(Backdoors!AI12+IF(BT69&gt;=0.45,VLOOKUP(Calculator!E23,tbSkills!DH3:DI6,2,FALSE)+IF(AND(Calculator!B8=TRUE,Backdoors!BI13=TRUE),VLOOKUP(Calculator!E23,tbSkills!DH3:DJ6,3,FALSE),0),0)))/100)),(1-(0.25*((-Backdoors!AI12-IF(BT69&gt;=0.45,VLOOKUP(Calculator!E23,tbSkills!DH3:DI6,2,FALSE)+IF(AND(Calculator!B8=TRUE,Backdoors!BI13=TRUE),VLOOKUP(Calculator!E23,tbSkills!DH3:DJ6,3,FALSE),0),0))/100)))),1),"")</f>
        <v>1</v>
      </c>
      <c r="BW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T69)*BV69)*(VLOOKUP(A69,tbMoveset!A2:C112,3,FALSE)/100)*IF(VLOOKUP(A69,tbMoveset!A2:B112,2,FALSE)="Projectile",Backdoors!N10,Backdoors!N9),0),"")</f>
        <v/>
      </c>
      <c r="BX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T69&gt;=0.45,VLOOKUP(Calculator!E23,tbSkills!DH3:DI6,2,FALSE)+IF(AND(Calculator!B8=TRUE,Backdoors!BI13=TRUE),VLOOKUP(Calculator!E23,tbSkills!DH3:DJ6,3,FALSE),0),0))&gt;=100,100,(Backdoors!AI12+IF(BT69&gt;=0.45,VLOOKUP(Calculator!E23,tbSkills!DH3:DI6,2,FALSE)+IF(AND(Calculator!B8=TRUE,Backdoors!BI13=TRUE),VLOOKUP(Calculator!E23,tbSkills!DH3:DJ6,3,FALSE),0),0)))/100)),1))*IF(VLOOKUP(A69,tbMoveset!A2:K112,11,FALSE)=TRUE,Backdoors!AC5,1))*BU69,0),"")</f>
        <v>0</v>
      </c>
      <c r="BY69" s="49">
        <f>VLOOKUP(A69,tbMoveset!A2:G112,7,FALSE)*IFERROR(IF(Backdoors!AI12&gt;=0,1+(IF(Calculator!E40&gt;0,VLOOKUP(Calculator!E40,tbSkills!AI3:AJ5,2,FALSE),Backdoors!AL4)*(IF((Backdoors!AI12+IF(BT69&gt;=0.45,VLOOKUP(Calculator!E23,tbSkills!DH3:DI6,2,FALSE)+IF(AND(Calculator!B8=TRUE,Backdoors!BI13=TRUE),VLOOKUP(Calculator!E23,tbSkills!DH3:DJ6,3,FALSE),0),0))&gt;=100,100,(Backdoors!AI12+IF(BT69&gt;=0.45,VLOOKUP(Calculator!E23,tbSkills!DH3:DI6,2,FALSE)+IF(AND(Calculator!B8=TRUE,Backdoors!BI13=TRUE),VLOOKUP(Calculator!E23,tbSkills!DH3:DJ6,3,FALSE),0),0)))/100)),1),1)</f>
        <v>0.8</v>
      </c>
      <c r="BZ69" s="87">
        <f t="shared" si="61"/>
        <v>0</v>
      </c>
      <c r="CA69" s="86" t="str">
        <f>IFERROR(IF(VLOOKUP(A69,tbMoveset!A2:B112,2,FALSE)="Sever",Backdoors!AY14/100,IF(VLOOKUP(A69,tbMoveset!A2:B112,2,FALSE)="Blunt",Backdoors!AZ14/100,Backdoors!BA14/100)),"")</f>
        <v/>
      </c>
      <c r="CB69" s="49">
        <f>IFERROR(IF(VLOOKUP(tbMoveset!A69,tbMoveset!A2:H112,8,FALSE)="Other",IF(VLOOKUP(tbMoveset!A69,tbMoveset!A2:I112,9,FALSE)="Fire",Backdoors!BB14,IF(VLOOKUP(tbMoveset!A69,tbMoveset!A2:I112,9,FALSE)="Water",Backdoors!BC14,IF(VLOOKUP(tbMoveset!A69,tbMoveset!A2:I112,9,FALSE)="Thunder",Backdoors!BD14,IF(VLOOKUP(tbMoveset!A69,tbMoveset!A2:I112,9,FALSE)="Ice",Backdoors!BE14,IF(VLOOKUP(tbMoveset!A69,tbMoveset!A2:I112,9,FALSE)="Dragon",Backdoors!BF14,Backdoors!BG14)))))/100,Backdoors!BG14/100),"")</f>
        <v>0</v>
      </c>
      <c r="CC69" s="49">
        <f>IFERROR(IF(VLOOKUP(A69,tbMoveset!A2:J112,10,FALSE)=TRUE,IF((Backdoors!AI12+IF(CA69&gt;=0.45,VLOOKUP(Calculator!E23,tbSkills!DH3:DI6,2,FALSE)+IF(AND(Calculator!B8=TRUE,Backdoors!BI14=TRUE),VLOOKUP(Calculator!E23,tbSkills!DH3:DJ6,3,FALSE),0),0))&gt;=0,1+(Backdoors!AL2*(IF((Backdoors!AI12+IF(CA69&gt;=0.45,VLOOKUP(Calculator!E23,tbSkills!DH3:DI6,2,FALSE)+IF(AND(Calculator!B8=TRUE,Backdoors!BI14=TRUE),VLOOKUP(Calculator!E23,tbSkills!DH3:DJ6,3,FALSE),0),0))&gt;=100,100,(Backdoors!AI12+IF(CA69&gt;=0.45,VLOOKUP(Calculator!E23,tbSkills!DH3:DI6,2,FALSE)+IF(AND(Calculator!B8=TRUE,Backdoors!BI14=TRUE),VLOOKUP(Calculator!E23,tbSkills!DH3:DJ6,3,FALSE),0),0)))/100)),(1-(0.25*((-Backdoors!AI12-IF(CA69&gt;=0.45,VLOOKUP(Calculator!E23,tbSkills!DH3:DI6,2,FALSE)+IF(AND(Calculator!B8=TRUE,Backdoors!BI14=TRUE),VLOOKUP(Calculator!E23,tbSkills!DH3:DJ6,3,FALSE),0),0))/100)))),1),"")</f>
        <v>1</v>
      </c>
      <c r="CD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A69)*CC69)*(VLOOKUP(A69,tbMoveset!A2:C112,3,FALSE)/100)*IF(VLOOKUP(A69,tbMoveset!A2:B112,2,FALSE)="Projectile",Backdoors!N10,Backdoors!N9),0),"")</f>
        <v/>
      </c>
      <c r="CE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A69&gt;=0.45,VLOOKUP(Calculator!E23,tbSkills!DH3:DI6,2,FALSE)+IF(AND(Calculator!B8=TRUE,Backdoors!BI14=TRUE),VLOOKUP(Calculator!E23,tbSkills!DH3:DJ6,3,FALSE),0),0))&gt;=100,100,(Backdoors!AI12+IF(CA69&gt;=0.45,VLOOKUP(Calculator!E23,tbSkills!DH3:DI6,2,FALSE)+IF(AND(Calculator!B8=TRUE,Backdoors!BI14=TRUE),VLOOKUP(Calculator!E23,tbSkills!DH3:DJ6,3,FALSE),0),0)))/100)),1))*IF(VLOOKUP(A69,tbMoveset!A2:K112,11,FALSE)=TRUE,Backdoors!AC5,1))*CB69,0),"")</f>
        <v>0</v>
      </c>
      <c r="CF69" s="49">
        <f>VLOOKUP(A69,tbMoveset!A2:G112,7,FALSE)*IFERROR(IF(Backdoors!AI12&gt;=0,1+(IF(Calculator!E40&gt;0,VLOOKUP(Calculator!E40,tbSkills!AI3:AJ5,2,FALSE),Backdoors!AL4)*(IF((Backdoors!AI12+IF(CA69&gt;=0.45,VLOOKUP(Calculator!E23,tbSkills!DH3:DI6,2,FALSE)+IF(AND(Calculator!B8=TRUE,Backdoors!BI14=TRUE),VLOOKUP(Calculator!E23,tbSkills!DH3:DJ6,3,FALSE),0),0))&gt;=100,100,(Backdoors!AI12+IF(CA69&gt;=0.45,VLOOKUP(Calculator!E23,tbSkills!DH3:DI6,2,FALSE)+IF(AND(Calculator!B8=TRUE,Backdoors!BI14=TRUE),VLOOKUP(Calculator!E23,tbSkills!DH3:DJ6,3,FALSE),0),0)))/100)),1),1)</f>
        <v>0.8</v>
      </c>
      <c r="CG69" s="87">
        <f t="shared" si="62"/>
        <v>0</v>
      </c>
      <c r="CH69" s="86" t="str">
        <f>IFERROR(IF(VLOOKUP(A69,tbMoveset!A2:B112,2,FALSE)="Sever",Backdoors!AY15/100,IF(VLOOKUP(A69,tbMoveset!A2:B112,2,FALSE)="Blunt",Backdoors!AZ15/100,Backdoors!BA15/100)),"")</f>
        <v/>
      </c>
      <c r="CI69" s="49">
        <f>IFERROR(IF(VLOOKUP(tbMoveset!A69,tbMoveset!A2:H112,8,FALSE)="Other",IF(VLOOKUP(tbMoveset!A69,tbMoveset!A2:I112,9,FALSE)="Fire",Backdoors!BB15,IF(VLOOKUP(tbMoveset!A69,tbMoveset!A2:I112,9,FALSE)="Water",Backdoors!BC15,IF(VLOOKUP(tbMoveset!A69,tbMoveset!A2:I112,9,FALSE)="Thunder",Backdoors!BD15,IF(VLOOKUP(tbMoveset!A69,tbMoveset!A2:I112,9,FALSE)="Ice",Backdoors!BE15,IF(VLOOKUP(tbMoveset!A69,tbMoveset!A2:I112,9,FALSE)="Dragon",Backdoors!BF15,Backdoors!BG15)))))/100,Backdoors!BG15/100),"")</f>
        <v>0</v>
      </c>
      <c r="CJ69" s="49">
        <f>IFERROR(IF(VLOOKUP(A69,tbMoveset!A2:J112,10,FALSE)=TRUE,IF((Backdoors!AI12+IF(CH69&gt;=0.45,VLOOKUP(Calculator!E23,tbSkills!DH3:DI6,2,FALSE)+IF(AND(Calculator!B8=TRUE,Backdoors!BI15=TRUE),VLOOKUP(Calculator!E23,tbSkills!DH3:DJ6,3,FALSE),0),0))&gt;=0,1+(Backdoors!AL2*(IF((Backdoors!AI12+IF(CH69&gt;=0.45,VLOOKUP(Calculator!E23,tbSkills!DH3:DI6,2,FALSE)+IF(AND(Calculator!B8=TRUE,Backdoors!BI15=TRUE),VLOOKUP(Calculator!E23,tbSkills!DH3:DJ6,3,FALSE),0),0))&gt;=100,100,(Backdoors!AI12+IF(CH69&gt;=0.45,VLOOKUP(Calculator!E23,tbSkills!DH3:DI6,2,FALSE)+IF(AND(Calculator!B8=TRUE,Backdoors!BI15=TRUE),VLOOKUP(Calculator!E23,tbSkills!DH3:DJ6,3,FALSE),0),0)))/100)),(1-(0.25*((-Backdoors!AI12-IF(CH69&gt;=0.45,VLOOKUP(Calculator!E23,tbSkills!DH3:DI6,2,FALSE)+IF(AND(Calculator!B8=TRUE,Backdoors!BI15=TRUE),VLOOKUP(Calculator!E23,tbSkills!DH3:DJ6,3,FALSE),0),0))/100)))),1),"")</f>
        <v>1</v>
      </c>
      <c r="CK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H69)*CJ69)*(VLOOKUP(A69,tbMoveset!A2:C112,3,FALSE)/100)*IF(VLOOKUP(A69,tbMoveset!A2:B112,2,FALSE)="Projectile",Backdoors!N10,Backdoors!N9),0),"")</f>
        <v/>
      </c>
      <c r="CL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H69&gt;=0.45,VLOOKUP(Calculator!E23,tbSkills!DH3:DI6,2,FALSE)+IF(AND(Calculator!B8=TRUE,Backdoors!BI15=TRUE),VLOOKUP(Calculator!E23,tbSkills!DH3:DJ6,3,FALSE),0),0))&gt;=100,100,(Backdoors!AI12+IF(CH69&gt;=0.45,VLOOKUP(Calculator!E23,tbSkills!DH3:DI6,2,FALSE)+IF(AND(Calculator!B8=TRUE,Backdoors!BI15=TRUE),VLOOKUP(Calculator!E23,tbSkills!DH3:DJ6,3,FALSE),0),0)))/100)),1))*IF(VLOOKUP(A69,tbMoveset!A2:K112,11,FALSE)=TRUE,Backdoors!AC5,1))*CI69,0),"")</f>
        <v>0</v>
      </c>
      <c r="CM69" s="49">
        <f>VLOOKUP(A69,tbMoveset!A2:G112,7,FALSE)*IFERROR(IF(Backdoors!AI12&gt;=0,1+(IF(Calculator!E40&gt;0,VLOOKUP(Calculator!E40,tbSkills!AI3:AJ5,2,FALSE),Backdoors!AL4)*(IF((Backdoors!AI12+IF(CH69&gt;=0.45,VLOOKUP(Calculator!E23,tbSkills!DH3:DI6,2,FALSE)+IF(AND(Calculator!B8=TRUE,Backdoors!BI15=TRUE),VLOOKUP(Calculator!E23,tbSkills!DH3:DJ6,3,FALSE),0),0))&gt;=100,100,(Backdoors!AI12+IF(CH69&gt;=0.45,VLOOKUP(Calculator!E23,tbSkills!DH3:DI6,2,FALSE)+IF(AND(Calculator!B8=TRUE,Backdoors!BI15=TRUE),VLOOKUP(Calculator!E23,tbSkills!DH3:DJ6,3,FALSE),0),0)))/100)),1),1)</f>
        <v>0.8</v>
      </c>
      <c r="CN69" s="87">
        <f t="shared" si="63"/>
        <v>0</v>
      </c>
      <c r="CO69" s="86" t="str">
        <f>IFERROR(IF(VLOOKUP(A69,tbMoveset!A2:B112,2,FALSE)="Sever",Backdoors!AY16/100,IF(VLOOKUP(A69,tbMoveset!A2:B112,2,FALSE)="Blunt",Backdoors!AZ16/100,Backdoors!BA16/100)),"")</f>
        <v/>
      </c>
      <c r="CP69" s="49">
        <f>IFERROR(IF(VLOOKUP(tbMoveset!A69,tbMoveset!A2:H112,8,FALSE)="Other",IF(VLOOKUP(tbMoveset!A69,tbMoveset!A2:I112,9,FALSE)="Fire",Backdoors!BB16,IF(VLOOKUP(tbMoveset!A69,tbMoveset!A2:I112,9,FALSE)="Water",Backdoors!BC16,IF(VLOOKUP(tbMoveset!A69,tbMoveset!A2:I112,9,FALSE)="Thunder",Backdoors!BD16,IF(VLOOKUP(tbMoveset!A69,tbMoveset!A2:I112,9,FALSE)="Ice",Backdoors!BE16,IF(VLOOKUP(tbMoveset!A69,tbMoveset!A2:I112,9,FALSE)="Dragon",Backdoors!BF16,Backdoors!BG16)))))/100,Backdoors!BG16/100),"")</f>
        <v>0</v>
      </c>
      <c r="CQ69" s="49">
        <f>IFERROR(IF(VLOOKUP(A69,tbMoveset!A2:J112,10,FALSE)=TRUE,IF((Backdoors!AI12+IF(CO69&gt;=0.45,VLOOKUP(Calculator!E23,tbSkills!DH3:DI6,2,FALSE)+IF(AND(Calculator!B8=TRUE,Backdoors!BI16=TRUE),VLOOKUP(Calculator!E23,tbSkills!DH3:DJ6,3,FALSE),0),0))&gt;=0,1+(Backdoors!AL2*(IF((Backdoors!AI12+IF(CO69&gt;=0.45,VLOOKUP(Calculator!E23,tbSkills!DH3:DI6,2,FALSE)+IF(AND(Calculator!B8=TRUE,Backdoors!BI16=TRUE),VLOOKUP(Calculator!E23,tbSkills!DH3:DJ6,3,FALSE),0),0))&gt;=100,100,(Backdoors!AI12+IF(CO69&gt;=0.45,VLOOKUP(Calculator!E23,tbSkills!DH3:DI6,2,FALSE)+IF(AND(Calculator!B8=TRUE,Backdoors!BI16=TRUE),VLOOKUP(Calculator!E23,tbSkills!DH3:DJ6,3,FALSE),0),0)))/100)),(1-(0.25*((-Backdoors!AI12-IF(CO69&gt;=0.45,VLOOKUP(Calculator!E23,tbSkills!DH3:DI6,2,FALSE)+IF(AND(Calculator!B8=TRUE,Backdoors!BI16=TRUE),VLOOKUP(Calculator!E23,tbSkills!DH3:DJ6,3,FALSE),0),0))/100)))),1),"")</f>
        <v>1</v>
      </c>
      <c r="CR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O69)*CQ69)*(VLOOKUP(A69,tbMoveset!A2:C112,3,FALSE)/100)*IF(VLOOKUP(A69,tbMoveset!A2:B112,2,FALSE)="Projectile",Backdoors!N10,Backdoors!N9),0),"")</f>
        <v/>
      </c>
      <c r="CS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O69&gt;=0.45,VLOOKUP(Calculator!E23,tbSkills!DH3:DI6,2,FALSE)+IF(AND(Calculator!B8=TRUE,Backdoors!BI16=TRUE),VLOOKUP(Calculator!E23,tbSkills!DH3:DJ6,3,FALSE),0),0))&gt;=100,100,(Backdoors!AI12+IF(CO69&gt;=0.45,VLOOKUP(Calculator!E23,tbSkills!DH3:DI6,2,FALSE)+IF(AND(Calculator!B8=TRUE,Backdoors!BI16=TRUE),VLOOKUP(Calculator!E23,tbSkills!DH3:DJ6,3,FALSE),0),0)))/100)),1))*IF(VLOOKUP(A69,tbMoveset!A2:K112,11,FALSE)=TRUE,Backdoors!AC5,1))*CP69,0),"")</f>
        <v>0</v>
      </c>
      <c r="CT69" s="49">
        <f>VLOOKUP(A69,tbMoveset!A2:G112,7,FALSE)*IFERROR(IF(Backdoors!AI12&gt;=0,1+(IF(Calculator!E40&gt;0,VLOOKUP(Calculator!E40,tbSkills!AI3:AJ5,2,FALSE),Backdoors!AL4)*(IF((Backdoors!AI12+IF(CO69&gt;=0.45,VLOOKUP(Calculator!E23,tbSkills!DH3:DI6,2,FALSE)+IF(AND(Calculator!B8=TRUE,Backdoors!BI16=TRUE),VLOOKUP(Calculator!E23,tbSkills!DH3:DJ6,3,FALSE),0),0))&gt;=100,100,(Backdoors!AI12+IF(CO69&gt;=0.45,VLOOKUP(Calculator!E23,tbSkills!DH3:DI6,2,FALSE)+IF(AND(Calculator!B8=TRUE,Backdoors!BI16=TRUE),VLOOKUP(Calculator!E23,tbSkills!DH3:DJ6,3,FALSE),0),0)))/100)),1),1)</f>
        <v>0.8</v>
      </c>
      <c r="CU69" s="87">
        <f t="shared" si="64"/>
        <v>0</v>
      </c>
      <c r="CV69" s="86" t="str">
        <f>IFERROR(IF(VLOOKUP(A69,tbMoveset!A2:B112,2,FALSE)="Sever",Backdoors!AY17/100,IF(VLOOKUP(A69,tbMoveset!A2:B112,2,FALSE)="Blunt",Backdoors!AZ17/100,Backdoors!BA17/100)),"")</f>
        <v/>
      </c>
      <c r="CW69" s="49">
        <f>IFERROR(IF(VLOOKUP(tbMoveset!A69,tbMoveset!A2:H112,8,FALSE)="Other",IF(VLOOKUP(tbMoveset!A69,tbMoveset!A2:I112,9,FALSE)="Fire",Backdoors!BB17,IF(VLOOKUP(tbMoveset!A69,tbMoveset!A2:I112,9,FALSE)="Water",Backdoors!BC17,IF(VLOOKUP(tbMoveset!A69,tbMoveset!A2:I112,9,FALSE)="Thunder",Backdoors!BD17,IF(VLOOKUP(tbMoveset!A69,tbMoveset!A2:I112,9,FALSE)="Ice",Backdoors!BE17,IF(VLOOKUP(tbMoveset!A69,tbMoveset!A2:I112,9,FALSE)="Dragon",Backdoors!BF17,Backdoors!BG17)))))/100,Backdoors!BG17/100),"")</f>
        <v>0</v>
      </c>
      <c r="CX69" s="49">
        <f>IFERROR(IF(VLOOKUP(A69,tbMoveset!A2:J112,10,FALSE)=TRUE,IF((Backdoors!AI12+IF(CV69&gt;=0.45,VLOOKUP(Calculator!E23,tbSkills!DH3:DI6,2,FALSE)+IF(AND(Calculator!B8=TRUE,Backdoors!BI17=TRUE),VLOOKUP(Calculator!E23,tbSkills!DH3:DJ6,3,FALSE),0),0))&gt;=0,1+(Backdoors!AL2*(IF((Backdoors!AI12+IF(CV69&gt;=0.45,VLOOKUP(Calculator!E23,tbSkills!DH3:DI6,2,FALSE)+IF(AND(Calculator!B8=TRUE,Backdoors!BI17=TRUE),VLOOKUP(Calculator!E23,tbSkills!DH3:DJ6,3,FALSE),0),0))&gt;=100,100,(Backdoors!AI12+IF(CV69&gt;=0.45,VLOOKUP(Calculator!E23,tbSkills!DH3:DI6,2,FALSE)+IF(AND(Calculator!B8=TRUE,Backdoors!BI17=TRUE),VLOOKUP(Calculator!E23,tbSkills!DH3:DJ6,3,FALSE),0),0)))/100)),(1-(0.25*((-Backdoors!AI12-IF(CV69&gt;=0.45,VLOOKUP(Calculator!E23,tbSkills!DH3:DI6,2,FALSE)+IF(AND(Calculator!B8=TRUE,Backdoors!BI17=TRUE),VLOOKUP(Calculator!E23,tbSkills!DH3:DJ6,3,FALSE),0),0))/100)))),1),"")</f>
        <v>1</v>
      </c>
      <c r="CY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V69)*CX69)*(VLOOKUP(A69,tbMoveset!A2:C112,3,FALSE)/100)*IF(VLOOKUP(A69,tbMoveset!A2:B112,2,FALSE)="Projectile",Backdoors!N10,Backdoors!N9),0),"")</f>
        <v/>
      </c>
      <c r="CZ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V69&gt;=0.45,VLOOKUP(Calculator!E23,tbSkills!DH3:DI6,2,FALSE)+IF(AND(Calculator!B8=TRUE,Backdoors!BI17=TRUE),VLOOKUP(Calculator!E23,tbSkills!DH3:DJ6,3,FALSE),0),0))&gt;=100,100,(Backdoors!AI12+IF(CV69&gt;=0.45,VLOOKUP(Calculator!E23,tbSkills!DH3:DI6,2,FALSE)+IF(AND(Calculator!B8=TRUE,Backdoors!BI17=TRUE),VLOOKUP(Calculator!E23,tbSkills!DH3:DJ6,3,FALSE),0),0)))/100)),1))*IF(VLOOKUP(A69,tbMoveset!A2:K112,11,FALSE)=TRUE,Backdoors!AC5,1))*CW69,0),"")</f>
        <v>0</v>
      </c>
      <c r="DA69" s="49">
        <f>VLOOKUP(A69,tbMoveset!A2:G112,7,FALSE)*IFERROR(IF(Backdoors!AI12&gt;=0,1+(IF(Calculator!E40&gt;0,VLOOKUP(Calculator!E40,tbSkills!AI3:AJ5,2,FALSE),Backdoors!AL4)*(IF((Backdoors!AI12+IF(CV69&gt;=0.45,VLOOKUP(Calculator!E23,tbSkills!DH3:DI6,2,FALSE)+IF(AND(Calculator!B8=TRUE,Backdoors!BI17=TRUE),VLOOKUP(Calculator!E23,tbSkills!DH3:DJ6,3,FALSE),0),0))&gt;=100,100,(Backdoors!AI12+IF(CV69&gt;=0.45,VLOOKUP(Calculator!E23,tbSkills!DH3:DI6,2,FALSE)+IF(AND(Calculator!B8=TRUE,Backdoors!BI17=TRUE),VLOOKUP(Calculator!E23,tbSkills!DH3:DJ6,3,FALSE),0),0)))/100)),1),1)</f>
        <v>0.8</v>
      </c>
      <c r="DB69" s="87">
        <f t="shared" si="65"/>
        <v>0</v>
      </c>
      <c r="DC69" s="86" t="str">
        <f>IFERROR(IF(VLOOKUP(A69,tbMoveset!A2:B112,2,FALSE)="Sever",Backdoors!AY18/100,IF(VLOOKUP(A69,tbMoveset!A2:B112,2,FALSE)="Blunt",Backdoors!AZ18/100,Backdoors!BA18/100)),"")</f>
        <v/>
      </c>
      <c r="DD69" s="49">
        <f>IFERROR(IF(VLOOKUP(tbMoveset!A69,tbMoveset!A2:H112,8,FALSE)="Other",IF(VLOOKUP(tbMoveset!A69,tbMoveset!A2:I112,9,FALSE)="Fire",Backdoors!BB18,IF(VLOOKUP(tbMoveset!A69,tbMoveset!A2:I112,9,FALSE)="Water",Backdoors!BC18,IF(VLOOKUP(tbMoveset!A69,tbMoveset!A2:I112,9,FALSE)="Thunder",Backdoors!BD18,IF(VLOOKUP(tbMoveset!A69,tbMoveset!A2:I112,9,FALSE)="Ice",Backdoors!BE18,IF(VLOOKUP(tbMoveset!A69,tbMoveset!A2:I112,9,FALSE)="Dragon",Backdoors!BF18,Backdoors!BG18)))))/100,Backdoors!BG18/100),"")</f>
        <v>0</v>
      </c>
      <c r="DE69" s="49">
        <f>IFERROR(IF(VLOOKUP(A69,tbMoveset!A2:J112,10,FALSE)=TRUE,IF((Backdoors!AI12+IF(DC69&gt;=0.45,VLOOKUP(Calculator!E23,tbSkills!DH3:DI6,2,FALSE)+IF(AND(Calculator!B8=TRUE,Backdoors!BI18=TRUE),VLOOKUP(Calculator!E23,tbSkills!DH3:DJ6,3,FALSE),0),0))&gt;=0,1+(Backdoors!AL2*(IF((Backdoors!AI12+IF(DC69&gt;=0.45,VLOOKUP(Calculator!E23,tbSkills!DH3:DI6,2,FALSE)+IF(AND(Calculator!B8=TRUE,Backdoors!BI18=TRUE),VLOOKUP(Calculator!E23,tbSkills!DH3:DJ6,3,FALSE),0),0))&gt;=100,100,(Backdoors!AI12+IF(DC69&gt;=0.45,VLOOKUP(Calculator!E23,tbSkills!DH3:DI6,2,FALSE)+IF(AND(Calculator!B8=TRUE,Backdoors!BI18=TRUE),VLOOKUP(Calculator!E23,tbSkills!DH3:DJ6,3,FALSE),0),0)))/100)),(1-(0.25*((-Backdoors!AI12-IF(DC69&gt;=0.45,VLOOKUP(Calculator!E23,tbSkills!DH3:DI6,2,FALSE)+IF(AND(Calculator!B8=TRUE,Backdoors!BI18=TRUE),VLOOKUP(Calculator!E23,tbSkills!DH3:DJ6,3,FALSE),0),0))/100)))),1),"")</f>
        <v>1</v>
      </c>
      <c r="DF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C69)*DE69)*(VLOOKUP(A69,tbMoveset!A2:C112,3,FALSE)/100)*IF(VLOOKUP(A69,tbMoveset!A2:B112,2,FALSE)="Projectile",Backdoors!N10,Backdoors!N9),0),"")</f>
        <v/>
      </c>
      <c r="DG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C69&gt;=0.45,VLOOKUP(Calculator!E23,tbSkills!DH3:DI6,2,FALSE)+IF(AND(Calculator!B8=TRUE,Backdoors!BI18=TRUE),VLOOKUP(Calculator!E23,tbSkills!DH3:DJ6,3,FALSE),0),0))&gt;=100,100,(Backdoors!AI12+IF(DC69&gt;=0.45,VLOOKUP(Calculator!E23,tbSkills!DH3:DI6,2,FALSE)+IF(AND(Calculator!B8=TRUE,Backdoors!BI18=TRUE),VLOOKUP(Calculator!E23,tbSkills!DH3:DJ6,3,FALSE),0),0)))/100)),1))*IF(VLOOKUP(A69,tbMoveset!A2:K112,11,FALSE)=TRUE,Backdoors!AC5,1))*DD69,0),"")</f>
        <v>0</v>
      </c>
      <c r="DH69" s="49">
        <f>VLOOKUP(A69,tbMoveset!A2:G112,7,FALSE)*IFERROR(IF(Backdoors!AI12&gt;=0,1+(IF(Calculator!E40&gt;0,VLOOKUP(Calculator!E40,tbSkills!AI3:AJ5,2,FALSE),Backdoors!AL4)*(IF((Backdoors!AI12+IF(DC69&gt;=0.45,VLOOKUP(Calculator!E23,tbSkills!DH3:DI6,2,FALSE)+IF(AND(Calculator!B8=TRUE,Backdoors!BI18=TRUE),VLOOKUP(Calculator!E23,tbSkills!DH3:DJ6,3,FALSE),0),0))&gt;=100,100,(Backdoors!AI12+IF(DC69&gt;=0.45,VLOOKUP(Calculator!E23,tbSkills!DH3:DI6,2,FALSE)+IF(AND(Calculator!B8=TRUE,Backdoors!BI18=TRUE),VLOOKUP(Calculator!E23,tbSkills!DH3:DJ6,3,FALSE),0),0)))/100)),1),1)</f>
        <v>0.8</v>
      </c>
      <c r="DI69" s="87">
        <f t="shared" si="66"/>
        <v>0</v>
      </c>
      <c r="DJ69" s="86" t="str">
        <f>IFERROR(IF(VLOOKUP(A69,tbMoveset!A2:B112,2,FALSE)="Sever",Backdoors!AY19/100,IF(VLOOKUP(A69,tbMoveset!A2:B112,2,FALSE)="Blunt",Backdoors!AZ19/100,Backdoors!BA19/100)),"")</f>
        <v/>
      </c>
      <c r="DK69" s="49">
        <f>IFERROR(IF(VLOOKUP(tbMoveset!A69,tbMoveset!A2:H112,8,FALSE)="Other",IF(VLOOKUP(tbMoveset!A69,tbMoveset!A2:I112,9,FALSE)="Fire",Backdoors!BB19,IF(VLOOKUP(tbMoveset!A69,tbMoveset!A2:I112,9,FALSE)="Water",Backdoors!BC19,IF(VLOOKUP(tbMoveset!A69,tbMoveset!A2:I112,9,FALSE)="Thunder",Backdoors!BD19,IF(VLOOKUP(tbMoveset!A69,tbMoveset!A2:I112,9,FALSE)="Ice",Backdoors!BE19,IF(VLOOKUP(tbMoveset!A69,tbMoveset!A2:I112,9,FALSE)="Dragon",Backdoors!BF19,Backdoors!BG19)))))/100,Backdoors!BG19/100),"")</f>
        <v>0</v>
      </c>
      <c r="DL69" s="49">
        <f>IFERROR(IF(VLOOKUP(A69,tbMoveset!A2:J112,10,FALSE)=TRUE,IF((Backdoors!AI12+IF(DJ69&gt;=0.45,VLOOKUP(Calculator!E23,tbSkills!DH3:DI6,2,FALSE)+IF(AND(Calculator!B8=TRUE,Backdoors!BI19=TRUE),VLOOKUP(Calculator!E23,tbSkills!DH3:DJ6,3,FALSE),0),0))&gt;=0,1+(Backdoors!AL2*(IF((Backdoors!AI12+IF(DJ69&gt;=0.45,VLOOKUP(Calculator!E23,tbSkills!DH3:DI6,2,FALSE)+IF(AND(Calculator!B8=TRUE,Backdoors!BI19=TRUE),VLOOKUP(Calculator!E23,tbSkills!DH3:DJ6,3,FALSE),0),0))&gt;=100,100,(Backdoors!AI12+IF(DJ69&gt;=0.45,VLOOKUP(Calculator!E23,tbSkills!DH3:DI6,2,FALSE)+IF(AND(Calculator!B8=TRUE,Backdoors!BI19=TRUE),VLOOKUP(Calculator!E23,tbSkills!DH3:DJ6,3,FALSE),0),0)))/100)),(1-(0.25*((-Backdoors!AI12-IF(DJ69&gt;=0.45,VLOOKUP(Calculator!E23,tbSkills!DH3:DI6,2,FALSE)+IF(AND(Calculator!B8=TRUE,Backdoors!BI19=TRUE),VLOOKUP(Calculator!E23,tbSkills!DH3:DJ6,3,FALSE),0),0))/100)))),1),"")</f>
        <v>1</v>
      </c>
      <c r="DM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J69)*DL69)*(VLOOKUP(A69,tbMoveset!A2:C112,3,FALSE)/100)*IF(VLOOKUP(A69,tbMoveset!A2:B112,2,FALSE)="Projectile",Backdoors!N10,Backdoors!N9),0),"")</f>
        <v/>
      </c>
      <c r="DN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J69&gt;=0.45,VLOOKUP(Calculator!E23,tbSkills!DH3:DI6,2,FALSE)+IF(AND(Calculator!B8=TRUE,Backdoors!BI19=TRUE),VLOOKUP(Calculator!E23,tbSkills!DH3:DJ6,3,FALSE),0),0))&gt;=100,100,(Backdoors!AI12+IF(DJ69&gt;=0.45,VLOOKUP(Calculator!E23,tbSkills!DH3:DI6,2,FALSE)+IF(AND(Calculator!B8=TRUE,Backdoors!BI19=TRUE),VLOOKUP(Calculator!E23,tbSkills!DH3:DJ6,3,FALSE),0),0)))/100)),1))*IF(VLOOKUP(A69,tbMoveset!A2:K112,11,FALSE)=TRUE,Backdoors!AC5,1))*DK69,0),"")</f>
        <v>0</v>
      </c>
      <c r="DO69" s="49">
        <f>VLOOKUP(A69,tbMoveset!A2:G112,7,FALSE)*IFERROR(IF(Backdoors!AI12&gt;=0,1+(IF(Calculator!E40&gt;0,VLOOKUP(Calculator!E40,tbSkills!AI3:AJ5,2,FALSE),Backdoors!AL4)*(IF((Backdoors!AI12+IF(DJ69&gt;=0.45,VLOOKUP(Calculator!E23,tbSkills!DH3:DI6,2,FALSE)+IF(AND(Calculator!B8=TRUE,Backdoors!BI19=TRUE),VLOOKUP(Calculator!E23,tbSkills!DH3:DJ6,3,FALSE),0),0))&gt;=100,100,(Backdoors!AI12+IF(DJ69&gt;=0.45,VLOOKUP(Calculator!E23,tbSkills!DH3:DI6,2,FALSE)+IF(AND(Calculator!B8=TRUE,Backdoors!BI19=TRUE),VLOOKUP(Calculator!E23,tbSkills!DH3:DJ6,3,FALSE),0),0)))/100)),1),1)</f>
        <v>0.8</v>
      </c>
      <c r="DP69" s="87">
        <f t="shared" si="67"/>
        <v>0</v>
      </c>
      <c r="DQ69" s="86" t="str">
        <f>IFERROR(IF(VLOOKUP(A69,tbMoveset!A2:B112,2,FALSE)="Sever",Backdoors!AY20/100,IF(VLOOKUP(A69,tbMoveset!A2:B112,2,FALSE)="Blunt",Backdoors!AZ20/100,Backdoors!BA20/100)),"")</f>
        <v/>
      </c>
      <c r="DR69" s="49">
        <f>IFERROR(IF(VLOOKUP(tbMoveset!A69,tbMoveset!A2:H112,8,FALSE)="Other",IF(VLOOKUP(tbMoveset!A69,tbMoveset!A2:I112,9,FALSE)="Fire",Backdoors!BB20,IF(VLOOKUP(tbMoveset!A69,tbMoveset!A2:I112,9,FALSE)="Water",Backdoors!BC20,IF(VLOOKUP(tbMoveset!A69,tbMoveset!A2:I112,9,FALSE)="Thunder",Backdoors!BD20,IF(VLOOKUP(tbMoveset!A69,tbMoveset!A2:I112,9,FALSE)="Ice",Backdoors!BE20,IF(VLOOKUP(tbMoveset!A69,tbMoveset!A2:I112,9,FALSE)="Dragon",Backdoors!BF20,Backdoors!BG20)))))/100,Backdoors!BG20/100),"")</f>
        <v>0</v>
      </c>
      <c r="DS69" s="49">
        <f>IFERROR(IF(VLOOKUP(A69,tbMoveset!A2:J112,10,FALSE)=TRUE,IF((Backdoors!AI12+IF(DQ69&gt;=0.45,VLOOKUP(Calculator!E23,tbSkills!DH3:DI6,2,FALSE)+IF(AND(Calculator!B8=TRUE,Backdoors!BI20=TRUE),VLOOKUP(Calculator!E23,tbSkills!DH3:DJ6,3,FALSE),0),0))&gt;=0,1+(Backdoors!AL2*(IF((Backdoors!AI12+IF(DQ69&gt;=0.45,VLOOKUP(Calculator!E23,tbSkills!DH3:DI6,2,FALSE)+IF(AND(Calculator!B8=TRUE,Backdoors!BI20=TRUE),VLOOKUP(Calculator!E23,tbSkills!DH3:DJ6,3,FALSE),0),0))&gt;=100,100,(Backdoors!AI12+IF(DQ69&gt;=0.45,VLOOKUP(Calculator!E23,tbSkills!DH3:DI6,2,FALSE)+IF(AND(Calculator!B8=TRUE,Backdoors!BI20=TRUE),VLOOKUP(Calculator!E23,tbSkills!DH3:DJ6,3,FALSE),0),0)))/100)),(1-(0.25*((-Backdoors!AI12-IF(DQ69&gt;=0.45,VLOOKUP(Calculator!E23,tbSkills!DH3:DI6,2,FALSE)+IF(AND(Calculator!B8=TRUE,Backdoors!BI20=TRUE),VLOOKUP(Calculator!E23,tbSkills!DH3:DJ6,3,FALSE),0),0))/100)))),1),"")</f>
        <v>1</v>
      </c>
      <c r="DT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Q69)*DS69)*(VLOOKUP(A69,tbMoveset!A2:C112,3,FALSE)/100)*IF(VLOOKUP(A69,tbMoveset!A2:B112,2,FALSE)="Projectile",Backdoors!N10,Backdoors!N9),0),"")</f>
        <v/>
      </c>
      <c r="DU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Q69&gt;=0.45,VLOOKUP(Calculator!E23,tbSkills!DH3:DI6,2,FALSE)+IF(AND(Calculator!B8=TRUE,Backdoors!BI20=TRUE),VLOOKUP(Calculator!E23,tbSkills!DH3:DJ6,3,FALSE),0),0))&gt;=100,100,(Backdoors!AI12+IF(DQ69&gt;=0.45,VLOOKUP(Calculator!E23,tbSkills!DH3:DI6,2,FALSE)+IF(AND(Calculator!B8=TRUE,Backdoors!BI20=TRUE),VLOOKUP(Calculator!E23,tbSkills!DH3:DJ6,3,FALSE),0),0)))/100)),1))*IF(VLOOKUP(A69,tbMoveset!A2:K112,11,FALSE)=TRUE,Backdoors!AC5,1))*DR69,0),"")</f>
        <v>0</v>
      </c>
      <c r="DV69" s="49">
        <f>VLOOKUP(A69,tbMoveset!A2:G112,7,FALSE)*IFERROR(IF(Backdoors!AI12&gt;=0,1+(IF(Calculator!E40&gt;0,VLOOKUP(Calculator!E40,tbSkills!AI3:AJ5,2,FALSE),Backdoors!AL4)*(IF((Backdoors!AI12+IF(DQ69&gt;=0.45,VLOOKUP(Calculator!E23,tbSkills!DH3:DI6,2,FALSE)+IF(AND(Calculator!B8=TRUE,Backdoors!BI20=TRUE),VLOOKUP(Calculator!E23,tbSkills!DH3:DJ6,3,FALSE),0),0))&gt;=100,100,(Backdoors!AI12+IF(DQ69&gt;=0.45,VLOOKUP(Calculator!E23,tbSkills!DH3:DI6,2,FALSE)+IF(AND(Calculator!B8=TRUE,Backdoors!BI20=TRUE),VLOOKUP(Calculator!E23,tbSkills!DH3:DJ6,3,FALSE),0),0)))/100)),1),1)</f>
        <v>0.8</v>
      </c>
      <c r="DW69" s="87">
        <f t="shared" si="68"/>
        <v>0</v>
      </c>
      <c r="DX69" s="86" t="str">
        <f>IFERROR(IF(VLOOKUP(A69,tbMoveset!A2:B112,2,FALSE)="Sever",Backdoors!AY21/100,IF(VLOOKUP(A69,tbMoveset!A2:B112,2,FALSE)="Blunt",Backdoors!AZ21/100,Backdoors!BA21/100)),"")</f>
        <v/>
      </c>
      <c r="DY69" s="49">
        <f>IFERROR(IF(VLOOKUP(tbMoveset!A69,tbMoveset!A2:H112,8,FALSE)="Other",IF(VLOOKUP(tbMoveset!A69,tbMoveset!A2:I112,9,FALSE)="Fire",Backdoors!BB21,IF(VLOOKUP(tbMoveset!A69,tbMoveset!A2:I112,9,FALSE)="Water",Backdoors!BC21,IF(VLOOKUP(tbMoveset!A69,tbMoveset!A2:I112,9,FALSE)="Thunder",Backdoors!BD21,IF(VLOOKUP(tbMoveset!A69,tbMoveset!A2:I112,9,FALSE)="Ice",Backdoors!BE21,IF(VLOOKUP(tbMoveset!A69,tbMoveset!A2:I112,9,FALSE)="Dragon",Backdoors!BF21,Backdoors!BG21)))))/100,Backdoors!BG21/100),"")</f>
        <v>0</v>
      </c>
      <c r="DZ69" s="49">
        <f>IFERROR(IF(VLOOKUP(A69,tbMoveset!A2:J112,10,FALSE)=TRUE,IF((Backdoors!AI12+IF(DX69&gt;=0.45,VLOOKUP(Calculator!E23,tbSkills!DH3:DI6,2,FALSE)+IF(AND(Calculator!B8=TRUE,Backdoors!BI21=TRUE),VLOOKUP(Calculator!E23,tbSkills!DH3:DJ6,3,FALSE),0),0))&gt;=0,1+(Backdoors!AL2*(IF((Backdoors!AI12+IF(DX69&gt;=0.45,VLOOKUP(Calculator!E23,tbSkills!DH3:DI6,2,FALSE)+IF(AND(Calculator!B8=TRUE,Backdoors!BI21=TRUE),VLOOKUP(Calculator!E23,tbSkills!DH3:DJ6,3,FALSE),0),0))&gt;=100,100,(Backdoors!AI12+IF(DX69&gt;=0.45,VLOOKUP(Calculator!E23,tbSkills!DH3:DI6,2,FALSE)+IF(AND(Calculator!B8=TRUE,Backdoors!BI21=TRUE),VLOOKUP(Calculator!E23,tbSkills!DH3:DJ6,3,FALSE),0),0)))/100)),(1-(0.25*((-Backdoors!AI12-IF(DX69&gt;=0.45,VLOOKUP(Calculator!E23,tbSkills!DH3:DI6,2,FALSE)+IF(AND(Calculator!B8=TRUE,Backdoors!BI21=TRUE),VLOOKUP(Calculator!E23,tbSkills!DH3:DJ6,3,FALSE),0),0))/100)))),1),"")</f>
        <v>1</v>
      </c>
      <c r="EA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X69)*DZ69)*(VLOOKUP(A69,tbMoveset!A2:C112,3,FALSE)/100)*IF(VLOOKUP(A69,tbMoveset!A2:B112,2,FALSE)="Projectile",Backdoors!N10,Backdoors!N9),0),"")</f>
        <v/>
      </c>
      <c r="EB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X69&gt;=0.45,VLOOKUP(Calculator!E23,tbSkills!DH3:DI6,2,FALSE)+IF(AND(Calculator!B8=TRUE,Backdoors!BI21=TRUE),VLOOKUP(Calculator!E23,tbSkills!DH3:DJ6,3,FALSE),0),0))&gt;=100,100,(Backdoors!AI12+IF(DX69&gt;=0.45,VLOOKUP(Calculator!E23,tbSkills!DH3:DI6,2,FALSE)+IF(AND(Calculator!B8=TRUE,Backdoors!BI21=TRUE),VLOOKUP(Calculator!E23,tbSkills!DH3:DJ6,3,FALSE),0),0)))/100)),1))*IF(VLOOKUP(A69,tbMoveset!A2:K112,11,FALSE)=TRUE,Backdoors!AC5,1))*DY69,0),"")</f>
        <v>0</v>
      </c>
      <c r="EC69" s="49">
        <f>VLOOKUP(A69,tbMoveset!A2:G112,7,FALSE)*IFERROR(IF(Backdoors!AI12&gt;=0,1+(IF(Calculator!E40&gt;0,VLOOKUP(Calculator!E40,tbSkills!AI3:AJ5,2,FALSE),Backdoors!AL4)*(IF((Backdoors!AI12+IF(DX69&gt;=0.45,VLOOKUP(Calculator!E23,tbSkills!DH3:DI6,2,FALSE)+IF(AND(Calculator!B8=TRUE,Backdoors!BI21=TRUE),VLOOKUP(Calculator!E23,tbSkills!DH3:DJ6,3,FALSE),0),0))&gt;=100,100,(Backdoors!AI12+IF(DX69&gt;=0.45,VLOOKUP(Calculator!E23,tbSkills!DH3:DI6,2,FALSE)+IF(AND(Calculator!B8=TRUE,Backdoors!BI21=TRUE),VLOOKUP(Calculator!E23,tbSkills!DH3:DJ6,3,FALSE),0),0)))/100)),1),1)</f>
        <v>0.8</v>
      </c>
      <c r="ED69" s="87">
        <f t="shared" si="69"/>
        <v>0</v>
      </c>
      <c r="EE69" s="86" t="str">
        <f>IFERROR(IF(VLOOKUP(A69,tbMoveset!A2:B112,2,FALSE)="Sever",Backdoors!AY22/100,IF(VLOOKUP(A69,tbMoveset!A2:B112,2,FALSE)="Blunt",Backdoors!AZ22/100,Backdoors!BA22/100)),"")</f>
        <v/>
      </c>
      <c r="EF69" s="49">
        <f>IFERROR(IF(VLOOKUP(tbMoveset!A69,tbMoveset!A2:H112,8,FALSE)="Other",IF(VLOOKUP(tbMoveset!A69,tbMoveset!A2:I112,9,FALSE)="Fire",Backdoors!BB22,IF(VLOOKUP(tbMoveset!A69,tbMoveset!A2:I112,9,FALSE)="Water",Backdoors!BC22,IF(VLOOKUP(tbMoveset!A69,tbMoveset!A2:I112,9,FALSE)="Thunder",Backdoors!BD22,IF(VLOOKUP(tbMoveset!A69,tbMoveset!A2:I112,9,FALSE)="Ice",Backdoors!BE22,IF(VLOOKUP(tbMoveset!A69,tbMoveset!A2:I112,9,FALSE)="Dragon",Backdoors!BF22,Backdoors!BG22)))))/100,Backdoors!BG22/100),"")</f>
        <v>0</v>
      </c>
      <c r="EG69" s="49">
        <f>IFERROR(IF(VLOOKUP(A69,tbMoveset!A2:J112,10,FALSE)=TRUE,IF((Backdoors!AI12+IF(EE69&gt;=0.45,VLOOKUP(Calculator!E23,tbSkills!DH3:DI6,2,FALSE)+IF(AND(Calculator!B8=TRUE,Backdoors!BI22=TRUE),VLOOKUP(Calculator!E23,tbSkills!DH3:DJ6,3,FALSE),0),0))&gt;=0,1+(Backdoors!AL2*(IF((Backdoors!AI12+IF(EE69&gt;=0.45,VLOOKUP(Calculator!E23,tbSkills!DH3:DI6,2,FALSE)+IF(AND(Calculator!B8=TRUE,Backdoors!BI22=TRUE),VLOOKUP(Calculator!E23,tbSkills!DH3:DJ6,3,FALSE),0),0))&gt;=100,100,(Backdoors!AI12+IF(EE69&gt;=0.45,VLOOKUP(Calculator!E23,tbSkills!DH3:DI6,2,FALSE)+IF(AND(Calculator!B8=TRUE,Backdoors!BI22=TRUE),VLOOKUP(Calculator!E23,tbSkills!DH3:DJ6,3,FALSE),0),0)))/100)),(1-(0.25*((-Backdoors!AI12-IF(EE69&gt;=0.45,VLOOKUP(Calculator!E23,tbSkills!DH3:DI6,2,FALSE)+IF(AND(Calculator!B8=TRUE,Backdoors!BI22=TRUE),VLOOKUP(Calculator!E23,tbSkills!DH3:DJ6,3,FALSE),0),0))/100)))),1),"")</f>
        <v>1</v>
      </c>
      <c r="EH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E69)*EG69)*(VLOOKUP(A69,tbMoveset!A2:C112,3,FALSE)/100)*IF(VLOOKUP(A69,tbMoveset!A2:B112,2,FALSE)="Projectile",Backdoors!N10,Backdoors!N9),0),"")</f>
        <v/>
      </c>
      <c r="EI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E69&gt;=0.45,VLOOKUP(Calculator!E23,tbSkills!DH3:DI6,2,FALSE)+IF(AND(Calculator!B8=TRUE,Backdoors!BI22=TRUE),VLOOKUP(Calculator!E23,tbSkills!DH3:DJ6,3,FALSE),0),0))&gt;=100,100,(Backdoors!AI12+IF(EE69&gt;=0.45,VLOOKUP(Calculator!E23,tbSkills!DH3:DI6,2,FALSE)+IF(AND(Calculator!B8=TRUE,Backdoors!BI22=TRUE),VLOOKUP(Calculator!E23,tbSkills!DH3:DJ6,3,FALSE),0),0)))/100)),1))*IF(VLOOKUP(A69,tbMoveset!A2:K112,11,FALSE)=TRUE,Backdoors!AC5,1))*EF69,0),"")</f>
        <v>0</v>
      </c>
      <c r="EJ69" s="49">
        <f>VLOOKUP(A69,tbMoveset!A2:G112,7,FALSE)*IFERROR(IF(Backdoors!AI12&gt;=0,1+(IF(Calculator!E40&gt;0,VLOOKUP(Calculator!E40,tbSkills!AI3:AJ5,2,FALSE),Backdoors!AL4)*(IF((Backdoors!AI12+IF(EE69&gt;=0.45,VLOOKUP(Calculator!E23,tbSkills!DH3:DI6,2,FALSE)+IF(AND(Calculator!B8=TRUE,Backdoors!BI22=TRUE),VLOOKUP(Calculator!E23,tbSkills!DH3:DJ6,3,FALSE),0),0))&gt;=100,100,(Backdoors!AI12+IF(EE69&gt;=0.45,VLOOKUP(Calculator!E23,tbSkills!DH3:DI6,2,FALSE)+IF(AND(Calculator!B8=TRUE,Backdoors!BI22=TRUE),VLOOKUP(Calculator!E23,tbSkills!DH3:DJ6,3,FALSE),0),0)))/100)),1),1)</f>
        <v>0.8</v>
      </c>
      <c r="EK69" s="87">
        <f t="shared" si="70"/>
        <v>0</v>
      </c>
      <c r="EL69" s="86" t="str">
        <f>IFERROR(IF(VLOOKUP(A69,tbMoveset!A2:B112,2,FALSE)="Sever",Backdoors!AY23/100,IF(VLOOKUP(A69,tbMoveset!A2:B112,2,FALSE)="Blunt",Backdoors!AZ23/100,Backdoors!BA23/100)),"")</f>
        <v/>
      </c>
      <c r="EM69" s="49">
        <f>IFERROR(IF(VLOOKUP(tbMoveset!A69,tbMoveset!A2:H112,8,FALSE)="Other",IF(VLOOKUP(tbMoveset!A69,tbMoveset!A2:I112,9,FALSE)="Fire",Backdoors!BB23,IF(VLOOKUP(tbMoveset!A69,tbMoveset!A2:I112,9,FALSE)="Water",Backdoors!BC23,IF(VLOOKUP(tbMoveset!A69,tbMoveset!A2:I112,9,FALSE)="Thunder",Backdoors!BD23,IF(VLOOKUP(tbMoveset!A69,tbMoveset!A2:I112,9,FALSE)="Ice",Backdoors!BE23,IF(VLOOKUP(tbMoveset!A69,tbMoveset!A2:I112,9,FALSE)="Dragon",Backdoors!BF23,Backdoors!BG23)))))/100,Backdoors!BG23/100),"")</f>
        <v>0</v>
      </c>
      <c r="EN69" s="49">
        <f>IFERROR(IF(VLOOKUP(A69,tbMoveset!A2:J112,10,FALSE)=TRUE,IF((Backdoors!AI12+IF(EL69&gt;=0.45,VLOOKUP(Calculator!E23,tbSkills!DH3:DI6,2,FALSE)+IF(AND(Calculator!B8=TRUE,Backdoors!BI23=TRUE),VLOOKUP(Calculator!E23,tbSkills!DH3:DJ6,3,FALSE),0),0))&gt;=0,1+(Backdoors!AL2*(IF((Backdoors!AI12+IF(EL69&gt;=0.45,VLOOKUP(Calculator!E23,tbSkills!DH3:DI6,2,FALSE)+IF(AND(Calculator!B8=TRUE,Backdoors!BI23=TRUE),VLOOKUP(Calculator!E23,tbSkills!DH3:DJ6,3,FALSE),0),0))&gt;=100,100,(Backdoors!AI12+IF(EL69&gt;=0.45,VLOOKUP(Calculator!E23,tbSkills!DH3:DI6,2,FALSE)+IF(AND(Calculator!B8=TRUE,Backdoors!BI23=TRUE),VLOOKUP(Calculator!E23,tbSkills!DH3:DJ6,3,FALSE),0),0)))/100)),(1-(0.25*((-Backdoors!AI12-IF(EL69&gt;=0.45,VLOOKUP(Calculator!E23,tbSkills!DH3:DI6,2,FALSE)+IF(AND(Calculator!B8=TRUE,Backdoors!BI23=TRUE),VLOOKUP(Calculator!E23,tbSkills!DH3:DJ6,3,FALSE),0),0))/100)))),1),"")</f>
        <v>1</v>
      </c>
      <c r="EO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L69)*EN69)*(VLOOKUP(A69,tbMoveset!A2:C112,3,FALSE)/100)*IF(VLOOKUP(A69,tbMoveset!A2:B112,2,FALSE)="Projectile",Backdoors!N10,Backdoors!N9),0),"")</f>
        <v/>
      </c>
      <c r="EP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L69&gt;=0.45,VLOOKUP(Calculator!E23,tbSkills!DH3:DI6,2,FALSE)+IF(AND(Calculator!B8=TRUE,Backdoors!BI23=TRUE),VLOOKUP(Calculator!E23,tbSkills!DH3:DJ6,3,FALSE),0),0))&gt;=100,100,(Backdoors!AI12+IF(EL69&gt;=0.45,VLOOKUP(Calculator!E23,tbSkills!DH3:DI6,2,FALSE)+IF(AND(Calculator!B8=TRUE,Backdoors!BI23=TRUE),VLOOKUP(Calculator!E23,tbSkills!DH3:DJ6,3,FALSE),0),0)))/100)),1))*IF(VLOOKUP(A69,tbMoveset!A2:K112,11,FALSE)=TRUE,Backdoors!AC5,1))*EM69,0),"")</f>
        <v>0</v>
      </c>
      <c r="EQ69" s="49">
        <f>VLOOKUP(A69,tbMoveset!A2:G112,7,FALSE)*IFERROR(IF(Backdoors!AI12&gt;=0,1+(IF(Calculator!E40&gt;0,VLOOKUP(Calculator!E40,tbSkills!AI3:AJ5,2,FALSE),Backdoors!AL4)*(IF((Backdoors!AI12+IF(EL69&gt;=0.45,VLOOKUP(Calculator!E23,tbSkills!DH3:DI6,2,FALSE)+IF(AND(Calculator!B8=TRUE,Backdoors!BI23=TRUE),VLOOKUP(Calculator!E23,tbSkills!DH3:DJ6,3,FALSE),0),0))&gt;=100,100,(Backdoors!AI12+IF(EL69&gt;=0.45,VLOOKUP(Calculator!E23,tbSkills!DH3:DI6,2,FALSE)+IF(AND(Calculator!B8=TRUE,Backdoors!BI23=TRUE),VLOOKUP(Calculator!E23,tbSkills!DH3:DJ6,3,FALSE),0),0)))/100)),1),1)</f>
        <v>0.8</v>
      </c>
      <c r="ER69" s="87">
        <f t="shared" si="71"/>
        <v>0</v>
      </c>
      <c r="ES69" s="86" t="str">
        <f>IFERROR(IF(VLOOKUP(A69,tbMoveset!A2:B112,2,FALSE)="Sever",Backdoors!AY24/100,IF(VLOOKUP(A69,tbMoveset!A2:B112,2,FALSE)="Blunt",Backdoors!AZ24/100,Backdoors!BA24/100)),"")</f>
        <v/>
      </c>
      <c r="ET69" s="49">
        <f>IFERROR(IF(VLOOKUP(tbMoveset!A69,tbMoveset!A2:H112,8,FALSE)="Other",IF(VLOOKUP(tbMoveset!A69,tbMoveset!A2:I112,9,FALSE)="Fire",Backdoors!BB24,IF(VLOOKUP(tbMoveset!A69,tbMoveset!A2:I112,9,FALSE)="Water",Backdoors!BC24,IF(VLOOKUP(tbMoveset!A69,tbMoveset!A2:I112,9,FALSE)="Thunder",Backdoors!BD24,IF(VLOOKUP(tbMoveset!A69,tbMoveset!A2:I112,9,FALSE)="Ice",Backdoors!BE24,IF(VLOOKUP(tbMoveset!A69,tbMoveset!A2:I112,9,FALSE)="Dragon",Backdoors!BF24,Backdoors!BG24)))))/100,Backdoors!BG24/100),"")</f>
        <v>0</v>
      </c>
      <c r="EU69" s="49">
        <f>IFERROR(IF(VLOOKUP(A69,tbMoveset!A2:J112,10,FALSE)=TRUE,IF((Backdoors!AI12+IF(ES69&gt;=0.45,VLOOKUP(Calculator!E23,tbSkills!DH3:DI6,2,FALSE)+IF(AND(Calculator!B8=TRUE,Backdoors!BI24=TRUE),VLOOKUP(Calculator!E23,tbSkills!DH3:DJ6,3,FALSE),0),0))&gt;=0,1+(Backdoors!AL2*(IF((Backdoors!AI12+IF(ES69&gt;=0.45,VLOOKUP(Calculator!E23,tbSkills!DH3:DI6,2,FALSE)+IF(AND(Calculator!B8=TRUE,Backdoors!BI24=TRUE),VLOOKUP(Calculator!E23,tbSkills!DH3:DJ6,3,FALSE),0),0))&gt;=100,100,(Backdoors!AI12+IF(ES69&gt;=0.45,VLOOKUP(Calculator!E23,tbSkills!DH3:DI6,2,FALSE)+IF(AND(Calculator!B8=TRUE,Backdoors!BI24=TRUE),VLOOKUP(Calculator!E23,tbSkills!DH3:DJ6,3,FALSE),0),0)))/100)),(1-(0.25*((-Backdoors!AI12-IF(ES69&gt;=0.45,VLOOKUP(Calculator!E23,tbSkills!DH3:DI6,2,FALSE)+IF(AND(Calculator!B8=TRUE,Backdoors!BI24=TRUE),VLOOKUP(Calculator!E23,tbSkills!DH3:DJ6,3,FALSE),0),0))/100)))),1),"")</f>
        <v>1</v>
      </c>
      <c r="EV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S69)*EU69)*(VLOOKUP(A69,tbMoveset!A2:C112,3,FALSE)/100)*IF(VLOOKUP(A69,tbMoveset!A2:B112,2,FALSE)="Projectile",Backdoors!N10,Backdoors!N9),0),"")</f>
        <v/>
      </c>
      <c r="EW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S69&gt;=0.45,VLOOKUP(Calculator!E23,tbSkills!DH3:DI6,2,FALSE)+IF(AND(Calculator!B8=TRUE,Backdoors!BI24=TRUE),VLOOKUP(Calculator!E23,tbSkills!DH3:DJ6,3,FALSE),0),0))&gt;=100,100,(Backdoors!AI12+IF(ES69&gt;=0.45,VLOOKUP(Calculator!E23,tbSkills!DH3:DI6,2,FALSE)+IF(AND(Calculator!B8=TRUE,Backdoors!BI24=TRUE),VLOOKUP(Calculator!E23,tbSkills!DH3:DJ6,3,FALSE),0),0)))/100)),1))*IF(VLOOKUP(A69,tbMoveset!A2:K112,11,FALSE)=TRUE,Backdoors!AC5,1))*ET69,0),"")</f>
        <v>0</v>
      </c>
      <c r="EX69" s="49">
        <f>VLOOKUP(A69,tbMoveset!A2:G112,7,FALSE)*IFERROR(IF(Backdoors!AI12&gt;=0,1+(IF(Calculator!E40&gt;0,VLOOKUP(Calculator!E40,tbSkills!AI3:AJ5,2,FALSE),Backdoors!AL4)*(IF((Backdoors!AI12+IF(ES69&gt;=0.45,VLOOKUP(Calculator!E23,tbSkills!DH3:DI6,2,FALSE)+IF(AND(Calculator!B8=TRUE,Backdoors!BI24=TRUE),VLOOKUP(Calculator!E23,tbSkills!DH3:DJ6,3,FALSE),0),0))&gt;=100,100,(Backdoors!AI12+IF(ES69&gt;=0.45,VLOOKUP(Calculator!E23,tbSkills!DH3:DI6,2,FALSE)+IF(AND(Calculator!B8=TRUE,Backdoors!BI24=TRUE),VLOOKUP(Calculator!E23,tbSkills!DH3:DJ6,3,FALSE),0),0)))/100)),1),1)</f>
        <v>0.8</v>
      </c>
      <c r="EY69" s="87">
        <f t="shared" si="72"/>
        <v>0</v>
      </c>
      <c r="EZ69" s="86" t="str">
        <f>IFERROR(IF(VLOOKUP(A69,tbMoveset!A2:B112,2,FALSE)="Sever",Backdoors!AY25/100,IF(VLOOKUP(A69,tbMoveset!A2:B112,2,FALSE)="Blunt",Backdoors!AZ25/100,Backdoors!BA25/100)),"")</f>
        <v/>
      </c>
      <c r="FA69" s="49">
        <f>IFERROR(IF(VLOOKUP(tbMoveset!A69,tbMoveset!A2:H112,8,FALSE)="Other",IF(VLOOKUP(tbMoveset!A69,tbMoveset!A2:I112,9,FALSE)="Fire",Backdoors!BB25,IF(VLOOKUP(tbMoveset!A69,tbMoveset!A2:I112,9,FALSE)="Water",Backdoors!BC25,IF(VLOOKUP(tbMoveset!A69,tbMoveset!A2:I112,9,FALSE)="Thunder",Backdoors!BD25,IF(VLOOKUP(tbMoveset!A69,tbMoveset!A2:I112,9,FALSE)="Ice",Backdoors!BE25,IF(VLOOKUP(tbMoveset!A69,tbMoveset!A2:I112,9,FALSE)="Dragon",Backdoors!BF25,Backdoors!BG25)))))/100,Backdoors!BG25/100),"")</f>
        <v>0</v>
      </c>
      <c r="FB69" s="49">
        <f>IFERROR(IF(VLOOKUP(A69,tbMoveset!A2:J112,10,FALSE)=TRUE,IF((Backdoors!AI12+IF(EZ69&gt;=0.45,VLOOKUP(Calculator!E23,tbSkills!DH3:DI6,2,FALSE)+IF(AND(Calculator!B8=TRUE,Backdoors!BI25=TRUE),VLOOKUP(Calculator!E23,tbSkills!DH3:DJ6,3,FALSE),0),0))&gt;=0,1+(Backdoors!AL2*(IF((Backdoors!AI12+IF(EZ69&gt;=0.45,VLOOKUP(Calculator!E23,tbSkills!DH3:DI6,2,FALSE)+IF(AND(Calculator!B8=TRUE,Backdoors!BI25=TRUE),VLOOKUP(Calculator!E23,tbSkills!DH3:DJ6,3,FALSE),0),0))&gt;=100,100,(Backdoors!AI12+IF(EZ69&gt;=0.45,VLOOKUP(Calculator!E23,tbSkills!DH3:DI6,2,FALSE)+IF(AND(Calculator!B8=TRUE,Backdoors!BI25=TRUE),VLOOKUP(Calculator!E23,tbSkills!DH3:DJ6,3,FALSE),0),0)))/100)),(1-(0.25*((-Backdoors!AI12-IF(EZ69&gt;=0.45,VLOOKUP(Calculator!E23,tbSkills!DH3:DI6,2,FALSE)+IF(AND(Calculator!B8=TRUE,Backdoors!BI25=TRUE),VLOOKUP(Calculator!E23,tbSkills!DH3:DJ6,3,FALSE),0),0))/100)))),1),"")</f>
        <v>1</v>
      </c>
      <c r="FC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Z69)*FB69)*(VLOOKUP(A69,tbMoveset!A2:C112,3,FALSE)/100)*IF(VLOOKUP(A69,tbMoveset!A2:B112,2,FALSE)="Projectile",Backdoors!N10,Backdoors!N9),0),"")</f>
        <v/>
      </c>
      <c r="FD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Z69&gt;=0.45,VLOOKUP(Calculator!E23,tbSkills!DH3:DI6,2,FALSE)+IF(AND(Calculator!B8=TRUE,Backdoors!BI25=TRUE),VLOOKUP(Calculator!E23,tbSkills!DH3:DJ6,3,FALSE),0),0))&gt;=100,100,(Backdoors!AI12+IF(EZ69&gt;=0.45,VLOOKUP(Calculator!E23,tbSkills!DH3:DI6,2,FALSE)+IF(AND(Calculator!B8=TRUE,Backdoors!BI25=TRUE),VLOOKUP(Calculator!E23,tbSkills!DH3:DJ6,3,FALSE),0),0)))/100)),1))*IF(VLOOKUP(A69,tbMoveset!A2:K112,11,FALSE)=TRUE,Backdoors!AC5,1))*FA69,0),"")</f>
        <v>0</v>
      </c>
      <c r="FE69" s="49">
        <f>VLOOKUP(A69,tbMoveset!A2:G112,7,FALSE)*IFERROR(IF(Backdoors!AI12&gt;=0,1+(IF(Calculator!E40&gt;0,VLOOKUP(Calculator!E40,tbSkills!AI3:AJ5,2,FALSE),Backdoors!AL4)*(IF((Backdoors!AI12+IF(EZ69&gt;=0.45,VLOOKUP(Calculator!E23,tbSkills!DH3:DI6,2,FALSE)+IF(AND(Calculator!B8=TRUE,Backdoors!BI25=TRUE),VLOOKUP(Calculator!E23,tbSkills!DH3:DJ6,3,FALSE),0),0))&gt;=100,100,(Backdoors!AI12+IF(EZ69&gt;=0.45,VLOOKUP(Calculator!E23,tbSkills!DH3:DI6,2,FALSE)+IF(AND(Calculator!B8=TRUE,Backdoors!BI25=TRUE),VLOOKUP(Calculator!E23,tbSkills!DH3:DJ6,3,FALSE),0),0)))/100)),1),1)</f>
        <v>0.8</v>
      </c>
      <c r="FF69" s="87">
        <f t="shared" si="73"/>
        <v>0</v>
      </c>
      <c r="FG69" s="86" t="str">
        <f>IFERROR(IF(VLOOKUP(A69,tbMoveset!A2:B112,2,FALSE)="Sever",Backdoors!AY26/100,IF(VLOOKUP(A69,tbMoveset!A2:B112,2,FALSE)="Blunt",Backdoors!AZ26/100,Backdoors!BA26/100)),"")</f>
        <v/>
      </c>
      <c r="FH69" s="49">
        <f>IFERROR(IF(VLOOKUP(tbMoveset!A69,tbMoveset!A2:H112,8,FALSE)="Other",IF(VLOOKUP(tbMoveset!A69,tbMoveset!A2:I112,9,FALSE)="Fire",Backdoors!BB26,IF(VLOOKUP(tbMoveset!A69,tbMoveset!A2:I112,9,FALSE)="Water",Backdoors!BC26,IF(VLOOKUP(tbMoveset!A69,tbMoveset!A2:I112,9,FALSE)="Thunder",Backdoors!BD26,IF(VLOOKUP(tbMoveset!A69,tbMoveset!A2:I112,9,FALSE)="Ice",Backdoors!BE26,IF(VLOOKUP(tbMoveset!A69,tbMoveset!A2:I112,9,FALSE)="Dragon",Backdoors!BF26,Backdoors!BG26)))))/100,Backdoors!BG26/100),"")</f>
        <v>0</v>
      </c>
      <c r="FI69" s="49">
        <f>IFERROR(IF(VLOOKUP(A69,tbMoveset!A2:J112,10,FALSE)=TRUE,IF((Backdoors!AI12+IF(FG69&gt;=0.45,VLOOKUP(Calculator!E23,tbSkills!DH3:DI6,2,FALSE)+IF(AND(Calculator!B8=TRUE,Backdoors!BI26=TRUE),VLOOKUP(Calculator!E23,tbSkills!DH3:DJ6,3,FALSE),0),0))&gt;=0,1+(Backdoors!AL2*(IF((Backdoors!AI12+IF(FG69&gt;=0.45,VLOOKUP(Calculator!E23,tbSkills!DH3:DI6,2,FALSE)+IF(AND(Calculator!B8=TRUE,Backdoors!BI26=TRUE),VLOOKUP(Calculator!E23,tbSkills!DH3:DJ6,3,FALSE),0),0))&gt;=100,100,(Backdoors!AI12+IF(FG69&gt;=0.45,VLOOKUP(Calculator!E23,tbSkills!DH3:DI6,2,FALSE)+IF(AND(Calculator!B8=TRUE,Backdoors!BI26=TRUE),VLOOKUP(Calculator!E23,tbSkills!DH3:DJ6,3,FALSE),0),0)))/100)),(1-(0.25*((-Backdoors!AI12-IF(FG69&gt;=0.45,VLOOKUP(Calculator!E23,tbSkills!DH3:DI6,2,FALSE)+IF(AND(Calculator!B8=TRUE,Backdoors!BI26=TRUE),VLOOKUP(Calculator!E23,tbSkills!DH3:DJ6,3,FALSE),0),0))/100)))),1),"")</f>
        <v>1</v>
      </c>
      <c r="FJ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FG69)*FI69)*(VLOOKUP(A69,tbMoveset!A2:C112,3,FALSE)/100)*IF(VLOOKUP(A69,tbMoveset!A2:B112,2,FALSE)="Projectile",Backdoors!N10,Backdoors!N9),0),"")</f>
        <v/>
      </c>
      <c r="FK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FG69&gt;=0.45,VLOOKUP(Calculator!E23,tbSkills!DH3:DI6,2,FALSE)+IF(AND(Calculator!B8=TRUE,Backdoors!BI26=TRUE),VLOOKUP(Calculator!E23,tbSkills!DH3:DJ6,3,FALSE),0),0))&gt;=100,100,(Backdoors!AI12+IF(FG69&gt;=0.45,VLOOKUP(Calculator!E23,tbSkills!DH3:DI6,2,FALSE)+IF(AND(Calculator!B8=TRUE,Backdoors!BI26=TRUE),VLOOKUP(Calculator!E23,tbSkills!DH3:DJ6,3,FALSE),0),0)))/100)),1))*IF(VLOOKUP(A69,tbMoveset!A2:K112,11,FALSE)=TRUE,Backdoors!AC5,1))*FH69,0),"")</f>
        <v>0</v>
      </c>
      <c r="FL69" s="49">
        <f>VLOOKUP(A69,tbMoveset!A2:G112,7,FALSE)*IFERROR(IF(Backdoors!AI12&gt;=0,1+(IF(Calculator!E40&gt;0,VLOOKUP(Calculator!E40,tbSkills!AI3:AJ5,2,FALSE),Backdoors!AL4)*(IF((Backdoors!AI12+IF(FG69&gt;=0.45,VLOOKUP(Calculator!E23,tbSkills!DH3:DI6,2,FALSE)+IF(AND(Calculator!B8=TRUE,Backdoors!BI26=TRUE),VLOOKUP(Calculator!E23,tbSkills!DH3:DJ6,3,FALSE),0),0))&gt;=100,100,(Backdoors!AI12+IF(FG69&gt;=0.45,VLOOKUP(Calculator!E23,tbSkills!DH3:DI6,2,FALSE)+IF(AND(Calculator!B8=TRUE,Backdoors!BI26=TRUE),VLOOKUP(Calculator!E23,tbSkills!DH3:DJ6,3,FALSE),0),0)))/100)),1),1)</f>
        <v>0.8</v>
      </c>
      <c r="FM69" s="87">
        <f t="shared" si="74"/>
        <v>0</v>
      </c>
      <c r="FN69" s="86" t="str">
        <f>IFERROR(IF(VLOOKUP(A69,tbMoveset!A2:B112,2,FALSE)="Sever",Backdoors!AY27/100,IF(VLOOKUP(A69,tbMoveset!A2:B112,2,FALSE)="Blunt",Backdoors!AZ27/100,Backdoors!BA27/100)),"")</f>
        <v/>
      </c>
      <c r="FO69" s="49">
        <f>IFERROR(IF(VLOOKUP(tbMoveset!A69,tbMoveset!A2:H112,8,FALSE)="Other",IF(VLOOKUP(tbMoveset!A69,tbMoveset!A2:I112,9,FALSE)="Fire",Backdoors!BB27,IF(VLOOKUP(tbMoveset!A69,tbMoveset!A2:I112,9,FALSE)="Water",Backdoors!BC27,IF(VLOOKUP(tbMoveset!A69,tbMoveset!A2:I112,9,FALSE)="Thunder",Backdoors!BD27,IF(VLOOKUP(tbMoveset!A69,tbMoveset!A2:I112,9,FALSE)="Ice",Backdoors!BE27,IF(VLOOKUP(tbMoveset!A69,tbMoveset!A2:I112,9,FALSE)="Dragon",Backdoors!BF27,Backdoors!BG27)))))/100,Backdoors!BG27/100),"")</f>
        <v>0</v>
      </c>
      <c r="FP69" s="49">
        <f>IFERROR(IF(VLOOKUP(A69,tbMoveset!A2:J112,10,FALSE)=TRUE,IF((Backdoors!AI12+IF(FN69&gt;=0.45,VLOOKUP(Calculator!E23,tbSkills!DH3:DI6,2,FALSE)+IF(AND(Calculator!B8=TRUE,Backdoors!BI27=TRUE),VLOOKUP(Calculator!E23,tbSkills!DH3:DJ6,3,FALSE),0),0))&gt;=0,1+(Backdoors!AL2*(IF((Backdoors!AI12+IF(FN69&gt;=0.45,VLOOKUP(Calculator!E23,tbSkills!DH3:DI6,2,FALSE)+IF(AND(Calculator!B8=TRUE,Backdoors!BI27=TRUE),VLOOKUP(Calculator!E23,tbSkills!DH3:DJ6,3,FALSE),0),0))&gt;=100,100,(Backdoors!AI12+IF(FN69&gt;=0.45,VLOOKUP(Calculator!E23,tbSkills!DH3:DI6,2,FALSE)+IF(AND(Calculator!B8=TRUE,Backdoors!BI27=TRUE),VLOOKUP(Calculator!E23,tbSkills!DH3:DJ6,3,FALSE),0),0)))/100)),(1-(0.25*((-Backdoors!AI12-IF(FN69&gt;=0.45,VLOOKUP(Calculator!E23,tbSkills!DH3:DI6,2,FALSE)+IF(AND(Calculator!B8=TRUE,Backdoors!BI27=TRUE),VLOOKUP(Calculator!E23,tbSkills!DH3:DJ6,3,FALSE),0),0))/100)))),1),"")</f>
        <v>1</v>
      </c>
      <c r="FQ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FN69)*FP69)*(VLOOKUP(A69,tbMoveset!A2:C112,3,FALSE)/100)*IF(VLOOKUP(A69,tbMoveset!A2:B112,2,FALSE)="Projectile",Backdoors!N10,Backdoors!N9),0),"")</f>
        <v/>
      </c>
      <c r="FR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FN69&gt;=0.45,VLOOKUP(Calculator!E23,tbSkills!DH3:DI6,2,FALSE)+IF(AND(Calculator!B8=TRUE,Backdoors!BI27=TRUE),VLOOKUP(Calculator!E23,tbSkills!DH3:DJ6,3,FALSE),0),0))&gt;=100,100,(Backdoors!AI12+IF(FN69&gt;=0.45,VLOOKUP(Calculator!E23,tbSkills!DH3:DI6,2,FALSE)+IF(AND(Calculator!B8=TRUE,Backdoors!BI27=TRUE),VLOOKUP(Calculator!E23,tbSkills!DH3:DJ6,3,FALSE),0),0)))/100)),1))*IF(VLOOKUP(A69,tbMoveset!A2:K112,11,FALSE)=TRUE,Backdoors!AC5,1))*FO69,0),"")</f>
        <v>0</v>
      </c>
      <c r="FS69" s="49">
        <f>VLOOKUP(A69,tbMoveset!A2:G112,7,FALSE)*IFERROR(IF(Backdoors!AI12&gt;=0,1+(IF(Calculator!E40&gt;0,VLOOKUP(Calculator!E40,tbSkills!AI3:AJ5,2,FALSE),Backdoors!AL4)*(IF((Backdoors!AI12+IF(FN69&gt;=0.45,VLOOKUP(Calculator!E23,tbSkills!DH3:DI6,2,FALSE)+IF(AND(Calculator!B8=TRUE,Backdoors!BI27=TRUE),VLOOKUP(Calculator!E23,tbSkills!DH3:DJ6,3,FALSE),0),0))&gt;=100,100,(Backdoors!AI12+IF(FN69&gt;=0.45,VLOOKUP(Calculator!E23,tbSkills!DH3:DI6,2,FALSE)+IF(AND(Calculator!B8=TRUE,Backdoors!BI27=TRUE),VLOOKUP(Calculator!E23,tbSkills!DH3:DJ6,3,FALSE),0),0)))/100)),1),1)</f>
        <v>0.8</v>
      </c>
      <c r="FT69" s="87">
        <f t="shared" si="75"/>
        <v>0</v>
      </c>
      <c r="FU69" s="86" t="str">
        <f>IFERROR(IF(VLOOKUP(A69,tbMoveset!A2:B112,2,FALSE)="Sever",Backdoors!AY28/100,IF(VLOOKUP(A69,tbMoveset!A2:B112,2,FALSE)="Blunt",Backdoors!AZ28/100,Backdoors!BA28/100)),"")</f>
        <v/>
      </c>
      <c r="FV69" s="49">
        <f>IFERROR(IF(VLOOKUP(tbMoveset!A69,tbMoveset!A2:H112,8,FALSE)="Other",IF(VLOOKUP(tbMoveset!A69,tbMoveset!A2:I112,9,FALSE)="Fire",Backdoors!BB28,IF(VLOOKUP(tbMoveset!A69,tbMoveset!A2:I112,9,FALSE)="Water",Backdoors!BC28,IF(VLOOKUP(tbMoveset!A69,tbMoveset!A2:I112,9,FALSE)="Thunder",Backdoors!BD28,IF(VLOOKUP(tbMoveset!A69,tbMoveset!A2:I112,9,FALSE)="Ice",Backdoors!BE28,IF(VLOOKUP(tbMoveset!A69,tbMoveset!A2:I112,9,FALSE)="Dragon",Backdoors!BF28,Backdoors!BG28)))))/100,Backdoors!BG28/100),"")</f>
        <v>0</v>
      </c>
      <c r="FW69" s="49">
        <f>IFERROR(IF(VLOOKUP(A69,tbMoveset!A2:J112,10,FALSE)=TRUE,IF((Backdoors!AI12+IF(FU69&gt;=0.45,VLOOKUP(Calculator!E23,tbSkills!DH3:DI6,2,FALSE)+IF(AND(Calculator!B8=TRUE,Backdoors!BI28=TRUE),VLOOKUP(Calculator!E23,tbSkills!DH3:DJ6,3,FALSE),0),0))&gt;=0,1+(Backdoors!AL2*(IF((Backdoors!AI12+IF(FU69&gt;=0.45,VLOOKUP(Calculator!E23,tbSkills!DH3:DI6,2,FALSE)+IF(AND(Calculator!B8=TRUE,Backdoors!BI28=TRUE),VLOOKUP(Calculator!E23,tbSkills!DH3:DJ6,3,FALSE),0),0))&gt;=100,100,(Backdoors!AI12+IF(FU69&gt;=0.45,VLOOKUP(Calculator!E23,tbSkills!DH3:DI6,2,FALSE)+IF(AND(Calculator!B8=TRUE,Backdoors!BI28=TRUE),VLOOKUP(Calculator!E23,tbSkills!DH3:DJ6,3,FALSE),0),0)))/100)),(1-(0.25*((-Backdoors!AI12-IF(FU69&gt;=0.45,VLOOKUP(Calculator!E23,tbSkills!DH3:DI6,2,FALSE)+IF(AND(Calculator!B8=TRUE,Backdoors!BI28=TRUE),VLOOKUP(Calculator!E23,tbSkills!DH3:DJ6,3,FALSE),0),0))/100)))),1),"")</f>
        <v>1</v>
      </c>
      <c r="FX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FU69)*FW69)*(VLOOKUP(A69,tbMoveset!A2:C112,3,FALSE)/100)*IF(VLOOKUP(A69,tbMoveset!A2:B112,2,FALSE)="Projectile",Backdoors!N10,Backdoors!N9),0),"")</f>
        <v/>
      </c>
      <c r="FY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FU69&gt;=0.45,VLOOKUP(Calculator!E23,tbSkills!DH3:DI6,2,FALSE)+IF(AND(Calculator!B8=TRUE,Backdoors!BI28=TRUE),VLOOKUP(Calculator!E23,tbSkills!DH3:DJ6,3,FALSE),0),0))&gt;=100,100,(Backdoors!AI12+IF(FU69&gt;=0.45,VLOOKUP(Calculator!E23,tbSkills!DH3:DI6,2,FALSE)+IF(AND(Calculator!B8=TRUE,Backdoors!BI28=TRUE),VLOOKUP(Calculator!E23,tbSkills!DH3:DJ6,3,FALSE),0),0)))/100)),1))*IF(VLOOKUP(A69,tbMoveset!A2:K112,11,FALSE)=TRUE,Backdoors!AC5,1))*FV69,0),"")</f>
        <v>0</v>
      </c>
      <c r="FZ69" s="49">
        <f>VLOOKUP(A69,tbMoveset!A2:G112,7,FALSE)*IFERROR(IF(Backdoors!AI12&gt;=0,1+(IF(Calculator!E40&gt;0,VLOOKUP(Calculator!E40,tbSkills!AI3:AJ5,2,FALSE),Backdoors!AL4)*(IF((Backdoors!AI12+IF(FU69&gt;=0.45,VLOOKUP(Calculator!E23,tbSkills!DH3:DI6,2,FALSE)+IF(AND(Calculator!B8=TRUE,Backdoors!BI28=TRUE),VLOOKUP(Calculator!E23,tbSkills!DH3:DJ6,3,FALSE),0),0))&gt;=100,100,(Backdoors!AI12+IF(FU69&gt;=0.45,VLOOKUP(Calculator!E23,tbSkills!DH3:DI6,2,FALSE)+IF(AND(Calculator!B8=TRUE,Backdoors!BI28=TRUE),VLOOKUP(Calculator!E23,tbSkills!DH3:DJ6,3,FALSE),0),0)))/100)),1),1)</f>
        <v>0.8</v>
      </c>
      <c r="GA69" s="87">
        <f t="shared" si="76"/>
        <v>0</v>
      </c>
      <c r="GB69" s="86" t="str">
        <f>IFERROR(IF(VLOOKUP(A69,tbMoveset!A2:B112,2,FALSE)="Sever",Backdoors!AY29/100,IF(VLOOKUP(A69,tbMoveset!A2:B112,2,FALSE)="Blunt",Backdoors!AZ29/100,Backdoors!BA29/100)),"")</f>
        <v/>
      </c>
      <c r="GC69" s="49">
        <f>IFERROR(IF(VLOOKUP(tbMoveset!A69,tbMoveset!A2:H112,8,FALSE)="Other",IF(VLOOKUP(tbMoveset!A69,tbMoveset!A2:I112,9,FALSE)="Fire",Backdoors!BB29,IF(VLOOKUP(tbMoveset!A69,tbMoveset!A2:I112,9,FALSE)="Water",Backdoors!BC29,IF(VLOOKUP(tbMoveset!A69,tbMoveset!A2:I112,9,FALSE)="Thunder",Backdoors!BD29,IF(VLOOKUP(tbMoveset!A69,tbMoveset!A2:I112,9,FALSE)="Ice",Backdoors!BE29,IF(VLOOKUP(tbMoveset!A69,tbMoveset!A2:I112,9,FALSE)="Dragon",Backdoors!BF29,Backdoors!BG29)))))/100,Backdoors!BG29/100),"")</f>
        <v>0</v>
      </c>
      <c r="GD69" s="49">
        <f>IFERROR(IF(VLOOKUP(A69,tbMoveset!A2:J112,10,FALSE)=TRUE,IF((Backdoors!AI12+IF(GB69&gt;=0.45,VLOOKUP(Calculator!E23,tbSkills!DH3:DI6,2,FALSE)+IF(AND(Calculator!B8=TRUE,Backdoors!BI29=TRUE),VLOOKUP(Calculator!E23,tbSkills!DH3:DJ6,3,FALSE),0),0))&gt;=0,1+(Backdoors!AL2*(IF((Backdoors!AI12+IF(GB69&gt;=0.45,VLOOKUP(Calculator!E23,tbSkills!DH3:DI6,2,FALSE)+IF(AND(Calculator!B8=TRUE,Backdoors!BI29=TRUE),VLOOKUP(Calculator!E23,tbSkills!DH3:DJ6,3,FALSE),0),0))&gt;=100,100,(Backdoors!AI12+IF(GB69&gt;=0.45,VLOOKUP(Calculator!E23,tbSkills!DH3:DI6,2,FALSE)+IF(AND(Calculator!B8=TRUE,Backdoors!BI29=TRUE),VLOOKUP(Calculator!E23,tbSkills!DH3:DJ6,3,FALSE),0),0)))/100)),(1-(0.25*((-Backdoors!AI12-IF(GB69&gt;=0.45,VLOOKUP(Calculator!E23,tbSkills!DH3:DI6,2,FALSE)+IF(AND(Calculator!B8=TRUE,Backdoors!BI29=TRUE),VLOOKUP(Calculator!E23,tbSkills!DH3:DJ6,3,FALSE),0),0))/100)))),1),"")</f>
        <v>1</v>
      </c>
      <c r="GE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B69)*GD69)*(VLOOKUP(A69,tbMoveset!A2:C112,3,FALSE)/100)*IF(VLOOKUP(A69,tbMoveset!A2:B112,2,FALSE)="Projectile",Backdoors!N10,Backdoors!N9),0),"")</f>
        <v/>
      </c>
      <c r="GF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B69&gt;=0.45,VLOOKUP(Calculator!E23,tbSkills!DH3:DI6,2,FALSE)+IF(AND(Calculator!B8=TRUE,Backdoors!BI29=TRUE),VLOOKUP(Calculator!E23,tbSkills!DH3:DJ6,3,FALSE),0),0))&gt;=100,100,(Backdoors!AI12+IF(GB69&gt;=0.45,VLOOKUP(Calculator!E23,tbSkills!DH3:DI6,2,FALSE)+IF(AND(Calculator!B8=TRUE,Backdoors!BI29=TRUE),VLOOKUP(Calculator!E23,tbSkills!DH3:DJ6,3,FALSE),0),0)))/100)),1))*IF(VLOOKUP(A69,tbMoveset!A2:K112,11,FALSE)=TRUE,Backdoors!AC5,1))*GC69,0),"")</f>
        <v>0</v>
      </c>
      <c r="GG69" s="49">
        <f>VLOOKUP(A69,tbMoveset!A2:G112,7,FALSE)*IFERROR(IF(Backdoors!AI12&gt;=0,1+(IF(Calculator!E40&gt;0,VLOOKUP(Calculator!E40,tbSkills!AI3:AJ5,2,FALSE),Backdoors!AL4)*(IF((Backdoors!AI12+IF(GB69&gt;=0.45,VLOOKUP(Calculator!E23,tbSkills!DH3:DI6,2,FALSE)+IF(AND(Calculator!B8=TRUE,Backdoors!BI29=TRUE),VLOOKUP(Calculator!E23,tbSkills!DH3:DJ6,3,FALSE),0),0))&gt;=100,100,(Backdoors!AI12+IF(GB69&gt;=0.45,VLOOKUP(Calculator!E23,tbSkills!DH3:DI6,2,FALSE)+IF(AND(Calculator!B8=TRUE,Backdoors!BI29=TRUE),VLOOKUP(Calculator!E23,tbSkills!DH3:DJ6,3,FALSE),0),0)))/100)),1),1)</f>
        <v>0.8</v>
      </c>
      <c r="GH69" s="87">
        <f t="shared" si="77"/>
        <v>0</v>
      </c>
      <c r="GI69" s="86" t="str">
        <f>IFERROR(IF(VLOOKUP(A69,tbMoveset!A2:B112,2,FALSE)="Sever",Backdoors!AY30/100,IF(VLOOKUP(A69,tbMoveset!A2:B112,2,FALSE)="Blunt",Backdoors!AZ30/100,Backdoors!BA30/100)),"")</f>
        <v/>
      </c>
      <c r="GJ69" s="49">
        <f>IFERROR(IF(VLOOKUP(tbMoveset!A69,tbMoveset!A2:H112,8,FALSE)="Other",IF(VLOOKUP(tbMoveset!A69,tbMoveset!A2:I112,9,FALSE)="Fire",Backdoors!BB30,IF(VLOOKUP(tbMoveset!A69,tbMoveset!A2:I112,9,FALSE)="Water",Backdoors!BC30,IF(VLOOKUP(tbMoveset!A69,tbMoveset!A2:I112,9,FALSE)="Thunder",Backdoors!BD30,IF(VLOOKUP(tbMoveset!A69,tbMoveset!A2:I112,9,FALSE)="Ice",Backdoors!BE30,IF(VLOOKUP(tbMoveset!A69,tbMoveset!A2:I112,9,FALSE)="Dragon",Backdoors!BF30,Backdoors!BG30)))))/100,Backdoors!BG30/100),"")</f>
        <v>0</v>
      </c>
      <c r="GK69" s="49">
        <f>IFERROR(IF(VLOOKUP(A69,tbMoveset!A2:J112,10,FALSE)=TRUE,IF((Backdoors!AI12+IF(GI69&gt;=0.45,VLOOKUP(Calculator!E23,tbSkills!DH3:DI6,2,FALSE)+IF(AND(Calculator!B8=TRUE,Backdoors!BI30=TRUE),VLOOKUP(Calculator!E23,tbSkills!DH3:DJ6,3,FALSE),0),0))&gt;=0,1+(Backdoors!AL2*(IF((Backdoors!AI12+IF(GI69&gt;=0.45,VLOOKUP(Calculator!E23,tbSkills!DH3:DI6,2,FALSE)+IF(AND(Calculator!B8=TRUE,Backdoors!BI30=TRUE),VLOOKUP(Calculator!E23,tbSkills!DH3:DJ6,3,FALSE),0),0))&gt;=100,100,(Backdoors!AI12+IF(GI69&gt;=0.45,VLOOKUP(Calculator!E23,tbSkills!DH3:DI6,2,FALSE)+IF(AND(Calculator!B8=TRUE,Backdoors!BI30=TRUE),VLOOKUP(Calculator!E23,tbSkills!DH3:DJ6,3,FALSE),0),0)))/100)),(1-(0.25*((-Backdoors!AI12-IF(GI69&gt;=0.45,VLOOKUP(Calculator!E23,tbSkills!DH3:DI6,2,FALSE)+IF(AND(Calculator!B8=TRUE,Backdoors!BI30=TRUE),VLOOKUP(Calculator!E23,tbSkills!DH3:DJ6,3,FALSE),0),0))/100)))),1),"")</f>
        <v>1</v>
      </c>
      <c r="GL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I69)*GK69)*(VLOOKUP(A69,tbMoveset!A2:C112,3,FALSE)/100)*IF(VLOOKUP(A69,tbMoveset!A2:B112,2,FALSE)="Projectile",Backdoors!N10,Backdoors!N9),0),"")</f>
        <v/>
      </c>
      <c r="GM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I69&gt;=0.45,VLOOKUP(Calculator!E23,tbSkills!DH3:DI6,2,FALSE)+IF(AND(Calculator!B8=TRUE,Backdoors!BI30=TRUE),VLOOKUP(Calculator!E23,tbSkills!DH3:DJ6,3,FALSE),0),0))&gt;=100,100,(Backdoors!AI12+IF(GI69&gt;=0.45,VLOOKUP(Calculator!E23,tbSkills!DH3:DI6,2,FALSE)+IF(AND(Calculator!B8=TRUE,Backdoors!BI30=TRUE),VLOOKUP(Calculator!E23,tbSkills!DH3:DJ6,3,FALSE),0),0)))/100)),1))*IF(VLOOKUP(A69,tbMoveset!A2:K112,11,FALSE)=TRUE,Backdoors!AC5,1))*GJ69,0),"")</f>
        <v>0</v>
      </c>
      <c r="GN69" s="49">
        <f>VLOOKUP(A69,tbMoveset!A2:G112,7,FALSE)*IFERROR(IF(Backdoors!AI12&gt;=0,1+(IF(Calculator!E40&gt;0,VLOOKUP(Calculator!E40,tbSkills!AI3:AJ5,2,FALSE),Backdoors!AL4)*(IF((Backdoors!AI12+IF(GI69&gt;=0.45,VLOOKUP(Calculator!E23,tbSkills!DH3:DI6,2,FALSE)+IF(AND(Calculator!B8=TRUE,Backdoors!BI30=TRUE),VLOOKUP(Calculator!E23,tbSkills!DH3:DJ6,3,FALSE),0),0))&gt;=100,100,(Backdoors!AI12+IF(GI69&gt;=0.45,VLOOKUP(Calculator!E23,tbSkills!DH3:DI6,2,FALSE)+IF(AND(Calculator!B8=TRUE,Backdoors!BI30=TRUE),VLOOKUP(Calculator!E23,tbSkills!DH3:DJ6,3,FALSE),0),0)))/100)),1),1)</f>
        <v>0.8</v>
      </c>
      <c r="GO69" s="87">
        <f t="shared" si="78"/>
        <v>0</v>
      </c>
      <c r="GP69" s="86" t="str">
        <f>IFERROR(IF(VLOOKUP(A69,tbMoveset!A2:B112,2,FALSE)="Sever",Backdoors!AY31/100,IF(VLOOKUP(A69,tbMoveset!A2:B112,2,FALSE)="Blunt",Backdoors!AZ31/100,Backdoors!BA31/100)),"")</f>
        <v/>
      </c>
      <c r="GQ69" s="49">
        <f>IFERROR(IF(VLOOKUP(tbMoveset!A69,tbMoveset!A2:H112,8,FALSE)="Other",IF(VLOOKUP(tbMoveset!A69,tbMoveset!A2:I112,9,FALSE)="Fire",Backdoors!BB31,IF(VLOOKUP(tbMoveset!A69,tbMoveset!A2:I112,9,FALSE)="Water",Backdoors!BC31,IF(VLOOKUP(tbMoveset!A69,tbMoveset!A2:I112,9,FALSE)="Thunder",Backdoors!BD31,IF(VLOOKUP(tbMoveset!A69,tbMoveset!A2:I112,9,FALSE)="Ice",Backdoors!BE31,IF(VLOOKUP(tbMoveset!A69,tbMoveset!A2:I112,9,FALSE)="Dragon",Backdoors!BF31,Backdoors!BG31)))))/100,Backdoors!BG31/100),"")</f>
        <v>0</v>
      </c>
      <c r="GR69" s="49">
        <f>IFERROR(IF(VLOOKUP(A69,tbMoveset!A2:J112,10,FALSE)=TRUE,IF((Backdoors!AI12+IF(GP69&gt;=0.45,VLOOKUP(Calculator!E23,tbSkills!DH3:DI6,2,FALSE)+IF(AND(Calculator!B8=TRUE,Backdoors!BI31=TRUE),VLOOKUP(Calculator!E23,tbSkills!DH3:DJ6,3,FALSE),0),0))&gt;=0,1+(Backdoors!AL2*(IF((Backdoors!AI12+IF(GP69&gt;=0.45,VLOOKUP(Calculator!E23,tbSkills!DH3:DI6,2,FALSE)+IF(AND(Calculator!B8=TRUE,Backdoors!BI31=TRUE),VLOOKUP(Calculator!E23,tbSkills!DH3:DJ6,3,FALSE),0),0))&gt;=100,100,(Backdoors!AI12+IF(GP69&gt;=0.45,VLOOKUP(Calculator!E23,tbSkills!DH3:DI6,2,FALSE)+IF(AND(Calculator!B8=TRUE,Backdoors!BI31=TRUE),VLOOKUP(Calculator!E23,tbSkills!DH3:DJ6,3,FALSE),0),0)))/100)),(1-(0.25*((-Backdoors!AI12-IF(GP69&gt;=0.45,VLOOKUP(Calculator!E23,tbSkills!DH3:DI6,2,FALSE)+IF(AND(Calculator!B8=TRUE,Backdoors!BI31=TRUE),VLOOKUP(Calculator!E23,tbSkills!DH3:DJ6,3,FALSE),0),0))/100)))),1),"")</f>
        <v>1</v>
      </c>
      <c r="GS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P69)*GR69)*(VLOOKUP(A69,tbMoveset!A2:C112,3,FALSE)/100)*IF(VLOOKUP(A69,tbMoveset!A2:B112,2,FALSE)="Projectile",Backdoors!N10,Backdoors!N9),0),"")</f>
        <v/>
      </c>
      <c r="GT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P69&gt;=0.45,VLOOKUP(Calculator!E23,tbSkills!DH3:DI6,2,FALSE)+IF(AND(Calculator!B8=TRUE,Backdoors!BI31=TRUE),VLOOKUP(Calculator!E23,tbSkills!DH3:DJ6,3,FALSE),0),0))&gt;=100,100,(Backdoors!AI12+IF(GP69&gt;=0.45,VLOOKUP(Calculator!E23,tbSkills!DH3:DI6,2,FALSE)+IF(AND(Calculator!B8=TRUE,Backdoors!BI31=TRUE),VLOOKUP(Calculator!E23,tbSkills!DH3:DJ6,3,FALSE),0),0)))/100)),1))*IF(VLOOKUP(A69,tbMoveset!A2:K112,11,FALSE)=TRUE,Backdoors!AC5,1))*GQ69,0),"")</f>
        <v>0</v>
      </c>
      <c r="GU69" s="49">
        <f>VLOOKUP(A69,tbMoveset!A2:G112,7,FALSE)*IFERROR(IF(Backdoors!AI12&gt;=0,1+(IF(Calculator!E40&gt;0,VLOOKUP(Calculator!E40,tbSkills!AI3:AJ5,2,FALSE),Backdoors!AL4)*(IF((Backdoors!AI12+IF(GP69&gt;=0.45,VLOOKUP(Calculator!E23,tbSkills!DH3:DI6,2,FALSE)+IF(AND(Calculator!B8=TRUE,Backdoors!BI31=TRUE),VLOOKUP(Calculator!E23,tbSkills!DH3:DJ6,3,FALSE),0),0))&gt;=100,100,(Backdoors!AI12+IF(GP69&gt;=0.45,VLOOKUP(Calculator!E23,tbSkills!DH3:DI6,2,FALSE)+IF(AND(Calculator!B8=TRUE,Backdoors!BI31=TRUE),VLOOKUP(Calculator!E23,tbSkills!DH3:DJ6,3,FALSE),0),0)))/100)),1),1)</f>
        <v>0.8</v>
      </c>
      <c r="GV69" s="87">
        <f t="shared" si="79"/>
        <v>0</v>
      </c>
      <c r="GW69" s="86" t="str">
        <f>IFERROR(IF(VLOOKUP(A69,tbMoveset!A2:B112,2,FALSE)="Sever",Backdoors!AY32/100,IF(VLOOKUP(A69,tbMoveset!A2:B112,2,FALSE)="Blunt",Backdoors!AZ32/100,Backdoors!BA32/100)),"")</f>
        <v/>
      </c>
      <c r="GX69" s="49">
        <f>IFERROR(IF(VLOOKUP(tbMoveset!A69,tbMoveset!A2:H112,8,FALSE)="Other",IF(VLOOKUP(tbMoveset!A69,tbMoveset!A2:I112,9,FALSE)="Fire",Backdoors!BB32,IF(VLOOKUP(tbMoveset!A69,tbMoveset!A2:I112,9,FALSE)="Water",Backdoors!BC32,IF(VLOOKUP(tbMoveset!A69,tbMoveset!A2:I112,9,FALSE)="Thunder",Backdoors!BD32,IF(VLOOKUP(tbMoveset!A69,tbMoveset!A2:I112,9,FALSE)="Ice",Backdoors!BE32,IF(VLOOKUP(tbMoveset!A69,tbMoveset!A2:I112,9,FALSE)="Dragon",Backdoors!BF32,Backdoors!BG32)))))/100,Backdoors!BG32/100),"")</f>
        <v>0</v>
      </c>
      <c r="GY69" s="49">
        <f>IFERROR(IF(VLOOKUP(A69,tbMoveset!A2:J112,10,FALSE)=TRUE,IF((Backdoors!AI12+IF(GW69&gt;=0.45,VLOOKUP(Calculator!E23,tbSkills!DH3:DI6,2,FALSE)+IF(AND(Calculator!B8=TRUE,Backdoors!BI32=TRUE),VLOOKUP(Calculator!E23,tbSkills!DH3:DJ6,3,FALSE),0),0))&gt;=0,1+(Backdoors!AL2*(IF((Backdoors!AI12+IF(GW69&gt;=0.45,VLOOKUP(Calculator!E23,tbSkills!DH3:DI6,2,FALSE)+IF(AND(Calculator!B8=TRUE,Backdoors!BI32=TRUE),VLOOKUP(Calculator!E23,tbSkills!DH3:DJ6,3,FALSE),0),0))&gt;=100,100,(Backdoors!AI12+IF(GW69&gt;=0.45,VLOOKUP(Calculator!E23,tbSkills!DH3:DI6,2,FALSE)+IF(AND(Calculator!B8=TRUE,Backdoors!BI32=TRUE),VLOOKUP(Calculator!E23,tbSkills!DH3:DJ6,3,FALSE),0),0)))/100)),(1-(0.25*((-Backdoors!AI12-IF(GW69&gt;=0.45,VLOOKUP(Calculator!E23,tbSkills!DH3:DI6,2,FALSE)+IF(AND(Calculator!B8=TRUE,Backdoors!BI32=TRUE),VLOOKUP(Calculator!E23,tbSkills!DH3:DJ6,3,FALSE),0),0))/100)))),1),"")</f>
        <v>1</v>
      </c>
      <c r="GZ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W69)*GY69)*(VLOOKUP(A69,tbMoveset!A2:C112,3,FALSE)/100)*IF(VLOOKUP(A69,tbMoveset!A2:B112,2,FALSE)="Projectile",Backdoors!N10,Backdoors!N9),0),"")</f>
        <v/>
      </c>
      <c r="HA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W69&gt;=0.45,VLOOKUP(Calculator!E23,tbSkills!DH3:DI6,2,FALSE)+IF(AND(Calculator!B8=TRUE,Backdoors!BI32=TRUE),VLOOKUP(Calculator!E23,tbSkills!DH3:DJ6,3,FALSE),0),0))&gt;=100,100,(Backdoors!AI12+IF(GW69&gt;=0.45,VLOOKUP(Calculator!E23,tbSkills!DH3:DI6,2,FALSE)+IF(AND(Calculator!B8=TRUE,Backdoors!BI32=TRUE),VLOOKUP(Calculator!E23,tbSkills!DH3:DJ6,3,FALSE),0),0)))/100)),1))*IF(VLOOKUP(A69,tbMoveset!A2:K112,11,FALSE)=TRUE,Backdoors!AC5,1))*GX69,0),"")</f>
        <v>0</v>
      </c>
      <c r="HB69" s="49">
        <f>VLOOKUP(A69,tbMoveset!A2:G112,7,FALSE)*IFERROR(IF(Backdoors!AI12&gt;=0,1+(IF(Calculator!E40&gt;0,VLOOKUP(Calculator!E40,tbSkills!AI3:AJ5,2,FALSE),Backdoors!AL4)*(IF((Backdoors!AI12+IF(GW69&gt;=0.45,VLOOKUP(Calculator!E23,tbSkills!DH3:DI6,2,FALSE)+IF(AND(Calculator!B8=TRUE,Backdoors!BI32=TRUE),VLOOKUP(Calculator!E23,tbSkills!DH3:DJ6,3,FALSE),0),0))&gt;=100,100,(Backdoors!AI12+IF(GW69&gt;=0.45,VLOOKUP(Calculator!E23,tbSkills!DH3:DI6,2,FALSE)+IF(AND(Calculator!B8=TRUE,Backdoors!BI32=TRUE),VLOOKUP(Calculator!E23,tbSkills!DH3:DJ6,3,FALSE),0),0)))/100)),1),1)</f>
        <v>0.8</v>
      </c>
      <c r="HC69" s="87">
        <f t="shared" si="80"/>
        <v>0</v>
      </c>
      <c r="HD69" s="86" t="str">
        <f>IFERROR(IF(VLOOKUP(A69,tbMoveset!A2:B112,2,FALSE)="Sever",Backdoors!AY33/100,IF(VLOOKUP(A69,tbMoveset!A2:B112,2,FALSE)="Blunt",Backdoors!AZ33/100,Backdoors!BA33/100)),"")</f>
        <v/>
      </c>
      <c r="HE69" s="49">
        <f>IFERROR(IF(VLOOKUP(tbMoveset!A69,tbMoveset!A2:H112,8,FALSE)="Other",IF(VLOOKUP(tbMoveset!A69,tbMoveset!A2:I112,9,FALSE)="Fire",Backdoors!BB33,IF(VLOOKUP(tbMoveset!A69,tbMoveset!A2:I112,9,FALSE)="Water",Backdoors!BC33,IF(VLOOKUP(tbMoveset!A69,tbMoveset!A2:I112,9,FALSE)="Thunder",Backdoors!BD33,IF(VLOOKUP(tbMoveset!A69,tbMoveset!A2:I112,9,FALSE)="Ice",Backdoors!BE33,IF(VLOOKUP(tbMoveset!A69,tbMoveset!A2:I112,9,FALSE)="Dragon",Backdoors!BF33,Backdoors!BG33)))))/100,Backdoors!BG33/100),"")</f>
        <v>0</v>
      </c>
      <c r="HF69" s="49">
        <f>IFERROR(IF(VLOOKUP(A69,tbMoveset!A2:J112,10,FALSE)=TRUE,IF((Backdoors!AI12+IF(HD69&gt;=0.45,VLOOKUP(Calculator!E23,tbSkills!DH3:DI6,2,FALSE)+IF(AND(Calculator!B8=TRUE,Backdoors!BI33=TRUE),VLOOKUP(Calculator!E23,tbSkills!DH3:DJ6,3,FALSE),0),0))&gt;=0,1+(Backdoors!AL2*(IF((Backdoors!AI12+IF(HD69&gt;=0.45,VLOOKUP(Calculator!E23,tbSkills!DH3:DI6,2,FALSE)+IF(AND(Calculator!B8=TRUE,Backdoors!BI33=TRUE),VLOOKUP(Calculator!E23,tbSkills!DH3:DJ6,3,FALSE),0),0))&gt;=100,100,(Backdoors!AI12+IF(HD69&gt;=0.45,VLOOKUP(Calculator!E23,tbSkills!DH3:DI6,2,FALSE)+IF(AND(Calculator!B8=TRUE,Backdoors!BI33=TRUE),VLOOKUP(Calculator!E23,tbSkills!DH3:DJ6,3,FALSE),0),0)))/100)),(1-(0.25*((-Backdoors!AI12-IF(HD69&gt;=0.45,VLOOKUP(Calculator!E23,tbSkills!DH3:DI6,2,FALSE)+IF(AND(Calculator!B8=TRUE,Backdoors!BI33=TRUE),VLOOKUP(Calculator!E23,tbSkills!DH3:DJ6,3,FALSE),0),0))/100)))),1),"")</f>
        <v>1</v>
      </c>
      <c r="HG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D69)*HF69)*(VLOOKUP(A69,tbMoveset!A2:C112,3,FALSE)/100)*IF(VLOOKUP(A69,tbMoveset!A2:B112,2,FALSE)="Projectile",Backdoors!N10,Backdoors!N9),0),"")</f>
        <v/>
      </c>
      <c r="HH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D69&gt;=0.45,VLOOKUP(Calculator!E23,tbSkills!DH3:DI6,2,FALSE)+IF(AND(Calculator!B8=TRUE,Backdoors!BI33=TRUE),VLOOKUP(Calculator!E23,tbSkills!DH3:DJ6,3,FALSE),0),0))&gt;=100,100,(Backdoors!AI12+IF(HD69&gt;=0.45,VLOOKUP(Calculator!E23,tbSkills!DH3:DI6,2,FALSE)+IF(AND(Calculator!B8=TRUE,Backdoors!BI33=TRUE),VLOOKUP(Calculator!E23,tbSkills!DH3:DJ6,3,FALSE),0),0)))/100)),1))*IF(VLOOKUP(A69,tbMoveset!A2:K112,11,FALSE)=TRUE,Backdoors!AC5,1))*HE69,0),"")</f>
        <v>0</v>
      </c>
      <c r="HI69" s="49">
        <f>VLOOKUP(A69,tbMoveset!A2:G112,7,FALSE)*IFERROR(IF(Backdoors!AI12&gt;=0,1+(IF(Calculator!E40&gt;0,VLOOKUP(Calculator!E40,tbSkills!AI3:AJ5,2,FALSE),Backdoors!AL4)*(IF((Backdoors!AI12+IF(HD69&gt;=0.45,VLOOKUP(Calculator!E23,tbSkills!DH3:DI6,2,FALSE)+IF(AND(Calculator!B8=TRUE,Backdoors!BI33=TRUE),VLOOKUP(Calculator!E23,tbSkills!DH3:DJ6,3,FALSE),0),0))&gt;=100,100,(Backdoors!AI12+IF(HD69&gt;=0.45,VLOOKUP(Calculator!E23,tbSkills!DH3:DI6,2,FALSE)+IF(AND(Calculator!B8=TRUE,Backdoors!BI33=TRUE),VLOOKUP(Calculator!E23,tbSkills!DH3:DJ6,3,FALSE),0),0)))/100)),1),1)</f>
        <v>0.8</v>
      </c>
      <c r="HJ69" s="87">
        <f t="shared" si="81"/>
        <v>0</v>
      </c>
      <c r="HK69" s="86" t="str">
        <f>IFERROR(IF(VLOOKUP(A69,tbMoveset!A2:B112,2,FALSE)="Sever",Backdoors!AY34/100,IF(VLOOKUP(A69,tbMoveset!A2:B112,2,FALSE)="Blunt",Backdoors!AZ34/100,Backdoors!BA34/100)),"")</f>
        <v/>
      </c>
      <c r="HL69" s="49">
        <f>IFERROR(IF(VLOOKUP(tbMoveset!A69,tbMoveset!A2:H112,8,FALSE)="Other",IF(VLOOKUP(tbMoveset!A69,tbMoveset!A2:I112,9,FALSE)="Fire",Backdoors!BB34,IF(VLOOKUP(tbMoveset!A69,tbMoveset!A2:I112,9,FALSE)="Water",Backdoors!BC34,IF(VLOOKUP(tbMoveset!A69,tbMoveset!A2:I112,9,FALSE)="Thunder",Backdoors!BD34,IF(VLOOKUP(tbMoveset!A69,tbMoveset!A2:I112,9,FALSE)="Ice",Backdoors!BE34,IF(VLOOKUP(tbMoveset!A69,tbMoveset!A2:I112,9,FALSE)="Dragon",Backdoors!BF34,Backdoors!BG34)))))/100,Backdoors!BG34/100),"")</f>
        <v>0</v>
      </c>
      <c r="HM69" s="49">
        <f>IFERROR(IF(VLOOKUP(A69,tbMoveset!A2:J112,10,FALSE)=TRUE,IF((Backdoors!AI12+IF(HK69&gt;=0.45,VLOOKUP(Calculator!E23,tbSkills!DH3:DI6,2,FALSE)+IF(AND(Calculator!B8=TRUE,Backdoors!BI34=TRUE),VLOOKUP(Calculator!E23,tbSkills!DH3:DJ6,3,FALSE),0),0))&gt;=0,1+(Backdoors!AL2*(IF((Backdoors!AI12+IF(HK69&gt;=0.45,VLOOKUP(Calculator!E23,tbSkills!DH3:DI6,2,FALSE)+IF(AND(Calculator!B8=TRUE,Backdoors!BI34=TRUE),VLOOKUP(Calculator!E23,tbSkills!DH3:DJ6,3,FALSE),0),0))&gt;=100,100,(Backdoors!AI12+IF(HK69&gt;=0.45,VLOOKUP(Calculator!E23,tbSkills!DH3:DI6,2,FALSE)+IF(AND(Calculator!B8=TRUE,Backdoors!BI34=TRUE),VLOOKUP(Calculator!E23,tbSkills!DH3:DJ6,3,FALSE),0),0)))/100)),(1-(0.25*((-Backdoors!AI12-IF(HK69&gt;=0.45,VLOOKUP(Calculator!E23,tbSkills!DH3:DI6,2,FALSE)+IF(AND(Calculator!B8=TRUE,Backdoors!BI34=TRUE),VLOOKUP(Calculator!E23,tbSkills!DH3:DJ6,3,FALSE),0),0))/100)))),1),"")</f>
        <v>1</v>
      </c>
      <c r="HN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K69)*HM69)*(VLOOKUP(A69,tbMoveset!A2:C112,3,FALSE)/100)*IF(VLOOKUP(A69,tbMoveset!A2:B112,2,FALSE)="Projectile",Backdoors!N10,Backdoors!N9),0),"")</f>
        <v/>
      </c>
      <c r="HO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K69&gt;=0.45,VLOOKUP(Calculator!E23,tbSkills!DH3:DI6,2,FALSE)+IF(AND(Calculator!B8=TRUE,Backdoors!BI34=TRUE),VLOOKUP(Calculator!E23,tbSkills!DH3:DJ6,3,FALSE),0),0))&gt;=100,100,(Backdoors!AI12+IF(HK69&gt;=0.45,VLOOKUP(Calculator!E23,tbSkills!DH3:DI6,2,FALSE)+IF(AND(Calculator!B8=TRUE,Backdoors!BI34=TRUE),VLOOKUP(Calculator!E23,tbSkills!DH3:DJ6,3,FALSE),0),0)))/100)),1))*IF(VLOOKUP(A69,tbMoveset!A2:K112,11,FALSE)=TRUE,Backdoors!AC5,1))*HL69,0),"")</f>
        <v>0</v>
      </c>
      <c r="HP69" s="49">
        <f>VLOOKUP(A69,tbMoveset!A2:G112,7,FALSE)*IFERROR(IF(Backdoors!AI12&gt;=0,1+(IF(Calculator!E40&gt;0,VLOOKUP(Calculator!E40,tbSkills!AI3:AJ5,2,FALSE),Backdoors!AL4)*(IF((Backdoors!AI12+IF(HK69&gt;=0.45,VLOOKUP(Calculator!E23,tbSkills!DH3:DI6,2,FALSE)+IF(AND(Calculator!B8=TRUE,Backdoors!BI34=TRUE),VLOOKUP(Calculator!E23,tbSkills!DH3:DJ6,3,FALSE),0),0))&gt;=100,100,(Backdoors!AI12+IF(HK69&gt;=0.45,VLOOKUP(Calculator!E23,tbSkills!DH3:DI6,2,FALSE)+IF(AND(Calculator!B8=TRUE,Backdoors!BI34=TRUE),VLOOKUP(Calculator!E23,tbSkills!DH3:DJ6,3,FALSE),0),0)))/100)),1),1)</f>
        <v>0.8</v>
      </c>
      <c r="HQ69" s="87">
        <f t="shared" si="82"/>
        <v>0</v>
      </c>
      <c r="HR69" s="86" t="str">
        <f>IFERROR(IF(VLOOKUP(A69,tbMoveset!A2:B112,2,FALSE)="Sever",Backdoors!AY35/100,IF(VLOOKUP(A69,tbMoveset!A2:B112,2,FALSE)="Blunt",Backdoors!AZ35/100,Backdoors!BA35/100)),"")</f>
        <v/>
      </c>
      <c r="HS69" s="49">
        <f>IFERROR(IF(VLOOKUP(tbMoveset!A69,tbMoveset!A2:H112,8,FALSE)="Other",IF(VLOOKUP(tbMoveset!A69,tbMoveset!A2:I112,9,FALSE)="Fire",Backdoors!BB35,IF(VLOOKUP(tbMoveset!A69,tbMoveset!A2:I112,9,FALSE)="Water",Backdoors!BC35,IF(VLOOKUP(tbMoveset!A69,tbMoveset!A2:I112,9,FALSE)="Thunder",Backdoors!BD35,IF(VLOOKUP(tbMoveset!A69,tbMoveset!A2:I112,9,FALSE)="Ice",Backdoors!BE35,IF(VLOOKUP(tbMoveset!A69,tbMoveset!A2:I112,9,FALSE)="Dragon",Backdoors!BF35,Backdoors!BG35)))))/100,Backdoors!BG35/100),"")</f>
        <v>0</v>
      </c>
      <c r="HT69" s="49">
        <f>IFERROR(IF(VLOOKUP(A69,tbMoveset!A2:J112,10,FALSE)=TRUE,IF((Backdoors!AI12+IF(HR69&gt;=0.45,VLOOKUP(Calculator!E23,tbSkills!DH3:DI6,2,FALSE)+IF(AND(Calculator!B8=TRUE,Backdoors!BI35=TRUE),VLOOKUP(Calculator!E23,tbSkills!DH3:DJ6,3,FALSE),0),0))&gt;=0,1+(Backdoors!AL2*(IF((Backdoors!AI12+IF(HR69&gt;=0.45,VLOOKUP(Calculator!E23,tbSkills!DH3:DI6,2,FALSE)+IF(AND(Calculator!B8=TRUE,Backdoors!BI35=TRUE),VLOOKUP(Calculator!E23,tbSkills!DH3:DJ6,3,FALSE),0),0))&gt;=100,100,(Backdoors!AI12+IF(HR69&gt;=0.45,VLOOKUP(Calculator!E23,tbSkills!DH3:DI6,2,FALSE)+IF(AND(Calculator!B8=TRUE,Backdoors!BI35=TRUE),VLOOKUP(Calculator!E23,tbSkills!DH3:DJ6,3,FALSE),0),0)))/100)),(1-(0.25*((-Backdoors!AI12-IF(HR69&gt;=0.45,VLOOKUP(Calculator!E23,tbSkills!DH3:DI6,2,FALSE)+IF(AND(Calculator!B8=TRUE,Backdoors!BI35=TRUE),VLOOKUP(Calculator!E23,tbSkills!DH3:DJ6,3,FALSE),0),0))/100)))),1),"")</f>
        <v>1</v>
      </c>
      <c r="HU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R69)*HT69)*(VLOOKUP(A69,tbMoveset!A2:C112,3,FALSE)/100)*IF(VLOOKUP(A69,tbMoveset!A2:B112,2,FALSE)="Projectile",Backdoors!N10,Backdoors!N9),0),"")</f>
        <v/>
      </c>
      <c r="HV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R69&gt;=0.45,VLOOKUP(Calculator!E23,tbSkills!DH3:DI6,2,FALSE)+IF(AND(Calculator!B8=TRUE,Backdoors!BI35=TRUE),VLOOKUP(Calculator!E23,tbSkills!DH3:DJ6,3,FALSE),0),0))&gt;=100,100,(Backdoors!AI12+IF(HR69&gt;=0.45,VLOOKUP(Calculator!E23,tbSkills!DH3:DI6,2,FALSE)+IF(AND(Calculator!B8=TRUE,Backdoors!BI35=TRUE),VLOOKUP(Calculator!E23,tbSkills!DH3:DJ6,3,FALSE),0),0)))/100)),1))*IF(VLOOKUP(A69,tbMoveset!A2:K112,11,FALSE)=TRUE,Backdoors!AC5,1))*HS69,0),"")</f>
        <v>0</v>
      </c>
      <c r="HW69" s="49">
        <f>VLOOKUP(A69,tbMoveset!A2:G112,7,FALSE)*IFERROR(IF(Backdoors!AI12&gt;=0,1+(IF(Calculator!E40&gt;0,VLOOKUP(Calculator!E40,tbSkills!AI3:AJ5,2,FALSE),Backdoors!AL4)*(IF((Backdoors!AI12+IF(HR69&gt;=0.45,VLOOKUP(Calculator!E23,tbSkills!DH3:DI6,2,FALSE)+IF(AND(Calculator!B8=TRUE,Backdoors!BI35=TRUE),VLOOKUP(Calculator!E23,tbSkills!DH3:DJ6,3,FALSE),0),0))&gt;=100,100,(Backdoors!AI12+IF(HR69&gt;=0.45,VLOOKUP(Calculator!E23,tbSkills!DH3:DI6,2,FALSE)+IF(AND(Calculator!B8=TRUE,Backdoors!BI35=TRUE),VLOOKUP(Calculator!E23,tbSkills!DH3:DJ6,3,FALSE),0),0)))/100)),1),1)</f>
        <v>0.8</v>
      </c>
      <c r="HX69" s="87">
        <f t="shared" si="83"/>
        <v>0</v>
      </c>
      <c r="HY69" s="86" t="str">
        <f>IFERROR(IF(VLOOKUP(A69,tbMoveset!A2:B112,2,FALSE)="Sever",Backdoors!AY36/100,IF(VLOOKUP(A69,tbMoveset!A2:B112,2,FALSE)="Blunt",Backdoors!AZ36/100,Backdoors!BA36/100)),"")</f>
        <v/>
      </c>
      <c r="HZ69" s="49">
        <f>IFERROR(IF(VLOOKUP(tbMoveset!A69,tbMoveset!A2:H112,8,FALSE)="Other",IF(VLOOKUP(tbMoveset!A69,tbMoveset!A2:I112,9,FALSE)="Fire",Backdoors!BB36,IF(VLOOKUP(tbMoveset!A69,tbMoveset!A2:I112,9,FALSE)="Water",Backdoors!BC36,IF(VLOOKUP(tbMoveset!A69,tbMoveset!A2:I112,9,FALSE)="Thunder",Backdoors!BD36,IF(VLOOKUP(tbMoveset!A69,tbMoveset!A2:I112,9,FALSE)="Ice",Backdoors!BE36,IF(VLOOKUP(tbMoveset!A69,tbMoveset!A2:I112,9,FALSE)="Dragon",Backdoors!BF36,Backdoors!BG36)))))/100,Backdoors!BG36/100),"")</f>
        <v>0</v>
      </c>
      <c r="IA69" s="49">
        <f>IFERROR(IF(VLOOKUP(A69,tbMoveset!A2:J112,10,FALSE)=TRUE,IF((Backdoors!AI12+IF(HY69&gt;=0.45,VLOOKUP(Calculator!E23,tbSkills!DH3:DI6,2,FALSE)+IF(AND(Calculator!B8=TRUE,Backdoors!BI36=TRUE),VLOOKUP(Calculator!E23,tbSkills!DH3:DJ6,3,FALSE),0),0))&gt;=0,1+(Backdoors!AL2*(IF((Backdoors!AI12+IF(HY69&gt;=0.45,VLOOKUP(Calculator!E23,tbSkills!DH3:DI6,2,FALSE)+IF(AND(Calculator!B8=TRUE,Backdoors!BI36=TRUE),VLOOKUP(Calculator!E23,tbSkills!DH3:DJ6,3,FALSE),0),0))&gt;=100,100,(Backdoors!AI12+IF(HY69&gt;=0.45,VLOOKUP(Calculator!E23,tbSkills!DH3:DI6,2,FALSE)+IF(AND(Calculator!B8=TRUE,Backdoors!BI36=TRUE),VLOOKUP(Calculator!E23,tbSkills!DH3:DJ6,3,FALSE),0),0)))/100)),(1-(0.25*((-Backdoors!AI12-IF(HY69&gt;=0.45,VLOOKUP(Calculator!E23,tbSkills!DH3:DI6,2,FALSE)+IF(AND(Calculator!B8=TRUE,Backdoors!BI36=TRUE),VLOOKUP(Calculator!E23,tbSkills!DH3:DJ6,3,FALSE),0),0))/100)))),1),"")</f>
        <v>1</v>
      </c>
      <c r="IB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Y69)*IA69)*(VLOOKUP(A69,tbMoveset!A2:C112,3,FALSE)/100)*IF(VLOOKUP(A69,tbMoveset!A2:B112,2,FALSE)="Projectile",Backdoors!N10,Backdoors!N9),0),"")</f>
        <v/>
      </c>
      <c r="IC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Y69&gt;=0.45,VLOOKUP(Calculator!E23,tbSkills!DH3:DI6,2,FALSE)+IF(AND(Calculator!B8=TRUE,Backdoors!BI36=TRUE),VLOOKUP(Calculator!E23,tbSkills!DH3:DJ6,3,FALSE),0),0))&gt;=100,100,(Backdoors!AI12+IF(HY69&gt;=0.45,VLOOKUP(Calculator!E23,tbSkills!DH3:DI6,2,FALSE)+IF(AND(Calculator!B8=TRUE,Backdoors!BI36=TRUE),VLOOKUP(Calculator!E23,tbSkills!DH3:DJ6,3,FALSE),0),0)))/100)),1))*IF(VLOOKUP(A69,tbMoveset!A2:K112,11,FALSE)=TRUE,Backdoors!AC5,1))*HZ69,0),"")</f>
        <v>0</v>
      </c>
      <c r="ID69" s="49">
        <f>VLOOKUP(A69,tbMoveset!A2:G112,7,FALSE)*IFERROR(IF(Backdoors!AI12&gt;=0,1+(IF(Calculator!E40&gt;0,VLOOKUP(Calculator!E40,tbSkills!AI3:AJ5,2,FALSE),Backdoors!AL4)*(IF((Backdoors!AI12+IF(HY69&gt;=0.45,VLOOKUP(Calculator!E23,tbSkills!DH3:DI6,2,FALSE)+IF(AND(Calculator!B8=TRUE,Backdoors!BI36=TRUE),VLOOKUP(Calculator!E23,tbSkills!DH3:DJ6,3,FALSE),0),0))&gt;=100,100,(Backdoors!AI12+IF(HY69&gt;=0.45,VLOOKUP(Calculator!E23,tbSkills!DH3:DI6,2,FALSE)+IF(AND(Calculator!B8=TRUE,Backdoors!BI36=TRUE),VLOOKUP(Calculator!E23,tbSkills!DH3:DJ6,3,FALSE),0),0)))/100)),1),1)</f>
        <v>0.8</v>
      </c>
      <c r="IE69" s="87">
        <f t="shared" si="84"/>
        <v>0</v>
      </c>
      <c r="IF69" s="86" t="str">
        <f>IFERROR(IF(VLOOKUP(A69,tbMoveset!A2:B112,2,FALSE)="Sever",Backdoors!AY37/100,IF(VLOOKUP(A69,tbMoveset!A2:B112,2,FALSE)="Blunt",Backdoors!AZ37/100,Backdoors!BA37/100)),"")</f>
        <v/>
      </c>
      <c r="IG69" s="49">
        <f>IFERROR(IF(VLOOKUP(tbMoveset!A69,tbMoveset!A2:H112,8,FALSE)="Other",IF(VLOOKUP(tbMoveset!A69,tbMoveset!A2:I112,9,FALSE)="Fire",Backdoors!BB37,IF(VLOOKUP(tbMoveset!A69,tbMoveset!A2:I112,9,FALSE)="Water",Backdoors!BC37,IF(VLOOKUP(tbMoveset!A69,tbMoveset!A2:I112,9,FALSE)="Thunder",Backdoors!BD37,IF(VLOOKUP(tbMoveset!A69,tbMoveset!A2:I112,9,FALSE)="Ice",Backdoors!BE37,IF(VLOOKUP(tbMoveset!A69,tbMoveset!A2:I112,9,FALSE)="Dragon",Backdoors!BF37,Backdoors!BG37)))))/100,Backdoors!BG37/100),"")</f>
        <v>0</v>
      </c>
      <c r="IH69" s="49">
        <f>IFERROR(IF(VLOOKUP(A69,tbMoveset!A2:J112,10,FALSE)=TRUE,IF((Backdoors!AI12+IF(IF69&gt;=0.45,VLOOKUP(Calculator!E23,tbSkills!DH3:DI6,2,FALSE)+IF(AND(Calculator!B8=TRUE,Backdoors!BI37=TRUE),VLOOKUP(Calculator!E23,tbSkills!DH3:DJ6,3,FALSE),0),0))&gt;=0,1+(Backdoors!AL2*(IF((Backdoors!AI12+IF(IF69&gt;=0.45,VLOOKUP(Calculator!E23,tbSkills!DH3:DI6,2,FALSE)+IF(AND(Calculator!B8=TRUE,Backdoors!BI37=TRUE),VLOOKUP(Calculator!E23,tbSkills!DH3:DJ6,3,FALSE),0),0))&gt;=100,100,(Backdoors!AI12+IF(IF69&gt;=0.45,VLOOKUP(Calculator!E23,tbSkills!DH3:DI6,2,FALSE)+IF(AND(Calculator!B8=TRUE,Backdoors!BI37=TRUE),VLOOKUP(Calculator!E23,tbSkills!DH3:DJ6,3,FALSE),0),0)))/100)),(1-(0.25*((-Backdoors!AI12-IF(IF69&gt;=0.45,VLOOKUP(Calculator!E23,tbSkills!DH3:DI6,2,FALSE)+IF(AND(Calculator!B8=TRUE,Backdoors!BI37=TRUE),VLOOKUP(Calculator!E23,tbSkills!DH3:DJ6,3,FALSE),0),0))/100)))),1),"")</f>
        <v>1</v>
      </c>
      <c r="II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F69)*IH69)*(VLOOKUP(A69,tbMoveset!A2:C112,3,FALSE)/100)*IF(VLOOKUP(A69,tbMoveset!A2:B112,2,FALSE)="Projectile",Backdoors!N10,Backdoors!N9),0),"")</f>
        <v/>
      </c>
      <c r="IJ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IF69&gt;=0.45,VLOOKUP(Calculator!E23,tbSkills!DH3:DI6,2,FALSE)+IF(AND(Calculator!B8=TRUE,Backdoors!BI37=TRUE),VLOOKUP(Calculator!E23,tbSkills!DH3:DJ6,3,FALSE),0),0))&gt;=100,100,(Backdoors!AI12+IF(IF69&gt;=0.45,VLOOKUP(Calculator!E23,tbSkills!DH3:DI6,2,FALSE)+IF(AND(Calculator!B8=TRUE,Backdoors!BI37=TRUE),VLOOKUP(Calculator!E23,tbSkills!DH3:DJ6,3,FALSE),0),0)))/100)),1))*IF(VLOOKUP(A69,tbMoveset!A2:K112,11,FALSE)=TRUE,Backdoors!AC5,1))*IG69,0),"")</f>
        <v>0</v>
      </c>
      <c r="IK69" s="49">
        <f>VLOOKUP(A69,tbMoveset!A2:G112,7,FALSE)*IFERROR(IF(Backdoors!AI12&gt;=0,1+(IF(Calculator!E40&gt;0,VLOOKUP(Calculator!E40,tbSkills!AI3:AJ5,2,FALSE),Backdoors!AL4)*(IF((Backdoors!AI12+IF(IF69&gt;=0.45,VLOOKUP(Calculator!E23,tbSkills!DH3:DI6,2,FALSE)+IF(AND(Calculator!B8=TRUE,Backdoors!BI37=TRUE),VLOOKUP(Calculator!E23,tbSkills!DH3:DJ6,3,FALSE),0),0))&gt;=100,100,(Backdoors!AI12+IF(IF69&gt;=0.45,VLOOKUP(Calculator!E23,tbSkills!DH3:DI6,2,FALSE)+IF(AND(Calculator!B8=TRUE,Backdoors!BI37=TRUE),VLOOKUP(Calculator!E23,tbSkills!DH3:DJ6,3,FALSE),0),0)))/100)),1),1)</f>
        <v>0.8</v>
      </c>
      <c r="IL69" s="87">
        <f t="shared" si="85"/>
        <v>0</v>
      </c>
      <c r="IM69" s="86" t="str">
        <f>IFERROR(IF(VLOOKUP(A69,tbMoveset!A2:B112,2,FALSE)="Sever",Backdoors!AY38/100,IF(VLOOKUP(A69,tbMoveset!A2:B112,2,FALSE)="Blunt",Backdoors!AZ38/100,Backdoors!BA38/100)),"")</f>
        <v/>
      </c>
      <c r="IN69" s="49">
        <f>IFERROR(IF(VLOOKUP(tbMoveset!A69,tbMoveset!A2:H112,8,FALSE)="Other",IF(VLOOKUP(tbMoveset!A69,tbMoveset!A2:I112,9,FALSE)="Fire",Backdoors!BB38,IF(VLOOKUP(tbMoveset!A69,tbMoveset!A2:I112,9,FALSE)="Water",Backdoors!BC38,IF(VLOOKUP(tbMoveset!A69,tbMoveset!A2:I112,9,FALSE)="Thunder",Backdoors!BD38,IF(VLOOKUP(tbMoveset!A69,tbMoveset!A2:I112,9,FALSE)="Ice",Backdoors!BE38,IF(VLOOKUP(tbMoveset!A69,tbMoveset!A2:I112,9,FALSE)="Dragon",Backdoors!BF38,Backdoors!BG38)))))/100,Backdoors!BG38/100),"")</f>
        <v>0</v>
      </c>
      <c r="IO69" s="49">
        <f>IFERROR(IF(VLOOKUP(A69,tbMoveset!A2:J112,10,FALSE)=TRUE,IF((Backdoors!AI12+IF(IM69&gt;=0.45,VLOOKUP(Calculator!E23,tbSkills!DH3:DI6,2,FALSE)+IF(AND(Calculator!B8=TRUE,Backdoors!BI38=TRUE),VLOOKUP(Calculator!E23,tbSkills!DH3:DJ6,3,FALSE),0),0))&gt;=0,1+(Backdoors!AL2*(IF((Backdoors!AI12+IF(IM69&gt;=0.45,VLOOKUP(Calculator!E23,tbSkills!DH3:DI6,2,FALSE)+IF(AND(Calculator!B8=TRUE,Backdoors!BI38=TRUE),VLOOKUP(Calculator!E23,tbSkills!DH3:DJ6,3,FALSE),0),0))&gt;=100,100,(Backdoors!AI12+IF(IM69&gt;=0.45,VLOOKUP(Calculator!E23,tbSkills!DH3:DI6,2,FALSE)+IF(AND(Calculator!B8=TRUE,Backdoors!BI38=TRUE),VLOOKUP(Calculator!E23,tbSkills!DH3:DJ6,3,FALSE),0),0)))/100)),(1-(0.25*((-Backdoors!AI12-IF(IM69&gt;=0.45,VLOOKUP(Calculator!E23,tbSkills!DH3:DI6,2,FALSE)+IF(AND(Calculator!B8=TRUE,Backdoors!BI38=TRUE),VLOOKUP(Calculator!E23,tbSkills!DH3:DJ6,3,FALSE),0),0))/100)))),1),"")</f>
        <v>1</v>
      </c>
      <c r="IP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M69)*IO69)*(VLOOKUP(A69,tbMoveset!A2:C112,3,FALSE)/100)*IF(VLOOKUP(A69,tbMoveset!A2:B112,2,FALSE)="Projectile",Backdoors!N10,Backdoors!N9),0),"")</f>
        <v/>
      </c>
      <c r="IQ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IM69&gt;=0.45,VLOOKUP(Calculator!E23,tbSkills!DH3:DI6,2,FALSE)+IF(AND(Calculator!B8=TRUE,Backdoors!BI38=TRUE),VLOOKUP(Calculator!E23,tbSkills!DH3:DJ6,3,FALSE),0),0))&gt;=100,100,(Backdoors!AI12+IF(IM69&gt;=0.45,VLOOKUP(Calculator!E23,tbSkills!DH3:DI6,2,FALSE)+IF(AND(Calculator!B8=TRUE,Backdoors!BI38=TRUE),VLOOKUP(Calculator!E23,tbSkills!DH3:DJ6,3,FALSE),0),0)))/100)),1))*IF(VLOOKUP(A69,tbMoveset!A2:K112,11,FALSE)=TRUE,Backdoors!AC5,1))*IN69,0),"")</f>
        <v>0</v>
      </c>
      <c r="IR69" s="49">
        <f>VLOOKUP(A69,tbMoveset!A2:G112,7,FALSE)*IFERROR(IF(Backdoors!AI12&gt;=0,1+(IF(Calculator!E40&gt;0,VLOOKUP(Calculator!E40,tbSkills!AI3:AJ5,2,FALSE),Backdoors!AL4)*(IF((Backdoors!AI12+IF(IM69&gt;=0.45,VLOOKUP(Calculator!E23,tbSkills!DH3:DI6,2,FALSE)+IF(AND(Calculator!B8=TRUE,Backdoors!BI38=TRUE),VLOOKUP(Calculator!E23,tbSkills!DH3:DJ6,3,FALSE),0),0))&gt;=100,100,(Backdoors!AI12+IF(IM69&gt;=0.45,VLOOKUP(Calculator!E23,tbSkills!DH3:DI6,2,FALSE)+IF(AND(Calculator!B8=TRUE,Backdoors!BI38=TRUE),VLOOKUP(Calculator!E23,tbSkills!DH3:DJ6,3,FALSE),0),0)))/100)),1),1)</f>
        <v>0.8</v>
      </c>
      <c r="IS69" s="87">
        <f t="shared" si="86"/>
        <v>0</v>
      </c>
      <c r="IT69" s="86" t="str">
        <f>IFERROR(IF(VLOOKUP(A69,tbMoveset!A2:B112,2,FALSE)="Sever",Backdoors!AY39/100,IF(VLOOKUP(A69,tbMoveset!A2:B112,2,FALSE)="Blunt",Backdoors!AZ39/100,Backdoors!BA39/100)),"")</f>
        <v/>
      </c>
      <c r="IU69" s="49">
        <f>IFERROR(IF(VLOOKUP(tbMoveset!A69,tbMoveset!A2:H112,8,FALSE)="Other",IF(VLOOKUP(tbMoveset!A69,tbMoveset!A2:I112,9,FALSE)="Fire",Backdoors!BB39,IF(VLOOKUP(tbMoveset!A69,tbMoveset!A2:I112,9,FALSE)="Water",Backdoors!BC39,IF(VLOOKUP(tbMoveset!A69,tbMoveset!A2:I112,9,FALSE)="Thunder",Backdoors!BD39,IF(VLOOKUP(tbMoveset!A69,tbMoveset!A2:I112,9,FALSE)="Ice",Backdoors!BE39,IF(VLOOKUP(tbMoveset!A69,tbMoveset!A2:I112,9,FALSE)="Dragon",Backdoors!BF39,Backdoors!BG39)))))/100,Backdoors!BG39/100),"")</f>
        <v>0</v>
      </c>
      <c r="IV69" s="49">
        <f>IFERROR(IF(VLOOKUP(A69,tbMoveset!A2:J112,10,FALSE)=TRUE,IF((Backdoors!AI12+IF(IT69&gt;=0.45,VLOOKUP(Calculator!E23,tbSkills!DH3:DI6,2,FALSE)+IF(AND(Calculator!B8=TRUE,Backdoors!BI39=TRUE),VLOOKUP(Calculator!E23,tbSkills!DH3:DJ6,3,FALSE),0),0))&gt;=0,1+(Backdoors!AL2*(IF((Backdoors!AI12+IF(IT69&gt;=0.45,VLOOKUP(Calculator!E23,tbSkills!DH3:DI6,2,FALSE)+IF(AND(Calculator!B8=TRUE,Backdoors!BI39=TRUE),VLOOKUP(Calculator!E23,tbSkills!DH3:DJ6,3,FALSE),0),0))&gt;=100,100,(Backdoors!AI12+IF(IT69&gt;=0.45,VLOOKUP(Calculator!E23,tbSkills!DH3:DI6,2,FALSE)+IF(AND(Calculator!B8=TRUE,Backdoors!BI39=TRUE),VLOOKUP(Calculator!E23,tbSkills!DH3:DJ6,3,FALSE),0),0)))/100)),(1-(0.25*((-Backdoors!AI12-IF(IT69&gt;=0.45,VLOOKUP(Calculator!E23,tbSkills!DH3:DI6,2,FALSE)+IF(AND(Calculator!B8=TRUE,Backdoors!BI39=TRUE),VLOOKUP(Calculator!E23,tbSkills!DH3:DJ6,3,FALSE),0),0))/100)))),1),"")</f>
        <v>1</v>
      </c>
      <c r="IW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T69)*IV69)*(VLOOKUP(A69,tbMoveset!A2:C112,3,FALSE)/100)*IF(VLOOKUP(A69,tbMoveset!A2:B112,2,FALSE)="Projectile",Backdoors!N10,Backdoors!N9),0),"")</f>
        <v/>
      </c>
      <c r="IX69" s="49">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40&gt;0,VLOOKUP(Calculator!E40,tbSkills!AC3:AD5,2,FALSE),Backdoors!AL3)*(IF((Backdoors!AI12+IF(IT69&gt;=0.45,VLOOKUP(Calculator!E23,tbSkills!DH3:DI6,2,FALSE)+IF(AND(Calculator!B8=TRUE,Backdoors!BI39=TRUE),VLOOKUP(Calculator!E23,tbSkills!DH3:DJ6,3,FALSE),0),0))&gt;=100,100,(Backdoors!AI12+IF(IT69&gt;=0.45,VLOOKUP(Calculator!E23,tbSkills!DH3:DI6,2,FALSE)+IF(AND(Calculator!B8=TRUE,Backdoors!BI39=TRUE),VLOOKUP(Calculator!E23,tbSkills!DH3:DJ6,3,FALSE),0),0)))/100)),1))*IF(VLOOKUP(A69,tbMoveset!A2:K112,11,FALSE)=TRUE,Backdoors!AC5,1))*IU69,0),"")</f>
        <v>0</v>
      </c>
      <c r="IY69" s="49">
        <f>VLOOKUP(A69,tbMoveset!A2:G112,7,FALSE)*IFERROR(IF(Backdoors!AI12&gt;=0,1+(IF(Calculator!E40&gt;0,VLOOKUP(Calculator!E40,tbSkills!AI3:AJ5,2,FALSE),Backdoors!AL4)*(IF((Backdoors!AI12+IF(IT69&gt;=0.45,VLOOKUP(Calculator!E23,tbSkills!DH3:DI6,2,FALSE)+IF(AND(Calculator!B8=TRUE,Backdoors!BI39=TRUE),VLOOKUP(Calculator!E23,tbSkills!DH3:DJ6,3,FALSE),0),0))&gt;=100,100,(Backdoors!AI12+IF(IT69&gt;=0.45,VLOOKUP(Calculator!E23,tbSkills!DH3:DI6,2,FALSE)+IF(AND(Calculator!B8=TRUE,Backdoors!BI39=TRUE),VLOOKUP(Calculator!E23,tbSkills!DH3:DJ6,3,FALSE),0),0)))/100)),1),1)</f>
        <v>0.8</v>
      </c>
      <c r="IZ69" s="87">
        <f t="shared" si="87"/>
        <v>0</v>
      </c>
      <c r="JA69" s="86" t="str">
        <f>IFERROR(IF(VLOOKUP(A69,tbMoveset!A2:B112,2,FALSE)="Sever",Backdoors!AY40/100,IF(VLOOKUP(A69,tbMoveset!A2:B112,2,FALSE)="Blunt",Backdoors!AZ40/100,Backdoors!BA40/100)),"")</f>
        <v/>
      </c>
      <c r="JB69" s="49">
        <f>IFERROR(IF(VLOOKUP(tbMoveset!A69,tbMoveset!A2:H112,8,FALSE)="Other",IF(VLOOKUP(tbMoveset!A69,tbMoveset!A2:I112,9,FALSE)="Fire",Backdoors!BB40,IF(VLOOKUP(tbMoveset!A69,tbMoveset!A2:I112,9,FALSE)="Water",Backdoors!BC40,IF(VLOOKUP(tbMoveset!A69,tbMoveset!A2:I112,9,FALSE)="Thunder",Backdoors!BD40,IF(VLOOKUP(tbMoveset!A69,tbMoveset!A2:I112,9,FALSE)="Ice",Backdoors!BE40,IF(VLOOKUP(tbMoveset!A69,tbMoveset!A2:I112,9,FALSE)="Dragon",Backdoors!BF40,Backdoors!BG40)))))/100,Backdoors!BG40/100),"")</f>
        <v>0</v>
      </c>
      <c r="JC69" s="49">
        <f>IFERROR(IF(VLOOKUP(A69,tbMoveset!A2:J112,10,FALSE)=TRUE,IF((Backdoors!AI12+IF(JA69&gt;=0.45,VLOOKUP(Calculator!E23,tbSkills!DH3:DI6,2,FALSE)+IF(AND(Calculator!B8=TRUE,Backdoors!BI40=TRUE),VLOOKUP(Calculator!E23,tbSkills!DH3:DJ6,3,FALSE),0),0))&gt;=0,1+(Backdoors!AL2*(IF((Backdoors!AI12+IF(JA69&gt;=0.45,VLOOKUP(Calculator!E23,tbSkills!DH3:DI6,2,FALSE)+IF(AND(Calculator!B8=TRUE,Backdoors!BI40=TRUE),VLOOKUP(Calculator!E23,tbSkills!DH3:DJ6,3,FALSE),0),0))&gt;=100,100,(Backdoors!AI12+IF(JA69&gt;=0.45,VLOOKUP(Calculator!E23,tbSkills!DH3:DI6,2,FALSE)+IF(AND(Calculator!B8=TRUE,Backdoors!BI40=TRUE),VLOOKUP(Calculator!E23,tbSkills!DH3:DJ6,3,FALSE),0),0)))/100)),(1-(0.25*((-Backdoors!AI12-IF(JA69&gt;=0.45,VLOOKUP(Calculator!E23,tbSkills!DH3:DI6,2,FALSE)+IF(AND(Calculator!B8=TRUE,Backdoors!BI40=TRUE),VLOOKUP(Calculator!E23,tbSkills!DH3:DJ6,3,FALSE),0),0))/100)))),1),"")</f>
        <v>1</v>
      </c>
      <c r="JD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A69)*JC69)*(VLOOKUP(A69,tbMoveset!A2:C112,3,FALSE)/100)*IF(VLOOKUP(A69,tbMoveset!A2:B112,2,FALSE)="Projectile",Backdoors!N10,Backdoors!N9),0),"")</f>
        <v/>
      </c>
      <c r="JE69" s="49">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42&gt;0,VLOOKUP(Calculator!E42,tbSkills!AC3:AD5,2,FALSE),Backdoors!AL3)*(IF((Backdoors!AI12+IF(JA69&gt;=0.45,VLOOKUP(Calculator!E23,tbSkills!DH3:DI6,2,FALSE)+IF(AND(Calculator!B8=TRUE,Backdoors!BI40=TRUE),VLOOKUP(Calculator!E23,tbSkills!DH3:DJ6,3,FALSE),0),0))&gt;=100,100,(Backdoors!AI12+IF(JA69&gt;=0.45,VLOOKUP(Calculator!E23,tbSkills!DH3:DI6,2,FALSE)+IF(AND(Calculator!B8=TRUE,Backdoors!BI40=TRUE),VLOOKUP(Calculator!E23,tbSkills!DH3:DJ6,3,FALSE),0),0)))/100)),1))*IF(VLOOKUP(A69,tbMoveset!A2:K112,11,FALSE)=TRUE,Backdoors!AC5,1))*JB69,0),"")</f>
        <v>0</v>
      </c>
      <c r="JF69" s="49">
        <f>VLOOKUP(A69,tbMoveset!A2:G112,7,FALSE)*IFERROR(IF(Backdoors!AI12&gt;=0,1+(IF(Calculator!E40&gt;0,VLOOKUP(Calculator!E40,tbSkills!AI3:AJ5,2,FALSE),Backdoors!AL4)*(IF((Backdoors!AI12+IF(JA69&gt;=0.45,VLOOKUP(Calculator!E23,tbSkills!DH3:DI6,2,FALSE)+IF(AND(Calculator!B8=TRUE,Backdoors!BI40=TRUE),VLOOKUP(Calculator!E23,tbSkills!DH3:DJ6,3,FALSE),0),0))&gt;=100,100,(Backdoors!AI12+IF(JA69&gt;=0.45,VLOOKUP(Calculator!E23,tbSkills!DH3:DI6,2,FALSE)+IF(AND(Calculator!B8=TRUE,Backdoors!BI40=TRUE),VLOOKUP(Calculator!E23,tbSkills!DH3:DJ6,3,FALSE),0),0)))/100)),1),1)</f>
        <v>0.8</v>
      </c>
      <c r="JG69" s="87">
        <f t="shared" si="88"/>
        <v>0</v>
      </c>
      <c r="JH69" s="86" t="str">
        <f>IFERROR(IF(VLOOKUP(A69,tbMoveset!A2:B112,2,FALSE)="Sever",Backdoors!AY41/100,IF(VLOOKUP(A69,tbMoveset!A2:B112,2,FALSE)="Blunt",Backdoors!AZ41/100,Backdoors!BA41/100)),"")</f>
        <v/>
      </c>
      <c r="JI69" s="49">
        <f>IFERROR(IF(VLOOKUP(tbMoveset!A69,tbMoveset!A2:H112,8,FALSE)="Other",IF(VLOOKUP(tbMoveset!A69,tbMoveset!A2:I112,9,FALSE)="Fire",Backdoors!BB41,IF(VLOOKUP(tbMoveset!A69,tbMoveset!A2:I112,9,FALSE)="Water",Backdoors!BC41,IF(VLOOKUP(tbMoveset!A69,tbMoveset!A2:I112,9,FALSE)="Thunder",Backdoors!BD41,IF(VLOOKUP(tbMoveset!A69,tbMoveset!A2:I112,9,FALSE)="Ice",Backdoors!BE41,IF(VLOOKUP(tbMoveset!A69,tbMoveset!A2:I112,9,FALSE)="Dragon",Backdoors!BF41,Backdoors!BG41)))))/100,Backdoors!BG41/100),"")</f>
        <v>0</v>
      </c>
      <c r="JJ69" s="49">
        <f>IFERROR(IF(VLOOKUP(A69,tbMoveset!A2:J112,10,FALSE)=TRUE,IF((Backdoors!AI12+IF(JH69&gt;=0.45,VLOOKUP(Calculator!E23,tbSkills!DH3:DI6,2,FALSE)+IF(AND(Calculator!B8=TRUE,Backdoors!BI41=TRUE),VLOOKUP(Calculator!E23,tbSkills!DH3:DJ6,3,FALSE),0),0))&gt;=0,1+(Backdoors!AL2*(IF((Backdoors!AI12+IF(JH69&gt;=0.45,VLOOKUP(Calculator!E23,tbSkills!DH3:DI6,2,FALSE)+IF(AND(Calculator!B8=TRUE,Backdoors!BI41=TRUE),VLOOKUP(Calculator!E23,tbSkills!DH3:DJ6,3,FALSE),0),0))&gt;=100,100,(Backdoors!AI12+IF(JH69&gt;=0.45,VLOOKUP(Calculator!E23,tbSkills!DH3:DI6,2,FALSE)+IF(AND(Calculator!B8=TRUE,Backdoors!BI41=TRUE),VLOOKUP(Calculator!E23,tbSkills!DH3:DJ6,3,FALSE),0),0)))/100)),(1-(0.25*((-Backdoors!AI12-IF(JH69&gt;=0.45,VLOOKUP(Calculator!E23,tbSkills!DH3:DI6,2,FALSE)+IF(AND(Calculator!B8=TRUE,Backdoors!BI41=TRUE),VLOOKUP(Calculator!E23,tbSkills!DH3:DJ6,3,FALSE),0),0))/100)))),1),"")</f>
        <v>1</v>
      </c>
      <c r="JK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H69)*JJ69)*(VLOOKUP(A69,tbMoveset!A2:C112,3,FALSE)/100)*IF(VLOOKUP(A69,tbMoveset!A2:B112,2,FALSE)="Projectile",Backdoors!N10,Backdoors!N9),0),"")</f>
        <v/>
      </c>
      <c r="JL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43&gt;0,VLOOKUP(Calculator!E43,tbSkills!AC3:AD5,2,FALSE),Backdoors!AL3)*(IF((Backdoors!AI12+IF(JH69&gt;=0.45,VLOOKUP(Calculator!E23,tbSkills!DH3:DI6,2,FALSE)+IF(AND(Calculator!B8=TRUE,Backdoors!BI41=TRUE),VLOOKUP(Calculator!E23,tbSkills!DH3:DJ6,3,FALSE),0),0))&gt;=100,100,(Backdoors!AI12+IF(JH69&gt;=0.45,VLOOKUP(Calculator!E23,tbSkills!DH3:DI6,2,FALSE)+IF(AND(Calculator!B8=TRUE,Backdoors!BI41=TRUE),VLOOKUP(Calculator!E23,tbSkills!DH3:DJ6,3,FALSE),0),0)))/100)),1))*IF(VLOOKUP(A69,tbMoveset!A2:K112,11,FALSE)=TRUE,Backdoors!AC5,1))*JI69,0),"")</f>
        <v/>
      </c>
      <c r="JM69" s="49">
        <f>VLOOKUP(A69,tbMoveset!A2:G112,7,FALSE)*IFERROR(IF(Backdoors!AI12&gt;=0,1+(IF(Calculator!E40&gt;0,VLOOKUP(Calculator!E40,tbSkills!AI3:AJ5,2,FALSE),Backdoors!AL4)*(IF((Backdoors!AI12+IF(JH69&gt;=0.45,VLOOKUP(Calculator!E23,tbSkills!DH3:DI6,2,FALSE)+IF(AND(Calculator!B8=TRUE,Backdoors!BI41=TRUE),VLOOKUP(Calculator!E23,tbSkills!DH3:DJ6,3,FALSE),0),0))&gt;=100,100,(Backdoors!AI12+IF(JH69&gt;=0.45,VLOOKUP(Calculator!E23,tbSkills!DH3:DI6,2,FALSE)+IF(AND(Calculator!B8=TRUE,Backdoors!BI41=TRUE),VLOOKUP(Calculator!E23,tbSkills!DH3:DJ6,3,FALSE),0),0)))/100)),1),1)</f>
        <v>0.8</v>
      </c>
      <c r="JN69" s="87">
        <f t="shared" si="89"/>
        <v>0</v>
      </c>
      <c r="JO69" s="86" t="str">
        <f>IFERROR(IF(VLOOKUP(A69,tbMoveset!A2:B112,2,FALSE)="Sever",Backdoors!AY42/100,IF(VLOOKUP(A69,tbMoveset!A2:B112,2,FALSE)="Blunt",Backdoors!AZ42/100,Backdoors!BA42/100)),"")</f>
        <v/>
      </c>
      <c r="JP69" s="49">
        <f>IFERROR(IF(VLOOKUP(tbMoveset!A69,tbMoveset!A2:H112,8,FALSE)="Other",IF(VLOOKUP(tbMoveset!A69,tbMoveset!A2:I112,9,FALSE)="Fire",Backdoors!BB42,IF(VLOOKUP(tbMoveset!A69,tbMoveset!A2:I112,9,FALSE)="Water",Backdoors!BC42,IF(VLOOKUP(tbMoveset!A69,tbMoveset!A2:I112,9,FALSE)="Thunder",Backdoors!BD42,IF(VLOOKUP(tbMoveset!A69,tbMoveset!A2:I112,9,FALSE)="Ice",Backdoors!BE42,IF(VLOOKUP(tbMoveset!A69,tbMoveset!A2:I112,9,FALSE)="Dragon",Backdoors!BF42,Backdoors!BG42)))))/100,Backdoors!BG42/100),"")</f>
        <v>0</v>
      </c>
      <c r="JQ69" s="49">
        <f>IFERROR(IF(VLOOKUP(A69,tbMoveset!A2:J112,10,FALSE)=TRUE,IF((Backdoors!AI12+IF(JO69&gt;=0.45,VLOOKUP(Calculator!E23,tbSkills!DH3:DI6,2,FALSE)+IF(AND(Calculator!B8=TRUE,Backdoors!BI42=TRUE),VLOOKUP(Calculator!E23,tbSkills!DH3:DJ6,3,FALSE),0),0))&gt;=0,1+(Backdoors!AL2*(IF((Backdoors!AI12+IF(JO69&gt;=0.45,VLOOKUP(Calculator!E23,tbSkills!DH3:DI6,2,FALSE)+IF(AND(Calculator!B8=TRUE,Backdoors!BI42=TRUE),VLOOKUP(Calculator!E23,tbSkills!DH3:DJ6,3,FALSE),0),0))&gt;=100,100,(Backdoors!AI12+IF(JO69&gt;=0.45,VLOOKUP(Calculator!E23,tbSkills!DH3:DI6,2,FALSE)+IF(AND(Calculator!B8=TRUE,Backdoors!BI42=TRUE),VLOOKUP(Calculator!E23,tbSkills!DH3:DJ6,3,FALSE),0),0)))/100)),(1-(0.25*((-Backdoors!AI12-IF(JO69&gt;=0.45,VLOOKUP(Calculator!E23,tbSkills!DH3:DI6,2,FALSE)+IF(AND(Calculator!B8=TRUE,Backdoors!BI42=TRUE),VLOOKUP(Calculator!E23,tbSkills!DH3:DJ6,3,FALSE),0),0))/100)))),1),"")</f>
        <v>1</v>
      </c>
      <c r="JR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O69)*JQ69)*(VLOOKUP(A69,tbMoveset!A2:C112,3,FALSE)/100)*IF(VLOOKUP(A69,tbMoveset!A2:B112,2,FALSE)="Projectile",Backdoors!N10,Backdoors!N9),0),"")</f>
        <v/>
      </c>
      <c r="JS69" s="49">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45&gt;0,VLOOKUP(Calculator!E45,tbSkills!AC3:AD5,2,FALSE),Backdoors!AL3)*(IF((Backdoors!AI12+IF(JO69&gt;=0.45,VLOOKUP(Calculator!E23,tbSkills!DH3:DI6,2,FALSE)+IF(AND(Calculator!B8=TRUE,Backdoors!BI42=TRUE),VLOOKUP(Calculator!E23,tbSkills!DH3:DJ6,3,FALSE),0),0))&gt;=100,100,(Backdoors!AI12+IF(JO69&gt;=0.45,VLOOKUP(Calculator!E23,tbSkills!DH3:DI6,2,FALSE)+IF(AND(Calculator!B8=TRUE,Backdoors!BI42=TRUE),VLOOKUP(Calculator!E23,tbSkills!DH3:DJ6,3,FALSE),0),0)))/100)),1))*IF(VLOOKUP(A69,tbMoveset!A2:K112,11,FALSE)=TRUE,Backdoors!AC5,1))*JP69,0),"")</f>
        <v>0</v>
      </c>
      <c r="JT69" s="49">
        <f>VLOOKUP(A69,tbMoveset!A2:G112,7,FALSE)*IFERROR(IF(Backdoors!AI12&gt;=0,1+(IF(Calculator!E40&gt;0,VLOOKUP(Calculator!E40,tbSkills!AI3:AJ5,2,FALSE),Backdoors!AL4)*(IF((Backdoors!AI12+IF(JO69&gt;=0.45,VLOOKUP(Calculator!E23,tbSkills!DH3:DI6,2,FALSE)+IF(AND(Calculator!B8=TRUE,Backdoors!BI42=TRUE),VLOOKUP(Calculator!E23,tbSkills!DH3:DJ6,3,FALSE),0),0))&gt;=100,100,(Backdoors!AI12+IF(JO69&gt;=0.45,VLOOKUP(Calculator!E23,tbSkills!DH3:DI6,2,FALSE)+IF(AND(Calculator!B8=TRUE,Backdoors!BI42=TRUE),VLOOKUP(Calculator!E23,tbSkills!DH3:DJ6,3,FALSE),0),0)))/100)),1),1)</f>
        <v>0.8</v>
      </c>
      <c r="JU69" s="87">
        <f t="shared" si="90"/>
        <v>0</v>
      </c>
      <c r="JV69" s="86" t="str">
        <f>IFERROR(IF(VLOOKUP(A69,tbMoveset!A2:B112,2,FALSE)="Sever",Backdoors!AY43/100,IF(VLOOKUP(A69,tbMoveset!A2:B112,2,FALSE)="Blunt",Backdoors!AZ43/100,Backdoors!BA43/100)),"")</f>
        <v/>
      </c>
      <c r="JW69" s="49">
        <f>IFERROR(IF(VLOOKUP(tbMoveset!A69,tbMoveset!A2:H112,8,FALSE)="Other",IF(VLOOKUP(tbMoveset!A69,tbMoveset!A2:I112,9,FALSE)="Fire",Backdoors!BB43,IF(VLOOKUP(tbMoveset!A69,tbMoveset!A2:I112,9,FALSE)="Water",Backdoors!BC43,IF(VLOOKUP(tbMoveset!A69,tbMoveset!A2:I112,9,FALSE)="Thunder",Backdoors!BD43,IF(VLOOKUP(tbMoveset!A69,tbMoveset!A2:I112,9,FALSE)="Ice",Backdoors!BE43,IF(VLOOKUP(tbMoveset!A69,tbMoveset!A2:I112,9,FALSE)="Dragon",Backdoors!BF43,Backdoors!BG43)))))/100,Backdoors!BG43/100),"")</f>
        <v>0</v>
      </c>
      <c r="JX69" s="49">
        <f>IFERROR(IF(VLOOKUP(A69,tbMoveset!A2:J112,10,FALSE)=TRUE,IF((Backdoors!AI12+IF(JV69&gt;=0.45,VLOOKUP(Calculator!E23,tbSkills!DH3:DI6,2,FALSE)+IF(AND(Calculator!B8=TRUE,Backdoors!BI43=TRUE),VLOOKUP(Calculator!E23,tbSkills!DH3:DJ6,3,FALSE),0),0))&gt;=0,1+(Backdoors!AL2*(IF((Backdoors!AI12+IF(JV69&gt;=0.45,VLOOKUP(Calculator!E23,tbSkills!DH3:DI6,2,FALSE)+IF(AND(Calculator!B8=TRUE,Backdoors!BI43=TRUE),VLOOKUP(Calculator!E23,tbSkills!DH3:DJ6,3,FALSE),0),0))&gt;=100,100,(Backdoors!AI12+IF(JV69&gt;=0.45,VLOOKUP(Calculator!E23,tbSkills!DH3:DI6,2,FALSE)+IF(AND(Calculator!B8=TRUE,Backdoors!BI43=TRUE),VLOOKUP(Calculator!E23,tbSkills!DH3:DJ6,3,FALSE),0),0)))/100)),(1-(0.25*((-Backdoors!AI12-IF(JV69&gt;=0.45,VLOOKUP(Calculator!E23,tbSkills!DH3:DI6,2,FALSE)+IF(AND(Calculator!B8=TRUE,Backdoors!BI43=TRUE),VLOOKUP(Calculator!E23,tbSkills!DH3:DJ6,3,FALSE),0),0))/100)))),1),"")</f>
        <v>1</v>
      </c>
      <c r="JY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V69)*JX69)*(VLOOKUP(A69,tbMoveset!A2:C112,3,FALSE)/100)*IF(VLOOKUP(A69,tbMoveset!A2:B112,2,FALSE)="Projectile",Backdoors!N10,Backdoors!N9),0),"")</f>
        <v/>
      </c>
      <c r="JZ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46&gt;0,VLOOKUP(Calculator!E46,tbSkills!AC3:AD5,2,FALSE),Backdoors!AL3)*(IF((Backdoors!AI12+IF(JV69&gt;=0.45,VLOOKUP(Calculator!E23,tbSkills!DH3:DI6,2,FALSE)+IF(AND(Calculator!B8=TRUE,Backdoors!BI43=TRUE),VLOOKUP(Calculator!E23,tbSkills!DH3:DJ6,3,FALSE),0),0))&gt;=100,100,(Backdoors!AI12+IF(JV69&gt;=0.45,VLOOKUP(Calculator!E23,tbSkills!DH3:DI6,2,FALSE)+IF(AND(Calculator!B8=TRUE,Backdoors!BI43=TRUE),VLOOKUP(Calculator!E23,tbSkills!DH3:DJ6,3,FALSE),0),0)))/100)),1))*IF(VLOOKUP(A69,tbMoveset!A2:K112,11,FALSE)=TRUE,Backdoors!AC5,1))*JW69,0),"")</f>
        <v/>
      </c>
      <c r="KA69" s="49">
        <f>VLOOKUP(A69,tbMoveset!A2:G112,7,FALSE)*IFERROR(IF(Backdoors!AI12&gt;=0,1+(IF(Calculator!E40&gt;0,VLOOKUP(Calculator!E40,tbSkills!AI3:AJ5,2,FALSE),Backdoors!AL4)*(IF((Backdoors!AI12+IF(JV69&gt;=0.45,VLOOKUP(Calculator!E23,tbSkills!DH3:DI6,2,FALSE)+IF(AND(Calculator!B8=TRUE,Backdoors!BI43=TRUE),VLOOKUP(Calculator!E23,tbSkills!DH3:DJ6,3,FALSE),0),0))&gt;=100,100,(Backdoors!AI12+IF(JV69&gt;=0.45,VLOOKUP(Calculator!E23,tbSkills!DH3:DI6,2,FALSE)+IF(AND(Calculator!B8=TRUE,Backdoors!BI43=TRUE),VLOOKUP(Calculator!E23,tbSkills!DH3:DJ6,3,FALSE),0),0)))/100)),1),1)</f>
        <v>0.8</v>
      </c>
      <c r="KB69" s="87">
        <f t="shared" si="91"/>
        <v>0</v>
      </c>
      <c r="KC69" s="86" t="str">
        <f>IFERROR(IF(VLOOKUP(A69,tbMoveset!A2:B112,2,FALSE)="Sever",Backdoors!AY44/100,IF(VLOOKUP(A69,tbMoveset!A2:B112,2,FALSE)="Blunt",Backdoors!AZ44/100,Backdoors!BA44/100)),"")</f>
        <v/>
      </c>
      <c r="KD69" s="49">
        <f>IFERROR(IF(VLOOKUP(tbMoveset!A69,tbMoveset!A2:H112,8,FALSE)="Other",IF(VLOOKUP(tbMoveset!A69,tbMoveset!A2:I112,9,FALSE)="Fire",Backdoors!BB44,IF(VLOOKUP(tbMoveset!A69,tbMoveset!A2:I112,9,FALSE)="Water",Backdoors!BC44,IF(VLOOKUP(tbMoveset!A69,tbMoveset!A2:I112,9,FALSE)="Thunder",Backdoors!BD44,IF(VLOOKUP(tbMoveset!A69,tbMoveset!A2:I112,9,FALSE)="Ice",Backdoors!BE44,IF(VLOOKUP(tbMoveset!A69,tbMoveset!A2:I112,9,FALSE)="Dragon",Backdoors!BF44,Backdoors!BG44)))))/100,Backdoors!BG44/100),"")</f>
        <v>0</v>
      </c>
      <c r="KE69" s="49">
        <f>IFERROR(IF(VLOOKUP(A69,tbMoveset!A2:J112,10,FALSE)=TRUE,IF((Backdoors!AI12+IF(KC69&gt;=0.45,VLOOKUP(Calculator!E23,tbSkills!DH3:DI6,2,FALSE)+IF(AND(Calculator!B8=TRUE,Backdoors!BI44=TRUE),VLOOKUP(Calculator!E23,tbSkills!DH3:DJ6,3,FALSE),0),0))&gt;=0,1+(Backdoors!AL2*(IF((Backdoors!AI12+IF(KC69&gt;=0.45,VLOOKUP(Calculator!E23,tbSkills!DH3:DI6,2,FALSE)+IF(AND(Calculator!B8=TRUE,Backdoors!BI44=TRUE),VLOOKUP(Calculator!E23,tbSkills!DH3:DJ6,3,FALSE),0),0))&gt;=100,100,(Backdoors!AI12+IF(KC69&gt;=0.45,VLOOKUP(Calculator!E23,tbSkills!DH3:DI6,2,FALSE)+IF(AND(Calculator!B8=TRUE,Backdoors!BI44=TRUE),VLOOKUP(Calculator!E23,tbSkills!DH3:DJ6,3,FALSE),0),0)))/100)),(1-(0.25*((-Backdoors!AI12-IF(KC69&gt;=0.45,VLOOKUP(Calculator!E23,tbSkills!DH3:DI6,2,FALSE)+IF(AND(Calculator!B8=TRUE,Backdoors!BI44=TRUE),VLOOKUP(Calculator!E23,tbSkills!DH3:DJ6,3,FALSE),0),0))/100)))),1),"")</f>
        <v>1</v>
      </c>
      <c r="KF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KC69)*KE69)*(VLOOKUP(A69,tbMoveset!A2:C112,3,FALSE)/100)*IF(VLOOKUP(A69,tbMoveset!A2:B112,2,FALSE)="Projectile",Backdoors!N10,Backdoors!N9),0),"")</f>
        <v/>
      </c>
      <c r="KG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REF!&gt;0,VLOOKUP(Calculator!#REF!,tbSkills!AC3:AD5,2,FALSE),Backdoors!AL3)*(IF((Backdoors!AI12+IF(KC69&gt;=0.45,VLOOKUP(Calculator!E23,tbSkills!DH3:DI6,2,FALSE)+IF(AND(Calculator!B8=TRUE,Backdoors!BI44=TRUE),VLOOKUP(Calculator!E23,tbSkills!DH3:DJ6,3,FALSE),0),0))&gt;=100,100,(Backdoors!AI12+IF(KC69&gt;=0.45,VLOOKUP(Calculator!E23,tbSkills!DH3:DI6,2,FALSE)+IF(AND(Calculator!B8=TRUE,Backdoors!BI44=TRUE),VLOOKUP(Calculator!E23,tbSkills!DH3:DJ6,3,FALSE),0),0)))/100)),1))*IF(VLOOKUP(A69,tbMoveset!A2:K112,11,FALSE)=TRUE,Backdoors!AC5,1))*KD69,0),"")</f>
        <v/>
      </c>
      <c r="KH69" s="49">
        <f>VLOOKUP(A69,tbMoveset!A2:G112,7,FALSE)*IFERROR(IF(Backdoors!AI12&gt;=0,1+(IF(Calculator!E40&gt;0,VLOOKUP(Calculator!E40,tbSkills!AI3:AJ5,2,FALSE),Backdoors!AL4)*(IF((Backdoors!AI12+IF(KC69&gt;=0.45,VLOOKUP(Calculator!E23,tbSkills!DH3:DI6,2,FALSE)+IF(AND(Calculator!B8=TRUE,Backdoors!BI44=TRUE),VLOOKUP(Calculator!E23,tbSkills!DH3:DJ6,3,FALSE),0),0))&gt;=100,100,(Backdoors!AI12+IF(KC69&gt;=0.45,VLOOKUP(Calculator!E23,tbSkills!DH3:DI6,2,FALSE)+IF(AND(Calculator!B8=TRUE,Backdoors!BI44=TRUE),VLOOKUP(Calculator!E23,tbSkills!DH3:DJ6,3,FALSE),0),0)))/100)),1),1)</f>
        <v>0.8</v>
      </c>
      <c r="KI69" s="87">
        <f t="shared" si="92"/>
        <v>0</v>
      </c>
      <c r="KJ69" s="86" t="str">
        <f>IFERROR(IF(VLOOKUP(A69,tbMoveset!A2:B112,2,FALSE)="Sever",Backdoors!AY45/100,IF(VLOOKUP(A69,tbMoveset!A2:B112,2,FALSE)="Blunt",Backdoors!AZ45/100,Backdoors!BA45/100)),"")</f>
        <v/>
      </c>
      <c r="KK69" s="49">
        <f>IFERROR(IF(VLOOKUP(tbMoveset!A69,tbMoveset!A2:H112,8,FALSE)="Other",IF(VLOOKUP(tbMoveset!A69,tbMoveset!A2:I112,9,FALSE)="Fire",Backdoors!BB45,IF(VLOOKUP(tbMoveset!A69,tbMoveset!A2:I112,9,FALSE)="Water",Backdoors!BC45,IF(VLOOKUP(tbMoveset!A69,tbMoveset!A2:I112,9,FALSE)="Thunder",Backdoors!BD45,IF(VLOOKUP(tbMoveset!A69,tbMoveset!A2:I112,9,FALSE)="Ice",Backdoors!BE45,IF(VLOOKUP(tbMoveset!A69,tbMoveset!A2:I112,9,FALSE)="Dragon",Backdoors!BF45,Backdoors!BG45)))))/100,Backdoors!BG45/100),"")</f>
        <v>0</v>
      </c>
      <c r="KL69" s="49">
        <f>IFERROR(IF(VLOOKUP(A69,tbMoveset!A2:J112,10,FALSE)=TRUE,IF((Backdoors!AI12+IF(KJ69&gt;=0.45,VLOOKUP(Calculator!E23,tbSkills!DH3:DI6,2,FALSE)+IF(AND(Calculator!B8=TRUE,Backdoors!BI45=TRUE),VLOOKUP(Calculator!E23,tbSkills!DH3:DJ6,3,FALSE),0),0))&gt;=0,1+(Backdoors!AL2*(IF((Backdoors!AI12+IF(KJ69&gt;=0.45,VLOOKUP(Calculator!E23,tbSkills!DH3:DI6,2,FALSE)+IF(AND(Calculator!B8=TRUE,Backdoors!BI45=TRUE),VLOOKUP(Calculator!E23,tbSkills!DH3:DJ6,3,FALSE),0),0))&gt;=100,100,(Backdoors!AI12+IF(KJ69&gt;=0.45,VLOOKUP(Calculator!E23,tbSkills!DH3:DI6,2,FALSE)+IF(AND(Calculator!B8=TRUE,Backdoors!BI45=TRUE),VLOOKUP(Calculator!E23,tbSkills!DH3:DJ6,3,FALSE),0),0)))/100)),(1-(0.25*((-Backdoors!AI12-IF(KJ69&gt;=0.45,VLOOKUP(Calculator!E23,tbSkills!DH3:DI6,2,FALSE)+IF(AND(Calculator!B8=TRUE,Backdoors!BI45=TRUE),VLOOKUP(Calculator!E23,tbSkills!DH3:DJ6,3,FALSE),0),0))/100)))),1),"")</f>
        <v>1</v>
      </c>
      <c r="KM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KJ69)*KL69)*(VLOOKUP(A69,tbMoveset!A2:C112,3,FALSE)/100)*IF(VLOOKUP(A69,tbMoveset!A2:B112,2,FALSE)="Projectile",Backdoors!N10,Backdoors!N9),0),"")</f>
        <v/>
      </c>
      <c r="KN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REF!&gt;0,VLOOKUP(Calculator!#REF!,tbSkills!AC3:AD5,2,FALSE),Backdoors!AL3)*(IF((Backdoors!AI12+IF(KJ69&gt;=0.45,VLOOKUP(Calculator!E23,tbSkills!DH3:DI6,2,FALSE)+IF(AND(Calculator!B8=TRUE,Backdoors!BI45=TRUE),VLOOKUP(Calculator!E23,tbSkills!DH3:DJ6,3,FALSE),0),0))&gt;=100,100,(Backdoors!AI12+IF(KJ69&gt;=0.45,VLOOKUP(Calculator!E23,tbSkills!DH3:DI6,2,FALSE)+IF(AND(Calculator!B8=TRUE,Backdoors!BI45=TRUE),VLOOKUP(Calculator!E23,tbSkills!DH3:DJ6,3,FALSE),0),0)))/100)),1))*IF(VLOOKUP(A69,tbMoveset!A2:K112,11,FALSE)=TRUE,Backdoors!AC5,1))*KK69,0),"")</f>
        <v/>
      </c>
      <c r="KO69" s="49">
        <f>VLOOKUP(A69,tbMoveset!A2:G112,7,FALSE)*IFERROR(IF(Backdoors!AI12&gt;=0,1+(IF(Calculator!E40&gt;0,VLOOKUP(Calculator!E40,tbSkills!AI3:AJ5,2,FALSE),Backdoors!AL4)*(IF((Backdoors!AI12+IF(KJ69&gt;=0.45,VLOOKUP(Calculator!E23,tbSkills!DH3:DI6,2,FALSE)+IF(AND(Calculator!B8=TRUE,Backdoors!BI45=TRUE),VLOOKUP(Calculator!E23,tbSkills!DH3:DJ6,3,FALSE),0),0))&gt;=100,100,(Backdoors!AI12+IF(KJ69&gt;=0.45,VLOOKUP(Calculator!E23,tbSkills!DH3:DI6,2,FALSE)+IF(AND(Calculator!B8=TRUE,Backdoors!BI45=TRUE),VLOOKUP(Calculator!E23,tbSkills!DH3:DJ6,3,FALSE),0),0)))/100)),1),1)</f>
        <v>0.8</v>
      </c>
      <c r="KP69" s="87">
        <f t="shared" si="93"/>
        <v>0</v>
      </c>
      <c r="KQ69" s="86" t="str">
        <f>IFERROR(IF(VLOOKUP(A69,tbMoveset!A2:B112,2,FALSE)="Sever",Backdoors!AY46/100,IF(VLOOKUP(A69,tbMoveset!A2:B112,2,FALSE)="Blunt",Backdoors!AZ46/100,Backdoors!BA46/100)),"")</f>
        <v/>
      </c>
      <c r="KR69" s="49">
        <f>IFERROR(IF(VLOOKUP(tbMoveset!A69,tbMoveset!A2:H112,8,FALSE)="Other",IF(VLOOKUP(tbMoveset!A69,tbMoveset!A2:I112,9,FALSE)="Fire",Backdoors!BB46,IF(VLOOKUP(tbMoveset!A69,tbMoveset!A2:I112,9,FALSE)="Water",Backdoors!BC46,IF(VLOOKUP(tbMoveset!A69,tbMoveset!A2:I112,9,FALSE)="Thunder",Backdoors!BD46,IF(VLOOKUP(tbMoveset!A69,tbMoveset!A2:I112,9,FALSE)="Ice",Backdoors!BE46,IF(VLOOKUP(tbMoveset!A69,tbMoveset!A2:I112,9,FALSE)="Dragon",Backdoors!BF46,Backdoors!BG46)))))/100,Backdoors!BG46/100),"")</f>
        <v>0</v>
      </c>
      <c r="KS69" s="49">
        <f>IFERROR(IF(VLOOKUP(A69,tbMoveset!A2:J112,10,FALSE)=TRUE,IF((Backdoors!AI12+IF(KQ69&gt;=0.45,VLOOKUP(Calculator!E23,tbSkills!DH3:DI6,2,FALSE)+IF(AND(Calculator!B8=TRUE,Backdoors!BI46=TRUE),VLOOKUP(Calculator!E23,tbSkills!DH3:DJ6,3,FALSE),0),0))&gt;=0,1+(Backdoors!AL2*(IF((Backdoors!AI12+IF(KQ69&gt;=0.45,VLOOKUP(Calculator!E23,tbSkills!DH3:DI6,2,FALSE)+IF(AND(Calculator!B8=TRUE,Backdoors!BI46=TRUE),VLOOKUP(Calculator!E23,tbSkills!DH3:DJ6,3,FALSE),0),0))&gt;=100,100,(Backdoors!AI12+IF(KQ69&gt;=0.45,VLOOKUP(Calculator!E23,tbSkills!DH3:DI6,2,FALSE)+IF(AND(Calculator!B8=TRUE,Backdoors!BI46=TRUE),VLOOKUP(Calculator!E23,tbSkills!DH3:DJ6,3,FALSE),0),0)))/100)),(1-(0.25*((-Backdoors!AI12-IF(KQ69&gt;=0.45,VLOOKUP(Calculator!E23,tbSkills!DH3:DI6,2,FALSE)+IF(AND(Calculator!B8=TRUE,Backdoors!BI46=TRUE),VLOOKUP(Calculator!E23,tbSkills!DH3:DJ6,3,FALSE),0),0))/100)))),1),"")</f>
        <v>1</v>
      </c>
      <c r="KT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KQ69)*KS69)*(VLOOKUP(A69,tbMoveset!A2:C112,3,FALSE)/100)*IF(VLOOKUP(A69,tbMoveset!A2:B112,2,FALSE)="Projectile",Backdoors!N10,Backdoors!N9),0),"")</f>
        <v/>
      </c>
      <c r="KU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REF!&gt;0,VLOOKUP(Calculator!#REF!,tbSkills!AC3:AD5,2,FALSE),Backdoors!AL3)*(IF((Backdoors!AI12+IF(KQ69&gt;=0.45,VLOOKUP(Calculator!E23,tbSkills!DH3:DI6,2,FALSE)+IF(AND(Calculator!B8=TRUE,Backdoors!BI46=TRUE),VLOOKUP(Calculator!E23,tbSkills!DH3:DJ6,3,FALSE),0),0))&gt;=100,100,(Backdoors!AI12+IF(KQ69&gt;=0.45,VLOOKUP(Calculator!E23,tbSkills!DH3:DI6,2,FALSE)+IF(AND(Calculator!B8=TRUE,Backdoors!BI46=TRUE),VLOOKUP(Calculator!E23,tbSkills!DH3:DJ6,3,FALSE),0),0)))/100)),1))*IF(VLOOKUP(A69,tbMoveset!A2:K112,11,FALSE)=TRUE,Backdoors!AC5,1))*KR69,0),"")</f>
        <v/>
      </c>
      <c r="KV69" s="49">
        <f>VLOOKUP(A69,tbMoveset!A2:G112,7,FALSE)*IFERROR(IF(Backdoors!AI12&gt;=0,1+(IF(Calculator!E40&gt;0,VLOOKUP(Calculator!E40,tbSkills!AI3:AJ5,2,FALSE),Backdoors!AL4)*(IF((Backdoors!AI12+IF(KQ69&gt;=0.45,VLOOKUP(Calculator!E23,tbSkills!DH3:DI6,2,FALSE)+IF(AND(Calculator!B8=TRUE,Backdoors!BI46=TRUE),VLOOKUP(Calculator!E23,tbSkills!DH3:DJ6,3,FALSE),0),0))&gt;=100,100,(Backdoors!AI12+IF(KQ69&gt;=0.45,VLOOKUP(Calculator!E23,tbSkills!DH3:DI6,2,FALSE)+IF(AND(Calculator!B8=TRUE,Backdoors!BI46=TRUE),VLOOKUP(Calculator!E23,tbSkills!DH3:DJ6,3,FALSE),0),0)))/100)),1),1)</f>
        <v>0.8</v>
      </c>
      <c r="KW69" s="87">
        <f t="shared" si="94"/>
        <v>0</v>
      </c>
    </row>
    <row r="70" spans="1:309" x14ac:dyDescent="0.25">
      <c r="A70" s="95" t="str">
        <f>tbMoveset!A70</f>
        <v>Blade Dance (R8)</v>
      </c>
      <c r="B70" s="86">
        <f>IFERROR(IF(VLOOKUP(A70,tbMoveset!A2:B112,2,FALSE)="Sever",Backdoors!AY3/100,IF(VLOOKUP(A70,tbMoveset!A2:B112,2,FALSE)="Blunt",Backdoors!AZ3/100,Backdoors!BA3/100)),"")</f>
        <v>0.8</v>
      </c>
      <c r="C70" s="49">
        <f>IFERROR(IF(VLOOKUP(tbMoveset!A70,tbMoveset!A2:H112,8,FALSE)="Other",IF(VLOOKUP(tbMoveset!A70,tbMoveset!A2:I112,9,FALSE)="Fire",Backdoors!BB3,IF(VLOOKUP(tbMoveset!A70,tbMoveset!A2:I112,9,FALSE)="Water",Backdoors!BC3,IF(VLOOKUP(tbMoveset!A70,tbMoveset!A2:I112,9,FALSE)="Thunder",Backdoors!BD3,IF(VLOOKUP(tbMoveset!A70,tbMoveset!A2:I112,9,FALSE)="Ice",Backdoors!BE3,IF(VLOOKUP(tbMoveset!A70,tbMoveset!A2:I112,9,FALSE)="Dragon",Backdoors!BF3,Backdoors!BG3)))))/100,Backdoors!BG3/100),"")</f>
        <v>0</v>
      </c>
      <c r="D70" s="49">
        <f>IFERROR(IF(VLOOKUP(A70,tbMoveset!A2:J112,10,FALSE)=TRUE,IF((Backdoors!AI12+IF(B70&gt;=0.45,VLOOKUP(Calculator!E23,tbSkills!DH3:DI6,2,FALSE)+IF(AND(Calculator!B8=TRUE,Backdoors!BI3=TRUE),VLOOKUP(Calculator!E23,tbSkills!DH3:DJ6,3,FALSE),0),0))&gt;=0,1+(Backdoors!AL2*(IF((Backdoors!AI12+IF(B70&gt;=0.45,VLOOKUP(Calculator!E23,tbSkills!DH3:DI6,2,FALSE)+IF(AND(Calculator!B8=TRUE,Backdoors!BI3=TRUE),VLOOKUP(Calculator!E23,tbSkills!DH3:DJ6,3,FALSE),0),0))&gt;=100,100,(Backdoors!AI12+IF(B70&gt;=0.45,VLOOKUP(Calculator!E23,tbSkills!DH3:DI6,2,FALSE)+IF(AND(Calculator!B8=TRUE,Backdoors!BI3=TRUE),VLOOKUP(Calculator!E23,tbSkills!DH3:DJ6,3,FALSE),0),0)))/100)),(1-(0.25*((-Backdoors!AI12-IF(B70&gt;=0.45,VLOOKUP(Calculator!E23,tbSkills!DH3:DI6,2,FALSE)+IF(AND(Calculator!B8=TRUE,Backdoors!BI3=TRUE),VLOOKUP(Calculator!E23,tbSkills!DH3:DJ6,3,FALSE),0),0))/100)))),1),"")</f>
        <v>1</v>
      </c>
      <c r="E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70)*D70)*(VLOOKUP(A70,tbMoveset!A2:C112,3,FALSE)/100)*IF(VLOOKUP(A70,tbMoveset!A2:B112,2,FALSE)="Projectile",Backdoors!N10,Backdoors!N9),0),"")</f>
        <v>13</v>
      </c>
      <c r="F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70&gt;=0.45,VLOOKUP(Calculator!E23,tbSkills!DH3:DI6,2,FALSE)+IF(AND(Calculator!B8=TRUE,Backdoors!BI3=TRUE),VLOOKUP(Calculator!E23,tbSkills!DH3:DJ6,3,FALSE),0),0))&gt;=100,100,(Backdoors!AI12+IF(B70&gt;=0.45,VLOOKUP(Calculator!E23,tbSkills!DH3:DI6,2,FALSE)+IF(AND(Calculator!B8=TRUE,Backdoors!BI3=TRUE),VLOOKUP(Calculator!E23,tbSkills!DH3:DJ6,3,FALSE),0),0)))/100)),1))*IF(VLOOKUP(A70,tbMoveset!A2:K112,11,FALSE)=TRUE,Backdoors!AC5,1))*C70,0),"")</f>
        <v>0</v>
      </c>
      <c r="G70">
        <f>VLOOKUP(A70,tbMoveset!A2:G112,7,FALSE)*IFERROR(IF(Backdoors!AI12&gt;=0,1+(IF(Calculator!E40&gt;0,VLOOKUP(Calculator!E40,tbSkills!AI3:AJ5,2,FALSE),Backdoors!AL4)*(IF((Backdoors!AI12+IF(B70&gt;=0.45,VLOOKUP(Calculator!E23,tbSkills!DH3:DI6,2,FALSE)+IF(AND(Calculator!B8=TRUE,Backdoors!BI3=TRUE),VLOOKUP(Calculator!E23,tbSkills!DH3:DJ6,3,FALSE),0),0))&gt;=100,100,(Backdoors!AI12+IF(B70&gt;=0.45,VLOOKUP(Calculator!E23,tbSkills!DH3:DI6,2,FALSE)+IF(AND(Calculator!B8=TRUE,Backdoors!BI3=TRUE),VLOOKUP(Calculator!E23,tbSkills!DH3:DJ6,3,FALSE),0),0)))/100)),1),1)</f>
        <v>0.8</v>
      </c>
      <c r="H70" s="87">
        <f t="shared" si="51"/>
        <v>13</v>
      </c>
      <c r="I70" s="86">
        <f>IFERROR(IF(VLOOKUP(A70,tbMoveset!A2:B112,2,FALSE)="Sever",Backdoors!AY4/100,IF(VLOOKUP(A70,tbMoveset!A2:B112,2,FALSE)="Blunt",Backdoors!AZ4/100,Backdoors!BA4/100)),"")</f>
        <v>0.65</v>
      </c>
      <c r="J70" s="49">
        <f>IFERROR(IF(VLOOKUP(tbMoveset!A70,tbMoveset!A2:H112,8,FALSE)="Other",IF(VLOOKUP(tbMoveset!A70,tbMoveset!A2:I112,9,FALSE)="Fire",Backdoors!BB4,IF(VLOOKUP(tbMoveset!A70,tbMoveset!A2:I112,9,FALSE)="Water",Backdoors!BC4,IF(VLOOKUP(tbMoveset!A70,tbMoveset!A2:I112,9,FALSE)="Thunder",Backdoors!BD4,IF(VLOOKUP(tbMoveset!A70,tbMoveset!A2:I112,9,FALSE)="Ice",Backdoors!BE4,IF(VLOOKUP(tbMoveset!A70,tbMoveset!A2:I112,9,FALSE)="Dragon",Backdoors!BF4,Backdoors!BG4)))))/100,Backdoors!BG4/100),"")</f>
        <v>0</v>
      </c>
      <c r="K70" s="49">
        <f>IFERROR(IF(VLOOKUP(A70,tbMoveset!A2:J112,10,FALSE)=TRUE,IF((Backdoors!AI12+IF(I70&gt;=0.45,VLOOKUP(Calculator!E23,tbSkills!DH3:DI6,2,FALSE)+IF(AND(Calculator!B8=TRUE,Backdoors!BI4=TRUE),VLOOKUP(Calculator!E23,tbSkills!DH3:DJ6,3,FALSE),0),0))&gt;=0,1+(Backdoors!AL2*(IF((Backdoors!AI12+IF(I70&gt;=0.45,VLOOKUP(Calculator!E23,tbSkills!DH3:DI6,2,FALSE)+IF(AND(Calculator!B8=TRUE,Backdoors!BI4=TRUE),VLOOKUP(Calculator!E23,tbSkills!DH3:DJ6,3,FALSE),0),0))&gt;=100,100,(Backdoors!AI12+IF(I70&gt;=0.45,VLOOKUP(Calculator!E23,tbSkills!DH3:DI6,2,FALSE)+IF(AND(Calculator!B8=TRUE,Backdoors!BI4=TRUE),VLOOKUP(Calculator!E23,tbSkills!DH3:DJ6,3,FALSE),0),0)))/100)),(1-(0.25*((-Backdoors!AI12-IF(I70&gt;=0.45,VLOOKUP(Calculator!E23,tbSkills!DH3:DI6,2,FALSE)+IF(AND(Calculator!B8=TRUE,Backdoors!BI4=TRUE),VLOOKUP(Calculator!E23,tbSkills!DH3:DJ6,3,FALSE),0),0))/100)))),1),"")</f>
        <v>1</v>
      </c>
      <c r="L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70)*K70)*(VLOOKUP(A70,tbMoveset!A2:C112,3,FALSE)/100)*IF(VLOOKUP(A70,tbMoveset!A2:B112,2,FALSE)="Projectile",Backdoors!N10,Backdoors!N9),0),"")</f>
        <v>11</v>
      </c>
      <c r="M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I70&gt;=0.45,VLOOKUP(Calculator!E23,tbSkills!DH3:DI6,2,FALSE)+IF(AND(Calculator!B8=TRUE,Backdoors!BI4=TRUE),VLOOKUP(Calculator!E23,tbSkills!DH3:DJ6,3,FALSE),0),0))&gt;=100,100,(Backdoors!AI12+IF(I70&gt;=0.45,VLOOKUP(Calculator!E23,tbSkills!DH3:DI6,2,FALSE)+IF(AND(Calculator!B8=TRUE,Backdoors!BI4=TRUE),VLOOKUP(Calculator!E23,tbSkills!DH3:DJ6,3,FALSE),0),0)))/100)),1))*IF(VLOOKUP(A70,tbMoveset!A2:K112,11,FALSE)=TRUE,Backdoors!AC5,1))*J70,0),"")</f>
        <v>0</v>
      </c>
      <c r="N70" s="49">
        <f>VLOOKUP(A70,tbMoveset!A2:G112,7,FALSE)*IFERROR(IF(Backdoors!AI12&gt;=0,1+(IF(Calculator!E40&gt;0,VLOOKUP(Calculator!E40,tbSkills!AI3:AJ5,2,FALSE),Backdoors!AL4)*(IF((Backdoors!AI12+IF(I70&gt;=0.45,VLOOKUP(Calculator!E23,tbSkills!DH3:DI6,2,FALSE)+IF(AND(Calculator!B8=TRUE,Backdoors!BI4=TRUE),VLOOKUP(Calculator!E23,tbSkills!DH3:DJ6,3,FALSE),0),0))&gt;=100,100,(Backdoors!AI12+IF(I70&gt;=0.45,VLOOKUP(Calculator!E23,tbSkills!DH3:DI6,2,FALSE)+IF(AND(Calculator!B8=TRUE,Backdoors!BI4=TRUE),VLOOKUP(Calculator!E23,tbSkills!DH3:DJ6,3,FALSE),0),0)))/100)),1),1)</f>
        <v>0.8</v>
      </c>
      <c r="O70" s="87">
        <f t="shared" si="52"/>
        <v>11</v>
      </c>
      <c r="P70" s="86">
        <f>IFERROR(IF(VLOOKUP(A70,tbMoveset!A2:B112,2,FALSE)="Sever",Backdoors!AY5/100,IF(VLOOKUP(A70,tbMoveset!A2:B112,2,FALSE)="Blunt",Backdoors!AZ5/100,Backdoors!BA5/100)),"")</f>
        <v>0.5</v>
      </c>
      <c r="Q70" s="49">
        <f>IFERROR(IF(VLOOKUP(tbMoveset!A70,tbMoveset!A2:H112,8,FALSE)="Other",IF(VLOOKUP(tbMoveset!A70,tbMoveset!A2:I112,9,FALSE)="Fire",Backdoors!BB5,IF(VLOOKUP(tbMoveset!A70,tbMoveset!A2:I112,9,FALSE)="Water",Backdoors!BC5,IF(VLOOKUP(tbMoveset!A70,tbMoveset!A2:I112,9,FALSE)="Thunder",Backdoors!BD5,IF(VLOOKUP(tbMoveset!A70,tbMoveset!A2:I112,9,FALSE)="Ice",Backdoors!BE5,IF(VLOOKUP(tbMoveset!A70,tbMoveset!A2:I112,9,FALSE)="Dragon",Backdoors!BF5,Backdoors!BG5)))))/100,Backdoors!BG5/100),"")</f>
        <v>0</v>
      </c>
      <c r="R70" s="49">
        <f>IFERROR(IF(VLOOKUP(A70,tbMoveset!A2:J112,10,FALSE)=TRUE,IF((Backdoors!AI12+IF(P70&gt;=0.45,VLOOKUP(Calculator!E23,tbSkills!DH3:DI6,2,FALSE)+IF(AND(Calculator!B8=TRUE,Backdoors!BI5=TRUE),VLOOKUP(Calculator!E23,tbSkills!DH3:DJ6,3,FALSE),0),0))&gt;=0,1+(Backdoors!AL2*(IF((Backdoors!AI12+IF(P70&gt;=0.45,VLOOKUP(Calculator!E23,tbSkills!DH3:DI6,2,FALSE)+IF(AND(Calculator!B8=TRUE,Backdoors!BI5=TRUE),VLOOKUP(Calculator!E23,tbSkills!DH3:DJ6,3,FALSE),0),0))&gt;=100,100,(Backdoors!AI12+IF(P70&gt;=0.45,VLOOKUP(Calculator!E23,tbSkills!DH3:DI6,2,FALSE)+IF(AND(Calculator!B8=TRUE,Backdoors!BI5=TRUE),VLOOKUP(Calculator!E23,tbSkills!DH3:DJ6,3,FALSE),0),0)))/100)),(1-(0.25*((-Backdoors!AI12-IF(P70&gt;=0.45,VLOOKUP(Calculator!E23,tbSkills!DH3:DI6,2,FALSE)+IF(AND(Calculator!B8=TRUE,Backdoors!BI5=TRUE),VLOOKUP(Calculator!E23,tbSkills!DH3:DJ6,3,FALSE),0),0))/100)))),1),"")</f>
        <v>1</v>
      </c>
      <c r="S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P70)*R70)*(VLOOKUP(A70,tbMoveset!A2:C112,3,FALSE)/100)*IF(VLOOKUP(A70,tbMoveset!A2:B112,2,FALSE)="Projectile",Backdoors!N10,Backdoors!N9),0),"")</f>
        <v>8</v>
      </c>
      <c r="T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P70&gt;=0.45,VLOOKUP(Calculator!E23,tbSkills!DH3:DI6,2,FALSE)+IF(AND(Calculator!B8=TRUE,Backdoors!BI5=TRUE),VLOOKUP(Calculator!E23,tbSkills!DH3:DJ6,3,FALSE),0),0))&gt;=100,100,(Backdoors!AI12+IF(P70&gt;=0.45,VLOOKUP(Calculator!E23,tbSkills!DH3:DI6,2,FALSE)+IF(AND(Calculator!B8=TRUE,Backdoors!BI5=TRUE),VLOOKUP(Calculator!E23,tbSkills!DH3:DJ6,3,FALSE),0),0)))/100)),1))*IF(VLOOKUP(A70,tbMoveset!A2:K112,11,FALSE)=TRUE,Backdoors!AC5,1))*Q70,0),"")</f>
        <v>0</v>
      </c>
      <c r="U70" s="49">
        <f>VLOOKUP(A70,tbMoveset!A2:G112,7,FALSE)*IFERROR(IF(Backdoors!AI12&gt;=0,1+(IF(Calculator!E40&gt;0,VLOOKUP(Calculator!E40,tbSkills!AI3:AJ5,2,FALSE),Backdoors!AL4)*(IF((Backdoors!AI12+IF(P70&gt;=0.45,VLOOKUP(Calculator!E23,tbSkills!DH3:DI6,2,FALSE)+IF(AND(Calculator!B8=TRUE,Backdoors!BI5=TRUE),VLOOKUP(Calculator!E23,tbSkills!DH3:DJ6,3,FALSE),0),0))&gt;=100,100,(Backdoors!AI12+IF(P70&gt;=0.45,VLOOKUP(Calculator!E23,tbSkills!DH3:DI6,2,FALSE)+IF(AND(Calculator!B8=TRUE,Backdoors!BI5=TRUE),VLOOKUP(Calculator!E23,tbSkills!DH3:DJ6,3,FALSE),0),0)))/100)),1),1)</f>
        <v>0.8</v>
      </c>
      <c r="V70" s="87">
        <f t="shared" si="53"/>
        <v>8</v>
      </c>
      <c r="W70" s="86">
        <f>IFERROR(IF(VLOOKUP(A70,tbMoveset!A2:B112,2,FALSE)="Sever",Backdoors!AY6/100,IF(VLOOKUP(A70,tbMoveset!A2:B112,2,FALSE)="Blunt",Backdoors!AZ6/100,Backdoors!BA6/100)),"")</f>
        <v>0.45</v>
      </c>
      <c r="X70" s="49">
        <f>IFERROR(IF(VLOOKUP(tbMoveset!A70,tbMoveset!A2:H112,8,FALSE)="Other",IF(VLOOKUP(tbMoveset!A70,tbMoveset!A2:I112,9,FALSE)="Fire",Backdoors!BB6,IF(VLOOKUP(tbMoveset!A70,tbMoveset!A2:I112,9,FALSE)="Water",Backdoors!BC6,IF(VLOOKUP(tbMoveset!A70,tbMoveset!A2:I112,9,FALSE)="Thunder",Backdoors!BD6,IF(VLOOKUP(tbMoveset!A70,tbMoveset!A2:I112,9,FALSE)="Ice",Backdoors!BE6,IF(VLOOKUP(tbMoveset!A70,tbMoveset!A2:I112,9,FALSE)="Dragon",Backdoors!BF6,Backdoors!BG6)))))/100,Backdoors!BG6/100),"")</f>
        <v>0</v>
      </c>
      <c r="Y70" s="49">
        <f>IFERROR(IF(VLOOKUP(A70,tbMoveset!A2:J112,10,FALSE)=TRUE,IF((Backdoors!AI12+IF(W70&gt;=0.45,VLOOKUP(Calculator!E23,tbSkills!DH3:DI6,2,FALSE)+IF(AND(Calculator!B8=TRUE,Backdoors!BI6=TRUE),VLOOKUP(Calculator!E23,tbSkills!DH3:DJ6,3,FALSE),0),0))&gt;=0,1+(Backdoors!AL2*(IF((Backdoors!AI12+IF(W70&gt;=0.45,VLOOKUP(Calculator!E23,tbSkills!DH3:DI6,2,FALSE)+IF(AND(Calculator!B8=TRUE,Backdoors!BI6=TRUE),VLOOKUP(Calculator!E23,tbSkills!DH3:DJ6,3,FALSE),0),0))&gt;=100,100,(Backdoors!AI12+IF(W70&gt;=0.45,VLOOKUP(Calculator!E23,tbSkills!DH3:DI6,2,FALSE)+IF(AND(Calculator!B8=TRUE,Backdoors!BI6=TRUE),VLOOKUP(Calculator!E23,tbSkills!DH3:DJ6,3,FALSE),0),0)))/100)),(1-(0.25*((-Backdoors!AI12-IF(W70&gt;=0.45,VLOOKUP(Calculator!E23,tbSkills!DH3:DI6,2,FALSE)+IF(AND(Calculator!B8=TRUE,Backdoors!BI6=TRUE),VLOOKUP(Calculator!E23,tbSkills!DH3:DJ6,3,FALSE),0),0))/100)))),1),"")</f>
        <v>1</v>
      </c>
      <c r="Z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W70)*Y70)*(VLOOKUP(A70,tbMoveset!A2:C112,3,FALSE)/100)*IF(VLOOKUP(A70,tbMoveset!A2:B112,2,FALSE)="Projectile",Backdoors!N10,Backdoors!N9),0),"")</f>
        <v>8</v>
      </c>
      <c r="AA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W70&gt;=0.45,VLOOKUP(Calculator!E23,tbSkills!DH3:DI6,2,FALSE)+IF(AND(Calculator!B8=TRUE,Backdoors!BI6=TRUE),VLOOKUP(Calculator!E23,tbSkills!DH3:DJ6,3,FALSE),0),0))&gt;=100,100,(Backdoors!AI12+IF(W70&gt;=0.45,VLOOKUP(Calculator!E23,tbSkills!DH3:DI6,2,FALSE)+IF(AND(Calculator!B8=TRUE,Backdoors!BI6=TRUE),VLOOKUP(Calculator!E23,tbSkills!DH3:DJ6,3,FALSE),0),0)))/100)),1))*IF(VLOOKUP(A70,tbMoveset!A2:K112,11,FALSE)=TRUE,Backdoors!AC5,1))*X70,0),"")</f>
        <v>0</v>
      </c>
      <c r="AB70" s="49">
        <f>VLOOKUP(A70,tbMoveset!A2:G112,7,FALSE)*IFERROR(IF(Backdoors!AI12&gt;=0,1+(IF(Calculator!E40&gt;0,VLOOKUP(Calculator!E40,tbSkills!AI3:AJ5,2,FALSE),Backdoors!AL4)*(IF((Backdoors!AI12+IF(W70&gt;=0.45,VLOOKUP(Calculator!E23,tbSkills!DH3:DI6,2,FALSE)+IF(AND(Calculator!B8=TRUE,Backdoors!BI6=TRUE),VLOOKUP(Calculator!E23,tbSkills!DH3:DJ6,3,FALSE),0),0))&gt;=100,100,(Backdoors!AI12+IF(W70&gt;=0.45,VLOOKUP(Calculator!E23,tbSkills!DH3:DI6,2,FALSE)+IF(AND(Calculator!B8=TRUE,Backdoors!BI6=TRUE),VLOOKUP(Calculator!E23,tbSkills!DH3:DJ6,3,FALSE),0),0)))/100)),1),1)</f>
        <v>0.8</v>
      </c>
      <c r="AC70" s="87">
        <f t="shared" si="54"/>
        <v>8</v>
      </c>
      <c r="AD70" s="86">
        <f>IFERROR(IF(VLOOKUP(A70,tbMoveset!A2:B112,2,FALSE)="Sever",Backdoors!AY7/100,IF(VLOOKUP(A70,tbMoveset!A2:B112,2,FALSE)="Blunt",Backdoors!AZ7/100,Backdoors!BA7/100)),"")</f>
        <v>0.65</v>
      </c>
      <c r="AE70" s="49">
        <f>IFERROR(IF(VLOOKUP(tbMoveset!A70,tbMoveset!A2:H112,8,FALSE)="Other",IF(VLOOKUP(tbMoveset!A70,tbMoveset!A2:I112,9,FALSE)="Fire",Backdoors!BB7,IF(VLOOKUP(tbMoveset!A70,tbMoveset!A2:I112,9,FALSE)="Water",Backdoors!BC7,IF(VLOOKUP(tbMoveset!A70,tbMoveset!A2:I112,9,FALSE)="Thunder",Backdoors!BD7,IF(VLOOKUP(tbMoveset!A70,tbMoveset!A2:I112,9,FALSE)="Ice",Backdoors!BE7,IF(VLOOKUP(tbMoveset!A70,tbMoveset!A2:I112,9,FALSE)="Dragon",Backdoors!BF7,Backdoors!BG7)))))/100,Backdoors!BG7/100),"")</f>
        <v>0</v>
      </c>
      <c r="AF70" s="49">
        <f>IFERROR(IF(VLOOKUP(A70,tbMoveset!A2:J112,10,FALSE)=TRUE,IF((Backdoors!AI12+IF(AD70&gt;=0.45,VLOOKUP(Calculator!E23,tbSkills!DH3:DI6,2,FALSE)+IF(AND(Calculator!B8=TRUE,Backdoors!BI7=TRUE),VLOOKUP(Calculator!E23,tbSkills!DH3:DJ6,3,FALSE),0),0))&gt;=0,1+(Backdoors!AL2*(IF((Backdoors!AI12+IF(AD70&gt;=0.45,VLOOKUP(Calculator!E23,tbSkills!DH3:DI6,2,FALSE)+IF(AND(Calculator!B8=TRUE,Backdoors!BI7=TRUE),VLOOKUP(Calculator!E23,tbSkills!DH3:DJ6,3,FALSE),0),0))&gt;=100,100,(Backdoors!AI12+IF(AD70&gt;=0.45,VLOOKUP(Calculator!E23,tbSkills!DH3:DI6,2,FALSE)+IF(AND(Calculator!B8=TRUE,Backdoors!BI7=TRUE),VLOOKUP(Calculator!E23,tbSkills!DH3:DJ6,3,FALSE),0),0)))/100)),(1-(0.25*((-Backdoors!AI12-IF(AD70&gt;=0.45,VLOOKUP(Calculator!E23,tbSkills!DH3:DI6,2,FALSE)+IF(AND(Calculator!B8=TRUE,Backdoors!BI7=TRUE),VLOOKUP(Calculator!E23,tbSkills!DH3:DJ6,3,FALSE),0),0))/100)))),1),"")</f>
        <v>1</v>
      </c>
      <c r="AG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D70)*AF70)*(VLOOKUP(A70,tbMoveset!A2:C112,3,FALSE)/100)*IF(VLOOKUP(A70,tbMoveset!A2:B112,2,FALSE)="Projectile",Backdoors!N10,Backdoors!N9),0),"")</f>
        <v>11</v>
      </c>
      <c r="AH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D70&gt;=0.45,VLOOKUP(Calculator!E23,tbSkills!DH3:DI6,2,FALSE)+IF(AND(Calculator!B8=TRUE,Backdoors!BI7=TRUE),VLOOKUP(Calculator!E23,tbSkills!DH3:DJ6,3,FALSE),0),0))&gt;=100,100,(Backdoors!AI12+IF(AD70&gt;=0.45,VLOOKUP(Calculator!E23,tbSkills!DH3:DI6,2,FALSE)+IF(AND(Calculator!B8=TRUE,Backdoors!BI7=TRUE),VLOOKUP(Calculator!E23,tbSkills!DH3:DJ6,3,FALSE),0),0)))/100)),1))*IF(VLOOKUP(A70,tbMoveset!A2:K112,11,FALSE)=TRUE,Backdoors!AC5,1))*AE70,0),"")</f>
        <v>0</v>
      </c>
      <c r="AI70" s="49">
        <f>VLOOKUP(A70,tbMoveset!A2:G112,7,FALSE)*IFERROR(IF(Backdoors!AI12&gt;=0,1+(IF(Calculator!E40&gt;0,VLOOKUP(Calculator!E40,tbSkills!AI3:AJ5,2,FALSE),Backdoors!AL4)*(IF((Backdoors!AI12+IF(AD70&gt;=0.45,VLOOKUP(Calculator!E23,tbSkills!DH3:DI6,2,FALSE)+IF(AND(Calculator!B8=TRUE,Backdoors!BI7=TRUE),VLOOKUP(Calculator!E23,tbSkills!DH3:DJ6,3,FALSE),0),0))&gt;=100,100,(Backdoors!AI12+IF(AD70&gt;=0.45,VLOOKUP(Calculator!E23,tbSkills!DH3:DI6,2,FALSE)+IF(AND(Calculator!B8=TRUE,Backdoors!BI7=TRUE),VLOOKUP(Calculator!E23,tbSkills!DH3:DJ6,3,FALSE),0),0)))/100)),1),1)</f>
        <v>0.8</v>
      </c>
      <c r="AJ70" s="87">
        <f t="shared" si="55"/>
        <v>11</v>
      </c>
      <c r="AK70" s="91">
        <f>IFERROR(IF(VLOOKUP(A70,tbMoveset!A2:B112,2,FALSE)="Sever",Backdoors!AY8/100,IF(VLOOKUP(A70,tbMoveset!A2:B112,2,FALSE)="Blunt",Backdoors!AZ8/100,Backdoors!BA8/100)),"")</f>
        <v>0.45</v>
      </c>
      <c r="AL70" s="49">
        <f>IFERROR(IF(VLOOKUP(tbMoveset!A70,tbMoveset!A2:H112,8,FALSE)="Other",IF(VLOOKUP(tbMoveset!A70,tbMoveset!A2:I112,9,FALSE)="Fire",Backdoors!BB8,IF(VLOOKUP(tbMoveset!A70,tbMoveset!A2:I112,9,FALSE)="Water",Backdoors!BC8,IF(VLOOKUP(tbMoveset!A70,tbMoveset!A2:I112,9,FALSE)="Thunder",Backdoors!BD8,IF(VLOOKUP(tbMoveset!A70,tbMoveset!A2:I112,9,FALSE)="Ice",Backdoors!BE8,IF(VLOOKUP(tbMoveset!A70,tbMoveset!A2:I112,9,FALSE)="Dragon",Backdoors!BF8,Backdoors!BG8)))))/100,Backdoors!BG8/100),"")</f>
        <v>0</v>
      </c>
      <c r="AM70" s="49">
        <f>IFERROR(IF(VLOOKUP(A70,tbMoveset!A2:J112,10,FALSE)=TRUE,IF((Backdoors!AI12+IF(AK70&gt;=0.45,VLOOKUP(Calculator!E23,tbSkills!DH3:DI6,2,FALSE)+IF(AND(Calculator!B8=TRUE,Backdoors!BI8=TRUE),VLOOKUP(Calculator!E23,tbSkills!DH3:DJ6,3,FALSE),0),0))&gt;=0,1+(Backdoors!AL2*(IF((Backdoors!AI12+IF(AK70&gt;=0.45,VLOOKUP(Calculator!E23,tbSkills!DH3:DI6,2,FALSE)+IF(AND(Calculator!B8=TRUE,Backdoors!BI8=TRUE),VLOOKUP(Calculator!E23,tbSkills!DH3:DJ6,3,FALSE),0),0))&gt;=100,100,(Backdoors!AI12+IF(AK70&gt;=0.45,VLOOKUP(Calculator!E23,tbSkills!DH3:DI6,2,FALSE)+IF(AND(Calculator!B8=TRUE,Backdoors!BI8=TRUE),VLOOKUP(Calculator!E23,tbSkills!DH3:DJ6,3,FALSE),0),0)))/100)),(1-(0.25*((-Backdoors!AI12-IF(AK70&gt;=0.45,VLOOKUP(Calculator!E23,tbSkills!DH3:DI6,2,FALSE)+IF(AND(Calculator!B8=TRUE,Backdoors!BI8=TRUE),VLOOKUP(Calculator!E23,tbSkills!DH3:DJ6,3,FALSE),0),0))/100)))),1),"")</f>
        <v>1</v>
      </c>
      <c r="AN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K70)*AM70)*(VLOOKUP(A70,tbMoveset!A2:C112,3,FALSE)/100)*IF(VLOOKUP(A70,tbMoveset!A2:B112,2,FALSE)="Projectile",Backdoors!N10,Backdoors!N9),0),"")</f>
        <v>8</v>
      </c>
      <c r="AO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K70&gt;=0.45,VLOOKUP(Calculator!E23,tbSkills!DH3:DI6,2,FALSE)+IF(AND(Calculator!B8=TRUE,Backdoors!BI8=TRUE),VLOOKUP(Calculator!E23,tbSkills!DH3:DJ6,3,FALSE),0),0))&gt;=100,100,(Backdoors!AI12+IF(AK70&gt;=0.45,VLOOKUP(Calculator!E23,tbSkills!DH3:DI6,2,FALSE)+IF(AND(Calculator!B8=TRUE,Backdoors!BI8=TRUE),VLOOKUP(Calculator!E23,tbSkills!DH3:DJ6,3,FALSE),0),0)))/100)),1))*IF(VLOOKUP(A70,tbMoveset!A2:K112,11,FALSE)=TRUE,Backdoors!AC5,1))*AL70,0),"")</f>
        <v>0</v>
      </c>
      <c r="AP70" s="49">
        <f>VLOOKUP(A70,tbMoveset!A2:G112,7,FALSE)*IFERROR(IF(Backdoors!AI12&gt;=0,1+(IF(Calculator!E40&gt;0,VLOOKUP(Calculator!E40,tbSkills!AI3:AJ5,2,FALSE),Backdoors!AL4)*(IF((Backdoors!AI12+IF(AK70&gt;=0.45,VLOOKUP(Calculator!E23,tbSkills!DH3:DI6,2,FALSE)+IF(AND(Calculator!B8=TRUE,Backdoors!BI8=TRUE),VLOOKUP(Calculator!E23,tbSkills!DH3:DJ6,3,FALSE),0),0))&gt;=100,100,(Backdoors!AI12+IF(AK70&gt;=0.45,VLOOKUP(Calculator!E23,tbSkills!DH3:DI6,2,FALSE)+IF(AND(Calculator!B8=TRUE,Backdoors!BI8=TRUE),VLOOKUP(Calculator!E23,tbSkills!DH3:DJ6,3,FALSE),0),0)))/100)),1),1)</f>
        <v>0.8</v>
      </c>
      <c r="AQ70" s="87">
        <f t="shared" si="56"/>
        <v>8</v>
      </c>
      <c r="AR70" s="86">
        <f>IFERROR(IF(VLOOKUP(A70,tbMoveset!A2:B112,2,FALSE)="Sever",Backdoors!AY9/100,IF(VLOOKUP(A70,tbMoveset!A2:B112,2,FALSE)="Blunt",Backdoors!AZ9/100,Backdoors!BA9/100)),"")</f>
        <v>0.45</v>
      </c>
      <c r="AS70" s="49">
        <f>IFERROR(IF(VLOOKUP(tbMoveset!A70,tbMoveset!A2:H112,8,FALSE)="Other",IF(VLOOKUP(tbMoveset!A70,tbMoveset!A2:I112,9,FALSE)="Fire",Backdoors!BB9,IF(VLOOKUP(tbMoveset!A70,tbMoveset!A2:I112,9,FALSE)="Water",Backdoors!BC9,IF(VLOOKUP(tbMoveset!A70,tbMoveset!A2:I112,9,FALSE)="Thunder",Backdoors!BD9,IF(VLOOKUP(tbMoveset!A70,tbMoveset!A2:I112,9,FALSE)="Ice",Backdoors!BE9,IF(VLOOKUP(tbMoveset!A70,tbMoveset!A2:I112,9,FALSE)="Dragon",Backdoors!BF9,Backdoors!BG9)))))/100,Backdoors!BG9/100),"")</f>
        <v>0</v>
      </c>
      <c r="AT70" s="49">
        <f>IFERROR(IF(VLOOKUP(A70,tbMoveset!A2:J112,10,FALSE)=TRUE,IF((Backdoors!AI12+IF(AR70&gt;=0.45,VLOOKUP(Calculator!E23,tbSkills!DH3:DI6,2,FALSE)+IF(AND(Calculator!B8=TRUE,Backdoors!BI9=TRUE),VLOOKUP(Calculator!E23,tbSkills!DH3:DJ6,3,FALSE),0),0))&gt;=0,1+(Backdoors!AL2*(IF((Backdoors!AI12+IF(AR70&gt;=0.45,VLOOKUP(Calculator!E23,tbSkills!DH3:DI6,2,FALSE)+IF(AND(Calculator!B8=TRUE,Backdoors!BI9=TRUE),VLOOKUP(Calculator!E23,tbSkills!DH3:DJ6,3,FALSE),0),0))&gt;=100,100,(Backdoors!AI12+IF(AR70&gt;=0.45,VLOOKUP(Calculator!E23,tbSkills!DH3:DI6,2,FALSE)+IF(AND(Calculator!B8=TRUE,Backdoors!BI9=TRUE),VLOOKUP(Calculator!E23,tbSkills!DH3:DJ6,3,FALSE),0),0)))/100)),(1-(0.25*((-Backdoors!AI12-IF(AR70&gt;=0.45,VLOOKUP(Calculator!E23,tbSkills!DH3:DI6,2,FALSE)+IF(AND(Calculator!B8=TRUE,Backdoors!BI9=TRUE),VLOOKUP(Calculator!E23,tbSkills!DH3:DJ6,3,FALSE),0),0))/100)))),1),"")</f>
        <v>1</v>
      </c>
      <c r="AU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R70)*AT70)*(VLOOKUP(A70,tbMoveset!A2:C112,3,FALSE)/100)*IF(VLOOKUP(A70,tbMoveset!A2:B112,2,FALSE)="Projectile",Backdoors!N10,Backdoors!N9),0),"")</f>
        <v>8</v>
      </c>
      <c r="AV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R70&gt;=0.45,VLOOKUP(Calculator!E23,tbSkills!DH3:DI6,2,FALSE)+IF(AND(Calculator!B8=TRUE,Backdoors!BI9=TRUE),VLOOKUP(Calculator!E23,tbSkills!DH3:DJ6,3,FALSE),0),0))&gt;=100,100,(Backdoors!AI12+IF(AR70&gt;=0.45,VLOOKUP(Calculator!E23,tbSkills!DH3:DI6,2,FALSE)+IF(AND(Calculator!B8=TRUE,Backdoors!BI9=TRUE),VLOOKUP(Calculator!E23,tbSkills!DH3:DJ6,3,FALSE),0),0)))/100)),1))*IF(VLOOKUP(A70,tbMoveset!A2:K112,11,FALSE)=TRUE,Backdoors!AC5,1))*AS70,0),"")</f>
        <v>0</v>
      </c>
      <c r="AW70" s="49">
        <f>VLOOKUP(A70,tbMoveset!A2:G112,7,FALSE)*IFERROR(IF(Backdoors!AI12&gt;=0,1+(IF(Calculator!E40&gt;0,VLOOKUP(Calculator!E40,tbSkills!AI3:AJ5,2,FALSE),Backdoors!AL4)*(IF((Backdoors!AI12+IF(AR70&gt;=0.45,VLOOKUP(Calculator!E23,tbSkills!DH3:DI6,2,FALSE)+IF(AND(Calculator!B8=TRUE,Backdoors!BI9=TRUE),VLOOKUP(Calculator!E23,tbSkills!DH3:DJ6,3,FALSE),0),0))&gt;=100,100,(Backdoors!AI12+IF(AR70&gt;=0.45,VLOOKUP(Calculator!E23,tbSkills!DH3:DI6,2,FALSE)+IF(AND(Calculator!B8=TRUE,Backdoors!BI9=TRUE),VLOOKUP(Calculator!E23,tbSkills!DH3:DJ6,3,FALSE),0),0)))/100)),1),1)</f>
        <v>0.8</v>
      </c>
      <c r="AX70" s="87">
        <f t="shared" si="57"/>
        <v>8</v>
      </c>
      <c r="AY70" s="86">
        <f>IFERROR(IF(VLOOKUP(A70,tbMoveset!A2:B112,2,FALSE)="Sever",Backdoors!AY10/100,IF(VLOOKUP(A70,tbMoveset!A2:B112,2,FALSE)="Blunt",Backdoors!AZ10/100,Backdoors!BA10/100)),"")</f>
        <v>0.9</v>
      </c>
      <c r="AZ70" s="49">
        <f>IFERROR(IF(VLOOKUP(tbMoveset!A70,tbMoveset!A2:H112,8,FALSE)="Other",IF(VLOOKUP(tbMoveset!A70,tbMoveset!A2:I112,9,FALSE)="Fire",Backdoors!BB10,IF(VLOOKUP(tbMoveset!A70,tbMoveset!A2:I112,9,FALSE)="Water",Backdoors!BC10,IF(VLOOKUP(tbMoveset!A70,tbMoveset!A2:I112,9,FALSE)="Thunder",Backdoors!BD10,IF(VLOOKUP(tbMoveset!A70,tbMoveset!A2:I112,9,FALSE)="Ice",Backdoors!BE10,IF(VLOOKUP(tbMoveset!A70,tbMoveset!A2:I112,9,FALSE)="Dragon",Backdoors!BF10,Backdoors!BG10)))))/100,Backdoors!BG10/100),"")</f>
        <v>0</v>
      </c>
      <c r="BA70" s="49">
        <f>IFERROR(IF(VLOOKUP(A70,tbMoveset!A2:J112,10,FALSE)=TRUE,IF((Backdoors!AI12+IF(AY70&gt;=0.45,VLOOKUP(Calculator!E23,tbSkills!DH3:DI6,2,FALSE)+IF(AND(Calculator!B8=TRUE,Backdoors!BI10=TRUE),VLOOKUP(Calculator!E23,tbSkills!DH3:DJ6,3,FALSE),0),0))&gt;=0,1+(Backdoors!AL2*(IF((Backdoors!AI12+IF(AY70&gt;=0.45,VLOOKUP(Calculator!E23,tbSkills!DH3:DI6,2,FALSE)+IF(AND(Calculator!B8=TRUE,Backdoors!BI10=TRUE),VLOOKUP(Calculator!E23,tbSkills!DH3:DJ6,3,FALSE),0),0))&gt;=100,100,(Backdoors!AI12+IF(AY70&gt;=0.45,VLOOKUP(Calculator!E23,tbSkills!DH3:DI6,2,FALSE)+IF(AND(Calculator!B8=TRUE,Backdoors!BI10=TRUE),VLOOKUP(Calculator!E23,tbSkills!DH3:DJ6,3,FALSE),0),0)))/100)),(1-(0.25*((-Backdoors!AI12-IF(AY70&gt;=0.45,VLOOKUP(Calculator!E23,tbSkills!DH3:DI6,2,FALSE)+IF(AND(Calculator!B8=TRUE,Backdoors!BI10=TRUE),VLOOKUP(Calculator!E23,tbSkills!DH3:DJ6,3,FALSE),0),0))/100)))),1),"")</f>
        <v>1</v>
      </c>
      <c r="BB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Y70)*BA70)*(VLOOKUP(A70,tbMoveset!A2:C112,3,FALSE)/100)*IF(VLOOKUP(A70,tbMoveset!A2:B112,2,FALSE)="Projectile",Backdoors!N10,Backdoors!N9),0),"")</f>
        <v>15</v>
      </c>
      <c r="BC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Y70&gt;=0.45,VLOOKUP(Calculator!E23,tbSkills!DH3:DI6,2,FALSE)+IF(AND(Calculator!B8=TRUE,Backdoors!BI10=TRUE),VLOOKUP(Calculator!E23,tbSkills!DH3:DJ6,3,FALSE),0),0))&gt;=100,100,(Backdoors!AI12+IF(AY70&gt;=0.45,VLOOKUP(Calculator!E23,tbSkills!DH3:DI6,2,FALSE)+IF(AND(Calculator!B8=TRUE,Backdoors!BI10=TRUE),VLOOKUP(Calculator!E23,tbSkills!DH3:DJ6,3,FALSE),0),0)))/100)),1))*IF(VLOOKUP(A70,tbMoveset!A2:K112,11,FALSE)=TRUE,Backdoors!AC5,1))*AZ70,0),"")</f>
        <v>0</v>
      </c>
      <c r="BD70" s="49">
        <f>VLOOKUP(A70,tbMoveset!A2:G112,7,FALSE)*IFERROR(IF(Backdoors!AI12&gt;=0,1+(IF(Calculator!E40&gt;0,VLOOKUP(Calculator!E40,tbSkills!AI3:AJ5,2,FALSE),Backdoors!AL4)*(IF((Backdoors!AI12+IF(AY70&gt;=0.45,VLOOKUP(Calculator!E23,tbSkills!DH3:DI6,2,FALSE)+IF(AND(Calculator!B8=TRUE,Backdoors!BI10=TRUE),VLOOKUP(Calculator!E23,tbSkills!DH3:DJ6,3,FALSE),0),0))&gt;=100,100,(Backdoors!AI12+IF(AY70&gt;=0.45,VLOOKUP(Calculator!E23,tbSkills!DH3:DI6,2,FALSE)+IF(AND(Calculator!B8=TRUE,Backdoors!BI10=TRUE),VLOOKUP(Calculator!E23,tbSkills!DH3:DJ6,3,FALSE),0),0)))/100)),1),1)</f>
        <v>0.8</v>
      </c>
      <c r="BE70" s="87">
        <f t="shared" si="58"/>
        <v>15</v>
      </c>
      <c r="BF70" s="86" t="str">
        <f>IFERROR(IF(VLOOKUP(A70,tbMoveset!A2:B112,2,FALSE)="Sever",Backdoors!AY11/100,IF(VLOOKUP(A70,tbMoveset!A2:B112,2,FALSE)="Blunt",Backdoors!AZ11/100,Backdoors!BA11/100)),"")</f>
        <v/>
      </c>
      <c r="BG70" s="49">
        <f>IFERROR(IF(VLOOKUP(tbMoveset!A70,tbMoveset!A2:H112,8,FALSE)="Other",IF(VLOOKUP(tbMoveset!A70,tbMoveset!A2:I112,9,FALSE)="Fire",Backdoors!BB11,IF(VLOOKUP(tbMoveset!A70,tbMoveset!A2:I112,9,FALSE)="Water",Backdoors!BC11,IF(VLOOKUP(tbMoveset!A70,tbMoveset!A2:I112,9,FALSE)="Thunder",Backdoors!BD11,IF(VLOOKUP(tbMoveset!A70,tbMoveset!A2:I112,9,FALSE)="Ice",Backdoors!BE11,IF(VLOOKUP(tbMoveset!A70,tbMoveset!A2:I112,9,FALSE)="Dragon",Backdoors!BF11,Backdoors!BG11)))))/100,Backdoors!BG11/100),"")</f>
        <v>0</v>
      </c>
      <c r="BH70" s="49">
        <f>IFERROR(IF(VLOOKUP(A70,tbMoveset!A2:J112,10,FALSE)=TRUE,IF((Backdoors!AI12+IF(BF70&gt;=0.45,VLOOKUP(Calculator!E23,tbSkills!DH3:DI6,2,FALSE)+IF(AND(Calculator!B8=TRUE,Backdoors!BI11=TRUE),VLOOKUP(Calculator!E23,tbSkills!DH3:DJ6,3,FALSE),0),0))&gt;=0,1+(Backdoors!AL2*(IF((Backdoors!AI12+IF(BF70&gt;=0.45,VLOOKUP(Calculator!E23,tbSkills!DH3:DI6,2,FALSE)+IF(AND(Calculator!B8=TRUE,Backdoors!BI11=TRUE),VLOOKUP(Calculator!E23,tbSkills!DH3:DJ6,3,FALSE),0),0))&gt;=100,100,(Backdoors!AI12+IF(BF70&gt;=0.45,VLOOKUP(Calculator!E23,tbSkills!DH3:DI6,2,FALSE)+IF(AND(Calculator!B8=TRUE,Backdoors!BI11=TRUE),VLOOKUP(Calculator!E23,tbSkills!DH3:DJ6,3,FALSE),0),0)))/100)),(1-(0.25*((-Backdoors!AI12-IF(BF70&gt;=0.45,VLOOKUP(Calculator!E23,tbSkills!DH3:DI6,2,FALSE)+IF(AND(Calculator!B8=TRUE,Backdoors!BI11=TRUE),VLOOKUP(Calculator!E23,tbSkills!DH3:DJ6,3,FALSE),0),0))/100)))),1),"")</f>
        <v>1</v>
      </c>
      <c r="BI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F70)*BH70)*(VLOOKUP(A70,tbMoveset!A2:C112,3,FALSE)/100)*IF(VLOOKUP(A70,tbMoveset!A2:B112,2,FALSE)="Projectile",Backdoors!N10,Backdoors!N9),0),"")</f>
        <v/>
      </c>
      <c r="BJ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F70&gt;=0.45,VLOOKUP(Calculator!E23,tbSkills!DH3:DI6,2,FALSE)+IF(AND(Calculator!B8=TRUE,Backdoors!BI11=TRUE),VLOOKUP(Calculator!E23,tbSkills!DH3:DJ6,3,FALSE),0),0))&gt;=100,100,(Backdoors!AI12+IF(BF70&gt;=0.45,VLOOKUP(Calculator!E23,tbSkills!DH3:DI6,2,FALSE)+IF(AND(Calculator!B8=TRUE,Backdoors!BI11=TRUE),VLOOKUP(Calculator!E23,tbSkills!DH3:DJ6,3,FALSE),0),0)))/100)),1))*IF(VLOOKUP(A70,tbMoveset!A2:K112,11,FALSE)=TRUE,Backdoors!AC5,1))*BG70,0),"")</f>
        <v>0</v>
      </c>
      <c r="BK70" s="49">
        <f>VLOOKUP(A70,tbMoveset!A2:G112,7,FALSE)*IFERROR(IF(Backdoors!AI12&gt;=0,1+(IF(Calculator!E40&gt;0,VLOOKUP(Calculator!E40,tbSkills!AI3:AJ5,2,FALSE),Backdoors!AL4)*(IF((Backdoors!AI12+IF(BF70&gt;=0.45,VLOOKUP(Calculator!E23,tbSkills!DH3:DI6,2,FALSE)+IF(AND(Calculator!B8=TRUE,Backdoors!BI11=TRUE),VLOOKUP(Calculator!E23,tbSkills!DH3:DJ6,3,FALSE),0),0))&gt;=100,100,(Backdoors!AI12+IF(BF70&gt;=0.45,VLOOKUP(Calculator!E23,tbSkills!DH3:DI6,2,FALSE)+IF(AND(Calculator!B8=TRUE,Backdoors!BI11=TRUE),VLOOKUP(Calculator!E23,tbSkills!DH3:DJ6,3,FALSE),0),0)))/100)),1),1)</f>
        <v>0.8</v>
      </c>
      <c r="BL70" s="87">
        <f t="shared" si="59"/>
        <v>0</v>
      </c>
      <c r="BM70" s="86" t="str">
        <f>IFERROR(IF(VLOOKUP(A70,tbMoveset!A2:B112,2,FALSE)="Sever",Backdoors!AY12/100,IF(VLOOKUP(A70,tbMoveset!A2:B112,2,FALSE)="Blunt",Backdoors!AZ12/100,Backdoors!BA12/100)),"")</f>
        <v/>
      </c>
      <c r="BN70" s="49">
        <f>IFERROR(IF(VLOOKUP(tbMoveset!A70,tbMoveset!A2:H112,8,FALSE)="Other",IF(VLOOKUP(tbMoveset!A70,tbMoveset!A2:I112,9,FALSE)="Fire",Backdoors!BB12,IF(VLOOKUP(tbMoveset!A70,tbMoveset!A2:I112,9,FALSE)="Water",Backdoors!BC12,IF(VLOOKUP(tbMoveset!A70,tbMoveset!A2:I112,9,FALSE)="Thunder",Backdoors!BD12,IF(VLOOKUP(tbMoveset!A70,tbMoveset!A2:I112,9,FALSE)="Ice",Backdoors!BE12,IF(VLOOKUP(tbMoveset!A70,tbMoveset!A2:I112,9,FALSE)="Dragon",Backdoors!BF12,Backdoors!BG12)))))/100,Backdoors!BG12/100),"")</f>
        <v>0</v>
      </c>
      <c r="BO70" s="49">
        <f>IFERROR(IF(VLOOKUP(A70,tbMoveset!A2:J112,10,FALSE)=TRUE,IF((Backdoors!AI12+IF(BM70&gt;=0.45,VLOOKUP(Calculator!E23,tbSkills!DH3:DI6,2,FALSE)+IF(AND(Calculator!B8=TRUE,Backdoors!BI12=TRUE),VLOOKUP(Calculator!E23,tbSkills!DH3:DJ6,3,FALSE),0),0))&gt;=0,1+(Backdoors!AL2*(IF((Backdoors!AI12+IF(BM70&gt;=0.45,VLOOKUP(Calculator!E23,tbSkills!DH3:DI6,2,FALSE)+IF(AND(Calculator!B8=TRUE,Backdoors!BI12=TRUE),VLOOKUP(Calculator!E23,tbSkills!DH3:DJ6,3,FALSE),0),0))&gt;=100,100,(Backdoors!AI12+IF(BM70&gt;=0.45,VLOOKUP(Calculator!E23,tbSkills!DH3:DI6,2,FALSE)+IF(AND(Calculator!B8=TRUE,Backdoors!BI12=TRUE),VLOOKUP(Calculator!E23,tbSkills!DH3:DJ6,3,FALSE),0),0)))/100)),(1-(0.25*((-Backdoors!AI12-IF(BM70&gt;=0.45,VLOOKUP(Calculator!E23,tbSkills!DH3:DI6,2,FALSE)+IF(AND(Calculator!B8=TRUE,Backdoors!BI12=TRUE),VLOOKUP(Calculator!E23,tbSkills!DH3:DJ6,3,FALSE),0),0))/100)))),1),"")</f>
        <v>1</v>
      </c>
      <c r="BP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M70)*BO70)*(VLOOKUP(A70,tbMoveset!A2:C112,3,FALSE)/100)*IF(VLOOKUP(A70,tbMoveset!A2:B112,2,FALSE)="Projectile",Backdoors!N10,Backdoors!N9),0),"")</f>
        <v/>
      </c>
      <c r="BQ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M70&gt;=0.45,VLOOKUP(Calculator!E23,tbSkills!DH3:DI6,2,FALSE)+IF(AND(Calculator!B8=TRUE,Backdoors!BI12=TRUE),VLOOKUP(Calculator!E23,tbSkills!DH3:DJ6,3,FALSE),0),0))&gt;=100,100,(Backdoors!AI12+IF(BM70&gt;=0.45,VLOOKUP(Calculator!E23,tbSkills!DH3:DI6,2,FALSE)+IF(AND(Calculator!B8=TRUE,Backdoors!BI12=TRUE),VLOOKUP(Calculator!E23,tbSkills!DH3:DJ6,3,FALSE),0),0)))/100)),1))*IF(VLOOKUP(A70,tbMoveset!A2:K112,11,FALSE)=TRUE,Backdoors!AC5,1))*BN70,0),"")</f>
        <v>0</v>
      </c>
      <c r="BR70" s="49">
        <f>VLOOKUP(A70,tbMoveset!A2:G112,7,FALSE)*IFERROR(IF(Backdoors!AI12&gt;=0,1+(IF(Calculator!E40&gt;0,VLOOKUP(Calculator!E40,tbSkills!AI3:AJ5,2,FALSE),Backdoors!AL4)*(IF((Backdoors!AI12+IF(BM70&gt;=0.45,VLOOKUP(Calculator!E23,tbSkills!DH3:DI6,2,FALSE)+IF(AND(Calculator!B8=TRUE,Backdoors!BI12=TRUE),VLOOKUP(Calculator!E23,tbSkills!DH3:DJ6,3,FALSE),0),0))&gt;=100,100,(Backdoors!AI12+IF(BM70&gt;=0.45,VLOOKUP(Calculator!E23,tbSkills!DH3:DI6,2,FALSE)+IF(AND(Calculator!B8=TRUE,Backdoors!BI12=TRUE),VLOOKUP(Calculator!E23,tbSkills!DH3:DJ6,3,FALSE),0),0)))/100)),1),1)</f>
        <v>0.8</v>
      </c>
      <c r="BS70" s="87">
        <f t="shared" si="60"/>
        <v>0</v>
      </c>
      <c r="BT70" s="86" t="str">
        <f>IFERROR(IF(VLOOKUP(A70,tbMoveset!A2:B112,2,FALSE)="Sever",Backdoors!AY13/100,IF(VLOOKUP(A70,tbMoveset!A2:B112,2,FALSE)="Blunt",Backdoors!AZ13/100,Backdoors!BA13/100)),"")</f>
        <v/>
      </c>
      <c r="BU70" s="49">
        <f>IFERROR(IF(VLOOKUP(tbMoveset!A70,tbMoveset!A2:H112,8,FALSE)="Other",IF(VLOOKUP(tbMoveset!A70,tbMoveset!A2:I112,9,FALSE)="Fire",Backdoors!BB13,IF(VLOOKUP(tbMoveset!A70,tbMoveset!A2:I112,9,FALSE)="Water",Backdoors!BC13,IF(VLOOKUP(tbMoveset!A70,tbMoveset!A2:I112,9,FALSE)="Thunder",Backdoors!BD13,IF(VLOOKUP(tbMoveset!A70,tbMoveset!A2:I112,9,FALSE)="Ice",Backdoors!BE13,IF(VLOOKUP(tbMoveset!A70,tbMoveset!A2:I112,9,FALSE)="Dragon",Backdoors!BF13,Backdoors!BG13)))))/100,Backdoors!BG13/100),"")</f>
        <v>0</v>
      </c>
      <c r="BV70" s="49">
        <f>IFERROR(IF(VLOOKUP(A70,tbMoveset!A2:J112,10,FALSE)=TRUE,IF((Backdoors!AI12+IF(BT70&gt;=0.45,VLOOKUP(Calculator!E23,tbSkills!DH3:DI6,2,FALSE)+IF(AND(Calculator!B8=TRUE,Backdoors!BI13=TRUE),VLOOKUP(Calculator!E23,tbSkills!DH3:DJ6,3,FALSE),0),0))&gt;=0,1+(Backdoors!AL2*(IF((Backdoors!AI12+IF(BT70&gt;=0.45,VLOOKUP(Calculator!E23,tbSkills!DH3:DI6,2,FALSE)+IF(AND(Calculator!B8=TRUE,Backdoors!BI13=TRUE),VLOOKUP(Calculator!E23,tbSkills!DH3:DJ6,3,FALSE),0),0))&gt;=100,100,(Backdoors!AI12+IF(BT70&gt;=0.45,VLOOKUP(Calculator!E23,tbSkills!DH3:DI6,2,FALSE)+IF(AND(Calculator!B8=TRUE,Backdoors!BI13=TRUE),VLOOKUP(Calculator!E23,tbSkills!DH3:DJ6,3,FALSE),0),0)))/100)),(1-(0.25*((-Backdoors!AI12-IF(BT70&gt;=0.45,VLOOKUP(Calculator!E23,tbSkills!DH3:DI6,2,FALSE)+IF(AND(Calculator!B8=TRUE,Backdoors!BI13=TRUE),VLOOKUP(Calculator!E23,tbSkills!DH3:DJ6,3,FALSE),0),0))/100)))),1),"")</f>
        <v>1</v>
      </c>
      <c r="BW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T70)*BV70)*(VLOOKUP(A70,tbMoveset!A2:C112,3,FALSE)/100)*IF(VLOOKUP(A70,tbMoveset!A2:B112,2,FALSE)="Projectile",Backdoors!N10,Backdoors!N9),0),"")</f>
        <v/>
      </c>
      <c r="BX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T70&gt;=0.45,VLOOKUP(Calculator!E23,tbSkills!DH3:DI6,2,FALSE)+IF(AND(Calculator!B8=TRUE,Backdoors!BI13=TRUE),VLOOKUP(Calculator!E23,tbSkills!DH3:DJ6,3,FALSE),0),0))&gt;=100,100,(Backdoors!AI12+IF(BT70&gt;=0.45,VLOOKUP(Calculator!E23,tbSkills!DH3:DI6,2,FALSE)+IF(AND(Calculator!B8=TRUE,Backdoors!BI13=TRUE),VLOOKUP(Calculator!E23,tbSkills!DH3:DJ6,3,FALSE),0),0)))/100)),1))*IF(VLOOKUP(A70,tbMoveset!A2:K112,11,FALSE)=TRUE,Backdoors!AC5,1))*BU70,0),"")</f>
        <v>0</v>
      </c>
      <c r="BY70" s="49">
        <f>VLOOKUP(A70,tbMoveset!A2:G112,7,FALSE)*IFERROR(IF(Backdoors!AI12&gt;=0,1+(IF(Calculator!E40&gt;0,VLOOKUP(Calculator!E40,tbSkills!AI3:AJ5,2,FALSE),Backdoors!AL4)*(IF((Backdoors!AI12+IF(BT70&gt;=0.45,VLOOKUP(Calculator!E23,tbSkills!DH3:DI6,2,FALSE)+IF(AND(Calculator!B8=TRUE,Backdoors!BI13=TRUE),VLOOKUP(Calculator!E23,tbSkills!DH3:DJ6,3,FALSE),0),0))&gt;=100,100,(Backdoors!AI12+IF(BT70&gt;=0.45,VLOOKUP(Calculator!E23,tbSkills!DH3:DI6,2,FALSE)+IF(AND(Calculator!B8=TRUE,Backdoors!BI13=TRUE),VLOOKUP(Calculator!E23,tbSkills!DH3:DJ6,3,FALSE),0),0)))/100)),1),1)</f>
        <v>0.8</v>
      </c>
      <c r="BZ70" s="87">
        <f t="shared" si="61"/>
        <v>0</v>
      </c>
      <c r="CA70" s="86" t="str">
        <f>IFERROR(IF(VLOOKUP(A70,tbMoveset!A2:B112,2,FALSE)="Sever",Backdoors!AY14/100,IF(VLOOKUP(A70,tbMoveset!A2:B112,2,FALSE)="Blunt",Backdoors!AZ14/100,Backdoors!BA14/100)),"")</f>
        <v/>
      </c>
      <c r="CB70" s="49">
        <f>IFERROR(IF(VLOOKUP(tbMoveset!A70,tbMoveset!A2:H112,8,FALSE)="Other",IF(VLOOKUP(tbMoveset!A70,tbMoveset!A2:I112,9,FALSE)="Fire",Backdoors!BB14,IF(VLOOKUP(tbMoveset!A70,tbMoveset!A2:I112,9,FALSE)="Water",Backdoors!BC14,IF(VLOOKUP(tbMoveset!A70,tbMoveset!A2:I112,9,FALSE)="Thunder",Backdoors!BD14,IF(VLOOKUP(tbMoveset!A70,tbMoveset!A2:I112,9,FALSE)="Ice",Backdoors!BE14,IF(VLOOKUP(tbMoveset!A70,tbMoveset!A2:I112,9,FALSE)="Dragon",Backdoors!BF14,Backdoors!BG14)))))/100,Backdoors!BG14/100),"")</f>
        <v>0</v>
      </c>
      <c r="CC70" s="49">
        <f>IFERROR(IF(VLOOKUP(A70,tbMoveset!A2:J112,10,FALSE)=TRUE,IF((Backdoors!AI12+IF(CA70&gt;=0.45,VLOOKUP(Calculator!E23,tbSkills!DH3:DI6,2,FALSE)+IF(AND(Calculator!B8=TRUE,Backdoors!BI14=TRUE),VLOOKUP(Calculator!E23,tbSkills!DH3:DJ6,3,FALSE),0),0))&gt;=0,1+(Backdoors!AL2*(IF((Backdoors!AI12+IF(CA70&gt;=0.45,VLOOKUP(Calculator!E23,tbSkills!DH3:DI6,2,FALSE)+IF(AND(Calculator!B8=TRUE,Backdoors!BI14=TRUE),VLOOKUP(Calculator!E23,tbSkills!DH3:DJ6,3,FALSE),0),0))&gt;=100,100,(Backdoors!AI12+IF(CA70&gt;=0.45,VLOOKUP(Calculator!E23,tbSkills!DH3:DI6,2,FALSE)+IF(AND(Calculator!B8=TRUE,Backdoors!BI14=TRUE),VLOOKUP(Calculator!E23,tbSkills!DH3:DJ6,3,FALSE),0),0)))/100)),(1-(0.25*((-Backdoors!AI12-IF(CA70&gt;=0.45,VLOOKUP(Calculator!E23,tbSkills!DH3:DI6,2,FALSE)+IF(AND(Calculator!B8=TRUE,Backdoors!BI14=TRUE),VLOOKUP(Calculator!E23,tbSkills!DH3:DJ6,3,FALSE),0),0))/100)))),1),"")</f>
        <v>1</v>
      </c>
      <c r="CD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A70)*CC70)*(VLOOKUP(A70,tbMoveset!A2:C112,3,FALSE)/100)*IF(VLOOKUP(A70,tbMoveset!A2:B112,2,FALSE)="Projectile",Backdoors!N10,Backdoors!N9),0),"")</f>
        <v/>
      </c>
      <c r="CE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A70&gt;=0.45,VLOOKUP(Calculator!E23,tbSkills!DH3:DI6,2,FALSE)+IF(AND(Calculator!B8=TRUE,Backdoors!BI14=TRUE),VLOOKUP(Calculator!E23,tbSkills!DH3:DJ6,3,FALSE),0),0))&gt;=100,100,(Backdoors!AI12+IF(CA70&gt;=0.45,VLOOKUP(Calculator!E23,tbSkills!DH3:DI6,2,FALSE)+IF(AND(Calculator!B8=TRUE,Backdoors!BI14=TRUE),VLOOKUP(Calculator!E23,tbSkills!DH3:DJ6,3,FALSE),0),0)))/100)),1))*IF(VLOOKUP(A70,tbMoveset!A2:K112,11,FALSE)=TRUE,Backdoors!AC5,1))*CB70,0),"")</f>
        <v>0</v>
      </c>
      <c r="CF70" s="49">
        <f>VLOOKUP(A70,tbMoveset!A2:G112,7,FALSE)*IFERROR(IF(Backdoors!AI12&gt;=0,1+(IF(Calculator!E40&gt;0,VLOOKUP(Calculator!E40,tbSkills!AI3:AJ5,2,FALSE),Backdoors!AL4)*(IF((Backdoors!AI12+IF(CA70&gt;=0.45,VLOOKUP(Calculator!E23,tbSkills!DH3:DI6,2,FALSE)+IF(AND(Calculator!B8=TRUE,Backdoors!BI14=TRUE),VLOOKUP(Calculator!E23,tbSkills!DH3:DJ6,3,FALSE),0),0))&gt;=100,100,(Backdoors!AI12+IF(CA70&gt;=0.45,VLOOKUP(Calculator!E23,tbSkills!DH3:DI6,2,FALSE)+IF(AND(Calculator!B8=TRUE,Backdoors!BI14=TRUE),VLOOKUP(Calculator!E23,tbSkills!DH3:DJ6,3,FALSE),0),0)))/100)),1),1)</f>
        <v>0.8</v>
      </c>
      <c r="CG70" s="87">
        <f t="shared" si="62"/>
        <v>0</v>
      </c>
      <c r="CH70" s="86" t="str">
        <f>IFERROR(IF(VLOOKUP(A70,tbMoveset!A2:B112,2,FALSE)="Sever",Backdoors!AY15/100,IF(VLOOKUP(A70,tbMoveset!A2:B112,2,FALSE)="Blunt",Backdoors!AZ15/100,Backdoors!BA15/100)),"")</f>
        <v/>
      </c>
      <c r="CI70" s="49">
        <f>IFERROR(IF(VLOOKUP(tbMoveset!A70,tbMoveset!A2:H112,8,FALSE)="Other",IF(VLOOKUP(tbMoveset!A70,tbMoveset!A2:I112,9,FALSE)="Fire",Backdoors!BB15,IF(VLOOKUP(tbMoveset!A70,tbMoveset!A2:I112,9,FALSE)="Water",Backdoors!BC15,IF(VLOOKUP(tbMoveset!A70,tbMoveset!A2:I112,9,FALSE)="Thunder",Backdoors!BD15,IF(VLOOKUP(tbMoveset!A70,tbMoveset!A2:I112,9,FALSE)="Ice",Backdoors!BE15,IF(VLOOKUP(tbMoveset!A70,tbMoveset!A2:I112,9,FALSE)="Dragon",Backdoors!BF15,Backdoors!BG15)))))/100,Backdoors!BG15/100),"")</f>
        <v>0</v>
      </c>
      <c r="CJ70" s="49">
        <f>IFERROR(IF(VLOOKUP(A70,tbMoveset!A2:J112,10,FALSE)=TRUE,IF((Backdoors!AI12+IF(CH70&gt;=0.45,VLOOKUP(Calculator!E23,tbSkills!DH3:DI6,2,FALSE)+IF(AND(Calculator!B8=TRUE,Backdoors!BI15=TRUE),VLOOKUP(Calculator!E23,tbSkills!DH3:DJ6,3,FALSE),0),0))&gt;=0,1+(Backdoors!AL2*(IF((Backdoors!AI12+IF(CH70&gt;=0.45,VLOOKUP(Calculator!E23,tbSkills!DH3:DI6,2,FALSE)+IF(AND(Calculator!B8=TRUE,Backdoors!BI15=TRUE),VLOOKUP(Calculator!E23,tbSkills!DH3:DJ6,3,FALSE),0),0))&gt;=100,100,(Backdoors!AI12+IF(CH70&gt;=0.45,VLOOKUP(Calculator!E23,tbSkills!DH3:DI6,2,FALSE)+IF(AND(Calculator!B8=TRUE,Backdoors!BI15=TRUE),VLOOKUP(Calculator!E23,tbSkills!DH3:DJ6,3,FALSE),0),0)))/100)),(1-(0.25*((-Backdoors!AI12-IF(CH70&gt;=0.45,VLOOKUP(Calculator!E23,tbSkills!DH3:DI6,2,FALSE)+IF(AND(Calculator!B8=TRUE,Backdoors!BI15=TRUE),VLOOKUP(Calculator!E23,tbSkills!DH3:DJ6,3,FALSE),0),0))/100)))),1),"")</f>
        <v>1</v>
      </c>
      <c r="CK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H70)*CJ70)*(VLOOKUP(A70,tbMoveset!A2:C112,3,FALSE)/100)*IF(VLOOKUP(A70,tbMoveset!A2:B112,2,FALSE)="Projectile",Backdoors!N10,Backdoors!N9),0),"")</f>
        <v/>
      </c>
      <c r="CL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H70&gt;=0.45,VLOOKUP(Calculator!E23,tbSkills!DH3:DI6,2,FALSE)+IF(AND(Calculator!B8=TRUE,Backdoors!BI15=TRUE),VLOOKUP(Calculator!E23,tbSkills!DH3:DJ6,3,FALSE),0),0))&gt;=100,100,(Backdoors!AI12+IF(CH70&gt;=0.45,VLOOKUP(Calculator!E23,tbSkills!DH3:DI6,2,FALSE)+IF(AND(Calculator!B8=TRUE,Backdoors!BI15=TRUE),VLOOKUP(Calculator!E23,tbSkills!DH3:DJ6,3,FALSE),0),0)))/100)),1))*IF(VLOOKUP(A70,tbMoveset!A2:K112,11,FALSE)=TRUE,Backdoors!AC5,1))*CI70,0),"")</f>
        <v>0</v>
      </c>
      <c r="CM70" s="49">
        <f>VLOOKUP(A70,tbMoveset!A2:G112,7,FALSE)*IFERROR(IF(Backdoors!AI12&gt;=0,1+(IF(Calculator!E40&gt;0,VLOOKUP(Calculator!E40,tbSkills!AI3:AJ5,2,FALSE),Backdoors!AL4)*(IF((Backdoors!AI12+IF(CH70&gt;=0.45,VLOOKUP(Calculator!E23,tbSkills!DH3:DI6,2,FALSE)+IF(AND(Calculator!B8=TRUE,Backdoors!BI15=TRUE),VLOOKUP(Calculator!E23,tbSkills!DH3:DJ6,3,FALSE),0),0))&gt;=100,100,(Backdoors!AI12+IF(CH70&gt;=0.45,VLOOKUP(Calculator!E23,tbSkills!DH3:DI6,2,FALSE)+IF(AND(Calculator!B8=TRUE,Backdoors!BI15=TRUE),VLOOKUP(Calculator!E23,tbSkills!DH3:DJ6,3,FALSE),0),0)))/100)),1),1)</f>
        <v>0.8</v>
      </c>
      <c r="CN70" s="87">
        <f t="shared" si="63"/>
        <v>0</v>
      </c>
      <c r="CO70" s="86" t="str">
        <f>IFERROR(IF(VLOOKUP(A70,tbMoveset!A2:B112,2,FALSE)="Sever",Backdoors!AY16/100,IF(VLOOKUP(A70,tbMoveset!A2:B112,2,FALSE)="Blunt",Backdoors!AZ16/100,Backdoors!BA16/100)),"")</f>
        <v/>
      </c>
      <c r="CP70" s="49">
        <f>IFERROR(IF(VLOOKUP(tbMoveset!A70,tbMoveset!A2:H112,8,FALSE)="Other",IF(VLOOKUP(tbMoveset!A70,tbMoveset!A2:I112,9,FALSE)="Fire",Backdoors!BB16,IF(VLOOKUP(tbMoveset!A70,tbMoveset!A2:I112,9,FALSE)="Water",Backdoors!BC16,IF(VLOOKUP(tbMoveset!A70,tbMoveset!A2:I112,9,FALSE)="Thunder",Backdoors!BD16,IF(VLOOKUP(tbMoveset!A70,tbMoveset!A2:I112,9,FALSE)="Ice",Backdoors!BE16,IF(VLOOKUP(tbMoveset!A70,tbMoveset!A2:I112,9,FALSE)="Dragon",Backdoors!BF16,Backdoors!BG16)))))/100,Backdoors!BG16/100),"")</f>
        <v>0</v>
      </c>
      <c r="CQ70" s="49">
        <f>IFERROR(IF(VLOOKUP(A70,tbMoveset!A2:J112,10,FALSE)=TRUE,IF((Backdoors!AI12+IF(CO70&gt;=0.45,VLOOKUP(Calculator!E23,tbSkills!DH3:DI6,2,FALSE)+IF(AND(Calculator!B8=TRUE,Backdoors!BI16=TRUE),VLOOKUP(Calculator!E23,tbSkills!DH3:DJ6,3,FALSE),0),0))&gt;=0,1+(Backdoors!AL2*(IF((Backdoors!AI12+IF(CO70&gt;=0.45,VLOOKUP(Calculator!E23,tbSkills!DH3:DI6,2,FALSE)+IF(AND(Calculator!B8=TRUE,Backdoors!BI16=TRUE),VLOOKUP(Calculator!E23,tbSkills!DH3:DJ6,3,FALSE),0),0))&gt;=100,100,(Backdoors!AI12+IF(CO70&gt;=0.45,VLOOKUP(Calculator!E23,tbSkills!DH3:DI6,2,FALSE)+IF(AND(Calculator!B8=TRUE,Backdoors!BI16=TRUE),VLOOKUP(Calculator!E23,tbSkills!DH3:DJ6,3,FALSE),0),0)))/100)),(1-(0.25*((-Backdoors!AI12-IF(CO70&gt;=0.45,VLOOKUP(Calculator!E23,tbSkills!DH3:DI6,2,FALSE)+IF(AND(Calculator!B8=TRUE,Backdoors!BI16=TRUE),VLOOKUP(Calculator!E23,tbSkills!DH3:DJ6,3,FALSE),0),0))/100)))),1),"")</f>
        <v>1</v>
      </c>
      <c r="CR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O70)*CQ70)*(VLOOKUP(A70,tbMoveset!A2:C112,3,FALSE)/100)*IF(VLOOKUP(A70,tbMoveset!A2:B112,2,FALSE)="Projectile",Backdoors!N10,Backdoors!N9),0),"")</f>
        <v/>
      </c>
      <c r="CS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O70&gt;=0.45,VLOOKUP(Calculator!E23,tbSkills!DH3:DI6,2,FALSE)+IF(AND(Calculator!B8=TRUE,Backdoors!BI16=TRUE),VLOOKUP(Calculator!E23,tbSkills!DH3:DJ6,3,FALSE),0),0))&gt;=100,100,(Backdoors!AI12+IF(CO70&gt;=0.45,VLOOKUP(Calculator!E23,tbSkills!DH3:DI6,2,FALSE)+IF(AND(Calculator!B8=TRUE,Backdoors!BI16=TRUE),VLOOKUP(Calculator!E23,tbSkills!DH3:DJ6,3,FALSE),0),0)))/100)),1))*IF(VLOOKUP(A70,tbMoveset!A2:K112,11,FALSE)=TRUE,Backdoors!AC5,1))*CP70,0),"")</f>
        <v>0</v>
      </c>
      <c r="CT70" s="49">
        <f>VLOOKUP(A70,tbMoveset!A2:G112,7,FALSE)*IFERROR(IF(Backdoors!AI12&gt;=0,1+(IF(Calculator!E40&gt;0,VLOOKUP(Calculator!E40,tbSkills!AI3:AJ5,2,FALSE),Backdoors!AL4)*(IF((Backdoors!AI12+IF(CO70&gt;=0.45,VLOOKUP(Calculator!E23,tbSkills!DH3:DI6,2,FALSE)+IF(AND(Calculator!B8=TRUE,Backdoors!BI16=TRUE),VLOOKUP(Calculator!E23,tbSkills!DH3:DJ6,3,FALSE),0),0))&gt;=100,100,(Backdoors!AI12+IF(CO70&gt;=0.45,VLOOKUP(Calculator!E23,tbSkills!DH3:DI6,2,FALSE)+IF(AND(Calculator!B8=TRUE,Backdoors!BI16=TRUE),VLOOKUP(Calculator!E23,tbSkills!DH3:DJ6,3,FALSE),0),0)))/100)),1),1)</f>
        <v>0.8</v>
      </c>
      <c r="CU70" s="87">
        <f t="shared" si="64"/>
        <v>0</v>
      </c>
      <c r="CV70" s="86" t="str">
        <f>IFERROR(IF(VLOOKUP(A70,tbMoveset!A2:B112,2,FALSE)="Sever",Backdoors!AY17/100,IF(VLOOKUP(A70,tbMoveset!A2:B112,2,FALSE)="Blunt",Backdoors!AZ17/100,Backdoors!BA17/100)),"")</f>
        <v/>
      </c>
      <c r="CW70" s="49">
        <f>IFERROR(IF(VLOOKUP(tbMoveset!A70,tbMoveset!A2:H112,8,FALSE)="Other",IF(VLOOKUP(tbMoveset!A70,tbMoveset!A2:I112,9,FALSE)="Fire",Backdoors!BB17,IF(VLOOKUP(tbMoveset!A70,tbMoveset!A2:I112,9,FALSE)="Water",Backdoors!BC17,IF(VLOOKUP(tbMoveset!A70,tbMoveset!A2:I112,9,FALSE)="Thunder",Backdoors!BD17,IF(VLOOKUP(tbMoveset!A70,tbMoveset!A2:I112,9,FALSE)="Ice",Backdoors!BE17,IF(VLOOKUP(tbMoveset!A70,tbMoveset!A2:I112,9,FALSE)="Dragon",Backdoors!BF17,Backdoors!BG17)))))/100,Backdoors!BG17/100),"")</f>
        <v>0</v>
      </c>
      <c r="CX70" s="49">
        <f>IFERROR(IF(VLOOKUP(A70,tbMoveset!A2:J112,10,FALSE)=TRUE,IF((Backdoors!AI12+IF(CV70&gt;=0.45,VLOOKUP(Calculator!E23,tbSkills!DH3:DI6,2,FALSE)+IF(AND(Calculator!B8=TRUE,Backdoors!BI17=TRUE),VLOOKUP(Calculator!E23,tbSkills!DH3:DJ6,3,FALSE),0),0))&gt;=0,1+(Backdoors!AL2*(IF((Backdoors!AI12+IF(CV70&gt;=0.45,VLOOKUP(Calculator!E23,tbSkills!DH3:DI6,2,FALSE)+IF(AND(Calculator!B8=TRUE,Backdoors!BI17=TRUE),VLOOKUP(Calculator!E23,tbSkills!DH3:DJ6,3,FALSE),0),0))&gt;=100,100,(Backdoors!AI12+IF(CV70&gt;=0.45,VLOOKUP(Calculator!E23,tbSkills!DH3:DI6,2,FALSE)+IF(AND(Calculator!B8=TRUE,Backdoors!BI17=TRUE),VLOOKUP(Calculator!E23,tbSkills!DH3:DJ6,3,FALSE),0),0)))/100)),(1-(0.25*((-Backdoors!AI12-IF(CV70&gt;=0.45,VLOOKUP(Calculator!E23,tbSkills!DH3:DI6,2,FALSE)+IF(AND(Calculator!B8=TRUE,Backdoors!BI17=TRUE),VLOOKUP(Calculator!E23,tbSkills!DH3:DJ6,3,FALSE),0),0))/100)))),1),"")</f>
        <v>1</v>
      </c>
      <c r="CY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V70)*CX70)*(VLOOKUP(A70,tbMoveset!A2:C112,3,FALSE)/100)*IF(VLOOKUP(A70,tbMoveset!A2:B112,2,FALSE)="Projectile",Backdoors!N10,Backdoors!N9),0),"")</f>
        <v/>
      </c>
      <c r="CZ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V70&gt;=0.45,VLOOKUP(Calculator!E23,tbSkills!DH3:DI6,2,FALSE)+IF(AND(Calculator!B8=TRUE,Backdoors!BI17=TRUE),VLOOKUP(Calculator!E23,tbSkills!DH3:DJ6,3,FALSE),0),0))&gt;=100,100,(Backdoors!AI12+IF(CV70&gt;=0.45,VLOOKUP(Calculator!E23,tbSkills!DH3:DI6,2,FALSE)+IF(AND(Calculator!B8=TRUE,Backdoors!BI17=TRUE),VLOOKUP(Calculator!E23,tbSkills!DH3:DJ6,3,FALSE),0),0)))/100)),1))*IF(VLOOKUP(A70,tbMoveset!A2:K112,11,FALSE)=TRUE,Backdoors!AC5,1))*CW70,0),"")</f>
        <v>0</v>
      </c>
      <c r="DA70" s="49">
        <f>VLOOKUP(A70,tbMoveset!A2:G112,7,FALSE)*IFERROR(IF(Backdoors!AI12&gt;=0,1+(IF(Calculator!E40&gt;0,VLOOKUP(Calculator!E40,tbSkills!AI3:AJ5,2,FALSE),Backdoors!AL4)*(IF((Backdoors!AI12+IF(CV70&gt;=0.45,VLOOKUP(Calculator!E23,tbSkills!DH3:DI6,2,FALSE)+IF(AND(Calculator!B8=TRUE,Backdoors!BI17=TRUE),VLOOKUP(Calculator!E23,tbSkills!DH3:DJ6,3,FALSE),0),0))&gt;=100,100,(Backdoors!AI12+IF(CV70&gt;=0.45,VLOOKUP(Calculator!E23,tbSkills!DH3:DI6,2,FALSE)+IF(AND(Calculator!B8=TRUE,Backdoors!BI17=TRUE),VLOOKUP(Calculator!E23,tbSkills!DH3:DJ6,3,FALSE),0),0)))/100)),1),1)</f>
        <v>0.8</v>
      </c>
      <c r="DB70" s="87">
        <f t="shared" si="65"/>
        <v>0</v>
      </c>
      <c r="DC70" s="86" t="str">
        <f>IFERROR(IF(VLOOKUP(A70,tbMoveset!A2:B112,2,FALSE)="Sever",Backdoors!AY18/100,IF(VLOOKUP(A70,tbMoveset!A2:B112,2,FALSE)="Blunt",Backdoors!AZ18/100,Backdoors!BA18/100)),"")</f>
        <v/>
      </c>
      <c r="DD70" s="49">
        <f>IFERROR(IF(VLOOKUP(tbMoveset!A70,tbMoveset!A2:H112,8,FALSE)="Other",IF(VLOOKUP(tbMoveset!A70,tbMoveset!A2:I112,9,FALSE)="Fire",Backdoors!BB18,IF(VLOOKUP(tbMoveset!A70,tbMoveset!A2:I112,9,FALSE)="Water",Backdoors!BC18,IF(VLOOKUP(tbMoveset!A70,tbMoveset!A2:I112,9,FALSE)="Thunder",Backdoors!BD18,IF(VLOOKUP(tbMoveset!A70,tbMoveset!A2:I112,9,FALSE)="Ice",Backdoors!BE18,IF(VLOOKUP(tbMoveset!A70,tbMoveset!A2:I112,9,FALSE)="Dragon",Backdoors!BF18,Backdoors!BG18)))))/100,Backdoors!BG18/100),"")</f>
        <v>0</v>
      </c>
      <c r="DE70" s="49">
        <f>IFERROR(IF(VLOOKUP(A70,tbMoveset!A2:J112,10,FALSE)=TRUE,IF((Backdoors!AI12+IF(DC70&gt;=0.45,VLOOKUP(Calculator!E23,tbSkills!DH3:DI6,2,FALSE)+IF(AND(Calculator!B8=TRUE,Backdoors!BI18=TRUE),VLOOKUP(Calculator!E23,tbSkills!DH3:DJ6,3,FALSE),0),0))&gt;=0,1+(Backdoors!AL2*(IF((Backdoors!AI12+IF(DC70&gt;=0.45,VLOOKUP(Calculator!E23,tbSkills!DH3:DI6,2,FALSE)+IF(AND(Calculator!B8=TRUE,Backdoors!BI18=TRUE),VLOOKUP(Calculator!E23,tbSkills!DH3:DJ6,3,FALSE),0),0))&gt;=100,100,(Backdoors!AI12+IF(DC70&gt;=0.45,VLOOKUP(Calculator!E23,tbSkills!DH3:DI6,2,FALSE)+IF(AND(Calculator!B8=TRUE,Backdoors!BI18=TRUE),VLOOKUP(Calculator!E23,tbSkills!DH3:DJ6,3,FALSE),0),0)))/100)),(1-(0.25*((-Backdoors!AI12-IF(DC70&gt;=0.45,VLOOKUP(Calculator!E23,tbSkills!DH3:DI6,2,FALSE)+IF(AND(Calculator!B8=TRUE,Backdoors!BI18=TRUE),VLOOKUP(Calculator!E23,tbSkills!DH3:DJ6,3,FALSE),0),0))/100)))),1),"")</f>
        <v>1</v>
      </c>
      <c r="DF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C70)*DE70)*(VLOOKUP(A70,tbMoveset!A2:C112,3,FALSE)/100)*IF(VLOOKUP(A70,tbMoveset!A2:B112,2,FALSE)="Projectile",Backdoors!N10,Backdoors!N9),0),"")</f>
        <v/>
      </c>
      <c r="DG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C70&gt;=0.45,VLOOKUP(Calculator!E23,tbSkills!DH3:DI6,2,FALSE)+IF(AND(Calculator!B8=TRUE,Backdoors!BI18=TRUE),VLOOKUP(Calculator!E23,tbSkills!DH3:DJ6,3,FALSE),0),0))&gt;=100,100,(Backdoors!AI12+IF(DC70&gt;=0.45,VLOOKUP(Calculator!E23,tbSkills!DH3:DI6,2,FALSE)+IF(AND(Calculator!B8=TRUE,Backdoors!BI18=TRUE),VLOOKUP(Calculator!E23,tbSkills!DH3:DJ6,3,FALSE),0),0)))/100)),1))*IF(VLOOKUP(A70,tbMoveset!A2:K112,11,FALSE)=TRUE,Backdoors!AC5,1))*DD70,0),"")</f>
        <v>0</v>
      </c>
      <c r="DH70" s="49">
        <f>VLOOKUP(A70,tbMoveset!A2:G112,7,FALSE)*IFERROR(IF(Backdoors!AI12&gt;=0,1+(IF(Calculator!E40&gt;0,VLOOKUP(Calculator!E40,tbSkills!AI3:AJ5,2,FALSE),Backdoors!AL4)*(IF((Backdoors!AI12+IF(DC70&gt;=0.45,VLOOKUP(Calculator!E23,tbSkills!DH3:DI6,2,FALSE)+IF(AND(Calculator!B8=TRUE,Backdoors!BI18=TRUE),VLOOKUP(Calculator!E23,tbSkills!DH3:DJ6,3,FALSE),0),0))&gt;=100,100,(Backdoors!AI12+IF(DC70&gt;=0.45,VLOOKUP(Calculator!E23,tbSkills!DH3:DI6,2,FALSE)+IF(AND(Calculator!B8=TRUE,Backdoors!BI18=TRUE),VLOOKUP(Calculator!E23,tbSkills!DH3:DJ6,3,FALSE),0),0)))/100)),1),1)</f>
        <v>0.8</v>
      </c>
      <c r="DI70" s="87">
        <f t="shared" si="66"/>
        <v>0</v>
      </c>
      <c r="DJ70" s="86" t="str">
        <f>IFERROR(IF(VLOOKUP(A70,tbMoveset!A2:B112,2,FALSE)="Sever",Backdoors!AY19/100,IF(VLOOKUP(A70,tbMoveset!A2:B112,2,FALSE)="Blunt",Backdoors!AZ19/100,Backdoors!BA19/100)),"")</f>
        <v/>
      </c>
      <c r="DK70" s="49">
        <f>IFERROR(IF(VLOOKUP(tbMoveset!A70,tbMoveset!A2:H112,8,FALSE)="Other",IF(VLOOKUP(tbMoveset!A70,tbMoveset!A2:I112,9,FALSE)="Fire",Backdoors!BB19,IF(VLOOKUP(tbMoveset!A70,tbMoveset!A2:I112,9,FALSE)="Water",Backdoors!BC19,IF(VLOOKUP(tbMoveset!A70,tbMoveset!A2:I112,9,FALSE)="Thunder",Backdoors!BD19,IF(VLOOKUP(tbMoveset!A70,tbMoveset!A2:I112,9,FALSE)="Ice",Backdoors!BE19,IF(VLOOKUP(tbMoveset!A70,tbMoveset!A2:I112,9,FALSE)="Dragon",Backdoors!BF19,Backdoors!BG19)))))/100,Backdoors!BG19/100),"")</f>
        <v>0</v>
      </c>
      <c r="DL70" s="49">
        <f>IFERROR(IF(VLOOKUP(A70,tbMoveset!A2:J112,10,FALSE)=TRUE,IF((Backdoors!AI12+IF(DJ70&gt;=0.45,VLOOKUP(Calculator!E23,tbSkills!DH3:DI6,2,FALSE)+IF(AND(Calculator!B8=TRUE,Backdoors!BI19=TRUE),VLOOKUP(Calculator!E23,tbSkills!DH3:DJ6,3,FALSE),0),0))&gt;=0,1+(Backdoors!AL2*(IF((Backdoors!AI12+IF(DJ70&gt;=0.45,VLOOKUP(Calculator!E23,tbSkills!DH3:DI6,2,FALSE)+IF(AND(Calculator!B8=TRUE,Backdoors!BI19=TRUE),VLOOKUP(Calculator!E23,tbSkills!DH3:DJ6,3,FALSE),0),0))&gt;=100,100,(Backdoors!AI12+IF(DJ70&gt;=0.45,VLOOKUP(Calculator!E23,tbSkills!DH3:DI6,2,FALSE)+IF(AND(Calculator!B8=TRUE,Backdoors!BI19=TRUE),VLOOKUP(Calculator!E23,tbSkills!DH3:DJ6,3,FALSE),0),0)))/100)),(1-(0.25*((-Backdoors!AI12-IF(DJ70&gt;=0.45,VLOOKUP(Calculator!E23,tbSkills!DH3:DI6,2,FALSE)+IF(AND(Calculator!B8=TRUE,Backdoors!BI19=TRUE),VLOOKUP(Calculator!E23,tbSkills!DH3:DJ6,3,FALSE),0),0))/100)))),1),"")</f>
        <v>1</v>
      </c>
      <c r="DM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J70)*DL70)*(VLOOKUP(A70,tbMoveset!A2:C112,3,FALSE)/100)*IF(VLOOKUP(A70,tbMoveset!A2:B112,2,FALSE)="Projectile",Backdoors!N10,Backdoors!N9),0),"")</f>
        <v/>
      </c>
      <c r="DN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J70&gt;=0.45,VLOOKUP(Calculator!E23,tbSkills!DH3:DI6,2,FALSE)+IF(AND(Calculator!B8=TRUE,Backdoors!BI19=TRUE),VLOOKUP(Calculator!E23,tbSkills!DH3:DJ6,3,FALSE),0),0))&gt;=100,100,(Backdoors!AI12+IF(DJ70&gt;=0.45,VLOOKUP(Calculator!E23,tbSkills!DH3:DI6,2,FALSE)+IF(AND(Calculator!B8=TRUE,Backdoors!BI19=TRUE),VLOOKUP(Calculator!E23,tbSkills!DH3:DJ6,3,FALSE),0),0)))/100)),1))*IF(VLOOKUP(A70,tbMoveset!A2:K112,11,FALSE)=TRUE,Backdoors!AC5,1))*DK70,0),"")</f>
        <v>0</v>
      </c>
      <c r="DO70" s="49">
        <f>VLOOKUP(A70,tbMoveset!A2:G112,7,FALSE)*IFERROR(IF(Backdoors!AI12&gt;=0,1+(IF(Calculator!E40&gt;0,VLOOKUP(Calculator!E40,tbSkills!AI3:AJ5,2,FALSE),Backdoors!AL4)*(IF((Backdoors!AI12+IF(DJ70&gt;=0.45,VLOOKUP(Calculator!E23,tbSkills!DH3:DI6,2,FALSE)+IF(AND(Calculator!B8=TRUE,Backdoors!BI19=TRUE),VLOOKUP(Calculator!E23,tbSkills!DH3:DJ6,3,FALSE),0),0))&gt;=100,100,(Backdoors!AI12+IF(DJ70&gt;=0.45,VLOOKUP(Calculator!E23,tbSkills!DH3:DI6,2,FALSE)+IF(AND(Calculator!B8=TRUE,Backdoors!BI19=TRUE),VLOOKUP(Calculator!E23,tbSkills!DH3:DJ6,3,FALSE),0),0)))/100)),1),1)</f>
        <v>0.8</v>
      </c>
      <c r="DP70" s="87">
        <f t="shared" si="67"/>
        <v>0</v>
      </c>
      <c r="DQ70" s="86" t="str">
        <f>IFERROR(IF(VLOOKUP(A70,tbMoveset!A2:B112,2,FALSE)="Sever",Backdoors!AY20/100,IF(VLOOKUP(A70,tbMoveset!A2:B112,2,FALSE)="Blunt",Backdoors!AZ20/100,Backdoors!BA20/100)),"")</f>
        <v/>
      </c>
      <c r="DR70" s="49">
        <f>IFERROR(IF(VLOOKUP(tbMoveset!A70,tbMoveset!A2:H112,8,FALSE)="Other",IF(VLOOKUP(tbMoveset!A70,tbMoveset!A2:I112,9,FALSE)="Fire",Backdoors!BB20,IF(VLOOKUP(tbMoveset!A70,tbMoveset!A2:I112,9,FALSE)="Water",Backdoors!BC20,IF(VLOOKUP(tbMoveset!A70,tbMoveset!A2:I112,9,FALSE)="Thunder",Backdoors!BD20,IF(VLOOKUP(tbMoveset!A70,tbMoveset!A2:I112,9,FALSE)="Ice",Backdoors!BE20,IF(VLOOKUP(tbMoveset!A70,tbMoveset!A2:I112,9,FALSE)="Dragon",Backdoors!BF20,Backdoors!BG20)))))/100,Backdoors!BG20/100),"")</f>
        <v>0</v>
      </c>
      <c r="DS70" s="49">
        <f>IFERROR(IF(VLOOKUP(A70,tbMoveset!A2:J112,10,FALSE)=TRUE,IF((Backdoors!AI12+IF(DQ70&gt;=0.45,VLOOKUP(Calculator!E23,tbSkills!DH3:DI6,2,FALSE)+IF(AND(Calculator!B8=TRUE,Backdoors!BI20=TRUE),VLOOKUP(Calculator!E23,tbSkills!DH3:DJ6,3,FALSE),0),0))&gt;=0,1+(Backdoors!AL2*(IF((Backdoors!AI12+IF(DQ70&gt;=0.45,VLOOKUP(Calculator!E23,tbSkills!DH3:DI6,2,FALSE)+IF(AND(Calculator!B8=TRUE,Backdoors!BI20=TRUE),VLOOKUP(Calculator!E23,tbSkills!DH3:DJ6,3,FALSE),0),0))&gt;=100,100,(Backdoors!AI12+IF(DQ70&gt;=0.45,VLOOKUP(Calculator!E23,tbSkills!DH3:DI6,2,FALSE)+IF(AND(Calculator!B8=TRUE,Backdoors!BI20=TRUE),VLOOKUP(Calculator!E23,tbSkills!DH3:DJ6,3,FALSE),0),0)))/100)),(1-(0.25*((-Backdoors!AI12-IF(DQ70&gt;=0.45,VLOOKUP(Calculator!E23,tbSkills!DH3:DI6,2,FALSE)+IF(AND(Calculator!B8=TRUE,Backdoors!BI20=TRUE),VLOOKUP(Calculator!E23,tbSkills!DH3:DJ6,3,FALSE),0),0))/100)))),1),"")</f>
        <v>1</v>
      </c>
      <c r="DT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Q70)*DS70)*(VLOOKUP(A70,tbMoveset!A2:C112,3,FALSE)/100)*IF(VLOOKUP(A70,tbMoveset!A2:B112,2,FALSE)="Projectile",Backdoors!N10,Backdoors!N9),0),"")</f>
        <v/>
      </c>
      <c r="DU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Q70&gt;=0.45,VLOOKUP(Calculator!E23,tbSkills!DH3:DI6,2,FALSE)+IF(AND(Calculator!B8=TRUE,Backdoors!BI20=TRUE),VLOOKUP(Calculator!E23,tbSkills!DH3:DJ6,3,FALSE),0),0))&gt;=100,100,(Backdoors!AI12+IF(DQ70&gt;=0.45,VLOOKUP(Calculator!E23,tbSkills!DH3:DI6,2,FALSE)+IF(AND(Calculator!B8=TRUE,Backdoors!BI20=TRUE),VLOOKUP(Calculator!E23,tbSkills!DH3:DJ6,3,FALSE),0),0)))/100)),1))*IF(VLOOKUP(A70,tbMoveset!A2:K112,11,FALSE)=TRUE,Backdoors!AC5,1))*DR70,0),"")</f>
        <v>0</v>
      </c>
      <c r="DV70" s="49">
        <f>VLOOKUP(A70,tbMoveset!A2:G112,7,FALSE)*IFERROR(IF(Backdoors!AI12&gt;=0,1+(IF(Calculator!E40&gt;0,VLOOKUP(Calculator!E40,tbSkills!AI3:AJ5,2,FALSE),Backdoors!AL4)*(IF((Backdoors!AI12+IF(DQ70&gt;=0.45,VLOOKUP(Calculator!E23,tbSkills!DH3:DI6,2,FALSE)+IF(AND(Calculator!B8=TRUE,Backdoors!BI20=TRUE),VLOOKUP(Calculator!E23,tbSkills!DH3:DJ6,3,FALSE),0),0))&gt;=100,100,(Backdoors!AI12+IF(DQ70&gt;=0.45,VLOOKUP(Calculator!E23,tbSkills!DH3:DI6,2,FALSE)+IF(AND(Calculator!B8=TRUE,Backdoors!BI20=TRUE),VLOOKUP(Calculator!E23,tbSkills!DH3:DJ6,3,FALSE),0),0)))/100)),1),1)</f>
        <v>0.8</v>
      </c>
      <c r="DW70" s="87">
        <f t="shared" si="68"/>
        <v>0</v>
      </c>
      <c r="DX70" s="86" t="str">
        <f>IFERROR(IF(VLOOKUP(A70,tbMoveset!A2:B112,2,FALSE)="Sever",Backdoors!AY21/100,IF(VLOOKUP(A70,tbMoveset!A2:B112,2,FALSE)="Blunt",Backdoors!AZ21/100,Backdoors!BA21/100)),"")</f>
        <v/>
      </c>
      <c r="DY70" s="49">
        <f>IFERROR(IF(VLOOKUP(tbMoveset!A70,tbMoveset!A2:H112,8,FALSE)="Other",IF(VLOOKUP(tbMoveset!A70,tbMoveset!A2:I112,9,FALSE)="Fire",Backdoors!BB21,IF(VLOOKUP(tbMoveset!A70,tbMoveset!A2:I112,9,FALSE)="Water",Backdoors!BC21,IF(VLOOKUP(tbMoveset!A70,tbMoveset!A2:I112,9,FALSE)="Thunder",Backdoors!BD21,IF(VLOOKUP(tbMoveset!A70,tbMoveset!A2:I112,9,FALSE)="Ice",Backdoors!BE21,IF(VLOOKUP(tbMoveset!A70,tbMoveset!A2:I112,9,FALSE)="Dragon",Backdoors!BF21,Backdoors!BG21)))))/100,Backdoors!BG21/100),"")</f>
        <v>0</v>
      </c>
      <c r="DZ70" s="49">
        <f>IFERROR(IF(VLOOKUP(A70,tbMoveset!A2:J112,10,FALSE)=TRUE,IF((Backdoors!AI12+IF(DX70&gt;=0.45,VLOOKUP(Calculator!E23,tbSkills!DH3:DI6,2,FALSE)+IF(AND(Calculator!B8=TRUE,Backdoors!BI21=TRUE),VLOOKUP(Calculator!E23,tbSkills!DH3:DJ6,3,FALSE),0),0))&gt;=0,1+(Backdoors!AL2*(IF((Backdoors!AI12+IF(DX70&gt;=0.45,VLOOKUP(Calculator!E23,tbSkills!DH3:DI6,2,FALSE)+IF(AND(Calculator!B8=TRUE,Backdoors!BI21=TRUE),VLOOKUP(Calculator!E23,tbSkills!DH3:DJ6,3,FALSE),0),0))&gt;=100,100,(Backdoors!AI12+IF(DX70&gt;=0.45,VLOOKUP(Calculator!E23,tbSkills!DH3:DI6,2,FALSE)+IF(AND(Calculator!B8=TRUE,Backdoors!BI21=TRUE),VLOOKUP(Calculator!E23,tbSkills!DH3:DJ6,3,FALSE),0),0)))/100)),(1-(0.25*((-Backdoors!AI12-IF(DX70&gt;=0.45,VLOOKUP(Calculator!E23,tbSkills!DH3:DI6,2,FALSE)+IF(AND(Calculator!B8=TRUE,Backdoors!BI21=TRUE),VLOOKUP(Calculator!E23,tbSkills!DH3:DJ6,3,FALSE),0),0))/100)))),1),"")</f>
        <v>1</v>
      </c>
      <c r="EA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X70)*DZ70)*(VLOOKUP(A70,tbMoveset!A2:C112,3,FALSE)/100)*IF(VLOOKUP(A70,tbMoveset!A2:B112,2,FALSE)="Projectile",Backdoors!N10,Backdoors!N9),0),"")</f>
        <v/>
      </c>
      <c r="EB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X70&gt;=0.45,VLOOKUP(Calculator!E23,tbSkills!DH3:DI6,2,FALSE)+IF(AND(Calculator!B8=TRUE,Backdoors!BI21=TRUE),VLOOKUP(Calculator!E23,tbSkills!DH3:DJ6,3,FALSE),0),0))&gt;=100,100,(Backdoors!AI12+IF(DX70&gt;=0.45,VLOOKUP(Calculator!E23,tbSkills!DH3:DI6,2,FALSE)+IF(AND(Calculator!B8=TRUE,Backdoors!BI21=TRUE),VLOOKUP(Calculator!E23,tbSkills!DH3:DJ6,3,FALSE),0),0)))/100)),1))*IF(VLOOKUP(A70,tbMoveset!A2:K112,11,FALSE)=TRUE,Backdoors!AC5,1))*DY70,0),"")</f>
        <v>0</v>
      </c>
      <c r="EC70" s="49">
        <f>VLOOKUP(A70,tbMoveset!A2:G112,7,FALSE)*IFERROR(IF(Backdoors!AI12&gt;=0,1+(IF(Calculator!E40&gt;0,VLOOKUP(Calculator!E40,tbSkills!AI3:AJ5,2,FALSE),Backdoors!AL4)*(IF((Backdoors!AI12+IF(DX70&gt;=0.45,VLOOKUP(Calculator!E23,tbSkills!DH3:DI6,2,FALSE)+IF(AND(Calculator!B8=TRUE,Backdoors!BI21=TRUE),VLOOKUP(Calculator!E23,tbSkills!DH3:DJ6,3,FALSE),0),0))&gt;=100,100,(Backdoors!AI12+IF(DX70&gt;=0.45,VLOOKUP(Calculator!E23,tbSkills!DH3:DI6,2,FALSE)+IF(AND(Calculator!B8=TRUE,Backdoors!BI21=TRUE),VLOOKUP(Calculator!E23,tbSkills!DH3:DJ6,3,FALSE),0),0)))/100)),1),1)</f>
        <v>0.8</v>
      </c>
      <c r="ED70" s="87">
        <f t="shared" si="69"/>
        <v>0</v>
      </c>
      <c r="EE70" s="86" t="str">
        <f>IFERROR(IF(VLOOKUP(A70,tbMoveset!A2:B112,2,FALSE)="Sever",Backdoors!AY22/100,IF(VLOOKUP(A70,tbMoveset!A2:B112,2,FALSE)="Blunt",Backdoors!AZ22/100,Backdoors!BA22/100)),"")</f>
        <v/>
      </c>
      <c r="EF70" s="49">
        <f>IFERROR(IF(VLOOKUP(tbMoveset!A70,tbMoveset!A2:H112,8,FALSE)="Other",IF(VLOOKUP(tbMoveset!A70,tbMoveset!A2:I112,9,FALSE)="Fire",Backdoors!BB22,IF(VLOOKUP(tbMoveset!A70,tbMoveset!A2:I112,9,FALSE)="Water",Backdoors!BC22,IF(VLOOKUP(tbMoveset!A70,tbMoveset!A2:I112,9,FALSE)="Thunder",Backdoors!BD22,IF(VLOOKUP(tbMoveset!A70,tbMoveset!A2:I112,9,FALSE)="Ice",Backdoors!BE22,IF(VLOOKUP(tbMoveset!A70,tbMoveset!A2:I112,9,FALSE)="Dragon",Backdoors!BF22,Backdoors!BG22)))))/100,Backdoors!BG22/100),"")</f>
        <v>0</v>
      </c>
      <c r="EG70" s="49">
        <f>IFERROR(IF(VLOOKUP(A70,tbMoveset!A2:J112,10,FALSE)=TRUE,IF((Backdoors!AI12+IF(EE70&gt;=0.45,VLOOKUP(Calculator!E23,tbSkills!DH3:DI6,2,FALSE)+IF(AND(Calculator!B8=TRUE,Backdoors!BI22=TRUE),VLOOKUP(Calculator!E23,tbSkills!DH3:DJ6,3,FALSE),0),0))&gt;=0,1+(Backdoors!AL2*(IF((Backdoors!AI12+IF(EE70&gt;=0.45,VLOOKUP(Calculator!E23,tbSkills!DH3:DI6,2,FALSE)+IF(AND(Calculator!B8=TRUE,Backdoors!BI22=TRUE),VLOOKUP(Calculator!E23,tbSkills!DH3:DJ6,3,FALSE),0),0))&gt;=100,100,(Backdoors!AI12+IF(EE70&gt;=0.45,VLOOKUP(Calculator!E23,tbSkills!DH3:DI6,2,FALSE)+IF(AND(Calculator!B8=TRUE,Backdoors!BI22=TRUE),VLOOKUP(Calculator!E23,tbSkills!DH3:DJ6,3,FALSE),0),0)))/100)),(1-(0.25*((-Backdoors!AI12-IF(EE70&gt;=0.45,VLOOKUP(Calculator!E23,tbSkills!DH3:DI6,2,FALSE)+IF(AND(Calculator!B8=TRUE,Backdoors!BI22=TRUE),VLOOKUP(Calculator!E23,tbSkills!DH3:DJ6,3,FALSE),0),0))/100)))),1),"")</f>
        <v>1</v>
      </c>
      <c r="EH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E70)*EG70)*(VLOOKUP(A70,tbMoveset!A2:C112,3,FALSE)/100)*IF(VLOOKUP(A70,tbMoveset!A2:B112,2,FALSE)="Projectile",Backdoors!N10,Backdoors!N9),0),"")</f>
        <v/>
      </c>
      <c r="EI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E70&gt;=0.45,VLOOKUP(Calculator!E23,tbSkills!DH3:DI6,2,FALSE)+IF(AND(Calculator!B8=TRUE,Backdoors!BI22=TRUE),VLOOKUP(Calculator!E23,tbSkills!DH3:DJ6,3,FALSE),0),0))&gt;=100,100,(Backdoors!AI12+IF(EE70&gt;=0.45,VLOOKUP(Calculator!E23,tbSkills!DH3:DI6,2,FALSE)+IF(AND(Calculator!B8=TRUE,Backdoors!BI22=TRUE),VLOOKUP(Calculator!E23,tbSkills!DH3:DJ6,3,FALSE),0),0)))/100)),1))*IF(VLOOKUP(A70,tbMoveset!A2:K112,11,FALSE)=TRUE,Backdoors!AC5,1))*EF70,0),"")</f>
        <v>0</v>
      </c>
      <c r="EJ70" s="49">
        <f>VLOOKUP(A70,tbMoveset!A2:G112,7,FALSE)*IFERROR(IF(Backdoors!AI12&gt;=0,1+(IF(Calculator!E40&gt;0,VLOOKUP(Calculator!E40,tbSkills!AI3:AJ5,2,FALSE),Backdoors!AL4)*(IF((Backdoors!AI12+IF(EE70&gt;=0.45,VLOOKUP(Calculator!E23,tbSkills!DH3:DI6,2,FALSE)+IF(AND(Calculator!B8=TRUE,Backdoors!BI22=TRUE),VLOOKUP(Calculator!E23,tbSkills!DH3:DJ6,3,FALSE),0),0))&gt;=100,100,(Backdoors!AI12+IF(EE70&gt;=0.45,VLOOKUP(Calculator!E23,tbSkills!DH3:DI6,2,FALSE)+IF(AND(Calculator!B8=TRUE,Backdoors!BI22=TRUE),VLOOKUP(Calculator!E23,tbSkills!DH3:DJ6,3,FALSE),0),0)))/100)),1),1)</f>
        <v>0.8</v>
      </c>
      <c r="EK70" s="87">
        <f t="shared" si="70"/>
        <v>0</v>
      </c>
      <c r="EL70" s="86" t="str">
        <f>IFERROR(IF(VLOOKUP(A70,tbMoveset!A2:B112,2,FALSE)="Sever",Backdoors!AY23/100,IF(VLOOKUP(A70,tbMoveset!A2:B112,2,FALSE)="Blunt",Backdoors!AZ23/100,Backdoors!BA23/100)),"")</f>
        <v/>
      </c>
      <c r="EM70" s="49">
        <f>IFERROR(IF(VLOOKUP(tbMoveset!A70,tbMoveset!A2:H112,8,FALSE)="Other",IF(VLOOKUP(tbMoveset!A70,tbMoveset!A2:I112,9,FALSE)="Fire",Backdoors!BB23,IF(VLOOKUP(tbMoveset!A70,tbMoveset!A2:I112,9,FALSE)="Water",Backdoors!BC23,IF(VLOOKUP(tbMoveset!A70,tbMoveset!A2:I112,9,FALSE)="Thunder",Backdoors!BD23,IF(VLOOKUP(tbMoveset!A70,tbMoveset!A2:I112,9,FALSE)="Ice",Backdoors!BE23,IF(VLOOKUP(tbMoveset!A70,tbMoveset!A2:I112,9,FALSE)="Dragon",Backdoors!BF23,Backdoors!BG23)))))/100,Backdoors!BG23/100),"")</f>
        <v>0</v>
      </c>
      <c r="EN70" s="49">
        <f>IFERROR(IF(VLOOKUP(A70,tbMoveset!A2:J112,10,FALSE)=TRUE,IF((Backdoors!AI12+IF(EL70&gt;=0.45,VLOOKUP(Calculator!E23,tbSkills!DH3:DI6,2,FALSE)+IF(AND(Calculator!B8=TRUE,Backdoors!BI23=TRUE),VLOOKUP(Calculator!E23,tbSkills!DH3:DJ6,3,FALSE),0),0))&gt;=0,1+(Backdoors!AL2*(IF((Backdoors!AI12+IF(EL70&gt;=0.45,VLOOKUP(Calculator!E23,tbSkills!DH3:DI6,2,FALSE)+IF(AND(Calculator!B8=TRUE,Backdoors!BI23=TRUE),VLOOKUP(Calculator!E23,tbSkills!DH3:DJ6,3,FALSE),0),0))&gt;=100,100,(Backdoors!AI12+IF(EL70&gt;=0.45,VLOOKUP(Calculator!E23,tbSkills!DH3:DI6,2,FALSE)+IF(AND(Calculator!B8=TRUE,Backdoors!BI23=TRUE),VLOOKUP(Calculator!E23,tbSkills!DH3:DJ6,3,FALSE),0),0)))/100)),(1-(0.25*((-Backdoors!AI12-IF(EL70&gt;=0.45,VLOOKUP(Calculator!E23,tbSkills!DH3:DI6,2,FALSE)+IF(AND(Calculator!B8=TRUE,Backdoors!BI23=TRUE),VLOOKUP(Calculator!E23,tbSkills!DH3:DJ6,3,FALSE),0),0))/100)))),1),"")</f>
        <v>1</v>
      </c>
      <c r="EO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L70)*EN70)*(VLOOKUP(A70,tbMoveset!A2:C112,3,FALSE)/100)*IF(VLOOKUP(A70,tbMoveset!A2:B112,2,FALSE)="Projectile",Backdoors!N10,Backdoors!N9),0),"")</f>
        <v/>
      </c>
      <c r="EP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L70&gt;=0.45,VLOOKUP(Calculator!E23,tbSkills!DH3:DI6,2,FALSE)+IF(AND(Calculator!B8=TRUE,Backdoors!BI23=TRUE),VLOOKUP(Calculator!E23,tbSkills!DH3:DJ6,3,FALSE),0),0))&gt;=100,100,(Backdoors!AI12+IF(EL70&gt;=0.45,VLOOKUP(Calculator!E23,tbSkills!DH3:DI6,2,FALSE)+IF(AND(Calculator!B8=TRUE,Backdoors!BI23=TRUE),VLOOKUP(Calculator!E23,tbSkills!DH3:DJ6,3,FALSE),0),0)))/100)),1))*IF(VLOOKUP(A70,tbMoveset!A2:K112,11,FALSE)=TRUE,Backdoors!AC5,1))*EM70,0),"")</f>
        <v>0</v>
      </c>
      <c r="EQ70" s="49">
        <f>VLOOKUP(A70,tbMoveset!A2:G112,7,FALSE)*IFERROR(IF(Backdoors!AI12&gt;=0,1+(IF(Calculator!E40&gt;0,VLOOKUP(Calculator!E40,tbSkills!AI3:AJ5,2,FALSE),Backdoors!AL4)*(IF((Backdoors!AI12+IF(EL70&gt;=0.45,VLOOKUP(Calculator!E23,tbSkills!DH3:DI6,2,FALSE)+IF(AND(Calculator!B8=TRUE,Backdoors!BI23=TRUE),VLOOKUP(Calculator!E23,tbSkills!DH3:DJ6,3,FALSE),0),0))&gt;=100,100,(Backdoors!AI12+IF(EL70&gt;=0.45,VLOOKUP(Calculator!E23,tbSkills!DH3:DI6,2,FALSE)+IF(AND(Calculator!B8=TRUE,Backdoors!BI23=TRUE),VLOOKUP(Calculator!E23,tbSkills!DH3:DJ6,3,FALSE),0),0)))/100)),1),1)</f>
        <v>0.8</v>
      </c>
      <c r="ER70" s="87">
        <f t="shared" si="71"/>
        <v>0</v>
      </c>
      <c r="ES70" s="86" t="str">
        <f>IFERROR(IF(VLOOKUP(A70,tbMoveset!A2:B112,2,FALSE)="Sever",Backdoors!AY24/100,IF(VLOOKUP(A70,tbMoveset!A2:B112,2,FALSE)="Blunt",Backdoors!AZ24/100,Backdoors!BA24/100)),"")</f>
        <v/>
      </c>
      <c r="ET70" s="49">
        <f>IFERROR(IF(VLOOKUP(tbMoveset!A70,tbMoveset!A2:H112,8,FALSE)="Other",IF(VLOOKUP(tbMoveset!A70,tbMoveset!A2:I112,9,FALSE)="Fire",Backdoors!BB24,IF(VLOOKUP(tbMoveset!A70,tbMoveset!A2:I112,9,FALSE)="Water",Backdoors!BC24,IF(VLOOKUP(tbMoveset!A70,tbMoveset!A2:I112,9,FALSE)="Thunder",Backdoors!BD24,IF(VLOOKUP(tbMoveset!A70,tbMoveset!A2:I112,9,FALSE)="Ice",Backdoors!BE24,IF(VLOOKUP(tbMoveset!A70,tbMoveset!A2:I112,9,FALSE)="Dragon",Backdoors!BF24,Backdoors!BG24)))))/100,Backdoors!BG24/100),"")</f>
        <v>0</v>
      </c>
      <c r="EU70" s="49">
        <f>IFERROR(IF(VLOOKUP(A70,tbMoveset!A2:J112,10,FALSE)=TRUE,IF((Backdoors!AI12+IF(ES70&gt;=0.45,VLOOKUP(Calculator!E23,tbSkills!DH3:DI6,2,FALSE)+IF(AND(Calculator!B8=TRUE,Backdoors!BI24=TRUE),VLOOKUP(Calculator!E23,tbSkills!DH3:DJ6,3,FALSE),0),0))&gt;=0,1+(Backdoors!AL2*(IF((Backdoors!AI12+IF(ES70&gt;=0.45,VLOOKUP(Calculator!E23,tbSkills!DH3:DI6,2,FALSE)+IF(AND(Calculator!B8=TRUE,Backdoors!BI24=TRUE),VLOOKUP(Calculator!E23,tbSkills!DH3:DJ6,3,FALSE),0),0))&gt;=100,100,(Backdoors!AI12+IF(ES70&gt;=0.45,VLOOKUP(Calculator!E23,tbSkills!DH3:DI6,2,FALSE)+IF(AND(Calculator!B8=TRUE,Backdoors!BI24=TRUE),VLOOKUP(Calculator!E23,tbSkills!DH3:DJ6,3,FALSE),0),0)))/100)),(1-(0.25*((-Backdoors!AI12-IF(ES70&gt;=0.45,VLOOKUP(Calculator!E23,tbSkills!DH3:DI6,2,FALSE)+IF(AND(Calculator!B8=TRUE,Backdoors!BI24=TRUE),VLOOKUP(Calculator!E23,tbSkills!DH3:DJ6,3,FALSE),0),0))/100)))),1),"")</f>
        <v>1</v>
      </c>
      <c r="EV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S70)*EU70)*(VLOOKUP(A70,tbMoveset!A2:C112,3,FALSE)/100)*IF(VLOOKUP(A70,tbMoveset!A2:B112,2,FALSE)="Projectile",Backdoors!N10,Backdoors!N9),0),"")</f>
        <v/>
      </c>
      <c r="EW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S70&gt;=0.45,VLOOKUP(Calculator!E23,tbSkills!DH3:DI6,2,FALSE)+IF(AND(Calculator!B8=TRUE,Backdoors!BI24=TRUE),VLOOKUP(Calculator!E23,tbSkills!DH3:DJ6,3,FALSE),0),0))&gt;=100,100,(Backdoors!AI12+IF(ES70&gt;=0.45,VLOOKUP(Calculator!E23,tbSkills!DH3:DI6,2,FALSE)+IF(AND(Calculator!B8=TRUE,Backdoors!BI24=TRUE),VLOOKUP(Calculator!E23,tbSkills!DH3:DJ6,3,FALSE),0),0)))/100)),1))*IF(VLOOKUP(A70,tbMoveset!A2:K112,11,FALSE)=TRUE,Backdoors!AC5,1))*ET70,0),"")</f>
        <v>0</v>
      </c>
      <c r="EX70" s="49">
        <f>VLOOKUP(A70,tbMoveset!A2:G112,7,FALSE)*IFERROR(IF(Backdoors!AI12&gt;=0,1+(IF(Calculator!E40&gt;0,VLOOKUP(Calculator!E40,tbSkills!AI3:AJ5,2,FALSE),Backdoors!AL4)*(IF((Backdoors!AI12+IF(ES70&gt;=0.45,VLOOKUP(Calculator!E23,tbSkills!DH3:DI6,2,FALSE)+IF(AND(Calculator!B8=TRUE,Backdoors!BI24=TRUE),VLOOKUP(Calculator!E23,tbSkills!DH3:DJ6,3,FALSE),0),0))&gt;=100,100,(Backdoors!AI12+IF(ES70&gt;=0.45,VLOOKUP(Calculator!E23,tbSkills!DH3:DI6,2,FALSE)+IF(AND(Calculator!B8=TRUE,Backdoors!BI24=TRUE),VLOOKUP(Calculator!E23,tbSkills!DH3:DJ6,3,FALSE),0),0)))/100)),1),1)</f>
        <v>0.8</v>
      </c>
      <c r="EY70" s="87">
        <f t="shared" si="72"/>
        <v>0</v>
      </c>
      <c r="EZ70" s="86" t="str">
        <f>IFERROR(IF(VLOOKUP(A70,tbMoveset!A2:B112,2,FALSE)="Sever",Backdoors!AY25/100,IF(VLOOKUP(A70,tbMoveset!A2:B112,2,FALSE)="Blunt",Backdoors!AZ25/100,Backdoors!BA25/100)),"")</f>
        <v/>
      </c>
      <c r="FA70" s="49">
        <f>IFERROR(IF(VLOOKUP(tbMoveset!A70,tbMoveset!A2:H112,8,FALSE)="Other",IF(VLOOKUP(tbMoveset!A70,tbMoveset!A2:I112,9,FALSE)="Fire",Backdoors!BB25,IF(VLOOKUP(tbMoveset!A70,tbMoveset!A2:I112,9,FALSE)="Water",Backdoors!BC25,IF(VLOOKUP(tbMoveset!A70,tbMoveset!A2:I112,9,FALSE)="Thunder",Backdoors!BD25,IF(VLOOKUP(tbMoveset!A70,tbMoveset!A2:I112,9,FALSE)="Ice",Backdoors!BE25,IF(VLOOKUP(tbMoveset!A70,tbMoveset!A2:I112,9,FALSE)="Dragon",Backdoors!BF25,Backdoors!BG25)))))/100,Backdoors!BG25/100),"")</f>
        <v>0</v>
      </c>
      <c r="FB70" s="49">
        <f>IFERROR(IF(VLOOKUP(A70,tbMoveset!A2:J112,10,FALSE)=TRUE,IF((Backdoors!AI12+IF(EZ70&gt;=0.45,VLOOKUP(Calculator!E23,tbSkills!DH3:DI6,2,FALSE)+IF(AND(Calculator!B8=TRUE,Backdoors!BI25=TRUE),VLOOKUP(Calculator!E23,tbSkills!DH3:DJ6,3,FALSE),0),0))&gt;=0,1+(Backdoors!AL2*(IF((Backdoors!AI12+IF(EZ70&gt;=0.45,VLOOKUP(Calculator!E23,tbSkills!DH3:DI6,2,FALSE)+IF(AND(Calculator!B8=TRUE,Backdoors!BI25=TRUE),VLOOKUP(Calculator!E23,tbSkills!DH3:DJ6,3,FALSE),0),0))&gt;=100,100,(Backdoors!AI12+IF(EZ70&gt;=0.45,VLOOKUP(Calculator!E23,tbSkills!DH3:DI6,2,FALSE)+IF(AND(Calculator!B8=TRUE,Backdoors!BI25=TRUE),VLOOKUP(Calculator!E23,tbSkills!DH3:DJ6,3,FALSE),0),0)))/100)),(1-(0.25*((-Backdoors!AI12-IF(EZ70&gt;=0.45,VLOOKUP(Calculator!E23,tbSkills!DH3:DI6,2,FALSE)+IF(AND(Calculator!B8=TRUE,Backdoors!BI25=TRUE),VLOOKUP(Calculator!E23,tbSkills!DH3:DJ6,3,FALSE),0),0))/100)))),1),"")</f>
        <v>1</v>
      </c>
      <c r="FC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Z70)*FB70)*(VLOOKUP(A70,tbMoveset!A2:C112,3,FALSE)/100)*IF(VLOOKUP(A70,tbMoveset!A2:B112,2,FALSE)="Projectile",Backdoors!N10,Backdoors!N9),0),"")</f>
        <v/>
      </c>
      <c r="FD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Z70&gt;=0.45,VLOOKUP(Calculator!E23,tbSkills!DH3:DI6,2,FALSE)+IF(AND(Calculator!B8=TRUE,Backdoors!BI25=TRUE),VLOOKUP(Calculator!E23,tbSkills!DH3:DJ6,3,FALSE),0),0))&gt;=100,100,(Backdoors!AI12+IF(EZ70&gt;=0.45,VLOOKUP(Calculator!E23,tbSkills!DH3:DI6,2,FALSE)+IF(AND(Calculator!B8=TRUE,Backdoors!BI25=TRUE),VLOOKUP(Calculator!E23,tbSkills!DH3:DJ6,3,FALSE),0),0)))/100)),1))*IF(VLOOKUP(A70,tbMoveset!A2:K112,11,FALSE)=TRUE,Backdoors!AC5,1))*FA70,0),"")</f>
        <v>0</v>
      </c>
      <c r="FE70" s="49">
        <f>VLOOKUP(A70,tbMoveset!A2:G112,7,FALSE)*IFERROR(IF(Backdoors!AI12&gt;=0,1+(IF(Calculator!E40&gt;0,VLOOKUP(Calculator!E40,tbSkills!AI3:AJ5,2,FALSE),Backdoors!AL4)*(IF((Backdoors!AI12+IF(EZ70&gt;=0.45,VLOOKUP(Calculator!E23,tbSkills!DH3:DI6,2,FALSE)+IF(AND(Calculator!B8=TRUE,Backdoors!BI25=TRUE),VLOOKUP(Calculator!E23,tbSkills!DH3:DJ6,3,FALSE),0),0))&gt;=100,100,(Backdoors!AI12+IF(EZ70&gt;=0.45,VLOOKUP(Calculator!E23,tbSkills!DH3:DI6,2,FALSE)+IF(AND(Calculator!B8=TRUE,Backdoors!BI25=TRUE),VLOOKUP(Calculator!E23,tbSkills!DH3:DJ6,3,FALSE),0),0)))/100)),1),1)</f>
        <v>0.8</v>
      </c>
      <c r="FF70" s="87">
        <f t="shared" si="73"/>
        <v>0</v>
      </c>
      <c r="FG70" s="86" t="str">
        <f>IFERROR(IF(VLOOKUP(A70,tbMoveset!A2:B112,2,FALSE)="Sever",Backdoors!AY26/100,IF(VLOOKUP(A70,tbMoveset!A2:B112,2,FALSE)="Blunt",Backdoors!AZ26/100,Backdoors!BA26/100)),"")</f>
        <v/>
      </c>
      <c r="FH70" s="49">
        <f>IFERROR(IF(VLOOKUP(tbMoveset!A70,tbMoveset!A2:H112,8,FALSE)="Other",IF(VLOOKUP(tbMoveset!A70,tbMoveset!A2:I112,9,FALSE)="Fire",Backdoors!BB26,IF(VLOOKUP(tbMoveset!A70,tbMoveset!A2:I112,9,FALSE)="Water",Backdoors!BC26,IF(VLOOKUP(tbMoveset!A70,tbMoveset!A2:I112,9,FALSE)="Thunder",Backdoors!BD26,IF(VLOOKUP(tbMoveset!A70,tbMoveset!A2:I112,9,FALSE)="Ice",Backdoors!BE26,IF(VLOOKUP(tbMoveset!A70,tbMoveset!A2:I112,9,FALSE)="Dragon",Backdoors!BF26,Backdoors!BG26)))))/100,Backdoors!BG26/100),"")</f>
        <v>0</v>
      </c>
      <c r="FI70" s="49">
        <f>IFERROR(IF(VLOOKUP(A70,tbMoveset!A2:J112,10,FALSE)=TRUE,IF((Backdoors!AI12+IF(FG70&gt;=0.45,VLOOKUP(Calculator!E23,tbSkills!DH3:DI6,2,FALSE)+IF(AND(Calculator!B8=TRUE,Backdoors!BI26=TRUE),VLOOKUP(Calculator!E23,tbSkills!DH3:DJ6,3,FALSE),0),0))&gt;=0,1+(Backdoors!AL2*(IF((Backdoors!AI12+IF(FG70&gt;=0.45,VLOOKUP(Calculator!E23,tbSkills!DH3:DI6,2,FALSE)+IF(AND(Calculator!B8=TRUE,Backdoors!BI26=TRUE),VLOOKUP(Calculator!E23,tbSkills!DH3:DJ6,3,FALSE),0),0))&gt;=100,100,(Backdoors!AI12+IF(FG70&gt;=0.45,VLOOKUP(Calculator!E23,tbSkills!DH3:DI6,2,FALSE)+IF(AND(Calculator!B8=TRUE,Backdoors!BI26=TRUE),VLOOKUP(Calculator!E23,tbSkills!DH3:DJ6,3,FALSE),0),0)))/100)),(1-(0.25*((-Backdoors!AI12-IF(FG70&gt;=0.45,VLOOKUP(Calculator!E23,tbSkills!DH3:DI6,2,FALSE)+IF(AND(Calculator!B8=TRUE,Backdoors!BI26=TRUE),VLOOKUP(Calculator!E23,tbSkills!DH3:DJ6,3,FALSE),0),0))/100)))),1),"")</f>
        <v>1</v>
      </c>
      <c r="FJ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FG70)*FI70)*(VLOOKUP(A70,tbMoveset!A2:C112,3,FALSE)/100)*IF(VLOOKUP(A70,tbMoveset!A2:B112,2,FALSE)="Projectile",Backdoors!N10,Backdoors!N9),0),"")</f>
        <v/>
      </c>
      <c r="FK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FG70&gt;=0.45,VLOOKUP(Calculator!E23,tbSkills!DH3:DI6,2,FALSE)+IF(AND(Calculator!B8=TRUE,Backdoors!BI26=TRUE),VLOOKUP(Calculator!E23,tbSkills!DH3:DJ6,3,FALSE),0),0))&gt;=100,100,(Backdoors!AI12+IF(FG70&gt;=0.45,VLOOKUP(Calculator!E23,tbSkills!DH3:DI6,2,FALSE)+IF(AND(Calculator!B8=TRUE,Backdoors!BI26=TRUE),VLOOKUP(Calculator!E23,tbSkills!DH3:DJ6,3,FALSE),0),0)))/100)),1))*IF(VLOOKUP(A70,tbMoveset!A2:K112,11,FALSE)=TRUE,Backdoors!AC5,1))*FH70,0),"")</f>
        <v>0</v>
      </c>
      <c r="FL70" s="49">
        <f>VLOOKUP(A70,tbMoveset!A2:G112,7,FALSE)*IFERROR(IF(Backdoors!AI12&gt;=0,1+(IF(Calculator!E40&gt;0,VLOOKUP(Calculator!E40,tbSkills!AI3:AJ5,2,FALSE),Backdoors!AL4)*(IF((Backdoors!AI12+IF(FG70&gt;=0.45,VLOOKUP(Calculator!E23,tbSkills!DH3:DI6,2,FALSE)+IF(AND(Calculator!B8=TRUE,Backdoors!BI26=TRUE),VLOOKUP(Calculator!E23,tbSkills!DH3:DJ6,3,FALSE),0),0))&gt;=100,100,(Backdoors!AI12+IF(FG70&gt;=0.45,VLOOKUP(Calculator!E23,tbSkills!DH3:DI6,2,FALSE)+IF(AND(Calculator!B8=TRUE,Backdoors!BI26=TRUE),VLOOKUP(Calculator!E23,tbSkills!DH3:DJ6,3,FALSE),0),0)))/100)),1),1)</f>
        <v>0.8</v>
      </c>
      <c r="FM70" s="87">
        <f t="shared" si="74"/>
        <v>0</v>
      </c>
      <c r="FN70" s="86" t="str">
        <f>IFERROR(IF(VLOOKUP(A70,tbMoveset!A2:B112,2,FALSE)="Sever",Backdoors!AY27/100,IF(VLOOKUP(A70,tbMoveset!A2:B112,2,FALSE)="Blunt",Backdoors!AZ27/100,Backdoors!BA27/100)),"")</f>
        <v/>
      </c>
      <c r="FO70" s="49">
        <f>IFERROR(IF(VLOOKUP(tbMoveset!A70,tbMoveset!A2:H112,8,FALSE)="Other",IF(VLOOKUP(tbMoveset!A70,tbMoveset!A2:I112,9,FALSE)="Fire",Backdoors!BB27,IF(VLOOKUP(tbMoveset!A70,tbMoveset!A2:I112,9,FALSE)="Water",Backdoors!BC27,IF(VLOOKUP(tbMoveset!A70,tbMoveset!A2:I112,9,FALSE)="Thunder",Backdoors!BD27,IF(VLOOKUP(tbMoveset!A70,tbMoveset!A2:I112,9,FALSE)="Ice",Backdoors!BE27,IF(VLOOKUP(tbMoveset!A70,tbMoveset!A2:I112,9,FALSE)="Dragon",Backdoors!BF27,Backdoors!BG27)))))/100,Backdoors!BG27/100),"")</f>
        <v>0</v>
      </c>
      <c r="FP70" s="49">
        <f>IFERROR(IF(VLOOKUP(A70,tbMoveset!A2:J112,10,FALSE)=TRUE,IF((Backdoors!AI12+IF(FN70&gt;=0.45,VLOOKUP(Calculator!E23,tbSkills!DH3:DI6,2,FALSE)+IF(AND(Calculator!B8=TRUE,Backdoors!BI27=TRUE),VLOOKUP(Calculator!E23,tbSkills!DH3:DJ6,3,FALSE),0),0))&gt;=0,1+(Backdoors!AL2*(IF((Backdoors!AI12+IF(FN70&gt;=0.45,VLOOKUP(Calculator!E23,tbSkills!DH3:DI6,2,FALSE)+IF(AND(Calculator!B8=TRUE,Backdoors!BI27=TRUE),VLOOKUP(Calculator!E23,tbSkills!DH3:DJ6,3,FALSE),0),0))&gt;=100,100,(Backdoors!AI12+IF(FN70&gt;=0.45,VLOOKUP(Calculator!E23,tbSkills!DH3:DI6,2,FALSE)+IF(AND(Calculator!B8=TRUE,Backdoors!BI27=TRUE),VLOOKUP(Calculator!E23,tbSkills!DH3:DJ6,3,FALSE),0),0)))/100)),(1-(0.25*((-Backdoors!AI12-IF(FN70&gt;=0.45,VLOOKUP(Calculator!E23,tbSkills!DH3:DI6,2,FALSE)+IF(AND(Calculator!B8=TRUE,Backdoors!BI27=TRUE),VLOOKUP(Calculator!E23,tbSkills!DH3:DJ6,3,FALSE),0),0))/100)))),1),"")</f>
        <v>1</v>
      </c>
      <c r="FQ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FN70)*FP70)*(VLOOKUP(A70,tbMoveset!A2:C112,3,FALSE)/100)*IF(VLOOKUP(A70,tbMoveset!A2:B112,2,FALSE)="Projectile",Backdoors!N10,Backdoors!N9),0),"")</f>
        <v/>
      </c>
      <c r="FR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FN70&gt;=0.45,VLOOKUP(Calculator!E23,tbSkills!DH3:DI6,2,FALSE)+IF(AND(Calculator!B8=TRUE,Backdoors!BI27=TRUE),VLOOKUP(Calculator!E23,tbSkills!DH3:DJ6,3,FALSE),0),0))&gt;=100,100,(Backdoors!AI12+IF(FN70&gt;=0.45,VLOOKUP(Calculator!E23,tbSkills!DH3:DI6,2,FALSE)+IF(AND(Calculator!B8=TRUE,Backdoors!BI27=TRUE),VLOOKUP(Calculator!E23,tbSkills!DH3:DJ6,3,FALSE),0),0)))/100)),1))*IF(VLOOKUP(A70,tbMoveset!A2:K112,11,FALSE)=TRUE,Backdoors!AC5,1))*FO70,0),"")</f>
        <v>0</v>
      </c>
      <c r="FS70" s="49">
        <f>VLOOKUP(A70,tbMoveset!A2:G112,7,FALSE)*IFERROR(IF(Backdoors!AI12&gt;=0,1+(IF(Calculator!E40&gt;0,VLOOKUP(Calculator!E40,tbSkills!AI3:AJ5,2,FALSE),Backdoors!AL4)*(IF((Backdoors!AI12+IF(FN70&gt;=0.45,VLOOKUP(Calculator!E23,tbSkills!DH3:DI6,2,FALSE)+IF(AND(Calculator!B8=TRUE,Backdoors!BI27=TRUE),VLOOKUP(Calculator!E23,tbSkills!DH3:DJ6,3,FALSE),0),0))&gt;=100,100,(Backdoors!AI12+IF(FN70&gt;=0.45,VLOOKUP(Calculator!E23,tbSkills!DH3:DI6,2,FALSE)+IF(AND(Calculator!B8=TRUE,Backdoors!BI27=TRUE),VLOOKUP(Calculator!E23,tbSkills!DH3:DJ6,3,FALSE),0),0)))/100)),1),1)</f>
        <v>0.8</v>
      </c>
      <c r="FT70" s="87">
        <f t="shared" si="75"/>
        <v>0</v>
      </c>
      <c r="FU70" s="86" t="str">
        <f>IFERROR(IF(VLOOKUP(A70,tbMoveset!A2:B112,2,FALSE)="Sever",Backdoors!AY28/100,IF(VLOOKUP(A70,tbMoveset!A2:B112,2,FALSE)="Blunt",Backdoors!AZ28/100,Backdoors!BA28/100)),"")</f>
        <v/>
      </c>
      <c r="FV70" s="49">
        <f>IFERROR(IF(VLOOKUP(tbMoveset!A70,tbMoveset!A2:H112,8,FALSE)="Other",IF(VLOOKUP(tbMoveset!A70,tbMoveset!A2:I112,9,FALSE)="Fire",Backdoors!BB28,IF(VLOOKUP(tbMoveset!A70,tbMoveset!A2:I112,9,FALSE)="Water",Backdoors!BC28,IF(VLOOKUP(tbMoveset!A70,tbMoveset!A2:I112,9,FALSE)="Thunder",Backdoors!BD28,IF(VLOOKUP(tbMoveset!A70,tbMoveset!A2:I112,9,FALSE)="Ice",Backdoors!BE28,IF(VLOOKUP(tbMoveset!A70,tbMoveset!A2:I112,9,FALSE)="Dragon",Backdoors!BF28,Backdoors!BG28)))))/100,Backdoors!BG28/100),"")</f>
        <v>0</v>
      </c>
      <c r="FW70" s="49">
        <f>IFERROR(IF(VLOOKUP(A70,tbMoveset!A2:J112,10,FALSE)=TRUE,IF((Backdoors!AI12+IF(FU70&gt;=0.45,VLOOKUP(Calculator!E23,tbSkills!DH3:DI6,2,FALSE)+IF(AND(Calculator!B8=TRUE,Backdoors!BI28=TRUE),VLOOKUP(Calculator!E23,tbSkills!DH3:DJ6,3,FALSE),0),0))&gt;=0,1+(Backdoors!AL2*(IF((Backdoors!AI12+IF(FU70&gt;=0.45,VLOOKUP(Calculator!E23,tbSkills!DH3:DI6,2,FALSE)+IF(AND(Calculator!B8=TRUE,Backdoors!BI28=TRUE),VLOOKUP(Calculator!E23,tbSkills!DH3:DJ6,3,FALSE),0),0))&gt;=100,100,(Backdoors!AI12+IF(FU70&gt;=0.45,VLOOKUP(Calculator!E23,tbSkills!DH3:DI6,2,FALSE)+IF(AND(Calculator!B8=TRUE,Backdoors!BI28=TRUE),VLOOKUP(Calculator!E23,tbSkills!DH3:DJ6,3,FALSE),0),0)))/100)),(1-(0.25*((-Backdoors!AI12-IF(FU70&gt;=0.45,VLOOKUP(Calculator!E23,tbSkills!DH3:DI6,2,FALSE)+IF(AND(Calculator!B8=TRUE,Backdoors!BI28=TRUE),VLOOKUP(Calculator!E23,tbSkills!DH3:DJ6,3,FALSE),0),0))/100)))),1),"")</f>
        <v>1</v>
      </c>
      <c r="FX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FU70)*FW70)*(VLOOKUP(A70,tbMoveset!A2:C112,3,FALSE)/100)*IF(VLOOKUP(A70,tbMoveset!A2:B112,2,FALSE)="Projectile",Backdoors!N10,Backdoors!N9),0),"")</f>
        <v/>
      </c>
      <c r="FY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FU70&gt;=0.45,VLOOKUP(Calculator!E23,tbSkills!DH3:DI6,2,FALSE)+IF(AND(Calculator!B8=TRUE,Backdoors!BI28=TRUE),VLOOKUP(Calculator!E23,tbSkills!DH3:DJ6,3,FALSE),0),0))&gt;=100,100,(Backdoors!AI12+IF(FU70&gt;=0.45,VLOOKUP(Calculator!E23,tbSkills!DH3:DI6,2,FALSE)+IF(AND(Calculator!B8=TRUE,Backdoors!BI28=TRUE),VLOOKUP(Calculator!E23,tbSkills!DH3:DJ6,3,FALSE),0),0)))/100)),1))*IF(VLOOKUP(A70,tbMoveset!A2:K112,11,FALSE)=TRUE,Backdoors!AC5,1))*FV70,0),"")</f>
        <v>0</v>
      </c>
      <c r="FZ70" s="49">
        <f>VLOOKUP(A70,tbMoveset!A2:G112,7,FALSE)*IFERROR(IF(Backdoors!AI12&gt;=0,1+(IF(Calculator!E40&gt;0,VLOOKUP(Calculator!E40,tbSkills!AI3:AJ5,2,FALSE),Backdoors!AL4)*(IF((Backdoors!AI12+IF(FU70&gt;=0.45,VLOOKUP(Calculator!E23,tbSkills!DH3:DI6,2,FALSE)+IF(AND(Calculator!B8=TRUE,Backdoors!BI28=TRUE),VLOOKUP(Calculator!E23,tbSkills!DH3:DJ6,3,FALSE),0),0))&gt;=100,100,(Backdoors!AI12+IF(FU70&gt;=0.45,VLOOKUP(Calculator!E23,tbSkills!DH3:DI6,2,FALSE)+IF(AND(Calculator!B8=TRUE,Backdoors!BI28=TRUE),VLOOKUP(Calculator!E23,tbSkills!DH3:DJ6,3,FALSE),0),0)))/100)),1),1)</f>
        <v>0.8</v>
      </c>
      <c r="GA70" s="87">
        <f t="shared" si="76"/>
        <v>0</v>
      </c>
      <c r="GB70" s="86" t="str">
        <f>IFERROR(IF(VLOOKUP(A70,tbMoveset!A2:B112,2,FALSE)="Sever",Backdoors!AY29/100,IF(VLOOKUP(A70,tbMoveset!A2:B112,2,FALSE)="Blunt",Backdoors!AZ29/100,Backdoors!BA29/100)),"")</f>
        <v/>
      </c>
      <c r="GC70" s="49">
        <f>IFERROR(IF(VLOOKUP(tbMoveset!A70,tbMoveset!A2:H112,8,FALSE)="Other",IF(VLOOKUP(tbMoveset!A70,tbMoveset!A2:I112,9,FALSE)="Fire",Backdoors!BB29,IF(VLOOKUP(tbMoveset!A70,tbMoveset!A2:I112,9,FALSE)="Water",Backdoors!BC29,IF(VLOOKUP(tbMoveset!A70,tbMoveset!A2:I112,9,FALSE)="Thunder",Backdoors!BD29,IF(VLOOKUP(tbMoveset!A70,tbMoveset!A2:I112,9,FALSE)="Ice",Backdoors!BE29,IF(VLOOKUP(tbMoveset!A70,tbMoveset!A2:I112,9,FALSE)="Dragon",Backdoors!BF29,Backdoors!BG29)))))/100,Backdoors!BG29/100),"")</f>
        <v>0</v>
      </c>
      <c r="GD70" s="49">
        <f>IFERROR(IF(VLOOKUP(A70,tbMoveset!A2:J112,10,FALSE)=TRUE,IF((Backdoors!AI12+IF(GB70&gt;=0.45,VLOOKUP(Calculator!E23,tbSkills!DH3:DI6,2,FALSE)+IF(AND(Calculator!B8=TRUE,Backdoors!BI29=TRUE),VLOOKUP(Calculator!E23,tbSkills!DH3:DJ6,3,FALSE),0),0))&gt;=0,1+(Backdoors!AL2*(IF((Backdoors!AI12+IF(GB70&gt;=0.45,VLOOKUP(Calculator!E23,tbSkills!DH3:DI6,2,FALSE)+IF(AND(Calculator!B8=TRUE,Backdoors!BI29=TRUE),VLOOKUP(Calculator!E23,tbSkills!DH3:DJ6,3,FALSE),0),0))&gt;=100,100,(Backdoors!AI12+IF(GB70&gt;=0.45,VLOOKUP(Calculator!E23,tbSkills!DH3:DI6,2,FALSE)+IF(AND(Calculator!B8=TRUE,Backdoors!BI29=TRUE),VLOOKUP(Calculator!E23,tbSkills!DH3:DJ6,3,FALSE),0),0)))/100)),(1-(0.25*((-Backdoors!AI12-IF(GB70&gt;=0.45,VLOOKUP(Calculator!E23,tbSkills!DH3:DI6,2,FALSE)+IF(AND(Calculator!B8=TRUE,Backdoors!BI29=TRUE),VLOOKUP(Calculator!E23,tbSkills!DH3:DJ6,3,FALSE),0),0))/100)))),1),"")</f>
        <v>1</v>
      </c>
      <c r="GE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B70)*GD70)*(VLOOKUP(A70,tbMoveset!A2:C112,3,FALSE)/100)*IF(VLOOKUP(A70,tbMoveset!A2:B112,2,FALSE)="Projectile",Backdoors!N10,Backdoors!N9),0),"")</f>
        <v/>
      </c>
      <c r="GF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B70&gt;=0.45,VLOOKUP(Calculator!E23,tbSkills!DH3:DI6,2,FALSE)+IF(AND(Calculator!B8=TRUE,Backdoors!BI29=TRUE),VLOOKUP(Calculator!E23,tbSkills!DH3:DJ6,3,FALSE),0),0))&gt;=100,100,(Backdoors!AI12+IF(GB70&gt;=0.45,VLOOKUP(Calculator!E23,tbSkills!DH3:DI6,2,FALSE)+IF(AND(Calculator!B8=TRUE,Backdoors!BI29=TRUE),VLOOKUP(Calculator!E23,tbSkills!DH3:DJ6,3,FALSE),0),0)))/100)),1))*IF(VLOOKUP(A70,tbMoveset!A2:K112,11,FALSE)=TRUE,Backdoors!AC5,1))*GC70,0),"")</f>
        <v>0</v>
      </c>
      <c r="GG70" s="49">
        <f>VLOOKUP(A70,tbMoveset!A2:G112,7,FALSE)*IFERROR(IF(Backdoors!AI12&gt;=0,1+(IF(Calculator!E40&gt;0,VLOOKUP(Calculator!E40,tbSkills!AI3:AJ5,2,FALSE),Backdoors!AL4)*(IF((Backdoors!AI12+IF(GB70&gt;=0.45,VLOOKUP(Calculator!E23,tbSkills!DH3:DI6,2,FALSE)+IF(AND(Calculator!B8=TRUE,Backdoors!BI29=TRUE),VLOOKUP(Calculator!E23,tbSkills!DH3:DJ6,3,FALSE),0),0))&gt;=100,100,(Backdoors!AI12+IF(GB70&gt;=0.45,VLOOKUP(Calculator!E23,tbSkills!DH3:DI6,2,FALSE)+IF(AND(Calculator!B8=TRUE,Backdoors!BI29=TRUE),VLOOKUP(Calculator!E23,tbSkills!DH3:DJ6,3,FALSE),0),0)))/100)),1),1)</f>
        <v>0.8</v>
      </c>
      <c r="GH70" s="87">
        <f t="shared" si="77"/>
        <v>0</v>
      </c>
      <c r="GI70" s="86" t="str">
        <f>IFERROR(IF(VLOOKUP(A70,tbMoveset!A2:B112,2,FALSE)="Sever",Backdoors!AY30/100,IF(VLOOKUP(A70,tbMoveset!A2:B112,2,FALSE)="Blunt",Backdoors!AZ30/100,Backdoors!BA30/100)),"")</f>
        <v/>
      </c>
      <c r="GJ70" s="49">
        <f>IFERROR(IF(VLOOKUP(tbMoveset!A70,tbMoveset!A2:H112,8,FALSE)="Other",IF(VLOOKUP(tbMoveset!A70,tbMoveset!A2:I112,9,FALSE)="Fire",Backdoors!BB30,IF(VLOOKUP(tbMoveset!A70,tbMoveset!A2:I112,9,FALSE)="Water",Backdoors!BC30,IF(VLOOKUP(tbMoveset!A70,tbMoveset!A2:I112,9,FALSE)="Thunder",Backdoors!BD30,IF(VLOOKUP(tbMoveset!A70,tbMoveset!A2:I112,9,FALSE)="Ice",Backdoors!BE30,IF(VLOOKUP(tbMoveset!A70,tbMoveset!A2:I112,9,FALSE)="Dragon",Backdoors!BF30,Backdoors!BG30)))))/100,Backdoors!BG30/100),"")</f>
        <v>0</v>
      </c>
      <c r="GK70" s="49">
        <f>IFERROR(IF(VLOOKUP(A70,tbMoveset!A2:J112,10,FALSE)=TRUE,IF((Backdoors!AI12+IF(GI70&gt;=0.45,VLOOKUP(Calculator!E23,tbSkills!DH3:DI6,2,FALSE)+IF(AND(Calculator!B8=TRUE,Backdoors!BI30=TRUE),VLOOKUP(Calculator!E23,tbSkills!DH3:DJ6,3,FALSE),0),0))&gt;=0,1+(Backdoors!AL2*(IF((Backdoors!AI12+IF(GI70&gt;=0.45,VLOOKUP(Calculator!E23,tbSkills!DH3:DI6,2,FALSE)+IF(AND(Calculator!B8=TRUE,Backdoors!BI30=TRUE),VLOOKUP(Calculator!E23,tbSkills!DH3:DJ6,3,FALSE),0),0))&gt;=100,100,(Backdoors!AI12+IF(GI70&gt;=0.45,VLOOKUP(Calculator!E23,tbSkills!DH3:DI6,2,FALSE)+IF(AND(Calculator!B8=TRUE,Backdoors!BI30=TRUE),VLOOKUP(Calculator!E23,tbSkills!DH3:DJ6,3,FALSE),0),0)))/100)),(1-(0.25*((-Backdoors!AI12-IF(GI70&gt;=0.45,VLOOKUP(Calculator!E23,tbSkills!DH3:DI6,2,FALSE)+IF(AND(Calculator!B8=TRUE,Backdoors!BI30=TRUE),VLOOKUP(Calculator!E23,tbSkills!DH3:DJ6,3,FALSE),0),0))/100)))),1),"")</f>
        <v>1</v>
      </c>
      <c r="GL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I70)*GK70)*(VLOOKUP(A70,tbMoveset!A2:C112,3,FALSE)/100)*IF(VLOOKUP(A70,tbMoveset!A2:B112,2,FALSE)="Projectile",Backdoors!N10,Backdoors!N9),0),"")</f>
        <v/>
      </c>
      <c r="GM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I70&gt;=0.45,VLOOKUP(Calculator!E23,tbSkills!DH3:DI6,2,FALSE)+IF(AND(Calculator!B8=TRUE,Backdoors!BI30=TRUE),VLOOKUP(Calculator!E23,tbSkills!DH3:DJ6,3,FALSE),0),0))&gt;=100,100,(Backdoors!AI12+IF(GI70&gt;=0.45,VLOOKUP(Calculator!E23,tbSkills!DH3:DI6,2,FALSE)+IF(AND(Calculator!B8=TRUE,Backdoors!BI30=TRUE),VLOOKUP(Calculator!E23,tbSkills!DH3:DJ6,3,FALSE),0),0)))/100)),1))*IF(VLOOKUP(A70,tbMoveset!A2:K112,11,FALSE)=TRUE,Backdoors!AC5,1))*GJ70,0),"")</f>
        <v>0</v>
      </c>
      <c r="GN70" s="49">
        <f>VLOOKUP(A70,tbMoveset!A2:G112,7,FALSE)*IFERROR(IF(Backdoors!AI12&gt;=0,1+(IF(Calculator!E40&gt;0,VLOOKUP(Calculator!E40,tbSkills!AI3:AJ5,2,FALSE),Backdoors!AL4)*(IF((Backdoors!AI12+IF(GI70&gt;=0.45,VLOOKUP(Calculator!E23,tbSkills!DH3:DI6,2,FALSE)+IF(AND(Calculator!B8=TRUE,Backdoors!BI30=TRUE),VLOOKUP(Calculator!E23,tbSkills!DH3:DJ6,3,FALSE),0),0))&gt;=100,100,(Backdoors!AI12+IF(GI70&gt;=0.45,VLOOKUP(Calculator!E23,tbSkills!DH3:DI6,2,FALSE)+IF(AND(Calculator!B8=TRUE,Backdoors!BI30=TRUE),VLOOKUP(Calculator!E23,tbSkills!DH3:DJ6,3,FALSE),0),0)))/100)),1),1)</f>
        <v>0.8</v>
      </c>
      <c r="GO70" s="87">
        <f t="shared" si="78"/>
        <v>0</v>
      </c>
      <c r="GP70" s="86" t="str">
        <f>IFERROR(IF(VLOOKUP(A70,tbMoveset!A2:B112,2,FALSE)="Sever",Backdoors!AY31/100,IF(VLOOKUP(A70,tbMoveset!A2:B112,2,FALSE)="Blunt",Backdoors!AZ31/100,Backdoors!BA31/100)),"")</f>
        <v/>
      </c>
      <c r="GQ70" s="49">
        <f>IFERROR(IF(VLOOKUP(tbMoveset!A70,tbMoveset!A2:H112,8,FALSE)="Other",IF(VLOOKUP(tbMoveset!A70,tbMoveset!A2:I112,9,FALSE)="Fire",Backdoors!BB31,IF(VLOOKUP(tbMoveset!A70,tbMoveset!A2:I112,9,FALSE)="Water",Backdoors!BC31,IF(VLOOKUP(tbMoveset!A70,tbMoveset!A2:I112,9,FALSE)="Thunder",Backdoors!BD31,IF(VLOOKUP(tbMoveset!A70,tbMoveset!A2:I112,9,FALSE)="Ice",Backdoors!BE31,IF(VLOOKUP(tbMoveset!A70,tbMoveset!A2:I112,9,FALSE)="Dragon",Backdoors!BF31,Backdoors!BG31)))))/100,Backdoors!BG31/100),"")</f>
        <v>0</v>
      </c>
      <c r="GR70" s="49">
        <f>IFERROR(IF(VLOOKUP(A70,tbMoveset!A2:J112,10,FALSE)=TRUE,IF((Backdoors!AI12+IF(GP70&gt;=0.45,VLOOKUP(Calculator!E23,tbSkills!DH3:DI6,2,FALSE)+IF(AND(Calculator!B8=TRUE,Backdoors!BI31=TRUE),VLOOKUP(Calculator!E23,tbSkills!DH3:DJ6,3,FALSE),0),0))&gt;=0,1+(Backdoors!AL2*(IF((Backdoors!AI12+IF(GP70&gt;=0.45,VLOOKUP(Calculator!E23,tbSkills!DH3:DI6,2,FALSE)+IF(AND(Calculator!B8=TRUE,Backdoors!BI31=TRUE),VLOOKUP(Calculator!E23,tbSkills!DH3:DJ6,3,FALSE),0),0))&gt;=100,100,(Backdoors!AI12+IF(GP70&gt;=0.45,VLOOKUP(Calculator!E23,tbSkills!DH3:DI6,2,FALSE)+IF(AND(Calculator!B8=TRUE,Backdoors!BI31=TRUE),VLOOKUP(Calculator!E23,tbSkills!DH3:DJ6,3,FALSE),0),0)))/100)),(1-(0.25*((-Backdoors!AI12-IF(GP70&gt;=0.45,VLOOKUP(Calculator!E23,tbSkills!DH3:DI6,2,FALSE)+IF(AND(Calculator!B8=TRUE,Backdoors!BI31=TRUE),VLOOKUP(Calculator!E23,tbSkills!DH3:DJ6,3,FALSE),0),0))/100)))),1),"")</f>
        <v>1</v>
      </c>
      <c r="GS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P70)*GR70)*(VLOOKUP(A70,tbMoveset!A2:C112,3,FALSE)/100)*IF(VLOOKUP(A70,tbMoveset!A2:B112,2,FALSE)="Projectile",Backdoors!N10,Backdoors!N9),0),"")</f>
        <v/>
      </c>
      <c r="GT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P70&gt;=0.45,VLOOKUP(Calculator!E23,tbSkills!DH3:DI6,2,FALSE)+IF(AND(Calculator!B8=TRUE,Backdoors!BI31=TRUE),VLOOKUP(Calculator!E23,tbSkills!DH3:DJ6,3,FALSE),0),0))&gt;=100,100,(Backdoors!AI12+IF(GP70&gt;=0.45,VLOOKUP(Calculator!E23,tbSkills!DH3:DI6,2,FALSE)+IF(AND(Calculator!B8=TRUE,Backdoors!BI31=TRUE),VLOOKUP(Calculator!E23,tbSkills!DH3:DJ6,3,FALSE),0),0)))/100)),1))*IF(VLOOKUP(A70,tbMoveset!A2:K112,11,FALSE)=TRUE,Backdoors!AC5,1))*GQ70,0),"")</f>
        <v>0</v>
      </c>
      <c r="GU70" s="49">
        <f>VLOOKUP(A70,tbMoveset!A2:G112,7,FALSE)*IFERROR(IF(Backdoors!AI12&gt;=0,1+(IF(Calculator!E40&gt;0,VLOOKUP(Calculator!E40,tbSkills!AI3:AJ5,2,FALSE),Backdoors!AL4)*(IF((Backdoors!AI12+IF(GP70&gt;=0.45,VLOOKUP(Calculator!E23,tbSkills!DH3:DI6,2,FALSE)+IF(AND(Calculator!B8=TRUE,Backdoors!BI31=TRUE),VLOOKUP(Calculator!E23,tbSkills!DH3:DJ6,3,FALSE),0),0))&gt;=100,100,(Backdoors!AI12+IF(GP70&gt;=0.45,VLOOKUP(Calculator!E23,tbSkills!DH3:DI6,2,FALSE)+IF(AND(Calculator!B8=TRUE,Backdoors!BI31=TRUE),VLOOKUP(Calculator!E23,tbSkills!DH3:DJ6,3,FALSE),0),0)))/100)),1),1)</f>
        <v>0.8</v>
      </c>
      <c r="GV70" s="87">
        <f t="shared" si="79"/>
        <v>0</v>
      </c>
      <c r="GW70" s="86" t="str">
        <f>IFERROR(IF(VLOOKUP(A70,tbMoveset!A2:B112,2,FALSE)="Sever",Backdoors!AY32/100,IF(VLOOKUP(A70,tbMoveset!A2:B112,2,FALSE)="Blunt",Backdoors!AZ32/100,Backdoors!BA32/100)),"")</f>
        <v/>
      </c>
      <c r="GX70" s="49">
        <f>IFERROR(IF(VLOOKUP(tbMoveset!A70,tbMoveset!A2:H112,8,FALSE)="Other",IF(VLOOKUP(tbMoveset!A70,tbMoveset!A2:I112,9,FALSE)="Fire",Backdoors!BB32,IF(VLOOKUP(tbMoveset!A70,tbMoveset!A2:I112,9,FALSE)="Water",Backdoors!BC32,IF(VLOOKUP(tbMoveset!A70,tbMoveset!A2:I112,9,FALSE)="Thunder",Backdoors!BD32,IF(VLOOKUP(tbMoveset!A70,tbMoveset!A2:I112,9,FALSE)="Ice",Backdoors!BE32,IF(VLOOKUP(tbMoveset!A70,tbMoveset!A2:I112,9,FALSE)="Dragon",Backdoors!BF32,Backdoors!BG32)))))/100,Backdoors!BG32/100),"")</f>
        <v>0</v>
      </c>
      <c r="GY70" s="49">
        <f>IFERROR(IF(VLOOKUP(A70,tbMoveset!A2:J112,10,FALSE)=TRUE,IF((Backdoors!AI12+IF(GW70&gt;=0.45,VLOOKUP(Calculator!E23,tbSkills!DH3:DI6,2,FALSE)+IF(AND(Calculator!B8=TRUE,Backdoors!BI32=TRUE),VLOOKUP(Calculator!E23,tbSkills!DH3:DJ6,3,FALSE),0),0))&gt;=0,1+(Backdoors!AL2*(IF((Backdoors!AI12+IF(GW70&gt;=0.45,VLOOKUP(Calculator!E23,tbSkills!DH3:DI6,2,FALSE)+IF(AND(Calculator!B8=TRUE,Backdoors!BI32=TRUE),VLOOKUP(Calculator!E23,tbSkills!DH3:DJ6,3,FALSE),0),0))&gt;=100,100,(Backdoors!AI12+IF(GW70&gt;=0.45,VLOOKUP(Calculator!E23,tbSkills!DH3:DI6,2,FALSE)+IF(AND(Calculator!B8=TRUE,Backdoors!BI32=TRUE),VLOOKUP(Calculator!E23,tbSkills!DH3:DJ6,3,FALSE),0),0)))/100)),(1-(0.25*((-Backdoors!AI12-IF(GW70&gt;=0.45,VLOOKUP(Calculator!E23,tbSkills!DH3:DI6,2,FALSE)+IF(AND(Calculator!B8=TRUE,Backdoors!BI32=TRUE),VLOOKUP(Calculator!E23,tbSkills!DH3:DJ6,3,FALSE),0),0))/100)))),1),"")</f>
        <v>1</v>
      </c>
      <c r="GZ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W70)*GY70)*(VLOOKUP(A70,tbMoveset!A2:C112,3,FALSE)/100)*IF(VLOOKUP(A70,tbMoveset!A2:B112,2,FALSE)="Projectile",Backdoors!N10,Backdoors!N9),0),"")</f>
        <v/>
      </c>
      <c r="HA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W70&gt;=0.45,VLOOKUP(Calculator!E23,tbSkills!DH3:DI6,2,FALSE)+IF(AND(Calculator!B8=TRUE,Backdoors!BI32=TRUE),VLOOKUP(Calculator!E23,tbSkills!DH3:DJ6,3,FALSE),0),0))&gt;=100,100,(Backdoors!AI12+IF(GW70&gt;=0.45,VLOOKUP(Calculator!E23,tbSkills!DH3:DI6,2,FALSE)+IF(AND(Calculator!B8=TRUE,Backdoors!BI32=TRUE),VLOOKUP(Calculator!E23,tbSkills!DH3:DJ6,3,FALSE),0),0)))/100)),1))*IF(VLOOKUP(A70,tbMoveset!A2:K112,11,FALSE)=TRUE,Backdoors!AC5,1))*GX70,0),"")</f>
        <v>0</v>
      </c>
      <c r="HB70" s="49">
        <f>VLOOKUP(A70,tbMoveset!A2:G112,7,FALSE)*IFERROR(IF(Backdoors!AI12&gt;=0,1+(IF(Calculator!E40&gt;0,VLOOKUP(Calculator!E40,tbSkills!AI3:AJ5,2,FALSE),Backdoors!AL4)*(IF((Backdoors!AI12+IF(GW70&gt;=0.45,VLOOKUP(Calculator!E23,tbSkills!DH3:DI6,2,FALSE)+IF(AND(Calculator!B8=TRUE,Backdoors!BI32=TRUE),VLOOKUP(Calculator!E23,tbSkills!DH3:DJ6,3,FALSE),0),0))&gt;=100,100,(Backdoors!AI12+IF(GW70&gt;=0.45,VLOOKUP(Calculator!E23,tbSkills!DH3:DI6,2,FALSE)+IF(AND(Calculator!B8=TRUE,Backdoors!BI32=TRUE),VLOOKUP(Calculator!E23,tbSkills!DH3:DJ6,3,FALSE),0),0)))/100)),1),1)</f>
        <v>0.8</v>
      </c>
      <c r="HC70" s="87">
        <f t="shared" si="80"/>
        <v>0</v>
      </c>
      <c r="HD70" s="86" t="str">
        <f>IFERROR(IF(VLOOKUP(A70,tbMoveset!A2:B112,2,FALSE)="Sever",Backdoors!AY33/100,IF(VLOOKUP(A70,tbMoveset!A2:B112,2,FALSE)="Blunt",Backdoors!AZ33/100,Backdoors!BA33/100)),"")</f>
        <v/>
      </c>
      <c r="HE70" s="49">
        <f>IFERROR(IF(VLOOKUP(tbMoveset!A70,tbMoveset!A2:H112,8,FALSE)="Other",IF(VLOOKUP(tbMoveset!A70,tbMoveset!A2:I112,9,FALSE)="Fire",Backdoors!BB33,IF(VLOOKUP(tbMoveset!A70,tbMoveset!A2:I112,9,FALSE)="Water",Backdoors!BC33,IF(VLOOKUP(tbMoveset!A70,tbMoveset!A2:I112,9,FALSE)="Thunder",Backdoors!BD33,IF(VLOOKUP(tbMoveset!A70,tbMoveset!A2:I112,9,FALSE)="Ice",Backdoors!BE33,IF(VLOOKUP(tbMoveset!A70,tbMoveset!A2:I112,9,FALSE)="Dragon",Backdoors!BF33,Backdoors!BG33)))))/100,Backdoors!BG33/100),"")</f>
        <v>0</v>
      </c>
      <c r="HF70" s="49">
        <f>IFERROR(IF(VLOOKUP(A70,tbMoveset!A2:J112,10,FALSE)=TRUE,IF((Backdoors!AI12+IF(HD70&gt;=0.45,VLOOKUP(Calculator!E23,tbSkills!DH3:DI6,2,FALSE)+IF(AND(Calculator!B8=TRUE,Backdoors!BI33=TRUE),VLOOKUP(Calculator!E23,tbSkills!DH3:DJ6,3,FALSE),0),0))&gt;=0,1+(Backdoors!AL2*(IF((Backdoors!AI12+IF(HD70&gt;=0.45,VLOOKUP(Calculator!E23,tbSkills!DH3:DI6,2,FALSE)+IF(AND(Calculator!B8=TRUE,Backdoors!BI33=TRUE),VLOOKUP(Calculator!E23,tbSkills!DH3:DJ6,3,FALSE),0),0))&gt;=100,100,(Backdoors!AI12+IF(HD70&gt;=0.45,VLOOKUP(Calculator!E23,tbSkills!DH3:DI6,2,FALSE)+IF(AND(Calculator!B8=TRUE,Backdoors!BI33=TRUE),VLOOKUP(Calculator!E23,tbSkills!DH3:DJ6,3,FALSE),0),0)))/100)),(1-(0.25*((-Backdoors!AI12-IF(HD70&gt;=0.45,VLOOKUP(Calculator!E23,tbSkills!DH3:DI6,2,FALSE)+IF(AND(Calculator!B8=TRUE,Backdoors!BI33=TRUE),VLOOKUP(Calculator!E23,tbSkills!DH3:DJ6,3,FALSE),0),0))/100)))),1),"")</f>
        <v>1</v>
      </c>
      <c r="HG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D70)*HF70)*(VLOOKUP(A70,tbMoveset!A2:C112,3,FALSE)/100)*IF(VLOOKUP(A70,tbMoveset!A2:B112,2,FALSE)="Projectile",Backdoors!N10,Backdoors!N9),0),"")</f>
        <v/>
      </c>
      <c r="HH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D70&gt;=0.45,VLOOKUP(Calculator!E23,tbSkills!DH3:DI6,2,FALSE)+IF(AND(Calculator!B8=TRUE,Backdoors!BI33=TRUE),VLOOKUP(Calculator!E23,tbSkills!DH3:DJ6,3,FALSE),0),0))&gt;=100,100,(Backdoors!AI12+IF(HD70&gt;=0.45,VLOOKUP(Calculator!E23,tbSkills!DH3:DI6,2,FALSE)+IF(AND(Calculator!B8=TRUE,Backdoors!BI33=TRUE),VLOOKUP(Calculator!E23,tbSkills!DH3:DJ6,3,FALSE),0),0)))/100)),1))*IF(VLOOKUP(A70,tbMoveset!A2:K112,11,FALSE)=TRUE,Backdoors!AC5,1))*HE70,0),"")</f>
        <v>0</v>
      </c>
      <c r="HI70" s="49">
        <f>VLOOKUP(A70,tbMoveset!A2:G112,7,FALSE)*IFERROR(IF(Backdoors!AI12&gt;=0,1+(IF(Calculator!E40&gt;0,VLOOKUP(Calculator!E40,tbSkills!AI3:AJ5,2,FALSE),Backdoors!AL4)*(IF((Backdoors!AI12+IF(HD70&gt;=0.45,VLOOKUP(Calculator!E23,tbSkills!DH3:DI6,2,FALSE)+IF(AND(Calculator!B8=TRUE,Backdoors!BI33=TRUE),VLOOKUP(Calculator!E23,tbSkills!DH3:DJ6,3,FALSE),0),0))&gt;=100,100,(Backdoors!AI12+IF(HD70&gt;=0.45,VLOOKUP(Calculator!E23,tbSkills!DH3:DI6,2,FALSE)+IF(AND(Calculator!B8=TRUE,Backdoors!BI33=TRUE),VLOOKUP(Calculator!E23,tbSkills!DH3:DJ6,3,FALSE),0),0)))/100)),1),1)</f>
        <v>0.8</v>
      </c>
      <c r="HJ70" s="87">
        <f t="shared" si="81"/>
        <v>0</v>
      </c>
      <c r="HK70" s="86" t="str">
        <f>IFERROR(IF(VLOOKUP(A70,tbMoveset!A2:B112,2,FALSE)="Sever",Backdoors!AY34/100,IF(VLOOKUP(A70,tbMoveset!A2:B112,2,FALSE)="Blunt",Backdoors!AZ34/100,Backdoors!BA34/100)),"")</f>
        <v/>
      </c>
      <c r="HL70" s="49">
        <f>IFERROR(IF(VLOOKUP(tbMoveset!A70,tbMoveset!A2:H112,8,FALSE)="Other",IF(VLOOKUP(tbMoveset!A70,tbMoveset!A2:I112,9,FALSE)="Fire",Backdoors!BB34,IF(VLOOKUP(tbMoveset!A70,tbMoveset!A2:I112,9,FALSE)="Water",Backdoors!BC34,IF(VLOOKUP(tbMoveset!A70,tbMoveset!A2:I112,9,FALSE)="Thunder",Backdoors!BD34,IF(VLOOKUP(tbMoveset!A70,tbMoveset!A2:I112,9,FALSE)="Ice",Backdoors!BE34,IF(VLOOKUP(tbMoveset!A70,tbMoveset!A2:I112,9,FALSE)="Dragon",Backdoors!BF34,Backdoors!BG34)))))/100,Backdoors!BG34/100),"")</f>
        <v>0</v>
      </c>
      <c r="HM70" s="49">
        <f>IFERROR(IF(VLOOKUP(A70,tbMoveset!A2:J112,10,FALSE)=TRUE,IF((Backdoors!AI12+IF(HK70&gt;=0.45,VLOOKUP(Calculator!E23,tbSkills!DH3:DI6,2,FALSE)+IF(AND(Calculator!B8=TRUE,Backdoors!BI34=TRUE),VLOOKUP(Calculator!E23,tbSkills!DH3:DJ6,3,FALSE),0),0))&gt;=0,1+(Backdoors!AL2*(IF((Backdoors!AI12+IF(HK70&gt;=0.45,VLOOKUP(Calculator!E23,tbSkills!DH3:DI6,2,FALSE)+IF(AND(Calculator!B8=TRUE,Backdoors!BI34=TRUE),VLOOKUP(Calculator!E23,tbSkills!DH3:DJ6,3,FALSE),0),0))&gt;=100,100,(Backdoors!AI12+IF(HK70&gt;=0.45,VLOOKUP(Calculator!E23,tbSkills!DH3:DI6,2,FALSE)+IF(AND(Calculator!B8=TRUE,Backdoors!BI34=TRUE),VLOOKUP(Calculator!E23,tbSkills!DH3:DJ6,3,FALSE),0),0)))/100)),(1-(0.25*((-Backdoors!AI12-IF(HK70&gt;=0.45,VLOOKUP(Calculator!E23,tbSkills!DH3:DI6,2,FALSE)+IF(AND(Calculator!B8=TRUE,Backdoors!BI34=TRUE),VLOOKUP(Calculator!E23,tbSkills!DH3:DJ6,3,FALSE),0),0))/100)))),1),"")</f>
        <v>1</v>
      </c>
      <c r="HN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K70)*HM70)*(VLOOKUP(A70,tbMoveset!A2:C112,3,FALSE)/100)*IF(VLOOKUP(A70,tbMoveset!A2:B112,2,FALSE)="Projectile",Backdoors!N10,Backdoors!N9),0),"")</f>
        <v/>
      </c>
      <c r="HO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K70&gt;=0.45,VLOOKUP(Calculator!E23,tbSkills!DH3:DI6,2,FALSE)+IF(AND(Calculator!B8=TRUE,Backdoors!BI34=TRUE),VLOOKUP(Calculator!E23,tbSkills!DH3:DJ6,3,FALSE),0),0))&gt;=100,100,(Backdoors!AI12+IF(HK70&gt;=0.45,VLOOKUP(Calculator!E23,tbSkills!DH3:DI6,2,FALSE)+IF(AND(Calculator!B8=TRUE,Backdoors!BI34=TRUE),VLOOKUP(Calculator!E23,tbSkills!DH3:DJ6,3,FALSE),0),0)))/100)),1))*IF(VLOOKUP(A70,tbMoveset!A2:K112,11,FALSE)=TRUE,Backdoors!AC5,1))*HL70,0),"")</f>
        <v>0</v>
      </c>
      <c r="HP70" s="49">
        <f>VLOOKUP(A70,tbMoveset!A2:G112,7,FALSE)*IFERROR(IF(Backdoors!AI12&gt;=0,1+(IF(Calculator!E40&gt;0,VLOOKUP(Calculator!E40,tbSkills!AI3:AJ5,2,FALSE),Backdoors!AL4)*(IF((Backdoors!AI12+IF(HK70&gt;=0.45,VLOOKUP(Calculator!E23,tbSkills!DH3:DI6,2,FALSE)+IF(AND(Calculator!B8=TRUE,Backdoors!BI34=TRUE),VLOOKUP(Calculator!E23,tbSkills!DH3:DJ6,3,FALSE),0),0))&gt;=100,100,(Backdoors!AI12+IF(HK70&gt;=0.45,VLOOKUP(Calculator!E23,tbSkills!DH3:DI6,2,FALSE)+IF(AND(Calculator!B8=TRUE,Backdoors!BI34=TRUE),VLOOKUP(Calculator!E23,tbSkills!DH3:DJ6,3,FALSE),0),0)))/100)),1),1)</f>
        <v>0.8</v>
      </c>
      <c r="HQ70" s="87">
        <f t="shared" si="82"/>
        <v>0</v>
      </c>
      <c r="HR70" s="86" t="str">
        <f>IFERROR(IF(VLOOKUP(A70,tbMoveset!A2:B112,2,FALSE)="Sever",Backdoors!AY35/100,IF(VLOOKUP(A70,tbMoveset!A2:B112,2,FALSE)="Blunt",Backdoors!AZ35/100,Backdoors!BA35/100)),"")</f>
        <v/>
      </c>
      <c r="HS70" s="49">
        <f>IFERROR(IF(VLOOKUP(tbMoveset!A70,tbMoveset!A2:H112,8,FALSE)="Other",IF(VLOOKUP(tbMoveset!A70,tbMoveset!A2:I112,9,FALSE)="Fire",Backdoors!BB35,IF(VLOOKUP(tbMoveset!A70,tbMoveset!A2:I112,9,FALSE)="Water",Backdoors!BC35,IF(VLOOKUP(tbMoveset!A70,tbMoveset!A2:I112,9,FALSE)="Thunder",Backdoors!BD35,IF(VLOOKUP(tbMoveset!A70,tbMoveset!A2:I112,9,FALSE)="Ice",Backdoors!BE35,IF(VLOOKUP(tbMoveset!A70,tbMoveset!A2:I112,9,FALSE)="Dragon",Backdoors!BF35,Backdoors!BG35)))))/100,Backdoors!BG35/100),"")</f>
        <v>0</v>
      </c>
      <c r="HT70" s="49">
        <f>IFERROR(IF(VLOOKUP(A70,tbMoveset!A2:J112,10,FALSE)=TRUE,IF((Backdoors!AI12+IF(HR70&gt;=0.45,VLOOKUP(Calculator!E23,tbSkills!DH3:DI6,2,FALSE)+IF(AND(Calculator!B8=TRUE,Backdoors!BI35=TRUE),VLOOKUP(Calculator!E23,tbSkills!DH3:DJ6,3,FALSE),0),0))&gt;=0,1+(Backdoors!AL2*(IF((Backdoors!AI12+IF(HR70&gt;=0.45,VLOOKUP(Calculator!E23,tbSkills!DH3:DI6,2,FALSE)+IF(AND(Calculator!B8=TRUE,Backdoors!BI35=TRUE),VLOOKUP(Calculator!E23,tbSkills!DH3:DJ6,3,FALSE),0),0))&gt;=100,100,(Backdoors!AI12+IF(HR70&gt;=0.45,VLOOKUP(Calculator!E23,tbSkills!DH3:DI6,2,FALSE)+IF(AND(Calculator!B8=TRUE,Backdoors!BI35=TRUE),VLOOKUP(Calculator!E23,tbSkills!DH3:DJ6,3,FALSE),0),0)))/100)),(1-(0.25*((-Backdoors!AI12-IF(HR70&gt;=0.45,VLOOKUP(Calculator!E23,tbSkills!DH3:DI6,2,FALSE)+IF(AND(Calculator!B8=TRUE,Backdoors!BI35=TRUE),VLOOKUP(Calculator!E23,tbSkills!DH3:DJ6,3,FALSE),0),0))/100)))),1),"")</f>
        <v>1</v>
      </c>
      <c r="HU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R70)*HT70)*(VLOOKUP(A70,tbMoveset!A2:C112,3,FALSE)/100)*IF(VLOOKUP(A70,tbMoveset!A2:B112,2,FALSE)="Projectile",Backdoors!N10,Backdoors!N9),0),"")</f>
        <v/>
      </c>
      <c r="HV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R70&gt;=0.45,VLOOKUP(Calculator!E23,tbSkills!DH3:DI6,2,FALSE)+IF(AND(Calculator!B8=TRUE,Backdoors!BI35=TRUE),VLOOKUP(Calculator!E23,tbSkills!DH3:DJ6,3,FALSE),0),0))&gt;=100,100,(Backdoors!AI12+IF(HR70&gt;=0.45,VLOOKUP(Calculator!E23,tbSkills!DH3:DI6,2,FALSE)+IF(AND(Calculator!B8=TRUE,Backdoors!BI35=TRUE),VLOOKUP(Calculator!E23,tbSkills!DH3:DJ6,3,FALSE),0),0)))/100)),1))*IF(VLOOKUP(A70,tbMoveset!A2:K112,11,FALSE)=TRUE,Backdoors!AC5,1))*HS70,0),"")</f>
        <v>0</v>
      </c>
      <c r="HW70" s="49">
        <f>VLOOKUP(A70,tbMoveset!A2:G112,7,FALSE)*IFERROR(IF(Backdoors!AI12&gt;=0,1+(IF(Calculator!E40&gt;0,VLOOKUP(Calculator!E40,tbSkills!AI3:AJ5,2,FALSE),Backdoors!AL4)*(IF((Backdoors!AI12+IF(HR70&gt;=0.45,VLOOKUP(Calculator!E23,tbSkills!DH3:DI6,2,FALSE)+IF(AND(Calculator!B8=TRUE,Backdoors!BI35=TRUE),VLOOKUP(Calculator!E23,tbSkills!DH3:DJ6,3,FALSE),0),0))&gt;=100,100,(Backdoors!AI12+IF(HR70&gt;=0.45,VLOOKUP(Calculator!E23,tbSkills!DH3:DI6,2,FALSE)+IF(AND(Calculator!B8=TRUE,Backdoors!BI35=TRUE),VLOOKUP(Calculator!E23,tbSkills!DH3:DJ6,3,FALSE),0),0)))/100)),1),1)</f>
        <v>0.8</v>
      </c>
      <c r="HX70" s="87">
        <f t="shared" si="83"/>
        <v>0</v>
      </c>
      <c r="HY70" s="86" t="str">
        <f>IFERROR(IF(VLOOKUP(A70,tbMoveset!A2:B112,2,FALSE)="Sever",Backdoors!AY36/100,IF(VLOOKUP(A70,tbMoveset!A2:B112,2,FALSE)="Blunt",Backdoors!AZ36/100,Backdoors!BA36/100)),"")</f>
        <v/>
      </c>
      <c r="HZ70" s="49">
        <f>IFERROR(IF(VLOOKUP(tbMoveset!A70,tbMoveset!A2:H112,8,FALSE)="Other",IF(VLOOKUP(tbMoveset!A70,tbMoveset!A2:I112,9,FALSE)="Fire",Backdoors!BB36,IF(VLOOKUP(tbMoveset!A70,tbMoveset!A2:I112,9,FALSE)="Water",Backdoors!BC36,IF(VLOOKUP(tbMoveset!A70,tbMoveset!A2:I112,9,FALSE)="Thunder",Backdoors!BD36,IF(VLOOKUP(tbMoveset!A70,tbMoveset!A2:I112,9,FALSE)="Ice",Backdoors!BE36,IF(VLOOKUP(tbMoveset!A70,tbMoveset!A2:I112,9,FALSE)="Dragon",Backdoors!BF36,Backdoors!BG36)))))/100,Backdoors!BG36/100),"")</f>
        <v>0</v>
      </c>
      <c r="IA70" s="49">
        <f>IFERROR(IF(VLOOKUP(A70,tbMoveset!A2:J112,10,FALSE)=TRUE,IF((Backdoors!AI12+IF(HY70&gt;=0.45,VLOOKUP(Calculator!E23,tbSkills!DH3:DI6,2,FALSE)+IF(AND(Calculator!B8=TRUE,Backdoors!BI36=TRUE),VLOOKUP(Calculator!E23,tbSkills!DH3:DJ6,3,FALSE),0),0))&gt;=0,1+(Backdoors!AL2*(IF((Backdoors!AI12+IF(HY70&gt;=0.45,VLOOKUP(Calculator!E23,tbSkills!DH3:DI6,2,FALSE)+IF(AND(Calculator!B8=TRUE,Backdoors!BI36=TRUE),VLOOKUP(Calculator!E23,tbSkills!DH3:DJ6,3,FALSE),0),0))&gt;=100,100,(Backdoors!AI12+IF(HY70&gt;=0.45,VLOOKUP(Calculator!E23,tbSkills!DH3:DI6,2,FALSE)+IF(AND(Calculator!B8=TRUE,Backdoors!BI36=TRUE),VLOOKUP(Calculator!E23,tbSkills!DH3:DJ6,3,FALSE),0),0)))/100)),(1-(0.25*((-Backdoors!AI12-IF(HY70&gt;=0.45,VLOOKUP(Calculator!E23,tbSkills!DH3:DI6,2,FALSE)+IF(AND(Calculator!B8=TRUE,Backdoors!BI36=TRUE),VLOOKUP(Calculator!E23,tbSkills!DH3:DJ6,3,FALSE),0),0))/100)))),1),"")</f>
        <v>1</v>
      </c>
      <c r="IB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Y70)*IA70)*(VLOOKUP(A70,tbMoveset!A2:C112,3,FALSE)/100)*IF(VLOOKUP(A70,tbMoveset!A2:B112,2,FALSE)="Projectile",Backdoors!N10,Backdoors!N9),0),"")</f>
        <v/>
      </c>
      <c r="IC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Y70&gt;=0.45,VLOOKUP(Calculator!E23,tbSkills!DH3:DI6,2,FALSE)+IF(AND(Calculator!B8=TRUE,Backdoors!BI36=TRUE),VLOOKUP(Calculator!E23,tbSkills!DH3:DJ6,3,FALSE),0),0))&gt;=100,100,(Backdoors!AI12+IF(HY70&gt;=0.45,VLOOKUP(Calculator!E23,tbSkills!DH3:DI6,2,FALSE)+IF(AND(Calculator!B8=TRUE,Backdoors!BI36=TRUE),VLOOKUP(Calculator!E23,tbSkills!DH3:DJ6,3,FALSE),0),0)))/100)),1))*IF(VLOOKUP(A70,tbMoveset!A2:K112,11,FALSE)=TRUE,Backdoors!AC5,1))*HZ70,0),"")</f>
        <v>0</v>
      </c>
      <c r="ID70" s="49">
        <f>VLOOKUP(A70,tbMoveset!A2:G112,7,FALSE)*IFERROR(IF(Backdoors!AI12&gt;=0,1+(IF(Calculator!E40&gt;0,VLOOKUP(Calculator!E40,tbSkills!AI3:AJ5,2,FALSE),Backdoors!AL4)*(IF((Backdoors!AI12+IF(HY70&gt;=0.45,VLOOKUP(Calculator!E23,tbSkills!DH3:DI6,2,FALSE)+IF(AND(Calculator!B8=TRUE,Backdoors!BI36=TRUE),VLOOKUP(Calculator!E23,tbSkills!DH3:DJ6,3,FALSE),0),0))&gt;=100,100,(Backdoors!AI12+IF(HY70&gt;=0.45,VLOOKUP(Calculator!E23,tbSkills!DH3:DI6,2,FALSE)+IF(AND(Calculator!B8=TRUE,Backdoors!BI36=TRUE),VLOOKUP(Calculator!E23,tbSkills!DH3:DJ6,3,FALSE),0),0)))/100)),1),1)</f>
        <v>0.8</v>
      </c>
      <c r="IE70" s="87">
        <f t="shared" si="84"/>
        <v>0</v>
      </c>
      <c r="IF70" s="86" t="str">
        <f>IFERROR(IF(VLOOKUP(A70,tbMoveset!A2:B112,2,FALSE)="Sever",Backdoors!AY37/100,IF(VLOOKUP(A70,tbMoveset!A2:B112,2,FALSE)="Blunt",Backdoors!AZ37/100,Backdoors!BA37/100)),"")</f>
        <v/>
      </c>
      <c r="IG70" s="49">
        <f>IFERROR(IF(VLOOKUP(tbMoveset!A70,tbMoveset!A2:H112,8,FALSE)="Other",IF(VLOOKUP(tbMoveset!A70,tbMoveset!A2:I112,9,FALSE)="Fire",Backdoors!BB37,IF(VLOOKUP(tbMoveset!A70,tbMoveset!A2:I112,9,FALSE)="Water",Backdoors!BC37,IF(VLOOKUP(tbMoveset!A70,tbMoveset!A2:I112,9,FALSE)="Thunder",Backdoors!BD37,IF(VLOOKUP(tbMoveset!A70,tbMoveset!A2:I112,9,FALSE)="Ice",Backdoors!BE37,IF(VLOOKUP(tbMoveset!A70,tbMoveset!A2:I112,9,FALSE)="Dragon",Backdoors!BF37,Backdoors!BG37)))))/100,Backdoors!BG37/100),"")</f>
        <v>0</v>
      </c>
      <c r="IH70" s="49">
        <f>IFERROR(IF(VLOOKUP(A70,tbMoveset!A2:J112,10,FALSE)=TRUE,IF((Backdoors!AI12+IF(IF70&gt;=0.45,VLOOKUP(Calculator!E23,tbSkills!DH3:DI6,2,FALSE)+IF(AND(Calculator!B8=TRUE,Backdoors!BI37=TRUE),VLOOKUP(Calculator!E23,tbSkills!DH3:DJ6,3,FALSE),0),0))&gt;=0,1+(Backdoors!AL2*(IF((Backdoors!AI12+IF(IF70&gt;=0.45,VLOOKUP(Calculator!E23,tbSkills!DH3:DI6,2,FALSE)+IF(AND(Calculator!B8=TRUE,Backdoors!BI37=TRUE),VLOOKUP(Calculator!E23,tbSkills!DH3:DJ6,3,FALSE),0),0))&gt;=100,100,(Backdoors!AI12+IF(IF70&gt;=0.45,VLOOKUP(Calculator!E23,tbSkills!DH3:DI6,2,FALSE)+IF(AND(Calculator!B8=TRUE,Backdoors!BI37=TRUE),VLOOKUP(Calculator!E23,tbSkills!DH3:DJ6,3,FALSE),0),0)))/100)),(1-(0.25*((-Backdoors!AI12-IF(IF70&gt;=0.45,VLOOKUP(Calculator!E23,tbSkills!DH3:DI6,2,FALSE)+IF(AND(Calculator!B8=TRUE,Backdoors!BI37=TRUE),VLOOKUP(Calculator!E23,tbSkills!DH3:DJ6,3,FALSE),0),0))/100)))),1),"")</f>
        <v>1</v>
      </c>
      <c r="II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F70)*IH70)*(VLOOKUP(A70,tbMoveset!A2:C112,3,FALSE)/100)*IF(VLOOKUP(A70,tbMoveset!A2:B112,2,FALSE)="Projectile",Backdoors!N10,Backdoors!N9),0),"")</f>
        <v/>
      </c>
      <c r="IJ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IF70&gt;=0.45,VLOOKUP(Calculator!E23,tbSkills!DH3:DI6,2,FALSE)+IF(AND(Calculator!B8=TRUE,Backdoors!BI37=TRUE),VLOOKUP(Calculator!E23,tbSkills!DH3:DJ6,3,FALSE),0),0))&gt;=100,100,(Backdoors!AI12+IF(IF70&gt;=0.45,VLOOKUP(Calculator!E23,tbSkills!DH3:DI6,2,FALSE)+IF(AND(Calculator!B8=TRUE,Backdoors!BI37=TRUE),VLOOKUP(Calculator!E23,tbSkills!DH3:DJ6,3,FALSE),0),0)))/100)),1))*IF(VLOOKUP(A70,tbMoveset!A2:K112,11,FALSE)=TRUE,Backdoors!AC5,1))*IG70,0),"")</f>
        <v>0</v>
      </c>
      <c r="IK70" s="49">
        <f>VLOOKUP(A70,tbMoveset!A2:G112,7,FALSE)*IFERROR(IF(Backdoors!AI12&gt;=0,1+(IF(Calculator!E40&gt;0,VLOOKUP(Calculator!E40,tbSkills!AI3:AJ5,2,FALSE),Backdoors!AL4)*(IF((Backdoors!AI12+IF(IF70&gt;=0.45,VLOOKUP(Calculator!E23,tbSkills!DH3:DI6,2,FALSE)+IF(AND(Calculator!B8=TRUE,Backdoors!BI37=TRUE),VLOOKUP(Calculator!E23,tbSkills!DH3:DJ6,3,FALSE),0),0))&gt;=100,100,(Backdoors!AI12+IF(IF70&gt;=0.45,VLOOKUP(Calculator!E23,tbSkills!DH3:DI6,2,FALSE)+IF(AND(Calculator!B8=TRUE,Backdoors!BI37=TRUE),VLOOKUP(Calculator!E23,tbSkills!DH3:DJ6,3,FALSE),0),0)))/100)),1),1)</f>
        <v>0.8</v>
      </c>
      <c r="IL70" s="87">
        <f t="shared" si="85"/>
        <v>0</v>
      </c>
      <c r="IM70" s="86" t="str">
        <f>IFERROR(IF(VLOOKUP(A70,tbMoveset!A2:B112,2,FALSE)="Sever",Backdoors!AY38/100,IF(VLOOKUP(A70,tbMoveset!A2:B112,2,FALSE)="Blunt",Backdoors!AZ38/100,Backdoors!BA38/100)),"")</f>
        <v/>
      </c>
      <c r="IN70" s="49">
        <f>IFERROR(IF(VLOOKUP(tbMoveset!A70,tbMoveset!A2:H112,8,FALSE)="Other",IF(VLOOKUP(tbMoveset!A70,tbMoveset!A2:I112,9,FALSE)="Fire",Backdoors!BB38,IF(VLOOKUP(tbMoveset!A70,tbMoveset!A2:I112,9,FALSE)="Water",Backdoors!BC38,IF(VLOOKUP(tbMoveset!A70,tbMoveset!A2:I112,9,FALSE)="Thunder",Backdoors!BD38,IF(VLOOKUP(tbMoveset!A70,tbMoveset!A2:I112,9,FALSE)="Ice",Backdoors!BE38,IF(VLOOKUP(tbMoveset!A70,tbMoveset!A2:I112,9,FALSE)="Dragon",Backdoors!BF38,Backdoors!BG38)))))/100,Backdoors!BG38/100),"")</f>
        <v>0</v>
      </c>
      <c r="IO70" s="49">
        <f>IFERROR(IF(VLOOKUP(A70,tbMoveset!A2:J112,10,FALSE)=TRUE,IF((Backdoors!AI12+IF(IM70&gt;=0.45,VLOOKUP(Calculator!E23,tbSkills!DH3:DI6,2,FALSE)+IF(AND(Calculator!B8=TRUE,Backdoors!BI38=TRUE),VLOOKUP(Calculator!E23,tbSkills!DH3:DJ6,3,FALSE),0),0))&gt;=0,1+(Backdoors!AL2*(IF((Backdoors!AI12+IF(IM70&gt;=0.45,VLOOKUP(Calculator!E23,tbSkills!DH3:DI6,2,FALSE)+IF(AND(Calculator!B8=TRUE,Backdoors!BI38=TRUE),VLOOKUP(Calculator!E23,tbSkills!DH3:DJ6,3,FALSE),0),0))&gt;=100,100,(Backdoors!AI12+IF(IM70&gt;=0.45,VLOOKUP(Calculator!E23,tbSkills!DH3:DI6,2,FALSE)+IF(AND(Calculator!B8=TRUE,Backdoors!BI38=TRUE),VLOOKUP(Calculator!E23,tbSkills!DH3:DJ6,3,FALSE),0),0)))/100)),(1-(0.25*((-Backdoors!AI12-IF(IM70&gt;=0.45,VLOOKUP(Calculator!E23,tbSkills!DH3:DI6,2,FALSE)+IF(AND(Calculator!B8=TRUE,Backdoors!BI38=TRUE),VLOOKUP(Calculator!E23,tbSkills!DH3:DJ6,3,FALSE),0),0))/100)))),1),"")</f>
        <v>1</v>
      </c>
      <c r="IP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M70)*IO70)*(VLOOKUP(A70,tbMoveset!A2:C112,3,FALSE)/100)*IF(VLOOKUP(A70,tbMoveset!A2:B112,2,FALSE)="Projectile",Backdoors!N10,Backdoors!N9),0),"")</f>
        <v/>
      </c>
      <c r="IQ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IM70&gt;=0.45,VLOOKUP(Calculator!E23,tbSkills!DH3:DI6,2,FALSE)+IF(AND(Calculator!B8=TRUE,Backdoors!BI38=TRUE),VLOOKUP(Calculator!E23,tbSkills!DH3:DJ6,3,FALSE),0),0))&gt;=100,100,(Backdoors!AI12+IF(IM70&gt;=0.45,VLOOKUP(Calculator!E23,tbSkills!DH3:DI6,2,FALSE)+IF(AND(Calculator!B8=TRUE,Backdoors!BI38=TRUE),VLOOKUP(Calculator!E23,tbSkills!DH3:DJ6,3,FALSE),0),0)))/100)),1))*IF(VLOOKUP(A70,tbMoveset!A2:K112,11,FALSE)=TRUE,Backdoors!AC5,1))*IN70,0),"")</f>
        <v>0</v>
      </c>
      <c r="IR70" s="49">
        <f>VLOOKUP(A70,tbMoveset!A2:G112,7,FALSE)*IFERROR(IF(Backdoors!AI12&gt;=0,1+(IF(Calculator!E40&gt;0,VLOOKUP(Calculator!E40,tbSkills!AI3:AJ5,2,FALSE),Backdoors!AL4)*(IF((Backdoors!AI12+IF(IM70&gt;=0.45,VLOOKUP(Calculator!E23,tbSkills!DH3:DI6,2,FALSE)+IF(AND(Calculator!B8=TRUE,Backdoors!BI38=TRUE),VLOOKUP(Calculator!E23,tbSkills!DH3:DJ6,3,FALSE),0),0))&gt;=100,100,(Backdoors!AI12+IF(IM70&gt;=0.45,VLOOKUP(Calculator!E23,tbSkills!DH3:DI6,2,FALSE)+IF(AND(Calculator!B8=TRUE,Backdoors!BI38=TRUE),VLOOKUP(Calculator!E23,tbSkills!DH3:DJ6,3,FALSE),0),0)))/100)),1),1)</f>
        <v>0.8</v>
      </c>
      <c r="IS70" s="87">
        <f t="shared" si="86"/>
        <v>0</v>
      </c>
      <c r="IT70" s="86" t="str">
        <f>IFERROR(IF(VLOOKUP(A70,tbMoveset!A2:B112,2,FALSE)="Sever",Backdoors!AY39/100,IF(VLOOKUP(A70,tbMoveset!A2:B112,2,FALSE)="Blunt",Backdoors!AZ39/100,Backdoors!BA39/100)),"")</f>
        <v/>
      </c>
      <c r="IU70" s="49">
        <f>IFERROR(IF(VLOOKUP(tbMoveset!A70,tbMoveset!A2:H112,8,FALSE)="Other",IF(VLOOKUP(tbMoveset!A70,tbMoveset!A2:I112,9,FALSE)="Fire",Backdoors!BB39,IF(VLOOKUP(tbMoveset!A70,tbMoveset!A2:I112,9,FALSE)="Water",Backdoors!BC39,IF(VLOOKUP(tbMoveset!A70,tbMoveset!A2:I112,9,FALSE)="Thunder",Backdoors!BD39,IF(VLOOKUP(tbMoveset!A70,tbMoveset!A2:I112,9,FALSE)="Ice",Backdoors!BE39,IF(VLOOKUP(tbMoveset!A70,tbMoveset!A2:I112,9,FALSE)="Dragon",Backdoors!BF39,Backdoors!BG39)))))/100,Backdoors!BG39/100),"")</f>
        <v>0</v>
      </c>
      <c r="IV70" s="49">
        <f>IFERROR(IF(VLOOKUP(A70,tbMoveset!A2:J112,10,FALSE)=TRUE,IF((Backdoors!AI12+IF(IT70&gt;=0.45,VLOOKUP(Calculator!E23,tbSkills!DH3:DI6,2,FALSE)+IF(AND(Calculator!B8=TRUE,Backdoors!BI39=TRUE),VLOOKUP(Calculator!E23,tbSkills!DH3:DJ6,3,FALSE),0),0))&gt;=0,1+(Backdoors!AL2*(IF((Backdoors!AI12+IF(IT70&gt;=0.45,VLOOKUP(Calculator!E23,tbSkills!DH3:DI6,2,FALSE)+IF(AND(Calculator!B8=TRUE,Backdoors!BI39=TRUE),VLOOKUP(Calculator!E23,tbSkills!DH3:DJ6,3,FALSE),0),0))&gt;=100,100,(Backdoors!AI12+IF(IT70&gt;=0.45,VLOOKUP(Calculator!E23,tbSkills!DH3:DI6,2,FALSE)+IF(AND(Calculator!B8=TRUE,Backdoors!BI39=TRUE),VLOOKUP(Calculator!E23,tbSkills!DH3:DJ6,3,FALSE),0),0)))/100)),(1-(0.25*((-Backdoors!AI12-IF(IT70&gt;=0.45,VLOOKUP(Calculator!E23,tbSkills!DH3:DI6,2,FALSE)+IF(AND(Calculator!B8=TRUE,Backdoors!BI39=TRUE),VLOOKUP(Calculator!E23,tbSkills!DH3:DJ6,3,FALSE),0),0))/100)))),1),"")</f>
        <v>1</v>
      </c>
      <c r="IW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T70)*IV70)*(VLOOKUP(A70,tbMoveset!A2:C112,3,FALSE)/100)*IF(VLOOKUP(A70,tbMoveset!A2:B112,2,FALSE)="Projectile",Backdoors!N10,Backdoors!N9),0),"")</f>
        <v/>
      </c>
      <c r="IX70" s="49">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40&gt;0,VLOOKUP(Calculator!E40,tbSkills!AC3:AD5,2,FALSE),Backdoors!AL3)*(IF((Backdoors!AI12+IF(IT70&gt;=0.45,VLOOKUP(Calculator!E23,tbSkills!DH3:DI6,2,FALSE)+IF(AND(Calculator!B8=TRUE,Backdoors!BI39=TRUE),VLOOKUP(Calculator!E23,tbSkills!DH3:DJ6,3,FALSE),0),0))&gt;=100,100,(Backdoors!AI12+IF(IT70&gt;=0.45,VLOOKUP(Calculator!E23,tbSkills!DH3:DI6,2,FALSE)+IF(AND(Calculator!B8=TRUE,Backdoors!BI39=TRUE),VLOOKUP(Calculator!E23,tbSkills!DH3:DJ6,3,FALSE),0),0)))/100)),1))*IF(VLOOKUP(A70,tbMoveset!A2:K112,11,FALSE)=TRUE,Backdoors!AC5,1))*IU70,0),"")</f>
        <v>0</v>
      </c>
      <c r="IY70" s="49">
        <f>VLOOKUP(A70,tbMoveset!A2:G112,7,FALSE)*IFERROR(IF(Backdoors!AI12&gt;=0,1+(IF(Calculator!E40&gt;0,VLOOKUP(Calculator!E40,tbSkills!AI3:AJ5,2,FALSE),Backdoors!AL4)*(IF((Backdoors!AI12+IF(IT70&gt;=0.45,VLOOKUP(Calculator!E23,tbSkills!DH3:DI6,2,FALSE)+IF(AND(Calculator!B8=TRUE,Backdoors!BI39=TRUE),VLOOKUP(Calculator!E23,tbSkills!DH3:DJ6,3,FALSE),0),0))&gt;=100,100,(Backdoors!AI12+IF(IT70&gt;=0.45,VLOOKUP(Calculator!E23,tbSkills!DH3:DI6,2,FALSE)+IF(AND(Calculator!B8=TRUE,Backdoors!BI39=TRUE),VLOOKUP(Calculator!E23,tbSkills!DH3:DJ6,3,FALSE),0),0)))/100)),1),1)</f>
        <v>0.8</v>
      </c>
      <c r="IZ70" s="87">
        <f t="shared" si="87"/>
        <v>0</v>
      </c>
      <c r="JA70" s="86" t="str">
        <f>IFERROR(IF(VLOOKUP(A70,tbMoveset!A2:B112,2,FALSE)="Sever",Backdoors!AY40/100,IF(VLOOKUP(A70,tbMoveset!A2:B112,2,FALSE)="Blunt",Backdoors!AZ40/100,Backdoors!BA40/100)),"")</f>
        <v/>
      </c>
      <c r="JB70" s="49">
        <f>IFERROR(IF(VLOOKUP(tbMoveset!A70,tbMoveset!A2:H112,8,FALSE)="Other",IF(VLOOKUP(tbMoveset!A70,tbMoveset!A2:I112,9,FALSE)="Fire",Backdoors!BB40,IF(VLOOKUP(tbMoveset!A70,tbMoveset!A2:I112,9,FALSE)="Water",Backdoors!BC40,IF(VLOOKUP(tbMoveset!A70,tbMoveset!A2:I112,9,FALSE)="Thunder",Backdoors!BD40,IF(VLOOKUP(tbMoveset!A70,tbMoveset!A2:I112,9,FALSE)="Ice",Backdoors!BE40,IF(VLOOKUP(tbMoveset!A70,tbMoveset!A2:I112,9,FALSE)="Dragon",Backdoors!BF40,Backdoors!BG40)))))/100,Backdoors!BG40/100),"")</f>
        <v>0</v>
      </c>
      <c r="JC70" s="49">
        <f>IFERROR(IF(VLOOKUP(A70,tbMoveset!A2:J112,10,FALSE)=TRUE,IF((Backdoors!AI12+IF(JA70&gt;=0.45,VLOOKUP(Calculator!E23,tbSkills!DH3:DI6,2,FALSE)+IF(AND(Calculator!B8=TRUE,Backdoors!BI40=TRUE),VLOOKUP(Calculator!E23,tbSkills!DH3:DJ6,3,FALSE),0),0))&gt;=0,1+(Backdoors!AL2*(IF((Backdoors!AI12+IF(JA70&gt;=0.45,VLOOKUP(Calculator!E23,tbSkills!DH3:DI6,2,FALSE)+IF(AND(Calculator!B8=TRUE,Backdoors!BI40=TRUE),VLOOKUP(Calculator!E23,tbSkills!DH3:DJ6,3,FALSE),0),0))&gt;=100,100,(Backdoors!AI12+IF(JA70&gt;=0.45,VLOOKUP(Calculator!E23,tbSkills!DH3:DI6,2,FALSE)+IF(AND(Calculator!B8=TRUE,Backdoors!BI40=TRUE),VLOOKUP(Calculator!E23,tbSkills!DH3:DJ6,3,FALSE),0),0)))/100)),(1-(0.25*((-Backdoors!AI12-IF(JA70&gt;=0.45,VLOOKUP(Calculator!E23,tbSkills!DH3:DI6,2,FALSE)+IF(AND(Calculator!B8=TRUE,Backdoors!BI40=TRUE),VLOOKUP(Calculator!E23,tbSkills!DH3:DJ6,3,FALSE),0),0))/100)))),1),"")</f>
        <v>1</v>
      </c>
      <c r="JD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A70)*JC70)*(VLOOKUP(A70,tbMoveset!A2:C112,3,FALSE)/100)*IF(VLOOKUP(A70,tbMoveset!A2:B112,2,FALSE)="Projectile",Backdoors!N10,Backdoors!N9),0),"")</f>
        <v/>
      </c>
      <c r="JE70" s="49">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42&gt;0,VLOOKUP(Calculator!E42,tbSkills!AC3:AD5,2,FALSE),Backdoors!AL3)*(IF((Backdoors!AI12+IF(JA70&gt;=0.45,VLOOKUP(Calculator!E23,tbSkills!DH3:DI6,2,FALSE)+IF(AND(Calculator!B8=TRUE,Backdoors!BI40=TRUE),VLOOKUP(Calculator!E23,tbSkills!DH3:DJ6,3,FALSE),0),0))&gt;=100,100,(Backdoors!AI12+IF(JA70&gt;=0.45,VLOOKUP(Calculator!E23,tbSkills!DH3:DI6,2,FALSE)+IF(AND(Calculator!B8=TRUE,Backdoors!BI40=TRUE),VLOOKUP(Calculator!E23,tbSkills!DH3:DJ6,3,FALSE),0),0)))/100)),1))*IF(VLOOKUP(A70,tbMoveset!A2:K112,11,FALSE)=TRUE,Backdoors!AC5,1))*JB70,0),"")</f>
        <v>0</v>
      </c>
      <c r="JF70" s="49">
        <f>VLOOKUP(A70,tbMoveset!A2:G112,7,FALSE)*IFERROR(IF(Backdoors!AI12&gt;=0,1+(IF(Calculator!E40&gt;0,VLOOKUP(Calculator!E40,tbSkills!AI3:AJ5,2,FALSE),Backdoors!AL4)*(IF((Backdoors!AI12+IF(JA70&gt;=0.45,VLOOKUP(Calculator!E23,tbSkills!DH3:DI6,2,FALSE)+IF(AND(Calculator!B8=TRUE,Backdoors!BI40=TRUE),VLOOKUP(Calculator!E23,tbSkills!DH3:DJ6,3,FALSE),0),0))&gt;=100,100,(Backdoors!AI12+IF(JA70&gt;=0.45,VLOOKUP(Calculator!E23,tbSkills!DH3:DI6,2,FALSE)+IF(AND(Calculator!B8=TRUE,Backdoors!BI40=TRUE),VLOOKUP(Calculator!E23,tbSkills!DH3:DJ6,3,FALSE),0),0)))/100)),1),1)</f>
        <v>0.8</v>
      </c>
      <c r="JG70" s="87">
        <f t="shared" si="88"/>
        <v>0</v>
      </c>
      <c r="JH70" s="86" t="str">
        <f>IFERROR(IF(VLOOKUP(A70,tbMoveset!A2:B112,2,FALSE)="Sever",Backdoors!AY41/100,IF(VLOOKUP(A70,tbMoveset!A2:B112,2,FALSE)="Blunt",Backdoors!AZ41/100,Backdoors!BA41/100)),"")</f>
        <v/>
      </c>
      <c r="JI70" s="49">
        <f>IFERROR(IF(VLOOKUP(tbMoveset!A70,tbMoveset!A2:H112,8,FALSE)="Other",IF(VLOOKUP(tbMoveset!A70,tbMoveset!A2:I112,9,FALSE)="Fire",Backdoors!BB41,IF(VLOOKUP(tbMoveset!A70,tbMoveset!A2:I112,9,FALSE)="Water",Backdoors!BC41,IF(VLOOKUP(tbMoveset!A70,tbMoveset!A2:I112,9,FALSE)="Thunder",Backdoors!BD41,IF(VLOOKUP(tbMoveset!A70,tbMoveset!A2:I112,9,FALSE)="Ice",Backdoors!BE41,IF(VLOOKUP(tbMoveset!A70,tbMoveset!A2:I112,9,FALSE)="Dragon",Backdoors!BF41,Backdoors!BG41)))))/100,Backdoors!BG41/100),"")</f>
        <v>0</v>
      </c>
      <c r="JJ70" s="49">
        <f>IFERROR(IF(VLOOKUP(A70,tbMoveset!A2:J112,10,FALSE)=TRUE,IF((Backdoors!AI12+IF(JH70&gt;=0.45,VLOOKUP(Calculator!E23,tbSkills!DH3:DI6,2,FALSE)+IF(AND(Calculator!B8=TRUE,Backdoors!BI41=TRUE),VLOOKUP(Calculator!E23,tbSkills!DH3:DJ6,3,FALSE),0),0))&gt;=0,1+(Backdoors!AL2*(IF((Backdoors!AI12+IF(JH70&gt;=0.45,VLOOKUP(Calculator!E23,tbSkills!DH3:DI6,2,FALSE)+IF(AND(Calculator!B8=TRUE,Backdoors!BI41=TRUE),VLOOKUP(Calculator!E23,tbSkills!DH3:DJ6,3,FALSE),0),0))&gt;=100,100,(Backdoors!AI12+IF(JH70&gt;=0.45,VLOOKUP(Calculator!E23,tbSkills!DH3:DI6,2,FALSE)+IF(AND(Calculator!B8=TRUE,Backdoors!BI41=TRUE),VLOOKUP(Calculator!E23,tbSkills!DH3:DJ6,3,FALSE),0),0)))/100)),(1-(0.25*((-Backdoors!AI12-IF(JH70&gt;=0.45,VLOOKUP(Calculator!E23,tbSkills!DH3:DI6,2,FALSE)+IF(AND(Calculator!B8=TRUE,Backdoors!BI41=TRUE),VLOOKUP(Calculator!E23,tbSkills!DH3:DJ6,3,FALSE),0),0))/100)))),1),"")</f>
        <v>1</v>
      </c>
      <c r="JK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H70)*JJ70)*(VLOOKUP(A70,tbMoveset!A2:C112,3,FALSE)/100)*IF(VLOOKUP(A70,tbMoveset!A2:B112,2,FALSE)="Projectile",Backdoors!N10,Backdoors!N9),0),"")</f>
        <v/>
      </c>
      <c r="JL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43&gt;0,VLOOKUP(Calculator!E43,tbSkills!AC3:AD5,2,FALSE),Backdoors!AL3)*(IF((Backdoors!AI12+IF(JH70&gt;=0.45,VLOOKUP(Calculator!E23,tbSkills!DH3:DI6,2,FALSE)+IF(AND(Calculator!B8=TRUE,Backdoors!BI41=TRUE),VLOOKUP(Calculator!E23,tbSkills!DH3:DJ6,3,FALSE),0),0))&gt;=100,100,(Backdoors!AI12+IF(JH70&gt;=0.45,VLOOKUP(Calculator!E23,tbSkills!DH3:DI6,2,FALSE)+IF(AND(Calculator!B8=TRUE,Backdoors!BI41=TRUE),VLOOKUP(Calculator!E23,tbSkills!DH3:DJ6,3,FALSE),0),0)))/100)),1))*IF(VLOOKUP(A70,tbMoveset!A2:K112,11,FALSE)=TRUE,Backdoors!AC5,1))*JI70,0),"")</f>
        <v/>
      </c>
      <c r="JM70" s="49">
        <f>VLOOKUP(A70,tbMoveset!A2:G112,7,FALSE)*IFERROR(IF(Backdoors!AI12&gt;=0,1+(IF(Calculator!E40&gt;0,VLOOKUP(Calculator!E40,tbSkills!AI3:AJ5,2,FALSE),Backdoors!AL4)*(IF((Backdoors!AI12+IF(JH70&gt;=0.45,VLOOKUP(Calculator!E23,tbSkills!DH3:DI6,2,FALSE)+IF(AND(Calculator!B8=TRUE,Backdoors!BI41=TRUE),VLOOKUP(Calculator!E23,tbSkills!DH3:DJ6,3,FALSE),0),0))&gt;=100,100,(Backdoors!AI12+IF(JH70&gt;=0.45,VLOOKUP(Calculator!E23,tbSkills!DH3:DI6,2,FALSE)+IF(AND(Calculator!B8=TRUE,Backdoors!BI41=TRUE),VLOOKUP(Calculator!E23,tbSkills!DH3:DJ6,3,FALSE),0),0)))/100)),1),1)</f>
        <v>0.8</v>
      </c>
      <c r="JN70" s="87">
        <f t="shared" si="89"/>
        <v>0</v>
      </c>
      <c r="JO70" s="86" t="str">
        <f>IFERROR(IF(VLOOKUP(A70,tbMoveset!A2:B112,2,FALSE)="Sever",Backdoors!AY42/100,IF(VLOOKUP(A70,tbMoveset!A2:B112,2,FALSE)="Blunt",Backdoors!AZ42/100,Backdoors!BA42/100)),"")</f>
        <v/>
      </c>
      <c r="JP70" s="49">
        <f>IFERROR(IF(VLOOKUP(tbMoveset!A70,tbMoveset!A2:H112,8,FALSE)="Other",IF(VLOOKUP(tbMoveset!A70,tbMoveset!A2:I112,9,FALSE)="Fire",Backdoors!BB42,IF(VLOOKUP(tbMoveset!A70,tbMoveset!A2:I112,9,FALSE)="Water",Backdoors!BC42,IF(VLOOKUP(tbMoveset!A70,tbMoveset!A2:I112,9,FALSE)="Thunder",Backdoors!BD42,IF(VLOOKUP(tbMoveset!A70,tbMoveset!A2:I112,9,FALSE)="Ice",Backdoors!BE42,IF(VLOOKUP(tbMoveset!A70,tbMoveset!A2:I112,9,FALSE)="Dragon",Backdoors!BF42,Backdoors!BG42)))))/100,Backdoors!BG42/100),"")</f>
        <v>0</v>
      </c>
      <c r="JQ70" s="49">
        <f>IFERROR(IF(VLOOKUP(A70,tbMoveset!A2:J112,10,FALSE)=TRUE,IF((Backdoors!AI12+IF(JO70&gt;=0.45,VLOOKUP(Calculator!E23,tbSkills!DH3:DI6,2,FALSE)+IF(AND(Calculator!B8=TRUE,Backdoors!BI42=TRUE),VLOOKUP(Calculator!E23,tbSkills!DH3:DJ6,3,FALSE),0),0))&gt;=0,1+(Backdoors!AL2*(IF((Backdoors!AI12+IF(JO70&gt;=0.45,VLOOKUP(Calculator!E23,tbSkills!DH3:DI6,2,FALSE)+IF(AND(Calculator!B8=TRUE,Backdoors!BI42=TRUE),VLOOKUP(Calculator!E23,tbSkills!DH3:DJ6,3,FALSE),0),0))&gt;=100,100,(Backdoors!AI12+IF(JO70&gt;=0.45,VLOOKUP(Calculator!E23,tbSkills!DH3:DI6,2,FALSE)+IF(AND(Calculator!B8=TRUE,Backdoors!BI42=TRUE),VLOOKUP(Calculator!E23,tbSkills!DH3:DJ6,3,FALSE),0),0)))/100)),(1-(0.25*((-Backdoors!AI12-IF(JO70&gt;=0.45,VLOOKUP(Calculator!E23,tbSkills!DH3:DI6,2,FALSE)+IF(AND(Calculator!B8=TRUE,Backdoors!BI42=TRUE),VLOOKUP(Calculator!E23,tbSkills!DH3:DJ6,3,FALSE),0),0))/100)))),1),"")</f>
        <v>1</v>
      </c>
      <c r="JR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O70)*JQ70)*(VLOOKUP(A70,tbMoveset!A2:C112,3,FALSE)/100)*IF(VLOOKUP(A70,tbMoveset!A2:B112,2,FALSE)="Projectile",Backdoors!N10,Backdoors!N9),0),"")</f>
        <v/>
      </c>
      <c r="JS70" s="49">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45&gt;0,VLOOKUP(Calculator!E45,tbSkills!AC3:AD5,2,FALSE),Backdoors!AL3)*(IF((Backdoors!AI12+IF(JO70&gt;=0.45,VLOOKUP(Calculator!E23,tbSkills!DH3:DI6,2,FALSE)+IF(AND(Calculator!B8=TRUE,Backdoors!BI42=TRUE),VLOOKUP(Calculator!E23,tbSkills!DH3:DJ6,3,FALSE),0),0))&gt;=100,100,(Backdoors!AI12+IF(JO70&gt;=0.45,VLOOKUP(Calculator!E23,tbSkills!DH3:DI6,2,FALSE)+IF(AND(Calculator!B8=TRUE,Backdoors!BI42=TRUE),VLOOKUP(Calculator!E23,tbSkills!DH3:DJ6,3,FALSE),0),0)))/100)),1))*IF(VLOOKUP(A70,tbMoveset!A2:K112,11,FALSE)=TRUE,Backdoors!AC5,1))*JP70,0),"")</f>
        <v>0</v>
      </c>
      <c r="JT70" s="49">
        <f>VLOOKUP(A70,tbMoveset!A2:G112,7,FALSE)*IFERROR(IF(Backdoors!AI12&gt;=0,1+(IF(Calculator!E40&gt;0,VLOOKUP(Calculator!E40,tbSkills!AI3:AJ5,2,FALSE),Backdoors!AL4)*(IF((Backdoors!AI12+IF(JO70&gt;=0.45,VLOOKUP(Calculator!E23,tbSkills!DH3:DI6,2,FALSE)+IF(AND(Calculator!B8=TRUE,Backdoors!BI42=TRUE),VLOOKUP(Calculator!E23,tbSkills!DH3:DJ6,3,FALSE),0),0))&gt;=100,100,(Backdoors!AI12+IF(JO70&gt;=0.45,VLOOKUP(Calculator!E23,tbSkills!DH3:DI6,2,FALSE)+IF(AND(Calculator!B8=TRUE,Backdoors!BI42=TRUE),VLOOKUP(Calculator!E23,tbSkills!DH3:DJ6,3,FALSE),0),0)))/100)),1),1)</f>
        <v>0.8</v>
      </c>
      <c r="JU70" s="87">
        <f t="shared" si="90"/>
        <v>0</v>
      </c>
      <c r="JV70" s="86" t="str">
        <f>IFERROR(IF(VLOOKUP(A70,tbMoveset!A2:B112,2,FALSE)="Sever",Backdoors!AY43/100,IF(VLOOKUP(A70,tbMoveset!A2:B112,2,FALSE)="Blunt",Backdoors!AZ43/100,Backdoors!BA43/100)),"")</f>
        <v/>
      </c>
      <c r="JW70" s="49">
        <f>IFERROR(IF(VLOOKUP(tbMoveset!A70,tbMoveset!A2:H112,8,FALSE)="Other",IF(VLOOKUP(tbMoveset!A70,tbMoveset!A2:I112,9,FALSE)="Fire",Backdoors!BB43,IF(VLOOKUP(tbMoveset!A70,tbMoveset!A2:I112,9,FALSE)="Water",Backdoors!BC43,IF(VLOOKUP(tbMoveset!A70,tbMoveset!A2:I112,9,FALSE)="Thunder",Backdoors!BD43,IF(VLOOKUP(tbMoveset!A70,tbMoveset!A2:I112,9,FALSE)="Ice",Backdoors!BE43,IF(VLOOKUP(tbMoveset!A70,tbMoveset!A2:I112,9,FALSE)="Dragon",Backdoors!BF43,Backdoors!BG43)))))/100,Backdoors!BG43/100),"")</f>
        <v>0</v>
      </c>
      <c r="JX70" s="49">
        <f>IFERROR(IF(VLOOKUP(A70,tbMoveset!A2:J112,10,FALSE)=TRUE,IF((Backdoors!AI12+IF(JV70&gt;=0.45,VLOOKUP(Calculator!E23,tbSkills!DH3:DI6,2,FALSE)+IF(AND(Calculator!B8=TRUE,Backdoors!BI43=TRUE),VLOOKUP(Calculator!E23,tbSkills!DH3:DJ6,3,FALSE),0),0))&gt;=0,1+(Backdoors!AL2*(IF((Backdoors!AI12+IF(JV70&gt;=0.45,VLOOKUP(Calculator!E23,tbSkills!DH3:DI6,2,FALSE)+IF(AND(Calculator!B8=TRUE,Backdoors!BI43=TRUE),VLOOKUP(Calculator!E23,tbSkills!DH3:DJ6,3,FALSE),0),0))&gt;=100,100,(Backdoors!AI12+IF(JV70&gt;=0.45,VLOOKUP(Calculator!E23,tbSkills!DH3:DI6,2,FALSE)+IF(AND(Calculator!B8=TRUE,Backdoors!BI43=TRUE),VLOOKUP(Calculator!E23,tbSkills!DH3:DJ6,3,FALSE),0),0)))/100)),(1-(0.25*((-Backdoors!AI12-IF(JV70&gt;=0.45,VLOOKUP(Calculator!E23,tbSkills!DH3:DI6,2,FALSE)+IF(AND(Calculator!B8=TRUE,Backdoors!BI43=TRUE),VLOOKUP(Calculator!E23,tbSkills!DH3:DJ6,3,FALSE),0),0))/100)))),1),"")</f>
        <v>1</v>
      </c>
      <c r="JY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V70)*JX70)*(VLOOKUP(A70,tbMoveset!A2:C112,3,FALSE)/100)*IF(VLOOKUP(A70,tbMoveset!A2:B112,2,FALSE)="Projectile",Backdoors!N10,Backdoors!N9),0),"")</f>
        <v/>
      </c>
      <c r="JZ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46&gt;0,VLOOKUP(Calculator!E46,tbSkills!AC3:AD5,2,FALSE),Backdoors!AL3)*(IF((Backdoors!AI12+IF(JV70&gt;=0.45,VLOOKUP(Calculator!E23,tbSkills!DH3:DI6,2,FALSE)+IF(AND(Calculator!B8=TRUE,Backdoors!BI43=TRUE),VLOOKUP(Calculator!E23,tbSkills!DH3:DJ6,3,FALSE),0),0))&gt;=100,100,(Backdoors!AI12+IF(JV70&gt;=0.45,VLOOKUP(Calculator!E23,tbSkills!DH3:DI6,2,FALSE)+IF(AND(Calculator!B8=TRUE,Backdoors!BI43=TRUE),VLOOKUP(Calculator!E23,tbSkills!DH3:DJ6,3,FALSE),0),0)))/100)),1))*IF(VLOOKUP(A70,tbMoveset!A2:K112,11,FALSE)=TRUE,Backdoors!AC5,1))*JW70,0),"")</f>
        <v/>
      </c>
      <c r="KA70" s="49">
        <f>VLOOKUP(A70,tbMoveset!A2:G112,7,FALSE)*IFERROR(IF(Backdoors!AI12&gt;=0,1+(IF(Calculator!E40&gt;0,VLOOKUP(Calculator!E40,tbSkills!AI3:AJ5,2,FALSE),Backdoors!AL4)*(IF((Backdoors!AI12+IF(JV70&gt;=0.45,VLOOKUP(Calculator!E23,tbSkills!DH3:DI6,2,FALSE)+IF(AND(Calculator!B8=TRUE,Backdoors!BI43=TRUE),VLOOKUP(Calculator!E23,tbSkills!DH3:DJ6,3,FALSE),0),0))&gt;=100,100,(Backdoors!AI12+IF(JV70&gt;=0.45,VLOOKUP(Calculator!E23,tbSkills!DH3:DI6,2,FALSE)+IF(AND(Calculator!B8=TRUE,Backdoors!BI43=TRUE),VLOOKUP(Calculator!E23,tbSkills!DH3:DJ6,3,FALSE),0),0)))/100)),1),1)</f>
        <v>0.8</v>
      </c>
      <c r="KB70" s="87">
        <f t="shared" si="91"/>
        <v>0</v>
      </c>
      <c r="KC70" s="86" t="str">
        <f>IFERROR(IF(VLOOKUP(A70,tbMoveset!A2:B112,2,FALSE)="Sever",Backdoors!AY44/100,IF(VLOOKUP(A70,tbMoveset!A2:B112,2,FALSE)="Blunt",Backdoors!AZ44/100,Backdoors!BA44/100)),"")</f>
        <v/>
      </c>
      <c r="KD70" s="49">
        <f>IFERROR(IF(VLOOKUP(tbMoveset!A70,tbMoveset!A2:H112,8,FALSE)="Other",IF(VLOOKUP(tbMoveset!A70,tbMoveset!A2:I112,9,FALSE)="Fire",Backdoors!BB44,IF(VLOOKUP(tbMoveset!A70,tbMoveset!A2:I112,9,FALSE)="Water",Backdoors!BC44,IF(VLOOKUP(tbMoveset!A70,tbMoveset!A2:I112,9,FALSE)="Thunder",Backdoors!BD44,IF(VLOOKUP(tbMoveset!A70,tbMoveset!A2:I112,9,FALSE)="Ice",Backdoors!BE44,IF(VLOOKUP(tbMoveset!A70,tbMoveset!A2:I112,9,FALSE)="Dragon",Backdoors!BF44,Backdoors!BG44)))))/100,Backdoors!BG44/100),"")</f>
        <v>0</v>
      </c>
      <c r="KE70" s="49">
        <f>IFERROR(IF(VLOOKUP(A70,tbMoveset!A2:J112,10,FALSE)=TRUE,IF((Backdoors!AI12+IF(KC70&gt;=0.45,VLOOKUP(Calculator!E23,tbSkills!DH3:DI6,2,FALSE)+IF(AND(Calculator!B8=TRUE,Backdoors!BI44=TRUE),VLOOKUP(Calculator!E23,tbSkills!DH3:DJ6,3,FALSE),0),0))&gt;=0,1+(Backdoors!AL2*(IF((Backdoors!AI12+IF(KC70&gt;=0.45,VLOOKUP(Calculator!E23,tbSkills!DH3:DI6,2,FALSE)+IF(AND(Calculator!B8=TRUE,Backdoors!BI44=TRUE),VLOOKUP(Calculator!E23,tbSkills!DH3:DJ6,3,FALSE),0),0))&gt;=100,100,(Backdoors!AI12+IF(KC70&gt;=0.45,VLOOKUP(Calculator!E23,tbSkills!DH3:DI6,2,FALSE)+IF(AND(Calculator!B8=TRUE,Backdoors!BI44=TRUE),VLOOKUP(Calculator!E23,tbSkills!DH3:DJ6,3,FALSE),0),0)))/100)),(1-(0.25*((-Backdoors!AI12-IF(KC70&gt;=0.45,VLOOKUP(Calculator!E23,tbSkills!DH3:DI6,2,FALSE)+IF(AND(Calculator!B8=TRUE,Backdoors!BI44=TRUE),VLOOKUP(Calculator!E23,tbSkills!DH3:DJ6,3,FALSE),0),0))/100)))),1),"")</f>
        <v>1</v>
      </c>
      <c r="KF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KC70)*KE70)*(VLOOKUP(A70,tbMoveset!A2:C112,3,FALSE)/100)*IF(VLOOKUP(A70,tbMoveset!A2:B112,2,FALSE)="Projectile",Backdoors!N10,Backdoors!N9),0),"")</f>
        <v/>
      </c>
      <c r="KG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REF!&gt;0,VLOOKUP(Calculator!#REF!,tbSkills!AC3:AD5,2,FALSE),Backdoors!AL3)*(IF((Backdoors!AI12+IF(KC70&gt;=0.45,VLOOKUP(Calculator!E23,tbSkills!DH3:DI6,2,FALSE)+IF(AND(Calculator!B8=TRUE,Backdoors!BI44=TRUE),VLOOKUP(Calculator!E23,tbSkills!DH3:DJ6,3,FALSE),0),0))&gt;=100,100,(Backdoors!AI12+IF(KC70&gt;=0.45,VLOOKUP(Calculator!E23,tbSkills!DH3:DI6,2,FALSE)+IF(AND(Calculator!B8=TRUE,Backdoors!BI44=TRUE),VLOOKUP(Calculator!E23,tbSkills!DH3:DJ6,3,FALSE),0),0)))/100)),1))*IF(VLOOKUP(A70,tbMoveset!A2:K112,11,FALSE)=TRUE,Backdoors!AC5,1))*KD70,0),"")</f>
        <v/>
      </c>
      <c r="KH70" s="49">
        <f>VLOOKUP(A70,tbMoveset!A2:G112,7,FALSE)*IFERROR(IF(Backdoors!AI12&gt;=0,1+(IF(Calculator!E40&gt;0,VLOOKUP(Calculator!E40,tbSkills!AI3:AJ5,2,FALSE),Backdoors!AL4)*(IF((Backdoors!AI12+IF(KC70&gt;=0.45,VLOOKUP(Calculator!E23,tbSkills!DH3:DI6,2,FALSE)+IF(AND(Calculator!B8=TRUE,Backdoors!BI44=TRUE),VLOOKUP(Calculator!E23,tbSkills!DH3:DJ6,3,FALSE),0),0))&gt;=100,100,(Backdoors!AI12+IF(KC70&gt;=0.45,VLOOKUP(Calculator!E23,tbSkills!DH3:DI6,2,FALSE)+IF(AND(Calculator!B8=TRUE,Backdoors!BI44=TRUE),VLOOKUP(Calculator!E23,tbSkills!DH3:DJ6,3,FALSE),0),0)))/100)),1),1)</f>
        <v>0.8</v>
      </c>
      <c r="KI70" s="87">
        <f t="shared" si="92"/>
        <v>0</v>
      </c>
      <c r="KJ70" s="86" t="str">
        <f>IFERROR(IF(VLOOKUP(A70,tbMoveset!A2:B112,2,FALSE)="Sever",Backdoors!AY45/100,IF(VLOOKUP(A70,tbMoveset!A2:B112,2,FALSE)="Blunt",Backdoors!AZ45/100,Backdoors!BA45/100)),"")</f>
        <v/>
      </c>
      <c r="KK70" s="49">
        <f>IFERROR(IF(VLOOKUP(tbMoveset!A70,tbMoveset!A2:H112,8,FALSE)="Other",IF(VLOOKUP(tbMoveset!A70,tbMoveset!A2:I112,9,FALSE)="Fire",Backdoors!BB45,IF(VLOOKUP(tbMoveset!A70,tbMoveset!A2:I112,9,FALSE)="Water",Backdoors!BC45,IF(VLOOKUP(tbMoveset!A70,tbMoveset!A2:I112,9,FALSE)="Thunder",Backdoors!BD45,IF(VLOOKUP(tbMoveset!A70,tbMoveset!A2:I112,9,FALSE)="Ice",Backdoors!BE45,IF(VLOOKUP(tbMoveset!A70,tbMoveset!A2:I112,9,FALSE)="Dragon",Backdoors!BF45,Backdoors!BG45)))))/100,Backdoors!BG45/100),"")</f>
        <v>0</v>
      </c>
      <c r="KL70" s="49">
        <f>IFERROR(IF(VLOOKUP(A70,tbMoveset!A2:J112,10,FALSE)=TRUE,IF((Backdoors!AI12+IF(KJ70&gt;=0.45,VLOOKUP(Calculator!E23,tbSkills!DH3:DI6,2,FALSE)+IF(AND(Calculator!B8=TRUE,Backdoors!BI45=TRUE),VLOOKUP(Calculator!E23,tbSkills!DH3:DJ6,3,FALSE),0),0))&gt;=0,1+(Backdoors!AL2*(IF((Backdoors!AI12+IF(KJ70&gt;=0.45,VLOOKUP(Calculator!E23,tbSkills!DH3:DI6,2,FALSE)+IF(AND(Calculator!B8=TRUE,Backdoors!BI45=TRUE),VLOOKUP(Calculator!E23,tbSkills!DH3:DJ6,3,FALSE),0),0))&gt;=100,100,(Backdoors!AI12+IF(KJ70&gt;=0.45,VLOOKUP(Calculator!E23,tbSkills!DH3:DI6,2,FALSE)+IF(AND(Calculator!B8=TRUE,Backdoors!BI45=TRUE),VLOOKUP(Calculator!E23,tbSkills!DH3:DJ6,3,FALSE),0),0)))/100)),(1-(0.25*((-Backdoors!AI12-IF(KJ70&gt;=0.45,VLOOKUP(Calculator!E23,tbSkills!DH3:DI6,2,FALSE)+IF(AND(Calculator!B8=TRUE,Backdoors!BI45=TRUE),VLOOKUP(Calculator!E23,tbSkills!DH3:DJ6,3,FALSE),0),0))/100)))),1),"")</f>
        <v>1</v>
      </c>
      <c r="KM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KJ70)*KL70)*(VLOOKUP(A70,tbMoveset!A2:C112,3,FALSE)/100)*IF(VLOOKUP(A70,tbMoveset!A2:B112,2,FALSE)="Projectile",Backdoors!N10,Backdoors!N9),0),"")</f>
        <v/>
      </c>
      <c r="KN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REF!&gt;0,VLOOKUP(Calculator!#REF!,tbSkills!AC3:AD5,2,FALSE),Backdoors!AL3)*(IF((Backdoors!AI12+IF(KJ70&gt;=0.45,VLOOKUP(Calculator!E23,tbSkills!DH3:DI6,2,FALSE)+IF(AND(Calculator!B8=TRUE,Backdoors!BI45=TRUE),VLOOKUP(Calculator!E23,tbSkills!DH3:DJ6,3,FALSE),0),0))&gt;=100,100,(Backdoors!AI12+IF(KJ70&gt;=0.45,VLOOKUP(Calculator!E23,tbSkills!DH3:DI6,2,FALSE)+IF(AND(Calculator!B8=TRUE,Backdoors!BI45=TRUE),VLOOKUP(Calculator!E23,tbSkills!DH3:DJ6,3,FALSE),0),0)))/100)),1))*IF(VLOOKUP(A70,tbMoveset!A2:K112,11,FALSE)=TRUE,Backdoors!AC5,1))*KK70,0),"")</f>
        <v/>
      </c>
      <c r="KO70" s="49">
        <f>VLOOKUP(A70,tbMoveset!A2:G112,7,FALSE)*IFERROR(IF(Backdoors!AI12&gt;=0,1+(IF(Calculator!E40&gt;0,VLOOKUP(Calculator!E40,tbSkills!AI3:AJ5,2,FALSE),Backdoors!AL4)*(IF((Backdoors!AI12+IF(KJ70&gt;=0.45,VLOOKUP(Calculator!E23,tbSkills!DH3:DI6,2,FALSE)+IF(AND(Calculator!B8=TRUE,Backdoors!BI45=TRUE),VLOOKUP(Calculator!E23,tbSkills!DH3:DJ6,3,FALSE),0),0))&gt;=100,100,(Backdoors!AI12+IF(KJ70&gt;=0.45,VLOOKUP(Calculator!E23,tbSkills!DH3:DI6,2,FALSE)+IF(AND(Calculator!B8=TRUE,Backdoors!BI45=TRUE),VLOOKUP(Calculator!E23,tbSkills!DH3:DJ6,3,FALSE),0),0)))/100)),1),1)</f>
        <v>0.8</v>
      </c>
      <c r="KP70" s="87">
        <f t="shared" si="93"/>
        <v>0</v>
      </c>
      <c r="KQ70" s="86" t="str">
        <f>IFERROR(IF(VLOOKUP(A70,tbMoveset!A2:B112,2,FALSE)="Sever",Backdoors!AY46/100,IF(VLOOKUP(A70,tbMoveset!A2:B112,2,FALSE)="Blunt",Backdoors!AZ46/100,Backdoors!BA46/100)),"")</f>
        <v/>
      </c>
      <c r="KR70" s="49">
        <f>IFERROR(IF(VLOOKUP(tbMoveset!A70,tbMoveset!A2:H112,8,FALSE)="Other",IF(VLOOKUP(tbMoveset!A70,tbMoveset!A2:I112,9,FALSE)="Fire",Backdoors!BB46,IF(VLOOKUP(tbMoveset!A70,tbMoveset!A2:I112,9,FALSE)="Water",Backdoors!BC46,IF(VLOOKUP(tbMoveset!A70,tbMoveset!A2:I112,9,FALSE)="Thunder",Backdoors!BD46,IF(VLOOKUP(tbMoveset!A70,tbMoveset!A2:I112,9,FALSE)="Ice",Backdoors!BE46,IF(VLOOKUP(tbMoveset!A70,tbMoveset!A2:I112,9,FALSE)="Dragon",Backdoors!BF46,Backdoors!BG46)))))/100,Backdoors!BG46/100),"")</f>
        <v>0</v>
      </c>
      <c r="KS70" s="49">
        <f>IFERROR(IF(VLOOKUP(A70,tbMoveset!A2:J112,10,FALSE)=TRUE,IF((Backdoors!AI12+IF(KQ70&gt;=0.45,VLOOKUP(Calculator!E23,tbSkills!DH3:DI6,2,FALSE)+IF(AND(Calculator!B8=TRUE,Backdoors!BI46=TRUE),VLOOKUP(Calculator!E23,tbSkills!DH3:DJ6,3,FALSE),0),0))&gt;=0,1+(Backdoors!AL2*(IF((Backdoors!AI12+IF(KQ70&gt;=0.45,VLOOKUP(Calculator!E23,tbSkills!DH3:DI6,2,FALSE)+IF(AND(Calculator!B8=TRUE,Backdoors!BI46=TRUE),VLOOKUP(Calculator!E23,tbSkills!DH3:DJ6,3,FALSE),0),0))&gt;=100,100,(Backdoors!AI12+IF(KQ70&gt;=0.45,VLOOKUP(Calculator!E23,tbSkills!DH3:DI6,2,FALSE)+IF(AND(Calculator!B8=TRUE,Backdoors!BI46=TRUE),VLOOKUP(Calculator!E23,tbSkills!DH3:DJ6,3,FALSE),0),0)))/100)),(1-(0.25*((-Backdoors!AI12-IF(KQ70&gt;=0.45,VLOOKUP(Calculator!E23,tbSkills!DH3:DI6,2,FALSE)+IF(AND(Calculator!B8=TRUE,Backdoors!BI46=TRUE),VLOOKUP(Calculator!E23,tbSkills!DH3:DJ6,3,FALSE),0),0))/100)))),1),"")</f>
        <v>1</v>
      </c>
      <c r="KT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KQ70)*KS70)*(VLOOKUP(A70,tbMoveset!A2:C112,3,FALSE)/100)*IF(VLOOKUP(A70,tbMoveset!A2:B112,2,FALSE)="Projectile",Backdoors!N10,Backdoors!N9),0),"")</f>
        <v/>
      </c>
      <c r="KU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REF!&gt;0,VLOOKUP(Calculator!#REF!,tbSkills!AC3:AD5,2,FALSE),Backdoors!AL3)*(IF((Backdoors!AI12+IF(KQ70&gt;=0.45,VLOOKUP(Calculator!E23,tbSkills!DH3:DI6,2,FALSE)+IF(AND(Calculator!B8=TRUE,Backdoors!BI46=TRUE),VLOOKUP(Calculator!E23,tbSkills!DH3:DJ6,3,FALSE),0),0))&gt;=100,100,(Backdoors!AI12+IF(KQ70&gt;=0.45,VLOOKUP(Calculator!E23,tbSkills!DH3:DI6,2,FALSE)+IF(AND(Calculator!B8=TRUE,Backdoors!BI46=TRUE),VLOOKUP(Calculator!E23,tbSkills!DH3:DJ6,3,FALSE),0),0)))/100)),1))*IF(VLOOKUP(A70,tbMoveset!A2:K112,11,FALSE)=TRUE,Backdoors!AC5,1))*KR70,0),"")</f>
        <v/>
      </c>
      <c r="KV70" s="49">
        <f>VLOOKUP(A70,tbMoveset!A2:G112,7,FALSE)*IFERROR(IF(Backdoors!AI12&gt;=0,1+(IF(Calculator!E40&gt;0,VLOOKUP(Calculator!E40,tbSkills!AI3:AJ5,2,FALSE),Backdoors!AL4)*(IF((Backdoors!AI12+IF(KQ70&gt;=0.45,VLOOKUP(Calculator!E23,tbSkills!DH3:DI6,2,FALSE)+IF(AND(Calculator!B8=TRUE,Backdoors!BI46=TRUE),VLOOKUP(Calculator!E23,tbSkills!DH3:DJ6,3,FALSE),0),0))&gt;=100,100,(Backdoors!AI12+IF(KQ70&gt;=0.45,VLOOKUP(Calculator!E23,tbSkills!DH3:DI6,2,FALSE)+IF(AND(Calculator!B8=TRUE,Backdoors!BI46=TRUE),VLOOKUP(Calculator!E23,tbSkills!DH3:DJ6,3,FALSE),0),0)))/100)),1),1)</f>
        <v>0.8</v>
      </c>
      <c r="KW70" s="87">
        <f t="shared" si="94"/>
        <v>0</v>
      </c>
    </row>
    <row r="71" spans="1:309" x14ac:dyDescent="0.25">
      <c r="A71" s="95" t="str">
        <f>tbMoveset!A71</f>
        <v>Jumping Double Slash (R)</v>
      </c>
      <c r="B71" s="86">
        <f>IFERROR(IF(VLOOKUP(A71,tbMoveset!A2:B112,2,FALSE)="Sever",Backdoors!AY3/100,IF(VLOOKUP(A71,tbMoveset!A2:B112,2,FALSE)="Blunt",Backdoors!AZ3/100,Backdoors!BA3/100)),"")</f>
        <v>0.8</v>
      </c>
      <c r="C71" s="49">
        <f>IFERROR(IF(VLOOKUP(tbMoveset!A71,tbMoveset!A2:H112,8,FALSE)="Other",IF(VLOOKUP(tbMoveset!A71,tbMoveset!A2:I112,9,FALSE)="Fire",Backdoors!BB3,IF(VLOOKUP(tbMoveset!A71,tbMoveset!A2:I112,9,FALSE)="Water",Backdoors!BC3,IF(VLOOKUP(tbMoveset!A71,tbMoveset!A2:I112,9,FALSE)="Thunder",Backdoors!BD3,IF(VLOOKUP(tbMoveset!A71,tbMoveset!A2:I112,9,FALSE)="Ice",Backdoors!BE3,IF(VLOOKUP(tbMoveset!A71,tbMoveset!A2:I112,9,FALSE)="Dragon",Backdoors!BF3,Backdoors!BG3)))))/100,Backdoors!BG3/100),"")</f>
        <v>0</v>
      </c>
      <c r="D71" s="49">
        <f>IFERROR(IF(VLOOKUP(A71,tbMoveset!A2:J112,10,FALSE)=TRUE,IF((Backdoors!AI12+IF(B71&gt;=0.45,VLOOKUP(Calculator!E23,tbSkills!DH3:DI6,2,FALSE)+IF(AND(Calculator!B8=TRUE,Backdoors!BI3=TRUE),VLOOKUP(Calculator!E23,tbSkills!DH3:DJ6,3,FALSE),0),0))&gt;=0,1+(Backdoors!AL2*(IF((Backdoors!AI12+IF(B71&gt;=0.45,VLOOKUP(Calculator!E23,tbSkills!DH3:DI6,2,FALSE)+IF(AND(Calculator!B8=TRUE,Backdoors!BI3=TRUE),VLOOKUP(Calculator!E23,tbSkills!DH3:DJ6,3,FALSE),0),0))&gt;=100,100,(Backdoors!AI12+IF(B71&gt;=0.45,VLOOKUP(Calculator!E23,tbSkills!DH3:DI6,2,FALSE)+IF(AND(Calculator!B8=TRUE,Backdoors!BI3=TRUE),VLOOKUP(Calculator!E23,tbSkills!DH3:DJ6,3,FALSE),0),0)))/100)),(1-(0.25*((-Backdoors!AI12-IF(B71&gt;=0.45,VLOOKUP(Calculator!E23,tbSkills!DH3:DI6,2,FALSE)+IF(AND(Calculator!B8=TRUE,Backdoors!BI3=TRUE),VLOOKUP(Calculator!E23,tbSkills!DH3:DJ6,3,FALSE),0),0))/100)))),1),"")</f>
        <v>1</v>
      </c>
      <c r="E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71)*D71)*(VLOOKUP(A71,tbMoveset!A2:C112,3,FALSE)/100)*IF(VLOOKUP(A71,tbMoveset!A2:B112,2,FALSE)="Projectile",Backdoors!N10,Backdoors!N9),0),"")</f>
        <v>8</v>
      </c>
      <c r="F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71&gt;=0.45,VLOOKUP(Calculator!E23,tbSkills!DH3:DI6,2,FALSE)+IF(AND(Calculator!B8=TRUE,Backdoors!BI3=TRUE),VLOOKUP(Calculator!E23,tbSkills!DH3:DJ6,3,FALSE),0),0))&gt;=100,100,(Backdoors!AI12+IF(B71&gt;=0.45,VLOOKUP(Calculator!E23,tbSkills!DH3:DI6,2,FALSE)+IF(AND(Calculator!B8=TRUE,Backdoors!BI3=TRUE),VLOOKUP(Calculator!E23,tbSkills!DH3:DJ6,3,FALSE),0),0)))/100)),1))*IF(VLOOKUP(A71,tbMoveset!A2:K112,11,FALSE)=TRUE,Backdoors!AC5,1))*C71,0),"")</f>
        <v>0</v>
      </c>
      <c r="G71">
        <f>VLOOKUP(A71,tbMoveset!A2:G112,7,FALSE)*IFERROR(IF(Backdoors!AI12&gt;=0,1+(IF(Calculator!E40&gt;0,VLOOKUP(Calculator!E40,tbSkills!AI3:AJ5,2,FALSE),Backdoors!AL4)*(IF((Backdoors!AI12+IF(B71&gt;=0.45,VLOOKUP(Calculator!E23,tbSkills!DH3:DI6,2,FALSE)+IF(AND(Calculator!B8=TRUE,Backdoors!BI3=TRUE),VLOOKUP(Calculator!E23,tbSkills!DH3:DJ6,3,FALSE),0),0))&gt;=100,100,(Backdoors!AI12+IF(B71&gt;=0.45,VLOOKUP(Calculator!E23,tbSkills!DH3:DI6,2,FALSE)+IF(AND(Calculator!B8=TRUE,Backdoors!BI3=TRUE),VLOOKUP(Calculator!E23,tbSkills!DH3:DJ6,3,FALSE),0),0)))/100)),1),1)</f>
        <v>0.4</v>
      </c>
      <c r="H71" s="87">
        <f t="shared" si="51"/>
        <v>8</v>
      </c>
      <c r="I71" s="86">
        <f>IFERROR(IF(VLOOKUP(A71,tbMoveset!A2:B112,2,FALSE)="Sever",Backdoors!AY4/100,IF(VLOOKUP(A71,tbMoveset!A2:B112,2,FALSE)="Blunt",Backdoors!AZ4/100,Backdoors!BA4/100)),"")</f>
        <v>0.65</v>
      </c>
      <c r="J71" s="49">
        <f>IFERROR(IF(VLOOKUP(tbMoveset!A71,tbMoveset!A2:H112,8,FALSE)="Other",IF(VLOOKUP(tbMoveset!A71,tbMoveset!A2:I112,9,FALSE)="Fire",Backdoors!BB4,IF(VLOOKUP(tbMoveset!A71,tbMoveset!A2:I112,9,FALSE)="Water",Backdoors!BC4,IF(VLOOKUP(tbMoveset!A71,tbMoveset!A2:I112,9,FALSE)="Thunder",Backdoors!BD4,IF(VLOOKUP(tbMoveset!A71,tbMoveset!A2:I112,9,FALSE)="Ice",Backdoors!BE4,IF(VLOOKUP(tbMoveset!A71,tbMoveset!A2:I112,9,FALSE)="Dragon",Backdoors!BF4,Backdoors!BG4)))))/100,Backdoors!BG4/100),"")</f>
        <v>0</v>
      </c>
      <c r="K71" s="49">
        <f>IFERROR(IF(VLOOKUP(A71,tbMoveset!A2:J112,10,FALSE)=TRUE,IF((Backdoors!AI12+IF(I71&gt;=0.45,VLOOKUP(Calculator!E23,tbSkills!DH3:DI6,2,FALSE)+IF(AND(Calculator!B8=TRUE,Backdoors!BI4=TRUE),VLOOKUP(Calculator!E23,tbSkills!DH3:DJ6,3,FALSE),0),0))&gt;=0,1+(Backdoors!AL2*(IF((Backdoors!AI12+IF(I71&gt;=0.45,VLOOKUP(Calculator!E23,tbSkills!DH3:DI6,2,FALSE)+IF(AND(Calculator!B8=TRUE,Backdoors!BI4=TRUE),VLOOKUP(Calculator!E23,tbSkills!DH3:DJ6,3,FALSE),0),0))&gt;=100,100,(Backdoors!AI12+IF(I71&gt;=0.45,VLOOKUP(Calculator!E23,tbSkills!DH3:DI6,2,FALSE)+IF(AND(Calculator!B8=TRUE,Backdoors!BI4=TRUE),VLOOKUP(Calculator!E23,tbSkills!DH3:DJ6,3,FALSE),0),0)))/100)),(1-(0.25*((-Backdoors!AI12-IF(I71&gt;=0.45,VLOOKUP(Calculator!E23,tbSkills!DH3:DI6,2,FALSE)+IF(AND(Calculator!B8=TRUE,Backdoors!BI4=TRUE),VLOOKUP(Calculator!E23,tbSkills!DH3:DJ6,3,FALSE),0),0))/100)))),1),"")</f>
        <v>1</v>
      </c>
      <c r="L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71)*K71)*(VLOOKUP(A71,tbMoveset!A2:C112,3,FALSE)/100)*IF(VLOOKUP(A71,tbMoveset!A2:B112,2,FALSE)="Projectile",Backdoors!N10,Backdoors!N9),0),"")</f>
        <v>7</v>
      </c>
      <c r="M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I71&gt;=0.45,VLOOKUP(Calculator!E23,tbSkills!DH3:DI6,2,FALSE)+IF(AND(Calculator!B8=TRUE,Backdoors!BI4=TRUE),VLOOKUP(Calculator!E23,tbSkills!DH3:DJ6,3,FALSE),0),0))&gt;=100,100,(Backdoors!AI12+IF(I71&gt;=0.45,VLOOKUP(Calculator!E23,tbSkills!DH3:DI6,2,FALSE)+IF(AND(Calculator!B8=TRUE,Backdoors!BI4=TRUE),VLOOKUP(Calculator!E23,tbSkills!DH3:DJ6,3,FALSE),0),0)))/100)),1))*IF(VLOOKUP(A71,tbMoveset!A2:K112,11,FALSE)=TRUE,Backdoors!AC5,1))*J71,0),"")</f>
        <v>0</v>
      </c>
      <c r="N71" s="49">
        <f>VLOOKUP(A71,tbMoveset!A2:G112,7,FALSE)*IFERROR(IF(Backdoors!AI12&gt;=0,1+(IF(Calculator!E40&gt;0,VLOOKUP(Calculator!E40,tbSkills!AI3:AJ5,2,FALSE),Backdoors!AL4)*(IF((Backdoors!AI12+IF(I71&gt;=0.45,VLOOKUP(Calculator!E23,tbSkills!DH3:DI6,2,FALSE)+IF(AND(Calculator!B8=TRUE,Backdoors!BI4=TRUE),VLOOKUP(Calculator!E23,tbSkills!DH3:DJ6,3,FALSE),0),0))&gt;=100,100,(Backdoors!AI12+IF(I71&gt;=0.45,VLOOKUP(Calculator!E23,tbSkills!DH3:DI6,2,FALSE)+IF(AND(Calculator!B8=TRUE,Backdoors!BI4=TRUE),VLOOKUP(Calculator!E23,tbSkills!DH3:DJ6,3,FALSE),0),0)))/100)),1),1)</f>
        <v>0.4</v>
      </c>
      <c r="O71" s="87">
        <f t="shared" si="52"/>
        <v>7</v>
      </c>
      <c r="P71" s="86">
        <f>IFERROR(IF(VLOOKUP(A71,tbMoveset!A2:B112,2,FALSE)="Sever",Backdoors!AY5/100,IF(VLOOKUP(A71,tbMoveset!A2:B112,2,FALSE)="Blunt",Backdoors!AZ5/100,Backdoors!BA5/100)),"")</f>
        <v>0.5</v>
      </c>
      <c r="Q71" s="49">
        <f>IFERROR(IF(VLOOKUP(tbMoveset!A71,tbMoveset!A2:H112,8,FALSE)="Other",IF(VLOOKUP(tbMoveset!A71,tbMoveset!A2:I112,9,FALSE)="Fire",Backdoors!BB5,IF(VLOOKUP(tbMoveset!A71,tbMoveset!A2:I112,9,FALSE)="Water",Backdoors!BC5,IF(VLOOKUP(tbMoveset!A71,tbMoveset!A2:I112,9,FALSE)="Thunder",Backdoors!BD5,IF(VLOOKUP(tbMoveset!A71,tbMoveset!A2:I112,9,FALSE)="Ice",Backdoors!BE5,IF(VLOOKUP(tbMoveset!A71,tbMoveset!A2:I112,9,FALSE)="Dragon",Backdoors!BF5,Backdoors!BG5)))))/100,Backdoors!BG5/100),"")</f>
        <v>0</v>
      </c>
      <c r="R71" s="49">
        <f>IFERROR(IF(VLOOKUP(A71,tbMoveset!A2:J112,10,FALSE)=TRUE,IF((Backdoors!AI12+IF(P71&gt;=0.45,VLOOKUP(Calculator!E23,tbSkills!DH3:DI6,2,FALSE)+IF(AND(Calculator!B8=TRUE,Backdoors!BI5=TRUE),VLOOKUP(Calculator!E23,tbSkills!DH3:DJ6,3,FALSE),0),0))&gt;=0,1+(Backdoors!AL2*(IF((Backdoors!AI12+IF(P71&gt;=0.45,VLOOKUP(Calculator!E23,tbSkills!DH3:DI6,2,FALSE)+IF(AND(Calculator!B8=TRUE,Backdoors!BI5=TRUE),VLOOKUP(Calculator!E23,tbSkills!DH3:DJ6,3,FALSE),0),0))&gt;=100,100,(Backdoors!AI12+IF(P71&gt;=0.45,VLOOKUP(Calculator!E23,tbSkills!DH3:DI6,2,FALSE)+IF(AND(Calculator!B8=TRUE,Backdoors!BI5=TRUE),VLOOKUP(Calculator!E23,tbSkills!DH3:DJ6,3,FALSE),0),0)))/100)),(1-(0.25*((-Backdoors!AI12-IF(P71&gt;=0.45,VLOOKUP(Calculator!E23,tbSkills!DH3:DI6,2,FALSE)+IF(AND(Calculator!B8=TRUE,Backdoors!BI5=TRUE),VLOOKUP(Calculator!E23,tbSkills!DH3:DJ6,3,FALSE),0),0))/100)))),1),"")</f>
        <v>1</v>
      </c>
      <c r="S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P71)*R71)*(VLOOKUP(A71,tbMoveset!A2:C112,3,FALSE)/100)*IF(VLOOKUP(A71,tbMoveset!A2:B112,2,FALSE)="Projectile",Backdoors!N10,Backdoors!N9),0),"")</f>
        <v>5</v>
      </c>
      <c r="T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P71&gt;=0.45,VLOOKUP(Calculator!E23,tbSkills!DH3:DI6,2,FALSE)+IF(AND(Calculator!B8=TRUE,Backdoors!BI5=TRUE),VLOOKUP(Calculator!E23,tbSkills!DH3:DJ6,3,FALSE),0),0))&gt;=100,100,(Backdoors!AI12+IF(P71&gt;=0.45,VLOOKUP(Calculator!E23,tbSkills!DH3:DI6,2,FALSE)+IF(AND(Calculator!B8=TRUE,Backdoors!BI5=TRUE),VLOOKUP(Calculator!E23,tbSkills!DH3:DJ6,3,FALSE),0),0)))/100)),1))*IF(VLOOKUP(A71,tbMoveset!A2:K112,11,FALSE)=TRUE,Backdoors!AC5,1))*Q71,0),"")</f>
        <v>0</v>
      </c>
      <c r="U71" s="49">
        <f>VLOOKUP(A71,tbMoveset!A2:G112,7,FALSE)*IFERROR(IF(Backdoors!AI12&gt;=0,1+(IF(Calculator!E40&gt;0,VLOOKUP(Calculator!E40,tbSkills!AI3:AJ5,2,FALSE),Backdoors!AL4)*(IF((Backdoors!AI12+IF(P71&gt;=0.45,VLOOKUP(Calculator!E23,tbSkills!DH3:DI6,2,FALSE)+IF(AND(Calculator!B8=TRUE,Backdoors!BI5=TRUE),VLOOKUP(Calculator!E23,tbSkills!DH3:DJ6,3,FALSE),0),0))&gt;=100,100,(Backdoors!AI12+IF(P71&gt;=0.45,VLOOKUP(Calculator!E23,tbSkills!DH3:DI6,2,FALSE)+IF(AND(Calculator!B8=TRUE,Backdoors!BI5=TRUE),VLOOKUP(Calculator!E23,tbSkills!DH3:DJ6,3,FALSE),0),0)))/100)),1),1)</f>
        <v>0.4</v>
      </c>
      <c r="V71" s="87">
        <f t="shared" si="53"/>
        <v>5</v>
      </c>
      <c r="W71" s="86">
        <f>IFERROR(IF(VLOOKUP(A71,tbMoveset!A2:B112,2,FALSE)="Sever",Backdoors!AY6/100,IF(VLOOKUP(A71,tbMoveset!A2:B112,2,FALSE)="Blunt",Backdoors!AZ6/100,Backdoors!BA6/100)),"")</f>
        <v>0.45</v>
      </c>
      <c r="X71" s="49">
        <f>IFERROR(IF(VLOOKUP(tbMoveset!A71,tbMoveset!A2:H112,8,FALSE)="Other",IF(VLOOKUP(tbMoveset!A71,tbMoveset!A2:I112,9,FALSE)="Fire",Backdoors!BB6,IF(VLOOKUP(tbMoveset!A71,tbMoveset!A2:I112,9,FALSE)="Water",Backdoors!BC6,IF(VLOOKUP(tbMoveset!A71,tbMoveset!A2:I112,9,FALSE)="Thunder",Backdoors!BD6,IF(VLOOKUP(tbMoveset!A71,tbMoveset!A2:I112,9,FALSE)="Ice",Backdoors!BE6,IF(VLOOKUP(tbMoveset!A71,tbMoveset!A2:I112,9,FALSE)="Dragon",Backdoors!BF6,Backdoors!BG6)))))/100,Backdoors!BG6/100),"")</f>
        <v>0</v>
      </c>
      <c r="Y71" s="49">
        <f>IFERROR(IF(VLOOKUP(A71,tbMoveset!A2:J112,10,FALSE)=TRUE,IF((Backdoors!AI12+IF(W71&gt;=0.45,VLOOKUP(Calculator!E23,tbSkills!DH3:DI6,2,FALSE)+IF(AND(Calculator!B8=TRUE,Backdoors!BI6=TRUE),VLOOKUP(Calculator!E23,tbSkills!DH3:DJ6,3,FALSE),0),0))&gt;=0,1+(Backdoors!AL2*(IF((Backdoors!AI12+IF(W71&gt;=0.45,VLOOKUP(Calculator!E23,tbSkills!DH3:DI6,2,FALSE)+IF(AND(Calculator!B8=TRUE,Backdoors!BI6=TRUE),VLOOKUP(Calculator!E23,tbSkills!DH3:DJ6,3,FALSE),0),0))&gt;=100,100,(Backdoors!AI12+IF(W71&gt;=0.45,VLOOKUP(Calculator!E23,tbSkills!DH3:DI6,2,FALSE)+IF(AND(Calculator!B8=TRUE,Backdoors!BI6=TRUE),VLOOKUP(Calculator!E23,tbSkills!DH3:DJ6,3,FALSE),0),0)))/100)),(1-(0.25*((-Backdoors!AI12-IF(W71&gt;=0.45,VLOOKUP(Calculator!E23,tbSkills!DH3:DI6,2,FALSE)+IF(AND(Calculator!B8=TRUE,Backdoors!BI6=TRUE),VLOOKUP(Calculator!E23,tbSkills!DH3:DJ6,3,FALSE),0),0))/100)))),1),"")</f>
        <v>1</v>
      </c>
      <c r="Z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W71)*Y71)*(VLOOKUP(A71,tbMoveset!A2:C112,3,FALSE)/100)*IF(VLOOKUP(A71,tbMoveset!A2:B112,2,FALSE)="Projectile",Backdoors!N10,Backdoors!N9),0),"")</f>
        <v>5</v>
      </c>
      <c r="AA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W71&gt;=0.45,VLOOKUP(Calculator!E23,tbSkills!DH3:DI6,2,FALSE)+IF(AND(Calculator!B8=TRUE,Backdoors!BI6=TRUE),VLOOKUP(Calculator!E23,tbSkills!DH3:DJ6,3,FALSE),0),0))&gt;=100,100,(Backdoors!AI12+IF(W71&gt;=0.45,VLOOKUP(Calculator!E23,tbSkills!DH3:DI6,2,FALSE)+IF(AND(Calculator!B8=TRUE,Backdoors!BI6=TRUE),VLOOKUP(Calculator!E23,tbSkills!DH3:DJ6,3,FALSE),0),0)))/100)),1))*IF(VLOOKUP(A71,tbMoveset!A2:K112,11,FALSE)=TRUE,Backdoors!AC5,1))*X71,0),"")</f>
        <v>0</v>
      </c>
      <c r="AB71" s="49">
        <f>VLOOKUP(A71,tbMoveset!A2:G112,7,FALSE)*IFERROR(IF(Backdoors!AI12&gt;=0,1+(IF(Calculator!E40&gt;0,VLOOKUP(Calculator!E40,tbSkills!AI3:AJ5,2,FALSE),Backdoors!AL4)*(IF((Backdoors!AI12+IF(W71&gt;=0.45,VLOOKUP(Calculator!E23,tbSkills!DH3:DI6,2,FALSE)+IF(AND(Calculator!B8=TRUE,Backdoors!BI6=TRUE),VLOOKUP(Calculator!E23,tbSkills!DH3:DJ6,3,FALSE),0),0))&gt;=100,100,(Backdoors!AI12+IF(W71&gt;=0.45,VLOOKUP(Calculator!E23,tbSkills!DH3:DI6,2,FALSE)+IF(AND(Calculator!B8=TRUE,Backdoors!BI6=TRUE),VLOOKUP(Calculator!E23,tbSkills!DH3:DJ6,3,FALSE),0),0)))/100)),1),1)</f>
        <v>0.4</v>
      </c>
      <c r="AC71" s="87">
        <f t="shared" si="54"/>
        <v>5</v>
      </c>
      <c r="AD71" s="86">
        <f>IFERROR(IF(VLOOKUP(A71,tbMoveset!A2:B112,2,FALSE)="Sever",Backdoors!AY7/100,IF(VLOOKUP(A71,tbMoveset!A2:B112,2,FALSE)="Blunt",Backdoors!AZ7/100,Backdoors!BA7/100)),"")</f>
        <v>0.65</v>
      </c>
      <c r="AE71" s="49">
        <f>IFERROR(IF(VLOOKUP(tbMoveset!A71,tbMoveset!A2:H112,8,FALSE)="Other",IF(VLOOKUP(tbMoveset!A71,tbMoveset!A2:I112,9,FALSE)="Fire",Backdoors!BB7,IF(VLOOKUP(tbMoveset!A71,tbMoveset!A2:I112,9,FALSE)="Water",Backdoors!BC7,IF(VLOOKUP(tbMoveset!A71,tbMoveset!A2:I112,9,FALSE)="Thunder",Backdoors!BD7,IF(VLOOKUP(tbMoveset!A71,tbMoveset!A2:I112,9,FALSE)="Ice",Backdoors!BE7,IF(VLOOKUP(tbMoveset!A71,tbMoveset!A2:I112,9,FALSE)="Dragon",Backdoors!BF7,Backdoors!BG7)))))/100,Backdoors!BG7/100),"")</f>
        <v>0</v>
      </c>
      <c r="AF71" s="49">
        <f>IFERROR(IF(VLOOKUP(A71,tbMoveset!A2:J112,10,FALSE)=TRUE,IF((Backdoors!AI12+IF(AD71&gt;=0.45,VLOOKUP(Calculator!E23,tbSkills!DH3:DI6,2,FALSE)+IF(AND(Calculator!B8=TRUE,Backdoors!BI7=TRUE),VLOOKUP(Calculator!E23,tbSkills!DH3:DJ6,3,FALSE),0),0))&gt;=0,1+(Backdoors!AL2*(IF((Backdoors!AI12+IF(AD71&gt;=0.45,VLOOKUP(Calculator!E23,tbSkills!DH3:DI6,2,FALSE)+IF(AND(Calculator!B8=TRUE,Backdoors!BI7=TRUE),VLOOKUP(Calculator!E23,tbSkills!DH3:DJ6,3,FALSE),0),0))&gt;=100,100,(Backdoors!AI12+IF(AD71&gt;=0.45,VLOOKUP(Calculator!E23,tbSkills!DH3:DI6,2,FALSE)+IF(AND(Calculator!B8=TRUE,Backdoors!BI7=TRUE),VLOOKUP(Calculator!E23,tbSkills!DH3:DJ6,3,FALSE),0),0)))/100)),(1-(0.25*((-Backdoors!AI12-IF(AD71&gt;=0.45,VLOOKUP(Calculator!E23,tbSkills!DH3:DI6,2,FALSE)+IF(AND(Calculator!B8=TRUE,Backdoors!BI7=TRUE),VLOOKUP(Calculator!E23,tbSkills!DH3:DJ6,3,FALSE),0),0))/100)))),1),"")</f>
        <v>1</v>
      </c>
      <c r="AG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D71)*AF71)*(VLOOKUP(A71,tbMoveset!A2:C112,3,FALSE)/100)*IF(VLOOKUP(A71,tbMoveset!A2:B112,2,FALSE)="Projectile",Backdoors!N10,Backdoors!N9),0),"")</f>
        <v>7</v>
      </c>
      <c r="AH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D71&gt;=0.45,VLOOKUP(Calculator!E23,tbSkills!DH3:DI6,2,FALSE)+IF(AND(Calculator!B8=TRUE,Backdoors!BI7=TRUE),VLOOKUP(Calculator!E23,tbSkills!DH3:DJ6,3,FALSE),0),0))&gt;=100,100,(Backdoors!AI12+IF(AD71&gt;=0.45,VLOOKUP(Calculator!E23,tbSkills!DH3:DI6,2,FALSE)+IF(AND(Calculator!B8=TRUE,Backdoors!BI7=TRUE),VLOOKUP(Calculator!E23,tbSkills!DH3:DJ6,3,FALSE),0),0)))/100)),1))*IF(VLOOKUP(A71,tbMoveset!A2:K112,11,FALSE)=TRUE,Backdoors!AC5,1))*AE71,0),"")</f>
        <v>0</v>
      </c>
      <c r="AI71" s="49">
        <f>VLOOKUP(A71,tbMoveset!A2:G112,7,FALSE)*IFERROR(IF(Backdoors!AI12&gt;=0,1+(IF(Calculator!E40&gt;0,VLOOKUP(Calculator!E40,tbSkills!AI3:AJ5,2,FALSE),Backdoors!AL4)*(IF((Backdoors!AI12+IF(AD71&gt;=0.45,VLOOKUP(Calculator!E23,tbSkills!DH3:DI6,2,FALSE)+IF(AND(Calculator!B8=TRUE,Backdoors!BI7=TRUE),VLOOKUP(Calculator!E23,tbSkills!DH3:DJ6,3,FALSE),0),0))&gt;=100,100,(Backdoors!AI12+IF(AD71&gt;=0.45,VLOOKUP(Calculator!E23,tbSkills!DH3:DI6,2,FALSE)+IF(AND(Calculator!B8=TRUE,Backdoors!BI7=TRUE),VLOOKUP(Calculator!E23,tbSkills!DH3:DJ6,3,FALSE),0),0)))/100)),1),1)</f>
        <v>0.4</v>
      </c>
      <c r="AJ71" s="87">
        <f t="shared" si="55"/>
        <v>7</v>
      </c>
      <c r="AK71" s="91">
        <f>IFERROR(IF(VLOOKUP(A71,tbMoveset!A2:B112,2,FALSE)="Sever",Backdoors!AY8/100,IF(VLOOKUP(A71,tbMoveset!A2:B112,2,FALSE)="Blunt",Backdoors!AZ8/100,Backdoors!BA8/100)),"")</f>
        <v>0.45</v>
      </c>
      <c r="AL71" s="49">
        <f>IFERROR(IF(VLOOKUP(tbMoveset!A71,tbMoveset!A2:H112,8,FALSE)="Other",IF(VLOOKUP(tbMoveset!A71,tbMoveset!A2:I112,9,FALSE)="Fire",Backdoors!BB8,IF(VLOOKUP(tbMoveset!A71,tbMoveset!A2:I112,9,FALSE)="Water",Backdoors!BC8,IF(VLOOKUP(tbMoveset!A71,tbMoveset!A2:I112,9,FALSE)="Thunder",Backdoors!BD8,IF(VLOOKUP(tbMoveset!A71,tbMoveset!A2:I112,9,FALSE)="Ice",Backdoors!BE8,IF(VLOOKUP(tbMoveset!A71,tbMoveset!A2:I112,9,FALSE)="Dragon",Backdoors!BF8,Backdoors!BG8)))))/100,Backdoors!BG8/100),"")</f>
        <v>0</v>
      </c>
      <c r="AM71" s="49">
        <f>IFERROR(IF(VLOOKUP(A71,tbMoveset!A2:J112,10,FALSE)=TRUE,IF((Backdoors!AI12+IF(AK71&gt;=0.45,VLOOKUP(Calculator!E23,tbSkills!DH3:DI6,2,FALSE)+IF(AND(Calculator!B8=TRUE,Backdoors!BI8=TRUE),VLOOKUP(Calculator!E23,tbSkills!DH3:DJ6,3,FALSE),0),0))&gt;=0,1+(Backdoors!AL2*(IF((Backdoors!AI12+IF(AK71&gt;=0.45,VLOOKUP(Calculator!E23,tbSkills!DH3:DI6,2,FALSE)+IF(AND(Calculator!B8=TRUE,Backdoors!BI8=TRUE),VLOOKUP(Calculator!E23,tbSkills!DH3:DJ6,3,FALSE),0),0))&gt;=100,100,(Backdoors!AI12+IF(AK71&gt;=0.45,VLOOKUP(Calculator!E23,tbSkills!DH3:DI6,2,FALSE)+IF(AND(Calculator!B8=TRUE,Backdoors!BI8=TRUE),VLOOKUP(Calculator!E23,tbSkills!DH3:DJ6,3,FALSE),0),0)))/100)),(1-(0.25*((-Backdoors!AI12-IF(AK71&gt;=0.45,VLOOKUP(Calculator!E23,tbSkills!DH3:DI6,2,FALSE)+IF(AND(Calculator!B8=TRUE,Backdoors!BI8=TRUE),VLOOKUP(Calculator!E23,tbSkills!DH3:DJ6,3,FALSE),0),0))/100)))),1),"")</f>
        <v>1</v>
      </c>
      <c r="AN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K71)*AM71)*(VLOOKUP(A71,tbMoveset!A2:C112,3,FALSE)/100)*IF(VLOOKUP(A71,tbMoveset!A2:B112,2,FALSE)="Projectile",Backdoors!N10,Backdoors!N9),0),"")</f>
        <v>5</v>
      </c>
      <c r="AO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K71&gt;=0.45,VLOOKUP(Calculator!E23,tbSkills!DH3:DI6,2,FALSE)+IF(AND(Calculator!B8=TRUE,Backdoors!BI8=TRUE),VLOOKUP(Calculator!E23,tbSkills!DH3:DJ6,3,FALSE),0),0))&gt;=100,100,(Backdoors!AI12+IF(AK71&gt;=0.45,VLOOKUP(Calculator!E23,tbSkills!DH3:DI6,2,FALSE)+IF(AND(Calculator!B8=TRUE,Backdoors!BI8=TRUE),VLOOKUP(Calculator!E23,tbSkills!DH3:DJ6,3,FALSE),0),0)))/100)),1))*IF(VLOOKUP(A71,tbMoveset!A2:K112,11,FALSE)=TRUE,Backdoors!AC5,1))*AL71,0),"")</f>
        <v>0</v>
      </c>
      <c r="AP71" s="49">
        <f>VLOOKUP(A71,tbMoveset!A2:G112,7,FALSE)*IFERROR(IF(Backdoors!AI12&gt;=0,1+(IF(Calculator!E40&gt;0,VLOOKUP(Calculator!E40,tbSkills!AI3:AJ5,2,FALSE),Backdoors!AL4)*(IF((Backdoors!AI12+IF(AK71&gt;=0.45,VLOOKUP(Calculator!E23,tbSkills!DH3:DI6,2,FALSE)+IF(AND(Calculator!B8=TRUE,Backdoors!BI8=TRUE),VLOOKUP(Calculator!E23,tbSkills!DH3:DJ6,3,FALSE),0),0))&gt;=100,100,(Backdoors!AI12+IF(AK71&gt;=0.45,VLOOKUP(Calculator!E23,tbSkills!DH3:DI6,2,FALSE)+IF(AND(Calculator!B8=TRUE,Backdoors!BI8=TRUE),VLOOKUP(Calculator!E23,tbSkills!DH3:DJ6,3,FALSE),0),0)))/100)),1),1)</f>
        <v>0.4</v>
      </c>
      <c r="AQ71" s="87">
        <f t="shared" si="56"/>
        <v>5</v>
      </c>
      <c r="AR71" s="86">
        <f>IFERROR(IF(VLOOKUP(A71,tbMoveset!A2:B112,2,FALSE)="Sever",Backdoors!AY9/100,IF(VLOOKUP(A71,tbMoveset!A2:B112,2,FALSE)="Blunt",Backdoors!AZ9/100,Backdoors!BA9/100)),"")</f>
        <v>0.45</v>
      </c>
      <c r="AS71" s="49">
        <f>IFERROR(IF(VLOOKUP(tbMoveset!A71,tbMoveset!A2:H112,8,FALSE)="Other",IF(VLOOKUP(tbMoveset!A71,tbMoveset!A2:I112,9,FALSE)="Fire",Backdoors!BB9,IF(VLOOKUP(tbMoveset!A71,tbMoveset!A2:I112,9,FALSE)="Water",Backdoors!BC9,IF(VLOOKUP(tbMoveset!A71,tbMoveset!A2:I112,9,FALSE)="Thunder",Backdoors!BD9,IF(VLOOKUP(tbMoveset!A71,tbMoveset!A2:I112,9,FALSE)="Ice",Backdoors!BE9,IF(VLOOKUP(tbMoveset!A71,tbMoveset!A2:I112,9,FALSE)="Dragon",Backdoors!BF9,Backdoors!BG9)))))/100,Backdoors!BG9/100),"")</f>
        <v>0</v>
      </c>
      <c r="AT71" s="49">
        <f>IFERROR(IF(VLOOKUP(A71,tbMoveset!A2:J112,10,FALSE)=TRUE,IF((Backdoors!AI12+IF(AR71&gt;=0.45,VLOOKUP(Calculator!E23,tbSkills!DH3:DI6,2,FALSE)+IF(AND(Calculator!B8=TRUE,Backdoors!BI9=TRUE),VLOOKUP(Calculator!E23,tbSkills!DH3:DJ6,3,FALSE),0),0))&gt;=0,1+(Backdoors!AL2*(IF((Backdoors!AI12+IF(AR71&gt;=0.45,VLOOKUP(Calculator!E23,tbSkills!DH3:DI6,2,FALSE)+IF(AND(Calculator!B8=TRUE,Backdoors!BI9=TRUE),VLOOKUP(Calculator!E23,tbSkills!DH3:DJ6,3,FALSE),0),0))&gt;=100,100,(Backdoors!AI12+IF(AR71&gt;=0.45,VLOOKUP(Calculator!E23,tbSkills!DH3:DI6,2,FALSE)+IF(AND(Calculator!B8=TRUE,Backdoors!BI9=TRUE),VLOOKUP(Calculator!E23,tbSkills!DH3:DJ6,3,FALSE),0),0)))/100)),(1-(0.25*((-Backdoors!AI12-IF(AR71&gt;=0.45,VLOOKUP(Calculator!E23,tbSkills!DH3:DI6,2,FALSE)+IF(AND(Calculator!B8=TRUE,Backdoors!BI9=TRUE),VLOOKUP(Calculator!E23,tbSkills!DH3:DJ6,3,FALSE),0),0))/100)))),1),"")</f>
        <v>1</v>
      </c>
      <c r="AU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R71)*AT71)*(VLOOKUP(A71,tbMoveset!A2:C112,3,FALSE)/100)*IF(VLOOKUP(A71,tbMoveset!A2:B112,2,FALSE)="Projectile",Backdoors!N10,Backdoors!N9),0),"")</f>
        <v>5</v>
      </c>
      <c r="AV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R71&gt;=0.45,VLOOKUP(Calculator!E23,tbSkills!DH3:DI6,2,FALSE)+IF(AND(Calculator!B8=TRUE,Backdoors!BI9=TRUE),VLOOKUP(Calculator!E23,tbSkills!DH3:DJ6,3,FALSE),0),0))&gt;=100,100,(Backdoors!AI12+IF(AR71&gt;=0.45,VLOOKUP(Calculator!E23,tbSkills!DH3:DI6,2,FALSE)+IF(AND(Calculator!B8=TRUE,Backdoors!BI9=TRUE),VLOOKUP(Calculator!E23,tbSkills!DH3:DJ6,3,FALSE),0),0)))/100)),1))*IF(VLOOKUP(A71,tbMoveset!A2:K112,11,FALSE)=TRUE,Backdoors!AC5,1))*AS71,0),"")</f>
        <v>0</v>
      </c>
      <c r="AW71" s="49">
        <f>VLOOKUP(A71,tbMoveset!A2:G112,7,FALSE)*IFERROR(IF(Backdoors!AI12&gt;=0,1+(IF(Calculator!E40&gt;0,VLOOKUP(Calculator!E40,tbSkills!AI3:AJ5,2,FALSE),Backdoors!AL4)*(IF((Backdoors!AI12+IF(AR71&gt;=0.45,VLOOKUP(Calculator!E23,tbSkills!DH3:DI6,2,FALSE)+IF(AND(Calculator!B8=TRUE,Backdoors!BI9=TRUE),VLOOKUP(Calculator!E23,tbSkills!DH3:DJ6,3,FALSE),0),0))&gt;=100,100,(Backdoors!AI12+IF(AR71&gt;=0.45,VLOOKUP(Calculator!E23,tbSkills!DH3:DI6,2,FALSE)+IF(AND(Calculator!B8=TRUE,Backdoors!BI9=TRUE),VLOOKUP(Calculator!E23,tbSkills!DH3:DJ6,3,FALSE),0),0)))/100)),1),1)</f>
        <v>0.4</v>
      </c>
      <c r="AX71" s="87">
        <f t="shared" si="57"/>
        <v>5</v>
      </c>
      <c r="AY71" s="86">
        <f>IFERROR(IF(VLOOKUP(A71,tbMoveset!A2:B112,2,FALSE)="Sever",Backdoors!AY10/100,IF(VLOOKUP(A71,tbMoveset!A2:B112,2,FALSE)="Blunt",Backdoors!AZ10/100,Backdoors!BA10/100)),"")</f>
        <v>0.9</v>
      </c>
      <c r="AZ71" s="49">
        <f>IFERROR(IF(VLOOKUP(tbMoveset!A71,tbMoveset!A2:H112,8,FALSE)="Other",IF(VLOOKUP(tbMoveset!A71,tbMoveset!A2:I112,9,FALSE)="Fire",Backdoors!BB10,IF(VLOOKUP(tbMoveset!A71,tbMoveset!A2:I112,9,FALSE)="Water",Backdoors!BC10,IF(VLOOKUP(tbMoveset!A71,tbMoveset!A2:I112,9,FALSE)="Thunder",Backdoors!BD10,IF(VLOOKUP(tbMoveset!A71,tbMoveset!A2:I112,9,FALSE)="Ice",Backdoors!BE10,IF(VLOOKUP(tbMoveset!A71,tbMoveset!A2:I112,9,FALSE)="Dragon",Backdoors!BF10,Backdoors!BG10)))))/100,Backdoors!BG10/100),"")</f>
        <v>0</v>
      </c>
      <c r="BA71" s="49">
        <f>IFERROR(IF(VLOOKUP(A71,tbMoveset!A2:J112,10,FALSE)=TRUE,IF((Backdoors!AI12+IF(AY71&gt;=0.45,VLOOKUP(Calculator!E23,tbSkills!DH3:DI6,2,FALSE)+IF(AND(Calculator!B8=TRUE,Backdoors!BI10=TRUE),VLOOKUP(Calculator!E23,tbSkills!DH3:DJ6,3,FALSE),0),0))&gt;=0,1+(Backdoors!AL2*(IF((Backdoors!AI12+IF(AY71&gt;=0.45,VLOOKUP(Calculator!E23,tbSkills!DH3:DI6,2,FALSE)+IF(AND(Calculator!B8=TRUE,Backdoors!BI10=TRUE),VLOOKUP(Calculator!E23,tbSkills!DH3:DJ6,3,FALSE),0),0))&gt;=100,100,(Backdoors!AI12+IF(AY71&gt;=0.45,VLOOKUP(Calculator!E23,tbSkills!DH3:DI6,2,FALSE)+IF(AND(Calculator!B8=TRUE,Backdoors!BI10=TRUE),VLOOKUP(Calculator!E23,tbSkills!DH3:DJ6,3,FALSE),0),0)))/100)),(1-(0.25*((-Backdoors!AI12-IF(AY71&gt;=0.45,VLOOKUP(Calculator!E23,tbSkills!DH3:DI6,2,FALSE)+IF(AND(Calculator!B8=TRUE,Backdoors!BI10=TRUE),VLOOKUP(Calculator!E23,tbSkills!DH3:DJ6,3,FALSE),0),0))/100)))),1),"")</f>
        <v>1</v>
      </c>
      <c r="BB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Y71)*BA71)*(VLOOKUP(A71,tbMoveset!A2:C112,3,FALSE)/100)*IF(VLOOKUP(A71,tbMoveset!A2:B112,2,FALSE)="Projectile",Backdoors!N10,Backdoors!N9),0),"")</f>
        <v>9</v>
      </c>
      <c r="BC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Y71&gt;=0.45,VLOOKUP(Calculator!E23,tbSkills!DH3:DI6,2,FALSE)+IF(AND(Calculator!B8=TRUE,Backdoors!BI10=TRUE),VLOOKUP(Calculator!E23,tbSkills!DH3:DJ6,3,FALSE),0),0))&gt;=100,100,(Backdoors!AI12+IF(AY71&gt;=0.45,VLOOKUP(Calculator!E23,tbSkills!DH3:DI6,2,FALSE)+IF(AND(Calculator!B8=TRUE,Backdoors!BI10=TRUE),VLOOKUP(Calculator!E23,tbSkills!DH3:DJ6,3,FALSE),0),0)))/100)),1))*IF(VLOOKUP(A71,tbMoveset!A2:K112,11,FALSE)=TRUE,Backdoors!AC5,1))*AZ71,0),"")</f>
        <v>0</v>
      </c>
      <c r="BD71" s="49">
        <f>VLOOKUP(A71,tbMoveset!A2:G112,7,FALSE)*IFERROR(IF(Backdoors!AI12&gt;=0,1+(IF(Calculator!E40&gt;0,VLOOKUP(Calculator!E40,tbSkills!AI3:AJ5,2,FALSE),Backdoors!AL4)*(IF((Backdoors!AI12+IF(AY71&gt;=0.45,VLOOKUP(Calculator!E23,tbSkills!DH3:DI6,2,FALSE)+IF(AND(Calculator!B8=TRUE,Backdoors!BI10=TRUE),VLOOKUP(Calculator!E23,tbSkills!DH3:DJ6,3,FALSE),0),0))&gt;=100,100,(Backdoors!AI12+IF(AY71&gt;=0.45,VLOOKUP(Calculator!E23,tbSkills!DH3:DI6,2,FALSE)+IF(AND(Calculator!B8=TRUE,Backdoors!BI10=TRUE),VLOOKUP(Calculator!E23,tbSkills!DH3:DJ6,3,FALSE),0),0)))/100)),1),1)</f>
        <v>0.4</v>
      </c>
      <c r="BE71" s="87">
        <f t="shared" si="58"/>
        <v>9</v>
      </c>
      <c r="BF71" s="86" t="str">
        <f>IFERROR(IF(VLOOKUP(A71,tbMoveset!A2:B112,2,FALSE)="Sever",Backdoors!AY11/100,IF(VLOOKUP(A71,tbMoveset!A2:B112,2,FALSE)="Blunt",Backdoors!AZ11/100,Backdoors!BA11/100)),"")</f>
        <v/>
      </c>
      <c r="BG71" s="49">
        <f>IFERROR(IF(VLOOKUP(tbMoveset!A71,tbMoveset!A2:H112,8,FALSE)="Other",IF(VLOOKUP(tbMoveset!A71,tbMoveset!A2:I112,9,FALSE)="Fire",Backdoors!BB11,IF(VLOOKUP(tbMoveset!A71,tbMoveset!A2:I112,9,FALSE)="Water",Backdoors!BC11,IF(VLOOKUP(tbMoveset!A71,tbMoveset!A2:I112,9,FALSE)="Thunder",Backdoors!BD11,IF(VLOOKUP(tbMoveset!A71,tbMoveset!A2:I112,9,FALSE)="Ice",Backdoors!BE11,IF(VLOOKUP(tbMoveset!A71,tbMoveset!A2:I112,9,FALSE)="Dragon",Backdoors!BF11,Backdoors!BG11)))))/100,Backdoors!BG11/100),"")</f>
        <v>0</v>
      </c>
      <c r="BH71" s="49">
        <f>IFERROR(IF(VLOOKUP(A71,tbMoveset!A2:J112,10,FALSE)=TRUE,IF((Backdoors!AI12+IF(BF71&gt;=0.45,VLOOKUP(Calculator!E23,tbSkills!DH3:DI6,2,FALSE)+IF(AND(Calculator!B8=TRUE,Backdoors!BI11=TRUE),VLOOKUP(Calculator!E23,tbSkills!DH3:DJ6,3,FALSE),0),0))&gt;=0,1+(Backdoors!AL2*(IF((Backdoors!AI12+IF(BF71&gt;=0.45,VLOOKUP(Calculator!E23,tbSkills!DH3:DI6,2,FALSE)+IF(AND(Calculator!B8=TRUE,Backdoors!BI11=TRUE),VLOOKUP(Calculator!E23,tbSkills!DH3:DJ6,3,FALSE),0),0))&gt;=100,100,(Backdoors!AI12+IF(BF71&gt;=0.45,VLOOKUP(Calculator!E23,tbSkills!DH3:DI6,2,FALSE)+IF(AND(Calculator!B8=TRUE,Backdoors!BI11=TRUE),VLOOKUP(Calculator!E23,tbSkills!DH3:DJ6,3,FALSE),0),0)))/100)),(1-(0.25*((-Backdoors!AI12-IF(BF71&gt;=0.45,VLOOKUP(Calculator!E23,tbSkills!DH3:DI6,2,FALSE)+IF(AND(Calculator!B8=TRUE,Backdoors!BI11=TRUE),VLOOKUP(Calculator!E23,tbSkills!DH3:DJ6,3,FALSE),0),0))/100)))),1),"")</f>
        <v>1</v>
      </c>
      <c r="BI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F71)*BH71)*(VLOOKUP(A71,tbMoveset!A2:C112,3,FALSE)/100)*IF(VLOOKUP(A71,tbMoveset!A2:B112,2,FALSE)="Projectile",Backdoors!N10,Backdoors!N9),0),"")</f>
        <v/>
      </c>
      <c r="BJ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F71&gt;=0.45,VLOOKUP(Calculator!E23,tbSkills!DH3:DI6,2,FALSE)+IF(AND(Calculator!B8=TRUE,Backdoors!BI11=TRUE),VLOOKUP(Calculator!E23,tbSkills!DH3:DJ6,3,FALSE),0),0))&gt;=100,100,(Backdoors!AI12+IF(BF71&gt;=0.45,VLOOKUP(Calculator!E23,tbSkills!DH3:DI6,2,FALSE)+IF(AND(Calculator!B8=TRUE,Backdoors!BI11=TRUE),VLOOKUP(Calculator!E23,tbSkills!DH3:DJ6,3,FALSE),0),0)))/100)),1))*IF(VLOOKUP(A71,tbMoveset!A2:K112,11,FALSE)=TRUE,Backdoors!AC5,1))*BG71,0),"")</f>
        <v>0</v>
      </c>
      <c r="BK71" s="49">
        <f>VLOOKUP(A71,tbMoveset!A2:G112,7,FALSE)*IFERROR(IF(Backdoors!AI12&gt;=0,1+(IF(Calculator!E40&gt;0,VLOOKUP(Calculator!E40,tbSkills!AI3:AJ5,2,FALSE),Backdoors!AL4)*(IF((Backdoors!AI12+IF(BF71&gt;=0.45,VLOOKUP(Calculator!E23,tbSkills!DH3:DI6,2,FALSE)+IF(AND(Calculator!B8=TRUE,Backdoors!BI11=TRUE),VLOOKUP(Calculator!E23,tbSkills!DH3:DJ6,3,FALSE),0),0))&gt;=100,100,(Backdoors!AI12+IF(BF71&gt;=0.45,VLOOKUP(Calculator!E23,tbSkills!DH3:DI6,2,FALSE)+IF(AND(Calculator!B8=TRUE,Backdoors!BI11=TRUE),VLOOKUP(Calculator!E23,tbSkills!DH3:DJ6,3,FALSE),0),0)))/100)),1),1)</f>
        <v>0.4</v>
      </c>
      <c r="BL71" s="87">
        <f t="shared" si="59"/>
        <v>0</v>
      </c>
      <c r="BM71" s="86" t="str">
        <f>IFERROR(IF(VLOOKUP(A71,tbMoveset!A2:B112,2,FALSE)="Sever",Backdoors!AY12/100,IF(VLOOKUP(A71,tbMoveset!A2:B112,2,FALSE)="Blunt",Backdoors!AZ12/100,Backdoors!BA12/100)),"")</f>
        <v/>
      </c>
      <c r="BN71" s="49">
        <f>IFERROR(IF(VLOOKUP(tbMoveset!A71,tbMoveset!A2:H112,8,FALSE)="Other",IF(VLOOKUP(tbMoveset!A71,tbMoveset!A2:I112,9,FALSE)="Fire",Backdoors!BB12,IF(VLOOKUP(tbMoveset!A71,tbMoveset!A2:I112,9,FALSE)="Water",Backdoors!BC12,IF(VLOOKUP(tbMoveset!A71,tbMoveset!A2:I112,9,FALSE)="Thunder",Backdoors!BD12,IF(VLOOKUP(tbMoveset!A71,tbMoveset!A2:I112,9,FALSE)="Ice",Backdoors!BE12,IF(VLOOKUP(tbMoveset!A71,tbMoveset!A2:I112,9,FALSE)="Dragon",Backdoors!BF12,Backdoors!BG12)))))/100,Backdoors!BG12/100),"")</f>
        <v>0</v>
      </c>
      <c r="BO71" s="49">
        <f>IFERROR(IF(VLOOKUP(A71,tbMoveset!A2:J112,10,FALSE)=TRUE,IF((Backdoors!AI12+IF(BM71&gt;=0.45,VLOOKUP(Calculator!E23,tbSkills!DH3:DI6,2,FALSE)+IF(AND(Calculator!B8=TRUE,Backdoors!BI12=TRUE),VLOOKUP(Calculator!E23,tbSkills!DH3:DJ6,3,FALSE),0),0))&gt;=0,1+(Backdoors!AL2*(IF((Backdoors!AI12+IF(BM71&gt;=0.45,VLOOKUP(Calculator!E23,tbSkills!DH3:DI6,2,FALSE)+IF(AND(Calculator!B8=TRUE,Backdoors!BI12=TRUE),VLOOKUP(Calculator!E23,tbSkills!DH3:DJ6,3,FALSE),0),0))&gt;=100,100,(Backdoors!AI12+IF(BM71&gt;=0.45,VLOOKUP(Calculator!E23,tbSkills!DH3:DI6,2,FALSE)+IF(AND(Calculator!B8=TRUE,Backdoors!BI12=TRUE),VLOOKUP(Calculator!E23,tbSkills!DH3:DJ6,3,FALSE),0),0)))/100)),(1-(0.25*((-Backdoors!AI12-IF(BM71&gt;=0.45,VLOOKUP(Calculator!E23,tbSkills!DH3:DI6,2,FALSE)+IF(AND(Calculator!B8=TRUE,Backdoors!BI12=TRUE),VLOOKUP(Calculator!E23,tbSkills!DH3:DJ6,3,FALSE),0),0))/100)))),1),"")</f>
        <v>1</v>
      </c>
      <c r="BP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M71)*BO71)*(VLOOKUP(A71,tbMoveset!A2:C112,3,FALSE)/100)*IF(VLOOKUP(A71,tbMoveset!A2:B112,2,FALSE)="Projectile",Backdoors!N10,Backdoors!N9),0),"")</f>
        <v/>
      </c>
      <c r="BQ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M71&gt;=0.45,VLOOKUP(Calculator!E23,tbSkills!DH3:DI6,2,FALSE)+IF(AND(Calculator!B8=TRUE,Backdoors!BI12=TRUE),VLOOKUP(Calculator!E23,tbSkills!DH3:DJ6,3,FALSE),0),0))&gt;=100,100,(Backdoors!AI12+IF(BM71&gt;=0.45,VLOOKUP(Calculator!E23,tbSkills!DH3:DI6,2,FALSE)+IF(AND(Calculator!B8=TRUE,Backdoors!BI12=TRUE),VLOOKUP(Calculator!E23,tbSkills!DH3:DJ6,3,FALSE),0),0)))/100)),1))*IF(VLOOKUP(A71,tbMoveset!A2:K112,11,FALSE)=TRUE,Backdoors!AC5,1))*BN71,0),"")</f>
        <v>0</v>
      </c>
      <c r="BR71" s="49">
        <f>VLOOKUP(A71,tbMoveset!A2:G112,7,FALSE)*IFERROR(IF(Backdoors!AI12&gt;=0,1+(IF(Calculator!E40&gt;0,VLOOKUP(Calculator!E40,tbSkills!AI3:AJ5,2,FALSE),Backdoors!AL4)*(IF((Backdoors!AI12+IF(BM71&gt;=0.45,VLOOKUP(Calculator!E23,tbSkills!DH3:DI6,2,FALSE)+IF(AND(Calculator!B8=TRUE,Backdoors!BI12=TRUE),VLOOKUP(Calculator!E23,tbSkills!DH3:DJ6,3,FALSE),0),0))&gt;=100,100,(Backdoors!AI12+IF(BM71&gt;=0.45,VLOOKUP(Calculator!E23,tbSkills!DH3:DI6,2,FALSE)+IF(AND(Calculator!B8=TRUE,Backdoors!BI12=TRUE),VLOOKUP(Calculator!E23,tbSkills!DH3:DJ6,3,FALSE),0),0)))/100)),1),1)</f>
        <v>0.4</v>
      </c>
      <c r="BS71" s="87">
        <f t="shared" si="60"/>
        <v>0</v>
      </c>
      <c r="BT71" s="86" t="str">
        <f>IFERROR(IF(VLOOKUP(A71,tbMoveset!A2:B112,2,FALSE)="Sever",Backdoors!AY13/100,IF(VLOOKUP(A71,tbMoveset!A2:B112,2,FALSE)="Blunt",Backdoors!AZ13/100,Backdoors!BA13/100)),"")</f>
        <v/>
      </c>
      <c r="BU71" s="49">
        <f>IFERROR(IF(VLOOKUP(tbMoveset!A71,tbMoveset!A2:H112,8,FALSE)="Other",IF(VLOOKUP(tbMoveset!A71,tbMoveset!A2:I112,9,FALSE)="Fire",Backdoors!BB13,IF(VLOOKUP(tbMoveset!A71,tbMoveset!A2:I112,9,FALSE)="Water",Backdoors!BC13,IF(VLOOKUP(tbMoveset!A71,tbMoveset!A2:I112,9,FALSE)="Thunder",Backdoors!BD13,IF(VLOOKUP(tbMoveset!A71,tbMoveset!A2:I112,9,FALSE)="Ice",Backdoors!BE13,IF(VLOOKUP(tbMoveset!A71,tbMoveset!A2:I112,9,FALSE)="Dragon",Backdoors!BF13,Backdoors!BG13)))))/100,Backdoors!BG13/100),"")</f>
        <v>0</v>
      </c>
      <c r="BV71" s="49">
        <f>IFERROR(IF(VLOOKUP(A71,tbMoveset!A2:J112,10,FALSE)=TRUE,IF((Backdoors!AI12+IF(BT71&gt;=0.45,VLOOKUP(Calculator!E23,tbSkills!DH3:DI6,2,FALSE)+IF(AND(Calculator!B8=TRUE,Backdoors!BI13=TRUE),VLOOKUP(Calculator!E23,tbSkills!DH3:DJ6,3,FALSE),0),0))&gt;=0,1+(Backdoors!AL2*(IF((Backdoors!AI12+IF(BT71&gt;=0.45,VLOOKUP(Calculator!E23,tbSkills!DH3:DI6,2,FALSE)+IF(AND(Calculator!B8=TRUE,Backdoors!BI13=TRUE),VLOOKUP(Calculator!E23,tbSkills!DH3:DJ6,3,FALSE),0),0))&gt;=100,100,(Backdoors!AI12+IF(BT71&gt;=0.45,VLOOKUP(Calculator!E23,tbSkills!DH3:DI6,2,FALSE)+IF(AND(Calculator!B8=TRUE,Backdoors!BI13=TRUE),VLOOKUP(Calculator!E23,tbSkills!DH3:DJ6,3,FALSE),0),0)))/100)),(1-(0.25*((-Backdoors!AI12-IF(BT71&gt;=0.45,VLOOKUP(Calculator!E23,tbSkills!DH3:DI6,2,FALSE)+IF(AND(Calculator!B8=TRUE,Backdoors!BI13=TRUE),VLOOKUP(Calculator!E23,tbSkills!DH3:DJ6,3,FALSE),0),0))/100)))),1),"")</f>
        <v>1</v>
      </c>
      <c r="BW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T71)*BV71)*(VLOOKUP(A71,tbMoveset!A2:C112,3,FALSE)/100)*IF(VLOOKUP(A71,tbMoveset!A2:B112,2,FALSE)="Projectile",Backdoors!N10,Backdoors!N9),0),"")</f>
        <v/>
      </c>
      <c r="BX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T71&gt;=0.45,VLOOKUP(Calculator!E23,tbSkills!DH3:DI6,2,FALSE)+IF(AND(Calculator!B8=TRUE,Backdoors!BI13=TRUE),VLOOKUP(Calculator!E23,tbSkills!DH3:DJ6,3,FALSE),0),0))&gt;=100,100,(Backdoors!AI12+IF(BT71&gt;=0.45,VLOOKUP(Calculator!E23,tbSkills!DH3:DI6,2,FALSE)+IF(AND(Calculator!B8=TRUE,Backdoors!BI13=TRUE),VLOOKUP(Calculator!E23,tbSkills!DH3:DJ6,3,FALSE),0),0)))/100)),1))*IF(VLOOKUP(A71,tbMoveset!A2:K112,11,FALSE)=TRUE,Backdoors!AC5,1))*BU71,0),"")</f>
        <v>0</v>
      </c>
      <c r="BY71" s="49">
        <f>VLOOKUP(A71,tbMoveset!A2:G112,7,FALSE)*IFERROR(IF(Backdoors!AI12&gt;=0,1+(IF(Calculator!E40&gt;0,VLOOKUP(Calculator!E40,tbSkills!AI3:AJ5,2,FALSE),Backdoors!AL4)*(IF((Backdoors!AI12+IF(BT71&gt;=0.45,VLOOKUP(Calculator!E23,tbSkills!DH3:DI6,2,FALSE)+IF(AND(Calculator!B8=TRUE,Backdoors!BI13=TRUE),VLOOKUP(Calculator!E23,tbSkills!DH3:DJ6,3,FALSE),0),0))&gt;=100,100,(Backdoors!AI12+IF(BT71&gt;=0.45,VLOOKUP(Calculator!E23,tbSkills!DH3:DI6,2,FALSE)+IF(AND(Calculator!B8=TRUE,Backdoors!BI13=TRUE),VLOOKUP(Calculator!E23,tbSkills!DH3:DJ6,3,FALSE),0),0)))/100)),1),1)</f>
        <v>0.4</v>
      </c>
      <c r="BZ71" s="87">
        <f t="shared" si="61"/>
        <v>0</v>
      </c>
      <c r="CA71" s="86" t="str">
        <f>IFERROR(IF(VLOOKUP(A71,tbMoveset!A2:B112,2,FALSE)="Sever",Backdoors!AY14/100,IF(VLOOKUP(A71,tbMoveset!A2:B112,2,FALSE)="Blunt",Backdoors!AZ14/100,Backdoors!BA14/100)),"")</f>
        <v/>
      </c>
      <c r="CB71" s="49">
        <f>IFERROR(IF(VLOOKUP(tbMoveset!A71,tbMoveset!A2:H112,8,FALSE)="Other",IF(VLOOKUP(tbMoveset!A71,tbMoveset!A2:I112,9,FALSE)="Fire",Backdoors!BB14,IF(VLOOKUP(tbMoveset!A71,tbMoveset!A2:I112,9,FALSE)="Water",Backdoors!BC14,IF(VLOOKUP(tbMoveset!A71,tbMoveset!A2:I112,9,FALSE)="Thunder",Backdoors!BD14,IF(VLOOKUP(tbMoveset!A71,tbMoveset!A2:I112,9,FALSE)="Ice",Backdoors!BE14,IF(VLOOKUP(tbMoveset!A71,tbMoveset!A2:I112,9,FALSE)="Dragon",Backdoors!BF14,Backdoors!BG14)))))/100,Backdoors!BG14/100),"")</f>
        <v>0</v>
      </c>
      <c r="CC71" s="49">
        <f>IFERROR(IF(VLOOKUP(A71,tbMoveset!A2:J112,10,FALSE)=TRUE,IF((Backdoors!AI12+IF(CA71&gt;=0.45,VLOOKUP(Calculator!E23,tbSkills!DH3:DI6,2,FALSE)+IF(AND(Calculator!B8=TRUE,Backdoors!BI14=TRUE),VLOOKUP(Calculator!E23,tbSkills!DH3:DJ6,3,FALSE),0),0))&gt;=0,1+(Backdoors!AL2*(IF((Backdoors!AI12+IF(CA71&gt;=0.45,VLOOKUP(Calculator!E23,tbSkills!DH3:DI6,2,FALSE)+IF(AND(Calculator!B8=TRUE,Backdoors!BI14=TRUE),VLOOKUP(Calculator!E23,tbSkills!DH3:DJ6,3,FALSE),0),0))&gt;=100,100,(Backdoors!AI12+IF(CA71&gt;=0.45,VLOOKUP(Calculator!E23,tbSkills!DH3:DI6,2,FALSE)+IF(AND(Calculator!B8=TRUE,Backdoors!BI14=TRUE),VLOOKUP(Calculator!E23,tbSkills!DH3:DJ6,3,FALSE),0),0)))/100)),(1-(0.25*((-Backdoors!AI12-IF(CA71&gt;=0.45,VLOOKUP(Calculator!E23,tbSkills!DH3:DI6,2,FALSE)+IF(AND(Calculator!B8=TRUE,Backdoors!BI14=TRUE),VLOOKUP(Calculator!E23,tbSkills!DH3:DJ6,3,FALSE),0),0))/100)))),1),"")</f>
        <v>1</v>
      </c>
      <c r="CD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A71)*CC71)*(VLOOKUP(A71,tbMoveset!A2:C112,3,FALSE)/100)*IF(VLOOKUP(A71,tbMoveset!A2:B112,2,FALSE)="Projectile",Backdoors!N10,Backdoors!N9),0),"")</f>
        <v/>
      </c>
      <c r="CE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A71&gt;=0.45,VLOOKUP(Calculator!E23,tbSkills!DH3:DI6,2,FALSE)+IF(AND(Calculator!B8=TRUE,Backdoors!BI14=TRUE),VLOOKUP(Calculator!E23,tbSkills!DH3:DJ6,3,FALSE),0),0))&gt;=100,100,(Backdoors!AI12+IF(CA71&gt;=0.45,VLOOKUP(Calculator!E23,tbSkills!DH3:DI6,2,FALSE)+IF(AND(Calculator!B8=TRUE,Backdoors!BI14=TRUE),VLOOKUP(Calculator!E23,tbSkills!DH3:DJ6,3,FALSE),0),0)))/100)),1))*IF(VLOOKUP(A71,tbMoveset!A2:K112,11,FALSE)=TRUE,Backdoors!AC5,1))*CB71,0),"")</f>
        <v>0</v>
      </c>
      <c r="CF71" s="49">
        <f>VLOOKUP(A71,tbMoveset!A2:G112,7,FALSE)*IFERROR(IF(Backdoors!AI12&gt;=0,1+(IF(Calculator!E40&gt;0,VLOOKUP(Calculator!E40,tbSkills!AI3:AJ5,2,FALSE),Backdoors!AL4)*(IF((Backdoors!AI12+IF(CA71&gt;=0.45,VLOOKUP(Calculator!E23,tbSkills!DH3:DI6,2,FALSE)+IF(AND(Calculator!B8=TRUE,Backdoors!BI14=TRUE),VLOOKUP(Calculator!E23,tbSkills!DH3:DJ6,3,FALSE),0),0))&gt;=100,100,(Backdoors!AI12+IF(CA71&gt;=0.45,VLOOKUP(Calculator!E23,tbSkills!DH3:DI6,2,FALSE)+IF(AND(Calculator!B8=TRUE,Backdoors!BI14=TRUE),VLOOKUP(Calculator!E23,tbSkills!DH3:DJ6,3,FALSE),0),0)))/100)),1),1)</f>
        <v>0.4</v>
      </c>
      <c r="CG71" s="87">
        <f t="shared" si="62"/>
        <v>0</v>
      </c>
      <c r="CH71" s="86" t="str">
        <f>IFERROR(IF(VLOOKUP(A71,tbMoveset!A2:B112,2,FALSE)="Sever",Backdoors!AY15/100,IF(VLOOKUP(A71,tbMoveset!A2:B112,2,FALSE)="Blunt",Backdoors!AZ15/100,Backdoors!BA15/100)),"")</f>
        <v/>
      </c>
      <c r="CI71" s="49">
        <f>IFERROR(IF(VLOOKUP(tbMoveset!A71,tbMoveset!A2:H112,8,FALSE)="Other",IF(VLOOKUP(tbMoveset!A71,tbMoveset!A2:I112,9,FALSE)="Fire",Backdoors!BB15,IF(VLOOKUP(tbMoveset!A71,tbMoveset!A2:I112,9,FALSE)="Water",Backdoors!BC15,IF(VLOOKUP(tbMoveset!A71,tbMoveset!A2:I112,9,FALSE)="Thunder",Backdoors!BD15,IF(VLOOKUP(tbMoveset!A71,tbMoveset!A2:I112,9,FALSE)="Ice",Backdoors!BE15,IF(VLOOKUP(tbMoveset!A71,tbMoveset!A2:I112,9,FALSE)="Dragon",Backdoors!BF15,Backdoors!BG15)))))/100,Backdoors!BG15/100),"")</f>
        <v>0</v>
      </c>
      <c r="CJ71" s="49">
        <f>IFERROR(IF(VLOOKUP(A71,tbMoveset!A2:J112,10,FALSE)=TRUE,IF((Backdoors!AI12+IF(CH71&gt;=0.45,VLOOKUP(Calculator!E23,tbSkills!DH3:DI6,2,FALSE)+IF(AND(Calculator!B8=TRUE,Backdoors!BI15=TRUE),VLOOKUP(Calculator!E23,tbSkills!DH3:DJ6,3,FALSE),0),0))&gt;=0,1+(Backdoors!AL2*(IF((Backdoors!AI12+IF(CH71&gt;=0.45,VLOOKUP(Calculator!E23,tbSkills!DH3:DI6,2,FALSE)+IF(AND(Calculator!B8=TRUE,Backdoors!BI15=TRUE),VLOOKUP(Calculator!E23,tbSkills!DH3:DJ6,3,FALSE),0),0))&gt;=100,100,(Backdoors!AI12+IF(CH71&gt;=0.45,VLOOKUP(Calculator!E23,tbSkills!DH3:DI6,2,FALSE)+IF(AND(Calculator!B8=TRUE,Backdoors!BI15=TRUE),VLOOKUP(Calculator!E23,tbSkills!DH3:DJ6,3,FALSE),0),0)))/100)),(1-(0.25*((-Backdoors!AI12-IF(CH71&gt;=0.45,VLOOKUP(Calculator!E23,tbSkills!DH3:DI6,2,FALSE)+IF(AND(Calculator!B8=TRUE,Backdoors!BI15=TRUE),VLOOKUP(Calculator!E23,tbSkills!DH3:DJ6,3,FALSE),0),0))/100)))),1),"")</f>
        <v>1</v>
      </c>
      <c r="CK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H71)*CJ71)*(VLOOKUP(A71,tbMoveset!A2:C112,3,FALSE)/100)*IF(VLOOKUP(A71,tbMoveset!A2:B112,2,FALSE)="Projectile",Backdoors!N10,Backdoors!N9),0),"")</f>
        <v/>
      </c>
      <c r="CL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H71&gt;=0.45,VLOOKUP(Calculator!E23,tbSkills!DH3:DI6,2,FALSE)+IF(AND(Calculator!B8=TRUE,Backdoors!BI15=TRUE),VLOOKUP(Calculator!E23,tbSkills!DH3:DJ6,3,FALSE),0),0))&gt;=100,100,(Backdoors!AI12+IF(CH71&gt;=0.45,VLOOKUP(Calculator!E23,tbSkills!DH3:DI6,2,FALSE)+IF(AND(Calculator!B8=TRUE,Backdoors!BI15=TRUE),VLOOKUP(Calculator!E23,tbSkills!DH3:DJ6,3,FALSE),0),0)))/100)),1))*IF(VLOOKUP(A71,tbMoveset!A2:K112,11,FALSE)=TRUE,Backdoors!AC5,1))*CI71,0),"")</f>
        <v>0</v>
      </c>
      <c r="CM71" s="49">
        <f>VLOOKUP(A71,tbMoveset!A2:G112,7,FALSE)*IFERROR(IF(Backdoors!AI12&gt;=0,1+(IF(Calculator!E40&gt;0,VLOOKUP(Calculator!E40,tbSkills!AI3:AJ5,2,FALSE),Backdoors!AL4)*(IF((Backdoors!AI12+IF(CH71&gt;=0.45,VLOOKUP(Calculator!E23,tbSkills!DH3:DI6,2,FALSE)+IF(AND(Calculator!B8=TRUE,Backdoors!BI15=TRUE),VLOOKUP(Calculator!E23,tbSkills!DH3:DJ6,3,FALSE),0),0))&gt;=100,100,(Backdoors!AI12+IF(CH71&gt;=0.45,VLOOKUP(Calculator!E23,tbSkills!DH3:DI6,2,FALSE)+IF(AND(Calculator!B8=TRUE,Backdoors!BI15=TRUE),VLOOKUP(Calculator!E23,tbSkills!DH3:DJ6,3,FALSE),0),0)))/100)),1),1)</f>
        <v>0.4</v>
      </c>
      <c r="CN71" s="87">
        <f t="shared" si="63"/>
        <v>0</v>
      </c>
      <c r="CO71" s="86" t="str">
        <f>IFERROR(IF(VLOOKUP(A71,tbMoveset!A2:B112,2,FALSE)="Sever",Backdoors!AY16/100,IF(VLOOKUP(A71,tbMoveset!A2:B112,2,FALSE)="Blunt",Backdoors!AZ16/100,Backdoors!BA16/100)),"")</f>
        <v/>
      </c>
      <c r="CP71" s="49">
        <f>IFERROR(IF(VLOOKUP(tbMoveset!A71,tbMoveset!A2:H112,8,FALSE)="Other",IF(VLOOKUP(tbMoveset!A71,tbMoveset!A2:I112,9,FALSE)="Fire",Backdoors!BB16,IF(VLOOKUP(tbMoveset!A71,tbMoveset!A2:I112,9,FALSE)="Water",Backdoors!BC16,IF(VLOOKUP(tbMoveset!A71,tbMoveset!A2:I112,9,FALSE)="Thunder",Backdoors!BD16,IF(VLOOKUP(tbMoveset!A71,tbMoveset!A2:I112,9,FALSE)="Ice",Backdoors!BE16,IF(VLOOKUP(tbMoveset!A71,tbMoveset!A2:I112,9,FALSE)="Dragon",Backdoors!BF16,Backdoors!BG16)))))/100,Backdoors!BG16/100),"")</f>
        <v>0</v>
      </c>
      <c r="CQ71" s="49">
        <f>IFERROR(IF(VLOOKUP(A71,tbMoveset!A2:J112,10,FALSE)=TRUE,IF((Backdoors!AI12+IF(CO71&gt;=0.45,VLOOKUP(Calculator!E23,tbSkills!DH3:DI6,2,FALSE)+IF(AND(Calculator!B8=TRUE,Backdoors!BI16=TRUE),VLOOKUP(Calculator!E23,tbSkills!DH3:DJ6,3,FALSE),0),0))&gt;=0,1+(Backdoors!AL2*(IF((Backdoors!AI12+IF(CO71&gt;=0.45,VLOOKUP(Calculator!E23,tbSkills!DH3:DI6,2,FALSE)+IF(AND(Calculator!B8=TRUE,Backdoors!BI16=TRUE),VLOOKUP(Calculator!E23,tbSkills!DH3:DJ6,3,FALSE),0),0))&gt;=100,100,(Backdoors!AI12+IF(CO71&gt;=0.45,VLOOKUP(Calculator!E23,tbSkills!DH3:DI6,2,FALSE)+IF(AND(Calculator!B8=TRUE,Backdoors!BI16=TRUE),VLOOKUP(Calculator!E23,tbSkills!DH3:DJ6,3,FALSE),0),0)))/100)),(1-(0.25*((-Backdoors!AI12-IF(CO71&gt;=0.45,VLOOKUP(Calculator!E23,tbSkills!DH3:DI6,2,FALSE)+IF(AND(Calculator!B8=TRUE,Backdoors!BI16=TRUE),VLOOKUP(Calculator!E23,tbSkills!DH3:DJ6,3,FALSE),0),0))/100)))),1),"")</f>
        <v>1</v>
      </c>
      <c r="CR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O71)*CQ71)*(VLOOKUP(A71,tbMoveset!A2:C112,3,FALSE)/100)*IF(VLOOKUP(A71,tbMoveset!A2:B112,2,FALSE)="Projectile",Backdoors!N10,Backdoors!N9),0),"")</f>
        <v/>
      </c>
      <c r="CS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O71&gt;=0.45,VLOOKUP(Calculator!E23,tbSkills!DH3:DI6,2,FALSE)+IF(AND(Calculator!B8=TRUE,Backdoors!BI16=TRUE),VLOOKUP(Calculator!E23,tbSkills!DH3:DJ6,3,FALSE),0),0))&gt;=100,100,(Backdoors!AI12+IF(CO71&gt;=0.45,VLOOKUP(Calculator!E23,tbSkills!DH3:DI6,2,FALSE)+IF(AND(Calculator!B8=TRUE,Backdoors!BI16=TRUE),VLOOKUP(Calculator!E23,tbSkills!DH3:DJ6,3,FALSE),0),0)))/100)),1))*IF(VLOOKUP(A71,tbMoveset!A2:K112,11,FALSE)=TRUE,Backdoors!AC5,1))*CP71,0),"")</f>
        <v>0</v>
      </c>
      <c r="CT71" s="49">
        <f>VLOOKUP(A71,tbMoveset!A2:G112,7,FALSE)*IFERROR(IF(Backdoors!AI12&gt;=0,1+(IF(Calculator!E40&gt;0,VLOOKUP(Calculator!E40,tbSkills!AI3:AJ5,2,FALSE),Backdoors!AL4)*(IF((Backdoors!AI12+IF(CO71&gt;=0.45,VLOOKUP(Calculator!E23,tbSkills!DH3:DI6,2,FALSE)+IF(AND(Calculator!B8=TRUE,Backdoors!BI16=TRUE),VLOOKUP(Calculator!E23,tbSkills!DH3:DJ6,3,FALSE),0),0))&gt;=100,100,(Backdoors!AI12+IF(CO71&gt;=0.45,VLOOKUP(Calculator!E23,tbSkills!DH3:DI6,2,FALSE)+IF(AND(Calculator!B8=TRUE,Backdoors!BI16=TRUE),VLOOKUP(Calculator!E23,tbSkills!DH3:DJ6,3,FALSE),0),0)))/100)),1),1)</f>
        <v>0.4</v>
      </c>
      <c r="CU71" s="87">
        <f t="shared" si="64"/>
        <v>0</v>
      </c>
      <c r="CV71" s="86" t="str">
        <f>IFERROR(IF(VLOOKUP(A71,tbMoveset!A2:B112,2,FALSE)="Sever",Backdoors!AY17/100,IF(VLOOKUP(A71,tbMoveset!A2:B112,2,FALSE)="Blunt",Backdoors!AZ17/100,Backdoors!BA17/100)),"")</f>
        <v/>
      </c>
      <c r="CW71" s="49">
        <f>IFERROR(IF(VLOOKUP(tbMoveset!A71,tbMoveset!A2:H112,8,FALSE)="Other",IF(VLOOKUP(tbMoveset!A71,tbMoveset!A2:I112,9,FALSE)="Fire",Backdoors!BB17,IF(VLOOKUP(tbMoveset!A71,tbMoveset!A2:I112,9,FALSE)="Water",Backdoors!BC17,IF(VLOOKUP(tbMoveset!A71,tbMoveset!A2:I112,9,FALSE)="Thunder",Backdoors!BD17,IF(VLOOKUP(tbMoveset!A71,tbMoveset!A2:I112,9,FALSE)="Ice",Backdoors!BE17,IF(VLOOKUP(tbMoveset!A71,tbMoveset!A2:I112,9,FALSE)="Dragon",Backdoors!BF17,Backdoors!BG17)))))/100,Backdoors!BG17/100),"")</f>
        <v>0</v>
      </c>
      <c r="CX71" s="49">
        <f>IFERROR(IF(VLOOKUP(A71,tbMoveset!A2:J112,10,FALSE)=TRUE,IF((Backdoors!AI12+IF(CV71&gt;=0.45,VLOOKUP(Calculator!E23,tbSkills!DH3:DI6,2,FALSE)+IF(AND(Calculator!B8=TRUE,Backdoors!BI17=TRUE),VLOOKUP(Calculator!E23,tbSkills!DH3:DJ6,3,FALSE),0),0))&gt;=0,1+(Backdoors!AL2*(IF((Backdoors!AI12+IF(CV71&gt;=0.45,VLOOKUP(Calculator!E23,tbSkills!DH3:DI6,2,FALSE)+IF(AND(Calculator!B8=TRUE,Backdoors!BI17=TRUE),VLOOKUP(Calculator!E23,tbSkills!DH3:DJ6,3,FALSE),0),0))&gt;=100,100,(Backdoors!AI12+IF(CV71&gt;=0.45,VLOOKUP(Calculator!E23,tbSkills!DH3:DI6,2,FALSE)+IF(AND(Calculator!B8=TRUE,Backdoors!BI17=TRUE),VLOOKUP(Calculator!E23,tbSkills!DH3:DJ6,3,FALSE),0),0)))/100)),(1-(0.25*((-Backdoors!AI12-IF(CV71&gt;=0.45,VLOOKUP(Calculator!E23,tbSkills!DH3:DI6,2,FALSE)+IF(AND(Calculator!B8=TRUE,Backdoors!BI17=TRUE),VLOOKUP(Calculator!E23,tbSkills!DH3:DJ6,3,FALSE),0),0))/100)))),1),"")</f>
        <v>1</v>
      </c>
      <c r="CY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V71)*CX71)*(VLOOKUP(A71,tbMoveset!A2:C112,3,FALSE)/100)*IF(VLOOKUP(A71,tbMoveset!A2:B112,2,FALSE)="Projectile",Backdoors!N10,Backdoors!N9),0),"")</f>
        <v/>
      </c>
      <c r="CZ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V71&gt;=0.45,VLOOKUP(Calculator!E23,tbSkills!DH3:DI6,2,FALSE)+IF(AND(Calculator!B8=TRUE,Backdoors!BI17=TRUE),VLOOKUP(Calculator!E23,tbSkills!DH3:DJ6,3,FALSE),0),0))&gt;=100,100,(Backdoors!AI12+IF(CV71&gt;=0.45,VLOOKUP(Calculator!E23,tbSkills!DH3:DI6,2,FALSE)+IF(AND(Calculator!B8=TRUE,Backdoors!BI17=TRUE),VLOOKUP(Calculator!E23,tbSkills!DH3:DJ6,3,FALSE),0),0)))/100)),1))*IF(VLOOKUP(A71,tbMoveset!A2:K112,11,FALSE)=TRUE,Backdoors!AC5,1))*CW71,0),"")</f>
        <v>0</v>
      </c>
      <c r="DA71" s="49">
        <f>VLOOKUP(A71,tbMoveset!A2:G112,7,FALSE)*IFERROR(IF(Backdoors!AI12&gt;=0,1+(IF(Calculator!E40&gt;0,VLOOKUP(Calculator!E40,tbSkills!AI3:AJ5,2,FALSE),Backdoors!AL4)*(IF((Backdoors!AI12+IF(CV71&gt;=0.45,VLOOKUP(Calculator!E23,tbSkills!DH3:DI6,2,FALSE)+IF(AND(Calculator!B8=TRUE,Backdoors!BI17=TRUE),VLOOKUP(Calculator!E23,tbSkills!DH3:DJ6,3,FALSE),0),0))&gt;=100,100,(Backdoors!AI12+IF(CV71&gt;=0.45,VLOOKUP(Calculator!E23,tbSkills!DH3:DI6,2,FALSE)+IF(AND(Calculator!B8=TRUE,Backdoors!BI17=TRUE),VLOOKUP(Calculator!E23,tbSkills!DH3:DJ6,3,FALSE),0),0)))/100)),1),1)</f>
        <v>0.4</v>
      </c>
      <c r="DB71" s="87">
        <f t="shared" si="65"/>
        <v>0</v>
      </c>
      <c r="DC71" s="86" t="str">
        <f>IFERROR(IF(VLOOKUP(A71,tbMoveset!A2:B112,2,FALSE)="Sever",Backdoors!AY18/100,IF(VLOOKUP(A71,tbMoveset!A2:B112,2,FALSE)="Blunt",Backdoors!AZ18/100,Backdoors!BA18/100)),"")</f>
        <v/>
      </c>
      <c r="DD71" s="49">
        <f>IFERROR(IF(VLOOKUP(tbMoveset!A71,tbMoveset!A2:H112,8,FALSE)="Other",IF(VLOOKUP(tbMoveset!A71,tbMoveset!A2:I112,9,FALSE)="Fire",Backdoors!BB18,IF(VLOOKUP(tbMoveset!A71,tbMoveset!A2:I112,9,FALSE)="Water",Backdoors!BC18,IF(VLOOKUP(tbMoveset!A71,tbMoveset!A2:I112,9,FALSE)="Thunder",Backdoors!BD18,IF(VLOOKUP(tbMoveset!A71,tbMoveset!A2:I112,9,FALSE)="Ice",Backdoors!BE18,IF(VLOOKUP(tbMoveset!A71,tbMoveset!A2:I112,9,FALSE)="Dragon",Backdoors!BF18,Backdoors!BG18)))))/100,Backdoors!BG18/100),"")</f>
        <v>0</v>
      </c>
      <c r="DE71" s="49">
        <f>IFERROR(IF(VLOOKUP(A71,tbMoveset!A2:J112,10,FALSE)=TRUE,IF((Backdoors!AI12+IF(DC71&gt;=0.45,VLOOKUP(Calculator!E23,tbSkills!DH3:DI6,2,FALSE)+IF(AND(Calculator!B8=TRUE,Backdoors!BI18=TRUE),VLOOKUP(Calculator!E23,tbSkills!DH3:DJ6,3,FALSE),0),0))&gt;=0,1+(Backdoors!AL2*(IF((Backdoors!AI12+IF(DC71&gt;=0.45,VLOOKUP(Calculator!E23,tbSkills!DH3:DI6,2,FALSE)+IF(AND(Calculator!B8=TRUE,Backdoors!BI18=TRUE),VLOOKUP(Calculator!E23,tbSkills!DH3:DJ6,3,FALSE),0),0))&gt;=100,100,(Backdoors!AI12+IF(DC71&gt;=0.45,VLOOKUP(Calculator!E23,tbSkills!DH3:DI6,2,FALSE)+IF(AND(Calculator!B8=TRUE,Backdoors!BI18=TRUE),VLOOKUP(Calculator!E23,tbSkills!DH3:DJ6,3,FALSE),0),0)))/100)),(1-(0.25*((-Backdoors!AI12-IF(DC71&gt;=0.45,VLOOKUP(Calculator!E23,tbSkills!DH3:DI6,2,FALSE)+IF(AND(Calculator!B8=TRUE,Backdoors!BI18=TRUE),VLOOKUP(Calculator!E23,tbSkills!DH3:DJ6,3,FALSE),0),0))/100)))),1),"")</f>
        <v>1</v>
      </c>
      <c r="DF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C71)*DE71)*(VLOOKUP(A71,tbMoveset!A2:C112,3,FALSE)/100)*IF(VLOOKUP(A71,tbMoveset!A2:B112,2,FALSE)="Projectile",Backdoors!N10,Backdoors!N9),0),"")</f>
        <v/>
      </c>
      <c r="DG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C71&gt;=0.45,VLOOKUP(Calculator!E23,tbSkills!DH3:DI6,2,FALSE)+IF(AND(Calculator!B8=TRUE,Backdoors!BI18=TRUE),VLOOKUP(Calculator!E23,tbSkills!DH3:DJ6,3,FALSE),0),0))&gt;=100,100,(Backdoors!AI12+IF(DC71&gt;=0.45,VLOOKUP(Calculator!E23,tbSkills!DH3:DI6,2,FALSE)+IF(AND(Calculator!B8=TRUE,Backdoors!BI18=TRUE),VLOOKUP(Calculator!E23,tbSkills!DH3:DJ6,3,FALSE),0),0)))/100)),1))*IF(VLOOKUP(A71,tbMoveset!A2:K112,11,FALSE)=TRUE,Backdoors!AC5,1))*DD71,0),"")</f>
        <v>0</v>
      </c>
      <c r="DH71" s="49">
        <f>VLOOKUP(A71,tbMoveset!A2:G112,7,FALSE)*IFERROR(IF(Backdoors!AI12&gt;=0,1+(IF(Calculator!E40&gt;0,VLOOKUP(Calculator!E40,tbSkills!AI3:AJ5,2,FALSE),Backdoors!AL4)*(IF((Backdoors!AI12+IF(DC71&gt;=0.45,VLOOKUP(Calculator!E23,tbSkills!DH3:DI6,2,FALSE)+IF(AND(Calculator!B8=TRUE,Backdoors!BI18=TRUE),VLOOKUP(Calculator!E23,tbSkills!DH3:DJ6,3,FALSE),0),0))&gt;=100,100,(Backdoors!AI12+IF(DC71&gt;=0.45,VLOOKUP(Calculator!E23,tbSkills!DH3:DI6,2,FALSE)+IF(AND(Calculator!B8=TRUE,Backdoors!BI18=TRUE),VLOOKUP(Calculator!E23,tbSkills!DH3:DJ6,3,FALSE),0),0)))/100)),1),1)</f>
        <v>0.4</v>
      </c>
      <c r="DI71" s="87">
        <f t="shared" si="66"/>
        <v>0</v>
      </c>
      <c r="DJ71" s="86" t="str">
        <f>IFERROR(IF(VLOOKUP(A71,tbMoveset!A2:B112,2,FALSE)="Sever",Backdoors!AY19/100,IF(VLOOKUP(A71,tbMoveset!A2:B112,2,FALSE)="Blunt",Backdoors!AZ19/100,Backdoors!BA19/100)),"")</f>
        <v/>
      </c>
      <c r="DK71" s="49">
        <f>IFERROR(IF(VLOOKUP(tbMoveset!A71,tbMoveset!A2:H112,8,FALSE)="Other",IF(VLOOKUP(tbMoveset!A71,tbMoveset!A2:I112,9,FALSE)="Fire",Backdoors!BB19,IF(VLOOKUP(tbMoveset!A71,tbMoveset!A2:I112,9,FALSE)="Water",Backdoors!BC19,IF(VLOOKUP(tbMoveset!A71,tbMoveset!A2:I112,9,FALSE)="Thunder",Backdoors!BD19,IF(VLOOKUP(tbMoveset!A71,tbMoveset!A2:I112,9,FALSE)="Ice",Backdoors!BE19,IF(VLOOKUP(tbMoveset!A71,tbMoveset!A2:I112,9,FALSE)="Dragon",Backdoors!BF19,Backdoors!BG19)))))/100,Backdoors!BG19/100),"")</f>
        <v>0</v>
      </c>
      <c r="DL71" s="49">
        <f>IFERROR(IF(VLOOKUP(A71,tbMoveset!A2:J112,10,FALSE)=TRUE,IF((Backdoors!AI12+IF(DJ71&gt;=0.45,VLOOKUP(Calculator!E23,tbSkills!DH3:DI6,2,FALSE)+IF(AND(Calculator!B8=TRUE,Backdoors!BI19=TRUE),VLOOKUP(Calculator!E23,tbSkills!DH3:DJ6,3,FALSE),0),0))&gt;=0,1+(Backdoors!AL2*(IF((Backdoors!AI12+IF(DJ71&gt;=0.45,VLOOKUP(Calculator!E23,tbSkills!DH3:DI6,2,FALSE)+IF(AND(Calculator!B8=TRUE,Backdoors!BI19=TRUE),VLOOKUP(Calculator!E23,tbSkills!DH3:DJ6,3,FALSE),0),0))&gt;=100,100,(Backdoors!AI12+IF(DJ71&gt;=0.45,VLOOKUP(Calculator!E23,tbSkills!DH3:DI6,2,FALSE)+IF(AND(Calculator!B8=TRUE,Backdoors!BI19=TRUE),VLOOKUP(Calculator!E23,tbSkills!DH3:DJ6,3,FALSE),0),0)))/100)),(1-(0.25*((-Backdoors!AI12-IF(DJ71&gt;=0.45,VLOOKUP(Calculator!E23,tbSkills!DH3:DI6,2,FALSE)+IF(AND(Calculator!B8=TRUE,Backdoors!BI19=TRUE),VLOOKUP(Calculator!E23,tbSkills!DH3:DJ6,3,FALSE),0),0))/100)))),1),"")</f>
        <v>1</v>
      </c>
      <c r="DM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J71)*DL71)*(VLOOKUP(A71,tbMoveset!A2:C112,3,FALSE)/100)*IF(VLOOKUP(A71,tbMoveset!A2:B112,2,FALSE)="Projectile",Backdoors!N10,Backdoors!N9),0),"")</f>
        <v/>
      </c>
      <c r="DN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J71&gt;=0.45,VLOOKUP(Calculator!E23,tbSkills!DH3:DI6,2,FALSE)+IF(AND(Calculator!B8=TRUE,Backdoors!BI19=TRUE),VLOOKUP(Calculator!E23,tbSkills!DH3:DJ6,3,FALSE),0),0))&gt;=100,100,(Backdoors!AI12+IF(DJ71&gt;=0.45,VLOOKUP(Calculator!E23,tbSkills!DH3:DI6,2,FALSE)+IF(AND(Calculator!B8=TRUE,Backdoors!BI19=TRUE),VLOOKUP(Calculator!E23,tbSkills!DH3:DJ6,3,FALSE),0),0)))/100)),1))*IF(VLOOKUP(A71,tbMoveset!A2:K112,11,FALSE)=TRUE,Backdoors!AC5,1))*DK71,0),"")</f>
        <v>0</v>
      </c>
      <c r="DO71" s="49">
        <f>VLOOKUP(A71,tbMoveset!A2:G112,7,FALSE)*IFERROR(IF(Backdoors!AI12&gt;=0,1+(IF(Calculator!E40&gt;0,VLOOKUP(Calculator!E40,tbSkills!AI3:AJ5,2,FALSE),Backdoors!AL4)*(IF((Backdoors!AI12+IF(DJ71&gt;=0.45,VLOOKUP(Calculator!E23,tbSkills!DH3:DI6,2,FALSE)+IF(AND(Calculator!B8=TRUE,Backdoors!BI19=TRUE),VLOOKUP(Calculator!E23,tbSkills!DH3:DJ6,3,FALSE),0),0))&gt;=100,100,(Backdoors!AI12+IF(DJ71&gt;=0.45,VLOOKUP(Calculator!E23,tbSkills!DH3:DI6,2,FALSE)+IF(AND(Calculator!B8=TRUE,Backdoors!BI19=TRUE),VLOOKUP(Calculator!E23,tbSkills!DH3:DJ6,3,FALSE),0),0)))/100)),1),1)</f>
        <v>0.4</v>
      </c>
      <c r="DP71" s="87">
        <f t="shared" si="67"/>
        <v>0</v>
      </c>
      <c r="DQ71" s="86" t="str">
        <f>IFERROR(IF(VLOOKUP(A71,tbMoveset!A2:B112,2,FALSE)="Sever",Backdoors!AY20/100,IF(VLOOKUP(A71,tbMoveset!A2:B112,2,FALSE)="Blunt",Backdoors!AZ20/100,Backdoors!BA20/100)),"")</f>
        <v/>
      </c>
      <c r="DR71" s="49">
        <f>IFERROR(IF(VLOOKUP(tbMoveset!A71,tbMoveset!A2:H112,8,FALSE)="Other",IF(VLOOKUP(tbMoveset!A71,tbMoveset!A2:I112,9,FALSE)="Fire",Backdoors!BB20,IF(VLOOKUP(tbMoveset!A71,tbMoveset!A2:I112,9,FALSE)="Water",Backdoors!BC20,IF(VLOOKUP(tbMoveset!A71,tbMoveset!A2:I112,9,FALSE)="Thunder",Backdoors!BD20,IF(VLOOKUP(tbMoveset!A71,tbMoveset!A2:I112,9,FALSE)="Ice",Backdoors!BE20,IF(VLOOKUP(tbMoveset!A71,tbMoveset!A2:I112,9,FALSE)="Dragon",Backdoors!BF20,Backdoors!BG20)))))/100,Backdoors!BG20/100),"")</f>
        <v>0</v>
      </c>
      <c r="DS71" s="49">
        <f>IFERROR(IF(VLOOKUP(A71,tbMoveset!A2:J112,10,FALSE)=TRUE,IF((Backdoors!AI12+IF(DQ71&gt;=0.45,VLOOKUP(Calculator!E23,tbSkills!DH3:DI6,2,FALSE)+IF(AND(Calculator!B8=TRUE,Backdoors!BI20=TRUE),VLOOKUP(Calculator!E23,tbSkills!DH3:DJ6,3,FALSE),0),0))&gt;=0,1+(Backdoors!AL2*(IF((Backdoors!AI12+IF(DQ71&gt;=0.45,VLOOKUP(Calculator!E23,tbSkills!DH3:DI6,2,FALSE)+IF(AND(Calculator!B8=TRUE,Backdoors!BI20=TRUE),VLOOKUP(Calculator!E23,tbSkills!DH3:DJ6,3,FALSE),0),0))&gt;=100,100,(Backdoors!AI12+IF(DQ71&gt;=0.45,VLOOKUP(Calculator!E23,tbSkills!DH3:DI6,2,FALSE)+IF(AND(Calculator!B8=TRUE,Backdoors!BI20=TRUE),VLOOKUP(Calculator!E23,tbSkills!DH3:DJ6,3,FALSE),0),0)))/100)),(1-(0.25*((-Backdoors!AI12-IF(DQ71&gt;=0.45,VLOOKUP(Calculator!E23,tbSkills!DH3:DI6,2,FALSE)+IF(AND(Calculator!B8=TRUE,Backdoors!BI20=TRUE),VLOOKUP(Calculator!E23,tbSkills!DH3:DJ6,3,FALSE),0),0))/100)))),1),"")</f>
        <v>1</v>
      </c>
      <c r="DT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Q71)*DS71)*(VLOOKUP(A71,tbMoveset!A2:C112,3,FALSE)/100)*IF(VLOOKUP(A71,tbMoveset!A2:B112,2,FALSE)="Projectile",Backdoors!N10,Backdoors!N9),0),"")</f>
        <v/>
      </c>
      <c r="DU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Q71&gt;=0.45,VLOOKUP(Calculator!E23,tbSkills!DH3:DI6,2,FALSE)+IF(AND(Calculator!B8=TRUE,Backdoors!BI20=TRUE),VLOOKUP(Calculator!E23,tbSkills!DH3:DJ6,3,FALSE),0),0))&gt;=100,100,(Backdoors!AI12+IF(DQ71&gt;=0.45,VLOOKUP(Calculator!E23,tbSkills!DH3:DI6,2,FALSE)+IF(AND(Calculator!B8=TRUE,Backdoors!BI20=TRUE),VLOOKUP(Calculator!E23,tbSkills!DH3:DJ6,3,FALSE),0),0)))/100)),1))*IF(VLOOKUP(A71,tbMoveset!A2:K112,11,FALSE)=TRUE,Backdoors!AC5,1))*DR71,0),"")</f>
        <v>0</v>
      </c>
      <c r="DV71" s="49">
        <f>VLOOKUP(A71,tbMoveset!A2:G112,7,FALSE)*IFERROR(IF(Backdoors!AI12&gt;=0,1+(IF(Calculator!E40&gt;0,VLOOKUP(Calculator!E40,tbSkills!AI3:AJ5,2,FALSE),Backdoors!AL4)*(IF((Backdoors!AI12+IF(DQ71&gt;=0.45,VLOOKUP(Calculator!E23,tbSkills!DH3:DI6,2,FALSE)+IF(AND(Calculator!B8=TRUE,Backdoors!BI20=TRUE),VLOOKUP(Calculator!E23,tbSkills!DH3:DJ6,3,FALSE),0),0))&gt;=100,100,(Backdoors!AI12+IF(DQ71&gt;=0.45,VLOOKUP(Calculator!E23,tbSkills!DH3:DI6,2,FALSE)+IF(AND(Calculator!B8=TRUE,Backdoors!BI20=TRUE),VLOOKUP(Calculator!E23,tbSkills!DH3:DJ6,3,FALSE),0),0)))/100)),1),1)</f>
        <v>0.4</v>
      </c>
      <c r="DW71" s="87">
        <f t="shared" si="68"/>
        <v>0</v>
      </c>
      <c r="DX71" s="86" t="str">
        <f>IFERROR(IF(VLOOKUP(A71,tbMoveset!A2:B112,2,FALSE)="Sever",Backdoors!AY21/100,IF(VLOOKUP(A71,tbMoveset!A2:B112,2,FALSE)="Blunt",Backdoors!AZ21/100,Backdoors!BA21/100)),"")</f>
        <v/>
      </c>
      <c r="DY71" s="49">
        <f>IFERROR(IF(VLOOKUP(tbMoveset!A71,tbMoveset!A2:H112,8,FALSE)="Other",IF(VLOOKUP(tbMoveset!A71,tbMoveset!A2:I112,9,FALSE)="Fire",Backdoors!BB21,IF(VLOOKUP(tbMoveset!A71,tbMoveset!A2:I112,9,FALSE)="Water",Backdoors!BC21,IF(VLOOKUP(tbMoveset!A71,tbMoveset!A2:I112,9,FALSE)="Thunder",Backdoors!BD21,IF(VLOOKUP(tbMoveset!A71,tbMoveset!A2:I112,9,FALSE)="Ice",Backdoors!BE21,IF(VLOOKUP(tbMoveset!A71,tbMoveset!A2:I112,9,FALSE)="Dragon",Backdoors!BF21,Backdoors!BG21)))))/100,Backdoors!BG21/100),"")</f>
        <v>0</v>
      </c>
      <c r="DZ71" s="49">
        <f>IFERROR(IF(VLOOKUP(A71,tbMoveset!A2:J112,10,FALSE)=TRUE,IF((Backdoors!AI12+IF(DX71&gt;=0.45,VLOOKUP(Calculator!E23,tbSkills!DH3:DI6,2,FALSE)+IF(AND(Calculator!B8=TRUE,Backdoors!BI21=TRUE),VLOOKUP(Calculator!E23,tbSkills!DH3:DJ6,3,FALSE),0),0))&gt;=0,1+(Backdoors!AL2*(IF((Backdoors!AI12+IF(DX71&gt;=0.45,VLOOKUP(Calculator!E23,tbSkills!DH3:DI6,2,FALSE)+IF(AND(Calculator!B8=TRUE,Backdoors!BI21=TRUE),VLOOKUP(Calculator!E23,tbSkills!DH3:DJ6,3,FALSE),0),0))&gt;=100,100,(Backdoors!AI12+IF(DX71&gt;=0.45,VLOOKUP(Calculator!E23,tbSkills!DH3:DI6,2,FALSE)+IF(AND(Calculator!B8=TRUE,Backdoors!BI21=TRUE),VLOOKUP(Calculator!E23,tbSkills!DH3:DJ6,3,FALSE),0),0)))/100)),(1-(0.25*((-Backdoors!AI12-IF(DX71&gt;=0.45,VLOOKUP(Calculator!E23,tbSkills!DH3:DI6,2,FALSE)+IF(AND(Calculator!B8=TRUE,Backdoors!BI21=TRUE),VLOOKUP(Calculator!E23,tbSkills!DH3:DJ6,3,FALSE),0),0))/100)))),1),"")</f>
        <v>1</v>
      </c>
      <c r="EA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X71)*DZ71)*(VLOOKUP(A71,tbMoveset!A2:C112,3,FALSE)/100)*IF(VLOOKUP(A71,tbMoveset!A2:B112,2,FALSE)="Projectile",Backdoors!N10,Backdoors!N9),0),"")</f>
        <v/>
      </c>
      <c r="EB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X71&gt;=0.45,VLOOKUP(Calculator!E23,tbSkills!DH3:DI6,2,FALSE)+IF(AND(Calculator!B8=TRUE,Backdoors!BI21=TRUE),VLOOKUP(Calculator!E23,tbSkills!DH3:DJ6,3,FALSE),0),0))&gt;=100,100,(Backdoors!AI12+IF(DX71&gt;=0.45,VLOOKUP(Calculator!E23,tbSkills!DH3:DI6,2,FALSE)+IF(AND(Calculator!B8=TRUE,Backdoors!BI21=TRUE),VLOOKUP(Calculator!E23,tbSkills!DH3:DJ6,3,FALSE),0),0)))/100)),1))*IF(VLOOKUP(A71,tbMoveset!A2:K112,11,FALSE)=TRUE,Backdoors!AC5,1))*DY71,0),"")</f>
        <v>0</v>
      </c>
      <c r="EC71" s="49">
        <f>VLOOKUP(A71,tbMoveset!A2:G112,7,FALSE)*IFERROR(IF(Backdoors!AI12&gt;=0,1+(IF(Calculator!E40&gt;0,VLOOKUP(Calculator!E40,tbSkills!AI3:AJ5,2,FALSE),Backdoors!AL4)*(IF((Backdoors!AI12+IF(DX71&gt;=0.45,VLOOKUP(Calculator!E23,tbSkills!DH3:DI6,2,FALSE)+IF(AND(Calculator!B8=TRUE,Backdoors!BI21=TRUE),VLOOKUP(Calculator!E23,tbSkills!DH3:DJ6,3,FALSE),0),0))&gt;=100,100,(Backdoors!AI12+IF(DX71&gt;=0.45,VLOOKUP(Calculator!E23,tbSkills!DH3:DI6,2,FALSE)+IF(AND(Calculator!B8=TRUE,Backdoors!BI21=TRUE),VLOOKUP(Calculator!E23,tbSkills!DH3:DJ6,3,FALSE),0),0)))/100)),1),1)</f>
        <v>0.4</v>
      </c>
      <c r="ED71" s="87">
        <f t="shared" si="69"/>
        <v>0</v>
      </c>
      <c r="EE71" s="86" t="str">
        <f>IFERROR(IF(VLOOKUP(A71,tbMoveset!A2:B112,2,FALSE)="Sever",Backdoors!AY22/100,IF(VLOOKUP(A71,tbMoveset!A2:B112,2,FALSE)="Blunt",Backdoors!AZ22/100,Backdoors!BA22/100)),"")</f>
        <v/>
      </c>
      <c r="EF71" s="49">
        <f>IFERROR(IF(VLOOKUP(tbMoveset!A71,tbMoveset!A2:H112,8,FALSE)="Other",IF(VLOOKUP(tbMoveset!A71,tbMoveset!A2:I112,9,FALSE)="Fire",Backdoors!BB22,IF(VLOOKUP(tbMoveset!A71,tbMoveset!A2:I112,9,FALSE)="Water",Backdoors!BC22,IF(VLOOKUP(tbMoveset!A71,tbMoveset!A2:I112,9,FALSE)="Thunder",Backdoors!BD22,IF(VLOOKUP(tbMoveset!A71,tbMoveset!A2:I112,9,FALSE)="Ice",Backdoors!BE22,IF(VLOOKUP(tbMoveset!A71,tbMoveset!A2:I112,9,FALSE)="Dragon",Backdoors!BF22,Backdoors!BG22)))))/100,Backdoors!BG22/100),"")</f>
        <v>0</v>
      </c>
      <c r="EG71" s="49">
        <f>IFERROR(IF(VLOOKUP(A71,tbMoveset!A2:J112,10,FALSE)=TRUE,IF((Backdoors!AI12+IF(EE71&gt;=0.45,VLOOKUP(Calculator!E23,tbSkills!DH3:DI6,2,FALSE)+IF(AND(Calculator!B8=TRUE,Backdoors!BI22=TRUE),VLOOKUP(Calculator!E23,tbSkills!DH3:DJ6,3,FALSE),0),0))&gt;=0,1+(Backdoors!AL2*(IF((Backdoors!AI12+IF(EE71&gt;=0.45,VLOOKUP(Calculator!E23,tbSkills!DH3:DI6,2,FALSE)+IF(AND(Calculator!B8=TRUE,Backdoors!BI22=TRUE),VLOOKUP(Calculator!E23,tbSkills!DH3:DJ6,3,FALSE),0),0))&gt;=100,100,(Backdoors!AI12+IF(EE71&gt;=0.45,VLOOKUP(Calculator!E23,tbSkills!DH3:DI6,2,FALSE)+IF(AND(Calculator!B8=TRUE,Backdoors!BI22=TRUE),VLOOKUP(Calculator!E23,tbSkills!DH3:DJ6,3,FALSE),0),0)))/100)),(1-(0.25*((-Backdoors!AI12-IF(EE71&gt;=0.45,VLOOKUP(Calculator!E23,tbSkills!DH3:DI6,2,FALSE)+IF(AND(Calculator!B8=TRUE,Backdoors!BI22=TRUE),VLOOKUP(Calculator!E23,tbSkills!DH3:DJ6,3,FALSE),0),0))/100)))),1),"")</f>
        <v>1</v>
      </c>
      <c r="EH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E71)*EG71)*(VLOOKUP(A71,tbMoveset!A2:C112,3,FALSE)/100)*IF(VLOOKUP(A71,tbMoveset!A2:B112,2,FALSE)="Projectile",Backdoors!N10,Backdoors!N9),0),"")</f>
        <v/>
      </c>
      <c r="EI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E71&gt;=0.45,VLOOKUP(Calculator!E23,tbSkills!DH3:DI6,2,FALSE)+IF(AND(Calculator!B8=TRUE,Backdoors!BI22=TRUE),VLOOKUP(Calculator!E23,tbSkills!DH3:DJ6,3,FALSE),0),0))&gt;=100,100,(Backdoors!AI12+IF(EE71&gt;=0.45,VLOOKUP(Calculator!E23,tbSkills!DH3:DI6,2,FALSE)+IF(AND(Calculator!B8=TRUE,Backdoors!BI22=TRUE),VLOOKUP(Calculator!E23,tbSkills!DH3:DJ6,3,FALSE),0),0)))/100)),1))*IF(VLOOKUP(A71,tbMoveset!A2:K112,11,FALSE)=TRUE,Backdoors!AC5,1))*EF71,0),"")</f>
        <v>0</v>
      </c>
      <c r="EJ71" s="49">
        <f>VLOOKUP(A71,tbMoveset!A2:G112,7,FALSE)*IFERROR(IF(Backdoors!AI12&gt;=0,1+(IF(Calculator!E40&gt;0,VLOOKUP(Calculator!E40,tbSkills!AI3:AJ5,2,FALSE),Backdoors!AL4)*(IF((Backdoors!AI12+IF(EE71&gt;=0.45,VLOOKUP(Calculator!E23,tbSkills!DH3:DI6,2,FALSE)+IF(AND(Calculator!B8=TRUE,Backdoors!BI22=TRUE),VLOOKUP(Calculator!E23,tbSkills!DH3:DJ6,3,FALSE),0),0))&gt;=100,100,(Backdoors!AI12+IF(EE71&gt;=0.45,VLOOKUP(Calculator!E23,tbSkills!DH3:DI6,2,FALSE)+IF(AND(Calculator!B8=TRUE,Backdoors!BI22=TRUE),VLOOKUP(Calculator!E23,tbSkills!DH3:DJ6,3,FALSE),0),0)))/100)),1),1)</f>
        <v>0.4</v>
      </c>
      <c r="EK71" s="87">
        <f t="shared" si="70"/>
        <v>0</v>
      </c>
      <c r="EL71" s="86" t="str">
        <f>IFERROR(IF(VLOOKUP(A71,tbMoveset!A2:B112,2,FALSE)="Sever",Backdoors!AY23/100,IF(VLOOKUP(A71,tbMoveset!A2:B112,2,FALSE)="Blunt",Backdoors!AZ23/100,Backdoors!BA23/100)),"")</f>
        <v/>
      </c>
      <c r="EM71" s="49">
        <f>IFERROR(IF(VLOOKUP(tbMoveset!A71,tbMoveset!A2:H112,8,FALSE)="Other",IF(VLOOKUP(tbMoveset!A71,tbMoveset!A2:I112,9,FALSE)="Fire",Backdoors!BB23,IF(VLOOKUP(tbMoveset!A71,tbMoveset!A2:I112,9,FALSE)="Water",Backdoors!BC23,IF(VLOOKUP(tbMoveset!A71,tbMoveset!A2:I112,9,FALSE)="Thunder",Backdoors!BD23,IF(VLOOKUP(tbMoveset!A71,tbMoveset!A2:I112,9,FALSE)="Ice",Backdoors!BE23,IF(VLOOKUP(tbMoveset!A71,tbMoveset!A2:I112,9,FALSE)="Dragon",Backdoors!BF23,Backdoors!BG23)))))/100,Backdoors!BG23/100),"")</f>
        <v>0</v>
      </c>
      <c r="EN71" s="49">
        <f>IFERROR(IF(VLOOKUP(A71,tbMoveset!A2:J112,10,FALSE)=TRUE,IF((Backdoors!AI12+IF(EL71&gt;=0.45,VLOOKUP(Calculator!E23,tbSkills!DH3:DI6,2,FALSE)+IF(AND(Calculator!B8=TRUE,Backdoors!BI23=TRUE),VLOOKUP(Calculator!E23,tbSkills!DH3:DJ6,3,FALSE),0),0))&gt;=0,1+(Backdoors!AL2*(IF((Backdoors!AI12+IF(EL71&gt;=0.45,VLOOKUP(Calculator!E23,tbSkills!DH3:DI6,2,FALSE)+IF(AND(Calculator!B8=TRUE,Backdoors!BI23=TRUE),VLOOKUP(Calculator!E23,tbSkills!DH3:DJ6,3,FALSE),0),0))&gt;=100,100,(Backdoors!AI12+IF(EL71&gt;=0.45,VLOOKUP(Calculator!E23,tbSkills!DH3:DI6,2,FALSE)+IF(AND(Calculator!B8=TRUE,Backdoors!BI23=TRUE),VLOOKUP(Calculator!E23,tbSkills!DH3:DJ6,3,FALSE),0),0)))/100)),(1-(0.25*((-Backdoors!AI12-IF(EL71&gt;=0.45,VLOOKUP(Calculator!E23,tbSkills!DH3:DI6,2,FALSE)+IF(AND(Calculator!B8=TRUE,Backdoors!BI23=TRUE),VLOOKUP(Calculator!E23,tbSkills!DH3:DJ6,3,FALSE),0),0))/100)))),1),"")</f>
        <v>1</v>
      </c>
      <c r="EO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L71)*EN71)*(VLOOKUP(A71,tbMoveset!A2:C112,3,FALSE)/100)*IF(VLOOKUP(A71,tbMoveset!A2:B112,2,FALSE)="Projectile",Backdoors!N10,Backdoors!N9),0),"")</f>
        <v/>
      </c>
      <c r="EP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L71&gt;=0.45,VLOOKUP(Calculator!E23,tbSkills!DH3:DI6,2,FALSE)+IF(AND(Calculator!B8=TRUE,Backdoors!BI23=TRUE),VLOOKUP(Calculator!E23,tbSkills!DH3:DJ6,3,FALSE),0),0))&gt;=100,100,(Backdoors!AI12+IF(EL71&gt;=0.45,VLOOKUP(Calculator!E23,tbSkills!DH3:DI6,2,FALSE)+IF(AND(Calculator!B8=TRUE,Backdoors!BI23=TRUE),VLOOKUP(Calculator!E23,tbSkills!DH3:DJ6,3,FALSE),0),0)))/100)),1))*IF(VLOOKUP(A71,tbMoveset!A2:K112,11,FALSE)=TRUE,Backdoors!AC5,1))*EM71,0),"")</f>
        <v>0</v>
      </c>
      <c r="EQ71" s="49">
        <f>VLOOKUP(A71,tbMoveset!A2:G112,7,FALSE)*IFERROR(IF(Backdoors!AI12&gt;=0,1+(IF(Calculator!E40&gt;0,VLOOKUP(Calculator!E40,tbSkills!AI3:AJ5,2,FALSE),Backdoors!AL4)*(IF((Backdoors!AI12+IF(EL71&gt;=0.45,VLOOKUP(Calculator!E23,tbSkills!DH3:DI6,2,FALSE)+IF(AND(Calculator!B8=TRUE,Backdoors!BI23=TRUE),VLOOKUP(Calculator!E23,tbSkills!DH3:DJ6,3,FALSE),0),0))&gt;=100,100,(Backdoors!AI12+IF(EL71&gt;=0.45,VLOOKUP(Calculator!E23,tbSkills!DH3:DI6,2,FALSE)+IF(AND(Calculator!B8=TRUE,Backdoors!BI23=TRUE),VLOOKUP(Calculator!E23,tbSkills!DH3:DJ6,3,FALSE),0),0)))/100)),1),1)</f>
        <v>0.4</v>
      </c>
      <c r="ER71" s="87">
        <f t="shared" si="71"/>
        <v>0</v>
      </c>
      <c r="ES71" s="86" t="str">
        <f>IFERROR(IF(VLOOKUP(A71,tbMoveset!A2:B112,2,FALSE)="Sever",Backdoors!AY24/100,IF(VLOOKUP(A71,tbMoveset!A2:B112,2,FALSE)="Blunt",Backdoors!AZ24/100,Backdoors!BA24/100)),"")</f>
        <v/>
      </c>
      <c r="ET71" s="49">
        <f>IFERROR(IF(VLOOKUP(tbMoveset!A71,tbMoveset!A2:H112,8,FALSE)="Other",IF(VLOOKUP(tbMoveset!A71,tbMoveset!A2:I112,9,FALSE)="Fire",Backdoors!BB24,IF(VLOOKUP(tbMoveset!A71,tbMoveset!A2:I112,9,FALSE)="Water",Backdoors!BC24,IF(VLOOKUP(tbMoveset!A71,tbMoveset!A2:I112,9,FALSE)="Thunder",Backdoors!BD24,IF(VLOOKUP(tbMoveset!A71,tbMoveset!A2:I112,9,FALSE)="Ice",Backdoors!BE24,IF(VLOOKUP(tbMoveset!A71,tbMoveset!A2:I112,9,FALSE)="Dragon",Backdoors!BF24,Backdoors!BG24)))))/100,Backdoors!BG24/100),"")</f>
        <v>0</v>
      </c>
      <c r="EU71" s="49">
        <f>IFERROR(IF(VLOOKUP(A71,tbMoveset!A2:J112,10,FALSE)=TRUE,IF((Backdoors!AI12+IF(ES71&gt;=0.45,VLOOKUP(Calculator!E23,tbSkills!DH3:DI6,2,FALSE)+IF(AND(Calculator!B8=TRUE,Backdoors!BI24=TRUE),VLOOKUP(Calculator!E23,tbSkills!DH3:DJ6,3,FALSE),0),0))&gt;=0,1+(Backdoors!AL2*(IF((Backdoors!AI12+IF(ES71&gt;=0.45,VLOOKUP(Calculator!E23,tbSkills!DH3:DI6,2,FALSE)+IF(AND(Calculator!B8=TRUE,Backdoors!BI24=TRUE),VLOOKUP(Calculator!E23,tbSkills!DH3:DJ6,3,FALSE),0),0))&gt;=100,100,(Backdoors!AI12+IF(ES71&gt;=0.45,VLOOKUP(Calculator!E23,tbSkills!DH3:DI6,2,FALSE)+IF(AND(Calculator!B8=TRUE,Backdoors!BI24=TRUE),VLOOKUP(Calculator!E23,tbSkills!DH3:DJ6,3,FALSE),0),0)))/100)),(1-(0.25*((-Backdoors!AI12-IF(ES71&gt;=0.45,VLOOKUP(Calculator!E23,tbSkills!DH3:DI6,2,FALSE)+IF(AND(Calculator!B8=TRUE,Backdoors!BI24=TRUE),VLOOKUP(Calculator!E23,tbSkills!DH3:DJ6,3,FALSE),0),0))/100)))),1),"")</f>
        <v>1</v>
      </c>
      <c r="EV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S71)*EU71)*(VLOOKUP(A71,tbMoveset!A2:C112,3,FALSE)/100)*IF(VLOOKUP(A71,tbMoveset!A2:B112,2,FALSE)="Projectile",Backdoors!N10,Backdoors!N9),0),"")</f>
        <v/>
      </c>
      <c r="EW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S71&gt;=0.45,VLOOKUP(Calculator!E23,tbSkills!DH3:DI6,2,FALSE)+IF(AND(Calculator!B8=TRUE,Backdoors!BI24=TRUE),VLOOKUP(Calculator!E23,tbSkills!DH3:DJ6,3,FALSE),0),0))&gt;=100,100,(Backdoors!AI12+IF(ES71&gt;=0.45,VLOOKUP(Calculator!E23,tbSkills!DH3:DI6,2,FALSE)+IF(AND(Calculator!B8=TRUE,Backdoors!BI24=TRUE),VLOOKUP(Calculator!E23,tbSkills!DH3:DJ6,3,FALSE),0),0)))/100)),1))*IF(VLOOKUP(A71,tbMoveset!A2:K112,11,FALSE)=TRUE,Backdoors!AC5,1))*ET71,0),"")</f>
        <v>0</v>
      </c>
      <c r="EX71" s="49">
        <f>VLOOKUP(A71,tbMoveset!A2:G112,7,FALSE)*IFERROR(IF(Backdoors!AI12&gt;=0,1+(IF(Calculator!E40&gt;0,VLOOKUP(Calculator!E40,tbSkills!AI3:AJ5,2,FALSE),Backdoors!AL4)*(IF((Backdoors!AI12+IF(ES71&gt;=0.45,VLOOKUP(Calculator!E23,tbSkills!DH3:DI6,2,FALSE)+IF(AND(Calculator!B8=TRUE,Backdoors!BI24=TRUE),VLOOKUP(Calculator!E23,tbSkills!DH3:DJ6,3,FALSE),0),0))&gt;=100,100,(Backdoors!AI12+IF(ES71&gt;=0.45,VLOOKUP(Calculator!E23,tbSkills!DH3:DI6,2,FALSE)+IF(AND(Calculator!B8=TRUE,Backdoors!BI24=TRUE),VLOOKUP(Calculator!E23,tbSkills!DH3:DJ6,3,FALSE),0),0)))/100)),1),1)</f>
        <v>0.4</v>
      </c>
      <c r="EY71" s="87">
        <f t="shared" si="72"/>
        <v>0</v>
      </c>
      <c r="EZ71" s="86" t="str">
        <f>IFERROR(IF(VLOOKUP(A71,tbMoveset!A2:B112,2,FALSE)="Sever",Backdoors!AY25/100,IF(VLOOKUP(A71,tbMoveset!A2:B112,2,FALSE)="Blunt",Backdoors!AZ25/100,Backdoors!BA25/100)),"")</f>
        <v/>
      </c>
      <c r="FA71" s="49">
        <f>IFERROR(IF(VLOOKUP(tbMoveset!A71,tbMoveset!A2:H112,8,FALSE)="Other",IF(VLOOKUP(tbMoveset!A71,tbMoveset!A2:I112,9,FALSE)="Fire",Backdoors!BB25,IF(VLOOKUP(tbMoveset!A71,tbMoveset!A2:I112,9,FALSE)="Water",Backdoors!BC25,IF(VLOOKUP(tbMoveset!A71,tbMoveset!A2:I112,9,FALSE)="Thunder",Backdoors!BD25,IF(VLOOKUP(tbMoveset!A71,tbMoveset!A2:I112,9,FALSE)="Ice",Backdoors!BE25,IF(VLOOKUP(tbMoveset!A71,tbMoveset!A2:I112,9,FALSE)="Dragon",Backdoors!BF25,Backdoors!BG25)))))/100,Backdoors!BG25/100),"")</f>
        <v>0</v>
      </c>
      <c r="FB71" s="49">
        <f>IFERROR(IF(VLOOKUP(A71,tbMoveset!A2:J112,10,FALSE)=TRUE,IF((Backdoors!AI12+IF(EZ71&gt;=0.45,VLOOKUP(Calculator!E23,tbSkills!DH3:DI6,2,FALSE)+IF(AND(Calculator!B8=TRUE,Backdoors!BI25=TRUE),VLOOKUP(Calculator!E23,tbSkills!DH3:DJ6,3,FALSE),0),0))&gt;=0,1+(Backdoors!AL2*(IF((Backdoors!AI12+IF(EZ71&gt;=0.45,VLOOKUP(Calculator!E23,tbSkills!DH3:DI6,2,FALSE)+IF(AND(Calculator!B8=TRUE,Backdoors!BI25=TRUE),VLOOKUP(Calculator!E23,tbSkills!DH3:DJ6,3,FALSE),0),0))&gt;=100,100,(Backdoors!AI12+IF(EZ71&gt;=0.45,VLOOKUP(Calculator!E23,tbSkills!DH3:DI6,2,FALSE)+IF(AND(Calculator!B8=TRUE,Backdoors!BI25=TRUE),VLOOKUP(Calculator!E23,tbSkills!DH3:DJ6,3,FALSE),0),0)))/100)),(1-(0.25*((-Backdoors!AI12-IF(EZ71&gt;=0.45,VLOOKUP(Calculator!E23,tbSkills!DH3:DI6,2,FALSE)+IF(AND(Calculator!B8=TRUE,Backdoors!BI25=TRUE),VLOOKUP(Calculator!E23,tbSkills!DH3:DJ6,3,FALSE),0),0))/100)))),1),"")</f>
        <v>1</v>
      </c>
      <c r="FC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Z71)*FB71)*(VLOOKUP(A71,tbMoveset!A2:C112,3,FALSE)/100)*IF(VLOOKUP(A71,tbMoveset!A2:B112,2,FALSE)="Projectile",Backdoors!N10,Backdoors!N9),0),"")</f>
        <v/>
      </c>
      <c r="FD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Z71&gt;=0.45,VLOOKUP(Calculator!E23,tbSkills!DH3:DI6,2,FALSE)+IF(AND(Calculator!B8=TRUE,Backdoors!BI25=TRUE),VLOOKUP(Calculator!E23,tbSkills!DH3:DJ6,3,FALSE),0),0))&gt;=100,100,(Backdoors!AI12+IF(EZ71&gt;=0.45,VLOOKUP(Calculator!E23,tbSkills!DH3:DI6,2,FALSE)+IF(AND(Calculator!B8=TRUE,Backdoors!BI25=TRUE),VLOOKUP(Calculator!E23,tbSkills!DH3:DJ6,3,FALSE),0),0)))/100)),1))*IF(VLOOKUP(A71,tbMoveset!A2:K112,11,FALSE)=TRUE,Backdoors!AC5,1))*FA71,0),"")</f>
        <v>0</v>
      </c>
      <c r="FE71" s="49">
        <f>VLOOKUP(A71,tbMoveset!A2:G112,7,FALSE)*IFERROR(IF(Backdoors!AI12&gt;=0,1+(IF(Calculator!E40&gt;0,VLOOKUP(Calculator!E40,tbSkills!AI3:AJ5,2,FALSE),Backdoors!AL4)*(IF((Backdoors!AI12+IF(EZ71&gt;=0.45,VLOOKUP(Calculator!E23,tbSkills!DH3:DI6,2,FALSE)+IF(AND(Calculator!B8=TRUE,Backdoors!BI25=TRUE),VLOOKUP(Calculator!E23,tbSkills!DH3:DJ6,3,FALSE),0),0))&gt;=100,100,(Backdoors!AI12+IF(EZ71&gt;=0.45,VLOOKUP(Calculator!E23,tbSkills!DH3:DI6,2,FALSE)+IF(AND(Calculator!B8=TRUE,Backdoors!BI25=TRUE),VLOOKUP(Calculator!E23,tbSkills!DH3:DJ6,3,FALSE),0),0)))/100)),1),1)</f>
        <v>0.4</v>
      </c>
      <c r="FF71" s="87">
        <f t="shared" si="73"/>
        <v>0</v>
      </c>
      <c r="FG71" s="86" t="str">
        <f>IFERROR(IF(VLOOKUP(A71,tbMoveset!A2:B112,2,FALSE)="Sever",Backdoors!AY26/100,IF(VLOOKUP(A71,tbMoveset!A2:B112,2,FALSE)="Blunt",Backdoors!AZ26/100,Backdoors!BA26/100)),"")</f>
        <v/>
      </c>
      <c r="FH71" s="49">
        <f>IFERROR(IF(VLOOKUP(tbMoveset!A71,tbMoveset!A2:H112,8,FALSE)="Other",IF(VLOOKUP(tbMoveset!A71,tbMoveset!A2:I112,9,FALSE)="Fire",Backdoors!BB26,IF(VLOOKUP(tbMoveset!A71,tbMoveset!A2:I112,9,FALSE)="Water",Backdoors!BC26,IF(VLOOKUP(tbMoveset!A71,tbMoveset!A2:I112,9,FALSE)="Thunder",Backdoors!BD26,IF(VLOOKUP(tbMoveset!A71,tbMoveset!A2:I112,9,FALSE)="Ice",Backdoors!BE26,IF(VLOOKUP(tbMoveset!A71,tbMoveset!A2:I112,9,FALSE)="Dragon",Backdoors!BF26,Backdoors!BG26)))))/100,Backdoors!BG26/100),"")</f>
        <v>0</v>
      </c>
      <c r="FI71" s="49">
        <f>IFERROR(IF(VLOOKUP(A71,tbMoveset!A2:J112,10,FALSE)=TRUE,IF((Backdoors!AI12+IF(FG71&gt;=0.45,VLOOKUP(Calculator!E23,tbSkills!DH3:DI6,2,FALSE)+IF(AND(Calculator!B8=TRUE,Backdoors!BI26=TRUE),VLOOKUP(Calculator!E23,tbSkills!DH3:DJ6,3,FALSE),0),0))&gt;=0,1+(Backdoors!AL2*(IF((Backdoors!AI12+IF(FG71&gt;=0.45,VLOOKUP(Calculator!E23,tbSkills!DH3:DI6,2,FALSE)+IF(AND(Calculator!B8=TRUE,Backdoors!BI26=TRUE),VLOOKUP(Calculator!E23,tbSkills!DH3:DJ6,3,FALSE),0),0))&gt;=100,100,(Backdoors!AI12+IF(FG71&gt;=0.45,VLOOKUP(Calculator!E23,tbSkills!DH3:DI6,2,FALSE)+IF(AND(Calculator!B8=TRUE,Backdoors!BI26=TRUE),VLOOKUP(Calculator!E23,tbSkills!DH3:DJ6,3,FALSE),0),0)))/100)),(1-(0.25*((-Backdoors!AI12-IF(FG71&gt;=0.45,VLOOKUP(Calculator!E23,tbSkills!DH3:DI6,2,FALSE)+IF(AND(Calculator!B8=TRUE,Backdoors!BI26=TRUE),VLOOKUP(Calculator!E23,tbSkills!DH3:DJ6,3,FALSE),0),0))/100)))),1),"")</f>
        <v>1</v>
      </c>
      <c r="FJ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FG71)*FI71)*(VLOOKUP(A71,tbMoveset!A2:C112,3,FALSE)/100)*IF(VLOOKUP(A71,tbMoveset!A2:B112,2,FALSE)="Projectile",Backdoors!N10,Backdoors!N9),0),"")</f>
        <v/>
      </c>
      <c r="FK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FG71&gt;=0.45,VLOOKUP(Calculator!E23,tbSkills!DH3:DI6,2,FALSE)+IF(AND(Calculator!B8=TRUE,Backdoors!BI26=TRUE),VLOOKUP(Calculator!E23,tbSkills!DH3:DJ6,3,FALSE),0),0))&gt;=100,100,(Backdoors!AI12+IF(FG71&gt;=0.45,VLOOKUP(Calculator!E23,tbSkills!DH3:DI6,2,FALSE)+IF(AND(Calculator!B8=TRUE,Backdoors!BI26=TRUE),VLOOKUP(Calculator!E23,tbSkills!DH3:DJ6,3,FALSE),0),0)))/100)),1))*IF(VLOOKUP(A71,tbMoveset!A2:K112,11,FALSE)=TRUE,Backdoors!AC5,1))*FH71,0),"")</f>
        <v>0</v>
      </c>
      <c r="FL71" s="49">
        <f>VLOOKUP(A71,tbMoveset!A2:G112,7,FALSE)*IFERROR(IF(Backdoors!AI12&gt;=0,1+(IF(Calculator!E40&gt;0,VLOOKUP(Calculator!E40,tbSkills!AI3:AJ5,2,FALSE),Backdoors!AL4)*(IF((Backdoors!AI12+IF(FG71&gt;=0.45,VLOOKUP(Calculator!E23,tbSkills!DH3:DI6,2,FALSE)+IF(AND(Calculator!B8=TRUE,Backdoors!BI26=TRUE),VLOOKUP(Calculator!E23,tbSkills!DH3:DJ6,3,FALSE),0),0))&gt;=100,100,(Backdoors!AI12+IF(FG71&gt;=0.45,VLOOKUP(Calculator!E23,tbSkills!DH3:DI6,2,FALSE)+IF(AND(Calculator!B8=TRUE,Backdoors!BI26=TRUE),VLOOKUP(Calculator!E23,tbSkills!DH3:DJ6,3,FALSE),0),0)))/100)),1),1)</f>
        <v>0.4</v>
      </c>
      <c r="FM71" s="87">
        <f t="shared" si="74"/>
        <v>0</v>
      </c>
      <c r="FN71" s="86" t="str">
        <f>IFERROR(IF(VLOOKUP(A71,tbMoveset!A2:B112,2,FALSE)="Sever",Backdoors!AY27/100,IF(VLOOKUP(A71,tbMoveset!A2:B112,2,FALSE)="Blunt",Backdoors!AZ27/100,Backdoors!BA27/100)),"")</f>
        <v/>
      </c>
      <c r="FO71" s="49">
        <f>IFERROR(IF(VLOOKUP(tbMoveset!A71,tbMoveset!A2:H112,8,FALSE)="Other",IF(VLOOKUP(tbMoveset!A71,tbMoveset!A2:I112,9,FALSE)="Fire",Backdoors!BB27,IF(VLOOKUP(tbMoveset!A71,tbMoveset!A2:I112,9,FALSE)="Water",Backdoors!BC27,IF(VLOOKUP(tbMoveset!A71,tbMoveset!A2:I112,9,FALSE)="Thunder",Backdoors!BD27,IF(VLOOKUP(tbMoveset!A71,tbMoveset!A2:I112,9,FALSE)="Ice",Backdoors!BE27,IF(VLOOKUP(tbMoveset!A71,tbMoveset!A2:I112,9,FALSE)="Dragon",Backdoors!BF27,Backdoors!BG27)))))/100,Backdoors!BG27/100),"")</f>
        <v>0</v>
      </c>
      <c r="FP71" s="49">
        <f>IFERROR(IF(VLOOKUP(A71,tbMoveset!A2:J112,10,FALSE)=TRUE,IF((Backdoors!AI12+IF(FN71&gt;=0.45,VLOOKUP(Calculator!E23,tbSkills!DH3:DI6,2,FALSE)+IF(AND(Calculator!B8=TRUE,Backdoors!BI27=TRUE),VLOOKUP(Calculator!E23,tbSkills!DH3:DJ6,3,FALSE),0),0))&gt;=0,1+(Backdoors!AL2*(IF((Backdoors!AI12+IF(FN71&gt;=0.45,VLOOKUP(Calculator!E23,tbSkills!DH3:DI6,2,FALSE)+IF(AND(Calculator!B8=TRUE,Backdoors!BI27=TRUE),VLOOKUP(Calculator!E23,tbSkills!DH3:DJ6,3,FALSE),0),0))&gt;=100,100,(Backdoors!AI12+IF(FN71&gt;=0.45,VLOOKUP(Calculator!E23,tbSkills!DH3:DI6,2,FALSE)+IF(AND(Calculator!B8=TRUE,Backdoors!BI27=TRUE),VLOOKUP(Calculator!E23,tbSkills!DH3:DJ6,3,FALSE),0),0)))/100)),(1-(0.25*((-Backdoors!AI12-IF(FN71&gt;=0.45,VLOOKUP(Calculator!E23,tbSkills!DH3:DI6,2,FALSE)+IF(AND(Calculator!B8=TRUE,Backdoors!BI27=TRUE),VLOOKUP(Calculator!E23,tbSkills!DH3:DJ6,3,FALSE),0),0))/100)))),1),"")</f>
        <v>1</v>
      </c>
      <c r="FQ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FN71)*FP71)*(VLOOKUP(A71,tbMoveset!A2:C112,3,FALSE)/100)*IF(VLOOKUP(A71,tbMoveset!A2:B112,2,FALSE)="Projectile",Backdoors!N10,Backdoors!N9),0),"")</f>
        <v/>
      </c>
      <c r="FR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FN71&gt;=0.45,VLOOKUP(Calculator!E23,tbSkills!DH3:DI6,2,FALSE)+IF(AND(Calculator!B8=TRUE,Backdoors!BI27=TRUE),VLOOKUP(Calculator!E23,tbSkills!DH3:DJ6,3,FALSE),0),0))&gt;=100,100,(Backdoors!AI12+IF(FN71&gt;=0.45,VLOOKUP(Calculator!E23,tbSkills!DH3:DI6,2,FALSE)+IF(AND(Calculator!B8=TRUE,Backdoors!BI27=TRUE),VLOOKUP(Calculator!E23,tbSkills!DH3:DJ6,3,FALSE),0),0)))/100)),1))*IF(VLOOKUP(A71,tbMoveset!A2:K112,11,FALSE)=TRUE,Backdoors!AC5,1))*FO71,0),"")</f>
        <v>0</v>
      </c>
      <c r="FS71" s="49">
        <f>VLOOKUP(A71,tbMoveset!A2:G112,7,FALSE)*IFERROR(IF(Backdoors!AI12&gt;=0,1+(IF(Calculator!E40&gt;0,VLOOKUP(Calculator!E40,tbSkills!AI3:AJ5,2,FALSE),Backdoors!AL4)*(IF((Backdoors!AI12+IF(FN71&gt;=0.45,VLOOKUP(Calculator!E23,tbSkills!DH3:DI6,2,FALSE)+IF(AND(Calculator!B8=TRUE,Backdoors!BI27=TRUE),VLOOKUP(Calculator!E23,tbSkills!DH3:DJ6,3,FALSE),0),0))&gt;=100,100,(Backdoors!AI12+IF(FN71&gt;=0.45,VLOOKUP(Calculator!E23,tbSkills!DH3:DI6,2,FALSE)+IF(AND(Calculator!B8=TRUE,Backdoors!BI27=TRUE),VLOOKUP(Calculator!E23,tbSkills!DH3:DJ6,3,FALSE),0),0)))/100)),1),1)</f>
        <v>0.4</v>
      </c>
      <c r="FT71" s="87">
        <f t="shared" si="75"/>
        <v>0</v>
      </c>
      <c r="FU71" s="86" t="str">
        <f>IFERROR(IF(VLOOKUP(A71,tbMoveset!A2:B112,2,FALSE)="Sever",Backdoors!AY28/100,IF(VLOOKUP(A71,tbMoveset!A2:B112,2,FALSE)="Blunt",Backdoors!AZ28/100,Backdoors!BA28/100)),"")</f>
        <v/>
      </c>
      <c r="FV71" s="49">
        <f>IFERROR(IF(VLOOKUP(tbMoveset!A71,tbMoveset!A2:H112,8,FALSE)="Other",IF(VLOOKUP(tbMoveset!A71,tbMoveset!A2:I112,9,FALSE)="Fire",Backdoors!BB28,IF(VLOOKUP(tbMoveset!A71,tbMoveset!A2:I112,9,FALSE)="Water",Backdoors!BC28,IF(VLOOKUP(tbMoveset!A71,tbMoveset!A2:I112,9,FALSE)="Thunder",Backdoors!BD28,IF(VLOOKUP(tbMoveset!A71,tbMoveset!A2:I112,9,FALSE)="Ice",Backdoors!BE28,IF(VLOOKUP(tbMoveset!A71,tbMoveset!A2:I112,9,FALSE)="Dragon",Backdoors!BF28,Backdoors!BG28)))))/100,Backdoors!BG28/100),"")</f>
        <v>0</v>
      </c>
      <c r="FW71" s="49">
        <f>IFERROR(IF(VLOOKUP(A71,tbMoveset!A2:J112,10,FALSE)=TRUE,IF((Backdoors!AI12+IF(FU71&gt;=0.45,VLOOKUP(Calculator!E23,tbSkills!DH3:DI6,2,FALSE)+IF(AND(Calculator!B8=TRUE,Backdoors!BI28=TRUE),VLOOKUP(Calculator!E23,tbSkills!DH3:DJ6,3,FALSE),0),0))&gt;=0,1+(Backdoors!AL2*(IF((Backdoors!AI12+IF(FU71&gt;=0.45,VLOOKUP(Calculator!E23,tbSkills!DH3:DI6,2,FALSE)+IF(AND(Calculator!B8=TRUE,Backdoors!BI28=TRUE),VLOOKUP(Calculator!E23,tbSkills!DH3:DJ6,3,FALSE),0),0))&gt;=100,100,(Backdoors!AI12+IF(FU71&gt;=0.45,VLOOKUP(Calculator!E23,tbSkills!DH3:DI6,2,FALSE)+IF(AND(Calculator!B8=TRUE,Backdoors!BI28=TRUE),VLOOKUP(Calculator!E23,tbSkills!DH3:DJ6,3,FALSE),0),0)))/100)),(1-(0.25*((-Backdoors!AI12-IF(FU71&gt;=0.45,VLOOKUP(Calculator!E23,tbSkills!DH3:DI6,2,FALSE)+IF(AND(Calculator!B8=TRUE,Backdoors!BI28=TRUE),VLOOKUP(Calculator!E23,tbSkills!DH3:DJ6,3,FALSE),0),0))/100)))),1),"")</f>
        <v>1</v>
      </c>
      <c r="FX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FU71)*FW71)*(VLOOKUP(A71,tbMoveset!A2:C112,3,FALSE)/100)*IF(VLOOKUP(A71,tbMoveset!A2:B112,2,FALSE)="Projectile",Backdoors!N10,Backdoors!N9),0),"")</f>
        <v/>
      </c>
      <c r="FY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FU71&gt;=0.45,VLOOKUP(Calculator!E23,tbSkills!DH3:DI6,2,FALSE)+IF(AND(Calculator!B8=TRUE,Backdoors!BI28=TRUE),VLOOKUP(Calculator!E23,tbSkills!DH3:DJ6,3,FALSE),0),0))&gt;=100,100,(Backdoors!AI12+IF(FU71&gt;=0.45,VLOOKUP(Calculator!E23,tbSkills!DH3:DI6,2,FALSE)+IF(AND(Calculator!B8=TRUE,Backdoors!BI28=TRUE),VLOOKUP(Calculator!E23,tbSkills!DH3:DJ6,3,FALSE),0),0)))/100)),1))*IF(VLOOKUP(A71,tbMoveset!A2:K112,11,FALSE)=TRUE,Backdoors!AC5,1))*FV71,0),"")</f>
        <v>0</v>
      </c>
      <c r="FZ71" s="49">
        <f>VLOOKUP(A71,tbMoveset!A2:G112,7,FALSE)*IFERROR(IF(Backdoors!AI12&gt;=0,1+(IF(Calculator!E40&gt;0,VLOOKUP(Calculator!E40,tbSkills!AI3:AJ5,2,FALSE),Backdoors!AL4)*(IF((Backdoors!AI12+IF(FU71&gt;=0.45,VLOOKUP(Calculator!E23,tbSkills!DH3:DI6,2,FALSE)+IF(AND(Calculator!B8=TRUE,Backdoors!BI28=TRUE),VLOOKUP(Calculator!E23,tbSkills!DH3:DJ6,3,FALSE),0),0))&gt;=100,100,(Backdoors!AI12+IF(FU71&gt;=0.45,VLOOKUP(Calculator!E23,tbSkills!DH3:DI6,2,FALSE)+IF(AND(Calculator!B8=TRUE,Backdoors!BI28=TRUE),VLOOKUP(Calculator!E23,tbSkills!DH3:DJ6,3,FALSE),0),0)))/100)),1),1)</f>
        <v>0.4</v>
      </c>
      <c r="GA71" s="87">
        <f t="shared" si="76"/>
        <v>0</v>
      </c>
      <c r="GB71" s="86" t="str">
        <f>IFERROR(IF(VLOOKUP(A71,tbMoveset!A2:B112,2,FALSE)="Sever",Backdoors!AY29/100,IF(VLOOKUP(A71,tbMoveset!A2:B112,2,FALSE)="Blunt",Backdoors!AZ29/100,Backdoors!BA29/100)),"")</f>
        <v/>
      </c>
      <c r="GC71" s="49">
        <f>IFERROR(IF(VLOOKUP(tbMoveset!A71,tbMoveset!A2:H112,8,FALSE)="Other",IF(VLOOKUP(tbMoveset!A71,tbMoveset!A2:I112,9,FALSE)="Fire",Backdoors!BB29,IF(VLOOKUP(tbMoveset!A71,tbMoveset!A2:I112,9,FALSE)="Water",Backdoors!BC29,IF(VLOOKUP(tbMoveset!A71,tbMoveset!A2:I112,9,FALSE)="Thunder",Backdoors!BD29,IF(VLOOKUP(tbMoveset!A71,tbMoveset!A2:I112,9,FALSE)="Ice",Backdoors!BE29,IF(VLOOKUP(tbMoveset!A71,tbMoveset!A2:I112,9,FALSE)="Dragon",Backdoors!BF29,Backdoors!BG29)))))/100,Backdoors!BG29/100),"")</f>
        <v>0</v>
      </c>
      <c r="GD71" s="49">
        <f>IFERROR(IF(VLOOKUP(A71,tbMoveset!A2:J112,10,FALSE)=TRUE,IF((Backdoors!AI12+IF(GB71&gt;=0.45,VLOOKUP(Calculator!E23,tbSkills!DH3:DI6,2,FALSE)+IF(AND(Calculator!B8=TRUE,Backdoors!BI29=TRUE),VLOOKUP(Calculator!E23,tbSkills!DH3:DJ6,3,FALSE),0),0))&gt;=0,1+(Backdoors!AL2*(IF((Backdoors!AI12+IF(GB71&gt;=0.45,VLOOKUP(Calculator!E23,tbSkills!DH3:DI6,2,FALSE)+IF(AND(Calculator!B8=TRUE,Backdoors!BI29=TRUE),VLOOKUP(Calculator!E23,tbSkills!DH3:DJ6,3,FALSE),0),0))&gt;=100,100,(Backdoors!AI12+IF(GB71&gt;=0.45,VLOOKUP(Calculator!E23,tbSkills!DH3:DI6,2,FALSE)+IF(AND(Calculator!B8=TRUE,Backdoors!BI29=TRUE),VLOOKUP(Calculator!E23,tbSkills!DH3:DJ6,3,FALSE),0),0)))/100)),(1-(0.25*((-Backdoors!AI12-IF(GB71&gt;=0.45,VLOOKUP(Calculator!E23,tbSkills!DH3:DI6,2,FALSE)+IF(AND(Calculator!B8=TRUE,Backdoors!BI29=TRUE),VLOOKUP(Calculator!E23,tbSkills!DH3:DJ6,3,FALSE),0),0))/100)))),1),"")</f>
        <v>1</v>
      </c>
      <c r="GE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B71)*GD71)*(VLOOKUP(A71,tbMoveset!A2:C112,3,FALSE)/100)*IF(VLOOKUP(A71,tbMoveset!A2:B112,2,FALSE)="Projectile",Backdoors!N10,Backdoors!N9),0),"")</f>
        <v/>
      </c>
      <c r="GF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B71&gt;=0.45,VLOOKUP(Calculator!E23,tbSkills!DH3:DI6,2,FALSE)+IF(AND(Calculator!B8=TRUE,Backdoors!BI29=TRUE),VLOOKUP(Calculator!E23,tbSkills!DH3:DJ6,3,FALSE),0),0))&gt;=100,100,(Backdoors!AI12+IF(GB71&gt;=0.45,VLOOKUP(Calculator!E23,tbSkills!DH3:DI6,2,FALSE)+IF(AND(Calculator!B8=TRUE,Backdoors!BI29=TRUE),VLOOKUP(Calculator!E23,tbSkills!DH3:DJ6,3,FALSE),0),0)))/100)),1))*IF(VLOOKUP(A71,tbMoveset!A2:K112,11,FALSE)=TRUE,Backdoors!AC5,1))*GC71,0),"")</f>
        <v>0</v>
      </c>
      <c r="GG71" s="49">
        <f>VLOOKUP(A71,tbMoveset!A2:G112,7,FALSE)*IFERROR(IF(Backdoors!AI12&gt;=0,1+(IF(Calculator!E40&gt;0,VLOOKUP(Calculator!E40,tbSkills!AI3:AJ5,2,FALSE),Backdoors!AL4)*(IF((Backdoors!AI12+IF(GB71&gt;=0.45,VLOOKUP(Calculator!E23,tbSkills!DH3:DI6,2,FALSE)+IF(AND(Calculator!B8=TRUE,Backdoors!BI29=TRUE),VLOOKUP(Calculator!E23,tbSkills!DH3:DJ6,3,FALSE),0),0))&gt;=100,100,(Backdoors!AI12+IF(GB71&gt;=0.45,VLOOKUP(Calculator!E23,tbSkills!DH3:DI6,2,FALSE)+IF(AND(Calculator!B8=TRUE,Backdoors!BI29=TRUE),VLOOKUP(Calculator!E23,tbSkills!DH3:DJ6,3,FALSE),0),0)))/100)),1),1)</f>
        <v>0.4</v>
      </c>
      <c r="GH71" s="87">
        <f t="shared" si="77"/>
        <v>0</v>
      </c>
      <c r="GI71" s="86" t="str">
        <f>IFERROR(IF(VLOOKUP(A71,tbMoveset!A2:B112,2,FALSE)="Sever",Backdoors!AY30/100,IF(VLOOKUP(A71,tbMoveset!A2:B112,2,FALSE)="Blunt",Backdoors!AZ30/100,Backdoors!BA30/100)),"")</f>
        <v/>
      </c>
      <c r="GJ71" s="49">
        <f>IFERROR(IF(VLOOKUP(tbMoveset!A71,tbMoveset!A2:H112,8,FALSE)="Other",IF(VLOOKUP(tbMoveset!A71,tbMoveset!A2:I112,9,FALSE)="Fire",Backdoors!BB30,IF(VLOOKUP(tbMoveset!A71,tbMoveset!A2:I112,9,FALSE)="Water",Backdoors!BC30,IF(VLOOKUP(tbMoveset!A71,tbMoveset!A2:I112,9,FALSE)="Thunder",Backdoors!BD30,IF(VLOOKUP(tbMoveset!A71,tbMoveset!A2:I112,9,FALSE)="Ice",Backdoors!BE30,IF(VLOOKUP(tbMoveset!A71,tbMoveset!A2:I112,9,FALSE)="Dragon",Backdoors!BF30,Backdoors!BG30)))))/100,Backdoors!BG30/100),"")</f>
        <v>0</v>
      </c>
      <c r="GK71" s="49">
        <f>IFERROR(IF(VLOOKUP(A71,tbMoveset!A2:J112,10,FALSE)=TRUE,IF((Backdoors!AI12+IF(GI71&gt;=0.45,VLOOKUP(Calculator!E23,tbSkills!DH3:DI6,2,FALSE)+IF(AND(Calculator!B8=TRUE,Backdoors!BI30=TRUE),VLOOKUP(Calculator!E23,tbSkills!DH3:DJ6,3,FALSE),0),0))&gt;=0,1+(Backdoors!AL2*(IF((Backdoors!AI12+IF(GI71&gt;=0.45,VLOOKUP(Calculator!E23,tbSkills!DH3:DI6,2,FALSE)+IF(AND(Calculator!B8=TRUE,Backdoors!BI30=TRUE),VLOOKUP(Calculator!E23,tbSkills!DH3:DJ6,3,FALSE),0),0))&gt;=100,100,(Backdoors!AI12+IF(GI71&gt;=0.45,VLOOKUP(Calculator!E23,tbSkills!DH3:DI6,2,FALSE)+IF(AND(Calculator!B8=TRUE,Backdoors!BI30=TRUE),VLOOKUP(Calculator!E23,tbSkills!DH3:DJ6,3,FALSE),0),0)))/100)),(1-(0.25*((-Backdoors!AI12-IF(GI71&gt;=0.45,VLOOKUP(Calculator!E23,tbSkills!DH3:DI6,2,FALSE)+IF(AND(Calculator!B8=TRUE,Backdoors!BI30=TRUE),VLOOKUP(Calculator!E23,tbSkills!DH3:DJ6,3,FALSE),0),0))/100)))),1),"")</f>
        <v>1</v>
      </c>
      <c r="GL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I71)*GK71)*(VLOOKUP(A71,tbMoveset!A2:C112,3,FALSE)/100)*IF(VLOOKUP(A71,tbMoveset!A2:B112,2,FALSE)="Projectile",Backdoors!N10,Backdoors!N9),0),"")</f>
        <v/>
      </c>
      <c r="GM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I71&gt;=0.45,VLOOKUP(Calculator!E23,tbSkills!DH3:DI6,2,FALSE)+IF(AND(Calculator!B8=TRUE,Backdoors!BI30=TRUE),VLOOKUP(Calculator!E23,tbSkills!DH3:DJ6,3,FALSE),0),0))&gt;=100,100,(Backdoors!AI12+IF(GI71&gt;=0.45,VLOOKUP(Calculator!E23,tbSkills!DH3:DI6,2,FALSE)+IF(AND(Calculator!B8=TRUE,Backdoors!BI30=TRUE),VLOOKUP(Calculator!E23,tbSkills!DH3:DJ6,3,FALSE),0),0)))/100)),1))*IF(VLOOKUP(A71,tbMoveset!A2:K112,11,FALSE)=TRUE,Backdoors!AC5,1))*GJ71,0),"")</f>
        <v>0</v>
      </c>
      <c r="GN71" s="49">
        <f>VLOOKUP(A71,tbMoveset!A2:G112,7,FALSE)*IFERROR(IF(Backdoors!AI12&gt;=0,1+(IF(Calculator!E40&gt;0,VLOOKUP(Calculator!E40,tbSkills!AI3:AJ5,2,FALSE),Backdoors!AL4)*(IF((Backdoors!AI12+IF(GI71&gt;=0.45,VLOOKUP(Calculator!E23,tbSkills!DH3:DI6,2,FALSE)+IF(AND(Calculator!B8=TRUE,Backdoors!BI30=TRUE),VLOOKUP(Calculator!E23,tbSkills!DH3:DJ6,3,FALSE),0),0))&gt;=100,100,(Backdoors!AI12+IF(GI71&gt;=0.45,VLOOKUP(Calculator!E23,tbSkills!DH3:DI6,2,FALSE)+IF(AND(Calculator!B8=TRUE,Backdoors!BI30=TRUE),VLOOKUP(Calculator!E23,tbSkills!DH3:DJ6,3,FALSE),0),0)))/100)),1),1)</f>
        <v>0.4</v>
      </c>
      <c r="GO71" s="87">
        <f t="shared" si="78"/>
        <v>0</v>
      </c>
      <c r="GP71" s="86" t="str">
        <f>IFERROR(IF(VLOOKUP(A71,tbMoveset!A2:B112,2,FALSE)="Sever",Backdoors!AY31/100,IF(VLOOKUP(A71,tbMoveset!A2:B112,2,FALSE)="Blunt",Backdoors!AZ31/100,Backdoors!BA31/100)),"")</f>
        <v/>
      </c>
      <c r="GQ71" s="49">
        <f>IFERROR(IF(VLOOKUP(tbMoveset!A71,tbMoveset!A2:H112,8,FALSE)="Other",IF(VLOOKUP(tbMoveset!A71,tbMoveset!A2:I112,9,FALSE)="Fire",Backdoors!BB31,IF(VLOOKUP(tbMoveset!A71,tbMoveset!A2:I112,9,FALSE)="Water",Backdoors!BC31,IF(VLOOKUP(tbMoveset!A71,tbMoveset!A2:I112,9,FALSE)="Thunder",Backdoors!BD31,IF(VLOOKUP(tbMoveset!A71,tbMoveset!A2:I112,9,FALSE)="Ice",Backdoors!BE31,IF(VLOOKUP(tbMoveset!A71,tbMoveset!A2:I112,9,FALSE)="Dragon",Backdoors!BF31,Backdoors!BG31)))))/100,Backdoors!BG31/100),"")</f>
        <v>0</v>
      </c>
      <c r="GR71" s="49">
        <f>IFERROR(IF(VLOOKUP(A71,tbMoveset!A2:J112,10,FALSE)=TRUE,IF((Backdoors!AI12+IF(GP71&gt;=0.45,VLOOKUP(Calculator!E23,tbSkills!DH3:DI6,2,FALSE)+IF(AND(Calculator!B8=TRUE,Backdoors!BI31=TRUE),VLOOKUP(Calculator!E23,tbSkills!DH3:DJ6,3,FALSE),0),0))&gt;=0,1+(Backdoors!AL2*(IF((Backdoors!AI12+IF(GP71&gt;=0.45,VLOOKUP(Calculator!E23,tbSkills!DH3:DI6,2,FALSE)+IF(AND(Calculator!B8=TRUE,Backdoors!BI31=TRUE),VLOOKUP(Calculator!E23,tbSkills!DH3:DJ6,3,FALSE),0),0))&gt;=100,100,(Backdoors!AI12+IF(GP71&gt;=0.45,VLOOKUP(Calculator!E23,tbSkills!DH3:DI6,2,FALSE)+IF(AND(Calculator!B8=TRUE,Backdoors!BI31=TRUE),VLOOKUP(Calculator!E23,tbSkills!DH3:DJ6,3,FALSE),0),0)))/100)),(1-(0.25*((-Backdoors!AI12-IF(GP71&gt;=0.45,VLOOKUP(Calculator!E23,tbSkills!DH3:DI6,2,FALSE)+IF(AND(Calculator!B8=TRUE,Backdoors!BI31=TRUE),VLOOKUP(Calculator!E23,tbSkills!DH3:DJ6,3,FALSE),0),0))/100)))),1),"")</f>
        <v>1</v>
      </c>
      <c r="GS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P71)*GR71)*(VLOOKUP(A71,tbMoveset!A2:C112,3,FALSE)/100)*IF(VLOOKUP(A71,tbMoveset!A2:B112,2,FALSE)="Projectile",Backdoors!N10,Backdoors!N9),0),"")</f>
        <v/>
      </c>
      <c r="GT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P71&gt;=0.45,VLOOKUP(Calculator!E23,tbSkills!DH3:DI6,2,FALSE)+IF(AND(Calculator!B8=TRUE,Backdoors!BI31=TRUE),VLOOKUP(Calculator!E23,tbSkills!DH3:DJ6,3,FALSE),0),0))&gt;=100,100,(Backdoors!AI12+IF(GP71&gt;=0.45,VLOOKUP(Calculator!E23,tbSkills!DH3:DI6,2,FALSE)+IF(AND(Calculator!B8=TRUE,Backdoors!BI31=TRUE),VLOOKUP(Calculator!E23,tbSkills!DH3:DJ6,3,FALSE),0),0)))/100)),1))*IF(VLOOKUP(A71,tbMoveset!A2:K112,11,FALSE)=TRUE,Backdoors!AC5,1))*GQ71,0),"")</f>
        <v>0</v>
      </c>
      <c r="GU71" s="49">
        <f>VLOOKUP(A71,tbMoveset!A2:G112,7,FALSE)*IFERROR(IF(Backdoors!AI12&gt;=0,1+(IF(Calculator!E40&gt;0,VLOOKUP(Calculator!E40,tbSkills!AI3:AJ5,2,FALSE),Backdoors!AL4)*(IF((Backdoors!AI12+IF(GP71&gt;=0.45,VLOOKUP(Calculator!E23,tbSkills!DH3:DI6,2,FALSE)+IF(AND(Calculator!B8=TRUE,Backdoors!BI31=TRUE),VLOOKUP(Calculator!E23,tbSkills!DH3:DJ6,3,FALSE),0),0))&gt;=100,100,(Backdoors!AI12+IF(GP71&gt;=0.45,VLOOKUP(Calculator!E23,tbSkills!DH3:DI6,2,FALSE)+IF(AND(Calculator!B8=TRUE,Backdoors!BI31=TRUE),VLOOKUP(Calculator!E23,tbSkills!DH3:DJ6,3,FALSE),0),0)))/100)),1),1)</f>
        <v>0.4</v>
      </c>
      <c r="GV71" s="87">
        <f t="shared" si="79"/>
        <v>0</v>
      </c>
      <c r="GW71" s="86" t="str">
        <f>IFERROR(IF(VLOOKUP(A71,tbMoveset!A2:B112,2,FALSE)="Sever",Backdoors!AY32/100,IF(VLOOKUP(A71,tbMoveset!A2:B112,2,FALSE)="Blunt",Backdoors!AZ32/100,Backdoors!BA32/100)),"")</f>
        <v/>
      </c>
      <c r="GX71" s="49">
        <f>IFERROR(IF(VLOOKUP(tbMoveset!A71,tbMoveset!A2:H112,8,FALSE)="Other",IF(VLOOKUP(tbMoveset!A71,tbMoveset!A2:I112,9,FALSE)="Fire",Backdoors!BB32,IF(VLOOKUP(tbMoveset!A71,tbMoveset!A2:I112,9,FALSE)="Water",Backdoors!BC32,IF(VLOOKUP(tbMoveset!A71,tbMoveset!A2:I112,9,FALSE)="Thunder",Backdoors!BD32,IF(VLOOKUP(tbMoveset!A71,tbMoveset!A2:I112,9,FALSE)="Ice",Backdoors!BE32,IF(VLOOKUP(tbMoveset!A71,tbMoveset!A2:I112,9,FALSE)="Dragon",Backdoors!BF32,Backdoors!BG32)))))/100,Backdoors!BG32/100),"")</f>
        <v>0</v>
      </c>
      <c r="GY71" s="49">
        <f>IFERROR(IF(VLOOKUP(A71,tbMoveset!A2:J112,10,FALSE)=TRUE,IF((Backdoors!AI12+IF(GW71&gt;=0.45,VLOOKUP(Calculator!E23,tbSkills!DH3:DI6,2,FALSE)+IF(AND(Calculator!B8=TRUE,Backdoors!BI32=TRUE),VLOOKUP(Calculator!E23,tbSkills!DH3:DJ6,3,FALSE),0),0))&gt;=0,1+(Backdoors!AL2*(IF((Backdoors!AI12+IF(GW71&gt;=0.45,VLOOKUP(Calculator!E23,tbSkills!DH3:DI6,2,FALSE)+IF(AND(Calculator!B8=TRUE,Backdoors!BI32=TRUE),VLOOKUP(Calculator!E23,tbSkills!DH3:DJ6,3,FALSE),0),0))&gt;=100,100,(Backdoors!AI12+IF(GW71&gt;=0.45,VLOOKUP(Calculator!E23,tbSkills!DH3:DI6,2,FALSE)+IF(AND(Calculator!B8=TRUE,Backdoors!BI32=TRUE),VLOOKUP(Calculator!E23,tbSkills!DH3:DJ6,3,FALSE),0),0)))/100)),(1-(0.25*((-Backdoors!AI12-IF(GW71&gt;=0.45,VLOOKUP(Calculator!E23,tbSkills!DH3:DI6,2,FALSE)+IF(AND(Calculator!B8=TRUE,Backdoors!BI32=TRUE),VLOOKUP(Calculator!E23,tbSkills!DH3:DJ6,3,FALSE),0),0))/100)))),1),"")</f>
        <v>1</v>
      </c>
      <c r="GZ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W71)*GY71)*(VLOOKUP(A71,tbMoveset!A2:C112,3,FALSE)/100)*IF(VLOOKUP(A71,tbMoveset!A2:B112,2,FALSE)="Projectile",Backdoors!N10,Backdoors!N9),0),"")</f>
        <v/>
      </c>
      <c r="HA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W71&gt;=0.45,VLOOKUP(Calculator!E23,tbSkills!DH3:DI6,2,FALSE)+IF(AND(Calculator!B8=TRUE,Backdoors!BI32=TRUE),VLOOKUP(Calculator!E23,tbSkills!DH3:DJ6,3,FALSE),0),0))&gt;=100,100,(Backdoors!AI12+IF(GW71&gt;=0.45,VLOOKUP(Calculator!E23,tbSkills!DH3:DI6,2,FALSE)+IF(AND(Calculator!B8=TRUE,Backdoors!BI32=TRUE),VLOOKUP(Calculator!E23,tbSkills!DH3:DJ6,3,FALSE),0),0)))/100)),1))*IF(VLOOKUP(A71,tbMoveset!A2:K112,11,FALSE)=TRUE,Backdoors!AC5,1))*GX71,0),"")</f>
        <v>0</v>
      </c>
      <c r="HB71" s="49">
        <f>VLOOKUP(A71,tbMoveset!A2:G112,7,FALSE)*IFERROR(IF(Backdoors!AI12&gt;=0,1+(IF(Calculator!E40&gt;0,VLOOKUP(Calculator!E40,tbSkills!AI3:AJ5,2,FALSE),Backdoors!AL4)*(IF((Backdoors!AI12+IF(GW71&gt;=0.45,VLOOKUP(Calculator!E23,tbSkills!DH3:DI6,2,FALSE)+IF(AND(Calculator!B8=TRUE,Backdoors!BI32=TRUE),VLOOKUP(Calculator!E23,tbSkills!DH3:DJ6,3,FALSE),0),0))&gt;=100,100,(Backdoors!AI12+IF(GW71&gt;=0.45,VLOOKUP(Calculator!E23,tbSkills!DH3:DI6,2,FALSE)+IF(AND(Calculator!B8=TRUE,Backdoors!BI32=TRUE),VLOOKUP(Calculator!E23,tbSkills!DH3:DJ6,3,FALSE),0),0)))/100)),1),1)</f>
        <v>0.4</v>
      </c>
      <c r="HC71" s="87">
        <f t="shared" si="80"/>
        <v>0</v>
      </c>
      <c r="HD71" s="86" t="str">
        <f>IFERROR(IF(VLOOKUP(A71,tbMoveset!A2:B112,2,FALSE)="Sever",Backdoors!AY33/100,IF(VLOOKUP(A71,tbMoveset!A2:B112,2,FALSE)="Blunt",Backdoors!AZ33/100,Backdoors!BA33/100)),"")</f>
        <v/>
      </c>
      <c r="HE71" s="49">
        <f>IFERROR(IF(VLOOKUP(tbMoveset!A71,tbMoveset!A2:H112,8,FALSE)="Other",IF(VLOOKUP(tbMoveset!A71,tbMoveset!A2:I112,9,FALSE)="Fire",Backdoors!BB33,IF(VLOOKUP(tbMoveset!A71,tbMoveset!A2:I112,9,FALSE)="Water",Backdoors!BC33,IF(VLOOKUP(tbMoveset!A71,tbMoveset!A2:I112,9,FALSE)="Thunder",Backdoors!BD33,IF(VLOOKUP(tbMoveset!A71,tbMoveset!A2:I112,9,FALSE)="Ice",Backdoors!BE33,IF(VLOOKUP(tbMoveset!A71,tbMoveset!A2:I112,9,FALSE)="Dragon",Backdoors!BF33,Backdoors!BG33)))))/100,Backdoors!BG33/100),"")</f>
        <v>0</v>
      </c>
      <c r="HF71" s="49">
        <f>IFERROR(IF(VLOOKUP(A71,tbMoveset!A2:J112,10,FALSE)=TRUE,IF((Backdoors!AI12+IF(HD71&gt;=0.45,VLOOKUP(Calculator!E23,tbSkills!DH3:DI6,2,FALSE)+IF(AND(Calculator!B8=TRUE,Backdoors!BI33=TRUE),VLOOKUP(Calculator!E23,tbSkills!DH3:DJ6,3,FALSE),0),0))&gt;=0,1+(Backdoors!AL2*(IF((Backdoors!AI12+IF(HD71&gt;=0.45,VLOOKUP(Calculator!E23,tbSkills!DH3:DI6,2,FALSE)+IF(AND(Calculator!B8=TRUE,Backdoors!BI33=TRUE),VLOOKUP(Calculator!E23,tbSkills!DH3:DJ6,3,FALSE),0),0))&gt;=100,100,(Backdoors!AI12+IF(HD71&gt;=0.45,VLOOKUP(Calculator!E23,tbSkills!DH3:DI6,2,FALSE)+IF(AND(Calculator!B8=TRUE,Backdoors!BI33=TRUE),VLOOKUP(Calculator!E23,tbSkills!DH3:DJ6,3,FALSE),0),0)))/100)),(1-(0.25*((-Backdoors!AI12-IF(HD71&gt;=0.45,VLOOKUP(Calculator!E23,tbSkills!DH3:DI6,2,FALSE)+IF(AND(Calculator!B8=TRUE,Backdoors!BI33=TRUE),VLOOKUP(Calculator!E23,tbSkills!DH3:DJ6,3,FALSE),0),0))/100)))),1),"")</f>
        <v>1</v>
      </c>
      <c r="HG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D71)*HF71)*(VLOOKUP(A71,tbMoveset!A2:C112,3,FALSE)/100)*IF(VLOOKUP(A71,tbMoveset!A2:B112,2,FALSE)="Projectile",Backdoors!N10,Backdoors!N9),0),"")</f>
        <v/>
      </c>
      <c r="HH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D71&gt;=0.45,VLOOKUP(Calculator!E23,tbSkills!DH3:DI6,2,FALSE)+IF(AND(Calculator!B8=TRUE,Backdoors!BI33=TRUE),VLOOKUP(Calculator!E23,tbSkills!DH3:DJ6,3,FALSE),0),0))&gt;=100,100,(Backdoors!AI12+IF(HD71&gt;=0.45,VLOOKUP(Calculator!E23,tbSkills!DH3:DI6,2,FALSE)+IF(AND(Calculator!B8=TRUE,Backdoors!BI33=TRUE),VLOOKUP(Calculator!E23,tbSkills!DH3:DJ6,3,FALSE),0),0)))/100)),1))*IF(VLOOKUP(A71,tbMoveset!A2:K112,11,FALSE)=TRUE,Backdoors!AC5,1))*HE71,0),"")</f>
        <v>0</v>
      </c>
      <c r="HI71" s="49">
        <f>VLOOKUP(A71,tbMoveset!A2:G112,7,FALSE)*IFERROR(IF(Backdoors!AI12&gt;=0,1+(IF(Calculator!E40&gt;0,VLOOKUP(Calculator!E40,tbSkills!AI3:AJ5,2,FALSE),Backdoors!AL4)*(IF((Backdoors!AI12+IF(HD71&gt;=0.45,VLOOKUP(Calculator!E23,tbSkills!DH3:DI6,2,FALSE)+IF(AND(Calculator!B8=TRUE,Backdoors!BI33=TRUE),VLOOKUP(Calculator!E23,tbSkills!DH3:DJ6,3,FALSE),0),0))&gt;=100,100,(Backdoors!AI12+IF(HD71&gt;=0.45,VLOOKUP(Calculator!E23,tbSkills!DH3:DI6,2,FALSE)+IF(AND(Calculator!B8=TRUE,Backdoors!BI33=TRUE),VLOOKUP(Calculator!E23,tbSkills!DH3:DJ6,3,FALSE),0),0)))/100)),1),1)</f>
        <v>0.4</v>
      </c>
      <c r="HJ71" s="87">
        <f t="shared" si="81"/>
        <v>0</v>
      </c>
      <c r="HK71" s="86" t="str">
        <f>IFERROR(IF(VLOOKUP(A71,tbMoveset!A2:B112,2,FALSE)="Sever",Backdoors!AY34/100,IF(VLOOKUP(A71,tbMoveset!A2:B112,2,FALSE)="Blunt",Backdoors!AZ34/100,Backdoors!BA34/100)),"")</f>
        <v/>
      </c>
      <c r="HL71" s="49">
        <f>IFERROR(IF(VLOOKUP(tbMoveset!A71,tbMoveset!A2:H112,8,FALSE)="Other",IF(VLOOKUP(tbMoveset!A71,tbMoveset!A2:I112,9,FALSE)="Fire",Backdoors!BB34,IF(VLOOKUP(tbMoveset!A71,tbMoveset!A2:I112,9,FALSE)="Water",Backdoors!BC34,IF(VLOOKUP(tbMoveset!A71,tbMoveset!A2:I112,9,FALSE)="Thunder",Backdoors!BD34,IF(VLOOKUP(tbMoveset!A71,tbMoveset!A2:I112,9,FALSE)="Ice",Backdoors!BE34,IF(VLOOKUP(tbMoveset!A71,tbMoveset!A2:I112,9,FALSE)="Dragon",Backdoors!BF34,Backdoors!BG34)))))/100,Backdoors!BG34/100),"")</f>
        <v>0</v>
      </c>
      <c r="HM71" s="49">
        <f>IFERROR(IF(VLOOKUP(A71,tbMoveset!A2:J112,10,FALSE)=TRUE,IF((Backdoors!AI12+IF(HK71&gt;=0.45,VLOOKUP(Calculator!E23,tbSkills!DH3:DI6,2,FALSE)+IF(AND(Calculator!B8=TRUE,Backdoors!BI34=TRUE),VLOOKUP(Calculator!E23,tbSkills!DH3:DJ6,3,FALSE),0),0))&gt;=0,1+(Backdoors!AL2*(IF((Backdoors!AI12+IF(HK71&gt;=0.45,VLOOKUP(Calculator!E23,tbSkills!DH3:DI6,2,FALSE)+IF(AND(Calculator!B8=TRUE,Backdoors!BI34=TRUE),VLOOKUP(Calculator!E23,tbSkills!DH3:DJ6,3,FALSE),0),0))&gt;=100,100,(Backdoors!AI12+IF(HK71&gt;=0.45,VLOOKUP(Calculator!E23,tbSkills!DH3:DI6,2,FALSE)+IF(AND(Calculator!B8=TRUE,Backdoors!BI34=TRUE),VLOOKUP(Calculator!E23,tbSkills!DH3:DJ6,3,FALSE),0),0)))/100)),(1-(0.25*((-Backdoors!AI12-IF(HK71&gt;=0.45,VLOOKUP(Calculator!E23,tbSkills!DH3:DI6,2,FALSE)+IF(AND(Calculator!B8=TRUE,Backdoors!BI34=TRUE),VLOOKUP(Calculator!E23,tbSkills!DH3:DJ6,3,FALSE),0),0))/100)))),1),"")</f>
        <v>1</v>
      </c>
      <c r="HN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K71)*HM71)*(VLOOKUP(A71,tbMoveset!A2:C112,3,FALSE)/100)*IF(VLOOKUP(A71,tbMoveset!A2:B112,2,FALSE)="Projectile",Backdoors!N10,Backdoors!N9),0),"")</f>
        <v/>
      </c>
      <c r="HO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K71&gt;=0.45,VLOOKUP(Calculator!E23,tbSkills!DH3:DI6,2,FALSE)+IF(AND(Calculator!B8=TRUE,Backdoors!BI34=TRUE),VLOOKUP(Calculator!E23,tbSkills!DH3:DJ6,3,FALSE),0),0))&gt;=100,100,(Backdoors!AI12+IF(HK71&gt;=0.45,VLOOKUP(Calculator!E23,tbSkills!DH3:DI6,2,FALSE)+IF(AND(Calculator!B8=TRUE,Backdoors!BI34=TRUE),VLOOKUP(Calculator!E23,tbSkills!DH3:DJ6,3,FALSE),0),0)))/100)),1))*IF(VLOOKUP(A71,tbMoveset!A2:K112,11,FALSE)=TRUE,Backdoors!AC5,1))*HL71,0),"")</f>
        <v>0</v>
      </c>
      <c r="HP71" s="49">
        <f>VLOOKUP(A71,tbMoveset!A2:G112,7,FALSE)*IFERROR(IF(Backdoors!AI12&gt;=0,1+(IF(Calculator!E40&gt;0,VLOOKUP(Calculator!E40,tbSkills!AI3:AJ5,2,FALSE),Backdoors!AL4)*(IF((Backdoors!AI12+IF(HK71&gt;=0.45,VLOOKUP(Calculator!E23,tbSkills!DH3:DI6,2,FALSE)+IF(AND(Calculator!B8=TRUE,Backdoors!BI34=TRUE),VLOOKUP(Calculator!E23,tbSkills!DH3:DJ6,3,FALSE),0),0))&gt;=100,100,(Backdoors!AI12+IF(HK71&gt;=0.45,VLOOKUP(Calculator!E23,tbSkills!DH3:DI6,2,FALSE)+IF(AND(Calculator!B8=TRUE,Backdoors!BI34=TRUE),VLOOKUP(Calculator!E23,tbSkills!DH3:DJ6,3,FALSE),0),0)))/100)),1),1)</f>
        <v>0.4</v>
      </c>
      <c r="HQ71" s="87">
        <f t="shared" si="82"/>
        <v>0</v>
      </c>
      <c r="HR71" s="86" t="str">
        <f>IFERROR(IF(VLOOKUP(A71,tbMoveset!A2:B112,2,FALSE)="Sever",Backdoors!AY35/100,IF(VLOOKUP(A71,tbMoveset!A2:B112,2,FALSE)="Blunt",Backdoors!AZ35/100,Backdoors!BA35/100)),"")</f>
        <v/>
      </c>
      <c r="HS71" s="49">
        <f>IFERROR(IF(VLOOKUP(tbMoveset!A71,tbMoveset!A2:H112,8,FALSE)="Other",IF(VLOOKUP(tbMoveset!A71,tbMoveset!A2:I112,9,FALSE)="Fire",Backdoors!BB35,IF(VLOOKUP(tbMoveset!A71,tbMoveset!A2:I112,9,FALSE)="Water",Backdoors!BC35,IF(VLOOKUP(tbMoveset!A71,tbMoveset!A2:I112,9,FALSE)="Thunder",Backdoors!BD35,IF(VLOOKUP(tbMoveset!A71,tbMoveset!A2:I112,9,FALSE)="Ice",Backdoors!BE35,IF(VLOOKUP(tbMoveset!A71,tbMoveset!A2:I112,9,FALSE)="Dragon",Backdoors!BF35,Backdoors!BG35)))))/100,Backdoors!BG35/100),"")</f>
        <v>0</v>
      </c>
      <c r="HT71" s="49">
        <f>IFERROR(IF(VLOOKUP(A71,tbMoveset!A2:J112,10,FALSE)=TRUE,IF((Backdoors!AI12+IF(HR71&gt;=0.45,VLOOKUP(Calculator!E23,tbSkills!DH3:DI6,2,FALSE)+IF(AND(Calculator!B8=TRUE,Backdoors!BI35=TRUE),VLOOKUP(Calculator!E23,tbSkills!DH3:DJ6,3,FALSE),0),0))&gt;=0,1+(Backdoors!AL2*(IF((Backdoors!AI12+IF(HR71&gt;=0.45,VLOOKUP(Calculator!E23,tbSkills!DH3:DI6,2,FALSE)+IF(AND(Calculator!B8=TRUE,Backdoors!BI35=TRUE),VLOOKUP(Calculator!E23,tbSkills!DH3:DJ6,3,FALSE),0),0))&gt;=100,100,(Backdoors!AI12+IF(HR71&gt;=0.45,VLOOKUP(Calculator!E23,tbSkills!DH3:DI6,2,FALSE)+IF(AND(Calculator!B8=TRUE,Backdoors!BI35=TRUE),VLOOKUP(Calculator!E23,tbSkills!DH3:DJ6,3,FALSE),0),0)))/100)),(1-(0.25*((-Backdoors!AI12-IF(HR71&gt;=0.45,VLOOKUP(Calculator!E23,tbSkills!DH3:DI6,2,FALSE)+IF(AND(Calculator!B8=TRUE,Backdoors!BI35=TRUE),VLOOKUP(Calculator!E23,tbSkills!DH3:DJ6,3,FALSE),0),0))/100)))),1),"")</f>
        <v>1</v>
      </c>
      <c r="HU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R71)*HT71)*(VLOOKUP(A71,tbMoveset!A2:C112,3,FALSE)/100)*IF(VLOOKUP(A71,tbMoveset!A2:B112,2,FALSE)="Projectile",Backdoors!N10,Backdoors!N9),0),"")</f>
        <v/>
      </c>
      <c r="HV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R71&gt;=0.45,VLOOKUP(Calculator!E23,tbSkills!DH3:DI6,2,FALSE)+IF(AND(Calculator!B8=TRUE,Backdoors!BI35=TRUE),VLOOKUP(Calculator!E23,tbSkills!DH3:DJ6,3,FALSE),0),0))&gt;=100,100,(Backdoors!AI12+IF(HR71&gt;=0.45,VLOOKUP(Calculator!E23,tbSkills!DH3:DI6,2,FALSE)+IF(AND(Calculator!B8=TRUE,Backdoors!BI35=TRUE),VLOOKUP(Calculator!E23,tbSkills!DH3:DJ6,3,FALSE),0),0)))/100)),1))*IF(VLOOKUP(A71,tbMoveset!A2:K112,11,FALSE)=TRUE,Backdoors!AC5,1))*HS71,0),"")</f>
        <v>0</v>
      </c>
      <c r="HW71" s="49">
        <f>VLOOKUP(A71,tbMoveset!A2:G112,7,FALSE)*IFERROR(IF(Backdoors!AI12&gt;=0,1+(IF(Calculator!E40&gt;0,VLOOKUP(Calculator!E40,tbSkills!AI3:AJ5,2,FALSE),Backdoors!AL4)*(IF((Backdoors!AI12+IF(HR71&gt;=0.45,VLOOKUP(Calculator!E23,tbSkills!DH3:DI6,2,FALSE)+IF(AND(Calculator!B8=TRUE,Backdoors!BI35=TRUE),VLOOKUP(Calculator!E23,tbSkills!DH3:DJ6,3,FALSE),0),0))&gt;=100,100,(Backdoors!AI12+IF(HR71&gt;=0.45,VLOOKUP(Calculator!E23,tbSkills!DH3:DI6,2,FALSE)+IF(AND(Calculator!B8=TRUE,Backdoors!BI35=TRUE),VLOOKUP(Calculator!E23,tbSkills!DH3:DJ6,3,FALSE),0),0)))/100)),1),1)</f>
        <v>0.4</v>
      </c>
      <c r="HX71" s="87">
        <f t="shared" si="83"/>
        <v>0</v>
      </c>
      <c r="HY71" s="86" t="str">
        <f>IFERROR(IF(VLOOKUP(A71,tbMoveset!A2:B112,2,FALSE)="Sever",Backdoors!AY36/100,IF(VLOOKUP(A71,tbMoveset!A2:B112,2,FALSE)="Blunt",Backdoors!AZ36/100,Backdoors!BA36/100)),"")</f>
        <v/>
      </c>
      <c r="HZ71" s="49">
        <f>IFERROR(IF(VLOOKUP(tbMoveset!A71,tbMoveset!A2:H112,8,FALSE)="Other",IF(VLOOKUP(tbMoveset!A71,tbMoveset!A2:I112,9,FALSE)="Fire",Backdoors!BB36,IF(VLOOKUP(tbMoveset!A71,tbMoveset!A2:I112,9,FALSE)="Water",Backdoors!BC36,IF(VLOOKUP(tbMoveset!A71,tbMoveset!A2:I112,9,FALSE)="Thunder",Backdoors!BD36,IF(VLOOKUP(tbMoveset!A71,tbMoveset!A2:I112,9,FALSE)="Ice",Backdoors!BE36,IF(VLOOKUP(tbMoveset!A71,tbMoveset!A2:I112,9,FALSE)="Dragon",Backdoors!BF36,Backdoors!BG36)))))/100,Backdoors!BG36/100),"")</f>
        <v>0</v>
      </c>
      <c r="IA71" s="49">
        <f>IFERROR(IF(VLOOKUP(A71,tbMoveset!A2:J112,10,FALSE)=TRUE,IF((Backdoors!AI12+IF(HY71&gt;=0.45,VLOOKUP(Calculator!E23,tbSkills!DH3:DI6,2,FALSE)+IF(AND(Calculator!B8=TRUE,Backdoors!BI36=TRUE),VLOOKUP(Calculator!E23,tbSkills!DH3:DJ6,3,FALSE),0),0))&gt;=0,1+(Backdoors!AL2*(IF((Backdoors!AI12+IF(HY71&gt;=0.45,VLOOKUP(Calculator!E23,tbSkills!DH3:DI6,2,FALSE)+IF(AND(Calculator!B8=TRUE,Backdoors!BI36=TRUE),VLOOKUP(Calculator!E23,tbSkills!DH3:DJ6,3,FALSE),0),0))&gt;=100,100,(Backdoors!AI12+IF(HY71&gt;=0.45,VLOOKUP(Calculator!E23,tbSkills!DH3:DI6,2,FALSE)+IF(AND(Calculator!B8=TRUE,Backdoors!BI36=TRUE),VLOOKUP(Calculator!E23,tbSkills!DH3:DJ6,3,FALSE),0),0)))/100)),(1-(0.25*((-Backdoors!AI12-IF(HY71&gt;=0.45,VLOOKUP(Calculator!E23,tbSkills!DH3:DI6,2,FALSE)+IF(AND(Calculator!B8=TRUE,Backdoors!BI36=TRUE),VLOOKUP(Calculator!E23,tbSkills!DH3:DJ6,3,FALSE),0),0))/100)))),1),"")</f>
        <v>1</v>
      </c>
      <c r="IB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Y71)*IA71)*(VLOOKUP(A71,tbMoveset!A2:C112,3,FALSE)/100)*IF(VLOOKUP(A71,tbMoveset!A2:B112,2,FALSE)="Projectile",Backdoors!N10,Backdoors!N9),0),"")</f>
        <v/>
      </c>
      <c r="IC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Y71&gt;=0.45,VLOOKUP(Calculator!E23,tbSkills!DH3:DI6,2,FALSE)+IF(AND(Calculator!B8=TRUE,Backdoors!BI36=TRUE),VLOOKUP(Calculator!E23,tbSkills!DH3:DJ6,3,FALSE),0),0))&gt;=100,100,(Backdoors!AI12+IF(HY71&gt;=0.45,VLOOKUP(Calculator!E23,tbSkills!DH3:DI6,2,FALSE)+IF(AND(Calculator!B8=TRUE,Backdoors!BI36=TRUE),VLOOKUP(Calculator!E23,tbSkills!DH3:DJ6,3,FALSE),0),0)))/100)),1))*IF(VLOOKUP(A71,tbMoveset!A2:K112,11,FALSE)=TRUE,Backdoors!AC5,1))*HZ71,0),"")</f>
        <v>0</v>
      </c>
      <c r="ID71" s="49">
        <f>VLOOKUP(A71,tbMoveset!A2:G112,7,FALSE)*IFERROR(IF(Backdoors!AI12&gt;=0,1+(IF(Calculator!E40&gt;0,VLOOKUP(Calculator!E40,tbSkills!AI3:AJ5,2,FALSE),Backdoors!AL4)*(IF((Backdoors!AI12+IF(HY71&gt;=0.45,VLOOKUP(Calculator!E23,tbSkills!DH3:DI6,2,FALSE)+IF(AND(Calculator!B8=TRUE,Backdoors!BI36=TRUE),VLOOKUP(Calculator!E23,tbSkills!DH3:DJ6,3,FALSE),0),0))&gt;=100,100,(Backdoors!AI12+IF(HY71&gt;=0.45,VLOOKUP(Calculator!E23,tbSkills!DH3:DI6,2,FALSE)+IF(AND(Calculator!B8=TRUE,Backdoors!BI36=TRUE),VLOOKUP(Calculator!E23,tbSkills!DH3:DJ6,3,FALSE),0),0)))/100)),1),1)</f>
        <v>0.4</v>
      </c>
      <c r="IE71" s="87">
        <f t="shared" si="84"/>
        <v>0</v>
      </c>
      <c r="IF71" s="86" t="str">
        <f>IFERROR(IF(VLOOKUP(A71,tbMoveset!A2:B112,2,FALSE)="Sever",Backdoors!AY37/100,IF(VLOOKUP(A71,tbMoveset!A2:B112,2,FALSE)="Blunt",Backdoors!AZ37/100,Backdoors!BA37/100)),"")</f>
        <v/>
      </c>
      <c r="IG71" s="49">
        <f>IFERROR(IF(VLOOKUP(tbMoveset!A71,tbMoveset!A2:H112,8,FALSE)="Other",IF(VLOOKUP(tbMoveset!A71,tbMoveset!A2:I112,9,FALSE)="Fire",Backdoors!BB37,IF(VLOOKUP(tbMoveset!A71,tbMoveset!A2:I112,9,FALSE)="Water",Backdoors!BC37,IF(VLOOKUP(tbMoveset!A71,tbMoveset!A2:I112,9,FALSE)="Thunder",Backdoors!BD37,IF(VLOOKUP(tbMoveset!A71,tbMoveset!A2:I112,9,FALSE)="Ice",Backdoors!BE37,IF(VLOOKUP(tbMoveset!A71,tbMoveset!A2:I112,9,FALSE)="Dragon",Backdoors!BF37,Backdoors!BG37)))))/100,Backdoors!BG37/100),"")</f>
        <v>0</v>
      </c>
      <c r="IH71" s="49">
        <f>IFERROR(IF(VLOOKUP(A71,tbMoveset!A2:J112,10,FALSE)=TRUE,IF((Backdoors!AI12+IF(IF71&gt;=0.45,VLOOKUP(Calculator!E23,tbSkills!DH3:DI6,2,FALSE)+IF(AND(Calculator!B8=TRUE,Backdoors!BI37=TRUE),VLOOKUP(Calculator!E23,tbSkills!DH3:DJ6,3,FALSE),0),0))&gt;=0,1+(Backdoors!AL2*(IF((Backdoors!AI12+IF(IF71&gt;=0.45,VLOOKUP(Calculator!E23,tbSkills!DH3:DI6,2,FALSE)+IF(AND(Calculator!B8=TRUE,Backdoors!BI37=TRUE),VLOOKUP(Calculator!E23,tbSkills!DH3:DJ6,3,FALSE),0),0))&gt;=100,100,(Backdoors!AI12+IF(IF71&gt;=0.45,VLOOKUP(Calculator!E23,tbSkills!DH3:DI6,2,FALSE)+IF(AND(Calculator!B8=TRUE,Backdoors!BI37=TRUE),VLOOKUP(Calculator!E23,tbSkills!DH3:DJ6,3,FALSE),0),0)))/100)),(1-(0.25*((-Backdoors!AI12-IF(IF71&gt;=0.45,VLOOKUP(Calculator!E23,tbSkills!DH3:DI6,2,FALSE)+IF(AND(Calculator!B8=TRUE,Backdoors!BI37=TRUE),VLOOKUP(Calculator!E23,tbSkills!DH3:DJ6,3,FALSE),0),0))/100)))),1),"")</f>
        <v>1</v>
      </c>
      <c r="II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F71)*IH71)*(VLOOKUP(A71,tbMoveset!A2:C112,3,FALSE)/100)*IF(VLOOKUP(A71,tbMoveset!A2:B112,2,FALSE)="Projectile",Backdoors!N10,Backdoors!N9),0),"")</f>
        <v/>
      </c>
      <c r="IJ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IF71&gt;=0.45,VLOOKUP(Calculator!E23,tbSkills!DH3:DI6,2,FALSE)+IF(AND(Calculator!B8=TRUE,Backdoors!BI37=TRUE),VLOOKUP(Calculator!E23,tbSkills!DH3:DJ6,3,FALSE),0),0))&gt;=100,100,(Backdoors!AI12+IF(IF71&gt;=0.45,VLOOKUP(Calculator!E23,tbSkills!DH3:DI6,2,FALSE)+IF(AND(Calculator!B8=TRUE,Backdoors!BI37=TRUE),VLOOKUP(Calculator!E23,tbSkills!DH3:DJ6,3,FALSE),0),0)))/100)),1))*IF(VLOOKUP(A71,tbMoveset!A2:K112,11,FALSE)=TRUE,Backdoors!AC5,1))*IG71,0),"")</f>
        <v>0</v>
      </c>
      <c r="IK71" s="49">
        <f>VLOOKUP(A71,tbMoveset!A2:G112,7,FALSE)*IFERROR(IF(Backdoors!AI12&gt;=0,1+(IF(Calculator!E40&gt;0,VLOOKUP(Calculator!E40,tbSkills!AI3:AJ5,2,FALSE),Backdoors!AL4)*(IF((Backdoors!AI12+IF(IF71&gt;=0.45,VLOOKUP(Calculator!E23,tbSkills!DH3:DI6,2,FALSE)+IF(AND(Calculator!B8=TRUE,Backdoors!BI37=TRUE),VLOOKUP(Calculator!E23,tbSkills!DH3:DJ6,3,FALSE),0),0))&gt;=100,100,(Backdoors!AI12+IF(IF71&gt;=0.45,VLOOKUP(Calculator!E23,tbSkills!DH3:DI6,2,FALSE)+IF(AND(Calculator!B8=TRUE,Backdoors!BI37=TRUE),VLOOKUP(Calculator!E23,tbSkills!DH3:DJ6,3,FALSE),0),0)))/100)),1),1)</f>
        <v>0.4</v>
      </c>
      <c r="IL71" s="87">
        <f t="shared" si="85"/>
        <v>0</v>
      </c>
      <c r="IM71" s="86" t="str">
        <f>IFERROR(IF(VLOOKUP(A71,tbMoveset!A2:B112,2,FALSE)="Sever",Backdoors!AY38/100,IF(VLOOKUP(A71,tbMoveset!A2:B112,2,FALSE)="Blunt",Backdoors!AZ38/100,Backdoors!BA38/100)),"")</f>
        <v/>
      </c>
      <c r="IN71" s="49">
        <f>IFERROR(IF(VLOOKUP(tbMoveset!A71,tbMoveset!A2:H112,8,FALSE)="Other",IF(VLOOKUP(tbMoveset!A71,tbMoveset!A2:I112,9,FALSE)="Fire",Backdoors!BB38,IF(VLOOKUP(tbMoveset!A71,tbMoveset!A2:I112,9,FALSE)="Water",Backdoors!BC38,IF(VLOOKUP(tbMoveset!A71,tbMoveset!A2:I112,9,FALSE)="Thunder",Backdoors!BD38,IF(VLOOKUP(tbMoveset!A71,tbMoveset!A2:I112,9,FALSE)="Ice",Backdoors!BE38,IF(VLOOKUP(tbMoveset!A71,tbMoveset!A2:I112,9,FALSE)="Dragon",Backdoors!BF38,Backdoors!BG38)))))/100,Backdoors!BG38/100),"")</f>
        <v>0</v>
      </c>
      <c r="IO71" s="49">
        <f>IFERROR(IF(VLOOKUP(A71,tbMoveset!A2:J112,10,FALSE)=TRUE,IF((Backdoors!AI12+IF(IM71&gt;=0.45,VLOOKUP(Calculator!E23,tbSkills!DH3:DI6,2,FALSE)+IF(AND(Calculator!B8=TRUE,Backdoors!BI38=TRUE),VLOOKUP(Calculator!E23,tbSkills!DH3:DJ6,3,FALSE),0),0))&gt;=0,1+(Backdoors!AL2*(IF((Backdoors!AI12+IF(IM71&gt;=0.45,VLOOKUP(Calculator!E23,tbSkills!DH3:DI6,2,FALSE)+IF(AND(Calculator!B8=TRUE,Backdoors!BI38=TRUE),VLOOKUP(Calculator!E23,tbSkills!DH3:DJ6,3,FALSE),0),0))&gt;=100,100,(Backdoors!AI12+IF(IM71&gt;=0.45,VLOOKUP(Calculator!E23,tbSkills!DH3:DI6,2,FALSE)+IF(AND(Calculator!B8=TRUE,Backdoors!BI38=TRUE),VLOOKUP(Calculator!E23,tbSkills!DH3:DJ6,3,FALSE),0),0)))/100)),(1-(0.25*((-Backdoors!AI12-IF(IM71&gt;=0.45,VLOOKUP(Calculator!E23,tbSkills!DH3:DI6,2,FALSE)+IF(AND(Calculator!B8=TRUE,Backdoors!BI38=TRUE),VLOOKUP(Calculator!E23,tbSkills!DH3:DJ6,3,FALSE),0),0))/100)))),1),"")</f>
        <v>1</v>
      </c>
      <c r="IP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M71)*IO71)*(VLOOKUP(A71,tbMoveset!A2:C112,3,FALSE)/100)*IF(VLOOKUP(A71,tbMoveset!A2:B112,2,FALSE)="Projectile",Backdoors!N10,Backdoors!N9),0),"")</f>
        <v/>
      </c>
      <c r="IQ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IM71&gt;=0.45,VLOOKUP(Calculator!E23,tbSkills!DH3:DI6,2,FALSE)+IF(AND(Calculator!B8=TRUE,Backdoors!BI38=TRUE),VLOOKUP(Calculator!E23,tbSkills!DH3:DJ6,3,FALSE),0),0))&gt;=100,100,(Backdoors!AI12+IF(IM71&gt;=0.45,VLOOKUP(Calculator!E23,tbSkills!DH3:DI6,2,FALSE)+IF(AND(Calculator!B8=TRUE,Backdoors!BI38=TRUE),VLOOKUP(Calculator!E23,tbSkills!DH3:DJ6,3,FALSE),0),0)))/100)),1))*IF(VLOOKUP(A71,tbMoveset!A2:K112,11,FALSE)=TRUE,Backdoors!AC5,1))*IN71,0),"")</f>
        <v>0</v>
      </c>
      <c r="IR71" s="49">
        <f>VLOOKUP(A71,tbMoveset!A2:G112,7,FALSE)*IFERROR(IF(Backdoors!AI12&gt;=0,1+(IF(Calculator!E40&gt;0,VLOOKUP(Calculator!E40,tbSkills!AI3:AJ5,2,FALSE),Backdoors!AL4)*(IF((Backdoors!AI12+IF(IM71&gt;=0.45,VLOOKUP(Calculator!E23,tbSkills!DH3:DI6,2,FALSE)+IF(AND(Calculator!B8=TRUE,Backdoors!BI38=TRUE),VLOOKUP(Calculator!E23,tbSkills!DH3:DJ6,3,FALSE),0),0))&gt;=100,100,(Backdoors!AI12+IF(IM71&gt;=0.45,VLOOKUP(Calculator!E23,tbSkills!DH3:DI6,2,FALSE)+IF(AND(Calculator!B8=TRUE,Backdoors!BI38=TRUE),VLOOKUP(Calculator!E23,tbSkills!DH3:DJ6,3,FALSE),0),0)))/100)),1),1)</f>
        <v>0.4</v>
      </c>
      <c r="IS71" s="87">
        <f t="shared" si="86"/>
        <v>0</v>
      </c>
      <c r="IT71" s="86" t="str">
        <f>IFERROR(IF(VLOOKUP(A71,tbMoveset!A2:B112,2,FALSE)="Sever",Backdoors!AY39/100,IF(VLOOKUP(A71,tbMoveset!A2:B112,2,FALSE)="Blunt",Backdoors!AZ39/100,Backdoors!BA39/100)),"")</f>
        <v/>
      </c>
      <c r="IU71" s="49">
        <f>IFERROR(IF(VLOOKUP(tbMoveset!A71,tbMoveset!A2:H112,8,FALSE)="Other",IF(VLOOKUP(tbMoveset!A71,tbMoveset!A2:I112,9,FALSE)="Fire",Backdoors!BB39,IF(VLOOKUP(tbMoveset!A71,tbMoveset!A2:I112,9,FALSE)="Water",Backdoors!BC39,IF(VLOOKUP(tbMoveset!A71,tbMoveset!A2:I112,9,FALSE)="Thunder",Backdoors!BD39,IF(VLOOKUP(tbMoveset!A71,tbMoveset!A2:I112,9,FALSE)="Ice",Backdoors!BE39,IF(VLOOKUP(tbMoveset!A71,tbMoveset!A2:I112,9,FALSE)="Dragon",Backdoors!BF39,Backdoors!BG39)))))/100,Backdoors!BG39/100),"")</f>
        <v>0</v>
      </c>
      <c r="IV71" s="49">
        <f>IFERROR(IF(VLOOKUP(A71,tbMoveset!A2:J112,10,FALSE)=TRUE,IF((Backdoors!AI12+IF(IT71&gt;=0.45,VLOOKUP(Calculator!E23,tbSkills!DH3:DI6,2,FALSE)+IF(AND(Calculator!B8=TRUE,Backdoors!BI39=TRUE),VLOOKUP(Calculator!E23,tbSkills!DH3:DJ6,3,FALSE),0),0))&gt;=0,1+(Backdoors!AL2*(IF((Backdoors!AI12+IF(IT71&gt;=0.45,VLOOKUP(Calculator!E23,tbSkills!DH3:DI6,2,FALSE)+IF(AND(Calculator!B8=TRUE,Backdoors!BI39=TRUE),VLOOKUP(Calculator!E23,tbSkills!DH3:DJ6,3,FALSE),0),0))&gt;=100,100,(Backdoors!AI12+IF(IT71&gt;=0.45,VLOOKUP(Calculator!E23,tbSkills!DH3:DI6,2,FALSE)+IF(AND(Calculator!B8=TRUE,Backdoors!BI39=TRUE),VLOOKUP(Calculator!E23,tbSkills!DH3:DJ6,3,FALSE),0),0)))/100)),(1-(0.25*((-Backdoors!AI12-IF(IT71&gt;=0.45,VLOOKUP(Calculator!E23,tbSkills!DH3:DI6,2,FALSE)+IF(AND(Calculator!B8=TRUE,Backdoors!BI39=TRUE),VLOOKUP(Calculator!E23,tbSkills!DH3:DJ6,3,FALSE),0),0))/100)))),1),"")</f>
        <v>1</v>
      </c>
      <c r="IW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T71)*IV71)*(VLOOKUP(A71,tbMoveset!A2:C112,3,FALSE)/100)*IF(VLOOKUP(A71,tbMoveset!A2:B112,2,FALSE)="Projectile",Backdoors!N10,Backdoors!N9),0),"")</f>
        <v/>
      </c>
      <c r="IX71" s="49">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40&gt;0,VLOOKUP(Calculator!E40,tbSkills!AC3:AD5,2,FALSE),Backdoors!AL3)*(IF((Backdoors!AI12+IF(IT71&gt;=0.45,VLOOKUP(Calculator!E23,tbSkills!DH3:DI6,2,FALSE)+IF(AND(Calculator!B8=TRUE,Backdoors!BI39=TRUE),VLOOKUP(Calculator!E23,tbSkills!DH3:DJ6,3,FALSE),0),0))&gt;=100,100,(Backdoors!AI12+IF(IT71&gt;=0.45,VLOOKUP(Calculator!E23,tbSkills!DH3:DI6,2,FALSE)+IF(AND(Calculator!B8=TRUE,Backdoors!BI39=TRUE),VLOOKUP(Calculator!E23,tbSkills!DH3:DJ6,3,FALSE),0),0)))/100)),1))*IF(VLOOKUP(A71,tbMoveset!A2:K112,11,FALSE)=TRUE,Backdoors!AC5,1))*IU71,0),"")</f>
        <v>0</v>
      </c>
      <c r="IY71" s="49">
        <f>VLOOKUP(A71,tbMoveset!A2:G112,7,FALSE)*IFERROR(IF(Backdoors!AI12&gt;=0,1+(IF(Calculator!E40&gt;0,VLOOKUP(Calculator!E40,tbSkills!AI3:AJ5,2,FALSE),Backdoors!AL4)*(IF((Backdoors!AI12+IF(IT71&gt;=0.45,VLOOKUP(Calculator!E23,tbSkills!DH3:DI6,2,FALSE)+IF(AND(Calculator!B8=TRUE,Backdoors!BI39=TRUE),VLOOKUP(Calculator!E23,tbSkills!DH3:DJ6,3,FALSE),0),0))&gt;=100,100,(Backdoors!AI12+IF(IT71&gt;=0.45,VLOOKUP(Calculator!E23,tbSkills!DH3:DI6,2,FALSE)+IF(AND(Calculator!B8=TRUE,Backdoors!BI39=TRUE),VLOOKUP(Calculator!E23,tbSkills!DH3:DJ6,3,FALSE),0),0)))/100)),1),1)</f>
        <v>0.4</v>
      </c>
      <c r="IZ71" s="87">
        <f t="shared" si="87"/>
        <v>0</v>
      </c>
      <c r="JA71" s="86" t="str">
        <f>IFERROR(IF(VLOOKUP(A71,tbMoveset!A2:B112,2,FALSE)="Sever",Backdoors!AY40/100,IF(VLOOKUP(A71,tbMoveset!A2:B112,2,FALSE)="Blunt",Backdoors!AZ40/100,Backdoors!BA40/100)),"")</f>
        <v/>
      </c>
      <c r="JB71" s="49">
        <f>IFERROR(IF(VLOOKUP(tbMoveset!A71,tbMoveset!A2:H112,8,FALSE)="Other",IF(VLOOKUP(tbMoveset!A71,tbMoveset!A2:I112,9,FALSE)="Fire",Backdoors!BB40,IF(VLOOKUP(tbMoveset!A71,tbMoveset!A2:I112,9,FALSE)="Water",Backdoors!BC40,IF(VLOOKUP(tbMoveset!A71,tbMoveset!A2:I112,9,FALSE)="Thunder",Backdoors!BD40,IF(VLOOKUP(tbMoveset!A71,tbMoveset!A2:I112,9,FALSE)="Ice",Backdoors!BE40,IF(VLOOKUP(tbMoveset!A71,tbMoveset!A2:I112,9,FALSE)="Dragon",Backdoors!BF40,Backdoors!BG40)))))/100,Backdoors!BG40/100),"")</f>
        <v>0</v>
      </c>
      <c r="JC71" s="49">
        <f>IFERROR(IF(VLOOKUP(A71,tbMoveset!A2:J112,10,FALSE)=TRUE,IF((Backdoors!AI12+IF(JA71&gt;=0.45,VLOOKUP(Calculator!E23,tbSkills!DH3:DI6,2,FALSE)+IF(AND(Calculator!B8=TRUE,Backdoors!BI40=TRUE),VLOOKUP(Calculator!E23,tbSkills!DH3:DJ6,3,FALSE),0),0))&gt;=0,1+(Backdoors!AL2*(IF((Backdoors!AI12+IF(JA71&gt;=0.45,VLOOKUP(Calculator!E23,tbSkills!DH3:DI6,2,FALSE)+IF(AND(Calculator!B8=TRUE,Backdoors!BI40=TRUE),VLOOKUP(Calculator!E23,tbSkills!DH3:DJ6,3,FALSE),0),0))&gt;=100,100,(Backdoors!AI12+IF(JA71&gt;=0.45,VLOOKUP(Calculator!E23,tbSkills!DH3:DI6,2,FALSE)+IF(AND(Calculator!B8=TRUE,Backdoors!BI40=TRUE),VLOOKUP(Calculator!E23,tbSkills!DH3:DJ6,3,FALSE),0),0)))/100)),(1-(0.25*((-Backdoors!AI12-IF(JA71&gt;=0.45,VLOOKUP(Calculator!E23,tbSkills!DH3:DI6,2,FALSE)+IF(AND(Calculator!B8=TRUE,Backdoors!BI40=TRUE),VLOOKUP(Calculator!E23,tbSkills!DH3:DJ6,3,FALSE),0),0))/100)))),1),"")</f>
        <v>1</v>
      </c>
      <c r="JD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A71)*JC71)*(VLOOKUP(A71,tbMoveset!A2:C112,3,FALSE)/100)*IF(VLOOKUP(A71,tbMoveset!A2:B112,2,FALSE)="Projectile",Backdoors!N10,Backdoors!N9),0),"")</f>
        <v/>
      </c>
      <c r="JE71" s="49">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42&gt;0,VLOOKUP(Calculator!E42,tbSkills!AC3:AD5,2,FALSE),Backdoors!AL3)*(IF((Backdoors!AI12+IF(JA71&gt;=0.45,VLOOKUP(Calculator!E23,tbSkills!DH3:DI6,2,FALSE)+IF(AND(Calculator!B8=TRUE,Backdoors!BI40=TRUE),VLOOKUP(Calculator!E23,tbSkills!DH3:DJ6,3,FALSE),0),0))&gt;=100,100,(Backdoors!AI12+IF(JA71&gt;=0.45,VLOOKUP(Calculator!E23,tbSkills!DH3:DI6,2,FALSE)+IF(AND(Calculator!B8=TRUE,Backdoors!BI40=TRUE),VLOOKUP(Calculator!E23,tbSkills!DH3:DJ6,3,FALSE),0),0)))/100)),1))*IF(VLOOKUP(A71,tbMoveset!A2:K112,11,FALSE)=TRUE,Backdoors!AC5,1))*JB71,0),"")</f>
        <v>0</v>
      </c>
      <c r="JF71" s="49">
        <f>VLOOKUP(A71,tbMoveset!A2:G112,7,FALSE)*IFERROR(IF(Backdoors!AI12&gt;=0,1+(IF(Calculator!E40&gt;0,VLOOKUP(Calculator!E40,tbSkills!AI3:AJ5,2,FALSE),Backdoors!AL4)*(IF((Backdoors!AI12+IF(JA71&gt;=0.45,VLOOKUP(Calculator!E23,tbSkills!DH3:DI6,2,FALSE)+IF(AND(Calculator!B8=TRUE,Backdoors!BI40=TRUE),VLOOKUP(Calculator!E23,tbSkills!DH3:DJ6,3,FALSE),0),0))&gt;=100,100,(Backdoors!AI12+IF(JA71&gt;=0.45,VLOOKUP(Calculator!E23,tbSkills!DH3:DI6,2,FALSE)+IF(AND(Calculator!B8=TRUE,Backdoors!BI40=TRUE),VLOOKUP(Calculator!E23,tbSkills!DH3:DJ6,3,FALSE),0),0)))/100)),1),1)</f>
        <v>0.4</v>
      </c>
      <c r="JG71" s="87">
        <f t="shared" si="88"/>
        <v>0</v>
      </c>
      <c r="JH71" s="86" t="str">
        <f>IFERROR(IF(VLOOKUP(A71,tbMoveset!A2:B112,2,FALSE)="Sever",Backdoors!AY41/100,IF(VLOOKUP(A71,tbMoveset!A2:B112,2,FALSE)="Blunt",Backdoors!AZ41/100,Backdoors!BA41/100)),"")</f>
        <v/>
      </c>
      <c r="JI71" s="49">
        <f>IFERROR(IF(VLOOKUP(tbMoveset!A71,tbMoveset!A2:H112,8,FALSE)="Other",IF(VLOOKUP(tbMoveset!A71,tbMoveset!A2:I112,9,FALSE)="Fire",Backdoors!BB41,IF(VLOOKUP(tbMoveset!A71,tbMoveset!A2:I112,9,FALSE)="Water",Backdoors!BC41,IF(VLOOKUP(tbMoveset!A71,tbMoveset!A2:I112,9,FALSE)="Thunder",Backdoors!BD41,IF(VLOOKUP(tbMoveset!A71,tbMoveset!A2:I112,9,FALSE)="Ice",Backdoors!BE41,IF(VLOOKUP(tbMoveset!A71,tbMoveset!A2:I112,9,FALSE)="Dragon",Backdoors!BF41,Backdoors!BG41)))))/100,Backdoors!BG41/100),"")</f>
        <v>0</v>
      </c>
      <c r="JJ71" s="49">
        <f>IFERROR(IF(VLOOKUP(A71,tbMoveset!A2:J112,10,FALSE)=TRUE,IF((Backdoors!AI12+IF(JH71&gt;=0.45,VLOOKUP(Calculator!E23,tbSkills!DH3:DI6,2,FALSE)+IF(AND(Calculator!B8=TRUE,Backdoors!BI41=TRUE),VLOOKUP(Calculator!E23,tbSkills!DH3:DJ6,3,FALSE),0),0))&gt;=0,1+(Backdoors!AL2*(IF((Backdoors!AI12+IF(JH71&gt;=0.45,VLOOKUP(Calculator!E23,tbSkills!DH3:DI6,2,FALSE)+IF(AND(Calculator!B8=TRUE,Backdoors!BI41=TRUE),VLOOKUP(Calculator!E23,tbSkills!DH3:DJ6,3,FALSE),0),0))&gt;=100,100,(Backdoors!AI12+IF(JH71&gt;=0.45,VLOOKUP(Calculator!E23,tbSkills!DH3:DI6,2,FALSE)+IF(AND(Calculator!B8=TRUE,Backdoors!BI41=TRUE),VLOOKUP(Calculator!E23,tbSkills!DH3:DJ6,3,FALSE),0),0)))/100)),(1-(0.25*((-Backdoors!AI12-IF(JH71&gt;=0.45,VLOOKUP(Calculator!E23,tbSkills!DH3:DI6,2,FALSE)+IF(AND(Calculator!B8=TRUE,Backdoors!BI41=TRUE),VLOOKUP(Calculator!E23,tbSkills!DH3:DJ6,3,FALSE),0),0))/100)))),1),"")</f>
        <v>1</v>
      </c>
      <c r="JK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H71)*JJ71)*(VLOOKUP(A71,tbMoveset!A2:C112,3,FALSE)/100)*IF(VLOOKUP(A71,tbMoveset!A2:B112,2,FALSE)="Projectile",Backdoors!N10,Backdoors!N9),0),"")</f>
        <v/>
      </c>
      <c r="JL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43&gt;0,VLOOKUP(Calculator!E43,tbSkills!AC3:AD5,2,FALSE),Backdoors!AL3)*(IF((Backdoors!AI12+IF(JH71&gt;=0.45,VLOOKUP(Calculator!E23,tbSkills!DH3:DI6,2,FALSE)+IF(AND(Calculator!B8=TRUE,Backdoors!BI41=TRUE),VLOOKUP(Calculator!E23,tbSkills!DH3:DJ6,3,FALSE),0),0))&gt;=100,100,(Backdoors!AI12+IF(JH71&gt;=0.45,VLOOKUP(Calculator!E23,tbSkills!DH3:DI6,2,FALSE)+IF(AND(Calculator!B8=TRUE,Backdoors!BI41=TRUE),VLOOKUP(Calculator!E23,tbSkills!DH3:DJ6,3,FALSE),0),0)))/100)),1))*IF(VLOOKUP(A71,tbMoveset!A2:K112,11,FALSE)=TRUE,Backdoors!AC5,1))*JI71,0),"")</f>
        <v/>
      </c>
      <c r="JM71" s="49">
        <f>VLOOKUP(A71,tbMoveset!A2:G112,7,FALSE)*IFERROR(IF(Backdoors!AI12&gt;=0,1+(IF(Calculator!E40&gt;0,VLOOKUP(Calculator!E40,tbSkills!AI3:AJ5,2,FALSE),Backdoors!AL4)*(IF((Backdoors!AI12+IF(JH71&gt;=0.45,VLOOKUP(Calculator!E23,tbSkills!DH3:DI6,2,FALSE)+IF(AND(Calculator!B8=TRUE,Backdoors!BI41=TRUE),VLOOKUP(Calculator!E23,tbSkills!DH3:DJ6,3,FALSE),0),0))&gt;=100,100,(Backdoors!AI12+IF(JH71&gt;=0.45,VLOOKUP(Calculator!E23,tbSkills!DH3:DI6,2,FALSE)+IF(AND(Calculator!B8=TRUE,Backdoors!BI41=TRUE),VLOOKUP(Calculator!E23,tbSkills!DH3:DJ6,3,FALSE),0),0)))/100)),1),1)</f>
        <v>0.4</v>
      </c>
      <c r="JN71" s="87">
        <f t="shared" si="89"/>
        <v>0</v>
      </c>
      <c r="JO71" s="86" t="str">
        <f>IFERROR(IF(VLOOKUP(A71,tbMoveset!A2:B112,2,FALSE)="Sever",Backdoors!AY42/100,IF(VLOOKUP(A71,tbMoveset!A2:B112,2,FALSE)="Blunt",Backdoors!AZ42/100,Backdoors!BA42/100)),"")</f>
        <v/>
      </c>
      <c r="JP71" s="49">
        <f>IFERROR(IF(VLOOKUP(tbMoveset!A71,tbMoveset!A2:H112,8,FALSE)="Other",IF(VLOOKUP(tbMoveset!A71,tbMoveset!A2:I112,9,FALSE)="Fire",Backdoors!BB42,IF(VLOOKUP(tbMoveset!A71,tbMoveset!A2:I112,9,FALSE)="Water",Backdoors!BC42,IF(VLOOKUP(tbMoveset!A71,tbMoveset!A2:I112,9,FALSE)="Thunder",Backdoors!BD42,IF(VLOOKUP(tbMoveset!A71,tbMoveset!A2:I112,9,FALSE)="Ice",Backdoors!BE42,IF(VLOOKUP(tbMoveset!A71,tbMoveset!A2:I112,9,FALSE)="Dragon",Backdoors!BF42,Backdoors!BG42)))))/100,Backdoors!BG42/100),"")</f>
        <v>0</v>
      </c>
      <c r="JQ71" s="49">
        <f>IFERROR(IF(VLOOKUP(A71,tbMoveset!A2:J112,10,FALSE)=TRUE,IF((Backdoors!AI12+IF(JO71&gt;=0.45,VLOOKUP(Calculator!E23,tbSkills!DH3:DI6,2,FALSE)+IF(AND(Calculator!B8=TRUE,Backdoors!BI42=TRUE),VLOOKUP(Calculator!E23,tbSkills!DH3:DJ6,3,FALSE),0),0))&gt;=0,1+(Backdoors!AL2*(IF((Backdoors!AI12+IF(JO71&gt;=0.45,VLOOKUP(Calculator!E23,tbSkills!DH3:DI6,2,FALSE)+IF(AND(Calculator!B8=TRUE,Backdoors!BI42=TRUE),VLOOKUP(Calculator!E23,tbSkills!DH3:DJ6,3,FALSE),0),0))&gt;=100,100,(Backdoors!AI12+IF(JO71&gt;=0.45,VLOOKUP(Calculator!E23,tbSkills!DH3:DI6,2,FALSE)+IF(AND(Calculator!B8=TRUE,Backdoors!BI42=TRUE),VLOOKUP(Calculator!E23,tbSkills!DH3:DJ6,3,FALSE),0),0)))/100)),(1-(0.25*((-Backdoors!AI12-IF(JO71&gt;=0.45,VLOOKUP(Calculator!E23,tbSkills!DH3:DI6,2,FALSE)+IF(AND(Calculator!B8=TRUE,Backdoors!BI42=TRUE),VLOOKUP(Calculator!E23,tbSkills!DH3:DJ6,3,FALSE),0),0))/100)))),1),"")</f>
        <v>1</v>
      </c>
      <c r="JR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O71)*JQ71)*(VLOOKUP(A71,tbMoveset!A2:C112,3,FALSE)/100)*IF(VLOOKUP(A71,tbMoveset!A2:B112,2,FALSE)="Projectile",Backdoors!N10,Backdoors!N9),0),"")</f>
        <v/>
      </c>
      <c r="JS71" s="49">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45&gt;0,VLOOKUP(Calculator!E45,tbSkills!AC3:AD5,2,FALSE),Backdoors!AL3)*(IF((Backdoors!AI12+IF(JO71&gt;=0.45,VLOOKUP(Calculator!E23,tbSkills!DH3:DI6,2,FALSE)+IF(AND(Calculator!B8=TRUE,Backdoors!BI42=TRUE),VLOOKUP(Calculator!E23,tbSkills!DH3:DJ6,3,FALSE),0),0))&gt;=100,100,(Backdoors!AI12+IF(JO71&gt;=0.45,VLOOKUP(Calculator!E23,tbSkills!DH3:DI6,2,FALSE)+IF(AND(Calculator!B8=TRUE,Backdoors!BI42=TRUE),VLOOKUP(Calculator!E23,tbSkills!DH3:DJ6,3,FALSE),0),0)))/100)),1))*IF(VLOOKUP(A71,tbMoveset!A2:K112,11,FALSE)=TRUE,Backdoors!AC5,1))*JP71,0),"")</f>
        <v>0</v>
      </c>
      <c r="JT71" s="49">
        <f>VLOOKUP(A71,tbMoveset!A2:G112,7,FALSE)*IFERROR(IF(Backdoors!AI12&gt;=0,1+(IF(Calculator!E40&gt;0,VLOOKUP(Calculator!E40,tbSkills!AI3:AJ5,2,FALSE),Backdoors!AL4)*(IF((Backdoors!AI12+IF(JO71&gt;=0.45,VLOOKUP(Calculator!E23,tbSkills!DH3:DI6,2,FALSE)+IF(AND(Calculator!B8=TRUE,Backdoors!BI42=TRUE),VLOOKUP(Calculator!E23,tbSkills!DH3:DJ6,3,FALSE),0),0))&gt;=100,100,(Backdoors!AI12+IF(JO71&gt;=0.45,VLOOKUP(Calculator!E23,tbSkills!DH3:DI6,2,FALSE)+IF(AND(Calculator!B8=TRUE,Backdoors!BI42=TRUE),VLOOKUP(Calculator!E23,tbSkills!DH3:DJ6,3,FALSE),0),0)))/100)),1),1)</f>
        <v>0.4</v>
      </c>
      <c r="JU71" s="87">
        <f t="shared" si="90"/>
        <v>0</v>
      </c>
      <c r="JV71" s="86" t="str">
        <f>IFERROR(IF(VLOOKUP(A71,tbMoveset!A2:B112,2,FALSE)="Sever",Backdoors!AY43/100,IF(VLOOKUP(A71,tbMoveset!A2:B112,2,FALSE)="Blunt",Backdoors!AZ43/100,Backdoors!BA43/100)),"")</f>
        <v/>
      </c>
      <c r="JW71" s="49">
        <f>IFERROR(IF(VLOOKUP(tbMoveset!A71,tbMoveset!A2:H112,8,FALSE)="Other",IF(VLOOKUP(tbMoveset!A71,tbMoveset!A2:I112,9,FALSE)="Fire",Backdoors!BB43,IF(VLOOKUP(tbMoveset!A71,tbMoveset!A2:I112,9,FALSE)="Water",Backdoors!BC43,IF(VLOOKUP(tbMoveset!A71,tbMoveset!A2:I112,9,FALSE)="Thunder",Backdoors!BD43,IF(VLOOKUP(tbMoveset!A71,tbMoveset!A2:I112,9,FALSE)="Ice",Backdoors!BE43,IF(VLOOKUP(tbMoveset!A71,tbMoveset!A2:I112,9,FALSE)="Dragon",Backdoors!BF43,Backdoors!BG43)))))/100,Backdoors!BG43/100),"")</f>
        <v>0</v>
      </c>
      <c r="JX71" s="49">
        <f>IFERROR(IF(VLOOKUP(A71,tbMoveset!A2:J112,10,FALSE)=TRUE,IF((Backdoors!AI12+IF(JV71&gt;=0.45,VLOOKUP(Calculator!E23,tbSkills!DH3:DI6,2,FALSE)+IF(AND(Calculator!B8=TRUE,Backdoors!BI43=TRUE),VLOOKUP(Calculator!E23,tbSkills!DH3:DJ6,3,FALSE),0),0))&gt;=0,1+(Backdoors!AL2*(IF((Backdoors!AI12+IF(JV71&gt;=0.45,VLOOKUP(Calculator!E23,tbSkills!DH3:DI6,2,FALSE)+IF(AND(Calculator!B8=TRUE,Backdoors!BI43=TRUE),VLOOKUP(Calculator!E23,tbSkills!DH3:DJ6,3,FALSE),0),0))&gt;=100,100,(Backdoors!AI12+IF(JV71&gt;=0.45,VLOOKUP(Calculator!E23,tbSkills!DH3:DI6,2,FALSE)+IF(AND(Calculator!B8=TRUE,Backdoors!BI43=TRUE),VLOOKUP(Calculator!E23,tbSkills!DH3:DJ6,3,FALSE),0),0)))/100)),(1-(0.25*((-Backdoors!AI12-IF(JV71&gt;=0.45,VLOOKUP(Calculator!E23,tbSkills!DH3:DI6,2,FALSE)+IF(AND(Calculator!B8=TRUE,Backdoors!BI43=TRUE),VLOOKUP(Calculator!E23,tbSkills!DH3:DJ6,3,FALSE),0),0))/100)))),1),"")</f>
        <v>1</v>
      </c>
      <c r="JY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V71)*JX71)*(VLOOKUP(A71,tbMoveset!A2:C112,3,FALSE)/100)*IF(VLOOKUP(A71,tbMoveset!A2:B112,2,FALSE)="Projectile",Backdoors!N10,Backdoors!N9),0),"")</f>
        <v/>
      </c>
      <c r="JZ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46&gt;0,VLOOKUP(Calculator!E46,tbSkills!AC3:AD5,2,FALSE),Backdoors!AL3)*(IF((Backdoors!AI12+IF(JV71&gt;=0.45,VLOOKUP(Calculator!E23,tbSkills!DH3:DI6,2,FALSE)+IF(AND(Calculator!B8=TRUE,Backdoors!BI43=TRUE),VLOOKUP(Calculator!E23,tbSkills!DH3:DJ6,3,FALSE),0),0))&gt;=100,100,(Backdoors!AI12+IF(JV71&gt;=0.45,VLOOKUP(Calculator!E23,tbSkills!DH3:DI6,2,FALSE)+IF(AND(Calculator!B8=TRUE,Backdoors!BI43=TRUE),VLOOKUP(Calculator!E23,tbSkills!DH3:DJ6,3,FALSE),0),0)))/100)),1))*IF(VLOOKUP(A71,tbMoveset!A2:K112,11,FALSE)=TRUE,Backdoors!AC5,1))*JW71,0),"")</f>
        <v/>
      </c>
      <c r="KA71" s="49">
        <f>VLOOKUP(A71,tbMoveset!A2:G112,7,FALSE)*IFERROR(IF(Backdoors!AI12&gt;=0,1+(IF(Calculator!E40&gt;0,VLOOKUP(Calculator!E40,tbSkills!AI3:AJ5,2,FALSE),Backdoors!AL4)*(IF((Backdoors!AI12+IF(JV71&gt;=0.45,VLOOKUP(Calculator!E23,tbSkills!DH3:DI6,2,FALSE)+IF(AND(Calculator!B8=TRUE,Backdoors!BI43=TRUE),VLOOKUP(Calculator!E23,tbSkills!DH3:DJ6,3,FALSE),0),0))&gt;=100,100,(Backdoors!AI12+IF(JV71&gt;=0.45,VLOOKUP(Calculator!E23,tbSkills!DH3:DI6,2,FALSE)+IF(AND(Calculator!B8=TRUE,Backdoors!BI43=TRUE),VLOOKUP(Calculator!E23,tbSkills!DH3:DJ6,3,FALSE),0),0)))/100)),1),1)</f>
        <v>0.4</v>
      </c>
      <c r="KB71" s="87">
        <f t="shared" si="91"/>
        <v>0</v>
      </c>
      <c r="KC71" s="86" t="str">
        <f>IFERROR(IF(VLOOKUP(A71,tbMoveset!A2:B112,2,FALSE)="Sever",Backdoors!AY44/100,IF(VLOOKUP(A71,tbMoveset!A2:B112,2,FALSE)="Blunt",Backdoors!AZ44/100,Backdoors!BA44/100)),"")</f>
        <v/>
      </c>
      <c r="KD71" s="49">
        <f>IFERROR(IF(VLOOKUP(tbMoveset!A71,tbMoveset!A2:H112,8,FALSE)="Other",IF(VLOOKUP(tbMoveset!A71,tbMoveset!A2:I112,9,FALSE)="Fire",Backdoors!BB44,IF(VLOOKUP(tbMoveset!A71,tbMoveset!A2:I112,9,FALSE)="Water",Backdoors!BC44,IF(VLOOKUP(tbMoveset!A71,tbMoveset!A2:I112,9,FALSE)="Thunder",Backdoors!BD44,IF(VLOOKUP(tbMoveset!A71,tbMoveset!A2:I112,9,FALSE)="Ice",Backdoors!BE44,IF(VLOOKUP(tbMoveset!A71,tbMoveset!A2:I112,9,FALSE)="Dragon",Backdoors!BF44,Backdoors!BG44)))))/100,Backdoors!BG44/100),"")</f>
        <v>0</v>
      </c>
      <c r="KE71" s="49">
        <f>IFERROR(IF(VLOOKUP(A71,tbMoveset!A2:J112,10,FALSE)=TRUE,IF((Backdoors!AI12+IF(KC71&gt;=0.45,VLOOKUP(Calculator!E23,tbSkills!DH3:DI6,2,FALSE)+IF(AND(Calculator!B8=TRUE,Backdoors!BI44=TRUE),VLOOKUP(Calculator!E23,tbSkills!DH3:DJ6,3,FALSE),0),0))&gt;=0,1+(Backdoors!AL2*(IF((Backdoors!AI12+IF(KC71&gt;=0.45,VLOOKUP(Calculator!E23,tbSkills!DH3:DI6,2,FALSE)+IF(AND(Calculator!B8=TRUE,Backdoors!BI44=TRUE),VLOOKUP(Calculator!E23,tbSkills!DH3:DJ6,3,FALSE),0),0))&gt;=100,100,(Backdoors!AI12+IF(KC71&gt;=0.45,VLOOKUP(Calculator!E23,tbSkills!DH3:DI6,2,FALSE)+IF(AND(Calculator!B8=TRUE,Backdoors!BI44=TRUE),VLOOKUP(Calculator!E23,tbSkills!DH3:DJ6,3,FALSE),0),0)))/100)),(1-(0.25*((-Backdoors!AI12-IF(KC71&gt;=0.45,VLOOKUP(Calculator!E23,tbSkills!DH3:DI6,2,FALSE)+IF(AND(Calculator!B8=TRUE,Backdoors!BI44=TRUE),VLOOKUP(Calculator!E23,tbSkills!DH3:DJ6,3,FALSE),0),0))/100)))),1),"")</f>
        <v>1</v>
      </c>
      <c r="KF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KC71)*KE71)*(VLOOKUP(A71,tbMoveset!A2:C112,3,FALSE)/100)*IF(VLOOKUP(A71,tbMoveset!A2:B112,2,FALSE)="Projectile",Backdoors!N10,Backdoors!N9),0),"")</f>
        <v/>
      </c>
      <c r="KG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REF!&gt;0,VLOOKUP(Calculator!#REF!,tbSkills!AC3:AD5,2,FALSE),Backdoors!AL3)*(IF((Backdoors!AI12+IF(KC71&gt;=0.45,VLOOKUP(Calculator!E23,tbSkills!DH3:DI6,2,FALSE)+IF(AND(Calculator!B8=TRUE,Backdoors!BI44=TRUE),VLOOKUP(Calculator!E23,tbSkills!DH3:DJ6,3,FALSE),0),0))&gt;=100,100,(Backdoors!AI12+IF(KC71&gt;=0.45,VLOOKUP(Calculator!E23,tbSkills!DH3:DI6,2,FALSE)+IF(AND(Calculator!B8=TRUE,Backdoors!BI44=TRUE),VLOOKUP(Calculator!E23,tbSkills!DH3:DJ6,3,FALSE),0),0)))/100)),1))*IF(VLOOKUP(A71,tbMoveset!A2:K112,11,FALSE)=TRUE,Backdoors!AC5,1))*KD71,0),"")</f>
        <v/>
      </c>
      <c r="KH71" s="49">
        <f>VLOOKUP(A71,tbMoveset!A2:G112,7,FALSE)*IFERROR(IF(Backdoors!AI12&gt;=0,1+(IF(Calculator!E40&gt;0,VLOOKUP(Calculator!E40,tbSkills!AI3:AJ5,2,FALSE),Backdoors!AL4)*(IF((Backdoors!AI12+IF(KC71&gt;=0.45,VLOOKUP(Calculator!E23,tbSkills!DH3:DI6,2,FALSE)+IF(AND(Calculator!B8=TRUE,Backdoors!BI44=TRUE),VLOOKUP(Calculator!E23,tbSkills!DH3:DJ6,3,FALSE),0),0))&gt;=100,100,(Backdoors!AI12+IF(KC71&gt;=0.45,VLOOKUP(Calculator!E23,tbSkills!DH3:DI6,2,FALSE)+IF(AND(Calculator!B8=TRUE,Backdoors!BI44=TRUE),VLOOKUP(Calculator!E23,tbSkills!DH3:DJ6,3,FALSE),0),0)))/100)),1),1)</f>
        <v>0.4</v>
      </c>
      <c r="KI71" s="87">
        <f t="shared" si="92"/>
        <v>0</v>
      </c>
      <c r="KJ71" s="86" t="str">
        <f>IFERROR(IF(VLOOKUP(A71,tbMoveset!A2:B112,2,FALSE)="Sever",Backdoors!AY45/100,IF(VLOOKUP(A71,tbMoveset!A2:B112,2,FALSE)="Blunt",Backdoors!AZ45/100,Backdoors!BA45/100)),"")</f>
        <v/>
      </c>
      <c r="KK71" s="49">
        <f>IFERROR(IF(VLOOKUP(tbMoveset!A71,tbMoveset!A2:H112,8,FALSE)="Other",IF(VLOOKUP(tbMoveset!A71,tbMoveset!A2:I112,9,FALSE)="Fire",Backdoors!BB45,IF(VLOOKUP(tbMoveset!A71,tbMoveset!A2:I112,9,FALSE)="Water",Backdoors!BC45,IF(VLOOKUP(tbMoveset!A71,tbMoveset!A2:I112,9,FALSE)="Thunder",Backdoors!BD45,IF(VLOOKUP(tbMoveset!A71,tbMoveset!A2:I112,9,FALSE)="Ice",Backdoors!BE45,IF(VLOOKUP(tbMoveset!A71,tbMoveset!A2:I112,9,FALSE)="Dragon",Backdoors!BF45,Backdoors!BG45)))))/100,Backdoors!BG45/100),"")</f>
        <v>0</v>
      </c>
      <c r="KL71" s="49">
        <f>IFERROR(IF(VLOOKUP(A71,tbMoveset!A2:J112,10,FALSE)=TRUE,IF((Backdoors!AI12+IF(KJ71&gt;=0.45,VLOOKUP(Calculator!E23,tbSkills!DH3:DI6,2,FALSE)+IF(AND(Calculator!B8=TRUE,Backdoors!BI45=TRUE),VLOOKUP(Calculator!E23,tbSkills!DH3:DJ6,3,FALSE),0),0))&gt;=0,1+(Backdoors!AL2*(IF((Backdoors!AI12+IF(KJ71&gt;=0.45,VLOOKUP(Calculator!E23,tbSkills!DH3:DI6,2,FALSE)+IF(AND(Calculator!B8=TRUE,Backdoors!BI45=TRUE),VLOOKUP(Calculator!E23,tbSkills!DH3:DJ6,3,FALSE),0),0))&gt;=100,100,(Backdoors!AI12+IF(KJ71&gt;=0.45,VLOOKUP(Calculator!E23,tbSkills!DH3:DI6,2,FALSE)+IF(AND(Calculator!B8=TRUE,Backdoors!BI45=TRUE),VLOOKUP(Calculator!E23,tbSkills!DH3:DJ6,3,FALSE),0),0)))/100)),(1-(0.25*((-Backdoors!AI12-IF(KJ71&gt;=0.45,VLOOKUP(Calculator!E23,tbSkills!DH3:DI6,2,FALSE)+IF(AND(Calculator!B8=TRUE,Backdoors!BI45=TRUE),VLOOKUP(Calculator!E23,tbSkills!DH3:DJ6,3,FALSE),0),0))/100)))),1),"")</f>
        <v>1</v>
      </c>
      <c r="KM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KJ71)*KL71)*(VLOOKUP(A71,tbMoveset!A2:C112,3,FALSE)/100)*IF(VLOOKUP(A71,tbMoveset!A2:B112,2,FALSE)="Projectile",Backdoors!N10,Backdoors!N9),0),"")</f>
        <v/>
      </c>
      <c r="KN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REF!&gt;0,VLOOKUP(Calculator!#REF!,tbSkills!AC3:AD5,2,FALSE),Backdoors!AL3)*(IF((Backdoors!AI12+IF(KJ71&gt;=0.45,VLOOKUP(Calculator!E23,tbSkills!DH3:DI6,2,FALSE)+IF(AND(Calculator!B8=TRUE,Backdoors!BI45=TRUE),VLOOKUP(Calculator!E23,tbSkills!DH3:DJ6,3,FALSE),0),0))&gt;=100,100,(Backdoors!AI12+IF(KJ71&gt;=0.45,VLOOKUP(Calculator!E23,tbSkills!DH3:DI6,2,FALSE)+IF(AND(Calculator!B8=TRUE,Backdoors!BI45=TRUE),VLOOKUP(Calculator!E23,tbSkills!DH3:DJ6,3,FALSE),0),0)))/100)),1))*IF(VLOOKUP(A71,tbMoveset!A2:K112,11,FALSE)=TRUE,Backdoors!AC5,1))*KK71,0),"")</f>
        <v/>
      </c>
      <c r="KO71" s="49">
        <f>VLOOKUP(A71,tbMoveset!A2:G112,7,FALSE)*IFERROR(IF(Backdoors!AI12&gt;=0,1+(IF(Calculator!E40&gt;0,VLOOKUP(Calculator!E40,tbSkills!AI3:AJ5,2,FALSE),Backdoors!AL4)*(IF((Backdoors!AI12+IF(KJ71&gt;=0.45,VLOOKUP(Calculator!E23,tbSkills!DH3:DI6,2,FALSE)+IF(AND(Calculator!B8=TRUE,Backdoors!BI45=TRUE),VLOOKUP(Calculator!E23,tbSkills!DH3:DJ6,3,FALSE),0),0))&gt;=100,100,(Backdoors!AI12+IF(KJ71&gt;=0.45,VLOOKUP(Calculator!E23,tbSkills!DH3:DI6,2,FALSE)+IF(AND(Calculator!B8=TRUE,Backdoors!BI45=TRUE),VLOOKUP(Calculator!E23,tbSkills!DH3:DJ6,3,FALSE),0),0)))/100)),1),1)</f>
        <v>0.4</v>
      </c>
      <c r="KP71" s="87">
        <f t="shared" si="93"/>
        <v>0</v>
      </c>
      <c r="KQ71" s="86" t="str">
        <f>IFERROR(IF(VLOOKUP(A71,tbMoveset!A2:B112,2,FALSE)="Sever",Backdoors!AY46/100,IF(VLOOKUP(A71,tbMoveset!A2:B112,2,FALSE)="Blunt",Backdoors!AZ46/100,Backdoors!BA46/100)),"")</f>
        <v/>
      </c>
      <c r="KR71" s="49">
        <f>IFERROR(IF(VLOOKUP(tbMoveset!A71,tbMoveset!A2:H112,8,FALSE)="Other",IF(VLOOKUP(tbMoveset!A71,tbMoveset!A2:I112,9,FALSE)="Fire",Backdoors!BB46,IF(VLOOKUP(tbMoveset!A71,tbMoveset!A2:I112,9,FALSE)="Water",Backdoors!BC46,IF(VLOOKUP(tbMoveset!A71,tbMoveset!A2:I112,9,FALSE)="Thunder",Backdoors!BD46,IF(VLOOKUP(tbMoveset!A71,tbMoveset!A2:I112,9,FALSE)="Ice",Backdoors!BE46,IF(VLOOKUP(tbMoveset!A71,tbMoveset!A2:I112,9,FALSE)="Dragon",Backdoors!BF46,Backdoors!BG46)))))/100,Backdoors!BG46/100),"")</f>
        <v>0</v>
      </c>
      <c r="KS71" s="49">
        <f>IFERROR(IF(VLOOKUP(A71,tbMoveset!A2:J112,10,FALSE)=TRUE,IF((Backdoors!AI12+IF(KQ71&gt;=0.45,VLOOKUP(Calculator!E23,tbSkills!DH3:DI6,2,FALSE)+IF(AND(Calculator!B8=TRUE,Backdoors!BI46=TRUE),VLOOKUP(Calculator!E23,tbSkills!DH3:DJ6,3,FALSE),0),0))&gt;=0,1+(Backdoors!AL2*(IF((Backdoors!AI12+IF(KQ71&gt;=0.45,VLOOKUP(Calculator!E23,tbSkills!DH3:DI6,2,FALSE)+IF(AND(Calculator!B8=TRUE,Backdoors!BI46=TRUE),VLOOKUP(Calculator!E23,tbSkills!DH3:DJ6,3,FALSE),0),0))&gt;=100,100,(Backdoors!AI12+IF(KQ71&gt;=0.45,VLOOKUP(Calculator!E23,tbSkills!DH3:DI6,2,FALSE)+IF(AND(Calculator!B8=TRUE,Backdoors!BI46=TRUE),VLOOKUP(Calculator!E23,tbSkills!DH3:DJ6,3,FALSE),0),0)))/100)),(1-(0.25*((-Backdoors!AI12-IF(KQ71&gt;=0.45,VLOOKUP(Calculator!E23,tbSkills!DH3:DI6,2,FALSE)+IF(AND(Calculator!B8=TRUE,Backdoors!BI46=TRUE),VLOOKUP(Calculator!E23,tbSkills!DH3:DJ6,3,FALSE),0),0))/100)))),1),"")</f>
        <v>1</v>
      </c>
      <c r="KT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KQ71)*KS71)*(VLOOKUP(A71,tbMoveset!A2:C112,3,FALSE)/100)*IF(VLOOKUP(A71,tbMoveset!A2:B112,2,FALSE)="Projectile",Backdoors!N10,Backdoors!N9),0),"")</f>
        <v/>
      </c>
      <c r="KU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REF!&gt;0,VLOOKUP(Calculator!#REF!,tbSkills!AC3:AD5,2,FALSE),Backdoors!AL3)*(IF((Backdoors!AI12+IF(KQ71&gt;=0.45,VLOOKUP(Calculator!E23,tbSkills!DH3:DI6,2,FALSE)+IF(AND(Calculator!B8=TRUE,Backdoors!BI46=TRUE),VLOOKUP(Calculator!E23,tbSkills!DH3:DJ6,3,FALSE),0),0))&gt;=100,100,(Backdoors!AI12+IF(KQ71&gt;=0.45,VLOOKUP(Calculator!E23,tbSkills!DH3:DI6,2,FALSE)+IF(AND(Calculator!B8=TRUE,Backdoors!BI46=TRUE),VLOOKUP(Calculator!E23,tbSkills!DH3:DJ6,3,FALSE),0),0)))/100)),1))*IF(VLOOKUP(A71,tbMoveset!A2:K112,11,FALSE)=TRUE,Backdoors!AC5,1))*KR71,0),"")</f>
        <v/>
      </c>
      <c r="KV71" s="49">
        <f>VLOOKUP(A71,tbMoveset!A2:G112,7,FALSE)*IFERROR(IF(Backdoors!AI12&gt;=0,1+(IF(Calculator!E40&gt;0,VLOOKUP(Calculator!E40,tbSkills!AI3:AJ5,2,FALSE),Backdoors!AL4)*(IF((Backdoors!AI12+IF(KQ71&gt;=0.45,VLOOKUP(Calculator!E23,tbSkills!DH3:DI6,2,FALSE)+IF(AND(Calculator!B8=TRUE,Backdoors!BI46=TRUE),VLOOKUP(Calculator!E23,tbSkills!DH3:DJ6,3,FALSE),0),0))&gt;=100,100,(Backdoors!AI12+IF(KQ71&gt;=0.45,VLOOKUP(Calculator!E23,tbSkills!DH3:DI6,2,FALSE)+IF(AND(Calculator!B8=TRUE,Backdoors!BI46=TRUE),VLOOKUP(Calculator!E23,tbSkills!DH3:DJ6,3,FALSE),0),0)))/100)),1),1)</f>
        <v>0.4</v>
      </c>
      <c r="KW71" s="87">
        <f t="shared" si="94"/>
        <v>0</v>
      </c>
    </row>
    <row r="72" spans="1:309" x14ac:dyDescent="0.25">
      <c r="A72" s="95" t="str">
        <f>tbMoveset!A72</f>
        <v>Jumping Double Slash (L)</v>
      </c>
      <c r="B72" s="86">
        <f>IFERROR(IF(VLOOKUP(A72,tbMoveset!A2:B112,2,FALSE)="Sever",Backdoors!AY3/100,IF(VLOOKUP(A72,tbMoveset!A2:B112,2,FALSE)="Blunt",Backdoors!AZ3/100,Backdoors!BA3/100)),"")</f>
        <v>0.8</v>
      </c>
      <c r="C72" s="49">
        <f>IFERROR(IF(VLOOKUP(tbMoveset!A72,tbMoveset!A2:H112,8,FALSE)="Other",IF(VLOOKUP(tbMoveset!A72,tbMoveset!A2:I112,9,FALSE)="Fire",Backdoors!BB3,IF(VLOOKUP(tbMoveset!A72,tbMoveset!A2:I112,9,FALSE)="Water",Backdoors!BC3,IF(VLOOKUP(tbMoveset!A72,tbMoveset!A2:I112,9,FALSE)="Thunder",Backdoors!BD3,IF(VLOOKUP(tbMoveset!A72,tbMoveset!A2:I112,9,FALSE)="Ice",Backdoors!BE3,IF(VLOOKUP(tbMoveset!A72,tbMoveset!A2:I112,9,FALSE)="Dragon",Backdoors!BF3,Backdoors!BG3)))))/100,Backdoors!BG3/100),"")</f>
        <v>0</v>
      </c>
      <c r="D72" s="49">
        <f>IFERROR(IF(VLOOKUP(A72,tbMoveset!A2:J112,10,FALSE)=TRUE,IF((Backdoors!AI12+IF(B72&gt;=0.45,VLOOKUP(Calculator!E23,tbSkills!DH3:DI6,2,FALSE)+IF(AND(Calculator!B8=TRUE,Backdoors!BI3=TRUE),VLOOKUP(Calculator!E23,tbSkills!DH3:DJ6,3,FALSE),0),0))&gt;=0,1+(Backdoors!AL2*(IF((Backdoors!AI12+IF(B72&gt;=0.45,VLOOKUP(Calculator!E23,tbSkills!DH3:DI6,2,FALSE)+IF(AND(Calculator!B8=TRUE,Backdoors!BI3=TRUE),VLOOKUP(Calculator!E23,tbSkills!DH3:DJ6,3,FALSE),0),0))&gt;=100,100,(Backdoors!AI12+IF(B72&gt;=0.45,VLOOKUP(Calculator!E23,tbSkills!DH3:DI6,2,FALSE)+IF(AND(Calculator!B8=TRUE,Backdoors!BI3=TRUE),VLOOKUP(Calculator!E23,tbSkills!DH3:DJ6,3,FALSE),0),0)))/100)),(1-(0.25*((-Backdoors!AI12-IF(B72&gt;=0.45,VLOOKUP(Calculator!E23,tbSkills!DH3:DI6,2,FALSE)+IF(AND(Calculator!B8=TRUE,Backdoors!BI3=TRUE),VLOOKUP(Calculator!E23,tbSkills!DH3:DJ6,3,FALSE),0),0))/100)))),1),"")</f>
        <v>1</v>
      </c>
      <c r="E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72)*D72)*(VLOOKUP(A72,tbMoveset!A2:C112,3,FALSE)/100)*IF(VLOOKUP(A72,tbMoveset!A2:B112,2,FALSE)="Projectile",Backdoors!N10,Backdoors!N9),0),"")</f>
        <v>6</v>
      </c>
      <c r="F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72&gt;=0.45,VLOOKUP(Calculator!E23,tbSkills!DH3:DI6,2,FALSE)+IF(AND(Calculator!B8=TRUE,Backdoors!BI3=TRUE),VLOOKUP(Calculator!E23,tbSkills!DH3:DJ6,3,FALSE),0),0))&gt;=100,100,(Backdoors!AI12+IF(B72&gt;=0.45,VLOOKUP(Calculator!E23,tbSkills!DH3:DI6,2,FALSE)+IF(AND(Calculator!B8=TRUE,Backdoors!BI3=TRUE),VLOOKUP(Calculator!E23,tbSkills!DH3:DJ6,3,FALSE),0),0)))/100)),1))*IF(VLOOKUP(A72,tbMoveset!A2:K112,11,FALSE)=TRUE,Backdoors!AC5,1))*C72,0),"")</f>
        <v>0</v>
      </c>
      <c r="G72">
        <f>VLOOKUP(A72,tbMoveset!A2:G112,7,FALSE)*IFERROR(IF(Backdoors!AI12&gt;=0,1+(IF(Calculator!E40&gt;0,VLOOKUP(Calculator!E40,tbSkills!AI3:AJ5,2,FALSE),Backdoors!AL4)*(IF((Backdoors!AI12+IF(B72&gt;=0.45,VLOOKUP(Calculator!E23,tbSkills!DH3:DI6,2,FALSE)+IF(AND(Calculator!B8=TRUE,Backdoors!BI3=TRUE),VLOOKUP(Calculator!E23,tbSkills!DH3:DJ6,3,FALSE),0),0))&gt;=100,100,(Backdoors!AI12+IF(B72&gt;=0.45,VLOOKUP(Calculator!E23,tbSkills!DH3:DI6,2,FALSE)+IF(AND(Calculator!B8=TRUE,Backdoors!BI3=TRUE),VLOOKUP(Calculator!E23,tbSkills!DH3:DJ6,3,FALSE),0),0)))/100)),1),1)</f>
        <v>0.4</v>
      </c>
      <c r="H72" s="87">
        <f t="shared" si="51"/>
        <v>6</v>
      </c>
      <c r="I72" s="86">
        <f>IFERROR(IF(VLOOKUP(A72,tbMoveset!A2:B112,2,FALSE)="Sever",Backdoors!AY4/100,IF(VLOOKUP(A72,tbMoveset!A2:B112,2,FALSE)="Blunt",Backdoors!AZ4/100,Backdoors!BA4/100)),"")</f>
        <v>0.65</v>
      </c>
      <c r="J72" s="49">
        <f>IFERROR(IF(VLOOKUP(tbMoveset!A72,tbMoveset!A2:H112,8,FALSE)="Other",IF(VLOOKUP(tbMoveset!A72,tbMoveset!A2:I112,9,FALSE)="Fire",Backdoors!BB4,IF(VLOOKUP(tbMoveset!A72,tbMoveset!A2:I112,9,FALSE)="Water",Backdoors!BC4,IF(VLOOKUP(tbMoveset!A72,tbMoveset!A2:I112,9,FALSE)="Thunder",Backdoors!BD4,IF(VLOOKUP(tbMoveset!A72,tbMoveset!A2:I112,9,FALSE)="Ice",Backdoors!BE4,IF(VLOOKUP(tbMoveset!A72,tbMoveset!A2:I112,9,FALSE)="Dragon",Backdoors!BF4,Backdoors!BG4)))))/100,Backdoors!BG4/100),"")</f>
        <v>0</v>
      </c>
      <c r="K72" s="49">
        <f>IFERROR(IF(VLOOKUP(A72,tbMoveset!A2:J112,10,FALSE)=TRUE,IF((Backdoors!AI12+IF(I72&gt;=0.45,VLOOKUP(Calculator!E23,tbSkills!DH3:DI6,2,FALSE)+IF(AND(Calculator!B8=TRUE,Backdoors!BI4=TRUE),VLOOKUP(Calculator!E23,tbSkills!DH3:DJ6,3,FALSE),0),0))&gt;=0,1+(Backdoors!AL2*(IF((Backdoors!AI12+IF(I72&gt;=0.45,VLOOKUP(Calculator!E23,tbSkills!DH3:DI6,2,FALSE)+IF(AND(Calculator!B8=TRUE,Backdoors!BI4=TRUE),VLOOKUP(Calculator!E23,tbSkills!DH3:DJ6,3,FALSE),0),0))&gt;=100,100,(Backdoors!AI12+IF(I72&gt;=0.45,VLOOKUP(Calculator!E23,tbSkills!DH3:DI6,2,FALSE)+IF(AND(Calculator!B8=TRUE,Backdoors!BI4=TRUE),VLOOKUP(Calculator!E23,tbSkills!DH3:DJ6,3,FALSE),0),0)))/100)),(1-(0.25*((-Backdoors!AI12-IF(I72&gt;=0.45,VLOOKUP(Calculator!E23,tbSkills!DH3:DI6,2,FALSE)+IF(AND(Calculator!B8=TRUE,Backdoors!BI4=TRUE),VLOOKUP(Calculator!E23,tbSkills!DH3:DJ6,3,FALSE),0),0))/100)))),1),"")</f>
        <v>1</v>
      </c>
      <c r="L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72)*K72)*(VLOOKUP(A72,tbMoveset!A2:C112,3,FALSE)/100)*IF(VLOOKUP(A72,tbMoveset!A2:B112,2,FALSE)="Projectile",Backdoors!N10,Backdoors!N9),0),"")</f>
        <v>5</v>
      </c>
      <c r="M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I72&gt;=0.45,VLOOKUP(Calculator!E23,tbSkills!DH3:DI6,2,FALSE)+IF(AND(Calculator!B8=TRUE,Backdoors!BI4=TRUE),VLOOKUP(Calculator!E23,tbSkills!DH3:DJ6,3,FALSE),0),0))&gt;=100,100,(Backdoors!AI12+IF(I72&gt;=0.45,VLOOKUP(Calculator!E23,tbSkills!DH3:DI6,2,FALSE)+IF(AND(Calculator!B8=TRUE,Backdoors!BI4=TRUE),VLOOKUP(Calculator!E23,tbSkills!DH3:DJ6,3,FALSE),0),0)))/100)),1))*IF(VLOOKUP(A72,tbMoveset!A2:K112,11,FALSE)=TRUE,Backdoors!AC5,1))*J72,0),"")</f>
        <v>0</v>
      </c>
      <c r="N72" s="49">
        <f>VLOOKUP(A72,tbMoveset!A2:G112,7,FALSE)*IFERROR(IF(Backdoors!AI12&gt;=0,1+(IF(Calculator!E40&gt;0,VLOOKUP(Calculator!E40,tbSkills!AI3:AJ5,2,FALSE),Backdoors!AL4)*(IF((Backdoors!AI12+IF(I72&gt;=0.45,VLOOKUP(Calculator!E23,tbSkills!DH3:DI6,2,FALSE)+IF(AND(Calculator!B8=TRUE,Backdoors!BI4=TRUE),VLOOKUP(Calculator!E23,tbSkills!DH3:DJ6,3,FALSE),0),0))&gt;=100,100,(Backdoors!AI12+IF(I72&gt;=0.45,VLOOKUP(Calculator!E23,tbSkills!DH3:DI6,2,FALSE)+IF(AND(Calculator!B8=TRUE,Backdoors!BI4=TRUE),VLOOKUP(Calculator!E23,tbSkills!DH3:DJ6,3,FALSE),0),0)))/100)),1),1)</f>
        <v>0.4</v>
      </c>
      <c r="O72" s="87">
        <f t="shared" si="52"/>
        <v>5</v>
      </c>
      <c r="P72" s="86">
        <f>IFERROR(IF(VLOOKUP(A72,tbMoveset!A2:B112,2,FALSE)="Sever",Backdoors!AY5/100,IF(VLOOKUP(A72,tbMoveset!A2:B112,2,FALSE)="Blunt",Backdoors!AZ5/100,Backdoors!BA5/100)),"")</f>
        <v>0.5</v>
      </c>
      <c r="Q72" s="49">
        <f>IFERROR(IF(VLOOKUP(tbMoveset!A72,tbMoveset!A2:H112,8,FALSE)="Other",IF(VLOOKUP(tbMoveset!A72,tbMoveset!A2:I112,9,FALSE)="Fire",Backdoors!BB5,IF(VLOOKUP(tbMoveset!A72,tbMoveset!A2:I112,9,FALSE)="Water",Backdoors!BC5,IF(VLOOKUP(tbMoveset!A72,tbMoveset!A2:I112,9,FALSE)="Thunder",Backdoors!BD5,IF(VLOOKUP(tbMoveset!A72,tbMoveset!A2:I112,9,FALSE)="Ice",Backdoors!BE5,IF(VLOOKUP(tbMoveset!A72,tbMoveset!A2:I112,9,FALSE)="Dragon",Backdoors!BF5,Backdoors!BG5)))))/100,Backdoors!BG5/100),"")</f>
        <v>0</v>
      </c>
      <c r="R72" s="49">
        <f>IFERROR(IF(VLOOKUP(A72,tbMoveset!A2:J112,10,FALSE)=TRUE,IF((Backdoors!AI12+IF(P72&gt;=0.45,VLOOKUP(Calculator!E23,tbSkills!DH3:DI6,2,FALSE)+IF(AND(Calculator!B8=TRUE,Backdoors!BI5=TRUE),VLOOKUP(Calculator!E23,tbSkills!DH3:DJ6,3,FALSE),0),0))&gt;=0,1+(Backdoors!AL2*(IF((Backdoors!AI12+IF(P72&gt;=0.45,VLOOKUP(Calculator!E23,tbSkills!DH3:DI6,2,FALSE)+IF(AND(Calculator!B8=TRUE,Backdoors!BI5=TRUE),VLOOKUP(Calculator!E23,tbSkills!DH3:DJ6,3,FALSE),0),0))&gt;=100,100,(Backdoors!AI12+IF(P72&gt;=0.45,VLOOKUP(Calculator!E23,tbSkills!DH3:DI6,2,FALSE)+IF(AND(Calculator!B8=TRUE,Backdoors!BI5=TRUE),VLOOKUP(Calculator!E23,tbSkills!DH3:DJ6,3,FALSE),0),0)))/100)),(1-(0.25*((-Backdoors!AI12-IF(P72&gt;=0.45,VLOOKUP(Calculator!E23,tbSkills!DH3:DI6,2,FALSE)+IF(AND(Calculator!B8=TRUE,Backdoors!BI5=TRUE),VLOOKUP(Calculator!E23,tbSkills!DH3:DJ6,3,FALSE),0),0))/100)))),1),"")</f>
        <v>1</v>
      </c>
      <c r="S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P72)*R72)*(VLOOKUP(A72,tbMoveset!A2:C112,3,FALSE)/100)*IF(VLOOKUP(A72,tbMoveset!A2:B112,2,FALSE)="Projectile",Backdoors!N10,Backdoors!N9),0),"")</f>
        <v>4</v>
      </c>
      <c r="T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P72&gt;=0.45,VLOOKUP(Calculator!E23,tbSkills!DH3:DI6,2,FALSE)+IF(AND(Calculator!B8=TRUE,Backdoors!BI5=TRUE),VLOOKUP(Calculator!E23,tbSkills!DH3:DJ6,3,FALSE),0),0))&gt;=100,100,(Backdoors!AI12+IF(P72&gt;=0.45,VLOOKUP(Calculator!E23,tbSkills!DH3:DI6,2,FALSE)+IF(AND(Calculator!B8=TRUE,Backdoors!BI5=TRUE),VLOOKUP(Calculator!E23,tbSkills!DH3:DJ6,3,FALSE),0),0)))/100)),1))*IF(VLOOKUP(A72,tbMoveset!A2:K112,11,FALSE)=TRUE,Backdoors!AC5,1))*Q72,0),"")</f>
        <v>0</v>
      </c>
      <c r="U72" s="49">
        <f>VLOOKUP(A72,tbMoveset!A2:G112,7,FALSE)*IFERROR(IF(Backdoors!AI12&gt;=0,1+(IF(Calculator!E40&gt;0,VLOOKUP(Calculator!E40,tbSkills!AI3:AJ5,2,FALSE),Backdoors!AL4)*(IF((Backdoors!AI12+IF(P72&gt;=0.45,VLOOKUP(Calculator!E23,tbSkills!DH3:DI6,2,FALSE)+IF(AND(Calculator!B8=TRUE,Backdoors!BI5=TRUE),VLOOKUP(Calculator!E23,tbSkills!DH3:DJ6,3,FALSE),0),0))&gt;=100,100,(Backdoors!AI12+IF(P72&gt;=0.45,VLOOKUP(Calculator!E23,tbSkills!DH3:DI6,2,FALSE)+IF(AND(Calculator!B8=TRUE,Backdoors!BI5=TRUE),VLOOKUP(Calculator!E23,tbSkills!DH3:DJ6,3,FALSE),0),0)))/100)),1),1)</f>
        <v>0.4</v>
      </c>
      <c r="V72" s="87">
        <f t="shared" si="53"/>
        <v>4</v>
      </c>
      <c r="W72" s="86">
        <f>IFERROR(IF(VLOOKUP(A72,tbMoveset!A2:B112,2,FALSE)="Sever",Backdoors!AY6/100,IF(VLOOKUP(A72,tbMoveset!A2:B112,2,FALSE)="Blunt",Backdoors!AZ6/100,Backdoors!BA6/100)),"")</f>
        <v>0.45</v>
      </c>
      <c r="X72" s="49">
        <f>IFERROR(IF(VLOOKUP(tbMoveset!A72,tbMoveset!A2:H112,8,FALSE)="Other",IF(VLOOKUP(tbMoveset!A72,tbMoveset!A2:I112,9,FALSE)="Fire",Backdoors!BB6,IF(VLOOKUP(tbMoveset!A72,tbMoveset!A2:I112,9,FALSE)="Water",Backdoors!BC6,IF(VLOOKUP(tbMoveset!A72,tbMoveset!A2:I112,9,FALSE)="Thunder",Backdoors!BD6,IF(VLOOKUP(tbMoveset!A72,tbMoveset!A2:I112,9,FALSE)="Ice",Backdoors!BE6,IF(VLOOKUP(tbMoveset!A72,tbMoveset!A2:I112,9,FALSE)="Dragon",Backdoors!BF6,Backdoors!BG6)))))/100,Backdoors!BG6/100),"")</f>
        <v>0</v>
      </c>
      <c r="Y72" s="49">
        <f>IFERROR(IF(VLOOKUP(A72,tbMoveset!A2:J112,10,FALSE)=TRUE,IF((Backdoors!AI12+IF(W72&gt;=0.45,VLOOKUP(Calculator!E23,tbSkills!DH3:DI6,2,FALSE)+IF(AND(Calculator!B8=TRUE,Backdoors!BI6=TRUE),VLOOKUP(Calculator!E23,tbSkills!DH3:DJ6,3,FALSE),0),0))&gt;=0,1+(Backdoors!AL2*(IF((Backdoors!AI12+IF(W72&gt;=0.45,VLOOKUP(Calculator!E23,tbSkills!DH3:DI6,2,FALSE)+IF(AND(Calculator!B8=TRUE,Backdoors!BI6=TRUE),VLOOKUP(Calculator!E23,tbSkills!DH3:DJ6,3,FALSE),0),0))&gt;=100,100,(Backdoors!AI12+IF(W72&gt;=0.45,VLOOKUP(Calculator!E23,tbSkills!DH3:DI6,2,FALSE)+IF(AND(Calculator!B8=TRUE,Backdoors!BI6=TRUE),VLOOKUP(Calculator!E23,tbSkills!DH3:DJ6,3,FALSE),0),0)))/100)),(1-(0.25*((-Backdoors!AI12-IF(W72&gt;=0.45,VLOOKUP(Calculator!E23,tbSkills!DH3:DI6,2,FALSE)+IF(AND(Calculator!B8=TRUE,Backdoors!BI6=TRUE),VLOOKUP(Calculator!E23,tbSkills!DH3:DJ6,3,FALSE),0),0))/100)))),1),"")</f>
        <v>1</v>
      </c>
      <c r="Z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W72)*Y72)*(VLOOKUP(A72,tbMoveset!A2:C112,3,FALSE)/100)*IF(VLOOKUP(A72,tbMoveset!A2:B112,2,FALSE)="Projectile",Backdoors!N10,Backdoors!N9),0),"")</f>
        <v>3</v>
      </c>
      <c r="AA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W72&gt;=0.45,VLOOKUP(Calculator!E23,tbSkills!DH3:DI6,2,FALSE)+IF(AND(Calculator!B8=TRUE,Backdoors!BI6=TRUE),VLOOKUP(Calculator!E23,tbSkills!DH3:DJ6,3,FALSE),0),0))&gt;=100,100,(Backdoors!AI12+IF(W72&gt;=0.45,VLOOKUP(Calculator!E23,tbSkills!DH3:DI6,2,FALSE)+IF(AND(Calculator!B8=TRUE,Backdoors!BI6=TRUE),VLOOKUP(Calculator!E23,tbSkills!DH3:DJ6,3,FALSE),0),0)))/100)),1))*IF(VLOOKUP(A72,tbMoveset!A2:K112,11,FALSE)=TRUE,Backdoors!AC5,1))*X72,0),"")</f>
        <v>0</v>
      </c>
      <c r="AB72" s="49">
        <f>VLOOKUP(A72,tbMoveset!A2:G112,7,FALSE)*IFERROR(IF(Backdoors!AI12&gt;=0,1+(IF(Calculator!E40&gt;0,VLOOKUP(Calculator!E40,tbSkills!AI3:AJ5,2,FALSE),Backdoors!AL4)*(IF((Backdoors!AI12+IF(W72&gt;=0.45,VLOOKUP(Calculator!E23,tbSkills!DH3:DI6,2,FALSE)+IF(AND(Calculator!B8=TRUE,Backdoors!BI6=TRUE),VLOOKUP(Calculator!E23,tbSkills!DH3:DJ6,3,FALSE),0),0))&gt;=100,100,(Backdoors!AI12+IF(W72&gt;=0.45,VLOOKUP(Calculator!E23,tbSkills!DH3:DI6,2,FALSE)+IF(AND(Calculator!B8=TRUE,Backdoors!BI6=TRUE),VLOOKUP(Calculator!E23,tbSkills!DH3:DJ6,3,FALSE),0),0)))/100)),1),1)</f>
        <v>0.4</v>
      </c>
      <c r="AC72" s="87">
        <f t="shared" si="54"/>
        <v>3</v>
      </c>
      <c r="AD72" s="86">
        <f>IFERROR(IF(VLOOKUP(A72,tbMoveset!A2:B112,2,FALSE)="Sever",Backdoors!AY7/100,IF(VLOOKUP(A72,tbMoveset!A2:B112,2,FALSE)="Blunt",Backdoors!AZ7/100,Backdoors!BA7/100)),"")</f>
        <v>0.65</v>
      </c>
      <c r="AE72" s="49">
        <f>IFERROR(IF(VLOOKUP(tbMoveset!A72,tbMoveset!A2:H112,8,FALSE)="Other",IF(VLOOKUP(tbMoveset!A72,tbMoveset!A2:I112,9,FALSE)="Fire",Backdoors!BB7,IF(VLOOKUP(tbMoveset!A72,tbMoveset!A2:I112,9,FALSE)="Water",Backdoors!BC7,IF(VLOOKUP(tbMoveset!A72,tbMoveset!A2:I112,9,FALSE)="Thunder",Backdoors!BD7,IF(VLOOKUP(tbMoveset!A72,tbMoveset!A2:I112,9,FALSE)="Ice",Backdoors!BE7,IF(VLOOKUP(tbMoveset!A72,tbMoveset!A2:I112,9,FALSE)="Dragon",Backdoors!BF7,Backdoors!BG7)))))/100,Backdoors!BG7/100),"")</f>
        <v>0</v>
      </c>
      <c r="AF72" s="49">
        <f>IFERROR(IF(VLOOKUP(A72,tbMoveset!A2:J112,10,FALSE)=TRUE,IF((Backdoors!AI12+IF(AD72&gt;=0.45,VLOOKUP(Calculator!E23,tbSkills!DH3:DI6,2,FALSE)+IF(AND(Calculator!B8=TRUE,Backdoors!BI7=TRUE),VLOOKUP(Calculator!E23,tbSkills!DH3:DJ6,3,FALSE),0),0))&gt;=0,1+(Backdoors!AL2*(IF((Backdoors!AI12+IF(AD72&gt;=0.45,VLOOKUP(Calculator!E23,tbSkills!DH3:DI6,2,FALSE)+IF(AND(Calculator!B8=TRUE,Backdoors!BI7=TRUE),VLOOKUP(Calculator!E23,tbSkills!DH3:DJ6,3,FALSE),0),0))&gt;=100,100,(Backdoors!AI12+IF(AD72&gt;=0.45,VLOOKUP(Calculator!E23,tbSkills!DH3:DI6,2,FALSE)+IF(AND(Calculator!B8=TRUE,Backdoors!BI7=TRUE),VLOOKUP(Calculator!E23,tbSkills!DH3:DJ6,3,FALSE),0),0)))/100)),(1-(0.25*((-Backdoors!AI12-IF(AD72&gt;=0.45,VLOOKUP(Calculator!E23,tbSkills!DH3:DI6,2,FALSE)+IF(AND(Calculator!B8=TRUE,Backdoors!BI7=TRUE),VLOOKUP(Calculator!E23,tbSkills!DH3:DJ6,3,FALSE),0),0))/100)))),1),"")</f>
        <v>1</v>
      </c>
      <c r="AG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D72)*AF72)*(VLOOKUP(A72,tbMoveset!A2:C112,3,FALSE)/100)*IF(VLOOKUP(A72,tbMoveset!A2:B112,2,FALSE)="Projectile",Backdoors!N10,Backdoors!N9),0),"")</f>
        <v>5</v>
      </c>
      <c r="AH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D72&gt;=0.45,VLOOKUP(Calculator!E23,tbSkills!DH3:DI6,2,FALSE)+IF(AND(Calculator!B8=TRUE,Backdoors!BI7=TRUE),VLOOKUP(Calculator!E23,tbSkills!DH3:DJ6,3,FALSE),0),0))&gt;=100,100,(Backdoors!AI12+IF(AD72&gt;=0.45,VLOOKUP(Calculator!E23,tbSkills!DH3:DI6,2,FALSE)+IF(AND(Calculator!B8=TRUE,Backdoors!BI7=TRUE),VLOOKUP(Calculator!E23,tbSkills!DH3:DJ6,3,FALSE),0),0)))/100)),1))*IF(VLOOKUP(A72,tbMoveset!A2:K112,11,FALSE)=TRUE,Backdoors!AC5,1))*AE72,0),"")</f>
        <v>0</v>
      </c>
      <c r="AI72" s="49">
        <f>VLOOKUP(A72,tbMoveset!A2:G112,7,FALSE)*IFERROR(IF(Backdoors!AI12&gt;=0,1+(IF(Calculator!E40&gt;0,VLOOKUP(Calculator!E40,tbSkills!AI3:AJ5,2,FALSE),Backdoors!AL4)*(IF((Backdoors!AI12+IF(AD72&gt;=0.45,VLOOKUP(Calculator!E23,tbSkills!DH3:DI6,2,FALSE)+IF(AND(Calculator!B8=TRUE,Backdoors!BI7=TRUE),VLOOKUP(Calculator!E23,tbSkills!DH3:DJ6,3,FALSE),0),0))&gt;=100,100,(Backdoors!AI12+IF(AD72&gt;=0.45,VLOOKUP(Calculator!E23,tbSkills!DH3:DI6,2,FALSE)+IF(AND(Calculator!B8=TRUE,Backdoors!BI7=TRUE),VLOOKUP(Calculator!E23,tbSkills!DH3:DJ6,3,FALSE),0),0)))/100)),1),1)</f>
        <v>0.4</v>
      </c>
      <c r="AJ72" s="87">
        <f t="shared" si="55"/>
        <v>5</v>
      </c>
      <c r="AK72" s="91">
        <f>IFERROR(IF(VLOOKUP(A72,tbMoveset!A2:B112,2,FALSE)="Sever",Backdoors!AY8/100,IF(VLOOKUP(A72,tbMoveset!A2:B112,2,FALSE)="Blunt",Backdoors!AZ8/100,Backdoors!BA8/100)),"")</f>
        <v>0.45</v>
      </c>
      <c r="AL72" s="49">
        <f>IFERROR(IF(VLOOKUP(tbMoveset!A72,tbMoveset!A2:H112,8,FALSE)="Other",IF(VLOOKUP(tbMoveset!A72,tbMoveset!A2:I112,9,FALSE)="Fire",Backdoors!BB8,IF(VLOOKUP(tbMoveset!A72,tbMoveset!A2:I112,9,FALSE)="Water",Backdoors!BC8,IF(VLOOKUP(tbMoveset!A72,tbMoveset!A2:I112,9,FALSE)="Thunder",Backdoors!BD8,IF(VLOOKUP(tbMoveset!A72,tbMoveset!A2:I112,9,FALSE)="Ice",Backdoors!BE8,IF(VLOOKUP(tbMoveset!A72,tbMoveset!A2:I112,9,FALSE)="Dragon",Backdoors!BF8,Backdoors!BG8)))))/100,Backdoors!BG8/100),"")</f>
        <v>0</v>
      </c>
      <c r="AM72" s="49">
        <f>IFERROR(IF(VLOOKUP(A72,tbMoveset!A2:J112,10,FALSE)=TRUE,IF((Backdoors!AI12+IF(AK72&gt;=0.45,VLOOKUP(Calculator!E23,tbSkills!DH3:DI6,2,FALSE)+IF(AND(Calculator!B8=TRUE,Backdoors!BI8=TRUE),VLOOKUP(Calculator!E23,tbSkills!DH3:DJ6,3,FALSE),0),0))&gt;=0,1+(Backdoors!AL2*(IF((Backdoors!AI12+IF(AK72&gt;=0.45,VLOOKUP(Calculator!E23,tbSkills!DH3:DI6,2,FALSE)+IF(AND(Calculator!B8=TRUE,Backdoors!BI8=TRUE),VLOOKUP(Calculator!E23,tbSkills!DH3:DJ6,3,FALSE),0),0))&gt;=100,100,(Backdoors!AI12+IF(AK72&gt;=0.45,VLOOKUP(Calculator!E23,tbSkills!DH3:DI6,2,FALSE)+IF(AND(Calculator!B8=TRUE,Backdoors!BI8=TRUE),VLOOKUP(Calculator!E23,tbSkills!DH3:DJ6,3,FALSE),0),0)))/100)),(1-(0.25*((-Backdoors!AI12-IF(AK72&gt;=0.45,VLOOKUP(Calculator!E23,tbSkills!DH3:DI6,2,FALSE)+IF(AND(Calculator!B8=TRUE,Backdoors!BI8=TRUE),VLOOKUP(Calculator!E23,tbSkills!DH3:DJ6,3,FALSE),0),0))/100)))),1),"")</f>
        <v>1</v>
      </c>
      <c r="AN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K72)*AM72)*(VLOOKUP(A72,tbMoveset!A2:C112,3,FALSE)/100)*IF(VLOOKUP(A72,tbMoveset!A2:B112,2,FALSE)="Projectile",Backdoors!N10,Backdoors!N9),0),"")</f>
        <v>3</v>
      </c>
      <c r="AO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K72&gt;=0.45,VLOOKUP(Calculator!E23,tbSkills!DH3:DI6,2,FALSE)+IF(AND(Calculator!B8=TRUE,Backdoors!BI8=TRUE),VLOOKUP(Calculator!E23,tbSkills!DH3:DJ6,3,FALSE),0),0))&gt;=100,100,(Backdoors!AI12+IF(AK72&gt;=0.45,VLOOKUP(Calculator!E23,tbSkills!DH3:DI6,2,FALSE)+IF(AND(Calculator!B8=TRUE,Backdoors!BI8=TRUE),VLOOKUP(Calculator!E23,tbSkills!DH3:DJ6,3,FALSE),0),0)))/100)),1))*IF(VLOOKUP(A72,tbMoveset!A2:K112,11,FALSE)=TRUE,Backdoors!AC5,1))*AL72,0),"")</f>
        <v>0</v>
      </c>
      <c r="AP72" s="49">
        <f>VLOOKUP(A72,tbMoveset!A2:G112,7,FALSE)*IFERROR(IF(Backdoors!AI12&gt;=0,1+(IF(Calculator!E40&gt;0,VLOOKUP(Calculator!E40,tbSkills!AI3:AJ5,2,FALSE),Backdoors!AL4)*(IF((Backdoors!AI12+IF(AK72&gt;=0.45,VLOOKUP(Calculator!E23,tbSkills!DH3:DI6,2,FALSE)+IF(AND(Calculator!B8=TRUE,Backdoors!BI8=TRUE),VLOOKUP(Calculator!E23,tbSkills!DH3:DJ6,3,FALSE),0),0))&gt;=100,100,(Backdoors!AI12+IF(AK72&gt;=0.45,VLOOKUP(Calculator!E23,tbSkills!DH3:DI6,2,FALSE)+IF(AND(Calculator!B8=TRUE,Backdoors!BI8=TRUE),VLOOKUP(Calculator!E23,tbSkills!DH3:DJ6,3,FALSE),0),0)))/100)),1),1)</f>
        <v>0.4</v>
      </c>
      <c r="AQ72" s="87">
        <f t="shared" si="56"/>
        <v>3</v>
      </c>
      <c r="AR72" s="86">
        <f>IFERROR(IF(VLOOKUP(A72,tbMoveset!A2:B112,2,FALSE)="Sever",Backdoors!AY9/100,IF(VLOOKUP(A72,tbMoveset!A2:B112,2,FALSE)="Blunt",Backdoors!AZ9/100,Backdoors!BA9/100)),"")</f>
        <v>0.45</v>
      </c>
      <c r="AS72" s="49">
        <f>IFERROR(IF(VLOOKUP(tbMoveset!A72,tbMoveset!A2:H112,8,FALSE)="Other",IF(VLOOKUP(tbMoveset!A72,tbMoveset!A2:I112,9,FALSE)="Fire",Backdoors!BB9,IF(VLOOKUP(tbMoveset!A72,tbMoveset!A2:I112,9,FALSE)="Water",Backdoors!BC9,IF(VLOOKUP(tbMoveset!A72,tbMoveset!A2:I112,9,FALSE)="Thunder",Backdoors!BD9,IF(VLOOKUP(tbMoveset!A72,tbMoveset!A2:I112,9,FALSE)="Ice",Backdoors!BE9,IF(VLOOKUP(tbMoveset!A72,tbMoveset!A2:I112,9,FALSE)="Dragon",Backdoors!BF9,Backdoors!BG9)))))/100,Backdoors!BG9/100),"")</f>
        <v>0</v>
      </c>
      <c r="AT72" s="49">
        <f>IFERROR(IF(VLOOKUP(A72,tbMoveset!A2:J112,10,FALSE)=TRUE,IF((Backdoors!AI12+IF(AR72&gt;=0.45,VLOOKUP(Calculator!E23,tbSkills!DH3:DI6,2,FALSE)+IF(AND(Calculator!B8=TRUE,Backdoors!BI9=TRUE),VLOOKUP(Calculator!E23,tbSkills!DH3:DJ6,3,FALSE),0),0))&gt;=0,1+(Backdoors!AL2*(IF((Backdoors!AI12+IF(AR72&gt;=0.45,VLOOKUP(Calculator!E23,tbSkills!DH3:DI6,2,FALSE)+IF(AND(Calculator!B8=TRUE,Backdoors!BI9=TRUE),VLOOKUP(Calculator!E23,tbSkills!DH3:DJ6,3,FALSE),0),0))&gt;=100,100,(Backdoors!AI12+IF(AR72&gt;=0.45,VLOOKUP(Calculator!E23,tbSkills!DH3:DI6,2,FALSE)+IF(AND(Calculator!B8=TRUE,Backdoors!BI9=TRUE),VLOOKUP(Calculator!E23,tbSkills!DH3:DJ6,3,FALSE),0),0)))/100)),(1-(0.25*((-Backdoors!AI12-IF(AR72&gt;=0.45,VLOOKUP(Calculator!E23,tbSkills!DH3:DI6,2,FALSE)+IF(AND(Calculator!B8=TRUE,Backdoors!BI9=TRUE),VLOOKUP(Calculator!E23,tbSkills!DH3:DJ6,3,FALSE),0),0))/100)))),1),"")</f>
        <v>1</v>
      </c>
      <c r="AU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R72)*AT72)*(VLOOKUP(A72,tbMoveset!A2:C112,3,FALSE)/100)*IF(VLOOKUP(A72,tbMoveset!A2:B112,2,FALSE)="Projectile",Backdoors!N10,Backdoors!N9),0),"")</f>
        <v>3</v>
      </c>
      <c r="AV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R72&gt;=0.45,VLOOKUP(Calculator!E23,tbSkills!DH3:DI6,2,FALSE)+IF(AND(Calculator!B8=TRUE,Backdoors!BI9=TRUE),VLOOKUP(Calculator!E23,tbSkills!DH3:DJ6,3,FALSE),0),0))&gt;=100,100,(Backdoors!AI12+IF(AR72&gt;=0.45,VLOOKUP(Calculator!E23,tbSkills!DH3:DI6,2,FALSE)+IF(AND(Calculator!B8=TRUE,Backdoors!BI9=TRUE),VLOOKUP(Calculator!E23,tbSkills!DH3:DJ6,3,FALSE),0),0)))/100)),1))*IF(VLOOKUP(A72,tbMoveset!A2:K112,11,FALSE)=TRUE,Backdoors!AC5,1))*AS72,0),"")</f>
        <v>0</v>
      </c>
      <c r="AW72" s="49">
        <f>VLOOKUP(A72,tbMoveset!A2:G112,7,FALSE)*IFERROR(IF(Backdoors!AI12&gt;=0,1+(IF(Calculator!E40&gt;0,VLOOKUP(Calculator!E40,tbSkills!AI3:AJ5,2,FALSE),Backdoors!AL4)*(IF((Backdoors!AI12+IF(AR72&gt;=0.45,VLOOKUP(Calculator!E23,tbSkills!DH3:DI6,2,FALSE)+IF(AND(Calculator!B8=TRUE,Backdoors!BI9=TRUE),VLOOKUP(Calculator!E23,tbSkills!DH3:DJ6,3,FALSE),0),0))&gt;=100,100,(Backdoors!AI12+IF(AR72&gt;=0.45,VLOOKUP(Calculator!E23,tbSkills!DH3:DI6,2,FALSE)+IF(AND(Calculator!B8=TRUE,Backdoors!BI9=TRUE),VLOOKUP(Calculator!E23,tbSkills!DH3:DJ6,3,FALSE),0),0)))/100)),1),1)</f>
        <v>0.4</v>
      </c>
      <c r="AX72" s="87">
        <f t="shared" si="57"/>
        <v>3</v>
      </c>
      <c r="AY72" s="86">
        <f>IFERROR(IF(VLOOKUP(A72,tbMoveset!A2:B112,2,FALSE)="Sever",Backdoors!AY10/100,IF(VLOOKUP(A72,tbMoveset!A2:B112,2,FALSE)="Blunt",Backdoors!AZ10/100,Backdoors!BA10/100)),"")</f>
        <v>0.9</v>
      </c>
      <c r="AZ72" s="49">
        <f>IFERROR(IF(VLOOKUP(tbMoveset!A72,tbMoveset!A2:H112,8,FALSE)="Other",IF(VLOOKUP(tbMoveset!A72,tbMoveset!A2:I112,9,FALSE)="Fire",Backdoors!BB10,IF(VLOOKUP(tbMoveset!A72,tbMoveset!A2:I112,9,FALSE)="Water",Backdoors!BC10,IF(VLOOKUP(tbMoveset!A72,tbMoveset!A2:I112,9,FALSE)="Thunder",Backdoors!BD10,IF(VLOOKUP(tbMoveset!A72,tbMoveset!A2:I112,9,FALSE)="Ice",Backdoors!BE10,IF(VLOOKUP(tbMoveset!A72,tbMoveset!A2:I112,9,FALSE)="Dragon",Backdoors!BF10,Backdoors!BG10)))))/100,Backdoors!BG10/100),"")</f>
        <v>0</v>
      </c>
      <c r="BA72" s="49">
        <f>IFERROR(IF(VLOOKUP(A72,tbMoveset!A2:J112,10,FALSE)=TRUE,IF((Backdoors!AI12+IF(AY72&gt;=0.45,VLOOKUP(Calculator!E23,tbSkills!DH3:DI6,2,FALSE)+IF(AND(Calculator!B8=TRUE,Backdoors!BI10=TRUE),VLOOKUP(Calculator!E23,tbSkills!DH3:DJ6,3,FALSE),0),0))&gt;=0,1+(Backdoors!AL2*(IF((Backdoors!AI12+IF(AY72&gt;=0.45,VLOOKUP(Calculator!E23,tbSkills!DH3:DI6,2,FALSE)+IF(AND(Calculator!B8=TRUE,Backdoors!BI10=TRUE),VLOOKUP(Calculator!E23,tbSkills!DH3:DJ6,3,FALSE),0),0))&gt;=100,100,(Backdoors!AI12+IF(AY72&gt;=0.45,VLOOKUP(Calculator!E23,tbSkills!DH3:DI6,2,FALSE)+IF(AND(Calculator!B8=TRUE,Backdoors!BI10=TRUE),VLOOKUP(Calculator!E23,tbSkills!DH3:DJ6,3,FALSE),0),0)))/100)),(1-(0.25*((-Backdoors!AI12-IF(AY72&gt;=0.45,VLOOKUP(Calculator!E23,tbSkills!DH3:DI6,2,FALSE)+IF(AND(Calculator!B8=TRUE,Backdoors!BI10=TRUE),VLOOKUP(Calculator!E23,tbSkills!DH3:DJ6,3,FALSE),0),0))/100)))),1),"")</f>
        <v>1</v>
      </c>
      <c r="BB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Y72)*BA72)*(VLOOKUP(A72,tbMoveset!A2:C112,3,FALSE)/100)*IF(VLOOKUP(A72,tbMoveset!A2:B112,2,FALSE)="Projectile",Backdoors!N10,Backdoors!N9),0),"")</f>
        <v>7</v>
      </c>
      <c r="BC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Y72&gt;=0.45,VLOOKUP(Calculator!E23,tbSkills!DH3:DI6,2,FALSE)+IF(AND(Calculator!B8=TRUE,Backdoors!BI10=TRUE),VLOOKUP(Calculator!E23,tbSkills!DH3:DJ6,3,FALSE),0),0))&gt;=100,100,(Backdoors!AI12+IF(AY72&gt;=0.45,VLOOKUP(Calculator!E23,tbSkills!DH3:DI6,2,FALSE)+IF(AND(Calculator!B8=TRUE,Backdoors!BI10=TRUE),VLOOKUP(Calculator!E23,tbSkills!DH3:DJ6,3,FALSE),0),0)))/100)),1))*IF(VLOOKUP(A72,tbMoveset!A2:K112,11,FALSE)=TRUE,Backdoors!AC5,1))*AZ72,0),"")</f>
        <v>0</v>
      </c>
      <c r="BD72" s="49">
        <f>VLOOKUP(A72,tbMoveset!A2:G112,7,FALSE)*IFERROR(IF(Backdoors!AI12&gt;=0,1+(IF(Calculator!E40&gt;0,VLOOKUP(Calculator!E40,tbSkills!AI3:AJ5,2,FALSE),Backdoors!AL4)*(IF((Backdoors!AI12+IF(AY72&gt;=0.45,VLOOKUP(Calculator!E23,tbSkills!DH3:DI6,2,FALSE)+IF(AND(Calculator!B8=TRUE,Backdoors!BI10=TRUE),VLOOKUP(Calculator!E23,tbSkills!DH3:DJ6,3,FALSE),0),0))&gt;=100,100,(Backdoors!AI12+IF(AY72&gt;=0.45,VLOOKUP(Calculator!E23,tbSkills!DH3:DI6,2,FALSE)+IF(AND(Calculator!B8=TRUE,Backdoors!BI10=TRUE),VLOOKUP(Calculator!E23,tbSkills!DH3:DJ6,3,FALSE),0),0)))/100)),1),1)</f>
        <v>0.4</v>
      </c>
      <c r="BE72" s="87">
        <f t="shared" si="58"/>
        <v>7</v>
      </c>
      <c r="BF72" s="86" t="str">
        <f>IFERROR(IF(VLOOKUP(A72,tbMoveset!A2:B112,2,FALSE)="Sever",Backdoors!AY11/100,IF(VLOOKUP(A72,tbMoveset!A2:B112,2,FALSE)="Blunt",Backdoors!AZ11/100,Backdoors!BA11/100)),"")</f>
        <v/>
      </c>
      <c r="BG72" s="49">
        <f>IFERROR(IF(VLOOKUP(tbMoveset!A72,tbMoveset!A2:H112,8,FALSE)="Other",IF(VLOOKUP(tbMoveset!A72,tbMoveset!A2:I112,9,FALSE)="Fire",Backdoors!BB11,IF(VLOOKUP(tbMoveset!A72,tbMoveset!A2:I112,9,FALSE)="Water",Backdoors!BC11,IF(VLOOKUP(tbMoveset!A72,tbMoveset!A2:I112,9,FALSE)="Thunder",Backdoors!BD11,IF(VLOOKUP(tbMoveset!A72,tbMoveset!A2:I112,9,FALSE)="Ice",Backdoors!BE11,IF(VLOOKUP(tbMoveset!A72,tbMoveset!A2:I112,9,FALSE)="Dragon",Backdoors!BF11,Backdoors!BG11)))))/100,Backdoors!BG11/100),"")</f>
        <v>0</v>
      </c>
      <c r="BH72" s="49">
        <f>IFERROR(IF(VLOOKUP(A72,tbMoveset!A2:J112,10,FALSE)=TRUE,IF((Backdoors!AI12+IF(BF72&gt;=0.45,VLOOKUP(Calculator!E23,tbSkills!DH3:DI6,2,FALSE)+IF(AND(Calculator!B8=TRUE,Backdoors!BI11=TRUE),VLOOKUP(Calculator!E23,tbSkills!DH3:DJ6,3,FALSE),0),0))&gt;=0,1+(Backdoors!AL2*(IF((Backdoors!AI12+IF(BF72&gt;=0.45,VLOOKUP(Calculator!E23,tbSkills!DH3:DI6,2,FALSE)+IF(AND(Calculator!B8=TRUE,Backdoors!BI11=TRUE),VLOOKUP(Calculator!E23,tbSkills!DH3:DJ6,3,FALSE),0),0))&gt;=100,100,(Backdoors!AI12+IF(BF72&gt;=0.45,VLOOKUP(Calculator!E23,tbSkills!DH3:DI6,2,FALSE)+IF(AND(Calculator!B8=TRUE,Backdoors!BI11=TRUE),VLOOKUP(Calculator!E23,tbSkills!DH3:DJ6,3,FALSE),0),0)))/100)),(1-(0.25*((-Backdoors!AI12-IF(BF72&gt;=0.45,VLOOKUP(Calculator!E23,tbSkills!DH3:DI6,2,FALSE)+IF(AND(Calculator!B8=TRUE,Backdoors!BI11=TRUE),VLOOKUP(Calculator!E23,tbSkills!DH3:DJ6,3,FALSE),0),0))/100)))),1),"")</f>
        <v>1</v>
      </c>
      <c r="BI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F72)*BH72)*(VLOOKUP(A72,tbMoveset!A2:C112,3,FALSE)/100)*IF(VLOOKUP(A72,tbMoveset!A2:B112,2,FALSE)="Projectile",Backdoors!N10,Backdoors!N9),0),"")</f>
        <v/>
      </c>
      <c r="BJ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F72&gt;=0.45,VLOOKUP(Calculator!E23,tbSkills!DH3:DI6,2,FALSE)+IF(AND(Calculator!B8=TRUE,Backdoors!BI11=TRUE),VLOOKUP(Calculator!E23,tbSkills!DH3:DJ6,3,FALSE),0),0))&gt;=100,100,(Backdoors!AI12+IF(BF72&gt;=0.45,VLOOKUP(Calculator!E23,tbSkills!DH3:DI6,2,FALSE)+IF(AND(Calculator!B8=TRUE,Backdoors!BI11=TRUE),VLOOKUP(Calculator!E23,tbSkills!DH3:DJ6,3,FALSE),0),0)))/100)),1))*IF(VLOOKUP(A72,tbMoveset!A2:K112,11,FALSE)=TRUE,Backdoors!AC5,1))*BG72,0),"")</f>
        <v>0</v>
      </c>
      <c r="BK72" s="49">
        <f>VLOOKUP(A72,tbMoveset!A2:G112,7,FALSE)*IFERROR(IF(Backdoors!AI12&gt;=0,1+(IF(Calculator!E40&gt;0,VLOOKUP(Calculator!E40,tbSkills!AI3:AJ5,2,FALSE),Backdoors!AL4)*(IF((Backdoors!AI12+IF(BF72&gt;=0.45,VLOOKUP(Calculator!E23,tbSkills!DH3:DI6,2,FALSE)+IF(AND(Calculator!B8=TRUE,Backdoors!BI11=TRUE),VLOOKUP(Calculator!E23,tbSkills!DH3:DJ6,3,FALSE),0),0))&gt;=100,100,(Backdoors!AI12+IF(BF72&gt;=0.45,VLOOKUP(Calculator!E23,tbSkills!DH3:DI6,2,FALSE)+IF(AND(Calculator!B8=TRUE,Backdoors!BI11=TRUE),VLOOKUP(Calculator!E23,tbSkills!DH3:DJ6,3,FALSE),0),0)))/100)),1),1)</f>
        <v>0.4</v>
      </c>
      <c r="BL72" s="87">
        <f t="shared" si="59"/>
        <v>0</v>
      </c>
      <c r="BM72" s="86" t="str">
        <f>IFERROR(IF(VLOOKUP(A72,tbMoveset!A2:B112,2,FALSE)="Sever",Backdoors!AY12/100,IF(VLOOKUP(A72,tbMoveset!A2:B112,2,FALSE)="Blunt",Backdoors!AZ12/100,Backdoors!BA12/100)),"")</f>
        <v/>
      </c>
      <c r="BN72" s="49">
        <f>IFERROR(IF(VLOOKUP(tbMoveset!A72,tbMoveset!A2:H112,8,FALSE)="Other",IF(VLOOKUP(tbMoveset!A72,tbMoveset!A2:I112,9,FALSE)="Fire",Backdoors!BB12,IF(VLOOKUP(tbMoveset!A72,tbMoveset!A2:I112,9,FALSE)="Water",Backdoors!BC12,IF(VLOOKUP(tbMoveset!A72,tbMoveset!A2:I112,9,FALSE)="Thunder",Backdoors!BD12,IF(VLOOKUP(tbMoveset!A72,tbMoveset!A2:I112,9,FALSE)="Ice",Backdoors!BE12,IF(VLOOKUP(tbMoveset!A72,tbMoveset!A2:I112,9,FALSE)="Dragon",Backdoors!BF12,Backdoors!BG12)))))/100,Backdoors!BG12/100),"")</f>
        <v>0</v>
      </c>
      <c r="BO72" s="49">
        <f>IFERROR(IF(VLOOKUP(A72,tbMoveset!A2:J112,10,FALSE)=TRUE,IF((Backdoors!AI12+IF(BM72&gt;=0.45,VLOOKUP(Calculator!E23,tbSkills!DH3:DI6,2,FALSE)+IF(AND(Calculator!B8=TRUE,Backdoors!BI12=TRUE),VLOOKUP(Calculator!E23,tbSkills!DH3:DJ6,3,FALSE),0),0))&gt;=0,1+(Backdoors!AL2*(IF((Backdoors!AI12+IF(BM72&gt;=0.45,VLOOKUP(Calculator!E23,tbSkills!DH3:DI6,2,FALSE)+IF(AND(Calculator!B8=TRUE,Backdoors!BI12=TRUE),VLOOKUP(Calculator!E23,tbSkills!DH3:DJ6,3,FALSE),0),0))&gt;=100,100,(Backdoors!AI12+IF(BM72&gt;=0.45,VLOOKUP(Calculator!E23,tbSkills!DH3:DI6,2,FALSE)+IF(AND(Calculator!B8=TRUE,Backdoors!BI12=TRUE),VLOOKUP(Calculator!E23,tbSkills!DH3:DJ6,3,FALSE),0),0)))/100)),(1-(0.25*((-Backdoors!AI12-IF(BM72&gt;=0.45,VLOOKUP(Calculator!E23,tbSkills!DH3:DI6,2,FALSE)+IF(AND(Calculator!B8=TRUE,Backdoors!BI12=TRUE),VLOOKUP(Calculator!E23,tbSkills!DH3:DJ6,3,FALSE),0),0))/100)))),1),"")</f>
        <v>1</v>
      </c>
      <c r="BP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M72)*BO72)*(VLOOKUP(A72,tbMoveset!A2:C112,3,FALSE)/100)*IF(VLOOKUP(A72,tbMoveset!A2:B112,2,FALSE)="Projectile",Backdoors!N10,Backdoors!N9),0),"")</f>
        <v/>
      </c>
      <c r="BQ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M72&gt;=0.45,VLOOKUP(Calculator!E23,tbSkills!DH3:DI6,2,FALSE)+IF(AND(Calculator!B8=TRUE,Backdoors!BI12=TRUE),VLOOKUP(Calculator!E23,tbSkills!DH3:DJ6,3,FALSE),0),0))&gt;=100,100,(Backdoors!AI12+IF(BM72&gt;=0.45,VLOOKUP(Calculator!E23,tbSkills!DH3:DI6,2,FALSE)+IF(AND(Calculator!B8=TRUE,Backdoors!BI12=TRUE),VLOOKUP(Calculator!E23,tbSkills!DH3:DJ6,3,FALSE),0),0)))/100)),1))*IF(VLOOKUP(A72,tbMoveset!A2:K112,11,FALSE)=TRUE,Backdoors!AC5,1))*BN72,0),"")</f>
        <v>0</v>
      </c>
      <c r="BR72" s="49">
        <f>VLOOKUP(A72,tbMoveset!A2:G112,7,FALSE)*IFERROR(IF(Backdoors!AI12&gt;=0,1+(IF(Calculator!E40&gt;0,VLOOKUP(Calculator!E40,tbSkills!AI3:AJ5,2,FALSE),Backdoors!AL4)*(IF((Backdoors!AI12+IF(BM72&gt;=0.45,VLOOKUP(Calculator!E23,tbSkills!DH3:DI6,2,FALSE)+IF(AND(Calculator!B8=TRUE,Backdoors!BI12=TRUE),VLOOKUP(Calculator!E23,tbSkills!DH3:DJ6,3,FALSE),0),0))&gt;=100,100,(Backdoors!AI12+IF(BM72&gt;=0.45,VLOOKUP(Calculator!E23,tbSkills!DH3:DI6,2,FALSE)+IF(AND(Calculator!B8=TRUE,Backdoors!BI12=TRUE),VLOOKUP(Calculator!E23,tbSkills!DH3:DJ6,3,FALSE),0),0)))/100)),1),1)</f>
        <v>0.4</v>
      </c>
      <c r="BS72" s="87">
        <f t="shared" si="60"/>
        <v>0</v>
      </c>
      <c r="BT72" s="86" t="str">
        <f>IFERROR(IF(VLOOKUP(A72,tbMoveset!A2:B112,2,FALSE)="Sever",Backdoors!AY13/100,IF(VLOOKUP(A72,tbMoveset!A2:B112,2,FALSE)="Blunt",Backdoors!AZ13/100,Backdoors!BA13/100)),"")</f>
        <v/>
      </c>
      <c r="BU72" s="49">
        <f>IFERROR(IF(VLOOKUP(tbMoveset!A72,tbMoveset!A2:H112,8,FALSE)="Other",IF(VLOOKUP(tbMoveset!A72,tbMoveset!A2:I112,9,FALSE)="Fire",Backdoors!BB13,IF(VLOOKUP(tbMoveset!A72,tbMoveset!A2:I112,9,FALSE)="Water",Backdoors!BC13,IF(VLOOKUP(tbMoveset!A72,tbMoveset!A2:I112,9,FALSE)="Thunder",Backdoors!BD13,IF(VLOOKUP(tbMoveset!A72,tbMoveset!A2:I112,9,FALSE)="Ice",Backdoors!BE13,IF(VLOOKUP(tbMoveset!A72,tbMoveset!A2:I112,9,FALSE)="Dragon",Backdoors!BF13,Backdoors!BG13)))))/100,Backdoors!BG13/100),"")</f>
        <v>0</v>
      </c>
      <c r="BV72" s="49">
        <f>IFERROR(IF(VLOOKUP(A72,tbMoveset!A2:J112,10,FALSE)=TRUE,IF((Backdoors!AI12+IF(BT72&gt;=0.45,VLOOKUP(Calculator!E23,tbSkills!DH3:DI6,2,FALSE)+IF(AND(Calculator!B8=TRUE,Backdoors!BI13=TRUE),VLOOKUP(Calculator!E23,tbSkills!DH3:DJ6,3,FALSE),0),0))&gt;=0,1+(Backdoors!AL2*(IF((Backdoors!AI12+IF(BT72&gt;=0.45,VLOOKUP(Calculator!E23,tbSkills!DH3:DI6,2,FALSE)+IF(AND(Calculator!B8=TRUE,Backdoors!BI13=TRUE),VLOOKUP(Calculator!E23,tbSkills!DH3:DJ6,3,FALSE),0),0))&gt;=100,100,(Backdoors!AI12+IF(BT72&gt;=0.45,VLOOKUP(Calculator!E23,tbSkills!DH3:DI6,2,FALSE)+IF(AND(Calculator!B8=TRUE,Backdoors!BI13=TRUE),VLOOKUP(Calculator!E23,tbSkills!DH3:DJ6,3,FALSE),0),0)))/100)),(1-(0.25*((-Backdoors!AI12-IF(BT72&gt;=0.45,VLOOKUP(Calculator!E23,tbSkills!DH3:DI6,2,FALSE)+IF(AND(Calculator!B8=TRUE,Backdoors!BI13=TRUE),VLOOKUP(Calculator!E23,tbSkills!DH3:DJ6,3,FALSE),0),0))/100)))),1),"")</f>
        <v>1</v>
      </c>
      <c r="BW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T72)*BV72)*(VLOOKUP(A72,tbMoveset!A2:C112,3,FALSE)/100)*IF(VLOOKUP(A72,tbMoveset!A2:B112,2,FALSE)="Projectile",Backdoors!N10,Backdoors!N9),0),"")</f>
        <v/>
      </c>
      <c r="BX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T72&gt;=0.45,VLOOKUP(Calculator!E23,tbSkills!DH3:DI6,2,FALSE)+IF(AND(Calculator!B8=TRUE,Backdoors!BI13=TRUE),VLOOKUP(Calculator!E23,tbSkills!DH3:DJ6,3,FALSE),0),0))&gt;=100,100,(Backdoors!AI12+IF(BT72&gt;=0.45,VLOOKUP(Calculator!E23,tbSkills!DH3:DI6,2,FALSE)+IF(AND(Calculator!B8=TRUE,Backdoors!BI13=TRUE),VLOOKUP(Calculator!E23,tbSkills!DH3:DJ6,3,FALSE),0),0)))/100)),1))*IF(VLOOKUP(A72,tbMoveset!A2:K112,11,FALSE)=TRUE,Backdoors!AC5,1))*BU72,0),"")</f>
        <v>0</v>
      </c>
      <c r="BY72" s="49">
        <f>VLOOKUP(A72,tbMoveset!A2:G112,7,FALSE)*IFERROR(IF(Backdoors!AI12&gt;=0,1+(IF(Calculator!E40&gt;0,VLOOKUP(Calculator!E40,tbSkills!AI3:AJ5,2,FALSE),Backdoors!AL4)*(IF((Backdoors!AI12+IF(BT72&gt;=0.45,VLOOKUP(Calculator!E23,tbSkills!DH3:DI6,2,FALSE)+IF(AND(Calculator!B8=TRUE,Backdoors!BI13=TRUE),VLOOKUP(Calculator!E23,tbSkills!DH3:DJ6,3,FALSE),0),0))&gt;=100,100,(Backdoors!AI12+IF(BT72&gt;=0.45,VLOOKUP(Calculator!E23,tbSkills!DH3:DI6,2,FALSE)+IF(AND(Calculator!B8=TRUE,Backdoors!BI13=TRUE),VLOOKUP(Calculator!E23,tbSkills!DH3:DJ6,3,FALSE),0),0)))/100)),1),1)</f>
        <v>0.4</v>
      </c>
      <c r="BZ72" s="87">
        <f t="shared" si="61"/>
        <v>0</v>
      </c>
      <c r="CA72" s="86" t="str">
        <f>IFERROR(IF(VLOOKUP(A72,tbMoveset!A2:B112,2,FALSE)="Sever",Backdoors!AY14/100,IF(VLOOKUP(A72,tbMoveset!A2:B112,2,FALSE)="Blunt",Backdoors!AZ14/100,Backdoors!BA14/100)),"")</f>
        <v/>
      </c>
      <c r="CB72" s="49">
        <f>IFERROR(IF(VLOOKUP(tbMoveset!A72,tbMoveset!A2:H112,8,FALSE)="Other",IF(VLOOKUP(tbMoveset!A72,tbMoveset!A2:I112,9,FALSE)="Fire",Backdoors!BB14,IF(VLOOKUP(tbMoveset!A72,tbMoveset!A2:I112,9,FALSE)="Water",Backdoors!BC14,IF(VLOOKUP(tbMoveset!A72,tbMoveset!A2:I112,9,FALSE)="Thunder",Backdoors!BD14,IF(VLOOKUP(tbMoveset!A72,tbMoveset!A2:I112,9,FALSE)="Ice",Backdoors!BE14,IF(VLOOKUP(tbMoveset!A72,tbMoveset!A2:I112,9,FALSE)="Dragon",Backdoors!BF14,Backdoors!BG14)))))/100,Backdoors!BG14/100),"")</f>
        <v>0</v>
      </c>
      <c r="CC72" s="49">
        <f>IFERROR(IF(VLOOKUP(A72,tbMoveset!A2:J112,10,FALSE)=TRUE,IF((Backdoors!AI12+IF(CA72&gt;=0.45,VLOOKUP(Calculator!E23,tbSkills!DH3:DI6,2,FALSE)+IF(AND(Calculator!B8=TRUE,Backdoors!BI14=TRUE),VLOOKUP(Calculator!E23,tbSkills!DH3:DJ6,3,FALSE),0),0))&gt;=0,1+(Backdoors!AL2*(IF((Backdoors!AI12+IF(CA72&gt;=0.45,VLOOKUP(Calculator!E23,tbSkills!DH3:DI6,2,FALSE)+IF(AND(Calculator!B8=TRUE,Backdoors!BI14=TRUE),VLOOKUP(Calculator!E23,tbSkills!DH3:DJ6,3,FALSE),0),0))&gt;=100,100,(Backdoors!AI12+IF(CA72&gt;=0.45,VLOOKUP(Calculator!E23,tbSkills!DH3:DI6,2,FALSE)+IF(AND(Calculator!B8=TRUE,Backdoors!BI14=TRUE),VLOOKUP(Calculator!E23,tbSkills!DH3:DJ6,3,FALSE),0),0)))/100)),(1-(0.25*((-Backdoors!AI12-IF(CA72&gt;=0.45,VLOOKUP(Calculator!E23,tbSkills!DH3:DI6,2,FALSE)+IF(AND(Calculator!B8=TRUE,Backdoors!BI14=TRUE),VLOOKUP(Calculator!E23,tbSkills!DH3:DJ6,3,FALSE),0),0))/100)))),1),"")</f>
        <v>1</v>
      </c>
      <c r="CD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A72)*CC72)*(VLOOKUP(A72,tbMoveset!A2:C112,3,FALSE)/100)*IF(VLOOKUP(A72,tbMoveset!A2:B112,2,FALSE)="Projectile",Backdoors!N10,Backdoors!N9),0),"")</f>
        <v/>
      </c>
      <c r="CE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A72&gt;=0.45,VLOOKUP(Calculator!E23,tbSkills!DH3:DI6,2,FALSE)+IF(AND(Calculator!B8=TRUE,Backdoors!BI14=TRUE),VLOOKUP(Calculator!E23,tbSkills!DH3:DJ6,3,FALSE),0),0))&gt;=100,100,(Backdoors!AI12+IF(CA72&gt;=0.45,VLOOKUP(Calculator!E23,tbSkills!DH3:DI6,2,FALSE)+IF(AND(Calculator!B8=TRUE,Backdoors!BI14=TRUE),VLOOKUP(Calculator!E23,tbSkills!DH3:DJ6,3,FALSE),0),0)))/100)),1))*IF(VLOOKUP(A72,tbMoveset!A2:K112,11,FALSE)=TRUE,Backdoors!AC5,1))*CB72,0),"")</f>
        <v>0</v>
      </c>
      <c r="CF72" s="49">
        <f>VLOOKUP(A72,tbMoveset!A2:G112,7,FALSE)*IFERROR(IF(Backdoors!AI12&gt;=0,1+(IF(Calculator!E40&gt;0,VLOOKUP(Calculator!E40,tbSkills!AI3:AJ5,2,FALSE),Backdoors!AL4)*(IF((Backdoors!AI12+IF(CA72&gt;=0.45,VLOOKUP(Calculator!E23,tbSkills!DH3:DI6,2,FALSE)+IF(AND(Calculator!B8=TRUE,Backdoors!BI14=TRUE),VLOOKUP(Calculator!E23,tbSkills!DH3:DJ6,3,FALSE),0),0))&gt;=100,100,(Backdoors!AI12+IF(CA72&gt;=0.45,VLOOKUP(Calculator!E23,tbSkills!DH3:DI6,2,FALSE)+IF(AND(Calculator!B8=TRUE,Backdoors!BI14=TRUE),VLOOKUP(Calculator!E23,tbSkills!DH3:DJ6,3,FALSE),0),0)))/100)),1),1)</f>
        <v>0.4</v>
      </c>
      <c r="CG72" s="87">
        <f t="shared" si="62"/>
        <v>0</v>
      </c>
      <c r="CH72" s="86" t="str">
        <f>IFERROR(IF(VLOOKUP(A72,tbMoveset!A2:B112,2,FALSE)="Sever",Backdoors!AY15/100,IF(VLOOKUP(A72,tbMoveset!A2:B112,2,FALSE)="Blunt",Backdoors!AZ15/100,Backdoors!BA15/100)),"")</f>
        <v/>
      </c>
      <c r="CI72" s="49">
        <f>IFERROR(IF(VLOOKUP(tbMoveset!A72,tbMoveset!A2:H112,8,FALSE)="Other",IF(VLOOKUP(tbMoveset!A72,tbMoveset!A2:I112,9,FALSE)="Fire",Backdoors!BB15,IF(VLOOKUP(tbMoveset!A72,tbMoveset!A2:I112,9,FALSE)="Water",Backdoors!BC15,IF(VLOOKUP(tbMoveset!A72,tbMoveset!A2:I112,9,FALSE)="Thunder",Backdoors!BD15,IF(VLOOKUP(tbMoveset!A72,tbMoveset!A2:I112,9,FALSE)="Ice",Backdoors!BE15,IF(VLOOKUP(tbMoveset!A72,tbMoveset!A2:I112,9,FALSE)="Dragon",Backdoors!BF15,Backdoors!BG15)))))/100,Backdoors!BG15/100),"")</f>
        <v>0</v>
      </c>
      <c r="CJ72" s="49">
        <f>IFERROR(IF(VLOOKUP(A72,tbMoveset!A2:J112,10,FALSE)=TRUE,IF((Backdoors!AI12+IF(CH72&gt;=0.45,VLOOKUP(Calculator!E23,tbSkills!DH3:DI6,2,FALSE)+IF(AND(Calculator!B8=TRUE,Backdoors!BI15=TRUE),VLOOKUP(Calculator!E23,tbSkills!DH3:DJ6,3,FALSE),0),0))&gt;=0,1+(Backdoors!AL2*(IF((Backdoors!AI12+IF(CH72&gt;=0.45,VLOOKUP(Calculator!E23,tbSkills!DH3:DI6,2,FALSE)+IF(AND(Calculator!B8=TRUE,Backdoors!BI15=TRUE),VLOOKUP(Calculator!E23,tbSkills!DH3:DJ6,3,FALSE),0),0))&gt;=100,100,(Backdoors!AI12+IF(CH72&gt;=0.45,VLOOKUP(Calculator!E23,tbSkills!DH3:DI6,2,FALSE)+IF(AND(Calculator!B8=TRUE,Backdoors!BI15=TRUE),VLOOKUP(Calculator!E23,tbSkills!DH3:DJ6,3,FALSE),0),0)))/100)),(1-(0.25*((-Backdoors!AI12-IF(CH72&gt;=0.45,VLOOKUP(Calculator!E23,tbSkills!DH3:DI6,2,FALSE)+IF(AND(Calculator!B8=TRUE,Backdoors!BI15=TRUE),VLOOKUP(Calculator!E23,tbSkills!DH3:DJ6,3,FALSE),0),0))/100)))),1),"")</f>
        <v>1</v>
      </c>
      <c r="CK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H72)*CJ72)*(VLOOKUP(A72,tbMoveset!A2:C112,3,FALSE)/100)*IF(VLOOKUP(A72,tbMoveset!A2:B112,2,FALSE)="Projectile",Backdoors!N10,Backdoors!N9),0),"")</f>
        <v/>
      </c>
      <c r="CL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H72&gt;=0.45,VLOOKUP(Calculator!E23,tbSkills!DH3:DI6,2,FALSE)+IF(AND(Calculator!B8=TRUE,Backdoors!BI15=TRUE),VLOOKUP(Calculator!E23,tbSkills!DH3:DJ6,3,FALSE),0),0))&gt;=100,100,(Backdoors!AI12+IF(CH72&gt;=0.45,VLOOKUP(Calculator!E23,tbSkills!DH3:DI6,2,FALSE)+IF(AND(Calculator!B8=TRUE,Backdoors!BI15=TRUE),VLOOKUP(Calculator!E23,tbSkills!DH3:DJ6,3,FALSE),0),0)))/100)),1))*IF(VLOOKUP(A72,tbMoveset!A2:K112,11,FALSE)=TRUE,Backdoors!AC5,1))*CI72,0),"")</f>
        <v>0</v>
      </c>
      <c r="CM72" s="49">
        <f>VLOOKUP(A72,tbMoveset!A2:G112,7,FALSE)*IFERROR(IF(Backdoors!AI12&gt;=0,1+(IF(Calculator!E40&gt;0,VLOOKUP(Calculator!E40,tbSkills!AI3:AJ5,2,FALSE),Backdoors!AL4)*(IF((Backdoors!AI12+IF(CH72&gt;=0.45,VLOOKUP(Calculator!E23,tbSkills!DH3:DI6,2,FALSE)+IF(AND(Calculator!B8=TRUE,Backdoors!BI15=TRUE),VLOOKUP(Calculator!E23,tbSkills!DH3:DJ6,3,FALSE),0),0))&gt;=100,100,(Backdoors!AI12+IF(CH72&gt;=0.45,VLOOKUP(Calculator!E23,tbSkills!DH3:DI6,2,FALSE)+IF(AND(Calculator!B8=TRUE,Backdoors!BI15=TRUE),VLOOKUP(Calculator!E23,tbSkills!DH3:DJ6,3,FALSE),0),0)))/100)),1),1)</f>
        <v>0.4</v>
      </c>
      <c r="CN72" s="87">
        <f t="shared" si="63"/>
        <v>0</v>
      </c>
      <c r="CO72" s="86" t="str">
        <f>IFERROR(IF(VLOOKUP(A72,tbMoveset!A2:B112,2,FALSE)="Sever",Backdoors!AY16/100,IF(VLOOKUP(A72,tbMoveset!A2:B112,2,FALSE)="Blunt",Backdoors!AZ16/100,Backdoors!BA16/100)),"")</f>
        <v/>
      </c>
      <c r="CP72" s="49">
        <f>IFERROR(IF(VLOOKUP(tbMoveset!A72,tbMoveset!A2:H112,8,FALSE)="Other",IF(VLOOKUP(tbMoveset!A72,tbMoveset!A2:I112,9,FALSE)="Fire",Backdoors!BB16,IF(VLOOKUP(tbMoveset!A72,tbMoveset!A2:I112,9,FALSE)="Water",Backdoors!BC16,IF(VLOOKUP(tbMoveset!A72,tbMoveset!A2:I112,9,FALSE)="Thunder",Backdoors!BD16,IF(VLOOKUP(tbMoveset!A72,tbMoveset!A2:I112,9,FALSE)="Ice",Backdoors!BE16,IF(VLOOKUP(tbMoveset!A72,tbMoveset!A2:I112,9,FALSE)="Dragon",Backdoors!BF16,Backdoors!BG16)))))/100,Backdoors!BG16/100),"")</f>
        <v>0</v>
      </c>
      <c r="CQ72" s="49">
        <f>IFERROR(IF(VLOOKUP(A72,tbMoveset!A2:J112,10,FALSE)=TRUE,IF((Backdoors!AI12+IF(CO72&gt;=0.45,VLOOKUP(Calculator!E23,tbSkills!DH3:DI6,2,FALSE)+IF(AND(Calculator!B8=TRUE,Backdoors!BI16=TRUE),VLOOKUP(Calculator!E23,tbSkills!DH3:DJ6,3,FALSE),0),0))&gt;=0,1+(Backdoors!AL2*(IF((Backdoors!AI12+IF(CO72&gt;=0.45,VLOOKUP(Calculator!E23,tbSkills!DH3:DI6,2,FALSE)+IF(AND(Calculator!B8=TRUE,Backdoors!BI16=TRUE),VLOOKUP(Calculator!E23,tbSkills!DH3:DJ6,3,FALSE),0),0))&gt;=100,100,(Backdoors!AI12+IF(CO72&gt;=0.45,VLOOKUP(Calculator!E23,tbSkills!DH3:DI6,2,FALSE)+IF(AND(Calculator!B8=TRUE,Backdoors!BI16=TRUE),VLOOKUP(Calculator!E23,tbSkills!DH3:DJ6,3,FALSE),0),0)))/100)),(1-(0.25*((-Backdoors!AI12-IF(CO72&gt;=0.45,VLOOKUP(Calculator!E23,tbSkills!DH3:DI6,2,FALSE)+IF(AND(Calculator!B8=TRUE,Backdoors!BI16=TRUE),VLOOKUP(Calculator!E23,tbSkills!DH3:DJ6,3,FALSE),0),0))/100)))),1),"")</f>
        <v>1</v>
      </c>
      <c r="CR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O72)*CQ72)*(VLOOKUP(A72,tbMoveset!A2:C112,3,FALSE)/100)*IF(VLOOKUP(A72,tbMoveset!A2:B112,2,FALSE)="Projectile",Backdoors!N10,Backdoors!N9),0),"")</f>
        <v/>
      </c>
      <c r="CS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O72&gt;=0.45,VLOOKUP(Calculator!E23,tbSkills!DH3:DI6,2,FALSE)+IF(AND(Calculator!B8=TRUE,Backdoors!BI16=TRUE),VLOOKUP(Calculator!E23,tbSkills!DH3:DJ6,3,FALSE),0),0))&gt;=100,100,(Backdoors!AI12+IF(CO72&gt;=0.45,VLOOKUP(Calculator!E23,tbSkills!DH3:DI6,2,FALSE)+IF(AND(Calculator!B8=TRUE,Backdoors!BI16=TRUE),VLOOKUP(Calculator!E23,tbSkills!DH3:DJ6,3,FALSE),0),0)))/100)),1))*IF(VLOOKUP(A72,tbMoveset!A2:K112,11,FALSE)=TRUE,Backdoors!AC5,1))*CP72,0),"")</f>
        <v>0</v>
      </c>
      <c r="CT72" s="49">
        <f>VLOOKUP(A72,tbMoveset!A2:G112,7,FALSE)*IFERROR(IF(Backdoors!AI12&gt;=0,1+(IF(Calculator!E40&gt;0,VLOOKUP(Calculator!E40,tbSkills!AI3:AJ5,2,FALSE),Backdoors!AL4)*(IF((Backdoors!AI12+IF(CO72&gt;=0.45,VLOOKUP(Calculator!E23,tbSkills!DH3:DI6,2,FALSE)+IF(AND(Calculator!B8=TRUE,Backdoors!BI16=TRUE),VLOOKUP(Calculator!E23,tbSkills!DH3:DJ6,3,FALSE),0),0))&gt;=100,100,(Backdoors!AI12+IF(CO72&gt;=0.45,VLOOKUP(Calculator!E23,tbSkills!DH3:DI6,2,FALSE)+IF(AND(Calculator!B8=TRUE,Backdoors!BI16=TRUE),VLOOKUP(Calculator!E23,tbSkills!DH3:DJ6,3,FALSE),0),0)))/100)),1),1)</f>
        <v>0.4</v>
      </c>
      <c r="CU72" s="87">
        <f t="shared" si="64"/>
        <v>0</v>
      </c>
      <c r="CV72" s="86" t="str">
        <f>IFERROR(IF(VLOOKUP(A72,tbMoveset!A2:B112,2,FALSE)="Sever",Backdoors!AY17/100,IF(VLOOKUP(A72,tbMoveset!A2:B112,2,FALSE)="Blunt",Backdoors!AZ17/100,Backdoors!BA17/100)),"")</f>
        <v/>
      </c>
      <c r="CW72" s="49">
        <f>IFERROR(IF(VLOOKUP(tbMoveset!A72,tbMoveset!A2:H112,8,FALSE)="Other",IF(VLOOKUP(tbMoveset!A72,tbMoveset!A2:I112,9,FALSE)="Fire",Backdoors!BB17,IF(VLOOKUP(tbMoveset!A72,tbMoveset!A2:I112,9,FALSE)="Water",Backdoors!BC17,IF(VLOOKUP(tbMoveset!A72,tbMoveset!A2:I112,9,FALSE)="Thunder",Backdoors!BD17,IF(VLOOKUP(tbMoveset!A72,tbMoveset!A2:I112,9,FALSE)="Ice",Backdoors!BE17,IF(VLOOKUP(tbMoveset!A72,tbMoveset!A2:I112,9,FALSE)="Dragon",Backdoors!BF17,Backdoors!BG17)))))/100,Backdoors!BG17/100),"")</f>
        <v>0</v>
      </c>
      <c r="CX72" s="49">
        <f>IFERROR(IF(VLOOKUP(A72,tbMoveset!A2:J112,10,FALSE)=TRUE,IF((Backdoors!AI12+IF(CV72&gt;=0.45,VLOOKUP(Calculator!E23,tbSkills!DH3:DI6,2,FALSE)+IF(AND(Calculator!B8=TRUE,Backdoors!BI17=TRUE),VLOOKUP(Calculator!E23,tbSkills!DH3:DJ6,3,FALSE),0),0))&gt;=0,1+(Backdoors!AL2*(IF((Backdoors!AI12+IF(CV72&gt;=0.45,VLOOKUP(Calculator!E23,tbSkills!DH3:DI6,2,FALSE)+IF(AND(Calculator!B8=TRUE,Backdoors!BI17=TRUE),VLOOKUP(Calculator!E23,tbSkills!DH3:DJ6,3,FALSE),0),0))&gt;=100,100,(Backdoors!AI12+IF(CV72&gt;=0.45,VLOOKUP(Calculator!E23,tbSkills!DH3:DI6,2,FALSE)+IF(AND(Calculator!B8=TRUE,Backdoors!BI17=TRUE),VLOOKUP(Calculator!E23,tbSkills!DH3:DJ6,3,FALSE),0),0)))/100)),(1-(0.25*((-Backdoors!AI12-IF(CV72&gt;=0.45,VLOOKUP(Calculator!E23,tbSkills!DH3:DI6,2,FALSE)+IF(AND(Calculator!B8=TRUE,Backdoors!BI17=TRUE),VLOOKUP(Calculator!E23,tbSkills!DH3:DJ6,3,FALSE),0),0))/100)))),1),"")</f>
        <v>1</v>
      </c>
      <c r="CY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V72)*CX72)*(VLOOKUP(A72,tbMoveset!A2:C112,3,FALSE)/100)*IF(VLOOKUP(A72,tbMoveset!A2:B112,2,FALSE)="Projectile",Backdoors!N10,Backdoors!N9),0),"")</f>
        <v/>
      </c>
      <c r="CZ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V72&gt;=0.45,VLOOKUP(Calculator!E23,tbSkills!DH3:DI6,2,FALSE)+IF(AND(Calculator!B8=TRUE,Backdoors!BI17=TRUE),VLOOKUP(Calculator!E23,tbSkills!DH3:DJ6,3,FALSE),0),0))&gt;=100,100,(Backdoors!AI12+IF(CV72&gt;=0.45,VLOOKUP(Calculator!E23,tbSkills!DH3:DI6,2,FALSE)+IF(AND(Calculator!B8=TRUE,Backdoors!BI17=TRUE),VLOOKUP(Calculator!E23,tbSkills!DH3:DJ6,3,FALSE),0),0)))/100)),1))*IF(VLOOKUP(A72,tbMoveset!A2:K112,11,FALSE)=TRUE,Backdoors!AC5,1))*CW72,0),"")</f>
        <v>0</v>
      </c>
      <c r="DA72" s="49">
        <f>VLOOKUP(A72,tbMoveset!A2:G112,7,FALSE)*IFERROR(IF(Backdoors!AI12&gt;=0,1+(IF(Calculator!E40&gt;0,VLOOKUP(Calculator!E40,tbSkills!AI3:AJ5,2,FALSE),Backdoors!AL4)*(IF((Backdoors!AI12+IF(CV72&gt;=0.45,VLOOKUP(Calculator!E23,tbSkills!DH3:DI6,2,FALSE)+IF(AND(Calculator!B8=TRUE,Backdoors!BI17=TRUE),VLOOKUP(Calculator!E23,tbSkills!DH3:DJ6,3,FALSE),0),0))&gt;=100,100,(Backdoors!AI12+IF(CV72&gt;=0.45,VLOOKUP(Calculator!E23,tbSkills!DH3:DI6,2,FALSE)+IF(AND(Calculator!B8=TRUE,Backdoors!BI17=TRUE),VLOOKUP(Calculator!E23,tbSkills!DH3:DJ6,3,FALSE),0),0)))/100)),1),1)</f>
        <v>0.4</v>
      </c>
      <c r="DB72" s="87">
        <f t="shared" si="65"/>
        <v>0</v>
      </c>
      <c r="DC72" s="86" t="str">
        <f>IFERROR(IF(VLOOKUP(A72,tbMoveset!A2:B112,2,FALSE)="Sever",Backdoors!AY18/100,IF(VLOOKUP(A72,tbMoveset!A2:B112,2,FALSE)="Blunt",Backdoors!AZ18/100,Backdoors!BA18/100)),"")</f>
        <v/>
      </c>
      <c r="DD72" s="49">
        <f>IFERROR(IF(VLOOKUP(tbMoveset!A72,tbMoveset!A2:H112,8,FALSE)="Other",IF(VLOOKUP(tbMoveset!A72,tbMoveset!A2:I112,9,FALSE)="Fire",Backdoors!BB18,IF(VLOOKUP(tbMoveset!A72,tbMoveset!A2:I112,9,FALSE)="Water",Backdoors!BC18,IF(VLOOKUP(tbMoveset!A72,tbMoveset!A2:I112,9,FALSE)="Thunder",Backdoors!BD18,IF(VLOOKUP(tbMoveset!A72,tbMoveset!A2:I112,9,FALSE)="Ice",Backdoors!BE18,IF(VLOOKUP(tbMoveset!A72,tbMoveset!A2:I112,9,FALSE)="Dragon",Backdoors!BF18,Backdoors!BG18)))))/100,Backdoors!BG18/100),"")</f>
        <v>0</v>
      </c>
      <c r="DE72" s="49">
        <f>IFERROR(IF(VLOOKUP(A72,tbMoveset!A2:J112,10,FALSE)=TRUE,IF((Backdoors!AI12+IF(DC72&gt;=0.45,VLOOKUP(Calculator!E23,tbSkills!DH3:DI6,2,FALSE)+IF(AND(Calculator!B8=TRUE,Backdoors!BI18=TRUE),VLOOKUP(Calculator!E23,tbSkills!DH3:DJ6,3,FALSE),0),0))&gt;=0,1+(Backdoors!AL2*(IF((Backdoors!AI12+IF(DC72&gt;=0.45,VLOOKUP(Calculator!E23,tbSkills!DH3:DI6,2,FALSE)+IF(AND(Calculator!B8=TRUE,Backdoors!BI18=TRUE),VLOOKUP(Calculator!E23,tbSkills!DH3:DJ6,3,FALSE),0),0))&gt;=100,100,(Backdoors!AI12+IF(DC72&gt;=0.45,VLOOKUP(Calculator!E23,tbSkills!DH3:DI6,2,FALSE)+IF(AND(Calculator!B8=TRUE,Backdoors!BI18=TRUE),VLOOKUP(Calculator!E23,tbSkills!DH3:DJ6,3,FALSE),0),0)))/100)),(1-(0.25*((-Backdoors!AI12-IF(DC72&gt;=0.45,VLOOKUP(Calculator!E23,tbSkills!DH3:DI6,2,FALSE)+IF(AND(Calculator!B8=TRUE,Backdoors!BI18=TRUE),VLOOKUP(Calculator!E23,tbSkills!DH3:DJ6,3,FALSE),0),0))/100)))),1),"")</f>
        <v>1</v>
      </c>
      <c r="DF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C72)*DE72)*(VLOOKUP(A72,tbMoveset!A2:C112,3,FALSE)/100)*IF(VLOOKUP(A72,tbMoveset!A2:B112,2,FALSE)="Projectile",Backdoors!N10,Backdoors!N9),0),"")</f>
        <v/>
      </c>
      <c r="DG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C72&gt;=0.45,VLOOKUP(Calculator!E23,tbSkills!DH3:DI6,2,FALSE)+IF(AND(Calculator!B8=TRUE,Backdoors!BI18=TRUE),VLOOKUP(Calculator!E23,tbSkills!DH3:DJ6,3,FALSE),0),0))&gt;=100,100,(Backdoors!AI12+IF(DC72&gt;=0.45,VLOOKUP(Calculator!E23,tbSkills!DH3:DI6,2,FALSE)+IF(AND(Calculator!B8=TRUE,Backdoors!BI18=TRUE),VLOOKUP(Calculator!E23,tbSkills!DH3:DJ6,3,FALSE),0),0)))/100)),1))*IF(VLOOKUP(A72,tbMoveset!A2:K112,11,FALSE)=TRUE,Backdoors!AC5,1))*DD72,0),"")</f>
        <v>0</v>
      </c>
      <c r="DH72" s="49">
        <f>VLOOKUP(A72,tbMoveset!A2:G112,7,FALSE)*IFERROR(IF(Backdoors!AI12&gt;=0,1+(IF(Calculator!E40&gt;0,VLOOKUP(Calculator!E40,tbSkills!AI3:AJ5,2,FALSE),Backdoors!AL4)*(IF((Backdoors!AI12+IF(DC72&gt;=0.45,VLOOKUP(Calculator!E23,tbSkills!DH3:DI6,2,FALSE)+IF(AND(Calculator!B8=TRUE,Backdoors!BI18=TRUE),VLOOKUP(Calculator!E23,tbSkills!DH3:DJ6,3,FALSE),0),0))&gt;=100,100,(Backdoors!AI12+IF(DC72&gt;=0.45,VLOOKUP(Calculator!E23,tbSkills!DH3:DI6,2,FALSE)+IF(AND(Calculator!B8=TRUE,Backdoors!BI18=TRUE),VLOOKUP(Calculator!E23,tbSkills!DH3:DJ6,3,FALSE),0),0)))/100)),1),1)</f>
        <v>0.4</v>
      </c>
      <c r="DI72" s="87">
        <f t="shared" si="66"/>
        <v>0</v>
      </c>
      <c r="DJ72" s="86" t="str">
        <f>IFERROR(IF(VLOOKUP(A72,tbMoveset!A2:B112,2,FALSE)="Sever",Backdoors!AY19/100,IF(VLOOKUP(A72,tbMoveset!A2:B112,2,FALSE)="Blunt",Backdoors!AZ19/100,Backdoors!BA19/100)),"")</f>
        <v/>
      </c>
      <c r="DK72" s="49">
        <f>IFERROR(IF(VLOOKUP(tbMoveset!A72,tbMoveset!A2:H112,8,FALSE)="Other",IF(VLOOKUP(tbMoveset!A72,tbMoveset!A2:I112,9,FALSE)="Fire",Backdoors!BB19,IF(VLOOKUP(tbMoveset!A72,tbMoveset!A2:I112,9,FALSE)="Water",Backdoors!BC19,IF(VLOOKUP(tbMoveset!A72,tbMoveset!A2:I112,9,FALSE)="Thunder",Backdoors!BD19,IF(VLOOKUP(tbMoveset!A72,tbMoveset!A2:I112,9,FALSE)="Ice",Backdoors!BE19,IF(VLOOKUP(tbMoveset!A72,tbMoveset!A2:I112,9,FALSE)="Dragon",Backdoors!BF19,Backdoors!BG19)))))/100,Backdoors!BG19/100),"")</f>
        <v>0</v>
      </c>
      <c r="DL72" s="49">
        <f>IFERROR(IF(VLOOKUP(A72,tbMoveset!A2:J112,10,FALSE)=TRUE,IF((Backdoors!AI12+IF(DJ72&gt;=0.45,VLOOKUP(Calculator!E23,tbSkills!DH3:DI6,2,FALSE)+IF(AND(Calculator!B8=TRUE,Backdoors!BI19=TRUE),VLOOKUP(Calculator!E23,tbSkills!DH3:DJ6,3,FALSE),0),0))&gt;=0,1+(Backdoors!AL2*(IF((Backdoors!AI12+IF(DJ72&gt;=0.45,VLOOKUP(Calculator!E23,tbSkills!DH3:DI6,2,FALSE)+IF(AND(Calculator!B8=TRUE,Backdoors!BI19=TRUE),VLOOKUP(Calculator!E23,tbSkills!DH3:DJ6,3,FALSE),0),0))&gt;=100,100,(Backdoors!AI12+IF(DJ72&gt;=0.45,VLOOKUP(Calculator!E23,tbSkills!DH3:DI6,2,FALSE)+IF(AND(Calculator!B8=TRUE,Backdoors!BI19=TRUE),VLOOKUP(Calculator!E23,tbSkills!DH3:DJ6,3,FALSE),0),0)))/100)),(1-(0.25*((-Backdoors!AI12-IF(DJ72&gt;=0.45,VLOOKUP(Calculator!E23,tbSkills!DH3:DI6,2,FALSE)+IF(AND(Calculator!B8=TRUE,Backdoors!BI19=TRUE),VLOOKUP(Calculator!E23,tbSkills!DH3:DJ6,3,FALSE),0),0))/100)))),1),"")</f>
        <v>1</v>
      </c>
      <c r="DM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J72)*DL72)*(VLOOKUP(A72,tbMoveset!A2:C112,3,FALSE)/100)*IF(VLOOKUP(A72,tbMoveset!A2:B112,2,FALSE)="Projectile",Backdoors!N10,Backdoors!N9),0),"")</f>
        <v/>
      </c>
      <c r="DN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J72&gt;=0.45,VLOOKUP(Calculator!E23,tbSkills!DH3:DI6,2,FALSE)+IF(AND(Calculator!B8=TRUE,Backdoors!BI19=TRUE),VLOOKUP(Calculator!E23,tbSkills!DH3:DJ6,3,FALSE),0),0))&gt;=100,100,(Backdoors!AI12+IF(DJ72&gt;=0.45,VLOOKUP(Calculator!E23,tbSkills!DH3:DI6,2,FALSE)+IF(AND(Calculator!B8=TRUE,Backdoors!BI19=TRUE),VLOOKUP(Calculator!E23,tbSkills!DH3:DJ6,3,FALSE),0),0)))/100)),1))*IF(VLOOKUP(A72,tbMoveset!A2:K112,11,FALSE)=TRUE,Backdoors!AC5,1))*DK72,0),"")</f>
        <v>0</v>
      </c>
      <c r="DO72" s="49">
        <f>VLOOKUP(A72,tbMoveset!A2:G112,7,FALSE)*IFERROR(IF(Backdoors!AI12&gt;=0,1+(IF(Calculator!E40&gt;0,VLOOKUP(Calculator!E40,tbSkills!AI3:AJ5,2,FALSE),Backdoors!AL4)*(IF((Backdoors!AI12+IF(DJ72&gt;=0.45,VLOOKUP(Calculator!E23,tbSkills!DH3:DI6,2,FALSE)+IF(AND(Calculator!B8=TRUE,Backdoors!BI19=TRUE),VLOOKUP(Calculator!E23,tbSkills!DH3:DJ6,3,FALSE),0),0))&gt;=100,100,(Backdoors!AI12+IF(DJ72&gt;=0.45,VLOOKUP(Calculator!E23,tbSkills!DH3:DI6,2,FALSE)+IF(AND(Calculator!B8=TRUE,Backdoors!BI19=TRUE),VLOOKUP(Calculator!E23,tbSkills!DH3:DJ6,3,FALSE),0),0)))/100)),1),1)</f>
        <v>0.4</v>
      </c>
      <c r="DP72" s="87">
        <f t="shared" si="67"/>
        <v>0</v>
      </c>
      <c r="DQ72" s="86" t="str">
        <f>IFERROR(IF(VLOOKUP(A72,tbMoveset!A2:B112,2,FALSE)="Sever",Backdoors!AY20/100,IF(VLOOKUP(A72,tbMoveset!A2:B112,2,FALSE)="Blunt",Backdoors!AZ20/100,Backdoors!BA20/100)),"")</f>
        <v/>
      </c>
      <c r="DR72" s="49">
        <f>IFERROR(IF(VLOOKUP(tbMoveset!A72,tbMoveset!A2:H112,8,FALSE)="Other",IF(VLOOKUP(tbMoveset!A72,tbMoveset!A2:I112,9,FALSE)="Fire",Backdoors!BB20,IF(VLOOKUP(tbMoveset!A72,tbMoveset!A2:I112,9,FALSE)="Water",Backdoors!BC20,IF(VLOOKUP(tbMoveset!A72,tbMoveset!A2:I112,9,FALSE)="Thunder",Backdoors!BD20,IF(VLOOKUP(tbMoveset!A72,tbMoveset!A2:I112,9,FALSE)="Ice",Backdoors!BE20,IF(VLOOKUP(tbMoveset!A72,tbMoveset!A2:I112,9,FALSE)="Dragon",Backdoors!BF20,Backdoors!BG20)))))/100,Backdoors!BG20/100),"")</f>
        <v>0</v>
      </c>
      <c r="DS72" s="49">
        <f>IFERROR(IF(VLOOKUP(A72,tbMoveset!A2:J112,10,FALSE)=TRUE,IF((Backdoors!AI12+IF(DQ72&gt;=0.45,VLOOKUP(Calculator!E23,tbSkills!DH3:DI6,2,FALSE)+IF(AND(Calculator!B8=TRUE,Backdoors!BI20=TRUE),VLOOKUP(Calculator!E23,tbSkills!DH3:DJ6,3,FALSE),0),0))&gt;=0,1+(Backdoors!AL2*(IF((Backdoors!AI12+IF(DQ72&gt;=0.45,VLOOKUP(Calculator!E23,tbSkills!DH3:DI6,2,FALSE)+IF(AND(Calculator!B8=TRUE,Backdoors!BI20=TRUE),VLOOKUP(Calculator!E23,tbSkills!DH3:DJ6,3,FALSE),0),0))&gt;=100,100,(Backdoors!AI12+IF(DQ72&gt;=0.45,VLOOKUP(Calculator!E23,tbSkills!DH3:DI6,2,FALSE)+IF(AND(Calculator!B8=TRUE,Backdoors!BI20=TRUE),VLOOKUP(Calculator!E23,tbSkills!DH3:DJ6,3,FALSE),0),0)))/100)),(1-(0.25*((-Backdoors!AI12-IF(DQ72&gt;=0.45,VLOOKUP(Calculator!E23,tbSkills!DH3:DI6,2,FALSE)+IF(AND(Calculator!B8=TRUE,Backdoors!BI20=TRUE),VLOOKUP(Calculator!E23,tbSkills!DH3:DJ6,3,FALSE),0),0))/100)))),1),"")</f>
        <v>1</v>
      </c>
      <c r="DT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Q72)*DS72)*(VLOOKUP(A72,tbMoveset!A2:C112,3,FALSE)/100)*IF(VLOOKUP(A72,tbMoveset!A2:B112,2,FALSE)="Projectile",Backdoors!N10,Backdoors!N9),0),"")</f>
        <v/>
      </c>
      <c r="DU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Q72&gt;=0.45,VLOOKUP(Calculator!E23,tbSkills!DH3:DI6,2,FALSE)+IF(AND(Calculator!B8=TRUE,Backdoors!BI20=TRUE),VLOOKUP(Calculator!E23,tbSkills!DH3:DJ6,3,FALSE),0),0))&gt;=100,100,(Backdoors!AI12+IF(DQ72&gt;=0.45,VLOOKUP(Calculator!E23,tbSkills!DH3:DI6,2,FALSE)+IF(AND(Calculator!B8=TRUE,Backdoors!BI20=TRUE),VLOOKUP(Calculator!E23,tbSkills!DH3:DJ6,3,FALSE),0),0)))/100)),1))*IF(VLOOKUP(A72,tbMoveset!A2:K112,11,FALSE)=TRUE,Backdoors!AC5,1))*DR72,0),"")</f>
        <v>0</v>
      </c>
      <c r="DV72" s="49">
        <f>VLOOKUP(A72,tbMoveset!A2:G112,7,FALSE)*IFERROR(IF(Backdoors!AI12&gt;=0,1+(IF(Calculator!E40&gt;0,VLOOKUP(Calculator!E40,tbSkills!AI3:AJ5,2,FALSE),Backdoors!AL4)*(IF((Backdoors!AI12+IF(DQ72&gt;=0.45,VLOOKUP(Calculator!E23,tbSkills!DH3:DI6,2,FALSE)+IF(AND(Calculator!B8=TRUE,Backdoors!BI20=TRUE),VLOOKUP(Calculator!E23,tbSkills!DH3:DJ6,3,FALSE),0),0))&gt;=100,100,(Backdoors!AI12+IF(DQ72&gt;=0.45,VLOOKUP(Calculator!E23,tbSkills!DH3:DI6,2,FALSE)+IF(AND(Calculator!B8=TRUE,Backdoors!BI20=TRUE),VLOOKUP(Calculator!E23,tbSkills!DH3:DJ6,3,FALSE),0),0)))/100)),1),1)</f>
        <v>0.4</v>
      </c>
      <c r="DW72" s="87">
        <f t="shared" si="68"/>
        <v>0</v>
      </c>
      <c r="DX72" s="86" t="str">
        <f>IFERROR(IF(VLOOKUP(A72,tbMoveset!A2:B112,2,FALSE)="Sever",Backdoors!AY21/100,IF(VLOOKUP(A72,tbMoveset!A2:B112,2,FALSE)="Blunt",Backdoors!AZ21/100,Backdoors!BA21/100)),"")</f>
        <v/>
      </c>
      <c r="DY72" s="49">
        <f>IFERROR(IF(VLOOKUP(tbMoveset!A72,tbMoveset!A2:H112,8,FALSE)="Other",IF(VLOOKUP(tbMoveset!A72,tbMoveset!A2:I112,9,FALSE)="Fire",Backdoors!BB21,IF(VLOOKUP(tbMoveset!A72,tbMoveset!A2:I112,9,FALSE)="Water",Backdoors!BC21,IF(VLOOKUP(tbMoveset!A72,tbMoveset!A2:I112,9,FALSE)="Thunder",Backdoors!BD21,IF(VLOOKUP(tbMoveset!A72,tbMoveset!A2:I112,9,FALSE)="Ice",Backdoors!BE21,IF(VLOOKUP(tbMoveset!A72,tbMoveset!A2:I112,9,FALSE)="Dragon",Backdoors!BF21,Backdoors!BG21)))))/100,Backdoors!BG21/100),"")</f>
        <v>0</v>
      </c>
      <c r="DZ72" s="49">
        <f>IFERROR(IF(VLOOKUP(A72,tbMoveset!A2:J112,10,FALSE)=TRUE,IF((Backdoors!AI12+IF(DX72&gt;=0.45,VLOOKUP(Calculator!E23,tbSkills!DH3:DI6,2,FALSE)+IF(AND(Calculator!B8=TRUE,Backdoors!BI21=TRUE),VLOOKUP(Calculator!E23,tbSkills!DH3:DJ6,3,FALSE),0),0))&gt;=0,1+(Backdoors!AL2*(IF((Backdoors!AI12+IF(DX72&gt;=0.45,VLOOKUP(Calculator!E23,tbSkills!DH3:DI6,2,FALSE)+IF(AND(Calculator!B8=TRUE,Backdoors!BI21=TRUE),VLOOKUP(Calculator!E23,tbSkills!DH3:DJ6,3,FALSE),0),0))&gt;=100,100,(Backdoors!AI12+IF(DX72&gt;=0.45,VLOOKUP(Calculator!E23,tbSkills!DH3:DI6,2,FALSE)+IF(AND(Calculator!B8=TRUE,Backdoors!BI21=TRUE),VLOOKUP(Calculator!E23,tbSkills!DH3:DJ6,3,FALSE),0),0)))/100)),(1-(0.25*((-Backdoors!AI12-IF(DX72&gt;=0.45,VLOOKUP(Calculator!E23,tbSkills!DH3:DI6,2,FALSE)+IF(AND(Calculator!B8=TRUE,Backdoors!BI21=TRUE),VLOOKUP(Calculator!E23,tbSkills!DH3:DJ6,3,FALSE),0),0))/100)))),1),"")</f>
        <v>1</v>
      </c>
      <c r="EA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X72)*DZ72)*(VLOOKUP(A72,tbMoveset!A2:C112,3,FALSE)/100)*IF(VLOOKUP(A72,tbMoveset!A2:B112,2,FALSE)="Projectile",Backdoors!N10,Backdoors!N9),0),"")</f>
        <v/>
      </c>
      <c r="EB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X72&gt;=0.45,VLOOKUP(Calculator!E23,tbSkills!DH3:DI6,2,FALSE)+IF(AND(Calculator!B8=TRUE,Backdoors!BI21=TRUE),VLOOKUP(Calculator!E23,tbSkills!DH3:DJ6,3,FALSE),0),0))&gt;=100,100,(Backdoors!AI12+IF(DX72&gt;=0.45,VLOOKUP(Calculator!E23,tbSkills!DH3:DI6,2,FALSE)+IF(AND(Calculator!B8=TRUE,Backdoors!BI21=TRUE),VLOOKUP(Calculator!E23,tbSkills!DH3:DJ6,3,FALSE),0),0)))/100)),1))*IF(VLOOKUP(A72,tbMoveset!A2:K112,11,FALSE)=TRUE,Backdoors!AC5,1))*DY72,0),"")</f>
        <v>0</v>
      </c>
      <c r="EC72" s="49">
        <f>VLOOKUP(A72,tbMoveset!A2:G112,7,FALSE)*IFERROR(IF(Backdoors!AI12&gt;=0,1+(IF(Calculator!E40&gt;0,VLOOKUP(Calculator!E40,tbSkills!AI3:AJ5,2,FALSE),Backdoors!AL4)*(IF((Backdoors!AI12+IF(DX72&gt;=0.45,VLOOKUP(Calculator!E23,tbSkills!DH3:DI6,2,FALSE)+IF(AND(Calculator!B8=TRUE,Backdoors!BI21=TRUE),VLOOKUP(Calculator!E23,tbSkills!DH3:DJ6,3,FALSE),0),0))&gt;=100,100,(Backdoors!AI12+IF(DX72&gt;=0.45,VLOOKUP(Calculator!E23,tbSkills!DH3:DI6,2,FALSE)+IF(AND(Calculator!B8=TRUE,Backdoors!BI21=TRUE),VLOOKUP(Calculator!E23,tbSkills!DH3:DJ6,3,FALSE),0),0)))/100)),1),1)</f>
        <v>0.4</v>
      </c>
      <c r="ED72" s="87">
        <f t="shared" si="69"/>
        <v>0</v>
      </c>
      <c r="EE72" s="86" t="str">
        <f>IFERROR(IF(VLOOKUP(A72,tbMoveset!A2:B112,2,FALSE)="Sever",Backdoors!AY22/100,IF(VLOOKUP(A72,tbMoveset!A2:B112,2,FALSE)="Blunt",Backdoors!AZ22/100,Backdoors!BA22/100)),"")</f>
        <v/>
      </c>
      <c r="EF72" s="49">
        <f>IFERROR(IF(VLOOKUP(tbMoveset!A72,tbMoveset!A2:H112,8,FALSE)="Other",IF(VLOOKUP(tbMoveset!A72,tbMoveset!A2:I112,9,FALSE)="Fire",Backdoors!BB22,IF(VLOOKUP(tbMoveset!A72,tbMoveset!A2:I112,9,FALSE)="Water",Backdoors!BC22,IF(VLOOKUP(tbMoveset!A72,tbMoveset!A2:I112,9,FALSE)="Thunder",Backdoors!BD22,IF(VLOOKUP(tbMoveset!A72,tbMoveset!A2:I112,9,FALSE)="Ice",Backdoors!BE22,IF(VLOOKUP(tbMoveset!A72,tbMoveset!A2:I112,9,FALSE)="Dragon",Backdoors!BF22,Backdoors!BG22)))))/100,Backdoors!BG22/100),"")</f>
        <v>0</v>
      </c>
      <c r="EG72" s="49">
        <f>IFERROR(IF(VLOOKUP(A72,tbMoveset!A2:J112,10,FALSE)=TRUE,IF((Backdoors!AI12+IF(EE72&gt;=0.45,VLOOKUP(Calculator!E23,tbSkills!DH3:DI6,2,FALSE)+IF(AND(Calculator!B8=TRUE,Backdoors!BI22=TRUE),VLOOKUP(Calculator!E23,tbSkills!DH3:DJ6,3,FALSE),0),0))&gt;=0,1+(Backdoors!AL2*(IF((Backdoors!AI12+IF(EE72&gt;=0.45,VLOOKUP(Calculator!E23,tbSkills!DH3:DI6,2,FALSE)+IF(AND(Calculator!B8=TRUE,Backdoors!BI22=TRUE),VLOOKUP(Calculator!E23,tbSkills!DH3:DJ6,3,FALSE),0),0))&gt;=100,100,(Backdoors!AI12+IF(EE72&gt;=0.45,VLOOKUP(Calculator!E23,tbSkills!DH3:DI6,2,FALSE)+IF(AND(Calculator!B8=TRUE,Backdoors!BI22=TRUE),VLOOKUP(Calculator!E23,tbSkills!DH3:DJ6,3,FALSE),0),0)))/100)),(1-(0.25*((-Backdoors!AI12-IF(EE72&gt;=0.45,VLOOKUP(Calculator!E23,tbSkills!DH3:DI6,2,FALSE)+IF(AND(Calculator!B8=TRUE,Backdoors!BI22=TRUE),VLOOKUP(Calculator!E23,tbSkills!DH3:DJ6,3,FALSE),0),0))/100)))),1),"")</f>
        <v>1</v>
      </c>
      <c r="EH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E72)*EG72)*(VLOOKUP(A72,tbMoveset!A2:C112,3,FALSE)/100)*IF(VLOOKUP(A72,tbMoveset!A2:B112,2,FALSE)="Projectile",Backdoors!N10,Backdoors!N9),0),"")</f>
        <v/>
      </c>
      <c r="EI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E72&gt;=0.45,VLOOKUP(Calculator!E23,tbSkills!DH3:DI6,2,FALSE)+IF(AND(Calculator!B8=TRUE,Backdoors!BI22=TRUE),VLOOKUP(Calculator!E23,tbSkills!DH3:DJ6,3,FALSE),0),0))&gt;=100,100,(Backdoors!AI12+IF(EE72&gt;=0.45,VLOOKUP(Calculator!E23,tbSkills!DH3:DI6,2,FALSE)+IF(AND(Calculator!B8=TRUE,Backdoors!BI22=TRUE),VLOOKUP(Calculator!E23,tbSkills!DH3:DJ6,3,FALSE),0),0)))/100)),1))*IF(VLOOKUP(A72,tbMoveset!A2:K112,11,FALSE)=TRUE,Backdoors!AC5,1))*EF72,0),"")</f>
        <v>0</v>
      </c>
      <c r="EJ72" s="49">
        <f>VLOOKUP(A72,tbMoveset!A2:G112,7,FALSE)*IFERROR(IF(Backdoors!AI12&gt;=0,1+(IF(Calculator!E40&gt;0,VLOOKUP(Calculator!E40,tbSkills!AI3:AJ5,2,FALSE),Backdoors!AL4)*(IF((Backdoors!AI12+IF(EE72&gt;=0.45,VLOOKUP(Calculator!E23,tbSkills!DH3:DI6,2,FALSE)+IF(AND(Calculator!B8=TRUE,Backdoors!BI22=TRUE),VLOOKUP(Calculator!E23,tbSkills!DH3:DJ6,3,FALSE),0),0))&gt;=100,100,(Backdoors!AI12+IF(EE72&gt;=0.45,VLOOKUP(Calculator!E23,tbSkills!DH3:DI6,2,FALSE)+IF(AND(Calculator!B8=TRUE,Backdoors!BI22=TRUE),VLOOKUP(Calculator!E23,tbSkills!DH3:DJ6,3,FALSE),0),0)))/100)),1),1)</f>
        <v>0.4</v>
      </c>
      <c r="EK72" s="87">
        <f t="shared" si="70"/>
        <v>0</v>
      </c>
      <c r="EL72" s="86" t="str">
        <f>IFERROR(IF(VLOOKUP(A72,tbMoveset!A2:B112,2,FALSE)="Sever",Backdoors!AY23/100,IF(VLOOKUP(A72,tbMoveset!A2:B112,2,FALSE)="Blunt",Backdoors!AZ23/100,Backdoors!BA23/100)),"")</f>
        <v/>
      </c>
      <c r="EM72" s="49">
        <f>IFERROR(IF(VLOOKUP(tbMoveset!A72,tbMoveset!A2:H112,8,FALSE)="Other",IF(VLOOKUP(tbMoveset!A72,tbMoveset!A2:I112,9,FALSE)="Fire",Backdoors!BB23,IF(VLOOKUP(tbMoveset!A72,tbMoveset!A2:I112,9,FALSE)="Water",Backdoors!BC23,IF(VLOOKUP(tbMoveset!A72,tbMoveset!A2:I112,9,FALSE)="Thunder",Backdoors!BD23,IF(VLOOKUP(tbMoveset!A72,tbMoveset!A2:I112,9,FALSE)="Ice",Backdoors!BE23,IF(VLOOKUP(tbMoveset!A72,tbMoveset!A2:I112,9,FALSE)="Dragon",Backdoors!BF23,Backdoors!BG23)))))/100,Backdoors!BG23/100),"")</f>
        <v>0</v>
      </c>
      <c r="EN72" s="49">
        <f>IFERROR(IF(VLOOKUP(A72,tbMoveset!A2:J112,10,FALSE)=TRUE,IF((Backdoors!AI12+IF(EL72&gt;=0.45,VLOOKUP(Calculator!E23,tbSkills!DH3:DI6,2,FALSE)+IF(AND(Calculator!B8=TRUE,Backdoors!BI23=TRUE),VLOOKUP(Calculator!E23,tbSkills!DH3:DJ6,3,FALSE),0),0))&gt;=0,1+(Backdoors!AL2*(IF((Backdoors!AI12+IF(EL72&gt;=0.45,VLOOKUP(Calculator!E23,tbSkills!DH3:DI6,2,FALSE)+IF(AND(Calculator!B8=TRUE,Backdoors!BI23=TRUE),VLOOKUP(Calculator!E23,tbSkills!DH3:DJ6,3,FALSE),0),0))&gt;=100,100,(Backdoors!AI12+IF(EL72&gt;=0.45,VLOOKUP(Calculator!E23,tbSkills!DH3:DI6,2,FALSE)+IF(AND(Calculator!B8=TRUE,Backdoors!BI23=TRUE),VLOOKUP(Calculator!E23,tbSkills!DH3:DJ6,3,FALSE),0),0)))/100)),(1-(0.25*((-Backdoors!AI12-IF(EL72&gt;=0.45,VLOOKUP(Calculator!E23,tbSkills!DH3:DI6,2,FALSE)+IF(AND(Calculator!B8=TRUE,Backdoors!BI23=TRUE),VLOOKUP(Calculator!E23,tbSkills!DH3:DJ6,3,FALSE),0),0))/100)))),1),"")</f>
        <v>1</v>
      </c>
      <c r="EO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L72)*EN72)*(VLOOKUP(A72,tbMoveset!A2:C112,3,FALSE)/100)*IF(VLOOKUP(A72,tbMoveset!A2:B112,2,FALSE)="Projectile",Backdoors!N10,Backdoors!N9),0),"")</f>
        <v/>
      </c>
      <c r="EP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L72&gt;=0.45,VLOOKUP(Calculator!E23,tbSkills!DH3:DI6,2,FALSE)+IF(AND(Calculator!B8=TRUE,Backdoors!BI23=TRUE),VLOOKUP(Calculator!E23,tbSkills!DH3:DJ6,3,FALSE),0),0))&gt;=100,100,(Backdoors!AI12+IF(EL72&gt;=0.45,VLOOKUP(Calculator!E23,tbSkills!DH3:DI6,2,FALSE)+IF(AND(Calculator!B8=TRUE,Backdoors!BI23=TRUE),VLOOKUP(Calculator!E23,tbSkills!DH3:DJ6,3,FALSE),0),0)))/100)),1))*IF(VLOOKUP(A72,tbMoveset!A2:K112,11,FALSE)=TRUE,Backdoors!AC5,1))*EM72,0),"")</f>
        <v>0</v>
      </c>
      <c r="EQ72" s="49">
        <f>VLOOKUP(A72,tbMoveset!A2:G112,7,FALSE)*IFERROR(IF(Backdoors!AI12&gt;=0,1+(IF(Calculator!E40&gt;0,VLOOKUP(Calculator!E40,tbSkills!AI3:AJ5,2,FALSE),Backdoors!AL4)*(IF((Backdoors!AI12+IF(EL72&gt;=0.45,VLOOKUP(Calculator!E23,tbSkills!DH3:DI6,2,FALSE)+IF(AND(Calculator!B8=TRUE,Backdoors!BI23=TRUE),VLOOKUP(Calculator!E23,tbSkills!DH3:DJ6,3,FALSE),0),0))&gt;=100,100,(Backdoors!AI12+IF(EL72&gt;=0.45,VLOOKUP(Calculator!E23,tbSkills!DH3:DI6,2,FALSE)+IF(AND(Calculator!B8=TRUE,Backdoors!BI23=TRUE),VLOOKUP(Calculator!E23,tbSkills!DH3:DJ6,3,FALSE),0),0)))/100)),1),1)</f>
        <v>0.4</v>
      </c>
      <c r="ER72" s="87">
        <f t="shared" si="71"/>
        <v>0</v>
      </c>
      <c r="ES72" s="86" t="str">
        <f>IFERROR(IF(VLOOKUP(A72,tbMoveset!A2:B112,2,FALSE)="Sever",Backdoors!AY24/100,IF(VLOOKUP(A72,tbMoveset!A2:B112,2,FALSE)="Blunt",Backdoors!AZ24/100,Backdoors!BA24/100)),"")</f>
        <v/>
      </c>
      <c r="ET72" s="49">
        <f>IFERROR(IF(VLOOKUP(tbMoveset!A72,tbMoveset!A2:H112,8,FALSE)="Other",IF(VLOOKUP(tbMoveset!A72,tbMoveset!A2:I112,9,FALSE)="Fire",Backdoors!BB24,IF(VLOOKUP(tbMoveset!A72,tbMoveset!A2:I112,9,FALSE)="Water",Backdoors!BC24,IF(VLOOKUP(tbMoveset!A72,tbMoveset!A2:I112,9,FALSE)="Thunder",Backdoors!BD24,IF(VLOOKUP(tbMoveset!A72,tbMoveset!A2:I112,9,FALSE)="Ice",Backdoors!BE24,IF(VLOOKUP(tbMoveset!A72,tbMoveset!A2:I112,9,FALSE)="Dragon",Backdoors!BF24,Backdoors!BG24)))))/100,Backdoors!BG24/100),"")</f>
        <v>0</v>
      </c>
      <c r="EU72" s="49">
        <f>IFERROR(IF(VLOOKUP(A72,tbMoveset!A2:J112,10,FALSE)=TRUE,IF((Backdoors!AI12+IF(ES72&gt;=0.45,VLOOKUP(Calculator!E23,tbSkills!DH3:DI6,2,FALSE)+IF(AND(Calculator!B8=TRUE,Backdoors!BI24=TRUE),VLOOKUP(Calculator!E23,tbSkills!DH3:DJ6,3,FALSE),0),0))&gt;=0,1+(Backdoors!AL2*(IF((Backdoors!AI12+IF(ES72&gt;=0.45,VLOOKUP(Calculator!E23,tbSkills!DH3:DI6,2,FALSE)+IF(AND(Calculator!B8=TRUE,Backdoors!BI24=TRUE),VLOOKUP(Calculator!E23,tbSkills!DH3:DJ6,3,FALSE),0),0))&gt;=100,100,(Backdoors!AI12+IF(ES72&gt;=0.45,VLOOKUP(Calculator!E23,tbSkills!DH3:DI6,2,FALSE)+IF(AND(Calculator!B8=TRUE,Backdoors!BI24=TRUE),VLOOKUP(Calculator!E23,tbSkills!DH3:DJ6,3,FALSE),0),0)))/100)),(1-(0.25*((-Backdoors!AI12-IF(ES72&gt;=0.45,VLOOKUP(Calculator!E23,tbSkills!DH3:DI6,2,FALSE)+IF(AND(Calculator!B8=TRUE,Backdoors!BI24=TRUE),VLOOKUP(Calculator!E23,tbSkills!DH3:DJ6,3,FALSE),0),0))/100)))),1),"")</f>
        <v>1</v>
      </c>
      <c r="EV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S72)*EU72)*(VLOOKUP(A72,tbMoveset!A2:C112,3,FALSE)/100)*IF(VLOOKUP(A72,tbMoveset!A2:B112,2,FALSE)="Projectile",Backdoors!N10,Backdoors!N9),0),"")</f>
        <v/>
      </c>
      <c r="EW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S72&gt;=0.45,VLOOKUP(Calculator!E23,tbSkills!DH3:DI6,2,FALSE)+IF(AND(Calculator!B8=TRUE,Backdoors!BI24=TRUE),VLOOKUP(Calculator!E23,tbSkills!DH3:DJ6,3,FALSE),0),0))&gt;=100,100,(Backdoors!AI12+IF(ES72&gt;=0.45,VLOOKUP(Calculator!E23,tbSkills!DH3:DI6,2,FALSE)+IF(AND(Calculator!B8=TRUE,Backdoors!BI24=TRUE),VLOOKUP(Calculator!E23,tbSkills!DH3:DJ6,3,FALSE),0),0)))/100)),1))*IF(VLOOKUP(A72,tbMoveset!A2:K112,11,FALSE)=TRUE,Backdoors!AC5,1))*ET72,0),"")</f>
        <v>0</v>
      </c>
      <c r="EX72" s="49">
        <f>VLOOKUP(A72,tbMoveset!A2:G112,7,FALSE)*IFERROR(IF(Backdoors!AI12&gt;=0,1+(IF(Calculator!E40&gt;0,VLOOKUP(Calculator!E40,tbSkills!AI3:AJ5,2,FALSE),Backdoors!AL4)*(IF((Backdoors!AI12+IF(ES72&gt;=0.45,VLOOKUP(Calculator!E23,tbSkills!DH3:DI6,2,FALSE)+IF(AND(Calculator!B8=TRUE,Backdoors!BI24=TRUE),VLOOKUP(Calculator!E23,tbSkills!DH3:DJ6,3,FALSE),0),0))&gt;=100,100,(Backdoors!AI12+IF(ES72&gt;=0.45,VLOOKUP(Calculator!E23,tbSkills!DH3:DI6,2,FALSE)+IF(AND(Calculator!B8=TRUE,Backdoors!BI24=TRUE),VLOOKUP(Calculator!E23,tbSkills!DH3:DJ6,3,FALSE),0),0)))/100)),1),1)</f>
        <v>0.4</v>
      </c>
      <c r="EY72" s="87">
        <f t="shared" si="72"/>
        <v>0</v>
      </c>
      <c r="EZ72" s="86" t="str">
        <f>IFERROR(IF(VLOOKUP(A72,tbMoveset!A2:B112,2,FALSE)="Sever",Backdoors!AY25/100,IF(VLOOKUP(A72,tbMoveset!A2:B112,2,FALSE)="Blunt",Backdoors!AZ25/100,Backdoors!BA25/100)),"")</f>
        <v/>
      </c>
      <c r="FA72" s="49">
        <f>IFERROR(IF(VLOOKUP(tbMoveset!A72,tbMoveset!A2:H112,8,FALSE)="Other",IF(VLOOKUP(tbMoveset!A72,tbMoveset!A2:I112,9,FALSE)="Fire",Backdoors!BB25,IF(VLOOKUP(tbMoveset!A72,tbMoveset!A2:I112,9,FALSE)="Water",Backdoors!BC25,IF(VLOOKUP(tbMoveset!A72,tbMoveset!A2:I112,9,FALSE)="Thunder",Backdoors!BD25,IF(VLOOKUP(tbMoveset!A72,tbMoveset!A2:I112,9,FALSE)="Ice",Backdoors!BE25,IF(VLOOKUP(tbMoveset!A72,tbMoveset!A2:I112,9,FALSE)="Dragon",Backdoors!BF25,Backdoors!BG25)))))/100,Backdoors!BG25/100),"")</f>
        <v>0</v>
      </c>
      <c r="FB72" s="49">
        <f>IFERROR(IF(VLOOKUP(A72,tbMoveset!A2:J112,10,FALSE)=TRUE,IF((Backdoors!AI12+IF(EZ72&gt;=0.45,VLOOKUP(Calculator!E23,tbSkills!DH3:DI6,2,FALSE)+IF(AND(Calculator!B8=TRUE,Backdoors!BI25=TRUE),VLOOKUP(Calculator!E23,tbSkills!DH3:DJ6,3,FALSE),0),0))&gt;=0,1+(Backdoors!AL2*(IF((Backdoors!AI12+IF(EZ72&gt;=0.45,VLOOKUP(Calculator!E23,tbSkills!DH3:DI6,2,FALSE)+IF(AND(Calculator!B8=TRUE,Backdoors!BI25=TRUE),VLOOKUP(Calculator!E23,tbSkills!DH3:DJ6,3,FALSE),0),0))&gt;=100,100,(Backdoors!AI12+IF(EZ72&gt;=0.45,VLOOKUP(Calculator!E23,tbSkills!DH3:DI6,2,FALSE)+IF(AND(Calculator!B8=TRUE,Backdoors!BI25=TRUE),VLOOKUP(Calculator!E23,tbSkills!DH3:DJ6,3,FALSE),0),0)))/100)),(1-(0.25*((-Backdoors!AI12-IF(EZ72&gt;=0.45,VLOOKUP(Calculator!E23,tbSkills!DH3:DI6,2,FALSE)+IF(AND(Calculator!B8=TRUE,Backdoors!BI25=TRUE),VLOOKUP(Calculator!E23,tbSkills!DH3:DJ6,3,FALSE),0),0))/100)))),1),"")</f>
        <v>1</v>
      </c>
      <c r="FC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Z72)*FB72)*(VLOOKUP(A72,tbMoveset!A2:C112,3,FALSE)/100)*IF(VLOOKUP(A72,tbMoveset!A2:B112,2,FALSE)="Projectile",Backdoors!N10,Backdoors!N9),0),"")</f>
        <v/>
      </c>
      <c r="FD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Z72&gt;=0.45,VLOOKUP(Calculator!E23,tbSkills!DH3:DI6,2,FALSE)+IF(AND(Calculator!B8=TRUE,Backdoors!BI25=TRUE),VLOOKUP(Calculator!E23,tbSkills!DH3:DJ6,3,FALSE),0),0))&gt;=100,100,(Backdoors!AI12+IF(EZ72&gt;=0.45,VLOOKUP(Calculator!E23,tbSkills!DH3:DI6,2,FALSE)+IF(AND(Calculator!B8=TRUE,Backdoors!BI25=TRUE),VLOOKUP(Calculator!E23,tbSkills!DH3:DJ6,3,FALSE),0),0)))/100)),1))*IF(VLOOKUP(A72,tbMoveset!A2:K112,11,FALSE)=TRUE,Backdoors!AC5,1))*FA72,0),"")</f>
        <v>0</v>
      </c>
      <c r="FE72" s="49">
        <f>VLOOKUP(A72,tbMoveset!A2:G112,7,FALSE)*IFERROR(IF(Backdoors!AI12&gt;=0,1+(IF(Calculator!E40&gt;0,VLOOKUP(Calculator!E40,tbSkills!AI3:AJ5,2,FALSE),Backdoors!AL4)*(IF((Backdoors!AI12+IF(EZ72&gt;=0.45,VLOOKUP(Calculator!E23,tbSkills!DH3:DI6,2,FALSE)+IF(AND(Calculator!B8=TRUE,Backdoors!BI25=TRUE),VLOOKUP(Calculator!E23,tbSkills!DH3:DJ6,3,FALSE),0),0))&gt;=100,100,(Backdoors!AI12+IF(EZ72&gt;=0.45,VLOOKUP(Calculator!E23,tbSkills!DH3:DI6,2,FALSE)+IF(AND(Calculator!B8=TRUE,Backdoors!BI25=TRUE),VLOOKUP(Calculator!E23,tbSkills!DH3:DJ6,3,FALSE),0),0)))/100)),1),1)</f>
        <v>0.4</v>
      </c>
      <c r="FF72" s="87">
        <f t="shared" si="73"/>
        <v>0</v>
      </c>
      <c r="FG72" s="86" t="str">
        <f>IFERROR(IF(VLOOKUP(A72,tbMoveset!A2:B112,2,FALSE)="Sever",Backdoors!AY26/100,IF(VLOOKUP(A72,tbMoveset!A2:B112,2,FALSE)="Blunt",Backdoors!AZ26/100,Backdoors!BA26/100)),"")</f>
        <v/>
      </c>
      <c r="FH72" s="49">
        <f>IFERROR(IF(VLOOKUP(tbMoveset!A72,tbMoveset!A2:H112,8,FALSE)="Other",IF(VLOOKUP(tbMoveset!A72,tbMoveset!A2:I112,9,FALSE)="Fire",Backdoors!BB26,IF(VLOOKUP(tbMoveset!A72,tbMoveset!A2:I112,9,FALSE)="Water",Backdoors!BC26,IF(VLOOKUP(tbMoveset!A72,tbMoveset!A2:I112,9,FALSE)="Thunder",Backdoors!BD26,IF(VLOOKUP(tbMoveset!A72,tbMoveset!A2:I112,9,FALSE)="Ice",Backdoors!BE26,IF(VLOOKUP(tbMoveset!A72,tbMoveset!A2:I112,9,FALSE)="Dragon",Backdoors!BF26,Backdoors!BG26)))))/100,Backdoors!BG26/100),"")</f>
        <v>0</v>
      </c>
      <c r="FI72" s="49">
        <f>IFERROR(IF(VLOOKUP(A72,tbMoveset!A2:J112,10,FALSE)=TRUE,IF((Backdoors!AI12+IF(FG72&gt;=0.45,VLOOKUP(Calculator!E23,tbSkills!DH3:DI6,2,FALSE)+IF(AND(Calculator!B8=TRUE,Backdoors!BI26=TRUE),VLOOKUP(Calculator!E23,tbSkills!DH3:DJ6,3,FALSE),0),0))&gt;=0,1+(Backdoors!AL2*(IF((Backdoors!AI12+IF(FG72&gt;=0.45,VLOOKUP(Calculator!E23,tbSkills!DH3:DI6,2,FALSE)+IF(AND(Calculator!B8=TRUE,Backdoors!BI26=TRUE),VLOOKUP(Calculator!E23,tbSkills!DH3:DJ6,3,FALSE),0),0))&gt;=100,100,(Backdoors!AI12+IF(FG72&gt;=0.45,VLOOKUP(Calculator!E23,tbSkills!DH3:DI6,2,FALSE)+IF(AND(Calculator!B8=TRUE,Backdoors!BI26=TRUE),VLOOKUP(Calculator!E23,tbSkills!DH3:DJ6,3,FALSE),0),0)))/100)),(1-(0.25*((-Backdoors!AI12-IF(FG72&gt;=0.45,VLOOKUP(Calculator!E23,tbSkills!DH3:DI6,2,FALSE)+IF(AND(Calculator!B8=TRUE,Backdoors!BI26=TRUE),VLOOKUP(Calculator!E23,tbSkills!DH3:DJ6,3,FALSE),0),0))/100)))),1),"")</f>
        <v>1</v>
      </c>
      <c r="FJ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FG72)*FI72)*(VLOOKUP(A72,tbMoveset!A2:C112,3,FALSE)/100)*IF(VLOOKUP(A72,tbMoveset!A2:B112,2,FALSE)="Projectile",Backdoors!N10,Backdoors!N9),0),"")</f>
        <v/>
      </c>
      <c r="FK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FG72&gt;=0.45,VLOOKUP(Calculator!E23,tbSkills!DH3:DI6,2,FALSE)+IF(AND(Calculator!B8=TRUE,Backdoors!BI26=TRUE),VLOOKUP(Calculator!E23,tbSkills!DH3:DJ6,3,FALSE),0),0))&gt;=100,100,(Backdoors!AI12+IF(FG72&gt;=0.45,VLOOKUP(Calculator!E23,tbSkills!DH3:DI6,2,FALSE)+IF(AND(Calculator!B8=TRUE,Backdoors!BI26=TRUE),VLOOKUP(Calculator!E23,tbSkills!DH3:DJ6,3,FALSE),0),0)))/100)),1))*IF(VLOOKUP(A72,tbMoveset!A2:K112,11,FALSE)=TRUE,Backdoors!AC5,1))*FH72,0),"")</f>
        <v>0</v>
      </c>
      <c r="FL72" s="49">
        <f>VLOOKUP(A72,tbMoveset!A2:G112,7,FALSE)*IFERROR(IF(Backdoors!AI12&gt;=0,1+(IF(Calculator!E40&gt;0,VLOOKUP(Calculator!E40,tbSkills!AI3:AJ5,2,FALSE),Backdoors!AL4)*(IF((Backdoors!AI12+IF(FG72&gt;=0.45,VLOOKUP(Calculator!E23,tbSkills!DH3:DI6,2,FALSE)+IF(AND(Calculator!B8=TRUE,Backdoors!BI26=TRUE),VLOOKUP(Calculator!E23,tbSkills!DH3:DJ6,3,FALSE),0),0))&gt;=100,100,(Backdoors!AI12+IF(FG72&gt;=0.45,VLOOKUP(Calculator!E23,tbSkills!DH3:DI6,2,FALSE)+IF(AND(Calculator!B8=TRUE,Backdoors!BI26=TRUE),VLOOKUP(Calculator!E23,tbSkills!DH3:DJ6,3,FALSE),0),0)))/100)),1),1)</f>
        <v>0.4</v>
      </c>
      <c r="FM72" s="87">
        <f t="shared" si="74"/>
        <v>0</v>
      </c>
      <c r="FN72" s="86" t="str">
        <f>IFERROR(IF(VLOOKUP(A72,tbMoveset!A2:B112,2,FALSE)="Sever",Backdoors!AY27/100,IF(VLOOKUP(A72,tbMoveset!A2:B112,2,FALSE)="Blunt",Backdoors!AZ27/100,Backdoors!BA27/100)),"")</f>
        <v/>
      </c>
      <c r="FO72" s="49">
        <f>IFERROR(IF(VLOOKUP(tbMoveset!A72,tbMoveset!A2:H112,8,FALSE)="Other",IF(VLOOKUP(tbMoveset!A72,tbMoveset!A2:I112,9,FALSE)="Fire",Backdoors!BB27,IF(VLOOKUP(tbMoveset!A72,tbMoveset!A2:I112,9,FALSE)="Water",Backdoors!BC27,IF(VLOOKUP(tbMoveset!A72,tbMoveset!A2:I112,9,FALSE)="Thunder",Backdoors!BD27,IF(VLOOKUP(tbMoveset!A72,tbMoveset!A2:I112,9,FALSE)="Ice",Backdoors!BE27,IF(VLOOKUP(tbMoveset!A72,tbMoveset!A2:I112,9,FALSE)="Dragon",Backdoors!BF27,Backdoors!BG27)))))/100,Backdoors!BG27/100),"")</f>
        <v>0</v>
      </c>
      <c r="FP72" s="49">
        <f>IFERROR(IF(VLOOKUP(A72,tbMoveset!A2:J112,10,FALSE)=TRUE,IF((Backdoors!AI12+IF(FN72&gt;=0.45,VLOOKUP(Calculator!E23,tbSkills!DH3:DI6,2,FALSE)+IF(AND(Calculator!B8=TRUE,Backdoors!BI27=TRUE),VLOOKUP(Calculator!E23,tbSkills!DH3:DJ6,3,FALSE),0),0))&gt;=0,1+(Backdoors!AL2*(IF((Backdoors!AI12+IF(FN72&gt;=0.45,VLOOKUP(Calculator!E23,tbSkills!DH3:DI6,2,FALSE)+IF(AND(Calculator!B8=TRUE,Backdoors!BI27=TRUE),VLOOKUP(Calculator!E23,tbSkills!DH3:DJ6,3,FALSE),0),0))&gt;=100,100,(Backdoors!AI12+IF(FN72&gt;=0.45,VLOOKUP(Calculator!E23,tbSkills!DH3:DI6,2,FALSE)+IF(AND(Calculator!B8=TRUE,Backdoors!BI27=TRUE),VLOOKUP(Calculator!E23,tbSkills!DH3:DJ6,3,FALSE),0),0)))/100)),(1-(0.25*((-Backdoors!AI12-IF(FN72&gt;=0.45,VLOOKUP(Calculator!E23,tbSkills!DH3:DI6,2,FALSE)+IF(AND(Calculator!B8=TRUE,Backdoors!BI27=TRUE),VLOOKUP(Calculator!E23,tbSkills!DH3:DJ6,3,FALSE),0),0))/100)))),1),"")</f>
        <v>1</v>
      </c>
      <c r="FQ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FN72)*FP72)*(VLOOKUP(A72,tbMoveset!A2:C112,3,FALSE)/100)*IF(VLOOKUP(A72,tbMoveset!A2:B112,2,FALSE)="Projectile",Backdoors!N10,Backdoors!N9),0),"")</f>
        <v/>
      </c>
      <c r="FR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FN72&gt;=0.45,VLOOKUP(Calculator!E23,tbSkills!DH3:DI6,2,FALSE)+IF(AND(Calculator!B8=TRUE,Backdoors!BI27=TRUE),VLOOKUP(Calculator!E23,tbSkills!DH3:DJ6,3,FALSE),0),0))&gt;=100,100,(Backdoors!AI12+IF(FN72&gt;=0.45,VLOOKUP(Calculator!E23,tbSkills!DH3:DI6,2,FALSE)+IF(AND(Calculator!B8=TRUE,Backdoors!BI27=TRUE),VLOOKUP(Calculator!E23,tbSkills!DH3:DJ6,3,FALSE),0),0)))/100)),1))*IF(VLOOKUP(A72,tbMoveset!A2:K112,11,FALSE)=TRUE,Backdoors!AC5,1))*FO72,0),"")</f>
        <v>0</v>
      </c>
      <c r="FS72" s="49">
        <f>VLOOKUP(A72,tbMoveset!A2:G112,7,FALSE)*IFERROR(IF(Backdoors!AI12&gt;=0,1+(IF(Calculator!E40&gt;0,VLOOKUP(Calculator!E40,tbSkills!AI3:AJ5,2,FALSE),Backdoors!AL4)*(IF((Backdoors!AI12+IF(FN72&gt;=0.45,VLOOKUP(Calculator!E23,tbSkills!DH3:DI6,2,FALSE)+IF(AND(Calculator!B8=TRUE,Backdoors!BI27=TRUE),VLOOKUP(Calculator!E23,tbSkills!DH3:DJ6,3,FALSE),0),0))&gt;=100,100,(Backdoors!AI12+IF(FN72&gt;=0.45,VLOOKUP(Calculator!E23,tbSkills!DH3:DI6,2,FALSE)+IF(AND(Calculator!B8=TRUE,Backdoors!BI27=TRUE),VLOOKUP(Calculator!E23,tbSkills!DH3:DJ6,3,FALSE),0),0)))/100)),1),1)</f>
        <v>0.4</v>
      </c>
      <c r="FT72" s="87">
        <f t="shared" si="75"/>
        <v>0</v>
      </c>
      <c r="FU72" s="86" t="str">
        <f>IFERROR(IF(VLOOKUP(A72,tbMoveset!A2:B112,2,FALSE)="Sever",Backdoors!AY28/100,IF(VLOOKUP(A72,tbMoveset!A2:B112,2,FALSE)="Blunt",Backdoors!AZ28/100,Backdoors!BA28/100)),"")</f>
        <v/>
      </c>
      <c r="FV72" s="49">
        <f>IFERROR(IF(VLOOKUP(tbMoveset!A72,tbMoveset!A2:H112,8,FALSE)="Other",IF(VLOOKUP(tbMoveset!A72,tbMoveset!A2:I112,9,FALSE)="Fire",Backdoors!BB28,IF(VLOOKUP(tbMoveset!A72,tbMoveset!A2:I112,9,FALSE)="Water",Backdoors!BC28,IF(VLOOKUP(tbMoveset!A72,tbMoveset!A2:I112,9,FALSE)="Thunder",Backdoors!BD28,IF(VLOOKUP(tbMoveset!A72,tbMoveset!A2:I112,9,FALSE)="Ice",Backdoors!BE28,IF(VLOOKUP(tbMoveset!A72,tbMoveset!A2:I112,9,FALSE)="Dragon",Backdoors!BF28,Backdoors!BG28)))))/100,Backdoors!BG28/100),"")</f>
        <v>0</v>
      </c>
      <c r="FW72" s="49">
        <f>IFERROR(IF(VLOOKUP(A72,tbMoveset!A2:J112,10,FALSE)=TRUE,IF((Backdoors!AI12+IF(FU72&gt;=0.45,VLOOKUP(Calculator!E23,tbSkills!DH3:DI6,2,FALSE)+IF(AND(Calculator!B8=TRUE,Backdoors!BI28=TRUE),VLOOKUP(Calculator!E23,tbSkills!DH3:DJ6,3,FALSE),0),0))&gt;=0,1+(Backdoors!AL2*(IF((Backdoors!AI12+IF(FU72&gt;=0.45,VLOOKUP(Calculator!E23,tbSkills!DH3:DI6,2,FALSE)+IF(AND(Calculator!B8=TRUE,Backdoors!BI28=TRUE),VLOOKUP(Calculator!E23,tbSkills!DH3:DJ6,3,FALSE),0),0))&gt;=100,100,(Backdoors!AI12+IF(FU72&gt;=0.45,VLOOKUP(Calculator!E23,tbSkills!DH3:DI6,2,FALSE)+IF(AND(Calculator!B8=TRUE,Backdoors!BI28=TRUE),VLOOKUP(Calculator!E23,tbSkills!DH3:DJ6,3,FALSE),0),0)))/100)),(1-(0.25*((-Backdoors!AI12-IF(FU72&gt;=0.45,VLOOKUP(Calculator!E23,tbSkills!DH3:DI6,2,FALSE)+IF(AND(Calculator!B8=TRUE,Backdoors!BI28=TRUE),VLOOKUP(Calculator!E23,tbSkills!DH3:DJ6,3,FALSE),0),0))/100)))),1),"")</f>
        <v>1</v>
      </c>
      <c r="FX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FU72)*FW72)*(VLOOKUP(A72,tbMoveset!A2:C112,3,FALSE)/100)*IF(VLOOKUP(A72,tbMoveset!A2:B112,2,FALSE)="Projectile",Backdoors!N10,Backdoors!N9),0),"")</f>
        <v/>
      </c>
      <c r="FY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FU72&gt;=0.45,VLOOKUP(Calculator!E23,tbSkills!DH3:DI6,2,FALSE)+IF(AND(Calculator!B8=TRUE,Backdoors!BI28=TRUE),VLOOKUP(Calculator!E23,tbSkills!DH3:DJ6,3,FALSE),0),0))&gt;=100,100,(Backdoors!AI12+IF(FU72&gt;=0.45,VLOOKUP(Calculator!E23,tbSkills!DH3:DI6,2,FALSE)+IF(AND(Calculator!B8=TRUE,Backdoors!BI28=TRUE),VLOOKUP(Calculator!E23,tbSkills!DH3:DJ6,3,FALSE),0),0)))/100)),1))*IF(VLOOKUP(A72,tbMoveset!A2:K112,11,FALSE)=TRUE,Backdoors!AC5,1))*FV72,0),"")</f>
        <v>0</v>
      </c>
      <c r="FZ72" s="49">
        <f>VLOOKUP(A72,tbMoveset!A2:G112,7,FALSE)*IFERROR(IF(Backdoors!AI12&gt;=0,1+(IF(Calculator!E40&gt;0,VLOOKUP(Calculator!E40,tbSkills!AI3:AJ5,2,FALSE),Backdoors!AL4)*(IF((Backdoors!AI12+IF(FU72&gt;=0.45,VLOOKUP(Calculator!E23,tbSkills!DH3:DI6,2,FALSE)+IF(AND(Calculator!B8=TRUE,Backdoors!BI28=TRUE),VLOOKUP(Calculator!E23,tbSkills!DH3:DJ6,3,FALSE),0),0))&gt;=100,100,(Backdoors!AI12+IF(FU72&gt;=0.45,VLOOKUP(Calculator!E23,tbSkills!DH3:DI6,2,FALSE)+IF(AND(Calculator!B8=TRUE,Backdoors!BI28=TRUE),VLOOKUP(Calculator!E23,tbSkills!DH3:DJ6,3,FALSE),0),0)))/100)),1),1)</f>
        <v>0.4</v>
      </c>
      <c r="GA72" s="87">
        <f t="shared" si="76"/>
        <v>0</v>
      </c>
      <c r="GB72" s="86" t="str">
        <f>IFERROR(IF(VLOOKUP(A72,tbMoveset!A2:B112,2,FALSE)="Sever",Backdoors!AY29/100,IF(VLOOKUP(A72,tbMoveset!A2:B112,2,FALSE)="Blunt",Backdoors!AZ29/100,Backdoors!BA29/100)),"")</f>
        <v/>
      </c>
      <c r="GC72" s="49">
        <f>IFERROR(IF(VLOOKUP(tbMoveset!A72,tbMoveset!A2:H112,8,FALSE)="Other",IF(VLOOKUP(tbMoveset!A72,tbMoveset!A2:I112,9,FALSE)="Fire",Backdoors!BB29,IF(VLOOKUP(tbMoveset!A72,tbMoveset!A2:I112,9,FALSE)="Water",Backdoors!BC29,IF(VLOOKUP(tbMoveset!A72,tbMoveset!A2:I112,9,FALSE)="Thunder",Backdoors!BD29,IF(VLOOKUP(tbMoveset!A72,tbMoveset!A2:I112,9,FALSE)="Ice",Backdoors!BE29,IF(VLOOKUP(tbMoveset!A72,tbMoveset!A2:I112,9,FALSE)="Dragon",Backdoors!BF29,Backdoors!BG29)))))/100,Backdoors!BG29/100),"")</f>
        <v>0</v>
      </c>
      <c r="GD72" s="49">
        <f>IFERROR(IF(VLOOKUP(A72,tbMoveset!A2:J112,10,FALSE)=TRUE,IF((Backdoors!AI12+IF(GB72&gt;=0.45,VLOOKUP(Calculator!E23,tbSkills!DH3:DI6,2,FALSE)+IF(AND(Calculator!B8=TRUE,Backdoors!BI29=TRUE),VLOOKUP(Calculator!E23,tbSkills!DH3:DJ6,3,FALSE),0),0))&gt;=0,1+(Backdoors!AL2*(IF((Backdoors!AI12+IF(GB72&gt;=0.45,VLOOKUP(Calculator!E23,tbSkills!DH3:DI6,2,FALSE)+IF(AND(Calculator!B8=TRUE,Backdoors!BI29=TRUE),VLOOKUP(Calculator!E23,tbSkills!DH3:DJ6,3,FALSE),0),0))&gt;=100,100,(Backdoors!AI12+IF(GB72&gt;=0.45,VLOOKUP(Calculator!E23,tbSkills!DH3:DI6,2,FALSE)+IF(AND(Calculator!B8=TRUE,Backdoors!BI29=TRUE),VLOOKUP(Calculator!E23,tbSkills!DH3:DJ6,3,FALSE),0),0)))/100)),(1-(0.25*((-Backdoors!AI12-IF(GB72&gt;=0.45,VLOOKUP(Calculator!E23,tbSkills!DH3:DI6,2,FALSE)+IF(AND(Calculator!B8=TRUE,Backdoors!BI29=TRUE),VLOOKUP(Calculator!E23,tbSkills!DH3:DJ6,3,FALSE),0),0))/100)))),1),"")</f>
        <v>1</v>
      </c>
      <c r="GE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B72)*GD72)*(VLOOKUP(A72,tbMoveset!A2:C112,3,FALSE)/100)*IF(VLOOKUP(A72,tbMoveset!A2:B112,2,FALSE)="Projectile",Backdoors!N10,Backdoors!N9),0),"")</f>
        <v/>
      </c>
      <c r="GF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B72&gt;=0.45,VLOOKUP(Calculator!E23,tbSkills!DH3:DI6,2,FALSE)+IF(AND(Calculator!B8=TRUE,Backdoors!BI29=TRUE),VLOOKUP(Calculator!E23,tbSkills!DH3:DJ6,3,FALSE),0),0))&gt;=100,100,(Backdoors!AI12+IF(GB72&gt;=0.45,VLOOKUP(Calculator!E23,tbSkills!DH3:DI6,2,FALSE)+IF(AND(Calculator!B8=TRUE,Backdoors!BI29=TRUE),VLOOKUP(Calculator!E23,tbSkills!DH3:DJ6,3,FALSE),0),0)))/100)),1))*IF(VLOOKUP(A72,tbMoveset!A2:K112,11,FALSE)=TRUE,Backdoors!AC5,1))*GC72,0),"")</f>
        <v>0</v>
      </c>
      <c r="GG72" s="49">
        <f>VLOOKUP(A72,tbMoveset!A2:G112,7,FALSE)*IFERROR(IF(Backdoors!AI12&gt;=0,1+(IF(Calculator!E40&gt;0,VLOOKUP(Calculator!E40,tbSkills!AI3:AJ5,2,FALSE),Backdoors!AL4)*(IF((Backdoors!AI12+IF(GB72&gt;=0.45,VLOOKUP(Calculator!E23,tbSkills!DH3:DI6,2,FALSE)+IF(AND(Calculator!B8=TRUE,Backdoors!BI29=TRUE),VLOOKUP(Calculator!E23,tbSkills!DH3:DJ6,3,FALSE),0),0))&gt;=100,100,(Backdoors!AI12+IF(GB72&gt;=0.45,VLOOKUP(Calculator!E23,tbSkills!DH3:DI6,2,FALSE)+IF(AND(Calculator!B8=TRUE,Backdoors!BI29=TRUE),VLOOKUP(Calculator!E23,tbSkills!DH3:DJ6,3,FALSE),0),0)))/100)),1),1)</f>
        <v>0.4</v>
      </c>
      <c r="GH72" s="87">
        <f t="shared" si="77"/>
        <v>0</v>
      </c>
      <c r="GI72" s="86" t="str">
        <f>IFERROR(IF(VLOOKUP(A72,tbMoveset!A2:B112,2,FALSE)="Sever",Backdoors!AY30/100,IF(VLOOKUP(A72,tbMoveset!A2:B112,2,FALSE)="Blunt",Backdoors!AZ30/100,Backdoors!BA30/100)),"")</f>
        <v/>
      </c>
      <c r="GJ72" s="49">
        <f>IFERROR(IF(VLOOKUP(tbMoveset!A72,tbMoveset!A2:H112,8,FALSE)="Other",IF(VLOOKUP(tbMoveset!A72,tbMoveset!A2:I112,9,FALSE)="Fire",Backdoors!BB30,IF(VLOOKUP(tbMoveset!A72,tbMoveset!A2:I112,9,FALSE)="Water",Backdoors!BC30,IF(VLOOKUP(tbMoveset!A72,tbMoveset!A2:I112,9,FALSE)="Thunder",Backdoors!BD30,IF(VLOOKUP(tbMoveset!A72,tbMoveset!A2:I112,9,FALSE)="Ice",Backdoors!BE30,IF(VLOOKUP(tbMoveset!A72,tbMoveset!A2:I112,9,FALSE)="Dragon",Backdoors!BF30,Backdoors!BG30)))))/100,Backdoors!BG30/100),"")</f>
        <v>0</v>
      </c>
      <c r="GK72" s="49">
        <f>IFERROR(IF(VLOOKUP(A72,tbMoveset!A2:J112,10,FALSE)=TRUE,IF((Backdoors!AI12+IF(GI72&gt;=0.45,VLOOKUP(Calculator!E23,tbSkills!DH3:DI6,2,FALSE)+IF(AND(Calculator!B8=TRUE,Backdoors!BI30=TRUE),VLOOKUP(Calculator!E23,tbSkills!DH3:DJ6,3,FALSE),0),0))&gt;=0,1+(Backdoors!AL2*(IF((Backdoors!AI12+IF(GI72&gt;=0.45,VLOOKUP(Calculator!E23,tbSkills!DH3:DI6,2,FALSE)+IF(AND(Calculator!B8=TRUE,Backdoors!BI30=TRUE),VLOOKUP(Calculator!E23,tbSkills!DH3:DJ6,3,FALSE),0),0))&gt;=100,100,(Backdoors!AI12+IF(GI72&gt;=0.45,VLOOKUP(Calculator!E23,tbSkills!DH3:DI6,2,FALSE)+IF(AND(Calculator!B8=TRUE,Backdoors!BI30=TRUE),VLOOKUP(Calculator!E23,tbSkills!DH3:DJ6,3,FALSE),0),0)))/100)),(1-(0.25*((-Backdoors!AI12-IF(GI72&gt;=0.45,VLOOKUP(Calculator!E23,tbSkills!DH3:DI6,2,FALSE)+IF(AND(Calculator!B8=TRUE,Backdoors!BI30=TRUE),VLOOKUP(Calculator!E23,tbSkills!DH3:DJ6,3,FALSE),0),0))/100)))),1),"")</f>
        <v>1</v>
      </c>
      <c r="GL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I72)*GK72)*(VLOOKUP(A72,tbMoveset!A2:C112,3,FALSE)/100)*IF(VLOOKUP(A72,tbMoveset!A2:B112,2,FALSE)="Projectile",Backdoors!N10,Backdoors!N9),0),"")</f>
        <v/>
      </c>
      <c r="GM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I72&gt;=0.45,VLOOKUP(Calculator!E23,tbSkills!DH3:DI6,2,FALSE)+IF(AND(Calculator!B8=TRUE,Backdoors!BI30=TRUE),VLOOKUP(Calculator!E23,tbSkills!DH3:DJ6,3,FALSE),0),0))&gt;=100,100,(Backdoors!AI12+IF(GI72&gt;=0.45,VLOOKUP(Calculator!E23,tbSkills!DH3:DI6,2,FALSE)+IF(AND(Calculator!B8=TRUE,Backdoors!BI30=TRUE),VLOOKUP(Calculator!E23,tbSkills!DH3:DJ6,3,FALSE),0),0)))/100)),1))*IF(VLOOKUP(A72,tbMoveset!A2:K112,11,FALSE)=TRUE,Backdoors!AC5,1))*GJ72,0),"")</f>
        <v>0</v>
      </c>
      <c r="GN72" s="49">
        <f>VLOOKUP(A72,tbMoveset!A2:G112,7,FALSE)*IFERROR(IF(Backdoors!AI12&gt;=0,1+(IF(Calculator!E40&gt;0,VLOOKUP(Calculator!E40,tbSkills!AI3:AJ5,2,FALSE),Backdoors!AL4)*(IF((Backdoors!AI12+IF(GI72&gt;=0.45,VLOOKUP(Calculator!E23,tbSkills!DH3:DI6,2,FALSE)+IF(AND(Calculator!B8=TRUE,Backdoors!BI30=TRUE),VLOOKUP(Calculator!E23,tbSkills!DH3:DJ6,3,FALSE),0),0))&gt;=100,100,(Backdoors!AI12+IF(GI72&gt;=0.45,VLOOKUP(Calculator!E23,tbSkills!DH3:DI6,2,FALSE)+IF(AND(Calculator!B8=TRUE,Backdoors!BI30=TRUE),VLOOKUP(Calculator!E23,tbSkills!DH3:DJ6,3,FALSE),0),0)))/100)),1),1)</f>
        <v>0.4</v>
      </c>
      <c r="GO72" s="87">
        <f t="shared" si="78"/>
        <v>0</v>
      </c>
      <c r="GP72" s="86" t="str">
        <f>IFERROR(IF(VLOOKUP(A72,tbMoveset!A2:B112,2,FALSE)="Sever",Backdoors!AY31/100,IF(VLOOKUP(A72,tbMoveset!A2:B112,2,FALSE)="Blunt",Backdoors!AZ31/100,Backdoors!BA31/100)),"")</f>
        <v/>
      </c>
      <c r="GQ72" s="49">
        <f>IFERROR(IF(VLOOKUP(tbMoveset!A72,tbMoveset!A2:H112,8,FALSE)="Other",IF(VLOOKUP(tbMoveset!A72,tbMoveset!A2:I112,9,FALSE)="Fire",Backdoors!BB31,IF(VLOOKUP(tbMoveset!A72,tbMoveset!A2:I112,9,FALSE)="Water",Backdoors!BC31,IF(VLOOKUP(tbMoveset!A72,tbMoveset!A2:I112,9,FALSE)="Thunder",Backdoors!BD31,IF(VLOOKUP(tbMoveset!A72,tbMoveset!A2:I112,9,FALSE)="Ice",Backdoors!BE31,IF(VLOOKUP(tbMoveset!A72,tbMoveset!A2:I112,9,FALSE)="Dragon",Backdoors!BF31,Backdoors!BG31)))))/100,Backdoors!BG31/100),"")</f>
        <v>0</v>
      </c>
      <c r="GR72" s="49">
        <f>IFERROR(IF(VLOOKUP(A72,tbMoveset!A2:J112,10,FALSE)=TRUE,IF((Backdoors!AI12+IF(GP72&gt;=0.45,VLOOKUP(Calculator!E23,tbSkills!DH3:DI6,2,FALSE)+IF(AND(Calculator!B8=TRUE,Backdoors!BI31=TRUE),VLOOKUP(Calculator!E23,tbSkills!DH3:DJ6,3,FALSE),0),0))&gt;=0,1+(Backdoors!AL2*(IF((Backdoors!AI12+IF(GP72&gt;=0.45,VLOOKUP(Calculator!E23,tbSkills!DH3:DI6,2,FALSE)+IF(AND(Calculator!B8=TRUE,Backdoors!BI31=TRUE),VLOOKUP(Calculator!E23,tbSkills!DH3:DJ6,3,FALSE),0),0))&gt;=100,100,(Backdoors!AI12+IF(GP72&gt;=0.45,VLOOKUP(Calculator!E23,tbSkills!DH3:DI6,2,FALSE)+IF(AND(Calculator!B8=TRUE,Backdoors!BI31=TRUE),VLOOKUP(Calculator!E23,tbSkills!DH3:DJ6,3,FALSE),0),0)))/100)),(1-(0.25*((-Backdoors!AI12-IF(GP72&gt;=0.45,VLOOKUP(Calculator!E23,tbSkills!DH3:DI6,2,FALSE)+IF(AND(Calculator!B8=TRUE,Backdoors!BI31=TRUE),VLOOKUP(Calculator!E23,tbSkills!DH3:DJ6,3,FALSE),0),0))/100)))),1),"")</f>
        <v>1</v>
      </c>
      <c r="GS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P72)*GR72)*(VLOOKUP(A72,tbMoveset!A2:C112,3,FALSE)/100)*IF(VLOOKUP(A72,tbMoveset!A2:B112,2,FALSE)="Projectile",Backdoors!N10,Backdoors!N9),0),"")</f>
        <v/>
      </c>
      <c r="GT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P72&gt;=0.45,VLOOKUP(Calculator!E23,tbSkills!DH3:DI6,2,FALSE)+IF(AND(Calculator!B8=TRUE,Backdoors!BI31=TRUE),VLOOKUP(Calculator!E23,tbSkills!DH3:DJ6,3,FALSE),0),0))&gt;=100,100,(Backdoors!AI12+IF(GP72&gt;=0.45,VLOOKUP(Calculator!E23,tbSkills!DH3:DI6,2,FALSE)+IF(AND(Calculator!B8=TRUE,Backdoors!BI31=TRUE),VLOOKUP(Calculator!E23,tbSkills!DH3:DJ6,3,FALSE),0),0)))/100)),1))*IF(VLOOKUP(A72,tbMoveset!A2:K112,11,FALSE)=TRUE,Backdoors!AC5,1))*GQ72,0),"")</f>
        <v>0</v>
      </c>
      <c r="GU72" s="49">
        <f>VLOOKUP(A72,tbMoveset!A2:G112,7,FALSE)*IFERROR(IF(Backdoors!AI12&gt;=0,1+(IF(Calculator!E40&gt;0,VLOOKUP(Calculator!E40,tbSkills!AI3:AJ5,2,FALSE),Backdoors!AL4)*(IF((Backdoors!AI12+IF(GP72&gt;=0.45,VLOOKUP(Calculator!E23,tbSkills!DH3:DI6,2,FALSE)+IF(AND(Calculator!B8=TRUE,Backdoors!BI31=TRUE),VLOOKUP(Calculator!E23,tbSkills!DH3:DJ6,3,FALSE),0),0))&gt;=100,100,(Backdoors!AI12+IF(GP72&gt;=0.45,VLOOKUP(Calculator!E23,tbSkills!DH3:DI6,2,FALSE)+IF(AND(Calculator!B8=TRUE,Backdoors!BI31=TRUE),VLOOKUP(Calculator!E23,tbSkills!DH3:DJ6,3,FALSE),0),0)))/100)),1),1)</f>
        <v>0.4</v>
      </c>
      <c r="GV72" s="87">
        <f t="shared" si="79"/>
        <v>0</v>
      </c>
      <c r="GW72" s="86" t="str">
        <f>IFERROR(IF(VLOOKUP(A72,tbMoveset!A2:B112,2,FALSE)="Sever",Backdoors!AY32/100,IF(VLOOKUP(A72,tbMoveset!A2:B112,2,FALSE)="Blunt",Backdoors!AZ32/100,Backdoors!BA32/100)),"")</f>
        <v/>
      </c>
      <c r="GX72" s="49">
        <f>IFERROR(IF(VLOOKUP(tbMoveset!A72,tbMoveset!A2:H112,8,FALSE)="Other",IF(VLOOKUP(tbMoveset!A72,tbMoveset!A2:I112,9,FALSE)="Fire",Backdoors!BB32,IF(VLOOKUP(tbMoveset!A72,tbMoveset!A2:I112,9,FALSE)="Water",Backdoors!BC32,IF(VLOOKUP(tbMoveset!A72,tbMoveset!A2:I112,9,FALSE)="Thunder",Backdoors!BD32,IF(VLOOKUP(tbMoveset!A72,tbMoveset!A2:I112,9,FALSE)="Ice",Backdoors!BE32,IF(VLOOKUP(tbMoveset!A72,tbMoveset!A2:I112,9,FALSE)="Dragon",Backdoors!BF32,Backdoors!BG32)))))/100,Backdoors!BG32/100),"")</f>
        <v>0</v>
      </c>
      <c r="GY72" s="49">
        <f>IFERROR(IF(VLOOKUP(A72,tbMoveset!A2:J112,10,FALSE)=TRUE,IF((Backdoors!AI12+IF(GW72&gt;=0.45,VLOOKUP(Calculator!E23,tbSkills!DH3:DI6,2,FALSE)+IF(AND(Calculator!B8=TRUE,Backdoors!BI32=TRUE),VLOOKUP(Calculator!E23,tbSkills!DH3:DJ6,3,FALSE),0),0))&gt;=0,1+(Backdoors!AL2*(IF((Backdoors!AI12+IF(GW72&gt;=0.45,VLOOKUP(Calculator!E23,tbSkills!DH3:DI6,2,FALSE)+IF(AND(Calculator!B8=TRUE,Backdoors!BI32=TRUE),VLOOKUP(Calculator!E23,tbSkills!DH3:DJ6,3,FALSE),0),0))&gt;=100,100,(Backdoors!AI12+IF(GW72&gt;=0.45,VLOOKUP(Calculator!E23,tbSkills!DH3:DI6,2,FALSE)+IF(AND(Calculator!B8=TRUE,Backdoors!BI32=TRUE),VLOOKUP(Calculator!E23,tbSkills!DH3:DJ6,3,FALSE),0),0)))/100)),(1-(0.25*((-Backdoors!AI12-IF(GW72&gt;=0.45,VLOOKUP(Calculator!E23,tbSkills!DH3:DI6,2,FALSE)+IF(AND(Calculator!B8=TRUE,Backdoors!BI32=TRUE),VLOOKUP(Calculator!E23,tbSkills!DH3:DJ6,3,FALSE),0),0))/100)))),1),"")</f>
        <v>1</v>
      </c>
      <c r="GZ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W72)*GY72)*(VLOOKUP(A72,tbMoveset!A2:C112,3,FALSE)/100)*IF(VLOOKUP(A72,tbMoveset!A2:B112,2,FALSE)="Projectile",Backdoors!N10,Backdoors!N9),0),"")</f>
        <v/>
      </c>
      <c r="HA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W72&gt;=0.45,VLOOKUP(Calculator!E23,tbSkills!DH3:DI6,2,FALSE)+IF(AND(Calculator!B8=TRUE,Backdoors!BI32=TRUE),VLOOKUP(Calculator!E23,tbSkills!DH3:DJ6,3,FALSE),0),0))&gt;=100,100,(Backdoors!AI12+IF(GW72&gt;=0.45,VLOOKUP(Calculator!E23,tbSkills!DH3:DI6,2,FALSE)+IF(AND(Calculator!B8=TRUE,Backdoors!BI32=TRUE),VLOOKUP(Calculator!E23,tbSkills!DH3:DJ6,3,FALSE),0),0)))/100)),1))*IF(VLOOKUP(A72,tbMoveset!A2:K112,11,FALSE)=TRUE,Backdoors!AC5,1))*GX72,0),"")</f>
        <v>0</v>
      </c>
      <c r="HB72" s="49">
        <f>VLOOKUP(A72,tbMoveset!A2:G112,7,FALSE)*IFERROR(IF(Backdoors!AI12&gt;=0,1+(IF(Calculator!E40&gt;0,VLOOKUP(Calculator!E40,tbSkills!AI3:AJ5,2,FALSE),Backdoors!AL4)*(IF((Backdoors!AI12+IF(GW72&gt;=0.45,VLOOKUP(Calculator!E23,tbSkills!DH3:DI6,2,FALSE)+IF(AND(Calculator!B8=TRUE,Backdoors!BI32=TRUE),VLOOKUP(Calculator!E23,tbSkills!DH3:DJ6,3,FALSE),0),0))&gt;=100,100,(Backdoors!AI12+IF(GW72&gt;=0.45,VLOOKUP(Calculator!E23,tbSkills!DH3:DI6,2,FALSE)+IF(AND(Calculator!B8=TRUE,Backdoors!BI32=TRUE),VLOOKUP(Calculator!E23,tbSkills!DH3:DJ6,3,FALSE),0),0)))/100)),1),1)</f>
        <v>0.4</v>
      </c>
      <c r="HC72" s="87">
        <f t="shared" si="80"/>
        <v>0</v>
      </c>
      <c r="HD72" s="86" t="str">
        <f>IFERROR(IF(VLOOKUP(A72,tbMoveset!A2:B112,2,FALSE)="Sever",Backdoors!AY33/100,IF(VLOOKUP(A72,tbMoveset!A2:B112,2,FALSE)="Blunt",Backdoors!AZ33/100,Backdoors!BA33/100)),"")</f>
        <v/>
      </c>
      <c r="HE72" s="49">
        <f>IFERROR(IF(VLOOKUP(tbMoveset!A72,tbMoveset!A2:H112,8,FALSE)="Other",IF(VLOOKUP(tbMoveset!A72,tbMoveset!A2:I112,9,FALSE)="Fire",Backdoors!BB33,IF(VLOOKUP(tbMoveset!A72,tbMoveset!A2:I112,9,FALSE)="Water",Backdoors!BC33,IF(VLOOKUP(tbMoveset!A72,tbMoveset!A2:I112,9,FALSE)="Thunder",Backdoors!BD33,IF(VLOOKUP(tbMoveset!A72,tbMoveset!A2:I112,9,FALSE)="Ice",Backdoors!BE33,IF(VLOOKUP(tbMoveset!A72,tbMoveset!A2:I112,9,FALSE)="Dragon",Backdoors!BF33,Backdoors!BG33)))))/100,Backdoors!BG33/100),"")</f>
        <v>0</v>
      </c>
      <c r="HF72" s="49">
        <f>IFERROR(IF(VLOOKUP(A72,tbMoveset!A2:J112,10,FALSE)=TRUE,IF((Backdoors!AI12+IF(HD72&gt;=0.45,VLOOKUP(Calculator!E23,tbSkills!DH3:DI6,2,FALSE)+IF(AND(Calculator!B8=TRUE,Backdoors!BI33=TRUE),VLOOKUP(Calculator!E23,tbSkills!DH3:DJ6,3,FALSE),0),0))&gt;=0,1+(Backdoors!AL2*(IF((Backdoors!AI12+IF(HD72&gt;=0.45,VLOOKUP(Calculator!E23,tbSkills!DH3:DI6,2,FALSE)+IF(AND(Calculator!B8=TRUE,Backdoors!BI33=TRUE),VLOOKUP(Calculator!E23,tbSkills!DH3:DJ6,3,FALSE),0),0))&gt;=100,100,(Backdoors!AI12+IF(HD72&gt;=0.45,VLOOKUP(Calculator!E23,tbSkills!DH3:DI6,2,FALSE)+IF(AND(Calculator!B8=TRUE,Backdoors!BI33=TRUE),VLOOKUP(Calculator!E23,tbSkills!DH3:DJ6,3,FALSE),0),0)))/100)),(1-(0.25*((-Backdoors!AI12-IF(HD72&gt;=0.45,VLOOKUP(Calculator!E23,tbSkills!DH3:DI6,2,FALSE)+IF(AND(Calculator!B8=TRUE,Backdoors!BI33=TRUE),VLOOKUP(Calculator!E23,tbSkills!DH3:DJ6,3,FALSE),0),0))/100)))),1),"")</f>
        <v>1</v>
      </c>
      <c r="HG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D72)*HF72)*(VLOOKUP(A72,tbMoveset!A2:C112,3,FALSE)/100)*IF(VLOOKUP(A72,tbMoveset!A2:B112,2,FALSE)="Projectile",Backdoors!N10,Backdoors!N9),0),"")</f>
        <v/>
      </c>
      <c r="HH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D72&gt;=0.45,VLOOKUP(Calculator!E23,tbSkills!DH3:DI6,2,FALSE)+IF(AND(Calculator!B8=TRUE,Backdoors!BI33=TRUE),VLOOKUP(Calculator!E23,tbSkills!DH3:DJ6,3,FALSE),0),0))&gt;=100,100,(Backdoors!AI12+IF(HD72&gt;=0.45,VLOOKUP(Calculator!E23,tbSkills!DH3:DI6,2,FALSE)+IF(AND(Calculator!B8=TRUE,Backdoors!BI33=TRUE),VLOOKUP(Calculator!E23,tbSkills!DH3:DJ6,3,FALSE),0),0)))/100)),1))*IF(VLOOKUP(A72,tbMoveset!A2:K112,11,FALSE)=TRUE,Backdoors!AC5,1))*HE72,0),"")</f>
        <v>0</v>
      </c>
      <c r="HI72" s="49">
        <f>VLOOKUP(A72,tbMoveset!A2:G112,7,FALSE)*IFERROR(IF(Backdoors!AI12&gt;=0,1+(IF(Calculator!E40&gt;0,VLOOKUP(Calculator!E40,tbSkills!AI3:AJ5,2,FALSE),Backdoors!AL4)*(IF((Backdoors!AI12+IF(HD72&gt;=0.45,VLOOKUP(Calculator!E23,tbSkills!DH3:DI6,2,FALSE)+IF(AND(Calculator!B8=TRUE,Backdoors!BI33=TRUE),VLOOKUP(Calculator!E23,tbSkills!DH3:DJ6,3,FALSE),0),0))&gt;=100,100,(Backdoors!AI12+IF(HD72&gt;=0.45,VLOOKUP(Calculator!E23,tbSkills!DH3:DI6,2,FALSE)+IF(AND(Calculator!B8=TRUE,Backdoors!BI33=TRUE),VLOOKUP(Calculator!E23,tbSkills!DH3:DJ6,3,FALSE),0),0)))/100)),1),1)</f>
        <v>0.4</v>
      </c>
      <c r="HJ72" s="87">
        <f t="shared" si="81"/>
        <v>0</v>
      </c>
      <c r="HK72" s="86" t="str">
        <f>IFERROR(IF(VLOOKUP(A72,tbMoveset!A2:B112,2,FALSE)="Sever",Backdoors!AY34/100,IF(VLOOKUP(A72,tbMoveset!A2:B112,2,FALSE)="Blunt",Backdoors!AZ34/100,Backdoors!BA34/100)),"")</f>
        <v/>
      </c>
      <c r="HL72" s="49">
        <f>IFERROR(IF(VLOOKUP(tbMoveset!A72,tbMoveset!A2:H112,8,FALSE)="Other",IF(VLOOKUP(tbMoveset!A72,tbMoveset!A2:I112,9,FALSE)="Fire",Backdoors!BB34,IF(VLOOKUP(tbMoveset!A72,tbMoveset!A2:I112,9,FALSE)="Water",Backdoors!BC34,IF(VLOOKUP(tbMoveset!A72,tbMoveset!A2:I112,9,FALSE)="Thunder",Backdoors!BD34,IF(VLOOKUP(tbMoveset!A72,tbMoveset!A2:I112,9,FALSE)="Ice",Backdoors!BE34,IF(VLOOKUP(tbMoveset!A72,tbMoveset!A2:I112,9,FALSE)="Dragon",Backdoors!BF34,Backdoors!BG34)))))/100,Backdoors!BG34/100),"")</f>
        <v>0</v>
      </c>
      <c r="HM72" s="49">
        <f>IFERROR(IF(VLOOKUP(A72,tbMoveset!A2:J112,10,FALSE)=TRUE,IF((Backdoors!AI12+IF(HK72&gt;=0.45,VLOOKUP(Calculator!E23,tbSkills!DH3:DI6,2,FALSE)+IF(AND(Calculator!B8=TRUE,Backdoors!BI34=TRUE),VLOOKUP(Calculator!E23,tbSkills!DH3:DJ6,3,FALSE),0),0))&gt;=0,1+(Backdoors!AL2*(IF((Backdoors!AI12+IF(HK72&gt;=0.45,VLOOKUP(Calculator!E23,tbSkills!DH3:DI6,2,FALSE)+IF(AND(Calculator!B8=TRUE,Backdoors!BI34=TRUE),VLOOKUP(Calculator!E23,tbSkills!DH3:DJ6,3,FALSE),0),0))&gt;=100,100,(Backdoors!AI12+IF(HK72&gt;=0.45,VLOOKUP(Calculator!E23,tbSkills!DH3:DI6,2,FALSE)+IF(AND(Calculator!B8=TRUE,Backdoors!BI34=TRUE),VLOOKUP(Calculator!E23,tbSkills!DH3:DJ6,3,FALSE),0),0)))/100)),(1-(0.25*((-Backdoors!AI12-IF(HK72&gt;=0.45,VLOOKUP(Calculator!E23,tbSkills!DH3:DI6,2,FALSE)+IF(AND(Calculator!B8=TRUE,Backdoors!BI34=TRUE),VLOOKUP(Calculator!E23,tbSkills!DH3:DJ6,3,FALSE),0),0))/100)))),1),"")</f>
        <v>1</v>
      </c>
      <c r="HN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K72)*HM72)*(VLOOKUP(A72,tbMoveset!A2:C112,3,FALSE)/100)*IF(VLOOKUP(A72,tbMoveset!A2:B112,2,FALSE)="Projectile",Backdoors!N10,Backdoors!N9),0),"")</f>
        <v/>
      </c>
      <c r="HO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K72&gt;=0.45,VLOOKUP(Calculator!E23,tbSkills!DH3:DI6,2,FALSE)+IF(AND(Calculator!B8=TRUE,Backdoors!BI34=TRUE),VLOOKUP(Calculator!E23,tbSkills!DH3:DJ6,3,FALSE),0),0))&gt;=100,100,(Backdoors!AI12+IF(HK72&gt;=0.45,VLOOKUP(Calculator!E23,tbSkills!DH3:DI6,2,FALSE)+IF(AND(Calculator!B8=TRUE,Backdoors!BI34=TRUE),VLOOKUP(Calculator!E23,tbSkills!DH3:DJ6,3,FALSE),0),0)))/100)),1))*IF(VLOOKUP(A72,tbMoveset!A2:K112,11,FALSE)=TRUE,Backdoors!AC5,1))*HL72,0),"")</f>
        <v>0</v>
      </c>
      <c r="HP72" s="49">
        <f>VLOOKUP(A72,tbMoveset!A2:G112,7,FALSE)*IFERROR(IF(Backdoors!AI12&gt;=0,1+(IF(Calculator!E40&gt;0,VLOOKUP(Calculator!E40,tbSkills!AI3:AJ5,2,FALSE),Backdoors!AL4)*(IF((Backdoors!AI12+IF(HK72&gt;=0.45,VLOOKUP(Calculator!E23,tbSkills!DH3:DI6,2,FALSE)+IF(AND(Calculator!B8=TRUE,Backdoors!BI34=TRUE),VLOOKUP(Calculator!E23,tbSkills!DH3:DJ6,3,FALSE),0),0))&gt;=100,100,(Backdoors!AI12+IF(HK72&gt;=0.45,VLOOKUP(Calculator!E23,tbSkills!DH3:DI6,2,FALSE)+IF(AND(Calculator!B8=TRUE,Backdoors!BI34=TRUE),VLOOKUP(Calculator!E23,tbSkills!DH3:DJ6,3,FALSE),0),0)))/100)),1),1)</f>
        <v>0.4</v>
      </c>
      <c r="HQ72" s="87">
        <f t="shared" si="82"/>
        <v>0</v>
      </c>
      <c r="HR72" s="86" t="str">
        <f>IFERROR(IF(VLOOKUP(A72,tbMoveset!A2:B112,2,FALSE)="Sever",Backdoors!AY35/100,IF(VLOOKUP(A72,tbMoveset!A2:B112,2,FALSE)="Blunt",Backdoors!AZ35/100,Backdoors!BA35/100)),"")</f>
        <v/>
      </c>
      <c r="HS72" s="49">
        <f>IFERROR(IF(VLOOKUP(tbMoveset!A72,tbMoveset!A2:H112,8,FALSE)="Other",IF(VLOOKUP(tbMoveset!A72,tbMoveset!A2:I112,9,FALSE)="Fire",Backdoors!BB35,IF(VLOOKUP(tbMoveset!A72,tbMoveset!A2:I112,9,FALSE)="Water",Backdoors!BC35,IF(VLOOKUP(tbMoveset!A72,tbMoveset!A2:I112,9,FALSE)="Thunder",Backdoors!BD35,IF(VLOOKUP(tbMoveset!A72,tbMoveset!A2:I112,9,FALSE)="Ice",Backdoors!BE35,IF(VLOOKUP(tbMoveset!A72,tbMoveset!A2:I112,9,FALSE)="Dragon",Backdoors!BF35,Backdoors!BG35)))))/100,Backdoors!BG35/100),"")</f>
        <v>0</v>
      </c>
      <c r="HT72" s="49">
        <f>IFERROR(IF(VLOOKUP(A72,tbMoveset!A2:J112,10,FALSE)=TRUE,IF((Backdoors!AI12+IF(HR72&gt;=0.45,VLOOKUP(Calculator!E23,tbSkills!DH3:DI6,2,FALSE)+IF(AND(Calculator!B8=TRUE,Backdoors!BI35=TRUE),VLOOKUP(Calculator!E23,tbSkills!DH3:DJ6,3,FALSE),0),0))&gt;=0,1+(Backdoors!AL2*(IF((Backdoors!AI12+IF(HR72&gt;=0.45,VLOOKUP(Calculator!E23,tbSkills!DH3:DI6,2,FALSE)+IF(AND(Calculator!B8=TRUE,Backdoors!BI35=TRUE),VLOOKUP(Calculator!E23,tbSkills!DH3:DJ6,3,FALSE),0),0))&gt;=100,100,(Backdoors!AI12+IF(HR72&gt;=0.45,VLOOKUP(Calculator!E23,tbSkills!DH3:DI6,2,FALSE)+IF(AND(Calculator!B8=TRUE,Backdoors!BI35=TRUE),VLOOKUP(Calculator!E23,tbSkills!DH3:DJ6,3,FALSE),0),0)))/100)),(1-(0.25*((-Backdoors!AI12-IF(HR72&gt;=0.45,VLOOKUP(Calculator!E23,tbSkills!DH3:DI6,2,FALSE)+IF(AND(Calculator!B8=TRUE,Backdoors!BI35=TRUE),VLOOKUP(Calculator!E23,tbSkills!DH3:DJ6,3,FALSE),0),0))/100)))),1),"")</f>
        <v>1</v>
      </c>
      <c r="HU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R72)*HT72)*(VLOOKUP(A72,tbMoveset!A2:C112,3,FALSE)/100)*IF(VLOOKUP(A72,tbMoveset!A2:B112,2,FALSE)="Projectile",Backdoors!N10,Backdoors!N9),0),"")</f>
        <v/>
      </c>
      <c r="HV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R72&gt;=0.45,VLOOKUP(Calculator!E23,tbSkills!DH3:DI6,2,FALSE)+IF(AND(Calculator!B8=TRUE,Backdoors!BI35=TRUE),VLOOKUP(Calculator!E23,tbSkills!DH3:DJ6,3,FALSE),0),0))&gt;=100,100,(Backdoors!AI12+IF(HR72&gt;=0.45,VLOOKUP(Calculator!E23,tbSkills!DH3:DI6,2,FALSE)+IF(AND(Calculator!B8=TRUE,Backdoors!BI35=TRUE),VLOOKUP(Calculator!E23,tbSkills!DH3:DJ6,3,FALSE),0),0)))/100)),1))*IF(VLOOKUP(A72,tbMoveset!A2:K112,11,FALSE)=TRUE,Backdoors!AC5,1))*HS72,0),"")</f>
        <v>0</v>
      </c>
      <c r="HW72" s="49">
        <f>VLOOKUP(A72,tbMoveset!A2:G112,7,FALSE)*IFERROR(IF(Backdoors!AI12&gt;=0,1+(IF(Calculator!E40&gt;0,VLOOKUP(Calculator!E40,tbSkills!AI3:AJ5,2,FALSE),Backdoors!AL4)*(IF((Backdoors!AI12+IF(HR72&gt;=0.45,VLOOKUP(Calculator!E23,tbSkills!DH3:DI6,2,FALSE)+IF(AND(Calculator!B8=TRUE,Backdoors!BI35=TRUE),VLOOKUP(Calculator!E23,tbSkills!DH3:DJ6,3,FALSE),0),0))&gt;=100,100,(Backdoors!AI12+IF(HR72&gt;=0.45,VLOOKUP(Calculator!E23,tbSkills!DH3:DI6,2,FALSE)+IF(AND(Calculator!B8=TRUE,Backdoors!BI35=TRUE),VLOOKUP(Calculator!E23,tbSkills!DH3:DJ6,3,FALSE),0),0)))/100)),1),1)</f>
        <v>0.4</v>
      </c>
      <c r="HX72" s="87">
        <f t="shared" si="83"/>
        <v>0</v>
      </c>
      <c r="HY72" s="86" t="str">
        <f>IFERROR(IF(VLOOKUP(A72,tbMoveset!A2:B112,2,FALSE)="Sever",Backdoors!AY36/100,IF(VLOOKUP(A72,tbMoveset!A2:B112,2,FALSE)="Blunt",Backdoors!AZ36/100,Backdoors!BA36/100)),"")</f>
        <v/>
      </c>
      <c r="HZ72" s="49">
        <f>IFERROR(IF(VLOOKUP(tbMoveset!A72,tbMoveset!A2:H112,8,FALSE)="Other",IF(VLOOKUP(tbMoveset!A72,tbMoveset!A2:I112,9,FALSE)="Fire",Backdoors!BB36,IF(VLOOKUP(tbMoveset!A72,tbMoveset!A2:I112,9,FALSE)="Water",Backdoors!BC36,IF(VLOOKUP(tbMoveset!A72,tbMoveset!A2:I112,9,FALSE)="Thunder",Backdoors!BD36,IF(VLOOKUP(tbMoveset!A72,tbMoveset!A2:I112,9,FALSE)="Ice",Backdoors!BE36,IF(VLOOKUP(tbMoveset!A72,tbMoveset!A2:I112,9,FALSE)="Dragon",Backdoors!BF36,Backdoors!BG36)))))/100,Backdoors!BG36/100),"")</f>
        <v>0</v>
      </c>
      <c r="IA72" s="49">
        <f>IFERROR(IF(VLOOKUP(A72,tbMoveset!A2:J112,10,FALSE)=TRUE,IF((Backdoors!AI12+IF(HY72&gt;=0.45,VLOOKUP(Calculator!E23,tbSkills!DH3:DI6,2,FALSE)+IF(AND(Calculator!B8=TRUE,Backdoors!BI36=TRUE),VLOOKUP(Calculator!E23,tbSkills!DH3:DJ6,3,FALSE),0),0))&gt;=0,1+(Backdoors!AL2*(IF((Backdoors!AI12+IF(HY72&gt;=0.45,VLOOKUP(Calculator!E23,tbSkills!DH3:DI6,2,FALSE)+IF(AND(Calculator!B8=TRUE,Backdoors!BI36=TRUE),VLOOKUP(Calculator!E23,tbSkills!DH3:DJ6,3,FALSE),0),0))&gt;=100,100,(Backdoors!AI12+IF(HY72&gt;=0.45,VLOOKUP(Calculator!E23,tbSkills!DH3:DI6,2,FALSE)+IF(AND(Calculator!B8=TRUE,Backdoors!BI36=TRUE),VLOOKUP(Calculator!E23,tbSkills!DH3:DJ6,3,FALSE),0),0)))/100)),(1-(0.25*((-Backdoors!AI12-IF(HY72&gt;=0.45,VLOOKUP(Calculator!E23,tbSkills!DH3:DI6,2,FALSE)+IF(AND(Calculator!B8=TRUE,Backdoors!BI36=TRUE),VLOOKUP(Calculator!E23,tbSkills!DH3:DJ6,3,FALSE),0),0))/100)))),1),"")</f>
        <v>1</v>
      </c>
      <c r="IB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Y72)*IA72)*(VLOOKUP(A72,tbMoveset!A2:C112,3,FALSE)/100)*IF(VLOOKUP(A72,tbMoveset!A2:B112,2,FALSE)="Projectile",Backdoors!N10,Backdoors!N9),0),"")</f>
        <v/>
      </c>
      <c r="IC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Y72&gt;=0.45,VLOOKUP(Calculator!E23,tbSkills!DH3:DI6,2,FALSE)+IF(AND(Calculator!B8=TRUE,Backdoors!BI36=TRUE),VLOOKUP(Calculator!E23,tbSkills!DH3:DJ6,3,FALSE),0),0))&gt;=100,100,(Backdoors!AI12+IF(HY72&gt;=0.45,VLOOKUP(Calculator!E23,tbSkills!DH3:DI6,2,FALSE)+IF(AND(Calculator!B8=TRUE,Backdoors!BI36=TRUE),VLOOKUP(Calculator!E23,tbSkills!DH3:DJ6,3,FALSE),0),0)))/100)),1))*IF(VLOOKUP(A72,tbMoveset!A2:K112,11,FALSE)=TRUE,Backdoors!AC5,1))*HZ72,0),"")</f>
        <v>0</v>
      </c>
      <c r="ID72" s="49">
        <f>VLOOKUP(A72,tbMoveset!A2:G112,7,FALSE)*IFERROR(IF(Backdoors!AI12&gt;=0,1+(IF(Calculator!E40&gt;0,VLOOKUP(Calculator!E40,tbSkills!AI3:AJ5,2,FALSE),Backdoors!AL4)*(IF((Backdoors!AI12+IF(HY72&gt;=0.45,VLOOKUP(Calculator!E23,tbSkills!DH3:DI6,2,FALSE)+IF(AND(Calculator!B8=TRUE,Backdoors!BI36=TRUE),VLOOKUP(Calculator!E23,tbSkills!DH3:DJ6,3,FALSE),0),0))&gt;=100,100,(Backdoors!AI12+IF(HY72&gt;=0.45,VLOOKUP(Calculator!E23,tbSkills!DH3:DI6,2,FALSE)+IF(AND(Calculator!B8=TRUE,Backdoors!BI36=TRUE),VLOOKUP(Calculator!E23,tbSkills!DH3:DJ6,3,FALSE),0),0)))/100)),1),1)</f>
        <v>0.4</v>
      </c>
      <c r="IE72" s="87">
        <f t="shared" si="84"/>
        <v>0</v>
      </c>
      <c r="IF72" s="86" t="str">
        <f>IFERROR(IF(VLOOKUP(A72,tbMoveset!A2:B112,2,FALSE)="Sever",Backdoors!AY37/100,IF(VLOOKUP(A72,tbMoveset!A2:B112,2,FALSE)="Blunt",Backdoors!AZ37/100,Backdoors!BA37/100)),"")</f>
        <v/>
      </c>
      <c r="IG72" s="49">
        <f>IFERROR(IF(VLOOKUP(tbMoveset!A72,tbMoveset!A2:H112,8,FALSE)="Other",IF(VLOOKUP(tbMoveset!A72,tbMoveset!A2:I112,9,FALSE)="Fire",Backdoors!BB37,IF(VLOOKUP(tbMoveset!A72,tbMoveset!A2:I112,9,FALSE)="Water",Backdoors!BC37,IF(VLOOKUP(tbMoveset!A72,tbMoveset!A2:I112,9,FALSE)="Thunder",Backdoors!BD37,IF(VLOOKUP(tbMoveset!A72,tbMoveset!A2:I112,9,FALSE)="Ice",Backdoors!BE37,IF(VLOOKUP(tbMoveset!A72,tbMoveset!A2:I112,9,FALSE)="Dragon",Backdoors!BF37,Backdoors!BG37)))))/100,Backdoors!BG37/100),"")</f>
        <v>0</v>
      </c>
      <c r="IH72" s="49">
        <f>IFERROR(IF(VLOOKUP(A72,tbMoveset!A2:J112,10,FALSE)=TRUE,IF((Backdoors!AI12+IF(IF72&gt;=0.45,VLOOKUP(Calculator!E23,tbSkills!DH3:DI6,2,FALSE)+IF(AND(Calculator!B8=TRUE,Backdoors!BI37=TRUE),VLOOKUP(Calculator!E23,tbSkills!DH3:DJ6,3,FALSE),0),0))&gt;=0,1+(Backdoors!AL2*(IF((Backdoors!AI12+IF(IF72&gt;=0.45,VLOOKUP(Calculator!E23,tbSkills!DH3:DI6,2,FALSE)+IF(AND(Calculator!B8=TRUE,Backdoors!BI37=TRUE),VLOOKUP(Calculator!E23,tbSkills!DH3:DJ6,3,FALSE),0),0))&gt;=100,100,(Backdoors!AI12+IF(IF72&gt;=0.45,VLOOKUP(Calculator!E23,tbSkills!DH3:DI6,2,FALSE)+IF(AND(Calculator!B8=TRUE,Backdoors!BI37=TRUE),VLOOKUP(Calculator!E23,tbSkills!DH3:DJ6,3,FALSE),0),0)))/100)),(1-(0.25*((-Backdoors!AI12-IF(IF72&gt;=0.45,VLOOKUP(Calculator!E23,tbSkills!DH3:DI6,2,FALSE)+IF(AND(Calculator!B8=TRUE,Backdoors!BI37=TRUE),VLOOKUP(Calculator!E23,tbSkills!DH3:DJ6,3,FALSE),0),0))/100)))),1),"")</f>
        <v>1</v>
      </c>
      <c r="II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F72)*IH72)*(VLOOKUP(A72,tbMoveset!A2:C112,3,FALSE)/100)*IF(VLOOKUP(A72,tbMoveset!A2:B112,2,FALSE)="Projectile",Backdoors!N10,Backdoors!N9),0),"")</f>
        <v/>
      </c>
      <c r="IJ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IF72&gt;=0.45,VLOOKUP(Calculator!E23,tbSkills!DH3:DI6,2,FALSE)+IF(AND(Calculator!B8=TRUE,Backdoors!BI37=TRUE),VLOOKUP(Calculator!E23,tbSkills!DH3:DJ6,3,FALSE),0),0))&gt;=100,100,(Backdoors!AI12+IF(IF72&gt;=0.45,VLOOKUP(Calculator!E23,tbSkills!DH3:DI6,2,FALSE)+IF(AND(Calculator!B8=TRUE,Backdoors!BI37=TRUE),VLOOKUP(Calculator!E23,tbSkills!DH3:DJ6,3,FALSE),0),0)))/100)),1))*IF(VLOOKUP(A72,tbMoveset!A2:K112,11,FALSE)=TRUE,Backdoors!AC5,1))*IG72,0),"")</f>
        <v>0</v>
      </c>
      <c r="IK72" s="49">
        <f>VLOOKUP(A72,tbMoveset!A2:G112,7,FALSE)*IFERROR(IF(Backdoors!AI12&gt;=0,1+(IF(Calculator!E40&gt;0,VLOOKUP(Calculator!E40,tbSkills!AI3:AJ5,2,FALSE),Backdoors!AL4)*(IF((Backdoors!AI12+IF(IF72&gt;=0.45,VLOOKUP(Calculator!E23,tbSkills!DH3:DI6,2,FALSE)+IF(AND(Calculator!B8=TRUE,Backdoors!BI37=TRUE),VLOOKUP(Calculator!E23,tbSkills!DH3:DJ6,3,FALSE),0),0))&gt;=100,100,(Backdoors!AI12+IF(IF72&gt;=0.45,VLOOKUP(Calculator!E23,tbSkills!DH3:DI6,2,FALSE)+IF(AND(Calculator!B8=TRUE,Backdoors!BI37=TRUE),VLOOKUP(Calculator!E23,tbSkills!DH3:DJ6,3,FALSE),0),0)))/100)),1),1)</f>
        <v>0.4</v>
      </c>
      <c r="IL72" s="87">
        <f t="shared" si="85"/>
        <v>0</v>
      </c>
      <c r="IM72" s="86" t="str">
        <f>IFERROR(IF(VLOOKUP(A72,tbMoveset!A2:B112,2,FALSE)="Sever",Backdoors!AY38/100,IF(VLOOKUP(A72,tbMoveset!A2:B112,2,FALSE)="Blunt",Backdoors!AZ38/100,Backdoors!BA38/100)),"")</f>
        <v/>
      </c>
      <c r="IN72" s="49">
        <f>IFERROR(IF(VLOOKUP(tbMoveset!A72,tbMoveset!A2:H112,8,FALSE)="Other",IF(VLOOKUP(tbMoveset!A72,tbMoveset!A2:I112,9,FALSE)="Fire",Backdoors!BB38,IF(VLOOKUP(tbMoveset!A72,tbMoveset!A2:I112,9,FALSE)="Water",Backdoors!BC38,IF(VLOOKUP(tbMoveset!A72,tbMoveset!A2:I112,9,FALSE)="Thunder",Backdoors!BD38,IF(VLOOKUP(tbMoveset!A72,tbMoveset!A2:I112,9,FALSE)="Ice",Backdoors!BE38,IF(VLOOKUP(tbMoveset!A72,tbMoveset!A2:I112,9,FALSE)="Dragon",Backdoors!BF38,Backdoors!BG38)))))/100,Backdoors!BG38/100),"")</f>
        <v>0</v>
      </c>
      <c r="IO72" s="49">
        <f>IFERROR(IF(VLOOKUP(A72,tbMoveset!A2:J112,10,FALSE)=TRUE,IF((Backdoors!AI12+IF(IM72&gt;=0.45,VLOOKUP(Calculator!E23,tbSkills!DH3:DI6,2,FALSE)+IF(AND(Calculator!B8=TRUE,Backdoors!BI38=TRUE),VLOOKUP(Calculator!E23,tbSkills!DH3:DJ6,3,FALSE),0),0))&gt;=0,1+(Backdoors!AL2*(IF((Backdoors!AI12+IF(IM72&gt;=0.45,VLOOKUP(Calculator!E23,tbSkills!DH3:DI6,2,FALSE)+IF(AND(Calculator!B8=TRUE,Backdoors!BI38=TRUE),VLOOKUP(Calculator!E23,tbSkills!DH3:DJ6,3,FALSE),0),0))&gt;=100,100,(Backdoors!AI12+IF(IM72&gt;=0.45,VLOOKUP(Calculator!E23,tbSkills!DH3:DI6,2,FALSE)+IF(AND(Calculator!B8=TRUE,Backdoors!BI38=TRUE),VLOOKUP(Calculator!E23,tbSkills!DH3:DJ6,3,FALSE),0),0)))/100)),(1-(0.25*((-Backdoors!AI12-IF(IM72&gt;=0.45,VLOOKUP(Calculator!E23,tbSkills!DH3:DI6,2,FALSE)+IF(AND(Calculator!B8=TRUE,Backdoors!BI38=TRUE),VLOOKUP(Calculator!E23,tbSkills!DH3:DJ6,3,FALSE),0),0))/100)))),1),"")</f>
        <v>1</v>
      </c>
      <c r="IP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M72)*IO72)*(VLOOKUP(A72,tbMoveset!A2:C112,3,FALSE)/100)*IF(VLOOKUP(A72,tbMoveset!A2:B112,2,FALSE)="Projectile",Backdoors!N10,Backdoors!N9),0),"")</f>
        <v/>
      </c>
      <c r="IQ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IM72&gt;=0.45,VLOOKUP(Calculator!E23,tbSkills!DH3:DI6,2,FALSE)+IF(AND(Calculator!B8=TRUE,Backdoors!BI38=TRUE),VLOOKUP(Calculator!E23,tbSkills!DH3:DJ6,3,FALSE),0),0))&gt;=100,100,(Backdoors!AI12+IF(IM72&gt;=0.45,VLOOKUP(Calculator!E23,tbSkills!DH3:DI6,2,FALSE)+IF(AND(Calculator!B8=TRUE,Backdoors!BI38=TRUE),VLOOKUP(Calculator!E23,tbSkills!DH3:DJ6,3,FALSE),0),0)))/100)),1))*IF(VLOOKUP(A72,tbMoveset!A2:K112,11,FALSE)=TRUE,Backdoors!AC5,1))*IN72,0),"")</f>
        <v>0</v>
      </c>
      <c r="IR72" s="49">
        <f>VLOOKUP(A72,tbMoveset!A2:G112,7,FALSE)*IFERROR(IF(Backdoors!AI12&gt;=0,1+(IF(Calculator!E40&gt;0,VLOOKUP(Calculator!E40,tbSkills!AI3:AJ5,2,FALSE),Backdoors!AL4)*(IF((Backdoors!AI12+IF(IM72&gt;=0.45,VLOOKUP(Calculator!E23,tbSkills!DH3:DI6,2,FALSE)+IF(AND(Calculator!B8=TRUE,Backdoors!BI38=TRUE),VLOOKUP(Calculator!E23,tbSkills!DH3:DJ6,3,FALSE),0),0))&gt;=100,100,(Backdoors!AI12+IF(IM72&gt;=0.45,VLOOKUP(Calculator!E23,tbSkills!DH3:DI6,2,FALSE)+IF(AND(Calculator!B8=TRUE,Backdoors!BI38=TRUE),VLOOKUP(Calculator!E23,tbSkills!DH3:DJ6,3,FALSE),0),0)))/100)),1),1)</f>
        <v>0.4</v>
      </c>
      <c r="IS72" s="87">
        <f t="shared" si="86"/>
        <v>0</v>
      </c>
      <c r="IT72" s="86" t="str">
        <f>IFERROR(IF(VLOOKUP(A72,tbMoveset!A2:B112,2,FALSE)="Sever",Backdoors!AY39/100,IF(VLOOKUP(A72,tbMoveset!A2:B112,2,FALSE)="Blunt",Backdoors!AZ39/100,Backdoors!BA39/100)),"")</f>
        <v/>
      </c>
      <c r="IU72" s="49">
        <f>IFERROR(IF(VLOOKUP(tbMoveset!A72,tbMoveset!A2:H112,8,FALSE)="Other",IF(VLOOKUP(tbMoveset!A72,tbMoveset!A2:I112,9,FALSE)="Fire",Backdoors!BB39,IF(VLOOKUP(tbMoveset!A72,tbMoveset!A2:I112,9,FALSE)="Water",Backdoors!BC39,IF(VLOOKUP(tbMoveset!A72,tbMoveset!A2:I112,9,FALSE)="Thunder",Backdoors!BD39,IF(VLOOKUP(tbMoveset!A72,tbMoveset!A2:I112,9,FALSE)="Ice",Backdoors!BE39,IF(VLOOKUP(tbMoveset!A72,tbMoveset!A2:I112,9,FALSE)="Dragon",Backdoors!BF39,Backdoors!BG39)))))/100,Backdoors!BG39/100),"")</f>
        <v>0</v>
      </c>
      <c r="IV72" s="49">
        <f>IFERROR(IF(VLOOKUP(A72,tbMoveset!A2:J112,10,FALSE)=TRUE,IF((Backdoors!AI12+IF(IT72&gt;=0.45,VLOOKUP(Calculator!E23,tbSkills!DH3:DI6,2,FALSE)+IF(AND(Calculator!B8=TRUE,Backdoors!BI39=TRUE),VLOOKUP(Calculator!E23,tbSkills!DH3:DJ6,3,FALSE),0),0))&gt;=0,1+(Backdoors!AL2*(IF((Backdoors!AI12+IF(IT72&gt;=0.45,VLOOKUP(Calculator!E23,tbSkills!DH3:DI6,2,FALSE)+IF(AND(Calculator!B8=TRUE,Backdoors!BI39=TRUE),VLOOKUP(Calculator!E23,tbSkills!DH3:DJ6,3,FALSE),0),0))&gt;=100,100,(Backdoors!AI12+IF(IT72&gt;=0.45,VLOOKUP(Calculator!E23,tbSkills!DH3:DI6,2,FALSE)+IF(AND(Calculator!B8=TRUE,Backdoors!BI39=TRUE),VLOOKUP(Calculator!E23,tbSkills!DH3:DJ6,3,FALSE),0),0)))/100)),(1-(0.25*((-Backdoors!AI12-IF(IT72&gt;=0.45,VLOOKUP(Calculator!E23,tbSkills!DH3:DI6,2,FALSE)+IF(AND(Calculator!B8=TRUE,Backdoors!BI39=TRUE),VLOOKUP(Calculator!E23,tbSkills!DH3:DJ6,3,FALSE),0),0))/100)))),1),"")</f>
        <v>1</v>
      </c>
      <c r="IW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T72)*IV72)*(VLOOKUP(A72,tbMoveset!A2:C112,3,FALSE)/100)*IF(VLOOKUP(A72,tbMoveset!A2:B112,2,FALSE)="Projectile",Backdoors!N10,Backdoors!N9),0),"")</f>
        <v/>
      </c>
      <c r="IX72" s="49">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40&gt;0,VLOOKUP(Calculator!E40,tbSkills!AC3:AD5,2,FALSE),Backdoors!AL3)*(IF((Backdoors!AI12+IF(IT72&gt;=0.45,VLOOKUP(Calculator!E23,tbSkills!DH3:DI6,2,FALSE)+IF(AND(Calculator!B8=TRUE,Backdoors!BI39=TRUE),VLOOKUP(Calculator!E23,tbSkills!DH3:DJ6,3,FALSE),0),0))&gt;=100,100,(Backdoors!AI12+IF(IT72&gt;=0.45,VLOOKUP(Calculator!E23,tbSkills!DH3:DI6,2,FALSE)+IF(AND(Calculator!B8=TRUE,Backdoors!BI39=TRUE),VLOOKUP(Calculator!E23,tbSkills!DH3:DJ6,3,FALSE),0),0)))/100)),1))*IF(VLOOKUP(A72,tbMoveset!A2:K112,11,FALSE)=TRUE,Backdoors!AC5,1))*IU72,0),"")</f>
        <v>0</v>
      </c>
      <c r="IY72" s="49">
        <f>VLOOKUP(A72,tbMoveset!A2:G112,7,FALSE)*IFERROR(IF(Backdoors!AI12&gt;=0,1+(IF(Calculator!E40&gt;0,VLOOKUP(Calculator!E40,tbSkills!AI3:AJ5,2,FALSE),Backdoors!AL4)*(IF((Backdoors!AI12+IF(IT72&gt;=0.45,VLOOKUP(Calculator!E23,tbSkills!DH3:DI6,2,FALSE)+IF(AND(Calculator!B8=TRUE,Backdoors!BI39=TRUE),VLOOKUP(Calculator!E23,tbSkills!DH3:DJ6,3,FALSE),0),0))&gt;=100,100,(Backdoors!AI12+IF(IT72&gt;=0.45,VLOOKUP(Calculator!E23,tbSkills!DH3:DI6,2,FALSE)+IF(AND(Calculator!B8=TRUE,Backdoors!BI39=TRUE),VLOOKUP(Calculator!E23,tbSkills!DH3:DJ6,3,FALSE),0),0)))/100)),1),1)</f>
        <v>0.4</v>
      </c>
      <c r="IZ72" s="87">
        <f t="shared" si="87"/>
        <v>0</v>
      </c>
      <c r="JA72" s="86" t="str">
        <f>IFERROR(IF(VLOOKUP(A72,tbMoveset!A2:B112,2,FALSE)="Sever",Backdoors!AY40/100,IF(VLOOKUP(A72,tbMoveset!A2:B112,2,FALSE)="Blunt",Backdoors!AZ40/100,Backdoors!BA40/100)),"")</f>
        <v/>
      </c>
      <c r="JB72" s="49">
        <f>IFERROR(IF(VLOOKUP(tbMoveset!A72,tbMoveset!A2:H112,8,FALSE)="Other",IF(VLOOKUP(tbMoveset!A72,tbMoveset!A2:I112,9,FALSE)="Fire",Backdoors!BB40,IF(VLOOKUP(tbMoveset!A72,tbMoveset!A2:I112,9,FALSE)="Water",Backdoors!BC40,IF(VLOOKUP(tbMoveset!A72,tbMoveset!A2:I112,9,FALSE)="Thunder",Backdoors!BD40,IF(VLOOKUP(tbMoveset!A72,tbMoveset!A2:I112,9,FALSE)="Ice",Backdoors!BE40,IF(VLOOKUP(tbMoveset!A72,tbMoveset!A2:I112,9,FALSE)="Dragon",Backdoors!BF40,Backdoors!BG40)))))/100,Backdoors!BG40/100),"")</f>
        <v>0</v>
      </c>
      <c r="JC72" s="49">
        <f>IFERROR(IF(VLOOKUP(A72,tbMoveset!A2:J112,10,FALSE)=TRUE,IF((Backdoors!AI12+IF(JA72&gt;=0.45,VLOOKUP(Calculator!E23,tbSkills!DH3:DI6,2,FALSE)+IF(AND(Calculator!B8=TRUE,Backdoors!BI40=TRUE),VLOOKUP(Calculator!E23,tbSkills!DH3:DJ6,3,FALSE),0),0))&gt;=0,1+(Backdoors!AL2*(IF((Backdoors!AI12+IF(JA72&gt;=0.45,VLOOKUP(Calculator!E23,tbSkills!DH3:DI6,2,FALSE)+IF(AND(Calculator!B8=TRUE,Backdoors!BI40=TRUE),VLOOKUP(Calculator!E23,tbSkills!DH3:DJ6,3,FALSE),0),0))&gt;=100,100,(Backdoors!AI12+IF(JA72&gt;=0.45,VLOOKUP(Calculator!E23,tbSkills!DH3:DI6,2,FALSE)+IF(AND(Calculator!B8=TRUE,Backdoors!BI40=TRUE),VLOOKUP(Calculator!E23,tbSkills!DH3:DJ6,3,FALSE),0),0)))/100)),(1-(0.25*((-Backdoors!AI12-IF(JA72&gt;=0.45,VLOOKUP(Calculator!E23,tbSkills!DH3:DI6,2,FALSE)+IF(AND(Calculator!B8=TRUE,Backdoors!BI40=TRUE),VLOOKUP(Calculator!E23,tbSkills!DH3:DJ6,3,FALSE),0),0))/100)))),1),"")</f>
        <v>1</v>
      </c>
      <c r="JD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A72)*JC72)*(VLOOKUP(A72,tbMoveset!A2:C112,3,FALSE)/100)*IF(VLOOKUP(A72,tbMoveset!A2:B112,2,FALSE)="Projectile",Backdoors!N10,Backdoors!N9),0),"")</f>
        <v/>
      </c>
      <c r="JE72" s="49">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42&gt;0,VLOOKUP(Calculator!E42,tbSkills!AC3:AD5,2,FALSE),Backdoors!AL3)*(IF((Backdoors!AI12+IF(JA72&gt;=0.45,VLOOKUP(Calculator!E23,tbSkills!DH3:DI6,2,FALSE)+IF(AND(Calculator!B8=TRUE,Backdoors!BI40=TRUE),VLOOKUP(Calculator!E23,tbSkills!DH3:DJ6,3,FALSE),0),0))&gt;=100,100,(Backdoors!AI12+IF(JA72&gt;=0.45,VLOOKUP(Calculator!E23,tbSkills!DH3:DI6,2,FALSE)+IF(AND(Calculator!B8=TRUE,Backdoors!BI40=TRUE),VLOOKUP(Calculator!E23,tbSkills!DH3:DJ6,3,FALSE),0),0)))/100)),1))*IF(VLOOKUP(A72,tbMoveset!A2:K112,11,FALSE)=TRUE,Backdoors!AC5,1))*JB72,0),"")</f>
        <v>0</v>
      </c>
      <c r="JF72" s="49">
        <f>VLOOKUP(A72,tbMoveset!A2:G112,7,FALSE)*IFERROR(IF(Backdoors!AI12&gt;=0,1+(IF(Calculator!E40&gt;0,VLOOKUP(Calculator!E40,tbSkills!AI3:AJ5,2,FALSE),Backdoors!AL4)*(IF((Backdoors!AI12+IF(JA72&gt;=0.45,VLOOKUP(Calculator!E23,tbSkills!DH3:DI6,2,FALSE)+IF(AND(Calculator!B8=TRUE,Backdoors!BI40=TRUE),VLOOKUP(Calculator!E23,tbSkills!DH3:DJ6,3,FALSE),0),0))&gt;=100,100,(Backdoors!AI12+IF(JA72&gt;=0.45,VLOOKUP(Calculator!E23,tbSkills!DH3:DI6,2,FALSE)+IF(AND(Calculator!B8=TRUE,Backdoors!BI40=TRUE),VLOOKUP(Calculator!E23,tbSkills!DH3:DJ6,3,FALSE),0),0)))/100)),1),1)</f>
        <v>0.4</v>
      </c>
      <c r="JG72" s="87">
        <f t="shared" si="88"/>
        <v>0</v>
      </c>
      <c r="JH72" s="86" t="str">
        <f>IFERROR(IF(VLOOKUP(A72,tbMoveset!A2:B112,2,FALSE)="Sever",Backdoors!AY41/100,IF(VLOOKUP(A72,tbMoveset!A2:B112,2,FALSE)="Blunt",Backdoors!AZ41/100,Backdoors!BA41/100)),"")</f>
        <v/>
      </c>
      <c r="JI72" s="49">
        <f>IFERROR(IF(VLOOKUP(tbMoveset!A72,tbMoveset!A2:H112,8,FALSE)="Other",IF(VLOOKUP(tbMoveset!A72,tbMoveset!A2:I112,9,FALSE)="Fire",Backdoors!BB41,IF(VLOOKUP(tbMoveset!A72,tbMoveset!A2:I112,9,FALSE)="Water",Backdoors!BC41,IF(VLOOKUP(tbMoveset!A72,tbMoveset!A2:I112,9,FALSE)="Thunder",Backdoors!BD41,IF(VLOOKUP(tbMoveset!A72,tbMoveset!A2:I112,9,FALSE)="Ice",Backdoors!BE41,IF(VLOOKUP(tbMoveset!A72,tbMoveset!A2:I112,9,FALSE)="Dragon",Backdoors!BF41,Backdoors!BG41)))))/100,Backdoors!BG41/100),"")</f>
        <v>0</v>
      </c>
      <c r="JJ72" s="49">
        <f>IFERROR(IF(VLOOKUP(A72,tbMoveset!A2:J112,10,FALSE)=TRUE,IF((Backdoors!AI12+IF(JH72&gt;=0.45,VLOOKUP(Calculator!E23,tbSkills!DH3:DI6,2,FALSE)+IF(AND(Calculator!B8=TRUE,Backdoors!BI41=TRUE),VLOOKUP(Calculator!E23,tbSkills!DH3:DJ6,3,FALSE),0),0))&gt;=0,1+(Backdoors!AL2*(IF((Backdoors!AI12+IF(JH72&gt;=0.45,VLOOKUP(Calculator!E23,tbSkills!DH3:DI6,2,FALSE)+IF(AND(Calculator!B8=TRUE,Backdoors!BI41=TRUE),VLOOKUP(Calculator!E23,tbSkills!DH3:DJ6,3,FALSE),0),0))&gt;=100,100,(Backdoors!AI12+IF(JH72&gt;=0.45,VLOOKUP(Calculator!E23,tbSkills!DH3:DI6,2,FALSE)+IF(AND(Calculator!B8=TRUE,Backdoors!BI41=TRUE),VLOOKUP(Calculator!E23,tbSkills!DH3:DJ6,3,FALSE),0),0)))/100)),(1-(0.25*((-Backdoors!AI12-IF(JH72&gt;=0.45,VLOOKUP(Calculator!E23,tbSkills!DH3:DI6,2,FALSE)+IF(AND(Calculator!B8=TRUE,Backdoors!BI41=TRUE),VLOOKUP(Calculator!E23,tbSkills!DH3:DJ6,3,FALSE),0),0))/100)))),1),"")</f>
        <v>1</v>
      </c>
      <c r="JK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H72)*JJ72)*(VLOOKUP(A72,tbMoveset!A2:C112,3,FALSE)/100)*IF(VLOOKUP(A72,tbMoveset!A2:B112,2,FALSE)="Projectile",Backdoors!N10,Backdoors!N9),0),"")</f>
        <v/>
      </c>
      <c r="JL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43&gt;0,VLOOKUP(Calculator!E43,tbSkills!AC3:AD5,2,FALSE),Backdoors!AL3)*(IF((Backdoors!AI12+IF(JH72&gt;=0.45,VLOOKUP(Calculator!E23,tbSkills!DH3:DI6,2,FALSE)+IF(AND(Calculator!B8=TRUE,Backdoors!BI41=TRUE),VLOOKUP(Calculator!E23,tbSkills!DH3:DJ6,3,FALSE),0),0))&gt;=100,100,(Backdoors!AI12+IF(JH72&gt;=0.45,VLOOKUP(Calculator!E23,tbSkills!DH3:DI6,2,FALSE)+IF(AND(Calculator!B8=TRUE,Backdoors!BI41=TRUE),VLOOKUP(Calculator!E23,tbSkills!DH3:DJ6,3,FALSE),0),0)))/100)),1))*IF(VLOOKUP(A72,tbMoveset!A2:K112,11,FALSE)=TRUE,Backdoors!AC5,1))*JI72,0),"")</f>
        <v/>
      </c>
      <c r="JM72" s="49">
        <f>VLOOKUP(A72,tbMoveset!A2:G112,7,FALSE)*IFERROR(IF(Backdoors!AI12&gt;=0,1+(IF(Calculator!E40&gt;0,VLOOKUP(Calculator!E40,tbSkills!AI3:AJ5,2,FALSE),Backdoors!AL4)*(IF((Backdoors!AI12+IF(JH72&gt;=0.45,VLOOKUP(Calculator!E23,tbSkills!DH3:DI6,2,FALSE)+IF(AND(Calculator!B8=TRUE,Backdoors!BI41=TRUE),VLOOKUP(Calculator!E23,tbSkills!DH3:DJ6,3,FALSE),0),0))&gt;=100,100,(Backdoors!AI12+IF(JH72&gt;=0.45,VLOOKUP(Calculator!E23,tbSkills!DH3:DI6,2,FALSE)+IF(AND(Calculator!B8=TRUE,Backdoors!BI41=TRUE),VLOOKUP(Calculator!E23,tbSkills!DH3:DJ6,3,FALSE),0),0)))/100)),1),1)</f>
        <v>0.4</v>
      </c>
      <c r="JN72" s="87">
        <f t="shared" si="89"/>
        <v>0</v>
      </c>
      <c r="JO72" s="86" t="str">
        <f>IFERROR(IF(VLOOKUP(A72,tbMoveset!A2:B112,2,FALSE)="Sever",Backdoors!AY42/100,IF(VLOOKUP(A72,tbMoveset!A2:B112,2,FALSE)="Blunt",Backdoors!AZ42/100,Backdoors!BA42/100)),"")</f>
        <v/>
      </c>
      <c r="JP72" s="49">
        <f>IFERROR(IF(VLOOKUP(tbMoveset!A72,tbMoveset!A2:H112,8,FALSE)="Other",IF(VLOOKUP(tbMoveset!A72,tbMoveset!A2:I112,9,FALSE)="Fire",Backdoors!BB42,IF(VLOOKUP(tbMoveset!A72,tbMoveset!A2:I112,9,FALSE)="Water",Backdoors!BC42,IF(VLOOKUP(tbMoveset!A72,tbMoveset!A2:I112,9,FALSE)="Thunder",Backdoors!BD42,IF(VLOOKUP(tbMoveset!A72,tbMoveset!A2:I112,9,FALSE)="Ice",Backdoors!BE42,IF(VLOOKUP(tbMoveset!A72,tbMoveset!A2:I112,9,FALSE)="Dragon",Backdoors!BF42,Backdoors!BG42)))))/100,Backdoors!BG42/100),"")</f>
        <v>0</v>
      </c>
      <c r="JQ72" s="49">
        <f>IFERROR(IF(VLOOKUP(A72,tbMoveset!A2:J112,10,FALSE)=TRUE,IF((Backdoors!AI12+IF(JO72&gt;=0.45,VLOOKUP(Calculator!E23,tbSkills!DH3:DI6,2,FALSE)+IF(AND(Calculator!B8=TRUE,Backdoors!BI42=TRUE),VLOOKUP(Calculator!E23,tbSkills!DH3:DJ6,3,FALSE),0),0))&gt;=0,1+(Backdoors!AL2*(IF((Backdoors!AI12+IF(JO72&gt;=0.45,VLOOKUP(Calculator!E23,tbSkills!DH3:DI6,2,FALSE)+IF(AND(Calculator!B8=TRUE,Backdoors!BI42=TRUE),VLOOKUP(Calculator!E23,tbSkills!DH3:DJ6,3,FALSE),0),0))&gt;=100,100,(Backdoors!AI12+IF(JO72&gt;=0.45,VLOOKUP(Calculator!E23,tbSkills!DH3:DI6,2,FALSE)+IF(AND(Calculator!B8=TRUE,Backdoors!BI42=TRUE),VLOOKUP(Calculator!E23,tbSkills!DH3:DJ6,3,FALSE),0),0)))/100)),(1-(0.25*((-Backdoors!AI12-IF(JO72&gt;=0.45,VLOOKUP(Calculator!E23,tbSkills!DH3:DI6,2,FALSE)+IF(AND(Calculator!B8=TRUE,Backdoors!BI42=TRUE),VLOOKUP(Calculator!E23,tbSkills!DH3:DJ6,3,FALSE),0),0))/100)))),1),"")</f>
        <v>1</v>
      </c>
      <c r="JR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O72)*JQ72)*(VLOOKUP(A72,tbMoveset!A2:C112,3,FALSE)/100)*IF(VLOOKUP(A72,tbMoveset!A2:B112,2,FALSE)="Projectile",Backdoors!N10,Backdoors!N9),0),"")</f>
        <v/>
      </c>
      <c r="JS72" s="49">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45&gt;0,VLOOKUP(Calculator!E45,tbSkills!AC3:AD5,2,FALSE),Backdoors!AL3)*(IF((Backdoors!AI12+IF(JO72&gt;=0.45,VLOOKUP(Calculator!E23,tbSkills!DH3:DI6,2,FALSE)+IF(AND(Calculator!B8=TRUE,Backdoors!BI42=TRUE),VLOOKUP(Calculator!E23,tbSkills!DH3:DJ6,3,FALSE),0),0))&gt;=100,100,(Backdoors!AI12+IF(JO72&gt;=0.45,VLOOKUP(Calculator!E23,tbSkills!DH3:DI6,2,FALSE)+IF(AND(Calculator!B8=TRUE,Backdoors!BI42=TRUE),VLOOKUP(Calculator!E23,tbSkills!DH3:DJ6,3,FALSE),0),0)))/100)),1))*IF(VLOOKUP(A72,tbMoveset!A2:K112,11,FALSE)=TRUE,Backdoors!AC5,1))*JP72,0),"")</f>
        <v>0</v>
      </c>
      <c r="JT72" s="49">
        <f>VLOOKUP(A72,tbMoveset!A2:G112,7,FALSE)*IFERROR(IF(Backdoors!AI12&gt;=0,1+(IF(Calculator!E40&gt;0,VLOOKUP(Calculator!E40,tbSkills!AI3:AJ5,2,FALSE),Backdoors!AL4)*(IF((Backdoors!AI12+IF(JO72&gt;=0.45,VLOOKUP(Calculator!E23,tbSkills!DH3:DI6,2,FALSE)+IF(AND(Calculator!B8=TRUE,Backdoors!BI42=TRUE),VLOOKUP(Calculator!E23,tbSkills!DH3:DJ6,3,FALSE),0),0))&gt;=100,100,(Backdoors!AI12+IF(JO72&gt;=0.45,VLOOKUP(Calculator!E23,tbSkills!DH3:DI6,2,FALSE)+IF(AND(Calculator!B8=TRUE,Backdoors!BI42=TRUE),VLOOKUP(Calculator!E23,tbSkills!DH3:DJ6,3,FALSE),0),0)))/100)),1),1)</f>
        <v>0.4</v>
      </c>
      <c r="JU72" s="87">
        <f t="shared" si="90"/>
        <v>0</v>
      </c>
      <c r="JV72" s="86" t="str">
        <f>IFERROR(IF(VLOOKUP(A72,tbMoveset!A2:B112,2,FALSE)="Sever",Backdoors!AY43/100,IF(VLOOKUP(A72,tbMoveset!A2:B112,2,FALSE)="Blunt",Backdoors!AZ43/100,Backdoors!BA43/100)),"")</f>
        <v/>
      </c>
      <c r="JW72" s="49">
        <f>IFERROR(IF(VLOOKUP(tbMoveset!A72,tbMoveset!A2:H112,8,FALSE)="Other",IF(VLOOKUP(tbMoveset!A72,tbMoveset!A2:I112,9,FALSE)="Fire",Backdoors!BB43,IF(VLOOKUP(tbMoveset!A72,tbMoveset!A2:I112,9,FALSE)="Water",Backdoors!BC43,IF(VLOOKUP(tbMoveset!A72,tbMoveset!A2:I112,9,FALSE)="Thunder",Backdoors!BD43,IF(VLOOKUP(tbMoveset!A72,tbMoveset!A2:I112,9,FALSE)="Ice",Backdoors!BE43,IF(VLOOKUP(tbMoveset!A72,tbMoveset!A2:I112,9,FALSE)="Dragon",Backdoors!BF43,Backdoors!BG43)))))/100,Backdoors!BG43/100),"")</f>
        <v>0</v>
      </c>
      <c r="JX72" s="49">
        <f>IFERROR(IF(VLOOKUP(A72,tbMoveset!A2:J112,10,FALSE)=TRUE,IF((Backdoors!AI12+IF(JV72&gt;=0.45,VLOOKUP(Calculator!E23,tbSkills!DH3:DI6,2,FALSE)+IF(AND(Calculator!B8=TRUE,Backdoors!BI43=TRUE),VLOOKUP(Calculator!E23,tbSkills!DH3:DJ6,3,FALSE),0),0))&gt;=0,1+(Backdoors!AL2*(IF((Backdoors!AI12+IF(JV72&gt;=0.45,VLOOKUP(Calculator!E23,tbSkills!DH3:DI6,2,FALSE)+IF(AND(Calculator!B8=TRUE,Backdoors!BI43=TRUE),VLOOKUP(Calculator!E23,tbSkills!DH3:DJ6,3,FALSE),0),0))&gt;=100,100,(Backdoors!AI12+IF(JV72&gt;=0.45,VLOOKUP(Calculator!E23,tbSkills!DH3:DI6,2,FALSE)+IF(AND(Calculator!B8=TRUE,Backdoors!BI43=TRUE),VLOOKUP(Calculator!E23,tbSkills!DH3:DJ6,3,FALSE),0),0)))/100)),(1-(0.25*((-Backdoors!AI12-IF(JV72&gt;=0.45,VLOOKUP(Calculator!E23,tbSkills!DH3:DI6,2,FALSE)+IF(AND(Calculator!B8=TRUE,Backdoors!BI43=TRUE),VLOOKUP(Calculator!E23,tbSkills!DH3:DJ6,3,FALSE),0),0))/100)))),1),"")</f>
        <v>1</v>
      </c>
      <c r="JY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V72)*JX72)*(VLOOKUP(A72,tbMoveset!A2:C112,3,FALSE)/100)*IF(VLOOKUP(A72,tbMoveset!A2:B112,2,FALSE)="Projectile",Backdoors!N10,Backdoors!N9),0),"")</f>
        <v/>
      </c>
      <c r="JZ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46&gt;0,VLOOKUP(Calculator!E46,tbSkills!AC3:AD5,2,FALSE),Backdoors!AL3)*(IF((Backdoors!AI12+IF(JV72&gt;=0.45,VLOOKUP(Calculator!E23,tbSkills!DH3:DI6,2,FALSE)+IF(AND(Calculator!B8=TRUE,Backdoors!BI43=TRUE),VLOOKUP(Calculator!E23,tbSkills!DH3:DJ6,3,FALSE),0),0))&gt;=100,100,(Backdoors!AI12+IF(JV72&gt;=0.45,VLOOKUP(Calculator!E23,tbSkills!DH3:DI6,2,FALSE)+IF(AND(Calculator!B8=TRUE,Backdoors!BI43=TRUE),VLOOKUP(Calculator!E23,tbSkills!DH3:DJ6,3,FALSE),0),0)))/100)),1))*IF(VLOOKUP(A72,tbMoveset!A2:K112,11,FALSE)=TRUE,Backdoors!AC5,1))*JW72,0),"")</f>
        <v/>
      </c>
      <c r="KA72" s="49">
        <f>VLOOKUP(A72,tbMoveset!A2:G112,7,FALSE)*IFERROR(IF(Backdoors!AI12&gt;=0,1+(IF(Calculator!E40&gt;0,VLOOKUP(Calculator!E40,tbSkills!AI3:AJ5,2,FALSE),Backdoors!AL4)*(IF((Backdoors!AI12+IF(JV72&gt;=0.45,VLOOKUP(Calculator!E23,tbSkills!DH3:DI6,2,FALSE)+IF(AND(Calculator!B8=TRUE,Backdoors!BI43=TRUE),VLOOKUP(Calculator!E23,tbSkills!DH3:DJ6,3,FALSE),0),0))&gt;=100,100,(Backdoors!AI12+IF(JV72&gt;=0.45,VLOOKUP(Calculator!E23,tbSkills!DH3:DI6,2,FALSE)+IF(AND(Calculator!B8=TRUE,Backdoors!BI43=TRUE),VLOOKUP(Calculator!E23,tbSkills!DH3:DJ6,3,FALSE),0),0)))/100)),1),1)</f>
        <v>0.4</v>
      </c>
      <c r="KB72" s="87">
        <f t="shared" si="91"/>
        <v>0</v>
      </c>
      <c r="KC72" s="86" t="str">
        <f>IFERROR(IF(VLOOKUP(A72,tbMoveset!A2:B112,2,FALSE)="Sever",Backdoors!AY44/100,IF(VLOOKUP(A72,tbMoveset!A2:B112,2,FALSE)="Blunt",Backdoors!AZ44/100,Backdoors!BA44/100)),"")</f>
        <v/>
      </c>
      <c r="KD72" s="49">
        <f>IFERROR(IF(VLOOKUP(tbMoveset!A72,tbMoveset!A2:H112,8,FALSE)="Other",IF(VLOOKUP(tbMoveset!A72,tbMoveset!A2:I112,9,FALSE)="Fire",Backdoors!BB44,IF(VLOOKUP(tbMoveset!A72,tbMoveset!A2:I112,9,FALSE)="Water",Backdoors!BC44,IF(VLOOKUP(tbMoveset!A72,tbMoveset!A2:I112,9,FALSE)="Thunder",Backdoors!BD44,IF(VLOOKUP(tbMoveset!A72,tbMoveset!A2:I112,9,FALSE)="Ice",Backdoors!BE44,IF(VLOOKUP(tbMoveset!A72,tbMoveset!A2:I112,9,FALSE)="Dragon",Backdoors!BF44,Backdoors!BG44)))))/100,Backdoors!BG44/100),"")</f>
        <v>0</v>
      </c>
      <c r="KE72" s="49">
        <f>IFERROR(IF(VLOOKUP(A72,tbMoveset!A2:J112,10,FALSE)=TRUE,IF((Backdoors!AI12+IF(KC72&gt;=0.45,VLOOKUP(Calculator!E23,tbSkills!DH3:DI6,2,FALSE)+IF(AND(Calculator!B8=TRUE,Backdoors!BI44=TRUE),VLOOKUP(Calculator!E23,tbSkills!DH3:DJ6,3,FALSE),0),0))&gt;=0,1+(Backdoors!AL2*(IF((Backdoors!AI12+IF(KC72&gt;=0.45,VLOOKUP(Calculator!E23,tbSkills!DH3:DI6,2,FALSE)+IF(AND(Calculator!B8=TRUE,Backdoors!BI44=TRUE),VLOOKUP(Calculator!E23,tbSkills!DH3:DJ6,3,FALSE),0),0))&gt;=100,100,(Backdoors!AI12+IF(KC72&gt;=0.45,VLOOKUP(Calculator!E23,tbSkills!DH3:DI6,2,FALSE)+IF(AND(Calculator!B8=TRUE,Backdoors!BI44=TRUE),VLOOKUP(Calculator!E23,tbSkills!DH3:DJ6,3,FALSE),0),0)))/100)),(1-(0.25*((-Backdoors!AI12-IF(KC72&gt;=0.45,VLOOKUP(Calculator!E23,tbSkills!DH3:DI6,2,FALSE)+IF(AND(Calculator!B8=TRUE,Backdoors!BI44=TRUE),VLOOKUP(Calculator!E23,tbSkills!DH3:DJ6,3,FALSE),0),0))/100)))),1),"")</f>
        <v>1</v>
      </c>
      <c r="KF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KC72)*KE72)*(VLOOKUP(A72,tbMoveset!A2:C112,3,FALSE)/100)*IF(VLOOKUP(A72,tbMoveset!A2:B112,2,FALSE)="Projectile",Backdoors!N10,Backdoors!N9),0),"")</f>
        <v/>
      </c>
      <c r="KG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REF!&gt;0,VLOOKUP(Calculator!#REF!,tbSkills!AC3:AD5,2,FALSE),Backdoors!AL3)*(IF((Backdoors!AI12+IF(KC72&gt;=0.45,VLOOKUP(Calculator!E23,tbSkills!DH3:DI6,2,FALSE)+IF(AND(Calculator!B8=TRUE,Backdoors!BI44=TRUE),VLOOKUP(Calculator!E23,tbSkills!DH3:DJ6,3,FALSE),0),0))&gt;=100,100,(Backdoors!AI12+IF(KC72&gt;=0.45,VLOOKUP(Calculator!E23,tbSkills!DH3:DI6,2,FALSE)+IF(AND(Calculator!B8=TRUE,Backdoors!BI44=TRUE),VLOOKUP(Calculator!E23,tbSkills!DH3:DJ6,3,FALSE),0),0)))/100)),1))*IF(VLOOKUP(A72,tbMoveset!A2:K112,11,FALSE)=TRUE,Backdoors!AC5,1))*KD72,0),"")</f>
        <v/>
      </c>
      <c r="KH72" s="49">
        <f>VLOOKUP(A72,tbMoveset!A2:G112,7,FALSE)*IFERROR(IF(Backdoors!AI12&gt;=0,1+(IF(Calculator!E40&gt;0,VLOOKUP(Calculator!E40,tbSkills!AI3:AJ5,2,FALSE),Backdoors!AL4)*(IF((Backdoors!AI12+IF(KC72&gt;=0.45,VLOOKUP(Calculator!E23,tbSkills!DH3:DI6,2,FALSE)+IF(AND(Calculator!B8=TRUE,Backdoors!BI44=TRUE),VLOOKUP(Calculator!E23,tbSkills!DH3:DJ6,3,FALSE),0),0))&gt;=100,100,(Backdoors!AI12+IF(KC72&gt;=0.45,VLOOKUP(Calculator!E23,tbSkills!DH3:DI6,2,FALSE)+IF(AND(Calculator!B8=TRUE,Backdoors!BI44=TRUE),VLOOKUP(Calculator!E23,tbSkills!DH3:DJ6,3,FALSE),0),0)))/100)),1),1)</f>
        <v>0.4</v>
      </c>
      <c r="KI72" s="87">
        <f t="shared" si="92"/>
        <v>0</v>
      </c>
      <c r="KJ72" s="86" t="str">
        <f>IFERROR(IF(VLOOKUP(A72,tbMoveset!A2:B112,2,FALSE)="Sever",Backdoors!AY45/100,IF(VLOOKUP(A72,tbMoveset!A2:B112,2,FALSE)="Blunt",Backdoors!AZ45/100,Backdoors!BA45/100)),"")</f>
        <v/>
      </c>
      <c r="KK72" s="49">
        <f>IFERROR(IF(VLOOKUP(tbMoveset!A72,tbMoveset!A2:H112,8,FALSE)="Other",IF(VLOOKUP(tbMoveset!A72,tbMoveset!A2:I112,9,FALSE)="Fire",Backdoors!BB45,IF(VLOOKUP(tbMoveset!A72,tbMoveset!A2:I112,9,FALSE)="Water",Backdoors!BC45,IF(VLOOKUP(tbMoveset!A72,tbMoveset!A2:I112,9,FALSE)="Thunder",Backdoors!BD45,IF(VLOOKUP(tbMoveset!A72,tbMoveset!A2:I112,9,FALSE)="Ice",Backdoors!BE45,IF(VLOOKUP(tbMoveset!A72,tbMoveset!A2:I112,9,FALSE)="Dragon",Backdoors!BF45,Backdoors!BG45)))))/100,Backdoors!BG45/100),"")</f>
        <v>0</v>
      </c>
      <c r="KL72" s="49">
        <f>IFERROR(IF(VLOOKUP(A72,tbMoveset!A2:J112,10,FALSE)=TRUE,IF((Backdoors!AI12+IF(KJ72&gt;=0.45,VLOOKUP(Calculator!E23,tbSkills!DH3:DI6,2,FALSE)+IF(AND(Calculator!B8=TRUE,Backdoors!BI45=TRUE),VLOOKUP(Calculator!E23,tbSkills!DH3:DJ6,3,FALSE),0),0))&gt;=0,1+(Backdoors!AL2*(IF((Backdoors!AI12+IF(KJ72&gt;=0.45,VLOOKUP(Calculator!E23,tbSkills!DH3:DI6,2,FALSE)+IF(AND(Calculator!B8=TRUE,Backdoors!BI45=TRUE),VLOOKUP(Calculator!E23,tbSkills!DH3:DJ6,3,FALSE),0),0))&gt;=100,100,(Backdoors!AI12+IF(KJ72&gt;=0.45,VLOOKUP(Calculator!E23,tbSkills!DH3:DI6,2,FALSE)+IF(AND(Calculator!B8=TRUE,Backdoors!BI45=TRUE),VLOOKUP(Calculator!E23,tbSkills!DH3:DJ6,3,FALSE),0),0)))/100)),(1-(0.25*((-Backdoors!AI12-IF(KJ72&gt;=0.45,VLOOKUP(Calculator!E23,tbSkills!DH3:DI6,2,FALSE)+IF(AND(Calculator!B8=TRUE,Backdoors!BI45=TRUE),VLOOKUP(Calculator!E23,tbSkills!DH3:DJ6,3,FALSE),0),0))/100)))),1),"")</f>
        <v>1</v>
      </c>
      <c r="KM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KJ72)*KL72)*(VLOOKUP(A72,tbMoveset!A2:C112,3,FALSE)/100)*IF(VLOOKUP(A72,tbMoveset!A2:B112,2,FALSE)="Projectile",Backdoors!N10,Backdoors!N9),0),"")</f>
        <v/>
      </c>
      <c r="KN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REF!&gt;0,VLOOKUP(Calculator!#REF!,tbSkills!AC3:AD5,2,FALSE),Backdoors!AL3)*(IF((Backdoors!AI12+IF(KJ72&gt;=0.45,VLOOKUP(Calculator!E23,tbSkills!DH3:DI6,2,FALSE)+IF(AND(Calculator!B8=TRUE,Backdoors!BI45=TRUE),VLOOKUP(Calculator!E23,tbSkills!DH3:DJ6,3,FALSE),0),0))&gt;=100,100,(Backdoors!AI12+IF(KJ72&gt;=0.45,VLOOKUP(Calculator!E23,tbSkills!DH3:DI6,2,FALSE)+IF(AND(Calculator!B8=TRUE,Backdoors!BI45=TRUE),VLOOKUP(Calculator!E23,tbSkills!DH3:DJ6,3,FALSE),0),0)))/100)),1))*IF(VLOOKUP(A72,tbMoveset!A2:K112,11,FALSE)=TRUE,Backdoors!AC5,1))*KK72,0),"")</f>
        <v/>
      </c>
      <c r="KO72" s="49">
        <f>VLOOKUP(A72,tbMoveset!A2:G112,7,FALSE)*IFERROR(IF(Backdoors!AI12&gt;=0,1+(IF(Calculator!E40&gt;0,VLOOKUP(Calculator!E40,tbSkills!AI3:AJ5,2,FALSE),Backdoors!AL4)*(IF((Backdoors!AI12+IF(KJ72&gt;=0.45,VLOOKUP(Calculator!E23,tbSkills!DH3:DI6,2,FALSE)+IF(AND(Calculator!B8=TRUE,Backdoors!BI45=TRUE),VLOOKUP(Calculator!E23,tbSkills!DH3:DJ6,3,FALSE),0),0))&gt;=100,100,(Backdoors!AI12+IF(KJ72&gt;=0.45,VLOOKUP(Calculator!E23,tbSkills!DH3:DI6,2,FALSE)+IF(AND(Calculator!B8=TRUE,Backdoors!BI45=TRUE),VLOOKUP(Calculator!E23,tbSkills!DH3:DJ6,3,FALSE),0),0)))/100)),1),1)</f>
        <v>0.4</v>
      </c>
      <c r="KP72" s="87">
        <f t="shared" si="93"/>
        <v>0</v>
      </c>
      <c r="KQ72" s="86" t="str">
        <f>IFERROR(IF(VLOOKUP(A72,tbMoveset!A2:B112,2,FALSE)="Sever",Backdoors!AY46/100,IF(VLOOKUP(A72,tbMoveset!A2:B112,2,FALSE)="Blunt",Backdoors!AZ46/100,Backdoors!BA46/100)),"")</f>
        <v/>
      </c>
      <c r="KR72" s="49">
        <f>IFERROR(IF(VLOOKUP(tbMoveset!A72,tbMoveset!A2:H112,8,FALSE)="Other",IF(VLOOKUP(tbMoveset!A72,tbMoveset!A2:I112,9,FALSE)="Fire",Backdoors!BB46,IF(VLOOKUP(tbMoveset!A72,tbMoveset!A2:I112,9,FALSE)="Water",Backdoors!BC46,IF(VLOOKUP(tbMoveset!A72,tbMoveset!A2:I112,9,FALSE)="Thunder",Backdoors!BD46,IF(VLOOKUP(tbMoveset!A72,tbMoveset!A2:I112,9,FALSE)="Ice",Backdoors!BE46,IF(VLOOKUP(tbMoveset!A72,tbMoveset!A2:I112,9,FALSE)="Dragon",Backdoors!BF46,Backdoors!BG46)))))/100,Backdoors!BG46/100),"")</f>
        <v>0</v>
      </c>
      <c r="KS72" s="49">
        <f>IFERROR(IF(VLOOKUP(A72,tbMoveset!A2:J112,10,FALSE)=TRUE,IF((Backdoors!AI12+IF(KQ72&gt;=0.45,VLOOKUP(Calculator!E23,tbSkills!DH3:DI6,2,FALSE)+IF(AND(Calculator!B8=TRUE,Backdoors!BI46=TRUE),VLOOKUP(Calculator!E23,tbSkills!DH3:DJ6,3,FALSE),0),0))&gt;=0,1+(Backdoors!AL2*(IF((Backdoors!AI12+IF(KQ72&gt;=0.45,VLOOKUP(Calculator!E23,tbSkills!DH3:DI6,2,FALSE)+IF(AND(Calculator!B8=TRUE,Backdoors!BI46=TRUE),VLOOKUP(Calculator!E23,tbSkills!DH3:DJ6,3,FALSE),0),0))&gt;=100,100,(Backdoors!AI12+IF(KQ72&gt;=0.45,VLOOKUP(Calculator!E23,tbSkills!DH3:DI6,2,FALSE)+IF(AND(Calculator!B8=TRUE,Backdoors!BI46=TRUE),VLOOKUP(Calculator!E23,tbSkills!DH3:DJ6,3,FALSE),0),0)))/100)),(1-(0.25*((-Backdoors!AI12-IF(KQ72&gt;=0.45,VLOOKUP(Calculator!E23,tbSkills!DH3:DI6,2,FALSE)+IF(AND(Calculator!B8=TRUE,Backdoors!BI46=TRUE),VLOOKUP(Calculator!E23,tbSkills!DH3:DJ6,3,FALSE),0),0))/100)))),1),"")</f>
        <v>1</v>
      </c>
      <c r="KT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KQ72)*KS72)*(VLOOKUP(A72,tbMoveset!A2:C112,3,FALSE)/100)*IF(VLOOKUP(A72,tbMoveset!A2:B112,2,FALSE)="Projectile",Backdoors!N10,Backdoors!N9),0),"")</f>
        <v/>
      </c>
      <c r="KU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REF!&gt;0,VLOOKUP(Calculator!#REF!,tbSkills!AC3:AD5,2,FALSE),Backdoors!AL3)*(IF((Backdoors!AI12+IF(KQ72&gt;=0.45,VLOOKUP(Calculator!E23,tbSkills!DH3:DI6,2,FALSE)+IF(AND(Calculator!B8=TRUE,Backdoors!BI46=TRUE),VLOOKUP(Calculator!E23,tbSkills!DH3:DJ6,3,FALSE),0),0))&gt;=100,100,(Backdoors!AI12+IF(KQ72&gt;=0.45,VLOOKUP(Calculator!E23,tbSkills!DH3:DI6,2,FALSE)+IF(AND(Calculator!B8=TRUE,Backdoors!BI46=TRUE),VLOOKUP(Calculator!E23,tbSkills!DH3:DJ6,3,FALSE),0),0)))/100)),1))*IF(VLOOKUP(A72,tbMoveset!A2:K112,11,FALSE)=TRUE,Backdoors!AC5,1))*KR72,0),"")</f>
        <v/>
      </c>
      <c r="KV72" s="49">
        <f>VLOOKUP(A72,tbMoveset!A2:G112,7,FALSE)*IFERROR(IF(Backdoors!AI12&gt;=0,1+(IF(Calculator!E40&gt;0,VLOOKUP(Calculator!E40,tbSkills!AI3:AJ5,2,FALSE),Backdoors!AL4)*(IF((Backdoors!AI12+IF(KQ72&gt;=0.45,VLOOKUP(Calculator!E23,tbSkills!DH3:DI6,2,FALSE)+IF(AND(Calculator!B8=TRUE,Backdoors!BI46=TRUE),VLOOKUP(Calculator!E23,tbSkills!DH3:DJ6,3,FALSE),0),0))&gt;=100,100,(Backdoors!AI12+IF(KQ72&gt;=0.45,VLOOKUP(Calculator!E23,tbSkills!DH3:DI6,2,FALSE)+IF(AND(Calculator!B8=TRUE,Backdoors!BI46=TRUE),VLOOKUP(Calculator!E23,tbSkills!DH3:DJ6,3,FALSE),0),0)))/100)),1),1)</f>
        <v>0.4</v>
      </c>
      <c r="KW72" s="87">
        <f t="shared" si="94"/>
        <v>0</v>
      </c>
    </row>
    <row r="73" spans="1:309" x14ac:dyDescent="0.25">
      <c r="A73" s="95" t="str">
        <f>tbMoveset!A73</f>
        <v>Sliding Slash (L1)</v>
      </c>
      <c r="B73" s="86">
        <f>IFERROR(IF(VLOOKUP(A73,tbMoveset!A2:B112,2,FALSE)="Sever",Backdoors!AY3/100,IF(VLOOKUP(A73,tbMoveset!A2:B112,2,FALSE)="Blunt",Backdoors!AZ3/100,Backdoors!BA3/100)),"")</f>
        <v>0.8</v>
      </c>
      <c r="C73" s="49">
        <f>IFERROR(IF(VLOOKUP(tbMoveset!A73,tbMoveset!A2:H112,8,FALSE)="Other",IF(VLOOKUP(tbMoveset!A73,tbMoveset!A2:I112,9,FALSE)="Fire",Backdoors!BB3,IF(VLOOKUP(tbMoveset!A73,tbMoveset!A2:I112,9,FALSE)="Water",Backdoors!BC3,IF(VLOOKUP(tbMoveset!A73,tbMoveset!A2:I112,9,FALSE)="Thunder",Backdoors!BD3,IF(VLOOKUP(tbMoveset!A73,tbMoveset!A2:I112,9,FALSE)="Ice",Backdoors!BE3,IF(VLOOKUP(tbMoveset!A73,tbMoveset!A2:I112,9,FALSE)="Dragon",Backdoors!BF3,Backdoors!BG3)))))/100,Backdoors!BG3/100),"")</f>
        <v>0</v>
      </c>
      <c r="D73" s="49">
        <f>IFERROR(IF(VLOOKUP(A73,tbMoveset!A2:J112,10,FALSE)=TRUE,IF((Backdoors!AI12+IF(B73&gt;=0.45,VLOOKUP(Calculator!E23,tbSkills!DH3:DI6,2,FALSE)+IF(AND(Calculator!B8=TRUE,Backdoors!BI3=TRUE),VLOOKUP(Calculator!E23,tbSkills!DH3:DJ6,3,FALSE),0),0))&gt;=0,1+(Backdoors!AL2*(IF((Backdoors!AI12+IF(B73&gt;=0.45,VLOOKUP(Calculator!E23,tbSkills!DH3:DI6,2,FALSE)+IF(AND(Calculator!B8=TRUE,Backdoors!BI3=TRUE),VLOOKUP(Calculator!E23,tbSkills!DH3:DJ6,3,FALSE),0),0))&gt;=100,100,(Backdoors!AI12+IF(B73&gt;=0.45,VLOOKUP(Calculator!E23,tbSkills!DH3:DI6,2,FALSE)+IF(AND(Calculator!B8=TRUE,Backdoors!BI3=TRUE),VLOOKUP(Calculator!E23,tbSkills!DH3:DJ6,3,FALSE),0),0)))/100)),(1-(0.25*((-Backdoors!AI12-IF(B73&gt;=0.45,VLOOKUP(Calculator!E23,tbSkills!DH3:DI6,2,FALSE)+IF(AND(Calculator!B8=TRUE,Backdoors!BI3=TRUE),VLOOKUP(Calculator!E23,tbSkills!DH3:DJ6,3,FALSE),0),0))/100)))),1),"")</f>
        <v>1</v>
      </c>
      <c r="E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73)*D73)*(VLOOKUP(A73,tbMoveset!A2:C112,3,FALSE)/100)*IF(VLOOKUP(A73,tbMoveset!A2:B112,2,FALSE)="Projectile",Backdoors!N10,Backdoors!N9),0),"")</f>
        <v>7</v>
      </c>
      <c r="F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73&gt;=0.45,VLOOKUP(Calculator!E23,tbSkills!DH3:DI6,2,FALSE)+IF(AND(Calculator!B8=TRUE,Backdoors!BI3=TRUE),VLOOKUP(Calculator!E23,tbSkills!DH3:DJ6,3,FALSE),0),0))&gt;=100,100,(Backdoors!AI12+IF(B73&gt;=0.45,VLOOKUP(Calculator!E23,tbSkills!DH3:DI6,2,FALSE)+IF(AND(Calculator!B8=TRUE,Backdoors!BI3=TRUE),VLOOKUP(Calculator!E23,tbSkills!DH3:DJ6,3,FALSE),0),0)))/100)),1))*IF(VLOOKUP(A73,tbMoveset!A2:K112,11,FALSE)=TRUE,Backdoors!AC5,1))*C73,0),"")</f>
        <v>0</v>
      </c>
      <c r="G73">
        <f>VLOOKUP(A73,tbMoveset!A2:G112,7,FALSE)*IFERROR(IF(Backdoors!AI12&gt;=0,1+(IF(Calculator!E40&gt;0,VLOOKUP(Calculator!E40,tbSkills!AI3:AJ5,2,FALSE),Backdoors!AL4)*(IF((Backdoors!AI12+IF(B73&gt;=0.45,VLOOKUP(Calculator!E23,tbSkills!DH3:DI6,2,FALSE)+IF(AND(Calculator!B8=TRUE,Backdoors!BI3=TRUE),VLOOKUP(Calculator!E23,tbSkills!DH3:DJ6,3,FALSE),0),0))&gt;=100,100,(Backdoors!AI12+IF(B73&gt;=0.45,VLOOKUP(Calculator!E23,tbSkills!DH3:DI6,2,FALSE)+IF(AND(Calculator!B8=TRUE,Backdoors!BI3=TRUE),VLOOKUP(Calculator!E23,tbSkills!DH3:DJ6,3,FALSE),0),0)))/100)),1),1)</f>
        <v>0.6</v>
      </c>
      <c r="H73" s="87">
        <f t="shared" si="51"/>
        <v>7</v>
      </c>
      <c r="I73" s="86">
        <f>IFERROR(IF(VLOOKUP(A73,tbMoveset!A2:B112,2,FALSE)="Sever",Backdoors!AY4/100,IF(VLOOKUP(A73,tbMoveset!A2:B112,2,FALSE)="Blunt",Backdoors!AZ4/100,Backdoors!BA4/100)),"")</f>
        <v>0.65</v>
      </c>
      <c r="J73" s="49">
        <f>IFERROR(IF(VLOOKUP(tbMoveset!A73,tbMoveset!A2:H112,8,FALSE)="Other",IF(VLOOKUP(tbMoveset!A73,tbMoveset!A2:I112,9,FALSE)="Fire",Backdoors!BB4,IF(VLOOKUP(tbMoveset!A73,tbMoveset!A2:I112,9,FALSE)="Water",Backdoors!BC4,IF(VLOOKUP(tbMoveset!A73,tbMoveset!A2:I112,9,FALSE)="Thunder",Backdoors!BD4,IF(VLOOKUP(tbMoveset!A73,tbMoveset!A2:I112,9,FALSE)="Ice",Backdoors!BE4,IF(VLOOKUP(tbMoveset!A73,tbMoveset!A2:I112,9,FALSE)="Dragon",Backdoors!BF4,Backdoors!BG4)))))/100,Backdoors!BG4/100),"")</f>
        <v>0</v>
      </c>
      <c r="K73" s="49">
        <f>IFERROR(IF(VLOOKUP(A73,tbMoveset!A2:J112,10,FALSE)=TRUE,IF((Backdoors!AI12+IF(I73&gt;=0.45,VLOOKUP(Calculator!E23,tbSkills!DH3:DI6,2,FALSE)+IF(AND(Calculator!B8=TRUE,Backdoors!BI4=TRUE),VLOOKUP(Calculator!E23,tbSkills!DH3:DJ6,3,FALSE),0),0))&gt;=0,1+(Backdoors!AL2*(IF((Backdoors!AI12+IF(I73&gt;=0.45,VLOOKUP(Calculator!E23,tbSkills!DH3:DI6,2,FALSE)+IF(AND(Calculator!B8=TRUE,Backdoors!BI4=TRUE),VLOOKUP(Calculator!E23,tbSkills!DH3:DJ6,3,FALSE),0),0))&gt;=100,100,(Backdoors!AI12+IF(I73&gt;=0.45,VLOOKUP(Calculator!E23,tbSkills!DH3:DI6,2,FALSE)+IF(AND(Calculator!B8=TRUE,Backdoors!BI4=TRUE),VLOOKUP(Calculator!E23,tbSkills!DH3:DJ6,3,FALSE),0),0)))/100)),(1-(0.25*((-Backdoors!AI12-IF(I73&gt;=0.45,VLOOKUP(Calculator!E23,tbSkills!DH3:DI6,2,FALSE)+IF(AND(Calculator!B8=TRUE,Backdoors!BI4=TRUE),VLOOKUP(Calculator!E23,tbSkills!DH3:DJ6,3,FALSE),0),0))/100)))),1),"")</f>
        <v>1</v>
      </c>
      <c r="L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73)*K73)*(VLOOKUP(A73,tbMoveset!A2:C112,3,FALSE)/100)*IF(VLOOKUP(A73,tbMoveset!A2:B112,2,FALSE)="Projectile",Backdoors!N10,Backdoors!N9),0),"")</f>
        <v>5</v>
      </c>
      <c r="M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I73&gt;=0.45,VLOOKUP(Calculator!E23,tbSkills!DH3:DI6,2,FALSE)+IF(AND(Calculator!B8=TRUE,Backdoors!BI4=TRUE),VLOOKUP(Calculator!E23,tbSkills!DH3:DJ6,3,FALSE),0),0))&gt;=100,100,(Backdoors!AI12+IF(I73&gt;=0.45,VLOOKUP(Calculator!E23,tbSkills!DH3:DI6,2,FALSE)+IF(AND(Calculator!B8=TRUE,Backdoors!BI4=TRUE),VLOOKUP(Calculator!E23,tbSkills!DH3:DJ6,3,FALSE),0),0)))/100)),1))*IF(VLOOKUP(A73,tbMoveset!A2:K112,11,FALSE)=TRUE,Backdoors!AC5,1))*J73,0),"")</f>
        <v>0</v>
      </c>
      <c r="N73" s="49">
        <f>VLOOKUP(A73,tbMoveset!A2:G112,7,FALSE)*IFERROR(IF(Backdoors!AI12&gt;=0,1+(IF(Calculator!E40&gt;0,VLOOKUP(Calculator!E40,tbSkills!AI3:AJ5,2,FALSE),Backdoors!AL4)*(IF((Backdoors!AI12+IF(I73&gt;=0.45,VLOOKUP(Calculator!E23,tbSkills!DH3:DI6,2,FALSE)+IF(AND(Calculator!B8=TRUE,Backdoors!BI4=TRUE),VLOOKUP(Calculator!E23,tbSkills!DH3:DJ6,3,FALSE),0),0))&gt;=100,100,(Backdoors!AI12+IF(I73&gt;=0.45,VLOOKUP(Calculator!E23,tbSkills!DH3:DI6,2,FALSE)+IF(AND(Calculator!B8=TRUE,Backdoors!BI4=TRUE),VLOOKUP(Calculator!E23,tbSkills!DH3:DJ6,3,FALSE),0),0)))/100)),1),1)</f>
        <v>0.6</v>
      </c>
      <c r="O73" s="87">
        <f t="shared" si="52"/>
        <v>5</v>
      </c>
      <c r="P73" s="86">
        <f>IFERROR(IF(VLOOKUP(A73,tbMoveset!A2:B112,2,FALSE)="Sever",Backdoors!AY5/100,IF(VLOOKUP(A73,tbMoveset!A2:B112,2,FALSE)="Blunt",Backdoors!AZ5/100,Backdoors!BA5/100)),"")</f>
        <v>0.5</v>
      </c>
      <c r="Q73" s="49">
        <f>IFERROR(IF(VLOOKUP(tbMoveset!A73,tbMoveset!A2:H112,8,FALSE)="Other",IF(VLOOKUP(tbMoveset!A73,tbMoveset!A2:I112,9,FALSE)="Fire",Backdoors!BB5,IF(VLOOKUP(tbMoveset!A73,tbMoveset!A2:I112,9,FALSE)="Water",Backdoors!BC5,IF(VLOOKUP(tbMoveset!A73,tbMoveset!A2:I112,9,FALSE)="Thunder",Backdoors!BD5,IF(VLOOKUP(tbMoveset!A73,tbMoveset!A2:I112,9,FALSE)="Ice",Backdoors!BE5,IF(VLOOKUP(tbMoveset!A73,tbMoveset!A2:I112,9,FALSE)="Dragon",Backdoors!BF5,Backdoors!BG5)))))/100,Backdoors!BG5/100),"")</f>
        <v>0</v>
      </c>
      <c r="R73" s="49">
        <f>IFERROR(IF(VLOOKUP(A73,tbMoveset!A2:J112,10,FALSE)=TRUE,IF((Backdoors!AI12+IF(P73&gt;=0.45,VLOOKUP(Calculator!E23,tbSkills!DH3:DI6,2,FALSE)+IF(AND(Calculator!B8=TRUE,Backdoors!BI5=TRUE),VLOOKUP(Calculator!E23,tbSkills!DH3:DJ6,3,FALSE),0),0))&gt;=0,1+(Backdoors!AL2*(IF((Backdoors!AI12+IF(P73&gt;=0.45,VLOOKUP(Calculator!E23,tbSkills!DH3:DI6,2,FALSE)+IF(AND(Calculator!B8=TRUE,Backdoors!BI5=TRUE),VLOOKUP(Calculator!E23,tbSkills!DH3:DJ6,3,FALSE),0),0))&gt;=100,100,(Backdoors!AI12+IF(P73&gt;=0.45,VLOOKUP(Calculator!E23,tbSkills!DH3:DI6,2,FALSE)+IF(AND(Calculator!B8=TRUE,Backdoors!BI5=TRUE),VLOOKUP(Calculator!E23,tbSkills!DH3:DJ6,3,FALSE),0),0)))/100)),(1-(0.25*((-Backdoors!AI12-IF(P73&gt;=0.45,VLOOKUP(Calculator!E23,tbSkills!DH3:DI6,2,FALSE)+IF(AND(Calculator!B8=TRUE,Backdoors!BI5=TRUE),VLOOKUP(Calculator!E23,tbSkills!DH3:DJ6,3,FALSE),0),0))/100)))),1),"")</f>
        <v>1</v>
      </c>
      <c r="S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P73)*R73)*(VLOOKUP(A73,tbMoveset!A2:C112,3,FALSE)/100)*IF(VLOOKUP(A73,tbMoveset!A2:B112,2,FALSE)="Projectile",Backdoors!N10,Backdoors!N9),0),"")</f>
        <v>4</v>
      </c>
      <c r="T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P73&gt;=0.45,VLOOKUP(Calculator!E23,tbSkills!DH3:DI6,2,FALSE)+IF(AND(Calculator!B8=TRUE,Backdoors!BI5=TRUE),VLOOKUP(Calculator!E23,tbSkills!DH3:DJ6,3,FALSE),0),0))&gt;=100,100,(Backdoors!AI12+IF(P73&gt;=0.45,VLOOKUP(Calculator!E23,tbSkills!DH3:DI6,2,FALSE)+IF(AND(Calculator!B8=TRUE,Backdoors!BI5=TRUE),VLOOKUP(Calculator!E23,tbSkills!DH3:DJ6,3,FALSE),0),0)))/100)),1))*IF(VLOOKUP(A73,tbMoveset!A2:K112,11,FALSE)=TRUE,Backdoors!AC5,1))*Q73,0),"")</f>
        <v>0</v>
      </c>
      <c r="U73" s="49">
        <f>VLOOKUP(A73,tbMoveset!A2:G112,7,FALSE)*IFERROR(IF(Backdoors!AI12&gt;=0,1+(IF(Calculator!E40&gt;0,VLOOKUP(Calculator!E40,tbSkills!AI3:AJ5,2,FALSE),Backdoors!AL4)*(IF((Backdoors!AI12+IF(P73&gt;=0.45,VLOOKUP(Calculator!E23,tbSkills!DH3:DI6,2,FALSE)+IF(AND(Calculator!B8=TRUE,Backdoors!BI5=TRUE),VLOOKUP(Calculator!E23,tbSkills!DH3:DJ6,3,FALSE),0),0))&gt;=100,100,(Backdoors!AI12+IF(P73&gt;=0.45,VLOOKUP(Calculator!E23,tbSkills!DH3:DI6,2,FALSE)+IF(AND(Calculator!B8=TRUE,Backdoors!BI5=TRUE),VLOOKUP(Calculator!E23,tbSkills!DH3:DJ6,3,FALSE),0),0)))/100)),1),1)</f>
        <v>0.6</v>
      </c>
      <c r="V73" s="87">
        <f t="shared" si="53"/>
        <v>4</v>
      </c>
      <c r="W73" s="86">
        <f>IFERROR(IF(VLOOKUP(A73,tbMoveset!A2:B112,2,FALSE)="Sever",Backdoors!AY6/100,IF(VLOOKUP(A73,tbMoveset!A2:B112,2,FALSE)="Blunt",Backdoors!AZ6/100,Backdoors!BA6/100)),"")</f>
        <v>0.45</v>
      </c>
      <c r="X73" s="49">
        <f>IFERROR(IF(VLOOKUP(tbMoveset!A73,tbMoveset!A2:H112,8,FALSE)="Other",IF(VLOOKUP(tbMoveset!A73,tbMoveset!A2:I112,9,FALSE)="Fire",Backdoors!BB6,IF(VLOOKUP(tbMoveset!A73,tbMoveset!A2:I112,9,FALSE)="Water",Backdoors!BC6,IF(VLOOKUP(tbMoveset!A73,tbMoveset!A2:I112,9,FALSE)="Thunder",Backdoors!BD6,IF(VLOOKUP(tbMoveset!A73,tbMoveset!A2:I112,9,FALSE)="Ice",Backdoors!BE6,IF(VLOOKUP(tbMoveset!A73,tbMoveset!A2:I112,9,FALSE)="Dragon",Backdoors!BF6,Backdoors!BG6)))))/100,Backdoors!BG6/100),"")</f>
        <v>0</v>
      </c>
      <c r="Y73" s="49">
        <f>IFERROR(IF(VLOOKUP(A73,tbMoveset!A2:J112,10,FALSE)=TRUE,IF((Backdoors!AI12+IF(W73&gt;=0.45,VLOOKUP(Calculator!E23,tbSkills!DH3:DI6,2,FALSE)+IF(AND(Calculator!B8=TRUE,Backdoors!BI6=TRUE),VLOOKUP(Calculator!E23,tbSkills!DH3:DJ6,3,FALSE),0),0))&gt;=0,1+(Backdoors!AL2*(IF((Backdoors!AI12+IF(W73&gt;=0.45,VLOOKUP(Calculator!E23,tbSkills!DH3:DI6,2,FALSE)+IF(AND(Calculator!B8=TRUE,Backdoors!BI6=TRUE),VLOOKUP(Calculator!E23,tbSkills!DH3:DJ6,3,FALSE),0),0))&gt;=100,100,(Backdoors!AI12+IF(W73&gt;=0.45,VLOOKUP(Calculator!E23,tbSkills!DH3:DI6,2,FALSE)+IF(AND(Calculator!B8=TRUE,Backdoors!BI6=TRUE),VLOOKUP(Calculator!E23,tbSkills!DH3:DJ6,3,FALSE),0),0)))/100)),(1-(0.25*((-Backdoors!AI12-IF(W73&gt;=0.45,VLOOKUP(Calculator!E23,tbSkills!DH3:DI6,2,FALSE)+IF(AND(Calculator!B8=TRUE,Backdoors!BI6=TRUE),VLOOKUP(Calculator!E23,tbSkills!DH3:DJ6,3,FALSE),0),0))/100)))),1),"")</f>
        <v>1</v>
      </c>
      <c r="Z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W73)*Y73)*(VLOOKUP(A73,tbMoveset!A2:C112,3,FALSE)/100)*IF(VLOOKUP(A73,tbMoveset!A2:B112,2,FALSE)="Projectile",Backdoors!N10,Backdoors!N9),0),"")</f>
        <v>4</v>
      </c>
      <c r="AA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W73&gt;=0.45,VLOOKUP(Calculator!E23,tbSkills!DH3:DI6,2,FALSE)+IF(AND(Calculator!B8=TRUE,Backdoors!BI6=TRUE),VLOOKUP(Calculator!E23,tbSkills!DH3:DJ6,3,FALSE),0),0))&gt;=100,100,(Backdoors!AI12+IF(W73&gt;=0.45,VLOOKUP(Calculator!E23,tbSkills!DH3:DI6,2,FALSE)+IF(AND(Calculator!B8=TRUE,Backdoors!BI6=TRUE),VLOOKUP(Calculator!E23,tbSkills!DH3:DJ6,3,FALSE),0),0)))/100)),1))*IF(VLOOKUP(A73,tbMoveset!A2:K112,11,FALSE)=TRUE,Backdoors!AC5,1))*X73,0),"")</f>
        <v>0</v>
      </c>
      <c r="AB73" s="49">
        <f>VLOOKUP(A73,tbMoveset!A2:G112,7,FALSE)*IFERROR(IF(Backdoors!AI12&gt;=0,1+(IF(Calculator!E40&gt;0,VLOOKUP(Calculator!E40,tbSkills!AI3:AJ5,2,FALSE),Backdoors!AL4)*(IF((Backdoors!AI12+IF(W73&gt;=0.45,VLOOKUP(Calculator!E23,tbSkills!DH3:DI6,2,FALSE)+IF(AND(Calculator!B8=TRUE,Backdoors!BI6=TRUE),VLOOKUP(Calculator!E23,tbSkills!DH3:DJ6,3,FALSE),0),0))&gt;=100,100,(Backdoors!AI12+IF(W73&gt;=0.45,VLOOKUP(Calculator!E23,tbSkills!DH3:DI6,2,FALSE)+IF(AND(Calculator!B8=TRUE,Backdoors!BI6=TRUE),VLOOKUP(Calculator!E23,tbSkills!DH3:DJ6,3,FALSE),0),0)))/100)),1),1)</f>
        <v>0.6</v>
      </c>
      <c r="AC73" s="87">
        <f t="shared" si="54"/>
        <v>4</v>
      </c>
      <c r="AD73" s="86">
        <f>IFERROR(IF(VLOOKUP(A73,tbMoveset!A2:B112,2,FALSE)="Sever",Backdoors!AY7/100,IF(VLOOKUP(A73,tbMoveset!A2:B112,2,FALSE)="Blunt",Backdoors!AZ7/100,Backdoors!BA7/100)),"")</f>
        <v>0.65</v>
      </c>
      <c r="AE73" s="49">
        <f>IFERROR(IF(VLOOKUP(tbMoveset!A73,tbMoveset!A2:H112,8,FALSE)="Other",IF(VLOOKUP(tbMoveset!A73,tbMoveset!A2:I112,9,FALSE)="Fire",Backdoors!BB7,IF(VLOOKUP(tbMoveset!A73,tbMoveset!A2:I112,9,FALSE)="Water",Backdoors!BC7,IF(VLOOKUP(tbMoveset!A73,tbMoveset!A2:I112,9,FALSE)="Thunder",Backdoors!BD7,IF(VLOOKUP(tbMoveset!A73,tbMoveset!A2:I112,9,FALSE)="Ice",Backdoors!BE7,IF(VLOOKUP(tbMoveset!A73,tbMoveset!A2:I112,9,FALSE)="Dragon",Backdoors!BF7,Backdoors!BG7)))))/100,Backdoors!BG7/100),"")</f>
        <v>0</v>
      </c>
      <c r="AF73" s="49">
        <f>IFERROR(IF(VLOOKUP(A73,tbMoveset!A2:J112,10,FALSE)=TRUE,IF((Backdoors!AI12+IF(AD73&gt;=0.45,VLOOKUP(Calculator!E23,tbSkills!DH3:DI6,2,FALSE)+IF(AND(Calculator!B8=TRUE,Backdoors!BI7=TRUE),VLOOKUP(Calculator!E23,tbSkills!DH3:DJ6,3,FALSE),0),0))&gt;=0,1+(Backdoors!AL2*(IF((Backdoors!AI12+IF(AD73&gt;=0.45,VLOOKUP(Calculator!E23,tbSkills!DH3:DI6,2,FALSE)+IF(AND(Calculator!B8=TRUE,Backdoors!BI7=TRUE),VLOOKUP(Calculator!E23,tbSkills!DH3:DJ6,3,FALSE),0),0))&gt;=100,100,(Backdoors!AI12+IF(AD73&gt;=0.45,VLOOKUP(Calculator!E23,tbSkills!DH3:DI6,2,FALSE)+IF(AND(Calculator!B8=TRUE,Backdoors!BI7=TRUE),VLOOKUP(Calculator!E23,tbSkills!DH3:DJ6,3,FALSE),0),0)))/100)),(1-(0.25*((-Backdoors!AI12-IF(AD73&gt;=0.45,VLOOKUP(Calculator!E23,tbSkills!DH3:DI6,2,FALSE)+IF(AND(Calculator!B8=TRUE,Backdoors!BI7=TRUE),VLOOKUP(Calculator!E23,tbSkills!DH3:DJ6,3,FALSE),0),0))/100)))),1),"")</f>
        <v>1</v>
      </c>
      <c r="AG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D73)*AF73)*(VLOOKUP(A73,tbMoveset!A2:C112,3,FALSE)/100)*IF(VLOOKUP(A73,tbMoveset!A2:B112,2,FALSE)="Projectile",Backdoors!N10,Backdoors!N9),0),"")</f>
        <v>5</v>
      </c>
      <c r="AH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D73&gt;=0.45,VLOOKUP(Calculator!E23,tbSkills!DH3:DI6,2,FALSE)+IF(AND(Calculator!B8=TRUE,Backdoors!BI7=TRUE),VLOOKUP(Calculator!E23,tbSkills!DH3:DJ6,3,FALSE),0),0))&gt;=100,100,(Backdoors!AI12+IF(AD73&gt;=0.45,VLOOKUP(Calculator!E23,tbSkills!DH3:DI6,2,FALSE)+IF(AND(Calculator!B8=TRUE,Backdoors!BI7=TRUE),VLOOKUP(Calculator!E23,tbSkills!DH3:DJ6,3,FALSE),0),0)))/100)),1))*IF(VLOOKUP(A73,tbMoveset!A2:K112,11,FALSE)=TRUE,Backdoors!AC5,1))*AE73,0),"")</f>
        <v>0</v>
      </c>
      <c r="AI73" s="49">
        <f>VLOOKUP(A73,tbMoveset!A2:G112,7,FALSE)*IFERROR(IF(Backdoors!AI12&gt;=0,1+(IF(Calculator!E40&gt;0,VLOOKUP(Calculator!E40,tbSkills!AI3:AJ5,2,FALSE),Backdoors!AL4)*(IF((Backdoors!AI12+IF(AD73&gt;=0.45,VLOOKUP(Calculator!E23,tbSkills!DH3:DI6,2,FALSE)+IF(AND(Calculator!B8=TRUE,Backdoors!BI7=TRUE),VLOOKUP(Calculator!E23,tbSkills!DH3:DJ6,3,FALSE),0),0))&gt;=100,100,(Backdoors!AI12+IF(AD73&gt;=0.45,VLOOKUP(Calculator!E23,tbSkills!DH3:DI6,2,FALSE)+IF(AND(Calculator!B8=TRUE,Backdoors!BI7=TRUE),VLOOKUP(Calculator!E23,tbSkills!DH3:DJ6,3,FALSE),0),0)))/100)),1),1)</f>
        <v>0.6</v>
      </c>
      <c r="AJ73" s="87">
        <f t="shared" si="55"/>
        <v>5</v>
      </c>
      <c r="AK73" s="91">
        <f>IFERROR(IF(VLOOKUP(A73,tbMoveset!A2:B112,2,FALSE)="Sever",Backdoors!AY8/100,IF(VLOOKUP(A73,tbMoveset!A2:B112,2,FALSE)="Blunt",Backdoors!AZ8/100,Backdoors!BA8/100)),"")</f>
        <v>0.45</v>
      </c>
      <c r="AL73" s="49">
        <f>IFERROR(IF(VLOOKUP(tbMoveset!A73,tbMoveset!A2:H112,8,FALSE)="Other",IF(VLOOKUP(tbMoveset!A73,tbMoveset!A2:I112,9,FALSE)="Fire",Backdoors!BB8,IF(VLOOKUP(tbMoveset!A73,tbMoveset!A2:I112,9,FALSE)="Water",Backdoors!BC8,IF(VLOOKUP(tbMoveset!A73,tbMoveset!A2:I112,9,FALSE)="Thunder",Backdoors!BD8,IF(VLOOKUP(tbMoveset!A73,tbMoveset!A2:I112,9,FALSE)="Ice",Backdoors!BE8,IF(VLOOKUP(tbMoveset!A73,tbMoveset!A2:I112,9,FALSE)="Dragon",Backdoors!BF8,Backdoors!BG8)))))/100,Backdoors!BG8/100),"")</f>
        <v>0</v>
      </c>
      <c r="AM73" s="49">
        <f>IFERROR(IF(VLOOKUP(A73,tbMoveset!A2:J112,10,FALSE)=TRUE,IF((Backdoors!AI12+IF(AK73&gt;=0.45,VLOOKUP(Calculator!E23,tbSkills!DH3:DI6,2,FALSE)+IF(AND(Calculator!B8=TRUE,Backdoors!BI8=TRUE),VLOOKUP(Calculator!E23,tbSkills!DH3:DJ6,3,FALSE),0),0))&gt;=0,1+(Backdoors!AL2*(IF((Backdoors!AI12+IF(AK73&gt;=0.45,VLOOKUP(Calculator!E23,tbSkills!DH3:DI6,2,FALSE)+IF(AND(Calculator!B8=TRUE,Backdoors!BI8=TRUE),VLOOKUP(Calculator!E23,tbSkills!DH3:DJ6,3,FALSE),0),0))&gt;=100,100,(Backdoors!AI12+IF(AK73&gt;=0.45,VLOOKUP(Calculator!E23,tbSkills!DH3:DI6,2,FALSE)+IF(AND(Calculator!B8=TRUE,Backdoors!BI8=TRUE),VLOOKUP(Calculator!E23,tbSkills!DH3:DJ6,3,FALSE),0),0)))/100)),(1-(0.25*((-Backdoors!AI12-IF(AK73&gt;=0.45,VLOOKUP(Calculator!E23,tbSkills!DH3:DI6,2,FALSE)+IF(AND(Calculator!B8=TRUE,Backdoors!BI8=TRUE),VLOOKUP(Calculator!E23,tbSkills!DH3:DJ6,3,FALSE),0),0))/100)))),1),"")</f>
        <v>1</v>
      </c>
      <c r="AN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K73)*AM73)*(VLOOKUP(A73,tbMoveset!A2:C112,3,FALSE)/100)*IF(VLOOKUP(A73,tbMoveset!A2:B112,2,FALSE)="Projectile",Backdoors!N10,Backdoors!N9),0),"")</f>
        <v>4</v>
      </c>
      <c r="AO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K73&gt;=0.45,VLOOKUP(Calculator!E23,tbSkills!DH3:DI6,2,FALSE)+IF(AND(Calculator!B8=TRUE,Backdoors!BI8=TRUE),VLOOKUP(Calculator!E23,tbSkills!DH3:DJ6,3,FALSE),0),0))&gt;=100,100,(Backdoors!AI12+IF(AK73&gt;=0.45,VLOOKUP(Calculator!E23,tbSkills!DH3:DI6,2,FALSE)+IF(AND(Calculator!B8=TRUE,Backdoors!BI8=TRUE),VLOOKUP(Calculator!E23,tbSkills!DH3:DJ6,3,FALSE),0),0)))/100)),1))*IF(VLOOKUP(A73,tbMoveset!A2:K112,11,FALSE)=TRUE,Backdoors!AC5,1))*AL73,0),"")</f>
        <v>0</v>
      </c>
      <c r="AP73" s="49">
        <f>VLOOKUP(A73,tbMoveset!A2:G112,7,FALSE)*IFERROR(IF(Backdoors!AI12&gt;=0,1+(IF(Calculator!E40&gt;0,VLOOKUP(Calculator!E40,tbSkills!AI3:AJ5,2,FALSE),Backdoors!AL4)*(IF((Backdoors!AI12+IF(AK73&gt;=0.45,VLOOKUP(Calculator!E23,tbSkills!DH3:DI6,2,FALSE)+IF(AND(Calculator!B8=TRUE,Backdoors!BI8=TRUE),VLOOKUP(Calculator!E23,tbSkills!DH3:DJ6,3,FALSE),0),0))&gt;=100,100,(Backdoors!AI12+IF(AK73&gt;=0.45,VLOOKUP(Calculator!E23,tbSkills!DH3:DI6,2,FALSE)+IF(AND(Calculator!B8=TRUE,Backdoors!BI8=TRUE),VLOOKUP(Calculator!E23,tbSkills!DH3:DJ6,3,FALSE),0),0)))/100)),1),1)</f>
        <v>0.6</v>
      </c>
      <c r="AQ73" s="87">
        <f t="shared" si="56"/>
        <v>4</v>
      </c>
      <c r="AR73" s="86">
        <f>IFERROR(IF(VLOOKUP(A73,tbMoveset!A2:B112,2,FALSE)="Sever",Backdoors!AY9/100,IF(VLOOKUP(A73,tbMoveset!A2:B112,2,FALSE)="Blunt",Backdoors!AZ9/100,Backdoors!BA9/100)),"")</f>
        <v>0.45</v>
      </c>
      <c r="AS73" s="49">
        <f>IFERROR(IF(VLOOKUP(tbMoveset!A73,tbMoveset!A2:H112,8,FALSE)="Other",IF(VLOOKUP(tbMoveset!A73,tbMoveset!A2:I112,9,FALSE)="Fire",Backdoors!BB9,IF(VLOOKUP(tbMoveset!A73,tbMoveset!A2:I112,9,FALSE)="Water",Backdoors!BC9,IF(VLOOKUP(tbMoveset!A73,tbMoveset!A2:I112,9,FALSE)="Thunder",Backdoors!BD9,IF(VLOOKUP(tbMoveset!A73,tbMoveset!A2:I112,9,FALSE)="Ice",Backdoors!BE9,IF(VLOOKUP(tbMoveset!A73,tbMoveset!A2:I112,9,FALSE)="Dragon",Backdoors!BF9,Backdoors!BG9)))))/100,Backdoors!BG9/100),"")</f>
        <v>0</v>
      </c>
      <c r="AT73" s="49">
        <f>IFERROR(IF(VLOOKUP(A73,tbMoveset!A2:J112,10,FALSE)=TRUE,IF((Backdoors!AI12+IF(AR73&gt;=0.45,VLOOKUP(Calculator!E23,tbSkills!DH3:DI6,2,FALSE)+IF(AND(Calculator!B8=TRUE,Backdoors!BI9=TRUE),VLOOKUP(Calculator!E23,tbSkills!DH3:DJ6,3,FALSE),0),0))&gt;=0,1+(Backdoors!AL2*(IF((Backdoors!AI12+IF(AR73&gt;=0.45,VLOOKUP(Calculator!E23,tbSkills!DH3:DI6,2,FALSE)+IF(AND(Calculator!B8=TRUE,Backdoors!BI9=TRUE),VLOOKUP(Calculator!E23,tbSkills!DH3:DJ6,3,FALSE),0),0))&gt;=100,100,(Backdoors!AI12+IF(AR73&gt;=0.45,VLOOKUP(Calculator!E23,tbSkills!DH3:DI6,2,FALSE)+IF(AND(Calculator!B8=TRUE,Backdoors!BI9=TRUE),VLOOKUP(Calculator!E23,tbSkills!DH3:DJ6,3,FALSE),0),0)))/100)),(1-(0.25*((-Backdoors!AI12-IF(AR73&gt;=0.45,VLOOKUP(Calculator!E23,tbSkills!DH3:DI6,2,FALSE)+IF(AND(Calculator!B8=TRUE,Backdoors!BI9=TRUE),VLOOKUP(Calculator!E23,tbSkills!DH3:DJ6,3,FALSE),0),0))/100)))),1),"")</f>
        <v>1</v>
      </c>
      <c r="AU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R73)*AT73)*(VLOOKUP(A73,tbMoveset!A2:C112,3,FALSE)/100)*IF(VLOOKUP(A73,tbMoveset!A2:B112,2,FALSE)="Projectile",Backdoors!N10,Backdoors!N9),0),"")</f>
        <v>4</v>
      </c>
      <c r="AV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R73&gt;=0.45,VLOOKUP(Calculator!E23,tbSkills!DH3:DI6,2,FALSE)+IF(AND(Calculator!B8=TRUE,Backdoors!BI9=TRUE),VLOOKUP(Calculator!E23,tbSkills!DH3:DJ6,3,FALSE),0),0))&gt;=100,100,(Backdoors!AI12+IF(AR73&gt;=0.45,VLOOKUP(Calculator!E23,tbSkills!DH3:DI6,2,FALSE)+IF(AND(Calculator!B8=TRUE,Backdoors!BI9=TRUE),VLOOKUP(Calculator!E23,tbSkills!DH3:DJ6,3,FALSE),0),0)))/100)),1))*IF(VLOOKUP(A73,tbMoveset!A2:K112,11,FALSE)=TRUE,Backdoors!AC5,1))*AS73,0),"")</f>
        <v>0</v>
      </c>
      <c r="AW73" s="49">
        <f>VLOOKUP(A73,tbMoveset!A2:G112,7,FALSE)*IFERROR(IF(Backdoors!AI12&gt;=0,1+(IF(Calculator!E40&gt;0,VLOOKUP(Calculator!E40,tbSkills!AI3:AJ5,2,FALSE),Backdoors!AL4)*(IF((Backdoors!AI12+IF(AR73&gt;=0.45,VLOOKUP(Calculator!E23,tbSkills!DH3:DI6,2,FALSE)+IF(AND(Calculator!B8=TRUE,Backdoors!BI9=TRUE),VLOOKUP(Calculator!E23,tbSkills!DH3:DJ6,3,FALSE),0),0))&gt;=100,100,(Backdoors!AI12+IF(AR73&gt;=0.45,VLOOKUP(Calculator!E23,tbSkills!DH3:DI6,2,FALSE)+IF(AND(Calculator!B8=TRUE,Backdoors!BI9=TRUE),VLOOKUP(Calculator!E23,tbSkills!DH3:DJ6,3,FALSE),0),0)))/100)),1),1)</f>
        <v>0.6</v>
      </c>
      <c r="AX73" s="87">
        <f t="shared" si="57"/>
        <v>4</v>
      </c>
      <c r="AY73" s="86">
        <f>IFERROR(IF(VLOOKUP(A73,tbMoveset!A2:B112,2,FALSE)="Sever",Backdoors!AY10/100,IF(VLOOKUP(A73,tbMoveset!A2:B112,2,FALSE)="Blunt",Backdoors!AZ10/100,Backdoors!BA10/100)),"")</f>
        <v>0.9</v>
      </c>
      <c r="AZ73" s="49">
        <f>IFERROR(IF(VLOOKUP(tbMoveset!A73,tbMoveset!A2:H112,8,FALSE)="Other",IF(VLOOKUP(tbMoveset!A73,tbMoveset!A2:I112,9,FALSE)="Fire",Backdoors!BB10,IF(VLOOKUP(tbMoveset!A73,tbMoveset!A2:I112,9,FALSE)="Water",Backdoors!BC10,IF(VLOOKUP(tbMoveset!A73,tbMoveset!A2:I112,9,FALSE)="Thunder",Backdoors!BD10,IF(VLOOKUP(tbMoveset!A73,tbMoveset!A2:I112,9,FALSE)="Ice",Backdoors!BE10,IF(VLOOKUP(tbMoveset!A73,tbMoveset!A2:I112,9,FALSE)="Dragon",Backdoors!BF10,Backdoors!BG10)))))/100,Backdoors!BG10/100),"")</f>
        <v>0</v>
      </c>
      <c r="BA73" s="49">
        <f>IFERROR(IF(VLOOKUP(A73,tbMoveset!A2:J112,10,FALSE)=TRUE,IF((Backdoors!AI12+IF(AY73&gt;=0.45,VLOOKUP(Calculator!E23,tbSkills!DH3:DI6,2,FALSE)+IF(AND(Calculator!B8=TRUE,Backdoors!BI10=TRUE),VLOOKUP(Calculator!E23,tbSkills!DH3:DJ6,3,FALSE),0),0))&gt;=0,1+(Backdoors!AL2*(IF((Backdoors!AI12+IF(AY73&gt;=0.45,VLOOKUP(Calculator!E23,tbSkills!DH3:DI6,2,FALSE)+IF(AND(Calculator!B8=TRUE,Backdoors!BI10=TRUE),VLOOKUP(Calculator!E23,tbSkills!DH3:DJ6,3,FALSE),0),0))&gt;=100,100,(Backdoors!AI12+IF(AY73&gt;=0.45,VLOOKUP(Calculator!E23,tbSkills!DH3:DI6,2,FALSE)+IF(AND(Calculator!B8=TRUE,Backdoors!BI10=TRUE),VLOOKUP(Calculator!E23,tbSkills!DH3:DJ6,3,FALSE),0),0)))/100)),(1-(0.25*((-Backdoors!AI12-IF(AY73&gt;=0.45,VLOOKUP(Calculator!E23,tbSkills!DH3:DI6,2,FALSE)+IF(AND(Calculator!B8=TRUE,Backdoors!BI10=TRUE),VLOOKUP(Calculator!E23,tbSkills!DH3:DJ6,3,FALSE),0),0))/100)))),1),"")</f>
        <v>1</v>
      </c>
      <c r="BB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Y73)*BA73)*(VLOOKUP(A73,tbMoveset!A2:C112,3,FALSE)/100)*IF(VLOOKUP(A73,tbMoveset!A2:B112,2,FALSE)="Projectile",Backdoors!N10,Backdoors!N9),0),"")</f>
        <v>8</v>
      </c>
      <c r="BC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Y73&gt;=0.45,VLOOKUP(Calculator!E23,tbSkills!DH3:DI6,2,FALSE)+IF(AND(Calculator!B8=TRUE,Backdoors!BI10=TRUE),VLOOKUP(Calculator!E23,tbSkills!DH3:DJ6,3,FALSE),0),0))&gt;=100,100,(Backdoors!AI12+IF(AY73&gt;=0.45,VLOOKUP(Calculator!E23,tbSkills!DH3:DI6,2,FALSE)+IF(AND(Calculator!B8=TRUE,Backdoors!BI10=TRUE),VLOOKUP(Calculator!E23,tbSkills!DH3:DJ6,3,FALSE),0),0)))/100)),1))*IF(VLOOKUP(A73,tbMoveset!A2:K112,11,FALSE)=TRUE,Backdoors!AC5,1))*AZ73,0),"")</f>
        <v>0</v>
      </c>
      <c r="BD73" s="49">
        <f>VLOOKUP(A73,tbMoveset!A2:G112,7,FALSE)*IFERROR(IF(Backdoors!AI12&gt;=0,1+(IF(Calculator!E40&gt;0,VLOOKUP(Calculator!E40,tbSkills!AI3:AJ5,2,FALSE),Backdoors!AL4)*(IF((Backdoors!AI12+IF(AY73&gt;=0.45,VLOOKUP(Calculator!E23,tbSkills!DH3:DI6,2,FALSE)+IF(AND(Calculator!B8=TRUE,Backdoors!BI10=TRUE),VLOOKUP(Calculator!E23,tbSkills!DH3:DJ6,3,FALSE),0),0))&gt;=100,100,(Backdoors!AI12+IF(AY73&gt;=0.45,VLOOKUP(Calculator!E23,tbSkills!DH3:DI6,2,FALSE)+IF(AND(Calculator!B8=TRUE,Backdoors!BI10=TRUE),VLOOKUP(Calculator!E23,tbSkills!DH3:DJ6,3,FALSE),0),0)))/100)),1),1)</f>
        <v>0.6</v>
      </c>
      <c r="BE73" s="87">
        <f t="shared" si="58"/>
        <v>8</v>
      </c>
      <c r="BF73" s="86" t="str">
        <f>IFERROR(IF(VLOOKUP(A73,tbMoveset!A2:B112,2,FALSE)="Sever",Backdoors!AY11/100,IF(VLOOKUP(A73,tbMoveset!A2:B112,2,FALSE)="Blunt",Backdoors!AZ11/100,Backdoors!BA11/100)),"")</f>
        <v/>
      </c>
      <c r="BG73" s="49">
        <f>IFERROR(IF(VLOOKUP(tbMoveset!A73,tbMoveset!A2:H112,8,FALSE)="Other",IF(VLOOKUP(tbMoveset!A73,tbMoveset!A2:I112,9,FALSE)="Fire",Backdoors!BB11,IF(VLOOKUP(tbMoveset!A73,tbMoveset!A2:I112,9,FALSE)="Water",Backdoors!BC11,IF(VLOOKUP(tbMoveset!A73,tbMoveset!A2:I112,9,FALSE)="Thunder",Backdoors!BD11,IF(VLOOKUP(tbMoveset!A73,tbMoveset!A2:I112,9,FALSE)="Ice",Backdoors!BE11,IF(VLOOKUP(tbMoveset!A73,tbMoveset!A2:I112,9,FALSE)="Dragon",Backdoors!BF11,Backdoors!BG11)))))/100,Backdoors!BG11/100),"")</f>
        <v>0</v>
      </c>
      <c r="BH73" s="49">
        <f>IFERROR(IF(VLOOKUP(A73,tbMoveset!A2:J112,10,FALSE)=TRUE,IF((Backdoors!AI12+IF(BF73&gt;=0.45,VLOOKUP(Calculator!E23,tbSkills!DH3:DI6,2,FALSE)+IF(AND(Calculator!B8=TRUE,Backdoors!BI11=TRUE),VLOOKUP(Calculator!E23,tbSkills!DH3:DJ6,3,FALSE),0),0))&gt;=0,1+(Backdoors!AL2*(IF((Backdoors!AI12+IF(BF73&gt;=0.45,VLOOKUP(Calculator!E23,tbSkills!DH3:DI6,2,FALSE)+IF(AND(Calculator!B8=TRUE,Backdoors!BI11=TRUE),VLOOKUP(Calculator!E23,tbSkills!DH3:DJ6,3,FALSE),0),0))&gt;=100,100,(Backdoors!AI12+IF(BF73&gt;=0.45,VLOOKUP(Calculator!E23,tbSkills!DH3:DI6,2,FALSE)+IF(AND(Calculator!B8=TRUE,Backdoors!BI11=TRUE),VLOOKUP(Calculator!E23,tbSkills!DH3:DJ6,3,FALSE),0),0)))/100)),(1-(0.25*((-Backdoors!AI12-IF(BF73&gt;=0.45,VLOOKUP(Calculator!E23,tbSkills!DH3:DI6,2,FALSE)+IF(AND(Calculator!B8=TRUE,Backdoors!BI11=TRUE),VLOOKUP(Calculator!E23,tbSkills!DH3:DJ6,3,FALSE),0),0))/100)))),1),"")</f>
        <v>1</v>
      </c>
      <c r="BI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F73)*BH73)*(VLOOKUP(A73,tbMoveset!A2:C112,3,FALSE)/100)*IF(VLOOKUP(A73,tbMoveset!A2:B112,2,FALSE)="Projectile",Backdoors!N10,Backdoors!N9),0),"")</f>
        <v/>
      </c>
      <c r="BJ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F73&gt;=0.45,VLOOKUP(Calculator!E23,tbSkills!DH3:DI6,2,FALSE)+IF(AND(Calculator!B8=TRUE,Backdoors!BI11=TRUE),VLOOKUP(Calculator!E23,tbSkills!DH3:DJ6,3,FALSE),0),0))&gt;=100,100,(Backdoors!AI12+IF(BF73&gt;=0.45,VLOOKUP(Calculator!E23,tbSkills!DH3:DI6,2,FALSE)+IF(AND(Calculator!B8=TRUE,Backdoors!BI11=TRUE),VLOOKUP(Calculator!E23,tbSkills!DH3:DJ6,3,FALSE),0),0)))/100)),1))*IF(VLOOKUP(A73,tbMoveset!A2:K112,11,FALSE)=TRUE,Backdoors!AC5,1))*BG73,0),"")</f>
        <v>0</v>
      </c>
      <c r="BK73" s="49">
        <f>VLOOKUP(A73,tbMoveset!A2:G112,7,FALSE)*IFERROR(IF(Backdoors!AI12&gt;=0,1+(IF(Calculator!E40&gt;0,VLOOKUP(Calculator!E40,tbSkills!AI3:AJ5,2,FALSE),Backdoors!AL4)*(IF((Backdoors!AI12+IF(BF73&gt;=0.45,VLOOKUP(Calculator!E23,tbSkills!DH3:DI6,2,FALSE)+IF(AND(Calculator!B8=TRUE,Backdoors!BI11=TRUE),VLOOKUP(Calculator!E23,tbSkills!DH3:DJ6,3,FALSE),0),0))&gt;=100,100,(Backdoors!AI12+IF(BF73&gt;=0.45,VLOOKUP(Calculator!E23,tbSkills!DH3:DI6,2,FALSE)+IF(AND(Calculator!B8=TRUE,Backdoors!BI11=TRUE),VLOOKUP(Calculator!E23,tbSkills!DH3:DJ6,3,FALSE),0),0)))/100)),1),1)</f>
        <v>0.6</v>
      </c>
      <c r="BL73" s="87">
        <f t="shared" si="59"/>
        <v>0</v>
      </c>
      <c r="BM73" s="86" t="str">
        <f>IFERROR(IF(VLOOKUP(A73,tbMoveset!A2:B112,2,FALSE)="Sever",Backdoors!AY12/100,IF(VLOOKUP(A73,tbMoveset!A2:B112,2,FALSE)="Blunt",Backdoors!AZ12/100,Backdoors!BA12/100)),"")</f>
        <v/>
      </c>
      <c r="BN73" s="49">
        <f>IFERROR(IF(VLOOKUP(tbMoveset!A73,tbMoveset!A2:H112,8,FALSE)="Other",IF(VLOOKUP(tbMoveset!A73,tbMoveset!A2:I112,9,FALSE)="Fire",Backdoors!BB12,IF(VLOOKUP(tbMoveset!A73,tbMoveset!A2:I112,9,FALSE)="Water",Backdoors!BC12,IF(VLOOKUP(tbMoveset!A73,tbMoveset!A2:I112,9,FALSE)="Thunder",Backdoors!BD12,IF(VLOOKUP(tbMoveset!A73,tbMoveset!A2:I112,9,FALSE)="Ice",Backdoors!BE12,IF(VLOOKUP(tbMoveset!A73,tbMoveset!A2:I112,9,FALSE)="Dragon",Backdoors!BF12,Backdoors!BG12)))))/100,Backdoors!BG12/100),"")</f>
        <v>0</v>
      </c>
      <c r="BO73" s="49">
        <f>IFERROR(IF(VLOOKUP(A73,tbMoveset!A2:J112,10,FALSE)=TRUE,IF((Backdoors!AI12+IF(BM73&gt;=0.45,VLOOKUP(Calculator!E23,tbSkills!DH3:DI6,2,FALSE)+IF(AND(Calculator!B8=TRUE,Backdoors!BI12=TRUE),VLOOKUP(Calculator!E23,tbSkills!DH3:DJ6,3,FALSE),0),0))&gt;=0,1+(Backdoors!AL2*(IF((Backdoors!AI12+IF(BM73&gt;=0.45,VLOOKUP(Calculator!E23,tbSkills!DH3:DI6,2,FALSE)+IF(AND(Calculator!B8=TRUE,Backdoors!BI12=TRUE),VLOOKUP(Calculator!E23,tbSkills!DH3:DJ6,3,FALSE),0),0))&gt;=100,100,(Backdoors!AI12+IF(BM73&gt;=0.45,VLOOKUP(Calculator!E23,tbSkills!DH3:DI6,2,FALSE)+IF(AND(Calculator!B8=TRUE,Backdoors!BI12=TRUE),VLOOKUP(Calculator!E23,tbSkills!DH3:DJ6,3,FALSE),0),0)))/100)),(1-(0.25*((-Backdoors!AI12-IF(BM73&gt;=0.45,VLOOKUP(Calculator!E23,tbSkills!DH3:DI6,2,FALSE)+IF(AND(Calculator!B8=TRUE,Backdoors!BI12=TRUE),VLOOKUP(Calculator!E23,tbSkills!DH3:DJ6,3,FALSE),0),0))/100)))),1),"")</f>
        <v>1</v>
      </c>
      <c r="BP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M73)*BO73)*(VLOOKUP(A73,tbMoveset!A2:C112,3,FALSE)/100)*IF(VLOOKUP(A73,tbMoveset!A2:B112,2,FALSE)="Projectile",Backdoors!N10,Backdoors!N9),0),"")</f>
        <v/>
      </c>
      <c r="BQ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M73&gt;=0.45,VLOOKUP(Calculator!E23,tbSkills!DH3:DI6,2,FALSE)+IF(AND(Calculator!B8=TRUE,Backdoors!BI12=TRUE),VLOOKUP(Calculator!E23,tbSkills!DH3:DJ6,3,FALSE),0),0))&gt;=100,100,(Backdoors!AI12+IF(BM73&gt;=0.45,VLOOKUP(Calculator!E23,tbSkills!DH3:DI6,2,FALSE)+IF(AND(Calculator!B8=TRUE,Backdoors!BI12=TRUE),VLOOKUP(Calculator!E23,tbSkills!DH3:DJ6,3,FALSE),0),0)))/100)),1))*IF(VLOOKUP(A73,tbMoveset!A2:K112,11,FALSE)=TRUE,Backdoors!AC5,1))*BN73,0),"")</f>
        <v>0</v>
      </c>
      <c r="BR73" s="49">
        <f>VLOOKUP(A73,tbMoveset!A2:G112,7,FALSE)*IFERROR(IF(Backdoors!AI12&gt;=0,1+(IF(Calculator!E40&gt;0,VLOOKUP(Calculator!E40,tbSkills!AI3:AJ5,2,FALSE),Backdoors!AL4)*(IF((Backdoors!AI12+IF(BM73&gt;=0.45,VLOOKUP(Calculator!E23,tbSkills!DH3:DI6,2,FALSE)+IF(AND(Calculator!B8=TRUE,Backdoors!BI12=TRUE),VLOOKUP(Calculator!E23,tbSkills!DH3:DJ6,3,FALSE),0),0))&gt;=100,100,(Backdoors!AI12+IF(BM73&gt;=0.45,VLOOKUP(Calculator!E23,tbSkills!DH3:DI6,2,FALSE)+IF(AND(Calculator!B8=TRUE,Backdoors!BI12=TRUE),VLOOKUP(Calculator!E23,tbSkills!DH3:DJ6,3,FALSE),0),0)))/100)),1),1)</f>
        <v>0.6</v>
      </c>
      <c r="BS73" s="87">
        <f t="shared" si="60"/>
        <v>0</v>
      </c>
      <c r="BT73" s="86" t="str">
        <f>IFERROR(IF(VLOOKUP(A73,tbMoveset!A2:B112,2,FALSE)="Sever",Backdoors!AY13/100,IF(VLOOKUP(A73,tbMoveset!A2:B112,2,FALSE)="Blunt",Backdoors!AZ13/100,Backdoors!BA13/100)),"")</f>
        <v/>
      </c>
      <c r="BU73" s="49">
        <f>IFERROR(IF(VLOOKUP(tbMoveset!A73,tbMoveset!A2:H112,8,FALSE)="Other",IF(VLOOKUP(tbMoveset!A73,tbMoveset!A2:I112,9,FALSE)="Fire",Backdoors!BB13,IF(VLOOKUP(tbMoveset!A73,tbMoveset!A2:I112,9,FALSE)="Water",Backdoors!BC13,IF(VLOOKUP(tbMoveset!A73,tbMoveset!A2:I112,9,FALSE)="Thunder",Backdoors!BD13,IF(VLOOKUP(tbMoveset!A73,tbMoveset!A2:I112,9,FALSE)="Ice",Backdoors!BE13,IF(VLOOKUP(tbMoveset!A73,tbMoveset!A2:I112,9,FALSE)="Dragon",Backdoors!BF13,Backdoors!BG13)))))/100,Backdoors!BG13/100),"")</f>
        <v>0</v>
      </c>
      <c r="BV73" s="49">
        <f>IFERROR(IF(VLOOKUP(A73,tbMoveset!A2:J112,10,FALSE)=TRUE,IF((Backdoors!AI12+IF(BT73&gt;=0.45,VLOOKUP(Calculator!E23,tbSkills!DH3:DI6,2,FALSE)+IF(AND(Calculator!B8=TRUE,Backdoors!BI13=TRUE),VLOOKUP(Calculator!E23,tbSkills!DH3:DJ6,3,FALSE),0),0))&gt;=0,1+(Backdoors!AL2*(IF((Backdoors!AI12+IF(BT73&gt;=0.45,VLOOKUP(Calculator!E23,tbSkills!DH3:DI6,2,FALSE)+IF(AND(Calculator!B8=TRUE,Backdoors!BI13=TRUE),VLOOKUP(Calculator!E23,tbSkills!DH3:DJ6,3,FALSE),0),0))&gt;=100,100,(Backdoors!AI12+IF(BT73&gt;=0.45,VLOOKUP(Calculator!E23,tbSkills!DH3:DI6,2,FALSE)+IF(AND(Calculator!B8=TRUE,Backdoors!BI13=TRUE),VLOOKUP(Calculator!E23,tbSkills!DH3:DJ6,3,FALSE),0),0)))/100)),(1-(0.25*((-Backdoors!AI12-IF(BT73&gt;=0.45,VLOOKUP(Calculator!E23,tbSkills!DH3:DI6,2,FALSE)+IF(AND(Calculator!B8=TRUE,Backdoors!BI13=TRUE),VLOOKUP(Calculator!E23,tbSkills!DH3:DJ6,3,FALSE),0),0))/100)))),1),"")</f>
        <v>1</v>
      </c>
      <c r="BW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T73)*BV73)*(VLOOKUP(A73,tbMoveset!A2:C112,3,FALSE)/100)*IF(VLOOKUP(A73,tbMoveset!A2:B112,2,FALSE)="Projectile",Backdoors!N10,Backdoors!N9),0),"")</f>
        <v/>
      </c>
      <c r="BX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T73&gt;=0.45,VLOOKUP(Calculator!E23,tbSkills!DH3:DI6,2,FALSE)+IF(AND(Calculator!B8=TRUE,Backdoors!BI13=TRUE),VLOOKUP(Calculator!E23,tbSkills!DH3:DJ6,3,FALSE),0),0))&gt;=100,100,(Backdoors!AI12+IF(BT73&gt;=0.45,VLOOKUP(Calculator!E23,tbSkills!DH3:DI6,2,FALSE)+IF(AND(Calculator!B8=TRUE,Backdoors!BI13=TRUE),VLOOKUP(Calculator!E23,tbSkills!DH3:DJ6,3,FALSE),0),0)))/100)),1))*IF(VLOOKUP(A73,tbMoveset!A2:K112,11,FALSE)=TRUE,Backdoors!AC5,1))*BU73,0),"")</f>
        <v>0</v>
      </c>
      <c r="BY73" s="49">
        <f>VLOOKUP(A73,tbMoveset!A2:G112,7,FALSE)*IFERROR(IF(Backdoors!AI12&gt;=0,1+(IF(Calculator!E40&gt;0,VLOOKUP(Calculator!E40,tbSkills!AI3:AJ5,2,FALSE),Backdoors!AL4)*(IF((Backdoors!AI12+IF(BT73&gt;=0.45,VLOOKUP(Calculator!E23,tbSkills!DH3:DI6,2,FALSE)+IF(AND(Calculator!B8=TRUE,Backdoors!BI13=TRUE),VLOOKUP(Calculator!E23,tbSkills!DH3:DJ6,3,FALSE),0),0))&gt;=100,100,(Backdoors!AI12+IF(BT73&gt;=0.45,VLOOKUP(Calculator!E23,tbSkills!DH3:DI6,2,FALSE)+IF(AND(Calculator!B8=TRUE,Backdoors!BI13=TRUE),VLOOKUP(Calculator!E23,tbSkills!DH3:DJ6,3,FALSE),0),0)))/100)),1),1)</f>
        <v>0.6</v>
      </c>
      <c r="BZ73" s="87">
        <f t="shared" si="61"/>
        <v>0</v>
      </c>
      <c r="CA73" s="86" t="str">
        <f>IFERROR(IF(VLOOKUP(A73,tbMoveset!A2:B112,2,FALSE)="Sever",Backdoors!AY14/100,IF(VLOOKUP(A73,tbMoveset!A2:B112,2,FALSE)="Blunt",Backdoors!AZ14/100,Backdoors!BA14/100)),"")</f>
        <v/>
      </c>
      <c r="CB73" s="49">
        <f>IFERROR(IF(VLOOKUP(tbMoveset!A73,tbMoveset!A2:H112,8,FALSE)="Other",IF(VLOOKUP(tbMoveset!A73,tbMoveset!A2:I112,9,FALSE)="Fire",Backdoors!BB14,IF(VLOOKUP(tbMoveset!A73,tbMoveset!A2:I112,9,FALSE)="Water",Backdoors!BC14,IF(VLOOKUP(tbMoveset!A73,tbMoveset!A2:I112,9,FALSE)="Thunder",Backdoors!BD14,IF(VLOOKUP(tbMoveset!A73,tbMoveset!A2:I112,9,FALSE)="Ice",Backdoors!BE14,IF(VLOOKUP(tbMoveset!A73,tbMoveset!A2:I112,9,FALSE)="Dragon",Backdoors!BF14,Backdoors!BG14)))))/100,Backdoors!BG14/100),"")</f>
        <v>0</v>
      </c>
      <c r="CC73" s="49">
        <f>IFERROR(IF(VLOOKUP(A73,tbMoveset!A2:J112,10,FALSE)=TRUE,IF((Backdoors!AI12+IF(CA73&gt;=0.45,VLOOKUP(Calculator!E23,tbSkills!DH3:DI6,2,FALSE)+IF(AND(Calculator!B8=TRUE,Backdoors!BI14=TRUE),VLOOKUP(Calculator!E23,tbSkills!DH3:DJ6,3,FALSE),0),0))&gt;=0,1+(Backdoors!AL2*(IF((Backdoors!AI12+IF(CA73&gt;=0.45,VLOOKUP(Calculator!E23,tbSkills!DH3:DI6,2,FALSE)+IF(AND(Calculator!B8=TRUE,Backdoors!BI14=TRUE),VLOOKUP(Calculator!E23,tbSkills!DH3:DJ6,3,FALSE),0),0))&gt;=100,100,(Backdoors!AI12+IF(CA73&gt;=0.45,VLOOKUP(Calculator!E23,tbSkills!DH3:DI6,2,FALSE)+IF(AND(Calculator!B8=TRUE,Backdoors!BI14=TRUE),VLOOKUP(Calculator!E23,tbSkills!DH3:DJ6,3,FALSE),0),0)))/100)),(1-(0.25*((-Backdoors!AI12-IF(CA73&gt;=0.45,VLOOKUP(Calculator!E23,tbSkills!DH3:DI6,2,FALSE)+IF(AND(Calculator!B8=TRUE,Backdoors!BI14=TRUE),VLOOKUP(Calculator!E23,tbSkills!DH3:DJ6,3,FALSE),0),0))/100)))),1),"")</f>
        <v>1</v>
      </c>
      <c r="CD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A73)*CC73)*(VLOOKUP(A73,tbMoveset!A2:C112,3,FALSE)/100)*IF(VLOOKUP(A73,tbMoveset!A2:B112,2,FALSE)="Projectile",Backdoors!N10,Backdoors!N9),0),"")</f>
        <v/>
      </c>
      <c r="CE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A73&gt;=0.45,VLOOKUP(Calculator!E23,tbSkills!DH3:DI6,2,FALSE)+IF(AND(Calculator!B8=TRUE,Backdoors!BI14=TRUE),VLOOKUP(Calculator!E23,tbSkills!DH3:DJ6,3,FALSE),0),0))&gt;=100,100,(Backdoors!AI12+IF(CA73&gt;=0.45,VLOOKUP(Calculator!E23,tbSkills!DH3:DI6,2,FALSE)+IF(AND(Calculator!B8=TRUE,Backdoors!BI14=TRUE),VLOOKUP(Calculator!E23,tbSkills!DH3:DJ6,3,FALSE),0),0)))/100)),1))*IF(VLOOKUP(A73,tbMoveset!A2:K112,11,FALSE)=TRUE,Backdoors!AC5,1))*CB73,0),"")</f>
        <v>0</v>
      </c>
      <c r="CF73" s="49">
        <f>VLOOKUP(A73,tbMoveset!A2:G112,7,FALSE)*IFERROR(IF(Backdoors!AI12&gt;=0,1+(IF(Calculator!E40&gt;0,VLOOKUP(Calculator!E40,tbSkills!AI3:AJ5,2,FALSE),Backdoors!AL4)*(IF((Backdoors!AI12+IF(CA73&gt;=0.45,VLOOKUP(Calculator!E23,tbSkills!DH3:DI6,2,FALSE)+IF(AND(Calculator!B8=TRUE,Backdoors!BI14=TRUE),VLOOKUP(Calculator!E23,tbSkills!DH3:DJ6,3,FALSE),0),0))&gt;=100,100,(Backdoors!AI12+IF(CA73&gt;=0.45,VLOOKUP(Calculator!E23,tbSkills!DH3:DI6,2,FALSE)+IF(AND(Calculator!B8=TRUE,Backdoors!BI14=TRUE),VLOOKUP(Calculator!E23,tbSkills!DH3:DJ6,3,FALSE),0),0)))/100)),1),1)</f>
        <v>0.6</v>
      </c>
      <c r="CG73" s="87">
        <f t="shared" si="62"/>
        <v>0</v>
      </c>
      <c r="CH73" s="86" t="str">
        <f>IFERROR(IF(VLOOKUP(A73,tbMoveset!A2:B112,2,FALSE)="Sever",Backdoors!AY15/100,IF(VLOOKUP(A73,tbMoveset!A2:B112,2,FALSE)="Blunt",Backdoors!AZ15/100,Backdoors!BA15/100)),"")</f>
        <v/>
      </c>
      <c r="CI73" s="49">
        <f>IFERROR(IF(VLOOKUP(tbMoveset!A73,tbMoveset!A2:H112,8,FALSE)="Other",IF(VLOOKUP(tbMoveset!A73,tbMoveset!A2:I112,9,FALSE)="Fire",Backdoors!BB15,IF(VLOOKUP(tbMoveset!A73,tbMoveset!A2:I112,9,FALSE)="Water",Backdoors!BC15,IF(VLOOKUP(tbMoveset!A73,tbMoveset!A2:I112,9,FALSE)="Thunder",Backdoors!BD15,IF(VLOOKUP(tbMoveset!A73,tbMoveset!A2:I112,9,FALSE)="Ice",Backdoors!BE15,IF(VLOOKUP(tbMoveset!A73,tbMoveset!A2:I112,9,FALSE)="Dragon",Backdoors!BF15,Backdoors!BG15)))))/100,Backdoors!BG15/100),"")</f>
        <v>0</v>
      </c>
      <c r="CJ73" s="49">
        <f>IFERROR(IF(VLOOKUP(A73,tbMoveset!A2:J112,10,FALSE)=TRUE,IF((Backdoors!AI12+IF(CH73&gt;=0.45,VLOOKUP(Calculator!E23,tbSkills!DH3:DI6,2,FALSE)+IF(AND(Calculator!B8=TRUE,Backdoors!BI15=TRUE),VLOOKUP(Calculator!E23,tbSkills!DH3:DJ6,3,FALSE),0),0))&gt;=0,1+(Backdoors!AL2*(IF((Backdoors!AI12+IF(CH73&gt;=0.45,VLOOKUP(Calculator!E23,tbSkills!DH3:DI6,2,FALSE)+IF(AND(Calculator!B8=TRUE,Backdoors!BI15=TRUE),VLOOKUP(Calculator!E23,tbSkills!DH3:DJ6,3,FALSE),0),0))&gt;=100,100,(Backdoors!AI12+IF(CH73&gt;=0.45,VLOOKUP(Calculator!E23,tbSkills!DH3:DI6,2,FALSE)+IF(AND(Calculator!B8=TRUE,Backdoors!BI15=TRUE),VLOOKUP(Calculator!E23,tbSkills!DH3:DJ6,3,FALSE),0),0)))/100)),(1-(0.25*((-Backdoors!AI12-IF(CH73&gt;=0.45,VLOOKUP(Calculator!E23,tbSkills!DH3:DI6,2,FALSE)+IF(AND(Calculator!B8=TRUE,Backdoors!BI15=TRUE),VLOOKUP(Calculator!E23,tbSkills!DH3:DJ6,3,FALSE),0),0))/100)))),1),"")</f>
        <v>1</v>
      </c>
      <c r="CK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H73)*CJ73)*(VLOOKUP(A73,tbMoveset!A2:C112,3,FALSE)/100)*IF(VLOOKUP(A73,tbMoveset!A2:B112,2,FALSE)="Projectile",Backdoors!N10,Backdoors!N9),0),"")</f>
        <v/>
      </c>
      <c r="CL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H73&gt;=0.45,VLOOKUP(Calculator!E23,tbSkills!DH3:DI6,2,FALSE)+IF(AND(Calculator!B8=TRUE,Backdoors!BI15=TRUE),VLOOKUP(Calculator!E23,tbSkills!DH3:DJ6,3,FALSE),0),0))&gt;=100,100,(Backdoors!AI12+IF(CH73&gt;=0.45,VLOOKUP(Calculator!E23,tbSkills!DH3:DI6,2,FALSE)+IF(AND(Calculator!B8=TRUE,Backdoors!BI15=TRUE),VLOOKUP(Calculator!E23,tbSkills!DH3:DJ6,3,FALSE),0),0)))/100)),1))*IF(VLOOKUP(A73,tbMoveset!A2:K112,11,FALSE)=TRUE,Backdoors!AC5,1))*CI73,0),"")</f>
        <v>0</v>
      </c>
      <c r="CM73" s="49">
        <f>VLOOKUP(A73,tbMoveset!A2:G112,7,FALSE)*IFERROR(IF(Backdoors!AI12&gt;=0,1+(IF(Calculator!E40&gt;0,VLOOKUP(Calculator!E40,tbSkills!AI3:AJ5,2,FALSE),Backdoors!AL4)*(IF((Backdoors!AI12+IF(CH73&gt;=0.45,VLOOKUP(Calculator!E23,tbSkills!DH3:DI6,2,FALSE)+IF(AND(Calculator!B8=TRUE,Backdoors!BI15=TRUE),VLOOKUP(Calculator!E23,tbSkills!DH3:DJ6,3,FALSE),0),0))&gt;=100,100,(Backdoors!AI12+IF(CH73&gt;=0.45,VLOOKUP(Calculator!E23,tbSkills!DH3:DI6,2,FALSE)+IF(AND(Calculator!B8=TRUE,Backdoors!BI15=TRUE),VLOOKUP(Calculator!E23,tbSkills!DH3:DJ6,3,FALSE),0),0)))/100)),1),1)</f>
        <v>0.6</v>
      </c>
      <c r="CN73" s="87">
        <f t="shared" si="63"/>
        <v>0</v>
      </c>
      <c r="CO73" s="86" t="str">
        <f>IFERROR(IF(VLOOKUP(A73,tbMoveset!A2:B112,2,FALSE)="Sever",Backdoors!AY16/100,IF(VLOOKUP(A73,tbMoveset!A2:B112,2,FALSE)="Blunt",Backdoors!AZ16/100,Backdoors!BA16/100)),"")</f>
        <v/>
      </c>
      <c r="CP73" s="49">
        <f>IFERROR(IF(VLOOKUP(tbMoveset!A73,tbMoveset!A2:H112,8,FALSE)="Other",IF(VLOOKUP(tbMoveset!A73,tbMoveset!A2:I112,9,FALSE)="Fire",Backdoors!BB16,IF(VLOOKUP(tbMoveset!A73,tbMoveset!A2:I112,9,FALSE)="Water",Backdoors!BC16,IF(VLOOKUP(tbMoveset!A73,tbMoveset!A2:I112,9,FALSE)="Thunder",Backdoors!BD16,IF(VLOOKUP(tbMoveset!A73,tbMoveset!A2:I112,9,FALSE)="Ice",Backdoors!BE16,IF(VLOOKUP(tbMoveset!A73,tbMoveset!A2:I112,9,FALSE)="Dragon",Backdoors!BF16,Backdoors!BG16)))))/100,Backdoors!BG16/100),"")</f>
        <v>0</v>
      </c>
      <c r="CQ73" s="49">
        <f>IFERROR(IF(VLOOKUP(A73,tbMoveset!A2:J112,10,FALSE)=TRUE,IF((Backdoors!AI12+IF(CO73&gt;=0.45,VLOOKUP(Calculator!E23,tbSkills!DH3:DI6,2,FALSE)+IF(AND(Calculator!B8=TRUE,Backdoors!BI16=TRUE),VLOOKUP(Calculator!E23,tbSkills!DH3:DJ6,3,FALSE),0),0))&gt;=0,1+(Backdoors!AL2*(IF((Backdoors!AI12+IF(CO73&gt;=0.45,VLOOKUP(Calculator!E23,tbSkills!DH3:DI6,2,FALSE)+IF(AND(Calculator!B8=TRUE,Backdoors!BI16=TRUE),VLOOKUP(Calculator!E23,tbSkills!DH3:DJ6,3,FALSE),0),0))&gt;=100,100,(Backdoors!AI12+IF(CO73&gt;=0.45,VLOOKUP(Calculator!E23,tbSkills!DH3:DI6,2,FALSE)+IF(AND(Calculator!B8=TRUE,Backdoors!BI16=TRUE),VLOOKUP(Calculator!E23,tbSkills!DH3:DJ6,3,FALSE),0),0)))/100)),(1-(0.25*((-Backdoors!AI12-IF(CO73&gt;=0.45,VLOOKUP(Calculator!E23,tbSkills!DH3:DI6,2,FALSE)+IF(AND(Calculator!B8=TRUE,Backdoors!BI16=TRUE),VLOOKUP(Calculator!E23,tbSkills!DH3:DJ6,3,FALSE),0),0))/100)))),1),"")</f>
        <v>1</v>
      </c>
      <c r="CR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O73)*CQ73)*(VLOOKUP(A73,tbMoveset!A2:C112,3,FALSE)/100)*IF(VLOOKUP(A73,tbMoveset!A2:B112,2,FALSE)="Projectile",Backdoors!N10,Backdoors!N9),0),"")</f>
        <v/>
      </c>
      <c r="CS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O73&gt;=0.45,VLOOKUP(Calculator!E23,tbSkills!DH3:DI6,2,FALSE)+IF(AND(Calculator!B8=TRUE,Backdoors!BI16=TRUE),VLOOKUP(Calculator!E23,tbSkills!DH3:DJ6,3,FALSE),0),0))&gt;=100,100,(Backdoors!AI12+IF(CO73&gt;=0.45,VLOOKUP(Calculator!E23,tbSkills!DH3:DI6,2,FALSE)+IF(AND(Calculator!B8=TRUE,Backdoors!BI16=TRUE),VLOOKUP(Calculator!E23,tbSkills!DH3:DJ6,3,FALSE),0),0)))/100)),1))*IF(VLOOKUP(A73,tbMoveset!A2:K112,11,FALSE)=TRUE,Backdoors!AC5,1))*CP73,0),"")</f>
        <v>0</v>
      </c>
      <c r="CT73" s="49">
        <f>VLOOKUP(A73,tbMoveset!A2:G112,7,FALSE)*IFERROR(IF(Backdoors!AI12&gt;=0,1+(IF(Calculator!E40&gt;0,VLOOKUP(Calculator!E40,tbSkills!AI3:AJ5,2,FALSE),Backdoors!AL4)*(IF((Backdoors!AI12+IF(CO73&gt;=0.45,VLOOKUP(Calculator!E23,tbSkills!DH3:DI6,2,FALSE)+IF(AND(Calculator!B8=TRUE,Backdoors!BI16=TRUE),VLOOKUP(Calculator!E23,tbSkills!DH3:DJ6,3,FALSE),0),0))&gt;=100,100,(Backdoors!AI12+IF(CO73&gt;=0.45,VLOOKUP(Calculator!E23,tbSkills!DH3:DI6,2,FALSE)+IF(AND(Calculator!B8=TRUE,Backdoors!BI16=TRUE),VLOOKUP(Calculator!E23,tbSkills!DH3:DJ6,3,FALSE),0),0)))/100)),1),1)</f>
        <v>0.6</v>
      </c>
      <c r="CU73" s="87">
        <f t="shared" si="64"/>
        <v>0</v>
      </c>
      <c r="CV73" s="86" t="str">
        <f>IFERROR(IF(VLOOKUP(A73,tbMoveset!A2:B112,2,FALSE)="Sever",Backdoors!AY17/100,IF(VLOOKUP(A73,tbMoveset!A2:B112,2,FALSE)="Blunt",Backdoors!AZ17/100,Backdoors!BA17/100)),"")</f>
        <v/>
      </c>
      <c r="CW73" s="49">
        <f>IFERROR(IF(VLOOKUP(tbMoveset!A73,tbMoveset!A2:H112,8,FALSE)="Other",IF(VLOOKUP(tbMoveset!A73,tbMoveset!A2:I112,9,FALSE)="Fire",Backdoors!BB17,IF(VLOOKUP(tbMoveset!A73,tbMoveset!A2:I112,9,FALSE)="Water",Backdoors!BC17,IF(VLOOKUP(tbMoveset!A73,tbMoveset!A2:I112,9,FALSE)="Thunder",Backdoors!BD17,IF(VLOOKUP(tbMoveset!A73,tbMoveset!A2:I112,9,FALSE)="Ice",Backdoors!BE17,IF(VLOOKUP(tbMoveset!A73,tbMoveset!A2:I112,9,FALSE)="Dragon",Backdoors!BF17,Backdoors!BG17)))))/100,Backdoors!BG17/100),"")</f>
        <v>0</v>
      </c>
      <c r="CX73" s="49">
        <f>IFERROR(IF(VLOOKUP(A73,tbMoveset!A2:J112,10,FALSE)=TRUE,IF((Backdoors!AI12+IF(CV73&gt;=0.45,VLOOKUP(Calculator!E23,tbSkills!DH3:DI6,2,FALSE)+IF(AND(Calculator!B8=TRUE,Backdoors!BI17=TRUE),VLOOKUP(Calculator!E23,tbSkills!DH3:DJ6,3,FALSE),0),0))&gt;=0,1+(Backdoors!AL2*(IF((Backdoors!AI12+IF(CV73&gt;=0.45,VLOOKUP(Calculator!E23,tbSkills!DH3:DI6,2,FALSE)+IF(AND(Calculator!B8=TRUE,Backdoors!BI17=TRUE),VLOOKUP(Calculator!E23,tbSkills!DH3:DJ6,3,FALSE),0),0))&gt;=100,100,(Backdoors!AI12+IF(CV73&gt;=0.45,VLOOKUP(Calculator!E23,tbSkills!DH3:DI6,2,FALSE)+IF(AND(Calculator!B8=TRUE,Backdoors!BI17=TRUE),VLOOKUP(Calculator!E23,tbSkills!DH3:DJ6,3,FALSE),0),0)))/100)),(1-(0.25*((-Backdoors!AI12-IF(CV73&gt;=0.45,VLOOKUP(Calculator!E23,tbSkills!DH3:DI6,2,FALSE)+IF(AND(Calculator!B8=TRUE,Backdoors!BI17=TRUE),VLOOKUP(Calculator!E23,tbSkills!DH3:DJ6,3,FALSE),0),0))/100)))),1),"")</f>
        <v>1</v>
      </c>
      <c r="CY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V73)*CX73)*(VLOOKUP(A73,tbMoveset!A2:C112,3,FALSE)/100)*IF(VLOOKUP(A73,tbMoveset!A2:B112,2,FALSE)="Projectile",Backdoors!N10,Backdoors!N9),0),"")</f>
        <v/>
      </c>
      <c r="CZ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V73&gt;=0.45,VLOOKUP(Calculator!E23,tbSkills!DH3:DI6,2,FALSE)+IF(AND(Calculator!B8=TRUE,Backdoors!BI17=TRUE),VLOOKUP(Calculator!E23,tbSkills!DH3:DJ6,3,FALSE),0),0))&gt;=100,100,(Backdoors!AI12+IF(CV73&gt;=0.45,VLOOKUP(Calculator!E23,tbSkills!DH3:DI6,2,FALSE)+IF(AND(Calculator!B8=TRUE,Backdoors!BI17=TRUE),VLOOKUP(Calculator!E23,tbSkills!DH3:DJ6,3,FALSE),0),0)))/100)),1))*IF(VLOOKUP(A73,tbMoveset!A2:K112,11,FALSE)=TRUE,Backdoors!AC5,1))*CW73,0),"")</f>
        <v>0</v>
      </c>
      <c r="DA73" s="49">
        <f>VLOOKUP(A73,tbMoveset!A2:G112,7,FALSE)*IFERROR(IF(Backdoors!AI12&gt;=0,1+(IF(Calculator!E40&gt;0,VLOOKUP(Calculator!E40,tbSkills!AI3:AJ5,2,FALSE),Backdoors!AL4)*(IF((Backdoors!AI12+IF(CV73&gt;=0.45,VLOOKUP(Calculator!E23,tbSkills!DH3:DI6,2,FALSE)+IF(AND(Calculator!B8=TRUE,Backdoors!BI17=TRUE),VLOOKUP(Calculator!E23,tbSkills!DH3:DJ6,3,FALSE),0),0))&gt;=100,100,(Backdoors!AI12+IF(CV73&gt;=0.45,VLOOKUP(Calculator!E23,tbSkills!DH3:DI6,2,FALSE)+IF(AND(Calculator!B8=TRUE,Backdoors!BI17=TRUE),VLOOKUP(Calculator!E23,tbSkills!DH3:DJ6,3,FALSE),0),0)))/100)),1),1)</f>
        <v>0.6</v>
      </c>
      <c r="DB73" s="87">
        <f t="shared" si="65"/>
        <v>0</v>
      </c>
      <c r="DC73" s="86" t="str">
        <f>IFERROR(IF(VLOOKUP(A73,tbMoveset!A2:B112,2,FALSE)="Sever",Backdoors!AY18/100,IF(VLOOKUP(A73,tbMoveset!A2:B112,2,FALSE)="Blunt",Backdoors!AZ18/100,Backdoors!BA18/100)),"")</f>
        <v/>
      </c>
      <c r="DD73" s="49">
        <f>IFERROR(IF(VLOOKUP(tbMoveset!A73,tbMoveset!A2:H112,8,FALSE)="Other",IF(VLOOKUP(tbMoveset!A73,tbMoveset!A2:I112,9,FALSE)="Fire",Backdoors!BB18,IF(VLOOKUP(tbMoveset!A73,tbMoveset!A2:I112,9,FALSE)="Water",Backdoors!BC18,IF(VLOOKUP(tbMoveset!A73,tbMoveset!A2:I112,9,FALSE)="Thunder",Backdoors!BD18,IF(VLOOKUP(tbMoveset!A73,tbMoveset!A2:I112,9,FALSE)="Ice",Backdoors!BE18,IF(VLOOKUP(tbMoveset!A73,tbMoveset!A2:I112,9,FALSE)="Dragon",Backdoors!BF18,Backdoors!BG18)))))/100,Backdoors!BG18/100),"")</f>
        <v>0</v>
      </c>
      <c r="DE73" s="49">
        <f>IFERROR(IF(VLOOKUP(A73,tbMoveset!A2:J112,10,FALSE)=TRUE,IF((Backdoors!AI12+IF(DC73&gt;=0.45,VLOOKUP(Calculator!E23,tbSkills!DH3:DI6,2,FALSE)+IF(AND(Calculator!B8=TRUE,Backdoors!BI18=TRUE),VLOOKUP(Calculator!E23,tbSkills!DH3:DJ6,3,FALSE),0),0))&gt;=0,1+(Backdoors!AL2*(IF((Backdoors!AI12+IF(DC73&gt;=0.45,VLOOKUP(Calculator!E23,tbSkills!DH3:DI6,2,FALSE)+IF(AND(Calculator!B8=TRUE,Backdoors!BI18=TRUE),VLOOKUP(Calculator!E23,tbSkills!DH3:DJ6,3,FALSE),0),0))&gt;=100,100,(Backdoors!AI12+IF(DC73&gt;=0.45,VLOOKUP(Calculator!E23,tbSkills!DH3:DI6,2,FALSE)+IF(AND(Calculator!B8=TRUE,Backdoors!BI18=TRUE),VLOOKUP(Calculator!E23,tbSkills!DH3:DJ6,3,FALSE),0),0)))/100)),(1-(0.25*((-Backdoors!AI12-IF(DC73&gt;=0.45,VLOOKUP(Calculator!E23,tbSkills!DH3:DI6,2,FALSE)+IF(AND(Calculator!B8=TRUE,Backdoors!BI18=TRUE),VLOOKUP(Calculator!E23,tbSkills!DH3:DJ6,3,FALSE),0),0))/100)))),1),"")</f>
        <v>1</v>
      </c>
      <c r="DF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C73)*DE73)*(VLOOKUP(A73,tbMoveset!A2:C112,3,FALSE)/100)*IF(VLOOKUP(A73,tbMoveset!A2:B112,2,FALSE)="Projectile",Backdoors!N10,Backdoors!N9),0),"")</f>
        <v/>
      </c>
      <c r="DG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C73&gt;=0.45,VLOOKUP(Calculator!E23,tbSkills!DH3:DI6,2,FALSE)+IF(AND(Calculator!B8=TRUE,Backdoors!BI18=TRUE),VLOOKUP(Calculator!E23,tbSkills!DH3:DJ6,3,FALSE),0),0))&gt;=100,100,(Backdoors!AI12+IF(DC73&gt;=0.45,VLOOKUP(Calculator!E23,tbSkills!DH3:DI6,2,FALSE)+IF(AND(Calculator!B8=TRUE,Backdoors!BI18=TRUE),VLOOKUP(Calculator!E23,tbSkills!DH3:DJ6,3,FALSE),0),0)))/100)),1))*IF(VLOOKUP(A73,tbMoveset!A2:K112,11,FALSE)=TRUE,Backdoors!AC5,1))*DD73,0),"")</f>
        <v>0</v>
      </c>
      <c r="DH73" s="49">
        <f>VLOOKUP(A73,tbMoveset!A2:G112,7,FALSE)*IFERROR(IF(Backdoors!AI12&gt;=0,1+(IF(Calculator!E40&gt;0,VLOOKUP(Calculator!E40,tbSkills!AI3:AJ5,2,FALSE),Backdoors!AL4)*(IF((Backdoors!AI12+IF(DC73&gt;=0.45,VLOOKUP(Calculator!E23,tbSkills!DH3:DI6,2,FALSE)+IF(AND(Calculator!B8=TRUE,Backdoors!BI18=TRUE),VLOOKUP(Calculator!E23,tbSkills!DH3:DJ6,3,FALSE),0),0))&gt;=100,100,(Backdoors!AI12+IF(DC73&gt;=0.45,VLOOKUP(Calculator!E23,tbSkills!DH3:DI6,2,FALSE)+IF(AND(Calculator!B8=TRUE,Backdoors!BI18=TRUE),VLOOKUP(Calculator!E23,tbSkills!DH3:DJ6,3,FALSE),0),0)))/100)),1),1)</f>
        <v>0.6</v>
      </c>
      <c r="DI73" s="87">
        <f t="shared" si="66"/>
        <v>0</v>
      </c>
      <c r="DJ73" s="86" t="str">
        <f>IFERROR(IF(VLOOKUP(A73,tbMoveset!A2:B112,2,FALSE)="Sever",Backdoors!AY19/100,IF(VLOOKUP(A73,tbMoveset!A2:B112,2,FALSE)="Blunt",Backdoors!AZ19/100,Backdoors!BA19/100)),"")</f>
        <v/>
      </c>
      <c r="DK73" s="49">
        <f>IFERROR(IF(VLOOKUP(tbMoveset!A73,tbMoveset!A2:H112,8,FALSE)="Other",IF(VLOOKUP(tbMoveset!A73,tbMoveset!A2:I112,9,FALSE)="Fire",Backdoors!BB19,IF(VLOOKUP(tbMoveset!A73,tbMoveset!A2:I112,9,FALSE)="Water",Backdoors!BC19,IF(VLOOKUP(tbMoveset!A73,tbMoveset!A2:I112,9,FALSE)="Thunder",Backdoors!BD19,IF(VLOOKUP(tbMoveset!A73,tbMoveset!A2:I112,9,FALSE)="Ice",Backdoors!BE19,IF(VLOOKUP(tbMoveset!A73,tbMoveset!A2:I112,9,FALSE)="Dragon",Backdoors!BF19,Backdoors!BG19)))))/100,Backdoors!BG19/100),"")</f>
        <v>0</v>
      </c>
      <c r="DL73" s="49">
        <f>IFERROR(IF(VLOOKUP(A73,tbMoveset!A2:J112,10,FALSE)=TRUE,IF((Backdoors!AI12+IF(DJ73&gt;=0.45,VLOOKUP(Calculator!E23,tbSkills!DH3:DI6,2,FALSE)+IF(AND(Calculator!B8=TRUE,Backdoors!BI19=TRUE),VLOOKUP(Calculator!E23,tbSkills!DH3:DJ6,3,FALSE),0),0))&gt;=0,1+(Backdoors!AL2*(IF((Backdoors!AI12+IF(DJ73&gt;=0.45,VLOOKUP(Calculator!E23,tbSkills!DH3:DI6,2,FALSE)+IF(AND(Calculator!B8=TRUE,Backdoors!BI19=TRUE),VLOOKUP(Calculator!E23,tbSkills!DH3:DJ6,3,FALSE),0),0))&gt;=100,100,(Backdoors!AI12+IF(DJ73&gt;=0.45,VLOOKUP(Calculator!E23,tbSkills!DH3:DI6,2,FALSE)+IF(AND(Calculator!B8=TRUE,Backdoors!BI19=TRUE),VLOOKUP(Calculator!E23,tbSkills!DH3:DJ6,3,FALSE),0),0)))/100)),(1-(0.25*((-Backdoors!AI12-IF(DJ73&gt;=0.45,VLOOKUP(Calculator!E23,tbSkills!DH3:DI6,2,FALSE)+IF(AND(Calculator!B8=TRUE,Backdoors!BI19=TRUE),VLOOKUP(Calculator!E23,tbSkills!DH3:DJ6,3,FALSE),0),0))/100)))),1),"")</f>
        <v>1</v>
      </c>
      <c r="DM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J73)*DL73)*(VLOOKUP(A73,tbMoveset!A2:C112,3,FALSE)/100)*IF(VLOOKUP(A73,tbMoveset!A2:B112,2,FALSE)="Projectile",Backdoors!N10,Backdoors!N9),0),"")</f>
        <v/>
      </c>
      <c r="DN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J73&gt;=0.45,VLOOKUP(Calculator!E23,tbSkills!DH3:DI6,2,FALSE)+IF(AND(Calculator!B8=TRUE,Backdoors!BI19=TRUE),VLOOKUP(Calculator!E23,tbSkills!DH3:DJ6,3,FALSE),0),0))&gt;=100,100,(Backdoors!AI12+IF(DJ73&gt;=0.45,VLOOKUP(Calculator!E23,tbSkills!DH3:DI6,2,FALSE)+IF(AND(Calculator!B8=TRUE,Backdoors!BI19=TRUE),VLOOKUP(Calculator!E23,tbSkills!DH3:DJ6,3,FALSE),0),0)))/100)),1))*IF(VLOOKUP(A73,tbMoveset!A2:K112,11,FALSE)=TRUE,Backdoors!AC5,1))*DK73,0),"")</f>
        <v>0</v>
      </c>
      <c r="DO73" s="49">
        <f>VLOOKUP(A73,tbMoveset!A2:G112,7,FALSE)*IFERROR(IF(Backdoors!AI12&gt;=0,1+(IF(Calculator!E40&gt;0,VLOOKUP(Calculator!E40,tbSkills!AI3:AJ5,2,FALSE),Backdoors!AL4)*(IF((Backdoors!AI12+IF(DJ73&gt;=0.45,VLOOKUP(Calculator!E23,tbSkills!DH3:DI6,2,FALSE)+IF(AND(Calculator!B8=TRUE,Backdoors!BI19=TRUE),VLOOKUP(Calculator!E23,tbSkills!DH3:DJ6,3,FALSE),0),0))&gt;=100,100,(Backdoors!AI12+IF(DJ73&gt;=0.45,VLOOKUP(Calculator!E23,tbSkills!DH3:DI6,2,FALSE)+IF(AND(Calculator!B8=TRUE,Backdoors!BI19=TRUE),VLOOKUP(Calculator!E23,tbSkills!DH3:DJ6,3,FALSE),0),0)))/100)),1),1)</f>
        <v>0.6</v>
      </c>
      <c r="DP73" s="87">
        <f t="shared" si="67"/>
        <v>0</v>
      </c>
      <c r="DQ73" s="86" t="str">
        <f>IFERROR(IF(VLOOKUP(A73,tbMoveset!A2:B112,2,FALSE)="Sever",Backdoors!AY20/100,IF(VLOOKUP(A73,tbMoveset!A2:B112,2,FALSE)="Blunt",Backdoors!AZ20/100,Backdoors!BA20/100)),"")</f>
        <v/>
      </c>
      <c r="DR73" s="49">
        <f>IFERROR(IF(VLOOKUP(tbMoveset!A73,tbMoveset!A2:H112,8,FALSE)="Other",IF(VLOOKUP(tbMoveset!A73,tbMoveset!A2:I112,9,FALSE)="Fire",Backdoors!BB20,IF(VLOOKUP(tbMoveset!A73,tbMoveset!A2:I112,9,FALSE)="Water",Backdoors!BC20,IF(VLOOKUP(tbMoveset!A73,tbMoveset!A2:I112,9,FALSE)="Thunder",Backdoors!BD20,IF(VLOOKUP(tbMoveset!A73,tbMoveset!A2:I112,9,FALSE)="Ice",Backdoors!BE20,IF(VLOOKUP(tbMoveset!A73,tbMoveset!A2:I112,9,FALSE)="Dragon",Backdoors!BF20,Backdoors!BG20)))))/100,Backdoors!BG20/100),"")</f>
        <v>0</v>
      </c>
      <c r="DS73" s="49">
        <f>IFERROR(IF(VLOOKUP(A73,tbMoveset!A2:J112,10,FALSE)=TRUE,IF((Backdoors!AI12+IF(DQ73&gt;=0.45,VLOOKUP(Calculator!E23,tbSkills!DH3:DI6,2,FALSE)+IF(AND(Calculator!B8=TRUE,Backdoors!BI20=TRUE),VLOOKUP(Calculator!E23,tbSkills!DH3:DJ6,3,FALSE),0),0))&gt;=0,1+(Backdoors!AL2*(IF((Backdoors!AI12+IF(DQ73&gt;=0.45,VLOOKUP(Calculator!E23,tbSkills!DH3:DI6,2,FALSE)+IF(AND(Calculator!B8=TRUE,Backdoors!BI20=TRUE),VLOOKUP(Calculator!E23,tbSkills!DH3:DJ6,3,FALSE),0),0))&gt;=100,100,(Backdoors!AI12+IF(DQ73&gt;=0.45,VLOOKUP(Calculator!E23,tbSkills!DH3:DI6,2,FALSE)+IF(AND(Calculator!B8=TRUE,Backdoors!BI20=TRUE),VLOOKUP(Calculator!E23,tbSkills!DH3:DJ6,3,FALSE),0),0)))/100)),(1-(0.25*((-Backdoors!AI12-IF(DQ73&gt;=0.45,VLOOKUP(Calculator!E23,tbSkills!DH3:DI6,2,FALSE)+IF(AND(Calculator!B8=TRUE,Backdoors!BI20=TRUE),VLOOKUP(Calculator!E23,tbSkills!DH3:DJ6,3,FALSE),0),0))/100)))),1),"")</f>
        <v>1</v>
      </c>
      <c r="DT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Q73)*DS73)*(VLOOKUP(A73,tbMoveset!A2:C112,3,FALSE)/100)*IF(VLOOKUP(A73,tbMoveset!A2:B112,2,FALSE)="Projectile",Backdoors!N10,Backdoors!N9),0),"")</f>
        <v/>
      </c>
      <c r="DU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Q73&gt;=0.45,VLOOKUP(Calculator!E23,tbSkills!DH3:DI6,2,FALSE)+IF(AND(Calculator!B8=TRUE,Backdoors!BI20=TRUE),VLOOKUP(Calculator!E23,tbSkills!DH3:DJ6,3,FALSE),0),0))&gt;=100,100,(Backdoors!AI12+IF(DQ73&gt;=0.45,VLOOKUP(Calculator!E23,tbSkills!DH3:DI6,2,FALSE)+IF(AND(Calculator!B8=TRUE,Backdoors!BI20=TRUE),VLOOKUP(Calculator!E23,tbSkills!DH3:DJ6,3,FALSE),0),0)))/100)),1))*IF(VLOOKUP(A73,tbMoveset!A2:K112,11,FALSE)=TRUE,Backdoors!AC5,1))*DR73,0),"")</f>
        <v>0</v>
      </c>
      <c r="DV73" s="49">
        <f>VLOOKUP(A73,tbMoveset!A2:G112,7,FALSE)*IFERROR(IF(Backdoors!AI12&gt;=0,1+(IF(Calculator!E40&gt;0,VLOOKUP(Calculator!E40,tbSkills!AI3:AJ5,2,FALSE),Backdoors!AL4)*(IF((Backdoors!AI12+IF(DQ73&gt;=0.45,VLOOKUP(Calculator!E23,tbSkills!DH3:DI6,2,FALSE)+IF(AND(Calculator!B8=TRUE,Backdoors!BI20=TRUE),VLOOKUP(Calculator!E23,tbSkills!DH3:DJ6,3,FALSE),0),0))&gt;=100,100,(Backdoors!AI12+IF(DQ73&gt;=0.45,VLOOKUP(Calculator!E23,tbSkills!DH3:DI6,2,FALSE)+IF(AND(Calculator!B8=TRUE,Backdoors!BI20=TRUE),VLOOKUP(Calculator!E23,tbSkills!DH3:DJ6,3,FALSE),0),0)))/100)),1),1)</f>
        <v>0.6</v>
      </c>
      <c r="DW73" s="87">
        <f t="shared" si="68"/>
        <v>0</v>
      </c>
      <c r="DX73" s="86" t="str">
        <f>IFERROR(IF(VLOOKUP(A73,tbMoveset!A2:B112,2,FALSE)="Sever",Backdoors!AY21/100,IF(VLOOKUP(A73,tbMoveset!A2:B112,2,FALSE)="Blunt",Backdoors!AZ21/100,Backdoors!BA21/100)),"")</f>
        <v/>
      </c>
      <c r="DY73" s="49">
        <f>IFERROR(IF(VLOOKUP(tbMoveset!A73,tbMoveset!A2:H112,8,FALSE)="Other",IF(VLOOKUP(tbMoveset!A73,tbMoveset!A2:I112,9,FALSE)="Fire",Backdoors!BB21,IF(VLOOKUP(tbMoveset!A73,tbMoveset!A2:I112,9,FALSE)="Water",Backdoors!BC21,IF(VLOOKUP(tbMoveset!A73,tbMoveset!A2:I112,9,FALSE)="Thunder",Backdoors!BD21,IF(VLOOKUP(tbMoveset!A73,tbMoveset!A2:I112,9,FALSE)="Ice",Backdoors!BE21,IF(VLOOKUP(tbMoveset!A73,tbMoveset!A2:I112,9,FALSE)="Dragon",Backdoors!BF21,Backdoors!BG21)))))/100,Backdoors!BG21/100),"")</f>
        <v>0</v>
      </c>
      <c r="DZ73" s="49">
        <f>IFERROR(IF(VLOOKUP(A73,tbMoveset!A2:J112,10,FALSE)=TRUE,IF((Backdoors!AI12+IF(DX73&gt;=0.45,VLOOKUP(Calculator!E23,tbSkills!DH3:DI6,2,FALSE)+IF(AND(Calculator!B8=TRUE,Backdoors!BI21=TRUE),VLOOKUP(Calculator!E23,tbSkills!DH3:DJ6,3,FALSE),0),0))&gt;=0,1+(Backdoors!AL2*(IF((Backdoors!AI12+IF(DX73&gt;=0.45,VLOOKUP(Calculator!E23,tbSkills!DH3:DI6,2,FALSE)+IF(AND(Calculator!B8=TRUE,Backdoors!BI21=TRUE),VLOOKUP(Calculator!E23,tbSkills!DH3:DJ6,3,FALSE),0),0))&gt;=100,100,(Backdoors!AI12+IF(DX73&gt;=0.45,VLOOKUP(Calculator!E23,tbSkills!DH3:DI6,2,FALSE)+IF(AND(Calculator!B8=TRUE,Backdoors!BI21=TRUE),VLOOKUP(Calculator!E23,tbSkills!DH3:DJ6,3,FALSE),0),0)))/100)),(1-(0.25*((-Backdoors!AI12-IF(DX73&gt;=0.45,VLOOKUP(Calculator!E23,tbSkills!DH3:DI6,2,FALSE)+IF(AND(Calculator!B8=TRUE,Backdoors!BI21=TRUE),VLOOKUP(Calculator!E23,tbSkills!DH3:DJ6,3,FALSE),0),0))/100)))),1),"")</f>
        <v>1</v>
      </c>
      <c r="EA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X73)*DZ73)*(VLOOKUP(A73,tbMoveset!A2:C112,3,FALSE)/100)*IF(VLOOKUP(A73,tbMoveset!A2:B112,2,FALSE)="Projectile",Backdoors!N10,Backdoors!N9),0),"")</f>
        <v/>
      </c>
      <c r="EB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X73&gt;=0.45,VLOOKUP(Calculator!E23,tbSkills!DH3:DI6,2,FALSE)+IF(AND(Calculator!B8=TRUE,Backdoors!BI21=TRUE),VLOOKUP(Calculator!E23,tbSkills!DH3:DJ6,3,FALSE),0),0))&gt;=100,100,(Backdoors!AI12+IF(DX73&gt;=0.45,VLOOKUP(Calculator!E23,tbSkills!DH3:DI6,2,FALSE)+IF(AND(Calculator!B8=TRUE,Backdoors!BI21=TRUE),VLOOKUP(Calculator!E23,tbSkills!DH3:DJ6,3,FALSE),0),0)))/100)),1))*IF(VLOOKUP(A73,tbMoveset!A2:K112,11,FALSE)=TRUE,Backdoors!AC5,1))*DY73,0),"")</f>
        <v>0</v>
      </c>
      <c r="EC73" s="49">
        <f>VLOOKUP(A73,tbMoveset!A2:G112,7,FALSE)*IFERROR(IF(Backdoors!AI12&gt;=0,1+(IF(Calculator!E40&gt;0,VLOOKUP(Calculator!E40,tbSkills!AI3:AJ5,2,FALSE),Backdoors!AL4)*(IF((Backdoors!AI12+IF(DX73&gt;=0.45,VLOOKUP(Calculator!E23,tbSkills!DH3:DI6,2,FALSE)+IF(AND(Calculator!B8=TRUE,Backdoors!BI21=TRUE),VLOOKUP(Calculator!E23,tbSkills!DH3:DJ6,3,FALSE),0),0))&gt;=100,100,(Backdoors!AI12+IF(DX73&gt;=0.45,VLOOKUP(Calculator!E23,tbSkills!DH3:DI6,2,FALSE)+IF(AND(Calculator!B8=TRUE,Backdoors!BI21=TRUE),VLOOKUP(Calculator!E23,tbSkills!DH3:DJ6,3,FALSE),0),0)))/100)),1),1)</f>
        <v>0.6</v>
      </c>
      <c r="ED73" s="87">
        <f t="shared" si="69"/>
        <v>0</v>
      </c>
      <c r="EE73" s="86" t="str">
        <f>IFERROR(IF(VLOOKUP(A73,tbMoveset!A2:B112,2,FALSE)="Sever",Backdoors!AY22/100,IF(VLOOKUP(A73,tbMoveset!A2:B112,2,FALSE)="Blunt",Backdoors!AZ22/100,Backdoors!BA22/100)),"")</f>
        <v/>
      </c>
      <c r="EF73" s="49">
        <f>IFERROR(IF(VLOOKUP(tbMoveset!A73,tbMoveset!A2:H112,8,FALSE)="Other",IF(VLOOKUP(tbMoveset!A73,tbMoveset!A2:I112,9,FALSE)="Fire",Backdoors!BB22,IF(VLOOKUP(tbMoveset!A73,tbMoveset!A2:I112,9,FALSE)="Water",Backdoors!BC22,IF(VLOOKUP(tbMoveset!A73,tbMoveset!A2:I112,9,FALSE)="Thunder",Backdoors!BD22,IF(VLOOKUP(tbMoveset!A73,tbMoveset!A2:I112,9,FALSE)="Ice",Backdoors!BE22,IF(VLOOKUP(tbMoveset!A73,tbMoveset!A2:I112,9,FALSE)="Dragon",Backdoors!BF22,Backdoors!BG22)))))/100,Backdoors!BG22/100),"")</f>
        <v>0</v>
      </c>
      <c r="EG73" s="49">
        <f>IFERROR(IF(VLOOKUP(A73,tbMoveset!A2:J112,10,FALSE)=TRUE,IF((Backdoors!AI12+IF(EE73&gt;=0.45,VLOOKUP(Calculator!E23,tbSkills!DH3:DI6,2,FALSE)+IF(AND(Calculator!B8=TRUE,Backdoors!BI22=TRUE),VLOOKUP(Calculator!E23,tbSkills!DH3:DJ6,3,FALSE),0),0))&gt;=0,1+(Backdoors!AL2*(IF((Backdoors!AI12+IF(EE73&gt;=0.45,VLOOKUP(Calculator!E23,tbSkills!DH3:DI6,2,FALSE)+IF(AND(Calculator!B8=TRUE,Backdoors!BI22=TRUE),VLOOKUP(Calculator!E23,tbSkills!DH3:DJ6,3,FALSE),0),0))&gt;=100,100,(Backdoors!AI12+IF(EE73&gt;=0.45,VLOOKUP(Calculator!E23,tbSkills!DH3:DI6,2,FALSE)+IF(AND(Calculator!B8=TRUE,Backdoors!BI22=TRUE),VLOOKUP(Calculator!E23,tbSkills!DH3:DJ6,3,FALSE),0),0)))/100)),(1-(0.25*((-Backdoors!AI12-IF(EE73&gt;=0.45,VLOOKUP(Calculator!E23,tbSkills!DH3:DI6,2,FALSE)+IF(AND(Calculator!B8=TRUE,Backdoors!BI22=TRUE),VLOOKUP(Calculator!E23,tbSkills!DH3:DJ6,3,FALSE),0),0))/100)))),1),"")</f>
        <v>1</v>
      </c>
      <c r="EH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E73)*EG73)*(VLOOKUP(A73,tbMoveset!A2:C112,3,FALSE)/100)*IF(VLOOKUP(A73,tbMoveset!A2:B112,2,FALSE)="Projectile",Backdoors!N10,Backdoors!N9),0),"")</f>
        <v/>
      </c>
      <c r="EI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E73&gt;=0.45,VLOOKUP(Calculator!E23,tbSkills!DH3:DI6,2,FALSE)+IF(AND(Calculator!B8=TRUE,Backdoors!BI22=TRUE),VLOOKUP(Calculator!E23,tbSkills!DH3:DJ6,3,FALSE),0),0))&gt;=100,100,(Backdoors!AI12+IF(EE73&gt;=0.45,VLOOKUP(Calculator!E23,tbSkills!DH3:DI6,2,FALSE)+IF(AND(Calculator!B8=TRUE,Backdoors!BI22=TRUE),VLOOKUP(Calculator!E23,tbSkills!DH3:DJ6,3,FALSE),0),0)))/100)),1))*IF(VLOOKUP(A73,tbMoveset!A2:K112,11,FALSE)=TRUE,Backdoors!AC5,1))*EF73,0),"")</f>
        <v>0</v>
      </c>
      <c r="EJ73" s="49">
        <f>VLOOKUP(A73,tbMoveset!A2:G112,7,FALSE)*IFERROR(IF(Backdoors!AI12&gt;=0,1+(IF(Calculator!E40&gt;0,VLOOKUP(Calculator!E40,tbSkills!AI3:AJ5,2,FALSE),Backdoors!AL4)*(IF((Backdoors!AI12+IF(EE73&gt;=0.45,VLOOKUP(Calculator!E23,tbSkills!DH3:DI6,2,FALSE)+IF(AND(Calculator!B8=TRUE,Backdoors!BI22=TRUE),VLOOKUP(Calculator!E23,tbSkills!DH3:DJ6,3,FALSE),0),0))&gt;=100,100,(Backdoors!AI12+IF(EE73&gt;=0.45,VLOOKUP(Calculator!E23,tbSkills!DH3:DI6,2,FALSE)+IF(AND(Calculator!B8=TRUE,Backdoors!BI22=TRUE),VLOOKUP(Calculator!E23,tbSkills!DH3:DJ6,3,FALSE),0),0)))/100)),1),1)</f>
        <v>0.6</v>
      </c>
      <c r="EK73" s="87">
        <f t="shared" si="70"/>
        <v>0</v>
      </c>
      <c r="EL73" s="86" t="str">
        <f>IFERROR(IF(VLOOKUP(A73,tbMoveset!A2:B112,2,FALSE)="Sever",Backdoors!AY23/100,IF(VLOOKUP(A73,tbMoveset!A2:B112,2,FALSE)="Blunt",Backdoors!AZ23/100,Backdoors!BA23/100)),"")</f>
        <v/>
      </c>
      <c r="EM73" s="49">
        <f>IFERROR(IF(VLOOKUP(tbMoveset!A73,tbMoveset!A2:H112,8,FALSE)="Other",IF(VLOOKUP(tbMoveset!A73,tbMoveset!A2:I112,9,FALSE)="Fire",Backdoors!BB23,IF(VLOOKUP(tbMoveset!A73,tbMoveset!A2:I112,9,FALSE)="Water",Backdoors!BC23,IF(VLOOKUP(tbMoveset!A73,tbMoveset!A2:I112,9,FALSE)="Thunder",Backdoors!BD23,IF(VLOOKUP(tbMoveset!A73,tbMoveset!A2:I112,9,FALSE)="Ice",Backdoors!BE23,IF(VLOOKUP(tbMoveset!A73,tbMoveset!A2:I112,9,FALSE)="Dragon",Backdoors!BF23,Backdoors!BG23)))))/100,Backdoors!BG23/100),"")</f>
        <v>0</v>
      </c>
      <c r="EN73" s="49">
        <f>IFERROR(IF(VLOOKUP(A73,tbMoveset!A2:J112,10,FALSE)=TRUE,IF((Backdoors!AI12+IF(EL73&gt;=0.45,VLOOKUP(Calculator!E23,tbSkills!DH3:DI6,2,FALSE)+IF(AND(Calculator!B8=TRUE,Backdoors!BI23=TRUE),VLOOKUP(Calculator!E23,tbSkills!DH3:DJ6,3,FALSE),0),0))&gt;=0,1+(Backdoors!AL2*(IF((Backdoors!AI12+IF(EL73&gt;=0.45,VLOOKUP(Calculator!E23,tbSkills!DH3:DI6,2,FALSE)+IF(AND(Calculator!B8=TRUE,Backdoors!BI23=TRUE),VLOOKUP(Calculator!E23,tbSkills!DH3:DJ6,3,FALSE),0),0))&gt;=100,100,(Backdoors!AI12+IF(EL73&gt;=0.45,VLOOKUP(Calculator!E23,tbSkills!DH3:DI6,2,FALSE)+IF(AND(Calculator!B8=TRUE,Backdoors!BI23=TRUE),VLOOKUP(Calculator!E23,tbSkills!DH3:DJ6,3,FALSE),0),0)))/100)),(1-(0.25*((-Backdoors!AI12-IF(EL73&gt;=0.45,VLOOKUP(Calculator!E23,tbSkills!DH3:DI6,2,FALSE)+IF(AND(Calculator!B8=TRUE,Backdoors!BI23=TRUE),VLOOKUP(Calculator!E23,tbSkills!DH3:DJ6,3,FALSE),0),0))/100)))),1),"")</f>
        <v>1</v>
      </c>
      <c r="EO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L73)*EN73)*(VLOOKUP(A73,tbMoveset!A2:C112,3,FALSE)/100)*IF(VLOOKUP(A73,tbMoveset!A2:B112,2,FALSE)="Projectile",Backdoors!N10,Backdoors!N9),0),"")</f>
        <v/>
      </c>
      <c r="EP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L73&gt;=0.45,VLOOKUP(Calculator!E23,tbSkills!DH3:DI6,2,FALSE)+IF(AND(Calculator!B8=TRUE,Backdoors!BI23=TRUE),VLOOKUP(Calculator!E23,tbSkills!DH3:DJ6,3,FALSE),0),0))&gt;=100,100,(Backdoors!AI12+IF(EL73&gt;=0.45,VLOOKUP(Calculator!E23,tbSkills!DH3:DI6,2,FALSE)+IF(AND(Calculator!B8=TRUE,Backdoors!BI23=TRUE),VLOOKUP(Calculator!E23,tbSkills!DH3:DJ6,3,FALSE),0),0)))/100)),1))*IF(VLOOKUP(A73,tbMoveset!A2:K112,11,FALSE)=TRUE,Backdoors!AC5,1))*EM73,0),"")</f>
        <v>0</v>
      </c>
      <c r="EQ73" s="49">
        <f>VLOOKUP(A73,tbMoveset!A2:G112,7,FALSE)*IFERROR(IF(Backdoors!AI12&gt;=0,1+(IF(Calculator!E40&gt;0,VLOOKUP(Calculator!E40,tbSkills!AI3:AJ5,2,FALSE),Backdoors!AL4)*(IF((Backdoors!AI12+IF(EL73&gt;=0.45,VLOOKUP(Calculator!E23,tbSkills!DH3:DI6,2,FALSE)+IF(AND(Calculator!B8=TRUE,Backdoors!BI23=TRUE),VLOOKUP(Calculator!E23,tbSkills!DH3:DJ6,3,FALSE),0),0))&gt;=100,100,(Backdoors!AI12+IF(EL73&gt;=0.45,VLOOKUP(Calculator!E23,tbSkills!DH3:DI6,2,FALSE)+IF(AND(Calculator!B8=TRUE,Backdoors!BI23=TRUE),VLOOKUP(Calculator!E23,tbSkills!DH3:DJ6,3,FALSE),0),0)))/100)),1),1)</f>
        <v>0.6</v>
      </c>
      <c r="ER73" s="87">
        <f t="shared" si="71"/>
        <v>0</v>
      </c>
      <c r="ES73" s="86" t="str">
        <f>IFERROR(IF(VLOOKUP(A73,tbMoveset!A2:B112,2,FALSE)="Sever",Backdoors!AY24/100,IF(VLOOKUP(A73,tbMoveset!A2:B112,2,FALSE)="Blunt",Backdoors!AZ24/100,Backdoors!BA24/100)),"")</f>
        <v/>
      </c>
      <c r="ET73" s="49">
        <f>IFERROR(IF(VLOOKUP(tbMoveset!A73,tbMoveset!A2:H112,8,FALSE)="Other",IF(VLOOKUP(tbMoveset!A73,tbMoveset!A2:I112,9,FALSE)="Fire",Backdoors!BB24,IF(VLOOKUP(tbMoveset!A73,tbMoveset!A2:I112,9,FALSE)="Water",Backdoors!BC24,IF(VLOOKUP(tbMoveset!A73,tbMoveset!A2:I112,9,FALSE)="Thunder",Backdoors!BD24,IF(VLOOKUP(tbMoveset!A73,tbMoveset!A2:I112,9,FALSE)="Ice",Backdoors!BE24,IF(VLOOKUP(tbMoveset!A73,tbMoveset!A2:I112,9,FALSE)="Dragon",Backdoors!BF24,Backdoors!BG24)))))/100,Backdoors!BG24/100),"")</f>
        <v>0</v>
      </c>
      <c r="EU73" s="49">
        <f>IFERROR(IF(VLOOKUP(A73,tbMoveset!A2:J112,10,FALSE)=TRUE,IF((Backdoors!AI12+IF(ES73&gt;=0.45,VLOOKUP(Calculator!E23,tbSkills!DH3:DI6,2,FALSE)+IF(AND(Calculator!B8=TRUE,Backdoors!BI24=TRUE),VLOOKUP(Calculator!E23,tbSkills!DH3:DJ6,3,FALSE),0),0))&gt;=0,1+(Backdoors!AL2*(IF((Backdoors!AI12+IF(ES73&gt;=0.45,VLOOKUP(Calculator!E23,tbSkills!DH3:DI6,2,FALSE)+IF(AND(Calculator!B8=TRUE,Backdoors!BI24=TRUE),VLOOKUP(Calculator!E23,tbSkills!DH3:DJ6,3,FALSE),0),0))&gt;=100,100,(Backdoors!AI12+IF(ES73&gt;=0.45,VLOOKUP(Calculator!E23,tbSkills!DH3:DI6,2,FALSE)+IF(AND(Calculator!B8=TRUE,Backdoors!BI24=TRUE),VLOOKUP(Calculator!E23,tbSkills!DH3:DJ6,3,FALSE),0),0)))/100)),(1-(0.25*((-Backdoors!AI12-IF(ES73&gt;=0.45,VLOOKUP(Calculator!E23,tbSkills!DH3:DI6,2,FALSE)+IF(AND(Calculator!B8=TRUE,Backdoors!BI24=TRUE),VLOOKUP(Calculator!E23,tbSkills!DH3:DJ6,3,FALSE),0),0))/100)))),1),"")</f>
        <v>1</v>
      </c>
      <c r="EV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S73)*EU73)*(VLOOKUP(A73,tbMoveset!A2:C112,3,FALSE)/100)*IF(VLOOKUP(A73,tbMoveset!A2:B112,2,FALSE)="Projectile",Backdoors!N10,Backdoors!N9),0),"")</f>
        <v/>
      </c>
      <c r="EW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S73&gt;=0.45,VLOOKUP(Calculator!E23,tbSkills!DH3:DI6,2,FALSE)+IF(AND(Calculator!B8=TRUE,Backdoors!BI24=TRUE),VLOOKUP(Calculator!E23,tbSkills!DH3:DJ6,3,FALSE),0),0))&gt;=100,100,(Backdoors!AI12+IF(ES73&gt;=0.45,VLOOKUP(Calculator!E23,tbSkills!DH3:DI6,2,FALSE)+IF(AND(Calculator!B8=TRUE,Backdoors!BI24=TRUE),VLOOKUP(Calculator!E23,tbSkills!DH3:DJ6,3,FALSE),0),0)))/100)),1))*IF(VLOOKUP(A73,tbMoveset!A2:K112,11,FALSE)=TRUE,Backdoors!AC5,1))*ET73,0),"")</f>
        <v>0</v>
      </c>
      <c r="EX73" s="49">
        <f>VLOOKUP(A73,tbMoveset!A2:G112,7,FALSE)*IFERROR(IF(Backdoors!AI12&gt;=0,1+(IF(Calculator!E40&gt;0,VLOOKUP(Calculator!E40,tbSkills!AI3:AJ5,2,FALSE),Backdoors!AL4)*(IF((Backdoors!AI12+IF(ES73&gt;=0.45,VLOOKUP(Calculator!E23,tbSkills!DH3:DI6,2,FALSE)+IF(AND(Calculator!B8=TRUE,Backdoors!BI24=TRUE),VLOOKUP(Calculator!E23,tbSkills!DH3:DJ6,3,FALSE),0),0))&gt;=100,100,(Backdoors!AI12+IF(ES73&gt;=0.45,VLOOKUP(Calculator!E23,tbSkills!DH3:DI6,2,FALSE)+IF(AND(Calculator!B8=TRUE,Backdoors!BI24=TRUE),VLOOKUP(Calculator!E23,tbSkills!DH3:DJ6,3,FALSE),0),0)))/100)),1),1)</f>
        <v>0.6</v>
      </c>
      <c r="EY73" s="87">
        <f t="shared" si="72"/>
        <v>0</v>
      </c>
      <c r="EZ73" s="86" t="str">
        <f>IFERROR(IF(VLOOKUP(A73,tbMoveset!A2:B112,2,FALSE)="Sever",Backdoors!AY25/100,IF(VLOOKUP(A73,tbMoveset!A2:B112,2,FALSE)="Blunt",Backdoors!AZ25/100,Backdoors!BA25/100)),"")</f>
        <v/>
      </c>
      <c r="FA73" s="49">
        <f>IFERROR(IF(VLOOKUP(tbMoveset!A73,tbMoveset!A2:H112,8,FALSE)="Other",IF(VLOOKUP(tbMoveset!A73,tbMoveset!A2:I112,9,FALSE)="Fire",Backdoors!BB25,IF(VLOOKUP(tbMoveset!A73,tbMoveset!A2:I112,9,FALSE)="Water",Backdoors!BC25,IF(VLOOKUP(tbMoveset!A73,tbMoveset!A2:I112,9,FALSE)="Thunder",Backdoors!BD25,IF(VLOOKUP(tbMoveset!A73,tbMoveset!A2:I112,9,FALSE)="Ice",Backdoors!BE25,IF(VLOOKUP(tbMoveset!A73,tbMoveset!A2:I112,9,FALSE)="Dragon",Backdoors!BF25,Backdoors!BG25)))))/100,Backdoors!BG25/100),"")</f>
        <v>0</v>
      </c>
      <c r="FB73" s="49">
        <f>IFERROR(IF(VLOOKUP(A73,tbMoveset!A2:J112,10,FALSE)=TRUE,IF((Backdoors!AI12+IF(EZ73&gt;=0.45,VLOOKUP(Calculator!E23,tbSkills!DH3:DI6,2,FALSE)+IF(AND(Calculator!B8=TRUE,Backdoors!BI25=TRUE),VLOOKUP(Calculator!E23,tbSkills!DH3:DJ6,3,FALSE),0),0))&gt;=0,1+(Backdoors!AL2*(IF((Backdoors!AI12+IF(EZ73&gt;=0.45,VLOOKUP(Calculator!E23,tbSkills!DH3:DI6,2,FALSE)+IF(AND(Calculator!B8=TRUE,Backdoors!BI25=TRUE),VLOOKUP(Calculator!E23,tbSkills!DH3:DJ6,3,FALSE),0),0))&gt;=100,100,(Backdoors!AI12+IF(EZ73&gt;=0.45,VLOOKUP(Calculator!E23,tbSkills!DH3:DI6,2,FALSE)+IF(AND(Calculator!B8=TRUE,Backdoors!BI25=TRUE),VLOOKUP(Calculator!E23,tbSkills!DH3:DJ6,3,FALSE),0),0)))/100)),(1-(0.25*((-Backdoors!AI12-IF(EZ73&gt;=0.45,VLOOKUP(Calculator!E23,tbSkills!DH3:DI6,2,FALSE)+IF(AND(Calculator!B8=TRUE,Backdoors!BI25=TRUE),VLOOKUP(Calculator!E23,tbSkills!DH3:DJ6,3,FALSE),0),0))/100)))),1),"")</f>
        <v>1</v>
      </c>
      <c r="FC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Z73)*FB73)*(VLOOKUP(A73,tbMoveset!A2:C112,3,FALSE)/100)*IF(VLOOKUP(A73,tbMoveset!A2:B112,2,FALSE)="Projectile",Backdoors!N10,Backdoors!N9),0),"")</f>
        <v/>
      </c>
      <c r="FD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Z73&gt;=0.45,VLOOKUP(Calculator!E23,tbSkills!DH3:DI6,2,FALSE)+IF(AND(Calculator!B8=TRUE,Backdoors!BI25=TRUE),VLOOKUP(Calculator!E23,tbSkills!DH3:DJ6,3,FALSE),0),0))&gt;=100,100,(Backdoors!AI12+IF(EZ73&gt;=0.45,VLOOKUP(Calculator!E23,tbSkills!DH3:DI6,2,FALSE)+IF(AND(Calculator!B8=TRUE,Backdoors!BI25=TRUE),VLOOKUP(Calculator!E23,tbSkills!DH3:DJ6,3,FALSE),0),0)))/100)),1))*IF(VLOOKUP(A73,tbMoveset!A2:K112,11,FALSE)=TRUE,Backdoors!AC5,1))*FA73,0),"")</f>
        <v>0</v>
      </c>
      <c r="FE73" s="49">
        <f>VLOOKUP(A73,tbMoveset!A2:G112,7,FALSE)*IFERROR(IF(Backdoors!AI12&gt;=0,1+(IF(Calculator!E40&gt;0,VLOOKUP(Calculator!E40,tbSkills!AI3:AJ5,2,FALSE),Backdoors!AL4)*(IF((Backdoors!AI12+IF(EZ73&gt;=0.45,VLOOKUP(Calculator!E23,tbSkills!DH3:DI6,2,FALSE)+IF(AND(Calculator!B8=TRUE,Backdoors!BI25=TRUE),VLOOKUP(Calculator!E23,tbSkills!DH3:DJ6,3,FALSE),0),0))&gt;=100,100,(Backdoors!AI12+IF(EZ73&gt;=0.45,VLOOKUP(Calculator!E23,tbSkills!DH3:DI6,2,FALSE)+IF(AND(Calculator!B8=TRUE,Backdoors!BI25=TRUE),VLOOKUP(Calculator!E23,tbSkills!DH3:DJ6,3,FALSE),0),0)))/100)),1),1)</f>
        <v>0.6</v>
      </c>
      <c r="FF73" s="87">
        <f t="shared" si="73"/>
        <v>0</v>
      </c>
      <c r="FG73" s="86" t="str">
        <f>IFERROR(IF(VLOOKUP(A73,tbMoveset!A2:B112,2,FALSE)="Sever",Backdoors!AY26/100,IF(VLOOKUP(A73,tbMoveset!A2:B112,2,FALSE)="Blunt",Backdoors!AZ26/100,Backdoors!BA26/100)),"")</f>
        <v/>
      </c>
      <c r="FH73" s="49">
        <f>IFERROR(IF(VLOOKUP(tbMoveset!A73,tbMoveset!A2:H112,8,FALSE)="Other",IF(VLOOKUP(tbMoveset!A73,tbMoveset!A2:I112,9,FALSE)="Fire",Backdoors!BB26,IF(VLOOKUP(tbMoveset!A73,tbMoveset!A2:I112,9,FALSE)="Water",Backdoors!BC26,IF(VLOOKUP(tbMoveset!A73,tbMoveset!A2:I112,9,FALSE)="Thunder",Backdoors!BD26,IF(VLOOKUP(tbMoveset!A73,tbMoveset!A2:I112,9,FALSE)="Ice",Backdoors!BE26,IF(VLOOKUP(tbMoveset!A73,tbMoveset!A2:I112,9,FALSE)="Dragon",Backdoors!BF26,Backdoors!BG26)))))/100,Backdoors!BG26/100),"")</f>
        <v>0</v>
      </c>
      <c r="FI73" s="49">
        <f>IFERROR(IF(VLOOKUP(A73,tbMoveset!A2:J112,10,FALSE)=TRUE,IF((Backdoors!AI12+IF(FG73&gt;=0.45,VLOOKUP(Calculator!E23,tbSkills!DH3:DI6,2,FALSE)+IF(AND(Calculator!B8=TRUE,Backdoors!BI26=TRUE),VLOOKUP(Calculator!E23,tbSkills!DH3:DJ6,3,FALSE),0),0))&gt;=0,1+(Backdoors!AL2*(IF((Backdoors!AI12+IF(FG73&gt;=0.45,VLOOKUP(Calculator!E23,tbSkills!DH3:DI6,2,FALSE)+IF(AND(Calculator!B8=TRUE,Backdoors!BI26=TRUE),VLOOKUP(Calculator!E23,tbSkills!DH3:DJ6,3,FALSE),0),0))&gt;=100,100,(Backdoors!AI12+IF(FG73&gt;=0.45,VLOOKUP(Calculator!E23,tbSkills!DH3:DI6,2,FALSE)+IF(AND(Calculator!B8=TRUE,Backdoors!BI26=TRUE),VLOOKUP(Calculator!E23,tbSkills!DH3:DJ6,3,FALSE),0),0)))/100)),(1-(0.25*((-Backdoors!AI12-IF(FG73&gt;=0.45,VLOOKUP(Calculator!E23,tbSkills!DH3:DI6,2,FALSE)+IF(AND(Calculator!B8=TRUE,Backdoors!BI26=TRUE),VLOOKUP(Calculator!E23,tbSkills!DH3:DJ6,3,FALSE),0),0))/100)))),1),"")</f>
        <v>1</v>
      </c>
      <c r="FJ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FG73)*FI73)*(VLOOKUP(A73,tbMoveset!A2:C112,3,FALSE)/100)*IF(VLOOKUP(A73,tbMoveset!A2:B112,2,FALSE)="Projectile",Backdoors!N10,Backdoors!N9),0),"")</f>
        <v/>
      </c>
      <c r="FK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FG73&gt;=0.45,VLOOKUP(Calculator!E23,tbSkills!DH3:DI6,2,FALSE)+IF(AND(Calculator!B8=TRUE,Backdoors!BI26=TRUE),VLOOKUP(Calculator!E23,tbSkills!DH3:DJ6,3,FALSE),0),0))&gt;=100,100,(Backdoors!AI12+IF(FG73&gt;=0.45,VLOOKUP(Calculator!E23,tbSkills!DH3:DI6,2,FALSE)+IF(AND(Calculator!B8=TRUE,Backdoors!BI26=TRUE),VLOOKUP(Calculator!E23,tbSkills!DH3:DJ6,3,FALSE),0),0)))/100)),1))*IF(VLOOKUP(A73,tbMoveset!A2:K112,11,FALSE)=TRUE,Backdoors!AC5,1))*FH73,0),"")</f>
        <v>0</v>
      </c>
      <c r="FL73" s="49">
        <f>VLOOKUP(A73,tbMoveset!A2:G112,7,FALSE)*IFERROR(IF(Backdoors!AI12&gt;=0,1+(IF(Calculator!E40&gt;0,VLOOKUP(Calculator!E40,tbSkills!AI3:AJ5,2,FALSE),Backdoors!AL4)*(IF((Backdoors!AI12+IF(FG73&gt;=0.45,VLOOKUP(Calculator!E23,tbSkills!DH3:DI6,2,FALSE)+IF(AND(Calculator!B8=TRUE,Backdoors!BI26=TRUE),VLOOKUP(Calculator!E23,tbSkills!DH3:DJ6,3,FALSE),0),0))&gt;=100,100,(Backdoors!AI12+IF(FG73&gt;=0.45,VLOOKUP(Calculator!E23,tbSkills!DH3:DI6,2,FALSE)+IF(AND(Calculator!B8=TRUE,Backdoors!BI26=TRUE),VLOOKUP(Calculator!E23,tbSkills!DH3:DJ6,3,FALSE),0),0)))/100)),1),1)</f>
        <v>0.6</v>
      </c>
      <c r="FM73" s="87">
        <f t="shared" si="74"/>
        <v>0</v>
      </c>
      <c r="FN73" s="86" t="str">
        <f>IFERROR(IF(VLOOKUP(A73,tbMoveset!A2:B112,2,FALSE)="Sever",Backdoors!AY27/100,IF(VLOOKUP(A73,tbMoveset!A2:B112,2,FALSE)="Blunt",Backdoors!AZ27/100,Backdoors!BA27/100)),"")</f>
        <v/>
      </c>
      <c r="FO73" s="49">
        <f>IFERROR(IF(VLOOKUP(tbMoveset!A73,tbMoveset!A2:H112,8,FALSE)="Other",IF(VLOOKUP(tbMoveset!A73,tbMoveset!A2:I112,9,FALSE)="Fire",Backdoors!BB27,IF(VLOOKUP(tbMoveset!A73,tbMoveset!A2:I112,9,FALSE)="Water",Backdoors!BC27,IF(VLOOKUP(tbMoveset!A73,tbMoveset!A2:I112,9,FALSE)="Thunder",Backdoors!BD27,IF(VLOOKUP(tbMoveset!A73,tbMoveset!A2:I112,9,FALSE)="Ice",Backdoors!BE27,IF(VLOOKUP(tbMoveset!A73,tbMoveset!A2:I112,9,FALSE)="Dragon",Backdoors!BF27,Backdoors!BG27)))))/100,Backdoors!BG27/100),"")</f>
        <v>0</v>
      </c>
      <c r="FP73" s="49">
        <f>IFERROR(IF(VLOOKUP(A73,tbMoveset!A2:J112,10,FALSE)=TRUE,IF((Backdoors!AI12+IF(FN73&gt;=0.45,VLOOKUP(Calculator!E23,tbSkills!DH3:DI6,2,FALSE)+IF(AND(Calculator!B8=TRUE,Backdoors!BI27=TRUE),VLOOKUP(Calculator!E23,tbSkills!DH3:DJ6,3,FALSE),0),0))&gt;=0,1+(Backdoors!AL2*(IF((Backdoors!AI12+IF(FN73&gt;=0.45,VLOOKUP(Calculator!E23,tbSkills!DH3:DI6,2,FALSE)+IF(AND(Calculator!B8=TRUE,Backdoors!BI27=TRUE),VLOOKUP(Calculator!E23,tbSkills!DH3:DJ6,3,FALSE),0),0))&gt;=100,100,(Backdoors!AI12+IF(FN73&gt;=0.45,VLOOKUP(Calculator!E23,tbSkills!DH3:DI6,2,FALSE)+IF(AND(Calculator!B8=TRUE,Backdoors!BI27=TRUE),VLOOKUP(Calculator!E23,tbSkills!DH3:DJ6,3,FALSE),0),0)))/100)),(1-(0.25*((-Backdoors!AI12-IF(FN73&gt;=0.45,VLOOKUP(Calculator!E23,tbSkills!DH3:DI6,2,FALSE)+IF(AND(Calculator!B8=TRUE,Backdoors!BI27=TRUE),VLOOKUP(Calculator!E23,tbSkills!DH3:DJ6,3,FALSE),0),0))/100)))),1),"")</f>
        <v>1</v>
      </c>
      <c r="FQ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FN73)*FP73)*(VLOOKUP(A73,tbMoveset!A2:C112,3,FALSE)/100)*IF(VLOOKUP(A73,tbMoveset!A2:B112,2,FALSE)="Projectile",Backdoors!N10,Backdoors!N9),0),"")</f>
        <v/>
      </c>
      <c r="FR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FN73&gt;=0.45,VLOOKUP(Calculator!E23,tbSkills!DH3:DI6,2,FALSE)+IF(AND(Calculator!B8=TRUE,Backdoors!BI27=TRUE),VLOOKUP(Calculator!E23,tbSkills!DH3:DJ6,3,FALSE),0),0))&gt;=100,100,(Backdoors!AI12+IF(FN73&gt;=0.45,VLOOKUP(Calculator!E23,tbSkills!DH3:DI6,2,FALSE)+IF(AND(Calculator!B8=TRUE,Backdoors!BI27=TRUE),VLOOKUP(Calculator!E23,tbSkills!DH3:DJ6,3,FALSE),0),0)))/100)),1))*IF(VLOOKUP(A73,tbMoveset!A2:K112,11,FALSE)=TRUE,Backdoors!AC5,1))*FO73,0),"")</f>
        <v>0</v>
      </c>
      <c r="FS73" s="49">
        <f>VLOOKUP(A73,tbMoveset!A2:G112,7,FALSE)*IFERROR(IF(Backdoors!AI12&gt;=0,1+(IF(Calculator!E40&gt;0,VLOOKUP(Calculator!E40,tbSkills!AI3:AJ5,2,FALSE),Backdoors!AL4)*(IF((Backdoors!AI12+IF(FN73&gt;=0.45,VLOOKUP(Calculator!E23,tbSkills!DH3:DI6,2,FALSE)+IF(AND(Calculator!B8=TRUE,Backdoors!BI27=TRUE),VLOOKUP(Calculator!E23,tbSkills!DH3:DJ6,3,FALSE),0),0))&gt;=100,100,(Backdoors!AI12+IF(FN73&gt;=0.45,VLOOKUP(Calculator!E23,tbSkills!DH3:DI6,2,FALSE)+IF(AND(Calculator!B8=TRUE,Backdoors!BI27=TRUE),VLOOKUP(Calculator!E23,tbSkills!DH3:DJ6,3,FALSE),0),0)))/100)),1),1)</f>
        <v>0.6</v>
      </c>
      <c r="FT73" s="87">
        <f t="shared" si="75"/>
        <v>0</v>
      </c>
      <c r="FU73" s="86" t="str">
        <f>IFERROR(IF(VLOOKUP(A73,tbMoveset!A2:B112,2,FALSE)="Sever",Backdoors!AY28/100,IF(VLOOKUP(A73,tbMoveset!A2:B112,2,FALSE)="Blunt",Backdoors!AZ28/100,Backdoors!BA28/100)),"")</f>
        <v/>
      </c>
      <c r="FV73" s="49">
        <f>IFERROR(IF(VLOOKUP(tbMoveset!A73,tbMoveset!A2:H112,8,FALSE)="Other",IF(VLOOKUP(tbMoveset!A73,tbMoveset!A2:I112,9,FALSE)="Fire",Backdoors!BB28,IF(VLOOKUP(tbMoveset!A73,tbMoveset!A2:I112,9,FALSE)="Water",Backdoors!BC28,IF(VLOOKUP(tbMoveset!A73,tbMoveset!A2:I112,9,FALSE)="Thunder",Backdoors!BD28,IF(VLOOKUP(tbMoveset!A73,tbMoveset!A2:I112,9,FALSE)="Ice",Backdoors!BE28,IF(VLOOKUP(tbMoveset!A73,tbMoveset!A2:I112,9,FALSE)="Dragon",Backdoors!BF28,Backdoors!BG28)))))/100,Backdoors!BG28/100),"")</f>
        <v>0</v>
      </c>
      <c r="FW73" s="49">
        <f>IFERROR(IF(VLOOKUP(A73,tbMoveset!A2:J112,10,FALSE)=TRUE,IF((Backdoors!AI12+IF(FU73&gt;=0.45,VLOOKUP(Calculator!E23,tbSkills!DH3:DI6,2,FALSE)+IF(AND(Calculator!B8=TRUE,Backdoors!BI28=TRUE),VLOOKUP(Calculator!E23,tbSkills!DH3:DJ6,3,FALSE),0),0))&gt;=0,1+(Backdoors!AL2*(IF((Backdoors!AI12+IF(FU73&gt;=0.45,VLOOKUP(Calculator!E23,tbSkills!DH3:DI6,2,FALSE)+IF(AND(Calculator!B8=TRUE,Backdoors!BI28=TRUE),VLOOKUP(Calculator!E23,tbSkills!DH3:DJ6,3,FALSE),0),0))&gt;=100,100,(Backdoors!AI12+IF(FU73&gt;=0.45,VLOOKUP(Calculator!E23,tbSkills!DH3:DI6,2,FALSE)+IF(AND(Calculator!B8=TRUE,Backdoors!BI28=TRUE),VLOOKUP(Calculator!E23,tbSkills!DH3:DJ6,3,FALSE),0),0)))/100)),(1-(0.25*((-Backdoors!AI12-IF(FU73&gt;=0.45,VLOOKUP(Calculator!E23,tbSkills!DH3:DI6,2,FALSE)+IF(AND(Calculator!B8=TRUE,Backdoors!BI28=TRUE),VLOOKUP(Calculator!E23,tbSkills!DH3:DJ6,3,FALSE),0),0))/100)))),1),"")</f>
        <v>1</v>
      </c>
      <c r="FX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FU73)*FW73)*(VLOOKUP(A73,tbMoveset!A2:C112,3,FALSE)/100)*IF(VLOOKUP(A73,tbMoveset!A2:B112,2,FALSE)="Projectile",Backdoors!N10,Backdoors!N9),0),"")</f>
        <v/>
      </c>
      <c r="FY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FU73&gt;=0.45,VLOOKUP(Calculator!E23,tbSkills!DH3:DI6,2,FALSE)+IF(AND(Calculator!B8=TRUE,Backdoors!BI28=TRUE),VLOOKUP(Calculator!E23,tbSkills!DH3:DJ6,3,FALSE),0),0))&gt;=100,100,(Backdoors!AI12+IF(FU73&gt;=0.45,VLOOKUP(Calculator!E23,tbSkills!DH3:DI6,2,FALSE)+IF(AND(Calculator!B8=TRUE,Backdoors!BI28=TRUE),VLOOKUP(Calculator!E23,tbSkills!DH3:DJ6,3,FALSE),0),0)))/100)),1))*IF(VLOOKUP(A73,tbMoveset!A2:K112,11,FALSE)=TRUE,Backdoors!AC5,1))*FV73,0),"")</f>
        <v>0</v>
      </c>
      <c r="FZ73" s="49">
        <f>VLOOKUP(A73,tbMoveset!A2:G112,7,FALSE)*IFERROR(IF(Backdoors!AI12&gt;=0,1+(IF(Calculator!E40&gt;0,VLOOKUP(Calculator!E40,tbSkills!AI3:AJ5,2,FALSE),Backdoors!AL4)*(IF((Backdoors!AI12+IF(FU73&gt;=0.45,VLOOKUP(Calculator!E23,tbSkills!DH3:DI6,2,FALSE)+IF(AND(Calculator!B8=TRUE,Backdoors!BI28=TRUE),VLOOKUP(Calculator!E23,tbSkills!DH3:DJ6,3,FALSE),0),0))&gt;=100,100,(Backdoors!AI12+IF(FU73&gt;=0.45,VLOOKUP(Calculator!E23,tbSkills!DH3:DI6,2,FALSE)+IF(AND(Calculator!B8=TRUE,Backdoors!BI28=TRUE),VLOOKUP(Calculator!E23,tbSkills!DH3:DJ6,3,FALSE),0),0)))/100)),1),1)</f>
        <v>0.6</v>
      </c>
      <c r="GA73" s="87">
        <f t="shared" si="76"/>
        <v>0</v>
      </c>
      <c r="GB73" s="86" t="str">
        <f>IFERROR(IF(VLOOKUP(A73,tbMoveset!A2:B112,2,FALSE)="Sever",Backdoors!AY29/100,IF(VLOOKUP(A73,tbMoveset!A2:B112,2,FALSE)="Blunt",Backdoors!AZ29/100,Backdoors!BA29/100)),"")</f>
        <v/>
      </c>
      <c r="GC73" s="49">
        <f>IFERROR(IF(VLOOKUP(tbMoveset!A73,tbMoveset!A2:H112,8,FALSE)="Other",IF(VLOOKUP(tbMoveset!A73,tbMoveset!A2:I112,9,FALSE)="Fire",Backdoors!BB29,IF(VLOOKUP(tbMoveset!A73,tbMoveset!A2:I112,9,FALSE)="Water",Backdoors!BC29,IF(VLOOKUP(tbMoveset!A73,tbMoveset!A2:I112,9,FALSE)="Thunder",Backdoors!BD29,IF(VLOOKUP(tbMoveset!A73,tbMoveset!A2:I112,9,FALSE)="Ice",Backdoors!BE29,IF(VLOOKUP(tbMoveset!A73,tbMoveset!A2:I112,9,FALSE)="Dragon",Backdoors!BF29,Backdoors!BG29)))))/100,Backdoors!BG29/100),"")</f>
        <v>0</v>
      </c>
      <c r="GD73" s="49">
        <f>IFERROR(IF(VLOOKUP(A73,tbMoveset!A2:J112,10,FALSE)=TRUE,IF((Backdoors!AI12+IF(GB73&gt;=0.45,VLOOKUP(Calculator!E23,tbSkills!DH3:DI6,2,FALSE)+IF(AND(Calculator!B8=TRUE,Backdoors!BI29=TRUE),VLOOKUP(Calculator!E23,tbSkills!DH3:DJ6,3,FALSE),0),0))&gt;=0,1+(Backdoors!AL2*(IF((Backdoors!AI12+IF(GB73&gt;=0.45,VLOOKUP(Calculator!E23,tbSkills!DH3:DI6,2,FALSE)+IF(AND(Calculator!B8=TRUE,Backdoors!BI29=TRUE),VLOOKUP(Calculator!E23,tbSkills!DH3:DJ6,3,FALSE),0),0))&gt;=100,100,(Backdoors!AI12+IF(GB73&gt;=0.45,VLOOKUP(Calculator!E23,tbSkills!DH3:DI6,2,FALSE)+IF(AND(Calculator!B8=TRUE,Backdoors!BI29=TRUE),VLOOKUP(Calculator!E23,tbSkills!DH3:DJ6,3,FALSE),0),0)))/100)),(1-(0.25*((-Backdoors!AI12-IF(GB73&gt;=0.45,VLOOKUP(Calculator!E23,tbSkills!DH3:DI6,2,FALSE)+IF(AND(Calculator!B8=TRUE,Backdoors!BI29=TRUE),VLOOKUP(Calculator!E23,tbSkills!DH3:DJ6,3,FALSE),0),0))/100)))),1),"")</f>
        <v>1</v>
      </c>
      <c r="GE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B73)*GD73)*(VLOOKUP(A73,tbMoveset!A2:C112,3,FALSE)/100)*IF(VLOOKUP(A73,tbMoveset!A2:B112,2,FALSE)="Projectile",Backdoors!N10,Backdoors!N9),0),"")</f>
        <v/>
      </c>
      <c r="GF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B73&gt;=0.45,VLOOKUP(Calculator!E23,tbSkills!DH3:DI6,2,FALSE)+IF(AND(Calculator!B8=TRUE,Backdoors!BI29=TRUE),VLOOKUP(Calculator!E23,tbSkills!DH3:DJ6,3,FALSE),0),0))&gt;=100,100,(Backdoors!AI12+IF(GB73&gt;=0.45,VLOOKUP(Calculator!E23,tbSkills!DH3:DI6,2,FALSE)+IF(AND(Calculator!B8=TRUE,Backdoors!BI29=TRUE),VLOOKUP(Calculator!E23,tbSkills!DH3:DJ6,3,FALSE),0),0)))/100)),1))*IF(VLOOKUP(A73,tbMoveset!A2:K112,11,FALSE)=TRUE,Backdoors!AC5,1))*GC73,0),"")</f>
        <v>0</v>
      </c>
      <c r="GG73" s="49">
        <f>VLOOKUP(A73,tbMoveset!A2:G112,7,FALSE)*IFERROR(IF(Backdoors!AI12&gt;=0,1+(IF(Calculator!E40&gt;0,VLOOKUP(Calculator!E40,tbSkills!AI3:AJ5,2,FALSE),Backdoors!AL4)*(IF((Backdoors!AI12+IF(GB73&gt;=0.45,VLOOKUP(Calculator!E23,tbSkills!DH3:DI6,2,FALSE)+IF(AND(Calculator!B8=TRUE,Backdoors!BI29=TRUE),VLOOKUP(Calculator!E23,tbSkills!DH3:DJ6,3,FALSE),0),0))&gt;=100,100,(Backdoors!AI12+IF(GB73&gt;=0.45,VLOOKUP(Calculator!E23,tbSkills!DH3:DI6,2,FALSE)+IF(AND(Calculator!B8=TRUE,Backdoors!BI29=TRUE),VLOOKUP(Calculator!E23,tbSkills!DH3:DJ6,3,FALSE),0),0)))/100)),1),1)</f>
        <v>0.6</v>
      </c>
      <c r="GH73" s="87">
        <f t="shared" si="77"/>
        <v>0</v>
      </c>
      <c r="GI73" s="86" t="str">
        <f>IFERROR(IF(VLOOKUP(A73,tbMoveset!A2:B112,2,FALSE)="Sever",Backdoors!AY30/100,IF(VLOOKUP(A73,tbMoveset!A2:B112,2,FALSE)="Blunt",Backdoors!AZ30/100,Backdoors!BA30/100)),"")</f>
        <v/>
      </c>
      <c r="GJ73" s="49">
        <f>IFERROR(IF(VLOOKUP(tbMoveset!A73,tbMoveset!A2:H112,8,FALSE)="Other",IF(VLOOKUP(tbMoveset!A73,tbMoveset!A2:I112,9,FALSE)="Fire",Backdoors!BB30,IF(VLOOKUP(tbMoveset!A73,tbMoveset!A2:I112,9,FALSE)="Water",Backdoors!BC30,IF(VLOOKUP(tbMoveset!A73,tbMoveset!A2:I112,9,FALSE)="Thunder",Backdoors!BD30,IF(VLOOKUP(tbMoveset!A73,tbMoveset!A2:I112,9,FALSE)="Ice",Backdoors!BE30,IF(VLOOKUP(tbMoveset!A73,tbMoveset!A2:I112,9,FALSE)="Dragon",Backdoors!BF30,Backdoors!BG30)))))/100,Backdoors!BG30/100),"")</f>
        <v>0</v>
      </c>
      <c r="GK73" s="49">
        <f>IFERROR(IF(VLOOKUP(A73,tbMoveset!A2:J112,10,FALSE)=TRUE,IF((Backdoors!AI12+IF(GI73&gt;=0.45,VLOOKUP(Calculator!E23,tbSkills!DH3:DI6,2,FALSE)+IF(AND(Calculator!B8=TRUE,Backdoors!BI30=TRUE),VLOOKUP(Calculator!E23,tbSkills!DH3:DJ6,3,FALSE),0),0))&gt;=0,1+(Backdoors!AL2*(IF((Backdoors!AI12+IF(GI73&gt;=0.45,VLOOKUP(Calculator!E23,tbSkills!DH3:DI6,2,FALSE)+IF(AND(Calculator!B8=TRUE,Backdoors!BI30=TRUE),VLOOKUP(Calculator!E23,tbSkills!DH3:DJ6,3,FALSE),0),0))&gt;=100,100,(Backdoors!AI12+IF(GI73&gt;=0.45,VLOOKUP(Calculator!E23,tbSkills!DH3:DI6,2,FALSE)+IF(AND(Calculator!B8=TRUE,Backdoors!BI30=TRUE),VLOOKUP(Calculator!E23,tbSkills!DH3:DJ6,3,FALSE),0),0)))/100)),(1-(0.25*((-Backdoors!AI12-IF(GI73&gt;=0.45,VLOOKUP(Calculator!E23,tbSkills!DH3:DI6,2,FALSE)+IF(AND(Calculator!B8=TRUE,Backdoors!BI30=TRUE),VLOOKUP(Calculator!E23,tbSkills!DH3:DJ6,3,FALSE),0),0))/100)))),1),"")</f>
        <v>1</v>
      </c>
      <c r="GL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I73)*GK73)*(VLOOKUP(A73,tbMoveset!A2:C112,3,FALSE)/100)*IF(VLOOKUP(A73,tbMoveset!A2:B112,2,FALSE)="Projectile",Backdoors!N10,Backdoors!N9),0),"")</f>
        <v/>
      </c>
      <c r="GM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I73&gt;=0.45,VLOOKUP(Calculator!E23,tbSkills!DH3:DI6,2,FALSE)+IF(AND(Calculator!B8=TRUE,Backdoors!BI30=TRUE),VLOOKUP(Calculator!E23,tbSkills!DH3:DJ6,3,FALSE),0),0))&gt;=100,100,(Backdoors!AI12+IF(GI73&gt;=0.45,VLOOKUP(Calculator!E23,tbSkills!DH3:DI6,2,FALSE)+IF(AND(Calculator!B8=TRUE,Backdoors!BI30=TRUE),VLOOKUP(Calculator!E23,tbSkills!DH3:DJ6,3,FALSE),0),0)))/100)),1))*IF(VLOOKUP(A73,tbMoveset!A2:K112,11,FALSE)=TRUE,Backdoors!AC5,1))*GJ73,0),"")</f>
        <v>0</v>
      </c>
      <c r="GN73" s="49">
        <f>VLOOKUP(A73,tbMoveset!A2:G112,7,FALSE)*IFERROR(IF(Backdoors!AI12&gt;=0,1+(IF(Calculator!E40&gt;0,VLOOKUP(Calculator!E40,tbSkills!AI3:AJ5,2,FALSE),Backdoors!AL4)*(IF((Backdoors!AI12+IF(GI73&gt;=0.45,VLOOKUP(Calculator!E23,tbSkills!DH3:DI6,2,FALSE)+IF(AND(Calculator!B8=TRUE,Backdoors!BI30=TRUE),VLOOKUP(Calculator!E23,tbSkills!DH3:DJ6,3,FALSE),0),0))&gt;=100,100,(Backdoors!AI12+IF(GI73&gt;=0.45,VLOOKUP(Calculator!E23,tbSkills!DH3:DI6,2,FALSE)+IF(AND(Calculator!B8=TRUE,Backdoors!BI30=TRUE),VLOOKUP(Calculator!E23,tbSkills!DH3:DJ6,3,FALSE),0),0)))/100)),1),1)</f>
        <v>0.6</v>
      </c>
      <c r="GO73" s="87">
        <f t="shared" si="78"/>
        <v>0</v>
      </c>
      <c r="GP73" s="86" t="str">
        <f>IFERROR(IF(VLOOKUP(A73,tbMoveset!A2:B112,2,FALSE)="Sever",Backdoors!AY31/100,IF(VLOOKUP(A73,tbMoveset!A2:B112,2,FALSE)="Blunt",Backdoors!AZ31/100,Backdoors!BA31/100)),"")</f>
        <v/>
      </c>
      <c r="GQ73" s="49">
        <f>IFERROR(IF(VLOOKUP(tbMoveset!A73,tbMoveset!A2:H112,8,FALSE)="Other",IF(VLOOKUP(tbMoveset!A73,tbMoveset!A2:I112,9,FALSE)="Fire",Backdoors!BB31,IF(VLOOKUP(tbMoveset!A73,tbMoveset!A2:I112,9,FALSE)="Water",Backdoors!BC31,IF(VLOOKUP(tbMoveset!A73,tbMoveset!A2:I112,9,FALSE)="Thunder",Backdoors!BD31,IF(VLOOKUP(tbMoveset!A73,tbMoveset!A2:I112,9,FALSE)="Ice",Backdoors!BE31,IF(VLOOKUP(tbMoveset!A73,tbMoveset!A2:I112,9,FALSE)="Dragon",Backdoors!BF31,Backdoors!BG31)))))/100,Backdoors!BG31/100),"")</f>
        <v>0</v>
      </c>
      <c r="GR73" s="49">
        <f>IFERROR(IF(VLOOKUP(A73,tbMoveset!A2:J112,10,FALSE)=TRUE,IF((Backdoors!AI12+IF(GP73&gt;=0.45,VLOOKUP(Calculator!E23,tbSkills!DH3:DI6,2,FALSE)+IF(AND(Calculator!B8=TRUE,Backdoors!BI31=TRUE),VLOOKUP(Calculator!E23,tbSkills!DH3:DJ6,3,FALSE),0),0))&gt;=0,1+(Backdoors!AL2*(IF((Backdoors!AI12+IF(GP73&gt;=0.45,VLOOKUP(Calculator!E23,tbSkills!DH3:DI6,2,FALSE)+IF(AND(Calculator!B8=TRUE,Backdoors!BI31=TRUE),VLOOKUP(Calculator!E23,tbSkills!DH3:DJ6,3,FALSE),0),0))&gt;=100,100,(Backdoors!AI12+IF(GP73&gt;=0.45,VLOOKUP(Calculator!E23,tbSkills!DH3:DI6,2,FALSE)+IF(AND(Calculator!B8=TRUE,Backdoors!BI31=TRUE),VLOOKUP(Calculator!E23,tbSkills!DH3:DJ6,3,FALSE),0),0)))/100)),(1-(0.25*((-Backdoors!AI12-IF(GP73&gt;=0.45,VLOOKUP(Calculator!E23,tbSkills!DH3:DI6,2,FALSE)+IF(AND(Calculator!B8=TRUE,Backdoors!BI31=TRUE),VLOOKUP(Calculator!E23,tbSkills!DH3:DJ6,3,FALSE),0),0))/100)))),1),"")</f>
        <v>1</v>
      </c>
      <c r="GS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P73)*GR73)*(VLOOKUP(A73,tbMoveset!A2:C112,3,FALSE)/100)*IF(VLOOKUP(A73,tbMoveset!A2:B112,2,FALSE)="Projectile",Backdoors!N10,Backdoors!N9),0),"")</f>
        <v/>
      </c>
      <c r="GT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P73&gt;=0.45,VLOOKUP(Calculator!E23,tbSkills!DH3:DI6,2,FALSE)+IF(AND(Calculator!B8=TRUE,Backdoors!BI31=TRUE),VLOOKUP(Calculator!E23,tbSkills!DH3:DJ6,3,FALSE),0),0))&gt;=100,100,(Backdoors!AI12+IF(GP73&gt;=0.45,VLOOKUP(Calculator!E23,tbSkills!DH3:DI6,2,FALSE)+IF(AND(Calculator!B8=TRUE,Backdoors!BI31=TRUE),VLOOKUP(Calculator!E23,tbSkills!DH3:DJ6,3,FALSE),0),0)))/100)),1))*IF(VLOOKUP(A73,tbMoveset!A2:K112,11,FALSE)=TRUE,Backdoors!AC5,1))*GQ73,0),"")</f>
        <v>0</v>
      </c>
      <c r="GU73" s="49">
        <f>VLOOKUP(A73,tbMoveset!A2:G112,7,FALSE)*IFERROR(IF(Backdoors!AI12&gt;=0,1+(IF(Calculator!E40&gt;0,VLOOKUP(Calculator!E40,tbSkills!AI3:AJ5,2,FALSE),Backdoors!AL4)*(IF((Backdoors!AI12+IF(GP73&gt;=0.45,VLOOKUP(Calculator!E23,tbSkills!DH3:DI6,2,FALSE)+IF(AND(Calculator!B8=TRUE,Backdoors!BI31=TRUE),VLOOKUP(Calculator!E23,tbSkills!DH3:DJ6,3,FALSE),0),0))&gt;=100,100,(Backdoors!AI12+IF(GP73&gt;=0.45,VLOOKUP(Calculator!E23,tbSkills!DH3:DI6,2,FALSE)+IF(AND(Calculator!B8=TRUE,Backdoors!BI31=TRUE),VLOOKUP(Calculator!E23,tbSkills!DH3:DJ6,3,FALSE),0),0)))/100)),1),1)</f>
        <v>0.6</v>
      </c>
      <c r="GV73" s="87">
        <f t="shared" si="79"/>
        <v>0</v>
      </c>
      <c r="GW73" s="86" t="str">
        <f>IFERROR(IF(VLOOKUP(A73,tbMoveset!A2:B112,2,FALSE)="Sever",Backdoors!AY32/100,IF(VLOOKUP(A73,tbMoveset!A2:B112,2,FALSE)="Blunt",Backdoors!AZ32/100,Backdoors!BA32/100)),"")</f>
        <v/>
      </c>
      <c r="GX73" s="49">
        <f>IFERROR(IF(VLOOKUP(tbMoveset!A73,tbMoveset!A2:H112,8,FALSE)="Other",IF(VLOOKUP(tbMoveset!A73,tbMoveset!A2:I112,9,FALSE)="Fire",Backdoors!BB32,IF(VLOOKUP(tbMoveset!A73,tbMoveset!A2:I112,9,FALSE)="Water",Backdoors!BC32,IF(VLOOKUP(tbMoveset!A73,tbMoveset!A2:I112,9,FALSE)="Thunder",Backdoors!BD32,IF(VLOOKUP(tbMoveset!A73,tbMoveset!A2:I112,9,FALSE)="Ice",Backdoors!BE32,IF(VLOOKUP(tbMoveset!A73,tbMoveset!A2:I112,9,FALSE)="Dragon",Backdoors!BF32,Backdoors!BG32)))))/100,Backdoors!BG32/100),"")</f>
        <v>0</v>
      </c>
      <c r="GY73" s="49">
        <f>IFERROR(IF(VLOOKUP(A73,tbMoveset!A2:J112,10,FALSE)=TRUE,IF((Backdoors!AI12+IF(GW73&gt;=0.45,VLOOKUP(Calculator!E23,tbSkills!DH3:DI6,2,FALSE)+IF(AND(Calculator!B8=TRUE,Backdoors!BI32=TRUE),VLOOKUP(Calculator!E23,tbSkills!DH3:DJ6,3,FALSE),0),0))&gt;=0,1+(Backdoors!AL2*(IF((Backdoors!AI12+IF(GW73&gt;=0.45,VLOOKUP(Calculator!E23,tbSkills!DH3:DI6,2,FALSE)+IF(AND(Calculator!B8=TRUE,Backdoors!BI32=TRUE),VLOOKUP(Calculator!E23,tbSkills!DH3:DJ6,3,FALSE),0),0))&gt;=100,100,(Backdoors!AI12+IF(GW73&gt;=0.45,VLOOKUP(Calculator!E23,tbSkills!DH3:DI6,2,FALSE)+IF(AND(Calculator!B8=TRUE,Backdoors!BI32=TRUE),VLOOKUP(Calculator!E23,tbSkills!DH3:DJ6,3,FALSE),0),0)))/100)),(1-(0.25*((-Backdoors!AI12-IF(GW73&gt;=0.45,VLOOKUP(Calculator!E23,tbSkills!DH3:DI6,2,FALSE)+IF(AND(Calculator!B8=TRUE,Backdoors!BI32=TRUE),VLOOKUP(Calculator!E23,tbSkills!DH3:DJ6,3,FALSE),0),0))/100)))),1),"")</f>
        <v>1</v>
      </c>
      <c r="GZ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W73)*GY73)*(VLOOKUP(A73,tbMoveset!A2:C112,3,FALSE)/100)*IF(VLOOKUP(A73,tbMoveset!A2:B112,2,FALSE)="Projectile",Backdoors!N10,Backdoors!N9),0),"")</f>
        <v/>
      </c>
      <c r="HA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W73&gt;=0.45,VLOOKUP(Calculator!E23,tbSkills!DH3:DI6,2,FALSE)+IF(AND(Calculator!B8=TRUE,Backdoors!BI32=TRUE),VLOOKUP(Calculator!E23,tbSkills!DH3:DJ6,3,FALSE),0),0))&gt;=100,100,(Backdoors!AI12+IF(GW73&gt;=0.45,VLOOKUP(Calculator!E23,tbSkills!DH3:DI6,2,FALSE)+IF(AND(Calculator!B8=TRUE,Backdoors!BI32=TRUE),VLOOKUP(Calculator!E23,tbSkills!DH3:DJ6,3,FALSE),0),0)))/100)),1))*IF(VLOOKUP(A73,tbMoveset!A2:K112,11,FALSE)=TRUE,Backdoors!AC5,1))*GX73,0),"")</f>
        <v>0</v>
      </c>
      <c r="HB73" s="49">
        <f>VLOOKUP(A73,tbMoveset!A2:G112,7,FALSE)*IFERROR(IF(Backdoors!AI12&gt;=0,1+(IF(Calculator!E40&gt;0,VLOOKUP(Calculator!E40,tbSkills!AI3:AJ5,2,FALSE),Backdoors!AL4)*(IF((Backdoors!AI12+IF(GW73&gt;=0.45,VLOOKUP(Calculator!E23,tbSkills!DH3:DI6,2,FALSE)+IF(AND(Calculator!B8=TRUE,Backdoors!BI32=TRUE),VLOOKUP(Calculator!E23,tbSkills!DH3:DJ6,3,FALSE),0),0))&gt;=100,100,(Backdoors!AI12+IF(GW73&gt;=0.45,VLOOKUP(Calculator!E23,tbSkills!DH3:DI6,2,FALSE)+IF(AND(Calculator!B8=TRUE,Backdoors!BI32=TRUE),VLOOKUP(Calculator!E23,tbSkills!DH3:DJ6,3,FALSE),0),0)))/100)),1),1)</f>
        <v>0.6</v>
      </c>
      <c r="HC73" s="87">
        <f t="shared" si="80"/>
        <v>0</v>
      </c>
      <c r="HD73" s="86" t="str">
        <f>IFERROR(IF(VLOOKUP(A73,tbMoveset!A2:B112,2,FALSE)="Sever",Backdoors!AY33/100,IF(VLOOKUP(A73,tbMoveset!A2:B112,2,FALSE)="Blunt",Backdoors!AZ33/100,Backdoors!BA33/100)),"")</f>
        <v/>
      </c>
      <c r="HE73" s="49">
        <f>IFERROR(IF(VLOOKUP(tbMoveset!A73,tbMoveset!A2:H112,8,FALSE)="Other",IF(VLOOKUP(tbMoveset!A73,tbMoveset!A2:I112,9,FALSE)="Fire",Backdoors!BB33,IF(VLOOKUP(tbMoveset!A73,tbMoveset!A2:I112,9,FALSE)="Water",Backdoors!BC33,IF(VLOOKUP(tbMoveset!A73,tbMoveset!A2:I112,9,FALSE)="Thunder",Backdoors!BD33,IF(VLOOKUP(tbMoveset!A73,tbMoveset!A2:I112,9,FALSE)="Ice",Backdoors!BE33,IF(VLOOKUP(tbMoveset!A73,tbMoveset!A2:I112,9,FALSE)="Dragon",Backdoors!BF33,Backdoors!BG33)))))/100,Backdoors!BG33/100),"")</f>
        <v>0</v>
      </c>
      <c r="HF73" s="49">
        <f>IFERROR(IF(VLOOKUP(A73,tbMoveset!A2:J112,10,FALSE)=TRUE,IF((Backdoors!AI12+IF(HD73&gt;=0.45,VLOOKUP(Calculator!E23,tbSkills!DH3:DI6,2,FALSE)+IF(AND(Calculator!B8=TRUE,Backdoors!BI33=TRUE),VLOOKUP(Calculator!E23,tbSkills!DH3:DJ6,3,FALSE),0),0))&gt;=0,1+(Backdoors!AL2*(IF((Backdoors!AI12+IF(HD73&gt;=0.45,VLOOKUP(Calculator!E23,tbSkills!DH3:DI6,2,FALSE)+IF(AND(Calculator!B8=TRUE,Backdoors!BI33=TRUE),VLOOKUP(Calculator!E23,tbSkills!DH3:DJ6,3,FALSE),0),0))&gt;=100,100,(Backdoors!AI12+IF(HD73&gt;=0.45,VLOOKUP(Calculator!E23,tbSkills!DH3:DI6,2,FALSE)+IF(AND(Calculator!B8=TRUE,Backdoors!BI33=TRUE),VLOOKUP(Calculator!E23,tbSkills!DH3:DJ6,3,FALSE),0),0)))/100)),(1-(0.25*((-Backdoors!AI12-IF(HD73&gt;=0.45,VLOOKUP(Calculator!E23,tbSkills!DH3:DI6,2,FALSE)+IF(AND(Calculator!B8=TRUE,Backdoors!BI33=TRUE),VLOOKUP(Calculator!E23,tbSkills!DH3:DJ6,3,FALSE),0),0))/100)))),1),"")</f>
        <v>1</v>
      </c>
      <c r="HG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D73)*HF73)*(VLOOKUP(A73,tbMoveset!A2:C112,3,FALSE)/100)*IF(VLOOKUP(A73,tbMoveset!A2:B112,2,FALSE)="Projectile",Backdoors!N10,Backdoors!N9),0),"")</f>
        <v/>
      </c>
      <c r="HH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D73&gt;=0.45,VLOOKUP(Calculator!E23,tbSkills!DH3:DI6,2,FALSE)+IF(AND(Calculator!B8=TRUE,Backdoors!BI33=TRUE),VLOOKUP(Calculator!E23,tbSkills!DH3:DJ6,3,FALSE),0),0))&gt;=100,100,(Backdoors!AI12+IF(HD73&gt;=0.45,VLOOKUP(Calculator!E23,tbSkills!DH3:DI6,2,FALSE)+IF(AND(Calculator!B8=TRUE,Backdoors!BI33=TRUE),VLOOKUP(Calculator!E23,tbSkills!DH3:DJ6,3,FALSE),0),0)))/100)),1))*IF(VLOOKUP(A73,tbMoveset!A2:K112,11,FALSE)=TRUE,Backdoors!AC5,1))*HE73,0),"")</f>
        <v>0</v>
      </c>
      <c r="HI73" s="49">
        <f>VLOOKUP(A73,tbMoveset!A2:G112,7,FALSE)*IFERROR(IF(Backdoors!AI12&gt;=0,1+(IF(Calculator!E40&gt;0,VLOOKUP(Calculator!E40,tbSkills!AI3:AJ5,2,FALSE),Backdoors!AL4)*(IF((Backdoors!AI12+IF(HD73&gt;=0.45,VLOOKUP(Calculator!E23,tbSkills!DH3:DI6,2,FALSE)+IF(AND(Calculator!B8=TRUE,Backdoors!BI33=TRUE),VLOOKUP(Calculator!E23,tbSkills!DH3:DJ6,3,FALSE),0),0))&gt;=100,100,(Backdoors!AI12+IF(HD73&gt;=0.45,VLOOKUP(Calculator!E23,tbSkills!DH3:DI6,2,FALSE)+IF(AND(Calculator!B8=TRUE,Backdoors!BI33=TRUE),VLOOKUP(Calculator!E23,tbSkills!DH3:DJ6,3,FALSE),0),0)))/100)),1),1)</f>
        <v>0.6</v>
      </c>
      <c r="HJ73" s="87">
        <f t="shared" si="81"/>
        <v>0</v>
      </c>
      <c r="HK73" s="86" t="str">
        <f>IFERROR(IF(VLOOKUP(A73,tbMoveset!A2:B112,2,FALSE)="Sever",Backdoors!AY34/100,IF(VLOOKUP(A73,tbMoveset!A2:B112,2,FALSE)="Blunt",Backdoors!AZ34/100,Backdoors!BA34/100)),"")</f>
        <v/>
      </c>
      <c r="HL73" s="49">
        <f>IFERROR(IF(VLOOKUP(tbMoveset!A73,tbMoveset!A2:H112,8,FALSE)="Other",IF(VLOOKUP(tbMoveset!A73,tbMoveset!A2:I112,9,FALSE)="Fire",Backdoors!BB34,IF(VLOOKUP(tbMoveset!A73,tbMoveset!A2:I112,9,FALSE)="Water",Backdoors!BC34,IF(VLOOKUP(tbMoveset!A73,tbMoveset!A2:I112,9,FALSE)="Thunder",Backdoors!BD34,IF(VLOOKUP(tbMoveset!A73,tbMoveset!A2:I112,9,FALSE)="Ice",Backdoors!BE34,IF(VLOOKUP(tbMoveset!A73,tbMoveset!A2:I112,9,FALSE)="Dragon",Backdoors!BF34,Backdoors!BG34)))))/100,Backdoors!BG34/100),"")</f>
        <v>0</v>
      </c>
      <c r="HM73" s="49">
        <f>IFERROR(IF(VLOOKUP(A73,tbMoveset!A2:J112,10,FALSE)=TRUE,IF((Backdoors!AI12+IF(HK73&gt;=0.45,VLOOKUP(Calculator!E23,tbSkills!DH3:DI6,2,FALSE)+IF(AND(Calculator!B8=TRUE,Backdoors!BI34=TRUE),VLOOKUP(Calculator!E23,tbSkills!DH3:DJ6,3,FALSE),0),0))&gt;=0,1+(Backdoors!AL2*(IF((Backdoors!AI12+IF(HK73&gt;=0.45,VLOOKUP(Calculator!E23,tbSkills!DH3:DI6,2,FALSE)+IF(AND(Calculator!B8=TRUE,Backdoors!BI34=TRUE),VLOOKUP(Calculator!E23,tbSkills!DH3:DJ6,3,FALSE),0),0))&gt;=100,100,(Backdoors!AI12+IF(HK73&gt;=0.45,VLOOKUP(Calculator!E23,tbSkills!DH3:DI6,2,FALSE)+IF(AND(Calculator!B8=TRUE,Backdoors!BI34=TRUE),VLOOKUP(Calculator!E23,tbSkills!DH3:DJ6,3,FALSE),0),0)))/100)),(1-(0.25*((-Backdoors!AI12-IF(HK73&gt;=0.45,VLOOKUP(Calculator!E23,tbSkills!DH3:DI6,2,FALSE)+IF(AND(Calculator!B8=TRUE,Backdoors!BI34=TRUE),VLOOKUP(Calculator!E23,tbSkills!DH3:DJ6,3,FALSE),0),0))/100)))),1),"")</f>
        <v>1</v>
      </c>
      <c r="HN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K73)*HM73)*(VLOOKUP(A73,tbMoveset!A2:C112,3,FALSE)/100)*IF(VLOOKUP(A73,tbMoveset!A2:B112,2,FALSE)="Projectile",Backdoors!N10,Backdoors!N9),0),"")</f>
        <v/>
      </c>
      <c r="HO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K73&gt;=0.45,VLOOKUP(Calculator!E23,tbSkills!DH3:DI6,2,FALSE)+IF(AND(Calculator!B8=TRUE,Backdoors!BI34=TRUE),VLOOKUP(Calculator!E23,tbSkills!DH3:DJ6,3,FALSE),0),0))&gt;=100,100,(Backdoors!AI12+IF(HK73&gt;=0.45,VLOOKUP(Calculator!E23,tbSkills!DH3:DI6,2,FALSE)+IF(AND(Calculator!B8=TRUE,Backdoors!BI34=TRUE),VLOOKUP(Calculator!E23,tbSkills!DH3:DJ6,3,FALSE),0),0)))/100)),1))*IF(VLOOKUP(A73,tbMoveset!A2:K112,11,FALSE)=TRUE,Backdoors!AC5,1))*HL73,0),"")</f>
        <v>0</v>
      </c>
      <c r="HP73" s="49">
        <f>VLOOKUP(A73,tbMoveset!A2:G112,7,FALSE)*IFERROR(IF(Backdoors!AI12&gt;=0,1+(IF(Calculator!E40&gt;0,VLOOKUP(Calculator!E40,tbSkills!AI3:AJ5,2,FALSE),Backdoors!AL4)*(IF((Backdoors!AI12+IF(HK73&gt;=0.45,VLOOKUP(Calculator!E23,tbSkills!DH3:DI6,2,FALSE)+IF(AND(Calculator!B8=TRUE,Backdoors!BI34=TRUE),VLOOKUP(Calculator!E23,tbSkills!DH3:DJ6,3,FALSE),0),0))&gt;=100,100,(Backdoors!AI12+IF(HK73&gt;=0.45,VLOOKUP(Calculator!E23,tbSkills!DH3:DI6,2,FALSE)+IF(AND(Calculator!B8=TRUE,Backdoors!BI34=TRUE),VLOOKUP(Calculator!E23,tbSkills!DH3:DJ6,3,FALSE),0),0)))/100)),1),1)</f>
        <v>0.6</v>
      </c>
      <c r="HQ73" s="87">
        <f t="shared" si="82"/>
        <v>0</v>
      </c>
      <c r="HR73" s="86" t="str">
        <f>IFERROR(IF(VLOOKUP(A73,tbMoveset!A2:B112,2,FALSE)="Sever",Backdoors!AY35/100,IF(VLOOKUP(A73,tbMoveset!A2:B112,2,FALSE)="Blunt",Backdoors!AZ35/100,Backdoors!BA35/100)),"")</f>
        <v/>
      </c>
      <c r="HS73" s="49">
        <f>IFERROR(IF(VLOOKUP(tbMoveset!A73,tbMoveset!A2:H112,8,FALSE)="Other",IF(VLOOKUP(tbMoveset!A73,tbMoveset!A2:I112,9,FALSE)="Fire",Backdoors!BB35,IF(VLOOKUP(tbMoveset!A73,tbMoveset!A2:I112,9,FALSE)="Water",Backdoors!BC35,IF(VLOOKUP(tbMoveset!A73,tbMoveset!A2:I112,9,FALSE)="Thunder",Backdoors!BD35,IF(VLOOKUP(tbMoveset!A73,tbMoveset!A2:I112,9,FALSE)="Ice",Backdoors!BE35,IF(VLOOKUP(tbMoveset!A73,tbMoveset!A2:I112,9,FALSE)="Dragon",Backdoors!BF35,Backdoors!BG35)))))/100,Backdoors!BG35/100),"")</f>
        <v>0</v>
      </c>
      <c r="HT73" s="49">
        <f>IFERROR(IF(VLOOKUP(A73,tbMoveset!A2:J112,10,FALSE)=TRUE,IF((Backdoors!AI12+IF(HR73&gt;=0.45,VLOOKUP(Calculator!E23,tbSkills!DH3:DI6,2,FALSE)+IF(AND(Calculator!B8=TRUE,Backdoors!BI35=TRUE),VLOOKUP(Calculator!E23,tbSkills!DH3:DJ6,3,FALSE),0),0))&gt;=0,1+(Backdoors!AL2*(IF((Backdoors!AI12+IF(HR73&gt;=0.45,VLOOKUP(Calculator!E23,tbSkills!DH3:DI6,2,FALSE)+IF(AND(Calculator!B8=TRUE,Backdoors!BI35=TRUE),VLOOKUP(Calculator!E23,tbSkills!DH3:DJ6,3,FALSE),0),0))&gt;=100,100,(Backdoors!AI12+IF(HR73&gt;=0.45,VLOOKUP(Calculator!E23,tbSkills!DH3:DI6,2,FALSE)+IF(AND(Calculator!B8=TRUE,Backdoors!BI35=TRUE),VLOOKUP(Calculator!E23,tbSkills!DH3:DJ6,3,FALSE),0),0)))/100)),(1-(0.25*((-Backdoors!AI12-IF(HR73&gt;=0.45,VLOOKUP(Calculator!E23,tbSkills!DH3:DI6,2,FALSE)+IF(AND(Calculator!B8=TRUE,Backdoors!BI35=TRUE),VLOOKUP(Calculator!E23,tbSkills!DH3:DJ6,3,FALSE),0),0))/100)))),1),"")</f>
        <v>1</v>
      </c>
      <c r="HU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R73)*HT73)*(VLOOKUP(A73,tbMoveset!A2:C112,3,FALSE)/100)*IF(VLOOKUP(A73,tbMoveset!A2:B112,2,FALSE)="Projectile",Backdoors!N10,Backdoors!N9),0),"")</f>
        <v/>
      </c>
      <c r="HV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R73&gt;=0.45,VLOOKUP(Calculator!E23,tbSkills!DH3:DI6,2,FALSE)+IF(AND(Calculator!B8=TRUE,Backdoors!BI35=TRUE),VLOOKUP(Calculator!E23,tbSkills!DH3:DJ6,3,FALSE),0),0))&gt;=100,100,(Backdoors!AI12+IF(HR73&gt;=0.45,VLOOKUP(Calculator!E23,tbSkills!DH3:DI6,2,FALSE)+IF(AND(Calculator!B8=TRUE,Backdoors!BI35=TRUE),VLOOKUP(Calculator!E23,tbSkills!DH3:DJ6,3,FALSE),0),0)))/100)),1))*IF(VLOOKUP(A73,tbMoveset!A2:K112,11,FALSE)=TRUE,Backdoors!AC5,1))*HS73,0),"")</f>
        <v>0</v>
      </c>
      <c r="HW73" s="49">
        <f>VLOOKUP(A73,tbMoveset!A2:G112,7,FALSE)*IFERROR(IF(Backdoors!AI12&gt;=0,1+(IF(Calculator!E40&gt;0,VLOOKUP(Calculator!E40,tbSkills!AI3:AJ5,2,FALSE),Backdoors!AL4)*(IF((Backdoors!AI12+IF(HR73&gt;=0.45,VLOOKUP(Calculator!E23,tbSkills!DH3:DI6,2,FALSE)+IF(AND(Calculator!B8=TRUE,Backdoors!BI35=TRUE),VLOOKUP(Calculator!E23,tbSkills!DH3:DJ6,3,FALSE),0),0))&gt;=100,100,(Backdoors!AI12+IF(HR73&gt;=0.45,VLOOKUP(Calculator!E23,tbSkills!DH3:DI6,2,FALSE)+IF(AND(Calculator!B8=TRUE,Backdoors!BI35=TRUE),VLOOKUP(Calculator!E23,tbSkills!DH3:DJ6,3,FALSE),0),0)))/100)),1),1)</f>
        <v>0.6</v>
      </c>
      <c r="HX73" s="87">
        <f t="shared" si="83"/>
        <v>0</v>
      </c>
      <c r="HY73" s="86" t="str">
        <f>IFERROR(IF(VLOOKUP(A73,tbMoveset!A2:B112,2,FALSE)="Sever",Backdoors!AY36/100,IF(VLOOKUP(A73,tbMoveset!A2:B112,2,FALSE)="Blunt",Backdoors!AZ36/100,Backdoors!BA36/100)),"")</f>
        <v/>
      </c>
      <c r="HZ73" s="49">
        <f>IFERROR(IF(VLOOKUP(tbMoveset!A73,tbMoveset!A2:H112,8,FALSE)="Other",IF(VLOOKUP(tbMoveset!A73,tbMoveset!A2:I112,9,FALSE)="Fire",Backdoors!BB36,IF(VLOOKUP(tbMoveset!A73,tbMoveset!A2:I112,9,FALSE)="Water",Backdoors!BC36,IF(VLOOKUP(tbMoveset!A73,tbMoveset!A2:I112,9,FALSE)="Thunder",Backdoors!BD36,IF(VLOOKUP(tbMoveset!A73,tbMoveset!A2:I112,9,FALSE)="Ice",Backdoors!BE36,IF(VLOOKUP(tbMoveset!A73,tbMoveset!A2:I112,9,FALSE)="Dragon",Backdoors!BF36,Backdoors!BG36)))))/100,Backdoors!BG36/100),"")</f>
        <v>0</v>
      </c>
      <c r="IA73" s="49">
        <f>IFERROR(IF(VLOOKUP(A73,tbMoveset!A2:J112,10,FALSE)=TRUE,IF((Backdoors!AI12+IF(HY73&gt;=0.45,VLOOKUP(Calculator!E23,tbSkills!DH3:DI6,2,FALSE)+IF(AND(Calculator!B8=TRUE,Backdoors!BI36=TRUE),VLOOKUP(Calculator!E23,tbSkills!DH3:DJ6,3,FALSE),0),0))&gt;=0,1+(Backdoors!AL2*(IF((Backdoors!AI12+IF(HY73&gt;=0.45,VLOOKUP(Calculator!E23,tbSkills!DH3:DI6,2,FALSE)+IF(AND(Calculator!B8=TRUE,Backdoors!BI36=TRUE),VLOOKUP(Calculator!E23,tbSkills!DH3:DJ6,3,FALSE),0),0))&gt;=100,100,(Backdoors!AI12+IF(HY73&gt;=0.45,VLOOKUP(Calculator!E23,tbSkills!DH3:DI6,2,FALSE)+IF(AND(Calculator!B8=TRUE,Backdoors!BI36=TRUE),VLOOKUP(Calculator!E23,tbSkills!DH3:DJ6,3,FALSE),0),0)))/100)),(1-(0.25*((-Backdoors!AI12-IF(HY73&gt;=0.45,VLOOKUP(Calculator!E23,tbSkills!DH3:DI6,2,FALSE)+IF(AND(Calculator!B8=TRUE,Backdoors!BI36=TRUE),VLOOKUP(Calculator!E23,tbSkills!DH3:DJ6,3,FALSE),0),0))/100)))),1),"")</f>
        <v>1</v>
      </c>
      <c r="IB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Y73)*IA73)*(VLOOKUP(A73,tbMoveset!A2:C112,3,FALSE)/100)*IF(VLOOKUP(A73,tbMoveset!A2:B112,2,FALSE)="Projectile",Backdoors!N10,Backdoors!N9),0),"")</f>
        <v/>
      </c>
      <c r="IC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Y73&gt;=0.45,VLOOKUP(Calculator!E23,tbSkills!DH3:DI6,2,FALSE)+IF(AND(Calculator!B8=TRUE,Backdoors!BI36=TRUE),VLOOKUP(Calculator!E23,tbSkills!DH3:DJ6,3,FALSE),0),0))&gt;=100,100,(Backdoors!AI12+IF(HY73&gt;=0.45,VLOOKUP(Calculator!E23,tbSkills!DH3:DI6,2,FALSE)+IF(AND(Calculator!B8=TRUE,Backdoors!BI36=TRUE),VLOOKUP(Calculator!E23,tbSkills!DH3:DJ6,3,FALSE),0),0)))/100)),1))*IF(VLOOKUP(A73,tbMoveset!A2:K112,11,FALSE)=TRUE,Backdoors!AC5,1))*HZ73,0),"")</f>
        <v>0</v>
      </c>
      <c r="ID73" s="49">
        <f>VLOOKUP(A73,tbMoveset!A2:G112,7,FALSE)*IFERROR(IF(Backdoors!AI12&gt;=0,1+(IF(Calculator!E40&gt;0,VLOOKUP(Calculator!E40,tbSkills!AI3:AJ5,2,FALSE),Backdoors!AL4)*(IF((Backdoors!AI12+IF(HY73&gt;=0.45,VLOOKUP(Calculator!E23,tbSkills!DH3:DI6,2,FALSE)+IF(AND(Calculator!B8=TRUE,Backdoors!BI36=TRUE),VLOOKUP(Calculator!E23,tbSkills!DH3:DJ6,3,FALSE),0),0))&gt;=100,100,(Backdoors!AI12+IF(HY73&gt;=0.45,VLOOKUP(Calculator!E23,tbSkills!DH3:DI6,2,FALSE)+IF(AND(Calculator!B8=TRUE,Backdoors!BI36=TRUE),VLOOKUP(Calculator!E23,tbSkills!DH3:DJ6,3,FALSE),0),0)))/100)),1),1)</f>
        <v>0.6</v>
      </c>
      <c r="IE73" s="87">
        <f t="shared" si="84"/>
        <v>0</v>
      </c>
      <c r="IF73" s="86" t="str">
        <f>IFERROR(IF(VLOOKUP(A73,tbMoveset!A2:B112,2,FALSE)="Sever",Backdoors!AY37/100,IF(VLOOKUP(A73,tbMoveset!A2:B112,2,FALSE)="Blunt",Backdoors!AZ37/100,Backdoors!BA37/100)),"")</f>
        <v/>
      </c>
      <c r="IG73" s="49">
        <f>IFERROR(IF(VLOOKUP(tbMoveset!A73,tbMoveset!A2:H112,8,FALSE)="Other",IF(VLOOKUP(tbMoveset!A73,tbMoveset!A2:I112,9,FALSE)="Fire",Backdoors!BB37,IF(VLOOKUP(tbMoveset!A73,tbMoveset!A2:I112,9,FALSE)="Water",Backdoors!BC37,IF(VLOOKUP(tbMoveset!A73,tbMoveset!A2:I112,9,FALSE)="Thunder",Backdoors!BD37,IF(VLOOKUP(tbMoveset!A73,tbMoveset!A2:I112,9,FALSE)="Ice",Backdoors!BE37,IF(VLOOKUP(tbMoveset!A73,tbMoveset!A2:I112,9,FALSE)="Dragon",Backdoors!BF37,Backdoors!BG37)))))/100,Backdoors!BG37/100),"")</f>
        <v>0</v>
      </c>
      <c r="IH73" s="49">
        <f>IFERROR(IF(VLOOKUP(A73,tbMoveset!A2:J112,10,FALSE)=TRUE,IF((Backdoors!AI12+IF(IF73&gt;=0.45,VLOOKUP(Calculator!E23,tbSkills!DH3:DI6,2,FALSE)+IF(AND(Calculator!B8=TRUE,Backdoors!BI37=TRUE),VLOOKUP(Calculator!E23,tbSkills!DH3:DJ6,3,FALSE),0),0))&gt;=0,1+(Backdoors!AL2*(IF((Backdoors!AI12+IF(IF73&gt;=0.45,VLOOKUP(Calculator!E23,tbSkills!DH3:DI6,2,FALSE)+IF(AND(Calculator!B8=TRUE,Backdoors!BI37=TRUE),VLOOKUP(Calculator!E23,tbSkills!DH3:DJ6,3,FALSE),0),0))&gt;=100,100,(Backdoors!AI12+IF(IF73&gt;=0.45,VLOOKUP(Calculator!E23,tbSkills!DH3:DI6,2,FALSE)+IF(AND(Calculator!B8=TRUE,Backdoors!BI37=TRUE),VLOOKUP(Calculator!E23,tbSkills!DH3:DJ6,3,FALSE),0),0)))/100)),(1-(0.25*((-Backdoors!AI12-IF(IF73&gt;=0.45,VLOOKUP(Calculator!E23,tbSkills!DH3:DI6,2,FALSE)+IF(AND(Calculator!B8=TRUE,Backdoors!BI37=TRUE),VLOOKUP(Calculator!E23,tbSkills!DH3:DJ6,3,FALSE),0),0))/100)))),1),"")</f>
        <v>1</v>
      </c>
      <c r="II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F73)*IH73)*(VLOOKUP(A73,tbMoveset!A2:C112,3,FALSE)/100)*IF(VLOOKUP(A73,tbMoveset!A2:B112,2,FALSE)="Projectile",Backdoors!N10,Backdoors!N9),0),"")</f>
        <v/>
      </c>
      <c r="IJ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IF73&gt;=0.45,VLOOKUP(Calculator!E23,tbSkills!DH3:DI6,2,FALSE)+IF(AND(Calculator!B8=TRUE,Backdoors!BI37=TRUE),VLOOKUP(Calculator!E23,tbSkills!DH3:DJ6,3,FALSE),0),0))&gt;=100,100,(Backdoors!AI12+IF(IF73&gt;=0.45,VLOOKUP(Calculator!E23,tbSkills!DH3:DI6,2,FALSE)+IF(AND(Calculator!B8=TRUE,Backdoors!BI37=TRUE),VLOOKUP(Calculator!E23,tbSkills!DH3:DJ6,3,FALSE),0),0)))/100)),1))*IF(VLOOKUP(A73,tbMoveset!A2:K112,11,FALSE)=TRUE,Backdoors!AC5,1))*IG73,0),"")</f>
        <v>0</v>
      </c>
      <c r="IK73" s="49">
        <f>VLOOKUP(A73,tbMoveset!A2:G112,7,FALSE)*IFERROR(IF(Backdoors!AI12&gt;=0,1+(IF(Calculator!E40&gt;0,VLOOKUP(Calculator!E40,tbSkills!AI3:AJ5,2,FALSE),Backdoors!AL4)*(IF((Backdoors!AI12+IF(IF73&gt;=0.45,VLOOKUP(Calculator!E23,tbSkills!DH3:DI6,2,FALSE)+IF(AND(Calculator!B8=TRUE,Backdoors!BI37=TRUE),VLOOKUP(Calculator!E23,tbSkills!DH3:DJ6,3,FALSE),0),0))&gt;=100,100,(Backdoors!AI12+IF(IF73&gt;=0.45,VLOOKUP(Calculator!E23,tbSkills!DH3:DI6,2,FALSE)+IF(AND(Calculator!B8=TRUE,Backdoors!BI37=TRUE),VLOOKUP(Calculator!E23,tbSkills!DH3:DJ6,3,FALSE),0),0)))/100)),1),1)</f>
        <v>0.6</v>
      </c>
      <c r="IL73" s="87">
        <f t="shared" si="85"/>
        <v>0</v>
      </c>
      <c r="IM73" s="86" t="str">
        <f>IFERROR(IF(VLOOKUP(A73,tbMoveset!A2:B112,2,FALSE)="Sever",Backdoors!AY38/100,IF(VLOOKUP(A73,tbMoveset!A2:B112,2,FALSE)="Blunt",Backdoors!AZ38/100,Backdoors!BA38/100)),"")</f>
        <v/>
      </c>
      <c r="IN73" s="49">
        <f>IFERROR(IF(VLOOKUP(tbMoveset!A73,tbMoveset!A2:H112,8,FALSE)="Other",IF(VLOOKUP(tbMoveset!A73,tbMoveset!A2:I112,9,FALSE)="Fire",Backdoors!BB38,IF(VLOOKUP(tbMoveset!A73,tbMoveset!A2:I112,9,FALSE)="Water",Backdoors!BC38,IF(VLOOKUP(tbMoveset!A73,tbMoveset!A2:I112,9,FALSE)="Thunder",Backdoors!BD38,IF(VLOOKUP(tbMoveset!A73,tbMoveset!A2:I112,9,FALSE)="Ice",Backdoors!BE38,IF(VLOOKUP(tbMoveset!A73,tbMoveset!A2:I112,9,FALSE)="Dragon",Backdoors!BF38,Backdoors!BG38)))))/100,Backdoors!BG38/100),"")</f>
        <v>0</v>
      </c>
      <c r="IO73" s="49">
        <f>IFERROR(IF(VLOOKUP(A73,tbMoveset!A2:J112,10,FALSE)=TRUE,IF((Backdoors!AI12+IF(IM73&gt;=0.45,VLOOKUP(Calculator!E23,tbSkills!DH3:DI6,2,FALSE)+IF(AND(Calculator!B8=TRUE,Backdoors!BI38=TRUE),VLOOKUP(Calculator!E23,tbSkills!DH3:DJ6,3,FALSE),0),0))&gt;=0,1+(Backdoors!AL2*(IF((Backdoors!AI12+IF(IM73&gt;=0.45,VLOOKUP(Calculator!E23,tbSkills!DH3:DI6,2,FALSE)+IF(AND(Calculator!B8=TRUE,Backdoors!BI38=TRUE),VLOOKUP(Calculator!E23,tbSkills!DH3:DJ6,3,FALSE),0),0))&gt;=100,100,(Backdoors!AI12+IF(IM73&gt;=0.45,VLOOKUP(Calculator!E23,tbSkills!DH3:DI6,2,FALSE)+IF(AND(Calculator!B8=TRUE,Backdoors!BI38=TRUE),VLOOKUP(Calculator!E23,tbSkills!DH3:DJ6,3,FALSE),0),0)))/100)),(1-(0.25*((-Backdoors!AI12-IF(IM73&gt;=0.45,VLOOKUP(Calculator!E23,tbSkills!DH3:DI6,2,FALSE)+IF(AND(Calculator!B8=TRUE,Backdoors!BI38=TRUE),VLOOKUP(Calculator!E23,tbSkills!DH3:DJ6,3,FALSE),0),0))/100)))),1),"")</f>
        <v>1</v>
      </c>
      <c r="IP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M73)*IO73)*(VLOOKUP(A73,tbMoveset!A2:C112,3,FALSE)/100)*IF(VLOOKUP(A73,tbMoveset!A2:B112,2,FALSE)="Projectile",Backdoors!N10,Backdoors!N9),0),"")</f>
        <v/>
      </c>
      <c r="IQ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IM73&gt;=0.45,VLOOKUP(Calculator!E23,tbSkills!DH3:DI6,2,FALSE)+IF(AND(Calculator!B8=TRUE,Backdoors!BI38=TRUE),VLOOKUP(Calculator!E23,tbSkills!DH3:DJ6,3,FALSE),0),0))&gt;=100,100,(Backdoors!AI12+IF(IM73&gt;=0.45,VLOOKUP(Calculator!E23,tbSkills!DH3:DI6,2,FALSE)+IF(AND(Calculator!B8=TRUE,Backdoors!BI38=TRUE),VLOOKUP(Calculator!E23,tbSkills!DH3:DJ6,3,FALSE),0),0)))/100)),1))*IF(VLOOKUP(A73,tbMoveset!A2:K112,11,FALSE)=TRUE,Backdoors!AC5,1))*IN73,0),"")</f>
        <v>0</v>
      </c>
      <c r="IR73" s="49">
        <f>VLOOKUP(A73,tbMoveset!A2:G112,7,FALSE)*IFERROR(IF(Backdoors!AI12&gt;=0,1+(IF(Calculator!E40&gt;0,VLOOKUP(Calculator!E40,tbSkills!AI3:AJ5,2,FALSE),Backdoors!AL4)*(IF((Backdoors!AI12+IF(IM73&gt;=0.45,VLOOKUP(Calculator!E23,tbSkills!DH3:DI6,2,FALSE)+IF(AND(Calculator!B8=TRUE,Backdoors!BI38=TRUE),VLOOKUP(Calculator!E23,tbSkills!DH3:DJ6,3,FALSE),0),0))&gt;=100,100,(Backdoors!AI12+IF(IM73&gt;=0.45,VLOOKUP(Calculator!E23,tbSkills!DH3:DI6,2,FALSE)+IF(AND(Calculator!B8=TRUE,Backdoors!BI38=TRUE),VLOOKUP(Calculator!E23,tbSkills!DH3:DJ6,3,FALSE),0),0)))/100)),1),1)</f>
        <v>0.6</v>
      </c>
      <c r="IS73" s="87">
        <f t="shared" si="86"/>
        <v>0</v>
      </c>
      <c r="IT73" s="86" t="str">
        <f>IFERROR(IF(VLOOKUP(A73,tbMoveset!A2:B112,2,FALSE)="Sever",Backdoors!AY39/100,IF(VLOOKUP(A73,tbMoveset!A2:B112,2,FALSE)="Blunt",Backdoors!AZ39/100,Backdoors!BA39/100)),"")</f>
        <v/>
      </c>
      <c r="IU73" s="49">
        <f>IFERROR(IF(VLOOKUP(tbMoveset!A73,tbMoveset!A2:H112,8,FALSE)="Other",IF(VLOOKUP(tbMoveset!A73,tbMoveset!A2:I112,9,FALSE)="Fire",Backdoors!BB39,IF(VLOOKUP(tbMoveset!A73,tbMoveset!A2:I112,9,FALSE)="Water",Backdoors!BC39,IF(VLOOKUP(tbMoveset!A73,tbMoveset!A2:I112,9,FALSE)="Thunder",Backdoors!BD39,IF(VLOOKUP(tbMoveset!A73,tbMoveset!A2:I112,9,FALSE)="Ice",Backdoors!BE39,IF(VLOOKUP(tbMoveset!A73,tbMoveset!A2:I112,9,FALSE)="Dragon",Backdoors!BF39,Backdoors!BG39)))))/100,Backdoors!BG39/100),"")</f>
        <v>0</v>
      </c>
      <c r="IV73" s="49">
        <f>IFERROR(IF(VLOOKUP(A73,tbMoveset!A2:J112,10,FALSE)=TRUE,IF((Backdoors!AI12+IF(IT73&gt;=0.45,VLOOKUP(Calculator!E23,tbSkills!DH3:DI6,2,FALSE)+IF(AND(Calculator!B8=TRUE,Backdoors!BI39=TRUE),VLOOKUP(Calculator!E23,tbSkills!DH3:DJ6,3,FALSE),0),0))&gt;=0,1+(Backdoors!AL2*(IF((Backdoors!AI12+IF(IT73&gt;=0.45,VLOOKUP(Calculator!E23,tbSkills!DH3:DI6,2,FALSE)+IF(AND(Calculator!B8=TRUE,Backdoors!BI39=TRUE),VLOOKUP(Calculator!E23,tbSkills!DH3:DJ6,3,FALSE),0),0))&gt;=100,100,(Backdoors!AI12+IF(IT73&gt;=0.45,VLOOKUP(Calculator!E23,tbSkills!DH3:DI6,2,FALSE)+IF(AND(Calculator!B8=TRUE,Backdoors!BI39=TRUE),VLOOKUP(Calculator!E23,tbSkills!DH3:DJ6,3,FALSE),0),0)))/100)),(1-(0.25*((-Backdoors!AI12-IF(IT73&gt;=0.45,VLOOKUP(Calculator!E23,tbSkills!DH3:DI6,2,FALSE)+IF(AND(Calculator!B8=TRUE,Backdoors!BI39=TRUE),VLOOKUP(Calculator!E23,tbSkills!DH3:DJ6,3,FALSE),0),0))/100)))),1),"")</f>
        <v>1</v>
      </c>
      <c r="IW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T73)*IV73)*(VLOOKUP(A73,tbMoveset!A2:C112,3,FALSE)/100)*IF(VLOOKUP(A73,tbMoveset!A2:B112,2,FALSE)="Projectile",Backdoors!N10,Backdoors!N9),0),"")</f>
        <v/>
      </c>
      <c r="IX73" s="49">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40&gt;0,VLOOKUP(Calculator!E40,tbSkills!AC3:AD5,2,FALSE),Backdoors!AL3)*(IF((Backdoors!AI12+IF(IT73&gt;=0.45,VLOOKUP(Calculator!E23,tbSkills!DH3:DI6,2,FALSE)+IF(AND(Calculator!B8=TRUE,Backdoors!BI39=TRUE),VLOOKUP(Calculator!E23,tbSkills!DH3:DJ6,3,FALSE),0),0))&gt;=100,100,(Backdoors!AI12+IF(IT73&gt;=0.45,VLOOKUP(Calculator!E23,tbSkills!DH3:DI6,2,FALSE)+IF(AND(Calculator!B8=TRUE,Backdoors!BI39=TRUE),VLOOKUP(Calculator!E23,tbSkills!DH3:DJ6,3,FALSE),0),0)))/100)),1))*IF(VLOOKUP(A73,tbMoveset!A2:K112,11,FALSE)=TRUE,Backdoors!AC5,1))*IU73,0),"")</f>
        <v>0</v>
      </c>
      <c r="IY73" s="49">
        <f>VLOOKUP(A73,tbMoveset!A2:G112,7,FALSE)*IFERROR(IF(Backdoors!AI12&gt;=0,1+(IF(Calculator!E40&gt;0,VLOOKUP(Calculator!E40,tbSkills!AI3:AJ5,2,FALSE),Backdoors!AL4)*(IF((Backdoors!AI12+IF(IT73&gt;=0.45,VLOOKUP(Calculator!E23,tbSkills!DH3:DI6,2,FALSE)+IF(AND(Calculator!B8=TRUE,Backdoors!BI39=TRUE),VLOOKUP(Calculator!E23,tbSkills!DH3:DJ6,3,FALSE),0),0))&gt;=100,100,(Backdoors!AI12+IF(IT73&gt;=0.45,VLOOKUP(Calculator!E23,tbSkills!DH3:DI6,2,FALSE)+IF(AND(Calculator!B8=TRUE,Backdoors!BI39=TRUE),VLOOKUP(Calculator!E23,tbSkills!DH3:DJ6,3,FALSE),0),0)))/100)),1),1)</f>
        <v>0.6</v>
      </c>
      <c r="IZ73" s="87">
        <f t="shared" si="87"/>
        <v>0</v>
      </c>
      <c r="JA73" s="86" t="str">
        <f>IFERROR(IF(VLOOKUP(A73,tbMoveset!A2:B112,2,FALSE)="Sever",Backdoors!AY40/100,IF(VLOOKUP(A73,tbMoveset!A2:B112,2,FALSE)="Blunt",Backdoors!AZ40/100,Backdoors!BA40/100)),"")</f>
        <v/>
      </c>
      <c r="JB73" s="49">
        <f>IFERROR(IF(VLOOKUP(tbMoveset!A73,tbMoveset!A2:H112,8,FALSE)="Other",IF(VLOOKUP(tbMoveset!A73,tbMoveset!A2:I112,9,FALSE)="Fire",Backdoors!BB40,IF(VLOOKUP(tbMoveset!A73,tbMoveset!A2:I112,9,FALSE)="Water",Backdoors!BC40,IF(VLOOKUP(tbMoveset!A73,tbMoveset!A2:I112,9,FALSE)="Thunder",Backdoors!BD40,IF(VLOOKUP(tbMoveset!A73,tbMoveset!A2:I112,9,FALSE)="Ice",Backdoors!BE40,IF(VLOOKUP(tbMoveset!A73,tbMoveset!A2:I112,9,FALSE)="Dragon",Backdoors!BF40,Backdoors!BG40)))))/100,Backdoors!BG40/100),"")</f>
        <v>0</v>
      </c>
      <c r="JC73" s="49">
        <f>IFERROR(IF(VLOOKUP(A73,tbMoveset!A2:J112,10,FALSE)=TRUE,IF((Backdoors!AI12+IF(JA73&gt;=0.45,VLOOKUP(Calculator!E23,tbSkills!DH3:DI6,2,FALSE)+IF(AND(Calculator!B8=TRUE,Backdoors!BI40=TRUE),VLOOKUP(Calculator!E23,tbSkills!DH3:DJ6,3,FALSE),0),0))&gt;=0,1+(Backdoors!AL2*(IF((Backdoors!AI12+IF(JA73&gt;=0.45,VLOOKUP(Calculator!E23,tbSkills!DH3:DI6,2,FALSE)+IF(AND(Calculator!B8=TRUE,Backdoors!BI40=TRUE),VLOOKUP(Calculator!E23,tbSkills!DH3:DJ6,3,FALSE),0),0))&gt;=100,100,(Backdoors!AI12+IF(JA73&gt;=0.45,VLOOKUP(Calculator!E23,tbSkills!DH3:DI6,2,FALSE)+IF(AND(Calculator!B8=TRUE,Backdoors!BI40=TRUE),VLOOKUP(Calculator!E23,tbSkills!DH3:DJ6,3,FALSE),0),0)))/100)),(1-(0.25*((-Backdoors!AI12-IF(JA73&gt;=0.45,VLOOKUP(Calculator!E23,tbSkills!DH3:DI6,2,FALSE)+IF(AND(Calculator!B8=TRUE,Backdoors!BI40=TRUE),VLOOKUP(Calculator!E23,tbSkills!DH3:DJ6,3,FALSE),0),0))/100)))),1),"")</f>
        <v>1</v>
      </c>
      <c r="JD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A73)*JC73)*(VLOOKUP(A73,tbMoveset!A2:C112,3,FALSE)/100)*IF(VLOOKUP(A73,tbMoveset!A2:B112,2,FALSE)="Projectile",Backdoors!N10,Backdoors!N9),0),"")</f>
        <v/>
      </c>
      <c r="JE73" s="49">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42&gt;0,VLOOKUP(Calculator!E42,tbSkills!AC3:AD5,2,FALSE),Backdoors!AL3)*(IF((Backdoors!AI12+IF(JA73&gt;=0.45,VLOOKUP(Calculator!E23,tbSkills!DH3:DI6,2,FALSE)+IF(AND(Calculator!B8=TRUE,Backdoors!BI40=TRUE),VLOOKUP(Calculator!E23,tbSkills!DH3:DJ6,3,FALSE),0),0))&gt;=100,100,(Backdoors!AI12+IF(JA73&gt;=0.45,VLOOKUP(Calculator!E23,tbSkills!DH3:DI6,2,FALSE)+IF(AND(Calculator!B8=TRUE,Backdoors!BI40=TRUE),VLOOKUP(Calculator!E23,tbSkills!DH3:DJ6,3,FALSE),0),0)))/100)),1))*IF(VLOOKUP(A73,tbMoveset!A2:K112,11,FALSE)=TRUE,Backdoors!AC5,1))*JB73,0),"")</f>
        <v>0</v>
      </c>
      <c r="JF73" s="49">
        <f>VLOOKUP(A73,tbMoveset!A2:G112,7,FALSE)*IFERROR(IF(Backdoors!AI12&gt;=0,1+(IF(Calculator!E40&gt;0,VLOOKUP(Calculator!E40,tbSkills!AI3:AJ5,2,FALSE),Backdoors!AL4)*(IF((Backdoors!AI12+IF(JA73&gt;=0.45,VLOOKUP(Calculator!E23,tbSkills!DH3:DI6,2,FALSE)+IF(AND(Calculator!B8=TRUE,Backdoors!BI40=TRUE),VLOOKUP(Calculator!E23,tbSkills!DH3:DJ6,3,FALSE),0),0))&gt;=100,100,(Backdoors!AI12+IF(JA73&gt;=0.45,VLOOKUP(Calculator!E23,tbSkills!DH3:DI6,2,FALSE)+IF(AND(Calculator!B8=TRUE,Backdoors!BI40=TRUE),VLOOKUP(Calculator!E23,tbSkills!DH3:DJ6,3,FALSE),0),0)))/100)),1),1)</f>
        <v>0.6</v>
      </c>
      <c r="JG73" s="87">
        <f t="shared" si="88"/>
        <v>0</v>
      </c>
      <c r="JH73" s="86" t="str">
        <f>IFERROR(IF(VLOOKUP(A73,tbMoveset!A2:B112,2,FALSE)="Sever",Backdoors!AY41/100,IF(VLOOKUP(A73,tbMoveset!A2:B112,2,FALSE)="Blunt",Backdoors!AZ41/100,Backdoors!BA41/100)),"")</f>
        <v/>
      </c>
      <c r="JI73" s="49">
        <f>IFERROR(IF(VLOOKUP(tbMoveset!A73,tbMoveset!A2:H112,8,FALSE)="Other",IF(VLOOKUP(tbMoveset!A73,tbMoveset!A2:I112,9,FALSE)="Fire",Backdoors!BB41,IF(VLOOKUP(tbMoveset!A73,tbMoveset!A2:I112,9,FALSE)="Water",Backdoors!BC41,IF(VLOOKUP(tbMoveset!A73,tbMoveset!A2:I112,9,FALSE)="Thunder",Backdoors!BD41,IF(VLOOKUP(tbMoveset!A73,tbMoveset!A2:I112,9,FALSE)="Ice",Backdoors!BE41,IF(VLOOKUP(tbMoveset!A73,tbMoveset!A2:I112,9,FALSE)="Dragon",Backdoors!BF41,Backdoors!BG41)))))/100,Backdoors!BG41/100),"")</f>
        <v>0</v>
      </c>
      <c r="JJ73" s="49">
        <f>IFERROR(IF(VLOOKUP(A73,tbMoveset!A2:J112,10,FALSE)=TRUE,IF((Backdoors!AI12+IF(JH73&gt;=0.45,VLOOKUP(Calculator!E23,tbSkills!DH3:DI6,2,FALSE)+IF(AND(Calculator!B8=TRUE,Backdoors!BI41=TRUE),VLOOKUP(Calculator!E23,tbSkills!DH3:DJ6,3,FALSE),0),0))&gt;=0,1+(Backdoors!AL2*(IF((Backdoors!AI12+IF(JH73&gt;=0.45,VLOOKUP(Calculator!E23,tbSkills!DH3:DI6,2,FALSE)+IF(AND(Calculator!B8=TRUE,Backdoors!BI41=TRUE),VLOOKUP(Calculator!E23,tbSkills!DH3:DJ6,3,FALSE),0),0))&gt;=100,100,(Backdoors!AI12+IF(JH73&gt;=0.45,VLOOKUP(Calculator!E23,tbSkills!DH3:DI6,2,FALSE)+IF(AND(Calculator!B8=TRUE,Backdoors!BI41=TRUE),VLOOKUP(Calculator!E23,tbSkills!DH3:DJ6,3,FALSE),0),0)))/100)),(1-(0.25*((-Backdoors!AI12-IF(JH73&gt;=0.45,VLOOKUP(Calculator!E23,tbSkills!DH3:DI6,2,FALSE)+IF(AND(Calculator!B8=TRUE,Backdoors!BI41=TRUE),VLOOKUP(Calculator!E23,tbSkills!DH3:DJ6,3,FALSE),0),0))/100)))),1),"")</f>
        <v>1</v>
      </c>
      <c r="JK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H73)*JJ73)*(VLOOKUP(A73,tbMoveset!A2:C112,3,FALSE)/100)*IF(VLOOKUP(A73,tbMoveset!A2:B112,2,FALSE)="Projectile",Backdoors!N10,Backdoors!N9),0),"")</f>
        <v/>
      </c>
      <c r="JL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43&gt;0,VLOOKUP(Calculator!E43,tbSkills!AC3:AD5,2,FALSE),Backdoors!AL3)*(IF((Backdoors!AI12+IF(JH73&gt;=0.45,VLOOKUP(Calculator!E23,tbSkills!DH3:DI6,2,FALSE)+IF(AND(Calculator!B8=TRUE,Backdoors!BI41=TRUE),VLOOKUP(Calculator!E23,tbSkills!DH3:DJ6,3,FALSE),0),0))&gt;=100,100,(Backdoors!AI12+IF(JH73&gt;=0.45,VLOOKUP(Calculator!E23,tbSkills!DH3:DI6,2,FALSE)+IF(AND(Calculator!B8=TRUE,Backdoors!BI41=TRUE),VLOOKUP(Calculator!E23,tbSkills!DH3:DJ6,3,FALSE),0),0)))/100)),1))*IF(VLOOKUP(A73,tbMoveset!A2:K112,11,FALSE)=TRUE,Backdoors!AC5,1))*JI73,0),"")</f>
        <v/>
      </c>
      <c r="JM73" s="49">
        <f>VLOOKUP(A73,tbMoveset!A2:G112,7,FALSE)*IFERROR(IF(Backdoors!AI12&gt;=0,1+(IF(Calculator!E40&gt;0,VLOOKUP(Calculator!E40,tbSkills!AI3:AJ5,2,FALSE),Backdoors!AL4)*(IF((Backdoors!AI12+IF(JH73&gt;=0.45,VLOOKUP(Calculator!E23,tbSkills!DH3:DI6,2,FALSE)+IF(AND(Calculator!B8=TRUE,Backdoors!BI41=TRUE),VLOOKUP(Calculator!E23,tbSkills!DH3:DJ6,3,FALSE),0),0))&gt;=100,100,(Backdoors!AI12+IF(JH73&gt;=0.45,VLOOKUP(Calculator!E23,tbSkills!DH3:DI6,2,FALSE)+IF(AND(Calculator!B8=TRUE,Backdoors!BI41=TRUE),VLOOKUP(Calculator!E23,tbSkills!DH3:DJ6,3,FALSE),0),0)))/100)),1),1)</f>
        <v>0.6</v>
      </c>
      <c r="JN73" s="87">
        <f t="shared" si="89"/>
        <v>0</v>
      </c>
      <c r="JO73" s="86" t="str">
        <f>IFERROR(IF(VLOOKUP(A73,tbMoveset!A2:B112,2,FALSE)="Sever",Backdoors!AY42/100,IF(VLOOKUP(A73,tbMoveset!A2:B112,2,FALSE)="Blunt",Backdoors!AZ42/100,Backdoors!BA42/100)),"")</f>
        <v/>
      </c>
      <c r="JP73" s="49">
        <f>IFERROR(IF(VLOOKUP(tbMoveset!A73,tbMoveset!A2:H112,8,FALSE)="Other",IF(VLOOKUP(tbMoveset!A73,tbMoveset!A2:I112,9,FALSE)="Fire",Backdoors!BB42,IF(VLOOKUP(tbMoveset!A73,tbMoveset!A2:I112,9,FALSE)="Water",Backdoors!BC42,IF(VLOOKUP(tbMoveset!A73,tbMoveset!A2:I112,9,FALSE)="Thunder",Backdoors!BD42,IF(VLOOKUP(tbMoveset!A73,tbMoveset!A2:I112,9,FALSE)="Ice",Backdoors!BE42,IF(VLOOKUP(tbMoveset!A73,tbMoveset!A2:I112,9,FALSE)="Dragon",Backdoors!BF42,Backdoors!BG42)))))/100,Backdoors!BG42/100),"")</f>
        <v>0</v>
      </c>
      <c r="JQ73" s="49">
        <f>IFERROR(IF(VLOOKUP(A73,tbMoveset!A2:J112,10,FALSE)=TRUE,IF((Backdoors!AI12+IF(JO73&gt;=0.45,VLOOKUP(Calculator!E23,tbSkills!DH3:DI6,2,FALSE)+IF(AND(Calculator!B8=TRUE,Backdoors!BI42=TRUE),VLOOKUP(Calculator!E23,tbSkills!DH3:DJ6,3,FALSE),0),0))&gt;=0,1+(Backdoors!AL2*(IF((Backdoors!AI12+IF(JO73&gt;=0.45,VLOOKUP(Calculator!E23,tbSkills!DH3:DI6,2,FALSE)+IF(AND(Calculator!B8=TRUE,Backdoors!BI42=TRUE),VLOOKUP(Calculator!E23,tbSkills!DH3:DJ6,3,FALSE),0),0))&gt;=100,100,(Backdoors!AI12+IF(JO73&gt;=0.45,VLOOKUP(Calculator!E23,tbSkills!DH3:DI6,2,FALSE)+IF(AND(Calculator!B8=TRUE,Backdoors!BI42=TRUE),VLOOKUP(Calculator!E23,tbSkills!DH3:DJ6,3,FALSE),0),0)))/100)),(1-(0.25*((-Backdoors!AI12-IF(JO73&gt;=0.45,VLOOKUP(Calculator!E23,tbSkills!DH3:DI6,2,FALSE)+IF(AND(Calculator!B8=TRUE,Backdoors!BI42=TRUE),VLOOKUP(Calculator!E23,tbSkills!DH3:DJ6,3,FALSE),0),0))/100)))),1),"")</f>
        <v>1</v>
      </c>
      <c r="JR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O73)*JQ73)*(VLOOKUP(A73,tbMoveset!A2:C112,3,FALSE)/100)*IF(VLOOKUP(A73,tbMoveset!A2:B112,2,FALSE)="Projectile",Backdoors!N10,Backdoors!N9),0),"")</f>
        <v/>
      </c>
      <c r="JS73" s="49">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45&gt;0,VLOOKUP(Calculator!E45,tbSkills!AC3:AD5,2,FALSE),Backdoors!AL3)*(IF((Backdoors!AI12+IF(JO73&gt;=0.45,VLOOKUP(Calculator!E23,tbSkills!DH3:DI6,2,FALSE)+IF(AND(Calculator!B8=TRUE,Backdoors!BI42=TRUE),VLOOKUP(Calculator!E23,tbSkills!DH3:DJ6,3,FALSE),0),0))&gt;=100,100,(Backdoors!AI12+IF(JO73&gt;=0.45,VLOOKUP(Calculator!E23,tbSkills!DH3:DI6,2,FALSE)+IF(AND(Calculator!B8=TRUE,Backdoors!BI42=TRUE),VLOOKUP(Calculator!E23,tbSkills!DH3:DJ6,3,FALSE),0),0)))/100)),1))*IF(VLOOKUP(A73,tbMoveset!A2:K112,11,FALSE)=TRUE,Backdoors!AC5,1))*JP73,0),"")</f>
        <v>0</v>
      </c>
      <c r="JT73" s="49">
        <f>VLOOKUP(A73,tbMoveset!A2:G112,7,FALSE)*IFERROR(IF(Backdoors!AI12&gt;=0,1+(IF(Calculator!E40&gt;0,VLOOKUP(Calculator!E40,tbSkills!AI3:AJ5,2,FALSE),Backdoors!AL4)*(IF((Backdoors!AI12+IF(JO73&gt;=0.45,VLOOKUP(Calculator!E23,tbSkills!DH3:DI6,2,FALSE)+IF(AND(Calculator!B8=TRUE,Backdoors!BI42=TRUE),VLOOKUP(Calculator!E23,tbSkills!DH3:DJ6,3,FALSE),0),0))&gt;=100,100,(Backdoors!AI12+IF(JO73&gt;=0.45,VLOOKUP(Calculator!E23,tbSkills!DH3:DI6,2,FALSE)+IF(AND(Calculator!B8=TRUE,Backdoors!BI42=TRUE),VLOOKUP(Calculator!E23,tbSkills!DH3:DJ6,3,FALSE),0),0)))/100)),1),1)</f>
        <v>0.6</v>
      </c>
      <c r="JU73" s="87">
        <f t="shared" si="90"/>
        <v>0</v>
      </c>
      <c r="JV73" s="86" t="str">
        <f>IFERROR(IF(VLOOKUP(A73,tbMoveset!A2:B112,2,FALSE)="Sever",Backdoors!AY43/100,IF(VLOOKUP(A73,tbMoveset!A2:B112,2,FALSE)="Blunt",Backdoors!AZ43/100,Backdoors!BA43/100)),"")</f>
        <v/>
      </c>
      <c r="JW73" s="49">
        <f>IFERROR(IF(VLOOKUP(tbMoveset!A73,tbMoveset!A2:H112,8,FALSE)="Other",IF(VLOOKUP(tbMoveset!A73,tbMoveset!A2:I112,9,FALSE)="Fire",Backdoors!BB43,IF(VLOOKUP(tbMoveset!A73,tbMoveset!A2:I112,9,FALSE)="Water",Backdoors!BC43,IF(VLOOKUP(tbMoveset!A73,tbMoveset!A2:I112,9,FALSE)="Thunder",Backdoors!BD43,IF(VLOOKUP(tbMoveset!A73,tbMoveset!A2:I112,9,FALSE)="Ice",Backdoors!BE43,IF(VLOOKUP(tbMoveset!A73,tbMoveset!A2:I112,9,FALSE)="Dragon",Backdoors!BF43,Backdoors!BG43)))))/100,Backdoors!BG43/100),"")</f>
        <v>0</v>
      </c>
      <c r="JX73" s="49">
        <f>IFERROR(IF(VLOOKUP(A73,tbMoveset!A2:J112,10,FALSE)=TRUE,IF((Backdoors!AI12+IF(JV73&gt;=0.45,VLOOKUP(Calculator!E23,tbSkills!DH3:DI6,2,FALSE)+IF(AND(Calculator!B8=TRUE,Backdoors!BI43=TRUE),VLOOKUP(Calculator!E23,tbSkills!DH3:DJ6,3,FALSE),0),0))&gt;=0,1+(Backdoors!AL2*(IF((Backdoors!AI12+IF(JV73&gt;=0.45,VLOOKUP(Calculator!E23,tbSkills!DH3:DI6,2,FALSE)+IF(AND(Calculator!B8=TRUE,Backdoors!BI43=TRUE),VLOOKUP(Calculator!E23,tbSkills!DH3:DJ6,3,FALSE),0),0))&gt;=100,100,(Backdoors!AI12+IF(JV73&gt;=0.45,VLOOKUP(Calculator!E23,tbSkills!DH3:DI6,2,FALSE)+IF(AND(Calculator!B8=TRUE,Backdoors!BI43=TRUE),VLOOKUP(Calculator!E23,tbSkills!DH3:DJ6,3,FALSE),0),0)))/100)),(1-(0.25*((-Backdoors!AI12-IF(JV73&gt;=0.45,VLOOKUP(Calculator!E23,tbSkills!DH3:DI6,2,FALSE)+IF(AND(Calculator!B8=TRUE,Backdoors!BI43=TRUE),VLOOKUP(Calculator!E23,tbSkills!DH3:DJ6,3,FALSE),0),0))/100)))),1),"")</f>
        <v>1</v>
      </c>
      <c r="JY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V73)*JX73)*(VLOOKUP(A73,tbMoveset!A2:C112,3,FALSE)/100)*IF(VLOOKUP(A73,tbMoveset!A2:B112,2,FALSE)="Projectile",Backdoors!N10,Backdoors!N9),0),"")</f>
        <v/>
      </c>
      <c r="JZ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46&gt;0,VLOOKUP(Calculator!E46,tbSkills!AC3:AD5,2,FALSE),Backdoors!AL3)*(IF((Backdoors!AI12+IF(JV73&gt;=0.45,VLOOKUP(Calculator!E23,tbSkills!DH3:DI6,2,FALSE)+IF(AND(Calculator!B8=TRUE,Backdoors!BI43=TRUE),VLOOKUP(Calculator!E23,tbSkills!DH3:DJ6,3,FALSE),0),0))&gt;=100,100,(Backdoors!AI12+IF(JV73&gt;=0.45,VLOOKUP(Calculator!E23,tbSkills!DH3:DI6,2,FALSE)+IF(AND(Calculator!B8=TRUE,Backdoors!BI43=TRUE),VLOOKUP(Calculator!E23,tbSkills!DH3:DJ6,3,FALSE),0),0)))/100)),1))*IF(VLOOKUP(A73,tbMoveset!A2:K112,11,FALSE)=TRUE,Backdoors!AC5,1))*JW73,0),"")</f>
        <v/>
      </c>
      <c r="KA73" s="49">
        <f>VLOOKUP(A73,tbMoveset!A2:G112,7,FALSE)*IFERROR(IF(Backdoors!AI12&gt;=0,1+(IF(Calculator!E40&gt;0,VLOOKUP(Calculator!E40,tbSkills!AI3:AJ5,2,FALSE),Backdoors!AL4)*(IF((Backdoors!AI12+IF(JV73&gt;=0.45,VLOOKUP(Calculator!E23,tbSkills!DH3:DI6,2,FALSE)+IF(AND(Calculator!B8=TRUE,Backdoors!BI43=TRUE),VLOOKUP(Calculator!E23,tbSkills!DH3:DJ6,3,FALSE),0),0))&gt;=100,100,(Backdoors!AI12+IF(JV73&gt;=0.45,VLOOKUP(Calculator!E23,tbSkills!DH3:DI6,2,FALSE)+IF(AND(Calculator!B8=TRUE,Backdoors!BI43=TRUE),VLOOKUP(Calculator!E23,tbSkills!DH3:DJ6,3,FALSE),0),0)))/100)),1),1)</f>
        <v>0.6</v>
      </c>
      <c r="KB73" s="87">
        <f t="shared" si="91"/>
        <v>0</v>
      </c>
      <c r="KC73" s="86" t="str">
        <f>IFERROR(IF(VLOOKUP(A73,tbMoveset!A2:B112,2,FALSE)="Sever",Backdoors!AY44/100,IF(VLOOKUP(A73,tbMoveset!A2:B112,2,FALSE)="Blunt",Backdoors!AZ44/100,Backdoors!BA44/100)),"")</f>
        <v/>
      </c>
      <c r="KD73" s="49">
        <f>IFERROR(IF(VLOOKUP(tbMoveset!A73,tbMoveset!A2:H112,8,FALSE)="Other",IF(VLOOKUP(tbMoveset!A73,tbMoveset!A2:I112,9,FALSE)="Fire",Backdoors!BB44,IF(VLOOKUP(tbMoveset!A73,tbMoveset!A2:I112,9,FALSE)="Water",Backdoors!BC44,IF(VLOOKUP(tbMoveset!A73,tbMoveset!A2:I112,9,FALSE)="Thunder",Backdoors!BD44,IF(VLOOKUP(tbMoveset!A73,tbMoveset!A2:I112,9,FALSE)="Ice",Backdoors!BE44,IF(VLOOKUP(tbMoveset!A73,tbMoveset!A2:I112,9,FALSE)="Dragon",Backdoors!BF44,Backdoors!BG44)))))/100,Backdoors!BG44/100),"")</f>
        <v>0</v>
      </c>
      <c r="KE73" s="49">
        <f>IFERROR(IF(VLOOKUP(A73,tbMoveset!A2:J112,10,FALSE)=TRUE,IF((Backdoors!AI12+IF(KC73&gt;=0.45,VLOOKUP(Calculator!E23,tbSkills!DH3:DI6,2,FALSE)+IF(AND(Calculator!B8=TRUE,Backdoors!BI44=TRUE),VLOOKUP(Calculator!E23,tbSkills!DH3:DJ6,3,FALSE),0),0))&gt;=0,1+(Backdoors!AL2*(IF((Backdoors!AI12+IF(KC73&gt;=0.45,VLOOKUP(Calculator!E23,tbSkills!DH3:DI6,2,FALSE)+IF(AND(Calculator!B8=TRUE,Backdoors!BI44=TRUE),VLOOKUP(Calculator!E23,tbSkills!DH3:DJ6,3,FALSE),0),0))&gt;=100,100,(Backdoors!AI12+IF(KC73&gt;=0.45,VLOOKUP(Calculator!E23,tbSkills!DH3:DI6,2,FALSE)+IF(AND(Calculator!B8=TRUE,Backdoors!BI44=TRUE),VLOOKUP(Calculator!E23,tbSkills!DH3:DJ6,3,FALSE),0),0)))/100)),(1-(0.25*((-Backdoors!AI12-IF(KC73&gt;=0.45,VLOOKUP(Calculator!E23,tbSkills!DH3:DI6,2,FALSE)+IF(AND(Calculator!B8=TRUE,Backdoors!BI44=TRUE),VLOOKUP(Calculator!E23,tbSkills!DH3:DJ6,3,FALSE),0),0))/100)))),1),"")</f>
        <v>1</v>
      </c>
      <c r="KF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KC73)*KE73)*(VLOOKUP(A73,tbMoveset!A2:C112,3,FALSE)/100)*IF(VLOOKUP(A73,tbMoveset!A2:B112,2,FALSE)="Projectile",Backdoors!N10,Backdoors!N9),0),"")</f>
        <v/>
      </c>
      <c r="KG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REF!&gt;0,VLOOKUP(Calculator!#REF!,tbSkills!AC3:AD5,2,FALSE),Backdoors!AL3)*(IF((Backdoors!AI12+IF(KC73&gt;=0.45,VLOOKUP(Calculator!E23,tbSkills!DH3:DI6,2,FALSE)+IF(AND(Calculator!B8=TRUE,Backdoors!BI44=TRUE),VLOOKUP(Calculator!E23,tbSkills!DH3:DJ6,3,FALSE),0),0))&gt;=100,100,(Backdoors!AI12+IF(KC73&gt;=0.45,VLOOKUP(Calculator!E23,tbSkills!DH3:DI6,2,FALSE)+IF(AND(Calculator!B8=TRUE,Backdoors!BI44=TRUE),VLOOKUP(Calculator!E23,tbSkills!DH3:DJ6,3,FALSE),0),0)))/100)),1))*IF(VLOOKUP(A73,tbMoveset!A2:K112,11,FALSE)=TRUE,Backdoors!AC5,1))*KD73,0),"")</f>
        <v/>
      </c>
      <c r="KH73" s="49">
        <f>VLOOKUP(A73,tbMoveset!A2:G112,7,FALSE)*IFERROR(IF(Backdoors!AI12&gt;=0,1+(IF(Calculator!E40&gt;0,VLOOKUP(Calculator!E40,tbSkills!AI3:AJ5,2,FALSE),Backdoors!AL4)*(IF((Backdoors!AI12+IF(KC73&gt;=0.45,VLOOKUP(Calculator!E23,tbSkills!DH3:DI6,2,FALSE)+IF(AND(Calculator!B8=TRUE,Backdoors!BI44=TRUE),VLOOKUP(Calculator!E23,tbSkills!DH3:DJ6,3,FALSE),0),0))&gt;=100,100,(Backdoors!AI12+IF(KC73&gt;=0.45,VLOOKUP(Calculator!E23,tbSkills!DH3:DI6,2,FALSE)+IF(AND(Calculator!B8=TRUE,Backdoors!BI44=TRUE),VLOOKUP(Calculator!E23,tbSkills!DH3:DJ6,3,FALSE),0),0)))/100)),1),1)</f>
        <v>0.6</v>
      </c>
      <c r="KI73" s="87">
        <f t="shared" si="92"/>
        <v>0</v>
      </c>
      <c r="KJ73" s="86" t="str">
        <f>IFERROR(IF(VLOOKUP(A73,tbMoveset!A2:B112,2,FALSE)="Sever",Backdoors!AY45/100,IF(VLOOKUP(A73,tbMoveset!A2:B112,2,FALSE)="Blunt",Backdoors!AZ45/100,Backdoors!BA45/100)),"")</f>
        <v/>
      </c>
      <c r="KK73" s="49">
        <f>IFERROR(IF(VLOOKUP(tbMoveset!A73,tbMoveset!A2:H112,8,FALSE)="Other",IF(VLOOKUP(tbMoveset!A73,tbMoveset!A2:I112,9,FALSE)="Fire",Backdoors!BB45,IF(VLOOKUP(tbMoveset!A73,tbMoveset!A2:I112,9,FALSE)="Water",Backdoors!BC45,IF(VLOOKUP(tbMoveset!A73,tbMoveset!A2:I112,9,FALSE)="Thunder",Backdoors!BD45,IF(VLOOKUP(tbMoveset!A73,tbMoveset!A2:I112,9,FALSE)="Ice",Backdoors!BE45,IF(VLOOKUP(tbMoveset!A73,tbMoveset!A2:I112,9,FALSE)="Dragon",Backdoors!BF45,Backdoors!BG45)))))/100,Backdoors!BG45/100),"")</f>
        <v>0</v>
      </c>
      <c r="KL73" s="49">
        <f>IFERROR(IF(VLOOKUP(A73,tbMoveset!A2:J112,10,FALSE)=TRUE,IF((Backdoors!AI12+IF(KJ73&gt;=0.45,VLOOKUP(Calculator!E23,tbSkills!DH3:DI6,2,FALSE)+IF(AND(Calculator!B8=TRUE,Backdoors!BI45=TRUE),VLOOKUP(Calculator!E23,tbSkills!DH3:DJ6,3,FALSE),0),0))&gt;=0,1+(Backdoors!AL2*(IF((Backdoors!AI12+IF(KJ73&gt;=0.45,VLOOKUP(Calculator!E23,tbSkills!DH3:DI6,2,FALSE)+IF(AND(Calculator!B8=TRUE,Backdoors!BI45=TRUE),VLOOKUP(Calculator!E23,tbSkills!DH3:DJ6,3,FALSE),0),0))&gt;=100,100,(Backdoors!AI12+IF(KJ73&gt;=0.45,VLOOKUP(Calculator!E23,tbSkills!DH3:DI6,2,FALSE)+IF(AND(Calculator!B8=TRUE,Backdoors!BI45=TRUE),VLOOKUP(Calculator!E23,tbSkills!DH3:DJ6,3,FALSE),0),0)))/100)),(1-(0.25*((-Backdoors!AI12-IF(KJ73&gt;=0.45,VLOOKUP(Calculator!E23,tbSkills!DH3:DI6,2,FALSE)+IF(AND(Calculator!B8=TRUE,Backdoors!BI45=TRUE),VLOOKUP(Calculator!E23,tbSkills!DH3:DJ6,3,FALSE),0),0))/100)))),1),"")</f>
        <v>1</v>
      </c>
      <c r="KM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KJ73)*KL73)*(VLOOKUP(A73,tbMoveset!A2:C112,3,FALSE)/100)*IF(VLOOKUP(A73,tbMoveset!A2:B112,2,FALSE)="Projectile",Backdoors!N10,Backdoors!N9),0),"")</f>
        <v/>
      </c>
      <c r="KN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REF!&gt;0,VLOOKUP(Calculator!#REF!,tbSkills!AC3:AD5,2,FALSE),Backdoors!AL3)*(IF((Backdoors!AI12+IF(KJ73&gt;=0.45,VLOOKUP(Calculator!E23,tbSkills!DH3:DI6,2,FALSE)+IF(AND(Calculator!B8=TRUE,Backdoors!BI45=TRUE),VLOOKUP(Calculator!E23,tbSkills!DH3:DJ6,3,FALSE),0),0))&gt;=100,100,(Backdoors!AI12+IF(KJ73&gt;=0.45,VLOOKUP(Calculator!E23,tbSkills!DH3:DI6,2,FALSE)+IF(AND(Calculator!B8=TRUE,Backdoors!BI45=TRUE),VLOOKUP(Calculator!E23,tbSkills!DH3:DJ6,3,FALSE),0),0)))/100)),1))*IF(VLOOKUP(A73,tbMoveset!A2:K112,11,FALSE)=TRUE,Backdoors!AC5,1))*KK73,0),"")</f>
        <v/>
      </c>
      <c r="KO73" s="49">
        <f>VLOOKUP(A73,tbMoveset!A2:G112,7,FALSE)*IFERROR(IF(Backdoors!AI12&gt;=0,1+(IF(Calculator!E40&gt;0,VLOOKUP(Calculator!E40,tbSkills!AI3:AJ5,2,FALSE),Backdoors!AL4)*(IF((Backdoors!AI12+IF(KJ73&gt;=0.45,VLOOKUP(Calculator!E23,tbSkills!DH3:DI6,2,FALSE)+IF(AND(Calculator!B8=TRUE,Backdoors!BI45=TRUE),VLOOKUP(Calculator!E23,tbSkills!DH3:DJ6,3,FALSE),0),0))&gt;=100,100,(Backdoors!AI12+IF(KJ73&gt;=0.45,VLOOKUP(Calculator!E23,tbSkills!DH3:DI6,2,FALSE)+IF(AND(Calculator!B8=TRUE,Backdoors!BI45=TRUE),VLOOKUP(Calculator!E23,tbSkills!DH3:DJ6,3,FALSE),0),0)))/100)),1),1)</f>
        <v>0.6</v>
      </c>
      <c r="KP73" s="87">
        <f t="shared" si="93"/>
        <v>0</v>
      </c>
      <c r="KQ73" s="86" t="str">
        <f>IFERROR(IF(VLOOKUP(A73,tbMoveset!A2:B112,2,FALSE)="Sever",Backdoors!AY46/100,IF(VLOOKUP(A73,tbMoveset!A2:B112,2,FALSE)="Blunt",Backdoors!AZ46/100,Backdoors!BA46/100)),"")</f>
        <v/>
      </c>
      <c r="KR73" s="49">
        <f>IFERROR(IF(VLOOKUP(tbMoveset!A73,tbMoveset!A2:H112,8,FALSE)="Other",IF(VLOOKUP(tbMoveset!A73,tbMoveset!A2:I112,9,FALSE)="Fire",Backdoors!BB46,IF(VLOOKUP(tbMoveset!A73,tbMoveset!A2:I112,9,FALSE)="Water",Backdoors!BC46,IF(VLOOKUP(tbMoveset!A73,tbMoveset!A2:I112,9,FALSE)="Thunder",Backdoors!BD46,IF(VLOOKUP(tbMoveset!A73,tbMoveset!A2:I112,9,FALSE)="Ice",Backdoors!BE46,IF(VLOOKUP(tbMoveset!A73,tbMoveset!A2:I112,9,FALSE)="Dragon",Backdoors!BF46,Backdoors!BG46)))))/100,Backdoors!BG46/100),"")</f>
        <v>0</v>
      </c>
      <c r="KS73" s="49">
        <f>IFERROR(IF(VLOOKUP(A73,tbMoveset!A2:J112,10,FALSE)=TRUE,IF((Backdoors!AI12+IF(KQ73&gt;=0.45,VLOOKUP(Calculator!E23,tbSkills!DH3:DI6,2,FALSE)+IF(AND(Calculator!B8=TRUE,Backdoors!BI46=TRUE),VLOOKUP(Calculator!E23,tbSkills!DH3:DJ6,3,FALSE),0),0))&gt;=0,1+(Backdoors!AL2*(IF((Backdoors!AI12+IF(KQ73&gt;=0.45,VLOOKUP(Calculator!E23,tbSkills!DH3:DI6,2,FALSE)+IF(AND(Calculator!B8=TRUE,Backdoors!BI46=TRUE),VLOOKUP(Calculator!E23,tbSkills!DH3:DJ6,3,FALSE),0),0))&gt;=100,100,(Backdoors!AI12+IF(KQ73&gt;=0.45,VLOOKUP(Calculator!E23,tbSkills!DH3:DI6,2,FALSE)+IF(AND(Calculator!B8=TRUE,Backdoors!BI46=TRUE),VLOOKUP(Calculator!E23,tbSkills!DH3:DJ6,3,FALSE),0),0)))/100)),(1-(0.25*((-Backdoors!AI12-IF(KQ73&gt;=0.45,VLOOKUP(Calculator!E23,tbSkills!DH3:DI6,2,FALSE)+IF(AND(Calculator!B8=TRUE,Backdoors!BI46=TRUE),VLOOKUP(Calculator!E23,tbSkills!DH3:DJ6,3,FALSE),0),0))/100)))),1),"")</f>
        <v>1</v>
      </c>
      <c r="KT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KQ73)*KS73)*(VLOOKUP(A73,tbMoveset!A2:C112,3,FALSE)/100)*IF(VLOOKUP(A73,tbMoveset!A2:B112,2,FALSE)="Projectile",Backdoors!N10,Backdoors!N9),0),"")</f>
        <v/>
      </c>
      <c r="KU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REF!&gt;0,VLOOKUP(Calculator!#REF!,tbSkills!AC3:AD5,2,FALSE),Backdoors!AL3)*(IF((Backdoors!AI12+IF(KQ73&gt;=0.45,VLOOKUP(Calculator!E23,tbSkills!DH3:DI6,2,FALSE)+IF(AND(Calculator!B8=TRUE,Backdoors!BI46=TRUE),VLOOKUP(Calculator!E23,tbSkills!DH3:DJ6,3,FALSE),0),0))&gt;=100,100,(Backdoors!AI12+IF(KQ73&gt;=0.45,VLOOKUP(Calculator!E23,tbSkills!DH3:DI6,2,FALSE)+IF(AND(Calculator!B8=TRUE,Backdoors!BI46=TRUE),VLOOKUP(Calculator!E23,tbSkills!DH3:DJ6,3,FALSE),0),0)))/100)),1))*IF(VLOOKUP(A73,tbMoveset!A2:K112,11,FALSE)=TRUE,Backdoors!AC5,1))*KR73,0),"")</f>
        <v/>
      </c>
      <c r="KV73" s="49">
        <f>VLOOKUP(A73,tbMoveset!A2:G112,7,FALSE)*IFERROR(IF(Backdoors!AI12&gt;=0,1+(IF(Calculator!E40&gt;0,VLOOKUP(Calculator!E40,tbSkills!AI3:AJ5,2,FALSE),Backdoors!AL4)*(IF((Backdoors!AI12+IF(KQ73&gt;=0.45,VLOOKUP(Calculator!E23,tbSkills!DH3:DI6,2,FALSE)+IF(AND(Calculator!B8=TRUE,Backdoors!BI46=TRUE),VLOOKUP(Calculator!E23,tbSkills!DH3:DJ6,3,FALSE),0),0))&gt;=100,100,(Backdoors!AI12+IF(KQ73&gt;=0.45,VLOOKUP(Calculator!E23,tbSkills!DH3:DI6,2,FALSE)+IF(AND(Calculator!B8=TRUE,Backdoors!BI46=TRUE),VLOOKUP(Calculator!E23,tbSkills!DH3:DJ6,3,FALSE),0),0)))/100)),1),1)</f>
        <v>0.6</v>
      </c>
      <c r="KW73" s="87">
        <f t="shared" si="94"/>
        <v>0</v>
      </c>
    </row>
    <row r="74" spans="1:309" x14ac:dyDescent="0.25">
      <c r="A74" s="95" t="str">
        <f>tbMoveset!A74</f>
        <v>Sliding Slash (R1)</v>
      </c>
      <c r="B74" s="86">
        <f>IFERROR(IF(VLOOKUP(A74,tbMoveset!A2:B112,2,FALSE)="Sever",Backdoors!AY3/100,IF(VLOOKUP(A74,tbMoveset!A2:B112,2,FALSE)="Blunt",Backdoors!AZ3/100,Backdoors!BA3/100)),"")</f>
        <v>0.8</v>
      </c>
      <c r="C74" s="49">
        <f>IFERROR(IF(VLOOKUP(tbMoveset!A74,tbMoveset!A2:H112,8,FALSE)="Other",IF(VLOOKUP(tbMoveset!A74,tbMoveset!A2:I112,9,FALSE)="Fire",Backdoors!BB3,IF(VLOOKUP(tbMoveset!A74,tbMoveset!A2:I112,9,FALSE)="Water",Backdoors!BC3,IF(VLOOKUP(tbMoveset!A74,tbMoveset!A2:I112,9,FALSE)="Thunder",Backdoors!BD3,IF(VLOOKUP(tbMoveset!A74,tbMoveset!A2:I112,9,FALSE)="Ice",Backdoors!BE3,IF(VLOOKUP(tbMoveset!A74,tbMoveset!A2:I112,9,FALSE)="Dragon",Backdoors!BF3,Backdoors!BG3)))))/100,Backdoors!BG3/100),"")</f>
        <v>0</v>
      </c>
      <c r="D74" s="49">
        <f>IFERROR(IF(VLOOKUP(A74,tbMoveset!A2:J112,10,FALSE)=TRUE,IF((Backdoors!AI12+IF(B74&gt;=0.45,VLOOKUP(Calculator!E23,tbSkills!DH3:DI6,2,FALSE)+IF(AND(Calculator!B8=TRUE,Backdoors!BI3=TRUE),VLOOKUP(Calculator!E23,tbSkills!DH3:DJ6,3,FALSE),0),0))&gt;=0,1+(Backdoors!AL2*(IF((Backdoors!AI12+IF(B74&gt;=0.45,VLOOKUP(Calculator!E23,tbSkills!DH3:DI6,2,FALSE)+IF(AND(Calculator!B8=TRUE,Backdoors!BI3=TRUE),VLOOKUP(Calculator!E23,tbSkills!DH3:DJ6,3,FALSE),0),0))&gt;=100,100,(Backdoors!AI12+IF(B74&gt;=0.45,VLOOKUP(Calculator!E23,tbSkills!DH3:DI6,2,FALSE)+IF(AND(Calculator!B8=TRUE,Backdoors!BI3=TRUE),VLOOKUP(Calculator!E23,tbSkills!DH3:DJ6,3,FALSE),0),0)))/100)),(1-(0.25*((-Backdoors!AI12-IF(B74&gt;=0.45,VLOOKUP(Calculator!E23,tbSkills!DH3:DI6,2,FALSE)+IF(AND(Calculator!B8=TRUE,Backdoors!BI3=TRUE),VLOOKUP(Calculator!E23,tbSkills!DH3:DJ6,3,FALSE),0),0))/100)))),1),"")</f>
        <v>1</v>
      </c>
      <c r="E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74)*D74)*(VLOOKUP(A74,tbMoveset!A2:C112,3,FALSE)/100)*IF(VLOOKUP(A74,tbMoveset!A2:B112,2,FALSE)="Projectile",Backdoors!N10,Backdoors!N9),0),"")</f>
        <v>7</v>
      </c>
      <c r="F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74&gt;=0.45,VLOOKUP(Calculator!E23,tbSkills!DH3:DI6,2,FALSE)+IF(AND(Calculator!B8=TRUE,Backdoors!BI3=TRUE),VLOOKUP(Calculator!E23,tbSkills!DH3:DJ6,3,FALSE),0),0))&gt;=100,100,(Backdoors!AI12+IF(B74&gt;=0.45,VLOOKUP(Calculator!E23,tbSkills!DH3:DI6,2,FALSE)+IF(AND(Calculator!B8=TRUE,Backdoors!BI3=TRUE),VLOOKUP(Calculator!E23,tbSkills!DH3:DJ6,3,FALSE),0),0)))/100)),1))*IF(VLOOKUP(A74,tbMoveset!A2:K112,11,FALSE)=TRUE,Backdoors!AC5,1))*C74,0),"")</f>
        <v>0</v>
      </c>
      <c r="G74">
        <f>VLOOKUP(A74,tbMoveset!A2:G112,7,FALSE)*IFERROR(IF(Backdoors!AI12&gt;=0,1+(IF(Calculator!E40&gt;0,VLOOKUP(Calculator!E40,tbSkills!AI3:AJ5,2,FALSE),Backdoors!AL4)*(IF((Backdoors!AI12+IF(B74&gt;=0.45,VLOOKUP(Calculator!E23,tbSkills!DH3:DI6,2,FALSE)+IF(AND(Calculator!B8=TRUE,Backdoors!BI3=TRUE),VLOOKUP(Calculator!E23,tbSkills!DH3:DJ6,3,FALSE),0),0))&gt;=100,100,(Backdoors!AI12+IF(B74&gt;=0.45,VLOOKUP(Calculator!E23,tbSkills!DH3:DI6,2,FALSE)+IF(AND(Calculator!B8=TRUE,Backdoors!BI3=TRUE),VLOOKUP(Calculator!E23,tbSkills!DH3:DJ6,3,FALSE),0),0)))/100)),1),1)</f>
        <v>0.6</v>
      </c>
      <c r="H74" s="87">
        <f t="shared" si="51"/>
        <v>7</v>
      </c>
      <c r="I74" s="86">
        <f>IFERROR(IF(VLOOKUP(A74,tbMoveset!A2:B112,2,FALSE)="Sever",Backdoors!AY4/100,IF(VLOOKUP(A74,tbMoveset!A2:B112,2,FALSE)="Blunt",Backdoors!AZ4/100,Backdoors!BA4/100)),"")</f>
        <v>0.65</v>
      </c>
      <c r="J74" s="49">
        <f>IFERROR(IF(VLOOKUP(tbMoveset!A74,tbMoveset!A2:H112,8,FALSE)="Other",IF(VLOOKUP(tbMoveset!A74,tbMoveset!A2:I112,9,FALSE)="Fire",Backdoors!BB4,IF(VLOOKUP(tbMoveset!A74,tbMoveset!A2:I112,9,FALSE)="Water",Backdoors!BC4,IF(VLOOKUP(tbMoveset!A74,tbMoveset!A2:I112,9,FALSE)="Thunder",Backdoors!BD4,IF(VLOOKUP(tbMoveset!A74,tbMoveset!A2:I112,9,FALSE)="Ice",Backdoors!BE4,IF(VLOOKUP(tbMoveset!A74,tbMoveset!A2:I112,9,FALSE)="Dragon",Backdoors!BF4,Backdoors!BG4)))))/100,Backdoors!BG4/100),"")</f>
        <v>0</v>
      </c>
      <c r="K74" s="49">
        <f>IFERROR(IF(VLOOKUP(A74,tbMoveset!A2:J112,10,FALSE)=TRUE,IF((Backdoors!AI12+IF(I74&gt;=0.45,VLOOKUP(Calculator!E23,tbSkills!DH3:DI6,2,FALSE)+IF(AND(Calculator!B8=TRUE,Backdoors!BI4=TRUE),VLOOKUP(Calculator!E23,tbSkills!DH3:DJ6,3,FALSE),0),0))&gt;=0,1+(Backdoors!AL2*(IF((Backdoors!AI12+IF(I74&gt;=0.45,VLOOKUP(Calculator!E23,tbSkills!DH3:DI6,2,FALSE)+IF(AND(Calculator!B8=TRUE,Backdoors!BI4=TRUE),VLOOKUP(Calculator!E23,tbSkills!DH3:DJ6,3,FALSE),0),0))&gt;=100,100,(Backdoors!AI12+IF(I74&gt;=0.45,VLOOKUP(Calculator!E23,tbSkills!DH3:DI6,2,FALSE)+IF(AND(Calculator!B8=TRUE,Backdoors!BI4=TRUE),VLOOKUP(Calculator!E23,tbSkills!DH3:DJ6,3,FALSE),0),0)))/100)),(1-(0.25*((-Backdoors!AI12-IF(I74&gt;=0.45,VLOOKUP(Calculator!E23,tbSkills!DH3:DI6,2,FALSE)+IF(AND(Calculator!B8=TRUE,Backdoors!BI4=TRUE),VLOOKUP(Calculator!E23,tbSkills!DH3:DJ6,3,FALSE),0),0))/100)))),1),"")</f>
        <v>1</v>
      </c>
      <c r="L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74)*K74)*(VLOOKUP(A74,tbMoveset!A2:C112,3,FALSE)/100)*IF(VLOOKUP(A74,tbMoveset!A2:B112,2,FALSE)="Projectile",Backdoors!N10,Backdoors!N9),0),"")</f>
        <v>5</v>
      </c>
      <c r="M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I74&gt;=0.45,VLOOKUP(Calculator!E23,tbSkills!DH3:DI6,2,FALSE)+IF(AND(Calculator!B8=TRUE,Backdoors!BI4=TRUE),VLOOKUP(Calculator!E23,tbSkills!DH3:DJ6,3,FALSE),0),0))&gt;=100,100,(Backdoors!AI12+IF(I74&gt;=0.45,VLOOKUP(Calculator!E23,tbSkills!DH3:DI6,2,FALSE)+IF(AND(Calculator!B8=TRUE,Backdoors!BI4=TRUE),VLOOKUP(Calculator!E23,tbSkills!DH3:DJ6,3,FALSE),0),0)))/100)),1))*IF(VLOOKUP(A74,tbMoveset!A2:K112,11,FALSE)=TRUE,Backdoors!AC5,1))*J74,0),"")</f>
        <v>0</v>
      </c>
      <c r="N74" s="49">
        <f>VLOOKUP(A74,tbMoveset!A2:G112,7,FALSE)*IFERROR(IF(Backdoors!AI12&gt;=0,1+(IF(Calculator!E40&gt;0,VLOOKUP(Calculator!E40,tbSkills!AI3:AJ5,2,FALSE),Backdoors!AL4)*(IF((Backdoors!AI12+IF(I74&gt;=0.45,VLOOKUP(Calculator!E23,tbSkills!DH3:DI6,2,FALSE)+IF(AND(Calculator!B8=TRUE,Backdoors!BI4=TRUE),VLOOKUP(Calculator!E23,tbSkills!DH3:DJ6,3,FALSE),0),0))&gt;=100,100,(Backdoors!AI12+IF(I74&gt;=0.45,VLOOKUP(Calculator!E23,tbSkills!DH3:DI6,2,FALSE)+IF(AND(Calculator!B8=TRUE,Backdoors!BI4=TRUE),VLOOKUP(Calculator!E23,tbSkills!DH3:DJ6,3,FALSE),0),0)))/100)),1),1)</f>
        <v>0.6</v>
      </c>
      <c r="O74" s="87">
        <f t="shared" si="52"/>
        <v>5</v>
      </c>
      <c r="P74" s="86">
        <f>IFERROR(IF(VLOOKUP(A74,tbMoveset!A2:B112,2,FALSE)="Sever",Backdoors!AY5/100,IF(VLOOKUP(A74,tbMoveset!A2:B112,2,FALSE)="Blunt",Backdoors!AZ5/100,Backdoors!BA5/100)),"")</f>
        <v>0.5</v>
      </c>
      <c r="Q74" s="49">
        <f>IFERROR(IF(VLOOKUP(tbMoveset!A74,tbMoveset!A2:H112,8,FALSE)="Other",IF(VLOOKUP(tbMoveset!A74,tbMoveset!A2:I112,9,FALSE)="Fire",Backdoors!BB5,IF(VLOOKUP(tbMoveset!A74,tbMoveset!A2:I112,9,FALSE)="Water",Backdoors!BC5,IF(VLOOKUP(tbMoveset!A74,tbMoveset!A2:I112,9,FALSE)="Thunder",Backdoors!BD5,IF(VLOOKUP(tbMoveset!A74,tbMoveset!A2:I112,9,FALSE)="Ice",Backdoors!BE5,IF(VLOOKUP(tbMoveset!A74,tbMoveset!A2:I112,9,FALSE)="Dragon",Backdoors!BF5,Backdoors!BG5)))))/100,Backdoors!BG5/100),"")</f>
        <v>0</v>
      </c>
      <c r="R74" s="49">
        <f>IFERROR(IF(VLOOKUP(A74,tbMoveset!A2:J112,10,FALSE)=TRUE,IF((Backdoors!AI12+IF(P74&gt;=0.45,VLOOKUP(Calculator!E23,tbSkills!DH3:DI6,2,FALSE)+IF(AND(Calculator!B8=TRUE,Backdoors!BI5=TRUE),VLOOKUP(Calculator!E23,tbSkills!DH3:DJ6,3,FALSE),0),0))&gt;=0,1+(Backdoors!AL2*(IF((Backdoors!AI12+IF(P74&gt;=0.45,VLOOKUP(Calculator!E23,tbSkills!DH3:DI6,2,FALSE)+IF(AND(Calculator!B8=TRUE,Backdoors!BI5=TRUE),VLOOKUP(Calculator!E23,tbSkills!DH3:DJ6,3,FALSE),0),0))&gt;=100,100,(Backdoors!AI12+IF(P74&gt;=0.45,VLOOKUP(Calculator!E23,tbSkills!DH3:DI6,2,FALSE)+IF(AND(Calculator!B8=TRUE,Backdoors!BI5=TRUE),VLOOKUP(Calculator!E23,tbSkills!DH3:DJ6,3,FALSE),0),0)))/100)),(1-(0.25*((-Backdoors!AI12-IF(P74&gt;=0.45,VLOOKUP(Calculator!E23,tbSkills!DH3:DI6,2,FALSE)+IF(AND(Calculator!B8=TRUE,Backdoors!BI5=TRUE),VLOOKUP(Calculator!E23,tbSkills!DH3:DJ6,3,FALSE),0),0))/100)))),1),"")</f>
        <v>1</v>
      </c>
      <c r="S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P74)*R74)*(VLOOKUP(A74,tbMoveset!A2:C112,3,FALSE)/100)*IF(VLOOKUP(A74,tbMoveset!A2:B112,2,FALSE)="Projectile",Backdoors!N10,Backdoors!N9),0),"")</f>
        <v>4</v>
      </c>
      <c r="T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P74&gt;=0.45,VLOOKUP(Calculator!E23,tbSkills!DH3:DI6,2,FALSE)+IF(AND(Calculator!B8=TRUE,Backdoors!BI5=TRUE),VLOOKUP(Calculator!E23,tbSkills!DH3:DJ6,3,FALSE),0),0))&gt;=100,100,(Backdoors!AI12+IF(P74&gt;=0.45,VLOOKUP(Calculator!E23,tbSkills!DH3:DI6,2,FALSE)+IF(AND(Calculator!B8=TRUE,Backdoors!BI5=TRUE),VLOOKUP(Calculator!E23,tbSkills!DH3:DJ6,3,FALSE),0),0)))/100)),1))*IF(VLOOKUP(A74,tbMoveset!A2:K112,11,FALSE)=TRUE,Backdoors!AC5,1))*Q74,0),"")</f>
        <v>0</v>
      </c>
      <c r="U74" s="49">
        <f>VLOOKUP(A74,tbMoveset!A2:G112,7,FALSE)*IFERROR(IF(Backdoors!AI12&gt;=0,1+(IF(Calculator!E40&gt;0,VLOOKUP(Calculator!E40,tbSkills!AI3:AJ5,2,FALSE),Backdoors!AL4)*(IF((Backdoors!AI12+IF(P74&gt;=0.45,VLOOKUP(Calculator!E23,tbSkills!DH3:DI6,2,FALSE)+IF(AND(Calculator!B8=TRUE,Backdoors!BI5=TRUE),VLOOKUP(Calculator!E23,tbSkills!DH3:DJ6,3,FALSE),0),0))&gt;=100,100,(Backdoors!AI12+IF(P74&gt;=0.45,VLOOKUP(Calculator!E23,tbSkills!DH3:DI6,2,FALSE)+IF(AND(Calculator!B8=TRUE,Backdoors!BI5=TRUE),VLOOKUP(Calculator!E23,tbSkills!DH3:DJ6,3,FALSE),0),0)))/100)),1),1)</f>
        <v>0.6</v>
      </c>
      <c r="V74" s="87">
        <f t="shared" si="53"/>
        <v>4</v>
      </c>
      <c r="W74" s="86">
        <f>IFERROR(IF(VLOOKUP(A74,tbMoveset!A2:B112,2,FALSE)="Sever",Backdoors!AY6/100,IF(VLOOKUP(A74,tbMoveset!A2:B112,2,FALSE)="Blunt",Backdoors!AZ6/100,Backdoors!BA6/100)),"")</f>
        <v>0.45</v>
      </c>
      <c r="X74" s="49">
        <f>IFERROR(IF(VLOOKUP(tbMoveset!A74,tbMoveset!A2:H112,8,FALSE)="Other",IF(VLOOKUP(tbMoveset!A74,tbMoveset!A2:I112,9,FALSE)="Fire",Backdoors!BB6,IF(VLOOKUP(tbMoveset!A74,tbMoveset!A2:I112,9,FALSE)="Water",Backdoors!BC6,IF(VLOOKUP(tbMoveset!A74,tbMoveset!A2:I112,9,FALSE)="Thunder",Backdoors!BD6,IF(VLOOKUP(tbMoveset!A74,tbMoveset!A2:I112,9,FALSE)="Ice",Backdoors!BE6,IF(VLOOKUP(tbMoveset!A74,tbMoveset!A2:I112,9,FALSE)="Dragon",Backdoors!BF6,Backdoors!BG6)))))/100,Backdoors!BG6/100),"")</f>
        <v>0</v>
      </c>
      <c r="Y74" s="49">
        <f>IFERROR(IF(VLOOKUP(A74,tbMoveset!A2:J112,10,FALSE)=TRUE,IF((Backdoors!AI12+IF(W74&gt;=0.45,VLOOKUP(Calculator!E23,tbSkills!DH3:DI6,2,FALSE)+IF(AND(Calculator!B8=TRUE,Backdoors!BI6=TRUE),VLOOKUP(Calculator!E23,tbSkills!DH3:DJ6,3,FALSE),0),0))&gt;=0,1+(Backdoors!AL2*(IF((Backdoors!AI12+IF(W74&gt;=0.45,VLOOKUP(Calculator!E23,tbSkills!DH3:DI6,2,FALSE)+IF(AND(Calculator!B8=TRUE,Backdoors!BI6=TRUE),VLOOKUP(Calculator!E23,tbSkills!DH3:DJ6,3,FALSE),0),0))&gt;=100,100,(Backdoors!AI12+IF(W74&gt;=0.45,VLOOKUP(Calculator!E23,tbSkills!DH3:DI6,2,FALSE)+IF(AND(Calculator!B8=TRUE,Backdoors!BI6=TRUE),VLOOKUP(Calculator!E23,tbSkills!DH3:DJ6,3,FALSE),0),0)))/100)),(1-(0.25*((-Backdoors!AI12-IF(W74&gt;=0.45,VLOOKUP(Calculator!E23,tbSkills!DH3:DI6,2,FALSE)+IF(AND(Calculator!B8=TRUE,Backdoors!BI6=TRUE),VLOOKUP(Calculator!E23,tbSkills!DH3:DJ6,3,FALSE),0),0))/100)))),1),"")</f>
        <v>1</v>
      </c>
      <c r="Z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W74)*Y74)*(VLOOKUP(A74,tbMoveset!A2:C112,3,FALSE)/100)*IF(VLOOKUP(A74,tbMoveset!A2:B112,2,FALSE)="Projectile",Backdoors!N10,Backdoors!N9),0),"")</f>
        <v>4</v>
      </c>
      <c r="AA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W74&gt;=0.45,VLOOKUP(Calculator!E23,tbSkills!DH3:DI6,2,FALSE)+IF(AND(Calculator!B8=TRUE,Backdoors!BI6=TRUE),VLOOKUP(Calculator!E23,tbSkills!DH3:DJ6,3,FALSE),0),0))&gt;=100,100,(Backdoors!AI12+IF(W74&gt;=0.45,VLOOKUP(Calculator!E23,tbSkills!DH3:DI6,2,FALSE)+IF(AND(Calculator!B8=TRUE,Backdoors!BI6=TRUE),VLOOKUP(Calculator!E23,tbSkills!DH3:DJ6,3,FALSE),0),0)))/100)),1))*IF(VLOOKUP(A74,tbMoveset!A2:K112,11,FALSE)=TRUE,Backdoors!AC5,1))*X74,0),"")</f>
        <v>0</v>
      </c>
      <c r="AB74" s="49">
        <f>VLOOKUP(A74,tbMoveset!A2:G112,7,FALSE)*IFERROR(IF(Backdoors!AI12&gt;=0,1+(IF(Calculator!E40&gt;0,VLOOKUP(Calculator!E40,tbSkills!AI3:AJ5,2,FALSE),Backdoors!AL4)*(IF((Backdoors!AI12+IF(W74&gt;=0.45,VLOOKUP(Calculator!E23,tbSkills!DH3:DI6,2,FALSE)+IF(AND(Calculator!B8=TRUE,Backdoors!BI6=TRUE),VLOOKUP(Calculator!E23,tbSkills!DH3:DJ6,3,FALSE),0),0))&gt;=100,100,(Backdoors!AI12+IF(W74&gt;=0.45,VLOOKUP(Calculator!E23,tbSkills!DH3:DI6,2,FALSE)+IF(AND(Calculator!B8=TRUE,Backdoors!BI6=TRUE),VLOOKUP(Calculator!E23,tbSkills!DH3:DJ6,3,FALSE),0),0)))/100)),1),1)</f>
        <v>0.6</v>
      </c>
      <c r="AC74" s="87">
        <f t="shared" si="54"/>
        <v>4</v>
      </c>
      <c r="AD74" s="86">
        <f>IFERROR(IF(VLOOKUP(A74,tbMoveset!A2:B112,2,FALSE)="Sever",Backdoors!AY7/100,IF(VLOOKUP(A74,tbMoveset!A2:B112,2,FALSE)="Blunt",Backdoors!AZ7/100,Backdoors!BA7/100)),"")</f>
        <v>0.65</v>
      </c>
      <c r="AE74" s="49">
        <f>IFERROR(IF(VLOOKUP(tbMoveset!A74,tbMoveset!A2:H112,8,FALSE)="Other",IF(VLOOKUP(tbMoveset!A74,tbMoveset!A2:I112,9,FALSE)="Fire",Backdoors!BB7,IF(VLOOKUP(tbMoveset!A74,tbMoveset!A2:I112,9,FALSE)="Water",Backdoors!BC7,IF(VLOOKUP(tbMoveset!A74,tbMoveset!A2:I112,9,FALSE)="Thunder",Backdoors!BD7,IF(VLOOKUP(tbMoveset!A74,tbMoveset!A2:I112,9,FALSE)="Ice",Backdoors!BE7,IF(VLOOKUP(tbMoveset!A74,tbMoveset!A2:I112,9,FALSE)="Dragon",Backdoors!BF7,Backdoors!BG7)))))/100,Backdoors!BG7/100),"")</f>
        <v>0</v>
      </c>
      <c r="AF74" s="49">
        <f>IFERROR(IF(VLOOKUP(A74,tbMoveset!A2:J112,10,FALSE)=TRUE,IF((Backdoors!AI12+IF(AD74&gt;=0.45,VLOOKUP(Calculator!E23,tbSkills!DH3:DI6,2,FALSE)+IF(AND(Calculator!B8=TRUE,Backdoors!BI7=TRUE),VLOOKUP(Calculator!E23,tbSkills!DH3:DJ6,3,FALSE),0),0))&gt;=0,1+(Backdoors!AL2*(IF((Backdoors!AI12+IF(AD74&gt;=0.45,VLOOKUP(Calculator!E23,tbSkills!DH3:DI6,2,FALSE)+IF(AND(Calculator!B8=TRUE,Backdoors!BI7=TRUE),VLOOKUP(Calculator!E23,tbSkills!DH3:DJ6,3,FALSE),0),0))&gt;=100,100,(Backdoors!AI12+IF(AD74&gt;=0.45,VLOOKUP(Calculator!E23,tbSkills!DH3:DI6,2,FALSE)+IF(AND(Calculator!B8=TRUE,Backdoors!BI7=TRUE),VLOOKUP(Calculator!E23,tbSkills!DH3:DJ6,3,FALSE),0),0)))/100)),(1-(0.25*((-Backdoors!AI12-IF(AD74&gt;=0.45,VLOOKUP(Calculator!E23,tbSkills!DH3:DI6,2,FALSE)+IF(AND(Calculator!B8=TRUE,Backdoors!BI7=TRUE),VLOOKUP(Calculator!E23,tbSkills!DH3:DJ6,3,FALSE),0),0))/100)))),1),"")</f>
        <v>1</v>
      </c>
      <c r="AG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D74)*AF74)*(VLOOKUP(A74,tbMoveset!A2:C112,3,FALSE)/100)*IF(VLOOKUP(A74,tbMoveset!A2:B112,2,FALSE)="Projectile",Backdoors!N10,Backdoors!N9),0),"")</f>
        <v>5</v>
      </c>
      <c r="AH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D74&gt;=0.45,VLOOKUP(Calculator!E23,tbSkills!DH3:DI6,2,FALSE)+IF(AND(Calculator!B8=TRUE,Backdoors!BI7=TRUE),VLOOKUP(Calculator!E23,tbSkills!DH3:DJ6,3,FALSE),0),0))&gt;=100,100,(Backdoors!AI12+IF(AD74&gt;=0.45,VLOOKUP(Calculator!E23,tbSkills!DH3:DI6,2,FALSE)+IF(AND(Calculator!B8=TRUE,Backdoors!BI7=TRUE),VLOOKUP(Calculator!E23,tbSkills!DH3:DJ6,3,FALSE),0),0)))/100)),1))*IF(VLOOKUP(A74,tbMoveset!A2:K112,11,FALSE)=TRUE,Backdoors!AC5,1))*AE74,0),"")</f>
        <v>0</v>
      </c>
      <c r="AI74" s="49">
        <f>VLOOKUP(A74,tbMoveset!A2:G112,7,FALSE)*IFERROR(IF(Backdoors!AI12&gt;=0,1+(IF(Calculator!E40&gt;0,VLOOKUP(Calculator!E40,tbSkills!AI3:AJ5,2,FALSE),Backdoors!AL4)*(IF((Backdoors!AI12+IF(AD74&gt;=0.45,VLOOKUP(Calculator!E23,tbSkills!DH3:DI6,2,FALSE)+IF(AND(Calculator!B8=TRUE,Backdoors!BI7=TRUE),VLOOKUP(Calculator!E23,tbSkills!DH3:DJ6,3,FALSE),0),0))&gt;=100,100,(Backdoors!AI12+IF(AD74&gt;=0.45,VLOOKUP(Calculator!E23,tbSkills!DH3:DI6,2,FALSE)+IF(AND(Calculator!B8=TRUE,Backdoors!BI7=TRUE),VLOOKUP(Calculator!E23,tbSkills!DH3:DJ6,3,FALSE),0),0)))/100)),1),1)</f>
        <v>0.6</v>
      </c>
      <c r="AJ74" s="87">
        <f t="shared" si="55"/>
        <v>5</v>
      </c>
      <c r="AK74" s="91">
        <f>IFERROR(IF(VLOOKUP(A74,tbMoveset!A2:B112,2,FALSE)="Sever",Backdoors!AY8/100,IF(VLOOKUP(A74,tbMoveset!A2:B112,2,FALSE)="Blunt",Backdoors!AZ8/100,Backdoors!BA8/100)),"")</f>
        <v>0.45</v>
      </c>
      <c r="AL74" s="49">
        <f>IFERROR(IF(VLOOKUP(tbMoveset!A74,tbMoveset!A2:H112,8,FALSE)="Other",IF(VLOOKUP(tbMoveset!A74,tbMoveset!A2:I112,9,FALSE)="Fire",Backdoors!BB8,IF(VLOOKUP(tbMoveset!A74,tbMoveset!A2:I112,9,FALSE)="Water",Backdoors!BC8,IF(VLOOKUP(tbMoveset!A74,tbMoveset!A2:I112,9,FALSE)="Thunder",Backdoors!BD8,IF(VLOOKUP(tbMoveset!A74,tbMoveset!A2:I112,9,FALSE)="Ice",Backdoors!BE8,IF(VLOOKUP(tbMoveset!A74,tbMoveset!A2:I112,9,FALSE)="Dragon",Backdoors!BF8,Backdoors!BG8)))))/100,Backdoors!BG8/100),"")</f>
        <v>0</v>
      </c>
      <c r="AM74" s="49">
        <f>IFERROR(IF(VLOOKUP(A74,tbMoveset!A2:J112,10,FALSE)=TRUE,IF((Backdoors!AI12+IF(AK74&gt;=0.45,VLOOKUP(Calculator!E23,tbSkills!DH3:DI6,2,FALSE)+IF(AND(Calculator!B8=TRUE,Backdoors!BI8=TRUE),VLOOKUP(Calculator!E23,tbSkills!DH3:DJ6,3,FALSE),0),0))&gt;=0,1+(Backdoors!AL2*(IF((Backdoors!AI12+IF(AK74&gt;=0.45,VLOOKUP(Calculator!E23,tbSkills!DH3:DI6,2,FALSE)+IF(AND(Calculator!B8=TRUE,Backdoors!BI8=TRUE),VLOOKUP(Calculator!E23,tbSkills!DH3:DJ6,3,FALSE),0),0))&gt;=100,100,(Backdoors!AI12+IF(AK74&gt;=0.45,VLOOKUP(Calculator!E23,tbSkills!DH3:DI6,2,FALSE)+IF(AND(Calculator!B8=TRUE,Backdoors!BI8=TRUE),VLOOKUP(Calculator!E23,tbSkills!DH3:DJ6,3,FALSE),0),0)))/100)),(1-(0.25*((-Backdoors!AI12-IF(AK74&gt;=0.45,VLOOKUP(Calculator!E23,tbSkills!DH3:DI6,2,FALSE)+IF(AND(Calculator!B8=TRUE,Backdoors!BI8=TRUE),VLOOKUP(Calculator!E23,tbSkills!DH3:DJ6,3,FALSE),0),0))/100)))),1),"")</f>
        <v>1</v>
      </c>
      <c r="AN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K74)*AM74)*(VLOOKUP(A74,tbMoveset!A2:C112,3,FALSE)/100)*IF(VLOOKUP(A74,tbMoveset!A2:B112,2,FALSE)="Projectile",Backdoors!N10,Backdoors!N9),0),"")</f>
        <v>4</v>
      </c>
      <c r="AO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K74&gt;=0.45,VLOOKUP(Calculator!E23,tbSkills!DH3:DI6,2,FALSE)+IF(AND(Calculator!B8=TRUE,Backdoors!BI8=TRUE),VLOOKUP(Calculator!E23,tbSkills!DH3:DJ6,3,FALSE),0),0))&gt;=100,100,(Backdoors!AI12+IF(AK74&gt;=0.45,VLOOKUP(Calculator!E23,tbSkills!DH3:DI6,2,FALSE)+IF(AND(Calculator!B8=TRUE,Backdoors!BI8=TRUE),VLOOKUP(Calculator!E23,tbSkills!DH3:DJ6,3,FALSE),0),0)))/100)),1))*IF(VLOOKUP(A74,tbMoveset!A2:K112,11,FALSE)=TRUE,Backdoors!AC5,1))*AL74,0),"")</f>
        <v>0</v>
      </c>
      <c r="AP74" s="49">
        <f>VLOOKUP(A74,tbMoveset!A2:G112,7,FALSE)*IFERROR(IF(Backdoors!AI12&gt;=0,1+(IF(Calculator!E40&gt;0,VLOOKUP(Calculator!E40,tbSkills!AI3:AJ5,2,FALSE),Backdoors!AL4)*(IF((Backdoors!AI12+IF(AK74&gt;=0.45,VLOOKUP(Calculator!E23,tbSkills!DH3:DI6,2,FALSE)+IF(AND(Calculator!B8=TRUE,Backdoors!BI8=TRUE),VLOOKUP(Calculator!E23,tbSkills!DH3:DJ6,3,FALSE),0),0))&gt;=100,100,(Backdoors!AI12+IF(AK74&gt;=0.45,VLOOKUP(Calculator!E23,tbSkills!DH3:DI6,2,FALSE)+IF(AND(Calculator!B8=TRUE,Backdoors!BI8=TRUE),VLOOKUP(Calculator!E23,tbSkills!DH3:DJ6,3,FALSE),0),0)))/100)),1),1)</f>
        <v>0.6</v>
      </c>
      <c r="AQ74" s="87">
        <f t="shared" si="56"/>
        <v>4</v>
      </c>
      <c r="AR74" s="86">
        <f>IFERROR(IF(VLOOKUP(A74,tbMoveset!A2:B112,2,FALSE)="Sever",Backdoors!AY9/100,IF(VLOOKUP(A74,tbMoveset!A2:B112,2,FALSE)="Blunt",Backdoors!AZ9/100,Backdoors!BA9/100)),"")</f>
        <v>0.45</v>
      </c>
      <c r="AS74" s="49">
        <f>IFERROR(IF(VLOOKUP(tbMoveset!A74,tbMoveset!A2:H112,8,FALSE)="Other",IF(VLOOKUP(tbMoveset!A74,tbMoveset!A2:I112,9,FALSE)="Fire",Backdoors!BB9,IF(VLOOKUP(tbMoveset!A74,tbMoveset!A2:I112,9,FALSE)="Water",Backdoors!BC9,IF(VLOOKUP(tbMoveset!A74,tbMoveset!A2:I112,9,FALSE)="Thunder",Backdoors!BD9,IF(VLOOKUP(tbMoveset!A74,tbMoveset!A2:I112,9,FALSE)="Ice",Backdoors!BE9,IF(VLOOKUP(tbMoveset!A74,tbMoveset!A2:I112,9,FALSE)="Dragon",Backdoors!BF9,Backdoors!BG9)))))/100,Backdoors!BG9/100),"")</f>
        <v>0</v>
      </c>
      <c r="AT74" s="49">
        <f>IFERROR(IF(VLOOKUP(A74,tbMoveset!A2:J112,10,FALSE)=TRUE,IF((Backdoors!AI12+IF(AR74&gt;=0.45,VLOOKUP(Calculator!E23,tbSkills!DH3:DI6,2,FALSE)+IF(AND(Calculator!B8=TRUE,Backdoors!BI9=TRUE),VLOOKUP(Calculator!E23,tbSkills!DH3:DJ6,3,FALSE),0),0))&gt;=0,1+(Backdoors!AL2*(IF((Backdoors!AI12+IF(AR74&gt;=0.45,VLOOKUP(Calculator!E23,tbSkills!DH3:DI6,2,FALSE)+IF(AND(Calculator!B8=TRUE,Backdoors!BI9=TRUE),VLOOKUP(Calculator!E23,tbSkills!DH3:DJ6,3,FALSE),0),0))&gt;=100,100,(Backdoors!AI12+IF(AR74&gt;=0.45,VLOOKUP(Calculator!E23,tbSkills!DH3:DI6,2,FALSE)+IF(AND(Calculator!B8=TRUE,Backdoors!BI9=TRUE),VLOOKUP(Calculator!E23,tbSkills!DH3:DJ6,3,FALSE),0),0)))/100)),(1-(0.25*((-Backdoors!AI12-IF(AR74&gt;=0.45,VLOOKUP(Calculator!E23,tbSkills!DH3:DI6,2,FALSE)+IF(AND(Calculator!B8=TRUE,Backdoors!BI9=TRUE),VLOOKUP(Calculator!E23,tbSkills!DH3:DJ6,3,FALSE),0),0))/100)))),1),"")</f>
        <v>1</v>
      </c>
      <c r="AU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R74)*AT74)*(VLOOKUP(A74,tbMoveset!A2:C112,3,FALSE)/100)*IF(VLOOKUP(A74,tbMoveset!A2:B112,2,FALSE)="Projectile",Backdoors!N10,Backdoors!N9),0),"")</f>
        <v>4</v>
      </c>
      <c r="AV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R74&gt;=0.45,VLOOKUP(Calculator!E23,tbSkills!DH3:DI6,2,FALSE)+IF(AND(Calculator!B8=TRUE,Backdoors!BI9=TRUE),VLOOKUP(Calculator!E23,tbSkills!DH3:DJ6,3,FALSE),0),0))&gt;=100,100,(Backdoors!AI12+IF(AR74&gt;=0.45,VLOOKUP(Calculator!E23,tbSkills!DH3:DI6,2,FALSE)+IF(AND(Calculator!B8=TRUE,Backdoors!BI9=TRUE),VLOOKUP(Calculator!E23,tbSkills!DH3:DJ6,3,FALSE),0),0)))/100)),1))*IF(VLOOKUP(A74,tbMoveset!A2:K112,11,FALSE)=TRUE,Backdoors!AC5,1))*AS74,0),"")</f>
        <v>0</v>
      </c>
      <c r="AW74" s="49">
        <f>VLOOKUP(A74,tbMoveset!A2:G112,7,FALSE)*IFERROR(IF(Backdoors!AI12&gt;=0,1+(IF(Calculator!E40&gt;0,VLOOKUP(Calculator!E40,tbSkills!AI3:AJ5,2,FALSE),Backdoors!AL4)*(IF((Backdoors!AI12+IF(AR74&gt;=0.45,VLOOKUP(Calculator!E23,tbSkills!DH3:DI6,2,FALSE)+IF(AND(Calculator!B8=TRUE,Backdoors!BI9=TRUE),VLOOKUP(Calculator!E23,tbSkills!DH3:DJ6,3,FALSE),0),0))&gt;=100,100,(Backdoors!AI12+IF(AR74&gt;=0.45,VLOOKUP(Calculator!E23,tbSkills!DH3:DI6,2,FALSE)+IF(AND(Calculator!B8=TRUE,Backdoors!BI9=TRUE),VLOOKUP(Calculator!E23,tbSkills!DH3:DJ6,3,FALSE),0),0)))/100)),1),1)</f>
        <v>0.6</v>
      </c>
      <c r="AX74" s="87">
        <f t="shared" si="57"/>
        <v>4</v>
      </c>
      <c r="AY74" s="86">
        <f>IFERROR(IF(VLOOKUP(A74,tbMoveset!A2:B112,2,FALSE)="Sever",Backdoors!AY10/100,IF(VLOOKUP(A74,tbMoveset!A2:B112,2,FALSE)="Blunt",Backdoors!AZ10/100,Backdoors!BA10/100)),"")</f>
        <v>0.9</v>
      </c>
      <c r="AZ74" s="49">
        <f>IFERROR(IF(VLOOKUP(tbMoveset!A74,tbMoveset!A2:H112,8,FALSE)="Other",IF(VLOOKUP(tbMoveset!A74,tbMoveset!A2:I112,9,FALSE)="Fire",Backdoors!BB10,IF(VLOOKUP(tbMoveset!A74,tbMoveset!A2:I112,9,FALSE)="Water",Backdoors!BC10,IF(VLOOKUP(tbMoveset!A74,tbMoveset!A2:I112,9,FALSE)="Thunder",Backdoors!BD10,IF(VLOOKUP(tbMoveset!A74,tbMoveset!A2:I112,9,FALSE)="Ice",Backdoors!BE10,IF(VLOOKUP(tbMoveset!A74,tbMoveset!A2:I112,9,FALSE)="Dragon",Backdoors!BF10,Backdoors!BG10)))))/100,Backdoors!BG10/100),"")</f>
        <v>0</v>
      </c>
      <c r="BA74" s="49">
        <f>IFERROR(IF(VLOOKUP(A74,tbMoveset!A2:J112,10,FALSE)=TRUE,IF((Backdoors!AI12+IF(AY74&gt;=0.45,VLOOKUP(Calculator!E23,tbSkills!DH3:DI6,2,FALSE)+IF(AND(Calculator!B8=TRUE,Backdoors!BI10=TRUE),VLOOKUP(Calculator!E23,tbSkills!DH3:DJ6,3,FALSE),0),0))&gt;=0,1+(Backdoors!AL2*(IF((Backdoors!AI12+IF(AY74&gt;=0.45,VLOOKUP(Calculator!E23,tbSkills!DH3:DI6,2,FALSE)+IF(AND(Calculator!B8=TRUE,Backdoors!BI10=TRUE),VLOOKUP(Calculator!E23,tbSkills!DH3:DJ6,3,FALSE),0),0))&gt;=100,100,(Backdoors!AI12+IF(AY74&gt;=0.45,VLOOKUP(Calculator!E23,tbSkills!DH3:DI6,2,FALSE)+IF(AND(Calculator!B8=TRUE,Backdoors!BI10=TRUE),VLOOKUP(Calculator!E23,tbSkills!DH3:DJ6,3,FALSE),0),0)))/100)),(1-(0.25*((-Backdoors!AI12-IF(AY74&gt;=0.45,VLOOKUP(Calculator!E23,tbSkills!DH3:DI6,2,FALSE)+IF(AND(Calculator!B8=TRUE,Backdoors!BI10=TRUE),VLOOKUP(Calculator!E23,tbSkills!DH3:DJ6,3,FALSE),0),0))/100)))),1),"")</f>
        <v>1</v>
      </c>
      <c r="BB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Y74)*BA74)*(VLOOKUP(A74,tbMoveset!A2:C112,3,FALSE)/100)*IF(VLOOKUP(A74,tbMoveset!A2:B112,2,FALSE)="Projectile",Backdoors!N10,Backdoors!N9),0),"")</f>
        <v>8</v>
      </c>
      <c r="BC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Y74&gt;=0.45,VLOOKUP(Calculator!E23,tbSkills!DH3:DI6,2,FALSE)+IF(AND(Calculator!B8=TRUE,Backdoors!BI10=TRUE),VLOOKUP(Calculator!E23,tbSkills!DH3:DJ6,3,FALSE),0),0))&gt;=100,100,(Backdoors!AI12+IF(AY74&gt;=0.45,VLOOKUP(Calculator!E23,tbSkills!DH3:DI6,2,FALSE)+IF(AND(Calculator!B8=TRUE,Backdoors!BI10=TRUE),VLOOKUP(Calculator!E23,tbSkills!DH3:DJ6,3,FALSE),0),0)))/100)),1))*IF(VLOOKUP(A74,tbMoveset!A2:K112,11,FALSE)=TRUE,Backdoors!AC5,1))*AZ74,0),"")</f>
        <v>0</v>
      </c>
      <c r="BD74" s="49">
        <f>VLOOKUP(A74,tbMoveset!A2:G112,7,FALSE)*IFERROR(IF(Backdoors!AI12&gt;=0,1+(IF(Calculator!E40&gt;0,VLOOKUP(Calculator!E40,tbSkills!AI3:AJ5,2,FALSE),Backdoors!AL4)*(IF((Backdoors!AI12+IF(AY74&gt;=0.45,VLOOKUP(Calculator!E23,tbSkills!DH3:DI6,2,FALSE)+IF(AND(Calculator!B8=TRUE,Backdoors!BI10=TRUE),VLOOKUP(Calculator!E23,tbSkills!DH3:DJ6,3,FALSE),0),0))&gt;=100,100,(Backdoors!AI12+IF(AY74&gt;=0.45,VLOOKUP(Calculator!E23,tbSkills!DH3:DI6,2,FALSE)+IF(AND(Calculator!B8=TRUE,Backdoors!BI10=TRUE),VLOOKUP(Calculator!E23,tbSkills!DH3:DJ6,3,FALSE),0),0)))/100)),1),1)</f>
        <v>0.6</v>
      </c>
      <c r="BE74" s="87">
        <f t="shared" si="58"/>
        <v>8</v>
      </c>
      <c r="BF74" s="86" t="str">
        <f>IFERROR(IF(VLOOKUP(A74,tbMoveset!A2:B112,2,FALSE)="Sever",Backdoors!AY11/100,IF(VLOOKUP(A74,tbMoveset!A2:B112,2,FALSE)="Blunt",Backdoors!AZ11/100,Backdoors!BA11/100)),"")</f>
        <v/>
      </c>
      <c r="BG74" s="49">
        <f>IFERROR(IF(VLOOKUP(tbMoveset!A74,tbMoveset!A2:H112,8,FALSE)="Other",IF(VLOOKUP(tbMoveset!A74,tbMoveset!A2:I112,9,FALSE)="Fire",Backdoors!BB11,IF(VLOOKUP(tbMoveset!A74,tbMoveset!A2:I112,9,FALSE)="Water",Backdoors!BC11,IF(VLOOKUP(tbMoveset!A74,tbMoveset!A2:I112,9,FALSE)="Thunder",Backdoors!BD11,IF(VLOOKUP(tbMoveset!A74,tbMoveset!A2:I112,9,FALSE)="Ice",Backdoors!BE11,IF(VLOOKUP(tbMoveset!A74,tbMoveset!A2:I112,9,FALSE)="Dragon",Backdoors!BF11,Backdoors!BG11)))))/100,Backdoors!BG11/100),"")</f>
        <v>0</v>
      </c>
      <c r="BH74" s="49">
        <f>IFERROR(IF(VLOOKUP(A74,tbMoveset!A2:J112,10,FALSE)=TRUE,IF((Backdoors!AI12+IF(BF74&gt;=0.45,VLOOKUP(Calculator!E23,tbSkills!DH3:DI6,2,FALSE)+IF(AND(Calculator!B8=TRUE,Backdoors!BI11=TRUE),VLOOKUP(Calculator!E23,tbSkills!DH3:DJ6,3,FALSE),0),0))&gt;=0,1+(Backdoors!AL2*(IF((Backdoors!AI12+IF(BF74&gt;=0.45,VLOOKUP(Calculator!E23,tbSkills!DH3:DI6,2,FALSE)+IF(AND(Calculator!B8=TRUE,Backdoors!BI11=TRUE),VLOOKUP(Calculator!E23,tbSkills!DH3:DJ6,3,FALSE),0),0))&gt;=100,100,(Backdoors!AI12+IF(BF74&gt;=0.45,VLOOKUP(Calculator!E23,tbSkills!DH3:DI6,2,FALSE)+IF(AND(Calculator!B8=TRUE,Backdoors!BI11=TRUE),VLOOKUP(Calculator!E23,tbSkills!DH3:DJ6,3,FALSE),0),0)))/100)),(1-(0.25*((-Backdoors!AI12-IF(BF74&gt;=0.45,VLOOKUP(Calculator!E23,tbSkills!DH3:DI6,2,FALSE)+IF(AND(Calculator!B8=TRUE,Backdoors!BI11=TRUE),VLOOKUP(Calculator!E23,tbSkills!DH3:DJ6,3,FALSE),0),0))/100)))),1),"")</f>
        <v>1</v>
      </c>
      <c r="BI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F74)*BH74)*(VLOOKUP(A74,tbMoveset!A2:C112,3,FALSE)/100)*IF(VLOOKUP(A74,tbMoveset!A2:B112,2,FALSE)="Projectile",Backdoors!N10,Backdoors!N9),0),"")</f>
        <v/>
      </c>
      <c r="BJ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F74&gt;=0.45,VLOOKUP(Calculator!E23,tbSkills!DH3:DI6,2,FALSE)+IF(AND(Calculator!B8=TRUE,Backdoors!BI11=TRUE),VLOOKUP(Calculator!E23,tbSkills!DH3:DJ6,3,FALSE),0),0))&gt;=100,100,(Backdoors!AI12+IF(BF74&gt;=0.45,VLOOKUP(Calculator!E23,tbSkills!DH3:DI6,2,FALSE)+IF(AND(Calculator!B8=TRUE,Backdoors!BI11=TRUE),VLOOKUP(Calculator!E23,tbSkills!DH3:DJ6,3,FALSE),0),0)))/100)),1))*IF(VLOOKUP(A74,tbMoveset!A2:K112,11,FALSE)=TRUE,Backdoors!AC5,1))*BG74,0),"")</f>
        <v>0</v>
      </c>
      <c r="BK74" s="49">
        <f>VLOOKUP(A74,tbMoveset!A2:G112,7,FALSE)*IFERROR(IF(Backdoors!AI12&gt;=0,1+(IF(Calculator!E40&gt;0,VLOOKUP(Calculator!E40,tbSkills!AI3:AJ5,2,FALSE),Backdoors!AL4)*(IF((Backdoors!AI12+IF(BF74&gt;=0.45,VLOOKUP(Calculator!E23,tbSkills!DH3:DI6,2,FALSE)+IF(AND(Calculator!B8=TRUE,Backdoors!BI11=TRUE),VLOOKUP(Calculator!E23,tbSkills!DH3:DJ6,3,FALSE),0),0))&gt;=100,100,(Backdoors!AI12+IF(BF74&gt;=0.45,VLOOKUP(Calculator!E23,tbSkills!DH3:DI6,2,FALSE)+IF(AND(Calculator!B8=TRUE,Backdoors!BI11=TRUE),VLOOKUP(Calculator!E23,tbSkills!DH3:DJ6,3,FALSE),0),0)))/100)),1),1)</f>
        <v>0.6</v>
      </c>
      <c r="BL74" s="87">
        <f t="shared" si="59"/>
        <v>0</v>
      </c>
      <c r="BM74" s="86" t="str">
        <f>IFERROR(IF(VLOOKUP(A74,tbMoveset!A2:B112,2,FALSE)="Sever",Backdoors!AY12/100,IF(VLOOKUP(A74,tbMoveset!A2:B112,2,FALSE)="Blunt",Backdoors!AZ12/100,Backdoors!BA12/100)),"")</f>
        <v/>
      </c>
      <c r="BN74" s="49">
        <f>IFERROR(IF(VLOOKUP(tbMoveset!A74,tbMoveset!A2:H112,8,FALSE)="Other",IF(VLOOKUP(tbMoveset!A74,tbMoveset!A2:I112,9,FALSE)="Fire",Backdoors!BB12,IF(VLOOKUP(tbMoveset!A74,tbMoveset!A2:I112,9,FALSE)="Water",Backdoors!BC12,IF(VLOOKUP(tbMoveset!A74,tbMoveset!A2:I112,9,FALSE)="Thunder",Backdoors!BD12,IF(VLOOKUP(tbMoveset!A74,tbMoveset!A2:I112,9,FALSE)="Ice",Backdoors!BE12,IF(VLOOKUP(tbMoveset!A74,tbMoveset!A2:I112,9,FALSE)="Dragon",Backdoors!BF12,Backdoors!BG12)))))/100,Backdoors!BG12/100),"")</f>
        <v>0</v>
      </c>
      <c r="BO74" s="49">
        <f>IFERROR(IF(VLOOKUP(A74,tbMoveset!A2:J112,10,FALSE)=TRUE,IF((Backdoors!AI12+IF(BM74&gt;=0.45,VLOOKUP(Calculator!E23,tbSkills!DH3:DI6,2,FALSE)+IF(AND(Calculator!B8=TRUE,Backdoors!BI12=TRUE),VLOOKUP(Calculator!E23,tbSkills!DH3:DJ6,3,FALSE),0),0))&gt;=0,1+(Backdoors!AL2*(IF((Backdoors!AI12+IF(BM74&gt;=0.45,VLOOKUP(Calculator!E23,tbSkills!DH3:DI6,2,FALSE)+IF(AND(Calculator!B8=TRUE,Backdoors!BI12=TRUE),VLOOKUP(Calculator!E23,tbSkills!DH3:DJ6,3,FALSE),0),0))&gt;=100,100,(Backdoors!AI12+IF(BM74&gt;=0.45,VLOOKUP(Calculator!E23,tbSkills!DH3:DI6,2,FALSE)+IF(AND(Calculator!B8=TRUE,Backdoors!BI12=TRUE),VLOOKUP(Calculator!E23,tbSkills!DH3:DJ6,3,FALSE),0),0)))/100)),(1-(0.25*((-Backdoors!AI12-IF(BM74&gt;=0.45,VLOOKUP(Calculator!E23,tbSkills!DH3:DI6,2,FALSE)+IF(AND(Calculator!B8=TRUE,Backdoors!BI12=TRUE),VLOOKUP(Calculator!E23,tbSkills!DH3:DJ6,3,FALSE),0),0))/100)))),1),"")</f>
        <v>1</v>
      </c>
      <c r="BP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M74)*BO74)*(VLOOKUP(A74,tbMoveset!A2:C112,3,FALSE)/100)*IF(VLOOKUP(A74,tbMoveset!A2:B112,2,FALSE)="Projectile",Backdoors!N10,Backdoors!N9),0),"")</f>
        <v/>
      </c>
      <c r="BQ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M74&gt;=0.45,VLOOKUP(Calculator!E23,tbSkills!DH3:DI6,2,FALSE)+IF(AND(Calculator!B8=TRUE,Backdoors!BI12=TRUE),VLOOKUP(Calculator!E23,tbSkills!DH3:DJ6,3,FALSE),0),0))&gt;=100,100,(Backdoors!AI12+IF(BM74&gt;=0.45,VLOOKUP(Calculator!E23,tbSkills!DH3:DI6,2,FALSE)+IF(AND(Calculator!B8=TRUE,Backdoors!BI12=TRUE),VLOOKUP(Calculator!E23,tbSkills!DH3:DJ6,3,FALSE),0),0)))/100)),1))*IF(VLOOKUP(A74,tbMoveset!A2:K112,11,FALSE)=TRUE,Backdoors!AC5,1))*BN74,0),"")</f>
        <v>0</v>
      </c>
      <c r="BR74" s="49">
        <f>VLOOKUP(A74,tbMoveset!A2:G112,7,FALSE)*IFERROR(IF(Backdoors!AI12&gt;=0,1+(IF(Calculator!E40&gt;0,VLOOKUP(Calculator!E40,tbSkills!AI3:AJ5,2,FALSE),Backdoors!AL4)*(IF((Backdoors!AI12+IF(BM74&gt;=0.45,VLOOKUP(Calculator!E23,tbSkills!DH3:DI6,2,FALSE)+IF(AND(Calculator!B8=TRUE,Backdoors!BI12=TRUE),VLOOKUP(Calculator!E23,tbSkills!DH3:DJ6,3,FALSE),0),0))&gt;=100,100,(Backdoors!AI12+IF(BM74&gt;=0.45,VLOOKUP(Calculator!E23,tbSkills!DH3:DI6,2,FALSE)+IF(AND(Calculator!B8=TRUE,Backdoors!BI12=TRUE),VLOOKUP(Calculator!E23,tbSkills!DH3:DJ6,3,FALSE),0),0)))/100)),1),1)</f>
        <v>0.6</v>
      </c>
      <c r="BS74" s="87">
        <f t="shared" si="60"/>
        <v>0</v>
      </c>
      <c r="BT74" s="86" t="str">
        <f>IFERROR(IF(VLOOKUP(A74,tbMoveset!A2:B112,2,FALSE)="Sever",Backdoors!AY13/100,IF(VLOOKUP(A74,tbMoveset!A2:B112,2,FALSE)="Blunt",Backdoors!AZ13/100,Backdoors!BA13/100)),"")</f>
        <v/>
      </c>
      <c r="BU74" s="49">
        <f>IFERROR(IF(VLOOKUP(tbMoveset!A74,tbMoveset!A2:H112,8,FALSE)="Other",IF(VLOOKUP(tbMoveset!A74,tbMoveset!A2:I112,9,FALSE)="Fire",Backdoors!BB13,IF(VLOOKUP(tbMoveset!A74,tbMoveset!A2:I112,9,FALSE)="Water",Backdoors!BC13,IF(VLOOKUP(tbMoveset!A74,tbMoveset!A2:I112,9,FALSE)="Thunder",Backdoors!BD13,IF(VLOOKUP(tbMoveset!A74,tbMoveset!A2:I112,9,FALSE)="Ice",Backdoors!BE13,IF(VLOOKUP(tbMoveset!A74,tbMoveset!A2:I112,9,FALSE)="Dragon",Backdoors!BF13,Backdoors!BG13)))))/100,Backdoors!BG13/100),"")</f>
        <v>0</v>
      </c>
      <c r="BV74" s="49">
        <f>IFERROR(IF(VLOOKUP(A74,tbMoveset!A2:J112,10,FALSE)=TRUE,IF((Backdoors!AI12+IF(BT74&gt;=0.45,VLOOKUP(Calculator!E23,tbSkills!DH3:DI6,2,FALSE)+IF(AND(Calculator!B8=TRUE,Backdoors!BI13=TRUE),VLOOKUP(Calculator!E23,tbSkills!DH3:DJ6,3,FALSE),0),0))&gt;=0,1+(Backdoors!AL2*(IF((Backdoors!AI12+IF(BT74&gt;=0.45,VLOOKUP(Calculator!E23,tbSkills!DH3:DI6,2,FALSE)+IF(AND(Calculator!B8=TRUE,Backdoors!BI13=TRUE),VLOOKUP(Calculator!E23,tbSkills!DH3:DJ6,3,FALSE),0),0))&gt;=100,100,(Backdoors!AI12+IF(BT74&gt;=0.45,VLOOKUP(Calculator!E23,tbSkills!DH3:DI6,2,FALSE)+IF(AND(Calculator!B8=TRUE,Backdoors!BI13=TRUE),VLOOKUP(Calculator!E23,tbSkills!DH3:DJ6,3,FALSE),0),0)))/100)),(1-(0.25*((-Backdoors!AI12-IF(BT74&gt;=0.45,VLOOKUP(Calculator!E23,tbSkills!DH3:DI6,2,FALSE)+IF(AND(Calculator!B8=TRUE,Backdoors!BI13=TRUE),VLOOKUP(Calculator!E23,tbSkills!DH3:DJ6,3,FALSE),0),0))/100)))),1),"")</f>
        <v>1</v>
      </c>
      <c r="BW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T74)*BV74)*(VLOOKUP(A74,tbMoveset!A2:C112,3,FALSE)/100)*IF(VLOOKUP(A74,tbMoveset!A2:B112,2,FALSE)="Projectile",Backdoors!N10,Backdoors!N9),0),"")</f>
        <v/>
      </c>
      <c r="BX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T74&gt;=0.45,VLOOKUP(Calculator!E23,tbSkills!DH3:DI6,2,FALSE)+IF(AND(Calculator!B8=TRUE,Backdoors!BI13=TRUE),VLOOKUP(Calculator!E23,tbSkills!DH3:DJ6,3,FALSE),0),0))&gt;=100,100,(Backdoors!AI12+IF(BT74&gt;=0.45,VLOOKUP(Calculator!E23,tbSkills!DH3:DI6,2,FALSE)+IF(AND(Calculator!B8=TRUE,Backdoors!BI13=TRUE),VLOOKUP(Calculator!E23,tbSkills!DH3:DJ6,3,FALSE),0),0)))/100)),1))*IF(VLOOKUP(A74,tbMoveset!A2:K112,11,FALSE)=TRUE,Backdoors!AC5,1))*BU74,0),"")</f>
        <v>0</v>
      </c>
      <c r="BY74" s="49">
        <f>VLOOKUP(A74,tbMoveset!A2:G112,7,FALSE)*IFERROR(IF(Backdoors!AI12&gt;=0,1+(IF(Calculator!E40&gt;0,VLOOKUP(Calculator!E40,tbSkills!AI3:AJ5,2,FALSE),Backdoors!AL4)*(IF((Backdoors!AI12+IF(BT74&gt;=0.45,VLOOKUP(Calculator!E23,tbSkills!DH3:DI6,2,FALSE)+IF(AND(Calculator!B8=TRUE,Backdoors!BI13=TRUE),VLOOKUP(Calculator!E23,tbSkills!DH3:DJ6,3,FALSE),0),0))&gt;=100,100,(Backdoors!AI12+IF(BT74&gt;=0.45,VLOOKUP(Calculator!E23,tbSkills!DH3:DI6,2,FALSE)+IF(AND(Calculator!B8=TRUE,Backdoors!BI13=TRUE),VLOOKUP(Calculator!E23,tbSkills!DH3:DJ6,3,FALSE),0),0)))/100)),1),1)</f>
        <v>0.6</v>
      </c>
      <c r="BZ74" s="87">
        <f t="shared" si="61"/>
        <v>0</v>
      </c>
      <c r="CA74" s="86" t="str">
        <f>IFERROR(IF(VLOOKUP(A74,tbMoveset!A2:B112,2,FALSE)="Sever",Backdoors!AY14/100,IF(VLOOKUP(A74,tbMoveset!A2:B112,2,FALSE)="Blunt",Backdoors!AZ14/100,Backdoors!BA14/100)),"")</f>
        <v/>
      </c>
      <c r="CB74" s="49">
        <f>IFERROR(IF(VLOOKUP(tbMoveset!A74,tbMoveset!A2:H112,8,FALSE)="Other",IF(VLOOKUP(tbMoveset!A74,tbMoveset!A2:I112,9,FALSE)="Fire",Backdoors!BB14,IF(VLOOKUP(tbMoveset!A74,tbMoveset!A2:I112,9,FALSE)="Water",Backdoors!BC14,IF(VLOOKUP(tbMoveset!A74,tbMoveset!A2:I112,9,FALSE)="Thunder",Backdoors!BD14,IF(VLOOKUP(tbMoveset!A74,tbMoveset!A2:I112,9,FALSE)="Ice",Backdoors!BE14,IF(VLOOKUP(tbMoveset!A74,tbMoveset!A2:I112,9,FALSE)="Dragon",Backdoors!BF14,Backdoors!BG14)))))/100,Backdoors!BG14/100),"")</f>
        <v>0</v>
      </c>
      <c r="CC74" s="49">
        <f>IFERROR(IF(VLOOKUP(A74,tbMoveset!A2:J112,10,FALSE)=TRUE,IF((Backdoors!AI12+IF(CA74&gt;=0.45,VLOOKUP(Calculator!E23,tbSkills!DH3:DI6,2,FALSE)+IF(AND(Calculator!B8=TRUE,Backdoors!BI14=TRUE),VLOOKUP(Calculator!E23,tbSkills!DH3:DJ6,3,FALSE),0),0))&gt;=0,1+(Backdoors!AL2*(IF((Backdoors!AI12+IF(CA74&gt;=0.45,VLOOKUP(Calculator!E23,tbSkills!DH3:DI6,2,FALSE)+IF(AND(Calculator!B8=TRUE,Backdoors!BI14=TRUE),VLOOKUP(Calculator!E23,tbSkills!DH3:DJ6,3,FALSE),0),0))&gt;=100,100,(Backdoors!AI12+IF(CA74&gt;=0.45,VLOOKUP(Calculator!E23,tbSkills!DH3:DI6,2,FALSE)+IF(AND(Calculator!B8=TRUE,Backdoors!BI14=TRUE),VLOOKUP(Calculator!E23,tbSkills!DH3:DJ6,3,FALSE),0),0)))/100)),(1-(0.25*((-Backdoors!AI12-IF(CA74&gt;=0.45,VLOOKUP(Calculator!E23,tbSkills!DH3:DI6,2,FALSE)+IF(AND(Calculator!B8=TRUE,Backdoors!BI14=TRUE),VLOOKUP(Calculator!E23,tbSkills!DH3:DJ6,3,FALSE),0),0))/100)))),1),"")</f>
        <v>1</v>
      </c>
      <c r="CD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A74)*CC74)*(VLOOKUP(A74,tbMoveset!A2:C112,3,FALSE)/100)*IF(VLOOKUP(A74,tbMoveset!A2:B112,2,FALSE)="Projectile",Backdoors!N10,Backdoors!N9),0),"")</f>
        <v/>
      </c>
      <c r="CE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A74&gt;=0.45,VLOOKUP(Calculator!E23,tbSkills!DH3:DI6,2,FALSE)+IF(AND(Calculator!B8=TRUE,Backdoors!BI14=TRUE),VLOOKUP(Calculator!E23,tbSkills!DH3:DJ6,3,FALSE),0),0))&gt;=100,100,(Backdoors!AI12+IF(CA74&gt;=0.45,VLOOKUP(Calculator!E23,tbSkills!DH3:DI6,2,FALSE)+IF(AND(Calculator!B8=TRUE,Backdoors!BI14=TRUE),VLOOKUP(Calculator!E23,tbSkills!DH3:DJ6,3,FALSE),0),0)))/100)),1))*IF(VLOOKUP(A74,tbMoveset!A2:K112,11,FALSE)=TRUE,Backdoors!AC5,1))*CB74,0),"")</f>
        <v>0</v>
      </c>
      <c r="CF74" s="49">
        <f>VLOOKUP(A74,tbMoveset!A2:G112,7,FALSE)*IFERROR(IF(Backdoors!AI12&gt;=0,1+(IF(Calculator!E40&gt;0,VLOOKUP(Calculator!E40,tbSkills!AI3:AJ5,2,FALSE),Backdoors!AL4)*(IF((Backdoors!AI12+IF(CA74&gt;=0.45,VLOOKUP(Calculator!E23,tbSkills!DH3:DI6,2,FALSE)+IF(AND(Calculator!B8=TRUE,Backdoors!BI14=TRUE),VLOOKUP(Calculator!E23,tbSkills!DH3:DJ6,3,FALSE),0),0))&gt;=100,100,(Backdoors!AI12+IF(CA74&gt;=0.45,VLOOKUP(Calculator!E23,tbSkills!DH3:DI6,2,FALSE)+IF(AND(Calculator!B8=TRUE,Backdoors!BI14=TRUE),VLOOKUP(Calculator!E23,tbSkills!DH3:DJ6,3,FALSE),0),0)))/100)),1),1)</f>
        <v>0.6</v>
      </c>
      <c r="CG74" s="87">
        <f t="shared" si="62"/>
        <v>0</v>
      </c>
      <c r="CH74" s="86" t="str">
        <f>IFERROR(IF(VLOOKUP(A74,tbMoveset!A2:B112,2,FALSE)="Sever",Backdoors!AY15/100,IF(VLOOKUP(A74,tbMoveset!A2:B112,2,FALSE)="Blunt",Backdoors!AZ15/100,Backdoors!BA15/100)),"")</f>
        <v/>
      </c>
      <c r="CI74" s="49">
        <f>IFERROR(IF(VLOOKUP(tbMoveset!A74,tbMoveset!A2:H112,8,FALSE)="Other",IF(VLOOKUP(tbMoveset!A74,tbMoveset!A2:I112,9,FALSE)="Fire",Backdoors!BB15,IF(VLOOKUP(tbMoveset!A74,tbMoveset!A2:I112,9,FALSE)="Water",Backdoors!BC15,IF(VLOOKUP(tbMoveset!A74,tbMoveset!A2:I112,9,FALSE)="Thunder",Backdoors!BD15,IF(VLOOKUP(tbMoveset!A74,tbMoveset!A2:I112,9,FALSE)="Ice",Backdoors!BE15,IF(VLOOKUP(tbMoveset!A74,tbMoveset!A2:I112,9,FALSE)="Dragon",Backdoors!BF15,Backdoors!BG15)))))/100,Backdoors!BG15/100),"")</f>
        <v>0</v>
      </c>
      <c r="CJ74" s="49">
        <f>IFERROR(IF(VLOOKUP(A74,tbMoveset!A2:J112,10,FALSE)=TRUE,IF((Backdoors!AI12+IF(CH74&gt;=0.45,VLOOKUP(Calculator!E23,tbSkills!DH3:DI6,2,FALSE)+IF(AND(Calculator!B8=TRUE,Backdoors!BI15=TRUE),VLOOKUP(Calculator!E23,tbSkills!DH3:DJ6,3,FALSE),0),0))&gt;=0,1+(Backdoors!AL2*(IF((Backdoors!AI12+IF(CH74&gt;=0.45,VLOOKUP(Calculator!E23,tbSkills!DH3:DI6,2,FALSE)+IF(AND(Calculator!B8=TRUE,Backdoors!BI15=TRUE),VLOOKUP(Calculator!E23,tbSkills!DH3:DJ6,3,FALSE),0),0))&gt;=100,100,(Backdoors!AI12+IF(CH74&gt;=0.45,VLOOKUP(Calculator!E23,tbSkills!DH3:DI6,2,FALSE)+IF(AND(Calculator!B8=TRUE,Backdoors!BI15=TRUE),VLOOKUP(Calculator!E23,tbSkills!DH3:DJ6,3,FALSE),0),0)))/100)),(1-(0.25*((-Backdoors!AI12-IF(CH74&gt;=0.45,VLOOKUP(Calculator!E23,tbSkills!DH3:DI6,2,FALSE)+IF(AND(Calculator!B8=TRUE,Backdoors!BI15=TRUE),VLOOKUP(Calculator!E23,tbSkills!DH3:DJ6,3,FALSE),0),0))/100)))),1),"")</f>
        <v>1</v>
      </c>
      <c r="CK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H74)*CJ74)*(VLOOKUP(A74,tbMoveset!A2:C112,3,FALSE)/100)*IF(VLOOKUP(A74,tbMoveset!A2:B112,2,FALSE)="Projectile",Backdoors!N10,Backdoors!N9),0),"")</f>
        <v/>
      </c>
      <c r="CL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H74&gt;=0.45,VLOOKUP(Calculator!E23,tbSkills!DH3:DI6,2,FALSE)+IF(AND(Calculator!B8=TRUE,Backdoors!BI15=TRUE),VLOOKUP(Calculator!E23,tbSkills!DH3:DJ6,3,FALSE),0),0))&gt;=100,100,(Backdoors!AI12+IF(CH74&gt;=0.45,VLOOKUP(Calculator!E23,tbSkills!DH3:DI6,2,FALSE)+IF(AND(Calculator!B8=TRUE,Backdoors!BI15=TRUE),VLOOKUP(Calculator!E23,tbSkills!DH3:DJ6,3,FALSE),0),0)))/100)),1))*IF(VLOOKUP(A74,tbMoveset!A2:K112,11,FALSE)=TRUE,Backdoors!AC5,1))*CI74,0),"")</f>
        <v>0</v>
      </c>
      <c r="CM74" s="49">
        <f>VLOOKUP(A74,tbMoveset!A2:G112,7,FALSE)*IFERROR(IF(Backdoors!AI12&gt;=0,1+(IF(Calculator!E40&gt;0,VLOOKUP(Calculator!E40,tbSkills!AI3:AJ5,2,FALSE),Backdoors!AL4)*(IF((Backdoors!AI12+IF(CH74&gt;=0.45,VLOOKUP(Calculator!E23,tbSkills!DH3:DI6,2,FALSE)+IF(AND(Calculator!B8=TRUE,Backdoors!BI15=TRUE),VLOOKUP(Calculator!E23,tbSkills!DH3:DJ6,3,FALSE),0),0))&gt;=100,100,(Backdoors!AI12+IF(CH74&gt;=0.45,VLOOKUP(Calculator!E23,tbSkills!DH3:DI6,2,FALSE)+IF(AND(Calculator!B8=TRUE,Backdoors!BI15=TRUE),VLOOKUP(Calculator!E23,tbSkills!DH3:DJ6,3,FALSE),0),0)))/100)),1),1)</f>
        <v>0.6</v>
      </c>
      <c r="CN74" s="87">
        <f t="shared" si="63"/>
        <v>0</v>
      </c>
      <c r="CO74" s="86" t="str">
        <f>IFERROR(IF(VLOOKUP(A74,tbMoveset!A2:B112,2,FALSE)="Sever",Backdoors!AY16/100,IF(VLOOKUP(A74,tbMoveset!A2:B112,2,FALSE)="Blunt",Backdoors!AZ16/100,Backdoors!BA16/100)),"")</f>
        <v/>
      </c>
      <c r="CP74" s="49">
        <f>IFERROR(IF(VLOOKUP(tbMoveset!A74,tbMoveset!A2:H112,8,FALSE)="Other",IF(VLOOKUP(tbMoveset!A74,tbMoveset!A2:I112,9,FALSE)="Fire",Backdoors!BB16,IF(VLOOKUP(tbMoveset!A74,tbMoveset!A2:I112,9,FALSE)="Water",Backdoors!BC16,IF(VLOOKUP(tbMoveset!A74,tbMoveset!A2:I112,9,FALSE)="Thunder",Backdoors!BD16,IF(VLOOKUP(tbMoveset!A74,tbMoveset!A2:I112,9,FALSE)="Ice",Backdoors!BE16,IF(VLOOKUP(tbMoveset!A74,tbMoveset!A2:I112,9,FALSE)="Dragon",Backdoors!BF16,Backdoors!BG16)))))/100,Backdoors!BG16/100),"")</f>
        <v>0</v>
      </c>
      <c r="CQ74" s="49">
        <f>IFERROR(IF(VLOOKUP(A74,tbMoveset!A2:J112,10,FALSE)=TRUE,IF((Backdoors!AI12+IF(CO74&gt;=0.45,VLOOKUP(Calculator!E23,tbSkills!DH3:DI6,2,FALSE)+IF(AND(Calculator!B8=TRUE,Backdoors!BI16=TRUE),VLOOKUP(Calculator!E23,tbSkills!DH3:DJ6,3,FALSE),0),0))&gt;=0,1+(Backdoors!AL2*(IF((Backdoors!AI12+IF(CO74&gt;=0.45,VLOOKUP(Calculator!E23,tbSkills!DH3:DI6,2,FALSE)+IF(AND(Calculator!B8=TRUE,Backdoors!BI16=TRUE),VLOOKUP(Calculator!E23,tbSkills!DH3:DJ6,3,FALSE),0),0))&gt;=100,100,(Backdoors!AI12+IF(CO74&gt;=0.45,VLOOKUP(Calculator!E23,tbSkills!DH3:DI6,2,FALSE)+IF(AND(Calculator!B8=TRUE,Backdoors!BI16=TRUE),VLOOKUP(Calculator!E23,tbSkills!DH3:DJ6,3,FALSE),0),0)))/100)),(1-(0.25*((-Backdoors!AI12-IF(CO74&gt;=0.45,VLOOKUP(Calculator!E23,tbSkills!DH3:DI6,2,FALSE)+IF(AND(Calculator!B8=TRUE,Backdoors!BI16=TRUE),VLOOKUP(Calculator!E23,tbSkills!DH3:DJ6,3,FALSE),0),0))/100)))),1),"")</f>
        <v>1</v>
      </c>
      <c r="CR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O74)*CQ74)*(VLOOKUP(A74,tbMoveset!A2:C112,3,FALSE)/100)*IF(VLOOKUP(A74,tbMoveset!A2:B112,2,FALSE)="Projectile",Backdoors!N10,Backdoors!N9),0),"")</f>
        <v/>
      </c>
      <c r="CS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O74&gt;=0.45,VLOOKUP(Calculator!E23,tbSkills!DH3:DI6,2,FALSE)+IF(AND(Calculator!B8=TRUE,Backdoors!BI16=TRUE),VLOOKUP(Calculator!E23,tbSkills!DH3:DJ6,3,FALSE),0),0))&gt;=100,100,(Backdoors!AI12+IF(CO74&gt;=0.45,VLOOKUP(Calculator!E23,tbSkills!DH3:DI6,2,FALSE)+IF(AND(Calculator!B8=TRUE,Backdoors!BI16=TRUE),VLOOKUP(Calculator!E23,tbSkills!DH3:DJ6,3,FALSE),0),0)))/100)),1))*IF(VLOOKUP(A74,tbMoveset!A2:K112,11,FALSE)=TRUE,Backdoors!AC5,1))*CP74,0),"")</f>
        <v>0</v>
      </c>
      <c r="CT74" s="49">
        <f>VLOOKUP(A74,tbMoveset!A2:G112,7,FALSE)*IFERROR(IF(Backdoors!AI12&gt;=0,1+(IF(Calculator!E40&gt;0,VLOOKUP(Calculator!E40,tbSkills!AI3:AJ5,2,FALSE),Backdoors!AL4)*(IF((Backdoors!AI12+IF(CO74&gt;=0.45,VLOOKUP(Calculator!E23,tbSkills!DH3:DI6,2,FALSE)+IF(AND(Calculator!B8=TRUE,Backdoors!BI16=TRUE),VLOOKUP(Calculator!E23,tbSkills!DH3:DJ6,3,FALSE),0),0))&gt;=100,100,(Backdoors!AI12+IF(CO74&gt;=0.45,VLOOKUP(Calculator!E23,tbSkills!DH3:DI6,2,FALSE)+IF(AND(Calculator!B8=TRUE,Backdoors!BI16=TRUE),VLOOKUP(Calculator!E23,tbSkills!DH3:DJ6,3,FALSE),0),0)))/100)),1),1)</f>
        <v>0.6</v>
      </c>
      <c r="CU74" s="87">
        <f t="shared" si="64"/>
        <v>0</v>
      </c>
      <c r="CV74" s="86" t="str">
        <f>IFERROR(IF(VLOOKUP(A74,tbMoveset!A2:B112,2,FALSE)="Sever",Backdoors!AY17/100,IF(VLOOKUP(A74,tbMoveset!A2:B112,2,FALSE)="Blunt",Backdoors!AZ17/100,Backdoors!BA17/100)),"")</f>
        <v/>
      </c>
      <c r="CW74" s="49">
        <f>IFERROR(IF(VLOOKUP(tbMoveset!A74,tbMoveset!A2:H112,8,FALSE)="Other",IF(VLOOKUP(tbMoveset!A74,tbMoveset!A2:I112,9,FALSE)="Fire",Backdoors!BB17,IF(VLOOKUP(tbMoveset!A74,tbMoveset!A2:I112,9,FALSE)="Water",Backdoors!BC17,IF(VLOOKUP(tbMoveset!A74,tbMoveset!A2:I112,9,FALSE)="Thunder",Backdoors!BD17,IF(VLOOKUP(tbMoveset!A74,tbMoveset!A2:I112,9,FALSE)="Ice",Backdoors!BE17,IF(VLOOKUP(tbMoveset!A74,tbMoveset!A2:I112,9,FALSE)="Dragon",Backdoors!BF17,Backdoors!BG17)))))/100,Backdoors!BG17/100),"")</f>
        <v>0</v>
      </c>
      <c r="CX74" s="49">
        <f>IFERROR(IF(VLOOKUP(A74,tbMoveset!A2:J112,10,FALSE)=TRUE,IF((Backdoors!AI12+IF(CV74&gt;=0.45,VLOOKUP(Calculator!E23,tbSkills!DH3:DI6,2,FALSE)+IF(AND(Calculator!B8=TRUE,Backdoors!BI17=TRUE),VLOOKUP(Calculator!E23,tbSkills!DH3:DJ6,3,FALSE),0),0))&gt;=0,1+(Backdoors!AL2*(IF((Backdoors!AI12+IF(CV74&gt;=0.45,VLOOKUP(Calculator!E23,tbSkills!DH3:DI6,2,FALSE)+IF(AND(Calculator!B8=TRUE,Backdoors!BI17=TRUE),VLOOKUP(Calculator!E23,tbSkills!DH3:DJ6,3,FALSE),0),0))&gt;=100,100,(Backdoors!AI12+IF(CV74&gt;=0.45,VLOOKUP(Calculator!E23,tbSkills!DH3:DI6,2,FALSE)+IF(AND(Calculator!B8=TRUE,Backdoors!BI17=TRUE),VLOOKUP(Calculator!E23,tbSkills!DH3:DJ6,3,FALSE),0),0)))/100)),(1-(0.25*((-Backdoors!AI12-IF(CV74&gt;=0.45,VLOOKUP(Calculator!E23,tbSkills!DH3:DI6,2,FALSE)+IF(AND(Calculator!B8=TRUE,Backdoors!BI17=TRUE),VLOOKUP(Calculator!E23,tbSkills!DH3:DJ6,3,FALSE),0),0))/100)))),1),"")</f>
        <v>1</v>
      </c>
      <c r="CY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V74)*CX74)*(VLOOKUP(A74,tbMoveset!A2:C112,3,FALSE)/100)*IF(VLOOKUP(A74,tbMoveset!A2:B112,2,FALSE)="Projectile",Backdoors!N10,Backdoors!N9),0),"")</f>
        <v/>
      </c>
      <c r="CZ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V74&gt;=0.45,VLOOKUP(Calculator!E23,tbSkills!DH3:DI6,2,FALSE)+IF(AND(Calculator!B8=TRUE,Backdoors!BI17=TRUE),VLOOKUP(Calculator!E23,tbSkills!DH3:DJ6,3,FALSE),0),0))&gt;=100,100,(Backdoors!AI12+IF(CV74&gt;=0.45,VLOOKUP(Calculator!E23,tbSkills!DH3:DI6,2,FALSE)+IF(AND(Calculator!B8=TRUE,Backdoors!BI17=TRUE),VLOOKUP(Calculator!E23,tbSkills!DH3:DJ6,3,FALSE),0),0)))/100)),1))*IF(VLOOKUP(A74,tbMoveset!A2:K112,11,FALSE)=TRUE,Backdoors!AC5,1))*CW74,0),"")</f>
        <v>0</v>
      </c>
      <c r="DA74" s="49">
        <f>VLOOKUP(A74,tbMoveset!A2:G112,7,FALSE)*IFERROR(IF(Backdoors!AI12&gt;=0,1+(IF(Calculator!E40&gt;0,VLOOKUP(Calculator!E40,tbSkills!AI3:AJ5,2,FALSE),Backdoors!AL4)*(IF((Backdoors!AI12+IF(CV74&gt;=0.45,VLOOKUP(Calculator!E23,tbSkills!DH3:DI6,2,FALSE)+IF(AND(Calculator!B8=TRUE,Backdoors!BI17=TRUE),VLOOKUP(Calculator!E23,tbSkills!DH3:DJ6,3,FALSE),0),0))&gt;=100,100,(Backdoors!AI12+IF(CV74&gt;=0.45,VLOOKUP(Calculator!E23,tbSkills!DH3:DI6,2,FALSE)+IF(AND(Calculator!B8=TRUE,Backdoors!BI17=TRUE),VLOOKUP(Calculator!E23,tbSkills!DH3:DJ6,3,FALSE),0),0)))/100)),1),1)</f>
        <v>0.6</v>
      </c>
      <c r="DB74" s="87">
        <f t="shared" si="65"/>
        <v>0</v>
      </c>
      <c r="DC74" s="86" t="str">
        <f>IFERROR(IF(VLOOKUP(A74,tbMoveset!A2:B112,2,FALSE)="Sever",Backdoors!AY18/100,IF(VLOOKUP(A74,tbMoveset!A2:B112,2,FALSE)="Blunt",Backdoors!AZ18/100,Backdoors!BA18/100)),"")</f>
        <v/>
      </c>
      <c r="DD74" s="49">
        <f>IFERROR(IF(VLOOKUP(tbMoveset!A74,tbMoveset!A2:H112,8,FALSE)="Other",IF(VLOOKUP(tbMoveset!A74,tbMoveset!A2:I112,9,FALSE)="Fire",Backdoors!BB18,IF(VLOOKUP(tbMoveset!A74,tbMoveset!A2:I112,9,FALSE)="Water",Backdoors!BC18,IF(VLOOKUP(tbMoveset!A74,tbMoveset!A2:I112,9,FALSE)="Thunder",Backdoors!BD18,IF(VLOOKUP(tbMoveset!A74,tbMoveset!A2:I112,9,FALSE)="Ice",Backdoors!BE18,IF(VLOOKUP(tbMoveset!A74,tbMoveset!A2:I112,9,FALSE)="Dragon",Backdoors!BF18,Backdoors!BG18)))))/100,Backdoors!BG18/100),"")</f>
        <v>0</v>
      </c>
      <c r="DE74" s="49">
        <f>IFERROR(IF(VLOOKUP(A74,tbMoveset!A2:J112,10,FALSE)=TRUE,IF((Backdoors!AI12+IF(DC74&gt;=0.45,VLOOKUP(Calculator!E23,tbSkills!DH3:DI6,2,FALSE)+IF(AND(Calculator!B8=TRUE,Backdoors!BI18=TRUE),VLOOKUP(Calculator!E23,tbSkills!DH3:DJ6,3,FALSE),0),0))&gt;=0,1+(Backdoors!AL2*(IF((Backdoors!AI12+IF(DC74&gt;=0.45,VLOOKUP(Calculator!E23,tbSkills!DH3:DI6,2,FALSE)+IF(AND(Calculator!B8=TRUE,Backdoors!BI18=TRUE),VLOOKUP(Calculator!E23,tbSkills!DH3:DJ6,3,FALSE),0),0))&gt;=100,100,(Backdoors!AI12+IF(DC74&gt;=0.45,VLOOKUP(Calculator!E23,tbSkills!DH3:DI6,2,FALSE)+IF(AND(Calculator!B8=TRUE,Backdoors!BI18=TRUE),VLOOKUP(Calculator!E23,tbSkills!DH3:DJ6,3,FALSE),0),0)))/100)),(1-(0.25*((-Backdoors!AI12-IF(DC74&gt;=0.45,VLOOKUP(Calculator!E23,tbSkills!DH3:DI6,2,FALSE)+IF(AND(Calculator!B8=TRUE,Backdoors!BI18=TRUE),VLOOKUP(Calculator!E23,tbSkills!DH3:DJ6,3,FALSE),0),0))/100)))),1),"")</f>
        <v>1</v>
      </c>
      <c r="DF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C74)*DE74)*(VLOOKUP(A74,tbMoveset!A2:C112,3,FALSE)/100)*IF(VLOOKUP(A74,tbMoveset!A2:B112,2,FALSE)="Projectile",Backdoors!N10,Backdoors!N9),0),"")</f>
        <v/>
      </c>
      <c r="DG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C74&gt;=0.45,VLOOKUP(Calculator!E23,tbSkills!DH3:DI6,2,FALSE)+IF(AND(Calculator!B8=TRUE,Backdoors!BI18=TRUE),VLOOKUP(Calculator!E23,tbSkills!DH3:DJ6,3,FALSE),0),0))&gt;=100,100,(Backdoors!AI12+IF(DC74&gt;=0.45,VLOOKUP(Calculator!E23,tbSkills!DH3:DI6,2,FALSE)+IF(AND(Calculator!B8=TRUE,Backdoors!BI18=TRUE),VLOOKUP(Calculator!E23,tbSkills!DH3:DJ6,3,FALSE),0),0)))/100)),1))*IF(VLOOKUP(A74,tbMoveset!A2:K112,11,FALSE)=TRUE,Backdoors!AC5,1))*DD74,0),"")</f>
        <v>0</v>
      </c>
      <c r="DH74" s="49">
        <f>VLOOKUP(A74,tbMoveset!A2:G112,7,FALSE)*IFERROR(IF(Backdoors!AI12&gt;=0,1+(IF(Calculator!E40&gt;0,VLOOKUP(Calculator!E40,tbSkills!AI3:AJ5,2,FALSE),Backdoors!AL4)*(IF((Backdoors!AI12+IF(DC74&gt;=0.45,VLOOKUP(Calculator!E23,tbSkills!DH3:DI6,2,FALSE)+IF(AND(Calculator!B8=TRUE,Backdoors!BI18=TRUE),VLOOKUP(Calculator!E23,tbSkills!DH3:DJ6,3,FALSE),0),0))&gt;=100,100,(Backdoors!AI12+IF(DC74&gt;=0.45,VLOOKUP(Calculator!E23,tbSkills!DH3:DI6,2,FALSE)+IF(AND(Calculator!B8=TRUE,Backdoors!BI18=TRUE),VLOOKUP(Calculator!E23,tbSkills!DH3:DJ6,3,FALSE),0),0)))/100)),1),1)</f>
        <v>0.6</v>
      </c>
      <c r="DI74" s="87">
        <f t="shared" si="66"/>
        <v>0</v>
      </c>
      <c r="DJ74" s="86" t="str">
        <f>IFERROR(IF(VLOOKUP(A74,tbMoveset!A2:B112,2,FALSE)="Sever",Backdoors!AY19/100,IF(VLOOKUP(A74,tbMoveset!A2:B112,2,FALSE)="Blunt",Backdoors!AZ19/100,Backdoors!BA19/100)),"")</f>
        <v/>
      </c>
      <c r="DK74" s="49">
        <f>IFERROR(IF(VLOOKUP(tbMoveset!A74,tbMoveset!A2:H112,8,FALSE)="Other",IF(VLOOKUP(tbMoveset!A74,tbMoveset!A2:I112,9,FALSE)="Fire",Backdoors!BB19,IF(VLOOKUP(tbMoveset!A74,tbMoveset!A2:I112,9,FALSE)="Water",Backdoors!BC19,IF(VLOOKUP(tbMoveset!A74,tbMoveset!A2:I112,9,FALSE)="Thunder",Backdoors!BD19,IF(VLOOKUP(tbMoveset!A74,tbMoveset!A2:I112,9,FALSE)="Ice",Backdoors!BE19,IF(VLOOKUP(tbMoveset!A74,tbMoveset!A2:I112,9,FALSE)="Dragon",Backdoors!BF19,Backdoors!BG19)))))/100,Backdoors!BG19/100),"")</f>
        <v>0</v>
      </c>
      <c r="DL74" s="49">
        <f>IFERROR(IF(VLOOKUP(A74,tbMoveset!A2:J112,10,FALSE)=TRUE,IF((Backdoors!AI12+IF(DJ74&gt;=0.45,VLOOKUP(Calculator!E23,tbSkills!DH3:DI6,2,FALSE)+IF(AND(Calculator!B8=TRUE,Backdoors!BI19=TRUE),VLOOKUP(Calculator!E23,tbSkills!DH3:DJ6,3,FALSE),0),0))&gt;=0,1+(Backdoors!AL2*(IF((Backdoors!AI12+IF(DJ74&gt;=0.45,VLOOKUP(Calculator!E23,tbSkills!DH3:DI6,2,FALSE)+IF(AND(Calculator!B8=TRUE,Backdoors!BI19=TRUE),VLOOKUP(Calculator!E23,tbSkills!DH3:DJ6,3,FALSE),0),0))&gt;=100,100,(Backdoors!AI12+IF(DJ74&gt;=0.45,VLOOKUP(Calculator!E23,tbSkills!DH3:DI6,2,FALSE)+IF(AND(Calculator!B8=TRUE,Backdoors!BI19=TRUE),VLOOKUP(Calculator!E23,tbSkills!DH3:DJ6,3,FALSE),0),0)))/100)),(1-(0.25*((-Backdoors!AI12-IF(DJ74&gt;=0.45,VLOOKUP(Calculator!E23,tbSkills!DH3:DI6,2,FALSE)+IF(AND(Calculator!B8=TRUE,Backdoors!BI19=TRUE),VLOOKUP(Calculator!E23,tbSkills!DH3:DJ6,3,FALSE),0),0))/100)))),1),"")</f>
        <v>1</v>
      </c>
      <c r="DM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J74)*DL74)*(VLOOKUP(A74,tbMoveset!A2:C112,3,FALSE)/100)*IF(VLOOKUP(A74,tbMoveset!A2:B112,2,FALSE)="Projectile",Backdoors!N10,Backdoors!N9),0),"")</f>
        <v/>
      </c>
      <c r="DN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J74&gt;=0.45,VLOOKUP(Calculator!E23,tbSkills!DH3:DI6,2,FALSE)+IF(AND(Calculator!B8=TRUE,Backdoors!BI19=TRUE),VLOOKUP(Calculator!E23,tbSkills!DH3:DJ6,3,FALSE),0),0))&gt;=100,100,(Backdoors!AI12+IF(DJ74&gt;=0.45,VLOOKUP(Calculator!E23,tbSkills!DH3:DI6,2,FALSE)+IF(AND(Calculator!B8=TRUE,Backdoors!BI19=TRUE),VLOOKUP(Calculator!E23,tbSkills!DH3:DJ6,3,FALSE),0),0)))/100)),1))*IF(VLOOKUP(A74,tbMoveset!A2:K112,11,FALSE)=TRUE,Backdoors!AC5,1))*DK74,0),"")</f>
        <v>0</v>
      </c>
      <c r="DO74" s="49">
        <f>VLOOKUP(A74,tbMoveset!A2:G112,7,FALSE)*IFERROR(IF(Backdoors!AI12&gt;=0,1+(IF(Calculator!E40&gt;0,VLOOKUP(Calculator!E40,tbSkills!AI3:AJ5,2,FALSE),Backdoors!AL4)*(IF((Backdoors!AI12+IF(DJ74&gt;=0.45,VLOOKUP(Calculator!E23,tbSkills!DH3:DI6,2,FALSE)+IF(AND(Calculator!B8=TRUE,Backdoors!BI19=TRUE),VLOOKUP(Calculator!E23,tbSkills!DH3:DJ6,3,FALSE),0),0))&gt;=100,100,(Backdoors!AI12+IF(DJ74&gt;=0.45,VLOOKUP(Calculator!E23,tbSkills!DH3:DI6,2,FALSE)+IF(AND(Calculator!B8=TRUE,Backdoors!BI19=TRUE),VLOOKUP(Calculator!E23,tbSkills!DH3:DJ6,3,FALSE),0),0)))/100)),1),1)</f>
        <v>0.6</v>
      </c>
      <c r="DP74" s="87">
        <f t="shared" si="67"/>
        <v>0</v>
      </c>
      <c r="DQ74" s="86" t="str">
        <f>IFERROR(IF(VLOOKUP(A74,tbMoveset!A2:B112,2,FALSE)="Sever",Backdoors!AY20/100,IF(VLOOKUP(A74,tbMoveset!A2:B112,2,FALSE)="Blunt",Backdoors!AZ20/100,Backdoors!BA20/100)),"")</f>
        <v/>
      </c>
      <c r="DR74" s="49">
        <f>IFERROR(IF(VLOOKUP(tbMoveset!A74,tbMoveset!A2:H112,8,FALSE)="Other",IF(VLOOKUP(tbMoveset!A74,tbMoveset!A2:I112,9,FALSE)="Fire",Backdoors!BB20,IF(VLOOKUP(tbMoveset!A74,tbMoveset!A2:I112,9,FALSE)="Water",Backdoors!BC20,IF(VLOOKUP(tbMoveset!A74,tbMoveset!A2:I112,9,FALSE)="Thunder",Backdoors!BD20,IF(VLOOKUP(tbMoveset!A74,tbMoveset!A2:I112,9,FALSE)="Ice",Backdoors!BE20,IF(VLOOKUP(tbMoveset!A74,tbMoveset!A2:I112,9,FALSE)="Dragon",Backdoors!BF20,Backdoors!BG20)))))/100,Backdoors!BG20/100),"")</f>
        <v>0</v>
      </c>
      <c r="DS74" s="49">
        <f>IFERROR(IF(VLOOKUP(A74,tbMoveset!A2:J112,10,FALSE)=TRUE,IF((Backdoors!AI12+IF(DQ74&gt;=0.45,VLOOKUP(Calculator!E23,tbSkills!DH3:DI6,2,FALSE)+IF(AND(Calculator!B8=TRUE,Backdoors!BI20=TRUE),VLOOKUP(Calculator!E23,tbSkills!DH3:DJ6,3,FALSE),0),0))&gt;=0,1+(Backdoors!AL2*(IF((Backdoors!AI12+IF(DQ74&gt;=0.45,VLOOKUP(Calculator!E23,tbSkills!DH3:DI6,2,FALSE)+IF(AND(Calculator!B8=TRUE,Backdoors!BI20=TRUE),VLOOKUP(Calculator!E23,tbSkills!DH3:DJ6,3,FALSE),0),0))&gt;=100,100,(Backdoors!AI12+IF(DQ74&gt;=0.45,VLOOKUP(Calculator!E23,tbSkills!DH3:DI6,2,FALSE)+IF(AND(Calculator!B8=TRUE,Backdoors!BI20=TRUE),VLOOKUP(Calculator!E23,tbSkills!DH3:DJ6,3,FALSE),0),0)))/100)),(1-(0.25*((-Backdoors!AI12-IF(DQ74&gt;=0.45,VLOOKUP(Calculator!E23,tbSkills!DH3:DI6,2,FALSE)+IF(AND(Calculator!B8=TRUE,Backdoors!BI20=TRUE),VLOOKUP(Calculator!E23,tbSkills!DH3:DJ6,3,FALSE),0),0))/100)))),1),"")</f>
        <v>1</v>
      </c>
      <c r="DT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Q74)*DS74)*(VLOOKUP(A74,tbMoveset!A2:C112,3,FALSE)/100)*IF(VLOOKUP(A74,tbMoveset!A2:B112,2,FALSE)="Projectile",Backdoors!N10,Backdoors!N9),0),"")</f>
        <v/>
      </c>
      <c r="DU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Q74&gt;=0.45,VLOOKUP(Calculator!E23,tbSkills!DH3:DI6,2,FALSE)+IF(AND(Calculator!B8=TRUE,Backdoors!BI20=TRUE),VLOOKUP(Calculator!E23,tbSkills!DH3:DJ6,3,FALSE),0),0))&gt;=100,100,(Backdoors!AI12+IF(DQ74&gt;=0.45,VLOOKUP(Calculator!E23,tbSkills!DH3:DI6,2,FALSE)+IF(AND(Calculator!B8=TRUE,Backdoors!BI20=TRUE),VLOOKUP(Calculator!E23,tbSkills!DH3:DJ6,3,FALSE),0),0)))/100)),1))*IF(VLOOKUP(A74,tbMoveset!A2:K112,11,FALSE)=TRUE,Backdoors!AC5,1))*DR74,0),"")</f>
        <v>0</v>
      </c>
      <c r="DV74" s="49">
        <f>VLOOKUP(A74,tbMoveset!A2:G112,7,FALSE)*IFERROR(IF(Backdoors!AI12&gt;=0,1+(IF(Calculator!E40&gt;0,VLOOKUP(Calculator!E40,tbSkills!AI3:AJ5,2,FALSE),Backdoors!AL4)*(IF((Backdoors!AI12+IF(DQ74&gt;=0.45,VLOOKUP(Calculator!E23,tbSkills!DH3:DI6,2,FALSE)+IF(AND(Calculator!B8=TRUE,Backdoors!BI20=TRUE),VLOOKUP(Calculator!E23,tbSkills!DH3:DJ6,3,FALSE),0),0))&gt;=100,100,(Backdoors!AI12+IF(DQ74&gt;=0.45,VLOOKUP(Calculator!E23,tbSkills!DH3:DI6,2,FALSE)+IF(AND(Calculator!B8=TRUE,Backdoors!BI20=TRUE),VLOOKUP(Calculator!E23,tbSkills!DH3:DJ6,3,FALSE),0),0)))/100)),1),1)</f>
        <v>0.6</v>
      </c>
      <c r="DW74" s="87">
        <f t="shared" si="68"/>
        <v>0</v>
      </c>
      <c r="DX74" s="86" t="str">
        <f>IFERROR(IF(VLOOKUP(A74,tbMoveset!A2:B112,2,FALSE)="Sever",Backdoors!AY21/100,IF(VLOOKUP(A74,tbMoveset!A2:B112,2,FALSE)="Blunt",Backdoors!AZ21/100,Backdoors!BA21/100)),"")</f>
        <v/>
      </c>
      <c r="DY74" s="49">
        <f>IFERROR(IF(VLOOKUP(tbMoveset!A74,tbMoveset!A2:H112,8,FALSE)="Other",IF(VLOOKUP(tbMoveset!A74,tbMoveset!A2:I112,9,FALSE)="Fire",Backdoors!BB21,IF(VLOOKUP(tbMoveset!A74,tbMoveset!A2:I112,9,FALSE)="Water",Backdoors!BC21,IF(VLOOKUP(tbMoveset!A74,tbMoveset!A2:I112,9,FALSE)="Thunder",Backdoors!BD21,IF(VLOOKUP(tbMoveset!A74,tbMoveset!A2:I112,9,FALSE)="Ice",Backdoors!BE21,IF(VLOOKUP(tbMoveset!A74,tbMoveset!A2:I112,9,FALSE)="Dragon",Backdoors!BF21,Backdoors!BG21)))))/100,Backdoors!BG21/100),"")</f>
        <v>0</v>
      </c>
      <c r="DZ74" s="49">
        <f>IFERROR(IF(VLOOKUP(A74,tbMoveset!A2:J112,10,FALSE)=TRUE,IF((Backdoors!AI12+IF(DX74&gt;=0.45,VLOOKUP(Calculator!E23,tbSkills!DH3:DI6,2,FALSE)+IF(AND(Calculator!B8=TRUE,Backdoors!BI21=TRUE),VLOOKUP(Calculator!E23,tbSkills!DH3:DJ6,3,FALSE),0),0))&gt;=0,1+(Backdoors!AL2*(IF((Backdoors!AI12+IF(DX74&gt;=0.45,VLOOKUP(Calculator!E23,tbSkills!DH3:DI6,2,FALSE)+IF(AND(Calculator!B8=TRUE,Backdoors!BI21=TRUE),VLOOKUP(Calculator!E23,tbSkills!DH3:DJ6,3,FALSE),0),0))&gt;=100,100,(Backdoors!AI12+IF(DX74&gt;=0.45,VLOOKUP(Calculator!E23,tbSkills!DH3:DI6,2,FALSE)+IF(AND(Calculator!B8=TRUE,Backdoors!BI21=TRUE),VLOOKUP(Calculator!E23,tbSkills!DH3:DJ6,3,FALSE),0),0)))/100)),(1-(0.25*((-Backdoors!AI12-IF(DX74&gt;=0.45,VLOOKUP(Calculator!E23,tbSkills!DH3:DI6,2,FALSE)+IF(AND(Calculator!B8=TRUE,Backdoors!BI21=TRUE),VLOOKUP(Calculator!E23,tbSkills!DH3:DJ6,3,FALSE),0),0))/100)))),1),"")</f>
        <v>1</v>
      </c>
      <c r="EA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X74)*DZ74)*(VLOOKUP(A74,tbMoveset!A2:C112,3,FALSE)/100)*IF(VLOOKUP(A74,tbMoveset!A2:B112,2,FALSE)="Projectile",Backdoors!N10,Backdoors!N9),0),"")</f>
        <v/>
      </c>
      <c r="EB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X74&gt;=0.45,VLOOKUP(Calculator!E23,tbSkills!DH3:DI6,2,FALSE)+IF(AND(Calculator!B8=TRUE,Backdoors!BI21=TRUE),VLOOKUP(Calculator!E23,tbSkills!DH3:DJ6,3,FALSE),0),0))&gt;=100,100,(Backdoors!AI12+IF(DX74&gt;=0.45,VLOOKUP(Calculator!E23,tbSkills!DH3:DI6,2,FALSE)+IF(AND(Calculator!B8=TRUE,Backdoors!BI21=TRUE),VLOOKUP(Calculator!E23,tbSkills!DH3:DJ6,3,FALSE),0),0)))/100)),1))*IF(VLOOKUP(A74,tbMoveset!A2:K112,11,FALSE)=TRUE,Backdoors!AC5,1))*DY74,0),"")</f>
        <v>0</v>
      </c>
      <c r="EC74" s="49">
        <f>VLOOKUP(A74,tbMoveset!A2:G112,7,FALSE)*IFERROR(IF(Backdoors!AI12&gt;=0,1+(IF(Calculator!E40&gt;0,VLOOKUP(Calculator!E40,tbSkills!AI3:AJ5,2,FALSE),Backdoors!AL4)*(IF((Backdoors!AI12+IF(DX74&gt;=0.45,VLOOKUP(Calculator!E23,tbSkills!DH3:DI6,2,FALSE)+IF(AND(Calculator!B8=TRUE,Backdoors!BI21=TRUE),VLOOKUP(Calculator!E23,tbSkills!DH3:DJ6,3,FALSE),0),0))&gt;=100,100,(Backdoors!AI12+IF(DX74&gt;=0.45,VLOOKUP(Calculator!E23,tbSkills!DH3:DI6,2,FALSE)+IF(AND(Calculator!B8=TRUE,Backdoors!BI21=TRUE),VLOOKUP(Calculator!E23,tbSkills!DH3:DJ6,3,FALSE),0),0)))/100)),1),1)</f>
        <v>0.6</v>
      </c>
      <c r="ED74" s="87">
        <f t="shared" si="69"/>
        <v>0</v>
      </c>
      <c r="EE74" s="86" t="str">
        <f>IFERROR(IF(VLOOKUP(A74,tbMoveset!A2:B112,2,FALSE)="Sever",Backdoors!AY22/100,IF(VLOOKUP(A74,tbMoveset!A2:B112,2,FALSE)="Blunt",Backdoors!AZ22/100,Backdoors!BA22/100)),"")</f>
        <v/>
      </c>
      <c r="EF74" s="49">
        <f>IFERROR(IF(VLOOKUP(tbMoveset!A74,tbMoveset!A2:H112,8,FALSE)="Other",IF(VLOOKUP(tbMoveset!A74,tbMoveset!A2:I112,9,FALSE)="Fire",Backdoors!BB22,IF(VLOOKUP(tbMoveset!A74,tbMoveset!A2:I112,9,FALSE)="Water",Backdoors!BC22,IF(VLOOKUP(tbMoveset!A74,tbMoveset!A2:I112,9,FALSE)="Thunder",Backdoors!BD22,IF(VLOOKUP(tbMoveset!A74,tbMoveset!A2:I112,9,FALSE)="Ice",Backdoors!BE22,IF(VLOOKUP(tbMoveset!A74,tbMoveset!A2:I112,9,FALSE)="Dragon",Backdoors!BF22,Backdoors!BG22)))))/100,Backdoors!BG22/100),"")</f>
        <v>0</v>
      </c>
      <c r="EG74" s="49">
        <f>IFERROR(IF(VLOOKUP(A74,tbMoveset!A2:J112,10,FALSE)=TRUE,IF((Backdoors!AI12+IF(EE74&gt;=0.45,VLOOKUP(Calculator!E23,tbSkills!DH3:DI6,2,FALSE)+IF(AND(Calculator!B8=TRUE,Backdoors!BI22=TRUE),VLOOKUP(Calculator!E23,tbSkills!DH3:DJ6,3,FALSE),0),0))&gt;=0,1+(Backdoors!AL2*(IF((Backdoors!AI12+IF(EE74&gt;=0.45,VLOOKUP(Calculator!E23,tbSkills!DH3:DI6,2,FALSE)+IF(AND(Calculator!B8=TRUE,Backdoors!BI22=TRUE),VLOOKUP(Calculator!E23,tbSkills!DH3:DJ6,3,FALSE),0),0))&gt;=100,100,(Backdoors!AI12+IF(EE74&gt;=0.45,VLOOKUP(Calculator!E23,tbSkills!DH3:DI6,2,FALSE)+IF(AND(Calculator!B8=TRUE,Backdoors!BI22=TRUE),VLOOKUP(Calculator!E23,tbSkills!DH3:DJ6,3,FALSE),0),0)))/100)),(1-(0.25*((-Backdoors!AI12-IF(EE74&gt;=0.45,VLOOKUP(Calculator!E23,tbSkills!DH3:DI6,2,FALSE)+IF(AND(Calculator!B8=TRUE,Backdoors!BI22=TRUE),VLOOKUP(Calculator!E23,tbSkills!DH3:DJ6,3,FALSE),0),0))/100)))),1),"")</f>
        <v>1</v>
      </c>
      <c r="EH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E74)*EG74)*(VLOOKUP(A74,tbMoveset!A2:C112,3,FALSE)/100)*IF(VLOOKUP(A74,tbMoveset!A2:B112,2,FALSE)="Projectile",Backdoors!N10,Backdoors!N9),0),"")</f>
        <v/>
      </c>
      <c r="EI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E74&gt;=0.45,VLOOKUP(Calculator!E23,tbSkills!DH3:DI6,2,FALSE)+IF(AND(Calculator!B8=TRUE,Backdoors!BI22=TRUE),VLOOKUP(Calculator!E23,tbSkills!DH3:DJ6,3,FALSE),0),0))&gt;=100,100,(Backdoors!AI12+IF(EE74&gt;=0.45,VLOOKUP(Calculator!E23,tbSkills!DH3:DI6,2,FALSE)+IF(AND(Calculator!B8=TRUE,Backdoors!BI22=TRUE),VLOOKUP(Calculator!E23,tbSkills!DH3:DJ6,3,FALSE),0),0)))/100)),1))*IF(VLOOKUP(A74,tbMoveset!A2:K112,11,FALSE)=TRUE,Backdoors!AC5,1))*EF74,0),"")</f>
        <v>0</v>
      </c>
      <c r="EJ74" s="49">
        <f>VLOOKUP(A74,tbMoveset!A2:G112,7,FALSE)*IFERROR(IF(Backdoors!AI12&gt;=0,1+(IF(Calculator!E40&gt;0,VLOOKUP(Calculator!E40,tbSkills!AI3:AJ5,2,FALSE),Backdoors!AL4)*(IF((Backdoors!AI12+IF(EE74&gt;=0.45,VLOOKUP(Calculator!E23,tbSkills!DH3:DI6,2,FALSE)+IF(AND(Calculator!B8=TRUE,Backdoors!BI22=TRUE),VLOOKUP(Calculator!E23,tbSkills!DH3:DJ6,3,FALSE),0),0))&gt;=100,100,(Backdoors!AI12+IF(EE74&gt;=0.45,VLOOKUP(Calculator!E23,tbSkills!DH3:DI6,2,FALSE)+IF(AND(Calculator!B8=TRUE,Backdoors!BI22=TRUE),VLOOKUP(Calculator!E23,tbSkills!DH3:DJ6,3,FALSE),0),0)))/100)),1),1)</f>
        <v>0.6</v>
      </c>
      <c r="EK74" s="87">
        <f t="shared" si="70"/>
        <v>0</v>
      </c>
      <c r="EL74" s="86" t="str">
        <f>IFERROR(IF(VLOOKUP(A74,tbMoveset!A2:B112,2,FALSE)="Sever",Backdoors!AY23/100,IF(VLOOKUP(A74,tbMoveset!A2:B112,2,FALSE)="Blunt",Backdoors!AZ23/100,Backdoors!BA23/100)),"")</f>
        <v/>
      </c>
      <c r="EM74" s="49">
        <f>IFERROR(IF(VLOOKUP(tbMoveset!A74,tbMoveset!A2:H112,8,FALSE)="Other",IF(VLOOKUP(tbMoveset!A74,tbMoveset!A2:I112,9,FALSE)="Fire",Backdoors!BB23,IF(VLOOKUP(tbMoveset!A74,tbMoveset!A2:I112,9,FALSE)="Water",Backdoors!BC23,IF(VLOOKUP(tbMoveset!A74,tbMoveset!A2:I112,9,FALSE)="Thunder",Backdoors!BD23,IF(VLOOKUP(tbMoveset!A74,tbMoveset!A2:I112,9,FALSE)="Ice",Backdoors!BE23,IF(VLOOKUP(tbMoveset!A74,tbMoveset!A2:I112,9,FALSE)="Dragon",Backdoors!BF23,Backdoors!BG23)))))/100,Backdoors!BG23/100),"")</f>
        <v>0</v>
      </c>
      <c r="EN74" s="49">
        <f>IFERROR(IF(VLOOKUP(A74,tbMoveset!A2:J112,10,FALSE)=TRUE,IF((Backdoors!AI12+IF(EL74&gt;=0.45,VLOOKUP(Calculator!E23,tbSkills!DH3:DI6,2,FALSE)+IF(AND(Calculator!B8=TRUE,Backdoors!BI23=TRUE),VLOOKUP(Calculator!E23,tbSkills!DH3:DJ6,3,FALSE),0),0))&gt;=0,1+(Backdoors!AL2*(IF((Backdoors!AI12+IF(EL74&gt;=0.45,VLOOKUP(Calculator!E23,tbSkills!DH3:DI6,2,FALSE)+IF(AND(Calculator!B8=TRUE,Backdoors!BI23=TRUE),VLOOKUP(Calculator!E23,tbSkills!DH3:DJ6,3,FALSE),0),0))&gt;=100,100,(Backdoors!AI12+IF(EL74&gt;=0.45,VLOOKUP(Calculator!E23,tbSkills!DH3:DI6,2,FALSE)+IF(AND(Calculator!B8=TRUE,Backdoors!BI23=TRUE),VLOOKUP(Calculator!E23,tbSkills!DH3:DJ6,3,FALSE),0),0)))/100)),(1-(0.25*((-Backdoors!AI12-IF(EL74&gt;=0.45,VLOOKUP(Calculator!E23,tbSkills!DH3:DI6,2,FALSE)+IF(AND(Calculator!B8=TRUE,Backdoors!BI23=TRUE),VLOOKUP(Calculator!E23,tbSkills!DH3:DJ6,3,FALSE),0),0))/100)))),1),"")</f>
        <v>1</v>
      </c>
      <c r="EO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L74)*EN74)*(VLOOKUP(A74,tbMoveset!A2:C112,3,FALSE)/100)*IF(VLOOKUP(A74,tbMoveset!A2:B112,2,FALSE)="Projectile",Backdoors!N10,Backdoors!N9),0),"")</f>
        <v/>
      </c>
      <c r="EP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L74&gt;=0.45,VLOOKUP(Calculator!E23,tbSkills!DH3:DI6,2,FALSE)+IF(AND(Calculator!B8=TRUE,Backdoors!BI23=TRUE),VLOOKUP(Calculator!E23,tbSkills!DH3:DJ6,3,FALSE),0),0))&gt;=100,100,(Backdoors!AI12+IF(EL74&gt;=0.45,VLOOKUP(Calculator!E23,tbSkills!DH3:DI6,2,FALSE)+IF(AND(Calculator!B8=TRUE,Backdoors!BI23=TRUE),VLOOKUP(Calculator!E23,tbSkills!DH3:DJ6,3,FALSE),0),0)))/100)),1))*IF(VLOOKUP(A74,tbMoveset!A2:K112,11,FALSE)=TRUE,Backdoors!AC5,1))*EM74,0),"")</f>
        <v>0</v>
      </c>
      <c r="EQ74" s="49">
        <f>VLOOKUP(A74,tbMoveset!A2:G112,7,FALSE)*IFERROR(IF(Backdoors!AI12&gt;=0,1+(IF(Calculator!E40&gt;0,VLOOKUP(Calculator!E40,tbSkills!AI3:AJ5,2,FALSE),Backdoors!AL4)*(IF((Backdoors!AI12+IF(EL74&gt;=0.45,VLOOKUP(Calculator!E23,tbSkills!DH3:DI6,2,FALSE)+IF(AND(Calculator!B8=TRUE,Backdoors!BI23=TRUE),VLOOKUP(Calculator!E23,tbSkills!DH3:DJ6,3,FALSE),0),0))&gt;=100,100,(Backdoors!AI12+IF(EL74&gt;=0.45,VLOOKUP(Calculator!E23,tbSkills!DH3:DI6,2,FALSE)+IF(AND(Calculator!B8=TRUE,Backdoors!BI23=TRUE),VLOOKUP(Calculator!E23,tbSkills!DH3:DJ6,3,FALSE),0),0)))/100)),1),1)</f>
        <v>0.6</v>
      </c>
      <c r="ER74" s="87">
        <f t="shared" si="71"/>
        <v>0</v>
      </c>
      <c r="ES74" s="86" t="str">
        <f>IFERROR(IF(VLOOKUP(A74,tbMoveset!A2:B112,2,FALSE)="Sever",Backdoors!AY24/100,IF(VLOOKUP(A74,tbMoveset!A2:B112,2,FALSE)="Blunt",Backdoors!AZ24/100,Backdoors!BA24/100)),"")</f>
        <v/>
      </c>
      <c r="ET74" s="49">
        <f>IFERROR(IF(VLOOKUP(tbMoveset!A74,tbMoveset!A2:H112,8,FALSE)="Other",IF(VLOOKUP(tbMoveset!A74,tbMoveset!A2:I112,9,FALSE)="Fire",Backdoors!BB24,IF(VLOOKUP(tbMoveset!A74,tbMoveset!A2:I112,9,FALSE)="Water",Backdoors!BC24,IF(VLOOKUP(tbMoveset!A74,tbMoveset!A2:I112,9,FALSE)="Thunder",Backdoors!BD24,IF(VLOOKUP(tbMoveset!A74,tbMoveset!A2:I112,9,FALSE)="Ice",Backdoors!BE24,IF(VLOOKUP(tbMoveset!A74,tbMoveset!A2:I112,9,FALSE)="Dragon",Backdoors!BF24,Backdoors!BG24)))))/100,Backdoors!BG24/100),"")</f>
        <v>0</v>
      </c>
      <c r="EU74" s="49">
        <f>IFERROR(IF(VLOOKUP(A74,tbMoveset!A2:J112,10,FALSE)=TRUE,IF((Backdoors!AI12+IF(ES74&gt;=0.45,VLOOKUP(Calculator!E23,tbSkills!DH3:DI6,2,FALSE)+IF(AND(Calculator!B8=TRUE,Backdoors!BI24=TRUE),VLOOKUP(Calculator!E23,tbSkills!DH3:DJ6,3,FALSE),0),0))&gt;=0,1+(Backdoors!AL2*(IF((Backdoors!AI12+IF(ES74&gt;=0.45,VLOOKUP(Calculator!E23,tbSkills!DH3:DI6,2,FALSE)+IF(AND(Calculator!B8=TRUE,Backdoors!BI24=TRUE),VLOOKUP(Calculator!E23,tbSkills!DH3:DJ6,3,FALSE),0),0))&gt;=100,100,(Backdoors!AI12+IF(ES74&gt;=0.45,VLOOKUP(Calculator!E23,tbSkills!DH3:DI6,2,FALSE)+IF(AND(Calculator!B8=TRUE,Backdoors!BI24=TRUE),VLOOKUP(Calculator!E23,tbSkills!DH3:DJ6,3,FALSE),0),0)))/100)),(1-(0.25*((-Backdoors!AI12-IF(ES74&gt;=0.45,VLOOKUP(Calculator!E23,tbSkills!DH3:DI6,2,FALSE)+IF(AND(Calculator!B8=TRUE,Backdoors!BI24=TRUE),VLOOKUP(Calculator!E23,tbSkills!DH3:DJ6,3,FALSE),0),0))/100)))),1),"")</f>
        <v>1</v>
      </c>
      <c r="EV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S74)*EU74)*(VLOOKUP(A74,tbMoveset!A2:C112,3,FALSE)/100)*IF(VLOOKUP(A74,tbMoveset!A2:B112,2,FALSE)="Projectile",Backdoors!N10,Backdoors!N9),0),"")</f>
        <v/>
      </c>
      <c r="EW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S74&gt;=0.45,VLOOKUP(Calculator!E23,tbSkills!DH3:DI6,2,FALSE)+IF(AND(Calculator!B8=TRUE,Backdoors!BI24=TRUE),VLOOKUP(Calculator!E23,tbSkills!DH3:DJ6,3,FALSE),0),0))&gt;=100,100,(Backdoors!AI12+IF(ES74&gt;=0.45,VLOOKUP(Calculator!E23,tbSkills!DH3:DI6,2,FALSE)+IF(AND(Calculator!B8=TRUE,Backdoors!BI24=TRUE),VLOOKUP(Calculator!E23,tbSkills!DH3:DJ6,3,FALSE),0),0)))/100)),1))*IF(VLOOKUP(A74,tbMoveset!A2:K112,11,FALSE)=TRUE,Backdoors!AC5,1))*ET74,0),"")</f>
        <v>0</v>
      </c>
      <c r="EX74" s="49">
        <f>VLOOKUP(A74,tbMoveset!A2:G112,7,FALSE)*IFERROR(IF(Backdoors!AI12&gt;=0,1+(IF(Calculator!E40&gt;0,VLOOKUP(Calculator!E40,tbSkills!AI3:AJ5,2,FALSE),Backdoors!AL4)*(IF((Backdoors!AI12+IF(ES74&gt;=0.45,VLOOKUP(Calculator!E23,tbSkills!DH3:DI6,2,FALSE)+IF(AND(Calculator!B8=TRUE,Backdoors!BI24=TRUE),VLOOKUP(Calculator!E23,tbSkills!DH3:DJ6,3,FALSE),0),0))&gt;=100,100,(Backdoors!AI12+IF(ES74&gt;=0.45,VLOOKUP(Calculator!E23,tbSkills!DH3:DI6,2,FALSE)+IF(AND(Calculator!B8=TRUE,Backdoors!BI24=TRUE),VLOOKUP(Calculator!E23,tbSkills!DH3:DJ6,3,FALSE),0),0)))/100)),1),1)</f>
        <v>0.6</v>
      </c>
      <c r="EY74" s="87">
        <f t="shared" si="72"/>
        <v>0</v>
      </c>
      <c r="EZ74" s="86" t="str">
        <f>IFERROR(IF(VLOOKUP(A74,tbMoveset!A2:B112,2,FALSE)="Sever",Backdoors!AY25/100,IF(VLOOKUP(A74,tbMoveset!A2:B112,2,FALSE)="Blunt",Backdoors!AZ25/100,Backdoors!BA25/100)),"")</f>
        <v/>
      </c>
      <c r="FA74" s="49">
        <f>IFERROR(IF(VLOOKUP(tbMoveset!A74,tbMoveset!A2:H112,8,FALSE)="Other",IF(VLOOKUP(tbMoveset!A74,tbMoveset!A2:I112,9,FALSE)="Fire",Backdoors!BB25,IF(VLOOKUP(tbMoveset!A74,tbMoveset!A2:I112,9,FALSE)="Water",Backdoors!BC25,IF(VLOOKUP(tbMoveset!A74,tbMoveset!A2:I112,9,FALSE)="Thunder",Backdoors!BD25,IF(VLOOKUP(tbMoveset!A74,tbMoveset!A2:I112,9,FALSE)="Ice",Backdoors!BE25,IF(VLOOKUP(tbMoveset!A74,tbMoveset!A2:I112,9,FALSE)="Dragon",Backdoors!BF25,Backdoors!BG25)))))/100,Backdoors!BG25/100),"")</f>
        <v>0</v>
      </c>
      <c r="FB74" s="49">
        <f>IFERROR(IF(VLOOKUP(A74,tbMoveset!A2:J112,10,FALSE)=TRUE,IF((Backdoors!AI12+IF(EZ74&gt;=0.45,VLOOKUP(Calculator!E23,tbSkills!DH3:DI6,2,FALSE)+IF(AND(Calculator!B8=TRUE,Backdoors!BI25=TRUE),VLOOKUP(Calculator!E23,tbSkills!DH3:DJ6,3,FALSE),0),0))&gt;=0,1+(Backdoors!AL2*(IF((Backdoors!AI12+IF(EZ74&gt;=0.45,VLOOKUP(Calculator!E23,tbSkills!DH3:DI6,2,FALSE)+IF(AND(Calculator!B8=TRUE,Backdoors!BI25=TRUE),VLOOKUP(Calculator!E23,tbSkills!DH3:DJ6,3,FALSE),0),0))&gt;=100,100,(Backdoors!AI12+IF(EZ74&gt;=0.45,VLOOKUP(Calculator!E23,tbSkills!DH3:DI6,2,FALSE)+IF(AND(Calculator!B8=TRUE,Backdoors!BI25=TRUE),VLOOKUP(Calculator!E23,tbSkills!DH3:DJ6,3,FALSE),0),0)))/100)),(1-(0.25*((-Backdoors!AI12-IF(EZ74&gt;=0.45,VLOOKUP(Calculator!E23,tbSkills!DH3:DI6,2,FALSE)+IF(AND(Calculator!B8=TRUE,Backdoors!BI25=TRUE),VLOOKUP(Calculator!E23,tbSkills!DH3:DJ6,3,FALSE),0),0))/100)))),1),"")</f>
        <v>1</v>
      </c>
      <c r="FC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Z74)*FB74)*(VLOOKUP(A74,tbMoveset!A2:C112,3,FALSE)/100)*IF(VLOOKUP(A74,tbMoveset!A2:B112,2,FALSE)="Projectile",Backdoors!N10,Backdoors!N9),0),"")</f>
        <v/>
      </c>
      <c r="FD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Z74&gt;=0.45,VLOOKUP(Calculator!E23,tbSkills!DH3:DI6,2,FALSE)+IF(AND(Calculator!B8=TRUE,Backdoors!BI25=TRUE),VLOOKUP(Calculator!E23,tbSkills!DH3:DJ6,3,FALSE),0),0))&gt;=100,100,(Backdoors!AI12+IF(EZ74&gt;=0.45,VLOOKUP(Calculator!E23,tbSkills!DH3:DI6,2,FALSE)+IF(AND(Calculator!B8=TRUE,Backdoors!BI25=TRUE),VLOOKUP(Calculator!E23,tbSkills!DH3:DJ6,3,FALSE),0),0)))/100)),1))*IF(VLOOKUP(A74,tbMoveset!A2:K112,11,FALSE)=TRUE,Backdoors!AC5,1))*FA74,0),"")</f>
        <v>0</v>
      </c>
      <c r="FE74" s="49">
        <f>VLOOKUP(A74,tbMoveset!A2:G112,7,FALSE)*IFERROR(IF(Backdoors!AI12&gt;=0,1+(IF(Calculator!E40&gt;0,VLOOKUP(Calculator!E40,tbSkills!AI3:AJ5,2,FALSE),Backdoors!AL4)*(IF((Backdoors!AI12+IF(EZ74&gt;=0.45,VLOOKUP(Calculator!E23,tbSkills!DH3:DI6,2,FALSE)+IF(AND(Calculator!B8=TRUE,Backdoors!BI25=TRUE),VLOOKUP(Calculator!E23,tbSkills!DH3:DJ6,3,FALSE),0),0))&gt;=100,100,(Backdoors!AI12+IF(EZ74&gt;=0.45,VLOOKUP(Calculator!E23,tbSkills!DH3:DI6,2,FALSE)+IF(AND(Calculator!B8=TRUE,Backdoors!BI25=TRUE),VLOOKUP(Calculator!E23,tbSkills!DH3:DJ6,3,FALSE),0),0)))/100)),1),1)</f>
        <v>0.6</v>
      </c>
      <c r="FF74" s="87">
        <f t="shared" si="73"/>
        <v>0</v>
      </c>
      <c r="FG74" s="86" t="str">
        <f>IFERROR(IF(VLOOKUP(A74,tbMoveset!A2:B112,2,FALSE)="Sever",Backdoors!AY26/100,IF(VLOOKUP(A74,tbMoveset!A2:B112,2,FALSE)="Blunt",Backdoors!AZ26/100,Backdoors!BA26/100)),"")</f>
        <v/>
      </c>
      <c r="FH74" s="49">
        <f>IFERROR(IF(VLOOKUP(tbMoveset!A74,tbMoveset!A2:H112,8,FALSE)="Other",IF(VLOOKUP(tbMoveset!A74,tbMoveset!A2:I112,9,FALSE)="Fire",Backdoors!BB26,IF(VLOOKUP(tbMoveset!A74,tbMoveset!A2:I112,9,FALSE)="Water",Backdoors!BC26,IF(VLOOKUP(tbMoveset!A74,tbMoveset!A2:I112,9,FALSE)="Thunder",Backdoors!BD26,IF(VLOOKUP(tbMoveset!A74,tbMoveset!A2:I112,9,FALSE)="Ice",Backdoors!BE26,IF(VLOOKUP(tbMoveset!A74,tbMoveset!A2:I112,9,FALSE)="Dragon",Backdoors!BF26,Backdoors!BG26)))))/100,Backdoors!BG26/100),"")</f>
        <v>0</v>
      </c>
      <c r="FI74" s="49">
        <f>IFERROR(IF(VLOOKUP(A74,tbMoveset!A2:J112,10,FALSE)=TRUE,IF((Backdoors!AI12+IF(FG74&gt;=0.45,VLOOKUP(Calculator!E23,tbSkills!DH3:DI6,2,FALSE)+IF(AND(Calculator!B8=TRUE,Backdoors!BI26=TRUE),VLOOKUP(Calculator!E23,tbSkills!DH3:DJ6,3,FALSE),0),0))&gt;=0,1+(Backdoors!AL2*(IF((Backdoors!AI12+IF(FG74&gt;=0.45,VLOOKUP(Calculator!E23,tbSkills!DH3:DI6,2,FALSE)+IF(AND(Calculator!B8=TRUE,Backdoors!BI26=TRUE),VLOOKUP(Calculator!E23,tbSkills!DH3:DJ6,3,FALSE),0),0))&gt;=100,100,(Backdoors!AI12+IF(FG74&gt;=0.45,VLOOKUP(Calculator!E23,tbSkills!DH3:DI6,2,FALSE)+IF(AND(Calculator!B8=TRUE,Backdoors!BI26=TRUE),VLOOKUP(Calculator!E23,tbSkills!DH3:DJ6,3,FALSE),0),0)))/100)),(1-(0.25*((-Backdoors!AI12-IF(FG74&gt;=0.45,VLOOKUP(Calculator!E23,tbSkills!DH3:DI6,2,FALSE)+IF(AND(Calculator!B8=TRUE,Backdoors!BI26=TRUE),VLOOKUP(Calculator!E23,tbSkills!DH3:DJ6,3,FALSE),0),0))/100)))),1),"")</f>
        <v>1</v>
      </c>
      <c r="FJ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FG74)*FI74)*(VLOOKUP(A74,tbMoveset!A2:C112,3,FALSE)/100)*IF(VLOOKUP(A74,tbMoveset!A2:B112,2,FALSE)="Projectile",Backdoors!N10,Backdoors!N9),0),"")</f>
        <v/>
      </c>
      <c r="FK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FG74&gt;=0.45,VLOOKUP(Calculator!E23,tbSkills!DH3:DI6,2,FALSE)+IF(AND(Calculator!B8=TRUE,Backdoors!BI26=TRUE),VLOOKUP(Calculator!E23,tbSkills!DH3:DJ6,3,FALSE),0),0))&gt;=100,100,(Backdoors!AI12+IF(FG74&gt;=0.45,VLOOKUP(Calculator!E23,tbSkills!DH3:DI6,2,FALSE)+IF(AND(Calculator!B8=TRUE,Backdoors!BI26=TRUE),VLOOKUP(Calculator!E23,tbSkills!DH3:DJ6,3,FALSE),0),0)))/100)),1))*IF(VLOOKUP(A74,tbMoveset!A2:K112,11,FALSE)=TRUE,Backdoors!AC5,1))*FH74,0),"")</f>
        <v>0</v>
      </c>
      <c r="FL74" s="49">
        <f>VLOOKUP(A74,tbMoveset!A2:G112,7,FALSE)*IFERROR(IF(Backdoors!AI12&gt;=0,1+(IF(Calculator!E40&gt;0,VLOOKUP(Calculator!E40,tbSkills!AI3:AJ5,2,FALSE),Backdoors!AL4)*(IF((Backdoors!AI12+IF(FG74&gt;=0.45,VLOOKUP(Calculator!E23,tbSkills!DH3:DI6,2,FALSE)+IF(AND(Calculator!B8=TRUE,Backdoors!BI26=TRUE),VLOOKUP(Calculator!E23,tbSkills!DH3:DJ6,3,FALSE),0),0))&gt;=100,100,(Backdoors!AI12+IF(FG74&gt;=0.45,VLOOKUP(Calculator!E23,tbSkills!DH3:DI6,2,FALSE)+IF(AND(Calculator!B8=TRUE,Backdoors!BI26=TRUE),VLOOKUP(Calculator!E23,tbSkills!DH3:DJ6,3,FALSE),0),0)))/100)),1),1)</f>
        <v>0.6</v>
      </c>
      <c r="FM74" s="87">
        <f t="shared" si="74"/>
        <v>0</v>
      </c>
      <c r="FN74" s="86" t="str">
        <f>IFERROR(IF(VLOOKUP(A74,tbMoveset!A2:B112,2,FALSE)="Sever",Backdoors!AY27/100,IF(VLOOKUP(A74,tbMoveset!A2:B112,2,FALSE)="Blunt",Backdoors!AZ27/100,Backdoors!BA27/100)),"")</f>
        <v/>
      </c>
      <c r="FO74" s="49">
        <f>IFERROR(IF(VLOOKUP(tbMoveset!A74,tbMoveset!A2:H112,8,FALSE)="Other",IF(VLOOKUP(tbMoveset!A74,tbMoveset!A2:I112,9,FALSE)="Fire",Backdoors!BB27,IF(VLOOKUP(tbMoveset!A74,tbMoveset!A2:I112,9,FALSE)="Water",Backdoors!BC27,IF(VLOOKUP(tbMoveset!A74,tbMoveset!A2:I112,9,FALSE)="Thunder",Backdoors!BD27,IF(VLOOKUP(tbMoveset!A74,tbMoveset!A2:I112,9,FALSE)="Ice",Backdoors!BE27,IF(VLOOKUP(tbMoveset!A74,tbMoveset!A2:I112,9,FALSE)="Dragon",Backdoors!BF27,Backdoors!BG27)))))/100,Backdoors!BG27/100),"")</f>
        <v>0</v>
      </c>
      <c r="FP74" s="49">
        <f>IFERROR(IF(VLOOKUP(A74,tbMoveset!A2:J112,10,FALSE)=TRUE,IF((Backdoors!AI12+IF(FN74&gt;=0.45,VLOOKUP(Calculator!E23,tbSkills!DH3:DI6,2,FALSE)+IF(AND(Calculator!B8=TRUE,Backdoors!BI27=TRUE),VLOOKUP(Calculator!E23,tbSkills!DH3:DJ6,3,FALSE),0),0))&gt;=0,1+(Backdoors!AL2*(IF((Backdoors!AI12+IF(FN74&gt;=0.45,VLOOKUP(Calculator!E23,tbSkills!DH3:DI6,2,FALSE)+IF(AND(Calculator!B8=TRUE,Backdoors!BI27=TRUE),VLOOKUP(Calculator!E23,tbSkills!DH3:DJ6,3,FALSE),0),0))&gt;=100,100,(Backdoors!AI12+IF(FN74&gt;=0.45,VLOOKUP(Calculator!E23,tbSkills!DH3:DI6,2,FALSE)+IF(AND(Calculator!B8=TRUE,Backdoors!BI27=TRUE),VLOOKUP(Calculator!E23,tbSkills!DH3:DJ6,3,FALSE),0),0)))/100)),(1-(0.25*((-Backdoors!AI12-IF(FN74&gt;=0.45,VLOOKUP(Calculator!E23,tbSkills!DH3:DI6,2,FALSE)+IF(AND(Calculator!B8=TRUE,Backdoors!BI27=TRUE),VLOOKUP(Calculator!E23,tbSkills!DH3:DJ6,3,FALSE),0),0))/100)))),1),"")</f>
        <v>1</v>
      </c>
      <c r="FQ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FN74)*FP74)*(VLOOKUP(A74,tbMoveset!A2:C112,3,FALSE)/100)*IF(VLOOKUP(A74,tbMoveset!A2:B112,2,FALSE)="Projectile",Backdoors!N10,Backdoors!N9),0),"")</f>
        <v/>
      </c>
      <c r="FR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FN74&gt;=0.45,VLOOKUP(Calculator!E23,tbSkills!DH3:DI6,2,FALSE)+IF(AND(Calculator!B8=TRUE,Backdoors!BI27=TRUE),VLOOKUP(Calculator!E23,tbSkills!DH3:DJ6,3,FALSE),0),0))&gt;=100,100,(Backdoors!AI12+IF(FN74&gt;=0.45,VLOOKUP(Calculator!E23,tbSkills!DH3:DI6,2,FALSE)+IF(AND(Calculator!B8=TRUE,Backdoors!BI27=TRUE),VLOOKUP(Calculator!E23,tbSkills!DH3:DJ6,3,FALSE),0),0)))/100)),1))*IF(VLOOKUP(A74,tbMoveset!A2:K112,11,FALSE)=TRUE,Backdoors!AC5,1))*FO74,0),"")</f>
        <v>0</v>
      </c>
      <c r="FS74" s="49">
        <f>VLOOKUP(A74,tbMoveset!A2:G112,7,FALSE)*IFERROR(IF(Backdoors!AI12&gt;=0,1+(IF(Calculator!E40&gt;0,VLOOKUP(Calculator!E40,tbSkills!AI3:AJ5,2,FALSE),Backdoors!AL4)*(IF((Backdoors!AI12+IF(FN74&gt;=0.45,VLOOKUP(Calculator!E23,tbSkills!DH3:DI6,2,FALSE)+IF(AND(Calculator!B8=TRUE,Backdoors!BI27=TRUE),VLOOKUP(Calculator!E23,tbSkills!DH3:DJ6,3,FALSE),0),0))&gt;=100,100,(Backdoors!AI12+IF(FN74&gt;=0.45,VLOOKUP(Calculator!E23,tbSkills!DH3:DI6,2,FALSE)+IF(AND(Calculator!B8=TRUE,Backdoors!BI27=TRUE),VLOOKUP(Calculator!E23,tbSkills!DH3:DJ6,3,FALSE),0),0)))/100)),1),1)</f>
        <v>0.6</v>
      </c>
      <c r="FT74" s="87">
        <f t="shared" si="75"/>
        <v>0</v>
      </c>
      <c r="FU74" s="86" t="str">
        <f>IFERROR(IF(VLOOKUP(A74,tbMoveset!A2:B112,2,FALSE)="Sever",Backdoors!AY28/100,IF(VLOOKUP(A74,tbMoveset!A2:B112,2,FALSE)="Blunt",Backdoors!AZ28/100,Backdoors!BA28/100)),"")</f>
        <v/>
      </c>
      <c r="FV74" s="49">
        <f>IFERROR(IF(VLOOKUP(tbMoveset!A74,tbMoveset!A2:H112,8,FALSE)="Other",IF(VLOOKUP(tbMoveset!A74,tbMoveset!A2:I112,9,FALSE)="Fire",Backdoors!BB28,IF(VLOOKUP(tbMoveset!A74,tbMoveset!A2:I112,9,FALSE)="Water",Backdoors!BC28,IF(VLOOKUP(tbMoveset!A74,tbMoveset!A2:I112,9,FALSE)="Thunder",Backdoors!BD28,IF(VLOOKUP(tbMoveset!A74,tbMoveset!A2:I112,9,FALSE)="Ice",Backdoors!BE28,IF(VLOOKUP(tbMoveset!A74,tbMoveset!A2:I112,9,FALSE)="Dragon",Backdoors!BF28,Backdoors!BG28)))))/100,Backdoors!BG28/100),"")</f>
        <v>0</v>
      </c>
      <c r="FW74" s="49">
        <f>IFERROR(IF(VLOOKUP(A74,tbMoveset!A2:J112,10,FALSE)=TRUE,IF((Backdoors!AI12+IF(FU74&gt;=0.45,VLOOKUP(Calculator!E23,tbSkills!DH3:DI6,2,FALSE)+IF(AND(Calculator!B8=TRUE,Backdoors!BI28=TRUE),VLOOKUP(Calculator!E23,tbSkills!DH3:DJ6,3,FALSE),0),0))&gt;=0,1+(Backdoors!AL2*(IF((Backdoors!AI12+IF(FU74&gt;=0.45,VLOOKUP(Calculator!E23,tbSkills!DH3:DI6,2,FALSE)+IF(AND(Calculator!B8=TRUE,Backdoors!BI28=TRUE),VLOOKUP(Calculator!E23,tbSkills!DH3:DJ6,3,FALSE),0),0))&gt;=100,100,(Backdoors!AI12+IF(FU74&gt;=0.45,VLOOKUP(Calculator!E23,tbSkills!DH3:DI6,2,FALSE)+IF(AND(Calculator!B8=TRUE,Backdoors!BI28=TRUE),VLOOKUP(Calculator!E23,tbSkills!DH3:DJ6,3,FALSE),0),0)))/100)),(1-(0.25*((-Backdoors!AI12-IF(FU74&gt;=0.45,VLOOKUP(Calculator!E23,tbSkills!DH3:DI6,2,FALSE)+IF(AND(Calculator!B8=TRUE,Backdoors!BI28=TRUE),VLOOKUP(Calculator!E23,tbSkills!DH3:DJ6,3,FALSE),0),0))/100)))),1),"")</f>
        <v>1</v>
      </c>
      <c r="FX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FU74)*FW74)*(VLOOKUP(A74,tbMoveset!A2:C112,3,FALSE)/100)*IF(VLOOKUP(A74,tbMoveset!A2:B112,2,FALSE)="Projectile",Backdoors!N10,Backdoors!N9),0),"")</f>
        <v/>
      </c>
      <c r="FY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FU74&gt;=0.45,VLOOKUP(Calculator!E23,tbSkills!DH3:DI6,2,FALSE)+IF(AND(Calculator!B8=TRUE,Backdoors!BI28=TRUE),VLOOKUP(Calculator!E23,tbSkills!DH3:DJ6,3,FALSE),0),0))&gt;=100,100,(Backdoors!AI12+IF(FU74&gt;=0.45,VLOOKUP(Calculator!E23,tbSkills!DH3:DI6,2,FALSE)+IF(AND(Calculator!B8=TRUE,Backdoors!BI28=TRUE),VLOOKUP(Calculator!E23,tbSkills!DH3:DJ6,3,FALSE),0),0)))/100)),1))*IF(VLOOKUP(A74,tbMoveset!A2:K112,11,FALSE)=TRUE,Backdoors!AC5,1))*FV74,0),"")</f>
        <v>0</v>
      </c>
      <c r="FZ74" s="49">
        <f>VLOOKUP(A74,tbMoveset!A2:G112,7,FALSE)*IFERROR(IF(Backdoors!AI12&gt;=0,1+(IF(Calculator!E40&gt;0,VLOOKUP(Calculator!E40,tbSkills!AI3:AJ5,2,FALSE),Backdoors!AL4)*(IF((Backdoors!AI12+IF(FU74&gt;=0.45,VLOOKUP(Calculator!E23,tbSkills!DH3:DI6,2,FALSE)+IF(AND(Calculator!B8=TRUE,Backdoors!BI28=TRUE),VLOOKUP(Calculator!E23,tbSkills!DH3:DJ6,3,FALSE),0),0))&gt;=100,100,(Backdoors!AI12+IF(FU74&gt;=0.45,VLOOKUP(Calculator!E23,tbSkills!DH3:DI6,2,FALSE)+IF(AND(Calculator!B8=TRUE,Backdoors!BI28=TRUE),VLOOKUP(Calculator!E23,tbSkills!DH3:DJ6,3,FALSE),0),0)))/100)),1),1)</f>
        <v>0.6</v>
      </c>
      <c r="GA74" s="87">
        <f t="shared" si="76"/>
        <v>0</v>
      </c>
      <c r="GB74" s="86" t="str">
        <f>IFERROR(IF(VLOOKUP(A74,tbMoveset!A2:B112,2,FALSE)="Sever",Backdoors!AY29/100,IF(VLOOKUP(A74,tbMoveset!A2:B112,2,FALSE)="Blunt",Backdoors!AZ29/100,Backdoors!BA29/100)),"")</f>
        <v/>
      </c>
      <c r="GC74" s="49">
        <f>IFERROR(IF(VLOOKUP(tbMoveset!A74,tbMoveset!A2:H112,8,FALSE)="Other",IF(VLOOKUP(tbMoveset!A74,tbMoveset!A2:I112,9,FALSE)="Fire",Backdoors!BB29,IF(VLOOKUP(tbMoveset!A74,tbMoveset!A2:I112,9,FALSE)="Water",Backdoors!BC29,IF(VLOOKUP(tbMoveset!A74,tbMoveset!A2:I112,9,FALSE)="Thunder",Backdoors!BD29,IF(VLOOKUP(tbMoveset!A74,tbMoveset!A2:I112,9,FALSE)="Ice",Backdoors!BE29,IF(VLOOKUP(tbMoveset!A74,tbMoveset!A2:I112,9,FALSE)="Dragon",Backdoors!BF29,Backdoors!BG29)))))/100,Backdoors!BG29/100),"")</f>
        <v>0</v>
      </c>
      <c r="GD74" s="49">
        <f>IFERROR(IF(VLOOKUP(A74,tbMoveset!A2:J112,10,FALSE)=TRUE,IF((Backdoors!AI12+IF(GB74&gt;=0.45,VLOOKUP(Calculator!E23,tbSkills!DH3:DI6,2,FALSE)+IF(AND(Calculator!B8=TRUE,Backdoors!BI29=TRUE),VLOOKUP(Calculator!E23,tbSkills!DH3:DJ6,3,FALSE),0),0))&gt;=0,1+(Backdoors!AL2*(IF((Backdoors!AI12+IF(GB74&gt;=0.45,VLOOKUP(Calculator!E23,tbSkills!DH3:DI6,2,FALSE)+IF(AND(Calculator!B8=TRUE,Backdoors!BI29=TRUE),VLOOKUP(Calculator!E23,tbSkills!DH3:DJ6,3,FALSE),0),0))&gt;=100,100,(Backdoors!AI12+IF(GB74&gt;=0.45,VLOOKUP(Calculator!E23,tbSkills!DH3:DI6,2,FALSE)+IF(AND(Calculator!B8=TRUE,Backdoors!BI29=TRUE),VLOOKUP(Calculator!E23,tbSkills!DH3:DJ6,3,FALSE),0),0)))/100)),(1-(0.25*((-Backdoors!AI12-IF(GB74&gt;=0.45,VLOOKUP(Calculator!E23,tbSkills!DH3:DI6,2,FALSE)+IF(AND(Calculator!B8=TRUE,Backdoors!BI29=TRUE),VLOOKUP(Calculator!E23,tbSkills!DH3:DJ6,3,FALSE),0),0))/100)))),1),"")</f>
        <v>1</v>
      </c>
      <c r="GE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B74)*GD74)*(VLOOKUP(A74,tbMoveset!A2:C112,3,FALSE)/100)*IF(VLOOKUP(A74,tbMoveset!A2:B112,2,FALSE)="Projectile",Backdoors!N10,Backdoors!N9),0),"")</f>
        <v/>
      </c>
      <c r="GF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B74&gt;=0.45,VLOOKUP(Calculator!E23,tbSkills!DH3:DI6,2,FALSE)+IF(AND(Calculator!B8=TRUE,Backdoors!BI29=TRUE),VLOOKUP(Calculator!E23,tbSkills!DH3:DJ6,3,FALSE),0),0))&gt;=100,100,(Backdoors!AI12+IF(GB74&gt;=0.45,VLOOKUP(Calculator!E23,tbSkills!DH3:DI6,2,FALSE)+IF(AND(Calculator!B8=TRUE,Backdoors!BI29=TRUE),VLOOKUP(Calculator!E23,tbSkills!DH3:DJ6,3,FALSE),0),0)))/100)),1))*IF(VLOOKUP(A74,tbMoveset!A2:K112,11,FALSE)=TRUE,Backdoors!AC5,1))*GC74,0),"")</f>
        <v>0</v>
      </c>
      <c r="GG74" s="49">
        <f>VLOOKUP(A74,tbMoveset!A2:G112,7,FALSE)*IFERROR(IF(Backdoors!AI12&gt;=0,1+(IF(Calculator!E40&gt;0,VLOOKUP(Calculator!E40,tbSkills!AI3:AJ5,2,FALSE),Backdoors!AL4)*(IF((Backdoors!AI12+IF(GB74&gt;=0.45,VLOOKUP(Calculator!E23,tbSkills!DH3:DI6,2,FALSE)+IF(AND(Calculator!B8=TRUE,Backdoors!BI29=TRUE),VLOOKUP(Calculator!E23,tbSkills!DH3:DJ6,3,FALSE),0),0))&gt;=100,100,(Backdoors!AI12+IF(GB74&gt;=0.45,VLOOKUP(Calculator!E23,tbSkills!DH3:DI6,2,FALSE)+IF(AND(Calculator!B8=TRUE,Backdoors!BI29=TRUE),VLOOKUP(Calculator!E23,tbSkills!DH3:DJ6,3,FALSE),0),0)))/100)),1),1)</f>
        <v>0.6</v>
      </c>
      <c r="GH74" s="87">
        <f t="shared" si="77"/>
        <v>0</v>
      </c>
      <c r="GI74" s="86" t="str">
        <f>IFERROR(IF(VLOOKUP(A74,tbMoveset!A2:B112,2,FALSE)="Sever",Backdoors!AY30/100,IF(VLOOKUP(A74,tbMoveset!A2:B112,2,FALSE)="Blunt",Backdoors!AZ30/100,Backdoors!BA30/100)),"")</f>
        <v/>
      </c>
      <c r="GJ74" s="49">
        <f>IFERROR(IF(VLOOKUP(tbMoveset!A74,tbMoveset!A2:H112,8,FALSE)="Other",IF(VLOOKUP(tbMoveset!A74,tbMoveset!A2:I112,9,FALSE)="Fire",Backdoors!BB30,IF(VLOOKUP(tbMoveset!A74,tbMoveset!A2:I112,9,FALSE)="Water",Backdoors!BC30,IF(VLOOKUP(tbMoveset!A74,tbMoveset!A2:I112,9,FALSE)="Thunder",Backdoors!BD30,IF(VLOOKUP(tbMoveset!A74,tbMoveset!A2:I112,9,FALSE)="Ice",Backdoors!BE30,IF(VLOOKUP(tbMoveset!A74,tbMoveset!A2:I112,9,FALSE)="Dragon",Backdoors!BF30,Backdoors!BG30)))))/100,Backdoors!BG30/100),"")</f>
        <v>0</v>
      </c>
      <c r="GK74" s="49">
        <f>IFERROR(IF(VLOOKUP(A74,tbMoveset!A2:J112,10,FALSE)=TRUE,IF((Backdoors!AI12+IF(GI74&gt;=0.45,VLOOKUP(Calculator!E23,tbSkills!DH3:DI6,2,FALSE)+IF(AND(Calculator!B8=TRUE,Backdoors!BI30=TRUE),VLOOKUP(Calculator!E23,tbSkills!DH3:DJ6,3,FALSE),0),0))&gt;=0,1+(Backdoors!AL2*(IF((Backdoors!AI12+IF(GI74&gt;=0.45,VLOOKUP(Calculator!E23,tbSkills!DH3:DI6,2,FALSE)+IF(AND(Calculator!B8=TRUE,Backdoors!BI30=TRUE),VLOOKUP(Calculator!E23,tbSkills!DH3:DJ6,3,FALSE),0),0))&gt;=100,100,(Backdoors!AI12+IF(GI74&gt;=0.45,VLOOKUP(Calculator!E23,tbSkills!DH3:DI6,2,FALSE)+IF(AND(Calculator!B8=TRUE,Backdoors!BI30=TRUE),VLOOKUP(Calculator!E23,tbSkills!DH3:DJ6,3,FALSE),0),0)))/100)),(1-(0.25*((-Backdoors!AI12-IF(GI74&gt;=0.45,VLOOKUP(Calculator!E23,tbSkills!DH3:DI6,2,FALSE)+IF(AND(Calculator!B8=TRUE,Backdoors!BI30=TRUE),VLOOKUP(Calculator!E23,tbSkills!DH3:DJ6,3,FALSE),0),0))/100)))),1),"")</f>
        <v>1</v>
      </c>
      <c r="GL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I74)*GK74)*(VLOOKUP(A74,tbMoveset!A2:C112,3,FALSE)/100)*IF(VLOOKUP(A74,tbMoveset!A2:B112,2,FALSE)="Projectile",Backdoors!N10,Backdoors!N9),0),"")</f>
        <v/>
      </c>
      <c r="GM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I74&gt;=0.45,VLOOKUP(Calculator!E23,tbSkills!DH3:DI6,2,FALSE)+IF(AND(Calculator!B8=TRUE,Backdoors!BI30=TRUE),VLOOKUP(Calculator!E23,tbSkills!DH3:DJ6,3,FALSE),0),0))&gt;=100,100,(Backdoors!AI12+IF(GI74&gt;=0.45,VLOOKUP(Calculator!E23,tbSkills!DH3:DI6,2,FALSE)+IF(AND(Calculator!B8=TRUE,Backdoors!BI30=TRUE),VLOOKUP(Calculator!E23,tbSkills!DH3:DJ6,3,FALSE),0),0)))/100)),1))*IF(VLOOKUP(A74,tbMoveset!A2:K112,11,FALSE)=TRUE,Backdoors!AC5,1))*GJ74,0),"")</f>
        <v>0</v>
      </c>
      <c r="GN74" s="49">
        <f>VLOOKUP(A74,tbMoveset!A2:G112,7,FALSE)*IFERROR(IF(Backdoors!AI12&gt;=0,1+(IF(Calculator!E40&gt;0,VLOOKUP(Calculator!E40,tbSkills!AI3:AJ5,2,FALSE),Backdoors!AL4)*(IF((Backdoors!AI12+IF(GI74&gt;=0.45,VLOOKUP(Calculator!E23,tbSkills!DH3:DI6,2,FALSE)+IF(AND(Calculator!B8=TRUE,Backdoors!BI30=TRUE),VLOOKUP(Calculator!E23,tbSkills!DH3:DJ6,3,FALSE),0),0))&gt;=100,100,(Backdoors!AI12+IF(GI74&gt;=0.45,VLOOKUP(Calculator!E23,tbSkills!DH3:DI6,2,FALSE)+IF(AND(Calculator!B8=TRUE,Backdoors!BI30=TRUE),VLOOKUP(Calculator!E23,tbSkills!DH3:DJ6,3,FALSE),0),0)))/100)),1),1)</f>
        <v>0.6</v>
      </c>
      <c r="GO74" s="87">
        <f t="shared" si="78"/>
        <v>0</v>
      </c>
      <c r="GP74" s="86" t="str">
        <f>IFERROR(IF(VLOOKUP(A74,tbMoveset!A2:B112,2,FALSE)="Sever",Backdoors!AY31/100,IF(VLOOKUP(A74,tbMoveset!A2:B112,2,FALSE)="Blunt",Backdoors!AZ31/100,Backdoors!BA31/100)),"")</f>
        <v/>
      </c>
      <c r="GQ74" s="49">
        <f>IFERROR(IF(VLOOKUP(tbMoveset!A74,tbMoveset!A2:H112,8,FALSE)="Other",IF(VLOOKUP(tbMoveset!A74,tbMoveset!A2:I112,9,FALSE)="Fire",Backdoors!BB31,IF(VLOOKUP(tbMoveset!A74,tbMoveset!A2:I112,9,FALSE)="Water",Backdoors!BC31,IF(VLOOKUP(tbMoveset!A74,tbMoveset!A2:I112,9,FALSE)="Thunder",Backdoors!BD31,IF(VLOOKUP(tbMoveset!A74,tbMoveset!A2:I112,9,FALSE)="Ice",Backdoors!BE31,IF(VLOOKUP(tbMoveset!A74,tbMoveset!A2:I112,9,FALSE)="Dragon",Backdoors!BF31,Backdoors!BG31)))))/100,Backdoors!BG31/100),"")</f>
        <v>0</v>
      </c>
      <c r="GR74" s="49">
        <f>IFERROR(IF(VLOOKUP(A74,tbMoveset!A2:J112,10,FALSE)=TRUE,IF((Backdoors!AI12+IF(GP74&gt;=0.45,VLOOKUP(Calculator!E23,tbSkills!DH3:DI6,2,FALSE)+IF(AND(Calculator!B8=TRUE,Backdoors!BI31=TRUE),VLOOKUP(Calculator!E23,tbSkills!DH3:DJ6,3,FALSE),0),0))&gt;=0,1+(Backdoors!AL2*(IF((Backdoors!AI12+IF(GP74&gt;=0.45,VLOOKUP(Calculator!E23,tbSkills!DH3:DI6,2,FALSE)+IF(AND(Calculator!B8=TRUE,Backdoors!BI31=TRUE),VLOOKUP(Calculator!E23,tbSkills!DH3:DJ6,3,FALSE),0),0))&gt;=100,100,(Backdoors!AI12+IF(GP74&gt;=0.45,VLOOKUP(Calculator!E23,tbSkills!DH3:DI6,2,FALSE)+IF(AND(Calculator!B8=TRUE,Backdoors!BI31=TRUE),VLOOKUP(Calculator!E23,tbSkills!DH3:DJ6,3,FALSE),0),0)))/100)),(1-(0.25*((-Backdoors!AI12-IF(GP74&gt;=0.45,VLOOKUP(Calculator!E23,tbSkills!DH3:DI6,2,FALSE)+IF(AND(Calculator!B8=TRUE,Backdoors!BI31=TRUE),VLOOKUP(Calculator!E23,tbSkills!DH3:DJ6,3,FALSE),0),0))/100)))),1),"")</f>
        <v>1</v>
      </c>
      <c r="GS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P74)*GR74)*(VLOOKUP(A74,tbMoveset!A2:C112,3,FALSE)/100)*IF(VLOOKUP(A74,tbMoveset!A2:B112,2,FALSE)="Projectile",Backdoors!N10,Backdoors!N9),0),"")</f>
        <v/>
      </c>
      <c r="GT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P74&gt;=0.45,VLOOKUP(Calculator!E23,tbSkills!DH3:DI6,2,FALSE)+IF(AND(Calculator!B8=TRUE,Backdoors!BI31=TRUE),VLOOKUP(Calculator!E23,tbSkills!DH3:DJ6,3,FALSE),0),0))&gt;=100,100,(Backdoors!AI12+IF(GP74&gt;=0.45,VLOOKUP(Calculator!E23,tbSkills!DH3:DI6,2,FALSE)+IF(AND(Calculator!B8=TRUE,Backdoors!BI31=TRUE),VLOOKUP(Calculator!E23,tbSkills!DH3:DJ6,3,FALSE),0),0)))/100)),1))*IF(VLOOKUP(A74,tbMoveset!A2:K112,11,FALSE)=TRUE,Backdoors!AC5,1))*GQ74,0),"")</f>
        <v>0</v>
      </c>
      <c r="GU74" s="49">
        <f>VLOOKUP(A74,tbMoveset!A2:G112,7,FALSE)*IFERROR(IF(Backdoors!AI12&gt;=0,1+(IF(Calculator!E40&gt;0,VLOOKUP(Calculator!E40,tbSkills!AI3:AJ5,2,FALSE),Backdoors!AL4)*(IF((Backdoors!AI12+IF(GP74&gt;=0.45,VLOOKUP(Calculator!E23,tbSkills!DH3:DI6,2,FALSE)+IF(AND(Calculator!B8=TRUE,Backdoors!BI31=TRUE),VLOOKUP(Calculator!E23,tbSkills!DH3:DJ6,3,FALSE),0),0))&gt;=100,100,(Backdoors!AI12+IF(GP74&gt;=0.45,VLOOKUP(Calculator!E23,tbSkills!DH3:DI6,2,FALSE)+IF(AND(Calculator!B8=TRUE,Backdoors!BI31=TRUE),VLOOKUP(Calculator!E23,tbSkills!DH3:DJ6,3,FALSE),0),0)))/100)),1),1)</f>
        <v>0.6</v>
      </c>
      <c r="GV74" s="87">
        <f t="shared" si="79"/>
        <v>0</v>
      </c>
      <c r="GW74" s="86" t="str">
        <f>IFERROR(IF(VLOOKUP(A74,tbMoveset!A2:B112,2,FALSE)="Sever",Backdoors!AY32/100,IF(VLOOKUP(A74,tbMoveset!A2:B112,2,FALSE)="Blunt",Backdoors!AZ32/100,Backdoors!BA32/100)),"")</f>
        <v/>
      </c>
      <c r="GX74" s="49">
        <f>IFERROR(IF(VLOOKUP(tbMoveset!A74,tbMoveset!A2:H112,8,FALSE)="Other",IF(VLOOKUP(tbMoveset!A74,tbMoveset!A2:I112,9,FALSE)="Fire",Backdoors!BB32,IF(VLOOKUP(tbMoveset!A74,tbMoveset!A2:I112,9,FALSE)="Water",Backdoors!BC32,IF(VLOOKUP(tbMoveset!A74,tbMoveset!A2:I112,9,FALSE)="Thunder",Backdoors!BD32,IF(VLOOKUP(tbMoveset!A74,tbMoveset!A2:I112,9,FALSE)="Ice",Backdoors!BE32,IF(VLOOKUP(tbMoveset!A74,tbMoveset!A2:I112,9,FALSE)="Dragon",Backdoors!BF32,Backdoors!BG32)))))/100,Backdoors!BG32/100),"")</f>
        <v>0</v>
      </c>
      <c r="GY74" s="49">
        <f>IFERROR(IF(VLOOKUP(A74,tbMoveset!A2:J112,10,FALSE)=TRUE,IF((Backdoors!AI12+IF(GW74&gt;=0.45,VLOOKUP(Calculator!E23,tbSkills!DH3:DI6,2,FALSE)+IF(AND(Calculator!B8=TRUE,Backdoors!BI32=TRUE),VLOOKUP(Calculator!E23,tbSkills!DH3:DJ6,3,FALSE),0),0))&gt;=0,1+(Backdoors!AL2*(IF((Backdoors!AI12+IF(GW74&gt;=0.45,VLOOKUP(Calculator!E23,tbSkills!DH3:DI6,2,FALSE)+IF(AND(Calculator!B8=TRUE,Backdoors!BI32=TRUE),VLOOKUP(Calculator!E23,tbSkills!DH3:DJ6,3,FALSE),0),0))&gt;=100,100,(Backdoors!AI12+IF(GW74&gt;=0.45,VLOOKUP(Calculator!E23,tbSkills!DH3:DI6,2,FALSE)+IF(AND(Calculator!B8=TRUE,Backdoors!BI32=TRUE),VLOOKUP(Calculator!E23,tbSkills!DH3:DJ6,3,FALSE),0),0)))/100)),(1-(0.25*((-Backdoors!AI12-IF(GW74&gt;=0.45,VLOOKUP(Calculator!E23,tbSkills!DH3:DI6,2,FALSE)+IF(AND(Calculator!B8=TRUE,Backdoors!BI32=TRUE),VLOOKUP(Calculator!E23,tbSkills!DH3:DJ6,3,FALSE),0),0))/100)))),1),"")</f>
        <v>1</v>
      </c>
      <c r="GZ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W74)*GY74)*(VLOOKUP(A74,tbMoveset!A2:C112,3,FALSE)/100)*IF(VLOOKUP(A74,tbMoveset!A2:B112,2,FALSE)="Projectile",Backdoors!N10,Backdoors!N9),0),"")</f>
        <v/>
      </c>
      <c r="HA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W74&gt;=0.45,VLOOKUP(Calculator!E23,tbSkills!DH3:DI6,2,FALSE)+IF(AND(Calculator!B8=TRUE,Backdoors!BI32=TRUE),VLOOKUP(Calculator!E23,tbSkills!DH3:DJ6,3,FALSE),0),0))&gt;=100,100,(Backdoors!AI12+IF(GW74&gt;=0.45,VLOOKUP(Calculator!E23,tbSkills!DH3:DI6,2,FALSE)+IF(AND(Calculator!B8=TRUE,Backdoors!BI32=TRUE),VLOOKUP(Calculator!E23,tbSkills!DH3:DJ6,3,FALSE),0),0)))/100)),1))*IF(VLOOKUP(A74,tbMoveset!A2:K112,11,FALSE)=TRUE,Backdoors!AC5,1))*GX74,0),"")</f>
        <v>0</v>
      </c>
      <c r="HB74" s="49">
        <f>VLOOKUP(A74,tbMoveset!A2:G112,7,FALSE)*IFERROR(IF(Backdoors!AI12&gt;=0,1+(IF(Calculator!E40&gt;0,VLOOKUP(Calculator!E40,tbSkills!AI3:AJ5,2,FALSE),Backdoors!AL4)*(IF((Backdoors!AI12+IF(GW74&gt;=0.45,VLOOKUP(Calculator!E23,tbSkills!DH3:DI6,2,FALSE)+IF(AND(Calculator!B8=TRUE,Backdoors!BI32=TRUE),VLOOKUP(Calculator!E23,tbSkills!DH3:DJ6,3,FALSE),0),0))&gt;=100,100,(Backdoors!AI12+IF(GW74&gt;=0.45,VLOOKUP(Calculator!E23,tbSkills!DH3:DI6,2,FALSE)+IF(AND(Calculator!B8=TRUE,Backdoors!BI32=TRUE),VLOOKUP(Calculator!E23,tbSkills!DH3:DJ6,3,FALSE),0),0)))/100)),1),1)</f>
        <v>0.6</v>
      </c>
      <c r="HC74" s="87">
        <f t="shared" si="80"/>
        <v>0</v>
      </c>
      <c r="HD74" s="86" t="str">
        <f>IFERROR(IF(VLOOKUP(A74,tbMoveset!A2:B112,2,FALSE)="Sever",Backdoors!AY33/100,IF(VLOOKUP(A74,tbMoveset!A2:B112,2,FALSE)="Blunt",Backdoors!AZ33/100,Backdoors!BA33/100)),"")</f>
        <v/>
      </c>
      <c r="HE74" s="49">
        <f>IFERROR(IF(VLOOKUP(tbMoveset!A74,tbMoveset!A2:H112,8,FALSE)="Other",IF(VLOOKUP(tbMoveset!A74,tbMoveset!A2:I112,9,FALSE)="Fire",Backdoors!BB33,IF(VLOOKUP(tbMoveset!A74,tbMoveset!A2:I112,9,FALSE)="Water",Backdoors!BC33,IF(VLOOKUP(tbMoveset!A74,tbMoveset!A2:I112,9,FALSE)="Thunder",Backdoors!BD33,IF(VLOOKUP(tbMoveset!A74,tbMoveset!A2:I112,9,FALSE)="Ice",Backdoors!BE33,IF(VLOOKUP(tbMoveset!A74,tbMoveset!A2:I112,9,FALSE)="Dragon",Backdoors!BF33,Backdoors!BG33)))))/100,Backdoors!BG33/100),"")</f>
        <v>0</v>
      </c>
      <c r="HF74" s="49">
        <f>IFERROR(IF(VLOOKUP(A74,tbMoveset!A2:J112,10,FALSE)=TRUE,IF((Backdoors!AI12+IF(HD74&gt;=0.45,VLOOKUP(Calculator!E23,tbSkills!DH3:DI6,2,FALSE)+IF(AND(Calculator!B8=TRUE,Backdoors!BI33=TRUE),VLOOKUP(Calculator!E23,tbSkills!DH3:DJ6,3,FALSE),0),0))&gt;=0,1+(Backdoors!AL2*(IF((Backdoors!AI12+IF(HD74&gt;=0.45,VLOOKUP(Calculator!E23,tbSkills!DH3:DI6,2,FALSE)+IF(AND(Calculator!B8=TRUE,Backdoors!BI33=TRUE),VLOOKUP(Calculator!E23,tbSkills!DH3:DJ6,3,FALSE),0),0))&gt;=100,100,(Backdoors!AI12+IF(HD74&gt;=0.45,VLOOKUP(Calculator!E23,tbSkills!DH3:DI6,2,FALSE)+IF(AND(Calculator!B8=TRUE,Backdoors!BI33=TRUE),VLOOKUP(Calculator!E23,tbSkills!DH3:DJ6,3,FALSE),0),0)))/100)),(1-(0.25*((-Backdoors!AI12-IF(HD74&gt;=0.45,VLOOKUP(Calculator!E23,tbSkills!DH3:DI6,2,FALSE)+IF(AND(Calculator!B8=TRUE,Backdoors!BI33=TRUE),VLOOKUP(Calculator!E23,tbSkills!DH3:DJ6,3,FALSE),0),0))/100)))),1),"")</f>
        <v>1</v>
      </c>
      <c r="HG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D74)*HF74)*(VLOOKUP(A74,tbMoveset!A2:C112,3,FALSE)/100)*IF(VLOOKUP(A74,tbMoveset!A2:B112,2,FALSE)="Projectile",Backdoors!N10,Backdoors!N9),0),"")</f>
        <v/>
      </c>
      <c r="HH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D74&gt;=0.45,VLOOKUP(Calculator!E23,tbSkills!DH3:DI6,2,FALSE)+IF(AND(Calculator!B8=TRUE,Backdoors!BI33=TRUE),VLOOKUP(Calculator!E23,tbSkills!DH3:DJ6,3,FALSE),0),0))&gt;=100,100,(Backdoors!AI12+IF(HD74&gt;=0.45,VLOOKUP(Calculator!E23,tbSkills!DH3:DI6,2,FALSE)+IF(AND(Calculator!B8=TRUE,Backdoors!BI33=TRUE),VLOOKUP(Calculator!E23,tbSkills!DH3:DJ6,3,FALSE),0),0)))/100)),1))*IF(VLOOKUP(A74,tbMoveset!A2:K112,11,FALSE)=TRUE,Backdoors!AC5,1))*HE74,0),"")</f>
        <v>0</v>
      </c>
      <c r="HI74" s="49">
        <f>VLOOKUP(A74,tbMoveset!A2:G112,7,FALSE)*IFERROR(IF(Backdoors!AI12&gt;=0,1+(IF(Calculator!E40&gt;0,VLOOKUP(Calculator!E40,tbSkills!AI3:AJ5,2,FALSE),Backdoors!AL4)*(IF((Backdoors!AI12+IF(HD74&gt;=0.45,VLOOKUP(Calculator!E23,tbSkills!DH3:DI6,2,FALSE)+IF(AND(Calculator!B8=TRUE,Backdoors!BI33=TRUE),VLOOKUP(Calculator!E23,tbSkills!DH3:DJ6,3,FALSE),0),0))&gt;=100,100,(Backdoors!AI12+IF(HD74&gt;=0.45,VLOOKUP(Calculator!E23,tbSkills!DH3:DI6,2,FALSE)+IF(AND(Calculator!B8=TRUE,Backdoors!BI33=TRUE),VLOOKUP(Calculator!E23,tbSkills!DH3:DJ6,3,FALSE),0),0)))/100)),1),1)</f>
        <v>0.6</v>
      </c>
      <c r="HJ74" s="87">
        <f t="shared" si="81"/>
        <v>0</v>
      </c>
      <c r="HK74" s="86" t="str">
        <f>IFERROR(IF(VLOOKUP(A74,tbMoveset!A2:B112,2,FALSE)="Sever",Backdoors!AY34/100,IF(VLOOKUP(A74,tbMoveset!A2:B112,2,FALSE)="Blunt",Backdoors!AZ34/100,Backdoors!BA34/100)),"")</f>
        <v/>
      </c>
      <c r="HL74" s="49">
        <f>IFERROR(IF(VLOOKUP(tbMoveset!A74,tbMoveset!A2:H112,8,FALSE)="Other",IF(VLOOKUP(tbMoveset!A74,tbMoveset!A2:I112,9,FALSE)="Fire",Backdoors!BB34,IF(VLOOKUP(tbMoveset!A74,tbMoveset!A2:I112,9,FALSE)="Water",Backdoors!BC34,IF(VLOOKUP(tbMoveset!A74,tbMoveset!A2:I112,9,FALSE)="Thunder",Backdoors!BD34,IF(VLOOKUP(tbMoveset!A74,tbMoveset!A2:I112,9,FALSE)="Ice",Backdoors!BE34,IF(VLOOKUP(tbMoveset!A74,tbMoveset!A2:I112,9,FALSE)="Dragon",Backdoors!BF34,Backdoors!BG34)))))/100,Backdoors!BG34/100),"")</f>
        <v>0</v>
      </c>
      <c r="HM74" s="49">
        <f>IFERROR(IF(VLOOKUP(A74,tbMoveset!A2:J112,10,FALSE)=TRUE,IF((Backdoors!AI12+IF(HK74&gt;=0.45,VLOOKUP(Calculator!E23,tbSkills!DH3:DI6,2,FALSE)+IF(AND(Calculator!B8=TRUE,Backdoors!BI34=TRUE),VLOOKUP(Calculator!E23,tbSkills!DH3:DJ6,3,FALSE),0),0))&gt;=0,1+(Backdoors!AL2*(IF((Backdoors!AI12+IF(HK74&gt;=0.45,VLOOKUP(Calculator!E23,tbSkills!DH3:DI6,2,FALSE)+IF(AND(Calculator!B8=TRUE,Backdoors!BI34=TRUE),VLOOKUP(Calculator!E23,tbSkills!DH3:DJ6,3,FALSE),0),0))&gt;=100,100,(Backdoors!AI12+IF(HK74&gt;=0.45,VLOOKUP(Calculator!E23,tbSkills!DH3:DI6,2,FALSE)+IF(AND(Calculator!B8=TRUE,Backdoors!BI34=TRUE),VLOOKUP(Calculator!E23,tbSkills!DH3:DJ6,3,FALSE),0),0)))/100)),(1-(0.25*((-Backdoors!AI12-IF(HK74&gt;=0.45,VLOOKUP(Calculator!E23,tbSkills!DH3:DI6,2,FALSE)+IF(AND(Calculator!B8=TRUE,Backdoors!BI34=TRUE),VLOOKUP(Calculator!E23,tbSkills!DH3:DJ6,3,FALSE),0),0))/100)))),1),"")</f>
        <v>1</v>
      </c>
      <c r="HN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K74)*HM74)*(VLOOKUP(A74,tbMoveset!A2:C112,3,FALSE)/100)*IF(VLOOKUP(A74,tbMoveset!A2:B112,2,FALSE)="Projectile",Backdoors!N10,Backdoors!N9),0),"")</f>
        <v/>
      </c>
      <c r="HO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K74&gt;=0.45,VLOOKUP(Calculator!E23,tbSkills!DH3:DI6,2,FALSE)+IF(AND(Calculator!B8=TRUE,Backdoors!BI34=TRUE),VLOOKUP(Calculator!E23,tbSkills!DH3:DJ6,3,FALSE),0),0))&gt;=100,100,(Backdoors!AI12+IF(HK74&gt;=0.45,VLOOKUP(Calculator!E23,tbSkills!DH3:DI6,2,FALSE)+IF(AND(Calculator!B8=TRUE,Backdoors!BI34=TRUE),VLOOKUP(Calculator!E23,tbSkills!DH3:DJ6,3,FALSE),0),0)))/100)),1))*IF(VLOOKUP(A74,tbMoveset!A2:K112,11,FALSE)=TRUE,Backdoors!AC5,1))*HL74,0),"")</f>
        <v>0</v>
      </c>
      <c r="HP74" s="49">
        <f>VLOOKUP(A74,tbMoveset!A2:G112,7,FALSE)*IFERROR(IF(Backdoors!AI12&gt;=0,1+(IF(Calculator!E40&gt;0,VLOOKUP(Calculator!E40,tbSkills!AI3:AJ5,2,FALSE),Backdoors!AL4)*(IF((Backdoors!AI12+IF(HK74&gt;=0.45,VLOOKUP(Calculator!E23,tbSkills!DH3:DI6,2,FALSE)+IF(AND(Calculator!B8=TRUE,Backdoors!BI34=TRUE),VLOOKUP(Calculator!E23,tbSkills!DH3:DJ6,3,FALSE),0),0))&gt;=100,100,(Backdoors!AI12+IF(HK74&gt;=0.45,VLOOKUP(Calculator!E23,tbSkills!DH3:DI6,2,FALSE)+IF(AND(Calculator!B8=TRUE,Backdoors!BI34=TRUE),VLOOKUP(Calculator!E23,tbSkills!DH3:DJ6,3,FALSE),0),0)))/100)),1),1)</f>
        <v>0.6</v>
      </c>
      <c r="HQ74" s="87">
        <f t="shared" si="82"/>
        <v>0</v>
      </c>
      <c r="HR74" s="86" t="str">
        <f>IFERROR(IF(VLOOKUP(A74,tbMoveset!A2:B112,2,FALSE)="Sever",Backdoors!AY35/100,IF(VLOOKUP(A74,tbMoveset!A2:B112,2,FALSE)="Blunt",Backdoors!AZ35/100,Backdoors!BA35/100)),"")</f>
        <v/>
      </c>
      <c r="HS74" s="49">
        <f>IFERROR(IF(VLOOKUP(tbMoveset!A74,tbMoveset!A2:H112,8,FALSE)="Other",IF(VLOOKUP(tbMoveset!A74,tbMoveset!A2:I112,9,FALSE)="Fire",Backdoors!BB35,IF(VLOOKUP(tbMoveset!A74,tbMoveset!A2:I112,9,FALSE)="Water",Backdoors!BC35,IF(VLOOKUP(tbMoveset!A74,tbMoveset!A2:I112,9,FALSE)="Thunder",Backdoors!BD35,IF(VLOOKUP(tbMoveset!A74,tbMoveset!A2:I112,9,FALSE)="Ice",Backdoors!BE35,IF(VLOOKUP(tbMoveset!A74,tbMoveset!A2:I112,9,FALSE)="Dragon",Backdoors!BF35,Backdoors!BG35)))))/100,Backdoors!BG35/100),"")</f>
        <v>0</v>
      </c>
      <c r="HT74" s="49">
        <f>IFERROR(IF(VLOOKUP(A74,tbMoveset!A2:J112,10,FALSE)=TRUE,IF((Backdoors!AI12+IF(HR74&gt;=0.45,VLOOKUP(Calculator!E23,tbSkills!DH3:DI6,2,FALSE)+IF(AND(Calculator!B8=TRUE,Backdoors!BI35=TRUE),VLOOKUP(Calculator!E23,tbSkills!DH3:DJ6,3,FALSE),0),0))&gt;=0,1+(Backdoors!AL2*(IF((Backdoors!AI12+IF(HR74&gt;=0.45,VLOOKUP(Calculator!E23,tbSkills!DH3:DI6,2,FALSE)+IF(AND(Calculator!B8=TRUE,Backdoors!BI35=TRUE),VLOOKUP(Calculator!E23,tbSkills!DH3:DJ6,3,FALSE),0),0))&gt;=100,100,(Backdoors!AI12+IF(HR74&gt;=0.45,VLOOKUP(Calculator!E23,tbSkills!DH3:DI6,2,FALSE)+IF(AND(Calculator!B8=TRUE,Backdoors!BI35=TRUE),VLOOKUP(Calculator!E23,tbSkills!DH3:DJ6,3,FALSE),0),0)))/100)),(1-(0.25*((-Backdoors!AI12-IF(HR74&gt;=0.45,VLOOKUP(Calculator!E23,tbSkills!DH3:DI6,2,FALSE)+IF(AND(Calculator!B8=TRUE,Backdoors!BI35=TRUE),VLOOKUP(Calculator!E23,tbSkills!DH3:DJ6,3,FALSE),0),0))/100)))),1),"")</f>
        <v>1</v>
      </c>
      <c r="HU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R74)*HT74)*(VLOOKUP(A74,tbMoveset!A2:C112,3,FALSE)/100)*IF(VLOOKUP(A74,tbMoveset!A2:B112,2,FALSE)="Projectile",Backdoors!N10,Backdoors!N9),0),"")</f>
        <v/>
      </c>
      <c r="HV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R74&gt;=0.45,VLOOKUP(Calculator!E23,tbSkills!DH3:DI6,2,FALSE)+IF(AND(Calculator!B8=TRUE,Backdoors!BI35=TRUE),VLOOKUP(Calculator!E23,tbSkills!DH3:DJ6,3,FALSE),0),0))&gt;=100,100,(Backdoors!AI12+IF(HR74&gt;=0.45,VLOOKUP(Calculator!E23,tbSkills!DH3:DI6,2,FALSE)+IF(AND(Calculator!B8=TRUE,Backdoors!BI35=TRUE),VLOOKUP(Calculator!E23,tbSkills!DH3:DJ6,3,FALSE),0),0)))/100)),1))*IF(VLOOKUP(A74,tbMoveset!A2:K112,11,FALSE)=TRUE,Backdoors!AC5,1))*HS74,0),"")</f>
        <v>0</v>
      </c>
      <c r="HW74" s="49">
        <f>VLOOKUP(A74,tbMoveset!A2:G112,7,FALSE)*IFERROR(IF(Backdoors!AI12&gt;=0,1+(IF(Calculator!E40&gt;0,VLOOKUP(Calculator!E40,tbSkills!AI3:AJ5,2,FALSE),Backdoors!AL4)*(IF((Backdoors!AI12+IF(HR74&gt;=0.45,VLOOKUP(Calculator!E23,tbSkills!DH3:DI6,2,FALSE)+IF(AND(Calculator!B8=TRUE,Backdoors!BI35=TRUE),VLOOKUP(Calculator!E23,tbSkills!DH3:DJ6,3,FALSE),0),0))&gt;=100,100,(Backdoors!AI12+IF(HR74&gt;=0.45,VLOOKUP(Calculator!E23,tbSkills!DH3:DI6,2,FALSE)+IF(AND(Calculator!B8=TRUE,Backdoors!BI35=TRUE),VLOOKUP(Calculator!E23,tbSkills!DH3:DJ6,3,FALSE),0),0)))/100)),1),1)</f>
        <v>0.6</v>
      </c>
      <c r="HX74" s="87">
        <f t="shared" si="83"/>
        <v>0</v>
      </c>
      <c r="HY74" s="86" t="str">
        <f>IFERROR(IF(VLOOKUP(A74,tbMoveset!A2:B112,2,FALSE)="Sever",Backdoors!AY36/100,IF(VLOOKUP(A74,tbMoveset!A2:B112,2,FALSE)="Blunt",Backdoors!AZ36/100,Backdoors!BA36/100)),"")</f>
        <v/>
      </c>
      <c r="HZ74" s="49">
        <f>IFERROR(IF(VLOOKUP(tbMoveset!A74,tbMoveset!A2:H112,8,FALSE)="Other",IF(VLOOKUP(tbMoveset!A74,tbMoveset!A2:I112,9,FALSE)="Fire",Backdoors!BB36,IF(VLOOKUP(tbMoveset!A74,tbMoveset!A2:I112,9,FALSE)="Water",Backdoors!BC36,IF(VLOOKUP(tbMoveset!A74,tbMoveset!A2:I112,9,FALSE)="Thunder",Backdoors!BD36,IF(VLOOKUP(tbMoveset!A74,tbMoveset!A2:I112,9,FALSE)="Ice",Backdoors!BE36,IF(VLOOKUP(tbMoveset!A74,tbMoveset!A2:I112,9,FALSE)="Dragon",Backdoors!BF36,Backdoors!BG36)))))/100,Backdoors!BG36/100),"")</f>
        <v>0</v>
      </c>
      <c r="IA74" s="49">
        <f>IFERROR(IF(VLOOKUP(A74,tbMoveset!A2:J112,10,FALSE)=TRUE,IF((Backdoors!AI12+IF(HY74&gt;=0.45,VLOOKUP(Calculator!E23,tbSkills!DH3:DI6,2,FALSE)+IF(AND(Calculator!B8=TRUE,Backdoors!BI36=TRUE),VLOOKUP(Calculator!E23,tbSkills!DH3:DJ6,3,FALSE),0),0))&gt;=0,1+(Backdoors!AL2*(IF((Backdoors!AI12+IF(HY74&gt;=0.45,VLOOKUP(Calculator!E23,tbSkills!DH3:DI6,2,FALSE)+IF(AND(Calculator!B8=TRUE,Backdoors!BI36=TRUE),VLOOKUP(Calculator!E23,tbSkills!DH3:DJ6,3,FALSE),0),0))&gt;=100,100,(Backdoors!AI12+IF(HY74&gt;=0.45,VLOOKUP(Calculator!E23,tbSkills!DH3:DI6,2,FALSE)+IF(AND(Calculator!B8=TRUE,Backdoors!BI36=TRUE),VLOOKUP(Calculator!E23,tbSkills!DH3:DJ6,3,FALSE),0),0)))/100)),(1-(0.25*((-Backdoors!AI12-IF(HY74&gt;=0.45,VLOOKUP(Calculator!E23,tbSkills!DH3:DI6,2,FALSE)+IF(AND(Calculator!B8=TRUE,Backdoors!BI36=TRUE),VLOOKUP(Calculator!E23,tbSkills!DH3:DJ6,3,FALSE),0),0))/100)))),1),"")</f>
        <v>1</v>
      </c>
      <c r="IB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Y74)*IA74)*(VLOOKUP(A74,tbMoveset!A2:C112,3,FALSE)/100)*IF(VLOOKUP(A74,tbMoveset!A2:B112,2,FALSE)="Projectile",Backdoors!N10,Backdoors!N9),0),"")</f>
        <v/>
      </c>
      <c r="IC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Y74&gt;=0.45,VLOOKUP(Calculator!E23,tbSkills!DH3:DI6,2,FALSE)+IF(AND(Calculator!B8=TRUE,Backdoors!BI36=TRUE),VLOOKUP(Calculator!E23,tbSkills!DH3:DJ6,3,FALSE),0),0))&gt;=100,100,(Backdoors!AI12+IF(HY74&gt;=0.45,VLOOKUP(Calculator!E23,tbSkills!DH3:DI6,2,FALSE)+IF(AND(Calculator!B8=TRUE,Backdoors!BI36=TRUE),VLOOKUP(Calculator!E23,tbSkills!DH3:DJ6,3,FALSE),0),0)))/100)),1))*IF(VLOOKUP(A74,tbMoveset!A2:K112,11,FALSE)=TRUE,Backdoors!AC5,1))*HZ74,0),"")</f>
        <v>0</v>
      </c>
      <c r="ID74" s="49">
        <f>VLOOKUP(A74,tbMoveset!A2:G112,7,FALSE)*IFERROR(IF(Backdoors!AI12&gt;=0,1+(IF(Calculator!E40&gt;0,VLOOKUP(Calculator!E40,tbSkills!AI3:AJ5,2,FALSE),Backdoors!AL4)*(IF((Backdoors!AI12+IF(HY74&gt;=0.45,VLOOKUP(Calculator!E23,tbSkills!DH3:DI6,2,FALSE)+IF(AND(Calculator!B8=TRUE,Backdoors!BI36=TRUE),VLOOKUP(Calculator!E23,tbSkills!DH3:DJ6,3,FALSE),0),0))&gt;=100,100,(Backdoors!AI12+IF(HY74&gt;=0.45,VLOOKUP(Calculator!E23,tbSkills!DH3:DI6,2,FALSE)+IF(AND(Calculator!B8=TRUE,Backdoors!BI36=TRUE),VLOOKUP(Calculator!E23,tbSkills!DH3:DJ6,3,FALSE),0),0)))/100)),1),1)</f>
        <v>0.6</v>
      </c>
      <c r="IE74" s="87">
        <f t="shared" si="84"/>
        <v>0</v>
      </c>
      <c r="IF74" s="86" t="str">
        <f>IFERROR(IF(VLOOKUP(A74,tbMoveset!A2:B112,2,FALSE)="Sever",Backdoors!AY37/100,IF(VLOOKUP(A74,tbMoveset!A2:B112,2,FALSE)="Blunt",Backdoors!AZ37/100,Backdoors!BA37/100)),"")</f>
        <v/>
      </c>
      <c r="IG74" s="49">
        <f>IFERROR(IF(VLOOKUP(tbMoveset!A74,tbMoveset!A2:H112,8,FALSE)="Other",IF(VLOOKUP(tbMoveset!A74,tbMoveset!A2:I112,9,FALSE)="Fire",Backdoors!BB37,IF(VLOOKUP(tbMoveset!A74,tbMoveset!A2:I112,9,FALSE)="Water",Backdoors!BC37,IF(VLOOKUP(tbMoveset!A74,tbMoveset!A2:I112,9,FALSE)="Thunder",Backdoors!BD37,IF(VLOOKUP(tbMoveset!A74,tbMoveset!A2:I112,9,FALSE)="Ice",Backdoors!BE37,IF(VLOOKUP(tbMoveset!A74,tbMoveset!A2:I112,9,FALSE)="Dragon",Backdoors!BF37,Backdoors!BG37)))))/100,Backdoors!BG37/100),"")</f>
        <v>0</v>
      </c>
      <c r="IH74" s="49">
        <f>IFERROR(IF(VLOOKUP(A74,tbMoveset!A2:J112,10,FALSE)=TRUE,IF((Backdoors!AI12+IF(IF74&gt;=0.45,VLOOKUP(Calculator!E23,tbSkills!DH3:DI6,2,FALSE)+IF(AND(Calculator!B8=TRUE,Backdoors!BI37=TRUE),VLOOKUP(Calculator!E23,tbSkills!DH3:DJ6,3,FALSE),0),0))&gt;=0,1+(Backdoors!AL2*(IF((Backdoors!AI12+IF(IF74&gt;=0.45,VLOOKUP(Calculator!E23,tbSkills!DH3:DI6,2,FALSE)+IF(AND(Calculator!B8=TRUE,Backdoors!BI37=TRUE),VLOOKUP(Calculator!E23,tbSkills!DH3:DJ6,3,FALSE),0),0))&gt;=100,100,(Backdoors!AI12+IF(IF74&gt;=0.45,VLOOKUP(Calculator!E23,tbSkills!DH3:DI6,2,FALSE)+IF(AND(Calculator!B8=TRUE,Backdoors!BI37=TRUE),VLOOKUP(Calculator!E23,tbSkills!DH3:DJ6,3,FALSE),0),0)))/100)),(1-(0.25*((-Backdoors!AI12-IF(IF74&gt;=0.45,VLOOKUP(Calculator!E23,tbSkills!DH3:DI6,2,FALSE)+IF(AND(Calculator!B8=TRUE,Backdoors!BI37=TRUE),VLOOKUP(Calculator!E23,tbSkills!DH3:DJ6,3,FALSE),0),0))/100)))),1),"")</f>
        <v>1</v>
      </c>
      <c r="II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F74)*IH74)*(VLOOKUP(A74,tbMoveset!A2:C112,3,FALSE)/100)*IF(VLOOKUP(A74,tbMoveset!A2:B112,2,FALSE)="Projectile",Backdoors!N10,Backdoors!N9),0),"")</f>
        <v/>
      </c>
      <c r="IJ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IF74&gt;=0.45,VLOOKUP(Calculator!E23,tbSkills!DH3:DI6,2,FALSE)+IF(AND(Calculator!B8=TRUE,Backdoors!BI37=TRUE),VLOOKUP(Calculator!E23,tbSkills!DH3:DJ6,3,FALSE),0),0))&gt;=100,100,(Backdoors!AI12+IF(IF74&gt;=0.45,VLOOKUP(Calculator!E23,tbSkills!DH3:DI6,2,FALSE)+IF(AND(Calculator!B8=TRUE,Backdoors!BI37=TRUE),VLOOKUP(Calculator!E23,tbSkills!DH3:DJ6,3,FALSE),0),0)))/100)),1))*IF(VLOOKUP(A74,tbMoveset!A2:K112,11,FALSE)=TRUE,Backdoors!AC5,1))*IG74,0),"")</f>
        <v>0</v>
      </c>
      <c r="IK74" s="49">
        <f>VLOOKUP(A74,tbMoveset!A2:G112,7,FALSE)*IFERROR(IF(Backdoors!AI12&gt;=0,1+(IF(Calculator!E40&gt;0,VLOOKUP(Calculator!E40,tbSkills!AI3:AJ5,2,FALSE),Backdoors!AL4)*(IF((Backdoors!AI12+IF(IF74&gt;=0.45,VLOOKUP(Calculator!E23,tbSkills!DH3:DI6,2,FALSE)+IF(AND(Calculator!B8=TRUE,Backdoors!BI37=TRUE),VLOOKUP(Calculator!E23,tbSkills!DH3:DJ6,3,FALSE),0),0))&gt;=100,100,(Backdoors!AI12+IF(IF74&gt;=0.45,VLOOKUP(Calculator!E23,tbSkills!DH3:DI6,2,FALSE)+IF(AND(Calculator!B8=TRUE,Backdoors!BI37=TRUE),VLOOKUP(Calculator!E23,tbSkills!DH3:DJ6,3,FALSE),0),0)))/100)),1),1)</f>
        <v>0.6</v>
      </c>
      <c r="IL74" s="87">
        <f t="shared" si="85"/>
        <v>0</v>
      </c>
      <c r="IM74" s="86" t="str">
        <f>IFERROR(IF(VLOOKUP(A74,tbMoveset!A2:B112,2,FALSE)="Sever",Backdoors!AY38/100,IF(VLOOKUP(A74,tbMoveset!A2:B112,2,FALSE)="Blunt",Backdoors!AZ38/100,Backdoors!BA38/100)),"")</f>
        <v/>
      </c>
      <c r="IN74" s="49">
        <f>IFERROR(IF(VLOOKUP(tbMoveset!A74,tbMoveset!A2:H112,8,FALSE)="Other",IF(VLOOKUP(tbMoveset!A74,tbMoveset!A2:I112,9,FALSE)="Fire",Backdoors!BB38,IF(VLOOKUP(tbMoveset!A74,tbMoveset!A2:I112,9,FALSE)="Water",Backdoors!BC38,IF(VLOOKUP(tbMoveset!A74,tbMoveset!A2:I112,9,FALSE)="Thunder",Backdoors!BD38,IF(VLOOKUP(tbMoveset!A74,tbMoveset!A2:I112,9,FALSE)="Ice",Backdoors!BE38,IF(VLOOKUP(tbMoveset!A74,tbMoveset!A2:I112,9,FALSE)="Dragon",Backdoors!BF38,Backdoors!BG38)))))/100,Backdoors!BG38/100),"")</f>
        <v>0</v>
      </c>
      <c r="IO74" s="49">
        <f>IFERROR(IF(VLOOKUP(A74,tbMoveset!A2:J112,10,FALSE)=TRUE,IF((Backdoors!AI12+IF(IM74&gt;=0.45,VLOOKUP(Calculator!E23,tbSkills!DH3:DI6,2,FALSE)+IF(AND(Calculator!B8=TRUE,Backdoors!BI38=TRUE),VLOOKUP(Calculator!E23,tbSkills!DH3:DJ6,3,FALSE),0),0))&gt;=0,1+(Backdoors!AL2*(IF((Backdoors!AI12+IF(IM74&gt;=0.45,VLOOKUP(Calculator!E23,tbSkills!DH3:DI6,2,FALSE)+IF(AND(Calculator!B8=TRUE,Backdoors!BI38=TRUE),VLOOKUP(Calculator!E23,tbSkills!DH3:DJ6,3,FALSE),0),0))&gt;=100,100,(Backdoors!AI12+IF(IM74&gt;=0.45,VLOOKUP(Calculator!E23,tbSkills!DH3:DI6,2,FALSE)+IF(AND(Calculator!B8=TRUE,Backdoors!BI38=TRUE),VLOOKUP(Calculator!E23,tbSkills!DH3:DJ6,3,FALSE),0),0)))/100)),(1-(0.25*((-Backdoors!AI12-IF(IM74&gt;=0.45,VLOOKUP(Calculator!E23,tbSkills!DH3:DI6,2,FALSE)+IF(AND(Calculator!B8=TRUE,Backdoors!BI38=TRUE),VLOOKUP(Calculator!E23,tbSkills!DH3:DJ6,3,FALSE),0),0))/100)))),1),"")</f>
        <v>1</v>
      </c>
      <c r="IP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M74)*IO74)*(VLOOKUP(A74,tbMoveset!A2:C112,3,FALSE)/100)*IF(VLOOKUP(A74,tbMoveset!A2:B112,2,FALSE)="Projectile",Backdoors!N10,Backdoors!N9),0),"")</f>
        <v/>
      </c>
      <c r="IQ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IM74&gt;=0.45,VLOOKUP(Calculator!E23,tbSkills!DH3:DI6,2,FALSE)+IF(AND(Calculator!B8=TRUE,Backdoors!BI38=TRUE),VLOOKUP(Calculator!E23,tbSkills!DH3:DJ6,3,FALSE),0),0))&gt;=100,100,(Backdoors!AI12+IF(IM74&gt;=0.45,VLOOKUP(Calculator!E23,tbSkills!DH3:DI6,2,FALSE)+IF(AND(Calculator!B8=TRUE,Backdoors!BI38=TRUE),VLOOKUP(Calculator!E23,tbSkills!DH3:DJ6,3,FALSE),0),0)))/100)),1))*IF(VLOOKUP(A74,tbMoveset!A2:K112,11,FALSE)=TRUE,Backdoors!AC5,1))*IN74,0),"")</f>
        <v>0</v>
      </c>
      <c r="IR74" s="49">
        <f>VLOOKUP(A74,tbMoveset!A2:G112,7,FALSE)*IFERROR(IF(Backdoors!AI12&gt;=0,1+(IF(Calculator!E40&gt;0,VLOOKUP(Calculator!E40,tbSkills!AI3:AJ5,2,FALSE),Backdoors!AL4)*(IF((Backdoors!AI12+IF(IM74&gt;=0.45,VLOOKUP(Calculator!E23,tbSkills!DH3:DI6,2,FALSE)+IF(AND(Calculator!B8=TRUE,Backdoors!BI38=TRUE),VLOOKUP(Calculator!E23,tbSkills!DH3:DJ6,3,FALSE),0),0))&gt;=100,100,(Backdoors!AI12+IF(IM74&gt;=0.45,VLOOKUP(Calculator!E23,tbSkills!DH3:DI6,2,FALSE)+IF(AND(Calculator!B8=TRUE,Backdoors!BI38=TRUE),VLOOKUP(Calculator!E23,tbSkills!DH3:DJ6,3,FALSE),0),0)))/100)),1),1)</f>
        <v>0.6</v>
      </c>
      <c r="IS74" s="87">
        <f t="shared" si="86"/>
        <v>0</v>
      </c>
      <c r="IT74" s="86" t="str">
        <f>IFERROR(IF(VLOOKUP(A74,tbMoveset!A2:B112,2,FALSE)="Sever",Backdoors!AY39/100,IF(VLOOKUP(A74,tbMoveset!A2:B112,2,FALSE)="Blunt",Backdoors!AZ39/100,Backdoors!BA39/100)),"")</f>
        <v/>
      </c>
      <c r="IU74" s="49">
        <f>IFERROR(IF(VLOOKUP(tbMoveset!A74,tbMoveset!A2:H112,8,FALSE)="Other",IF(VLOOKUP(tbMoveset!A74,tbMoveset!A2:I112,9,FALSE)="Fire",Backdoors!BB39,IF(VLOOKUP(tbMoveset!A74,tbMoveset!A2:I112,9,FALSE)="Water",Backdoors!BC39,IF(VLOOKUP(tbMoveset!A74,tbMoveset!A2:I112,9,FALSE)="Thunder",Backdoors!BD39,IF(VLOOKUP(tbMoveset!A74,tbMoveset!A2:I112,9,FALSE)="Ice",Backdoors!BE39,IF(VLOOKUP(tbMoveset!A74,tbMoveset!A2:I112,9,FALSE)="Dragon",Backdoors!BF39,Backdoors!BG39)))))/100,Backdoors!BG39/100),"")</f>
        <v>0</v>
      </c>
      <c r="IV74" s="49">
        <f>IFERROR(IF(VLOOKUP(A74,tbMoveset!A2:J112,10,FALSE)=TRUE,IF((Backdoors!AI12+IF(IT74&gt;=0.45,VLOOKUP(Calculator!E23,tbSkills!DH3:DI6,2,FALSE)+IF(AND(Calculator!B8=TRUE,Backdoors!BI39=TRUE),VLOOKUP(Calculator!E23,tbSkills!DH3:DJ6,3,FALSE),0),0))&gt;=0,1+(Backdoors!AL2*(IF((Backdoors!AI12+IF(IT74&gt;=0.45,VLOOKUP(Calculator!E23,tbSkills!DH3:DI6,2,FALSE)+IF(AND(Calculator!B8=TRUE,Backdoors!BI39=TRUE),VLOOKUP(Calculator!E23,tbSkills!DH3:DJ6,3,FALSE),0),0))&gt;=100,100,(Backdoors!AI12+IF(IT74&gt;=0.45,VLOOKUP(Calculator!E23,tbSkills!DH3:DI6,2,FALSE)+IF(AND(Calculator!B8=TRUE,Backdoors!BI39=TRUE),VLOOKUP(Calculator!E23,tbSkills!DH3:DJ6,3,FALSE),0),0)))/100)),(1-(0.25*((-Backdoors!AI12-IF(IT74&gt;=0.45,VLOOKUP(Calculator!E23,tbSkills!DH3:DI6,2,FALSE)+IF(AND(Calculator!B8=TRUE,Backdoors!BI39=TRUE),VLOOKUP(Calculator!E23,tbSkills!DH3:DJ6,3,FALSE),0),0))/100)))),1),"")</f>
        <v>1</v>
      </c>
      <c r="IW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T74)*IV74)*(VLOOKUP(A74,tbMoveset!A2:C112,3,FALSE)/100)*IF(VLOOKUP(A74,tbMoveset!A2:B112,2,FALSE)="Projectile",Backdoors!N10,Backdoors!N9),0),"")</f>
        <v/>
      </c>
      <c r="IX74" s="49">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40&gt;0,VLOOKUP(Calculator!E40,tbSkills!AC3:AD5,2,FALSE),Backdoors!AL3)*(IF((Backdoors!AI12+IF(IT74&gt;=0.45,VLOOKUP(Calculator!E23,tbSkills!DH3:DI6,2,FALSE)+IF(AND(Calculator!B8=TRUE,Backdoors!BI39=TRUE),VLOOKUP(Calculator!E23,tbSkills!DH3:DJ6,3,FALSE),0),0))&gt;=100,100,(Backdoors!AI12+IF(IT74&gt;=0.45,VLOOKUP(Calculator!E23,tbSkills!DH3:DI6,2,FALSE)+IF(AND(Calculator!B8=TRUE,Backdoors!BI39=TRUE),VLOOKUP(Calculator!E23,tbSkills!DH3:DJ6,3,FALSE),0),0)))/100)),1))*IF(VLOOKUP(A74,tbMoveset!A2:K112,11,FALSE)=TRUE,Backdoors!AC5,1))*IU74,0),"")</f>
        <v>0</v>
      </c>
      <c r="IY74" s="49">
        <f>VLOOKUP(A74,tbMoveset!A2:G112,7,FALSE)*IFERROR(IF(Backdoors!AI12&gt;=0,1+(IF(Calculator!E40&gt;0,VLOOKUP(Calculator!E40,tbSkills!AI3:AJ5,2,FALSE),Backdoors!AL4)*(IF((Backdoors!AI12+IF(IT74&gt;=0.45,VLOOKUP(Calculator!E23,tbSkills!DH3:DI6,2,FALSE)+IF(AND(Calculator!B8=TRUE,Backdoors!BI39=TRUE),VLOOKUP(Calculator!E23,tbSkills!DH3:DJ6,3,FALSE),0),0))&gt;=100,100,(Backdoors!AI12+IF(IT74&gt;=0.45,VLOOKUP(Calculator!E23,tbSkills!DH3:DI6,2,FALSE)+IF(AND(Calculator!B8=TRUE,Backdoors!BI39=TRUE),VLOOKUP(Calculator!E23,tbSkills!DH3:DJ6,3,FALSE),0),0)))/100)),1),1)</f>
        <v>0.6</v>
      </c>
      <c r="IZ74" s="87">
        <f t="shared" si="87"/>
        <v>0</v>
      </c>
      <c r="JA74" s="86" t="str">
        <f>IFERROR(IF(VLOOKUP(A74,tbMoveset!A2:B112,2,FALSE)="Sever",Backdoors!AY40/100,IF(VLOOKUP(A74,tbMoveset!A2:B112,2,FALSE)="Blunt",Backdoors!AZ40/100,Backdoors!BA40/100)),"")</f>
        <v/>
      </c>
      <c r="JB74" s="49">
        <f>IFERROR(IF(VLOOKUP(tbMoveset!A74,tbMoveset!A2:H112,8,FALSE)="Other",IF(VLOOKUP(tbMoveset!A74,tbMoveset!A2:I112,9,FALSE)="Fire",Backdoors!BB40,IF(VLOOKUP(tbMoveset!A74,tbMoveset!A2:I112,9,FALSE)="Water",Backdoors!BC40,IF(VLOOKUP(tbMoveset!A74,tbMoveset!A2:I112,9,FALSE)="Thunder",Backdoors!BD40,IF(VLOOKUP(tbMoveset!A74,tbMoveset!A2:I112,9,FALSE)="Ice",Backdoors!BE40,IF(VLOOKUP(tbMoveset!A74,tbMoveset!A2:I112,9,FALSE)="Dragon",Backdoors!BF40,Backdoors!BG40)))))/100,Backdoors!BG40/100),"")</f>
        <v>0</v>
      </c>
      <c r="JC74" s="49">
        <f>IFERROR(IF(VLOOKUP(A74,tbMoveset!A2:J112,10,FALSE)=TRUE,IF((Backdoors!AI12+IF(JA74&gt;=0.45,VLOOKUP(Calculator!E23,tbSkills!DH3:DI6,2,FALSE)+IF(AND(Calculator!B8=TRUE,Backdoors!BI40=TRUE),VLOOKUP(Calculator!E23,tbSkills!DH3:DJ6,3,FALSE),0),0))&gt;=0,1+(Backdoors!AL2*(IF((Backdoors!AI12+IF(JA74&gt;=0.45,VLOOKUP(Calculator!E23,tbSkills!DH3:DI6,2,FALSE)+IF(AND(Calculator!B8=TRUE,Backdoors!BI40=TRUE),VLOOKUP(Calculator!E23,tbSkills!DH3:DJ6,3,FALSE),0),0))&gt;=100,100,(Backdoors!AI12+IF(JA74&gt;=0.45,VLOOKUP(Calculator!E23,tbSkills!DH3:DI6,2,FALSE)+IF(AND(Calculator!B8=TRUE,Backdoors!BI40=TRUE),VLOOKUP(Calculator!E23,tbSkills!DH3:DJ6,3,FALSE),0),0)))/100)),(1-(0.25*((-Backdoors!AI12-IF(JA74&gt;=0.45,VLOOKUP(Calculator!E23,tbSkills!DH3:DI6,2,FALSE)+IF(AND(Calculator!B8=TRUE,Backdoors!BI40=TRUE),VLOOKUP(Calculator!E23,tbSkills!DH3:DJ6,3,FALSE),0),0))/100)))),1),"")</f>
        <v>1</v>
      </c>
      <c r="JD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A74)*JC74)*(VLOOKUP(A74,tbMoveset!A2:C112,3,FALSE)/100)*IF(VLOOKUP(A74,tbMoveset!A2:B112,2,FALSE)="Projectile",Backdoors!N10,Backdoors!N9),0),"")</f>
        <v/>
      </c>
      <c r="JE74" s="49">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42&gt;0,VLOOKUP(Calculator!E42,tbSkills!AC3:AD5,2,FALSE),Backdoors!AL3)*(IF((Backdoors!AI12+IF(JA74&gt;=0.45,VLOOKUP(Calculator!E23,tbSkills!DH3:DI6,2,FALSE)+IF(AND(Calculator!B8=TRUE,Backdoors!BI40=TRUE),VLOOKUP(Calculator!E23,tbSkills!DH3:DJ6,3,FALSE),0),0))&gt;=100,100,(Backdoors!AI12+IF(JA74&gt;=0.45,VLOOKUP(Calculator!E23,tbSkills!DH3:DI6,2,FALSE)+IF(AND(Calculator!B8=TRUE,Backdoors!BI40=TRUE),VLOOKUP(Calculator!E23,tbSkills!DH3:DJ6,3,FALSE),0),0)))/100)),1))*IF(VLOOKUP(A74,tbMoveset!A2:K112,11,FALSE)=TRUE,Backdoors!AC5,1))*JB74,0),"")</f>
        <v>0</v>
      </c>
      <c r="JF74" s="49">
        <f>VLOOKUP(A74,tbMoveset!A2:G112,7,FALSE)*IFERROR(IF(Backdoors!AI12&gt;=0,1+(IF(Calculator!E40&gt;0,VLOOKUP(Calculator!E40,tbSkills!AI3:AJ5,2,FALSE),Backdoors!AL4)*(IF((Backdoors!AI12+IF(JA74&gt;=0.45,VLOOKUP(Calculator!E23,tbSkills!DH3:DI6,2,FALSE)+IF(AND(Calculator!B8=TRUE,Backdoors!BI40=TRUE),VLOOKUP(Calculator!E23,tbSkills!DH3:DJ6,3,FALSE),0),0))&gt;=100,100,(Backdoors!AI12+IF(JA74&gt;=0.45,VLOOKUP(Calculator!E23,tbSkills!DH3:DI6,2,FALSE)+IF(AND(Calculator!B8=TRUE,Backdoors!BI40=TRUE),VLOOKUP(Calculator!E23,tbSkills!DH3:DJ6,3,FALSE),0),0)))/100)),1),1)</f>
        <v>0.6</v>
      </c>
      <c r="JG74" s="87">
        <f t="shared" si="88"/>
        <v>0</v>
      </c>
      <c r="JH74" s="86" t="str">
        <f>IFERROR(IF(VLOOKUP(A74,tbMoveset!A2:B112,2,FALSE)="Sever",Backdoors!AY41/100,IF(VLOOKUP(A74,tbMoveset!A2:B112,2,FALSE)="Blunt",Backdoors!AZ41/100,Backdoors!BA41/100)),"")</f>
        <v/>
      </c>
      <c r="JI74" s="49">
        <f>IFERROR(IF(VLOOKUP(tbMoveset!A74,tbMoveset!A2:H112,8,FALSE)="Other",IF(VLOOKUP(tbMoveset!A74,tbMoveset!A2:I112,9,FALSE)="Fire",Backdoors!BB41,IF(VLOOKUP(tbMoveset!A74,tbMoveset!A2:I112,9,FALSE)="Water",Backdoors!BC41,IF(VLOOKUP(tbMoveset!A74,tbMoveset!A2:I112,9,FALSE)="Thunder",Backdoors!BD41,IF(VLOOKUP(tbMoveset!A74,tbMoveset!A2:I112,9,FALSE)="Ice",Backdoors!BE41,IF(VLOOKUP(tbMoveset!A74,tbMoveset!A2:I112,9,FALSE)="Dragon",Backdoors!BF41,Backdoors!BG41)))))/100,Backdoors!BG41/100),"")</f>
        <v>0</v>
      </c>
      <c r="JJ74" s="49">
        <f>IFERROR(IF(VLOOKUP(A74,tbMoveset!A2:J112,10,FALSE)=TRUE,IF((Backdoors!AI12+IF(JH74&gt;=0.45,VLOOKUP(Calculator!E23,tbSkills!DH3:DI6,2,FALSE)+IF(AND(Calculator!B8=TRUE,Backdoors!BI41=TRUE),VLOOKUP(Calculator!E23,tbSkills!DH3:DJ6,3,FALSE),0),0))&gt;=0,1+(Backdoors!AL2*(IF((Backdoors!AI12+IF(JH74&gt;=0.45,VLOOKUP(Calculator!E23,tbSkills!DH3:DI6,2,FALSE)+IF(AND(Calculator!B8=TRUE,Backdoors!BI41=TRUE),VLOOKUP(Calculator!E23,tbSkills!DH3:DJ6,3,FALSE),0),0))&gt;=100,100,(Backdoors!AI12+IF(JH74&gt;=0.45,VLOOKUP(Calculator!E23,tbSkills!DH3:DI6,2,FALSE)+IF(AND(Calculator!B8=TRUE,Backdoors!BI41=TRUE),VLOOKUP(Calculator!E23,tbSkills!DH3:DJ6,3,FALSE),0),0)))/100)),(1-(0.25*((-Backdoors!AI12-IF(JH74&gt;=0.45,VLOOKUP(Calculator!E23,tbSkills!DH3:DI6,2,FALSE)+IF(AND(Calculator!B8=TRUE,Backdoors!BI41=TRUE),VLOOKUP(Calculator!E23,tbSkills!DH3:DJ6,3,FALSE),0),0))/100)))),1),"")</f>
        <v>1</v>
      </c>
      <c r="JK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H74)*JJ74)*(VLOOKUP(A74,tbMoveset!A2:C112,3,FALSE)/100)*IF(VLOOKUP(A74,tbMoveset!A2:B112,2,FALSE)="Projectile",Backdoors!N10,Backdoors!N9),0),"")</f>
        <v/>
      </c>
      <c r="JL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43&gt;0,VLOOKUP(Calculator!E43,tbSkills!AC3:AD5,2,FALSE),Backdoors!AL3)*(IF((Backdoors!AI12+IF(JH74&gt;=0.45,VLOOKUP(Calculator!E23,tbSkills!DH3:DI6,2,FALSE)+IF(AND(Calculator!B8=TRUE,Backdoors!BI41=TRUE),VLOOKUP(Calculator!E23,tbSkills!DH3:DJ6,3,FALSE),0),0))&gt;=100,100,(Backdoors!AI12+IF(JH74&gt;=0.45,VLOOKUP(Calculator!E23,tbSkills!DH3:DI6,2,FALSE)+IF(AND(Calculator!B8=TRUE,Backdoors!BI41=TRUE),VLOOKUP(Calculator!E23,tbSkills!DH3:DJ6,3,FALSE),0),0)))/100)),1))*IF(VLOOKUP(A74,tbMoveset!A2:K112,11,FALSE)=TRUE,Backdoors!AC5,1))*JI74,0),"")</f>
        <v/>
      </c>
      <c r="JM74" s="49">
        <f>VLOOKUP(A74,tbMoveset!A2:G112,7,FALSE)*IFERROR(IF(Backdoors!AI12&gt;=0,1+(IF(Calculator!E40&gt;0,VLOOKUP(Calculator!E40,tbSkills!AI3:AJ5,2,FALSE),Backdoors!AL4)*(IF((Backdoors!AI12+IF(JH74&gt;=0.45,VLOOKUP(Calculator!E23,tbSkills!DH3:DI6,2,FALSE)+IF(AND(Calculator!B8=TRUE,Backdoors!BI41=TRUE),VLOOKUP(Calculator!E23,tbSkills!DH3:DJ6,3,FALSE),0),0))&gt;=100,100,(Backdoors!AI12+IF(JH74&gt;=0.45,VLOOKUP(Calculator!E23,tbSkills!DH3:DI6,2,FALSE)+IF(AND(Calculator!B8=TRUE,Backdoors!BI41=TRUE),VLOOKUP(Calculator!E23,tbSkills!DH3:DJ6,3,FALSE),0),0)))/100)),1),1)</f>
        <v>0.6</v>
      </c>
      <c r="JN74" s="87">
        <f t="shared" si="89"/>
        <v>0</v>
      </c>
      <c r="JO74" s="86" t="str">
        <f>IFERROR(IF(VLOOKUP(A74,tbMoveset!A2:B112,2,FALSE)="Sever",Backdoors!AY42/100,IF(VLOOKUP(A74,tbMoveset!A2:B112,2,FALSE)="Blunt",Backdoors!AZ42/100,Backdoors!BA42/100)),"")</f>
        <v/>
      </c>
      <c r="JP74" s="49">
        <f>IFERROR(IF(VLOOKUP(tbMoveset!A74,tbMoveset!A2:H112,8,FALSE)="Other",IF(VLOOKUP(tbMoveset!A74,tbMoveset!A2:I112,9,FALSE)="Fire",Backdoors!BB42,IF(VLOOKUP(tbMoveset!A74,tbMoveset!A2:I112,9,FALSE)="Water",Backdoors!BC42,IF(VLOOKUP(tbMoveset!A74,tbMoveset!A2:I112,9,FALSE)="Thunder",Backdoors!BD42,IF(VLOOKUP(tbMoveset!A74,tbMoveset!A2:I112,9,FALSE)="Ice",Backdoors!BE42,IF(VLOOKUP(tbMoveset!A74,tbMoveset!A2:I112,9,FALSE)="Dragon",Backdoors!BF42,Backdoors!BG42)))))/100,Backdoors!BG42/100),"")</f>
        <v>0</v>
      </c>
      <c r="JQ74" s="49">
        <f>IFERROR(IF(VLOOKUP(A74,tbMoveset!A2:J112,10,FALSE)=TRUE,IF((Backdoors!AI12+IF(JO74&gt;=0.45,VLOOKUP(Calculator!E23,tbSkills!DH3:DI6,2,FALSE)+IF(AND(Calculator!B8=TRUE,Backdoors!BI42=TRUE),VLOOKUP(Calculator!E23,tbSkills!DH3:DJ6,3,FALSE),0),0))&gt;=0,1+(Backdoors!AL2*(IF((Backdoors!AI12+IF(JO74&gt;=0.45,VLOOKUP(Calculator!E23,tbSkills!DH3:DI6,2,FALSE)+IF(AND(Calculator!B8=TRUE,Backdoors!BI42=TRUE),VLOOKUP(Calculator!E23,tbSkills!DH3:DJ6,3,FALSE),0),0))&gt;=100,100,(Backdoors!AI12+IF(JO74&gt;=0.45,VLOOKUP(Calculator!E23,tbSkills!DH3:DI6,2,FALSE)+IF(AND(Calculator!B8=TRUE,Backdoors!BI42=TRUE),VLOOKUP(Calculator!E23,tbSkills!DH3:DJ6,3,FALSE),0),0)))/100)),(1-(0.25*((-Backdoors!AI12-IF(JO74&gt;=0.45,VLOOKUP(Calculator!E23,tbSkills!DH3:DI6,2,FALSE)+IF(AND(Calculator!B8=TRUE,Backdoors!BI42=TRUE),VLOOKUP(Calculator!E23,tbSkills!DH3:DJ6,3,FALSE),0),0))/100)))),1),"")</f>
        <v>1</v>
      </c>
      <c r="JR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O74)*JQ74)*(VLOOKUP(A74,tbMoveset!A2:C112,3,FALSE)/100)*IF(VLOOKUP(A74,tbMoveset!A2:B112,2,FALSE)="Projectile",Backdoors!N10,Backdoors!N9),0),"")</f>
        <v/>
      </c>
      <c r="JS74" s="49">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45&gt;0,VLOOKUP(Calculator!E45,tbSkills!AC3:AD5,2,FALSE),Backdoors!AL3)*(IF((Backdoors!AI12+IF(JO74&gt;=0.45,VLOOKUP(Calculator!E23,tbSkills!DH3:DI6,2,FALSE)+IF(AND(Calculator!B8=TRUE,Backdoors!BI42=TRUE),VLOOKUP(Calculator!E23,tbSkills!DH3:DJ6,3,FALSE),0),0))&gt;=100,100,(Backdoors!AI12+IF(JO74&gt;=0.45,VLOOKUP(Calculator!E23,tbSkills!DH3:DI6,2,FALSE)+IF(AND(Calculator!B8=TRUE,Backdoors!BI42=TRUE),VLOOKUP(Calculator!E23,tbSkills!DH3:DJ6,3,FALSE),0),0)))/100)),1))*IF(VLOOKUP(A74,tbMoveset!A2:K112,11,FALSE)=TRUE,Backdoors!AC5,1))*JP74,0),"")</f>
        <v>0</v>
      </c>
      <c r="JT74" s="49">
        <f>VLOOKUP(A74,tbMoveset!A2:G112,7,FALSE)*IFERROR(IF(Backdoors!AI12&gt;=0,1+(IF(Calculator!E40&gt;0,VLOOKUP(Calculator!E40,tbSkills!AI3:AJ5,2,FALSE),Backdoors!AL4)*(IF((Backdoors!AI12+IF(JO74&gt;=0.45,VLOOKUP(Calculator!E23,tbSkills!DH3:DI6,2,FALSE)+IF(AND(Calculator!B8=TRUE,Backdoors!BI42=TRUE),VLOOKUP(Calculator!E23,tbSkills!DH3:DJ6,3,FALSE),0),0))&gt;=100,100,(Backdoors!AI12+IF(JO74&gt;=0.45,VLOOKUP(Calculator!E23,tbSkills!DH3:DI6,2,FALSE)+IF(AND(Calculator!B8=TRUE,Backdoors!BI42=TRUE),VLOOKUP(Calculator!E23,tbSkills!DH3:DJ6,3,FALSE),0),0)))/100)),1),1)</f>
        <v>0.6</v>
      </c>
      <c r="JU74" s="87">
        <f t="shared" si="90"/>
        <v>0</v>
      </c>
      <c r="JV74" s="86" t="str">
        <f>IFERROR(IF(VLOOKUP(A74,tbMoveset!A2:B112,2,FALSE)="Sever",Backdoors!AY43/100,IF(VLOOKUP(A74,tbMoveset!A2:B112,2,FALSE)="Blunt",Backdoors!AZ43/100,Backdoors!BA43/100)),"")</f>
        <v/>
      </c>
      <c r="JW74" s="49">
        <f>IFERROR(IF(VLOOKUP(tbMoveset!A74,tbMoveset!A2:H112,8,FALSE)="Other",IF(VLOOKUP(tbMoveset!A74,tbMoveset!A2:I112,9,FALSE)="Fire",Backdoors!BB43,IF(VLOOKUP(tbMoveset!A74,tbMoveset!A2:I112,9,FALSE)="Water",Backdoors!BC43,IF(VLOOKUP(tbMoveset!A74,tbMoveset!A2:I112,9,FALSE)="Thunder",Backdoors!BD43,IF(VLOOKUP(tbMoveset!A74,tbMoveset!A2:I112,9,FALSE)="Ice",Backdoors!BE43,IF(VLOOKUP(tbMoveset!A74,tbMoveset!A2:I112,9,FALSE)="Dragon",Backdoors!BF43,Backdoors!BG43)))))/100,Backdoors!BG43/100),"")</f>
        <v>0</v>
      </c>
      <c r="JX74" s="49">
        <f>IFERROR(IF(VLOOKUP(A74,tbMoveset!A2:J112,10,FALSE)=TRUE,IF((Backdoors!AI12+IF(JV74&gt;=0.45,VLOOKUP(Calculator!E23,tbSkills!DH3:DI6,2,FALSE)+IF(AND(Calculator!B8=TRUE,Backdoors!BI43=TRUE),VLOOKUP(Calculator!E23,tbSkills!DH3:DJ6,3,FALSE),0),0))&gt;=0,1+(Backdoors!AL2*(IF((Backdoors!AI12+IF(JV74&gt;=0.45,VLOOKUP(Calculator!E23,tbSkills!DH3:DI6,2,FALSE)+IF(AND(Calculator!B8=TRUE,Backdoors!BI43=TRUE),VLOOKUP(Calculator!E23,tbSkills!DH3:DJ6,3,FALSE),0),0))&gt;=100,100,(Backdoors!AI12+IF(JV74&gt;=0.45,VLOOKUP(Calculator!E23,tbSkills!DH3:DI6,2,FALSE)+IF(AND(Calculator!B8=TRUE,Backdoors!BI43=TRUE),VLOOKUP(Calculator!E23,tbSkills!DH3:DJ6,3,FALSE),0),0)))/100)),(1-(0.25*((-Backdoors!AI12-IF(JV74&gt;=0.45,VLOOKUP(Calculator!E23,tbSkills!DH3:DI6,2,FALSE)+IF(AND(Calculator!B8=TRUE,Backdoors!BI43=TRUE),VLOOKUP(Calculator!E23,tbSkills!DH3:DJ6,3,FALSE),0),0))/100)))),1),"")</f>
        <v>1</v>
      </c>
      <c r="JY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V74)*JX74)*(VLOOKUP(A74,tbMoveset!A2:C112,3,FALSE)/100)*IF(VLOOKUP(A74,tbMoveset!A2:B112,2,FALSE)="Projectile",Backdoors!N10,Backdoors!N9),0),"")</f>
        <v/>
      </c>
      <c r="JZ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46&gt;0,VLOOKUP(Calculator!E46,tbSkills!AC3:AD5,2,FALSE),Backdoors!AL3)*(IF((Backdoors!AI12+IF(JV74&gt;=0.45,VLOOKUP(Calculator!E23,tbSkills!DH3:DI6,2,FALSE)+IF(AND(Calculator!B8=TRUE,Backdoors!BI43=TRUE),VLOOKUP(Calculator!E23,tbSkills!DH3:DJ6,3,FALSE),0),0))&gt;=100,100,(Backdoors!AI12+IF(JV74&gt;=0.45,VLOOKUP(Calculator!E23,tbSkills!DH3:DI6,2,FALSE)+IF(AND(Calculator!B8=TRUE,Backdoors!BI43=TRUE),VLOOKUP(Calculator!E23,tbSkills!DH3:DJ6,3,FALSE),0),0)))/100)),1))*IF(VLOOKUP(A74,tbMoveset!A2:K112,11,FALSE)=TRUE,Backdoors!AC5,1))*JW74,0),"")</f>
        <v/>
      </c>
      <c r="KA74" s="49">
        <f>VLOOKUP(A74,tbMoveset!A2:G112,7,FALSE)*IFERROR(IF(Backdoors!AI12&gt;=0,1+(IF(Calculator!E40&gt;0,VLOOKUP(Calculator!E40,tbSkills!AI3:AJ5,2,FALSE),Backdoors!AL4)*(IF((Backdoors!AI12+IF(JV74&gt;=0.45,VLOOKUP(Calculator!E23,tbSkills!DH3:DI6,2,FALSE)+IF(AND(Calculator!B8=TRUE,Backdoors!BI43=TRUE),VLOOKUP(Calculator!E23,tbSkills!DH3:DJ6,3,FALSE),0),0))&gt;=100,100,(Backdoors!AI12+IF(JV74&gt;=0.45,VLOOKUP(Calculator!E23,tbSkills!DH3:DI6,2,FALSE)+IF(AND(Calculator!B8=TRUE,Backdoors!BI43=TRUE),VLOOKUP(Calculator!E23,tbSkills!DH3:DJ6,3,FALSE),0),0)))/100)),1),1)</f>
        <v>0.6</v>
      </c>
      <c r="KB74" s="87">
        <f t="shared" si="91"/>
        <v>0</v>
      </c>
      <c r="KC74" s="86" t="str">
        <f>IFERROR(IF(VLOOKUP(A74,tbMoveset!A2:B112,2,FALSE)="Sever",Backdoors!AY44/100,IF(VLOOKUP(A74,tbMoveset!A2:B112,2,FALSE)="Blunt",Backdoors!AZ44/100,Backdoors!BA44/100)),"")</f>
        <v/>
      </c>
      <c r="KD74" s="49">
        <f>IFERROR(IF(VLOOKUP(tbMoveset!A74,tbMoveset!A2:H112,8,FALSE)="Other",IF(VLOOKUP(tbMoveset!A74,tbMoveset!A2:I112,9,FALSE)="Fire",Backdoors!BB44,IF(VLOOKUP(tbMoveset!A74,tbMoveset!A2:I112,9,FALSE)="Water",Backdoors!BC44,IF(VLOOKUP(tbMoveset!A74,tbMoveset!A2:I112,9,FALSE)="Thunder",Backdoors!BD44,IF(VLOOKUP(tbMoveset!A74,tbMoveset!A2:I112,9,FALSE)="Ice",Backdoors!BE44,IF(VLOOKUP(tbMoveset!A74,tbMoveset!A2:I112,9,FALSE)="Dragon",Backdoors!BF44,Backdoors!BG44)))))/100,Backdoors!BG44/100),"")</f>
        <v>0</v>
      </c>
      <c r="KE74" s="49">
        <f>IFERROR(IF(VLOOKUP(A74,tbMoveset!A2:J112,10,FALSE)=TRUE,IF((Backdoors!AI12+IF(KC74&gt;=0.45,VLOOKUP(Calculator!E23,tbSkills!DH3:DI6,2,FALSE)+IF(AND(Calculator!B8=TRUE,Backdoors!BI44=TRUE),VLOOKUP(Calculator!E23,tbSkills!DH3:DJ6,3,FALSE),0),0))&gt;=0,1+(Backdoors!AL2*(IF((Backdoors!AI12+IF(KC74&gt;=0.45,VLOOKUP(Calculator!E23,tbSkills!DH3:DI6,2,FALSE)+IF(AND(Calculator!B8=TRUE,Backdoors!BI44=TRUE),VLOOKUP(Calculator!E23,tbSkills!DH3:DJ6,3,FALSE),0),0))&gt;=100,100,(Backdoors!AI12+IF(KC74&gt;=0.45,VLOOKUP(Calculator!E23,tbSkills!DH3:DI6,2,FALSE)+IF(AND(Calculator!B8=TRUE,Backdoors!BI44=TRUE),VLOOKUP(Calculator!E23,tbSkills!DH3:DJ6,3,FALSE),0),0)))/100)),(1-(0.25*((-Backdoors!AI12-IF(KC74&gt;=0.45,VLOOKUP(Calculator!E23,tbSkills!DH3:DI6,2,FALSE)+IF(AND(Calculator!B8=TRUE,Backdoors!BI44=TRUE),VLOOKUP(Calculator!E23,tbSkills!DH3:DJ6,3,FALSE),0),0))/100)))),1),"")</f>
        <v>1</v>
      </c>
      <c r="KF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KC74)*KE74)*(VLOOKUP(A74,tbMoveset!A2:C112,3,FALSE)/100)*IF(VLOOKUP(A74,tbMoveset!A2:B112,2,FALSE)="Projectile",Backdoors!N10,Backdoors!N9),0),"")</f>
        <v/>
      </c>
      <c r="KG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REF!&gt;0,VLOOKUP(Calculator!#REF!,tbSkills!AC3:AD5,2,FALSE),Backdoors!AL3)*(IF((Backdoors!AI12+IF(KC74&gt;=0.45,VLOOKUP(Calculator!E23,tbSkills!DH3:DI6,2,FALSE)+IF(AND(Calculator!B8=TRUE,Backdoors!BI44=TRUE),VLOOKUP(Calculator!E23,tbSkills!DH3:DJ6,3,FALSE),0),0))&gt;=100,100,(Backdoors!AI12+IF(KC74&gt;=0.45,VLOOKUP(Calculator!E23,tbSkills!DH3:DI6,2,FALSE)+IF(AND(Calculator!B8=TRUE,Backdoors!BI44=TRUE),VLOOKUP(Calculator!E23,tbSkills!DH3:DJ6,3,FALSE),0),0)))/100)),1))*IF(VLOOKUP(A74,tbMoveset!A2:K112,11,FALSE)=TRUE,Backdoors!AC5,1))*KD74,0),"")</f>
        <v/>
      </c>
      <c r="KH74" s="49">
        <f>VLOOKUP(A74,tbMoveset!A2:G112,7,FALSE)*IFERROR(IF(Backdoors!AI12&gt;=0,1+(IF(Calculator!E40&gt;0,VLOOKUP(Calculator!E40,tbSkills!AI3:AJ5,2,FALSE),Backdoors!AL4)*(IF((Backdoors!AI12+IF(KC74&gt;=0.45,VLOOKUP(Calculator!E23,tbSkills!DH3:DI6,2,FALSE)+IF(AND(Calculator!B8=TRUE,Backdoors!BI44=TRUE),VLOOKUP(Calculator!E23,tbSkills!DH3:DJ6,3,FALSE),0),0))&gt;=100,100,(Backdoors!AI12+IF(KC74&gt;=0.45,VLOOKUP(Calculator!E23,tbSkills!DH3:DI6,2,FALSE)+IF(AND(Calculator!B8=TRUE,Backdoors!BI44=TRUE),VLOOKUP(Calculator!E23,tbSkills!DH3:DJ6,3,FALSE),0),0)))/100)),1),1)</f>
        <v>0.6</v>
      </c>
      <c r="KI74" s="87">
        <f t="shared" si="92"/>
        <v>0</v>
      </c>
      <c r="KJ74" s="86" t="str">
        <f>IFERROR(IF(VLOOKUP(A74,tbMoveset!A2:B112,2,FALSE)="Sever",Backdoors!AY45/100,IF(VLOOKUP(A74,tbMoveset!A2:B112,2,FALSE)="Blunt",Backdoors!AZ45/100,Backdoors!BA45/100)),"")</f>
        <v/>
      </c>
      <c r="KK74" s="49">
        <f>IFERROR(IF(VLOOKUP(tbMoveset!A74,tbMoveset!A2:H112,8,FALSE)="Other",IF(VLOOKUP(tbMoveset!A74,tbMoveset!A2:I112,9,FALSE)="Fire",Backdoors!BB45,IF(VLOOKUP(tbMoveset!A74,tbMoveset!A2:I112,9,FALSE)="Water",Backdoors!BC45,IF(VLOOKUP(tbMoveset!A74,tbMoveset!A2:I112,9,FALSE)="Thunder",Backdoors!BD45,IF(VLOOKUP(tbMoveset!A74,tbMoveset!A2:I112,9,FALSE)="Ice",Backdoors!BE45,IF(VLOOKUP(tbMoveset!A74,tbMoveset!A2:I112,9,FALSE)="Dragon",Backdoors!BF45,Backdoors!BG45)))))/100,Backdoors!BG45/100),"")</f>
        <v>0</v>
      </c>
      <c r="KL74" s="49">
        <f>IFERROR(IF(VLOOKUP(A74,tbMoveset!A2:J112,10,FALSE)=TRUE,IF((Backdoors!AI12+IF(KJ74&gt;=0.45,VLOOKUP(Calculator!E23,tbSkills!DH3:DI6,2,FALSE)+IF(AND(Calculator!B8=TRUE,Backdoors!BI45=TRUE),VLOOKUP(Calculator!E23,tbSkills!DH3:DJ6,3,FALSE),0),0))&gt;=0,1+(Backdoors!AL2*(IF((Backdoors!AI12+IF(KJ74&gt;=0.45,VLOOKUP(Calculator!E23,tbSkills!DH3:DI6,2,FALSE)+IF(AND(Calculator!B8=TRUE,Backdoors!BI45=TRUE),VLOOKUP(Calculator!E23,tbSkills!DH3:DJ6,3,FALSE),0),0))&gt;=100,100,(Backdoors!AI12+IF(KJ74&gt;=0.45,VLOOKUP(Calculator!E23,tbSkills!DH3:DI6,2,FALSE)+IF(AND(Calculator!B8=TRUE,Backdoors!BI45=TRUE),VLOOKUP(Calculator!E23,tbSkills!DH3:DJ6,3,FALSE),0),0)))/100)),(1-(0.25*((-Backdoors!AI12-IF(KJ74&gt;=0.45,VLOOKUP(Calculator!E23,tbSkills!DH3:DI6,2,FALSE)+IF(AND(Calculator!B8=TRUE,Backdoors!BI45=TRUE),VLOOKUP(Calculator!E23,tbSkills!DH3:DJ6,3,FALSE),0),0))/100)))),1),"")</f>
        <v>1</v>
      </c>
      <c r="KM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KJ74)*KL74)*(VLOOKUP(A74,tbMoveset!A2:C112,3,FALSE)/100)*IF(VLOOKUP(A74,tbMoveset!A2:B112,2,FALSE)="Projectile",Backdoors!N10,Backdoors!N9),0),"")</f>
        <v/>
      </c>
      <c r="KN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REF!&gt;0,VLOOKUP(Calculator!#REF!,tbSkills!AC3:AD5,2,FALSE),Backdoors!AL3)*(IF((Backdoors!AI12+IF(KJ74&gt;=0.45,VLOOKUP(Calculator!E23,tbSkills!DH3:DI6,2,FALSE)+IF(AND(Calculator!B8=TRUE,Backdoors!BI45=TRUE),VLOOKUP(Calculator!E23,tbSkills!DH3:DJ6,3,FALSE),0),0))&gt;=100,100,(Backdoors!AI12+IF(KJ74&gt;=0.45,VLOOKUP(Calculator!E23,tbSkills!DH3:DI6,2,FALSE)+IF(AND(Calculator!B8=TRUE,Backdoors!BI45=TRUE),VLOOKUP(Calculator!E23,tbSkills!DH3:DJ6,3,FALSE),0),0)))/100)),1))*IF(VLOOKUP(A74,tbMoveset!A2:K112,11,FALSE)=TRUE,Backdoors!AC5,1))*KK74,0),"")</f>
        <v/>
      </c>
      <c r="KO74" s="49">
        <f>VLOOKUP(A74,tbMoveset!A2:G112,7,FALSE)*IFERROR(IF(Backdoors!AI12&gt;=0,1+(IF(Calculator!E40&gt;0,VLOOKUP(Calculator!E40,tbSkills!AI3:AJ5,2,FALSE),Backdoors!AL4)*(IF((Backdoors!AI12+IF(KJ74&gt;=0.45,VLOOKUP(Calculator!E23,tbSkills!DH3:DI6,2,FALSE)+IF(AND(Calculator!B8=TRUE,Backdoors!BI45=TRUE),VLOOKUP(Calculator!E23,tbSkills!DH3:DJ6,3,FALSE),0),0))&gt;=100,100,(Backdoors!AI12+IF(KJ74&gt;=0.45,VLOOKUP(Calculator!E23,tbSkills!DH3:DI6,2,FALSE)+IF(AND(Calculator!B8=TRUE,Backdoors!BI45=TRUE),VLOOKUP(Calculator!E23,tbSkills!DH3:DJ6,3,FALSE),0),0)))/100)),1),1)</f>
        <v>0.6</v>
      </c>
      <c r="KP74" s="87">
        <f t="shared" si="93"/>
        <v>0</v>
      </c>
      <c r="KQ74" s="86" t="str">
        <f>IFERROR(IF(VLOOKUP(A74,tbMoveset!A2:B112,2,FALSE)="Sever",Backdoors!AY46/100,IF(VLOOKUP(A74,tbMoveset!A2:B112,2,FALSE)="Blunt",Backdoors!AZ46/100,Backdoors!BA46/100)),"")</f>
        <v/>
      </c>
      <c r="KR74" s="49">
        <f>IFERROR(IF(VLOOKUP(tbMoveset!A74,tbMoveset!A2:H112,8,FALSE)="Other",IF(VLOOKUP(tbMoveset!A74,tbMoveset!A2:I112,9,FALSE)="Fire",Backdoors!BB46,IF(VLOOKUP(tbMoveset!A74,tbMoveset!A2:I112,9,FALSE)="Water",Backdoors!BC46,IF(VLOOKUP(tbMoveset!A74,tbMoveset!A2:I112,9,FALSE)="Thunder",Backdoors!BD46,IF(VLOOKUP(tbMoveset!A74,tbMoveset!A2:I112,9,FALSE)="Ice",Backdoors!BE46,IF(VLOOKUP(tbMoveset!A74,tbMoveset!A2:I112,9,FALSE)="Dragon",Backdoors!BF46,Backdoors!BG46)))))/100,Backdoors!BG46/100),"")</f>
        <v>0</v>
      </c>
      <c r="KS74" s="49">
        <f>IFERROR(IF(VLOOKUP(A74,tbMoveset!A2:J112,10,FALSE)=TRUE,IF((Backdoors!AI12+IF(KQ74&gt;=0.45,VLOOKUP(Calculator!E23,tbSkills!DH3:DI6,2,FALSE)+IF(AND(Calculator!B8=TRUE,Backdoors!BI46=TRUE),VLOOKUP(Calculator!E23,tbSkills!DH3:DJ6,3,FALSE),0),0))&gt;=0,1+(Backdoors!AL2*(IF((Backdoors!AI12+IF(KQ74&gt;=0.45,VLOOKUP(Calculator!E23,tbSkills!DH3:DI6,2,FALSE)+IF(AND(Calculator!B8=TRUE,Backdoors!BI46=TRUE),VLOOKUP(Calculator!E23,tbSkills!DH3:DJ6,3,FALSE),0),0))&gt;=100,100,(Backdoors!AI12+IF(KQ74&gt;=0.45,VLOOKUP(Calculator!E23,tbSkills!DH3:DI6,2,FALSE)+IF(AND(Calculator!B8=TRUE,Backdoors!BI46=TRUE),VLOOKUP(Calculator!E23,tbSkills!DH3:DJ6,3,FALSE),0),0)))/100)),(1-(0.25*((-Backdoors!AI12-IF(KQ74&gt;=0.45,VLOOKUP(Calculator!E23,tbSkills!DH3:DI6,2,FALSE)+IF(AND(Calculator!B8=TRUE,Backdoors!BI46=TRUE),VLOOKUP(Calculator!E23,tbSkills!DH3:DJ6,3,FALSE),0),0))/100)))),1),"")</f>
        <v>1</v>
      </c>
      <c r="KT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KQ74)*KS74)*(VLOOKUP(A74,tbMoveset!A2:C112,3,FALSE)/100)*IF(VLOOKUP(A74,tbMoveset!A2:B112,2,FALSE)="Projectile",Backdoors!N10,Backdoors!N9),0),"")</f>
        <v/>
      </c>
      <c r="KU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REF!&gt;0,VLOOKUP(Calculator!#REF!,tbSkills!AC3:AD5,2,FALSE),Backdoors!AL3)*(IF((Backdoors!AI12+IF(KQ74&gt;=0.45,VLOOKUP(Calculator!E23,tbSkills!DH3:DI6,2,FALSE)+IF(AND(Calculator!B8=TRUE,Backdoors!BI46=TRUE),VLOOKUP(Calculator!E23,tbSkills!DH3:DJ6,3,FALSE),0),0))&gt;=100,100,(Backdoors!AI12+IF(KQ74&gt;=0.45,VLOOKUP(Calculator!E23,tbSkills!DH3:DI6,2,FALSE)+IF(AND(Calculator!B8=TRUE,Backdoors!BI46=TRUE),VLOOKUP(Calculator!E23,tbSkills!DH3:DJ6,3,FALSE),0),0)))/100)),1))*IF(VLOOKUP(A74,tbMoveset!A2:K112,11,FALSE)=TRUE,Backdoors!AC5,1))*KR74,0),"")</f>
        <v/>
      </c>
      <c r="KV74" s="49">
        <f>VLOOKUP(A74,tbMoveset!A2:G112,7,FALSE)*IFERROR(IF(Backdoors!AI12&gt;=0,1+(IF(Calculator!E40&gt;0,VLOOKUP(Calculator!E40,tbSkills!AI3:AJ5,2,FALSE),Backdoors!AL4)*(IF((Backdoors!AI12+IF(KQ74&gt;=0.45,VLOOKUP(Calculator!E23,tbSkills!DH3:DI6,2,FALSE)+IF(AND(Calculator!B8=TRUE,Backdoors!BI46=TRUE),VLOOKUP(Calculator!E23,tbSkills!DH3:DJ6,3,FALSE),0),0))&gt;=100,100,(Backdoors!AI12+IF(KQ74&gt;=0.45,VLOOKUP(Calculator!E23,tbSkills!DH3:DI6,2,FALSE)+IF(AND(Calculator!B8=TRUE,Backdoors!BI46=TRUE),VLOOKUP(Calculator!E23,tbSkills!DH3:DJ6,3,FALSE),0),0)))/100)),1),1)</f>
        <v>0.6</v>
      </c>
      <c r="KW74" s="87">
        <f t="shared" si="94"/>
        <v>0</v>
      </c>
    </row>
    <row r="75" spans="1:309" x14ac:dyDescent="0.25">
      <c r="A75" s="95" t="str">
        <f>tbMoveset!A75</f>
        <v>Sliding Slash (L2)</v>
      </c>
      <c r="B75" s="86">
        <f>IFERROR(IF(VLOOKUP(A75,tbMoveset!A2:B112,2,FALSE)="Sever",Backdoors!AY3/100,IF(VLOOKUP(A75,tbMoveset!A2:B112,2,FALSE)="Blunt",Backdoors!AZ3/100,Backdoors!BA3/100)),"")</f>
        <v>0.8</v>
      </c>
      <c r="C75" s="49">
        <f>IFERROR(IF(VLOOKUP(tbMoveset!A75,tbMoveset!A2:H112,8,FALSE)="Other",IF(VLOOKUP(tbMoveset!A75,tbMoveset!A2:I112,9,FALSE)="Fire",Backdoors!BB3,IF(VLOOKUP(tbMoveset!A75,tbMoveset!A2:I112,9,FALSE)="Water",Backdoors!BC3,IF(VLOOKUP(tbMoveset!A75,tbMoveset!A2:I112,9,FALSE)="Thunder",Backdoors!BD3,IF(VLOOKUP(tbMoveset!A75,tbMoveset!A2:I112,9,FALSE)="Ice",Backdoors!BE3,IF(VLOOKUP(tbMoveset!A75,tbMoveset!A2:I112,9,FALSE)="Dragon",Backdoors!BF3,Backdoors!BG3)))))/100,Backdoors!BG3/100),"")</f>
        <v>0</v>
      </c>
      <c r="D75" s="49">
        <f>IFERROR(IF(VLOOKUP(A75,tbMoveset!A2:J112,10,FALSE)=TRUE,IF((Backdoors!AI12+IF(B75&gt;=0.45,VLOOKUP(Calculator!E23,tbSkills!DH3:DI6,2,FALSE)+IF(AND(Calculator!B8=TRUE,Backdoors!BI3=TRUE),VLOOKUP(Calculator!E23,tbSkills!DH3:DJ6,3,FALSE),0),0))&gt;=0,1+(Backdoors!AL2*(IF((Backdoors!AI12+IF(B75&gt;=0.45,VLOOKUP(Calculator!E23,tbSkills!DH3:DI6,2,FALSE)+IF(AND(Calculator!B8=TRUE,Backdoors!BI3=TRUE),VLOOKUP(Calculator!E23,tbSkills!DH3:DJ6,3,FALSE),0),0))&gt;=100,100,(Backdoors!AI12+IF(B75&gt;=0.45,VLOOKUP(Calculator!E23,tbSkills!DH3:DI6,2,FALSE)+IF(AND(Calculator!B8=TRUE,Backdoors!BI3=TRUE),VLOOKUP(Calculator!E23,tbSkills!DH3:DJ6,3,FALSE),0),0)))/100)),(1-(0.25*((-Backdoors!AI12-IF(B75&gt;=0.45,VLOOKUP(Calculator!E23,tbSkills!DH3:DI6,2,FALSE)+IF(AND(Calculator!B8=TRUE,Backdoors!BI3=TRUE),VLOOKUP(Calculator!E23,tbSkills!DH3:DJ6,3,FALSE),0),0))/100)))),1),"")</f>
        <v>1</v>
      </c>
      <c r="E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75)*D75)*(VLOOKUP(A75,tbMoveset!A2:C112,3,FALSE)/100)*IF(VLOOKUP(A75,tbMoveset!A2:B112,2,FALSE)="Projectile",Backdoors!N10,Backdoors!N9),0),"")</f>
        <v>9</v>
      </c>
      <c r="F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75&gt;=0.45,VLOOKUP(Calculator!E23,tbSkills!DH3:DI6,2,FALSE)+IF(AND(Calculator!B8=TRUE,Backdoors!BI3=TRUE),VLOOKUP(Calculator!E23,tbSkills!DH3:DJ6,3,FALSE),0),0))&gt;=100,100,(Backdoors!AI12+IF(B75&gt;=0.45,VLOOKUP(Calculator!E23,tbSkills!DH3:DI6,2,FALSE)+IF(AND(Calculator!B8=TRUE,Backdoors!BI3=TRUE),VLOOKUP(Calculator!E23,tbSkills!DH3:DJ6,3,FALSE),0),0)))/100)),1))*IF(VLOOKUP(A75,tbMoveset!A2:K112,11,FALSE)=TRUE,Backdoors!AC5,1))*C75,0),"")</f>
        <v>0</v>
      </c>
      <c r="G75">
        <f>VLOOKUP(A75,tbMoveset!A2:G112,7,FALSE)*IFERROR(IF(Backdoors!AI12&gt;=0,1+(IF(Calculator!E40&gt;0,VLOOKUP(Calculator!E40,tbSkills!AI3:AJ5,2,FALSE),Backdoors!AL4)*(IF((Backdoors!AI12+IF(B75&gt;=0.45,VLOOKUP(Calculator!E23,tbSkills!DH3:DI6,2,FALSE)+IF(AND(Calculator!B8=TRUE,Backdoors!BI3=TRUE),VLOOKUP(Calculator!E23,tbSkills!DH3:DJ6,3,FALSE),0),0))&gt;=100,100,(Backdoors!AI12+IF(B75&gt;=0.45,VLOOKUP(Calculator!E23,tbSkills!DH3:DI6,2,FALSE)+IF(AND(Calculator!B8=TRUE,Backdoors!BI3=TRUE),VLOOKUP(Calculator!E23,tbSkills!DH3:DJ6,3,FALSE),0),0)))/100)),1),1)</f>
        <v>0.6</v>
      </c>
      <c r="H75" s="87">
        <f t="shared" si="51"/>
        <v>9</v>
      </c>
      <c r="I75" s="86">
        <f>IFERROR(IF(VLOOKUP(A75,tbMoveset!A2:B112,2,FALSE)="Sever",Backdoors!AY4/100,IF(VLOOKUP(A75,tbMoveset!A2:B112,2,FALSE)="Blunt",Backdoors!AZ4/100,Backdoors!BA4/100)),"")</f>
        <v>0.65</v>
      </c>
      <c r="J75" s="49">
        <f>IFERROR(IF(VLOOKUP(tbMoveset!A75,tbMoveset!A2:H112,8,FALSE)="Other",IF(VLOOKUP(tbMoveset!A75,tbMoveset!A2:I112,9,FALSE)="Fire",Backdoors!BB4,IF(VLOOKUP(tbMoveset!A75,tbMoveset!A2:I112,9,FALSE)="Water",Backdoors!BC4,IF(VLOOKUP(tbMoveset!A75,tbMoveset!A2:I112,9,FALSE)="Thunder",Backdoors!BD4,IF(VLOOKUP(tbMoveset!A75,tbMoveset!A2:I112,9,FALSE)="Ice",Backdoors!BE4,IF(VLOOKUP(tbMoveset!A75,tbMoveset!A2:I112,9,FALSE)="Dragon",Backdoors!BF4,Backdoors!BG4)))))/100,Backdoors!BG4/100),"")</f>
        <v>0</v>
      </c>
      <c r="K75" s="49">
        <f>IFERROR(IF(VLOOKUP(A75,tbMoveset!A2:J112,10,FALSE)=TRUE,IF((Backdoors!AI12+IF(I75&gt;=0.45,VLOOKUP(Calculator!E23,tbSkills!DH3:DI6,2,FALSE)+IF(AND(Calculator!B8=TRUE,Backdoors!BI4=TRUE),VLOOKUP(Calculator!E23,tbSkills!DH3:DJ6,3,FALSE),0),0))&gt;=0,1+(Backdoors!AL2*(IF((Backdoors!AI12+IF(I75&gt;=0.45,VLOOKUP(Calculator!E23,tbSkills!DH3:DI6,2,FALSE)+IF(AND(Calculator!B8=TRUE,Backdoors!BI4=TRUE),VLOOKUP(Calculator!E23,tbSkills!DH3:DJ6,3,FALSE),0),0))&gt;=100,100,(Backdoors!AI12+IF(I75&gt;=0.45,VLOOKUP(Calculator!E23,tbSkills!DH3:DI6,2,FALSE)+IF(AND(Calculator!B8=TRUE,Backdoors!BI4=TRUE),VLOOKUP(Calculator!E23,tbSkills!DH3:DJ6,3,FALSE),0),0)))/100)),(1-(0.25*((-Backdoors!AI12-IF(I75&gt;=0.45,VLOOKUP(Calculator!E23,tbSkills!DH3:DI6,2,FALSE)+IF(AND(Calculator!B8=TRUE,Backdoors!BI4=TRUE),VLOOKUP(Calculator!E23,tbSkills!DH3:DJ6,3,FALSE),0),0))/100)))),1),"")</f>
        <v>1</v>
      </c>
      <c r="L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75)*K75)*(VLOOKUP(A75,tbMoveset!A2:C112,3,FALSE)/100)*IF(VLOOKUP(A75,tbMoveset!A2:B112,2,FALSE)="Projectile",Backdoors!N10,Backdoors!N9),0),"")</f>
        <v>7</v>
      </c>
      <c r="M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I75&gt;=0.45,VLOOKUP(Calculator!E23,tbSkills!DH3:DI6,2,FALSE)+IF(AND(Calculator!B8=TRUE,Backdoors!BI4=TRUE),VLOOKUP(Calculator!E23,tbSkills!DH3:DJ6,3,FALSE),0),0))&gt;=100,100,(Backdoors!AI12+IF(I75&gt;=0.45,VLOOKUP(Calculator!E23,tbSkills!DH3:DI6,2,FALSE)+IF(AND(Calculator!B8=TRUE,Backdoors!BI4=TRUE),VLOOKUP(Calculator!E23,tbSkills!DH3:DJ6,3,FALSE),0),0)))/100)),1))*IF(VLOOKUP(A75,tbMoveset!A2:K112,11,FALSE)=TRUE,Backdoors!AC5,1))*J75,0),"")</f>
        <v>0</v>
      </c>
      <c r="N75" s="49">
        <f>VLOOKUP(A75,tbMoveset!A2:G112,7,FALSE)*IFERROR(IF(Backdoors!AI12&gt;=0,1+(IF(Calculator!E40&gt;0,VLOOKUP(Calculator!E40,tbSkills!AI3:AJ5,2,FALSE),Backdoors!AL4)*(IF((Backdoors!AI12+IF(I75&gt;=0.45,VLOOKUP(Calculator!E23,tbSkills!DH3:DI6,2,FALSE)+IF(AND(Calculator!B8=TRUE,Backdoors!BI4=TRUE),VLOOKUP(Calculator!E23,tbSkills!DH3:DJ6,3,FALSE),0),0))&gt;=100,100,(Backdoors!AI12+IF(I75&gt;=0.45,VLOOKUP(Calculator!E23,tbSkills!DH3:DI6,2,FALSE)+IF(AND(Calculator!B8=TRUE,Backdoors!BI4=TRUE),VLOOKUP(Calculator!E23,tbSkills!DH3:DJ6,3,FALSE),0),0)))/100)),1),1)</f>
        <v>0.6</v>
      </c>
      <c r="O75" s="87">
        <f t="shared" si="52"/>
        <v>7</v>
      </c>
      <c r="P75" s="86">
        <f>IFERROR(IF(VLOOKUP(A75,tbMoveset!A2:B112,2,FALSE)="Sever",Backdoors!AY5/100,IF(VLOOKUP(A75,tbMoveset!A2:B112,2,FALSE)="Blunt",Backdoors!AZ5/100,Backdoors!BA5/100)),"")</f>
        <v>0.5</v>
      </c>
      <c r="Q75" s="49">
        <f>IFERROR(IF(VLOOKUP(tbMoveset!A75,tbMoveset!A2:H112,8,FALSE)="Other",IF(VLOOKUP(tbMoveset!A75,tbMoveset!A2:I112,9,FALSE)="Fire",Backdoors!BB5,IF(VLOOKUP(tbMoveset!A75,tbMoveset!A2:I112,9,FALSE)="Water",Backdoors!BC5,IF(VLOOKUP(tbMoveset!A75,tbMoveset!A2:I112,9,FALSE)="Thunder",Backdoors!BD5,IF(VLOOKUP(tbMoveset!A75,tbMoveset!A2:I112,9,FALSE)="Ice",Backdoors!BE5,IF(VLOOKUP(tbMoveset!A75,tbMoveset!A2:I112,9,FALSE)="Dragon",Backdoors!BF5,Backdoors!BG5)))))/100,Backdoors!BG5/100),"")</f>
        <v>0</v>
      </c>
      <c r="R75" s="49">
        <f>IFERROR(IF(VLOOKUP(A75,tbMoveset!A2:J112,10,FALSE)=TRUE,IF((Backdoors!AI12+IF(P75&gt;=0.45,VLOOKUP(Calculator!E23,tbSkills!DH3:DI6,2,FALSE)+IF(AND(Calculator!B8=TRUE,Backdoors!BI5=TRUE),VLOOKUP(Calculator!E23,tbSkills!DH3:DJ6,3,FALSE),0),0))&gt;=0,1+(Backdoors!AL2*(IF((Backdoors!AI12+IF(P75&gt;=0.45,VLOOKUP(Calculator!E23,tbSkills!DH3:DI6,2,FALSE)+IF(AND(Calculator!B8=TRUE,Backdoors!BI5=TRUE),VLOOKUP(Calculator!E23,tbSkills!DH3:DJ6,3,FALSE),0),0))&gt;=100,100,(Backdoors!AI12+IF(P75&gt;=0.45,VLOOKUP(Calculator!E23,tbSkills!DH3:DI6,2,FALSE)+IF(AND(Calculator!B8=TRUE,Backdoors!BI5=TRUE),VLOOKUP(Calculator!E23,tbSkills!DH3:DJ6,3,FALSE),0),0)))/100)),(1-(0.25*((-Backdoors!AI12-IF(P75&gt;=0.45,VLOOKUP(Calculator!E23,tbSkills!DH3:DI6,2,FALSE)+IF(AND(Calculator!B8=TRUE,Backdoors!BI5=TRUE),VLOOKUP(Calculator!E23,tbSkills!DH3:DJ6,3,FALSE),0),0))/100)))),1),"")</f>
        <v>1</v>
      </c>
      <c r="S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P75)*R75)*(VLOOKUP(A75,tbMoveset!A2:C112,3,FALSE)/100)*IF(VLOOKUP(A75,tbMoveset!A2:B112,2,FALSE)="Projectile",Backdoors!N10,Backdoors!N9),0),"")</f>
        <v>5</v>
      </c>
      <c r="T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P75&gt;=0.45,VLOOKUP(Calculator!E23,tbSkills!DH3:DI6,2,FALSE)+IF(AND(Calculator!B8=TRUE,Backdoors!BI5=TRUE),VLOOKUP(Calculator!E23,tbSkills!DH3:DJ6,3,FALSE),0),0))&gt;=100,100,(Backdoors!AI12+IF(P75&gt;=0.45,VLOOKUP(Calculator!E23,tbSkills!DH3:DI6,2,FALSE)+IF(AND(Calculator!B8=TRUE,Backdoors!BI5=TRUE),VLOOKUP(Calculator!E23,tbSkills!DH3:DJ6,3,FALSE),0),0)))/100)),1))*IF(VLOOKUP(A75,tbMoveset!A2:K112,11,FALSE)=TRUE,Backdoors!AC5,1))*Q75,0),"")</f>
        <v>0</v>
      </c>
      <c r="U75" s="49">
        <f>VLOOKUP(A75,tbMoveset!A2:G112,7,FALSE)*IFERROR(IF(Backdoors!AI12&gt;=0,1+(IF(Calculator!E40&gt;0,VLOOKUP(Calculator!E40,tbSkills!AI3:AJ5,2,FALSE),Backdoors!AL4)*(IF((Backdoors!AI12+IF(P75&gt;=0.45,VLOOKUP(Calculator!E23,tbSkills!DH3:DI6,2,FALSE)+IF(AND(Calculator!B8=TRUE,Backdoors!BI5=TRUE),VLOOKUP(Calculator!E23,tbSkills!DH3:DJ6,3,FALSE),0),0))&gt;=100,100,(Backdoors!AI12+IF(P75&gt;=0.45,VLOOKUP(Calculator!E23,tbSkills!DH3:DI6,2,FALSE)+IF(AND(Calculator!B8=TRUE,Backdoors!BI5=TRUE),VLOOKUP(Calculator!E23,tbSkills!DH3:DJ6,3,FALSE),0),0)))/100)),1),1)</f>
        <v>0.6</v>
      </c>
      <c r="V75" s="87">
        <f t="shared" si="53"/>
        <v>5</v>
      </c>
      <c r="W75" s="86">
        <f>IFERROR(IF(VLOOKUP(A75,tbMoveset!A2:B112,2,FALSE)="Sever",Backdoors!AY6/100,IF(VLOOKUP(A75,tbMoveset!A2:B112,2,FALSE)="Blunt",Backdoors!AZ6/100,Backdoors!BA6/100)),"")</f>
        <v>0.45</v>
      </c>
      <c r="X75" s="49">
        <f>IFERROR(IF(VLOOKUP(tbMoveset!A75,tbMoveset!A2:H112,8,FALSE)="Other",IF(VLOOKUP(tbMoveset!A75,tbMoveset!A2:I112,9,FALSE)="Fire",Backdoors!BB6,IF(VLOOKUP(tbMoveset!A75,tbMoveset!A2:I112,9,FALSE)="Water",Backdoors!BC6,IF(VLOOKUP(tbMoveset!A75,tbMoveset!A2:I112,9,FALSE)="Thunder",Backdoors!BD6,IF(VLOOKUP(tbMoveset!A75,tbMoveset!A2:I112,9,FALSE)="Ice",Backdoors!BE6,IF(VLOOKUP(tbMoveset!A75,tbMoveset!A2:I112,9,FALSE)="Dragon",Backdoors!BF6,Backdoors!BG6)))))/100,Backdoors!BG6/100),"")</f>
        <v>0</v>
      </c>
      <c r="Y75" s="49">
        <f>IFERROR(IF(VLOOKUP(A75,tbMoveset!A2:J112,10,FALSE)=TRUE,IF((Backdoors!AI12+IF(W75&gt;=0.45,VLOOKUP(Calculator!E23,tbSkills!DH3:DI6,2,FALSE)+IF(AND(Calculator!B8=TRUE,Backdoors!BI6=TRUE),VLOOKUP(Calculator!E23,tbSkills!DH3:DJ6,3,FALSE),0),0))&gt;=0,1+(Backdoors!AL2*(IF((Backdoors!AI12+IF(W75&gt;=0.45,VLOOKUP(Calculator!E23,tbSkills!DH3:DI6,2,FALSE)+IF(AND(Calculator!B8=TRUE,Backdoors!BI6=TRUE),VLOOKUP(Calculator!E23,tbSkills!DH3:DJ6,3,FALSE),0),0))&gt;=100,100,(Backdoors!AI12+IF(W75&gt;=0.45,VLOOKUP(Calculator!E23,tbSkills!DH3:DI6,2,FALSE)+IF(AND(Calculator!B8=TRUE,Backdoors!BI6=TRUE),VLOOKUP(Calculator!E23,tbSkills!DH3:DJ6,3,FALSE),0),0)))/100)),(1-(0.25*((-Backdoors!AI12-IF(W75&gt;=0.45,VLOOKUP(Calculator!E23,tbSkills!DH3:DI6,2,FALSE)+IF(AND(Calculator!B8=TRUE,Backdoors!BI6=TRUE),VLOOKUP(Calculator!E23,tbSkills!DH3:DJ6,3,FALSE),0),0))/100)))),1),"")</f>
        <v>1</v>
      </c>
      <c r="Z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W75)*Y75)*(VLOOKUP(A75,tbMoveset!A2:C112,3,FALSE)/100)*IF(VLOOKUP(A75,tbMoveset!A2:B112,2,FALSE)="Projectile",Backdoors!N10,Backdoors!N9),0),"")</f>
        <v>5</v>
      </c>
      <c r="AA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W75&gt;=0.45,VLOOKUP(Calculator!E23,tbSkills!DH3:DI6,2,FALSE)+IF(AND(Calculator!B8=TRUE,Backdoors!BI6=TRUE),VLOOKUP(Calculator!E23,tbSkills!DH3:DJ6,3,FALSE),0),0))&gt;=100,100,(Backdoors!AI12+IF(W75&gt;=0.45,VLOOKUP(Calculator!E23,tbSkills!DH3:DI6,2,FALSE)+IF(AND(Calculator!B8=TRUE,Backdoors!BI6=TRUE),VLOOKUP(Calculator!E23,tbSkills!DH3:DJ6,3,FALSE),0),0)))/100)),1))*IF(VLOOKUP(A75,tbMoveset!A2:K112,11,FALSE)=TRUE,Backdoors!AC5,1))*X75,0),"")</f>
        <v>0</v>
      </c>
      <c r="AB75" s="49">
        <f>VLOOKUP(A75,tbMoveset!A2:G112,7,FALSE)*IFERROR(IF(Backdoors!AI12&gt;=0,1+(IF(Calculator!E40&gt;0,VLOOKUP(Calculator!E40,tbSkills!AI3:AJ5,2,FALSE),Backdoors!AL4)*(IF((Backdoors!AI12+IF(W75&gt;=0.45,VLOOKUP(Calculator!E23,tbSkills!DH3:DI6,2,FALSE)+IF(AND(Calculator!B8=TRUE,Backdoors!BI6=TRUE),VLOOKUP(Calculator!E23,tbSkills!DH3:DJ6,3,FALSE),0),0))&gt;=100,100,(Backdoors!AI12+IF(W75&gt;=0.45,VLOOKUP(Calculator!E23,tbSkills!DH3:DI6,2,FALSE)+IF(AND(Calculator!B8=TRUE,Backdoors!BI6=TRUE),VLOOKUP(Calculator!E23,tbSkills!DH3:DJ6,3,FALSE),0),0)))/100)),1),1)</f>
        <v>0.6</v>
      </c>
      <c r="AC75" s="87">
        <f t="shared" si="54"/>
        <v>5</v>
      </c>
      <c r="AD75" s="86">
        <f>IFERROR(IF(VLOOKUP(A75,tbMoveset!A2:B112,2,FALSE)="Sever",Backdoors!AY7/100,IF(VLOOKUP(A75,tbMoveset!A2:B112,2,FALSE)="Blunt",Backdoors!AZ7/100,Backdoors!BA7/100)),"")</f>
        <v>0.65</v>
      </c>
      <c r="AE75" s="49">
        <f>IFERROR(IF(VLOOKUP(tbMoveset!A75,tbMoveset!A2:H112,8,FALSE)="Other",IF(VLOOKUP(tbMoveset!A75,tbMoveset!A2:I112,9,FALSE)="Fire",Backdoors!BB7,IF(VLOOKUP(tbMoveset!A75,tbMoveset!A2:I112,9,FALSE)="Water",Backdoors!BC7,IF(VLOOKUP(tbMoveset!A75,tbMoveset!A2:I112,9,FALSE)="Thunder",Backdoors!BD7,IF(VLOOKUP(tbMoveset!A75,tbMoveset!A2:I112,9,FALSE)="Ice",Backdoors!BE7,IF(VLOOKUP(tbMoveset!A75,tbMoveset!A2:I112,9,FALSE)="Dragon",Backdoors!BF7,Backdoors!BG7)))))/100,Backdoors!BG7/100),"")</f>
        <v>0</v>
      </c>
      <c r="AF75" s="49">
        <f>IFERROR(IF(VLOOKUP(A75,tbMoveset!A2:J112,10,FALSE)=TRUE,IF((Backdoors!AI12+IF(AD75&gt;=0.45,VLOOKUP(Calculator!E23,tbSkills!DH3:DI6,2,FALSE)+IF(AND(Calculator!B8=TRUE,Backdoors!BI7=TRUE),VLOOKUP(Calculator!E23,tbSkills!DH3:DJ6,3,FALSE),0),0))&gt;=0,1+(Backdoors!AL2*(IF((Backdoors!AI12+IF(AD75&gt;=0.45,VLOOKUP(Calculator!E23,tbSkills!DH3:DI6,2,FALSE)+IF(AND(Calculator!B8=TRUE,Backdoors!BI7=TRUE),VLOOKUP(Calculator!E23,tbSkills!DH3:DJ6,3,FALSE),0),0))&gt;=100,100,(Backdoors!AI12+IF(AD75&gt;=0.45,VLOOKUP(Calculator!E23,tbSkills!DH3:DI6,2,FALSE)+IF(AND(Calculator!B8=TRUE,Backdoors!BI7=TRUE),VLOOKUP(Calculator!E23,tbSkills!DH3:DJ6,3,FALSE),0),0)))/100)),(1-(0.25*((-Backdoors!AI12-IF(AD75&gt;=0.45,VLOOKUP(Calculator!E23,tbSkills!DH3:DI6,2,FALSE)+IF(AND(Calculator!B8=TRUE,Backdoors!BI7=TRUE),VLOOKUP(Calculator!E23,tbSkills!DH3:DJ6,3,FALSE),0),0))/100)))),1),"")</f>
        <v>1</v>
      </c>
      <c r="AG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D75)*AF75)*(VLOOKUP(A75,tbMoveset!A2:C112,3,FALSE)/100)*IF(VLOOKUP(A75,tbMoveset!A2:B112,2,FALSE)="Projectile",Backdoors!N10,Backdoors!N9),0),"")</f>
        <v>7</v>
      </c>
      <c r="AH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D75&gt;=0.45,VLOOKUP(Calculator!E23,tbSkills!DH3:DI6,2,FALSE)+IF(AND(Calculator!B8=TRUE,Backdoors!BI7=TRUE),VLOOKUP(Calculator!E23,tbSkills!DH3:DJ6,3,FALSE),0),0))&gt;=100,100,(Backdoors!AI12+IF(AD75&gt;=0.45,VLOOKUP(Calculator!E23,tbSkills!DH3:DI6,2,FALSE)+IF(AND(Calculator!B8=TRUE,Backdoors!BI7=TRUE),VLOOKUP(Calculator!E23,tbSkills!DH3:DJ6,3,FALSE),0),0)))/100)),1))*IF(VLOOKUP(A75,tbMoveset!A2:K112,11,FALSE)=TRUE,Backdoors!AC5,1))*AE75,0),"")</f>
        <v>0</v>
      </c>
      <c r="AI75" s="49">
        <f>VLOOKUP(A75,tbMoveset!A2:G112,7,FALSE)*IFERROR(IF(Backdoors!AI12&gt;=0,1+(IF(Calculator!E40&gt;0,VLOOKUP(Calculator!E40,tbSkills!AI3:AJ5,2,FALSE),Backdoors!AL4)*(IF((Backdoors!AI12+IF(AD75&gt;=0.45,VLOOKUP(Calculator!E23,tbSkills!DH3:DI6,2,FALSE)+IF(AND(Calculator!B8=TRUE,Backdoors!BI7=TRUE),VLOOKUP(Calculator!E23,tbSkills!DH3:DJ6,3,FALSE),0),0))&gt;=100,100,(Backdoors!AI12+IF(AD75&gt;=0.45,VLOOKUP(Calculator!E23,tbSkills!DH3:DI6,2,FALSE)+IF(AND(Calculator!B8=TRUE,Backdoors!BI7=TRUE),VLOOKUP(Calculator!E23,tbSkills!DH3:DJ6,3,FALSE),0),0)))/100)),1),1)</f>
        <v>0.6</v>
      </c>
      <c r="AJ75" s="87">
        <f t="shared" si="55"/>
        <v>7</v>
      </c>
      <c r="AK75" s="91">
        <f>IFERROR(IF(VLOOKUP(A75,tbMoveset!A2:B112,2,FALSE)="Sever",Backdoors!AY8/100,IF(VLOOKUP(A75,tbMoveset!A2:B112,2,FALSE)="Blunt",Backdoors!AZ8/100,Backdoors!BA8/100)),"")</f>
        <v>0.45</v>
      </c>
      <c r="AL75" s="49">
        <f>IFERROR(IF(VLOOKUP(tbMoveset!A75,tbMoveset!A2:H112,8,FALSE)="Other",IF(VLOOKUP(tbMoveset!A75,tbMoveset!A2:I112,9,FALSE)="Fire",Backdoors!BB8,IF(VLOOKUP(tbMoveset!A75,tbMoveset!A2:I112,9,FALSE)="Water",Backdoors!BC8,IF(VLOOKUP(tbMoveset!A75,tbMoveset!A2:I112,9,FALSE)="Thunder",Backdoors!BD8,IF(VLOOKUP(tbMoveset!A75,tbMoveset!A2:I112,9,FALSE)="Ice",Backdoors!BE8,IF(VLOOKUP(tbMoveset!A75,tbMoveset!A2:I112,9,FALSE)="Dragon",Backdoors!BF8,Backdoors!BG8)))))/100,Backdoors!BG8/100),"")</f>
        <v>0</v>
      </c>
      <c r="AM75" s="49">
        <f>IFERROR(IF(VLOOKUP(A75,tbMoveset!A2:J112,10,FALSE)=TRUE,IF((Backdoors!AI12+IF(AK75&gt;=0.45,VLOOKUP(Calculator!E23,tbSkills!DH3:DI6,2,FALSE)+IF(AND(Calculator!B8=TRUE,Backdoors!BI8=TRUE),VLOOKUP(Calculator!E23,tbSkills!DH3:DJ6,3,FALSE),0),0))&gt;=0,1+(Backdoors!AL2*(IF((Backdoors!AI12+IF(AK75&gt;=0.45,VLOOKUP(Calculator!E23,tbSkills!DH3:DI6,2,FALSE)+IF(AND(Calculator!B8=TRUE,Backdoors!BI8=TRUE),VLOOKUP(Calculator!E23,tbSkills!DH3:DJ6,3,FALSE),0),0))&gt;=100,100,(Backdoors!AI12+IF(AK75&gt;=0.45,VLOOKUP(Calculator!E23,tbSkills!DH3:DI6,2,FALSE)+IF(AND(Calculator!B8=TRUE,Backdoors!BI8=TRUE),VLOOKUP(Calculator!E23,tbSkills!DH3:DJ6,3,FALSE),0),0)))/100)),(1-(0.25*((-Backdoors!AI12-IF(AK75&gt;=0.45,VLOOKUP(Calculator!E23,tbSkills!DH3:DI6,2,FALSE)+IF(AND(Calculator!B8=TRUE,Backdoors!BI8=TRUE),VLOOKUP(Calculator!E23,tbSkills!DH3:DJ6,3,FALSE),0),0))/100)))),1),"")</f>
        <v>1</v>
      </c>
      <c r="AN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K75)*AM75)*(VLOOKUP(A75,tbMoveset!A2:C112,3,FALSE)/100)*IF(VLOOKUP(A75,tbMoveset!A2:B112,2,FALSE)="Projectile",Backdoors!N10,Backdoors!N9),0),"")</f>
        <v>5</v>
      </c>
      <c r="AO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K75&gt;=0.45,VLOOKUP(Calculator!E23,tbSkills!DH3:DI6,2,FALSE)+IF(AND(Calculator!B8=TRUE,Backdoors!BI8=TRUE),VLOOKUP(Calculator!E23,tbSkills!DH3:DJ6,3,FALSE),0),0))&gt;=100,100,(Backdoors!AI12+IF(AK75&gt;=0.45,VLOOKUP(Calculator!E23,tbSkills!DH3:DI6,2,FALSE)+IF(AND(Calculator!B8=TRUE,Backdoors!BI8=TRUE),VLOOKUP(Calculator!E23,tbSkills!DH3:DJ6,3,FALSE),0),0)))/100)),1))*IF(VLOOKUP(A75,tbMoveset!A2:K112,11,FALSE)=TRUE,Backdoors!AC5,1))*AL75,0),"")</f>
        <v>0</v>
      </c>
      <c r="AP75" s="49">
        <f>VLOOKUP(A75,tbMoveset!A2:G112,7,FALSE)*IFERROR(IF(Backdoors!AI12&gt;=0,1+(IF(Calculator!E40&gt;0,VLOOKUP(Calculator!E40,tbSkills!AI3:AJ5,2,FALSE),Backdoors!AL4)*(IF((Backdoors!AI12+IF(AK75&gt;=0.45,VLOOKUP(Calculator!E23,tbSkills!DH3:DI6,2,FALSE)+IF(AND(Calculator!B8=TRUE,Backdoors!BI8=TRUE),VLOOKUP(Calculator!E23,tbSkills!DH3:DJ6,3,FALSE),0),0))&gt;=100,100,(Backdoors!AI12+IF(AK75&gt;=0.45,VLOOKUP(Calculator!E23,tbSkills!DH3:DI6,2,FALSE)+IF(AND(Calculator!B8=TRUE,Backdoors!BI8=TRUE),VLOOKUP(Calculator!E23,tbSkills!DH3:DJ6,3,FALSE),0),0)))/100)),1),1)</f>
        <v>0.6</v>
      </c>
      <c r="AQ75" s="87">
        <f t="shared" si="56"/>
        <v>5</v>
      </c>
      <c r="AR75" s="86">
        <f>IFERROR(IF(VLOOKUP(A75,tbMoveset!A2:B112,2,FALSE)="Sever",Backdoors!AY9/100,IF(VLOOKUP(A75,tbMoveset!A2:B112,2,FALSE)="Blunt",Backdoors!AZ9/100,Backdoors!BA9/100)),"")</f>
        <v>0.45</v>
      </c>
      <c r="AS75" s="49">
        <f>IFERROR(IF(VLOOKUP(tbMoveset!A75,tbMoveset!A2:H112,8,FALSE)="Other",IF(VLOOKUP(tbMoveset!A75,tbMoveset!A2:I112,9,FALSE)="Fire",Backdoors!BB9,IF(VLOOKUP(tbMoveset!A75,tbMoveset!A2:I112,9,FALSE)="Water",Backdoors!BC9,IF(VLOOKUP(tbMoveset!A75,tbMoveset!A2:I112,9,FALSE)="Thunder",Backdoors!BD9,IF(VLOOKUP(tbMoveset!A75,tbMoveset!A2:I112,9,FALSE)="Ice",Backdoors!BE9,IF(VLOOKUP(tbMoveset!A75,tbMoveset!A2:I112,9,FALSE)="Dragon",Backdoors!BF9,Backdoors!BG9)))))/100,Backdoors!BG9/100),"")</f>
        <v>0</v>
      </c>
      <c r="AT75" s="49">
        <f>IFERROR(IF(VLOOKUP(A75,tbMoveset!A2:J112,10,FALSE)=TRUE,IF((Backdoors!AI12+IF(AR75&gt;=0.45,VLOOKUP(Calculator!E23,tbSkills!DH3:DI6,2,FALSE)+IF(AND(Calculator!B8=TRUE,Backdoors!BI9=TRUE),VLOOKUP(Calculator!E23,tbSkills!DH3:DJ6,3,FALSE),0),0))&gt;=0,1+(Backdoors!AL2*(IF((Backdoors!AI12+IF(AR75&gt;=0.45,VLOOKUP(Calculator!E23,tbSkills!DH3:DI6,2,FALSE)+IF(AND(Calculator!B8=TRUE,Backdoors!BI9=TRUE),VLOOKUP(Calculator!E23,tbSkills!DH3:DJ6,3,FALSE),0),0))&gt;=100,100,(Backdoors!AI12+IF(AR75&gt;=0.45,VLOOKUP(Calculator!E23,tbSkills!DH3:DI6,2,FALSE)+IF(AND(Calculator!B8=TRUE,Backdoors!BI9=TRUE),VLOOKUP(Calculator!E23,tbSkills!DH3:DJ6,3,FALSE),0),0)))/100)),(1-(0.25*((-Backdoors!AI12-IF(AR75&gt;=0.45,VLOOKUP(Calculator!E23,tbSkills!DH3:DI6,2,FALSE)+IF(AND(Calculator!B8=TRUE,Backdoors!BI9=TRUE),VLOOKUP(Calculator!E23,tbSkills!DH3:DJ6,3,FALSE),0),0))/100)))),1),"")</f>
        <v>1</v>
      </c>
      <c r="AU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R75)*AT75)*(VLOOKUP(A75,tbMoveset!A2:C112,3,FALSE)/100)*IF(VLOOKUP(A75,tbMoveset!A2:B112,2,FALSE)="Projectile",Backdoors!N10,Backdoors!N9),0),"")</f>
        <v>5</v>
      </c>
      <c r="AV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R75&gt;=0.45,VLOOKUP(Calculator!E23,tbSkills!DH3:DI6,2,FALSE)+IF(AND(Calculator!B8=TRUE,Backdoors!BI9=TRUE),VLOOKUP(Calculator!E23,tbSkills!DH3:DJ6,3,FALSE),0),0))&gt;=100,100,(Backdoors!AI12+IF(AR75&gt;=0.45,VLOOKUP(Calculator!E23,tbSkills!DH3:DI6,2,FALSE)+IF(AND(Calculator!B8=TRUE,Backdoors!BI9=TRUE),VLOOKUP(Calculator!E23,tbSkills!DH3:DJ6,3,FALSE),0),0)))/100)),1))*IF(VLOOKUP(A75,tbMoveset!A2:K112,11,FALSE)=TRUE,Backdoors!AC5,1))*AS75,0),"")</f>
        <v>0</v>
      </c>
      <c r="AW75" s="49">
        <f>VLOOKUP(A75,tbMoveset!A2:G112,7,FALSE)*IFERROR(IF(Backdoors!AI12&gt;=0,1+(IF(Calculator!E40&gt;0,VLOOKUP(Calculator!E40,tbSkills!AI3:AJ5,2,FALSE),Backdoors!AL4)*(IF((Backdoors!AI12+IF(AR75&gt;=0.45,VLOOKUP(Calculator!E23,tbSkills!DH3:DI6,2,FALSE)+IF(AND(Calculator!B8=TRUE,Backdoors!BI9=TRUE),VLOOKUP(Calculator!E23,tbSkills!DH3:DJ6,3,FALSE),0),0))&gt;=100,100,(Backdoors!AI12+IF(AR75&gt;=0.45,VLOOKUP(Calculator!E23,tbSkills!DH3:DI6,2,FALSE)+IF(AND(Calculator!B8=TRUE,Backdoors!BI9=TRUE),VLOOKUP(Calculator!E23,tbSkills!DH3:DJ6,3,FALSE),0),0)))/100)),1),1)</f>
        <v>0.6</v>
      </c>
      <c r="AX75" s="87">
        <f t="shared" si="57"/>
        <v>5</v>
      </c>
      <c r="AY75" s="86">
        <f>IFERROR(IF(VLOOKUP(A75,tbMoveset!A2:B112,2,FALSE)="Sever",Backdoors!AY10/100,IF(VLOOKUP(A75,tbMoveset!A2:B112,2,FALSE)="Blunt",Backdoors!AZ10/100,Backdoors!BA10/100)),"")</f>
        <v>0.9</v>
      </c>
      <c r="AZ75" s="49">
        <f>IFERROR(IF(VLOOKUP(tbMoveset!A75,tbMoveset!A2:H112,8,FALSE)="Other",IF(VLOOKUP(tbMoveset!A75,tbMoveset!A2:I112,9,FALSE)="Fire",Backdoors!BB10,IF(VLOOKUP(tbMoveset!A75,tbMoveset!A2:I112,9,FALSE)="Water",Backdoors!BC10,IF(VLOOKUP(tbMoveset!A75,tbMoveset!A2:I112,9,FALSE)="Thunder",Backdoors!BD10,IF(VLOOKUP(tbMoveset!A75,tbMoveset!A2:I112,9,FALSE)="Ice",Backdoors!BE10,IF(VLOOKUP(tbMoveset!A75,tbMoveset!A2:I112,9,FALSE)="Dragon",Backdoors!BF10,Backdoors!BG10)))))/100,Backdoors!BG10/100),"")</f>
        <v>0</v>
      </c>
      <c r="BA75" s="49">
        <f>IFERROR(IF(VLOOKUP(A75,tbMoveset!A2:J112,10,FALSE)=TRUE,IF((Backdoors!AI12+IF(AY75&gt;=0.45,VLOOKUP(Calculator!E23,tbSkills!DH3:DI6,2,FALSE)+IF(AND(Calculator!B8=TRUE,Backdoors!BI10=TRUE),VLOOKUP(Calculator!E23,tbSkills!DH3:DJ6,3,FALSE),0),0))&gt;=0,1+(Backdoors!AL2*(IF((Backdoors!AI12+IF(AY75&gt;=0.45,VLOOKUP(Calculator!E23,tbSkills!DH3:DI6,2,FALSE)+IF(AND(Calculator!B8=TRUE,Backdoors!BI10=TRUE),VLOOKUP(Calculator!E23,tbSkills!DH3:DJ6,3,FALSE),0),0))&gt;=100,100,(Backdoors!AI12+IF(AY75&gt;=0.45,VLOOKUP(Calculator!E23,tbSkills!DH3:DI6,2,FALSE)+IF(AND(Calculator!B8=TRUE,Backdoors!BI10=TRUE),VLOOKUP(Calculator!E23,tbSkills!DH3:DJ6,3,FALSE),0),0)))/100)),(1-(0.25*((-Backdoors!AI12-IF(AY75&gt;=0.45,VLOOKUP(Calculator!E23,tbSkills!DH3:DI6,2,FALSE)+IF(AND(Calculator!B8=TRUE,Backdoors!BI10=TRUE),VLOOKUP(Calculator!E23,tbSkills!DH3:DJ6,3,FALSE),0),0))/100)))),1),"")</f>
        <v>1</v>
      </c>
      <c r="BB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Y75)*BA75)*(VLOOKUP(A75,tbMoveset!A2:C112,3,FALSE)/100)*IF(VLOOKUP(A75,tbMoveset!A2:B112,2,FALSE)="Projectile",Backdoors!N10,Backdoors!N9),0),"")</f>
        <v>10</v>
      </c>
      <c r="BC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Y75&gt;=0.45,VLOOKUP(Calculator!E23,tbSkills!DH3:DI6,2,FALSE)+IF(AND(Calculator!B8=TRUE,Backdoors!BI10=TRUE),VLOOKUP(Calculator!E23,tbSkills!DH3:DJ6,3,FALSE),0),0))&gt;=100,100,(Backdoors!AI12+IF(AY75&gt;=0.45,VLOOKUP(Calculator!E23,tbSkills!DH3:DI6,2,FALSE)+IF(AND(Calculator!B8=TRUE,Backdoors!BI10=TRUE),VLOOKUP(Calculator!E23,tbSkills!DH3:DJ6,3,FALSE),0),0)))/100)),1))*IF(VLOOKUP(A75,tbMoveset!A2:K112,11,FALSE)=TRUE,Backdoors!AC5,1))*AZ75,0),"")</f>
        <v>0</v>
      </c>
      <c r="BD75" s="49">
        <f>VLOOKUP(A75,tbMoveset!A2:G112,7,FALSE)*IFERROR(IF(Backdoors!AI12&gt;=0,1+(IF(Calculator!E40&gt;0,VLOOKUP(Calculator!E40,tbSkills!AI3:AJ5,2,FALSE),Backdoors!AL4)*(IF((Backdoors!AI12+IF(AY75&gt;=0.45,VLOOKUP(Calculator!E23,tbSkills!DH3:DI6,2,FALSE)+IF(AND(Calculator!B8=TRUE,Backdoors!BI10=TRUE),VLOOKUP(Calculator!E23,tbSkills!DH3:DJ6,3,FALSE),0),0))&gt;=100,100,(Backdoors!AI12+IF(AY75&gt;=0.45,VLOOKUP(Calculator!E23,tbSkills!DH3:DI6,2,FALSE)+IF(AND(Calculator!B8=TRUE,Backdoors!BI10=TRUE),VLOOKUP(Calculator!E23,tbSkills!DH3:DJ6,3,FALSE),0),0)))/100)),1),1)</f>
        <v>0.6</v>
      </c>
      <c r="BE75" s="87">
        <f t="shared" si="58"/>
        <v>10</v>
      </c>
      <c r="BF75" s="86" t="str">
        <f>IFERROR(IF(VLOOKUP(A75,tbMoveset!A2:B112,2,FALSE)="Sever",Backdoors!AY11/100,IF(VLOOKUP(A75,tbMoveset!A2:B112,2,FALSE)="Blunt",Backdoors!AZ11/100,Backdoors!BA11/100)),"")</f>
        <v/>
      </c>
      <c r="BG75" s="49">
        <f>IFERROR(IF(VLOOKUP(tbMoveset!A75,tbMoveset!A2:H112,8,FALSE)="Other",IF(VLOOKUP(tbMoveset!A75,tbMoveset!A2:I112,9,FALSE)="Fire",Backdoors!BB11,IF(VLOOKUP(tbMoveset!A75,tbMoveset!A2:I112,9,FALSE)="Water",Backdoors!BC11,IF(VLOOKUP(tbMoveset!A75,tbMoveset!A2:I112,9,FALSE)="Thunder",Backdoors!BD11,IF(VLOOKUP(tbMoveset!A75,tbMoveset!A2:I112,9,FALSE)="Ice",Backdoors!BE11,IF(VLOOKUP(tbMoveset!A75,tbMoveset!A2:I112,9,FALSE)="Dragon",Backdoors!BF11,Backdoors!BG11)))))/100,Backdoors!BG11/100),"")</f>
        <v>0</v>
      </c>
      <c r="BH75" s="49">
        <f>IFERROR(IF(VLOOKUP(A75,tbMoveset!A2:J112,10,FALSE)=TRUE,IF((Backdoors!AI12+IF(BF75&gt;=0.45,VLOOKUP(Calculator!E23,tbSkills!DH3:DI6,2,FALSE)+IF(AND(Calculator!B8=TRUE,Backdoors!BI11=TRUE),VLOOKUP(Calculator!E23,tbSkills!DH3:DJ6,3,FALSE),0),0))&gt;=0,1+(Backdoors!AL2*(IF((Backdoors!AI12+IF(BF75&gt;=0.45,VLOOKUP(Calculator!E23,tbSkills!DH3:DI6,2,FALSE)+IF(AND(Calculator!B8=TRUE,Backdoors!BI11=TRUE),VLOOKUP(Calculator!E23,tbSkills!DH3:DJ6,3,FALSE),0),0))&gt;=100,100,(Backdoors!AI12+IF(BF75&gt;=0.45,VLOOKUP(Calculator!E23,tbSkills!DH3:DI6,2,FALSE)+IF(AND(Calculator!B8=TRUE,Backdoors!BI11=TRUE),VLOOKUP(Calculator!E23,tbSkills!DH3:DJ6,3,FALSE),0),0)))/100)),(1-(0.25*((-Backdoors!AI12-IF(BF75&gt;=0.45,VLOOKUP(Calculator!E23,tbSkills!DH3:DI6,2,FALSE)+IF(AND(Calculator!B8=TRUE,Backdoors!BI11=TRUE),VLOOKUP(Calculator!E23,tbSkills!DH3:DJ6,3,FALSE),0),0))/100)))),1),"")</f>
        <v>1</v>
      </c>
      <c r="BI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F75)*BH75)*(VLOOKUP(A75,tbMoveset!A2:C112,3,FALSE)/100)*IF(VLOOKUP(A75,tbMoveset!A2:B112,2,FALSE)="Projectile",Backdoors!N10,Backdoors!N9),0),"")</f>
        <v/>
      </c>
      <c r="BJ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F75&gt;=0.45,VLOOKUP(Calculator!E23,tbSkills!DH3:DI6,2,FALSE)+IF(AND(Calculator!B8=TRUE,Backdoors!BI11=TRUE),VLOOKUP(Calculator!E23,tbSkills!DH3:DJ6,3,FALSE),0),0))&gt;=100,100,(Backdoors!AI12+IF(BF75&gt;=0.45,VLOOKUP(Calculator!E23,tbSkills!DH3:DI6,2,FALSE)+IF(AND(Calculator!B8=TRUE,Backdoors!BI11=TRUE),VLOOKUP(Calculator!E23,tbSkills!DH3:DJ6,3,FALSE),0),0)))/100)),1))*IF(VLOOKUP(A75,tbMoveset!A2:K112,11,FALSE)=TRUE,Backdoors!AC5,1))*BG75,0),"")</f>
        <v>0</v>
      </c>
      <c r="BK75" s="49">
        <f>VLOOKUP(A75,tbMoveset!A2:G112,7,FALSE)*IFERROR(IF(Backdoors!AI12&gt;=0,1+(IF(Calculator!E40&gt;0,VLOOKUP(Calculator!E40,tbSkills!AI3:AJ5,2,FALSE),Backdoors!AL4)*(IF((Backdoors!AI12+IF(BF75&gt;=0.45,VLOOKUP(Calculator!E23,tbSkills!DH3:DI6,2,FALSE)+IF(AND(Calculator!B8=TRUE,Backdoors!BI11=TRUE),VLOOKUP(Calculator!E23,tbSkills!DH3:DJ6,3,FALSE),0),0))&gt;=100,100,(Backdoors!AI12+IF(BF75&gt;=0.45,VLOOKUP(Calculator!E23,tbSkills!DH3:DI6,2,FALSE)+IF(AND(Calculator!B8=TRUE,Backdoors!BI11=TRUE),VLOOKUP(Calculator!E23,tbSkills!DH3:DJ6,3,FALSE),0),0)))/100)),1),1)</f>
        <v>0.6</v>
      </c>
      <c r="BL75" s="87">
        <f t="shared" si="59"/>
        <v>0</v>
      </c>
      <c r="BM75" s="86" t="str">
        <f>IFERROR(IF(VLOOKUP(A75,tbMoveset!A2:B112,2,FALSE)="Sever",Backdoors!AY12/100,IF(VLOOKUP(A75,tbMoveset!A2:B112,2,FALSE)="Blunt",Backdoors!AZ12/100,Backdoors!BA12/100)),"")</f>
        <v/>
      </c>
      <c r="BN75" s="49">
        <f>IFERROR(IF(VLOOKUP(tbMoveset!A75,tbMoveset!A2:H112,8,FALSE)="Other",IF(VLOOKUP(tbMoveset!A75,tbMoveset!A2:I112,9,FALSE)="Fire",Backdoors!BB12,IF(VLOOKUP(tbMoveset!A75,tbMoveset!A2:I112,9,FALSE)="Water",Backdoors!BC12,IF(VLOOKUP(tbMoveset!A75,tbMoveset!A2:I112,9,FALSE)="Thunder",Backdoors!BD12,IF(VLOOKUP(tbMoveset!A75,tbMoveset!A2:I112,9,FALSE)="Ice",Backdoors!BE12,IF(VLOOKUP(tbMoveset!A75,tbMoveset!A2:I112,9,FALSE)="Dragon",Backdoors!BF12,Backdoors!BG12)))))/100,Backdoors!BG12/100),"")</f>
        <v>0</v>
      </c>
      <c r="BO75" s="49">
        <f>IFERROR(IF(VLOOKUP(A75,tbMoveset!A2:J112,10,FALSE)=TRUE,IF((Backdoors!AI12+IF(BM75&gt;=0.45,VLOOKUP(Calculator!E23,tbSkills!DH3:DI6,2,FALSE)+IF(AND(Calculator!B8=TRUE,Backdoors!BI12=TRUE),VLOOKUP(Calculator!E23,tbSkills!DH3:DJ6,3,FALSE),0),0))&gt;=0,1+(Backdoors!AL2*(IF((Backdoors!AI12+IF(BM75&gt;=0.45,VLOOKUP(Calculator!E23,tbSkills!DH3:DI6,2,FALSE)+IF(AND(Calculator!B8=TRUE,Backdoors!BI12=TRUE),VLOOKUP(Calculator!E23,tbSkills!DH3:DJ6,3,FALSE),0),0))&gt;=100,100,(Backdoors!AI12+IF(BM75&gt;=0.45,VLOOKUP(Calculator!E23,tbSkills!DH3:DI6,2,FALSE)+IF(AND(Calculator!B8=TRUE,Backdoors!BI12=TRUE),VLOOKUP(Calculator!E23,tbSkills!DH3:DJ6,3,FALSE),0),0)))/100)),(1-(0.25*((-Backdoors!AI12-IF(BM75&gt;=0.45,VLOOKUP(Calculator!E23,tbSkills!DH3:DI6,2,FALSE)+IF(AND(Calculator!B8=TRUE,Backdoors!BI12=TRUE),VLOOKUP(Calculator!E23,tbSkills!DH3:DJ6,3,FALSE),0),0))/100)))),1),"")</f>
        <v>1</v>
      </c>
      <c r="BP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M75)*BO75)*(VLOOKUP(A75,tbMoveset!A2:C112,3,FALSE)/100)*IF(VLOOKUP(A75,tbMoveset!A2:B112,2,FALSE)="Projectile",Backdoors!N10,Backdoors!N9),0),"")</f>
        <v/>
      </c>
      <c r="BQ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M75&gt;=0.45,VLOOKUP(Calculator!E23,tbSkills!DH3:DI6,2,FALSE)+IF(AND(Calculator!B8=TRUE,Backdoors!BI12=TRUE),VLOOKUP(Calculator!E23,tbSkills!DH3:DJ6,3,FALSE),0),0))&gt;=100,100,(Backdoors!AI12+IF(BM75&gt;=0.45,VLOOKUP(Calculator!E23,tbSkills!DH3:DI6,2,FALSE)+IF(AND(Calculator!B8=TRUE,Backdoors!BI12=TRUE),VLOOKUP(Calculator!E23,tbSkills!DH3:DJ6,3,FALSE),0),0)))/100)),1))*IF(VLOOKUP(A75,tbMoveset!A2:K112,11,FALSE)=TRUE,Backdoors!AC5,1))*BN75,0),"")</f>
        <v>0</v>
      </c>
      <c r="BR75" s="49">
        <f>VLOOKUP(A75,tbMoveset!A2:G112,7,FALSE)*IFERROR(IF(Backdoors!AI12&gt;=0,1+(IF(Calculator!E40&gt;0,VLOOKUP(Calculator!E40,tbSkills!AI3:AJ5,2,FALSE),Backdoors!AL4)*(IF((Backdoors!AI12+IF(BM75&gt;=0.45,VLOOKUP(Calculator!E23,tbSkills!DH3:DI6,2,FALSE)+IF(AND(Calculator!B8=TRUE,Backdoors!BI12=TRUE),VLOOKUP(Calculator!E23,tbSkills!DH3:DJ6,3,FALSE),0),0))&gt;=100,100,(Backdoors!AI12+IF(BM75&gt;=0.45,VLOOKUP(Calculator!E23,tbSkills!DH3:DI6,2,FALSE)+IF(AND(Calculator!B8=TRUE,Backdoors!BI12=TRUE),VLOOKUP(Calculator!E23,tbSkills!DH3:DJ6,3,FALSE),0),0)))/100)),1),1)</f>
        <v>0.6</v>
      </c>
      <c r="BS75" s="87">
        <f t="shared" si="60"/>
        <v>0</v>
      </c>
      <c r="BT75" s="86" t="str">
        <f>IFERROR(IF(VLOOKUP(A75,tbMoveset!A2:B112,2,FALSE)="Sever",Backdoors!AY13/100,IF(VLOOKUP(A75,tbMoveset!A2:B112,2,FALSE)="Blunt",Backdoors!AZ13/100,Backdoors!BA13/100)),"")</f>
        <v/>
      </c>
      <c r="BU75" s="49">
        <f>IFERROR(IF(VLOOKUP(tbMoveset!A75,tbMoveset!A2:H112,8,FALSE)="Other",IF(VLOOKUP(tbMoveset!A75,tbMoveset!A2:I112,9,FALSE)="Fire",Backdoors!BB13,IF(VLOOKUP(tbMoveset!A75,tbMoveset!A2:I112,9,FALSE)="Water",Backdoors!BC13,IF(VLOOKUP(tbMoveset!A75,tbMoveset!A2:I112,9,FALSE)="Thunder",Backdoors!BD13,IF(VLOOKUP(tbMoveset!A75,tbMoveset!A2:I112,9,FALSE)="Ice",Backdoors!BE13,IF(VLOOKUP(tbMoveset!A75,tbMoveset!A2:I112,9,FALSE)="Dragon",Backdoors!BF13,Backdoors!BG13)))))/100,Backdoors!BG13/100),"")</f>
        <v>0</v>
      </c>
      <c r="BV75" s="49">
        <f>IFERROR(IF(VLOOKUP(A75,tbMoveset!A2:J112,10,FALSE)=TRUE,IF((Backdoors!AI12+IF(BT75&gt;=0.45,VLOOKUP(Calculator!E23,tbSkills!DH3:DI6,2,FALSE)+IF(AND(Calculator!B8=TRUE,Backdoors!BI13=TRUE),VLOOKUP(Calculator!E23,tbSkills!DH3:DJ6,3,FALSE),0),0))&gt;=0,1+(Backdoors!AL2*(IF((Backdoors!AI12+IF(BT75&gt;=0.45,VLOOKUP(Calculator!E23,tbSkills!DH3:DI6,2,FALSE)+IF(AND(Calculator!B8=TRUE,Backdoors!BI13=TRUE),VLOOKUP(Calculator!E23,tbSkills!DH3:DJ6,3,FALSE),0),0))&gt;=100,100,(Backdoors!AI12+IF(BT75&gt;=0.45,VLOOKUP(Calculator!E23,tbSkills!DH3:DI6,2,FALSE)+IF(AND(Calculator!B8=TRUE,Backdoors!BI13=TRUE),VLOOKUP(Calculator!E23,tbSkills!DH3:DJ6,3,FALSE),0),0)))/100)),(1-(0.25*((-Backdoors!AI12-IF(BT75&gt;=0.45,VLOOKUP(Calculator!E23,tbSkills!DH3:DI6,2,FALSE)+IF(AND(Calculator!B8=TRUE,Backdoors!BI13=TRUE),VLOOKUP(Calculator!E23,tbSkills!DH3:DJ6,3,FALSE),0),0))/100)))),1),"")</f>
        <v>1</v>
      </c>
      <c r="BW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T75)*BV75)*(VLOOKUP(A75,tbMoveset!A2:C112,3,FALSE)/100)*IF(VLOOKUP(A75,tbMoveset!A2:B112,2,FALSE)="Projectile",Backdoors!N10,Backdoors!N9),0),"")</f>
        <v/>
      </c>
      <c r="BX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T75&gt;=0.45,VLOOKUP(Calculator!E23,tbSkills!DH3:DI6,2,FALSE)+IF(AND(Calculator!B8=TRUE,Backdoors!BI13=TRUE),VLOOKUP(Calculator!E23,tbSkills!DH3:DJ6,3,FALSE),0),0))&gt;=100,100,(Backdoors!AI12+IF(BT75&gt;=0.45,VLOOKUP(Calculator!E23,tbSkills!DH3:DI6,2,FALSE)+IF(AND(Calculator!B8=TRUE,Backdoors!BI13=TRUE),VLOOKUP(Calculator!E23,tbSkills!DH3:DJ6,3,FALSE),0),0)))/100)),1))*IF(VLOOKUP(A75,tbMoveset!A2:K112,11,FALSE)=TRUE,Backdoors!AC5,1))*BU75,0),"")</f>
        <v>0</v>
      </c>
      <c r="BY75" s="49">
        <f>VLOOKUP(A75,tbMoveset!A2:G112,7,FALSE)*IFERROR(IF(Backdoors!AI12&gt;=0,1+(IF(Calculator!E40&gt;0,VLOOKUP(Calculator!E40,tbSkills!AI3:AJ5,2,FALSE),Backdoors!AL4)*(IF((Backdoors!AI12+IF(BT75&gt;=0.45,VLOOKUP(Calculator!E23,tbSkills!DH3:DI6,2,FALSE)+IF(AND(Calculator!B8=TRUE,Backdoors!BI13=TRUE),VLOOKUP(Calculator!E23,tbSkills!DH3:DJ6,3,FALSE),0),0))&gt;=100,100,(Backdoors!AI12+IF(BT75&gt;=0.45,VLOOKUP(Calculator!E23,tbSkills!DH3:DI6,2,FALSE)+IF(AND(Calculator!B8=TRUE,Backdoors!BI13=TRUE),VLOOKUP(Calculator!E23,tbSkills!DH3:DJ6,3,FALSE),0),0)))/100)),1),1)</f>
        <v>0.6</v>
      </c>
      <c r="BZ75" s="87">
        <f t="shared" si="61"/>
        <v>0</v>
      </c>
      <c r="CA75" s="86" t="str">
        <f>IFERROR(IF(VLOOKUP(A75,tbMoveset!A2:B112,2,FALSE)="Sever",Backdoors!AY14/100,IF(VLOOKUP(A75,tbMoveset!A2:B112,2,FALSE)="Blunt",Backdoors!AZ14/100,Backdoors!BA14/100)),"")</f>
        <v/>
      </c>
      <c r="CB75" s="49">
        <f>IFERROR(IF(VLOOKUP(tbMoveset!A75,tbMoveset!A2:H112,8,FALSE)="Other",IF(VLOOKUP(tbMoveset!A75,tbMoveset!A2:I112,9,FALSE)="Fire",Backdoors!BB14,IF(VLOOKUP(tbMoveset!A75,tbMoveset!A2:I112,9,FALSE)="Water",Backdoors!BC14,IF(VLOOKUP(tbMoveset!A75,tbMoveset!A2:I112,9,FALSE)="Thunder",Backdoors!BD14,IF(VLOOKUP(tbMoveset!A75,tbMoveset!A2:I112,9,FALSE)="Ice",Backdoors!BE14,IF(VLOOKUP(tbMoveset!A75,tbMoveset!A2:I112,9,FALSE)="Dragon",Backdoors!BF14,Backdoors!BG14)))))/100,Backdoors!BG14/100),"")</f>
        <v>0</v>
      </c>
      <c r="CC75" s="49">
        <f>IFERROR(IF(VLOOKUP(A75,tbMoveset!A2:J112,10,FALSE)=TRUE,IF((Backdoors!AI12+IF(CA75&gt;=0.45,VLOOKUP(Calculator!E23,tbSkills!DH3:DI6,2,FALSE)+IF(AND(Calculator!B8=TRUE,Backdoors!BI14=TRUE),VLOOKUP(Calculator!E23,tbSkills!DH3:DJ6,3,FALSE),0),0))&gt;=0,1+(Backdoors!AL2*(IF((Backdoors!AI12+IF(CA75&gt;=0.45,VLOOKUP(Calculator!E23,tbSkills!DH3:DI6,2,FALSE)+IF(AND(Calculator!B8=TRUE,Backdoors!BI14=TRUE),VLOOKUP(Calculator!E23,tbSkills!DH3:DJ6,3,FALSE),0),0))&gt;=100,100,(Backdoors!AI12+IF(CA75&gt;=0.45,VLOOKUP(Calculator!E23,tbSkills!DH3:DI6,2,FALSE)+IF(AND(Calculator!B8=TRUE,Backdoors!BI14=TRUE),VLOOKUP(Calculator!E23,tbSkills!DH3:DJ6,3,FALSE),0),0)))/100)),(1-(0.25*((-Backdoors!AI12-IF(CA75&gt;=0.45,VLOOKUP(Calculator!E23,tbSkills!DH3:DI6,2,FALSE)+IF(AND(Calculator!B8=TRUE,Backdoors!BI14=TRUE),VLOOKUP(Calculator!E23,tbSkills!DH3:DJ6,3,FALSE),0),0))/100)))),1),"")</f>
        <v>1</v>
      </c>
      <c r="CD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A75)*CC75)*(VLOOKUP(A75,tbMoveset!A2:C112,3,FALSE)/100)*IF(VLOOKUP(A75,tbMoveset!A2:B112,2,FALSE)="Projectile",Backdoors!N10,Backdoors!N9),0),"")</f>
        <v/>
      </c>
      <c r="CE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A75&gt;=0.45,VLOOKUP(Calculator!E23,tbSkills!DH3:DI6,2,FALSE)+IF(AND(Calculator!B8=TRUE,Backdoors!BI14=TRUE),VLOOKUP(Calculator!E23,tbSkills!DH3:DJ6,3,FALSE),0),0))&gt;=100,100,(Backdoors!AI12+IF(CA75&gt;=0.45,VLOOKUP(Calculator!E23,tbSkills!DH3:DI6,2,FALSE)+IF(AND(Calculator!B8=TRUE,Backdoors!BI14=TRUE),VLOOKUP(Calculator!E23,tbSkills!DH3:DJ6,3,FALSE),0),0)))/100)),1))*IF(VLOOKUP(A75,tbMoveset!A2:K112,11,FALSE)=TRUE,Backdoors!AC5,1))*CB75,0),"")</f>
        <v>0</v>
      </c>
      <c r="CF75" s="49">
        <f>VLOOKUP(A75,tbMoveset!A2:G112,7,FALSE)*IFERROR(IF(Backdoors!AI12&gt;=0,1+(IF(Calculator!E40&gt;0,VLOOKUP(Calculator!E40,tbSkills!AI3:AJ5,2,FALSE),Backdoors!AL4)*(IF((Backdoors!AI12+IF(CA75&gt;=0.45,VLOOKUP(Calculator!E23,tbSkills!DH3:DI6,2,FALSE)+IF(AND(Calculator!B8=TRUE,Backdoors!BI14=TRUE),VLOOKUP(Calculator!E23,tbSkills!DH3:DJ6,3,FALSE),0),0))&gt;=100,100,(Backdoors!AI12+IF(CA75&gt;=0.45,VLOOKUP(Calculator!E23,tbSkills!DH3:DI6,2,FALSE)+IF(AND(Calculator!B8=TRUE,Backdoors!BI14=TRUE),VLOOKUP(Calculator!E23,tbSkills!DH3:DJ6,3,FALSE),0),0)))/100)),1),1)</f>
        <v>0.6</v>
      </c>
      <c r="CG75" s="87">
        <f t="shared" si="62"/>
        <v>0</v>
      </c>
      <c r="CH75" s="86" t="str">
        <f>IFERROR(IF(VLOOKUP(A75,tbMoveset!A2:B112,2,FALSE)="Sever",Backdoors!AY15/100,IF(VLOOKUP(A75,tbMoveset!A2:B112,2,FALSE)="Blunt",Backdoors!AZ15/100,Backdoors!BA15/100)),"")</f>
        <v/>
      </c>
      <c r="CI75" s="49">
        <f>IFERROR(IF(VLOOKUP(tbMoveset!A75,tbMoveset!A2:H112,8,FALSE)="Other",IF(VLOOKUP(tbMoveset!A75,tbMoveset!A2:I112,9,FALSE)="Fire",Backdoors!BB15,IF(VLOOKUP(tbMoveset!A75,tbMoveset!A2:I112,9,FALSE)="Water",Backdoors!BC15,IF(VLOOKUP(tbMoveset!A75,tbMoveset!A2:I112,9,FALSE)="Thunder",Backdoors!BD15,IF(VLOOKUP(tbMoveset!A75,tbMoveset!A2:I112,9,FALSE)="Ice",Backdoors!BE15,IF(VLOOKUP(tbMoveset!A75,tbMoveset!A2:I112,9,FALSE)="Dragon",Backdoors!BF15,Backdoors!BG15)))))/100,Backdoors!BG15/100),"")</f>
        <v>0</v>
      </c>
      <c r="CJ75" s="49">
        <f>IFERROR(IF(VLOOKUP(A75,tbMoveset!A2:J112,10,FALSE)=TRUE,IF((Backdoors!AI12+IF(CH75&gt;=0.45,VLOOKUP(Calculator!E23,tbSkills!DH3:DI6,2,FALSE)+IF(AND(Calculator!B8=TRUE,Backdoors!BI15=TRUE),VLOOKUP(Calculator!E23,tbSkills!DH3:DJ6,3,FALSE),0),0))&gt;=0,1+(Backdoors!AL2*(IF((Backdoors!AI12+IF(CH75&gt;=0.45,VLOOKUP(Calculator!E23,tbSkills!DH3:DI6,2,FALSE)+IF(AND(Calculator!B8=TRUE,Backdoors!BI15=TRUE),VLOOKUP(Calculator!E23,tbSkills!DH3:DJ6,3,FALSE),0),0))&gt;=100,100,(Backdoors!AI12+IF(CH75&gt;=0.45,VLOOKUP(Calculator!E23,tbSkills!DH3:DI6,2,FALSE)+IF(AND(Calculator!B8=TRUE,Backdoors!BI15=TRUE),VLOOKUP(Calculator!E23,tbSkills!DH3:DJ6,3,FALSE),0),0)))/100)),(1-(0.25*((-Backdoors!AI12-IF(CH75&gt;=0.45,VLOOKUP(Calculator!E23,tbSkills!DH3:DI6,2,FALSE)+IF(AND(Calculator!B8=TRUE,Backdoors!BI15=TRUE),VLOOKUP(Calculator!E23,tbSkills!DH3:DJ6,3,FALSE),0),0))/100)))),1),"")</f>
        <v>1</v>
      </c>
      <c r="CK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H75)*CJ75)*(VLOOKUP(A75,tbMoveset!A2:C112,3,FALSE)/100)*IF(VLOOKUP(A75,tbMoveset!A2:B112,2,FALSE)="Projectile",Backdoors!N10,Backdoors!N9),0),"")</f>
        <v/>
      </c>
      <c r="CL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H75&gt;=0.45,VLOOKUP(Calculator!E23,tbSkills!DH3:DI6,2,FALSE)+IF(AND(Calculator!B8=TRUE,Backdoors!BI15=TRUE),VLOOKUP(Calculator!E23,tbSkills!DH3:DJ6,3,FALSE),0),0))&gt;=100,100,(Backdoors!AI12+IF(CH75&gt;=0.45,VLOOKUP(Calculator!E23,tbSkills!DH3:DI6,2,FALSE)+IF(AND(Calculator!B8=TRUE,Backdoors!BI15=TRUE),VLOOKUP(Calculator!E23,tbSkills!DH3:DJ6,3,FALSE),0),0)))/100)),1))*IF(VLOOKUP(A75,tbMoveset!A2:K112,11,FALSE)=TRUE,Backdoors!AC5,1))*CI75,0),"")</f>
        <v>0</v>
      </c>
      <c r="CM75" s="49">
        <f>VLOOKUP(A75,tbMoveset!A2:G112,7,FALSE)*IFERROR(IF(Backdoors!AI12&gt;=0,1+(IF(Calculator!E40&gt;0,VLOOKUP(Calculator!E40,tbSkills!AI3:AJ5,2,FALSE),Backdoors!AL4)*(IF((Backdoors!AI12+IF(CH75&gt;=0.45,VLOOKUP(Calculator!E23,tbSkills!DH3:DI6,2,FALSE)+IF(AND(Calculator!B8=TRUE,Backdoors!BI15=TRUE),VLOOKUP(Calculator!E23,tbSkills!DH3:DJ6,3,FALSE),0),0))&gt;=100,100,(Backdoors!AI12+IF(CH75&gt;=0.45,VLOOKUP(Calculator!E23,tbSkills!DH3:DI6,2,FALSE)+IF(AND(Calculator!B8=TRUE,Backdoors!BI15=TRUE),VLOOKUP(Calculator!E23,tbSkills!DH3:DJ6,3,FALSE),0),0)))/100)),1),1)</f>
        <v>0.6</v>
      </c>
      <c r="CN75" s="87">
        <f t="shared" si="63"/>
        <v>0</v>
      </c>
      <c r="CO75" s="86" t="str">
        <f>IFERROR(IF(VLOOKUP(A75,tbMoveset!A2:B112,2,FALSE)="Sever",Backdoors!AY16/100,IF(VLOOKUP(A75,tbMoveset!A2:B112,2,FALSE)="Blunt",Backdoors!AZ16/100,Backdoors!BA16/100)),"")</f>
        <v/>
      </c>
      <c r="CP75" s="49">
        <f>IFERROR(IF(VLOOKUP(tbMoveset!A75,tbMoveset!A2:H112,8,FALSE)="Other",IF(VLOOKUP(tbMoveset!A75,tbMoveset!A2:I112,9,FALSE)="Fire",Backdoors!BB16,IF(VLOOKUP(tbMoveset!A75,tbMoveset!A2:I112,9,FALSE)="Water",Backdoors!BC16,IF(VLOOKUP(tbMoveset!A75,tbMoveset!A2:I112,9,FALSE)="Thunder",Backdoors!BD16,IF(VLOOKUP(tbMoveset!A75,tbMoveset!A2:I112,9,FALSE)="Ice",Backdoors!BE16,IF(VLOOKUP(tbMoveset!A75,tbMoveset!A2:I112,9,FALSE)="Dragon",Backdoors!BF16,Backdoors!BG16)))))/100,Backdoors!BG16/100),"")</f>
        <v>0</v>
      </c>
      <c r="CQ75" s="49">
        <f>IFERROR(IF(VLOOKUP(A75,tbMoveset!A2:J112,10,FALSE)=TRUE,IF((Backdoors!AI12+IF(CO75&gt;=0.45,VLOOKUP(Calculator!E23,tbSkills!DH3:DI6,2,FALSE)+IF(AND(Calculator!B8=TRUE,Backdoors!BI16=TRUE),VLOOKUP(Calculator!E23,tbSkills!DH3:DJ6,3,FALSE),0),0))&gt;=0,1+(Backdoors!AL2*(IF((Backdoors!AI12+IF(CO75&gt;=0.45,VLOOKUP(Calculator!E23,tbSkills!DH3:DI6,2,FALSE)+IF(AND(Calculator!B8=TRUE,Backdoors!BI16=TRUE),VLOOKUP(Calculator!E23,tbSkills!DH3:DJ6,3,FALSE),0),0))&gt;=100,100,(Backdoors!AI12+IF(CO75&gt;=0.45,VLOOKUP(Calculator!E23,tbSkills!DH3:DI6,2,FALSE)+IF(AND(Calculator!B8=TRUE,Backdoors!BI16=TRUE),VLOOKUP(Calculator!E23,tbSkills!DH3:DJ6,3,FALSE),0),0)))/100)),(1-(0.25*((-Backdoors!AI12-IF(CO75&gt;=0.45,VLOOKUP(Calculator!E23,tbSkills!DH3:DI6,2,FALSE)+IF(AND(Calculator!B8=TRUE,Backdoors!BI16=TRUE),VLOOKUP(Calculator!E23,tbSkills!DH3:DJ6,3,FALSE),0),0))/100)))),1),"")</f>
        <v>1</v>
      </c>
      <c r="CR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O75)*CQ75)*(VLOOKUP(A75,tbMoveset!A2:C112,3,FALSE)/100)*IF(VLOOKUP(A75,tbMoveset!A2:B112,2,FALSE)="Projectile",Backdoors!N10,Backdoors!N9),0),"")</f>
        <v/>
      </c>
      <c r="CS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O75&gt;=0.45,VLOOKUP(Calculator!E23,tbSkills!DH3:DI6,2,FALSE)+IF(AND(Calculator!B8=TRUE,Backdoors!BI16=TRUE),VLOOKUP(Calculator!E23,tbSkills!DH3:DJ6,3,FALSE),0),0))&gt;=100,100,(Backdoors!AI12+IF(CO75&gt;=0.45,VLOOKUP(Calculator!E23,tbSkills!DH3:DI6,2,FALSE)+IF(AND(Calculator!B8=TRUE,Backdoors!BI16=TRUE),VLOOKUP(Calculator!E23,tbSkills!DH3:DJ6,3,FALSE),0),0)))/100)),1))*IF(VLOOKUP(A75,tbMoveset!A2:K112,11,FALSE)=TRUE,Backdoors!AC5,1))*CP75,0),"")</f>
        <v>0</v>
      </c>
      <c r="CT75" s="49">
        <f>VLOOKUP(A75,tbMoveset!A2:G112,7,FALSE)*IFERROR(IF(Backdoors!AI12&gt;=0,1+(IF(Calculator!E40&gt;0,VLOOKUP(Calculator!E40,tbSkills!AI3:AJ5,2,FALSE),Backdoors!AL4)*(IF((Backdoors!AI12+IF(CO75&gt;=0.45,VLOOKUP(Calculator!E23,tbSkills!DH3:DI6,2,FALSE)+IF(AND(Calculator!B8=TRUE,Backdoors!BI16=TRUE),VLOOKUP(Calculator!E23,tbSkills!DH3:DJ6,3,FALSE),0),0))&gt;=100,100,(Backdoors!AI12+IF(CO75&gt;=0.45,VLOOKUP(Calculator!E23,tbSkills!DH3:DI6,2,FALSE)+IF(AND(Calculator!B8=TRUE,Backdoors!BI16=TRUE),VLOOKUP(Calculator!E23,tbSkills!DH3:DJ6,3,FALSE),0),0)))/100)),1),1)</f>
        <v>0.6</v>
      </c>
      <c r="CU75" s="87">
        <f t="shared" si="64"/>
        <v>0</v>
      </c>
      <c r="CV75" s="86" t="str">
        <f>IFERROR(IF(VLOOKUP(A75,tbMoveset!A2:B112,2,FALSE)="Sever",Backdoors!AY17/100,IF(VLOOKUP(A75,tbMoveset!A2:B112,2,FALSE)="Blunt",Backdoors!AZ17/100,Backdoors!BA17/100)),"")</f>
        <v/>
      </c>
      <c r="CW75" s="49">
        <f>IFERROR(IF(VLOOKUP(tbMoveset!A75,tbMoveset!A2:H112,8,FALSE)="Other",IF(VLOOKUP(tbMoveset!A75,tbMoveset!A2:I112,9,FALSE)="Fire",Backdoors!BB17,IF(VLOOKUP(tbMoveset!A75,tbMoveset!A2:I112,9,FALSE)="Water",Backdoors!BC17,IF(VLOOKUP(tbMoveset!A75,tbMoveset!A2:I112,9,FALSE)="Thunder",Backdoors!BD17,IF(VLOOKUP(tbMoveset!A75,tbMoveset!A2:I112,9,FALSE)="Ice",Backdoors!BE17,IF(VLOOKUP(tbMoveset!A75,tbMoveset!A2:I112,9,FALSE)="Dragon",Backdoors!BF17,Backdoors!BG17)))))/100,Backdoors!BG17/100),"")</f>
        <v>0</v>
      </c>
      <c r="CX75" s="49">
        <f>IFERROR(IF(VLOOKUP(A75,tbMoveset!A2:J112,10,FALSE)=TRUE,IF((Backdoors!AI12+IF(CV75&gt;=0.45,VLOOKUP(Calculator!E23,tbSkills!DH3:DI6,2,FALSE)+IF(AND(Calculator!B8=TRUE,Backdoors!BI17=TRUE),VLOOKUP(Calculator!E23,tbSkills!DH3:DJ6,3,FALSE),0),0))&gt;=0,1+(Backdoors!AL2*(IF((Backdoors!AI12+IF(CV75&gt;=0.45,VLOOKUP(Calculator!E23,tbSkills!DH3:DI6,2,FALSE)+IF(AND(Calculator!B8=TRUE,Backdoors!BI17=TRUE),VLOOKUP(Calculator!E23,tbSkills!DH3:DJ6,3,FALSE),0),0))&gt;=100,100,(Backdoors!AI12+IF(CV75&gt;=0.45,VLOOKUP(Calculator!E23,tbSkills!DH3:DI6,2,FALSE)+IF(AND(Calculator!B8=TRUE,Backdoors!BI17=TRUE),VLOOKUP(Calculator!E23,tbSkills!DH3:DJ6,3,FALSE),0),0)))/100)),(1-(0.25*((-Backdoors!AI12-IF(CV75&gt;=0.45,VLOOKUP(Calculator!E23,tbSkills!DH3:DI6,2,FALSE)+IF(AND(Calculator!B8=TRUE,Backdoors!BI17=TRUE),VLOOKUP(Calculator!E23,tbSkills!DH3:DJ6,3,FALSE),0),0))/100)))),1),"")</f>
        <v>1</v>
      </c>
      <c r="CY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V75)*CX75)*(VLOOKUP(A75,tbMoveset!A2:C112,3,FALSE)/100)*IF(VLOOKUP(A75,tbMoveset!A2:B112,2,FALSE)="Projectile",Backdoors!N10,Backdoors!N9),0),"")</f>
        <v/>
      </c>
      <c r="CZ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V75&gt;=0.45,VLOOKUP(Calculator!E23,tbSkills!DH3:DI6,2,FALSE)+IF(AND(Calculator!B8=TRUE,Backdoors!BI17=TRUE),VLOOKUP(Calculator!E23,tbSkills!DH3:DJ6,3,FALSE),0),0))&gt;=100,100,(Backdoors!AI12+IF(CV75&gt;=0.45,VLOOKUP(Calculator!E23,tbSkills!DH3:DI6,2,FALSE)+IF(AND(Calculator!B8=TRUE,Backdoors!BI17=TRUE),VLOOKUP(Calculator!E23,tbSkills!DH3:DJ6,3,FALSE),0),0)))/100)),1))*IF(VLOOKUP(A75,tbMoveset!A2:K112,11,FALSE)=TRUE,Backdoors!AC5,1))*CW75,0),"")</f>
        <v>0</v>
      </c>
      <c r="DA75" s="49">
        <f>VLOOKUP(A75,tbMoveset!A2:G112,7,FALSE)*IFERROR(IF(Backdoors!AI12&gt;=0,1+(IF(Calculator!E40&gt;0,VLOOKUP(Calculator!E40,tbSkills!AI3:AJ5,2,FALSE),Backdoors!AL4)*(IF((Backdoors!AI12+IF(CV75&gt;=0.45,VLOOKUP(Calculator!E23,tbSkills!DH3:DI6,2,FALSE)+IF(AND(Calculator!B8=TRUE,Backdoors!BI17=TRUE),VLOOKUP(Calculator!E23,tbSkills!DH3:DJ6,3,FALSE),0),0))&gt;=100,100,(Backdoors!AI12+IF(CV75&gt;=0.45,VLOOKUP(Calculator!E23,tbSkills!DH3:DI6,2,FALSE)+IF(AND(Calculator!B8=TRUE,Backdoors!BI17=TRUE),VLOOKUP(Calculator!E23,tbSkills!DH3:DJ6,3,FALSE),0),0)))/100)),1),1)</f>
        <v>0.6</v>
      </c>
      <c r="DB75" s="87">
        <f t="shared" si="65"/>
        <v>0</v>
      </c>
      <c r="DC75" s="86" t="str">
        <f>IFERROR(IF(VLOOKUP(A75,tbMoveset!A2:B112,2,FALSE)="Sever",Backdoors!AY18/100,IF(VLOOKUP(A75,tbMoveset!A2:B112,2,FALSE)="Blunt",Backdoors!AZ18/100,Backdoors!BA18/100)),"")</f>
        <v/>
      </c>
      <c r="DD75" s="49">
        <f>IFERROR(IF(VLOOKUP(tbMoveset!A75,tbMoveset!A2:H112,8,FALSE)="Other",IF(VLOOKUP(tbMoveset!A75,tbMoveset!A2:I112,9,FALSE)="Fire",Backdoors!BB18,IF(VLOOKUP(tbMoveset!A75,tbMoveset!A2:I112,9,FALSE)="Water",Backdoors!BC18,IF(VLOOKUP(tbMoveset!A75,tbMoveset!A2:I112,9,FALSE)="Thunder",Backdoors!BD18,IF(VLOOKUP(tbMoveset!A75,tbMoveset!A2:I112,9,FALSE)="Ice",Backdoors!BE18,IF(VLOOKUP(tbMoveset!A75,tbMoveset!A2:I112,9,FALSE)="Dragon",Backdoors!BF18,Backdoors!BG18)))))/100,Backdoors!BG18/100),"")</f>
        <v>0</v>
      </c>
      <c r="DE75" s="49">
        <f>IFERROR(IF(VLOOKUP(A75,tbMoveset!A2:J112,10,FALSE)=TRUE,IF((Backdoors!AI12+IF(DC75&gt;=0.45,VLOOKUP(Calculator!E23,tbSkills!DH3:DI6,2,FALSE)+IF(AND(Calculator!B8=TRUE,Backdoors!BI18=TRUE),VLOOKUP(Calculator!E23,tbSkills!DH3:DJ6,3,FALSE),0),0))&gt;=0,1+(Backdoors!AL2*(IF((Backdoors!AI12+IF(DC75&gt;=0.45,VLOOKUP(Calculator!E23,tbSkills!DH3:DI6,2,FALSE)+IF(AND(Calculator!B8=TRUE,Backdoors!BI18=TRUE),VLOOKUP(Calculator!E23,tbSkills!DH3:DJ6,3,FALSE),0),0))&gt;=100,100,(Backdoors!AI12+IF(DC75&gt;=0.45,VLOOKUP(Calculator!E23,tbSkills!DH3:DI6,2,FALSE)+IF(AND(Calculator!B8=TRUE,Backdoors!BI18=TRUE),VLOOKUP(Calculator!E23,tbSkills!DH3:DJ6,3,FALSE),0),0)))/100)),(1-(0.25*((-Backdoors!AI12-IF(DC75&gt;=0.45,VLOOKUP(Calculator!E23,tbSkills!DH3:DI6,2,FALSE)+IF(AND(Calculator!B8=TRUE,Backdoors!BI18=TRUE),VLOOKUP(Calculator!E23,tbSkills!DH3:DJ6,3,FALSE),0),0))/100)))),1),"")</f>
        <v>1</v>
      </c>
      <c r="DF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C75)*DE75)*(VLOOKUP(A75,tbMoveset!A2:C112,3,FALSE)/100)*IF(VLOOKUP(A75,tbMoveset!A2:B112,2,FALSE)="Projectile",Backdoors!N10,Backdoors!N9),0),"")</f>
        <v/>
      </c>
      <c r="DG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C75&gt;=0.45,VLOOKUP(Calculator!E23,tbSkills!DH3:DI6,2,FALSE)+IF(AND(Calculator!B8=TRUE,Backdoors!BI18=TRUE),VLOOKUP(Calculator!E23,tbSkills!DH3:DJ6,3,FALSE),0),0))&gt;=100,100,(Backdoors!AI12+IF(DC75&gt;=0.45,VLOOKUP(Calculator!E23,tbSkills!DH3:DI6,2,FALSE)+IF(AND(Calculator!B8=TRUE,Backdoors!BI18=TRUE),VLOOKUP(Calculator!E23,tbSkills!DH3:DJ6,3,FALSE),0),0)))/100)),1))*IF(VLOOKUP(A75,tbMoveset!A2:K112,11,FALSE)=TRUE,Backdoors!AC5,1))*DD75,0),"")</f>
        <v>0</v>
      </c>
      <c r="DH75" s="49">
        <f>VLOOKUP(A75,tbMoveset!A2:G112,7,FALSE)*IFERROR(IF(Backdoors!AI12&gt;=0,1+(IF(Calculator!E40&gt;0,VLOOKUP(Calculator!E40,tbSkills!AI3:AJ5,2,FALSE),Backdoors!AL4)*(IF((Backdoors!AI12+IF(DC75&gt;=0.45,VLOOKUP(Calculator!E23,tbSkills!DH3:DI6,2,FALSE)+IF(AND(Calculator!B8=TRUE,Backdoors!BI18=TRUE),VLOOKUP(Calculator!E23,tbSkills!DH3:DJ6,3,FALSE),0),0))&gt;=100,100,(Backdoors!AI12+IF(DC75&gt;=0.45,VLOOKUP(Calculator!E23,tbSkills!DH3:DI6,2,FALSE)+IF(AND(Calculator!B8=TRUE,Backdoors!BI18=TRUE),VLOOKUP(Calculator!E23,tbSkills!DH3:DJ6,3,FALSE),0),0)))/100)),1),1)</f>
        <v>0.6</v>
      </c>
      <c r="DI75" s="87">
        <f t="shared" si="66"/>
        <v>0</v>
      </c>
      <c r="DJ75" s="86" t="str">
        <f>IFERROR(IF(VLOOKUP(A75,tbMoveset!A2:B112,2,FALSE)="Sever",Backdoors!AY19/100,IF(VLOOKUP(A75,tbMoveset!A2:B112,2,FALSE)="Blunt",Backdoors!AZ19/100,Backdoors!BA19/100)),"")</f>
        <v/>
      </c>
      <c r="DK75" s="49">
        <f>IFERROR(IF(VLOOKUP(tbMoveset!A75,tbMoveset!A2:H112,8,FALSE)="Other",IF(VLOOKUP(tbMoveset!A75,tbMoveset!A2:I112,9,FALSE)="Fire",Backdoors!BB19,IF(VLOOKUP(tbMoveset!A75,tbMoveset!A2:I112,9,FALSE)="Water",Backdoors!BC19,IF(VLOOKUP(tbMoveset!A75,tbMoveset!A2:I112,9,FALSE)="Thunder",Backdoors!BD19,IF(VLOOKUP(tbMoveset!A75,tbMoveset!A2:I112,9,FALSE)="Ice",Backdoors!BE19,IF(VLOOKUP(tbMoveset!A75,tbMoveset!A2:I112,9,FALSE)="Dragon",Backdoors!BF19,Backdoors!BG19)))))/100,Backdoors!BG19/100),"")</f>
        <v>0</v>
      </c>
      <c r="DL75" s="49">
        <f>IFERROR(IF(VLOOKUP(A75,tbMoveset!A2:J112,10,FALSE)=TRUE,IF((Backdoors!AI12+IF(DJ75&gt;=0.45,VLOOKUP(Calculator!E23,tbSkills!DH3:DI6,2,FALSE)+IF(AND(Calculator!B8=TRUE,Backdoors!BI19=TRUE),VLOOKUP(Calculator!E23,tbSkills!DH3:DJ6,3,FALSE),0),0))&gt;=0,1+(Backdoors!AL2*(IF((Backdoors!AI12+IF(DJ75&gt;=0.45,VLOOKUP(Calculator!E23,tbSkills!DH3:DI6,2,FALSE)+IF(AND(Calculator!B8=TRUE,Backdoors!BI19=TRUE),VLOOKUP(Calculator!E23,tbSkills!DH3:DJ6,3,FALSE),0),0))&gt;=100,100,(Backdoors!AI12+IF(DJ75&gt;=0.45,VLOOKUP(Calculator!E23,tbSkills!DH3:DI6,2,FALSE)+IF(AND(Calculator!B8=TRUE,Backdoors!BI19=TRUE),VLOOKUP(Calculator!E23,tbSkills!DH3:DJ6,3,FALSE),0),0)))/100)),(1-(0.25*((-Backdoors!AI12-IF(DJ75&gt;=0.45,VLOOKUP(Calculator!E23,tbSkills!DH3:DI6,2,FALSE)+IF(AND(Calculator!B8=TRUE,Backdoors!BI19=TRUE),VLOOKUP(Calculator!E23,tbSkills!DH3:DJ6,3,FALSE),0),0))/100)))),1),"")</f>
        <v>1</v>
      </c>
      <c r="DM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J75)*DL75)*(VLOOKUP(A75,tbMoveset!A2:C112,3,FALSE)/100)*IF(VLOOKUP(A75,tbMoveset!A2:B112,2,FALSE)="Projectile",Backdoors!N10,Backdoors!N9),0),"")</f>
        <v/>
      </c>
      <c r="DN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J75&gt;=0.45,VLOOKUP(Calculator!E23,tbSkills!DH3:DI6,2,FALSE)+IF(AND(Calculator!B8=TRUE,Backdoors!BI19=TRUE),VLOOKUP(Calculator!E23,tbSkills!DH3:DJ6,3,FALSE),0),0))&gt;=100,100,(Backdoors!AI12+IF(DJ75&gt;=0.45,VLOOKUP(Calculator!E23,tbSkills!DH3:DI6,2,FALSE)+IF(AND(Calculator!B8=TRUE,Backdoors!BI19=TRUE),VLOOKUP(Calculator!E23,tbSkills!DH3:DJ6,3,FALSE),0),0)))/100)),1))*IF(VLOOKUP(A75,tbMoveset!A2:K112,11,FALSE)=TRUE,Backdoors!AC5,1))*DK75,0),"")</f>
        <v>0</v>
      </c>
      <c r="DO75" s="49">
        <f>VLOOKUP(A75,tbMoveset!A2:G112,7,FALSE)*IFERROR(IF(Backdoors!AI12&gt;=0,1+(IF(Calculator!E40&gt;0,VLOOKUP(Calculator!E40,tbSkills!AI3:AJ5,2,FALSE),Backdoors!AL4)*(IF((Backdoors!AI12+IF(DJ75&gt;=0.45,VLOOKUP(Calculator!E23,tbSkills!DH3:DI6,2,FALSE)+IF(AND(Calculator!B8=TRUE,Backdoors!BI19=TRUE),VLOOKUP(Calculator!E23,tbSkills!DH3:DJ6,3,FALSE),0),0))&gt;=100,100,(Backdoors!AI12+IF(DJ75&gt;=0.45,VLOOKUP(Calculator!E23,tbSkills!DH3:DI6,2,FALSE)+IF(AND(Calculator!B8=TRUE,Backdoors!BI19=TRUE),VLOOKUP(Calculator!E23,tbSkills!DH3:DJ6,3,FALSE),0),0)))/100)),1),1)</f>
        <v>0.6</v>
      </c>
      <c r="DP75" s="87">
        <f t="shared" si="67"/>
        <v>0</v>
      </c>
      <c r="DQ75" s="86" t="str">
        <f>IFERROR(IF(VLOOKUP(A75,tbMoveset!A2:B112,2,FALSE)="Sever",Backdoors!AY20/100,IF(VLOOKUP(A75,tbMoveset!A2:B112,2,FALSE)="Blunt",Backdoors!AZ20/100,Backdoors!BA20/100)),"")</f>
        <v/>
      </c>
      <c r="DR75" s="49">
        <f>IFERROR(IF(VLOOKUP(tbMoveset!A75,tbMoveset!A2:H112,8,FALSE)="Other",IF(VLOOKUP(tbMoveset!A75,tbMoveset!A2:I112,9,FALSE)="Fire",Backdoors!BB20,IF(VLOOKUP(tbMoveset!A75,tbMoveset!A2:I112,9,FALSE)="Water",Backdoors!BC20,IF(VLOOKUP(tbMoveset!A75,tbMoveset!A2:I112,9,FALSE)="Thunder",Backdoors!BD20,IF(VLOOKUP(tbMoveset!A75,tbMoveset!A2:I112,9,FALSE)="Ice",Backdoors!BE20,IF(VLOOKUP(tbMoveset!A75,tbMoveset!A2:I112,9,FALSE)="Dragon",Backdoors!BF20,Backdoors!BG20)))))/100,Backdoors!BG20/100),"")</f>
        <v>0</v>
      </c>
      <c r="DS75" s="49">
        <f>IFERROR(IF(VLOOKUP(A75,tbMoveset!A2:J112,10,FALSE)=TRUE,IF((Backdoors!AI12+IF(DQ75&gt;=0.45,VLOOKUP(Calculator!E23,tbSkills!DH3:DI6,2,FALSE)+IF(AND(Calculator!B8=TRUE,Backdoors!BI20=TRUE),VLOOKUP(Calculator!E23,tbSkills!DH3:DJ6,3,FALSE),0),0))&gt;=0,1+(Backdoors!AL2*(IF((Backdoors!AI12+IF(DQ75&gt;=0.45,VLOOKUP(Calculator!E23,tbSkills!DH3:DI6,2,FALSE)+IF(AND(Calculator!B8=TRUE,Backdoors!BI20=TRUE),VLOOKUP(Calculator!E23,tbSkills!DH3:DJ6,3,FALSE),0),0))&gt;=100,100,(Backdoors!AI12+IF(DQ75&gt;=0.45,VLOOKUP(Calculator!E23,tbSkills!DH3:DI6,2,FALSE)+IF(AND(Calculator!B8=TRUE,Backdoors!BI20=TRUE),VLOOKUP(Calculator!E23,tbSkills!DH3:DJ6,3,FALSE),0),0)))/100)),(1-(0.25*((-Backdoors!AI12-IF(DQ75&gt;=0.45,VLOOKUP(Calculator!E23,tbSkills!DH3:DI6,2,FALSE)+IF(AND(Calculator!B8=TRUE,Backdoors!BI20=TRUE),VLOOKUP(Calculator!E23,tbSkills!DH3:DJ6,3,FALSE),0),0))/100)))),1),"")</f>
        <v>1</v>
      </c>
      <c r="DT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Q75)*DS75)*(VLOOKUP(A75,tbMoveset!A2:C112,3,FALSE)/100)*IF(VLOOKUP(A75,tbMoveset!A2:B112,2,FALSE)="Projectile",Backdoors!N10,Backdoors!N9),0),"")</f>
        <v/>
      </c>
      <c r="DU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Q75&gt;=0.45,VLOOKUP(Calculator!E23,tbSkills!DH3:DI6,2,FALSE)+IF(AND(Calculator!B8=TRUE,Backdoors!BI20=TRUE),VLOOKUP(Calculator!E23,tbSkills!DH3:DJ6,3,FALSE),0),0))&gt;=100,100,(Backdoors!AI12+IF(DQ75&gt;=0.45,VLOOKUP(Calculator!E23,tbSkills!DH3:DI6,2,FALSE)+IF(AND(Calculator!B8=TRUE,Backdoors!BI20=TRUE),VLOOKUP(Calculator!E23,tbSkills!DH3:DJ6,3,FALSE),0),0)))/100)),1))*IF(VLOOKUP(A75,tbMoveset!A2:K112,11,FALSE)=TRUE,Backdoors!AC5,1))*DR75,0),"")</f>
        <v>0</v>
      </c>
      <c r="DV75" s="49">
        <f>VLOOKUP(A75,tbMoveset!A2:G112,7,FALSE)*IFERROR(IF(Backdoors!AI12&gt;=0,1+(IF(Calculator!E40&gt;0,VLOOKUP(Calculator!E40,tbSkills!AI3:AJ5,2,FALSE),Backdoors!AL4)*(IF((Backdoors!AI12+IF(DQ75&gt;=0.45,VLOOKUP(Calculator!E23,tbSkills!DH3:DI6,2,FALSE)+IF(AND(Calculator!B8=TRUE,Backdoors!BI20=TRUE),VLOOKUP(Calculator!E23,tbSkills!DH3:DJ6,3,FALSE),0),0))&gt;=100,100,(Backdoors!AI12+IF(DQ75&gt;=0.45,VLOOKUP(Calculator!E23,tbSkills!DH3:DI6,2,FALSE)+IF(AND(Calculator!B8=TRUE,Backdoors!BI20=TRUE),VLOOKUP(Calculator!E23,tbSkills!DH3:DJ6,3,FALSE),0),0)))/100)),1),1)</f>
        <v>0.6</v>
      </c>
      <c r="DW75" s="87">
        <f t="shared" si="68"/>
        <v>0</v>
      </c>
      <c r="DX75" s="86" t="str">
        <f>IFERROR(IF(VLOOKUP(A75,tbMoveset!A2:B112,2,FALSE)="Sever",Backdoors!AY21/100,IF(VLOOKUP(A75,tbMoveset!A2:B112,2,FALSE)="Blunt",Backdoors!AZ21/100,Backdoors!BA21/100)),"")</f>
        <v/>
      </c>
      <c r="DY75" s="49">
        <f>IFERROR(IF(VLOOKUP(tbMoveset!A75,tbMoveset!A2:H112,8,FALSE)="Other",IF(VLOOKUP(tbMoveset!A75,tbMoveset!A2:I112,9,FALSE)="Fire",Backdoors!BB21,IF(VLOOKUP(tbMoveset!A75,tbMoveset!A2:I112,9,FALSE)="Water",Backdoors!BC21,IF(VLOOKUP(tbMoveset!A75,tbMoveset!A2:I112,9,FALSE)="Thunder",Backdoors!BD21,IF(VLOOKUP(tbMoveset!A75,tbMoveset!A2:I112,9,FALSE)="Ice",Backdoors!BE21,IF(VLOOKUP(tbMoveset!A75,tbMoveset!A2:I112,9,FALSE)="Dragon",Backdoors!BF21,Backdoors!BG21)))))/100,Backdoors!BG21/100),"")</f>
        <v>0</v>
      </c>
      <c r="DZ75" s="49">
        <f>IFERROR(IF(VLOOKUP(A75,tbMoveset!A2:J112,10,FALSE)=TRUE,IF((Backdoors!AI12+IF(DX75&gt;=0.45,VLOOKUP(Calculator!E23,tbSkills!DH3:DI6,2,FALSE)+IF(AND(Calculator!B8=TRUE,Backdoors!BI21=TRUE),VLOOKUP(Calculator!E23,tbSkills!DH3:DJ6,3,FALSE),0),0))&gt;=0,1+(Backdoors!AL2*(IF((Backdoors!AI12+IF(DX75&gt;=0.45,VLOOKUP(Calculator!E23,tbSkills!DH3:DI6,2,FALSE)+IF(AND(Calculator!B8=TRUE,Backdoors!BI21=TRUE),VLOOKUP(Calculator!E23,tbSkills!DH3:DJ6,3,FALSE),0),0))&gt;=100,100,(Backdoors!AI12+IF(DX75&gt;=0.45,VLOOKUP(Calculator!E23,tbSkills!DH3:DI6,2,FALSE)+IF(AND(Calculator!B8=TRUE,Backdoors!BI21=TRUE),VLOOKUP(Calculator!E23,tbSkills!DH3:DJ6,3,FALSE),0),0)))/100)),(1-(0.25*((-Backdoors!AI12-IF(DX75&gt;=0.45,VLOOKUP(Calculator!E23,tbSkills!DH3:DI6,2,FALSE)+IF(AND(Calculator!B8=TRUE,Backdoors!BI21=TRUE),VLOOKUP(Calculator!E23,tbSkills!DH3:DJ6,3,FALSE),0),0))/100)))),1),"")</f>
        <v>1</v>
      </c>
      <c r="EA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X75)*DZ75)*(VLOOKUP(A75,tbMoveset!A2:C112,3,FALSE)/100)*IF(VLOOKUP(A75,tbMoveset!A2:B112,2,FALSE)="Projectile",Backdoors!N10,Backdoors!N9),0),"")</f>
        <v/>
      </c>
      <c r="EB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X75&gt;=0.45,VLOOKUP(Calculator!E23,tbSkills!DH3:DI6,2,FALSE)+IF(AND(Calculator!B8=TRUE,Backdoors!BI21=TRUE),VLOOKUP(Calculator!E23,tbSkills!DH3:DJ6,3,FALSE),0),0))&gt;=100,100,(Backdoors!AI12+IF(DX75&gt;=0.45,VLOOKUP(Calculator!E23,tbSkills!DH3:DI6,2,FALSE)+IF(AND(Calculator!B8=TRUE,Backdoors!BI21=TRUE),VLOOKUP(Calculator!E23,tbSkills!DH3:DJ6,3,FALSE),0),0)))/100)),1))*IF(VLOOKUP(A75,tbMoveset!A2:K112,11,FALSE)=TRUE,Backdoors!AC5,1))*DY75,0),"")</f>
        <v>0</v>
      </c>
      <c r="EC75" s="49">
        <f>VLOOKUP(A75,tbMoveset!A2:G112,7,FALSE)*IFERROR(IF(Backdoors!AI12&gt;=0,1+(IF(Calculator!E40&gt;0,VLOOKUP(Calculator!E40,tbSkills!AI3:AJ5,2,FALSE),Backdoors!AL4)*(IF((Backdoors!AI12+IF(DX75&gt;=0.45,VLOOKUP(Calculator!E23,tbSkills!DH3:DI6,2,FALSE)+IF(AND(Calculator!B8=TRUE,Backdoors!BI21=TRUE),VLOOKUP(Calculator!E23,tbSkills!DH3:DJ6,3,FALSE),0),0))&gt;=100,100,(Backdoors!AI12+IF(DX75&gt;=0.45,VLOOKUP(Calculator!E23,tbSkills!DH3:DI6,2,FALSE)+IF(AND(Calculator!B8=TRUE,Backdoors!BI21=TRUE),VLOOKUP(Calculator!E23,tbSkills!DH3:DJ6,3,FALSE),0),0)))/100)),1),1)</f>
        <v>0.6</v>
      </c>
      <c r="ED75" s="87">
        <f t="shared" si="69"/>
        <v>0</v>
      </c>
      <c r="EE75" s="86" t="str">
        <f>IFERROR(IF(VLOOKUP(A75,tbMoveset!A2:B112,2,FALSE)="Sever",Backdoors!AY22/100,IF(VLOOKUP(A75,tbMoveset!A2:B112,2,FALSE)="Blunt",Backdoors!AZ22/100,Backdoors!BA22/100)),"")</f>
        <v/>
      </c>
      <c r="EF75" s="49">
        <f>IFERROR(IF(VLOOKUP(tbMoveset!A75,tbMoveset!A2:H112,8,FALSE)="Other",IF(VLOOKUP(tbMoveset!A75,tbMoveset!A2:I112,9,FALSE)="Fire",Backdoors!BB22,IF(VLOOKUP(tbMoveset!A75,tbMoveset!A2:I112,9,FALSE)="Water",Backdoors!BC22,IF(VLOOKUP(tbMoveset!A75,tbMoveset!A2:I112,9,FALSE)="Thunder",Backdoors!BD22,IF(VLOOKUP(tbMoveset!A75,tbMoveset!A2:I112,9,FALSE)="Ice",Backdoors!BE22,IF(VLOOKUP(tbMoveset!A75,tbMoveset!A2:I112,9,FALSE)="Dragon",Backdoors!BF22,Backdoors!BG22)))))/100,Backdoors!BG22/100),"")</f>
        <v>0</v>
      </c>
      <c r="EG75" s="49">
        <f>IFERROR(IF(VLOOKUP(A75,tbMoveset!A2:J112,10,FALSE)=TRUE,IF((Backdoors!AI12+IF(EE75&gt;=0.45,VLOOKUP(Calculator!E23,tbSkills!DH3:DI6,2,FALSE)+IF(AND(Calculator!B8=TRUE,Backdoors!BI22=TRUE),VLOOKUP(Calculator!E23,tbSkills!DH3:DJ6,3,FALSE),0),0))&gt;=0,1+(Backdoors!AL2*(IF((Backdoors!AI12+IF(EE75&gt;=0.45,VLOOKUP(Calculator!E23,tbSkills!DH3:DI6,2,FALSE)+IF(AND(Calculator!B8=TRUE,Backdoors!BI22=TRUE),VLOOKUP(Calculator!E23,tbSkills!DH3:DJ6,3,FALSE),0),0))&gt;=100,100,(Backdoors!AI12+IF(EE75&gt;=0.45,VLOOKUP(Calculator!E23,tbSkills!DH3:DI6,2,FALSE)+IF(AND(Calculator!B8=TRUE,Backdoors!BI22=TRUE),VLOOKUP(Calculator!E23,tbSkills!DH3:DJ6,3,FALSE),0),0)))/100)),(1-(0.25*((-Backdoors!AI12-IF(EE75&gt;=0.45,VLOOKUP(Calculator!E23,tbSkills!DH3:DI6,2,FALSE)+IF(AND(Calculator!B8=TRUE,Backdoors!BI22=TRUE),VLOOKUP(Calculator!E23,tbSkills!DH3:DJ6,3,FALSE),0),0))/100)))),1),"")</f>
        <v>1</v>
      </c>
      <c r="EH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E75)*EG75)*(VLOOKUP(A75,tbMoveset!A2:C112,3,FALSE)/100)*IF(VLOOKUP(A75,tbMoveset!A2:B112,2,FALSE)="Projectile",Backdoors!N10,Backdoors!N9),0),"")</f>
        <v/>
      </c>
      <c r="EI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E75&gt;=0.45,VLOOKUP(Calculator!E23,tbSkills!DH3:DI6,2,FALSE)+IF(AND(Calculator!B8=TRUE,Backdoors!BI22=TRUE),VLOOKUP(Calculator!E23,tbSkills!DH3:DJ6,3,FALSE),0),0))&gt;=100,100,(Backdoors!AI12+IF(EE75&gt;=0.45,VLOOKUP(Calculator!E23,tbSkills!DH3:DI6,2,FALSE)+IF(AND(Calculator!B8=TRUE,Backdoors!BI22=TRUE),VLOOKUP(Calculator!E23,tbSkills!DH3:DJ6,3,FALSE),0),0)))/100)),1))*IF(VLOOKUP(A75,tbMoveset!A2:K112,11,FALSE)=TRUE,Backdoors!AC5,1))*EF75,0),"")</f>
        <v>0</v>
      </c>
      <c r="EJ75" s="49">
        <f>VLOOKUP(A75,tbMoveset!A2:G112,7,FALSE)*IFERROR(IF(Backdoors!AI12&gt;=0,1+(IF(Calculator!E40&gt;0,VLOOKUP(Calculator!E40,tbSkills!AI3:AJ5,2,FALSE),Backdoors!AL4)*(IF((Backdoors!AI12+IF(EE75&gt;=0.45,VLOOKUP(Calculator!E23,tbSkills!DH3:DI6,2,FALSE)+IF(AND(Calculator!B8=TRUE,Backdoors!BI22=TRUE),VLOOKUP(Calculator!E23,tbSkills!DH3:DJ6,3,FALSE),0),0))&gt;=100,100,(Backdoors!AI12+IF(EE75&gt;=0.45,VLOOKUP(Calculator!E23,tbSkills!DH3:DI6,2,FALSE)+IF(AND(Calculator!B8=TRUE,Backdoors!BI22=TRUE),VLOOKUP(Calculator!E23,tbSkills!DH3:DJ6,3,FALSE),0),0)))/100)),1),1)</f>
        <v>0.6</v>
      </c>
      <c r="EK75" s="87">
        <f t="shared" si="70"/>
        <v>0</v>
      </c>
      <c r="EL75" s="86" t="str">
        <f>IFERROR(IF(VLOOKUP(A75,tbMoveset!A2:B112,2,FALSE)="Sever",Backdoors!AY23/100,IF(VLOOKUP(A75,tbMoveset!A2:B112,2,FALSE)="Blunt",Backdoors!AZ23/100,Backdoors!BA23/100)),"")</f>
        <v/>
      </c>
      <c r="EM75" s="49">
        <f>IFERROR(IF(VLOOKUP(tbMoveset!A75,tbMoveset!A2:H112,8,FALSE)="Other",IF(VLOOKUP(tbMoveset!A75,tbMoveset!A2:I112,9,FALSE)="Fire",Backdoors!BB23,IF(VLOOKUP(tbMoveset!A75,tbMoveset!A2:I112,9,FALSE)="Water",Backdoors!BC23,IF(VLOOKUP(tbMoveset!A75,tbMoveset!A2:I112,9,FALSE)="Thunder",Backdoors!BD23,IF(VLOOKUP(tbMoveset!A75,tbMoveset!A2:I112,9,FALSE)="Ice",Backdoors!BE23,IF(VLOOKUP(tbMoveset!A75,tbMoveset!A2:I112,9,FALSE)="Dragon",Backdoors!BF23,Backdoors!BG23)))))/100,Backdoors!BG23/100),"")</f>
        <v>0</v>
      </c>
      <c r="EN75" s="49">
        <f>IFERROR(IF(VLOOKUP(A75,tbMoveset!A2:J112,10,FALSE)=TRUE,IF((Backdoors!AI12+IF(EL75&gt;=0.45,VLOOKUP(Calculator!E23,tbSkills!DH3:DI6,2,FALSE)+IF(AND(Calculator!B8=TRUE,Backdoors!BI23=TRUE),VLOOKUP(Calculator!E23,tbSkills!DH3:DJ6,3,FALSE),0),0))&gt;=0,1+(Backdoors!AL2*(IF((Backdoors!AI12+IF(EL75&gt;=0.45,VLOOKUP(Calculator!E23,tbSkills!DH3:DI6,2,FALSE)+IF(AND(Calculator!B8=TRUE,Backdoors!BI23=TRUE),VLOOKUP(Calculator!E23,tbSkills!DH3:DJ6,3,FALSE),0),0))&gt;=100,100,(Backdoors!AI12+IF(EL75&gt;=0.45,VLOOKUP(Calculator!E23,tbSkills!DH3:DI6,2,FALSE)+IF(AND(Calculator!B8=TRUE,Backdoors!BI23=TRUE),VLOOKUP(Calculator!E23,tbSkills!DH3:DJ6,3,FALSE),0),0)))/100)),(1-(0.25*((-Backdoors!AI12-IF(EL75&gt;=0.45,VLOOKUP(Calculator!E23,tbSkills!DH3:DI6,2,FALSE)+IF(AND(Calculator!B8=TRUE,Backdoors!BI23=TRUE),VLOOKUP(Calculator!E23,tbSkills!DH3:DJ6,3,FALSE),0),0))/100)))),1),"")</f>
        <v>1</v>
      </c>
      <c r="EO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L75)*EN75)*(VLOOKUP(A75,tbMoveset!A2:C112,3,FALSE)/100)*IF(VLOOKUP(A75,tbMoveset!A2:B112,2,FALSE)="Projectile",Backdoors!N10,Backdoors!N9),0),"")</f>
        <v/>
      </c>
      <c r="EP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L75&gt;=0.45,VLOOKUP(Calculator!E23,tbSkills!DH3:DI6,2,FALSE)+IF(AND(Calculator!B8=TRUE,Backdoors!BI23=TRUE),VLOOKUP(Calculator!E23,tbSkills!DH3:DJ6,3,FALSE),0),0))&gt;=100,100,(Backdoors!AI12+IF(EL75&gt;=0.45,VLOOKUP(Calculator!E23,tbSkills!DH3:DI6,2,FALSE)+IF(AND(Calculator!B8=TRUE,Backdoors!BI23=TRUE),VLOOKUP(Calculator!E23,tbSkills!DH3:DJ6,3,FALSE),0),0)))/100)),1))*IF(VLOOKUP(A75,tbMoveset!A2:K112,11,FALSE)=TRUE,Backdoors!AC5,1))*EM75,0),"")</f>
        <v>0</v>
      </c>
      <c r="EQ75" s="49">
        <f>VLOOKUP(A75,tbMoveset!A2:G112,7,FALSE)*IFERROR(IF(Backdoors!AI12&gt;=0,1+(IF(Calculator!E40&gt;0,VLOOKUP(Calculator!E40,tbSkills!AI3:AJ5,2,FALSE),Backdoors!AL4)*(IF((Backdoors!AI12+IF(EL75&gt;=0.45,VLOOKUP(Calculator!E23,tbSkills!DH3:DI6,2,FALSE)+IF(AND(Calculator!B8=TRUE,Backdoors!BI23=TRUE),VLOOKUP(Calculator!E23,tbSkills!DH3:DJ6,3,FALSE),0),0))&gt;=100,100,(Backdoors!AI12+IF(EL75&gt;=0.45,VLOOKUP(Calculator!E23,tbSkills!DH3:DI6,2,FALSE)+IF(AND(Calculator!B8=TRUE,Backdoors!BI23=TRUE),VLOOKUP(Calculator!E23,tbSkills!DH3:DJ6,3,FALSE),0),0)))/100)),1),1)</f>
        <v>0.6</v>
      </c>
      <c r="ER75" s="87">
        <f t="shared" si="71"/>
        <v>0</v>
      </c>
      <c r="ES75" s="86" t="str">
        <f>IFERROR(IF(VLOOKUP(A75,tbMoveset!A2:B112,2,FALSE)="Sever",Backdoors!AY24/100,IF(VLOOKUP(A75,tbMoveset!A2:B112,2,FALSE)="Blunt",Backdoors!AZ24/100,Backdoors!BA24/100)),"")</f>
        <v/>
      </c>
      <c r="ET75" s="49">
        <f>IFERROR(IF(VLOOKUP(tbMoveset!A75,tbMoveset!A2:H112,8,FALSE)="Other",IF(VLOOKUP(tbMoveset!A75,tbMoveset!A2:I112,9,FALSE)="Fire",Backdoors!BB24,IF(VLOOKUP(tbMoveset!A75,tbMoveset!A2:I112,9,FALSE)="Water",Backdoors!BC24,IF(VLOOKUP(tbMoveset!A75,tbMoveset!A2:I112,9,FALSE)="Thunder",Backdoors!BD24,IF(VLOOKUP(tbMoveset!A75,tbMoveset!A2:I112,9,FALSE)="Ice",Backdoors!BE24,IF(VLOOKUP(tbMoveset!A75,tbMoveset!A2:I112,9,FALSE)="Dragon",Backdoors!BF24,Backdoors!BG24)))))/100,Backdoors!BG24/100),"")</f>
        <v>0</v>
      </c>
      <c r="EU75" s="49">
        <f>IFERROR(IF(VLOOKUP(A75,tbMoveset!A2:J112,10,FALSE)=TRUE,IF((Backdoors!AI12+IF(ES75&gt;=0.45,VLOOKUP(Calculator!E23,tbSkills!DH3:DI6,2,FALSE)+IF(AND(Calculator!B8=TRUE,Backdoors!BI24=TRUE),VLOOKUP(Calculator!E23,tbSkills!DH3:DJ6,3,FALSE),0),0))&gt;=0,1+(Backdoors!AL2*(IF((Backdoors!AI12+IF(ES75&gt;=0.45,VLOOKUP(Calculator!E23,tbSkills!DH3:DI6,2,FALSE)+IF(AND(Calculator!B8=TRUE,Backdoors!BI24=TRUE),VLOOKUP(Calculator!E23,tbSkills!DH3:DJ6,3,FALSE),0),0))&gt;=100,100,(Backdoors!AI12+IF(ES75&gt;=0.45,VLOOKUP(Calculator!E23,tbSkills!DH3:DI6,2,FALSE)+IF(AND(Calculator!B8=TRUE,Backdoors!BI24=TRUE),VLOOKUP(Calculator!E23,tbSkills!DH3:DJ6,3,FALSE),0),0)))/100)),(1-(0.25*((-Backdoors!AI12-IF(ES75&gt;=0.45,VLOOKUP(Calculator!E23,tbSkills!DH3:DI6,2,FALSE)+IF(AND(Calculator!B8=TRUE,Backdoors!BI24=TRUE),VLOOKUP(Calculator!E23,tbSkills!DH3:DJ6,3,FALSE),0),0))/100)))),1),"")</f>
        <v>1</v>
      </c>
      <c r="EV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S75)*EU75)*(VLOOKUP(A75,tbMoveset!A2:C112,3,FALSE)/100)*IF(VLOOKUP(A75,tbMoveset!A2:B112,2,FALSE)="Projectile",Backdoors!N10,Backdoors!N9),0),"")</f>
        <v/>
      </c>
      <c r="EW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S75&gt;=0.45,VLOOKUP(Calculator!E23,tbSkills!DH3:DI6,2,FALSE)+IF(AND(Calculator!B8=TRUE,Backdoors!BI24=TRUE),VLOOKUP(Calculator!E23,tbSkills!DH3:DJ6,3,FALSE),0),0))&gt;=100,100,(Backdoors!AI12+IF(ES75&gt;=0.45,VLOOKUP(Calculator!E23,tbSkills!DH3:DI6,2,FALSE)+IF(AND(Calculator!B8=TRUE,Backdoors!BI24=TRUE),VLOOKUP(Calculator!E23,tbSkills!DH3:DJ6,3,FALSE),0),0)))/100)),1))*IF(VLOOKUP(A75,tbMoveset!A2:K112,11,FALSE)=TRUE,Backdoors!AC5,1))*ET75,0),"")</f>
        <v>0</v>
      </c>
      <c r="EX75" s="49">
        <f>VLOOKUP(A75,tbMoveset!A2:G112,7,FALSE)*IFERROR(IF(Backdoors!AI12&gt;=0,1+(IF(Calculator!E40&gt;0,VLOOKUP(Calculator!E40,tbSkills!AI3:AJ5,2,FALSE),Backdoors!AL4)*(IF((Backdoors!AI12+IF(ES75&gt;=0.45,VLOOKUP(Calculator!E23,tbSkills!DH3:DI6,2,FALSE)+IF(AND(Calculator!B8=TRUE,Backdoors!BI24=TRUE),VLOOKUP(Calculator!E23,tbSkills!DH3:DJ6,3,FALSE),0),0))&gt;=100,100,(Backdoors!AI12+IF(ES75&gt;=0.45,VLOOKUP(Calculator!E23,tbSkills!DH3:DI6,2,FALSE)+IF(AND(Calculator!B8=TRUE,Backdoors!BI24=TRUE),VLOOKUP(Calculator!E23,tbSkills!DH3:DJ6,3,FALSE),0),0)))/100)),1),1)</f>
        <v>0.6</v>
      </c>
      <c r="EY75" s="87">
        <f t="shared" si="72"/>
        <v>0</v>
      </c>
      <c r="EZ75" s="86" t="str">
        <f>IFERROR(IF(VLOOKUP(A75,tbMoveset!A2:B112,2,FALSE)="Sever",Backdoors!AY25/100,IF(VLOOKUP(A75,tbMoveset!A2:B112,2,FALSE)="Blunt",Backdoors!AZ25/100,Backdoors!BA25/100)),"")</f>
        <v/>
      </c>
      <c r="FA75" s="49">
        <f>IFERROR(IF(VLOOKUP(tbMoveset!A75,tbMoveset!A2:H112,8,FALSE)="Other",IF(VLOOKUP(tbMoveset!A75,tbMoveset!A2:I112,9,FALSE)="Fire",Backdoors!BB25,IF(VLOOKUP(tbMoveset!A75,tbMoveset!A2:I112,9,FALSE)="Water",Backdoors!BC25,IF(VLOOKUP(tbMoveset!A75,tbMoveset!A2:I112,9,FALSE)="Thunder",Backdoors!BD25,IF(VLOOKUP(tbMoveset!A75,tbMoveset!A2:I112,9,FALSE)="Ice",Backdoors!BE25,IF(VLOOKUP(tbMoveset!A75,tbMoveset!A2:I112,9,FALSE)="Dragon",Backdoors!BF25,Backdoors!BG25)))))/100,Backdoors!BG25/100),"")</f>
        <v>0</v>
      </c>
      <c r="FB75" s="49">
        <f>IFERROR(IF(VLOOKUP(A75,tbMoveset!A2:J112,10,FALSE)=TRUE,IF((Backdoors!AI12+IF(EZ75&gt;=0.45,VLOOKUP(Calculator!E23,tbSkills!DH3:DI6,2,FALSE)+IF(AND(Calculator!B8=TRUE,Backdoors!BI25=TRUE),VLOOKUP(Calculator!E23,tbSkills!DH3:DJ6,3,FALSE),0),0))&gt;=0,1+(Backdoors!AL2*(IF((Backdoors!AI12+IF(EZ75&gt;=0.45,VLOOKUP(Calculator!E23,tbSkills!DH3:DI6,2,FALSE)+IF(AND(Calculator!B8=TRUE,Backdoors!BI25=TRUE),VLOOKUP(Calculator!E23,tbSkills!DH3:DJ6,3,FALSE),0),0))&gt;=100,100,(Backdoors!AI12+IF(EZ75&gt;=0.45,VLOOKUP(Calculator!E23,tbSkills!DH3:DI6,2,FALSE)+IF(AND(Calculator!B8=TRUE,Backdoors!BI25=TRUE),VLOOKUP(Calculator!E23,tbSkills!DH3:DJ6,3,FALSE),0),0)))/100)),(1-(0.25*((-Backdoors!AI12-IF(EZ75&gt;=0.45,VLOOKUP(Calculator!E23,tbSkills!DH3:DI6,2,FALSE)+IF(AND(Calculator!B8=TRUE,Backdoors!BI25=TRUE),VLOOKUP(Calculator!E23,tbSkills!DH3:DJ6,3,FALSE),0),0))/100)))),1),"")</f>
        <v>1</v>
      </c>
      <c r="FC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Z75)*FB75)*(VLOOKUP(A75,tbMoveset!A2:C112,3,FALSE)/100)*IF(VLOOKUP(A75,tbMoveset!A2:B112,2,FALSE)="Projectile",Backdoors!N10,Backdoors!N9),0),"")</f>
        <v/>
      </c>
      <c r="FD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Z75&gt;=0.45,VLOOKUP(Calculator!E23,tbSkills!DH3:DI6,2,FALSE)+IF(AND(Calculator!B8=TRUE,Backdoors!BI25=TRUE),VLOOKUP(Calculator!E23,tbSkills!DH3:DJ6,3,FALSE),0),0))&gt;=100,100,(Backdoors!AI12+IF(EZ75&gt;=0.45,VLOOKUP(Calculator!E23,tbSkills!DH3:DI6,2,FALSE)+IF(AND(Calculator!B8=TRUE,Backdoors!BI25=TRUE),VLOOKUP(Calculator!E23,tbSkills!DH3:DJ6,3,FALSE),0),0)))/100)),1))*IF(VLOOKUP(A75,tbMoveset!A2:K112,11,FALSE)=TRUE,Backdoors!AC5,1))*FA75,0),"")</f>
        <v>0</v>
      </c>
      <c r="FE75" s="49">
        <f>VLOOKUP(A75,tbMoveset!A2:G112,7,FALSE)*IFERROR(IF(Backdoors!AI12&gt;=0,1+(IF(Calculator!E40&gt;0,VLOOKUP(Calculator!E40,tbSkills!AI3:AJ5,2,FALSE),Backdoors!AL4)*(IF((Backdoors!AI12+IF(EZ75&gt;=0.45,VLOOKUP(Calculator!E23,tbSkills!DH3:DI6,2,FALSE)+IF(AND(Calculator!B8=TRUE,Backdoors!BI25=TRUE),VLOOKUP(Calculator!E23,tbSkills!DH3:DJ6,3,FALSE),0),0))&gt;=100,100,(Backdoors!AI12+IF(EZ75&gt;=0.45,VLOOKUP(Calculator!E23,tbSkills!DH3:DI6,2,FALSE)+IF(AND(Calculator!B8=TRUE,Backdoors!BI25=TRUE),VLOOKUP(Calculator!E23,tbSkills!DH3:DJ6,3,FALSE),0),0)))/100)),1),1)</f>
        <v>0.6</v>
      </c>
      <c r="FF75" s="87">
        <f t="shared" si="73"/>
        <v>0</v>
      </c>
      <c r="FG75" s="86" t="str">
        <f>IFERROR(IF(VLOOKUP(A75,tbMoveset!A2:B112,2,FALSE)="Sever",Backdoors!AY26/100,IF(VLOOKUP(A75,tbMoveset!A2:B112,2,FALSE)="Blunt",Backdoors!AZ26/100,Backdoors!BA26/100)),"")</f>
        <v/>
      </c>
      <c r="FH75" s="49">
        <f>IFERROR(IF(VLOOKUP(tbMoveset!A75,tbMoveset!A2:H112,8,FALSE)="Other",IF(VLOOKUP(tbMoveset!A75,tbMoveset!A2:I112,9,FALSE)="Fire",Backdoors!BB26,IF(VLOOKUP(tbMoveset!A75,tbMoveset!A2:I112,9,FALSE)="Water",Backdoors!BC26,IF(VLOOKUP(tbMoveset!A75,tbMoveset!A2:I112,9,FALSE)="Thunder",Backdoors!BD26,IF(VLOOKUP(tbMoveset!A75,tbMoveset!A2:I112,9,FALSE)="Ice",Backdoors!BE26,IF(VLOOKUP(tbMoveset!A75,tbMoveset!A2:I112,9,FALSE)="Dragon",Backdoors!BF26,Backdoors!BG26)))))/100,Backdoors!BG26/100),"")</f>
        <v>0</v>
      </c>
      <c r="FI75" s="49">
        <f>IFERROR(IF(VLOOKUP(A75,tbMoveset!A2:J112,10,FALSE)=TRUE,IF((Backdoors!AI12+IF(FG75&gt;=0.45,VLOOKUP(Calculator!E23,tbSkills!DH3:DI6,2,FALSE)+IF(AND(Calculator!B8=TRUE,Backdoors!BI26=TRUE),VLOOKUP(Calculator!E23,tbSkills!DH3:DJ6,3,FALSE),0),0))&gt;=0,1+(Backdoors!AL2*(IF((Backdoors!AI12+IF(FG75&gt;=0.45,VLOOKUP(Calculator!E23,tbSkills!DH3:DI6,2,FALSE)+IF(AND(Calculator!B8=TRUE,Backdoors!BI26=TRUE),VLOOKUP(Calculator!E23,tbSkills!DH3:DJ6,3,FALSE),0),0))&gt;=100,100,(Backdoors!AI12+IF(FG75&gt;=0.45,VLOOKUP(Calculator!E23,tbSkills!DH3:DI6,2,FALSE)+IF(AND(Calculator!B8=TRUE,Backdoors!BI26=TRUE),VLOOKUP(Calculator!E23,tbSkills!DH3:DJ6,3,FALSE),0),0)))/100)),(1-(0.25*((-Backdoors!AI12-IF(FG75&gt;=0.45,VLOOKUP(Calculator!E23,tbSkills!DH3:DI6,2,FALSE)+IF(AND(Calculator!B8=TRUE,Backdoors!BI26=TRUE),VLOOKUP(Calculator!E23,tbSkills!DH3:DJ6,3,FALSE),0),0))/100)))),1),"")</f>
        <v>1</v>
      </c>
      <c r="FJ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FG75)*FI75)*(VLOOKUP(A75,tbMoveset!A2:C112,3,FALSE)/100)*IF(VLOOKUP(A75,tbMoveset!A2:B112,2,FALSE)="Projectile",Backdoors!N10,Backdoors!N9),0),"")</f>
        <v/>
      </c>
      <c r="FK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FG75&gt;=0.45,VLOOKUP(Calculator!E23,tbSkills!DH3:DI6,2,FALSE)+IF(AND(Calculator!B8=TRUE,Backdoors!BI26=TRUE),VLOOKUP(Calculator!E23,tbSkills!DH3:DJ6,3,FALSE),0),0))&gt;=100,100,(Backdoors!AI12+IF(FG75&gt;=0.45,VLOOKUP(Calculator!E23,tbSkills!DH3:DI6,2,FALSE)+IF(AND(Calculator!B8=TRUE,Backdoors!BI26=TRUE),VLOOKUP(Calculator!E23,tbSkills!DH3:DJ6,3,FALSE),0),0)))/100)),1))*IF(VLOOKUP(A75,tbMoveset!A2:K112,11,FALSE)=TRUE,Backdoors!AC5,1))*FH75,0),"")</f>
        <v>0</v>
      </c>
      <c r="FL75" s="49">
        <f>VLOOKUP(A75,tbMoveset!A2:G112,7,FALSE)*IFERROR(IF(Backdoors!AI12&gt;=0,1+(IF(Calculator!E40&gt;0,VLOOKUP(Calculator!E40,tbSkills!AI3:AJ5,2,FALSE),Backdoors!AL4)*(IF((Backdoors!AI12+IF(FG75&gt;=0.45,VLOOKUP(Calculator!E23,tbSkills!DH3:DI6,2,FALSE)+IF(AND(Calculator!B8=TRUE,Backdoors!BI26=TRUE),VLOOKUP(Calculator!E23,tbSkills!DH3:DJ6,3,FALSE),0),0))&gt;=100,100,(Backdoors!AI12+IF(FG75&gt;=0.45,VLOOKUP(Calculator!E23,tbSkills!DH3:DI6,2,FALSE)+IF(AND(Calculator!B8=TRUE,Backdoors!BI26=TRUE),VLOOKUP(Calculator!E23,tbSkills!DH3:DJ6,3,FALSE),0),0)))/100)),1),1)</f>
        <v>0.6</v>
      </c>
      <c r="FM75" s="87">
        <f t="shared" si="74"/>
        <v>0</v>
      </c>
      <c r="FN75" s="86" t="str">
        <f>IFERROR(IF(VLOOKUP(A75,tbMoveset!A2:B112,2,FALSE)="Sever",Backdoors!AY27/100,IF(VLOOKUP(A75,tbMoveset!A2:B112,2,FALSE)="Blunt",Backdoors!AZ27/100,Backdoors!BA27/100)),"")</f>
        <v/>
      </c>
      <c r="FO75" s="49">
        <f>IFERROR(IF(VLOOKUP(tbMoveset!A75,tbMoveset!A2:H112,8,FALSE)="Other",IF(VLOOKUP(tbMoveset!A75,tbMoveset!A2:I112,9,FALSE)="Fire",Backdoors!BB27,IF(VLOOKUP(tbMoveset!A75,tbMoveset!A2:I112,9,FALSE)="Water",Backdoors!BC27,IF(VLOOKUP(tbMoveset!A75,tbMoveset!A2:I112,9,FALSE)="Thunder",Backdoors!BD27,IF(VLOOKUP(tbMoveset!A75,tbMoveset!A2:I112,9,FALSE)="Ice",Backdoors!BE27,IF(VLOOKUP(tbMoveset!A75,tbMoveset!A2:I112,9,FALSE)="Dragon",Backdoors!BF27,Backdoors!BG27)))))/100,Backdoors!BG27/100),"")</f>
        <v>0</v>
      </c>
      <c r="FP75" s="49">
        <f>IFERROR(IF(VLOOKUP(A75,tbMoveset!A2:J112,10,FALSE)=TRUE,IF((Backdoors!AI12+IF(FN75&gt;=0.45,VLOOKUP(Calculator!E23,tbSkills!DH3:DI6,2,FALSE)+IF(AND(Calculator!B8=TRUE,Backdoors!BI27=TRUE),VLOOKUP(Calculator!E23,tbSkills!DH3:DJ6,3,FALSE),0),0))&gt;=0,1+(Backdoors!AL2*(IF((Backdoors!AI12+IF(FN75&gt;=0.45,VLOOKUP(Calculator!E23,tbSkills!DH3:DI6,2,FALSE)+IF(AND(Calculator!B8=TRUE,Backdoors!BI27=TRUE),VLOOKUP(Calculator!E23,tbSkills!DH3:DJ6,3,FALSE),0),0))&gt;=100,100,(Backdoors!AI12+IF(FN75&gt;=0.45,VLOOKUP(Calculator!E23,tbSkills!DH3:DI6,2,FALSE)+IF(AND(Calculator!B8=TRUE,Backdoors!BI27=TRUE),VLOOKUP(Calculator!E23,tbSkills!DH3:DJ6,3,FALSE),0),0)))/100)),(1-(0.25*((-Backdoors!AI12-IF(FN75&gt;=0.45,VLOOKUP(Calculator!E23,tbSkills!DH3:DI6,2,FALSE)+IF(AND(Calculator!B8=TRUE,Backdoors!BI27=TRUE),VLOOKUP(Calculator!E23,tbSkills!DH3:DJ6,3,FALSE),0),0))/100)))),1),"")</f>
        <v>1</v>
      </c>
      <c r="FQ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FN75)*FP75)*(VLOOKUP(A75,tbMoveset!A2:C112,3,FALSE)/100)*IF(VLOOKUP(A75,tbMoveset!A2:B112,2,FALSE)="Projectile",Backdoors!N10,Backdoors!N9),0),"")</f>
        <v/>
      </c>
      <c r="FR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FN75&gt;=0.45,VLOOKUP(Calculator!E23,tbSkills!DH3:DI6,2,FALSE)+IF(AND(Calculator!B8=TRUE,Backdoors!BI27=TRUE),VLOOKUP(Calculator!E23,tbSkills!DH3:DJ6,3,FALSE),0),0))&gt;=100,100,(Backdoors!AI12+IF(FN75&gt;=0.45,VLOOKUP(Calculator!E23,tbSkills!DH3:DI6,2,FALSE)+IF(AND(Calculator!B8=TRUE,Backdoors!BI27=TRUE),VLOOKUP(Calculator!E23,tbSkills!DH3:DJ6,3,FALSE),0),0)))/100)),1))*IF(VLOOKUP(A75,tbMoveset!A2:K112,11,FALSE)=TRUE,Backdoors!AC5,1))*FO75,0),"")</f>
        <v>0</v>
      </c>
      <c r="FS75" s="49">
        <f>VLOOKUP(A75,tbMoveset!A2:G112,7,FALSE)*IFERROR(IF(Backdoors!AI12&gt;=0,1+(IF(Calculator!E40&gt;0,VLOOKUP(Calculator!E40,tbSkills!AI3:AJ5,2,FALSE),Backdoors!AL4)*(IF((Backdoors!AI12+IF(FN75&gt;=0.45,VLOOKUP(Calculator!E23,tbSkills!DH3:DI6,2,FALSE)+IF(AND(Calculator!B8=TRUE,Backdoors!BI27=TRUE),VLOOKUP(Calculator!E23,tbSkills!DH3:DJ6,3,FALSE),0),0))&gt;=100,100,(Backdoors!AI12+IF(FN75&gt;=0.45,VLOOKUP(Calculator!E23,tbSkills!DH3:DI6,2,FALSE)+IF(AND(Calculator!B8=TRUE,Backdoors!BI27=TRUE),VLOOKUP(Calculator!E23,tbSkills!DH3:DJ6,3,FALSE),0),0)))/100)),1),1)</f>
        <v>0.6</v>
      </c>
      <c r="FT75" s="87">
        <f t="shared" si="75"/>
        <v>0</v>
      </c>
      <c r="FU75" s="86" t="str">
        <f>IFERROR(IF(VLOOKUP(A75,tbMoveset!A2:B112,2,FALSE)="Sever",Backdoors!AY28/100,IF(VLOOKUP(A75,tbMoveset!A2:B112,2,FALSE)="Blunt",Backdoors!AZ28/100,Backdoors!BA28/100)),"")</f>
        <v/>
      </c>
      <c r="FV75" s="49">
        <f>IFERROR(IF(VLOOKUP(tbMoveset!A75,tbMoveset!A2:H112,8,FALSE)="Other",IF(VLOOKUP(tbMoveset!A75,tbMoveset!A2:I112,9,FALSE)="Fire",Backdoors!BB28,IF(VLOOKUP(tbMoveset!A75,tbMoveset!A2:I112,9,FALSE)="Water",Backdoors!BC28,IF(VLOOKUP(tbMoveset!A75,tbMoveset!A2:I112,9,FALSE)="Thunder",Backdoors!BD28,IF(VLOOKUP(tbMoveset!A75,tbMoveset!A2:I112,9,FALSE)="Ice",Backdoors!BE28,IF(VLOOKUP(tbMoveset!A75,tbMoveset!A2:I112,9,FALSE)="Dragon",Backdoors!BF28,Backdoors!BG28)))))/100,Backdoors!BG28/100),"")</f>
        <v>0</v>
      </c>
      <c r="FW75" s="49">
        <f>IFERROR(IF(VLOOKUP(A75,tbMoveset!A2:J112,10,FALSE)=TRUE,IF((Backdoors!AI12+IF(FU75&gt;=0.45,VLOOKUP(Calculator!E23,tbSkills!DH3:DI6,2,FALSE)+IF(AND(Calculator!B8=TRUE,Backdoors!BI28=TRUE),VLOOKUP(Calculator!E23,tbSkills!DH3:DJ6,3,FALSE),0),0))&gt;=0,1+(Backdoors!AL2*(IF((Backdoors!AI12+IF(FU75&gt;=0.45,VLOOKUP(Calculator!E23,tbSkills!DH3:DI6,2,FALSE)+IF(AND(Calculator!B8=TRUE,Backdoors!BI28=TRUE),VLOOKUP(Calculator!E23,tbSkills!DH3:DJ6,3,FALSE),0),0))&gt;=100,100,(Backdoors!AI12+IF(FU75&gt;=0.45,VLOOKUP(Calculator!E23,tbSkills!DH3:DI6,2,FALSE)+IF(AND(Calculator!B8=TRUE,Backdoors!BI28=TRUE),VLOOKUP(Calculator!E23,tbSkills!DH3:DJ6,3,FALSE),0),0)))/100)),(1-(0.25*((-Backdoors!AI12-IF(FU75&gt;=0.45,VLOOKUP(Calculator!E23,tbSkills!DH3:DI6,2,FALSE)+IF(AND(Calculator!B8=TRUE,Backdoors!BI28=TRUE),VLOOKUP(Calculator!E23,tbSkills!DH3:DJ6,3,FALSE),0),0))/100)))),1),"")</f>
        <v>1</v>
      </c>
      <c r="FX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FU75)*FW75)*(VLOOKUP(A75,tbMoveset!A2:C112,3,FALSE)/100)*IF(VLOOKUP(A75,tbMoveset!A2:B112,2,FALSE)="Projectile",Backdoors!N10,Backdoors!N9),0),"")</f>
        <v/>
      </c>
      <c r="FY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FU75&gt;=0.45,VLOOKUP(Calculator!E23,tbSkills!DH3:DI6,2,FALSE)+IF(AND(Calculator!B8=TRUE,Backdoors!BI28=TRUE),VLOOKUP(Calculator!E23,tbSkills!DH3:DJ6,3,FALSE),0),0))&gt;=100,100,(Backdoors!AI12+IF(FU75&gt;=0.45,VLOOKUP(Calculator!E23,tbSkills!DH3:DI6,2,FALSE)+IF(AND(Calculator!B8=TRUE,Backdoors!BI28=TRUE),VLOOKUP(Calculator!E23,tbSkills!DH3:DJ6,3,FALSE),0),0)))/100)),1))*IF(VLOOKUP(A75,tbMoveset!A2:K112,11,FALSE)=TRUE,Backdoors!AC5,1))*FV75,0),"")</f>
        <v>0</v>
      </c>
      <c r="FZ75" s="49">
        <f>VLOOKUP(A75,tbMoveset!A2:G112,7,FALSE)*IFERROR(IF(Backdoors!AI12&gt;=0,1+(IF(Calculator!E40&gt;0,VLOOKUP(Calculator!E40,tbSkills!AI3:AJ5,2,FALSE),Backdoors!AL4)*(IF((Backdoors!AI12+IF(FU75&gt;=0.45,VLOOKUP(Calculator!E23,tbSkills!DH3:DI6,2,FALSE)+IF(AND(Calculator!B8=TRUE,Backdoors!BI28=TRUE),VLOOKUP(Calculator!E23,tbSkills!DH3:DJ6,3,FALSE),0),0))&gt;=100,100,(Backdoors!AI12+IF(FU75&gt;=0.45,VLOOKUP(Calculator!E23,tbSkills!DH3:DI6,2,FALSE)+IF(AND(Calculator!B8=TRUE,Backdoors!BI28=TRUE),VLOOKUP(Calculator!E23,tbSkills!DH3:DJ6,3,FALSE),0),0)))/100)),1),1)</f>
        <v>0.6</v>
      </c>
      <c r="GA75" s="87">
        <f t="shared" si="76"/>
        <v>0</v>
      </c>
      <c r="GB75" s="86" t="str">
        <f>IFERROR(IF(VLOOKUP(A75,tbMoveset!A2:B112,2,FALSE)="Sever",Backdoors!AY29/100,IF(VLOOKUP(A75,tbMoveset!A2:B112,2,FALSE)="Blunt",Backdoors!AZ29/100,Backdoors!BA29/100)),"")</f>
        <v/>
      </c>
      <c r="GC75" s="49">
        <f>IFERROR(IF(VLOOKUP(tbMoveset!A75,tbMoveset!A2:H112,8,FALSE)="Other",IF(VLOOKUP(tbMoveset!A75,tbMoveset!A2:I112,9,FALSE)="Fire",Backdoors!BB29,IF(VLOOKUP(tbMoveset!A75,tbMoveset!A2:I112,9,FALSE)="Water",Backdoors!BC29,IF(VLOOKUP(tbMoveset!A75,tbMoveset!A2:I112,9,FALSE)="Thunder",Backdoors!BD29,IF(VLOOKUP(tbMoveset!A75,tbMoveset!A2:I112,9,FALSE)="Ice",Backdoors!BE29,IF(VLOOKUP(tbMoveset!A75,tbMoveset!A2:I112,9,FALSE)="Dragon",Backdoors!BF29,Backdoors!BG29)))))/100,Backdoors!BG29/100),"")</f>
        <v>0</v>
      </c>
      <c r="GD75" s="49">
        <f>IFERROR(IF(VLOOKUP(A75,tbMoveset!A2:J112,10,FALSE)=TRUE,IF((Backdoors!AI12+IF(GB75&gt;=0.45,VLOOKUP(Calculator!E23,tbSkills!DH3:DI6,2,FALSE)+IF(AND(Calculator!B8=TRUE,Backdoors!BI29=TRUE),VLOOKUP(Calculator!E23,tbSkills!DH3:DJ6,3,FALSE),0),0))&gt;=0,1+(Backdoors!AL2*(IF((Backdoors!AI12+IF(GB75&gt;=0.45,VLOOKUP(Calculator!E23,tbSkills!DH3:DI6,2,FALSE)+IF(AND(Calculator!B8=TRUE,Backdoors!BI29=TRUE),VLOOKUP(Calculator!E23,tbSkills!DH3:DJ6,3,FALSE),0),0))&gt;=100,100,(Backdoors!AI12+IF(GB75&gt;=0.45,VLOOKUP(Calculator!E23,tbSkills!DH3:DI6,2,FALSE)+IF(AND(Calculator!B8=TRUE,Backdoors!BI29=TRUE),VLOOKUP(Calculator!E23,tbSkills!DH3:DJ6,3,FALSE),0),0)))/100)),(1-(0.25*((-Backdoors!AI12-IF(GB75&gt;=0.45,VLOOKUP(Calculator!E23,tbSkills!DH3:DI6,2,FALSE)+IF(AND(Calculator!B8=TRUE,Backdoors!BI29=TRUE),VLOOKUP(Calculator!E23,tbSkills!DH3:DJ6,3,FALSE),0),0))/100)))),1),"")</f>
        <v>1</v>
      </c>
      <c r="GE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B75)*GD75)*(VLOOKUP(A75,tbMoveset!A2:C112,3,FALSE)/100)*IF(VLOOKUP(A75,tbMoveset!A2:B112,2,FALSE)="Projectile",Backdoors!N10,Backdoors!N9),0),"")</f>
        <v/>
      </c>
      <c r="GF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B75&gt;=0.45,VLOOKUP(Calculator!E23,tbSkills!DH3:DI6,2,FALSE)+IF(AND(Calculator!B8=TRUE,Backdoors!BI29=TRUE),VLOOKUP(Calculator!E23,tbSkills!DH3:DJ6,3,FALSE),0),0))&gt;=100,100,(Backdoors!AI12+IF(GB75&gt;=0.45,VLOOKUP(Calculator!E23,tbSkills!DH3:DI6,2,FALSE)+IF(AND(Calculator!B8=TRUE,Backdoors!BI29=TRUE),VLOOKUP(Calculator!E23,tbSkills!DH3:DJ6,3,FALSE),0),0)))/100)),1))*IF(VLOOKUP(A75,tbMoveset!A2:K112,11,FALSE)=TRUE,Backdoors!AC5,1))*GC75,0),"")</f>
        <v>0</v>
      </c>
      <c r="GG75" s="49">
        <f>VLOOKUP(A75,tbMoveset!A2:G112,7,FALSE)*IFERROR(IF(Backdoors!AI12&gt;=0,1+(IF(Calculator!E40&gt;0,VLOOKUP(Calculator!E40,tbSkills!AI3:AJ5,2,FALSE),Backdoors!AL4)*(IF((Backdoors!AI12+IF(GB75&gt;=0.45,VLOOKUP(Calculator!E23,tbSkills!DH3:DI6,2,FALSE)+IF(AND(Calculator!B8=TRUE,Backdoors!BI29=TRUE),VLOOKUP(Calculator!E23,tbSkills!DH3:DJ6,3,FALSE),0),0))&gt;=100,100,(Backdoors!AI12+IF(GB75&gt;=0.45,VLOOKUP(Calculator!E23,tbSkills!DH3:DI6,2,FALSE)+IF(AND(Calculator!B8=TRUE,Backdoors!BI29=TRUE),VLOOKUP(Calculator!E23,tbSkills!DH3:DJ6,3,FALSE),0),0)))/100)),1),1)</f>
        <v>0.6</v>
      </c>
      <c r="GH75" s="87">
        <f t="shared" si="77"/>
        <v>0</v>
      </c>
      <c r="GI75" s="86" t="str">
        <f>IFERROR(IF(VLOOKUP(A75,tbMoveset!A2:B112,2,FALSE)="Sever",Backdoors!AY30/100,IF(VLOOKUP(A75,tbMoveset!A2:B112,2,FALSE)="Blunt",Backdoors!AZ30/100,Backdoors!BA30/100)),"")</f>
        <v/>
      </c>
      <c r="GJ75" s="49">
        <f>IFERROR(IF(VLOOKUP(tbMoveset!A75,tbMoveset!A2:H112,8,FALSE)="Other",IF(VLOOKUP(tbMoveset!A75,tbMoveset!A2:I112,9,FALSE)="Fire",Backdoors!BB30,IF(VLOOKUP(tbMoveset!A75,tbMoveset!A2:I112,9,FALSE)="Water",Backdoors!BC30,IF(VLOOKUP(tbMoveset!A75,tbMoveset!A2:I112,9,FALSE)="Thunder",Backdoors!BD30,IF(VLOOKUP(tbMoveset!A75,tbMoveset!A2:I112,9,FALSE)="Ice",Backdoors!BE30,IF(VLOOKUP(tbMoveset!A75,tbMoveset!A2:I112,9,FALSE)="Dragon",Backdoors!BF30,Backdoors!BG30)))))/100,Backdoors!BG30/100),"")</f>
        <v>0</v>
      </c>
      <c r="GK75" s="49">
        <f>IFERROR(IF(VLOOKUP(A75,tbMoveset!A2:J112,10,FALSE)=TRUE,IF((Backdoors!AI12+IF(GI75&gt;=0.45,VLOOKUP(Calculator!E23,tbSkills!DH3:DI6,2,FALSE)+IF(AND(Calculator!B8=TRUE,Backdoors!BI30=TRUE),VLOOKUP(Calculator!E23,tbSkills!DH3:DJ6,3,FALSE),0),0))&gt;=0,1+(Backdoors!AL2*(IF((Backdoors!AI12+IF(GI75&gt;=0.45,VLOOKUP(Calculator!E23,tbSkills!DH3:DI6,2,FALSE)+IF(AND(Calculator!B8=TRUE,Backdoors!BI30=TRUE),VLOOKUP(Calculator!E23,tbSkills!DH3:DJ6,3,FALSE),0),0))&gt;=100,100,(Backdoors!AI12+IF(GI75&gt;=0.45,VLOOKUP(Calculator!E23,tbSkills!DH3:DI6,2,FALSE)+IF(AND(Calculator!B8=TRUE,Backdoors!BI30=TRUE),VLOOKUP(Calculator!E23,tbSkills!DH3:DJ6,3,FALSE),0),0)))/100)),(1-(0.25*((-Backdoors!AI12-IF(GI75&gt;=0.45,VLOOKUP(Calculator!E23,tbSkills!DH3:DI6,2,FALSE)+IF(AND(Calculator!B8=TRUE,Backdoors!BI30=TRUE),VLOOKUP(Calculator!E23,tbSkills!DH3:DJ6,3,FALSE),0),0))/100)))),1),"")</f>
        <v>1</v>
      </c>
      <c r="GL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I75)*GK75)*(VLOOKUP(A75,tbMoveset!A2:C112,3,FALSE)/100)*IF(VLOOKUP(A75,tbMoveset!A2:B112,2,FALSE)="Projectile",Backdoors!N10,Backdoors!N9),0),"")</f>
        <v/>
      </c>
      <c r="GM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I75&gt;=0.45,VLOOKUP(Calculator!E23,tbSkills!DH3:DI6,2,FALSE)+IF(AND(Calculator!B8=TRUE,Backdoors!BI30=TRUE),VLOOKUP(Calculator!E23,tbSkills!DH3:DJ6,3,FALSE),0),0))&gt;=100,100,(Backdoors!AI12+IF(GI75&gt;=0.45,VLOOKUP(Calculator!E23,tbSkills!DH3:DI6,2,FALSE)+IF(AND(Calculator!B8=TRUE,Backdoors!BI30=TRUE),VLOOKUP(Calculator!E23,tbSkills!DH3:DJ6,3,FALSE),0),0)))/100)),1))*IF(VLOOKUP(A75,tbMoveset!A2:K112,11,FALSE)=TRUE,Backdoors!AC5,1))*GJ75,0),"")</f>
        <v>0</v>
      </c>
      <c r="GN75" s="49">
        <f>VLOOKUP(A75,tbMoveset!A2:G112,7,FALSE)*IFERROR(IF(Backdoors!AI12&gt;=0,1+(IF(Calculator!E40&gt;0,VLOOKUP(Calculator!E40,tbSkills!AI3:AJ5,2,FALSE),Backdoors!AL4)*(IF((Backdoors!AI12+IF(GI75&gt;=0.45,VLOOKUP(Calculator!E23,tbSkills!DH3:DI6,2,FALSE)+IF(AND(Calculator!B8=TRUE,Backdoors!BI30=TRUE),VLOOKUP(Calculator!E23,tbSkills!DH3:DJ6,3,FALSE),0),0))&gt;=100,100,(Backdoors!AI12+IF(GI75&gt;=0.45,VLOOKUP(Calculator!E23,tbSkills!DH3:DI6,2,FALSE)+IF(AND(Calculator!B8=TRUE,Backdoors!BI30=TRUE),VLOOKUP(Calculator!E23,tbSkills!DH3:DJ6,3,FALSE),0),0)))/100)),1),1)</f>
        <v>0.6</v>
      </c>
      <c r="GO75" s="87">
        <f t="shared" si="78"/>
        <v>0</v>
      </c>
      <c r="GP75" s="86" t="str">
        <f>IFERROR(IF(VLOOKUP(A75,tbMoveset!A2:B112,2,FALSE)="Sever",Backdoors!AY31/100,IF(VLOOKUP(A75,tbMoveset!A2:B112,2,FALSE)="Blunt",Backdoors!AZ31/100,Backdoors!BA31/100)),"")</f>
        <v/>
      </c>
      <c r="GQ75" s="49">
        <f>IFERROR(IF(VLOOKUP(tbMoveset!A75,tbMoveset!A2:H112,8,FALSE)="Other",IF(VLOOKUP(tbMoveset!A75,tbMoveset!A2:I112,9,FALSE)="Fire",Backdoors!BB31,IF(VLOOKUP(tbMoveset!A75,tbMoveset!A2:I112,9,FALSE)="Water",Backdoors!BC31,IF(VLOOKUP(tbMoveset!A75,tbMoveset!A2:I112,9,FALSE)="Thunder",Backdoors!BD31,IF(VLOOKUP(tbMoveset!A75,tbMoveset!A2:I112,9,FALSE)="Ice",Backdoors!BE31,IF(VLOOKUP(tbMoveset!A75,tbMoveset!A2:I112,9,FALSE)="Dragon",Backdoors!BF31,Backdoors!BG31)))))/100,Backdoors!BG31/100),"")</f>
        <v>0</v>
      </c>
      <c r="GR75" s="49">
        <f>IFERROR(IF(VLOOKUP(A75,tbMoveset!A2:J112,10,FALSE)=TRUE,IF((Backdoors!AI12+IF(GP75&gt;=0.45,VLOOKUP(Calculator!E23,tbSkills!DH3:DI6,2,FALSE)+IF(AND(Calculator!B8=TRUE,Backdoors!BI31=TRUE),VLOOKUP(Calculator!E23,tbSkills!DH3:DJ6,3,FALSE),0),0))&gt;=0,1+(Backdoors!AL2*(IF((Backdoors!AI12+IF(GP75&gt;=0.45,VLOOKUP(Calculator!E23,tbSkills!DH3:DI6,2,FALSE)+IF(AND(Calculator!B8=TRUE,Backdoors!BI31=TRUE),VLOOKUP(Calculator!E23,tbSkills!DH3:DJ6,3,FALSE),0),0))&gt;=100,100,(Backdoors!AI12+IF(GP75&gt;=0.45,VLOOKUP(Calculator!E23,tbSkills!DH3:DI6,2,FALSE)+IF(AND(Calculator!B8=TRUE,Backdoors!BI31=TRUE),VLOOKUP(Calculator!E23,tbSkills!DH3:DJ6,3,FALSE),0),0)))/100)),(1-(0.25*((-Backdoors!AI12-IF(GP75&gt;=0.45,VLOOKUP(Calculator!E23,tbSkills!DH3:DI6,2,FALSE)+IF(AND(Calculator!B8=TRUE,Backdoors!BI31=TRUE),VLOOKUP(Calculator!E23,tbSkills!DH3:DJ6,3,FALSE),0),0))/100)))),1),"")</f>
        <v>1</v>
      </c>
      <c r="GS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P75)*GR75)*(VLOOKUP(A75,tbMoveset!A2:C112,3,FALSE)/100)*IF(VLOOKUP(A75,tbMoveset!A2:B112,2,FALSE)="Projectile",Backdoors!N10,Backdoors!N9),0),"")</f>
        <v/>
      </c>
      <c r="GT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P75&gt;=0.45,VLOOKUP(Calculator!E23,tbSkills!DH3:DI6,2,FALSE)+IF(AND(Calculator!B8=TRUE,Backdoors!BI31=TRUE),VLOOKUP(Calculator!E23,tbSkills!DH3:DJ6,3,FALSE),0),0))&gt;=100,100,(Backdoors!AI12+IF(GP75&gt;=0.45,VLOOKUP(Calculator!E23,tbSkills!DH3:DI6,2,FALSE)+IF(AND(Calculator!B8=TRUE,Backdoors!BI31=TRUE),VLOOKUP(Calculator!E23,tbSkills!DH3:DJ6,3,FALSE),0),0)))/100)),1))*IF(VLOOKUP(A75,tbMoveset!A2:K112,11,FALSE)=TRUE,Backdoors!AC5,1))*GQ75,0),"")</f>
        <v>0</v>
      </c>
      <c r="GU75" s="49">
        <f>VLOOKUP(A75,tbMoveset!A2:G112,7,FALSE)*IFERROR(IF(Backdoors!AI12&gt;=0,1+(IF(Calculator!E40&gt;0,VLOOKUP(Calculator!E40,tbSkills!AI3:AJ5,2,FALSE),Backdoors!AL4)*(IF((Backdoors!AI12+IF(GP75&gt;=0.45,VLOOKUP(Calculator!E23,tbSkills!DH3:DI6,2,FALSE)+IF(AND(Calculator!B8=TRUE,Backdoors!BI31=TRUE),VLOOKUP(Calculator!E23,tbSkills!DH3:DJ6,3,FALSE),0),0))&gt;=100,100,(Backdoors!AI12+IF(GP75&gt;=0.45,VLOOKUP(Calculator!E23,tbSkills!DH3:DI6,2,FALSE)+IF(AND(Calculator!B8=TRUE,Backdoors!BI31=TRUE),VLOOKUP(Calculator!E23,tbSkills!DH3:DJ6,3,FALSE),0),0)))/100)),1),1)</f>
        <v>0.6</v>
      </c>
      <c r="GV75" s="87">
        <f t="shared" si="79"/>
        <v>0</v>
      </c>
      <c r="GW75" s="86" t="str">
        <f>IFERROR(IF(VLOOKUP(A75,tbMoveset!A2:B112,2,FALSE)="Sever",Backdoors!AY32/100,IF(VLOOKUP(A75,tbMoveset!A2:B112,2,FALSE)="Blunt",Backdoors!AZ32/100,Backdoors!BA32/100)),"")</f>
        <v/>
      </c>
      <c r="GX75" s="49">
        <f>IFERROR(IF(VLOOKUP(tbMoveset!A75,tbMoveset!A2:H112,8,FALSE)="Other",IF(VLOOKUP(tbMoveset!A75,tbMoveset!A2:I112,9,FALSE)="Fire",Backdoors!BB32,IF(VLOOKUP(tbMoveset!A75,tbMoveset!A2:I112,9,FALSE)="Water",Backdoors!BC32,IF(VLOOKUP(tbMoveset!A75,tbMoveset!A2:I112,9,FALSE)="Thunder",Backdoors!BD32,IF(VLOOKUP(tbMoveset!A75,tbMoveset!A2:I112,9,FALSE)="Ice",Backdoors!BE32,IF(VLOOKUP(tbMoveset!A75,tbMoveset!A2:I112,9,FALSE)="Dragon",Backdoors!BF32,Backdoors!BG32)))))/100,Backdoors!BG32/100),"")</f>
        <v>0</v>
      </c>
      <c r="GY75" s="49">
        <f>IFERROR(IF(VLOOKUP(A75,tbMoveset!A2:J112,10,FALSE)=TRUE,IF((Backdoors!AI12+IF(GW75&gt;=0.45,VLOOKUP(Calculator!E23,tbSkills!DH3:DI6,2,FALSE)+IF(AND(Calculator!B8=TRUE,Backdoors!BI32=TRUE),VLOOKUP(Calculator!E23,tbSkills!DH3:DJ6,3,FALSE),0),0))&gt;=0,1+(Backdoors!AL2*(IF((Backdoors!AI12+IF(GW75&gt;=0.45,VLOOKUP(Calculator!E23,tbSkills!DH3:DI6,2,FALSE)+IF(AND(Calculator!B8=TRUE,Backdoors!BI32=TRUE),VLOOKUP(Calculator!E23,tbSkills!DH3:DJ6,3,FALSE),0),0))&gt;=100,100,(Backdoors!AI12+IF(GW75&gt;=0.45,VLOOKUP(Calculator!E23,tbSkills!DH3:DI6,2,FALSE)+IF(AND(Calculator!B8=TRUE,Backdoors!BI32=TRUE),VLOOKUP(Calculator!E23,tbSkills!DH3:DJ6,3,FALSE),0),0)))/100)),(1-(0.25*((-Backdoors!AI12-IF(GW75&gt;=0.45,VLOOKUP(Calculator!E23,tbSkills!DH3:DI6,2,FALSE)+IF(AND(Calculator!B8=TRUE,Backdoors!BI32=TRUE),VLOOKUP(Calculator!E23,tbSkills!DH3:DJ6,3,FALSE),0),0))/100)))),1),"")</f>
        <v>1</v>
      </c>
      <c r="GZ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W75)*GY75)*(VLOOKUP(A75,tbMoveset!A2:C112,3,FALSE)/100)*IF(VLOOKUP(A75,tbMoveset!A2:B112,2,FALSE)="Projectile",Backdoors!N10,Backdoors!N9),0),"")</f>
        <v/>
      </c>
      <c r="HA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W75&gt;=0.45,VLOOKUP(Calculator!E23,tbSkills!DH3:DI6,2,FALSE)+IF(AND(Calculator!B8=TRUE,Backdoors!BI32=TRUE),VLOOKUP(Calculator!E23,tbSkills!DH3:DJ6,3,FALSE),0),0))&gt;=100,100,(Backdoors!AI12+IF(GW75&gt;=0.45,VLOOKUP(Calculator!E23,tbSkills!DH3:DI6,2,FALSE)+IF(AND(Calculator!B8=TRUE,Backdoors!BI32=TRUE),VLOOKUP(Calculator!E23,tbSkills!DH3:DJ6,3,FALSE),0),0)))/100)),1))*IF(VLOOKUP(A75,tbMoveset!A2:K112,11,FALSE)=TRUE,Backdoors!AC5,1))*GX75,0),"")</f>
        <v>0</v>
      </c>
      <c r="HB75" s="49">
        <f>VLOOKUP(A75,tbMoveset!A2:G112,7,FALSE)*IFERROR(IF(Backdoors!AI12&gt;=0,1+(IF(Calculator!E40&gt;0,VLOOKUP(Calculator!E40,tbSkills!AI3:AJ5,2,FALSE),Backdoors!AL4)*(IF((Backdoors!AI12+IF(GW75&gt;=0.45,VLOOKUP(Calculator!E23,tbSkills!DH3:DI6,2,FALSE)+IF(AND(Calculator!B8=TRUE,Backdoors!BI32=TRUE),VLOOKUP(Calculator!E23,tbSkills!DH3:DJ6,3,FALSE),0),0))&gt;=100,100,(Backdoors!AI12+IF(GW75&gt;=0.45,VLOOKUP(Calculator!E23,tbSkills!DH3:DI6,2,FALSE)+IF(AND(Calculator!B8=TRUE,Backdoors!BI32=TRUE),VLOOKUP(Calculator!E23,tbSkills!DH3:DJ6,3,FALSE),0),0)))/100)),1),1)</f>
        <v>0.6</v>
      </c>
      <c r="HC75" s="87">
        <f t="shared" si="80"/>
        <v>0</v>
      </c>
      <c r="HD75" s="86" t="str">
        <f>IFERROR(IF(VLOOKUP(A75,tbMoveset!A2:B112,2,FALSE)="Sever",Backdoors!AY33/100,IF(VLOOKUP(A75,tbMoveset!A2:B112,2,FALSE)="Blunt",Backdoors!AZ33/100,Backdoors!BA33/100)),"")</f>
        <v/>
      </c>
      <c r="HE75" s="49">
        <f>IFERROR(IF(VLOOKUP(tbMoveset!A75,tbMoveset!A2:H112,8,FALSE)="Other",IF(VLOOKUP(tbMoveset!A75,tbMoveset!A2:I112,9,FALSE)="Fire",Backdoors!BB33,IF(VLOOKUP(tbMoveset!A75,tbMoveset!A2:I112,9,FALSE)="Water",Backdoors!BC33,IF(VLOOKUP(tbMoveset!A75,tbMoveset!A2:I112,9,FALSE)="Thunder",Backdoors!BD33,IF(VLOOKUP(tbMoveset!A75,tbMoveset!A2:I112,9,FALSE)="Ice",Backdoors!BE33,IF(VLOOKUP(tbMoveset!A75,tbMoveset!A2:I112,9,FALSE)="Dragon",Backdoors!BF33,Backdoors!BG33)))))/100,Backdoors!BG33/100),"")</f>
        <v>0</v>
      </c>
      <c r="HF75" s="49">
        <f>IFERROR(IF(VLOOKUP(A75,tbMoveset!A2:J112,10,FALSE)=TRUE,IF((Backdoors!AI12+IF(HD75&gt;=0.45,VLOOKUP(Calculator!E23,tbSkills!DH3:DI6,2,FALSE)+IF(AND(Calculator!B8=TRUE,Backdoors!BI33=TRUE),VLOOKUP(Calculator!E23,tbSkills!DH3:DJ6,3,FALSE),0),0))&gt;=0,1+(Backdoors!AL2*(IF((Backdoors!AI12+IF(HD75&gt;=0.45,VLOOKUP(Calculator!E23,tbSkills!DH3:DI6,2,FALSE)+IF(AND(Calculator!B8=TRUE,Backdoors!BI33=TRUE),VLOOKUP(Calculator!E23,tbSkills!DH3:DJ6,3,FALSE),0),0))&gt;=100,100,(Backdoors!AI12+IF(HD75&gt;=0.45,VLOOKUP(Calculator!E23,tbSkills!DH3:DI6,2,FALSE)+IF(AND(Calculator!B8=TRUE,Backdoors!BI33=TRUE),VLOOKUP(Calculator!E23,tbSkills!DH3:DJ6,3,FALSE),0),0)))/100)),(1-(0.25*((-Backdoors!AI12-IF(HD75&gt;=0.45,VLOOKUP(Calculator!E23,tbSkills!DH3:DI6,2,FALSE)+IF(AND(Calculator!B8=TRUE,Backdoors!BI33=TRUE),VLOOKUP(Calculator!E23,tbSkills!DH3:DJ6,3,FALSE),0),0))/100)))),1),"")</f>
        <v>1</v>
      </c>
      <c r="HG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D75)*HF75)*(VLOOKUP(A75,tbMoveset!A2:C112,3,FALSE)/100)*IF(VLOOKUP(A75,tbMoveset!A2:B112,2,FALSE)="Projectile",Backdoors!N10,Backdoors!N9),0),"")</f>
        <v/>
      </c>
      <c r="HH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D75&gt;=0.45,VLOOKUP(Calculator!E23,tbSkills!DH3:DI6,2,FALSE)+IF(AND(Calculator!B8=TRUE,Backdoors!BI33=TRUE),VLOOKUP(Calculator!E23,tbSkills!DH3:DJ6,3,FALSE),0),0))&gt;=100,100,(Backdoors!AI12+IF(HD75&gt;=0.45,VLOOKUP(Calculator!E23,tbSkills!DH3:DI6,2,FALSE)+IF(AND(Calculator!B8=TRUE,Backdoors!BI33=TRUE),VLOOKUP(Calculator!E23,tbSkills!DH3:DJ6,3,FALSE),0),0)))/100)),1))*IF(VLOOKUP(A75,tbMoveset!A2:K112,11,FALSE)=TRUE,Backdoors!AC5,1))*HE75,0),"")</f>
        <v>0</v>
      </c>
      <c r="HI75" s="49">
        <f>VLOOKUP(A75,tbMoveset!A2:G112,7,FALSE)*IFERROR(IF(Backdoors!AI12&gt;=0,1+(IF(Calculator!E40&gt;0,VLOOKUP(Calculator!E40,tbSkills!AI3:AJ5,2,FALSE),Backdoors!AL4)*(IF((Backdoors!AI12+IF(HD75&gt;=0.45,VLOOKUP(Calculator!E23,tbSkills!DH3:DI6,2,FALSE)+IF(AND(Calculator!B8=TRUE,Backdoors!BI33=TRUE),VLOOKUP(Calculator!E23,tbSkills!DH3:DJ6,3,FALSE),0),0))&gt;=100,100,(Backdoors!AI12+IF(HD75&gt;=0.45,VLOOKUP(Calculator!E23,tbSkills!DH3:DI6,2,FALSE)+IF(AND(Calculator!B8=TRUE,Backdoors!BI33=TRUE),VLOOKUP(Calculator!E23,tbSkills!DH3:DJ6,3,FALSE),0),0)))/100)),1),1)</f>
        <v>0.6</v>
      </c>
      <c r="HJ75" s="87">
        <f t="shared" si="81"/>
        <v>0</v>
      </c>
      <c r="HK75" s="86" t="str">
        <f>IFERROR(IF(VLOOKUP(A75,tbMoveset!A2:B112,2,FALSE)="Sever",Backdoors!AY34/100,IF(VLOOKUP(A75,tbMoveset!A2:B112,2,FALSE)="Blunt",Backdoors!AZ34/100,Backdoors!BA34/100)),"")</f>
        <v/>
      </c>
      <c r="HL75" s="49">
        <f>IFERROR(IF(VLOOKUP(tbMoveset!A75,tbMoveset!A2:H112,8,FALSE)="Other",IF(VLOOKUP(tbMoveset!A75,tbMoveset!A2:I112,9,FALSE)="Fire",Backdoors!BB34,IF(VLOOKUP(tbMoveset!A75,tbMoveset!A2:I112,9,FALSE)="Water",Backdoors!BC34,IF(VLOOKUP(tbMoveset!A75,tbMoveset!A2:I112,9,FALSE)="Thunder",Backdoors!BD34,IF(VLOOKUP(tbMoveset!A75,tbMoveset!A2:I112,9,FALSE)="Ice",Backdoors!BE34,IF(VLOOKUP(tbMoveset!A75,tbMoveset!A2:I112,9,FALSE)="Dragon",Backdoors!BF34,Backdoors!BG34)))))/100,Backdoors!BG34/100),"")</f>
        <v>0</v>
      </c>
      <c r="HM75" s="49">
        <f>IFERROR(IF(VLOOKUP(A75,tbMoveset!A2:J112,10,FALSE)=TRUE,IF((Backdoors!AI12+IF(HK75&gt;=0.45,VLOOKUP(Calculator!E23,tbSkills!DH3:DI6,2,FALSE)+IF(AND(Calculator!B8=TRUE,Backdoors!BI34=TRUE),VLOOKUP(Calculator!E23,tbSkills!DH3:DJ6,3,FALSE),0),0))&gt;=0,1+(Backdoors!AL2*(IF((Backdoors!AI12+IF(HK75&gt;=0.45,VLOOKUP(Calculator!E23,tbSkills!DH3:DI6,2,FALSE)+IF(AND(Calculator!B8=TRUE,Backdoors!BI34=TRUE),VLOOKUP(Calculator!E23,tbSkills!DH3:DJ6,3,FALSE),0),0))&gt;=100,100,(Backdoors!AI12+IF(HK75&gt;=0.45,VLOOKUP(Calculator!E23,tbSkills!DH3:DI6,2,FALSE)+IF(AND(Calculator!B8=TRUE,Backdoors!BI34=TRUE),VLOOKUP(Calculator!E23,tbSkills!DH3:DJ6,3,FALSE),0),0)))/100)),(1-(0.25*((-Backdoors!AI12-IF(HK75&gt;=0.45,VLOOKUP(Calculator!E23,tbSkills!DH3:DI6,2,FALSE)+IF(AND(Calculator!B8=TRUE,Backdoors!BI34=TRUE),VLOOKUP(Calculator!E23,tbSkills!DH3:DJ6,3,FALSE),0),0))/100)))),1),"")</f>
        <v>1</v>
      </c>
      <c r="HN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K75)*HM75)*(VLOOKUP(A75,tbMoveset!A2:C112,3,FALSE)/100)*IF(VLOOKUP(A75,tbMoveset!A2:B112,2,FALSE)="Projectile",Backdoors!N10,Backdoors!N9),0),"")</f>
        <v/>
      </c>
      <c r="HO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K75&gt;=0.45,VLOOKUP(Calculator!E23,tbSkills!DH3:DI6,2,FALSE)+IF(AND(Calculator!B8=TRUE,Backdoors!BI34=TRUE),VLOOKUP(Calculator!E23,tbSkills!DH3:DJ6,3,FALSE),0),0))&gt;=100,100,(Backdoors!AI12+IF(HK75&gt;=0.45,VLOOKUP(Calculator!E23,tbSkills!DH3:DI6,2,FALSE)+IF(AND(Calculator!B8=TRUE,Backdoors!BI34=TRUE),VLOOKUP(Calculator!E23,tbSkills!DH3:DJ6,3,FALSE),0),0)))/100)),1))*IF(VLOOKUP(A75,tbMoveset!A2:K112,11,FALSE)=TRUE,Backdoors!AC5,1))*HL75,0),"")</f>
        <v>0</v>
      </c>
      <c r="HP75" s="49">
        <f>VLOOKUP(A75,tbMoveset!A2:G112,7,FALSE)*IFERROR(IF(Backdoors!AI12&gt;=0,1+(IF(Calculator!E40&gt;0,VLOOKUP(Calculator!E40,tbSkills!AI3:AJ5,2,FALSE),Backdoors!AL4)*(IF((Backdoors!AI12+IF(HK75&gt;=0.45,VLOOKUP(Calculator!E23,tbSkills!DH3:DI6,2,FALSE)+IF(AND(Calculator!B8=TRUE,Backdoors!BI34=TRUE),VLOOKUP(Calculator!E23,tbSkills!DH3:DJ6,3,FALSE),0),0))&gt;=100,100,(Backdoors!AI12+IF(HK75&gt;=0.45,VLOOKUP(Calculator!E23,tbSkills!DH3:DI6,2,FALSE)+IF(AND(Calculator!B8=TRUE,Backdoors!BI34=TRUE),VLOOKUP(Calculator!E23,tbSkills!DH3:DJ6,3,FALSE),0),0)))/100)),1),1)</f>
        <v>0.6</v>
      </c>
      <c r="HQ75" s="87">
        <f t="shared" si="82"/>
        <v>0</v>
      </c>
      <c r="HR75" s="86" t="str">
        <f>IFERROR(IF(VLOOKUP(A75,tbMoveset!A2:B112,2,FALSE)="Sever",Backdoors!AY35/100,IF(VLOOKUP(A75,tbMoveset!A2:B112,2,FALSE)="Blunt",Backdoors!AZ35/100,Backdoors!BA35/100)),"")</f>
        <v/>
      </c>
      <c r="HS75" s="49">
        <f>IFERROR(IF(VLOOKUP(tbMoveset!A75,tbMoveset!A2:H112,8,FALSE)="Other",IF(VLOOKUP(tbMoveset!A75,tbMoveset!A2:I112,9,FALSE)="Fire",Backdoors!BB35,IF(VLOOKUP(tbMoveset!A75,tbMoveset!A2:I112,9,FALSE)="Water",Backdoors!BC35,IF(VLOOKUP(tbMoveset!A75,tbMoveset!A2:I112,9,FALSE)="Thunder",Backdoors!BD35,IF(VLOOKUP(tbMoveset!A75,tbMoveset!A2:I112,9,FALSE)="Ice",Backdoors!BE35,IF(VLOOKUP(tbMoveset!A75,tbMoveset!A2:I112,9,FALSE)="Dragon",Backdoors!BF35,Backdoors!BG35)))))/100,Backdoors!BG35/100),"")</f>
        <v>0</v>
      </c>
      <c r="HT75" s="49">
        <f>IFERROR(IF(VLOOKUP(A75,tbMoveset!A2:J112,10,FALSE)=TRUE,IF((Backdoors!AI12+IF(HR75&gt;=0.45,VLOOKUP(Calculator!E23,tbSkills!DH3:DI6,2,FALSE)+IF(AND(Calculator!B8=TRUE,Backdoors!BI35=TRUE),VLOOKUP(Calculator!E23,tbSkills!DH3:DJ6,3,FALSE),0),0))&gt;=0,1+(Backdoors!AL2*(IF((Backdoors!AI12+IF(HR75&gt;=0.45,VLOOKUP(Calculator!E23,tbSkills!DH3:DI6,2,FALSE)+IF(AND(Calculator!B8=TRUE,Backdoors!BI35=TRUE),VLOOKUP(Calculator!E23,tbSkills!DH3:DJ6,3,FALSE),0),0))&gt;=100,100,(Backdoors!AI12+IF(HR75&gt;=0.45,VLOOKUP(Calculator!E23,tbSkills!DH3:DI6,2,FALSE)+IF(AND(Calculator!B8=TRUE,Backdoors!BI35=TRUE),VLOOKUP(Calculator!E23,tbSkills!DH3:DJ6,3,FALSE),0),0)))/100)),(1-(0.25*((-Backdoors!AI12-IF(HR75&gt;=0.45,VLOOKUP(Calculator!E23,tbSkills!DH3:DI6,2,FALSE)+IF(AND(Calculator!B8=TRUE,Backdoors!BI35=TRUE),VLOOKUP(Calculator!E23,tbSkills!DH3:DJ6,3,FALSE),0),0))/100)))),1),"")</f>
        <v>1</v>
      </c>
      <c r="HU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R75)*HT75)*(VLOOKUP(A75,tbMoveset!A2:C112,3,FALSE)/100)*IF(VLOOKUP(A75,tbMoveset!A2:B112,2,FALSE)="Projectile",Backdoors!N10,Backdoors!N9),0),"")</f>
        <v/>
      </c>
      <c r="HV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R75&gt;=0.45,VLOOKUP(Calculator!E23,tbSkills!DH3:DI6,2,FALSE)+IF(AND(Calculator!B8=TRUE,Backdoors!BI35=TRUE),VLOOKUP(Calculator!E23,tbSkills!DH3:DJ6,3,FALSE),0),0))&gt;=100,100,(Backdoors!AI12+IF(HR75&gt;=0.45,VLOOKUP(Calculator!E23,tbSkills!DH3:DI6,2,FALSE)+IF(AND(Calculator!B8=TRUE,Backdoors!BI35=TRUE),VLOOKUP(Calculator!E23,tbSkills!DH3:DJ6,3,FALSE),0),0)))/100)),1))*IF(VLOOKUP(A75,tbMoveset!A2:K112,11,FALSE)=TRUE,Backdoors!AC5,1))*HS75,0),"")</f>
        <v>0</v>
      </c>
      <c r="HW75" s="49">
        <f>VLOOKUP(A75,tbMoveset!A2:G112,7,FALSE)*IFERROR(IF(Backdoors!AI12&gt;=0,1+(IF(Calculator!E40&gt;0,VLOOKUP(Calculator!E40,tbSkills!AI3:AJ5,2,FALSE),Backdoors!AL4)*(IF((Backdoors!AI12+IF(HR75&gt;=0.45,VLOOKUP(Calculator!E23,tbSkills!DH3:DI6,2,FALSE)+IF(AND(Calculator!B8=TRUE,Backdoors!BI35=TRUE),VLOOKUP(Calculator!E23,tbSkills!DH3:DJ6,3,FALSE),0),0))&gt;=100,100,(Backdoors!AI12+IF(HR75&gt;=0.45,VLOOKUP(Calculator!E23,tbSkills!DH3:DI6,2,FALSE)+IF(AND(Calculator!B8=TRUE,Backdoors!BI35=TRUE),VLOOKUP(Calculator!E23,tbSkills!DH3:DJ6,3,FALSE),0),0)))/100)),1),1)</f>
        <v>0.6</v>
      </c>
      <c r="HX75" s="87">
        <f t="shared" si="83"/>
        <v>0</v>
      </c>
      <c r="HY75" s="86" t="str">
        <f>IFERROR(IF(VLOOKUP(A75,tbMoveset!A2:B112,2,FALSE)="Sever",Backdoors!AY36/100,IF(VLOOKUP(A75,tbMoveset!A2:B112,2,FALSE)="Blunt",Backdoors!AZ36/100,Backdoors!BA36/100)),"")</f>
        <v/>
      </c>
      <c r="HZ75" s="49">
        <f>IFERROR(IF(VLOOKUP(tbMoveset!A75,tbMoveset!A2:H112,8,FALSE)="Other",IF(VLOOKUP(tbMoveset!A75,tbMoveset!A2:I112,9,FALSE)="Fire",Backdoors!BB36,IF(VLOOKUP(tbMoveset!A75,tbMoveset!A2:I112,9,FALSE)="Water",Backdoors!BC36,IF(VLOOKUP(tbMoveset!A75,tbMoveset!A2:I112,9,FALSE)="Thunder",Backdoors!BD36,IF(VLOOKUP(tbMoveset!A75,tbMoveset!A2:I112,9,FALSE)="Ice",Backdoors!BE36,IF(VLOOKUP(tbMoveset!A75,tbMoveset!A2:I112,9,FALSE)="Dragon",Backdoors!BF36,Backdoors!BG36)))))/100,Backdoors!BG36/100),"")</f>
        <v>0</v>
      </c>
      <c r="IA75" s="49">
        <f>IFERROR(IF(VLOOKUP(A75,tbMoveset!A2:J112,10,FALSE)=TRUE,IF((Backdoors!AI12+IF(HY75&gt;=0.45,VLOOKUP(Calculator!E23,tbSkills!DH3:DI6,2,FALSE)+IF(AND(Calculator!B8=TRUE,Backdoors!BI36=TRUE),VLOOKUP(Calculator!E23,tbSkills!DH3:DJ6,3,FALSE),0),0))&gt;=0,1+(Backdoors!AL2*(IF((Backdoors!AI12+IF(HY75&gt;=0.45,VLOOKUP(Calculator!E23,tbSkills!DH3:DI6,2,FALSE)+IF(AND(Calculator!B8=TRUE,Backdoors!BI36=TRUE),VLOOKUP(Calculator!E23,tbSkills!DH3:DJ6,3,FALSE),0),0))&gt;=100,100,(Backdoors!AI12+IF(HY75&gt;=0.45,VLOOKUP(Calculator!E23,tbSkills!DH3:DI6,2,FALSE)+IF(AND(Calculator!B8=TRUE,Backdoors!BI36=TRUE),VLOOKUP(Calculator!E23,tbSkills!DH3:DJ6,3,FALSE),0),0)))/100)),(1-(0.25*((-Backdoors!AI12-IF(HY75&gt;=0.45,VLOOKUP(Calculator!E23,tbSkills!DH3:DI6,2,FALSE)+IF(AND(Calculator!B8=TRUE,Backdoors!BI36=TRUE),VLOOKUP(Calculator!E23,tbSkills!DH3:DJ6,3,FALSE),0),0))/100)))),1),"")</f>
        <v>1</v>
      </c>
      <c r="IB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Y75)*IA75)*(VLOOKUP(A75,tbMoveset!A2:C112,3,FALSE)/100)*IF(VLOOKUP(A75,tbMoveset!A2:B112,2,FALSE)="Projectile",Backdoors!N10,Backdoors!N9),0),"")</f>
        <v/>
      </c>
      <c r="IC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Y75&gt;=0.45,VLOOKUP(Calculator!E23,tbSkills!DH3:DI6,2,FALSE)+IF(AND(Calculator!B8=TRUE,Backdoors!BI36=TRUE),VLOOKUP(Calculator!E23,tbSkills!DH3:DJ6,3,FALSE),0),0))&gt;=100,100,(Backdoors!AI12+IF(HY75&gt;=0.45,VLOOKUP(Calculator!E23,tbSkills!DH3:DI6,2,FALSE)+IF(AND(Calculator!B8=TRUE,Backdoors!BI36=TRUE),VLOOKUP(Calculator!E23,tbSkills!DH3:DJ6,3,FALSE),0),0)))/100)),1))*IF(VLOOKUP(A75,tbMoveset!A2:K112,11,FALSE)=TRUE,Backdoors!AC5,1))*HZ75,0),"")</f>
        <v>0</v>
      </c>
      <c r="ID75" s="49">
        <f>VLOOKUP(A75,tbMoveset!A2:G112,7,FALSE)*IFERROR(IF(Backdoors!AI12&gt;=0,1+(IF(Calculator!E40&gt;0,VLOOKUP(Calculator!E40,tbSkills!AI3:AJ5,2,FALSE),Backdoors!AL4)*(IF((Backdoors!AI12+IF(HY75&gt;=0.45,VLOOKUP(Calculator!E23,tbSkills!DH3:DI6,2,FALSE)+IF(AND(Calculator!B8=TRUE,Backdoors!BI36=TRUE),VLOOKUP(Calculator!E23,tbSkills!DH3:DJ6,3,FALSE),0),0))&gt;=100,100,(Backdoors!AI12+IF(HY75&gt;=0.45,VLOOKUP(Calculator!E23,tbSkills!DH3:DI6,2,FALSE)+IF(AND(Calculator!B8=TRUE,Backdoors!BI36=TRUE),VLOOKUP(Calculator!E23,tbSkills!DH3:DJ6,3,FALSE),0),0)))/100)),1),1)</f>
        <v>0.6</v>
      </c>
      <c r="IE75" s="87">
        <f t="shared" si="84"/>
        <v>0</v>
      </c>
      <c r="IF75" s="86" t="str">
        <f>IFERROR(IF(VLOOKUP(A75,tbMoveset!A2:B112,2,FALSE)="Sever",Backdoors!AY37/100,IF(VLOOKUP(A75,tbMoveset!A2:B112,2,FALSE)="Blunt",Backdoors!AZ37/100,Backdoors!BA37/100)),"")</f>
        <v/>
      </c>
      <c r="IG75" s="49">
        <f>IFERROR(IF(VLOOKUP(tbMoveset!A75,tbMoveset!A2:H112,8,FALSE)="Other",IF(VLOOKUP(tbMoveset!A75,tbMoveset!A2:I112,9,FALSE)="Fire",Backdoors!BB37,IF(VLOOKUP(tbMoveset!A75,tbMoveset!A2:I112,9,FALSE)="Water",Backdoors!BC37,IF(VLOOKUP(tbMoveset!A75,tbMoveset!A2:I112,9,FALSE)="Thunder",Backdoors!BD37,IF(VLOOKUP(tbMoveset!A75,tbMoveset!A2:I112,9,FALSE)="Ice",Backdoors!BE37,IF(VLOOKUP(tbMoveset!A75,tbMoveset!A2:I112,9,FALSE)="Dragon",Backdoors!BF37,Backdoors!BG37)))))/100,Backdoors!BG37/100),"")</f>
        <v>0</v>
      </c>
      <c r="IH75" s="49">
        <f>IFERROR(IF(VLOOKUP(A75,tbMoveset!A2:J112,10,FALSE)=TRUE,IF((Backdoors!AI12+IF(IF75&gt;=0.45,VLOOKUP(Calculator!E23,tbSkills!DH3:DI6,2,FALSE)+IF(AND(Calculator!B8=TRUE,Backdoors!BI37=TRUE),VLOOKUP(Calculator!E23,tbSkills!DH3:DJ6,3,FALSE),0),0))&gt;=0,1+(Backdoors!AL2*(IF((Backdoors!AI12+IF(IF75&gt;=0.45,VLOOKUP(Calculator!E23,tbSkills!DH3:DI6,2,FALSE)+IF(AND(Calculator!B8=TRUE,Backdoors!BI37=TRUE),VLOOKUP(Calculator!E23,tbSkills!DH3:DJ6,3,FALSE),0),0))&gt;=100,100,(Backdoors!AI12+IF(IF75&gt;=0.45,VLOOKUP(Calculator!E23,tbSkills!DH3:DI6,2,FALSE)+IF(AND(Calculator!B8=TRUE,Backdoors!BI37=TRUE),VLOOKUP(Calculator!E23,tbSkills!DH3:DJ6,3,FALSE),0),0)))/100)),(1-(0.25*((-Backdoors!AI12-IF(IF75&gt;=0.45,VLOOKUP(Calculator!E23,tbSkills!DH3:DI6,2,FALSE)+IF(AND(Calculator!B8=TRUE,Backdoors!BI37=TRUE),VLOOKUP(Calculator!E23,tbSkills!DH3:DJ6,3,FALSE),0),0))/100)))),1),"")</f>
        <v>1</v>
      </c>
      <c r="II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F75)*IH75)*(VLOOKUP(A75,tbMoveset!A2:C112,3,FALSE)/100)*IF(VLOOKUP(A75,tbMoveset!A2:B112,2,FALSE)="Projectile",Backdoors!N10,Backdoors!N9),0),"")</f>
        <v/>
      </c>
      <c r="IJ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IF75&gt;=0.45,VLOOKUP(Calculator!E23,tbSkills!DH3:DI6,2,FALSE)+IF(AND(Calculator!B8=TRUE,Backdoors!BI37=TRUE),VLOOKUP(Calculator!E23,tbSkills!DH3:DJ6,3,FALSE),0),0))&gt;=100,100,(Backdoors!AI12+IF(IF75&gt;=0.45,VLOOKUP(Calculator!E23,tbSkills!DH3:DI6,2,FALSE)+IF(AND(Calculator!B8=TRUE,Backdoors!BI37=TRUE),VLOOKUP(Calculator!E23,tbSkills!DH3:DJ6,3,FALSE),0),0)))/100)),1))*IF(VLOOKUP(A75,tbMoveset!A2:K112,11,FALSE)=TRUE,Backdoors!AC5,1))*IG75,0),"")</f>
        <v>0</v>
      </c>
      <c r="IK75" s="49">
        <f>VLOOKUP(A75,tbMoveset!A2:G112,7,FALSE)*IFERROR(IF(Backdoors!AI12&gt;=0,1+(IF(Calculator!E40&gt;0,VLOOKUP(Calculator!E40,tbSkills!AI3:AJ5,2,FALSE),Backdoors!AL4)*(IF((Backdoors!AI12+IF(IF75&gt;=0.45,VLOOKUP(Calculator!E23,tbSkills!DH3:DI6,2,FALSE)+IF(AND(Calculator!B8=TRUE,Backdoors!BI37=TRUE),VLOOKUP(Calculator!E23,tbSkills!DH3:DJ6,3,FALSE),0),0))&gt;=100,100,(Backdoors!AI12+IF(IF75&gt;=0.45,VLOOKUP(Calculator!E23,tbSkills!DH3:DI6,2,FALSE)+IF(AND(Calculator!B8=TRUE,Backdoors!BI37=TRUE),VLOOKUP(Calculator!E23,tbSkills!DH3:DJ6,3,FALSE),0),0)))/100)),1),1)</f>
        <v>0.6</v>
      </c>
      <c r="IL75" s="87">
        <f t="shared" si="85"/>
        <v>0</v>
      </c>
      <c r="IM75" s="86" t="str">
        <f>IFERROR(IF(VLOOKUP(A75,tbMoveset!A2:B112,2,FALSE)="Sever",Backdoors!AY38/100,IF(VLOOKUP(A75,tbMoveset!A2:B112,2,FALSE)="Blunt",Backdoors!AZ38/100,Backdoors!BA38/100)),"")</f>
        <v/>
      </c>
      <c r="IN75" s="49">
        <f>IFERROR(IF(VLOOKUP(tbMoveset!A75,tbMoveset!A2:H112,8,FALSE)="Other",IF(VLOOKUP(tbMoveset!A75,tbMoveset!A2:I112,9,FALSE)="Fire",Backdoors!BB38,IF(VLOOKUP(tbMoveset!A75,tbMoveset!A2:I112,9,FALSE)="Water",Backdoors!BC38,IF(VLOOKUP(tbMoveset!A75,tbMoveset!A2:I112,9,FALSE)="Thunder",Backdoors!BD38,IF(VLOOKUP(tbMoveset!A75,tbMoveset!A2:I112,9,FALSE)="Ice",Backdoors!BE38,IF(VLOOKUP(tbMoveset!A75,tbMoveset!A2:I112,9,FALSE)="Dragon",Backdoors!BF38,Backdoors!BG38)))))/100,Backdoors!BG38/100),"")</f>
        <v>0</v>
      </c>
      <c r="IO75" s="49">
        <f>IFERROR(IF(VLOOKUP(A75,tbMoveset!A2:J112,10,FALSE)=TRUE,IF((Backdoors!AI12+IF(IM75&gt;=0.45,VLOOKUP(Calculator!E23,tbSkills!DH3:DI6,2,FALSE)+IF(AND(Calculator!B8=TRUE,Backdoors!BI38=TRUE),VLOOKUP(Calculator!E23,tbSkills!DH3:DJ6,3,FALSE),0),0))&gt;=0,1+(Backdoors!AL2*(IF((Backdoors!AI12+IF(IM75&gt;=0.45,VLOOKUP(Calculator!E23,tbSkills!DH3:DI6,2,FALSE)+IF(AND(Calculator!B8=TRUE,Backdoors!BI38=TRUE),VLOOKUP(Calculator!E23,tbSkills!DH3:DJ6,3,FALSE),0),0))&gt;=100,100,(Backdoors!AI12+IF(IM75&gt;=0.45,VLOOKUP(Calculator!E23,tbSkills!DH3:DI6,2,FALSE)+IF(AND(Calculator!B8=TRUE,Backdoors!BI38=TRUE),VLOOKUP(Calculator!E23,tbSkills!DH3:DJ6,3,FALSE),0),0)))/100)),(1-(0.25*((-Backdoors!AI12-IF(IM75&gt;=0.45,VLOOKUP(Calculator!E23,tbSkills!DH3:DI6,2,FALSE)+IF(AND(Calculator!B8=TRUE,Backdoors!BI38=TRUE),VLOOKUP(Calculator!E23,tbSkills!DH3:DJ6,3,FALSE),0),0))/100)))),1),"")</f>
        <v>1</v>
      </c>
      <c r="IP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M75)*IO75)*(VLOOKUP(A75,tbMoveset!A2:C112,3,FALSE)/100)*IF(VLOOKUP(A75,tbMoveset!A2:B112,2,FALSE)="Projectile",Backdoors!N10,Backdoors!N9),0),"")</f>
        <v/>
      </c>
      <c r="IQ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IM75&gt;=0.45,VLOOKUP(Calculator!E23,tbSkills!DH3:DI6,2,FALSE)+IF(AND(Calculator!B8=TRUE,Backdoors!BI38=TRUE),VLOOKUP(Calculator!E23,tbSkills!DH3:DJ6,3,FALSE),0),0))&gt;=100,100,(Backdoors!AI12+IF(IM75&gt;=0.45,VLOOKUP(Calculator!E23,tbSkills!DH3:DI6,2,FALSE)+IF(AND(Calculator!B8=TRUE,Backdoors!BI38=TRUE),VLOOKUP(Calculator!E23,tbSkills!DH3:DJ6,3,FALSE),0),0)))/100)),1))*IF(VLOOKUP(A75,tbMoveset!A2:K112,11,FALSE)=TRUE,Backdoors!AC5,1))*IN75,0),"")</f>
        <v>0</v>
      </c>
      <c r="IR75" s="49">
        <f>VLOOKUP(A75,tbMoveset!A2:G112,7,FALSE)*IFERROR(IF(Backdoors!AI12&gt;=0,1+(IF(Calculator!E40&gt;0,VLOOKUP(Calculator!E40,tbSkills!AI3:AJ5,2,FALSE),Backdoors!AL4)*(IF((Backdoors!AI12+IF(IM75&gt;=0.45,VLOOKUP(Calculator!E23,tbSkills!DH3:DI6,2,FALSE)+IF(AND(Calculator!B8=TRUE,Backdoors!BI38=TRUE),VLOOKUP(Calculator!E23,tbSkills!DH3:DJ6,3,FALSE),0),0))&gt;=100,100,(Backdoors!AI12+IF(IM75&gt;=0.45,VLOOKUP(Calculator!E23,tbSkills!DH3:DI6,2,FALSE)+IF(AND(Calculator!B8=TRUE,Backdoors!BI38=TRUE),VLOOKUP(Calculator!E23,tbSkills!DH3:DJ6,3,FALSE),0),0)))/100)),1),1)</f>
        <v>0.6</v>
      </c>
      <c r="IS75" s="87">
        <f t="shared" si="86"/>
        <v>0</v>
      </c>
      <c r="IT75" s="86" t="str">
        <f>IFERROR(IF(VLOOKUP(A75,tbMoveset!A2:B112,2,FALSE)="Sever",Backdoors!AY39/100,IF(VLOOKUP(A75,tbMoveset!A2:B112,2,FALSE)="Blunt",Backdoors!AZ39/100,Backdoors!BA39/100)),"")</f>
        <v/>
      </c>
      <c r="IU75" s="49">
        <f>IFERROR(IF(VLOOKUP(tbMoveset!A75,tbMoveset!A2:H112,8,FALSE)="Other",IF(VLOOKUP(tbMoveset!A75,tbMoveset!A2:I112,9,FALSE)="Fire",Backdoors!BB39,IF(VLOOKUP(tbMoveset!A75,tbMoveset!A2:I112,9,FALSE)="Water",Backdoors!BC39,IF(VLOOKUP(tbMoveset!A75,tbMoveset!A2:I112,9,FALSE)="Thunder",Backdoors!BD39,IF(VLOOKUP(tbMoveset!A75,tbMoveset!A2:I112,9,FALSE)="Ice",Backdoors!BE39,IF(VLOOKUP(tbMoveset!A75,tbMoveset!A2:I112,9,FALSE)="Dragon",Backdoors!BF39,Backdoors!BG39)))))/100,Backdoors!BG39/100),"")</f>
        <v>0</v>
      </c>
      <c r="IV75" s="49">
        <f>IFERROR(IF(VLOOKUP(A75,tbMoveset!A2:J112,10,FALSE)=TRUE,IF((Backdoors!AI12+IF(IT75&gt;=0.45,VLOOKUP(Calculator!E23,tbSkills!DH3:DI6,2,FALSE)+IF(AND(Calculator!B8=TRUE,Backdoors!BI39=TRUE),VLOOKUP(Calculator!E23,tbSkills!DH3:DJ6,3,FALSE),0),0))&gt;=0,1+(Backdoors!AL2*(IF((Backdoors!AI12+IF(IT75&gt;=0.45,VLOOKUP(Calculator!E23,tbSkills!DH3:DI6,2,FALSE)+IF(AND(Calculator!B8=TRUE,Backdoors!BI39=TRUE),VLOOKUP(Calculator!E23,tbSkills!DH3:DJ6,3,FALSE),0),0))&gt;=100,100,(Backdoors!AI12+IF(IT75&gt;=0.45,VLOOKUP(Calculator!E23,tbSkills!DH3:DI6,2,FALSE)+IF(AND(Calculator!B8=TRUE,Backdoors!BI39=TRUE),VLOOKUP(Calculator!E23,tbSkills!DH3:DJ6,3,FALSE),0),0)))/100)),(1-(0.25*((-Backdoors!AI12-IF(IT75&gt;=0.45,VLOOKUP(Calculator!E23,tbSkills!DH3:DI6,2,FALSE)+IF(AND(Calculator!B8=TRUE,Backdoors!BI39=TRUE),VLOOKUP(Calculator!E23,tbSkills!DH3:DJ6,3,FALSE),0),0))/100)))),1),"")</f>
        <v>1</v>
      </c>
      <c r="IW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T75)*IV75)*(VLOOKUP(A75,tbMoveset!A2:C112,3,FALSE)/100)*IF(VLOOKUP(A75,tbMoveset!A2:B112,2,FALSE)="Projectile",Backdoors!N10,Backdoors!N9),0),"")</f>
        <v/>
      </c>
      <c r="IX75" s="49">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40&gt;0,VLOOKUP(Calculator!E40,tbSkills!AC3:AD5,2,FALSE),Backdoors!AL3)*(IF((Backdoors!AI12+IF(IT75&gt;=0.45,VLOOKUP(Calculator!E23,tbSkills!DH3:DI6,2,FALSE)+IF(AND(Calculator!B8=TRUE,Backdoors!BI39=TRUE),VLOOKUP(Calculator!E23,tbSkills!DH3:DJ6,3,FALSE),0),0))&gt;=100,100,(Backdoors!AI12+IF(IT75&gt;=0.45,VLOOKUP(Calculator!E23,tbSkills!DH3:DI6,2,FALSE)+IF(AND(Calculator!B8=TRUE,Backdoors!BI39=TRUE),VLOOKUP(Calculator!E23,tbSkills!DH3:DJ6,3,FALSE),0),0)))/100)),1))*IF(VLOOKUP(A75,tbMoveset!A2:K112,11,FALSE)=TRUE,Backdoors!AC5,1))*IU75,0),"")</f>
        <v>0</v>
      </c>
      <c r="IY75" s="49">
        <f>VLOOKUP(A75,tbMoveset!A2:G112,7,FALSE)*IFERROR(IF(Backdoors!AI12&gt;=0,1+(IF(Calculator!E40&gt;0,VLOOKUP(Calculator!E40,tbSkills!AI3:AJ5,2,FALSE),Backdoors!AL4)*(IF((Backdoors!AI12+IF(IT75&gt;=0.45,VLOOKUP(Calculator!E23,tbSkills!DH3:DI6,2,FALSE)+IF(AND(Calculator!B8=TRUE,Backdoors!BI39=TRUE),VLOOKUP(Calculator!E23,tbSkills!DH3:DJ6,3,FALSE),0),0))&gt;=100,100,(Backdoors!AI12+IF(IT75&gt;=0.45,VLOOKUP(Calculator!E23,tbSkills!DH3:DI6,2,FALSE)+IF(AND(Calculator!B8=TRUE,Backdoors!BI39=TRUE),VLOOKUP(Calculator!E23,tbSkills!DH3:DJ6,3,FALSE),0),0)))/100)),1),1)</f>
        <v>0.6</v>
      </c>
      <c r="IZ75" s="87">
        <f t="shared" si="87"/>
        <v>0</v>
      </c>
      <c r="JA75" s="86" t="str">
        <f>IFERROR(IF(VLOOKUP(A75,tbMoveset!A2:B112,2,FALSE)="Sever",Backdoors!AY40/100,IF(VLOOKUP(A75,tbMoveset!A2:B112,2,FALSE)="Blunt",Backdoors!AZ40/100,Backdoors!BA40/100)),"")</f>
        <v/>
      </c>
      <c r="JB75" s="49">
        <f>IFERROR(IF(VLOOKUP(tbMoveset!A75,tbMoveset!A2:H112,8,FALSE)="Other",IF(VLOOKUP(tbMoveset!A75,tbMoveset!A2:I112,9,FALSE)="Fire",Backdoors!BB40,IF(VLOOKUP(tbMoveset!A75,tbMoveset!A2:I112,9,FALSE)="Water",Backdoors!BC40,IF(VLOOKUP(tbMoveset!A75,tbMoveset!A2:I112,9,FALSE)="Thunder",Backdoors!BD40,IF(VLOOKUP(tbMoveset!A75,tbMoveset!A2:I112,9,FALSE)="Ice",Backdoors!BE40,IF(VLOOKUP(tbMoveset!A75,tbMoveset!A2:I112,9,FALSE)="Dragon",Backdoors!BF40,Backdoors!BG40)))))/100,Backdoors!BG40/100),"")</f>
        <v>0</v>
      </c>
      <c r="JC75" s="49">
        <f>IFERROR(IF(VLOOKUP(A75,tbMoveset!A2:J112,10,FALSE)=TRUE,IF((Backdoors!AI12+IF(JA75&gt;=0.45,VLOOKUP(Calculator!E23,tbSkills!DH3:DI6,2,FALSE)+IF(AND(Calculator!B8=TRUE,Backdoors!BI40=TRUE),VLOOKUP(Calculator!E23,tbSkills!DH3:DJ6,3,FALSE),0),0))&gt;=0,1+(Backdoors!AL2*(IF((Backdoors!AI12+IF(JA75&gt;=0.45,VLOOKUP(Calculator!E23,tbSkills!DH3:DI6,2,FALSE)+IF(AND(Calculator!B8=TRUE,Backdoors!BI40=TRUE),VLOOKUP(Calculator!E23,tbSkills!DH3:DJ6,3,FALSE),0),0))&gt;=100,100,(Backdoors!AI12+IF(JA75&gt;=0.45,VLOOKUP(Calculator!E23,tbSkills!DH3:DI6,2,FALSE)+IF(AND(Calculator!B8=TRUE,Backdoors!BI40=TRUE),VLOOKUP(Calculator!E23,tbSkills!DH3:DJ6,3,FALSE),0),0)))/100)),(1-(0.25*((-Backdoors!AI12-IF(JA75&gt;=0.45,VLOOKUP(Calculator!E23,tbSkills!DH3:DI6,2,FALSE)+IF(AND(Calculator!B8=TRUE,Backdoors!BI40=TRUE),VLOOKUP(Calculator!E23,tbSkills!DH3:DJ6,3,FALSE),0),0))/100)))),1),"")</f>
        <v>1</v>
      </c>
      <c r="JD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A75)*JC75)*(VLOOKUP(A75,tbMoveset!A2:C112,3,FALSE)/100)*IF(VLOOKUP(A75,tbMoveset!A2:B112,2,FALSE)="Projectile",Backdoors!N10,Backdoors!N9),0),"")</f>
        <v/>
      </c>
      <c r="JE75" s="49">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42&gt;0,VLOOKUP(Calculator!E42,tbSkills!AC3:AD5,2,FALSE),Backdoors!AL3)*(IF((Backdoors!AI12+IF(JA75&gt;=0.45,VLOOKUP(Calculator!E23,tbSkills!DH3:DI6,2,FALSE)+IF(AND(Calculator!B8=TRUE,Backdoors!BI40=TRUE),VLOOKUP(Calculator!E23,tbSkills!DH3:DJ6,3,FALSE),0),0))&gt;=100,100,(Backdoors!AI12+IF(JA75&gt;=0.45,VLOOKUP(Calculator!E23,tbSkills!DH3:DI6,2,FALSE)+IF(AND(Calculator!B8=TRUE,Backdoors!BI40=TRUE),VLOOKUP(Calculator!E23,tbSkills!DH3:DJ6,3,FALSE),0),0)))/100)),1))*IF(VLOOKUP(A75,tbMoveset!A2:K112,11,FALSE)=TRUE,Backdoors!AC5,1))*JB75,0),"")</f>
        <v>0</v>
      </c>
      <c r="JF75" s="49">
        <f>VLOOKUP(A75,tbMoveset!A2:G112,7,FALSE)*IFERROR(IF(Backdoors!AI12&gt;=0,1+(IF(Calculator!E40&gt;0,VLOOKUP(Calculator!E40,tbSkills!AI3:AJ5,2,FALSE),Backdoors!AL4)*(IF((Backdoors!AI12+IF(JA75&gt;=0.45,VLOOKUP(Calculator!E23,tbSkills!DH3:DI6,2,FALSE)+IF(AND(Calculator!B8=TRUE,Backdoors!BI40=TRUE),VLOOKUP(Calculator!E23,tbSkills!DH3:DJ6,3,FALSE),0),0))&gt;=100,100,(Backdoors!AI12+IF(JA75&gt;=0.45,VLOOKUP(Calculator!E23,tbSkills!DH3:DI6,2,FALSE)+IF(AND(Calculator!B8=TRUE,Backdoors!BI40=TRUE),VLOOKUP(Calculator!E23,tbSkills!DH3:DJ6,3,FALSE),0),0)))/100)),1),1)</f>
        <v>0.6</v>
      </c>
      <c r="JG75" s="87">
        <f t="shared" si="88"/>
        <v>0</v>
      </c>
      <c r="JH75" s="86" t="str">
        <f>IFERROR(IF(VLOOKUP(A75,tbMoveset!A2:B112,2,FALSE)="Sever",Backdoors!AY41/100,IF(VLOOKUP(A75,tbMoveset!A2:B112,2,FALSE)="Blunt",Backdoors!AZ41/100,Backdoors!BA41/100)),"")</f>
        <v/>
      </c>
      <c r="JI75" s="49">
        <f>IFERROR(IF(VLOOKUP(tbMoveset!A75,tbMoveset!A2:H112,8,FALSE)="Other",IF(VLOOKUP(tbMoveset!A75,tbMoveset!A2:I112,9,FALSE)="Fire",Backdoors!BB41,IF(VLOOKUP(tbMoveset!A75,tbMoveset!A2:I112,9,FALSE)="Water",Backdoors!BC41,IF(VLOOKUP(tbMoveset!A75,tbMoveset!A2:I112,9,FALSE)="Thunder",Backdoors!BD41,IF(VLOOKUP(tbMoveset!A75,tbMoveset!A2:I112,9,FALSE)="Ice",Backdoors!BE41,IF(VLOOKUP(tbMoveset!A75,tbMoveset!A2:I112,9,FALSE)="Dragon",Backdoors!BF41,Backdoors!BG41)))))/100,Backdoors!BG41/100),"")</f>
        <v>0</v>
      </c>
      <c r="JJ75" s="49">
        <f>IFERROR(IF(VLOOKUP(A75,tbMoveset!A2:J112,10,FALSE)=TRUE,IF((Backdoors!AI12+IF(JH75&gt;=0.45,VLOOKUP(Calculator!E23,tbSkills!DH3:DI6,2,FALSE)+IF(AND(Calculator!B8=TRUE,Backdoors!BI41=TRUE),VLOOKUP(Calculator!E23,tbSkills!DH3:DJ6,3,FALSE),0),0))&gt;=0,1+(Backdoors!AL2*(IF((Backdoors!AI12+IF(JH75&gt;=0.45,VLOOKUP(Calculator!E23,tbSkills!DH3:DI6,2,FALSE)+IF(AND(Calculator!B8=TRUE,Backdoors!BI41=TRUE),VLOOKUP(Calculator!E23,tbSkills!DH3:DJ6,3,FALSE),0),0))&gt;=100,100,(Backdoors!AI12+IF(JH75&gt;=0.45,VLOOKUP(Calculator!E23,tbSkills!DH3:DI6,2,FALSE)+IF(AND(Calculator!B8=TRUE,Backdoors!BI41=TRUE),VLOOKUP(Calculator!E23,tbSkills!DH3:DJ6,3,FALSE),0),0)))/100)),(1-(0.25*((-Backdoors!AI12-IF(JH75&gt;=0.45,VLOOKUP(Calculator!E23,tbSkills!DH3:DI6,2,FALSE)+IF(AND(Calculator!B8=TRUE,Backdoors!BI41=TRUE),VLOOKUP(Calculator!E23,tbSkills!DH3:DJ6,3,FALSE),0),0))/100)))),1),"")</f>
        <v>1</v>
      </c>
      <c r="JK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H75)*JJ75)*(VLOOKUP(A75,tbMoveset!A2:C112,3,FALSE)/100)*IF(VLOOKUP(A75,tbMoveset!A2:B112,2,FALSE)="Projectile",Backdoors!N10,Backdoors!N9),0),"")</f>
        <v/>
      </c>
      <c r="JL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43&gt;0,VLOOKUP(Calculator!E43,tbSkills!AC3:AD5,2,FALSE),Backdoors!AL3)*(IF((Backdoors!AI12+IF(JH75&gt;=0.45,VLOOKUP(Calculator!E23,tbSkills!DH3:DI6,2,FALSE)+IF(AND(Calculator!B8=TRUE,Backdoors!BI41=TRUE),VLOOKUP(Calculator!E23,tbSkills!DH3:DJ6,3,FALSE),0),0))&gt;=100,100,(Backdoors!AI12+IF(JH75&gt;=0.45,VLOOKUP(Calculator!E23,tbSkills!DH3:DI6,2,FALSE)+IF(AND(Calculator!B8=TRUE,Backdoors!BI41=TRUE),VLOOKUP(Calculator!E23,tbSkills!DH3:DJ6,3,FALSE),0),0)))/100)),1))*IF(VLOOKUP(A75,tbMoveset!A2:K112,11,FALSE)=TRUE,Backdoors!AC5,1))*JI75,0),"")</f>
        <v/>
      </c>
      <c r="JM75" s="49">
        <f>VLOOKUP(A75,tbMoveset!A2:G112,7,FALSE)*IFERROR(IF(Backdoors!AI12&gt;=0,1+(IF(Calculator!E40&gt;0,VLOOKUP(Calculator!E40,tbSkills!AI3:AJ5,2,FALSE),Backdoors!AL4)*(IF((Backdoors!AI12+IF(JH75&gt;=0.45,VLOOKUP(Calculator!E23,tbSkills!DH3:DI6,2,FALSE)+IF(AND(Calculator!B8=TRUE,Backdoors!BI41=TRUE),VLOOKUP(Calculator!E23,tbSkills!DH3:DJ6,3,FALSE),0),0))&gt;=100,100,(Backdoors!AI12+IF(JH75&gt;=0.45,VLOOKUP(Calculator!E23,tbSkills!DH3:DI6,2,FALSE)+IF(AND(Calculator!B8=TRUE,Backdoors!BI41=TRUE),VLOOKUP(Calculator!E23,tbSkills!DH3:DJ6,3,FALSE),0),0)))/100)),1),1)</f>
        <v>0.6</v>
      </c>
      <c r="JN75" s="87">
        <f t="shared" si="89"/>
        <v>0</v>
      </c>
      <c r="JO75" s="86" t="str">
        <f>IFERROR(IF(VLOOKUP(A75,tbMoveset!A2:B112,2,FALSE)="Sever",Backdoors!AY42/100,IF(VLOOKUP(A75,tbMoveset!A2:B112,2,FALSE)="Blunt",Backdoors!AZ42/100,Backdoors!BA42/100)),"")</f>
        <v/>
      </c>
      <c r="JP75" s="49">
        <f>IFERROR(IF(VLOOKUP(tbMoveset!A75,tbMoveset!A2:H112,8,FALSE)="Other",IF(VLOOKUP(tbMoveset!A75,tbMoveset!A2:I112,9,FALSE)="Fire",Backdoors!BB42,IF(VLOOKUP(tbMoveset!A75,tbMoveset!A2:I112,9,FALSE)="Water",Backdoors!BC42,IF(VLOOKUP(tbMoveset!A75,tbMoveset!A2:I112,9,FALSE)="Thunder",Backdoors!BD42,IF(VLOOKUP(tbMoveset!A75,tbMoveset!A2:I112,9,FALSE)="Ice",Backdoors!BE42,IF(VLOOKUP(tbMoveset!A75,tbMoveset!A2:I112,9,FALSE)="Dragon",Backdoors!BF42,Backdoors!BG42)))))/100,Backdoors!BG42/100),"")</f>
        <v>0</v>
      </c>
      <c r="JQ75" s="49">
        <f>IFERROR(IF(VLOOKUP(A75,tbMoveset!A2:J112,10,FALSE)=TRUE,IF((Backdoors!AI12+IF(JO75&gt;=0.45,VLOOKUP(Calculator!E23,tbSkills!DH3:DI6,2,FALSE)+IF(AND(Calculator!B8=TRUE,Backdoors!BI42=TRUE),VLOOKUP(Calculator!E23,tbSkills!DH3:DJ6,3,FALSE),0),0))&gt;=0,1+(Backdoors!AL2*(IF((Backdoors!AI12+IF(JO75&gt;=0.45,VLOOKUP(Calculator!E23,tbSkills!DH3:DI6,2,FALSE)+IF(AND(Calculator!B8=TRUE,Backdoors!BI42=TRUE),VLOOKUP(Calculator!E23,tbSkills!DH3:DJ6,3,FALSE),0),0))&gt;=100,100,(Backdoors!AI12+IF(JO75&gt;=0.45,VLOOKUP(Calculator!E23,tbSkills!DH3:DI6,2,FALSE)+IF(AND(Calculator!B8=TRUE,Backdoors!BI42=TRUE),VLOOKUP(Calculator!E23,tbSkills!DH3:DJ6,3,FALSE),0),0)))/100)),(1-(0.25*((-Backdoors!AI12-IF(JO75&gt;=0.45,VLOOKUP(Calculator!E23,tbSkills!DH3:DI6,2,FALSE)+IF(AND(Calculator!B8=TRUE,Backdoors!BI42=TRUE),VLOOKUP(Calculator!E23,tbSkills!DH3:DJ6,3,FALSE),0),0))/100)))),1),"")</f>
        <v>1</v>
      </c>
      <c r="JR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O75)*JQ75)*(VLOOKUP(A75,tbMoveset!A2:C112,3,FALSE)/100)*IF(VLOOKUP(A75,tbMoveset!A2:B112,2,FALSE)="Projectile",Backdoors!N10,Backdoors!N9),0),"")</f>
        <v/>
      </c>
      <c r="JS75" s="49">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45&gt;0,VLOOKUP(Calculator!E45,tbSkills!AC3:AD5,2,FALSE),Backdoors!AL3)*(IF((Backdoors!AI12+IF(JO75&gt;=0.45,VLOOKUP(Calculator!E23,tbSkills!DH3:DI6,2,FALSE)+IF(AND(Calculator!B8=TRUE,Backdoors!BI42=TRUE),VLOOKUP(Calculator!E23,tbSkills!DH3:DJ6,3,FALSE),0),0))&gt;=100,100,(Backdoors!AI12+IF(JO75&gt;=0.45,VLOOKUP(Calculator!E23,tbSkills!DH3:DI6,2,FALSE)+IF(AND(Calculator!B8=TRUE,Backdoors!BI42=TRUE),VLOOKUP(Calculator!E23,tbSkills!DH3:DJ6,3,FALSE),0),0)))/100)),1))*IF(VLOOKUP(A75,tbMoveset!A2:K112,11,FALSE)=TRUE,Backdoors!AC5,1))*JP75,0),"")</f>
        <v>0</v>
      </c>
      <c r="JT75" s="49">
        <f>VLOOKUP(A75,tbMoveset!A2:G112,7,FALSE)*IFERROR(IF(Backdoors!AI12&gt;=0,1+(IF(Calculator!E40&gt;0,VLOOKUP(Calculator!E40,tbSkills!AI3:AJ5,2,FALSE),Backdoors!AL4)*(IF((Backdoors!AI12+IF(JO75&gt;=0.45,VLOOKUP(Calculator!E23,tbSkills!DH3:DI6,2,FALSE)+IF(AND(Calculator!B8=TRUE,Backdoors!BI42=TRUE),VLOOKUP(Calculator!E23,tbSkills!DH3:DJ6,3,FALSE),0),0))&gt;=100,100,(Backdoors!AI12+IF(JO75&gt;=0.45,VLOOKUP(Calculator!E23,tbSkills!DH3:DI6,2,FALSE)+IF(AND(Calculator!B8=TRUE,Backdoors!BI42=TRUE),VLOOKUP(Calculator!E23,tbSkills!DH3:DJ6,3,FALSE),0),0)))/100)),1),1)</f>
        <v>0.6</v>
      </c>
      <c r="JU75" s="87">
        <f t="shared" si="90"/>
        <v>0</v>
      </c>
      <c r="JV75" s="86" t="str">
        <f>IFERROR(IF(VLOOKUP(A75,tbMoveset!A2:B112,2,FALSE)="Sever",Backdoors!AY43/100,IF(VLOOKUP(A75,tbMoveset!A2:B112,2,FALSE)="Blunt",Backdoors!AZ43/100,Backdoors!BA43/100)),"")</f>
        <v/>
      </c>
      <c r="JW75" s="49">
        <f>IFERROR(IF(VLOOKUP(tbMoveset!A75,tbMoveset!A2:H112,8,FALSE)="Other",IF(VLOOKUP(tbMoveset!A75,tbMoveset!A2:I112,9,FALSE)="Fire",Backdoors!BB43,IF(VLOOKUP(tbMoveset!A75,tbMoveset!A2:I112,9,FALSE)="Water",Backdoors!BC43,IF(VLOOKUP(tbMoveset!A75,tbMoveset!A2:I112,9,FALSE)="Thunder",Backdoors!BD43,IF(VLOOKUP(tbMoveset!A75,tbMoveset!A2:I112,9,FALSE)="Ice",Backdoors!BE43,IF(VLOOKUP(tbMoveset!A75,tbMoveset!A2:I112,9,FALSE)="Dragon",Backdoors!BF43,Backdoors!BG43)))))/100,Backdoors!BG43/100),"")</f>
        <v>0</v>
      </c>
      <c r="JX75" s="49">
        <f>IFERROR(IF(VLOOKUP(A75,tbMoveset!A2:J112,10,FALSE)=TRUE,IF((Backdoors!AI12+IF(JV75&gt;=0.45,VLOOKUP(Calculator!E23,tbSkills!DH3:DI6,2,FALSE)+IF(AND(Calculator!B8=TRUE,Backdoors!BI43=TRUE),VLOOKUP(Calculator!E23,tbSkills!DH3:DJ6,3,FALSE),0),0))&gt;=0,1+(Backdoors!AL2*(IF((Backdoors!AI12+IF(JV75&gt;=0.45,VLOOKUP(Calculator!E23,tbSkills!DH3:DI6,2,FALSE)+IF(AND(Calculator!B8=TRUE,Backdoors!BI43=TRUE),VLOOKUP(Calculator!E23,tbSkills!DH3:DJ6,3,FALSE),0),0))&gt;=100,100,(Backdoors!AI12+IF(JV75&gt;=0.45,VLOOKUP(Calculator!E23,tbSkills!DH3:DI6,2,FALSE)+IF(AND(Calculator!B8=TRUE,Backdoors!BI43=TRUE),VLOOKUP(Calculator!E23,tbSkills!DH3:DJ6,3,FALSE),0),0)))/100)),(1-(0.25*((-Backdoors!AI12-IF(JV75&gt;=0.45,VLOOKUP(Calculator!E23,tbSkills!DH3:DI6,2,FALSE)+IF(AND(Calculator!B8=TRUE,Backdoors!BI43=TRUE),VLOOKUP(Calculator!E23,tbSkills!DH3:DJ6,3,FALSE),0),0))/100)))),1),"")</f>
        <v>1</v>
      </c>
      <c r="JY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V75)*JX75)*(VLOOKUP(A75,tbMoveset!A2:C112,3,FALSE)/100)*IF(VLOOKUP(A75,tbMoveset!A2:B112,2,FALSE)="Projectile",Backdoors!N10,Backdoors!N9),0),"")</f>
        <v/>
      </c>
      <c r="JZ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46&gt;0,VLOOKUP(Calculator!E46,tbSkills!AC3:AD5,2,FALSE),Backdoors!AL3)*(IF((Backdoors!AI12+IF(JV75&gt;=0.45,VLOOKUP(Calculator!E23,tbSkills!DH3:DI6,2,FALSE)+IF(AND(Calculator!B8=TRUE,Backdoors!BI43=TRUE),VLOOKUP(Calculator!E23,tbSkills!DH3:DJ6,3,FALSE),0),0))&gt;=100,100,(Backdoors!AI12+IF(JV75&gt;=0.45,VLOOKUP(Calculator!E23,tbSkills!DH3:DI6,2,FALSE)+IF(AND(Calculator!B8=TRUE,Backdoors!BI43=TRUE),VLOOKUP(Calculator!E23,tbSkills!DH3:DJ6,3,FALSE),0),0)))/100)),1))*IF(VLOOKUP(A75,tbMoveset!A2:K112,11,FALSE)=TRUE,Backdoors!AC5,1))*JW75,0),"")</f>
        <v/>
      </c>
      <c r="KA75" s="49">
        <f>VLOOKUP(A75,tbMoveset!A2:G112,7,FALSE)*IFERROR(IF(Backdoors!AI12&gt;=0,1+(IF(Calculator!E40&gt;0,VLOOKUP(Calculator!E40,tbSkills!AI3:AJ5,2,FALSE),Backdoors!AL4)*(IF((Backdoors!AI12+IF(JV75&gt;=0.45,VLOOKUP(Calculator!E23,tbSkills!DH3:DI6,2,FALSE)+IF(AND(Calculator!B8=TRUE,Backdoors!BI43=TRUE),VLOOKUP(Calculator!E23,tbSkills!DH3:DJ6,3,FALSE),0),0))&gt;=100,100,(Backdoors!AI12+IF(JV75&gt;=0.45,VLOOKUP(Calculator!E23,tbSkills!DH3:DI6,2,FALSE)+IF(AND(Calculator!B8=TRUE,Backdoors!BI43=TRUE),VLOOKUP(Calculator!E23,tbSkills!DH3:DJ6,3,FALSE),0),0)))/100)),1),1)</f>
        <v>0.6</v>
      </c>
      <c r="KB75" s="87">
        <f t="shared" si="91"/>
        <v>0</v>
      </c>
      <c r="KC75" s="86" t="str">
        <f>IFERROR(IF(VLOOKUP(A75,tbMoveset!A2:B112,2,FALSE)="Sever",Backdoors!AY44/100,IF(VLOOKUP(A75,tbMoveset!A2:B112,2,FALSE)="Blunt",Backdoors!AZ44/100,Backdoors!BA44/100)),"")</f>
        <v/>
      </c>
      <c r="KD75" s="49">
        <f>IFERROR(IF(VLOOKUP(tbMoveset!A75,tbMoveset!A2:H112,8,FALSE)="Other",IF(VLOOKUP(tbMoveset!A75,tbMoveset!A2:I112,9,FALSE)="Fire",Backdoors!BB44,IF(VLOOKUP(tbMoveset!A75,tbMoveset!A2:I112,9,FALSE)="Water",Backdoors!BC44,IF(VLOOKUP(tbMoveset!A75,tbMoveset!A2:I112,9,FALSE)="Thunder",Backdoors!BD44,IF(VLOOKUP(tbMoveset!A75,tbMoveset!A2:I112,9,FALSE)="Ice",Backdoors!BE44,IF(VLOOKUP(tbMoveset!A75,tbMoveset!A2:I112,9,FALSE)="Dragon",Backdoors!BF44,Backdoors!BG44)))))/100,Backdoors!BG44/100),"")</f>
        <v>0</v>
      </c>
      <c r="KE75" s="49">
        <f>IFERROR(IF(VLOOKUP(A75,tbMoveset!A2:J112,10,FALSE)=TRUE,IF((Backdoors!AI12+IF(KC75&gt;=0.45,VLOOKUP(Calculator!E23,tbSkills!DH3:DI6,2,FALSE)+IF(AND(Calculator!B8=TRUE,Backdoors!BI44=TRUE),VLOOKUP(Calculator!E23,tbSkills!DH3:DJ6,3,FALSE),0),0))&gt;=0,1+(Backdoors!AL2*(IF((Backdoors!AI12+IF(KC75&gt;=0.45,VLOOKUP(Calculator!E23,tbSkills!DH3:DI6,2,FALSE)+IF(AND(Calculator!B8=TRUE,Backdoors!BI44=TRUE),VLOOKUP(Calculator!E23,tbSkills!DH3:DJ6,3,FALSE),0),0))&gt;=100,100,(Backdoors!AI12+IF(KC75&gt;=0.45,VLOOKUP(Calculator!E23,tbSkills!DH3:DI6,2,FALSE)+IF(AND(Calculator!B8=TRUE,Backdoors!BI44=TRUE),VLOOKUP(Calculator!E23,tbSkills!DH3:DJ6,3,FALSE),0),0)))/100)),(1-(0.25*((-Backdoors!AI12-IF(KC75&gt;=0.45,VLOOKUP(Calculator!E23,tbSkills!DH3:DI6,2,FALSE)+IF(AND(Calculator!B8=TRUE,Backdoors!BI44=TRUE),VLOOKUP(Calculator!E23,tbSkills!DH3:DJ6,3,FALSE),0),0))/100)))),1),"")</f>
        <v>1</v>
      </c>
      <c r="KF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KC75)*KE75)*(VLOOKUP(A75,tbMoveset!A2:C112,3,FALSE)/100)*IF(VLOOKUP(A75,tbMoveset!A2:B112,2,FALSE)="Projectile",Backdoors!N10,Backdoors!N9),0),"")</f>
        <v/>
      </c>
      <c r="KG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REF!&gt;0,VLOOKUP(Calculator!#REF!,tbSkills!AC3:AD5,2,FALSE),Backdoors!AL3)*(IF((Backdoors!AI12+IF(KC75&gt;=0.45,VLOOKUP(Calculator!E23,tbSkills!DH3:DI6,2,FALSE)+IF(AND(Calculator!B8=TRUE,Backdoors!BI44=TRUE),VLOOKUP(Calculator!E23,tbSkills!DH3:DJ6,3,FALSE),0),0))&gt;=100,100,(Backdoors!AI12+IF(KC75&gt;=0.45,VLOOKUP(Calculator!E23,tbSkills!DH3:DI6,2,FALSE)+IF(AND(Calculator!B8=TRUE,Backdoors!BI44=TRUE),VLOOKUP(Calculator!E23,tbSkills!DH3:DJ6,3,FALSE),0),0)))/100)),1))*IF(VLOOKUP(A75,tbMoveset!A2:K112,11,FALSE)=TRUE,Backdoors!AC5,1))*KD75,0),"")</f>
        <v/>
      </c>
      <c r="KH75" s="49">
        <f>VLOOKUP(A75,tbMoveset!A2:G112,7,FALSE)*IFERROR(IF(Backdoors!AI12&gt;=0,1+(IF(Calculator!E40&gt;0,VLOOKUP(Calculator!E40,tbSkills!AI3:AJ5,2,FALSE),Backdoors!AL4)*(IF((Backdoors!AI12+IF(KC75&gt;=0.45,VLOOKUP(Calculator!E23,tbSkills!DH3:DI6,2,FALSE)+IF(AND(Calculator!B8=TRUE,Backdoors!BI44=TRUE),VLOOKUP(Calculator!E23,tbSkills!DH3:DJ6,3,FALSE),0),0))&gt;=100,100,(Backdoors!AI12+IF(KC75&gt;=0.45,VLOOKUP(Calculator!E23,tbSkills!DH3:DI6,2,FALSE)+IF(AND(Calculator!B8=TRUE,Backdoors!BI44=TRUE),VLOOKUP(Calculator!E23,tbSkills!DH3:DJ6,3,FALSE),0),0)))/100)),1),1)</f>
        <v>0.6</v>
      </c>
      <c r="KI75" s="87">
        <f t="shared" si="92"/>
        <v>0</v>
      </c>
      <c r="KJ75" s="86" t="str">
        <f>IFERROR(IF(VLOOKUP(A75,tbMoveset!A2:B112,2,FALSE)="Sever",Backdoors!AY45/100,IF(VLOOKUP(A75,tbMoveset!A2:B112,2,FALSE)="Blunt",Backdoors!AZ45/100,Backdoors!BA45/100)),"")</f>
        <v/>
      </c>
      <c r="KK75" s="49">
        <f>IFERROR(IF(VLOOKUP(tbMoveset!A75,tbMoveset!A2:H112,8,FALSE)="Other",IF(VLOOKUP(tbMoveset!A75,tbMoveset!A2:I112,9,FALSE)="Fire",Backdoors!BB45,IF(VLOOKUP(tbMoveset!A75,tbMoveset!A2:I112,9,FALSE)="Water",Backdoors!BC45,IF(VLOOKUP(tbMoveset!A75,tbMoveset!A2:I112,9,FALSE)="Thunder",Backdoors!BD45,IF(VLOOKUP(tbMoveset!A75,tbMoveset!A2:I112,9,FALSE)="Ice",Backdoors!BE45,IF(VLOOKUP(tbMoveset!A75,tbMoveset!A2:I112,9,FALSE)="Dragon",Backdoors!BF45,Backdoors!BG45)))))/100,Backdoors!BG45/100),"")</f>
        <v>0</v>
      </c>
      <c r="KL75" s="49">
        <f>IFERROR(IF(VLOOKUP(A75,tbMoveset!A2:J112,10,FALSE)=TRUE,IF((Backdoors!AI12+IF(KJ75&gt;=0.45,VLOOKUP(Calculator!E23,tbSkills!DH3:DI6,2,FALSE)+IF(AND(Calculator!B8=TRUE,Backdoors!BI45=TRUE),VLOOKUP(Calculator!E23,tbSkills!DH3:DJ6,3,FALSE),0),0))&gt;=0,1+(Backdoors!AL2*(IF((Backdoors!AI12+IF(KJ75&gt;=0.45,VLOOKUP(Calculator!E23,tbSkills!DH3:DI6,2,FALSE)+IF(AND(Calculator!B8=TRUE,Backdoors!BI45=TRUE),VLOOKUP(Calculator!E23,tbSkills!DH3:DJ6,3,FALSE),0),0))&gt;=100,100,(Backdoors!AI12+IF(KJ75&gt;=0.45,VLOOKUP(Calculator!E23,tbSkills!DH3:DI6,2,FALSE)+IF(AND(Calculator!B8=TRUE,Backdoors!BI45=TRUE),VLOOKUP(Calculator!E23,tbSkills!DH3:DJ6,3,FALSE),0),0)))/100)),(1-(0.25*((-Backdoors!AI12-IF(KJ75&gt;=0.45,VLOOKUP(Calculator!E23,tbSkills!DH3:DI6,2,FALSE)+IF(AND(Calculator!B8=TRUE,Backdoors!BI45=TRUE),VLOOKUP(Calculator!E23,tbSkills!DH3:DJ6,3,FALSE),0),0))/100)))),1),"")</f>
        <v>1</v>
      </c>
      <c r="KM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KJ75)*KL75)*(VLOOKUP(A75,tbMoveset!A2:C112,3,FALSE)/100)*IF(VLOOKUP(A75,tbMoveset!A2:B112,2,FALSE)="Projectile",Backdoors!N10,Backdoors!N9),0),"")</f>
        <v/>
      </c>
      <c r="KN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REF!&gt;0,VLOOKUP(Calculator!#REF!,tbSkills!AC3:AD5,2,FALSE),Backdoors!AL3)*(IF((Backdoors!AI12+IF(KJ75&gt;=0.45,VLOOKUP(Calculator!E23,tbSkills!DH3:DI6,2,FALSE)+IF(AND(Calculator!B8=TRUE,Backdoors!BI45=TRUE),VLOOKUP(Calculator!E23,tbSkills!DH3:DJ6,3,FALSE),0),0))&gt;=100,100,(Backdoors!AI12+IF(KJ75&gt;=0.45,VLOOKUP(Calculator!E23,tbSkills!DH3:DI6,2,FALSE)+IF(AND(Calculator!B8=TRUE,Backdoors!BI45=TRUE),VLOOKUP(Calculator!E23,tbSkills!DH3:DJ6,3,FALSE),0),0)))/100)),1))*IF(VLOOKUP(A75,tbMoveset!A2:K112,11,FALSE)=TRUE,Backdoors!AC5,1))*KK75,0),"")</f>
        <v/>
      </c>
      <c r="KO75" s="49">
        <f>VLOOKUP(A75,tbMoveset!A2:G112,7,FALSE)*IFERROR(IF(Backdoors!AI12&gt;=0,1+(IF(Calculator!E40&gt;0,VLOOKUP(Calculator!E40,tbSkills!AI3:AJ5,2,FALSE),Backdoors!AL4)*(IF((Backdoors!AI12+IF(KJ75&gt;=0.45,VLOOKUP(Calculator!E23,tbSkills!DH3:DI6,2,FALSE)+IF(AND(Calculator!B8=TRUE,Backdoors!BI45=TRUE),VLOOKUP(Calculator!E23,tbSkills!DH3:DJ6,3,FALSE),0),0))&gt;=100,100,(Backdoors!AI12+IF(KJ75&gt;=0.45,VLOOKUP(Calculator!E23,tbSkills!DH3:DI6,2,FALSE)+IF(AND(Calculator!B8=TRUE,Backdoors!BI45=TRUE),VLOOKUP(Calculator!E23,tbSkills!DH3:DJ6,3,FALSE),0),0)))/100)),1),1)</f>
        <v>0.6</v>
      </c>
      <c r="KP75" s="87">
        <f t="shared" si="93"/>
        <v>0</v>
      </c>
      <c r="KQ75" s="86" t="str">
        <f>IFERROR(IF(VLOOKUP(A75,tbMoveset!A2:B112,2,FALSE)="Sever",Backdoors!AY46/100,IF(VLOOKUP(A75,tbMoveset!A2:B112,2,FALSE)="Blunt",Backdoors!AZ46/100,Backdoors!BA46/100)),"")</f>
        <v/>
      </c>
      <c r="KR75" s="49">
        <f>IFERROR(IF(VLOOKUP(tbMoveset!A75,tbMoveset!A2:H112,8,FALSE)="Other",IF(VLOOKUP(tbMoveset!A75,tbMoveset!A2:I112,9,FALSE)="Fire",Backdoors!BB46,IF(VLOOKUP(tbMoveset!A75,tbMoveset!A2:I112,9,FALSE)="Water",Backdoors!BC46,IF(VLOOKUP(tbMoveset!A75,tbMoveset!A2:I112,9,FALSE)="Thunder",Backdoors!BD46,IF(VLOOKUP(tbMoveset!A75,tbMoveset!A2:I112,9,FALSE)="Ice",Backdoors!BE46,IF(VLOOKUP(tbMoveset!A75,tbMoveset!A2:I112,9,FALSE)="Dragon",Backdoors!BF46,Backdoors!BG46)))))/100,Backdoors!BG46/100),"")</f>
        <v>0</v>
      </c>
      <c r="KS75" s="49">
        <f>IFERROR(IF(VLOOKUP(A75,tbMoveset!A2:J112,10,FALSE)=TRUE,IF((Backdoors!AI12+IF(KQ75&gt;=0.45,VLOOKUP(Calculator!E23,tbSkills!DH3:DI6,2,FALSE)+IF(AND(Calculator!B8=TRUE,Backdoors!BI46=TRUE),VLOOKUP(Calculator!E23,tbSkills!DH3:DJ6,3,FALSE),0),0))&gt;=0,1+(Backdoors!AL2*(IF((Backdoors!AI12+IF(KQ75&gt;=0.45,VLOOKUP(Calculator!E23,tbSkills!DH3:DI6,2,FALSE)+IF(AND(Calculator!B8=TRUE,Backdoors!BI46=TRUE),VLOOKUP(Calculator!E23,tbSkills!DH3:DJ6,3,FALSE),0),0))&gt;=100,100,(Backdoors!AI12+IF(KQ75&gt;=0.45,VLOOKUP(Calculator!E23,tbSkills!DH3:DI6,2,FALSE)+IF(AND(Calculator!B8=TRUE,Backdoors!BI46=TRUE),VLOOKUP(Calculator!E23,tbSkills!DH3:DJ6,3,FALSE),0),0)))/100)),(1-(0.25*((-Backdoors!AI12-IF(KQ75&gt;=0.45,VLOOKUP(Calculator!E23,tbSkills!DH3:DI6,2,FALSE)+IF(AND(Calculator!B8=TRUE,Backdoors!BI46=TRUE),VLOOKUP(Calculator!E23,tbSkills!DH3:DJ6,3,FALSE),0),0))/100)))),1),"")</f>
        <v>1</v>
      </c>
      <c r="KT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KQ75)*KS75)*(VLOOKUP(A75,tbMoveset!A2:C112,3,FALSE)/100)*IF(VLOOKUP(A75,tbMoveset!A2:B112,2,FALSE)="Projectile",Backdoors!N10,Backdoors!N9),0),"")</f>
        <v/>
      </c>
      <c r="KU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REF!&gt;0,VLOOKUP(Calculator!#REF!,tbSkills!AC3:AD5,2,FALSE),Backdoors!AL3)*(IF((Backdoors!AI12+IF(KQ75&gt;=0.45,VLOOKUP(Calculator!E23,tbSkills!DH3:DI6,2,FALSE)+IF(AND(Calculator!B8=TRUE,Backdoors!BI46=TRUE),VLOOKUP(Calculator!E23,tbSkills!DH3:DJ6,3,FALSE),0),0))&gt;=100,100,(Backdoors!AI12+IF(KQ75&gt;=0.45,VLOOKUP(Calculator!E23,tbSkills!DH3:DI6,2,FALSE)+IF(AND(Calculator!B8=TRUE,Backdoors!BI46=TRUE),VLOOKUP(Calculator!E23,tbSkills!DH3:DJ6,3,FALSE),0),0)))/100)),1))*IF(VLOOKUP(A75,tbMoveset!A2:K112,11,FALSE)=TRUE,Backdoors!AC5,1))*KR75,0),"")</f>
        <v/>
      </c>
      <c r="KV75" s="49">
        <f>VLOOKUP(A75,tbMoveset!A2:G112,7,FALSE)*IFERROR(IF(Backdoors!AI12&gt;=0,1+(IF(Calculator!E40&gt;0,VLOOKUP(Calculator!E40,tbSkills!AI3:AJ5,2,FALSE),Backdoors!AL4)*(IF((Backdoors!AI12+IF(KQ75&gt;=0.45,VLOOKUP(Calculator!E23,tbSkills!DH3:DI6,2,FALSE)+IF(AND(Calculator!B8=TRUE,Backdoors!BI46=TRUE),VLOOKUP(Calculator!E23,tbSkills!DH3:DJ6,3,FALSE),0),0))&gt;=100,100,(Backdoors!AI12+IF(KQ75&gt;=0.45,VLOOKUP(Calculator!E23,tbSkills!DH3:DI6,2,FALSE)+IF(AND(Calculator!B8=TRUE,Backdoors!BI46=TRUE),VLOOKUP(Calculator!E23,tbSkills!DH3:DJ6,3,FALSE),0),0)))/100)),1),1)</f>
        <v>0.6</v>
      </c>
      <c r="KW75" s="87">
        <f t="shared" si="94"/>
        <v>0</v>
      </c>
    </row>
    <row r="76" spans="1:309" x14ac:dyDescent="0.25">
      <c r="A76" s="95" t="str">
        <f>tbMoveset!A76</f>
        <v>Sliding Slash (R2)</v>
      </c>
      <c r="B76" s="86">
        <f>IFERROR(IF(VLOOKUP(A76,tbMoveset!A2:B112,2,FALSE)="Sever",Backdoors!AY3/100,IF(VLOOKUP(A76,tbMoveset!A2:B112,2,FALSE)="Blunt",Backdoors!AZ3/100,Backdoors!BA3/100)),"")</f>
        <v>0.8</v>
      </c>
      <c r="C76" s="49">
        <f>IFERROR(IF(VLOOKUP(tbMoveset!A76,tbMoveset!A2:H112,8,FALSE)="Other",IF(VLOOKUP(tbMoveset!A76,tbMoveset!A2:I112,9,FALSE)="Fire",Backdoors!BB3,IF(VLOOKUP(tbMoveset!A76,tbMoveset!A2:I112,9,FALSE)="Water",Backdoors!BC3,IF(VLOOKUP(tbMoveset!A76,tbMoveset!A2:I112,9,FALSE)="Thunder",Backdoors!BD3,IF(VLOOKUP(tbMoveset!A76,tbMoveset!A2:I112,9,FALSE)="Ice",Backdoors!BE3,IF(VLOOKUP(tbMoveset!A76,tbMoveset!A2:I112,9,FALSE)="Dragon",Backdoors!BF3,Backdoors!BG3)))))/100,Backdoors!BG3/100),"")</f>
        <v>0</v>
      </c>
      <c r="D76" s="49">
        <f>IFERROR(IF(VLOOKUP(A76,tbMoveset!A2:J112,10,FALSE)=TRUE,IF((Backdoors!AI12+IF(B76&gt;=0.45,VLOOKUP(Calculator!E23,tbSkills!DH3:DI6,2,FALSE)+IF(AND(Calculator!B8=TRUE,Backdoors!BI3=TRUE),VLOOKUP(Calculator!E23,tbSkills!DH3:DJ6,3,FALSE),0),0))&gt;=0,1+(Backdoors!AL2*(IF((Backdoors!AI12+IF(B76&gt;=0.45,VLOOKUP(Calculator!E23,tbSkills!DH3:DI6,2,FALSE)+IF(AND(Calculator!B8=TRUE,Backdoors!BI3=TRUE),VLOOKUP(Calculator!E23,tbSkills!DH3:DJ6,3,FALSE),0),0))&gt;=100,100,(Backdoors!AI12+IF(B76&gt;=0.45,VLOOKUP(Calculator!E23,tbSkills!DH3:DI6,2,FALSE)+IF(AND(Calculator!B8=TRUE,Backdoors!BI3=TRUE),VLOOKUP(Calculator!E23,tbSkills!DH3:DJ6,3,FALSE),0),0)))/100)),(1-(0.25*((-Backdoors!AI12-IF(B76&gt;=0.45,VLOOKUP(Calculator!E23,tbSkills!DH3:DI6,2,FALSE)+IF(AND(Calculator!B8=TRUE,Backdoors!BI3=TRUE),VLOOKUP(Calculator!E23,tbSkills!DH3:DJ6,3,FALSE),0),0))/100)))),1),"")</f>
        <v>1</v>
      </c>
      <c r="E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76)*D76)*(VLOOKUP(A76,tbMoveset!A2:C112,3,FALSE)/100)*IF(VLOOKUP(A76,tbMoveset!A2:B112,2,FALSE)="Projectile",Backdoors!N10,Backdoors!N9),0),"")</f>
        <v>9</v>
      </c>
      <c r="F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76&gt;=0.45,VLOOKUP(Calculator!E23,tbSkills!DH3:DI6,2,FALSE)+IF(AND(Calculator!B8=TRUE,Backdoors!BI3=TRUE),VLOOKUP(Calculator!E23,tbSkills!DH3:DJ6,3,FALSE),0),0))&gt;=100,100,(Backdoors!AI12+IF(B76&gt;=0.45,VLOOKUP(Calculator!E23,tbSkills!DH3:DI6,2,FALSE)+IF(AND(Calculator!B8=TRUE,Backdoors!BI3=TRUE),VLOOKUP(Calculator!E23,tbSkills!DH3:DJ6,3,FALSE),0),0)))/100)),1))*IF(VLOOKUP(A76,tbMoveset!A2:K112,11,FALSE)=TRUE,Backdoors!AC5,1))*C76,0),"")</f>
        <v>0</v>
      </c>
      <c r="G76">
        <f>VLOOKUP(A76,tbMoveset!A2:G112,7,FALSE)*IFERROR(IF(Backdoors!AI12&gt;=0,1+(IF(Calculator!E40&gt;0,VLOOKUP(Calculator!E40,tbSkills!AI3:AJ5,2,FALSE),Backdoors!AL4)*(IF((Backdoors!AI12+IF(B76&gt;=0.45,VLOOKUP(Calculator!E23,tbSkills!DH3:DI6,2,FALSE)+IF(AND(Calculator!B8=TRUE,Backdoors!BI3=TRUE),VLOOKUP(Calculator!E23,tbSkills!DH3:DJ6,3,FALSE),0),0))&gt;=100,100,(Backdoors!AI12+IF(B76&gt;=0.45,VLOOKUP(Calculator!E23,tbSkills!DH3:DI6,2,FALSE)+IF(AND(Calculator!B8=TRUE,Backdoors!BI3=TRUE),VLOOKUP(Calculator!E23,tbSkills!DH3:DJ6,3,FALSE),0),0)))/100)),1),1)</f>
        <v>0.6</v>
      </c>
      <c r="H76" s="87">
        <f t="shared" si="51"/>
        <v>9</v>
      </c>
      <c r="I76" s="86">
        <f>IFERROR(IF(VLOOKUP(A76,tbMoveset!A2:B112,2,FALSE)="Sever",Backdoors!AY4/100,IF(VLOOKUP(A76,tbMoveset!A2:B112,2,FALSE)="Blunt",Backdoors!AZ4/100,Backdoors!BA4/100)),"")</f>
        <v>0.65</v>
      </c>
      <c r="J76" s="49">
        <f>IFERROR(IF(VLOOKUP(tbMoveset!A76,tbMoveset!A2:H112,8,FALSE)="Other",IF(VLOOKUP(tbMoveset!A76,tbMoveset!A2:I112,9,FALSE)="Fire",Backdoors!BB4,IF(VLOOKUP(tbMoveset!A76,tbMoveset!A2:I112,9,FALSE)="Water",Backdoors!BC4,IF(VLOOKUP(tbMoveset!A76,tbMoveset!A2:I112,9,FALSE)="Thunder",Backdoors!BD4,IF(VLOOKUP(tbMoveset!A76,tbMoveset!A2:I112,9,FALSE)="Ice",Backdoors!BE4,IF(VLOOKUP(tbMoveset!A76,tbMoveset!A2:I112,9,FALSE)="Dragon",Backdoors!BF4,Backdoors!BG4)))))/100,Backdoors!BG4/100),"")</f>
        <v>0</v>
      </c>
      <c r="K76" s="49">
        <f>IFERROR(IF(VLOOKUP(A76,tbMoveset!A2:J112,10,FALSE)=TRUE,IF((Backdoors!AI12+IF(I76&gt;=0.45,VLOOKUP(Calculator!E23,tbSkills!DH3:DI6,2,FALSE)+IF(AND(Calculator!B8=TRUE,Backdoors!BI4=TRUE),VLOOKUP(Calculator!E23,tbSkills!DH3:DJ6,3,FALSE),0),0))&gt;=0,1+(Backdoors!AL2*(IF((Backdoors!AI12+IF(I76&gt;=0.45,VLOOKUP(Calculator!E23,tbSkills!DH3:DI6,2,FALSE)+IF(AND(Calculator!B8=TRUE,Backdoors!BI4=TRUE),VLOOKUP(Calculator!E23,tbSkills!DH3:DJ6,3,FALSE),0),0))&gt;=100,100,(Backdoors!AI12+IF(I76&gt;=0.45,VLOOKUP(Calculator!E23,tbSkills!DH3:DI6,2,FALSE)+IF(AND(Calculator!B8=TRUE,Backdoors!BI4=TRUE),VLOOKUP(Calculator!E23,tbSkills!DH3:DJ6,3,FALSE),0),0)))/100)),(1-(0.25*((-Backdoors!AI12-IF(I76&gt;=0.45,VLOOKUP(Calculator!E23,tbSkills!DH3:DI6,2,FALSE)+IF(AND(Calculator!B8=TRUE,Backdoors!BI4=TRUE),VLOOKUP(Calculator!E23,tbSkills!DH3:DJ6,3,FALSE),0),0))/100)))),1),"")</f>
        <v>1</v>
      </c>
      <c r="L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76)*K76)*(VLOOKUP(A76,tbMoveset!A2:C112,3,FALSE)/100)*IF(VLOOKUP(A76,tbMoveset!A2:B112,2,FALSE)="Projectile",Backdoors!N10,Backdoors!N9),0),"")</f>
        <v>7</v>
      </c>
      <c r="M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I76&gt;=0.45,VLOOKUP(Calculator!E23,tbSkills!DH3:DI6,2,FALSE)+IF(AND(Calculator!B8=TRUE,Backdoors!BI4=TRUE),VLOOKUP(Calculator!E23,tbSkills!DH3:DJ6,3,FALSE),0),0))&gt;=100,100,(Backdoors!AI12+IF(I76&gt;=0.45,VLOOKUP(Calculator!E23,tbSkills!DH3:DI6,2,FALSE)+IF(AND(Calculator!B8=TRUE,Backdoors!BI4=TRUE),VLOOKUP(Calculator!E23,tbSkills!DH3:DJ6,3,FALSE),0),0)))/100)),1))*IF(VLOOKUP(A76,tbMoveset!A2:K112,11,FALSE)=TRUE,Backdoors!AC5,1))*J76,0),"")</f>
        <v>0</v>
      </c>
      <c r="N76" s="49">
        <f>VLOOKUP(A76,tbMoveset!A2:G112,7,FALSE)*IFERROR(IF(Backdoors!AI12&gt;=0,1+(IF(Calculator!E40&gt;0,VLOOKUP(Calculator!E40,tbSkills!AI3:AJ5,2,FALSE),Backdoors!AL4)*(IF((Backdoors!AI12+IF(I76&gt;=0.45,VLOOKUP(Calculator!E23,tbSkills!DH3:DI6,2,FALSE)+IF(AND(Calculator!B8=TRUE,Backdoors!BI4=TRUE),VLOOKUP(Calculator!E23,tbSkills!DH3:DJ6,3,FALSE),0),0))&gt;=100,100,(Backdoors!AI12+IF(I76&gt;=0.45,VLOOKUP(Calculator!E23,tbSkills!DH3:DI6,2,FALSE)+IF(AND(Calculator!B8=TRUE,Backdoors!BI4=TRUE),VLOOKUP(Calculator!E23,tbSkills!DH3:DJ6,3,FALSE),0),0)))/100)),1),1)</f>
        <v>0.6</v>
      </c>
      <c r="O76" s="87">
        <f t="shared" si="52"/>
        <v>7</v>
      </c>
      <c r="P76" s="86">
        <f>IFERROR(IF(VLOOKUP(A76,tbMoveset!A2:B112,2,FALSE)="Sever",Backdoors!AY5/100,IF(VLOOKUP(A76,tbMoveset!A2:B112,2,FALSE)="Blunt",Backdoors!AZ5/100,Backdoors!BA5/100)),"")</f>
        <v>0.5</v>
      </c>
      <c r="Q76" s="49">
        <f>IFERROR(IF(VLOOKUP(tbMoveset!A76,tbMoveset!A2:H112,8,FALSE)="Other",IF(VLOOKUP(tbMoveset!A76,tbMoveset!A2:I112,9,FALSE)="Fire",Backdoors!BB5,IF(VLOOKUP(tbMoveset!A76,tbMoveset!A2:I112,9,FALSE)="Water",Backdoors!BC5,IF(VLOOKUP(tbMoveset!A76,tbMoveset!A2:I112,9,FALSE)="Thunder",Backdoors!BD5,IF(VLOOKUP(tbMoveset!A76,tbMoveset!A2:I112,9,FALSE)="Ice",Backdoors!BE5,IF(VLOOKUP(tbMoveset!A76,tbMoveset!A2:I112,9,FALSE)="Dragon",Backdoors!BF5,Backdoors!BG5)))))/100,Backdoors!BG5/100),"")</f>
        <v>0</v>
      </c>
      <c r="R76" s="49">
        <f>IFERROR(IF(VLOOKUP(A76,tbMoveset!A2:J112,10,FALSE)=TRUE,IF((Backdoors!AI12+IF(P76&gt;=0.45,VLOOKUP(Calculator!E23,tbSkills!DH3:DI6,2,FALSE)+IF(AND(Calculator!B8=TRUE,Backdoors!BI5=TRUE),VLOOKUP(Calculator!E23,tbSkills!DH3:DJ6,3,FALSE),0),0))&gt;=0,1+(Backdoors!AL2*(IF((Backdoors!AI12+IF(P76&gt;=0.45,VLOOKUP(Calculator!E23,tbSkills!DH3:DI6,2,FALSE)+IF(AND(Calculator!B8=TRUE,Backdoors!BI5=TRUE),VLOOKUP(Calculator!E23,tbSkills!DH3:DJ6,3,FALSE),0),0))&gt;=100,100,(Backdoors!AI12+IF(P76&gt;=0.45,VLOOKUP(Calculator!E23,tbSkills!DH3:DI6,2,FALSE)+IF(AND(Calculator!B8=TRUE,Backdoors!BI5=TRUE),VLOOKUP(Calculator!E23,tbSkills!DH3:DJ6,3,FALSE),0),0)))/100)),(1-(0.25*((-Backdoors!AI12-IF(P76&gt;=0.45,VLOOKUP(Calculator!E23,tbSkills!DH3:DI6,2,FALSE)+IF(AND(Calculator!B8=TRUE,Backdoors!BI5=TRUE),VLOOKUP(Calculator!E23,tbSkills!DH3:DJ6,3,FALSE),0),0))/100)))),1),"")</f>
        <v>1</v>
      </c>
      <c r="S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P76)*R76)*(VLOOKUP(A76,tbMoveset!A2:C112,3,FALSE)/100)*IF(VLOOKUP(A76,tbMoveset!A2:B112,2,FALSE)="Projectile",Backdoors!N10,Backdoors!N9),0),"")</f>
        <v>5</v>
      </c>
      <c r="T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P76&gt;=0.45,VLOOKUP(Calculator!E23,tbSkills!DH3:DI6,2,FALSE)+IF(AND(Calculator!B8=TRUE,Backdoors!BI5=TRUE),VLOOKUP(Calculator!E23,tbSkills!DH3:DJ6,3,FALSE),0),0))&gt;=100,100,(Backdoors!AI12+IF(P76&gt;=0.45,VLOOKUP(Calculator!E23,tbSkills!DH3:DI6,2,FALSE)+IF(AND(Calculator!B8=TRUE,Backdoors!BI5=TRUE),VLOOKUP(Calculator!E23,tbSkills!DH3:DJ6,3,FALSE),0),0)))/100)),1))*IF(VLOOKUP(A76,tbMoveset!A2:K112,11,FALSE)=TRUE,Backdoors!AC5,1))*Q76,0),"")</f>
        <v>0</v>
      </c>
      <c r="U76" s="49">
        <f>VLOOKUP(A76,tbMoveset!A2:G112,7,FALSE)*IFERROR(IF(Backdoors!AI12&gt;=0,1+(IF(Calculator!E40&gt;0,VLOOKUP(Calculator!E40,tbSkills!AI3:AJ5,2,FALSE),Backdoors!AL4)*(IF((Backdoors!AI12+IF(P76&gt;=0.45,VLOOKUP(Calculator!E23,tbSkills!DH3:DI6,2,FALSE)+IF(AND(Calculator!B8=TRUE,Backdoors!BI5=TRUE),VLOOKUP(Calculator!E23,tbSkills!DH3:DJ6,3,FALSE),0),0))&gt;=100,100,(Backdoors!AI12+IF(P76&gt;=0.45,VLOOKUP(Calculator!E23,tbSkills!DH3:DI6,2,FALSE)+IF(AND(Calculator!B8=TRUE,Backdoors!BI5=TRUE),VLOOKUP(Calculator!E23,tbSkills!DH3:DJ6,3,FALSE),0),0)))/100)),1),1)</f>
        <v>0.6</v>
      </c>
      <c r="V76" s="87">
        <f t="shared" si="53"/>
        <v>5</v>
      </c>
      <c r="W76" s="86">
        <f>IFERROR(IF(VLOOKUP(A76,tbMoveset!A2:B112,2,FALSE)="Sever",Backdoors!AY6/100,IF(VLOOKUP(A76,tbMoveset!A2:B112,2,FALSE)="Blunt",Backdoors!AZ6/100,Backdoors!BA6/100)),"")</f>
        <v>0.45</v>
      </c>
      <c r="X76" s="49">
        <f>IFERROR(IF(VLOOKUP(tbMoveset!A76,tbMoveset!A2:H112,8,FALSE)="Other",IF(VLOOKUP(tbMoveset!A76,tbMoveset!A2:I112,9,FALSE)="Fire",Backdoors!BB6,IF(VLOOKUP(tbMoveset!A76,tbMoveset!A2:I112,9,FALSE)="Water",Backdoors!BC6,IF(VLOOKUP(tbMoveset!A76,tbMoveset!A2:I112,9,FALSE)="Thunder",Backdoors!BD6,IF(VLOOKUP(tbMoveset!A76,tbMoveset!A2:I112,9,FALSE)="Ice",Backdoors!BE6,IF(VLOOKUP(tbMoveset!A76,tbMoveset!A2:I112,9,FALSE)="Dragon",Backdoors!BF6,Backdoors!BG6)))))/100,Backdoors!BG6/100),"")</f>
        <v>0</v>
      </c>
      <c r="Y76" s="49">
        <f>IFERROR(IF(VLOOKUP(A76,tbMoveset!A2:J112,10,FALSE)=TRUE,IF((Backdoors!AI12+IF(W76&gt;=0.45,VLOOKUP(Calculator!E23,tbSkills!DH3:DI6,2,FALSE)+IF(AND(Calculator!B8=TRUE,Backdoors!BI6=TRUE),VLOOKUP(Calculator!E23,tbSkills!DH3:DJ6,3,FALSE),0),0))&gt;=0,1+(Backdoors!AL2*(IF((Backdoors!AI12+IF(W76&gt;=0.45,VLOOKUP(Calculator!E23,tbSkills!DH3:DI6,2,FALSE)+IF(AND(Calculator!B8=TRUE,Backdoors!BI6=TRUE),VLOOKUP(Calculator!E23,tbSkills!DH3:DJ6,3,FALSE),0),0))&gt;=100,100,(Backdoors!AI12+IF(W76&gt;=0.45,VLOOKUP(Calculator!E23,tbSkills!DH3:DI6,2,FALSE)+IF(AND(Calculator!B8=TRUE,Backdoors!BI6=TRUE),VLOOKUP(Calculator!E23,tbSkills!DH3:DJ6,3,FALSE),0),0)))/100)),(1-(0.25*((-Backdoors!AI12-IF(W76&gt;=0.45,VLOOKUP(Calculator!E23,tbSkills!DH3:DI6,2,FALSE)+IF(AND(Calculator!B8=TRUE,Backdoors!BI6=TRUE),VLOOKUP(Calculator!E23,tbSkills!DH3:DJ6,3,FALSE),0),0))/100)))),1),"")</f>
        <v>1</v>
      </c>
      <c r="Z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W76)*Y76)*(VLOOKUP(A76,tbMoveset!A2:C112,3,FALSE)/100)*IF(VLOOKUP(A76,tbMoveset!A2:B112,2,FALSE)="Projectile",Backdoors!N10,Backdoors!N9),0),"")</f>
        <v>5</v>
      </c>
      <c r="AA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W76&gt;=0.45,VLOOKUP(Calculator!E23,tbSkills!DH3:DI6,2,FALSE)+IF(AND(Calculator!B8=TRUE,Backdoors!BI6=TRUE),VLOOKUP(Calculator!E23,tbSkills!DH3:DJ6,3,FALSE),0),0))&gt;=100,100,(Backdoors!AI12+IF(W76&gt;=0.45,VLOOKUP(Calculator!E23,tbSkills!DH3:DI6,2,FALSE)+IF(AND(Calculator!B8=TRUE,Backdoors!BI6=TRUE),VLOOKUP(Calculator!E23,tbSkills!DH3:DJ6,3,FALSE),0),0)))/100)),1))*IF(VLOOKUP(A76,tbMoveset!A2:K112,11,FALSE)=TRUE,Backdoors!AC5,1))*X76,0),"")</f>
        <v>0</v>
      </c>
      <c r="AB76" s="49">
        <f>VLOOKUP(A76,tbMoveset!A2:G112,7,FALSE)*IFERROR(IF(Backdoors!AI12&gt;=0,1+(IF(Calculator!E40&gt;0,VLOOKUP(Calculator!E40,tbSkills!AI3:AJ5,2,FALSE),Backdoors!AL4)*(IF((Backdoors!AI12+IF(W76&gt;=0.45,VLOOKUP(Calculator!E23,tbSkills!DH3:DI6,2,FALSE)+IF(AND(Calculator!B8=TRUE,Backdoors!BI6=TRUE),VLOOKUP(Calculator!E23,tbSkills!DH3:DJ6,3,FALSE),0),0))&gt;=100,100,(Backdoors!AI12+IF(W76&gt;=0.45,VLOOKUP(Calculator!E23,tbSkills!DH3:DI6,2,FALSE)+IF(AND(Calculator!B8=TRUE,Backdoors!BI6=TRUE),VLOOKUP(Calculator!E23,tbSkills!DH3:DJ6,3,FALSE),0),0)))/100)),1),1)</f>
        <v>0.6</v>
      </c>
      <c r="AC76" s="87">
        <f t="shared" si="54"/>
        <v>5</v>
      </c>
      <c r="AD76" s="86">
        <f>IFERROR(IF(VLOOKUP(A76,tbMoveset!A2:B112,2,FALSE)="Sever",Backdoors!AY7/100,IF(VLOOKUP(A76,tbMoveset!A2:B112,2,FALSE)="Blunt",Backdoors!AZ7/100,Backdoors!BA7/100)),"")</f>
        <v>0.65</v>
      </c>
      <c r="AE76" s="49">
        <f>IFERROR(IF(VLOOKUP(tbMoveset!A76,tbMoveset!A2:H112,8,FALSE)="Other",IF(VLOOKUP(tbMoveset!A76,tbMoveset!A2:I112,9,FALSE)="Fire",Backdoors!BB7,IF(VLOOKUP(tbMoveset!A76,tbMoveset!A2:I112,9,FALSE)="Water",Backdoors!BC7,IF(VLOOKUP(tbMoveset!A76,tbMoveset!A2:I112,9,FALSE)="Thunder",Backdoors!BD7,IF(VLOOKUP(tbMoveset!A76,tbMoveset!A2:I112,9,FALSE)="Ice",Backdoors!BE7,IF(VLOOKUP(tbMoveset!A76,tbMoveset!A2:I112,9,FALSE)="Dragon",Backdoors!BF7,Backdoors!BG7)))))/100,Backdoors!BG7/100),"")</f>
        <v>0</v>
      </c>
      <c r="AF76" s="49">
        <f>IFERROR(IF(VLOOKUP(A76,tbMoveset!A2:J112,10,FALSE)=TRUE,IF((Backdoors!AI12+IF(AD76&gt;=0.45,VLOOKUP(Calculator!E23,tbSkills!DH3:DI6,2,FALSE)+IF(AND(Calculator!B8=TRUE,Backdoors!BI7=TRUE),VLOOKUP(Calculator!E23,tbSkills!DH3:DJ6,3,FALSE),0),0))&gt;=0,1+(Backdoors!AL2*(IF((Backdoors!AI12+IF(AD76&gt;=0.45,VLOOKUP(Calculator!E23,tbSkills!DH3:DI6,2,FALSE)+IF(AND(Calculator!B8=TRUE,Backdoors!BI7=TRUE),VLOOKUP(Calculator!E23,tbSkills!DH3:DJ6,3,FALSE),0),0))&gt;=100,100,(Backdoors!AI12+IF(AD76&gt;=0.45,VLOOKUP(Calculator!E23,tbSkills!DH3:DI6,2,FALSE)+IF(AND(Calculator!B8=TRUE,Backdoors!BI7=TRUE),VLOOKUP(Calculator!E23,tbSkills!DH3:DJ6,3,FALSE),0),0)))/100)),(1-(0.25*((-Backdoors!AI12-IF(AD76&gt;=0.45,VLOOKUP(Calculator!E23,tbSkills!DH3:DI6,2,FALSE)+IF(AND(Calculator!B8=TRUE,Backdoors!BI7=TRUE),VLOOKUP(Calculator!E23,tbSkills!DH3:DJ6,3,FALSE),0),0))/100)))),1),"")</f>
        <v>1</v>
      </c>
      <c r="AG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D76)*AF76)*(VLOOKUP(A76,tbMoveset!A2:C112,3,FALSE)/100)*IF(VLOOKUP(A76,tbMoveset!A2:B112,2,FALSE)="Projectile",Backdoors!N10,Backdoors!N9),0),"")</f>
        <v>7</v>
      </c>
      <c r="AH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D76&gt;=0.45,VLOOKUP(Calculator!E23,tbSkills!DH3:DI6,2,FALSE)+IF(AND(Calculator!B8=TRUE,Backdoors!BI7=TRUE),VLOOKUP(Calculator!E23,tbSkills!DH3:DJ6,3,FALSE),0),0))&gt;=100,100,(Backdoors!AI12+IF(AD76&gt;=0.45,VLOOKUP(Calculator!E23,tbSkills!DH3:DI6,2,FALSE)+IF(AND(Calculator!B8=TRUE,Backdoors!BI7=TRUE),VLOOKUP(Calculator!E23,tbSkills!DH3:DJ6,3,FALSE),0),0)))/100)),1))*IF(VLOOKUP(A76,tbMoveset!A2:K112,11,FALSE)=TRUE,Backdoors!AC5,1))*AE76,0),"")</f>
        <v>0</v>
      </c>
      <c r="AI76" s="49">
        <f>VLOOKUP(A76,tbMoveset!A2:G112,7,FALSE)*IFERROR(IF(Backdoors!AI12&gt;=0,1+(IF(Calculator!E40&gt;0,VLOOKUP(Calculator!E40,tbSkills!AI3:AJ5,2,FALSE),Backdoors!AL4)*(IF((Backdoors!AI12+IF(AD76&gt;=0.45,VLOOKUP(Calculator!E23,tbSkills!DH3:DI6,2,FALSE)+IF(AND(Calculator!B8=TRUE,Backdoors!BI7=TRUE),VLOOKUP(Calculator!E23,tbSkills!DH3:DJ6,3,FALSE),0),0))&gt;=100,100,(Backdoors!AI12+IF(AD76&gt;=0.45,VLOOKUP(Calculator!E23,tbSkills!DH3:DI6,2,FALSE)+IF(AND(Calculator!B8=TRUE,Backdoors!BI7=TRUE),VLOOKUP(Calculator!E23,tbSkills!DH3:DJ6,3,FALSE),0),0)))/100)),1),1)</f>
        <v>0.6</v>
      </c>
      <c r="AJ76" s="87">
        <f t="shared" si="55"/>
        <v>7</v>
      </c>
      <c r="AK76" s="91">
        <f>IFERROR(IF(VLOOKUP(A76,tbMoveset!A2:B112,2,FALSE)="Sever",Backdoors!AY8/100,IF(VLOOKUP(A76,tbMoveset!A2:B112,2,FALSE)="Blunt",Backdoors!AZ8/100,Backdoors!BA8/100)),"")</f>
        <v>0.45</v>
      </c>
      <c r="AL76" s="49">
        <f>IFERROR(IF(VLOOKUP(tbMoveset!A76,tbMoveset!A2:H112,8,FALSE)="Other",IF(VLOOKUP(tbMoveset!A76,tbMoveset!A2:I112,9,FALSE)="Fire",Backdoors!BB8,IF(VLOOKUP(tbMoveset!A76,tbMoveset!A2:I112,9,FALSE)="Water",Backdoors!BC8,IF(VLOOKUP(tbMoveset!A76,tbMoveset!A2:I112,9,FALSE)="Thunder",Backdoors!BD8,IF(VLOOKUP(tbMoveset!A76,tbMoveset!A2:I112,9,FALSE)="Ice",Backdoors!BE8,IF(VLOOKUP(tbMoveset!A76,tbMoveset!A2:I112,9,FALSE)="Dragon",Backdoors!BF8,Backdoors!BG8)))))/100,Backdoors!BG8/100),"")</f>
        <v>0</v>
      </c>
      <c r="AM76" s="49">
        <f>IFERROR(IF(VLOOKUP(A76,tbMoveset!A2:J112,10,FALSE)=TRUE,IF((Backdoors!AI12+IF(AK76&gt;=0.45,VLOOKUP(Calculator!E23,tbSkills!DH3:DI6,2,FALSE)+IF(AND(Calculator!B8=TRUE,Backdoors!BI8=TRUE),VLOOKUP(Calculator!E23,tbSkills!DH3:DJ6,3,FALSE),0),0))&gt;=0,1+(Backdoors!AL2*(IF((Backdoors!AI12+IF(AK76&gt;=0.45,VLOOKUP(Calculator!E23,tbSkills!DH3:DI6,2,FALSE)+IF(AND(Calculator!B8=TRUE,Backdoors!BI8=TRUE),VLOOKUP(Calculator!E23,tbSkills!DH3:DJ6,3,FALSE),0),0))&gt;=100,100,(Backdoors!AI12+IF(AK76&gt;=0.45,VLOOKUP(Calculator!E23,tbSkills!DH3:DI6,2,FALSE)+IF(AND(Calculator!B8=TRUE,Backdoors!BI8=TRUE),VLOOKUP(Calculator!E23,tbSkills!DH3:DJ6,3,FALSE),0),0)))/100)),(1-(0.25*((-Backdoors!AI12-IF(AK76&gt;=0.45,VLOOKUP(Calculator!E23,tbSkills!DH3:DI6,2,FALSE)+IF(AND(Calculator!B8=TRUE,Backdoors!BI8=TRUE),VLOOKUP(Calculator!E23,tbSkills!DH3:DJ6,3,FALSE),0),0))/100)))),1),"")</f>
        <v>1</v>
      </c>
      <c r="AN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K76)*AM76)*(VLOOKUP(A76,tbMoveset!A2:C112,3,FALSE)/100)*IF(VLOOKUP(A76,tbMoveset!A2:B112,2,FALSE)="Projectile",Backdoors!N10,Backdoors!N9),0),"")</f>
        <v>5</v>
      </c>
      <c r="AO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K76&gt;=0.45,VLOOKUP(Calculator!E23,tbSkills!DH3:DI6,2,FALSE)+IF(AND(Calculator!B8=TRUE,Backdoors!BI8=TRUE),VLOOKUP(Calculator!E23,tbSkills!DH3:DJ6,3,FALSE),0),0))&gt;=100,100,(Backdoors!AI12+IF(AK76&gt;=0.45,VLOOKUP(Calculator!E23,tbSkills!DH3:DI6,2,FALSE)+IF(AND(Calculator!B8=TRUE,Backdoors!BI8=TRUE),VLOOKUP(Calculator!E23,tbSkills!DH3:DJ6,3,FALSE),0),0)))/100)),1))*IF(VLOOKUP(A76,tbMoveset!A2:K112,11,FALSE)=TRUE,Backdoors!AC5,1))*AL76,0),"")</f>
        <v>0</v>
      </c>
      <c r="AP76" s="49">
        <f>VLOOKUP(A76,tbMoveset!A2:G112,7,FALSE)*IFERROR(IF(Backdoors!AI12&gt;=0,1+(IF(Calculator!E40&gt;0,VLOOKUP(Calculator!E40,tbSkills!AI3:AJ5,2,FALSE),Backdoors!AL4)*(IF((Backdoors!AI12+IF(AK76&gt;=0.45,VLOOKUP(Calculator!E23,tbSkills!DH3:DI6,2,FALSE)+IF(AND(Calculator!B8=TRUE,Backdoors!BI8=TRUE),VLOOKUP(Calculator!E23,tbSkills!DH3:DJ6,3,FALSE),0),0))&gt;=100,100,(Backdoors!AI12+IF(AK76&gt;=0.45,VLOOKUP(Calculator!E23,tbSkills!DH3:DI6,2,FALSE)+IF(AND(Calculator!B8=TRUE,Backdoors!BI8=TRUE),VLOOKUP(Calculator!E23,tbSkills!DH3:DJ6,3,FALSE),0),0)))/100)),1),1)</f>
        <v>0.6</v>
      </c>
      <c r="AQ76" s="87">
        <f t="shared" si="56"/>
        <v>5</v>
      </c>
      <c r="AR76" s="86">
        <f>IFERROR(IF(VLOOKUP(A76,tbMoveset!A2:B112,2,FALSE)="Sever",Backdoors!AY9/100,IF(VLOOKUP(A76,tbMoveset!A2:B112,2,FALSE)="Blunt",Backdoors!AZ9/100,Backdoors!BA9/100)),"")</f>
        <v>0.45</v>
      </c>
      <c r="AS76" s="49">
        <f>IFERROR(IF(VLOOKUP(tbMoveset!A76,tbMoveset!A2:H112,8,FALSE)="Other",IF(VLOOKUP(tbMoveset!A76,tbMoveset!A2:I112,9,FALSE)="Fire",Backdoors!BB9,IF(VLOOKUP(tbMoveset!A76,tbMoveset!A2:I112,9,FALSE)="Water",Backdoors!BC9,IF(VLOOKUP(tbMoveset!A76,tbMoveset!A2:I112,9,FALSE)="Thunder",Backdoors!BD9,IF(VLOOKUP(tbMoveset!A76,tbMoveset!A2:I112,9,FALSE)="Ice",Backdoors!BE9,IF(VLOOKUP(tbMoveset!A76,tbMoveset!A2:I112,9,FALSE)="Dragon",Backdoors!BF9,Backdoors!BG9)))))/100,Backdoors!BG9/100),"")</f>
        <v>0</v>
      </c>
      <c r="AT76" s="49">
        <f>IFERROR(IF(VLOOKUP(A76,tbMoveset!A2:J112,10,FALSE)=TRUE,IF((Backdoors!AI12+IF(AR76&gt;=0.45,VLOOKUP(Calculator!E23,tbSkills!DH3:DI6,2,FALSE)+IF(AND(Calculator!B8=TRUE,Backdoors!BI9=TRUE),VLOOKUP(Calculator!E23,tbSkills!DH3:DJ6,3,FALSE),0),0))&gt;=0,1+(Backdoors!AL2*(IF((Backdoors!AI12+IF(AR76&gt;=0.45,VLOOKUP(Calculator!E23,tbSkills!DH3:DI6,2,FALSE)+IF(AND(Calculator!B8=TRUE,Backdoors!BI9=TRUE),VLOOKUP(Calculator!E23,tbSkills!DH3:DJ6,3,FALSE),0),0))&gt;=100,100,(Backdoors!AI12+IF(AR76&gt;=0.45,VLOOKUP(Calculator!E23,tbSkills!DH3:DI6,2,FALSE)+IF(AND(Calculator!B8=TRUE,Backdoors!BI9=TRUE),VLOOKUP(Calculator!E23,tbSkills!DH3:DJ6,3,FALSE),0),0)))/100)),(1-(0.25*((-Backdoors!AI12-IF(AR76&gt;=0.45,VLOOKUP(Calculator!E23,tbSkills!DH3:DI6,2,FALSE)+IF(AND(Calculator!B8=TRUE,Backdoors!BI9=TRUE),VLOOKUP(Calculator!E23,tbSkills!DH3:DJ6,3,FALSE),0),0))/100)))),1),"")</f>
        <v>1</v>
      </c>
      <c r="AU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R76)*AT76)*(VLOOKUP(A76,tbMoveset!A2:C112,3,FALSE)/100)*IF(VLOOKUP(A76,tbMoveset!A2:B112,2,FALSE)="Projectile",Backdoors!N10,Backdoors!N9),0),"")</f>
        <v>5</v>
      </c>
      <c r="AV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R76&gt;=0.45,VLOOKUP(Calculator!E23,tbSkills!DH3:DI6,2,FALSE)+IF(AND(Calculator!B8=TRUE,Backdoors!BI9=TRUE),VLOOKUP(Calculator!E23,tbSkills!DH3:DJ6,3,FALSE),0),0))&gt;=100,100,(Backdoors!AI12+IF(AR76&gt;=0.45,VLOOKUP(Calculator!E23,tbSkills!DH3:DI6,2,FALSE)+IF(AND(Calculator!B8=TRUE,Backdoors!BI9=TRUE),VLOOKUP(Calculator!E23,tbSkills!DH3:DJ6,3,FALSE),0),0)))/100)),1))*IF(VLOOKUP(A76,tbMoveset!A2:K112,11,FALSE)=TRUE,Backdoors!AC5,1))*AS76,0),"")</f>
        <v>0</v>
      </c>
      <c r="AW76" s="49">
        <f>VLOOKUP(A76,tbMoveset!A2:G112,7,FALSE)*IFERROR(IF(Backdoors!AI12&gt;=0,1+(IF(Calculator!E40&gt;0,VLOOKUP(Calculator!E40,tbSkills!AI3:AJ5,2,FALSE),Backdoors!AL4)*(IF((Backdoors!AI12+IF(AR76&gt;=0.45,VLOOKUP(Calculator!E23,tbSkills!DH3:DI6,2,FALSE)+IF(AND(Calculator!B8=TRUE,Backdoors!BI9=TRUE),VLOOKUP(Calculator!E23,tbSkills!DH3:DJ6,3,FALSE),0),0))&gt;=100,100,(Backdoors!AI12+IF(AR76&gt;=0.45,VLOOKUP(Calculator!E23,tbSkills!DH3:DI6,2,FALSE)+IF(AND(Calculator!B8=TRUE,Backdoors!BI9=TRUE),VLOOKUP(Calculator!E23,tbSkills!DH3:DJ6,3,FALSE),0),0)))/100)),1),1)</f>
        <v>0.6</v>
      </c>
      <c r="AX76" s="87">
        <f t="shared" si="57"/>
        <v>5</v>
      </c>
      <c r="AY76" s="86">
        <f>IFERROR(IF(VLOOKUP(A76,tbMoveset!A2:B112,2,FALSE)="Sever",Backdoors!AY10/100,IF(VLOOKUP(A76,tbMoveset!A2:B112,2,FALSE)="Blunt",Backdoors!AZ10/100,Backdoors!BA10/100)),"")</f>
        <v>0.9</v>
      </c>
      <c r="AZ76" s="49">
        <f>IFERROR(IF(VLOOKUP(tbMoveset!A76,tbMoveset!A2:H112,8,FALSE)="Other",IF(VLOOKUP(tbMoveset!A76,tbMoveset!A2:I112,9,FALSE)="Fire",Backdoors!BB10,IF(VLOOKUP(tbMoveset!A76,tbMoveset!A2:I112,9,FALSE)="Water",Backdoors!BC10,IF(VLOOKUP(tbMoveset!A76,tbMoveset!A2:I112,9,FALSE)="Thunder",Backdoors!BD10,IF(VLOOKUP(tbMoveset!A76,tbMoveset!A2:I112,9,FALSE)="Ice",Backdoors!BE10,IF(VLOOKUP(tbMoveset!A76,tbMoveset!A2:I112,9,FALSE)="Dragon",Backdoors!BF10,Backdoors!BG10)))))/100,Backdoors!BG10/100),"")</f>
        <v>0</v>
      </c>
      <c r="BA76" s="49">
        <f>IFERROR(IF(VLOOKUP(A76,tbMoveset!A2:J112,10,FALSE)=TRUE,IF((Backdoors!AI12+IF(AY76&gt;=0.45,VLOOKUP(Calculator!E23,tbSkills!DH3:DI6,2,FALSE)+IF(AND(Calculator!B8=TRUE,Backdoors!BI10=TRUE),VLOOKUP(Calculator!E23,tbSkills!DH3:DJ6,3,FALSE),0),0))&gt;=0,1+(Backdoors!AL2*(IF((Backdoors!AI12+IF(AY76&gt;=0.45,VLOOKUP(Calculator!E23,tbSkills!DH3:DI6,2,FALSE)+IF(AND(Calculator!B8=TRUE,Backdoors!BI10=TRUE),VLOOKUP(Calculator!E23,tbSkills!DH3:DJ6,3,FALSE),0),0))&gt;=100,100,(Backdoors!AI12+IF(AY76&gt;=0.45,VLOOKUP(Calculator!E23,tbSkills!DH3:DI6,2,FALSE)+IF(AND(Calculator!B8=TRUE,Backdoors!BI10=TRUE),VLOOKUP(Calculator!E23,tbSkills!DH3:DJ6,3,FALSE),0),0)))/100)),(1-(0.25*((-Backdoors!AI12-IF(AY76&gt;=0.45,VLOOKUP(Calculator!E23,tbSkills!DH3:DI6,2,FALSE)+IF(AND(Calculator!B8=TRUE,Backdoors!BI10=TRUE),VLOOKUP(Calculator!E23,tbSkills!DH3:DJ6,3,FALSE),0),0))/100)))),1),"")</f>
        <v>1</v>
      </c>
      <c r="BB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Y76)*BA76)*(VLOOKUP(A76,tbMoveset!A2:C112,3,FALSE)/100)*IF(VLOOKUP(A76,tbMoveset!A2:B112,2,FALSE)="Projectile",Backdoors!N10,Backdoors!N9),0),"")</f>
        <v>10</v>
      </c>
      <c r="BC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Y76&gt;=0.45,VLOOKUP(Calculator!E23,tbSkills!DH3:DI6,2,FALSE)+IF(AND(Calculator!B8=TRUE,Backdoors!BI10=TRUE),VLOOKUP(Calculator!E23,tbSkills!DH3:DJ6,3,FALSE),0),0))&gt;=100,100,(Backdoors!AI12+IF(AY76&gt;=0.45,VLOOKUP(Calculator!E23,tbSkills!DH3:DI6,2,FALSE)+IF(AND(Calculator!B8=TRUE,Backdoors!BI10=TRUE),VLOOKUP(Calculator!E23,tbSkills!DH3:DJ6,3,FALSE),0),0)))/100)),1))*IF(VLOOKUP(A76,tbMoveset!A2:K112,11,FALSE)=TRUE,Backdoors!AC5,1))*AZ76,0),"")</f>
        <v>0</v>
      </c>
      <c r="BD76" s="49">
        <f>VLOOKUP(A76,tbMoveset!A2:G112,7,FALSE)*IFERROR(IF(Backdoors!AI12&gt;=0,1+(IF(Calculator!E40&gt;0,VLOOKUP(Calculator!E40,tbSkills!AI3:AJ5,2,FALSE),Backdoors!AL4)*(IF((Backdoors!AI12+IF(AY76&gt;=0.45,VLOOKUP(Calculator!E23,tbSkills!DH3:DI6,2,FALSE)+IF(AND(Calculator!B8=TRUE,Backdoors!BI10=TRUE),VLOOKUP(Calculator!E23,tbSkills!DH3:DJ6,3,FALSE),0),0))&gt;=100,100,(Backdoors!AI12+IF(AY76&gt;=0.45,VLOOKUP(Calculator!E23,tbSkills!DH3:DI6,2,FALSE)+IF(AND(Calculator!B8=TRUE,Backdoors!BI10=TRUE),VLOOKUP(Calculator!E23,tbSkills!DH3:DJ6,3,FALSE),0),0)))/100)),1),1)</f>
        <v>0.6</v>
      </c>
      <c r="BE76" s="87">
        <f t="shared" si="58"/>
        <v>10</v>
      </c>
      <c r="BF76" s="86" t="str">
        <f>IFERROR(IF(VLOOKUP(A76,tbMoveset!A2:B112,2,FALSE)="Sever",Backdoors!AY11/100,IF(VLOOKUP(A76,tbMoveset!A2:B112,2,FALSE)="Blunt",Backdoors!AZ11/100,Backdoors!BA11/100)),"")</f>
        <v/>
      </c>
      <c r="BG76" s="49">
        <f>IFERROR(IF(VLOOKUP(tbMoveset!A76,tbMoveset!A2:H112,8,FALSE)="Other",IF(VLOOKUP(tbMoveset!A76,tbMoveset!A2:I112,9,FALSE)="Fire",Backdoors!BB11,IF(VLOOKUP(tbMoveset!A76,tbMoveset!A2:I112,9,FALSE)="Water",Backdoors!BC11,IF(VLOOKUP(tbMoveset!A76,tbMoveset!A2:I112,9,FALSE)="Thunder",Backdoors!BD11,IF(VLOOKUP(tbMoveset!A76,tbMoveset!A2:I112,9,FALSE)="Ice",Backdoors!BE11,IF(VLOOKUP(tbMoveset!A76,tbMoveset!A2:I112,9,FALSE)="Dragon",Backdoors!BF11,Backdoors!BG11)))))/100,Backdoors!BG11/100),"")</f>
        <v>0</v>
      </c>
      <c r="BH76" s="49">
        <f>IFERROR(IF(VLOOKUP(A76,tbMoveset!A2:J112,10,FALSE)=TRUE,IF((Backdoors!AI12+IF(BF76&gt;=0.45,VLOOKUP(Calculator!E23,tbSkills!DH3:DI6,2,FALSE)+IF(AND(Calculator!B8=TRUE,Backdoors!BI11=TRUE),VLOOKUP(Calculator!E23,tbSkills!DH3:DJ6,3,FALSE),0),0))&gt;=0,1+(Backdoors!AL2*(IF((Backdoors!AI12+IF(BF76&gt;=0.45,VLOOKUP(Calculator!E23,tbSkills!DH3:DI6,2,FALSE)+IF(AND(Calculator!B8=TRUE,Backdoors!BI11=TRUE),VLOOKUP(Calculator!E23,tbSkills!DH3:DJ6,3,FALSE),0),0))&gt;=100,100,(Backdoors!AI12+IF(BF76&gt;=0.45,VLOOKUP(Calculator!E23,tbSkills!DH3:DI6,2,FALSE)+IF(AND(Calculator!B8=TRUE,Backdoors!BI11=TRUE),VLOOKUP(Calculator!E23,tbSkills!DH3:DJ6,3,FALSE),0),0)))/100)),(1-(0.25*((-Backdoors!AI12-IF(BF76&gt;=0.45,VLOOKUP(Calculator!E23,tbSkills!DH3:DI6,2,FALSE)+IF(AND(Calculator!B8=TRUE,Backdoors!BI11=TRUE),VLOOKUP(Calculator!E23,tbSkills!DH3:DJ6,3,FALSE),0),0))/100)))),1),"")</f>
        <v>1</v>
      </c>
      <c r="BI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F76)*BH76)*(VLOOKUP(A76,tbMoveset!A2:C112,3,FALSE)/100)*IF(VLOOKUP(A76,tbMoveset!A2:B112,2,FALSE)="Projectile",Backdoors!N10,Backdoors!N9),0),"")</f>
        <v/>
      </c>
      <c r="BJ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F76&gt;=0.45,VLOOKUP(Calculator!E23,tbSkills!DH3:DI6,2,FALSE)+IF(AND(Calculator!B8=TRUE,Backdoors!BI11=TRUE),VLOOKUP(Calculator!E23,tbSkills!DH3:DJ6,3,FALSE),0),0))&gt;=100,100,(Backdoors!AI12+IF(BF76&gt;=0.45,VLOOKUP(Calculator!E23,tbSkills!DH3:DI6,2,FALSE)+IF(AND(Calculator!B8=TRUE,Backdoors!BI11=TRUE),VLOOKUP(Calculator!E23,tbSkills!DH3:DJ6,3,FALSE),0),0)))/100)),1))*IF(VLOOKUP(A76,tbMoveset!A2:K112,11,FALSE)=TRUE,Backdoors!AC5,1))*BG76,0),"")</f>
        <v>0</v>
      </c>
      <c r="BK76" s="49">
        <f>VLOOKUP(A76,tbMoveset!A2:G112,7,FALSE)*IFERROR(IF(Backdoors!AI12&gt;=0,1+(IF(Calculator!E40&gt;0,VLOOKUP(Calculator!E40,tbSkills!AI3:AJ5,2,FALSE),Backdoors!AL4)*(IF((Backdoors!AI12+IF(BF76&gt;=0.45,VLOOKUP(Calculator!E23,tbSkills!DH3:DI6,2,FALSE)+IF(AND(Calculator!B8=TRUE,Backdoors!BI11=TRUE),VLOOKUP(Calculator!E23,tbSkills!DH3:DJ6,3,FALSE),0),0))&gt;=100,100,(Backdoors!AI12+IF(BF76&gt;=0.45,VLOOKUP(Calculator!E23,tbSkills!DH3:DI6,2,FALSE)+IF(AND(Calculator!B8=TRUE,Backdoors!BI11=TRUE),VLOOKUP(Calculator!E23,tbSkills!DH3:DJ6,3,FALSE),0),0)))/100)),1),1)</f>
        <v>0.6</v>
      </c>
      <c r="BL76" s="87">
        <f t="shared" si="59"/>
        <v>0</v>
      </c>
      <c r="BM76" s="86" t="str">
        <f>IFERROR(IF(VLOOKUP(A76,tbMoveset!A2:B112,2,FALSE)="Sever",Backdoors!AY12/100,IF(VLOOKUP(A76,tbMoveset!A2:B112,2,FALSE)="Blunt",Backdoors!AZ12/100,Backdoors!BA12/100)),"")</f>
        <v/>
      </c>
      <c r="BN76" s="49">
        <f>IFERROR(IF(VLOOKUP(tbMoveset!A76,tbMoveset!A2:H112,8,FALSE)="Other",IF(VLOOKUP(tbMoveset!A76,tbMoveset!A2:I112,9,FALSE)="Fire",Backdoors!BB12,IF(VLOOKUP(tbMoveset!A76,tbMoveset!A2:I112,9,FALSE)="Water",Backdoors!BC12,IF(VLOOKUP(tbMoveset!A76,tbMoveset!A2:I112,9,FALSE)="Thunder",Backdoors!BD12,IF(VLOOKUP(tbMoveset!A76,tbMoveset!A2:I112,9,FALSE)="Ice",Backdoors!BE12,IF(VLOOKUP(tbMoveset!A76,tbMoveset!A2:I112,9,FALSE)="Dragon",Backdoors!BF12,Backdoors!BG12)))))/100,Backdoors!BG12/100),"")</f>
        <v>0</v>
      </c>
      <c r="BO76" s="49">
        <f>IFERROR(IF(VLOOKUP(A76,tbMoveset!A2:J112,10,FALSE)=TRUE,IF((Backdoors!AI12+IF(BM76&gt;=0.45,VLOOKUP(Calculator!E23,tbSkills!DH3:DI6,2,FALSE)+IF(AND(Calculator!B8=TRUE,Backdoors!BI12=TRUE),VLOOKUP(Calculator!E23,tbSkills!DH3:DJ6,3,FALSE),0),0))&gt;=0,1+(Backdoors!AL2*(IF((Backdoors!AI12+IF(BM76&gt;=0.45,VLOOKUP(Calculator!E23,tbSkills!DH3:DI6,2,FALSE)+IF(AND(Calculator!B8=TRUE,Backdoors!BI12=TRUE),VLOOKUP(Calculator!E23,tbSkills!DH3:DJ6,3,FALSE),0),0))&gt;=100,100,(Backdoors!AI12+IF(BM76&gt;=0.45,VLOOKUP(Calculator!E23,tbSkills!DH3:DI6,2,FALSE)+IF(AND(Calculator!B8=TRUE,Backdoors!BI12=TRUE),VLOOKUP(Calculator!E23,tbSkills!DH3:DJ6,3,FALSE),0),0)))/100)),(1-(0.25*((-Backdoors!AI12-IF(BM76&gt;=0.45,VLOOKUP(Calculator!E23,tbSkills!DH3:DI6,2,FALSE)+IF(AND(Calculator!B8=TRUE,Backdoors!BI12=TRUE),VLOOKUP(Calculator!E23,tbSkills!DH3:DJ6,3,FALSE),0),0))/100)))),1),"")</f>
        <v>1</v>
      </c>
      <c r="BP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M76)*BO76)*(VLOOKUP(A76,tbMoveset!A2:C112,3,FALSE)/100)*IF(VLOOKUP(A76,tbMoveset!A2:B112,2,FALSE)="Projectile",Backdoors!N10,Backdoors!N9),0),"")</f>
        <v/>
      </c>
      <c r="BQ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M76&gt;=0.45,VLOOKUP(Calculator!E23,tbSkills!DH3:DI6,2,FALSE)+IF(AND(Calculator!B8=TRUE,Backdoors!BI12=TRUE),VLOOKUP(Calculator!E23,tbSkills!DH3:DJ6,3,FALSE),0),0))&gt;=100,100,(Backdoors!AI12+IF(BM76&gt;=0.45,VLOOKUP(Calculator!E23,tbSkills!DH3:DI6,2,FALSE)+IF(AND(Calculator!B8=TRUE,Backdoors!BI12=TRUE),VLOOKUP(Calculator!E23,tbSkills!DH3:DJ6,3,FALSE),0),0)))/100)),1))*IF(VLOOKUP(A76,tbMoveset!A2:K112,11,FALSE)=TRUE,Backdoors!AC5,1))*BN76,0),"")</f>
        <v>0</v>
      </c>
      <c r="BR76" s="49">
        <f>VLOOKUP(A76,tbMoveset!A2:G112,7,FALSE)*IFERROR(IF(Backdoors!AI12&gt;=0,1+(IF(Calculator!E40&gt;0,VLOOKUP(Calculator!E40,tbSkills!AI3:AJ5,2,FALSE),Backdoors!AL4)*(IF((Backdoors!AI12+IF(BM76&gt;=0.45,VLOOKUP(Calculator!E23,tbSkills!DH3:DI6,2,FALSE)+IF(AND(Calculator!B8=TRUE,Backdoors!BI12=TRUE),VLOOKUP(Calculator!E23,tbSkills!DH3:DJ6,3,FALSE),0),0))&gt;=100,100,(Backdoors!AI12+IF(BM76&gt;=0.45,VLOOKUP(Calculator!E23,tbSkills!DH3:DI6,2,FALSE)+IF(AND(Calculator!B8=TRUE,Backdoors!BI12=TRUE),VLOOKUP(Calculator!E23,tbSkills!DH3:DJ6,3,FALSE),0),0)))/100)),1),1)</f>
        <v>0.6</v>
      </c>
      <c r="BS76" s="87">
        <f t="shared" si="60"/>
        <v>0</v>
      </c>
      <c r="BT76" s="86" t="str">
        <f>IFERROR(IF(VLOOKUP(A76,tbMoveset!A2:B112,2,FALSE)="Sever",Backdoors!AY13/100,IF(VLOOKUP(A76,tbMoveset!A2:B112,2,FALSE)="Blunt",Backdoors!AZ13/100,Backdoors!BA13/100)),"")</f>
        <v/>
      </c>
      <c r="BU76" s="49">
        <f>IFERROR(IF(VLOOKUP(tbMoveset!A76,tbMoveset!A2:H112,8,FALSE)="Other",IF(VLOOKUP(tbMoveset!A76,tbMoveset!A2:I112,9,FALSE)="Fire",Backdoors!BB13,IF(VLOOKUP(tbMoveset!A76,tbMoveset!A2:I112,9,FALSE)="Water",Backdoors!BC13,IF(VLOOKUP(tbMoveset!A76,tbMoveset!A2:I112,9,FALSE)="Thunder",Backdoors!BD13,IF(VLOOKUP(tbMoveset!A76,tbMoveset!A2:I112,9,FALSE)="Ice",Backdoors!BE13,IF(VLOOKUP(tbMoveset!A76,tbMoveset!A2:I112,9,FALSE)="Dragon",Backdoors!BF13,Backdoors!BG13)))))/100,Backdoors!BG13/100),"")</f>
        <v>0</v>
      </c>
      <c r="BV76" s="49">
        <f>IFERROR(IF(VLOOKUP(A76,tbMoveset!A2:J112,10,FALSE)=TRUE,IF((Backdoors!AI12+IF(BT76&gt;=0.45,VLOOKUP(Calculator!E23,tbSkills!DH3:DI6,2,FALSE)+IF(AND(Calculator!B8=TRUE,Backdoors!BI13=TRUE),VLOOKUP(Calculator!E23,tbSkills!DH3:DJ6,3,FALSE),0),0))&gt;=0,1+(Backdoors!AL2*(IF((Backdoors!AI12+IF(BT76&gt;=0.45,VLOOKUP(Calculator!E23,tbSkills!DH3:DI6,2,FALSE)+IF(AND(Calculator!B8=TRUE,Backdoors!BI13=TRUE),VLOOKUP(Calculator!E23,tbSkills!DH3:DJ6,3,FALSE),0),0))&gt;=100,100,(Backdoors!AI12+IF(BT76&gt;=0.45,VLOOKUP(Calculator!E23,tbSkills!DH3:DI6,2,FALSE)+IF(AND(Calculator!B8=TRUE,Backdoors!BI13=TRUE),VLOOKUP(Calculator!E23,tbSkills!DH3:DJ6,3,FALSE),0),0)))/100)),(1-(0.25*((-Backdoors!AI12-IF(BT76&gt;=0.45,VLOOKUP(Calculator!E23,tbSkills!DH3:DI6,2,FALSE)+IF(AND(Calculator!B8=TRUE,Backdoors!BI13=TRUE),VLOOKUP(Calculator!E23,tbSkills!DH3:DJ6,3,FALSE),0),0))/100)))),1),"")</f>
        <v>1</v>
      </c>
      <c r="BW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T76)*BV76)*(VLOOKUP(A76,tbMoveset!A2:C112,3,FALSE)/100)*IF(VLOOKUP(A76,tbMoveset!A2:B112,2,FALSE)="Projectile",Backdoors!N10,Backdoors!N9),0),"")</f>
        <v/>
      </c>
      <c r="BX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T76&gt;=0.45,VLOOKUP(Calculator!E23,tbSkills!DH3:DI6,2,FALSE)+IF(AND(Calculator!B8=TRUE,Backdoors!BI13=TRUE),VLOOKUP(Calculator!E23,tbSkills!DH3:DJ6,3,FALSE),0),0))&gt;=100,100,(Backdoors!AI12+IF(BT76&gt;=0.45,VLOOKUP(Calculator!E23,tbSkills!DH3:DI6,2,FALSE)+IF(AND(Calculator!B8=TRUE,Backdoors!BI13=TRUE),VLOOKUP(Calculator!E23,tbSkills!DH3:DJ6,3,FALSE),0),0)))/100)),1))*IF(VLOOKUP(A76,tbMoveset!A2:K112,11,FALSE)=TRUE,Backdoors!AC5,1))*BU76,0),"")</f>
        <v>0</v>
      </c>
      <c r="BY76" s="49">
        <f>VLOOKUP(A76,tbMoveset!A2:G112,7,FALSE)*IFERROR(IF(Backdoors!AI12&gt;=0,1+(IF(Calculator!E40&gt;0,VLOOKUP(Calculator!E40,tbSkills!AI3:AJ5,2,FALSE),Backdoors!AL4)*(IF((Backdoors!AI12+IF(BT76&gt;=0.45,VLOOKUP(Calculator!E23,tbSkills!DH3:DI6,2,FALSE)+IF(AND(Calculator!B8=TRUE,Backdoors!BI13=TRUE),VLOOKUP(Calculator!E23,tbSkills!DH3:DJ6,3,FALSE),0),0))&gt;=100,100,(Backdoors!AI12+IF(BT76&gt;=0.45,VLOOKUP(Calculator!E23,tbSkills!DH3:DI6,2,FALSE)+IF(AND(Calculator!B8=TRUE,Backdoors!BI13=TRUE),VLOOKUP(Calculator!E23,tbSkills!DH3:DJ6,3,FALSE),0),0)))/100)),1),1)</f>
        <v>0.6</v>
      </c>
      <c r="BZ76" s="87">
        <f t="shared" si="61"/>
        <v>0</v>
      </c>
      <c r="CA76" s="86" t="str">
        <f>IFERROR(IF(VLOOKUP(A76,tbMoveset!A2:B112,2,FALSE)="Sever",Backdoors!AY14/100,IF(VLOOKUP(A76,tbMoveset!A2:B112,2,FALSE)="Blunt",Backdoors!AZ14/100,Backdoors!BA14/100)),"")</f>
        <v/>
      </c>
      <c r="CB76" s="49">
        <f>IFERROR(IF(VLOOKUP(tbMoveset!A76,tbMoveset!A2:H112,8,FALSE)="Other",IF(VLOOKUP(tbMoveset!A76,tbMoveset!A2:I112,9,FALSE)="Fire",Backdoors!BB14,IF(VLOOKUP(tbMoveset!A76,tbMoveset!A2:I112,9,FALSE)="Water",Backdoors!BC14,IF(VLOOKUP(tbMoveset!A76,tbMoveset!A2:I112,9,FALSE)="Thunder",Backdoors!BD14,IF(VLOOKUP(tbMoveset!A76,tbMoveset!A2:I112,9,FALSE)="Ice",Backdoors!BE14,IF(VLOOKUP(tbMoveset!A76,tbMoveset!A2:I112,9,FALSE)="Dragon",Backdoors!BF14,Backdoors!BG14)))))/100,Backdoors!BG14/100),"")</f>
        <v>0</v>
      </c>
      <c r="CC76" s="49">
        <f>IFERROR(IF(VLOOKUP(A76,tbMoveset!A2:J112,10,FALSE)=TRUE,IF((Backdoors!AI12+IF(CA76&gt;=0.45,VLOOKUP(Calculator!E23,tbSkills!DH3:DI6,2,FALSE)+IF(AND(Calculator!B8=TRUE,Backdoors!BI14=TRUE),VLOOKUP(Calculator!E23,tbSkills!DH3:DJ6,3,FALSE),0),0))&gt;=0,1+(Backdoors!AL2*(IF((Backdoors!AI12+IF(CA76&gt;=0.45,VLOOKUP(Calculator!E23,tbSkills!DH3:DI6,2,FALSE)+IF(AND(Calculator!B8=TRUE,Backdoors!BI14=TRUE),VLOOKUP(Calculator!E23,tbSkills!DH3:DJ6,3,FALSE),0),0))&gt;=100,100,(Backdoors!AI12+IF(CA76&gt;=0.45,VLOOKUP(Calculator!E23,tbSkills!DH3:DI6,2,FALSE)+IF(AND(Calculator!B8=TRUE,Backdoors!BI14=TRUE),VLOOKUP(Calculator!E23,tbSkills!DH3:DJ6,3,FALSE),0),0)))/100)),(1-(0.25*((-Backdoors!AI12-IF(CA76&gt;=0.45,VLOOKUP(Calculator!E23,tbSkills!DH3:DI6,2,FALSE)+IF(AND(Calculator!B8=TRUE,Backdoors!BI14=TRUE),VLOOKUP(Calculator!E23,tbSkills!DH3:DJ6,3,FALSE),0),0))/100)))),1),"")</f>
        <v>1</v>
      </c>
      <c r="CD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A76)*CC76)*(VLOOKUP(A76,tbMoveset!A2:C112,3,FALSE)/100)*IF(VLOOKUP(A76,tbMoveset!A2:B112,2,FALSE)="Projectile",Backdoors!N10,Backdoors!N9),0),"")</f>
        <v/>
      </c>
      <c r="CE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A76&gt;=0.45,VLOOKUP(Calculator!E23,tbSkills!DH3:DI6,2,FALSE)+IF(AND(Calculator!B8=TRUE,Backdoors!BI14=TRUE),VLOOKUP(Calculator!E23,tbSkills!DH3:DJ6,3,FALSE),0),0))&gt;=100,100,(Backdoors!AI12+IF(CA76&gt;=0.45,VLOOKUP(Calculator!E23,tbSkills!DH3:DI6,2,FALSE)+IF(AND(Calculator!B8=TRUE,Backdoors!BI14=TRUE),VLOOKUP(Calculator!E23,tbSkills!DH3:DJ6,3,FALSE),0),0)))/100)),1))*IF(VLOOKUP(A76,tbMoveset!A2:K112,11,FALSE)=TRUE,Backdoors!AC5,1))*CB76,0),"")</f>
        <v>0</v>
      </c>
      <c r="CF76" s="49">
        <f>VLOOKUP(A76,tbMoveset!A2:G112,7,FALSE)*IFERROR(IF(Backdoors!AI12&gt;=0,1+(IF(Calculator!E40&gt;0,VLOOKUP(Calculator!E40,tbSkills!AI3:AJ5,2,FALSE),Backdoors!AL4)*(IF((Backdoors!AI12+IF(CA76&gt;=0.45,VLOOKUP(Calculator!E23,tbSkills!DH3:DI6,2,FALSE)+IF(AND(Calculator!B8=TRUE,Backdoors!BI14=TRUE),VLOOKUP(Calculator!E23,tbSkills!DH3:DJ6,3,FALSE),0),0))&gt;=100,100,(Backdoors!AI12+IF(CA76&gt;=0.45,VLOOKUP(Calculator!E23,tbSkills!DH3:DI6,2,FALSE)+IF(AND(Calculator!B8=TRUE,Backdoors!BI14=TRUE),VLOOKUP(Calculator!E23,tbSkills!DH3:DJ6,3,FALSE),0),0)))/100)),1),1)</f>
        <v>0.6</v>
      </c>
      <c r="CG76" s="87">
        <f t="shared" si="62"/>
        <v>0</v>
      </c>
      <c r="CH76" s="86" t="str">
        <f>IFERROR(IF(VLOOKUP(A76,tbMoveset!A2:B112,2,FALSE)="Sever",Backdoors!AY15/100,IF(VLOOKUP(A76,tbMoveset!A2:B112,2,FALSE)="Blunt",Backdoors!AZ15/100,Backdoors!BA15/100)),"")</f>
        <v/>
      </c>
      <c r="CI76" s="49">
        <f>IFERROR(IF(VLOOKUP(tbMoveset!A76,tbMoveset!A2:H112,8,FALSE)="Other",IF(VLOOKUP(tbMoveset!A76,tbMoveset!A2:I112,9,FALSE)="Fire",Backdoors!BB15,IF(VLOOKUP(tbMoveset!A76,tbMoveset!A2:I112,9,FALSE)="Water",Backdoors!BC15,IF(VLOOKUP(tbMoveset!A76,tbMoveset!A2:I112,9,FALSE)="Thunder",Backdoors!BD15,IF(VLOOKUP(tbMoveset!A76,tbMoveset!A2:I112,9,FALSE)="Ice",Backdoors!BE15,IF(VLOOKUP(tbMoveset!A76,tbMoveset!A2:I112,9,FALSE)="Dragon",Backdoors!BF15,Backdoors!BG15)))))/100,Backdoors!BG15/100),"")</f>
        <v>0</v>
      </c>
      <c r="CJ76" s="49">
        <f>IFERROR(IF(VLOOKUP(A76,tbMoveset!A2:J112,10,FALSE)=TRUE,IF((Backdoors!AI12+IF(CH76&gt;=0.45,VLOOKUP(Calculator!E23,tbSkills!DH3:DI6,2,FALSE)+IF(AND(Calculator!B8=TRUE,Backdoors!BI15=TRUE),VLOOKUP(Calculator!E23,tbSkills!DH3:DJ6,3,FALSE),0),0))&gt;=0,1+(Backdoors!AL2*(IF((Backdoors!AI12+IF(CH76&gt;=0.45,VLOOKUP(Calculator!E23,tbSkills!DH3:DI6,2,FALSE)+IF(AND(Calculator!B8=TRUE,Backdoors!BI15=TRUE),VLOOKUP(Calculator!E23,tbSkills!DH3:DJ6,3,FALSE),0),0))&gt;=100,100,(Backdoors!AI12+IF(CH76&gt;=0.45,VLOOKUP(Calculator!E23,tbSkills!DH3:DI6,2,FALSE)+IF(AND(Calculator!B8=TRUE,Backdoors!BI15=TRUE),VLOOKUP(Calculator!E23,tbSkills!DH3:DJ6,3,FALSE),0),0)))/100)),(1-(0.25*((-Backdoors!AI12-IF(CH76&gt;=0.45,VLOOKUP(Calculator!E23,tbSkills!DH3:DI6,2,FALSE)+IF(AND(Calculator!B8=TRUE,Backdoors!BI15=TRUE),VLOOKUP(Calculator!E23,tbSkills!DH3:DJ6,3,FALSE),0),0))/100)))),1),"")</f>
        <v>1</v>
      </c>
      <c r="CK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H76)*CJ76)*(VLOOKUP(A76,tbMoveset!A2:C112,3,FALSE)/100)*IF(VLOOKUP(A76,tbMoveset!A2:B112,2,FALSE)="Projectile",Backdoors!N10,Backdoors!N9),0),"")</f>
        <v/>
      </c>
      <c r="CL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H76&gt;=0.45,VLOOKUP(Calculator!E23,tbSkills!DH3:DI6,2,FALSE)+IF(AND(Calculator!B8=TRUE,Backdoors!BI15=TRUE),VLOOKUP(Calculator!E23,tbSkills!DH3:DJ6,3,FALSE),0),0))&gt;=100,100,(Backdoors!AI12+IF(CH76&gt;=0.45,VLOOKUP(Calculator!E23,tbSkills!DH3:DI6,2,FALSE)+IF(AND(Calculator!B8=TRUE,Backdoors!BI15=TRUE),VLOOKUP(Calculator!E23,tbSkills!DH3:DJ6,3,FALSE),0),0)))/100)),1))*IF(VLOOKUP(A76,tbMoveset!A2:K112,11,FALSE)=TRUE,Backdoors!AC5,1))*CI76,0),"")</f>
        <v>0</v>
      </c>
      <c r="CM76" s="49">
        <f>VLOOKUP(A76,tbMoveset!A2:G112,7,FALSE)*IFERROR(IF(Backdoors!AI12&gt;=0,1+(IF(Calculator!E40&gt;0,VLOOKUP(Calculator!E40,tbSkills!AI3:AJ5,2,FALSE),Backdoors!AL4)*(IF((Backdoors!AI12+IF(CH76&gt;=0.45,VLOOKUP(Calculator!E23,tbSkills!DH3:DI6,2,FALSE)+IF(AND(Calculator!B8=TRUE,Backdoors!BI15=TRUE),VLOOKUP(Calculator!E23,tbSkills!DH3:DJ6,3,FALSE),0),0))&gt;=100,100,(Backdoors!AI12+IF(CH76&gt;=0.45,VLOOKUP(Calculator!E23,tbSkills!DH3:DI6,2,FALSE)+IF(AND(Calculator!B8=TRUE,Backdoors!BI15=TRUE),VLOOKUP(Calculator!E23,tbSkills!DH3:DJ6,3,FALSE),0),0)))/100)),1),1)</f>
        <v>0.6</v>
      </c>
      <c r="CN76" s="87">
        <f t="shared" si="63"/>
        <v>0</v>
      </c>
      <c r="CO76" s="86" t="str">
        <f>IFERROR(IF(VLOOKUP(A76,tbMoveset!A2:B112,2,FALSE)="Sever",Backdoors!AY16/100,IF(VLOOKUP(A76,tbMoveset!A2:B112,2,FALSE)="Blunt",Backdoors!AZ16/100,Backdoors!BA16/100)),"")</f>
        <v/>
      </c>
      <c r="CP76" s="49">
        <f>IFERROR(IF(VLOOKUP(tbMoveset!A76,tbMoveset!A2:H112,8,FALSE)="Other",IF(VLOOKUP(tbMoveset!A76,tbMoveset!A2:I112,9,FALSE)="Fire",Backdoors!BB16,IF(VLOOKUP(tbMoveset!A76,tbMoveset!A2:I112,9,FALSE)="Water",Backdoors!BC16,IF(VLOOKUP(tbMoveset!A76,tbMoveset!A2:I112,9,FALSE)="Thunder",Backdoors!BD16,IF(VLOOKUP(tbMoveset!A76,tbMoveset!A2:I112,9,FALSE)="Ice",Backdoors!BE16,IF(VLOOKUP(tbMoveset!A76,tbMoveset!A2:I112,9,FALSE)="Dragon",Backdoors!BF16,Backdoors!BG16)))))/100,Backdoors!BG16/100),"")</f>
        <v>0</v>
      </c>
      <c r="CQ76" s="49">
        <f>IFERROR(IF(VLOOKUP(A76,tbMoveset!A2:J112,10,FALSE)=TRUE,IF((Backdoors!AI12+IF(CO76&gt;=0.45,VLOOKUP(Calculator!E23,tbSkills!DH3:DI6,2,FALSE)+IF(AND(Calculator!B8=TRUE,Backdoors!BI16=TRUE),VLOOKUP(Calculator!E23,tbSkills!DH3:DJ6,3,FALSE),0),0))&gt;=0,1+(Backdoors!AL2*(IF((Backdoors!AI12+IF(CO76&gt;=0.45,VLOOKUP(Calculator!E23,tbSkills!DH3:DI6,2,FALSE)+IF(AND(Calculator!B8=TRUE,Backdoors!BI16=TRUE),VLOOKUP(Calculator!E23,tbSkills!DH3:DJ6,3,FALSE),0),0))&gt;=100,100,(Backdoors!AI12+IF(CO76&gt;=0.45,VLOOKUP(Calculator!E23,tbSkills!DH3:DI6,2,FALSE)+IF(AND(Calculator!B8=TRUE,Backdoors!BI16=TRUE),VLOOKUP(Calculator!E23,tbSkills!DH3:DJ6,3,FALSE),0),0)))/100)),(1-(0.25*((-Backdoors!AI12-IF(CO76&gt;=0.45,VLOOKUP(Calculator!E23,tbSkills!DH3:DI6,2,FALSE)+IF(AND(Calculator!B8=TRUE,Backdoors!BI16=TRUE),VLOOKUP(Calculator!E23,tbSkills!DH3:DJ6,3,FALSE),0),0))/100)))),1),"")</f>
        <v>1</v>
      </c>
      <c r="CR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O76)*CQ76)*(VLOOKUP(A76,tbMoveset!A2:C112,3,FALSE)/100)*IF(VLOOKUP(A76,tbMoveset!A2:B112,2,FALSE)="Projectile",Backdoors!N10,Backdoors!N9),0),"")</f>
        <v/>
      </c>
      <c r="CS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O76&gt;=0.45,VLOOKUP(Calculator!E23,tbSkills!DH3:DI6,2,FALSE)+IF(AND(Calculator!B8=TRUE,Backdoors!BI16=TRUE),VLOOKUP(Calculator!E23,tbSkills!DH3:DJ6,3,FALSE),0),0))&gt;=100,100,(Backdoors!AI12+IF(CO76&gt;=0.45,VLOOKUP(Calculator!E23,tbSkills!DH3:DI6,2,FALSE)+IF(AND(Calculator!B8=TRUE,Backdoors!BI16=TRUE),VLOOKUP(Calculator!E23,tbSkills!DH3:DJ6,3,FALSE),0),0)))/100)),1))*IF(VLOOKUP(A76,tbMoveset!A2:K112,11,FALSE)=TRUE,Backdoors!AC5,1))*CP76,0),"")</f>
        <v>0</v>
      </c>
      <c r="CT76" s="49">
        <f>VLOOKUP(A76,tbMoveset!A2:G112,7,FALSE)*IFERROR(IF(Backdoors!AI12&gt;=0,1+(IF(Calculator!E40&gt;0,VLOOKUP(Calculator!E40,tbSkills!AI3:AJ5,2,FALSE),Backdoors!AL4)*(IF((Backdoors!AI12+IF(CO76&gt;=0.45,VLOOKUP(Calculator!E23,tbSkills!DH3:DI6,2,FALSE)+IF(AND(Calculator!B8=TRUE,Backdoors!BI16=TRUE),VLOOKUP(Calculator!E23,tbSkills!DH3:DJ6,3,FALSE),0),0))&gt;=100,100,(Backdoors!AI12+IF(CO76&gt;=0.45,VLOOKUP(Calculator!E23,tbSkills!DH3:DI6,2,FALSE)+IF(AND(Calculator!B8=TRUE,Backdoors!BI16=TRUE),VLOOKUP(Calculator!E23,tbSkills!DH3:DJ6,3,FALSE),0),0)))/100)),1),1)</f>
        <v>0.6</v>
      </c>
      <c r="CU76" s="87">
        <f t="shared" si="64"/>
        <v>0</v>
      </c>
      <c r="CV76" s="86" t="str">
        <f>IFERROR(IF(VLOOKUP(A76,tbMoveset!A2:B112,2,FALSE)="Sever",Backdoors!AY17/100,IF(VLOOKUP(A76,tbMoveset!A2:B112,2,FALSE)="Blunt",Backdoors!AZ17/100,Backdoors!BA17/100)),"")</f>
        <v/>
      </c>
      <c r="CW76" s="49">
        <f>IFERROR(IF(VLOOKUP(tbMoveset!A76,tbMoveset!A2:H112,8,FALSE)="Other",IF(VLOOKUP(tbMoveset!A76,tbMoveset!A2:I112,9,FALSE)="Fire",Backdoors!BB17,IF(VLOOKUP(tbMoveset!A76,tbMoveset!A2:I112,9,FALSE)="Water",Backdoors!BC17,IF(VLOOKUP(tbMoveset!A76,tbMoveset!A2:I112,9,FALSE)="Thunder",Backdoors!BD17,IF(VLOOKUP(tbMoveset!A76,tbMoveset!A2:I112,9,FALSE)="Ice",Backdoors!BE17,IF(VLOOKUP(tbMoveset!A76,tbMoveset!A2:I112,9,FALSE)="Dragon",Backdoors!BF17,Backdoors!BG17)))))/100,Backdoors!BG17/100),"")</f>
        <v>0</v>
      </c>
      <c r="CX76" s="49">
        <f>IFERROR(IF(VLOOKUP(A76,tbMoveset!A2:J112,10,FALSE)=TRUE,IF((Backdoors!AI12+IF(CV76&gt;=0.45,VLOOKUP(Calculator!E23,tbSkills!DH3:DI6,2,FALSE)+IF(AND(Calculator!B8=TRUE,Backdoors!BI17=TRUE),VLOOKUP(Calculator!E23,tbSkills!DH3:DJ6,3,FALSE),0),0))&gt;=0,1+(Backdoors!AL2*(IF((Backdoors!AI12+IF(CV76&gt;=0.45,VLOOKUP(Calculator!E23,tbSkills!DH3:DI6,2,FALSE)+IF(AND(Calculator!B8=TRUE,Backdoors!BI17=TRUE),VLOOKUP(Calculator!E23,tbSkills!DH3:DJ6,3,FALSE),0),0))&gt;=100,100,(Backdoors!AI12+IF(CV76&gt;=0.45,VLOOKUP(Calculator!E23,tbSkills!DH3:DI6,2,FALSE)+IF(AND(Calculator!B8=TRUE,Backdoors!BI17=TRUE),VLOOKUP(Calculator!E23,tbSkills!DH3:DJ6,3,FALSE),0),0)))/100)),(1-(0.25*((-Backdoors!AI12-IF(CV76&gt;=0.45,VLOOKUP(Calculator!E23,tbSkills!DH3:DI6,2,FALSE)+IF(AND(Calculator!B8=TRUE,Backdoors!BI17=TRUE),VLOOKUP(Calculator!E23,tbSkills!DH3:DJ6,3,FALSE),0),0))/100)))),1),"")</f>
        <v>1</v>
      </c>
      <c r="CY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V76)*CX76)*(VLOOKUP(A76,tbMoveset!A2:C112,3,FALSE)/100)*IF(VLOOKUP(A76,tbMoveset!A2:B112,2,FALSE)="Projectile",Backdoors!N10,Backdoors!N9),0),"")</f>
        <v/>
      </c>
      <c r="CZ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V76&gt;=0.45,VLOOKUP(Calculator!E23,tbSkills!DH3:DI6,2,FALSE)+IF(AND(Calculator!B8=TRUE,Backdoors!BI17=TRUE),VLOOKUP(Calculator!E23,tbSkills!DH3:DJ6,3,FALSE),0),0))&gt;=100,100,(Backdoors!AI12+IF(CV76&gt;=0.45,VLOOKUP(Calculator!E23,tbSkills!DH3:DI6,2,FALSE)+IF(AND(Calculator!B8=TRUE,Backdoors!BI17=TRUE),VLOOKUP(Calculator!E23,tbSkills!DH3:DJ6,3,FALSE),0),0)))/100)),1))*IF(VLOOKUP(A76,tbMoveset!A2:K112,11,FALSE)=TRUE,Backdoors!AC5,1))*CW76,0),"")</f>
        <v>0</v>
      </c>
      <c r="DA76" s="49">
        <f>VLOOKUP(A76,tbMoveset!A2:G112,7,FALSE)*IFERROR(IF(Backdoors!AI12&gt;=0,1+(IF(Calculator!E40&gt;0,VLOOKUP(Calculator!E40,tbSkills!AI3:AJ5,2,FALSE),Backdoors!AL4)*(IF((Backdoors!AI12+IF(CV76&gt;=0.45,VLOOKUP(Calculator!E23,tbSkills!DH3:DI6,2,FALSE)+IF(AND(Calculator!B8=TRUE,Backdoors!BI17=TRUE),VLOOKUP(Calculator!E23,tbSkills!DH3:DJ6,3,FALSE),0),0))&gt;=100,100,(Backdoors!AI12+IF(CV76&gt;=0.45,VLOOKUP(Calculator!E23,tbSkills!DH3:DI6,2,FALSE)+IF(AND(Calculator!B8=TRUE,Backdoors!BI17=TRUE),VLOOKUP(Calculator!E23,tbSkills!DH3:DJ6,3,FALSE),0),0)))/100)),1),1)</f>
        <v>0.6</v>
      </c>
      <c r="DB76" s="87">
        <f t="shared" si="65"/>
        <v>0</v>
      </c>
      <c r="DC76" s="86" t="str">
        <f>IFERROR(IF(VLOOKUP(A76,tbMoveset!A2:B112,2,FALSE)="Sever",Backdoors!AY18/100,IF(VLOOKUP(A76,tbMoveset!A2:B112,2,FALSE)="Blunt",Backdoors!AZ18/100,Backdoors!BA18/100)),"")</f>
        <v/>
      </c>
      <c r="DD76" s="49">
        <f>IFERROR(IF(VLOOKUP(tbMoveset!A76,tbMoveset!A2:H112,8,FALSE)="Other",IF(VLOOKUP(tbMoveset!A76,tbMoveset!A2:I112,9,FALSE)="Fire",Backdoors!BB18,IF(VLOOKUP(tbMoveset!A76,tbMoveset!A2:I112,9,FALSE)="Water",Backdoors!BC18,IF(VLOOKUP(tbMoveset!A76,tbMoveset!A2:I112,9,FALSE)="Thunder",Backdoors!BD18,IF(VLOOKUP(tbMoveset!A76,tbMoveset!A2:I112,9,FALSE)="Ice",Backdoors!BE18,IF(VLOOKUP(tbMoveset!A76,tbMoveset!A2:I112,9,FALSE)="Dragon",Backdoors!BF18,Backdoors!BG18)))))/100,Backdoors!BG18/100),"")</f>
        <v>0</v>
      </c>
      <c r="DE76" s="49">
        <f>IFERROR(IF(VLOOKUP(A76,tbMoveset!A2:J112,10,FALSE)=TRUE,IF((Backdoors!AI12+IF(DC76&gt;=0.45,VLOOKUP(Calculator!E23,tbSkills!DH3:DI6,2,FALSE)+IF(AND(Calculator!B8=TRUE,Backdoors!BI18=TRUE),VLOOKUP(Calculator!E23,tbSkills!DH3:DJ6,3,FALSE),0),0))&gt;=0,1+(Backdoors!AL2*(IF((Backdoors!AI12+IF(DC76&gt;=0.45,VLOOKUP(Calculator!E23,tbSkills!DH3:DI6,2,FALSE)+IF(AND(Calculator!B8=TRUE,Backdoors!BI18=TRUE),VLOOKUP(Calculator!E23,tbSkills!DH3:DJ6,3,FALSE),0),0))&gt;=100,100,(Backdoors!AI12+IF(DC76&gt;=0.45,VLOOKUP(Calculator!E23,tbSkills!DH3:DI6,2,FALSE)+IF(AND(Calculator!B8=TRUE,Backdoors!BI18=TRUE),VLOOKUP(Calculator!E23,tbSkills!DH3:DJ6,3,FALSE),0),0)))/100)),(1-(0.25*((-Backdoors!AI12-IF(DC76&gt;=0.45,VLOOKUP(Calculator!E23,tbSkills!DH3:DI6,2,FALSE)+IF(AND(Calculator!B8=TRUE,Backdoors!BI18=TRUE),VLOOKUP(Calculator!E23,tbSkills!DH3:DJ6,3,FALSE),0),0))/100)))),1),"")</f>
        <v>1</v>
      </c>
      <c r="DF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C76)*DE76)*(VLOOKUP(A76,tbMoveset!A2:C112,3,FALSE)/100)*IF(VLOOKUP(A76,tbMoveset!A2:B112,2,FALSE)="Projectile",Backdoors!N10,Backdoors!N9),0),"")</f>
        <v/>
      </c>
      <c r="DG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C76&gt;=0.45,VLOOKUP(Calculator!E23,tbSkills!DH3:DI6,2,FALSE)+IF(AND(Calculator!B8=TRUE,Backdoors!BI18=TRUE),VLOOKUP(Calculator!E23,tbSkills!DH3:DJ6,3,FALSE),0),0))&gt;=100,100,(Backdoors!AI12+IF(DC76&gt;=0.45,VLOOKUP(Calculator!E23,tbSkills!DH3:DI6,2,FALSE)+IF(AND(Calculator!B8=TRUE,Backdoors!BI18=TRUE),VLOOKUP(Calculator!E23,tbSkills!DH3:DJ6,3,FALSE),0),0)))/100)),1))*IF(VLOOKUP(A76,tbMoveset!A2:K112,11,FALSE)=TRUE,Backdoors!AC5,1))*DD76,0),"")</f>
        <v>0</v>
      </c>
      <c r="DH76" s="49">
        <f>VLOOKUP(A76,tbMoveset!A2:G112,7,FALSE)*IFERROR(IF(Backdoors!AI12&gt;=0,1+(IF(Calculator!E40&gt;0,VLOOKUP(Calculator!E40,tbSkills!AI3:AJ5,2,FALSE),Backdoors!AL4)*(IF((Backdoors!AI12+IF(DC76&gt;=0.45,VLOOKUP(Calculator!E23,tbSkills!DH3:DI6,2,FALSE)+IF(AND(Calculator!B8=TRUE,Backdoors!BI18=TRUE),VLOOKUP(Calculator!E23,tbSkills!DH3:DJ6,3,FALSE),0),0))&gt;=100,100,(Backdoors!AI12+IF(DC76&gt;=0.45,VLOOKUP(Calculator!E23,tbSkills!DH3:DI6,2,FALSE)+IF(AND(Calculator!B8=TRUE,Backdoors!BI18=TRUE),VLOOKUP(Calculator!E23,tbSkills!DH3:DJ6,3,FALSE),0),0)))/100)),1),1)</f>
        <v>0.6</v>
      </c>
      <c r="DI76" s="87">
        <f t="shared" si="66"/>
        <v>0</v>
      </c>
      <c r="DJ76" s="86" t="str">
        <f>IFERROR(IF(VLOOKUP(A76,tbMoveset!A2:B112,2,FALSE)="Sever",Backdoors!AY19/100,IF(VLOOKUP(A76,tbMoveset!A2:B112,2,FALSE)="Blunt",Backdoors!AZ19/100,Backdoors!BA19/100)),"")</f>
        <v/>
      </c>
      <c r="DK76" s="49">
        <f>IFERROR(IF(VLOOKUP(tbMoveset!A76,tbMoveset!A2:H112,8,FALSE)="Other",IF(VLOOKUP(tbMoveset!A76,tbMoveset!A2:I112,9,FALSE)="Fire",Backdoors!BB19,IF(VLOOKUP(tbMoveset!A76,tbMoveset!A2:I112,9,FALSE)="Water",Backdoors!BC19,IF(VLOOKUP(tbMoveset!A76,tbMoveset!A2:I112,9,FALSE)="Thunder",Backdoors!BD19,IF(VLOOKUP(tbMoveset!A76,tbMoveset!A2:I112,9,FALSE)="Ice",Backdoors!BE19,IF(VLOOKUP(tbMoveset!A76,tbMoveset!A2:I112,9,FALSE)="Dragon",Backdoors!BF19,Backdoors!BG19)))))/100,Backdoors!BG19/100),"")</f>
        <v>0</v>
      </c>
      <c r="DL76" s="49">
        <f>IFERROR(IF(VLOOKUP(A76,tbMoveset!A2:J112,10,FALSE)=TRUE,IF((Backdoors!AI12+IF(DJ76&gt;=0.45,VLOOKUP(Calculator!E23,tbSkills!DH3:DI6,2,FALSE)+IF(AND(Calculator!B8=TRUE,Backdoors!BI19=TRUE),VLOOKUP(Calculator!E23,tbSkills!DH3:DJ6,3,FALSE),0),0))&gt;=0,1+(Backdoors!AL2*(IF((Backdoors!AI12+IF(DJ76&gt;=0.45,VLOOKUP(Calculator!E23,tbSkills!DH3:DI6,2,FALSE)+IF(AND(Calculator!B8=TRUE,Backdoors!BI19=TRUE),VLOOKUP(Calculator!E23,tbSkills!DH3:DJ6,3,FALSE),0),0))&gt;=100,100,(Backdoors!AI12+IF(DJ76&gt;=0.45,VLOOKUP(Calculator!E23,tbSkills!DH3:DI6,2,FALSE)+IF(AND(Calculator!B8=TRUE,Backdoors!BI19=TRUE),VLOOKUP(Calculator!E23,tbSkills!DH3:DJ6,3,FALSE),0),0)))/100)),(1-(0.25*((-Backdoors!AI12-IF(DJ76&gt;=0.45,VLOOKUP(Calculator!E23,tbSkills!DH3:DI6,2,FALSE)+IF(AND(Calculator!B8=TRUE,Backdoors!BI19=TRUE),VLOOKUP(Calculator!E23,tbSkills!DH3:DJ6,3,FALSE),0),0))/100)))),1),"")</f>
        <v>1</v>
      </c>
      <c r="DM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J76)*DL76)*(VLOOKUP(A76,tbMoveset!A2:C112,3,FALSE)/100)*IF(VLOOKUP(A76,tbMoveset!A2:B112,2,FALSE)="Projectile",Backdoors!N10,Backdoors!N9),0),"")</f>
        <v/>
      </c>
      <c r="DN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J76&gt;=0.45,VLOOKUP(Calculator!E23,tbSkills!DH3:DI6,2,FALSE)+IF(AND(Calculator!B8=TRUE,Backdoors!BI19=TRUE),VLOOKUP(Calculator!E23,tbSkills!DH3:DJ6,3,FALSE),0),0))&gt;=100,100,(Backdoors!AI12+IF(DJ76&gt;=0.45,VLOOKUP(Calculator!E23,tbSkills!DH3:DI6,2,FALSE)+IF(AND(Calculator!B8=TRUE,Backdoors!BI19=TRUE),VLOOKUP(Calculator!E23,tbSkills!DH3:DJ6,3,FALSE),0),0)))/100)),1))*IF(VLOOKUP(A76,tbMoveset!A2:K112,11,FALSE)=TRUE,Backdoors!AC5,1))*DK76,0),"")</f>
        <v>0</v>
      </c>
      <c r="DO76" s="49">
        <f>VLOOKUP(A76,tbMoveset!A2:G112,7,FALSE)*IFERROR(IF(Backdoors!AI12&gt;=0,1+(IF(Calculator!E40&gt;0,VLOOKUP(Calculator!E40,tbSkills!AI3:AJ5,2,FALSE),Backdoors!AL4)*(IF((Backdoors!AI12+IF(DJ76&gt;=0.45,VLOOKUP(Calculator!E23,tbSkills!DH3:DI6,2,FALSE)+IF(AND(Calculator!B8=TRUE,Backdoors!BI19=TRUE),VLOOKUP(Calculator!E23,tbSkills!DH3:DJ6,3,FALSE),0),0))&gt;=100,100,(Backdoors!AI12+IF(DJ76&gt;=0.45,VLOOKUP(Calculator!E23,tbSkills!DH3:DI6,2,FALSE)+IF(AND(Calculator!B8=TRUE,Backdoors!BI19=TRUE),VLOOKUP(Calculator!E23,tbSkills!DH3:DJ6,3,FALSE),0),0)))/100)),1),1)</f>
        <v>0.6</v>
      </c>
      <c r="DP76" s="87">
        <f t="shared" si="67"/>
        <v>0</v>
      </c>
      <c r="DQ76" s="86" t="str">
        <f>IFERROR(IF(VLOOKUP(A76,tbMoveset!A2:B112,2,FALSE)="Sever",Backdoors!AY20/100,IF(VLOOKUP(A76,tbMoveset!A2:B112,2,FALSE)="Blunt",Backdoors!AZ20/100,Backdoors!BA20/100)),"")</f>
        <v/>
      </c>
      <c r="DR76" s="49">
        <f>IFERROR(IF(VLOOKUP(tbMoveset!A76,tbMoveset!A2:H112,8,FALSE)="Other",IF(VLOOKUP(tbMoveset!A76,tbMoveset!A2:I112,9,FALSE)="Fire",Backdoors!BB20,IF(VLOOKUP(tbMoveset!A76,tbMoveset!A2:I112,9,FALSE)="Water",Backdoors!BC20,IF(VLOOKUP(tbMoveset!A76,tbMoveset!A2:I112,9,FALSE)="Thunder",Backdoors!BD20,IF(VLOOKUP(tbMoveset!A76,tbMoveset!A2:I112,9,FALSE)="Ice",Backdoors!BE20,IF(VLOOKUP(tbMoveset!A76,tbMoveset!A2:I112,9,FALSE)="Dragon",Backdoors!BF20,Backdoors!BG20)))))/100,Backdoors!BG20/100),"")</f>
        <v>0</v>
      </c>
      <c r="DS76" s="49">
        <f>IFERROR(IF(VLOOKUP(A76,tbMoveset!A2:J112,10,FALSE)=TRUE,IF((Backdoors!AI12+IF(DQ76&gt;=0.45,VLOOKUP(Calculator!E23,tbSkills!DH3:DI6,2,FALSE)+IF(AND(Calculator!B8=TRUE,Backdoors!BI20=TRUE),VLOOKUP(Calculator!E23,tbSkills!DH3:DJ6,3,FALSE),0),0))&gt;=0,1+(Backdoors!AL2*(IF((Backdoors!AI12+IF(DQ76&gt;=0.45,VLOOKUP(Calculator!E23,tbSkills!DH3:DI6,2,FALSE)+IF(AND(Calculator!B8=TRUE,Backdoors!BI20=TRUE),VLOOKUP(Calculator!E23,tbSkills!DH3:DJ6,3,FALSE),0),0))&gt;=100,100,(Backdoors!AI12+IF(DQ76&gt;=0.45,VLOOKUP(Calculator!E23,tbSkills!DH3:DI6,2,FALSE)+IF(AND(Calculator!B8=TRUE,Backdoors!BI20=TRUE),VLOOKUP(Calculator!E23,tbSkills!DH3:DJ6,3,FALSE),0),0)))/100)),(1-(0.25*((-Backdoors!AI12-IF(DQ76&gt;=0.45,VLOOKUP(Calculator!E23,tbSkills!DH3:DI6,2,FALSE)+IF(AND(Calculator!B8=TRUE,Backdoors!BI20=TRUE),VLOOKUP(Calculator!E23,tbSkills!DH3:DJ6,3,FALSE),0),0))/100)))),1),"")</f>
        <v>1</v>
      </c>
      <c r="DT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Q76)*DS76)*(VLOOKUP(A76,tbMoveset!A2:C112,3,FALSE)/100)*IF(VLOOKUP(A76,tbMoveset!A2:B112,2,FALSE)="Projectile",Backdoors!N10,Backdoors!N9),0),"")</f>
        <v/>
      </c>
      <c r="DU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Q76&gt;=0.45,VLOOKUP(Calculator!E23,tbSkills!DH3:DI6,2,FALSE)+IF(AND(Calculator!B8=TRUE,Backdoors!BI20=TRUE),VLOOKUP(Calculator!E23,tbSkills!DH3:DJ6,3,FALSE),0),0))&gt;=100,100,(Backdoors!AI12+IF(DQ76&gt;=0.45,VLOOKUP(Calculator!E23,tbSkills!DH3:DI6,2,FALSE)+IF(AND(Calculator!B8=TRUE,Backdoors!BI20=TRUE),VLOOKUP(Calculator!E23,tbSkills!DH3:DJ6,3,FALSE),0),0)))/100)),1))*IF(VLOOKUP(A76,tbMoveset!A2:K112,11,FALSE)=TRUE,Backdoors!AC5,1))*DR76,0),"")</f>
        <v>0</v>
      </c>
      <c r="DV76" s="49">
        <f>VLOOKUP(A76,tbMoveset!A2:G112,7,FALSE)*IFERROR(IF(Backdoors!AI12&gt;=0,1+(IF(Calculator!E40&gt;0,VLOOKUP(Calculator!E40,tbSkills!AI3:AJ5,2,FALSE),Backdoors!AL4)*(IF((Backdoors!AI12+IF(DQ76&gt;=0.45,VLOOKUP(Calculator!E23,tbSkills!DH3:DI6,2,FALSE)+IF(AND(Calculator!B8=TRUE,Backdoors!BI20=TRUE),VLOOKUP(Calculator!E23,tbSkills!DH3:DJ6,3,FALSE),0),0))&gt;=100,100,(Backdoors!AI12+IF(DQ76&gt;=0.45,VLOOKUP(Calculator!E23,tbSkills!DH3:DI6,2,FALSE)+IF(AND(Calculator!B8=TRUE,Backdoors!BI20=TRUE),VLOOKUP(Calculator!E23,tbSkills!DH3:DJ6,3,FALSE),0),0)))/100)),1),1)</f>
        <v>0.6</v>
      </c>
      <c r="DW76" s="87">
        <f t="shared" si="68"/>
        <v>0</v>
      </c>
      <c r="DX76" s="86" t="str">
        <f>IFERROR(IF(VLOOKUP(A76,tbMoveset!A2:B112,2,FALSE)="Sever",Backdoors!AY21/100,IF(VLOOKUP(A76,tbMoveset!A2:B112,2,FALSE)="Blunt",Backdoors!AZ21/100,Backdoors!BA21/100)),"")</f>
        <v/>
      </c>
      <c r="DY76" s="49">
        <f>IFERROR(IF(VLOOKUP(tbMoveset!A76,tbMoveset!A2:H112,8,FALSE)="Other",IF(VLOOKUP(tbMoveset!A76,tbMoveset!A2:I112,9,FALSE)="Fire",Backdoors!BB21,IF(VLOOKUP(tbMoveset!A76,tbMoveset!A2:I112,9,FALSE)="Water",Backdoors!BC21,IF(VLOOKUP(tbMoveset!A76,tbMoveset!A2:I112,9,FALSE)="Thunder",Backdoors!BD21,IF(VLOOKUP(tbMoveset!A76,tbMoveset!A2:I112,9,FALSE)="Ice",Backdoors!BE21,IF(VLOOKUP(tbMoveset!A76,tbMoveset!A2:I112,9,FALSE)="Dragon",Backdoors!BF21,Backdoors!BG21)))))/100,Backdoors!BG21/100),"")</f>
        <v>0</v>
      </c>
      <c r="DZ76" s="49">
        <f>IFERROR(IF(VLOOKUP(A76,tbMoveset!A2:J112,10,FALSE)=TRUE,IF((Backdoors!AI12+IF(DX76&gt;=0.45,VLOOKUP(Calculator!E23,tbSkills!DH3:DI6,2,FALSE)+IF(AND(Calculator!B8=TRUE,Backdoors!BI21=TRUE),VLOOKUP(Calculator!E23,tbSkills!DH3:DJ6,3,FALSE),0),0))&gt;=0,1+(Backdoors!AL2*(IF((Backdoors!AI12+IF(DX76&gt;=0.45,VLOOKUP(Calculator!E23,tbSkills!DH3:DI6,2,FALSE)+IF(AND(Calculator!B8=TRUE,Backdoors!BI21=TRUE),VLOOKUP(Calculator!E23,tbSkills!DH3:DJ6,3,FALSE),0),0))&gt;=100,100,(Backdoors!AI12+IF(DX76&gt;=0.45,VLOOKUP(Calculator!E23,tbSkills!DH3:DI6,2,FALSE)+IF(AND(Calculator!B8=TRUE,Backdoors!BI21=TRUE),VLOOKUP(Calculator!E23,tbSkills!DH3:DJ6,3,FALSE),0),0)))/100)),(1-(0.25*((-Backdoors!AI12-IF(DX76&gt;=0.45,VLOOKUP(Calculator!E23,tbSkills!DH3:DI6,2,FALSE)+IF(AND(Calculator!B8=TRUE,Backdoors!BI21=TRUE),VLOOKUP(Calculator!E23,tbSkills!DH3:DJ6,3,FALSE),0),0))/100)))),1),"")</f>
        <v>1</v>
      </c>
      <c r="EA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X76)*DZ76)*(VLOOKUP(A76,tbMoveset!A2:C112,3,FALSE)/100)*IF(VLOOKUP(A76,tbMoveset!A2:B112,2,FALSE)="Projectile",Backdoors!N10,Backdoors!N9),0),"")</f>
        <v/>
      </c>
      <c r="EB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X76&gt;=0.45,VLOOKUP(Calculator!E23,tbSkills!DH3:DI6,2,FALSE)+IF(AND(Calculator!B8=TRUE,Backdoors!BI21=TRUE),VLOOKUP(Calculator!E23,tbSkills!DH3:DJ6,3,FALSE),0),0))&gt;=100,100,(Backdoors!AI12+IF(DX76&gt;=0.45,VLOOKUP(Calculator!E23,tbSkills!DH3:DI6,2,FALSE)+IF(AND(Calculator!B8=TRUE,Backdoors!BI21=TRUE),VLOOKUP(Calculator!E23,tbSkills!DH3:DJ6,3,FALSE),0),0)))/100)),1))*IF(VLOOKUP(A76,tbMoveset!A2:K112,11,FALSE)=TRUE,Backdoors!AC5,1))*DY76,0),"")</f>
        <v>0</v>
      </c>
      <c r="EC76" s="49">
        <f>VLOOKUP(A76,tbMoveset!A2:G112,7,FALSE)*IFERROR(IF(Backdoors!AI12&gt;=0,1+(IF(Calculator!E40&gt;0,VLOOKUP(Calculator!E40,tbSkills!AI3:AJ5,2,FALSE),Backdoors!AL4)*(IF((Backdoors!AI12+IF(DX76&gt;=0.45,VLOOKUP(Calculator!E23,tbSkills!DH3:DI6,2,FALSE)+IF(AND(Calculator!B8=TRUE,Backdoors!BI21=TRUE),VLOOKUP(Calculator!E23,tbSkills!DH3:DJ6,3,FALSE),0),0))&gt;=100,100,(Backdoors!AI12+IF(DX76&gt;=0.45,VLOOKUP(Calculator!E23,tbSkills!DH3:DI6,2,FALSE)+IF(AND(Calculator!B8=TRUE,Backdoors!BI21=TRUE),VLOOKUP(Calculator!E23,tbSkills!DH3:DJ6,3,FALSE),0),0)))/100)),1),1)</f>
        <v>0.6</v>
      </c>
      <c r="ED76" s="87">
        <f t="shared" si="69"/>
        <v>0</v>
      </c>
      <c r="EE76" s="86" t="str">
        <f>IFERROR(IF(VLOOKUP(A76,tbMoveset!A2:B112,2,FALSE)="Sever",Backdoors!AY22/100,IF(VLOOKUP(A76,tbMoveset!A2:B112,2,FALSE)="Blunt",Backdoors!AZ22/100,Backdoors!BA22/100)),"")</f>
        <v/>
      </c>
      <c r="EF76" s="49">
        <f>IFERROR(IF(VLOOKUP(tbMoveset!A76,tbMoveset!A2:H112,8,FALSE)="Other",IF(VLOOKUP(tbMoveset!A76,tbMoveset!A2:I112,9,FALSE)="Fire",Backdoors!BB22,IF(VLOOKUP(tbMoveset!A76,tbMoveset!A2:I112,9,FALSE)="Water",Backdoors!BC22,IF(VLOOKUP(tbMoveset!A76,tbMoveset!A2:I112,9,FALSE)="Thunder",Backdoors!BD22,IF(VLOOKUP(tbMoveset!A76,tbMoveset!A2:I112,9,FALSE)="Ice",Backdoors!BE22,IF(VLOOKUP(tbMoveset!A76,tbMoveset!A2:I112,9,FALSE)="Dragon",Backdoors!BF22,Backdoors!BG22)))))/100,Backdoors!BG22/100),"")</f>
        <v>0</v>
      </c>
      <c r="EG76" s="49">
        <f>IFERROR(IF(VLOOKUP(A76,tbMoveset!A2:J112,10,FALSE)=TRUE,IF((Backdoors!AI12+IF(EE76&gt;=0.45,VLOOKUP(Calculator!E23,tbSkills!DH3:DI6,2,FALSE)+IF(AND(Calculator!B8=TRUE,Backdoors!BI22=TRUE),VLOOKUP(Calculator!E23,tbSkills!DH3:DJ6,3,FALSE),0),0))&gt;=0,1+(Backdoors!AL2*(IF((Backdoors!AI12+IF(EE76&gt;=0.45,VLOOKUP(Calculator!E23,tbSkills!DH3:DI6,2,FALSE)+IF(AND(Calculator!B8=TRUE,Backdoors!BI22=TRUE),VLOOKUP(Calculator!E23,tbSkills!DH3:DJ6,3,FALSE),0),0))&gt;=100,100,(Backdoors!AI12+IF(EE76&gt;=0.45,VLOOKUP(Calculator!E23,tbSkills!DH3:DI6,2,FALSE)+IF(AND(Calculator!B8=TRUE,Backdoors!BI22=TRUE),VLOOKUP(Calculator!E23,tbSkills!DH3:DJ6,3,FALSE),0),0)))/100)),(1-(0.25*((-Backdoors!AI12-IF(EE76&gt;=0.45,VLOOKUP(Calculator!E23,tbSkills!DH3:DI6,2,FALSE)+IF(AND(Calculator!B8=TRUE,Backdoors!BI22=TRUE),VLOOKUP(Calculator!E23,tbSkills!DH3:DJ6,3,FALSE),0),0))/100)))),1),"")</f>
        <v>1</v>
      </c>
      <c r="EH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E76)*EG76)*(VLOOKUP(A76,tbMoveset!A2:C112,3,FALSE)/100)*IF(VLOOKUP(A76,tbMoveset!A2:B112,2,FALSE)="Projectile",Backdoors!N10,Backdoors!N9),0),"")</f>
        <v/>
      </c>
      <c r="EI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E76&gt;=0.45,VLOOKUP(Calculator!E23,tbSkills!DH3:DI6,2,FALSE)+IF(AND(Calculator!B8=TRUE,Backdoors!BI22=TRUE),VLOOKUP(Calculator!E23,tbSkills!DH3:DJ6,3,FALSE),0),0))&gt;=100,100,(Backdoors!AI12+IF(EE76&gt;=0.45,VLOOKUP(Calculator!E23,tbSkills!DH3:DI6,2,FALSE)+IF(AND(Calculator!B8=TRUE,Backdoors!BI22=TRUE),VLOOKUP(Calculator!E23,tbSkills!DH3:DJ6,3,FALSE),0),0)))/100)),1))*IF(VLOOKUP(A76,tbMoveset!A2:K112,11,FALSE)=TRUE,Backdoors!AC5,1))*EF76,0),"")</f>
        <v>0</v>
      </c>
      <c r="EJ76" s="49">
        <f>VLOOKUP(A76,tbMoveset!A2:G112,7,FALSE)*IFERROR(IF(Backdoors!AI12&gt;=0,1+(IF(Calculator!E40&gt;0,VLOOKUP(Calculator!E40,tbSkills!AI3:AJ5,2,FALSE),Backdoors!AL4)*(IF((Backdoors!AI12+IF(EE76&gt;=0.45,VLOOKUP(Calculator!E23,tbSkills!DH3:DI6,2,FALSE)+IF(AND(Calculator!B8=TRUE,Backdoors!BI22=TRUE),VLOOKUP(Calculator!E23,tbSkills!DH3:DJ6,3,FALSE),0),0))&gt;=100,100,(Backdoors!AI12+IF(EE76&gt;=0.45,VLOOKUP(Calculator!E23,tbSkills!DH3:DI6,2,FALSE)+IF(AND(Calculator!B8=TRUE,Backdoors!BI22=TRUE),VLOOKUP(Calculator!E23,tbSkills!DH3:DJ6,3,FALSE),0),0)))/100)),1),1)</f>
        <v>0.6</v>
      </c>
      <c r="EK76" s="87">
        <f t="shared" si="70"/>
        <v>0</v>
      </c>
      <c r="EL76" s="86" t="str">
        <f>IFERROR(IF(VLOOKUP(A76,tbMoveset!A2:B112,2,FALSE)="Sever",Backdoors!AY23/100,IF(VLOOKUP(A76,tbMoveset!A2:B112,2,FALSE)="Blunt",Backdoors!AZ23/100,Backdoors!BA23/100)),"")</f>
        <v/>
      </c>
      <c r="EM76" s="49">
        <f>IFERROR(IF(VLOOKUP(tbMoveset!A76,tbMoveset!A2:H112,8,FALSE)="Other",IF(VLOOKUP(tbMoveset!A76,tbMoveset!A2:I112,9,FALSE)="Fire",Backdoors!BB23,IF(VLOOKUP(tbMoveset!A76,tbMoveset!A2:I112,9,FALSE)="Water",Backdoors!BC23,IF(VLOOKUP(tbMoveset!A76,tbMoveset!A2:I112,9,FALSE)="Thunder",Backdoors!BD23,IF(VLOOKUP(tbMoveset!A76,tbMoveset!A2:I112,9,FALSE)="Ice",Backdoors!BE23,IF(VLOOKUP(tbMoveset!A76,tbMoveset!A2:I112,9,FALSE)="Dragon",Backdoors!BF23,Backdoors!BG23)))))/100,Backdoors!BG23/100),"")</f>
        <v>0</v>
      </c>
      <c r="EN76" s="49">
        <f>IFERROR(IF(VLOOKUP(A76,tbMoveset!A2:J112,10,FALSE)=TRUE,IF((Backdoors!AI12+IF(EL76&gt;=0.45,VLOOKUP(Calculator!E23,tbSkills!DH3:DI6,2,FALSE)+IF(AND(Calculator!B8=TRUE,Backdoors!BI23=TRUE),VLOOKUP(Calculator!E23,tbSkills!DH3:DJ6,3,FALSE),0),0))&gt;=0,1+(Backdoors!AL2*(IF((Backdoors!AI12+IF(EL76&gt;=0.45,VLOOKUP(Calculator!E23,tbSkills!DH3:DI6,2,FALSE)+IF(AND(Calculator!B8=TRUE,Backdoors!BI23=TRUE),VLOOKUP(Calculator!E23,tbSkills!DH3:DJ6,3,FALSE),0),0))&gt;=100,100,(Backdoors!AI12+IF(EL76&gt;=0.45,VLOOKUP(Calculator!E23,tbSkills!DH3:DI6,2,FALSE)+IF(AND(Calculator!B8=TRUE,Backdoors!BI23=TRUE),VLOOKUP(Calculator!E23,tbSkills!DH3:DJ6,3,FALSE),0),0)))/100)),(1-(0.25*((-Backdoors!AI12-IF(EL76&gt;=0.45,VLOOKUP(Calculator!E23,tbSkills!DH3:DI6,2,FALSE)+IF(AND(Calculator!B8=TRUE,Backdoors!BI23=TRUE),VLOOKUP(Calculator!E23,tbSkills!DH3:DJ6,3,FALSE),0),0))/100)))),1),"")</f>
        <v>1</v>
      </c>
      <c r="EO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L76)*EN76)*(VLOOKUP(A76,tbMoveset!A2:C112,3,FALSE)/100)*IF(VLOOKUP(A76,tbMoveset!A2:B112,2,FALSE)="Projectile",Backdoors!N10,Backdoors!N9),0),"")</f>
        <v/>
      </c>
      <c r="EP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L76&gt;=0.45,VLOOKUP(Calculator!E23,tbSkills!DH3:DI6,2,FALSE)+IF(AND(Calculator!B8=TRUE,Backdoors!BI23=TRUE),VLOOKUP(Calculator!E23,tbSkills!DH3:DJ6,3,FALSE),0),0))&gt;=100,100,(Backdoors!AI12+IF(EL76&gt;=0.45,VLOOKUP(Calculator!E23,tbSkills!DH3:DI6,2,FALSE)+IF(AND(Calculator!B8=TRUE,Backdoors!BI23=TRUE),VLOOKUP(Calculator!E23,tbSkills!DH3:DJ6,3,FALSE),0),0)))/100)),1))*IF(VLOOKUP(A76,tbMoveset!A2:K112,11,FALSE)=TRUE,Backdoors!AC5,1))*EM76,0),"")</f>
        <v>0</v>
      </c>
      <c r="EQ76" s="49">
        <f>VLOOKUP(A76,tbMoveset!A2:G112,7,FALSE)*IFERROR(IF(Backdoors!AI12&gt;=0,1+(IF(Calculator!E40&gt;0,VLOOKUP(Calculator!E40,tbSkills!AI3:AJ5,2,FALSE),Backdoors!AL4)*(IF((Backdoors!AI12+IF(EL76&gt;=0.45,VLOOKUP(Calculator!E23,tbSkills!DH3:DI6,2,FALSE)+IF(AND(Calculator!B8=TRUE,Backdoors!BI23=TRUE),VLOOKUP(Calculator!E23,tbSkills!DH3:DJ6,3,FALSE),0),0))&gt;=100,100,(Backdoors!AI12+IF(EL76&gt;=0.45,VLOOKUP(Calculator!E23,tbSkills!DH3:DI6,2,FALSE)+IF(AND(Calculator!B8=TRUE,Backdoors!BI23=TRUE),VLOOKUP(Calculator!E23,tbSkills!DH3:DJ6,3,FALSE),0),0)))/100)),1),1)</f>
        <v>0.6</v>
      </c>
      <c r="ER76" s="87">
        <f t="shared" si="71"/>
        <v>0</v>
      </c>
      <c r="ES76" s="86" t="str">
        <f>IFERROR(IF(VLOOKUP(A76,tbMoveset!A2:B112,2,FALSE)="Sever",Backdoors!AY24/100,IF(VLOOKUP(A76,tbMoveset!A2:B112,2,FALSE)="Blunt",Backdoors!AZ24/100,Backdoors!BA24/100)),"")</f>
        <v/>
      </c>
      <c r="ET76" s="49">
        <f>IFERROR(IF(VLOOKUP(tbMoveset!A76,tbMoveset!A2:H112,8,FALSE)="Other",IF(VLOOKUP(tbMoveset!A76,tbMoveset!A2:I112,9,FALSE)="Fire",Backdoors!BB24,IF(VLOOKUP(tbMoveset!A76,tbMoveset!A2:I112,9,FALSE)="Water",Backdoors!BC24,IF(VLOOKUP(tbMoveset!A76,tbMoveset!A2:I112,9,FALSE)="Thunder",Backdoors!BD24,IF(VLOOKUP(tbMoveset!A76,tbMoveset!A2:I112,9,FALSE)="Ice",Backdoors!BE24,IF(VLOOKUP(tbMoveset!A76,tbMoveset!A2:I112,9,FALSE)="Dragon",Backdoors!BF24,Backdoors!BG24)))))/100,Backdoors!BG24/100),"")</f>
        <v>0</v>
      </c>
      <c r="EU76" s="49">
        <f>IFERROR(IF(VLOOKUP(A76,tbMoveset!A2:J112,10,FALSE)=TRUE,IF((Backdoors!AI12+IF(ES76&gt;=0.45,VLOOKUP(Calculator!E23,tbSkills!DH3:DI6,2,FALSE)+IF(AND(Calculator!B8=TRUE,Backdoors!BI24=TRUE),VLOOKUP(Calculator!E23,tbSkills!DH3:DJ6,3,FALSE),0),0))&gt;=0,1+(Backdoors!AL2*(IF((Backdoors!AI12+IF(ES76&gt;=0.45,VLOOKUP(Calculator!E23,tbSkills!DH3:DI6,2,FALSE)+IF(AND(Calculator!B8=TRUE,Backdoors!BI24=TRUE),VLOOKUP(Calculator!E23,tbSkills!DH3:DJ6,3,FALSE),0),0))&gt;=100,100,(Backdoors!AI12+IF(ES76&gt;=0.45,VLOOKUP(Calculator!E23,tbSkills!DH3:DI6,2,FALSE)+IF(AND(Calculator!B8=TRUE,Backdoors!BI24=TRUE),VLOOKUP(Calculator!E23,tbSkills!DH3:DJ6,3,FALSE),0),0)))/100)),(1-(0.25*((-Backdoors!AI12-IF(ES76&gt;=0.45,VLOOKUP(Calculator!E23,tbSkills!DH3:DI6,2,FALSE)+IF(AND(Calculator!B8=TRUE,Backdoors!BI24=TRUE),VLOOKUP(Calculator!E23,tbSkills!DH3:DJ6,3,FALSE),0),0))/100)))),1),"")</f>
        <v>1</v>
      </c>
      <c r="EV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S76)*EU76)*(VLOOKUP(A76,tbMoveset!A2:C112,3,FALSE)/100)*IF(VLOOKUP(A76,tbMoveset!A2:B112,2,FALSE)="Projectile",Backdoors!N10,Backdoors!N9),0),"")</f>
        <v/>
      </c>
      <c r="EW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S76&gt;=0.45,VLOOKUP(Calculator!E23,tbSkills!DH3:DI6,2,FALSE)+IF(AND(Calculator!B8=TRUE,Backdoors!BI24=TRUE),VLOOKUP(Calculator!E23,tbSkills!DH3:DJ6,3,FALSE),0),0))&gt;=100,100,(Backdoors!AI12+IF(ES76&gt;=0.45,VLOOKUP(Calculator!E23,tbSkills!DH3:DI6,2,FALSE)+IF(AND(Calculator!B8=TRUE,Backdoors!BI24=TRUE),VLOOKUP(Calculator!E23,tbSkills!DH3:DJ6,3,FALSE),0),0)))/100)),1))*IF(VLOOKUP(A76,tbMoveset!A2:K112,11,FALSE)=TRUE,Backdoors!AC5,1))*ET76,0),"")</f>
        <v>0</v>
      </c>
      <c r="EX76" s="49">
        <f>VLOOKUP(A76,tbMoveset!A2:G112,7,FALSE)*IFERROR(IF(Backdoors!AI12&gt;=0,1+(IF(Calculator!E40&gt;0,VLOOKUP(Calculator!E40,tbSkills!AI3:AJ5,2,FALSE),Backdoors!AL4)*(IF((Backdoors!AI12+IF(ES76&gt;=0.45,VLOOKUP(Calculator!E23,tbSkills!DH3:DI6,2,FALSE)+IF(AND(Calculator!B8=TRUE,Backdoors!BI24=TRUE),VLOOKUP(Calculator!E23,tbSkills!DH3:DJ6,3,FALSE),0),0))&gt;=100,100,(Backdoors!AI12+IF(ES76&gt;=0.45,VLOOKUP(Calculator!E23,tbSkills!DH3:DI6,2,FALSE)+IF(AND(Calculator!B8=TRUE,Backdoors!BI24=TRUE),VLOOKUP(Calculator!E23,tbSkills!DH3:DJ6,3,FALSE),0),0)))/100)),1),1)</f>
        <v>0.6</v>
      </c>
      <c r="EY76" s="87">
        <f t="shared" si="72"/>
        <v>0</v>
      </c>
      <c r="EZ76" s="86" t="str">
        <f>IFERROR(IF(VLOOKUP(A76,tbMoveset!A2:B112,2,FALSE)="Sever",Backdoors!AY25/100,IF(VLOOKUP(A76,tbMoveset!A2:B112,2,FALSE)="Blunt",Backdoors!AZ25/100,Backdoors!BA25/100)),"")</f>
        <v/>
      </c>
      <c r="FA76" s="49">
        <f>IFERROR(IF(VLOOKUP(tbMoveset!A76,tbMoveset!A2:H112,8,FALSE)="Other",IF(VLOOKUP(tbMoveset!A76,tbMoveset!A2:I112,9,FALSE)="Fire",Backdoors!BB25,IF(VLOOKUP(tbMoveset!A76,tbMoveset!A2:I112,9,FALSE)="Water",Backdoors!BC25,IF(VLOOKUP(tbMoveset!A76,tbMoveset!A2:I112,9,FALSE)="Thunder",Backdoors!BD25,IF(VLOOKUP(tbMoveset!A76,tbMoveset!A2:I112,9,FALSE)="Ice",Backdoors!BE25,IF(VLOOKUP(tbMoveset!A76,tbMoveset!A2:I112,9,FALSE)="Dragon",Backdoors!BF25,Backdoors!BG25)))))/100,Backdoors!BG25/100),"")</f>
        <v>0</v>
      </c>
      <c r="FB76" s="49">
        <f>IFERROR(IF(VLOOKUP(A76,tbMoveset!A2:J112,10,FALSE)=TRUE,IF((Backdoors!AI12+IF(EZ76&gt;=0.45,VLOOKUP(Calculator!E23,tbSkills!DH3:DI6,2,FALSE)+IF(AND(Calculator!B8=TRUE,Backdoors!BI25=TRUE),VLOOKUP(Calculator!E23,tbSkills!DH3:DJ6,3,FALSE),0),0))&gt;=0,1+(Backdoors!AL2*(IF((Backdoors!AI12+IF(EZ76&gt;=0.45,VLOOKUP(Calculator!E23,tbSkills!DH3:DI6,2,FALSE)+IF(AND(Calculator!B8=TRUE,Backdoors!BI25=TRUE),VLOOKUP(Calculator!E23,tbSkills!DH3:DJ6,3,FALSE),0),0))&gt;=100,100,(Backdoors!AI12+IF(EZ76&gt;=0.45,VLOOKUP(Calculator!E23,tbSkills!DH3:DI6,2,FALSE)+IF(AND(Calculator!B8=TRUE,Backdoors!BI25=TRUE),VLOOKUP(Calculator!E23,tbSkills!DH3:DJ6,3,FALSE),0),0)))/100)),(1-(0.25*((-Backdoors!AI12-IF(EZ76&gt;=0.45,VLOOKUP(Calculator!E23,tbSkills!DH3:DI6,2,FALSE)+IF(AND(Calculator!B8=TRUE,Backdoors!BI25=TRUE),VLOOKUP(Calculator!E23,tbSkills!DH3:DJ6,3,FALSE),0),0))/100)))),1),"")</f>
        <v>1</v>
      </c>
      <c r="FC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Z76)*FB76)*(VLOOKUP(A76,tbMoveset!A2:C112,3,FALSE)/100)*IF(VLOOKUP(A76,tbMoveset!A2:B112,2,FALSE)="Projectile",Backdoors!N10,Backdoors!N9),0),"")</f>
        <v/>
      </c>
      <c r="FD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Z76&gt;=0.45,VLOOKUP(Calculator!E23,tbSkills!DH3:DI6,2,FALSE)+IF(AND(Calculator!B8=TRUE,Backdoors!BI25=TRUE),VLOOKUP(Calculator!E23,tbSkills!DH3:DJ6,3,FALSE),0),0))&gt;=100,100,(Backdoors!AI12+IF(EZ76&gt;=0.45,VLOOKUP(Calculator!E23,tbSkills!DH3:DI6,2,FALSE)+IF(AND(Calculator!B8=TRUE,Backdoors!BI25=TRUE),VLOOKUP(Calculator!E23,tbSkills!DH3:DJ6,3,FALSE),0),0)))/100)),1))*IF(VLOOKUP(A76,tbMoveset!A2:K112,11,FALSE)=TRUE,Backdoors!AC5,1))*FA76,0),"")</f>
        <v>0</v>
      </c>
      <c r="FE76" s="49">
        <f>VLOOKUP(A76,tbMoveset!A2:G112,7,FALSE)*IFERROR(IF(Backdoors!AI12&gt;=0,1+(IF(Calculator!E40&gt;0,VLOOKUP(Calculator!E40,tbSkills!AI3:AJ5,2,FALSE),Backdoors!AL4)*(IF((Backdoors!AI12+IF(EZ76&gt;=0.45,VLOOKUP(Calculator!E23,tbSkills!DH3:DI6,2,FALSE)+IF(AND(Calculator!B8=TRUE,Backdoors!BI25=TRUE),VLOOKUP(Calculator!E23,tbSkills!DH3:DJ6,3,FALSE),0),0))&gt;=100,100,(Backdoors!AI12+IF(EZ76&gt;=0.45,VLOOKUP(Calculator!E23,tbSkills!DH3:DI6,2,FALSE)+IF(AND(Calculator!B8=TRUE,Backdoors!BI25=TRUE),VLOOKUP(Calculator!E23,tbSkills!DH3:DJ6,3,FALSE),0),0)))/100)),1),1)</f>
        <v>0.6</v>
      </c>
      <c r="FF76" s="87">
        <f t="shared" si="73"/>
        <v>0</v>
      </c>
      <c r="FG76" s="86" t="str">
        <f>IFERROR(IF(VLOOKUP(A76,tbMoveset!A2:B112,2,FALSE)="Sever",Backdoors!AY26/100,IF(VLOOKUP(A76,tbMoveset!A2:B112,2,FALSE)="Blunt",Backdoors!AZ26/100,Backdoors!BA26/100)),"")</f>
        <v/>
      </c>
      <c r="FH76" s="49">
        <f>IFERROR(IF(VLOOKUP(tbMoveset!A76,tbMoveset!A2:H112,8,FALSE)="Other",IF(VLOOKUP(tbMoveset!A76,tbMoveset!A2:I112,9,FALSE)="Fire",Backdoors!BB26,IF(VLOOKUP(tbMoveset!A76,tbMoveset!A2:I112,9,FALSE)="Water",Backdoors!BC26,IF(VLOOKUP(tbMoveset!A76,tbMoveset!A2:I112,9,FALSE)="Thunder",Backdoors!BD26,IF(VLOOKUP(tbMoveset!A76,tbMoveset!A2:I112,9,FALSE)="Ice",Backdoors!BE26,IF(VLOOKUP(tbMoveset!A76,tbMoveset!A2:I112,9,FALSE)="Dragon",Backdoors!BF26,Backdoors!BG26)))))/100,Backdoors!BG26/100),"")</f>
        <v>0</v>
      </c>
      <c r="FI76" s="49">
        <f>IFERROR(IF(VLOOKUP(A76,tbMoveset!A2:J112,10,FALSE)=TRUE,IF((Backdoors!AI12+IF(FG76&gt;=0.45,VLOOKUP(Calculator!E23,tbSkills!DH3:DI6,2,FALSE)+IF(AND(Calculator!B8=TRUE,Backdoors!BI26=TRUE),VLOOKUP(Calculator!E23,tbSkills!DH3:DJ6,3,FALSE),0),0))&gt;=0,1+(Backdoors!AL2*(IF((Backdoors!AI12+IF(FG76&gt;=0.45,VLOOKUP(Calculator!E23,tbSkills!DH3:DI6,2,FALSE)+IF(AND(Calculator!B8=TRUE,Backdoors!BI26=TRUE),VLOOKUP(Calculator!E23,tbSkills!DH3:DJ6,3,FALSE),0),0))&gt;=100,100,(Backdoors!AI12+IF(FG76&gt;=0.45,VLOOKUP(Calculator!E23,tbSkills!DH3:DI6,2,FALSE)+IF(AND(Calculator!B8=TRUE,Backdoors!BI26=TRUE),VLOOKUP(Calculator!E23,tbSkills!DH3:DJ6,3,FALSE),0),0)))/100)),(1-(0.25*((-Backdoors!AI12-IF(FG76&gt;=0.45,VLOOKUP(Calculator!E23,tbSkills!DH3:DI6,2,FALSE)+IF(AND(Calculator!B8=TRUE,Backdoors!BI26=TRUE),VLOOKUP(Calculator!E23,tbSkills!DH3:DJ6,3,FALSE),0),0))/100)))),1),"")</f>
        <v>1</v>
      </c>
      <c r="FJ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FG76)*FI76)*(VLOOKUP(A76,tbMoveset!A2:C112,3,FALSE)/100)*IF(VLOOKUP(A76,tbMoveset!A2:B112,2,FALSE)="Projectile",Backdoors!N10,Backdoors!N9),0),"")</f>
        <v/>
      </c>
      <c r="FK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FG76&gt;=0.45,VLOOKUP(Calculator!E23,tbSkills!DH3:DI6,2,FALSE)+IF(AND(Calculator!B8=TRUE,Backdoors!BI26=TRUE),VLOOKUP(Calculator!E23,tbSkills!DH3:DJ6,3,FALSE),0),0))&gt;=100,100,(Backdoors!AI12+IF(FG76&gt;=0.45,VLOOKUP(Calculator!E23,tbSkills!DH3:DI6,2,FALSE)+IF(AND(Calculator!B8=TRUE,Backdoors!BI26=TRUE),VLOOKUP(Calculator!E23,tbSkills!DH3:DJ6,3,FALSE),0),0)))/100)),1))*IF(VLOOKUP(A76,tbMoveset!A2:K112,11,FALSE)=TRUE,Backdoors!AC5,1))*FH76,0),"")</f>
        <v>0</v>
      </c>
      <c r="FL76" s="49">
        <f>VLOOKUP(A76,tbMoveset!A2:G112,7,FALSE)*IFERROR(IF(Backdoors!AI12&gt;=0,1+(IF(Calculator!E40&gt;0,VLOOKUP(Calculator!E40,tbSkills!AI3:AJ5,2,FALSE),Backdoors!AL4)*(IF((Backdoors!AI12+IF(FG76&gt;=0.45,VLOOKUP(Calculator!E23,tbSkills!DH3:DI6,2,FALSE)+IF(AND(Calculator!B8=TRUE,Backdoors!BI26=TRUE),VLOOKUP(Calculator!E23,tbSkills!DH3:DJ6,3,FALSE),0),0))&gt;=100,100,(Backdoors!AI12+IF(FG76&gt;=0.45,VLOOKUP(Calculator!E23,tbSkills!DH3:DI6,2,FALSE)+IF(AND(Calculator!B8=TRUE,Backdoors!BI26=TRUE),VLOOKUP(Calculator!E23,tbSkills!DH3:DJ6,3,FALSE),0),0)))/100)),1),1)</f>
        <v>0.6</v>
      </c>
      <c r="FM76" s="87">
        <f t="shared" si="74"/>
        <v>0</v>
      </c>
      <c r="FN76" s="86" t="str">
        <f>IFERROR(IF(VLOOKUP(A76,tbMoveset!A2:B112,2,FALSE)="Sever",Backdoors!AY27/100,IF(VLOOKUP(A76,tbMoveset!A2:B112,2,FALSE)="Blunt",Backdoors!AZ27/100,Backdoors!BA27/100)),"")</f>
        <v/>
      </c>
      <c r="FO76" s="49">
        <f>IFERROR(IF(VLOOKUP(tbMoveset!A76,tbMoveset!A2:H112,8,FALSE)="Other",IF(VLOOKUP(tbMoveset!A76,tbMoveset!A2:I112,9,FALSE)="Fire",Backdoors!BB27,IF(VLOOKUP(tbMoveset!A76,tbMoveset!A2:I112,9,FALSE)="Water",Backdoors!BC27,IF(VLOOKUP(tbMoveset!A76,tbMoveset!A2:I112,9,FALSE)="Thunder",Backdoors!BD27,IF(VLOOKUP(tbMoveset!A76,tbMoveset!A2:I112,9,FALSE)="Ice",Backdoors!BE27,IF(VLOOKUP(tbMoveset!A76,tbMoveset!A2:I112,9,FALSE)="Dragon",Backdoors!BF27,Backdoors!BG27)))))/100,Backdoors!BG27/100),"")</f>
        <v>0</v>
      </c>
      <c r="FP76" s="49">
        <f>IFERROR(IF(VLOOKUP(A76,tbMoveset!A2:J112,10,FALSE)=TRUE,IF((Backdoors!AI12+IF(FN76&gt;=0.45,VLOOKUP(Calculator!E23,tbSkills!DH3:DI6,2,FALSE)+IF(AND(Calculator!B8=TRUE,Backdoors!BI27=TRUE),VLOOKUP(Calculator!E23,tbSkills!DH3:DJ6,3,FALSE),0),0))&gt;=0,1+(Backdoors!AL2*(IF((Backdoors!AI12+IF(FN76&gt;=0.45,VLOOKUP(Calculator!E23,tbSkills!DH3:DI6,2,FALSE)+IF(AND(Calculator!B8=TRUE,Backdoors!BI27=TRUE),VLOOKUP(Calculator!E23,tbSkills!DH3:DJ6,3,FALSE),0),0))&gt;=100,100,(Backdoors!AI12+IF(FN76&gt;=0.45,VLOOKUP(Calculator!E23,tbSkills!DH3:DI6,2,FALSE)+IF(AND(Calculator!B8=TRUE,Backdoors!BI27=TRUE),VLOOKUP(Calculator!E23,tbSkills!DH3:DJ6,3,FALSE),0),0)))/100)),(1-(0.25*((-Backdoors!AI12-IF(FN76&gt;=0.45,VLOOKUP(Calculator!E23,tbSkills!DH3:DI6,2,FALSE)+IF(AND(Calculator!B8=TRUE,Backdoors!BI27=TRUE),VLOOKUP(Calculator!E23,tbSkills!DH3:DJ6,3,FALSE),0),0))/100)))),1),"")</f>
        <v>1</v>
      </c>
      <c r="FQ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FN76)*FP76)*(VLOOKUP(A76,tbMoveset!A2:C112,3,FALSE)/100)*IF(VLOOKUP(A76,tbMoveset!A2:B112,2,FALSE)="Projectile",Backdoors!N10,Backdoors!N9),0),"")</f>
        <v/>
      </c>
      <c r="FR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FN76&gt;=0.45,VLOOKUP(Calculator!E23,tbSkills!DH3:DI6,2,FALSE)+IF(AND(Calculator!B8=TRUE,Backdoors!BI27=TRUE),VLOOKUP(Calculator!E23,tbSkills!DH3:DJ6,3,FALSE),0),0))&gt;=100,100,(Backdoors!AI12+IF(FN76&gt;=0.45,VLOOKUP(Calculator!E23,tbSkills!DH3:DI6,2,FALSE)+IF(AND(Calculator!B8=TRUE,Backdoors!BI27=TRUE),VLOOKUP(Calculator!E23,tbSkills!DH3:DJ6,3,FALSE),0),0)))/100)),1))*IF(VLOOKUP(A76,tbMoveset!A2:K112,11,FALSE)=TRUE,Backdoors!AC5,1))*FO76,0),"")</f>
        <v>0</v>
      </c>
      <c r="FS76" s="49">
        <f>VLOOKUP(A76,tbMoveset!A2:G112,7,FALSE)*IFERROR(IF(Backdoors!AI12&gt;=0,1+(IF(Calculator!E40&gt;0,VLOOKUP(Calculator!E40,tbSkills!AI3:AJ5,2,FALSE),Backdoors!AL4)*(IF((Backdoors!AI12+IF(FN76&gt;=0.45,VLOOKUP(Calculator!E23,tbSkills!DH3:DI6,2,FALSE)+IF(AND(Calculator!B8=TRUE,Backdoors!BI27=TRUE),VLOOKUP(Calculator!E23,tbSkills!DH3:DJ6,3,FALSE),0),0))&gt;=100,100,(Backdoors!AI12+IF(FN76&gt;=0.45,VLOOKUP(Calculator!E23,tbSkills!DH3:DI6,2,FALSE)+IF(AND(Calculator!B8=TRUE,Backdoors!BI27=TRUE),VLOOKUP(Calculator!E23,tbSkills!DH3:DJ6,3,FALSE),0),0)))/100)),1),1)</f>
        <v>0.6</v>
      </c>
      <c r="FT76" s="87">
        <f t="shared" si="75"/>
        <v>0</v>
      </c>
      <c r="FU76" s="86" t="str">
        <f>IFERROR(IF(VLOOKUP(A76,tbMoveset!A2:B112,2,FALSE)="Sever",Backdoors!AY28/100,IF(VLOOKUP(A76,tbMoveset!A2:B112,2,FALSE)="Blunt",Backdoors!AZ28/100,Backdoors!BA28/100)),"")</f>
        <v/>
      </c>
      <c r="FV76" s="49">
        <f>IFERROR(IF(VLOOKUP(tbMoveset!A76,tbMoveset!A2:H112,8,FALSE)="Other",IF(VLOOKUP(tbMoveset!A76,tbMoveset!A2:I112,9,FALSE)="Fire",Backdoors!BB28,IF(VLOOKUP(tbMoveset!A76,tbMoveset!A2:I112,9,FALSE)="Water",Backdoors!BC28,IF(VLOOKUP(tbMoveset!A76,tbMoveset!A2:I112,9,FALSE)="Thunder",Backdoors!BD28,IF(VLOOKUP(tbMoveset!A76,tbMoveset!A2:I112,9,FALSE)="Ice",Backdoors!BE28,IF(VLOOKUP(tbMoveset!A76,tbMoveset!A2:I112,9,FALSE)="Dragon",Backdoors!BF28,Backdoors!BG28)))))/100,Backdoors!BG28/100),"")</f>
        <v>0</v>
      </c>
      <c r="FW76" s="49">
        <f>IFERROR(IF(VLOOKUP(A76,tbMoveset!A2:J112,10,FALSE)=TRUE,IF((Backdoors!AI12+IF(FU76&gt;=0.45,VLOOKUP(Calculator!E23,tbSkills!DH3:DI6,2,FALSE)+IF(AND(Calculator!B8=TRUE,Backdoors!BI28=TRUE),VLOOKUP(Calculator!E23,tbSkills!DH3:DJ6,3,FALSE),0),0))&gt;=0,1+(Backdoors!AL2*(IF((Backdoors!AI12+IF(FU76&gt;=0.45,VLOOKUP(Calculator!E23,tbSkills!DH3:DI6,2,FALSE)+IF(AND(Calculator!B8=TRUE,Backdoors!BI28=TRUE),VLOOKUP(Calculator!E23,tbSkills!DH3:DJ6,3,FALSE),0),0))&gt;=100,100,(Backdoors!AI12+IF(FU76&gt;=0.45,VLOOKUP(Calculator!E23,tbSkills!DH3:DI6,2,FALSE)+IF(AND(Calculator!B8=TRUE,Backdoors!BI28=TRUE),VLOOKUP(Calculator!E23,tbSkills!DH3:DJ6,3,FALSE),0),0)))/100)),(1-(0.25*((-Backdoors!AI12-IF(FU76&gt;=0.45,VLOOKUP(Calculator!E23,tbSkills!DH3:DI6,2,FALSE)+IF(AND(Calculator!B8=TRUE,Backdoors!BI28=TRUE),VLOOKUP(Calculator!E23,tbSkills!DH3:DJ6,3,FALSE),0),0))/100)))),1),"")</f>
        <v>1</v>
      </c>
      <c r="FX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FU76)*FW76)*(VLOOKUP(A76,tbMoveset!A2:C112,3,FALSE)/100)*IF(VLOOKUP(A76,tbMoveset!A2:B112,2,FALSE)="Projectile",Backdoors!N10,Backdoors!N9),0),"")</f>
        <v/>
      </c>
      <c r="FY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FU76&gt;=0.45,VLOOKUP(Calculator!E23,tbSkills!DH3:DI6,2,FALSE)+IF(AND(Calculator!B8=TRUE,Backdoors!BI28=TRUE),VLOOKUP(Calculator!E23,tbSkills!DH3:DJ6,3,FALSE),0),0))&gt;=100,100,(Backdoors!AI12+IF(FU76&gt;=0.45,VLOOKUP(Calculator!E23,tbSkills!DH3:DI6,2,FALSE)+IF(AND(Calculator!B8=TRUE,Backdoors!BI28=TRUE),VLOOKUP(Calculator!E23,tbSkills!DH3:DJ6,3,FALSE),0),0)))/100)),1))*IF(VLOOKUP(A76,tbMoveset!A2:K112,11,FALSE)=TRUE,Backdoors!AC5,1))*FV76,0),"")</f>
        <v>0</v>
      </c>
      <c r="FZ76" s="49">
        <f>VLOOKUP(A76,tbMoveset!A2:G112,7,FALSE)*IFERROR(IF(Backdoors!AI12&gt;=0,1+(IF(Calculator!E40&gt;0,VLOOKUP(Calculator!E40,tbSkills!AI3:AJ5,2,FALSE),Backdoors!AL4)*(IF((Backdoors!AI12+IF(FU76&gt;=0.45,VLOOKUP(Calculator!E23,tbSkills!DH3:DI6,2,FALSE)+IF(AND(Calculator!B8=TRUE,Backdoors!BI28=TRUE),VLOOKUP(Calculator!E23,tbSkills!DH3:DJ6,3,FALSE),0),0))&gt;=100,100,(Backdoors!AI12+IF(FU76&gt;=0.45,VLOOKUP(Calculator!E23,tbSkills!DH3:DI6,2,FALSE)+IF(AND(Calculator!B8=TRUE,Backdoors!BI28=TRUE),VLOOKUP(Calculator!E23,tbSkills!DH3:DJ6,3,FALSE),0),0)))/100)),1),1)</f>
        <v>0.6</v>
      </c>
      <c r="GA76" s="87">
        <f t="shared" si="76"/>
        <v>0</v>
      </c>
      <c r="GB76" s="86" t="str">
        <f>IFERROR(IF(VLOOKUP(A76,tbMoveset!A2:B112,2,FALSE)="Sever",Backdoors!AY29/100,IF(VLOOKUP(A76,tbMoveset!A2:B112,2,FALSE)="Blunt",Backdoors!AZ29/100,Backdoors!BA29/100)),"")</f>
        <v/>
      </c>
      <c r="GC76" s="49">
        <f>IFERROR(IF(VLOOKUP(tbMoveset!A76,tbMoveset!A2:H112,8,FALSE)="Other",IF(VLOOKUP(tbMoveset!A76,tbMoveset!A2:I112,9,FALSE)="Fire",Backdoors!BB29,IF(VLOOKUP(tbMoveset!A76,tbMoveset!A2:I112,9,FALSE)="Water",Backdoors!BC29,IF(VLOOKUP(tbMoveset!A76,tbMoveset!A2:I112,9,FALSE)="Thunder",Backdoors!BD29,IF(VLOOKUP(tbMoveset!A76,tbMoveset!A2:I112,9,FALSE)="Ice",Backdoors!BE29,IF(VLOOKUP(tbMoveset!A76,tbMoveset!A2:I112,9,FALSE)="Dragon",Backdoors!BF29,Backdoors!BG29)))))/100,Backdoors!BG29/100),"")</f>
        <v>0</v>
      </c>
      <c r="GD76" s="49">
        <f>IFERROR(IF(VLOOKUP(A76,tbMoveset!A2:J112,10,FALSE)=TRUE,IF((Backdoors!AI12+IF(GB76&gt;=0.45,VLOOKUP(Calculator!E23,tbSkills!DH3:DI6,2,FALSE)+IF(AND(Calculator!B8=TRUE,Backdoors!BI29=TRUE),VLOOKUP(Calculator!E23,tbSkills!DH3:DJ6,3,FALSE),0),0))&gt;=0,1+(Backdoors!AL2*(IF((Backdoors!AI12+IF(GB76&gt;=0.45,VLOOKUP(Calculator!E23,tbSkills!DH3:DI6,2,FALSE)+IF(AND(Calculator!B8=TRUE,Backdoors!BI29=TRUE),VLOOKUP(Calculator!E23,tbSkills!DH3:DJ6,3,FALSE),0),0))&gt;=100,100,(Backdoors!AI12+IF(GB76&gt;=0.45,VLOOKUP(Calculator!E23,tbSkills!DH3:DI6,2,FALSE)+IF(AND(Calculator!B8=TRUE,Backdoors!BI29=TRUE),VLOOKUP(Calculator!E23,tbSkills!DH3:DJ6,3,FALSE),0),0)))/100)),(1-(0.25*((-Backdoors!AI12-IF(GB76&gt;=0.45,VLOOKUP(Calculator!E23,tbSkills!DH3:DI6,2,FALSE)+IF(AND(Calculator!B8=TRUE,Backdoors!BI29=TRUE),VLOOKUP(Calculator!E23,tbSkills!DH3:DJ6,3,FALSE),0),0))/100)))),1),"")</f>
        <v>1</v>
      </c>
      <c r="GE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B76)*GD76)*(VLOOKUP(A76,tbMoveset!A2:C112,3,FALSE)/100)*IF(VLOOKUP(A76,tbMoveset!A2:B112,2,FALSE)="Projectile",Backdoors!N10,Backdoors!N9),0),"")</f>
        <v/>
      </c>
      <c r="GF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B76&gt;=0.45,VLOOKUP(Calculator!E23,tbSkills!DH3:DI6,2,FALSE)+IF(AND(Calculator!B8=TRUE,Backdoors!BI29=TRUE),VLOOKUP(Calculator!E23,tbSkills!DH3:DJ6,3,FALSE),0),0))&gt;=100,100,(Backdoors!AI12+IF(GB76&gt;=0.45,VLOOKUP(Calculator!E23,tbSkills!DH3:DI6,2,FALSE)+IF(AND(Calculator!B8=TRUE,Backdoors!BI29=TRUE),VLOOKUP(Calculator!E23,tbSkills!DH3:DJ6,3,FALSE),0),0)))/100)),1))*IF(VLOOKUP(A76,tbMoveset!A2:K112,11,FALSE)=TRUE,Backdoors!AC5,1))*GC76,0),"")</f>
        <v>0</v>
      </c>
      <c r="GG76" s="49">
        <f>VLOOKUP(A76,tbMoveset!A2:G112,7,FALSE)*IFERROR(IF(Backdoors!AI12&gt;=0,1+(IF(Calculator!E40&gt;0,VLOOKUP(Calculator!E40,tbSkills!AI3:AJ5,2,FALSE),Backdoors!AL4)*(IF((Backdoors!AI12+IF(GB76&gt;=0.45,VLOOKUP(Calculator!E23,tbSkills!DH3:DI6,2,FALSE)+IF(AND(Calculator!B8=TRUE,Backdoors!BI29=TRUE),VLOOKUP(Calculator!E23,tbSkills!DH3:DJ6,3,FALSE),0),0))&gt;=100,100,(Backdoors!AI12+IF(GB76&gt;=0.45,VLOOKUP(Calculator!E23,tbSkills!DH3:DI6,2,FALSE)+IF(AND(Calculator!B8=TRUE,Backdoors!BI29=TRUE),VLOOKUP(Calculator!E23,tbSkills!DH3:DJ6,3,FALSE),0),0)))/100)),1),1)</f>
        <v>0.6</v>
      </c>
      <c r="GH76" s="87">
        <f t="shared" si="77"/>
        <v>0</v>
      </c>
      <c r="GI76" s="86" t="str">
        <f>IFERROR(IF(VLOOKUP(A76,tbMoveset!A2:B112,2,FALSE)="Sever",Backdoors!AY30/100,IF(VLOOKUP(A76,tbMoveset!A2:B112,2,FALSE)="Blunt",Backdoors!AZ30/100,Backdoors!BA30/100)),"")</f>
        <v/>
      </c>
      <c r="GJ76" s="49">
        <f>IFERROR(IF(VLOOKUP(tbMoveset!A76,tbMoveset!A2:H112,8,FALSE)="Other",IF(VLOOKUP(tbMoveset!A76,tbMoveset!A2:I112,9,FALSE)="Fire",Backdoors!BB30,IF(VLOOKUP(tbMoveset!A76,tbMoveset!A2:I112,9,FALSE)="Water",Backdoors!BC30,IF(VLOOKUP(tbMoveset!A76,tbMoveset!A2:I112,9,FALSE)="Thunder",Backdoors!BD30,IF(VLOOKUP(tbMoveset!A76,tbMoveset!A2:I112,9,FALSE)="Ice",Backdoors!BE30,IF(VLOOKUP(tbMoveset!A76,tbMoveset!A2:I112,9,FALSE)="Dragon",Backdoors!BF30,Backdoors!BG30)))))/100,Backdoors!BG30/100),"")</f>
        <v>0</v>
      </c>
      <c r="GK76" s="49">
        <f>IFERROR(IF(VLOOKUP(A76,tbMoveset!A2:J112,10,FALSE)=TRUE,IF((Backdoors!AI12+IF(GI76&gt;=0.45,VLOOKUP(Calculator!E23,tbSkills!DH3:DI6,2,FALSE)+IF(AND(Calculator!B8=TRUE,Backdoors!BI30=TRUE),VLOOKUP(Calculator!E23,tbSkills!DH3:DJ6,3,FALSE),0),0))&gt;=0,1+(Backdoors!AL2*(IF((Backdoors!AI12+IF(GI76&gt;=0.45,VLOOKUP(Calculator!E23,tbSkills!DH3:DI6,2,FALSE)+IF(AND(Calculator!B8=TRUE,Backdoors!BI30=TRUE),VLOOKUP(Calculator!E23,tbSkills!DH3:DJ6,3,FALSE),0),0))&gt;=100,100,(Backdoors!AI12+IF(GI76&gt;=0.45,VLOOKUP(Calculator!E23,tbSkills!DH3:DI6,2,FALSE)+IF(AND(Calculator!B8=TRUE,Backdoors!BI30=TRUE),VLOOKUP(Calculator!E23,tbSkills!DH3:DJ6,3,FALSE),0),0)))/100)),(1-(0.25*((-Backdoors!AI12-IF(GI76&gt;=0.45,VLOOKUP(Calculator!E23,tbSkills!DH3:DI6,2,FALSE)+IF(AND(Calculator!B8=TRUE,Backdoors!BI30=TRUE),VLOOKUP(Calculator!E23,tbSkills!DH3:DJ6,3,FALSE),0),0))/100)))),1),"")</f>
        <v>1</v>
      </c>
      <c r="GL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I76)*GK76)*(VLOOKUP(A76,tbMoveset!A2:C112,3,FALSE)/100)*IF(VLOOKUP(A76,tbMoveset!A2:B112,2,FALSE)="Projectile",Backdoors!N10,Backdoors!N9),0),"")</f>
        <v/>
      </c>
      <c r="GM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I76&gt;=0.45,VLOOKUP(Calculator!E23,tbSkills!DH3:DI6,2,FALSE)+IF(AND(Calculator!B8=TRUE,Backdoors!BI30=TRUE),VLOOKUP(Calculator!E23,tbSkills!DH3:DJ6,3,FALSE),0),0))&gt;=100,100,(Backdoors!AI12+IF(GI76&gt;=0.45,VLOOKUP(Calculator!E23,tbSkills!DH3:DI6,2,FALSE)+IF(AND(Calculator!B8=TRUE,Backdoors!BI30=TRUE),VLOOKUP(Calculator!E23,tbSkills!DH3:DJ6,3,FALSE),0),0)))/100)),1))*IF(VLOOKUP(A76,tbMoveset!A2:K112,11,FALSE)=TRUE,Backdoors!AC5,1))*GJ76,0),"")</f>
        <v>0</v>
      </c>
      <c r="GN76" s="49">
        <f>VLOOKUP(A76,tbMoveset!A2:G112,7,FALSE)*IFERROR(IF(Backdoors!AI12&gt;=0,1+(IF(Calculator!E40&gt;0,VLOOKUP(Calculator!E40,tbSkills!AI3:AJ5,2,FALSE),Backdoors!AL4)*(IF((Backdoors!AI12+IF(GI76&gt;=0.45,VLOOKUP(Calculator!E23,tbSkills!DH3:DI6,2,FALSE)+IF(AND(Calculator!B8=TRUE,Backdoors!BI30=TRUE),VLOOKUP(Calculator!E23,tbSkills!DH3:DJ6,3,FALSE),0),0))&gt;=100,100,(Backdoors!AI12+IF(GI76&gt;=0.45,VLOOKUP(Calculator!E23,tbSkills!DH3:DI6,2,FALSE)+IF(AND(Calculator!B8=TRUE,Backdoors!BI30=TRUE),VLOOKUP(Calculator!E23,tbSkills!DH3:DJ6,3,FALSE),0),0)))/100)),1),1)</f>
        <v>0.6</v>
      </c>
      <c r="GO76" s="87">
        <f t="shared" si="78"/>
        <v>0</v>
      </c>
      <c r="GP76" s="86" t="str">
        <f>IFERROR(IF(VLOOKUP(A76,tbMoveset!A2:B112,2,FALSE)="Sever",Backdoors!AY31/100,IF(VLOOKUP(A76,tbMoveset!A2:B112,2,FALSE)="Blunt",Backdoors!AZ31/100,Backdoors!BA31/100)),"")</f>
        <v/>
      </c>
      <c r="GQ76" s="49">
        <f>IFERROR(IF(VLOOKUP(tbMoveset!A76,tbMoveset!A2:H112,8,FALSE)="Other",IF(VLOOKUP(tbMoveset!A76,tbMoveset!A2:I112,9,FALSE)="Fire",Backdoors!BB31,IF(VLOOKUP(tbMoveset!A76,tbMoveset!A2:I112,9,FALSE)="Water",Backdoors!BC31,IF(VLOOKUP(tbMoveset!A76,tbMoveset!A2:I112,9,FALSE)="Thunder",Backdoors!BD31,IF(VLOOKUP(tbMoveset!A76,tbMoveset!A2:I112,9,FALSE)="Ice",Backdoors!BE31,IF(VLOOKUP(tbMoveset!A76,tbMoveset!A2:I112,9,FALSE)="Dragon",Backdoors!BF31,Backdoors!BG31)))))/100,Backdoors!BG31/100),"")</f>
        <v>0</v>
      </c>
      <c r="GR76" s="49">
        <f>IFERROR(IF(VLOOKUP(A76,tbMoveset!A2:J112,10,FALSE)=TRUE,IF((Backdoors!AI12+IF(GP76&gt;=0.45,VLOOKUP(Calculator!E23,tbSkills!DH3:DI6,2,FALSE)+IF(AND(Calculator!B8=TRUE,Backdoors!BI31=TRUE),VLOOKUP(Calculator!E23,tbSkills!DH3:DJ6,3,FALSE),0),0))&gt;=0,1+(Backdoors!AL2*(IF((Backdoors!AI12+IF(GP76&gt;=0.45,VLOOKUP(Calculator!E23,tbSkills!DH3:DI6,2,FALSE)+IF(AND(Calculator!B8=TRUE,Backdoors!BI31=TRUE),VLOOKUP(Calculator!E23,tbSkills!DH3:DJ6,3,FALSE),0),0))&gt;=100,100,(Backdoors!AI12+IF(GP76&gt;=0.45,VLOOKUP(Calculator!E23,tbSkills!DH3:DI6,2,FALSE)+IF(AND(Calculator!B8=TRUE,Backdoors!BI31=TRUE),VLOOKUP(Calculator!E23,tbSkills!DH3:DJ6,3,FALSE),0),0)))/100)),(1-(0.25*((-Backdoors!AI12-IF(GP76&gt;=0.45,VLOOKUP(Calculator!E23,tbSkills!DH3:DI6,2,FALSE)+IF(AND(Calculator!B8=TRUE,Backdoors!BI31=TRUE),VLOOKUP(Calculator!E23,tbSkills!DH3:DJ6,3,FALSE),0),0))/100)))),1),"")</f>
        <v>1</v>
      </c>
      <c r="GS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P76)*GR76)*(VLOOKUP(A76,tbMoveset!A2:C112,3,FALSE)/100)*IF(VLOOKUP(A76,tbMoveset!A2:B112,2,FALSE)="Projectile",Backdoors!N10,Backdoors!N9),0),"")</f>
        <v/>
      </c>
      <c r="GT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P76&gt;=0.45,VLOOKUP(Calculator!E23,tbSkills!DH3:DI6,2,FALSE)+IF(AND(Calculator!B8=TRUE,Backdoors!BI31=TRUE),VLOOKUP(Calculator!E23,tbSkills!DH3:DJ6,3,FALSE),0),0))&gt;=100,100,(Backdoors!AI12+IF(GP76&gt;=0.45,VLOOKUP(Calculator!E23,tbSkills!DH3:DI6,2,FALSE)+IF(AND(Calculator!B8=TRUE,Backdoors!BI31=TRUE),VLOOKUP(Calculator!E23,tbSkills!DH3:DJ6,3,FALSE),0),0)))/100)),1))*IF(VLOOKUP(A76,tbMoveset!A2:K112,11,FALSE)=TRUE,Backdoors!AC5,1))*GQ76,0),"")</f>
        <v>0</v>
      </c>
      <c r="GU76" s="49">
        <f>VLOOKUP(A76,tbMoveset!A2:G112,7,FALSE)*IFERROR(IF(Backdoors!AI12&gt;=0,1+(IF(Calculator!E40&gt;0,VLOOKUP(Calculator!E40,tbSkills!AI3:AJ5,2,FALSE),Backdoors!AL4)*(IF((Backdoors!AI12+IF(GP76&gt;=0.45,VLOOKUP(Calculator!E23,tbSkills!DH3:DI6,2,FALSE)+IF(AND(Calculator!B8=TRUE,Backdoors!BI31=TRUE),VLOOKUP(Calculator!E23,tbSkills!DH3:DJ6,3,FALSE),0),0))&gt;=100,100,(Backdoors!AI12+IF(GP76&gt;=0.45,VLOOKUP(Calculator!E23,tbSkills!DH3:DI6,2,FALSE)+IF(AND(Calculator!B8=TRUE,Backdoors!BI31=TRUE),VLOOKUP(Calculator!E23,tbSkills!DH3:DJ6,3,FALSE),0),0)))/100)),1),1)</f>
        <v>0.6</v>
      </c>
      <c r="GV76" s="87">
        <f t="shared" si="79"/>
        <v>0</v>
      </c>
      <c r="GW76" s="86" t="str">
        <f>IFERROR(IF(VLOOKUP(A76,tbMoveset!A2:B112,2,FALSE)="Sever",Backdoors!AY32/100,IF(VLOOKUP(A76,tbMoveset!A2:B112,2,FALSE)="Blunt",Backdoors!AZ32/100,Backdoors!BA32/100)),"")</f>
        <v/>
      </c>
      <c r="GX76" s="49">
        <f>IFERROR(IF(VLOOKUP(tbMoveset!A76,tbMoveset!A2:H112,8,FALSE)="Other",IF(VLOOKUP(tbMoveset!A76,tbMoveset!A2:I112,9,FALSE)="Fire",Backdoors!BB32,IF(VLOOKUP(tbMoveset!A76,tbMoveset!A2:I112,9,FALSE)="Water",Backdoors!BC32,IF(VLOOKUP(tbMoveset!A76,tbMoveset!A2:I112,9,FALSE)="Thunder",Backdoors!BD32,IF(VLOOKUP(tbMoveset!A76,tbMoveset!A2:I112,9,FALSE)="Ice",Backdoors!BE32,IF(VLOOKUP(tbMoveset!A76,tbMoveset!A2:I112,9,FALSE)="Dragon",Backdoors!BF32,Backdoors!BG32)))))/100,Backdoors!BG32/100),"")</f>
        <v>0</v>
      </c>
      <c r="GY76" s="49">
        <f>IFERROR(IF(VLOOKUP(A76,tbMoveset!A2:J112,10,FALSE)=TRUE,IF((Backdoors!AI12+IF(GW76&gt;=0.45,VLOOKUP(Calculator!E23,tbSkills!DH3:DI6,2,FALSE)+IF(AND(Calculator!B8=TRUE,Backdoors!BI32=TRUE),VLOOKUP(Calculator!E23,tbSkills!DH3:DJ6,3,FALSE),0),0))&gt;=0,1+(Backdoors!AL2*(IF((Backdoors!AI12+IF(GW76&gt;=0.45,VLOOKUP(Calculator!E23,tbSkills!DH3:DI6,2,FALSE)+IF(AND(Calculator!B8=TRUE,Backdoors!BI32=TRUE),VLOOKUP(Calculator!E23,tbSkills!DH3:DJ6,3,FALSE),0),0))&gt;=100,100,(Backdoors!AI12+IF(GW76&gt;=0.45,VLOOKUP(Calculator!E23,tbSkills!DH3:DI6,2,FALSE)+IF(AND(Calculator!B8=TRUE,Backdoors!BI32=TRUE),VLOOKUP(Calculator!E23,tbSkills!DH3:DJ6,3,FALSE),0),0)))/100)),(1-(0.25*((-Backdoors!AI12-IF(GW76&gt;=0.45,VLOOKUP(Calculator!E23,tbSkills!DH3:DI6,2,FALSE)+IF(AND(Calculator!B8=TRUE,Backdoors!BI32=TRUE),VLOOKUP(Calculator!E23,tbSkills!DH3:DJ6,3,FALSE),0),0))/100)))),1),"")</f>
        <v>1</v>
      </c>
      <c r="GZ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W76)*GY76)*(VLOOKUP(A76,tbMoveset!A2:C112,3,FALSE)/100)*IF(VLOOKUP(A76,tbMoveset!A2:B112,2,FALSE)="Projectile",Backdoors!N10,Backdoors!N9),0),"")</f>
        <v/>
      </c>
      <c r="HA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W76&gt;=0.45,VLOOKUP(Calculator!E23,tbSkills!DH3:DI6,2,FALSE)+IF(AND(Calculator!B8=TRUE,Backdoors!BI32=TRUE),VLOOKUP(Calculator!E23,tbSkills!DH3:DJ6,3,FALSE),0),0))&gt;=100,100,(Backdoors!AI12+IF(GW76&gt;=0.45,VLOOKUP(Calculator!E23,tbSkills!DH3:DI6,2,FALSE)+IF(AND(Calculator!B8=TRUE,Backdoors!BI32=TRUE),VLOOKUP(Calculator!E23,tbSkills!DH3:DJ6,3,FALSE),0),0)))/100)),1))*IF(VLOOKUP(A76,tbMoveset!A2:K112,11,FALSE)=TRUE,Backdoors!AC5,1))*GX76,0),"")</f>
        <v>0</v>
      </c>
      <c r="HB76" s="49">
        <f>VLOOKUP(A76,tbMoveset!A2:G112,7,FALSE)*IFERROR(IF(Backdoors!AI12&gt;=0,1+(IF(Calculator!E40&gt;0,VLOOKUP(Calculator!E40,tbSkills!AI3:AJ5,2,FALSE),Backdoors!AL4)*(IF((Backdoors!AI12+IF(GW76&gt;=0.45,VLOOKUP(Calculator!E23,tbSkills!DH3:DI6,2,FALSE)+IF(AND(Calculator!B8=TRUE,Backdoors!BI32=TRUE),VLOOKUP(Calculator!E23,tbSkills!DH3:DJ6,3,FALSE),0),0))&gt;=100,100,(Backdoors!AI12+IF(GW76&gt;=0.45,VLOOKUP(Calculator!E23,tbSkills!DH3:DI6,2,FALSE)+IF(AND(Calculator!B8=TRUE,Backdoors!BI32=TRUE),VLOOKUP(Calculator!E23,tbSkills!DH3:DJ6,3,FALSE),0),0)))/100)),1),1)</f>
        <v>0.6</v>
      </c>
      <c r="HC76" s="87">
        <f t="shared" si="80"/>
        <v>0</v>
      </c>
      <c r="HD76" s="86" t="str">
        <f>IFERROR(IF(VLOOKUP(A76,tbMoveset!A2:B112,2,FALSE)="Sever",Backdoors!AY33/100,IF(VLOOKUP(A76,tbMoveset!A2:B112,2,FALSE)="Blunt",Backdoors!AZ33/100,Backdoors!BA33/100)),"")</f>
        <v/>
      </c>
      <c r="HE76" s="49">
        <f>IFERROR(IF(VLOOKUP(tbMoveset!A76,tbMoveset!A2:H112,8,FALSE)="Other",IF(VLOOKUP(tbMoveset!A76,tbMoveset!A2:I112,9,FALSE)="Fire",Backdoors!BB33,IF(VLOOKUP(tbMoveset!A76,tbMoveset!A2:I112,9,FALSE)="Water",Backdoors!BC33,IF(VLOOKUP(tbMoveset!A76,tbMoveset!A2:I112,9,FALSE)="Thunder",Backdoors!BD33,IF(VLOOKUP(tbMoveset!A76,tbMoveset!A2:I112,9,FALSE)="Ice",Backdoors!BE33,IF(VLOOKUP(tbMoveset!A76,tbMoveset!A2:I112,9,FALSE)="Dragon",Backdoors!BF33,Backdoors!BG33)))))/100,Backdoors!BG33/100),"")</f>
        <v>0</v>
      </c>
      <c r="HF76" s="49">
        <f>IFERROR(IF(VLOOKUP(A76,tbMoveset!A2:J112,10,FALSE)=TRUE,IF((Backdoors!AI12+IF(HD76&gt;=0.45,VLOOKUP(Calculator!E23,tbSkills!DH3:DI6,2,FALSE)+IF(AND(Calculator!B8=TRUE,Backdoors!BI33=TRUE),VLOOKUP(Calculator!E23,tbSkills!DH3:DJ6,3,FALSE),0),0))&gt;=0,1+(Backdoors!AL2*(IF((Backdoors!AI12+IF(HD76&gt;=0.45,VLOOKUP(Calculator!E23,tbSkills!DH3:DI6,2,FALSE)+IF(AND(Calculator!B8=TRUE,Backdoors!BI33=TRUE),VLOOKUP(Calculator!E23,tbSkills!DH3:DJ6,3,FALSE),0),0))&gt;=100,100,(Backdoors!AI12+IF(HD76&gt;=0.45,VLOOKUP(Calculator!E23,tbSkills!DH3:DI6,2,FALSE)+IF(AND(Calculator!B8=TRUE,Backdoors!BI33=TRUE),VLOOKUP(Calculator!E23,tbSkills!DH3:DJ6,3,FALSE),0),0)))/100)),(1-(0.25*((-Backdoors!AI12-IF(HD76&gt;=0.45,VLOOKUP(Calculator!E23,tbSkills!DH3:DI6,2,FALSE)+IF(AND(Calculator!B8=TRUE,Backdoors!BI33=TRUE),VLOOKUP(Calculator!E23,tbSkills!DH3:DJ6,3,FALSE),0),0))/100)))),1),"")</f>
        <v>1</v>
      </c>
      <c r="HG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D76)*HF76)*(VLOOKUP(A76,tbMoveset!A2:C112,3,FALSE)/100)*IF(VLOOKUP(A76,tbMoveset!A2:B112,2,FALSE)="Projectile",Backdoors!N10,Backdoors!N9),0),"")</f>
        <v/>
      </c>
      <c r="HH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D76&gt;=0.45,VLOOKUP(Calculator!E23,tbSkills!DH3:DI6,2,FALSE)+IF(AND(Calculator!B8=TRUE,Backdoors!BI33=TRUE),VLOOKUP(Calculator!E23,tbSkills!DH3:DJ6,3,FALSE),0),0))&gt;=100,100,(Backdoors!AI12+IF(HD76&gt;=0.45,VLOOKUP(Calculator!E23,tbSkills!DH3:DI6,2,FALSE)+IF(AND(Calculator!B8=TRUE,Backdoors!BI33=TRUE),VLOOKUP(Calculator!E23,tbSkills!DH3:DJ6,3,FALSE),0),0)))/100)),1))*IF(VLOOKUP(A76,tbMoveset!A2:K112,11,FALSE)=TRUE,Backdoors!AC5,1))*HE76,0),"")</f>
        <v>0</v>
      </c>
      <c r="HI76" s="49">
        <f>VLOOKUP(A76,tbMoveset!A2:G112,7,FALSE)*IFERROR(IF(Backdoors!AI12&gt;=0,1+(IF(Calculator!E40&gt;0,VLOOKUP(Calculator!E40,tbSkills!AI3:AJ5,2,FALSE),Backdoors!AL4)*(IF((Backdoors!AI12+IF(HD76&gt;=0.45,VLOOKUP(Calculator!E23,tbSkills!DH3:DI6,2,FALSE)+IF(AND(Calculator!B8=TRUE,Backdoors!BI33=TRUE),VLOOKUP(Calculator!E23,tbSkills!DH3:DJ6,3,FALSE),0),0))&gt;=100,100,(Backdoors!AI12+IF(HD76&gt;=0.45,VLOOKUP(Calculator!E23,tbSkills!DH3:DI6,2,FALSE)+IF(AND(Calculator!B8=TRUE,Backdoors!BI33=TRUE),VLOOKUP(Calculator!E23,tbSkills!DH3:DJ6,3,FALSE),0),0)))/100)),1),1)</f>
        <v>0.6</v>
      </c>
      <c r="HJ76" s="87">
        <f t="shared" si="81"/>
        <v>0</v>
      </c>
      <c r="HK76" s="86" t="str">
        <f>IFERROR(IF(VLOOKUP(A76,tbMoveset!A2:B112,2,FALSE)="Sever",Backdoors!AY34/100,IF(VLOOKUP(A76,tbMoveset!A2:B112,2,FALSE)="Blunt",Backdoors!AZ34/100,Backdoors!BA34/100)),"")</f>
        <v/>
      </c>
      <c r="HL76" s="49">
        <f>IFERROR(IF(VLOOKUP(tbMoveset!A76,tbMoveset!A2:H112,8,FALSE)="Other",IF(VLOOKUP(tbMoveset!A76,tbMoveset!A2:I112,9,FALSE)="Fire",Backdoors!BB34,IF(VLOOKUP(tbMoveset!A76,tbMoveset!A2:I112,9,FALSE)="Water",Backdoors!BC34,IF(VLOOKUP(tbMoveset!A76,tbMoveset!A2:I112,9,FALSE)="Thunder",Backdoors!BD34,IF(VLOOKUP(tbMoveset!A76,tbMoveset!A2:I112,9,FALSE)="Ice",Backdoors!BE34,IF(VLOOKUP(tbMoveset!A76,tbMoveset!A2:I112,9,FALSE)="Dragon",Backdoors!BF34,Backdoors!BG34)))))/100,Backdoors!BG34/100),"")</f>
        <v>0</v>
      </c>
      <c r="HM76" s="49">
        <f>IFERROR(IF(VLOOKUP(A76,tbMoveset!A2:J112,10,FALSE)=TRUE,IF((Backdoors!AI12+IF(HK76&gt;=0.45,VLOOKUP(Calculator!E23,tbSkills!DH3:DI6,2,FALSE)+IF(AND(Calculator!B8=TRUE,Backdoors!BI34=TRUE),VLOOKUP(Calculator!E23,tbSkills!DH3:DJ6,3,FALSE),0),0))&gt;=0,1+(Backdoors!AL2*(IF((Backdoors!AI12+IF(HK76&gt;=0.45,VLOOKUP(Calculator!E23,tbSkills!DH3:DI6,2,FALSE)+IF(AND(Calculator!B8=TRUE,Backdoors!BI34=TRUE),VLOOKUP(Calculator!E23,tbSkills!DH3:DJ6,3,FALSE),0),0))&gt;=100,100,(Backdoors!AI12+IF(HK76&gt;=0.45,VLOOKUP(Calculator!E23,tbSkills!DH3:DI6,2,FALSE)+IF(AND(Calculator!B8=TRUE,Backdoors!BI34=TRUE),VLOOKUP(Calculator!E23,tbSkills!DH3:DJ6,3,FALSE),0),0)))/100)),(1-(0.25*((-Backdoors!AI12-IF(HK76&gt;=0.45,VLOOKUP(Calculator!E23,tbSkills!DH3:DI6,2,FALSE)+IF(AND(Calculator!B8=TRUE,Backdoors!BI34=TRUE),VLOOKUP(Calculator!E23,tbSkills!DH3:DJ6,3,FALSE),0),0))/100)))),1),"")</f>
        <v>1</v>
      </c>
      <c r="HN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K76)*HM76)*(VLOOKUP(A76,tbMoveset!A2:C112,3,FALSE)/100)*IF(VLOOKUP(A76,tbMoveset!A2:B112,2,FALSE)="Projectile",Backdoors!N10,Backdoors!N9),0),"")</f>
        <v/>
      </c>
      <c r="HO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K76&gt;=0.45,VLOOKUP(Calculator!E23,tbSkills!DH3:DI6,2,FALSE)+IF(AND(Calculator!B8=TRUE,Backdoors!BI34=TRUE),VLOOKUP(Calculator!E23,tbSkills!DH3:DJ6,3,FALSE),0),0))&gt;=100,100,(Backdoors!AI12+IF(HK76&gt;=0.45,VLOOKUP(Calculator!E23,tbSkills!DH3:DI6,2,FALSE)+IF(AND(Calculator!B8=TRUE,Backdoors!BI34=TRUE),VLOOKUP(Calculator!E23,tbSkills!DH3:DJ6,3,FALSE),0),0)))/100)),1))*IF(VLOOKUP(A76,tbMoveset!A2:K112,11,FALSE)=TRUE,Backdoors!AC5,1))*HL76,0),"")</f>
        <v>0</v>
      </c>
      <c r="HP76" s="49">
        <f>VLOOKUP(A76,tbMoveset!A2:G112,7,FALSE)*IFERROR(IF(Backdoors!AI12&gt;=0,1+(IF(Calculator!E40&gt;0,VLOOKUP(Calculator!E40,tbSkills!AI3:AJ5,2,FALSE),Backdoors!AL4)*(IF((Backdoors!AI12+IF(HK76&gt;=0.45,VLOOKUP(Calculator!E23,tbSkills!DH3:DI6,2,FALSE)+IF(AND(Calculator!B8=TRUE,Backdoors!BI34=TRUE),VLOOKUP(Calculator!E23,tbSkills!DH3:DJ6,3,FALSE),0),0))&gt;=100,100,(Backdoors!AI12+IF(HK76&gt;=0.45,VLOOKUP(Calculator!E23,tbSkills!DH3:DI6,2,FALSE)+IF(AND(Calculator!B8=TRUE,Backdoors!BI34=TRUE),VLOOKUP(Calculator!E23,tbSkills!DH3:DJ6,3,FALSE),0),0)))/100)),1),1)</f>
        <v>0.6</v>
      </c>
      <c r="HQ76" s="87">
        <f t="shared" si="82"/>
        <v>0</v>
      </c>
      <c r="HR76" s="86" t="str">
        <f>IFERROR(IF(VLOOKUP(A76,tbMoveset!A2:B112,2,FALSE)="Sever",Backdoors!AY35/100,IF(VLOOKUP(A76,tbMoveset!A2:B112,2,FALSE)="Blunt",Backdoors!AZ35/100,Backdoors!BA35/100)),"")</f>
        <v/>
      </c>
      <c r="HS76" s="49">
        <f>IFERROR(IF(VLOOKUP(tbMoveset!A76,tbMoveset!A2:H112,8,FALSE)="Other",IF(VLOOKUP(tbMoveset!A76,tbMoveset!A2:I112,9,FALSE)="Fire",Backdoors!BB35,IF(VLOOKUP(tbMoveset!A76,tbMoveset!A2:I112,9,FALSE)="Water",Backdoors!BC35,IF(VLOOKUP(tbMoveset!A76,tbMoveset!A2:I112,9,FALSE)="Thunder",Backdoors!BD35,IF(VLOOKUP(tbMoveset!A76,tbMoveset!A2:I112,9,FALSE)="Ice",Backdoors!BE35,IF(VLOOKUP(tbMoveset!A76,tbMoveset!A2:I112,9,FALSE)="Dragon",Backdoors!BF35,Backdoors!BG35)))))/100,Backdoors!BG35/100),"")</f>
        <v>0</v>
      </c>
      <c r="HT76" s="49">
        <f>IFERROR(IF(VLOOKUP(A76,tbMoveset!A2:J112,10,FALSE)=TRUE,IF((Backdoors!AI12+IF(HR76&gt;=0.45,VLOOKUP(Calculator!E23,tbSkills!DH3:DI6,2,FALSE)+IF(AND(Calculator!B8=TRUE,Backdoors!BI35=TRUE),VLOOKUP(Calculator!E23,tbSkills!DH3:DJ6,3,FALSE),0),0))&gt;=0,1+(Backdoors!AL2*(IF((Backdoors!AI12+IF(HR76&gt;=0.45,VLOOKUP(Calculator!E23,tbSkills!DH3:DI6,2,FALSE)+IF(AND(Calculator!B8=TRUE,Backdoors!BI35=TRUE),VLOOKUP(Calculator!E23,tbSkills!DH3:DJ6,3,FALSE),0),0))&gt;=100,100,(Backdoors!AI12+IF(HR76&gt;=0.45,VLOOKUP(Calculator!E23,tbSkills!DH3:DI6,2,FALSE)+IF(AND(Calculator!B8=TRUE,Backdoors!BI35=TRUE),VLOOKUP(Calculator!E23,tbSkills!DH3:DJ6,3,FALSE),0),0)))/100)),(1-(0.25*((-Backdoors!AI12-IF(HR76&gt;=0.45,VLOOKUP(Calculator!E23,tbSkills!DH3:DI6,2,FALSE)+IF(AND(Calculator!B8=TRUE,Backdoors!BI35=TRUE),VLOOKUP(Calculator!E23,tbSkills!DH3:DJ6,3,FALSE),0),0))/100)))),1),"")</f>
        <v>1</v>
      </c>
      <c r="HU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R76)*HT76)*(VLOOKUP(A76,tbMoveset!A2:C112,3,FALSE)/100)*IF(VLOOKUP(A76,tbMoveset!A2:B112,2,FALSE)="Projectile",Backdoors!N10,Backdoors!N9),0),"")</f>
        <v/>
      </c>
      <c r="HV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R76&gt;=0.45,VLOOKUP(Calculator!E23,tbSkills!DH3:DI6,2,FALSE)+IF(AND(Calculator!B8=TRUE,Backdoors!BI35=TRUE),VLOOKUP(Calculator!E23,tbSkills!DH3:DJ6,3,FALSE),0),0))&gt;=100,100,(Backdoors!AI12+IF(HR76&gt;=0.45,VLOOKUP(Calculator!E23,tbSkills!DH3:DI6,2,FALSE)+IF(AND(Calculator!B8=TRUE,Backdoors!BI35=TRUE),VLOOKUP(Calculator!E23,tbSkills!DH3:DJ6,3,FALSE),0),0)))/100)),1))*IF(VLOOKUP(A76,tbMoveset!A2:K112,11,FALSE)=TRUE,Backdoors!AC5,1))*HS76,0),"")</f>
        <v>0</v>
      </c>
      <c r="HW76" s="49">
        <f>VLOOKUP(A76,tbMoveset!A2:G112,7,FALSE)*IFERROR(IF(Backdoors!AI12&gt;=0,1+(IF(Calculator!E40&gt;0,VLOOKUP(Calculator!E40,tbSkills!AI3:AJ5,2,FALSE),Backdoors!AL4)*(IF((Backdoors!AI12+IF(HR76&gt;=0.45,VLOOKUP(Calculator!E23,tbSkills!DH3:DI6,2,FALSE)+IF(AND(Calculator!B8=TRUE,Backdoors!BI35=TRUE),VLOOKUP(Calculator!E23,tbSkills!DH3:DJ6,3,FALSE),0),0))&gt;=100,100,(Backdoors!AI12+IF(HR76&gt;=0.45,VLOOKUP(Calculator!E23,tbSkills!DH3:DI6,2,FALSE)+IF(AND(Calculator!B8=TRUE,Backdoors!BI35=TRUE),VLOOKUP(Calculator!E23,tbSkills!DH3:DJ6,3,FALSE),0),0)))/100)),1),1)</f>
        <v>0.6</v>
      </c>
      <c r="HX76" s="87">
        <f t="shared" si="83"/>
        <v>0</v>
      </c>
      <c r="HY76" s="86" t="str">
        <f>IFERROR(IF(VLOOKUP(A76,tbMoveset!A2:B112,2,FALSE)="Sever",Backdoors!AY36/100,IF(VLOOKUP(A76,tbMoveset!A2:B112,2,FALSE)="Blunt",Backdoors!AZ36/100,Backdoors!BA36/100)),"")</f>
        <v/>
      </c>
      <c r="HZ76" s="49">
        <f>IFERROR(IF(VLOOKUP(tbMoveset!A76,tbMoveset!A2:H112,8,FALSE)="Other",IF(VLOOKUP(tbMoveset!A76,tbMoveset!A2:I112,9,FALSE)="Fire",Backdoors!BB36,IF(VLOOKUP(tbMoveset!A76,tbMoveset!A2:I112,9,FALSE)="Water",Backdoors!BC36,IF(VLOOKUP(tbMoveset!A76,tbMoveset!A2:I112,9,FALSE)="Thunder",Backdoors!BD36,IF(VLOOKUP(tbMoveset!A76,tbMoveset!A2:I112,9,FALSE)="Ice",Backdoors!BE36,IF(VLOOKUP(tbMoveset!A76,tbMoveset!A2:I112,9,FALSE)="Dragon",Backdoors!BF36,Backdoors!BG36)))))/100,Backdoors!BG36/100),"")</f>
        <v>0</v>
      </c>
      <c r="IA76" s="49">
        <f>IFERROR(IF(VLOOKUP(A76,tbMoveset!A2:J112,10,FALSE)=TRUE,IF((Backdoors!AI12+IF(HY76&gt;=0.45,VLOOKUP(Calculator!E23,tbSkills!DH3:DI6,2,FALSE)+IF(AND(Calculator!B8=TRUE,Backdoors!BI36=TRUE),VLOOKUP(Calculator!E23,tbSkills!DH3:DJ6,3,FALSE),0),0))&gt;=0,1+(Backdoors!AL2*(IF((Backdoors!AI12+IF(HY76&gt;=0.45,VLOOKUP(Calculator!E23,tbSkills!DH3:DI6,2,FALSE)+IF(AND(Calculator!B8=TRUE,Backdoors!BI36=TRUE),VLOOKUP(Calculator!E23,tbSkills!DH3:DJ6,3,FALSE),0),0))&gt;=100,100,(Backdoors!AI12+IF(HY76&gt;=0.45,VLOOKUP(Calculator!E23,tbSkills!DH3:DI6,2,FALSE)+IF(AND(Calculator!B8=TRUE,Backdoors!BI36=TRUE),VLOOKUP(Calculator!E23,tbSkills!DH3:DJ6,3,FALSE),0),0)))/100)),(1-(0.25*((-Backdoors!AI12-IF(HY76&gt;=0.45,VLOOKUP(Calculator!E23,tbSkills!DH3:DI6,2,FALSE)+IF(AND(Calculator!B8=TRUE,Backdoors!BI36=TRUE),VLOOKUP(Calculator!E23,tbSkills!DH3:DJ6,3,FALSE),0),0))/100)))),1),"")</f>
        <v>1</v>
      </c>
      <c r="IB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Y76)*IA76)*(VLOOKUP(A76,tbMoveset!A2:C112,3,FALSE)/100)*IF(VLOOKUP(A76,tbMoveset!A2:B112,2,FALSE)="Projectile",Backdoors!N10,Backdoors!N9),0),"")</f>
        <v/>
      </c>
      <c r="IC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Y76&gt;=0.45,VLOOKUP(Calculator!E23,tbSkills!DH3:DI6,2,FALSE)+IF(AND(Calculator!B8=TRUE,Backdoors!BI36=TRUE),VLOOKUP(Calculator!E23,tbSkills!DH3:DJ6,3,FALSE),0),0))&gt;=100,100,(Backdoors!AI12+IF(HY76&gt;=0.45,VLOOKUP(Calculator!E23,tbSkills!DH3:DI6,2,FALSE)+IF(AND(Calculator!B8=TRUE,Backdoors!BI36=TRUE),VLOOKUP(Calculator!E23,tbSkills!DH3:DJ6,3,FALSE),0),0)))/100)),1))*IF(VLOOKUP(A76,tbMoveset!A2:K112,11,FALSE)=TRUE,Backdoors!AC5,1))*HZ76,0),"")</f>
        <v>0</v>
      </c>
      <c r="ID76" s="49">
        <f>VLOOKUP(A76,tbMoveset!A2:G112,7,FALSE)*IFERROR(IF(Backdoors!AI12&gt;=0,1+(IF(Calculator!E40&gt;0,VLOOKUP(Calculator!E40,tbSkills!AI3:AJ5,2,FALSE),Backdoors!AL4)*(IF((Backdoors!AI12+IF(HY76&gt;=0.45,VLOOKUP(Calculator!E23,tbSkills!DH3:DI6,2,FALSE)+IF(AND(Calculator!B8=TRUE,Backdoors!BI36=TRUE),VLOOKUP(Calculator!E23,tbSkills!DH3:DJ6,3,FALSE),0),0))&gt;=100,100,(Backdoors!AI12+IF(HY76&gt;=0.45,VLOOKUP(Calculator!E23,tbSkills!DH3:DI6,2,FALSE)+IF(AND(Calculator!B8=TRUE,Backdoors!BI36=TRUE),VLOOKUP(Calculator!E23,tbSkills!DH3:DJ6,3,FALSE),0),0)))/100)),1),1)</f>
        <v>0.6</v>
      </c>
      <c r="IE76" s="87">
        <f t="shared" si="84"/>
        <v>0</v>
      </c>
      <c r="IF76" s="86" t="str">
        <f>IFERROR(IF(VLOOKUP(A76,tbMoveset!A2:B112,2,FALSE)="Sever",Backdoors!AY37/100,IF(VLOOKUP(A76,tbMoveset!A2:B112,2,FALSE)="Blunt",Backdoors!AZ37/100,Backdoors!BA37/100)),"")</f>
        <v/>
      </c>
      <c r="IG76" s="49">
        <f>IFERROR(IF(VLOOKUP(tbMoveset!A76,tbMoveset!A2:H112,8,FALSE)="Other",IF(VLOOKUP(tbMoveset!A76,tbMoveset!A2:I112,9,FALSE)="Fire",Backdoors!BB37,IF(VLOOKUP(tbMoveset!A76,tbMoveset!A2:I112,9,FALSE)="Water",Backdoors!BC37,IF(VLOOKUP(tbMoveset!A76,tbMoveset!A2:I112,9,FALSE)="Thunder",Backdoors!BD37,IF(VLOOKUP(tbMoveset!A76,tbMoveset!A2:I112,9,FALSE)="Ice",Backdoors!BE37,IF(VLOOKUP(tbMoveset!A76,tbMoveset!A2:I112,9,FALSE)="Dragon",Backdoors!BF37,Backdoors!BG37)))))/100,Backdoors!BG37/100),"")</f>
        <v>0</v>
      </c>
      <c r="IH76" s="49">
        <f>IFERROR(IF(VLOOKUP(A76,tbMoveset!A2:J112,10,FALSE)=TRUE,IF((Backdoors!AI12+IF(IF76&gt;=0.45,VLOOKUP(Calculator!E23,tbSkills!DH3:DI6,2,FALSE)+IF(AND(Calculator!B8=TRUE,Backdoors!BI37=TRUE),VLOOKUP(Calculator!E23,tbSkills!DH3:DJ6,3,FALSE),0),0))&gt;=0,1+(Backdoors!AL2*(IF((Backdoors!AI12+IF(IF76&gt;=0.45,VLOOKUP(Calculator!E23,tbSkills!DH3:DI6,2,FALSE)+IF(AND(Calculator!B8=TRUE,Backdoors!BI37=TRUE),VLOOKUP(Calculator!E23,tbSkills!DH3:DJ6,3,FALSE),0),0))&gt;=100,100,(Backdoors!AI12+IF(IF76&gt;=0.45,VLOOKUP(Calculator!E23,tbSkills!DH3:DI6,2,FALSE)+IF(AND(Calculator!B8=TRUE,Backdoors!BI37=TRUE),VLOOKUP(Calculator!E23,tbSkills!DH3:DJ6,3,FALSE),0),0)))/100)),(1-(0.25*((-Backdoors!AI12-IF(IF76&gt;=0.45,VLOOKUP(Calculator!E23,tbSkills!DH3:DI6,2,FALSE)+IF(AND(Calculator!B8=TRUE,Backdoors!BI37=TRUE),VLOOKUP(Calculator!E23,tbSkills!DH3:DJ6,3,FALSE),0),0))/100)))),1),"")</f>
        <v>1</v>
      </c>
      <c r="II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F76)*IH76)*(VLOOKUP(A76,tbMoveset!A2:C112,3,FALSE)/100)*IF(VLOOKUP(A76,tbMoveset!A2:B112,2,FALSE)="Projectile",Backdoors!N10,Backdoors!N9),0),"")</f>
        <v/>
      </c>
      <c r="IJ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IF76&gt;=0.45,VLOOKUP(Calculator!E23,tbSkills!DH3:DI6,2,FALSE)+IF(AND(Calculator!B8=TRUE,Backdoors!BI37=TRUE),VLOOKUP(Calculator!E23,tbSkills!DH3:DJ6,3,FALSE),0),0))&gt;=100,100,(Backdoors!AI12+IF(IF76&gt;=0.45,VLOOKUP(Calculator!E23,tbSkills!DH3:DI6,2,FALSE)+IF(AND(Calculator!B8=TRUE,Backdoors!BI37=TRUE),VLOOKUP(Calculator!E23,tbSkills!DH3:DJ6,3,FALSE),0),0)))/100)),1))*IF(VLOOKUP(A76,tbMoveset!A2:K112,11,FALSE)=TRUE,Backdoors!AC5,1))*IG76,0),"")</f>
        <v>0</v>
      </c>
      <c r="IK76" s="49">
        <f>VLOOKUP(A76,tbMoveset!A2:G112,7,FALSE)*IFERROR(IF(Backdoors!AI12&gt;=0,1+(IF(Calculator!E40&gt;0,VLOOKUP(Calculator!E40,tbSkills!AI3:AJ5,2,FALSE),Backdoors!AL4)*(IF((Backdoors!AI12+IF(IF76&gt;=0.45,VLOOKUP(Calculator!E23,tbSkills!DH3:DI6,2,FALSE)+IF(AND(Calculator!B8=TRUE,Backdoors!BI37=TRUE),VLOOKUP(Calculator!E23,tbSkills!DH3:DJ6,3,FALSE),0),0))&gt;=100,100,(Backdoors!AI12+IF(IF76&gt;=0.45,VLOOKUP(Calculator!E23,tbSkills!DH3:DI6,2,FALSE)+IF(AND(Calculator!B8=TRUE,Backdoors!BI37=TRUE),VLOOKUP(Calculator!E23,tbSkills!DH3:DJ6,3,FALSE),0),0)))/100)),1),1)</f>
        <v>0.6</v>
      </c>
      <c r="IL76" s="87">
        <f t="shared" si="85"/>
        <v>0</v>
      </c>
      <c r="IM76" s="86" t="str">
        <f>IFERROR(IF(VLOOKUP(A76,tbMoveset!A2:B112,2,FALSE)="Sever",Backdoors!AY38/100,IF(VLOOKUP(A76,tbMoveset!A2:B112,2,FALSE)="Blunt",Backdoors!AZ38/100,Backdoors!BA38/100)),"")</f>
        <v/>
      </c>
      <c r="IN76" s="49">
        <f>IFERROR(IF(VLOOKUP(tbMoveset!A76,tbMoveset!A2:H112,8,FALSE)="Other",IF(VLOOKUP(tbMoveset!A76,tbMoveset!A2:I112,9,FALSE)="Fire",Backdoors!BB38,IF(VLOOKUP(tbMoveset!A76,tbMoveset!A2:I112,9,FALSE)="Water",Backdoors!BC38,IF(VLOOKUP(tbMoveset!A76,tbMoveset!A2:I112,9,FALSE)="Thunder",Backdoors!BD38,IF(VLOOKUP(tbMoveset!A76,tbMoveset!A2:I112,9,FALSE)="Ice",Backdoors!BE38,IF(VLOOKUP(tbMoveset!A76,tbMoveset!A2:I112,9,FALSE)="Dragon",Backdoors!BF38,Backdoors!BG38)))))/100,Backdoors!BG38/100),"")</f>
        <v>0</v>
      </c>
      <c r="IO76" s="49">
        <f>IFERROR(IF(VLOOKUP(A76,tbMoveset!A2:J112,10,FALSE)=TRUE,IF((Backdoors!AI12+IF(IM76&gt;=0.45,VLOOKUP(Calculator!E23,tbSkills!DH3:DI6,2,FALSE)+IF(AND(Calculator!B8=TRUE,Backdoors!BI38=TRUE),VLOOKUP(Calculator!E23,tbSkills!DH3:DJ6,3,FALSE),0),0))&gt;=0,1+(Backdoors!AL2*(IF((Backdoors!AI12+IF(IM76&gt;=0.45,VLOOKUP(Calculator!E23,tbSkills!DH3:DI6,2,FALSE)+IF(AND(Calculator!B8=TRUE,Backdoors!BI38=TRUE),VLOOKUP(Calculator!E23,tbSkills!DH3:DJ6,3,FALSE),0),0))&gt;=100,100,(Backdoors!AI12+IF(IM76&gt;=0.45,VLOOKUP(Calculator!E23,tbSkills!DH3:DI6,2,FALSE)+IF(AND(Calculator!B8=TRUE,Backdoors!BI38=TRUE),VLOOKUP(Calculator!E23,tbSkills!DH3:DJ6,3,FALSE),0),0)))/100)),(1-(0.25*((-Backdoors!AI12-IF(IM76&gt;=0.45,VLOOKUP(Calculator!E23,tbSkills!DH3:DI6,2,FALSE)+IF(AND(Calculator!B8=TRUE,Backdoors!BI38=TRUE),VLOOKUP(Calculator!E23,tbSkills!DH3:DJ6,3,FALSE),0),0))/100)))),1),"")</f>
        <v>1</v>
      </c>
      <c r="IP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M76)*IO76)*(VLOOKUP(A76,tbMoveset!A2:C112,3,FALSE)/100)*IF(VLOOKUP(A76,tbMoveset!A2:B112,2,FALSE)="Projectile",Backdoors!N10,Backdoors!N9),0),"")</f>
        <v/>
      </c>
      <c r="IQ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IM76&gt;=0.45,VLOOKUP(Calculator!E23,tbSkills!DH3:DI6,2,FALSE)+IF(AND(Calculator!B8=TRUE,Backdoors!BI38=TRUE),VLOOKUP(Calculator!E23,tbSkills!DH3:DJ6,3,FALSE),0),0))&gt;=100,100,(Backdoors!AI12+IF(IM76&gt;=0.45,VLOOKUP(Calculator!E23,tbSkills!DH3:DI6,2,FALSE)+IF(AND(Calculator!B8=TRUE,Backdoors!BI38=TRUE),VLOOKUP(Calculator!E23,tbSkills!DH3:DJ6,3,FALSE),0),0)))/100)),1))*IF(VLOOKUP(A76,tbMoveset!A2:K112,11,FALSE)=TRUE,Backdoors!AC5,1))*IN76,0),"")</f>
        <v>0</v>
      </c>
      <c r="IR76" s="49">
        <f>VLOOKUP(A76,tbMoveset!A2:G112,7,FALSE)*IFERROR(IF(Backdoors!AI12&gt;=0,1+(IF(Calculator!E40&gt;0,VLOOKUP(Calculator!E40,tbSkills!AI3:AJ5,2,FALSE),Backdoors!AL4)*(IF((Backdoors!AI12+IF(IM76&gt;=0.45,VLOOKUP(Calculator!E23,tbSkills!DH3:DI6,2,FALSE)+IF(AND(Calculator!B8=TRUE,Backdoors!BI38=TRUE),VLOOKUP(Calculator!E23,tbSkills!DH3:DJ6,3,FALSE),0),0))&gt;=100,100,(Backdoors!AI12+IF(IM76&gt;=0.45,VLOOKUP(Calculator!E23,tbSkills!DH3:DI6,2,FALSE)+IF(AND(Calculator!B8=TRUE,Backdoors!BI38=TRUE),VLOOKUP(Calculator!E23,tbSkills!DH3:DJ6,3,FALSE),0),0)))/100)),1),1)</f>
        <v>0.6</v>
      </c>
      <c r="IS76" s="87">
        <f t="shared" si="86"/>
        <v>0</v>
      </c>
      <c r="IT76" s="86" t="str">
        <f>IFERROR(IF(VLOOKUP(A76,tbMoveset!A2:B112,2,FALSE)="Sever",Backdoors!AY39/100,IF(VLOOKUP(A76,tbMoveset!A2:B112,2,FALSE)="Blunt",Backdoors!AZ39/100,Backdoors!BA39/100)),"")</f>
        <v/>
      </c>
      <c r="IU76" s="49">
        <f>IFERROR(IF(VLOOKUP(tbMoveset!A76,tbMoveset!A2:H112,8,FALSE)="Other",IF(VLOOKUP(tbMoveset!A76,tbMoveset!A2:I112,9,FALSE)="Fire",Backdoors!BB39,IF(VLOOKUP(tbMoveset!A76,tbMoveset!A2:I112,9,FALSE)="Water",Backdoors!BC39,IF(VLOOKUP(tbMoveset!A76,tbMoveset!A2:I112,9,FALSE)="Thunder",Backdoors!BD39,IF(VLOOKUP(tbMoveset!A76,tbMoveset!A2:I112,9,FALSE)="Ice",Backdoors!BE39,IF(VLOOKUP(tbMoveset!A76,tbMoveset!A2:I112,9,FALSE)="Dragon",Backdoors!BF39,Backdoors!BG39)))))/100,Backdoors!BG39/100),"")</f>
        <v>0</v>
      </c>
      <c r="IV76" s="49">
        <f>IFERROR(IF(VLOOKUP(A76,tbMoveset!A2:J112,10,FALSE)=TRUE,IF((Backdoors!AI12+IF(IT76&gt;=0.45,VLOOKUP(Calculator!E23,tbSkills!DH3:DI6,2,FALSE)+IF(AND(Calculator!B8=TRUE,Backdoors!BI39=TRUE),VLOOKUP(Calculator!E23,tbSkills!DH3:DJ6,3,FALSE),0),0))&gt;=0,1+(Backdoors!AL2*(IF((Backdoors!AI12+IF(IT76&gt;=0.45,VLOOKUP(Calculator!E23,tbSkills!DH3:DI6,2,FALSE)+IF(AND(Calculator!B8=TRUE,Backdoors!BI39=TRUE),VLOOKUP(Calculator!E23,tbSkills!DH3:DJ6,3,FALSE),0),0))&gt;=100,100,(Backdoors!AI12+IF(IT76&gt;=0.45,VLOOKUP(Calculator!E23,tbSkills!DH3:DI6,2,FALSE)+IF(AND(Calculator!B8=TRUE,Backdoors!BI39=TRUE),VLOOKUP(Calculator!E23,tbSkills!DH3:DJ6,3,FALSE),0),0)))/100)),(1-(0.25*((-Backdoors!AI12-IF(IT76&gt;=0.45,VLOOKUP(Calculator!E23,tbSkills!DH3:DI6,2,FALSE)+IF(AND(Calculator!B8=TRUE,Backdoors!BI39=TRUE),VLOOKUP(Calculator!E23,tbSkills!DH3:DJ6,3,FALSE),0),0))/100)))),1),"")</f>
        <v>1</v>
      </c>
      <c r="IW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T76)*IV76)*(VLOOKUP(A76,tbMoveset!A2:C112,3,FALSE)/100)*IF(VLOOKUP(A76,tbMoveset!A2:B112,2,FALSE)="Projectile",Backdoors!N10,Backdoors!N9),0),"")</f>
        <v/>
      </c>
      <c r="IX76" s="49">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40&gt;0,VLOOKUP(Calculator!E40,tbSkills!AC3:AD5,2,FALSE),Backdoors!AL3)*(IF((Backdoors!AI12+IF(IT76&gt;=0.45,VLOOKUP(Calculator!E23,tbSkills!DH3:DI6,2,FALSE)+IF(AND(Calculator!B8=TRUE,Backdoors!BI39=TRUE),VLOOKUP(Calculator!E23,tbSkills!DH3:DJ6,3,FALSE),0),0))&gt;=100,100,(Backdoors!AI12+IF(IT76&gt;=0.45,VLOOKUP(Calculator!E23,tbSkills!DH3:DI6,2,FALSE)+IF(AND(Calculator!B8=TRUE,Backdoors!BI39=TRUE),VLOOKUP(Calculator!E23,tbSkills!DH3:DJ6,3,FALSE),0),0)))/100)),1))*IF(VLOOKUP(A76,tbMoveset!A2:K112,11,FALSE)=TRUE,Backdoors!AC5,1))*IU76,0),"")</f>
        <v>0</v>
      </c>
      <c r="IY76" s="49">
        <f>VLOOKUP(A76,tbMoveset!A2:G112,7,FALSE)*IFERROR(IF(Backdoors!AI12&gt;=0,1+(IF(Calculator!E40&gt;0,VLOOKUP(Calculator!E40,tbSkills!AI3:AJ5,2,FALSE),Backdoors!AL4)*(IF((Backdoors!AI12+IF(IT76&gt;=0.45,VLOOKUP(Calculator!E23,tbSkills!DH3:DI6,2,FALSE)+IF(AND(Calculator!B8=TRUE,Backdoors!BI39=TRUE),VLOOKUP(Calculator!E23,tbSkills!DH3:DJ6,3,FALSE),0),0))&gt;=100,100,(Backdoors!AI12+IF(IT76&gt;=0.45,VLOOKUP(Calculator!E23,tbSkills!DH3:DI6,2,FALSE)+IF(AND(Calculator!B8=TRUE,Backdoors!BI39=TRUE),VLOOKUP(Calculator!E23,tbSkills!DH3:DJ6,3,FALSE),0),0)))/100)),1),1)</f>
        <v>0.6</v>
      </c>
      <c r="IZ76" s="87">
        <f t="shared" si="87"/>
        <v>0</v>
      </c>
      <c r="JA76" s="86" t="str">
        <f>IFERROR(IF(VLOOKUP(A76,tbMoveset!A2:B112,2,FALSE)="Sever",Backdoors!AY40/100,IF(VLOOKUP(A76,tbMoveset!A2:B112,2,FALSE)="Blunt",Backdoors!AZ40/100,Backdoors!BA40/100)),"")</f>
        <v/>
      </c>
      <c r="JB76" s="49">
        <f>IFERROR(IF(VLOOKUP(tbMoveset!A76,tbMoveset!A2:H112,8,FALSE)="Other",IF(VLOOKUP(tbMoveset!A76,tbMoveset!A2:I112,9,FALSE)="Fire",Backdoors!BB40,IF(VLOOKUP(tbMoveset!A76,tbMoveset!A2:I112,9,FALSE)="Water",Backdoors!BC40,IF(VLOOKUP(tbMoveset!A76,tbMoveset!A2:I112,9,FALSE)="Thunder",Backdoors!BD40,IF(VLOOKUP(tbMoveset!A76,tbMoveset!A2:I112,9,FALSE)="Ice",Backdoors!BE40,IF(VLOOKUP(tbMoveset!A76,tbMoveset!A2:I112,9,FALSE)="Dragon",Backdoors!BF40,Backdoors!BG40)))))/100,Backdoors!BG40/100),"")</f>
        <v>0</v>
      </c>
      <c r="JC76" s="49">
        <f>IFERROR(IF(VLOOKUP(A76,tbMoveset!A2:J112,10,FALSE)=TRUE,IF((Backdoors!AI12+IF(JA76&gt;=0.45,VLOOKUP(Calculator!E23,tbSkills!DH3:DI6,2,FALSE)+IF(AND(Calculator!B8=TRUE,Backdoors!BI40=TRUE),VLOOKUP(Calculator!E23,tbSkills!DH3:DJ6,3,FALSE),0),0))&gt;=0,1+(Backdoors!AL2*(IF((Backdoors!AI12+IF(JA76&gt;=0.45,VLOOKUP(Calculator!E23,tbSkills!DH3:DI6,2,FALSE)+IF(AND(Calculator!B8=TRUE,Backdoors!BI40=TRUE),VLOOKUP(Calculator!E23,tbSkills!DH3:DJ6,3,FALSE),0),0))&gt;=100,100,(Backdoors!AI12+IF(JA76&gt;=0.45,VLOOKUP(Calculator!E23,tbSkills!DH3:DI6,2,FALSE)+IF(AND(Calculator!B8=TRUE,Backdoors!BI40=TRUE),VLOOKUP(Calculator!E23,tbSkills!DH3:DJ6,3,FALSE),0),0)))/100)),(1-(0.25*((-Backdoors!AI12-IF(JA76&gt;=0.45,VLOOKUP(Calculator!E23,tbSkills!DH3:DI6,2,FALSE)+IF(AND(Calculator!B8=TRUE,Backdoors!BI40=TRUE),VLOOKUP(Calculator!E23,tbSkills!DH3:DJ6,3,FALSE),0),0))/100)))),1),"")</f>
        <v>1</v>
      </c>
      <c r="JD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A76)*JC76)*(VLOOKUP(A76,tbMoveset!A2:C112,3,FALSE)/100)*IF(VLOOKUP(A76,tbMoveset!A2:B112,2,FALSE)="Projectile",Backdoors!N10,Backdoors!N9),0),"")</f>
        <v/>
      </c>
      <c r="JE76" s="49">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42&gt;0,VLOOKUP(Calculator!E42,tbSkills!AC3:AD5,2,FALSE),Backdoors!AL3)*(IF((Backdoors!AI12+IF(JA76&gt;=0.45,VLOOKUP(Calculator!E23,tbSkills!DH3:DI6,2,FALSE)+IF(AND(Calculator!B8=TRUE,Backdoors!BI40=TRUE),VLOOKUP(Calculator!E23,tbSkills!DH3:DJ6,3,FALSE),0),0))&gt;=100,100,(Backdoors!AI12+IF(JA76&gt;=0.45,VLOOKUP(Calculator!E23,tbSkills!DH3:DI6,2,FALSE)+IF(AND(Calculator!B8=TRUE,Backdoors!BI40=TRUE),VLOOKUP(Calculator!E23,tbSkills!DH3:DJ6,3,FALSE),0),0)))/100)),1))*IF(VLOOKUP(A76,tbMoveset!A2:K112,11,FALSE)=TRUE,Backdoors!AC5,1))*JB76,0),"")</f>
        <v>0</v>
      </c>
      <c r="JF76" s="49">
        <f>VLOOKUP(A76,tbMoveset!A2:G112,7,FALSE)*IFERROR(IF(Backdoors!AI12&gt;=0,1+(IF(Calculator!E40&gt;0,VLOOKUP(Calculator!E40,tbSkills!AI3:AJ5,2,FALSE),Backdoors!AL4)*(IF((Backdoors!AI12+IF(JA76&gt;=0.45,VLOOKUP(Calculator!E23,tbSkills!DH3:DI6,2,FALSE)+IF(AND(Calculator!B8=TRUE,Backdoors!BI40=TRUE),VLOOKUP(Calculator!E23,tbSkills!DH3:DJ6,3,FALSE),0),0))&gt;=100,100,(Backdoors!AI12+IF(JA76&gt;=0.45,VLOOKUP(Calculator!E23,tbSkills!DH3:DI6,2,FALSE)+IF(AND(Calculator!B8=TRUE,Backdoors!BI40=TRUE),VLOOKUP(Calculator!E23,tbSkills!DH3:DJ6,3,FALSE),0),0)))/100)),1),1)</f>
        <v>0.6</v>
      </c>
      <c r="JG76" s="87">
        <f t="shared" si="88"/>
        <v>0</v>
      </c>
      <c r="JH76" s="86" t="str">
        <f>IFERROR(IF(VLOOKUP(A76,tbMoveset!A2:B112,2,FALSE)="Sever",Backdoors!AY41/100,IF(VLOOKUP(A76,tbMoveset!A2:B112,2,FALSE)="Blunt",Backdoors!AZ41/100,Backdoors!BA41/100)),"")</f>
        <v/>
      </c>
      <c r="JI76" s="49">
        <f>IFERROR(IF(VLOOKUP(tbMoveset!A76,tbMoveset!A2:H112,8,FALSE)="Other",IF(VLOOKUP(tbMoveset!A76,tbMoveset!A2:I112,9,FALSE)="Fire",Backdoors!BB41,IF(VLOOKUP(tbMoveset!A76,tbMoveset!A2:I112,9,FALSE)="Water",Backdoors!BC41,IF(VLOOKUP(tbMoveset!A76,tbMoveset!A2:I112,9,FALSE)="Thunder",Backdoors!BD41,IF(VLOOKUP(tbMoveset!A76,tbMoveset!A2:I112,9,FALSE)="Ice",Backdoors!BE41,IF(VLOOKUP(tbMoveset!A76,tbMoveset!A2:I112,9,FALSE)="Dragon",Backdoors!BF41,Backdoors!BG41)))))/100,Backdoors!BG41/100),"")</f>
        <v>0</v>
      </c>
      <c r="JJ76" s="49">
        <f>IFERROR(IF(VLOOKUP(A76,tbMoveset!A2:J112,10,FALSE)=TRUE,IF((Backdoors!AI12+IF(JH76&gt;=0.45,VLOOKUP(Calculator!E23,tbSkills!DH3:DI6,2,FALSE)+IF(AND(Calculator!B8=TRUE,Backdoors!BI41=TRUE),VLOOKUP(Calculator!E23,tbSkills!DH3:DJ6,3,FALSE),0),0))&gt;=0,1+(Backdoors!AL2*(IF((Backdoors!AI12+IF(JH76&gt;=0.45,VLOOKUP(Calculator!E23,tbSkills!DH3:DI6,2,FALSE)+IF(AND(Calculator!B8=TRUE,Backdoors!BI41=TRUE),VLOOKUP(Calculator!E23,tbSkills!DH3:DJ6,3,FALSE),0),0))&gt;=100,100,(Backdoors!AI12+IF(JH76&gt;=0.45,VLOOKUP(Calculator!E23,tbSkills!DH3:DI6,2,FALSE)+IF(AND(Calculator!B8=TRUE,Backdoors!BI41=TRUE),VLOOKUP(Calculator!E23,tbSkills!DH3:DJ6,3,FALSE),0),0)))/100)),(1-(0.25*((-Backdoors!AI12-IF(JH76&gt;=0.45,VLOOKUP(Calculator!E23,tbSkills!DH3:DI6,2,FALSE)+IF(AND(Calculator!B8=TRUE,Backdoors!BI41=TRUE),VLOOKUP(Calculator!E23,tbSkills!DH3:DJ6,3,FALSE),0),0))/100)))),1),"")</f>
        <v>1</v>
      </c>
      <c r="JK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H76)*JJ76)*(VLOOKUP(A76,tbMoveset!A2:C112,3,FALSE)/100)*IF(VLOOKUP(A76,tbMoveset!A2:B112,2,FALSE)="Projectile",Backdoors!N10,Backdoors!N9),0),"")</f>
        <v/>
      </c>
      <c r="JL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43&gt;0,VLOOKUP(Calculator!E43,tbSkills!AC3:AD5,2,FALSE),Backdoors!AL3)*(IF((Backdoors!AI12+IF(JH76&gt;=0.45,VLOOKUP(Calculator!E23,tbSkills!DH3:DI6,2,FALSE)+IF(AND(Calculator!B8=TRUE,Backdoors!BI41=TRUE),VLOOKUP(Calculator!E23,tbSkills!DH3:DJ6,3,FALSE),0),0))&gt;=100,100,(Backdoors!AI12+IF(JH76&gt;=0.45,VLOOKUP(Calculator!E23,tbSkills!DH3:DI6,2,FALSE)+IF(AND(Calculator!B8=TRUE,Backdoors!BI41=TRUE),VLOOKUP(Calculator!E23,tbSkills!DH3:DJ6,3,FALSE),0),0)))/100)),1))*IF(VLOOKUP(A76,tbMoveset!A2:K112,11,FALSE)=TRUE,Backdoors!AC5,1))*JI76,0),"")</f>
        <v/>
      </c>
      <c r="JM76" s="49">
        <f>VLOOKUP(A76,tbMoveset!A2:G112,7,FALSE)*IFERROR(IF(Backdoors!AI12&gt;=0,1+(IF(Calculator!E40&gt;0,VLOOKUP(Calculator!E40,tbSkills!AI3:AJ5,2,FALSE),Backdoors!AL4)*(IF((Backdoors!AI12+IF(JH76&gt;=0.45,VLOOKUP(Calculator!E23,tbSkills!DH3:DI6,2,FALSE)+IF(AND(Calculator!B8=TRUE,Backdoors!BI41=TRUE),VLOOKUP(Calculator!E23,tbSkills!DH3:DJ6,3,FALSE),0),0))&gt;=100,100,(Backdoors!AI12+IF(JH76&gt;=0.45,VLOOKUP(Calculator!E23,tbSkills!DH3:DI6,2,FALSE)+IF(AND(Calculator!B8=TRUE,Backdoors!BI41=TRUE),VLOOKUP(Calculator!E23,tbSkills!DH3:DJ6,3,FALSE),0),0)))/100)),1),1)</f>
        <v>0.6</v>
      </c>
      <c r="JN76" s="87">
        <f t="shared" si="89"/>
        <v>0</v>
      </c>
      <c r="JO76" s="86" t="str">
        <f>IFERROR(IF(VLOOKUP(A76,tbMoveset!A2:B112,2,FALSE)="Sever",Backdoors!AY42/100,IF(VLOOKUP(A76,tbMoveset!A2:B112,2,FALSE)="Blunt",Backdoors!AZ42/100,Backdoors!BA42/100)),"")</f>
        <v/>
      </c>
      <c r="JP76" s="49">
        <f>IFERROR(IF(VLOOKUP(tbMoveset!A76,tbMoveset!A2:H112,8,FALSE)="Other",IF(VLOOKUP(tbMoveset!A76,tbMoveset!A2:I112,9,FALSE)="Fire",Backdoors!BB42,IF(VLOOKUP(tbMoveset!A76,tbMoveset!A2:I112,9,FALSE)="Water",Backdoors!BC42,IF(VLOOKUP(tbMoveset!A76,tbMoveset!A2:I112,9,FALSE)="Thunder",Backdoors!BD42,IF(VLOOKUP(tbMoveset!A76,tbMoveset!A2:I112,9,FALSE)="Ice",Backdoors!BE42,IF(VLOOKUP(tbMoveset!A76,tbMoveset!A2:I112,9,FALSE)="Dragon",Backdoors!BF42,Backdoors!BG42)))))/100,Backdoors!BG42/100),"")</f>
        <v>0</v>
      </c>
      <c r="JQ76" s="49">
        <f>IFERROR(IF(VLOOKUP(A76,tbMoveset!A2:J112,10,FALSE)=TRUE,IF((Backdoors!AI12+IF(JO76&gt;=0.45,VLOOKUP(Calculator!E23,tbSkills!DH3:DI6,2,FALSE)+IF(AND(Calculator!B8=TRUE,Backdoors!BI42=TRUE),VLOOKUP(Calculator!E23,tbSkills!DH3:DJ6,3,FALSE),0),0))&gt;=0,1+(Backdoors!AL2*(IF((Backdoors!AI12+IF(JO76&gt;=0.45,VLOOKUP(Calculator!E23,tbSkills!DH3:DI6,2,FALSE)+IF(AND(Calculator!B8=TRUE,Backdoors!BI42=TRUE),VLOOKUP(Calculator!E23,tbSkills!DH3:DJ6,3,FALSE),0),0))&gt;=100,100,(Backdoors!AI12+IF(JO76&gt;=0.45,VLOOKUP(Calculator!E23,tbSkills!DH3:DI6,2,FALSE)+IF(AND(Calculator!B8=TRUE,Backdoors!BI42=TRUE),VLOOKUP(Calculator!E23,tbSkills!DH3:DJ6,3,FALSE),0),0)))/100)),(1-(0.25*((-Backdoors!AI12-IF(JO76&gt;=0.45,VLOOKUP(Calculator!E23,tbSkills!DH3:DI6,2,FALSE)+IF(AND(Calculator!B8=TRUE,Backdoors!BI42=TRUE),VLOOKUP(Calculator!E23,tbSkills!DH3:DJ6,3,FALSE),0),0))/100)))),1),"")</f>
        <v>1</v>
      </c>
      <c r="JR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O76)*JQ76)*(VLOOKUP(A76,tbMoveset!A2:C112,3,FALSE)/100)*IF(VLOOKUP(A76,tbMoveset!A2:B112,2,FALSE)="Projectile",Backdoors!N10,Backdoors!N9),0),"")</f>
        <v/>
      </c>
      <c r="JS76" s="49">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45&gt;0,VLOOKUP(Calculator!E45,tbSkills!AC3:AD5,2,FALSE),Backdoors!AL3)*(IF((Backdoors!AI12+IF(JO76&gt;=0.45,VLOOKUP(Calculator!E23,tbSkills!DH3:DI6,2,FALSE)+IF(AND(Calculator!B8=TRUE,Backdoors!BI42=TRUE),VLOOKUP(Calculator!E23,tbSkills!DH3:DJ6,3,FALSE),0),0))&gt;=100,100,(Backdoors!AI12+IF(JO76&gt;=0.45,VLOOKUP(Calculator!E23,tbSkills!DH3:DI6,2,FALSE)+IF(AND(Calculator!B8=TRUE,Backdoors!BI42=TRUE),VLOOKUP(Calculator!E23,tbSkills!DH3:DJ6,3,FALSE),0),0)))/100)),1))*IF(VLOOKUP(A76,tbMoveset!A2:K112,11,FALSE)=TRUE,Backdoors!AC5,1))*JP76,0),"")</f>
        <v>0</v>
      </c>
      <c r="JT76" s="49">
        <f>VLOOKUP(A76,tbMoveset!A2:G112,7,FALSE)*IFERROR(IF(Backdoors!AI12&gt;=0,1+(IF(Calculator!E40&gt;0,VLOOKUP(Calculator!E40,tbSkills!AI3:AJ5,2,FALSE),Backdoors!AL4)*(IF((Backdoors!AI12+IF(JO76&gt;=0.45,VLOOKUP(Calculator!E23,tbSkills!DH3:DI6,2,FALSE)+IF(AND(Calculator!B8=TRUE,Backdoors!BI42=TRUE),VLOOKUP(Calculator!E23,tbSkills!DH3:DJ6,3,FALSE),0),0))&gt;=100,100,(Backdoors!AI12+IF(JO76&gt;=0.45,VLOOKUP(Calculator!E23,tbSkills!DH3:DI6,2,FALSE)+IF(AND(Calculator!B8=TRUE,Backdoors!BI42=TRUE),VLOOKUP(Calculator!E23,tbSkills!DH3:DJ6,3,FALSE),0),0)))/100)),1),1)</f>
        <v>0.6</v>
      </c>
      <c r="JU76" s="87">
        <f t="shared" si="90"/>
        <v>0</v>
      </c>
      <c r="JV76" s="86" t="str">
        <f>IFERROR(IF(VLOOKUP(A76,tbMoveset!A2:B112,2,FALSE)="Sever",Backdoors!AY43/100,IF(VLOOKUP(A76,tbMoveset!A2:B112,2,FALSE)="Blunt",Backdoors!AZ43/100,Backdoors!BA43/100)),"")</f>
        <v/>
      </c>
      <c r="JW76" s="49">
        <f>IFERROR(IF(VLOOKUP(tbMoveset!A76,tbMoveset!A2:H112,8,FALSE)="Other",IF(VLOOKUP(tbMoveset!A76,tbMoveset!A2:I112,9,FALSE)="Fire",Backdoors!BB43,IF(VLOOKUP(tbMoveset!A76,tbMoveset!A2:I112,9,FALSE)="Water",Backdoors!BC43,IF(VLOOKUP(tbMoveset!A76,tbMoveset!A2:I112,9,FALSE)="Thunder",Backdoors!BD43,IF(VLOOKUP(tbMoveset!A76,tbMoveset!A2:I112,9,FALSE)="Ice",Backdoors!BE43,IF(VLOOKUP(tbMoveset!A76,tbMoveset!A2:I112,9,FALSE)="Dragon",Backdoors!BF43,Backdoors!BG43)))))/100,Backdoors!BG43/100),"")</f>
        <v>0</v>
      </c>
      <c r="JX76" s="49">
        <f>IFERROR(IF(VLOOKUP(A76,tbMoveset!A2:J112,10,FALSE)=TRUE,IF((Backdoors!AI12+IF(JV76&gt;=0.45,VLOOKUP(Calculator!E23,tbSkills!DH3:DI6,2,FALSE)+IF(AND(Calculator!B8=TRUE,Backdoors!BI43=TRUE),VLOOKUP(Calculator!E23,tbSkills!DH3:DJ6,3,FALSE),0),0))&gt;=0,1+(Backdoors!AL2*(IF((Backdoors!AI12+IF(JV76&gt;=0.45,VLOOKUP(Calculator!E23,tbSkills!DH3:DI6,2,FALSE)+IF(AND(Calculator!B8=TRUE,Backdoors!BI43=TRUE),VLOOKUP(Calculator!E23,tbSkills!DH3:DJ6,3,FALSE),0),0))&gt;=100,100,(Backdoors!AI12+IF(JV76&gt;=0.45,VLOOKUP(Calculator!E23,tbSkills!DH3:DI6,2,FALSE)+IF(AND(Calculator!B8=TRUE,Backdoors!BI43=TRUE),VLOOKUP(Calculator!E23,tbSkills!DH3:DJ6,3,FALSE),0),0)))/100)),(1-(0.25*((-Backdoors!AI12-IF(JV76&gt;=0.45,VLOOKUP(Calculator!E23,tbSkills!DH3:DI6,2,FALSE)+IF(AND(Calculator!B8=TRUE,Backdoors!BI43=TRUE),VLOOKUP(Calculator!E23,tbSkills!DH3:DJ6,3,FALSE),0),0))/100)))),1),"")</f>
        <v>1</v>
      </c>
      <c r="JY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V76)*JX76)*(VLOOKUP(A76,tbMoveset!A2:C112,3,FALSE)/100)*IF(VLOOKUP(A76,tbMoveset!A2:B112,2,FALSE)="Projectile",Backdoors!N10,Backdoors!N9),0),"")</f>
        <v/>
      </c>
      <c r="JZ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46&gt;0,VLOOKUP(Calculator!E46,tbSkills!AC3:AD5,2,FALSE),Backdoors!AL3)*(IF((Backdoors!AI12+IF(JV76&gt;=0.45,VLOOKUP(Calculator!E23,tbSkills!DH3:DI6,2,FALSE)+IF(AND(Calculator!B8=TRUE,Backdoors!BI43=TRUE),VLOOKUP(Calculator!E23,tbSkills!DH3:DJ6,3,FALSE),0),0))&gt;=100,100,(Backdoors!AI12+IF(JV76&gt;=0.45,VLOOKUP(Calculator!E23,tbSkills!DH3:DI6,2,FALSE)+IF(AND(Calculator!B8=TRUE,Backdoors!BI43=TRUE),VLOOKUP(Calculator!E23,tbSkills!DH3:DJ6,3,FALSE),0),0)))/100)),1))*IF(VLOOKUP(A76,tbMoveset!A2:K112,11,FALSE)=TRUE,Backdoors!AC5,1))*JW76,0),"")</f>
        <v/>
      </c>
      <c r="KA76" s="49">
        <f>VLOOKUP(A76,tbMoveset!A2:G112,7,FALSE)*IFERROR(IF(Backdoors!AI12&gt;=0,1+(IF(Calculator!E40&gt;0,VLOOKUP(Calculator!E40,tbSkills!AI3:AJ5,2,FALSE),Backdoors!AL4)*(IF((Backdoors!AI12+IF(JV76&gt;=0.45,VLOOKUP(Calculator!E23,tbSkills!DH3:DI6,2,FALSE)+IF(AND(Calculator!B8=TRUE,Backdoors!BI43=TRUE),VLOOKUP(Calculator!E23,tbSkills!DH3:DJ6,3,FALSE),0),0))&gt;=100,100,(Backdoors!AI12+IF(JV76&gt;=0.45,VLOOKUP(Calculator!E23,tbSkills!DH3:DI6,2,FALSE)+IF(AND(Calculator!B8=TRUE,Backdoors!BI43=TRUE),VLOOKUP(Calculator!E23,tbSkills!DH3:DJ6,3,FALSE),0),0)))/100)),1),1)</f>
        <v>0.6</v>
      </c>
      <c r="KB76" s="87">
        <f t="shared" si="91"/>
        <v>0</v>
      </c>
      <c r="KC76" s="86" t="str">
        <f>IFERROR(IF(VLOOKUP(A76,tbMoveset!A2:B112,2,FALSE)="Sever",Backdoors!AY44/100,IF(VLOOKUP(A76,tbMoveset!A2:B112,2,FALSE)="Blunt",Backdoors!AZ44/100,Backdoors!BA44/100)),"")</f>
        <v/>
      </c>
      <c r="KD76" s="49">
        <f>IFERROR(IF(VLOOKUP(tbMoveset!A76,tbMoveset!A2:H112,8,FALSE)="Other",IF(VLOOKUP(tbMoveset!A76,tbMoveset!A2:I112,9,FALSE)="Fire",Backdoors!BB44,IF(VLOOKUP(tbMoveset!A76,tbMoveset!A2:I112,9,FALSE)="Water",Backdoors!BC44,IF(VLOOKUP(tbMoveset!A76,tbMoveset!A2:I112,9,FALSE)="Thunder",Backdoors!BD44,IF(VLOOKUP(tbMoveset!A76,tbMoveset!A2:I112,9,FALSE)="Ice",Backdoors!BE44,IF(VLOOKUP(tbMoveset!A76,tbMoveset!A2:I112,9,FALSE)="Dragon",Backdoors!BF44,Backdoors!BG44)))))/100,Backdoors!BG44/100),"")</f>
        <v>0</v>
      </c>
      <c r="KE76" s="49">
        <f>IFERROR(IF(VLOOKUP(A76,tbMoveset!A2:J112,10,FALSE)=TRUE,IF((Backdoors!AI12+IF(KC76&gt;=0.45,VLOOKUP(Calculator!E23,tbSkills!DH3:DI6,2,FALSE)+IF(AND(Calculator!B8=TRUE,Backdoors!BI44=TRUE),VLOOKUP(Calculator!E23,tbSkills!DH3:DJ6,3,FALSE),0),0))&gt;=0,1+(Backdoors!AL2*(IF((Backdoors!AI12+IF(KC76&gt;=0.45,VLOOKUP(Calculator!E23,tbSkills!DH3:DI6,2,FALSE)+IF(AND(Calculator!B8=TRUE,Backdoors!BI44=TRUE),VLOOKUP(Calculator!E23,tbSkills!DH3:DJ6,3,FALSE),0),0))&gt;=100,100,(Backdoors!AI12+IF(KC76&gt;=0.45,VLOOKUP(Calculator!E23,tbSkills!DH3:DI6,2,FALSE)+IF(AND(Calculator!B8=TRUE,Backdoors!BI44=TRUE),VLOOKUP(Calculator!E23,tbSkills!DH3:DJ6,3,FALSE),0),0)))/100)),(1-(0.25*((-Backdoors!AI12-IF(KC76&gt;=0.45,VLOOKUP(Calculator!E23,tbSkills!DH3:DI6,2,FALSE)+IF(AND(Calculator!B8=TRUE,Backdoors!BI44=TRUE),VLOOKUP(Calculator!E23,tbSkills!DH3:DJ6,3,FALSE),0),0))/100)))),1),"")</f>
        <v>1</v>
      </c>
      <c r="KF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KC76)*KE76)*(VLOOKUP(A76,tbMoveset!A2:C112,3,FALSE)/100)*IF(VLOOKUP(A76,tbMoveset!A2:B112,2,FALSE)="Projectile",Backdoors!N10,Backdoors!N9),0),"")</f>
        <v/>
      </c>
      <c r="KG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REF!&gt;0,VLOOKUP(Calculator!#REF!,tbSkills!AC3:AD5,2,FALSE),Backdoors!AL3)*(IF((Backdoors!AI12+IF(KC76&gt;=0.45,VLOOKUP(Calculator!E23,tbSkills!DH3:DI6,2,FALSE)+IF(AND(Calculator!B8=TRUE,Backdoors!BI44=TRUE),VLOOKUP(Calculator!E23,tbSkills!DH3:DJ6,3,FALSE),0),0))&gt;=100,100,(Backdoors!AI12+IF(KC76&gt;=0.45,VLOOKUP(Calculator!E23,tbSkills!DH3:DI6,2,FALSE)+IF(AND(Calculator!B8=TRUE,Backdoors!BI44=TRUE),VLOOKUP(Calculator!E23,tbSkills!DH3:DJ6,3,FALSE),0),0)))/100)),1))*IF(VLOOKUP(A76,tbMoveset!A2:K112,11,FALSE)=TRUE,Backdoors!AC5,1))*KD76,0),"")</f>
        <v/>
      </c>
      <c r="KH76" s="49">
        <f>VLOOKUP(A76,tbMoveset!A2:G112,7,FALSE)*IFERROR(IF(Backdoors!AI12&gt;=0,1+(IF(Calculator!E40&gt;0,VLOOKUP(Calculator!E40,tbSkills!AI3:AJ5,2,FALSE),Backdoors!AL4)*(IF((Backdoors!AI12+IF(KC76&gt;=0.45,VLOOKUP(Calculator!E23,tbSkills!DH3:DI6,2,FALSE)+IF(AND(Calculator!B8=TRUE,Backdoors!BI44=TRUE),VLOOKUP(Calculator!E23,tbSkills!DH3:DJ6,3,FALSE),0),0))&gt;=100,100,(Backdoors!AI12+IF(KC76&gt;=0.45,VLOOKUP(Calculator!E23,tbSkills!DH3:DI6,2,FALSE)+IF(AND(Calculator!B8=TRUE,Backdoors!BI44=TRUE),VLOOKUP(Calculator!E23,tbSkills!DH3:DJ6,3,FALSE),0),0)))/100)),1),1)</f>
        <v>0.6</v>
      </c>
      <c r="KI76" s="87">
        <f t="shared" si="92"/>
        <v>0</v>
      </c>
      <c r="KJ76" s="86" t="str">
        <f>IFERROR(IF(VLOOKUP(A76,tbMoveset!A2:B112,2,FALSE)="Sever",Backdoors!AY45/100,IF(VLOOKUP(A76,tbMoveset!A2:B112,2,FALSE)="Blunt",Backdoors!AZ45/100,Backdoors!BA45/100)),"")</f>
        <v/>
      </c>
      <c r="KK76" s="49">
        <f>IFERROR(IF(VLOOKUP(tbMoveset!A76,tbMoveset!A2:H112,8,FALSE)="Other",IF(VLOOKUP(tbMoveset!A76,tbMoveset!A2:I112,9,FALSE)="Fire",Backdoors!BB45,IF(VLOOKUP(tbMoveset!A76,tbMoveset!A2:I112,9,FALSE)="Water",Backdoors!BC45,IF(VLOOKUP(tbMoveset!A76,tbMoveset!A2:I112,9,FALSE)="Thunder",Backdoors!BD45,IF(VLOOKUP(tbMoveset!A76,tbMoveset!A2:I112,9,FALSE)="Ice",Backdoors!BE45,IF(VLOOKUP(tbMoveset!A76,tbMoveset!A2:I112,9,FALSE)="Dragon",Backdoors!BF45,Backdoors!BG45)))))/100,Backdoors!BG45/100),"")</f>
        <v>0</v>
      </c>
      <c r="KL76" s="49">
        <f>IFERROR(IF(VLOOKUP(A76,tbMoveset!A2:J112,10,FALSE)=TRUE,IF((Backdoors!AI12+IF(KJ76&gt;=0.45,VLOOKUP(Calculator!E23,tbSkills!DH3:DI6,2,FALSE)+IF(AND(Calculator!B8=TRUE,Backdoors!BI45=TRUE),VLOOKUP(Calculator!E23,tbSkills!DH3:DJ6,3,FALSE),0),0))&gt;=0,1+(Backdoors!AL2*(IF((Backdoors!AI12+IF(KJ76&gt;=0.45,VLOOKUP(Calculator!E23,tbSkills!DH3:DI6,2,FALSE)+IF(AND(Calculator!B8=TRUE,Backdoors!BI45=TRUE),VLOOKUP(Calculator!E23,tbSkills!DH3:DJ6,3,FALSE),0),0))&gt;=100,100,(Backdoors!AI12+IF(KJ76&gt;=0.45,VLOOKUP(Calculator!E23,tbSkills!DH3:DI6,2,FALSE)+IF(AND(Calculator!B8=TRUE,Backdoors!BI45=TRUE),VLOOKUP(Calculator!E23,tbSkills!DH3:DJ6,3,FALSE),0),0)))/100)),(1-(0.25*((-Backdoors!AI12-IF(KJ76&gt;=0.45,VLOOKUP(Calculator!E23,tbSkills!DH3:DI6,2,FALSE)+IF(AND(Calculator!B8=TRUE,Backdoors!BI45=TRUE),VLOOKUP(Calculator!E23,tbSkills!DH3:DJ6,3,FALSE),0),0))/100)))),1),"")</f>
        <v>1</v>
      </c>
      <c r="KM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KJ76)*KL76)*(VLOOKUP(A76,tbMoveset!A2:C112,3,FALSE)/100)*IF(VLOOKUP(A76,tbMoveset!A2:B112,2,FALSE)="Projectile",Backdoors!N10,Backdoors!N9),0),"")</f>
        <v/>
      </c>
      <c r="KN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REF!&gt;0,VLOOKUP(Calculator!#REF!,tbSkills!AC3:AD5,2,FALSE),Backdoors!AL3)*(IF((Backdoors!AI12+IF(KJ76&gt;=0.45,VLOOKUP(Calculator!E23,tbSkills!DH3:DI6,2,FALSE)+IF(AND(Calculator!B8=TRUE,Backdoors!BI45=TRUE),VLOOKUP(Calculator!E23,tbSkills!DH3:DJ6,3,FALSE),0),0))&gt;=100,100,(Backdoors!AI12+IF(KJ76&gt;=0.45,VLOOKUP(Calculator!E23,tbSkills!DH3:DI6,2,FALSE)+IF(AND(Calculator!B8=TRUE,Backdoors!BI45=TRUE),VLOOKUP(Calculator!E23,tbSkills!DH3:DJ6,3,FALSE),0),0)))/100)),1))*IF(VLOOKUP(A76,tbMoveset!A2:K112,11,FALSE)=TRUE,Backdoors!AC5,1))*KK76,0),"")</f>
        <v/>
      </c>
      <c r="KO76" s="49">
        <f>VLOOKUP(A76,tbMoveset!A2:G112,7,FALSE)*IFERROR(IF(Backdoors!AI12&gt;=0,1+(IF(Calculator!E40&gt;0,VLOOKUP(Calculator!E40,tbSkills!AI3:AJ5,2,FALSE),Backdoors!AL4)*(IF((Backdoors!AI12+IF(KJ76&gt;=0.45,VLOOKUP(Calculator!E23,tbSkills!DH3:DI6,2,FALSE)+IF(AND(Calculator!B8=TRUE,Backdoors!BI45=TRUE),VLOOKUP(Calculator!E23,tbSkills!DH3:DJ6,3,FALSE),0),0))&gt;=100,100,(Backdoors!AI12+IF(KJ76&gt;=0.45,VLOOKUP(Calculator!E23,tbSkills!DH3:DI6,2,FALSE)+IF(AND(Calculator!B8=TRUE,Backdoors!BI45=TRUE),VLOOKUP(Calculator!E23,tbSkills!DH3:DJ6,3,FALSE),0),0)))/100)),1),1)</f>
        <v>0.6</v>
      </c>
      <c r="KP76" s="87">
        <f t="shared" si="93"/>
        <v>0</v>
      </c>
      <c r="KQ76" s="86" t="str">
        <f>IFERROR(IF(VLOOKUP(A76,tbMoveset!A2:B112,2,FALSE)="Sever",Backdoors!AY46/100,IF(VLOOKUP(A76,tbMoveset!A2:B112,2,FALSE)="Blunt",Backdoors!AZ46/100,Backdoors!BA46/100)),"")</f>
        <v/>
      </c>
      <c r="KR76" s="49">
        <f>IFERROR(IF(VLOOKUP(tbMoveset!A76,tbMoveset!A2:H112,8,FALSE)="Other",IF(VLOOKUP(tbMoveset!A76,tbMoveset!A2:I112,9,FALSE)="Fire",Backdoors!BB46,IF(VLOOKUP(tbMoveset!A76,tbMoveset!A2:I112,9,FALSE)="Water",Backdoors!BC46,IF(VLOOKUP(tbMoveset!A76,tbMoveset!A2:I112,9,FALSE)="Thunder",Backdoors!BD46,IF(VLOOKUP(tbMoveset!A76,tbMoveset!A2:I112,9,FALSE)="Ice",Backdoors!BE46,IF(VLOOKUP(tbMoveset!A76,tbMoveset!A2:I112,9,FALSE)="Dragon",Backdoors!BF46,Backdoors!BG46)))))/100,Backdoors!BG46/100),"")</f>
        <v>0</v>
      </c>
      <c r="KS76" s="49">
        <f>IFERROR(IF(VLOOKUP(A76,tbMoveset!A2:J112,10,FALSE)=TRUE,IF((Backdoors!AI12+IF(KQ76&gt;=0.45,VLOOKUP(Calculator!E23,tbSkills!DH3:DI6,2,FALSE)+IF(AND(Calculator!B8=TRUE,Backdoors!BI46=TRUE),VLOOKUP(Calculator!E23,tbSkills!DH3:DJ6,3,FALSE),0),0))&gt;=0,1+(Backdoors!AL2*(IF((Backdoors!AI12+IF(KQ76&gt;=0.45,VLOOKUP(Calculator!E23,tbSkills!DH3:DI6,2,FALSE)+IF(AND(Calculator!B8=TRUE,Backdoors!BI46=TRUE),VLOOKUP(Calculator!E23,tbSkills!DH3:DJ6,3,FALSE),0),0))&gt;=100,100,(Backdoors!AI12+IF(KQ76&gt;=0.45,VLOOKUP(Calculator!E23,tbSkills!DH3:DI6,2,FALSE)+IF(AND(Calculator!B8=TRUE,Backdoors!BI46=TRUE),VLOOKUP(Calculator!E23,tbSkills!DH3:DJ6,3,FALSE),0),0)))/100)),(1-(0.25*((-Backdoors!AI12-IF(KQ76&gt;=0.45,VLOOKUP(Calculator!E23,tbSkills!DH3:DI6,2,FALSE)+IF(AND(Calculator!B8=TRUE,Backdoors!BI46=TRUE),VLOOKUP(Calculator!E23,tbSkills!DH3:DJ6,3,FALSE),0),0))/100)))),1),"")</f>
        <v>1</v>
      </c>
      <c r="KT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KQ76)*KS76)*(VLOOKUP(A76,tbMoveset!A2:C112,3,FALSE)/100)*IF(VLOOKUP(A76,tbMoveset!A2:B112,2,FALSE)="Projectile",Backdoors!N10,Backdoors!N9),0),"")</f>
        <v/>
      </c>
      <c r="KU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REF!&gt;0,VLOOKUP(Calculator!#REF!,tbSkills!AC3:AD5,2,FALSE),Backdoors!AL3)*(IF((Backdoors!AI12+IF(KQ76&gt;=0.45,VLOOKUP(Calculator!E23,tbSkills!DH3:DI6,2,FALSE)+IF(AND(Calculator!B8=TRUE,Backdoors!BI46=TRUE),VLOOKUP(Calculator!E23,tbSkills!DH3:DJ6,3,FALSE),0),0))&gt;=100,100,(Backdoors!AI12+IF(KQ76&gt;=0.45,VLOOKUP(Calculator!E23,tbSkills!DH3:DI6,2,FALSE)+IF(AND(Calculator!B8=TRUE,Backdoors!BI46=TRUE),VLOOKUP(Calculator!E23,tbSkills!DH3:DJ6,3,FALSE),0),0)))/100)),1))*IF(VLOOKUP(A76,tbMoveset!A2:K112,11,FALSE)=TRUE,Backdoors!AC5,1))*KR76,0),"")</f>
        <v/>
      </c>
      <c r="KV76" s="49">
        <f>VLOOKUP(A76,tbMoveset!A2:G112,7,FALSE)*IFERROR(IF(Backdoors!AI12&gt;=0,1+(IF(Calculator!E40&gt;0,VLOOKUP(Calculator!E40,tbSkills!AI3:AJ5,2,FALSE),Backdoors!AL4)*(IF((Backdoors!AI12+IF(KQ76&gt;=0.45,VLOOKUP(Calculator!E23,tbSkills!DH3:DI6,2,FALSE)+IF(AND(Calculator!B8=TRUE,Backdoors!BI46=TRUE),VLOOKUP(Calculator!E23,tbSkills!DH3:DJ6,3,FALSE),0),0))&gt;=100,100,(Backdoors!AI12+IF(KQ76&gt;=0.45,VLOOKUP(Calculator!E23,tbSkills!DH3:DI6,2,FALSE)+IF(AND(Calculator!B8=TRUE,Backdoors!BI46=TRUE),VLOOKUP(Calculator!E23,tbSkills!DH3:DJ6,3,FALSE),0),0)))/100)),1),1)</f>
        <v>0.6</v>
      </c>
      <c r="KW76" s="87">
        <f t="shared" si="94"/>
        <v>0</v>
      </c>
    </row>
    <row r="77" spans="1:309" x14ac:dyDescent="0.25">
      <c r="A77" s="95" t="str">
        <f>tbMoveset!A77</f>
        <v>Midair Spinning Blade Dance (R1)</v>
      </c>
      <c r="B77" s="86">
        <f>IFERROR(IF(VLOOKUP(A77,tbMoveset!A2:B112,2,FALSE)="Sever",Backdoors!AY3/100,IF(VLOOKUP(A77,tbMoveset!A2:B112,2,FALSE)="Blunt",Backdoors!AZ3/100,Backdoors!BA3/100)),"")</f>
        <v>0.8</v>
      </c>
      <c r="C77" s="49">
        <f>IFERROR(IF(VLOOKUP(tbMoveset!A77,tbMoveset!A2:H112,8,FALSE)="Other",IF(VLOOKUP(tbMoveset!A77,tbMoveset!A2:I112,9,FALSE)="Fire",Backdoors!BB3,IF(VLOOKUP(tbMoveset!A77,tbMoveset!A2:I112,9,FALSE)="Water",Backdoors!BC3,IF(VLOOKUP(tbMoveset!A77,tbMoveset!A2:I112,9,FALSE)="Thunder",Backdoors!BD3,IF(VLOOKUP(tbMoveset!A77,tbMoveset!A2:I112,9,FALSE)="Ice",Backdoors!BE3,IF(VLOOKUP(tbMoveset!A77,tbMoveset!A2:I112,9,FALSE)="Dragon",Backdoors!BF3,Backdoors!BG3)))))/100,Backdoors!BG3/100),"")</f>
        <v>0</v>
      </c>
      <c r="D77" s="49">
        <f>IFERROR(IF(VLOOKUP(A77,tbMoveset!A2:J112,10,FALSE)=TRUE,IF((Backdoors!AI12+IF(B77&gt;=0.45,VLOOKUP(Calculator!E23,tbSkills!DH3:DI6,2,FALSE)+IF(AND(Calculator!B8=TRUE,Backdoors!BI3=TRUE),VLOOKUP(Calculator!E23,tbSkills!DH3:DJ6,3,FALSE),0),0))&gt;=0,1+(Backdoors!AL2*(IF((Backdoors!AI12+IF(B77&gt;=0.45,VLOOKUP(Calculator!E23,tbSkills!DH3:DI6,2,FALSE)+IF(AND(Calculator!B8=TRUE,Backdoors!BI3=TRUE),VLOOKUP(Calculator!E23,tbSkills!DH3:DJ6,3,FALSE),0),0))&gt;=100,100,(Backdoors!AI12+IF(B77&gt;=0.45,VLOOKUP(Calculator!E23,tbSkills!DH3:DI6,2,FALSE)+IF(AND(Calculator!B8=TRUE,Backdoors!BI3=TRUE),VLOOKUP(Calculator!E23,tbSkills!DH3:DJ6,3,FALSE),0),0)))/100)),(1-(0.25*((-Backdoors!AI12-IF(B77&gt;=0.45,VLOOKUP(Calculator!E23,tbSkills!DH3:DI6,2,FALSE)+IF(AND(Calculator!B8=TRUE,Backdoors!BI3=TRUE),VLOOKUP(Calculator!E23,tbSkills!DH3:DJ6,3,FALSE),0),0))/100)))),1),"")</f>
        <v>1</v>
      </c>
      <c r="E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77)*D77)*(VLOOKUP(A77,tbMoveset!A2:C112,3,FALSE)/100)*IF(VLOOKUP(A77,tbMoveset!A2:B112,2,FALSE)="Projectile",Backdoors!N10,Backdoors!N9),0),"")</f>
        <v>7</v>
      </c>
      <c r="F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77&gt;=0.45,VLOOKUP(Calculator!E23,tbSkills!DH3:DI6,2,FALSE)+IF(AND(Calculator!B8=TRUE,Backdoors!BI3=TRUE),VLOOKUP(Calculator!E23,tbSkills!DH3:DJ6,3,FALSE),0),0))&gt;=100,100,(Backdoors!AI12+IF(B77&gt;=0.45,VLOOKUP(Calculator!E23,tbSkills!DH3:DI6,2,FALSE)+IF(AND(Calculator!B8=TRUE,Backdoors!BI3=TRUE),VLOOKUP(Calculator!E23,tbSkills!DH3:DJ6,3,FALSE),0),0)))/100)),1))*IF(VLOOKUP(A77,tbMoveset!A2:K112,11,FALSE)=TRUE,Backdoors!AC5,1))*C77,0),"")</f>
        <v>0</v>
      </c>
      <c r="G77">
        <f>VLOOKUP(A77,tbMoveset!A2:G112,7,FALSE)*IFERROR(IF(Backdoors!AI12&gt;=0,1+(IF(Calculator!E40&gt;0,VLOOKUP(Calculator!E40,tbSkills!AI3:AJ5,2,FALSE),Backdoors!AL4)*(IF((Backdoors!AI12+IF(B77&gt;=0.45,VLOOKUP(Calculator!E23,tbSkills!DH3:DI6,2,FALSE)+IF(AND(Calculator!B8=TRUE,Backdoors!BI3=TRUE),VLOOKUP(Calculator!E23,tbSkills!DH3:DJ6,3,FALSE),0),0))&gt;=100,100,(Backdoors!AI12+IF(B77&gt;=0.45,VLOOKUP(Calculator!E23,tbSkills!DH3:DI6,2,FALSE)+IF(AND(Calculator!B8=TRUE,Backdoors!BI3=TRUE),VLOOKUP(Calculator!E23,tbSkills!DH3:DJ6,3,FALSE),0),0)))/100)),1),1)</f>
        <v>0.4</v>
      </c>
      <c r="H77" s="87">
        <f t="shared" si="51"/>
        <v>7</v>
      </c>
      <c r="I77" s="86">
        <f>IFERROR(IF(VLOOKUP(A77,tbMoveset!A2:B112,2,FALSE)="Sever",Backdoors!AY4/100,IF(VLOOKUP(A77,tbMoveset!A2:B112,2,FALSE)="Blunt",Backdoors!AZ4/100,Backdoors!BA4/100)),"")</f>
        <v>0.65</v>
      </c>
      <c r="J77" s="49">
        <f>IFERROR(IF(VLOOKUP(tbMoveset!A77,tbMoveset!A2:H112,8,FALSE)="Other",IF(VLOOKUP(tbMoveset!A77,tbMoveset!A2:I112,9,FALSE)="Fire",Backdoors!BB4,IF(VLOOKUP(tbMoveset!A77,tbMoveset!A2:I112,9,FALSE)="Water",Backdoors!BC4,IF(VLOOKUP(tbMoveset!A77,tbMoveset!A2:I112,9,FALSE)="Thunder",Backdoors!BD4,IF(VLOOKUP(tbMoveset!A77,tbMoveset!A2:I112,9,FALSE)="Ice",Backdoors!BE4,IF(VLOOKUP(tbMoveset!A77,tbMoveset!A2:I112,9,FALSE)="Dragon",Backdoors!BF4,Backdoors!BG4)))))/100,Backdoors!BG4/100),"")</f>
        <v>0</v>
      </c>
      <c r="K77" s="49">
        <f>IFERROR(IF(VLOOKUP(A77,tbMoveset!A2:J112,10,FALSE)=TRUE,IF((Backdoors!AI12+IF(I77&gt;=0.45,VLOOKUP(Calculator!E23,tbSkills!DH3:DI6,2,FALSE)+IF(AND(Calculator!B8=TRUE,Backdoors!BI4=TRUE),VLOOKUP(Calculator!E23,tbSkills!DH3:DJ6,3,FALSE),0),0))&gt;=0,1+(Backdoors!AL2*(IF((Backdoors!AI12+IF(I77&gt;=0.45,VLOOKUP(Calculator!E23,tbSkills!DH3:DI6,2,FALSE)+IF(AND(Calculator!B8=TRUE,Backdoors!BI4=TRUE),VLOOKUP(Calculator!E23,tbSkills!DH3:DJ6,3,FALSE),0),0))&gt;=100,100,(Backdoors!AI12+IF(I77&gt;=0.45,VLOOKUP(Calculator!E23,tbSkills!DH3:DI6,2,FALSE)+IF(AND(Calculator!B8=TRUE,Backdoors!BI4=TRUE),VLOOKUP(Calculator!E23,tbSkills!DH3:DJ6,3,FALSE),0),0)))/100)),(1-(0.25*((-Backdoors!AI12-IF(I77&gt;=0.45,VLOOKUP(Calculator!E23,tbSkills!DH3:DI6,2,FALSE)+IF(AND(Calculator!B8=TRUE,Backdoors!BI4=TRUE),VLOOKUP(Calculator!E23,tbSkills!DH3:DJ6,3,FALSE),0),0))/100)))),1),"")</f>
        <v>1</v>
      </c>
      <c r="L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77)*K77)*(VLOOKUP(A77,tbMoveset!A2:C112,3,FALSE)/100)*IF(VLOOKUP(A77,tbMoveset!A2:B112,2,FALSE)="Projectile",Backdoors!N10,Backdoors!N9),0),"")</f>
        <v>5</v>
      </c>
      <c r="M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I77&gt;=0.45,VLOOKUP(Calculator!E23,tbSkills!DH3:DI6,2,FALSE)+IF(AND(Calculator!B8=TRUE,Backdoors!BI4=TRUE),VLOOKUP(Calculator!E23,tbSkills!DH3:DJ6,3,FALSE),0),0))&gt;=100,100,(Backdoors!AI12+IF(I77&gt;=0.45,VLOOKUP(Calculator!E23,tbSkills!DH3:DI6,2,FALSE)+IF(AND(Calculator!B8=TRUE,Backdoors!BI4=TRUE),VLOOKUP(Calculator!E23,tbSkills!DH3:DJ6,3,FALSE),0),0)))/100)),1))*IF(VLOOKUP(A77,tbMoveset!A2:K112,11,FALSE)=TRUE,Backdoors!AC5,1))*J77,0),"")</f>
        <v>0</v>
      </c>
      <c r="N77" s="49">
        <f>VLOOKUP(A77,tbMoveset!A2:G112,7,FALSE)*IFERROR(IF(Backdoors!AI12&gt;=0,1+(IF(Calculator!E40&gt;0,VLOOKUP(Calculator!E40,tbSkills!AI3:AJ5,2,FALSE),Backdoors!AL4)*(IF((Backdoors!AI12+IF(I77&gt;=0.45,VLOOKUP(Calculator!E23,tbSkills!DH3:DI6,2,FALSE)+IF(AND(Calculator!B8=TRUE,Backdoors!BI4=TRUE),VLOOKUP(Calculator!E23,tbSkills!DH3:DJ6,3,FALSE),0),0))&gt;=100,100,(Backdoors!AI12+IF(I77&gt;=0.45,VLOOKUP(Calculator!E23,tbSkills!DH3:DI6,2,FALSE)+IF(AND(Calculator!B8=TRUE,Backdoors!BI4=TRUE),VLOOKUP(Calculator!E23,tbSkills!DH3:DJ6,3,FALSE),0),0)))/100)),1),1)</f>
        <v>0.4</v>
      </c>
      <c r="O77" s="87">
        <f t="shared" si="52"/>
        <v>5</v>
      </c>
      <c r="P77" s="86">
        <f>IFERROR(IF(VLOOKUP(A77,tbMoveset!A2:B112,2,FALSE)="Sever",Backdoors!AY5/100,IF(VLOOKUP(A77,tbMoveset!A2:B112,2,FALSE)="Blunt",Backdoors!AZ5/100,Backdoors!BA5/100)),"")</f>
        <v>0.5</v>
      </c>
      <c r="Q77" s="49">
        <f>IFERROR(IF(VLOOKUP(tbMoveset!A77,tbMoveset!A2:H112,8,FALSE)="Other",IF(VLOOKUP(tbMoveset!A77,tbMoveset!A2:I112,9,FALSE)="Fire",Backdoors!BB5,IF(VLOOKUP(tbMoveset!A77,tbMoveset!A2:I112,9,FALSE)="Water",Backdoors!BC5,IF(VLOOKUP(tbMoveset!A77,tbMoveset!A2:I112,9,FALSE)="Thunder",Backdoors!BD5,IF(VLOOKUP(tbMoveset!A77,tbMoveset!A2:I112,9,FALSE)="Ice",Backdoors!BE5,IF(VLOOKUP(tbMoveset!A77,tbMoveset!A2:I112,9,FALSE)="Dragon",Backdoors!BF5,Backdoors!BG5)))))/100,Backdoors!BG5/100),"")</f>
        <v>0</v>
      </c>
      <c r="R77" s="49">
        <f>IFERROR(IF(VLOOKUP(A77,tbMoveset!A2:J112,10,FALSE)=TRUE,IF((Backdoors!AI12+IF(P77&gt;=0.45,VLOOKUP(Calculator!E23,tbSkills!DH3:DI6,2,FALSE)+IF(AND(Calculator!B8=TRUE,Backdoors!BI5=TRUE),VLOOKUP(Calculator!E23,tbSkills!DH3:DJ6,3,FALSE),0),0))&gt;=0,1+(Backdoors!AL2*(IF((Backdoors!AI12+IF(P77&gt;=0.45,VLOOKUP(Calculator!E23,tbSkills!DH3:DI6,2,FALSE)+IF(AND(Calculator!B8=TRUE,Backdoors!BI5=TRUE),VLOOKUP(Calculator!E23,tbSkills!DH3:DJ6,3,FALSE),0),0))&gt;=100,100,(Backdoors!AI12+IF(P77&gt;=0.45,VLOOKUP(Calculator!E23,tbSkills!DH3:DI6,2,FALSE)+IF(AND(Calculator!B8=TRUE,Backdoors!BI5=TRUE),VLOOKUP(Calculator!E23,tbSkills!DH3:DJ6,3,FALSE),0),0)))/100)),(1-(0.25*((-Backdoors!AI12-IF(P77&gt;=0.45,VLOOKUP(Calculator!E23,tbSkills!DH3:DI6,2,FALSE)+IF(AND(Calculator!B8=TRUE,Backdoors!BI5=TRUE),VLOOKUP(Calculator!E23,tbSkills!DH3:DJ6,3,FALSE),0),0))/100)))),1),"")</f>
        <v>1</v>
      </c>
      <c r="S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P77)*R77)*(VLOOKUP(A77,tbMoveset!A2:C112,3,FALSE)/100)*IF(VLOOKUP(A77,tbMoveset!A2:B112,2,FALSE)="Projectile",Backdoors!N10,Backdoors!N9),0),"")</f>
        <v>4</v>
      </c>
      <c r="T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P77&gt;=0.45,VLOOKUP(Calculator!E23,tbSkills!DH3:DI6,2,FALSE)+IF(AND(Calculator!B8=TRUE,Backdoors!BI5=TRUE),VLOOKUP(Calculator!E23,tbSkills!DH3:DJ6,3,FALSE),0),0))&gt;=100,100,(Backdoors!AI12+IF(P77&gt;=0.45,VLOOKUP(Calculator!E23,tbSkills!DH3:DI6,2,FALSE)+IF(AND(Calculator!B8=TRUE,Backdoors!BI5=TRUE),VLOOKUP(Calculator!E23,tbSkills!DH3:DJ6,3,FALSE),0),0)))/100)),1))*IF(VLOOKUP(A77,tbMoveset!A2:K112,11,FALSE)=TRUE,Backdoors!AC5,1))*Q77,0),"")</f>
        <v>0</v>
      </c>
      <c r="U77" s="49">
        <f>VLOOKUP(A77,tbMoveset!A2:G112,7,FALSE)*IFERROR(IF(Backdoors!AI12&gt;=0,1+(IF(Calculator!E40&gt;0,VLOOKUP(Calculator!E40,tbSkills!AI3:AJ5,2,FALSE),Backdoors!AL4)*(IF((Backdoors!AI12+IF(P77&gt;=0.45,VLOOKUP(Calculator!E23,tbSkills!DH3:DI6,2,FALSE)+IF(AND(Calculator!B8=TRUE,Backdoors!BI5=TRUE),VLOOKUP(Calculator!E23,tbSkills!DH3:DJ6,3,FALSE),0),0))&gt;=100,100,(Backdoors!AI12+IF(P77&gt;=0.45,VLOOKUP(Calculator!E23,tbSkills!DH3:DI6,2,FALSE)+IF(AND(Calculator!B8=TRUE,Backdoors!BI5=TRUE),VLOOKUP(Calculator!E23,tbSkills!DH3:DJ6,3,FALSE),0),0)))/100)),1),1)</f>
        <v>0.4</v>
      </c>
      <c r="V77" s="87">
        <f t="shared" si="53"/>
        <v>4</v>
      </c>
      <c r="W77" s="86">
        <f>IFERROR(IF(VLOOKUP(A77,tbMoveset!A2:B112,2,FALSE)="Sever",Backdoors!AY6/100,IF(VLOOKUP(A77,tbMoveset!A2:B112,2,FALSE)="Blunt",Backdoors!AZ6/100,Backdoors!BA6/100)),"")</f>
        <v>0.45</v>
      </c>
      <c r="X77" s="49">
        <f>IFERROR(IF(VLOOKUP(tbMoveset!A77,tbMoveset!A2:H112,8,FALSE)="Other",IF(VLOOKUP(tbMoveset!A77,tbMoveset!A2:I112,9,FALSE)="Fire",Backdoors!BB6,IF(VLOOKUP(tbMoveset!A77,tbMoveset!A2:I112,9,FALSE)="Water",Backdoors!BC6,IF(VLOOKUP(tbMoveset!A77,tbMoveset!A2:I112,9,FALSE)="Thunder",Backdoors!BD6,IF(VLOOKUP(tbMoveset!A77,tbMoveset!A2:I112,9,FALSE)="Ice",Backdoors!BE6,IF(VLOOKUP(tbMoveset!A77,tbMoveset!A2:I112,9,FALSE)="Dragon",Backdoors!BF6,Backdoors!BG6)))))/100,Backdoors!BG6/100),"")</f>
        <v>0</v>
      </c>
      <c r="Y77" s="49">
        <f>IFERROR(IF(VLOOKUP(A77,tbMoveset!A2:J112,10,FALSE)=TRUE,IF((Backdoors!AI12+IF(W77&gt;=0.45,VLOOKUP(Calculator!E23,tbSkills!DH3:DI6,2,FALSE)+IF(AND(Calculator!B8=TRUE,Backdoors!BI6=TRUE),VLOOKUP(Calculator!E23,tbSkills!DH3:DJ6,3,FALSE),0),0))&gt;=0,1+(Backdoors!AL2*(IF((Backdoors!AI12+IF(W77&gt;=0.45,VLOOKUP(Calculator!E23,tbSkills!DH3:DI6,2,FALSE)+IF(AND(Calculator!B8=TRUE,Backdoors!BI6=TRUE),VLOOKUP(Calculator!E23,tbSkills!DH3:DJ6,3,FALSE),0),0))&gt;=100,100,(Backdoors!AI12+IF(W77&gt;=0.45,VLOOKUP(Calculator!E23,tbSkills!DH3:DI6,2,FALSE)+IF(AND(Calculator!B8=TRUE,Backdoors!BI6=TRUE),VLOOKUP(Calculator!E23,tbSkills!DH3:DJ6,3,FALSE),0),0)))/100)),(1-(0.25*((-Backdoors!AI12-IF(W77&gt;=0.45,VLOOKUP(Calculator!E23,tbSkills!DH3:DI6,2,FALSE)+IF(AND(Calculator!B8=TRUE,Backdoors!BI6=TRUE),VLOOKUP(Calculator!E23,tbSkills!DH3:DJ6,3,FALSE),0),0))/100)))),1),"")</f>
        <v>1</v>
      </c>
      <c r="Z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W77)*Y77)*(VLOOKUP(A77,tbMoveset!A2:C112,3,FALSE)/100)*IF(VLOOKUP(A77,tbMoveset!A2:B112,2,FALSE)="Projectile",Backdoors!N10,Backdoors!N9),0),"")</f>
        <v>4</v>
      </c>
      <c r="AA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W77&gt;=0.45,VLOOKUP(Calculator!E23,tbSkills!DH3:DI6,2,FALSE)+IF(AND(Calculator!B8=TRUE,Backdoors!BI6=TRUE),VLOOKUP(Calculator!E23,tbSkills!DH3:DJ6,3,FALSE),0),0))&gt;=100,100,(Backdoors!AI12+IF(W77&gt;=0.45,VLOOKUP(Calculator!E23,tbSkills!DH3:DI6,2,FALSE)+IF(AND(Calculator!B8=TRUE,Backdoors!BI6=TRUE),VLOOKUP(Calculator!E23,tbSkills!DH3:DJ6,3,FALSE),0),0)))/100)),1))*IF(VLOOKUP(A77,tbMoveset!A2:K112,11,FALSE)=TRUE,Backdoors!AC5,1))*X77,0),"")</f>
        <v>0</v>
      </c>
      <c r="AB77" s="49">
        <f>VLOOKUP(A77,tbMoveset!A2:G112,7,FALSE)*IFERROR(IF(Backdoors!AI12&gt;=0,1+(IF(Calculator!E40&gt;0,VLOOKUP(Calculator!E40,tbSkills!AI3:AJ5,2,FALSE),Backdoors!AL4)*(IF((Backdoors!AI12+IF(W77&gt;=0.45,VLOOKUP(Calculator!E23,tbSkills!DH3:DI6,2,FALSE)+IF(AND(Calculator!B8=TRUE,Backdoors!BI6=TRUE),VLOOKUP(Calculator!E23,tbSkills!DH3:DJ6,3,FALSE),0),0))&gt;=100,100,(Backdoors!AI12+IF(W77&gt;=0.45,VLOOKUP(Calculator!E23,tbSkills!DH3:DI6,2,FALSE)+IF(AND(Calculator!B8=TRUE,Backdoors!BI6=TRUE),VLOOKUP(Calculator!E23,tbSkills!DH3:DJ6,3,FALSE),0),0)))/100)),1),1)</f>
        <v>0.4</v>
      </c>
      <c r="AC77" s="87">
        <f t="shared" si="54"/>
        <v>4</v>
      </c>
      <c r="AD77" s="86">
        <f>IFERROR(IF(VLOOKUP(A77,tbMoveset!A2:B112,2,FALSE)="Sever",Backdoors!AY7/100,IF(VLOOKUP(A77,tbMoveset!A2:B112,2,FALSE)="Blunt",Backdoors!AZ7/100,Backdoors!BA7/100)),"")</f>
        <v>0.65</v>
      </c>
      <c r="AE77" s="49">
        <f>IFERROR(IF(VLOOKUP(tbMoveset!A77,tbMoveset!A2:H112,8,FALSE)="Other",IF(VLOOKUP(tbMoveset!A77,tbMoveset!A2:I112,9,FALSE)="Fire",Backdoors!BB7,IF(VLOOKUP(tbMoveset!A77,tbMoveset!A2:I112,9,FALSE)="Water",Backdoors!BC7,IF(VLOOKUP(tbMoveset!A77,tbMoveset!A2:I112,9,FALSE)="Thunder",Backdoors!BD7,IF(VLOOKUP(tbMoveset!A77,tbMoveset!A2:I112,9,FALSE)="Ice",Backdoors!BE7,IF(VLOOKUP(tbMoveset!A77,tbMoveset!A2:I112,9,FALSE)="Dragon",Backdoors!BF7,Backdoors!BG7)))))/100,Backdoors!BG7/100),"")</f>
        <v>0</v>
      </c>
      <c r="AF77" s="49">
        <f>IFERROR(IF(VLOOKUP(A77,tbMoveset!A2:J112,10,FALSE)=TRUE,IF((Backdoors!AI12+IF(AD77&gt;=0.45,VLOOKUP(Calculator!E23,tbSkills!DH3:DI6,2,FALSE)+IF(AND(Calculator!B8=TRUE,Backdoors!BI7=TRUE),VLOOKUP(Calculator!E23,tbSkills!DH3:DJ6,3,FALSE),0),0))&gt;=0,1+(Backdoors!AL2*(IF((Backdoors!AI12+IF(AD77&gt;=0.45,VLOOKUP(Calculator!E23,tbSkills!DH3:DI6,2,FALSE)+IF(AND(Calculator!B8=TRUE,Backdoors!BI7=TRUE),VLOOKUP(Calculator!E23,tbSkills!DH3:DJ6,3,FALSE),0),0))&gt;=100,100,(Backdoors!AI12+IF(AD77&gt;=0.45,VLOOKUP(Calculator!E23,tbSkills!DH3:DI6,2,FALSE)+IF(AND(Calculator!B8=TRUE,Backdoors!BI7=TRUE),VLOOKUP(Calculator!E23,tbSkills!DH3:DJ6,3,FALSE),0),0)))/100)),(1-(0.25*((-Backdoors!AI12-IF(AD77&gt;=0.45,VLOOKUP(Calculator!E23,tbSkills!DH3:DI6,2,FALSE)+IF(AND(Calculator!B8=TRUE,Backdoors!BI7=TRUE),VLOOKUP(Calculator!E23,tbSkills!DH3:DJ6,3,FALSE),0),0))/100)))),1),"")</f>
        <v>1</v>
      </c>
      <c r="AG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D77)*AF77)*(VLOOKUP(A77,tbMoveset!A2:C112,3,FALSE)/100)*IF(VLOOKUP(A77,tbMoveset!A2:B112,2,FALSE)="Projectile",Backdoors!N10,Backdoors!N9),0),"")</f>
        <v>5</v>
      </c>
      <c r="AH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D77&gt;=0.45,VLOOKUP(Calculator!E23,tbSkills!DH3:DI6,2,FALSE)+IF(AND(Calculator!B8=TRUE,Backdoors!BI7=TRUE),VLOOKUP(Calculator!E23,tbSkills!DH3:DJ6,3,FALSE),0),0))&gt;=100,100,(Backdoors!AI12+IF(AD77&gt;=0.45,VLOOKUP(Calculator!E23,tbSkills!DH3:DI6,2,FALSE)+IF(AND(Calculator!B8=TRUE,Backdoors!BI7=TRUE),VLOOKUP(Calculator!E23,tbSkills!DH3:DJ6,3,FALSE),0),0)))/100)),1))*IF(VLOOKUP(A77,tbMoveset!A2:K112,11,FALSE)=TRUE,Backdoors!AC5,1))*AE77,0),"")</f>
        <v>0</v>
      </c>
      <c r="AI77" s="49">
        <f>VLOOKUP(A77,tbMoveset!A2:G112,7,FALSE)*IFERROR(IF(Backdoors!AI12&gt;=0,1+(IF(Calculator!E40&gt;0,VLOOKUP(Calculator!E40,tbSkills!AI3:AJ5,2,FALSE),Backdoors!AL4)*(IF((Backdoors!AI12+IF(AD77&gt;=0.45,VLOOKUP(Calculator!E23,tbSkills!DH3:DI6,2,FALSE)+IF(AND(Calculator!B8=TRUE,Backdoors!BI7=TRUE),VLOOKUP(Calculator!E23,tbSkills!DH3:DJ6,3,FALSE),0),0))&gt;=100,100,(Backdoors!AI12+IF(AD77&gt;=0.45,VLOOKUP(Calculator!E23,tbSkills!DH3:DI6,2,FALSE)+IF(AND(Calculator!B8=TRUE,Backdoors!BI7=TRUE),VLOOKUP(Calculator!E23,tbSkills!DH3:DJ6,3,FALSE),0),0)))/100)),1),1)</f>
        <v>0.4</v>
      </c>
      <c r="AJ77" s="87">
        <f t="shared" si="55"/>
        <v>5</v>
      </c>
      <c r="AK77" s="91">
        <f>IFERROR(IF(VLOOKUP(A77,tbMoveset!A2:B112,2,FALSE)="Sever",Backdoors!AY8/100,IF(VLOOKUP(A77,tbMoveset!A2:B112,2,FALSE)="Blunt",Backdoors!AZ8/100,Backdoors!BA8/100)),"")</f>
        <v>0.45</v>
      </c>
      <c r="AL77" s="49">
        <f>IFERROR(IF(VLOOKUP(tbMoveset!A77,tbMoveset!A2:H112,8,FALSE)="Other",IF(VLOOKUP(tbMoveset!A77,tbMoveset!A2:I112,9,FALSE)="Fire",Backdoors!BB8,IF(VLOOKUP(tbMoveset!A77,tbMoveset!A2:I112,9,FALSE)="Water",Backdoors!BC8,IF(VLOOKUP(tbMoveset!A77,tbMoveset!A2:I112,9,FALSE)="Thunder",Backdoors!BD8,IF(VLOOKUP(tbMoveset!A77,tbMoveset!A2:I112,9,FALSE)="Ice",Backdoors!BE8,IF(VLOOKUP(tbMoveset!A77,tbMoveset!A2:I112,9,FALSE)="Dragon",Backdoors!BF8,Backdoors!BG8)))))/100,Backdoors!BG8/100),"")</f>
        <v>0</v>
      </c>
      <c r="AM77" s="49">
        <f>IFERROR(IF(VLOOKUP(A77,tbMoveset!A2:J112,10,FALSE)=TRUE,IF((Backdoors!AI12+IF(AK77&gt;=0.45,VLOOKUP(Calculator!E23,tbSkills!DH3:DI6,2,FALSE)+IF(AND(Calculator!B8=TRUE,Backdoors!BI8=TRUE),VLOOKUP(Calculator!E23,tbSkills!DH3:DJ6,3,FALSE),0),0))&gt;=0,1+(Backdoors!AL2*(IF((Backdoors!AI12+IF(AK77&gt;=0.45,VLOOKUP(Calculator!E23,tbSkills!DH3:DI6,2,FALSE)+IF(AND(Calculator!B8=TRUE,Backdoors!BI8=TRUE),VLOOKUP(Calculator!E23,tbSkills!DH3:DJ6,3,FALSE),0),0))&gt;=100,100,(Backdoors!AI12+IF(AK77&gt;=0.45,VLOOKUP(Calculator!E23,tbSkills!DH3:DI6,2,FALSE)+IF(AND(Calculator!B8=TRUE,Backdoors!BI8=TRUE),VLOOKUP(Calculator!E23,tbSkills!DH3:DJ6,3,FALSE),0),0)))/100)),(1-(0.25*((-Backdoors!AI12-IF(AK77&gt;=0.45,VLOOKUP(Calculator!E23,tbSkills!DH3:DI6,2,FALSE)+IF(AND(Calculator!B8=TRUE,Backdoors!BI8=TRUE),VLOOKUP(Calculator!E23,tbSkills!DH3:DJ6,3,FALSE),0),0))/100)))),1),"")</f>
        <v>1</v>
      </c>
      <c r="AN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K77)*AM77)*(VLOOKUP(A77,tbMoveset!A2:C112,3,FALSE)/100)*IF(VLOOKUP(A77,tbMoveset!A2:B112,2,FALSE)="Projectile",Backdoors!N10,Backdoors!N9),0),"")</f>
        <v>4</v>
      </c>
      <c r="AO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K77&gt;=0.45,VLOOKUP(Calculator!E23,tbSkills!DH3:DI6,2,FALSE)+IF(AND(Calculator!B8=TRUE,Backdoors!BI8=TRUE),VLOOKUP(Calculator!E23,tbSkills!DH3:DJ6,3,FALSE),0),0))&gt;=100,100,(Backdoors!AI12+IF(AK77&gt;=0.45,VLOOKUP(Calculator!E23,tbSkills!DH3:DI6,2,FALSE)+IF(AND(Calculator!B8=TRUE,Backdoors!BI8=TRUE),VLOOKUP(Calculator!E23,tbSkills!DH3:DJ6,3,FALSE),0),0)))/100)),1))*IF(VLOOKUP(A77,tbMoveset!A2:K112,11,FALSE)=TRUE,Backdoors!AC5,1))*AL77,0),"")</f>
        <v>0</v>
      </c>
      <c r="AP77" s="49">
        <f>VLOOKUP(A77,tbMoveset!A2:G112,7,FALSE)*IFERROR(IF(Backdoors!AI12&gt;=0,1+(IF(Calculator!E40&gt;0,VLOOKUP(Calculator!E40,tbSkills!AI3:AJ5,2,FALSE),Backdoors!AL4)*(IF((Backdoors!AI12+IF(AK77&gt;=0.45,VLOOKUP(Calculator!E23,tbSkills!DH3:DI6,2,FALSE)+IF(AND(Calculator!B8=TRUE,Backdoors!BI8=TRUE),VLOOKUP(Calculator!E23,tbSkills!DH3:DJ6,3,FALSE),0),0))&gt;=100,100,(Backdoors!AI12+IF(AK77&gt;=0.45,VLOOKUP(Calculator!E23,tbSkills!DH3:DI6,2,FALSE)+IF(AND(Calculator!B8=TRUE,Backdoors!BI8=TRUE),VLOOKUP(Calculator!E23,tbSkills!DH3:DJ6,3,FALSE),0),0)))/100)),1),1)</f>
        <v>0.4</v>
      </c>
      <c r="AQ77" s="87">
        <f t="shared" si="56"/>
        <v>4</v>
      </c>
      <c r="AR77" s="86">
        <f>IFERROR(IF(VLOOKUP(A77,tbMoveset!A2:B112,2,FALSE)="Sever",Backdoors!AY9/100,IF(VLOOKUP(A77,tbMoveset!A2:B112,2,FALSE)="Blunt",Backdoors!AZ9/100,Backdoors!BA9/100)),"")</f>
        <v>0.45</v>
      </c>
      <c r="AS77" s="49">
        <f>IFERROR(IF(VLOOKUP(tbMoveset!A77,tbMoveset!A2:H112,8,FALSE)="Other",IF(VLOOKUP(tbMoveset!A77,tbMoveset!A2:I112,9,FALSE)="Fire",Backdoors!BB9,IF(VLOOKUP(tbMoveset!A77,tbMoveset!A2:I112,9,FALSE)="Water",Backdoors!BC9,IF(VLOOKUP(tbMoveset!A77,tbMoveset!A2:I112,9,FALSE)="Thunder",Backdoors!BD9,IF(VLOOKUP(tbMoveset!A77,tbMoveset!A2:I112,9,FALSE)="Ice",Backdoors!BE9,IF(VLOOKUP(tbMoveset!A77,tbMoveset!A2:I112,9,FALSE)="Dragon",Backdoors!BF9,Backdoors!BG9)))))/100,Backdoors!BG9/100),"")</f>
        <v>0</v>
      </c>
      <c r="AT77" s="49">
        <f>IFERROR(IF(VLOOKUP(A77,tbMoveset!A2:J112,10,FALSE)=TRUE,IF((Backdoors!AI12+IF(AR77&gt;=0.45,VLOOKUP(Calculator!E23,tbSkills!DH3:DI6,2,FALSE)+IF(AND(Calculator!B8=TRUE,Backdoors!BI9=TRUE),VLOOKUP(Calculator!E23,tbSkills!DH3:DJ6,3,FALSE),0),0))&gt;=0,1+(Backdoors!AL2*(IF((Backdoors!AI12+IF(AR77&gt;=0.45,VLOOKUP(Calculator!E23,tbSkills!DH3:DI6,2,FALSE)+IF(AND(Calculator!B8=TRUE,Backdoors!BI9=TRUE),VLOOKUP(Calculator!E23,tbSkills!DH3:DJ6,3,FALSE),0),0))&gt;=100,100,(Backdoors!AI12+IF(AR77&gt;=0.45,VLOOKUP(Calculator!E23,tbSkills!DH3:DI6,2,FALSE)+IF(AND(Calculator!B8=TRUE,Backdoors!BI9=TRUE),VLOOKUP(Calculator!E23,tbSkills!DH3:DJ6,3,FALSE),0),0)))/100)),(1-(0.25*((-Backdoors!AI12-IF(AR77&gt;=0.45,VLOOKUP(Calculator!E23,tbSkills!DH3:DI6,2,FALSE)+IF(AND(Calculator!B8=TRUE,Backdoors!BI9=TRUE),VLOOKUP(Calculator!E23,tbSkills!DH3:DJ6,3,FALSE),0),0))/100)))),1),"")</f>
        <v>1</v>
      </c>
      <c r="AU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R77)*AT77)*(VLOOKUP(A77,tbMoveset!A2:C112,3,FALSE)/100)*IF(VLOOKUP(A77,tbMoveset!A2:B112,2,FALSE)="Projectile",Backdoors!N10,Backdoors!N9),0),"")</f>
        <v>4</v>
      </c>
      <c r="AV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R77&gt;=0.45,VLOOKUP(Calculator!E23,tbSkills!DH3:DI6,2,FALSE)+IF(AND(Calculator!B8=TRUE,Backdoors!BI9=TRUE),VLOOKUP(Calculator!E23,tbSkills!DH3:DJ6,3,FALSE),0),0))&gt;=100,100,(Backdoors!AI12+IF(AR77&gt;=0.45,VLOOKUP(Calculator!E23,tbSkills!DH3:DI6,2,FALSE)+IF(AND(Calculator!B8=TRUE,Backdoors!BI9=TRUE),VLOOKUP(Calculator!E23,tbSkills!DH3:DJ6,3,FALSE),0),0)))/100)),1))*IF(VLOOKUP(A77,tbMoveset!A2:K112,11,FALSE)=TRUE,Backdoors!AC5,1))*AS77,0),"")</f>
        <v>0</v>
      </c>
      <c r="AW77" s="49">
        <f>VLOOKUP(A77,tbMoveset!A2:G112,7,FALSE)*IFERROR(IF(Backdoors!AI12&gt;=0,1+(IF(Calculator!E40&gt;0,VLOOKUP(Calculator!E40,tbSkills!AI3:AJ5,2,FALSE),Backdoors!AL4)*(IF((Backdoors!AI12+IF(AR77&gt;=0.45,VLOOKUP(Calculator!E23,tbSkills!DH3:DI6,2,FALSE)+IF(AND(Calculator!B8=TRUE,Backdoors!BI9=TRUE),VLOOKUP(Calculator!E23,tbSkills!DH3:DJ6,3,FALSE),0),0))&gt;=100,100,(Backdoors!AI12+IF(AR77&gt;=0.45,VLOOKUP(Calculator!E23,tbSkills!DH3:DI6,2,FALSE)+IF(AND(Calculator!B8=TRUE,Backdoors!BI9=TRUE),VLOOKUP(Calculator!E23,tbSkills!DH3:DJ6,3,FALSE),0),0)))/100)),1),1)</f>
        <v>0.4</v>
      </c>
      <c r="AX77" s="87">
        <f t="shared" si="57"/>
        <v>4</v>
      </c>
      <c r="AY77" s="86">
        <f>IFERROR(IF(VLOOKUP(A77,tbMoveset!A2:B112,2,FALSE)="Sever",Backdoors!AY10/100,IF(VLOOKUP(A77,tbMoveset!A2:B112,2,FALSE)="Blunt",Backdoors!AZ10/100,Backdoors!BA10/100)),"")</f>
        <v>0.9</v>
      </c>
      <c r="AZ77" s="49">
        <f>IFERROR(IF(VLOOKUP(tbMoveset!A77,tbMoveset!A2:H112,8,FALSE)="Other",IF(VLOOKUP(tbMoveset!A77,tbMoveset!A2:I112,9,FALSE)="Fire",Backdoors!BB10,IF(VLOOKUP(tbMoveset!A77,tbMoveset!A2:I112,9,FALSE)="Water",Backdoors!BC10,IF(VLOOKUP(tbMoveset!A77,tbMoveset!A2:I112,9,FALSE)="Thunder",Backdoors!BD10,IF(VLOOKUP(tbMoveset!A77,tbMoveset!A2:I112,9,FALSE)="Ice",Backdoors!BE10,IF(VLOOKUP(tbMoveset!A77,tbMoveset!A2:I112,9,FALSE)="Dragon",Backdoors!BF10,Backdoors!BG10)))))/100,Backdoors!BG10/100),"")</f>
        <v>0</v>
      </c>
      <c r="BA77" s="49">
        <f>IFERROR(IF(VLOOKUP(A77,tbMoveset!A2:J112,10,FALSE)=TRUE,IF((Backdoors!AI12+IF(AY77&gt;=0.45,VLOOKUP(Calculator!E23,tbSkills!DH3:DI6,2,FALSE)+IF(AND(Calculator!B8=TRUE,Backdoors!BI10=TRUE),VLOOKUP(Calculator!E23,tbSkills!DH3:DJ6,3,FALSE),0),0))&gt;=0,1+(Backdoors!AL2*(IF((Backdoors!AI12+IF(AY77&gt;=0.45,VLOOKUP(Calculator!E23,tbSkills!DH3:DI6,2,FALSE)+IF(AND(Calculator!B8=TRUE,Backdoors!BI10=TRUE),VLOOKUP(Calculator!E23,tbSkills!DH3:DJ6,3,FALSE),0),0))&gt;=100,100,(Backdoors!AI12+IF(AY77&gt;=0.45,VLOOKUP(Calculator!E23,tbSkills!DH3:DI6,2,FALSE)+IF(AND(Calculator!B8=TRUE,Backdoors!BI10=TRUE),VLOOKUP(Calculator!E23,tbSkills!DH3:DJ6,3,FALSE),0),0)))/100)),(1-(0.25*((-Backdoors!AI12-IF(AY77&gt;=0.45,VLOOKUP(Calculator!E23,tbSkills!DH3:DI6,2,FALSE)+IF(AND(Calculator!B8=TRUE,Backdoors!BI10=TRUE),VLOOKUP(Calculator!E23,tbSkills!DH3:DJ6,3,FALSE),0),0))/100)))),1),"")</f>
        <v>1</v>
      </c>
      <c r="BB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Y77)*BA77)*(VLOOKUP(A77,tbMoveset!A2:C112,3,FALSE)/100)*IF(VLOOKUP(A77,tbMoveset!A2:B112,2,FALSE)="Projectile",Backdoors!N10,Backdoors!N9),0),"")</f>
        <v>8</v>
      </c>
      <c r="BC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Y77&gt;=0.45,VLOOKUP(Calculator!E23,tbSkills!DH3:DI6,2,FALSE)+IF(AND(Calculator!B8=TRUE,Backdoors!BI10=TRUE),VLOOKUP(Calculator!E23,tbSkills!DH3:DJ6,3,FALSE),0),0))&gt;=100,100,(Backdoors!AI12+IF(AY77&gt;=0.45,VLOOKUP(Calculator!E23,tbSkills!DH3:DI6,2,FALSE)+IF(AND(Calculator!B8=TRUE,Backdoors!BI10=TRUE),VLOOKUP(Calculator!E23,tbSkills!DH3:DJ6,3,FALSE),0),0)))/100)),1))*IF(VLOOKUP(A77,tbMoveset!A2:K112,11,FALSE)=TRUE,Backdoors!AC5,1))*AZ77,0),"")</f>
        <v>0</v>
      </c>
      <c r="BD77" s="49">
        <f>VLOOKUP(A77,tbMoveset!A2:G112,7,FALSE)*IFERROR(IF(Backdoors!AI12&gt;=0,1+(IF(Calculator!E40&gt;0,VLOOKUP(Calculator!E40,tbSkills!AI3:AJ5,2,FALSE),Backdoors!AL4)*(IF((Backdoors!AI12+IF(AY77&gt;=0.45,VLOOKUP(Calculator!E23,tbSkills!DH3:DI6,2,FALSE)+IF(AND(Calculator!B8=TRUE,Backdoors!BI10=TRUE),VLOOKUP(Calculator!E23,tbSkills!DH3:DJ6,3,FALSE),0),0))&gt;=100,100,(Backdoors!AI12+IF(AY77&gt;=0.45,VLOOKUP(Calculator!E23,tbSkills!DH3:DI6,2,FALSE)+IF(AND(Calculator!B8=TRUE,Backdoors!BI10=TRUE),VLOOKUP(Calculator!E23,tbSkills!DH3:DJ6,3,FALSE),0),0)))/100)),1),1)</f>
        <v>0.4</v>
      </c>
      <c r="BE77" s="87">
        <f t="shared" si="58"/>
        <v>8</v>
      </c>
      <c r="BF77" s="86" t="str">
        <f>IFERROR(IF(VLOOKUP(A77,tbMoveset!A2:B112,2,FALSE)="Sever",Backdoors!AY11/100,IF(VLOOKUP(A77,tbMoveset!A2:B112,2,FALSE)="Blunt",Backdoors!AZ11/100,Backdoors!BA11/100)),"")</f>
        <v/>
      </c>
      <c r="BG77" s="49">
        <f>IFERROR(IF(VLOOKUP(tbMoveset!A77,tbMoveset!A2:H112,8,FALSE)="Other",IF(VLOOKUP(tbMoveset!A77,tbMoveset!A2:I112,9,FALSE)="Fire",Backdoors!BB11,IF(VLOOKUP(tbMoveset!A77,tbMoveset!A2:I112,9,FALSE)="Water",Backdoors!BC11,IF(VLOOKUP(tbMoveset!A77,tbMoveset!A2:I112,9,FALSE)="Thunder",Backdoors!BD11,IF(VLOOKUP(tbMoveset!A77,tbMoveset!A2:I112,9,FALSE)="Ice",Backdoors!BE11,IF(VLOOKUP(tbMoveset!A77,tbMoveset!A2:I112,9,FALSE)="Dragon",Backdoors!BF11,Backdoors!BG11)))))/100,Backdoors!BG11/100),"")</f>
        <v>0</v>
      </c>
      <c r="BH77" s="49">
        <f>IFERROR(IF(VLOOKUP(A77,tbMoveset!A2:J112,10,FALSE)=TRUE,IF((Backdoors!AI12+IF(BF77&gt;=0.45,VLOOKUP(Calculator!E23,tbSkills!DH3:DI6,2,FALSE)+IF(AND(Calculator!B8=TRUE,Backdoors!BI11=TRUE),VLOOKUP(Calculator!E23,tbSkills!DH3:DJ6,3,FALSE),0),0))&gt;=0,1+(Backdoors!AL2*(IF((Backdoors!AI12+IF(BF77&gt;=0.45,VLOOKUP(Calculator!E23,tbSkills!DH3:DI6,2,FALSE)+IF(AND(Calculator!B8=TRUE,Backdoors!BI11=TRUE),VLOOKUP(Calculator!E23,tbSkills!DH3:DJ6,3,FALSE),0),0))&gt;=100,100,(Backdoors!AI12+IF(BF77&gt;=0.45,VLOOKUP(Calculator!E23,tbSkills!DH3:DI6,2,FALSE)+IF(AND(Calculator!B8=TRUE,Backdoors!BI11=TRUE),VLOOKUP(Calculator!E23,tbSkills!DH3:DJ6,3,FALSE),0),0)))/100)),(1-(0.25*((-Backdoors!AI12-IF(BF77&gt;=0.45,VLOOKUP(Calculator!E23,tbSkills!DH3:DI6,2,FALSE)+IF(AND(Calculator!B8=TRUE,Backdoors!BI11=TRUE),VLOOKUP(Calculator!E23,tbSkills!DH3:DJ6,3,FALSE),0),0))/100)))),1),"")</f>
        <v>1</v>
      </c>
      <c r="BI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F77)*BH77)*(VLOOKUP(A77,tbMoveset!A2:C112,3,FALSE)/100)*IF(VLOOKUP(A77,tbMoveset!A2:B112,2,FALSE)="Projectile",Backdoors!N10,Backdoors!N9),0),"")</f>
        <v/>
      </c>
      <c r="BJ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F77&gt;=0.45,VLOOKUP(Calculator!E23,tbSkills!DH3:DI6,2,FALSE)+IF(AND(Calculator!B8=TRUE,Backdoors!BI11=TRUE),VLOOKUP(Calculator!E23,tbSkills!DH3:DJ6,3,FALSE),0),0))&gt;=100,100,(Backdoors!AI12+IF(BF77&gt;=0.45,VLOOKUP(Calculator!E23,tbSkills!DH3:DI6,2,FALSE)+IF(AND(Calculator!B8=TRUE,Backdoors!BI11=TRUE),VLOOKUP(Calculator!E23,tbSkills!DH3:DJ6,3,FALSE),0),0)))/100)),1))*IF(VLOOKUP(A77,tbMoveset!A2:K112,11,FALSE)=TRUE,Backdoors!AC5,1))*BG77,0),"")</f>
        <v>0</v>
      </c>
      <c r="BK77" s="49">
        <f>VLOOKUP(A77,tbMoveset!A2:G112,7,FALSE)*IFERROR(IF(Backdoors!AI12&gt;=0,1+(IF(Calculator!E40&gt;0,VLOOKUP(Calculator!E40,tbSkills!AI3:AJ5,2,FALSE),Backdoors!AL4)*(IF((Backdoors!AI12+IF(BF77&gt;=0.45,VLOOKUP(Calculator!E23,tbSkills!DH3:DI6,2,FALSE)+IF(AND(Calculator!B8=TRUE,Backdoors!BI11=TRUE),VLOOKUP(Calculator!E23,tbSkills!DH3:DJ6,3,FALSE),0),0))&gt;=100,100,(Backdoors!AI12+IF(BF77&gt;=0.45,VLOOKUP(Calculator!E23,tbSkills!DH3:DI6,2,FALSE)+IF(AND(Calculator!B8=TRUE,Backdoors!BI11=TRUE),VLOOKUP(Calculator!E23,tbSkills!DH3:DJ6,3,FALSE),0),0)))/100)),1),1)</f>
        <v>0.4</v>
      </c>
      <c r="BL77" s="87">
        <f t="shared" si="59"/>
        <v>0</v>
      </c>
      <c r="BM77" s="86" t="str">
        <f>IFERROR(IF(VLOOKUP(A77,tbMoveset!A2:B112,2,FALSE)="Sever",Backdoors!AY12/100,IF(VLOOKUP(A77,tbMoveset!A2:B112,2,FALSE)="Blunt",Backdoors!AZ12/100,Backdoors!BA12/100)),"")</f>
        <v/>
      </c>
      <c r="BN77" s="49">
        <f>IFERROR(IF(VLOOKUP(tbMoveset!A77,tbMoveset!A2:H112,8,FALSE)="Other",IF(VLOOKUP(tbMoveset!A77,tbMoveset!A2:I112,9,FALSE)="Fire",Backdoors!BB12,IF(VLOOKUP(tbMoveset!A77,tbMoveset!A2:I112,9,FALSE)="Water",Backdoors!BC12,IF(VLOOKUP(tbMoveset!A77,tbMoveset!A2:I112,9,FALSE)="Thunder",Backdoors!BD12,IF(VLOOKUP(tbMoveset!A77,tbMoveset!A2:I112,9,FALSE)="Ice",Backdoors!BE12,IF(VLOOKUP(tbMoveset!A77,tbMoveset!A2:I112,9,FALSE)="Dragon",Backdoors!BF12,Backdoors!BG12)))))/100,Backdoors!BG12/100),"")</f>
        <v>0</v>
      </c>
      <c r="BO77" s="49">
        <f>IFERROR(IF(VLOOKUP(A77,tbMoveset!A2:J112,10,FALSE)=TRUE,IF((Backdoors!AI12+IF(BM77&gt;=0.45,VLOOKUP(Calculator!E23,tbSkills!DH3:DI6,2,FALSE)+IF(AND(Calculator!B8=TRUE,Backdoors!BI12=TRUE),VLOOKUP(Calculator!E23,tbSkills!DH3:DJ6,3,FALSE),0),0))&gt;=0,1+(Backdoors!AL2*(IF((Backdoors!AI12+IF(BM77&gt;=0.45,VLOOKUP(Calculator!E23,tbSkills!DH3:DI6,2,FALSE)+IF(AND(Calculator!B8=TRUE,Backdoors!BI12=TRUE),VLOOKUP(Calculator!E23,tbSkills!DH3:DJ6,3,FALSE),0),0))&gt;=100,100,(Backdoors!AI12+IF(BM77&gt;=0.45,VLOOKUP(Calculator!E23,tbSkills!DH3:DI6,2,FALSE)+IF(AND(Calculator!B8=TRUE,Backdoors!BI12=TRUE),VLOOKUP(Calculator!E23,tbSkills!DH3:DJ6,3,FALSE),0),0)))/100)),(1-(0.25*((-Backdoors!AI12-IF(BM77&gt;=0.45,VLOOKUP(Calculator!E23,tbSkills!DH3:DI6,2,FALSE)+IF(AND(Calculator!B8=TRUE,Backdoors!BI12=TRUE),VLOOKUP(Calculator!E23,tbSkills!DH3:DJ6,3,FALSE),0),0))/100)))),1),"")</f>
        <v>1</v>
      </c>
      <c r="BP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M77)*BO77)*(VLOOKUP(A77,tbMoveset!A2:C112,3,FALSE)/100)*IF(VLOOKUP(A77,tbMoveset!A2:B112,2,FALSE)="Projectile",Backdoors!N10,Backdoors!N9),0),"")</f>
        <v/>
      </c>
      <c r="BQ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M77&gt;=0.45,VLOOKUP(Calculator!E23,tbSkills!DH3:DI6,2,FALSE)+IF(AND(Calculator!B8=TRUE,Backdoors!BI12=TRUE),VLOOKUP(Calculator!E23,tbSkills!DH3:DJ6,3,FALSE),0),0))&gt;=100,100,(Backdoors!AI12+IF(BM77&gt;=0.45,VLOOKUP(Calculator!E23,tbSkills!DH3:DI6,2,FALSE)+IF(AND(Calculator!B8=TRUE,Backdoors!BI12=TRUE),VLOOKUP(Calculator!E23,tbSkills!DH3:DJ6,3,FALSE),0),0)))/100)),1))*IF(VLOOKUP(A77,tbMoveset!A2:K112,11,FALSE)=TRUE,Backdoors!AC5,1))*BN77,0),"")</f>
        <v>0</v>
      </c>
      <c r="BR77" s="49">
        <f>VLOOKUP(A77,tbMoveset!A2:G112,7,FALSE)*IFERROR(IF(Backdoors!AI12&gt;=0,1+(IF(Calculator!E40&gt;0,VLOOKUP(Calculator!E40,tbSkills!AI3:AJ5,2,FALSE),Backdoors!AL4)*(IF((Backdoors!AI12+IF(BM77&gt;=0.45,VLOOKUP(Calculator!E23,tbSkills!DH3:DI6,2,FALSE)+IF(AND(Calculator!B8=TRUE,Backdoors!BI12=TRUE),VLOOKUP(Calculator!E23,tbSkills!DH3:DJ6,3,FALSE),0),0))&gt;=100,100,(Backdoors!AI12+IF(BM77&gt;=0.45,VLOOKUP(Calculator!E23,tbSkills!DH3:DI6,2,FALSE)+IF(AND(Calculator!B8=TRUE,Backdoors!BI12=TRUE),VLOOKUP(Calculator!E23,tbSkills!DH3:DJ6,3,FALSE),0),0)))/100)),1),1)</f>
        <v>0.4</v>
      </c>
      <c r="BS77" s="87">
        <f t="shared" si="60"/>
        <v>0</v>
      </c>
      <c r="BT77" s="86" t="str">
        <f>IFERROR(IF(VLOOKUP(A77,tbMoveset!A2:B112,2,FALSE)="Sever",Backdoors!AY13/100,IF(VLOOKUP(A77,tbMoveset!A2:B112,2,FALSE)="Blunt",Backdoors!AZ13/100,Backdoors!BA13/100)),"")</f>
        <v/>
      </c>
      <c r="BU77" s="49">
        <f>IFERROR(IF(VLOOKUP(tbMoveset!A77,tbMoveset!A2:H112,8,FALSE)="Other",IF(VLOOKUP(tbMoveset!A77,tbMoveset!A2:I112,9,FALSE)="Fire",Backdoors!BB13,IF(VLOOKUP(tbMoveset!A77,tbMoveset!A2:I112,9,FALSE)="Water",Backdoors!BC13,IF(VLOOKUP(tbMoveset!A77,tbMoveset!A2:I112,9,FALSE)="Thunder",Backdoors!BD13,IF(VLOOKUP(tbMoveset!A77,tbMoveset!A2:I112,9,FALSE)="Ice",Backdoors!BE13,IF(VLOOKUP(tbMoveset!A77,tbMoveset!A2:I112,9,FALSE)="Dragon",Backdoors!BF13,Backdoors!BG13)))))/100,Backdoors!BG13/100),"")</f>
        <v>0</v>
      </c>
      <c r="BV77" s="49">
        <f>IFERROR(IF(VLOOKUP(A77,tbMoveset!A2:J112,10,FALSE)=TRUE,IF((Backdoors!AI12+IF(BT77&gt;=0.45,VLOOKUP(Calculator!E23,tbSkills!DH3:DI6,2,FALSE)+IF(AND(Calculator!B8=TRUE,Backdoors!BI13=TRUE),VLOOKUP(Calculator!E23,tbSkills!DH3:DJ6,3,FALSE),0),0))&gt;=0,1+(Backdoors!AL2*(IF((Backdoors!AI12+IF(BT77&gt;=0.45,VLOOKUP(Calculator!E23,tbSkills!DH3:DI6,2,FALSE)+IF(AND(Calculator!B8=TRUE,Backdoors!BI13=TRUE),VLOOKUP(Calculator!E23,tbSkills!DH3:DJ6,3,FALSE),0),0))&gt;=100,100,(Backdoors!AI12+IF(BT77&gt;=0.45,VLOOKUP(Calculator!E23,tbSkills!DH3:DI6,2,FALSE)+IF(AND(Calculator!B8=TRUE,Backdoors!BI13=TRUE),VLOOKUP(Calculator!E23,tbSkills!DH3:DJ6,3,FALSE),0),0)))/100)),(1-(0.25*((-Backdoors!AI12-IF(BT77&gt;=0.45,VLOOKUP(Calculator!E23,tbSkills!DH3:DI6,2,FALSE)+IF(AND(Calculator!B8=TRUE,Backdoors!BI13=TRUE),VLOOKUP(Calculator!E23,tbSkills!DH3:DJ6,3,FALSE),0),0))/100)))),1),"")</f>
        <v>1</v>
      </c>
      <c r="BW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T77)*BV77)*(VLOOKUP(A77,tbMoveset!A2:C112,3,FALSE)/100)*IF(VLOOKUP(A77,tbMoveset!A2:B112,2,FALSE)="Projectile",Backdoors!N10,Backdoors!N9),0),"")</f>
        <v/>
      </c>
      <c r="BX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T77&gt;=0.45,VLOOKUP(Calculator!E23,tbSkills!DH3:DI6,2,FALSE)+IF(AND(Calculator!B8=TRUE,Backdoors!BI13=TRUE),VLOOKUP(Calculator!E23,tbSkills!DH3:DJ6,3,FALSE),0),0))&gt;=100,100,(Backdoors!AI12+IF(BT77&gt;=0.45,VLOOKUP(Calculator!E23,tbSkills!DH3:DI6,2,FALSE)+IF(AND(Calculator!B8=TRUE,Backdoors!BI13=TRUE),VLOOKUP(Calculator!E23,tbSkills!DH3:DJ6,3,FALSE),0),0)))/100)),1))*IF(VLOOKUP(A77,tbMoveset!A2:K112,11,FALSE)=TRUE,Backdoors!AC5,1))*BU77,0),"")</f>
        <v>0</v>
      </c>
      <c r="BY77" s="49">
        <f>VLOOKUP(A77,tbMoveset!A2:G112,7,FALSE)*IFERROR(IF(Backdoors!AI12&gt;=0,1+(IF(Calculator!E40&gt;0,VLOOKUP(Calculator!E40,tbSkills!AI3:AJ5,2,FALSE),Backdoors!AL4)*(IF((Backdoors!AI12+IF(BT77&gt;=0.45,VLOOKUP(Calculator!E23,tbSkills!DH3:DI6,2,FALSE)+IF(AND(Calculator!B8=TRUE,Backdoors!BI13=TRUE),VLOOKUP(Calculator!E23,tbSkills!DH3:DJ6,3,FALSE),0),0))&gt;=100,100,(Backdoors!AI12+IF(BT77&gt;=0.45,VLOOKUP(Calculator!E23,tbSkills!DH3:DI6,2,FALSE)+IF(AND(Calculator!B8=TRUE,Backdoors!BI13=TRUE),VLOOKUP(Calculator!E23,tbSkills!DH3:DJ6,3,FALSE),0),0)))/100)),1),1)</f>
        <v>0.4</v>
      </c>
      <c r="BZ77" s="87">
        <f t="shared" si="61"/>
        <v>0</v>
      </c>
      <c r="CA77" s="86" t="str">
        <f>IFERROR(IF(VLOOKUP(A77,tbMoveset!A2:B112,2,FALSE)="Sever",Backdoors!AY14/100,IF(VLOOKUP(A77,tbMoveset!A2:B112,2,FALSE)="Blunt",Backdoors!AZ14/100,Backdoors!BA14/100)),"")</f>
        <v/>
      </c>
      <c r="CB77" s="49">
        <f>IFERROR(IF(VLOOKUP(tbMoveset!A77,tbMoveset!A2:H112,8,FALSE)="Other",IF(VLOOKUP(tbMoveset!A77,tbMoveset!A2:I112,9,FALSE)="Fire",Backdoors!BB14,IF(VLOOKUP(tbMoveset!A77,tbMoveset!A2:I112,9,FALSE)="Water",Backdoors!BC14,IF(VLOOKUP(tbMoveset!A77,tbMoveset!A2:I112,9,FALSE)="Thunder",Backdoors!BD14,IF(VLOOKUP(tbMoveset!A77,tbMoveset!A2:I112,9,FALSE)="Ice",Backdoors!BE14,IF(VLOOKUP(tbMoveset!A77,tbMoveset!A2:I112,9,FALSE)="Dragon",Backdoors!BF14,Backdoors!BG14)))))/100,Backdoors!BG14/100),"")</f>
        <v>0</v>
      </c>
      <c r="CC77" s="49">
        <f>IFERROR(IF(VLOOKUP(A77,tbMoveset!A2:J112,10,FALSE)=TRUE,IF((Backdoors!AI12+IF(CA77&gt;=0.45,VLOOKUP(Calculator!E23,tbSkills!DH3:DI6,2,FALSE)+IF(AND(Calculator!B8=TRUE,Backdoors!BI14=TRUE),VLOOKUP(Calculator!E23,tbSkills!DH3:DJ6,3,FALSE),0),0))&gt;=0,1+(Backdoors!AL2*(IF((Backdoors!AI12+IF(CA77&gt;=0.45,VLOOKUP(Calculator!E23,tbSkills!DH3:DI6,2,FALSE)+IF(AND(Calculator!B8=TRUE,Backdoors!BI14=TRUE),VLOOKUP(Calculator!E23,tbSkills!DH3:DJ6,3,FALSE),0),0))&gt;=100,100,(Backdoors!AI12+IF(CA77&gt;=0.45,VLOOKUP(Calculator!E23,tbSkills!DH3:DI6,2,FALSE)+IF(AND(Calculator!B8=TRUE,Backdoors!BI14=TRUE),VLOOKUP(Calculator!E23,tbSkills!DH3:DJ6,3,FALSE),0),0)))/100)),(1-(0.25*((-Backdoors!AI12-IF(CA77&gt;=0.45,VLOOKUP(Calculator!E23,tbSkills!DH3:DI6,2,FALSE)+IF(AND(Calculator!B8=TRUE,Backdoors!BI14=TRUE),VLOOKUP(Calculator!E23,tbSkills!DH3:DJ6,3,FALSE),0),0))/100)))),1),"")</f>
        <v>1</v>
      </c>
      <c r="CD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A77)*CC77)*(VLOOKUP(A77,tbMoveset!A2:C112,3,FALSE)/100)*IF(VLOOKUP(A77,tbMoveset!A2:B112,2,FALSE)="Projectile",Backdoors!N10,Backdoors!N9),0),"")</f>
        <v/>
      </c>
      <c r="CE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A77&gt;=0.45,VLOOKUP(Calculator!E23,tbSkills!DH3:DI6,2,FALSE)+IF(AND(Calculator!B8=TRUE,Backdoors!BI14=TRUE),VLOOKUP(Calculator!E23,tbSkills!DH3:DJ6,3,FALSE),0),0))&gt;=100,100,(Backdoors!AI12+IF(CA77&gt;=0.45,VLOOKUP(Calculator!E23,tbSkills!DH3:DI6,2,FALSE)+IF(AND(Calculator!B8=TRUE,Backdoors!BI14=TRUE),VLOOKUP(Calculator!E23,tbSkills!DH3:DJ6,3,FALSE),0),0)))/100)),1))*IF(VLOOKUP(A77,tbMoveset!A2:K112,11,FALSE)=TRUE,Backdoors!AC5,1))*CB77,0),"")</f>
        <v>0</v>
      </c>
      <c r="CF77" s="49">
        <f>VLOOKUP(A77,tbMoveset!A2:G112,7,FALSE)*IFERROR(IF(Backdoors!AI12&gt;=0,1+(IF(Calculator!E40&gt;0,VLOOKUP(Calculator!E40,tbSkills!AI3:AJ5,2,FALSE),Backdoors!AL4)*(IF((Backdoors!AI12+IF(CA77&gt;=0.45,VLOOKUP(Calculator!E23,tbSkills!DH3:DI6,2,FALSE)+IF(AND(Calculator!B8=TRUE,Backdoors!BI14=TRUE),VLOOKUP(Calculator!E23,tbSkills!DH3:DJ6,3,FALSE),0),0))&gt;=100,100,(Backdoors!AI12+IF(CA77&gt;=0.45,VLOOKUP(Calculator!E23,tbSkills!DH3:DI6,2,FALSE)+IF(AND(Calculator!B8=TRUE,Backdoors!BI14=TRUE),VLOOKUP(Calculator!E23,tbSkills!DH3:DJ6,3,FALSE),0),0)))/100)),1),1)</f>
        <v>0.4</v>
      </c>
      <c r="CG77" s="87">
        <f t="shared" si="62"/>
        <v>0</v>
      </c>
      <c r="CH77" s="86" t="str">
        <f>IFERROR(IF(VLOOKUP(A77,tbMoveset!A2:B112,2,FALSE)="Sever",Backdoors!AY15/100,IF(VLOOKUP(A77,tbMoveset!A2:B112,2,FALSE)="Blunt",Backdoors!AZ15/100,Backdoors!BA15/100)),"")</f>
        <v/>
      </c>
      <c r="CI77" s="49">
        <f>IFERROR(IF(VLOOKUP(tbMoveset!A77,tbMoveset!A2:H112,8,FALSE)="Other",IF(VLOOKUP(tbMoveset!A77,tbMoveset!A2:I112,9,FALSE)="Fire",Backdoors!BB15,IF(VLOOKUP(tbMoveset!A77,tbMoveset!A2:I112,9,FALSE)="Water",Backdoors!BC15,IF(VLOOKUP(tbMoveset!A77,tbMoveset!A2:I112,9,FALSE)="Thunder",Backdoors!BD15,IF(VLOOKUP(tbMoveset!A77,tbMoveset!A2:I112,9,FALSE)="Ice",Backdoors!BE15,IF(VLOOKUP(tbMoveset!A77,tbMoveset!A2:I112,9,FALSE)="Dragon",Backdoors!BF15,Backdoors!BG15)))))/100,Backdoors!BG15/100),"")</f>
        <v>0</v>
      </c>
      <c r="CJ77" s="49">
        <f>IFERROR(IF(VLOOKUP(A77,tbMoveset!A2:J112,10,FALSE)=TRUE,IF((Backdoors!AI12+IF(CH77&gt;=0.45,VLOOKUP(Calculator!E23,tbSkills!DH3:DI6,2,FALSE)+IF(AND(Calculator!B8=TRUE,Backdoors!BI15=TRUE),VLOOKUP(Calculator!E23,tbSkills!DH3:DJ6,3,FALSE),0),0))&gt;=0,1+(Backdoors!AL2*(IF((Backdoors!AI12+IF(CH77&gt;=0.45,VLOOKUP(Calculator!E23,tbSkills!DH3:DI6,2,FALSE)+IF(AND(Calculator!B8=TRUE,Backdoors!BI15=TRUE),VLOOKUP(Calculator!E23,tbSkills!DH3:DJ6,3,FALSE),0),0))&gt;=100,100,(Backdoors!AI12+IF(CH77&gt;=0.45,VLOOKUP(Calculator!E23,tbSkills!DH3:DI6,2,FALSE)+IF(AND(Calculator!B8=TRUE,Backdoors!BI15=TRUE),VLOOKUP(Calculator!E23,tbSkills!DH3:DJ6,3,FALSE),0),0)))/100)),(1-(0.25*((-Backdoors!AI12-IF(CH77&gt;=0.45,VLOOKUP(Calculator!E23,tbSkills!DH3:DI6,2,FALSE)+IF(AND(Calculator!B8=TRUE,Backdoors!BI15=TRUE),VLOOKUP(Calculator!E23,tbSkills!DH3:DJ6,3,FALSE),0),0))/100)))),1),"")</f>
        <v>1</v>
      </c>
      <c r="CK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H77)*CJ77)*(VLOOKUP(A77,tbMoveset!A2:C112,3,FALSE)/100)*IF(VLOOKUP(A77,tbMoveset!A2:B112,2,FALSE)="Projectile",Backdoors!N10,Backdoors!N9),0),"")</f>
        <v/>
      </c>
      <c r="CL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H77&gt;=0.45,VLOOKUP(Calculator!E23,tbSkills!DH3:DI6,2,FALSE)+IF(AND(Calculator!B8=TRUE,Backdoors!BI15=TRUE),VLOOKUP(Calculator!E23,tbSkills!DH3:DJ6,3,FALSE),0),0))&gt;=100,100,(Backdoors!AI12+IF(CH77&gt;=0.45,VLOOKUP(Calculator!E23,tbSkills!DH3:DI6,2,FALSE)+IF(AND(Calculator!B8=TRUE,Backdoors!BI15=TRUE),VLOOKUP(Calculator!E23,tbSkills!DH3:DJ6,3,FALSE),0),0)))/100)),1))*IF(VLOOKUP(A77,tbMoveset!A2:K112,11,FALSE)=TRUE,Backdoors!AC5,1))*CI77,0),"")</f>
        <v>0</v>
      </c>
      <c r="CM77" s="49">
        <f>VLOOKUP(A77,tbMoveset!A2:G112,7,FALSE)*IFERROR(IF(Backdoors!AI12&gt;=0,1+(IF(Calculator!E40&gt;0,VLOOKUP(Calculator!E40,tbSkills!AI3:AJ5,2,FALSE),Backdoors!AL4)*(IF((Backdoors!AI12+IF(CH77&gt;=0.45,VLOOKUP(Calculator!E23,tbSkills!DH3:DI6,2,FALSE)+IF(AND(Calculator!B8=TRUE,Backdoors!BI15=TRUE),VLOOKUP(Calculator!E23,tbSkills!DH3:DJ6,3,FALSE),0),0))&gt;=100,100,(Backdoors!AI12+IF(CH77&gt;=0.45,VLOOKUP(Calculator!E23,tbSkills!DH3:DI6,2,FALSE)+IF(AND(Calculator!B8=TRUE,Backdoors!BI15=TRUE),VLOOKUP(Calculator!E23,tbSkills!DH3:DJ6,3,FALSE),0),0)))/100)),1),1)</f>
        <v>0.4</v>
      </c>
      <c r="CN77" s="87">
        <f t="shared" si="63"/>
        <v>0</v>
      </c>
      <c r="CO77" s="86" t="str">
        <f>IFERROR(IF(VLOOKUP(A77,tbMoveset!A2:B112,2,FALSE)="Sever",Backdoors!AY16/100,IF(VLOOKUP(A77,tbMoveset!A2:B112,2,FALSE)="Blunt",Backdoors!AZ16/100,Backdoors!BA16/100)),"")</f>
        <v/>
      </c>
      <c r="CP77" s="49">
        <f>IFERROR(IF(VLOOKUP(tbMoveset!A77,tbMoveset!A2:H112,8,FALSE)="Other",IF(VLOOKUP(tbMoveset!A77,tbMoveset!A2:I112,9,FALSE)="Fire",Backdoors!BB16,IF(VLOOKUP(tbMoveset!A77,tbMoveset!A2:I112,9,FALSE)="Water",Backdoors!BC16,IF(VLOOKUP(tbMoveset!A77,tbMoveset!A2:I112,9,FALSE)="Thunder",Backdoors!BD16,IF(VLOOKUP(tbMoveset!A77,tbMoveset!A2:I112,9,FALSE)="Ice",Backdoors!BE16,IF(VLOOKUP(tbMoveset!A77,tbMoveset!A2:I112,9,FALSE)="Dragon",Backdoors!BF16,Backdoors!BG16)))))/100,Backdoors!BG16/100),"")</f>
        <v>0</v>
      </c>
      <c r="CQ77" s="49">
        <f>IFERROR(IF(VLOOKUP(A77,tbMoveset!A2:J112,10,FALSE)=TRUE,IF((Backdoors!AI12+IF(CO77&gt;=0.45,VLOOKUP(Calculator!E23,tbSkills!DH3:DI6,2,FALSE)+IF(AND(Calculator!B8=TRUE,Backdoors!BI16=TRUE),VLOOKUP(Calculator!E23,tbSkills!DH3:DJ6,3,FALSE),0),0))&gt;=0,1+(Backdoors!AL2*(IF((Backdoors!AI12+IF(CO77&gt;=0.45,VLOOKUP(Calculator!E23,tbSkills!DH3:DI6,2,FALSE)+IF(AND(Calculator!B8=TRUE,Backdoors!BI16=TRUE),VLOOKUP(Calculator!E23,tbSkills!DH3:DJ6,3,FALSE),0),0))&gt;=100,100,(Backdoors!AI12+IF(CO77&gt;=0.45,VLOOKUP(Calculator!E23,tbSkills!DH3:DI6,2,FALSE)+IF(AND(Calculator!B8=TRUE,Backdoors!BI16=TRUE),VLOOKUP(Calculator!E23,tbSkills!DH3:DJ6,3,FALSE),0),0)))/100)),(1-(0.25*((-Backdoors!AI12-IF(CO77&gt;=0.45,VLOOKUP(Calculator!E23,tbSkills!DH3:DI6,2,FALSE)+IF(AND(Calculator!B8=TRUE,Backdoors!BI16=TRUE),VLOOKUP(Calculator!E23,tbSkills!DH3:DJ6,3,FALSE),0),0))/100)))),1),"")</f>
        <v>1</v>
      </c>
      <c r="CR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O77)*CQ77)*(VLOOKUP(A77,tbMoveset!A2:C112,3,FALSE)/100)*IF(VLOOKUP(A77,tbMoveset!A2:B112,2,FALSE)="Projectile",Backdoors!N10,Backdoors!N9),0),"")</f>
        <v/>
      </c>
      <c r="CS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O77&gt;=0.45,VLOOKUP(Calculator!E23,tbSkills!DH3:DI6,2,FALSE)+IF(AND(Calculator!B8=TRUE,Backdoors!BI16=TRUE),VLOOKUP(Calculator!E23,tbSkills!DH3:DJ6,3,FALSE),0),0))&gt;=100,100,(Backdoors!AI12+IF(CO77&gt;=0.45,VLOOKUP(Calculator!E23,tbSkills!DH3:DI6,2,FALSE)+IF(AND(Calculator!B8=TRUE,Backdoors!BI16=TRUE),VLOOKUP(Calculator!E23,tbSkills!DH3:DJ6,3,FALSE),0),0)))/100)),1))*IF(VLOOKUP(A77,tbMoveset!A2:K112,11,FALSE)=TRUE,Backdoors!AC5,1))*CP77,0),"")</f>
        <v>0</v>
      </c>
      <c r="CT77" s="49">
        <f>VLOOKUP(A77,tbMoveset!A2:G112,7,FALSE)*IFERROR(IF(Backdoors!AI12&gt;=0,1+(IF(Calculator!E40&gt;0,VLOOKUP(Calculator!E40,tbSkills!AI3:AJ5,2,FALSE),Backdoors!AL4)*(IF((Backdoors!AI12+IF(CO77&gt;=0.45,VLOOKUP(Calculator!E23,tbSkills!DH3:DI6,2,FALSE)+IF(AND(Calculator!B8=TRUE,Backdoors!BI16=TRUE),VLOOKUP(Calculator!E23,tbSkills!DH3:DJ6,3,FALSE),0),0))&gt;=100,100,(Backdoors!AI12+IF(CO77&gt;=0.45,VLOOKUP(Calculator!E23,tbSkills!DH3:DI6,2,FALSE)+IF(AND(Calculator!B8=TRUE,Backdoors!BI16=TRUE),VLOOKUP(Calculator!E23,tbSkills!DH3:DJ6,3,FALSE),0),0)))/100)),1),1)</f>
        <v>0.4</v>
      </c>
      <c r="CU77" s="87">
        <f t="shared" si="64"/>
        <v>0</v>
      </c>
      <c r="CV77" s="86" t="str">
        <f>IFERROR(IF(VLOOKUP(A77,tbMoveset!A2:B112,2,FALSE)="Sever",Backdoors!AY17/100,IF(VLOOKUP(A77,tbMoveset!A2:B112,2,FALSE)="Blunt",Backdoors!AZ17/100,Backdoors!BA17/100)),"")</f>
        <v/>
      </c>
      <c r="CW77" s="49">
        <f>IFERROR(IF(VLOOKUP(tbMoveset!A77,tbMoveset!A2:H112,8,FALSE)="Other",IF(VLOOKUP(tbMoveset!A77,tbMoveset!A2:I112,9,FALSE)="Fire",Backdoors!BB17,IF(VLOOKUP(tbMoveset!A77,tbMoveset!A2:I112,9,FALSE)="Water",Backdoors!BC17,IF(VLOOKUP(tbMoveset!A77,tbMoveset!A2:I112,9,FALSE)="Thunder",Backdoors!BD17,IF(VLOOKUP(tbMoveset!A77,tbMoveset!A2:I112,9,FALSE)="Ice",Backdoors!BE17,IF(VLOOKUP(tbMoveset!A77,tbMoveset!A2:I112,9,FALSE)="Dragon",Backdoors!BF17,Backdoors!BG17)))))/100,Backdoors!BG17/100),"")</f>
        <v>0</v>
      </c>
      <c r="CX77" s="49">
        <f>IFERROR(IF(VLOOKUP(A77,tbMoveset!A2:J112,10,FALSE)=TRUE,IF((Backdoors!AI12+IF(CV77&gt;=0.45,VLOOKUP(Calculator!E23,tbSkills!DH3:DI6,2,FALSE)+IF(AND(Calculator!B8=TRUE,Backdoors!BI17=TRUE),VLOOKUP(Calculator!E23,tbSkills!DH3:DJ6,3,FALSE),0),0))&gt;=0,1+(Backdoors!AL2*(IF((Backdoors!AI12+IF(CV77&gt;=0.45,VLOOKUP(Calculator!E23,tbSkills!DH3:DI6,2,FALSE)+IF(AND(Calculator!B8=TRUE,Backdoors!BI17=TRUE),VLOOKUP(Calculator!E23,tbSkills!DH3:DJ6,3,FALSE),0),0))&gt;=100,100,(Backdoors!AI12+IF(CV77&gt;=0.45,VLOOKUP(Calculator!E23,tbSkills!DH3:DI6,2,FALSE)+IF(AND(Calculator!B8=TRUE,Backdoors!BI17=TRUE),VLOOKUP(Calculator!E23,tbSkills!DH3:DJ6,3,FALSE),0),0)))/100)),(1-(0.25*((-Backdoors!AI12-IF(CV77&gt;=0.45,VLOOKUP(Calculator!E23,tbSkills!DH3:DI6,2,FALSE)+IF(AND(Calculator!B8=TRUE,Backdoors!BI17=TRUE),VLOOKUP(Calculator!E23,tbSkills!DH3:DJ6,3,FALSE),0),0))/100)))),1),"")</f>
        <v>1</v>
      </c>
      <c r="CY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V77)*CX77)*(VLOOKUP(A77,tbMoveset!A2:C112,3,FALSE)/100)*IF(VLOOKUP(A77,tbMoveset!A2:B112,2,FALSE)="Projectile",Backdoors!N10,Backdoors!N9),0),"")</f>
        <v/>
      </c>
      <c r="CZ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V77&gt;=0.45,VLOOKUP(Calculator!E23,tbSkills!DH3:DI6,2,FALSE)+IF(AND(Calculator!B8=TRUE,Backdoors!BI17=TRUE),VLOOKUP(Calculator!E23,tbSkills!DH3:DJ6,3,FALSE),0),0))&gt;=100,100,(Backdoors!AI12+IF(CV77&gt;=0.45,VLOOKUP(Calculator!E23,tbSkills!DH3:DI6,2,FALSE)+IF(AND(Calculator!B8=TRUE,Backdoors!BI17=TRUE),VLOOKUP(Calculator!E23,tbSkills!DH3:DJ6,3,FALSE),0),0)))/100)),1))*IF(VLOOKUP(A77,tbMoveset!A2:K112,11,FALSE)=TRUE,Backdoors!AC5,1))*CW77,0),"")</f>
        <v>0</v>
      </c>
      <c r="DA77" s="49">
        <f>VLOOKUP(A77,tbMoveset!A2:G112,7,FALSE)*IFERROR(IF(Backdoors!AI12&gt;=0,1+(IF(Calculator!E40&gt;0,VLOOKUP(Calculator!E40,tbSkills!AI3:AJ5,2,FALSE),Backdoors!AL4)*(IF((Backdoors!AI12+IF(CV77&gt;=0.45,VLOOKUP(Calculator!E23,tbSkills!DH3:DI6,2,FALSE)+IF(AND(Calculator!B8=TRUE,Backdoors!BI17=TRUE),VLOOKUP(Calculator!E23,tbSkills!DH3:DJ6,3,FALSE),0),0))&gt;=100,100,(Backdoors!AI12+IF(CV77&gt;=0.45,VLOOKUP(Calculator!E23,tbSkills!DH3:DI6,2,FALSE)+IF(AND(Calculator!B8=TRUE,Backdoors!BI17=TRUE),VLOOKUP(Calculator!E23,tbSkills!DH3:DJ6,3,FALSE),0),0)))/100)),1),1)</f>
        <v>0.4</v>
      </c>
      <c r="DB77" s="87">
        <f t="shared" si="65"/>
        <v>0</v>
      </c>
      <c r="DC77" s="86" t="str">
        <f>IFERROR(IF(VLOOKUP(A77,tbMoveset!A2:B112,2,FALSE)="Sever",Backdoors!AY18/100,IF(VLOOKUP(A77,tbMoveset!A2:B112,2,FALSE)="Blunt",Backdoors!AZ18/100,Backdoors!BA18/100)),"")</f>
        <v/>
      </c>
      <c r="DD77" s="49">
        <f>IFERROR(IF(VLOOKUP(tbMoveset!A77,tbMoveset!A2:H112,8,FALSE)="Other",IF(VLOOKUP(tbMoveset!A77,tbMoveset!A2:I112,9,FALSE)="Fire",Backdoors!BB18,IF(VLOOKUP(tbMoveset!A77,tbMoveset!A2:I112,9,FALSE)="Water",Backdoors!BC18,IF(VLOOKUP(tbMoveset!A77,tbMoveset!A2:I112,9,FALSE)="Thunder",Backdoors!BD18,IF(VLOOKUP(tbMoveset!A77,tbMoveset!A2:I112,9,FALSE)="Ice",Backdoors!BE18,IF(VLOOKUP(tbMoveset!A77,tbMoveset!A2:I112,9,FALSE)="Dragon",Backdoors!BF18,Backdoors!BG18)))))/100,Backdoors!BG18/100),"")</f>
        <v>0</v>
      </c>
      <c r="DE77" s="49">
        <f>IFERROR(IF(VLOOKUP(A77,tbMoveset!A2:J112,10,FALSE)=TRUE,IF((Backdoors!AI12+IF(DC77&gt;=0.45,VLOOKUP(Calculator!E23,tbSkills!DH3:DI6,2,FALSE)+IF(AND(Calculator!B8=TRUE,Backdoors!BI18=TRUE),VLOOKUP(Calculator!E23,tbSkills!DH3:DJ6,3,FALSE),0),0))&gt;=0,1+(Backdoors!AL2*(IF((Backdoors!AI12+IF(DC77&gt;=0.45,VLOOKUP(Calculator!E23,tbSkills!DH3:DI6,2,FALSE)+IF(AND(Calculator!B8=TRUE,Backdoors!BI18=TRUE),VLOOKUP(Calculator!E23,tbSkills!DH3:DJ6,3,FALSE),0),0))&gt;=100,100,(Backdoors!AI12+IF(DC77&gt;=0.45,VLOOKUP(Calculator!E23,tbSkills!DH3:DI6,2,FALSE)+IF(AND(Calculator!B8=TRUE,Backdoors!BI18=TRUE),VLOOKUP(Calculator!E23,tbSkills!DH3:DJ6,3,FALSE),0),0)))/100)),(1-(0.25*((-Backdoors!AI12-IF(DC77&gt;=0.45,VLOOKUP(Calculator!E23,tbSkills!DH3:DI6,2,FALSE)+IF(AND(Calculator!B8=TRUE,Backdoors!BI18=TRUE),VLOOKUP(Calculator!E23,tbSkills!DH3:DJ6,3,FALSE),0),0))/100)))),1),"")</f>
        <v>1</v>
      </c>
      <c r="DF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C77)*DE77)*(VLOOKUP(A77,tbMoveset!A2:C112,3,FALSE)/100)*IF(VLOOKUP(A77,tbMoveset!A2:B112,2,FALSE)="Projectile",Backdoors!N10,Backdoors!N9),0),"")</f>
        <v/>
      </c>
      <c r="DG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C77&gt;=0.45,VLOOKUP(Calculator!E23,tbSkills!DH3:DI6,2,FALSE)+IF(AND(Calculator!B8=TRUE,Backdoors!BI18=TRUE),VLOOKUP(Calculator!E23,tbSkills!DH3:DJ6,3,FALSE),0),0))&gt;=100,100,(Backdoors!AI12+IF(DC77&gt;=0.45,VLOOKUP(Calculator!E23,tbSkills!DH3:DI6,2,FALSE)+IF(AND(Calculator!B8=TRUE,Backdoors!BI18=TRUE),VLOOKUP(Calculator!E23,tbSkills!DH3:DJ6,3,FALSE),0),0)))/100)),1))*IF(VLOOKUP(A77,tbMoveset!A2:K112,11,FALSE)=TRUE,Backdoors!AC5,1))*DD77,0),"")</f>
        <v>0</v>
      </c>
      <c r="DH77" s="49">
        <f>VLOOKUP(A77,tbMoveset!A2:G112,7,FALSE)*IFERROR(IF(Backdoors!AI12&gt;=0,1+(IF(Calculator!E40&gt;0,VLOOKUP(Calculator!E40,tbSkills!AI3:AJ5,2,FALSE),Backdoors!AL4)*(IF((Backdoors!AI12+IF(DC77&gt;=0.45,VLOOKUP(Calculator!E23,tbSkills!DH3:DI6,2,FALSE)+IF(AND(Calculator!B8=TRUE,Backdoors!BI18=TRUE),VLOOKUP(Calculator!E23,tbSkills!DH3:DJ6,3,FALSE),0),0))&gt;=100,100,(Backdoors!AI12+IF(DC77&gt;=0.45,VLOOKUP(Calculator!E23,tbSkills!DH3:DI6,2,FALSE)+IF(AND(Calculator!B8=TRUE,Backdoors!BI18=TRUE),VLOOKUP(Calculator!E23,tbSkills!DH3:DJ6,3,FALSE),0),0)))/100)),1),1)</f>
        <v>0.4</v>
      </c>
      <c r="DI77" s="87">
        <f t="shared" si="66"/>
        <v>0</v>
      </c>
      <c r="DJ77" s="86" t="str">
        <f>IFERROR(IF(VLOOKUP(A77,tbMoveset!A2:B112,2,FALSE)="Sever",Backdoors!AY19/100,IF(VLOOKUP(A77,tbMoveset!A2:B112,2,FALSE)="Blunt",Backdoors!AZ19/100,Backdoors!BA19/100)),"")</f>
        <v/>
      </c>
      <c r="DK77" s="49">
        <f>IFERROR(IF(VLOOKUP(tbMoveset!A77,tbMoveset!A2:H112,8,FALSE)="Other",IF(VLOOKUP(tbMoveset!A77,tbMoveset!A2:I112,9,FALSE)="Fire",Backdoors!BB19,IF(VLOOKUP(tbMoveset!A77,tbMoveset!A2:I112,9,FALSE)="Water",Backdoors!BC19,IF(VLOOKUP(tbMoveset!A77,tbMoveset!A2:I112,9,FALSE)="Thunder",Backdoors!BD19,IF(VLOOKUP(tbMoveset!A77,tbMoveset!A2:I112,9,FALSE)="Ice",Backdoors!BE19,IF(VLOOKUP(tbMoveset!A77,tbMoveset!A2:I112,9,FALSE)="Dragon",Backdoors!BF19,Backdoors!BG19)))))/100,Backdoors!BG19/100),"")</f>
        <v>0</v>
      </c>
      <c r="DL77" s="49">
        <f>IFERROR(IF(VLOOKUP(A77,tbMoveset!A2:J112,10,FALSE)=TRUE,IF((Backdoors!AI12+IF(DJ77&gt;=0.45,VLOOKUP(Calculator!E23,tbSkills!DH3:DI6,2,FALSE)+IF(AND(Calculator!B8=TRUE,Backdoors!BI19=TRUE),VLOOKUP(Calculator!E23,tbSkills!DH3:DJ6,3,FALSE),0),0))&gt;=0,1+(Backdoors!AL2*(IF((Backdoors!AI12+IF(DJ77&gt;=0.45,VLOOKUP(Calculator!E23,tbSkills!DH3:DI6,2,FALSE)+IF(AND(Calculator!B8=TRUE,Backdoors!BI19=TRUE),VLOOKUP(Calculator!E23,tbSkills!DH3:DJ6,3,FALSE),0),0))&gt;=100,100,(Backdoors!AI12+IF(DJ77&gt;=0.45,VLOOKUP(Calculator!E23,tbSkills!DH3:DI6,2,FALSE)+IF(AND(Calculator!B8=TRUE,Backdoors!BI19=TRUE),VLOOKUP(Calculator!E23,tbSkills!DH3:DJ6,3,FALSE),0),0)))/100)),(1-(0.25*((-Backdoors!AI12-IF(DJ77&gt;=0.45,VLOOKUP(Calculator!E23,tbSkills!DH3:DI6,2,FALSE)+IF(AND(Calculator!B8=TRUE,Backdoors!BI19=TRUE),VLOOKUP(Calculator!E23,tbSkills!DH3:DJ6,3,FALSE),0),0))/100)))),1),"")</f>
        <v>1</v>
      </c>
      <c r="DM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J77)*DL77)*(VLOOKUP(A77,tbMoveset!A2:C112,3,FALSE)/100)*IF(VLOOKUP(A77,tbMoveset!A2:B112,2,FALSE)="Projectile",Backdoors!N10,Backdoors!N9),0),"")</f>
        <v/>
      </c>
      <c r="DN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J77&gt;=0.45,VLOOKUP(Calculator!E23,tbSkills!DH3:DI6,2,FALSE)+IF(AND(Calculator!B8=TRUE,Backdoors!BI19=TRUE),VLOOKUP(Calculator!E23,tbSkills!DH3:DJ6,3,FALSE),0),0))&gt;=100,100,(Backdoors!AI12+IF(DJ77&gt;=0.45,VLOOKUP(Calculator!E23,tbSkills!DH3:DI6,2,FALSE)+IF(AND(Calculator!B8=TRUE,Backdoors!BI19=TRUE),VLOOKUP(Calculator!E23,tbSkills!DH3:DJ6,3,FALSE),0),0)))/100)),1))*IF(VLOOKUP(A77,tbMoveset!A2:K112,11,FALSE)=TRUE,Backdoors!AC5,1))*DK77,0),"")</f>
        <v>0</v>
      </c>
      <c r="DO77" s="49">
        <f>VLOOKUP(A77,tbMoveset!A2:G112,7,FALSE)*IFERROR(IF(Backdoors!AI12&gt;=0,1+(IF(Calculator!E40&gt;0,VLOOKUP(Calculator!E40,tbSkills!AI3:AJ5,2,FALSE),Backdoors!AL4)*(IF((Backdoors!AI12+IF(DJ77&gt;=0.45,VLOOKUP(Calculator!E23,tbSkills!DH3:DI6,2,FALSE)+IF(AND(Calculator!B8=TRUE,Backdoors!BI19=TRUE),VLOOKUP(Calculator!E23,tbSkills!DH3:DJ6,3,FALSE),0),0))&gt;=100,100,(Backdoors!AI12+IF(DJ77&gt;=0.45,VLOOKUP(Calculator!E23,tbSkills!DH3:DI6,2,FALSE)+IF(AND(Calculator!B8=TRUE,Backdoors!BI19=TRUE),VLOOKUP(Calculator!E23,tbSkills!DH3:DJ6,3,FALSE),0),0)))/100)),1),1)</f>
        <v>0.4</v>
      </c>
      <c r="DP77" s="87">
        <f t="shared" si="67"/>
        <v>0</v>
      </c>
      <c r="DQ77" s="86" t="str">
        <f>IFERROR(IF(VLOOKUP(A77,tbMoveset!A2:B112,2,FALSE)="Sever",Backdoors!AY20/100,IF(VLOOKUP(A77,tbMoveset!A2:B112,2,FALSE)="Blunt",Backdoors!AZ20/100,Backdoors!BA20/100)),"")</f>
        <v/>
      </c>
      <c r="DR77" s="49">
        <f>IFERROR(IF(VLOOKUP(tbMoveset!A77,tbMoveset!A2:H112,8,FALSE)="Other",IF(VLOOKUP(tbMoveset!A77,tbMoveset!A2:I112,9,FALSE)="Fire",Backdoors!BB20,IF(VLOOKUP(tbMoveset!A77,tbMoveset!A2:I112,9,FALSE)="Water",Backdoors!BC20,IF(VLOOKUP(tbMoveset!A77,tbMoveset!A2:I112,9,FALSE)="Thunder",Backdoors!BD20,IF(VLOOKUP(tbMoveset!A77,tbMoveset!A2:I112,9,FALSE)="Ice",Backdoors!BE20,IF(VLOOKUP(tbMoveset!A77,tbMoveset!A2:I112,9,FALSE)="Dragon",Backdoors!BF20,Backdoors!BG20)))))/100,Backdoors!BG20/100),"")</f>
        <v>0</v>
      </c>
      <c r="DS77" s="49">
        <f>IFERROR(IF(VLOOKUP(A77,tbMoveset!A2:J112,10,FALSE)=TRUE,IF((Backdoors!AI12+IF(DQ77&gt;=0.45,VLOOKUP(Calculator!E23,tbSkills!DH3:DI6,2,FALSE)+IF(AND(Calculator!B8=TRUE,Backdoors!BI20=TRUE),VLOOKUP(Calculator!E23,tbSkills!DH3:DJ6,3,FALSE),0),0))&gt;=0,1+(Backdoors!AL2*(IF((Backdoors!AI12+IF(DQ77&gt;=0.45,VLOOKUP(Calculator!E23,tbSkills!DH3:DI6,2,FALSE)+IF(AND(Calculator!B8=TRUE,Backdoors!BI20=TRUE),VLOOKUP(Calculator!E23,tbSkills!DH3:DJ6,3,FALSE),0),0))&gt;=100,100,(Backdoors!AI12+IF(DQ77&gt;=0.45,VLOOKUP(Calculator!E23,tbSkills!DH3:DI6,2,FALSE)+IF(AND(Calculator!B8=TRUE,Backdoors!BI20=TRUE),VLOOKUP(Calculator!E23,tbSkills!DH3:DJ6,3,FALSE),0),0)))/100)),(1-(0.25*((-Backdoors!AI12-IF(DQ77&gt;=0.45,VLOOKUP(Calculator!E23,tbSkills!DH3:DI6,2,FALSE)+IF(AND(Calculator!B8=TRUE,Backdoors!BI20=TRUE),VLOOKUP(Calculator!E23,tbSkills!DH3:DJ6,3,FALSE),0),0))/100)))),1),"")</f>
        <v>1</v>
      </c>
      <c r="DT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Q77)*DS77)*(VLOOKUP(A77,tbMoveset!A2:C112,3,FALSE)/100)*IF(VLOOKUP(A77,tbMoveset!A2:B112,2,FALSE)="Projectile",Backdoors!N10,Backdoors!N9),0),"")</f>
        <v/>
      </c>
      <c r="DU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Q77&gt;=0.45,VLOOKUP(Calculator!E23,tbSkills!DH3:DI6,2,FALSE)+IF(AND(Calculator!B8=TRUE,Backdoors!BI20=TRUE),VLOOKUP(Calculator!E23,tbSkills!DH3:DJ6,3,FALSE),0),0))&gt;=100,100,(Backdoors!AI12+IF(DQ77&gt;=0.45,VLOOKUP(Calculator!E23,tbSkills!DH3:DI6,2,FALSE)+IF(AND(Calculator!B8=TRUE,Backdoors!BI20=TRUE),VLOOKUP(Calculator!E23,tbSkills!DH3:DJ6,3,FALSE),0),0)))/100)),1))*IF(VLOOKUP(A77,tbMoveset!A2:K112,11,FALSE)=TRUE,Backdoors!AC5,1))*DR77,0),"")</f>
        <v>0</v>
      </c>
      <c r="DV77" s="49">
        <f>VLOOKUP(A77,tbMoveset!A2:G112,7,FALSE)*IFERROR(IF(Backdoors!AI12&gt;=0,1+(IF(Calculator!E40&gt;0,VLOOKUP(Calculator!E40,tbSkills!AI3:AJ5,2,FALSE),Backdoors!AL4)*(IF((Backdoors!AI12+IF(DQ77&gt;=0.45,VLOOKUP(Calculator!E23,tbSkills!DH3:DI6,2,FALSE)+IF(AND(Calculator!B8=TRUE,Backdoors!BI20=TRUE),VLOOKUP(Calculator!E23,tbSkills!DH3:DJ6,3,FALSE),0),0))&gt;=100,100,(Backdoors!AI12+IF(DQ77&gt;=0.45,VLOOKUP(Calculator!E23,tbSkills!DH3:DI6,2,FALSE)+IF(AND(Calculator!B8=TRUE,Backdoors!BI20=TRUE),VLOOKUP(Calculator!E23,tbSkills!DH3:DJ6,3,FALSE),0),0)))/100)),1),1)</f>
        <v>0.4</v>
      </c>
      <c r="DW77" s="87">
        <f t="shared" si="68"/>
        <v>0</v>
      </c>
      <c r="DX77" s="86" t="str">
        <f>IFERROR(IF(VLOOKUP(A77,tbMoveset!A2:B112,2,FALSE)="Sever",Backdoors!AY21/100,IF(VLOOKUP(A77,tbMoveset!A2:B112,2,FALSE)="Blunt",Backdoors!AZ21/100,Backdoors!BA21/100)),"")</f>
        <v/>
      </c>
      <c r="DY77" s="49">
        <f>IFERROR(IF(VLOOKUP(tbMoveset!A77,tbMoveset!A2:H112,8,FALSE)="Other",IF(VLOOKUP(tbMoveset!A77,tbMoveset!A2:I112,9,FALSE)="Fire",Backdoors!BB21,IF(VLOOKUP(tbMoveset!A77,tbMoveset!A2:I112,9,FALSE)="Water",Backdoors!BC21,IF(VLOOKUP(tbMoveset!A77,tbMoveset!A2:I112,9,FALSE)="Thunder",Backdoors!BD21,IF(VLOOKUP(tbMoveset!A77,tbMoveset!A2:I112,9,FALSE)="Ice",Backdoors!BE21,IF(VLOOKUP(tbMoveset!A77,tbMoveset!A2:I112,9,FALSE)="Dragon",Backdoors!BF21,Backdoors!BG21)))))/100,Backdoors!BG21/100),"")</f>
        <v>0</v>
      </c>
      <c r="DZ77" s="49">
        <f>IFERROR(IF(VLOOKUP(A77,tbMoveset!A2:J112,10,FALSE)=TRUE,IF((Backdoors!AI12+IF(DX77&gt;=0.45,VLOOKUP(Calculator!E23,tbSkills!DH3:DI6,2,FALSE)+IF(AND(Calculator!B8=TRUE,Backdoors!BI21=TRUE),VLOOKUP(Calculator!E23,tbSkills!DH3:DJ6,3,FALSE),0),0))&gt;=0,1+(Backdoors!AL2*(IF((Backdoors!AI12+IF(DX77&gt;=0.45,VLOOKUP(Calculator!E23,tbSkills!DH3:DI6,2,FALSE)+IF(AND(Calculator!B8=TRUE,Backdoors!BI21=TRUE),VLOOKUP(Calculator!E23,tbSkills!DH3:DJ6,3,FALSE),0),0))&gt;=100,100,(Backdoors!AI12+IF(DX77&gt;=0.45,VLOOKUP(Calculator!E23,tbSkills!DH3:DI6,2,FALSE)+IF(AND(Calculator!B8=TRUE,Backdoors!BI21=TRUE),VLOOKUP(Calculator!E23,tbSkills!DH3:DJ6,3,FALSE),0),0)))/100)),(1-(0.25*((-Backdoors!AI12-IF(DX77&gt;=0.45,VLOOKUP(Calculator!E23,tbSkills!DH3:DI6,2,FALSE)+IF(AND(Calculator!B8=TRUE,Backdoors!BI21=TRUE),VLOOKUP(Calculator!E23,tbSkills!DH3:DJ6,3,FALSE),0),0))/100)))),1),"")</f>
        <v>1</v>
      </c>
      <c r="EA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X77)*DZ77)*(VLOOKUP(A77,tbMoveset!A2:C112,3,FALSE)/100)*IF(VLOOKUP(A77,tbMoveset!A2:B112,2,FALSE)="Projectile",Backdoors!N10,Backdoors!N9),0),"")</f>
        <v/>
      </c>
      <c r="EB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X77&gt;=0.45,VLOOKUP(Calculator!E23,tbSkills!DH3:DI6,2,FALSE)+IF(AND(Calculator!B8=TRUE,Backdoors!BI21=TRUE),VLOOKUP(Calculator!E23,tbSkills!DH3:DJ6,3,FALSE),0),0))&gt;=100,100,(Backdoors!AI12+IF(DX77&gt;=0.45,VLOOKUP(Calculator!E23,tbSkills!DH3:DI6,2,FALSE)+IF(AND(Calculator!B8=TRUE,Backdoors!BI21=TRUE),VLOOKUP(Calculator!E23,tbSkills!DH3:DJ6,3,FALSE),0),0)))/100)),1))*IF(VLOOKUP(A77,tbMoveset!A2:K112,11,FALSE)=TRUE,Backdoors!AC5,1))*DY77,0),"")</f>
        <v>0</v>
      </c>
      <c r="EC77" s="49">
        <f>VLOOKUP(A77,tbMoveset!A2:G112,7,FALSE)*IFERROR(IF(Backdoors!AI12&gt;=0,1+(IF(Calculator!E40&gt;0,VLOOKUP(Calculator!E40,tbSkills!AI3:AJ5,2,FALSE),Backdoors!AL4)*(IF((Backdoors!AI12+IF(DX77&gt;=0.45,VLOOKUP(Calculator!E23,tbSkills!DH3:DI6,2,FALSE)+IF(AND(Calculator!B8=TRUE,Backdoors!BI21=TRUE),VLOOKUP(Calculator!E23,tbSkills!DH3:DJ6,3,FALSE),0),0))&gt;=100,100,(Backdoors!AI12+IF(DX77&gt;=0.45,VLOOKUP(Calculator!E23,tbSkills!DH3:DI6,2,FALSE)+IF(AND(Calculator!B8=TRUE,Backdoors!BI21=TRUE),VLOOKUP(Calculator!E23,tbSkills!DH3:DJ6,3,FALSE),0),0)))/100)),1),1)</f>
        <v>0.4</v>
      </c>
      <c r="ED77" s="87">
        <f t="shared" si="69"/>
        <v>0</v>
      </c>
      <c r="EE77" s="86" t="str">
        <f>IFERROR(IF(VLOOKUP(A77,tbMoveset!A2:B112,2,FALSE)="Sever",Backdoors!AY22/100,IF(VLOOKUP(A77,tbMoveset!A2:B112,2,FALSE)="Blunt",Backdoors!AZ22/100,Backdoors!BA22/100)),"")</f>
        <v/>
      </c>
      <c r="EF77" s="49">
        <f>IFERROR(IF(VLOOKUP(tbMoveset!A77,tbMoveset!A2:H112,8,FALSE)="Other",IF(VLOOKUP(tbMoveset!A77,tbMoveset!A2:I112,9,FALSE)="Fire",Backdoors!BB22,IF(VLOOKUP(tbMoveset!A77,tbMoveset!A2:I112,9,FALSE)="Water",Backdoors!BC22,IF(VLOOKUP(tbMoveset!A77,tbMoveset!A2:I112,9,FALSE)="Thunder",Backdoors!BD22,IF(VLOOKUP(tbMoveset!A77,tbMoveset!A2:I112,9,FALSE)="Ice",Backdoors!BE22,IF(VLOOKUP(tbMoveset!A77,tbMoveset!A2:I112,9,FALSE)="Dragon",Backdoors!BF22,Backdoors!BG22)))))/100,Backdoors!BG22/100),"")</f>
        <v>0</v>
      </c>
      <c r="EG77" s="49">
        <f>IFERROR(IF(VLOOKUP(A77,tbMoveset!A2:J112,10,FALSE)=TRUE,IF((Backdoors!AI12+IF(EE77&gt;=0.45,VLOOKUP(Calculator!E23,tbSkills!DH3:DI6,2,FALSE)+IF(AND(Calculator!B8=TRUE,Backdoors!BI22=TRUE),VLOOKUP(Calculator!E23,tbSkills!DH3:DJ6,3,FALSE),0),0))&gt;=0,1+(Backdoors!AL2*(IF((Backdoors!AI12+IF(EE77&gt;=0.45,VLOOKUP(Calculator!E23,tbSkills!DH3:DI6,2,FALSE)+IF(AND(Calculator!B8=TRUE,Backdoors!BI22=TRUE),VLOOKUP(Calculator!E23,tbSkills!DH3:DJ6,3,FALSE),0),0))&gt;=100,100,(Backdoors!AI12+IF(EE77&gt;=0.45,VLOOKUP(Calculator!E23,tbSkills!DH3:DI6,2,FALSE)+IF(AND(Calculator!B8=TRUE,Backdoors!BI22=TRUE),VLOOKUP(Calculator!E23,tbSkills!DH3:DJ6,3,FALSE),0),0)))/100)),(1-(0.25*((-Backdoors!AI12-IF(EE77&gt;=0.45,VLOOKUP(Calculator!E23,tbSkills!DH3:DI6,2,FALSE)+IF(AND(Calculator!B8=TRUE,Backdoors!BI22=TRUE),VLOOKUP(Calculator!E23,tbSkills!DH3:DJ6,3,FALSE),0),0))/100)))),1),"")</f>
        <v>1</v>
      </c>
      <c r="EH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E77)*EG77)*(VLOOKUP(A77,tbMoveset!A2:C112,3,FALSE)/100)*IF(VLOOKUP(A77,tbMoveset!A2:B112,2,FALSE)="Projectile",Backdoors!N10,Backdoors!N9),0),"")</f>
        <v/>
      </c>
      <c r="EI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E77&gt;=0.45,VLOOKUP(Calculator!E23,tbSkills!DH3:DI6,2,FALSE)+IF(AND(Calculator!B8=TRUE,Backdoors!BI22=TRUE),VLOOKUP(Calculator!E23,tbSkills!DH3:DJ6,3,FALSE),0),0))&gt;=100,100,(Backdoors!AI12+IF(EE77&gt;=0.45,VLOOKUP(Calculator!E23,tbSkills!DH3:DI6,2,FALSE)+IF(AND(Calculator!B8=TRUE,Backdoors!BI22=TRUE),VLOOKUP(Calculator!E23,tbSkills!DH3:DJ6,3,FALSE),0),0)))/100)),1))*IF(VLOOKUP(A77,tbMoveset!A2:K112,11,FALSE)=TRUE,Backdoors!AC5,1))*EF77,0),"")</f>
        <v>0</v>
      </c>
      <c r="EJ77" s="49">
        <f>VLOOKUP(A77,tbMoveset!A2:G112,7,FALSE)*IFERROR(IF(Backdoors!AI12&gt;=0,1+(IF(Calculator!E40&gt;0,VLOOKUP(Calculator!E40,tbSkills!AI3:AJ5,2,FALSE),Backdoors!AL4)*(IF((Backdoors!AI12+IF(EE77&gt;=0.45,VLOOKUP(Calculator!E23,tbSkills!DH3:DI6,2,FALSE)+IF(AND(Calculator!B8=TRUE,Backdoors!BI22=TRUE),VLOOKUP(Calculator!E23,tbSkills!DH3:DJ6,3,FALSE),0),0))&gt;=100,100,(Backdoors!AI12+IF(EE77&gt;=0.45,VLOOKUP(Calculator!E23,tbSkills!DH3:DI6,2,FALSE)+IF(AND(Calculator!B8=TRUE,Backdoors!BI22=TRUE),VLOOKUP(Calculator!E23,tbSkills!DH3:DJ6,3,FALSE),0),0)))/100)),1),1)</f>
        <v>0.4</v>
      </c>
      <c r="EK77" s="87">
        <f t="shared" si="70"/>
        <v>0</v>
      </c>
      <c r="EL77" s="86" t="str">
        <f>IFERROR(IF(VLOOKUP(A77,tbMoveset!A2:B112,2,FALSE)="Sever",Backdoors!AY23/100,IF(VLOOKUP(A77,tbMoveset!A2:B112,2,FALSE)="Blunt",Backdoors!AZ23/100,Backdoors!BA23/100)),"")</f>
        <v/>
      </c>
      <c r="EM77" s="49">
        <f>IFERROR(IF(VLOOKUP(tbMoveset!A77,tbMoveset!A2:H112,8,FALSE)="Other",IF(VLOOKUP(tbMoveset!A77,tbMoveset!A2:I112,9,FALSE)="Fire",Backdoors!BB23,IF(VLOOKUP(tbMoveset!A77,tbMoveset!A2:I112,9,FALSE)="Water",Backdoors!BC23,IF(VLOOKUP(tbMoveset!A77,tbMoveset!A2:I112,9,FALSE)="Thunder",Backdoors!BD23,IF(VLOOKUP(tbMoveset!A77,tbMoveset!A2:I112,9,FALSE)="Ice",Backdoors!BE23,IF(VLOOKUP(tbMoveset!A77,tbMoveset!A2:I112,9,FALSE)="Dragon",Backdoors!BF23,Backdoors!BG23)))))/100,Backdoors!BG23/100),"")</f>
        <v>0</v>
      </c>
      <c r="EN77" s="49">
        <f>IFERROR(IF(VLOOKUP(A77,tbMoveset!A2:J112,10,FALSE)=TRUE,IF((Backdoors!AI12+IF(EL77&gt;=0.45,VLOOKUP(Calculator!E23,tbSkills!DH3:DI6,2,FALSE)+IF(AND(Calculator!B8=TRUE,Backdoors!BI23=TRUE),VLOOKUP(Calculator!E23,tbSkills!DH3:DJ6,3,FALSE),0),0))&gt;=0,1+(Backdoors!AL2*(IF((Backdoors!AI12+IF(EL77&gt;=0.45,VLOOKUP(Calculator!E23,tbSkills!DH3:DI6,2,FALSE)+IF(AND(Calculator!B8=TRUE,Backdoors!BI23=TRUE),VLOOKUP(Calculator!E23,tbSkills!DH3:DJ6,3,FALSE),0),0))&gt;=100,100,(Backdoors!AI12+IF(EL77&gt;=0.45,VLOOKUP(Calculator!E23,tbSkills!DH3:DI6,2,FALSE)+IF(AND(Calculator!B8=TRUE,Backdoors!BI23=TRUE),VLOOKUP(Calculator!E23,tbSkills!DH3:DJ6,3,FALSE),0),0)))/100)),(1-(0.25*((-Backdoors!AI12-IF(EL77&gt;=0.45,VLOOKUP(Calculator!E23,tbSkills!DH3:DI6,2,FALSE)+IF(AND(Calculator!B8=TRUE,Backdoors!BI23=TRUE),VLOOKUP(Calculator!E23,tbSkills!DH3:DJ6,3,FALSE),0),0))/100)))),1),"")</f>
        <v>1</v>
      </c>
      <c r="EO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L77)*EN77)*(VLOOKUP(A77,tbMoveset!A2:C112,3,FALSE)/100)*IF(VLOOKUP(A77,tbMoveset!A2:B112,2,FALSE)="Projectile",Backdoors!N10,Backdoors!N9),0),"")</f>
        <v/>
      </c>
      <c r="EP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L77&gt;=0.45,VLOOKUP(Calculator!E23,tbSkills!DH3:DI6,2,FALSE)+IF(AND(Calculator!B8=TRUE,Backdoors!BI23=TRUE),VLOOKUP(Calculator!E23,tbSkills!DH3:DJ6,3,FALSE),0),0))&gt;=100,100,(Backdoors!AI12+IF(EL77&gt;=0.45,VLOOKUP(Calculator!E23,tbSkills!DH3:DI6,2,FALSE)+IF(AND(Calculator!B8=TRUE,Backdoors!BI23=TRUE),VLOOKUP(Calculator!E23,tbSkills!DH3:DJ6,3,FALSE),0),0)))/100)),1))*IF(VLOOKUP(A77,tbMoveset!A2:K112,11,FALSE)=TRUE,Backdoors!AC5,1))*EM77,0),"")</f>
        <v>0</v>
      </c>
      <c r="EQ77" s="49">
        <f>VLOOKUP(A77,tbMoveset!A2:G112,7,FALSE)*IFERROR(IF(Backdoors!AI12&gt;=0,1+(IF(Calculator!E40&gt;0,VLOOKUP(Calculator!E40,tbSkills!AI3:AJ5,2,FALSE),Backdoors!AL4)*(IF((Backdoors!AI12+IF(EL77&gt;=0.45,VLOOKUP(Calculator!E23,tbSkills!DH3:DI6,2,FALSE)+IF(AND(Calculator!B8=TRUE,Backdoors!BI23=TRUE),VLOOKUP(Calculator!E23,tbSkills!DH3:DJ6,3,FALSE),0),0))&gt;=100,100,(Backdoors!AI12+IF(EL77&gt;=0.45,VLOOKUP(Calculator!E23,tbSkills!DH3:DI6,2,FALSE)+IF(AND(Calculator!B8=TRUE,Backdoors!BI23=TRUE),VLOOKUP(Calculator!E23,tbSkills!DH3:DJ6,3,FALSE),0),0)))/100)),1),1)</f>
        <v>0.4</v>
      </c>
      <c r="ER77" s="87">
        <f t="shared" si="71"/>
        <v>0</v>
      </c>
      <c r="ES77" s="86" t="str">
        <f>IFERROR(IF(VLOOKUP(A77,tbMoveset!A2:B112,2,FALSE)="Sever",Backdoors!AY24/100,IF(VLOOKUP(A77,tbMoveset!A2:B112,2,FALSE)="Blunt",Backdoors!AZ24/100,Backdoors!BA24/100)),"")</f>
        <v/>
      </c>
      <c r="ET77" s="49">
        <f>IFERROR(IF(VLOOKUP(tbMoveset!A77,tbMoveset!A2:H112,8,FALSE)="Other",IF(VLOOKUP(tbMoveset!A77,tbMoveset!A2:I112,9,FALSE)="Fire",Backdoors!BB24,IF(VLOOKUP(tbMoveset!A77,tbMoveset!A2:I112,9,FALSE)="Water",Backdoors!BC24,IF(VLOOKUP(tbMoveset!A77,tbMoveset!A2:I112,9,FALSE)="Thunder",Backdoors!BD24,IF(VLOOKUP(tbMoveset!A77,tbMoveset!A2:I112,9,FALSE)="Ice",Backdoors!BE24,IF(VLOOKUP(tbMoveset!A77,tbMoveset!A2:I112,9,FALSE)="Dragon",Backdoors!BF24,Backdoors!BG24)))))/100,Backdoors!BG24/100),"")</f>
        <v>0</v>
      </c>
      <c r="EU77" s="49">
        <f>IFERROR(IF(VLOOKUP(A77,tbMoveset!A2:J112,10,FALSE)=TRUE,IF((Backdoors!AI12+IF(ES77&gt;=0.45,VLOOKUP(Calculator!E23,tbSkills!DH3:DI6,2,FALSE)+IF(AND(Calculator!B8=TRUE,Backdoors!BI24=TRUE),VLOOKUP(Calculator!E23,tbSkills!DH3:DJ6,3,FALSE),0),0))&gt;=0,1+(Backdoors!AL2*(IF((Backdoors!AI12+IF(ES77&gt;=0.45,VLOOKUP(Calculator!E23,tbSkills!DH3:DI6,2,FALSE)+IF(AND(Calculator!B8=TRUE,Backdoors!BI24=TRUE),VLOOKUP(Calculator!E23,tbSkills!DH3:DJ6,3,FALSE),0),0))&gt;=100,100,(Backdoors!AI12+IF(ES77&gt;=0.45,VLOOKUP(Calculator!E23,tbSkills!DH3:DI6,2,FALSE)+IF(AND(Calculator!B8=TRUE,Backdoors!BI24=TRUE),VLOOKUP(Calculator!E23,tbSkills!DH3:DJ6,3,FALSE),0),0)))/100)),(1-(0.25*((-Backdoors!AI12-IF(ES77&gt;=0.45,VLOOKUP(Calculator!E23,tbSkills!DH3:DI6,2,FALSE)+IF(AND(Calculator!B8=TRUE,Backdoors!BI24=TRUE),VLOOKUP(Calculator!E23,tbSkills!DH3:DJ6,3,FALSE),0),0))/100)))),1),"")</f>
        <v>1</v>
      </c>
      <c r="EV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S77)*EU77)*(VLOOKUP(A77,tbMoveset!A2:C112,3,FALSE)/100)*IF(VLOOKUP(A77,tbMoveset!A2:B112,2,FALSE)="Projectile",Backdoors!N10,Backdoors!N9),0),"")</f>
        <v/>
      </c>
      <c r="EW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S77&gt;=0.45,VLOOKUP(Calculator!E23,tbSkills!DH3:DI6,2,FALSE)+IF(AND(Calculator!B8=TRUE,Backdoors!BI24=TRUE),VLOOKUP(Calculator!E23,tbSkills!DH3:DJ6,3,FALSE),0),0))&gt;=100,100,(Backdoors!AI12+IF(ES77&gt;=0.45,VLOOKUP(Calculator!E23,tbSkills!DH3:DI6,2,FALSE)+IF(AND(Calculator!B8=TRUE,Backdoors!BI24=TRUE),VLOOKUP(Calculator!E23,tbSkills!DH3:DJ6,3,FALSE),0),0)))/100)),1))*IF(VLOOKUP(A77,tbMoveset!A2:K112,11,FALSE)=TRUE,Backdoors!AC5,1))*ET77,0),"")</f>
        <v>0</v>
      </c>
      <c r="EX77" s="49">
        <f>VLOOKUP(A77,tbMoveset!A2:G112,7,FALSE)*IFERROR(IF(Backdoors!AI12&gt;=0,1+(IF(Calculator!E40&gt;0,VLOOKUP(Calculator!E40,tbSkills!AI3:AJ5,2,FALSE),Backdoors!AL4)*(IF((Backdoors!AI12+IF(ES77&gt;=0.45,VLOOKUP(Calculator!E23,tbSkills!DH3:DI6,2,FALSE)+IF(AND(Calculator!B8=TRUE,Backdoors!BI24=TRUE),VLOOKUP(Calculator!E23,tbSkills!DH3:DJ6,3,FALSE),0),0))&gt;=100,100,(Backdoors!AI12+IF(ES77&gt;=0.45,VLOOKUP(Calculator!E23,tbSkills!DH3:DI6,2,FALSE)+IF(AND(Calculator!B8=TRUE,Backdoors!BI24=TRUE),VLOOKUP(Calculator!E23,tbSkills!DH3:DJ6,3,FALSE),0),0)))/100)),1),1)</f>
        <v>0.4</v>
      </c>
      <c r="EY77" s="87">
        <f t="shared" si="72"/>
        <v>0</v>
      </c>
      <c r="EZ77" s="86" t="str">
        <f>IFERROR(IF(VLOOKUP(A77,tbMoveset!A2:B112,2,FALSE)="Sever",Backdoors!AY25/100,IF(VLOOKUP(A77,tbMoveset!A2:B112,2,FALSE)="Blunt",Backdoors!AZ25/100,Backdoors!BA25/100)),"")</f>
        <v/>
      </c>
      <c r="FA77" s="49">
        <f>IFERROR(IF(VLOOKUP(tbMoveset!A77,tbMoveset!A2:H112,8,FALSE)="Other",IF(VLOOKUP(tbMoveset!A77,tbMoveset!A2:I112,9,FALSE)="Fire",Backdoors!BB25,IF(VLOOKUP(tbMoveset!A77,tbMoveset!A2:I112,9,FALSE)="Water",Backdoors!BC25,IF(VLOOKUP(tbMoveset!A77,tbMoveset!A2:I112,9,FALSE)="Thunder",Backdoors!BD25,IF(VLOOKUP(tbMoveset!A77,tbMoveset!A2:I112,9,FALSE)="Ice",Backdoors!BE25,IF(VLOOKUP(tbMoveset!A77,tbMoveset!A2:I112,9,FALSE)="Dragon",Backdoors!BF25,Backdoors!BG25)))))/100,Backdoors!BG25/100),"")</f>
        <v>0</v>
      </c>
      <c r="FB77" s="49">
        <f>IFERROR(IF(VLOOKUP(A77,tbMoveset!A2:J112,10,FALSE)=TRUE,IF((Backdoors!AI12+IF(EZ77&gt;=0.45,VLOOKUP(Calculator!E23,tbSkills!DH3:DI6,2,FALSE)+IF(AND(Calculator!B8=TRUE,Backdoors!BI25=TRUE),VLOOKUP(Calculator!E23,tbSkills!DH3:DJ6,3,FALSE),0),0))&gt;=0,1+(Backdoors!AL2*(IF((Backdoors!AI12+IF(EZ77&gt;=0.45,VLOOKUP(Calculator!E23,tbSkills!DH3:DI6,2,FALSE)+IF(AND(Calculator!B8=TRUE,Backdoors!BI25=TRUE),VLOOKUP(Calculator!E23,tbSkills!DH3:DJ6,3,FALSE),0),0))&gt;=100,100,(Backdoors!AI12+IF(EZ77&gt;=0.45,VLOOKUP(Calculator!E23,tbSkills!DH3:DI6,2,FALSE)+IF(AND(Calculator!B8=TRUE,Backdoors!BI25=TRUE),VLOOKUP(Calculator!E23,tbSkills!DH3:DJ6,3,FALSE),0),0)))/100)),(1-(0.25*((-Backdoors!AI12-IF(EZ77&gt;=0.45,VLOOKUP(Calculator!E23,tbSkills!DH3:DI6,2,FALSE)+IF(AND(Calculator!B8=TRUE,Backdoors!BI25=TRUE),VLOOKUP(Calculator!E23,tbSkills!DH3:DJ6,3,FALSE),0),0))/100)))),1),"")</f>
        <v>1</v>
      </c>
      <c r="FC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Z77)*FB77)*(VLOOKUP(A77,tbMoveset!A2:C112,3,FALSE)/100)*IF(VLOOKUP(A77,tbMoveset!A2:B112,2,FALSE)="Projectile",Backdoors!N10,Backdoors!N9),0),"")</f>
        <v/>
      </c>
      <c r="FD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Z77&gt;=0.45,VLOOKUP(Calculator!E23,tbSkills!DH3:DI6,2,FALSE)+IF(AND(Calculator!B8=TRUE,Backdoors!BI25=TRUE),VLOOKUP(Calculator!E23,tbSkills!DH3:DJ6,3,FALSE),0),0))&gt;=100,100,(Backdoors!AI12+IF(EZ77&gt;=0.45,VLOOKUP(Calculator!E23,tbSkills!DH3:DI6,2,FALSE)+IF(AND(Calculator!B8=TRUE,Backdoors!BI25=TRUE),VLOOKUP(Calculator!E23,tbSkills!DH3:DJ6,3,FALSE),0),0)))/100)),1))*IF(VLOOKUP(A77,tbMoveset!A2:K112,11,FALSE)=TRUE,Backdoors!AC5,1))*FA77,0),"")</f>
        <v>0</v>
      </c>
      <c r="FE77" s="49">
        <f>VLOOKUP(A77,tbMoveset!A2:G112,7,FALSE)*IFERROR(IF(Backdoors!AI12&gt;=0,1+(IF(Calculator!E40&gt;0,VLOOKUP(Calculator!E40,tbSkills!AI3:AJ5,2,FALSE),Backdoors!AL4)*(IF((Backdoors!AI12+IF(EZ77&gt;=0.45,VLOOKUP(Calculator!E23,tbSkills!DH3:DI6,2,FALSE)+IF(AND(Calculator!B8=TRUE,Backdoors!BI25=TRUE),VLOOKUP(Calculator!E23,tbSkills!DH3:DJ6,3,FALSE),0),0))&gt;=100,100,(Backdoors!AI12+IF(EZ77&gt;=0.45,VLOOKUP(Calculator!E23,tbSkills!DH3:DI6,2,FALSE)+IF(AND(Calculator!B8=TRUE,Backdoors!BI25=TRUE),VLOOKUP(Calculator!E23,tbSkills!DH3:DJ6,3,FALSE),0),0)))/100)),1),1)</f>
        <v>0.4</v>
      </c>
      <c r="FF77" s="87">
        <f t="shared" si="73"/>
        <v>0</v>
      </c>
      <c r="FG77" s="86" t="str">
        <f>IFERROR(IF(VLOOKUP(A77,tbMoveset!A2:B112,2,FALSE)="Sever",Backdoors!AY26/100,IF(VLOOKUP(A77,tbMoveset!A2:B112,2,FALSE)="Blunt",Backdoors!AZ26/100,Backdoors!BA26/100)),"")</f>
        <v/>
      </c>
      <c r="FH77" s="49">
        <f>IFERROR(IF(VLOOKUP(tbMoveset!A77,tbMoveset!A2:H112,8,FALSE)="Other",IF(VLOOKUP(tbMoveset!A77,tbMoveset!A2:I112,9,FALSE)="Fire",Backdoors!BB26,IF(VLOOKUP(tbMoveset!A77,tbMoveset!A2:I112,9,FALSE)="Water",Backdoors!BC26,IF(VLOOKUP(tbMoveset!A77,tbMoveset!A2:I112,9,FALSE)="Thunder",Backdoors!BD26,IF(VLOOKUP(tbMoveset!A77,tbMoveset!A2:I112,9,FALSE)="Ice",Backdoors!BE26,IF(VLOOKUP(tbMoveset!A77,tbMoveset!A2:I112,9,FALSE)="Dragon",Backdoors!BF26,Backdoors!BG26)))))/100,Backdoors!BG26/100),"")</f>
        <v>0</v>
      </c>
      <c r="FI77" s="49">
        <f>IFERROR(IF(VLOOKUP(A77,tbMoveset!A2:J112,10,FALSE)=TRUE,IF((Backdoors!AI12+IF(FG77&gt;=0.45,VLOOKUP(Calculator!E23,tbSkills!DH3:DI6,2,FALSE)+IF(AND(Calculator!B8=TRUE,Backdoors!BI26=TRUE),VLOOKUP(Calculator!E23,tbSkills!DH3:DJ6,3,FALSE),0),0))&gt;=0,1+(Backdoors!AL2*(IF((Backdoors!AI12+IF(FG77&gt;=0.45,VLOOKUP(Calculator!E23,tbSkills!DH3:DI6,2,FALSE)+IF(AND(Calculator!B8=TRUE,Backdoors!BI26=TRUE),VLOOKUP(Calculator!E23,tbSkills!DH3:DJ6,3,FALSE),0),0))&gt;=100,100,(Backdoors!AI12+IF(FG77&gt;=0.45,VLOOKUP(Calculator!E23,tbSkills!DH3:DI6,2,FALSE)+IF(AND(Calculator!B8=TRUE,Backdoors!BI26=TRUE),VLOOKUP(Calculator!E23,tbSkills!DH3:DJ6,3,FALSE),0),0)))/100)),(1-(0.25*((-Backdoors!AI12-IF(FG77&gt;=0.45,VLOOKUP(Calculator!E23,tbSkills!DH3:DI6,2,FALSE)+IF(AND(Calculator!B8=TRUE,Backdoors!BI26=TRUE),VLOOKUP(Calculator!E23,tbSkills!DH3:DJ6,3,FALSE),0),0))/100)))),1),"")</f>
        <v>1</v>
      </c>
      <c r="FJ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FG77)*FI77)*(VLOOKUP(A77,tbMoveset!A2:C112,3,FALSE)/100)*IF(VLOOKUP(A77,tbMoveset!A2:B112,2,FALSE)="Projectile",Backdoors!N10,Backdoors!N9),0),"")</f>
        <v/>
      </c>
      <c r="FK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FG77&gt;=0.45,VLOOKUP(Calculator!E23,tbSkills!DH3:DI6,2,FALSE)+IF(AND(Calculator!B8=TRUE,Backdoors!BI26=TRUE),VLOOKUP(Calculator!E23,tbSkills!DH3:DJ6,3,FALSE),0),0))&gt;=100,100,(Backdoors!AI12+IF(FG77&gt;=0.45,VLOOKUP(Calculator!E23,tbSkills!DH3:DI6,2,FALSE)+IF(AND(Calculator!B8=TRUE,Backdoors!BI26=TRUE),VLOOKUP(Calculator!E23,tbSkills!DH3:DJ6,3,FALSE),0),0)))/100)),1))*IF(VLOOKUP(A77,tbMoveset!A2:K112,11,FALSE)=TRUE,Backdoors!AC5,1))*FH77,0),"")</f>
        <v>0</v>
      </c>
      <c r="FL77" s="49">
        <f>VLOOKUP(A77,tbMoveset!A2:G112,7,FALSE)*IFERROR(IF(Backdoors!AI12&gt;=0,1+(IF(Calculator!E40&gt;0,VLOOKUP(Calculator!E40,tbSkills!AI3:AJ5,2,FALSE),Backdoors!AL4)*(IF((Backdoors!AI12+IF(FG77&gt;=0.45,VLOOKUP(Calculator!E23,tbSkills!DH3:DI6,2,FALSE)+IF(AND(Calculator!B8=TRUE,Backdoors!BI26=TRUE),VLOOKUP(Calculator!E23,tbSkills!DH3:DJ6,3,FALSE),0),0))&gt;=100,100,(Backdoors!AI12+IF(FG77&gt;=0.45,VLOOKUP(Calculator!E23,tbSkills!DH3:DI6,2,FALSE)+IF(AND(Calculator!B8=TRUE,Backdoors!BI26=TRUE),VLOOKUP(Calculator!E23,tbSkills!DH3:DJ6,3,FALSE),0),0)))/100)),1),1)</f>
        <v>0.4</v>
      </c>
      <c r="FM77" s="87">
        <f t="shared" si="74"/>
        <v>0</v>
      </c>
      <c r="FN77" s="86" t="str">
        <f>IFERROR(IF(VLOOKUP(A77,tbMoveset!A2:B112,2,FALSE)="Sever",Backdoors!AY27/100,IF(VLOOKUP(A77,tbMoveset!A2:B112,2,FALSE)="Blunt",Backdoors!AZ27/100,Backdoors!BA27/100)),"")</f>
        <v/>
      </c>
      <c r="FO77" s="49">
        <f>IFERROR(IF(VLOOKUP(tbMoveset!A77,tbMoveset!A2:H112,8,FALSE)="Other",IF(VLOOKUP(tbMoveset!A77,tbMoveset!A2:I112,9,FALSE)="Fire",Backdoors!BB27,IF(VLOOKUP(tbMoveset!A77,tbMoveset!A2:I112,9,FALSE)="Water",Backdoors!BC27,IF(VLOOKUP(tbMoveset!A77,tbMoveset!A2:I112,9,FALSE)="Thunder",Backdoors!BD27,IF(VLOOKUP(tbMoveset!A77,tbMoveset!A2:I112,9,FALSE)="Ice",Backdoors!BE27,IF(VLOOKUP(tbMoveset!A77,tbMoveset!A2:I112,9,FALSE)="Dragon",Backdoors!BF27,Backdoors!BG27)))))/100,Backdoors!BG27/100),"")</f>
        <v>0</v>
      </c>
      <c r="FP77" s="49">
        <f>IFERROR(IF(VLOOKUP(A77,tbMoveset!A2:J112,10,FALSE)=TRUE,IF((Backdoors!AI12+IF(FN77&gt;=0.45,VLOOKUP(Calculator!E23,tbSkills!DH3:DI6,2,FALSE)+IF(AND(Calculator!B8=TRUE,Backdoors!BI27=TRUE),VLOOKUP(Calculator!E23,tbSkills!DH3:DJ6,3,FALSE),0),0))&gt;=0,1+(Backdoors!AL2*(IF((Backdoors!AI12+IF(FN77&gt;=0.45,VLOOKUP(Calculator!E23,tbSkills!DH3:DI6,2,FALSE)+IF(AND(Calculator!B8=TRUE,Backdoors!BI27=TRUE),VLOOKUP(Calculator!E23,tbSkills!DH3:DJ6,3,FALSE),0),0))&gt;=100,100,(Backdoors!AI12+IF(FN77&gt;=0.45,VLOOKUP(Calculator!E23,tbSkills!DH3:DI6,2,FALSE)+IF(AND(Calculator!B8=TRUE,Backdoors!BI27=TRUE),VLOOKUP(Calculator!E23,tbSkills!DH3:DJ6,3,FALSE),0),0)))/100)),(1-(0.25*((-Backdoors!AI12-IF(FN77&gt;=0.45,VLOOKUP(Calculator!E23,tbSkills!DH3:DI6,2,FALSE)+IF(AND(Calculator!B8=TRUE,Backdoors!BI27=TRUE),VLOOKUP(Calculator!E23,tbSkills!DH3:DJ6,3,FALSE),0),0))/100)))),1),"")</f>
        <v>1</v>
      </c>
      <c r="FQ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FN77)*FP77)*(VLOOKUP(A77,tbMoveset!A2:C112,3,FALSE)/100)*IF(VLOOKUP(A77,tbMoveset!A2:B112,2,FALSE)="Projectile",Backdoors!N10,Backdoors!N9),0),"")</f>
        <v/>
      </c>
      <c r="FR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FN77&gt;=0.45,VLOOKUP(Calculator!E23,tbSkills!DH3:DI6,2,FALSE)+IF(AND(Calculator!B8=TRUE,Backdoors!BI27=TRUE),VLOOKUP(Calculator!E23,tbSkills!DH3:DJ6,3,FALSE),0),0))&gt;=100,100,(Backdoors!AI12+IF(FN77&gt;=0.45,VLOOKUP(Calculator!E23,tbSkills!DH3:DI6,2,FALSE)+IF(AND(Calculator!B8=TRUE,Backdoors!BI27=TRUE),VLOOKUP(Calculator!E23,tbSkills!DH3:DJ6,3,FALSE),0),0)))/100)),1))*IF(VLOOKUP(A77,tbMoveset!A2:K112,11,FALSE)=TRUE,Backdoors!AC5,1))*FO77,0),"")</f>
        <v>0</v>
      </c>
      <c r="FS77" s="49">
        <f>VLOOKUP(A77,tbMoveset!A2:G112,7,FALSE)*IFERROR(IF(Backdoors!AI12&gt;=0,1+(IF(Calculator!E40&gt;0,VLOOKUP(Calculator!E40,tbSkills!AI3:AJ5,2,FALSE),Backdoors!AL4)*(IF((Backdoors!AI12+IF(FN77&gt;=0.45,VLOOKUP(Calculator!E23,tbSkills!DH3:DI6,2,FALSE)+IF(AND(Calculator!B8=TRUE,Backdoors!BI27=TRUE),VLOOKUP(Calculator!E23,tbSkills!DH3:DJ6,3,FALSE),0),0))&gt;=100,100,(Backdoors!AI12+IF(FN77&gt;=0.45,VLOOKUP(Calculator!E23,tbSkills!DH3:DI6,2,FALSE)+IF(AND(Calculator!B8=TRUE,Backdoors!BI27=TRUE),VLOOKUP(Calculator!E23,tbSkills!DH3:DJ6,3,FALSE),0),0)))/100)),1),1)</f>
        <v>0.4</v>
      </c>
      <c r="FT77" s="87">
        <f t="shared" si="75"/>
        <v>0</v>
      </c>
      <c r="FU77" s="86" t="str">
        <f>IFERROR(IF(VLOOKUP(A77,tbMoveset!A2:B112,2,FALSE)="Sever",Backdoors!AY28/100,IF(VLOOKUP(A77,tbMoveset!A2:B112,2,FALSE)="Blunt",Backdoors!AZ28/100,Backdoors!BA28/100)),"")</f>
        <v/>
      </c>
      <c r="FV77" s="49">
        <f>IFERROR(IF(VLOOKUP(tbMoveset!A77,tbMoveset!A2:H112,8,FALSE)="Other",IF(VLOOKUP(tbMoveset!A77,tbMoveset!A2:I112,9,FALSE)="Fire",Backdoors!BB28,IF(VLOOKUP(tbMoveset!A77,tbMoveset!A2:I112,9,FALSE)="Water",Backdoors!BC28,IF(VLOOKUP(tbMoveset!A77,tbMoveset!A2:I112,9,FALSE)="Thunder",Backdoors!BD28,IF(VLOOKUP(tbMoveset!A77,tbMoveset!A2:I112,9,FALSE)="Ice",Backdoors!BE28,IF(VLOOKUP(tbMoveset!A77,tbMoveset!A2:I112,9,FALSE)="Dragon",Backdoors!BF28,Backdoors!BG28)))))/100,Backdoors!BG28/100),"")</f>
        <v>0</v>
      </c>
      <c r="FW77" s="49">
        <f>IFERROR(IF(VLOOKUP(A77,tbMoveset!A2:J112,10,FALSE)=TRUE,IF((Backdoors!AI12+IF(FU77&gt;=0.45,VLOOKUP(Calculator!E23,tbSkills!DH3:DI6,2,FALSE)+IF(AND(Calculator!B8=TRUE,Backdoors!BI28=TRUE),VLOOKUP(Calculator!E23,tbSkills!DH3:DJ6,3,FALSE),0),0))&gt;=0,1+(Backdoors!AL2*(IF((Backdoors!AI12+IF(FU77&gt;=0.45,VLOOKUP(Calculator!E23,tbSkills!DH3:DI6,2,FALSE)+IF(AND(Calculator!B8=TRUE,Backdoors!BI28=TRUE),VLOOKUP(Calculator!E23,tbSkills!DH3:DJ6,3,FALSE),0),0))&gt;=100,100,(Backdoors!AI12+IF(FU77&gt;=0.45,VLOOKUP(Calculator!E23,tbSkills!DH3:DI6,2,FALSE)+IF(AND(Calculator!B8=TRUE,Backdoors!BI28=TRUE),VLOOKUP(Calculator!E23,tbSkills!DH3:DJ6,3,FALSE),0),0)))/100)),(1-(0.25*((-Backdoors!AI12-IF(FU77&gt;=0.45,VLOOKUP(Calculator!E23,tbSkills!DH3:DI6,2,FALSE)+IF(AND(Calculator!B8=TRUE,Backdoors!BI28=TRUE),VLOOKUP(Calculator!E23,tbSkills!DH3:DJ6,3,FALSE),0),0))/100)))),1),"")</f>
        <v>1</v>
      </c>
      <c r="FX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FU77)*FW77)*(VLOOKUP(A77,tbMoveset!A2:C112,3,FALSE)/100)*IF(VLOOKUP(A77,tbMoveset!A2:B112,2,FALSE)="Projectile",Backdoors!N10,Backdoors!N9),0),"")</f>
        <v/>
      </c>
      <c r="FY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FU77&gt;=0.45,VLOOKUP(Calculator!E23,tbSkills!DH3:DI6,2,FALSE)+IF(AND(Calculator!B8=TRUE,Backdoors!BI28=TRUE),VLOOKUP(Calculator!E23,tbSkills!DH3:DJ6,3,FALSE),0),0))&gt;=100,100,(Backdoors!AI12+IF(FU77&gt;=0.45,VLOOKUP(Calculator!E23,tbSkills!DH3:DI6,2,FALSE)+IF(AND(Calculator!B8=TRUE,Backdoors!BI28=TRUE),VLOOKUP(Calculator!E23,tbSkills!DH3:DJ6,3,FALSE),0),0)))/100)),1))*IF(VLOOKUP(A77,tbMoveset!A2:K112,11,FALSE)=TRUE,Backdoors!AC5,1))*FV77,0),"")</f>
        <v>0</v>
      </c>
      <c r="FZ77" s="49">
        <f>VLOOKUP(A77,tbMoveset!A2:G112,7,FALSE)*IFERROR(IF(Backdoors!AI12&gt;=0,1+(IF(Calculator!E40&gt;0,VLOOKUP(Calculator!E40,tbSkills!AI3:AJ5,2,FALSE),Backdoors!AL4)*(IF((Backdoors!AI12+IF(FU77&gt;=0.45,VLOOKUP(Calculator!E23,tbSkills!DH3:DI6,2,FALSE)+IF(AND(Calculator!B8=TRUE,Backdoors!BI28=TRUE),VLOOKUP(Calculator!E23,tbSkills!DH3:DJ6,3,FALSE),0),0))&gt;=100,100,(Backdoors!AI12+IF(FU77&gt;=0.45,VLOOKUP(Calculator!E23,tbSkills!DH3:DI6,2,FALSE)+IF(AND(Calculator!B8=TRUE,Backdoors!BI28=TRUE),VLOOKUP(Calculator!E23,tbSkills!DH3:DJ6,3,FALSE),0),0)))/100)),1),1)</f>
        <v>0.4</v>
      </c>
      <c r="GA77" s="87">
        <f t="shared" si="76"/>
        <v>0</v>
      </c>
      <c r="GB77" s="86" t="str">
        <f>IFERROR(IF(VLOOKUP(A77,tbMoveset!A2:B112,2,FALSE)="Sever",Backdoors!AY29/100,IF(VLOOKUP(A77,tbMoveset!A2:B112,2,FALSE)="Blunt",Backdoors!AZ29/100,Backdoors!BA29/100)),"")</f>
        <v/>
      </c>
      <c r="GC77" s="49">
        <f>IFERROR(IF(VLOOKUP(tbMoveset!A77,tbMoveset!A2:H112,8,FALSE)="Other",IF(VLOOKUP(tbMoveset!A77,tbMoveset!A2:I112,9,FALSE)="Fire",Backdoors!BB29,IF(VLOOKUP(tbMoveset!A77,tbMoveset!A2:I112,9,FALSE)="Water",Backdoors!BC29,IF(VLOOKUP(tbMoveset!A77,tbMoveset!A2:I112,9,FALSE)="Thunder",Backdoors!BD29,IF(VLOOKUP(tbMoveset!A77,tbMoveset!A2:I112,9,FALSE)="Ice",Backdoors!BE29,IF(VLOOKUP(tbMoveset!A77,tbMoveset!A2:I112,9,FALSE)="Dragon",Backdoors!BF29,Backdoors!BG29)))))/100,Backdoors!BG29/100),"")</f>
        <v>0</v>
      </c>
      <c r="GD77" s="49">
        <f>IFERROR(IF(VLOOKUP(A77,tbMoveset!A2:J112,10,FALSE)=TRUE,IF((Backdoors!AI12+IF(GB77&gt;=0.45,VLOOKUP(Calculator!E23,tbSkills!DH3:DI6,2,FALSE)+IF(AND(Calculator!B8=TRUE,Backdoors!BI29=TRUE),VLOOKUP(Calculator!E23,tbSkills!DH3:DJ6,3,FALSE),0),0))&gt;=0,1+(Backdoors!AL2*(IF((Backdoors!AI12+IF(GB77&gt;=0.45,VLOOKUP(Calculator!E23,tbSkills!DH3:DI6,2,FALSE)+IF(AND(Calculator!B8=TRUE,Backdoors!BI29=TRUE),VLOOKUP(Calculator!E23,tbSkills!DH3:DJ6,3,FALSE),0),0))&gt;=100,100,(Backdoors!AI12+IF(GB77&gt;=0.45,VLOOKUP(Calculator!E23,tbSkills!DH3:DI6,2,FALSE)+IF(AND(Calculator!B8=TRUE,Backdoors!BI29=TRUE),VLOOKUP(Calculator!E23,tbSkills!DH3:DJ6,3,FALSE),0),0)))/100)),(1-(0.25*((-Backdoors!AI12-IF(GB77&gt;=0.45,VLOOKUP(Calculator!E23,tbSkills!DH3:DI6,2,FALSE)+IF(AND(Calculator!B8=TRUE,Backdoors!BI29=TRUE),VLOOKUP(Calculator!E23,tbSkills!DH3:DJ6,3,FALSE),0),0))/100)))),1),"")</f>
        <v>1</v>
      </c>
      <c r="GE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B77)*GD77)*(VLOOKUP(A77,tbMoveset!A2:C112,3,FALSE)/100)*IF(VLOOKUP(A77,tbMoveset!A2:B112,2,FALSE)="Projectile",Backdoors!N10,Backdoors!N9),0),"")</f>
        <v/>
      </c>
      <c r="GF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B77&gt;=0.45,VLOOKUP(Calculator!E23,tbSkills!DH3:DI6,2,FALSE)+IF(AND(Calculator!B8=TRUE,Backdoors!BI29=TRUE),VLOOKUP(Calculator!E23,tbSkills!DH3:DJ6,3,FALSE),0),0))&gt;=100,100,(Backdoors!AI12+IF(GB77&gt;=0.45,VLOOKUP(Calculator!E23,tbSkills!DH3:DI6,2,FALSE)+IF(AND(Calculator!B8=TRUE,Backdoors!BI29=TRUE),VLOOKUP(Calculator!E23,tbSkills!DH3:DJ6,3,FALSE),0),0)))/100)),1))*IF(VLOOKUP(A77,tbMoveset!A2:K112,11,FALSE)=TRUE,Backdoors!AC5,1))*GC77,0),"")</f>
        <v>0</v>
      </c>
      <c r="GG77" s="49">
        <f>VLOOKUP(A77,tbMoveset!A2:G112,7,FALSE)*IFERROR(IF(Backdoors!AI12&gt;=0,1+(IF(Calculator!E40&gt;0,VLOOKUP(Calculator!E40,tbSkills!AI3:AJ5,2,FALSE),Backdoors!AL4)*(IF((Backdoors!AI12+IF(GB77&gt;=0.45,VLOOKUP(Calculator!E23,tbSkills!DH3:DI6,2,FALSE)+IF(AND(Calculator!B8=TRUE,Backdoors!BI29=TRUE),VLOOKUP(Calculator!E23,tbSkills!DH3:DJ6,3,FALSE),0),0))&gt;=100,100,(Backdoors!AI12+IF(GB77&gt;=0.45,VLOOKUP(Calculator!E23,tbSkills!DH3:DI6,2,FALSE)+IF(AND(Calculator!B8=TRUE,Backdoors!BI29=TRUE),VLOOKUP(Calculator!E23,tbSkills!DH3:DJ6,3,FALSE),0),0)))/100)),1),1)</f>
        <v>0.4</v>
      </c>
      <c r="GH77" s="87">
        <f t="shared" si="77"/>
        <v>0</v>
      </c>
      <c r="GI77" s="86" t="str">
        <f>IFERROR(IF(VLOOKUP(A77,tbMoveset!A2:B112,2,FALSE)="Sever",Backdoors!AY30/100,IF(VLOOKUP(A77,tbMoveset!A2:B112,2,FALSE)="Blunt",Backdoors!AZ30/100,Backdoors!BA30/100)),"")</f>
        <v/>
      </c>
      <c r="GJ77" s="49">
        <f>IFERROR(IF(VLOOKUP(tbMoveset!A77,tbMoveset!A2:H112,8,FALSE)="Other",IF(VLOOKUP(tbMoveset!A77,tbMoveset!A2:I112,9,FALSE)="Fire",Backdoors!BB30,IF(VLOOKUP(tbMoveset!A77,tbMoveset!A2:I112,9,FALSE)="Water",Backdoors!BC30,IF(VLOOKUP(tbMoveset!A77,tbMoveset!A2:I112,9,FALSE)="Thunder",Backdoors!BD30,IF(VLOOKUP(tbMoveset!A77,tbMoveset!A2:I112,9,FALSE)="Ice",Backdoors!BE30,IF(VLOOKUP(tbMoveset!A77,tbMoveset!A2:I112,9,FALSE)="Dragon",Backdoors!BF30,Backdoors!BG30)))))/100,Backdoors!BG30/100),"")</f>
        <v>0</v>
      </c>
      <c r="GK77" s="49">
        <f>IFERROR(IF(VLOOKUP(A77,tbMoveset!A2:J112,10,FALSE)=TRUE,IF((Backdoors!AI12+IF(GI77&gt;=0.45,VLOOKUP(Calculator!E23,tbSkills!DH3:DI6,2,FALSE)+IF(AND(Calculator!B8=TRUE,Backdoors!BI30=TRUE),VLOOKUP(Calculator!E23,tbSkills!DH3:DJ6,3,FALSE),0),0))&gt;=0,1+(Backdoors!AL2*(IF((Backdoors!AI12+IF(GI77&gt;=0.45,VLOOKUP(Calculator!E23,tbSkills!DH3:DI6,2,FALSE)+IF(AND(Calculator!B8=TRUE,Backdoors!BI30=TRUE),VLOOKUP(Calculator!E23,tbSkills!DH3:DJ6,3,FALSE),0),0))&gt;=100,100,(Backdoors!AI12+IF(GI77&gt;=0.45,VLOOKUP(Calculator!E23,tbSkills!DH3:DI6,2,FALSE)+IF(AND(Calculator!B8=TRUE,Backdoors!BI30=TRUE),VLOOKUP(Calculator!E23,tbSkills!DH3:DJ6,3,FALSE),0),0)))/100)),(1-(0.25*((-Backdoors!AI12-IF(GI77&gt;=0.45,VLOOKUP(Calculator!E23,tbSkills!DH3:DI6,2,FALSE)+IF(AND(Calculator!B8=TRUE,Backdoors!BI30=TRUE),VLOOKUP(Calculator!E23,tbSkills!DH3:DJ6,3,FALSE),0),0))/100)))),1),"")</f>
        <v>1</v>
      </c>
      <c r="GL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I77)*GK77)*(VLOOKUP(A77,tbMoveset!A2:C112,3,FALSE)/100)*IF(VLOOKUP(A77,tbMoveset!A2:B112,2,FALSE)="Projectile",Backdoors!N10,Backdoors!N9),0),"")</f>
        <v/>
      </c>
      <c r="GM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I77&gt;=0.45,VLOOKUP(Calculator!E23,tbSkills!DH3:DI6,2,FALSE)+IF(AND(Calculator!B8=TRUE,Backdoors!BI30=TRUE),VLOOKUP(Calculator!E23,tbSkills!DH3:DJ6,3,FALSE),0),0))&gt;=100,100,(Backdoors!AI12+IF(GI77&gt;=0.45,VLOOKUP(Calculator!E23,tbSkills!DH3:DI6,2,FALSE)+IF(AND(Calculator!B8=TRUE,Backdoors!BI30=TRUE),VLOOKUP(Calculator!E23,tbSkills!DH3:DJ6,3,FALSE),0),0)))/100)),1))*IF(VLOOKUP(A77,tbMoveset!A2:K112,11,FALSE)=TRUE,Backdoors!AC5,1))*GJ77,0),"")</f>
        <v>0</v>
      </c>
      <c r="GN77" s="49">
        <f>VLOOKUP(A77,tbMoveset!A2:G112,7,FALSE)*IFERROR(IF(Backdoors!AI12&gt;=0,1+(IF(Calculator!E40&gt;0,VLOOKUP(Calculator!E40,tbSkills!AI3:AJ5,2,FALSE),Backdoors!AL4)*(IF((Backdoors!AI12+IF(GI77&gt;=0.45,VLOOKUP(Calculator!E23,tbSkills!DH3:DI6,2,FALSE)+IF(AND(Calculator!B8=TRUE,Backdoors!BI30=TRUE),VLOOKUP(Calculator!E23,tbSkills!DH3:DJ6,3,FALSE),0),0))&gt;=100,100,(Backdoors!AI12+IF(GI77&gt;=0.45,VLOOKUP(Calculator!E23,tbSkills!DH3:DI6,2,FALSE)+IF(AND(Calculator!B8=TRUE,Backdoors!BI30=TRUE),VLOOKUP(Calculator!E23,tbSkills!DH3:DJ6,3,FALSE),0),0)))/100)),1),1)</f>
        <v>0.4</v>
      </c>
      <c r="GO77" s="87">
        <f t="shared" si="78"/>
        <v>0</v>
      </c>
      <c r="GP77" s="86" t="str">
        <f>IFERROR(IF(VLOOKUP(A77,tbMoveset!A2:B112,2,FALSE)="Sever",Backdoors!AY31/100,IF(VLOOKUP(A77,tbMoveset!A2:B112,2,FALSE)="Blunt",Backdoors!AZ31/100,Backdoors!BA31/100)),"")</f>
        <v/>
      </c>
      <c r="GQ77" s="49">
        <f>IFERROR(IF(VLOOKUP(tbMoveset!A77,tbMoveset!A2:H112,8,FALSE)="Other",IF(VLOOKUP(tbMoveset!A77,tbMoveset!A2:I112,9,FALSE)="Fire",Backdoors!BB31,IF(VLOOKUP(tbMoveset!A77,tbMoveset!A2:I112,9,FALSE)="Water",Backdoors!BC31,IF(VLOOKUP(tbMoveset!A77,tbMoveset!A2:I112,9,FALSE)="Thunder",Backdoors!BD31,IF(VLOOKUP(tbMoveset!A77,tbMoveset!A2:I112,9,FALSE)="Ice",Backdoors!BE31,IF(VLOOKUP(tbMoveset!A77,tbMoveset!A2:I112,9,FALSE)="Dragon",Backdoors!BF31,Backdoors!BG31)))))/100,Backdoors!BG31/100),"")</f>
        <v>0</v>
      </c>
      <c r="GR77" s="49">
        <f>IFERROR(IF(VLOOKUP(A77,tbMoveset!A2:J112,10,FALSE)=TRUE,IF((Backdoors!AI12+IF(GP77&gt;=0.45,VLOOKUP(Calculator!E23,tbSkills!DH3:DI6,2,FALSE)+IF(AND(Calculator!B8=TRUE,Backdoors!BI31=TRUE),VLOOKUP(Calculator!E23,tbSkills!DH3:DJ6,3,FALSE),0),0))&gt;=0,1+(Backdoors!AL2*(IF((Backdoors!AI12+IF(GP77&gt;=0.45,VLOOKUP(Calculator!E23,tbSkills!DH3:DI6,2,FALSE)+IF(AND(Calculator!B8=TRUE,Backdoors!BI31=TRUE),VLOOKUP(Calculator!E23,tbSkills!DH3:DJ6,3,FALSE),0),0))&gt;=100,100,(Backdoors!AI12+IF(GP77&gt;=0.45,VLOOKUP(Calculator!E23,tbSkills!DH3:DI6,2,FALSE)+IF(AND(Calculator!B8=TRUE,Backdoors!BI31=TRUE),VLOOKUP(Calculator!E23,tbSkills!DH3:DJ6,3,FALSE),0),0)))/100)),(1-(0.25*((-Backdoors!AI12-IF(GP77&gt;=0.45,VLOOKUP(Calculator!E23,tbSkills!DH3:DI6,2,FALSE)+IF(AND(Calculator!B8=TRUE,Backdoors!BI31=TRUE),VLOOKUP(Calculator!E23,tbSkills!DH3:DJ6,3,FALSE),0),0))/100)))),1),"")</f>
        <v>1</v>
      </c>
      <c r="GS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P77)*GR77)*(VLOOKUP(A77,tbMoveset!A2:C112,3,FALSE)/100)*IF(VLOOKUP(A77,tbMoveset!A2:B112,2,FALSE)="Projectile",Backdoors!N10,Backdoors!N9),0),"")</f>
        <v/>
      </c>
      <c r="GT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P77&gt;=0.45,VLOOKUP(Calculator!E23,tbSkills!DH3:DI6,2,FALSE)+IF(AND(Calculator!B8=TRUE,Backdoors!BI31=TRUE),VLOOKUP(Calculator!E23,tbSkills!DH3:DJ6,3,FALSE),0),0))&gt;=100,100,(Backdoors!AI12+IF(GP77&gt;=0.45,VLOOKUP(Calculator!E23,tbSkills!DH3:DI6,2,FALSE)+IF(AND(Calculator!B8=TRUE,Backdoors!BI31=TRUE),VLOOKUP(Calculator!E23,tbSkills!DH3:DJ6,3,FALSE),0),0)))/100)),1))*IF(VLOOKUP(A77,tbMoveset!A2:K112,11,FALSE)=TRUE,Backdoors!AC5,1))*GQ77,0),"")</f>
        <v>0</v>
      </c>
      <c r="GU77" s="49">
        <f>VLOOKUP(A77,tbMoveset!A2:G112,7,FALSE)*IFERROR(IF(Backdoors!AI12&gt;=0,1+(IF(Calculator!E40&gt;0,VLOOKUP(Calculator!E40,tbSkills!AI3:AJ5,2,FALSE),Backdoors!AL4)*(IF((Backdoors!AI12+IF(GP77&gt;=0.45,VLOOKUP(Calculator!E23,tbSkills!DH3:DI6,2,FALSE)+IF(AND(Calculator!B8=TRUE,Backdoors!BI31=TRUE),VLOOKUP(Calculator!E23,tbSkills!DH3:DJ6,3,FALSE),0),0))&gt;=100,100,(Backdoors!AI12+IF(GP77&gt;=0.45,VLOOKUP(Calculator!E23,tbSkills!DH3:DI6,2,FALSE)+IF(AND(Calculator!B8=TRUE,Backdoors!BI31=TRUE),VLOOKUP(Calculator!E23,tbSkills!DH3:DJ6,3,FALSE),0),0)))/100)),1),1)</f>
        <v>0.4</v>
      </c>
      <c r="GV77" s="87">
        <f t="shared" si="79"/>
        <v>0</v>
      </c>
      <c r="GW77" s="86" t="str">
        <f>IFERROR(IF(VLOOKUP(A77,tbMoveset!A2:B112,2,FALSE)="Sever",Backdoors!AY32/100,IF(VLOOKUP(A77,tbMoveset!A2:B112,2,FALSE)="Blunt",Backdoors!AZ32/100,Backdoors!BA32/100)),"")</f>
        <v/>
      </c>
      <c r="GX77" s="49">
        <f>IFERROR(IF(VLOOKUP(tbMoveset!A77,tbMoveset!A2:H112,8,FALSE)="Other",IF(VLOOKUP(tbMoveset!A77,tbMoveset!A2:I112,9,FALSE)="Fire",Backdoors!BB32,IF(VLOOKUP(tbMoveset!A77,tbMoveset!A2:I112,9,FALSE)="Water",Backdoors!BC32,IF(VLOOKUP(tbMoveset!A77,tbMoveset!A2:I112,9,FALSE)="Thunder",Backdoors!BD32,IF(VLOOKUP(tbMoveset!A77,tbMoveset!A2:I112,9,FALSE)="Ice",Backdoors!BE32,IF(VLOOKUP(tbMoveset!A77,tbMoveset!A2:I112,9,FALSE)="Dragon",Backdoors!BF32,Backdoors!BG32)))))/100,Backdoors!BG32/100),"")</f>
        <v>0</v>
      </c>
      <c r="GY77" s="49">
        <f>IFERROR(IF(VLOOKUP(A77,tbMoveset!A2:J112,10,FALSE)=TRUE,IF((Backdoors!AI12+IF(GW77&gt;=0.45,VLOOKUP(Calculator!E23,tbSkills!DH3:DI6,2,FALSE)+IF(AND(Calculator!B8=TRUE,Backdoors!BI32=TRUE),VLOOKUP(Calculator!E23,tbSkills!DH3:DJ6,3,FALSE),0),0))&gt;=0,1+(Backdoors!AL2*(IF((Backdoors!AI12+IF(GW77&gt;=0.45,VLOOKUP(Calculator!E23,tbSkills!DH3:DI6,2,FALSE)+IF(AND(Calculator!B8=TRUE,Backdoors!BI32=TRUE),VLOOKUP(Calculator!E23,tbSkills!DH3:DJ6,3,FALSE),0),0))&gt;=100,100,(Backdoors!AI12+IF(GW77&gt;=0.45,VLOOKUP(Calculator!E23,tbSkills!DH3:DI6,2,FALSE)+IF(AND(Calculator!B8=TRUE,Backdoors!BI32=TRUE),VLOOKUP(Calculator!E23,tbSkills!DH3:DJ6,3,FALSE),0),0)))/100)),(1-(0.25*((-Backdoors!AI12-IF(GW77&gt;=0.45,VLOOKUP(Calculator!E23,tbSkills!DH3:DI6,2,FALSE)+IF(AND(Calculator!B8=TRUE,Backdoors!BI32=TRUE),VLOOKUP(Calculator!E23,tbSkills!DH3:DJ6,3,FALSE),0),0))/100)))),1),"")</f>
        <v>1</v>
      </c>
      <c r="GZ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W77)*GY77)*(VLOOKUP(A77,tbMoveset!A2:C112,3,FALSE)/100)*IF(VLOOKUP(A77,tbMoveset!A2:B112,2,FALSE)="Projectile",Backdoors!N10,Backdoors!N9),0),"")</f>
        <v/>
      </c>
      <c r="HA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W77&gt;=0.45,VLOOKUP(Calculator!E23,tbSkills!DH3:DI6,2,FALSE)+IF(AND(Calculator!B8=TRUE,Backdoors!BI32=TRUE),VLOOKUP(Calculator!E23,tbSkills!DH3:DJ6,3,FALSE),0),0))&gt;=100,100,(Backdoors!AI12+IF(GW77&gt;=0.45,VLOOKUP(Calculator!E23,tbSkills!DH3:DI6,2,FALSE)+IF(AND(Calculator!B8=TRUE,Backdoors!BI32=TRUE),VLOOKUP(Calculator!E23,tbSkills!DH3:DJ6,3,FALSE),0),0)))/100)),1))*IF(VLOOKUP(A77,tbMoveset!A2:K112,11,FALSE)=TRUE,Backdoors!AC5,1))*GX77,0),"")</f>
        <v>0</v>
      </c>
      <c r="HB77" s="49">
        <f>VLOOKUP(A77,tbMoveset!A2:G112,7,FALSE)*IFERROR(IF(Backdoors!AI12&gt;=0,1+(IF(Calculator!E40&gt;0,VLOOKUP(Calculator!E40,tbSkills!AI3:AJ5,2,FALSE),Backdoors!AL4)*(IF((Backdoors!AI12+IF(GW77&gt;=0.45,VLOOKUP(Calculator!E23,tbSkills!DH3:DI6,2,FALSE)+IF(AND(Calculator!B8=TRUE,Backdoors!BI32=TRUE),VLOOKUP(Calculator!E23,tbSkills!DH3:DJ6,3,FALSE),0),0))&gt;=100,100,(Backdoors!AI12+IF(GW77&gt;=0.45,VLOOKUP(Calculator!E23,tbSkills!DH3:DI6,2,FALSE)+IF(AND(Calculator!B8=TRUE,Backdoors!BI32=TRUE),VLOOKUP(Calculator!E23,tbSkills!DH3:DJ6,3,FALSE),0),0)))/100)),1),1)</f>
        <v>0.4</v>
      </c>
      <c r="HC77" s="87">
        <f t="shared" si="80"/>
        <v>0</v>
      </c>
      <c r="HD77" s="86" t="str">
        <f>IFERROR(IF(VLOOKUP(A77,tbMoveset!A2:B112,2,FALSE)="Sever",Backdoors!AY33/100,IF(VLOOKUP(A77,tbMoveset!A2:B112,2,FALSE)="Blunt",Backdoors!AZ33/100,Backdoors!BA33/100)),"")</f>
        <v/>
      </c>
      <c r="HE77" s="49">
        <f>IFERROR(IF(VLOOKUP(tbMoveset!A77,tbMoveset!A2:H112,8,FALSE)="Other",IF(VLOOKUP(tbMoveset!A77,tbMoveset!A2:I112,9,FALSE)="Fire",Backdoors!BB33,IF(VLOOKUP(tbMoveset!A77,tbMoveset!A2:I112,9,FALSE)="Water",Backdoors!BC33,IF(VLOOKUP(tbMoveset!A77,tbMoveset!A2:I112,9,FALSE)="Thunder",Backdoors!BD33,IF(VLOOKUP(tbMoveset!A77,tbMoveset!A2:I112,9,FALSE)="Ice",Backdoors!BE33,IF(VLOOKUP(tbMoveset!A77,tbMoveset!A2:I112,9,FALSE)="Dragon",Backdoors!BF33,Backdoors!BG33)))))/100,Backdoors!BG33/100),"")</f>
        <v>0</v>
      </c>
      <c r="HF77" s="49">
        <f>IFERROR(IF(VLOOKUP(A77,tbMoveset!A2:J112,10,FALSE)=TRUE,IF((Backdoors!AI12+IF(HD77&gt;=0.45,VLOOKUP(Calculator!E23,tbSkills!DH3:DI6,2,FALSE)+IF(AND(Calculator!B8=TRUE,Backdoors!BI33=TRUE),VLOOKUP(Calculator!E23,tbSkills!DH3:DJ6,3,FALSE),0),0))&gt;=0,1+(Backdoors!AL2*(IF((Backdoors!AI12+IF(HD77&gt;=0.45,VLOOKUP(Calculator!E23,tbSkills!DH3:DI6,2,FALSE)+IF(AND(Calculator!B8=TRUE,Backdoors!BI33=TRUE),VLOOKUP(Calculator!E23,tbSkills!DH3:DJ6,3,FALSE),0),0))&gt;=100,100,(Backdoors!AI12+IF(HD77&gt;=0.45,VLOOKUP(Calculator!E23,tbSkills!DH3:DI6,2,FALSE)+IF(AND(Calculator!B8=TRUE,Backdoors!BI33=TRUE),VLOOKUP(Calculator!E23,tbSkills!DH3:DJ6,3,FALSE),0),0)))/100)),(1-(0.25*((-Backdoors!AI12-IF(HD77&gt;=0.45,VLOOKUP(Calculator!E23,tbSkills!DH3:DI6,2,FALSE)+IF(AND(Calculator!B8=TRUE,Backdoors!BI33=TRUE),VLOOKUP(Calculator!E23,tbSkills!DH3:DJ6,3,FALSE),0),0))/100)))),1),"")</f>
        <v>1</v>
      </c>
      <c r="HG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D77)*HF77)*(VLOOKUP(A77,tbMoveset!A2:C112,3,FALSE)/100)*IF(VLOOKUP(A77,tbMoveset!A2:B112,2,FALSE)="Projectile",Backdoors!N10,Backdoors!N9),0),"")</f>
        <v/>
      </c>
      <c r="HH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D77&gt;=0.45,VLOOKUP(Calculator!E23,tbSkills!DH3:DI6,2,FALSE)+IF(AND(Calculator!B8=TRUE,Backdoors!BI33=TRUE),VLOOKUP(Calculator!E23,tbSkills!DH3:DJ6,3,FALSE),0),0))&gt;=100,100,(Backdoors!AI12+IF(HD77&gt;=0.45,VLOOKUP(Calculator!E23,tbSkills!DH3:DI6,2,FALSE)+IF(AND(Calculator!B8=TRUE,Backdoors!BI33=TRUE),VLOOKUP(Calculator!E23,tbSkills!DH3:DJ6,3,FALSE),0),0)))/100)),1))*IF(VLOOKUP(A77,tbMoveset!A2:K112,11,FALSE)=TRUE,Backdoors!AC5,1))*HE77,0),"")</f>
        <v>0</v>
      </c>
      <c r="HI77" s="49">
        <f>VLOOKUP(A77,tbMoveset!A2:G112,7,FALSE)*IFERROR(IF(Backdoors!AI12&gt;=0,1+(IF(Calculator!E40&gt;0,VLOOKUP(Calculator!E40,tbSkills!AI3:AJ5,2,FALSE),Backdoors!AL4)*(IF((Backdoors!AI12+IF(HD77&gt;=0.45,VLOOKUP(Calculator!E23,tbSkills!DH3:DI6,2,FALSE)+IF(AND(Calculator!B8=TRUE,Backdoors!BI33=TRUE),VLOOKUP(Calculator!E23,tbSkills!DH3:DJ6,3,FALSE),0),0))&gt;=100,100,(Backdoors!AI12+IF(HD77&gt;=0.45,VLOOKUP(Calculator!E23,tbSkills!DH3:DI6,2,FALSE)+IF(AND(Calculator!B8=TRUE,Backdoors!BI33=TRUE),VLOOKUP(Calculator!E23,tbSkills!DH3:DJ6,3,FALSE),0),0)))/100)),1),1)</f>
        <v>0.4</v>
      </c>
      <c r="HJ77" s="87">
        <f t="shared" si="81"/>
        <v>0</v>
      </c>
      <c r="HK77" s="86" t="str">
        <f>IFERROR(IF(VLOOKUP(A77,tbMoveset!A2:B112,2,FALSE)="Sever",Backdoors!AY34/100,IF(VLOOKUP(A77,tbMoveset!A2:B112,2,FALSE)="Blunt",Backdoors!AZ34/100,Backdoors!BA34/100)),"")</f>
        <v/>
      </c>
      <c r="HL77" s="49">
        <f>IFERROR(IF(VLOOKUP(tbMoveset!A77,tbMoveset!A2:H112,8,FALSE)="Other",IF(VLOOKUP(tbMoveset!A77,tbMoveset!A2:I112,9,FALSE)="Fire",Backdoors!BB34,IF(VLOOKUP(tbMoveset!A77,tbMoveset!A2:I112,9,FALSE)="Water",Backdoors!BC34,IF(VLOOKUP(tbMoveset!A77,tbMoveset!A2:I112,9,FALSE)="Thunder",Backdoors!BD34,IF(VLOOKUP(tbMoveset!A77,tbMoveset!A2:I112,9,FALSE)="Ice",Backdoors!BE34,IF(VLOOKUP(tbMoveset!A77,tbMoveset!A2:I112,9,FALSE)="Dragon",Backdoors!BF34,Backdoors!BG34)))))/100,Backdoors!BG34/100),"")</f>
        <v>0</v>
      </c>
      <c r="HM77" s="49">
        <f>IFERROR(IF(VLOOKUP(A77,tbMoveset!A2:J112,10,FALSE)=TRUE,IF((Backdoors!AI12+IF(HK77&gt;=0.45,VLOOKUP(Calculator!E23,tbSkills!DH3:DI6,2,FALSE)+IF(AND(Calculator!B8=TRUE,Backdoors!BI34=TRUE),VLOOKUP(Calculator!E23,tbSkills!DH3:DJ6,3,FALSE),0),0))&gt;=0,1+(Backdoors!AL2*(IF((Backdoors!AI12+IF(HK77&gt;=0.45,VLOOKUP(Calculator!E23,tbSkills!DH3:DI6,2,FALSE)+IF(AND(Calculator!B8=TRUE,Backdoors!BI34=TRUE),VLOOKUP(Calculator!E23,tbSkills!DH3:DJ6,3,FALSE),0),0))&gt;=100,100,(Backdoors!AI12+IF(HK77&gt;=0.45,VLOOKUP(Calculator!E23,tbSkills!DH3:DI6,2,FALSE)+IF(AND(Calculator!B8=TRUE,Backdoors!BI34=TRUE),VLOOKUP(Calculator!E23,tbSkills!DH3:DJ6,3,FALSE),0),0)))/100)),(1-(0.25*((-Backdoors!AI12-IF(HK77&gt;=0.45,VLOOKUP(Calculator!E23,tbSkills!DH3:DI6,2,FALSE)+IF(AND(Calculator!B8=TRUE,Backdoors!BI34=TRUE),VLOOKUP(Calculator!E23,tbSkills!DH3:DJ6,3,FALSE),0),0))/100)))),1),"")</f>
        <v>1</v>
      </c>
      <c r="HN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K77)*HM77)*(VLOOKUP(A77,tbMoveset!A2:C112,3,FALSE)/100)*IF(VLOOKUP(A77,tbMoveset!A2:B112,2,FALSE)="Projectile",Backdoors!N10,Backdoors!N9),0),"")</f>
        <v/>
      </c>
      <c r="HO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K77&gt;=0.45,VLOOKUP(Calculator!E23,tbSkills!DH3:DI6,2,FALSE)+IF(AND(Calculator!B8=TRUE,Backdoors!BI34=TRUE),VLOOKUP(Calculator!E23,tbSkills!DH3:DJ6,3,FALSE),0),0))&gt;=100,100,(Backdoors!AI12+IF(HK77&gt;=0.45,VLOOKUP(Calculator!E23,tbSkills!DH3:DI6,2,FALSE)+IF(AND(Calculator!B8=TRUE,Backdoors!BI34=TRUE),VLOOKUP(Calculator!E23,tbSkills!DH3:DJ6,3,FALSE),0),0)))/100)),1))*IF(VLOOKUP(A77,tbMoveset!A2:K112,11,FALSE)=TRUE,Backdoors!AC5,1))*HL77,0),"")</f>
        <v>0</v>
      </c>
      <c r="HP77" s="49">
        <f>VLOOKUP(A77,tbMoveset!A2:G112,7,FALSE)*IFERROR(IF(Backdoors!AI12&gt;=0,1+(IF(Calculator!E40&gt;0,VLOOKUP(Calculator!E40,tbSkills!AI3:AJ5,2,FALSE),Backdoors!AL4)*(IF((Backdoors!AI12+IF(HK77&gt;=0.45,VLOOKUP(Calculator!E23,tbSkills!DH3:DI6,2,FALSE)+IF(AND(Calculator!B8=TRUE,Backdoors!BI34=TRUE),VLOOKUP(Calculator!E23,tbSkills!DH3:DJ6,3,FALSE),0),0))&gt;=100,100,(Backdoors!AI12+IF(HK77&gt;=0.45,VLOOKUP(Calculator!E23,tbSkills!DH3:DI6,2,FALSE)+IF(AND(Calculator!B8=TRUE,Backdoors!BI34=TRUE),VLOOKUP(Calculator!E23,tbSkills!DH3:DJ6,3,FALSE),0),0)))/100)),1),1)</f>
        <v>0.4</v>
      </c>
      <c r="HQ77" s="87">
        <f t="shared" si="82"/>
        <v>0</v>
      </c>
      <c r="HR77" s="86" t="str">
        <f>IFERROR(IF(VLOOKUP(A77,tbMoveset!A2:B112,2,FALSE)="Sever",Backdoors!AY35/100,IF(VLOOKUP(A77,tbMoveset!A2:B112,2,FALSE)="Blunt",Backdoors!AZ35/100,Backdoors!BA35/100)),"")</f>
        <v/>
      </c>
      <c r="HS77" s="49">
        <f>IFERROR(IF(VLOOKUP(tbMoveset!A77,tbMoveset!A2:H112,8,FALSE)="Other",IF(VLOOKUP(tbMoveset!A77,tbMoveset!A2:I112,9,FALSE)="Fire",Backdoors!BB35,IF(VLOOKUP(tbMoveset!A77,tbMoveset!A2:I112,9,FALSE)="Water",Backdoors!BC35,IF(VLOOKUP(tbMoveset!A77,tbMoveset!A2:I112,9,FALSE)="Thunder",Backdoors!BD35,IF(VLOOKUP(tbMoveset!A77,tbMoveset!A2:I112,9,FALSE)="Ice",Backdoors!BE35,IF(VLOOKUP(tbMoveset!A77,tbMoveset!A2:I112,9,FALSE)="Dragon",Backdoors!BF35,Backdoors!BG35)))))/100,Backdoors!BG35/100),"")</f>
        <v>0</v>
      </c>
      <c r="HT77" s="49">
        <f>IFERROR(IF(VLOOKUP(A77,tbMoveset!A2:J112,10,FALSE)=TRUE,IF((Backdoors!AI12+IF(HR77&gt;=0.45,VLOOKUP(Calculator!E23,tbSkills!DH3:DI6,2,FALSE)+IF(AND(Calculator!B8=TRUE,Backdoors!BI35=TRUE),VLOOKUP(Calculator!E23,tbSkills!DH3:DJ6,3,FALSE),0),0))&gt;=0,1+(Backdoors!AL2*(IF((Backdoors!AI12+IF(HR77&gt;=0.45,VLOOKUP(Calculator!E23,tbSkills!DH3:DI6,2,FALSE)+IF(AND(Calculator!B8=TRUE,Backdoors!BI35=TRUE),VLOOKUP(Calculator!E23,tbSkills!DH3:DJ6,3,FALSE),0),0))&gt;=100,100,(Backdoors!AI12+IF(HR77&gt;=0.45,VLOOKUP(Calculator!E23,tbSkills!DH3:DI6,2,FALSE)+IF(AND(Calculator!B8=TRUE,Backdoors!BI35=TRUE),VLOOKUP(Calculator!E23,tbSkills!DH3:DJ6,3,FALSE),0),0)))/100)),(1-(0.25*((-Backdoors!AI12-IF(HR77&gt;=0.45,VLOOKUP(Calculator!E23,tbSkills!DH3:DI6,2,FALSE)+IF(AND(Calculator!B8=TRUE,Backdoors!BI35=TRUE),VLOOKUP(Calculator!E23,tbSkills!DH3:DJ6,3,FALSE),0),0))/100)))),1),"")</f>
        <v>1</v>
      </c>
      <c r="HU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R77)*HT77)*(VLOOKUP(A77,tbMoveset!A2:C112,3,FALSE)/100)*IF(VLOOKUP(A77,tbMoveset!A2:B112,2,FALSE)="Projectile",Backdoors!N10,Backdoors!N9),0),"")</f>
        <v/>
      </c>
      <c r="HV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R77&gt;=0.45,VLOOKUP(Calculator!E23,tbSkills!DH3:DI6,2,FALSE)+IF(AND(Calculator!B8=TRUE,Backdoors!BI35=TRUE),VLOOKUP(Calculator!E23,tbSkills!DH3:DJ6,3,FALSE),0),0))&gt;=100,100,(Backdoors!AI12+IF(HR77&gt;=0.45,VLOOKUP(Calculator!E23,tbSkills!DH3:DI6,2,FALSE)+IF(AND(Calculator!B8=TRUE,Backdoors!BI35=TRUE),VLOOKUP(Calculator!E23,tbSkills!DH3:DJ6,3,FALSE),0),0)))/100)),1))*IF(VLOOKUP(A77,tbMoveset!A2:K112,11,FALSE)=TRUE,Backdoors!AC5,1))*HS77,0),"")</f>
        <v>0</v>
      </c>
      <c r="HW77" s="49">
        <f>VLOOKUP(A77,tbMoveset!A2:G112,7,FALSE)*IFERROR(IF(Backdoors!AI12&gt;=0,1+(IF(Calculator!E40&gt;0,VLOOKUP(Calculator!E40,tbSkills!AI3:AJ5,2,FALSE),Backdoors!AL4)*(IF((Backdoors!AI12+IF(HR77&gt;=0.45,VLOOKUP(Calculator!E23,tbSkills!DH3:DI6,2,FALSE)+IF(AND(Calculator!B8=TRUE,Backdoors!BI35=TRUE),VLOOKUP(Calculator!E23,tbSkills!DH3:DJ6,3,FALSE),0),0))&gt;=100,100,(Backdoors!AI12+IF(HR77&gt;=0.45,VLOOKUP(Calculator!E23,tbSkills!DH3:DI6,2,FALSE)+IF(AND(Calculator!B8=TRUE,Backdoors!BI35=TRUE),VLOOKUP(Calculator!E23,tbSkills!DH3:DJ6,3,FALSE),0),0)))/100)),1),1)</f>
        <v>0.4</v>
      </c>
      <c r="HX77" s="87">
        <f t="shared" si="83"/>
        <v>0</v>
      </c>
      <c r="HY77" s="86" t="str">
        <f>IFERROR(IF(VLOOKUP(A77,tbMoveset!A2:B112,2,FALSE)="Sever",Backdoors!AY36/100,IF(VLOOKUP(A77,tbMoveset!A2:B112,2,FALSE)="Blunt",Backdoors!AZ36/100,Backdoors!BA36/100)),"")</f>
        <v/>
      </c>
      <c r="HZ77" s="49">
        <f>IFERROR(IF(VLOOKUP(tbMoveset!A77,tbMoveset!A2:H112,8,FALSE)="Other",IF(VLOOKUP(tbMoveset!A77,tbMoveset!A2:I112,9,FALSE)="Fire",Backdoors!BB36,IF(VLOOKUP(tbMoveset!A77,tbMoveset!A2:I112,9,FALSE)="Water",Backdoors!BC36,IF(VLOOKUP(tbMoveset!A77,tbMoveset!A2:I112,9,FALSE)="Thunder",Backdoors!BD36,IF(VLOOKUP(tbMoveset!A77,tbMoveset!A2:I112,9,FALSE)="Ice",Backdoors!BE36,IF(VLOOKUP(tbMoveset!A77,tbMoveset!A2:I112,9,FALSE)="Dragon",Backdoors!BF36,Backdoors!BG36)))))/100,Backdoors!BG36/100),"")</f>
        <v>0</v>
      </c>
      <c r="IA77" s="49">
        <f>IFERROR(IF(VLOOKUP(A77,tbMoveset!A2:J112,10,FALSE)=TRUE,IF((Backdoors!AI12+IF(HY77&gt;=0.45,VLOOKUP(Calculator!E23,tbSkills!DH3:DI6,2,FALSE)+IF(AND(Calculator!B8=TRUE,Backdoors!BI36=TRUE),VLOOKUP(Calculator!E23,tbSkills!DH3:DJ6,3,FALSE),0),0))&gt;=0,1+(Backdoors!AL2*(IF((Backdoors!AI12+IF(HY77&gt;=0.45,VLOOKUP(Calculator!E23,tbSkills!DH3:DI6,2,FALSE)+IF(AND(Calculator!B8=TRUE,Backdoors!BI36=TRUE),VLOOKUP(Calculator!E23,tbSkills!DH3:DJ6,3,FALSE),0),0))&gt;=100,100,(Backdoors!AI12+IF(HY77&gt;=0.45,VLOOKUP(Calculator!E23,tbSkills!DH3:DI6,2,FALSE)+IF(AND(Calculator!B8=TRUE,Backdoors!BI36=TRUE),VLOOKUP(Calculator!E23,tbSkills!DH3:DJ6,3,FALSE),0),0)))/100)),(1-(0.25*((-Backdoors!AI12-IF(HY77&gt;=0.45,VLOOKUP(Calculator!E23,tbSkills!DH3:DI6,2,FALSE)+IF(AND(Calculator!B8=TRUE,Backdoors!BI36=TRUE),VLOOKUP(Calculator!E23,tbSkills!DH3:DJ6,3,FALSE),0),0))/100)))),1),"")</f>
        <v>1</v>
      </c>
      <c r="IB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Y77)*IA77)*(VLOOKUP(A77,tbMoveset!A2:C112,3,FALSE)/100)*IF(VLOOKUP(A77,tbMoveset!A2:B112,2,FALSE)="Projectile",Backdoors!N10,Backdoors!N9),0),"")</f>
        <v/>
      </c>
      <c r="IC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Y77&gt;=0.45,VLOOKUP(Calculator!E23,tbSkills!DH3:DI6,2,FALSE)+IF(AND(Calculator!B8=TRUE,Backdoors!BI36=TRUE),VLOOKUP(Calculator!E23,tbSkills!DH3:DJ6,3,FALSE),0),0))&gt;=100,100,(Backdoors!AI12+IF(HY77&gt;=0.45,VLOOKUP(Calculator!E23,tbSkills!DH3:DI6,2,FALSE)+IF(AND(Calculator!B8=TRUE,Backdoors!BI36=TRUE),VLOOKUP(Calculator!E23,tbSkills!DH3:DJ6,3,FALSE),0),0)))/100)),1))*IF(VLOOKUP(A77,tbMoveset!A2:K112,11,FALSE)=TRUE,Backdoors!AC5,1))*HZ77,0),"")</f>
        <v>0</v>
      </c>
      <c r="ID77" s="49">
        <f>VLOOKUP(A77,tbMoveset!A2:G112,7,FALSE)*IFERROR(IF(Backdoors!AI12&gt;=0,1+(IF(Calculator!E40&gt;0,VLOOKUP(Calculator!E40,tbSkills!AI3:AJ5,2,FALSE),Backdoors!AL4)*(IF((Backdoors!AI12+IF(HY77&gt;=0.45,VLOOKUP(Calculator!E23,tbSkills!DH3:DI6,2,FALSE)+IF(AND(Calculator!B8=TRUE,Backdoors!BI36=TRUE),VLOOKUP(Calculator!E23,tbSkills!DH3:DJ6,3,FALSE),0),0))&gt;=100,100,(Backdoors!AI12+IF(HY77&gt;=0.45,VLOOKUP(Calculator!E23,tbSkills!DH3:DI6,2,FALSE)+IF(AND(Calculator!B8=TRUE,Backdoors!BI36=TRUE),VLOOKUP(Calculator!E23,tbSkills!DH3:DJ6,3,FALSE),0),0)))/100)),1),1)</f>
        <v>0.4</v>
      </c>
      <c r="IE77" s="87">
        <f t="shared" si="84"/>
        <v>0</v>
      </c>
      <c r="IF77" s="86" t="str">
        <f>IFERROR(IF(VLOOKUP(A77,tbMoveset!A2:B112,2,FALSE)="Sever",Backdoors!AY37/100,IF(VLOOKUP(A77,tbMoveset!A2:B112,2,FALSE)="Blunt",Backdoors!AZ37/100,Backdoors!BA37/100)),"")</f>
        <v/>
      </c>
      <c r="IG77" s="49">
        <f>IFERROR(IF(VLOOKUP(tbMoveset!A77,tbMoveset!A2:H112,8,FALSE)="Other",IF(VLOOKUP(tbMoveset!A77,tbMoveset!A2:I112,9,FALSE)="Fire",Backdoors!BB37,IF(VLOOKUP(tbMoveset!A77,tbMoveset!A2:I112,9,FALSE)="Water",Backdoors!BC37,IF(VLOOKUP(tbMoveset!A77,tbMoveset!A2:I112,9,FALSE)="Thunder",Backdoors!BD37,IF(VLOOKUP(tbMoveset!A77,tbMoveset!A2:I112,9,FALSE)="Ice",Backdoors!BE37,IF(VLOOKUP(tbMoveset!A77,tbMoveset!A2:I112,9,FALSE)="Dragon",Backdoors!BF37,Backdoors!BG37)))))/100,Backdoors!BG37/100),"")</f>
        <v>0</v>
      </c>
      <c r="IH77" s="49">
        <f>IFERROR(IF(VLOOKUP(A77,tbMoveset!A2:J112,10,FALSE)=TRUE,IF((Backdoors!AI12+IF(IF77&gt;=0.45,VLOOKUP(Calculator!E23,tbSkills!DH3:DI6,2,FALSE)+IF(AND(Calculator!B8=TRUE,Backdoors!BI37=TRUE),VLOOKUP(Calculator!E23,tbSkills!DH3:DJ6,3,FALSE),0),0))&gt;=0,1+(Backdoors!AL2*(IF((Backdoors!AI12+IF(IF77&gt;=0.45,VLOOKUP(Calculator!E23,tbSkills!DH3:DI6,2,FALSE)+IF(AND(Calculator!B8=TRUE,Backdoors!BI37=TRUE),VLOOKUP(Calculator!E23,tbSkills!DH3:DJ6,3,FALSE),0),0))&gt;=100,100,(Backdoors!AI12+IF(IF77&gt;=0.45,VLOOKUP(Calculator!E23,tbSkills!DH3:DI6,2,FALSE)+IF(AND(Calculator!B8=TRUE,Backdoors!BI37=TRUE),VLOOKUP(Calculator!E23,tbSkills!DH3:DJ6,3,FALSE),0),0)))/100)),(1-(0.25*((-Backdoors!AI12-IF(IF77&gt;=0.45,VLOOKUP(Calculator!E23,tbSkills!DH3:DI6,2,FALSE)+IF(AND(Calculator!B8=TRUE,Backdoors!BI37=TRUE),VLOOKUP(Calculator!E23,tbSkills!DH3:DJ6,3,FALSE),0),0))/100)))),1),"")</f>
        <v>1</v>
      </c>
      <c r="II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F77)*IH77)*(VLOOKUP(A77,tbMoveset!A2:C112,3,FALSE)/100)*IF(VLOOKUP(A77,tbMoveset!A2:B112,2,FALSE)="Projectile",Backdoors!N10,Backdoors!N9),0),"")</f>
        <v/>
      </c>
      <c r="IJ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IF77&gt;=0.45,VLOOKUP(Calculator!E23,tbSkills!DH3:DI6,2,FALSE)+IF(AND(Calculator!B8=TRUE,Backdoors!BI37=TRUE),VLOOKUP(Calculator!E23,tbSkills!DH3:DJ6,3,FALSE),0),0))&gt;=100,100,(Backdoors!AI12+IF(IF77&gt;=0.45,VLOOKUP(Calculator!E23,tbSkills!DH3:DI6,2,FALSE)+IF(AND(Calculator!B8=TRUE,Backdoors!BI37=TRUE),VLOOKUP(Calculator!E23,tbSkills!DH3:DJ6,3,FALSE),0),0)))/100)),1))*IF(VLOOKUP(A77,tbMoveset!A2:K112,11,FALSE)=TRUE,Backdoors!AC5,1))*IG77,0),"")</f>
        <v>0</v>
      </c>
      <c r="IK77" s="49">
        <f>VLOOKUP(A77,tbMoveset!A2:G112,7,FALSE)*IFERROR(IF(Backdoors!AI12&gt;=0,1+(IF(Calculator!E40&gt;0,VLOOKUP(Calculator!E40,tbSkills!AI3:AJ5,2,FALSE),Backdoors!AL4)*(IF((Backdoors!AI12+IF(IF77&gt;=0.45,VLOOKUP(Calculator!E23,tbSkills!DH3:DI6,2,FALSE)+IF(AND(Calculator!B8=TRUE,Backdoors!BI37=TRUE),VLOOKUP(Calculator!E23,tbSkills!DH3:DJ6,3,FALSE),0),0))&gt;=100,100,(Backdoors!AI12+IF(IF77&gt;=0.45,VLOOKUP(Calculator!E23,tbSkills!DH3:DI6,2,FALSE)+IF(AND(Calculator!B8=TRUE,Backdoors!BI37=TRUE),VLOOKUP(Calculator!E23,tbSkills!DH3:DJ6,3,FALSE),0),0)))/100)),1),1)</f>
        <v>0.4</v>
      </c>
      <c r="IL77" s="87">
        <f t="shared" si="85"/>
        <v>0</v>
      </c>
      <c r="IM77" s="86" t="str">
        <f>IFERROR(IF(VLOOKUP(A77,tbMoveset!A2:B112,2,FALSE)="Sever",Backdoors!AY38/100,IF(VLOOKUP(A77,tbMoveset!A2:B112,2,FALSE)="Blunt",Backdoors!AZ38/100,Backdoors!BA38/100)),"")</f>
        <v/>
      </c>
      <c r="IN77" s="49">
        <f>IFERROR(IF(VLOOKUP(tbMoveset!A77,tbMoveset!A2:H112,8,FALSE)="Other",IF(VLOOKUP(tbMoveset!A77,tbMoveset!A2:I112,9,FALSE)="Fire",Backdoors!BB38,IF(VLOOKUP(tbMoveset!A77,tbMoveset!A2:I112,9,FALSE)="Water",Backdoors!BC38,IF(VLOOKUP(tbMoveset!A77,tbMoveset!A2:I112,9,FALSE)="Thunder",Backdoors!BD38,IF(VLOOKUP(tbMoveset!A77,tbMoveset!A2:I112,9,FALSE)="Ice",Backdoors!BE38,IF(VLOOKUP(tbMoveset!A77,tbMoveset!A2:I112,9,FALSE)="Dragon",Backdoors!BF38,Backdoors!BG38)))))/100,Backdoors!BG38/100),"")</f>
        <v>0</v>
      </c>
      <c r="IO77" s="49">
        <f>IFERROR(IF(VLOOKUP(A77,tbMoveset!A2:J112,10,FALSE)=TRUE,IF((Backdoors!AI12+IF(IM77&gt;=0.45,VLOOKUP(Calculator!E23,tbSkills!DH3:DI6,2,FALSE)+IF(AND(Calculator!B8=TRUE,Backdoors!BI38=TRUE),VLOOKUP(Calculator!E23,tbSkills!DH3:DJ6,3,FALSE),0),0))&gt;=0,1+(Backdoors!AL2*(IF((Backdoors!AI12+IF(IM77&gt;=0.45,VLOOKUP(Calculator!E23,tbSkills!DH3:DI6,2,FALSE)+IF(AND(Calculator!B8=TRUE,Backdoors!BI38=TRUE),VLOOKUP(Calculator!E23,tbSkills!DH3:DJ6,3,FALSE),0),0))&gt;=100,100,(Backdoors!AI12+IF(IM77&gt;=0.45,VLOOKUP(Calculator!E23,tbSkills!DH3:DI6,2,FALSE)+IF(AND(Calculator!B8=TRUE,Backdoors!BI38=TRUE),VLOOKUP(Calculator!E23,tbSkills!DH3:DJ6,3,FALSE),0),0)))/100)),(1-(0.25*((-Backdoors!AI12-IF(IM77&gt;=0.45,VLOOKUP(Calculator!E23,tbSkills!DH3:DI6,2,FALSE)+IF(AND(Calculator!B8=TRUE,Backdoors!BI38=TRUE),VLOOKUP(Calculator!E23,tbSkills!DH3:DJ6,3,FALSE),0),0))/100)))),1),"")</f>
        <v>1</v>
      </c>
      <c r="IP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M77)*IO77)*(VLOOKUP(A77,tbMoveset!A2:C112,3,FALSE)/100)*IF(VLOOKUP(A77,tbMoveset!A2:B112,2,FALSE)="Projectile",Backdoors!N10,Backdoors!N9),0),"")</f>
        <v/>
      </c>
      <c r="IQ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IM77&gt;=0.45,VLOOKUP(Calculator!E23,tbSkills!DH3:DI6,2,FALSE)+IF(AND(Calculator!B8=TRUE,Backdoors!BI38=TRUE),VLOOKUP(Calculator!E23,tbSkills!DH3:DJ6,3,FALSE),0),0))&gt;=100,100,(Backdoors!AI12+IF(IM77&gt;=0.45,VLOOKUP(Calculator!E23,tbSkills!DH3:DI6,2,FALSE)+IF(AND(Calculator!B8=TRUE,Backdoors!BI38=TRUE),VLOOKUP(Calculator!E23,tbSkills!DH3:DJ6,3,FALSE),0),0)))/100)),1))*IF(VLOOKUP(A77,tbMoveset!A2:K112,11,FALSE)=TRUE,Backdoors!AC5,1))*IN77,0),"")</f>
        <v>0</v>
      </c>
      <c r="IR77" s="49">
        <f>VLOOKUP(A77,tbMoveset!A2:G112,7,FALSE)*IFERROR(IF(Backdoors!AI12&gt;=0,1+(IF(Calculator!E40&gt;0,VLOOKUP(Calculator!E40,tbSkills!AI3:AJ5,2,FALSE),Backdoors!AL4)*(IF((Backdoors!AI12+IF(IM77&gt;=0.45,VLOOKUP(Calculator!E23,tbSkills!DH3:DI6,2,FALSE)+IF(AND(Calculator!B8=TRUE,Backdoors!BI38=TRUE),VLOOKUP(Calculator!E23,tbSkills!DH3:DJ6,3,FALSE),0),0))&gt;=100,100,(Backdoors!AI12+IF(IM77&gt;=0.45,VLOOKUP(Calculator!E23,tbSkills!DH3:DI6,2,FALSE)+IF(AND(Calculator!B8=TRUE,Backdoors!BI38=TRUE),VLOOKUP(Calculator!E23,tbSkills!DH3:DJ6,3,FALSE),0),0)))/100)),1),1)</f>
        <v>0.4</v>
      </c>
      <c r="IS77" s="87">
        <f t="shared" si="86"/>
        <v>0</v>
      </c>
      <c r="IT77" s="86" t="str">
        <f>IFERROR(IF(VLOOKUP(A77,tbMoveset!A2:B112,2,FALSE)="Sever",Backdoors!AY39/100,IF(VLOOKUP(A77,tbMoveset!A2:B112,2,FALSE)="Blunt",Backdoors!AZ39/100,Backdoors!BA39/100)),"")</f>
        <v/>
      </c>
      <c r="IU77" s="49">
        <f>IFERROR(IF(VLOOKUP(tbMoveset!A77,tbMoveset!A2:H112,8,FALSE)="Other",IF(VLOOKUP(tbMoveset!A77,tbMoveset!A2:I112,9,FALSE)="Fire",Backdoors!BB39,IF(VLOOKUP(tbMoveset!A77,tbMoveset!A2:I112,9,FALSE)="Water",Backdoors!BC39,IF(VLOOKUP(tbMoveset!A77,tbMoveset!A2:I112,9,FALSE)="Thunder",Backdoors!BD39,IF(VLOOKUP(tbMoveset!A77,tbMoveset!A2:I112,9,FALSE)="Ice",Backdoors!BE39,IF(VLOOKUP(tbMoveset!A77,tbMoveset!A2:I112,9,FALSE)="Dragon",Backdoors!BF39,Backdoors!BG39)))))/100,Backdoors!BG39/100),"")</f>
        <v>0</v>
      </c>
      <c r="IV77" s="49">
        <f>IFERROR(IF(VLOOKUP(A77,tbMoveset!A2:J112,10,FALSE)=TRUE,IF((Backdoors!AI12+IF(IT77&gt;=0.45,VLOOKUP(Calculator!E23,tbSkills!DH3:DI6,2,FALSE)+IF(AND(Calculator!B8=TRUE,Backdoors!BI39=TRUE),VLOOKUP(Calculator!E23,tbSkills!DH3:DJ6,3,FALSE),0),0))&gt;=0,1+(Backdoors!AL2*(IF((Backdoors!AI12+IF(IT77&gt;=0.45,VLOOKUP(Calculator!E23,tbSkills!DH3:DI6,2,FALSE)+IF(AND(Calculator!B8=TRUE,Backdoors!BI39=TRUE),VLOOKUP(Calculator!E23,tbSkills!DH3:DJ6,3,FALSE),0),0))&gt;=100,100,(Backdoors!AI12+IF(IT77&gt;=0.45,VLOOKUP(Calculator!E23,tbSkills!DH3:DI6,2,FALSE)+IF(AND(Calculator!B8=TRUE,Backdoors!BI39=TRUE),VLOOKUP(Calculator!E23,tbSkills!DH3:DJ6,3,FALSE),0),0)))/100)),(1-(0.25*((-Backdoors!AI12-IF(IT77&gt;=0.45,VLOOKUP(Calculator!E23,tbSkills!DH3:DI6,2,FALSE)+IF(AND(Calculator!B8=TRUE,Backdoors!BI39=TRUE),VLOOKUP(Calculator!E23,tbSkills!DH3:DJ6,3,FALSE),0),0))/100)))),1),"")</f>
        <v>1</v>
      </c>
      <c r="IW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T77)*IV77)*(VLOOKUP(A77,tbMoveset!A2:C112,3,FALSE)/100)*IF(VLOOKUP(A77,tbMoveset!A2:B112,2,FALSE)="Projectile",Backdoors!N10,Backdoors!N9),0),"")</f>
        <v/>
      </c>
      <c r="IX77" s="49">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40&gt;0,VLOOKUP(Calculator!E40,tbSkills!AC3:AD5,2,FALSE),Backdoors!AL3)*(IF((Backdoors!AI12+IF(IT77&gt;=0.45,VLOOKUP(Calculator!E23,tbSkills!DH3:DI6,2,FALSE)+IF(AND(Calculator!B8=TRUE,Backdoors!BI39=TRUE),VLOOKUP(Calculator!E23,tbSkills!DH3:DJ6,3,FALSE),0),0))&gt;=100,100,(Backdoors!AI12+IF(IT77&gt;=0.45,VLOOKUP(Calculator!E23,tbSkills!DH3:DI6,2,FALSE)+IF(AND(Calculator!B8=TRUE,Backdoors!BI39=TRUE),VLOOKUP(Calculator!E23,tbSkills!DH3:DJ6,3,FALSE),0),0)))/100)),1))*IF(VLOOKUP(A77,tbMoveset!A2:K112,11,FALSE)=TRUE,Backdoors!AC5,1))*IU77,0),"")</f>
        <v>0</v>
      </c>
      <c r="IY77" s="49">
        <f>VLOOKUP(A77,tbMoveset!A2:G112,7,FALSE)*IFERROR(IF(Backdoors!AI12&gt;=0,1+(IF(Calculator!E40&gt;0,VLOOKUP(Calculator!E40,tbSkills!AI3:AJ5,2,FALSE),Backdoors!AL4)*(IF((Backdoors!AI12+IF(IT77&gt;=0.45,VLOOKUP(Calculator!E23,tbSkills!DH3:DI6,2,FALSE)+IF(AND(Calculator!B8=TRUE,Backdoors!BI39=TRUE),VLOOKUP(Calculator!E23,tbSkills!DH3:DJ6,3,FALSE),0),0))&gt;=100,100,(Backdoors!AI12+IF(IT77&gt;=0.45,VLOOKUP(Calculator!E23,tbSkills!DH3:DI6,2,FALSE)+IF(AND(Calculator!B8=TRUE,Backdoors!BI39=TRUE),VLOOKUP(Calculator!E23,tbSkills!DH3:DJ6,3,FALSE),0),0)))/100)),1),1)</f>
        <v>0.4</v>
      </c>
      <c r="IZ77" s="87">
        <f t="shared" si="87"/>
        <v>0</v>
      </c>
      <c r="JA77" s="86" t="str">
        <f>IFERROR(IF(VLOOKUP(A77,tbMoveset!A2:B112,2,FALSE)="Sever",Backdoors!AY40/100,IF(VLOOKUP(A77,tbMoveset!A2:B112,2,FALSE)="Blunt",Backdoors!AZ40/100,Backdoors!BA40/100)),"")</f>
        <v/>
      </c>
      <c r="JB77" s="49">
        <f>IFERROR(IF(VLOOKUP(tbMoveset!A77,tbMoveset!A2:H112,8,FALSE)="Other",IF(VLOOKUP(tbMoveset!A77,tbMoveset!A2:I112,9,FALSE)="Fire",Backdoors!BB40,IF(VLOOKUP(tbMoveset!A77,tbMoveset!A2:I112,9,FALSE)="Water",Backdoors!BC40,IF(VLOOKUP(tbMoveset!A77,tbMoveset!A2:I112,9,FALSE)="Thunder",Backdoors!BD40,IF(VLOOKUP(tbMoveset!A77,tbMoveset!A2:I112,9,FALSE)="Ice",Backdoors!BE40,IF(VLOOKUP(tbMoveset!A77,tbMoveset!A2:I112,9,FALSE)="Dragon",Backdoors!BF40,Backdoors!BG40)))))/100,Backdoors!BG40/100),"")</f>
        <v>0</v>
      </c>
      <c r="JC77" s="49">
        <f>IFERROR(IF(VLOOKUP(A77,tbMoveset!A2:J112,10,FALSE)=TRUE,IF((Backdoors!AI12+IF(JA77&gt;=0.45,VLOOKUP(Calculator!E23,tbSkills!DH3:DI6,2,FALSE)+IF(AND(Calculator!B8=TRUE,Backdoors!BI40=TRUE),VLOOKUP(Calculator!E23,tbSkills!DH3:DJ6,3,FALSE),0),0))&gt;=0,1+(Backdoors!AL2*(IF((Backdoors!AI12+IF(JA77&gt;=0.45,VLOOKUP(Calculator!E23,tbSkills!DH3:DI6,2,FALSE)+IF(AND(Calculator!B8=TRUE,Backdoors!BI40=TRUE),VLOOKUP(Calculator!E23,tbSkills!DH3:DJ6,3,FALSE),0),0))&gt;=100,100,(Backdoors!AI12+IF(JA77&gt;=0.45,VLOOKUP(Calculator!E23,tbSkills!DH3:DI6,2,FALSE)+IF(AND(Calculator!B8=TRUE,Backdoors!BI40=TRUE),VLOOKUP(Calculator!E23,tbSkills!DH3:DJ6,3,FALSE),0),0)))/100)),(1-(0.25*((-Backdoors!AI12-IF(JA77&gt;=0.45,VLOOKUP(Calculator!E23,tbSkills!DH3:DI6,2,FALSE)+IF(AND(Calculator!B8=TRUE,Backdoors!BI40=TRUE),VLOOKUP(Calculator!E23,tbSkills!DH3:DJ6,3,FALSE),0),0))/100)))),1),"")</f>
        <v>1</v>
      </c>
      <c r="JD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A77)*JC77)*(VLOOKUP(A77,tbMoveset!A2:C112,3,FALSE)/100)*IF(VLOOKUP(A77,tbMoveset!A2:B112,2,FALSE)="Projectile",Backdoors!N10,Backdoors!N9),0),"")</f>
        <v/>
      </c>
      <c r="JE77" s="49">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42&gt;0,VLOOKUP(Calculator!E42,tbSkills!AC3:AD5,2,FALSE),Backdoors!AL3)*(IF((Backdoors!AI12+IF(JA77&gt;=0.45,VLOOKUP(Calculator!E23,tbSkills!DH3:DI6,2,FALSE)+IF(AND(Calculator!B8=TRUE,Backdoors!BI40=TRUE),VLOOKUP(Calculator!E23,tbSkills!DH3:DJ6,3,FALSE),0),0))&gt;=100,100,(Backdoors!AI12+IF(JA77&gt;=0.45,VLOOKUP(Calculator!E23,tbSkills!DH3:DI6,2,FALSE)+IF(AND(Calculator!B8=TRUE,Backdoors!BI40=TRUE),VLOOKUP(Calculator!E23,tbSkills!DH3:DJ6,3,FALSE),0),0)))/100)),1))*IF(VLOOKUP(A77,tbMoveset!A2:K112,11,FALSE)=TRUE,Backdoors!AC5,1))*JB77,0),"")</f>
        <v>0</v>
      </c>
      <c r="JF77" s="49">
        <f>VLOOKUP(A77,tbMoveset!A2:G112,7,FALSE)*IFERROR(IF(Backdoors!AI12&gt;=0,1+(IF(Calculator!E40&gt;0,VLOOKUP(Calculator!E40,tbSkills!AI3:AJ5,2,FALSE),Backdoors!AL4)*(IF((Backdoors!AI12+IF(JA77&gt;=0.45,VLOOKUP(Calculator!E23,tbSkills!DH3:DI6,2,FALSE)+IF(AND(Calculator!B8=TRUE,Backdoors!BI40=TRUE),VLOOKUP(Calculator!E23,tbSkills!DH3:DJ6,3,FALSE),0),0))&gt;=100,100,(Backdoors!AI12+IF(JA77&gt;=0.45,VLOOKUP(Calculator!E23,tbSkills!DH3:DI6,2,FALSE)+IF(AND(Calculator!B8=TRUE,Backdoors!BI40=TRUE),VLOOKUP(Calculator!E23,tbSkills!DH3:DJ6,3,FALSE),0),0)))/100)),1),1)</f>
        <v>0.4</v>
      </c>
      <c r="JG77" s="87">
        <f t="shared" si="88"/>
        <v>0</v>
      </c>
      <c r="JH77" s="86" t="str">
        <f>IFERROR(IF(VLOOKUP(A77,tbMoveset!A2:B112,2,FALSE)="Sever",Backdoors!AY41/100,IF(VLOOKUP(A77,tbMoveset!A2:B112,2,FALSE)="Blunt",Backdoors!AZ41/100,Backdoors!BA41/100)),"")</f>
        <v/>
      </c>
      <c r="JI77" s="49">
        <f>IFERROR(IF(VLOOKUP(tbMoveset!A77,tbMoveset!A2:H112,8,FALSE)="Other",IF(VLOOKUP(tbMoveset!A77,tbMoveset!A2:I112,9,FALSE)="Fire",Backdoors!BB41,IF(VLOOKUP(tbMoveset!A77,tbMoveset!A2:I112,9,FALSE)="Water",Backdoors!BC41,IF(VLOOKUP(tbMoveset!A77,tbMoveset!A2:I112,9,FALSE)="Thunder",Backdoors!BD41,IF(VLOOKUP(tbMoveset!A77,tbMoveset!A2:I112,9,FALSE)="Ice",Backdoors!BE41,IF(VLOOKUP(tbMoveset!A77,tbMoveset!A2:I112,9,FALSE)="Dragon",Backdoors!BF41,Backdoors!BG41)))))/100,Backdoors!BG41/100),"")</f>
        <v>0</v>
      </c>
      <c r="JJ77" s="49">
        <f>IFERROR(IF(VLOOKUP(A77,tbMoveset!A2:J112,10,FALSE)=TRUE,IF((Backdoors!AI12+IF(JH77&gt;=0.45,VLOOKUP(Calculator!E23,tbSkills!DH3:DI6,2,FALSE)+IF(AND(Calculator!B8=TRUE,Backdoors!BI41=TRUE),VLOOKUP(Calculator!E23,tbSkills!DH3:DJ6,3,FALSE),0),0))&gt;=0,1+(Backdoors!AL2*(IF((Backdoors!AI12+IF(JH77&gt;=0.45,VLOOKUP(Calculator!E23,tbSkills!DH3:DI6,2,FALSE)+IF(AND(Calculator!B8=TRUE,Backdoors!BI41=TRUE),VLOOKUP(Calculator!E23,tbSkills!DH3:DJ6,3,FALSE),0),0))&gt;=100,100,(Backdoors!AI12+IF(JH77&gt;=0.45,VLOOKUP(Calculator!E23,tbSkills!DH3:DI6,2,FALSE)+IF(AND(Calculator!B8=TRUE,Backdoors!BI41=TRUE),VLOOKUP(Calculator!E23,tbSkills!DH3:DJ6,3,FALSE),0),0)))/100)),(1-(0.25*((-Backdoors!AI12-IF(JH77&gt;=0.45,VLOOKUP(Calculator!E23,tbSkills!DH3:DI6,2,FALSE)+IF(AND(Calculator!B8=TRUE,Backdoors!BI41=TRUE),VLOOKUP(Calculator!E23,tbSkills!DH3:DJ6,3,FALSE),0),0))/100)))),1),"")</f>
        <v>1</v>
      </c>
      <c r="JK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H77)*JJ77)*(VLOOKUP(A77,tbMoveset!A2:C112,3,FALSE)/100)*IF(VLOOKUP(A77,tbMoveset!A2:B112,2,FALSE)="Projectile",Backdoors!N10,Backdoors!N9),0),"")</f>
        <v/>
      </c>
      <c r="JL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43&gt;0,VLOOKUP(Calculator!E43,tbSkills!AC3:AD5,2,FALSE),Backdoors!AL3)*(IF((Backdoors!AI12+IF(JH77&gt;=0.45,VLOOKUP(Calculator!E23,tbSkills!DH3:DI6,2,FALSE)+IF(AND(Calculator!B8=TRUE,Backdoors!BI41=TRUE),VLOOKUP(Calculator!E23,tbSkills!DH3:DJ6,3,FALSE),0),0))&gt;=100,100,(Backdoors!AI12+IF(JH77&gt;=0.45,VLOOKUP(Calculator!E23,tbSkills!DH3:DI6,2,FALSE)+IF(AND(Calculator!B8=TRUE,Backdoors!BI41=TRUE),VLOOKUP(Calculator!E23,tbSkills!DH3:DJ6,3,FALSE),0),0)))/100)),1))*IF(VLOOKUP(A77,tbMoveset!A2:K112,11,FALSE)=TRUE,Backdoors!AC5,1))*JI77,0),"")</f>
        <v/>
      </c>
      <c r="JM77" s="49">
        <f>VLOOKUP(A77,tbMoveset!A2:G112,7,FALSE)*IFERROR(IF(Backdoors!AI12&gt;=0,1+(IF(Calculator!E40&gt;0,VLOOKUP(Calculator!E40,tbSkills!AI3:AJ5,2,FALSE),Backdoors!AL4)*(IF((Backdoors!AI12+IF(JH77&gt;=0.45,VLOOKUP(Calculator!E23,tbSkills!DH3:DI6,2,FALSE)+IF(AND(Calculator!B8=TRUE,Backdoors!BI41=TRUE),VLOOKUP(Calculator!E23,tbSkills!DH3:DJ6,3,FALSE),0),0))&gt;=100,100,(Backdoors!AI12+IF(JH77&gt;=0.45,VLOOKUP(Calculator!E23,tbSkills!DH3:DI6,2,FALSE)+IF(AND(Calculator!B8=TRUE,Backdoors!BI41=TRUE),VLOOKUP(Calculator!E23,tbSkills!DH3:DJ6,3,FALSE),0),0)))/100)),1),1)</f>
        <v>0.4</v>
      </c>
      <c r="JN77" s="87">
        <f t="shared" si="89"/>
        <v>0</v>
      </c>
      <c r="JO77" s="86" t="str">
        <f>IFERROR(IF(VLOOKUP(A77,tbMoveset!A2:B112,2,FALSE)="Sever",Backdoors!AY42/100,IF(VLOOKUP(A77,tbMoveset!A2:B112,2,FALSE)="Blunt",Backdoors!AZ42/100,Backdoors!BA42/100)),"")</f>
        <v/>
      </c>
      <c r="JP77" s="49">
        <f>IFERROR(IF(VLOOKUP(tbMoveset!A77,tbMoveset!A2:H112,8,FALSE)="Other",IF(VLOOKUP(tbMoveset!A77,tbMoveset!A2:I112,9,FALSE)="Fire",Backdoors!BB42,IF(VLOOKUP(tbMoveset!A77,tbMoveset!A2:I112,9,FALSE)="Water",Backdoors!BC42,IF(VLOOKUP(tbMoveset!A77,tbMoveset!A2:I112,9,FALSE)="Thunder",Backdoors!BD42,IF(VLOOKUP(tbMoveset!A77,tbMoveset!A2:I112,9,FALSE)="Ice",Backdoors!BE42,IF(VLOOKUP(tbMoveset!A77,tbMoveset!A2:I112,9,FALSE)="Dragon",Backdoors!BF42,Backdoors!BG42)))))/100,Backdoors!BG42/100),"")</f>
        <v>0</v>
      </c>
      <c r="JQ77" s="49">
        <f>IFERROR(IF(VLOOKUP(A77,tbMoveset!A2:J112,10,FALSE)=TRUE,IF((Backdoors!AI12+IF(JO77&gt;=0.45,VLOOKUP(Calculator!E23,tbSkills!DH3:DI6,2,FALSE)+IF(AND(Calculator!B8=TRUE,Backdoors!BI42=TRUE),VLOOKUP(Calculator!E23,tbSkills!DH3:DJ6,3,FALSE),0),0))&gt;=0,1+(Backdoors!AL2*(IF((Backdoors!AI12+IF(JO77&gt;=0.45,VLOOKUP(Calculator!E23,tbSkills!DH3:DI6,2,FALSE)+IF(AND(Calculator!B8=TRUE,Backdoors!BI42=TRUE),VLOOKUP(Calculator!E23,tbSkills!DH3:DJ6,3,FALSE),0),0))&gt;=100,100,(Backdoors!AI12+IF(JO77&gt;=0.45,VLOOKUP(Calculator!E23,tbSkills!DH3:DI6,2,FALSE)+IF(AND(Calculator!B8=TRUE,Backdoors!BI42=TRUE),VLOOKUP(Calculator!E23,tbSkills!DH3:DJ6,3,FALSE),0),0)))/100)),(1-(0.25*((-Backdoors!AI12-IF(JO77&gt;=0.45,VLOOKUP(Calculator!E23,tbSkills!DH3:DI6,2,FALSE)+IF(AND(Calculator!B8=TRUE,Backdoors!BI42=TRUE),VLOOKUP(Calculator!E23,tbSkills!DH3:DJ6,3,FALSE),0),0))/100)))),1),"")</f>
        <v>1</v>
      </c>
      <c r="JR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O77)*JQ77)*(VLOOKUP(A77,tbMoveset!A2:C112,3,FALSE)/100)*IF(VLOOKUP(A77,tbMoveset!A2:B112,2,FALSE)="Projectile",Backdoors!N10,Backdoors!N9),0),"")</f>
        <v/>
      </c>
      <c r="JS77" s="49">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45&gt;0,VLOOKUP(Calculator!E45,tbSkills!AC3:AD5,2,FALSE),Backdoors!AL3)*(IF((Backdoors!AI12+IF(JO77&gt;=0.45,VLOOKUP(Calculator!E23,tbSkills!DH3:DI6,2,FALSE)+IF(AND(Calculator!B8=TRUE,Backdoors!BI42=TRUE),VLOOKUP(Calculator!E23,tbSkills!DH3:DJ6,3,FALSE),0),0))&gt;=100,100,(Backdoors!AI12+IF(JO77&gt;=0.45,VLOOKUP(Calculator!E23,tbSkills!DH3:DI6,2,FALSE)+IF(AND(Calculator!B8=TRUE,Backdoors!BI42=TRUE),VLOOKUP(Calculator!E23,tbSkills!DH3:DJ6,3,FALSE),0),0)))/100)),1))*IF(VLOOKUP(A77,tbMoveset!A2:K112,11,FALSE)=TRUE,Backdoors!AC5,1))*JP77,0),"")</f>
        <v>0</v>
      </c>
      <c r="JT77" s="49">
        <f>VLOOKUP(A77,tbMoveset!A2:G112,7,FALSE)*IFERROR(IF(Backdoors!AI12&gt;=0,1+(IF(Calculator!E40&gt;0,VLOOKUP(Calculator!E40,tbSkills!AI3:AJ5,2,FALSE),Backdoors!AL4)*(IF((Backdoors!AI12+IF(JO77&gt;=0.45,VLOOKUP(Calculator!E23,tbSkills!DH3:DI6,2,FALSE)+IF(AND(Calculator!B8=TRUE,Backdoors!BI42=TRUE),VLOOKUP(Calculator!E23,tbSkills!DH3:DJ6,3,FALSE),0),0))&gt;=100,100,(Backdoors!AI12+IF(JO77&gt;=0.45,VLOOKUP(Calculator!E23,tbSkills!DH3:DI6,2,FALSE)+IF(AND(Calculator!B8=TRUE,Backdoors!BI42=TRUE),VLOOKUP(Calculator!E23,tbSkills!DH3:DJ6,3,FALSE),0),0)))/100)),1),1)</f>
        <v>0.4</v>
      </c>
      <c r="JU77" s="87">
        <f t="shared" si="90"/>
        <v>0</v>
      </c>
      <c r="JV77" s="86" t="str">
        <f>IFERROR(IF(VLOOKUP(A77,tbMoveset!A2:B112,2,FALSE)="Sever",Backdoors!AY43/100,IF(VLOOKUP(A77,tbMoveset!A2:B112,2,FALSE)="Blunt",Backdoors!AZ43/100,Backdoors!BA43/100)),"")</f>
        <v/>
      </c>
      <c r="JW77" s="49">
        <f>IFERROR(IF(VLOOKUP(tbMoveset!A77,tbMoveset!A2:H112,8,FALSE)="Other",IF(VLOOKUP(tbMoveset!A77,tbMoveset!A2:I112,9,FALSE)="Fire",Backdoors!BB43,IF(VLOOKUP(tbMoveset!A77,tbMoveset!A2:I112,9,FALSE)="Water",Backdoors!BC43,IF(VLOOKUP(tbMoveset!A77,tbMoveset!A2:I112,9,FALSE)="Thunder",Backdoors!BD43,IF(VLOOKUP(tbMoveset!A77,tbMoveset!A2:I112,9,FALSE)="Ice",Backdoors!BE43,IF(VLOOKUP(tbMoveset!A77,tbMoveset!A2:I112,9,FALSE)="Dragon",Backdoors!BF43,Backdoors!BG43)))))/100,Backdoors!BG43/100),"")</f>
        <v>0</v>
      </c>
      <c r="JX77" s="49">
        <f>IFERROR(IF(VLOOKUP(A77,tbMoveset!A2:J112,10,FALSE)=TRUE,IF((Backdoors!AI12+IF(JV77&gt;=0.45,VLOOKUP(Calculator!E23,tbSkills!DH3:DI6,2,FALSE)+IF(AND(Calculator!B8=TRUE,Backdoors!BI43=TRUE),VLOOKUP(Calculator!E23,tbSkills!DH3:DJ6,3,FALSE),0),0))&gt;=0,1+(Backdoors!AL2*(IF((Backdoors!AI12+IF(JV77&gt;=0.45,VLOOKUP(Calculator!E23,tbSkills!DH3:DI6,2,FALSE)+IF(AND(Calculator!B8=TRUE,Backdoors!BI43=TRUE),VLOOKUP(Calculator!E23,tbSkills!DH3:DJ6,3,FALSE),0),0))&gt;=100,100,(Backdoors!AI12+IF(JV77&gt;=0.45,VLOOKUP(Calculator!E23,tbSkills!DH3:DI6,2,FALSE)+IF(AND(Calculator!B8=TRUE,Backdoors!BI43=TRUE),VLOOKUP(Calculator!E23,tbSkills!DH3:DJ6,3,FALSE),0),0)))/100)),(1-(0.25*((-Backdoors!AI12-IF(JV77&gt;=0.45,VLOOKUP(Calculator!E23,tbSkills!DH3:DI6,2,FALSE)+IF(AND(Calculator!B8=TRUE,Backdoors!BI43=TRUE),VLOOKUP(Calculator!E23,tbSkills!DH3:DJ6,3,FALSE),0),0))/100)))),1),"")</f>
        <v>1</v>
      </c>
      <c r="JY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V77)*JX77)*(VLOOKUP(A77,tbMoveset!A2:C112,3,FALSE)/100)*IF(VLOOKUP(A77,tbMoveset!A2:B112,2,FALSE)="Projectile",Backdoors!N10,Backdoors!N9),0),"")</f>
        <v/>
      </c>
      <c r="JZ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46&gt;0,VLOOKUP(Calculator!E46,tbSkills!AC3:AD5,2,FALSE),Backdoors!AL3)*(IF((Backdoors!AI12+IF(JV77&gt;=0.45,VLOOKUP(Calculator!E23,tbSkills!DH3:DI6,2,FALSE)+IF(AND(Calculator!B8=TRUE,Backdoors!BI43=TRUE),VLOOKUP(Calculator!E23,tbSkills!DH3:DJ6,3,FALSE),0),0))&gt;=100,100,(Backdoors!AI12+IF(JV77&gt;=0.45,VLOOKUP(Calculator!E23,tbSkills!DH3:DI6,2,FALSE)+IF(AND(Calculator!B8=TRUE,Backdoors!BI43=TRUE),VLOOKUP(Calculator!E23,tbSkills!DH3:DJ6,3,FALSE),0),0)))/100)),1))*IF(VLOOKUP(A77,tbMoveset!A2:K112,11,FALSE)=TRUE,Backdoors!AC5,1))*JW77,0),"")</f>
        <v/>
      </c>
      <c r="KA77" s="49">
        <f>VLOOKUP(A77,tbMoveset!A2:G112,7,FALSE)*IFERROR(IF(Backdoors!AI12&gt;=0,1+(IF(Calculator!E40&gt;0,VLOOKUP(Calculator!E40,tbSkills!AI3:AJ5,2,FALSE),Backdoors!AL4)*(IF((Backdoors!AI12+IF(JV77&gt;=0.45,VLOOKUP(Calculator!E23,tbSkills!DH3:DI6,2,FALSE)+IF(AND(Calculator!B8=TRUE,Backdoors!BI43=TRUE),VLOOKUP(Calculator!E23,tbSkills!DH3:DJ6,3,FALSE),0),0))&gt;=100,100,(Backdoors!AI12+IF(JV77&gt;=0.45,VLOOKUP(Calculator!E23,tbSkills!DH3:DI6,2,FALSE)+IF(AND(Calculator!B8=TRUE,Backdoors!BI43=TRUE),VLOOKUP(Calculator!E23,tbSkills!DH3:DJ6,3,FALSE),0),0)))/100)),1),1)</f>
        <v>0.4</v>
      </c>
      <c r="KB77" s="87">
        <f t="shared" si="91"/>
        <v>0</v>
      </c>
      <c r="KC77" s="86" t="str">
        <f>IFERROR(IF(VLOOKUP(A77,tbMoveset!A2:B112,2,FALSE)="Sever",Backdoors!AY44/100,IF(VLOOKUP(A77,tbMoveset!A2:B112,2,FALSE)="Blunt",Backdoors!AZ44/100,Backdoors!BA44/100)),"")</f>
        <v/>
      </c>
      <c r="KD77" s="49">
        <f>IFERROR(IF(VLOOKUP(tbMoveset!A77,tbMoveset!A2:H112,8,FALSE)="Other",IF(VLOOKUP(tbMoveset!A77,tbMoveset!A2:I112,9,FALSE)="Fire",Backdoors!BB44,IF(VLOOKUP(tbMoveset!A77,tbMoveset!A2:I112,9,FALSE)="Water",Backdoors!BC44,IF(VLOOKUP(tbMoveset!A77,tbMoveset!A2:I112,9,FALSE)="Thunder",Backdoors!BD44,IF(VLOOKUP(tbMoveset!A77,tbMoveset!A2:I112,9,FALSE)="Ice",Backdoors!BE44,IF(VLOOKUP(tbMoveset!A77,tbMoveset!A2:I112,9,FALSE)="Dragon",Backdoors!BF44,Backdoors!BG44)))))/100,Backdoors!BG44/100),"")</f>
        <v>0</v>
      </c>
      <c r="KE77" s="49">
        <f>IFERROR(IF(VLOOKUP(A77,tbMoveset!A2:J112,10,FALSE)=TRUE,IF((Backdoors!AI12+IF(KC77&gt;=0.45,VLOOKUP(Calculator!E23,tbSkills!DH3:DI6,2,FALSE)+IF(AND(Calculator!B8=TRUE,Backdoors!BI44=TRUE),VLOOKUP(Calculator!E23,tbSkills!DH3:DJ6,3,FALSE),0),0))&gt;=0,1+(Backdoors!AL2*(IF((Backdoors!AI12+IF(KC77&gt;=0.45,VLOOKUP(Calculator!E23,tbSkills!DH3:DI6,2,FALSE)+IF(AND(Calculator!B8=TRUE,Backdoors!BI44=TRUE),VLOOKUP(Calculator!E23,tbSkills!DH3:DJ6,3,FALSE),0),0))&gt;=100,100,(Backdoors!AI12+IF(KC77&gt;=0.45,VLOOKUP(Calculator!E23,tbSkills!DH3:DI6,2,FALSE)+IF(AND(Calculator!B8=TRUE,Backdoors!BI44=TRUE),VLOOKUP(Calculator!E23,tbSkills!DH3:DJ6,3,FALSE),0),0)))/100)),(1-(0.25*((-Backdoors!AI12-IF(KC77&gt;=0.45,VLOOKUP(Calculator!E23,tbSkills!DH3:DI6,2,FALSE)+IF(AND(Calculator!B8=TRUE,Backdoors!BI44=TRUE),VLOOKUP(Calculator!E23,tbSkills!DH3:DJ6,3,FALSE),0),0))/100)))),1),"")</f>
        <v>1</v>
      </c>
      <c r="KF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KC77)*KE77)*(VLOOKUP(A77,tbMoveset!A2:C112,3,FALSE)/100)*IF(VLOOKUP(A77,tbMoveset!A2:B112,2,FALSE)="Projectile",Backdoors!N10,Backdoors!N9),0),"")</f>
        <v/>
      </c>
      <c r="KG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REF!&gt;0,VLOOKUP(Calculator!#REF!,tbSkills!AC3:AD5,2,FALSE),Backdoors!AL3)*(IF((Backdoors!AI12+IF(KC77&gt;=0.45,VLOOKUP(Calculator!E23,tbSkills!DH3:DI6,2,FALSE)+IF(AND(Calculator!B8=TRUE,Backdoors!BI44=TRUE),VLOOKUP(Calculator!E23,tbSkills!DH3:DJ6,3,FALSE),0),0))&gt;=100,100,(Backdoors!AI12+IF(KC77&gt;=0.45,VLOOKUP(Calculator!E23,tbSkills!DH3:DI6,2,FALSE)+IF(AND(Calculator!B8=TRUE,Backdoors!BI44=TRUE),VLOOKUP(Calculator!E23,tbSkills!DH3:DJ6,3,FALSE),0),0)))/100)),1))*IF(VLOOKUP(A77,tbMoveset!A2:K112,11,FALSE)=TRUE,Backdoors!AC5,1))*KD77,0),"")</f>
        <v/>
      </c>
      <c r="KH77" s="49">
        <f>VLOOKUP(A77,tbMoveset!A2:G112,7,FALSE)*IFERROR(IF(Backdoors!AI12&gt;=0,1+(IF(Calculator!E40&gt;0,VLOOKUP(Calculator!E40,tbSkills!AI3:AJ5,2,FALSE),Backdoors!AL4)*(IF((Backdoors!AI12+IF(KC77&gt;=0.45,VLOOKUP(Calculator!E23,tbSkills!DH3:DI6,2,FALSE)+IF(AND(Calculator!B8=TRUE,Backdoors!BI44=TRUE),VLOOKUP(Calculator!E23,tbSkills!DH3:DJ6,3,FALSE),0),0))&gt;=100,100,(Backdoors!AI12+IF(KC77&gt;=0.45,VLOOKUP(Calculator!E23,tbSkills!DH3:DI6,2,FALSE)+IF(AND(Calculator!B8=TRUE,Backdoors!BI44=TRUE),VLOOKUP(Calculator!E23,tbSkills!DH3:DJ6,3,FALSE),0),0)))/100)),1),1)</f>
        <v>0.4</v>
      </c>
      <c r="KI77" s="87">
        <f t="shared" si="92"/>
        <v>0</v>
      </c>
      <c r="KJ77" s="86" t="str">
        <f>IFERROR(IF(VLOOKUP(A77,tbMoveset!A2:B112,2,FALSE)="Sever",Backdoors!AY45/100,IF(VLOOKUP(A77,tbMoveset!A2:B112,2,FALSE)="Blunt",Backdoors!AZ45/100,Backdoors!BA45/100)),"")</f>
        <v/>
      </c>
      <c r="KK77" s="49">
        <f>IFERROR(IF(VLOOKUP(tbMoveset!A77,tbMoveset!A2:H112,8,FALSE)="Other",IF(VLOOKUP(tbMoveset!A77,tbMoveset!A2:I112,9,FALSE)="Fire",Backdoors!BB45,IF(VLOOKUP(tbMoveset!A77,tbMoveset!A2:I112,9,FALSE)="Water",Backdoors!BC45,IF(VLOOKUP(tbMoveset!A77,tbMoveset!A2:I112,9,FALSE)="Thunder",Backdoors!BD45,IF(VLOOKUP(tbMoveset!A77,tbMoveset!A2:I112,9,FALSE)="Ice",Backdoors!BE45,IF(VLOOKUP(tbMoveset!A77,tbMoveset!A2:I112,9,FALSE)="Dragon",Backdoors!BF45,Backdoors!BG45)))))/100,Backdoors!BG45/100),"")</f>
        <v>0</v>
      </c>
      <c r="KL77" s="49">
        <f>IFERROR(IF(VLOOKUP(A77,tbMoveset!A2:J112,10,FALSE)=TRUE,IF((Backdoors!AI12+IF(KJ77&gt;=0.45,VLOOKUP(Calculator!E23,tbSkills!DH3:DI6,2,FALSE)+IF(AND(Calculator!B8=TRUE,Backdoors!BI45=TRUE),VLOOKUP(Calculator!E23,tbSkills!DH3:DJ6,3,FALSE),0),0))&gt;=0,1+(Backdoors!AL2*(IF((Backdoors!AI12+IF(KJ77&gt;=0.45,VLOOKUP(Calculator!E23,tbSkills!DH3:DI6,2,FALSE)+IF(AND(Calculator!B8=TRUE,Backdoors!BI45=TRUE),VLOOKUP(Calculator!E23,tbSkills!DH3:DJ6,3,FALSE),0),0))&gt;=100,100,(Backdoors!AI12+IF(KJ77&gt;=0.45,VLOOKUP(Calculator!E23,tbSkills!DH3:DI6,2,FALSE)+IF(AND(Calculator!B8=TRUE,Backdoors!BI45=TRUE),VLOOKUP(Calculator!E23,tbSkills!DH3:DJ6,3,FALSE),0),0)))/100)),(1-(0.25*((-Backdoors!AI12-IF(KJ77&gt;=0.45,VLOOKUP(Calculator!E23,tbSkills!DH3:DI6,2,FALSE)+IF(AND(Calculator!B8=TRUE,Backdoors!BI45=TRUE),VLOOKUP(Calculator!E23,tbSkills!DH3:DJ6,3,FALSE),0),0))/100)))),1),"")</f>
        <v>1</v>
      </c>
      <c r="KM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KJ77)*KL77)*(VLOOKUP(A77,tbMoveset!A2:C112,3,FALSE)/100)*IF(VLOOKUP(A77,tbMoveset!A2:B112,2,FALSE)="Projectile",Backdoors!N10,Backdoors!N9),0),"")</f>
        <v/>
      </c>
      <c r="KN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REF!&gt;0,VLOOKUP(Calculator!#REF!,tbSkills!AC3:AD5,2,FALSE),Backdoors!AL3)*(IF((Backdoors!AI12+IF(KJ77&gt;=0.45,VLOOKUP(Calculator!E23,tbSkills!DH3:DI6,2,FALSE)+IF(AND(Calculator!B8=TRUE,Backdoors!BI45=TRUE),VLOOKUP(Calculator!E23,tbSkills!DH3:DJ6,3,FALSE),0),0))&gt;=100,100,(Backdoors!AI12+IF(KJ77&gt;=0.45,VLOOKUP(Calculator!E23,tbSkills!DH3:DI6,2,FALSE)+IF(AND(Calculator!B8=TRUE,Backdoors!BI45=TRUE),VLOOKUP(Calculator!E23,tbSkills!DH3:DJ6,3,FALSE),0),0)))/100)),1))*IF(VLOOKUP(A77,tbMoveset!A2:K112,11,FALSE)=TRUE,Backdoors!AC5,1))*KK77,0),"")</f>
        <v/>
      </c>
      <c r="KO77" s="49">
        <f>VLOOKUP(A77,tbMoveset!A2:G112,7,FALSE)*IFERROR(IF(Backdoors!AI12&gt;=0,1+(IF(Calculator!E40&gt;0,VLOOKUP(Calculator!E40,tbSkills!AI3:AJ5,2,FALSE),Backdoors!AL4)*(IF((Backdoors!AI12+IF(KJ77&gt;=0.45,VLOOKUP(Calculator!E23,tbSkills!DH3:DI6,2,FALSE)+IF(AND(Calculator!B8=TRUE,Backdoors!BI45=TRUE),VLOOKUP(Calculator!E23,tbSkills!DH3:DJ6,3,FALSE),0),0))&gt;=100,100,(Backdoors!AI12+IF(KJ77&gt;=0.45,VLOOKUP(Calculator!E23,tbSkills!DH3:DI6,2,FALSE)+IF(AND(Calculator!B8=TRUE,Backdoors!BI45=TRUE),VLOOKUP(Calculator!E23,tbSkills!DH3:DJ6,3,FALSE),0),0)))/100)),1),1)</f>
        <v>0.4</v>
      </c>
      <c r="KP77" s="87">
        <f t="shared" si="93"/>
        <v>0</v>
      </c>
      <c r="KQ77" s="86" t="str">
        <f>IFERROR(IF(VLOOKUP(A77,tbMoveset!A2:B112,2,FALSE)="Sever",Backdoors!AY46/100,IF(VLOOKUP(A77,tbMoveset!A2:B112,2,FALSE)="Blunt",Backdoors!AZ46/100,Backdoors!BA46/100)),"")</f>
        <v/>
      </c>
      <c r="KR77" s="49">
        <f>IFERROR(IF(VLOOKUP(tbMoveset!A77,tbMoveset!A2:H112,8,FALSE)="Other",IF(VLOOKUP(tbMoveset!A77,tbMoveset!A2:I112,9,FALSE)="Fire",Backdoors!BB46,IF(VLOOKUP(tbMoveset!A77,tbMoveset!A2:I112,9,FALSE)="Water",Backdoors!BC46,IF(VLOOKUP(tbMoveset!A77,tbMoveset!A2:I112,9,FALSE)="Thunder",Backdoors!BD46,IF(VLOOKUP(tbMoveset!A77,tbMoveset!A2:I112,9,FALSE)="Ice",Backdoors!BE46,IF(VLOOKUP(tbMoveset!A77,tbMoveset!A2:I112,9,FALSE)="Dragon",Backdoors!BF46,Backdoors!BG46)))))/100,Backdoors!BG46/100),"")</f>
        <v>0</v>
      </c>
      <c r="KS77" s="49">
        <f>IFERROR(IF(VLOOKUP(A77,tbMoveset!A2:J112,10,FALSE)=TRUE,IF((Backdoors!AI12+IF(KQ77&gt;=0.45,VLOOKUP(Calculator!E23,tbSkills!DH3:DI6,2,FALSE)+IF(AND(Calculator!B8=TRUE,Backdoors!BI46=TRUE),VLOOKUP(Calculator!E23,tbSkills!DH3:DJ6,3,FALSE),0),0))&gt;=0,1+(Backdoors!AL2*(IF((Backdoors!AI12+IF(KQ77&gt;=0.45,VLOOKUP(Calculator!E23,tbSkills!DH3:DI6,2,FALSE)+IF(AND(Calculator!B8=TRUE,Backdoors!BI46=TRUE),VLOOKUP(Calculator!E23,tbSkills!DH3:DJ6,3,FALSE),0),0))&gt;=100,100,(Backdoors!AI12+IF(KQ77&gt;=0.45,VLOOKUP(Calculator!E23,tbSkills!DH3:DI6,2,FALSE)+IF(AND(Calculator!B8=TRUE,Backdoors!BI46=TRUE),VLOOKUP(Calculator!E23,tbSkills!DH3:DJ6,3,FALSE),0),0)))/100)),(1-(0.25*((-Backdoors!AI12-IF(KQ77&gt;=0.45,VLOOKUP(Calculator!E23,tbSkills!DH3:DI6,2,FALSE)+IF(AND(Calculator!B8=TRUE,Backdoors!BI46=TRUE),VLOOKUP(Calculator!E23,tbSkills!DH3:DJ6,3,FALSE),0),0))/100)))),1),"")</f>
        <v>1</v>
      </c>
      <c r="KT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KQ77)*KS77)*(VLOOKUP(A77,tbMoveset!A2:C112,3,FALSE)/100)*IF(VLOOKUP(A77,tbMoveset!A2:B112,2,FALSE)="Projectile",Backdoors!N10,Backdoors!N9),0),"")</f>
        <v/>
      </c>
      <c r="KU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REF!&gt;0,VLOOKUP(Calculator!#REF!,tbSkills!AC3:AD5,2,FALSE),Backdoors!AL3)*(IF((Backdoors!AI12+IF(KQ77&gt;=0.45,VLOOKUP(Calculator!E23,tbSkills!DH3:DI6,2,FALSE)+IF(AND(Calculator!B8=TRUE,Backdoors!BI46=TRUE),VLOOKUP(Calculator!E23,tbSkills!DH3:DJ6,3,FALSE),0),0))&gt;=100,100,(Backdoors!AI12+IF(KQ77&gt;=0.45,VLOOKUP(Calculator!E23,tbSkills!DH3:DI6,2,FALSE)+IF(AND(Calculator!B8=TRUE,Backdoors!BI46=TRUE),VLOOKUP(Calculator!E23,tbSkills!DH3:DJ6,3,FALSE),0),0)))/100)),1))*IF(VLOOKUP(A77,tbMoveset!A2:K112,11,FALSE)=TRUE,Backdoors!AC5,1))*KR77,0),"")</f>
        <v/>
      </c>
      <c r="KV77" s="49">
        <f>VLOOKUP(A77,tbMoveset!A2:G112,7,FALSE)*IFERROR(IF(Backdoors!AI12&gt;=0,1+(IF(Calculator!E40&gt;0,VLOOKUP(Calculator!E40,tbSkills!AI3:AJ5,2,FALSE),Backdoors!AL4)*(IF((Backdoors!AI12+IF(KQ77&gt;=0.45,VLOOKUP(Calculator!E23,tbSkills!DH3:DI6,2,FALSE)+IF(AND(Calculator!B8=TRUE,Backdoors!BI46=TRUE),VLOOKUP(Calculator!E23,tbSkills!DH3:DJ6,3,FALSE),0),0))&gt;=100,100,(Backdoors!AI12+IF(KQ77&gt;=0.45,VLOOKUP(Calculator!E23,tbSkills!DH3:DI6,2,FALSE)+IF(AND(Calculator!B8=TRUE,Backdoors!BI46=TRUE),VLOOKUP(Calculator!E23,tbSkills!DH3:DJ6,3,FALSE),0),0)))/100)),1),1)</f>
        <v>0.4</v>
      </c>
      <c r="KW77" s="87">
        <f t="shared" si="94"/>
        <v>0</v>
      </c>
    </row>
    <row r="78" spans="1:309" x14ac:dyDescent="0.25">
      <c r="A78" s="95" t="str">
        <f>tbMoveset!A78</f>
        <v>Midair Spinning Blade Dance (L1)</v>
      </c>
      <c r="B78" s="86">
        <f>IFERROR(IF(VLOOKUP(A78,tbMoveset!A2:B112,2,FALSE)="Sever",Backdoors!AY3/100,IF(VLOOKUP(A78,tbMoveset!A2:B112,2,FALSE)="Blunt",Backdoors!AZ3/100,Backdoors!BA3/100)),"")</f>
        <v>0.8</v>
      </c>
      <c r="C78" s="49">
        <f>IFERROR(IF(VLOOKUP(tbMoveset!A78,tbMoveset!A2:H112,8,FALSE)="Other",IF(VLOOKUP(tbMoveset!A78,tbMoveset!A2:I112,9,FALSE)="Fire",Backdoors!BB3,IF(VLOOKUP(tbMoveset!A78,tbMoveset!A2:I112,9,FALSE)="Water",Backdoors!BC3,IF(VLOOKUP(tbMoveset!A78,tbMoveset!A2:I112,9,FALSE)="Thunder",Backdoors!BD3,IF(VLOOKUP(tbMoveset!A78,tbMoveset!A2:I112,9,FALSE)="Ice",Backdoors!BE3,IF(VLOOKUP(tbMoveset!A78,tbMoveset!A2:I112,9,FALSE)="Dragon",Backdoors!BF3,Backdoors!BG3)))))/100,Backdoors!BG3/100),"")</f>
        <v>0</v>
      </c>
      <c r="D78" s="49">
        <f>IFERROR(IF(VLOOKUP(A78,tbMoveset!A2:J112,10,FALSE)=TRUE,IF((Backdoors!AI12+IF(B78&gt;=0.45,VLOOKUP(Calculator!E23,tbSkills!DH3:DI6,2,FALSE)+IF(AND(Calculator!B8=TRUE,Backdoors!BI3=TRUE),VLOOKUP(Calculator!E23,tbSkills!DH3:DJ6,3,FALSE),0),0))&gt;=0,1+(Backdoors!AL2*(IF((Backdoors!AI12+IF(B78&gt;=0.45,VLOOKUP(Calculator!E23,tbSkills!DH3:DI6,2,FALSE)+IF(AND(Calculator!B8=TRUE,Backdoors!BI3=TRUE),VLOOKUP(Calculator!E23,tbSkills!DH3:DJ6,3,FALSE),0),0))&gt;=100,100,(Backdoors!AI12+IF(B78&gt;=0.45,VLOOKUP(Calculator!E23,tbSkills!DH3:DI6,2,FALSE)+IF(AND(Calculator!B8=TRUE,Backdoors!BI3=TRUE),VLOOKUP(Calculator!E23,tbSkills!DH3:DJ6,3,FALSE),0),0)))/100)),(1-(0.25*((-Backdoors!AI12-IF(B78&gt;=0.45,VLOOKUP(Calculator!E23,tbSkills!DH3:DI6,2,FALSE)+IF(AND(Calculator!B8=TRUE,Backdoors!BI3=TRUE),VLOOKUP(Calculator!E23,tbSkills!DH3:DJ6,3,FALSE),0),0))/100)))),1),"")</f>
        <v>1</v>
      </c>
      <c r="E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78)*D78)*(VLOOKUP(A78,tbMoveset!A2:C112,3,FALSE)/100)*IF(VLOOKUP(A78,tbMoveset!A2:B112,2,FALSE)="Projectile",Backdoors!N10,Backdoors!N9),0),"")</f>
        <v>10</v>
      </c>
      <c r="F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78&gt;=0.45,VLOOKUP(Calculator!E23,tbSkills!DH3:DI6,2,FALSE)+IF(AND(Calculator!B8=TRUE,Backdoors!BI3=TRUE),VLOOKUP(Calculator!E23,tbSkills!DH3:DJ6,3,FALSE),0),0))&gt;=100,100,(Backdoors!AI12+IF(B78&gt;=0.45,VLOOKUP(Calculator!E23,tbSkills!DH3:DI6,2,FALSE)+IF(AND(Calculator!B8=TRUE,Backdoors!BI3=TRUE),VLOOKUP(Calculator!E23,tbSkills!DH3:DJ6,3,FALSE),0),0)))/100)),1))*IF(VLOOKUP(A78,tbMoveset!A2:K112,11,FALSE)=TRUE,Backdoors!AC5,1))*C78,0),"")</f>
        <v>0</v>
      </c>
      <c r="G78">
        <f>VLOOKUP(A78,tbMoveset!A2:G112,7,FALSE)*IFERROR(IF(Backdoors!AI12&gt;=0,1+(IF(Calculator!E40&gt;0,VLOOKUP(Calculator!E40,tbSkills!AI3:AJ5,2,FALSE),Backdoors!AL4)*(IF((Backdoors!AI12+IF(B78&gt;=0.45,VLOOKUP(Calculator!E23,tbSkills!DH3:DI6,2,FALSE)+IF(AND(Calculator!B8=TRUE,Backdoors!BI3=TRUE),VLOOKUP(Calculator!E23,tbSkills!DH3:DJ6,3,FALSE),0),0))&gt;=100,100,(Backdoors!AI12+IF(B78&gt;=0.45,VLOOKUP(Calculator!E23,tbSkills!DH3:DI6,2,FALSE)+IF(AND(Calculator!B8=TRUE,Backdoors!BI3=TRUE),VLOOKUP(Calculator!E23,tbSkills!DH3:DJ6,3,FALSE),0),0)))/100)),1),1)</f>
        <v>0.4</v>
      </c>
      <c r="H78" s="87">
        <f t="shared" si="51"/>
        <v>10</v>
      </c>
      <c r="I78" s="86">
        <f>IFERROR(IF(VLOOKUP(A78,tbMoveset!A2:B112,2,FALSE)="Sever",Backdoors!AY4/100,IF(VLOOKUP(A78,tbMoveset!A2:B112,2,FALSE)="Blunt",Backdoors!AZ4/100,Backdoors!BA4/100)),"")</f>
        <v>0.65</v>
      </c>
      <c r="J78" s="49">
        <f>IFERROR(IF(VLOOKUP(tbMoveset!A78,tbMoveset!A2:H112,8,FALSE)="Other",IF(VLOOKUP(tbMoveset!A78,tbMoveset!A2:I112,9,FALSE)="Fire",Backdoors!BB4,IF(VLOOKUP(tbMoveset!A78,tbMoveset!A2:I112,9,FALSE)="Water",Backdoors!BC4,IF(VLOOKUP(tbMoveset!A78,tbMoveset!A2:I112,9,FALSE)="Thunder",Backdoors!BD4,IF(VLOOKUP(tbMoveset!A78,tbMoveset!A2:I112,9,FALSE)="Ice",Backdoors!BE4,IF(VLOOKUP(tbMoveset!A78,tbMoveset!A2:I112,9,FALSE)="Dragon",Backdoors!BF4,Backdoors!BG4)))))/100,Backdoors!BG4/100),"")</f>
        <v>0</v>
      </c>
      <c r="K78" s="49">
        <f>IFERROR(IF(VLOOKUP(A78,tbMoveset!A2:J112,10,FALSE)=TRUE,IF((Backdoors!AI12+IF(I78&gt;=0.45,VLOOKUP(Calculator!E23,tbSkills!DH3:DI6,2,FALSE)+IF(AND(Calculator!B8=TRUE,Backdoors!BI4=TRUE),VLOOKUP(Calculator!E23,tbSkills!DH3:DJ6,3,FALSE),0),0))&gt;=0,1+(Backdoors!AL2*(IF((Backdoors!AI12+IF(I78&gt;=0.45,VLOOKUP(Calculator!E23,tbSkills!DH3:DI6,2,FALSE)+IF(AND(Calculator!B8=TRUE,Backdoors!BI4=TRUE),VLOOKUP(Calculator!E23,tbSkills!DH3:DJ6,3,FALSE),0),0))&gt;=100,100,(Backdoors!AI12+IF(I78&gt;=0.45,VLOOKUP(Calculator!E23,tbSkills!DH3:DI6,2,FALSE)+IF(AND(Calculator!B8=TRUE,Backdoors!BI4=TRUE),VLOOKUP(Calculator!E23,tbSkills!DH3:DJ6,3,FALSE),0),0)))/100)),(1-(0.25*((-Backdoors!AI12-IF(I78&gt;=0.45,VLOOKUP(Calculator!E23,tbSkills!DH3:DI6,2,FALSE)+IF(AND(Calculator!B8=TRUE,Backdoors!BI4=TRUE),VLOOKUP(Calculator!E23,tbSkills!DH3:DJ6,3,FALSE),0),0))/100)))),1),"")</f>
        <v>1</v>
      </c>
      <c r="L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78)*K78)*(VLOOKUP(A78,tbMoveset!A2:C112,3,FALSE)/100)*IF(VLOOKUP(A78,tbMoveset!A2:B112,2,FALSE)="Projectile",Backdoors!N10,Backdoors!N9),0),"")</f>
        <v>8</v>
      </c>
      <c r="M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I78&gt;=0.45,VLOOKUP(Calculator!E23,tbSkills!DH3:DI6,2,FALSE)+IF(AND(Calculator!B8=TRUE,Backdoors!BI4=TRUE),VLOOKUP(Calculator!E23,tbSkills!DH3:DJ6,3,FALSE),0),0))&gt;=100,100,(Backdoors!AI12+IF(I78&gt;=0.45,VLOOKUP(Calculator!E23,tbSkills!DH3:DI6,2,FALSE)+IF(AND(Calculator!B8=TRUE,Backdoors!BI4=TRUE),VLOOKUP(Calculator!E23,tbSkills!DH3:DJ6,3,FALSE),0),0)))/100)),1))*IF(VLOOKUP(A78,tbMoveset!A2:K112,11,FALSE)=TRUE,Backdoors!AC5,1))*J78,0),"")</f>
        <v>0</v>
      </c>
      <c r="N78" s="49">
        <f>VLOOKUP(A78,tbMoveset!A2:G112,7,FALSE)*IFERROR(IF(Backdoors!AI12&gt;=0,1+(IF(Calculator!E40&gt;0,VLOOKUP(Calculator!E40,tbSkills!AI3:AJ5,2,FALSE),Backdoors!AL4)*(IF((Backdoors!AI12+IF(I78&gt;=0.45,VLOOKUP(Calculator!E23,tbSkills!DH3:DI6,2,FALSE)+IF(AND(Calculator!B8=TRUE,Backdoors!BI4=TRUE),VLOOKUP(Calculator!E23,tbSkills!DH3:DJ6,3,FALSE),0),0))&gt;=100,100,(Backdoors!AI12+IF(I78&gt;=0.45,VLOOKUP(Calculator!E23,tbSkills!DH3:DI6,2,FALSE)+IF(AND(Calculator!B8=TRUE,Backdoors!BI4=TRUE),VLOOKUP(Calculator!E23,tbSkills!DH3:DJ6,3,FALSE),0),0)))/100)),1),1)</f>
        <v>0.4</v>
      </c>
      <c r="O78" s="87">
        <f t="shared" si="52"/>
        <v>8</v>
      </c>
      <c r="P78" s="86">
        <f>IFERROR(IF(VLOOKUP(A78,tbMoveset!A2:B112,2,FALSE)="Sever",Backdoors!AY5/100,IF(VLOOKUP(A78,tbMoveset!A2:B112,2,FALSE)="Blunt",Backdoors!AZ5/100,Backdoors!BA5/100)),"")</f>
        <v>0.5</v>
      </c>
      <c r="Q78" s="49">
        <f>IFERROR(IF(VLOOKUP(tbMoveset!A78,tbMoveset!A2:H112,8,FALSE)="Other",IF(VLOOKUP(tbMoveset!A78,tbMoveset!A2:I112,9,FALSE)="Fire",Backdoors!BB5,IF(VLOOKUP(tbMoveset!A78,tbMoveset!A2:I112,9,FALSE)="Water",Backdoors!BC5,IF(VLOOKUP(tbMoveset!A78,tbMoveset!A2:I112,9,FALSE)="Thunder",Backdoors!BD5,IF(VLOOKUP(tbMoveset!A78,tbMoveset!A2:I112,9,FALSE)="Ice",Backdoors!BE5,IF(VLOOKUP(tbMoveset!A78,tbMoveset!A2:I112,9,FALSE)="Dragon",Backdoors!BF5,Backdoors!BG5)))))/100,Backdoors!BG5/100),"")</f>
        <v>0</v>
      </c>
      <c r="R78" s="49">
        <f>IFERROR(IF(VLOOKUP(A78,tbMoveset!A2:J112,10,FALSE)=TRUE,IF((Backdoors!AI12+IF(P78&gt;=0.45,VLOOKUP(Calculator!E23,tbSkills!DH3:DI6,2,FALSE)+IF(AND(Calculator!B8=TRUE,Backdoors!BI5=TRUE),VLOOKUP(Calculator!E23,tbSkills!DH3:DJ6,3,FALSE),0),0))&gt;=0,1+(Backdoors!AL2*(IF((Backdoors!AI12+IF(P78&gt;=0.45,VLOOKUP(Calculator!E23,tbSkills!DH3:DI6,2,FALSE)+IF(AND(Calculator!B8=TRUE,Backdoors!BI5=TRUE),VLOOKUP(Calculator!E23,tbSkills!DH3:DJ6,3,FALSE),0),0))&gt;=100,100,(Backdoors!AI12+IF(P78&gt;=0.45,VLOOKUP(Calculator!E23,tbSkills!DH3:DI6,2,FALSE)+IF(AND(Calculator!B8=TRUE,Backdoors!BI5=TRUE),VLOOKUP(Calculator!E23,tbSkills!DH3:DJ6,3,FALSE),0),0)))/100)),(1-(0.25*((-Backdoors!AI12-IF(P78&gt;=0.45,VLOOKUP(Calculator!E23,tbSkills!DH3:DI6,2,FALSE)+IF(AND(Calculator!B8=TRUE,Backdoors!BI5=TRUE),VLOOKUP(Calculator!E23,tbSkills!DH3:DJ6,3,FALSE),0),0))/100)))),1),"")</f>
        <v>1</v>
      </c>
      <c r="S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P78)*R78)*(VLOOKUP(A78,tbMoveset!A2:C112,3,FALSE)/100)*IF(VLOOKUP(A78,tbMoveset!A2:B112,2,FALSE)="Projectile",Backdoors!N10,Backdoors!N9),0),"")</f>
        <v>6</v>
      </c>
      <c r="T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P78&gt;=0.45,VLOOKUP(Calculator!E23,tbSkills!DH3:DI6,2,FALSE)+IF(AND(Calculator!B8=TRUE,Backdoors!BI5=TRUE),VLOOKUP(Calculator!E23,tbSkills!DH3:DJ6,3,FALSE),0),0))&gt;=100,100,(Backdoors!AI12+IF(P78&gt;=0.45,VLOOKUP(Calculator!E23,tbSkills!DH3:DI6,2,FALSE)+IF(AND(Calculator!B8=TRUE,Backdoors!BI5=TRUE),VLOOKUP(Calculator!E23,tbSkills!DH3:DJ6,3,FALSE),0),0)))/100)),1))*IF(VLOOKUP(A78,tbMoveset!A2:K112,11,FALSE)=TRUE,Backdoors!AC5,1))*Q78,0),"")</f>
        <v>0</v>
      </c>
      <c r="U78" s="49">
        <f>VLOOKUP(A78,tbMoveset!A2:G112,7,FALSE)*IFERROR(IF(Backdoors!AI12&gt;=0,1+(IF(Calculator!E40&gt;0,VLOOKUP(Calculator!E40,tbSkills!AI3:AJ5,2,FALSE),Backdoors!AL4)*(IF((Backdoors!AI12+IF(P78&gt;=0.45,VLOOKUP(Calculator!E23,tbSkills!DH3:DI6,2,FALSE)+IF(AND(Calculator!B8=TRUE,Backdoors!BI5=TRUE),VLOOKUP(Calculator!E23,tbSkills!DH3:DJ6,3,FALSE),0),0))&gt;=100,100,(Backdoors!AI12+IF(P78&gt;=0.45,VLOOKUP(Calculator!E23,tbSkills!DH3:DI6,2,FALSE)+IF(AND(Calculator!B8=TRUE,Backdoors!BI5=TRUE),VLOOKUP(Calculator!E23,tbSkills!DH3:DJ6,3,FALSE),0),0)))/100)),1),1)</f>
        <v>0.4</v>
      </c>
      <c r="V78" s="87">
        <f t="shared" si="53"/>
        <v>6</v>
      </c>
      <c r="W78" s="86">
        <f>IFERROR(IF(VLOOKUP(A78,tbMoveset!A2:B112,2,FALSE)="Sever",Backdoors!AY6/100,IF(VLOOKUP(A78,tbMoveset!A2:B112,2,FALSE)="Blunt",Backdoors!AZ6/100,Backdoors!BA6/100)),"")</f>
        <v>0.45</v>
      </c>
      <c r="X78" s="49">
        <f>IFERROR(IF(VLOOKUP(tbMoveset!A78,tbMoveset!A2:H112,8,FALSE)="Other",IF(VLOOKUP(tbMoveset!A78,tbMoveset!A2:I112,9,FALSE)="Fire",Backdoors!BB6,IF(VLOOKUP(tbMoveset!A78,tbMoveset!A2:I112,9,FALSE)="Water",Backdoors!BC6,IF(VLOOKUP(tbMoveset!A78,tbMoveset!A2:I112,9,FALSE)="Thunder",Backdoors!BD6,IF(VLOOKUP(tbMoveset!A78,tbMoveset!A2:I112,9,FALSE)="Ice",Backdoors!BE6,IF(VLOOKUP(tbMoveset!A78,tbMoveset!A2:I112,9,FALSE)="Dragon",Backdoors!BF6,Backdoors!BG6)))))/100,Backdoors!BG6/100),"")</f>
        <v>0</v>
      </c>
      <c r="Y78" s="49">
        <f>IFERROR(IF(VLOOKUP(A78,tbMoveset!A2:J112,10,FALSE)=TRUE,IF((Backdoors!AI12+IF(W78&gt;=0.45,VLOOKUP(Calculator!E23,tbSkills!DH3:DI6,2,FALSE)+IF(AND(Calculator!B8=TRUE,Backdoors!BI6=TRUE),VLOOKUP(Calculator!E23,tbSkills!DH3:DJ6,3,FALSE),0),0))&gt;=0,1+(Backdoors!AL2*(IF((Backdoors!AI12+IF(W78&gt;=0.45,VLOOKUP(Calculator!E23,tbSkills!DH3:DI6,2,FALSE)+IF(AND(Calculator!B8=TRUE,Backdoors!BI6=TRUE),VLOOKUP(Calculator!E23,tbSkills!DH3:DJ6,3,FALSE),0),0))&gt;=100,100,(Backdoors!AI12+IF(W78&gt;=0.45,VLOOKUP(Calculator!E23,tbSkills!DH3:DI6,2,FALSE)+IF(AND(Calculator!B8=TRUE,Backdoors!BI6=TRUE),VLOOKUP(Calculator!E23,tbSkills!DH3:DJ6,3,FALSE),0),0)))/100)),(1-(0.25*((-Backdoors!AI12-IF(W78&gt;=0.45,VLOOKUP(Calculator!E23,tbSkills!DH3:DI6,2,FALSE)+IF(AND(Calculator!B8=TRUE,Backdoors!BI6=TRUE),VLOOKUP(Calculator!E23,tbSkills!DH3:DJ6,3,FALSE),0),0))/100)))),1),"")</f>
        <v>1</v>
      </c>
      <c r="Z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W78)*Y78)*(VLOOKUP(A78,tbMoveset!A2:C112,3,FALSE)/100)*IF(VLOOKUP(A78,tbMoveset!A2:B112,2,FALSE)="Projectile",Backdoors!N10,Backdoors!N9),0),"")</f>
        <v>6</v>
      </c>
      <c r="AA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W78&gt;=0.45,VLOOKUP(Calculator!E23,tbSkills!DH3:DI6,2,FALSE)+IF(AND(Calculator!B8=TRUE,Backdoors!BI6=TRUE),VLOOKUP(Calculator!E23,tbSkills!DH3:DJ6,3,FALSE),0),0))&gt;=100,100,(Backdoors!AI12+IF(W78&gt;=0.45,VLOOKUP(Calculator!E23,tbSkills!DH3:DI6,2,FALSE)+IF(AND(Calculator!B8=TRUE,Backdoors!BI6=TRUE),VLOOKUP(Calculator!E23,tbSkills!DH3:DJ6,3,FALSE),0),0)))/100)),1))*IF(VLOOKUP(A78,tbMoveset!A2:K112,11,FALSE)=TRUE,Backdoors!AC5,1))*X78,0),"")</f>
        <v>0</v>
      </c>
      <c r="AB78" s="49">
        <f>VLOOKUP(A78,tbMoveset!A2:G112,7,FALSE)*IFERROR(IF(Backdoors!AI12&gt;=0,1+(IF(Calculator!E40&gt;0,VLOOKUP(Calculator!E40,tbSkills!AI3:AJ5,2,FALSE),Backdoors!AL4)*(IF((Backdoors!AI12+IF(W78&gt;=0.45,VLOOKUP(Calculator!E23,tbSkills!DH3:DI6,2,FALSE)+IF(AND(Calculator!B8=TRUE,Backdoors!BI6=TRUE),VLOOKUP(Calculator!E23,tbSkills!DH3:DJ6,3,FALSE),0),0))&gt;=100,100,(Backdoors!AI12+IF(W78&gt;=0.45,VLOOKUP(Calculator!E23,tbSkills!DH3:DI6,2,FALSE)+IF(AND(Calculator!B8=TRUE,Backdoors!BI6=TRUE),VLOOKUP(Calculator!E23,tbSkills!DH3:DJ6,3,FALSE),0),0)))/100)),1),1)</f>
        <v>0.4</v>
      </c>
      <c r="AC78" s="87">
        <f t="shared" si="54"/>
        <v>6</v>
      </c>
      <c r="AD78" s="86">
        <f>IFERROR(IF(VLOOKUP(A78,tbMoveset!A2:B112,2,FALSE)="Sever",Backdoors!AY7/100,IF(VLOOKUP(A78,tbMoveset!A2:B112,2,FALSE)="Blunt",Backdoors!AZ7/100,Backdoors!BA7/100)),"")</f>
        <v>0.65</v>
      </c>
      <c r="AE78" s="49">
        <f>IFERROR(IF(VLOOKUP(tbMoveset!A78,tbMoveset!A2:H112,8,FALSE)="Other",IF(VLOOKUP(tbMoveset!A78,tbMoveset!A2:I112,9,FALSE)="Fire",Backdoors!BB7,IF(VLOOKUP(tbMoveset!A78,tbMoveset!A2:I112,9,FALSE)="Water",Backdoors!BC7,IF(VLOOKUP(tbMoveset!A78,tbMoveset!A2:I112,9,FALSE)="Thunder",Backdoors!BD7,IF(VLOOKUP(tbMoveset!A78,tbMoveset!A2:I112,9,FALSE)="Ice",Backdoors!BE7,IF(VLOOKUP(tbMoveset!A78,tbMoveset!A2:I112,9,FALSE)="Dragon",Backdoors!BF7,Backdoors!BG7)))))/100,Backdoors!BG7/100),"")</f>
        <v>0</v>
      </c>
      <c r="AF78" s="49">
        <f>IFERROR(IF(VLOOKUP(A78,tbMoveset!A2:J112,10,FALSE)=TRUE,IF((Backdoors!AI12+IF(AD78&gt;=0.45,VLOOKUP(Calculator!E23,tbSkills!DH3:DI6,2,FALSE)+IF(AND(Calculator!B8=TRUE,Backdoors!BI7=TRUE),VLOOKUP(Calculator!E23,tbSkills!DH3:DJ6,3,FALSE),0),0))&gt;=0,1+(Backdoors!AL2*(IF((Backdoors!AI12+IF(AD78&gt;=0.45,VLOOKUP(Calculator!E23,tbSkills!DH3:DI6,2,FALSE)+IF(AND(Calculator!B8=TRUE,Backdoors!BI7=TRUE),VLOOKUP(Calculator!E23,tbSkills!DH3:DJ6,3,FALSE),0),0))&gt;=100,100,(Backdoors!AI12+IF(AD78&gt;=0.45,VLOOKUP(Calculator!E23,tbSkills!DH3:DI6,2,FALSE)+IF(AND(Calculator!B8=TRUE,Backdoors!BI7=TRUE),VLOOKUP(Calculator!E23,tbSkills!DH3:DJ6,3,FALSE),0),0)))/100)),(1-(0.25*((-Backdoors!AI12-IF(AD78&gt;=0.45,VLOOKUP(Calculator!E23,tbSkills!DH3:DI6,2,FALSE)+IF(AND(Calculator!B8=TRUE,Backdoors!BI7=TRUE),VLOOKUP(Calculator!E23,tbSkills!DH3:DJ6,3,FALSE),0),0))/100)))),1),"")</f>
        <v>1</v>
      </c>
      <c r="AG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D78)*AF78)*(VLOOKUP(A78,tbMoveset!A2:C112,3,FALSE)/100)*IF(VLOOKUP(A78,tbMoveset!A2:B112,2,FALSE)="Projectile",Backdoors!N10,Backdoors!N9),0),"")</f>
        <v>8</v>
      </c>
      <c r="AH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D78&gt;=0.45,VLOOKUP(Calculator!E23,tbSkills!DH3:DI6,2,FALSE)+IF(AND(Calculator!B8=TRUE,Backdoors!BI7=TRUE),VLOOKUP(Calculator!E23,tbSkills!DH3:DJ6,3,FALSE),0),0))&gt;=100,100,(Backdoors!AI12+IF(AD78&gt;=0.45,VLOOKUP(Calculator!E23,tbSkills!DH3:DI6,2,FALSE)+IF(AND(Calculator!B8=TRUE,Backdoors!BI7=TRUE),VLOOKUP(Calculator!E23,tbSkills!DH3:DJ6,3,FALSE),0),0)))/100)),1))*IF(VLOOKUP(A78,tbMoveset!A2:K112,11,FALSE)=TRUE,Backdoors!AC5,1))*AE78,0),"")</f>
        <v>0</v>
      </c>
      <c r="AI78" s="49">
        <f>VLOOKUP(A78,tbMoveset!A2:G112,7,FALSE)*IFERROR(IF(Backdoors!AI12&gt;=0,1+(IF(Calculator!E40&gt;0,VLOOKUP(Calculator!E40,tbSkills!AI3:AJ5,2,FALSE),Backdoors!AL4)*(IF((Backdoors!AI12+IF(AD78&gt;=0.45,VLOOKUP(Calculator!E23,tbSkills!DH3:DI6,2,FALSE)+IF(AND(Calculator!B8=TRUE,Backdoors!BI7=TRUE),VLOOKUP(Calculator!E23,tbSkills!DH3:DJ6,3,FALSE),0),0))&gt;=100,100,(Backdoors!AI12+IF(AD78&gt;=0.45,VLOOKUP(Calculator!E23,tbSkills!DH3:DI6,2,FALSE)+IF(AND(Calculator!B8=TRUE,Backdoors!BI7=TRUE),VLOOKUP(Calculator!E23,tbSkills!DH3:DJ6,3,FALSE),0),0)))/100)),1),1)</f>
        <v>0.4</v>
      </c>
      <c r="AJ78" s="87">
        <f t="shared" si="55"/>
        <v>8</v>
      </c>
      <c r="AK78" s="91">
        <f>IFERROR(IF(VLOOKUP(A78,tbMoveset!A2:B112,2,FALSE)="Sever",Backdoors!AY8/100,IF(VLOOKUP(A78,tbMoveset!A2:B112,2,FALSE)="Blunt",Backdoors!AZ8/100,Backdoors!BA8/100)),"")</f>
        <v>0.45</v>
      </c>
      <c r="AL78" s="49">
        <f>IFERROR(IF(VLOOKUP(tbMoveset!A78,tbMoveset!A2:H112,8,FALSE)="Other",IF(VLOOKUP(tbMoveset!A78,tbMoveset!A2:I112,9,FALSE)="Fire",Backdoors!BB8,IF(VLOOKUP(tbMoveset!A78,tbMoveset!A2:I112,9,FALSE)="Water",Backdoors!BC8,IF(VLOOKUP(tbMoveset!A78,tbMoveset!A2:I112,9,FALSE)="Thunder",Backdoors!BD8,IF(VLOOKUP(tbMoveset!A78,tbMoveset!A2:I112,9,FALSE)="Ice",Backdoors!BE8,IF(VLOOKUP(tbMoveset!A78,tbMoveset!A2:I112,9,FALSE)="Dragon",Backdoors!BF8,Backdoors!BG8)))))/100,Backdoors!BG8/100),"")</f>
        <v>0</v>
      </c>
      <c r="AM78" s="49">
        <f>IFERROR(IF(VLOOKUP(A78,tbMoveset!A2:J112,10,FALSE)=TRUE,IF((Backdoors!AI12+IF(AK78&gt;=0.45,VLOOKUP(Calculator!E23,tbSkills!DH3:DI6,2,FALSE)+IF(AND(Calculator!B8=TRUE,Backdoors!BI8=TRUE),VLOOKUP(Calculator!E23,tbSkills!DH3:DJ6,3,FALSE),0),0))&gt;=0,1+(Backdoors!AL2*(IF((Backdoors!AI12+IF(AK78&gt;=0.45,VLOOKUP(Calculator!E23,tbSkills!DH3:DI6,2,FALSE)+IF(AND(Calculator!B8=TRUE,Backdoors!BI8=TRUE),VLOOKUP(Calculator!E23,tbSkills!DH3:DJ6,3,FALSE),0),0))&gt;=100,100,(Backdoors!AI12+IF(AK78&gt;=0.45,VLOOKUP(Calculator!E23,tbSkills!DH3:DI6,2,FALSE)+IF(AND(Calculator!B8=TRUE,Backdoors!BI8=TRUE),VLOOKUP(Calculator!E23,tbSkills!DH3:DJ6,3,FALSE),0),0)))/100)),(1-(0.25*((-Backdoors!AI12-IF(AK78&gt;=0.45,VLOOKUP(Calculator!E23,tbSkills!DH3:DI6,2,FALSE)+IF(AND(Calculator!B8=TRUE,Backdoors!BI8=TRUE),VLOOKUP(Calculator!E23,tbSkills!DH3:DJ6,3,FALSE),0),0))/100)))),1),"")</f>
        <v>1</v>
      </c>
      <c r="AN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K78)*AM78)*(VLOOKUP(A78,tbMoveset!A2:C112,3,FALSE)/100)*IF(VLOOKUP(A78,tbMoveset!A2:B112,2,FALSE)="Projectile",Backdoors!N10,Backdoors!N9),0),"")</f>
        <v>6</v>
      </c>
      <c r="AO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K78&gt;=0.45,VLOOKUP(Calculator!E23,tbSkills!DH3:DI6,2,FALSE)+IF(AND(Calculator!B8=TRUE,Backdoors!BI8=TRUE),VLOOKUP(Calculator!E23,tbSkills!DH3:DJ6,3,FALSE),0),0))&gt;=100,100,(Backdoors!AI12+IF(AK78&gt;=0.45,VLOOKUP(Calculator!E23,tbSkills!DH3:DI6,2,FALSE)+IF(AND(Calculator!B8=TRUE,Backdoors!BI8=TRUE),VLOOKUP(Calculator!E23,tbSkills!DH3:DJ6,3,FALSE),0),0)))/100)),1))*IF(VLOOKUP(A78,tbMoveset!A2:K112,11,FALSE)=TRUE,Backdoors!AC5,1))*AL78,0),"")</f>
        <v>0</v>
      </c>
      <c r="AP78" s="49">
        <f>VLOOKUP(A78,tbMoveset!A2:G112,7,FALSE)*IFERROR(IF(Backdoors!AI12&gt;=0,1+(IF(Calculator!E40&gt;0,VLOOKUP(Calculator!E40,tbSkills!AI3:AJ5,2,FALSE),Backdoors!AL4)*(IF((Backdoors!AI12+IF(AK78&gt;=0.45,VLOOKUP(Calculator!E23,tbSkills!DH3:DI6,2,FALSE)+IF(AND(Calculator!B8=TRUE,Backdoors!BI8=TRUE),VLOOKUP(Calculator!E23,tbSkills!DH3:DJ6,3,FALSE),0),0))&gt;=100,100,(Backdoors!AI12+IF(AK78&gt;=0.45,VLOOKUP(Calculator!E23,tbSkills!DH3:DI6,2,FALSE)+IF(AND(Calculator!B8=TRUE,Backdoors!BI8=TRUE),VLOOKUP(Calculator!E23,tbSkills!DH3:DJ6,3,FALSE),0),0)))/100)),1),1)</f>
        <v>0.4</v>
      </c>
      <c r="AQ78" s="87">
        <f t="shared" si="56"/>
        <v>6</v>
      </c>
      <c r="AR78" s="86">
        <f>IFERROR(IF(VLOOKUP(A78,tbMoveset!A2:B112,2,FALSE)="Sever",Backdoors!AY9/100,IF(VLOOKUP(A78,tbMoveset!A2:B112,2,FALSE)="Blunt",Backdoors!AZ9/100,Backdoors!BA9/100)),"")</f>
        <v>0.45</v>
      </c>
      <c r="AS78" s="49">
        <f>IFERROR(IF(VLOOKUP(tbMoveset!A78,tbMoveset!A2:H112,8,FALSE)="Other",IF(VLOOKUP(tbMoveset!A78,tbMoveset!A2:I112,9,FALSE)="Fire",Backdoors!BB9,IF(VLOOKUP(tbMoveset!A78,tbMoveset!A2:I112,9,FALSE)="Water",Backdoors!BC9,IF(VLOOKUP(tbMoveset!A78,tbMoveset!A2:I112,9,FALSE)="Thunder",Backdoors!BD9,IF(VLOOKUP(tbMoveset!A78,tbMoveset!A2:I112,9,FALSE)="Ice",Backdoors!BE9,IF(VLOOKUP(tbMoveset!A78,tbMoveset!A2:I112,9,FALSE)="Dragon",Backdoors!BF9,Backdoors!BG9)))))/100,Backdoors!BG9/100),"")</f>
        <v>0</v>
      </c>
      <c r="AT78" s="49">
        <f>IFERROR(IF(VLOOKUP(A78,tbMoveset!A2:J112,10,FALSE)=TRUE,IF((Backdoors!AI12+IF(AR78&gt;=0.45,VLOOKUP(Calculator!E23,tbSkills!DH3:DI6,2,FALSE)+IF(AND(Calculator!B8=TRUE,Backdoors!BI9=TRUE),VLOOKUP(Calculator!E23,tbSkills!DH3:DJ6,3,FALSE),0),0))&gt;=0,1+(Backdoors!AL2*(IF((Backdoors!AI12+IF(AR78&gt;=0.45,VLOOKUP(Calculator!E23,tbSkills!DH3:DI6,2,FALSE)+IF(AND(Calculator!B8=TRUE,Backdoors!BI9=TRUE),VLOOKUP(Calculator!E23,tbSkills!DH3:DJ6,3,FALSE),0),0))&gt;=100,100,(Backdoors!AI12+IF(AR78&gt;=0.45,VLOOKUP(Calculator!E23,tbSkills!DH3:DI6,2,FALSE)+IF(AND(Calculator!B8=TRUE,Backdoors!BI9=TRUE),VLOOKUP(Calculator!E23,tbSkills!DH3:DJ6,3,FALSE),0),0)))/100)),(1-(0.25*((-Backdoors!AI12-IF(AR78&gt;=0.45,VLOOKUP(Calculator!E23,tbSkills!DH3:DI6,2,FALSE)+IF(AND(Calculator!B8=TRUE,Backdoors!BI9=TRUE),VLOOKUP(Calculator!E23,tbSkills!DH3:DJ6,3,FALSE),0),0))/100)))),1),"")</f>
        <v>1</v>
      </c>
      <c r="AU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R78)*AT78)*(VLOOKUP(A78,tbMoveset!A2:C112,3,FALSE)/100)*IF(VLOOKUP(A78,tbMoveset!A2:B112,2,FALSE)="Projectile",Backdoors!N10,Backdoors!N9),0),"")</f>
        <v>6</v>
      </c>
      <c r="AV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R78&gt;=0.45,VLOOKUP(Calculator!E23,tbSkills!DH3:DI6,2,FALSE)+IF(AND(Calculator!B8=TRUE,Backdoors!BI9=TRUE),VLOOKUP(Calculator!E23,tbSkills!DH3:DJ6,3,FALSE),0),0))&gt;=100,100,(Backdoors!AI12+IF(AR78&gt;=0.45,VLOOKUP(Calculator!E23,tbSkills!DH3:DI6,2,FALSE)+IF(AND(Calculator!B8=TRUE,Backdoors!BI9=TRUE),VLOOKUP(Calculator!E23,tbSkills!DH3:DJ6,3,FALSE),0),0)))/100)),1))*IF(VLOOKUP(A78,tbMoveset!A2:K112,11,FALSE)=TRUE,Backdoors!AC5,1))*AS78,0),"")</f>
        <v>0</v>
      </c>
      <c r="AW78" s="49">
        <f>VLOOKUP(A78,tbMoveset!A2:G112,7,FALSE)*IFERROR(IF(Backdoors!AI12&gt;=0,1+(IF(Calculator!E40&gt;0,VLOOKUP(Calculator!E40,tbSkills!AI3:AJ5,2,FALSE),Backdoors!AL4)*(IF((Backdoors!AI12+IF(AR78&gt;=0.45,VLOOKUP(Calculator!E23,tbSkills!DH3:DI6,2,FALSE)+IF(AND(Calculator!B8=TRUE,Backdoors!BI9=TRUE),VLOOKUP(Calculator!E23,tbSkills!DH3:DJ6,3,FALSE),0),0))&gt;=100,100,(Backdoors!AI12+IF(AR78&gt;=0.45,VLOOKUP(Calculator!E23,tbSkills!DH3:DI6,2,FALSE)+IF(AND(Calculator!B8=TRUE,Backdoors!BI9=TRUE),VLOOKUP(Calculator!E23,tbSkills!DH3:DJ6,3,FALSE),0),0)))/100)),1),1)</f>
        <v>0.4</v>
      </c>
      <c r="AX78" s="87">
        <f t="shared" si="57"/>
        <v>6</v>
      </c>
      <c r="AY78" s="86">
        <f>IFERROR(IF(VLOOKUP(A78,tbMoveset!A2:B112,2,FALSE)="Sever",Backdoors!AY10/100,IF(VLOOKUP(A78,tbMoveset!A2:B112,2,FALSE)="Blunt",Backdoors!AZ10/100,Backdoors!BA10/100)),"")</f>
        <v>0.9</v>
      </c>
      <c r="AZ78" s="49">
        <f>IFERROR(IF(VLOOKUP(tbMoveset!A78,tbMoveset!A2:H112,8,FALSE)="Other",IF(VLOOKUP(tbMoveset!A78,tbMoveset!A2:I112,9,FALSE)="Fire",Backdoors!BB10,IF(VLOOKUP(tbMoveset!A78,tbMoveset!A2:I112,9,FALSE)="Water",Backdoors!BC10,IF(VLOOKUP(tbMoveset!A78,tbMoveset!A2:I112,9,FALSE)="Thunder",Backdoors!BD10,IF(VLOOKUP(tbMoveset!A78,tbMoveset!A2:I112,9,FALSE)="Ice",Backdoors!BE10,IF(VLOOKUP(tbMoveset!A78,tbMoveset!A2:I112,9,FALSE)="Dragon",Backdoors!BF10,Backdoors!BG10)))))/100,Backdoors!BG10/100),"")</f>
        <v>0</v>
      </c>
      <c r="BA78" s="49">
        <f>IFERROR(IF(VLOOKUP(A78,tbMoveset!A2:J112,10,FALSE)=TRUE,IF((Backdoors!AI12+IF(AY78&gt;=0.45,VLOOKUP(Calculator!E23,tbSkills!DH3:DI6,2,FALSE)+IF(AND(Calculator!B8=TRUE,Backdoors!BI10=TRUE),VLOOKUP(Calculator!E23,tbSkills!DH3:DJ6,3,FALSE),0),0))&gt;=0,1+(Backdoors!AL2*(IF((Backdoors!AI12+IF(AY78&gt;=0.45,VLOOKUP(Calculator!E23,tbSkills!DH3:DI6,2,FALSE)+IF(AND(Calculator!B8=TRUE,Backdoors!BI10=TRUE),VLOOKUP(Calculator!E23,tbSkills!DH3:DJ6,3,FALSE),0),0))&gt;=100,100,(Backdoors!AI12+IF(AY78&gt;=0.45,VLOOKUP(Calculator!E23,tbSkills!DH3:DI6,2,FALSE)+IF(AND(Calculator!B8=TRUE,Backdoors!BI10=TRUE),VLOOKUP(Calculator!E23,tbSkills!DH3:DJ6,3,FALSE),0),0)))/100)),(1-(0.25*((-Backdoors!AI12-IF(AY78&gt;=0.45,VLOOKUP(Calculator!E23,tbSkills!DH3:DI6,2,FALSE)+IF(AND(Calculator!B8=TRUE,Backdoors!BI10=TRUE),VLOOKUP(Calculator!E23,tbSkills!DH3:DJ6,3,FALSE),0),0))/100)))),1),"")</f>
        <v>1</v>
      </c>
      <c r="BB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Y78)*BA78)*(VLOOKUP(A78,tbMoveset!A2:C112,3,FALSE)/100)*IF(VLOOKUP(A78,tbMoveset!A2:B112,2,FALSE)="Projectile",Backdoors!N10,Backdoors!N9),0),"")</f>
        <v>11</v>
      </c>
      <c r="BC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Y78&gt;=0.45,VLOOKUP(Calculator!E23,tbSkills!DH3:DI6,2,FALSE)+IF(AND(Calculator!B8=TRUE,Backdoors!BI10=TRUE),VLOOKUP(Calculator!E23,tbSkills!DH3:DJ6,3,FALSE),0),0))&gt;=100,100,(Backdoors!AI12+IF(AY78&gt;=0.45,VLOOKUP(Calculator!E23,tbSkills!DH3:DI6,2,FALSE)+IF(AND(Calculator!B8=TRUE,Backdoors!BI10=TRUE),VLOOKUP(Calculator!E23,tbSkills!DH3:DJ6,3,FALSE),0),0)))/100)),1))*IF(VLOOKUP(A78,tbMoveset!A2:K112,11,FALSE)=TRUE,Backdoors!AC5,1))*AZ78,0),"")</f>
        <v>0</v>
      </c>
      <c r="BD78" s="49">
        <f>VLOOKUP(A78,tbMoveset!A2:G112,7,FALSE)*IFERROR(IF(Backdoors!AI12&gt;=0,1+(IF(Calculator!E40&gt;0,VLOOKUP(Calculator!E40,tbSkills!AI3:AJ5,2,FALSE),Backdoors!AL4)*(IF((Backdoors!AI12+IF(AY78&gt;=0.45,VLOOKUP(Calculator!E23,tbSkills!DH3:DI6,2,FALSE)+IF(AND(Calculator!B8=TRUE,Backdoors!BI10=TRUE),VLOOKUP(Calculator!E23,tbSkills!DH3:DJ6,3,FALSE),0),0))&gt;=100,100,(Backdoors!AI12+IF(AY78&gt;=0.45,VLOOKUP(Calculator!E23,tbSkills!DH3:DI6,2,FALSE)+IF(AND(Calculator!B8=TRUE,Backdoors!BI10=TRUE),VLOOKUP(Calculator!E23,tbSkills!DH3:DJ6,3,FALSE),0),0)))/100)),1),1)</f>
        <v>0.4</v>
      </c>
      <c r="BE78" s="87">
        <f t="shared" si="58"/>
        <v>11</v>
      </c>
      <c r="BF78" s="86" t="str">
        <f>IFERROR(IF(VLOOKUP(A78,tbMoveset!A2:B112,2,FALSE)="Sever",Backdoors!AY11/100,IF(VLOOKUP(A78,tbMoveset!A2:B112,2,FALSE)="Blunt",Backdoors!AZ11/100,Backdoors!BA11/100)),"")</f>
        <v/>
      </c>
      <c r="BG78" s="49">
        <f>IFERROR(IF(VLOOKUP(tbMoveset!A78,tbMoveset!A2:H112,8,FALSE)="Other",IF(VLOOKUP(tbMoveset!A78,tbMoveset!A2:I112,9,FALSE)="Fire",Backdoors!BB11,IF(VLOOKUP(tbMoveset!A78,tbMoveset!A2:I112,9,FALSE)="Water",Backdoors!BC11,IF(VLOOKUP(tbMoveset!A78,tbMoveset!A2:I112,9,FALSE)="Thunder",Backdoors!BD11,IF(VLOOKUP(tbMoveset!A78,tbMoveset!A2:I112,9,FALSE)="Ice",Backdoors!BE11,IF(VLOOKUP(tbMoveset!A78,tbMoveset!A2:I112,9,FALSE)="Dragon",Backdoors!BF11,Backdoors!BG11)))))/100,Backdoors!BG11/100),"")</f>
        <v>0</v>
      </c>
      <c r="BH78" s="49">
        <f>IFERROR(IF(VLOOKUP(A78,tbMoveset!A2:J112,10,FALSE)=TRUE,IF((Backdoors!AI12+IF(BF78&gt;=0.45,VLOOKUP(Calculator!E23,tbSkills!DH3:DI6,2,FALSE)+IF(AND(Calculator!B8=TRUE,Backdoors!BI11=TRUE),VLOOKUP(Calculator!E23,tbSkills!DH3:DJ6,3,FALSE),0),0))&gt;=0,1+(Backdoors!AL2*(IF((Backdoors!AI12+IF(BF78&gt;=0.45,VLOOKUP(Calculator!E23,tbSkills!DH3:DI6,2,FALSE)+IF(AND(Calculator!B8=TRUE,Backdoors!BI11=TRUE),VLOOKUP(Calculator!E23,tbSkills!DH3:DJ6,3,FALSE),0),0))&gt;=100,100,(Backdoors!AI12+IF(BF78&gt;=0.45,VLOOKUP(Calculator!E23,tbSkills!DH3:DI6,2,FALSE)+IF(AND(Calculator!B8=TRUE,Backdoors!BI11=TRUE),VLOOKUP(Calculator!E23,tbSkills!DH3:DJ6,3,FALSE),0),0)))/100)),(1-(0.25*((-Backdoors!AI12-IF(BF78&gt;=0.45,VLOOKUP(Calculator!E23,tbSkills!DH3:DI6,2,FALSE)+IF(AND(Calculator!B8=TRUE,Backdoors!BI11=TRUE),VLOOKUP(Calculator!E23,tbSkills!DH3:DJ6,3,FALSE),0),0))/100)))),1),"")</f>
        <v>1</v>
      </c>
      <c r="BI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F78)*BH78)*(VLOOKUP(A78,tbMoveset!A2:C112,3,FALSE)/100)*IF(VLOOKUP(A78,tbMoveset!A2:B112,2,FALSE)="Projectile",Backdoors!N10,Backdoors!N9),0),"")</f>
        <v/>
      </c>
      <c r="BJ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F78&gt;=0.45,VLOOKUP(Calculator!E23,tbSkills!DH3:DI6,2,FALSE)+IF(AND(Calculator!B8=TRUE,Backdoors!BI11=TRUE),VLOOKUP(Calculator!E23,tbSkills!DH3:DJ6,3,FALSE),0),0))&gt;=100,100,(Backdoors!AI12+IF(BF78&gt;=0.45,VLOOKUP(Calculator!E23,tbSkills!DH3:DI6,2,FALSE)+IF(AND(Calculator!B8=TRUE,Backdoors!BI11=TRUE),VLOOKUP(Calculator!E23,tbSkills!DH3:DJ6,3,FALSE),0),0)))/100)),1))*IF(VLOOKUP(A78,tbMoveset!A2:K112,11,FALSE)=TRUE,Backdoors!AC5,1))*BG78,0),"")</f>
        <v>0</v>
      </c>
      <c r="BK78" s="49">
        <f>VLOOKUP(A78,tbMoveset!A2:G112,7,FALSE)*IFERROR(IF(Backdoors!AI12&gt;=0,1+(IF(Calculator!E40&gt;0,VLOOKUP(Calculator!E40,tbSkills!AI3:AJ5,2,FALSE),Backdoors!AL4)*(IF((Backdoors!AI12+IF(BF78&gt;=0.45,VLOOKUP(Calculator!E23,tbSkills!DH3:DI6,2,FALSE)+IF(AND(Calculator!B8=TRUE,Backdoors!BI11=TRUE),VLOOKUP(Calculator!E23,tbSkills!DH3:DJ6,3,FALSE),0),0))&gt;=100,100,(Backdoors!AI12+IF(BF78&gt;=0.45,VLOOKUP(Calculator!E23,tbSkills!DH3:DI6,2,FALSE)+IF(AND(Calculator!B8=TRUE,Backdoors!BI11=TRUE),VLOOKUP(Calculator!E23,tbSkills!DH3:DJ6,3,FALSE),0),0)))/100)),1),1)</f>
        <v>0.4</v>
      </c>
      <c r="BL78" s="87">
        <f t="shared" si="59"/>
        <v>0</v>
      </c>
      <c r="BM78" s="86" t="str">
        <f>IFERROR(IF(VLOOKUP(A78,tbMoveset!A2:B112,2,FALSE)="Sever",Backdoors!AY12/100,IF(VLOOKUP(A78,tbMoveset!A2:B112,2,FALSE)="Blunt",Backdoors!AZ12/100,Backdoors!BA12/100)),"")</f>
        <v/>
      </c>
      <c r="BN78" s="49">
        <f>IFERROR(IF(VLOOKUP(tbMoveset!A78,tbMoveset!A2:H112,8,FALSE)="Other",IF(VLOOKUP(tbMoveset!A78,tbMoveset!A2:I112,9,FALSE)="Fire",Backdoors!BB12,IF(VLOOKUP(tbMoveset!A78,tbMoveset!A2:I112,9,FALSE)="Water",Backdoors!BC12,IF(VLOOKUP(tbMoveset!A78,tbMoveset!A2:I112,9,FALSE)="Thunder",Backdoors!BD12,IF(VLOOKUP(tbMoveset!A78,tbMoveset!A2:I112,9,FALSE)="Ice",Backdoors!BE12,IF(VLOOKUP(tbMoveset!A78,tbMoveset!A2:I112,9,FALSE)="Dragon",Backdoors!BF12,Backdoors!BG12)))))/100,Backdoors!BG12/100),"")</f>
        <v>0</v>
      </c>
      <c r="BO78" s="49">
        <f>IFERROR(IF(VLOOKUP(A78,tbMoveset!A2:J112,10,FALSE)=TRUE,IF((Backdoors!AI12+IF(BM78&gt;=0.45,VLOOKUP(Calculator!E23,tbSkills!DH3:DI6,2,FALSE)+IF(AND(Calculator!B8=TRUE,Backdoors!BI12=TRUE),VLOOKUP(Calculator!E23,tbSkills!DH3:DJ6,3,FALSE),0),0))&gt;=0,1+(Backdoors!AL2*(IF((Backdoors!AI12+IF(BM78&gt;=0.45,VLOOKUP(Calculator!E23,tbSkills!DH3:DI6,2,FALSE)+IF(AND(Calculator!B8=TRUE,Backdoors!BI12=TRUE),VLOOKUP(Calculator!E23,tbSkills!DH3:DJ6,3,FALSE),0),0))&gt;=100,100,(Backdoors!AI12+IF(BM78&gt;=0.45,VLOOKUP(Calculator!E23,tbSkills!DH3:DI6,2,FALSE)+IF(AND(Calculator!B8=TRUE,Backdoors!BI12=TRUE),VLOOKUP(Calculator!E23,tbSkills!DH3:DJ6,3,FALSE),0),0)))/100)),(1-(0.25*((-Backdoors!AI12-IF(BM78&gt;=0.45,VLOOKUP(Calculator!E23,tbSkills!DH3:DI6,2,FALSE)+IF(AND(Calculator!B8=TRUE,Backdoors!BI12=TRUE),VLOOKUP(Calculator!E23,tbSkills!DH3:DJ6,3,FALSE),0),0))/100)))),1),"")</f>
        <v>1</v>
      </c>
      <c r="BP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M78)*BO78)*(VLOOKUP(A78,tbMoveset!A2:C112,3,FALSE)/100)*IF(VLOOKUP(A78,tbMoveset!A2:B112,2,FALSE)="Projectile",Backdoors!N10,Backdoors!N9),0),"")</f>
        <v/>
      </c>
      <c r="BQ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M78&gt;=0.45,VLOOKUP(Calculator!E23,tbSkills!DH3:DI6,2,FALSE)+IF(AND(Calculator!B8=TRUE,Backdoors!BI12=TRUE),VLOOKUP(Calculator!E23,tbSkills!DH3:DJ6,3,FALSE),0),0))&gt;=100,100,(Backdoors!AI12+IF(BM78&gt;=0.45,VLOOKUP(Calculator!E23,tbSkills!DH3:DI6,2,FALSE)+IF(AND(Calculator!B8=TRUE,Backdoors!BI12=TRUE),VLOOKUP(Calculator!E23,tbSkills!DH3:DJ6,3,FALSE),0),0)))/100)),1))*IF(VLOOKUP(A78,tbMoveset!A2:K112,11,FALSE)=TRUE,Backdoors!AC5,1))*BN78,0),"")</f>
        <v>0</v>
      </c>
      <c r="BR78" s="49">
        <f>VLOOKUP(A78,tbMoveset!A2:G112,7,FALSE)*IFERROR(IF(Backdoors!AI12&gt;=0,1+(IF(Calculator!E40&gt;0,VLOOKUP(Calculator!E40,tbSkills!AI3:AJ5,2,FALSE),Backdoors!AL4)*(IF((Backdoors!AI12+IF(BM78&gt;=0.45,VLOOKUP(Calculator!E23,tbSkills!DH3:DI6,2,FALSE)+IF(AND(Calculator!B8=TRUE,Backdoors!BI12=TRUE),VLOOKUP(Calculator!E23,tbSkills!DH3:DJ6,3,FALSE),0),0))&gt;=100,100,(Backdoors!AI12+IF(BM78&gt;=0.45,VLOOKUP(Calculator!E23,tbSkills!DH3:DI6,2,FALSE)+IF(AND(Calculator!B8=TRUE,Backdoors!BI12=TRUE),VLOOKUP(Calculator!E23,tbSkills!DH3:DJ6,3,FALSE),0),0)))/100)),1),1)</f>
        <v>0.4</v>
      </c>
      <c r="BS78" s="87">
        <f t="shared" si="60"/>
        <v>0</v>
      </c>
      <c r="BT78" s="86" t="str">
        <f>IFERROR(IF(VLOOKUP(A78,tbMoveset!A2:B112,2,FALSE)="Sever",Backdoors!AY13/100,IF(VLOOKUP(A78,tbMoveset!A2:B112,2,FALSE)="Blunt",Backdoors!AZ13/100,Backdoors!BA13/100)),"")</f>
        <v/>
      </c>
      <c r="BU78" s="49">
        <f>IFERROR(IF(VLOOKUP(tbMoveset!A78,tbMoveset!A2:H112,8,FALSE)="Other",IF(VLOOKUP(tbMoveset!A78,tbMoveset!A2:I112,9,FALSE)="Fire",Backdoors!BB13,IF(VLOOKUP(tbMoveset!A78,tbMoveset!A2:I112,9,FALSE)="Water",Backdoors!BC13,IF(VLOOKUP(tbMoveset!A78,tbMoveset!A2:I112,9,FALSE)="Thunder",Backdoors!BD13,IF(VLOOKUP(tbMoveset!A78,tbMoveset!A2:I112,9,FALSE)="Ice",Backdoors!BE13,IF(VLOOKUP(tbMoveset!A78,tbMoveset!A2:I112,9,FALSE)="Dragon",Backdoors!BF13,Backdoors!BG13)))))/100,Backdoors!BG13/100),"")</f>
        <v>0</v>
      </c>
      <c r="BV78" s="49">
        <f>IFERROR(IF(VLOOKUP(A78,tbMoveset!A2:J112,10,FALSE)=TRUE,IF((Backdoors!AI12+IF(BT78&gt;=0.45,VLOOKUP(Calculator!E23,tbSkills!DH3:DI6,2,FALSE)+IF(AND(Calculator!B8=TRUE,Backdoors!BI13=TRUE),VLOOKUP(Calculator!E23,tbSkills!DH3:DJ6,3,FALSE),0),0))&gt;=0,1+(Backdoors!AL2*(IF((Backdoors!AI12+IF(BT78&gt;=0.45,VLOOKUP(Calculator!E23,tbSkills!DH3:DI6,2,FALSE)+IF(AND(Calculator!B8=TRUE,Backdoors!BI13=TRUE),VLOOKUP(Calculator!E23,tbSkills!DH3:DJ6,3,FALSE),0),0))&gt;=100,100,(Backdoors!AI12+IF(BT78&gt;=0.45,VLOOKUP(Calculator!E23,tbSkills!DH3:DI6,2,FALSE)+IF(AND(Calculator!B8=TRUE,Backdoors!BI13=TRUE),VLOOKUP(Calculator!E23,tbSkills!DH3:DJ6,3,FALSE),0),0)))/100)),(1-(0.25*((-Backdoors!AI12-IF(BT78&gt;=0.45,VLOOKUP(Calculator!E23,tbSkills!DH3:DI6,2,FALSE)+IF(AND(Calculator!B8=TRUE,Backdoors!BI13=TRUE),VLOOKUP(Calculator!E23,tbSkills!DH3:DJ6,3,FALSE),0),0))/100)))),1),"")</f>
        <v>1</v>
      </c>
      <c r="BW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T78)*BV78)*(VLOOKUP(A78,tbMoveset!A2:C112,3,FALSE)/100)*IF(VLOOKUP(A78,tbMoveset!A2:B112,2,FALSE)="Projectile",Backdoors!N10,Backdoors!N9),0),"")</f>
        <v/>
      </c>
      <c r="BX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T78&gt;=0.45,VLOOKUP(Calculator!E23,tbSkills!DH3:DI6,2,FALSE)+IF(AND(Calculator!B8=TRUE,Backdoors!BI13=TRUE),VLOOKUP(Calculator!E23,tbSkills!DH3:DJ6,3,FALSE),0),0))&gt;=100,100,(Backdoors!AI12+IF(BT78&gt;=0.45,VLOOKUP(Calculator!E23,tbSkills!DH3:DI6,2,FALSE)+IF(AND(Calculator!B8=TRUE,Backdoors!BI13=TRUE),VLOOKUP(Calculator!E23,tbSkills!DH3:DJ6,3,FALSE),0),0)))/100)),1))*IF(VLOOKUP(A78,tbMoveset!A2:K112,11,FALSE)=TRUE,Backdoors!AC5,1))*BU78,0),"")</f>
        <v>0</v>
      </c>
      <c r="BY78" s="49">
        <f>VLOOKUP(A78,tbMoveset!A2:G112,7,FALSE)*IFERROR(IF(Backdoors!AI12&gt;=0,1+(IF(Calculator!E40&gt;0,VLOOKUP(Calculator!E40,tbSkills!AI3:AJ5,2,FALSE),Backdoors!AL4)*(IF((Backdoors!AI12+IF(BT78&gt;=0.45,VLOOKUP(Calculator!E23,tbSkills!DH3:DI6,2,FALSE)+IF(AND(Calculator!B8=TRUE,Backdoors!BI13=TRUE),VLOOKUP(Calculator!E23,tbSkills!DH3:DJ6,3,FALSE),0),0))&gt;=100,100,(Backdoors!AI12+IF(BT78&gt;=0.45,VLOOKUP(Calculator!E23,tbSkills!DH3:DI6,2,FALSE)+IF(AND(Calculator!B8=TRUE,Backdoors!BI13=TRUE),VLOOKUP(Calculator!E23,tbSkills!DH3:DJ6,3,FALSE),0),0)))/100)),1),1)</f>
        <v>0.4</v>
      </c>
      <c r="BZ78" s="87">
        <f t="shared" si="61"/>
        <v>0</v>
      </c>
      <c r="CA78" s="86" t="str">
        <f>IFERROR(IF(VLOOKUP(A78,tbMoveset!A2:B112,2,FALSE)="Sever",Backdoors!AY14/100,IF(VLOOKUP(A78,tbMoveset!A2:B112,2,FALSE)="Blunt",Backdoors!AZ14/100,Backdoors!BA14/100)),"")</f>
        <v/>
      </c>
      <c r="CB78" s="49">
        <f>IFERROR(IF(VLOOKUP(tbMoveset!A78,tbMoveset!A2:H112,8,FALSE)="Other",IF(VLOOKUP(tbMoveset!A78,tbMoveset!A2:I112,9,FALSE)="Fire",Backdoors!BB14,IF(VLOOKUP(tbMoveset!A78,tbMoveset!A2:I112,9,FALSE)="Water",Backdoors!BC14,IF(VLOOKUP(tbMoveset!A78,tbMoveset!A2:I112,9,FALSE)="Thunder",Backdoors!BD14,IF(VLOOKUP(tbMoveset!A78,tbMoveset!A2:I112,9,FALSE)="Ice",Backdoors!BE14,IF(VLOOKUP(tbMoveset!A78,tbMoveset!A2:I112,9,FALSE)="Dragon",Backdoors!BF14,Backdoors!BG14)))))/100,Backdoors!BG14/100),"")</f>
        <v>0</v>
      </c>
      <c r="CC78" s="49">
        <f>IFERROR(IF(VLOOKUP(A78,tbMoveset!A2:J112,10,FALSE)=TRUE,IF((Backdoors!AI12+IF(CA78&gt;=0.45,VLOOKUP(Calculator!E23,tbSkills!DH3:DI6,2,FALSE)+IF(AND(Calculator!B8=TRUE,Backdoors!BI14=TRUE),VLOOKUP(Calculator!E23,tbSkills!DH3:DJ6,3,FALSE),0),0))&gt;=0,1+(Backdoors!AL2*(IF((Backdoors!AI12+IF(CA78&gt;=0.45,VLOOKUP(Calculator!E23,tbSkills!DH3:DI6,2,FALSE)+IF(AND(Calculator!B8=TRUE,Backdoors!BI14=TRUE),VLOOKUP(Calculator!E23,tbSkills!DH3:DJ6,3,FALSE),0),0))&gt;=100,100,(Backdoors!AI12+IF(CA78&gt;=0.45,VLOOKUP(Calculator!E23,tbSkills!DH3:DI6,2,FALSE)+IF(AND(Calculator!B8=TRUE,Backdoors!BI14=TRUE),VLOOKUP(Calculator!E23,tbSkills!DH3:DJ6,3,FALSE),0),0)))/100)),(1-(0.25*((-Backdoors!AI12-IF(CA78&gt;=0.45,VLOOKUP(Calculator!E23,tbSkills!DH3:DI6,2,FALSE)+IF(AND(Calculator!B8=TRUE,Backdoors!BI14=TRUE),VLOOKUP(Calculator!E23,tbSkills!DH3:DJ6,3,FALSE),0),0))/100)))),1),"")</f>
        <v>1</v>
      </c>
      <c r="CD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A78)*CC78)*(VLOOKUP(A78,tbMoveset!A2:C112,3,FALSE)/100)*IF(VLOOKUP(A78,tbMoveset!A2:B112,2,FALSE)="Projectile",Backdoors!N10,Backdoors!N9),0),"")</f>
        <v/>
      </c>
      <c r="CE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A78&gt;=0.45,VLOOKUP(Calculator!E23,tbSkills!DH3:DI6,2,FALSE)+IF(AND(Calculator!B8=TRUE,Backdoors!BI14=TRUE),VLOOKUP(Calculator!E23,tbSkills!DH3:DJ6,3,FALSE),0),0))&gt;=100,100,(Backdoors!AI12+IF(CA78&gt;=0.45,VLOOKUP(Calculator!E23,tbSkills!DH3:DI6,2,FALSE)+IF(AND(Calculator!B8=TRUE,Backdoors!BI14=TRUE),VLOOKUP(Calculator!E23,tbSkills!DH3:DJ6,3,FALSE),0),0)))/100)),1))*IF(VLOOKUP(A78,tbMoveset!A2:K112,11,FALSE)=TRUE,Backdoors!AC5,1))*CB78,0),"")</f>
        <v>0</v>
      </c>
      <c r="CF78" s="49">
        <f>VLOOKUP(A78,tbMoveset!A2:G112,7,FALSE)*IFERROR(IF(Backdoors!AI12&gt;=0,1+(IF(Calculator!E40&gt;0,VLOOKUP(Calculator!E40,tbSkills!AI3:AJ5,2,FALSE),Backdoors!AL4)*(IF((Backdoors!AI12+IF(CA78&gt;=0.45,VLOOKUP(Calculator!E23,tbSkills!DH3:DI6,2,FALSE)+IF(AND(Calculator!B8=TRUE,Backdoors!BI14=TRUE),VLOOKUP(Calculator!E23,tbSkills!DH3:DJ6,3,FALSE),0),0))&gt;=100,100,(Backdoors!AI12+IF(CA78&gt;=0.45,VLOOKUP(Calculator!E23,tbSkills!DH3:DI6,2,FALSE)+IF(AND(Calculator!B8=TRUE,Backdoors!BI14=TRUE),VLOOKUP(Calculator!E23,tbSkills!DH3:DJ6,3,FALSE),0),0)))/100)),1),1)</f>
        <v>0.4</v>
      </c>
      <c r="CG78" s="87">
        <f t="shared" si="62"/>
        <v>0</v>
      </c>
      <c r="CH78" s="86" t="str">
        <f>IFERROR(IF(VLOOKUP(A78,tbMoveset!A2:B112,2,FALSE)="Sever",Backdoors!AY15/100,IF(VLOOKUP(A78,tbMoveset!A2:B112,2,FALSE)="Blunt",Backdoors!AZ15/100,Backdoors!BA15/100)),"")</f>
        <v/>
      </c>
      <c r="CI78" s="49">
        <f>IFERROR(IF(VLOOKUP(tbMoveset!A78,tbMoveset!A2:H112,8,FALSE)="Other",IF(VLOOKUP(tbMoveset!A78,tbMoveset!A2:I112,9,FALSE)="Fire",Backdoors!BB15,IF(VLOOKUP(tbMoveset!A78,tbMoveset!A2:I112,9,FALSE)="Water",Backdoors!BC15,IF(VLOOKUP(tbMoveset!A78,tbMoveset!A2:I112,9,FALSE)="Thunder",Backdoors!BD15,IF(VLOOKUP(tbMoveset!A78,tbMoveset!A2:I112,9,FALSE)="Ice",Backdoors!BE15,IF(VLOOKUP(tbMoveset!A78,tbMoveset!A2:I112,9,FALSE)="Dragon",Backdoors!BF15,Backdoors!BG15)))))/100,Backdoors!BG15/100),"")</f>
        <v>0</v>
      </c>
      <c r="CJ78" s="49">
        <f>IFERROR(IF(VLOOKUP(A78,tbMoveset!A2:J112,10,FALSE)=TRUE,IF((Backdoors!AI12+IF(CH78&gt;=0.45,VLOOKUP(Calculator!E23,tbSkills!DH3:DI6,2,FALSE)+IF(AND(Calculator!B8=TRUE,Backdoors!BI15=TRUE),VLOOKUP(Calculator!E23,tbSkills!DH3:DJ6,3,FALSE),0),0))&gt;=0,1+(Backdoors!AL2*(IF((Backdoors!AI12+IF(CH78&gt;=0.45,VLOOKUP(Calculator!E23,tbSkills!DH3:DI6,2,FALSE)+IF(AND(Calculator!B8=TRUE,Backdoors!BI15=TRUE),VLOOKUP(Calculator!E23,tbSkills!DH3:DJ6,3,FALSE),0),0))&gt;=100,100,(Backdoors!AI12+IF(CH78&gt;=0.45,VLOOKUP(Calculator!E23,tbSkills!DH3:DI6,2,FALSE)+IF(AND(Calculator!B8=TRUE,Backdoors!BI15=TRUE),VLOOKUP(Calculator!E23,tbSkills!DH3:DJ6,3,FALSE),0),0)))/100)),(1-(0.25*((-Backdoors!AI12-IF(CH78&gt;=0.45,VLOOKUP(Calculator!E23,tbSkills!DH3:DI6,2,FALSE)+IF(AND(Calculator!B8=TRUE,Backdoors!BI15=TRUE),VLOOKUP(Calculator!E23,tbSkills!DH3:DJ6,3,FALSE),0),0))/100)))),1),"")</f>
        <v>1</v>
      </c>
      <c r="CK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H78)*CJ78)*(VLOOKUP(A78,tbMoveset!A2:C112,3,FALSE)/100)*IF(VLOOKUP(A78,tbMoveset!A2:B112,2,FALSE)="Projectile",Backdoors!N10,Backdoors!N9),0),"")</f>
        <v/>
      </c>
      <c r="CL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H78&gt;=0.45,VLOOKUP(Calculator!E23,tbSkills!DH3:DI6,2,FALSE)+IF(AND(Calculator!B8=TRUE,Backdoors!BI15=TRUE),VLOOKUP(Calculator!E23,tbSkills!DH3:DJ6,3,FALSE),0),0))&gt;=100,100,(Backdoors!AI12+IF(CH78&gt;=0.45,VLOOKUP(Calculator!E23,tbSkills!DH3:DI6,2,FALSE)+IF(AND(Calculator!B8=TRUE,Backdoors!BI15=TRUE),VLOOKUP(Calculator!E23,tbSkills!DH3:DJ6,3,FALSE),0),0)))/100)),1))*IF(VLOOKUP(A78,tbMoveset!A2:K112,11,FALSE)=TRUE,Backdoors!AC5,1))*CI78,0),"")</f>
        <v>0</v>
      </c>
      <c r="CM78" s="49">
        <f>VLOOKUP(A78,tbMoveset!A2:G112,7,FALSE)*IFERROR(IF(Backdoors!AI12&gt;=0,1+(IF(Calculator!E40&gt;0,VLOOKUP(Calculator!E40,tbSkills!AI3:AJ5,2,FALSE),Backdoors!AL4)*(IF((Backdoors!AI12+IF(CH78&gt;=0.45,VLOOKUP(Calculator!E23,tbSkills!DH3:DI6,2,FALSE)+IF(AND(Calculator!B8=TRUE,Backdoors!BI15=TRUE),VLOOKUP(Calculator!E23,tbSkills!DH3:DJ6,3,FALSE),0),0))&gt;=100,100,(Backdoors!AI12+IF(CH78&gt;=0.45,VLOOKUP(Calculator!E23,tbSkills!DH3:DI6,2,FALSE)+IF(AND(Calculator!B8=TRUE,Backdoors!BI15=TRUE),VLOOKUP(Calculator!E23,tbSkills!DH3:DJ6,3,FALSE),0),0)))/100)),1),1)</f>
        <v>0.4</v>
      </c>
      <c r="CN78" s="87">
        <f t="shared" si="63"/>
        <v>0</v>
      </c>
      <c r="CO78" s="86" t="str">
        <f>IFERROR(IF(VLOOKUP(A78,tbMoveset!A2:B112,2,FALSE)="Sever",Backdoors!AY16/100,IF(VLOOKUP(A78,tbMoveset!A2:B112,2,FALSE)="Blunt",Backdoors!AZ16/100,Backdoors!BA16/100)),"")</f>
        <v/>
      </c>
      <c r="CP78" s="49">
        <f>IFERROR(IF(VLOOKUP(tbMoveset!A78,tbMoveset!A2:H112,8,FALSE)="Other",IF(VLOOKUP(tbMoveset!A78,tbMoveset!A2:I112,9,FALSE)="Fire",Backdoors!BB16,IF(VLOOKUP(tbMoveset!A78,tbMoveset!A2:I112,9,FALSE)="Water",Backdoors!BC16,IF(VLOOKUP(tbMoveset!A78,tbMoveset!A2:I112,9,FALSE)="Thunder",Backdoors!BD16,IF(VLOOKUP(tbMoveset!A78,tbMoveset!A2:I112,9,FALSE)="Ice",Backdoors!BE16,IF(VLOOKUP(tbMoveset!A78,tbMoveset!A2:I112,9,FALSE)="Dragon",Backdoors!BF16,Backdoors!BG16)))))/100,Backdoors!BG16/100),"")</f>
        <v>0</v>
      </c>
      <c r="CQ78" s="49">
        <f>IFERROR(IF(VLOOKUP(A78,tbMoveset!A2:J112,10,FALSE)=TRUE,IF((Backdoors!AI12+IF(CO78&gt;=0.45,VLOOKUP(Calculator!E23,tbSkills!DH3:DI6,2,FALSE)+IF(AND(Calculator!B8=TRUE,Backdoors!BI16=TRUE),VLOOKUP(Calculator!E23,tbSkills!DH3:DJ6,3,FALSE),0),0))&gt;=0,1+(Backdoors!AL2*(IF((Backdoors!AI12+IF(CO78&gt;=0.45,VLOOKUP(Calculator!E23,tbSkills!DH3:DI6,2,FALSE)+IF(AND(Calculator!B8=TRUE,Backdoors!BI16=TRUE),VLOOKUP(Calculator!E23,tbSkills!DH3:DJ6,3,FALSE),0),0))&gt;=100,100,(Backdoors!AI12+IF(CO78&gt;=0.45,VLOOKUP(Calculator!E23,tbSkills!DH3:DI6,2,FALSE)+IF(AND(Calculator!B8=TRUE,Backdoors!BI16=TRUE),VLOOKUP(Calculator!E23,tbSkills!DH3:DJ6,3,FALSE),0),0)))/100)),(1-(0.25*((-Backdoors!AI12-IF(CO78&gt;=0.45,VLOOKUP(Calculator!E23,tbSkills!DH3:DI6,2,FALSE)+IF(AND(Calculator!B8=TRUE,Backdoors!BI16=TRUE),VLOOKUP(Calculator!E23,tbSkills!DH3:DJ6,3,FALSE),0),0))/100)))),1),"")</f>
        <v>1</v>
      </c>
      <c r="CR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O78)*CQ78)*(VLOOKUP(A78,tbMoveset!A2:C112,3,FALSE)/100)*IF(VLOOKUP(A78,tbMoveset!A2:B112,2,FALSE)="Projectile",Backdoors!N10,Backdoors!N9),0),"")</f>
        <v/>
      </c>
      <c r="CS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O78&gt;=0.45,VLOOKUP(Calculator!E23,tbSkills!DH3:DI6,2,FALSE)+IF(AND(Calculator!B8=TRUE,Backdoors!BI16=TRUE),VLOOKUP(Calculator!E23,tbSkills!DH3:DJ6,3,FALSE),0),0))&gt;=100,100,(Backdoors!AI12+IF(CO78&gt;=0.45,VLOOKUP(Calculator!E23,tbSkills!DH3:DI6,2,FALSE)+IF(AND(Calculator!B8=TRUE,Backdoors!BI16=TRUE),VLOOKUP(Calculator!E23,tbSkills!DH3:DJ6,3,FALSE),0),0)))/100)),1))*IF(VLOOKUP(A78,tbMoveset!A2:K112,11,FALSE)=TRUE,Backdoors!AC5,1))*CP78,0),"")</f>
        <v>0</v>
      </c>
      <c r="CT78" s="49">
        <f>VLOOKUP(A78,tbMoveset!A2:G112,7,FALSE)*IFERROR(IF(Backdoors!AI12&gt;=0,1+(IF(Calculator!E40&gt;0,VLOOKUP(Calculator!E40,tbSkills!AI3:AJ5,2,FALSE),Backdoors!AL4)*(IF((Backdoors!AI12+IF(CO78&gt;=0.45,VLOOKUP(Calculator!E23,tbSkills!DH3:DI6,2,FALSE)+IF(AND(Calculator!B8=TRUE,Backdoors!BI16=TRUE),VLOOKUP(Calculator!E23,tbSkills!DH3:DJ6,3,FALSE),0),0))&gt;=100,100,(Backdoors!AI12+IF(CO78&gt;=0.45,VLOOKUP(Calculator!E23,tbSkills!DH3:DI6,2,FALSE)+IF(AND(Calculator!B8=TRUE,Backdoors!BI16=TRUE),VLOOKUP(Calculator!E23,tbSkills!DH3:DJ6,3,FALSE),0),0)))/100)),1),1)</f>
        <v>0.4</v>
      </c>
      <c r="CU78" s="87">
        <f t="shared" si="64"/>
        <v>0</v>
      </c>
      <c r="CV78" s="86" t="str">
        <f>IFERROR(IF(VLOOKUP(A78,tbMoveset!A2:B112,2,FALSE)="Sever",Backdoors!AY17/100,IF(VLOOKUP(A78,tbMoveset!A2:B112,2,FALSE)="Blunt",Backdoors!AZ17/100,Backdoors!BA17/100)),"")</f>
        <v/>
      </c>
      <c r="CW78" s="49">
        <f>IFERROR(IF(VLOOKUP(tbMoveset!A78,tbMoveset!A2:H112,8,FALSE)="Other",IF(VLOOKUP(tbMoveset!A78,tbMoveset!A2:I112,9,FALSE)="Fire",Backdoors!BB17,IF(VLOOKUP(tbMoveset!A78,tbMoveset!A2:I112,9,FALSE)="Water",Backdoors!BC17,IF(VLOOKUP(tbMoveset!A78,tbMoveset!A2:I112,9,FALSE)="Thunder",Backdoors!BD17,IF(VLOOKUP(tbMoveset!A78,tbMoveset!A2:I112,9,FALSE)="Ice",Backdoors!BE17,IF(VLOOKUP(tbMoveset!A78,tbMoveset!A2:I112,9,FALSE)="Dragon",Backdoors!BF17,Backdoors!BG17)))))/100,Backdoors!BG17/100),"")</f>
        <v>0</v>
      </c>
      <c r="CX78" s="49">
        <f>IFERROR(IF(VLOOKUP(A78,tbMoveset!A2:J112,10,FALSE)=TRUE,IF((Backdoors!AI12+IF(CV78&gt;=0.45,VLOOKUP(Calculator!E23,tbSkills!DH3:DI6,2,FALSE)+IF(AND(Calculator!B8=TRUE,Backdoors!BI17=TRUE),VLOOKUP(Calculator!E23,tbSkills!DH3:DJ6,3,FALSE),0),0))&gt;=0,1+(Backdoors!AL2*(IF((Backdoors!AI12+IF(CV78&gt;=0.45,VLOOKUP(Calculator!E23,tbSkills!DH3:DI6,2,FALSE)+IF(AND(Calculator!B8=TRUE,Backdoors!BI17=TRUE),VLOOKUP(Calculator!E23,tbSkills!DH3:DJ6,3,FALSE),0),0))&gt;=100,100,(Backdoors!AI12+IF(CV78&gt;=0.45,VLOOKUP(Calculator!E23,tbSkills!DH3:DI6,2,FALSE)+IF(AND(Calculator!B8=TRUE,Backdoors!BI17=TRUE),VLOOKUP(Calculator!E23,tbSkills!DH3:DJ6,3,FALSE),0),0)))/100)),(1-(0.25*((-Backdoors!AI12-IF(CV78&gt;=0.45,VLOOKUP(Calculator!E23,tbSkills!DH3:DI6,2,FALSE)+IF(AND(Calculator!B8=TRUE,Backdoors!BI17=TRUE),VLOOKUP(Calculator!E23,tbSkills!DH3:DJ6,3,FALSE),0),0))/100)))),1),"")</f>
        <v>1</v>
      </c>
      <c r="CY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V78)*CX78)*(VLOOKUP(A78,tbMoveset!A2:C112,3,FALSE)/100)*IF(VLOOKUP(A78,tbMoveset!A2:B112,2,FALSE)="Projectile",Backdoors!N10,Backdoors!N9),0),"")</f>
        <v/>
      </c>
      <c r="CZ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V78&gt;=0.45,VLOOKUP(Calculator!E23,tbSkills!DH3:DI6,2,FALSE)+IF(AND(Calculator!B8=TRUE,Backdoors!BI17=TRUE),VLOOKUP(Calculator!E23,tbSkills!DH3:DJ6,3,FALSE),0),0))&gt;=100,100,(Backdoors!AI12+IF(CV78&gt;=0.45,VLOOKUP(Calculator!E23,tbSkills!DH3:DI6,2,FALSE)+IF(AND(Calculator!B8=TRUE,Backdoors!BI17=TRUE),VLOOKUP(Calculator!E23,tbSkills!DH3:DJ6,3,FALSE),0),0)))/100)),1))*IF(VLOOKUP(A78,tbMoveset!A2:K112,11,FALSE)=TRUE,Backdoors!AC5,1))*CW78,0),"")</f>
        <v>0</v>
      </c>
      <c r="DA78" s="49">
        <f>VLOOKUP(A78,tbMoveset!A2:G112,7,FALSE)*IFERROR(IF(Backdoors!AI12&gt;=0,1+(IF(Calculator!E40&gt;0,VLOOKUP(Calculator!E40,tbSkills!AI3:AJ5,2,FALSE),Backdoors!AL4)*(IF((Backdoors!AI12+IF(CV78&gt;=0.45,VLOOKUP(Calculator!E23,tbSkills!DH3:DI6,2,FALSE)+IF(AND(Calculator!B8=TRUE,Backdoors!BI17=TRUE),VLOOKUP(Calculator!E23,tbSkills!DH3:DJ6,3,FALSE),0),0))&gt;=100,100,(Backdoors!AI12+IF(CV78&gt;=0.45,VLOOKUP(Calculator!E23,tbSkills!DH3:DI6,2,FALSE)+IF(AND(Calculator!B8=TRUE,Backdoors!BI17=TRUE),VLOOKUP(Calculator!E23,tbSkills!DH3:DJ6,3,FALSE),0),0)))/100)),1),1)</f>
        <v>0.4</v>
      </c>
      <c r="DB78" s="87">
        <f t="shared" si="65"/>
        <v>0</v>
      </c>
      <c r="DC78" s="86" t="str">
        <f>IFERROR(IF(VLOOKUP(A78,tbMoveset!A2:B112,2,FALSE)="Sever",Backdoors!AY18/100,IF(VLOOKUP(A78,tbMoveset!A2:B112,2,FALSE)="Blunt",Backdoors!AZ18/100,Backdoors!BA18/100)),"")</f>
        <v/>
      </c>
      <c r="DD78" s="49">
        <f>IFERROR(IF(VLOOKUP(tbMoveset!A78,tbMoveset!A2:H112,8,FALSE)="Other",IF(VLOOKUP(tbMoveset!A78,tbMoveset!A2:I112,9,FALSE)="Fire",Backdoors!BB18,IF(VLOOKUP(tbMoveset!A78,tbMoveset!A2:I112,9,FALSE)="Water",Backdoors!BC18,IF(VLOOKUP(tbMoveset!A78,tbMoveset!A2:I112,9,FALSE)="Thunder",Backdoors!BD18,IF(VLOOKUP(tbMoveset!A78,tbMoveset!A2:I112,9,FALSE)="Ice",Backdoors!BE18,IF(VLOOKUP(tbMoveset!A78,tbMoveset!A2:I112,9,FALSE)="Dragon",Backdoors!BF18,Backdoors!BG18)))))/100,Backdoors!BG18/100),"")</f>
        <v>0</v>
      </c>
      <c r="DE78" s="49">
        <f>IFERROR(IF(VLOOKUP(A78,tbMoveset!A2:J112,10,FALSE)=TRUE,IF((Backdoors!AI12+IF(DC78&gt;=0.45,VLOOKUP(Calculator!E23,tbSkills!DH3:DI6,2,FALSE)+IF(AND(Calculator!B8=TRUE,Backdoors!BI18=TRUE),VLOOKUP(Calculator!E23,tbSkills!DH3:DJ6,3,FALSE),0),0))&gt;=0,1+(Backdoors!AL2*(IF((Backdoors!AI12+IF(DC78&gt;=0.45,VLOOKUP(Calculator!E23,tbSkills!DH3:DI6,2,FALSE)+IF(AND(Calculator!B8=TRUE,Backdoors!BI18=TRUE),VLOOKUP(Calculator!E23,tbSkills!DH3:DJ6,3,FALSE),0),0))&gt;=100,100,(Backdoors!AI12+IF(DC78&gt;=0.45,VLOOKUP(Calculator!E23,tbSkills!DH3:DI6,2,FALSE)+IF(AND(Calculator!B8=TRUE,Backdoors!BI18=TRUE),VLOOKUP(Calculator!E23,tbSkills!DH3:DJ6,3,FALSE),0),0)))/100)),(1-(0.25*((-Backdoors!AI12-IF(DC78&gt;=0.45,VLOOKUP(Calculator!E23,tbSkills!DH3:DI6,2,FALSE)+IF(AND(Calculator!B8=TRUE,Backdoors!BI18=TRUE),VLOOKUP(Calculator!E23,tbSkills!DH3:DJ6,3,FALSE),0),0))/100)))),1),"")</f>
        <v>1</v>
      </c>
      <c r="DF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C78)*DE78)*(VLOOKUP(A78,tbMoveset!A2:C112,3,FALSE)/100)*IF(VLOOKUP(A78,tbMoveset!A2:B112,2,FALSE)="Projectile",Backdoors!N10,Backdoors!N9),0),"")</f>
        <v/>
      </c>
      <c r="DG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C78&gt;=0.45,VLOOKUP(Calculator!E23,tbSkills!DH3:DI6,2,FALSE)+IF(AND(Calculator!B8=TRUE,Backdoors!BI18=TRUE),VLOOKUP(Calculator!E23,tbSkills!DH3:DJ6,3,FALSE),0),0))&gt;=100,100,(Backdoors!AI12+IF(DC78&gt;=0.45,VLOOKUP(Calculator!E23,tbSkills!DH3:DI6,2,FALSE)+IF(AND(Calculator!B8=TRUE,Backdoors!BI18=TRUE),VLOOKUP(Calculator!E23,tbSkills!DH3:DJ6,3,FALSE),0),0)))/100)),1))*IF(VLOOKUP(A78,tbMoveset!A2:K112,11,FALSE)=TRUE,Backdoors!AC5,1))*DD78,0),"")</f>
        <v>0</v>
      </c>
      <c r="DH78" s="49">
        <f>VLOOKUP(A78,tbMoveset!A2:G112,7,FALSE)*IFERROR(IF(Backdoors!AI12&gt;=0,1+(IF(Calculator!E40&gt;0,VLOOKUP(Calculator!E40,tbSkills!AI3:AJ5,2,FALSE),Backdoors!AL4)*(IF((Backdoors!AI12+IF(DC78&gt;=0.45,VLOOKUP(Calculator!E23,tbSkills!DH3:DI6,2,FALSE)+IF(AND(Calculator!B8=TRUE,Backdoors!BI18=TRUE),VLOOKUP(Calculator!E23,tbSkills!DH3:DJ6,3,FALSE),0),0))&gt;=100,100,(Backdoors!AI12+IF(DC78&gt;=0.45,VLOOKUP(Calculator!E23,tbSkills!DH3:DI6,2,FALSE)+IF(AND(Calculator!B8=TRUE,Backdoors!BI18=TRUE),VLOOKUP(Calculator!E23,tbSkills!DH3:DJ6,3,FALSE),0),0)))/100)),1),1)</f>
        <v>0.4</v>
      </c>
      <c r="DI78" s="87">
        <f t="shared" si="66"/>
        <v>0</v>
      </c>
      <c r="DJ78" s="86" t="str">
        <f>IFERROR(IF(VLOOKUP(A78,tbMoveset!A2:B112,2,FALSE)="Sever",Backdoors!AY19/100,IF(VLOOKUP(A78,tbMoveset!A2:B112,2,FALSE)="Blunt",Backdoors!AZ19/100,Backdoors!BA19/100)),"")</f>
        <v/>
      </c>
      <c r="DK78" s="49">
        <f>IFERROR(IF(VLOOKUP(tbMoveset!A78,tbMoveset!A2:H112,8,FALSE)="Other",IF(VLOOKUP(tbMoveset!A78,tbMoveset!A2:I112,9,FALSE)="Fire",Backdoors!BB19,IF(VLOOKUP(tbMoveset!A78,tbMoveset!A2:I112,9,FALSE)="Water",Backdoors!BC19,IF(VLOOKUP(tbMoveset!A78,tbMoveset!A2:I112,9,FALSE)="Thunder",Backdoors!BD19,IF(VLOOKUP(tbMoveset!A78,tbMoveset!A2:I112,9,FALSE)="Ice",Backdoors!BE19,IF(VLOOKUP(tbMoveset!A78,tbMoveset!A2:I112,9,FALSE)="Dragon",Backdoors!BF19,Backdoors!BG19)))))/100,Backdoors!BG19/100),"")</f>
        <v>0</v>
      </c>
      <c r="DL78" s="49">
        <f>IFERROR(IF(VLOOKUP(A78,tbMoveset!A2:J112,10,FALSE)=TRUE,IF((Backdoors!AI12+IF(DJ78&gt;=0.45,VLOOKUP(Calculator!E23,tbSkills!DH3:DI6,2,FALSE)+IF(AND(Calculator!B8=TRUE,Backdoors!BI19=TRUE),VLOOKUP(Calculator!E23,tbSkills!DH3:DJ6,3,FALSE),0),0))&gt;=0,1+(Backdoors!AL2*(IF((Backdoors!AI12+IF(DJ78&gt;=0.45,VLOOKUP(Calculator!E23,tbSkills!DH3:DI6,2,FALSE)+IF(AND(Calculator!B8=TRUE,Backdoors!BI19=TRUE),VLOOKUP(Calculator!E23,tbSkills!DH3:DJ6,3,FALSE),0),0))&gt;=100,100,(Backdoors!AI12+IF(DJ78&gt;=0.45,VLOOKUP(Calculator!E23,tbSkills!DH3:DI6,2,FALSE)+IF(AND(Calculator!B8=TRUE,Backdoors!BI19=TRUE),VLOOKUP(Calculator!E23,tbSkills!DH3:DJ6,3,FALSE),0),0)))/100)),(1-(0.25*((-Backdoors!AI12-IF(DJ78&gt;=0.45,VLOOKUP(Calculator!E23,tbSkills!DH3:DI6,2,FALSE)+IF(AND(Calculator!B8=TRUE,Backdoors!BI19=TRUE),VLOOKUP(Calculator!E23,tbSkills!DH3:DJ6,3,FALSE),0),0))/100)))),1),"")</f>
        <v>1</v>
      </c>
      <c r="DM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J78)*DL78)*(VLOOKUP(A78,tbMoveset!A2:C112,3,FALSE)/100)*IF(VLOOKUP(A78,tbMoveset!A2:B112,2,FALSE)="Projectile",Backdoors!N10,Backdoors!N9),0),"")</f>
        <v/>
      </c>
      <c r="DN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J78&gt;=0.45,VLOOKUP(Calculator!E23,tbSkills!DH3:DI6,2,FALSE)+IF(AND(Calculator!B8=TRUE,Backdoors!BI19=TRUE),VLOOKUP(Calculator!E23,tbSkills!DH3:DJ6,3,FALSE),0),0))&gt;=100,100,(Backdoors!AI12+IF(DJ78&gt;=0.45,VLOOKUP(Calculator!E23,tbSkills!DH3:DI6,2,FALSE)+IF(AND(Calculator!B8=TRUE,Backdoors!BI19=TRUE),VLOOKUP(Calculator!E23,tbSkills!DH3:DJ6,3,FALSE),0),0)))/100)),1))*IF(VLOOKUP(A78,tbMoveset!A2:K112,11,FALSE)=TRUE,Backdoors!AC5,1))*DK78,0),"")</f>
        <v>0</v>
      </c>
      <c r="DO78" s="49">
        <f>VLOOKUP(A78,tbMoveset!A2:G112,7,FALSE)*IFERROR(IF(Backdoors!AI12&gt;=0,1+(IF(Calculator!E40&gt;0,VLOOKUP(Calculator!E40,tbSkills!AI3:AJ5,2,FALSE),Backdoors!AL4)*(IF((Backdoors!AI12+IF(DJ78&gt;=0.45,VLOOKUP(Calculator!E23,tbSkills!DH3:DI6,2,FALSE)+IF(AND(Calculator!B8=TRUE,Backdoors!BI19=TRUE),VLOOKUP(Calculator!E23,tbSkills!DH3:DJ6,3,FALSE),0),0))&gt;=100,100,(Backdoors!AI12+IF(DJ78&gt;=0.45,VLOOKUP(Calculator!E23,tbSkills!DH3:DI6,2,FALSE)+IF(AND(Calculator!B8=TRUE,Backdoors!BI19=TRUE),VLOOKUP(Calculator!E23,tbSkills!DH3:DJ6,3,FALSE),0),0)))/100)),1),1)</f>
        <v>0.4</v>
      </c>
      <c r="DP78" s="87">
        <f t="shared" si="67"/>
        <v>0</v>
      </c>
      <c r="DQ78" s="86" t="str">
        <f>IFERROR(IF(VLOOKUP(A78,tbMoveset!A2:B112,2,FALSE)="Sever",Backdoors!AY20/100,IF(VLOOKUP(A78,tbMoveset!A2:B112,2,FALSE)="Blunt",Backdoors!AZ20/100,Backdoors!BA20/100)),"")</f>
        <v/>
      </c>
      <c r="DR78" s="49">
        <f>IFERROR(IF(VLOOKUP(tbMoveset!A78,tbMoveset!A2:H112,8,FALSE)="Other",IF(VLOOKUP(tbMoveset!A78,tbMoveset!A2:I112,9,FALSE)="Fire",Backdoors!BB20,IF(VLOOKUP(tbMoveset!A78,tbMoveset!A2:I112,9,FALSE)="Water",Backdoors!BC20,IF(VLOOKUP(tbMoveset!A78,tbMoveset!A2:I112,9,FALSE)="Thunder",Backdoors!BD20,IF(VLOOKUP(tbMoveset!A78,tbMoveset!A2:I112,9,FALSE)="Ice",Backdoors!BE20,IF(VLOOKUP(tbMoveset!A78,tbMoveset!A2:I112,9,FALSE)="Dragon",Backdoors!BF20,Backdoors!BG20)))))/100,Backdoors!BG20/100),"")</f>
        <v>0</v>
      </c>
      <c r="DS78" s="49">
        <f>IFERROR(IF(VLOOKUP(A78,tbMoveset!A2:J112,10,FALSE)=TRUE,IF((Backdoors!AI12+IF(DQ78&gt;=0.45,VLOOKUP(Calculator!E23,tbSkills!DH3:DI6,2,FALSE)+IF(AND(Calculator!B8=TRUE,Backdoors!BI20=TRUE),VLOOKUP(Calculator!E23,tbSkills!DH3:DJ6,3,FALSE),0),0))&gt;=0,1+(Backdoors!AL2*(IF((Backdoors!AI12+IF(DQ78&gt;=0.45,VLOOKUP(Calculator!E23,tbSkills!DH3:DI6,2,FALSE)+IF(AND(Calculator!B8=TRUE,Backdoors!BI20=TRUE),VLOOKUP(Calculator!E23,tbSkills!DH3:DJ6,3,FALSE),0),0))&gt;=100,100,(Backdoors!AI12+IF(DQ78&gt;=0.45,VLOOKUP(Calculator!E23,tbSkills!DH3:DI6,2,FALSE)+IF(AND(Calculator!B8=TRUE,Backdoors!BI20=TRUE),VLOOKUP(Calculator!E23,tbSkills!DH3:DJ6,3,FALSE),0),0)))/100)),(1-(0.25*((-Backdoors!AI12-IF(DQ78&gt;=0.45,VLOOKUP(Calculator!E23,tbSkills!DH3:DI6,2,FALSE)+IF(AND(Calculator!B8=TRUE,Backdoors!BI20=TRUE),VLOOKUP(Calculator!E23,tbSkills!DH3:DJ6,3,FALSE),0),0))/100)))),1),"")</f>
        <v>1</v>
      </c>
      <c r="DT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Q78)*DS78)*(VLOOKUP(A78,tbMoveset!A2:C112,3,FALSE)/100)*IF(VLOOKUP(A78,tbMoveset!A2:B112,2,FALSE)="Projectile",Backdoors!N10,Backdoors!N9),0),"")</f>
        <v/>
      </c>
      <c r="DU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Q78&gt;=0.45,VLOOKUP(Calculator!E23,tbSkills!DH3:DI6,2,FALSE)+IF(AND(Calculator!B8=TRUE,Backdoors!BI20=TRUE),VLOOKUP(Calculator!E23,tbSkills!DH3:DJ6,3,FALSE),0),0))&gt;=100,100,(Backdoors!AI12+IF(DQ78&gt;=0.45,VLOOKUP(Calculator!E23,tbSkills!DH3:DI6,2,FALSE)+IF(AND(Calculator!B8=TRUE,Backdoors!BI20=TRUE),VLOOKUP(Calculator!E23,tbSkills!DH3:DJ6,3,FALSE),0),0)))/100)),1))*IF(VLOOKUP(A78,tbMoveset!A2:K112,11,FALSE)=TRUE,Backdoors!AC5,1))*DR78,0),"")</f>
        <v>0</v>
      </c>
      <c r="DV78" s="49">
        <f>VLOOKUP(A78,tbMoveset!A2:G112,7,FALSE)*IFERROR(IF(Backdoors!AI12&gt;=0,1+(IF(Calculator!E40&gt;0,VLOOKUP(Calculator!E40,tbSkills!AI3:AJ5,2,FALSE),Backdoors!AL4)*(IF((Backdoors!AI12+IF(DQ78&gt;=0.45,VLOOKUP(Calculator!E23,tbSkills!DH3:DI6,2,FALSE)+IF(AND(Calculator!B8=TRUE,Backdoors!BI20=TRUE),VLOOKUP(Calculator!E23,tbSkills!DH3:DJ6,3,FALSE),0),0))&gt;=100,100,(Backdoors!AI12+IF(DQ78&gt;=0.45,VLOOKUP(Calculator!E23,tbSkills!DH3:DI6,2,FALSE)+IF(AND(Calculator!B8=TRUE,Backdoors!BI20=TRUE),VLOOKUP(Calculator!E23,tbSkills!DH3:DJ6,3,FALSE),0),0)))/100)),1),1)</f>
        <v>0.4</v>
      </c>
      <c r="DW78" s="87">
        <f t="shared" si="68"/>
        <v>0</v>
      </c>
      <c r="DX78" s="86" t="str">
        <f>IFERROR(IF(VLOOKUP(A78,tbMoveset!A2:B112,2,FALSE)="Sever",Backdoors!AY21/100,IF(VLOOKUP(A78,tbMoveset!A2:B112,2,FALSE)="Blunt",Backdoors!AZ21/100,Backdoors!BA21/100)),"")</f>
        <v/>
      </c>
      <c r="DY78" s="49">
        <f>IFERROR(IF(VLOOKUP(tbMoveset!A78,tbMoveset!A2:H112,8,FALSE)="Other",IF(VLOOKUP(tbMoveset!A78,tbMoveset!A2:I112,9,FALSE)="Fire",Backdoors!BB21,IF(VLOOKUP(tbMoveset!A78,tbMoveset!A2:I112,9,FALSE)="Water",Backdoors!BC21,IF(VLOOKUP(tbMoveset!A78,tbMoveset!A2:I112,9,FALSE)="Thunder",Backdoors!BD21,IF(VLOOKUP(tbMoveset!A78,tbMoveset!A2:I112,9,FALSE)="Ice",Backdoors!BE21,IF(VLOOKUP(tbMoveset!A78,tbMoveset!A2:I112,9,FALSE)="Dragon",Backdoors!BF21,Backdoors!BG21)))))/100,Backdoors!BG21/100),"")</f>
        <v>0</v>
      </c>
      <c r="DZ78" s="49">
        <f>IFERROR(IF(VLOOKUP(A78,tbMoveset!A2:J112,10,FALSE)=TRUE,IF((Backdoors!AI12+IF(DX78&gt;=0.45,VLOOKUP(Calculator!E23,tbSkills!DH3:DI6,2,FALSE)+IF(AND(Calculator!B8=TRUE,Backdoors!BI21=TRUE),VLOOKUP(Calculator!E23,tbSkills!DH3:DJ6,3,FALSE),0),0))&gt;=0,1+(Backdoors!AL2*(IF((Backdoors!AI12+IF(DX78&gt;=0.45,VLOOKUP(Calculator!E23,tbSkills!DH3:DI6,2,FALSE)+IF(AND(Calculator!B8=TRUE,Backdoors!BI21=TRUE),VLOOKUP(Calculator!E23,tbSkills!DH3:DJ6,3,FALSE),0),0))&gt;=100,100,(Backdoors!AI12+IF(DX78&gt;=0.45,VLOOKUP(Calculator!E23,tbSkills!DH3:DI6,2,FALSE)+IF(AND(Calculator!B8=TRUE,Backdoors!BI21=TRUE),VLOOKUP(Calculator!E23,tbSkills!DH3:DJ6,3,FALSE),0),0)))/100)),(1-(0.25*((-Backdoors!AI12-IF(DX78&gt;=0.45,VLOOKUP(Calculator!E23,tbSkills!DH3:DI6,2,FALSE)+IF(AND(Calculator!B8=TRUE,Backdoors!BI21=TRUE),VLOOKUP(Calculator!E23,tbSkills!DH3:DJ6,3,FALSE),0),0))/100)))),1),"")</f>
        <v>1</v>
      </c>
      <c r="EA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X78)*DZ78)*(VLOOKUP(A78,tbMoveset!A2:C112,3,FALSE)/100)*IF(VLOOKUP(A78,tbMoveset!A2:B112,2,FALSE)="Projectile",Backdoors!N10,Backdoors!N9),0),"")</f>
        <v/>
      </c>
      <c r="EB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X78&gt;=0.45,VLOOKUP(Calculator!E23,tbSkills!DH3:DI6,2,FALSE)+IF(AND(Calculator!B8=TRUE,Backdoors!BI21=TRUE),VLOOKUP(Calculator!E23,tbSkills!DH3:DJ6,3,FALSE),0),0))&gt;=100,100,(Backdoors!AI12+IF(DX78&gt;=0.45,VLOOKUP(Calculator!E23,tbSkills!DH3:DI6,2,FALSE)+IF(AND(Calculator!B8=TRUE,Backdoors!BI21=TRUE),VLOOKUP(Calculator!E23,tbSkills!DH3:DJ6,3,FALSE),0),0)))/100)),1))*IF(VLOOKUP(A78,tbMoveset!A2:K112,11,FALSE)=TRUE,Backdoors!AC5,1))*DY78,0),"")</f>
        <v>0</v>
      </c>
      <c r="EC78" s="49">
        <f>VLOOKUP(A78,tbMoveset!A2:G112,7,FALSE)*IFERROR(IF(Backdoors!AI12&gt;=0,1+(IF(Calculator!E40&gt;0,VLOOKUP(Calculator!E40,tbSkills!AI3:AJ5,2,FALSE),Backdoors!AL4)*(IF((Backdoors!AI12+IF(DX78&gt;=0.45,VLOOKUP(Calculator!E23,tbSkills!DH3:DI6,2,FALSE)+IF(AND(Calculator!B8=TRUE,Backdoors!BI21=TRUE),VLOOKUP(Calculator!E23,tbSkills!DH3:DJ6,3,FALSE),0),0))&gt;=100,100,(Backdoors!AI12+IF(DX78&gt;=0.45,VLOOKUP(Calculator!E23,tbSkills!DH3:DI6,2,FALSE)+IF(AND(Calculator!B8=TRUE,Backdoors!BI21=TRUE),VLOOKUP(Calculator!E23,tbSkills!DH3:DJ6,3,FALSE),0),0)))/100)),1),1)</f>
        <v>0.4</v>
      </c>
      <c r="ED78" s="87">
        <f t="shared" si="69"/>
        <v>0</v>
      </c>
      <c r="EE78" s="86" t="str">
        <f>IFERROR(IF(VLOOKUP(A78,tbMoveset!A2:B112,2,FALSE)="Sever",Backdoors!AY22/100,IF(VLOOKUP(A78,tbMoveset!A2:B112,2,FALSE)="Blunt",Backdoors!AZ22/100,Backdoors!BA22/100)),"")</f>
        <v/>
      </c>
      <c r="EF78" s="49">
        <f>IFERROR(IF(VLOOKUP(tbMoveset!A78,tbMoveset!A2:H112,8,FALSE)="Other",IF(VLOOKUP(tbMoveset!A78,tbMoveset!A2:I112,9,FALSE)="Fire",Backdoors!BB22,IF(VLOOKUP(tbMoveset!A78,tbMoveset!A2:I112,9,FALSE)="Water",Backdoors!BC22,IF(VLOOKUP(tbMoveset!A78,tbMoveset!A2:I112,9,FALSE)="Thunder",Backdoors!BD22,IF(VLOOKUP(tbMoveset!A78,tbMoveset!A2:I112,9,FALSE)="Ice",Backdoors!BE22,IF(VLOOKUP(tbMoveset!A78,tbMoveset!A2:I112,9,FALSE)="Dragon",Backdoors!BF22,Backdoors!BG22)))))/100,Backdoors!BG22/100),"")</f>
        <v>0</v>
      </c>
      <c r="EG78" s="49">
        <f>IFERROR(IF(VLOOKUP(A78,tbMoveset!A2:J112,10,FALSE)=TRUE,IF((Backdoors!AI12+IF(EE78&gt;=0.45,VLOOKUP(Calculator!E23,tbSkills!DH3:DI6,2,FALSE)+IF(AND(Calculator!B8=TRUE,Backdoors!BI22=TRUE),VLOOKUP(Calculator!E23,tbSkills!DH3:DJ6,3,FALSE),0),0))&gt;=0,1+(Backdoors!AL2*(IF((Backdoors!AI12+IF(EE78&gt;=0.45,VLOOKUP(Calculator!E23,tbSkills!DH3:DI6,2,FALSE)+IF(AND(Calculator!B8=TRUE,Backdoors!BI22=TRUE),VLOOKUP(Calculator!E23,tbSkills!DH3:DJ6,3,FALSE),0),0))&gt;=100,100,(Backdoors!AI12+IF(EE78&gt;=0.45,VLOOKUP(Calculator!E23,tbSkills!DH3:DI6,2,FALSE)+IF(AND(Calculator!B8=TRUE,Backdoors!BI22=TRUE),VLOOKUP(Calculator!E23,tbSkills!DH3:DJ6,3,FALSE),0),0)))/100)),(1-(0.25*((-Backdoors!AI12-IF(EE78&gt;=0.45,VLOOKUP(Calculator!E23,tbSkills!DH3:DI6,2,FALSE)+IF(AND(Calculator!B8=TRUE,Backdoors!BI22=TRUE),VLOOKUP(Calculator!E23,tbSkills!DH3:DJ6,3,FALSE),0),0))/100)))),1),"")</f>
        <v>1</v>
      </c>
      <c r="EH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E78)*EG78)*(VLOOKUP(A78,tbMoveset!A2:C112,3,FALSE)/100)*IF(VLOOKUP(A78,tbMoveset!A2:B112,2,FALSE)="Projectile",Backdoors!N10,Backdoors!N9),0),"")</f>
        <v/>
      </c>
      <c r="EI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E78&gt;=0.45,VLOOKUP(Calculator!E23,tbSkills!DH3:DI6,2,FALSE)+IF(AND(Calculator!B8=TRUE,Backdoors!BI22=TRUE),VLOOKUP(Calculator!E23,tbSkills!DH3:DJ6,3,FALSE),0),0))&gt;=100,100,(Backdoors!AI12+IF(EE78&gt;=0.45,VLOOKUP(Calculator!E23,tbSkills!DH3:DI6,2,FALSE)+IF(AND(Calculator!B8=TRUE,Backdoors!BI22=TRUE),VLOOKUP(Calculator!E23,tbSkills!DH3:DJ6,3,FALSE),0),0)))/100)),1))*IF(VLOOKUP(A78,tbMoveset!A2:K112,11,FALSE)=TRUE,Backdoors!AC5,1))*EF78,0),"")</f>
        <v>0</v>
      </c>
      <c r="EJ78" s="49">
        <f>VLOOKUP(A78,tbMoveset!A2:G112,7,FALSE)*IFERROR(IF(Backdoors!AI12&gt;=0,1+(IF(Calculator!E40&gt;0,VLOOKUP(Calculator!E40,tbSkills!AI3:AJ5,2,FALSE),Backdoors!AL4)*(IF((Backdoors!AI12+IF(EE78&gt;=0.45,VLOOKUP(Calculator!E23,tbSkills!DH3:DI6,2,FALSE)+IF(AND(Calculator!B8=TRUE,Backdoors!BI22=TRUE),VLOOKUP(Calculator!E23,tbSkills!DH3:DJ6,3,FALSE),0),0))&gt;=100,100,(Backdoors!AI12+IF(EE78&gt;=0.45,VLOOKUP(Calculator!E23,tbSkills!DH3:DI6,2,FALSE)+IF(AND(Calculator!B8=TRUE,Backdoors!BI22=TRUE),VLOOKUP(Calculator!E23,tbSkills!DH3:DJ6,3,FALSE),0),0)))/100)),1),1)</f>
        <v>0.4</v>
      </c>
      <c r="EK78" s="87">
        <f t="shared" si="70"/>
        <v>0</v>
      </c>
      <c r="EL78" s="86" t="str">
        <f>IFERROR(IF(VLOOKUP(A78,tbMoveset!A2:B112,2,FALSE)="Sever",Backdoors!AY23/100,IF(VLOOKUP(A78,tbMoveset!A2:B112,2,FALSE)="Blunt",Backdoors!AZ23/100,Backdoors!BA23/100)),"")</f>
        <v/>
      </c>
      <c r="EM78" s="49">
        <f>IFERROR(IF(VLOOKUP(tbMoveset!A78,tbMoveset!A2:H112,8,FALSE)="Other",IF(VLOOKUP(tbMoveset!A78,tbMoveset!A2:I112,9,FALSE)="Fire",Backdoors!BB23,IF(VLOOKUP(tbMoveset!A78,tbMoveset!A2:I112,9,FALSE)="Water",Backdoors!BC23,IF(VLOOKUP(tbMoveset!A78,tbMoveset!A2:I112,9,FALSE)="Thunder",Backdoors!BD23,IF(VLOOKUP(tbMoveset!A78,tbMoveset!A2:I112,9,FALSE)="Ice",Backdoors!BE23,IF(VLOOKUP(tbMoveset!A78,tbMoveset!A2:I112,9,FALSE)="Dragon",Backdoors!BF23,Backdoors!BG23)))))/100,Backdoors!BG23/100),"")</f>
        <v>0</v>
      </c>
      <c r="EN78" s="49">
        <f>IFERROR(IF(VLOOKUP(A78,tbMoveset!A2:J112,10,FALSE)=TRUE,IF((Backdoors!AI12+IF(EL78&gt;=0.45,VLOOKUP(Calculator!E23,tbSkills!DH3:DI6,2,FALSE)+IF(AND(Calculator!B8=TRUE,Backdoors!BI23=TRUE),VLOOKUP(Calculator!E23,tbSkills!DH3:DJ6,3,FALSE),0),0))&gt;=0,1+(Backdoors!AL2*(IF((Backdoors!AI12+IF(EL78&gt;=0.45,VLOOKUP(Calculator!E23,tbSkills!DH3:DI6,2,FALSE)+IF(AND(Calculator!B8=TRUE,Backdoors!BI23=TRUE),VLOOKUP(Calculator!E23,tbSkills!DH3:DJ6,3,FALSE),0),0))&gt;=100,100,(Backdoors!AI12+IF(EL78&gt;=0.45,VLOOKUP(Calculator!E23,tbSkills!DH3:DI6,2,FALSE)+IF(AND(Calculator!B8=TRUE,Backdoors!BI23=TRUE),VLOOKUP(Calculator!E23,tbSkills!DH3:DJ6,3,FALSE),0),0)))/100)),(1-(0.25*((-Backdoors!AI12-IF(EL78&gt;=0.45,VLOOKUP(Calculator!E23,tbSkills!DH3:DI6,2,FALSE)+IF(AND(Calculator!B8=TRUE,Backdoors!BI23=TRUE),VLOOKUP(Calculator!E23,tbSkills!DH3:DJ6,3,FALSE),0),0))/100)))),1),"")</f>
        <v>1</v>
      </c>
      <c r="EO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L78)*EN78)*(VLOOKUP(A78,tbMoveset!A2:C112,3,FALSE)/100)*IF(VLOOKUP(A78,tbMoveset!A2:B112,2,FALSE)="Projectile",Backdoors!N10,Backdoors!N9),0),"")</f>
        <v/>
      </c>
      <c r="EP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L78&gt;=0.45,VLOOKUP(Calculator!E23,tbSkills!DH3:DI6,2,FALSE)+IF(AND(Calculator!B8=TRUE,Backdoors!BI23=TRUE),VLOOKUP(Calculator!E23,tbSkills!DH3:DJ6,3,FALSE),0),0))&gt;=100,100,(Backdoors!AI12+IF(EL78&gt;=0.45,VLOOKUP(Calculator!E23,tbSkills!DH3:DI6,2,FALSE)+IF(AND(Calculator!B8=TRUE,Backdoors!BI23=TRUE),VLOOKUP(Calculator!E23,tbSkills!DH3:DJ6,3,FALSE),0),0)))/100)),1))*IF(VLOOKUP(A78,tbMoveset!A2:K112,11,FALSE)=TRUE,Backdoors!AC5,1))*EM78,0),"")</f>
        <v>0</v>
      </c>
      <c r="EQ78" s="49">
        <f>VLOOKUP(A78,tbMoveset!A2:G112,7,FALSE)*IFERROR(IF(Backdoors!AI12&gt;=0,1+(IF(Calculator!E40&gt;0,VLOOKUP(Calculator!E40,tbSkills!AI3:AJ5,2,FALSE),Backdoors!AL4)*(IF((Backdoors!AI12+IF(EL78&gt;=0.45,VLOOKUP(Calculator!E23,tbSkills!DH3:DI6,2,FALSE)+IF(AND(Calculator!B8=TRUE,Backdoors!BI23=TRUE),VLOOKUP(Calculator!E23,tbSkills!DH3:DJ6,3,FALSE),0),0))&gt;=100,100,(Backdoors!AI12+IF(EL78&gt;=0.45,VLOOKUP(Calculator!E23,tbSkills!DH3:DI6,2,FALSE)+IF(AND(Calculator!B8=TRUE,Backdoors!BI23=TRUE),VLOOKUP(Calculator!E23,tbSkills!DH3:DJ6,3,FALSE),0),0)))/100)),1),1)</f>
        <v>0.4</v>
      </c>
      <c r="ER78" s="87">
        <f t="shared" si="71"/>
        <v>0</v>
      </c>
      <c r="ES78" s="86" t="str">
        <f>IFERROR(IF(VLOOKUP(A78,tbMoveset!A2:B112,2,FALSE)="Sever",Backdoors!AY24/100,IF(VLOOKUP(A78,tbMoveset!A2:B112,2,FALSE)="Blunt",Backdoors!AZ24/100,Backdoors!BA24/100)),"")</f>
        <v/>
      </c>
      <c r="ET78" s="49">
        <f>IFERROR(IF(VLOOKUP(tbMoveset!A78,tbMoveset!A2:H112,8,FALSE)="Other",IF(VLOOKUP(tbMoveset!A78,tbMoveset!A2:I112,9,FALSE)="Fire",Backdoors!BB24,IF(VLOOKUP(tbMoveset!A78,tbMoveset!A2:I112,9,FALSE)="Water",Backdoors!BC24,IF(VLOOKUP(tbMoveset!A78,tbMoveset!A2:I112,9,FALSE)="Thunder",Backdoors!BD24,IF(VLOOKUP(tbMoveset!A78,tbMoveset!A2:I112,9,FALSE)="Ice",Backdoors!BE24,IF(VLOOKUP(tbMoveset!A78,tbMoveset!A2:I112,9,FALSE)="Dragon",Backdoors!BF24,Backdoors!BG24)))))/100,Backdoors!BG24/100),"")</f>
        <v>0</v>
      </c>
      <c r="EU78" s="49">
        <f>IFERROR(IF(VLOOKUP(A78,tbMoveset!A2:J112,10,FALSE)=TRUE,IF((Backdoors!AI12+IF(ES78&gt;=0.45,VLOOKUP(Calculator!E23,tbSkills!DH3:DI6,2,FALSE)+IF(AND(Calculator!B8=TRUE,Backdoors!BI24=TRUE),VLOOKUP(Calculator!E23,tbSkills!DH3:DJ6,3,FALSE),0),0))&gt;=0,1+(Backdoors!AL2*(IF((Backdoors!AI12+IF(ES78&gt;=0.45,VLOOKUP(Calculator!E23,tbSkills!DH3:DI6,2,FALSE)+IF(AND(Calculator!B8=TRUE,Backdoors!BI24=TRUE),VLOOKUP(Calculator!E23,tbSkills!DH3:DJ6,3,FALSE),0),0))&gt;=100,100,(Backdoors!AI12+IF(ES78&gt;=0.45,VLOOKUP(Calculator!E23,tbSkills!DH3:DI6,2,FALSE)+IF(AND(Calculator!B8=TRUE,Backdoors!BI24=TRUE),VLOOKUP(Calculator!E23,tbSkills!DH3:DJ6,3,FALSE),0),0)))/100)),(1-(0.25*((-Backdoors!AI12-IF(ES78&gt;=0.45,VLOOKUP(Calculator!E23,tbSkills!DH3:DI6,2,FALSE)+IF(AND(Calculator!B8=TRUE,Backdoors!BI24=TRUE),VLOOKUP(Calculator!E23,tbSkills!DH3:DJ6,3,FALSE),0),0))/100)))),1),"")</f>
        <v>1</v>
      </c>
      <c r="EV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S78)*EU78)*(VLOOKUP(A78,tbMoveset!A2:C112,3,FALSE)/100)*IF(VLOOKUP(A78,tbMoveset!A2:B112,2,FALSE)="Projectile",Backdoors!N10,Backdoors!N9),0),"")</f>
        <v/>
      </c>
      <c r="EW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S78&gt;=0.45,VLOOKUP(Calculator!E23,tbSkills!DH3:DI6,2,FALSE)+IF(AND(Calculator!B8=TRUE,Backdoors!BI24=TRUE),VLOOKUP(Calculator!E23,tbSkills!DH3:DJ6,3,FALSE),0),0))&gt;=100,100,(Backdoors!AI12+IF(ES78&gt;=0.45,VLOOKUP(Calculator!E23,tbSkills!DH3:DI6,2,FALSE)+IF(AND(Calculator!B8=TRUE,Backdoors!BI24=TRUE),VLOOKUP(Calculator!E23,tbSkills!DH3:DJ6,3,FALSE),0),0)))/100)),1))*IF(VLOOKUP(A78,tbMoveset!A2:K112,11,FALSE)=TRUE,Backdoors!AC5,1))*ET78,0),"")</f>
        <v>0</v>
      </c>
      <c r="EX78" s="49">
        <f>VLOOKUP(A78,tbMoveset!A2:G112,7,FALSE)*IFERROR(IF(Backdoors!AI12&gt;=0,1+(IF(Calculator!E40&gt;0,VLOOKUP(Calculator!E40,tbSkills!AI3:AJ5,2,FALSE),Backdoors!AL4)*(IF((Backdoors!AI12+IF(ES78&gt;=0.45,VLOOKUP(Calculator!E23,tbSkills!DH3:DI6,2,FALSE)+IF(AND(Calculator!B8=TRUE,Backdoors!BI24=TRUE),VLOOKUP(Calculator!E23,tbSkills!DH3:DJ6,3,FALSE),0),0))&gt;=100,100,(Backdoors!AI12+IF(ES78&gt;=0.45,VLOOKUP(Calculator!E23,tbSkills!DH3:DI6,2,FALSE)+IF(AND(Calculator!B8=TRUE,Backdoors!BI24=TRUE),VLOOKUP(Calculator!E23,tbSkills!DH3:DJ6,3,FALSE),0),0)))/100)),1),1)</f>
        <v>0.4</v>
      </c>
      <c r="EY78" s="87">
        <f t="shared" si="72"/>
        <v>0</v>
      </c>
      <c r="EZ78" s="86" t="str">
        <f>IFERROR(IF(VLOOKUP(A78,tbMoveset!A2:B112,2,FALSE)="Sever",Backdoors!AY25/100,IF(VLOOKUP(A78,tbMoveset!A2:B112,2,FALSE)="Blunt",Backdoors!AZ25/100,Backdoors!BA25/100)),"")</f>
        <v/>
      </c>
      <c r="FA78" s="49">
        <f>IFERROR(IF(VLOOKUP(tbMoveset!A78,tbMoveset!A2:H112,8,FALSE)="Other",IF(VLOOKUP(tbMoveset!A78,tbMoveset!A2:I112,9,FALSE)="Fire",Backdoors!BB25,IF(VLOOKUP(tbMoveset!A78,tbMoveset!A2:I112,9,FALSE)="Water",Backdoors!BC25,IF(VLOOKUP(tbMoveset!A78,tbMoveset!A2:I112,9,FALSE)="Thunder",Backdoors!BD25,IF(VLOOKUP(tbMoveset!A78,tbMoveset!A2:I112,9,FALSE)="Ice",Backdoors!BE25,IF(VLOOKUP(tbMoveset!A78,tbMoveset!A2:I112,9,FALSE)="Dragon",Backdoors!BF25,Backdoors!BG25)))))/100,Backdoors!BG25/100),"")</f>
        <v>0</v>
      </c>
      <c r="FB78" s="49">
        <f>IFERROR(IF(VLOOKUP(A78,tbMoveset!A2:J112,10,FALSE)=TRUE,IF((Backdoors!AI12+IF(EZ78&gt;=0.45,VLOOKUP(Calculator!E23,tbSkills!DH3:DI6,2,FALSE)+IF(AND(Calculator!B8=TRUE,Backdoors!BI25=TRUE),VLOOKUP(Calculator!E23,tbSkills!DH3:DJ6,3,FALSE),0),0))&gt;=0,1+(Backdoors!AL2*(IF((Backdoors!AI12+IF(EZ78&gt;=0.45,VLOOKUP(Calculator!E23,tbSkills!DH3:DI6,2,FALSE)+IF(AND(Calculator!B8=TRUE,Backdoors!BI25=TRUE),VLOOKUP(Calculator!E23,tbSkills!DH3:DJ6,3,FALSE),0),0))&gt;=100,100,(Backdoors!AI12+IF(EZ78&gt;=0.45,VLOOKUP(Calculator!E23,tbSkills!DH3:DI6,2,FALSE)+IF(AND(Calculator!B8=TRUE,Backdoors!BI25=TRUE),VLOOKUP(Calculator!E23,tbSkills!DH3:DJ6,3,FALSE),0),0)))/100)),(1-(0.25*((-Backdoors!AI12-IF(EZ78&gt;=0.45,VLOOKUP(Calculator!E23,tbSkills!DH3:DI6,2,FALSE)+IF(AND(Calculator!B8=TRUE,Backdoors!BI25=TRUE),VLOOKUP(Calculator!E23,tbSkills!DH3:DJ6,3,FALSE),0),0))/100)))),1),"")</f>
        <v>1</v>
      </c>
      <c r="FC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Z78)*FB78)*(VLOOKUP(A78,tbMoveset!A2:C112,3,FALSE)/100)*IF(VLOOKUP(A78,tbMoveset!A2:B112,2,FALSE)="Projectile",Backdoors!N10,Backdoors!N9),0),"")</f>
        <v/>
      </c>
      <c r="FD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Z78&gt;=0.45,VLOOKUP(Calculator!E23,tbSkills!DH3:DI6,2,FALSE)+IF(AND(Calculator!B8=TRUE,Backdoors!BI25=TRUE),VLOOKUP(Calculator!E23,tbSkills!DH3:DJ6,3,FALSE),0),0))&gt;=100,100,(Backdoors!AI12+IF(EZ78&gt;=0.45,VLOOKUP(Calculator!E23,tbSkills!DH3:DI6,2,FALSE)+IF(AND(Calculator!B8=TRUE,Backdoors!BI25=TRUE),VLOOKUP(Calculator!E23,tbSkills!DH3:DJ6,3,FALSE),0),0)))/100)),1))*IF(VLOOKUP(A78,tbMoveset!A2:K112,11,FALSE)=TRUE,Backdoors!AC5,1))*FA78,0),"")</f>
        <v>0</v>
      </c>
      <c r="FE78" s="49">
        <f>VLOOKUP(A78,tbMoveset!A2:G112,7,FALSE)*IFERROR(IF(Backdoors!AI12&gt;=0,1+(IF(Calculator!E40&gt;0,VLOOKUP(Calculator!E40,tbSkills!AI3:AJ5,2,FALSE),Backdoors!AL4)*(IF((Backdoors!AI12+IF(EZ78&gt;=0.45,VLOOKUP(Calculator!E23,tbSkills!DH3:DI6,2,FALSE)+IF(AND(Calculator!B8=TRUE,Backdoors!BI25=TRUE),VLOOKUP(Calculator!E23,tbSkills!DH3:DJ6,3,FALSE),0),0))&gt;=100,100,(Backdoors!AI12+IF(EZ78&gt;=0.45,VLOOKUP(Calculator!E23,tbSkills!DH3:DI6,2,FALSE)+IF(AND(Calculator!B8=TRUE,Backdoors!BI25=TRUE),VLOOKUP(Calculator!E23,tbSkills!DH3:DJ6,3,FALSE),0),0)))/100)),1),1)</f>
        <v>0.4</v>
      </c>
      <c r="FF78" s="87">
        <f t="shared" si="73"/>
        <v>0</v>
      </c>
      <c r="FG78" s="86" t="str">
        <f>IFERROR(IF(VLOOKUP(A78,tbMoveset!A2:B112,2,FALSE)="Sever",Backdoors!AY26/100,IF(VLOOKUP(A78,tbMoveset!A2:B112,2,FALSE)="Blunt",Backdoors!AZ26/100,Backdoors!BA26/100)),"")</f>
        <v/>
      </c>
      <c r="FH78" s="49">
        <f>IFERROR(IF(VLOOKUP(tbMoveset!A78,tbMoveset!A2:H112,8,FALSE)="Other",IF(VLOOKUP(tbMoveset!A78,tbMoveset!A2:I112,9,FALSE)="Fire",Backdoors!BB26,IF(VLOOKUP(tbMoveset!A78,tbMoveset!A2:I112,9,FALSE)="Water",Backdoors!BC26,IF(VLOOKUP(tbMoveset!A78,tbMoveset!A2:I112,9,FALSE)="Thunder",Backdoors!BD26,IF(VLOOKUP(tbMoveset!A78,tbMoveset!A2:I112,9,FALSE)="Ice",Backdoors!BE26,IF(VLOOKUP(tbMoveset!A78,tbMoveset!A2:I112,9,FALSE)="Dragon",Backdoors!BF26,Backdoors!BG26)))))/100,Backdoors!BG26/100),"")</f>
        <v>0</v>
      </c>
      <c r="FI78" s="49">
        <f>IFERROR(IF(VLOOKUP(A78,tbMoveset!A2:J112,10,FALSE)=TRUE,IF((Backdoors!AI12+IF(FG78&gt;=0.45,VLOOKUP(Calculator!E23,tbSkills!DH3:DI6,2,FALSE)+IF(AND(Calculator!B8=TRUE,Backdoors!BI26=TRUE),VLOOKUP(Calculator!E23,tbSkills!DH3:DJ6,3,FALSE),0),0))&gt;=0,1+(Backdoors!AL2*(IF((Backdoors!AI12+IF(FG78&gt;=0.45,VLOOKUP(Calculator!E23,tbSkills!DH3:DI6,2,FALSE)+IF(AND(Calculator!B8=TRUE,Backdoors!BI26=TRUE),VLOOKUP(Calculator!E23,tbSkills!DH3:DJ6,3,FALSE),0),0))&gt;=100,100,(Backdoors!AI12+IF(FG78&gt;=0.45,VLOOKUP(Calculator!E23,tbSkills!DH3:DI6,2,FALSE)+IF(AND(Calculator!B8=TRUE,Backdoors!BI26=TRUE),VLOOKUP(Calculator!E23,tbSkills!DH3:DJ6,3,FALSE),0),0)))/100)),(1-(0.25*((-Backdoors!AI12-IF(FG78&gt;=0.45,VLOOKUP(Calculator!E23,tbSkills!DH3:DI6,2,FALSE)+IF(AND(Calculator!B8=TRUE,Backdoors!BI26=TRUE),VLOOKUP(Calculator!E23,tbSkills!DH3:DJ6,3,FALSE),0),0))/100)))),1),"")</f>
        <v>1</v>
      </c>
      <c r="FJ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FG78)*FI78)*(VLOOKUP(A78,tbMoveset!A2:C112,3,FALSE)/100)*IF(VLOOKUP(A78,tbMoveset!A2:B112,2,FALSE)="Projectile",Backdoors!N10,Backdoors!N9),0),"")</f>
        <v/>
      </c>
      <c r="FK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FG78&gt;=0.45,VLOOKUP(Calculator!E23,tbSkills!DH3:DI6,2,FALSE)+IF(AND(Calculator!B8=TRUE,Backdoors!BI26=TRUE),VLOOKUP(Calculator!E23,tbSkills!DH3:DJ6,3,FALSE),0),0))&gt;=100,100,(Backdoors!AI12+IF(FG78&gt;=0.45,VLOOKUP(Calculator!E23,tbSkills!DH3:DI6,2,FALSE)+IF(AND(Calculator!B8=TRUE,Backdoors!BI26=TRUE),VLOOKUP(Calculator!E23,tbSkills!DH3:DJ6,3,FALSE),0),0)))/100)),1))*IF(VLOOKUP(A78,tbMoveset!A2:K112,11,FALSE)=TRUE,Backdoors!AC5,1))*FH78,0),"")</f>
        <v>0</v>
      </c>
      <c r="FL78" s="49">
        <f>VLOOKUP(A78,tbMoveset!A2:G112,7,FALSE)*IFERROR(IF(Backdoors!AI12&gt;=0,1+(IF(Calculator!E40&gt;0,VLOOKUP(Calculator!E40,tbSkills!AI3:AJ5,2,FALSE),Backdoors!AL4)*(IF((Backdoors!AI12+IF(FG78&gt;=0.45,VLOOKUP(Calculator!E23,tbSkills!DH3:DI6,2,FALSE)+IF(AND(Calculator!B8=TRUE,Backdoors!BI26=TRUE),VLOOKUP(Calculator!E23,tbSkills!DH3:DJ6,3,FALSE),0),0))&gt;=100,100,(Backdoors!AI12+IF(FG78&gt;=0.45,VLOOKUP(Calculator!E23,tbSkills!DH3:DI6,2,FALSE)+IF(AND(Calculator!B8=TRUE,Backdoors!BI26=TRUE),VLOOKUP(Calculator!E23,tbSkills!DH3:DJ6,3,FALSE),0),0)))/100)),1),1)</f>
        <v>0.4</v>
      </c>
      <c r="FM78" s="87">
        <f t="shared" si="74"/>
        <v>0</v>
      </c>
      <c r="FN78" s="86" t="str">
        <f>IFERROR(IF(VLOOKUP(A78,tbMoveset!A2:B112,2,FALSE)="Sever",Backdoors!AY27/100,IF(VLOOKUP(A78,tbMoveset!A2:B112,2,FALSE)="Blunt",Backdoors!AZ27/100,Backdoors!BA27/100)),"")</f>
        <v/>
      </c>
      <c r="FO78" s="49">
        <f>IFERROR(IF(VLOOKUP(tbMoveset!A78,tbMoveset!A2:H112,8,FALSE)="Other",IF(VLOOKUP(tbMoveset!A78,tbMoveset!A2:I112,9,FALSE)="Fire",Backdoors!BB27,IF(VLOOKUP(tbMoveset!A78,tbMoveset!A2:I112,9,FALSE)="Water",Backdoors!BC27,IF(VLOOKUP(tbMoveset!A78,tbMoveset!A2:I112,9,FALSE)="Thunder",Backdoors!BD27,IF(VLOOKUP(tbMoveset!A78,tbMoveset!A2:I112,9,FALSE)="Ice",Backdoors!BE27,IF(VLOOKUP(tbMoveset!A78,tbMoveset!A2:I112,9,FALSE)="Dragon",Backdoors!BF27,Backdoors!BG27)))))/100,Backdoors!BG27/100),"")</f>
        <v>0</v>
      </c>
      <c r="FP78" s="49">
        <f>IFERROR(IF(VLOOKUP(A78,tbMoveset!A2:J112,10,FALSE)=TRUE,IF((Backdoors!AI12+IF(FN78&gt;=0.45,VLOOKUP(Calculator!E23,tbSkills!DH3:DI6,2,FALSE)+IF(AND(Calculator!B8=TRUE,Backdoors!BI27=TRUE),VLOOKUP(Calculator!E23,tbSkills!DH3:DJ6,3,FALSE),0),0))&gt;=0,1+(Backdoors!AL2*(IF((Backdoors!AI12+IF(FN78&gt;=0.45,VLOOKUP(Calculator!E23,tbSkills!DH3:DI6,2,FALSE)+IF(AND(Calculator!B8=TRUE,Backdoors!BI27=TRUE),VLOOKUP(Calculator!E23,tbSkills!DH3:DJ6,3,FALSE),0),0))&gt;=100,100,(Backdoors!AI12+IF(FN78&gt;=0.45,VLOOKUP(Calculator!E23,tbSkills!DH3:DI6,2,FALSE)+IF(AND(Calculator!B8=TRUE,Backdoors!BI27=TRUE),VLOOKUP(Calculator!E23,tbSkills!DH3:DJ6,3,FALSE),0),0)))/100)),(1-(0.25*((-Backdoors!AI12-IF(FN78&gt;=0.45,VLOOKUP(Calculator!E23,tbSkills!DH3:DI6,2,FALSE)+IF(AND(Calculator!B8=TRUE,Backdoors!BI27=TRUE),VLOOKUP(Calculator!E23,tbSkills!DH3:DJ6,3,FALSE),0),0))/100)))),1),"")</f>
        <v>1</v>
      </c>
      <c r="FQ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FN78)*FP78)*(VLOOKUP(A78,tbMoveset!A2:C112,3,FALSE)/100)*IF(VLOOKUP(A78,tbMoveset!A2:B112,2,FALSE)="Projectile",Backdoors!N10,Backdoors!N9),0),"")</f>
        <v/>
      </c>
      <c r="FR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FN78&gt;=0.45,VLOOKUP(Calculator!E23,tbSkills!DH3:DI6,2,FALSE)+IF(AND(Calculator!B8=TRUE,Backdoors!BI27=TRUE),VLOOKUP(Calculator!E23,tbSkills!DH3:DJ6,3,FALSE),0),0))&gt;=100,100,(Backdoors!AI12+IF(FN78&gt;=0.45,VLOOKUP(Calculator!E23,tbSkills!DH3:DI6,2,FALSE)+IF(AND(Calculator!B8=TRUE,Backdoors!BI27=TRUE),VLOOKUP(Calculator!E23,tbSkills!DH3:DJ6,3,FALSE),0),0)))/100)),1))*IF(VLOOKUP(A78,tbMoveset!A2:K112,11,FALSE)=TRUE,Backdoors!AC5,1))*FO78,0),"")</f>
        <v>0</v>
      </c>
      <c r="FS78" s="49">
        <f>VLOOKUP(A78,tbMoveset!A2:G112,7,FALSE)*IFERROR(IF(Backdoors!AI12&gt;=0,1+(IF(Calculator!E40&gt;0,VLOOKUP(Calculator!E40,tbSkills!AI3:AJ5,2,FALSE),Backdoors!AL4)*(IF((Backdoors!AI12+IF(FN78&gt;=0.45,VLOOKUP(Calculator!E23,tbSkills!DH3:DI6,2,FALSE)+IF(AND(Calculator!B8=TRUE,Backdoors!BI27=TRUE),VLOOKUP(Calculator!E23,tbSkills!DH3:DJ6,3,FALSE),0),0))&gt;=100,100,(Backdoors!AI12+IF(FN78&gt;=0.45,VLOOKUP(Calculator!E23,tbSkills!DH3:DI6,2,FALSE)+IF(AND(Calculator!B8=TRUE,Backdoors!BI27=TRUE),VLOOKUP(Calculator!E23,tbSkills!DH3:DJ6,3,FALSE),0),0)))/100)),1),1)</f>
        <v>0.4</v>
      </c>
      <c r="FT78" s="87">
        <f t="shared" si="75"/>
        <v>0</v>
      </c>
      <c r="FU78" s="86" t="str">
        <f>IFERROR(IF(VLOOKUP(A78,tbMoveset!A2:B112,2,FALSE)="Sever",Backdoors!AY28/100,IF(VLOOKUP(A78,tbMoveset!A2:B112,2,FALSE)="Blunt",Backdoors!AZ28/100,Backdoors!BA28/100)),"")</f>
        <v/>
      </c>
      <c r="FV78" s="49">
        <f>IFERROR(IF(VLOOKUP(tbMoveset!A78,tbMoveset!A2:H112,8,FALSE)="Other",IF(VLOOKUP(tbMoveset!A78,tbMoveset!A2:I112,9,FALSE)="Fire",Backdoors!BB28,IF(VLOOKUP(tbMoveset!A78,tbMoveset!A2:I112,9,FALSE)="Water",Backdoors!BC28,IF(VLOOKUP(tbMoveset!A78,tbMoveset!A2:I112,9,FALSE)="Thunder",Backdoors!BD28,IF(VLOOKUP(tbMoveset!A78,tbMoveset!A2:I112,9,FALSE)="Ice",Backdoors!BE28,IF(VLOOKUP(tbMoveset!A78,tbMoveset!A2:I112,9,FALSE)="Dragon",Backdoors!BF28,Backdoors!BG28)))))/100,Backdoors!BG28/100),"")</f>
        <v>0</v>
      </c>
      <c r="FW78" s="49">
        <f>IFERROR(IF(VLOOKUP(A78,tbMoveset!A2:J112,10,FALSE)=TRUE,IF((Backdoors!AI12+IF(FU78&gt;=0.45,VLOOKUP(Calculator!E23,tbSkills!DH3:DI6,2,FALSE)+IF(AND(Calculator!B8=TRUE,Backdoors!BI28=TRUE),VLOOKUP(Calculator!E23,tbSkills!DH3:DJ6,3,FALSE),0),0))&gt;=0,1+(Backdoors!AL2*(IF((Backdoors!AI12+IF(FU78&gt;=0.45,VLOOKUP(Calculator!E23,tbSkills!DH3:DI6,2,FALSE)+IF(AND(Calculator!B8=TRUE,Backdoors!BI28=TRUE),VLOOKUP(Calculator!E23,tbSkills!DH3:DJ6,3,FALSE),0),0))&gt;=100,100,(Backdoors!AI12+IF(FU78&gt;=0.45,VLOOKUP(Calculator!E23,tbSkills!DH3:DI6,2,FALSE)+IF(AND(Calculator!B8=TRUE,Backdoors!BI28=TRUE),VLOOKUP(Calculator!E23,tbSkills!DH3:DJ6,3,FALSE),0),0)))/100)),(1-(0.25*((-Backdoors!AI12-IF(FU78&gt;=0.45,VLOOKUP(Calculator!E23,tbSkills!DH3:DI6,2,FALSE)+IF(AND(Calculator!B8=TRUE,Backdoors!BI28=TRUE),VLOOKUP(Calculator!E23,tbSkills!DH3:DJ6,3,FALSE),0),0))/100)))),1),"")</f>
        <v>1</v>
      </c>
      <c r="FX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FU78)*FW78)*(VLOOKUP(A78,tbMoveset!A2:C112,3,FALSE)/100)*IF(VLOOKUP(A78,tbMoveset!A2:B112,2,FALSE)="Projectile",Backdoors!N10,Backdoors!N9),0),"")</f>
        <v/>
      </c>
      <c r="FY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FU78&gt;=0.45,VLOOKUP(Calculator!E23,tbSkills!DH3:DI6,2,FALSE)+IF(AND(Calculator!B8=TRUE,Backdoors!BI28=TRUE),VLOOKUP(Calculator!E23,tbSkills!DH3:DJ6,3,FALSE),0),0))&gt;=100,100,(Backdoors!AI12+IF(FU78&gt;=0.45,VLOOKUP(Calculator!E23,tbSkills!DH3:DI6,2,FALSE)+IF(AND(Calculator!B8=TRUE,Backdoors!BI28=TRUE),VLOOKUP(Calculator!E23,tbSkills!DH3:DJ6,3,FALSE),0),0)))/100)),1))*IF(VLOOKUP(A78,tbMoveset!A2:K112,11,FALSE)=TRUE,Backdoors!AC5,1))*FV78,0),"")</f>
        <v>0</v>
      </c>
      <c r="FZ78" s="49">
        <f>VLOOKUP(A78,tbMoveset!A2:G112,7,FALSE)*IFERROR(IF(Backdoors!AI12&gt;=0,1+(IF(Calculator!E40&gt;0,VLOOKUP(Calculator!E40,tbSkills!AI3:AJ5,2,FALSE),Backdoors!AL4)*(IF((Backdoors!AI12+IF(FU78&gt;=0.45,VLOOKUP(Calculator!E23,tbSkills!DH3:DI6,2,FALSE)+IF(AND(Calculator!B8=TRUE,Backdoors!BI28=TRUE),VLOOKUP(Calculator!E23,tbSkills!DH3:DJ6,3,FALSE),0),0))&gt;=100,100,(Backdoors!AI12+IF(FU78&gt;=0.45,VLOOKUP(Calculator!E23,tbSkills!DH3:DI6,2,FALSE)+IF(AND(Calculator!B8=TRUE,Backdoors!BI28=TRUE),VLOOKUP(Calculator!E23,tbSkills!DH3:DJ6,3,FALSE),0),0)))/100)),1),1)</f>
        <v>0.4</v>
      </c>
      <c r="GA78" s="87">
        <f t="shared" si="76"/>
        <v>0</v>
      </c>
      <c r="GB78" s="86" t="str">
        <f>IFERROR(IF(VLOOKUP(A78,tbMoveset!A2:B112,2,FALSE)="Sever",Backdoors!AY29/100,IF(VLOOKUP(A78,tbMoveset!A2:B112,2,FALSE)="Blunt",Backdoors!AZ29/100,Backdoors!BA29/100)),"")</f>
        <v/>
      </c>
      <c r="GC78" s="49">
        <f>IFERROR(IF(VLOOKUP(tbMoveset!A78,tbMoveset!A2:H112,8,FALSE)="Other",IF(VLOOKUP(tbMoveset!A78,tbMoveset!A2:I112,9,FALSE)="Fire",Backdoors!BB29,IF(VLOOKUP(tbMoveset!A78,tbMoveset!A2:I112,9,FALSE)="Water",Backdoors!BC29,IF(VLOOKUP(tbMoveset!A78,tbMoveset!A2:I112,9,FALSE)="Thunder",Backdoors!BD29,IF(VLOOKUP(tbMoveset!A78,tbMoveset!A2:I112,9,FALSE)="Ice",Backdoors!BE29,IF(VLOOKUP(tbMoveset!A78,tbMoveset!A2:I112,9,FALSE)="Dragon",Backdoors!BF29,Backdoors!BG29)))))/100,Backdoors!BG29/100),"")</f>
        <v>0</v>
      </c>
      <c r="GD78" s="49">
        <f>IFERROR(IF(VLOOKUP(A78,tbMoveset!A2:J112,10,FALSE)=TRUE,IF((Backdoors!AI12+IF(GB78&gt;=0.45,VLOOKUP(Calculator!E23,tbSkills!DH3:DI6,2,FALSE)+IF(AND(Calculator!B8=TRUE,Backdoors!BI29=TRUE),VLOOKUP(Calculator!E23,tbSkills!DH3:DJ6,3,FALSE),0),0))&gt;=0,1+(Backdoors!AL2*(IF((Backdoors!AI12+IF(GB78&gt;=0.45,VLOOKUP(Calculator!E23,tbSkills!DH3:DI6,2,FALSE)+IF(AND(Calculator!B8=TRUE,Backdoors!BI29=TRUE),VLOOKUP(Calculator!E23,tbSkills!DH3:DJ6,3,FALSE),0),0))&gt;=100,100,(Backdoors!AI12+IF(GB78&gt;=0.45,VLOOKUP(Calculator!E23,tbSkills!DH3:DI6,2,FALSE)+IF(AND(Calculator!B8=TRUE,Backdoors!BI29=TRUE),VLOOKUP(Calculator!E23,tbSkills!DH3:DJ6,3,FALSE),0),0)))/100)),(1-(0.25*((-Backdoors!AI12-IF(GB78&gt;=0.45,VLOOKUP(Calculator!E23,tbSkills!DH3:DI6,2,FALSE)+IF(AND(Calculator!B8=TRUE,Backdoors!BI29=TRUE),VLOOKUP(Calculator!E23,tbSkills!DH3:DJ6,3,FALSE),0),0))/100)))),1),"")</f>
        <v>1</v>
      </c>
      <c r="GE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B78)*GD78)*(VLOOKUP(A78,tbMoveset!A2:C112,3,FALSE)/100)*IF(VLOOKUP(A78,tbMoveset!A2:B112,2,FALSE)="Projectile",Backdoors!N10,Backdoors!N9),0),"")</f>
        <v/>
      </c>
      <c r="GF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B78&gt;=0.45,VLOOKUP(Calculator!E23,tbSkills!DH3:DI6,2,FALSE)+IF(AND(Calculator!B8=TRUE,Backdoors!BI29=TRUE),VLOOKUP(Calculator!E23,tbSkills!DH3:DJ6,3,FALSE),0),0))&gt;=100,100,(Backdoors!AI12+IF(GB78&gt;=0.45,VLOOKUP(Calculator!E23,tbSkills!DH3:DI6,2,FALSE)+IF(AND(Calculator!B8=TRUE,Backdoors!BI29=TRUE),VLOOKUP(Calculator!E23,tbSkills!DH3:DJ6,3,FALSE),0),0)))/100)),1))*IF(VLOOKUP(A78,tbMoveset!A2:K112,11,FALSE)=TRUE,Backdoors!AC5,1))*GC78,0),"")</f>
        <v>0</v>
      </c>
      <c r="GG78" s="49">
        <f>VLOOKUP(A78,tbMoveset!A2:G112,7,FALSE)*IFERROR(IF(Backdoors!AI12&gt;=0,1+(IF(Calculator!E40&gt;0,VLOOKUP(Calculator!E40,tbSkills!AI3:AJ5,2,FALSE),Backdoors!AL4)*(IF((Backdoors!AI12+IF(GB78&gt;=0.45,VLOOKUP(Calculator!E23,tbSkills!DH3:DI6,2,FALSE)+IF(AND(Calculator!B8=TRUE,Backdoors!BI29=TRUE),VLOOKUP(Calculator!E23,tbSkills!DH3:DJ6,3,FALSE),0),0))&gt;=100,100,(Backdoors!AI12+IF(GB78&gt;=0.45,VLOOKUP(Calculator!E23,tbSkills!DH3:DI6,2,FALSE)+IF(AND(Calculator!B8=TRUE,Backdoors!BI29=TRUE),VLOOKUP(Calculator!E23,tbSkills!DH3:DJ6,3,FALSE),0),0)))/100)),1),1)</f>
        <v>0.4</v>
      </c>
      <c r="GH78" s="87">
        <f t="shared" si="77"/>
        <v>0</v>
      </c>
      <c r="GI78" s="86" t="str">
        <f>IFERROR(IF(VLOOKUP(A78,tbMoveset!A2:B112,2,FALSE)="Sever",Backdoors!AY30/100,IF(VLOOKUP(A78,tbMoveset!A2:B112,2,FALSE)="Blunt",Backdoors!AZ30/100,Backdoors!BA30/100)),"")</f>
        <v/>
      </c>
      <c r="GJ78" s="49">
        <f>IFERROR(IF(VLOOKUP(tbMoveset!A78,tbMoveset!A2:H112,8,FALSE)="Other",IF(VLOOKUP(tbMoveset!A78,tbMoveset!A2:I112,9,FALSE)="Fire",Backdoors!BB30,IF(VLOOKUP(tbMoveset!A78,tbMoveset!A2:I112,9,FALSE)="Water",Backdoors!BC30,IF(VLOOKUP(tbMoveset!A78,tbMoveset!A2:I112,9,FALSE)="Thunder",Backdoors!BD30,IF(VLOOKUP(tbMoveset!A78,tbMoveset!A2:I112,9,FALSE)="Ice",Backdoors!BE30,IF(VLOOKUP(tbMoveset!A78,tbMoveset!A2:I112,9,FALSE)="Dragon",Backdoors!BF30,Backdoors!BG30)))))/100,Backdoors!BG30/100),"")</f>
        <v>0</v>
      </c>
      <c r="GK78" s="49">
        <f>IFERROR(IF(VLOOKUP(A78,tbMoveset!A2:J112,10,FALSE)=TRUE,IF((Backdoors!AI12+IF(GI78&gt;=0.45,VLOOKUP(Calculator!E23,tbSkills!DH3:DI6,2,FALSE)+IF(AND(Calculator!B8=TRUE,Backdoors!BI30=TRUE),VLOOKUP(Calculator!E23,tbSkills!DH3:DJ6,3,FALSE),0),0))&gt;=0,1+(Backdoors!AL2*(IF((Backdoors!AI12+IF(GI78&gt;=0.45,VLOOKUP(Calculator!E23,tbSkills!DH3:DI6,2,FALSE)+IF(AND(Calculator!B8=TRUE,Backdoors!BI30=TRUE),VLOOKUP(Calculator!E23,tbSkills!DH3:DJ6,3,FALSE),0),0))&gt;=100,100,(Backdoors!AI12+IF(GI78&gt;=0.45,VLOOKUP(Calculator!E23,tbSkills!DH3:DI6,2,FALSE)+IF(AND(Calculator!B8=TRUE,Backdoors!BI30=TRUE),VLOOKUP(Calculator!E23,tbSkills!DH3:DJ6,3,FALSE),0),0)))/100)),(1-(0.25*((-Backdoors!AI12-IF(GI78&gt;=0.45,VLOOKUP(Calculator!E23,tbSkills!DH3:DI6,2,FALSE)+IF(AND(Calculator!B8=TRUE,Backdoors!BI30=TRUE),VLOOKUP(Calculator!E23,tbSkills!DH3:DJ6,3,FALSE),0),0))/100)))),1),"")</f>
        <v>1</v>
      </c>
      <c r="GL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I78)*GK78)*(VLOOKUP(A78,tbMoveset!A2:C112,3,FALSE)/100)*IF(VLOOKUP(A78,tbMoveset!A2:B112,2,FALSE)="Projectile",Backdoors!N10,Backdoors!N9),0),"")</f>
        <v/>
      </c>
      <c r="GM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I78&gt;=0.45,VLOOKUP(Calculator!E23,tbSkills!DH3:DI6,2,FALSE)+IF(AND(Calculator!B8=TRUE,Backdoors!BI30=TRUE),VLOOKUP(Calculator!E23,tbSkills!DH3:DJ6,3,FALSE),0),0))&gt;=100,100,(Backdoors!AI12+IF(GI78&gt;=0.45,VLOOKUP(Calculator!E23,tbSkills!DH3:DI6,2,FALSE)+IF(AND(Calculator!B8=TRUE,Backdoors!BI30=TRUE),VLOOKUP(Calculator!E23,tbSkills!DH3:DJ6,3,FALSE),0),0)))/100)),1))*IF(VLOOKUP(A78,tbMoveset!A2:K112,11,FALSE)=TRUE,Backdoors!AC5,1))*GJ78,0),"")</f>
        <v>0</v>
      </c>
      <c r="GN78" s="49">
        <f>VLOOKUP(A78,tbMoveset!A2:G112,7,FALSE)*IFERROR(IF(Backdoors!AI12&gt;=0,1+(IF(Calculator!E40&gt;0,VLOOKUP(Calculator!E40,tbSkills!AI3:AJ5,2,FALSE),Backdoors!AL4)*(IF((Backdoors!AI12+IF(GI78&gt;=0.45,VLOOKUP(Calculator!E23,tbSkills!DH3:DI6,2,FALSE)+IF(AND(Calculator!B8=TRUE,Backdoors!BI30=TRUE),VLOOKUP(Calculator!E23,tbSkills!DH3:DJ6,3,FALSE),0),0))&gt;=100,100,(Backdoors!AI12+IF(GI78&gt;=0.45,VLOOKUP(Calculator!E23,tbSkills!DH3:DI6,2,FALSE)+IF(AND(Calculator!B8=TRUE,Backdoors!BI30=TRUE),VLOOKUP(Calculator!E23,tbSkills!DH3:DJ6,3,FALSE),0),0)))/100)),1),1)</f>
        <v>0.4</v>
      </c>
      <c r="GO78" s="87">
        <f t="shared" si="78"/>
        <v>0</v>
      </c>
      <c r="GP78" s="86" t="str">
        <f>IFERROR(IF(VLOOKUP(A78,tbMoveset!A2:B112,2,FALSE)="Sever",Backdoors!AY31/100,IF(VLOOKUP(A78,tbMoveset!A2:B112,2,FALSE)="Blunt",Backdoors!AZ31/100,Backdoors!BA31/100)),"")</f>
        <v/>
      </c>
      <c r="GQ78" s="49">
        <f>IFERROR(IF(VLOOKUP(tbMoveset!A78,tbMoveset!A2:H112,8,FALSE)="Other",IF(VLOOKUP(tbMoveset!A78,tbMoveset!A2:I112,9,FALSE)="Fire",Backdoors!BB31,IF(VLOOKUP(tbMoveset!A78,tbMoveset!A2:I112,9,FALSE)="Water",Backdoors!BC31,IF(VLOOKUP(tbMoveset!A78,tbMoveset!A2:I112,9,FALSE)="Thunder",Backdoors!BD31,IF(VLOOKUP(tbMoveset!A78,tbMoveset!A2:I112,9,FALSE)="Ice",Backdoors!BE31,IF(VLOOKUP(tbMoveset!A78,tbMoveset!A2:I112,9,FALSE)="Dragon",Backdoors!BF31,Backdoors!BG31)))))/100,Backdoors!BG31/100),"")</f>
        <v>0</v>
      </c>
      <c r="GR78" s="49">
        <f>IFERROR(IF(VLOOKUP(A78,tbMoveset!A2:J112,10,FALSE)=TRUE,IF((Backdoors!AI12+IF(GP78&gt;=0.45,VLOOKUP(Calculator!E23,tbSkills!DH3:DI6,2,FALSE)+IF(AND(Calculator!B8=TRUE,Backdoors!BI31=TRUE),VLOOKUP(Calculator!E23,tbSkills!DH3:DJ6,3,FALSE),0),0))&gt;=0,1+(Backdoors!AL2*(IF((Backdoors!AI12+IF(GP78&gt;=0.45,VLOOKUP(Calculator!E23,tbSkills!DH3:DI6,2,FALSE)+IF(AND(Calculator!B8=TRUE,Backdoors!BI31=TRUE),VLOOKUP(Calculator!E23,tbSkills!DH3:DJ6,3,FALSE),0),0))&gt;=100,100,(Backdoors!AI12+IF(GP78&gt;=0.45,VLOOKUP(Calculator!E23,tbSkills!DH3:DI6,2,FALSE)+IF(AND(Calculator!B8=TRUE,Backdoors!BI31=TRUE),VLOOKUP(Calculator!E23,tbSkills!DH3:DJ6,3,FALSE),0),0)))/100)),(1-(0.25*((-Backdoors!AI12-IF(GP78&gt;=0.45,VLOOKUP(Calculator!E23,tbSkills!DH3:DI6,2,FALSE)+IF(AND(Calculator!B8=TRUE,Backdoors!BI31=TRUE),VLOOKUP(Calculator!E23,tbSkills!DH3:DJ6,3,FALSE),0),0))/100)))),1),"")</f>
        <v>1</v>
      </c>
      <c r="GS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P78)*GR78)*(VLOOKUP(A78,tbMoveset!A2:C112,3,FALSE)/100)*IF(VLOOKUP(A78,tbMoveset!A2:B112,2,FALSE)="Projectile",Backdoors!N10,Backdoors!N9),0),"")</f>
        <v/>
      </c>
      <c r="GT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P78&gt;=0.45,VLOOKUP(Calculator!E23,tbSkills!DH3:DI6,2,FALSE)+IF(AND(Calculator!B8=TRUE,Backdoors!BI31=TRUE),VLOOKUP(Calculator!E23,tbSkills!DH3:DJ6,3,FALSE),0),0))&gt;=100,100,(Backdoors!AI12+IF(GP78&gt;=0.45,VLOOKUP(Calculator!E23,tbSkills!DH3:DI6,2,FALSE)+IF(AND(Calculator!B8=TRUE,Backdoors!BI31=TRUE),VLOOKUP(Calculator!E23,tbSkills!DH3:DJ6,3,FALSE),0),0)))/100)),1))*IF(VLOOKUP(A78,tbMoveset!A2:K112,11,FALSE)=TRUE,Backdoors!AC5,1))*GQ78,0),"")</f>
        <v>0</v>
      </c>
      <c r="GU78" s="49">
        <f>VLOOKUP(A78,tbMoveset!A2:G112,7,FALSE)*IFERROR(IF(Backdoors!AI12&gt;=0,1+(IF(Calculator!E40&gt;0,VLOOKUP(Calculator!E40,tbSkills!AI3:AJ5,2,FALSE),Backdoors!AL4)*(IF((Backdoors!AI12+IF(GP78&gt;=0.45,VLOOKUP(Calculator!E23,tbSkills!DH3:DI6,2,FALSE)+IF(AND(Calculator!B8=TRUE,Backdoors!BI31=TRUE),VLOOKUP(Calculator!E23,tbSkills!DH3:DJ6,3,FALSE),0),0))&gt;=100,100,(Backdoors!AI12+IF(GP78&gt;=0.45,VLOOKUP(Calculator!E23,tbSkills!DH3:DI6,2,FALSE)+IF(AND(Calculator!B8=TRUE,Backdoors!BI31=TRUE),VLOOKUP(Calculator!E23,tbSkills!DH3:DJ6,3,FALSE),0),0)))/100)),1),1)</f>
        <v>0.4</v>
      </c>
      <c r="GV78" s="87">
        <f t="shared" si="79"/>
        <v>0</v>
      </c>
      <c r="GW78" s="86" t="str">
        <f>IFERROR(IF(VLOOKUP(A78,tbMoveset!A2:B112,2,FALSE)="Sever",Backdoors!AY32/100,IF(VLOOKUP(A78,tbMoveset!A2:B112,2,FALSE)="Blunt",Backdoors!AZ32/100,Backdoors!BA32/100)),"")</f>
        <v/>
      </c>
      <c r="GX78" s="49">
        <f>IFERROR(IF(VLOOKUP(tbMoveset!A78,tbMoveset!A2:H112,8,FALSE)="Other",IF(VLOOKUP(tbMoveset!A78,tbMoveset!A2:I112,9,FALSE)="Fire",Backdoors!BB32,IF(VLOOKUP(tbMoveset!A78,tbMoveset!A2:I112,9,FALSE)="Water",Backdoors!BC32,IF(VLOOKUP(tbMoveset!A78,tbMoveset!A2:I112,9,FALSE)="Thunder",Backdoors!BD32,IF(VLOOKUP(tbMoveset!A78,tbMoveset!A2:I112,9,FALSE)="Ice",Backdoors!BE32,IF(VLOOKUP(tbMoveset!A78,tbMoveset!A2:I112,9,FALSE)="Dragon",Backdoors!BF32,Backdoors!BG32)))))/100,Backdoors!BG32/100),"")</f>
        <v>0</v>
      </c>
      <c r="GY78" s="49">
        <f>IFERROR(IF(VLOOKUP(A78,tbMoveset!A2:J112,10,FALSE)=TRUE,IF((Backdoors!AI12+IF(GW78&gt;=0.45,VLOOKUP(Calculator!E23,tbSkills!DH3:DI6,2,FALSE)+IF(AND(Calculator!B8=TRUE,Backdoors!BI32=TRUE),VLOOKUP(Calculator!E23,tbSkills!DH3:DJ6,3,FALSE),0),0))&gt;=0,1+(Backdoors!AL2*(IF((Backdoors!AI12+IF(GW78&gt;=0.45,VLOOKUP(Calculator!E23,tbSkills!DH3:DI6,2,FALSE)+IF(AND(Calculator!B8=TRUE,Backdoors!BI32=TRUE),VLOOKUP(Calculator!E23,tbSkills!DH3:DJ6,3,FALSE),0),0))&gt;=100,100,(Backdoors!AI12+IF(GW78&gt;=0.45,VLOOKUP(Calculator!E23,tbSkills!DH3:DI6,2,FALSE)+IF(AND(Calculator!B8=TRUE,Backdoors!BI32=TRUE),VLOOKUP(Calculator!E23,tbSkills!DH3:DJ6,3,FALSE),0),0)))/100)),(1-(0.25*((-Backdoors!AI12-IF(GW78&gt;=0.45,VLOOKUP(Calculator!E23,tbSkills!DH3:DI6,2,FALSE)+IF(AND(Calculator!B8=TRUE,Backdoors!BI32=TRUE),VLOOKUP(Calculator!E23,tbSkills!DH3:DJ6,3,FALSE),0),0))/100)))),1),"")</f>
        <v>1</v>
      </c>
      <c r="GZ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W78)*GY78)*(VLOOKUP(A78,tbMoveset!A2:C112,3,FALSE)/100)*IF(VLOOKUP(A78,tbMoveset!A2:B112,2,FALSE)="Projectile",Backdoors!N10,Backdoors!N9),0),"")</f>
        <v/>
      </c>
      <c r="HA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W78&gt;=0.45,VLOOKUP(Calculator!E23,tbSkills!DH3:DI6,2,FALSE)+IF(AND(Calculator!B8=TRUE,Backdoors!BI32=TRUE),VLOOKUP(Calculator!E23,tbSkills!DH3:DJ6,3,FALSE),0),0))&gt;=100,100,(Backdoors!AI12+IF(GW78&gt;=0.45,VLOOKUP(Calculator!E23,tbSkills!DH3:DI6,2,FALSE)+IF(AND(Calculator!B8=TRUE,Backdoors!BI32=TRUE),VLOOKUP(Calculator!E23,tbSkills!DH3:DJ6,3,FALSE),0),0)))/100)),1))*IF(VLOOKUP(A78,tbMoveset!A2:K112,11,FALSE)=TRUE,Backdoors!AC5,1))*GX78,0),"")</f>
        <v>0</v>
      </c>
      <c r="HB78" s="49">
        <f>VLOOKUP(A78,tbMoveset!A2:G112,7,FALSE)*IFERROR(IF(Backdoors!AI12&gt;=0,1+(IF(Calculator!E40&gt;0,VLOOKUP(Calculator!E40,tbSkills!AI3:AJ5,2,FALSE),Backdoors!AL4)*(IF((Backdoors!AI12+IF(GW78&gt;=0.45,VLOOKUP(Calculator!E23,tbSkills!DH3:DI6,2,FALSE)+IF(AND(Calculator!B8=TRUE,Backdoors!BI32=TRUE),VLOOKUP(Calculator!E23,tbSkills!DH3:DJ6,3,FALSE),0),0))&gt;=100,100,(Backdoors!AI12+IF(GW78&gt;=0.45,VLOOKUP(Calculator!E23,tbSkills!DH3:DI6,2,FALSE)+IF(AND(Calculator!B8=TRUE,Backdoors!BI32=TRUE),VLOOKUP(Calculator!E23,tbSkills!DH3:DJ6,3,FALSE),0),0)))/100)),1),1)</f>
        <v>0.4</v>
      </c>
      <c r="HC78" s="87">
        <f t="shared" si="80"/>
        <v>0</v>
      </c>
      <c r="HD78" s="86" t="str">
        <f>IFERROR(IF(VLOOKUP(A78,tbMoveset!A2:B112,2,FALSE)="Sever",Backdoors!AY33/100,IF(VLOOKUP(A78,tbMoveset!A2:B112,2,FALSE)="Blunt",Backdoors!AZ33/100,Backdoors!BA33/100)),"")</f>
        <v/>
      </c>
      <c r="HE78" s="49">
        <f>IFERROR(IF(VLOOKUP(tbMoveset!A78,tbMoveset!A2:H112,8,FALSE)="Other",IF(VLOOKUP(tbMoveset!A78,tbMoveset!A2:I112,9,FALSE)="Fire",Backdoors!BB33,IF(VLOOKUP(tbMoveset!A78,tbMoveset!A2:I112,9,FALSE)="Water",Backdoors!BC33,IF(VLOOKUP(tbMoveset!A78,tbMoveset!A2:I112,9,FALSE)="Thunder",Backdoors!BD33,IF(VLOOKUP(tbMoveset!A78,tbMoveset!A2:I112,9,FALSE)="Ice",Backdoors!BE33,IF(VLOOKUP(tbMoveset!A78,tbMoveset!A2:I112,9,FALSE)="Dragon",Backdoors!BF33,Backdoors!BG33)))))/100,Backdoors!BG33/100),"")</f>
        <v>0</v>
      </c>
      <c r="HF78" s="49">
        <f>IFERROR(IF(VLOOKUP(A78,tbMoveset!A2:J112,10,FALSE)=TRUE,IF((Backdoors!AI12+IF(HD78&gt;=0.45,VLOOKUP(Calculator!E23,tbSkills!DH3:DI6,2,FALSE)+IF(AND(Calculator!B8=TRUE,Backdoors!BI33=TRUE),VLOOKUP(Calculator!E23,tbSkills!DH3:DJ6,3,FALSE),0),0))&gt;=0,1+(Backdoors!AL2*(IF((Backdoors!AI12+IF(HD78&gt;=0.45,VLOOKUP(Calculator!E23,tbSkills!DH3:DI6,2,FALSE)+IF(AND(Calculator!B8=TRUE,Backdoors!BI33=TRUE),VLOOKUP(Calculator!E23,tbSkills!DH3:DJ6,3,FALSE),0),0))&gt;=100,100,(Backdoors!AI12+IF(HD78&gt;=0.45,VLOOKUP(Calculator!E23,tbSkills!DH3:DI6,2,FALSE)+IF(AND(Calculator!B8=TRUE,Backdoors!BI33=TRUE),VLOOKUP(Calculator!E23,tbSkills!DH3:DJ6,3,FALSE),0),0)))/100)),(1-(0.25*((-Backdoors!AI12-IF(HD78&gt;=0.45,VLOOKUP(Calculator!E23,tbSkills!DH3:DI6,2,FALSE)+IF(AND(Calculator!B8=TRUE,Backdoors!BI33=TRUE),VLOOKUP(Calculator!E23,tbSkills!DH3:DJ6,3,FALSE),0),0))/100)))),1),"")</f>
        <v>1</v>
      </c>
      <c r="HG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D78)*HF78)*(VLOOKUP(A78,tbMoveset!A2:C112,3,FALSE)/100)*IF(VLOOKUP(A78,tbMoveset!A2:B112,2,FALSE)="Projectile",Backdoors!N10,Backdoors!N9),0),"")</f>
        <v/>
      </c>
      <c r="HH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D78&gt;=0.45,VLOOKUP(Calculator!E23,tbSkills!DH3:DI6,2,FALSE)+IF(AND(Calculator!B8=TRUE,Backdoors!BI33=TRUE),VLOOKUP(Calculator!E23,tbSkills!DH3:DJ6,3,FALSE),0),0))&gt;=100,100,(Backdoors!AI12+IF(HD78&gt;=0.45,VLOOKUP(Calculator!E23,tbSkills!DH3:DI6,2,FALSE)+IF(AND(Calculator!B8=TRUE,Backdoors!BI33=TRUE),VLOOKUP(Calculator!E23,tbSkills!DH3:DJ6,3,FALSE),0),0)))/100)),1))*IF(VLOOKUP(A78,tbMoveset!A2:K112,11,FALSE)=TRUE,Backdoors!AC5,1))*HE78,0),"")</f>
        <v>0</v>
      </c>
      <c r="HI78" s="49">
        <f>VLOOKUP(A78,tbMoveset!A2:G112,7,FALSE)*IFERROR(IF(Backdoors!AI12&gt;=0,1+(IF(Calculator!E40&gt;0,VLOOKUP(Calculator!E40,tbSkills!AI3:AJ5,2,FALSE),Backdoors!AL4)*(IF((Backdoors!AI12+IF(HD78&gt;=0.45,VLOOKUP(Calculator!E23,tbSkills!DH3:DI6,2,FALSE)+IF(AND(Calculator!B8=TRUE,Backdoors!BI33=TRUE),VLOOKUP(Calculator!E23,tbSkills!DH3:DJ6,3,FALSE),0),0))&gt;=100,100,(Backdoors!AI12+IF(HD78&gt;=0.45,VLOOKUP(Calculator!E23,tbSkills!DH3:DI6,2,FALSE)+IF(AND(Calculator!B8=TRUE,Backdoors!BI33=TRUE),VLOOKUP(Calculator!E23,tbSkills!DH3:DJ6,3,FALSE),0),0)))/100)),1),1)</f>
        <v>0.4</v>
      </c>
      <c r="HJ78" s="87">
        <f t="shared" si="81"/>
        <v>0</v>
      </c>
      <c r="HK78" s="86" t="str">
        <f>IFERROR(IF(VLOOKUP(A78,tbMoveset!A2:B112,2,FALSE)="Sever",Backdoors!AY34/100,IF(VLOOKUP(A78,tbMoveset!A2:B112,2,FALSE)="Blunt",Backdoors!AZ34/100,Backdoors!BA34/100)),"")</f>
        <v/>
      </c>
      <c r="HL78" s="49">
        <f>IFERROR(IF(VLOOKUP(tbMoveset!A78,tbMoveset!A2:H112,8,FALSE)="Other",IF(VLOOKUP(tbMoveset!A78,tbMoveset!A2:I112,9,FALSE)="Fire",Backdoors!BB34,IF(VLOOKUP(tbMoveset!A78,tbMoveset!A2:I112,9,FALSE)="Water",Backdoors!BC34,IF(VLOOKUP(tbMoveset!A78,tbMoveset!A2:I112,9,FALSE)="Thunder",Backdoors!BD34,IF(VLOOKUP(tbMoveset!A78,tbMoveset!A2:I112,9,FALSE)="Ice",Backdoors!BE34,IF(VLOOKUP(tbMoveset!A78,tbMoveset!A2:I112,9,FALSE)="Dragon",Backdoors!BF34,Backdoors!BG34)))))/100,Backdoors!BG34/100),"")</f>
        <v>0</v>
      </c>
      <c r="HM78" s="49">
        <f>IFERROR(IF(VLOOKUP(A78,tbMoveset!A2:J112,10,FALSE)=TRUE,IF((Backdoors!AI12+IF(HK78&gt;=0.45,VLOOKUP(Calculator!E23,tbSkills!DH3:DI6,2,FALSE)+IF(AND(Calculator!B8=TRUE,Backdoors!BI34=TRUE),VLOOKUP(Calculator!E23,tbSkills!DH3:DJ6,3,FALSE),0),0))&gt;=0,1+(Backdoors!AL2*(IF((Backdoors!AI12+IF(HK78&gt;=0.45,VLOOKUP(Calculator!E23,tbSkills!DH3:DI6,2,FALSE)+IF(AND(Calculator!B8=TRUE,Backdoors!BI34=TRUE),VLOOKUP(Calculator!E23,tbSkills!DH3:DJ6,3,FALSE),0),0))&gt;=100,100,(Backdoors!AI12+IF(HK78&gt;=0.45,VLOOKUP(Calculator!E23,tbSkills!DH3:DI6,2,FALSE)+IF(AND(Calculator!B8=TRUE,Backdoors!BI34=TRUE),VLOOKUP(Calculator!E23,tbSkills!DH3:DJ6,3,FALSE),0),0)))/100)),(1-(0.25*((-Backdoors!AI12-IF(HK78&gt;=0.45,VLOOKUP(Calculator!E23,tbSkills!DH3:DI6,2,FALSE)+IF(AND(Calculator!B8=TRUE,Backdoors!BI34=TRUE),VLOOKUP(Calculator!E23,tbSkills!DH3:DJ6,3,FALSE),0),0))/100)))),1),"")</f>
        <v>1</v>
      </c>
      <c r="HN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K78)*HM78)*(VLOOKUP(A78,tbMoveset!A2:C112,3,FALSE)/100)*IF(VLOOKUP(A78,tbMoveset!A2:B112,2,FALSE)="Projectile",Backdoors!N10,Backdoors!N9),0),"")</f>
        <v/>
      </c>
      <c r="HO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K78&gt;=0.45,VLOOKUP(Calculator!E23,tbSkills!DH3:DI6,2,FALSE)+IF(AND(Calculator!B8=TRUE,Backdoors!BI34=TRUE),VLOOKUP(Calculator!E23,tbSkills!DH3:DJ6,3,FALSE),0),0))&gt;=100,100,(Backdoors!AI12+IF(HK78&gt;=0.45,VLOOKUP(Calculator!E23,tbSkills!DH3:DI6,2,FALSE)+IF(AND(Calculator!B8=TRUE,Backdoors!BI34=TRUE),VLOOKUP(Calculator!E23,tbSkills!DH3:DJ6,3,FALSE),0),0)))/100)),1))*IF(VLOOKUP(A78,tbMoveset!A2:K112,11,FALSE)=TRUE,Backdoors!AC5,1))*HL78,0),"")</f>
        <v>0</v>
      </c>
      <c r="HP78" s="49">
        <f>VLOOKUP(A78,tbMoveset!A2:G112,7,FALSE)*IFERROR(IF(Backdoors!AI12&gt;=0,1+(IF(Calculator!E40&gt;0,VLOOKUP(Calculator!E40,tbSkills!AI3:AJ5,2,FALSE),Backdoors!AL4)*(IF((Backdoors!AI12+IF(HK78&gt;=0.45,VLOOKUP(Calculator!E23,tbSkills!DH3:DI6,2,FALSE)+IF(AND(Calculator!B8=TRUE,Backdoors!BI34=TRUE),VLOOKUP(Calculator!E23,tbSkills!DH3:DJ6,3,FALSE),0),0))&gt;=100,100,(Backdoors!AI12+IF(HK78&gt;=0.45,VLOOKUP(Calculator!E23,tbSkills!DH3:DI6,2,FALSE)+IF(AND(Calculator!B8=TRUE,Backdoors!BI34=TRUE),VLOOKUP(Calculator!E23,tbSkills!DH3:DJ6,3,FALSE),0),0)))/100)),1),1)</f>
        <v>0.4</v>
      </c>
      <c r="HQ78" s="87">
        <f t="shared" si="82"/>
        <v>0</v>
      </c>
      <c r="HR78" s="86" t="str">
        <f>IFERROR(IF(VLOOKUP(A78,tbMoveset!A2:B112,2,FALSE)="Sever",Backdoors!AY35/100,IF(VLOOKUP(A78,tbMoveset!A2:B112,2,FALSE)="Blunt",Backdoors!AZ35/100,Backdoors!BA35/100)),"")</f>
        <v/>
      </c>
      <c r="HS78" s="49">
        <f>IFERROR(IF(VLOOKUP(tbMoveset!A78,tbMoveset!A2:H112,8,FALSE)="Other",IF(VLOOKUP(tbMoveset!A78,tbMoveset!A2:I112,9,FALSE)="Fire",Backdoors!BB35,IF(VLOOKUP(tbMoveset!A78,tbMoveset!A2:I112,9,FALSE)="Water",Backdoors!BC35,IF(VLOOKUP(tbMoveset!A78,tbMoveset!A2:I112,9,FALSE)="Thunder",Backdoors!BD35,IF(VLOOKUP(tbMoveset!A78,tbMoveset!A2:I112,9,FALSE)="Ice",Backdoors!BE35,IF(VLOOKUP(tbMoveset!A78,tbMoveset!A2:I112,9,FALSE)="Dragon",Backdoors!BF35,Backdoors!BG35)))))/100,Backdoors!BG35/100),"")</f>
        <v>0</v>
      </c>
      <c r="HT78" s="49">
        <f>IFERROR(IF(VLOOKUP(A78,tbMoveset!A2:J112,10,FALSE)=TRUE,IF((Backdoors!AI12+IF(HR78&gt;=0.45,VLOOKUP(Calculator!E23,tbSkills!DH3:DI6,2,FALSE)+IF(AND(Calculator!B8=TRUE,Backdoors!BI35=TRUE),VLOOKUP(Calculator!E23,tbSkills!DH3:DJ6,3,FALSE),0),0))&gt;=0,1+(Backdoors!AL2*(IF((Backdoors!AI12+IF(HR78&gt;=0.45,VLOOKUP(Calculator!E23,tbSkills!DH3:DI6,2,FALSE)+IF(AND(Calculator!B8=TRUE,Backdoors!BI35=TRUE),VLOOKUP(Calculator!E23,tbSkills!DH3:DJ6,3,FALSE),0),0))&gt;=100,100,(Backdoors!AI12+IF(HR78&gt;=0.45,VLOOKUP(Calculator!E23,tbSkills!DH3:DI6,2,FALSE)+IF(AND(Calculator!B8=TRUE,Backdoors!BI35=TRUE),VLOOKUP(Calculator!E23,tbSkills!DH3:DJ6,3,FALSE),0),0)))/100)),(1-(0.25*((-Backdoors!AI12-IF(HR78&gt;=0.45,VLOOKUP(Calculator!E23,tbSkills!DH3:DI6,2,FALSE)+IF(AND(Calculator!B8=TRUE,Backdoors!BI35=TRUE),VLOOKUP(Calculator!E23,tbSkills!DH3:DJ6,3,FALSE),0),0))/100)))),1),"")</f>
        <v>1</v>
      </c>
      <c r="HU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R78)*HT78)*(VLOOKUP(A78,tbMoveset!A2:C112,3,FALSE)/100)*IF(VLOOKUP(A78,tbMoveset!A2:B112,2,FALSE)="Projectile",Backdoors!N10,Backdoors!N9),0),"")</f>
        <v/>
      </c>
      <c r="HV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R78&gt;=0.45,VLOOKUP(Calculator!E23,tbSkills!DH3:DI6,2,FALSE)+IF(AND(Calculator!B8=TRUE,Backdoors!BI35=TRUE),VLOOKUP(Calculator!E23,tbSkills!DH3:DJ6,3,FALSE),0),0))&gt;=100,100,(Backdoors!AI12+IF(HR78&gt;=0.45,VLOOKUP(Calculator!E23,tbSkills!DH3:DI6,2,FALSE)+IF(AND(Calculator!B8=TRUE,Backdoors!BI35=TRUE),VLOOKUP(Calculator!E23,tbSkills!DH3:DJ6,3,FALSE),0),0)))/100)),1))*IF(VLOOKUP(A78,tbMoveset!A2:K112,11,FALSE)=TRUE,Backdoors!AC5,1))*HS78,0),"")</f>
        <v>0</v>
      </c>
      <c r="HW78" s="49">
        <f>VLOOKUP(A78,tbMoveset!A2:G112,7,FALSE)*IFERROR(IF(Backdoors!AI12&gt;=0,1+(IF(Calculator!E40&gt;0,VLOOKUP(Calculator!E40,tbSkills!AI3:AJ5,2,FALSE),Backdoors!AL4)*(IF((Backdoors!AI12+IF(HR78&gt;=0.45,VLOOKUP(Calculator!E23,tbSkills!DH3:DI6,2,FALSE)+IF(AND(Calculator!B8=TRUE,Backdoors!BI35=TRUE),VLOOKUP(Calculator!E23,tbSkills!DH3:DJ6,3,FALSE),0),0))&gt;=100,100,(Backdoors!AI12+IF(HR78&gt;=0.45,VLOOKUP(Calculator!E23,tbSkills!DH3:DI6,2,FALSE)+IF(AND(Calculator!B8=TRUE,Backdoors!BI35=TRUE),VLOOKUP(Calculator!E23,tbSkills!DH3:DJ6,3,FALSE),0),0)))/100)),1),1)</f>
        <v>0.4</v>
      </c>
      <c r="HX78" s="87">
        <f t="shared" si="83"/>
        <v>0</v>
      </c>
      <c r="HY78" s="86" t="str">
        <f>IFERROR(IF(VLOOKUP(A78,tbMoveset!A2:B112,2,FALSE)="Sever",Backdoors!AY36/100,IF(VLOOKUP(A78,tbMoveset!A2:B112,2,FALSE)="Blunt",Backdoors!AZ36/100,Backdoors!BA36/100)),"")</f>
        <v/>
      </c>
      <c r="HZ78" s="49">
        <f>IFERROR(IF(VLOOKUP(tbMoveset!A78,tbMoveset!A2:H112,8,FALSE)="Other",IF(VLOOKUP(tbMoveset!A78,tbMoveset!A2:I112,9,FALSE)="Fire",Backdoors!BB36,IF(VLOOKUP(tbMoveset!A78,tbMoveset!A2:I112,9,FALSE)="Water",Backdoors!BC36,IF(VLOOKUP(tbMoveset!A78,tbMoveset!A2:I112,9,FALSE)="Thunder",Backdoors!BD36,IF(VLOOKUP(tbMoveset!A78,tbMoveset!A2:I112,9,FALSE)="Ice",Backdoors!BE36,IF(VLOOKUP(tbMoveset!A78,tbMoveset!A2:I112,9,FALSE)="Dragon",Backdoors!BF36,Backdoors!BG36)))))/100,Backdoors!BG36/100),"")</f>
        <v>0</v>
      </c>
      <c r="IA78" s="49">
        <f>IFERROR(IF(VLOOKUP(A78,tbMoveset!A2:J112,10,FALSE)=TRUE,IF((Backdoors!AI12+IF(HY78&gt;=0.45,VLOOKUP(Calculator!E23,tbSkills!DH3:DI6,2,FALSE)+IF(AND(Calculator!B8=TRUE,Backdoors!BI36=TRUE),VLOOKUP(Calculator!E23,tbSkills!DH3:DJ6,3,FALSE),0),0))&gt;=0,1+(Backdoors!AL2*(IF((Backdoors!AI12+IF(HY78&gt;=0.45,VLOOKUP(Calculator!E23,tbSkills!DH3:DI6,2,FALSE)+IF(AND(Calculator!B8=TRUE,Backdoors!BI36=TRUE),VLOOKUP(Calculator!E23,tbSkills!DH3:DJ6,3,FALSE),0),0))&gt;=100,100,(Backdoors!AI12+IF(HY78&gt;=0.45,VLOOKUP(Calculator!E23,tbSkills!DH3:DI6,2,FALSE)+IF(AND(Calculator!B8=TRUE,Backdoors!BI36=TRUE),VLOOKUP(Calculator!E23,tbSkills!DH3:DJ6,3,FALSE),0),0)))/100)),(1-(0.25*((-Backdoors!AI12-IF(HY78&gt;=0.45,VLOOKUP(Calculator!E23,tbSkills!DH3:DI6,2,FALSE)+IF(AND(Calculator!B8=TRUE,Backdoors!BI36=TRUE),VLOOKUP(Calculator!E23,tbSkills!DH3:DJ6,3,FALSE),0),0))/100)))),1),"")</f>
        <v>1</v>
      </c>
      <c r="IB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Y78)*IA78)*(VLOOKUP(A78,tbMoveset!A2:C112,3,FALSE)/100)*IF(VLOOKUP(A78,tbMoveset!A2:B112,2,FALSE)="Projectile",Backdoors!N10,Backdoors!N9),0),"")</f>
        <v/>
      </c>
      <c r="IC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Y78&gt;=0.45,VLOOKUP(Calculator!E23,tbSkills!DH3:DI6,2,FALSE)+IF(AND(Calculator!B8=TRUE,Backdoors!BI36=TRUE),VLOOKUP(Calculator!E23,tbSkills!DH3:DJ6,3,FALSE),0),0))&gt;=100,100,(Backdoors!AI12+IF(HY78&gt;=0.45,VLOOKUP(Calculator!E23,tbSkills!DH3:DI6,2,FALSE)+IF(AND(Calculator!B8=TRUE,Backdoors!BI36=TRUE),VLOOKUP(Calculator!E23,tbSkills!DH3:DJ6,3,FALSE),0),0)))/100)),1))*IF(VLOOKUP(A78,tbMoveset!A2:K112,11,FALSE)=TRUE,Backdoors!AC5,1))*HZ78,0),"")</f>
        <v>0</v>
      </c>
      <c r="ID78" s="49">
        <f>VLOOKUP(A78,tbMoveset!A2:G112,7,FALSE)*IFERROR(IF(Backdoors!AI12&gt;=0,1+(IF(Calculator!E40&gt;0,VLOOKUP(Calculator!E40,tbSkills!AI3:AJ5,2,FALSE),Backdoors!AL4)*(IF((Backdoors!AI12+IF(HY78&gt;=0.45,VLOOKUP(Calculator!E23,tbSkills!DH3:DI6,2,FALSE)+IF(AND(Calculator!B8=TRUE,Backdoors!BI36=TRUE),VLOOKUP(Calculator!E23,tbSkills!DH3:DJ6,3,FALSE),0),0))&gt;=100,100,(Backdoors!AI12+IF(HY78&gt;=0.45,VLOOKUP(Calculator!E23,tbSkills!DH3:DI6,2,FALSE)+IF(AND(Calculator!B8=TRUE,Backdoors!BI36=TRUE),VLOOKUP(Calculator!E23,tbSkills!DH3:DJ6,3,FALSE),0),0)))/100)),1),1)</f>
        <v>0.4</v>
      </c>
      <c r="IE78" s="87">
        <f t="shared" si="84"/>
        <v>0</v>
      </c>
      <c r="IF78" s="86" t="str">
        <f>IFERROR(IF(VLOOKUP(A78,tbMoveset!A2:B112,2,FALSE)="Sever",Backdoors!AY37/100,IF(VLOOKUP(A78,tbMoveset!A2:B112,2,FALSE)="Blunt",Backdoors!AZ37/100,Backdoors!BA37/100)),"")</f>
        <v/>
      </c>
      <c r="IG78" s="49">
        <f>IFERROR(IF(VLOOKUP(tbMoveset!A78,tbMoveset!A2:H112,8,FALSE)="Other",IF(VLOOKUP(tbMoveset!A78,tbMoveset!A2:I112,9,FALSE)="Fire",Backdoors!BB37,IF(VLOOKUP(tbMoveset!A78,tbMoveset!A2:I112,9,FALSE)="Water",Backdoors!BC37,IF(VLOOKUP(tbMoveset!A78,tbMoveset!A2:I112,9,FALSE)="Thunder",Backdoors!BD37,IF(VLOOKUP(tbMoveset!A78,tbMoveset!A2:I112,9,FALSE)="Ice",Backdoors!BE37,IF(VLOOKUP(tbMoveset!A78,tbMoveset!A2:I112,9,FALSE)="Dragon",Backdoors!BF37,Backdoors!BG37)))))/100,Backdoors!BG37/100),"")</f>
        <v>0</v>
      </c>
      <c r="IH78" s="49">
        <f>IFERROR(IF(VLOOKUP(A78,tbMoveset!A2:J112,10,FALSE)=TRUE,IF((Backdoors!AI12+IF(IF78&gt;=0.45,VLOOKUP(Calculator!E23,tbSkills!DH3:DI6,2,FALSE)+IF(AND(Calculator!B8=TRUE,Backdoors!BI37=TRUE),VLOOKUP(Calculator!E23,tbSkills!DH3:DJ6,3,FALSE),0),0))&gt;=0,1+(Backdoors!AL2*(IF((Backdoors!AI12+IF(IF78&gt;=0.45,VLOOKUP(Calculator!E23,tbSkills!DH3:DI6,2,FALSE)+IF(AND(Calculator!B8=TRUE,Backdoors!BI37=TRUE),VLOOKUP(Calculator!E23,tbSkills!DH3:DJ6,3,FALSE),0),0))&gt;=100,100,(Backdoors!AI12+IF(IF78&gt;=0.45,VLOOKUP(Calculator!E23,tbSkills!DH3:DI6,2,FALSE)+IF(AND(Calculator!B8=TRUE,Backdoors!BI37=TRUE),VLOOKUP(Calculator!E23,tbSkills!DH3:DJ6,3,FALSE),0),0)))/100)),(1-(0.25*((-Backdoors!AI12-IF(IF78&gt;=0.45,VLOOKUP(Calculator!E23,tbSkills!DH3:DI6,2,FALSE)+IF(AND(Calculator!B8=TRUE,Backdoors!BI37=TRUE),VLOOKUP(Calculator!E23,tbSkills!DH3:DJ6,3,FALSE),0),0))/100)))),1),"")</f>
        <v>1</v>
      </c>
      <c r="II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F78)*IH78)*(VLOOKUP(A78,tbMoveset!A2:C112,3,FALSE)/100)*IF(VLOOKUP(A78,tbMoveset!A2:B112,2,FALSE)="Projectile",Backdoors!N10,Backdoors!N9),0),"")</f>
        <v/>
      </c>
      <c r="IJ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IF78&gt;=0.45,VLOOKUP(Calculator!E23,tbSkills!DH3:DI6,2,FALSE)+IF(AND(Calculator!B8=TRUE,Backdoors!BI37=TRUE),VLOOKUP(Calculator!E23,tbSkills!DH3:DJ6,3,FALSE),0),0))&gt;=100,100,(Backdoors!AI12+IF(IF78&gt;=0.45,VLOOKUP(Calculator!E23,tbSkills!DH3:DI6,2,FALSE)+IF(AND(Calculator!B8=TRUE,Backdoors!BI37=TRUE),VLOOKUP(Calculator!E23,tbSkills!DH3:DJ6,3,FALSE),0),0)))/100)),1))*IF(VLOOKUP(A78,tbMoveset!A2:K112,11,FALSE)=TRUE,Backdoors!AC5,1))*IG78,0),"")</f>
        <v>0</v>
      </c>
      <c r="IK78" s="49">
        <f>VLOOKUP(A78,tbMoveset!A2:G112,7,FALSE)*IFERROR(IF(Backdoors!AI12&gt;=0,1+(IF(Calculator!E40&gt;0,VLOOKUP(Calculator!E40,tbSkills!AI3:AJ5,2,FALSE),Backdoors!AL4)*(IF((Backdoors!AI12+IF(IF78&gt;=0.45,VLOOKUP(Calculator!E23,tbSkills!DH3:DI6,2,FALSE)+IF(AND(Calculator!B8=TRUE,Backdoors!BI37=TRUE),VLOOKUP(Calculator!E23,tbSkills!DH3:DJ6,3,FALSE),0),0))&gt;=100,100,(Backdoors!AI12+IF(IF78&gt;=0.45,VLOOKUP(Calculator!E23,tbSkills!DH3:DI6,2,FALSE)+IF(AND(Calculator!B8=TRUE,Backdoors!BI37=TRUE),VLOOKUP(Calculator!E23,tbSkills!DH3:DJ6,3,FALSE),0),0)))/100)),1),1)</f>
        <v>0.4</v>
      </c>
      <c r="IL78" s="87">
        <f t="shared" si="85"/>
        <v>0</v>
      </c>
      <c r="IM78" s="86" t="str">
        <f>IFERROR(IF(VLOOKUP(A78,tbMoveset!A2:B112,2,FALSE)="Sever",Backdoors!AY38/100,IF(VLOOKUP(A78,tbMoveset!A2:B112,2,FALSE)="Blunt",Backdoors!AZ38/100,Backdoors!BA38/100)),"")</f>
        <v/>
      </c>
      <c r="IN78" s="49">
        <f>IFERROR(IF(VLOOKUP(tbMoveset!A78,tbMoveset!A2:H112,8,FALSE)="Other",IF(VLOOKUP(tbMoveset!A78,tbMoveset!A2:I112,9,FALSE)="Fire",Backdoors!BB38,IF(VLOOKUP(tbMoveset!A78,tbMoveset!A2:I112,9,FALSE)="Water",Backdoors!BC38,IF(VLOOKUP(tbMoveset!A78,tbMoveset!A2:I112,9,FALSE)="Thunder",Backdoors!BD38,IF(VLOOKUP(tbMoveset!A78,tbMoveset!A2:I112,9,FALSE)="Ice",Backdoors!BE38,IF(VLOOKUP(tbMoveset!A78,tbMoveset!A2:I112,9,FALSE)="Dragon",Backdoors!BF38,Backdoors!BG38)))))/100,Backdoors!BG38/100),"")</f>
        <v>0</v>
      </c>
      <c r="IO78" s="49">
        <f>IFERROR(IF(VLOOKUP(A78,tbMoveset!A2:J112,10,FALSE)=TRUE,IF((Backdoors!AI12+IF(IM78&gt;=0.45,VLOOKUP(Calculator!E23,tbSkills!DH3:DI6,2,FALSE)+IF(AND(Calculator!B8=TRUE,Backdoors!BI38=TRUE),VLOOKUP(Calculator!E23,tbSkills!DH3:DJ6,3,FALSE),0),0))&gt;=0,1+(Backdoors!AL2*(IF((Backdoors!AI12+IF(IM78&gt;=0.45,VLOOKUP(Calculator!E23,tbSkills!DH3:DI6,2,FALSE)+IF(AND(Calculator!B8=TRUE,Backdoors!BI38=TRUE),VLOOKUP(Calculator!E23,tbSkills!DH3:DJ6,3,FALSE),0),0))&gt;=100,100,(Backdoors!AI12+IF(IM78&gt;=0.45,VLOOKUP(Calculator!E23,tbSkills!DH3:DI6,2,FALSE)+IF(AND(Calculator!B8=TRUE,Backdoors!BI38=TRUE),VLOOKUP(Calculator!E23,tbSkills!DH3:DJ6,3,FALSE),0),0)))/100)),(1-(0.25*((-Backdoors!AI12-IF(IM78&gt;=0.45,VLOOKUP(Calculator!E23,tbSkills!DH3:DI6,2,FALSE)+IF(AND(Calculator!B8=TRUE,Backdoors!BI38=TRUE),VLOOKUP(Calculator!E23,tbSkills!DH3:DJ6,3,FALSE),0),0))/100)))),1),"")</f>
        <v>1</v>
      </c>
      <c r="IP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M78)*IO78)*(VLOOKUP(A78,tbMoveset!A2:C112,3,FALSE)/100)*IF(VLOOKUP(A78,tbMoveset!A2:B112,2,FALSE)="Projectile",Backdoors!N10,Backdoors!N9),0),"")</f>
        <v/>
      </c>
      <c r="IQ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IM78&gt;=0.45,VLOOKUP(Calculator!E23,tbSkills!DH3:DI6,2,FALSE)+IF(AND(Calculator!B8=TRUE,Backdoors!BI38=TRUE),VLOOKUP(Calculator!E23,tbSkills!DH3:DJ6,3,FALSE),0),0))&gt;=100,100,(Backdoors!AI12+IF(IM78&gt;=0.45,VLOOKUP(Calculator!E23,tbSkills!DH3:DI6,2,FALSE)+IF(AND(Calculator!B8=TRUE,Backdoors!BI38=TRUE),VLOOKUP(Calculator!E23,tbSkills!DH3:DJ6,3,FALSE),0),0)))/100)),1))*IF(VLOOKUP(A78,tbMoveset!A2:K112,11,FALSE)=TRUE,Backdoors!AC5,1))*IN78,0),"")</f>
        <v>0</v>
      </c>
      <c r="IR78" s="49">
        <f>VLOOKUP(A78,tbMoveset!A2:G112,7,FALSE)*IFERROR(IF(Backdoors!AI12&gt;=0,1+(IF(Calculator!E40&gt;0,VLOOKUP(Calculator!E40,tbSkills!AI3:AJ5,2,FALSE),Backdoors!AL4)*(IF((Backdoors!AI12+IF(IM78&gt;=0.45,VLOOKUP(Calculator!E23,tbSkills!DH3:DI6,2,FALSE)+IF(AND(Calculator!B8=TRUE,Backdoors!BI38=TRUE),VLOOKUP(Calculator!E23,tbSkills!DH3:DJ6,3,FALSE),0),0))&gt;=100,100,(Backdoors!AI12+IF(IM78&gt;=0.45,VLOOKUP(Calculator!E23,tbSkills!DH3:DI6,2,FALSE)+IF(AND(Calculator!B8=TRUE,Backdoors!BI38=TRUE),VLOOKUP(Calculator!E23,tbSkills!DH3:DJ6,3,FALSE),0),0)))/100)),1),1)</f>
        <v>0.4</v>
      </c>
      <c r="IS78" s="87">
        <f t="shared" si="86"/>
        <v>0</v>
      </c>
      <c r="IT78" s="86" t="str">
        <f>IFERROR(IF(VLOOKUP(A78,tbMoveset!A2:B112,2,FALSE)="Sever",Backdoors!AY39/100,IF(VLOOKUP(A78,tbMoveset!A2:B112,2,FALSE)="Blunt",Backdoors!AZ39/100,Backdoors!BA39/100)),"")</f>
        <v/>
      </c>
      <c r="IU78" s="49">
        <f>IFERROR(IF(VLOOKUP(tbMoveset!A78,tbMoveset!A2:H112,8,FALSE)="Other",IF(VLOOKUP(tbMoveset!A78,tbMoveset!A2:I112,9,FALSE)="Fire",Backdoors!BB39,IF(VLOOKUP(tbMoveset!A78,tbMoveset!A2:I112,9,FALSE)="Water",Backdoors!BC39,IF(VLOOKUP(tbMoveset!A78,tbMoveset!A2:I112,9,FALSE)="Thunder",Backdoors!BD39,IF(VLOOKUP(tbMoveset!A78,tbMoveset!A2:I112,9,FALSE)="Ice",Backdoors!BE39,IF(VLOOKUP(tbMoveset!A78,tbMoveset!A2:I112,9,FALSE)="Dragon",Backdoors!BF39,Backdoors!BG39)))))/100,Backdoors!BG39/100),"")</f>
        <v>0</v>
      </c>
      <c r="IV78" s="49">
        <f>IFERROR(IF(VLOOKUP(A78,tbMoveset!A2:J112,10,FALSE)=TRUE,IF((Backdoors!AI12+IF(IT78&gt;=0.45,VLOOKUP(Calculator!E23,tbSkills!DH3:DI6,2,FALSE)+IF(AND(Calculator!B8=TRUE,Backdoors!BI39=TRUE),VLOOKUP(Calculator!E23,tbSkills!DH3:DJ6,3,FALSE),0),0))&gt;=0,1+(Backdoors!AL2*(IF((Backdoors!AI12+IF(IT78&gt;=0.45,VLOOKUP(Calculator!E23,tbSkills!DH3:DI6,2,FALSE)+IF(AND(Calculator!B8=TRUE,Backdoors!BI39=TRUE),VLOOKUP(Calculator!E23,tbSkills!DH3:DJ6,3,FALSE),0),0))&gt;=100,100,(Backdoors!AI12+IF(IT78&gt;=0.45,VLOOKUP(Calculator!E23,tbSkills!DH3:DI6,2,FALSE)+IF(AND(Calculator!B8=TRUE,Backdoors!BI39=TRUE),VLOOKUP(Calculator!E23,tbSkills!DH3:DJ6,3,FALSE),0),0)))/100)),(1-(0.25*((-Backdoors!AI12-IF(IT78&gt;=0.45,VLOOKUP(Calculator!E23,tbSkills!DH3:DI6,2,FALSE)+IF(AND(Calculator!B8=TRUE,Backdoors!BI39=TRUE),VLOOKUP(Calculator!E23,tbSkills!DH3:DJ6,3,FALSE),0),0))/100)))),1),"")</f>
        <v>1</v>
      </c>
      <c r="IW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T78)*IV78)*(VLOOKUP(A78,tbMoveset!A2:C112,3,FALSE)/100)*IF(VLOOKUP(A78,tbMoveset!A2:B112,2,FALSE)="Projectile",Backdoors!N10,Backdoors!N9),0),"")</f>
        <v/>
      </c>
      <c r="IX78" s="49">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40&gt;0,VLOOKUP(Calculator!E40,tbSkills!AC3:AD5,2,FALSE),Backdoors!AL3)*(IF((Backdoors!AI12+IF(IT78&gt;=0.45,VLOOKUP(Calculator!E23,tbSkills!DH3:DI6,2,FALSE)+IF(AND(Calculator!B8=TRUE,Backdoors!BI39=TRUE),VLOOKUP(Calculator!E23,tbSkills!DH3:DJ6,3,FALSE),0),0))&gt;=100,100,(Backdoors!AI12+IF(IT78&gt;=0.45,VLOOKUP(Calculator!E23,tbSkills!DH3:DI6,2,FALSE)+IF(AND(Calculator!B8=TRUE,Backdoors!BI39=TRUE),VLOOKUP(Calculator!E23,tbSkills!DH3:DJ6,3,FALSE),0),0)))/100)),1))*IF(VLOOKUP(A78,tbMoveset!A2:K112,11,FALSE)=TRUE,Backdoors!AC5,1))*IU78,0),"")</f>
        <v>0</v>
      </c>
      <c r="IY78" s="49">
        <f>VLOOKUP(A78,tbMoveset!A2:G112,7,FALSE)*IFERROR(IF(Backdoors!AI12&gt;=0,1+(IF(Calculator!E40&gt;0,VLOOKUP(Calculator!E40,tbSkills!AI3:AJ5,2,FALSE),Backdoors!AL4)*(IF((Backdoors!AI12+IF(IT78&gt;=0.45,VLOOKUP(Calculator!E23,tbSkills!DH3:DI6,2,FALSE)+IF(AND(Calculator!B8=TRUE,Backdoors!BI39=TRUE),VLOOKUP(Calculator!E23,tbSkills!DH3:DJ6,3,FALSE),0),0))&gt;=100,100,(Backdoors!AI12+IF(IT78&gt;=0.45,VLOOKUP(Calculator!E23,tbSkills!DH3:DI6,2,FALSE)+IF(AND(Calculator!B8=TRUE,Backdoors!BI39=TRUE),VLOOKUP(Calculator!E23,tbSkills!DH3:DJ6,3,FALSE),0),0)))/100)),1),1)</f>
        <v>0.4</v>
      </c>
      <c r="IZ78" s="87">
        <f t="shared" si="87"/>
        <v>0</v>
      </c>
      <c r="JA78" s="86" t="str">
        <f>IFERROR(IF(VLOOKUP(A78,tbMoveset!A2:B112,2,FALSE)="Sever",Backdoors!AY40/100,IF(VLOOKUP(A78,tbMoveset!A2:B112,2,FALSE)="Blunt",Backdoors!AZ40/100,Backdoors!BA40/100)),"")</f>
        <v/>
      </c>
      <c r="JB78" s="49">
        <f>IFERROR(IF(VLOOKUP(tbMoveset!A78,tbMoveset!A2:H112,8,FALSE)="Other",IF(VLOOKUP(tbMoveset!A78,tbMoveset!A2:I112,9,FALSE)="Fire",Backdoors!BB40,IF(VLOOKUP(tbMoveset!A78,tbMoveset!A2:I112,9,FALSE)="Water",Backdoors!BC40,IF(VLOOKUP(tbMoveset!A78,tbMoveset!A2:I112,9,FALSE)="Thunder",Backdoors!BD40,IF(VLOOKUP(tbMoveset!A78,tbMoveset!A2:I112,9,FALSE)="Ice",Backdoors!BE40,IF(VLOOKUP(tbMoveset!A78,tbMoveset!A2:I112,9,FALSE)="Dragon",Backdoors!BF40,Backdoors!BG40)))))/100,Backdoors!BG40/100),"")</f>
        <v>0</v>
      </c>
      <c r="JC78" s="49">
        <f>IFERROR(IF(VLOOKUP(A78,tbMoveset!A2:J112,10,FALSE)=TRUE,IF((Backdoors!AI12+IF(JA78&gt;=0.45,VLOOKUP(Calculator!E23,tbSkills!DH3:DI6,2,FALSE)+IF(AND(Calculator!B8=TRUE,Backdoors!BI40=TRUE),VLOOKUP(Calculator!E23,tbSkills!DH3:DJ6,3,FALSE),0),0))&gt;=0,1+(Backdoors!AL2*(IF((Backdoors!AI12+IF(JA78&gt;=0.45,VLOOKUP(Calculator!E23,tbSkills!DH3:DI6,2,FALSE)+IF(AND(Calculator!B8=TRUE,Backdoors!BI40=TRUE),VLOOKUP(Calculator!E23,tbSkills!DH3:DJ6,3,FALSE),0),0))&gt;=100,100,(Backdoors!AI12+IF(JA78&gt;=0.45,VLOOKUP(Calculator!E23,tbSkills!DH3:DI6,2,FALSE)+IF(AND(Calculator!B8=TRUE,Backdoors!BI40=TRUE),VLOOKUP(Calculator!E23,tbSkills!DH3:DJ6,3,FALSE),0),0)))/100)),(1-(0.25*((-Backdoors!AI12-IF(JA78&gt;=0.45,VLOOKUP(Calculator!E23,tbSkills!DH3:DI6,2,FALSE)+IF(AND(Calculator!B8=TRUE,Backdoors!BI40=TRUE),VLOOKUP(Calculator!E23,tbSkills!DH3:DJ6,3,FALSE),0),0))/100)))),1),"")</f>
        <v>1</v>
      </c>
      <c r="JD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A78)*JC78)*(VLOOKUP(A78,tbMoveset!A2:C112,3,FALSE)/100)*IF(VLOOKUP(A78,tbMoveset!A2:B112,2,FALSE)="Projectile",Backdoors!N10,Backdoors!N9),0),"")</f>
        <v/>
      </c>
      <c r="JE78" s="49">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42&gt;0,VLOOKUP(Calculator!E42,tbSkills!AC3:AD5,2,FALSE),Backdoors!AL3)*(IF((Backdoors!AI12+IF(JA78&gt;=0.45,VLOOKUP(Calculator!E23,tbSkills!DH3:DI6,2,FALSE)+IF(AND(Calculator!B8=TRUE,Backdoors!BI40=TRUE),VLOOKUP(Calculator!E23,tbSkills!DH3:DJ6,3,FALSE),0),0))&gt;=100,100,(Backdoors!AI12+IF(JA78&gt;=0.45,VLOOKUP(Calculator!E23,tbSkills!DH3:DI6,2,FALSE)+IF(AND(Calculator!B8=TRUE,Backdoors!BI40=TRUE),VLOOKUP(Calculator!E23,tbSkills!DH3:DJ6,3,FALSE),0),0)))/100)),1))*IF(VLOOKUP(A78,tbMoveset!A2:K112,11,FALSE)=TRUE,Backdoors!AC5,1))*JB78,0),"")</f>
        <v>0</v>
      </c>
      <c r="JF78" s="49">
        <f>VLOOKUP(A78,tbMoveset!A2:G112,7,FALSE)*IFERROR(IF(Backdoors!AI12&gt;=0,1+(IF(Calculator!E40&gt;0,VLOOKUP(Calculator!E40,tbSkills!AI3:AJ5,2,FALSE),Backdoors!AL4)*(IF((Backdoors!AI12+IF(JA78&gt;=0.45,VLOOKUP(Calculator!E23,tbSkills!DH3:DI6,2,FALSE)+IF(AND(Calculator!B8=TRUE,Backdoors!BI40=TRUE),VLOOKUP(Calculator!E23,tbSkills!DH3:DJ6,3,FALSE),0),0))&gt;=100,100,(Backdoors!AI12+IF(JA78&gt;=0.45,VLOOKUP(Calculator!E23,tbSkills!DH3:DI6,2,FALSE)+IF(AND(Calculator!B8=TRUE,Backdoors!BI40=TRUE),VLOOKUP(Calculator!E23,tbSkills!DH3:DJ6,3,FALSE),0),0)))/100)),1),1)</f>
        <v>0.4</v>
      </c>
      <c r="JG78" s="87">
        <f t="shared" si="88"/>
        <v>0</v>
      </c>
      <c r="JH78" s="86" t="str">
        <f>IFERROR(IF(VLOOKUP(A78,tbMoveset!A2:B112,2,FALSE)="Sever",Backdoors!AY41/100,IF(VLOOKUP(A78,tbMoveset!A2:B112,2,FALSE)="Blunt",Backdoors!AZ41/100,Backdoors!BA41/100)),"")</f>
        <v/>
      </c>
      <c r="JI78" s="49">
        <f>IFERROR(IF(VLOOKUP(tbMoveset!A78,tbMoveset!A2:H112,8,FALSE)="Other",IF(VLOOKUP(tbMoveset!A78,tbMoveset!A2:I112,9,FALSE)="Fire",Backdoors!BB41,IF(VLOOKUP(tbMoveset!A78,tbMoveset!A2:I112,9,FALSE)="Water",Backdoors!BC41,IF(VLOOKUP(tbMoveset!A78,tbMoveset!A2:I112,9,FALSE)="Thunder",Backdoors!BD41,IF(VLOOKUP(tbMoveset!A78,tbMoveset!A2:I112,9,FALSE)="Ice",Backdoors!BE41,IF(VLOOKUP(tbMoveset!A78,tbMoveset!A2:I112,9,FALSE)="Dragon",Backdoors!BF41,Backdoors!BG41)))))/100,Backdoors!BG41/100),"")</f>
        <v>0</v>
      </c>
      <c r="JJ78" s="49">
        <f>IFERROR(IF(VLOOKUP(A78,tbMoveset!A2:J112,10,FALSE)=TRUE,IF((Backdoors!AI12+IF(JH78&gt;=0.45,VLOOKUP(Calculator!E23,tbSkills!DH3:DI6,2,FALSE)+IF(AND(Calculator!B8=TRUE,Backdoors!BI41=TRUE),VLOOKUP(Calculator!E23,tbSkills!DH3:DJ6,3,FALSE),0),0))&gt;=0,1+(Backdoors!AL2*(IF((Backdoors!AI12+IF(JH78&gt;=0.45,VLOOKUP(Calculator!E23,tbSkills!DH3:DI6,2,FALSE)+IF(AND(Calculator!B8=TRUE,Backdoors!BI41=TRUE),VLOOKUP(Calculator!E23,tbSkills!DH3:DJ6,3,FALSE),0),0))&gt;=100,100,(Backdoors!AI12+IF(JH78&gt;=0.45,VLOOKUP(Calculator!E23,tbSkills!DH3:DI6,2,FALSE)+IF(AND(Calculator!B8=TRUE,Backdoors!BI41=TRUE),VLOOKUP(Calculator!E23,tbSkills!DH3:DJ6,3,FALSE),0),0)))/100)),(1-(0.25*((-Backdoors!AI12-IF(JH78&gt;=0.45,VLOOKUP(Calculator!E23,tbSkills!DH3:DI6,2,FALSE)+IF(AND(Calculator!B8=TRUE,Backdoors!BI41=TRUE),VLOOKUP(Calculator!E23,tbSkills!DH3:DJ6,3,FALSE),0),0))/100)))),1),"")</f>
        <v>1</v>
      </c>
      <c r="JK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H78)*JJ78)*(VLOOKUP(A78,tbMoveset!A2:C112,3,FALSE)/100)*IF(VLOOKUP(A78,tbMoveset!A2:B112,2,FALSE)="Projectile",Backdoors!N10,Backdoors!N9),0),"")</f>
        <v/>
      </c>
      <c r="JL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43&gt;0,VLOOKUP(Calculator!E43,tbSkills!AC3:AD5,2,FALSE),Backdoors!AL3)*(IF((Backdoors!AI12+IF(JH78&gt;=0.45,VLOOKUP(Calculator!E23,tbSkills!DH3:DI6,2,FALSE)+IF(AND(Calculator!B8=TRUE,Backdoors!BI41=TRUE),VLOOKUP(Calculator!E23,tbSkills!DH3:DJ6,3,FALSE),0),0))&gt;=100,100,(Backdoors!AI12+IF(JH78&gt;=0.45,VLOOKUP(Calculator!E23,tbSkills!DH3:DI6,2,FALSE)+IF(AND(Calculator!B8=TRUE,Backdoors!BI41=TRUE),VLOOKUP(Calculator!E23,tbSkills!DH3:DJ6,3,FALSE),0),0)))/100)),1))*IF(VLOOKUP(A78,tbMoveset!A2:K112,11,FALSE)=TRUE,Backdoors!AC5,1))*JI78,0),"")</f>
        <v/>
      </c>
      <c r="JM78" s="49">
        <f>VLOOKUP(A78,tbMoveset!A2:G112,7,FALSE)*IFERROR(IF(Backdoors!AI12&gt;=0,1+(IF(Calculator!E40&gt;0,VLOOKUP(Calculator!E40,tbSkills!AI3:AJ5,2,FALSE),Backdoors!AL4)*(IF((Backdoors!AI12+IF(JH78&gt;=0.45,VLOOKUP(Calculator!E23,tbSkills!DH3:DI6,2,FALSE)+IF(AND(Calculator!B8=TRUE,Backdoors!BI41=TRUE),VLOOKUP(Calculator!E23,tbSkills!DH3:DJ6,3,FALSE),0),0))&gt;=100,100,(Backdoors!AI12+IF(JH78&gt;=0.45,VLOOKUP(Calculator!E23,tbSkills!DH3:DI6,2,FALSE)+IF(AND(Calculator!B8=TRUE,Backdoors!BI41=TRUE),VLOOKUP(Calculator!E23,tbSkills!DH3:DJ6,3,FALSE),0),0)))/100)),1),1)</f>
        <v>0.4</v>
      </c>
      <c r="JN78" s="87">
        <f t="shared" si="89"/>
        <v>0</v>
      </c>
      <c r="JO78" s="86" t="str">
        <f>IFERROR(IF(VLOOKUP(A78,tbMoveset!A2:B112,2,FALSE)="Sever",Backdoors!AY42/100,IF(VLOOKUP(A78,tbMoveset!A2:B112,2,FALSE)="Blunt",Backdoors!AZ42/100,Backdoors!BA42/100)),"")</f>
        <v/>
      </c>
      <c r="JP78" s="49">
        <f>IFERROR(IF(VLOOKUP(tbMoveset!A78,tbMoveset!A2:H112,8,FALSE)="Other",IF(VLOOKUP(tbMoveset!A78,tbMoveset!A2:I112,9,FALSE)="Fire",Backdoors!BB42,IF(VLOOKUP(tbMoveset!A78,tbMoveset!A2:I112,9,FALSE)="Water",Backdoors!BC42,IF(VLOOKUP(tbMoveset!A78,tbMoveset!A2:I112,9,FALSE)="Thunder",Backdoors!BD42,IF(VLOOKUP(tbMoveset!A78,tbMoveset!A2:I112,9,FALSE)="Ice",Backdoors!BE42,IF(VLOOKUP(tbMoveset!A78,tbMoveset!A2:I112,9,FALSE)="Dragon",Backdoors!BF42,Backdoors!BG42)))))/100,Backdoors!BG42/100),"")</f>
        <v>0</v>
      </c>
      <c r="JQ78" s="49">
        <f>IFERROR(IF(VLOOKUP(A78,tbMoveset!A2:J112,10,FALSE)=TRUE,IF((Backdoors!AI12+IF(JO78&gt;=0.45,VLOOKUP(Calculator!E23,tbSkills!DH3:DI6,2,FALSE)+IF(AND(Calculator!B8=TRUE,Backdoors!BI42=TRUE),VLOOKUP(Calculator!E23,tbSkills!DH3:DJ6,3,FALSE),0),0))&gt;=0,1+(Backdoors!AL2*(IF((Backdoors!AI12+IF(JO78&gt;=0.45,VLOOKUP(Calculator!E23,tbSkills!DH3:DI6,2,FALSE)+IF(AND(Calculator!B8=TRUE,Backdoors!BI42=TRUE),VLOOKUP(Calculator!E23,tbSkills!DH3:DJ6,3,FALSE),0),0))&gt;=100,100,(Backdoors!AI12+IF(JO78&gt;=0.45,VLOOKUP(Calculator!E23,tbSkills!DH3:DI6,2,FALSE)+IF(AND(Calculator!B8=TRUE,Backdoors!BI42=TRUE),VLOOKUP(Calculator!E23,tbSkills!DH3:DJ6,3,FALSE),0),0)))/100)),(1-(0.25*((-Backdoors!AI12-IF(JO78&gt;=0.45,VLOOKUP(Calculator!E23,tbSkills!DH3:DI6,2,FALSE)+IF(AND(Calculator!B8=TRUE,Backdoors!BI42=TRUE),VLOOKUP(Calculator!E23,tbSkills!DH3:DJ6,3,FALSE),0),0))/100)))),1),"")</f>
        <v>1</v>
      </c>
      <c r="JR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O78)*JQ78)*(VLOOKUP(A78,tbMoveset!A2:C112,3,FALSE)/100)*IF(VLOOKUP(A78,tbMoveset!A2:B112,2,FALSE)="Projectile",Backdoors!N10,Backdoors!N9),0),"")</f>
        <v/>
      </c>
      <c r="JS78" s="49">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45&gt;0,VLOOKUP(Calculator!E45,tbSkills!AC3:AD5,2,FALSE),Backdoors!AL3)*(IF((Backdoors!AI12+IF(JO78&gt;=0.45,VLOOKUP(Calculator!E23,tbSkills!DH3:DI6,2,FALSE)+IF(AND(Calculator!B8=TRUE,Backdoors!BI42=TRUE),VLOOKUP(Calculator!E23,tbSkills!DH3:DJ6,3,FALSE),0),0))&gt;=100,100,(Backdoors!AI12+IF(JO78&gt;=0.45,VLOOKUP(Calculator!E23,tbSkills!DH3:DI6,2,FALSE)+IF(AND(Calculator!B8=TRUE,Backdoors!BI42=TRUE),VLOOKUP(Calculator!E23,tbSkills!DH3:DJ6,3,FALSE),0),0)))/100)),1))*IF(VLOOKUP(A78,tbMoveset!A2:K112,11,FALSE)=TRUE,Backdoors!AC5,1))*JP78,0),"")</f>
        <v>0</v>
      </c>
      <c r="JT78" s="49">
        <f>VLOOKUP(A78,tbMoveset!A2:G112,7,FALSE)*IFERROR(IF(Backdoors!AI12&gt;=0,1+(IF(Calculator!E40&gt;0,VLOOKUP(Calculator!E40,tbSkills!AI3:AJ5,2,FALSE),Backdoors!AL4)*(IF((Backdoors!AI12+IF(JO78&gt;=0.45,VLOOKUP(Calculator!E23,tbSkills!DH3:DI6,2,FALSE)+IF(AND(Calculator!B8=TRUE,Backdoors!BI42=TRUE),VLOOKUP(Calculator!E23,tbSkills!DH3:DJ6,3,FALSE),0),0))&gt;=100,100,(Backdoors!AI12+IF(JO78&gt;=0.45,VLOOKUP(Calculator!E23,tbSkills!DH3:DI6,2,FALSE)+IF(AND(Calculator!B8=TRUE,Backdoors!BI42=TRUE),VLOOKUP(Calculator!E23,tbSkills!DH3:DJ6,3,FALSE),0),0)))/100)),1),1)</f>
        <v>0.4</v>
      </c>
      <c r="JU78" s="87">
        <f t="shared" si="90"/>
        <v>0</v>
      </c>
      <c r="JV78" s="86" t="str">
        <f>IFERROR(IF(VLOOKUP(A78,tbMoveset!A2:B112,2,FALSE)="Sever",Backdoors!AY43/100,IF(VLOOKUP(A78,tbMoveset!A2:B112,2,FALSE)="Blunt",Backdoors!AZ43/100,Backdoors!BA43/100)),"")</f>
        <v/>
      </c>
      <c r="JW78" s="49">
        <f>IFERROR(IF(VLOOKUP(tbMoveset!A78,tbMoveset!A2:H112,8,FALSE)="Other",IF(VLOOKUP(tbMoveset!A78,tbMoveset!A2:I112,9,FALSE)="Fire",Backdoors!BB43,IF(VLOOKUP(tbMoveset!A78,tbMoveset!A2:I112,9,FALSE)="Water",Backdoors!BC43,IF(VLOOKUP(tbMoveset!A78,tbMoveset!A2:I112,9,FALSE)="Thunder",Backdoors!BD43,IF(VLOOKUP(tbMoveset!A78,tbMoveset!A2:I112,9,FALSE)="Ice",Backdoors!BE43,IF(VLOOKUP(tbMoveset!A78,tbMoveset!A2:I112,9,FALSE)="Dragon",Backdoors!BF43,Backdoors!BG43)))))/100,Backdoors!BG43/100),"")</f>
        <v>0</v>
      </c>
      <c r="JX78" s="49">
        <f>IFERROR(IF(VLOOKUP(A78,tbMoveset!A2:J112,10,FALSE)=TRUE,IF((Backdoors!AI12+IF(JV78&gt;=0.45,VLOOKUP(Calculator!E23,tbSkills!DH3:DI6,2,FALSE)+IF(AND(Calculator!B8=TRUE,Backdoors!BI43=TRUE),VLOOKUP(Calculator!E23,tbSkills!DH3:DJ6,3,FALSE),0),0))&gt;=0,1+(Backdoors!AL2*(IF((Backdoors!AI12+IF(JV78&gt;=0.45,VLOOKUP(Calculator!E23,tbSkills!DH3:DI6,2,FALSE)+IF(AND(Calculator!B8=TRUE,Backdoors!BI43=TRUE),VLOOKUP(Calculator!E23,tbSkills!DH3:DJ6,3,FALSE),0),0))&gt;=100,100,(Backdoors!AI12+IF(JV78&gt;=0.45,VLOOKUP(Calculator!E23,tbSkills!DH3:DI6,2,FALSE)+IF(AND(Calculator!B8=TRUE,Backdoors!BI43=TRUE),VLOOKUP(Calculator!E23,tbSkills!DH3:DJ6,3,FALSE),0),0)))/100)),(1-(0.25*((-Backdoors!AI12-IF(JV78&gt;=0.45,VLOOKUP(Calculator!E23,tbSkills!DH3:DI6,2,FALSE)+IF(AND(Calculator!B8=TRUE,Backdoors!BI43=TRUE),VLOOKUP(Calculator!E23,tbSkills!DH3:DJ6,3,FALSE),0),0))/100)))),1),"")</f>
        <v>1</v>
      </c>
      <c r="JY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V78)*JX78)*(VLOOKUP(A78,tbMoveset!A2:C112,3,FALSE)/100)*IF(VLOOKUP(A78,tbMoveset!A2:B112,2,FALSE)="Projectile",Backdoors!N10,Backdoors!N9),0),"")</f>
        <v/>
      </c>
      <c r="JZ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46&gt;0,VLOOKUP(Calculator!E46,tbSkills!AC3:AD5,2,FALSE),Backdoors!AL3)*(IF((Backdoors!AI12+IF(JV78&gt;=0.45,VLOOKUP(Calculator!E23,tbSkills!DH3:DI6,2,FALSE)+IF(AND(Calculator!B8=TRUE,Backdoors!BI43=TRUE),VLOOKUP(Calculator!E23,tbSkills!DH3:DJ6,3,FALSE),0),0))&gt;=100,100,(Backdoors!AI12+IF(JV78&gt;=0.45,VLOOKUP(Calculator!E23,tbSkills!DH3:DI6,2,FALSE)+IF(AND(Calculator!B8=TRUE,Backdoors!BI43=TRUE),VLOOKUP(Calculator!E23,tbSkills!DH3:DJ6,3,FALSE),0),0)))/100)),1))*IF(VLOOKUP(A78,tbMoveset!A2:K112,11,FALSE)=TRUE,Backdoors!AC5,1))*JW78,0),"")</f>
        <v/>
      </c>
      <c r="KA78" s="49">
        <f>VLOOKUP(A78,tbMoveset!A2:G112,7,FALSE)*IFERROR(IF(Backdoors!AI12&gt;=0,1+(IF(Calculator!E40&gt;0,VLOOKUP(Calculator!E40,tbSkills!AI3:AJ5,2,FALSE),Backdoors!AL4)*(IF((Backdoors!AI12+IF(JV78&gt;=0.45,VLOOKUP(Calculator!E23,tbSkills!DH3:DI6,2,FALSE)+IF(AND(Calculator!B8=TRUE,Backdoors!BI43=TRUE),VLOOKUP(Calculator!E23,tbSkills!DH3:DJ6,3,FALSE),0),0))&gt;=100,100,(Backdoors!AI12+IF(JV78&gt;=0.45,VLOOKUP(Calculator!E23,tbSkills!DH3:DI6,2,FALSE)+IF(AND(Calculator!B8=TRUE,Backdoors!BI43=TRUE),VLOOKUP(Calculator!E23,tbSkills!DH3:DJ6,3,FALSE),0),0)))/100)),1),1)</f>
        <v>0.4</v>
      </c>
      <c r="KB78" s="87">
        <f t="shared" si="91"/>
        <v>0</v>
      </c>
      <c r="KC78" s="86" t="str">
        <f>IFERROR(IF(VLOOKUP(A78,tbMoveset!A2:B112,2,FALSE)="Sever",Backdoors!AY44/100,IF(VLOOKUP(A78,tbMoveset!A2:B112,2,FALSE)="Blunt",Backdoors!AZ44/100,Backdoors!BA44/100)),"")</f>
        <v/>
      </c>
      <c r="KD78" s="49">
        <f>IFERROR(IF(VLOOKUP(tbMoveset!A78,tbMoveset!A2:H112,8,FALSE)="Other",IF(VLOOKUP(tbMoveset!A78,tbMoveset!A2:I112,9,FALSE)="Fire",Backdoors!BB44,IF(VLOOKUP(tbMoveset!A78,tbMoveset!A2:I112,9,FALSE)="Water",Backdoors!BC44,IF(VLOOKUP(tbMoveset!A78,tbMoveset!A2:I112,9,FALSE)="Thunder",Backdoors!BD44,IF(VLOOKUP(tbMoveset!A78,tbMoveset!A2:I112,9,FALSE)="Ice",Backdoors!BE44,IF(VLOOKUP(tbMoveset!A78,tbMoveset!A2:I112,9,FALSE)="Dragon",Backdoors!BF44,Backdoors!BG44)))))/100,Backdoors!BG44/100),"")</f>
        <v>0</v>
      </c>
      <c r="KE78" s="49">
        <f>IFERROR(IF(VLOOKUP(A78,tbMoveset!A2:J112,10,FALSE)=TRUE,IF((Backdoors!AI12+IF(KC78&gt;=0.45,VLOOKUP(Calculator!E23,tbSkills!DH3:DI6,2,FALSE)+IF(AND(Calculator!B8=TRUE,Backdoors!BI44=TRUE),VLOOKUP(Calculator!E23,tbSkills!DH3:DJ6,3,FALSE),0),0))&gt;=0,1+(Backdoors!AL2*(IF((Backdoors!AI12+IF(KC78&gt;=0.45,VLOOKUP(Calculator!E23,tbSkills!DH3:DI6,2,FALSE)+IF(AND(Calculator!B8=TRUE,Backdoors!BI44=TRUE),VLOOKUP(Calculator!E23,tbSkills!DH3:DJ6,3,FALSE),0),0))&gt;=100,100,(Backdoors!AI12+IF(KC78&gt;=0.45,VLOOKUP(Calculator!E23,tbSkills!DH3:DI6,2,FALSE)+IF(AND(Calculator!B8=TRUE,Backdoors!BI44=TRUE),VLOOKUP(Calculator!E23,tbSkills!DH3:DJ6,3,FALSE),0),0)))/100)),(1-(0.25*((-Backdoors!AI12-IF(KC78&gt;=0.45,VLOOKUP(Calculator!E23,tbSkills!DH3:DI6,2,FALSE)+IF(AND(Calculator!B8=TRUE,Backdoors!BI44=TRUE),VLOOKUP(Calculator!E23,tbSkills!DH3:DJ6,3,FALSE),0),0))/100)))),1),"")</f>
        <v>1</v>
      </c>
      <c r="KF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KC78)*KE78)*(VLOOKUP(A78,tbMoveset!A2:C112,3,FALSE)/100)*IF(VLOOKUP(A78,tbMoveset!A2:B112,2,FALSE)="Projectile",Backdoors!N10,Backdoors!N9),0),"")</f>
        <v/>
      </c>
      <c r="KG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REF!&gt;0,VLOOKUP(Calculator!#REF!,tbSkills!AC3:AD5,2,FALSE),Backdoors!AL3)*(IF((Backdoors!AI12+IF(KC78&gt;=0.45,VLOOKUP(Calculator!E23,tbSkills!DH3:DI6,2,FALSE)+IF(AND(Calculator!B8=TRUE,Backdoors!BI44=TRUE),VLOOKUP(Calculator!E23,tbSkills!DH3:DJ6,3,FALSE),0),0))&gt;=100,100,(Backdoors!AI12+IF(KC78&gt;=0.45,VLOOKUP(Calculator!E23,tbSkills!DH3:DI6,2,FALSE)+IF(AND(Calculator!B8=TRUE,Backdoors!BI44=TRUE),VLOOKUP(Calculator!E23,tbSkills!DH3:DJ6,3,FALSE),0),0)))/100)),1))*IF(VLOOKUP(A78,tbMoveset!A2:K112,11,FALSE)=TRUE,Backdoors!AC5,1))*KD78,0),"")</f>
        <v/>
      </c>
      <c r="KH78" s="49">
        <f>VLOOKUP(A78,tbMoveset!A2:G112,7,FALSE)*IFERROR(IF(Backdoors!AI12&gt;=0,1+(IF(Calculator!E40&gt;0,VLOOKUP(Calculator!E40,tbSkills!AI3:AJ5,2,FALSE),Backdoors!AL4)*(IF((Backdoors!AI12+IF(KC78&gt;=0.45,VLOOKUP(Calculator!E23,tbSkills!DH3:DI6,2,FALSE)+IF(AND(Calculator!B8=TRUE,Backdoors!BI44=TRUE),VLOOKUP(Calculator!E23,tbSkills!DH3:DJ6,3,FALSE),0),0))&gt;=100,100,(Backdoors!AI12+IF(KC78&gt;=0.45,VLOOKUP(Calculator!E23,tbSkills!DH3:DI6,2,FALSE)+IF(AND(Calculator!B8=TRUE,Backdoors!BI44=TRUE),VLOOKUP(Calculator!E23,tbSkills!DH3:DJ6,3,FALSE),0),0)))/100)),1),1)</f>
        <v>0.4</v>
      </c>
      <c r="KI78" s="87">
        <f t="shared" si="92"/>
        <v>0</v>
      </c>
      <c r="KJ78" s="86" t="str">
        <f>IFERROR(IF(VLOOKUP(A78,tbMoveset!A2:B112,2,FALSE)="Sever",Backdoors!AY45/100,IF(VLOOKUP(A78,tbMoveset!A2:B112,2,FALSE)="Blunt",Backdoors!AZ45/100,Backdoors!BA45/100)),"")</f>
        <v/>
      </c>
      <c r="KK78" s="49">
        <f>IFERROR(IF(VLOOKUP(tbMoveset!A78,tbMoveset!A2:H112,8,FALSE)="Other",IF(VLOOKUP(tbMoveset!A78,tbMoveset!A2:I112,9,FALSE)="Fire",Backdoors!BB45,IF(VLOOKUP(tbMoveset!A78,tbMoveset!A2:I112,9,FALSE)="Water",Backdoors!BC45,IF(VLOOKUP(tbMoveset!A78,tbMoveset!A2:I112,9,FALSE)="Thunder",Backdoors!BD45,IF(VLOOKUP(tbMoveset!A78,tbMoveset!A2:I112,9,FALSE)="Ice",Backdoors!BE45,IF(VLOOKUP(tbMoveset!A78,tbMoveset!A2:I112,9,FALSE)="Dragon",Backdoors!BF45,Backdoors!BG45)))))/100,Backdoors!BG45/100),"")</f>
        <v>0</v>
      </c>
      <c r="KL78" s="49">
        <f>IFERROR(IF(VLOOKUP(A78,tbMoveset!A2:J112,10,FALSE)=TRUE,IF((Backdoors!AI12+IF(KJ78&gt;=0.45,VLOOKUP(Calculator!E23,tbSkills!DH3:DI6,2,FALSE)+IF(AND(Calculator!B8=TRUE,Backdoors!BI45=TRUE),VLOOKUP(Calculator!E23,tbSkills!DH3:DJ6,3,FALSE),0),0))&gt;=0,1+(Backdoors!AL2*(IF((Backdoors!AI12+IF(KJ78&gt;=0.45,VLOOKUP(Calculator!E23,tbSkills!DH3:DI6,2,FALSE)+IF(AND(Calculator!B8=TRUE,Backdoors!BI45=TRUE),VLOOKUP(Calculator!E23,tbSkills!DH3:DJ6,3,FALSE),0),0))&gt;=100,100,(Backdoors!AI12+IF(KJ78&gt;=0.45,VLOOKUP(Calculator!E23,tbSkills!DH3:DI6,2,FALSE)+IF(AND(Calculator!B8=TRUE,Backdoors!BI45=TRUE),VLOOKUP(Calculator!E23,tbSkills!DH3:DJ6,3,FALSE),0),0)))/100)),(1-(0.25*((-Backdoors!AI12-IF(KJ78&gt;=0.45,VLOOKUP(Calculator!E23,tbSkills!DH3:DI6,2,FALSE)+IF(AND(Calculator!B8=TRUE,Backdoors!BI45=TRUE),VLOOKUP(Calculator!E23,tbSkills!DH3:DJ6,3,FALSE),0),0))/100)))),1),"")</f>
        <v>1</v>
      </c>
      <c r="KM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KJ78)*KL78)*(VLOOKUP(A78,tbMoveset!A2:C112,3,FALSE)/100)*IF(VLOOKUP(A78,tbMoveset!A2:B112,2,FALSE)="Projectile",Backdoors!N10,Backdoors!N9),0),"")</f>
        <v/>
      </c>
      <c r="KN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REF!&gt;0,VLOOKUP(Calculator!#REF!,tbSkills!AC3:AD5,2,FALSE),Backdoors!AL3)*(IF((Backdoors!AI12+IF(KJ78&gt;=0.45,VLOOKUP(Calculator!E23,tbSkills!DH3:DI6,2,FALSE)+IF(AND(Calculator!B8=TRUE,Backdoors!BI45=TRUE),VLOOKUP(Calculator!E23,tbSkills!DH3:DJ6,3,FALSE),0),0))&gt;=100,100,(Backdoors!AI12+IF(KJ78&gt;=0.45,VLOOKUP(Calculator!E23,tbSkills!DH3:DI6,2,FALSE)+IF(AND(Calculator!B8=TRUE,Backdoors!BI45=TRUE),VLOOKUP(Calculator!E23,tbSkills!DH3:DJ6,3,FALSE),0),0)))/100)),1))*IF(VLOOKUP(A78,tbMoveset!A2:K112,11,FALSE)=TRUE,Backdoors!AC5,1))*KK78,0),"")</f>
        <v/>
      </c>
      <c r="KO78" s="49">
        <f>VLOOKUP(A78,tbMoveset!A2:G112,7,FALSE)*IFERROR(IF(Backdoors!AI12&gt;=0,1+(IF(Calculator!E40&gt;0,VLOOKUP(Calculator!E40,tbSkills!AI3:AJ5,2,FALSE),Backdoors!AL4)*(IF((Backdoors!AI12+IF(KJ78&gt;=0.45,VLOOKUP(Calculator!E23,tbSkills!DH3:DI6,2,FALSE)+IF(AND(Calculator!B8=TRUE,Backdoors!BI45=TRUE),VLOOKUP(Calculator!E23,tbSkills!DH3:DJ6,3,FALSE),0),0))&gt;=100,100,(Backdoors!AI12+IF(KJ78&gt;=0.45,VLOOKUP(Calculator!E23,tbSkills!DH3:DI6,2,FALSE)+IF(AND(Calculator!B8=TRUE,Backdoors!BI45=TRUE),VLOOKUP(Calculator!E23,tbSkills!DH3:DJ6,3,FALSE),0),0)))/100)),1),1)</f>
        <v>0.4</v>
      </c>
      <c r="KP78" s="87">
        <f t="shared" si="93"/>
        <v>0</v>
      </c>
      <c r="KQ78" s="86" t="str">
        <f>IFERROR(IF(VLOOKUP(A78,tbMoveset!A2:B112,2,FALSE)="Sever",Backdoors!AY46/100,IF(VLOOKUP(A78,tbMoveset!A2:B112,2,FALSE)="Blunt",Backdoors!AZ46/100,Backdoors!BA46/100)),"")</f>
        <v/>
      </c>
      <c r="KR78" s="49">
        <f>IFERROR(IF(VLOOKUP(tbMoveset!A78,tbMoveset!A2:H112,8,FALSE)="Other",IF(VLOOKUP(tbMoveset!A78,tbMoveset!A2:I112,9,FALSE)="Fire",Backdoors!BB46,IF(VLOOKUP(tbMoveset!A78,tbMoveset!A2:I112,9,FALSE)="Water",Backdoors!BC46,IF(VLOOKUP(tbMoveset!A78,tbMoveset!A2:I112,9,FALSE)="Thunder",Backdoors!BD46,IF(VLOOKUP(tbMoveset!A78,tbMoveset!A2:I112,9,FALSE)="Ice",Backdoors!BE46,IF(VLOOKUP(tbMoveset!A78,tbMoveset!A2:I112,9,FALSE)="Dragon",Backdoors!BF46,Backdoors!BG46)))))/100,Backdoors!BG46/100),"")</f>
        <v>0</v>
      </c>
      <c r="KS78" s="49">
        <f>IFERROR(IF(VLOOKUP(A78,tbMoveset!A2:J112,10,FALSE)=TRUE,IF((Backdoors!AI12+IF(KQ78&gt;=0.45,VLOOKUP(Calculator!E23,tbSkills!DH3:DI6,2,FALSE)+IF(AND(Calculator!B8=TRUE,Backdoors!BI46=TRUE),VLOOKUP(Calculator!E23,tbSkills!DH3:DJ6,3,FALSE),0),0))&gt;=0,1+(Backdoors!AL2*(IF((Backdoors!AI12+IF(KQ78&gt;=0.45,VLOOKUP(Calculator!E23,tbSkills!DH3:DI6,2,FALSE)+IF(AND(Calculator!B8=TRUE,Backdoors!BI46=TRUE),VLOOKUP(Calculator!E23,tbSkills!DH3:DJ6,3,FALSE),0),0))&gt;=100,100,(Backdoors!AI12+IF(KQ78&gt;=0.45,VLOOKUP(Calculator!E23,tbSkills!DH3:DI6,2,FALSE)+IF(AND(Calculator!B8=TRUE,Backdoors!BI46=TRUE),VLOOKUP(Calculator!E23,tbSkills!DH3:DJ6,3,FALSE),0),0)))/100)),(1-(0.25*((-Backdoors!AI12-IF(KQ78&gt;=0.45,VLOOKUP(Calculator!E23,tbSkills!DH3:DI6,2,FALSE)+IF(AND(Calculator!B8=TRUE,Backdoors!BI46=TRUE),VLOOKUP(Calculator!E23,tbSkills!DH3:DJ6,3,FALSE),0),0))/100)))),1),"")</f>
        <v>1</v>
      </c>
      <c r="KT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KQ78)*KS78)*(VLOOKUP(A78,tbMoveset!A2:C112,3,FALSE)/100)*IF(VLOOKUP(A78,tbMoveset!A2:B112,2,FALSE)="Projectile",Backdoors!N10,Backdoors!N9),0),"")</f>
        <v/>
      </c>
      <c r="KU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REF!&gt;0,VLOOKUP(Calculator!#REF!,tbSkills!AC3:AD5,2,FALSE),Backdoors!AL3)*(IF((Backdoors!AI12+IF(KQ78&gt;=0.45,VLOOKUP(Calculator!E23,tbSkills!DH3:DI6,2,FALSE)+IF(AND(Calculator!B8=TRUE,Backdoors!BI46=TRUE),VLOOKUP(Calculator!E23,tbSkills!DH3:DJ6,3,FALSE),0),0))&gt;=100,100,(Backdoors!AI12+IF(KQ78&gt;=0.45,VLOOKUP(Calculator!E23,tbSkills!DH3:DI6,2,FALSE)+IF(AND(Calculator!B8=TRUE,Backdoors!BI46=TRUE),VLOOKUP(Calculator!E23,tbSkills!DH3:DJ6,3,FALSE),0),0)))/100)),1))*IF(VLOOKUP(A78,tbMoveset!A2:K112,11,FALSE)=TRUE,Backdoors!AC5,1))*KR78,0),"")</f>
        <v/>
      </c>
      <c r="KV78" s="49">
        <f>VLOOKUP(A78,tbMoveset!A2:G112,7,FALSE)*IFERROR(IF(Backdoors!AI12&gt;=0,1+(IF(Calculator!E40&gt;0,VLOOKUP(Calculator!E40,tbSkills!AI3:AJ5,2,FALSE),Backdoors!AL4)*(IF((Backdoors!AI12+IF(KQ78&gt;=0.45,VLOOKUP(Calculator!E23,tbSkills!DH3:DI6,2,FALSE)+IF(AND(Calculator!B8=TRUE,Backdoors!BI46=TRUE),VLOOKUP(Calculator!E23,tbSkills!DH3:DJ6,3,FALSE),0),0))&gt;=100,100,(Backdoors!AI12+IF(KQ78&gt;=0.45,VLOOKUP(Calculator!E23,tbSkills!DH3:DI6,2,FALSE)+IF(AND(Calculator!B8=TRUE,Backdoors!BI46=TRUE),VLOOKUP(Calculator!E23,tbSkills!DH3:DJ6,3,FALSE),0),0)))/100)),1),1)</f>
        <v>0.4</v>
      </c>
      <c r="KW78" s="87">
        <f t="shared" si="94"/>
        <v>0</v>
      </c>
    </row>
    <row r="79" spans="1:309" x14ac:dyDescent="0.25">
      <c r="A79" s="95" t="str">
        <f>tbMoveset!A79</f>
        <v>Midair Spinning Blade Dance (R2)</v>
      </c>
      <c r="B79" s="86">
        <f>IFERROR(IF(VLOOKUP(A79,tbMoveset!A2:B112,2,FALSE)="Sever",Backdoors!AY3/100,IF(VLOOKUP(A79,tbMoveset!A2:B112,2,FALSE)="Blunt",Backdoors!AZ3/100,Backdoors!BA3/100)),"")</f>
        <v>0.8</v>
      </c>
      <c r="C79" s="49">
        <f>IFERROR(IF(VLOOKUP(tbMoveset!A79,tbMoveset!A2:H112,8,FALSE)="Other",IF(VLOOKUP(tbMoveset!A79,tbMoveset!A2:I112,9,FALSE)="Fire",Backdoors!BB3,IF(VLOOKUP(tbMoveset!A79,tbMoveset!A2:I112,9,FALSE)="Water",Backdoors!BC3,IF(VLOOKUP(tbMoveset!A79,tbMoveset!A2:I112,9,FALSE)="Thunder",Backdoors!BD3,IF(VLOOKUP(tbMoveset!A79,tbMoveset!A2:I112,9,FALSE)="Ice",Backdoors!BE3,IF(VLOOKUP(tbMoveset!A79,tbMoveset!A2:I112,9,FALSE)="Dragon",Backdoors!BF3,Backdoors!BG3)))))/100,Backdoors!BG3/100),"")</f>
        <v>0</v>
      </c>
      <c r="D79" s="49">
        <f>IFERROR(IF(VLOOKUP(A79,tbMoveset!A2:J112,10,FALSE)=TRUE,IF((Backdoors!AI12+IF(B79&gt;=0.45,VLOOKUP(Calculator!E23,tbSkills!DH3:DI6,2,FALSE)+IF(AND(Calculator!B8=TRUE,Backdoors!BI3=TRUE),VLOOKUP(Calculator!E23,tbSkills!DH3:DJ6,3,FALSE),0),0))&gt;=0,1+(Backdoors!AL2*(IF((Backdoors!AI12+IF(B79&gt;=0.45,VLOOKUP(Calculator!E23,tbSkills!DH3:DI6,2,FALSE)+IF(AND(Calculator!B8=TRUE,Backdoors!BI3=TRUE),VLOOKUP(Calculator!E23,tbSkills!DH3:DJ6,3,FALSE),0),0))&gt;=100,100,(Backdoors!AI12+IF(B79&gt;=0.45,VLOOKUP(Calculator!E23,tbSkills!DH3:DI6,2,FALSE)+IF(AND(Calculator!B8=TRUE,Backdoors!BI3=TRUE),VLOOKUP(Calculator!E23,tbSkills!DH3:DJ6,3,FALSE),0),0)))/100)),(1-(0.25*((-Backdoors!AI12-IF(B79&gt;=0.45,VLOOKUP(Calculator!E23,tbSkills!DH3:DI6,2,FALSE)+IF(AND(Calculator!B8=TRUE,Backdoors!BI3=TRUE),VLOOKUP(Calculator!E23,tbSkills!DH3:DJ6,3,FALSE),0),0))/100)))),1),"")</f>
        <v>1</v>
      </c>
      <c r="E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79)*D79)*(VLOOKUP(A79,tbMoveset!A2:C112,3,FALSE)/100)*IF(VLOOKUP(A79,tbMoveset!A2:B112,2,FALSE)="Projectile",Backdoors!N10,Backdoors!N9),0),"")</f>
        <v>10</v>
      </c>
      <c r="F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79&gt;=0.45,VLOOKUP(Calculator!E23,tbSkills!DH3:DI6,2,FALSE)+IF(AND(Calculator!B8=TRUE,Backdoors!BI3=TRUE),VLOOKUP(Calculator!E23,tbSkills!DH3:DJ6,3,FALSE),0),0))&gt;=100,100,(Backdoors!AI12+IF(B79&gt;=0.45,VLOOKUP(Calculator!E23,tbSkills!DH3:DI6,2,FALSE)+IF(AND(Calculator!B8=TRUE,Backdoors!BI3=TRUE),VLOOKUP(Calculator!E23,tbSkills!DH3:DJ6,3,FALSE),0),0)))/100)),1))*IF(VLOOKUP(A79,tbMoveset!A2:K112,11,FALSE)=TRUE,Backdoors!AC5,1))*C79,0),"")</f>
        <v>0</v>
      </c>
      <c r="G79">
        <f>VLOOKUP(A79,tbMoveset!A2:G112,7,FALSE)*IFERROR(IF(Backdoors!AI12&gt;=0,1+(IF(Calculator!E40&gt;0,VLOOKUP(Calculator!E40,tbSkills!AI3:AJ5,2,FALSE),Backdoors!AL4)*(IF((Backdoors!AI12+IF(B79&gt;=0.45,VLOOKUP(Calculator!E23,tbSkills!DH3:DI6,2,FALSE)+IF(AND(Calculator!B8=TRUE,Backdoors!BI3=TRUE),VLOOKUP(Calculator!E23,tbSkills!DH3:DJ6,3,FALSE),0),0))&gt;=100,100,(Backdoors!AI12+IF(B79&gt;=0.45,VLOOKUP(Calculator!E23,tbSkills!DH3:DI6,2,FALSE)+IF(AND(Calculator!B8=TRUE,Backdoors!BI3=TRUE),VLOOKUP(Calculator!E23,tbSkills!DH3:DJ6,3,FALSE),0),0)))/100)),1),1)</f>
        <v>0.6</v>
      </c>
      <c r="H79" s="87">
        <f t="shared" si="51"/>
        <v>10</v>
      </c>
      <c r="I79" s="86">
        <f>IFERROR(IF(VLOOKUP(A79,tbMoveset!A2:B112,2,FALSE)="Sever",Backdoors!AY4/100,IF(VLOOKUP(A79,tbMoveset!A2:B112,2,FALSE)="Blunt",Backdoors!AZ4/100,Backdoors!BA4/100)),"")</f>
        <v>0.65</v>
      </c>
      <c r="J79" s="49">
        <f>IFERROR(IF(VLOOKUP(tbMoveset!A79,tbMoveset!A2:H112,8,FALSE)="Other",IF(VLOOKUP(tbMoveset!A79,tbMoveset!A2:I112,9,FALSE)="Fire",Backdoors!BB4,IF(VLOOKUP(tbMoveset!A79,tbMoveset!A2:I112,9,FALSE)="Water",Backdoors!BC4,IF(VLOOKUP(tbMoveset!A79,tbMoveset!A2:I112,9,FALSE)="Thunder",Backdoors!BD4,IF(VLOOKUP(tbMoveset!A79,tbMoveset!A2:I112,9,FALSE)="Ice",Backdoors!BE4,IF(VLOOKUP(tbMoveset!A79,tbMoveset!A2:I112,9,FALSE)="Dragon",Backdoors!BF4,Backdoors!BG4)))))/100,Backdoors!BG4/100),"")</f>
        <v>0</v>
      </c>
      <c r="K79" s="49">
        <f>IFERROR(IF(VLOOKUP(A79,tbMoveset!A2:J112,10,FALSE)=TRUE,IF((Backdoors!AI12+IF(I79&gt;=0.45,VLOOKUP(Calculator!E23,tbSkills!DH3:DI6,2,FALSE)+IF(AND(Calculator!B8=TRUE,Backdoors!BI4=TRUE),VLOOKUP(Calculator!E23,tbSkills!DH3:DJ6,3,FALSE),0),0))&gt;=0,1+(Backdoors!AL2*(IF((Backdoors!AI12+IF(I79&gt;=0.45,VLOOKUP(Calculator!E23,tbSkills!DH3:DI6,2,FALSE)+IF(AND(Calculator!B8=TRUE,Backdoors!BI4=TRUE),VLOOKUP(Calculator!E23,tbSkills!DH3:DJ6,3,FALSE),0),0))&gt;=100,100,(Backdoors!AI12+IF(I79&gt;=0.45,VLOOKUP(Calculator!E23,tbSkills!DH3:DI6,2,FALSE)+IF(AND(Calculator!B8=TRUE,Backdoors!BI4=TRUE),VLOOKUP(Calculator!E23,tbSkills!DH3:DJ6,3,FALSE),0),0)))/100)),(1-(0.25*((-Backdoors!AI12-IF(I79&gt;=0.45,VLOOKUP(Calculator!E23,tbSkills!DH3:DI6,2,FALSE)+IF(AND(Calculator!B8=TRUE,Backdoors!BI4=TRUE),VLOOKUP(Calculator!E23,tbSkills!DH3:DJ6,3,FALSE),0),0))/100)))),1),"")</f>
        <v>1</v>
      </c>
      <c r="L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79)*K79)*(VLOOKUP(A79,tbMoveset!A2:C112,3,FALSE)/100)*IF(VLOOKUP(A79,tbMoveset!A2:B112,2,FALSE)="Projectile",Backdoors!N10,Backdoors!N9),0),"")</f>
        <v>8</v>
      </c>
      <c r="M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I79&gt;=0.45,VLOOKUP(Calculator!E23,tbSkills!DH3:DI6,2,FALSE)+IF(AND(Calculator!B8=TRUE,Backdoors!BI4=TRUE),VLOOKUP(Calculator!E23,tbSkills!DH3:DJ6,3,FALSE),0),0))&gt;=100,100,(Backdoors!AI12+IF(I79&gt;=0.45,VLOOKUP(Calculator!E23,tbSkills!DH3:DI6,2,FALSE)+IF(AND(Calculator!B8=TRUE,Backdoors!BI4=TRUE),VLOOKUP(Calculator!E23,tbSkills!DH3:DJ6,3,FALSE),0),0)))/100)),1))*IF(VLOOKUP(A79,tbMoveset!A2:K112,11,FALSE)=TRUE,Backdoors!AC5,1))*J79,0),"")</f>
        <v>0</v>
      </c>
      <c r="N79" s="49">
        <f>VLOOKUP(A79,tbMoveset!A2:G112,7,FALSE)*IFERROR(IF(Backdoors!AI12&gt;=0,1+(IF(Calculator!E40&gt;0,VLOOKUP(Calculator!E40,tbSkills!AI3:AJ5,2,FALSE),Backdoors!AL4)*(IF((Backdoors!AI12+IF(I79&gt;=0.45,VLOOKUP(Calculator!E23,tbSkills!DH3:DI6,2,FALSE)+IF(AND(Calculator!B8=TRUE,Backdoors!BI4=TRUE),VLOOKUP(Calculator!E23,tbSkills!DH3:DJ6,3,FALSE),0),0))&gt;=100,100,(Backdoors!AI12+IF(I79&gt;=0.45,VLOOKUP(Calculator!E23,tbSkills!DH3:DI6,2,FALSE)+IF(AND(Calculator!B8=TRUE,Backdoors!BI4=TRUE),VLOOKUP(Calculator!E23,tbSkills!DH3:DJ6,3,FALSE),0),0)))/100)),1),1)</f>
        <v>0.6</v>
      </c>
      <c r="O79" s="87">
        <f t="shared" si="52"/>
        <v>8</v>
      </c>
      <c r="P79" s="86">
        <f>IFERROR(IF(VLOOKUP(A79,tbMoveset!A2:B112,2,FALSE)="Sever",Backdoors!AY5/100,IF(VLOOKUP(A79,tbMoveset!A2:B112,2,FALSE)="Blunt",Backdoors!AZ5/100,Backdoors!BA5/100)),"")</f>
        <v>0.5</v>
      </c>
      <c r="Q79" s="49">
        <f>IFERROR(IF(VLOOKUP(tbMoveset!A79,tbMoveset!A2:H112,8,FALSE)="Other",IF(VLOOKUP(tbMoveset!A79,tbMoveset!A2:I112,9,FALSE)="Fire",Backdoors!BB5,IF(VLOOKUP(tbMoveset!A79,tbMoveset!A2:I112,9,FALSE)="Water",Backdoors!BC5,IF(VLOOKUP(tbMoveset!A79,tbMoveset!A2:I112,9,FALSE)="Thunder",Backdoors!BD5,IF(VLOOKUP(tbMoveset!A79,tbMoveset!A2:I112,9,FALSE)="Ice",Backdoors!BE5,IF(VLOOKUP(tbMoveset!A79,tbMoveset!A2:I112,9,FALSE)="Dragon",Backdoors!BF5,Backdoors!BG5)))))/100,Backdoors!BG5/100),"")</f>
        <v>0</v>
      </c>
      <c r="R79" s="49">
        <f>IFERROR(IF(VLOOKUP(A79,tbMoveset!A2:J112,10,FALSE)=TRUE,IF((Backdoors!AI12+IF(P79&gt;=0.45,VLOOKUP(Calculator!E23,tbSkills!DH3:DI6,2,FALSE)+IF(AND(Calculator!B8=TRUE,Backdoors!BI5=TRUE),VLOOKUP(Calculator!E23,tbSkills!DH3:DJ6,3,FALSE),0),0))&gt;=0,1+(Backdoors!AL2*(IF((Backdoors!AI12+IF(P79&gt;=0.45,VLOOKUP(Calculator!E23,tbSkills!DH3:DI6,2,FALSE)+IF(AND(Calculator!B8=TRUE,Backdoors!BI5=TRUE),VLOOKUP(Calculator!E23,tbSkills!DH3:DJ6,3,FALSE),0),0))&gt;=100,100,(Backdoors!AI12+IF(P79&gt;=0.45,VLOOKUP(Calculator!E23,tbSkills!DH3:DI6,2,FALSE)+IF(AND(Calculator!B8=TRUE,Backdoors!BI5=TRUE),VLOOKUP(Calculator!E23,tbSkills!DH3:DJ6,3,FALSE),0),0)))/100)),(1-(0.25*((-Backdoors!AI12-IF(P79&gt;=0.45,VLOOKUP(Calculator!E23,tbSkills!DH3:DI6,2,FALSE)+IF(AND(Calculator!B8=TRUE,Backdoors!BI5=TRUE),VLOOKUP(Calculator!E23,tbSkills!DH3:DJ6,3,FALSE),0),0))/100)))),1),"")</f>
        <v>1</v>
      </c>
      <c r="S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P79)*R79)*(VLOOKUP(A79,tbMoveset!A2:C112,3,FALSE)/100)*IF(VLOOKUP(A79,tbMoveset!A2:B112,2,FALSE)="Projectile",Backdoors!N10,Backdoors!N9),0),"")</f>
        <v>6</v>
      </c>
      <c r="T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P79&gt;=0.45,VLOOKUP(Calculator!E23,tbSkills!DH3:DI6,2,FALSE)+IF(AND(Calculator!B8=TRUE,Backdoors!BI5=TRUE),VLOOKUP(Calculator!E23,tbSkills!DH3:DJ6,3,FALSE),0),0))&gt;=100,100,(Backdoors!AI12+IF(P79&gt;=0.45,VLOOKUP(Calculator!E23,tbSkills!DH3:DI6,2,FALSE)+IF(AND(Calculator!B8=TRUE,Backdoors!BI5=TRUE),VLOOKUP(Calculator!E23,tbSkills!DH3:DJ6,3,FALSE),0),0)))/100)),1))*IF(VLOOKUP(A79,tbMoveset!A2:K112,11,FALSE)=TRUE,Backdoors!AC5,1))*Q79,0),"")</f>
        <v>0</v>
      </c>
      <c r="U79" s="49">
        <f>VLOOKUP(A79,tbMoveset!A2:G112,7,FALSE)*IFERROR(IF(Backdoors!AI12&gt;=0,1+(IF(Calculator!E40&gt;0,VLOOKUP(Calculator!E40,tbSkills!AI3:AJ5,2,FALSE),Backdoors!AL4)*(IF((Backdoors!AI12+IF(P79&gt;=0.45,VLOOKUP(Calculator!E23,tbSkills!DH3:DI6,2,FALSE)+IF(AND(Calculator!B8=TRUE,Backdoors!BI5=TRUE),VLOOKUP(Calculator!E23,tbSkills!DH3:DJ6,3,FALSE),0),0))&gt;=100,100,(Backdoors!AI12+IF(P79&gt;=0.45,VLOOKUP(Calculator!E23,tbSkills!DH3:DI6,2,FALSE)+IF(AND(Calculator!B8=TRUE,Backdoors!BI5=TRUE),VLOOKUP(Calculator!E23,tbSkills!DH3:DJ6,3,FALSE),0),0)))/100)),1),1)</f>
        <v>0.6</v>
      </c>
      <c r="V79" s="87">
        <f t="shared" si="53"/>
        <v>6</v>
      </c>
      <c r="W79" s="86">
        <f>IFERROR(IF(VLOOKUP(A79,tbMoveset!A2:B112,2,FALSE)="Sever",Backdoors!AY6/100,IF(VLOOKUP(A79,tbMoveset!A2:B112,2,FALSE)="Blunt",Backdoors!AZ6/100,Backdoors!BA6/100)),"")</f>
        <v>0.45</v>
      </c>
      <c r="X79" s="49">
        <f>IFERROR(IF(VLOOKUP(tbMoveset!A79,tbMoveset!A2:H112,8,FALSE)="Other",IF(VLOOKUP(tbMoveset!A79,tbMoveset!A2:I112,9,FALSE)="Fire",Backdoors!BB6,IF(VLOOKUP(tbMoveset!A79,tbMoveset!A2:I112,9,FALSE)="Water",Backdoors!BC6,IF(VLOOKUP(tbMoveset!A79,tbMoveset!A2:I112,9,FALSE)="Thunder",Backdoors!BD6,IF(VLOOKUP(tbMoveset!A79,tbMoveset!A2:I112,9,FALSE)="Ice",Backdoors!BE6,IF(VLOOKUP(tbMoveset!A79,tbMoveset!A2:I112,9,FALSE)="Dragon",Backdoors!BF6,Backdoors!BG6)))))/100,Backdoors!BG6/100),"")</f>
        <v>0</v>
      </c>
      <c r="Y79" s="49">
        <f>IFERROR(IF(VLOOKUP(A79,tbMoveset!A2:J112,10,FALSE)=TRUE,IF((Backdoors!AI12+IF(W79&gt;=0.45,VLOOKUP(Calculator!E23,tbSkills!DH3:DI6,2,FALSE)+IF(AND(Calculator!B8=TRUE,Backdoors!BI6=TRUE),VLOOKUP(Calculator!E23,tbSkills!DH3:DJ6,3,FALSE),0),0))&gt;=0,1+(Backdoors!AL2*(IF((Backdoors!AI12+IF(W79&gt;=0.45,VLOOKUP(Calculator!E23,tbSkills!DH3:DI6,2,FALSE)+IF(AND(Calculator!B8=TRUE,Backdoors!BI6=TRUE),VLOOKUP(Calculator!E23,tbSkills!DH3:DJ6,3,FALSE),0),0))&gt;=100,100,(Backdoors!AI12+IF(W79&gt;=0.45,VLOOKUP(Calculator!E23,tbSkills!DH3:DI6,2,FALSE)+IF(AND(Calculator!B8=TRUE,Backdoors!BI6=TRUE),VLOOKUP(Calculator!E23,tbSkills!DH3:DJ6,3,FALSE),0),0)))/100)),(1-(0.25*((-Backdoors!AI12-IF(W79&gt;=0.45,VLOOKUP(Calculator!E23,tbSkills!DH3:DI6,2,FALSE)+IF(AND(Calculator!B8=TRUE,Backdoors!BI6=TRUE),VLOOKUP(Calculator!E23,tbSkills!DH3:DJ6,3,FALSE),0),0))/100)))),1),"")</f>
        <v>1</v>
      </c>
      <c r="Z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W79)*Y79)*(VLOOKUP(A79,tbMoveset!A2:C112,3,FALSE)/100)*IF(VLOOKUP(A79,tbMoveset!A2:B112,2,FALSE)="Projectile",Backdoors!N10,Backdoors!N9),0),"")</f>
        <v>6</v>
      </c>
      <c r="AA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W79&gt;=0.45,VLOOKUP(Calculator!E23,tbSkills!DH3:DI6,2,FALSE)+IF(AND(Calculator!B8=TRUE,Backdoors!BI6=TRUE),VLOOKUP(Calculator!E23,tbSkills!DH3:DJ6,3,FALSE),0),0))&gt;=100,100,(Backdoors!AI12+IF(W79&gt;=0.45,VLOOKUP(Calculator!E23,tbSkills!DH3:DI6,2,FALSE)+IF(AND(Calculator!B8=TRUE,Backdoors!BI6=TRUE),VLOOKUP(Calculator!E23,tbSkills!DH3:DJ6,3,FALSE),0),0)))/100)),1))*IF(VLOOKUP(A79,tbMoveset!A2:K112,11,FALSE)=TRUE,Backdoors!AC5,1))*X79,0),"")</f>
        <v>0</v>
      </c>
      <c r="AB79" s="49">
        <f>VLOOKUP(A79,tbMoveset!A2:G112,7,FALSE)*IFERROR(IF(Backdoors!AI12&gt;=0,1+(IF(Calculator!E40&gt;0,VLOOKUP(Calculator!E40,tbSkills!AI3:AJ5,2,FALSE),Backdoors!AL4)*(IF((Backdoors!AI12+IF(W79&gt;=0.45,VLOOKUP(Calculator!E23,tbSkills!DH3:DI6,2,FALSE)+IF(AND(Calculator!B8=TRUE,Backdoors!BI6=TRUE),VLOOKUP(Calculator!E23,tbSkills!DH3:DJ6,3,FALSE),0),0))&gt;=100,100,(Backdoors!AI12+IF(W79&gt;=0.45,VLOOKUP(Calculator!E23,tbSkills!DH3:DI6,2,FALSE)+IF(AND(Calculator!B8=TRUE,Backdoors!BI6=TRUE),VLOOKUP(Calculator!E23,tbSkills!DH3:DJ6,3,FALSE),0),0)))/100)),1),1)</f>
        <v>0.6</v>
      </c>
      <c r="AC79" s="87">
        <f t="shared" si="54"/>
        <v>6</v>
      </c>
      <c r="AD79" s="86">
        <f>IFERROR(IF(VLOOKUP(A79,tbMoveset!A2:B112,2,FALSE)="Sever",Backdoors!AY7/100,IF(VLOOKUP(A79,tbMoveset!A2:B112,2,FALSE)="Blunt",Backdoors!AZ7/100,Backdoors!BA7/100)),"")</f>
        <v>0.65</v>
      </c>
      <c r="AE79" s="49">
        <f>IFERROR(IF(VLOOKUP(tbMoveset!A79,tbMoveset!A2:H112,8,FALSE)="Other",IF(VLOOKUP(tbMoveset!A79,tbMoveset!A2:I112,9,FALSE)="Fire",Backdoors!BB7,IF(VLOOKUP(tbMoveset!A79,tbMoveset!A2:I112,9,FALSE)="Water",Backdoors!BC7,IF(VLOOKUP(tbMoveset!A79,tbMoveset!A2:I112,9,FALSE)="Thunder",Backdoors!BD7,IF(VLOOKUP(tbMoveset!A79,tbMoveset!A2:I112,9,FALSE)="Ice",Backdoors!BE7,IF(VLOOKUP(tbMoveset!A79,tbMoveset!A2:I112,9,FALSE)="Dragon",Backdoors!BF7,Backdoors!BG7)))))/100,Backdoors!BG7/100),"")</f>
        <v>0</v>
      </c>
      <c r="AF79" s="49">
        <f>IFERROR(IF(VLOOKUP(A79,tbMoveset!A2:J112,10,FALSE)=TRUE,IF((Backdoors!AI12+IF(AD79&gt;=0.45,VLOOKUP(Calculator!E23,tbSkills!DH3:DI6,2,FALSE)+IF(AND(Calculator!B8=TRUE,Backdoors!BI7=TRUE),VLOOKUP(Calculator!E23,tbSkills!DH3:DJ6,3,FALSE),0),0))&gt;=0,1+(Backdoors!AL2*(IF((Backdoors!AI12+IF(AD79&gt;=0.45,VLOOKUP(Calculator!E23,tbSkills!DH3:DI6,2,FALSE)+IF(AND(Calculator!B8=TRUE,Backdoors!BI7=TRUE),VLOOKUP(Calculator!E23,tbSkills!DH3:DJ6,3,FALSE),0),0))&gt;=100,100,(Backdoors!AI12+IF(AD79&gt;=0.45,VLOOKUP(Calculator!E23,tbSkills!DH3:DI6,2,FALSE)+IF(AND(Calculator!B8=TRUE,Backdoors!BI7=TRUE),VLOOKUP(Calculator!E23,tbSkills!DH3:DJ6,3,FALSE),0),0)))/100)),(1-(0.25*((-Backdoors!AI12-IF(AD79&gt;=0.45,VLOOKUP(Calculator!E23,tbSkills!DH3:DI6,2,FALSE)+IF(AND(Calculator!B8=TRUE,Backdoors!BI7=TRUE),VLOOKUP(Calculator!E23,tbSkills!DH3:DJ6,3,FALSE),0),0))/100)))),1),"")</f>
        <v>1</v>
      </c>
      <c r="AG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D79)*AF79)*(VLOOKUP(A79,tbMoveset!A2:C112,3,FALSE)/100)*IF(VLOOKUP(A79,tbMoveset!A2:B112,2,FALSE)="Projectile",Backdoors!N10,Backdoors!N9),0),"")</f>
        <v>8</v>
      </c>
      <c r="AH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D79&gt;=0.45,VLOOKUP(Calculator!E23,tbSkills!DH3:DI6,2,FALSE)+IF(AND(Calculator!B8=TRUE,Backdoors!BI7=TRUE),VLOOKUP(Calculator!E23,tbSkills!DH3:DJ6,3,FALSE),0),0))&gt;=100,100,(Backdoors!AI12+IF(AD79&gt;=0.45,VLOOKUP(Calculator!E23,tbSkills!DH3:DI6,2,FALSE)+IF(AND(Calculator!B8=TRUE,Backdoors!BI7=TRUE),VLOOKUP(Calculator!E23,tbSkills!DH3:DJ6,3,FALSE),0),0)))/100)),1))*IF(VLOOKUP(A79,tbMoveset!A2:K112,11,FALSE)=TRUE,Backdoors!AC5,1))*AE79,0),"")</f>
        <v>0</v>
      </c>
      <c r="AI79" s="49">
        <f>VLOOKUP(A79,tbMoveset!A2:G112,7,FALSE)*IFERROR(IF(Backdoors!AI12&gt;=0,1+(IF(Calculator!E40&gt;0,VLOOKUP(Calculator!E40,tbSkills!AI3:AJ5,2,FALSE),Backdoors!AL4)*(IF((Backdoors!AI12+IF(AD79&gt;=0.45,VLOOKUP(Calculator!E23,tbSkills!DH3:DI6,2,FALSE)+IF(AND(Calculator!B8=TRUE,Backdoors!BI7=TRUE),VLOOKUP(Calculator!E23,tbSkills!DH3:DJ6,3,FALSE),0),0))&gt;=100,100,(Backdoors!AI12+IF(AD79&gt;=0.45,VLOOKUP(Calculator!E23,tbSkills!DH3:DI6,2,FALSE)+IF(AND(Calculator!B8=TRUE,Backdoors!BI7=TRUE),VLOOKUP(Calculator!E23,tbSkills!DH3:DJ6,3,FALSE),0),0)))/100)),1),1)</f>
        <v>0.6</v>
      </c>
      <c r="AJ79" s="87">
        <f t="shared" si="55"/>
        <v>8</v>
      </c>
      <c r="AK79" s="91">
        <f>IFERROR(IF(VLOOKUP(A79,tbMoveset!A2:B112,2,FALSE)="Sever",Backdoors!AY8/100,IF(VLOOKUP(A79,tbMoveset!A2:B112,2,FALSE)="Blunt",Backdoors!AZ8/100,Backdoors!BA8/100)),"")</f>
        <v>0.45</v>
      </c>
      <c r="AL79" s="49">
        <f>IFERROR(IF(VLOOKUP(tbMoveset!A79,tbMoveset!A2:H112,8,FALSE)="Other",IF(VLOOKUP(tbMoveset!A79,tbMoveset!A2:I112,9,FALSE)="Fire",Backdoors!BB8,IF(VLOOKUP(tbMoveset!A79,tbMoveset!A2:I112,9,FALSE)="Water",Backdoors!BC8,IF(VLOOKUP(tbMoveset!A79,tbMoveset!A2:I112,9,FALSE)="Thunder",Backdoors!BD8,IF(VLOOKUP(tbMoveset!A79,tbMoveset!A2:I112,9,FALSE)="Ice",Backdoors!BE8,IF(VLOOKUP(tbMoveset!A79,tbMoveset!A2:I112,9,FALSE)="Dragon",Backdoors!BF8,Backdoors!BG8)))))/100,Backdoors!BG8/100),"")</f>
        <v>0</v>
      </c>
      <c r="AM79" s="49">
        <f>IFERROR(IF(VLOOKUP(A79,tbMoveset!A2:J112,10,FALSE)=TRUE,IF((Backdoors!AI12+IF(AK79&gt;=0.45,VLOOKUP(Calculator!E23,tbSkills!DH3:DI6,2,FALSE)+IF(AND(Calculator!B8=TRUE,Backdoors!BI8=TRUE),VLOOKUP(Calculator!E23,tbSkills!DH3:DJ6,3,FALSE),0),0))&gt;=0,1+(Backdoors!AL2*(IF((Backdoors!AI12+IF(AK79&gt;=0.45,VLOOKUP(Calculator!E23,tbSkills!DH3:DI6,2,FALSE)+IF(AND(Calculator!B8=TRUE,Backdoors!BI8=TRUE),VLOOKUP(Calculator!E23,tbSkills!DH3:DJ6,3,FALSE),0),0))&gt;=100,100,(Backdoors!AI12+IF(AK79&gt;=0.45,VLOOKUP(Calculator!E23,tbSkills!DH3:DI6,2,FALSE)+IF(AND(Calculator!B8=TRUE,Backdoors!BI8=TRUE),VLOOKUP(Calculator!E23,tbSkills!DH3:DJ6,3,FALSE),0),0)))/100)),(1-(0.25*((-Backdoors!AI12-IF(AK79&gt;=0.45,VLOOKUP(Calculator!E23,tbSkills!DH3:DI6,2,FALSE)+IF(AND(Calculator!B8=TRUE,Backdoors!BI8=TRUE),VLOOKUP(Calculator!E23,tbSkills!DH3:DJ6,3,FALSE),0),0))/100)))),1),"")</f>
        <v>1</v>
      </c>
      <c r="AN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K79)*AM79)*(VLOOKUP(A79,tbMoveset!A2:C112,3,FALSE)/100)*IF(VLOOKUP(A79,tbMoveset!A2:B112,2,FALSE)="Projectile",Backdoors!N10,Backdoors!N9),0),"")</f>
        <v>6</v>
      </c>
      <c r="AO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K79&gt;=0.45,VLOOKUP(Calculator!E23,tbSkills!DH3:DI6,2,FALSE)+IF(AND(Calculator!B8=TRUE,Backdoors!BI8=TRUE),VLOOKUP(Calculator!E23,tbSkills!DH3:DJ6,3,FALSE),0),0))&gt;=100,100,(Backdoors!AI12+IF(AK79&gt;=0.45,VLOOKUP(Calculator!E23,tbSkills!DH3:DI6,2,FALSE)+IF(AND(Calculator!B8=TRUE,Backdoors!BI8=TRUE),VLOOKUP(Calculator!E23,tbSkills!DH3:DJ6,3,FALSE),0),0)))/100)),1))*IF(VLOOKUP(A79,tbMoveset!A2:K112,11,FALSE)=TRUE,Backdoors!AC5,1))*AL79,0),"")</f>
        <v>0</v>
      </c>
      <c r="AP79" s="49">
        <f>VLOOKUP(A79,tbMoveset!A2:G112,7,FALSE)*IFERROR(IF(Backdoors!AI12&gt;=0,1+(IF(Calculator!E40&gt;0,VLOOKUP(Calculator!E40,tbSkills!AI3:AJ5,2,FALSE),Backdoors!AL4)*(IF((Backdoors!AI12+IF(AK79&gt;=0.45,VLOOKUP(Calculator!E23,tbSkills!DH3:DI6,2,FALSE)+IF(AND(Calculator!B8=TRUE,Backdoors!BI8=TRUE),VLOOKUP(Calculator!E23,tbSkills!DH3:DJ6,3,FALSE),0),0))&gt;=100,100,(Backdoors!AI12+IF(AK79&gt;=0.45,VLOOKUP(Calculator!E23,tbSkills!DH3:DI6,2,FALSE)+IF(AND(Calculator!B8=TRUE,Backdoors!BI8=TRUE),VLOOKUP(Calculator!E23,tbSkills!DH3:DJ6,3,FALSE),0),0)))/100)),1),1)</f>
        <v>0.6</v>
      </c>
      <c r="AQ79" s="87">
        <f t="shared" si="56"/>
        <v>6</v>
      </c>
      <c r="AR79" s="86">
        <f>IFERROR(IF(VLOOKUP(A79,tbMoveset!A2:B112,2,FALSE)="Sever",Backdoors!AY9/100,IF(VLOOKUP(A79,tbMoveset!A2:B112,2,FALSE)="Blunt",Backdoors!AZ9/100,Backdoors!BA9/100)),"")</f>
        <v>0.45</v>
      </c>
      <c r="AS79" s="49">
        <f>IFERROR(IF(VLOOKUP(tbMoveset!A79,tbMoveset!A2:H112,8,FALSE)="Other",IF(VLOOKUP(tbMoveset!A79,tbMoveset!A2:I112,9,FALSE)="Fire",Backdoors!BB9,IF(VLOOKUP(tbMoveset!A79,tbMoveset!A2:I112,9,FALSE)="Water",Backdoors!BC9,IF(VLOOKUP(tbMoveset!A79,tbMoveset!A2:I112,9,FALSE)="Thunder",Backdoors!BD9,IF(VLOOKUP(tbMoveset!A79,tbMoveset!A2:I112,9,FALSE)="Ice",Backdoors!BE9,IF(VLOOKUP(tbMoveset!A79,tbMoveset!A2:I112,9,FALSE)="Dragon",Backdoors!BF9,Backdoors!BG9)))))/100,Backdoors!BG9/100),"")</f>
        <v>0</v>
      </c>
      <c r="AT79" s="49">
        <f>IFERROR(IF(VLOOKUP(A79,tbMoveset!A2:J112,10,FALSE)=TRUE,IF((Backdoors!AI12+IF(AR79&gt;=0.45,VLOOKUP(Calculator!E23,tbSkills!DH3:DI6,2,FALSE)+IF(AND(Calculator!B8=TRUE,Backdoors!BI9=TRUE),VLOOKUP(Calculator!E23,tbSkills!DH3:DJ6,3,FALSE),0),0))&gt;=0,1+(Backdoors!AL2*(IF((Backdoors!AI12+IF(AR79&gt;=0.45,VLOOKUP(Calculator!E23,tbSkills!DH3:DI6,2,FALSE)+IF(AND(Calculator!B8=TRUE,Backdoors!BI9=TRUE),VLOOKUP(Calculator!E23,tbSkills!DH3:DJ6,3,FALSE),0),0))&gt;=100,100,(Backdoors!AI12+IF(AR79&gt;=0.45,VLOOKUP(Calculator!E23,tbSkills!DH3:DI6,2,FALSE)+IF(AND(Calculator!B8=TRUE,Backdoors!BI9=TRUE),VLOOKUP(Calculator!E23,tbSkills!DH3:DJ6,3,FALSE),0),0)))/100)),(1-(0.25*((-Backdoors!AI12-IF(AR79&gt;=0.45,VLOOKUP(Calculator!E23,tbSkills!DH3:DI6,2,FALSE)+IF(AND(Calculator!B8=TRUE,Backdoors!BI9=TRUE),VLOOKUP(Calculator!E23,tbSkills!DH3:DJ6,3,FALSE),0),0))/100)))),1),"")</f>
        <v>1</v>
      </c>
      <c r="AU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R79)*AT79)*(VLOOKUP(A79,tbMoveset!A2:C112,3,FALSE)/100)*IF(VLOOKUP(A79,tbMoveset!A2:B112,2,FALSE)="Projectile",Backdoors!N10,Backdoors!N9),0),"")</f>
        <v>6</v>
      </c>
      <c r="AV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R79&gt;=0.45,VLOOKUP(Calculator!E23,tbSkills!DH3:DI6,2,FALSE)+IF(AND(Calculator!B8=TRUE,Backdoors!BI9=TRUE),VLOOKUP(Calculator!E23,tbSkills!DH3:DJ6,3,FALSE),0),0))&gt;=100,100,(Backdoors!AI12+IF(AR79&gt;=0.45,VLOOKUP(Calculator!E23,tbSkills!DH3:DI6,2,FALSE)+IF(AND(Calculator!B8=TRUE,Backdoors!BI9=TRUE),VLOOKUP(Calculator!E23,tbSkills!DH3:DJ6,3,FALSE),0),0)))/100)),1))*IF(VLOOKUP(A79,tbMoveset!A2:K112,11,FALSE)=TRUE,Backdoors!AC5,1))*AS79,0),"")</f>
        <v>0</v>
      </c>
      <c r="AW79" s="49">
        <f>VLOOKUP(A79,tbMoveset!A2:G112,7,FALSE)*IFERROR(IF(Backdoors!AI12&gt;=0,1+(IF(Calculator!E40&gt;0,VLOOKUP(Calculator!E40,tbSkills!AI3:AJ5,2,FALSE),Backdoors!AL4)*(IF((Backdoors!AI12+IF(AR79&gt;=0.45,VLOOKUP(Calculator!E23,tbSkills!DH3:DI6,2,FALSE)+IF(AND(Calculator!B8=TRUE,Backdoors!BI9=TRUE),VLOOKUP(Calculator!E23,tbSkills!DH3:DJ6,3,FALSE),0),0))&gt;=100,100,(Backdoors!AI12+IF(AR79&gt;=0.45,VLOOKUP(Calculator!E23,tbSkills!DH3:DI6,2,FALSE)+IF(AND(Calculator!B8=TRUE,Backdoors!BI9=TRUE),VLOOKUP(Calculator!E23,tbSkills!DH3:DJ6,3,FALSE),0),0)))/100)),1),1)</f>
        <v>0.6</v>
      </c>
      <c r="AX79" s="87">
        <f t="shared" si="57"/>
        <v>6</v>
      </c>
      <c r="AY79" s="86">
        <f>IFERROR(IF(VLOOKUP(A79,tbMoveset!A2:B112,2,FALSE)="Sever",Backdoors!AY10/100,IF(VLOOKUP(A79,tbMoveset!A2:B112,2,FALSE)="Blunt",Backdoors!AZ10/100,Backdoors!BA10/100)),"")</f>
        <v>0.9</v>
      </c>
      <c r="AZ79" s="49">
        <f>IFERROR(IF(VLOOKUP(tbMoveset!A79,tbMoveset!A2:H112,8,FALSE)="Other",IF(VLOOKUP(tbMoveset!A79,tbMoveset!A2:I112,9,FALSE)="Fire",Backdoors!BB10,IF(VLOOKUP(tbMoveset!A79,tbMoveset!A2:I112,9,FALSE)="Water",Backdoors!BC10,IF(VLOOKUP(tbMoveset!A79,tbMoveset!A2:I112,9,FALSE)="Thunder",Backdoors!BD10,IF(VLOOKUP(tbMoveset!A79,tbMoveset!A2:I112,9,FALSE)="Ice",Backdoors!BE10,IF(VLOOKUP(tbMoveset!A79,tbMoveset!A2:I112,9,FALSE)="Dragon",Backdoors!BF10,Backdoors!BG10)))))/100,Backdoors!BG10/100),"")</f>
        <v>0</v>
      </c>
      <c r="BA79" s="49">
        <f>IFERROR(IF(VLOOKUP(A79,tbMoveset!A2:J112,10,FALSE)=TRUE,IF((Backdoors!AI12+IF(AY79&gt;=0.45,VLOOKUP(Calculator!E23,tbSkills!DH3:DI6,2,FALSE)+IF(AND(Calculator!B8=TRUE,Backdoors!BI10=TRUE),VLOOKUP(Calculator!E23,tbSkills!DH3:DJ6,3,FALSE),0),0))&gt;=0,1+(Backdoors!AL2*(IF((Backdoors!AI12+IF(AY79&gt;=0.45,VLOOKUP(Calculator!E23,tbSkills!DH3:DI6,2,FALSE)+IF(AND(Calculator!B8=TRUE,Backdoors!BI10=TRUE),VLOOKUP(Calculator!E23,tbSkills!DH3:DJ6,3,FALSE),0),0))&gt;=100,100,(Backdoors!AI12+IF(AY79&gt;=0.45,VLOOKUP(Calculator!E23,tbSkills!DH3:DI6,2,FALSE)+IF(AND(Calculator!B8=TRUE,Backdoors!BI10=TRUE),VLOOKUP(Calculator!E23,tbSkills!DH3:DJ6,3,FALSE),0),0)))/100)),(1-(0.25*((-Backdoors!AI12-IF(AY79&gt;=0.45,VLOOKUP(Calculator!E23,tbSkills!DH3:DI6,2,FALSE)+IF(AND(Calculator!B8=TRUE,Backdoors!BI10=TRUE),VLOOKUP(Calculator!E23,tbSkills!DH3:DJ6,3,FALSE),0),0))/100)))),1),"")</f>
        <v>1</v>
      </c>
      <c r="BB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Y79)*BA79)*(VLOOKUP(A79,tbMoveset!A2:C112,3,FALSE)/100)*IF(VLOOKUP(A79,tbMoveset!A2:B112,2,FALSE)="Projectile",Backdoors!N10,Backdoors!N9),0),"")</f>
        <v>11</v>
      </c>
      <c r="BC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Y79&gt;=0.45,VLOOKUP(Calculator!E23,tbSkills!DH3:DI6,2,FALSE)+IF(AND(Calculator!B8=TRUE,Backdoors!BI10=TRUE),VLOOKUP(Calculator!E23,tbSkills!DH3:DJ6,3,FALSE),0),0))&gt;=100,100,(Backdoors!AI12+IF(AY79&gt;=0.45,VLOOKUP(Calculator!E23,tbSkills!DH3:DI6,2,FALSE)+IF(AND(Calculator!B8=TRUE,Backdoors!BI10=TRUE),VLOOKUP(Calculator!E23,tbSkills!DH3:DJ6,3,FALSE),0),0)))/100)),1))*IF(VLOOKUP(A79,tbMoveset!A2:K112,11,FALSE)=TRUE,Backdoors!AC5,1))*AZ79,0),"")</f>
        <v>0</v>
      </c>
      <c r="BD79" s="49">
        <f>VLOOKUP(A79,tbMoveset!A2:G112,7,FALSE)*IFERROR(IF(Backdoors!AI12&gt;=0,1+(IF(Calculator!E40&gt;0,VLOOKUP(Calculator!E40,tbSkills!AI3:AJ5,2,FALSE),Backdoors!AL4)*(IF((Backdoors!AI12+IF(AY79&gt;=0.45,VLOOKUP(Calculator!E23,tbSkills!DH3:DI6,2,FALSE)+IF(AND(Calculator!B8=TRUE,Backdoors!BI10=TRUE),VLOOKUP(Calculator!E23,tbSkills!DH3:DJ6,3,FALSE),0),0))&gt;=100,100,(Backdoors!AI12+IF(AY79&gt;=0.45,VLOOKUP(Calculator!E23,tbSkills!DH3:DI6,2,FALSE)+IF(AND(Calculator!B8=TRUE,Backdoors!BI10=TRUE),VLOOKUP(Calculator!E23,tbSkills!DH3:DJ6,3,FALSE),0),0)))/100)),1),1)</f>
        <v>0.6</v>
      </c>
      <c r="BE79" s="87">
        <f t="shared" si="58"/>
        <v>11</v>
      </c>
      <c r="BF79" s="86" t="str">
        <f>IFERROR(IF(VLOOKUP(A79,tbMoveset!A2:B112,2,FALSE)="Sever",Backdoors!AY11/100,IF(VLOOKUP(A79,tbMoveset!A2:B112,2,FALSE)="Blunt",Backdoors!AZ11/100,Backdoors!BA11/100)),"")</f>
        <v/>
      </c>
      <c r="BG79" s="49">
        <f>IFERROR(IF(VLOOKUP(tbMoveset!A79,tbMoveset!A2:H112,8,FALSE)="Other",IF(VLOOKUP(tbMoveset!A79,tbMoveset!A2:I112,9,FALSE)="Fire",Backdoors!BB11,IF(VLOOKUP(tbMoveset!A79,tbMoveset!A2:I112,9,FALSE)="Water",Backdoors!BC11,IF(VLOOKUP(tbMoveset!A79,tbMoveset!A2:I112,9,FALSE)="Thunder",Backdoors!BD11,IF(VLOOKUP(tbMoveset!A79,tbMoveset!A2:I112,9,FALSE)="Ice",Backdoors!BE11,IF(VLOOKUP(tbMoveset!A79,tbMoveset!A2:I112,9,FALSE)="Dragon",Backdoors!BF11,Backdoors!BG11)))))/100,Backdoors!BG11/100),"")</f>
        <v>0</v>
      </c>
      <c r="BH79" s="49">
        <f>IFERROR(IF(VLOOKUP(A79,tbMoveset!A2:J112,10,FALSE)=TRUE,IF((Backdoors!AI12+IF(BF79&gt;=0.45,VLOOKUP(Calculator!E23,tbSkills!DH3:DI6,2,FALSE)+IF(AND(Calculator!B8=TRUE,Backdoors!BI11=TRUE),VLOOKUP(Calculator!E23,tbSkills!DH3:DJ6,3,FALSE),0),0))&gt;=0,1+(Backdoors!AL2*(IF((Backdoors!AI12+IF(BF79&gt;=0.45,VLOOKUP(Calculator!E23,tbSkills!DH3:DI6,2,FALSE)+IF(AND(Calculator!B8=TRUE,Backdoors!BI11=TRUE),VLOOKUP(Calculator!E23,tbSkills!DH3:DJ6,3,FALSE),0),0))&gt;=100,100,(Backdoors!AI12+IF(BF79&gt;=0.45,VLOOKUP(Calculator!E23,tbSkills!DH3:DI6,2,FALSE)+IF(AND(Calculator!B8=TRUE,Backdoors!BI11=TRUE),VLOOKUP(Calculator!E23,tbSkills!DH3:DJ6,3,FALSE),0),0)))/100)),(1-(0.25*((-Backdoors!AI12-IF(BF79&gt;=0.45,VLOOKUP(Calculator!E23,tbSkills!DH3:DI6,2,FALSE)+IF(AND(Calculator!B8=TRUE,Backdoors!BI11=TRUE),VLOOKUP(Calculator!E23,tbSkills!DH3:DJ6,3,FALSE),0),0))/100)))),1),"")</f>
        <v>1</v>
      </c>
      <c r="BI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F79)*BH79)*(VLOOKUP(A79,tbMoveset!A2:C112,3,FALSE)/100)*IF(VLOOKUP(A79,tbMoveset!A2:B112,2,FALSE)="Projectile",Backdoors!N10,Backdoors!N9),0),"")</f>
        <v/>
      </c>
      <c r="BJ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F79&gt;=0.45,VLOOKUP(Calculator!E23,tbSkills!DH3:DI6,2,FALSE)+IF(AND(Calculator!B8=TRUE,Backdoors!BI11=TRUE),VLOOKUP(Calculator!E23,tbSkills!DH3:DJ6,3,FALSE),0),0))&gt;=100,100,(Backdoors!AI12+IF(BF79&gt;=0.45,VLOOKUP(Calculator!E23,tbSkills!DH3:DI6,2,FALSE)+IF(AND(Calculator!B8=TRUE,Backdoors!BI11=TRUE),VLOOKUP(Calculator!E23,tbSkills!DH3:DJ6,3,FALSE),0),0)))/100)),1))*IF(VLOOKUP(A79,tbMoveset!A2:K112,11,FALSE)=TRUE,Backdoors!AC5,1))*BG79,0),"")</f>
        <v>0</v>
      </c>
      <c r="BK79" s="49">
        <f>VLOOKUP(A79,tbMoveset!A2:G112,7,FALSE)*IFERROR(IF(Backdoors!AI12&gt;=0,1+(IF(Calculator!E40&gt;0,VLOOKUP(Calculator!E40,tbSkills!AI3:AJ5,2,FALSE),Backdoors!AL4)*(IF((Backdoors!AI12+IF(BF79&gt;=0.45,VLOOKUP(Calculator!E23,tbSkills!DH3:DI6,2,FALSE)+IF(AND(Calculator!B8=TRUE,Backdoors!BI11=TRUE),VLOOKUP(Calculator!E23,tbSkills!DH3:DJ6,3,FALSE),0),0))&gt;=100,100,(Backdoors!AI12+IF(BF79&gt;=0.45,VLOOKUP(Calculator!E23,tbSkills!DH3:DI6,2,FALSE)+IF(AND(Calculator!B8=TRUE,Backdoors!BI11=TRUE),VLOOKUP(Calculator!E23,tbSkills!DH3:DJ6,3,FALSE),0),0)))/100)),1),1)</f>
        <v>0.6</v>
      </c>
      <c r="BL79" s="87">
        <f t="shared" si="59"/>
        <v>0</v>
      </c>
      <c r="BM79" s="86" t="str">
        <f>IFERROR(IF(VLOOKUP(A79,tbMoveset!A2:B112,2,FALSE)="Sever",Backdoors!AY12/100,IF(VLOOKUP(A79,tbMoveset!A2:B112,2,FALSE)="Blunt",Backdoors!AZ12/100,Backdoors!BA12/100)),"")</f>
        <v/>
      </c>
      <c r="BN79" s="49">
        <f>IFERROR(IF(VLOOKUP(tbMoveset!A79,tbMoveset!A2:H112,8,FALSE)="Other",IF(VLOOKUP(tbMoveset!A79,tbMoveset!A2:I112,9,FALSE)="Fire",Backdoors!BB12,IF(VLOOKUP(tbMoveset!A79,tbMoveset!A2:I112,9,FALSE)="Water",Backdoors!BC12,IF(VLOOKUP(tbMoveset!A79,tbMoveset!A2:I112,9,FALSE)="Thunder",Backdoors!BD12,IF(VLOOKUP(tbMoveset!A79,tbMoveset!A2:I112,9,FALSE)="Ice",Backdoors!BE12,IF(VLOOKUP(tbMoveset!A79,tbMoveset!A2:I112,9,FALSE)="Dragon",Backdoors!BF12,Backdoors!BG12)))))/100,Backdoors!BG12/100),"")</f>
        <v>0</v>
      </c>
      <c r="BO79" s="49">
        <f>IFERROR(IF(VLOOKUP(A79,tbMoveset!A2:J112,10,FALSE)=TRUE,IF((Backdoors!AI12+IF(BM79&gt;=0.45,VLOOKUP(Calculator!E23,tbSkills!DH3:DI6,2,FALSE)+IF(AND(Calculator!B8=TRUE,Backdoors!BI12=TRUE),VLOOKUP(Calculator!E23,tbSkills!DH3:DJ6,3,FALSE),0),0))&gt;=0,1+(Backdoors!AL2*(IF((Backdoors!AI12+IF(BM79&gt;=0.45,VLOOKUP(Calculator!E23,tbSkills!DH3:DI6,2,FALSE)+IF(AND(Calculator!B8=TRUE,Backdoors!BI12=TRUE),VLOOKUP(Calculator!E23,tbSkills!DH3:DJ6,3,FALSE),0),0))&gt;=100,100,(Backdoors!AI12+IF(BM79&gt;=0.45,VLOOKUP(Calculator!E23,tbSkills!DH3:DI6,2,FALSE)+IF(AND(Calculator!B8=TRUE,Backdoors!BI12=TRUE),VLOOKUP(Calculator!E23,tbSkills!DH3:DJ6,3,FALSE),0),0)))/100)),(1-(0.25*((-Backdoors!AI12-IF(BM79&gt;=0.45,VLOOKUP(Calculator!E23,tbSkills!DH3:DI6,2,FALSE)+IF(AND(Calculator!B8=TRUE,Backdoors!BI12=TRUE),VLOOKUP(Calculator!E23,tbSkills!DH3:DJ6,3,FALSE),0),0))/100)))),1),"")</f>
        <v>1</v>
      </c>
      <c r="BP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M79)*BO79)*(VLOOKUP(A79,tbMoveset!A2:C112,3,FALSE)/100)*IF(VLOOKUP(A79,tbMoveset!A2:B112,2,FALSE)="Projectile",Backdoors!N10,Backdoors!N9),0),"")</f>
        <v/>
      </c>
      <c r="BQ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M79&gt;=0.45,VLOOKUP(Calculator!E23,tbSkills!DH3:DI6,2,FALSE)+IF(AND(Calculator!B8=TRUE,Backdoors!BI12=TRUE),VLOOKUP(Calculator!E23,tbSkills!DH3:DJ6,3,FALSE),0),0))&gt;=100,100,(Backdoors!AI12+IF(BM79&gt;=0.45,VLOOKUP(Calculator!E23,tbSkills!DH3:DI6,2,FALSE)+IF(AND(Calculator!B8=TRUE,Backdoors!BI12=TRUE),VLOOKUP(Calculator!E23,tbSkills!DH3:DJ6,3,FALSE),0),0)))/100)),1))*IF(VLOOKUP(A79,tbMoveset!A2:K112,11,FALSE)=TRUE,Backdoors!AC5,1))*BN79,0),"")</f>
        <v>0</v>
      </c>
      <c r="BR79" s="49">
        <f>VLOOKUP(A79,tbMoveset!A2:G112,7,FALSE)*IFERROR(IF(Backdoors!AI12&gt;=0,1+(IF(Calculator!E40&gt;0,VLOOKUP(Calculator!E40,tbSkills!AI3:AJ5,2,FALSE),Backdoors!AL4)*(IF((Backdoors!AI12+IF(BM79&gt;=0.45,VLOOKUP(Calculator!E23,tbSkills!DH3:DI6,2,FALSE)+IF(AND(Calculator!B8=TRUE,Backdoors!BI12=TRUE),VLOOKUP(Calculator!E23,tbSkills!DH3:DJ6,3,FALSE),0),0))&gt;=100,100,(Backdoors!AI12+IF(BM79&gt;=0.45,VLOOKUP(Calculator!E23,tbSkills!DH3:DI6,2,FALSE)+IF(AND(Calculator!B8=TRUE,Backdoors!BI12=TRUE),VLOOKUP(Calculator!E23,tbSkills!DH3:DJ6,3,FALSE),0),0)))/100)),1),1)</f>
        <v>0.6</v>
      </c>
      <c r="BS79" s="87">
        <f t="shared" si="60"/>
        <v>0</v>
      </c>
      <c r="BT79" s="86" t="str">
        <f>IFERROR(IF(VLOOKUP(A79,tbMoveset!A2:B112,2,FALSE)="Sever",Backdoors!AY13/100,IF(VLOOKUP(A79,tbMoveset!A2:B112,2,FALSE)="Blunt",Backdoors!AZ13/100,Backdoors!BA13/100)),"")</f>
        <v/>
      </c>
      <c r="BU79" s="49">
        <f>IFERROR(IF(VLOOKUP(tbMoveset!A79,tbMoveset!A2:H112,8,FALSE)="Other",IF(VLOOKUP(tbMoveset!A79,tbMoveset!A2:I112,9,FALSE)="Fire",Backdoors!BB13,IF(VLOOKUP(tbMoveset!A79,tbMoveset!A2:I112,9,FALSE)="Water",Backdoors!BC13,IF(VLOOKUP(tbMoveset!A79,tbMoveset!A2:I112,9,FALSE)="Thunder",Backdoors!BD13,IF(VLOOKUP(tbMoveset!A79,tbMoveset!A2:I112,9,FALSE)="Ice",Backdoors!BE13,IF(VLOOKUP(tbMoveset!A79,tbMoveset!A2:I112,9,FALSE)="Dragon",Backdoors!BF13,Backdoors!BG13)))))/100,Backdoors!BG13/100),"")</f>
        <v>0</v>
      </c>
      <c r="BV79" s="49">
        <f>IFERROR(IF(VLOOKUP(A79,tbMoveset!A2:J112,10,FALSE)=TRUE,IF((Backdoors!AI12+IF(BT79&gt;=0.45,VLOOKUP(Calculator!E23,tbSkills!DH3:DI6,2,FALSE)+IF(AND(Calculator!B8=TRUE,Backdoors!BI13=TRUE),VLOOKUP(Calculator!E23,tbSkills!DH3:DJ6,3,FALSE),0),0))&gt;=0,1+(Backdoors!AL2*(IF((Backdoors!AI12+IF(BT79&gt;=0.45,VLOOKUP(Calculator!E23,tbSkills!DH3:DI6,2,FALSE)+IF(AND(Calculator!B8=TRUE,Backdoors!BI13=TRUE),VLOOKUP(Calculator!E23,tbSkills!DH3:DJ6,3,FALSE),0),0))&gt;=100,100,(Backdoors!AI12+IF(BT79&gt;=0.45,VLOOKUP(Calculator!E23,tbSkills!DH3:DI6,2,FALSE)+IF(AND(Calculator!B8=TRUE,Backdoors!BI13=TRUE),VLOOKUP(Calculator!E23,tbSkills!DH3:DJ6,3,FALSE),0),0)))/100)),(1-(0.25*((-Backdoors!AI12-IF(BT79&gt;=0.45,VLOOKUP(Calculator!E23,tbSkills!DH3:DI6,2,FALSE)+IF(AND(Calculator!B8=TRUE,Backdoors!BI13=TRUE),VLOOKUP(Calculator!E23,tbSkills!DH3:DJ6,3,FALSE),0),0))/100)))),1),"")</f>
        <v>1</v>
      </c>
      <c r="BW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T79)*BV79)*(VLOOKUP(A79,tbMoveset!A2:C112,3,FALSE)/100)*IF(VLOOKUP(A79,tbMoveset!A2:B112,2,FALSE)="Projectile",Backdoors!N10,Backdoors!N9),0),"")</f>
        <v/>
      </c>
      <c r="BX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T79&gt;=0.45,VLOOKUP(Calculator!E23,tbSkills!DH3:DI6,2,FALSE)+IF(AND(Calculator!B8=TRUE,Backdoors!BI13=TRUE),VLOOKUP(Calculator!E23,tbSkills!DH3:DJ6,3,FALSE),0),0))&gt;=100,100,(Backdoors!AI12+IF(BT79&gt;=0.45,VLOOKUP(Calculator!E23,tbSkills!DH3:DI6,2,FALSE)+IF(AND(Calculator!B8=TRUE,Backdoors!BI13=TRUE),VLOOKUP(Calculator!E23,tbSkills!DH3:DJ6,3,FALSE),0),0)))/100)),1))*IF(VLOOKUP(A79,tbMoveset!A2:K112,11,FALSE)=TRUE,Backdoors!AC5,1))*BU79,0),"")</f>
        <v>0</v>
      </c>
      <c r="BY79" s="49">
        <f>VLOOKUP(A79,tbMoveset!A2:G112,7,FALSE)*IFERROR(IF(Backdoors!AI12&gt;=0,1+(IF(Calculator!E40&gt;0,VLOOKUP(Calculator!E40,tbSkills!AI3:AJ5,2,FALSE),Backdoors!AL4)*(IF((Backdoors!AI12+IF(BT79&gt;=0.45,VLOOKUP(Calculator!E23,tbSkills!DH3:DI6,2,FALSE)+IF(AND(Calculator!B8=TRUE,Backdoors!BI13=TRUE),VLOOKUP(Calculator!E23,tbSkills!DH3:DJ6,3,FALSE),0),0))&gt;=100,100,(Backdoors!AI12+IF(BT79&gt;=0.45,VLOOKUP(Calculator!E23,tbSkills!DH3:DI6,2,FALSE)+IF(AND(Calculator!B8=TRUE,Backdoors!BI13=TRUE),VLOOKUP(Calculator!E23,tbSkills!DH3:DJ6,3,FALSE),0),0)))/100)),1),1)</f>
        <v>0.6</v>
      </c>
      <c r="BZ79" s="87">
        <f t="shared" si="61"/>
        <v>0</v>
      </c>
      <c r="CA79" s="86" t="str">
        <f>IFERROR(IF(VLOOKUP(A79,tbMoveset!A2:B112,2,FALSE)="Sever",Backdoors!AY14/100,IF(VLOOKUP(A79,tbMoveset!A2:B112,2,FALSE)="Blunt",Backdoors!AZ14/100,Backdoors!BA14/100)),"")</f>
        <v/>
      </c>
      <c r="CB79" s="49">
        <f>IFERROR(IF(VLOOKUP(tbMoveset!A79,tbMoveset!A2:H112,8,FALSE)="Other",IF(VLOOKUP(tbMoveset!A79,tbMoveset!A2:I112,9,FALSE)="Fire",Backdoors!BB14,IF(VLOOKUP(tbMoveset!A79,tbMoveset!A2:I112,9,FALSE)="Water",Backdoors!BC14,IF(VLOOKUP(tbMoveset!A79,tbMoveset!A2:I112,9,FALSE)="Thunder",Backdoors!BD14,IF(VLOOKUP(tbMoveset!A79,tbMoveset!A2:I112,9,FALSE)="Ice",Backdoors!BE14,IF(VLOOKUP(tbMoveset!A79,tbMoveset!A2:I112,9,FALSE)="Dragon",Backdoors!BF14,Backdoors!BG14)))))/100,Backdoors!BG14/100),"")</f>
        <v>0</v>
      </c>
      <c r="CC79" s="49">
        <f>IFERROR(IF(VLOOKUP(A79,tbMoveset!A2:J112,10,FALSE)=TRUE,IF((Backdoors!AI12+IF(CA79&gt;=0.45,VLOOKUP(Calculator!E23,tbSkills!DH3:DI6,2,FALSE)+IF(AND(Calculator!B8=TRUE,Backdoors!BI14=TRUE),VLOOKUP(Calculator!E23,tbSkills!DH3:DJ6,3,FALSE),0),0))&gt;=0,1+(Backdoors!AL2*(IF((Backdoors!AI12+IF(CA79&gt;=0.45,VLOOKUP(Calculator!E23,tbSkills!DH3:DI6,2,FALSE)+IF(AND(Calculator!B8=TRUE,Backdoors!BI14=TRUE),VLOOKUP(Calculator!E23,tbSkills!DH3:DJ6,3,FALSE),0),0))&gt;=100,100,(Backdoors!AI12+IF(CA79&gt;=0.45,VLOOKUP(Calculator!E23,tbSkills!DH3:DI6,2,FALSE)+IF(AND(Calculator!B8=TRUE,Backdoors!BI14=TRUE),VLOOKUP(Calculator!E23,tbSkills!DH3:DJ6,3,FALSE),0),0)))/100)),(1-(0.25*((-Backdoors!AI12-IF(CA79&gt;=0.45,VLOOKUP(Calculator!E23,tbSkills!DH3:DI6,2,FALSE)+IF(AND(Calculator!B8=TRUE,Backdoors!BI14=TRUE),VLOOKUP(Calculator!E23,tbSkills!DH3:DJ6,3,FALSE),0),0))/100)))),1),"")</f>
        <v>1</v>
      </c>
      <c r="CD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A79)*CC79)*(VLOOKUP(A79,tbMoveset!A2:C112,3,FALSE)/100)*IF(VLOOKUP(A79,tbMoveset!A2:B112,2,FALSE)="Projectile",Backdoors!N10,Backdoors!N9),0),"")</f>
        <v/>
      </c>
      <c r="CE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A79&gt;=0.45,VLOOKUP(Calculator!E23,tbSkills!DH3:DI6,2,FALSE)+IF(AND(Calculator!B8=TRUE,Backdoors!BI14=TRUE),VLOOKUP(Calculator!E23,tbSkills!DH3:DJ6,3,FALSE),0),0))&gt;=100,100,(Backdoors!AI12+IF(CA79&gt;=0.45,VLOOKUP(Calculator!E23,tbSkills!DH3:DI6,2,FALSE)+IF(AND(Calculator!B8=TRUE,Backdoors!BI14=TRUE),VLOOKUP(Calculator!E23,tbSkills!DH3:DJ6,3,FALSE),0),0)))/100)),1))*IF(VLOOKUP(A79,tbMoveset!A2:K112,11,FALSE)=TRUE,Backdoors!AC5,1))*CB79,0),"")</f>
        <v>0</v>
      </c>
      <c r="CF79" s="49">
        <f>VLOOKUP(A79,tbMoveset!A2:G112,7,FALSE)*IFERROR(IF(Backdoors!AI12&gt;=0,1+(IF(Calculator!E40&gt;0,VLOOKUP(Calculator!E40,tbSkills!AI3:AJ5,2,FALSE),Backdoors!AL4)*(IF((Backdoors!AI12+IF(CA79&gt;=0.45,VLOOKUP(Calculator!E23,tbSkills!DH3:DI6,2,FALSE)+IF(AND(Calculator!B8=TRUE,Backdoors!BI14=TRUE),VLOOKUP(Calculator!E23,tbSkills!DH3:DJ6,3,FALSE),0),0))&gt;=100,100,(Backdoors!AI12+IF(CA79&gt;=0.45,VLOOKUP(Calculator!E23,tbSkills!DH3:DI6,2,FALSE)+IF(AND(Calculator!B8=TRUE,Backdoors!BI14=TRUE),VLOOKUP(Calculator!E23,tbSkills!DH3:DJ6,3,FALSE),0),0)))/100)),1),1)</f>
        <v>0.6</v>
      </c>
      <c r="CG79" s="87">
        <f t="shared" si="62"/>
        <v>0</v>
      </c>
      <c r="CH79" s="86" t="str">
        <f>IFERROR(IF(VLOOKUP(A79,tbMoveset!A2:B112,2,FALSE)="Sever",Backdoors!AY15/100,IF(VLOOKUP(A79,tbMoveset!A2:B112,2,FALSE)="Blunt",Backdoors!AZ15/100,Backdoors!BA15/100)),"")</f>
        <v/>
      </c>
      <c r="CI79" s="49">
        <f>IFERROR(IF(VLOOKUP(tbMoveset!A79,tbMoveset!A2:H112,8,FALSE)="Other",IF(VLOOKUP(tbMoveset!A79,tbMoveset!A2:I112,9,FALSE)="Fire",Backdoors!BB15,IF(VLOOKUP(tbMoveset!A79,tbMoveset!A2:I112,9,FALSE)="Water",Backdoors!BC15,IF(VLOOKUP(tbMoveset!A79,tbMoveset!A2:I112,9,FALSE)="Thunder",Backdoors!BD15,IF(VLOOKUP(tbMoveset!A79,tbMoveset!A2:I112,9,FALSE)="Ice",Backdoors!BE15,IF(VLOOKUP(tbMoveset!A79,tbMoveset!A2:I112,9,FALSE)="Dragon",Backdoors!BF15,Backdoors!BG15)))))/100,Backdoors!BG15/100),"")</f>
        <v>0</v>
      </c>
      <c r="CJ79" s="49">
        <f>IFERROR(IF(VLOOKUP(A79,tbMoveset!A2:J112,10,FALSE)=TRUE,IF((Backdoors!AI12+IF(CH79&gt;=0.45,VLOOKUP(Calculator!E23,tbSkills!DH3:DI6,2,FALSE)+IF(AND(Calculator!B8=TRUE,Backdoors!BI15=TRUE),VLOOKUP(Calculator!E23,tbSkills!DH3:DJ6,3,FALSE),0),0))&gt;=0,1+(Backdoors!AL2*(IF((Backdoors!AI12+IF(CH79&gt;=0.45,VLOOKUP(Calculator!E23,tbSkills!DH3:DI6,2,FALSE)+IF(AND(Calculator!B8=TRUE,Backdoors!BI15=TRUE),VLOOKUP(Calculator!E23,tbSkills!DH3:DJ6,3,FALSE),0),0))&gt;=100,100,(Backdoors!AI12+IF(CH79&gt;=0.45,VLOOKUP(Calculator!E23,tbSkills!DH3:DI6,2,FALSE)+IF(AND(Calculator!B8=TRUE,Backdoors!BI15=TRUE),VLOOKUP(Calculator!E23,tbSkills!DH3:DJ6,3,FALSE),0),0)))/100)),(1-(0.25*((-Backdoors!AI12-IF(CH79&gt;=0.45,VLOOKUP(Calculator!E23,tbSkills!DH3:DI6,2,FALSE)+IF(AND(Calculator!B8=TRUE,Backdoors!BI15=TRUE),VLOOKUP(Calculator!E23,tbSkills!DH3:DJ6,3,FALSE),0),0))/100)))),1),"")</f>
        <v>1</v>
      </c>
      <c r="CK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H79)*CJ79)*(VLOOKUP(A79,tbMoveset!A2:C112,3,FALSE)/100)*IF(VLOOKUP(A79,tbMoveset!A2:B112,2,FALSE)="Projectile",Backdoors!N10,Backdoors!N9),0),"")</f>
        <v/>
      </c>
      <c r="CL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H79&gt;=0.45,VLOOKUP(Calculator!E23,tbSkills!DH3:DI6,2,FALSE)+IF(AND(Calculator!B8=TRUE,Backdoors!BI15=TRUE),VLOOKUP(Calculator!E23,tbSkills!DH3:DJ6,3,FALSE),0),0))&gt;=100,100,(Backdoors!AI12+IF(CH79&gt;=0.45,VLOOKUP(Calculator!E23,tbSkills!DH3:DI6,2,FALSE)+IF(AND(Calculator!B8=TRUE,Backdoors!BI15=TRUE),VLOOKUP(Calculator!E23,tbSkills!DH3:DJ6,3,FALSE),0),0)))/100)),1))*IF(VLOOKUP(A79,tbMoveset!A2:K112,11,FALSE)=TRUE,Backdoors!AC5,1))*CI79,0),"")</f>
        <v>0</v>
      </c>
      <c r="CM79" s="49">
        <f>VLOOKUP(A79,tbMoveset!A2:G112,7,FALSE)*IFERROR(IF(Backdoors!AI12&gt;=0,1+(IF(Calculator!E40&gt;0,VLOOKUP(Calculator!E40,tbSkills!AI3:AJ5,2,FALSE),Backdoors!AL4)*(IF((Backdoors!AI12+IF(CH79&gt;=0.45,VLOOKUP(Calculator!E23,tbSkills!DH3:DI6,2,FALSE)+IF(AND(Calculator!B8=TRUE,Backdoors!BI15=TRUE),VLOOKUP(Calculator!E23,tbSkills!DH3:DJ6,3,FALSE),0),0))&gt;=100,100,(Backdoors!AI12+IF(CH79&gt;=0.45,VLOOKUP(Calculator!E23,tbSkills!DH3:DI6,2,FALSE)+IF(AND(Calculator!B8=TRUE,Backdoors!BI15=TRUE),VLOOKUP(Calculator!E23,tbSkills!DH3:DJ6,3,FALSE),0),0)))/100)),1),1)</f>
        <v>0.6</v>
      </c>
      <c r="CN79" s="87">
        <f t="shared" si="63"/>
        <v>0</v>
      </c>
      <c r="CO79" s="86" t="str">
        <f>IFERROR(IF(VLOOKUP(A79,tbMoveset!A2:B112,2,FALSE)="Sever",Backdoors!AY16/100,IF(VLOOKUP(A79,tbMoveset!A2:B112,2,FALSE)="Blunt",Backdoors!AZ16/100,Backdoors!BA16/100)),"")</f>
        <v/>
      </c>
      <c r="CP79" s="49">
        <f>IFERROR(IF(VLOOKUP(tbMoveset!A79,tbMoveset!A2:H112,8,FALSE)="Other",IF(VLOOKUP(tbMoveset!A79,tbMoveset!A2:I112,9,FALSE)="Fire",Backdoors!BB16,IF(VLOOKUP(tbMoveset!A79,tbMoveset!A2:I112,9,FALSE)="Water",Backdoors!BC16,IF(VLOOKUP(tbMoveset!A79,tbMoveset!A2:I112,9,FALSE)="Thunder",Backdoors!BD16,IF(VLOOKUP(tbMoveset!A79,tbMoveset!A2:I112,9,FALSE)="Ice",Backdoors!BE16,IF(VLOOKUP(tbMoveset!A79,tbMoveset!A2:I112,9,FALSE)="Dragon",Backdoors!BF16,Backdoors!BG16)))))/100,Backdoors!BG16/100),"")</f>
        <v>0</v>
      </c>
      <c r="CQ79" s="49">
        <f>IFERROR(IF(VLOOKUP(A79,tbMoveset!A2:J112,10,FALSE)=TRUE,IF((Backdoors!AI12+IF(CO79&gt;=0.45,VLOOKUP(Calculator!E23,tbSkills!DH3:DI6,2,FALSE)+IF(AND(Calculator!B8=TRUE,Backdoors!BI16=TRUE),VLOOKUP(Calculator!E23,tbSkills!DH3:DJ6,3,FALSE),0),0))&gt;=0,1+(Backdoors!AL2*(IF((Backdoors!AI12+IF(CO79&gt;=0.45,VLOOKUP(Calculator!E23,tbSkills!DH3:DI6,2,FALSE)+IF(AND(Calculator!B8=TRUE,Backdoors!BI16=TRUE),VLOOKUP(Calculator!E23,tbSkills!DH3:DJ6,3,FALSE),0),0))&gt;=100,100,(Backdoors!AI12+IF(CO79&gt;=0.45,VLOOKUP(Calculator!E23,tbSkills!DH3:DI6,2,FALSE)+IF(AND(Calculator!B8=TRUE,Backdoors!BI16=TRUE),VLOOKUP(Calculator!E23,tbSkills!DH3:DJ6,3,FALSE),0),0)))/100)),(1-(0.25*((-Backdoors!AI12-IF(CO79&gt;=0.45,VLOOKUP(Calculator!E23,tbSkills!DH3:DI6,2,FALSE)+IF(AND(Calculator!B8=TRUE,Backdoors!BI16=TRUE),VLOOKUP(Calculator!E23,tbSkills!DH3:DJ6,3,FALSE),0),0))/100)))),1),"")</f>
        <v>1</v>
      </c>
      <c r="CR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O79)*CQ79)*(VLOOKUP(A79,tbMoveset!A2:C112,3,FALSE)/100)*IF(VLOOKUP(A79,tbMoveset!A2:B112,2,FALSE)="Projectile",Backdoors!N10,Backdoors!N9),0),"")</f>
        <v/>
      </c>
      <c r="CS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O79&gt;=0.45,VLOOKUP(Calculator!E23,tbSkills!DH3:DI6,2,FALSE)+IF(AND(Calculator!B8=TRUE,Backdoors!BI16=TRUE),VLOOKUP(Calculator!E23,tbSkills!DH3:DJ6,3,FALSE),0),0))&gt;=100,100,(Backdoors!AI12+IF(CO79&gt;=0.45,VLOOKUP(Calculator!E23,tbSkills!DH3:DI6,2,FALSE)+IF(AND(Calculator!B8=TRUE,Backdoors!BI16=TRUE),VLOOKUP(Calculator!E23,tbSkills!DH3:DJ6,3,FALSE),0),0)))/100)),1))*IF(VLOOKUP(A79,tbMoveset!A2:K112,11,FALSE)=TRUE,Backdoors!AC5,1))*CP79,0),"")</f>
        <v>0</v>
      </c>
      <c r="CT79" s="49">
        <f>VLOOKUP(A79,tbMoveset!A2:G112,7,FALSE)*IFERROR(IF(Backdoors!AI12&gt;=0,1+(IF(Calculator!E40&gt;0,VLOOKUP(Calculator!E40,tbSkills!AI3:AJ5,2,FALSE),Backdoors!AL4)*(IF((Backdoors!AI12+IF(CO79&gt;=0.45,VLOOKUP(Calculator!E23,tbSkills!DH3:DI6,2,FALSE)+IF(AND(Calculator!B8=TRUE,Backdoors!BI16=TRUE),VLOOKUP(Calculator!E23,tbSkills!DH3:DJ6,3,FALSE),0),0))&gt;=100,100,(Backdoors!AI12+IF(CO79&gt;=0.45,VLOOKUP(Calculator!E23,tbSkills!DH3:DI6,2,FALSE)+IF(AND(Calculator!B8=TRUE,Backdoors!BI16=TRUE),VLOOKUP(Calculator!E23,tbSkills!DH3:DJ6,3,FALSE),0),0)))/100)),1),1)</f>
        <v>0.6</v>
      </c>
      <c r="CU79" s="87">
        <f t="shared" si="64"/>
        <v>0</v>
      </c>
      <c r="CV79" s="86" t="str">
        <f>IFERROR(IF(VLOOKUP(A79,tbMoveset!A2:B112,2,FALSE)="Sever",Backdoors!AY17/100,IF(VLOOKUP(A79,tbMoveset!A2:B112,2,FALSE)="Blunt",Backdoors!AZ17/100,Backdoors!BA17/100)),"")</f>
        <v/>
      </c>
      <c r="CW79" s="49">
        <f>IFERROR(IF(VLOOKUP(tbMoveset!A79,tbMoveset!A2:H112,8,FALSE)="Other",IF(VLOOKUP(tbMoveset!A79,tbMoveset!A2:I112,9,FALSE)="Fire",Backdoors!BB17,IF(VLOOKUP(tbMoveset!A79,tbMoveset!A2:I112,9,FALSE)="Water",Backdoors!BC17,IF(VLOOKUP(tbMoveset!A79,tbMoveset!A2:I112,9,FALSE)="Thunder",Backdoors!BD17,IF(VLOOKUP(tbMoveset!A79,tbMoveset!A2:I112,9,FALSE)="Ice",Backdoors!BE17,IF(VLOOKUP(tbMoveset!A79,tbMoveset!A2:I112,9,FALSE)="Dragon",Backdoors!BF17,Backdoors!BG17)))))/100,Backdoors!BG17/100),"")</f>
        <v>0</v>
      </c>
      <c r="CX79" s="49">
        <f>IFERROR(IF(VLOOKUP(A79,tbMoveset!A2:J112,10,FALSE)=TRUE,IF((Backdoors!AI12+IF(CV79&gt;=0.45,VLOOKUP(Calculator!E23,tbSkills!DH3:DI6,2,FALSE)+IF(AND(Calculator!B8=TRUE,Backdoors!BI17=TRUE),VLOOKUP(Calculator!E23,tbSkills!DH3:DJ6,3,FALSE),0),0))&gt;=0,1+(Backdoors!AL2*(IF((Backdoors!AI12+IF(CV79&gt;=0.45,VLOOKUP(Calculator!E23,tbSkills!DH3:DI6,2,FALSE)+IF(AND(Calculator!B8=TRUE,Backdoors!BI17=TRUE),VLOOKUP(Calculator!E23,tbSkills!DH3:DJ6,3,FALSE),0),0))&gt;=100,100,(Backdoors!AI12+IF(CV79&gt;=0.45,VLOOKUP(Calculator!E23,tbSkills!DH3:DI6,2,FALSE)+IF(AND(Calculator!B8=TRUE,Backdoors!BI17=TRUE),VLOOKUP(Calculator!E23,tbSkills!DH3:DJ6,3,FALSE),0),0)))/100)),(1-(0.25*((-Backdoors!AI12-IF(CV79&gt;=0.45,VLOOKUP(Calculator!E23,tbSkills!DH3:DI6,2,FALSE)+IF(AND(Calculator!B8=TRUE,Backdoors!BI17=TRUE),VLOOKUP(Calculator!E23,tbSkills!DH3:DJ6,3,FALSE),0),0))/100)))),1),"")</f>
        <v>1</v>
      </c>
      <c r="CY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V79)*CX79)*(VLOOKUP(A79,tbMoveset!A2:C112,3,FALSE)/100)*IF(VLOOKUP(A79,tbMoveset!A2:B112,2,FALSE)="Projectile",Backdoors!N10,Backdoors!N9),0),"")</f>
        <v/>
      </c>
      <c r="CZ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V79&gt;=0.45,VLOOKUP(Calculator!E23,tbSkills!DH3:DI6,2,FALSE)+IF(AND(Calculator!B8=TRUE,Backdoors!BI17=TRUE),VLOOKUP(Calculator!E23,tbSkills!DH3:DJ6,3,FALSE),0),0))&gt;=100,100,(Backdoors!AI12+IF(CV79&gt;=0.45,VLOOKUP(Calculator!E23,tbSkills!DH3:DI6,2,FALSE)+IF(AND(Calculator!B8=TRUE,Backdoors!BI17=TRUE),VLOOKUP(Calculator!E23,tbSkills!DH3:DJ6,3,FALSE),0),0)))/100)),1))*IF(VLOOKUP(A79,tbMoveset!A2:K112,11,FALSE)=TRUE,Backdoors!AC5,1))*CW79,0),"")</f>
        <v>0</v>
      </c>
      <c r="DA79" s="49">
        <f>VLOOKUP(A79,tbMoveset!A2:G112,7,FALSE)*IFERROR(IF(Backdoors!AI12&gt;=0,1+(IF(Calculator!E40&gt;0,VLOOKUP(Calculator!E40,tbSkills!AI3:AJ5,2,FALSE),Backdoors!AL4)*(IF((Backdoors!AI12+IF(CV79&gt;=0.45,VLOOKUP(Calculator!E23,tbSkills!DH3:DI6,2,FALSE)+IF(AND(Calculator!B8=TRUE,Backdoors!BI17=TRUE),VLOOKUP(Calculator!E23,tbSkills!DH3:DJ6,3,FALSE),0),0))&gt;=100,100,(Backdoors!AI12+IF(CV79&gt;=0.45,VLOOKUP(Calculator!E23,tbSkills!DH3:DI6,2,FALSE)+IF(AND(Calculator!B8=TRUE,Backdoors!BI17=TRUE),VLOOKUP(Calculator!E23,tbSkills!DH3:DJ6,3,FALSE),0),0)))/100)),1),1)</f>
        <v>0.6</v>
      </c>
      <c r="DB79" s="87">
        <f t="shared" si="65"/>
        <v>0</v>
      </c>
      <c r="DC79" s="86" t="str">
        <f>IFERROR(IF(VLOOKUP(A79,tbMoveset!A2:B112,2,FALSE)="Sever",Backdoors!AY18/100,IF(VLOOKUP(A79,tbMoveset!A2:B112,2,FALSE)="Blunt",Backdoors!AZ18/100,Backdoors!BA18/100)),"")</f>
        <v/>
      </c>
      <c r="DD79" s="49">
        <f>IFERROR(IF(VLOOKUP(tbMoveset!A79,tbMoveset!A2:H112,8,FALSE)="Other",IF(VLOOKUP(tbMoveset!A79,tbMoveset!A2:I112,9,FALSE)="Fire",Backdoors!BB18,IF(VLOOKUP(tbMoveset!A79,tbMoveset!A2:I112,9,FALSE)="Water",Backdoors!BC18,IF(VLOOKUP(tbMoveset!A79,tbMoveset!A2:I112,9,FALSE)="Thunder",Backdoors!BD18,IF(VLOOKUP(tbMoveset!A79,tbMoveset!A2:I112,9,FALSE)="Ice",Backdoors!BE18,IF(VLOOKUP(tbMoveset!A79,tbMoveset!A2:I112,9,FALSE)="Dragon",Backdoors!BF18,Backdoors!BG18)))))/100,Backdoors!BG18/100),"")</f>
        <v>0</v>
      </c>
      <c r="DE79" s="49">
        <f>IFERROR(IF(VLOOKUP(A79,tbMoveset!A2:J112,10,FALSE)=TRUE,IF((Backdoors!AI12+IF(DC79&gt;=0.45,VLOOKUP(Calculator!E23,tbSkills!DH3:DI6,2,FALSE)+IF(AND(Calculator!B8=TRUE,Backdoors!BI18=TRUE),VLOOKUP(Calculator!E23,tbSkills!DH3:DJ6,3,FALSE),0),0))&gt;=0,1+(Backdoors!AL2*(IF((Backdoors!AI12+IF(DC79&gt;=0.45,VLOOKUP(Calculator!E23,tbSkills!DH3:DI6,2,FALSE)+IF(AND(Calculator!B8=TRUE,Backdoors!BI18=TRUE),VLOOKUP(Calculator!E23,tbSkills!DH3:DJ6,3,FALSE),0),0))&gt;=100,100,(Backdoors!AI12+IF(DC79&gt;=0.45,VLOOKUP(Calculator!E23,tbSkills!DH3:DI6,2,FALSE)+IF(AND(Calculator!B8=TRUE,Backdoors!BI18=TRUE),VLOOKUP(Calculator!E23,tbSkills!DH3:DJ6,3,FALSE),0),0)))/100)),(1-(0.25*((-Backdoors!AI12-IF(DC79&gt;=0.45,VLOOKUP(Calculator!E23,tbSkills!DH3:DI6,2,FALSE)+IF(AND(Calculator!B8=TRUE,Backdoors!BI18=TRUE),VLOOKUP(Calculator!E23,tbSkills!DH3:DJ6,3,FALSE),0),0))/100)))),1),"")</f>
        <v>1</v>
      </c>
      <c r="DF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C79)*DE79)*(VLOOKUP(A79,tbMoveset!A2:C112,3,FALSE)/100)*IF(VLOOKUP(A79,tbMoveset!A2:B112,2,FALSE)="Projectile",Backdoors!N10,Backdoors!N9),0),"")</f>
        <v/>
      </c>
      <c r="DG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C79&gt;=0.45,VLOOKUP(Calculator!E23,tbSkills!DH3:DI6,2,FALSE)+IF(AND(Calculator!B8=TRUE,Backdoors!BI18=TRUE),VLOOKUP(Calculator!E23,tbSkills!DH3:DJ6,3,FALSE),0),0))&gt;=100,100,(Backdoors!AI12+IF(DC79&gt;=0.45,VLOOKUP(Calculator!E23,tbSkills!DH3:DI6,2,FALSE)+IF(AND(Calculator!B8=TRUE,Backdoors!BI18=TRUE),VLOOKUP(Calculator!E23,tbSkills!DH3:DJ6,3,FALSE),0),0)))/100)),1))*IF(VLOOKUP(A79,tbMoveset!A2:K112,11,FALSE)=TRUE,Backdoors!AC5,1))*DD79,0),"")</f>
        <v>0</v>
      </c>
      <c r="DH79" s="49">
        <f>VLOOKUP(A79,tbMoveset!A2:G112,7,FALSE)*IFERROR(IF(Backdoors!AI12&gt;=0,1+(IF(Calculator!E40&gt;0,VLOOKUP(Calculator!E40,tbSkills!AI3:AJ5,2,FALSE),Backdoors!AL4)*(IF((Backdoors!AI12+IF(DC79&gt;=0.45,VLOOKUP(Calculator!E23,tbSkills!DH3:DI6,2,FALSE)+IF(AND(Calculator!B8=TRUE,Backdoors!BI18=TRUE),VLOOKUP(Calculator!E23,tbSkills!DH3:DJ6,3,FALSE),0),0))&gt;=100,100,(Backdoors!AI12+IF(DC79&gt;=0.45,VLOOKUP(Calculator!E23,tbSkills!DH3:DI6,2,FALSE)+IF(AND(Calculator!B8=TRUE,Backdoors!BI18=TRUE),VLOOKUP(Calculator!E23,tbSkills!DH3:DJ6,3,FALSE),0),0)))/100)),1),1)</f>
        <v>0.6</v>
      </c>
      <c r="DI79" s="87">
        <f t="shared" si="66"/>
        <v>0</v>
      </c>
      <c r="DJ79" s="86" t="str">
        <f>IFERROR(IF(VLOOKUP(A79,tbMoveset!A2:B112,2,FALSE)="Sever",Backdoors!AY19/100,IF(VLOOKUP(A79,tbMoveset!A2:B112,2,FALSE)="Blunt",Backdoors!AZ19/100,Backdoors!BA19/100)),"")</f>
        <v/>
      </c>
      <c r="DK79" s="49">
        <f>IFERROR(IF(VLOOKUP(tbMoveset!A79,tbMoveset!A2:H112,8,FALSE)="Other",IF(VLOOKUP(tbMoveset!A79,tbMoveset!A2:I112,9,FALSE)="Fire",Backdoors!BB19,IF(VLOOKUP(tbMoveset!A79,tbMoveset!A2:I112,9,FALSE)="Water",Backdoors!BC19,IF(VLOOKUP(tbMoveset!A79,tbMoveset!A2:I112,9,FALSE)="Thunder",Backdoors!BD19,IF(VLOOKUP(tbMoveset!A79,tbMoveset!A2:I112,9,FALSE)="Ice",Backdoors!BE19,IF(VLOOKUP(tbMoveset!A79,tbMoveset!A2:I112,9,FALSE)="Dragon",Backdoors!BF19,Backdoors!BG19)))))/100,Backdoors!BG19/100),"")</f>
        <v>0</v>
      </c>
      <c r="DL79" s="49">
        <f>IFERROR(IF(VLOOKUP(A79,tbMoveset!A2:J112,10,FALSE)=TRUE,IF((Backdoors!AI12+IF(DJ79&gt;=0.45,VLOOKUP(Calculator!E23,tbSkills!DH3:DI6,2,FALSE)+IF(AND(Calculator!B8=TRUE,Backdoors!BI19=TRUE),VLOOKUP(Calculator!E23,tbSkills!DH3:DJ6,3,FALSE),0),0))&gt;=0,1+(Backdoors!AL2*(IF((Backdoors!AI12+IF(DJ79&gt;=0.45,VLOOKUP(Calculator!E23,tbSkills!DH3:DI6,2,FALSE)+IF(AND(Calculator!B8=TRUE,Backdoors!BI19=TRUE),VLOOKUP(Calculator!E23,tbSkills!DH3:DJ6,3,FALSE),0),0))&gt;=100,100,(Backdoors!AI12+IF(DJ79&gt;=0.45,VLOOKUP(Calculator!E23,tbSkills!DH3:DI6,2,FALSE)+IF(AND(Calculator!B8=TRUE,Backdoors!BI19=TRUE),VLOOKUP(Calculator!E23,tbSkills!DH3:DJ6,3,FALSE),0),0)))/100)),(1-(0.25*((-Backdoors!AI12-IF(DJ79&gt;=0.45,VLOOKUP(Calculator!E23,tbSkills!DH3:DI6,2,FALSE)+IF(AND(Calculator!B8=TRUE,Backdoors!BI19=TRUE),VLOOKUP(Calculator!E23,tbSkills!DH3:DJ6,3,FALSE),0),0))/100)))),1),"")</f>
        <v>1</v>
      </c>
      <c r="DM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J79)*DL79)*(VLOOKUP(A79,tbMoveset!A2:C112,3,FALSE)/100)*IF(VLOOKUP(A79,tbMoveset!A2:B112,2,FALSE)="Projectile",Backdoors!N10,Backdoors!N9),0),"")</f>
        <v/>
      </c>
      <c r="DN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J79&gt;=0.45,VLOOKUP(Calculator!E23,tbSkills!DH3:DI6,2,FALSE)+IF(AND(Calculator!B8=TRUE,Backdoors!BI19=TRUE),VLOOKUP(Calculator!E23,tbSkills!DH3:DJ6,3,FALSE),0),0))&gt;=100,100,(Backdoors!AI12+IF(DJ79&gt;=0.45,VLOOKUP(Calculator!E23,tbSkills!DH3:DI6,2,FALSE)+IF(AND(Calculator!B8=TRUE,Backdoors!BI19=TRUE),VLOOKUP(Calculator!E23,tbSkills!DH3:DJ6,3,FALSE),0),0)))/100)),1))*IF(VLOOKUP(A79,tbMoveset!A2:K112,11,FALSE)=TRUE,Backdoors!AC5,1))*DK79,0),"")</f>
        <v>0</v>
      </c>
      <c r="DO79" s="49">
        <f>VLOOKUP(A79,tbMoveset!A2:G112,7,FALSE)*IFERROR(IF(Backdoors!AI12&gt;=0,1+(IF(Calculator!E40&gt;0,VLOOKUP(Calculator!E40,tbSkills!AI3:AJ5,2,FALSE),Backdoors!AL4)*(IF((Backdoors!AI12+IF(DJ79&gt;=0.45,VLOOKUP(Calculator!E23,tbSkills!DH3:DI6,2,FALSE)+IF(AND(Calculator!B8=TRUE,Backdoors!BI19=TRUE),VLOOKUP(Calculator!E23,tbSkills!DH3:DJ6,3,FALSE),0),0))&gt;=100,100,(Backdoors!AI12+IF(DJ79&gt;=0.45,VLOOKUP(Calculator!E23,tbSkills!DH3:DI6,2,FALSE)+IF(AND(Calculator!B8=TRUE,Backdoors!BI19=TRUE),VLOOKUP(Calculator!E23,tbSkills!DH3:DJ6,3,FALSE),0),0)))/100)),1),1)</f>
        <v>0.6</v>
      </c>
      <c r="DP79" s="87">
        <f t="shared" si="67"/>
        <v>0</v>
      </c>
      <c r="DQ79" s="86" t="str">
        <f>IFERROR(IF(VLOOKUP(A79,tbMoveset!A2:B112,2,FALSE)="Sever",Backdoors!AY20/100,IF(VLOOKUP(A79,tbMoveset!A2:B112,2,FALSE)="Blunt",Backdoors!AZ20/100,Backdoors!BA20/100)),"")</f>
        <v/>
      </c>
      <c r="DR79" s="49">
        <f>IFERROR(IF(VLOOKUP(tbMoveset!A79,tbMoveset!A2:H112,8,FALSE)="Other",IF(VLOOKUP(tbMoveset!A79,tbMoveset!A2:I112,9,FALSE)="Fire",Backdoors!BB20,IF(VLOOKUP(tbMoveset!A79,tbMoveset!A2:I112,9,FALSE)="Water",Backdoors!BC20,IF(VLOOKUP(tbMoveset!A79,tbMoveset!A2:I112,9,FALSE)="Thunder",Backdoors!BD20,IF(VLOOKUP(tbMoveset!A79,tbMoveset!A2:I112,9,FALSE)="Ice",Backdoors!BE20,IF(VLOOKUP(tbMoveset!A79,tbMoveset!A2:I112,9,FALSE)="Dragon",Backdoors!BF20,Backdoors!BG20)))))/100,Backdoors!BG20/100),"")</f>
        <v>0</v>
      </c>
      <c r="DS79" s="49">
        <f>IFERROR(IF(VLOOKUP(A79,tbMoveset!A2:J112,10,FALSE)=TRUE,IF((Backdoors!AI12+IF(DQ79&gt;=0.45,VLOOKUP(Calculator!E23,tbSkills!DH3:DI6,2,FALSE)+IF(AND(Calculator!B8=TRUE,Backdoors!BI20=TRUE),VLOOKUP(Calculator!E23,tbSkills!DH3:DJ6,3,FALSE),0),0))&gt;=0,1+(Backdoors!AL2*(IF((Backdoors!AI12+IF(DQ79&gt;=0.45,VLOOKUP(Calculator!E23,tbSkills!DH3:DI6,2,FALSE)+IF(AND(Calculator!B8=TRUE,Backdoors!BI20=TRUE),VLOOKUP(Calculator!E23,tbSkills!DH3:DJ6,3,FALSE),0),0))&gt;=100,100,(Backdoors!AI12+IF(DQ79&gt;=0.45,VLOOKUP(Calculator!E23,tbSkills!DH3:DI6,2,FALSE)+IF(AND(Calculator!B8=TRUE,Backdoors!BI20=TRUE),VLOOKUP(Calculator!E23,tbSkills!DH3:DJ6,3,FALSE),0),0)))/100)),(1-(0.25*((-Backdoors!AI12-IF(DQ79&gt;=0.45,VLOOKUP(Calculator!E23,tbSkills!DH3:DI6,2,FALSE)+IF(AND(Calculator!B8=TRUE,Backdoors!BI20=TRUE),VLOOKUP(Calculator!E23,tbSkills!DH3:DJ6,3,FALSE),0),0))/100)))),1),"")</f>
        <v>1</v>
      </c>
      <c r="DT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Q79)*DS79)*(VLOOKUP(A79,tbMoveset!A2:C112,3,FALSE)/100)*IF(VLOOKUP(A79,tbMoveset!A2:B112,2,FALSE)="Projectile",Backdoors!N10,Backdoors!N9),0),"")</f>
        <v/>
      </c>
      <c r="DU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Q79&gt;=0.45,VLOOKUP(Calculator!E23,tbSkills!DH3:DI6,2,FALSE)+IF(AND(Calculator!B8=TRUE,Backdoors!BI20=TRUE),VLOOKUP(Calculator!E23,tbSkills!DH3:DJ6,3,FALSE),0),0))&gt;=100,100,(Backdoors!AI12+IF(DQ79&gt;=0.45,VLOOKUP(Calculator!E23,tbSkills!DH3:DI6,2,FALSE)+IF(AND(Calculator!B8=TRUE,Backdoors!BI20=TRUE),VLOOKUP(Calculator!E23,tbSkills!DH3:DJ6,3,FALSE),0),0)))/100)),1))*IF(VLOOKUP(A79,tbMoveset!A2:K112,11,FALSE)=TRUE,Backdoors!AC5,1))*DR79,0),"")</f>
        <v>0</v>
      </c>
      <c r="DV79" s="49">
        <f>VLOOKUP(A79,tbMoveset!A2:G112,7,FALSE)*IFERROR(IF(Backdoors!AI12&gt;=0,1+(IF(Calculator!E40&gt;0,VLOOKUP(Calculator!E40,tbSkills!AI3:AJ5,2,FALSE),Backdoors!AL4)*(IF((Backdoors!AI12+IF(DQ79&gt;=0.45,VLOOKUP(Calculator!E23,tbSkills!DH3:DI6,2,FALSE)+IF(AND(Calculator!B8=TRUE,Backdoors!BI20=TRUE),VLOOKUP(Calculator!E23,tbSkills!DH3:DJ6,3,FALSE),0),0))&gt;=100,100,(Backdoors!AI12+IF(DQ79&gt;=0.45,VLOOKUP(Calculator!E23,tbSkills!DH3:DI6,2,FALSE)+IF(AND(Calculator!B8=TRUE,Backdoors!BI20=TRUE),VLOOKUP(Calculator!E23,tbSkills!DH3:DJ6,3,FALSE),0),0)))/100)),1),1)</f>
        <v>0.6</v>
      </c>
      <c r="DW79" s="87">
        <f t="shared" si="68"/>
        <v>0</v>
      </c>
      <c r="DX79" s="86" t="str">
        <f>IFERROR(IF(VLOOKUP(A79,tbMoveset!A2:B112,2,FALSE)="Sever",Backdoors!AY21/100,IF(VLOOKUP(A79,tbMoveset!A2:B112,2,FALSE)="Blunt",Backdoors!AZ21/100,Backdoors!BA21/100)),"")</f>
        <v/>
      </c>
      <c r="DY79" s="49">
        <f>IFERROR(IF(VLOOKUP(tbMoveset!A79,tbMoveset!A2:H112,8,FALSE)="Other",IF(VLOOKUP(tbMoveset!A79,tbMoveset!A2:I112,9,FALSE)="Fire",Backdoors!BB21,IF(VLOOKUP(tbMoveset!A79,tbMoveset!A2:I112,9,FALSE)="Water",Backdoors!BC21,IF(VLOOKUP(tbMoveset!A79,tbMoveset!A2:I112,9,FALSE)="Thunder",Backdoors!BD21,IF(VLOOKUP(tbMoveset!A79,tbMoveset!A2:I112,9,FALSE)="Ice",Backdoors!BE21,IF(VLOOKUP(tbMoveset!A79,tbMoveset!A2:I112,9,FALSE)="Dragon",Backdoors!BF21,Backdoors!BG21)))))/100,Backdoors!BG21/100),"")</f>
        <v>0</v>
      </c>
      <c r="DZ79" s="49">
        <f>IFERROR(IF(VLOOKUP(A79,tbMoveset!A2:J112,10,FALSE)=TRUE,IF((Backdoors!AI12+IF(DX79&gt;=0.45,VLOOKUP(Calculator!E23,tbSkills!DH3:DI6,2,FALSE)+IF(AND(Calculator!B8=TRUE,Backdoors!BI21=TRUE),VLOOKUP(Calculator!E23,tbSkills!DH3:DJ6,3,FALSE),0),0))&gt;=0,1+(Backdoors!AL2*(IF((Backdoors!AI12+IF(DX79&gt;=0.45,VLOOKUP(Calculator!E23,tbSkills!DH3:DI6,2,FALSE)+IF(AND(Calculator!B8=TRUE,Backdoors!BI21=TRUE),VLOOKUP(Calculator!E23,tbSkills!DH3:DJ6,3,FALSE),0),0))&gt;=100,100,(Backdoors!AI12+IF(DX79&gt;=0.45,VLOOKUP(Calculator!E23,tbSkills!DH3:DI6,2,FALSE)+IF(AND(Calculator!B8=TRUE,Backdoors!BI21=TRUE),VLOOKUP(Calculator!E23,tbSkills!DH3:DJ6,3,FALSE),0),0)))/100)),(1-(0.25*((-Backdoors!AI12-IF(DX79&gt;=0.45,VLOOKUP(Calculator!E23,tbSkills!DH3:DI6,2,FALSE)+IF(AND(Calculator!B8=TRUE,Backdoors!BI21=TRUE),VLOOKUP(Calculator!E23,tbSkills!DH3:DJ6,3,FALSE),0),0))/100)))),1),"")</f>
        <v>1</v>
      </c>
      <c r="EA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X79)*DZ79)*(VLOOKUP(A79,tbMoveset!A2:C112,3,FALSE)/100)*IF(VLOOKUP(A79,tbMoveset!A2:B112,2,FALSE)="Projectile",Backdoors!N10,Backdoors!N9),0),"")</f>
        <v/>
      </c>
      <c r="EB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X79&gt;=0.45,VLOOKUP(Calculator!E23,tbSkills!DH3:DI6,2,FALSE)+IF(AND(Calculator!B8=TRUE,Backdoors!BI21=TRUE),VLOOKUP(Calculator!E23,tbSkills!DH3:DJ6,3,FALSE),0),0))&gt;=100,100,(Backdoors!AI12+IF(DX79&gt;=0.45,VLOOKUP(Calculator!E23,tbSkills!DH3:DI6,2,FALSE)+IF(AND(Calculator!B8=TRUE,Backdoors!BI21=TRUE),VLOOKUP(Calculator!E23,tbSkills!DH3:DJ6,3,FALSE),0),0)))/100)),1))*IF(VLOOKUP(A79,tbMoveset!A2:K112,11,FALSE)=TRUE,Backdoors!AC5,1))*DY79,0),"")</f>
        <v>0</v>
      </c>
      <c r="EC79" s="49">
        <f>VLOOKUP(A79,tbMoveset!A2:G112,7,FALSE)*IFERROR(IF(Backdoors!AI12&gt;=0,1+(IF(Calculator!E40&gt;0,VLOOKUP(Calculator!E40,tbSkills!AI3:AJ5,2,FALSE),Backdoors!AL4)*(IF((Backdoors!AI12+IF(DX79&gt;=0.45,VLOOKUP(Calculator!E23,tbSkills!DH3:DI6,2,FALSE)+IF(AND(Calculator!B8=TRUE,Backdoors!BI21=TRUE),VLOOKUP(Calculator!E23,tbSkills!DH3:DJ6,3,FALSE),0),0))&gt;=100,100,(Backdoors!AI12+IF(DX79&gt;=0.45,VLOOKUP(Calculator!E23,tbSkills!DH3:DI6,2,FALSE)+IF(AND(Calculator!B8=TRUE,Backdoors!BI21=TRUE),VLOOKUP(Calculator!E23,tbSkills!DH3:DJ6,3,FALSE),0),0)))/100)),1),1)</f>
        <v>0.6</v>
      </c>
      <c r="ED79" s="87">
        <f t="shared" si="69"/>
        <v>0</v>
      </c>
      <c r="EE79" s="86" t="str">
        <f>IFERROR(IF(VLOOKUP(A79,tbMoveset!A2:B112,2,FALSE)="Sever",Backdoors!AY22/100,IF(VLOOKUP(A79,tbMoveset!A2:B112,2,FALSE)="Blunt",Backdoors!AZ22/100,Backdoors!BA22/100)),"")</f>
        <v/>
      </c>
      <c r="EF79" s="49">
        <f>IFERROR(IF(VLOOKUP(tbMoveset!A79,tbMoveset!A2:H112,8,FALSE)="Other",IF(VLOOKUP(tbMoveset!A79,tbMoveset!A2:I112,9,FALSE)="Fire",Backdoors!BB22,IF(VLOOKUP(tbMoveset!A79,tbMoveset!A2:I112,9,FALSE)="Water",Backdoors!BC22,IF(VLOOKUP(tbMoveset!A79,tbMoveset!A2:I112,9,FALSE)="Thunder",Backdoors!BD22,IF(VLOOKUP(tbMoveset!A79,tbMoveset!A2:I112,9,FALSE)="Ice",Backdoors!BE22,IF(VLOOKUP(tbMoveset!A79,tbMoveset!A2:I112,9,FALSE)="Dragon",Backdoors!BF22,Backdoors!BG22)))))/100,Backdoors!BG22/100),"")</f>
        <v>0</v>
      </c>
      <c r="EG79" s="49">
        <f>IFERROR(IF(VLOOKUP(A79,tbMoveset!A2:J112,10,FALSE)=TRUE,IF((Backdoors!AI12+IF(EE79&gt;=0.45,VLOOKUP(Calculator!E23,tbSkills!DH3:DI6,2,FALSE)+IF(AND(Calculator!B8=TRUE,Backdoors!BI22=TRUE),VLOOKUP(Calculator!E23,tbSkills!DH3:DJ6,3,FALSE),0),0))&gt;=0,1+(Backdoors!AL2*(IF((Backdoors!AI12+IF(EE79&gt;=0.45,VLOOKUP(Calculator!E23,tbSkills!DH3:DI6,2,FALSE)+IF(AND(Calculator!B8=TRUE,Backdoors!BI22=TRUE),VLOOKUP(Calculator!E23,tbSkills!DH3:DJ6,3,FALSE),0),0))&gt;=100,100,(Backdoors!AI12+IF(EE79&gt;=0.45,VLOOKUP(Calculator!E23,tbSkills!DH3:DI6,2,FALSE)+IF(AND(Calculator!B8=TRUE,Backdoors!BI22=TRUE),VLOOKUP(Calculator!E23,tbSkills!DH3:DJ6,3,FALSE),0),0)))/100)),(1-(0.25*((-Backdoors!AI12-IF(EE79&gt;=0.45,VLOOKUP(Calculator!E23,tbSkills!DH3:DI6,2,FALSE)+IF(AND(Calculator!B8=TRUE,Backdoors!BI22=TRUE),VLOOKUP(Calculator!E23,tbSkills!DH3:DJ6,3,FALSE),0),0))/100)))),1),"")</f>
        <v>1</v>
      </c>
      <c r="EH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E79)*EG79)*(VLOOKUP(A79,tbMoveset!A2:C112,3,FALSE)/100)*IF(VLOOKUP(A79,tbMoveset!A2:B112,2,FALSE)="Projectile",Backdoors!N10,Backdoors!N9),0),"")</f>
        <v/>
      </c>
      <c r="EI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E79&gt;=0.45,VLOOKUP(Calculator!E23,tbSkills!DH3:DI6,2,FALSE)+IF(AND(Calculator!B8=TRUE,Backdoors!BI22=TRUE),VLOOKUP(Calculator!E23,tbSkills!DH3:DJ6,3,FALSE),0),0))&gt;=100,100,(Backdoors!AI12+IF(EE79&gt;=0.45,VLOOKUP(Calculator!E23,tbSkills!DH3:DI6,2,FALSE)+IF(AND(Calculator!B8=TRUE,Backdoors!BI22=TRUE),VLOOKUP(Calculator!E23,tbSkills!DH3:DJ6,3,FALSE),0),0)))/100)),1))*IF(VLOOKUP(A79,tbMoveset!A2:K112,11,FALSE)=TRUE,Backdoors!AC5,1))*EF79,0),"")</f>
        <v>0</v>
      </c>
      <c r="EJ79" s="49">
        <f>VLOOKUP(A79,tbMoveset!A2:G112,7,FALSE)*IFERROR(IF(Backdoors!AI12&gt;=0,1+(IF(Calculator!E40&gt;0,VLOOKUP(Calculator!E40,tbSkills!AI3:AJ5,2,FALSE),Backdoors!AL4)*(IF((Backdoors!AI12+IF(EE79&gt;=0.45,VLOOKUP(Calculator!E23,tbSkills!DH3:DI6,2,FALSE)+IF(AND(Calculator!B8=TRUE,Backdoors!BI22=TRUE),VLOOKUP(Calculator!E23,tbSkills!DH3:DJ6,3,FALSE),0),0))&gt;=100,100,(Backdoors!AI12+IF(EE79&gt;=0.45,VLOOKUP(Calculator!E23,tbSkills!DH3:DI6,2,FALSE)+IF(AND(Calculator!B8=TRUE,Backdoors!BI22=TRUE),VLOOKUP(Calculator!E23,tbSkills!DH3:DJ6,3,FALSE),0),0)))/100)),1),1)</f>
        <v>0.6</v>
      </c>
      <c r="EK79" s="87">
        <f t="shared" si="70"/>
        <v>0</v>
      </c>
      <c r="EL79" s="86" t="str">
        <f>IFERROR(IF(VLOOKUP(A79,tbMoveset!A2:B112,2,FALSE)="Sever",Backdoors!AY23/100,IF(VLOOKUP(A79,tbMoveset!A2:B112,2,FALSE)="Blunt",Backdoors!AZ23/100,Backdoors!BA23/100)),"")</f>
        <v/>
      </c>
      <c r="EM79" s="49">
        <f>IFERROR(IF(VLOOKUP(tbMoveset!A79,tbMoveset!A2:H112,8,FALSE)="Other",IF(VLOOKUP(tbMoveset!A79,tbMoveset!A2:I112,9,FALSE)="Fire",Backdoors!BB23,IF(VLOOKUP(tbMoveset!A79,tbMoveset!A2:I112,9,FALSE)="Water",Backdoors!BC23,IF(VLOOKUP(tbMoveset!A79,tbMoveset!A2:I112,9,FALSE)="Thunder",Backdoors!BD23,IF(VLOOKUP(tbMoveset!A79,tbMoveset!A2:I112,9,FALSE)="Ice",Backdoors!BE23,IF(VLOOKUP(tbMoveset!A79,tbMoveset!A2:I112,9,FALSE)="Dragon",Backdoors!BF23,Backdoors!BG23)))))/100,Backdoors!BG23/100),"")</f>
        <v>0</v>
      </c>
      <c r="EN79" s="49">
        <f>IFERROR(IF(VLOOKUP(A79,tbMoveset!A2:J112,10,FALSE)=TRUE,IF((Backdoors!AI12+IF(EL79&gt;=0.45,VLOOKUP(Calculator!E23,tbSkills!DH3:DI6,2,FALSE)+IF(AND(Calculator!B8=TRUE,Backdoors!BI23=TRUE),VLOOKUP(Calculator!E23,tbSkills!DH3:DJ6,3,FALSE),0),0))&gt;=0,1+(Backdoors!AL2*(IF((Backdoors!AI12+IF(EL79&gt;=0.45,VLOOKUP(Calculator!E23,tbSkills!DH3:DI6,2,FALSE)+IF(AND(Calculator!B8=TRUE,Backdoors!BI23=TRUE),VLOOKUP(Calculator!E23,tbSkills!DH3:DJ6,3,FALSE),0),0))&gt;=100,100,(Backdoors!AI12+IF(EL79&gt;=0.45,VLOOKUP(Calculator!E23,tbSkills!DH3:DI6,2,FALSE)+IF(AND(Calculator!B8=TRUE,Backdoors!BI23=TRUE),VLOOKUP(Calculator!E23,tbSkills!DH3:DJ6,3,FALSE),0),0)))/100)),(1-(0.25*((-Backdoors!AI12-IF(EL79&gt;=0.45,VLOOKUP(Calculator!E23,tbSkills!DH3:DI6,2,FALSE)+IF(AND(Calculator!B8=TRUE,Backdoors!BI23=TRUE),VLOOKUP(Calculator!E23,tbSkills!DH3:DJ6,3,FALSE),0),0))/100)))),1),"")</f>
        <v>1</v>
      </c>
      <c r="EO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L79)*EN79)*(VLOOKUP(A79,tbMoveset!A2:C112,3,FALSE)/100)*IF(VLOOKUP(A79,tbMoveset!A2:B112,2,FALSE)="Projectile",Backdoors!N10,Backdoors!N9),0),"")</f>
        <v/>
      </c>
      <c r="EP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L79&gt;=0.45,VLOOKUP(Calculator!E23,tbSkills!DH3:DI6,2,FALSE)+IF(AND(Calculator!B8=TRUE,Backdoors!BI23=TRUE),VLOOKUP(Calculator!E23,tbSkills!DH3:DJ6,3,FALSE),0),0))&gt;=100,100,(Backdoors!AI12+IF(EL79&gt;=0.45,VLOOKUP(Calculator!E23,tbSkills!DH3:DI6,2,FALSE)+IF(AND(Calculator!B8=TRUE,Backdoors!BI23=TRUE),VLOOKUP(Calculator!E23,tbSkills!DH3:DJ6,3,FALSE),0),0)))/100)),1))*IF(VLOOKUP(A79,tbMoveset!A2:K112,11,FALSE)=TRUE,Backdoors!AC5,1))*EM79,0),"")</f>
        <v>0</v>
      </c>
      <c r="EQ79" s="49">
        <f>VLOOKUP(A79,tbMoveset!A2:G112,7,FALSE)*IFERROR(IF(Backdoors!AI12&gt;=0,1+(IF(Calculator!E40&gt;0,VLOOKUP(Calculator!E40,tbSkills!AI3:AJ5,2,FALSE),Backdoors!AL4)*(IF((Backdoors!AI12+IF(EL79&gt;=0.45,VLOOKUP(Calculator!E23,tbSkills!DH3:DI6,2,FALSE)+IF(AND(Calculator!B8=TRUE,Backdoors!BI23=TRUE),VLOOKUP(Calculator!E23,tbSkills!DH3:DJ6,3,FALSE),0),0))&gt;=100,100,(Backdoors!AI12+IF(EL79&gt;=0.45,VLOOKUP(Calculator!E23,tbSkills!DH3:DI6,2,FALSE)+IF(AND(Calculator!B8=TRUE,Backdoors!BI23=TRUE),VLOOKUP(Calculator!E23,tbSkills!DH3:DJ6,3,FALSE),0),0)))/100)),1),1)</f>
        <v>0.6</v>
      </c>
      <c r="ER79" s="87">
        <f t="shared" si="71"/>
        <v>0</v>
      </c>
      <c r="ES79" s="86" t="str">
        <f>IFERROR(IF(VLOOKUP(A79,tbMoveset!A2:B112,2,FALSE)="Sever",Backdoors!AY24/100,IF(VLOOKUP(A79,tbMoveset!A2:B112,2,FALSE)="Blunt",Backdoors!AZ24/100,Backdoors!BA24/100)),"")</f>
        <v/>
      </c>
      <c r="ET79" s="49">
        <f>IFERROR(IF(VLOOKUP(tbMoveset!A79,tbMoveset!A2:H112,8,FALSE)="Other",IF(VLOOKUP(tbMoveset!A79,tbMoveset!A2:I112,9,FALSE)="Fire",Backdoors!BB24,IF(VLOOKUP(tbMoveset!A79,tbMoveset!A2:I112,9,FALSE)="Water",Backdoors!BC24,IF(VLOOKUP(tbMoveset!A79,tbMoveset!A2:I112,9,FALSE)="Thunder",Backdoors!BD24,IF(VLOOKUP(tbMoveset!A79,tbMoveset!A2:I112,9,FALSE)="Ice",Backdoors!BE24,IF(VLOOKUP(tbMoveset!A79,tbMoveset!A2:I112,9,FALSE)="Dragon",Backdoors!BF24,Backdoors!BG24)))))/100,Backdoors!BG24/100),"")</f>
        <v>0</v>
      </c>
      <c r="EU79" s="49">
        <f>IFERROR(IF(VLOOKUP(A79,tbMoveset!A2:J112,10,FALSE)=TRUE,IF((Backdoors!AI12+IF(ES79&gt;=0.45,VLOOKUP(Calculator!E23,tbSkills!DH3:DI6,2,FALSE)+IF(AND(Calculator!B8=TRUE,Backdoors!BI24=TRUE),VLOOKUP(Calculator!E23,tbSkills!DH3:DJ6,3,FALSE),0),0))&gt;=0,1+(Backdoors!AL2*(IF((Backdoors!AI12+IF(ES79&gt;=0.45,VLOOKUP(Calculator!E23,tbSkills!DH3:DI6,2,FALSE)+IF(AND(Calculator!B8=TRUE,Backdoors!BI24=TRUE),VLOOKUP(Calculator!E23,tbSkills!DH3:DJ6,3,FALSE),0),0))&gt;=100,100,(Backdoors!AI12+IF(ES79&gt;=0.45,VLOOKUP(Calculator!E23,tbSkills!DH3:DI6,2,FALSE)+IF(AND(Calculator!B8=TRUE,Backdoors!BI24=TRUE),VLOOKUP(Calculator!E23,tbSkills!DH3:DJ6,3,FALSE),0),0)))/100)),(1-(0.25*((-Backdoors!AI12-IF(ES79&gt;=0.45,VLOOKUP(Calculator!E23,tbSkills!DH3:DI6,2,FALSE)+IF(AND(Calculator!B8=TRUE,Backdoors!BI24=TRUE),VLOOKUP(Calculator!E23,tbSkills!DH3:DJ6,3,FALSE),0),0))/100)))),1),"")</f>
        <v>1</v>
      </c>
      <c r="EV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S79)*EU79)*(VLOOKUP(A79,tbMoveset!A2:C112,3,FALSE)/100)*IF(VLOOKUP(A79,tbMoveset!A2:B112,2,FALSE)="Projectile",Backdoors!N10,Backdoors!N9),0),"")</f>
        <v/>
      </c>
      <c r="EW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S79&gt;=0.45,VLOOKUP(Calculator!E23,tbSkills!DH3:DI6,2,FALSE)+IF(AND(Calculator!B8=TRUE,Backdoors!BI24=TRUE),VLOOKUP(Calculator!E23,tbSkills!DH3:DJ6,3,FALSE),0),0))&gt;=100,100,(Backdoors!AI12+IF(ES79&gt;=0.45,VLOOKUP(Calculator!E23,tbSkills!DH3:DI6,2,FALSE)+IF(AND(Calculator!B8=TRUE,Backdoors!BI24=TRUE),VLOOKUP(Calculator!E23,tbSkills!DH3:DJ6,3,FALSE),0),0)))/100)),1))*IF(VLOOKUP(A79,tbMoveset!A2:K112,11,FALSE)=TRUE,Backdoors!AC5,1))*ET79,0),"")</f>
        <v>0</v>
      </c>
      <c r="EX79" s="49">
        <f>VLOOKUP(A79,tbMoveset!A2:G112,7,FALSE)*IFERROR(IF(Backdoors!AI12&gt;=0,1+(IF(Calculator!E40&gt;0,VLOOKUP(Calculator!E40,tbSkills!AI3:AJ5,2,FALSE),Backdoors!AL4)*(IF((Backdoors!AI12+IF(ES79&gt;=0.45,VLOOKUP(Calculator!E23,tbSkills!DH3:DI6,2,FALSE)+IF(AND(Calculator!B8=TRUE,Backdoors!BI24=TRUE),VLOOKUP(Calculator!E23,tbSkills!DH3:DJ6,3,FALSE),0),0))&gt;=100,100,(Backdoors!AI12+IF(ES79&gt;=0.45,VLOOKUP(Calculator!E23,tbSkills!DH3:DI6,2,FALSE)+IF(AND(Calculator!B8=TRUE,Backdoors!BI24=TRUE),VLOOKUP(Calculator!E23,tbSkills!DH3:DJ6,3,FALSE),0),0)))/100)),1),1)</f>
        <v>0.6</v>
      </c>
      <c r="EY79" s="87">
        <f t="shared" si="72"/>
        <v>0</v>
      </c>
      <c r="EZ79" s="86" t="str">
        <f>IFERROR(IF(VLOOKUP(A79,tbMoveset!A2:B112,2,FALSE)="Sever",Backdoors!AY25/100,IF(VLOOKUP(A79,tbMoveset!A2:B112,2,FALSE)="Blunt",Backdoors!AZ25/100,Backdoors!BA25/100)),"")</f>
        <v/>
      </c>
      <c r="FA79" s="49">
        <f>IFERROR(IF(VLOOKUP(tbMoveset!A79,tbMoveset!A2:H112,8,FALSE)="Other",IF(VLOOKUP(tbMoveset!A79,tbMoveset!A2:I112,9,FALSE)="Fire",Backdoors!BB25,IF(VLOOKUP(tbMoveset!A79,tbMoveset!A2:I112,9,FALSE)="Water",Backdoors!BC25,IF(VLOOKUP(tbMoveset!A79,tbMoveset!A2:I112,9,FALSE)="Thunder",Backdoors!BD25,IF(VLOOKUP(tbMoveset!A79,tbMoveset!A2:I112,9,FALSE)="Ice",Backdoors!BE25,IF(VLOOKUP(tbMoveset!A79,tbMoveset!A2:I112,9,FALSE)="Dragon",Backdoors!BF25,Backdoors!BG25)))))/100,Backdoors!BG25/100),"")</f>
        <v>0</v>
      </c>
      <c r="FB79" s="49">
        <f>IFERROR(IF(VLOOKUP(A79,tbMoveset!A2:J112,10,FALSE)=TRUE,IF((Backdoors!AI12+IF(EZ79&gt;=0.45,VLOOKUP(Calculator!E23,tbSkills!DH3:DI6,2,FALSE)+IF(AND(Calculator!B8=TRUE,Backdoors!BI25=TRUE),VLOOKUP(Calculator!E23,tbSkills!DH3:DJ6,3,FALSE),0),0))&gt;=0,1+(Backdoors!AL2*(IF((Backdoors!AI12+IF(EZ79&gt;=0.45,VLOOKUP(Calculator!E23,tbSkills!DH3:DI6,2,FALSE)+IF(AND(Calculator!B8=TRUE,Backdoors!BI25=TRUE),VLOOKUP(Calculator!E23,tbSkills!DH3:DJ6,3,FALSE),0),0))&gt;=100,100,(Backdoors!AI12+IF(EZ79&gt;=0.45,VLOOKUP(Calculator!E23,tbSkills!DH3:DI6,2,FALSE)+IF(AND(Calculator!B8=TRUE,Backdoors!BI25=TRUE),VLOOKUP(Calculator!E23,tbSkills!DH3:DJ6,3,FALSE),0),0)))/100)),(1-(0.25*((-Backdoors!AI12-IF(EZ79&gt;=0.45,VLOOKUP(Calculator!E23,tbSkills!DH3:DI6,2,FALSE)+IF(AND(Calculator!B8=TRUE,Backdoors!BI25=TRUE),VLOOKUP(Calculator!E23,tbSkills!DH3:DJ6,3,FALSE),0),0))/100)))),1),"")</f>
        <v>1</v>
      </c>
      <c r="FC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Z79)*FB79)*(VLOOKUP(A79,tbMoveset!A2:C112,3,FALSE)/100)*IF(VLOOKUP(A79,tbMoveset!A2:B112,2,FALSE)="Projectile",Backdoors!N10,Backdoors!N9),0),"")</f>
        <v/>
      </c>
      <c r="FD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Z79&gt;=0.45,VLOOKUP(Calculator!E23,tbSkills!DH3:DI6,2,FALSE)+IF(AND(Calculator!B8=TRUE,Backdoors!BI25=TRUE),VLOOKUP(Calculator!E23,tbSkills!DH3:DJ6,3,FALSE),0),0))&gt;=100,100,(Backdoors!AI12+IF(EZ79&gt;=0.45,VLOOKUP(Calculator!E23,tbSkills!DH3:DI6,2,FALSE)+IF(AND(Calculator!B8=TRUE,Backdoors!BI25=TRUE),VLOOKUP(Calculator!E23,tbSkills!DH3:DJ6,3,FALSE),0),0)))/100)),1))*IF(VLOOKUP(A79,tbMoveset!A2:K112,11,FALSE)=TRUE,Backdoors!AC5,1))*FA79,0),"")</f>
        <v>0</v>
      </c>
      <c r="FE79" s="49">
        <f>VLOOKUP(A79,tbMoveset!A2:G112,7,FALSE)*IFERROR(IF(Backdoors!AI12&gt;=0,1+(IF(Calculator!E40&gt;0,VLOOKUP(Calculator!E40,tbSkills!AI3:AJ5,2,FALSE),Backdoors!AL4)*(IF((Backdoors!AI12+IF(EZ79&gt;=0.45,VLOOKUP(Calculator!E23,tbSkills!DH3:DI6,2,FALSE)+IF(AND(Calculator!B8=TRUE,Backdoors!BI25=TRUE),VLOOKUP(Calculator!E23,tbSkills!DH3:DJ6,3,FALSE),0),0))&gt;=100,100,(Backdoors!AI12+IF(EZ79&gt;=0.45,VLOOKUP(Calculator!E23,tbSkills!DH3:DI6,2,FALSE)+IF(AND(Calculator!B8=TRUE,Backdoors!BI25=TRUE),VLOOKUP(Calculator!E23,tbSkills!DH3:DJ6,3,FALSE),0),0)))/100)),1),1)</f>
        <v>0.6</v>
      </c>
      <c r="FF79" s="87">
        <f t="shared" si="73"/>
        <v>0</v>
      </c>
      <c r="FG79" s="86" t="str">
        <f>IFERROR(IF(VLOOKUP(A79,tbMoveset!A2:B112,2,FALSE)="Sever",Backdoors!AY26/100,IF(VLOOKUP(A79,tbMoveset!A2:B112,2,FALSE)="Blunt",Backdoors!AZ26/100,Backdoors!BA26/100)),"")</f>
        <v/>
      </c>
      <c r="FH79" s="49">
        <f>IFERROR(IF(VLOOKUP(tbMoveset!A79,tbMoveset!A2:H112,8,FALSE)="Other",IF(VLOOKUP(tbMoveset!A79,tbMoveset!A2:I112,9,FALSE)="Fire",Backdoors!BB26,IF(VLOOKUP(tbMoveset!A79,tbMoveset!A2:I112,9,FALSE)="Water",Backdoors!BC26,IF(VLOOKUP(tbMoveset!A79,tbMoveset!A2:I112,9,FALSE)="Thunder",Backdoors!BD26,IF(VLOOKUP(tbMoveset!A79,tbMoveset!A2:I112,9,FALSE)="Ice",Backdoors!BE26,IF(VLOOKUP(tbMoveset!A79,tbMoveset!A2:I112,9,FALSE)="Dragon",Backdoors!BF26,Backdoors!BG26)))))/100,Backdoors!BG26/100),"")</f>
        <v>0</v>
      </c>
      <c r="FI79" s="49">
        <f>IFERROR(IF(VLOOKUP(A79,tbMoveset!A2:J112,10,FALSE)=TRUE,IF((Backdoors!AI12+IF(FG79&gt;=0.45,VLOOKUP(Calculator!E23,tbSkills!DH3:DI6,2,FALSE)+IF(AND(Calculator!B8=TRUE,Backdoors!BI26=TRUE),VLOOKUP(Calculator!E23,tbSkills!DH3:DJ6,3,FALSE),0),0))&gt;=0,1+(Backdoors!AL2*(IF((Backdoors!AI12+IF(FG79&gt;=0.45,VLOOKUP(Calculator!E23,tbSkills!DH3:DI6,2,FALSE)+IF(AND(Calculator!B8=TRUE,Backdoors!BI26=TRUE),VLOOKUP(Calculator!E23,tbSkills!DH3:DJ6,3,FALSE),0),0))&gt;=100,100,(Backdoors!AI12+IF(FG79&gt;=0.45,VLOOKUP(Calculator!E23,tbSkills!DH3:DI6,2,FALSE)+IF(AND(Calculator!B8=TRUE,Backdoors!BI26=TRUE),VLOOKUP(Calculator!E23,tbSkills!DH3:DJ6,3,FALSE),0),0)))/100)),(1-(0.25*((-Backdoors!AI12-IF(FG79&gt;=0.45,VLOOKUP(Calculator!E23,tbSkills!DH3:DI6,2,FALSE)+IF(AND(Calculator!B8=TRUE,Backdoors!BI26=TRUE),VLOOKUP(Calculator!E23,tbSkills!DH3:DJ6,3,FALSE),0),0))/100)))),1),"")</f>
        <v>1</v>
      </c>
      <c r="FJ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FG79)*FI79)*(VLOOKUP(A79,tbMoveset!A2:C112,3,FALSE)/100)*IF(VLOOKUP(A79,tbMoveset!A2:B112,2,FALSE)="Projectile",Backdoors!N10,Backdoors!N9),0),"")</f>
        <v/>
      </c>
      <c r="FK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FG79&gt;=0.45,VLOOKUP(Calculator!E23,tbSkills!DH3:DI6,2,FALSE)+IF(AND(Calculator!B8=TRUE,Backdoors!BI26=TRUE),VLOOKUP(Calculator!E23,tbSkills!DH3:DJ6,3,FALSE),0),0))&gt;=100,100,(Backdoors!AI12+IF(FG79&gt;=0.45,VLOOKUP(Calculator!E23,tbSkills!DH3:DI6,2,FALSE)+IF(AND(Calculator!B8=TRUE,Backdoors!BI26=TRUE),VLOOKUP(Calculator!E23,tbSkills!DH3:DJ6,3,FALSE),0),0)))/100)),1))*IF(VLOOKUP(A79,tbMoveset!A2:K112,11,FALSE)=TRUE,Backdoors!AC5,1))*FH79,0),"")</f>
        <v>0</v>
      </c>
      <c r="FL79" s="49">
        <f>VLOOKUP(A79,tbMoveset!A2:G112,7,FALSE)*IFERROR(IF(Backdoors!AI12&gt;=0,1+(IF(Calculator!E40&gt;0,VLOOKUP(Calculator!E40,tbSkills!AI3:AJ5,2,FALSE),Backdoors!AL4)*(IF((Backdoors!AI12+IF(FG79&gt;=0.45,VLOOKUP(Calculator!E23,tbSkills!DH3:DI6,2,FALSE)+IF(AND(Calculator!B8=TRUE,Backdoors!BI26=TRUE),VLOOKUP(Calculator!E23,tbSkills!DH3:DJ6,3,FALSE),0),0))&gt;=100,100,(Backdoors!AI12+IF(FG79&gt;=0.45,VLOOKUP(Calculator!E23,tbSkills!DH3:DI6,2,FALSE)+IF(AND(Calculator!B8=TRUE,Backdoors!BI26=TRUE),VLOOKUP(Calculator!E23,tbSkills!DH3:DJ6,3,FALSE),0),0)))/100)),1),1)</f>
        <v>0.6</v>
      </c>
      <c r="FM79" s="87">
        <f t="shared" si="74"/>
        <v>0</v>
      </c>
      <c r="FN79" s="86" t="str">
        <f>IFERROR(IF(VLOOKUP(A79,tbMoveset!A2:B112,2,FALSE)="Sever",Backdoors!AY27/100,IF(VLOOKUP(A79,tbMoveset!A2:B112,2,FALSE)="Blunt",Backdoors!AZ27/100,Backdoors!BA27/100)),"")</f>
        <v/>
      </c>
      <c r="FO79" s="49">
        <f>IFERROR(IF(VLOOKUP(tbMoveset!A79,tbMoveset!A2:H112,8,FALSE)="Other",IF(VLOOKUP(tbMoveset!A79,tbMoveset!A2:I112,9,FALSE)="Fire",Backdoors!BB27,IF(VLOOKUP(tbMoveset!A79,tbMoveset!A2:I112,9,FALSE)="Water",Backdoors!BC27,IF(VLOOKUP(tbMoveset!A79,tbMoveset!A2:I112,9,FALSE)="Thunder",Backdoors!BD27,IF(VLOOKUP(tbMoveset!A79,tbMoveset!A2:I112,9,FALSE)="Ice",Backdoors!BE27,IF(VLOOKUP(tbMoveset!A79,tbMoveset!A2:I112,9,FALSE)="Dragon",Backdoors!BF27,Backdoors!BG27)))))/100,Backdoors!BG27/100),"")</f>
        <v>0</v>
      </c>
      <c r="FP79" s="49">
        <f>IFERROR(IF(VLOOKUP(A79,tbMoveset!A2:J112,10,FALSE)=TRUE,IF((Backdoors!AI12+IF(FN79&gt;=0.45,VLOOKUP(Calculator!E23,tbSkills!DH3:DI6,2,FALSE)+IF(AND(Calculator!B8=TRUE,Backdoors!BI27=TRUE),VLOOKUP(Calculator!E23,tbSkills!DH3:DJ6,3,FALSE),0),0))&gt;=0,1+(Backdoors!AL2*(IF((Backdoors!AI12+IF(FN79&gt;=0.45,VLOOKUP(Calculator!E23,tbSkills!DH3:DI6,2,FALSE)+IF(AND(Calculator!B8=TRUE,Backdoors!BI27=TRUE),VLOOKUP(Calculator!E23,tbSkills!DH3:DJ6,3,FALSE),0),0))&gt;=100,100,(Backdoors!AI12+IF(FN79&gt;=0.45,VLOOKUP(Calculator!E23,tbSkills!DH3:DI6,2,FALSE)+IF(AND(Calculator!B8=TRUE,Backdoors!BI27=TRUE),VLOOKUP(Calculator!E23,tbSkills!DH3:DJ6,3,FALSE),0),0)))/100)),(1-(0.25*((-Backdoors!AI12-IF(FN79&gt;=0.45,VLOOKUP(Calculator!E23,tbSkills!DH3:DI6,2,FALSE)+IF(AND(Calculator!B8=TRUE,Backdoors!BI27=TRUE),VLOOKUP(Calculator!E23,tbSkills!DH3:DJ6,3,FALSE),0),0))/100)))),1),"")</f>
        <v>1</v>
      </c>
      <c r="FQ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FN79)*FP79)*(VLOOKUP(A79,tbMoveset!A2:C112,3,FALSE)/100)*IF(VLOOKUP(A79,tbMoveset!A2:B112,2,FALSE)="Projectile",Backdoors!N10,Backdoors!N9),0),"")</f>
        <v/>
      </c>
      <c r="FR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FN79&gt;=0.45,VLOOKUP(Calculator!E23,tbSkills!DH3:DI6,2,FALSE)+IF(AND(Calculator!B8=TRUE,Backdoors!BI27=TRUE),VLOOKUP(Calculator!E23,tbSkills!DH3:DJ6,3,FALSE),0),0))&gt;=100,100,(Backdoors!AI12+IF(FN79&gt;=0.45,VLOOKUP(Calculator!E23,tbSkills!DH3:DI6,2,FALSE)+IF(AND(Calculator!B8=TRUE,Backdoors!BI27=TRUE),VLOOKUP(Calculator!E23,tbSkills!DH3:DJ6,3,FALSE),0),0)))/100)),1))*IF(VLOOKUP(A79,tbMoveset!A2:K112,11,FALSE)=TRUE,Backdoors!AC5,1))*FO79,0),"")</f>
        <v>0</v>
      </c>
      <c r="FS79" s="49">
        <f>VLOOKUP(A79,tbMoveset!A2:G112,7,FALSE)*IFERROR(IF(Backdoors!AI12&gt;=0,1+(IF(Calculator!E40&gt;0,VLOOKUP(Calculator!E40,tbSkills!AI3:AJ5,2,FALSE),Backdoors!AL4)*(IF((Backdoors!AI12+IF(FN79&gt;=0.45,VLOOKUP(Calculator!E23,tbSkills!DH3:DI6,2,FALSE)+IF(AND(Calculator!B8=TRUE,Backdoors!BI27=TRUE),VLOOKUP(Calculator!E23,tbSkills!DH3:DJ6,3,FALSE),0),0))&gt;=100,100,(Backdoors!AI12+IF(FN79&gt;=0.45,VLOOKUP(Calculator!E23,tbSkills!DH3:DI6,2,FALSE)+IF(AND(Calculator!B8=TRUE,Backdoors!BI27=TRUE),VLOOKUP(Calculator!E23,tbSkills!DH3:DJ6,3,FALSE),0),0)))/100)),1),1)</f>
        <v>0.6</v>
      </c>
      <c r="FT79" s="87">
        <f t="shared" si="75"/>
        <v>0</v>
      </c>
      <c r="FU79" s="86" t="str">
        <f>IFERROR(IF(VLOOKUP(A79,tbMoveset!A2:B112,2,FALSE)="Sever",Backdoors!AY28/100,IF(VLOOKUP(A79,tbMoveset!A2:B112,2,FALSE)="Blunt",Backdoors!AZ28/100,Backdoors!BA28/100)),"")</f>
        <v/>
      </c>
      <c r="FV79" s="49">
        <f>IFERROR(IF(VLOOKUP(tbMoveset!A79,tbMoveset!A2:H112,8,FALSE)="Other",IF(VLOOKUP(tbMoveset!A79,tbMoveset!A2:I112,9,FALSE)="Fire",Backdoors!BB28,IF(VLOOKUP(tbMoveset!A79,tbMoveset!A2:I112,9,FALSE)="Water",Backdoors!BC28,IF(VLOOKUP(tbMoveset!A79,tbMoveset!A2:I112,9,FALSE)="Thunder",Backdoors!BD28,IF(VLOOKUP(tbMoveset!A79,tbMoveset!A2:I112,9,FALSE)="Ice",Backdoors!BE28,IF(VLOOKUP(tbMoveset!A79,tbMoveset!A2:I112,9,FALSE)="Dragon",Backdoors!BF28,Backdoors!BG28)))))/100,Backdoors!BG28/100),"")</f>
        <v>0</v>
      </c>
      <c r="FW79" s="49">
        <f>IFERROR(IF(VLOOKUP(A79,tbMoveset!A2:J112,10,FALSE)=TRUE,IF((Backdoors!AI12+IF(FU79&gt;=0.45,VLOOKUP(Calculator!E23,tbSkills!DH3:DI6,2,FALSE)+IF(AND(Calculator!B8=TRUE,Backdoors!BI28=TRUE),VLOOKUP(Calculator!E23,tbSkills!DH3:DJ6,3,FALSE),0),0))&gt;=0,1+(Backdoors!AL2*(IF((Backdoors!AI12+IF(FU79&gt;=0.45,VLOOKUP(Calculator!E23,tbSkills!DH3:DI6,2,FALSE)+IF(AND(Calculator!B8=TRUE,Backdoors!BI28=TRUE),VLOOKUP(Calculator!E23,tbSkills!DH3:DJ6,3,FALSE),0),0))&gt;=100,100,(Backdoors!AI12+IF(FU79&gt;=0.45,VLOOKUP(Calculator!E23,tbSkills!DH3:DI6,2,FALSE)+IF(AND(Calculator!B8=TRUE,Backdoors!BI28=TRUE),VLOOKUP(Calculator!E23,tbSkills!DH3:DJ6,3,FALSE),0),0)))/100)),(1-(0.25*((-Backdoors!AI12-IF(FU79&gt;=0.45,VLOOKUP(Calculator!E23,tbSkills!DH3:DI6,2,FALSE)+IF(AND(Calculator!B8=TRUE,Backdoors!BI28=TRUE),VLOOKUP(Calculator!E23,tbSkills!DH3:DJ6,3,FALSE),0),0))/100)))),1),"")</f>
        <v>1</v>
      </c>
      <c r="FX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FU79)*FW79)*(VLOOKUP(A79,tbMoveset!A2:C112,3,FALSE)/100)*IF(VLOOKUP(A79,tbMoveset!A2:B112,2,FALSE)="Projectile",Backdoors!N10,Backdoors!N9),0),"")</f>
        <v/>
      </c>
      <c r="FY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FU79&gt;=0.45,VLOOKUP(Calculator!E23,tbSkills!DH3:DI6,2,FALSE)+IF(AND(Calculator!B8=TRUE,Backdoors!BI28=TRUE),VLOOKUP(Calculator!E23,tbSkills!DH3:DJ6,3,FALSE),0),0))&gt;=100,100,(Backdoors!AI12+IF(FU79&gt;=0.45,VLOOKUP(Calculator!E23,tbSkills!DH3:DI6,2,FALSE)+IF(AND(Calculator!B8=TRUE,Backdoors!BI28=TRUE),VLOOKUP(Calculator!E23,tbSkills!DH3:DJ6,3,FALSE),0),0)))/100)),1))*IF(VLOOKUP(A79,tbMoveset!A2:K112,11,FALSE)=TRUE,Backdoors!AC5,1))*FV79,0),"")</f>
        <v>0</v>
      </c>
      <c r="FZ79" s="49">
        <f>VLOOKUP(A79,tbMoveset!A2:G112,7,FALSE)*IFERROR(IF(Backdoors!AI12&gt;=0,1+(IF(Calculator!E40&gt;0,VLOOKUP(Calculator!E40,tbSkills!AI3:AJ5,2,FALSE),Backdoors!AL4)*(IF((Backdoors!AI12+IF(FU79&gt;=0.45,VLOOKUP(Calculator!E23,tbSkills!DH3:DI6,2,FALSE)+IF(AND(Calculator!B8=TRUE,Backdoors!BI28=TRUE),VLOOKUP(Calculator!E23,tbSkills!DH3:DJ6,3,FALSE),0),0))&gt;=100,100,(Backdoors!AI12+IF(FU79&gt;=0.45,VLOOKUP(Calculator!E23,tbSkills!DH3:DI6,2,FALSE)+IF(AND(Calculator!B8=TRUE,Backdoors!BI28=TRUE),VLOOKUP(Calculator!E23,tbSkills!DH3:DJ6,3,FALSE),0),0)))/100)),1),1)</f>
        <v>0.6</v>
      </c>
      <c r="GA79" s="87">
        <f t="shared" si="76"/>
        <v>0</v>
      </c>
      <c r="GB79" s="86" t="str">
        <f>IFERROR(IF(VLOOKUP(A79,tbMoveset!A2:B112,2,FALSE)="Sever",Backdoors!AY29/100,IF(VLOOKUP(A79,tbMoveset!A2:B112,2,FALSE)="Blunt",Backdoors!AZ29/100,Backdoors!BA29/100)),"")</f>
        <v/>
      </c>
      <c r="GC79" s="49">
        <f>IFERROR(IF(VLOOKUP(tbMoveset!A79,tbMoveset!A2:H112,8,FALSE)="Other",IF(VLOOKUP(tbMoveset!A79,tbMoveset!A2:I112,9,FALSE)="Fire",Backdoors!BB29,IF(VLOOKUP(tbMoveset!A79,tbMoveset!A2:I112,9,FALSE)="Water",Backdoors!BC29,IF(VLOOKUP(tbMoveset!A79,tbMoveset!A2:I112,9,FALSE)="Thunder",Backdoors!BD29,IF(VLOOKUP(tbMoveset!A79,tbMoveset!A2:I112,9,FALSE)="Ice",Backdoors!BE29,IF(VLOOKUP(tbMoveset!A79,tbMoveset!A2:I112,9,FALSE)="Dragon",Backdoors!BF29,Backdoors!BG29)))))/100,Backdoors!BG29/100),"")</f>
        <v>0</v>
      </c>
      <c r="GD79" s="49">
        <f>IFERROR(IF(VLOOKUP(A79,tbMoveset!A2:J112,10,FALSE)=TRUE,IF((Backdoors!AI12+IF(GB79&gt;=0.45,VLOOKUP(Calculator!E23,tbSkills!DH3:DI6,2,FALSE)+IF(AND(Calculator!B8=TRUE,Backdoors!BI29=TRUE),VLOOKUP(Calculator!E23,tbSkills!DH3:DJ6,3,FALSE),0),0))&gt;=0,1+(Backdoors!AL2*(IF((Backdoors!AI12+IF(GB79&gt;=0.45,VLOOKUP(Calculator!E23,tbSkills!DH3:DI6,2,FALSE)+IF(AND(Calculator!B8=TRUE,Backdoors!BI29=TRUE),VLOOKUP(Calculator!E23,tbSkills!DH3:DJ6,3,FALSE),0),0))&gt;=100,100,(Backdoors!AI12+IF(GB79&gt;=0.45,VLOOKUP(Calculator!E23,tbSkills!DH3:DI6,2,FALSE)+IF(AND(Calculator!B8=TRUE,Backdoors!BI29=TRUE),VLOOKUP(Calculator!E23,tbSkills!DH3:DJ6,3,FALSE),0),0)))/100)),(1-(0.25*((-Backdoors!AI12-IF(GB79&gt;=0.45,VLOOKUP(Calculator!E23,tbSkills!DH3:DI6,2,FALSE)+IF(AND(Calculator!B8=TRUE,Backdoors!BI29=TRUE),VLOOKUP(Calculator!E23,tbSkills!DH3:DJ6,3,FALSE),0),0))/100)))),1),"")</f>
        <v>1</v>
      </c>
      <c r="GE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B79)*GD79)*(VLOOKUP(A79,tbMoveset!A2:C112,3,FALSE)/100)*IF(VLOOKUP(A79,tbMoveset!A2:B112,2,FALSE)="Projectile",Backdoors!N10,Backdoors!N9),0),"")</f>
        <v/>
      </c>
      <c r="GF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B79&gt;=0.45,VLOOKUP(Calculator!E23,tbSkills!DH3:DI6,2,FALSE)+IF(AND(Calculator!B8=TRUE,Backdoors!BI29=TRUE),VLOOKUP(Calculator!E23,tbSkills!DH3:DJ6,3,FALSE),0),0))&gt;=100,100,(Backdoors!AI12+IF(GB79&gt;=0.45,VLOOKUP(Calculator!E23,tbSkills!DH3:DI6,2,FALSE)+IF(AND(Calculator!B8=TRUE,Backdoors!BI29=TRUE),VLOOKUP(Calculator!E23,tbSkills!DH3:DJ6,3,FALSE),0),0)))/100)),1))*IF(VLOOKUP(A79,tbMoveset!A2:K112,11,FALSE)=TRUE,Backdoors!AC5,1))*GC79,0),"")</f>
        <v>0</v>
      </c>
      <c r="GG79" s="49">
        <f>VLOOKUP(A79,tbMoveset!A2:G112,7,FALSE)*IFERROR(IF(Backdoors!AI12&gt;=0,1+(IF(Calculator!E40&gt;0,VLOOKUP(Calculator!E40,tbSkills!AI3:AJ5,2,FALSE),Backdoors!AL4)*(IF((Backdoors!AI12+IF(GB79&gt;=0.45,VLOOKUP(Calculator!E23,tbSkills!DH3:DI6,2,FALSE)+IF(AND(Calculator!B8=TRUE,Backdoors!BI29=TRUE),VLOOKUP(Calculator!E23,tbSkills!DH3:DJ6,3,FALSE),0),0))&gt;=100,100,(Backdoors!AI12+IF(GB79&gt;=0.45,VLOOKUP(Calculator!E23,tbSkills!DH3:DI6,2,FALSE)+IF(AND(Calculator!B8=TRUE,Backdoors!BI29=TRUE),VLOOKUP(Calculator!E23,tbSkills!DH3:DJ6,3,FALSE),0),0)))/100)),1),1)</f>
        <v>0.6</v>
      </c>
      <c r="GH79" s="87">
        <f t="shared" si="77"/>
        <v>0</v>
      </c>
      <c r="GI79" s="86" t="str">
        <f>IFERROR(IF(VLOOKUP(A79,tbMoveset!A2:B112,2,FALSE)="Sever",Backdoors!AY30/100,IF(VLOOKUP(A79,tbMoveset!A2:B112,2,FALSE)="Blunt",Backdoors!AZ30/100,Backdoors!BA30/100)),"")</f>
        <v/>
      </c>
      <c r="GJ79" s="49">
        <f>IFERROR(IF(VLOOKUP(tbMoveset!A79,tbMoveset!A2:H112,8,FALSE)="Other",IF(VLOOKUP(tbMoveset!A79,tbMoveset!A2:I112,9,FALSE)="Fire",Backdoors!BB30,IF(VLOOKUP(tbMoveset!A79,tbMoveset!A2:I112,9,FALSE)="Water",Backdoors!BC30,IF(VLOOKUP(tbMoveset!A79,tbMoveset!A2:I112,9,FALSE)="Thunder",Backdoors!BD30,IF(VLOOKUP(tbMoveset!A79,tbMoveset!A2:I112,9,FALSE)="Ice",Backdoors!BE30,IF(VLOOKUP(tbMoveset!A79,tbMoveset!A2:I112,9,FALSE)="Dragon",Backdoors!BF30,Backdoors!BG30)))))/100,Backdoors!BG30/100),"")</f>
        <v>0</v>
      </c>
      <c r="GK79" s="49">
        <f>IFERROR(IF(VLOOKUP(A79,tbMoveset!A2:J112,10,FALSE)=TRUE,IF((Backdoors!AI12+IF(GI79&gt;=0.45,VLOOKUP(Calculator!E23,tbSkills!DH3:DI6,2,FALSE)+IF(AND(Calculator!B8=TRUE,Backdoors!BI30=TRUE),VLOOKUP(Calculator!E23,tbSkills!DH3:DJ6,3,FALSE),0),0))&gt;=0,1+(Backdoors!AL2*(IF((Backdoors!AI12+IF(GI79&gt;=0.45,VLOOKUP(Calculator!E23,tbSkills!DH3:DI6,2,FALSE)+IF(AND(Calculator!B8=TRUE,Backdoors!BI30=TRUE),VLOOKUP(Calculator!E23,tbSkills!DH3:DJ6,3,FALSE),0),0))&gt;=100,100,(Backdoors!AI12+IF(GI79&gt;=0.45,VLOOKUP(Calculator!E23,tbSkills!DH3:DI6,2,FALSE)+IF(AND(Calculator!B8=TRUE,Backdoors!BI30=TRUE),VLOOKUP(Calculator!E23,tbSkills!DH3:DJ6,3,FALSE),0),0)))/100)),(1-(0.25*((-Backdoors!AI12-IF(GI79&gt;=0.45,VLOOKUP(Calculator!E23,tbSkills!DH3:DI6,2,FALSE)+IF(AND(Calculator!B8=TRUE,Backdoors!BI30=TRUE),VLOOKUP(Calculator!E23,tbSkills!DH3:DJ6,3,FALSE),0),0))/100)))),1),"")</f>
        <v>1</v>
      </c>
      <c r="GL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I79)*GK79)*(VLOOKUP(A79,tbMoveset!A2:C112,3,FALSE)/100)*IF(VLOOKUP(A79,tbMoveset!A2:B112,2,FALSE)="Projectile",Backdoors!N10,Backdoors!N9),0),"")</f>
        <v/>
      </c>
      <c r="GM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I79&gt;=0.45,VLOOKUP(Calculator!E23,tbSkills!DH3:DI6,2,FALSE)+IF(AND(Calculator!B8=TRUE,Backdoors!BI30=TRUE),VLOOKUP(Calculator!E23,tbSkills!DH3:DJ6,3,FALSE),0),0))&gt;=100,100,(Backdoors!AI12+IF(GI79&gt;=0.45,VLOOKUP(Calculator!E23,tbSkills!DH3:DI6,2,FALSE)+IF(AND(Calculator!B8=TRUE,Backdoors!BI30=TRUE),VLOOKUP(Calculator!E23,tbSkills!DH3:DJ6,3,FALSE),0),0)))/100)),1))*IF(VLOOKUP(A79,tbMoveset!A2:K112,11,FALSE)=TRUE,Backdoors!AC5,1))*GJ79,0),"")</f>
        <v>0</v>
      </c>
      <c r="GN79" s="49">
        <f>VLOOKUP(A79,tbMoveset!A2:G112,7,FALSE)*IFERROR(IF(Backdoors!AI12&gt;=0,1+(IF(Calculator!E40&gt;0,VLOOKUP(Calculator!E40,tbSkills!AI3:AJ5,2,FALSE),Backdoors!AL4)*(IF((Backdoors!AI12+IF(GI79&gt;=0.45,VLOOKUP(Calculator!E23,tbSkills!DH3:DI6,2,FALSE)+IF(AND(Calculator!B8=TRUE,Backdoors!BI30=TRUE),VLOOKUP(Calculator!E23,tbSkills!DH3:DJ6,3,FALSE),0),0))&gt;=100,100,(Backdoors!AI12+IF(GI79&gt;=0.45,VLOOKUP(Calculator!E23,tbSkills!DH3:DI6,2,FALSE)+IF(AND(Calculator!B8=TRUE,Backdoors!BI30=TRUE),VLOOKUP(Calculator!E23,tbSkills!DH3:DJ6,3,FALSE),0),0)))/100)),1),1)</f>
        <v>0.6</v>
      </c>
      <c r="GO79" s="87">
        <f t="shared" si="78"/>
        <v>0</v>
      </c>
      <c r="GP79" s="86" t="str">
        <f>IFERROR(IF(VLOOKUP(A79,tbMoveset!A2:B112,2,FALSE)="Sever",Backdoors!AY31/100,IF(VLOOKUP(A79,tbMoveset!A2:B112,2,FALSE)="Blunt",Backdoors!AZ31/100,Backdoors!BA31/100)),"")</f>
        <v/>
      </c>
      <c r="GQ79" s="49">
        <f>IFERROR(IF(VLOOKUP(tbMoveset!A79,tbMoveset!A2:H112,8,FALSE)="Other",IF(VLOOKUP(tbMoveset!A79,tbMoveset!A2:I112,9,FALSE)="Fire",Backdoors!BB31,IF(VLOOKUP(tbMoveset!A79,tbMoveset!A2:I112,9,FALSE)="Water",Backdoors!BC31,IF(VLOOKUP(tbMoveset!A79,tbMoveset!A2:I112,9,FALSE)="Thunder",Backdoors!BD31,IF(VLOOKUP(tbMoveset!A79,tbMoveset!A2:I112,9,FALSE)="Ice",Backdoors!BE31,IF(VLOOKUP(tbMoveset!A79,tbMoveset!A2:I112,9,FALSE)="Dragon",Backdoors!BF31,Backdoors!BG31)))))/100,Backdoors!BG31/100),"")</f>
        <v>0</v>
      </c>
      <c r="GR79" s="49">
        <f>IFERROR(IF(VLOOKUP(A79,tbMoveset!A2:J112,10,FALSE)=TRUE,IF((Backdoors!AI12+IF(GP79&gt;=0.45,VLOOKUP(Calculator!E23,tbSkills!DH3:DI6,2,FALSE)+IF(AND(Calculator!B8=TRUE,Backdoors!BI31=TRUE),VLOOKUP(Calculator!E23,tbSkills!DH3:DJ6,3,FALSE),0),0))&gt;=0,1+(Backdoors!AL2*(IF((Backdoors!AI12+IF(GP79&gt;=0.45,VLOOKUP(Calculator!E23,tbSkills!DH3:DI6,2,FALSE)+IF(AND(Calculator!B8=TRUE,Backdoors!BI31=TRUE),VLOOKUP(Calculator!E23,tbSkills!DH3:DJ6,3,FALSE),0),0))&gt;=100,100,(Backdoors!AI12+IF(GP79&gt;=0.45,VLOOKUP(Calculator!E23,tbSkills!DH3:DI6,2,FALSE)+IF(AND(Calculator!B8=TRUE,Backdoors!BI31=TRUE),VLOOKUP(Calculator!E23,tbSkills!DH3:DJ6,3,FALSE),0),0)))/100)),(1-(0.25*((-Backdoors!AI12-IF(GP79&gt;=0.45,VLOOKUP(Calculator!E23,tbSkills!DH3:DI6,2,FALSE)+IF(AND(Calculator!B8=TRUE,Backdoors!BI31=TRUE),VLOOKUP(Calculator!E23,tbSkills!DH3:DJ6,3,FALSE),0),0))/100)))),1),"")</f>
        <v>1</v>
      </c>
      <c r="GS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P79)*GR79)*(VLOOKUP(A79,tbMoveset!A2:C112,3,FALSE)/100)*IF(VLOOKUP(A79,tbMoveset!A2:B112,2,FALSE)="Projectile",Backdoors!N10,Backdoors!N9),0),"")</f>
        <v/>
      </c>
      <c r="GT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P79&gt;=0.45,VLOOKUP(Calculator!E23,tbSkills!DH3:DI6,2,FALSE)+IF(AND(Calculator!B8=TRUE,Backdoors!BI31=TRUE),VLOOKUP(Calculator!E23,tbSkills!DH3:DJ6,3,FALSE),0),0))&gt;=100,100,(Backdoors!AI12+IF(GP79&gt;=0.45,VLOOKUP(Calculator!E23,tbSkills!DH3:DI6,2,FALSE)+IF(AND(Calculator!B8=TRUE,Backdoors!BI31=TRUE),VLOOKUP(Calculator!E23,tbSkills!DH3:DJ6,3,FALSE),0),0)))/100)),1))*IF(VLOOKUP(A79,tbMoveset!A2:K112,11,FALSE)=TRUE,Backdoors!AC5,1))*GQ79,0),"")</f>
        <v>0</v>
      </c>
      <c r="GU79" s="49">
        <f>VLOOKUP(A79,tbMoveset!A2:G112,7,FALSE)*IFERROR(IF(Backdoors!AI12&gt;=0,1+(IF(Calculator!E40&gt;0,VLOOKUP(Calculator!E40,tbSkills!AI3:AJ5,2,FALSE),Backdoors!AL4)*(IF((Backdoors!AI12+IF(GP79&gt;=0.45,VLOOKUP(Calculator!E23,tbSkills!DH3:DI6,2,FALSE)+IF(AND(Calculator!B8=TRUE,Backdoors!BI31=TRUE),VLOOKUP(Calculator!E23,tbSkills!DH3:DJ6,3,FALSE),0),0))&gt;=100,100,(Backdoors!AI12+IF(GP79&gt;=0.45,VLOOKUP(Calculator!E23,tbSkills!DH3:DI6,2,FALSE)+IF(AND(Calculator!B8=TRUE,Backdoors!BI31=TRUE),VLOOKUP(Calculator!E23,tbSkills!DH3:DJ6,3,FALSE),0),0)))/100)),1),1)</f>
        <v>0.6</v>
      </c>
      <c r="GV79" s="87">
        <f t="shared" si="79"/>
        <v>0</v>
      </c>
      <c r="GW79" s="86" t="str">
        <f>IFERROR(IF(VLOOKUP(A79,tbMoveset!A2:B112,2,FALSE)="Sever",Backdoors!AY32/100,IF(VLOOKUP(A79,tbMoveset!A2:B112,2,FALSE)="Blunt",Backdoors!AZ32/100,Backdoors!BA32/100)),"")</f>
        <v/>
      </c>
      <c r="GX79" s="49">
        <f>IFERROR(IF(VLOOKUP(tbMoveset!A79,tbMoveset!A2:H112,8,FALSE)="Other",IF(VLOOKUP(tbMoveset!A79,tbMoveset!A2:I112,9,FALSE)="Fire",Backdoors!BB32,IF(VLOOKUP(tbMoveset!A79,tbMoveset!A2:I112,9,FALSE)="Water",Backdoors!BC32,IF(VLOOKUP(tbMoveset!A79,tbMoveset!A2:I112,9,FALSE)="Thunder",Backdoors!BD32,IF(VLOOKUP(tbMoveset!A79,tbMoveset!A2:I112,9,FALSE)="Ice",Backdoors!BE32,IF(VLOOKUP(tbMoveset!A79,tbMoveset!A2:I112,9,FALSE)="Dragon",Backdoors!BF32,Backdoors!BG32)))))/100,Backdoors!BG32/100),"")</f>
        <v>0</v>
      </c>
      <c r="GY79" s="49">
        <f>IFERROR(IF(VLOOKUP(A79,tbMoveset!A2:J112,10,FALSE)=TRUE,IF((Backdoors!AI12+IF(GW79&gt;=0.45,VLOOKUP(Calculator!E23,tbSkills!DH3:DI6,2,FALSE)+IF(AND(Calculator!B8=TRUE,Backdoors!BI32=TRUE),VLOOKUP(Calculator!E23,tbSkills!DH3:DJ6,3,FALSE),0),0))&gt;=0,1+(Backdoors!AL2*(IF((Backdoors!AI12+IF(GW79&gt;=0.45,VLOOKUP(Calculator!E23,tbSkills!DH3:DI6,2,FALSE)+IF(AND(Calculator!B8=TRUE,Backdoors!BI32=TRUE),VLOOKUP(Calculator!E23,tbSkills!DH3:DJ6,3,FALSE),0),0))&gt;=100,100,(Backdoors!AI12+IF(GW79&gt;=0.45,VLOOKUP(Calculator!E23,tbSkills!DH3:DI6,2,FALSE)+IF(AND(Calculator!B8=TRUE,Backdoors!BI32=TRUE),VLOOKUP(Calculator!E23,tbSkills!DH3:DJ6,3,FALSE),0),0)))/100)),(1-(0.25*((-Backdoors!AI12-IF(GW79&gt;=0.45,VLOOKUP(Calculator!E23,tbSkills!DH3:DI6,2,FALSE)+IF(AND(Calculator!B8=TRUE,Backdoors!BI32=TRUE),VLOOKUP(Calculator!E23,tbSkills!DH3:DJ6,3,FALSE),0),0))/100)))),1),"")</f>
        <v>1</v>
      </c>
      <c r="GZ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W79)*GY79)*(VLOOKUP(A79,tbMoveset!A2:C112,3,FALSE)/100)*IF(VLOOKUP(A79,tbMoveset!A2:B112,2,FALSE)="Projectile",Backdoors!N10,Backdoors!N9),0),"")</f>
        <v/>
      </c>
      <c r="HA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W79&gt;=0.45,VLOOKUP(Calculator!E23,tbSkills!DH3:DI6,2,FALSE)+IF(AND(Calculator!B8=TRUE,Backdoors!BI32=TRUE),VLOOKUP(Calculator!E23,tbSkills!DH3:DJ6,3,FALSE),0),0))&gt;=100,100,(Backdoors!AI12+IF(GW79&gt;=0.45,VLOOKUP(Calculator!E23,tbSkills!DH3:DI6,2,FALSE)+IF(AND(Calculator!B8=TRUE,Backdoors!BI32=TRUE),VLOOKUP(Calculator!E23,tbSkills!DH3:DJ6,3,FALSE),0),0)))/100)),1))*IF(VLOOKUP(A79,tbMoveset!A2:K112,11,FALSE)=TRUE,Backdoors!AC5,1))*GX79,0),"")</f>
        <v>0</v>
      </c>
      <c r="HB79" s="49">
        <f>VLOOKUP(A79,tbMoveset!A2:G112,7,FALSE)*IFERROR(IF(Backdoors!AI12&gt;=0,1+(IF(Calculator!E40&gt;0,VLOOKUP(Calculator!E40,tbSkills!AI3:AJ5,2,FALSE),Backdoors!AL4)*(IF((Backdoors!AI12+IF(GW79&gt;=0.45,VLOOKUP(Calculator!E23,tbSkills!DH3:DI6,2,FALSE)+IF(AND(Calculator!B8=TRUE,Backdoors!BI32=TRUE),VLOOKUP(Calculator!E23,tbSkills!DH3:DJ6,3,FALSE),0),0))&gt;=100,100,(Backdoors!AI12+IF(GW79&gt;=0.45,VLOOKUP(Calculator!E23,tbSkills!DH3:DI6,2,FALSE)+IF(AND(Calculator!B8=TRUE,Backdoors!BI32=TRUE),VLOOKUP(Calculator!E23,tbSkills!DH3:DJ6,3,FALSE),0),0)))/100)),1),1)</f>
        <v>0.6</v>
      </c>
      <c r="HC79" s="87">
        <f t="shared" si="80"/>
        <v>0</v>
      </c>
      <c r="HD79" s="86" t="str">
        <f>IFERROR(IF(VLOOKUP(A79,tbMoveset!A2:B112,2,FALSE)="Sever",Backdoors!AY33/100,IF(VLOOKUP(A79,tbMoveset!A2:B112,2,FALSE)="Blunt",Backdoors!AZ33/100,Backdoors!BA33/100)),"")</f>
        <v/>
      </c>
      <c r="HE79" s="49">
        <f>IFERROR(IF(VLOOKUP(tbMoveset!A79,tbMoveset!A2:H112,8,FALSE)="Other",IF(VLOOKUP(tbMoveset!A79,tbMoveset!A2:I112,9,FALSE)="Fire",Backdoors!BB33,IF(VLOOKUP(tbMoveset!A79,tbMoveset!A2:I112,9,FALSE)="Water",Backdoors!BC33,IF(VLOOKUP(tbMoveset!A79,tbMoveset!A2:I112,9,FALSE)="Thunder",Backdoors!BD33,IF(VLOOKUP(tbMoveset!A79,tbMoveset!A2:I112,9,FALSE)="Ice",Backdoors!BE33,IF(VLOOKUP(tbMoveset!A79,tbMoveset!A2:I112,9,FALSE)="Dragon",Backdoors!BF33,Backdoors!BG33)))))/100,Backdoors!BG33/100),"")</f>
        <v>0</v>
      </c>
      <c r="HF79" s="49">
        <f>IFERROR(IF(VLOOKUP(A79,tbMoveset!A2:J112,10,FALSE)=TRUE,IF((Backdoors!AI12+IF(HD79&gt;=0.45,VLOOKUP(Calculator!E23,tbSkills!DH3:DI6,2,FALSE)+IF(AND(Calculator!B8=TRUE,Backdoors!BI33=TRUE),VLOOKUP(Calculator!E23,tbSkills!DH3:DJ6,3,FALSE),0),0))&gt;=0,1+(Backdoors!AL2*(IF((Backdoors!AI12+IF(HD79&gt;=0.45,VLOOKUP(Calculator!E23,tbSkills!DH3:DI6,2,FALSE)+IF(AND(Calculator!B8=TRUE,Backdoors!BI33=TRUE),VLOOKUP(Calculator!E23,tbSkills!DH3:DJ6,3,FALSE),0),0))&gt;=100,100,(Backdoors!AI12+IF(HD79&gt;=0.45,VLOOKUP(Calculator!E23,tbSkills!DH3:DI6,2,FALSE)+IF(AND(Calculator!B8=TRUE,Backdoors!BI33=TRUE),VLOOKUP(Calculator!E23,tbSkills!DH3:DJ6,3,FALSE),0),0)))/100)),(1-(0.25*((-Backdoors!AI12-IF(HD79&gt;=0.45,VLOOKUP(Calculator!E23,tbSkills!DH3:DI6,2,FALSE)+IF(AND(Calculator!B8=TRUE,Backdoors!BI33=TRUE),VLOOKUP(Calculator!E23,tbSkills!DH3:DJ6,3,FALSE),0),0))/100)))),1),"")</f>
        <v>1</v>
      </c>
      <c r="HG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D79)*HF79)*(VLOOKUP(A79,tbMoveset!A2:C112,3,FALSE)/100)*IF(VLOOKUP(A79,tbMoveset!A2:B112,2,FALSE)="Projectile",Backdoors!N10,Backdoors!N9),0),"")</f>
        <v/>
      </c>
      <c r="HH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D79&gt;=0.45,VLOOKUP(Calculator!E23,tbSkills!DH3:DI6,2,FALSE)+IF(AND(Calculator!B8=TRUE,Backdoors!BI33=TRUE),VLOOKUP(Calculator!E23,tbSkills!DH3:DJ6,3,FALSE),0),0))&gt;=100,100,(Backdoors!AI12+IF(HD79&gt;=0.45,VLOOKUP(Calculator!E23,tbSkills!DH3:DI6,2,FALSE)+IF(AND(Calculator!B8=TRUE,Backdoors!BI33=TRUE),VLOOKUP(Calculator!E23,tbSkills!DH3:DJ6,3,FALSE),0),0)))/100)),1))*IF(VLOOKUP(A79,tbMoveset!A2:K112,11,FALSE)=TRUE,Backdoors!AC5,1))*HE79,0),"")</f>
        <v>0</v>
      </c>
      <c r="HI79" s="49">
        <f>VLOOKUP(A79,tbMoveset!A2:G112,7,FALSE)*IFERROR(IF(Backdoors!AI12&gt;=0,1+(IF(Calculator!E40&gt;0,VLOOKUP(Calculator!E40,tbSkills!AI3:AJ5,2,FALSE),Backdoors!AL4)*(IF((Backdoors!AI12+IF(HD79&gt;=0.45,VLOOKUP(Calculator!E23,tbSkills!DH3:DI6,2,FALSE)+IF(AND(Calculator!B8=TRUE,Backdoors!BI33=TRUE),VLOOKUP(Calculator!E23,tbSkills!DH3:DJ6,3,FALSE),0),0))&gt;=100,100,(Backdoors!AI12+IF(HD79&gt;=0.45,VLOOKUP(Calculator!E23,tbSkills!DH3:DI6,2,FALSE)+IF(AND(Calculator!B8=TRUE,Backdoors!BI33=TRUE),VLOOKUP(Calculator!E23,tbSkills!DH3:DJ6,3,FALSE),0),0)))/100)),1),1)</f>
        <v>0.6</v>
      </c>
      <c r="HJ79" s="87">
        <f t="shared" si="81"/>
        <v>0</v>
      </c>
      <c r="HK79" s="86" t="str">
        <f>IFERROR(IF(VLOOKUP(A79,tbMoveset!A2:B112,2,FALSE)="Sever",Backdoors!AY34/100,IF(VLOOKUP(A79,tbMoveset!A2:B112,2,FALSE)="Blunt",Backdoors!AZ34/100,Backdoors!BA34/100)),"")</f>
        <v/>
      </c>
      <c r="HL79" s="49">
        <f>IFERROR(IF(VLOOKUP(tbMoveset!A79,tbMoveset!A2:H112,8,FALSE)="Other",IF(VLOOKUP(tbMoveset!A79,tbMoveset!A2:I112,9,FALSE)="Fire",Backdoors!BB34,IF(VLOOKUP(tbMoveset!A79,tbMoveset!A2:I112,9,FALSE)="Water",Backdoors!BC34,IF(VLOOKUP(tbMoveset!A79,tbMoveset!A2:I112,9,FALSE)="Thunder",Backdoors!BD34,IF(VLOOKUP(tbMoveset!A79,tbMoveset!A2:I112,9,FALSE)="Ice",Backdoors!BE34,IF(VLOOKUP(tbMoveset!A79,tbMoveset!A2:I112,9,FALSE)="Dragon",Backdoors!BF34,Backdoors!BG34)))))/100,Backdoors!BG34/100),"")</f>
        <v>0</v>
      </c>
      <c r="HM79" s="49">
        <f>IFERROR(IF(VLOOKUP(A79,tbMoveset!A2:J112,10,FALSE)=TRUE,IF((Backdoors!AI12+IF(HK79&gt;=0.45,VLOOKUP(Calculator!E23,tbSkills!DH3:DI6,2,FALSE)+IF(AND(Calculator!B8=TRUE,Backdoors!BI34=TRUE),VLOOKUP(Calculator!E23,tbSkills!DH3:DJ6,3,FALSE),0),0))&gt;=0,1+(Backdoors!AL2*(IF((Backdoors!AI12+IF(HK79&gt;=0.45,VLOOKUP(Calculator!E23,tbSkills!DH3:DI6,2,FALSE)+IF(AND(Calculator!B8=TRUE,Backdoors!BI34=TRUE),VLOOKUP(Calculator!E23,tbSkills!DH3:DJ6,3,FALSE),0),0))&gt;=100,100,(Backdoors!AI12+IF(HK79&gt;=0.45,VLOOKUP(Calculator!E23,tbSkills!DH3:DI6,2,FALSE)+IF(AND(Calculator!B8=TRUE,Backdoors!BI34=TRUE),VLOOKUP(Calculator!E23,tbSkills!DH3:DJ6,3,FALSE),0),0)))/100)),(1-(0.25*((-Backdoors!AI12-IF(HK79&gt;=0.45,VLOOKUP(Calculator!E23,tbSkills!DH3:DI6,2,FALSE)+IF(AND(Calculator!B8=TRUE,Backdoors!BI34=TRUE),VLOOKUP(Calculator!E23,tbSkills!DH3:DJ6,3,FALSE),0),0))/100)))),1),"")</f>
        <v>1</v>
      </c>
      <c r="HN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K79)*HM79)*(VLOOKUP(A79,tbMoveset!A2:C112,3,FALSE)/100)*IF(VLOOKUP(A79,tbMoveset!A2:B112,2,FALSE)="Projectile",Backdoors!N10,Backdoors!N9),0),"")</f>
        <v/>
      </c>
      <c r="HO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K79&gt;=0.45,VLOOKUP(Calculator!E23,tbSkills!DH3:DI6,2,FALSE)+IF(AND(Calculator!B8=TRUE,Backdoors!BI34=TRUE),VLOOKUP(Calculator!E23,tbSkills!DH3:DJ6,3,FALSE),0),0))&gt;=100,100,(Backdoors!AI12+IF(HK79&gt;=0.45,VLOOKUP(Calculator!E23,tbSkills!DH3:DI6,2,FALSE)+IF(AND(Calculator!B8=TRUE,Backdoors!BI34=TRUE),VLOOKUP(Calculator!E23,tbSkills!DH3:DJ6,3,FALSE),0),0)))/100)),1))*IF(VLOOKUP(A79,tbMoveset!A2:K112,11,FALSE)=TRUE,Backdoors!AC5,1))*HL79,0),"")</f>
        <v>0</v>
      </c>
      <c r="HP79" s="49">
        <f>VLOOKUP(A79,tbMoveset!A2:G112,7,FALSE)*IFERROR(IF(Backdoors!AI12&gt;=0,1+(IF(Calculator!E40&gt;0,VLOOKUP(Calculator!E40,tbSkills!AI3:AJ5,2,FALSE),Backdoors!AL4)*(IF((Backdoors!AI12+IF(HK79&gt;=0.45,VLOOKUP(Calculator!E23,tbSkills!DH3:DI6,2,FALSE)+IF(AND(Calculator!B8=TRUE,Backdoors!BI34=TRUE),VLOOKUP(Calculator!E23,tbSkills!DH3:DJ6,3,FALSE),0),0))&gt;=100,100,(Backdoors!AI12+IF(HK79&gt;=0.45,VLOOKUP(Calculator!E23,tbSkills!DH3:DI6,2,FALSE)+IF(AND(Calculator!B8=TRUE,Backdoors!BI34=TRUE),VLOOKUP(Calculator!E23,tbSkills!DH3:DJ6,3,FALSE),0),0)))/100)),1),1)</f>
        <v>0.6</v>
      </c>
      <c r="HQ79" s="87">
        <f t="shared" si="82"/>
        <v>0</v>
      </c>
      <c r="HR79" s="86" t="str">
        <f>IFERROR(IF(VLOOKUP(A79,tbMoveset!A2:B112,2,FALSE)="Sever",Backdoors!AY35/100,IF(VLOOKUP(A79,tbMoveset!A2:B112,2,FALSE)="Blunt",Backdoors!AZ35/100,Backdoors!BA35/100)),"")</f>
        <v/>
      </c>
      <c r="HS79" s="49">
        <f>IFERROR(IF(VLOOKUP(tbMoveset!A79,tbMoveset!A2:H112,8,FALSE)="Other",IF(VLOOKUP(tbMoveset!A79,tbMoveset!A2:I112,9,FALSE)="Fire",Backdoors!BB35,IF(VLOOKUP(tbMoveset!A79,tbMoveset!A2:I112,9,FALSE)="Water",Backdoors!BC35,IF(VLOOKUP(tbMoveset!A79,tbMoveset!A2:I112,9,FALSE)="Thunder",Backdoors!BD35,IF(VLOOKUP(tbMoveset!A79,tbMoveset!A2:I112,9,FALSE)="Ice",Backdoors!BE35,IF(VLOOKUP(tbMoveset!A79,tbMoveset!A2:I112,9,FALSE)="Dragon",Backdoors!BF35,Backdoors!BG35)))))/100,Backdoors!BG35/100),"")</f>
        <v>0</v>
      </c>
      <c r="HT79" s="49">
        <f>IFERROR(IF(VLOOKUP(A79,tbMoveset!A2:J112,10,FALSE)=TRUE,IF((Backdoors!AI12+IF(HR79&gt;=0.45,VLOOKUP(Calculator!E23,tbSkills!DH3:DI6,2,FALSE)+IF(AND(Calculator!B8=TRUE,Backdoors!BI35=TRUE),VLOOKUP(Calculator!E23,tbSkills!DH3:DJ6,3,FALSE),0),0))&gt;=0,1+(Backdoors!AL2*(IF((Backdoors!AI12+IF(HR79&gt;=0.45,VLOOKUP(Calculator!E23,tbSkills!DH3:DI6,2,FALSE)+IF(AND(Calculator!B8=TRUE,Backdoors!BI35=TRUE),VLOOKUP(Calculator!E23,tbSkills!DH3:DJ6,3,FALSE),0),0))&gt;=100,100,(Backdoors!AI12+IF(HR79&gt;=0.45,VLOOKUP(Calculator!E23,tbSkills!DH3:DI6,2,FALSE)+IF(AND(Calculator!B8=TRUE,Backdoors!BI35=TRUE),VLOOKUP(Calculator!E23,tbSkills!DH3:DJ6,3,FALSE),0),0)))/100)),(1-(0.25*((-Backdoors!AI12-IF(HR79&gt;=0.45,VLOOKUP(Calculator!E23,tbSkills!DH3:DI6,2,FALSE)+IF(AND(Calculator!B8=TRUE,Backdoors!BI35=TRUE),VLOOKUP(Calculator!E23,tbSkills!DH3:DJ6,3,FALSE),0),0))/100)))),1),"")</f>
        <v>1</v>
      </c>
      <c r="HU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R79)*HT79)*(VLOOKUP(A79,tbMoveset!A2:C112,3,FALSE)/100)*IF(VLOOKUP(A79,tbMoveset!A2:B112,2,FALSE)="Projectile",Backdoors!N10,Backdoors!N9),0),"")</f>
        <v/>
      </c>
      <c r="HV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R79&gt;=0.45,VLOOKUP(Calculator!E23,tbSkills!DH3:DI6,2,FALSE)+IF(AND(Calculator!B8=TRUE,Backdoors!BI35=TRUE),VLOOKUP(Calculator!E23,tbSkills!DH3:DJ6,3,FALSE),0),0))&gt;=100,100,(Backdoors!AI12+IF(HR79&gt;=0.45,VLOOKUP(Calculator!E23,tbSkills!DH3:DI6,2,FALSE)+IF(AND(Calculator!B8=TRUE,Backdoors!BI35=TRUE),VLOOKUP(Calculator!E23,tbSkills!DH3:DJ6,3,FALSE),0),0)))/100)),1))*IF(VLOOKUP(A79,tbMoveset!A2:K112,11,FALSE)=TRUE,Backdoors!AC5,1))*HS79,0),"")</f>
        <v>0</v>
      </c>
      <c r="HW79" s="49">
        <f>VLOOKUP(A79,tbMoveset!A2:G112,7,FALSE)*IFERROR(IF(Backdoors!AI12&gt;=0,1+(IF(Calculator!E40&gt;0,VLOOKUP(Calculator!E40,tbSkills!AI3:AJ5,2,FALSE),Backdoors!AL4)*(IF((Backdoors!AI12+IF(HR79&gt;=0.45,VLOOKUP(Calculator!E23,tbSkills!DH3:DI6,2,FALSE)+IF(AND(Calculator!B8=TRUE,Backdoors!BI35=TRUE),VLOOKUP(Calculator!E23,tbSkills!DH3:DJ6,3,FALSE),0),0))&gt;=100,100,(Backdoors!AI12+IF(HR79&gt;=0.45,VLOOKUP(Calculator!E23,tbSkills!DH3:DI6,2,FALSE)+IF(AND(Calculator!B8=TRUE,Backdoors!BI35=TRUE),VLOOKUP(Calculator!E23,tbSkills!DH3:DJ6,3,FALSE),0),0)))/100)),1),1)</f>
        <v>0.6</v>
      </c>
      <c r="HX79" s="87">
        <f t="shared" si="83"/>
        <v>0</v>
      </c>
      <c r="HY79" s="86" t="str">
        <f>IFERROR(IF(VLOOKUP(A79,tbMoveset!A2:B112,2,FALSE)="Sever",Backdoors!AY36/100,IF(VLOOKUP(A79,tbMoveset!A2:B112,2,FALSE)="Blunt",Backdoors!AZ36/100,Backdoors!BA36/100)),"")</f>
        <v/>
      </c>
      <c r="HZ79" s="49">
        <f>IFERROR(IF(VLOOKUP(tbMoveset!A79,tbMoveset!A2:H112,8,FALSE)="Other",IF(VLOOKUP(tbMoveset!A79,tbMoveset!A2:I112,9,FALSE)="Fire",Backdoors!BB36,IF(VLOOKUP(tbMoveset!A79,tbMoveset!A2:I112,9,FALSE)="Water",Backdoors!BC36,IF(VLOOKUP(tbMoveset!A79,tbMoveset!A2:I112,9,FALSE)="Thunder",Backdoors!BD36,IF(VLOOKUP(tbMoveset!A79,tbMoveset!A2:I112,9,FALSE)="Ice",Backdoors!BE36,IF(VLOOKUP(tbMoveset!A79,tbMoveset!A2:I112,9,FALSE)="Dragon",Backdoors!BF36,Backdoors!BG36)))))/100,Backdoors!BG36/100),"")</f>
        <v>0</v>
      </c>
      <c r="IA79" s="49">
        <f>IFERROR(IF(VLOOKUP(A79,tbMoveset!A2:J112,10,FALSE)=TRUE,IF((Backdoors!AI12+IF(HY79&gt;=0.45,VLOOKUP(Calculator!E23,tbSkills!DH3:DI6,2,FALSE)+IF(AND(Calculator!B8=TRUE,Backdoors!BI36=TRUE),VLOOKUP(Calculator!E23,tbSkills!DH3:DJ6,3,FALSE),0),0))&gt;=0,1+(Backdoors!AL2*(IF((Backdoors!AI12+IF(HY79&gt;=0.45,VLOOKUP(Calculator!E23,tbSkills!DH3:DI6,2,FALSE)+IF(AND(Calculator!B8=TRUE,Backdoors!BI36=TRUE),VLOOKUP(Calculator!E23,tbSkills!DH3:DJ6,3,FALSE),0),0))&gt;=100,100,(Backdoors!AI12+IF(HY79&gt;=0.45,VLOOKUP(Calculator!E23,tbSkills!DH3:DI6,2,FALSE)+IF(AND(Calculator!B8=TRUE,Backdoors!BI36=TRUE),VLOOKUP(Calculator!E23,tbSkills!DH3:DJ6,3,FALSE),0),0)))/100)),(1-(0.25*((-Backdoors!AI12-IF(HY79&gt;=0.45,VLOOKUP(Calculator!E23,tbSkills!DH3:DI6,2,FALSE)+IF(AND(Calculator!B8=TRUE,Backdoors!BI36=TRUE),VLOOKUP(Calculator!E23,tbSkills!DH3:DJ6,3,FALSE),0),0))/100)))),1),"")</f>
        <v>1</v>
      </c>
      <c r="IB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Y79)*IA79)*(VLOOKUP(A79,tbMoveset!A2:C112,3,FALSE)/100)*IF(VLOOKUP(A79,tbMoveset!A2:B112,2,FALSE)="Projectile",Backdoors!N10,Backdoors!N9),0),"")</f>
        <v/>
      </c>
      <c r="IC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Y79&gt;=0.45,VLOOKUP(Calculator!E23,tbSkills!DH3:DI6,2,FALSE)+IF(AND(Calculator!B8=TRUE,Backdoors!BI36=TRUE),VLOOKUP(Calculator!E23,tbSkills!DH3:DJ6,3,FALSE),0),0))&gt;=100,100,(Backdoors!AI12+IF(HY79&gt;=0.45,VLOOKUP(Calculator!E23,tbSkills!DH3:DI6,2,FALSE)+IF(AND(Calculator!B8=TRUE,Backdoors!BI36=TRUE),VLOOKUP(Calculator!E23,tbSkills!DH3:DJ6,3,FALSE),0),0)))/100)),1))*IF(VLOOKUP(A79,tbMoveset!A2:K112,11,FALSE)=TRUE,Backdoors!AC5,1))*HZ79,0),"")</f>
        <v>0</v>
      </c>
      <c r="ID79" s="49">
        <f>VLOOKUP(A79,tbMoveset!A2:G112,7,FALSE)*IFERROR(IF(Backdoors!AI12&gt;=0,1+(IF(Calculator!E40&gt;0,VLOOKUP(Calculator!E40,tbSkills!AI3:AJ5,2,FALSE),Backdoors!AL4)*(IF((Backdoors!AI12+IF(HY79&gt;=0.45,VLOOKUP(Calculator!E23,tbSkills!DH3:DI6,2,FALSE)+IF(AND(Calculator!B8=TRUE,Backdoors!BI36=TRUE),VLOOKUP(Calculator!E23,tbSkills!DH3:DJ6,3,FALSE),0),0))&gt;=100,100,(Backdoors!AI12+IF(HY79&gt;=0.45,VLOOKUP(Calculator!E23,tbSkills!DH3:DI6,2,FALSE)+IF(AND(Calculator!B8=TRUE,Backdoors!BI36=TRUE),VLOOKUP(Calculator!E23,tbSkills!DH3:DJ6,3,FALSE),0),0)))/100)),1),1)</f>
        <v>0.6</v>
      </c>
      <c r="IE79" s="87">
        <f t="shared" si="84"/>
        <v>0</v>
      </c>
      <c r="IF79" s="86" t="str">
        <f>IFERROR(IF(VLOOKUP(A79,tbMoveset!A2:B112,2,FALSE)="Sever",Backdoors!AY37/100,IF(VLOOKUP(A79,tbMoveset!A2:B112,2,FALSE)="Blunt",Backdoors!AZ37/100,Backdoors!BA37/100)),"")</f>
        <v/>
      </c>
      <c r="IG79" s="49">
        <f>IFERROR(IF(VLOOKUP(tbMoveset!A79,tbMoveset!A2:H112,8,FALSE)="Other",IF(VLOOKUP(tbMoveset!A79,tbMoveset!A2:I112,9,FALSE)="Fire",Backdoors!BB37,IF(VLOOKUP(tbMoveset!A79,tbMoveset!A2:I112,9,FALSE)="Water",Backdoors!BC37,IF(VLOOKUP(tbMoveset!A79,tbMoveset!A2:I112,9,FALSE)="Thunder",Backdoors!BD37,IF(VLOOKUP(tbMoveset!A79,tbMoveset!A2:I112,9,FALSE)="Ice",Backdoors!BE37,IF(VLOOKUP(tbMoveset!A79,tbMoveset!A2:I112,9,FALSE)="Dragon",Backdoors!BF37,Backdoors!BG37)))))/100,Backdoors!BG37/100),"")</f>
        <v>0</v>
      </c>
      <c r="IH79" s="49">
        <f>IFERROR(IF(VLOOKUP(A79,tbMoveset!A2:J112,10,FALSE)=TRUE,IF((Backdoors!AI12+IF(IF79&gt;=0.45,VLOOKUP(Calculator!E23,tbSkills!DH3:DI6,2,FALSE)+IF(AND(Calculator!B8=TRUE,Backdoors!BI37=TRUE),VLOOKUP(Calculator!E23,tbSkills!DH3:DJ6,3,FALSE),0),0))&gt;=0,1+(Backdoors!AL2*(IF((Backdoors!AI12+IF(IF79&gt;=0.45,VLOOKUP(Calculator!E23,tbSkills!DH3:DI6,2,FALSE)+IF(AND(Calculator!B8=TRUE,Backdoors!BI37=TRUE),VLOOKUP(Calculator!E23,tbSkills!DH3:DJ6,3,FALSE),0),0))&gt;=100,100,(Backdoors!AI12+IF(IF79&gt;=0.45,VLOOKUP(Calculator!E23,tbSkills!DH3:DI6,2,FALSE)+IF(AND(Calculator!B8=TRUE,Backdoors!BI37=TRUE),VLOOKUP(Calculator!E23,tbSkills!DH3:DJ6,3,FALSE),0),0)))/100)),(1-(0.25*((-Backdoors!AI12-IF(IF79&gt;=0.45,VLOOKUP(Calculator!E23,tbSkills!DH3:DI6,2,FALSE)+IF(AND(Calculator!B8=TRUE,Backdoors!BI37=TRUE),VLOOKUP(Calculator!E23,tbSkills!DH3:DJ6,3,FALSE),0),0))/100)))),1),"")</f>
        <v>1</v>
      </c>
      <c r="II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F79)*IH79)*(VLOOKUP(A79,tbMoveset!A2:C112,3,FALSE)/100)*IF(VLOOKUP(A79,tbMoveset!A2:B112,2,FALSE)="Projectile",Backdoors!N10,Backdoors!N9),0),"")</f>
        <v/>
      </c>
      <c r="IJ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IF79&gt;=0.45,VLOOKUP(Calculator!E23,tbSkills!DH3:DI6,2,FALSE)+IF(AND(Calculator!B8=TRUE,Backdoors!BI37=TRUE),VLOOKUP(Calculator!E23,tbSkills!DH3:DJ6,3,FALSE),0),0))&gt;=100,100,(Backdoors!AI12+IF(IF79&gt;=0.45,VLOOKUP(Calculator!E23,tbSkills!DH3:DI6,2,FALSE)+IF(AND(Calculator!B8=TRUE,Backdoors!BI37=TRUE),VLOOKUP(Calculator!E23,tbSkills!DH3:DJ6,3,FALSE),0),0)))/100)),1))*IF(VLOOKUP(A79,tbMoveset!A2:K112,11,FALSE)=TRUE,Backdoors!AC5,1))*IG79,0),"")</f>
        <v>0</v>
      </c>
      <c r="IK79" s="49">
        <f>VLOOKUP(A79,tbMoveset!A2:G112,7,FALSE)*IFERROR(IF(Backdoors!AI12&gt;=0,1+(IF(Calculator!E40&gt;0,VLOOKUP(Calculator!E40,tbSkills!AI3:AJ5,2,FALSE),Backdoors!AL4)*(IF((Backdoors!AI12+IF(IF79&gt;=0.45,VLOOKUP(Calculator!E23,tbSkills!DH3:DI6,2,FALSE)+IF(AND(Calculator!B8=TRUE,Backdoors!BI37=TRUE),VLOOKUP(Calculator!E23,tbSkills!DH3:DJ6,3,FALSE),0),0))&gt;=100,100,(Backdoors!AI12+IF(IF79&gt;=0.45,VLOOKUP(Calculator!E23,tbSkills!DH3:DI6,2,FALSE)+IF(AND(Calculator!B8=TRUE,Backdoors!BI37=TRUE),VLOOKUP(Calculator!E23,tbSkills!DH3:DJ6,3,FALSE),0),0)))/100)),1),1)</f>
        <v>0.6</v>
      </c>
      <c r="IL79" s="87">
        <f t="shared" si="85"/>
        <v>0</v>
      </c>
      <c r="IM79" s="86" t="str">
        <f>IFERROR(IF(VLOOKUP(A79,tbMoveset!A2:B112,2,FALSE)="Sever",Backdoors!AY38/100,IF(VLOOKUP(A79,tbMoveset!A2:B112,2,FALSE)="Blunt",Backdoors!AZ38/100,Backdoors!BA38/100)),"")</f>
        <v/>
      </c>
      <c r="IN79" s="49">
        <f>IFERROR(IF(VLOOKUP(tbMoveset!A79,tbMoveset!A2:H112,8,FALSE)="Other",IF(VLOOKUP(tbMoveset!A79,tbMoveset!A2:I112,9,FALSE)="Fire",Backdoors!BB38,IF(VLOOKUP(tbMoveset!A79,tbMoveset!A2:I112,9,FALSE)="Water",Backdoors!BC38,IF(VLOOKUP(tbMoveset!A79,tbMoveset!A2:I112,9,FALSE)="Thunder",Backdoors!BD38,IF(VLOOKUP(tbMoveset!A79,tbMoveset!A2:I112,9,FALSE)="Ice",Backdoors!BE38,IF(VLOOKUP(tbMoveset!A79,tbMoveset!A2:I112,9,FALSE)="Dragon",Backdoors!BF38,Backdoors!BG38)))))/100,Backdoors!BG38/100),"")</f>
        <v>0</v>
      </c>
      <c r="IO79" s="49">
        <f>IFERROR(IF(VLOOKUP(A79,tbMoveset!A2:J112,10,FALSE)=TRUE,IF((Backdoors!AI12+IF(IM79&gt;=0.45,VLOOKUP(Calculator!E23,tbSkills!DH3:DI6,2,FALSE)+IF(AND(Calculator!B8=TRUE,Backdoors!BI38=TRUE),VLOOKUP(Calculator!E23,tbSkills!DH3:DJ6,3,FALSE),0),0))&gt;=0,1+(Backdoors!AL2*(IF((Backdoors!AI12+IF(IM79&gt;=0.45,VLOOKUP(Calculator!E23,tbSkills!DH3:DI6,2,FALSE)+IF(AND(Calculator!B8=TRUE,Backdoors!BI38=TRUE),VLOOKUP(Calculator!E23,tbSkills!DH3:DJ6,3,FALSE),0),0))&gt;=100,100,(Backdoors!AI12+IF(IM79&gt;=0.45,VLOOKUP(Calculator!E23,tbSkills!DH3:DI6,2,FALSE)+IF(AND(Calculator!B8=TRUE,Backdoors!BI38=TRUE),VLOOKUP(Calculator!E23,tbSkills!DH3:DJ6,3,FALSE),0),0)))/100)),(1-(0.25*((-Backdoors!AI12-IF(IM79&gt;=0.45,VLOOKUP(Calculator!E23,tbSkills!DH3:DI6,2,FALSE)+IF(AND(Calculator!B8=TRUE,Backdoors!BI38=TRUE),VLOOKUP(Calculator!E23,tbSkills!DH3:DJ6,3,FALSE),0),0))/100)))),1),"")</f>
        <v>1</v>
      </c>
      <c r="IP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M79)*IO79)*(VLOOKUP(A79,tbMoveset!A2:C112,3,FALSE)/100)*IF(VLOOKUP(A79,tbMoveset!A2:B112,2,FALSE)="Projectile",Backdoors!N10,Backdoors!N9),0),"")</f>
        <v/>
      </c>
      <c r="IQ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IM79&gt;=0.45,VLOOKUP(Calculator!E23,tbSkills!DH3:DI6,2,FALSE)+IF(AND(Calculator!B8=TRUE,Backdoors!BI38=TRUE),VLOOKUP(Calculator!E23,tbSkills!DH3:DJ6,3,FALSE),0),0))&gt;=100,100,(Backdoors!AI12+IF(IM79&gt;=0.45,VLOOKUP(Calculator!E23,tbSkills!DH3:DI6,2,FALSE)+IF(AND(Calculator!B8=TRUE,Backdoors!BI38=TRUE),VLOOKUP(Calculator!E23,tbSkills!DH3:DJ6,3,FALSE),0),0)))/100)),1))*IF(VLOOKUP(A79,tbMoveset!A2:K112,11,FALSE)=TRUE,Backdoors!AC5,1))*IN79,0),"")</f>
        <v>0</v>
      </c>
      <c r="IR79" s="49">
        <f>VLOOKUP(A79,tbMoveset!A2:G112,7,FALSE)*IFERROR(IF(Backdoors!AI12&gt;=0,1+(IF(Calculator!E40&gt;0,VLOOKUP(Calculator!E40,tbSkills!AI3:AJ5,2,FALSE),Backdoors!AL4)*(IF((Backdoors!AI12+IF(IM79&gt;=0.45,VLOOKUP(Calculator!E23,tbSkills!DH3:DI6,2,FALSE)+IF(AND(Calculator!B8=TRUE,Backdoors!BI38=TRUE),VLOOKUP(Calculator!E23,tbSkills!DH3:DJ6,3,FALSE),0),0))&gt;=100,100,(Backdoors!AI12+IF(IM79&gt;=0.45,VLOOKUP(Calculator!E23,tbSkills!DH3:DI6,2,FALSE)+IF(AND(Calculator!B8=TRUE,Backdoors!BI38=TRUE),VLOOKUP(Calculator!E23,tbSkills!DH3:DJ6,3,FALSE),0),0)))/100)),1),1)</f>
        <v>0.6</v>
      </c>
      <c r="IS79" s="87">
        <f t="shared" si="86"/>
        <v>0</v>
      </c>
      <c r="IT79" s="86" t="str">
        <f>IFERROR(IF(VLOOKUP(A79,tbMoveset!A2:B112,2,FALSE)="Sever",Backdoors!AY39/100,IF(VLOOKUP(A79,tbMoveset!A2:B112,2,FALSE)="Blunt",Backdoors!AZ39/100,Backdoors!BA39/100)),"")</f>
        <v/>
      </c>
      <c r="IU79" s="49">
        <f>IFERROR(IF(VLOOKUP(tbMoveset!A79,tbMoveset!A2:H112,8,FALSE)="Other",IF(VLOOKUP(tbMoveset!A79,tbMoveset!A2:I112,9,FALSE)="Fire",Backdoors!BB39,IF(VLOOKUP(tbMoveset!A79,tbMoveset!A2:I112,9,FALSE)="Water",Backdoors!BC39,IF(VLOOKUP(tbMoveset!A79,tbMoveset!A2:I112,9,FALSE)="Thunder",Backdoors!BD39,IF(VLOOKUP(tbMoveset!A79,tbMoveset!A2:I112,9,FALSE)="Ice",Backdoors!BE39,IF(VLOOKUP(tbMoveset!A79,tbMoveset!A2:I112,9,FALSE)="Dragon",Backdoors!BF39,Backdoors!BG39)))))/100,Backdoors!BG39/100),"")</f>
        <v>0</v>
      </c>
      <c r="IV79" s="49">
        <f>IFERROR(IF(VLOOKUP(A79,tbMoveset!A2:J112,10,FALSE)=TRUE,IF((Backdoors!AI12+IF(IT79&gt;=0.45,VLOOKUP(Calculator!E23,tbSkills!DH3:DI6,2,FALSE)+IF(AND(Calculator!B8=TRUE,Backdoors!BI39=TRUE),VLOOKUP(Calculator!E23,tbSkills!DH3:DJ6,3,FALSE),0),0))&gt;=0,1+(Backdoors!AL2*(IF((Backdoors!AI12+IF(IT79&gt;=0.45,VLOOKUP(Calculator!E23,tbSkills!DH3:DI6,2,FALSE)+IF(AND(Calculator!B8=TRUE,Backdoors!BI39=TRUE),VLOOKUP(Calculator!E23,tbSkills!DH3:DJ6,3,FALSE),0),0))&gt;=100,100,(Backdoors!AI12+IF(IT79&gt;=0.45,VLOOKUP(Calculator!E23,tbSkills!DH3:DI6,2,FALSE)+IF(AND(Calculator!B8=TRUE,Backdoors!BI39=TRUE),VLOOKUP(Calculator!E23,tbSkills!DH3:DJ6,3,FALSE),0),0)))/100)),(1-(0.25*((-Backdoors!AI12-IF(IT79&gt;=0.45,VLOOKUP(Calculator!E23,tbSkills!DH3:DI6,2,FALSE)+IF(AND(Calculator!B8=TRUE,Backdoors!BI39=TRUE),VLOOKUP(Calculator!E23,tbSkills!DH3:DJ6,3,FALSE),0),0))/100)))),1),"")</f>
        <v>1</v>
      </c>
      <c r="IW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T79)*IV79)*(VLOOKUP(A79,tbMoveset!A2:C112,3,FALSE)/100)*IF(VLOOKUP(A79,tbMoveset!A2:B112,2,FALSE)="Projectile",Backdoors!N10,Backdoors!N9),0),"")</f>
        <v/>
      </c>
      <c r="IX79" s="49">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40&gt;0,VLOOKUP(Calculator!E40,tbSkills!AC3:AD5,2,FALSE),Backdoors!AL3)*(IF((Backdoors!AI12+IF(IT79&gt;=0.45,VLOOKUP(Calculator!E23,tbSkills!DH3:DI6,2,FALSE)+IF(AND(Calculator!B8=TRUE,Backdoors!BI39=TRUE),VLOOKUP(Calculator!E23,tbSkills!DH3:DJ6,3,FALSE),0),0))&gt;=100,100,(Backdoors!AI12+IF(IT79&gt;=0.45,VLOOKUP(Calculator!E23,tbSkills!DH3:DI6,2,FALSE)+IF(AND(Calculator!B8=TRUE,Backdoors!BI39=TRUE),VLOOKUP(Calculator!E23,tbSkills!DH3:DJ6,3,FALSE),0),0)))/100)),1))*IF(VLOOKUP(A79,tbMoveset!A2:K112,11,FALSE)=TRUE,Backdoors!AC5,1))*IU79,0),"")</f>
        <v>0</v>
      </c>
      <c r="IY79" s="49">
        <f>VLOOKUP(A79,tbMoveset!A2:G112,7,FALSE)*IFERROR(IF(Backdoors!AI12&gt;=0,1+(IF(Calculator!E40&gt;0,VLOOKUP(Calculator!E40,tbSkills!AI3:AJ5,2,FALSE),Backdoors!AL4)*(IF((Backdoors!AI12+IF(IT79&gt;=0.45,VLOOKUP(Calculator!E23,tbSkills!DH3:DI6,2,FALSE)+IF(AND(Calculator!B8=TRUE,Backdoors!BI39=TRUE),VLOOKUP(Calculator!E23,tbSkills!DH3:DJ6,3,FALSE),0),0))&gt;=100,100,(Backdoors!AI12+IF(IT79&gt;=0.45,VLOOKUP(Calculator!E23,tbSkills!DH3:DI6,2,FALSE)+IF(AND(Calculator!B8=TRUE,Backdoors!BI39=TRUE),VLOOKUP(Calculator!E23,tbSkills!DH3:DJ6,3,FALSE),0),0)))/100)),1),1)</f>
        <v>0.6</v>
      </c>
      <c r="IZ79" s="87">
        <f t="shared" si="87"/>
        <v>0</v>
      </c>
      <c r="JA79" s="86" t="str">
        <f>IFERROR(IF(VLOOKUP(A79,tbMoveset!A2:B112,2,FALSE)="Sever",Backdoors!AY40/100,IF(VLOOKUP(A79,tbMoveset!A2:B112,2,FALSE)="Blunt",Backdoors!AZ40/100,Backdoors!BA40/100)),"")</f>
        <v/>
      </c>
      <c r="JB79" s="49">
        <f>IFERROR(IF(VLOOKUP(tbMoveset!A79,tbMoveset!A2:H112,8,FALSE)="Other",IF(VLOOKUP(tbMoveset!A79,tbMoveset!A2:I112,9,FALSE)="Fire",Backdoors!BB40,IF(VLOOKUP(tbMoveset!A79,tbMoveset!A2:I112,9,FALSE)="Water",Backdoors!BC40,IF(VLOOKUP(tbMoveset!A79,tbMoveset!A2:I112,9,FALSE)="Thunder",Backdoors!BD40,IF(VLOOKUP(tbMoveset!A79,tbMoveset!A2:I112,9,FALSE)="Ice",Backdoors!BE40,IF(VLOOKUP(tbMoveset!A79,tbMoveset!A2:I112,9,FALSE)="Dragon",Backdoors!BF40,Backdoors!BG40)))))/100,Backdoors!BG40/100),"")</f>
        <v>0</v>
      </c>
      <c r="JC79" s="49">
        <f>IFERROR(IF(VLOOKUP(A79,tbMoveset!A2:J112,10,FALSE)=TRUE,IF((Backdoors!AI12+IF(JA79&gt;=0.45,VLOOKUP(Calculator!E23,tbSkills!DH3:DI6,2,FALSE)+IF(AND(Calculator!B8=TRUE,Backdoors!BI40=TRUE),VLOOKUP(Calculator!E23,tbSkills!DH3:DJ6,3,FALSE),0),0))&gt;=0,1+(Backdoors!AL2*(IF((Backdoors!AI12+IF(JA79&gt;=0.45,VLOOKUP(Calculator!E23,tbSkills!DH3:DI6,2,FALSE)+IF(AND(Calculator!B8=TRUE,Backdoors!BI40=TRUE),VLOOKUP(Calculator!E23,tbSkills!DH3:DJ6,3,FALSE),0),0))&gt;=100,100,(Backdoors!AI12+IF(JA79&gt;=0.45,VLOOKUP(Calculator!E23,tbSkills!DH3:DI6,2,FALSE)+IF(AND(Calculator!B8=TRUE,Backdoors!BI40=TRUE),VLOOKUP(Calculator!E23,tbSkills!DH3:DJ6,3,FALSE),0),0)))/100)),(1-(0.25*((-Backdoors!AI12-IF(JA79&gt;=0.45,VLOOKUP(Calculator!E23,tbSkills!DH3:DI6,2,FALSE)+IF(AND(Calculator!B8=TRUE,Backdoors!BI40=TRUE),VLOOKUP(Calculator!E23,tbSkills!DH3:DJ6,3,FALSE),0),0))/100)))),1),"")</f>
        <v>1</v>
      </c>
      <c r="JD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A79)*JC79)*(VLOOKUP(A79,tbMoveset!A2:C112,3,FALSE)/100)*IF(VLOOKUP(A79,tbMoveset!A2:B112,2,FALSE)="Projectile",Backdoors!N10,Backdoors!N9),0),"")</f>
        <v/>
      </c>
      <c r="JE79" s="49">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42&gt;0,VLOOKUP(Calculator!E42,tbSkills!AC3:AD5,2,FALSE),Backdoors!AL3)*(IF((Backdoors!AI12+IF(JA79&gt;=0.45,VLOOKUP(Calculator!E23,tbSkills!DH3:DI6,2,FALSE)+IF(AND(Calculator!B8=TRUE,Backdoors!BI40=TRUE),VLOOKUP(Calculator!E23,tbSkills!DH3:DJ6,3,FALSE),0),0))&gt;=100,100,(Backdoors!AI12+IF(JA79&gt;=0.45,VLOOKUP(Calculator!E23,tbSkills!DH3:DI6,2,FALSE)+IF(AND(Calculator!B8=TRUE,Backdoors!BI40=TRUE),VLOOKUP(Calculator!E23,tbSkills!DH3:DJ6,3,FALSE),0),0)))/100)),1))*IF(VLOOKUP(A79,tbMoveset!A2:K112,11,FALSE)=TRUE,Backdoors!AC5,1))*JB79,0),"")</f>
        <v>0</v>
      </c>
      <c r="JF79" s="49">
        <f>VLOOKUP(A79,tbMoveset!A2:G112,7,FALSE)*IFERROR(IF(Backdoors!AI12&gt;=0,1+(IF(Calculator!E40&gt;0,VLOOKUP(Calculator!E40,tbSkills!AI3:AJ5,2,FALSE),Backdoors!AL4)*(IF((Backdoors!AI12+IF(JA79&gt;=0.45,VLOOKUP(Calculator!E23,tbSkills!DH3:DI6,2,FALSE)+IF(AND(Calculator!B8=TRUE,Backdoors!BI40=TRUE),VLOOKUP(Calculator!E23,tbSkills!DH3:DJ6,3,FALSE),0),0))&gt;=100,100,(Backdoors!AI12+IF(JA79&gt;=0.45,VLOOKUP(Calculator!E23,tbSkills!DH3:DI6,2,FALSE)+IF(AND(Calculator!B8=TRUE,Backdoors!BI40=TRUE),VLOOKUP(Calculator!E23,tbSkills!DH3:DJ6,3,FALSE),0),0)))/100)),1),1)</f>
        <v>0.6</v>
      </c>
      <c r="JG79" s="87">
        <f t="shared" si="88"/>
        <v>0</v>
      </c>
      <c r="JH79" s="86" t="str">
        <f>IFERROR(IF(VLOOKUP(A79,tbMoveset!A2:B112,2,FALSE)="Sever",Backdoors!AY41/100,IF(VLOOKUP(A79,tbMoveset!A2:B112,2,FALSE)="Blunt",Backdoors!AZ41/100,Backdoors!BA41/100)),"")</f>
        <v/>
      </c>
      <c r="JI79" s="49">
        <f>IFERROR(IF(VLOOKUP(tbMoveset!A79,tbMoveset!A2:H112,8,FALSE)="Other",IF(VLOOKUP(tbMoveset!A79,tbMoveset!A2:I112,9,FALSE)="Fire",Backdoors!BB41,IF(VLOOKUP(tbMoveset!A79,tbMoveset!A2:I112,9,FALSE)="Water",Backdoors!BC41,IF(VLOOKUP(tbMoveset!A79,tbMoveset!A2:I112,9,FALSE)="Thunder",Backdoors!BD41,IF(VLOOKUP(tbMoveset!A79,tbMoveset!A2:I112,9,FALSE)="Ice",Backdoors!BE41,IF(VLOOKUP(tbMoveset!A79,tbMoveset!A2:I112,9,FALSE)="Dragon",Backdoors!BF41,Backdoors!BG41)))))/100,Backdoors!BG41/100),"")</f>
        <v>0</v>
      </c>
      <c r="JJ79" s="49">
        <f>IFERROR(IF(VLOOKUP(A79,tbMoveset!A2:J112,10,FALSE)=TRUE,IF((Backdoors!AI12+IF(JH79&gt;=0.45,VLOOKUP(Calculator!E23,tbSkills!DH3:DI6,2,FALSE)+IF(AND(Calculator!B8=TRUE,Backdoors!BI41=TRUE),VLOOKUP(Calculator!E23,tbSkills!DH3:DJ6,3,FALSE),0),0))&gt;=0,1+(Backdoors!AL2*(IF((Backdoors!AI12+IF(JH79&gt;=0.45,VLOOKUP(Calculator!E23,tbSkills!DH3:DI6,2,FALSE)+IF(AND(Calculator!B8=TRUE,Backdoors!BI41=TRUE),VLOOKUP(Calculator!E23,tbSkills!DH3:DJ6,3,FALSE),0),0))&gt;=100,100,(Backdoors!AI12+IF(JH79&gt;=0.45,VLOOKUP(Calculator!E23,tbSkills!DH3:DI6,2,FALSE)+IF(AND(Calculator!B8=TRUE,Backdoors!BI41=TRUE),VLOOKUP(Calculator!E23,tbSkills!DH3:DJ6,3,FALSE),0),0)))/100)),(1-(0.25*((-Backdoors!AI12-IF(JH79&gt;=0.45,VLOOKUP(Calculator!E23,tbSkills!DH3:DI6,2,FALSE)+IF(AND(Calculator!B8=TRUE,Backdoors!BI41=TRUE),VLOOKUP(Calculator!E23,tbSkills!DH3:DJ6,3,FALSE),0),0))/100)))),1),"")</f>
        <v>1</v>
      </c>
      <c r="JK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H79)*JJ79)*(VLOOKUP(A79,tbMoveset!A2:C112,3,FALSE)/100)*IF(VLOOKUP(A79,tbMoveset!A2:B112,2,FALSE)="Projectile",Backdoors!N10,Backdoors!N9),0),"")</f>
        <v/>
      </c>
      <c r="JL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43&gt;0,VLOOKUP(Calculator!E43,tbSkills!AC3:AD5,2,FALSE),Backdoors!AL3)*(IF((Backdoors!AI12+IF(JH79&gt;=0.45,VLOOKUP(Calculator!E23,tbSkills!DH3:DI6,2,FALSE)+IF(AND(Calculator!B8=TRUE,Backdoors!BI41=TRUE),VLOOKUP(Calculator!E23,tbSkills!DH3:DJ6,3,FALSE),0),0))&gt;=100,100,(Backdoors!AI12+IF(JH79&gt;=0.45,VLOOKUP(Calculator!E23,tbSkills!DH3:DI6,2,FALSE)+IF(AND(Calculator!B8=TRUE,Backdoors!BI41=TRUE),VLOOKUP(Calculator!E23,tbSkills!DH3:DJ6,3,FALSE),0),0)))/100)),1))*IF(VLOOKUP(A79,tbMoveset!A2:K112,11,FALSE)=TRUE,Backdoors!AC5,1))*JI79,0),"")</f>
        <v/>
      </c>
      <c r="JM79" s="49">
        <f>VLOOKUP(A79,tbMoveset!A2:G112,7,FALSE)*IFERROR(IF(Backdoors!AI12&gt;=0,1+(IF(Calculator!E40&gt;0,VLOOKUP(Calculator!E40,tbSkills!AI3:AJ5,2,FALSE),Backdoors!AL4)*(IF((Backdoors!AI12+IF(JH79&gt;=0.45,VLOOKUP(Calculator!E23,tbSkills!DH3:DI6,2,FALSE)+IF(AND(Calculator!B8=TRUE,Backdoors!BI41=TRUE),VLOOKUP(Calculator!E23,tbSkills!DH3:DJ6,3,FALSE),0),0))&gt;=100,100,(Backdoors!AI12+IF(JH79&gt;=0.45,VLOOKUP(Calculator!E23,tbSkills!DH3:DI6,2,FALSE)+IF(AND(Calculator!B8=TRUE,Backdoors!BI41=TRUE),VLOOKUP(Calculator!E23,tbSkills!DH3:DJ6,3,FALSE),0),0)))/100)),1),1)</f>
        <v>0.6</v>
      </c>
      <c r="JN79" s="87">
        <f t="shared" si="89"/>
        <v>0</v>
      </c>
      <c r="JO79" s="86" t="str">
        <f>IFERROR(IF(VLOOKUP(A79,tbMoveset!A2:B112,2,FALSE)="Sever",Backdoors!AY42/100,IF(VLOOKUP(A79,tbMoveset!A2:B112,2,FALSE)="Blunt",Backdoors!AZ42/100,Backdoors!BA42/100)),"")</f>
        <v/>
      </c>
      <c r="JP79" s="49">
        <f>IFERROR(IF(VLOOKUP(tbMoveset!A79,tbMoveset!A2:H112,8,FALSE)="Other",IF(VLOOKUP(tbMoveset!A79,tbMoveset!A2:I112,9,FALSE)="Fire",Backdoors!BB42,IF(VLOOKUP(tbMoveset!A79,tbMoveset!A2:I112,9,FALSE)="Water",Backdoors!BC42,IF(VLOOKUP(tbMoveset!A79,tbMoveset!A2:I112,9,FALSE)="Thunder",Backdoors!BD42,IF(VLOOKUP(tbMoveset!A79,tbMoveset!A2:I112,9,FALSE)="Ice",Backdoors!BE42,IF(VLOOKUP(tbMoveset!A79,tbMoveset!A2:I112,9,FALSE)="Dragon",Backdoors!BF42,Backdoors!BG42)))))/100,Backdoors!BG42/100),"")</f>
        <v>0</v>
      </c>
      <c r="JQ79" s="49">
        <f>IFERROR(IF(VLOOKUP(A79,tbMoveset!A2:J112,10,FALSE)=TRUE,IF((Backdoors!AI12+IF(JO79&gt;=0.45,VLOOKUP(Calculator!E23,tbSkills!DH3:DI6,2,FALSE)+IF(AND(Calculator!B8=TRUE,Backdoors!BI42=TRUE),VLOOKUP(Calculator!E23,tbSkills!DH3:DJ6,3,FALSE),0),0))&gt;=0,1+(Backdoors!AL2*(IF((Backdoors!AI12+IF(JO79&gt;=0.45,VLOOKUP(Calculator!E23,tbSkills!DH3:DI6,2,FALSE)+IF(AND(Calculator!B8=TRUE,Backdoors!BI42=TRUE),VLOOKUP(Calculator!E23,tbSkills!DH3:DJ6,3,FALSE),0),0))&gt;=100,100,(Backdoors!AI12+IF(JO79&gt;=0.45,VLOOKUP(Calculator!E23,tbSkills!DH3:DI6,2,FALSE)+IF(AND(Calculator!B8=TRUE,Backdoors!BI42=TRUE),VLOOKUP(Calculator!E23,tbSkills!DH3:DJ6,3,FALSE),0),0)))/100)),(1-(0.25*((-Backdoors!AI12-IF(JO79&gt;=0.45,VLOOKUP(Calculator!E23,tbSkills!DH3:DI6,2,FALSE)+IF(AND(Calculator!B8=TRUE,Backdoors!BI42=TRUE),VLOOKUP(Calculator!E23,tbSkills!DH3:DJ6,3,FALSE),0),0))/100)))),1),"")</f>
        <v>1</v>
      </c>
      <c r="JR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O79)*JQ79)*(VLOOKUP(A79,tbMoveset!A2:C112,3,FALSE)/100)*IF(VLOOKUP(A79,tbMoveset!A2:B112,2,FALSE)="Projectile",Backdoors!N10,Backdoors!N9),0),"")</f>
        <v/>
      </c>
      <c r="JS79" s="49">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45&gt;0,VLOOKUP(Calculator!E45,tbSkills!AC3:AD5,2,FALSE),Backdoors!AL3)*(IF((Backdoors!AI12+IF(JO79&gt;=0.45,VLOOKUP(Calculator!E23,tbSkills!DH3:DI6,2,FALSE)+IF(AND(Calculator!B8=TRUE,Backdoors!BI42=TRUE),VLOOKUP(Calculator!E23,tbSkills!DH3:DJ6,3,FALSE),0),0))&gt;=100,100,(Backdoors!AI12+IF(JO79&gt;=0.45,VLOOKUP(Calculator!E23,tbSkills!DH3:DI6,2,FALSE)+IF(AND(Calculator!B8=TRUE,Backdoors!BI42=TRUE),VLOOKUP(Calculator!E23,tbSkills!DH3:DJ6,3,FALSE),0),0)))/100)),1))*IF(VLOOKUP(A79,tbMoveset!A2:K112,11,FALSE)=TRUE,Backdoors!AC5,1))*JP79,0),"")</f>
        <v>0</v>
      </c>
      <c r="JT79" s="49">
        <f>VLOOKUP(A79,tbMoveset!A2:G112,7,FALSE)*IFERROR(IF(Backdoors!AI12&gt;=0,1+(IF(Calculator!E40&gt;0,VLOOKUP(Calculator!E40,tbSkills!AI3:AJ5,2,FALSE),Backdoors!AL4)*(IF((Backdoors!AI12+IF(JO79&gt;=0.45,VLOOKUP(Calculator!E23,tbSkills!DH3:DI6,2,FALSE)+IF(AND(Calculator!B8=TRUE,Backdoors!BI42=TRUE),VLOOKUP(Calculator!E23,tbSkills!DH3:DJ6,3,FALSE),0),0))&gt;=100,100,(Backdoors!AI12+IF(JO79&gt;=0.45,VLOOKUP(Calculator!E23,tbSkills!DH3:DI6,2,FALSE)+IF(AND(Calculator!B8=TRUE,Backdoors!BI42=TRUE),VLOOKUP(Calculator!E23,tbSkills!DH3:DJ6,3,FALSE),0),0)))/100)),1),1)</f>
        <v>0.6</v>
      </c>
      <c r="JU79" s="87">
        <f t="shared" si="90"/>
        <v>0</v>
      </c>
      <c r="JV79" s="86" t="str">
        <f>IFERROR(IF(VLOOKUP(A79,tbMoveset!A2:B112,2,FALSE)="Sever",Backdoors!AY43/100,IF(VLOOKUP(A79,tbMoveset!A2:B112,2,FALSE)="Blunt",Backdoors!AZ43/100,Backdoors!BA43/100)),"")</f>
        <v/>
      </c>
      <c r="JW79" s="49">
        <f>IFERROR(IF(VLOOKUP(tbMoveset!A79,tbMoveset!A2:H112,8,FALSE)="Other",IF(VLOOKUP(tbMoveset!A79,tbMoveset!A2:I112,9,FALSE)="Fire",Backdoors!BB43,IF(VLOOKUP(tbMoveset!A79,tbMoveset!A2:I112,9,FALSE)="Water",Backdoors!BC43,IF(VLOOKUP(tbMoveset!A79,tbMoveset!A2:I112,9,FALSE)="Thunder",Backdoors!BD43,IF(VLOOKUP(tbMoveset!A79,tbMoveset!A2:I112,9,FALSE)="Ice",Backdoors!BE43,IF(VLOOKUP(tbMoveset!A79,tbMoveset!A2:I112,9,FALSE)="Dragon",Backdoors!BF43,Backdoors!BG43)))))/100,Backdoors!BG43/100),"")</f>
        <v>0</v>
      </c>
      <c r="JX79" s="49">
        <f>IFERROR(IF(VLOOKUP(A79,tbMoveset!A2:J112,10,FALSE)=TRUE,IF((Backdoors!AI12+IF(JV79&gt;=0.45,VLOOKUP(Calculator!E23,tbSkills!DH3:DI6,2,FALSE)+IF(AND(Calculator!B8=TRUE,Backdoors!BI43=TRUE),VLOOKUP(Calculator!E23,tbSkills!DH3:DJ6,3,FALSE),0),0))&gt;=0,1+(Backdoors!AL2*(IF((Backdoors!AI12+IF(JV79&gt;=0.45,VLOOKUP(Calculator!E23,tbSkills!DH3:DI6,2,FALSE)+IF(AND(Calculator!B8=TRUE,Backdoors!BI43=TRUE),VLOOKUP(Calculator!E23,tbSkills!DH3:DJ6,3,FALSE),0),0))&gt;=100,100,(Backdoors!AI12+IF(JV79&gt;=0.45,VLOOKUP(Calculator!E23,tbSkills!DH3:DI6,2,FALSE)+IF(AND(Calculator!B8=TRUE,Backdoors!BI43=TRUE),VLOOKUP(Calculator!E23,tbSkills!DH3:DJ6,3,FALSE),0),0)))/100)),(1-(0.25*((-Backdoors!AI12-IF(JV79&gt;=0.45,VLOOKUP(Calculator!E23,tbSkills!DH3:DI6,2,FALSE)+IF(AND(Calculator!B8=TRUE,Backdoors!BI43=TRUE),VLOOKUP(Calculator!E23,tbSkills!DH3:DJ6,3,FALSE),0),0))/100)))),1),"")</f>
        <v>1</v>
      </c>
      <c r="JY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V79)*JX79)*(VLOOKUP(A79,tbMoveset!A2:C112,3,FALSE)/100)*IF(VLOOKUP(A79,tbMoveset!A2:B112,2,FALSE)="Projectile",Backdoors!N10,Backdoors!N9),0),"")</f>
        <v/>
      </c>
      <c r="JZ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46&gt;0,VLOOKUP(Calculator!E46,tbSkills!AC3:AD5,2,FALSE),Backdoors!AL3)*(IF((Backdoors!AI12+IF(JV79&gt;=0.45,VLOOKUP(Calculator!E23,tbSkills!DH3:DI6,2,FALSE)+IF(AND(Calculator!B8=TRUE,Backdoors!BI43=TRUE),VLOOKUP(Calculator!E23,tbSkills!DH3:DJ6,3,FALSE),0),0))&gt;=100,100,(Backdoors!AI12+IF(JV79&gt;=0.45,VLOOKUP(Calculator!E23,tbSkills!DH3:DI6,2,FALSE)+IF(AND(Calculator!B8=TRUE,Backdoors!BI43=TRUE),VLOOKUP(Calculator!E23,tbSkills!DH3:DJ6,3,FALSE),0),0)))/100)),1))*IF(VLOOKUP(A79,tbMoveset!A2:K112,11,FALSE)=TRUE,Backdoors!AC5,1))*JW79,0),"")</f>
        <v/>
      </c>
      <c r="KA79" s="49">
        <f>VLOOKUP(A79,tbMoveset!A2:G112,7,FALSE)*IFERROR(IF(Backdoors!AI12&gt;=0,1+(IF(Calculator!E40&gt;0,VLOOKUP(Calculator!E40,tbSkills!AI3:AJ5,2,FALSE),Backdoors!AL4)*(IF((Backdoors!AI12+IF(JV79&gt;=0.45,VLOOKUP(Calculator!E23,tbSkills!DH3:DI6,2,FALSE)+IF(AND(Calculator!B8=TRUE,Backdoors!BI43=TRUE),VLOOKUP(Calculator!E23,tbSkills!DH3:DJ6,3,FALSE),0),0))&gt;=100,100,(Backdoors!AI12+IF(JV79&gt;=0.45,VLOOKUP(Calculator!E23,tbSkills!DH3:DI6,2,FALSE)+IF(AND(Calculator!B8=TRUE,Backdoors!BI43=TRUE),VLOOKUP(Calculator!E23,tbSkills!DH3:DJ6,3,FALSE),0),0)))/100)),1),1)</f>
        <v>0.6</v>
      </c>
      <c r="KB79" s="87">
        <f t="shared" si="91"/>
        <v>0</v>
      </c>
      <c r="KC79" s="86" t="str">
        <f>IFERROR(IF(VLOOKUP(A79,tbMoveset!A2:B112,2,FALSE)="Sever",Backdoors!AY44/100,IF(VLOOKUP(A79,tbMoveset!A2:B112,2,FALSE)="Blunt",Backdoors!AZ44/100,Backdoors!BA44/100)),"")</f>
        <v/>
      </c>
      <c r="KD79" s="49">
        <f>IFERROR(IF(VLOOKUP(tbMoveset!A79,tbMoveset!A2:H112,8,FALSE)="Other",IF(VLOOKUP(tbMoveset!A79,tbMoveset!A2:I112,9,FALSE)="Fire",Backdoors!BB44,IF(VLOOKUP(tbMoveset!A79,tbMoveset!A2:I112,9,FALSE)="Water",Backdoors!BC44,IF(VLOOKUP(tbMoveset!A79,tbMoveset!A2:I112,9,FALSE)="Thunder",Backdoors!BD44,IF(VLOOKUP(tbMoveset!A79,tbMoveset!A2:I112,9,FALSE)="Ice",Backdoors!BE44,IF(VLOOKUP(tbMoveset!A79,tbMoveset!A2:I112,9,FALSE)="Dragon",Backdoors!BF44,Backdoors!BG44)))))/100,Backdoors!BG44/100),"")</f>
        <v>0</v>
      </c>
      <c r="KE79" s="49">
        <f>IFERROR(IF(VLOOKUP(A79,tbMoveset!A2:J112,10,FALSE)=TRUE,IF((Backdoors!AI12+IF(KC79&gt;=0.45,VLOOKUP(Calculator!E23,tbSkills!DH3:DI6,2,FALSE)+IF(AND(Calculator!B8=TRUE,Backdoors!BI44=TRUE),VLOOKUP(Calculator!E23,tbSkills!DH3:DJ6,3,FALSE),0),0))&gt;=0,1+(Backdoors!AL2*(IF((Backdoors!AI12+IF(KC79&gt;=0.45,VLOOKUP(Calculator!E23,tbSkills!DH3:DI6,2,FALSE)+IF(AND(Calculator!B8=TRUE,Backdoors!BI44=TRUE),VLOOKUP(Calculator!E23,tbSkills!DH3:DJ6,3,FALSE),0),0))&gt;=100,100,(Backdoors!AI12+IF(KC79&gt;=0.45,VLOOKUP(Calculator!E23,tbSkills!DH3:DI6,2,FALSE)+IF(AND(Calculator!B8=TRUE,Backdoors!BI44=TRUE),VLOOKUP(Calculator!E23,tbSkills!DH3:DJ6,3,FALSE),0),0)))/100)),(1-(0.25*((-Backdoors!AI12-IF(KC79&gt;=0.45,VLOOKUP(Calculator!E23,tbSkills!DH3:DI6,2,FALSE)+IF(AND(Calculator!B8=TRUE,Backdoors!BI44=TRUE),VLOOKUP(Calculator!E23,tbSkills!DH3:DJ6,3,FALSE),0),0))/100)))),1),"")</f>
        <v>1</v>
      </c>
      <c r="KF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KC79)*KE79)*(VLOOKUP(A79,tbMoveset!A2:C112,3,FALSE)/100)*IF(VLOOKUP(A79,tbMoveset!A2:B112,2,FALSE)="Projectile",Backdoors!N10,Backdoors!N9),0),"")</f>
        <v/>
      </c>
      <c r="KG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REF!&gt;0,VLOOKUP(Calculator!#REF!,tbSkills!AC3:AD5,2,FALSE),Backdoors!AL3)*(IF((Backdoors!AI12+IF(KC79&gt;=0.45,VLOOKUP(Calculator!E23,tbSkills!DH3:DI6,2,FALSE)+IF(AND(Calculator!B8=TRUE,Backdoors!BI44=TRUE),VLOOKUP(Calculator!E23,tbSkills!DH3:DJ6,3,FALSE),0),0))&gt;=100,100,(Backdoors!AI12+IF(KC79&gt;=0.45,VLOOKUP(Calculator!E23,tbSkills!DH3:DI6,2,FALSE)+IF(AND(Calculator!B8=TRUE,Backdoors!BI44=TRUE),VLOOKUP(Calculator!E23,tbSkills!DH3:DJ6,3,FALSE),0),0)))/100)),1))*IF(VLOOKUP(A79,tbMoveset!A2:K112,11,FALSE)=TRUE,Backdoors!AC5,1))*KD79,0),"")</f>
        <v/>
      </c>
      <c r="KH79" s="49">
        <f>VLOOKUP(A79,tbMoveset!A2:G112,7,FALSE)*IFERROR(IF(Backdoors!AI12&gt;=0,1+(IF(Calculator!E40&gt;0,VLOOKUP(Calculator!E40,tbSkills!AI3:AJ5,2,FALSE),Backdoors!AL4)*(IF((Backdoors!AI12+IF(KC79&gt;=0.45,VLOOKUP(Calculator!E23,tbSkills!DH3:DI6,2,FALSE)+IF(AND(Calculator!B8=TRUE,Backdoors!BI44=TRUE),VLOOKUP(Calculator!E23,tbSkills!DH3:DJ6,3,FALSE),0),0))&gt;=100,100,(Backdoors!AI12+IF(KC79&gt;=0.45,VLOOKUP(Calculator!E23,tbSkills!DH3:DI6,2,FALSE)+IF(AND(Calculator!B8=TRUE,Backdoors!BI44=TRUE),VLOOKUP(Calculator!E23,tbSkills!DH3:DJ6,3,FALSE),0),0)))/100)),1),1)</f>
        <v>0.6</v>
      </c>
      <c r="KI79" s="87">
        <f t="shared" si="92"/>
        <v>0</v>
      </c>
      <c r="KJ79" s="86" t="str">
        <f>IFERROR(IF(VLOOKUP(A79,tbMoveset!A2:B112,2,FALSE)="Sever",Backdoors!AY45/100,IF(VLOOKUP(A79,tbMoveset!A2:B112,2,FALSE)="Blunt",Backdoors!AZ45/100,Backdoors!BA45/100)),"")</f>
        <v/>
      </c>
      <c r="KK79" s="49">
        <f>IFERROR(IF(VLOOKUP(tbMoveset!A79,tbMoveset!A2:H112,8,FALSE)="Other",IF(VLOOKUP(tbMoveset!A79,tbMoveset!A2:I112,9,FALSE)="Fire",Backdoors!BB45,IF(VLOOKUP(tbMoveset!A79,tbMoveset!A2:I112,9,FALSE)="Water",Backdoors!BC45,IF(VLOOKUP(tbMoveset!A79,tbMoveset!A2:I112,9,FALSE)="Thunder",Backdoors!BD45,IF(VLOOKUP(tbMoveset!A79,tbMoveset!A2:I112,9,FALSE)="Ice",Backdoors!BE45,IF(VLOOKUP(tbMoveset!A79,tbMoveset!A2:I112,9,FALSE)="Dragon",Backdoors!BF45,Backdoors!BG45)))))/100,Backdoors!BG45/100),"")</f>
        <v>0</v>
      </c>
      <c r="KL79" s="49">
        <f>IFERROR(IF(VLOOKUP(A79,tbMoveset!A2:J112,10,FALSE)=TRUE,IF((Backdoors!AI12+IF(KJ79&gt;=0.45,VLOOKUP(Calculator!E23,tbSkills!DH3:DI6,2,FALSE)+IF(AND(Calculator!B8=TRUE,Backdoors!BI45=TRUE),VLOOKUP(Calculator!E23,tbSkills!DH3:DJ6,3,FALSE),0),0))&gt;=0,1+(Backdoors!AL2*(IF((Backdoors!AI12+IF(KJ79&gt;=0.45,VLOOKUP(Calculator!E23,tbSkills!DH3:DI6,2,FALSE)+IF(AND(Calculator!B8=TRUE,Backdoors!BI45=TRUE),VLOOKUP(Calculator!E23,tbSkills!DH3:DJ6,3,FALSE),0),0))&gt;=100,100,(Backdoors!AI12+IF(KJ79&gt;=0.45,VLOOKUP(Calculator!E23,tbSkills!DH3:DI6,2,FALSE)+IF(AND(Calculator!B8=TRUE,Backdoors!BI45=TRUE),VLOOKUP(Calculator!E23,tbSkills!DH3:DJ6,3,FALSE),0),0)))/100)),(1-(0.25*((-Backdoors!AI12-IF(KJ79&gt;=0.45,VLOOKUP(Calculator!E23,tbSkills!DH3:DI6,2,FALSE)+IF(AND(Calculator!B8=TRUE,Backdoors!BI45=TRUE),VLOOKUP(Calculator!E23,tbSkills!DH3:DJ6,3,FALSE),0),0))/100)))),1),"")</f>
        <v>1</v>
      </c>
      <c r="KM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KJ79)*KL79)*(VLOOKUP(A79,tbMoveset!A2:C112,3,FALSE)/100)*IF(VLOOKUP(A79,tbMoveset!A2:B112,2,FALSE)="Projectile",Backdoors!N10,Backdoors!N9),0),"")</f>
        <v/>
      </c>
      <c r="KN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REF!&gt;0,VLOOKUP(Calculator!#REF!,tbSkills!AC3:AD5,2,FALSE),Backdoors!AL3)*(IF((Backdoors!AI12+IF(KJ79&gt;=0.45,VLOOKUP(Calculator!E23,tbSkills!DH3:DI6,2,FALSE)+IF(AND(Calculator!B8=TRUE,Backdoors!BI45=TRUE),VLOOKUP(Calculator!E23,tbSkills!DH3:DJ6,3,FALSE),0),0))&gt;=100,100,(Backdoors!AI12+IF(KJ79&gt;=0.45,VLOOKUP(Calculator!E23,tbSkills!DH3:DI6,2,FALSE)+IF(AND(Calculator!B8=TRUE,Backdoors!BI45=TRUE),VLOOKUP(Calculator!E23,tbSkills!DH3:DJ6,3,FALSE),0),0)))/100)),1))*IF(VLOOKUP(A79,tbMoveset!A2:K112,11,FALSE)=TRUE,Backdoors!AC5,1))*KK79,0),"")</f>
        <v/>
      </c>
      <c r="KO79" s="49">
        <f>VLOOKUP(A79,tbMoveset!A2:G112,7,FALSE)*IFERROR(IF(Backdoors!AI12&gt;=0,1+(IF(Calculator!E40&gt;0,VLOOKUP(Calculator!E40,tbSkills!AI3:AJ5,2,FALSE),Backdoors!AL4)*(IF((Backdoors!AI12+IF(KJ79&gt;=0.45,VLOOKUP(Calculator!E23,tbSkills!DH3:DI6,2,FALSE)+IF(AND(Calculator!B8=TRUE,Backdoors!BI45=TRUE),VLOOKUP(Calculator!E23,tbSkills!DH3:DJ6,3,FALSE),0),0))&gt;=100,100,(Backdoors!AI12+IF(KJ79&gt;=0.45,VLOOKUP(Calculator!E23,tbSkills!DH3:DI6,2,FALSE)+IF(AND(Calculator!B8=TRUE,Backdoors!BI45=TRUE),VLOOKUP(Calculator!E23,tbSkills!DH3:DJ6,3,FALSE),0),0)))/100)),1),1)</f>
        <v>0.6</v>
      </c>
      <c r="KP79" s="87">
        <f t="shared" si="93"/>
        <v>0</v>
      </c>
      <c r="KQ79" s="86" t="str">
        <f>IFERROR(IF(VLOOKUP(A79,tbMoveset!A2:B112,2,FALSE)="Sever",Backdoors!AY46/100,IF(VLOOKUP(A79,tbMoveset!A2:B112,2,FALSE)="Blunt",Backdoors!AZ46/100,Backdoors!BA46/100)),"")</f>
        <v/>
      </c>
      <c r="KR79" s="49">
        <f>IFERROR(IF(VLOOKUP(tbMoveset!A79,tbMoveset!A2:H112,8,FALSE)="Other",IF(VLOOKUP(tbMoveset!A79,tbMoveset!A2:I112,9,FALSE)="Fire",Backdoors!BB46,IF(VLOOKUP(tbMoveset!A79,tbMoveset!A2:I112,9,FALSE)="Water",Backdoors!BC46,IF(VLOOKUP(tbMoveset!A79,tbMoveset!A2:I112,9,FALSE)="Thunder",Backdoors!BD46,IF(VLOOKUP(tbMoveset!A79,tbMoveset!A2:I112,9,FALSE)="Ice",Backdoors!BE46,IF(VLOOKUP(tbMoveset!A79,tbMoveset!A2:I112,9,FALSE)="Dragon",Backdoors!BF46,Backdoors!BG46)))))/100,Backdoors!BG46/100),"")</f>
        <v>0</v>
      </c>
      <c r="KS79" s="49">
        <f>IFERROR(IF(VLOOKUP(A79,tbMoveset!A2:J112,10,FALSE)=TRUE,IF((Backdoors!AI12+IF(KQ79&gt;=0.45,VLOOKUP(Calculator!E23,tbSkills!DH3:DI6,2,FALSE)+IF(AND(Calculator!B8=TRUE,Backdoors!BI46=TRUE),VLOOKUP(Calculator!E23,tbSkills!DH3:DJ6,3,FALSE),0),0))&gt;=0,1+(Backdoors!AL2*(IF((Backdoors!AI12+IF(KQ79&gt;=0.45,VLOOKUP(Calculator!E23,tbSkills!DH3:DI6,2,FALSE)+IF(AND(Calculator!B8=TRUE,Backdoors!BI46=TRUE),VLOOKUP(Calculator!E23,tbSkills!DH3:DJ6,3,FALSE),0),0))&gt;=100,100,(Backdoors!AI12+IF(KQ79&gt;=0.45,VLOOKUP(Calculator!E23,tbSkills!DH3:DI6,2,FALSE)+IF(AND(Calculator!B8=TRUE,Backdoors!BI46=TRUE),VLOOKUP(Calculator!E23,tbSkills!DH3:DJ6,3,FALSE),0),0)))/100)),(1-(0.25*((-Backdoors!AI12-IF(KQ79&gt;=0.45,VLOOKUP(Calculator!E23,tbSkills!DH3:DI6,2,FALSE)+IF(AND(Calculator!B8=TRUE,Backdoors!BI46=TRUE),VLOOKUP(Calculator!E23,tbSkills!DH3:DJ6,3,FALSE),0),0))/100)))),1),"")</f>
        <v>1</v>
      </c>
      <c r="KT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KQ79)*KS79)*(VLOOKUP(A79,tbMoveset!A2:C112,3,FALSE)/100)*IF(VLOOKUP(A79,tbMoveset!A2:B112,2,FALSE)="Projectile",Backdoors!N10,Backdoors!N9),0),"")</f>
        <v/>
      </c>
      <c r="KU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REF!&gt;0,VLOOKUP(Calculator!#REF!,tbSkills!AC3:AD5,2,FALSE),Backdoors!AL3)*(IF((Backdoors!AI12+IF(KQ79&gt;=0.45,VLOOKUP(Calculator!E23,tbSkills!DH3:DI6,2,FALSE)+IF(AND(Calculator!B8=TRUE,Backdoors!BI46=TRUE),VLOOKUP(Calculator!E23,tbSkills!DH3:DJ6,3,FALSE),0),0))&gt;=100,100,(Backdoors!AI12+IF(KQ79&gt;=0.45,VLOOKUP(Calculator!E23,tbSkills!DH3:DI6,2,FALSE)+IF(AND(Calculator!B8=TRUE,Backdoors!BI46=TRUE),VLOOKUP(Calculator!E23,tbSkills!DH3:DJ6,3,FALSE),0),0)))/100)),1))*IF(VLOOKUP(A79,tbMoveset!A2:K112,11,FALSE)=TRUE,Backdoors!AC5,1))*KR79,0),"")</f>
        <v/>
      </c>
      <c r="KV79" s="49">
        <f>VLOOKUP(A79,tbMoveset!A2:G112,7,FALSE)*IFERROR(IF(Backdoors!AI12&gt;=0,1+(IF(Calculator!E40&gt;0,VLOOKUP(Calculator!E40,tbSkills!AI3:AJ5,2,FALSE),Backdoors!AL4)*(IF((Backdoors!AI12+IF(KQ79&gt;=0.45,VLOOKUP(Calculator!E23,tbSkills!DH3:DI6,2,FALSE)+IF(AND(Calculator!B8=TRUE,Backdoors!BI46=TRUE),VLOOKUP(Calculator!E23,tbSkills!DH3:DJ6,3,FALSE),0),0))&gt;=100,100,(Backdoors!AI12+IF(KQ79&gt;=0.45,VLOOKUP(Calculator!E23,tbSkills!DH3:DI6,2,FALSE)+IF(AND(Calculator!B8=TRUE,Backdoors!BI46=TRUE),VLOOKUP(Calculator!E23,tbSkills!DH3:DJ6,3,FALSE),0),0)))/100)),1),1)</f>
        <v>0.6</v>
      </c>
      <c r="KW79" s="87">
        <f t="shared" si="94"/>
        <v>0</v>
      </c>
    </row>
    <row r="80" spans="1:309" x14ac:dyDescent="0.25">
      <c r="A80" s="95" t="str">
        <f>tbMoveset!A80</f>
        <v>Midair Spinning Blade Dance (L2)</v>
      </c>
      <c r="B80" s="86">
        <f>IFERROR(IF(VLOOKUP(A80,tbMoveset!A2:B112,2,FALSE)="Sever",Backdoors!AY3/100,IF(VLOOKUP(A80,tbMoveset!A2:B112,2,FALSE)="Blunt",Backdoors!AZ3/100,Backdoors!BA3/100)),"")</f>
        <v>0.8</v>
      </c>
      <c r="C80" s="49">
        <f>IFERROR(IF(VLOOKUP(tbMoveset!A80,tbMoveset!A2:H112,8,FALSE)="Other",IF(VLOOKUP(tbMoveset!A80,tbMoveset!A2:I112,9,FALSE)="Fire",Backdoors!BB3,IF(VLOOKUP(tbMoveset!A80,tbMoveset!A2:I112,9,FALSE)="Water",Backdoors!BC3,IF(VLOOKUP(tbMoveset!A80,tbMoveset!A2:I112,9,FALSE)="Thunder",Backdoors!BD3,IF(VLOOKUP(tbMoveset!A80,tbMoveset!A2:I112,9,FALSE)="Ice",Backdoors!BE3,IF(VLOOKUP(tbMoveset!A80,tbMoveset!A2:I112,9,FALSE)="Dragon",Backdoors!BF3,Backdoors!BG3)))))/100,Backdoors!BG3/100),"")</f>
        <v>0</v>
      </c>
      <c r="D80" s="49">
        <f>IFERROR(IF(VLOOKUP(A80,tbMoveset!A2:J112,10,FALSE)=TRUE,IF((Backdoors!AI12+IF(B80&gt;=0.45,VLOOKUP(Calculator!E23,tbSkills!DH3:DI6,2,FALSE)+IF(AND(Calculator!B8=TRUE,Backdoors!BI3=TRUE),VLOOKUP(Calculator!E23,tbSkills!DH3:DJ6,3,FALSE),0),0))&gt;=0,1+(Backdoors!AL2*(IF((Backdoors!AI12+IF(B80&gt;=0.45,VLOOKUP(Calculator!E23,tbSkills!DH3:DI6,2,FALSE)+IF(AND(Calculator!B8=TRUE,Backdoors!BI3=TRUE),VLOOKUP(Calculator!E23,tbSkills!DH3:DJ6,3,FALSE),0),0))&gt;=100,100,(Backdoors!AI12+IF(B80&gt;=0.45,VLOOKUP(Calculator!E23,tbSkills!DH3:DI6,2,FALSE)+IF(AND(Calculator!B8=TRUE,Backdoors!BI3=TRUE),VLOOKUP(Calculator!E23,tbSkills!DH3:DJ6,3,FALSE),0),0)))/100)),(1-(0.25*((-Backdoors!AI12-IF(B80&gt;=0.45,VLOOKUP(Calculator!E23,tbSkills!DH3:DI6,2,FALSE)+IF(AND(Calculator!B8=TRUE,Backdoors!BI3=TRUE),VLOOKUP(Calculator!E23,tbSkills!DH3:DJ6,3,FALSE),0),0))/100)))),1),"")</f>
        <v>1</v>
      </c>
      <c r="E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80)*D80)*(VLOOKUP(A80,tbMoveset!A2:C112,3,FALSE)/100)*IF(VLOOKUP(A80,tbMoveset!A2:B112,2,FALSE)="Projectile",Backdoors!N10,Backdoors!N9),0),"")</f>
        <v>7</v>
      </c>
      <c r="F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80&gt;=0.45,VLOOKUP(Calculator!E23,tbSkills!DH3:DI6,2,FALSE)+IF(AND(Calculator!B8=TRUE,Backdoors!BI3=TRUE),VLOOKUP(Calculator!E23,tbSkills!DH3:DJ6,3,FALSE),0),0))&gt;=100,100,(Backdoors!AI12+IF(B80&gt;=0.45,VLOOKUP(Calculator!E23,tbSkills!DH3:DI6,2,FALSE)+IF(AND(Calculator!B8=TRUE,Backdoors!BI3=TRUE),VLOOKUP(Calculator!E23,tbSkills!DH3:DJ6,3,FALSE),0),0)))/100)),1))*IF(VLOOKUP(A80,tbMoveset!A2:K112,11,FALSE)=TRUE,Backdoors!AC5,1))*C80,0),"")</f>
        <v>0</v>
      </c>
      <c r="G80">
        <f>VLOOKUP(A80,tbMoveset!A2:G112,7,FALSE)*IFERROR(IF(Backdoors!AI12&gt;=0,1+(IF(Calculator!E40&gt;0,VLOOKUP(Calculator!E40,tbSkills!AI3:AJ5,2,FALSE),Backdoors!AL4)*(IF((Backdoors!AI12+IF(B80&gt;=0.45,VLOOKUP(Calculator!E23,tbSkills!DH3:DI6,2,FALSE)+IF(AND(Calculator!B8=TRUE,Backdoors!BI3=TRUE),VLOOKUP(Calculator!E23,tbSkills!DH3:DJ6,3,FALSE),0),0))&gt;=100,100,(Backdoors!AI12+IF(B80&gt;=0.45,VLOOKUP(Calculator!E23,tbSkills!DH3:DI6,2,FALSE)+IF(AND(Calculator!B8=TRUE,Backdoors!BI3=TRUE),VLOOKUP(Calculator!E23,tbSkills!DH3:DJ6,3,FALSE),0),0)))/100)),1),1)</f>
        <v>0.6</v>
      </c>
      <c r="H80" s="87">
        <f t="shared" si="51"/>
        <v>7</v>
      </c>
      <c r="I80" s="86">
        <f>IFERROR(IF(VLOOKUP(A80,tbMoveset!A2:B112,2,FALSE)="Sever",Backdoors!AY4/100,IF(VLOOKUP(A80,tbMoveset!A2:B112,2,FALSE)="Blunt",Backdoors!AZ4/100,Backdoors!BA4/100)),"")</f>
        <v>0.65</v>
      </c>
      <c r="J80" s="49">
        <f>IFERROR(IF(VLOOKUP(tbMoveset!A80,tbMoveset!A2:H112,8,FALSE)="Other",IF(VLOOKUP(tbMoveset!A80,tbMoveset!A2:I112,9,FALSE)="Fire",Backdoors!BB4,IF(VLOOKUP(tbMoveset!A80,tbMoveset!A2:I112,9,FALSE)="Water",Backdoors!BC4,IF(VLOOKUP(tbMoveset!A80,tbMoveset!A2:I112,9,FALSE)="Thunder",Backdoors!BD4,IF(VLOOKUP(tbMoveset!A80,tbMoveset!A2:I112,9,FALSE)="Ice",Backdoors!BE4,IF(VLOOKUP(tbMoveset!A80,tbMoveset!A2:I112,9,FALSE)="Dragon",Backdoors!BF4,Backdoors!BG4)))))/100,Backdoors!BG4/100),"")</f>
        <v>0</v>
      </c>
      <c r="K80" s="49">
        <f>IFERROR(IF(VLOOKUP(A80,tbMoveset!A2:J112,10,FALSE)=TRUE,IF((Backdoors!AI12+IF(I80&gt;=0.45,VLOOKUP(Calculator!E23,tbSkills!DH3:DI6,2,FALSE)+IF(AND(Calculator!B8=TRUE,Backdoors!BI4=TRUE),VLOOKUP(Calculator!E23,tbSkills!DH3:DJ6,3,FALSE),0),0))&gt;=0,1+(Backdoors!AL2*(IF((Backdoors!AI12+IF(I80&gt;=0.45,VLOOKUP(Calculator!E23,tbSkills!DH3:DI6,2,FALSE)+IF(AND(Calculator!B8=TRUE,Backdoors!BI4=TRUE),VLOOKUP(Calculator!E23,tbSkills!DH3:DJ6,3,FALSE),0),0))&gt;=100,100,(Backdoors!AI12+IF(I80&gt;=0.45,VLOOKUP(Calculator!E23,tbSkills!DH3:DI6,2,FALSE)+IF(AND(Calculator!B8=TRUE,Backdoors!BI4=TRUE),VLOOKUP(Calculator!E23,tbSkills!DH3:DJ6,3,FALSE),0),0)))/100)),(1-(0.25*((-Backdoors!AI12-IF(I80&gt;=0.45,VLOOKUP(Calculator!E23,tbSkills!DH3:DI6,2,FALSE)+IF(AND(Calculator!B8=TRUE,Backdoors!BI4=TRUE),VLOOKUP(Calculator!E23,tbSkills!DH3:DJ6,3,FALSE),0),0))/100)))),1),"")</f>
        <v>1</v>
      </c>
      <c r="L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80)*K80)*(VLOOKUP(A80,tbMoveset!A2:C112,3,FALSE)/100)*IF(VLOOKUP(A80,tbMoveset!A2:B112,2,FALSE)="Projectile",Backdoors!N10,Backdoors!N9),0),"")</f>
        <v>5</v>
      </c>
      <c r="M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I80&gt;=0.45,VLOOKUP(Calculator!E23,tbSkills!DH3:DI6,2,FALSE)+IF(AND(Calculator!B8=TRUE,Backdoors!BI4=TRUE),VLOOKUP(Calculator!E23,tbSkills!DH3:DJ6,3,FALSE),0),0))&gt;=100,100,(Backdoors!AI12+IF(I80&gt;=0.45,VLOOKUP(Calculator!E23,tbSkills!DH3:DI6,2,FALSE)+IF(AND(Calculator!B8=TRUE,Backdoors!BI4=TRUE),VLOOKUP(Calculator!E23,tbSkills!DH3:DJ6,3,FALSE),0),0)))/100)),1))*IF(VLOOKUP(A80,tbMoveset!A2:K112,11,FALSE)=TRUE,Backdoors!AC5,1))*J80,0),"")</f>
        <v>0</v>
      </c>
      <c r="N80" s="49">
        <f>VLOOKUP(A80,tbMoveset!A2:G112,7,FALSE)*IFERROR(IF(Backdoors!AI12&gt;=0,1+(IF(Calculator!E40&gt;0,VLOOKUP(Calculator!E40,tbSkills!AI3:AJ5,2,FALSE),Backdoors!AL4)*(IF((Backdoors!AI12+IF(I80&gt;=0.45,VLOOKUP(Calculator!E23,tbSkills!DH3:DI6,2,FALSE)+IF(AND(Calculator!B8=TRUE,Backdoors!BI4=TRUE),VLOOKUP(Calculator!E23,tbSkills!DH3:DJ6,3,FALSE),0),0))&gt;=100,100,(Backdoors!AI12+IF(I80&gt;=0.45,VLOOKUP(Calculator!E23,tbSkills!DH3:DI6,2,FALSE)+IF(AND(Calculator!B8=TRUE,Backdoors!BI4=TRUE),VLOOKUP(Calculator!E23,tbSkills!DH3:DJ6,3,FALSE),0),0)))/100)),1),1)</f>
        <v>0.6</v>
      </c>
      <c r="O80" s="87">
        <f t="shared" si="52"/>
        <v>5</v>
      </c>
      <c r="P80" s="86">
        <f>IFERROR(IF(VLOOKUP(A80,tbMoveset!A2:B112,2,FALSE)="Sever",Backdoors!AY5/100,IF(VLOOKUP(A80,tbMoveset!A2:B112,2,FALSE)="Blunt",Backdoors!AZ5/100,Backdoors!BA5/100)),"")</f>
        <v>0.5</v>
      </c>
      <c r="Q80" s="49">
        <f>IFERROR(IF(VLOOKUP(tbMoveset!A80,tbMoveset!A2:H112,8,FALSE)="Other",IF(VLOOKUP(tbMoveset!A80,tbMoveset!A2:I112,9,FALSE)="Fire",Backdoors!BB5,IF(VLOOKUP(tbMoveset!A80,tbMoveset!A2:I112,9,FALSE)="Water",Backdoors!BC5,IF(VLOOKUP(tbMoveset!A80,tbMoveset!A2:I112,9,FALSE)="Thunder",Backdoors!BD5,IF(VLOOKUP(tbMoveset!A80,tbMoveset!A2:I112,9,FALSE)="Ice",Backdoors!BE5,IF(VLOOKUP(tbMoveset!A80,tbMoveset!A2:I112,9,FALSE)="Dragon",Backdoors!BF5,Backdoors!BG5)))))/100,Backdoors!BG5/100),"")</f>
        <v>0</v>
      </c>
      <c r="R80" s="49">
        <f>IFERROR(IF(VLOOKUP(A80,tbMoveset!A2:J112,10,FALSE)=TRUE,IF((Backdoors!AI12+IF(P80&gt;=0.45,VLOOKUP(Calculator!E23,tbSkills!DH3:DI6,2,FALSE)+IF(AND(Calculator!B8=TRUE,Backdoors!BI5=TRUE),VLOOKUP(Calculator!E23,tbSkills!DH3:DJ6,3,FALSE),0),0))&gt;=0,1+(Backdoors!AL2*(IF((Backdoors!AI12+IF(P80&gt;=0.45,VLOOKUP(Calculator!E23,tbSkills!DH3:DI6,2,FALSE)+IF(AND(Calculator!B8=TRUE,Backdoors!BI5=TRUE),VLOOKUP(Calculator!E23,tbSkills!DH3:DJ6,3,FALSE),0),0))&gt;=100,100,(Backdoors!AI12+IF(P80&gt;=0.45,VLOOKUP(Calculator!E23,tbSkills!DH3:DI6,2,FALSE)+IF(AND(Calculator!B8=TRUE,Backdoors!BI5=TRUE),VLOOKUP(Calculator!E23,tbSkills!DH3:DJ6,3,FALSE),0),0)))/100)),(1-(0.25*((-Backdoors!AI12-IF(P80&gt;=0.45,VLOOKUP(Calculator!E23,tbSkills!DH3:DI6,2,FALSE)+IF(AND(Calculator!B8=TRUE,Backdoors!BI5=TRUE),VLOOKUP(Calculator!E23,tbSkills!DH3:DJ6,3,FALSE),0),0))/100)))),1),"")</f>
        <v>1</v>
      </c>
      <c r="S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P80)*R80)*(VLOOKUP(A80,tbMoveset!A2:C112,3,FALSE)/100)*IF(VLOOKUP(A80,tbMoveset!A2:B112,2,FALSE)="Projectile",Backdoors!N10,Backdoors!N9),0),"")</f>
        <v>4</v>
      </c>
      <c r="T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P80&gt;=0.45,VLOOKUP(Calculator!E23,tbSkills!DH3:DI6,2,FALSE)+IF(AND(Calculator!B8=TRUE,Backdoors!BI5=TRUE),VLOOKUP(Calculator!E23,tbSkills!DH3:DJ6,3,FALSE),0),0))&gt;=100,100,(Backdoors!AI12+IF(P80&gt;=0.45,VLOOKUP(Calculator!E23,tbSkills!DH3:DI6,2,FALSE)+IF(AND(Calculator!B8=TRUE,Backdoors!BI5=TRUE),VLOOKUP(Calculator!E23,tbSkills!DH3:DJ6,3,FALSE),0),0)))/100)),1))*IF(VLOOKUP(A80,tbMoveset!A2:K112,11,FALSE)=TRUE,Backdoors!AC5,1))*Q80,0),"")</f>
        <v>0</v>
      </c>
      <c r="U80" s="49">
        <f>VLOOKUP(A80,tbMoveset!A2:G112,7,FALSE)*IFERROR(IF(Backdoors!AI12&gt;=0,1+(IF(Calculator!E40&gt;0,VLOOKUP(Calculator!E40,tbSkills!AI3:AJ5,2,FALSE),Backdoors!AL4)*(IF((Backdoors!AI12+IF(P80&gt;=0.45,VLOOKUP(Calculator!E23,tbSkills!DH3:DI6,2,FALSE)+IF(AND(Calculator!B8=TRUE,Backdoors!BI5=TRUE),VLOOKUP(Calculator!E23,tbSkills!DH3:DJ6,3,FALSE),0),0))&gt;=100,100,(Backdoors!AI12+IF(P80&gt;=0.45,VLOOKUP(Calculator!E23,tbSkills!DH3:DI6,2,FALSE)+IF(AND(Calculator!B8=TRUE,Backdoors!BI5=TRUE),VLOOKUP(Calculator!E23,tbSkills!DH3:DJ6,3,FALSE),0),0)))/100)),1),1)</f>
        <v>0.6</v>
      </c>
      <c r="V80" s="87">
        <f t="shared" si="53"/>
        <v>4</v>
      </c>
      <c r="W80" s="86">
        <f>IFERROR(IF(VLOOKUP(A80,tbMoveset!A2:B112,2,FALSE)="Sever",Backdoors!AY6/100,IF(VLOOKUP(A80,tbMoveset!A2:B112,2,FALSE)="Blunt",Backdoors!AZ6/100,Backdoors!BA6/100)),"")</f>
        <v>0.45</v>
      </c>
      <c r="X80" s="49">
        <f>IFERROR(IF(VLOOKUP(tbMoveset!A80,tbMoveset!A2:H112,8,FALSE)="Other",IF(VLOOKUP(tbMoveset!A80,tbMoveset!A2:I112,9,FALSE)="Fire",Backdoors!BB6,IF(VLOOKUP(tbMoveset!A80,tbMoveset!A2:I112,9,FALSE)="Water",Backdoors!BC6,IF(VLOOKUP(tbMoveset!A80,tbMoveset!A2:I112,9,FALSE)="Thunder",Backdoors!BD6,IF(VLOOKUP(tbMoveset!A80,tbMoveset!A2:I112,9,FALSE)="Ice",Backdoors!BE6,IF(VLOOKUP(tbMoveset!A80,tbMoveset!A2:I112,9,FALSE)="Dragon",Backdoors!BF6,Backdoors!BG6)))))/100,Backdoors!BG6/100),"")</f>
        <v>0</v>
      </c>
      <c r="Y80" s="49">
        <f>IFERROR(IF(VLOOKUP(A80,tbMoveset!A2:J112,10,FALSE)=TRUE,IF((Backdoors!AI12+IF(W80&gt;=0.45,VLOOKUP(Calculator!E23,tbSkills!DH3:DI6,2,FALSE)+IF(AND(Calculator!B8=TRUE,Backdoors!BI6=TRUE),VLOOKUP(Calculator!E23,tbSkills!DH3:DJ6,3,FALSE),0),0))&gt;=0,1+(Backdoors!AL2*(IF((Backdoors!AI12+IF(W80&gt;=0.45,VLOOKUP(Calculator!E23,tbSkills!DH3:DI6,2,FALSE)+IF(AND(Calculator!B8=TRUE,Backdoors!BI6=TRUE),VLOOKUP(Calculator!E23,tbSkills!DH3:DJ6,3,FALSE),0),0))&gt;=100,100,(Backdoors!AI12+IF(W80&gt;=0.45,VLOOKUP(Calculator!E23,tbSkills!DH3:DI6,2,FALSE)+IF(AND(Calculator!B8=TRUE,Backdoors!BI6=TRUE),VLOOKUP(Calculator!E23,tbSkills!DH3:DJ6,3,FALSE),0),0)))/100)),(1-(0.25*((-Backdoors!AI12-IF(W80&gt;=0.45,VLOOKUP(Calculator!E23,tbSkills!DH3:DI6,2,FALSE)+IF(AND(Calculator!B8=TRUE,Backdoors!BI6=TRUE),VLOOKUP(Calculator!E23,tbSkills!DH3:DJ6,3,FALSE),0),0))/100)))),1),"")</f>
        <v>1</v>
      </c>
      <c r="Z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W80)*Y80)*(VLOOKUP(A80,tbMoveset!A2:C112,3,FALSE)/100)*IF(VLOOKUP(A80,tbMoveset!A2:B112,2,FALSE)="Projectile",Backdoors!N10,Backdoors!N9),0),"")</f>
        <v>4</v>
      </c>
      <c r="AA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W80&gt;=0.45,VLOOKUP(Calculator!E23,tbSkills!DH3:DI6,2,FALSE)+IF(AND(Calculator!B8=TRUE,Backdoors!BI6=TRUE),VLOOKUP(Calculator!E23,tbSkills!DH3:DJ6,3,FALSE),0),0))&gt;=100,100,(Backdoors!AI12+IF(W80&gt;=0.45,VLOOKUP(Calculator!E23,tbSkills!DH3:DI6,2,FALSE)+IF(AND(Calculator!B8=TRUE,Backdoors!BI6=TRUE),VLOOKUP(Calculator!E23,tbSkills!DH3:DJ6,3,FALSE),0),0)))/100)),1))*IF(VLOOKUP(A80,tbMoveset!A2:K112,11,FALSE)=TRUE,Backdoors!AC5,1))*X80,0),"")</f>
        <v>0</v>
      </c>
      <c r="AB80" s="49">
        <f>VLOOKUP(A80,tbMoveset!A2:G112,7,FALSE)*IFERROR(IF(Backdoors!AI12&gt;=0,1+(IF(Calculator!E40&gt;0,VLOOKUP(Calculator!E40,tbSkills!AI3:AJ5,2,FALSE),Backdoors!AL4)*(IF((Backdoors!AI12+IF(W80&gt;=0.45,VLOOKUP(Calculator!E23,tbSkills!DH3:DI6,2,FALSE)+IF(AND(Calculator!B8=TRUE,Backdoors!BI6=TRUE),VLOOKUP(Calculator!E23,tbSkills!DH3:DJ6,3,FALSE),0),0))&gt;=100,100,(Backdoors!AI12+IF(W80&gt;=0.45,VLOOKUP(Calculator!E23,tbSkills!DH3:DI6,2,FALSE)+IF(AND(Calculator!B8=TRUE,Backdoors!BI6=TRUE),VLOOKUP(Calculator!E23,tbSkills!DH3:DJ6,3,FALSE),0),0)))/100)),1),1)</f>
        <v>0.6</v>
      </c>
      <c r="AC80" s="87">
        <f t="shared" si="54"/>
        <v>4</v>
      </c>
      <c r="AD80" s="86">
        <f>IFERROR(IF(VLOOKUP(A80,tbMoveset!A2:B112,2,FALSE)="Sever",Backdoors!AY7/100,IF(VLOOKUP(A80,tbMoveset!A2:B112,2,FALSE)="Blunt",Backdoors!AZ7/100,Backdoors!BA7/100)),"")</f>
        <v>0.65</v>
      </c>
      <c r="AE80" s="49">
        <f>IFERROR(IF(VLOOKUP(tbMoveset!A80,tbMoveset!A2:H112,8,FALSE)="Other",IF(VLOOKUP(tbMoveset!A80,tbMoveset!A2:I112,9,FALSE)="Fire",Backdoors!BB7,IF(VLOOKUP(tbMoveset!A80,tbMoveset!A2:I112,9,FALSE)="Water",Backdoors!BC7,IF(VLOOKUP(tbMoveset!A80,tbMoveset!A2:I112,9,FALSE)="Thunder",Backdoors!BD7,IF(VLOOKUP(tbMoveset!A80,tbMoveset!A2:I112,9,FALSE)="Ice",Backdoors!BE7,IF(VLOOKUP(tbMoveset!A80,tbMoveset!A2:I112,9,FALSE)="Dragon",Backdoors!BF7,Backdoors!BG7)))))/100,Backdoors!BG7/100),"")</f>
        <v>0</v>
      </c>
      <c r="AF80" s="49">
        <f>IFERROR(IF(VLOOKUP(A80,tbMoveset!A2:J112,10,FALSE)=TRUE,IF((Backdoors!AI12+IF(AD80&gt;=0.45,VLOOKUP(Calculator!E23,tbSkills!DH3:DI6,2,FALSE)+IF(AND(Calculator!B8=TRUE,Backdoors!BI7=TRUE),VLOOKUP(Calculator!E23,tbSkills!DH3:DJ6,3,FALSE),0),0))&gt;=0,1+(Backdoors!AL2*(IF((Backdoors!AI12+IF(AD80&gt;=0.45,VLOOKUP(Calculator!E23,tbSkills!DH3:DI6,2,FALSE)+IF(AND(Calculator!B8=TRUE,Backdoors!BI7=TRUE),VLOOKUP(Calculator!E23,tbSkills!DH3:DJ6,3,FALSE),0),0))&gt;=100,100,(Backdoors!AI12+IF(AD80&gt;=0.45,VLOOKUP(Calculator!E23,tbSkills!DH3:DI6,2,FALSE)+IF(AND(Calculator!B8=TRUE,Backdoors!BI7=TRUE),VLOOKUP(Calculator!E23,tbSkills!DH3:DJ6,3,FALSE),0),0)))/100)),(1-(0.25*((-Backdoors!AI12-IF(AD80&gt;=0.45,VLOOKUP(Calculator!E23,tbSkills!DH3:DI6,2,FALSE)+IF(AND(Calculator!B8=TRUE,Backdoors!BI7=TRUE),VLOOKUP(Calculator!E23,tbSkills!DH3:DJ6,3,FALSE),0),0))/100)))),1),"")</f>
        <v>1</v>
      </c>
      <c r="AG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D80)*AF80)*(VLOOKUP(A80,tbMoveset!A2:C112,3,FALSE)/100)*IF(VLOOKUP(A80,tbMoveset!A2:B112,2,FALSE)="Projectile",Backdoors!N10,Backdoors!N9),0),"")</f>
        <v>5</v>
      </c>
      <c r="AH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D80&gt;=0.45,VLOOKUP(Calculator!E23,tbSkills!DH3:DI6,2,FALSE)+IF(AND(Calculator!B8=TRUE,Backdoors!BI7=TRUE),VLOOKUP(Calculator!E23,tbSkills!DH3:DJ6,3,FALSE),0),0))&gt;=100,100,(Backdoors!AI12+IF(AD80&gt;=0.45,VLOOKUP(Calculator!E23,tbSkills!DH3:DI6,2,FALSE)+IF(AND(Calculator!B8=TRUE,Backdoors!BI7=TRUE),VLOOKUP(Calculator!E23,tbSkills!DH3:DJ6,3,FALSE),0),0)))/100)),1))*IF(VLOOKUP(A80,tbMoveset!A2:K112,11,FALSE)=TRUE,Backdoors!AC5,1))*AE80,0),"")</f>
        <v>0</v>
      </c>
      <c r="AI80" s="49">
        <f>VLOOKUP(A80,tbMoveset!A2:G112,7,FALSE)*IFERROR(IF(Backdoors!AI12&gt;=0,1+(IF(Calculator!E40&gt;0,VLOOKUP(Calculator!E40,tbSkills!AI3:AJ5,2,FALSE),Backdoors!AL4)*(IF((Backdoors!AI12+IF(AD80&gt;=0.45,VLOOKUP(Calculator!E23,tbSkills!DH3:DI6,2,FALSE)+IF(AND(Calculator!B8=TRUE,Backdoors!BI7=TRUE),VLOOKUP(Calculator!E23,tbSkills!DH3:DJ6,3,FALSE),0),0))&gt;=100,100,(Backdoors!AI12+IF(AD80&gt;=0.45,VLOOKUP(Calculator!E23,tbSkills!DH3:DI6,2,FALSE)+IF(AND(Calculator!B8=TRUE,Backdoors!BI7=TRUE),VLOOKUP(Calculator!E23,tbSkills!DH3:DJ6,3,FALSE),0),0)))/100)),1),1)</f>
        <v>0.6</v>
      </c>
      <c r="AJ80" s="87">
        <f t="shared" si="55"/>
        <v>5</v>
      </c>
      <c r="AK80" s="91">
        <f>IFERROR(IF(VLOOKUP(A80,tbMoveset!A2:B112,2,FALSE)="Sever",Backdoors!AY8/100,IF(VLOOKUP(A80,tbMoveset!A2:B112,2,FALSE)="Blunt",Backdoors!AZ8/100,Backdoors!BA8/100)),"")</f>
        <v>0.45</v>
      </c>
      <c r="AL80" s="49">
        <f>IFERROR(IF(VLOOKUP(tbMoveset!A80,tbMoveset!A2:H112,8,FALSE)="Other",IF(VLOOKUP(tbMoveset!A80,tbMoveset!A2:I112,9,FALSE)="Fire",Backdoors!BB8,IF(VLOOKUP(tbMoveset!A80,tbMoveset!A2:I112,9,FALSE)="Water",Backdoors!BC8,IF(VLOOKUP(tbMoveset!A80,tbMoveset!A2:I112,9,FALSE)="Thunder",Backdoors!BD8,IF(VLOOKUP(tbMoveset!A80,tbMoveset!A2:I112,9,FALSE)="Ice",Backdoors!BE8,IF(VLOOKUP(tbMoveset!A80,tbMoveset!A2:I112,9,FALSE)="Dragon",Backdoors!BF8,Backdoors!BG8)))))/100,Backdoors!BG8/100),"")</f>
        <v>0</v>
      </c>
      <c r="AM80" s="49">
        <f>IFERROR(IF(VLOOKUP(A80,tbMoveset!A2:J112,10,FALSE)=TRUE,IF((Backdoors!AI12+IF(AK80&gt;=0.45,VLOOKUP(Calculator!E23,tbSkills!DH3:DI6,2,FALSE)+IF(AND(Calculator!B8=TRUE,Backdoors!BI8=TRUE),VLOOKUP(Calculator!E23,tbSkills!DH3:DJ6,3,FALSE),0),0))&gt;=0,1+(Backdoors!AL2*(IF((Backdoors!AI12+IF(AK80&gt;=0.45,VLOOKUP(Calculator!E23,tbSkills!DH3:DI6,2,FALSE)+IF(AND(Calculator!B8=TRUE,Backdoors!BI8=TRUE),VLOOKUP(Calculator!E23,tbSkills!DH3:DJ6,3,FALSE),0),0))&gt;=100,100,(Backdoors!AI12+IF(AK80&gt;=0.45,VLOOKUP(Calculator!E23,tbSkills!DH3:DI6,2,FALSE)+IF(AND(Calculator!B8=TRUE,Backdoors!BI8=TRUE),VLOOKUP(Calculator!E23,tbSkills!DH3:DJ6,3,FALSE),0),0)))/100)),(1-(0.25*((-Backdoors!AI12-IF(AK80&gt;=0.45,VLOOKUP(Calculator!E23,tbSkills!DH3:DI6,2,FALSE)+IF(AND(Calculator!B8=TRUE,Backdoors!BI8=TRUE),VLOOKUP(Calculator!E23,tbSkills!DH3:DJ6,3,FALSE),0),0))/100)))),1),"")</f>
        <v>1</v>
      </c>
      <c r="AN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K80)*AM80)*(VLOOKUP(A80,tbMoveset!A2:C112,3,FALSE)/100)*IF(VLOOKUP(A80,tbMoveset!A2:B112,2,FALSE)="Projectile",Backdoors!N10,Backdoors!N9),0),"")</f>
        <v>4</v>
      </c>
      <c r="AO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K80&gt;=0.45,VLOOKUP(Calculator!E23,tbSkills!DH3:DI6,2,FALSE)+IF(AND(Calculator!B8=TRUE,Backdoors!BI8=TRUE),VLOOKUP(Calculator!E23,tbSkills!DH3:DJ6,3,FALSE),0),0))&gt;=100,100,(Backdoors!AI12+IF(AK80&gt;=0.45,VLOOKUP(Calculator!E23,tbSkills!DH3:DI6,2,FALSE)+IF(AND(Calculator!B8=TRUE,Backdoors!BI8=TRUE),VLOOKUP(Calculator!E23,tbSkills!DH3:DJ6,3,FALSE),0),0)))/100)),1))*IF(VLOOKUP(A80,tbMoveset!A2:K112,11,FALSE)=TRUE,Backdoors!AC5,1))*AL80,0),"")</f>
        <v>0</v>
      </c>
      <c r="AP80" s="49">
        <f>VLOOKUP(A80,tbMoveset!A2:G112,7,FALSE)*IFERROR(IF(Backdoors!AI12&gt;=0,1+(IF(Calculator!E40&gt;0,VLOOKUP(Calculator!E40,tbSkills!AI3:AJ5,2,FALSE),Backdoors!AL4)*(IF((Backdoors!AI12+IF(AK80&gt;=0.45,VLOOKUP(Calculator!E23,tbSkills!DH3:DI6,2,FALSE)+IF(AND(Calculator!B8=TRUE,Backdoors!BI8=TRUE),VLOOKUP(Calculator!E23,tbSkills!DH3:DJ6,3,FALSE),0),0))&gt;=100,100,(Backdoors!AI12+IF(AK80&gt;=0.45,VLOOKUP(Calculator!E23,tbSkills!DH3:DI6,2,FALSE)+IF(AND(Calculator!B8=TRUE,Backdoors!BI8=TRUE),VLOOKUP(Calculator!E23,tbSkills!DH3:DJ6,3,FALSE),0),0)))/100)),1),1)</f>
        <v>0.6</v>
      </c>
      <c r="AQ80" s="87">
        <f t="shared" si="56"/>
        <v>4</v>
      </c>
      <c r="AR80" s="86">
        <f>IFERROR(IF(VLOOKUP(A80,tbMoveset!A2:B112,2,FALSE)="Sever",Backdoors!AY9/100,IF(VLOOKUP(A80,tbMoveset!A2:B112,2,FALSE)="Blunt",Backdoors!AZ9/100,Backdoors!BA9/100)),"")</f>
        <v>0.45</v>
      </c>
      <c r="AS80" s="49">
        <f>IFERROR(IF(VLOOKUP(tbMoveset!A80,tbMoveset!A2:H112,8,FALSE)="Other",IF(VLOOKUP(tbMoveset!A80,tbMoveset!A2:I112,9,FALSE)="Fire",Backdoors!BB9,IF(VLOOKUP(tbMoveset!A80,tbMoveset!A2:I112,9,FALSE)="Water",Backdoors!BC9,IF(VLOOKUP(tbMoveset!A80,tbMoveset!A2:I112,9,FALSE)="Thunder",Backdoors!BD9,IF(VLOOKUP(tbMoveset!A80,tbMoveset!A2:I112,9,FALSE)="Ice",Backdoors!BE9,IF(VLOOKUP(tbMoveset!A80,tbMoveset!A2:I112,9,FALSE)="Dragon",Backdoors!BF9,Backdoors!BG9)))))/100,Backdoors!BG9/100),"")</f>
        <v>0</v>
      </c>
      <c r="AT80" s="49">
        <f>IFERROR(IF(VLOOKUP(A80,tbMoveset!A2:J112,10,FALSE)=TRUE,IF((Backdoors!AI12+IF(AR80&gt;=0.45,VLOOKUP(Calculator!E23,tbSkills!DH3:DI6,2,FALSE)+IF(AND(Calculator!B8=TRUE,Backdoors!BI9=TRUE),VLOOKUP(Calculator!E23,tbSkills!DH3:DJ6,3,FALSE),0),0))&gt;=0,1+(Backdoors!AL2*(IF((Backdoors!AI12+IF(AR80&gt;=0.45,VLOOKUP(Calculator!E23,tbSkills!DH3:DI6,2,FALSE)+IF(AND(Calculator!B8=TRUE,Backdoors!BI9=TRUE),VLOOKUP(Calculator!E23,tbSkills!DH3:DJ6,3,FALSE),0),0))&gt;=100,100,(Backdoors!AI12+IF(AR80&gt;=0.45,VLOOKUP(Calculator!E23,tbSkills!DH3:DI6,2,FALSE)+IF(AND(Calculator!B8=TRUE,Backdoors!BI9=TRUE),VLOOKUP(Calculator!E23,tbSkills!DH3:DJ6,3,FALSE),0),0)))/100)),(1-(0.25*((-Backdoors!AI12-IF(AR80&gt;=0.45,VLOOKUP(Calculator!E23,tbSkills!DH3:DI6,2,FALSE)+IF(AND(Calculator!B8=TRUE,Backdoors!BI9=TRUE),VLOOKUP(Calculator!E23,tbSkills!DH3:DJ6,3,FALSE),0),0))/100)))),1),"")</f>
        <v>1</v>
      </c>
      <c r="AU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R80)*AT80)*(VLOOKUP(A80,tbMoveset!A2:C112,3,FALSE)/100)*IF(VLOOKUP(A80,tbMoveset!A2:B112,2,FALSE)="Projectile",Backdoors!N10,Backdoors!N9),0),"")</f>
        <v>4</v>
      </c>
      <c r="AV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R80&gt;=0.45,VLOOKUP(Calculator!E23,tbSkills!DH3:DI6,2,FALSE)+IF(AND(Calculator!B8=TRUE,Backdoors!BI9=TRUE),VLOOKUP(Calculator!E23,tbSkills!DH3:DJ6,3,FALSE),0),0))&gt;=100,100,(Backdoors!AI12+IF(AR80&gt;=0.45,VLOOKUP(Calculator!E23,tbSkills!DH3:DI6,2,FALSE)+IF(AND(Calculator!B8=TRUE,Backdoors!BI9=TRUE),VLOOKUP(Calculator!E23,tbSkills!DH3:DJ6,3,FALSE),0),0)))/100)),1))*IF(VLOOKUP(A80,tbMoveset!A2:K112,11,FALSE)=TRUE,Backdoors!AC5,1))*AS80,0),"")</f>
        <v>0</v>
      </c>
      <c r="AW80" s="49">
        <f>VLOOKUP(A80,tbMoveset!A2:G112,7,FALSE)*IFERROR(IF(Backdoors!AI12&gt;=0,1+(IF(Calculator!E40&gt;0,VLOOKUP(Calculator!E40,tbSkills!AI3:AJ5,2,FALSE),Backdoors!AL4)*(IF((Backdoors!AI12+IF(AR80&gt;=0.45,VLOOKUP(Calculator!E23,tbSkills!DH3:DI6,2,FALSE)+IF(AND(Calculator!B8=TRUE,Backdoors!BI9=TRUE),VLOOKUP(Calculator!E23,tbSkills!DH3:DJ6,3,FALSE),0),0))&gt;=100,100,(Backdoors!AI12+IF(AR80&gt;=0.45,VLOOKUP(Calculator!E23,tbSkills!DH3:DI6,2,FALSE)+IF(AND(Calculator!B8=TRUE,Backdoors!BI9=TRUE),VLOOKUP(Calculator!E23,tbSkills!DH3:DJ6,3,FALSE),0),0)))/100)),1),1)</f>
        <v>0.6</v>
      </c>
      <c r="AX80" s="87">
        <f t="shared" si="57"/>
        <v>4</v>
      </c>
      <c r="AY80" s="86">
        <f>IFERROR(IF(VLOOKUP(A80,tbMoveset!A2:B112,2,FALSE)="Sever",Backdoors!AY10/100,IF(VLOOKUP(A80,tbMoveset!A2:B112,2,FALSE)="Blunt",Backdoors!AZ10/100,Backdoors!BA10/100)),"")</f>
        <v>0.9</v>
      </c>
      <c r="AZ80" s="49">
        <f>IFERROR(IF(VLOOKUP(tbMoveset!A80,tbMoveset!A2:H112,8,FALSE)="Other",IF(VLOOKUP(tbMoveset!A80,tbMoveset!A2:I112,9,FALSE)="Fire",Backdoors!BB10,IF(VLOOKUP(tbMoveset!A80,tbMoveset!A2:I112,9,FALSE)="Water",Backdoors!BC10,IF(VLOOKUP(tbMoveset!A80,tbMoveset!A2:I112,9,FALSE)="Thunder",Backdoors!BD10,IF(VLOOKUP(tbMoveset!A80,tbMoveset!A2:I112,9,FALSE)="Ice",Backdoors!BE10,IF(VLOOKUP(tbMoveset!A80,tbMoveset!A2:I112,9,FALSE)="Dragon",Backdoors!BF10,Backdoors!BG10)))))/100,Backdoors!BG10/100),"")</f>
        <v>0</v>
      </c>
      <c r="BA80" s="49">
        <f>IFERROR(IF(VLOOKUP(A80,tbMoveset!A2:J112,10,FALSE)=TRUE,IF((Backdoors!AI12+IF(AY80&gt;=0.45,VLOOKUP(Calculator!E23,tbSkills!DH3:DI6,2,FALSE)+IF(AND(Calculator!B8=TRUE,Backdoors!BI10=TRUE),VLOOKUP(Calculator!E23,tbSkills!DH3:DJ6,3,FALSE),0),0))&gt;=0,1+(Backdoors!AL2*(IF((Backdoors!AI12+IF(AY80&gt;=0.45,VLOOKUP(Calculator!E23,tbSkills!DH3:DI6,2,FALSE)+IF(AND(Calculator!B8=TRUE,Backdoors!BI10=TRUE),VLOOKUP(Calculator!E23,tbSkills!DH3:DJ6,3,FALSE),0),0))&gt;=100,100,(Backdoors!AI12+IF(AY80&gt;=0.45,VLOOKUP(Calculator!E23,tbSkills!DH3:DI6,2,FALSE)+IF(AND(Calculator!B8=TRUE,Backdoors!BI10=TRUE),VLOOKUP(Calculator!E23,tbSkills!DH3:DJ6,3,FALSE),0),0)))/100)),(1-(0.25*((-Backdoors!AI12-IF(AY80&gt;=0.45,VLOOKUP(Calculator!E23,tbSkills!DH3:DI6,2,FALSE)+IF(AND(Calculator!B8=TRUE,Backdoors!BI10=TRUE),VLOOKUP(Calculator!E23,tbSkills!DH3:DJ6,3,FALSE),0),0))/100)))),1),"")</f>
        <v>1</v>
      </c>
      <c r="BB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Y80)*BA80)*(VLOOKUP(A80,tbMoveset!A2:C112,3,FALSE)/100)*IF(VLOOKUP(A80,tbMoveset!A2:B112,2,FALSE)="Projectile",Backdoors!N10,Backdoors!N9),0),"")</f>
        <v>8</v>
      </c>
      <c r="BC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Y80&gt;=0.45,VLOOKUP(Calculator!E23,tbSkills!DH3:DI6,2,FALSE)+IF(AND(Calculator!B8=TRUE,Backdoors!BI10=TRUE),VLOOKUP(Calculator!E23,tbSkills!DH3:DJ6,3,FALSE),0),0))&gt;=100,100,(Backdoors!AI12+IF(AY80&gt;=0.45,VLOOKUP(Calculator!E23,tbSkills!DH3:DI6,2,FALSE)+IF(AND(Calculator!B8=TRUE,Backdoors!BI10=TRUE),VLOOKUP(Calculator!E23,tbSkills!DH3:DJ6,3,FALSE),0),0)))/100)),1))*IF(VLOOKUP(A80,tbMoveset!A2:K112,11,FALSE)=TRUE,Backdoors!AC5,1))*AZ80,0),"")</f>
        <v>0</v>
      </c>
      <c r="BD80" s="49">
        <f>VLOOKUP(A80,tbMoveset!A2:G112,7,FALSE)*IFERROR(IF(Backdoors!AI12&gt;=0,1+(IF(Calculator!E40&gt;0,VLOOKUP(Calculator!E40,tbSkills!AI3:AJ5,2,FALSE),Backdoors!AL4)*(IF((Backdoors!AI12+IF(AY80&gt;=0.45,VLOOKUP(Calculator!E23,tbSkills!DH3:DI6,2,FALSE)+IF(AND(Calculator!B8=TRUE,Backdoors!BI10=TRUE),VLOOKUP(Calculator!E23,tbSkills!DH3:DJ6,3,FALSE),0),0))&gt;=100,100,(Backdoors!AI12+IF(AY80&gt;=0.45,VLOOKUP(Calculator!E23,tbSkills!DH3:DI6,2,FALSE)+IF(AND(Calculator!B8=TRUE,Backdoors!BI10=TRUE),VLOOKUP(Calculator!E23,tbSkills!DH3:DJ6,3,FALSE),0),0)))/100)),1),1)</f>
        <v>0.6</v>
      </c>
      <c r="BE80" s="87">
        <f t="shared" si="58"/>
        <v>8</v>
      </c>
      <c r="BF80" s="86" t="str">
        <f>IFERROR(IF(VLOOKUP(A80,tbMoveset!A2:B112,2,FALSE)="Sever",Backdoors!AY11/100,IF(VLOOKUP(A80,tbMoveset!A2:B112,2,FALSE)="Blunt",Backdoors!AZ11/100,Backdoors!BA11/100)),"")</f>
        <v/>
      </c>
      <c r="BG80" s="49">
        <f>IFERROR(IF(VLOOKUP(tbMoveset!A80,tbMoveset!A2:H112,8,FALSE)="Other",IF(VLOOKUP(tbMoveset!A80,tbMoveset!A2:I112,9,FALSE)="Fire",Backdoors!BB11,IF(VLOOKUP(tbMoveset!A80,tbMoveset!A2:I112,9,FALSE)="Water",Backdoors!BC11,IF(VLOOKUP(tbMoveset!A80,tbMoveset!A2:I112,9,FALSE)="Thunder",Backdoors!BD11,IF(VLOOKUP(tbMoveset!A80,tbMoveset!A2:I112,9,FALSE)="Ice",Backdoors!BE11,IF(VLOOKUP(tbMoveset!A80,tbMoveset!A2:I112,9,FALSE)="Dragon",Backdoors!BF11,Backdoors!BG11)))))/100,Backdoors!BG11/100),"")</f>
        <v>0</v>
      </c>
      <c r="BH80" s="49">
        <f>IFERROR(IF(VLOOKUP(A80,tbMoveset!A2:J112,10,FALSE)=TRUE,IF((Backdoors!AI12+IF(BF80&gt;=0.45,VLOOKUP(Calculator!E23,tbSkills!DH3:DI6,2,FALSE)+IF(AND(Calculator!B8=TRUE,Backdoors!BI11=TRUE),VLOOKUP(Calculator!E23,tbSkills!DH3:DJ6,3,FALSE),0),0))&gt;=0,1+(Backdoors!AL2*(IF((Backdoors!AI12+IF(BF80&gt;=0.45,VLOOKUP(Calculator!E23,tbSkills!DH3:DI6,2,FALSE)+IF(AND(Calculator!B8=TRUE,Backdoors!BI11=TRUE),VLOOKUP(Calculator!E23,tbSkills!DH3:DJ6,3,FALSE),0),0))&gt;=100,100,(Backdoors!AI12+IF(BF80&gt;=0.45,VLOOKUP(Calculator!E23,tbSkills!DH3:DI6,2,FALSE)+IF(AND(Calculator!B8=TRUE,Backdoors!BI11=TRUE),VLOOKUP(Calculator!E23,tbSkills!DH3:DJ6,3,FALSE),0),0)))/100)),(1-(0.25*((-Backdoors!AI12-IF(BF80&gt;=0.45,VLOOKUP(Calculator!E23,tbSkills!DH3:DI6,2,FALSE)+IF(AND(Calculator!B8=TRUE,Backdoors!BI11=TRUE),VLOOKUP(Calculator!E23,tbSkills!DH3:DJ6,3,FALSE),0),0))/100)))),1),"")</f>
        <v>1</v>
      </c>
      <c r="BI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F80)*BH80)*(VLOOKUP(A80,tbMoveset!A2:C112,3,FALSE)/100)*IF(VLOOKUP(A80,tbMoveset!A2:B112,2,FALSE)="Projectile",Backdoors!N10,Backdoors!N9),0),"")</f>
        <v/>
      </c>
      <c r="BJ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F80&gt;=0.45,VLOOKUP(Calculator!E23,tbSkills!DH3:DI6,2,FALSE)+IF(AND(Calculator!B8=TRUE,Backdoors!BI11=TRUE),VLOOKUP(Calculator!E23,tbSkills!DH3:DJ6,3,FALSE),0),0))&gt;=100,100,(Backdoors!AI12+IF(BF80&gt;=0.45,VLOOKUP(Calculator!E23,tbSkills!DH3:DI6,2,FALSE)+IF(AND(Calculator!B8=TRUE,Backdoors!BI11=TRUE),VLOOKUP(Calculator!E23,tbSkills!DH3:DJ6,3,FALSE),0),0)))/100)),1))*IF(VLOOKUP(A80,tbMoveset!A2:K112,11,FALSE)=TRUE,Backdoors!AC5,1))*BG80,0),"")</f>
        <v>0</v>
      </c>
      <c r="BK80" s="49">
        <f>VLOOKUP(A80,tbMoveset!A2:G112,7,FALSE)*IFERROR(IF(Backdoors!AI12&gt;=0,1+(IF(Calculator!E40&gt;0,VLOOKUP(Calculator!E40,tbSkills!AI3:AJ5,2,FALSE),Backdoors!AL4)*(IF((Backdoors!AI12+IF(BF80&gt;=0.45,VLOOKUP(Calculator!E23,tbSkills!DH3:DI6,2,FALSE)+IF(AND(Calculator!B8=TRUE,Backdoors!BI11=TRUE),VLOOKUP(Calculator!E23,tbSkills!DH3:DJ6,3,FALSE),0),0))&gt;=100,100,(Backdoors!AI12+IF(BF80&gt;=0.45,VLOOKUP(Calculator!E23,tbSkills!DH3:DI6,2,FALSE)+IF(AND(Calculator!B8=TRUE,Backdoors!BI11=TRUE),VLOOKUP(Calculator!E23,tbSkills!DH3:DJ6,3,FALSE),0),0)))/100)),1),1)</f>
        <v>0.6</v>
      </c>
      <c r="BL80" s="87">
        <f t="shared" si="59"/>
        <v>0</v>
      </c>
      <c r="BM80" s="86" t="str">
        <f>IFERROR(IF(VLOOKUP(A80,tbMoveset!A2:B112,2,FALSE)="Sever",Backdoors!AY12/100,IF(VLOOKUP(A80,tbMoveset!A2:B112,2,FALSE)="Blunt",Backdoors!AZ12/100,Backdoors!BA12/100)),"")</f>
        <v/>
      </c>
      <c r="BN80" s="49">
        <f>IFERROR(IF(VLOOKUP(tbMoveset!A80,tbMoveset!A2:H112,8,FALSE)="Other",IF(VLOOKUP(tbMoveset!A80,tbMoveset!A2:I112,9,FALSE)="Fire",Backdoors!BB12,IF(VLOOKUP(tbMoveset!A80,tbMoveset!A2:I112,9,FALSE)="Water",Backdoors!BC12,IF(VLOOKUP(tbMoveset!A80,tbMoveset!A2:I112,9,FALSE)="Thunder",Backdoors!BD12,IF(VLOOKUP(tbMoveset!A80,tbMoveset!A2:I112,9,FALSE)="Ice",Backdoors!BE12,IF(VLOOKUP(tbMoveset!A80,tbMoveset!A2:I112,9,FALSE)="Dragon",Backdoors!BF12,Backdoors!BG12)))))/100,Backdoors!BG12/100),"")</f>
        <v>0</v>
      </c>
      <c r="BO80" s="49">
        <f>IFERROR(IF(VLOOKUP(A80,tbMoveset!A2:J112,10,FALSE)=TRUE,IF((Backdoors!AI12+IF(BM80&gt;=0.45,VLOOKUP(Calculator!E23,tbSkills!DH3:DI6,2,FALSE)+IF(AND(Calculator!B8=TRUE,Backdoors!BI12=TRUE),VLOOKUP(Calculator!E23,tbSkills!DH3:DJ6,3,FALSE),0),0))&gt;=0,1+(Backdoors!AL2*(IF((Backdoors!AI12+IF(BM80&gt;=0.45,VLOOKUP(Calculator!E23,tbSkills!DH3:DI6,2,FALSE)+IF(AND(Calculator!B8=TRUE,Backdoors!BI12=TRUE),VLOOKUP(Calculator!E23,tbSkills!DH3:DJ6,3,FALSE),0),0))&gt;=100,100,(Backdoors!AI12+IF(BM80&gt;=0.45,VLOOKUP(Calculator!E23,tbSkills!DH3:DI6,2,FALSE)+IF(AND(Calculator!B8=TRUE,Backdoors!BI12=TRUE),VLOOKUP(Calculator!E23,tbSkills!DH3:DJ6,3,FALSE),0),0)))/100)),(1-(0.25*((-Backdoors!AI12-IF(BM80&gt;=0.45,VLOOKUP(Calculator!E23,tbSkills!DH3:DI6,2,FALSE)+IF(AND(Calculator!B8=TRUE,Backdoors!BI12=TRUE),VLOOKUP(Calculator!E23,tbSkills!DH3:DJ6,3,FALSE),0),0))/100)))),1),"")</f>
        <v>1</v>
      </c>
      <c r="BP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M80)*BO80)*(VLOOKUP(A80,tbMoveset!A2:C112,3,FALSE)/100)*IF(VLOOKUP(A80,tbMoveset!A2:B112,2,FALSE)="Projectile",Backdoors!N10,Backdoors!N9),0),"")</f>
        <v/>
      </c>
      <c r="BQ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M80&gt;=0.45,VLOOKUP(Calculator!E23,tbSkills!DH3:DI6,2,FALSE)+IF(AND(Calculator!B8=TRUE,Backdoors!BI12=TRUE),VLOOKUP(Calculator!E23,tbSkills!DH3:DJ6,3,FALSE),0),0))&gt;=100,100,(Backdoors!AI12+IF(BM80&gt;=0.45,VLOOKUP(Calculator!E23,tbSkills!DH3:DI6,2,FALSE)+IF(AND(Calculator!B8=TRUE,Backdoors!BI12=TRUE),VLOOKUP(Calculator!E23,tbSkills!DH3:DJ6,3,FALSE),0),0)))/100)),1))*IF(VLOOKUP(A80,tbMoveset!A2:K112,11,FALSE)=TRUE,Backdoors!AC5,1))*BN80,0),"")</f>
        <v>0</v>
      </c>
      <c r="BR80" s="49">
        <f>VLOOKUP(A80,tbMoveset!A2:G112,7,FALSE)*IFERROR(IF(Backdoors!AI12&gt;=0,1+(IF(Calculator!E40&gt;0,VLOOKUP(Calculator!E40,tbSkills!AI3:AJ5,2,FALSE),Backdoors!AL4)*(IF((Backdoors!AI12+IF(BM80&gt;=0.45,VLOOKUP(Calculator!E23,tbSkills!DH3:DI6,2,FALSE)+IF(AND(Calculator!B8=TRUE,Backdoors!BI12=TRUE),VLOOKUP(Calculator!E23,tbSkills!DH3:DJ6,3,FALSE),0),0))&gt;=100,100,(Backdoors!AI12+IF(BM80&gt;=0.45,VLOOKUP(Calculator!E23,tbSkills!DH3:DI6,2,FALSE)+IF(AND(Calculator!B8=TRUE,Backdoors!BI12=TRUE),VLOOKUP(Calculator!E23,tbSkills!DH3:DJ6,3,FALSE),0),0)))/100)),1),1)</f>
        <v>0.6</v>
      </c>
      <c r="BS80" s="87">
        <f t="shared" si="60"/>
        <v>0</v>
      </c>
      <c r="BT80" s="86" t="str">
        <f>IFERROR(IF(VLOOKUP(A80,tbMoveset!A2:B112,2,FALSE)="Sever",Backdoors!AY13/100,IF(VLOOKUP(A80,tbMoveset!A2:B112,2,FALSE)="Blunt",Backdoors!AZ13/100,Backdoors!BA13/100)),"")</f>
        <v/>
      </c>
      <c r="BU80" s="49">
        <f>IFERROR(IF(VLOOKUP(tbMoveset!A80,tbMoveset!A2:H112,8,FALSE)="Other",IF(VLOOKUP(tbMoveset!A80,tbMoveset!A2:I112,9,FALSE)="Fire",Backdoors!BB13,IF(VLOOKUP(tbMoveset!A80,tbMoveset!A2:I112,9,FALSE)="Water",Backdoors!BC13,IF(VLOOKUP(tbMoveset!A80,tbMoveset!A2:I112,9,FALSE)="Thunder",Backdoors!BD13,IF(VLOOKUP(tbMoveset!A80,tbMoveset!A2:I112,9,FALSE)="Ice",Backdoors!BE13,IF(VLOOKUP(tbMoveset!A80,tbMoveset!A2:I112,9,FALSE)="Dragon",Backdoors!BF13,Backdoors!BG13)))))/100,Backdoors!BG13/100),"")</f>
        <v>0</v>
      </c>
      <c r="BV80" s="49">
        <f>IFERROR(IF(VLOOKUP(A80,tbMoveset!A2:J112,10,FALSE)=TRUE,IF((Backdoors!AI12+IF(BT80&gt;=0.45,VLOOKUP(Calculator!E23,tbSkills!DH3:DI6,2,FALSE)+IF(AND(Calculator!B8=TRUE,Backdoors!BI13=TRUE),VLOOKUP(Calculator!E23,tbSkills!DH3:DJ6,3,FALSE),0),0))&gt;=0,1+(Backdoors!AL2*(IF((Backdoors!AI12+IF(BT80&gt;=0.45,VLOOKUP(Calculator!E23,tbSkills!DH3:DI6,2,FALSE)+IF(AND(Calculator!B8=TRUE,Backdoors!BI13=TRUE),VLOOKUP(Calculator!E23,tbSkills!DH3:DJ6,3,FALSE),0),0))&gt;=100,100,(Backdoors!AI12+IF(BT80&gt;=0.45,VLOOKUP(Calculator!E23,tbSkills!DH3:DI6,2,FALSE)+IF(AND(Calculator!B8=TRUE,Backdoors!BI13=TRUE),VLOOKUP(Calculator!E23,tbSkills!DH3:DJ6,3,FALSE),0),0)))/100)),(1-(0.25*((-Backdoors!AI12-IF(BT80&gt;=0.45,VLOOKUP(Calculator!E23,tbSkills!DH3:DI6,2,FALSE)+IF(AND(Calculator!B8=TRUE,Backdoors!BI13=TRUE),VLOOKUP(Calculator!E23,tbSkills!DH3:DJ6,3,FALSE),0),0))/100)))),1),"")</f>
        <v>1</v>
      </c>
      <c r="BW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T80)*BV80)*(VLOOKUP(A80,tbMoveset!A2:C112,3,FALSE)/100)*IF(VLOOKUP(A80,tbMoveset!A2:B112,2,FALSE)="Projectile",Backdoors!N10,Backdoors!N9),0),"")</f>
        <v/>
      </c>
      <c r="BX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T80&gt;=0.45,VLOOKUP(Calculator!E23,tbSkills!DH3:DI6,2,FALSE)+IF(AND(Calculator!B8=TRUE,Backdoors!BI13=TRUE),VLOOKUP(Calculator!E23,tbSkills!DH3:DJ6,3,FALSE),0),0))&gt;=100,100,(Backdoors!AI12+IF(BT80&gt;=0.45,VLOOKUP(Calculator!E23,tbSkills!DH3:DI6,2,FALSE)+IF(AND(Calculator!B8=TRUE,Backdoors!BI13=TRUE),VLOOKUP(Calculator!E23,tbSkills!DH3:DJ6,3,FALSE),0),0)))/100)),1))*IF(VLOOKUP(A80,tbMoveset!A2:K112,11,FALSE)=TRUE,Backdoors!AC5,1))*BU80,0),"")</f>
        <v>0</v>
      </c>
      <c r="BY80" s="49">
        <f>VLOOKUP(A80,tbMoveset!A2:G112,7,FALSE)*IFERROR(IF(Backdoors!AI12&gt;=0,1+(IF(Calculator!E40&gt;0,VLOOKUP(Calculator!E40,tbSkills!AI3:AJ5,2,FALSE),Backdoors!AL4)*(IF((Backdoors!AI12+IF(BT80&gt;=0.45,VLOOKUP(Calculator!E23,tbSkills!DH3:DI6,2,FALSE)+IF(AND(Calculator!B8=TRUE,Backdoors!BI13=TRUE),VLOOKUP(Calculator!E23,tbSkills!DH3:DJ6,3,FALSE),0),0))&gt;=100,100,(Backdoors!AI12+IF(BT80&gt;=0.45,VLOOKUP(Calculator!E23,tbSkills!DH3:DI6,2,FALSE)+IF(AND(Calculator!B8=TRUE,Backdoors!BI13=TRUE),VLOOKUP(Calculator!E23,tbSkills!DH3:DJ6,3,FALSE),0),0)))/100)),1),1)</f>
        <v>0.6</v>
      </c>
      <c r="BZ80" s="87">
        <f t="shared" si="61"/>
        <v>0</v>
      </c>
      <c r="CA80" s="86" t="str">
        <f>IFERROR(IF(VLOOKUP(A80,tbMoveset!A2:B112,2,FALSE)="Sever",Backdoors!AY14/100,IF(VLOOKUP(A80,tbMoveset!A2:B112,2,FALSE)="Blunt",Backdoors!AZ14/100,Backdoors!BA14/100)),"")</f>
        <v/>
      </c>
      <c r="CB80" s="49">
        <f>IFERROR(IF(VLOOKUP(tbMoveset!A80,tbMoveset!A2:H112,8,FALSE)="Other",IF(VLOOKUP(tbMoveset!A80,tbMoveset!A2:I112,9,FALSE)="Fire",Backdoors!BB14,IF(VLOOKUP(tbMoveset!A80,tbMoveset!A2:I112,9,FALSE)="Water",Backdoors!BC14,IF(VLOOKUP(tbMoveset!A80,tbMoveset!A2:I112,9,FALSE)="Thunder",Backdoors!BD14,IF(VLOOKUP(tbMoveset!A80,tbMoveset!A2:I112,9,FALSE)="Ice",Backdoors!BE14,IF(VLOOKUP(tbMoveset!A80,tbMoveset!A2:I112,9,FALSE)="Dragon",Backdoors!BF14,Backdoors!BG14)))))/100,Backdoors!BG14/100),"")</f>
        <v>0</v>
      </c>
      <c r="CC80" s="49">
        <f>IFERROR(IF(VLOOKUP(A80,tbMoveset!A2:J112,10,FALSE)=TRUE,IF((Backdoors!AI12+IF(CA80&gt;=0.45,VLOOKUP(Calculator!E23,tbSkills!DH3:DI6,2,FALSE)+IF(AND(Calculator!B8=TRUE,Backdoors!BI14=TRUE),VLOOKUP(Calculator!E23,tbSkills!DH3:DJ6,3,FALSE),0),0))&gt;=0,1+(Backdoors!AL2*(IF((Backdoors!AI12+IF(CA80&gt;=0.45,VLOOKUP(Calculator!E23,tbSkills!DH3:DI6,2,FALSE)+IF(AND(Calculator!B8=TRUE,Backdoors!BI14=TRUE),VLOOKUP(Calculator!E23,tbSkills!DH3:DJ6,3,FALSE),0),0))&gt;=100,100,(Backdoors!AI12+IF(CA80&gt;=0.45,VLOOKUP(Calculator!E23,tbSkills!DH3:DI6,2,FALSE)+IF(AND(Calculator!B8=TRUE,Backdoors!BI14=TRUE),VLOOKUP(Calculator!E23,tbSkills!DH3:DJ6,3,FALSE),0),0)))/100)),(1-(0.25*((-Backdoors!AI12-IF(CA80&gt;=0.45,VLOOKUP(Calculator!E23,tbSkills!DH3:DI6,2,FALSE)+IF(AND(Calculator!B8=TRUE,Backdoors!BI14=TRUE),VLOOKUP(Calculator!E23,tbSkills!DH3:DJ6,3,FALSE),0),0))/100)))),1),"")</f>
        <v>1</v>
      </c>
      <c r="CD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A80)*CC80)*(VLOOKUP(A80,tbMoveset!A2:C112,3,FALSE)/100)*IF(VLOOKUP(A80,tbMoveset!A2:B112,2,FALSE)="Projectile",Backdoors!N10,Backdoors!N9),0),"")</f>
        <v/>
      </c>
      <c r="CE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A80&gt;=0.45,VLOOKUP(Calculator!E23,tbSkills!DH3:DI6,2,FALSE)+IF(AND(Calculator!B8=TRUE,Backdoors!BI14=TRUE),VLOOKUP(Calculator!E23,tbSkills!DH3:DJ6,3,FALSE),0),0))&gt;=100,100,(Backdoors!AI12+IF(CA80&gt;=0.45,VLOOKUP(Calculator!E23,tbSkills!DH3:DI6,2,FALSE)+IF(AND(Calculator!B8=TRUE,Backdoors!BI14=TRUE),VLOOKUP(Calculator!E23,tbSkills!DH3:DJ6,3,FALSE),0),0)))/100)),1))*IF(VLOOKUP(A80,tbMoveset!A2:K112,11,FALSE)=TRUE,Backdoors!AC5,1))*CB80,0),"")</f>
        <v>0</v>
      </c>
      <c r="CF80" s="49">
        <f>VLOOKUP(A80,tbMoveset!A2:G112,7,FALSE)*IFERROR(IF(Backdoors!AI12&gt;=0,1+(IF(Calculator!E40&gt;0,VLOOKUP(Calculator!E40,tbSkills!AI3:AJ5,2,FALSE),Backdoors!AL4)*(IF((Backdoors!AI12+IF(CA80&gt;=0.45,VLOOKUP(Calculator!E23,tbSkills!DH3:DI6,2,FALSE)+IF(AND(Calculator!B8=TRUE,Backdoors!BI14=TRUE),VLOOKUP(Calculator!E23,tbSkills!DH3:DJ6,3,FALSE),0),0))&gt;=100,100,(Backdoors!AI12+IF(CA80&gt;=0.45,VLOOKUP(Calculator!E23,tbSkills!DH3:DI6,2,FALSE)+IF(AND(Calculator!B8=TRUE,Backdoors!BI14=TRUE),VLOOKUP(Calculator!E23,tbSkills!DH3:DJ6,3,FALSE),0),0)))/100)),1),1)</f>
        <v>0.6</v>
      </c>
      <c r="CG80" s="87">
        <f t="shared" si="62"/>
        <v>0</v>
      </c>
      <c r="CH80" s="86" t="str">
        <f>IFERROR(IF(VLOOKUP(A80,tbMoveset!A2:B112,2,FALSE)="Sever",Backdoors!AY15/100,IF(VLOOKUP(A80,tbMoveset!A2:B112,2,FALSE)="Blunt",Backdoors!AZ15/100,Backdoors!BA15/100)),"")</f>
        <v/>
      </c>
      <c r="CI80" s="49">
        <f>IFERROR(IF(VLOOKUP(tbMoveset!A80,tbMoveset!A2:H112,8,FALSE)="Other",IF(VLOOKUP(tbMoveset!A80,tbMoveset!A2:I112,9,FALSE)="Fire",Backdoors!BB15,IF(VLOOKUP(tbMoveset!A80,tbMoveset!A2:I112,9,FALSE)="Water",Backdoors!BC15,IF(VLOOKUP(tbMoveset!A80,tbMoveset!A2:I112,9,FALSE)="Thunder",Backdoors!BD15,IF(VLOOKUP(tbMoveset!A80,tbMoveset!A2:I112,9,FALSE)="Ice",Backdoors!BE15,IF(VLOOKUP(tbMoveset!A80,tbMoveset!A2:I112,9,FALSE)="Dragon",Backdoors!BF15,Backdoors!BG15)))))/100,Backdoors!BG15/100),"")</f>
        <v>0</v>
      </c>
      <c r="CJ80" s="49">
        <f>IFERROR(IF(VLOOKUP(A80,tbMoveset!A2:J112,10,FALSE)=TRUE,IF((Backdoors!AI12+IF(CH80&gt;=0.45,VLOOKUP(Calculator!E23,tbSkills!DH3:DI6,2,FALSE)+IF(AND(Calculator!B8=TRUE,Backdoors!BI15=TRUE),VLOOKUP(Calculator!E23,tbSkills!DH3:DJ6,3,FALSE),0),0))&gt;=0,1+(Backdoors!AL2*(IF((Backdoors!AI12+IF(CH80&gt;=0.45,VLOOKUP(Calculator!E23,tbSkills!DH3:DI6,2,FALSE)+IF(AND(Calculator!B8=TRUE,Backdoors!BI15=TRUE),VLOOKUP(Calculator!E23,tbSkills!DH3:DJ6,3,FALSE),0),0))&gt;=100,100,(Backdoors!AI12+IF(CH80&gt;=0.45,VLOOKUP(Calculator!E23,tbSkills!DH3:DI6,2,FALSE)+IF(AND(Calculator!B8=TRUE,Backdoors!BI15=TRUE),VLOOKUP(Calculator!E23,tbSkills!DH3:DJ6,3,FALSE),0),0)))/100)),(1-(0.25*((-Backdoors!AI12-IF(CH80&gt;=0.45,VLOOKUP(Calculator!E23,tbSkills!DH3:DI6,2,FALSE)+IF(AND(Calculator!B8=TRUE,Backdoors!BI15=TRUE),VLOOKUP(Calculator!E23,tbSkills!DH3:DJ6,3,FALSE),0),0))/100)))),1),"")</f>
        <v>1</v>
      </c>
      <c r="CK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H80)*CJ80)*(VLOOKUP(A80,tbMoveset!A2:C112,3,FALSE)/100)*IF(VLOOKUP(A80,tbMoveset!A2:B112,2,FALSE)="Projectile",Backdoors!N10,Backdoors!N9),0),"")</f>
        <v/>
      </c>
      <c r="CL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H80&gt;=0.45,VLOOKUP(Calculator!E23,tbSkills!DH3:DI6,2,FALSE)+IF(AND(Calculator!B8=TRUE,Backdoors!BI15=TRUE),VLOOKUP(Calculator!E23,tbSkills!DH3:DJ6,3,FALSE),0),0))&gt;=100,100,(Backdoors!AI12+IF(CH80&gt;=0.45,VLOOKUP(Calculator!E23,tbSkills!DH3:DI6,2,FALSE)+IF(AND(Calculator!B8=TRUE,Backdoors!BI15=TRUE),VLOOKUP(Calculator!E23,tbSkills!DH3:DJ6,3,FALSE),0),0)))/100)),1))*IF(VLOOKUP(A80,tbMoveset!A2:K112,11,FALSE)=TRUE,Backdoors!AC5,1))*CI80,0),"")</f>
        <v>0</v>
      </c>
      <c r="CM80" s="49">
        <f>VLOOKUP(A80,tbMoveset!A2:G112,7,FALSE)*IFERROR(IF(Backdoors!AI12&gt;=0,1+(IF(Calculator!E40&gt;0,VLOOKUP(Calculator!E40,tbSkills!AI3:AJ5,2,FALSE),Backdoors!AL4)*(IF((Backdoors!AI12+IF(CH80&gt;=0.45,VLOOKUP(Calculator!E23,tbSkills!DH3:DI6,2,FALSE)+IF(AND(Calculator!B8=TRUE,Backdoors!BI15=TRUE),VLOOKUP(Calculator!E23,tbSkills!DH3:DJ6,3,FALSE),0),0))&gt;=100,100,(Backdoors!AI12+IF(CH80&gt;=0.45,VLOOKUP(Calculator!E23,tbSkills!DH3:DI6,2,FALSE)+IF(AND(Calculator!B8=TRUE,Backdoors!BI15=TRUE),VLOOKUP(Calculator!E23,tbSkills!DH3:DJ6,3,FALSE),0),0)))/100)),1),1)</f>
        <v>0.6</v>
      </c>
      <c r="CN80" s="87">
        <f t="shared" si="63"/>
        <v>0</v>
      </c>
      <c r="CO80" s="86" t="str">
        <f>IFERROR(IF(VLOOKUP(A80,tbMoveset!A2:B112,2,FALSE)="Sever",Backdoors!AY16/100,IF(VLOOKUP(A80,tbMoveset!A2:B112,2,FALSE)="Blunt",Backdoors!AZ16/100,Backdoors!BA16/100)),"")</f>
        <v/>
      </c>
      <c r="CP80" s="49">
        <f>IFERROR(IF(VLOOKUP(tbMoveset!A80,tbMoveset!A2:H112,8,FALSE)="Other",IF(VLOOKUP(tbMoveset!A80,tbMoveset!A2:I112,9,FALSE)="Fire",Backdoors!BB16,IF(VLOOKUP(tbMoveset!A80,tbMoveset!A2:I112,9,FALSE)="Water",Backdoors!BC16,IF(VLOOKUP(tbMoveset!A80,tbMoveset!A2:I112,9,FALSE)="Thunder",Backdoors!BD16,IF(VLOOKUP(tbMoveset!A80,tbMoveset!A2:I112,9,FALSE)="Ice",Backdoors!BE16,IF(VLOOKUP(tbMoveset!A80,tbMoveset!A2:I112,9,FALSE)="Dragon",Backdoors!BF16,Backdoors!BG16)))))/100,Backdoors!BG16/100),"")</f>
        <v>0</v>
      </c>
      <c r="CQ80" s="49">
        <f>IFERROR(IF(VLOOKUP(A80,tbMoveset!A2:J112,10,FALSE)=TRUE,IF((Backdoors!AI12+IF(CO80&gt;=0.45,VLOOKUP(Calculator!E23,tbSkills!DH3:DI6,2,FALSE)+IF(AND(Calculator!B8=TRUE,Backdoors!BI16=TRUE),VLOOKUP(Calculator!E23,tbSkills!DH3:DJ6,3,FALSE),0),0))&gt;=0,1+(Backdoors!AL2*(IF((Backdoors!AI12+IF(CO80&gt;=0.45,VLOOKUP(Calculator!E23,tbSkills!DH3:DI6,2,FALSE)+IF(AND(Calculator!B8=TRUE,Backdoors!BI16=TRUE),VLOOKUP(Calculator!E23,tbSkills!DH3:DJ6,3,FALSE),0),0))&gt;=100,100,(Backdoors!AI12+IF(CO80&gt;=0.45,VLOOKUP(Calculator!E23,tbSkills!DH3:DI6,2,FALSE)+IF(AND(Calculator!B8=TRUE,Backdoors!BI16=TRUE),VLOOKUP(Calculator!E23,tbSkills!DH3:DJ6,3,FALSE),0),0)))/100)),(1-(0.25*((-Backdoors!AI12-IF(CO80&gt;=0.45,VLOOKUP(Calculator!E23,tbSkills!DH3:DI6,2,FALSE)+IF(AND(Calculator!B8=TRUE,Backdoors!BI16=TRUE),VLOOKUP(Calculator!E23,tbSkills!DH3:DJ6,3,FALSE),0),0))/100)))),1),"")</f>
        <v>1</v>
      </c>
      <c r="CR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O80)*CQ80)*(VLOOKUP(A80,tbMoveset!A2:C112,3,FALSE)/100)*IF(VLOOKUP(A80,tbMoveset!A2:B112,2,FALSE)="Projectile",Backdoors!N10,Backdoors!N9),0),"")</f>
        <v/>
      </c>
      <c r="CS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O80&gt;=0.45,VLOOKUP(Calculator!E23,tbSkills!DH3:DI6,2,FALSE)+IF(AND(Calculator!B8=TRUE,Backdoors!BI16=TRUE),VLOOKUP(Calculator!E23,tbSkills!DH3:DJ6,3,FALSE),0),0))&gt;=100,100,(Backdoors!AI12+IF(CO80&gt;=0.45,VLOOKUP(Calculator!E23,tbSkills!DH3:DI6,2,FALSE)+IF(AND(Calculator!B8=TRUE,Backdoors!BI16=TRUE),VLOOKUP(Calculator!E23,tbSkills!DH3:DJ6,3,FALSE),0),0)))/100)),1))*IF(VLOOKUP(A80,tbMoveset!A2:K112,11,FALSE)=TRUE,Backdoors!AC5,1))*CP80,0),"")</f>
        <v>0</v>
      </c>
      <c r="CT80" s="49">
        <f>VLOOKUP(A80,tbMoveset!A2:G112,7,FALSE)*IFERROR(IF(Backdoors!AI12&gt;=0,1+(IF(Calculator!E40&gt;0,VLOOKUP(Calculator!E40,tbSkills!AI3:AJ5,2,FALSE),Backdoors!AL4)*(IF((Backdoors!AI12+IF(CO80&gt;=0.45,VLOOKUP(Calculator!E23,tbSkills!DH3:DI6,2,FALSE)+IF(AND(Calculator!B8=TRUE,Backdoors!BI16=TRUE),VLOOKUP(Calculator!E23,tbSkills!DH3:DJ6,3,FALSE),0),0))&gt;=100,100,(Backdoors!AI12+IF(CO80&gt;=0.45,VLOOKUP(Calculator!E23,tbSkills!DH3:DI6,2,FALSE)+IF(AND(Calculator!B8=TRUE,Backdoors!BI16=TRUE),VLOOKUP(Calculator!E23,tbSkills!DH3:DJ6,3,FALSE),0),0)))/100)),1),1)</f>
        <v>0.6</v>
      </c>
      <c r="CU80" s="87">
        <f t="shared" si="64"/>
        <v>0</v>
      </c>
      <c r="CV80" s="86" t="str">
        <f>IFERROR(IF(VLOOKUP(A80,tbMoveset!A2:B112,2,FALSE)="Sever",Backdoors!AY17/100,IF(VLOOKUP(A80,tbMoveset!A2:B112,2,FALSE)="Blunt",Backdoors!AZ17/100,Backdoors!BA17/100)),"")</f>
        <v/>
      </c>
      <c r="CW80" s="49">
        <f>IFERROR(IF(VLOOKUP(tbMoveset!A80,tbMoveset!A2:H112,8,FALSE)="Other",IF(VLOOKUP(tbMoveset!A80,tbMoveset!A2:I112,9,FALSE)="Fire",Backdoors!BB17,IF(VLOOKUP(tbMoveset!A80,tbMoveset!A2:I112,9,FALSE)="Water",Backdoors!BC17,IF(VLOOKUP(tbMoveset!A80,tbMoveset!A2:I112,9,FALSE)="Thunder",Backdoors!BD17,IF(VLOOKUP(tbMoveset!A80,tbMoveset!A2:I112,9,FALSE)="Ice",Backdoors!BE17,IF(VLOOKUP(tbMoveset!A80,tbMoveset!A2:I112,9,FALSE)="Dragon",Backdoors!BF17,Backdoors!BG17)))))/100,Backdoors!BG17/100),"")</f>
        <v>0</v>
      </c>
      <c r="CX80" s="49">
        <f>IFERROR(IF(VLOOKUP(A80,tbMoveset!A2:J112,10,FALSE)=TRUE,IF((Backdoors!AI12+IF(CV80&gt;=0.45,VLOOKUP(Calculator!E23,tbSkills!DH3:DI6,2,FALSE)+IF(AND(Calculator!B8=TRUE,Backdoors!BI17=TRUE),VLOOKUP(Calculator!E23,tbSkills!DH3:DJ6,3,FALSE),0),0))&gt;=0,1+(Backdoors!AL2*(IF((Backdoors!AI12+IF(CV80&gt;=0.45,VLOOKUP(Calculator!E23,tbSkills!DH3:DI6,2,FALSE)+IF(AND(Calculator!B8=TRUE,Backdoors!BI17=TRUE),VLOOKUP(Calculator!E23,tbSkills!DH3:DJ6,3,FALSE),0),0))&gt;=100,100,(Backdoors!AI12+IF(CV80&gt;=0.45,VLOOKUP(Calculator!E23,tbSkills!DH3:DI6,2,FALSE)+IF(AND(Calculator!B8=TRUE,Backdoors!BI17=TRUE),VLOOKUP(Calculator!E23,tbSkills!DH3:DJ6,3,FALSE),0),0)))/100)),(1-(0.25*((-Backdoors!AI12-IF(CV80&gt;=0.45,VLOOKUP(Calculator!E23,tbSkills!DH3:DI6,2,FALSE)+IF(AND(Calculator!B8=TRUE,Backdoors!BI17=TRUE),VLOOKUP(Calculator!E23,tbSkills!DH3:DJ6,3,FALSE),0),0))/100)))),1),"")</f>
        <v>1</v>
      </c>
      <c r="CY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V80)*CX80)*(VLOOKUP(A80,tbMoveset!A2:C112,3,FALSE)/100)*IF(VLOOKUP(A80,tbMoveset!A2:B112,2,FALSE)="Projectile",Backdoors!N10,Backdoors!N9),0),"")</f>
        <v/>
      </c>
      <c r="CZ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V80&gt;=0.45,VLOOKUP(Calculator!E23,tbSkills!DH3:DI6,2,FALSE)+IF(AND(Calculator!B8=TRUE,Backdoors!BI17=TRUE),VLOOKUP(Calculator!E23,tbSkills!DH3:DJ6,3,FALSE),0),0))&gt;=100,100,(Backdoors!AI12+IF(CV80&gt;=0.45,VLOOKUP(Calculator!E23,tbSkills!DH3:DI6,2,FALSE)+IF(AND(Calculator!B8=TRUE,Backdoors!BI17=TRUE),VLOOKUP(Calculator!E23,tbSkills!DH3:DJ6,3,FALSE),0),0)))/100)),1))*IF(VLOOKUP(A80,tbMoveset!A2:K112,11,FALSE)=TRUE,Backdoors!AC5,1))*CW80,0),"")</f>
        <v>0</v>
      </c>
      <c r="DA80" s="49">
        <f>VLOOKUP(A80,tbMoveset!A2:G112,7,FALSE)*IFERROR(IF(Backdoors!AI12&gt;=0,1+(IF(Calculator!E40&gt;0,VLOOKUP(Calculator!E40,tbSkills!AI3:AJ5,2,FALSE),Backdoors!AL4)*(IF((Backdoors!AI12+IF(CV80&gt;=0.45,VLOOKUP(Calculator!E23,tbSkills!DH3:DI6,2,FALSE)+IF(AND(Calculator!B8=TRUE,Backdoors!BI17=TRUE),VLOOKUP(Calculator!E23,tbSkills!DH3:DJ6,3,FALSE),0),0))&gt;=100,100,(Backdoors!AI12+IF(CV80&gt;=0.45,VLOOKUP(Calculator!E23,tbSkills!DH3:DI6,2,FALSE)+IF(AND(Calculator!B8=TRUE,Backdoors!BI17=TRUE),VLOOKUP(Calculator!E23,tbSkills!DH3:DJ6,3,FALSE),0),0)))/100)),1),1)</f>
        <v>0.6</v>
      </c>
      <c r="DB80" s="87">
        <f t="shared" si="65"/>
        <v>0</v>
      </c>
      <c r="DC80" s="86" t="str">
        <f>IFERROR(IF(VLOOKUP(A80,tbMoveset!A2:B112,2,FALSE)="Sever",Backdoors!AY18/100,IF(VLOOKUP(A80,tbMoveset!A2:B112,2,FALSE)="Blunt",Backdoors!AZ18/100,Backdoors!BA18/100)),"")</f>
        <v/>
      </c>
      <c r="DD80" s="49">
        <f>IFERROR(IF(VLOOKUP(tbMoveset!A80,tbMoveset!A2:H112,8,FALSE)="Other",IF(VLOOKUP(tbMoveset!A80,tbMoveset!A2:I112,9,FALSE)="Fire",Backdoors!BB18,IF(VLOOKUP(tbMoveset!A80,tbMoveset!A2:I112,9,FALSE)="Water",Backdoors!BC18,IF(VLOOKUP(tbMoveset!A80,tbMoveset!A2:I112,9,FALSE)="Thunder",Backdoors!BD18,IF(VLOOKUP(tbMoveset!A80,tbMoveset!A2:I112,9,FALSE)="Ice",Backdoors!BE18,IF(VLOOKUP(tbMoveset!A80,tbMoveset!A2:I112,9,FALSE)="Dragon",Backdoors!BF18,Backdoors!BG18)))))/100,Backdoors!BG18/100),"")</f>
        <v>0</v>
      </c>
      <c r="DE80" s="49">
        <f>IFERROR(IF(VLOOKUP(A80,tbMoveset!A2:J112,10,FALSE)=TRUE,IF((Backdoors!AI12+IF(DC80&gt;=0.45,VLOOKUP(Calculator!E23,tbSkills!DH3:DI6,2,FALSE)+IF(AND(Calculator!B8=TRUE,Backdoors!BI18=TRUE),VLOOKUP(Calculator!E23,tbSkills!DH3:DJ6,3,FALSE),0),0))&gt;=0,1+(Backdoors!AL2*(IF((Backdoors!AI12+IF(DC80&gt;=0.45,VLOOKUP(Calculator!E23,tbSkills!DH3:DI6,2,FALSE)+IF(AND(Calculator!B8=TRUE,Backdoors!BI18=TRUE),VLOOKUP(Calculator!E23,tbSkills!DH3:DJ6,3,FALSE),0),0))&gt;=100,100,(Backdoors!AI12+IF(DC80&gt;=0.45,VLOOKUP(Calculator!E23,tbSkills!DH3:DI6,2,FALSE)+IF(AND(Calculator!B8=TRUE,Backdoors!BI18=TRUE),VLOOKUP(Calculator!E23,tbSkills!DH3:DJ6,3,FALSE),0),0)))/100)),(1-(0.25*((-Backdoors!AI12-IF(DC80&gt;=0.45,VLOOKUP(Calculator!E23,tbSkills!DH3:DI6,2,FALSE)+IF(AND(Calculator!B8=TRUE,Backdoors!BI18=TRUE),VLOOKUP(Calculator!E23,tbSkills!DH3:DJ6,3,FALSE),0),0))/100)))),1),"")</f>
        <v>1</v>
      </c>
      <c r="DF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C80)*DE80)*(VLOOKUP(A80,tbMoveset!A2:C112,3,FALSE)/100)*IF(VLOOKUP(A80,tbMoveset!A2:B112,2,FALSE)="Projectile",Backdoors!N10,Backdoors!N9),0),"")</f>
        <v/>
      </c>
      <c r="DG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C80&gt;=0.45,VLOOKUP(Calculator!E23,tbSkills!DH3:DI6,2,FALSE)+IF(AND(Calculator!B8=TRUE,Backdoors!BI18=TRUE),VLOOKUP(Calculator!E23,tbSkills!DH3:DJ6,3,FALSE),0),0))&gt;=100,100,(Backdoors!AI12+IF(DC80&gt;=0.45,VLOOKUP(Calculator!E23,tbSkills!DH3:DI6,2,FALSE)+IF(AND(Calculator!B8=TRUE,Backdoors!BI18=TRUE),VLOOKUP(Calculator!E23,tbSkills!DH3:DJ6,3,FALSE),0),0)))/100)),1))*IF(VLOOKUP(A80,tbMoveset!A2:K112,11,FALSE)=TRUE,Backdoors!AC5,1))*DD80,0),"")</f>
        <v>0</v>
      </c>
      <c r="DH80" s="49">
        <f>VLOOKUP(A80,tbMoveset!A2:G112,7,FALSE)*IFERROR(IF(Backdoors!AI12&gt;=0,1+(IF(Calculator!E40&gt;0,VLOOKUP(Calculator!E40,tbSkills!AI3:AJ5,2,FALSE),Backdoors!AL4)*(IF((Backdoors!AI12+IF(DC80&gt;=0.45,VLOOKUP(Calculator!E23,tbSkills!DH3:DI6,2,FALSE)+IF(AND(Calculator!B8=TRUE,Backdoors!BI18=TRUE),VLOOKUP(Calculator!E23,tbSkills!DH3:DJ6,3,FALSE),0),0))&gt;=100,100,(Backdoors!AI12+IF(DC80&gt;=0.45,VLOOKUP(Calculator!E23,tbSkills!DH3:DI6,2,FALSE)+IF(AND(Calculator!B8=TRUE,Backdoors!BI18=TRUE),VLOOKUP(Calculator!E23,tbSkills!DH3:DJ6,3,FALSE),0),0)))/100)),1),1)</f>
        <v>0.6</v>
      </c>
      <c r="DI80" s="87">
        <f t="shared" si="66"/>
        <v>0</v>
      </c>
      <c r="DJ80" s="86" t="str">
        <f>IFERROR(IF(VLOOKUP(A80,tbMoveset!A2:B112,2,FALSE)="Sever",Backdoors!AY19/100,IF(VLOOKUP(A80,tbMoveset!A2:B112,2,FALSE)="Blunt",Backdoors!AZ19/100,Backdoors!BA19/100)),"")</f>
        <v/>
      </c>
      <c r="DK80" s="49">
        <f>IFERROR(IF(VLOOKUP(tbMoveset!A80,tbMoveset!A2:H112,8,FALSE)="Other",IF(VLOOKUP(tbMoveset!A80,tbMoveset!A2:I112,9,FALSE)="Fire",Backdoors!BB19,IF(VLOOKUP(tbMoveset!A80,tbMoveset!A2:I112,9,FALSE)="Water",Backdoors!BC19,IF(VLOOKUP(tbMoveset!A80,tbMoveset!A2:I112,9,FALSE)="Thunder",Backdoors!BD19,IF(VLOOKUP(tbMoveset!A80,tbMoveset!A2:I112,9,FALSE)="Ice",Backdoors!BE19,IF(VLOOKUP(tbMoveset!A80,tbMoveset!A2:I112,9,FALSE)="Dragon",Backdoors!BF19,Backdoors!BG19)))))/100,Backdoors!BG19/100),"")</f>
        <v>0</v>
      </c>
      <c r="DL80" s="49">
        <f>IFERROR(IF(VLOOKUP(A80,tbMoveset!A2:J112,10,FALSE)=TRUE,IF((Backdoors!AI12+IF(DJ80&gt;=0.45,VLOOKUP(Calculator!E23,tbSkills!DH3:DI6,2,FALSE)+IF(AND(Calculator!B8=TRUE,Backdoors!BI19=TRUE),VLOOKUP(Calculator!E23,tbSkills!DH3:DJ6,3,FALSE),0),0))&gt;=0,1+(Backdoors!AL2*(IF((Backdoors!AI12+IF(DJ80&gt;=0.45,VLOOKUP(Calculator!E23,tbSkills!DH3:DI6,2,FALSE)+IF(AND(Calculator!B8=TRUE,Backdoors!BI19=TRUE),VLOOKUP(Calculator!E23,tbSkills!DH3:DJ6,3,FALSE),0),0))&gt;=100,100,(Backdoors!AI12+IF(DJ80&gt;=0.45,VLOOKUP(Calculator!E23,tbSkills!DH3:DI6,2,FALSE)+IF(AND(Calculator!B8=TRUE,Backdoors!BI19=TRUE),VLOOKUP(Calculator!E23,tbSkills!DH3:DJ6,3,FALSE),0),0)))/100)),(1-(0.25*((-Backdoors!AI12-IF(DJ80&gt;=0.45,VLOOKUP(Calculator!E23,tbSkills!DH3:DI6,2,FALSE)+IF(AND(Calculator!B8=TRUE,Backdoors!BI19=TRUE),VLOOKUP(Calculator!E23,tbSkills!DH3:DJ6,3,FALSE),0),0))/100)))),1),"")</f>
        <v>1</v>
      </c>
      <c r="DM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J80)*DL80)*(VLOOKUP(A80,tbMoveset!A2:C112,3,FALSE)/100)*IF(VLOOKUP(A80,tbMoveset!A2:B112,2,FALSE)="Projectile",Backdoors!N10,Backdoors!N9),0),"")</f>
        <v/>
      </c>
      <c r="DN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J80&gt;=0.45,VLOOKUP(Calculator!E23,tbSkills!DH3:DI6,2,FALSE)+IF(AND(Calculator!B8=TRUE,Backdoors!BI19=TRUE),VLOOKUP(Calculator!E23,tbSkills!DH3:DJ6,3,FALSE),0),0))&gt;=100,100,(Backdoors!AI12+IF(DJ80&gt;=0.45,VLOOKUP(Calculator!E23,tbSkills!DH3:DI6,2,FALSE)+IF(AND(Calculator!B8=TRUE,Backdoors!BI19=TRUE),VLOOKUP(Calculator!E23,tbSkills!DH3:DJ6,3,FALSE),0),0)))/100)),1))*IF(VLOOKUP(A80,tbMoveset!A2:K112,11,FALSE)=TRUE,Backdoors!AC5,1))*DK80,0),"")</f>
        <v>0</v>
      </c>
      <c r="DO80" s="49">
        <f>VLOOKUP(A80,tbMoveset!A2:G112,7,FALSE)*IFERROR(IF(Backdoors!AI12&gt;=0,1+(IF(Calculator!E40&gt;0,VLOOKUP(Calculator!E40,tbSkills!AI3:AJ5,2,FALSE),Backdoors!AL4)*(IF((Backdoors!AI12+IF(DJ80&gt;=0.45,VLOOKUP(Calculator!E23,tbSkills!DH3:DI6,2,FALSE)+IF(AND(Calculator!B8=TRUE,Backdoors!BI19=TRUE),VLOOKUP(Calculator!E23,tbSkills!DH3:DJ6,3,FALSE),0),0))&gt;=100,100,(Backdoors!AI12+IF(DJ80&gt;=0.45,VLOOKUP(Calculator!E23,tbSkills!DH3:DI6,2,FALSE)+IF(AND(Calculator!B8=TRUE,Backdoors!BI19=TRUE),VLOOKUP(Calculator!E23,tbSkills!DH3:DJ6,3,FALSE),0),0)))/100)),1),1)</f>
        <v>0.6</v>
      </c>
      <c r="DP80" s="87">
        <f t="shared" si="67"/>
        <v>0</v>
      </c>
      <c r="DQ80" s="86" t="str">
        <f>IFERROR(IF(VLOOKUP(A80,tbMoveset!A2:B112,2,FALSE)="Sever",Backdoors!AY20/100,IF(VLOOKUP(A80,tbMoveset!A2:B112,2,FALSE)="Blunt",Backdoors!AZ20/100,Backdoors!BA20/100)),"")</f>
        <v/>
      </c>
      <c r="DR80" s="49">
        <f>IFERROR(IF(VLOOKUP(tbMoveset!A80,tbMoveset!A2:H112,8,FALSE)="Other",IF(VLOOKUP(tbMoveset!A80,tbMoveset!A2:I112,9,FALSE)="Fire",Backdoors!BB20,IF(VLOOKUP(tbMoveset!A80,tbMoveset!A2:I112,9,FALSE)="Water",Backdoors!BC20,IF(VLOOKUP(tbMoveset!A80,tbMoveset!A2:I112,9,FALSE)="Thunder",Backdoors!BD20,IF(VLOOKUP(tbMoveset!A80,tbMoveset!A2:I112,9,FALSE)="Ice",Backdoors!BE20,IF(VLOOKUP(tbMoveset!A80,tbMoveset!A2:I112,9,FALSE)="Dragon",Backdoors!BF20,Backdoors!BG20)))))/100,Backdoors!BG20/100),"")</f>
        <v>0</v>
      </c>
      <c r="DS80" s="49">
        <f>IFERROR(IF(VLOOKUP(A80,tbMoveset!A2:J112,10,FALSE)=TRUE,IF((Backdoors!AI12+IF(DQ80&gt;=0.45,VLOOKUP(Calculator!E23,tbSkills!DH3:DI6,2,FALSE)+IF(AND(Calculator!B8=TRUE,Backdoors!BI20=TRUE),VLOOKUP(Calculator!E23,tbSkills!DH3:DJ6,3,FALSE),0),0))&gt;=0,1+(Backdoors!AL2*(IF((Backdoors!AI12+IF(DQ80&gt;=0.45,VLOOKUP(Calculator!E23,tbSkills!DH3:DI6,2,FALSE)+IF(AND(Calculator!B8=TRUE,Backdoors!BI20=TRUE),VLOOKUP(Calculator!E23,tbSkills!DH3:DJ6,3,FALSE),0),0))&gt;=100,100,(Backdoors!AI12+IF(DQ80&gt;=0.45,VLOOKUP(Calculator!E23,tbSkills!DH3:DI6,2,FALSE)+IF(AND(Calculator!B8=TRUE,Backdoors!BI20=TRUE),VLOOKUP(Calculator!E23,tbSkills!DH3:DJ6,3,FALSE),0),0)))/100)),(1-(0.25*((-Backdoors!AI12-IF(DQ80&gt;=0.45,VLOOKUP(Calculator!E23,tbSkills!DH3:DI6,2,FALSE)+IF(AND(Calculator!B8=TRUE,Backdoors!BI20=TRUE),VLOOKUP(Calculator!E23,tbSkills!DH3:DJ6,3,FALSE),0),0))/100)))),1),"")</f>
        <v>1</v>
      </c>
      <c r="DT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Q80)*DS80)*(VLOOKUP(A80,tbMoveset!A2:C112,3,FALSE)/100)*IF(VLOOKUP(A80,tbMoveset!A2:B112,2,FALSE)="Projectile",Backdoors!N10,Backdoors!N9),0),"")</f>
        <v/>
      </c>
      <c r="DU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Q80&gt;=0.45,VLOOKUP(Calculator!E23,tbSkills!DH3:DI6,2,FALSE)+IF(AND(Calculator!B8=TRUE,Backdoors!BI20=TRUE),VLOOKUP(Calculator!E23,tbSkills!DH3:DJ6,3,FALSE),0),0))&gt;=100,100,(Backdoors!AI12+IF(DQ80&gt;=0.45,VLOOKUP(Calculator!E23,tbSkills!DH3:DI6,2,FALSE)+IF(AND(Calculator!B8=TRUE,Backdoors!BI20=TRUE),VLOOKUP(Calculator!E23,tbSkills!DH3:DJ6,3,FALSE),0),0)))/100)),1))*IF(VLOOKUP(A80,tbMoveset!A2:K112,11,FALSE)=TRUE,Backdoors!AC5,1))*DR80,0),"")</f>
        <v>0</v>
      </c>
      <c r="DV80" s="49">
        <f>VLOOKUP(A80,tbMoveset!A2:G112,7,FALSE)*IFERROR(IF(Backdoors!AI12&gt;=0,1+(IF(Calculator!E40&gt;0,VLOOKUP(Calculator!E40,tbSkills!AI3:AJ5,2,FALSE),Backdoors!AL4)*(IF((Backdoors!AI12+IF(DQ80&gt;=0.45,VLOOKUP(Calculator!E23,tbSkills!DH3:DI6,2,FALSE)+IF(AND(Calculator!B8=TRUE,Backdoors!BI20=TRUE),VLOOKUP(Calculator!E23,tbSkills!DH3:DJ6,3,FALSE),0),0))&gt;=100,100,(Backdoors!AI12+IF(DQ80&gt;=0.45,VLOOKUP(Calculator!E23,tbSkills!DH3:DI6,2,FALSE)+IF(AND(Calculator!B8=TRUE,Backdoors!BI20=TRUE),VLOOKUP(Calculator!E23,tbSkills!DH3:DJ6,3,FALSE),0),0)))/100)),1),1)</f>
        <v>0.6</v>
      </c>
      <c r="DW80" s="87">
        <f t="shared" si="68"/>
        <v>0</v>
      </c>
      <c r="DX80" s="86" t="str">
        <f>IFERROR(IF(VLOOKUP(A80,tbMoveset!A2:B112,2,FALSE)="Sever",Backdoors!AY21/100,IF(VLOOKUP(A80,tbMoveset!A2:B112,2,FALSE)="Blunt",Backdoors!AZ21/100,Backdoors!BA21/100)),"")</f>
        <v/>
      </c>
      <c r="DY80" s="49">
        <f>IFERROR(IF(VLOOKUP(tbMoveset!A80,tbMoveset!A2:H112,8,FALSE)="Other",IF(VLOOKUP(tbMoveset!A80,tbMoveset!A2:I112,9,FALSE)="Fire",Backdoors!BB21,IF(VLOOKUP(tbMoveset!A80,tbMoveset!A2:I112,9,FALSE)="Water",Backdoors!BC21,IF(VLOOKUP(tbMoveset!A80,tbMoveset!A2:I112,9,FALSE)="Thunder",Backdoors!BD21,IF(VLOOKUP(tbMoveset!A80,tbMoveset!A2:I112,9,FALSE)="Ice",Backdoors!BE21,IF(VLOOKUP(tbMoveset!A80,tbMoveset!A2:I112,9,FALSE)="Dragon",Backdoors!BF21,Backdoors!BG21)))))/100,Backdoors!BG21/100),"")</f>
        <v>0</v>
      </c>
      <c r="DZ80" s="49">
        <f>IFERROR(IF(VLOOKUP(A80,tbMoveset!A2:J112,10,FALSE)=TRUE,IF((Backdoors!AI12+IF(DX80&gt;=0.45,VLOOKUP(Calculator!E23,tbSkills!DH3:DI6,2,FALSE)+IF(AND(Calculator!B8=TRUE,Backdoors!BI21=TRUE),VLOOKUP(Calculator!E23,tbSkills!DH3:DJ6,3,FALSE),0),0))&gt;=0,1+(Backdoors!AL2*(IF((Backdoors!AI12+IF(DX80&gt;=0.45,VLOOKUP(Calculator!E23,tbSkills!DH3:DI6,2,FALSE)+IF(AND(Calculator!B8=TRUE,Backdoors!BI21=TRUE),VLOOKUP(Calculator!E23,tbSkills!DH3:DJ6,3,FALSE),0),0))&gt;=100,100,(Backdoors!AI12+IF(DX80&gt;=0.45,VLOOKUP(Calculator!E23,tbSkills!DH3:DI6,2,FALSE)+IF(AND(Calculator!B8=TRUE,Backdoors!BI21=TRUE),VLOOKUP(Calculator!E23,tbSkills!DH3:DJ6,3,FALSE),0),0)))/100)),(1-(0.25*((-Backdoors!AI12-IF(DX80&gt;=0.45,VLOOKUP(Calculator!E23,tbSkills!DH3:DI6,2,FALSE)+IF(AND(Calculator!B8=TRUE,Backdoors!BI21=TRUE),VLOOKUP(Calculator!E23,tbSkills!DH3:DJ6,3,FALSE),0),0))/100)))),1),"")</f>
        <v>1</v>
      </c>
      <c r="EA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X80)*DZ80)*(VLOOKUP(A80,tbMoveset!A2:C112,3,FALSE)/100)*IF(VLOOKUP(A80,tbMoveset!A2:B112,2,FALSE)="Projectile",Backdoors!N10,Backdoors!N9),0),"")</f>
        <v/>
      </c>
      <c r="EB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X80&gt;=0.45,VLOOKUP(Calculator!E23,tbSkills!DH3:DI6,2,FALSE)+IF(AND(Calculator!B8=TRUE,Backdoors!BI21=TRUE),VLOOKUP(Calculator!E23,tbSkills!DH3:DJ6,3,FALSE),0),0))&gt;=100,100,(Backdoors!AI12+IF(DX80&gt;=0.45,VLOOKUP(Calculator!E23,tbSkills!DH3:DI6,2,FALSE)+IF(AND(Calculator!B8=TRUE,Backdoors!BI21=TRUE),VLOOKUP(Calculator!E23,tbSkills!DH3:DJ6,3,FALSE),0),0)))/100)),1))*IF(VLOOKUP(A80,tbMoveset!A2:K112,11,FALSE)=TRUE,Backdoors!AC5,1))*DY80,0),"")</f>
        <v>0</v>
      </c>
      <c r="EC80" s="49">
        <f>VLOOKUP(A80,tbMoveset!A2:G112,7,FALSE)*IFERROR(IF(Backdoors!AI12&gt;=0,1+(IF(Calculator!E40&gt;0,VLOOKUP(Calculator!E40,tbSkills!AI3:AJ5,2,FALSE),Backdoors!AL4)*(IF((Backdoors!AI12+IF(DX80&gt;=0.45,VLOOKUP(Calculator!E23,tbSkills!DH3:DI6,2,FALSE)+IF(AND(Calculator!B8=TRUE,Backdoors!BI21=TRUE),VLOOKUP(Calculator!E23,tbSkills!DH3:DJ6,3,FALSE),0),0))&gt;=100,100,(Backdoors!AI12+IF(DX80&gt;=0.45,VLOOKUP(Calculator!E23,tbSkills!DH3:DI6,2,FALSE)+IF(AND(Calculator!B8=TRUE,Backdoors!BI21=TRUE),VLOOKUP(Calculator!E23,tbSkills!DH3:DJ6,3,FALSE),0),0)))/100)),1),1)</f>
        <v>0.6</v>
      </c>
      <c r="ED80" s="87">
        <f t="shared" si="69"/>
        <v>0</v>
      </c>
      <c r="EE80" s="86" t="str">
        <f>IFERROR(IF(VLOOKUP(A80,tbMoveset!A2:B112,2,FALSE)="Sever",Backdoors!AY22/100,IF(VLOOKUP(A80,tbMoveset!A2:B112,2,FALSE)="Blunt",Backdoors!AZ22/100,Backdoors!BA22/100)),"")</f>
        <v/>
      </c>
      <c r="EF80" s="49">
        <f>IFERROR(IF(VLOOKUP(tbMoveset!A80,tbMoveset!A2:H112,8,FALSE)="Other",IF(VLOOKUP(tbMoveset!A80,tbMoveset!A2:I112,9,FALSE)="Fire",Backdoors!BB22,IF(VLOOKUP(tbMoveset!A80,tbMoveset!A2:I112,9,FALSE)="Water",Backdoors!BC22,IF(VLOOKUP(tbMoveset!A80,tbMoveset!A2:I112,9,FALSE)="Thunder",Backdoors!BD22,IF(VLOOKUP(tbMoveset!A80,tbMoveset!A2:I112,9,FALSE)="Ice",Backdoors!BE22,IF(VLOOKUP(tbMoveset!A80,tbMoveset!A2:I112,9,FALSE)="Dragon",Backdoors!BF22,Backdoors!BG22)))))/100,Backdoors!BG22/100),"")</f>
        <v>0</v>
      </c>
      <c r="EG80" s="49">
        <f>IFERROR(IF(VLOOKUP(A80,tbMoveset!A2:J112,10,FALSE)=TRUE,IF((Backdoors!AI12+IF(EE80&gt;=0.45,VLOOKUP(Calculator!E23,tbSkills!DH3:DI6,2,FALSE)+IF(AND(Calculator!B8=TRUE,Backdoors!BI22=TRUE),VLOOKUP(Calculator!E23,tbSkills!DH3:DJ6,3,FALSE),0),0))&gt;=0,1+(Backdoors!AL2*(IF((Backdoors!AI12+IF(EE80&gt;=0.45,VLOOKUP(Calculator!E23,tbSkills!DH3:DI6,2,FALSE)+IF(AND(Calculator!B8=TRUE,Backdoors!BI22=TRUE),VLOOKUP(Calculator!E23,tbSkills!DH3:DJ6,3,FALSE),0),0))&gt;=100,100,(Backdoors!AI12+IF(EE80&gt;=0.45,VLOOKUP(Calculator!E23,tbSkills!DH3:DI6,2,FALSE)+IF(AND(Calculator!B8=TRUE,Backdoors!BI22=TRUE),VLOOKUP(Calculator!E23,tbSkills!DH3:DJ6,3,FALSE),0),0)))/100)),(1-(0.25*((-Backdoors!AI12-IF(EE80&gt;=0.45,VLOOKUP(Calculator!E23,tbSkills!DH3:DI6,2,FALSE)+IF(AND(Calculator!B8=TRUE,Backdoors!BI22=TRUE),VLOOKUP(Calculator!E23,tbSkills!DH3:DJ6,3,FALSE),0),0))/100)))),1),"")</f>
        <v>1</v>
      </c>
      <c r="EH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E80)*EG80)*(VLOOKUP(A80,tbMoveset!A2:C112,3,FALSE)/100)*IF(VLOOKUP(A80,tbMoveset!A2:B112,2,FALSE)="Projectile",Backdoors!N10,Backdoors!N9),0),"")</f>
        <v/>
      </c>
      <c r="EI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E80&gt;=0.45,VLOOKUP(Calculator!E23,tbSkills!DH3:DI6,2,FALSE)+IF(AND(Calculator!B8=TRUE,Backdoors!BI22=TRUE),VLOOKUP(Calculator!E23,tbSkills!DH3:DJ6,3,FALSE),0),0))&gt;=100,100,(Backdoors!AI12+IF(EE80&gt;=0.45,VLOOKUP(Calculator!E23,tbSkills!DH3:DI6,2,FALSE)+IF(AND(Calculator!B8=TRUE,Backdoors!BI22=TRUE),VLOOKUP(Calculator!E23,tbSkills!DH3:DJ6,3,FALSE),0),0)))/100)),1))*IF(VLOOKUP(A80,tbMoveset!A2:K112,11,FALSE)=TRUE,Backdoors!AC5,1))*EF80,0),"")</f>
        <v>0</v>
      </c>
      <c r="EJ80" s="49">
        <f>VLOOKUP(A80,tbMoveset!A2:G112,7,FALSE)*IFERROR(IF(Backdoors!AI12&gt;=0,1+(IF(Calculator!E40&gt;0,VLOOKUP(Calculator!E40,tbSkills!AI3:AJ5,2,FALSE),Backdoors!AL4)*(IF((Backdoors!AI12+IF(EE80&gt;=0.45,VLOOKUP(Calculator!E23,tbSkills!DH3:DI6,2,FALSE)+IF(AND(Calculator!B8=TRUE,Backdoors!BI22=TRUE),VLOOKUP(Calculator!E23,tbSkills!DH3:DJ6,3,FALSE),0),0))&gt;=100,100,(Backdoors!AI12+IF(EE80&gt;=0.45,VLOOKUP(Calculator!E23,tbSkills!DH3:DI6,2,FALSE)+IF(AND(Calculator!B8=TRUE,Backdoors!BI22=TRUE),VLOOKUP(Calculator!E23,tbSkills!DH3:DJ6,3,FALSE),0),0)))/100)),1),1)</f>
        <v>0.6</v>
      </c>
      <c r="EK80" s="87">
        <f t="shared" si="70"/>
        <v>0</v>
      </c>
      <c r="EL80" s="86" t="str">
        <f>IFERROR(IF(VLOOKUP(A80,tbMoveset!A2:B112,2,FALSE)="Sever",Backdoors!AY23/100,IF(VLOOKUP(A80,tbMoveset!A2:B112,2,FALSE)="Blunt",Backdoors!AZ23/100,Backdoors!BA23/100)),"")</f>
        <v/>
      </c>
      <c r="EM80" s="49">
        <f>IFERROR(IF(VLOOKUP(tbMoveset!A80,tbMoveset!A2:H112,8,FALSE)="Other",IF(VLOOKUP(tbMoveset!A80,tbMoveset!A2:I112,9,FALSE)="Fire",Backdoors!BB23,IF(VLOOKUP(tbMoveset!A80,tbMoveset!A2:I112,9,FALSE)="Water",Backdoors!BC23,IF(VLOOKUP(tbMoveset!A80,tbMoveset!A2:I112,9,FALSE)="Thunder",Backdoors!BD23,IF(VLOOKUP(tbMoveset!A80,tbMoveset!A2:I112,9,FALSE)="Ice",Backdoors!BE23,IF(VLOOKUP(tbMoveset!A80,tbMoveset!A2:I112,9,FALSE)="Dragon",Backdoors!BF23,Backdoors!BG23)))))/100,Backdoors!BG23/100),"")</f>
        <v>0</v>
      </c>
      <c r="EN80" s="49">
        <f>IFERROR(IF(VLOOKUP(A80,tbMoveset!A2:J112,10,FALSE)=TRUE,IF((Backdoors!AI12+IF(EL80&gt;=0.45,VLOOKUP(Calculator!E23,tbSkills!DH3:DI6,2,FALSE)+IF(AND(Calculator!B8=TRUE,Backdoors!BI23=TRUE),VLOOKUP(Calculator!E23,tbSkills!DH3:DJ6,3,FALSE),0),0))&gt;=0,1+(Backdoors!AL2*(IF((Backdoors!AI12+IF(EL80&gt;=0.45,VLOOKUP(Calculator!E23,tbSkills!DH3:DI6,2,FALSE)+IF(AND(Calculator!B8=TRUE,Backdoors!BI23=TRUE),VLOOKUP(Calculator!E23,tbSkills!DH3:DJ6,3,FALSE),0),0))&gt;=100,100,(Backdoors!AI12+IF(EL80&gt;=0.45,VLOOKUP(Calculator!E23,tbSkills!DH3:DI6,2,FALSE)+IF(AND(Calculator!B8=TRUE,Backdoors!BI23=TRUE),VLOOKUP(Calculator!E23,tbSkills!DH3:DJ6,3,FALSE),0),0)))/100)),(1-(0.25*((-Backdoors!AI12-IF(EL80&gt;=0.45,VLOOKUP(Calculator!E23,tbSkills!DH3:DI6,2,FALSE)+IF(AND(Calculator!B8=TRUE,Backdoors!BI23=TRUE),VLOOKUP(Calculator!E23,tbSkills!DH3:DJ6,3,FALSE),0),0))/100)))),1),"")</f>
        <v>1</v>
      </c>
      <c r="EO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L80)*EN80)*(VLOOKUP(A80,tbMoveset!A2:C112,3,FALSE)/100)*IF(VLOOKUP(A80,tbMoveset!A2:B112,2,FALSE)="Projectile",Backdoors!N10,Backdoors!N9),0),"")</f>
        <v/>
      </c>
      <c r="EP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L80&gt;=0.45,VLOOKUP(Calculator!E23,tbSkills!DH3:DI6,2,FALSE)+IF(AND(Calculator!B8=TRUE,Backdoors!BI23=TRUE),VLOOKUP(Calculator!E23,tbSkills!DH3:DJ6,3,FALSE),0),0))&gt;=100,100,(Backdoors!AI12+IF(EL80&gt;=0.45,VLOOKUP(Calculator!E23,tbSkills!DH3:DI6,2,FALSE)+IF(AND(Calculator!B8=TRUE,Backdoors!BI23=TRUE),VLOOKUP(Calculator!E23,tbSkills!DH3:DJ6,3,FALSE),0),0)))/100)),1))*IF(VLOOKUP(A80,tbMoveset!A2:K112,11,FALSE)=TRUE,Backdoors!AC5,1))*EM80,0),"")</f>
        <v>0</v>
      </c>
      <c r="EQ80" s="49">
        <f>VLOOKUP(A80,tbMoveset!A2:G112,7,FALSE)*IFERROR(IF(Backdoors!AI12&gt;=0,1+(IF(Calculator!E40&gt;0,VLOOKUP(Calculator!E40,tbSkills!AI3:AJ5,2,FALSE),Backdoors!AL4)*(IF((Backdoors!AI12+IF(EL80&gt;=0.45,VLOOKUP(Calculator!E23,tbSkills!DH3:DI6,2,FALSE)+IF(AND(Calculator!B8=TRUE,Backdoors!BI23=TRUE),VLOOKUP(Calculator!E23,tbSkills!DH3:DJ6,3,FALSE),0),0))&gt;=100,100,(Backdoors!AI12+IF(EL80&gt;=0.45,VLOOKUP(Calculator!E23,tbSkills!DH3:DI6,2,FALSE)+IF(AND(Calculator!B8=TRUE,Backdoors!BI23=TRUE),VLOOKUP(Calculator!E23,tbSkills!DH3:DJ6,3,FALSE),0),0)))/100)),1),1)</f>
        <v>0.6</v>
      </c>
      <c r="ER80" s="87">
        <f t="shared" si="71"/>
        <v>0</v>
      </c>
      <c r="ES80" s="86" t="str">
        <f>IFERROR(IF(VLOOKUP(A80,tbMoveset!A2:B112,2,FALSE)="Sever",Backdoors!AY24/100,IF(VLOOKUP(A80,tbMoveset!A2:B112,2,FALSE)="Blunt",Backdoors!AZ24/100,Backdoors!BA24/100)),"")</f>
        <v/>
      </c>
      <c r="ET80" s="49">
        <f>IFERROR(IF(VLOOKUP(tbMoveset!A80,tbMoveset!A2:H112,8,FALSE)="Other",IF(VLOOKUP(tbMoveset!A80,tbMoveset!A2:I112,9,FALSE)="Fire",Backdoors!BB24,IF(VLOOKUP(tbMoveset!A80,tbMoveset!A2:I112,9,FALSE)="Water",Backdoors!BC24,IF(VLOOKUP(tbMoveset!A80,tbMoveset!A2:I112,9,FALSE)="Thunder",Backdoors!BD24,IF(VLOOKUP(tbMoveset!A80,tbMoveset!A2:I112,9,FALSE)="Ice",Backdoors!BE24,IF(VLOOKUP(tbMoveset!A80,tbMoveset!A2:I112,9,FALSE)="Dragon",Backdoors!BF24,Backdoors!BG24)))))/100,Backdoors!BG24/100),"")</f>
        <v>0</v>
      </c>
      <c r="EU80" s="49">
        <f>IFERROR(IF(VLOOKUP(A80,tbMoveset!A2:J112,10,FALSE)=TRUE,IF((Backdoors!AI12+IF(ES80&gt;=0.45,VLOOKUP(Calculator!E23,tbSkills!DH3:DI6,2,FALSE)+IF(AND(Calculator!B8=TRUE,Backdoors!BI24=TRUE),VLOOKUP(Calculator!E23,tbSkills!DH3:DJ6,3,FALSE),0),0))&gt;=0,1+(Backdoors!AL2*(IF((Backdoors!AI12+IF(ES80&gt;=0.45,VLOOKUP(Calculator!E23,tbSkills!DH3:DI6,2,FALSE)+IF(AND(Calculator!B8=TRUE,Backdoors!BI24=TRUE),VLOOKUP(Calculator!E23,tbSkills!DH3:DJ6,3,FALSE),0),0))&gt;=100,100,(Backdoors!AI12+IF(ES80&gt;=0.45,VLOOKUP(Calculator!E23,tbSkills!DH3:DI6,2,FALSE)+IF(AND(Calculator!B8=TRUE,Backdoors!BI24=TRUE),VLOOKUP(Calculator!E23,tbSkills!DH3:DJ6,3,FALSE),0),0)))/100)),(1-(0.25*((-Backdoors!AI12-IF(ES80&gt;=0.45,VLOOKUP(Calculator!E23,tbSkills!DH3:DI6,2,FALSE)+IF(AND(Calculator!B8=TRUE,Backdoors!BI24=TRUE),VLOOKUP(Calculator!E23,tbSkills!DH3:DJ6,3,FALSE),0),0))/100)))),1),"")</f>
        <v>1</v>
      </c>
      <c r="EV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S80)*EU80)*(VLOOKUP(A80,tbMoveset!A2:C112,3,FALSE)/100)*IF(VLOOKUP(A80,tbMoveset!A2:B112,2,FALSE)="Projectile",Backdoors!N10,Backdoors!N9),0),"")</f>
        <v/>
      </c>
      <c r="EW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S80&gt;=0.45,VLOOKUP(Calculator!E23,tbSkills!DH3:DI6,2,FALSE)+IF(AND(Calculator!B8=TRUE,Backdoors!BI24=TRUE),VLOOKUP(Calculator!E23,tbSkills!DH3:DJ6,3,FALSE),0),0))&gt;=100,100,(Backdoors!AI12+IF(ES80&gt;=0.45,VLOOKUP(Calculator!E23,tbSkills!DH3:DI6,2,FALSE)+IF(AND(Calculator!B8=TRUE,Backdoors!BI24=TRUE),VLOOKUP(Calculator!E23,tbSkills!DH3:DJ6,3,FALSE),0),0)))/100)),1))*IF(VLOOKUP(A80,tbMoveset!A2:K112,11,FALSE)=TRUE,Backdoors!AC5,1))*ET80,0),"")</f>
        <v>0</v>
      </c>
      <c r="EX80" s="49">
        <f>VLOOKUP(A80,tbMoveset!A2:G112,7,FALSE)*IFERROR(IF(Backdoors!AI12&gt;=0,1+(IF(Calculator!E40&gt;0,VLOOKUP(Calculator!E40,tbSkills!AI3:AJ5,2,FALSE),Backdoors!AL4)*(IF((Backdoors!AI12+IF(ES80&gt;=0.45,VLOOKUP(Calculator!E23,tbSkills!DH3:DI6,2,FALSE)+IF(AND(Calculator!B8=TRUE,Backdoors!BI24=TRUE),VLOOKUP(Calculator!E23,tbSkills!DH3:DJ6,3,FALSE),0),0))&gt;=100,100,(Backdoors!AI12+IF(ES80&gt;=0.45,VLOOKUP(Calculator!E23,tbSkills!DH3:DI6,2,FALSE)+IF(AND(Calculator!B8=TRUE,Backdoors!BI24=TRUE),VLOOKUP(Calculator!E23,tbSkills!DH3:DJ6,3,FALSE),0),0)))/100)),1),1)</f>
        <v>0.6</v>
      </c>
      <c r="EY80" s="87">
        <f t="shared" si="72"/>
        <v>0</v>
      </c>
      <c r="EZ80" s="86" t="str">
        <f>IFERROR(IF(VLOOKUP(A80,tbMoveset!A2:B112,2,FALSE)="Sever",Backdoors!AY25/100,IF(VLOOKUP(A80,tbMoveset!A2:B112,2,FALSE)="Blunt",Backdoors!AZ25/100,Backdoors!BA25/100)),"")</f>
        <v/>
      </c>
      <c r="FA80" s="49">
        <f>IFERROR(IF(VLOOKUP(tbMoveset!A80,tbMoveset!A2:H112,8,FALSE)="Other",IF(VLOOKUP(tbMoveset!A80,tbMoveset!A2:I112,9,FALSE)="Fire",Backdoors!BB25,IF(VLOOKUP(tbMoveset!A80,tbMoveset!A2:I112,9,FALSE)="Water",Backdoors!BC25,IF(VLOOKUP(tbMoveset!A80,tbMoveset!A2:I112,9,FALSE)="Thunder",Backdoors!BD25,IF(VLOOKUP(tbMoveset!A80,tbMoveset!A2:I112,9,FALSE)="Ice",Backdoors!BE25,IF(VLOOKUP(tbMoveset!A80,tbMoveset!A2:I112,9,FALSE)="Dragon",Backdoors!BF25,Backdoors!BG25)))))/100,Backdoors!BG25/100),"")</f>
        <v>0</v>
      </c>
      <c r="FB80" s="49">
        <f>IFERROR(IF(VLOOKUP(A80,tbMoveset!A2:J112,10,FALSE)=TRUE,IF((Backdoors!AI12+IF(EZ80&gt;=0.45,VLOOKUP(Calculator!E23,tbSkills!DH3:DI6,2,FALSE)+IF(AND(Calculator!B8=TRUE,Backdoors!BI25=TRUE),VLOOKUP(Calculator!E23,tbSkills!DH3:DJ6,3,FALSE),0),0))&gt;=0,1+(Backdoors!AL2*(IF((Backdoors!AI12+IF(EZ80&gt;=0.45,VLOOKUP(Calculator!E23,tbSkills!DH3:DI6,2,FALSE)+IF(AND(Calculator!B8=TRUE,Backdoors!BI25=TRUE),VLOOKUP(Calculator!E23,tbSkills!DH3:DJ6,3,FALSE),0),0))&gt;=100,100,(Backdoors!AI12+IF(EZ80&gt;=0.45,VLOOKUP(Calculator!E23,tbSkills!DH3:DI6,2,FALSE)+IF(AND(Calculator!B8=TRUE,Backdoors!BI25=TRUE),VLOOKUP(Calculator!E23,tbSkills!DH3:DJ6,3,FALSE),0),0)))/100)),(1-(0.25*((-Backdoors!AI12-IF(EZ80&gt;=0.45,VLOOKUP(Calculator!E23,tbSkills!DH3:DI6,2,FALSE)+IF(AND(Calculator!B8=TRUE,Backdoors!BI25=TRUE),VLOOKUP(Calculator!E23,tbSkills!DH3:DJ6,3,FALSE),0),0))/100)))),1),"")</f>
        <v>1</v>
      </c>
      <c r="FC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Z80)*FB80)*(VLOOKUP(A80,tbMoveset!A2:C112,3,FALSE)/100)*IF(VLOOKUP(A80,tbMoveset!A2:B112,2,FALSE)="Projectile",Backdoors!N10,Backdoors!N9),0),"")</f>
        <v/>
      </c>
      <c r="FD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Z80&gt;=0.45,VLOOKUP(Calculator!E23,tbSkills!DH3:DI6,2,FALSE)+IF(AND(Calculator!B8=TRUE,Backdoors!BI25=TRUE),VLOOKUP(Calculator!E23,tbSkills!DH3:DJ6,3,FALSE),0),0))&gt;=100,100,(Backdoors!AI12+IF(EZ80&gt;=0.45,VLOOKUP(Calculator!E23,tbSkills!DH3:DI6,2,FALSE)+IF(AND(Calculator!B8=TRUE,Backdoors!BI25=TRUE),VLOOKUP(Calculator!E23,tbSkills!DH3:DJ6,3,FALSE),0),0)))/100)),1))*IF(VLOOKUP(A80,tbMoveset!A2:K112,11,FALSE)=TRUE,Backdoors!AC5,1))*FA80,0),"")</f>
        <v>0</v>
      </c>
      <c r="FE80" s="49">
        <f>VLOOKUP(A80,tbMoveset!A2:G112,7,FALSE)*IFERROR(IF(Backdoors!AI12&gt;=0,1+(IF(Calculator!E40&gt;0,VLOOKUP(Calculator!E40,tbSkills!AI3:AJ5,2,FALSE),Backdoors!AL4)*(IF((Backdoors!AI12+IF(EZ80&gt;=0.45,VLOOKUP(Calculator!E23,tbSkills!DH3:DI6,2,FALSE)+IF(AND(Calculator!B8=TRUE,Backdoors!BI25=TRUE),VLOOKUP(Calculator!E23,tbSkills!DH3:DJ6,3,FALSE),0),0))&gt;=100,100,(Backdoors!AI12+IF(EZ80&gt;=0.45,VLOOKUP(Calculator!E23,tbSkills!DH3:DI6,2,FALSE)+IF(AND(Calculator!B8=TRUE,Backdoors!BI25=TRUE),VLOOKUP(Calculator!E23,tbSkills!DH3:DJ6,3,FALSE),0),0)))/100)),1),1)</f>
        <v>0.6</v>
      </c>
      <c r="FF80" s="87">
        <f t="shared" si="73"/>
        <v>0</v>
      </c>
      <c r="FG80" s="86" t="str">
        <f>IFERROR(IF(VLOOKUP(A80,tbMoveset!A2:B112,2,FALSE)="Sever",Backdoors!AY26/100,IF(VLOOKUP(A80,tbMoveset!A2:B112,2,FALSE)="Blunt",Backdoors!AZ26/100,Backdoors!BA26/100)),"")</f>
        <v/>
      </c>
      <c r="FH80" s="49">
        <f>IFERROR(IF(VLOOKUP(tbMoveset!A80,tbMoveset!A2:H112,8,FALSE)="Other",IF(VLOOKUP(tbMoveset!A80,tbMoveset!A2:I112,9,FALSE)="Fire",Backdoors!BB26,IF(VLOOKUP(tbMoveset!A80,tbMoveset!A2:I112,9,FALSE)="Water",Backdoors!BC26,IF(VLOOKUP(tbMoveset!A80,tbMoveset!A2:I112,9,FALSE)="Thunder",Backdoors!BD26,IF(VLOOKUP(tbMoveset!A80,tbMoveset!A2:I112,9,FALSE)="Ice",Backdoors!BE26,IF(VLOOKUP(tbMoveset!A80,tbMoveset!A2:I112,9,FALSE)="Dragon",Backdoors!BF26,Backdoors!BG26)))))/100,Backdoors!BG26/100),"")</f>
        <v>0</v>
      </c>
      <c r="FI80" s="49">
        <f>IFERROR(IF(VLOOKUP(A80,tbMoveset!A2:J112,10,FALSE)=TRUE,IF((Backdoors!AI12+IF(FG80&gt;=0.45,VLOOKUP(Calculator!E23,tbSkills!DH3:DI6,2,FALSE)+IF(AND(Calculator!B8=TRUE,Backdoors!BI26=TRUE),VLOOKUP(Calculator!E23,tbSkills!DH3:DJ6,3,FALSE),0),0))&gt;=0,1+(Backdoors!AL2*(IF((Backdoors!AI12+IF(FG80&gt;=0.45,VLOOKUP(Calculator!E23,tbSkills!DH3:DI6,2,FALSE)+IF(AND(Calculator!B8=TRUE,Backdoors!BI26=TRUE),VLOOKUP(Calculator!E23,tbSkills!DH3:DJ6,3,FALSE),0),0))&gt;=100,100,(Backdoors!AI12+IF(FG80&gt;=0.45,VLOOKUP(Calculator!E23,tbSkills!DH3:DI6,2,FALSE)+IF(AND(Calculator!B8=TRUE,Backdoors!BI26=TRUE),VLOOKUP(Calculator!E23,tbSkills!DH3:DJ6,3,FALSE),0),0)))/100)),(1-(0.25*((-Backdoors!AI12-IF(FG80&gt;=0.45,VLOOKUP(Calculator!E23,tbSkills!DH3:DI6,2,FALSE)+IF(AND(Calculator!B8=TRUE,Backdoors!BI26=TRUE),VLOOKUP(Calculator!E23,tbSkills!DH3:DJ6,3,FALSE),0),0))/100)))),1),"")</f>
        <v>1</v>
      </c>
      <c r="FJ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FG80)*FI80)*(VLOOKUP(A80,tbMoveset!A2:C112,3,FALSE)/100)*IF(VLOOKUP(A80,tbMoveset!A2:B112,2,FALSE)="Projectile",Backdoors!N10,Backdoors!N9),0),"")</f>
        <v/>
      </c>
      <c r="FK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FG80&gt;=0.45,VLOOKUP(Calculator!E23,tbSkills!DH3:DI6,2,FALSE)+IF(AND(Calculator!B8=TRUE,Backdoors!BI26=TRUE),VLOOKUP(Calculator!E23,tbSkills!DH3:DJ6,3,FALSE),0),0))&gt;=100,100,(Backdoors!AI12+IF(FG80&gt;=0.45,VLOOKUP(Calculator!E23,tbSkills!DH3:DI6,2,FALSE)+IF(AND(Calculator!B8=TRUE,Backdoors!BI26=TRUE),VLOOKUP(Calculator!E23,tbSkills!DH3:DJ6,3,FALSE),0),0)))/100)),1))*IF(VLOOKUP(A80,tbMoveset!A2:K112,11,FALSE)=TRUE,Backdoors!AC5,1))*FH80,0),"")</f>
        <v>0</v>
      </c>
      <c r="FL80" s="49">
        <f>VLOOKUP(A80,tbMoveset!A2:G112,7,FALSE)*IFERROR(IF(Backdoors!AI12&gt;=0,1+(IF(Calculator!E40&gt;0,VLOOKUP(Calculator!E40,tbSkills!AI3:AJ5,2,FALSE),Backdoors!AL4)*(IF((Backdoors!AI12+IF(FG80&gt;=0.45,VLOOKUP(Calculator!E23,tbSkills!DH3:DI6,2,FALSE)+IF(AND(Calculator!B8=TRUE,Backdoors!BI26=TRUE),VLOOKUP(Calculator!E23,tbSkills!DH3:DJ6,3,FALSE),0),0))&gt;=100,100,(Backdoors!AI12+IF(FG80&gt;=0.45,VLOOKUP(Calculator!E23,tbSkills!DH3:DI6,2,FALSE)+IF(AND(Calculator!B8=TRUE,Backdoors!BI26=TRUE),VLOOKUP(Calculator!E23,tbSkills!DH3:DJ6,3,FALSE),0),0)))/100)),1),1)</f>
        <v>0.6</v>
      </c>
      <c r="FM80" s="87">
        <f t="shared" si="74"/>
        <v>0</v>
      </c>
      <c r="FN80" s="86" t="str">
        <f>IFERROR(IF(VLOOKUP(A80,tbMoveset!A2:B112,2,FALSE)="Sever",Backdoors!AY27/100,IF(VLOOKUP(A80,tbMoveset!A2:B112,2,FALSE)="Blunt",Backdoors!AZ27/100,Backdoors!BA27/100)),"")</f>
        <v/>
      </c>
      <c r="FO80" s="49">
        <f>IFERROR(IF(VLOOKUP(tbMoveset!A80,tbMoveset!A2:H112,8,FALSE)="Other",IF(VLOOKUP(tbMoveset!A80,tbMoveset!A2:I112,9,FALSE)="Fire",Backdoors!BB27,IF(VLOOKUP(tbMoveset!A80,tbMoveset!A2:I112,9,FALSE)="Water",Backdoors!BC27,IF(VLOOKUP(tbMoveset!A80,tbMoveset!A2:I112,9,FALSE)="Thunder",Backdoors!BD27,IF(VLOOKUP(tbMoveset!A80,tbMoveset!A2:I112,9,FALSE)="Ice",Backdoors!BE27,IF(VLOOKUP(tbMoveset!A80,tbMoveset!A2:I112,9,FALSE)="Dragon",Backdoors!BF27,Backdoors!BG27)))))/100,Backdoors!BG27/100),"")</f>
        <v>0</v>
      </c>
      <c r="FP80" s="49">
        <f>IFERROR(IF(VLOOKUP(A80,tbMoveset!A2:J112,10,FALSE)=TRUE,IF((Backdoors!AI12+IF(FN80&gt;=0.45,VLOOKUP(Calculator!E23,tbSkills!DH3:DI6,2,FALSE)+IF(AND(Calculator!B8=TRUE,Backdoors!BI27=TRUE),VLOOKUP(Calculator!E23,tbSkills!DH3:DJ6,3,FALSE),0),0))&gt;=0,1+(Backdoors!AL2*(IF((Backdoors!AI12+IF(FN80&gt;=0.45,VLOOKUP(Calculator!E23,tbSkills!DH3:DI6,2,FALSE)+IF(AND(Calculator!B8=TRUE,Backdoors!BI27=TRUE),VLOOKUP(Calculator!E23,tbSkills!DH3:DJ6,3,FALSE),0),0))&gt;=100,100,(Backdoors!AI12+IF(FN80&gt;=0.45,VLOOKUP(Calculator!E23,tbSkills!DH3:DI6,2,FALSE)+IF(AND(Calculator!B8=TRUE,Backdoors!BI27=TRUE),VLOOKUP(Calculator!E23,tbSkills!DH3:DJ6,3,FALSE),0),0)))/100)),(1-(0.25*((-Backdoors!AI12-IF(FN80&gt;=0.45,VLOOKUP(Calculator!E23,tbSkills!DH3:DI6,2,FALSE)+IF(AND(Calculator!B8=TRUE,Backdoors!BI27=TRUE),VLOOKUP(Calculator!E23,tbSkills!DH3:DJ6,3,FALSE),0),0))/100)))),1),"")</f>
        <v>1</v>
      </c>
      <c r="FQ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FN80)*FP80)*(VLOOKUP(A80,tbMoveset!A2:C112,3,FALSE)/100)*IF(VLOOKUP(A80,tbMoveset!A2:B112,2,FALSE)="Projectile",Backdoors!N10,Backdoors!N9),0),"")</f>
        <v/>
      </c>
      <c r="FR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FN80&gt;=0.45,VLOOKUP(Calculator!E23,tbSkills!DH3:DI6,2,FALSE)+IF(AND(Calculator!B8=TRUE,Backdoors!BI27=TRUE),VLOOKUP(Calculator!E23,tbSkills!DH3:DJ6,3,FALSE),0),0))&gt;=100,100,(Backdoors!AI12+IF(FN80&gt;=0.45,VLOOKUP(Calculator!E23,tbSkills!DH3:DI6,2,FALSE)+IF(AND(Calculator!B8=TRUE,Backdoors!BI27=TRUE),VLOOKUP(Calculator!E23,tbSkills!DH3:DJ6,3,FALSE),0),0)))/100)),1))*IF(VLOOKUP(A80,tbMoveset!A2:K112,11,FALSE)=TRUE,Backdoors!AC5,1))*FO80,0),"")</f>
        <v>0</v>
      </c>
      <c r="FS80" s="49">
        <f>VLOOKUP(A80,tbMoveset!A2:G112,7,FALSE)*IFERROR(IF(Backdoors!AI12&gt;=0,1+(IF(Calculator!E40&gt;0,VLOOKUP(Calculator!E40,tbSkills!AI3:AJ5,2,FALSE),Backdoors!AL4)*(IF((Backdoors!AI12+IF(FN80&gt;=0.45,VLOOKUP(Calculator!E23,tbSkills!DH3:DI6,2,FALSE)+IF(AND(Calculator!B8=TRUE,Backdoors!BI27=TRUE),VLOOKUP(Calculator!E23,tbSkills!DH3:DJ6,3,FALSE),0),0))&gt;=100,100,(Backdoors!AI12+IF(FN80&gt;=0.45,VLOOKUP(Calculator!E23,tbSkills!DH3:DI6,2,FALSE)+IF(AND(Calculator!B8=TRUE,Backdoors!BI27=TRUE),VLOOKUP(Calculator!E23,tbSkills!DH3:DJ6,3,FALSE),0),0)))/100)),1),1)</f>
        <v>0.6</v>
      </c>
      <c r="FT80" s="87">
        <f t="shared" si="75"/>
        <v>0</v>
      </c>
      <c r="FU80" s="86" t="str">
        <f>IFERROR(IF(VLOOKUP(A80,tbMoveset!A2:B112,2,FALSE)="Sever",Backdoors!AY28/100,IF(VLOOKUP(A80,tbMoveset!A2:B112,2,FALSE)="Blunt",Backdoors!AZ28/100,Backdoors!BA28/100)),"")</f>
        <v/>
      </c>
      <c r="FV80" s="49">
        <f>IFERROR(IF(VLOOKUP(tbMoveset!A80,tbMoveset!A2:H112,8,FALSE)="Other",IF(VLOOKUP(tbMoveset!A80,tbMoveset!A2:I112,9,FALSE)="Fire",Backdoors!BB28,IF(VLOOKUP(tbMoveset!A80,tbMoveset!A2:I112,9,FALSE)="Water",Backdoors!BC28,IF(VLOOKUP(tbMoveset!A80,tbMoveset!A2:I112,9,FALSE)="Thunder",Backdoors!BD28,IF(VLOOKUP(tbMoveset!A80,tbMoveset!A2:I112,9,FALSE)="Ice",Backdoors!BE28,IF(VLOOKUP(tbMoveset!A80,tbMoveset!A2:I112,9,FALSE)="Dragon",Backdoors!BF28,Backdoors!BG28)))))/100,Backdoors!BG28/100),"")</f>
        <v>0</v>
      </c>
      <c r="FW80" s="49">
        <f>IFERROR(IF(VLOOKUP(A80,tbMoveset!A2:J112,10,FALSE)=TRUE,IF((Backdoors!AI12+IF(FU80&gt;=0.45,VLOOKUP(Calculator!E23,tbSkills!DH3:DI6,2,FALSE)+IF(AND(Calculator!B8=TRUE,Backdoors!BI28=TRUE),VLOOKUP(Calculator!E23,tbSkills!DH3:DJ6,3,FALSE),0),0))&gt;=0,1+(Backdoors!AL2*(IF((Backdoors!AI12+IF(FU80&gt;=0.45,VLOOKUP(Calculator!E23,tbSkills!DH3:DI6,2,FALSE)+IF(AND(Calculator!B8=TRUE,Backdoors!BI28=TRUE),VLOOKUP(Calculator!E23,tbSkills!DH3:DJ6,3,FALSE),0),0))&gt;=100,100,(Backdoors!AI12+IF(FU80&gt;=0.45,VLOOKUP(Calculator!E23,tbSkills!DH3:DI6,2,FALSE)+IF(AND(Calculator!B8=TRUE,Backdoors!BI28=TRUE),VLOOKUP(Calculator!E23,tbSkills!DH3:DJ6,3,FALSE),0),0)))/100)),(1-(0.25*((-Backdoors!AI12-IF(FU80&gt;=0.45,VLOOKUP(Calculator!E23,tbSkills!DH3:DI6,2,FALSE)+IF(AND(Calculator!B8=TRUE,Backdoors!BI28=TRUE),VLOOKUP(Calculator!E23,tbSkills!DH3:DJ6,3,FALSE),0),0))/100)))),1),"")</f>
        <v>1</v>
      </c>
      <c r="FX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FU80)*FW80)*(VLOOKUP(A80,tbMoveset!A2:C112,3,FALSE)/100)*IF(VLOOKUP(A80,tbMoveset!A2:B112,2,FALSE)="Projectile",Backdoors!N10,Backdoors!N9),0),"")</f>
        <v/>
      </c>
      <c r="FY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FU80&gt;=0.45,VLOOKUP(Calculator!E23,tbSkills!DH3:DI6,2,FALSE)+IF(AND(Calculator!B8=TRUE,Backdoors!BI28=TRUE),VLOOKUP(Calculator!E23,tbSkills!DH3:DJ6,3,FALSE),0),0))&gt;=100,100,(Backdoors!AI12+IF(FU80&gt;=0.45,VLOOKUP(Calculator!E23,tbSkills!DH3:DI6,2,FALSE)+IF(AND(Calculator!B8=TRUE,Backdoors!BI28=TRUE),VLOOKUP(Calculator!E23,tbSkills!DH3:DJ6,3,FALSE),0),0)))/100)),1))*IF(VLOOKUP(A80,tbMoveset!A2:K112,11,FALSE)=TRUE,Backdoors!AC5,1))*FV80,0),"")</f>
        <v>0</v>
      </c>
      <c r="FZ80" s="49">
        <f>VLOOKUP(A80,tbMoveset!A2:G112,7,FALSE)*IFERROR(IF(Backdoors!AI12&gt;=0,1+(IF(Calculator!E40&gt;0,VLOOKUP(Calculator!E40,tbSkills!AI3:AJ5,2,FALSE),Backdoors!AL4)*(IF((Backdoors!AI12+IF(FU80&gt;=0.45,VLOOKUP(Calculator!E23,tbSkills!DH3:DI6,2,FALSE)+IF(AND(Calculator!B8=TRUE,Backdoors!BI28=TRUE),VLOOKUP(Calculator!E23,tbSkills!DH3:DJ6,3,FALSE),0),0))&gt;=100,100,(Backdoors!AI12+IF(FU80&gt;=0.45,VLOOKUP(Calculator!E23,tbSkills!DH3:DI6,2,FALSE)+IF(AND(Calculator!B8=TRUE,Backdoors!BI28=TRUE),VLOOKUP(Calculator!E23,tbSkills!DH3:DJ6,3,FALSE),0),0)))/100)),1),1)</f>
        <v>0.6</v>
      </c>
      <c r="GA80" s="87">
        <f t="shared" si="76"/>
        <v>0</v>
      </c>
      <c r="GB80" s="86" t="str">
        <f>IFERROR(IF(VLOOKUP(A80,tbMoveset!A2:B112,2,FALSE)="Sever",Backdoors!AY29/100,IF(VLOOKUP(A80,tbMoveset!A2:B112,2,FALSE)="Blunt",Backdoors!AZ29/100,Backdoors!BA29/100)),"")</f>
        <v/>
      </c>
      <c r="GC80" s="49">
        <f>IFERROR(IF(VLOOKUP(tbMoveset!A80,tbMoveset!A2:H112,8,FALSE)="Other",IF(VLOOKUP(tbMoveset!A80,tbMoveset!A2:I112,9,FALSE)="Fire",Backdoors!BB29,IF(VLOOKUP(tbMoveset!A80,tbMoveset!A2:I112,9,FALSE)="Water",Backdoors!BC29,IF(VLOOKUP(tbMoveset!A80,tbMoveset!A2:I112,9,FALSE)="Thunder",Backdoors!BD29,IF(VLOOKUP(tbMoveset!A80,tbMoveset!A2:I112,9,FALSE)="Ice",Backdoors!BE29,IF(VLOOKUP(tbMoveset!A80,tbMoveset!A2:I112,9,FALSE)="Dragon",Backdoors!BF29,Backdoors!BG29)))))/100,Backdoors!BG29/100),"")</f>
        <v>0</v>
      </c>
      <c r="GD80" s="49">
        <f>IFERROR(IF(VLOOKUP(A80,tbMoveset!A2:J112,10,FALSE)=TRUE,IF((Backdoors!AI12+IF(GB80&gt;=0.45,VLOOKUP(Calculator!E23,tbSkills!DH3:DI6,2,FALSE)+IF(AND(Calculator!B8=TRUE,Backdoors!BI29=TRUE),VLOOKUP(Calculator!E23,tbSkills!DH3:DJ6,3,FALSE),0),0))&gt;=0,1+(Backdoors!AL2*(IF((Backdoors!AI12+IF(GB80&gt;=0.45,VLOOKUP(Calculator!E23,tbSkills!DH3:DI6,2,FALSE)+IF(AND(Calculator!B8=TRUE,Backdoors!BI29=TRUE),VLOOKUP(Calculator!E23,tbSkills!DH3:DJ6,3,FALSE),0),0))&gt;=100,100,(Backdoors!AI12+IF(GB80&gt;=0.45,VLOOKUP(Calculator!E23,tbSkills!DH3:DI6,2,FALSE)+IF(AND(Calculator!B8=TRUE,Backdoors!BI29=TRUE),VLOOKUP(Calculator!E23,tbSkills!DH3:DJ6,3,FALSE),0),0)))/100)),(1-(0.25*((-Backdoors!AI12-IF(GB80&gt;=0.45,VLOOKUP(Calculator!E23,tbSkills!DH3:DI6,2,FALSE)+IF(AND(Calculator!B8=TRUE,Backdoors!BI29=TRUE),VLOOKUP(Calculator!E23,tbSkills!DH3:DJ6,3,FALSE),0),0))/100)))),1),"")</f>
        <v>1</v>
      </c>
      <c r="GE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B80)*GD80)*(VLOOKUP(A80,tbMoveset!A2:C112,3,FALSE)/100)*IF(VLOOKUP(A80,tbMoveset!A2:B112,2,FALSE)="Projectile",Backdoors!N10,Backdoors!N9),0),"")</f>
        <v/>
      </c>
      <c r="GF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B80&gt;=0.45,VLOOKUP(Calculator!E23,tbSkills!DH3:DI6,2,FALSE)+IF(AND(Calculator!B8=TRUE,Backdoors!BI29=TRUE),VLOOKUP(Calculator!E23,tbSkills!DH3:DJ6,3,FALSE),0),0))&gt;=100,100,(Backdoors!AI12+IF(GB80&gt;=0.45,VLOOKUP(Calculator!E23,tbSkills!DH3:DI6,2,FALSE)+IF(AND(Calculator!B8=TRUE,Backdoors!BI29=TRUE),VLOOKUP(Calculator!E23,tbSkills!DH3:DJ6,3,FALSE),0),0)))/100)),1))*IF(VLOOKUP(A80,tbMoveset!A2:K112,11,FALSE)=TRUE,Backdoors!AC5,1))*GC80,0),"")</f>
        <v>0</v>
      </c>
      <c r="GG80" s="49">
        <f>VLOOKUP(A80,tbMoveset!A2:G112,7,FALSE)*IFERROR(IF(Backdoors!AI12&gt;=0,1+(IF(Calculator!E40&gt;0,VLOOKUP(Calculator!E40,tbSkills!AI3:AJ5,2,FALSE),Backdoors!AL4)*(IF((Backdoors!AI12+IF(GB80&gt;=0.45,VLOOKUP(Calculator!E23,tbSkills!DH3:DI6,2,FALSE)+IF(AND(Calculator!B8=TRUE,Backdoors!BI29=TRUE),VLOOKUP(Calculator!E23,tbSkills!DH3:DJ6,3,FALSE),0),0))&gt;=100,100,(Backdoors!AI12+IF(GB80&gt;=0.45,VLOOKUP(Calculator!E23,tbSkills!DH3:DI6,2,FALSE)+IF(AND(Calculator!B8=TRUE,Backdoors!BI29=TRUE),VLOOKUP(Calculator!E23,tbSkills!DH3:DJ6,3,FALSE),0),0)))/100)),1),1)</f>
        <v>0.6</v>
      </c>
      <c r="GH80" s="87">
        <f t="shared" si="77"/>
        <v>0</v>
      </c>
      <c r="GI80" s="86" t="str">
        <f>IFERROR(IF(VLOOKUP(A80,tbMoveset!A2:B112,2,FALSE)="Sever",Backdoors!AY30/100,IF(VLOOKUP(A80,tbMoveset!A2:B112,2,FALSE)="Blunt",Backdoors!AZ30/100,Backdoors!BA30/100)),"")</f>
        <v/>
      </c>
      <c r="GJ80" s="49">
        <f>IFERROR(IF(VLOOKUP(tbMoveset!A80,tbMoveset!A2:H112,8,FALSE)="Other",IF(VLOOKUP(tbMoveset!A80,tbMoveset!A2:I112,9,FALSE)="Fire",Backdoors!BB30,IF(VLOOKUP(tbMoveset!A80,tbMoveset!A2:I112,9,FALSE)="Water",Backdoors!BC30,IF(VLOOKUP(tbMoveset!A80,tbMoveset!A2:I112,9,FALSE)="Thunder",Backdoors!BD30,IF(VLOOKUP(tbMoveset!A80,tbMoveset!A2:I112,9,FALSE)="Ice",Backdoors!BE30,IF(VLOOKUP(tbMoveset!A80,tbMoveset!A2:I112,9,FALSE)="Dragon",Backdoors!BF30,Backdoors!BG30)))))/100,Backdoors!BG30/100),"")</f>
        <v>0</v>
      </c>
      <c r="GK80" s="49">
        <f>IFERROR(IF(VLOOKUP(A80,tbMoveset!A2:J112,10,FALSE)=TRUE,IF((Backdoors!AI12+IF(GI80&gt;=0.45,VLOOKUP(Calculator!E23,tbSkills!DH3:DI6,2,FALSE)+IF(AND(Calculator!B8=TRUE,Backdoors!BI30=TRUE),VLOOKUP(Calculator!E23,tbSkills!DH3:DJ6,3,FALSE),0),0))&gt;=0,1+(Backdoors!AL2*(IF((Backdoors!AI12+IF(GI80&gt;=0.45,VLOOKUP(Calculator!E23,tbSkills!DH3:DI6,2,FALSE)+IF(AND(Calculator!B8=TRUE,Backdoors!BI30=TRUE),VLOOKUP(Calculator!E23,tbSkills!DH3:DJ6,3,FALSE),0),0))&gt;=100,100,(Backdoors!AI12+IF(GI80&gt;=0.45,VLOOKUP(Calculator!E23,tbSkills!DH3:DI6,2,FALSE)+IF(AND(Calculator!B8=TRUE,Backdoors!BI30=TRUE),VLOOKUP(Calculator!E23,tbSkills!DH3:DJ6,3,FALSE),0),0)))/100)),(1-(0.25*((-Backdoors!AI12-IF(GI80&gt;=0.45,VLOOKUP(Calculator!E23,tbSkills!DH3:DI6,2,FALSE)+IF(AND(Calculator!B8=TRUE,Backdoors!BI30=TRUE),VLOOKUP(Calculator!E23,tbSkills!DH3:DJ6,3,FALSE),0),0))/100)))),1),"")</f>
        <v>1</v>
      </c>
      <c r="GL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I80)*GK80)*(VLOOKUP(A80,tbMoveset!A2:C112,3,FALSE)/100)*IF(VLOOKUP(A80,tbMoveset!A2:B112,2,FALSE)="Projectile",Backdoors!N10,Backdoors!N9),0),"")</f>
        <v/>
      </c>
      <c r="GM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I80&gt;=0.45,VLOOKUP(Calculator!E23,tbSkills!DH3:DI6,2,FALSE)+IF(AND(Calculator!B8=TRUE,Backdoors!BI30=TRUE),VLOOKUP(Calculator!E23,tbSkills!DH3:DJ6,3,FALSE),0),0))&gt;=100,100,(Backdoors!AI12+IF(GI80&gt;=0.45,VLOOKUP(Calculator!E23,tbSkills!DH3:DI6,2,FALSE)+IF(AND(Calculator!B8=TRUE,Backdoors!BI30=TRUE),VLOOKUP(Calculator!E23,tbSkills!DH3:DJ6,3,FALSE),0),0)))/100)),1))*IF(VLOOKUP(A80,tbMoveset!A2:K112,11,FALSE)=TRUE,Backdoors!AC5,1))*GJ80,0),"")</f>
        <v>0</v>
      </c>
      <c r="GN80" s="49">
        <f>VLOOKUP(A80,tbMoveset!A2:G112,7,FALSE)*IFERROR(IF(Backdoors!AI12&gt;=0,1+(IF(Calculator!E40&gt;0,VLOOKUP(Calculator!E40,tbSkills!AI3:AJ5,2,FALSE),Backdoors!AL4)*(IF((Backdoors!AI12+IF(GI80&gt;=0.45,VLOOKUP(Calculator!E23,tbSkills!DH3:DI6,2,FALSE)+IF(AND(Calculator!B8=TRUE,Backdoors!BI30=TRUE),VLOOKUP(Calculator!E23,tbSkills!DH3:DJ6,3,FALSE),0),0))&gt;=100,100,(Backdoors!AI12+IF(GI80&gt;=0.45,VLOOKUP(Calculator!E23,tbSkills!DH3:DI6,2,FALSE)+IF(AND(Calculator!B8=TRUE,Backdoors!BI30=TRUE),VLOOKUP(Calculator!E23,tbSkills!DH3:DJ6,3,FALSE),0),0)))/100)),1),1)</f>
        <v>0.6</v>
      </c>
      <c r="GO80" s="87">
        <f t="shared" si="78"/>
        <v>0</v>
      </c>
      <c r="GP80" s="86" t="str">
        <f>IFERROR(IF(VLOOKUP(A80,tbMoveset!A2:B112,2,FALSE)="Sever",Backdoors!AY31/100,IF(VLOOKUP(A80,tbMoveset!A2:B112,2,FALSE)="Blunt",Backdoors!AZ31/100,Backdoors!BA31/100)),"")</f>
        <v/>
      </c>
      <c r="GQ80" s="49">
        <f>IFERROR(IF(VLOOKUP(tbMoveset!A80,tbMoveset!A2:H112,8,FALSE)="Other",IF(VLOOKUP(tbMoveset!A80,tbMoveset!A2:I112,9,FALSE)="Fire",Backdoors!BB31,IF(VLOOKUP(tbMoveset!A80,tbMoveset!A2:I112,9,FALSE)="Water",Backdoors!BC31,IF(VLOOKUP(tbMoveset!A80,tbMoveset!A2:I112,9,FALSE)="Thunder",Backdoors!BD31,IF(VLOOKUP(tbMoveset!A80,tbMoveset!A2:I112,9,FALSE)="Ice",Backdoors!BE31,IF(VLOOKUP(tbMoveset!A80,tbMoveset!A2:I112,9,FALSE)="Dragon",Backdoors!BF31,Backdoors!BG31)))))/100,Backdoors!BG31/100),"")</f>
        <v>0</v>
      </c>
      <c r="GR80" s="49">
        <f>IFERROR(IF(VLOOKUP(A80,tbMoveset!A2:J112,10,FALSE)=TRUE,IF((Backdoors!AI12+IF(GP80&gt;=0.45,VLOOKUP(Calculator!E23,tbSkills!DH3:DI6,2,FALSE)+IF(AND(Calculator!B8=TRUE,Backdoors!BI31=TRUE),VLOOKUP(Calculator!E23,tbSkills!DH3:DJ6,3,FALSE),0),0))&gt;=0,1+(Backdoors!AL2*(IF((Backdoors!AI12+IF(GP80&gt;=0.45,VLOOKUP(Calculator!E23,tbSkills!DH3:DI6,2,FALSE)+IF(AND(Calculator!B8=TRUE,Backdoors!BI31=TRUE),VLOOKUP(Calculator!E23,tbSkills!DH3:DJ6,3,FALSE),0),0))&gt;=100,100,(Backdoors!AI12+IF(GP80&gt;=0.45,VLOOKUP(Calculator!E23,tbSkills!DH3:DI6,2,FALSE)+IF(AND(Calculator!B8=TRUE,Backdoors!BI31=TRUE),VLOOKUP(Calculator!E23,tbSkills!DH3:DJ6,3,FALSE),0),0)))/100)),(1-(0.25*((-Backdoors!AI12-IF(GP80&gt;=0.45,VLOOKUP(Calculator!E23,tbSkills!DH3:DI6,2,FALSE)+IF(AND(Calculator!B8=TRUE,Backdoors!BI31=TRUE),VLOOKUP(Calculator!E23,tbSkills!DH3:DJ6,3,FALSE),0),0))/100)))),1),"")</f>
        <v>1</v>
      </c>
      <c r="GS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P80)*GR80)*(VLOOKUP(A80,tbMoveset!A2:C112,3,FALSE)/100)*IF(VLOOKUP(A80,tbMoveset!A2:B112,2,FALSE)="Projectile",Backdoors!N10,Backdoors!N9),0),"")</f>
        <v/>
      </c>
      <c r="GT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P80&gt;=0.45,VLOOKUP(Calculator!E23,tbSkills!DH3:DI6,2,FALSE)+IF(AND(Calculator!B8=TRUE,Backdoors!BI31=TRUE),VLOOKUP(Calculator!E23,tbSkills!DH3:DJ6,3,FALSE),0),0))&gt;=100,100,(Backdoors!AI12+IF(GP80&gt;=0.45,VLOOKUP(Calculator!E23,tbSkills!DH3:DI6,2,FALSE)+IF(AND(Calculator!B8=TRUE,Backdoors!BI31=TRUE),VLOOKUP(Calculator!E23,tbSkills!DH3:DJ6,3,FALSE),0),0)))/100)),1))*IF(VLOOKUP(A80,tbMoveset!A2:K112,11,FALSE)=TRUE,Backdoors!AC5,1))*GQ80,0),"")</f>
        <v>0</v>
      </c>
      <c r="GU80" s="49">
        <f>VLOOKUP(A80,tbMoveset!A2:G112,7,FALSE)*IFERROR(IF(Backdoors!AI12&gt;=0,1+(IF(Calculator!E40&gt;0,VLOOKUP(Calculator!E40,tbSkills!AI3:AJ5,2,FALSE),Backdoors!AL4)*(IF((Backdoors!AI12+IF(GP80&gt;=0.45,VLOOKUP(Calculator!E23,tbSkills!DH3:DI6,2,FALSE)+IF(AND(Calculator!B8=TRUE,Backdoors!BI31=TRUE),VLOOKUP(Calculator!E23,tbSkills!DH3:DJ6,3,FALSE),0),0))&gt;=100,100,(Backdoors!AI12+IF(GP80&gt;=0.45,VLOOKUP(Calculator!E23,tbSkills!DH3:DI6,2,FALSE)+IF(AND(Calculator!B8=TRUE,Backdoors!BI31=TRUE),VLOOKUP(Calculator!E23,tbSkills!DH3:DJ6,3,FALSE),0),0)))/100)),1),1)</f>
        <v>0.6</v>
      </c>
      <c r="GV80" s="87">
        <f t="shared" si="79"/>
        <v>0</v>
      </c>
      <c r="GW80" s="86" t="str">
        <f>IFERROR(IF(VLOOKUP(A80,tbMoveset!A2:B112,2,FALSE)="Sever",Backdoors!AY32/100,IF(VLOOKUP(A80,tbMoveset!A2:B112,2,FALSE)="Blunt",Backdoors!AZ32/100,Backdoors!BA32/100)),"")</f>
        <v/>
      </c>
      <c r="GX80" s="49">
        <f>IFERROR(IF(VLOOKUP(tbMoveset!A80,tbMoveset!A2:H112,8,FALSE)="Other",IF(VLOOKUP(tbMoveset!A80,tbMoveset!A2:I112,9,FALSE)="Fire",Backdoors!BB32,IF(VLOOKUP(tbMoveset!A80,tbMoveset!A2:I112,9,FALSE)="Water",Backdoors!BC32,IF(VLOOKUP(tbMoveset!A80,tbMoveset!A2:I112,9,FALSE)="Thunder",Backdoors!BD32,IF(VLOOKUP(tbMoveset!A80,tbMoveset!A2:I112,9,FALSE)="Ice",Backdoors!BE32,IF(VLOOKUP(tbMoveset!A80,tbMoveset!A2:I112,9,FALSE)="Dragon",Backdoors!BF32,Backdoors!BG32)))))/100,Backdoors!BG32/100),"")</f>
        <v>0</v>
      </c>
      <c r="GY80" s="49">
        <f>IFERROR(IF(VLOOKUP(A80,tbMoveset!A2:J112,10,FALSE)=TRUE,IF((Backdoors!AI12+IF(GW80&gt;=0.45,VLOOKUP(Calculator!E23,tbSkills!DH3:DI6,2,FALSE)+IF(AND(Calculator!B8=TRUE,Backdoors!BI32=TRUE),VLOOKUP(Calculator!E23,tbSkills!DH3:DJ6,3,FALSE),0),0))&gt;=0,1+(Backdoors!AL2*(IF((Backdoors!AI12+IF(GW80&gt;=0.45,VLOOKUP(Calculator!E23,tbSkills!DH3:DI6,2,FALSE)+IF(AND(Calculator!B8=TRUE,Backdoors!BI32=TRUE),VLOOKUP(Calculator!E23,tbSkills!DH3:DJ6,3,FALSE),0),0))&gt;=100,100,(Backdoors!AI12+IF(GW80&gt;=0.45,VLOOKUP(Calculator!E23,tbSkills!DH3:DI6,2,FALSE)+IF(AND(Calculator!B8=TRUE,Backdoors!BI32=TRUE),VLOOKUP(Calculator!E23,tbSkills!DH3:DJ6,3,FALSE),0),0)))/100)),(1-(0.25*((-Backdoors!AI12-IF(GW80&gt;=0.45,VLOOKUP(Calculator!E23,tbSkills!DH3:DI6,2,FALSE)+IF(AND(Calculator!B8=TRUE,Backdoors!BI32=TRUE),VLOOKUP(Calculator!E23,tbSkills!DH3:DJ6,3,FALSE),0),0))/100)))),1),"")</f>
        <v>1</v>
      </c>
      <c r="GZ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W80)*GY80)*(VLOOKUP(A80,tbMoveset!A2:C112,3,FALSE)/100)*IF(VLOOKUP(A80,tbMoveset!A2:B112,2,FALSE)="Projectile",Backdoors!N10,Backdoors!N9),0),"")</f>
        <v/>
      </c>
      <c r="HA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W80&gt;=0.45,VLOOKUP(Calculator!E23,tbSkills!DH3:DI6,2,FALSE)+IF(AND(Calculator!B8=TRUE,Backdoors!BI32=TRUE),VLOOKUP(Calculator!E23,tbSkills!DH3:DJ6,3,FALSE),0),0))&gt;=100,100,(Backdoors!AI12+IF(GW80&gt;=0.45,VLOOKUP(Calculator!E23,tbSkills!DH3:DI6,2,FALSE)+IF(AND(Calculator!B8=TRUE,Backdoors!BI32=TRUE),VLOOKUP(Calculator!E23,tbSkills!DH3:DJ6,3,FALSE),0),0)))/100)),1))*IF(VLOOKUP(A80,tbMoveset!A2:K112,11,FALSE)=TRUE,Backdoors!AC5,1))*GX80,0),"")</f>
        <v>0</v>
      </c>
      <c r="HB80" s="49">
        <f>VLOOKUP(A80,tbMoveset!A2:G112,7,FALSE)*IFERROR(IF(Backdoors!AI12&gt;=0,1+(IF(Calculator!E40&gt;0,VLOOKUP(Calculator!E40,tbSkills!AI3:AJ5,2,FALSE),Backdoors!AL4)*(IF((Backdoors!AI12+IF(GW80&gt;=0.45,VLOOKUP(Calculator!E23,tbSkills!DH3:DI6,2,FALSE)+IF(AND(Calculator!B8=TRUE,Backdoors!BI32=TRUE),VLOOKUP(Calculator!E23,tbSkills!DH3:DJ6,3,FALSE),0),0))&gt;=100,100,(Backdoors!AI12+IF(GW80&gt;=0.45,VLOOKUP(Calculator!E23,tbSkills!DH3:DI6,2,FALSE)+IF(AND(Calculator!B8=TRUE,Backdoors!BI32=TRUE),VLOOKUP(Calculator!E23,tbSkills!DH3:DJ6,3,FALSE),0),0)))/100)),1),1)</f>
        <v>0.6</v>
      </c>
      <c r="HC80" s="87">
        <f t="shared" si="80"/>
        <v>0</v>
      </c>
      <c r="HD80" s="86" t="str">
        <f>IFERROR(IF(VLOOKUP(A80,tbMoveset!A2:B112,2,FALSE)="Sever",Backdoors!AY33/100,IF(VLOOKUP(A80,tbMoveset!A2:B112,2,FALSE)="Blunt",Backdoors!AZ33/100,Backdoors!BA33/100)),"")</f>
        <v/>
      </c>
      <c r="HE80" s="49">
        <f>IFERROR(IF(VLOOKUP(tbMoveset!A80,tbMoveset!A2:H112,8,FALSE)="Other",IF(VLOOKUP(tbMoveset!A80,tbMoveset!A2:I112,9,FALSE)="Fire",Backdoors!BB33,IF(VLOOKUP(tbMoveset!A80,tbMoveset!A2:I112,9,FALSE)="Water",Backdoors!BC33,IF(VLOOKUP(tbMoveset!A80,tbMoveset!A2:I112,9,FALSE)="Thunder",Backdoors!BD33,IF(VLOOKUP(tbMoveset!A80,tbMoveset!A2:I112,9,FALSE)="Ice",Backdoors!BE33,IF(VLOOKUP(tbMoveset!A80,tbMoveset!A2:I112,9,FALSE)="Dragon",Backdoors!BF33,Backdoors!BG33)))))/100,Backdoors!BG33/100),"")</f>
        <v>0</v>
      </c>
      <c r="HF80" s="49">
        <f>IFERROR(IF(VLOOKUP(A80,tbMoveset!A2:J112,10,FALSE)=TRUE,IF((Backdoors!AI12+IF(HD80&gt;=0.45,VLOOKUP(Calculator!E23,tbSkills!DH3:DI6,2,FALSE)+IF(AND(Calculator!B8=TRUE,Backdoors!BI33=TRUE),VLOOKUP(Calculator!E23,tbSkills!DH3:DJ6,3,FALSE),0),0))&gt;=0,1+(Backdoors!AL2*(IF((Backdoors!AI12+IF(HD80&gt;=0.45,VLOOKUP(Calculator!E23,tbSkills!DH3:DI6,2,FALSE)+IF(AND(Calculator!B8=TRUE,Backdoors!BI33=TRUE),VLOOKUP(Calculator!E23,tbSkills!DH3:DJ6,3,FALSE),0),0))&gt;=100,100,(Backdoors!AI12+IF(HD80&gt;=0.45,VLOOKUP(Calculator!E23,tbSkills!DH3:DI6,2,FALSE)+IF(AND(Calculator!B8=TRUE,Backdoors!BI33=TRUE),VLOOKUP(Calculator!E23,tbSkills!DH3:DJ6,3,FALSE),0),0)))/100)),(1-(0.25*((-Backdoors!AI12-IF(HD80&gt;=0.45,VLOOKUP(Calculator!E23,tbSkills!DH3:DI6,2,FALSE)+IF(AND(Calculator!B8=TRUE,Backdoors!BI33=TRUE),VLOOKUP(Calculator!E23,tbSkills!DH3:DJ6,3,FALSE),0),0))/100)))),1),"")</f>
        <v>1</v>
      </c>
      <c r="HG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D80)*HF80)*(VLOOKUP(A80,tbMoveset!A2:C112,3,FALSE)/100)*IF(VLOOKUP(A80,tbMoveset!A2:B112,2,FALSE)="Projectile",Backdoors!N10,Backdoors!N9),0),"")</f>
        <v/>
      </c>
      <c r="HH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D80&gt;=0.45,VLOOKUP(Calculator!E23,tbSkills!DH3:DI6,2,FALSE)+IF(AND(Calculator!B8=TRUE,Backdoors!BI33=TRUE),VLOOKUP(Calculator!E23,tbSkills!DH3:DJ6,3,FALSE),0),0))&gt;=100,100,(Backdoors!AI12+IF(HD80&gt;=0.45,VLOOKUP(Calculator!E23,tbSkills!DH3:DI6,2,FALSE)+IF(AND(Calculator!B8=TRUE,Backdoors!BI33=TRUE),VLOOKUP(Calculator!E23,tbSkills!DH3:DJ6,3,FALSE),0),0)))/100)),1))*IF(VLOOKUP(A80,tbMoveset!A2:K112,11,FALSE)=TRUE,Backdoors!AC5,1))*HE80,0),"")</f>
        <v>0</v>
      </c>
      <c r="HI80" s="49">
        <f>VLOOKUP(A80,tbMoveset!A2:G112,7,FALSE)*IFERROR(IF(Backdoors!AI12&gt;=0,1+(IF(Calculator!E40&gt;0,VLOOKUP(Calculator!E40,tbSkills!AI3:AJ5,2,FALSE),Backdoors!AL4)*(IF((Backdoors!AI12+IF(HD80&gt;=0.45,VLOOKUP(Calculator!E23,tbSkills!DH3:DI6,2,FALSE)+IF(AND(Calculator!B8=TRUE,Backdoors!BI33=TRUE),VLOOKUP(Calculator!E23,tbSkills!DH3:DJ6,3,FALSE),0),0))&gt;=100,100,(Backdoors!AI12+IF(HD80&gt;=0.45,VLOOKUP(Calculator!E23,tbSkills!DH3:DI6,2,FALSE)+IF(AND(Calculator!B8=TRUE,Backdoors!BI33=TRUE),VLOOKUP(Calculator!E23,tbSkills!DH3:DJ6,3,FALSE),0),0)))/100)),1),1)</f>
        <v>0.6</v>
      </c>
      <c r="HJ80" s="87">
        <f t="shared" si="81"/>
        <v>0</v>
      </c>
      <c r="HK80" s="86" t="str">
        <f>IFERROR(IF(VLOOKUP(A80,tbMoveset!A2:B112,2,FALSE)="Sever",Backdoors!AY34/100,IF(VLOOKUP(A80,tbMoveset!A2:B112,2,FALSE)="Blunt",Backdoors!AZ34/100,Backdoors!BA34/100)),"")</f>
        <v/>
      </c>
      <c r="HL80" s="49">
        <f>IFERROR(IF(VLOOKUP(tbMoveset!A80,tbMoveset!A2:H112,8,FALSE)="Other",IF(VLOOKUP(tbMoveset!A80,tbMoveset!A2:I112,9,FALSE)="Fire",Backdoors!BB34,IF(VLOOKUP(tbMoveset!A80,tbMoveset!A2:I112,9,FALSE)="Water",Backdoors!BC34,IF(VLOOKUP(tbMoveset!A80,tbMoveset!A2:I112,9,FALSE)="Thunder",Backdoors!BD34,IF(VLOOKUP(tbMoveset!A80,tbMoveset!A2:I112,9,FALSE)="Ice",Backdoors!BE34,IF(VLOOKUP(tbMoveset!A80,tbMoveset!A2:I112,9,FALSE)="Dragon",Backdoors!BF34,Backdoors!BG34)))))/100,Backdoors!BG34/100),"")</f>
        <v>0</v>
      </c>
      <c r="HM80" s="49">
        <f>IFERROR(IF(VLOOKUP(A80,tbMoveset!A2:J112,10,FALSE)=TRUE,IF((Backdoors!AI12+IF(HK80&gt;=0.45,VLOOKUP(Calculator!E23,tbSkills!DH3:DI6,2,FALSE)+IF(AND(Calculator!B8=TRUE,Backdoors!BI34=TRUE),VLOOKUP(Calculator!E23,tbSkills!DH3:DJ6,3,FALSE),0),0))&gt;=0,1+(Backdoors!AL2*(IF((Backdoors!AI12+IF(HK80&gt;=0.45,VLOOKUP(Calculator!E23,tbSkills!DH3:DI6,2,FALSE)+IF(AND(Calculator!B8=TRUE,Backdoors!BI34=TRUE),VLOOKUP(Calculator!E23,tbSkills!DH3:DJ6,3,FALSE),0),0))&gt;=100,100,(Backdoors!AI12+IF(HK80&gt;=0.45,VLOOKUP(Calculator!E23,tbSkills!DH3:DI6,2,FALSE)+IF(AND(Calculator!B8=TRUE,Backdoors!BI34=TRUE),VLOOKUP(Calculator!E23,tbSkills!DH3:DJ6,3,FALSE),0),0)))/100)),(1-(0.25*((-Backdoors!AI12-IF(HK80&gt;=0.45,VLOOKUP(Calculator!E23,tbSkills!DH3:DI6,2,FALSE)+IF(AND(Calculator!B8=TRUE,Backdoors!BI34=TRUE),VLOOKUP(Calculator!E23,tbSkills!DH3:DJ6,3,FALSE),0),0))/100)))),1),"")</f>
        <v>1</v>
      </c>
      <c r="HN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K80)*HM80)*(VLOOKUP(A80,tbMoveset!A2:C112,3,FALSE)/100)*IF(VLOOKUP(A80,tbMoveset!A2:B112,2,FALSE)="Projectile",Backdoors!N10,Backdoors!N9),0),"")</f>
        <v/>
      </c>
      <c r="HO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K80&gt;=0.45,VLOOKUP(Calculator!E23,tbSkills!DH3:DI6,2,FALSE)+IF(AND(Calculator!B8=TRUE,Backdoors!BI34=TRUE),VLOOKUP(Calculator!E23,tbSkills!DH3:DJ6,3,FALSE),0),0))&gt;=100,100,(Backdoors!AI12+IF(HK80&gt;=0.45,VLOOKUP(Calculator!E23,tbSkills!DH3:DI6,2,FALSE)+IF(AND(Calculator!B8=TRUE,Backdoors!BI34=TRUE),VLOOKUP(Calculator!E23,tbSkills!DH3:DJ6,3,FALSE),0),0)))/100)),1))*IF(VLOOKUP(A80,tbMoveset!A2:K112,11,FALSE)=TRUE,Backdoors!AC5,1))*HL80,0),"")</f>
        <v>0</v>
      </c>
      <c r="HP80" s="49">
        <f>VLOOKUP(A80,tbMoveset!A2:G112,7,FALSE)*IFERROR(IF(Backdoors!AI12&gt;=0,1+(IF(Calculator!E40&gt;0,VLOOKUP(Calculator!E40,tbSkills!AI3:AJ5,2,FALSE),Backdoors!AL4)*(IF((Backdoors!AI12+IF(HK80&gt;=0.45,VLOOKUP(Calculator!E23,tbSkills!DH3:DI6,2,FALSE)+IF(AND(Calculator!B8=TRUE,Backdoors!BI34=TRUE),VLOOKUP(Calculator!E23,tbSkills!DH3:DJ6,3,FALSE),0),0))&gt;=100,100,(Backdoors!AI12+IF(HK80&gt;=0.45,VLOOKUP(Calculator!E23,tbSkills!DH3:DI6,2,FALSE)+IF(AND(Calculator!B8=TRUE,Backdoors!BI34=TRUE),VLOOKUP(Calculator!E23,tbSkills!DH3:DJ6,3,FALSE),0),0)))/100)),1),1)</f>
        <v>0.6</v>
      </c>
      <c r="HQ80" s="87">
        <f t="shared" si="82"/>
        <v>0</v>
      </c>
      <c r="HR80" s="86" t="str">
        <f>IFERROR(IF(VLOOKUP(A80,tbMoveset!A2:B112,2,FALSE)="Sever",Backdoors!AY35/100,IF(VLOOKUP(A80,tbMoveset!A2:B112,2,FALSE)="Blunt",Backdoors!AZ35/100,Backdoors!BA35/100)),"")</f>
        <v/>
      </c>
      <c r="HS80" s="49">
        <f>IFERROR(IF(VLOOKUP(tbMoveset!A80,tbMoveset!A2:H112,8,FALSE)="Other",IF(VLOOKUP(tbMoveset!A80,tbMoveset!A2:I112,9,FALSE)="Fire",Backdoors!BB35,IF(VLOOKUP(tbMoveset!A80,tbMoveset!A2:I112,9,FALSE)="Water",Backdoors!BC35,IF(VLOOKUP(tbMoveset!A80,tbMoveset!A2:I112,9,FALSE)="Thunder",Backdoors!BD35,IF(VLOOKUP(tbMoveset!A80,tbMoveset!A2:I112,9,FALSE)="Ice",Backdoors!BE35,IF(VLOOKUP(tbMoveset!A80,tbMoveset!A2:I112,9,FALSE)="Dragon",Backdoors!BF35,Backdoors!BG35)))))/100,Backdoors!BG35/100),"")</f>
        <v>0</v>
      </c>
      <c r="HT80" s="49">
        <f>IFERROR(IF(VLOOKUP(A80,tbMoveset!A2:J112,10,FALSE)=TRUE,IF((Backdoors!AI12+IF(HR80&gt;=0.45,VLOOKUP(Calculator!E23,tbSkills!DH3:DI6,2,FALSE)+IF(AND(Calculator!B8=TRUE,Backdoors!BI35=TRUE),VLOOKUP(Calculator!E23,tbSkills!DH3:DJ6,3,FALSE),0),0))&gt;=0,1+(Backdoors!AL2*(IF((Backdoors!AI12+IF(HR80&gt;=0.45,VLOOKUP(Calculator!E23,tbSkills!DH3:DI6,2,FALSE)+IF(AND(Calculator!B8=TRUE,Backdoors!BI35=TRUE),VLOOKUP(Calculator!E23,tbSkills!DH3:DJ6,3,FALSE),0),0))&gt;=100,100,(Backdoors!AI12+IF(HR80&gt;=0.45,VLOOKUP(Calculator!E23,tbSkills!DH3:DI6,2,FALSE)+IF(AND(Calculator!B8=TRUE,Backdoors!BI35=TRUE),VLOOKUP(Calculator!E23,tbSkills!DH3:DJ6,3,FALSE),0),0)))/100)),(1-(0.25*((-Backdoors!AI12-IF(HR80&gt;=0.45,VLOOKUP(Calculator!E23,tbSkills!DH3:DI6,2,FALSE)+IF(AND(Calculator!B8=TRUE,Backdoors!BI35=TRUE),VLOOKUP(Calculator!E23,tbSkills!DH3:DJ6,3,FALSE),0),0))/100)))),1),"")</f>
        <v>1</v>
      </c>
      <c r="HU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R80)*HT80)*(VLOOKUP(A80,tbMoveset!A2:C112,3,FALSE)/100)*IF(VLOOKUP(A80,tbMoveset!A2:B112,2,FALSE)="Projectile",Backdoors!N10,Backdoors!N9),0),"")</f>
        <v/>
      </c>
      <c r="HV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R80&gt;=0.45,VLOOKUP(Calculator!E23,tbSkills!DH3:DI6,2,FALSE)+IF(AND(Calculator!B8=TRUE,Backdoors!BI35=TRUE),VLOOKUP(Calculator!E23,tbSkills!DH3:DJ6,3,FALSE),0),0))&gt;=100,100,(Backdoors!AI12+IF(HR80&gt;=0.45,VLOOKUP(Calculator!E23,tbSkills!DH3:DI6,2,FALSE)+IF(AND(Calculator!B8=TRUE,Backdoors!BI35=TRUE),VLOOKUP(Calculator!E23,tbSkills!DH3:DJ6,3,FALSE),0),0)))/100)),1))*IF(VLOOKUP(A80,tbMoveset!A2:K112,11,FALSE)=TRUE,Backdoors!AC5,1))*HS80,0),"")</f>
        <v>0</v>
      </c>
      <c r="HW80" s="49">
        <f>VLOOKUP(A80,tbMoveset!A2:G112,7,FALSE)*IFERROR(IF(Backdoors!AI12&gt;=0,1+(IF(Calculator!E40&gt;0,VLOOKUP(Calculator!E40,tbSkills!AI3:AJ5,2,FALSE),Backdoors!AL4)*(IF((Backdoors!AI12+IF(HR80&gt;=0.45,VLOOKUP(Calculator!E23,tbSkills!DH3:DI6,2,FALSE)+IF(AND(Calculator!B8=TRUE,Backdoors!BI35=TRUE),VLOOKUP(Calculator!E23,tbSkills!DH3:DJ6,3,FALSE),0),0))&gt;=100,100,(Backdoors!AI12+IF(HR80&gt;=0.45,VLOOKUP(Calculator!E23,tbSkills!DH3:DI6,2,FALSE)+IF(AND(Calculator!B8=TRUE,Backdoors!BI35=TRUE),VLOOKUP(Calculator!E23,tbSkills!DH3:DJ6,3,FALSE),0),0)))/100)),1),1)</f>
        <v>0.6</v>
      </c>
      <c r="HX80" s="87">
        <f t="shared" si="83"/>
        <v>0</v>
      </c>
      <c r="HY80" s="86" t="str">
        <f>IFERROR(IF(VLOOKUP(A80,tbMoveset!A2:B112,2,FALSE)="Sever",Backdoors!AY36/100,IF(VLOOKUP(A80,tbMoveset!A2:B112,2,FALSE)="Blunt",Backdoors!AZ36/100,Backdoors!BA36/100)),"")</f>
        <v/>
      </c>
      <c r="HZ80" s="49">
        <f>IFERROR(IF(VLOOKUP(tbMoveset!A80,tbMoveset!A2:H112,8,FALSE)="Other",IF(VLOOKUP(tbMoveset!A80,tbMoveset!A2:I112,9,FALSE)="Fire",Backdoors!BB36,IF(VLOOKUP(tbMoveset!A80,tbMoveset!A2:I112,9,FALSE)="Water",Backdoors!BC36,IF(VLOOKUP(tbMoveset!A80,tbMoveset!A2:I112,9,FALSE)="Thunder",Backdoors!BD36,IF(VLOOKUP(tbMoveset!A80,tbMoveset!A2:I112,9,FALSE)="Ice",Backdoors!BE36,IF(VLOOKUP(tbMoveset!A80,tbMoveset!A2:I112,9,FALSE)="Dragon",Backdoors!BF36,Backdoors!BG36)))))/100,Backdoors!BG36/100),"")</f>
        <v>0</v>
      </c>
      <c r="IA80" s="49">
        <f>IFERROR(IF(VLOOKUP(A80,tbMoveset!A2:J112,10,FALSE)=TRUE,IF((Backdoors!AI12+IF(HY80&gt;=0.45,VLOOKUP(Calculator!E23,tbSkills!DH3:DI6,2,FALSE)+IF(AND(Calculator!B8=TRUE,Backdoors!BI36=TRUE),VLOOKUP(Calculator!E23,tbSkills!DH3:DJ6,3,FALSE),0),0))&gt;=0,1+(Backdoors!AL2*(IF((Backdoors!AI12+IF(HY80&gt;=0.45,VLOOKUP(Calculator!E23,tbSkills!DH3:DI6,2,FALSE)+IF(AND(Calculator!B8=TRUE,Backdoors!BI36=TRUE),VLOOKUP(Calculator!E23,tbSkills!DH3:DJ6,3,FALSE),0),0))&gt;=100,100,(Backdoors!AI12+IF(HY80&gt;=0.45,VLOOKUP(Calculator!E23,tbSkills!DH3:DI6,2,FALSE)+IF(AND(Calculator!B8=TRUE,Backdoors!BI36=TRUE),VLOOKUP(Calculator!E23,tbSkills!DH3:DJ6,3,FALSE),0),0)))/100)),(1-(0.25*((-Backdoors!AI12-IF(HY80&gt;=0.45,VLOOKUP(Calculator!E23,tbSkills!DH3:DI6,2,FALSE)+IF(AND(Calculator!B8=TRUE,Backdoors!BI36=TRUE),VLOOKUP(Calculator!E23,tbSkills!DH3:DJ6,3,FALSE),0),0))/100)))),1),"")</f>
        <v>1</v>
      </c>
      <c r="IB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Y80)*IA80)*(VLOOKUP(A80,tbMoveset!A2:C112,3,FALSE)/100)*IF(VLOOKUP(A80,tbMoveset!A2:B112,2,FALSE)="Projectile",Backdoors!N10,Backdoors!N9),0),"")</f>
        <v/>
      </c>
      <c r="IC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Y80&gt;=0.45,VLOOKUP(Calculator!E23,tbSkills!DH3:DI6,2,FALSE)+IF(AND(Calculator!B8=TRUE,Backdoors!BI36=TRUE),VLOOKUP(Calculator!E23,tbSkills!DH3:DJ6,3,FALSE),0),0))&gt;=100,100,(Backdoors!AI12+IF(HY80&gt;=0.45,VLOOKUP(Calculator!E23,tbSkills!DH3:DI6,2,FALSE)+IF(AND(Calculator!B8=TRUE,Backdoors!BI36=TRUE),VLOOKUP(Calculator!E23,tbSkills!DH3:DJ6,3,FALSE),0),0)))/100)),1))*IF(VLOOKUP(A80,tbMoveset!A2:K112,11,FALSE)=TRUE,Backdoors!AC5,1))*HZ80,0),"")</f>
        <v>0</v>
      </c>
      <c r="ID80" s="49">
        <f>VLOOKUP(A80,tbMoveset!A2:G112,7,FALSE)*IFERROR(IF(Backdoors!AI12&gt;=0,1+(IF(Calculator!E40&gt;0,VLOOKUP(Calculator!E40,tbSkills!AI3:AJ5,2,FALSE),Backdoors!AL4)*(IF((Backdoors!AI12+IF(HY80&gt;=0.45,VLOOKUP(Calculator!E23,tbSkills!DH3:DI6,2,FALSE)+IF(AND(Calculator!B8=TRUE,Backdoors!BI36=TRUE),VLOOKUP(Calculator!E23,tbSkills!DH3:DJ6,3,FALSE),0),0))&gt;=100,100,(Backdoors!AI12+IF(HY80&gt;=0.45,VLOOKUP(Calculator!E23,tbSkills!DH3:DI6,2,FALSE)+IF(AND(Calculator!B8=TRUE,Backdoors!BI36=TRUE),VLOOKUP(Calculator!E23,tbSkills!DH3:DJ6,3,FALSE),0),0)))/100)),1),1)</f>
        <v>0.6</v>
      </c>
      <c r="IE80" s="87">
        <f t="shared" si="84"/>
        <v>0</v>
      </c>
      <c r="IF80" s="86" t="str">
        <f>IFERROR(IF(VLOOKUP(A80,tbMoveset!A2:B112,2,FALSE)="Sever",Backdoors!AY37/100,IF(VLOOKUP(A80,tbMoveset!A2:B112,2,FALSE)="Blunt",Backdoors!AZ37/100,Backdoors!BA37/100)),"")</f>
        <v/>
      </c>
      <c r="IG80" s="49">
        <f>IFERROR(IF(VLOOKUP(tbMoveset!A80,tbMoveset!A2:H112,8,FALSE)="Other",IF(VLOOKUP(tbMoveset!A80,tbMoveset!A2:I112,9,FALSE)="Fire",Backdoors!BB37,IF(VLOOKUP(tbMoveset!A80,tbMoveset!A2:I112,9,FALSE)="Water",Backdoors!BC37,IF(VLOOKUP(tbMoveset!A80,tbMoveset!A2:I112,9,FALSE)="Thunder",Backdoors!BD37,IF(VLOOKUP(tbMoveset!A80,tbMoveset!A2:I112,9,FALSE)="Ice",Backdoors!BE37,IF(VLOOKUP(tbMoveset!A80,tbMoveset!A2:I112,9,FALSE)="Dragon",Backdoors!BF37,Backdoors!BG37)))))/100,Backdoors!BG37/100),"")</f>
        <v>0</v>
      </c>
      <c r="IH80" s="49">
        <f>IFERROR(IF(VLOOKUP(A80,tbMoveset!A2:J112,10,FALSE)=TRUE,IF((Backdoors!AI12+IF(IF80&gt;=0.45,VLOOKUP(Calculator!E23,tbSkills!DH3:DI6,2,FALSE)+IF(AND(Calculator!B8=TRUE,Backdoors!BI37=TRUE),VLOOKUP(Calculator!E23,tbSkills!DH3:DJ6,3,FALSE),0),0))&gt;=0,1+(Backdoors!AL2*(IF((Backdoors!AI12+IF(IF80&gt;=0.45,VLOOKUP(Calculator!E23,tbSkills!DH3:DI6,2,FALSE)+IF(AND(Calculator!B8=TRUE,Backdoors!BI37=TRUE),VLOOKUP(Calculator!E23,tbSkills!DH3:DJ6,3,FALSE),0),0))&gt;=100,100,(Backdoors!AI12+IF(IF80&gt;=0.45,VLOOKUP(Calculator!E23,tbSkills!DH3:DI6,2,FALSE)+IF(AND(Calculator!B8=TRUE,Backdoors!BI37=TRUE),VLOOKUP(Calculator!E23,tbSkills!DH3:DJ6,3,FALSE),0),0)))/100)),(1-(0.25*((-Backdoors!AI12-IF(IF80&gt;=0.45,VLOOKUP(Calculator!E23,tbSkills!DH3:DI6,2,FALSE)+IF(AND(Calculator!B8=TRUE,Backdoors!BI37=TRUE),VLOOKUP(Calculator!E23,tbSkills!DH3:DJ6,3,FALSE),0),0))/100)))),1),"")</f>
        <v>1</v>
      </c>
      <c r="II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F80)*IH80)*(VLOOKUP(A80,tbMoveset!A2:C112,3,FALSE)/100)*IF(VLOOKUP(A80,tbMoveset!A2:B112,2,FALSE)="Projectile",Backdoors!N10,Backdoors!N9),0),"")</f>
        <v/>
      </c>
      <c r="IJ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IF80&gt;=0.45,VLOOKUP(Calculator!E23,tbSkills!DH3:DI6,2,FALSE)+IF(AND(Calculator!B8=TRUE,Backdoors!BI37=TRUE),VLOOKUP(Calculator!E23,tbSkills!DH3:DJ6,3,FALSE),0),0))&gt;=100,100,(Backdoors!AI12+IF(IF80&gt;=0.45,VLOOKUP(Calculator!E23,tbSkills!DH3:DI6,2,FALSE)+IF(AND(Calculator!B8=TRUE,Backdoors!BI37=TRUE),VLOOKUP(Calculator!E23,tbSkills!DH3:DJ6,3,FALSE),0),0)))/100)),1))*IF(VLOOKUP(A80,tbMoveset!A2:K112,11,FALSE)=TRUE,Backdoors!AC5,1))*IG80,0),"")</f>
        <v>0</v>
      </c>
      <c r="IK80" s="49">
        <f>VLOOKUP(A80,tbMoveset!A2:G112,7,FALSE)*IFERROR(IF(Backdoors!AI12&gt;=0,1+(IF(Calculator!E40&gt;0,VLOOKUP(Calculator!E40,tbSkills!AI3:AJ5,2,FALSE),Backdoors!AL4)*(IF((Backdoors!AI12+IF(IF80&gt;=0.45,VLOOKUP(Calculator!E23,tbSkills!DH3:DI6,2,FALSE)+IF(AND(Calculator!B8=TRUE,Backdoors!BI37=TRUE),VLOOKUP(Calculator!E23,tbSkills!DH3:DJ6,3,FALSE),0),0))&gt;=100,100,(Backdoors!AI12+IF(IF80&gt;=0.45,VLOOKUP(Calculator!E23,tbSkills!DH3:DI6,2,FALSE)+IF(AND(Calculator!B8=TRUE,Backdoors!BI37=TRUE),VLOOKUP(Calculator!E23,tbSkills!DH3:DJ6,3,FALSE),0),0)))/100)),1),1)</f>
        <v>0.6</v>
      </c>
      <c r="IL80" s="87">
        <f t="shared" si="85"/>
        <v>0</v>
      </c>
      <c r="IM80" s="86" t="str">
        <f>IFERROR(IF(VLOOKUP(A80,tbMoveset!A2:B112,2,FALSE)="Sever",Backdoors!AY38/100,IF(VLOOKUP(A80,tbMoveset!A2:B112,2,FALSE)="Blunt",Backdoors!AZ38/100,Backdoors!BA38/100)),"")</f>
        <v/>
      </c>
      <c r="IN80" s="49">
        <f>IFERROR(IF(VLOOKUP(tbMoveset!A80,tbMoveset!A2:H112,8,FALSE)="Other",IF(VLOOKUP(tbMoveset!A80,tbMoveset!A2:I112,9,FALSE)="Fire",Backdoors!BB38,IF(VLOOKUP(tbMoveset!A80,tbMoveset!A2:I112,9,FALSE)="Water",Backdoors!BC38,IF(VLOOKUP(tbMoveset!A80,tbMoveset!A2:I112,9,FALSE)="Thunder",Backdoors!BD38,IF(VLOOKUP(tbMoveset!A80,tbMoveset!A2:I112,9,FALSE)="Ice",Backdoors!BE38,IF(VLOOKUP(tbMoveset!A80,tbMoveset!A2:I112,9,FALSE)="Dragon",Backdoors!BF38,Backdoors!BG38)))))/100,Backdoors!BG38/100),"")</f>
        <v>0</v>
      </c>
      <c r="IO80" s="49">
        <f>IFERROR(IF(VLOOKUP(A80,tbMoveset!A2:J112,10,FALSE)=TRUE,IF((Backdoors!AI12+IF(IM80&gt;=0.45,VLOOKUP(Calculator!E23,tbSkills!DH3:DI6,2,FALSE)+IF(AND(Calculator!B8=TRUE,Backdoors!BI38=TRUE),VLOOKUP(Calculator!E23,tbSkills!DH3:DJ6,3,FALSE),0),0))&gt;=0,1+(Backdoors!AL2*(IF((Backdoors!AI12+IF(IM80&gt;=0.45,VLOOKUP(Calculator!E23,tbSkills!DH3:DI6,2,FALSE)+IF(AND(Calculator!B8=TRUE,Backdoors!BI38=TRUE),VLOOKUP(Calculator!E23,tbSkills!DH3:DJ6,3,FALSE),0),0))&gt;=100,100,(Backdoors!AI12+IF(IM80&gt;=0.45,VLOOKUP(Calculator!E23,tbSkills!DH3:DI6,2,FALSE)+IF(AND(Calculator!B8=TRUE,Backdoors!BI38=TRUE),VLOOKUP(Calculator!E23,tbSkills!DH3:DJ6,3,FALSE),0),0)))/100)),(1-(0.25*((-Backdoors!AI12-IF(IM80&gt;=0.45,VLOOKUP(Calculator!E23,tbSkills!DH3:DI6,2,FALSE)+IF(AND(Calculator!B8=TRUE,Backdoors!BI38=TRUE),VLOOKUP(Calculator!E23,tbSkills!DH3:DJ6,3,FALSE),0),0))/100)))),1),"")</f>
        <v>1</v>
      </c>
      <c r="IP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M80)*IO80)*(VLOOKUP(A80,tbMoveset!A2:C112,3,FALSE)/100)*IF(VLOOKUP(A80,tbMoveset!A2:B112,2,FALSE)="Projectile",Backdoors!N10,Backdoors!N9),0),"")</f>
        <v/>
      </c>
      <c r="IQ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IM80&gt;=0.45,VLOOKUP(Calculator!E23,tbSkills!DH3:DI6,2,FALSE)+IF(AND(Calculator!B8=TRUE,Backdoors!BI38=TRUE),VLOOKUP(Calculator!E23,tbSkills!DH3:DJ6,3,FALSE),0),0))&gt;=100,100,(Backdoors!AI12+IF(IM80&gt;=0.45,VLOOKUP(Calculator!E23,tbSkills!DH3:DI6,2,FALSE)+IF(AND(Calculator!B8=TRUE,Backdoors!BI38=TRUE),VLOOKUP(Calculator!E23,tbSkills!DH3:DJ6,3,FALSE),0),0)))/100)),1))*IF(VLOOKUP(A80,tbMoveset!A2:K112,11,FALSE)=TRUE,Backdoors!AC5,1))*IN80,0),"")</f>
        <v>0</v>
      </c>
      <c r="IR80" s="49">
        <f>VLOOKUP(A80,tbMoveset!A2:G112,7,FALSE)*IFERROR(IF(Backdoors!AI12&gt;=0,1+(IF(Calculator!E40&gt;0,VLOOKUP(Calculator!E40,tbSkills!AI3:AJ5,2,FALSE),Backdoors!AL4)*(IF((Backdoors!AI12+IF(IM80&gt;=0.45,VLOOKUP(Calculator!E23,tbSkills!DH3:DI6,2,FALSE)+IF(AND(Calculator!B8=TRUE,Backdoors!BI38=TRUE),VLOOKUP(Calculator!E23,tbSkills!DH3:DJ6,3,FALSE),0),0))&gt;=100,100,(Backdoors!AI12+IF(IM80&gt;=0.45,VLOOKUP(Calculator!E23,tbSkills!DH3:DI6,2,FALSE)+IF(AND(Calculator!B8=TRUE,Backdoors!BI38=TRUE),VLOOKUP(Calculator!E23,tbSkills!DH3:DJ6,3,FALSE),0),0)))/100)),1),1)</f>
        <v>0.6</v>
      </c>
      <c r="IS80" s="87">
        <f t="shared" si="86"/>
        <v>0</v>
      </c>
      <c r="IT80" s="86" t="str">
        <f>IFERROR(IF(VLOOKUP(A80,tbMoveset!A2:B112,2,FALSE)="Sever",Backdoors!AY39/100,IF(VLOOKUP(A80,tbMoveset!A2:B112,2,FALSE)="Blunt",Backdoors!AZ39/100,Backdoors!BA39/100)),"")</f>
        <v/>
      </c>
      <c r="IU80" s="49">
        <f>IFERROR(IF(VLOOKUP(tbMoveset!A80,tbMoveset!A2:H112,8,FALSE)="Other",IF(VLOOKUP(tbMoveset!A80,tbMoveset!A2:I112,9,FALSE)="Fire",Backdoors!BB39,IF(VLOOKUP(tbMoveset!A80,tbMoveset!A2:I112,9,FALSE)="Water",Backdoors!BC39,IF(VLOOKUP(tbMoveset!A80,tbMoveset!A2:I112,9,FALSE)="Thunder",Backdoors!BD39,IF(VLOOKUP(tbMoveset!A80,tbMoveset!A2:I112,9,FALSE)="Ice",Backdoors!BE39,IF(VLOOKUP(tbMoveset!A80,tbMoveset!A2:I112,9,FALSE)="Dragon",Backdoors!BF39,Backdoors!BG39)))))/100,Backdoors!BG39/100),"")</f>
        <v>0</v>
      </c>
      <c r="IV80" s="49">
        <f>IFERROR(IF(VLOOKUP(A80,tbMoveset!A2:J112,10,FALSE)=TRUE,IF((Backdoors!AI12+IF(IT80&gt;=0.45,VLOOKUP(Calculator!E23,tbSkills!DH3:DI6,2,FALSE)+IF(AND(Calculator!B8=TRUE,Backdoors!BI39=TRUE),VLOOKUP(Calculator!E23,tbSkills!DH3:DJ6,3,FALSE),0),0))&gt;=0,1+(Backdoors!AL2*(IF((Backdoors!AI12+IF(IT80&gt;=0.45,VLOOKUP(Calculator!E23,tbSkills!DH3:DI6,2,FALSE)+IF(AND(Calculator!B8=TRUE,Backdoors!BI39=TRUE),VLOOKUP(Calculator!E23,tbSkills!DH3:DJ6,3,FALSE),0),0))&gt;=100,100,(Backdoors!AI12+IF(IT80&gt;=0.45,VLOOKUP(Calculator!E23,tbSkills!DH3:DI6,2,FALSE)+IF(AND(Calculator!B8=TRUE,Backdoors!BI39=TRUE),VLOOKUP(Calculator!E23,tbSkills!DH3:DJ6,3,FALSE),0),0)))/100)),(1-(0.25*((-Backdoors!AI12-IF(IT80&gt;=0.45,VLOOKUP(Calculator!E23,tbSkills!DH3:DI6,2,FALSE)+IF(AND(Calculator!B8=TRUE,Backdoors!BI39=TRUE),VLOOKUP(Calculator!E23,tbSkills!DH3:DJ6,3,FALSE),0),0))/100)))),1),"")</f>
        <v>1</v>
      </c>
      <c r="IW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T80)*IV80)*(VLOOKUP(A80,tbMoveset!A2:C112,3,FALSE)/100)*IF(VLOOKUP(A80,tbMoveset!A2:B112,2,FALSE)="Projectile",Backdoors!N10,Backdoors!N9),0),"")</f>
        <v/>
      </c>
      <c r="IX80" s="49">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40&gt;0,VLOOKUP(Calculator!E40,tbSkills!AC3:AD5,2,FALSE),Backdoors!AL3)*(IF((Backdoors!AI12+IF(IT80&gt;=0.45,VLOOKUP(Calculator!E23,tbSkills!DH3:DI6,2,FALSE)+IF(AND(Calculator!B8=TRUE,Backdoors!BI39=TRUE),VLOOKUP(Calculator!E23,tbSkills!DH3:DJ6,3,FALSE),0),0))&gt;=100,100,(Backdoors!AI12+IF(IT80&gt;=0.45,VLOOKUP(Calculator!E23,tbSkills!DH3:DI6,2,FALSE)+IF(AND(Calculator!B8=TRUE,Backdoors!BI39=TRUE),VLOOKUP(Calculator!E23,tbSkills!DH3:DJ6,3,FALSE),0),0)))/100)),1))*IF(VLOOKUP(A80,tbMoveset!A2:K112,11,FALSE)=TRUE,Backdoors!AC5,1))*IU80,0),"")</f>
        <v>0</v>
      </c>
      <c r="IY80" s="49">
        <f>VLOOKUP(A80,tbMoveset!A2:G112,7,FALSE)*IFERROR(IF(Backdoors!AI12&gt;=0,1+(IF(Calculator!E40&gt;0,VLOOKUP(Calculator!E40,tbSkills!AI3:AJ5,2,FALSE),Backdoors!AL4)*(IF((Backdoors!AI12+IF(IT80&gt;=0.45,VLOOKUP(Calculator!E23,tbSkills!DH3:DI6,2,FALSE)+IF(AND(Calculator!B8=TRUE,Backdoors!BI39=TRUE),VLOOKUP(Calculator!E23,tbSkills!DH3:DJ6,3,FALSE),0),0))&gt;=100,100,(Backdoors!AI12+IF(IT80&gt;=0.45,VLOOKUP(Calculator!E23,tbSkills!DH3:DI6,2,FALSE)+IF(AND(Calculator!B8=TRUE,Backdoors!BI39=TRUE),VLOOKUP(Calculator!E23,tbSkills!DH3:DJ6,3,FALSE),0),0)))/100)),1),1)</f>
        <v>0.6</v>
      </c>
      <c r="IZ80" s="87">
        <f t="shared" si="87"/>
        <v>0</v>
      </c>
      <c r="JA80" s="86" t="str">
        <f>IFERROR(IF(VLOOKUP(A80,tbMoveset!A2:B112,2,FALSE)="Sever",Backdoors!AY40/100,IF(VLOOKUP(A80,tbMoveset!A2:B112,2,FALSE)="Blunt",Backdoors!AZ40/100,Backdoors!BA40/100)),"")</f>
        <v/>
      </c>
      <c r="JB80" s="49">
        <f>IFERROR(IF(VLOOKUP(tbMoveset!A80,tbMoveset!A2:H112,8,FALSE)="Other",IF(VLOOKUP(tbMoveset!A80,tbMoveset!A2:I112,9,FALSE)="Fire",Backdoors!BB40,IF(VLOOKUP(tbMoveset!A80,tbMoveset!A2:I112,9,FALSE)="Water",Backdoors!BC40,IF(VLOOKUP(tbMoveset!A80,tbMoveset!A2:I112,9,FALSE)="Thunder",Backdoors!BD40,IF(VLOOKUP(tbMoveset!A80,tbMoveset!A2:I112,9,FALSE)="Ice",Backdoors!BE40,IF(VLOOKUP(tbMoveset!A80,tbMoveset!A2:I112,9,FALSE)="Dragon",Backdoors!BF40,Backdoors!BG40)))))/100,Backdoors!BG40/100),"")</f>
        <v>0</v>
      </c>
      <c r="JC80" s="49">
        <f>IFERROR(IF(VLOOKUP(A80,tbMoveset!A2:J112,10,FALSE)=TRUE,IF((Backdoors!AI12+IF(JA80&gt;=0.45,VLOOKUP(Calculator!E23,tbSkills!DH3:DI6,2,FALSE)+IF(AND(Calculator!B8=TRUE,Backdoors!BI40=TRUE),VLOOKUP(Calculator!E23,tbSkills!DH3:DJ6,3,FALSE),0),0))&gt;=0,1+(Backdoors!AL2*(IF((Backdoors!AI12+IF(JA80&gt;=0.45,VLOOKUP(Calculator!E23,tbSkills!DH3:DI6,2,FALSE)+IF(AND(Calculator!B8=TRUE,Backdoors!BI40=TRUE),VLOOKUP(Calculator!E23,tbSkills!DH3:DJ6,3,FALSE),0),0))&gt;=100,100,(Backdoors!AI12+IF(JA80&gt;=0.45,VLOOKUP(Calculator!E23,tbSkills!DH3:DI6,2,FALSE)+IF(AND(Calculator!B8=TRUE,Backdoors!BI40=TRUE),VLOOKUP(Calculator!E23,tbSkills!DH3:DJ6,3,FALSE),0),0)))/100)),(1-(0.25*((-Backdoors!AI12-IF(JA80&gt;=0.45,VLOOKUP(Calculator!E23,tbSkills!DH3:DI6,2,FALSE)+IF(AND(Calculator!B8=TRUE,Backdoors!BI40=TRUE),VLOOKUP(Calculator!E23,tbSkills!DH3:DJ6,3,FALSE),0),0))/100)))),1),"")</f>
        <v>1</v>
      </c>
      <c r="JD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A80)*JC80)*(VLOOKUP(A80,tbMoveset!A2:C112,3,FALSE)/100)*IF(VLOOKUP(A80,tbMoveset!A2:B112,2,FALSE)="Projectile",Backdoors!N10,Backdoors!N9),0),"")</f>
        <v/>
      </c>
      <c r="JE80" s="49">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42&gt;0,VLOOKUP(Calculator!E42,tbSkills!AC3:AD5,2,FALSE),Backdoors!AL3)*(IF((Backdoors!AI12+IF(JA80&gt;=0.45,VLOOKUP(Calculator!E23,tbSkills!DH3:DI6,2,FALSE)+IF(AND(Calculator!B8=TRUE,Backdoors!BI40=TRUE),VLOOKUP(Calculator!E23,tbSkills!DH3:DJ6,3,FALSE),0),0))&gt;=100,100,(Backdoors!AI12+IF(JA80&gt;=0.45,VLOOKUP(Calculator!E23,tbSkills!DH3:DI6,2,FALSE)+IF(AND(Calculator!B8=TRUE,Backdoors!BI40=TRUE),VLOOKUP(Calculator!E23,tbSkills!DH3:DJ6,3,FALSE),0),0)))/100)),1))*IF(VLOOKUP(A80,tbMoveset!A2:K112,11,FALSE)=TRUE,Backdoors!AC5,1))*JB80,0),"")</f>
        <v>0</v>
      </c>
      <c r="JF80" s="49">
        <f>VLOOKUP(A80,tbMoveset!A2:G112,7,FALSE)*IFERROR(IF(Backdoors!AI12&gt;=0,1+(IF(Calculator!E40&gt;0,VLOOKUP(Calculator!E40,tbSkills!AI3:AJ5,2,FALSE),Backdoors!AL4)*(IF((Backdoors!AI12+IF(JA80&gt;=0.45,VLOOKUP(Calculator!E23,tbSkills!DH3:DI6,2,FALSE)+IF(AND(Calculator!B8=TRUE,Backdoors!BI40=TRUE),VLOOKUP(Calculator!E23,tbSkills!DH3:DJ6,3,FALSE),0),0))&gt;=100,100,(Backdoors!AI12+IF(JA80&gt;=0.45,VLOOKUP(Calculator!E23,tbSkills!DH3:DI6,2,FALSE)+IF(AND(Calculator!B8=TRUE,Backdoors!BI40=TRUE),VLOOKUP(Calculator!E23,tbSkills!DH3:DJ6,3,FALSE),0),0)))/100)),1),1)</f>
        <v>0.6</v>
      </c>
      <c r="JG80" s="87">
        <f t="shared" si="88"/>
        <v>0</v>
      </c>
      <c r="JH80" s="86" t="str">
        <f>IFERROR(IF(VLOOKUP(A80,tbMoveset!A2:B112,2,FALSE)="Sever",Backdoors!AY41/100,IF(VLOOKUP(A80,tbMoveset!A2:B112,2,FALSE)="Blunt",Backdoors!AZ41/100,Backdoors!BA41/100)),"")</f>
        <v/>
      </c>
      <c r="JI80" s="49">
        <f>IFERROR(IF(VLOOKUP(tbMoveset!A80,tbMoveset!A2:H112,8,FALSE)="Other",IF(VLOOKUP(tbMoveset!A80,tbMoveset!A2:I112,9,FALSE)="Fire",Backdoors!BB41,IF(VLOOKUP(tbMoveset!A80,tbMoveset!A2:I112,9,FALSE)="Water",Backdoors!BC41,IF(VLOOKUP(tbMoveset!A80,tbMoveset!A2:I112,9,FALSE)="Thunder",Backdoors!BD41,IF(VLOOKUP(tbMoveset!A80,tbMoveset!A2:I112,9,FALSE)="Ice",Backdoors!BE41,IF(VLOOKUP(tbMoveset!A80,tbMoveset!A2:I112,9,FALSE)="Dragon",Backdoors!BF41,Backdoors!BG41)))))/100,Backdoors!BG41/100),"")</f>
        <v>0</v>
      </c>
      <c r="JJ80" s="49">
        <f>IFERROR(IF(VLOOKUP(A80,tbMoveset!A2:J112,10,FALSE)=TRUE,IF((Backdoors!AI12+IF(JH80&gt;=0.45,VLOOKUP(Calculator!E23,tbSkills!DH3:DI6,2,FALSE)+IF(AND(Calculator!B8=TRUE,Backdoors!BI41=TRUE),VLOOKUP(Calculator!E23,tbSkills!DH3:DJ6,3,FALSE),0),0))&gt;=0,1+(Backdoors!AL2*(IF((Backdoors!AI12+IF(JH80&gt;=0.45,VLOOKUP(Calculator!E23,tbSkills!DH3:DI6,2,FALSE)+IF(AND(Calculator!B8=TRUE,Backdoors!BI41=TRUE),VLOOKUP(Calculator!E23,tbSkills!DH3:DJ6,3,FALSE),0),0))&gt;=100,100,(Backdoors!AI12+IF(JH80&gt;=0.45,VLOOKUP(Calculator!E23,tbSkills!DH3:DI6,2,FALSE)+IF(AND(Calculator!B8=TRUE,Backdoors!BI41=TRUE),VLOOKUP(Calculator!E23,tbSkills!DH3:DJ6,3,FALSE),0),0)))/100)),(1-(0.25*((-Backdoors!AI12-IF(JH80&gt;=0.45,VLOOKUP(Calculator!E23,tbSkills!DH3:DI6,2,FALSE)+IF(AND(Calculator!B8=TRUE,Backdoors!BI41=TRUE),VLOOKUP(Calculator!E23,tbSkills!DH3:DJ6,3,FALSE),0),0))/100)))),1),"")</f>
        <v>1</v>
      </c>
      <c r="JK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H80)*JJ80)*(VLOOKUP(A80,tbMoveset!A2:C112,3,FALSE)/100)*IF(VLOOKUP(A80,tbMoveset!A2:B112,2,FALSE)="Projectile",Backdoors!N10,Backdoors!N9),0),"")</f>
        <v/>
      </c>
      <c r="JL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43&gt;0,VLOOKUP(Calculator!E43,tbSkills!AC3:AD5,2,FALSE),Backdoors!AL3)*(IF((Backdoors!AI12+IF(JH80&gt;=0.45,VLOOKUP(Calculator!E23,tbSkills!DH3:DI6,2,FALSE)+IF(AND(Calculator!B8=TRUE,Backdoors!BI41=TRUE),VLOOKUP(Calculator!E23,tbSkills!DH3:DJ6,3,FALSE),0),0))&gt;=100,100,(Backdoors!AI12+IF(JH80&gt;=0.45,VLOOKUP(Calculator!E23,tbSkills!DH3:DI6,2,FALSE)+IF(AND(Calculator!B8=TRUE,Backdoors!BI41=TRUE),VLOOKUP(Calculator!E23,tbSkills!DH3:DJ6,3,FALSE),0),0)))/100)),1))*IF(VLOOKUP(A80,tbMoveset!A2:K112,11,FALSE)=TRUE,Backdoors!AC5,1))*JI80,0),"")</f>
        <v/>
      </c>
      <c r="JM80" s="49">
        <f>VLOOKUP(A80,tbMoveset!A2:G112,7,FALSE)*IFERROR(IF(Backdoors!AI12&gt;=0,1+(IF(Calculator!E40&gt;0,VLOOKUP(Calculator!E40,tbSkills!AI3:AJ5,2,FALSE),Backdoors!AL4)*(IF((Backdoors!AI12+IF(JH80&gt;=0.45,VLOOKUP(Calculator!E23,tbSkills!DH3:DI6,2,FALSE)+IF(AND(Calculator!B8=TRUE,Backdoors!BI41=TRUE),VLOOKUP(Calculator!E23,tbSkills!DH3:DJ6,3,FALSE),0),0))&gt;=100,100,(Backdoors!AI12+IF(JH80&gt;=0.45,VLOOKUP(Calculator!E23,tbSkills!DH3:DI6,2,FALSE)+IF(AND(Calculator!B8=TRUE,Backdoors!BI41=TRUE),VLOOKUP(Calculator!E23,tbSkills!DH3:DJ6,3,FALSE),0),0)))/100)),1),1)</f>
        <v>0.6</v>
      </c>
      <c r="JN80" s="87">
        <f t="shared" si="89"/>
        <v>0</v>
      </c>
      <c r="JO80" s="86" t="str">
        <f>IFERROR(IF(VLOOKUP(A80,tbMoveset!A2:B112,2,FALSE)="Sever",Backdoors!AY42/100,IF(VLOOKUP(A80,tbMoveset!A2:B112,2,FALSE)="Blunt",Backdoors!AZ42/100,Backdoors!BA42/100)),"")</f>
        <v/>
      </c>
      <c r="JP80" s="49">
        <f>IFERROR(IF(VLOOKUP(tbMoveset!A80,tbMoveset!A2:H112,8,FALSE)="Other",IF(VLOOKUP(tbMoveset!A80,tbMoveset!A2:I112,9,FALSE)="Fire",Backdoors!BB42,IF(VLOOKUP(tbMoveset!A80,tbMoveset!A2:I112,9,FALSE)="Water",Backdoors!BC42,IF(VLOOKUP(tbMoveset!A80,tbMoveset!A2:I112,9,FALSE)="Thunder",Backdoors!BD42,IF(VLOOKUP(tbMoveset!A80,tbMoveset!A2:I112,9,FALSE)="Ice",Backdoors!BE42,IF(VLOOKUP(tbMoveset!A80,tbMoveset!A2:I112,9,FALSE)="Dragon",Backdoors!BF42,Backdoors!BG42)))))/100,Backdoors!BG42/100),"")</f>
        <v>0</v>
      </c>
      <c r="JQ80" s="49">
        <f>IFERROR(IF(VLOOKUP(A80,tbMoveset!A2:J112,10,FALSE)=TRUE,IF((Backdoors!AI12+IF(JO80&gt;=0.45,VLOOKUP(Calculator!E23,tbSkills!DH3:DI6,2,FALSE)+IF(AND(Calculator!B8=TRUE,Backdoors!BI42=TRUE),VLOOKUP(Calculator!E23,tbSkills!DH3:DJ6,3,FALSE),0),0))&gt;=0,1+(Backdoors!AL2*(IF((Backdoors!AI12+IF(JO80&gt;=0.45,VLOOKUP(Calculator!E23,tbSkills!DH3:DI6,2,FALSE)+IF(AND(Calculator!B8=TRUE,Backdoors!BI42=TRUE),VLOOKUP(Calculator!E23,tbSkills!DH3:DJ6,3,FALSE),0),0))&gt;=100,100,(Backdoors!AI12+IF(JO80&gt;=0.45,VLOOKUP(Calculator!E23,tbSkills!DH3:DI6,2,FALSE)+IF(AND(Calculator!B8=TRUE,Backdoors!BI42=TRUE),VLOOKUP(Calculator!E23,tbSkills!DH3:DJ6,3,FALSE),0),0)))/100)),(1-(0.25*((-Backdoors!AI12-IF(JO80&gt;=0.45,VLOOKUP(Calculator!E23,tbSkills!DH3:DI6,2,FALSE)+IF(AND(Calculator!B8=TRUE,Backdoors!BI42=TRUE),VLOOKUP(Calculator!E23,tbSkills!DH3:DJ6,3,FALSE),0),0))/100)))),1),"")</f>
        <v>1</v>
      </c>
      <c r="JR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O80)*JQ80)*(VLOOKUP(A80,tbMoveset!A2:C112,3,FALSE)/100)*IF(VLOOKUP(A80,tbMoveset!A2:B112,2,FALSE)="Projectile",Backdoors!N10,Backdoors!N9),0),"")</f>
        <v/>
      </c>
      <c r="JS80" s="49">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45&gt;0,VLOOKUP(Calculator!E45,tbSkills!AC3:AD5,2,FALSE),Backdoors!AL3)*(IF((Backdoors!AI12+IF(JO80&gt;=0.45,VLOOKUP(Calculator!E23,tbSkills!DH3:DI6,2,FALSE)+IF(AND(Calculator!B8=TRUE,Backdoors!BI42=TRUE),VLOOKUP(Calculator!E23,tbSkills!DH3:DJ6,3,FALSE),0),0))&gt;=100,100,(Backdoors!AI12+IF(JO80&gt;=0.45,VLOOKUP(Calculator!E23,tbSkills!DH3:DI6,2,FALSE)+IF(AND(Calculator!B8=TRUE,Backdoors!BI42=TRUE),VLOOKUP(Calculator!E23,tbSkills!DH3:DJ6,3,FALSE),0),0)))/100)),1))*IF(VLOOKUP(A80,tbMoveset!A2:K112,11,FALSE)=TRUE,Backdoors!AC5,1))*JP80,0),"")</f>
        <v>0</v>
      </c>
      <c r="JT80" s="49">
        <f>VLOOKUP(A80,tbMoveset!A2:G112,7,FALSE)*IFERROR(IF(Backdoors!AI12&gt;=0,1+(IF(Calculator!E40&gt;0,VLOOKUP(Calculator!E40,tbSkills!AI3:AJ5,2,FALSE),Backdoors!AL4)*(IF((Backdoors!AI12+IF(JO80&gt;=0.45,VLOOKUP(Calculator!E23,tbSkills!DH3:DI6,2,FALSE)+IF(AND(Calculator!B8=TRUE,Backdoors!BI42=TRUE),VLOOKUP(Calculator!E23,tbSkills!DH3:DJ6,3,FALSE),0),0))&gt;=100,100,(Backdoors!AI12+IF(JO80&gt;=0.45,VLOOKUP(Calculator!E23,tbSkills!DH3:DI6,2,FALSE)+IF(AND(Calculator!B8=TRUE,Backdoors!BI42=TRUE),VLOOKUP(Calculator!E23,tbSkills!DH3:DJ6,3,FALSE),0),0)))/100)),1),1)</f>
        <v>0.6</v>
      </c>
      <c r="JU80" s="87">
        <f t="shared" si="90"/>
        <v>0</v>
      </c>
      <c r="JV80" s="86" t="str">
        <f>IFERROR(IF(VLOOKUP(A80,tbMoveset!A2:B112,2,FALSE)="Sever",Backdoors!AY43/100,IF(VLOOKUP(A80,tbMoveset!A2:B112,2,FALSE)="Blunt",Backdoors!AZ43/100,Backdoors!BA43/100)),"")</f>
        <v/>
      </c>
      <c r="JW80" s="49">
        <f>IFERROR(IF(VLOOKUP(tbMoveset!A80,tbMoveset!A2:H112,8,FALSE)="Other",IF(VLOOKUP(tbMoveset!A80,tbMoveset!A2:I112,9,FALSE)="Fire",Backdoors!BB43,IF(VLOOKUP(tbMoveset!A80,tbMoveset!A2:I112,9,FALSE)="Water",Backdoors!BC43,IF(VLOOKUP(tbMoveset!A80,tbMoveset!A2:I112,9,FALSE)="Thunder",Backdoors!BD43,IF(VLOOKUP(tbMoveset!A80,tbMoveset!A2:I112,9,FALSE)="Ice",Backdoors!BE43,IF(VLOOKUP(tbMoveset!A80,tbMoveset!A2:I112,9,FALSE)="Dragon",Backdoors!BF43,Backdoors!BG43)))))/100,Backdoors!BG43/100),"")</f>
        <v>0</v>
      </c>
      <c r="JX80" s="49">
        <f>IFERROR(IF(VLOOKUP(A80,tbMoveset!A2:J112,10,FALSE)=TRUE,IF((Backdoors!AI12+IF(JV80&gt;=0.45,VLOOKUP(Calculator!E23,tbSkills!DH3:DI6,2,FALSE)+IF(AND(Calculator!B8=TRUE,Backdoors!BI43=TRUE),VLOOKUP(Calculator!E23,tbSkills!DH3:DJ6,3,FALSE),0),0))&gt;=0,1+(Backdoors!AL2*(IF((Backdoors!AI12+IF(JV80&gt;=0.45,VLOOKUP(Calculator!E23,tbSkills!DH3:DI6,2,FALSE)+IF(AND(Calculator!B8=TRUE,Backdoors!BI43=TRUE),VLOOKUP(Calculator!E23,tbSkills!DH3:DJ6,3,FALSE),0),0))&gt;=100,100,(Backdoors!AI12+IF(JV80&gt;=0.45,VLOOKUP(Calculator!E23,tbSkills!DH3:DI6,2,FALSE)+IF(AND(Calculator!B8=TRUE,Backdoors!BI43=TRUE),VLOOKUP(Calculator!E23,tbSkills!DH3:DJ6,3,FALSE),0),0)))/100)),(1-(0.25*((-Backdoors!AI12-IF(JV80&gt;=0.45,VLOOKUP(Calculator!E23,tbSkills!DH3:DI6,2,FALSE)+IF(AND(Calculator!B8=TRUE,Backdoors!BI43=TRUE),VLOOKUP(Calculator!E23,tbSkills!DH3:DJ6,3,FALSE),0),0))/100)))),1),"")</f>
        <v>1</v>
      </c>
      <c r="JY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V80)*JX80)*(VLOOKUP(A80,tbMoveset!A2:C112,3,FALSE)/100)*IF(VLOOKUP(A80,tbMoveset!A2:B112,2,FALSE)="Projectile",Backdoors!N10,Backdoors!N9),0),"")</f>
        <v/>
      </c>
      <c r="JZ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46&gt;0,VLOOKUP(Calculator!E46,tbSkills!AC3:AD5,2,FALSE),Backdoors!AL3)*(IF((Backdoors!AI12+IF(JV80&gt;=0.45,VLOOKUP(Calculator!E23,tbSkills!DH3:DI6,2,FALSE)+IF(AND(Calculator!B8=TRUE,Backdoors!BI43=TRUE),VLOOKUP(Calculator!E23,tbSkills!DH3:DJ6,3,FALSE),0),0))&gt;=100,100,(Backdoors!AI12+IF(JV80&gt;=0.45,VLOOKUP(Calculator!E23,tbSkills!DH3:DI6,2,FALSE)+IF(AND(Calculator!B8=TRUE,Backdoors!BI43=TRUE),VLOOKUP(Calculator!E23,tbSkills!DH3:DJ6,3,FALSE),0),0)))/100)),1))*IF(VLOOKUP(A80,tbMoveset!A2:K112,11,FALSE)=TRUE,Backdoors!AC5,1))*JW80,0),"")</f>
        <v/>
      </c>
      <c r="KA80" s="49">
        <f>VLOOKUP(A80,tbMoveset!A2:G112,7,FALSE)*IFERROR(IF(Backdoors!AI12&gt;=0,1+(IF(Calculator!E40&gt;0,VLOOKUP(Calculator!E40,tbSkills!AI3:AJ5,2,FALSE),Backdoors!AL4)*(IF((Backdoors!AI12+IF(JV80&gt;=0.45,VLOOKUP(Calculator!E23,tbSkills!DH3:DI6,2,FALSE)+IF(AND(Calculator!B8=TRUE,Backdoors!BI43=TRUE),VLOOKUP(Calculator!E23,tbSkills!DH3:DJ6,3,FALSE),0),0))&gt;=100,100,(Backdoors!AI12+IF(JV80&gt;=0.45,VLOOKUP(Calculator!E23,tbSkills!DH3:DI6,2,FALSE)+IF(AND(Calculator!B8=TRUE,Backdoors!BI43=TRUE),VLOOKUP(Calculator!E23,tbSkills!DH3:DJ6,3,FALSE),0),0)))/100)),1),1)</f>
        <v>0.6</v>
      </c>
      <c r="KB80" s="87">
        <f t="shared" si="91"/>
        <v>0</v>
      </c>
      <c r="KC80" s="86" t="str">
        <f>IFERROR(IF(VLOOKUP(A80,tbMoveset!A2:B112,2,FALSE)="Sever",Backdoors!AY44/100,IF(VLOOKUP(A80,tbMoveset!A2:B112,2,FALSE)="Blunt",Backdoors!AZ44/100,Backdoors!BA44/100)),"")</f>
        <v/>
      </c>
      <c r="KD80" s="49">
        <f>IFERROR(IF(VLOOKUP(tbMoveset!A80,tbMoveset!A2:H112,8,FALSE)="Other",IF(VLOOKUP(tbMoveset!A80,tbMoveset!A2:I112,9,FALSE)="Fire",Backdoors!BB44,IF(VLOOKUP(tbMoveset!A80,tbMoveset!A2:I112,9,FALSE)="Water",Backdoors!BC44,IF(VLOOKUP(tbMoveset!A80,tbMoveset!A2:I112,9,FALSE)="Thunder",Backdoors!BD44,IF(VLOOKUP(tbMoveset!A80,tbMoveset!A2:I112,9,FALSE)="Ice",Backdoors!BE44,IF(VLOOKUP(tbMoveset!A80,tbMoveset!A2:I112,9,FALSE)="Dragon",Backdoors!BF44,Backdoors!BG44)))))/100,Backdoors!BG44/100),"")</f>
        <v>0</v>
      </c>
      <c r="KE80" s="49">
        <f>IFERROR(IF(VLOOKUP(A80,tbMoveset!A2:J112,10,FALSE)=TRUE,IF((Backdoors!AI12+IF(KC80&gt;=0.45,VLOOKUP(Calculator!E23,tbSkills!DH3:DI6,2,FALSE)+IF(AND(Calculator!B8=TRUE,Backdoors!BI44=TRUE),VLOOKUP(Calculator!E23,tbSkills!DH3:DJ6,3,FALSE),0),0))&gt;=0,1+(Backdoors!AL2*(IF((Backdoors!AI12+IF(KC80&gt;=0.45,VLOOKUP(Calculator!E23,tbSkills!DH3:DI6,2,FALSE)+IF(AND(Calculator!B8=TRUE,Backdoors!BI44=TRUE),VLOOKUP(Calculator!E23,tbSkills!DH3:DJ6,3,FALSE),0),0))&gt;=100,100,(Backdoors!AI12+IF(KC80&gt;=0.45,VLOOKUP(Calculator!E23,tbSkills!DH3:DI6,2,FALSE)+IF(AND(Calculator!B8=TRUE,Backdoors!BI44=TRUE),VLOOKUP(Calculator!E23,tbSkills!DH3:DJ6,3,FALSE),0),0)))/100)),(1-(0.25*((-Backdoors!AI12-IF(KC80&gt;=0.45,VLOOKUP(Calculator!E23,tbSkills!DH3:DI6,2,FALSE)+IF(AND(Calculator!B8=TRUE,Backdoors!BI44=TRUE),VLOOKUP(Calculator!E23,tbSkills!DH3:DJ6,3,FALSE),0),0))/100)))),1),"")</f>
        <v>1</v>
      </c>
      <c r="KF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KC80)*KE80)*(VLOOKUP(A80,tbMoveset!A2:C112,3,FALSE)/100)*IF(VLOOKUP(A80,tbMoveset!A2:B112,2,FALSE)="Projectile",Backdoors!N10,Backdoors!N9),0),"")</f>
        <v/>
      </c>
      <c r="KG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REF!&gt;0,VLOOKUP(Calculator!#REF!,tbSkills!AC3:AD5,2,FALSE),Backdoors!AL3)*(IF((Backdoors!AI12+IF(KC80&gt;=0.45,VLOOKUP(Calculator!E23,tbSkills!DH3:DI6,2,FALSE)+IF(AND(Calculator!B8=TRUE,Backdoors!BI44=TRUE),VLOOKUP(Calculator!E23,tbSkills!DH3:DJ6,3,FALSE),0),0))&gt;=100,100,(Backdoors!AI12+IF(KC80&gt;=0.45,VLOOKUP(Calculator!E23,tbSkills!DH3:DI6,2,FALSE)+IF(AND(Calculator!B8=TRUE,Backdoors!BI44=TRUE),VLOOKUP(Calculator!E23,tbSkills!DH3:DJ6,3,FALSE),0),0)))/100)),1))*IF(VLOOKUP(A80,tbMoveset!A2:K112,11,FALSE)=TRUE,Backdoors!AC5,1))*KD80,0),"")</f>
        <v/>
      </c>
      <c r="KH80" s="49">
        <f>VLOOKUP(A80,tbMoveset!A2:G112,7,FALSE)*IFERROR(IF(Backdoors!AI12&gt;=0,1+(IF(Calculator!E40&gt;0,VLOOKUP(Calculator!E40,tbSkills!AI3:AJ5,2,FALSE),Backdoors!AL4)*(IF((Backdoors!AI12+IF(KC80&gt;=0.45,VLOOKUP(Calculator!E23,tbSkills!DH3:DI6,2,FALSE)+IF(AND(Calculator!B8=TRUE,Backdoors!BI44=TRUE),VLOOKUP(Calculator!E23,tbSkills!DH3:DJ6,3,FALSE),0),0))&gt;=100,100,(Backdoors!AI12+IF(KC80&gt;=0.45,VLOOKUP(Calculator!E23,tbSkills!DH3:DI6,2,FALSE)+IF(AND(Calculator!B8=TRUE,Backdoors!BI44=TRUE),VLOOKUP(Calculator!E23,tbSkills!DH3:DJ6,3,FALSE),0),0)))/100)),1),1)</f>
        <v>0.6</v>
      </c>
      <c r="KI80" s="87">
        <f t="shared" si="92"/>
        <v>0</v>
      </c>
      <c r="KJ80" s="86" t="str">
        <f>IFERROR(IF(VLOOKUP(A80,tbMoveset!A2:B112,2,FALSE)="Sever",Backdoors!AY45/100,IF(VLOOKUP(A80,tbMoveset!A2:B112,2,FALSE)="Blunt",Backdoors!AZ45/100,Backdoors!BA45/100)),"")</f>
        <v/>
      </c>
      <c r="KK80" s="49">
        <f>IFERROR(IF(VLOOKUP(tbMoveset!A80,tbMoveset!A2:H112,8,FALSE)="Other",IF(VLOOKUP(tbMoveset!A80,tbMoveset!A2:I112,9,FALSE)="Fire",Backdoors!BB45,IF(VLOOKUP(tbMoveset!A80,tbMoveset!A2:I112,9,FALSE)="Water",Backdoors!BC45,IF(VLOOKUP(tbMoveset!A80,tbMoveset!A2:I112,9,FALSE)="Thunder",Backdoors!BD45,IF(VLOOKUP(tbMoveset!A80,tbMoveset!A2:I112,9,FALSE)="Ice",Backdoors!BE45,IF(VLOOKUP(tbMoveset!A80,tbMoveset!A2:I112,9,FALSE)="Dragon",Backdoors!BF45,Backdoors!BG45)))))/100,Backdoors!BG45/100),"")</f>
        <v>0</v>
      </c>
      <c r="KL80" s="49">
        <f>IFERROR(IF(VLOOKUP(A80,tbMoveset!A2:J112,10,FALSE)=TRUE,IF((Backdoors!AI12+IF(KJ80&gt;=0.45,VLOOKUP(Calculator!E23,tbSkills!DH3:DI6,2,FALSE)+IF(AND(Calculator!B8=TRUE,Backdoors!BI45=TRUE),VLOOKUP(Calculator!E23,tbSkills!DH3:DJ6,3,FALSE),0),0))&gt;=0,1+(Backdoors!AL2*(IF((Backdoors!AI12+IF(KJ80&gt;=0.45,VLOOKUP(Calculator!E23,tbSkills!DH3:DI6,2,FALSE)+IF(AND(Calculator!B8=TRUE,Backdoors!BI45=TRUE),VLOOKUP(Calculator!E23,tbSkills!DH3:DJ6,3,FALSE),0),0))&gt;=100,100,(Backdoors!AI12+IF(KJ80&gt;=0.45,VLOOKUP(Calculator!E23,tbSkills!DH3:DI6,2,FALSE)+IF(AND(Calculator!B8=TRUE,Backdoors!BI45=TRUE),VLOOKUP(Calculator!E23,tbSkills!DH3:DJ6,3,FALSE),0),0)))/100)),(1-(0.25*((-Backdoors!AI12-IF(KJ80&gt;=0.45,VLOOKUP(Calculator!E23,tbSkills!DH3:DI6,2,FALSE)+IF(AND(Calculator!B8=TRUE,Backdoors!BI45=TRUE),VLOOKUP(Calculator!E23,tbSkills!DH3:DJ6,3,FALSE),0),0))/100)))),1),"")</f>
        <v>1</v>
      </c>
      <c r="KM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KJ80)*KL80)*(VLOOKUP(A80,tbMoveset!A2:C112,3,FALSE)/100)*IF(VLOOKUP(A80,tbMoveset!A2:B112,2,FALSE)="Projectile",Backdoors!N10,Backdoors!N9),0),"")</f>
        <v/>
      </c>
      <c r="KN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REF!&gt;0,VLOOKUP(Calculator!#REF!,tbSkills!AC3:AD5,2,FALSE),Backdoors!AL3)*(IF((Backdoors!AI12+IF(KJ80&gt;=0.45,VLOOKUP(Calculator!E23,tbSkills!DH3:DI6,2,FALSE)+IF(AND(Calculator!B8=TRUE,Backdoors!BI45=TRUE),VLOOKUP(Calculator!E23,tbSkills!DH3:DJ6,3,FALSE),0),0))&gt;=100,100,(Backdoors!AI12+IF(KJ80&gt;=0.45,VLOOKUP(Calculator!E23,tbSkills!DH3:DI6,2,FALSE)+IF(AND(Calculator!B8=TRUE,Backdoors!BI45=TRUE),VLOOKUP(Calculator!E23,tbSkills!DH3:DJ6,3,FALSE),0),0)))/100)),1))*IF(VLOOKUP(A80,tbMoveset!A2:K112,11,FALSE)=TRUE,Backdoors!AC5,1))*KK80,0),"")</f>
        <v/>
      </c>
      <c r="KO80" s="49">
        <f>VLOOKUP(A80,tbMoveset!A2:G112,7,FALSE)*IFERROR(IF(Backdoors!AI12&gt;=0,1+(IF(Calculator!E40&gt;0,VLOOKUP(Calculator!E40,tbSkills!AI3:AJ5,2,FALSE),Backdoors!AL4)*(IF((Backdoors!AI12+IF(KJ80&gt;=0.45,VLOOKUP(Calculator!E23,tbSkills!DH3:DI6,2,FALSE)+IF(AND(Calculator!B8=TRUE,Backdoors!BI45=TRUE),VLOOKUP(Calculator!E23,tbSkills!DH3:DJ6,3,FALSE),0),0))&gt;=100,100,(Backdoors!AI12+IF(KJ80&gt;=0.45,VLOOKUP(Calculator!E23,tbSkills!DH3:DI6,2,FALSE)+IF(AND(Calculator!B8=TRUE,Backdoors!BI45=TRUE),VLOOKUP(Calculator!E23,tbSkills!DH3:DJ6,3,FALSE),0),0)))/100)),1),1)</f>
        <v>0.6</v>
      </c>
      <c r="KP80" s="87">
        <f t="shared" si="93"/>
        <v>0</v>
      </c>
      <c r="KQ80" s="86" t="str">
        <f>IFERROR(IF(VLOOKUP(A80,tbMoveset!A2:B112,2,FALSE)="Sever",Backdoors!AY46/100,IF(VLOOKUP(A80,tbMoveset!A2:B112,2,FALSE)="Blunt",Backdoors!AZ46/100,Backdoors!BA46/100)),"")</f>
        <v/>
      </c>
      <c r="KR80" s="49">
        <f>IFERROR(IF(VLOOKUP(tbMoveset!A80,tbMoveset!A2:H112,8,FALSE)="Other",IF(VLOOKUP(tbMoveset!A80,tbMoveset!A2:I112,9,FALSE)="Fire",Backdoors!BB46,IF(VLOOKUP(tbMoveset!A80,tbMoveset!A2:I112,9,FALSE)="Water",Backdoors!BC46,IF(VLOOKUP(tbMoveset!A80,tbMoveset!A2:I112,9,FALSE)="Thunder",Backdoors!BD46,IF(VLOOKUP(tbMoveset!A80,tbMoveset!A2:I112,9,FALSE)="Ice",Backdoors!BE46,IF(VLOOKUP(tbMoveset!A80,tbMoveset!A2:I112,9,FALSE)="Dragon",Backdoors!BF46,Backdoors!BG46)))))/100,Backdoors!BG46/100),"")</f>
        <v>0</v>
      </c>
      <c r="KS80" s="49">
        <f>IFERROR(IF(VLOOKUP(A80,tbMoveset!A2:J112,10,FALSE)=TRUE,IF((Backdoors!AI12+IF(KQ80&gt;=0.45,VLOOKUP(Calculator!E23,tbSkills!DH3:DI6,2,FALSE)+IF(AND(Calculator!B8=TRUE,Backdoors!BI46=TRUE),VLOOKUP(Calculator!E23,tbSkills!DH3:DJ6,3,FALSE),0),0))&gt;=0,1+(Backdoors!AL2*(IF((Backdoors!AI12+IF(KQ80&gt;=0.45,VLOOKUP(Calculator!E23,tbSkills!DH3:DI6,2,FALSE)+IF(AND(Calculator!B8=TRUE,Backdoors!BI46=TRUE),VLOOKUP(Calculator!E23,tbSkills!DH3:DJ6,3,FALSE),0),0))&gt;=100,100,(Backdoors!AI12+IF(KQ80&gt;=0.45,VLOOKUP(Calculator!E23,tbSkills!DH3:DI6,2,FALSE)+IF(AND(Calculator!B8=TRUE,Backdoors!BI46=TRUE),VLOOKUP(Calculator!E23,tbSkills!DH3:DJ6,3,FALSE),0),0)))/100)),(1-(0.25*((-Backdoors!AI12-IF(KQ80&gt;=0.45,VLOOKUP(Calculator!E23,tbSkills!DH3:DI6,2,FALSE)+IF(AND(Calculator!B8=TRUE,Backdoors!BI46=TRUE),VLOOKUP(Calculator!E23,tbSkills!DH3:DJ6,3,FALSE),0),0))/100)))),1),"")</f>
        <v>1</v>
      </c>
      <c r="KT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KQ80)*KS80)*(VLOOKUP(A80,tbMoveset!A2:C112,3,FALSE)/100)*IF(VLOOKUP(A80,tbMoveset!A2:B112,2,FALSE)="Projectile",Backdoors!N10,Backdoors!N9),0),"")</f>
        <v/>
      </c>
      <c r="KU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REF!&gt;0,VLOOKUP(Calculator!#REF!,tbSkills!AC3:AD5,2,FALSE),Backdoors!AL3)*(IF((Backdoors!AI12+IF(KQ80&gt;=0.45,VLOOKUP(Calculator!E23,tbSkills!DH3:DI6,2,FALSE)+IF(AND(Calculator!B8=TRUE,Backdoors!BI46=TRUE),VLOOKUP(Calculator!E23,tbSkills!DH3:DJ6,3,FALSE),0),0))&gt;=100,100,(Backdoors!AI12+IF(KQ80&gt;=0.45,VLOOKUP(Calculator!E23,tbSkills!DH3:DI6,2,FALSE)+IF(AND(Calculator!B8=TRUE,Backdoors!BI46=TRUE),VLOOKUP(Calculator!E23,tbSkills!DH3:DJ6,3,FALSE),0),0)))/100)),1))*IF(VLOOKUP(A80,tbMoveset!A2:K112,11,FALSE)=TRUE,Backdoors!AC5,1))*KR80,0),"")</f>
        <v/>
      </c>
      <c r="KV80" s="49">
        <f>VLOOKUP(A80,tbMoveset!A2:G112,7,FALSE)*IFERROR(IF(Backdoors!AI12&gt;=0,1+(IF(Calculator!E40&gt;0,VLOOKUP(Calculator!E40,tbSkills!AI3:AJ5,2,FALSE),Backdoors!AL4)*(IF((Backdoors!AI12+IF(KQ80&gt;=0.45,VLOOKUP(Calculator!E23,tbSkills!DH3:DI6,2,FALSE)+IF(AND(Calculator!B8=TRUE,Backdoors!BI46=TRUE),VLOOKUP(Calculator!E23,tbSkills!DH3:DJ6,3,FALSE),0),0))&gt;=100,100,(Backdoors!AI12+IF(KQ80&gt;=0.45,VLOOKUP(Calculator!E23,tbSkills!DH3:DI6,2,FALSE)+IF(AND(Calculator!B8=TRUE,Backdoors!BI46=TRUE),VLOOKUP(Calculator!E23,tbSkills!DH3:DJ6,3,FALSE),0),0)))/100)),1),1)</f>
        <v>0.6</v>
      </c>
      <c r="KW80" s="87">
        <f t="shared" si="94"/>
        <v>0</v>
      </c>
    </row>
    <row r="81" spans="1:309" x14ac:dyDescent="0.25">
      <c r="A81" s="95" t="str">
        <f>tbMoveset!A81</f>
        <v>Midair Spinning Blade Dance Finisher (L1)</v>
      </c>
      <c r="B81" s="86">
        <f>IFERROR(IF(VLOOKUP(A81,tbMoveset!A2:B112,2,FALSE)="Sever",Backdoors!AY3/100,IF(VLOOKUP(A81,tbMoveset!A2:B112,2,FALSE)="Blunt",Backdoors!AZ3/100,Backdoors!BA3/100)),"")</f>
        <v>0.8</v>
      </c>
      <c r="C81" s="49">
        <f>IFERROR(IF(VLOOKUP(tbMoveset!A81,tbMoveset!A2:H112,8,FALSE)="Other",IF(VLOOKUP(tbMoveset!A81,tbMoveset!A2:I112,9,FALSE)="Fire",Backdoors!BB3,IF(VLOOKUP(tbMoveset!A81,tbMoveset!A2:I112,9,FALSE)="Water",Backdoors!BC3,IF(VLOOKUP(tbMoveset!A81,tbMoveset!A2:I112,9,FALSE)="Thunder",Backdoors!BD3,IF(VLOOKUP(tbMoveset!A81,tbMoveset!A2:I112,9,FALSE)="Ice",Backdoors!BE3,IF(VLOOKUP(tbMoveset!A81,tbMoveset!A2:I112,9,FALSE)="Dragon",Backdoors!BF3,Backdoors!BG3)))))/100,Backdoors!BG3/100),"")</f>
        <v>0</v>
      </c>
      <c r="D81" s="49">
        <f>IFERROR(IF(VLOOKUP(A81,tbMoveset!A2:J112,10,FALSE)=TRUE,IF((Backdoors!AI12+IF(B81&gt;=0.45,VLOOKUP(Calculator!E23,tbSkills!DH3:DI6,2,FALSE)+IF(AND(Calculator!B8=TRUE,Backdoors!BI3=TRUE),VLOOKUP(Calculator!E23,tbSkills!DH3:DJ6,3,FALSE),0),0))&gt;=0,1+(Backdoors!AL2*(IF((Backdoors!AI12+IF(B81&gt;=0.45,VLOOKUP(Calculator!E23,tbSkills!DH3:DI6,2,FALSE)+IF(AND(Calculator!B8=TRUE,Backdoors!BI3=TRUE),VLOOKUP(Calculator!E23,tbSkills!DH3:DJ6,3,FALSE),0),0))&gt;=100,100,(Backdoors!AI12+IF(B81&gt;=0.45,VLOOKUP(Calculator!E23,tbSkills!DH3:DI6,2,FALSE)+IF(AND(Calculator!B8=TRUE,Backdoors!BI3=TRUE),VLOOKUP(Calculator!E23,tbSkills!DH3:DJ6,3,FALSE),0),0)))/100)),(1-(0.25*((-Backdoors!AI12-IF(B81&gt;=0.45,VLOOKUP(Calculator!E23,tbSkills!DH3:DI6,2,FALSE)+IF(AND(Calculator!B8=TRUE,Backdoors!BI3=TRUE),VLOOKUP(Calculator!E23,tbSkills!DH3:DJ6,3,FALSE),0),0))/100)))),1),"")</f>
        <v>1</v>
      </c>
      <c r="E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81)*D81)*(VLOOKUP(A81,tbMoveset!A2:C112,3,FALSE)/100)*IF(VLOOKUP(A81,tbMoveset!A2:B112,2,FALSE)="Projectile",Backdoors!N10,Backdoors!N9),0),"")</f>
        <v>13</v>
      </c>
      <c r="F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81&gt;=0.45,VLOOKUP(Calculator!E23,tbSkills!DH3:DI6,2,FALSE)+IF(AND(Calculator!B8=TRUE,Backdoors!BI3=TRUE),VLOOKUP(Calculator!E23,tbSkills!DH3:DJ6,3,FALSE),0),0))&gt;=100,100,(Backdoors!AI12+IF(B81&gt;=0.45,VLOOKUP(Calculator!E23,tbSkills!DH3:DI6,2,FALSE)+IF(AND(Calculator!B8=TRUE,Backdoors!BI3=TRUE),VLOOKUP(Calculator!E23,tbSkills!DH3:DJ6,3,FALSE),0),0)))/100)),1))*IF(VLOOKUP(A81,tbMoveset!A2:K112,11,FALSE)=TRUE,Backdoors!AC5,1))*C81,0),"")</f>
        <v>0</v>
      </c>
      <c r="G81">
        <f>VLOOKUP(A81,tbMoveset!A2:G112,7,FALSE)*IFERROR(IF(Backdoors!AI12&gt;=0,1+(IF(Calculator!E40&gt;0,VLOOKUP(Calculator!E40,tbSkills!AI3:AJ5,2,FALSE),Backdoors!AL4)*(IF((Backdoors!AI12+IF(B81&gt;=0.45,VLOOKUP(Calculator!E23,tbSkills!DH3:DI6,2,FALSE)+IF(AND(Calculator!B8=TRUE,Backdoors!BI3=TRUE),VLOOKUP(Calculator!E23,tbSkills!DH3:DJ6,3,FALSE),0),0))&gt;=100,100,(Backdoors!AI12+IF(B81&gt;=0.45,VLOOKUP(Calculator!E23,tbSkills!DH3:DI6,2,FALSE)+IF(AND(Calculator!B8=TRUE,Backdoors!BI3=TRUE),VLOOKUP(Calculator!E23,tbSkills!DH3:DJ6,3,FALSE),0),0)))/100)),1),1)</f>
        <v>0.7</v>
      </c>
      <c r="H81" s="87">
        <f t="shared" si="51"/>
        <v>13</v>
      </c>
      <c r="I81" s="86">
        <f>IFERROR(IF(VLOOKUP(A81,tbMoveset!A2:B112,2,FALSE)="Sever",Backdoors!AY4/100,IF(VLOOKUP(A81,tbMoveset!A2:B112,2,FALSE)="Blunt",Backdoors!AZ4/100,Backdoors!BA4/100)),"")</f>
        <v>0.65</v>
      </c>
      <c r="J81" s="49">
        <f>IFERROR(IF(VLOOKUP(tbMoveset!A81,tbMoveset!A2:H112,8,FALSE)="Other",IF(VLOOKUP(tbMoveset!A81,tbMoveset!A2:I112,9,FALSE)="Fire",Backdoors!BB4,IF(VLOOKUP(tbMoveset!A81,tbMoveset!A2:I112,9,FALSE)="Water",Backdoors!BC4,IF(VLOOKUP(tbMoveset!A81,tbMoveset!A2:I112,9,FALSE)="Thunder",Backdoors!BD4,IF(VLOOKUP(tbMoveset!A81,tbMoveset!A2:I112,9,FALSE)="Ice",Backdoors!BE4,IF(VLOOKUP(tbMoveset!A81,tbMoveset!A2:I112,9,FALSE)="Dragon",Backdoors!BF4,Backdoors!BG4)))))/100,Backdoors!BG4/100),"")</f>
        <v>0</v>
      </c>
      <c r="K81" s="49">
        <f>IFERROR(IF(VLOOKUP(A81,tbMoveset!A2:J112,10,FALSE)=TRUE,IF((Backdoors!AI12+IF(I81&gt;=0.45,VLOOKUP(Calculator!E23,tbSkills!DH3:DI6,2,FALSE)+IF(AND(Calculator!B8=TRUE,Backdoors!BI4=TRUE),VLOOKUP(Calculator!E23,tbSkills!DH3:DJ6,3,FALSE),0),0))&gt;=0,1+(Backdoors!AL2*(IF((Backdoors!AI12+IF(I81&gt;=0.45,VLOOKUP(Calculator!E23,tbSkills!DH3:DI6,2,FALSE)+IF(AND(Calculator!B8=TRUE,Backdoors!BI4=TRUE),VLOOKUP(Calculator!E23,tbSkills!DH3:DJ6,3,FALSE),0),0))&gt;=100,100,(Backdoors!AI12+IF(I81&gt;=0.45,VLOOKUP(Calculator!E23,tbSkills!DH3:DI6,2,FALSE)+IF(AND(Calculator!B8=TRUE,Backdoors!BI4=TRUE),VLOOKUP(Calculator!E23,tbSkills!DH3:DJ6,3,FALSE),0),0)))/100)),(1-(0.25*((-Backdoors!AI12-IF(I81&gt;=0.45,VLOOKUP(Calculator!E23,tbSkills!DH3:DI6,2,FALSE)+IF(AND(Calculator!B8=TRUE,Backdoors!BI4=TRUE),VLOOKUP(Calculator!E23,tbSkills!DH3:DJ6,3,FALSE),0),0))/100)))),1),"")</f>
        <v>1</v>
      </c>
      <c r="L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81)*K81)*(VLOOKUP(A81,tbMoveset!A2:C112,3,FALSE)/100)*IF(VLOOKUP(A81,tbMoveset!A2:B112,2,FALSE)="Projectile",Backdoors!N10,Backdoors!N9),0),"")</f>
        <v>11</v>
      </c>
      <c r="M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I81&gt;=0.45,VLOOKUP(Calculator!E23,tbSkills!DH3:DI6,2,FALSE)+IF(AND(Calculator!B8=TRUE,Backdoors!BI4=TRUE),VLOOKUP(Calculator!E23,tbSkills!DH3:DJ6,3,FALSE),0),0))&gt;=100,100,(Backdoors!AI12+IF(I81&gt;=0.45,VLOOKUP(Calculator!E23,tbSkills!DH3:DI6,2,FALSE)+IF(AND(Calculator!B8=TRUE,Backdoors!BI4=TRUE),VLOOKUP(Calculator!E23,tbSkills!DH3:DJ6,3,FALSE),0),0)))/100)),1))*IF(VLOOKUP(A81,tbMoveset!A2:K112,11,FALSE)=TRUE,Backdoors!AC5,1))*J81,0),"")</f>
        <v>0</v>
      </c>
      <c r="N81" s="49">
        <f>VLOOKUP(A81,tbMoveset!A2:G112,7,FALSE)*IFERROR(IF(Backdoors!AI12&gt;=0,1+(IF(Calculator!E40&gt;0,VLOOKUP(Calculator!E40,tbSkills!AI3:AJ5,2,FALSE),Backdoors!AL4)*(IF((Backdoors!AI12+IF(I81&gt;=0.45,VLOOKUP(Calculator!E23,tbSkills!DH3:DI6,2,FALSE)+IF(AND(Calculator!B8=TRUE,Backdoors!BI4=TRUE),VLOOKUP(Calculator!E23,tbSkills!DH3:DJ6,3,FALSE),0),0))&gt;=100,100,(Backdoors!AI12+IF(I81&gt;=0.45,VLOOKUP(Calculator!E23,tbSkills!DH3:DI6,2,FALSE)+IF(AND(Calculator!B8=TRUE,Backdoors!BI4=TRUE),VLOOKUP(Calculator!E23,tbSkills!DH3:DJ6,3,FALSE),0),0)))/100)),1),1)</f>
        <v>0.7</v>
      </c>
      <c r="O81" s="87">
        <f t="shared" si="52"/>
        <v>11</v>
      </c>
      <c r="P81" s="86">
        <f>IFERROR(IF(VLOOKUP(A81,tbMoveset!A2:B112,2,FALSE)="Sever",Backdoors!AY5/100,IF(VLOOKUP(A81,tbMoveset!A2:B112,2,FALSE)="Blunt",Backdoors!AZ5/100,Backdoors!BA5/100)),"")</f>
        <v>0.5</v>
      </c>
      <c r="Q81" s="49">
        <f>IFERROR(IF(VLOOKUP(tbMoveset!A81,tbMoveset!A2:H112,8,FALSE)="Other",IF(VLOOKUP(tbMoveset!A81,tbMoveset!A2:I112,9,FALSE)="Fire",Backdoors!BB5,IF(VLOOKUP(tbMoveset!A81,tbMoveset!A2:I112,9,FALSE)="Water",Backdoors!BC5,IF(VLOOKUP(tbMoveset!A81,tbMoveset!A2:I112,9,FALSE)="Thunder",Backdoors!BD5,IF(VLOOKUP(tbMoveset!A81,tbMoveset!A2:I112,9,FALSE)="Ice",Backdoors!BE5,IF(VLOOKUP(tbMoveset!A81,tbMoveset!A2:I112,9,FALSE)="Dragon",Backdoors!BF5,Backdoors!BG5)))))/100,Backdoors!BG5/100),"")</f>
        <v>0</v>
      </c>
      <c r="R81" s="49">
        <f>IFERROR(IF(VLOOKUP(A81,tbMoveset!A2:J112,10,FALSE)=TRUE,IF((Backdoors!AI12+IF(P81&gt;=0.45,VLOOKUP(Calculator!E23,tbSkills!DH3:DI6,2,FALSE)+IF(AND(Calculator!B8=TRUE,Backdoors!BI5=TRUE),VLOOKUP(Calculator!E23,tbSkills!DH3:DJ6,3,FALSE),0),0))&gt;=0,1+(Backdoors!AL2*(IF((Backdoors!AI12+IF(P81&gt;=0.45,VLOOKUP(Calculator!E23,tbSkills!DH3:DI6,2,FALSE)+IF(AND(Calculator!B8=TRUE,Backdoors!BI5=TRUE),VLOOKUP(Calculator!E23,tbSkills!DH3:DJ6,3,FALSE),0),0))&gt;=100,100,(Backdoors!AI12+IF(P81&gt;=0.45,VLOOKUP(Calculator!E23,tbSkills!DH3:DI6,2,FALSE)+IF(AND(Calculator!B8=TRUE,Backdoors!BI5=TRUE),VLOOKUP(Calculator!E23,tbSkills!DH3:DJ6,3,FALSE),0),0)))/100)),(1-(0.25*((-Backdoors!AI12-IF(P81&gt;=0.45,VLOOKUP(Calculator!E23,tbSkills!DH3:DI6,2,FALSE)+IF(AND(Calculator!B8=TRUE,Backdoors!BI5=TRUE),VLOOKUP(Calculator!E23,tbSkills!DH3:DJ6,3,FALSE),0),0))/100)))),1),"")</f>
        <v>1</v>
      </c>
      <c r="S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P81)*R81)*(VLOOKUP(A81,tbMoveset!A2:C112,3,FALSE)/100)*IF(VLOOKUP(A81,tbMoveset!A2:B112,2,FALSE)="Projectile",Backdoors!N10,Backdoors!N9),0),"")</f>
        <v>8</v>
      </c>
      <c r="T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P81&gt;=0.45,VLOOKUP(Calculator!E23,tbSkills!DH3:DI6,2,FALSE)+IF(AND(Calculator!B8=TRUE,Backdoors!BI5=TRUE),VLOOKUP(Calculator!E23,tbSkills!DH3:DJ6,3,FALSE),0),0))&gt;=100,100,(Backdoors!AI12+IF(P81&gt;=0.45,VLOOKUP(Calculator!E23,tbSkills!DH3:DI6,2,FALSE)+IF(AND(Calculator!B8=TRUE,Backdoors!BI5=TRUE),VLOOKUP(Calculator!E23,tbSkills!DH3:DJ6,3,FALSE),0),0)))/100)),1))*IF(VLOOKUP(A81,tbMoveset!A2:K112,11,FALSE)=TRUE,Backdoors!AC5,1))*Q81,0),"")</f>
        <v>0</v>
      </c>
      <c r="U81" s="49">
        <f>VLOOKUP(A81,tbMoveset!A2:G112,7,FALSE)*IFERROR(IF(Backdoors!AI12&gt;=0,1+(IF(Calculator!E40&gt;0,VLOOKUP(Calculator!E40,tbSkills!AI3:AJ5,2,FALSE),Backdoors!AL4)*(IF((Backdoors!AI12+IF(P81&gt;=0.45,VLOOKUP(Calculator!E23,tbSkills!DH3:DI6,2,FALSE)+IF(AND(Calculator!B8=TRUE,Backdoors!BI5=TRUE),VLOOKUP(Calculator!E23,tbSkills!DH3:DJ6,3,FALSE),0),0))&gt;=100,100,(Backdoors!AI12+IF(P81&gt;=0.45,VLOOKUP(Calculator!E23,tbSkills!DH3:DI6,2,FALSE)+IF(AND(Calculator!B8=TRUE,Backdoors!BI5=TRUE),VLOOKUP(Calculator!E23,tbSkills!DH3:DJ6,3,FALSE),0),0)))/100)),1),1)</f>
        <v>0.7</v>
      </c>
      <c r="V81" s="87">
        <f t="shared" si="53"/>
        <v>8</v>
      </c>
      <c r="W81" s="86">
        <f>IFERROR(IF(VLOOKUP(A81,tbMoveset!A2:B112,2,FALSE)="Sever",Backdoors!AY6/100,IF(VLOOKUP(A81,tbMoveset!A2:B112,2,FALSE)="Blunt",Backdoors!AZ6/100,Backdoors!BA6/100)),"")</f>
        <v>0.45</v>
      </c>
      <c r="X81" s="49">
        <f>IFERROR(IF(VLOOKUP(tbMoveset!A81,tbMoveset!A2:H112,8,FALSE)="Other",IF(VLOOKUP(tbMoveset!A81,tbMoveset!A2:I112,9,FALSE)="Fire",Backdoors!BB6,IF(VLOOKUP(tbMoveset!A81,tbMoveset!A2:I112,9,FALSE)="Water",Backdoors!BC6,IF(VLOOKUP(tbMoveset!A81,tbMoveset!A2:I112,9,FALSE)="Thunder",Backdoors!BD6,IF(VLOOKUP(tbMoveset!A81,tbMoveset!A2:I112,9,FALSE)="Ice",Backdoors!BE6,IF(VLOOKUP(tbMoveset!A81,tbMoveset!A2:I112,9,FALSE)="Dragon",Backdoors!BF6,Backdoors!BG6)))))/100,Backdoors!BG6/100),"")</f>
        <v>0</v>
      </c>
      <c r="Y81" s="49">
        <f>IFERROR(IF(VLOOKUP(A81,tbMoveset!A2:J112,10,FALSE)=TRUE,IF((Backdoors!AI12+IF(W81&gt;=0.45,VLOOKUP(Calculator!E23,tbSkills!DH3:DI6,2,FALSE)+IF(AND(Calculator!B8=TRUE,Backdoors!BI6=TRUE),VLOOKUP(Calculator!E23,tbSkills!DH3:DJ6,3,FALSE),0),0))&gt;=0,1+(Backdoors!AL2*(IF((Backdoors!AI12+IF(W81&gt;=0.45,VLOOKUP(Calculator!E23,tbSkills!DH3:DI6,2,FALSE)+IF(AND(Calculator!B8=TRUE,Backdoors!BI6=TRUE),VLOOKUP(Calculator!E23,tbSkills!DH3:DJ6,3,FALSE),0),0))&gt;=100,100,(Backdoors!AI12+IF(W81&gt;=0.45,VLOOKUP(Calculator!E23,tbSkills!DH3:DI6,2,FALSE)+IF(AND(Calculator!B8=TRUE,Backdoors!BI6=TRUE),VLOOKUP(Calculator!E23,tbSkills!DH3:DJ6,3,FALSE),0),0)))/100)),(1-(0.25*((-Backdoors!AI12-IF(W81&gt;=0.45,VLOOKUP(Calculator!E23,tbSkills!DH3:DI6,2,FALSE)+IF(AND(Calculator!B8=TRUE,Backdoors!BI6=TRUE),VLOOKUP(Calculator!E23,tbSkills!DH3:DJ6,3,FALSE),0),0))/100)))),1),"")</f>
        <v>1</v>
      </c>
      <c r="Z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W81)*Y81)*(VLOOKUP(A81,tbMoveset!A2:C112,3,FALSE)/100)*IF(VLOOKUP(A81,tbMoveset!A2:B112,2,FALSE)="Projectile",Backdoors!N10,Backdoors!N9),0),"")</f>
        <v>8</v>
      </c>
      <c r="AA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W81&gt;=0.45,VLOOKUP(Calculator!E23,tbSkills!DH3:DI6,2,FALSE)+IF(AND(Calculator!B8=TRUE,Backdoors!BI6=TRUE),VLOOKUP(Calculator!E23,tbSkills!DH3:DJ6,3,FALSE),0),0))&gt;=100,100,(Backdoors!AI12+IF(W81&gt;=0.45,VLOOKUP(Calculator!E23,tbSkills!DH3:DI6,2,FALSE)+IF(AND(Calculator!B8=TRUE,Backdoors!BI6=TRUE),VLOOKUP(Calculator!E23,tbSkills!DH3:DJ6,3,FALSE),0),0)))/100)),1))*IF(VLOOKUP(A81,tbMoveset!A2:K112,11,FALSE)=TRUE,Backdoors!AC5,1))*X81,0),"")</f>
        <v>0</v>
      </c>
      <c r="AB81" s="49">
        <f>VLOOKUP(A81,tbMoveset!A2:G112,7,FALSE)*IFERROR(IF(Backdoors!AI12&gt;=0,1+(IF(Calculator!E40&gt;0,VLOOKUP(Calculator!E40,tbSkills!AI3:AJ5,2,FALSE),Backdoors!AL4)*(IF((Backdoors!AI12+IF(W81&gt;=0.45,VLOOKUP(Calculator!E23,tbSkills!DH3:DI6,2,FALSE)+IF(AND(Calculator!B8=TRUE,Backdoors!BI6=TRUE),VLOOKUP(Calculator!E23,tbSkills!DH3:DJ6,3,FALSE),0),0))&gt;=100,100,(Backdoors!AI12+IF(W81&gt;=0.45,VLOOKUP(Calculator!E23,tbSkills!DH3:DI6,2,FALSE)+IF(AND(Calculator!B8=TRUE,Backdoors!BI6=TRUE),VLOOKUP(Calculator!E23,tbSkills!DH3:DJ6,3,FALSE),0),0)))/100)),1),1)</f>
        <v>0.7</v>
      </c>
      <c r="AC81" s="87">
        <f t="shared" si="54"/>
        <v>8</v>
      </c>
      <c r="AD81" s="86">
        <f>IFERROR(IF(VLOOKUP(A81,tbMoveset!A2:B112,2,FALSE)="Sever",Backdoors!AY7/100,IF(VLOOKUP(A81,tbMoveset!A2:B112,2,FALSE)="Blunt",Backdoors!AZ7/100,Backdoors!BA7/100)),"")</f>
        <v>0.65</v>
      </c>
      <c r="AE81" s="49">
        <f>IFERROR(IF(VLOOKUP(tbMoveset!A81,tbMoveset!A2:H112,8,FALSE)="Other",IF(VLOOKUP(tbMoveset!A81,tbMoveset!A2:I112,9,FALSE)="Fire",Backdoors!BB7,IF(VLOOKUP(tbMoveset!A81,tbMoveset!A2:I112,9,FALSE)="Water",Backdoors!BC7,IF(VLOOKUP(tbMoveset!A81,tbMoveset!A2:I112,9,FALSE)="Thunder",Backdoors!BD7,IF(VLOOKUP(tbMoveset!A81,tbMoveset!A2:I112,9,FALSE)="Ice",Backdoors!BE7,IF(VLOOKUP(tbMoveset!A81,tbMoveset!A2:I112,9,FALSE)="Dragon",Backdoors!BF7,Backdoors!BG7)))))/100,Backdoors!BG7/100),"")</f>
        <v>0</v>
      </c>
      <c r="AF81" s="49">
        <f>IFERROR(IF(VLOOKUP(A81,tbMoveset!A2:J112,10,FALSE)=TRUE,IF((Backdoors!AI12+IF(AD81&gt;=0.45,VLOOKUP(Calculator!E23,tbSkills!DH3:DI6,2,FALSE)+IF(AND(Calculator!B8=TRUE,Backdoors!BI7=TRUE),VLOOKUP(Calculator!E23,tbSkills!DH3:DJ6,3,FALSE),0),0))&gt;=0,1+(Backdoors!AL2*(IF((Backdoors!AI12+IF(AD81&gt;=0.45,VLOOKUP(Calculator!E23,tbSkills!DH3:DI6,2,FALSE)+IF(AND(Calculator!B8=TRUE,Backdoors!BI7=TRUE),VLOOKUP(Calculator!E23,tbSkills!DH3:DJ6,3,FALSE),0),0))&gt;=100,100,(Backdoors!AI12+IF(AD81&gt;=0.45,VLOOKUP(Calculator!E23,tbSkills!DH3:DI6,2,FALSE)+IF(AND(Calculator!B8=TRUE,Backdoors!BI7=TRUE),VLOOKUP(Calculator!E23,tbSkills!DH3:DJ6,3,FALSE),0),0)))/100)),(1-(0.25*((-Backdoors!AI12-IF(AD81&gt;=0.45,VLOOKUP(Calculator!E23,tbSkills!DH3:DI6,2,FALSE)+IF(AND(Calculator!B8=TRUE,Backdoors!BI7=TRUE),VLOOKUP(Calculator!E23,tbSkills!DH3:DJ6,3,FALSE),0),0))/100)))),1),"")</f>
        <v>1</v>
      </c>
      <c r="AG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D81)*AF81)*(VLOOKUP(A81,tbMoveset!A2:C112,3,FALSE)/100)*IF(VLOOKUP(A81,tbMoveset!A2:B112,2,FALSE)="Projectile",Backdoors!N10,Backdoors!N9),0),"")</f>
        <v>11</v>
      </c>
      <c r="AH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D81&gt;=0.45,VLOOKUP(Calculator!E23,tbSkills!DH3:DI6,2,FALSE)+IF(AND(Calculator!B8=TRUE,Backdoors!BI7=TRUE),VLOOKUP(Calculator!E23,tbSkills!DH3:DJ6,3,FALSE),0),0))&gt;=100,100,(Backdoors!AI12+IF(AD81&gt;=0.45,VLOOKUP(Calculator!E23,tbSkills!DH3:DI6,2,FALSE)+IF(AND(Calculator!B8=TRUE,Backdoors!BI7=TRUE),VLOOKUP(Calculator!E23,tbSkills!DH3:DJ6,3,FALSE),0),0)))/100)),1))*IF(VLOOKUP(A81,tbMoveset!A2:K112,11,FALSE)=TRUE,Backdoors!AC5,1))*AE81,0),"")</f>
        <v>0</v>
      </c>
      <c r="AI81" s="49">
        <f>VLOOKUP(A81,tbMoveset!A2:G112,7,FALSE)*IFERROR(IF(Backdoors!AI12&gt;=0,1+(IF(Calculator!E40&gt;0,VLOOKUP(Calculator!E40,tbSkills!AI3:AJ5,2,FALSE),Backdoors!AL4)*(IF((Backdoors!AI12+IF(AD81&gt;=0.45,VLOOKUP(Calculator!E23,tbSkills!DH3:DI6,2,FALSE)+IF(AND(Calculator!B8=TRUE,Backdoors!BI7=TRUE),VLOOKUP(Calculator!E23,tbSkills!DH3:DJ6,3,FALSE),0),0))&gt;=100,100,(Backdoors!AI12+IF(AD81&gt;=0.45,VLOOKUP(Calculator!E23,tbSkills!DH3:DI6,2,FALSE)+IF(AND(Calculator!B8=TRUE,Backdoors!BI7=TRUE),VLOOKUP(Calculator!E23,tbSkills!DH3:DJ6,3,FALSE),0),0)))/100)),1),1)</f>
        <v>0.7</v>
      </c>
      <c r="AJ81" s="87">
        <f t="shared" si="55"/>
        <v>11</v>
      </c>
      <c r="AK81" s="91">
        <f>IFERROR(IF(VLOOKUP(A81,tbMoveset!A2:B112,2,FALSE)="Sever",Backdoors!AY8/100,IF(VLOOKUP(A81,tbMoveset!A2:B112,2,FALSE)="Blunt",Backdoors!AZ8/100,Backdoors!BA8/100)),"")</f>
        <v>0.45</v>
      </c>
      <c r="AL81" s="49">
        <f>IFERROR(IF(VLOOKUP(tbMoveset!A81,tbMoveset!A2:H112,8,FALSE)="Other",IF(VLOOKUP(tbMoveset!A81,tbMoveset!A2:I112,9,FALSE)="Fire",Backdoors!BB8,IF(VLOOKUP(tbMoveset!A81,tbMoveset!A2:I112,9,FALSE)="Water",Backdoors!BC8,IF(VLOOKUP(tbMoveset!A81,tbMoveset!A2:I112,9,FALSE)="Thunder",Backdoors!BD8,IF(VLOOKUP(tbMoveset!A81,tbMoveset!A2:I112,9,FALSE)="Ice",Backdoors!BE8,IF(VLOOKUP(tbMoveset!A81,tbMoveset!A2:I112,9,FALSE)="Dragon",Backdoors!BF8,Backdoors!BG8)))))/100,Backdoors!BG8/100),"")</f>
        <v>0</v>
      </c>
      <c r="AM81" s="49">
        <f>IFERROR(IF(VLOOKUP(A81,tbMoveset!A2:J112,10,FALSE)=TRUE,IF((Backdoors!AI12+IF(AK81&gt;=0.45,VLOOKUP(Calculator!E23,tbSkills!DH3:DI6,2,FALSE)+IF(AND(Calculator!B8=TRUE,Backdoors!BI8=TRUE),VLOOKUP(Calculator!E23,tbSkills!DH3:DJ6,3,FALSE),0),0))&gt;=0,1+(Backdoors!AL2*(IF((Backdoors!AI12+IF(AK81&gt;=0.45,VLOOKUP(Calculator!E23,tbSkills!DH3:DI6,2,FALSE)+IF(AND(Calculator!B8=TRUE,Backdoors!BI8=TRUE),VLOOKUP(Calculator!E23,tbSkills!DH3:DJ6,3,FALSE),0),0))&gt;=100,100,(Backdoors!AI12+IF(AK81&gt;=0.45,VLOOKUP(Calculator!E23,tbSkills!DH3:DI6,2,FALSE)+IF(AND(Calculator!B8=TRUE,Backdoors!BI8=TRUE),VLOOKUP(Calculator!E23,tbSkills!DH3:DJ6,3,FALSE),0),0)))/100)),(1-(0.25*((-Backdoors!AI12-IF(AK81&gt;=0.45,VLOOKUP(Calculator!E23,tbSkills!DH3:DI6,2,FALSE)+IF(AND(Calculator!B8=TRUE,Backdoors!BI8=TRUE),VLOOKUP(Calculator!E23,tbSkills!DH3:DJ6,3,FALSE),0),0))/100)))),1),"")</f>
        <v>1</v>
      </c>
      <c r="AN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K81)*AM81)*(VLOOKUP(A81,tbMoveset!A2:C112,3,FALSE)/100)*IF(VLOOKUP(A81,tbMoveset!A2:B112,2,FALSE)="Projectile",Backdoors!N10,Backdoors!N9),0),"")</f>
        <v>8</v>
      </c>
      <c r="AO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K81&gt;=0.45,VLOOKUP(Calculator!E23,tbSkills!DH3:DI6,2,FALSE)+IF(AND(Calculator!B8=TRUE,Backdoors!BI8=TRUE),VLOOKUP(Calculator!E23,tbSkills!DH3:DJ6,3,FALSE),0),0))&gt;=100,100,(Backdoors!AI12+IF(AK81&gt;=0.45,VLOOKUP(Calculator!E23,tbSkills!DH3:DI6,2,FALSE)+IF(AND(Calculator!B8=TRUE,Backdoors!BI8=TRUE),VLOOKUP(Calculator!E23,tbSkills!DH3:DJ6,3,FALSE),0),0)))/100)),1))*IF(VLOOKUP(A81,tbMoveset!A2:K112,11,FALSE)=TRUE,Backdoors!AC5,1))*AL81,0),"")</f>
        <v>0</v>
      </c>
      <c r="AP81" s="49">
        <f>VLOOKUP(A81,tbMoveset!A2:G112,7,FALSE)*IFERROR(IF(Backdoors!AI12&gt;=0,1+(IF(Calculator!E40&gt;0,VLOOKUP(Calculator!E40,tbSkills!AI3:AJ5,2,FALSE),Backdoors!AL4)*(IF((Backdoors!AI12+IF(AK81&gt;=0.45,VLOOKUP(Calculator!E23,tbSkills!DH3:DI6,2,FALSE)+IF(AND(Calculator!B8=TRUE,Backdoors!BI8=TRUE),VLOOKUP(Calculator!E23,tbSkills!DH3:DJ6,3,FALSE),0),0))&gt;=100,100,(Backdoors!AI12+IF(AK81&gt;=0.45,VLOOKUP(Calculator!E23,tbSkills!DH3:DI6,2,FALSE)+IF(AND(Calculator!B8=TRUE,Backdoors!BI8=TRUE),VLOOKUP(Calculator!E23,tbSkills!DH3:DJ6,3,FALSE),0),0)))/100)),1),1)</f>
        <v>0.7</v>
      </c>
      <c r="AQ81" s="87">
        <f t="shared" si="56"/>
        <v>8</v>
      </c>
      <c r="AR81" s="86">
        <f>IFERROR(IF(VLOOKUP(A81,tbMoveset!A2:B112,2,FALSE)="Sever",Backdoors!AY9/100,IF(VLOOKUP(A81,tbMoveset!A2:B112,2,FALSE)="Blunt",Backdoors!AZ9/100,Backdoors!BA9/100)),"")</f>
        <v>0.45</v>
      </c>
      <c r="AS81" s="49">
        <f>IFERROR(IF(VLOOKUP(tbMoveset!A81,tbMoveset!A2:H112,8,FALSE)="Other",IF(VLOOKUP(tbMoveset!A81,tbMoveset!A2:I112,9,FALSE)="Fire",Backdoors!BB9,IF(VLOOKUP(tbMoveset!A81,tbMoveset!A2:I112,9,FALSE)="Water",Backdoors!BC9,IF(VLOOKUP(tbMoveset!A81,tbMoveset!A2:I112,9,FALSE)="Thunder",Backdoors!BD9,IF(VLOOKUP(tbMoveset!A81,tbMoveset!A2:I112,9,FALSE)="Ice",Backdoors!BE9,IF(VLOOKUP(tbMoveset!A81,tbMoveset!A2:I112,9,FALSE)="Dragon",Backdoors!BF9,Backdoors!BG9)))))/100,Backdoors!BG9/100),"")</f>
        <v>0</v>
      </c>
      <c r="AT81" s="49">
        <f>IFERROR(IF(VLOOKUP(A81,tbMoveset!A2:J112,10,FALSE)=TRUE,IF((Backdoors!AI12+IF(AR81&gt;=0.45,VLOOKUP(Calculator!E23,tbSkills!DH3:DI6,2,FALSE)+IF(AND(Calculator!B8=TRUE,Backdoors!BI9=TRUE),VLOOKUP(Calculator!E23,tbSkills!DH3:DJ6,3,FALSE),0),0))&gt;=0,1+(Backdoors!AL2*(IF((Backdoors!AI12+IF(AR81&gt;=0.45,VLOOKUP(Calculator!E23,tbSkills!DH3:DI6,2,FALSE)+IF(AND(Calculator!B8=TRUE,Backdoors!BI9=TRUE),VLOOKUP(Calculator!E23,tbSkills!DH3:DJ6,3,FALSE),0),0))&gt;=100,100,(Backdoors!AI12+IF(AR81&gt;=0.45,VLOOKUP(Calculator!E23,tbSkills!DH3:DI6,2,FALSE)+IF(AND(Calculator!B8=TRUE,Backdoors!BI9=TRUE),VLOOKUP(Calculator!E23,tbSkills!DH3:DJ6,3,FALSE),0),0)))/100)),(1-(0.25*((-Backdoors!AI12-IF(AR81&gt;=0.45,VLOOKUP(Calculator!E23,tbSkills!DH3:DI6,2,FALSE)+IF(AND(Calculator!B8=TRUE,Backdoors!BI9=TRUE),VLOOKUP(Calculator!E23,tbSkills!DH3:DJ6,3,FALSE),0),0))/100)))),1),"")</f>
        <v>1</v>
      </c>
      <c r="AU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R81)*AT81)*(VLOOKUP(A81,tbMoveset!A2:C112,3,FALSE)/100)*IF(VLOOKUP(A81,tbMoveset!A2:B112,2,FALSE)="Projectile",Backdoors!N10,Backdoors!N9),0),"")</f>
        <v>8</v>
      </c>
      <c r="AV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R81&gt;=0.45,VLOOKUP(Calculator!E23,tbSkills!DH3:DI6,2,FALSE)+IF(AND(Calculator!B8=TRUE,Backdoors!BI9=TRUE),VLOOKUP(Calculator!E23,tbSkills!DH3:DJ6,3,FALSE),0),0))&gt;=100,100,(Backdoors!AI12+IF(AR81&gt;=0.45,VLOOKUP(Calculator!E23,tbSkills!DH3:DI6,2,FALSE)+IF(AND(Calculator!B8=TRUE,Backdoors!BI9=TRUE),VLOOKUP(Calculator!E23,tbSkills!DH3:DJ6,3,FALSE),0),0)))/100)),1))*IF(VLOOKUP(A81,tbMoveset!A2:K112,11,FALSE)=TRUE,Backdoors!AC5,1))*AS81,0),"")</f>
        <v>0</v>
      </c>
      <c r="AW81" s="49">
        <f>VLOOKUP(A81,tbMoveset!A2:G112,7,FALSE)*IFERROR(IF(Backdoors!AI12&gt;=0,1+(IF(Calculator!E40&gt;0,VLOOKUP(Calculator!E40,tbSkills!AI3:AJ5,2,FALSE),Backdoors!AL4)*(IF((Backdoors!AI12+IF(AR81&gt;=0.45,VLOOKUP(Calculator!E23,tbSkills!DH3:DI6,2,FALSE)+IF(AND(Calculator!B8=TRUE,Backdoors!BI9=TRUE),VLOOKUP(Calculator!E23,tbSkills!DH3:DJ6,3,FALSE),0),0))&gt;=100,100,(Backdoors!AI12+IF(AR81&gt;=0.45,VLOOKUP(Calculator!E23,tbSkills!DH3:DI6,2,FALSE)+IF(AND(Calculator!B8=TRUE,Backdoors!BI9=TRUE),VLOOKUP(Calculator!E23,tbSkills!DH3:DJ6,3,FALSE),0),0)))/100)),1),1)</f>
        <v>0.7</v>
      </c>
      <c r="AX81" s="87">
        <f t="shared" si="57"/>
        <v>8</v>
      </c>
      <c r="AY81" s="86">
        <f>IFERROR(IF(VLOOKUP(A81,tbMoveset!A2:B112,2,FALSE)="Sever",Backdoors!AY10/100,IF(VLOOKUP(A81,tbMoveset!A2:B112,2,FALSE)="Blunt",Backdoors!AZ10/100,Backdoors!BA10/100)),"")</f>
        <v>0.9</v>
      </c>
      <c r="AZ81" s="49">
        <f>IFERROR(IF(VLOOKUP(tbMoveset!A81,tbMoveset!A2:H112,8,FALSE)="Other",IF(VLOOKUP(tbMoveset!A81,tbMoveset!A2:I112,9,FALSE)="Fire",Backdoors!BB10,IF(VLOOKUP(tbMoveset!A81,tbMoveset!A2:I112,9,FALSE)="Water",Backdoors!BC10,IF(VLOOKUP(tbMoveset!A81,tbMoveset!A2:I112,9,FALSE)="Thunder",Backdoors!BD10,IF(VLOOKUP(tbMoveset!A81,tbMoveset!A2:I112,9,FALSE)="Ice",Backdoors!BE10,IF(VLOOKUP(tbMoveset!A81,tbMoveset!A2:I112,9,FALSE)="Dragon",Backdoors!BF10,Backdoors!BG10)))))/100,Backdoors!BG10/100),"")</f>
        <v>0</v>
      </c>
      <c r="BA81" s="49">
        <f>IFERROR(IF(VLOOKUP(A81,tbMoveset!A2:J112,10,FALSE)=TRUE,IF((Backdoors!AI12+IF(AY81&gt;=0.45,VLOOKUP(Calculator!E23,tbSkills!DH3:DI6,2,FALSE)+IF(AND(Calculator!B8=TRUE,Backdoors!BI10=TRUE),VLOOKUP(Calculator!E23,tbSkills!DH3:DJ6,3,FALSE),0),0))&gt;=0,1+(Backdoors!AL2*(IF((Backdoors!AI12+IF(AY81&gt;=0.45,VLOOKUP(Calculator!E23,tbSkills!DH3:DI6,2,FALSE)+IF(AND(Calculator!B8=TRUE,Backdoors!BI10=TRUE),VLOOKUP(Calculator!E23,tbSkills!DH3:DJ6,3,FALSE),0),0))&gt;=100,100,(Backdoors!AI12+IF(AY81&gt;=0.45,VLOOKUP(Calculator!E23,tbSkills!DH3:DI6,2,FALSE)+IF(AND(Calculator!B8=TRUE,Backdoors!BI10=TRUE),VLOOKUP(Calculator!E23,tbSkills!DH3:DJ6,3,FALSE),0),0)))/100)),(1-(0.25*((-Backdoors!AI12-IF(AY81&gt;=0.45,VLOOKUP(Calculator!E23,tbSkills!DH3:DI6,2,FALSE)+IF(AND(Calculator!B8=TRUE,Backdoors!BI10=TRUE),VLOOKUP(Calculator!E23,tbSkills!DH3:DJ6,3,FALSE),0),0))/100)))),1),"")</f>
        <v>1</v>
      </c>
      <c r="BB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Y81)*BA81)*(VLOOKUP(A81,tbMoveset!A2:C112,3,FALSE)/100)*IF(VLOOKUP(A81,tbMoveset!A2:B112,2,FALSE)="Projectile",Backdoors!N10,Backdoors!N9),0),"")</f>
        <v>15</v>
      </c>
      <c r="BC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Y81&gt;=0.45,VLOOKUP(Calculator!E23,tbSkills!DH3:DI6,2,FALSE)+IF(AND(Calculator!B8=TRUE,Backdoors!BI10=TRUE),VLOOKUP(Calculator!E23,tbSkills!DH3:DJ6,3,FALSE),0),0))&gt;=100,100,(Backdoors!AI12+IF(AY81&gt;=0.45,VLOOKUP(Calculator!E23,tbSkills!DH3:DI6,2,FALSE)+IF(AND(Calculator!B8=TRUE,Backdoors!BI10=TRUE),VLOOKUP(Calculator!E23,tbSkills!DH3:DJ6,3,FALSE),0),0)))/100)),1))*IF(VLOOKUP(A81,tbMoveset!A2:K112,11,FALSE)=TRUE,Backdoors!AC5,1))*AZ81,0),"")</f>
        <v>0</v>
      </c>
      <c r="BD81" s="49">
        <f>VLOOKUP(A81,tbMoveset!A2:G112,7,FALSE)*IFERROR(IF(Backdoors!AI12&gt;=0,1+(IF(Calculator!E40&gt;0,VLOOKUP(Calculator!E40,tbSkills!AI3:AJ5,2,FALSE),Backdoors!AL4)*(IF((Backdoors!AI12+IF(AY81&gt;=0.45,VLOOKUP(Calculator!E23,tbSkills!DH3:DI6,2,FALSE)+IF(AND(Calculator!B8=TRUE,Backdoors!BI10=TRUE),VLOOKUP(Calculator!E23,tbSkills!DH3:DJ6,3,FALSE),0),0))&gt;=100,100,(Backdoors!AI12+IF(AY81&gt;=0.45,VLOOKUP(Calculator!E23,tbSkills!DH3:DI6,2,FALSE)+IF(AND(Calculator!B8=TRUE,Backdoors!BI10=TRUE),VLOOKUP(Calculator!E23,tbSkills!DH3:DJ6,3,FALSE),0),0)))/100)),1),1)</f>
        <v>0.7</v>
      </c>
      <c r="BE81" s="87">
        <f t="shared" si="58"/>
        <v>15</v>
      </c>
      <c r="BF81" s="86" t="str">
        <f>IFERROR(IF(VLOOKUP(A81,tbMoveset!A2:B112,2,FALSE)="Sever",Backdoors!AY11/100,IF(VLOOKUP(A81,tbMoveset!A2:B112,2,FALSE)="Blunt",Backdoors!AZ11/100,Backdoors!BA11/100)),"")</f>
        <v/>
      </c>
      <c r="BG81" s="49">
        <f>IFERROR(IF(VLOOKUP(tbMoveset!A81,tbMoveset!A2:H112,8,FALSE)="Other",IF(VLOOKUP(tbMoveset!A81,tbMoveset!A2:I112,9,FALSE)="Fire",Backdoors!BB11,IF(VLOOKUP(tbMoveset!A81,tbMoveset!A2:I112,9,FALSE)="Water",Backdoors!BC11,IF(VLOOKUP(tbMoveset!A81,tbMoveset!A2:I112,9,FALSE)="Thunder",Backdoors!BD11,IF(VLOOKUP(tbMoveset!A81,tbMoveset!A2:I112,9,FALSE)="Ice",Backdoors!BE11,IF(VLOOKUP(tbMoveset!A81,tbMoveset!A2:I112,9,FALSE)="Dragon",Backdoors!BF11,Backdoors!BG11)))))/100,Backdoors!BG11/100),"")</f>
        <v>0</v>
      </c>
      <c r="BH81" s="49">
        <f>IFERROR(IF(VLOOKUP(A81,tbMoveset!A2:J112,10,FALSE)=TRUE,IF((Backdoors!AI12+IF(BF81&gt;=0.45,VLOOKUP(Calculator!E23,tbSkills!DH3:DI6,2,FALSE)+IF(AND(Calculator!B8=TRUE,Backdoors!BI11=TRUE),VLOOKUP(Calculator!E23,tbSkills!DH3:DJ6,3,FALSE),0),0))&gt;=0,1+(Backdoors!AL2*(IF((Backdoors!AI12+IF(BF81&gt;=0.45,VLOOKUP(Calculator!E23,tbSkills!DH3:DI6,2,FALSE)+IF(AND(Calculator!B8=TRUE,Backdoors!BI11=TRUE),VLOOKUP(Calculator!E23,tbSkills!DH3:DJ6,3,FALSE),0),0))&gt;=100,100,(Backdoors!AI12+IF(BF81&gt;=0.45,VLOOKUP(Calculator!E23,tbSkills!DH3:DI6,2,FALSE)+IF(AND(Calculator!B8=TRUE,Backdoors!BI11=TRUE),VLOOKUP(Calculator!E23,tbSkills!DH3:DJ6,3,FALSE),0),0)))/100)),(1-(0.25*((-Backdoors!AI12-IF(BF81&gt;=0.45,VLOOKUP(Calculator!E23,tbSkills!DH3:DI6,2,FALSE)+IF(AND(Calculator!B8=TRUE,Backdoors!BI11=TRUE),VLOOKUP(Calculator!E23,tbSkills!DH3:DJ6,3,FALSE),0),0))/100)))),1),"")</f>
        <v>1</v>
      </c>
      <c r="BI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F81)*BH81)*(VLOOKUP(A81,tbMoveset!A2:C112,3,FALSE)/100)*IF(VLOOKUP(A81,tbMoveset!A2:B112,2,FALSE)="Projectile",Backdoors!N10,Backdoors!N9),0),"")</f>
        <v/>
      </c>
      <c r="BJ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F81&gt;=0.45,VLOOKUP(Calculator!E23,tbSkills!DH3:DI6,2,FALSE)+IF(AND(Calculator!B8=TRUE,Backdoors!BI11=TRUE),VLOOKUP(Calculator!E23,tbSkills!DH3:DJ6,3,FALSE),0),0))&gt;=100,100,(Backdoors!AI12+IF(BF81&gt;=0.45,VLOOKUP(Calculator!E23,tbSkills!DH3:DI6,2,FALSE)+IF(AND(Calculator!B8=TRUE,Backdoors!BI11=TRUE),VLOOKUP(Calculator!E23,tbSkills!DH3:DJ6,3,FALSE),0),0)))/100)),1))*IF(VLOOKUP(A81,tbMoveset!A2:K112,11,FALSE)=TRUE,Backdoors!AC5,1))*BG81,0),"")</f>
        <v>0</v>
      </c>
      <c r="BK81" s="49">
        <f>VLOOKUP(A81,tbMoveset!A2:G112,7,FALSE)*IFERROR(IF(Backdoors!AI12&gt;=0,1+(IF(Calculator!E40&gt;0,VLOOKUP(Calculator!E40,tbSkills!AI3:AJ5,2,FALSE),Backdoors!AL4)*(IF((Backdoors!AI12+IF(BF81&gt;=0.45,VLOOKUP(Calculator!E23,tbSkills!DH3:DI6,2,FALSE)+IF(AND(Calculator!B8=TRUE,Backdoors!BI11=TRUE),VLOOKUP(Calculator!E23,tbSkills!DH3:DJ6,3,FALSE),0),0))&gt;=100,100,(Backdoors!AI12+IF(BF81&gt;=0.45,VLOOKUP(Calculator!E23,tbSkills!DH3:DI6,2,FALSE)+IF(AND(Calculator!B8=TRUE,Backdoors!BI11=TRUE),VLOOKUP(Calculator!E23,tbSkills!DH3:DJ6,3,FALSE),0),0)))/100)),1),1)</f>
        <v>0.7</v>
      </c>
      <c r="BL81" s="87">
        <f t="shared" si="59"/>
        <v>0</v>
      </c>
      <c r="BM81" s="86" t="str">
        <f>IFERROR(IF(VLOOKUP(A81,tbMoveset!A2:B112,2,FALSE)="Sever",Backdoors!AY12/100,IF(VLOOKUP(A81,tbMoveset!A2:B112,2,FALSE)="Blunt",Backdoors!AZ12/100,Backdoors!BA12/100)),"")</f>
        <v/>
      </c>
      <c r="BN81" s="49">
        <f>IFERROR(IF(VLOOKUP(tbMoveset!A81,tbMoveset!A2:H112,8,FALSE)="Other",IF(VLOOKUP(tbMoveset!A81,tbMoveset!A2:I112,9,FALSE)="Fire",Backdoors!BB12,IF(VLOOKUP(tbMoveset!A81,tbMoveset!A2:I112,9,FALSE)="Water",Backdoors!BC12,IF(VLOOKUP(tbMoveset!A81,tbMoveset!A2:I112,9,FALSE)="Thunder",Backdoors!BD12,IF(VLOOKUP(tbMoveset!A81,tbMoveset!A2:I112,9,FALSE)="Ice",Backdoors!BE12,IF(VLOOKUP(tbMoveset!A81,tbMoveset!A2:I112,9,FALSE)="Dragon",Backdoors!BF12,Backdoors!BG12)))))/100,Backdoors!BG12/100),"")</f>
        <v>0</v>
      </c>
      <c r="BO81" s="49">
        <f>IFERROR(IF(VLOOKUP(A81,tbMoveset!A2:J112,10,FALSE)=TRUE,IF((Backdoors!AI12+IF(BM81&gt;=0.45,VLOOKUP(Calculator!E23,tbSkills!DH3:DI6,2,FALSE)+IF(AND(Calculator!B8=TRUE,Backdoors!BI12=TRUE),VLOOKUP(Calculator!E23,tbSkills!DH3:DJ6,3,FALSE),0),0))&gt;=0,1+(Backdoors!AL2*(IF((Backdoors!AI12+IF(BM81&gt;=0.45,VLOOKUP(Calculator!E23,tbSkills!DH3:DI6,2,FALSE)+IF(AND(Calculator!B8=TRUE,Backdoors!BI12=TRUE),VLOOKUP(Calculator!E23,tbSkills!DH3:DJ6,3,FALSE),0),0))&gt;=100,100,(Backdoors!AI12+IF(BM81&gt;=0.45,VLOOKUP(Calculator!E23,tbSkills!DH3:DI6,2,FALSE)+IF(AND(Calculator!B8=TRUE,Backdoors!BI12=TRUE),VLOOKUP(Calculator!E23,tbSkills!DH3:DJ6,3,FALSE),0),0)))/100)),(1-(0.25*((-Backdoors!AI12-IF(BM81&gt;=0.45,VLOOKUP(Calculator!E23,tbSkills!DH3:DI6,2,FALSE)+IF(AND(Calculator!B8=TRUE,Backdoors!BI12=TRUE),VLOOKUP(Calculator!E23,tbSkills!DH3:DJ6,3,FALSE),0),0))/100)))),1),"")</f>
        <v>1</v>
      </c>
      <c r="BP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M81)*BO81)*(VLOOKUP(A81,tbMoveset!A2:C112,3,FALSE)/100)*IF(VLOOKUP(A81,tbMoveset!A2:B112,2,FALSE)="Projectile",Backdoors!N10,Backdoors!N9),0),"")</f>
        <v/>
      </c>
      <c r="BQ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M81&gt;=0.45,VLOOKUP(Calculator!E23,tbSkills!DH3:DI6,2,FALSE)+IF(AND(Calculator!B8=TRUE,Backdoors!BI12=TRUE),VLOOKUP(Calculator!E23,tbSkills!DH3:DJ6,3,FALSE),0),0))&gt;=100,100,(Backdoors!AI12+IF(BM81&gt;=0.45,VLOOKUP(Calculator!E23,tbSkills!DH3:DI6,2,FALSE)+IF(AND(Calculator!B8=TRUE,Backdoors!BI12=TRUE),VLOOKUP(Calculator!E23,tbSkills!DH3:DJ6,3,FALSE),0),0)))/100)),1))*IF(VLOOKUP(A81,tbMoveset!A2:K112,11,FALSE)=TRUE,Backdoors!AC5,1))*BN81,0),"")</f>
        <v>0</v>
      </c>
      <c r="BR81" s="49">
        <f>VLOOKUP(A81,tbMoveset!A2:G112,7,FALSE)*IFERROR(IF(Backdoors!AI12&gt;=0,1+(IF(Calculator!E40&gt;0,VLOOKUP(Calculator!E40,tbSkills!AI3:AJ5,2,FALSE),Backdoors!AL4)*(IF((Backdoors!AI12+IF(BM81&gt;=0.45,VLOOKUP(Calculator!E23,tbSkills!DH3:DI6,2,FALSE)+IF(AND(Calculator!B8=TRUE,Backdoors!BI12=TRUE),VLOOKUP(Calculator!E23,tbSkills!DH3:DJ6,3,FALSE),0),0))&gt;=100,100,(Backdoors!AI12+IF(BM81&gt;=0.45,VLOOKUP(Calculator!E23,tbSkills!DH3:DI6,2,FALSE)+IF(AND(Calculator!B8=TRUE,Backdoors!BI12=TRUE),VLOOKUP(Calculator!E23,tbSkills!DH3:DJ6,3,FALSE),0),0)))/100)),1),1)</f>
        <v>0.7</v>
      </c>
      <c r="BS81" s="87">
        <f t="shared" si="60"/>
        <v>0</v>
      </c>
      <c r="BT81" s="86" t="str">
        <f>IFERROR(IF(VLOOKUP(A81,tbMoveset!A2:B112,2,FALSE)="Sever",Backdoors!AY13/100,IF(VLOOKUP(A81,tbMoveset!A2:B112,2,FALSE)="Blunt",Backdoors!AZ13/100,Backdoors!BA13/100)),"")</f>
        <v/>
      </c>
      <c r="BU81" s="49">
        <f>IFERROR(IF(VLOOKUP(tbMoveset!A81,tbMoveset!A2:H112,8,FALSE)="Other",IF(VLOOKUP(tbMoveset!A81,tbMoveset!A2:I112,9,FALSE)="Fire",Backdoors!BB13,IF(VLOOKUP(tbMoveset!A81,tbMoveset!A2:I112,9,FALSE)="Water",Backdoors!BC13,IF(VLOOKUP(tbMoveset!A81,tbMoveset!A2:I112,9,FALSE)="Thunder",Backdoors!BD13,IF(VLOOKUP(tbMoveset!A81,tbMoveset!A2:I112,9,FALSE)="Ice",Backdoors!BE13,IF(VLOOKUP(tbMoveset!A81,tbMoveset!A2:I112,9,FALSE)="Dragon",Backdoors!BF13,Backdoors!BG13)))))/100,Backdoors!BG13/100),"")</f>
        <v>0</v>
      </c>
      <c r="BV81" s="49">
        <f>IFERROR(IF(VLOOKUP(A81,tbMoveset!A2:J112,10,FALSE)=TRUE,IF((Backdoors!AI12+IF(BT81&gt;=0.45,VLOOKUP(Calculator!E23,tbSkills!DH3:DI6,2,FALSE)+IF(AND(Calculator!B8=TRUE,Backdoors!BI13=TRUE),VLOOKUP(Calculator!E23,tbSkills!DH3:DJ6,3,FALSE),0),0))&gt;=0,1+(Backdoors!AL2*(IF((Backdoors!AI12+IF(BT81&gt;=0.45,VLOOKUP(Calculator!E23,tbSkills!DH3:DI6,2,FALSE)+IF(AND(Calculator!B8=TRUE,Backdoors!BI13=TRUE),VLOOKUP(Calculator!E23,tbSkills!DH3:DJ6,3,FALSE),0),0))&gt;=100,100,(Backdoors!AI12+IF(BT81&gt;=0.45,VLOOKUP(Calculator!E23,tbSkills!DH3:DI6,2,FALSE)+IF(AND(Calculator!B8=TRUE,Backdoors!BI13=TRUE),VLOOKUP(Calculator!E23,tbSkills!DH3:DJ6,3,FALSE),0),0)))/100)),(1-(0.25*((-Backdoors!AI12-IF(BT81&gt;=0.45,VLOOKUP(Calculator!E23,tbSkills!DH3:DI6,2,FALSE)+IF(AND(Calculator!B8=TRUE,Backdoors!BI13=TRUE),VLOOKUP(Calculator!E23,tbSkills!DH3:DJ6,3,FALSE),0),0))/100)))),1),"")</f>
        <v>1</v>
      </c>
      <c r="BW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T81)*BV81)*(VLOOKUP(A81,tbMoveset!A2:C112,3,FALSE)/100)*IF(VLOOKUP(A81,tbMoveset!A2:B112,2,FALSE)="Projectile",Backdoors!N10,Backdoors!N9),0),"")</f>
        <v/>
      </c>
      <c r="BX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T81&gt;=0.45,VLOOKUP(Calculator!E23,tbSkills!DH3:DI6,2,FALSE)+IF(AND(Calculator!B8=TRUE,Backdoors!BI13=TRUE),VLOOKUP(Calculator!E23,tbSkills!DH3:DJ6,3,FALSE),0),0))&gt;=100,100,(Backdoors!AI12+IF(BT81&gt;=0.45,VLOOKUP(Calculator!E23,tbSkills!DH3:DI6,2,FALSE)+IF(AND(Calculator!B8=TRUE,Backdoors!BI13=TRUE),VLOOKUP(Calculator!E23,tbSkills!DH3:DJ6,3,FALSE),0),0)))/100)),1))*IF(VLOOKUP(A81,tbMoveset!A2:K112,11,FALSE)=TRUE,Backdoors!AC5,1))*BU81,0),"")</f>
        <v>0</v>
      </c>
      <c r="BY81" s="49">
        <f>VLOOKUP(A81,tbMoveset!A2:G112,7,FALSE)*IFERROR(IF(Backdoors!AI12&gt;=0,1+(IF(Calculator!E40&gt;0,VLOOKUP(Calculator!E40,tbSkills!AI3:AJ5,2,FALSE),Backdoors!AL4)*(IF((Backdoors!AI12+IF(BT81&gt;=0.45,VLOOKUP(Calculator!E23,tbSkills!DH3:DI6,2,FALSE)+IF(AND(Calculator!B8=TRUE,Backdoors!BI13=TRUE),VLOOKUP(Calculator!E23,tbSkills!DH3:DJ6,3,FALSE),0),0))&gt;=100,100,(Backdoors!AI12+IF(BT81&gt;=0.45,VLOOKUP(Calculator!E23,tbSkills!DH3:DI6,2,FALSE)+IF(AND(Calculator!B8=TRUE,Backdoors!BI13=TRUE),VLOOKUP(Calculator!E23,tbSkills!DH3:DJ6,3,FALSE),0),0)))/100)),1),1)</f>
        <v>0.7</v>
      </c>
      <c r="BZ81" s="87">
        <f t="shared" si="61"/>
        <v>0</v>
      </c>
      <c r="CA81" s="86" t="str">
        <f>IFERROR(IF(VLOOKUP(A81,tbMoveset!A2:B112,2,FALSE)="Sever",Backdoors!AY14/100,IF(VLOOKUP(A81,tbMoveset!A2:B112,2,FALSE)="Blunt",Backdoors!AZ14/100,Backdoors!BA14/100)),"")</f>
        <v/>
      </c>
      <c r="CB81" s="49">
        <f>IFERROR(IF(VLOOKUP(tbMoveset!A81,tbMoveset!A2:H112,8,FALSE)="Other",IF(VLOOKUP(tbMoveset!A81,tbMoveset!A2:I112,9,FALSE)="Fire",Backdoors!BB14,IF(VLOOKUP(tbMoveset!A81,tbMoveset!A2:I112,9,FALSE)="Water",Backdoors!BC14,IF(VLOOKUP(tbMoveset!A81,tbMoveset!A2:I112,9,FALSE)="Thunder",Backdoors!BD14,IF(VLOOKUP(tbMoveset!A81,tbMoveset!A2:I112,9,FALSE)="Ice",Backdoors!BE14,IF(VLOOKUP(tbMoveset!A81,tbMoveset!A2:I112,9,FALSE)="Dragon",Backdoors!BF14,Backdoors!BG14)))))/100,Backdoors!BG14/100),"")</f>
        <v>0</v>
      </c>
      <c r="CC81" s="49">
        <f>IFERROR(IF(VLOOKUP(A81,tbMoveset!A2:J112,10,FALSE)=TRUE,IF((Backdoors!AI12+IF(CA81&gt;=0.45,VLOOKUP(Calculator!E23,tbSkills!DH3:DI6,2,FALSE)+IF(AND(Calculator!B8=TRUE,Backdoors!BI14=TRUE),VLOOKUP(Calculator!E23,tbSkills!DH3:DJ6,3,FALSE),0),0))&gt;=0,1+(Backdoors!AL2*(IF((Backdoors!AI12+IF(CA81&gt;=0.45,VLOOKUP(Calculator!E23,tbSkills!DH3:DI6,2,FALSE)+IF(AND(Calculator!B8=TRUE,Backdoors!BI14=TRUE),VLOOKUP(Calculator!E23,tbSkills!DH3:DJ6,3,FALSE),0),0))&gt;=100,100,(Backdoors!AI12+IF(CA81&gt;=0.45,VLOOKUP(Calculator!E23,tbSkills!DH3:DI6,2,FALSE)+IF(AND(Calculator!B8=TRUE,Backdoors!BI14=TRUE),VLOOKUP(Calculator!E23,tbSkills!DH3:DJ6,3,FALSE),0),0)))/100)),(1-(0.25*((-Backdoors!AI12-IF(CA81&gt;=0.45,VLOOKUP(Calculator!E23,tbSkills!DH3:DI6,2,FALSE)+IF(AND(Calculator!B8=TRUE,Backdoors!BI14=TRUE),VLOOKUP(Calculator!E23,tbSkills!DH3:DJ6,3,FALSE),0),0))/100)))),1),"")</f>
        <v>1</v>
      </c>
      <c r="CD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A81)*CC81)*(VLOOKUP(A81,tbMoveset!A2:C112,3,FALSE)/100)*IF(VLOOKUP(A81,tbMoveset!A2:B112,2,FALSE)="Projectile",Backdoors!N10,Backdoors!N9),0),"")</f>
        <v/>
      </c>
      <c r="CE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A81&gt;=0.45,VLOOKUP(Calculator!E23,tbSkills!DH3:DI6,2,FALSE)+IF(AND(Calculator!B8=TRUE,Backdoors!BI14=TRUE),VLOOKUP(Calculator!E23,tbSkills!DH3:DJ6,3,FALSE),0),0))&gt;=100,100,(Backdoors!AI12+IF(CA81&gt;=0.45,VLOOKUP(Calculator!E23,tbSkills!DH3:DI6,2,FALSE)+IF(AND(Calculator!B8=TRUE,Backdoors!BI14=TRUE),VLOOKUP(Calculator!E23,tbSkills!DH3:DJ6,3,FALSE),0),0)))/100)),1))*IF(VLOOKUP(A81,tbMoveset!A2:K112,11,FALSE)=TRUE,Backdoors!AC5,1))*CB81,0),"")</f>
        <v>0</v>
      </c>
      <c r="CF81" s="49">
        <f>VLOOKUP(A81,tbMoveset!A2:G112,7,FALSE)*IFERROR(IF(Backdoors!AI12&gt;=0,1+(IF(Calculator!E40&gt;0,VLOOKUP(Calculator!E40,tbSkills!AI3:AJ5,2,FALSE),Backdoors!AL4)*(IF((Backdoors!AI12+IF(CA81&gt;=0.45,VLOOKUP(Calculator!E23,tbSkills!DH3:DI6,2,FALSE)+IF(AND(Calculator!B8=TRUE,Backdoors!BI14=TRUE),VLOOKUP(Calculator!E23,tbSkills!DH3:DJ6,3,FALSE),0),0))&gt;=100,100,(Backdoors!AI12+IF(CA81&gt;=0.45,VLOOKUP(Calculator!E23,tbSkills!DH3:DI6,2,FALSE)+IF(AND(Calculator!B8=TRUE,Backdoors!BI14=TRUE),VLOOKUP(Calculator!E23,tbSkills!DH3:DJ6,3,FALSE),0),0)))/100)),1),1)</f>
        <v>0.7</v>
      </c>
      <c r="CG81" s="87">
        <f t="shared" si="62"/>
        <v>0</v>
      </c>
      <c r="CH81" s="86" t="str">
        <f>IFERROR(IF(VLOOKUP(A81,tbMoveset!A2:B112,2,FALSE)="Sever",Backdoors!AY15/100,IF(VLOOKUP(A81,tbMoveset!A2:B112,2,FALSE)="Blunt",Backdoors!AZ15/100,Backdoors!BA15/100)),"")</f>
        <v/>
      </c>
      <c r="CI81" s="49">
        <f>IFERROR(IF(VLOOKUP(tbMoveset!A81,tbMoveset!A2:H112,8,FALSE)="Other",IF(VLOOKUP(tbMoveset!A81,tbMoveset!A2:I112,9,FALSE)="Fire",Backdoors!BB15,IF(VLOOKUP(tbMoveset!A81,tbMoveset!A2:I112,9,FALSE)="Water",Backdoors!BC15,IF(VLOOKUP(tbMoveset!A81,tbMoveset!A2:I112,9,FALSE)="Thunder",Backdoors!BD15,IF(VLOOKUP(tbMoveset!A81,tbMoveset!A2:I112,9,FALSE)="Ice",Backdoors!BE15,IF(VLOOKUP(tbMoveset!A81,tbMoveset!A2:I112,9,FALSE)="Dragon",Backdoors!BF15,Backdoors!BG15)))))/100,Backdoors!BG15/100),"")</f>
        <v>0</v>
      </c>
      <c r="CJ81" s="49">
        <f>IFERROR(IF(VLOOKUP(A81,tbMoveset!A2:J112,10,FALSE)=TRUE,IF((Backdoors!AI12+IF(CH81&gt;=0.45,VLOOKUP(Calculator!E23,tbSkills!DH3:DI6,2,FALSE)+IF(AND(Calculator!B8=TRUE,Backdoors!BI15=TRUE),VLOOKUP(Calculator!E23,tbSkills!DH3:DJ6,3,FALSE),0),0))&gt;=0,1+(Backdoors!AL2*(IF((Backdoors!AI12+IF(CH81&gt;=0.45,VLOOKUP(Calculator!E23,tbSkills!DH3:DI6,2,FALSE)+IF(AND(Calculator!B8=TRUE,Backdoors!BI15=TRUE),VLOOKUP(Calculator!E23,tbSkills!DH3:DJ6,3,FALSE),0),0))&gt;=100,100,(Backdoors!AI12+IF(CH81&gt;=0.45,VLOOKUP(Calculator!E23,tbSkills!DH3:DI6,2,FALSE)+IF(AND(Calculator!B8=TRUE,Backdoors!BI15=TRUE),VLOOKUP(Calculator!E23,tbSkills!DH3:DJ6,3,FALSE),0),0)))/100)),(1-(0.25*((-Backdoors!AI12-IF(CH81&gt;=0.45,VLOOKUP(Calculator!E23,tbSkills!DH3:DI6,2,FALSE)+IF(AND(Calculator!B8=TRUE,Backdoors!BI15=TRUE),VLOOKUP(Calculator!E23,tbSkills!DH3:DJ6,3,FALSE),0),0))/100)))),1),"")</f>
        <v>1</v>
      </c>
      <c r="CK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H81)*CJ81)*(VLOOKUP(A81,tbMoveset!A2:C112,3,FALSE)/100)*IF(VLOOKUP(A81,tbMoveset!A2:B112,2,FALSE)="Projectile",Backdoors!N10,Backdoors!N9),0),"")</f>
        <v/>
      </c>
      <c r="CL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H81&gt;=0.45,VLOOKUP(Calculator!E23,tbSkills!DH3:DI6,2,FALSE)+IF(AND(Calculator!B8=TRUE,Backdoors!BI15=TRUE),VLOOKUP(Calculator!E23,tbSkills!DH3:DJ6,3,FALSE),0),0))&gt;=100,100,(Backdoors!AI12+IF(CH81&gt;=0.45,VLOOKUP(Calculator!E23,tbSkills!DH3:DI6,2,FALSE)+IF(AND(Calculator!B8=TRUE,Backdoors!BI15=TRUE),VLOOKUP(Calculator!E23,tbSkills!DH3:DJ6,3,FALSE),0),0)))/100)),1))*IF(VLOOKUP(A81,tbMoveset!A2:K112,11,FALSE)=TRUE,Backdoors!AC5,1))*CI81,0),"")</f>
        <v>0</v>
      </c>
      <c r="CM81" s="49">
        <f>VLOOKUP(A81,tbMoveset!A2:G112,7,FALSE)*IFERROR(IF(Backdoors!AI12&gt;=0,1+(IF(Calculator!E40&gt;0,VLOOKUP(Calculator!E40,tbSkills!AI3:AJ5,2,FALSE),Backdoors!AL4)*(IF((Backdoors!AI12+IF(CH81&gt;=0.45,VLOOKUP(Calculator!E23,tbSkills!DH3:DI6,2,FALSE)+IF(AND(Calculator!B8=TRUE,Backdoors!BI15=TRUE),VLOOKUP(Calculator!E23,tbSkills!DH3:DJ6,3,FALSE),0),0))&gt;=100,100,(Backdoors!AI12+IF(CH81&gt;=0.45,VLOOKUP(Calculator!E23,tbSkills!DH3:DI6,2,FALSE)+IF(AND(Calculator!B8=TRUE,Backdoors!BI15=TRUE),VLOOKUP(Calculator!E23,tbSkills!DH3:DJ6,3,FALSE),0),0)))/100)),1),1)</f>
        <v>0.7</v>
      </c>
      <c r="CN81" s="87">
        <f t="shared" si="63"/>
        <v>0</v>
      </c>
      <c r="CO81" s="86" t="str">
        <f>IFERROR(IF(VLOOKUP(A81,tbMoveset!A2:B112,2,FALSE)="Sever",Backdoors!AY16/100,IF(VLOOKUP(A81,tbMoveset!A2:B112,2,FALSE)="Blunt",Backdoors!AZ16/100,Backdoors!BA16/100)),"")</f>
        <v/>
      </c>
      <c r="CP81" s="49">
        <f>IFERROR(IF(VLOOKUP(tbMoveset!A81,tbMoveset!A2:H112,8,FALSE)="Other",IF(VLOOKUP(tbMoveset!A81,tbMoveset!A2:I112,9,FALSE)="Fire",Backdoors!BB16,IF(VLOOKUP(tbMoveset!A81,tbMoveset!A2:I112,9,FALSE)="Water",Backdoors!BC16,IF(VLOOKUP(tbMoveset!A81,tbMoveset!A2:I112,9,FALSE)="Thunder",Backdoors!BD16,IF(VLOOKUP(tbMoveset!A81,tbMoveset!A2:I112,9,FALSE)="Ice",Backdoors!BE16,IF(VLOOKUP(tbMoveset!A81,tbMoveset!A2:I112,9,FALSE)="Dragon",Backdoors!BF16,Backdoors!BG16)))))/100,Backdoors!BG16/100),"")</f>
        <v>0</v>
      </c>
      <c r="CQ81" s="49">
        <f>IFERROR(IF(VLOOKUP(A81,tbMoveset!A2:J112,10,FALSE)=TRUE,IF((Backdoors!AI12+IF(CO81&gt;=0.45,VLOOKUP(Calculator!E23,tbSkills!DH3:DI6,2,FALSE)+IF(AND(Calculator!B8=TRUE,Backdoors!BI16=TRUE),VLOOKUP(Calculator!E23,tbSkills!DH3:DJ6,3,FALSE),0),0))&gt;=0,1+(Backdoors!AL2*(IF((Backdoors!AI12+IF(CO81&gt;=0.45,VLOOKUP(Calculator!E23,tbSkills!DH3:DI6,2,FALSE)+IF(AND(Calculator!B8=TRUE,Backdoors!BI16=TRUE),VLOOKUP(Calculator!E23,tbSkills!DH3:DJ6,3,FALSE),0),0))&gt;=100,100,(Backdoors!AI12+IF(CO81&gt;=0.45,VLOOKUP(Calculator!E23,tbSkills!DH3:DI6,2,FALSE)+IF(AND(Calculator!B8=TRUE,Backdoors!BI16=TRUE),VLOOKUP(Calculator!E23,tbSkills!DH3:DJ6,3,FALSE),0),0)))/100)),(1-(0.25*((-Backdoors!AI12-IF(CO81&gt;=0.45,VLOOKUP(Calculator!E23,tbSkills!DH3:DI6,2,FALSE)+IF(AND(Calculator!B8=TRUE,Backdoors!BI16=TRUE),VLOOKUP(Calculator!E23,tbSkills!DH3:DJ6,3,FALSE),0),0))/100)))),1),"")</f>
        <v>1</v>
      </c>
      <c r="CR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O81)*CQ81)*(VLOOKUP(A81,tbMoveset!A2:C112,3,FALSE)/100)*IF(VLOOKUP(A81,tbMoveset!A2:B112,2,FALSE)="Projectile",Backdoors!N10,Backdoors!N9),0),"")</f>
        <v/>
      </c>
      <c r="CS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O81&gt;=0.45,VLOOKUP(Calculator!E23,tbSkills!DH3:DI6,2,FALSE)+IF(AND(Calculator!B8=TRUE,Backdoors!BI16=TRUE),VLOOKUP(Calculator!E23,tbSkills!DH3:DJ6,3,FALSE),0),0))&gt;=100,100,(Backdoors!AI12+IF(CO81&gt;=0.45,VLOOKUP(Calculator!E23,tbSkills!DH3:DI6,2,FALSE)+IF(AND(Calculator!B8=TRUE,Backdoors!BI16=TRUE),VLOOKUP(Calculator!E23,tbSkills!DH3:DJ6,3,FALSE),0),0)))/100)),1))*IF(VLOOKUP(A81,tbMoveset!A2:K112,11,FALSE)=TRUE,Backdoors!AC5,1))*CP81,0),"")</f>
        <v>0</v>
      </c>
      <c r="CT81" s="49">
        <f>VLOOKUP(A81,tbMoveset!A2:G112,7,FALSE)*IFERROR(IF(Backdoors!AI12&gt;=0,1+(IF(Calculator!E40&gt;0,VLOOKUP(Calculator!E40,tbSkills!AI3:AJ5,2,FALSE),Backdoors!AL4)*(IF((Backdoors!AI12+IF(CO81&gt;=0.45,VLOOKUP(Calculator!E23,tbSkills!DH3:DI6,2,FALSE)+IF(AND(Calculator!B8=TRUE,Backdoors!BI16=TRUE),VLOOKUP(Calculator!E23,tbSkills!DH3:DJ6,3,FALSE),0),0))&gt;=100,100,(Backdoors!AI12+IF(CO81&gt;=0.45,VLOOKUP(Calculator!E23,tbSkills!DH3:DI6,2,FALSE)+IF(AND(Calculator!B8=TRUE,Backdoors!BI16=TRUE),VLOOKUP(Calculator!E23,tbSkills!DH3:DJ6,3,FALSE),0),0)))/100)),1),1)</f>
        <v>0.7</v>
      </c>
      <c r="CU81" s="87">
        <f t="shared" si="64"/>
        <v>0</v>
      </c>
      <c r="CV81" s="86" t="str">
        <f>IFERROR(IF(VLOOKUP(A81,tbMoveset!A2:B112,2,FALSE)="Sever",Backdoors!AY17/100,IF(VLOOKUP(A81,tbMoveset!A2:B112,2,FALSE)="Blunt",Backdoors!AZ17/100,Backdoors!BA17/100)),"")</f>
        <v/>
      </c>
      <c r="CW81" s="49">
        <f>IFERROR(IF(VLOOKUP(tbMoveset!A81,tbMoveset!A2:H112,8,FALSE)="Other",IF(VLOOKUP(tbMoveset!A81,tbMoveset!A2:I112,9,FALSE)="Fire",Backdoors!BB17,IF(VLOOKUP(tbMoveset!A81,tbMoveset!A2:I112,9,FALSE)="Water",Backdoors!BC17,IF(VLOOKUP(tbMoveset!A81,tbMoveset!A2:I112,9,FALSE)="Thunder",Backdoors!BD17,IF(VLOOKUP(tbMoveset!A81,tbMoveset!A2:I112,9,FALSE)="Ice",Backdoors!BE17,IF(VLOOKUP(tbMoveset!A81,tbMoveset!A2:I112,9,FALSE)="Dragon",Backdoors!BF17,Backdoors!BG17)))))/100,Backdoors!BG17/100),"")</f>
        <v>0</v>
      </c>
      <c r="CX81" s="49">
        <f>IFERROR(IF(VLOOKUP(A81,tbMoveset!A2:J112,10,FALSE)=TRUE,IF((Backdoors!AI12+IF(CV81&gt;=0.45,VLOOKUP(Calculator!E23,tbSkills!DH3:DI6,2,FALSE)+IF(AND(Calculator!B8=TRUE,Backdoors!BI17=TRUE),VLOOKUP(Calculator!E23,tbSkills!DH3:DJ6,3,FALSE),0),0))&gt;=0,1+(Backdoors!AL2*(IF((Backdoors!AI12+IF(CV81&gt;=0.45,VLOOKUP(Calculator!E23,tbSkills!DH3:DI6,2,FALSE)+IF(AND(Calculator!B8=TRUE,Backdoors!BI17=TRUE),VLOOKUP(Calculator!E23,tbSkills!DH3:DJ6,3,FALSE),0),0))&gt;=100,100,(Backdoors!AI12+IF(CV81&gt;=0.45,VLOOKUP(Calculator!E23,tbSkills!DH3:DI6,2,FALSE)+IF(AND(Calculator!B8=TRUE,Backdoors!BI17=TRUE),VLOOKUP(Calculator!E23,tbSkills!DH3:DJ6,3,FALSE),0),0)))/100)),(1-(0.25*((-Backdoors!AI12-IF(CV81&gt;=0.45,VLOOKUP(Calculator!E23,tbSkills!DH3:DI6,2,FALSE)+IF(AND(Calculator!B8=TRUE,Backdoors!BI17=TRUE),VLOOKUP(Calculator!E23,tbSkills!DH3:DJ6,3,FALSE),0),0))/100)))),1),"")</f>
        <v>1</v>
      </c>
      <c r="CY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V81)*CX81)*(VLOOKUP(A81,tbMoveset!A2:C112,3,FALSE)/100)*IF(VLOOKUP(A81,tbMoveset!A2:B112,2,FALSE)="Projectile",Backdoors!N10,Backdoors!N9),0),"")</f>
        <v/>
      </c>
      <c r="CZ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V81&gt;=0.45,VLOOKUP(Calculator!E23,tbSkills!DH3:DI6,2,FALSE)+IF(AND(Calculator!B8=TRUE,Backdoors!BI17=TRUE),VLOOKUP(Calculator!E23,tbSkills!DH3:DJ6,3,FALSE),0),0))&gt;=100,100,(Backdoors!AI12+IF(CV81&gt;=0.45,VLOOKUP(Calculator!E23,tbSkills!DH3:DI6,2,FALSE)+IF(AND(Calculator!B8=TRUE,Backdoors!BI17=TRUE),VLOOKUP(Calculator!E23,tbSkills!DH3:DJ6,3,FALSE),0),0)))/100)),1))*IF(VLOOKUP(A81,tbMoveset!A2:K112,11,FALSE)=TRUE,Backdoors!AC5,1))*CW81,0),"")</f>
        <v>0</v>
      </c>
      <c r="DA81" s="49">
        <f>VLOOKUP(A81,tbMoveset!A2:G112,7,FALSE)*IFERROR(IF(Backdoors!AI12&gt;=0,1+(IF(Calculator!E40&gt;0,VLOOKUP(Calculator!E40,tbSkills!AI3:AJ5,2,FALSE),Backdoors!AL4)*(IF((Backdoors!AI12+IF(CV81&gt;=0.45,VLOOKUP(Calculator!E23,tbSkills!DH3:DI6,2,FALSE)+IF(AND(Calculator!B8=TRUE,Backdoors!BI17=TRUE),VLOOKUP(Calculator!E23,tbSkills!DH3:DJ6,3,FALSE),0),0))&gt;=100,100,(Backdoors!AI12+IF(CV81&gt;=0.45,VLOOKUP(Calculator!E23,tbSkills!DH3:DI6,2,FALSE)+IF(AND(Calculator!B8=TRUE,Backdoors!BI17=TRUE),VLOOKUP(Calculator!E23,tbSkills!DH3:DJ6,3,FALSE),0),0)))/100)),1),1)</f>
        <v>0.7</v>
      </c>
      <c r="DB81" s="87">
        <f t="shared" si="65"/>
        <v>0</v>
      </c>
      <c r="DC81" s="86" t="str">
        <f>IFERROR(IF(VLOOKUP(A81,tbMoveset!A2:B112,2,FALSE)="Sever",Backdoors!AY18/100,IF(VLOOKUP(A81,tbMoveset!A2:B112,2,FALSE)="Blunt",Backdoors!AZ18/100,Backdoors!BA18/100)),"")</f>
        <v/>
      </c>
      <c r="DD81" s="49">
        <f>IFERROR(IF(VLOOKUP(tbMoveset!A81,tbMoveset!A2:H112,8,FALSE)="Other",IF(VLOOKUP(tbMoveset!A81,tbMoveset!A2:I112,9,FALSE)="Fire",Backdoors!BB18,IF(VLOOKUP(tbMoveset!A81,tbMoveset!A2:I112,9,FALSE)="Water",Backdoors!BC18,IF(VLOOKUP(tbMoveset!A81,tbMoveset!A2:I112,9,FALSE)="Thunder",Backdoors!BD18,IF(VLOOKUP(tbMoveset!A81,tbMoveset!A2:I112,9,FALSE)="Ice",Backdoors!BE18,IF(VLOOKUP(tbMoveset!A81,tbMoveset!A2:I112,9,FALSE)="Dragon",Backdoors!BF18,Backdoors!BG18)))))/100,Backdoors!BG18/100),"")</f>
        <v>0</v>
      </c>
      <c r="DE81" s="49">
        <f>IFERROR(IF(VLOOKUP(A81,tbMoveset!A2:J112,10,FALSE)=TRUE,IF((Backdoors!AI12+IF(DC81&gt;=0.45,VLOOKUP(Calculator!E23,tbSkills!DH3:DI6,2,FALSE)+IF(AND(Calculator!B8=TRUE,Backdoors!BI18=TRUE),VLOOKUP(Calculator!E23,tbSkills!DH3:DJ6,3,FALSE),0),0))&gt;=0,1+(Backdoors!AL2*(IF((Backdoors!AI12+IF(DC81&gt;=0.45,VLOOKUP(Calculator!E23,tbSkills!DH3:DI6,2,FALSE)+IF(AND(Calculator!B8=TRUE,Backdoors!BI18=TRUE),VLOOKUP(Calculator!E23,tbSkills!DH3:DJ6,3,FALSE),0),0))&gt;=100,100,(Backdoors!AI12+IF(DC81&gt;=0.45,VLOOKUP(Calculator!E23,tbSkills!DH3:DI6,2,FALSE)+IF(AND(Calculator!B8=TRUE,Backdoors!BI18=TRUE),VLOOKUP(Calculator!E23,tbSkills!DH3:DJ6,3,FALSE),0),0)))/100)),(1-(0.25*((-Backdoors!AI12-IF(DC81&gt;=0.45,VLOOKUP(Calculator!E23,tbSkills!DH3:DI6,2,FALSE)+IF(AND(Calculator!B8=TRUE,Backdoors!BI18=TRUE),VLOOKUP(Calculator!E23,tbSkills!DH3:DJ6,3,FALSE),0),0))/100)))),1),"")</f>
        <v>1</v>
      </c>
      <c r="DF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C81)*DE81)*(VLOOKUP(A81,tbMoveset!A2:C112,3,FALSE)/100)*IF(VLOOKUP(A81,tbMoveset!A2:B112,2,FALSE)="Projectile",Backdoors!N10,Backdoors!N9),0),"")</f>
        <v/>
      </c>
      <c r="DG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C81&gt;=0.45,VLOOKUP(Calculator!E23,tbSkills!DH3:DI6,2,FALSE)+IF(AND(Calculator!B8=TRUE,Backdoors!BI18=TRUE),VLOOKUP(Calculator!E23,tbSkills!DH3:DJ6,3,FALSE),0),0))&gt;=100,100,(Backdoors!AI12+IF(DC81&gt;=0.45,VLOOKUP(Calculator!E23,tbSkills!DH3:DI6,2,FALSE)+IF(AND(Calculator!B8=TRUE,Backdoors!BI18=TRUE),VLOOKUP(Calculator!E23,tbSkills!DH3:DJ6,3,FALSE),0),0)))/100)),1))*IF(VLOOKUP(A81,tbMoveset!A2:K112,11,FALSE)=TRUE,Backdoors!AC5,1))*DD81,0),"")</f>
        <v>0</v>
      </c>
      <c r="DH81" s="49">
        <f>VLOOKUP(A81,tbMoveset!A2:G112,7,FALSE)*IFERROR(IF(Backdoors!AI12&gt;=0,1+(IF(Calculator!E40&gt;0,VLOOKUP(Calculator!E40,tbSkills!AI3:AJ5,2,FALSE),Backdoors!AL4)*(IF((Backdoors!AI12+IF(DC81&gt;=0.45,VLOOKUP(Calculator!E23,tbSkills!DH3:DI6,2,FALSE)+IF(AND(Calculator!B8=TRUE,Backdoors!BI18=TRUE),VLOOKUP(Calculator!E23,tbSkills!DH3:DJ6,3,FALSE),0),0))&gt;=100,100,(Backdoors!AI12+IF(DC81&gt;=0.45,VLOOKUP(Calculator!E23,tbSkills!DH3:DI6,2,FALSE)+IF(AND(Calculator!B8=TRUE,Backdoors!BI18=TRUE),VLOOKUP(Calculator!E23,tbSkills!DH3:DJ6,3,FALSE),0),0)))/100)),1),1)</f>
        <v>0.7</v>
      </c>
      <c r="DI81" s="87">
        <f t="shared" si="66"/>
        <v>0</v>
      </c>
      <c r="DJ81" s="86" t="str">
        <f>IFERROR(IF(VLOOKUP(A81,tbMoveset!A2:B112,2,FALSE)="Sever",Backdoors!AY19/100,IF(VLOOKUP(A81,tbMoveset!A2:B112,2,FALSE)="Blunt",Backdoors!AZ19/100,Backdoors!BA19/100)),"")</f>
        <v/>
      </c>
      <c r="DK81" s="49">
        <f>IFERROR(IF(VLOOKUP(tbMoveset!A81,tbMoveset!A2:H112,8,FALSE)="Other",IF(VLOOKUP(tbMoveset!A81,tbMoveset!A2:I112,9,FALSE)="Fire",Backdoors!BB19,IF(VLOOKUP(tbMoveset!A81,tbMoveset!A2:I112,9,FALSE)="Water",Backdoors!BC19,IF(VLOOKUP(tbMoveset!A81,tbMoveset!A2:I112,9,FALSE)="Thunder",Backdoors!BD19,IF(VLOOKUP(tbMoveset!A81,tbMoveset!A2:I112,9,FALSE)="Ice",Backdoors!BE19,IF(VLOOKUP(tbMoveset!A81,tbMoveset!A2:I112,9,FALSE)="Dragon",Backdoors!BF19,Backdoors!BG19)))))/100,Backdoors!BG19/100),"")</f>
        <v>0</v>
      </c>
      <c r="DL81" s="49">
        <f>IFERROR(IF(VLOOKUP(A81,tbMoveset!A2:J112,10,FALSE)=TRUE,IF((Backdoors!AI12+IF(DJ81&gt;=0.45,VLOOKUP(Calculator!E23,tbSkills!DH3:DI6,2,FALSE)+IF(AND(Calculator!B8=TRUE,Backdoors!BI19=TRUE),VLOOKUP(Calculator!E23,tbSkills!DH3:DJ6,3,FALSE),0),0))&gt;=0,1+(Backdoors!AL2*(IF((Backdoors!AI12+IF(DJ81&gt;=0.45,VLOOKUP(Calculator!E23,tbSkills!DH3:DI6,2,FALSE)+IF(AND(Calculator!B8=TRUE,Backdoors!BI19=TRUE),VLOOKUP(Calculator!E23,tbSkills!DH3:DJ6,3,FALSE),0),0))&gt;=100,100,(Backdoors!AI12+IF(DJ81&gt;=0.45,VLOOKUP(Calculator!E23,tbSkills!DH3:DI6,2,FALSE)+IF(AND(Calculator!B8=TRUE,Backdoors!BI19=TRUE),VLOOKUP(Calculator!E23,tbSkills!DH3:DJ6,3,FALSE),0),0)))/100)),(1-(0.25*((-Backdoors!AI12-IF(DJ81&gt;=0.45,VLOOKUP(Calculator!E23,tbSkills!DH3:DI6,2,FALSE)+IF(AND(Calculator!B8=TRUE,Backdoors!BI19=TRUE),VLOOKUP(Calculator!E23,tbSkills!DH3:DJ6,3,FALSE),0),0))/100)))),1),"")</f>
        <v>1</v>
      </c>
      <c r="DM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J81)*DL81)*(VLOOKUP(A81,tbMoveset!A2:C112,3,FALSE)/100)*IF(VLOOKUP(A81,tbMoveset!A2:B112,2,FALSE)="Projectile",Backdoors!N10,Backdoors!N9),0),"")</f>
        <v/>
      </c>
      <c r="DN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J81&gt;=0.45,VLOOKUP(Calculator!E23,tbSkills!DH3:DI6,2,FALSE)+IF(AND(Calculator!B8=TRUE,Backdoors!BI19=TRUE),VLOOKUP(Calculator!E23,tbSkills!DH3:DJ6,3,FALSE),0),0))&gt;=100,100,(Backdoors!AI12+IF(DJ81&gt;=0.45,VLOOKUP(Calculator!E23,tbSkills!DH3:DI6,2,FALSE)+IF(AND(Calculator!B8=TRUE,Backdoors!BI19=TRUE),VLOOKUP(Calculator!E23,tbSkills!DH3:DJ6,3,FALSE),0),0)))/100)),1))*IF(VLOOKUP(A81,tbMoveset!A2:K112,11,FALSE)=TRUE,Backdoors!AC5,1))*DK81,0),"")</f>
        <v>0</v>
      </c>
      <c r="DO81" s="49">
        <f>VLOOKUP(A81,tbMoveset!A2:G112,7,FALSE)*IFERROR(IF(Backdoors!AI12&gt;=0,1+(IF(Calculator!E40&gt;0,VLOOKUP(Calculator!E40,tbSkills!AI3:AJ5,2,FALSE),Backdoors!AL4)*(IF((Backdoors!AI12+IF(DJ81&gt;=0.45,VLOOKUP(Calculator!E23,tbSkills!DH3:DI6,2,FALSE)+IF(AND(Calculator!B8=TRUE,Backdoors!BI19=TRUE),VLOOKUP(Calculator!E23,tbSkills!DH3:DJ6,3,FALSE),0),0))&gt;=100,100,(Backdoors!AI12+IF(DJ81&gt;=0.45,VLOOKUP(Calculator!E23,tbSkills!DH3:DI6,2,FALSE)+IF(AND(Calculator!B8=TRUE,Backdoors!BI19=TRUE),VLOOKUP(Calculator!E23,tbSkills!DH3:DJ6,3,FALSE),0),0)))/100)),1),1)</f>
        <v>0.7</v>
      </c>
      <c r="DP81" s="87">
        <f t="shared" si="67"/>
        <v>0</v>
      </c>
      <c r="DQ81" s="86" t="str">
        <f>IFERROR(IF(VLOOKUP(A81,tbMoveset!A2:B112,2,FALSE)="Sever",Backdoors!AY20/100,IF(VLOOKUP(A81,tbMoveset!A2:B112,2,FALSE)="Blunt",Backdoors!AZ20/100,Backdoors!BA20/100)),"")</f>
        <v/>
      </c>
      <c r="DR81" s="49">
        <f>IFERROR(IF(VLOOKUP(tbMoveset!A81,tbMoveset!A2:H112,8,FALSE)="Other",IF(VLOOKUP(tbMoveset!A81,tbMoveset!A2:I112,9,FALSE)="Fire",Backdoors!BB20,IF(VLOOKUP(tbMoveset!A81,tbMoveset!A2:I112,9,FALSE)="Water",Backdoors!BC20,IF(VLOOKUP(tbMoveset!A81,tbMoveset!A2:I112,9,FALSE)="Thunder",Backdoors!BD20,IF(VLOOKUP(tbMoveset!A81,tbMoveset!A2:I112,9,FALSE)="Ice",Backdoors!BE20,IF(VLOOKUP(tbMoveset!A81,tbMoveset!A2:I112,9,FALSE)="Dragon",Backdoors!BF20,Backdoors!BG20)))))/100,Backdoors!BG20/100),"")</f>
        <v>0</v>
      </c>
      <c r="DS81" s="49">
        <f>IFERROR(IF(VLOOKUP(A81,tbMoveset!A2:J112,10,FALSE)=TRUE,IF((Backdoors!AI12+IF(DQ81&gt;=0.45,VLOOKUP(Calculator!E23,tbSkills!DH3:DI6,2,FALSE)+IF(AND(Calculator!B8=TRUE,Backdoors!BI20=TRUE),VLOOKUP(Calculator!E23,tbSkills!DH3:DJ6,3,FALSE),0),0))&gt;=0,1+(Backdoors!AL2*(IF((Backdoors!AI12+IF(DQ81&gt;=0.45,VLOOKUP(Calculator!E23,tbSkills!DH3:DI6,2,FALSE)+IF(AND(Calculator!B8=TRUE,Backdoors!BI20=TRUE),VLOOKUP(Calculator!E23,tbSkills!DH3:DJ6,3,FALSE),0),0))&gt;=100,100,(Backdoors!AI12+IF(DQ81&gt;=0.45,VLOOKUP(Calculator!E23,tbSkills!DH3:DI6,2,FALSE)+IF(AND(Calculator!B8=TRUE,Backdoors!BI20=TRUE),VLOOKUP(Calculator!E23,tbSkills!DH3:DJ6,3,FALSE),0),0)))/100)),(1-(0.25*((-Backdoors!AI12-IF(DQ81&gt;=0.45,VLOOKUP(Calculator!E23,tbSkills!DH3:DI6,2,FALSE)+IF(AND(Calculator!B8=TRUE,Backdoors!BI20=TRUE),VLOOKUP(Calculator!E23,tbSkills!DH3:DJ6,3,FALSE),0),0))/100)))),1),"")</f>
        <v>1</v>
      </c>
      <c r="DT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Q81)*DS81)*(VLOOKUP(A81,tbMoveset!A2:C112,3,FALSE)/100)*IF(VLOOKUP(A81,tbMoveset!A2:B112,2,FALSE)="Projectile",Backdoors!N10,Backdoors!N9),0),"")</f>
        <v/>
      </c>
      <c r="DU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Q81&gt;=0.45,VLOOKUP(Calculator!E23,tbSkills!DH3:DI6,2,FALSE)+IF(AND(Calculator!B8=TRUE,Backdoors!BI20=TRUE),VLOOKUP(Calculator!E23,tbSkills!DH3:DJ6,3,FALSE),0),0))&gt;=100,100,(Backdoors!AI12+IF(DQ81&gt;=0.45,VLOOKUP(Calculator!E23,tbSkills!DH3:DI6,2,FALSE)+IF(AND(Calculator!B8=TRUE,Backdoors!BI20=TRUE),VLOOKUP(Calculator!E23,tbSkills!DH3:DJ6,3,FALSE),0),0)))/100)),1))*IF(VLOOKUP(A81,tbMoveset!A2:K112,11,FALSE)=TRUE,Backdoors!AC5,1))*DR81,0),"")</f>
        <v>0</v>
      </c>
      <c r="DV81" s="49">
        <f>VLOOKUP(A81,tbMoveset!A2:G112,7,FALSE)*IFERROR(IF(Backdoors!AI12&gt;=0,1+(IF(Calculator!E40&gt;0,VLOOKUP(Calculator!E40,tbSkills!AI3:AJ5,2,FALSE),Backdoors!AL4)*(IF((Backdoors!AI12+IF(DQ81&gt;=0.45,VLOOKUP(Calculator!E23,tbSkills!DH3:DI6,2,FALSE)+IF(AND(Calculator!B8=TRUE,Backdoors!BI20=TRUE),VLOOKUP(Calculator!E23,tbSkills!DH3:DJ6,3,FALSE),0),0))&gt;=100,100,(Backdoors!AI12+IF(DQ81&gt;=0.45,VLOOKUP(Calculator!E23,tbSkills!DH3:DI6,2,FALSE)+IF(AND(Calculator!B8=TRUE,Backdoors!BI20=TRUE),VLOOKUP(Calculator!E23,tbSkills!DH3:DJ6,3,FALSE),0),0)))/100)),1),1)</f>
        <v>0.7</v>
      </c>
      <c r="DW81" s="87">
        <f t="shared" si="68"/>
        <v>0</v>
      </c>
      <c r="DX81" s="86" t="str">
        <f>IFERROR(IF(VLOOKUP(A81,tbMoveset!A2:B112,2,FALSE)="Sever",Backdoors!AY21/100,IF(VLOOKUP(A81,tbMoveset!A2:B112,2,FALSE)="Blunt",Backdoors!AZ21/100,Backdoors!BA21/100)),"")</f>
        <v/>
      </c>
      <c r="DY81" s="49">
        <f>IFERROR(IF(VLOOKUP(tbMoveset!A81,tbMoveset!A2:H112,8,FALSE)="Other",IF(VLOOKUP(tbMoveset!A81,tbMoveset!A2:I112,9,FALSE)="Fire",Backdoors!BB21,IF(VLOOKUP(tbMoveset!A81,tbMoveset!A2:I112,9,FALSE)="Water",Backdoors!BC21,IF(VLOOKUP(tbMoveset!A81,tbMoveset!A2:I112,9,FALSE)="Thunder",Backdoors!BD21,IF(VLOOKUP(tbMoveset!A81,tbMoveset!A2:I112,9,FALSE)="Ice",Backdoors!BE21,IF(VLOOKUP(tbMoveset!A81,tbMoveset!A2:I112,9,FALSE)="Dragon",Backdoors!BF21,Backdoors!BG21)))))/100,Backdoors!BG21/100),"")</f>
        <v>0</v>
      </c>
      <c r="DZ81" s="49">
        <f>IFERROR(IF(VLOOKUP(A81,tbMoveset!A2:J112,10,FALSE)=TRUE,IF((Backdoors!AI12+IF(DX81&gt;=0.45,VLOOKUP(Calculator!E23,tbSkills!DH3:DI6,2,FALSE)+IF(AND(Calculator!B8=TRUE,Backdoors!BI21=TRUE),VLOOKUP(Calculator!E23,tbSkills!DH3:DJ6,3,FALSE),0),0))&gt;=0,1+(Backdoors!AL2*(IF((Backdoors!AI12+IF(DX81&gt;=0.45,VLOOKUP(Calculator!E23,tbSkills!DH3:DI6,2,FALSE)+IF(AND(Calculator!B8=TRUE,Backdoors!BI21=TRUE),VLOOKUP(Calculator!E23,tbSkills!DH3:DJ6,3,FALSE),0),0))&gt;=100,100,(Backdoors!AI12+IF(DX81&gt;=0.45,VLOOKUP(Calculator!E23,tbSkills!DH3:DI6,2,FALSE)+IF(AND(Calculator!B8=TRUE,Backdoors!BI21=TRUE),VLOOKUP(Calculator!E23,tbSkills!DH3:DJ6,3,FALSE),0),0)))/100)),(1-(0.25*((-Backdoors!AI12-IF(DX81&gt;=0.45,VLOOKUP(Calculator!E23,tbSkills!DH3:DI6,2,FALSE)+IF(AND(Calculator!B8=TRUE,Backdoors!BI21=TRUE),VLOOKUP(Calculator!E23,tbSkills!DH3:DJ6,3,FALSE),0),0))/100)))),1),"")</f>
        <v>1</v>
      </c>
      <c r="EA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X81)*DZ81)*(VLOOKUP(A81,tbMoveset!A2:C112,3,FALSE)/100)*IF(VLOOKUP(A81,tbMoveset!A2:B112,2,FALSE)="Projectile",Backdoors!N10,Backdoors!N9),0),"")</f>
        <v/>
      </c>
      <c r="EB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X81&gt;=0.45,VLOOKUP(Calculator!E23,tbSkills!DH3:DI6,2,FALSE)+IF(AND(Calculator!B8=TRUE,Backdoors!BI21=TRUE),VLOOKUP(Calculator!E23,tbSkills!DH3:DJ6,3,FALSE),0),0))&gt;=100,100,(Backdoors!AI12+IF(DX81&gt;=0.45,VLOOKUP(Calculator!E23,tbSkills!DH3:DI6,2,FALSE)+IF(AND(Calculator!B8=TRUE,Backdoors!BI21=TRUE),VLOOKUP(Calculator!E23,tbSkills!DH3:DJ6,3,FALSE),0),0)))/100)),1))*IF(VLOOKUP(A81,tbMoveset!A2:K112,11,FALSE)=TRUE,Backdoors!AC5,1))*DY81,0),"")</f>
        <v>0</v>
      </c>
      <c r="EC81" s="49">
        <f>VLOOKUP(A81,tbMoveset!A2:G112,7,FALSE)*IFERROR(IF(Backdoors!AI12&gt;=0,1+(IF(Calculator!E40&gt;0,VLOOKUP(Calculator!E40,tbSkills!AI3:AJ5,2,FALSE),Backdoors!AL4)*(IF((Backdoors!AI12+IF(DX81&gt;=0.45,VLOOKUP(Calculator!E23,tbSkills!DH3:DI6,2,FALSE)+IF(AND(Calculator!B8=TRUE,Backdoors!BI21=TRUE),VLOOKUP(Calculator!E23,tbSkills!DH3:DJ6,3,FALSE),0),0))&gt;=100,100,(Backdoors!AI12+IF(DX81&gt;=0.45,VLOOKUP(Calculator!E23,tbSkills!DH3:DI6,2,FALSE)+IF(AND(Calculator!B8=TRUE,Backdoors!BI21=TRUE),VLOOKUP(Calculator!E23,tbSkills!DH3:DJ6,3,FALSE),0),0)))/100)),1),1)</f>
        <v>0.7</v>
      </c>
      <c r="ED81" s="87">
        <f t="shared" si="69"/>
        <v>0</v>
      </c>
      <c r="EE81" s="86" t="str">
        <f>IFERROR(IF(VLOOKUP(A81,tbMoveset!A2:B112,2,FALSE)="Sever",Backdoors!AY22/100,IF(VLOOKUP(A81,tbMoveset!A2:B112,2,FALSE)="Blunt",Backdoors!AZ22/100,Backdoors!BA22/100)),"")</f>
        <v/>
      </c>
      <c r="EF81" s="49">
        <f>IFERROR(IF(VLOOKUP(tbMoveset!A81,tbMoveset!A2:H112,8,FALSE)="Other",IF(VLOOKUP(tbMoveset!A81,tbMoveset!A2:I112,9,FALSE)="Fire",Backdoors!BB22,IF(VLOOKUP(tbMoveset!A81,tbMoveset!A2:I112,9,FALSE)="Water",Backdoors!BC22,IF(VLOOKUP(tbMoveset!A81,tbMoveset!A2:I112,9,FALSE)="Thunder",Backdoors!BD22,IF(VLOOKUP(tbMoveset!A81,tbMoveset!A2:I112,9,FALSE)="Ice",Backdoors!BE22,IF(VLOOKUP(tbMoveset!A81,tbMoveset!A2:I112,9,FALSE)="Dragon",Backdoors!BF22,Backdoors!BG22)))))/100,Backdoors!BG22/100),"")</f>
        <v>0</v>
      </c>
      <c r="EG81" s="49">
        <f>IFERROR(IF(VLOOKUP(A81,tbMoveset!A2:J112,10,FALSE)=TRUE,IF((Backdoors!AI12+IF(EE81&gt;=0.45,VLOOKUP(Calculator!E23,tbSkills!DH3:DI6,2,FALSE)+IF(AND(Calculator!B8=TRUE,Backdoors!BI22=TRUE),VLOOKUP(Calculator!E23,tbSkills!DH3:DJ6,3,FALSE),0),0))&gt;=0,1+(Backdoors!AL2*(IF((Backdoors!AI12+IF(EE81&gt;=0.45,VLOOKUP(Calculator!E23,tbSkills!DH3:DI6,2,FALSE)+IF(AND(Calculator!B8=TRUE,Backdoors!BI22=TRUE),VLOOKUP(Calculator!E23,tbSkills!DH3:DJ6,3,FALSE),0),0))&gt;=100,100,(Backdoors!AI12+IF(EE81&gt;=0.45,VLOOKUP(Calculator!E23,tbSkills!DH3:DI6,2,FALSE)+IF(AND(Calculator!B8=TRUE,Backdoors!BI22=TRUE),VLOOKUP(Calculator!E23,tbSkills!DH3:DJ6,3,FALSE),0),0)))/100)),(1-(0.25*((-Backdoors!AI12-IF(EE81&gt;=0.45,VLOOKUP(Calculator!E23,tbSkills!DH3:DI6,2,FALSE)+IF(AND(Calculator!B8=TRUE,Backdoors!BI22=TRUE),VLOOKUP(Calculator!E23,tbSkills!DH3:DJ6,3,FALSE),0),0))/100)))),1),"")</f>
        <v>1</v>
      </c>
      <c r="EH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E81)*EG81)*(VLOOKUP(A81,tbMoveset!A2:C112,3,FALSE)/100)*IF(VLOOKUP(A81,tbMoveset!A2:B112,2,FALSE)="Projectile",Backdoors!N10,Backdoors!N9),0),"")</f>
        <v/>
      </c>
      <c r="EI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E81&gt;=0.45,VLOOKUP(Calculator!E23,tbSkills!DH3:DI6,2,FALSE)+IF(AND(Calculator!B8=TRUE,Backdoors!BI22=TRUE),VLOOKUP(Calculator!E23,tbSkills!DH3:DJ6,3,FALSE),0),0))&gt;=100,100,(Backdoors!AI12+IF(EE81&gt;=0.45,VLOOKUP(Calculator!E23,tbSkills!DH3:DI6,2,FALSE)+IF(AND(Calculator!B8=TRUE,Backdoors!BI22=TRUE),VLOOKUP(Calculator!E23,tbSkills!DH3:DJ6,3,FALSE),0),0)))/100)),1))*IF(VLOOKUP(A81,tbMoveset!A2:K112,11,FALSE)=TRUE,Backdoors!AC5,1))*EF81,0),"")</f>
        <v>0</v>
      </c>
      <c r="EJ81" s="49">
        <f>VLOOKUP(A81,tbMoveset!A2:G112,7,FALSE)*IFERROR(IF(Backdoors!AI12&gt;=0,1+(IF(Calculator!E40&gt;0,VLOOKUP(Calculator!E40,tbSkills!AI3:AJ5,2,FALSE),Backdoors!AL4)*(IF((Backdoors!AI12+IF(EE81&gt;=0.45,VLOOKUP(Calculator!E23,tbSkills!DH3:DI6,2,FALSE)+IF(AND(Calculator!B8=TRUE,Backdoors!BI22=TRUE),VLOOKUP(Calculator!E23,tbSkills!DH3:DJ6,3,FALSE),0),0))&gt;=100,100,(Backdoors!AI12+IF(EE81&gt;=0.45,VLOOKUP(Calculator!E23,tbSkills!DH3:DI6,2,FALSE)+IF(AND(Calculator!B8=TRUE,Backdoors!BI22=TRUE),VLOOKUP(Calculator!E23,tbSkills!DH3:DJ6,3,FALSE),0),0)))/100)),1),1)</f>
        <v>0.7</v>
      </c>
      <c r="EK81" s="87">
        <f t="shared" si="70"/>
        <v>0</v>
      </c>
      <c r="EL81" s="86" t="str">
        <f>IFERROR(IF(VLOOKUP(A81,tbMoveset!A2:B112,2,FALSE)="Sever",Backdoors!AY23/100,IF(VLOOKUP(A81,tbMoveset!A2:B112,2,FALSE)="Blunt",Backdoors!AZ23/100,Backdoors!BA23/100)),"")</f>
        <v/>
      </c>
      <c r="EM81" s="49">
        <f>IFERROR(IF(VLOOKUP(tbMoveset!A81,tbMoveset!A2:H112,8,FALSE)="Other",IF(VLOOKUP(tbMoveset!A81,tbMoveset!A2:I112,9,FALSE)="Fire",Backdoors!BB23,IF(VLOOKUP(tbMoveset!A81,tbMoveset!A2:I112,9,FALSE)="Water",Backdoors!BC23,IF(VLOOKUP(tbMoveset!A81,tbMoveset!A2:I112,9,FALSE)="Thunder",Backdoors!BD23,IF(VLOOKUP(tbMoveset!A81,tbMoveset!A2:I112,9,FALSE)="Ice",Backdoors!BE23,IF(VLOOKUP(tbMoveset!A81,tbMoveset!A2:I112,9,FALSE)="Dragon",Backdoors!BF23,Backdoors!BG23)))))/100,Backdoors!BG23/100),"")</f>
        <v>0</v>
      </c>
      <c r="EN81" s="49">
        <f>IFERROR(IF(VLOOKUP(A81,tbMoveset!A2:J112,10,FALSE)=TRUE,IF((Backdoors!AI12+IF(EL81&gt;=0.45,VLOOKUP(Calculator!E23,tbSkills!DH3:DI6,2,FALSE)+IF(AND(Calculator!B8=TRUE,Backdoors!BI23=TRUE),VLOOKUP(Calculator!E23,tbSkills!DH3:DJ6,3,FALSE),0),0))&gt;=0,1+(Backdoors!AL2*(IF((Backdoors!AI12+IF(EL81&gt;=0.45,VLOOKUP(Calculator!E23,tbSkills!DH3:DI6,2,FALSE)+IF(AND(Calculator!B8=TRUE,Backdoors!BI23=TRUE),VLOOKUP(Calculator!E23,tbSkills!DH3:DJ6,3,FALSE),0),0))&gt;=100,100,(Backdoors!AI12+IF(EL81&gt;=0.45,VLOOKUP(Calculator!E23,tbSkills!DH3:DI6,2,FALSE)+IF(AND(Calculator!B8=TRUE,Backdoors!BI23=TRUE),VLOOKUP(Calculator!E23,tbSkills!DH3:DJ6,3,FALSE),0),0)))/100)),(1-(0.25*((-Backdoors!AI12-IF(EL81&gt;=0.45,VLOOKUP(Calculator!E23,tbSkills!DH3:DI6,2,FALSE)+IF(AND(Calculator!B8=TRUE,Backdoors!BI23=TRUE),VLOOKUP(Calculator!E23,tbSkills!DH3:DJ6,3,FALSE),0),0))/100)))),1),"")</f>
        <v>1</v>
      </c>
      <c r="EO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L81)*EN81)*(VLOOKUP(A81,tbMoveset!A2:C112,3,FALSE)/100)*IF(VLOOKUP(A81,tbMoveset!A2:B112,2,FALSE)="Projectile",Backdoors!N10,Backdoors!N9),0),"")</f>
        <v/>
      </c>
      <c r="EP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L81&gt;=0.45,VLOOKUP(Calculator!E23,tbSkills!DH3:DI6,2,FALSE)+IF(AND(Calculator!B8=TRUE,Backdoors!BI23=TRUE),VLOOKUP(Calculator!E23,tbSkills!DH3:DJ6,3,FALSE),0),0))&gt;=100,100,(Backdoors!AI12+IF(EL81&gt;=0.45,VLOOKUP(Calculator!E23,tbSkills!DH3:DI6,2,FALSE)+IF(AND(Calculator!B8=TRUE,Backdoors!BI23=TRUE),VLOOKUP(Calculator!E23,tbSkills!DH3:DJ6,3,FALSE),0),0)))/100)),1))*IF(VLOOKUP(A81,tbMoveset!A2:K112,11,FALSE)=TRUE,Backdoors!AC5,1))*EM81,0),"")</f>
        <v>0</v>
      </c>
      <c r="EQ81" s="49">
        <f>VLOOKUP(A81,tbMoveset!A2:G112,7,FALSE)*IFERROR(IF(Backdoors!AI12&gt;=0,1+(IF(Calculator!E40&gt;0,VLOOKUP(Calculator!E40,tbSkills!AI3:AJ5,2,FALSE),Backdoors!AL4)*(IF((Backdoors!AI12+IF(EL81&gt;=0.45,VLOOKUP(Calculator!E23,tbSkills!DH3:DI6,2,FALSE)+IF(AND(Calculator!B8=TRUE,Backdoors!BI23=TRUE),VLOOKUP(Calculator!E23,tbSkills!DH3:DJ6,3,FALSE),0),0))&gt;=100,100,(Backdoors!AI12+IF(EL81&gt;=0.45,VLOOKUP(Calculator!E23,tbSkills!DH3:DI6,2,FALSE)+IF(AND(Calculator!B8=TRUE,Backdoors!BI23=TRUE),VLOOKUP(Calculator!E23,tbSkills!DH3:DJ6,3,FALSE),0),0)))/100)),1),1)</f>
        <v>0.7</v>
      </c>
      <c r="ER81" s="87">
        <f t="shared" si="71"/>
        <v>0</v>
      </c>
      <c r="ES81" s="86" t="str">
        <f>IFERROR(IF(VLOOKUP(A81,tbMoveset!A2:B112,2,FALSE)="Sever",Backdoors!AY24/100,IF(VLOOKUP(A81,tbMoveset!A2:B112,2,FALSE)="Blunt",Backdoors!AZ24/100,Backdoors!BA24/100)),"")</f>
        <v/>
      </c>
      <c r="ET81" s="49">
        <f>IFERROR(IF(VLOOKUP(tbMoveset!A81,tbMoveset!A2:H112,8,FALSE)="Other",IF(VLOOKUP(tbMoveset!A81,tbMoveset!A2:I112,9,FALSE)="Fire",Backdoors!BB24,IF(VLOOKUP(tbMoveset!A81,tbMoveset!A2:I112,9,FALSE)="Water",Backdoors!BC24,IF(VLOOKUP(tbMoveset!A81,tbMoveset!A2:I112,9,FALSE)="Thunder",Backdoors!BD24,IF(VLOOKUP(tbMoveset!A81,tbMoveset!A2:I112,9,FALSE)="Ice",Backdoors!BE24,IF(VLOOKUP(tbMoveset!A81,tbMoveset!A2:I112,9,FALSE)="Dragon",Backdoors!BF24,Backdoors!BG24)))))/100,Backdoors!BG24/100),"")</f>
        <v>0</v>
      </c>
      <c r="EU81" s="49">
        <f>IFERROR(IF(VLOOKUP(A81,tbMoveset!A2:J112,10,FALSE)=TRUE,IF((Backdoors!AI12+IF(ES81&gt;=0.45,VLOOKUP(Calculator!E23,tbSkills!DH3:DI6,2,FALSE)+IF(AND(Calculator!B8=TRUE,Backdoors!BI24=TRUE),VLOOKUP(Calculator!E23,tbSkills!DH3:DJ6,3,FALSE),0),0))&gt;=0,1+(Backdoors!AL2*(IF((Backdoors!AI12+IF(ES81&gt;=0.45,VLOOKUP(Calculator!E23,tbSkills!DH3:DI6,2,FALSE)+IF(AND(Calculator!B8=TRUE,Backdoors!BI24=TRUE),VLOOKUP(Calculator!E23,tbSkills!DH3:DJ6,3,FALSE),0),0))&gt;=100,100,(Backdoors!AI12+IF(ES81&gt;=0.45,VLOOKUP(Calculator!E23,tbSkills!DH3:DI6,2,FALSE)+IF(AND(Calculator!B8=TRUE,Backdoors!BI24=TRUE),VLOOKUP(Calculator!E23,tbSkills!DH3:DJ6,3,FALSE),0),0)))/100)),(1-(0.25*((-Backdoors!AI12-IF(ES81&gt;=0.45,VLOOKUP(Calculator!E23,tbSkills!DH3:DI6,2,FALSE)+IF(AND(Calculator!B8=TRUE,Backdoors!BI24=TRUE),VLOOKUP(Calculator!E23,tbSkills!DH3:DJ6,3,FALSE),0),0))/100)))),1),"")</f>
        <v>1</v>
      </c>
      <c r="EV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S81)*EU81)*(VLOOKUP(A81,tbMoveset!A2:C112,3,FALSE)/100)*IF(VLOOKUP(A81,tbMoveset!A2:B112,2,FALSE)="Projectile",Backdoors!N10,Backdoors!N9),0),"")</f>
        <v/>
      </c>
      <c r="EW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S81&gt;=0.45,VLOOKUP(Calculator!E23,tbSkills!DH3:DI6,2,FALSE)+IF(AND(Calculator!B8=TRUE,Backdoors!BI24=TRUE),VLOOKUP(Calculator!E23,tbSkills!DH3:DJ6,3,FALSE),0),0))&gt;=100,100,(Backdoors!AI12+IF(ES81&gt;=0.45,VLOOKUP(Calculator!E23,tbSkills!DH3:DI6,2,FALSE)+IF(AND(Calculator!B8=TRUE,Backdoors!BI24=TRUE),VLOOKUP(Calculator!E23,tbSkills!DH3:DJ6,3,FALSE),0),0)))/100)),1))*IF(VLOOKUP(A81,tbMoveset!A2:K112,11,FALSE)=TRUE,Backdoors!AC5,1))*ET81,0),"")</f>
        <v>0</v>
      </c>
      <c r="EX81" s="49">
        <f>VLOOKUP(A81,tbMoveset!A2:G112,7,FALSE)*IFERROR(IF(Backdoors!AI12&gt;=0,1+(IF(Calculator!E40&gt;0,VLOOKUP(Calculator!E40,tbSkills!AI3:AJ5,2,FALSE),Backdoors!AL4)*(IF((Backdoors!AI12+IF(ES81&gt;=0.45,VLOOKUP(Calculator!E23,tbSkills!DH3:DI6,2,FALSE)+IF(AND(Calculator!B8=TRUE,Backdoors!BI24=TRUE),VLOOKUP(Calculator!E23,tbSkills!DH3:DJ6,3,FALSE),0),0))&gt;=100,100,(Backdoors!AI12+IF(ES81&gt;=0.45,VLOOKUP(Calculator!E23,tbSkills!DH3:DI6,2,FALSE)+IF(AND(Calculator!B8=TRUE,Backdoors!BI24=TRUE),VLOOKUP(Calculator!E23,tbSkills!DH3:DJ6,3,FALSE),0),0)))/100)),1),1)</f>
        <v>0.7</v>
      </c>
      <c r="EY81" s="87">
        <f t="shared" si="72"/>
        <v>0</v>
      </c>
      <c r="EZ81" s="86" t="str">
        <f>IFERROR(IF(VLOOKUP(A81,tbMoveset!A2:B112,2,FALSE)="Sever",Backdoors!AY25/100,IF(VLOOKUP(A81,tbMoveset!A2:B112,2,FALSE)="Blunt",Backdoors!AZ25/100,Backdoors!BA25/100)),"")</f>
        <v/>
      </c>
      <c r="FA81" s="49">
        <f>IFERROR(IF(VLOOKUP(tbMoveset!A81,tbMoveset!A2:H112,8,FALSE)="Other",IF(VLOOKUP(tbMoveset!A81,tbMoveset!A2:I112,9,FALSE)="Fire",Backdoors!BB25,IF(VLOOKUP(tbMoveset!A81,tbMoveset!A2:I112,9,FALSE)="Water",Backdoors!BC25,IF(VLOOKUP(tbMoveset!A81,tbMoveset!A2:I112,9,FALSE)="Thunder",Backdoors!BD25,IF(VLOOKUP(tbMoveset!A81,tbMoveset!A2:I112,9,FALSE)="Ice",Backdoors!BE25,IF(VLOOKUP(tbMoveset!A81,tbMoveset!A2:I112,9,FALSE)="Dragon",Backdoors!BF25,Backdoors!BG25)))))/100,Backdoors!BG25/100),"")</f>
        <v>0</v>
      </c>
      <c r="FB81" s="49">
        <f>IFERROR(IF(VLOOKUP(A81,tbMoveset!A2:J112,10,FALSE)=TRUE,IF((Backdoors!AI12+IF(EZ81&gt;=0.45,VLOOKUP(Calculator!E23,tbSkills!DH3:DI6,2,FALSE)+IF(AND(Calculator!B8=TRUE,Backdoors!BI25=TRUE),VLOOKUP(Calculator!E23,tbSkills!DH3:DJ6,3,FALSE),0),0))&gt;=0,1+(Backdoors!AL2*(IF((Backdoors!AI12+IF(EZ81&gt;=0.45,VLOOKUP(Calculator!E23,tbSkills!DH3:DI6,2,FALSE)+IF(AND(Calculator!B8=TRUE,Backdoors!BI25=TRUE),VLOOKUP(Calculator!E23,tbSkills!DH3:DJ6,3,FALSE),0),0))&gt;=100,100,(Backdoors!AI12+IF(EZ81&gt;=0.45,VLOOKUP(Calculator!E23,tbSkills!DH3:DI6,2,FALSE)+IF(AND(Calculator!B8=TRUE,Backdoors!BI25=TRUE),VLOOKUP(Calculator!E23,tbSkills!DH3:DJ6,3,FALSE),0),0)))/100)),(1-(0.25*((-Backdoors!AI12-IF(EZ81&gt;=0.45,VLOOKUP(Calculator!E23,tbSkills!DH3:DI6,2,FALSE)+IF(AND(Calculator!B8=TRUE,Backdoors!BI25=TRUE),VLOOKUP(Calculator!E23,tbSkills!DH3:DJ6,3,FALSE),0),0))/100)))),1),"")</f>
        <v>1</v>
      </c>
      <c r="FC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Z81)*FB81)*(VLOOKUP(A81,tbMoveset!A2:C112,3,FALSE)/100)*IF(VLOOKUP(A81,tbMoveset!A2:B112,2,FALSE)="Projectile",Backdoors!N10,Backdoors!N9),0),"")</f>
        <v/>
      </c>
      <c r="FD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Z81&gt;=0.45,VLOOKUP(Calculator!E23,tbSkills!DH3:DI6,2,FALSE)+IF(AND(Calculator!B8=TRUE,Backdoors!BI25=TRUE),VLOOKUP(Calculator!E23,tbSkills!DH3:DJ6,3,FALSE),0),0))&gt;=100,100,(Backdoors!AI12+IF(EZ81&gt;=0.45,VLOOKUP(Calculator!E23,tbSkills!DH3:DI6,2,FALSE)+IF(AND(Calculator!B8=TRUE,Backdoors!BI25=TRUE),VLOOKUP(Calculator!E23,tbSkills!DH3:DJ6,3,FALSE),0),0)))/100)),1))*IF(VLOOKUP(A81,tbMoveset!A2:K112,11,FALSE)=TRUE,Backdoors!AC5,1))*FA81,0),"")</f>
        <v>0</v>
      </c>
      <c r="FE81" s="49">
        <f>VLOOKUP(A81,tbMoveset!A2:G112,7,FALSE)*IFERROR(IF(Backdoors!AI12&gt;=0,1+(IF(Calculator!E40&gt;0,VLOOKUP(Calculator!E40,tbSkills!AI3:AJ5,2,FALSE),Backdoors!AL4)*(IF((Backdoors!AI12+IF(EZ81&gt;=0.45,VLOOKUP(Calculator!E23,tbSkills!DH3:DI6,2,FALSE)+IF(AND(Calculator!B8=TRUE,Backdoors!BI25=TRUE),VLOOKUP(Calculator!E23,tbSkills!DH3:DJ6,3,FALSE),0),0))&gt;=100,100,(Backdoors!AI12+IF(EZ81&gt;=0.45,VLOOKUP(Calculator!E23,tbSkills!DH3:DI6,2,FALSE)+IF(AND(Calculator!B8=TRUE,Backdoors!BI25=TRUE),VLOOKUP(Calculator!E23,tbSkills!DH3:DJ6,3,FALSE),0),0)))/100)),1),1)</f>
        <v>0.7</v>
      </c>
      <c r="FF81" s="87">
        <f t="shared" si="73"/>
        <v>0</v>
      </c>
      <c r="FG81" s="86" t="str">
        <f>IFERROR(IF(VLOOKUP(A81,tbMoveset!A2:B112,2,FALSE)="Sever",Backdoors!AY26/100,IF(VLOOKUP(A81,tbMoveset!A2:B112,2,FALSE)="Blunt",Backdoors!AZ26/100,Backdoors!BA26/100)),"")</f>
        <v/>
      </c>
      <c r="FH81" s="49">
        <f>IFERROR(IF(VLOOKUP(tbMoveset!A81,tbMoveset!A2:H112,8,FALSE)="Other",IF(VLOOKUP(tbMoveset!A81,tbMoveset!A2:I112,9,FALSE)="Fire",Backdoors!BB26,IF(VLOOKUP(tbMoveset!A81,tbMoveset!A2:I112,9,FALSE)="Water",Backdoors!BC26,IF(VLOOKUP(tbMoveset!A81,tbMoveset!A2:I112,9,FALSE)="Thunder",Backdoors!BD26,IF(VLOOKUP(tbMoveset!A81,tbMoveset!A2:I112,9,FALSE)="Ice",Backdoors!BE26,IF(VLOOKUP(tbMoveset!A81,tbMoveset!A2:I112,9,FALSE)="Dragon",Backdoors!BF26,Backdoors!BG26)))))/100,Backdoors!BG26/100),"")</f>
        <v>0</v>
      </c>
      <c r="FI81" s="49">
        <f>IFERROR(IF(VLOOKUP(A81,tbMoveset!A2:J112,10,FALSE)=TRUE,IF((Backdoors!AI12+IF(FG81&gt;=0.45,VLOOKUP(Calculator!E23,tbSkills!DH3:DI6,2,FALSE)+IF(AND(Calculator!B8=TRUE,Backdoors!BI26=TRUE),VLOOKUP(Calculator!E23,tbSkills!DH3:DJ6,3,FALSE),0),0))&gt;=0,1+(Backdoors!AL2*(IF((Backdoors!AI12+IF(FG81&gt;=0.45,VLOOKUP(Calculator!E23,tbSkills!DH3:DI6,2,FALSE)+IF(AND(Calculator!B8=TRUE,Backdoors!BI26=TRUE),VLOOKUP(Calculator!E23,tbSkills!DH3:DJ6,3,FALSE),0),0))&gt;=100,100,(Backdoors!AI12+IF(FG81&gt;=0.45,VLOOKUP(Calculator!E23,tbSkills!DH3:DI6,2,FALSE)+IF(AND(Calculator!B8=TRUE,Backdoors!BI26=TRUE),VLOOKUP(Calculator!E23,tbSkills!DH3:DJ6,3,FALSE),0),0)))/100)),(1-(0.25*((-Backdoors!AI12-IF(FG81&gt;=0.45,VLOOKUP(Calculator!E23,tbSkills!DH3:DI6,2,FALSE)+IF(AND(Calculator!B8=TRUE,Backdoors!BI26=TRUE),VLOOKUP(Calculator!E23,tbSkills!DH3:DJ6,3,FALSE),0),0))/100)))),1),"")</f>
        <v>1</v>
      </c>
      <c r="FJ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FG81)*FI81)*(VLOOKUP(A81,tbMoveset!A2:C112,3,FALSE)/100)*IF(VLOOKUP(A81,tbMoveset!A2:B112,2,FALSE)="Projectile",Backdoors!N10,Backdoors!N9),0),"")</f>
        <v/>
      </c>
      <c r="FK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FG81&gt;=0.45,VLOOKUP(Calculator!E23,tbSkills!DH3:DI6,2,FALSE)+IF(AND(Calculator!B8=TRUE,Backdoors!BI26=TRUE),VLOOKUP(Calculator!E23,tbSkills!DH3:DJ6,3,FALSE),0),0))&gt;=100,100,(Backdoors!AI12+IF(FG81&gt;=0.45,VLOOKUP(Calculator!E23,tbSkills!DH3:DI6,2,FALSE)+IF(AND(Calculator!B8=TRUE,Backdoors!BI26=TRUE),VLOOKUP(Calculator!E23,tbSkills!DH3:DJ6,3,FALSE),0),0)))/100)),1))*IF(VLOOKUP(A81,tbMoveset!A2:K112,11,FALSE)=TRUE,Backdoors!AC5,1))*FH81,0),"")</f>
        <v>0</v>
      </c>
      <c r="FL81" s="49">
        <f>VLOOKUP(A81,tbMoveset!A2:G112,7,FALSE)*IFERROR(IF(Backdoors!AI12&gt;=0,1+(IF(Calculator!E40&gt;0,VLOOKUP(Calculator!E40,tbSkills!AI3:AJ5,2,FALSE),Backdoors!AL4)*(IF((Backdoors!AI12+IF(FG81&gt;=0.45,VLOOKUP(Calculator!E23,tbSkills!DH3:DI6,2,FALSE)+IF(AND(Calculator!B8=TRUE,Backdoors!BI26=TRUE),VLOOKUP(Calculator!E23,tbSkills!DH3:DJ6,3,FALSE),0),0))&gt;=100,100,(Backdoors!AI12+IF(FG81&gt;=0.45,VLOOKUP(Calculator!E23,tbSkills!DH3:DI6,2,FALSE)+IF(AND(Calculator!B8=TRUE,Backdoors!BI26=TRUE),VLOOKUP(Calculator!E23,tbSkills!DH3:DJ6,3,FALSE),0),0)))/100)),1),1)</f>
        <v>0.7</v>
      </c>
      <c r="FM81" s="87">
        <f t="shared" si="74"/>
        <v>0</v>
      </c>
      <c r="FN81" s="86" t="str">
        <f>IFERROR(IF(VLOOKUP(A81,tbMoveset!A2:B112,2,FALSE)="Sever",Backdoors!AY27/100,IF(VLOOKUP(A81,tbMoveset!A2:B112,2,FALSE)="Blunt",Backdoors!AZ27/100,Backdoors!BA27/100)),"")</f>
        <v/>
      </c>
      <c r="FO81" s="49">
        <f>IFERROR(IF(VLOOKUP(tbMoveset!A81,tbMoveset!A2:H112,8,FALSE)="Other",IF(VLOOKUP(tbMoveset!A81,tbMoveset!A2:I112,9,FALSE)="Fire",Backdoors!BB27,IF(VLOOKUP(tbMoveset!A81,tbMoveset!A2:I112,9,FALSE)="Water",Backdoors!BC27,IF(VLOOKUP(tbMoveset!A81,tbMoveset!A2:I112,9,FALSE)="Thunder",Backdoors!BD27,IF(VLOOKUP(tbMoveset!A81,tbMoveset!A2:I112,9,FALSE)="Ice",Backdoors!BE27,IF(VLOOKUP(tbMoveset!A81,tbMoveset!A2:I112,9,FALSE)="Dragon",Backdoors!BF27,Backdoors!BG27)))))/100,Backdoors!BG27/100),"")</f>
        <v>0</v>
      </c>
      <c r="FP81" s="49">
        <f>IFERROR(IF(VLOOKUP(A81,tbMoveset!A2:J112,10,FALSE)=TRUE,IF((Backdoors!AI12+IF(FN81&gt;=0.45,VLOOKUP(Calculator!E23,tbSkills!DH3:DI6,2,FALSE)+IF(AND(Calculator!B8=TRUE,Backdoors!BI27=TRUE),VLOOKUP(Calculator!E23,tbSkills!DH3:DJ6,3,FALSE),0),0))&gt;=0,1+(Backdoors!AL2*(IF((Backdoors!AI12+IF(FN81&gt;=0.45,VLOOKUP(Calculator!E23,tbSkills!DH3:DI6,2,FALSE)+IF(AND(Calculator!B8=TRUE,Backdoors!BI27=TRUE),VLOOKUP(Calculator!E23,tbSkills!DH3:DJ6,3,FALSE),0),0))&gt;=100,100,(Backdoors!AI12+IF(FN81&gt;=0.45,VLOOKUP(Calculator!E23,tbSkills!DH3:DI6,2,FALSE)+IF(AND(Calculator!B8=TRUE,Backdoors!BI27=TRUE),VLOOKUP(Calculator!E23,tbSkills!DH3:DJ6,3,FALSE),0),0)))/100)),(1-(0.25*((-Backdoors!AI12-IF(FN81&gt;=0.45,VLOOKUP(Calculator!E23,tbSkills!DH3:DI6,2,FALSE)+IF(AND(Calculator!B8=TRUE,Backdoors!BI27=TRUE),VLOOKUP(Calculator!E23,tbSkills!DH3:DJ6,3,FALSE),0),0))/100)))),1),"")</f>
        <v>1</v>
      </c>
      <c r="FQ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FN81)*FP81)*(VLOOKUP(A81,tbMoveset!A2:C112,3,FALSE)/100)*IF(VLOOKUP(A81,tbMoveset!A2:B112,2,FALSE)="Projectile",Backdoors!N10,Backdoors!N9),0),"")</f>
        <v/>
      </c>
      <c r="FR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FN81&gt;=0.45,VLOOKUP(Calculator!E23,tbSkills!DH3:DI6,2,FALSE)+IF(AND(Calculator!B8=TRUE,Backdoors!BI27=TRUE),VLOOKUP(Calculator!E23,tbSkills!DH3:DJ6,3,FALSE),0),0))&gt;=100,100,(Backdoors!AI12+IF(FN81&gt;=0.45,VLOOKUP(Calculator!E23,tbSkills!DH3:DI6,2,FALSE)+IF(AND(Calculator!B8=TRUE,Backdoors!BI27=TRUE),VLOOKUP(Calculator!E23,tbSkills!DH3:DJ6,3,FALSE),0),0)))/100)),1))*IF(VLOOKUP(A81,tbMoveset!A2:K112,11,FALSE)=TRUE,Backdoors!AC5,1))*FO81,0),"")</f>
        <v>0</v>
      </c>
      <c r="FS81" s="49">
        <f>VLOOKUP(A81,tbMoveset!A2:G112,7,FALSE)*IFERROR(IF(Backdoors!AI12&gt;=0,1+(IF(Calculator!E40&gt;0,VLOOKUP(Calculator!E40,tbSkills!AI3:AJ5,2,FALSE),Backdoors!AL4)*(IF((Backdoors!AI12+IF(FN81&gt;=0.45,VLOOKUP(Calculator!E23,tbSkills!DH3:DI6,2,FALSE)+IF(AND(Calculator!B8=TRUE,Backdoors!BI27=TRUE),VLOOKUP(Calculator!E23,tbSkills!DH3:DJ6,3,FALSE),0),0))&gt;=100,100,(Backdoors!AI12+IF(FN81&gt;=0.45,VLOOKUP(Calculator!E23,tbSkills!DH3:DI6,2,FALSE)+IF(AND(Calculator!B8=TRUE,Backdoors!BI27=TRUE),VLOOKUP(Calculator!E23,tbSkills!DH3:DJ6,3,FALSE),0),0)))/100)),1),1)</f>
        <v>0.7</v>
      </c>
      <c r="FT81" s="87">
        <f t="shared" si="75"/>
        <v>0</v>
      </c>
      <c r="FU81" s="86" t="str">
        <f>IFERROR(IF(VLOOKUP(A81,tbMoveset!A2:B112,2,FALSE)="Sever",Backdoors!AY28/100,IF(VLOOKUP(A81,tbMoveset!A2:B112,2,FALSE)="Blunt",Backdoors!AZ28/100,Backdoors!BA28/100)),"")</f>
        <v/>
      </c>
      <c r="FV81" s="49">
        <f>IFERROR(IF(VLOOKUP(tbMoveset!A81,tbMoveset!A2:H112,8,FALSE)="Other",IF(VLOOKUP(tbMoveset!A81,tbMoveset!A2:I112,9,FALSE)="Fire",Backdoors!BB28,IF(VLOOKUP(tbMoveset!A81,tbMoveset!A2:I112,9,FALSE)="Water",Backdoors!BC28,IF(VLOOKUP(tbMoveset!A81,tbMoveset!A2:I112,9,FALSE)="Thunder",Backdoors!BD28,IF(VLOOKUP(tbMoveset!A81,tbMoveset!A2:I112,9,FALSE)="Ice",Backdoors!BE28,IF(VLOOKUP(tbMoveset!A81,tbMoveset!A2:I112,9,FALSE)="Dragon",Backdoors!BF28,Backdoors!BG28)))))/100,Backdoors!BG28/100),"")</f>
        <v>0</v>
      </c>
      <c r="FW81" s="49">
        <f>IFERROR(IF(VLOOKUP(A81,tbMoveset!A2:J112,10,FALSE)=TRUE,IF((Backdoors!AI12+IF(FU81&gt;=0.45,VLOOKUP(Calculator!E23,tbSkills!DH3:DI6,2,FALSE)+IF(AND(Calculator!B8=TRUE,Backdoors!BI28=TRUE),VLOOKUP(Calculator!E23,tbSkills!DH3:DJ6,3,FALSE),0),0))&gt;=0,1+(Backdoors!AL2*(IF((Backdoors!AI12+IF(FU81&gt;=0.45,VLOOKUP(Calculator!E23,tbSkills!DH3:DI6,2,FALSE)+IF(AND(Calculator!B8=TRUE,Backdoors!BI28=TRUE),VLOOKUP(Calculator!E23,tbSkills!DH3:DJ6,3,FALSE),0),0))&gt;=100,100,(Backdoors!AI12+IF(FU81&gt;=0.45,VLOOKUP(Calculator!E23,tbSkills!DH3:DI6,2,FALSE)+IF(AND(Calculator!B8=TRUE,Backdoors!BI28=TRUE),VLOOKUP(Calculator!E23,tbSkills!DH3:DJ6,3,FALSE),0),0)))/100)),(1-(0.25*((-Backdoors!AI12-IF(FU81&gt;=0.45,VLOOKUP(Calculator!E23,tbSkills!DH3:DI6,2,FALSE)+IF(AND(Calculator!B8=TRUE,Backdoors!BI28=TRUE),VLOOKUP(Calculator!E23,tbSkills!DH3:DJ6,3,FALSE),0),0))/100)))),1),"")</f>
        <v>1</v>
      </c>
      <c r="FX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FU81)*FW81)*(VLOOKUP(A81,tbMoveset!A2:C112,3,FALSE)/100)*IF(VLOOKUP(A81,tbMoveset!A2:B112,2,FALSE)="Projectile",Backdoors!N10,Backdoors!N9),0),"")</f>
        <v/>
      </c>
      <c r="FY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FU81&gt;=0.45,VLOOKUP(Calculator!E23,tbSkills!DH3:DI6,2,FALSE)+IF(AND(Calculator!B8=TRUE,Backdoors!BI28=TRUE),VLOOKUP(Calculator!E23,tbSkills!DH3:DJ6,3,FALSE),0),0))&gt;=100,100,(Backdoors!AI12+IF(FU81&gt;=0.45,VLOOKUP(Calculator!E23,tbSkills!DH3:DI6,2,FALSE)+IF(AND(Calculator!B8=TRUE,Backdoors!BI28=TRUE),VLOOKUP(Calculator!E23,tbSkills!DH3:DJ6,3,FALSE),0),0)))/100)),1))*IF(VLOOKUP(A81,tbMoveset!A2:K112,11,FALSE)=TRUE,Backdoors!AC5,1))*FV81,0),"")</f>
        <v>0</v>
      </c>
      <c r="FZ81" s="49">
        <f>VLOOKUP(A81,tbMoveset!A2:G112,7,FALSE)*IFERROR(IF(Backdoors!AI12&gt;=0,1+(IF(Calculator!E40&gt;0,VLOOKUP(Calculator!E40,tbSkills!AI3:AJ5,2,FALSE),Backdoors!AL4)*(IF((Backdoors!AI12+IF(FU81&gt;=0.45,VLOOKUP(Calculator!E23,tbSkills!DH3:DI6,2,FALSE)+IF(AND(Calculator!B8=TRUE,Backdoors!BI28=TRUE),VLOOKUP(Calculator!E23,tbSkills!DH3:DJ6,3,FALSE),0),0))&gt;=100,100,(Backdoors!AI12+IF(FU81&gt;=0.45,VLOOKUP(Calculator!E23,tbSkills!DH3:DI6,2,FALSE)+IF(AND(Calculator!B8=TRUE,Backdoors!BI28=TRUE),VLOOKUP(Calculator!E23,tbSkills!DH3:DJ6,3,FALSE),0),0)))/100)),1),1)</f>
        <v>0.7</v>
      </c>
      <c r="GA81" s="87">
        <f t="shared" si="76"/>
        <v>0</v>
      </c>
      <c r="GB81" s="86" t="str">
        <f>IFERROR(IF(VLOOKUP(A81,tbMoveset!A2:B112,2,FALSE)="Sever",Backdoors!AY29/100,IF(VLOOKUP(A81,tbMoveset!A2:B112,2,FALSE)="Blunt",Backdoors!AZ29/100,Backdoors!BA29/100)),"")</f>
        <v/>
      </c>
      <c r="GC81" s="49">
        <f>IFERROR(IF(VLOOKUP(tbMoveset!A81,tbMoveset!A2:H112,8,FALSE)="Other",IF(VLOOKUP(tbMoveset!A81,tbMoveset!A2:I112,9,FALSE)="Fire",Backdoors!BB29,IF(VLOOKUP(tbMoveset!A81,tbMoveset!A2:I112,9,FALSE)="Water",Backdoors!BC29,IF(VLOOKUP(tbMoveset!A81,tbMoveset!A2:I112,9,FALSE)="Thunder",Backdoors!BD29,IF(VLOOKUP(tbMoveset!A81,tbMoveset!A2:I112,9,FALSE)="Ice",Backdoors!BE29,IF(VLOOKUP(tbMoveset!A81,tbMoveset!A2:I112,9,FALSE)="Dragon",Backdoors!BF29,Backdoors!BG29)))))/100,Backdoors!BG29/100),"")</f>
        <v>0</v>
      </c>
      <c r="GD81" s="49">
        <f>IFERROR(IF(VLOOKUP(A81,tbMoveset!A2:J112,10,FALSE)=TRUE,IF((Backdoors!AI12+IF(GB81&gt;=0.45,VLOOKUP(Calculator!E23,tbSkills!DH3:DI6,2,FALSE)+IF(AND(Calculator!B8=TRUE,Backdoors!BI29=TRUE),VLOOKUP(Calculator!E23,tbSkills!DH3:DJ6,3,FALSE),0),0))&gt;=0,1+(Backdoors!AL2*(IF((Backdoors!AI12+IF(GB81&gt;=0.45,VLOOKUP(Calculator!E23,tbSkills!DH3:DI6,2,FALSE)+IF(AND(Calculator!B8=TRUE,Backdoors!BI29=TRUE),VLOOKUP(Calculator!E23,tbSkills!DH3:DJ6,3,FALSE),0),0))&gt;=100,100,(Backdoors!AI12+IF(GB81&gt;=0.45,VLOOKUP(Calculator!E23,tbSkills!DH3:DI6,2,FALSE)+IF(AND(Calculator!B8=TRUE,Backdoors!BI29=TRUE),VLOOKUP(Calculator!E23,tbSkills!DH3:DJ6,3,FALSE),0),0)))/100)),(1-(0.25*((-Backdoors!AI12-IF(GB81&gt;=0.45,VLOOKUP(Calculator!E23,tbSkills!DH3:DI6,2,FALSE)+IF(AND(Calculator!B8=TRUE,Backdoors!BI29=TRUE),VLOOKUP(Calculator!E23,tbSkills!DH3:DJ6,3,FALSE),0),0))/100)))),1),"")</f>
        <v>1</v>
      </c>
      <c r="GE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B81)*GD81)*(VLOOKUP(A81,tbMoveset!A2:C112,3,FALSE)/100)*IF(VLOOKUP(A81,tbMoveset!A2:B112,2,FALSE)="Projectile",Backdoors!N10,Backdoors!N9),0),"")</f>
        <v/>
      </c>
      <c r="GF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B81&gt;=0.45,VLOOKUP(Calculator!E23,tbSkills!DH3:DI6,2,FALSE)+IF(AND(Calculator!B8=TRUE,Backdoors!BI29=TRUE),VLOOKUP(Calculator!E23,tbSkills!DH3:DJ6,3,FALSE),0),0))&gt;=100,100,(Backdoors!AI12+IF(GB81&gt;=0.45,VLOOKUP(Calculator!E23,tbSkills!DH3:DI6,2,FALSE)+IF(AND(Calculator!B8=TRUE,Backdoors!BI29=TRUE),VLOOKUP(Calculator!E23,tbSkills!DH3:DJ6,3,FALSE),0),0)))/100)),1))*IF(VLOOKUP(A81,tbMoveset!A2:K112,11,FALSE)=TRUE,Backdoors!AC5,1))*GC81,0),"")</f>
        <v>0</v>
      </c>
      <c r="GG81" s="49">
        <f>VLOOKUP(A81,tbMoveset!A2:G112,7,FALSE)*IFERROR(IF(Backdoors!AI12&gt;=0,1+(IF(Calculator!E40&gt;0,VLOOKUP(Calculator!E40,tbSkills!AI3:AJ5,2,FALSE),Backdoors!AL4)*(IF((Backdoors!AI12+IF(GB81&gt;=0.45,VLOOKUP(Calculator!E23,tbSkills!DH3:DI6,2,FALSE)+IF(AND(Calculator!B8=TRUE,Backdoors!BI29=TRUE),VLOOKUP(Calculator!E23,tbSkills!DH3:DJ6,3,FALSE),0),0))&gt;=100,100,(Backdoors!AI12+IF(GB81&gt;=0.45,VLOOKUP(Calculator!E23,tbSkills!DH3:DI6,2,FALSE)+IF(AND(Calculator!B8=TRUE,Backdoors!BI29=TRUE),VLOOKUP(Calculator!E23,tbSkills!DH3:DJ6,3,FALSE),0),0)))/100)),1),1)</f>
        <v>0.7</v>
      </c>
      <c r="GH81" s="87">
        <f t="shared" si="77"/>
        <v>0</v>
      </c>
      <c r="GI81" s="86" t="str">
        <f>IFERROR(IF(VLOOKUP(A81,tbMoveset!A2:B112,2,FALSE)="Sever",Backdoors!AY30/100,IF(VLOOKUP(A81,tbMoveset!A2:B112,2,FALSE)="Blunt",Backdoors!AZ30/100,Backdoors!BA30/100)),"")</f>
        <v/>
      </c>
      <c r="GJ81" s="49">
        <f>IFERROR(IF(VLOOKUP(tbMoveset!A81,tbMoveset!A2:H112,8,FALSE)="Other",IF(VLOOKUP(tbMoveset!A81,tbMoveset!A2:I112,9,FALSE)="Fire",Backdoors!BB30,IF(VLOOKUP(tbMoveset!A81,tbMoveset!A2:I112,9,FALSE)="Water",Backdoors!BC30,IF(VLOOKUP(tbMoveset!A81,tbMoveset!A2:I112,9,FALSE)="Thunder",Backdoors!BD30,IF(VLOOKUP(tbMoveset!A81,tbMoveset!A2:I112,9,FALSE)="Ice",Backdoors!BE30,IF(VLOOKUP(tbMoveset!A81,tbMoveset!A2:I112,9,FALSE)="Dragon",Backdoors!BF30,Backdoors!BG30)))))/100,Backdoors!BG30/100),"")</f>
        <v>0</v>
      </c>
      <c r="GK81" s="49">
        <f>IFERROR(IF(VLOOKUP(A81,tbMoveset!A2:J112,10,FALSE)=TRUE,IF((Backdoors!AI12+IF(GI81&gt;=0.45,VLOOKUP(Calculator!E23,tbSkills!DH3:DI6,2,FALSE)+IF(AND(Calculator!B8=TRUE,Backdoors!BI30=TRUE),VLOOKUP(Calculator!E23,tbSkills!DH3:DJ6,3,FALSE),0),0))&gt;=0,1+(Backdoors!AL2*(IF((Backdoors!AI12+IF(GI81&gt;=0.45,VLOOKUP(Calculator!E23,tbSkills!DH3:DI6,2,FALSE)+IF(AND(Calculator!B8=TRUE,Backdoors!BI30=TRUE),VLOOKUP(Calculator!E23,tbSkills!DH3:DJ6,3,FALSE),0),0))&gt;=100,100,(Backdoors!AI12+IF(GI81&gt;=0.45,VLOOKUP(Calculator!E23,tbSkills!DH3:DI6,2,FALSE)+IF(AND(Calculator!B8=TRUE,Backdoors!BI30=TRUE),VLOOKUP(Calculator!E23,tbSkills!DH3:DJ6,3,FALSE),0),0)))/100)),(1-(0.25*((-Backdoors!AI12-IF(GI81&gt;=0.45,VLOOKUP(Calculator!E23,tbSkills!DH3:DI6,2,FALSE)+IF(AND(Calculator!B8=TRUE,Backdoors!BI30=TRUE),VLOOKUP(Calculator!E23,tbSkills!DH3:DJ6,3,FALSE),0),0))/100)))),1),"")</f>
        <v>1</v>
      </c>
      <c r="GL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I81)*GK81)*(VLOOKUP(A81,tbMoveset!A2:C112,3,FALSE)/100)*IF(VLOOKUP(A81,tbMoveset!A2:B112,2,FALSE)="Projectile",Backdoors!N10,Backdoors!N9),0),"")</f>
        <v/>
      </c>
      <c r="GM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I81&gt;=0.45,VLOOKUP(Calculator!E23,tbSkills!DH3:DI6,2,FALSE)+IF(AND(Calculator!B8=TRUE,Backdoors!BI30=TRUE),VLOOKUP(Calculator!E23,tbSkills!DH3:DJ6,3,FALSE),0),0))&gt;=100,100,(Backdoors!AI12+IF(GI81&gt;=0.45,VLOOKUP(Calculator!E23,tbSkills!DH3:DI6,2,FALSE)+IF(AND(Calculator!B8=TRUE,Backdoors!BI30=TRUE),VLOOKUP(Calculator!E23,tbSkills!DH3:DJ6,3,FALSE),0),0)))/100)),1))*IF(VLOOKUP(A81,tbMoveset!A2:K112,11,FALSE)=TRUE,Backdoors!AC5,1))*GJ81,0),"")</f>
        <v>0</v>
      </c>
      <c r="GN81" s="49">
        <f>VLOOKUP(A81,tbMoveset!A2:G112,7,FALSE)*IFERROR(IF(Backdoors!AI12&gt;=0,1+(IF(Calculator!E40&gt;0,VLOOKUP(Calculator!E40,tbSkills!AI3:AJ5,2,FALSE),Backdoors!AL4)*(IF((Backdoors!AI12+IF(GI81&gt;=0.45,VLOOKUP(Calculator!E23,tbSkills!DH3:DI6,2,FALSE)+IF(AND(Calculator!B8=TRUE,Backdoors!BI30=TRUE),VLOOKUP(Calculator!E23,tbSkills!DH3:DJ6,3,FALSE),0),0))&gt;=100,100,(Backdoors!AI12+IF(GI81&gt;=0.45,VLOOKUP(Calculator!E23,tbSkills!DH3:DI6,2,FALSE)+IF(AND(Calculator!B8=TRUE,Backdoors!BI30=TRUE),VLOOKUP(Calculator!E23,tbSkills!DH3:DJ6,3,FALSE),0),0)))/100)),1),1)</f>
        <v>0.7</v>
      </c>
      <c r="GO81" s="87">
        <f t="shared" si="78"/>
        <v>0</v>
      </c>
      <c r="GP81" s="86" t="str">
        <f>IFERROR(IF(VLOOKUP(A81,tbMoveset!A2:B112,2,FALSE)="Sever",Backdoors!AY31/100,IF(VLOOKUP(A81,tbMoveset!A2:B112,2,FALSE)="Blunt",Backdoors!AZ31/100,Backdoors!BA31/100)),"")</f>
        <v/>
      </c>
      <c r="GQ81" s="49">
        <f>IFERROR(IF(VLOOKUP(tbMoveset!A81,tbMoveset!A2:H112,8,FALSE)="Other",IF(VLOOKUP(tbMoveset!A81,tbMoveset!A2:I112,9,FALSE)="Fire",Backdoors!BB31,IF(VLOOKUP(tbMoveset!A81,tbMoveset!A2:I112,9,FALSE)="Water",Backdoors!BC31,IF(VLOOKUP(tbMoveset!A81,tbMoveset!A2:I112,9,FALSE)="Thunder",Backdoors!BD31,IF(VLOOKUP(tbMoveset!A81,tbMoveset!A2:I112,9,FALSE)="Ice",Backdoors!BE31,IF(VLOOKUP(tbMoveset!A81,tbMoveset!A2:I112,9,FALSE)="Dragon",Backdoors!BF31,Backdoors!BG31)))))/100,Backdoors!BG31/100),"")</f>
        <v>0</v>
      </c>
      <c r="GR81" s="49">
        <f>IFERROR(IF(VLOOKUP(A81,tbMoveset!A2:J112,10,FALSE)=TRUE,IF((Backdoors!AI12+IF(GP81&gt;=0.45,VLOOKUP(Calculator!E23,tbSkills!DH3:DI6,2,FALSE)+IF(AND(Calculator!B8=TRUE,Backdoors!BI31=TRUE),VLOOKUP(Calculator!E23,tbSkills!DH3:DJ6,3,FALSE),0),0))&gt;=0,1+(Backdoors!AL2*(IF((Backdoors!AI12+IF(GP81&gt;=0.45,VLOOKUP(Calculator!E23,tbSkills!DH3:DI6,2,FALSE)+IF(AND(Calculator!B8=TRUE,Backdoors!BI31=TRUE),VLOOKUP(Calculator!E23,tbSkills!DH3:DJ6,3,FALSE),0),0))&gt;=100,100,(Backdoors!AI12+IF(GP81&gt;=0.45,VLOOKUP(Calculator!E23,tbSkills!DH3:DI6,2,FALSE)+IF(AND(Calculator!B8=TRUE,Backdoors!BI31=TRUE),VLOOKUP(Calculator!E23,tbSkills!DH3:DJ6,3,FALSE),0),0)))/100)),(1-(0.25*((-Backdoors!AI12-IF(GP81&gt;=0.45,VLOOKUP(Calculator!E23,tbSkills!DH3:DI6,2,FALSE)+IF(AND(Calculator!B8=TRUE,Backdoors!BI31=TRUE),VLOOKUP(Calculator!E23,tbSkills!DH3:DJ6,3,FALSE),0),0))/100)))),1),"")</f>
        <v>1</v>
      </c>
      <c r="GS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P81)*GR81)*(VLOOKUP(A81,tbMoveset!A2:C112,3,FALSE)/100)*IF(VLOOKUP(A81,tbMoveset!A2:B112,2,FALSE)="Projectile",Backdoors!N10,Backdoors!N9),0),"")</f>
        <v/>
      </c>
      <c r="GT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P81&gt;=0.45,VLOOKUP(Calculator!E23,tbSkills!DH3:DI6,2,FALSE)+IF(AND(Calculator!B8=TRUE,Backdoors!BI31=TRUE),VLOOKUP(Calculator!E23,tbSkills!DH3:DJ6,3,FALSE),0),0))&gt;=100,100,(Backdoors!AI12+IF(GP81&gt;=0.45,VLOOKUP(Calculator!E23,tbSkills!DH3:DI6,2,FALSE)+IF(AND(Calculator!B8=TRUE,Backdoors!BI31=TRUE),VLOOKUP(Calculator!E23,tbSkills!DH3:DJ6,3,FALSE),0),0)))/100)),1))*IF(VLOOKUP(A81,tbMoveset!A2:K112,11,FALSE)=TRUE,Backdoors!AC5,1))*GQ81,0),"")</f>
        <v>0</v>
      </c>
      <c r="GU81" s="49">
        <f>VLOOKUP(A81,tbMoveset!A2:G112,7,FALSE)*IFERROR(IF(Backdoors!AI12&gt;=0,1+(IF(Calculator!E40&gt;0,VLOOKUP(Calculator!E40,tbSkills!AI3:AJ5,2,FALSE),Backdoors!AL4)*(IF((Backdoors!AI12+IF(GP81&gt;=0.45,VLOOKUP(Calculator!E23,tbSkills!DH3:DI6,2,FALSE)+IF(AND(Calculator!B8=TRUE,Backdoors!BI31=TRUE),VLOOKUP(Calculator!E23,tbSkills!DH3:DJ6,3,FALSE),0),0))&gt;=100,100,(Backdoors!AI12+IF(GP81&gt;=0.45,VLOOKUP(Calculator!E23,tbSkills!DH3:DI6,2,FALSE)+IF(AND(Calculator!B8=TRUE,Backdoors!BI31=TRUE),VLOOKUP(Calculator!E23,tbSkills!DH3:DJ6,3,FALSE),0),0)))/100)),1),1)</f>
        <v>0.7</v>
      </c>
      <c r="GV81" s="87">
        <f t="shared" si="79"/>
        <v>0</v>
      </c>
      <c r="GW81" s="86" t="str">
        <f>IFERROR(IF(VLOOKUP(A81,tbMoveset!A2:B112,2,FALSE)="Sever",Backdoors!AY32/100,IF(VLOOKUP(A81,tbMoveset!A2:B112,2,FALSE)="Blunt",Backdoors!AZ32/100,Backdoors!BA32/100)),"")</f>
        <v/>
      </c>
      <c r="GX81" s="49">
        <f>IFERROR(IF(VLOOKUP(tbMoveset!A81,tbMoveset!A2:H112,8,FALSE)="Other",IF(VLOOKUP(tbMoveset!A81,tbMoveset!A2:I112,9,FALSE)="Fire",Backdoors!BB32,IF(VLOOKUP(tbMoveset!A81,tbMoveset!A2:I112,9,FALSE)="Water",Backdoors!BC32,IF(VLOOKUP(tbMoveset!A81,tbMoveset!A2:I112,9,FALSE)="Thunder",Backdoors!BD32,IF(VLOOKUP(tbMoveset!A81,tbMoveset!A2:I112,9,FALSE)="Ice",Backdoors!BE32,IF(VLOOKUP(tbMoveset!A81,tbMoveset!A2:I112,9,FALSE)="Dragon",Backdoors!BF32,Backdoors!BG32)))))/100,Backdoors!BG32/100),"")</f>
        <v>0</v>
      </c>
      <c r="GY81" s="49">
        <f>IFERROR(IF(VLOOKUP(A81,tbMoveset!A2:J112,10,FALSE)=TRUE,IF((Backdoors!AI12+IF(GW81&gt;=0.45,VLOOKUP(Calculator!E23,tbSkills!DH3:DI6,2,FALSE)+IF(AND(Calculator!B8=TRUE,Backdoors!BI32=TRUE),VLOOKUP(Calculator!E23,tbSkills!DH3:DJ6,3,FALSE),0),0))&gt;=0,1+(Backdoors!AL2*(IF((Backdoors!AI12+IF(GW81&gt;=0.45,VLOOKUP(Calculator!E23,tbSkills!DH3:DI6,2,FALSE)+IF(AND(Calculator!B8=TRUE,Backdoors!BI32=TRUE),VLOOKUP(Calculator!E23,tbSkills!DH3:DJ6,3,FALSE),0),0))&gt;=100,100,(Backdoors!AI12+IF(GW81&gt;=0.45,VLOOKUP(Calculator!E23,tbSkills!DH3:DI6,2,FALSE)+IF(AND(Calculator!B8=TRUE,Backdoors!BI32=TRUE),VLOOKUP(Calculator!E23,tbSkills!DH3:DJ6,3,FALSE),0),0)))/100)),(1-(0.25*((-Backdoors!AI12-IF(GW81&gt;=0.45,VLOOKUP(Calculator!E23,tbSkills!DH3:DI6,2,FALSE)+IF(AND(Calculator!B8=TRUE,Backdoors!BI32=TRUE),VLOOKUP(Calculator!E23,tbSkills!DH3:DJ6,3,FALSE),0),0))/100)))),1),"")</f>
        <v>1</v>
      </c>
      <c r="GZ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W81)*GY81)*(VLOOKUP(A81,tbMoveset!A2:C112,3,FALSE)/100)*IF(VLOOKUP(A81,tbMoveset!A2:B112,2,FALSE)="Projectile",Backdoors!N10,Backdoors!N9),0),"")</f>
        <v/>
      </c>
      <c r="HA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W81&gt;=0.45,VLOOKUP(Calculator!E23,tbSkills!DH3:DI6,2,FALSE)+IF(AND(Calculator!B8=TRUE,Backdoors!BI32=TRUE),VLOOKUP(Calculator!E23,tbSkills!DH3:DJ6,3,FALSE),0),0))&gt;=100,100,(Backdoors!AI12+IF(GW81&gt;=0.45,VLOOKUP(Calculator!E23,tbSkills!DH3:DI6,2,FALSE)+IF(AND(Calculator!B8=TRUE,Backdoors!BI32=TRUE),VLOOKUP(Calculator!E23,tbSkills!DH3:DJ6,3,FALSE),0),0)))/100)),1))*IF(VLOOKUP(A81,tbMoveset!A2:K112,11,FALSE)=TRUE,Backdoors!AC5,1))*GX81,0),"")</f>
        <v>0</v>
      </c>
      <c r="HB81" s="49">
        <f>VLOOKUP(A81,tbMoveset!A2:G112,7,FALSE)*IFERROR(IF(Backdoors!AI12&gt;=0,1+(IF(Calculator!E40&gt;0,VLOOKUP(Calculator!E40,tbSkills!AI3:AJ5,2,FALSE),Backdoors!AL4)*(IF((Backdoors!AI12+IF(GW81&gt;=0.45,VLOOKUP(Calculator!E23,tbSkills!DH3:DI6,2,FALSE)+IF(AND(Calculator!B8=TRUE,Backdoors!BI32=TRUE),VLOOKUP(Calculator!E23,tbSkills!DH3:DJ6,3,FALSE),0),0))&gt;=100,100,(Backdoors!AI12+IF(GW81&gt;=0.45,VLOOKUP(Calculator!E23,tbSkills!DH3:DI6,2,FALSE)+IF(AND(Calculator!B8=TRUE,Backdoors!BI32=TRUE),VLOOKUP(Calculator!E23,tbSkills!DH3:DJ6,3,FALSE),0),0)))/100)),1),1)</f>
        <v>0.7</v>
      </c>
      <c r="HC81" s="87">
        <f t="shared" si="80"/>
        <v>0</v>
      </c>
      <c r="HD81" s="86" t="str">
        <f>IFERROR(IF(VLOOKUP(A81,tbMoveset!A2:B112,2,FALSE)="Sever",Backdoors!AY33/100,IF(VLOOKUP(A81,tbMoveset!A2:B112,2,FALSE)="Blunt",Backdoors!AZ33/100,Backdoors!BA33/100)),"")</f>
        <v/>
      </c>
      <c r="HE81" s="49">
        <f>IFERROR(IF(VLOOKUP(tbMoveset!A81,tbMoveset!A2:H112,8,FALSE)="Other",IF(VLOOKUP(tbMoveset!A81,tbMoveset!A2:I112,9,FALSE)="Fire",Backdoors!BB33,IF(VLOOKUP(tbMoveset!A81,tbMoveset!A2:I112,9,FALSE)="Water",Backdoors!BC33,IF(VLOOKUP(tbMoveset!A81,tbMoveset!A2:I112,9,FALSE)="Thunder",Backdoors!BD33,IF(VLOOKUP(tbMoveset!A81,tbMoveset!A2:I112,9,FALSE)="Ice",Backdoors!BE33,IF(VLOOKUP(tbMoveset!A81,tbMoveset!A2:I112,9,FALSE)="Dragon",Backdoors!BF33,Backdoors!BG33)))))/100,Backdoors!BG33/100),"")</f>
        <v>0</v>
      </c>
      <c r="HF81" s="49">
        <f>IFERROR(IF(VLOOKUP(A81,tbMoveset!A2:J112,10,FALSE)=TRUE,IF((Backdoors!AI12+IF(HD81&gt;=0.45,VLOOKUP(Calculator!E23,tbSkills!DH3:DI6,2,FALSE)+IF(AND(Calculator!B8=TRUE,Backdoors!BI33=TRUE),VLOOKUP(Calculator!E23,tbSkills!DH3:DJ6,3,FALSE),0),0))&gt;=0,1+(Backdoors!AL2*(IF((Backdoors!AI12+IF(HD81&gt;=0.45,VLOOKUP(Calculator!E23,tbSkills!DH3:DI6,2,FALSE)+IF(AND(Calculator!B8=TRUE,Backdoors!BI33=TRUE),VLOOKUP(Calculator!E23,tbSkills!DH3:DJ6,3,FALSE),0),0))&gt;=100,100,(Backdoors!AI12+IF(HD81&gt;=0.45,VLOOKUP(Calculator!E23,tbSkills!DH3:DI6,2,FALSE)+IF(AND(Calculator!B8=TRUE,Backdoors!BI33=TRUE),VLOOKUP(Calculator!E23,tbSkills!DH3:DJ6,3,FALSE),0),0)))/100)),(1-(0.25*((-Backdoors!AI12-IF(HD81&gt;=0.45,VLOOKUP(Calculator!E23,tbSkills!DH3:DI6,2,FALSE)+IF(AND(Calculator!B8=TRUE,Backdoors!BI33=TRUE),VLOOKUP(Calculator!E23,tbSkills!DH3:DJ6,3,FALSE),0),0))/100)))),1),"")</f>
        <v>1</v>
      </c>
      <c r="HG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D81)*HF81)*(VLOOKUP(A81,tbMoveset!A2:C112,3,FALSE)/100)*IF(VLOOKUP(A81,tbMoveset!A2:B112,2,FALSE)="Projectile",Backdoors!N10,Backdoors!N9),0),"")</f>
        <v/>
      </c>
      <c r="HH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D81&gt;=0.45,VLOOKUP(Calculator!E23,tbSkills!DH3:DI6,2,FALSE)+IF(AND(Calculator!B8=TRUE,Backdoors!BI33=TRUE),VLOOKUP(Calculator!E23,tbSkills!DH3:DJ6,3,FALSE),0),0))&gt;=100,100,(Backdoors!AI12+IF(HD81&gt;=0.45,VLOOKUP(Calculator!E23,tbSkills!DH3:DI6,2,FALSE)+IF(AND(Calculator!B8=TRUE,Backdoors!BI33=TRUE),VLOOKUP(Calculator!E23,tbSkills!DH3:DJ6,3,FALSE),0),0)))/100)),1))*IF(VLOOKUP(A81,tbMoveset!A2:K112,11,FALSE)=TRUE,Backdoors!AC5,1))*HE81,0),"")</f>
        <v>0</v>
      </c>
      <c r="HI81" s="49">
        <f>VLOOKUP(A81,tbMoveset!A2:G112,7,FALSE)*IFERROR(IF(Backdoors!AI12&gt;=0,1+(IF(Calculator!E40&gt;0,VLOOKUP(Calculator!E40,tbSkills!AI3:AJ5,2,FALSE),Backdoors!AL4)*(IF((Backdoors!AI12+IF(HD81&gt;=0.45,VLOOKUP(Calculator!E23,tbSkills!DH3:DI6,2,FALSE)+IF(AND(Calculator!B8=TRUE,Backdoors!BI33=TRUE),VLOOKUP(Calculator!E23,tbSkills!DH3:DJ6,3,FALSE),0),0))&gt;=100,100,(Backdoors!AI12+IF(HD81&gt;=0.45,VLOOKUP(Calculator!E23,tbSkills!DH3:DI6,2,FALSE)+IF(AND(Calculator!B8=TRUE,Backdoors!BI33=TRUE),VLOOKUP(Calculator!E23,tbSkills!DH3:DJ6,3,FALSE),0),0)))/100)),1),1)</f>
        <v>0.7</v>
      </c>
      <c r="HJ81" s="87">
        <f t="shared" si="81"/>
        <v>0</v>
      </c>
      <c r="HK81" s="86" t="str">
        <f>IFERROR(IF(VLOOKUP(A81,tbMoveset!A2:B112,2,FALSE)="Sever",Backdoors!AY34/100,IF(VLOOKUP(A81,tbMoveset!A2:B112,2,FALSE)="Blunt",Backdoors!AZ34/100,Backdoors!BA34/100)),"")</f>
        <v/>
      </c>
      <c r="HL81" s="49">
        <f>IFERROR(IF(VLOOKUP(tbMoveset!A81,tbMoveset!A2:H112,8,FALSE)="Other",IF(VLOOKUP(tbMoveset!A81,tbMoveset!A2:I112,9,FALSE)="Fire",Backdoors!BB34,IF(VLOOKUP(tbMoveset!A81,tbMoveset!A2:I112,9,FALSE)="Water",Backdoors!BC34,IF(VLOOKUP(tbMoveset!A81,tbMoveset!A2:I112,9,FALSE)="Thunder",Backdoors!BD34,IF(VLOOKUP(tbMoveset!A81,tbMoveset!A2:I112,9,FALSE)="Ice",Backdoors!BE34,IF(VLOOKUP(tbMoveset!A81,tbMoveset!A2:I112,9,FALSE)="Dragon",Backdoors!BF34,Backdoors!BG34)))))/100,Backdoors!BG34/100),"")</f>
        <v>0</v>
      </c>
      <c r="HM81" s="49">
        <f>IFERROR(IF(VLOOKUP(A81,tbMoveset!A2:J112,10,FALSE)=TRUE,IF((Backdoors!AI12+IF(HK81&gt;=0.45,VLOOKUP(Calculator!E23,tbSkills!DH3:DI6,2,FALSE)+IF(AND(Calculator!B8=TRUE,Backdoors!BI34=TRUE),VLOOKUP(Calculator!E23,tbSkills!DH3:DJ6,3,FALSE),0),0))&gt;=0,1+(Backdoors!AL2*(IF((Backdoors!AI12+IF(HK81&gt;=0.45,VLOOKUP(Calculator!E23,tbSkills!DH3:DI6,2,FALSE)+IF(AND(Calculator!B8=TRUE,Backdoors!BI34=TRUE),VLOOKUP(Calculator!E23,tbSkills!DH3:DJ6,3,FALSE),0),0))&gt;=100,100,(Backdoors!AI12+IF(HK81&gt;=0.45,VLOOKUP(Calculator!E23,tbSkills!DH3:DI6,2,FALSE)+IF(AND(Calculator!B8=TRUE,Backdoors!BI34=TRUE),VLOOKUP(Calculator!E23,tbSkills!DH3:DJ6,3,FALSE),0),0)))/100)),(1-(0.25*((-Backdoors!AI12-IF(HK81&gt;=0.45,VLOOKUP(Calculator!E23,tbSkills!DH3:DI6,2,FALSE)+IF(AND(Calculator!B8=TRUE,Backdoors!BI34=TRUE),VLOOKUP(Calculator!E23,tbSkills!DH3:DJ6,3,FALSE),0),0))/100)))),1),"")</f>
        <v>1</v>
      </c>
      <c r="HN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K81)*HM81)*(VLOOKUP(A81,tbMoveset!A2:C112,3,FALSE)/100)*IF(VLOOKUP(A81,tbMoveset!A2:B112,2,FALSE)="Projectile",Backdoors!N10,Backdoors!N9),0),"")</f>
        <v/>
      </c>
      <c r="HO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K81&gt;=0.45,VLOOKUP(Calculator!E23,tbSkills!DH3:DI6,2,FALSE)+IF(AND(Calculator!B8=TRUE,Backdoors!BI34=TRUE),VLOOKUP(Calculator!E23,tbSkills!DH3:DJ6,3,FALSE),0),0))&gt;=100,100,(Backdoors!AI12+IF(HK81&gt;=0.45,VLOOKUP(Calculator!E23,tbSkills!DH3:DI6,2,FALSE)+IF(AND(Calculator!B8=TRUE,Backdoors!BI34=TRUE),VLOOKUP(Calculator!E23,tbSkills!DH3:DJ6,3,FALSE),0),0)))/100)),1))*IF(VLOOKUP(A81,tbMoveset!A2:K112,11,FALSE)=TRUE,Backdoors!AC5,1))*HL81,0),"")</f>
        <v>0</v>
      </c>
      <c r="HP81" s="49">
        <f>VLOOKUP(A81,tbMoveset!A2:G112,7,FALSE)*IFERROR(IF(Backdoors!AI12&gt;=0,1+(IF(Calculator!E40&gt;0,VLOOKUP(Calculator!E40,tbSkills!AI3:AJ5,2,FALSE),Backdoors!AL4)*(IF((Backdoors!AI12+IF(HK81&gt;=0.45,VLOOKUP(Calculator!E23,tbSkills!DH3:DI6,2,FALSE)+IF(AND(Calculator!B8=TRUE,Backdoors!BI34=TRUE),VLOOKUP(Calculator!E23,tbSkills!DH3:DJ6,3,FALSE),0),0))&gt;=100,100,(Backdoors!AI12+IF(HK81&gt;=0.45,VLOOKUP(Calculator!E23,tbSkills!DH3:DI6,2,FALSE)+IF(AND(Calculator!B8=TRUE,Backdoors!BI34=TRUE),VLOOKUP(Calculator!E23,tbSkills!DH3:DJ6,3,FALSE),0),0)))/100)),1),1)</f>
        <v>0.7</v>
      </c>
      <c r="HQ81" s="87">
        <f t="shared" si="82"/>
        <v>0</v>
      </c>
      <c r="HR81" s="86" t="str">
        <f>IFERROR(IF(VLOOKUP(A81,tbMoveset!A2:B112,2,FALSE)="Sever",Backdoors!AY35/100,IF(VLOOKUP(A81,tbMoveset!A2:B112,2,FALSE)="Blunt",Backdoors!AZ35/100,Backdoors!BA35/100)),"")</f>
        <v/>
      </c>
      <c r="HS81" s="49">
        <f>IFERROR(IF(VLOOKUP(tbMoveset!A81,tbMoveset!A2:H112,8,FALSE)="Other",IF(VLOOKUP(tbMoveset!A81,tbMoveset!A2:I112,9,FALSE)="Fire",Backdoors!BB35,IF(VLOOKUP(tbMoveset!A81,tbMoveset!A2:I112,9,FALSE)="Water",Backdoors!BC35,IF(VLOOKUP(tbMoveset!A81,tbMoveset!A2:I112,9,FALSE)="Thunder",Backdoors!BD35,IF(VLOOKUP(tbMoveset!A81,tbMoveset!A2:I112,9,FALSE)="Ice",Backdoors!BE35,IF(VLOOKUP(tbMoveset!A81,tbMoveset!A2:I112,9,FALSE)="Dragon",Backdoors!BF35,Backdoors!BG35)))))/100,Backdoors!BG35/100),"")</f>
        <v>0</v>
      </c>
      <c r="HT81" s="49">
        <f>IFERROR(IF(VLOOKUP(A81,tbMoveset!A2:J112,10,FALSE)=TRUE,IF((Backdoors!AI12+IF(HR81&gt;=0.45,VLOOKUP(Calculator!E23,tbSkills!DH3:DI6,2,FALSE)+IF(AND(Calculator!B8=TRUE,Backdoors!BI35=TRUE),VLOOKUP(Calculator!E23,tbSkills!DH3:DJ6,3,FALSE),0),0))&gt;=0,1+(Backdoors!AL2*(IF((Backdoors!AI12+IF(HR81&gt;=0.45,VLOOKUP(Calculator!E23,tbSkills!DH3:DI6,2,FALSE)+IF(AND(Calculator!B8=TRUE,Backdoors!BI35=TRUE),VLOOKUP(Calculator!E23,tbSkills!DH3:DJ6,3,FALSE),0),0))&gt;=100,100,(Backdoors!AI12+IF(HR81&gt;=0.45,VLOOKUP(Calculator!E23,tbSkills!DH3:DI6,2,FALSE)+IF(AND(Calculator!B8=TRUE,Backdoors!BI35=TRUE),VLOOKUP(Calculator!E23,tbSkills!DH3:DJ6,3,FALSE),0),0)))/100)),(1-(0.25*((-Backdoors!AI12-IF(HR81&gt;=0.45,VLOOKUP(Calculator!E23,tbSkills!DH3:DI6,2,FALSE)+IF(AND(Calculator!B8=TRUE,Backdoors!BI35=TRUE),VLOOKUP(Calculator!E23,tbSkills!DH3:DJ6,3,FALSE),0),0))/100)))),1),"")</f>
        <v>1</v>
      </c>
      <c r="HU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R81)*HT81)*(VLOOKUP(A81,tbMoveset!A2:C112,3,FALSE)/100)*IF(VLOOKUP(A81,tbMoveset!A2:B112,2,FALSE)="Projectile",Backdoors!N10,Backdoors!N9),0),"")</f>
        <v/>
      </c>
      <c r="HV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R81&gt;=0.45,VLOOKUP(Calculator!E23,tbSkills!DH3:DI6,2,FALSE)+IF(AND(Calculator!B8=TRUE,Backdoors!BI35=TRUE),VLOOKUP(Calculator!E23,tbSkills!DH3:DJ6,3,FALSE),0),0))&gt;=100,100,(Backdoors!AI12+IF(HR81&gt;=0.45,VLOOKUP(Calculator!E23,tbSkills!DH3:DI6,2,FALSE)+IF(AND(Calculator!B8=TRUE,Backdoors!BI35=TRUE),VLOOKUP(Calculator!E23,tbSkills!DH3:DJ6,3,FALSE),0),0)))/100)),1))*IF(VLOOKUP(A81,tbMoveset!A2:K112,11,FALSE)=TRUE,Backdoors!AC5,1))*HS81,0),"")</f>
        <v>0</v>
      </c>
      <c r="HW81" s="49">
        <f>VLOOKUP(A81,tbMoveset!A2:G112,7,FALSE)*IFERROR(IF(Backdoors!AI12&gt;=0,1+(IF(Calculator!E40&gt;0,VLOOKUP(Calculator!E40,tbSkills!AI3:AJ5,2,FALSE),Backdoors!AL4)*(IF((Backdoors!AI12+IF(HR81&gt;=0.45,VLOOKUP(Calculator!E23,tbSkills!DH3:DI6,2,FALSE)+IF(AND(Calculator!B8=TRUE,Backdoors!BI35=TRUE),VLOOKUP(Calculator!E23,tbSkills!DH3:DJ6,3,FALSE),0),0))&gt;=100,100,(Backdoors!AI12+IF(HR81&gt;=0.45,VLOOKUP(Calculator!E23,tbSkills!DH3:DI6,2,FALSE)+IF(AND(Calculator!B8=TRUE,Backdoors!BI35=TRUE),VLOOKUP(Calculator!E23,tbSkills!DH3:DJ6,3,FALSE),0),0)))/100)),1),1)</f>
        <v>0.7</v>
      </c>
      <c r="HX81" s="87">
        <f t="shared" si="83"/>
        <v>0</v>
      </c>
      <c r="HY81" s="86" t="str">
        <f>IFERROR(IF(VLOOKUP(A81,tbMoveset!A2:B112,2,FALSE)="Sever",Backdoors!AY36/100,IF(VLOOKUP(A81,tbMoveset!A2:B112,2,FALSE)="Blunt",Backdoors!AZ36/100,Backdoors!BA36/100)),"")</f>
        <v/>
      </c>
      <c r="HZ81" s="49">
        <f>IFERROR(IF(VLOOKUP(tbMoveset!A81,tbMoveset!A2:H112,8,FALSE)="Other",IF(VLOOKUP(tbMoveset!A81,tbMoveset!A2:I112,9,FALSE)="Fire",Backdoors!BB36,IF(VLOOKUP(tbMoveset!A81,tbMoveset!A2:I112,9,FALSE)="Water",Backdoors!BC36,IF(VLOOKUP(tbMoveset!A81,tbMoveset!A2:I112,9,FALSE)="Thunder",Backdoors!BD36,IF(VLOOKUP(tbMoveset!A81,tbMoveset!A2:I112,9,FALSE)="Ice",Backdoors!BE36,IF(VLOOKUP(tbMoveset!A81,tbMoveset!A2:I112,9,FALSE)="Dragon",Backdoors!BF36,Backdoors!BG36)))))/100,Backdoors!BG36/100),"")</f>
        <v>0</v>
      </c>
      <c r="IA81" s="49">
        <f>IFERROR(IF(VLOOKUP(A81,tbMoveset!A2:J112,10,FALSE)=TRUE,IF((Backdoors!AI12+IF(HY81&gt;=0.45,VLOOKUP(Calculator!E23,tbSkills!DH3:DI6,2,FALSE)+IF(AND(Calculator!B8=TRUE,Backdoors!BI36=TRUE),VLOOKUP(Calculator!E23,tbSkills!DH3:DJ6,3,FALSE),0),0))&gt;=0,1+(Backdoors!AL2*(IF((Backdoors!AI12+IF(HY81&gt;=0.45,VLOOKUP(Calculator!E23,tbSkills!DH3:DI6,2,FALSE)+IF(AND(Calculator!B8=TRUE,Backdoors!BI36=TRUE),VLOOKUP(Calculator!E23,tbSkills!DH3:DJ6,3,FALSE),0),0))&gt;=100,100,(Backdoors!AI12+IF(HY81&gt;=0.45,VLOOKUP(Calculator!E23,tbSkills!DH3:DI6,2,FALSE)+IF(AND(Calculator!B8=TRUE,Backdoors!BI36=TRUE),VLOOKUP(Calculator!E23,tbSkills!DH3:DJ6,3,FALSE),0),0)))/100)),(1-(0.25*((-Backdoors!AI12-IF(HY81&gt;=0.45,VLOOKUP(Calculator!E23,tbSkills!DH3:DI6,2,FALSE)+IF(AND(Calculator!B8=TRUE,Backdoors!BI36=TRUE),VLOOKUP(Calculator!E23,tbSkills!DH3:DJ6,3,FALSE),0),0))/100)))),1),"")</f>
        <v>1</v>
      </c>
      <c r="IB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Y81)*IA81)*(VLOOKUP(A81,tbMoveset!A2:C112,3,FALSE)/100)*IF(VLOOKUP(A81,tbMoveset!A2:B112,2,FALSE)="Projectile",Backdoors!N10,Backdoors!N9),0),"")</f>
        <v/>
      </c>
      <c r="IC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Y81&gt;=0.45,VLOOKUP(Calculator!E23,tbSkills!DH3:DI6,2,FALSE)+IF(AND(Calculator!B8=TRUE,Backdoors!BI36=TRUE),VLOOKUP(Calculator!E23,tbSkills!DH3:DJ6,3,FALSE),0),0))&gt;=100,100,(Backdoors!AI12+IF(HY81&gt;=0.45,VLOOKUP(Calculator!E23,tbSkills!DH3:DI6,2,FALSE)+IF(AND(Calculator!B8=TRUE,Backdoors!BI36=TRUE),VLOOKUP(Calculator!E23,tbSkills!DH3:DJ6,3,FALSE),0),0)))/100)),1))*IF(VLOOKUP(A81,tbMoveset!A2:K112,11,FALSE)=TRUE,Backdoors!AC5,1))*HZ81,0),"")</f>
        <v>0</v>
      </c>
      <c r="ID81" s="49">
        <f>VLOOKUP(A81,tbMoveset!A2:G112,7,FALSE)*IFERROR(IF(Backdoors!AI12&gt;=0,1+(IF(Calculator!E40&gt;0,VLOOKUP(Calculator!E40,tbSkills!AI3:AJ5,2,FALSE),Backdoors!AL4)*(IF((Backdoors!AI12+IF(HY81&gt;=0.45,VLOOKUP(Calculator!E23,tbSkills!DH3:DI6,2,FALSE)+IF(AND(Calculator!B8=TRUE,Backdoors!BI36=TRUE),VLOOKUP(Calculator!E23,tbSkills!DH3:DJ6,3,FALSE),0),0))&gt;=100,100,(Backdoors!AI12+IF(HY81&gt;=0.45,VLOOKUP(Calculator!E23,tbSkills!DH3:DI6,2,FALSE)+IF(AND(Calculator!B8=TRUE,Backdoors!BI36=TRUE),VLOOKUP(Calculator!E23,tbSkills!DH3:DJ6,3,FALSE),0),0)))/100)),1),1)</f>
        <v>0.7</v>
      </c>
      <c r="IE81" s="87">
        <f t="shared" si="84"/>
        <v>0</v>
      </c>
      <c r="IF81" s="86" t="str">
        <f>IFERROR(IF(VLOOKUP(A81,tbMoveset!A2:B112,2,FALSE)="Sever",Backdoors!AY37/100,IF(VLOOKUP(A81,tbMoveset!A2:B112,2,FALSE)="Blunt",Backdoors!AZ37/100,Backdoors!BA37/100)),"")</f>
        <v/>
      </c>
      <c r="IG81" s="49">
        <f>IFERROR(IF(VLOOKUP(tbMoveset!A81,tbMoveset!A2:H112,8,FALSE)="Other",IF(VLOOKUP(tbMoveset!A81,tbMoveset!A2:I112,9,FALSE)="Fire",Backdoors!BB37,IF(VLOOKUP(tbMoveset!A81,tbMoveset!A2:I112,9,FALSE)="Water",Backdoors!BC37,IF(VLOOKUP(tbMoveset!A81,tbMoveset!A2:I112,9,FALSE)="Thunder",Backdoors!BD37,IF(VLOOKUP(tbMoveset!A81,tbMoveset!A2:I112,9,FALSE)="Ice",Backdoors!BE37,IF(VLOOKUP(tbMoveset!A81,tbMoveset!A2:I112,9,FALSE)="Dragon",Backdoors!BF37,Backdoors!BG37)))))/100,Backdoors!BG37/100),"")</f>
        <v>0</v>
      </c>
      <c r="IH81" s="49">
        <f>IFERROR(IF(VLOOKUP(A81,tbMoveset!A2:J112,10,FALSE)=TRUE,IF((Backdoors!AI12+IF(IF81&gt;=0.45,VLOOKUP(Calculator!E23,tbSkills!DH3:DI6,2,FALSE)+IF(AND(Calculator!B8=TRUE,Backdoors!BI37=TRUE),VLOOKUP(Calculator!E23,tbSkills!DH3:DJ6,3,FALSE),0),0))&gt;=0,1+(Backdoors!AL2*(IF((Backdoors!AI12+IF(IF81&gt;=0.45,VLOOKUP(Calculator!E23,tbSkills!DH3:DI6,2,FALSE)+IF(AND(Calculator!B8=TRUE,Backdoors!BI37=TRUE),VLOOKUP(Calculator!E23,tbSkills!DH3:DJ6,3,FALSE),0),0))&gt;=100,100,(Backdoors!AI12+IF(IF81&gt;=0.45,VLOOKUP(Calculator!E23,tbSkills!DH3:DI6,2,FALSE)+IF(AND(Calculator!B8=TRUE,Backdoors!BI37=TRUE),VLOOKUP(Calculator!E23,tbSkills!DH3:DJ6,3,FALSE),0),0)))/100)),(1-(0.25*((-Backdoors!AI12-IF(IF81&gt;=0.45,VLOOKUP(Calculator!E23,tbSkills!DH3:DI6,2,FALSE)+IF(AND(Calculator!B8=TRUE,Backdoors!BI37=TRUE),VLOOKUP(Calculator!E23,tbSkills!DH3:DJ6,3,FALSE),0),0))/100)))),1),"")</f>
        <v>1</v>
      </c>
      <c r="II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F81)*IH81)*(VLOOKUP(A81,tbMoveset!A2:C112,3,FALSE)/100)*IF(VLOOKUP(A81,tbMoveset!A2:B112,2,FALSE)="Projectile",Backdoors!N10,Backdoors!N9),0),"")</f>
        <v/>
      </c>
      <c r="IJ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IF81&gt;=0.45,VLOOKUP(Calculator!E23,tbSkills!DH3:DI6,2,FALSE)+IF(AND(Calculator!B8=TRUE,Backdoors!BI37=TRUE),VLOOKUP(Calculator!E23,tbSkills!DH3:DJ6,3,FALSE),0),0))&gt;=100,100,(Backdoors!AI12+IF(IF81&gt;=0.45,VLOOKUP(Calculator!E23,tbSkills!DH3:DI6,2,FALSE)+IF(AND(Calculator!B8=TRUE,Backdoors!BI37=TRUE),VLOOKUP(Calculator!E23,tbSkills!DH3:DJ6,3,FALSE),0),0)))/100)),1))*IF(VLOOKUP(A81,tbMoveset!A2:K112,11,FALSE)=TRUE,Backdoors!AC5,1))*IG81,0),"")</f>
        <v>0</v>
      </c>
      <c r="IK81" s="49">
        <f>VLOOKUP(A81,tbMoveset!A2:G112,7,FALSE)*IFERROR(IF(Backdoors!AI12&gt;=0,1+(IF(Calculator!E40&gt;0,VLOOKUP(Calculator!E40,tbSkills!AI3:AJ5,2,FALSE),Backdoors!AL4)*(IF((Backdoors!AI12+IF(IF81&gt;=0.45,VLOOKUP(Calculator!E23,tbSkills!DH3:DI6,2,FALSE)+IF(AND(Calculator!B8=TRUE,Backdoors!BI37=TRUE),VLOOKUP(Calculator!E23,tbSkills!DH3:DJ6,3,FALSE),0),0))&gt;=100,100,(Backdoors!AI12+IF(IF81&gt;=0.45,VLOOKUP(Calculator!E23,tbSkills!DH3:DI6,2,FALSE)+IF(AND(Calculator!B8=TRUE,Backdoors!BI37=TRUE),VLOOKUP(Calculator!E23,tbSkills!DH3:DJ6,3,FALSE),0),0)))/100)),1),1)</f>
        <v>0.7</v>
      </c>
      <c r="IL81" s="87">
        <f t="shared" si="85"/>
        <v>0</v>
      </c>
      <c r="IM81" s="86" t="str">
        <f>IFERROR(IF(VLOOKUP(A81,tbMoveset!A2:B112,2,FALSE)="Sever",Backdoors!AY38/100,IF(VLOOKUP(A81,tbMoveset!A2:B112,2,FALSE)="Blunt",Backdoors!AZ38/100,Backdoors!BA38/100)),"")</f>
        <v/>
      </c>
      <c r="IN81" s="49">
        <f>IFERROR(IF(VLOOKUP(tbMoveset!A81,tbMoveset!A2:H112,8,FALSE)="Other",IF(VLOOKUP(tbMoveset!A81,tbMoveset!A2:I112,9,FALSE)="Fire",Backdoors!BB38,IF(VLOOKUP(tbMoveset!A81,tbMoveset!A2:I112,9,FALSE)="Water",Backdoors!BC38,IF(VLOOKUP(tbMoveset!A81,tbMoveset!A2:I112,9,FALSE)="Thunder",Backdoors!BD38,IF(VLOOKUP(tbMoveset!A81,tbMoveset!A2:I112,9,FALSE)="Ice",Backdoors!BE38,IF(VLOOKUP(tbMoveset!A81,tbMoveset!A2:I112,9,FALSE)="Dragon",Backdoors!BF38,Backdoors!BG38)))))/100,Backdoors!BG38/100),"")</f>
        <v>0</v>
      </c>
      <c r="IO81" s="49">
        <f>IFERROR(IF(VLOOKUP(A81,tbMoveset!A2:J112,10,FALSE)=TRUE,IF((Backdoors!AI12+IF(IM81&gt;=0.45,VLOOKUP(Calculator!E23,tbSkills!DH3:DI6,2,FALSE)+IF(AND(Calculator!B8=TRUE,Backdoors!BI38=TRUE),VLOOKUP(Calculator!E23,tbSkills!DH3:DJ6,3,FALSE),0),0))&gt;=0,1+(Backdoors!AL2*(IF((Backdoors!AI12+IF(IM81&gt;=0.45,VLOOKUP(Calculator!E23,tbSkills!DH3:DI6,2,FALSE)+IF(AND(Calculator!B8=TRUE,Backdoors!BI38=TRUE),VLOOKUP(Calculator!E23,tbSkills!DH3:DJ6,3,FALSE),0),0))&gt;=100,100,(Backdoors!AI12+IF(IM81&gt;=0.45,VLOOKUP(Calculator!E23,tbSkills!DH3:DI6,2,FALSE)+IF(AND(Calculator!B8=TRUE,Backdoors!BI38=TRUE),VLOOKUP(Calculator!E23,tbSkills!DH3:DJ6,3,FALSE),0),0)))/100)),(1-(0.25*((-Backdoors!AI12-IF(IM81&gt;=0.45,VLOOKUP(Calculator!E23,tbSkills!DH3:DI6,2,FALSE)+IF(AND(Calculator!B8=TRUE,Backdoors!BI38=TRUE),VLOOKUP(Calculator!E23,tbSkills!DH3:DJ6,3,FALSE),0),0))/100)))),1),"")</f>
        <v>1</v>
      </c>
      <c r="IP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M81)*IO81)*(VLOOKUP(A81,tbMoveset!A2:C112,3,FALSE)/100)*IF(VLOOKUP(A81,tbMoveset!A2:B112,2,FALSE)="Projectile",Backdoors!N10,Backdoors!N9),0),"")</f>
        <v/>
      </c>
      <c r="IQ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IM81&gt;=0.45,VLOOKUP(Calculator!E23,tbSkills!DH3:DI6,2,FALSE)+IF(AND(Calculator!B8=TRUE,Backdoors!BI38=TRUE),VLOOKUP(Calculator!E23,tbSkills!DH3:DJ6,3,FALSE),0),0))&gt;=100,100,(Backdoors!AI12+IF(IM81&gt;=0.45,VLOOKUP(Calculator!E23,tbSkills!DH3:DI6,2,FALSE)+IF(AND(Calculator!B8=TRUE,Backdoors!BI38=TRUE),VLOOKUP(Calculator!E23,tbSkills!DH3:DJ6,3,FALSE),0),0)))/100)),1))*IF(VLOOKUP(A81,tbMoveset!A2:K112,11,FALSE)=TRUE,Backdoors!AC5,1))*IN81,0),"")</f>
        <v>0</v>
      </c>
      <c r="IR81" s="49">
        <f>VLOOKUP(A81,tbMoveset!A2:G112,7,FALSE)*IFERROR(IF(Backdoors!AI12&gt;=0,1+(IF(Calculator!E40&gt;0,VLOOKUP(Calculator!E40,tbSkills!AI3:AJ5,2,FALSE),Backdoors!AL4)*(IF((Backdoors!AI12+IF(IM81&gt;=0.45,VLOOKUP(Calculator!E23,tbSkills!DH3:DI6,2,FALSE)+IF(AND(Calculator!B8=TRUE,Backdoors!BI38=TRUE),VLOOKUP(Calculator!E23,tbSkills!DH3:DJ6,3,FALSE),0),0))&gt;=100,100,(Backdoors!AI12+IF(IM81&gt;=0.45,VLOOKUP(Calculator!E23,tbSkills!DH3:DI6,2,FALSE)+IF(AND(Calculator!B8=TRUE,Backdoors!BI38=TRUE),VLOOKUP(Calculator!E23,tbSkills!DH3:DJ6,3,FALSE),0),0)))/100)),1),1)</f>
        <v>0.7</v>
      </c>
      <c r="IS81" s="87">
        <f t="shared" si="86"/>
        <v>0</v>
      </c>
      <c r="IT81" s="86" t="str">
        <f>IFERROR(IF(VLOOKUP(A81,tbMoveset!A2:B112,2,FALSE)="Sever",Backdoors!AY39/100,IF(VLOOKUP(A81,tbMoveset!A2:B112,2,FALSE)="Blunt",Backdoors!AZ39/100,Backdoors!BA39/100)),"")</f>
        <v/>
      </c>
      <c r="IU81" s="49">
        <f>IFERROR(IF(VLOOKUP(tbMoveset!A81,tbMoveset!A2:H112,8,FALSE)="Other",IF(VLOOKUP(tbMoveset!A81,tbMoveset!A2:I112,9,FALSE)="Fire",Backdoors!BB39,IF(VLOOKUP(tbMoveset!A81,tbMoveset!A2:I112,9,FALSE)="Water",Backdoors!BC39,IF(VLOOKUP(tbMoveset!A81,tbMoveset!A2:I112,9,FALSE)="Thunder",Backdoors!BD39,IF(VLOOKUP(tbMoveset!A81,tbMoveset!A2:I112,9,FALSE)="Ice",Backdoors!BE39,IF(VLOOKUP(tbMoveset!A81,tbMoveset!A2:I112,9,FALSE)="Dragon",Backdoors!BF39,Backdoors!BG39)))))/100,Backdoors!BG39/100),"")</f>
        <v>0</v>
      </c>
      <c r="IV81" s="49">
        <f>IFERROR(IF(VLOOKUP(A81,tbMoveset!A2:J112,10,FALSE)=TRUE,IF((Backdoors!AI12+IF(IT81&gt;=0.45,VLOOKUP(Calculator!E23,tbSkills!DH3:DI6,2,FALSE)+IF(AND(Calculator!B8=TRUE,Backdoors!BI39=TRUE),VLOOKUP(Calculator!E23,tbSkills!DH3:DJ6,3,FALSE),0),0))&gt;=0,1+(Backdoors!AL2*(IF((Backdoors!AI12+IF(IT81&gt;=0.45,VLOOKUP(Calculator!E23,tbSkills!DH3:DI6,2,FALSE)+IF(AND(Calculator!B8=TRUE,Backdoors!BI39=TRUE),VLOOKUP(Calculator!E23,tbSkills!DH3:DJ6,3,FALSE),0),0))&gt;=100,100,(Backdoors!AI12+IF(IT81&gt;=0.45,VLOOKUP(Calculator!E23,tbSkills!DH3:DI6,2,FALSE)+IF(AND(Calculator!B8=TRUE,Backdoors!BI39=TRUE),VLOOKUP(Calculator!E23,tbSkills!DH3:DJ6,3,FALSE),0),0)))/100)),(1-(0.25*((-Backdoors!AI12-IF(IT81&gt;=0.45,VLOOKUP(Calculator!E23,tbSkills!DH3:DI6,2,FALSE)+IF(AND(Calculator!B8=TRUE,Backdoors!BI39=TRUE),VLOOKUP(Calculator!E23,tbSkills!DH3:DJ6,3,FALSE),0),0))/100)))),1),"")</f>
        <v>1</v>
      </c>
      <c r="IW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T81)*IV81)*(VLOOKUP(A81,tbMoveset!A2:C112,3,FALSE)/100)*IF(VLOOKUP(A81,tbMoveset!A2:B112,2,FALSE)="Projectile",Backdoors!N10,Backdoors!N9),0),"")</f>
        <v/>
      </c>
      <c r="IX81" s="49">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40&gt;0,VLOOKUP(Calculator!E40,tbSkills!AC3:AD5,2,FALSE),Backdoors!AL3)*(IF((Backdoors!AI12+IF(IT81&gt;=0.45,VLOOKUP(Calculator!E23,tbSkills!DH3:DI6,2,FALSE)+IF(AND(Calculator!B8=TRUE,Backdoors!BI39=TRUE),VLOOKUP(Calculator!E23,tbSkills!DH3:DJ6,3,FALSE),0),0))&gt;=100,100,(Backdoors!AI12+IF(IT81&gt;=0.45,VLOOKUP(Calculator!E23,tbSkills!DH3:DI6,2,FALSE)+IF(AND(Calculator!B8=TRUE,Backdoors!BI39=TRUE),VLOOKUP(Calculator!E23,tbSkills!DH3:DJ6,3,FALSE),0),0)))/100)),1))*IF(VLOOKUP(A81,tbMoveset!A2:K112,11,FALSE)=TRUE,Backdoors!AC5,1))*IU81,0),"")</f>
        <v>0</v>
      </c>
      <c r="IY81" s="49">
        <f>VLOOKUP(A81,tbMoveset!A2:G112,7,FALSE)*IFERROR(IF(Backdoors!AI12&gt;=0,1+(IF(Calculator!E40&gt;0,VLOOKUP(Calculator!E40,tbSkills!AI3:AJ5,2,FALSE),Backdoors!AL4)*(IF((Backdoors!AI12+IF(IT81&gt;=0.45,VLOOKUP(Calculator!E23,tbSkills!DH3:DI6,2,FALSE)+IF(AND(Calculator!B8=TRUE,Backdoors!BI39=TRUE),VLOOKUP(Calculator!E23,tbSkills!DH3:DJ6,3,FALSE),0),0))&gt;=100,100,(Backdoors!AI12+IF(IT81&gt;=0.45,VLOOKUP(Calculator!E23,tbSkills!DH3:DI6,2,FALSE)+IF(AND(Calculator!B8=TRUE,Backdoors!BI39=TRUE),VLOOKUP(Calculator!E23,tbSkills!DH3:DJ6,3,FALSE),0),0)))/100)),1),1)</f>
        <v>0.7</v>
      </c>
      <c r="IZ81" s="87">
        <f t="shared" si="87"/>
        <v>0</v>
      </c>
      <c r="JA81" s="86" t="str">
        <f>IFERROR(IF(VLOOKUP(A81,tbMoveset!A2:B112,2,FALSE)="Sever",Backdoors!AY40/100,IF(VLOOKUP(A81,tbMoveset!A2:B112,2,FALSE)="Blunt",Backdoors!AZ40/100,Backdoors!BA40/100)),"")</f>
        <v/>
      </c>
      <c r="JB81" s="49">
        <f>IFERROR(IF(VLOOKUP(tbMoveset!A81,tbMoveset!A2:H112,8,FALSE)="Other",IF(VLOOKUP(tbMoveset!A81,tbMoveset!A2:I112,9,FALSE)="Fire",Backdoors!BB40,IF(VLOOKUP(tbMoveset!A81,tbMoveset!A2:I112,9,FALSE)="Water",Backdoors!BC40,IF(VLOOKUP(tbMoveset!A81,tbMoveset!A2:I112,9,FALSE)="Thunder",Backdoors!BD40,IF(VLOOKUP(tbMoveset!A81,tbMoveset!A2:I112,9,FALSE)="Ice",Backdoors!BE40,IF(VLOOKUP(tbMoveset!A81,tbMoveset!A2:I112,9,FALSE)="Dragon",Backdoors!BF40,Backdoors!BG40)))))/100,Backdoors!BG40/100),"")</f>
        <v>0</v>
      </c>
      <c r="JC81" s="49">
        <f>IFERROR(IF(VLOOKUP(A81,tbMoveset!A2:J112,10,FALSE)=TRUE,IF((Backdoors!AI12+IF(JA81&gt;=0.45,VLOOKUP(Calculator!E23,tbSkills!DH3:DI6,2,FALSE)+IF(AND(Calculator!B8=TRUE,Backdoors!BI40=TRUE),VLOOKUP(Calculator!E23,tbSkills!DH3:DJ6,3,FALSE),0),0))&gt;=0,1+(Backdoors!AL2*(IF((Backdoors!AI12+IF(JA81&gt;=0.45,VLOOKUP(Calculator!E23,tbSkills!DH3:DI6,2,FALSE)+IF(AND(Calculator!B8=TRUE,Backdoors!BI40=TRUE),VLOOKUP(Calculator!E23,tbSkills!DH3:DJ6,3,FALSE),0),0))&gt;=100,100,(Backdoors!AI12+IF(JA81&gt;=0.45,VLOOKUP(Calculator!E23,tbSkills!DH3:DI6,2,FALSE)+IF(AND(Calculator!B8=TRUE,Backdoors!BI40=TRUE),VLOOKUP(Calculator!E23,tbSkills!DH3:DJ6,3,FALSE),0),0)))/100)),(1-(0.25*((-Backdoors!AI12-IF(JA81&gt;=0.45,VLOOKUP(Calculator!E23,tbSkills!DH3:DI6,2,FALSE)+IF(AND(Calculator!B8=TRUE,Backdoors!BI40=TRUE),VLOOKUP(Calculator!E23,tbSkills!DH3:DJ6,3,FALSE),0),0))/100)))),1),"")</f>
        <v>1</v>
      </c>
      <c r="JD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A81)*JC81)*(VLOOKUP(A81,tbMoveset!A2:C112,3,FALSE)/100)*IF(VLOOKUP(A81,tbMoveset!A2:B112,2,FALSE)="Projectile",Backdoors!N10,Backdoors!N9),0),"")</f>
        <v/>
      </c>
      <c r="JE81" s="49">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42&gt;0,VLOOKUP(Calculator!E42,tbSkills!AC3:AD5,2,FALSE),Backdoors!AL3)*(IF((Backdoors!AI12+IF(JA81&gt;=0.45,VLOOKUP(Calculator!E23,tbSkills!DH3:DI6,2,FALSE)+IF(AND(Calculator!B8=TRUE,Backdoors!BI40=TRUE),VLOOKUP(Calculator!E23,tbSkills!DH3:DJ6,3,FALSE),0),0))&gt;=100,100,(Backdoors!AI12+IF(JA81&gt;=0.45,VLOOKUP(Calculator!E23,tbSkills!DH3:DI6,2,FALSE)+IF(AND(Calculator!B8=TRUE,Backdoors!BI40=TRUE),VLOOKUP(Calculator!E23,tbSkills!DH3:DJ6,3,FALSE),0),0)))/100)),1))*IF(VLOOKUP(A81,tbMoveset!A2:K112,11,FALSE)=TRUE,Backdoors!AC5,1))*JB81,0),"")</f>
        <v>0</v>
      </c>
      <c r="JF81" s="49">
        <f>VLOOKUP(A81,tbMoveset!A2:G112,7,FALSE)*IFERROR(IF(Backdoors!AI12&gt;=0,1+(IF(Calculator!E40&gt;0,VLOOKUP(Calculator!E40,tbSkills!AI3:AJ5,2,FALSE),Backdoors!AL4)*(IF((Backdoors!AI12+IF(JA81&gt;=0.45,VLOOKUP(Calculator!E23,tbSkills!DH3:DI6,2,FALSE)+IF(AND(Calculator!B8=TRUE,Backdoors!BI40=TRUE),VLOOKUP(Calculator!E23,tbSkills!DH3:DJ6,3,FALSE),0),0))&gt;=100,100,(Backdoors!AI12+IF(JA81&gt;=0.45,VLOOKUP(Calculator!E23,tbSkills!DH3:DI6,2,FALSE)+IF(AND(Calculator!B8=TRUE,Backdoors!BI40=TRUE),VLOOKUP(Calculator!E23,tbSkills!DH3:DJ6,3,FALSE),0),0)))/100)),1),1)</f>
        <v>0.7</v>
      </c>
      <c r="JG81" s="87">
        <f t="shared" si="88"/>
        <v>0</v>
      </c>
      <c r="JH81" s="86" t="str">
        <f>IFERROR(IF(VLOOKUP(A81,tbMoveset!A2:B112,2,FALSE)="Sever",Backdoors!AY41/100,IF(VLOOKUP(A81,tbMoveset!A2:B112,2,FALSE)="Blunt",Backdoors!AZ41/100,Backdoors!BA41/100)),"")</f>
        <v/>
      </c>
      <c r="JI81" s="49">
        <f>IFERROR(IF(VLOOKUP(tbMoveset!A81,tbMoveset!A2:H112,8,FALSE)="Other",IF(VLOOKUP(tbMoveset!A81,tbMoveset!A2:I112,9,FALSE)="Fire",Backdoors!BB41,IF(VLOOKUP(tbMoveset!A81,tbMoveset!A2:I112,9,FALSE)="Water",Backdoors!BC41,IF(VLOOKUP(tbMoveset!A81,tbMoveset!A2:I112,9,FALSE)="Thunder",Backdoors!BD41,IF(VLOOKUP(tbMoveset!A81,tbMoveset!A2:I112,9,FALSE)="Ice",Backdoors!BE41,IF(VLOOKUP(tbMoveset!A81,tbMoveset!A2:I112,9,FALSE)="Dragon",Backdoors!BF41,Backdoors!BG41)))))/100,Backdoors!BG41/100),"")</f>
        <v>0</v>
      </c>
      <c r="JJ81" s="49">
        <f>IFERROR(IF(VLOOKUP(A81,tbMoveset!A2:J112,10,FALSE)=TRUE,IF((Backdoors!AI12+IF(JH81&gt;=0.45,VLOOKUP(Calculator!E23,tbSkills!DH3:DI6,2,FALSE)+IF(AND(Calculator!B8=TRUE,Backdoors!BI41=TRUE),VLOOKUP(Calculator!E23,tbSkills!DH3:DJ6,3,FALSE),0),0))&gt;=0,1+(Backdoors!AL2*(IF((Backdoors!AI12+IF(JH81&gt;=0.45,VLOOKUP(Calculator!E23,tbSkills!DH3:DI6,2,FALSE)+IF(AND(Calculator!B8=TRUE,Backdoors!BI41=TRUE),VLOOKUP(Calculator!E23,tbSkills!DH3:DJ6,3,FALSE),0),0))&gt;=100,100,(Backdoors!AI12+IF(JH81&gt;=0.45,VLOOKUP(Calculator!E23,tbSkills!DH3:DI6,2,FALSE)+IF(AND(Calculator!B8=TRUE,Backdoors!BI41=TRUE),VLOOKUP(Calculator!E23,tbSkills!DH3:DJ6,3,FALSE),0),0)))/100)),(1-(0.25*((-Backdoors!AI12-IF(JH81&gt;=0.45,VLOOKUP(Calculator!E23,tbSkills!DH3:DI6,2,FALSE)+IF(AND(Calculator!B8=TRUE,Backdoors!BI41=TRUE),VLOOKUP(Calculator!E23,tbSkills!DH3:DJ6,3,FALSE),0),0))/100)))),1),"")</f>
        <v>1</v>
      </c>
      <c r="JK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H81)*JJ81)*(VLOOKUP(A81,tbMoveset!A2:C112,3,FALSE)/100)*IF(VLOOKUP(A81,tbMoveset!A2:B112,2,FALSE)="Projectile",Backdoors!N10,Backdoors!N9),0),"")</f>
        <v/>
      </c>
      <c r="JL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43&gt;0,VLOOKUP(Calculator!E43,tbSkills!AC3:AD5,2,FALSE),Backdoors!AL3)*(IF((Backdoors!AI12+IF(JH81&gt;=0.45,VLOOKUP(Calculator!E23,tbSkills!DH3:DI6,2,FALSE)+IF(AND(Calculator!B8=TRUE,Backdoors!BI41=TRUE),VLOOKUP(Calculator!E23,tbSkills!DH3:DJ6,3,FALSE),0),0))&gt;=100,100,(Backdoors!AI12+IF(JH81&gt;=0.45,VLOOKUP(Calculator!E23,tbSkills!DH3:DI6,2,FALSE)+IF(AND(Calculator!B8=TRUE,Backdoors!BI41=TRUE),VLOOKUP(Calculator!E23,tbSkills!DH3:DJ6,3,FALSE),0),0)))/100)),1))*IF(VLOOKUP(A81,tbMoveset!A2:K112,11,FALSE)=TRUE,Backdoors!AC5,1))*JI81,0),"")</f>
        <v/>
      </c>
      <c r="JM81" s="49">
        <f>VLOOKUP(A81,tbMoveset!A2:G112,7,FALSE)*IFERROR(IF(Backdoors!AI12&gt;=0,1+(IF(Calculator!E40&gt;0,VLOOKUP(Calculator!E40,tbSkills!AI3:AJ5,2,FALSE),Backdoors!AL4)*(IF((Backdoors!AI12+IF(JH81&gt;=0.45,VLOOKUP(Calculator!E23,tbSkills!DH3:DI6,2,FALSE)+IF(AND(Calculator!B8=TRUE,Backdoors!BI41=TRUE),VLOOKUP(Calculator!E23,tbSkills!DH3:DJ6,3,FALSE),0),0))&gt;=100,100,(Backdoors!AI12+IF(JH81&gt;=0.45,VLOOKUP(Calculator!E23,tbSkills!DH3:DI6,2,FALSE)+IF(AND(Calculator!B8=TRUE,Backdoors!BI41=TRUE),VLOOKUP(Calculator!E23,tbSkills!DH3:DJ6,3,FALSE),0),0)))/100)),1),1)</f>
        <v>0.7</v>
      </c>
      <c r="JN81" s="87">
        <f t="shared" si="89"/>
        <v>0</v>
      </c>
      <c r="JO81" s="86" t="str">
        <f>IFERROR(IF(VLOOKUP(A81,tbMoveset!A2:B112,2,FALSE)="Sever",Backdoors!AY42/100,IF(VLOOKUP(A81,tbMoveset!A2:B112,2,FALSE)="Blunt",Backdoors!AZ42/100,Backdoors!BA42/100)),"")</f>
        <v/>
      </c>
      <c r="JP81" s="49">
        <f>IFERROR(IF(VLOOKUP(tbMoveset!A81,tbMoveset!A2:H112,8,FALSE)="Other",IF(VLOOKUP(tbMoveset!A81,tbMoveset!A2:I112,9,FALSE)="Fire",Backdoors!BB42,IF(VLOOKUP(tbMoveset!A81,tbMoveset!A2:I112,9,FALSE)="Water",Backdoors!BC42,IF(VLOOKUP(tbMoveset!A81,tbMoveset!A2:I112,9,FALSE)="Thunder",Backdoors!BD42,IF(VLOOKUP(tbMoveset!A81,tbMoveset!A2:I112,9,FALSE)="Ice",Backdoors!BE42,IF(VLOOKUP(tbMoveset!A81,tbMoveset!A2:I112,9,FALSE)="Dragon",Backdoors!BF42,Backdoors!BG42)))))/100,Backdoors!BG42/100),"")</f>
        <v>0</v>
      </c>
      <c r="JQ81" s="49">
        <f>IFERROR(IF(VLOOKUP(A81,tbMoveset!A2:J112,10,FALSE)=TRUE,IF((Backdoors!AI12+IF(JO81&gt;=0.45,VLOOKUP(Calculator!E23,tbSkills!DH3:DI6,2,FALSE)+IF(AND(Calculator!B8=TRUE,Backdoors!BI42=TRUE),VLOOKUP(Calculator!E23,tbSkills!DH3:DJ6,3,FALSE),0),0))&gt;=0,1+(Backdoors!AL2*(IF((Backdoors!AI12+IF(JO81&gt;=0.45,VLOOKUP(Calculator!E23,tbSkills!DH3:DI6,2,FALSE)+IF(AND(Calculator!B8=TRUE,Backdoors!BI42=TRUE),VLOOKUP(Calculator!E23,tbSkills!DH3:DJ6,3,FALSE),0),0))&gt;=100,100,(Backdoors!AI12+IF(JO81&gt;=0.45,VLOOKUP(Calculator!E23,tbSkills!DH3:DI6,2,FALSE)+IF(AND(Calculator!B8=TRUE,Backdoors!BI42=TRUE),VLOOKUP(Calculator!E23,tbSkills!DH3:DJ6,3,FALSE),0),0)))/100)),(1-(0.25*((-Backdoors!AI12-IF(JO81&gt;=0.45,VLOOKUP(Calculator!E23,tbSkills!DH3:DI6,2,FALSE)+IF(AND(Calculator!B8=TRUE,Backdoors!BI42=TRUE),VLOOKUP(Calculator!E23,tbSkills!DH3:DJ6,3,FALSE),0),0))/100)))),1),"")</f>
        <v>1</v>
      </c>
      <c r="JR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O81)*JQ81)*(VLOOKUP(A81,tbMoveset!A2:C112,3,FALSE)/100)*IF(VLOOKUP(A81,tbMoveset!A2:B112,2,FALSE)="Projectile",Backdoors!N10,Backdoors!N9),0),"")</f>
        <v/>
      </c>
      <c r="JS81" s="49">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45&gt;0,VLOOKUP(Calculator!E45,tbSkills!AC3:AD5,2,FALSE),Backdoors!AL3)*(IF((Backdoors!AI12+IF(JO81&gt;=0.45,VLOOKUP(Calculator!E23,tbSkills!DH3:DI6,2,FALSE)+IF(AND(Calculator!B8=TRUE,Backdoors!BI42=TRUE),VLOOKUP(Calculator!E23,tbSkills!DH3:DJ6,3,FALSE),0),0))&gt;=100,100,(Backdoors!AI12+IF(JO81&gt;=0.45,VLOOKUP(Calculator!E23,tbSkills!DH3:DI6,2,FALSE)+IF(AND(Calculator!B8=TRUE,Backdoors!BI42=TRUE),VLOOKUP(Calculator!E23,tbSkills!DH3:DJ6,3,FALSE),0),0)))/100)),1))*IF(VLOOKUP(A81,tbMoveset!A2:K112,11,FALSE)=TRUE,Backdoors!AC5,1))*JP81,0),"")</f>
        <v>0</v>
      </c>
      <c r="JT81" s="49">
        <f>VLOOKUP(A81,tbMoveset!A2:G112,7,FALSE)*IFERROR(IF(Backdoors!AI12&gt;=0,1+(IF(Calculator!E40&gt;0,VLOOKUP(Calculator!E40,tbSkills!AI3:AJ5,2,FALSE),Backdoors!AL4)*(IF((Backdoors!AI12+IF(JO81&gt;=0.45,VLOOKUP(Calculator!E23,tbSkills!DH3:DI6,2,FALSE)+IF(AND(Calculator!B8=TRUE,Backdoors!BI42=TRUE),VLOOKUP(Calculator!E23,tbSkills!DH3:DJ6,3,FALSE),0),0))&gt;=100,100,(Backdoors!AI12+IF(JO81&gt;=0.45,VLOOKUP(Calculator!E23,tbSkills!DH3:DI6,2,FALSE)+IF(AND(Calculator!B8=TRUE,Backdoors!BI42=TRUE),VLOOKUP(Calculator!E23,tbSkills!DH3:DJ6,3,FALSE),0),0)))/100)),1),1)</f>
        <v>0.7</v>
      </c>
      <c r="JU81" s="87">
        <f t="shared" si="90"/>
        <v>0</v>
      </c>
      <c r="JV81" s="86" t="str">
        <f>IFERROR(IF(VLOOKUP(A81,tbMoveset!A2:B112,2,FALSE)="Sever",Backdoors!AY43/100,IF(VLOOKUP(A81,tbMoveset!A2:B112,2,FALSE)="Blunt",Backdoors!AZ43/100,Backdoors!BA43/100)),"")</f>
        <v/>
      </c>
      <c r="JW81" s="49">
        <f>IFERROR(IF(VLOOKUP(tbMoveset!A81,tbMoveset!A2:H112,8,FALSE)="Other",IF(VLOOKUP(tbMoveset!A81,tbMoveset!A2:I112,9,FALSE)="Fire",Backdoors!BB43,IF(VLOOKUP(tbMoveset!A81,tbMoveset!A2:I112,9,FALSE)="Water",Backdoors!BC43,IF(VLOOKUP(tbMoveset!A81,tbMoveset!A2:I112,9,FALSE)="Thunder",Backdoors!BD43,IF(VLOOKUP(tbMoveset!A81,tbMoveset!A2:I112,9,FALSE)="Ice",Backdoors!BE43,IF(VLOOKUP(tbMoveset!A81,tbMoveset!A2:I112,9,FALSE)="Dragon",Backdoors!BF43,Backdoors!BG43)))))/100,Backdoors!BG43/100),"")</f>
        <v>0</v>
      </c>
      <c r="JX81" s="49">
        <f>IFERROR(IF(VLOOKUP(A81,tbMoveset!A2:J112,10,FALSE)=TRUE,IF((Backdoors!AI12+IF(JV81&gt;=0.45,VLOOKUP(Calculator!E23,tbSkills!DH3:DI6,2,FALSE)+IF(AND(Calculator!B8=TRUE,Backdoors!BI43=TRUE),VLOOKUP(Calculator!E23,tbSkills!DH3:DJ6,3,FALSE),0),0))&gt;=0,1+(Backdoors!AL2*(IF((Backdoors!AI12+IF(JV81&gt;=0.45,VLOOKUP(Calculator!E23,tbSkills!DH3:DI6,2,FALSE)+IF(AND(Calculator!B8=TRUE,Backdoors!BI43=TRUE),VLOOKUP(Calculator!E23,tbSkills!DH3:DJ6,3,FALSE),0),0))&gt;=100,100,(Backdoors!AI12+IF(JV81&gt;=0.45,VLOOKUP(Calculator!E23,tbSkills!DH3:DI6,2,FALSE)+IF(AND(Calculator!B8=TRUE,Backdoors!BI43=TRUE),VLOOKUP(Calculator!E23,tbSkills!DH3:DJ6,3,FALSE),0),0)))/100)),(1-(0.25*((-Backdoors!AI12-IF(JV81&gt;=0.45,VLOOKUP(Calculator!E23,tbSkills!DH3:DI6,2,FALSE)+IF(AND(Calculator!B8=TRUE,Backdoors!BI43=TRUE),VLOOKUP(Calculator!E23,tbSkills!DH3:DJ6,3,FALSE),0),0))/100)))),1),"")</f>
        <v>1</v>
      </c>
      <c r="JY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V81)*JX81)*(VLOOKUP(A81,tbMoveset!A2:C112,3,FALSE)/100)*IF(VLOOKUP(A81,tbMoveset!A2:B112,2,FALSE)="Projectile",Backdoors!N10,Backdoors!N9),0),"")</f>
        <v/>
      </c>
      <c r="JZ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46&gt;0,VLOOKUP(Calculator!E46,tbSkills!AC3:AD5,2,FALSE),Backdoors!AL3)*(IF((Backdoors!AI12+IF(JV81&gt;=0.45,VLOOKUP(Calculator!E23,tbSkills!DH3:DI6,2,FALSE)+IF(AND(Calculator!B8=TRUE,Backdoors!BI43=TRUE),VLOOKUP(Calculator!E23,tbSkills!DH3:DJ6,3,FALSE),0),0))&gt;=100,100,(Backdoors!AI12+IF(JV81&gt;=0.45,VLOOKUP(Calculator!E23,tbSkills!DH3:DI6,2,FALSE)+IF(AND(Calculator!B8=TRUE,Backdoors!BI43=TRUE),VLOOKUP(Calculator!E23,tbSkills!DH3:DJ6,3,FALSE),0),0)))/100)),1))*IF(VLOOKUP(A81,tbMoveset!A2:K112,11,FALSE)=TRUE,Backdoors!AC5,1))*JW81,0),"")</f>
        <v/>
      </c>
      <c r="KA81" s="49">
        <f>VLOOKUP(A81,tbMoveset!A2:G112,7,FALSE)*IFERROR(IF(Backdoors!AI12&gt;=0,1+(IF(Calculator!E40&gt;0,VLOOKUP(Calculator!E40,tbSkills!AI3:AJ5,2,FALSE),Backdoors!AL4)*(IF((Backdoors!AI12+IF(JV81&gt;=0.45,VLOOKUP(Calculator!E23,tbSkills!DH3:DI6,2,FALSE)+IF(AND(Calculator!B8=TRUE,Backdoors!BI43=TRUE),VLOOKUP(Calculator!E23,tbSkills!DH3:DJ6,3,FALSE),0),0))&gt;=100,100,(Backdoors!AI12+IF(JV81&gt;=0.45,VLOOKUP(Calculator!E23,tbSkills!DH3:DI6,2,FALSE)+IF(AND(Calculator!B8=TRUE,Backdoors!BI43=TRUE),VLOOKUP(Calculator!E23,tbSkills!DH3:DJ6,3,FALSE),0),0)))/100)),1),1)</f>
        <v>0.7</v>
      </c>
      <c r="KB81" s="87">
        <f t="shared" si="91"/>
        <v>0</v>
      </c>
      <c r="KC81" s="86" t="str">
        <f>IFERROR(IF(VLOOKUP(A81,tbMoveset!A2:B112,2,FALSE)="Sever",Backdoors!AY44/100,IF(VLOOKUP(A81,tbMoveset!A2:B112,2,FALSE)="Blunt",Backdoors!AZ44/100,Backdoors!BA44/100)),"")</f>
        <v/>
      </c>
      <c r="KD81" s="49">
        <f>IFERROR(IF(VLOOKUP(tbMoveset!A81,tbMoveset!A2:H112,8,FALSE)="Other",IF(VLOOKUP(tbMoveset!A81,tbMoveset!A2:I112,9,FALSE)="Fire",Backdoors!BB44,IF(VLOOKUP(tbMoveset!A81,tbMoveset!A2:I112,9,FALSE)="Water",Backdoors!BC44,IF(VLOOKUP(tbMoveset!A81,tbMoveset!A2:I112,9,FALSE)="Thunder",Backdoors!BD44,IF(VLOOKUP(tbMoveset!A81,tbMoveset!A2:I112,9,FALSE)="Ice",Backdoors!BE44,IF(VLOOKUP(tbMoveset!A81,tbMoveset!A2:I112,9,FALSE)="Dragon",Backdoors!BF44,Backdoors!BG44)))))/100,Backdoors!BG44/100),"")</f>
        <v>0</v>
      </c>
      <c r="KE81" s="49">
        <f>IFERROR(IF(VLOOKUP(A81,tbMoveset!A2:J112,10,FALSE)=TRUE,IF((Backdoors!AI12+IF(KC81&gt;=0.45,VLOOKUP(Calculator!E23,tbSkills!DH3:DI6,2,FALSE)+IF(AND(Calculator!B8=TRUE,Backdoors!BI44=TRUE),VLOOKUP(Calculator!E23,tbSkills!DH3:DJ6,3,FALSE),0),0))&gt;=0,1+(Backdoors!AL2*(IF((Backdoors!AI12+IF(KC81&gt;=0.45,VLOOKUP(Calculator!E23,tbSkills!DH3:DI6,2,FALSE)+IF(AND(Calculator!B8=TRUE,Backdoors!BI44=TRUE),VLOOKUP(Calculator!E23,tbSkills!DH3:DJ6,3,FALSE),0),0))&gt;=100,100,(Backdoors!AI12+IF(KC81&gt;=0.45,VLOOKUP(Calculator!E23,tbSkills!DH3:DI6,2,FALSE)+IF(AND(Calculator!B8=TRUE,Backdoors!BI44=TRUE),VLOOKUP(Calculator!E23,tbSkills!DH3:DJ6,3,FALSE),0),0)))/100)),(1-(0.25*((-Backdoors!AI12-IF(KC81&gt;=0.45,VLOOKUP(Calculator!E23,tbSkills!DH3:DI6,2,FALSE)+IF(AND(Calculator!B8=TRUE,Backdoors!BI44=TRUE),VLOOKUP(Calculator!E23,tbSkills!DH3:DJ6,3,FALSE),0),0))/100)))),1),"")</f>
        <v>1</v>
      </c>
      <c r="KF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KC81)*KE81)*(VLOOKUP(A81,tbMoveset!A2:C112,3,FALSE)/100)*IF(VLOOKUP(A81,tbMoveset!A2:B112,2,FALSE)="Projectile",Backdoors!N10,Backdoors!N9),0),"")</f>
        <v/>
      </c>
      <c r="KG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REF!&gt;0,VLOOKUP(Calculator!#REF!,tbSkills!AC3:AD5,2,FALSE),Backdoors!AL3)*(IF((Backdoors!AI12+IF(KC81&gt;=0.45,VLOOKUP(Calculator!E23,tbSkills!DH3:DI6,2,FALSE)+IF(AND(Calculator!B8=TRUE,Backdoors!BI44=TRUE),VLOOKUP(Calculator!E23,tbSkills!DH3:DJ6,3,FALSE),0),0))&gt;=100,100,(Backdoors!AI12+IF(KC81&gt;=0.45,VLOOKUP(Calculator!E23,tbSkills!DH3:DI6,2,FALSE)+IF(AND(Calculator!B8=TRUE,Backdoors!BI44=TRUE),VLOOKUP(Calculator!E23,tbSkills!DH3:DJ6,3,FALSE),0),0)))/100)),1))*IF(VLOOKUP(A81,tbMoveset!A2:K112,11,FALSE)=TRUE,Backdoors!AC5,1))*KD81,0),"")</f>
        <v/>
      </c>
      <c r="KH81" s="49">
        <f>VLOOKUP(A81,tbMoveset!A2:G112,7,FALSE)*IFERROR(IF(Backdoors!AI12&gt;=0,1+(IF(Calculator!E40&gt;0,VLOOKUP(Calculator!E40,tbSkills!AI3:AJ5,2,FALSE),Backdoors!AL4)*(IF((Backdoors!AI12+IF(KC81&gt;=0.45,VLOOKUP(Calculator!E23,tbSkills!DH3:DI6,2,FALSE)+IF(AND(Calculator!B8=TRUE,Backdoors!BI44=TRUE),VLOOKUP(Calculator!E23,tbSkills!DH3:DJ6,3,FALSE),0),0))&gt;=100,100,(Backdoors!AI12+IF(KC81&gt;=0.45,VLOOKUP(Calculator!E23,tbSkills!DH3:DI6,2,FALSE)+IF(AND(Calculator!B8=TRUE,Backdoors!BI44=TRUE),VLOOKUP(Calculator!E23,tbSkills!DH3:DJ6,3,FALSE),0),0)))/100)),1),1)</f>
        <v>0.7</v>
      </c>
      <c r="KI81" s="87">
        <f t="shared" si="92"/>
        <v>0</v>
      </c>
      <c r="KJ81" s="86" t="str">
        <f>IFERROR(IF(VLOOKUP(A81,tbMoveset!A2:B112,2,FALSE)="Sever",Backdoors!AY45/100,IF(VLOOKUP(A81,tbMoveset!A2:B112,2,FALSE)="Blunt",Backdoors!AZ45/100,Backdoors!BA45/100)),"")</f>
        <v/>
      </c>
      <c r="KK81" s="49">
        <f>IFERROR(IF(VLOOKUP(tbMoveset!A81,tbMoveset!A2:H112,8,FALSE)="Other",IF(VLOOKUP(tbMoveset!A81,tbMoveset!A2:I112,9,FALSE)="Fire",Backdoors!BB45,IF(VLOOKUP(tbMoveset!A81,tbMoveset!A2:I112,9,FALSE)="Water",Backdoors!BC45,IF(VLOOKUP(tbMoveset!A81,tbMoveset!A2:I112,9,FALSE)="Thunder",Backdoors!BD45,IF(VLOOKUP(tbMoveset!A81,tbMoveset!A2:I112,9,FALSE)="Ice",Backdoors!BE45,IF(VLOOKUP(tbMoveset!A81,tbMoveset!A2:I112,9,FALSE)="Dragon",Backdoors!BF45,Backdoors!BG45)))))/100,Backdoors!BG45/100),"")</f>
        <v>0</v>
      </c>
      <c r="KL81" s="49">
        <f>IFERROR(IF(VLOOKUP(A81,tbMoveset!A2:J112,10,FALSE)=TRUE,IF((Backdoors!AI12+IF(KJ81&gt;=0.45,VLOOKUP(Calculator!E23,tbSkills!DH3:DI6,2,FALSE)+IF(AND(Calculator!B8=TRUE,Backdoors!BI45=TRUE),VLOOKUP(Calculator!E23,tbSkills!DH3:DJ6,3,FALSE),0),0))&gt;=0,1+(Backdoors!AL2*(IF((Backdoors!AI12+IF(KJ81&gt;=0.45,VLOOKUP(Calculator!E23,tbSkills!DH3:DI6,2,FALSE)+IF(AND(Calculator!B8=TRUE,Backdoors!BI45=TRUE),VLOOKUP(Calculator!E23,tbSkills!DH3:DJ6,3,FALSE),0),0))&gt;=100,100,(Backdoors!AI12+IF(KJ81&gt;=0.45,VLOOKUP(Calculator!E23,tbSkills!DH3:DI6,2,FALSE)+IF(AND(Calculator!B8=TRUE,Backdoors!BI45=TRUE),VLOOKUP(Calculator!E23,tbSkills!DH3:DJ6,3,FALSE),0),0)))/100)),(1-(0.25*((-Backdoors!AI12-IF(KJ81&gt;=0.45,VLOOKUP(Calculator!E23,tbSkills!DH3:DI6,2,FALSE)+IF(AND(Calculator!B8=TRUE,Backdoors!BI45=TRUE),VLOOKUP(Calculator!E23,tbSkills!DH3:DJ6,3,FALSE),0),0))/100)))),1),"")</f>
        <v>1</v>
      </c>
      <c r="KM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KJ81)*KL81)*(VLOOKUP(A81,tbMoveset!A2:C112,3,FALSE)/100)*IF(VLOOKUP(A81,tbMoveset!A2:B112,2,FALSE)="Projectile",Backdoors!N10,Backdoors!N9),0),"")</f>
        <v/>
      </c>
      <c r="KN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REF!&gt;0,VLOOKUP(Calculator!#REF!,tbSkills!AC3:AD5,2,FALSE),Backdoors!AL3)*(IF((Backdoors!AI12+IF(KJ81&gt;=0.45,VLOOKUP(Calculator!E23,tbSkills!DH3:DI6,2,FALSE)+IF(AND(Calculator!B8=TRUE,Backdoors!BI45=TRUE),VLOOKUP(Calculator!E23,tbSkills!DH3:DJ6,3,FALSE),0),0))&gt;=100,100,(Backdoors!AI12+IF(KJ81&gt;=0.45,VLOOKUP(Calculator!E23,tbSkills!DH3:DI6,2,FALSE)+IF(AND(Calculator!B8=TRUE,Backdoors!BI45=TRUE),VLOOKUP(Calculator!E23,tbSkills!DH3:DJ6,3,FALSE),0),0)))/100)),1))*IF(VLOOKUP(A81,tbMoveset!A2:K112,11,FALSE)=TRUE,Backdoors!AC5,1))*KK81,0),"")</f>
        <v/>
      </c>
      <c r="KO81" s="49">
        <f>VLOOKUP(A81,tbMoveset!A2:G112,7,FALSE)*IFERROR(IF(Backdoors!AI12&gt;=0,1+(IF(Calculator!E40&gt;0,VLOOKUP(Calculator!E40,tbSkills!AI3:AJ5,2,FALSE),Backdoors!AL4)*(IF((Backdoors!AI12+IF(KJ81&gt;=0.45,VLOOKUP(Calculator!E23,tbSkills!DH3:DI6,2,FALSE)+IF(AND(Calculator!B8=TRUE,Backdoors!BI45=TRUE),VLOOKUP(Calculator!E23,tbSkills!DH3:DJ6,3,FALSE),0),0))&gt;=100,100,(Backdoors!AI12+IF(KJ81&gt;=0.45,VLOOKUP(Calculator!E23,tbSkills!DH3:DI6,2,FALSE)+IF(AND(Calculator!B8=TRUE,Backdoors!BI45=TRUE),VLOOKUP(Calculator!E23,tbSkills!DH3:DJ6,3,FALSE),0),0)))/100)),1),1)</f>
        <v>0.7</v>
      </c>
      <c r="KP81" s="87">
        <f t="shared" si="93"/>
        <v>0</v>
      </c>
      <c r="KQ81" s="86" t="str">
        <f>IFERROR(IF(VLOOKUP(A81,tbMoveset!A2:B112,2,FALSE)="Sever",Backdoors!AY46/100,IF(VLOOKUP(A81,tbMoveset!A2:B112,2,FALSE)="Blunt",Backdoors!AZ46/100,Backdoors!BA46/100)),"")</f>
        <v/>
      </c>
      <c r="KR81" s="49">
        <f>IFERROR(IF(VLOOKUP(tbMoveset!A81,tbMoveset!A2:H112,8,FALSE)="Other",IF(VLOOKUP(tbMoveset!A81,tbMoveset!A2:I112,9,FALSE)="Fire",Backdoors!BB46,IF(VLOOKUP(tbMoveset!A81,tbMoveset!A2:I112,9,FALSE)="Water",Backdoors!BC46,IF(VLOOKUP(tbMoveset!A81,tbMoveset!A2:I112,9,FALSE)="Thunder",Backdoors!BD46,IF(VLOOKUP(tbMoveset!A81,tbMoveset!A2:I112,9,FALSE)="Ice",Backdoors!BE46,IF(VLOOKUP(tbMoveset!A81,tbMoveset!A2:I112,9,FALSE)="Dragon",Backdoors!BF46,Backdoors!BG46)))))/100,Backdoors!BG46/100),"")</f>
        <v>0</v>
      </c>
      <c r="KS81" s="49">
        <f>IFERROR(IF(VLOOKUP(A81,tbMoveset!A2:J112,10,FALSE)=TRUE,IF((Backdoors!AI12+IF(KQ81&gt;=0.45,VLOOKUP(Calculator!E23,tbSkills!DH3:DI6,2,FALSE)+IF(AND(Calculator!B8=TRUE,Backdoors!BI46=TRUE),VLOOKUP(Calculator!E23,tbSkills!DH3:DJ6,3,FALSE),0),0))&gt;=0,1+(Backdoors!AL2*(IF((Backdoors!AI12+IF(KQ81&gt;=0.45,VLOOKUP(Calculator!E23,tbSkills!DH3:DI6,2,FALSE)+IF(AND(Calculator!B8=TRUE,Backdoors!BI46=TRUE),VLOOKUP(Calculator!E23,tbSkills!DH3:DJ6,3,FALSE),0),0))&gt;=100,100,(Backdoors!AI12+IF(KQ81&gt;=0.45,VLOOKUP(Calculator!E23,tbSkills!DH3:DI6,2,FALSE)+IF(AND(Calculator!B8=TRUE,Backdoors!BI46=TRUE),VLOOKUP(Calculator!E23,tbSkills!DH3:DJ6,3,FALSE),0),0)))/100)),(1-(0.25*((-Backdoors!AI12-IF(KQ81&gt;=0.45,VLOOKUP(Calculator!E23,tbSkills!DH3:DI6,2,FALSE)+IF(AND(Calculator!B8=TRUE,Backdoors!BI46=TRUE),VLOOKUP(Calculator!E23,tbSkills!DH3:DJ6,3,FALSE),0),0))/100)))),1),"")</f>
        <v>1</v>
      </c>
      <c r="KT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KQ81)*KS81)*(VLOOKUP(A81,tbMoveset!A2:C112,3,FALSE)/100)*IF(VLOOKUP(A81,tbMoveset!A2:B112,2,FALSE)="Projectile",Backdoors!N10,Backdoors!N9),0),"")</f>
        <v/>
      </c>
      <c r="KU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REF!&gt;0,VLOOKUP(Calculator!#REF!,tbSkills!AC3:AD5,2,FALSE),Backdoors!AL3)*(IF((Backdoors!AI12+IF(KQ81&gt;=0.45,VLOOKUP(Calculator!E23,tbSkills!DH3:DI6,2,FALSE)+IF(AND(Calculator!B8=TRUE,Backdoors!BI46=TRUE),VLOOKUP(Calculator!E23,tbSkills!DH3:DJ6,3,FALSE),0),0))&gt;=100,100,(Backdoors!AI12+IF(KQ81&gt;=0.45,VLOOKUP(Calculator!E23,tbSkills!DH3:DI6,2,FALSE)+IF(AND(Calculator!B8=TRUE,Backdoors!BI46=TRUE),VLOOKUP(Calculator!E23,tbSkills!DH3:DJ6,3,FALSE),0),0)))/100)),1))*IF(VLOOKUP(A81,tbMoveset!A2:K112,11,FALSE)=TRUE,Backdoors!AC5,1))*KR81,0),"")</f>
        <v/>
      </c>
      <c r="KV81" s="49">
        <f>VLOOKUP(A81,tbMoveset!A2:G112,7,FALSE)*IFERROR(IF(Backdoors!AI12&gt;=0,1+(IF(Calculator!E40&gt;0,VLOOKUP(Calculator!E40,tbSkills!AI3:AJ5,2,FALSE),Backdoors!AL4)*(IF((Backdoors!AI12+IF(KQ81&gt;=0.45,VLOOKUP(Calculator!E23,tbSkills!DH3:DI6,2,FALSE)+IF(AND(Calculator!B8=TRUE,Backdoors!BI46=TRUE),VLOOKUP(Calculator!E23,tbSkills!DH3:DJ6,3,FALSE),0),0))&gt;=100,100,(Backdoors!AI12+IF(KQ81&gt;=0.45,VLOOKUP(Calculator!E23,tbSkills!DH3:DI6,2,FALSE)+IF(AND(Calculator!B8=TRUE,Backdoors!BI46=TRUE),VLOOKUP(Calculator!E23,tbSkills!DH3:DJ6,3,FALSE),0),0)))/100)),1),1)</f>
        <v>0.7</v>
      </c>
      <c r="KW81" s="87">
        <f t="shared" si="94"/>
        <v>0</v>
      </c>
    </row>
    <row r="82" spans="1:309" x14ac:dyDescent="0.25">
      <c r="A82" s="95" t="str">
        <f>tbMoveset!A82</f>
        <v>Midair Spinning Blade Dance Finisher (R1)</v>
      </c>
      <c r="B82" s="86">
        <f>IFERROR(IF(VLOOKUP(A82,tbMoveset!A2:B112,2,FALSE)="Sever",Backdoors!AY3/100,IF(VLOOKUP(A82,tbMoveset!A2:B112,2,FALSE)="Blunt",Backdoors!AZ3/100,Backdoors!BA3/100)),"")</f>
        <v>0.8</v>
      </c>
      <c r="C82" s="49">
        <f>IFERROR(IF(VLOOKUP(tbMoveset!A82,tbMoveset!A2:H112,8,FALSE)="Other",IF(VLOOKUP(tbMoveset!A82,tbMoveset!A2:I112,9,FALSE)="Fire",Backdoors!BB3,IF(VLOOKUP(tbMoveset!A82,tbMoveset!A2:I112,9,FALSE)="Water",Backdoors!BC3,IF(VLOOKUP(tbMoveset!A82,tbMoveset!A2:I112,9,FALSE)="Thunder",Backdoors!BD3,IF(VLOOKUP(tbMoveset!A82,tbMoveset!A2:I112,9,FALSE)="Ice",Backdoors!BE3,IF(VLOOKUP(tbMoveset!A82,tbMoveset!A2:I112,9,FALSE)="Dragon",Backdoors!BF3,Backdoors!BG3)))))/100,Backdoors!BG3/100),"")</f>
        <v>0</v>
      </c>
      <c r="D82" s="49">
        <f>IFERROR(IF(VLOOKUP(A82,tbMoveset!A2:J112,10,FALSE)=TRUE,IF((Backdoors!AI12+IF(B82&gt;=0.45,VLOOKUP(Calculator!E23,tbSkills!DH3:DI6,2,FALSE)+IF(AND(Calculator!B8=TRUE,Backdoors!BI3=TRUE),VLOOKUP(Calculator!E23,tbSkills!DH3:DJ6,3,FALSE),0),0))&gt;=0,1+(Backdoors!AL2*(IF((Backdoors!AI12+IF(B82&gt;=0.45,VLOOKUP(Calculator!E23,tbSkills!DH3:DI6,2,FALSE)+IF(AND(Calculator!B8=TRUE,Backdoors!BI3=TRUE),VLOOKUP(Calculator!E23,tbSkills!DH3:DJ6,3,FALSE),0),0))&gt;=100,100,(Backdoors!AI12+IF(B82&gt;=0.45,VLOOKUP(Calculator!E23,tbSkills!DH3:DI6,2,FALSE)+IF(AND(Calculator!B8=TRUE,Backdoors!BI3=TRUE),VLOOKUP(Calculator!E23,tbSkills!DH3:DJ6,3,FALSE),0),0)))/100)),(1-(0.25*((-Backdoors!AI12-IF(B82&gt;=0.45,VLOOKUP(Calculator!E23,tbSkills!DH3:DI6,2,FALSE)+IF(AND(Calculator!B8=TRUE,Backdoors!BI3=TRUE),VLOOKUP(Calculator!E23,tbSkills!DH3:DJ6,3,FALSE),0),0))/100)))),1),"")</f>
        <v>1</v>
      </c>
      <c r="E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82)*D82)*(VLOOKUP(A82,tbMoveset!A2:C112,3,FALSE)/100)*IF(VLOOKUP(A82,tbMoveset!A2:B112,2,FALSE)="Projectile",Backdoors!N10,Backdoors!N9),0),"")</f>
        <v>13</v>
      </c>
      <c r="F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82&gt;=0.45,VLOOKUP(Calculator!E23,tbSkills!DH3:DI6,2,FALSE)+IF(AND(Calculator!B8=TRUE,Backdoors!BI3=TRUE),VLOOKUP(Calculator!E23,tbSkills!DH3:DJ6,3,FALSE),0),0))&gt;=100,100,(Backdoors!AI12+IF(B82&gt;=0.45,VLOOKUP(Calculator!E23,tbSkills!DH3:DI6,2,FALSE)+IF(AND(Calculator!B8=TRUE,Backdoors!BI3=TRUE),VLOOKUP(Calculator!E23,tbSkills!DH3:DJ6,3,FALSE),0),0)))/100)),1))*IF(VLOOKUP(A82,tbMoveset!A2:K112,11,FALSE)=TRUE,Backdoors!AC5,1))*C82,0),"")</f>
        <v>0</v>
      </c>
      <c r="G82">
        <f>VLOOKUP(A82,tbMoveset!A2:G112,7,FALSE)*IFERROR(IF(Backdoors!AI12&gt;=0,1+(IF(Calculator!E40&gt;0,VLOOKUP(Calculator!E40,tbSkills!AI3:AJ5,2,FALSE),Backdoors!AL4)*(IF((Backdoors!AI12+IF(B82&gt;=0.45,VLOOKUP(Calculator!E23,tbSkills!DH3:DI6,2,FALSE)+IF(AND(Calculator!B8=TRUE,Backdoors!BI3=TRUE),VLOOKUP(Calculator!E23,tbSkills!DH3:DJ6,3,FALSE),0),0))&gt;=100,100,(Backdoors!AI12+IF(B82&gt;=0.45,VLOOKUP(Calculator!E23,tbSkills!DH3:DI6,2,FALSE)+IF(AND(Calculator!B8=TRUE,Backdoors!BI3=TRUE),VLOOKUP(Calculator!E23,tbSkills!DH3:DJ6,3,FALSE),0),0)))/100)),1),1)</f>
        <v>0.7</v>
      </c>
      <c r="H82" s="87">
        <f t="shared" si="51"/>
        <v>13</v>
      </c>
      <c r="I82" s="86">
        <f>IFERROR(IF(VLOOKUP(A82,tbMoveset!A2:B112,2,FALSE)="Sever",Backdoors!AY4/100,IF(VLOOKUP(A82,tbMoveset!A2:B112,2,FALSE)="Blunt",Backdoors!AZ4/100,Backdoors!BA4/100)),"")</f>
        <v>0.65</v>
      </c>
      <c r="J82" s="49">
        <f>IFERROR(IF(VLOOKUP(tbMoveset!A82,tbMoveset!A2:H112,8,FALSE)="Other",IF(VLOOKUP(tbMoveset!A82,tbMoveset!A2:I112,9,FALSE)="Fire",Backdoors!BB4,IF(VLOOKUP(tbMoveset!A82,tbMoveset!A2:I112,9,FALSE)="Water",Backdoors!BC4,IF(VLOOKUP(tbMoveset!A82,tbMoveset!A2:I112,9,FALSE)="Thunder",Backdoors!BD4,IF(VLOOKUP(tbMoveset!A82,tbMoveset!A2:I112,9,FALSE)="Ice",Backdoors!BE4,IF(VLOOKUP(tbMoveset!A82,tbMoveset!A2:I112,9,FALSE)="Dragon",Backdoors!BF4,Backdoors!BG4)))))/100,Backdoors!BG4/100),"")</f>
        <v>0</v>
      </c>
      <c r="K82" s="49">
        <f>IFERROR(IF(VLOOKUP(A82,tbMoveset!A2:J112,10,FALSE)=TRUE,IF((Backdoors!AI12+IF(I82&gt;=0.45,VLOOKUP(Calculator!E23,tbSkills!DH3:DI6,2,FALSE)+IF(AND(Calculator!B8=TRUE,Backdoors!BI4=TRUE),VLOOKUP(Calculator!E23,tbSkills!DH3:DJ6,3,FALSE),0),0))&gt;=0,1+(Backdoors!AL2*(IF((Backdoors!AI12+IF(I82&gt;=0.45,VLOOKUP(Calculator!E23,tbSkills!DH3:DI6,2,FALSE)+IF(AND(Calculator!B8=TRUE,Backdoors!BI4=TRUE),VLOOKUP(Calculator!E23,tbSkills!DH3:DJ6,3,FALSE),0),0))&gt;=100,100,(Backdoors!AI12+IF(I82&gt;=0.45,VLOOKUP(Calculator!E23,tbSkills!DH3:DI6,2,FALSE)+IF(AND(Calculator!B8=TRUE,Backdoors!BI4=TRUE),VLOOKUP(Calculator!E23,tbSkills!DH3:DJ6,3,FALSE),0),0)))/100)),(1-(0.25*((-Backdoors!AI12-IF(I82&gt;=0.45,VLOOKUP(Calculator!E23,tbSkills!DH3:DI6,2,FALSE)+IF(AND(Calculator!B8=TRUE,Backdoors!BI4=TRUE),VLOOKUP(Calculator!E23,tbSkills!DH3:DJ6,3,FALSE),0),0))/100)))),1),"")</f>
        <v>1</v>
      </c>
      <c r="L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82)*K82)*(VLOOKUP(A82,tbMoveset!A2:C112,3,FALSE)/100)*IF(VLOOKUP(A82,tbMoveset!A2:B112,2,FALSE)="Projectile",Backdoors!N10,Backdoors!N9),0),"")</f>
        <v>11</v>
      </c>
      <c r="M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I82&gt;=0.45,VLOOKUP(Calculator!E23,tbSkills!DH3:DI6,2,FALSE)+IF(AND(Calculator!B8=TRUE,Backdoors!BI4=TRUE),VLOOKUP(Calculator!E23,tbSkills!DH3:DJ6,3,FALSE),0),0))&gt;=100,100,(Backdoors!AI12+IF(I82&gt;=0.45,VLOOKUP(Calculator!E23,tbSkills!DH3:DI6,2,FALSE)+IF(AND(Calculator!B8=TRUE,Backdoors!BI4=TRUE),VLOOKUP(Calculator!E23,tbSkills!DH3:DJ6,3,FALSE),0),0)))/100)),1))*IF(VLOOKUP(A82,tbMoveset!A2:K112,11,FALSE)=TRUE,Backdoors!AC5,1))*J82,0),"")</f>
        <v>0</v>
      </c>
      <c r="N82" s="49">
        <f>VLOOKUP(A82,tbMoveset!A2:G112,7,FALSE)*IFERROR(IF(Backdoors!AI12&gt;=0,1+(IF(Calculator!E40&gt;0,VLOOKUP(Calculator!E40,tbSkills!AI3:AJ5,2,FALSE),Backdoors!AL4)*(IF((Backdoors!AI12+IF(I82&gt;=0.45,VLOOKUP(Calculator!E23,tbSkills!DH3:DI6,2,FALSE)+IF(AND(Calculator!B8=TRUE,Backdoors!BI4=TRUE),VLOOKUP(Calculator!E23,tbSkills!DH3:DJ6,3,FALSE),0),0))&gt;=100,100,(Backdoors!AI12+IF(I82&gt;=0.45,VLOOKUP(Calculator!E23,tbSkills!DH3:DI6,2,FALSE)+IF(AND(Calculator!B8=TRUE,Backdoors!BI4=TRUE),VLOOKUP(Calculator!E23,tbSkills!DH3:DJ6,3,FALSE),0),0)))/100)),1),1)</f>
        <v>0.7</v>
      </c>
      <c r="O82" s="87">
        <f t="shared" si="52"/>
        <v>11</v>
      </c>
      <c r="P82" s="86">
        <f>IFERROR(IF(VLOOKUP(A82,tbMoveset!A2:B112,2,FALSE)="Sever",Backdoors!AY5/100,IF(VLOOKUP(A82,tbMoveset!A2:B112,2,FALSE)="Blunt",Backdoors!AZ5/100,Backdoors!BA5/100)),"")</f>
        <v>0.5</v>
      </c>
      <c r="Q82" s="49">
        <f>IFERROR(IF(VLOOKUP(tbMoveset!A82,tbMoveset!A2:H112,8,FALSE)="Other",IF(VLOOKUP(tbMoveset!A82,tbMoveset!A2:I112,9,FALSE)="Fire",Backdoors!BB5,IF(VLOOKUP(tbMoveset!A82,tbMoveset!A2:I112,9,FALSE)="Water",Backdoors!BC5,IF(VLOOKUP(tbMoveset!A82,tbMoveset!A2:I112,9,FALSE)="Thunder",Backdoors!BD5,IF(VLOOKUP(tbMoveset!A82,tbMoveset!A2:I112,9,FALSE)="Ice",Backdoors!BE5,IF(VLOOKUP(tbMoveset!A82,tbMoveset!A2:I112,9,FALSE)="Dragon",Backdoors!BF5,Backdoors!BG5)))))/100,Backdoors!BG5/100),"")</f>
        <v>0</v>
      </c>
      <c r="R82" s="49">
        <f>IFERROR(IF(VLOOKUP(A82,tbMoveset!A2:J112,10,FALSE)=TRUE,IF((Backdoors!AI12+IF(P82&gt;=0.45,VLOOKUP(Calculator!E23,tbSkills!DH3:DI6,2,FALSE)+IF(AND(Calculator!B8=TRUE,Backdoors!BI5=TRUE),VLOOKUP(Calculator!E23,tbSkills!DH3:DJ6,3,FALSE),0),0))&gt;=0,1+(Backdoors!AL2*(IF((Backdoors!AI12+IF(P82&gt;=0.45,VLOOKUP(Calculator!E23,tbSkills!DH3:DI6,2,FALSE)+IF(AND(Calculator!B8=TRUE,Backdoors!BI5=TRUE),VLOOKUP(Calculator!E23,tbSkills!DH3:DJ6,3,FALSE),0),0))&gt;=100,100,(Backdoors!AI12+IF(P82&gt;=0.45,VLOOKUP(Calculator!E23,tbSkills!DH3:DI6,2,FALSE)+IF(AND(Calculator!B8=TRUE,Backdoors!BI5=TRUE),VLOOKUP(Calculator!E23,tbSkills!DH3:DJ6,3,FALSE),0),0)))/100)),(1-(0.25*((-Backdoors!AI12-IF(P82&gt;=0.45,VLOOKUP(Calculator!E23,tbSkills!DH3:DI6,2,FALSE)+IF(AND(Calculator!B8=TRUE,Backdoors!BI5=TRUE),VLOOKUP(Calculator!E23,tbSkills!DH3:DJ6,3,FALSE),0),0))/100)))),1),"")</f>
        <v>1</v>
      </c>
      <c r="S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P82)*R82)*(VLOOKUP(A82,tbMoveset!A2:C112,3,FALSE)/100)*IF(VLOOKUP(A82,tbMoveset!A2:B112,2,FALSE)="Projectile",Backdoors!N10,Backdoors!N9),0),"")</f>
        <v>8</v>
      </c>
      <c r="T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P82&gt;=0.45,VLOOKUP(Calculator!E23,tbSkills!DH3:DI6,2,FALSE)+IF(AND(Calculator!B8=TRUE,Backdoors!BI5=TRUE),VLOOKUP(Calculator!E23,tbSkills!DH3:DJ6,3,FALSE),0),0))&gt;=100,100,(Backdoors!AI12+IF(P82&gt;=0.45,VLOOKUP(Calculator!E23,tbSkills!DH3:DI6,2,FALSE)+IF(AND(Calculator!B8=TRUE,Backdoors!BI5=TRUE),VLOOKUP(Calculator!E23,tbSkills!DH3:DJ6,3,FALSE),0),0)))/100)),1))*IF(VLOOKUP(A82,tbMoveset!A2:K112,11,FALSE)=TRUE,Backdoors!AC5,1))*Q82,0),"")</f>
        <v>0</v>
      </c>
      <c r="U82" s="49">
        <f>VLOOKUP(A82,tbMoveset!A2:G112,7,FALSE)*IFERROR(IF(Backdoors!AI12&gt;=0,1+(IF(Calculator!E40&gt;0,VLOOKUP(Calculator!E40,tbSkills!AI3:AJ5,2,FALSE),Backdoors!AL4)*(IF((Backdoors!AI12+IF(P82&gt;=0.45,VLOOKUP(Calculator!E23,tbSkills!DH3:DI6,2,FALSE)+IF(AND(Calculator!B8=TRUE,Backdoors!BI5=TRUE),VLOOKUP(Calculator!E23,tbSkills!DH3:DJ6,3,FALSE),0),0))&gt;=100,100,(Backdoors!AI12+IF(P82&gt;=0.45,VLOOKUP(Calculator!E23,tbSkills!DH3:DI6,2,FALSE)+IF(AND(Calculator!B8=TRUE,Backdoors!BI5=TRUE),VLOOKUP(Calculator!E23,tbSkills!DH3:DJ6,3,FALSE),0),0)))/100)),1),1)</f>
        <v>0.7</v>
      </c>
      <c r="V82" s="87">
        <f t="shared" si="53"/>
        <v>8</v>
      </c>
      <c r="W82" s="86">
        <f>IFERROR(IF(VLOOKUP(A82,tbMoveset!A2:B112,2,FALSE)="Sever",Backdoors!AY6/100,IF(VLOOKUP(A82,tbMoveset!A2:B112,2,FALSE)="Blunt",Backdoors!AZ6/100,Backdoors!BA6/100)),"")</f>
        <v>0.45</v>
      </c>
      <c r="X82" s="49">
        <f>IFERROR(IF(VLOOKUP(tbMoveset!A82,tbMoveset!A2:H112,8,FALSE)="Other",IF(VLOOKUP(tbMoveset!A82,tbMoveset!A2:I112,9,FALSE)="Fire",Backdoors!BB6,IF(VLOOKUP(tbMoveset!A82,tbMoveset!A2:I112,9,FALSE)="Water",Backdoors!BC6,IF(VLOOKUP(tbMoveset!A82,tbMoveset!A2:I112,9,FALSE)="Thunder",Backdoors!BD6,IF(VLOOKUP(tbMoveset!A82,tbMoveset!A2:I112,9,FALSE)="Ice",Backdoors!BE6,IF(VLOOKUP(tbMoveset!A82,tbMoveset!A2:I112,9,FALSE)="Dragon",Backdoors!BF6,Backdoors!BG6)))))/100,Backdoors!BG6/100),"")</f>
        <v>0</v>
      </c>
      <c r="Y82" s="49">
        <f>IFERROR(IF(VLOOKUP(A82,tbMoveset!A2:J112,10,FALSE)=TRUE,IF((Backdoors!AI12+IF(W82&gt;=0.45,VLOOKUP(Calculator!E23,tbSkills!DH3:DI6,2,FALSE)+IF(AND(Calculator!B8=TRUE,Backdoors!BI6=TRUE),VLOOKUP(Calculator!E23,tbSkills!DH3:DJ6,3,FALSE),0),0))&gt;=0,1+(Backdoors!AL2*(IF((Backdoors!AI12+IF(W82&gt;=0.45,VLOOKUP(Calculator!E23,tbSkills!DH3:DI6,2,FALSE)+IF(AND(Calculator!B8=TRUE,Backdoors!BI6=TRUE),VLOOKUP(Calculator!E23,tbSkills!DH3:DJ6,3,FALSE),0),0))&gt;=100,100,(Backdoors!AI12+IF(W82&gt;=0.45,VLOOKUP(Calculator!E23,tbSkills!DH3:DI6,2,FALSE)+IF(AND(Calculator!B8=TRUE,Backdoors!BI6=TRUE),VLOOKUP(Calculator!E23,tbSkills!DH3:DJ6,3,FALSE),0),0)))/100)),(1-(0.25*((-Backdoors!AI12-IF(W82&gt;=0.45,VLOOKUP(Calculator!E23,tbSkills!DH3:DI6,2,FALSE)+IF(AND(Calculator!B8=TRUE,Backdoors!BI6=TRUE),VLOOKUP(Calculator!E23,tbSkills!DH3:DJ6,3,FALSE),0),0))/100)))),1),"")</f>
        <v>1</v>
      </c>
      <c r="Z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W82)*Y82)*(VLOOKUP(A82,tbMoveset!A2:C112,3,FALSE)/100)*IF(VLOOKUP(A82,tbMoveset!A2:B112,2,FALSE)="Projectile",Backdoors!N10,Backdoors!N9),0),"")</f>
        <v>8</v>
      </c>
      <c r="AA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W82&gt;=0.45,VLOOKUP(Calculator!E23,tbSkills!DH3:DI6,2,FALSE)+IF(AND(Calculator!B8=TRUE,Backdoors!BI6=TRUE),VLOOKUP(Calculator!E23,tbSkills!DH3:DJ6,3,FALSE),0),0))&gt;=100,100,(Backdoors!AI12+IF(W82&gt;=0.45,VLOOKUP(Calculator!E23,tbSkills!DH3:DI6,2,FALSE)+IF(AND(Calculator!B8=TRUE,Backdoors!BI6=TRUE),VLOOKUP(Calculator!E23,tbSkills!DH3:DJ6,3,FALSE),0),0)))/100)),1))*IF(VLOOKUP(A82,tbMoveset!A2:K112,11,FALSE)=TRUE,Backdoors!AC5,1))*X82,0),"")</f>
        <v>0</v>
      </c>
      <c r="AB82" s="49">
        <f>VLOOKUP(A82,tbMoveset!A2:G112,7,FALSE)*IFERROR(IF(Backdoors!AI12&gt;=0,1+(IF(Calculator!E40&gt;0,VLOOKUP(Calculator!E40,tbSkills!AI3:AJ5,2,FALSE),Backdoors!AL4)*(IF((Backdoors!AI12+IF(W82&gt;=0.45,VLOOKUP(Calculator!E23,tbSkills!DH3:DI6,2,FALSE)+IF(AND(Calculator!B8=TRUE,Backdoors!BI6=TRUE),VLOOKUP(Calculator!E23,tbSkills!DH3:DJ6,3,FALSE),0),0))&gt;=100,100,(Backdoors!AI12+IF(W82&gt;=0.45,VLOOKUP(Calculator!E23,tbSkills!DH3:DI6,2,FALSE)+IF(AND(Calculator!B8=TRUE,Backdoors!BI6=TRUE),VLOOKUP(Calculator!E23,tbSkills!DH3:DJ6,3,FALSE),0),0)))/100)),1),1)</f>
        <v>0.7</v>
      </c>
      <c r="AC82" s="87">
        <f t="shared" si="54"/>
        <v>8</v>
      </c>
      <c r="AD82" s="86">
        <f>IFERROR(IF(VLOOKUP(A82,tbMoveset!A2:B112,2,FALSE)="Sever",Backdoors!AY7/100,IF(VLOOKUP(A82,tbMoveset!A2:B112,2,FALSE)="Blunt",Backdoors!AZ7/100,Backdoors!BA7/100)),"")</f>
        <v>0.65</v>
      </c>
      <c r="AE82" s="49">
        <f>IFERROR(IF(VLOOKUP(tbMoveset!A82,tbMoveset!A2:H112,8,FALSE)="Other",IF(VLOOKUP(tbMoveset!A82,tbMoveset!A2:I112,9,FALSE)="Fire",Backdoors!BB7,IF(VLOOKUP(tbMoveset!A82,tbMoveset!A2:I112,9,FALSE)="Water",Backdoors!BC7,IF(VLOOKUP(tbMoveset!A82,tbMoveset!A2:I112,9,FALSE)="Thunder",Backdoors!BD7,IF(VLOOKUP(tbMoveset!A82,tbMoveset!A2:I112,9,FALSE)="Ice",Backdoors!BE7,IF(VLOOKUP(tbMoveset!A82,tbMoveset!A2:I112,9,FALSE)="Dragon",Backdoors!BF7,Backdoors!BG7)))))/100,Backdoors!BG7/100),"")</f>
        <v>0</v>
      </c>
      <c r="AF82" s="49">
        <f>IFERROR(IF(VLOOKUP(A82,tbMoveset!A2:J112,10,FALSE)=TRUE,IF((Backdoors!AI12+IF(AD82&gt;=0.45,VLOOKUP(Calculator!E23,tbSkills!DH3:DI6,2,FALSE)+IF(AND(Calculator!B8=TRUE,Backdoors!BI7=TRUE),VLOOKUP(Calculator!E23,tbSkills!DH3:DJ6,3,FALSE),0),0))&gt;=0,1+(Backdoors!AL2*(IF((Backdoors!AI12+IF(AD82&gt;=0.45,VLOOKUP(Calculator!E23,tbSkills!DH3:DI6,2,FALSE)+IF(AND(Calculator!B8=TRUE,Backdoors!BI7=TRUE),VLOOKUP(Calculator!E23,tbSkills!DH3:DJ6,3,FALSE),0),0))&gt;=100,100,(Backdoors!AI12+IF(AD82&gt;=0.45,VLOOKUP(Calculator!E23,tbSkills!DH3:DI6,2,FALSE)+IF(AND(Calculator!B8=TRUE,Backdoors!BI7=TRUE),VLOOKUP(Calculator!E23,tbSkills!DH3:DJ6,3,FALSE),0),0)))/100)),(1-(0.25*((-Backdoors!AI12-IF(AD82&gt;=0.45,VLOOKUP(Calculator!E23,tbSkills!DH3:DI6,2,FALSE)+IF(AND(Calculator!B8=TRUE,Backdoors!BI7=TRUE),VLOOKUP(Calculator!E23,tbSkills!DH3:DJ6,3,FALSE),0),0))/100)))),1),"")</f>
        <v>1</v>
      </c>
      <c r="AG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D82)*AF82)*(VLOOKUP(A82,tbMoveset!A2:C112,3,FALSE)/100)*IF(VLOOKUP(A82,tbMoveset!A2:B112,2,FALSE)="Projectile",Backdoors!N10,Backdoors!N9),0),"")</f>
        <v>11</v>
      </c>
      <c r="AH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D82&gt;=0.45,VLOOKUP(Calculator!E23,tbSkills!DH3:DI6,2,FALSE)+IF(AND(Calculator!B8=TRUE,Backdoors!BI7=TRUE),VLOOKUP(Calculator!E23,tbSkills!DH3:DJ6,3,FALSE),0),0))&gt;=100,100,(Backdoors!AI12+IF(AD82&gt;=0.45,VLOOKUP(Calculator!E23,tbSkills!DH3:DI6,2,FALSE)+IF(AND(Calculator!B8=TRUE,Backdoors!BI7=TRUE),VLOOKUP(Calculator!E23,tbSkills!DH3:DJ6,3,FALSE),0),0)))/100)),1))*IF(VLOOKUP(A82,tbMoveset!A2:K112,11,FALSE)=TRUE,Backdoors!AC5,1))*AE82,0),"")</f>
        <v>0</v>
      </c>
      <c r="AI82" s="49">
        <f>VLOOKUP(A82,tbMoveset!A2:G112,7,FALSE)*IFERROR(IF(Backdoors!AI12&gt;=0,1+(IF(Calculator!E40&gt;0,VLOOKUP(Calculator!E40,tbSkills!AI3:AJ5,2,FALSE),Backdoors!AL4)*(IF((Backdoors!AI12+IF(AD82&gt;=0.45,VLOOKUP(Calculator!E23,tbSkills!DH3:DI6,2,FALSE)+IF(AND(Calculator!B8=TRUE,Backdoors!BI7=TRUE),VLOOKUP(Calculator!E23,tbSkills!DH3:DJ6,3,FALSE),0),0))&gt;=100,100,(Backdoors!AI12+IF(AD82&gt;=0.45,VLOOKUP(Calculator!E23,tbSkills!DH3:DI6,2,FALSE)+IF(AND(Calculator!B8=TRUE,Backdoors!BI7=TRUE),VLOOKUP(Calculator!E23,tbSkills!DH3:DJ6,3,FALSE),0),0)))/100)),1),1)</f>
        <v>0.7</v>
      </c>
      <c r="AJ82" s="87">
        <f t="shared" si="55"/>
        <v>11</v>
      </c>
      <c r="AK82" s="91">
        <f>IFERROR(IF(VLOOKUP(A82,tbMoveset!A2:B112,2,FALSE)="Sever",Backdoors!AY8/100,IF(VLOOKUP(A82,tbMoveset!A2:B112,2,FALSE)="Blunt",Backdoors!AZ8/100,Backdoors!BA8/100)),"")</f>
        <v>0.45</v>
      </c>
      <c r="AL82" s="49">
        <f>IFERROR(IF(VLOOKUP(tbMoveset!A82,tbMoveset!A2:H112,8,FALSE)="Other",IF(VLOOKUP(tbMoveset!A82,tbMoveset!A2:I112,9,FALSE)="Fire",Backdoors!BB8,IF(VLOOKUP(tbMoveset!A82,tbMoveset!A2:I112,9,FALSE)="Water",Backdoors!BC8,IF(VLOOKUP(tbMoveset!A82,tbMoveset!A2:I112,9,FALSE)="Thunder",Backdoors!BD8,IF(VLOOKUP(tbMoveset!A82,tbMoveset!A2:I112,9,FALSE)="Ice",Backdoors!BE8,IF(VLOOKUP(tbMoveset!A82,tbMoveset!A2:I112,9,FALSE)="Dragon",Backdoors!BF8,Backdoors!BG8)))))/100,Backdoors!BG8/100),"")</f>
        <v>0</v>
      </c>
      <c r="AM82" s="49">
        <f>IFERROR(IF(VLOOKUP(A82,tbMoveset!A2:J112,10,FALSE)=TRUE,IF((Backdoors!AI12+IF(AK82&gt;=0.45,VLOOKUP(Calculator!E23,tbSkills!DH3:DI6,2,FALSE)+IF(AND(Calculator!B8=TRUE,Backdoors!BI8=TRUE),VLOOKUP(Calculator!E23,tbSkills!DH3:DJ6,3,FALSE),0),0))&gt;=0,1+(Backdoors!AL2*(IF((Backdoors!AI12+IF(AK82&gt;=0.45,VLOOKUP(Calculator!E23,tbSkills!DH3:DI6,2,FALSE)+IF(AND(Calculator!B8=TRUE,Backdoors!BI8=TRUE),VLOOKUP(Calculator!E23,tbSkills!DH3:DJ6,3,FALSE),0),0))&gt;=100,100,(Backdoors!AI12+IF(AK82&gt;=0.45,VLOOKUP(Calculator!E23,tbSkills!DH3:DI6,2,FALSE)+IF(AND(Calculator!B8=TRUE,Backdoors!BI8=TRUE),VLOOKUP(Calculator!E23,tbSkills!DH3:DJ6,3,FALSE),0),0)))/100)),(1-(0.25*((-Backdoors!AI12-IF(AK82&gt;=0.45,VLOOKUP(Calculator!E23,tbSkills!DH3:DI6,2,FALSE)+IF(AND(Calculator!B8=TRUE,Backdoors!BI8=TRUE),VLOOKUP(Calculator!E23,tbSkills!DH3:DJ6,3,FALSE),0),0))/100)))),1),"")</f>
        <v>1</v>
      </c>
      <c r="AN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K82)*AM82)*(VLOOKUP(A82,tbMoveset!A2:C112,3,FALSE)/100)*IF(VLOOKUP(A82,tbMoveset!A2:B112,2,FALSE)="Projectile",Backdoors!N10,Backdoors!N9),0),"")</f>
        <v>8</v>
      </c>
      <c r="AO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K82&gt;=0.45,VLOOKUP(Calculator!E23,tbSkills!DH3:DI6,2,FALSE)+IF(AND(Calculator!B8=TRUE,Backdoors!BI8=TRUE),VLOOKUP(Calculator!E23,tbSkills!DH3:DJ6,3,FALSE),0),0))&gt;=100,100,(Backdoors!AI12+IF(AK82&gt;=0.45,VLOOKUP(Calculator!E23,tbSkills!DH3:DI6,2,FALSE)+IF(AND(Calculator!B8=TRUE,Backdoors!BI8=TRUE),VLOOKUP(Calculator!E23,tbSkills!DH3:DJ6,3,FALSE),0),0)))/100)),1))*IF(VLOOKUP(A82,tbMoveset!A2:K112,11,FALSE)=TRUE,Backdoors!AC5,1))*AL82,0),"")</f>
        <v>0</v>
      </c>
      <c r="AP82" s="49">
        <f>VLOOKUP(A82,tbMoveset!A2:G112,7,FALSE)*IFERROR(IF(Backdoors!AI12&gt;=0,1+(IF(Calculator!E40&gt;0,VLOOKUP(Calculator!E40,tbSkills!AI3:AJ5,2,FALSE),Backdoors!AL4)*(IF((Backdoors!AI12+IF(AK82&gt;=0.45,VLOOKUP(Calculator!E23,tbSkills!DH3:DI6,2,FALSE)+IF(AND(Calculator!B8=TRUE,Backdoors!BI8=TRUE),VLOOKUP(Calculator!E23,tbSkills!DH3:DJ6,3,FALSE),0),0))&gt;=100,100,(Backdoors!AI12+IF(AK82&gt;=0.45,VLOOKUP(Calculator!E23,tbSkills!DH3:DI6,2,FALSE)+IF(AND(Calculator!B8=TRUE,Backdoors!BI8=TRUE),VLOOKUP(Calculator!E23,tbSkills!DH3:DJ6,3,FALSE),0),0)))/100)),1),1)</f>
        <v>0.7</v>
      </c>
      <c r="AQ82" s="87">
        <f t="shared" si="56"/>
        <v>8</v>
      </c>
      <c r="AR82" s="86">
        <f>IFERROR(IF(VLOOKUP(A82,tbMoveset!A2:B112,2,FALSE)="Sever",Backdoors!AY9/100,IF(VLOOKUP(A82,tbMoveset!A2:B112,2,FALSE)="Blunt",Backdoors!AZ9/100,Backdoors!BA9/100)),"")</f>
        <v>0.45</v>
      </c>
      <c r="AS82" s="49">
        <f>IFERROR(IF(VLOOKUP(tbMoveset!A82,tbMoveset!A2:H112,8,FALSE)="Other",IF(VLOOKUP(tbMoveset!A82,tbMoveset!A2:I112,9,FALSE)="Fire",Backdoors!BB9,IF(VLOOKUP(tbMoveset!A82,tbMoveset!A2:I112,9,FALSE)="Water",Backdoors!BC9,IF(VLOOKUP(tbMoveset!A82,tbMoveset!A2:I112,9,FALSE)="Thunder",Backdoors!BD9,IF(VLOOKUP(tbMoveset!A82,tbMoveset!A2:I112,9,FALSE)="Ice",Backdoors!BE9,IF(VLOOKUP(tbMoveset!A82,tbMoveset!A2:I112,9,FALSE)="Dragon",Backdoors!BF9,Backdoors!BG9)))))/100,Backdoors!BG9/100),"")</f>
        <v>0</v>
      </c>
      <c r="AT82" s="49">
        <f>IFERROR(IF(VLOOKUP(A82,tbMoveset!A2:J112,10,FALSE)=TRUE,IF((Backdoors!AI12+IF(AR82&gt;=0.45,VLOOKUP(Calculator!E23,tbSkills!DH3:DI6,2,FALSE)+IF(AND(Calculator!B8=TRUE,Backdoors!BI9=TRUE),VLOOKUP(Calculator!E23,tbSkills!DH3:DJ6,3,FALSE),0),0))&gt;=0,1+(Backdoors!AL2*(IF((Backdoors!AI12+IF(AR82&gt;=0.45,VLOOKUP(Calculator!E23,tbSkills!DH3:DI6,2,FALSE)+IF(AND(Calculator!B8=TRUE,Backdoors!BI9=TRUE),VLOOKUP(Calculator!E23,tbSkills!DH3:DJ6,3,FALSE),0),0))&gt;=100,100,(Backdoors!AI12+IF(AR82&gt;=0.45,VLOOKUP(Calculator!E23,tbSkills!DH3:DI6,2,FALSE)+IF(AND(Calculator!B8=TRUE,Backdoors!BI9=TRUE),VLOOKUP(Calculator!E23,tbSkills!DH3:DJ6,3,FALSE),0),0)))/100)),(1-(0.25*((-Backdoors!AI12-IF(AR82&gt;=0.45,VLOOKUP(Calculator!E23,tbSkills!DH3:DI6,2,FALSE)+IF(AND(Calculator!B8=TRUE,Backdoors!BI9=TRUE),VLOOKUP(Calculator!E23,tbSkills!DH3:DJ6,3,FALSE),0),0))/100)))),1),"")</f>
        <v>1</v>
      </c>
      <c r="AU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R82)*AT82)*(VLOOKUP(A82,tbMoveset!A2:C112,3,FALSE)/100)*IF(VLOOKUP(A82,tbMoveset!A2:B112,2,FALSE)="Projectile",Backdoors!N10,Backdoors!N9),0),"")</f>
        <v>8</v>
      </c>
      <c r="AV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R82&gt;=0.45,VLOOKUP(Calculator!E23,tbSkills!DH3:DI6,2,FALSE)+IF(AND(Calculator!B8=TRUE,Backdoors!BI9=TRUE),VLOOKUP(Calculator!E23,tbSkills!DH3:DJ6,3,FALSE),0),0))&gt;=100,100,(Backdoors!AI12+IF(AR82&gt;=0.45,VLOOKUP(Calculator!E23,tbSkills!DH3:DI6,2,FALSE)+IF(AND(Calculator!B8=TRUE,Backdoors!BI9=TRUE),VLOOKUP(Calculator!E23,tbSkills!DH3:DJ6,3,FALSE),0),0)))/100)),1))*IF(VLOOKUP(A82,tbMoveset!A2:K112,11,FALSE)=TRUE,Backdoors!AC5,1))*AS82,0),"")</f>
        <v>0</v>
      </c>
      <c r="AW82" s="49">
        <f>VLOOKUP(A82,tbMoveset!A2:G112,7,FALSE)*IFERROR(IF(Backdoors!AI12&gt;=0,1+(IF(Calculator!E40&gt;0,VLOOKUP(Calculator!E40,tbSkills!AI3:AJ5,2,FALSE),Backdoors!AL4)*(IF((Backdoors!AI12+IF(AR82&gt;=0.45,VLOOKUP(Calculator!E23,tbSkills!DH3:DI6,2,FALSE)+IF(AND(Calculator!B8=TRUE,Backdoors!BI9=TRUE),VLOOKUP(Calculator!E23,tbSkills!DH3:DJ6,3,FALSE),0),0))&gt;=100,100,(Backdoors!AI12+IF(AR82&gt;=0.45,VLOOKUP(Calculator!E23,tbSkills!DH3:DI6,2,FALSE)+IF(AND(Calculator!B8=TRUE,Backdoors!BI9=TRUE),VLOOKUP(Calculator!E23,tbSkills!DH3:DJ6,3,FALSE),0),0)))/100)),1),1)</f>
        <v>0.7</v>
      </c>
      <c r="AX82" s="87">
        <f t="shared" si="57"/>
        <v>8</v>
      </c>
      <c r="AY82" s="86">
        <f>IFERROR(IF(VLOOKUP(A82,tbMoveset!A2:B112,2,FALSE)="Sever",Backdoors!AY10/100,IF(VLOOKUP(A82,tbMoveset!A2:B112,2,FALSE)="Blunt",Backdoors!AZ10/100,Backdoors!BA10/100)),"")</f>
        <v>0.9</v>
      </c>
      <c r="AZ82" s="49">
        <f>IFERROR(IF(VLOOKUP(tbMoveset!A82,tbMoveset!A2:H112,8,FALSE)="Other",IF(VLOOKUP(tbMoveset!A82,tbMoveset!A2:I112,9,FALSE)="Fire",Backdoors!BB10,IF(VLOOKUP(tbMoveset!A82,tbMoveset!A2:I112,9,FALSE)="Water",Backdoors!BC10,IF(VLOOKUP(tbMoveset!A82,tbMoveset!A2:I112,9,FALSE)="Thunder",Backdoors!BD10,IF(VLOOKUP(tbMoveset!A82,tbMoveset!A2:I112,9,FALSE)="Ice",Backdoors!BE10,IF(VLOOKUP(tbMoveset!A82,tbMoveset!A2:I112,9,FALSE)="Dragon",Backdoors!BF10,Backdoors!BG10)))))/100,Backdoors!BG10/100),"")</f>
        <v>0</v>
      </c>
      <c r="BA82" s="49">
        <f>IFERROR(IF(VLOOKUP(A82,tbMoveset!A2:J112,10,FALSE)=TRUE,IF((Backdoors!AI12+IF(AY82&gt;=0.45,VLOOKUP(Calculator!E23,tbSkills!DH3:DI6,2,FALSE)+IF(AND(Calculator!B8=TRUE,Backdoors!BI10=TRUE),VLOOKUP(Calculator!E23,tbSkills!DH3:DJ6,3,FALSE),0),0))&gt;=0,1+(Backdoors!AL2*(IF((Backdoors!AI12+IF(AY82&gt;=0.45,VLOOKUP(Calculator!E23,tbSkills!DH3:DI6,2,FALSE)+IF(AND(Calculator!B8=TRUE,Backdoors!BI10=TRUE),VLOOKUP(Calculator!E23,tbSkills!DH3:DJ6,3,FALSE),0),0))&gt;=100,100,(Backdoors!AI12+IF(AY82&gt;=0.45,VLOOKUP(Calculator!E23,tbSkills!DH3:DI6,2,FALSE)+IF(AND(Calculator!B8=TRUE,Backdoors!BI10=TRUE),VLOOKUP(Calculator!E23,tbSkills!DH3:DJ6,3,FALSE),0),0)))/100)),(1-(0.25*((-Backdoors!AI12-IF(AY82&gt;=0.45,VLOOKUP(Calculator!E23,tbSkills!DH3:DI6,2,FALSE)+IF(AND(Calculator!B8=TRUE,Backdoors!BI10=TRUE),VLOOKUP(Calculator!E23,tbSkills!DH3:DJ6,3,FALSE),0),0))/100)))),1),"")</f>
        <v>1</v>
      </c>
      <c r="BB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Y82)*BA82)*(VLOOKUP(A82,tbMoveset!A2:C112,3,FALSE)/100)*IF(VLOOKUP(A82,tbMoveset!A2:B112,2,FALSE)="Projectile",Backdoors!N10,Backdoors!N9),0),"")</f>
        <v>15</v>
      </c>
      <c r="BC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Y82&gt;=0.45,VLOOKUP(Calculator!E23,tbSkills!DH3:DI6,2,FALSE)+IF(AND(Calculator!B8=TRUE,Backdoors!BI10=TRUE),VLOOKUP(Calculator!E23,tbSkills!DH3:DJ6,3,FALSE),0),0))&gt;=100,100,(Backdoors!AI12+IF(AY82&gt;=0.45,VLOOKUP(Calculator!E23,tbSkills!DH3:DI6,2,FALSE)+IF(AND(Calculator!B8=TRUE,Backdoors!BI10=TRUE),VLOOKUP(Calculator!E23,tbSkills!DH3:DJ6,3,FALSE),0),0)))/100)),1))*IF(VLOOKUP(A82,tbMoveset!A2:K112,11,FALSE)=TRUE,Backdoors!AC5,1))*AZ82,0),"")</f>
        <v>0</v>
      </c>
      <c r="BD82" s="49">
        <f>VLOOKUP(A82,tbMoveset!A2:G112,7,FALSE)*IFERROR(IF(Backdoors!AI12&gt;=0,1+(IF(Calculator!E40&gt;0,VLOOKUP(Calculator!E40,tbSkills!AI3:AJ5,2,FALSE),Backdoors!AL4)*(IF((Backdoors!AI12+IF(AY82&gt;=0.45,VLOOKUP(Calculator!E23,tbSkills!DH3:DI6,2,FALSE)+IF(AND(Calculator!B8=TRUE,Backdoors!BI10=TRUE),VLOOKUP(Calculator!E23,tbSkills!DH3:DJ6,3,FALSE),0),0))&gt;=100,100,(Backdoors!AI12+IF(AY82&gt;=0.45,VLOOKUP(Calculator!E23,tbSkills!DH3:DI6,2,FALSE)+IF(AND(Calculator!B8=TRUE,Backdoors!BI10=TRUE),VLOOKUP(Calculator!E23,tbSkills!DH3:DJ6,3,FALSE),0),0)))/100)),1),1)</f>
        <v>0.7</v>
      </c>
      <c r="BE82" s="87">
        <f t="shared" si="58"/>
        <v>15</v>
      </c>
      <c r="BF82" s="86" t="str">
        <f>IFERROR(IF(VLOOKUP(A82,tbMoveset!A2:B112,2,FALSE)="Sever",Backdoors!AY11/100,IF(VLOOKUP(A82,tbMoveset!A2:B112,2,FALSE)="Blunt",Backdoors!AZ11/100,Backdoors!BA11/100)),"")</f>
        <v/>
      </c>
      <c r="BG82" s="49">
        <f>IFERROR(IF(VLOOKUP(tbMoveset!A82,tbMoveset!A2:H112,8,FALSE)="Other",IF(VLOOKUP(tbMoveset!A82,tbMoveset!A2:I112,9,FALSE)="Fire",Backdoors!BB11,IF(VLOOKUP(tbMoveset!A82,tbMoveset!A2:I112,9,FALSE)="Water",Backdoors!BC11,IF(VLOOKUP(tbMoveset!A82,tbMoveset!A2:I112,9,FALSE)="Thunder",Backdoors!BD11,IF(VLOOKUP(tbMoveset!A82,tbMoveset!A2:I112,9,FALSE)="Ice",Backdoors!BE11,IF(VLOOKUP(tbMoveset!A82,tbMoveset!A2:I112,9,FALSE)="Dragon",Backdoors!BF11,Backdoors!BG11)))))/100,Backdoors!BG11/100),"")</f>
        <v>0</v>
      </c>
      <c r="BH82" s="49">
        <f>IFERROR(IF(VLOOKUP(A82,tbMoveset!A2:J112,10,FALSE)=TRUE,IF((Backdoors!AI12+IF(BF82&gt;=0.45,VLOOKUP(Calculator!E23,tbSkills!DH3:DI6,2,FALSE)+IF(AND(Calculator!B8=TRUE,Backdoors!BI11=TRUE),VLOOKUP(Calculator!E23,tbSkills!DH3:DJ6,3,FALSE),0),0))&gt;=0,1+(Backdoors!AL2*(IF((Backdoors!AI12+IF(BF82&gt;=0.45,VLOOKUP(Calculator!E23,tbSkills!DH3:DI6,2,FALSE)+IF(AND(Calculator!B8=TRUE,Backdoors!BI11=TRUE),VLOOKUP(Calculator!E23,tbSkills!DH3:DJ6,3,FALSE),0),0))&gt;=100,100,(Backdoors!AI12+IF(BF82&gt;=0.45,VLOOKUP(Calculator!E23,tbSkills!DH3:DI6,2,FALSE)+IF(AND(Calculator!B8=TRUE,Backdoors!BI11=TRUE),VLOOKUP(Calculator!E23,tbSkills!DH3:DJ6,3,FALSE),0),0)))/100)),(1-(0.25*((-Backdoors!AI12-IF(BF82&gt;=0.45,VLOOKUP(Calculator!E23,tbSkills!DH3:DI6,2,FALSE)+IF(AND(Calculator!B8=TRUE,Backdoors!BI11=TRUE),VLOOKUP(Calculator!E23,tbSkills!DH3:DJ6,3,FALSE),0),0))/100)))),1),"")</f>
        <v>1</v>
      </c>
      <c r="BI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F82)*BH82)*(VLOOKUP(A82,tbMoveset!A2:C112,3,FALSE)/100)*IF(VLOOKUP(A82,tbMoveset!A2:B112,2,FALSE)="Projectile",Backdoors!N10,Backdoors!N9),0),"")</f>
        <v/>
      </c>
      <c r="BJ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F82&gt;=0.45,VLOOKUP(Calculator!E23,tbSkills!DH3:DI6,2,FALSE)+IF(AND(Calculator!B8=TRUE,Backdoors!BI11=TRUE),VLOOKUP(Calculator!E23,tbSkills!DH3:DJ6,3,FALSE),0),0))&gt;=100,100,(Backdoors!AI12+IF(BF82&gt;=0.45,VLOOKUP(Calculator!E23,tbSkills!DH3:DI6,2,FALSE)+IF(AND(Calculator!B8=TRUE,Backdoors!BI11=TRUE),VLOOKUP(Calculator!E23,tbSkills!DH3:DJ6,3,FALSE),0),0)))/100)),1))*IF(VLOOKUP(A82,tbMoveset!A2:K112,11,FALSE)=TRUE,Backdoors!AC5,1))*BG82,0),"")</f>
        <v>0</v>
      </c>
      <c r="BK82" s="49">
        <f>VLOOKUP(A82,tbMoveset!A2:G112,7,FALSE)*IFERROR(IF(Backdoors!AI12&gt;=0,1+(IF(Calculator!E40&gt;0,VLOOKUP(Calculator!E40,tbSkills!AI3:AJ5,2,FALSE),Backdoors!AL4)*(IF((Backdoors!AI12+IF(BF82&gt;=0.45,VLOOKUP(Calculator!E23,tbSkills!DH3:DI6,2,FALSE)+IF(AND(Calculator!B8=TRUE,Backdoors!BI11=TRUE),VLOOKUP(Calculator!E23,tbSkills!DH3:DJ6,3,FALSE),0),0))&gt;=100,100,(Backdoors!AI12+IF(BF82&gt;=0.45,VLOOKUP(Calculator!E23,tbSkills!DH3:DI6,2,FALSE)+IF(AND(Calculator!B8=TRUE,Backdoors!BI11=TRUE),VLOOKUP(Calculator!E23,tbSkills!DH3:DJ6,3,FALSE),0),0)))/100)),1),1)</f>
        <v>0.7</v>
      </c>
      <c r="BL82" s="87">
        <f t="shared" si="59"/>
        <v>0</v>
      </c>
      <c r="BM82" s="86" t="str">
        <f>IFERROR(IF(VLOOKUP(A82,tbMoveset!A2:B112,2,FALSE)="Sever",Backdoors!AY12/100,IF(VLOOKUP(A82,tbMoveset!A2:B112,2,FALSE)="Blunt",Backdoors!AZ12/100,Backdoors!BA12/100)),"")</f>
        <v/>
      </c>
      <c r="BN82" s="49">
        <f>IFERROR(IF(VLOOKUP(tbMoveset!A82,tbMoveset!A2:H112,8,FALSE)="Other",IF(VLOOKUP(tbMoveset!A82,tbMoveset!A2:I112,9,FALSE)="Fire",Backdoors!BB12,IF(VLOOKUP(tbMoveset!A82,tbMoveset!A2:I112,9,FALSE)="Water",Backdoors!BC12,IF(VLOOKUP(tbMoveset!A82,tbMoveset!A2:I112,9,FALSE)="Thunder",Backdoors!BD12,IF(VLOOKUP(tbMoveset!A82,tbMoveset!A2:I112,9,FALSE)="Ice",Backdoors!BE12,IF(VLOOKUP(tbMoveset!A82,tbMoveset!A2:I112,9,FALSE)="Dragon",Backdoors!BF12,Backdoors!BG12)))))/100,Backdoors!BG12/100),"")</f>
        <v>0</v>
      </c>
      <c r="BO82" s="49">
        <f>IFERROR(IF(VLOOKUP(A82,tbMoveset!A2:J112,10,FALSE)=TRUE,IF((Backdoors!AI12+IF(BM82&gt;=0.45,VLOOKUP(Calculator!E23,tbSkills!DH3:DI6,2,FALSE)+IF(AND(Calculator!B8=TRUE,Backdoors!BI12=TRUE),VLOOKUP(Calculator!E23,tbSkills!DH3:DJ6,3,FALSE),0),0))&gt;=0,1+(Backdoors!AL2*(IF((Backdoors!AI12+IF(BM82&gt;=0.45,VLOOKUP(Calculator!E23,tbSkills!DH3:DI6,2,FALSE)+IF(AND(Calculator!B8=TRUE,Backdoors!BI12=TRUE),VLOOKUP(Calculator!E23,tbSkills!DH3:DJ6,3,FALSE),0),0))&gt;=100,100,(Backdoors!AI12+IF(BM82&gt;=0.45,VLOOKUP(Calculator!E23,tbSkills!DH3:DI6,2,FALSE)+IF(AND(Calculator!B8=TRUE,Backdoors!BI12=TRUE),VLOOKUP(Calculator!E23,tbSkills!DH3:DJ6,3,FALSE),0),0)))/100)),(1-(0.25*((-Backdoors!AI12-IF(BM82&gt;=0.45,VLOOKUP(Calculator!E23,tbSkills!DH3:DI6,2,FALSE)+IF(AND(Calculator!B8=TRUE,Backdoors!BI12=TRUE),VLOOKUP(Calculator!E23,tbSkills!DH3:DJ6,3,FALSE),0),0))/100)))),1),"")</f>
        <v>1</v>
      </c>
      <c r="BP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M82)*BO82)*(VLOOKUP(A82,tbMoveset!A2:C112,3,FALSE)/100)*IF(VLOOKUP(A82,tbMoveset!A2:B112,2,FALSE)="Projectile",Backdoors!N10,Backdoors!N9),0),"")</f>
        <v/>
      </c>
      <c r="BQ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M82&gt;=0.45,VLOOKUP(Calculator!E23,tbSkills!DH3:DI6,2,FALSE)+IF(AND(Calculator!B8=TRUE,Backdoors!BI12=TRUE),VLOOKUP(Calculator!E23,tbSkills!DH3:DJ6,3,FALSE),0),0))&gt;=100,100,(Backdoors!AI12+IF(BM82&gt;=0.45,VLOOKUP(Calculator!E23,tbSkills!DH3:DI6,2,FALSE)+IF(AND(Calculator!B8=TRUE,Backdoors!BI12=TRUE),VLOOKUP(Calculator!E23,tbSkills!DH3:DJ6,3,FALSE),0),0)))/100)),1))*IF(VLOOKUP(A82,tbMoveset!A2:K112,11,FALSE)=TRUE,Backdoors!AC5,1))*BN82,0),"")</f>
        <v>0</v>
      </c>
      <c r="BR82" s="49">
        <f>VLOOKUP(A82,tbMoveset!A2:G112,7,FALSE)*IFERROR(IF(Backdoors!AI12&gt;=0,1+(IF(Calculator!E40&gt;0,VLOOKUP(Calculator!E40,tbSkills!AI3:AJ5,2,FALSE),Backdoors!AL4)*(IF((Backdoors!AI12+IF(BM82&gt;=0.45,VLOOKUP(Calculator!E23,tbSkills!DH3:DI6,2,FALSE)+IF(AND(Calculator!B8=TRUE,Backdoors!BI12=TRUE),VLOOKUP(Calculator!E23,tbSkills!DH3:DJ6,3,FALSE),0),0))&gt;=100,100,(Backdoors!AI12+IF(BM82&gt;=0.45,VLOOKUP(Calculator!E23,tbSkills!DH3:DI6,2,FALSE)+IF(AND(Calculator!B8=TRUE,Backdoors!BI12=TRUE),VLOOKUP(Calculator!E23,tbSkills!DH3:DJ6,3,FALSE),0),0)))/100)),1),1)</f>
        <v>0.7</v>
      </c>
      <c r="BS82" s="87">
        <f t="shared" si="60"/>
        <v>0</v>
      </c>
      <c r="BT82" s="86" t="str">
        <f>IFERROR(IF(VLOOKUP(A82,tbMoveset!A2:B112,2,FALSE)="Sever",Backdoors!AY13/100,IF(VLOOKUP(A82,tbMoveset!A2:B112,2,FALSE)="Blunt",Backdoors!AZ13/100,Backdoors!BA13/100)),"")</f>
        <v/>
      </c>
      <c r="BU82" s="49">
        <f>IFERROR(IF(VLOOKUP(tbMoveset!A82,tbMoveset!A2:H112,8,FALSE)="Other",IF(VLOOKUP(tbMoveset!A82,tbMoveset!A2:I112,9,FALSE)="Fire",Backdoors!BB13,IF(VLOOKUP(tbMoveset!A82,tbMoveset!A2:I112,9,FALSE)="Water",Backdoors!BC13,IF(VLOOKUP(tbMoveset!A82,tbMoveset!A2:I112,9,FALSE)="Thunder",Backdoors!BD13,IF(VLOOKUP(tbMoveset!A82,tbMoveset!A2:I112,9,FALSE)="Ice",Backdoors!BE13,IF(VLOOKUP(tbMoveset!A82,tbMoveset!A2:I112,9,FALSE)="Dragon",Backdoors!BF13,Backdoors!BG13)))))/100,Backdoors!BG13/100),"")</f>
        <v>0</v>
      </c>
      <c r="BV82" s="49">
        <f>IFERROR(IF(VLOOKUP(A82,tbMoveset!A2:J112,10,FALSE)=TRUE,IF((Backdoors!AI12+IF(BT82&gt;=0.45,VLOOKUP(Calculator!E23,tbSkills!DH3:DI6,2,FALSE)+IF(AND(Calculator!B8=TRUE,Backdoors!BI13=TRUE),VLOOKUP(Calculator!E23,tbSkills!DH3:DJ6,3,FALSE),0),0))&gt;=0,1+(Backdoors!AL2*(IF((Backdoors!AI12+IF(BT82&gt;=0.45,VLOOKUP(Calculator!E23,tbSkills!DH3:DI6,2,FALSE)+IF(AND(Calculator!B8=TRUE,Backdoors!BI13=TRUE),VLOOKUP(Calculator!E23,tbSkills!DH3:DJ6,3,FALSE),0),0))&gt;=100,100,(Backdoors!AI12+IF(BT82&gt;=0.45,VLOOKUP(Calculator!E23,tbSkills!DH3:DI6,2,FALSE)+IF(AND(Calculator!B8=TRUE,Backdoors!BI13=TRUE),VLOOKUP(Calculator!E23,tbSkills!DH3:DJ6,3,FALSE),0),0)))/100)),(1-(0.25*((-Backdoors!AI12-IF(BT82&gt;=0.45,VLOOKUP(Calculator!E23,tbSkills!DH3:DI6,2,FALSE)+IF(AND(Calculator!B8=TRUE,Backdoors!BI13=TRUE),VLOOKUP(Calculator!E23,tbSkills!DH3:DJ6,3,FALSE),0),0))/100)))),1),"")</f>
        <v>1</v>
      </c>
      <c r="BW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T82)*BV82)*(VLOOKUP(A82,tbMoveset!A2:C112,3,FALSE)/100)*IF(VLOOKUP(A82,tbMoveset!A2:B112,2,FALSE)="Projectile",Backdoors!N10,Backdoors!N9),0),"")</f>
        <v/>
      </c>
      <c r="BX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T82&gt;=0.45,VLOOKUP(Calculator!E23,tbSkills!DH3:DI6,2,FALSE)+IF(AND(Calculator!B8=TRUE,Backdoors!BI13=TRUE),VLOOKUP(Calculator!E23,tbSkills!DH3:DJ6,3,FALSE),0),0))&gt;=100,100,(Backdoors!AI12+IF(BT82&gt;=0.45,VLOOKUP(Calculator!E23,tbSkills!DH3:DI6,2,FALSE)+IF(AND(Calculator!B8=TRUE,Backdoors!BI13=TRUE),VLOOKUP(Calculator!E23,tbSkills!DH3:DJ6,3,FALSE),0),0)))/100)),1))*IF(VLOOKUP(A82,tbMoveset!A2:K112,11,FALSE)=TRUE,Backdoors!AC5,1))*BU82,0),"")</f>
        <v>0</v>
      </c>
      <c r="BY82" s="49">
        <f>VLOOKUP(A82,tbMoveset!A2:G112,7,FALSE)*IFERROR(IF(Backdoors!AI12&gt;=0,1+(IF(Calculator!E40&gt;0,VLOOKUP(Calculator!E40,tbSkills!AI3:AJ5,2,FALSE),Backdoors!AL4)*(IF((Backdoors!AI12+IF(BT82&gt;=0.45,VLOOKUP(Calculator!E23,tbSkills!DH3:DI6,2,FALSE)+IF(AND(Calculator!B8=TRUE,Backdoors!BI13=TRUE),VLOOKUP(Calculator!E23,tbSkills!DH3:DJ6,3,FALSE),0),0))&gt;=100,100,(Backdoors!AI12+IF(BT82&gt;=0.45,VLOOKUP(Calculator!E23,tbSkills!DH3:DI6,2,FALSE)+IF(AND(Calculator!B8=TRUE,Backdoors!BI13=TRUE),VLOOKUP(Calculator!E23,tbSkills!DH3:DJ6,3,FALSE),0),0)))/100)),1),1)</f>
        <v>0.7</v>
      </c>
      <c r="BZ82" s="87">
        <f t="shared" si="61"/>
        <v>0</v>
      </c>
      <c r="CA82" s="86" t="str">
        <f>IFERROR(IF(VLOOKUP(A82,tbMoveset!A2:B112,2,FALSE)="Sever",Backdoors!AY14/100,IF(VLOOKUP(A82,tbMoveset!A2:B112,2,FALSE)="Blunt",Backdoors!AZ14/100,Backdoors!BA14/100)),"")</f>
        <v/>
      </c>
      <c r="CB82" s="49">
        <f>IFERROR(IF(VLOOKUP(tbMoveset!A82,tbMoveset!A2:H112,8,FALSE)="Other",IF(VLOOKUP(tbMoveset!A82,tbMoveset!A2:I112,9,FALSE)="Fire",Backdoors!BB14,IF(VLOOKUP(tbMoveset!A82,tbMoveset!A2:I112,9,FALSE)="Water",Backdoors!BC14,IF(VLOOKUP(tbMoveset!A82,tbMoveset!A2:I112,9,FALSE)="Thunder",Backdoors!BD14,IF(VLOOKUP(tbMoveset!A82,tbMoveset!A2:I112,9,FALSE)="Ice",Backdoors!BE14,IF(VLOOKUP(tbMoveset!A82,tbMoveset!A2:I112,9,FALSE)="Dragon",Backdoors!BF14,Backdoors!BG14)))))/100,Backdoors!BG14/100),"")</f>
        <v>0</v>
      </c>
      <c r="CC82" s="49">
        <f>IFERROR(IF(VLOOKUP(A82,tbMoveset!A2:J112,10,FALSE)=TRUE,IF((Backdoors!AI12+IF(CA82&gt;=0.45,VLOOKUP(Calculator!E23,tbSkills!DH3:DI6,2,FALSE)+IF(AND(Calculator!B8=TRUE,Backdoors!BI14=TRUE),VLOOKUP(Calculator!E23,tbSkills!DH3:DJ6,3,FALSE),0),0))&gt;=0,1+(Backdoors!AL2*(IF((Backdoors!AI12+IF(CA82&gt;=0.45,VLOOKUP(Calculator!E23,tbSkills!DH3:DI6,2,FALSE)+IF(AND(Calculator!B8=TRUE,Backdoors!BI14=TRUE),VLOOKUP(Calculator!E23,tbSkills!DH3:DJ6,3,FALSE),0),0))&gt;=100,100,(Backdoors!AI12+IF(CA82&gt;=0.45,VLOOKUP(Calculator!E23,tbSkills!DH3:DI6,2,FALSE)+IF(AND(Calculator!B8=TRUE,Backdoors!BI14=TRUE),VLOOKUP(Calculator!E23,tbSkills!DH3:DJ6,3,FALSE),0),0)))/100)),(1-(0.25*((-Backdoors!AI12-IF(CA82&gt;=0.45,VLOOKUP(Calculator!E23,tbSkills!DH3:DI6,2,FALSE)+IF(AND(Calculator!B8=TRUE,Backdoors!BI14=TRUE),VLOOKUP(Calculator!E23,tbSkills!DH3:DJ6,3,FALSE),0),0))/100)))),1),"")</f>
        <v>1</v>
      </c>
      <c r="CD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A82)*CC82)*(VLOOKUP(A82,tbMoveset!A2:C112,3,FALSE)/100)*IF(VLOOKUP(A82,tbMoveset!A2:B112,2,FALSE)="Projectile",Backdoors!N10,Backdoors!N9),0),"")</f>
        <v/>
      </c>
      <c r="CE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A82&gt;=0.45,VLOOKUP(Calculator!E23,tbSkills!DH3:DI6,2,FALSE)+IF(AND(Calculator!B8=TRUE,Backdoors!BI14=TRUE),VLOOKUP(Calculator!E23,tbSkills!DH3:DJ6,3,FALSE),0),0))&gt;=100,100,(Backdoors!AI12+IF(CA82&gt;=0.45,VLOOKUP(Calculator!E23,tbSkills!DH3:DI6,2,FALSE)+IF(AND(Calculator!B8=TRUE,Backdoors!BI14=TRUE),VLOOKUP(Calculator!E23,tbSkills!DH3:DJ6,3,FALSE),0),0)))/100)),1))*IF(VLOOKUP(A82,tbMoveset!A2:K112,11,FALSE)=TRUE,Backdoors!AC5,1))*CB82,0),"")</f>
        <v>0</v>
      </c>
      <c r="CF82" s="49">
        <f>VLOOKUP(A82,tbMoveset!A2:G112,7,FALSE)*IFERROR(IF(Backdoors!AI12&gt;=0,1+(IF(Calculator!E40&gt;0,VLOOKUP(Calculator!E40,tbSkills!AI3:AJ5,2,FALSE),Backdoors!AL4)*(IF((Backdoors!AI12+IF(CA82&gt;=0.45,VLOOKUP(Calculator!E23,tbSkills!DH3:DI6,2,FALSE)+IF(AND(Calculator!B8=TRUE,Backdoors!BI14=TRUE),VLOOKUP(Calculator!E23,tbSkills!DH3:DJ6,3,FALSE),0),0))&gt;=100,100,(Backdoors!AI12+IF(CA82&gt;=0.45,VLOOKUP(Calculator!E23,tbSkills!DH3:DI6,2,FALSE)+IF(AND(Calculator!B8=TRUE,Backdoors!BI14=TRUE),VLOOKUP(Calculator!E23,tbSkills!DH3:DJ6,3,FALSE),0),0)))/100)),1),1)</f>
        <v>0.7</v>
      </c>
      <c r="CG82" s="87">
        <f t="shared" si="62"/>
        <v>0</v>
      </c>
      <c r="CH82" s="86" t="str">
        <f>IFERROR(IF(VLOOKUP(A82,tbMoveset!A2:B112,2,FALSE)="Sever",Backdoors!AY15/100,IF(VLOOKUP(A82,tbMoveset!A2:B112,2,FALSE)="Blunt",Backdoors!AZ15/100,Backdoors!BA15/100)),"")</f>
        <v/>
      </c>
      <c r="CI82" s="49">
        <f>IFERROR(IF(VLOOKUP(tbMoveset!A82,tbMoveset!A2:H112,8,FALSE)="Other",IF(VLOOKUP(tbMoveset!A82,tbMoveset!A2:I112,9,FALSE)="Fire",Backdoors!BB15,IF(VLOOKUP(tbMoveset!A82,tbMoveset!A2:I112,9,FALSE)="Water",Backdoors!BC15,IF(VLOOKUP(tbMoveset!A82,tbMoveset!A2:I112,9,FALSE)="Thunder",Backdoors!BD15,IF(VLOOKUP(tbMoveset!A82,tbMoveset!A2:I112,9,FALSE)="Ice",Backdoors!BE15,IF(VLOOKUP(tbMoveset!A82,tbMoveset!A2:I112,9,FALSE)="Dragon",Backdoors!BF15,Backdoors!BG15)))))/100,Backdoors!BG15/100),"")</f>
        <v>0</v>
      </c>
      <c r="CJ82" s="49">
        <f>IFERROR(IF(VLOOKUP(A82,tbMoveset!A2:J112,10,FALSE)=TRUE,IF((Backdoors!AI12+IF(CH82&gt;=0.45,VLOOKUP(Calculator!E23,tbSkills!DH3:DI6,2,FALSE)+IF(AND(Calculator!B8=TRUE,Backdoors!BI15=TRUE),VLOOKUP(Calculator!E23,tbSkills!DH3:DJ6,3,FALSE),0),0))&gt;=0,1+(Backdoors!AL2*(IF((Backdoors!AI12+IF(CH82&gt;=0.45,VLOOKUP(Calculator!E23,tbSkills!DH3:DI6,2,FALSE)+IF(AND(Calculator!B8=TRUE,Backdoors!BI15=TRUE),VLOOKUP(Calculator!E23,tbSkills!DH3:DJ6,3,FALSE),0),0))&gt;=100,100,(Backdoors!AI12+IF(CH82&gt;=0.45,VLOOKUP(Calculator!E23,tbSkills!DH3:DI6,2,FALSE)+IF(AND(Calculator!B8=TRUE,Backdoors!BI15=TRUE),VLOOKUP(Calculator!E23,tbSkills!DH3:DJ6,3,FALSE),0),0)))/100)),(1-(0.25*((-Backdoors!AI12-IF(CH82&gt;=0.45,VLOOKUP(Calculator!E23,tbSkills!DH3:DI6,2,FALSE)+IF(AND(Calculator!B8=TRUE,Backdoors!BI15=TRUE),VLOOKUP(Calculator!E23,tbSkills!DH3:DJ6,3,FALSE),0),0))/100)))),1),"")</f>
        <v>1</v>
      </c>
      <c r="CK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H82)*CJ82)*(VLOOKUP(A82,tbMoveset!A2:C112,3,FALSE)/100)*IF(VLOOKUP(A82,tbMoveset!A2:B112,2,FALSE)="Projectile",Backdoors!N10,Backdoors!N9),0),"")</f>
        <v/>
      </c>
      <c r="CL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H82&gt;=0.45,VLOOKUP(Calculator!E23,tbSkills!DH3:DI6,2,FALSE)+IF(AND(Calculator!B8=TRUE,Backdoors!BI15=TRUE),VLOOKUP(Calculator!E23,tbSkills!DH3:DJ6,3,FALSE),0),0))&gt;=100,100,(Backdoors!AI12+IF(CH82&gt;=0.45,VLOOKUP(Calculator!E23,tbSkills!DH3:DI6,2,FALSE)+IF(AND(Calculator!B8=TRUE,Backdoors!BI15=TRUE),VLOOKUP(Calculator!E23,tbSkills!DH3:DJ6,3,FALSE),0),0)))/100)),1))*IF(VLOOKUP(A82,tbMoveset!A2:K112,11,FALSE)=TRUE,Backdoors!AC5,1))*CI82,0),"")</f>
        <v>0</v>
      </c>
      <c r="CM82" s="49">
        <f>VLOOKUP(A82,tbMoveset!A2:G112,7,FALSE)*IFERROR(IF(Backdoors!AI12&gt;=0,1+(IF(Calculator!E40&gt;0,VLOOKUP(Calculator!E40,tbSkills!AI3:AJ5,2,FALSE),Backdoors!AL4)*(IF((Backdoors!AI12+IF(CH82&gt;=0.45,VLOOKUP(Calculator!E23,tbSkills!DH3:DI6,2,FALSE)+IF(AND(Calculator!B8=TRUE,Backdoors!BI15=TRUE),VLOOKUP(Calculator!E23,tbSkills!DH3:DJ6,3,FALSE),0),0))&gt;=100,100,(Backdoors!AI12+IF(CH82&gt;=0.45,VLOOKUP(Calculator!E23,tbSkills!DH3:DI6,2,FALSE)+IF(AND(Calculator!B8=TRUE,Backdoors!BI15=TRUE),VLOOKUP(Calculator!E23,tbSkills!DH3:DJ6,3,FALSE),0),0)))/100)),1),1)</f>
        <v>0.7</v>
      </c>
      <c r="CN82" s="87">
        <f t="shared" si="63"/>
        <v>0</v>
      </c>
      <c r="CO82" s="86" t="str">
        <f>IFERROR(IF(VLOOKUP(A82,tbMoveset!A2:B112,2,FALSE)="Sever",Backdoors!AY16/100,IF(VLOOKUP(A82,tbMoveset!A2:B112,2,FALSE)="Blunt",Backdoors!AZ16/100,Backdoors!BA16/100)),"")</f>
        <v/>
      </c>
      <c r="CP82" s="49">
        <f>IFERROR(IF(VLOOKUP(tbMoveset!A82,tbMoveset!A2:H112,8,FALSE)="Other",IF(VLOOKUP(tbMoveset!A82,tbMoveset!A2:I112,9,FALSE)="Fire",Backdoors!BB16,IF(VLOOKUP(tbMoveset!A82,tbMoveset!A2:I112,9,FALSE)="Water",Backdoors!BC16,IF(VLOOKUP(tbMoveset!A82,tbMoveset!A2:I112,9,FALSE)="Thunder",Backdoors!BD16,IF(VLOOKUP(tbMoveset!A82,tbMoveset!A2:I112,9,FALSE)="Ice",Backdoors!BE16,IF(VLOOKUP(tbMoveset!A82,tbMoveset!A2:I112,9,FALSE)="Dragon",Backdoors!BF16,Backdoors!BG16)))))/100,Backdoors!BG16/100),"")</f>
        <v>0</v>
      </c>
      <c r="CQ82" s="49">
        <f>IFERROR(IF(VLOOKUP(A82,tbMoveset!A2:J112,10,FALSE)=TRUE,IF((Backdoors!AI12+IF(CO82&gt;=0.45,VLOOKUP(Calculator!E23,tbSkills!DH3:DI6,2,FALSE)+IF(AND(Calculator!B8=TRUE,Backdoors!BI16=TRUE),VLOOKUP(Calculator!E23,tbSkills!DH3:DJ6,3,FALSE),0),0))&gt;=0,1+(Backdoors!AL2*(IF((Backdoors!AI12+IF(CO82&gt;=0.45,VLOOKUP(Calculator!E23,tbSkills!DH3:DI6,2,FALSE)+IF(AND(Calculator!B8=TRUE,Backdoors!BI16=TRUE),VLOOKUP(Calculator!E23,tbSkills!DH3:DJ6,3,FALSE),0),0))&gt;=100,100,(Backdoors!AI12+IF(CO82&gt;=0.45,VLOOKUP(Calculator!E23,tbSkills!DH3:DI6,2,FALSE)+IF(AND(Calculator!B8=TRUE,Backdoors!BI16=TRUE),VLOOKUP(Calculator!E23,tbSkills!DH3:DJ6,3,FALSE),0),0)))/100)),(1-(0.25*((-Backdoors!AI12-IF(CO82&gt;=0.45,VLOOKUP(Calculator!E23,tbSkills!DH3:DI6,2,FALSE)+IF(AND(Calculator!B8=TRUE,Backdoors!BI16=TRUE),VLOOKUP(Calculator!E23,tbSkills!DH3:DJ6,3,FALSE),0),0))/100)))),1),"")</f>
        <v>1</v>
      </c>
      <c r="CR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O82)*CQ82)*(VLOOKUP(A82,tbMoveset!A2:C112,3,FALSE)/100)*IF(VLOOKUP(A82,tbMoveset!A2:B112,2,FALSE)="Projectile",Backdoors!N10,Backdoors!N9),0),"")</f>
        <v/>
      </c>
      <c r="CS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O82&gt;=0.45,VLOOKUP(Calculator!E23,tbSkills!DH3:DI6,2,FALSE)+IF(AND(Calculator!B8=TRUE,Backdoors!BI16=TRUE),VLOOKUP(Calculator!E23,tbSkills!DH3:DJ6,3,FALSE),0),0))&gt;=100,100,(Backdoors!AI12+IF(CO82&gt;=0.45,VLOOKUP(Calculator!E23,tbSkills!DH3:DI6,2,FALSE)+IF(AND(Calculator!B8=TRUE,Backdoors!BI16=TRUE),VLOOKUP(Calculator!E23,tbSkills!DH3:DJ6,3,FALSE),0),0)))/100)),1))*IF(VLOOKUP(A82,tbMoveset!A2:K112,11,FALSE)=TRUE,Backdoors!AC5,1))*CP82,0),"")</f>
        <v>0</v>
      </c>
      <c r="CT82" s="49">
        <f>VLOOKUP(A82,tbMoveset!A2:G112,7,FALSE)*IFERROR(IF(Backdoors!AI12&gt;=0,1+(IF(Calculator!E40&gt;0,VLOOKUP(Calculator!E40,tbSkills!AI3:AJ5,2,FALSE),Backdoors!AL4)*(IF((Backdoors!AI12+IF(CO82&gt;=0.45,VLOOKUP(Calculator!E23,tbSkills!DH3:DI6,2,FALSE)+IF(AND(Calculator!B8=TRUE,Backdoors!BI16=TRUE),VLOOKUP(Calculator!E23,tbSkills!DH3:DJ6,3,FALSE),0),0))&gt;=100,100,(Backdoors!AI12+IF(CO82&gt;=0.45,VLOOKUP(Calculator!E23,tbSkills!DH3:DI6,2,FALSE)+IF(AND(Calculator!B8=TRUE,Backdoors!BI16=TRUE),VLOOKUP(Calculator!E23,tbSkills!DH3:DJ6,3,FALSE),0),0)))/100)),1),1)</f>
        <v>0.7</v>
      </c>
      <c r="CU82" s="87">
        <f t="shared" si="64"/>
        <v>0</v>
      </c>
      <c r="CV82" s="86" t="str">
        <f>IFERROR(IF(VLOOKUP(A82,tbMoveset!A2:B112,2,FALSE)="Sever",Backdoors!AY17/100,IF(VLOOKUP(A82,tbMoveset!A2:B112,2,FALSE)="Blunt",Backdoors!AZ17/100,Backdoors!BA17/100)),"")</f>
        <v/>
      </c>
      <c r="CW82" s="49">
        <f>IFERROR(IF(VLOOKUP(tbMoveset!A82,tbMoveset!A2:H112,8,FALSE)="Other",IF(VLOOKUP(tbMoveset!A82,tbMoveset!A2:I112,9,FALSE)="Fire",Backdoors!BB17,IF(VLOOKUP(tbMoveset!A82,tbMoveset!A2:I112,9,FALSE)="Water",Backdoors!BC17,IF(VLOOKUP(tbMoveset!A82,tbMoveset!A2:I112,9,FALSE)="Thunder",Backdoors!BD17,IF(VLOOKUP(tbMoveset!A82,tbMoveset!A2:I112,9,FALSE)="Ice",Backdoors!BE17,IF(VLOOKUP(tbMoveset!A82,tbMoveset!A2:I112,9,FALSE)="Dragon",Backdoors!BF17,Backdoors!BG17)))))/100,Backdoors!BG17/100),"")</f>
        <v>0</v>
      </c>
      <c r="CX82" s="49">
        <f>IFERROR(IF(VLOOKUP(A82,tbMoveset!A2:J112,10,FALSE)=TRUE,IF((Backdoors!AI12+IF(CV82&gt;=0.45,VLOOKUP(Calculator!E23,tbSkills!DH3:DI6,2,FALSE)+IF(AND(Calculator!B8=TRUE,Backdoors!BI17=TRUE),VLOOKUP(Calculator!E23,tbSkills!DH3:DJ6,3,FALSE),0),0))&gt;=0,1+(Backdoors!AL2*(IF((Backdoors!AI12+IF(CV82&gt;=0.45,VLOOKUP(Calculator!E23,tbSkills!DH3:DI6,2,FALSE)+IF(AND(Calculator!B8=TRUE,Backdoors!BI17=TRUE),VLOOKUP(Calculator!E23,tbSkills!DH3:DJ6,3,FALSE),0),0))&gt;=100,100,(Backdoors!AI12+IF(CV82&gt;=0.45,VLOOKUP(Calculator!E23,tbSkills!DH3:DI6,2,FALSE)+IF(AND(Calculator!B8=TRUE,Backdoors!BI17=TRUE),VLOOKUP(Calculator!E23,tbSkills!DH3:DJ6,3,FALSE),0),0)))/100)),(1-(0.25*((-Backdoors!AI12-IF(CV82&gt;=0.45,VLOOKUP(Calculator!E23,tbSkills!DH3:DI6,2,FALSE)+IF(AND(Calculator!B8=TRUE,Backdoors!BI17=TRUE),VLOOKUP(Calculator!E23,tbSkills!DH3:DJ6,3,FALSE),0),0))/100)))),1),"")</f>
        <v>1</v>
      </c>
      <c r="CY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V82)*CX82)*(VLOOKUP(A82,tbMoveset!A2:C112,3,FALSE)/100)*IF(VLOOKUP(A82,tbMoveset!A2:B112,2,FALSE)="Projectile",Backdoors!N10,Backdoors!N9),0),"")</f>
        <v/>
      </c>
      <c r="CZ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V82&gt;=0.45,VLOOKUP(Calculator!E23,tbSkills!DH3:DI6,2,FALSE)+IF(AND(Calculator!B8=TRUE,Backdoors!BI17=TRUE),VLOOKUP(Calculator!E23,tbSkills!DH3:DJ6,3,FALSE),0),0))&gt;=100,100,(Backdoors!AI12+IF(CV82&gt;=0.45,VLOOKUP(Calculator!E23,tbSkills!DH3:DI6,2,FALSE)+IF(AND(Calculator!B8=TRUE,Backdoors!BI17=TRUE),VLOOKUP(Calculator!E23,tbSkills!DH3:DJ6,3,FALSE),0),0)))/100)),1))*IF(VLOOKUP(A82,tbMoveset!A2:K112,11,FALSE)=TRUE,Backdoors!AC5,1))*CW82,0),"")</f>
        <v>0</v>
      </c>
      <c r="DA82" s="49">
        <f>VLOOKUP(A82,tbMoveset!A2:G112,7,FALSE)*IFERROR(IF(Backdoors!AI12&gt;=0,1+(IF(Calculator!E40&gt;0,VLOOKUP(Calculator!E40,tbSkills!AI3:AJ5,2,FALSE),Backdoors!AL4)*(IF((Backdoors!AI12+IF(CV82&gt;=0.45,VLOOKUP(Calculator!E23,tbSkills!DH3:DI6,2,FALSE)+IF(AND(Calculator!B8=TRUE,Backdoors!BI17=TRUE),VLOOKUP(Calculator!E23,tbSkills!DH3:DJ6,3,FALSE),0),0))&gt;=100,100,(Backdoors!AI12+IF(CV82&gt;=0.45,VLOOKUP(Calculator!E23,tbSkills!DH3:DI6,2,FALSE)+IF(AND(Calculator!B8=TRUE,Backdoors!BI17=TRUE),VLOOKUP(Calculator!E23,tbSkills!DH3:DJ6,3,FALSE),0),0)))/100)),1),1)</f>
        <v>0.7</v>
      </c>
      <c r="DB82" s="87">
        <f t="shared" si="65"/>
        <v>0</v>
      </c>
      <c r="DC82" s="86" t="str">
        <f>IFERROR(IF(VLOOKUP(A82,tbMoveset!A2:B112,2,FALSE)="Sever",Backdoors!AY18/100,IF(VLOOKUP(A82,tbMoveset!A2:B112,2,FALSE)="Blunt",Backdoors!AZ18/100,Backdoors!BA18/100)),"")</f>
        <v/>
      </c>
      <c r="DD82" s="49">
        <f>IFERROR(IF(VLOOKUP(tbMoveset!A82,tbMoveset!A2:H112,8,FALSE)="Other",IF(VLOOKUP(tbMoveset!A82,tbMoveset!A2:I112,9,FALSE)="Fire",Backdoors!BB18,IF(VLOOKUP(tbMoveset!A82,tbMoveset!A2:I112,9,FALSE)="Water",Backdoors!BC18,IF(VLOOKUP(tbMoveset!A82,tbMoveset!A2:I112,9,FALSE)="Thunder",Backdoors!BD18,IF(VLOOKUP(tbMoveset!A82,tbMoveset!A2:I112,9,FALSE)="Ice",Backdoors!BE18,IF(VLOOKUP(tbMoveset!A82,tbMoveset!A2:I112,9,FALSE)="Dragon",Backdoors!BF18,Backdoors!BG18)))))/100,Backdoors!BG18/100),"")</f>
        <v>0</v>
      </c>
      <c r="DE82" s="49">
        <f>IFERROR(IF(VLOOKUP(A82,tbMoveset!A2:J112,10,FALSE)=TRUE,IF((Backdoors!AI12+IF(DC82&gt;=0.45,VLOOKUP(Calculator!E23,tbSkills!DH3:DI6,2,FALSE)+IF(AND(Calculator!B8=TRUE,Backdoors!BI18=TRUE),VLOOKUP(Calculator!E23,tbSkills!DH3:DJ6,3,FALSE),0),0))&gt;=0,1+(Backdoors!AL2*(IF((Backdoors!AI12+IF(DC82&gt;=0.45,VLOOKUP(Calculator!E23,tbSkills!DH3:DI6,2,FALSE)+IF(AND(Calculator!B8=TRUE,Backdoors!BI18=TRUE),VLOOKUP(Calculator!E23,tbSkills!DH3:DJ6,3,FALSE),0),0))&gt;=100,100,(Backdoors!AI12+IF(DC82&gt;=0.45,VLOOKUP(Calculator!E23,tbSkills!DH3:DI6,2,FALSE)+IF(AND(Calculator!B8=TRUE,Backdoors!BI18=TRUE),VLOOKUP(Calculator!E23,tbSkills!DH3:DJ6,3,FALSE),0),0)))/100)),(1-(0.25*((-Backdoors!AI12-IF(DC82&gt;=0.45,VLOOKUP(Calculator!E23,tbSkills!DH3:DI6,2,FALSE)+IF(AND(Calculator!B8=TRUE,Backdoors!BI18=TRUE),VLOOKUP(Calculator!E23,tbSkills!DH3:DJ6,3,FALSE),0),0))/100)))),1),"")</f>
        <v>1</v>
      </c>
      <c r="DF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C82)*DE82)*(VLOOKUP(A82,tbMoveset!A2:C112,3,FALSE)/100)*IF(VLOOKUP(A82,tbMoveset!A2:B112,2,FALSE)="Projectile",Backdoors!N10,Backdoors!N9),0),"")</f>
        <v/>
      </c>
      <c r="DG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C82&gt;=0.45,VLOOKUP(Calculator!E23,tbSkills!DH3:DI6,2,FALSE)+IF(AND(Calculator!B8=TRUE,Backdoors!BI18=TRUE),VLOOKUP(Calculator!E23,tbSkills!DH3:DJ6,3,FALSE),0),0))&gt;=100,100,(Backdoors!AI12+IF(DC82&gt;=0.45,VLOOKUP(Calculator!E23,tbSkills!DH3:DI6,2,FALSE)+IF(AND(Calculator!B8=TRUE,Backdoors!BI18=TRUE),VLOOKUP(Calculator!E23,tbSkills!DH3:DJ6,3,FALSE),0),0)))/100)),1))*IF(VLOOKUP(A82,tbMoveset!A2:K112,11,FALSE)=TRUE,Backdoors!AC5,1))*DD82,0),"")</f>
        <v>0</v>
      </c>
      <c r="DH82" s="49">
        <f>VLOOKUP(A82,tbMoveset!A2:G112,7,FALSE)*IFERROR(IF(Backdoors!AI12&gt;=0,1+(IF(Calculator!E40&gt;0,VLOOKUP(Calculator!E40,tbSkills!AI3:AJ5,2,FALSE),Backdoors!AL4)*(IF((Backdoors!AI12+IF(DC82&gt;=0.45,VLOOKUP(Calculator!E23,tbSkills!DH3:DI6,2,FALSE)+IF(AND(Calculator!B8=TRUE,Backdoors!BI18=TRUE),VLOOKUP(Calculator!E23,tbSkills!DH3:DJ6,3,FALSE),0),0))&gt;=100,100,(Backdoors!AI12+IF(DC82&gt;=0.45,VLOOKUP(Calculator!E23,tbSkills!DH3:DI6,2,FALSE)+IF(AND(Calculator!B8=TRUE,Backdoors!BI18=TRUE),VLOOKUP(Calculator!E23,tbSkills!DH3:DJ6,3,FALSE),0),0)))/100)),1),1)</f>
        <v>0.7</v>
      </c>
      <c r="DI82" s="87">
        <f t="shared" si="66"/>
        <v>0</v>
      </c>
      <c r="DJ82" s="86" t="str">
        <f>IFERROR(IF(VLOOKUP(A82,tbMoveset!A2:B112,2,FALSE)="Sever",Backdoors!AY19/100,IF(VLOOKUP(A82,tbMoveset!A2:B112,2,FALSE)="Blunt",Backdoors!AZ19/100,Backdoors!BA19/100)),"")</f>
        <v/>
      </c>
      <c r="DK82" s="49">
        <f>IFERROR(IF(VLOOKUP(tbMoveset!A82,tbMoveset!A2:H112,8,FALSE)="Other",IF(VLOOKUP(tbMoveset!A82,tbMoveset!A2:I112,9,FALSE)="Fire",Backdoors!BB19,IF(VLOOKUP(tbMoveset!A82,tbMoveset!A2:I112,9,FALSE)="Water",Backdoors!BC19,IF(VLOOKUP(tbMoveset!A82,tbMoveset!A2:I112,9,FALSE)="Thunder",Backdoors!BD19,IF(VLOOKUP(tbMoveset!A82,tbMoveset!A2:I112,9,FALSE)="Ice",Backdoors!BE19,IF(VLOOKUP(tbMoveset!A82,tbMoveset!A2:I112,9,FALSE)="Dragon",Backdoors!BF19,Backdoors!BG19)))))/100,Backdoors!BG19/100),"")</f>
        <v>0</v>
      </c>
      <c r="DL82" s="49">
        <f>IFERROR(IF(VLOOKUP(A82,tbMoveset!A2:J112,10,FALSE)=TRUE,IF((Backdoors!AI12+IF(DJ82&gt;=0.45,VLOOKUP(Calculator!E23,tbSkills!DH3:DI6,2,FALSE)+IF(AND(Calculator!B8=TRUE,Backdoors!BI19=TRUE),VLOOKUP(Calculator!E23,tbSkills!DH3:DJ6,3,FALSE),0),0))&gt;=0,1+(Backdoors!AL2*(IF((Backdoors!AI12+IF(DJ82&gt;=0.45,VLOOKUP(Calculator!E23,tbSkills!DH3:DI6,2,FALSE)+IF(AND(Calculator!B8=TRUE,Backdoors!BI19=TRUE),VLOOKUP(Calculator!E23,tbSkills!DH3:DJ6,3,FALSE),0),0))&gt;=100,100,(Backdoors!AI12+IF(DJ82&gt;=0.45,VLOOKUP(Calculator!E23,tbSkills!DH3:DI6,2,FALSE)+IF(AND(Calculator!B8=TRUE,Backdoors!BI19=TRUE),VLOOKUP(Calculator!E23,tbSkills!DH3:DJ6,3,FALSE),0),0)))/100)),(1-(0.25*((-Backdoors!AI12-IF(DJ82&gt;=0.45,VLOOKUP(Calculator!E23,tbSkills!DH3:DI6,2,FALSE)+IF(AND(Calculator!B8=TRUE,Backdoors!BI19=TRUE),VLOOKUP(Calculator!E23,tbSkills!DH3:DJ6,3,FALSE),0),0))/100)))),1),"")</f>
        <v>1</v>
      </c>
      <c r="DM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J82)*DL82)*(VLOOKUP(A82,tbMoveset!A2:C112,3,FALSE)/100)*IF(VLOOKUP(A82,tbMoveset!A2:B112,2,FALSE)="Projectile",Backdoors!N10,Backdoors!N9),0),"")</f>
        <v/>
      </c>
      <c r="DN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J82&gt;=0.45,VLOOKUP(Calculator!E23,tbSkills!DH3:DI6,2,FALSE)+IF(AND(Calculator!B8=TRUE,Backdoors!BI19=TRUE),VLOOKUP(Calculator!E23,tbSkills!DH3:DJ6,3,FALSE),0),0))&gt;=100,100,(Backdoors!AI12+IF(DJ82&gt;=0.45,VLOOKUP(Calculator!E23,tbSkills!DH3:DI6,2,FALSE)+IF(AND(Calculator!B8=TRUE,Backdoors!BI19=TRUE),VLOOKUP(Calculator!E23,tbSkills!DH3:DJ6,3,FALSE),0),0)))/100)),1))*IF(VLOOKUP(A82,tbMoveset!A2:K112,11,FALSE)=TRUE,Backdoors!AC5,1))*DK82,0),"")</f>
        <v>0</v>
      </c>
      <c r="DO82" s="49">
        <f>VLOOKUP(A82,tbMoveset!A2:G112,7,FALSE)*IFERROR(IF(Backdoors!AI12&gt;=0,1+(IF(Calculator!E40&gt;0,VLOOKUP(Calculator!E40,tbSkills!AI3:AJ5,2,FALSE),Backdoors!AL4)*(IF((Backdoors!AI12+IF(DJ82&gt;=0.45,VLOOKUP(Calculator!E23,tbSkills!DH3:DI6,2,FALSE)+IF(AND(Calculator!B8=TRUE,Backdoors!BI19=TRUE),VLOOKUP(Calculator!E23,tbSkills!DH3:DJ6,3,FALSE),0),0))&gt;=100,100,(Backdoors!AI12+IF(DJ82&gt;=0.45,VLOOKUP(Calculator!E23,tbSkills!DH3:DI6,2,FALSE)+IF(AND(Calculator!B8=TRUE,Backdoors!BI19=TRUE),VLOOKUP(Calculator!E23,tbSkills!DH3:DJ6,3,FALSE),0),0)))/100)),1),1)</f>
        <v>0.7</v>
      </c>
      <c r="DP82" s="87">
        <f t="shared" si="67"/>
        <v>0</v>
      </c>
      <c r="DQ82" s="86" t="str">
        <f>IFERROR(IF(VLOOKUP(A82,tbMoveset!A2:B112,2,FALSE)="Sever",Backdoors!AY20/100,IF(VLOOKUP(A82,tbMoveset!A2:B112,2,FALSE)="Blunt",Backdoors!AZ20/100,Backdoors!BA20/100)),"")</f>
        <v/>
      </c>
      <c r="DR82" s="49">
        <f>IFERROR(IF(VLOOKUP(tbMoveset!A82,tbMoveset!A2:H112,8,FALSE)="Other",IF(VLOOKUP(tbMoveset!A82,tbMoveset!A2:I112,9,FALSE)="Fire",Backdoors!BB20,IF(VLOOKUP(tbMoveset!A82,tbMoveset!A2:I112,9,FALSE)="Water",Backdoors!BC20,IF(VLOOKUP(tbMoveset!A82,tbMoveset!A2:I112,9,FALSE)="Thunder",Backdoors!BD20,IF(VLOOKUP(tbMoveset!A82,tbMoveset!A2:I112,9,FALSE)="Ice",Backdoors!BE20,IF(VLOOKUP(tbMoveset!A82,tbMoveset!A2:I112,9,FALSE)="Dragon",Backdoors!BF20,Backdoors!BG20)))))/100,Backdoors!BG20/100),"")</f>
        <v>0</v>
      </c>
      <c r="DS82" s="49">
        <f>IFERROR(IF(VLOOKUP(A82,tbMoveset!A2:J112,10,FALSE)=TRUE,IF((Backdoors!AI12+IF(DQ82&gt;=0.45,VLOOKUP(Calculator!E23,tbSkills!DH3:DI6,2,FALSE)+IF(AND(Calculator!B8=TRUE,Backdoors!BI20=TRUE),VLOOKUP(Calculator!E23,tbSkills!DH3:DJ6,3,FALSE),0),0))&gt;=0,1+(Backdoors!AL2*(IF((Backdoors!AI12+IF(DQ82&gt;=0.45,VLOOKUP(Calculator!E23,tbSkills!DH3:DI6,2,FALSE)+IF(AND(Calculator!B8=TRUE,Backdoors!BI20=TRUE),VLOOKUP(Calculator!E23,tbSkills!DH3:DJ6,3,FALSE),0),0))&gt;=100,100,(Backdoors!AI12+IF(DQ82&gt;=0.45,VLOOKUP(Calculator!E23,tbSkills!DH3:DI6,2,FALSE)+IF(AND(Calculator!B8=TRUE,Backdoors!BI20=TRUE),VLOOKUP(Calculator!E23,tbSkills!DH3:DJ6,3,FALSE),0),0)))/100)),(1-(0.25*((-Backdoors!AI12-IF(DQ82&gt;=0.45,VLOOKUP(Calculator!E23,tbSkills!DH3:DI6,2,FALSE)+IF(AND(Calculator!B8=TRUE,Backdoors!BI20=TRUE),VLOOKUP(Calculator!E23,tbSkills!DH3:DJ6,3,FALSE),0),0))/100)))),1),"")</f>
        <v>1</v>
      </c>
      <c r="DT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Q82)*DS82)*(VLOOKUP(A82,tbMoveset!A2:C112,3,FALSE)/100)*IF(VLOOKUP(A82,tbMoveset!A2:B112,2,FALSE)="Projectile",Backdoors!N10,Backdoors!N9),0),"")</f>
        <v/>
      </c>
      <c r="DU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Q82&gt;=0.45,VLOOKUP(Calculator!E23,tbSkills!DH3:DI6,2,FALSE)+IF(AND(Calculator!B8=TRUE,Backdoors!BI20=TRUE),VLOOKUP(Calculator!E23,tbSkills!DH3:DJ6,3,FALSE),0),0))&gt;=100,100,(Backdoors!AI12+IF(DQ82&gt;=0.45,VLOOKUP(Calculator!E23,tbSkills!DH3:DI6,2,FALSE)+IF(AND(Calculator!B8=TRUE,Backdoors!BI20=TRUE),VLOOKUP(Calculator!E23,tbSkills!DH3:DJ6,3,FALSE),0),0)))/100)),1))*IF(VLOOKUP(A82,tbMoveset!A2:K112,11,FALSE)=TRUE,Backdoors!AC5,1))*DR82,0),"")</f>
        <v>0</v>
      </c>
      <c r="DV82" s="49">
        <f>VLOOKUP(A82,tbMoveset!A2:G112,7,FALSE)*IFERROR(IF(Backdoors!AI12&gt;=0,1+(IF(Calculator!E40&gt;0,VLOOKUP(Calculator!E40,tbSkills!AI3:AJ5,2,FALSE),Backdoors!AL4)*(IF((Backdoors!AI12+IF(DQ82&gt;=0.45,VLOOKUP(Calculator!E23,tbSkills!DH3:DI6,2,FALSE)+IF(AND(Calculator!B8=TRUE,Backdoors!BI20=TRUE),VLOOKUP(Calculator!E23,tbSkills!DH3:DJ6,3,FALSE),0),0))&gt;=100,100,(Backdoors!AI12+IF(DQ82&gt;=0.45,VLOOKUP(Calculator!E23,tbSkills!DH3:DI6,2,FALSE)+IF(AND(Calculator!B8=TRUE,Backdoors!BI20=TRUE),VLOOKUP(Calculator!E23,tbSkills!DH3:DJ6,3,FALSE),0),0)))/100)),1),1)</f>
        <v>0.7</v>
      </c>
      <c r="DW82" s="87">
        <f t="shared" si="68"/>
        <v>0</v>
      </c>
      <c r="DX82" s="86" t="str">
        <f>IFERROR(IF(VLOOKUP(A82,tbMoveset!A2:B112,2,FALSE)="Sever",Backdoors!AY21/100,IF(VLOOKUP(A82,tbMoveset!A2:B112,2,FALSE)="Blunt",Backdoors!AZ21/100,Backdoors!BA21/100)),"")</f>
        <v/>
      </c>
      <c r="DY82" s="49">
        <f>IFERROR(IF(VLOOKUP(tbMoveset!A82,tbMoveset!A2:H112,8,FALSE)="Other",IF(VLOOKUP(tbMoveset!A82,tbMoveset!A2:I112,9,FALSE)="Fire",Backdoors!BB21,IF(VLOOKUP(tbMoveset!A82,tbMoveset!A2:I112,9,FALSE)="Water",Backdoors!BC21,IF(VLOOKUP(tbMoveset!A82,tbMoveset!A2:I112,9,FALSE)="Thunder",Backdoors!BD21,IF(VLOOKUP(tbMoveset!A82,tbMoveset!A2:I112,9,FALSE)="Ice",Backdoors!BE21,IF(VLOOKUP(tbMoveset!A82,tbMoveset!A2:I112,9,FALSE)="Dragon",Backdoors!BF21,Backdoors!BG21)))))/100,Backdoors!BG21/100),"")</f>
        <v>0</v>
      </c>
      <c r="DZ82" s="49">
        <f>IFERROR(IF(VLOOKUP(A82,tbMoveset!A2:J112,10,FALSE)=TRUE,IF((Backdoors!AI12+IF(DX82&gt;=0.45,VLOOKUP(Calculator!E23,tbSkills!DH3:DI6,2,FALSE)+IF(AND(Calculator!B8=TRUE,Backdoors!BI21=TRUE),VLOOKUP(Calculator!E23,tbSkills!DH3:DJ6,3,FALSE),0),0))&gt;=0,1+(Backdoors!AL2*(IF((Backdoors!AI12+IF(DX82&gt;=0.45,VLOOKUP(Calculator!E23,tbSkills!DH3:DI6,2,FALSE)+IF(AND(Calculator!B8=TRUE,Backdoors!BI21=TRUE),VLOOKUP(Calculator!E23,tbSkills!DH3:DJ6,3,FALSE),0),0))&gt;=100,100,(Backdoors!AI12+IF(DX82&gt;=0.45,VLOOKUP(Calculator!E23,tbSkills!DH3:DI6,2,FALSE)+IF(AND(Calculator!B8=TRUE,Backdoors!BI21=TRUE),VLOOKUP(Calculator!E23,tbSkills!DH3:DJ6,3,FALSE),0),0)))/100)),(1-(0.25*((-Backdoors!AI12-IF(DX82&gt;=0.45,VLOOKUP(Calculator!E23,tbSkills!DH3:DI6,2,FALSE)+IF(AND(Calculator!B8=TRUE,Backdoors!BI21=TRUE),VLOOKUP(Calculator!E23,tbSkills!DH3:DJ6,3,FALSE),0),0))/100)))),1),"")</f>
        <v>1</v>
      </c>
      <c r="EA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X82)*DZ82)*(VLOOKUP(A82,tbMoveset!A2:C112,3,FALSE)/100)*IF(VLOOKUP(A82,tbMoveset!A2:B112,2,FALSE)="Projectile",Backdoors!N10,Backdoors!N9),0),"")</f>
        <v/>
      </c>
      <c r="EB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X82&gt;=0.45,VLOOKUP(Calculator!E23,tbSkills!DH3:DI6,2,FALSE)+IF(AND(Calculator!B8=TRUE,Backdoors!BI21=TRUE),VLOOKUP(Calculator!E23,tbSkills!DH3:DJ6,3,FALSE),0),0))&gt;=100,100,(Backdoors!AI12+IF(DX82&gt;=0.45,VLOOKUP(Calculator!E23,tbSkills!DH3:DI6,2,FALSE)+IF(AND(Calculator!B8=TRUE,Backdoors!BI21=TRUE),VLOOKUP(Calculator!E23,tbSkills!DH3:DJ6,3,FALSE),0),0)))/100)),1))*IF(VLOOKUP(A82,tbMoveset!A2:K112,11,FALSE)=TRUE,Backdoors!AC5,1))*DY82,0),"")</f>
        <v>0</v>
      </c>
      <c r="EC82" s="49">
        <f>VLOOKUP(A82,tbMoveset!A2:G112,7,FALSE)*IFERROR(IF(Backdoors!AI12&gt;=0,1+(IF(Calculator!E40&gt;0,VLOOKUP(Calculator!E40,tbSkills!AI3:AJ5,2,FALSE),Backdoors!AL4)*(IF((Backdoors!AI12+IF(DX82&gt;=0.45,VLOOKUP(Calculator!E23,tbSkills!DH3:DI6,2,FALSE)+IF(AND(Calculator!B8=TRUE,Backdoors!BI21=TRUE),VLOOKUP(Calculator!E23,tbSkills!DH3:DJ6,3,FALSE),0),0))&gt;=100,100,(Backdoors!AI12+IF(DX82&gt;=0.45,VLOOKUP(Calculator!E23,tbSkills!DH3:DI6,2,FALSE)+IF(AND(Calculator!B8=TRUE,Backdoors!BI21=TRUE),VLOOKUP(Calculator!E23,tbSkills!DH3:DJ6,3,FALSE),0),0)))/100)),1),1)</f>
        <v>0.7</v>
      </c>
      <c r="ED82" s="87">
        <f t="shared" si="69"/>
        <v>0</v>
      </c>
      <c r="EE82" s="86" t="str">
        <f>IFERROR(IF(VLOOKUP(A82,tbMoveset!A2:B112,2,FALSE)="Sever",Backdoors!AY22/100,IF(VLOOKUP(A82,tbMoveset!A2:B112,2,FALSE)="Blunt",Backdoors!AZ22/100,Backdoors!BA22/100)),"")</f>
        <v/>
      </c>
      <c r="EF82" s="49">
        <f>IFERROR(IF(VLOOKUP(tbMoveset!A82,tbMoveset!A2:H112,8,FALSE)="Other",IF(VLOOKUP(tbMoveset!A82,tbMoveset!A2:I112,9,FALSE)="Fire",Backdoors!BB22,IF(VLOOKUP(tbMoveset!A82,tbMoveset!A2:I112,9,FALSE)="Water",Backdoors!BC22,IF(VLOOKUP(tbMoveset!A82,tbMoveset!A2:I112,9,FALSE)="Thunder",Backdoors!BD22,IF(VLOOKUP(tbMoveset!A82,tbMoveset!A2:I112,9,FALSE)="Ice",Backdoors!BE22,IF(VLOOKUP(tbMoveset!A82,tbMoveset!A2:I112,9,FALSE)="Dragon",Backdoors!BF22,Backdoors!BG22)))))/100,Backdoors!BG22/100),"")</f>
        <v>0</v>
      </c>
      <c r="EG82" s="49">
        <f>IFERROR(IF(VLOOKUP(A82,tbMoveset!A2:J112,10,FALSE)=TRUE,IF((Backdoors!AI12+IF(EE82&gt;=0.45,VLOOKUP(Calculator!E23,tbSkills!DH3:DI6,2,FALSE)+IF(AND(Calculator!B8=TRUE,Backdoors!BI22=TRUE),VLOOKUP(Calculator!E23,tbSkills!DH3:DJ6,3,FALSE),0),0))&gt;=0,1+(Backdoors!AL2*(IF((Backdoors!AI12+IF(EE82&gt;=0.45,VLOOKUP(Calculator!E23,tbSkills!DH3:DI6,2,FALSE)+IF(AND(Calculator!B8=TRUE,Backdoors!BI22=TRUE),VLOOKUP(Calculator!E23,tbSkills!DH3:DJ6,3,FALSE),0),0))&gt;=100,100,(Backdoors!AI12+IF(EE82&gt;=0.45,VLOOKUP(Calculator!E23,tbSkills!DH3:DI6,2,FALSE)+IF(AND(Calculator!B8=TRUE,Backdoors!BI22=TRUE),VLOOKUP(Calculator!E23,tbSkills!DH3:DJ6,3,FALSE),0),0)))/100)),(1-(0.25*((-Backdoors!AI12-IF(EE82&gt;=0.45,VLOOKUP(Calculator!E23,tbSkills!DH3:DI6,2,FALSE)+IF(AND(Calculator!B8=TRUE,Backdoors!BI22=TRUE),VLOOKUP(Calculator!E23,tbSkills!DH3:DJ6,3,FALSE),0),0))/100)))),1),"")</f>
        <v>1</v>
      </c>
      <c r="EH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E82)*EG82)*(VLOOKUP(A82,tbMoveset!A2:C112,3,FALSE)/100)*IF(VLOOKUP(A82,tbMoveset!A2:B112,2,FALSE)="Projectile",Backdoors!N10,Backdoors!N9),0),"")</f>
        <v/>
      </c>
      <c r="EI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E82&gt;=0.45,VLOOKUP(Calculator!E23,tbSkills!DH3:DI6,2,FALSE)+IF(AND(Calculator!B8=TRUE,Backdoors!BI22=TRUE),VLOOKUP(Calculator!E23,tbSkills!DH3:DJ6,3,FALSE),0),0))&gt;=100,100,(Backdoors!AI12+IF(EE82&gt;=0.45,VLOOKUP(Calculator!E23,tbSkills!DH3:DI6,2,FALSE)+IF(AND(Calculator!B8=TRUE,Backdoors!BI22=TRUE),VLOOKUP(Calculator!E23,tbSkills!DH3:DJ6,3,FALSE),0),0)))/100)),1))*IF(VLOOKUP(A82,tbMoveset!A2:K112,11,FALSE)=TRUE,Backdoors!AC5,1))*EF82,0),"")</f>
        <v>0</v>
      </c>
      <c r="EJ82" s="49">
        <f>VLOOKUP(A82,tbMoveset!A2:G112,7,FALSE)*IFERROR(IF(Backdoors!AI12&gt;=0,1+(IF(Calculator!E40&gt;0,VLOOKUP(Calculator!E40,tbSkills!AI3:AJ5,2,FALSE),Backdoors!AL4)*(IF((Backdoors!AI12+IF(EE82&gt;=0.45,VLOOKUP(Calculator!E23,tbSkills!DH3:DI6,2,FALSE)+IF(AND(Calculator!B8=TRUE,Backdoors!BI22=TRUE),VLOOKUP(Calculator!E23,tbSkills!DH3:DJ6,3,FALSE),0),0))&gt;=100,100,(Backdoors!AI12+IF(EE82&gt;=0.45,VLOOKUP(Calculator!E23,tbSkills!DH3:DI6,2,FALSE)+IF(AND(Calculator!B8=TRUE,Backdoors!BI22=TRUE),VLOOKUP(Calculator!E23,tbSkills!DH3:DJ6,3,FALSE),0),0)))/100)),1),1)</f>
        <v>0.7</v>
      </c>
      <c r="EK82" s="87">
        <f t="shared" si="70"/>
        <v>0</v>
      </c>
      <c r="EL82" s="86" t="str">
        <f>IFERROR(IF(VLOOKUP(A82,tbMoveset!A2:B112,2,FALSE)="Sever",Backdoors!AY23/100,IF(VLOOKUP(A82,tbMoveset!A2:B112,2,FALSE)="Blunt",Backdoors!AZ23/100,Backdoors!BA23/100)),"")</f>
        <v/>
      </c>
      <c r="EM82" s="49">
        <f>IFERROR(IF(VLOOKUP(tbMoveset!A82,tbMoveset!A2:H112,8,FALSE)="Other",IF(VLOOKUP(tbMoveset!A82,tbMoveset!A2:I112,9,FALSE)="Fire",Backdoors!BB23,IF(VLOOKUP(tbMoveset!A82,tbMoveset!A2:I112,9,FALSE)="Water",Backdoors!BC23,IF(VLOOKUP(tbMoveset!A82,tbMoveset!A2:I112,9,FALSE)="Thunder",Backdoors!BD23,IF(VLOOKUP(tbMoveset!A82,tbMoveset!A2:I112,9,FALSE)="Ice",Backdoors!BE23,IF(VLOOKUP(tbMoveset!A82,tbMoveset!A2:I112,9,FALSE)="Dragon",Backdoors!BF23,Backdoors!BG23)))))/100,Backdoors!BG23/100),"")</f>
        <v>0</v>
      </c>
      <c r="EN82" s="49">
        <f>IFERROR(IF(VLOOKUP(A82,tbMoveset!A2:J112,10,FALSE)=TRUE,IF((Backdoors!AI12+IF(EL82&gt;=0.45,VLOOKUP(Calculator!E23,tbSkills!DH3:DI6,2,FALSE)+IF(AND(Calculator!B8=TRUE,Backdoors!BI23=TRUE),VLOOKUP(Calculator!E23,tbSkills!DH3:DJ6,3,FALSE),0),0))&gt;=0,1+(Backdoors!AL2*(IF((Backdoors!AI12+IF(EL82&gt;=0.45,VLOOKUP(Calculator!E23,tbSkills!DH3:DI6,2,FALSE)+IF(AND(Calculator!B8=TRUE,Backdoors!BI23=TRUE),VLOOKUP(Calculator!E23,tbSkills!DH3:DJ6,3,FALSE),0),0))&gt;=100,100,(Backdoors!AI12+IF(EL82&gt;=0.45,VLOOKUP(Calculator!E23,tbSkills!DH3:DI6,2,FALSE)+IF(AND(Calculator!B8=TRUE,Backdoors!BI23=TRUE),VLOOKUP(Calculator!E23,tbSkills!DH3:DJ6,3,FALSE),0),0)))/100)),(1-(0.25*((-Backdoors!AI12-IF(EL82&gt;=0.45,VLOOKUP(Calculator!E23,tbSkills!DH3:DI6,2,FALSE)+IF(AND(Calculator!B8=TRUE,Backdoors!BI23=TRUE),VLOOKUP(Calculator!E23,tbSkills!DH3:DJ6,3,FALSE),0),0))/100)))),1),"")</f>
        <v>1</v>
      </c>
      <c r="EO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L82)*EN82)*(VLOOKUP(A82,tbMoveset!A2:C112,3,FALSE)/100)*IF(VLOOKUP(A82,tbMoveset!A2:B112,2,FALSE)="Projectile",Backdoors!N10,Backdoors!N9),0),"")</f>
        <v/>
      </c>
      <c r="EP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L82&gt;=0.45,VLOOKUP(Calculator!E23,tbSkills!DH3:DI6,2,FALSE)+IF(AND(Calculator!B8=TRUE,Backdoors!BI23=TRUE),VLOOKUP(Calculator!E23,tbSkills!DH3:DJ6,3,FALSE),0),0))&gt;=100,100,(Backdoors!AI12+IF(EL82&gt;=0.45,VLOOKUP(Calculator!E23,tbSkills!DH3:DI6,2,FALSE)+IF(AND(Calculator!B8=TRUE,Backdoors!BI23=TRUE),VLOOKUP(Calculator!E23,tbSkills!DH3:DJ6,3,FALSE),0),0)))/100)),1))*IF(VLOOKUP(A82,tbMoveset!A2:K112,11,FALSE)=TRUE,Backdoors!AC5,1))*EM82,0),"")</f>
        <v>0</v>
      </c>
      <c r="EQ82" s="49">
        <f>VLOOKUP(A82,tbMoveset!A2:G112,7,FALSE)*IFERROR(IF(Backdoors!AI12&gt;=0,1+(IF(Calculator!E40&gt;0,VLOOKUP(Calculator!E40,tbSkills!AI3:AJ5,2,FALSE),Backdoors!AL4)*(IF((Backdoors!AI12+IF(EL82&gt;=0.45,VLOOKUP(Calculator!E23,tbSkills!DH3:DI6,2,FALSE)+IF(AND(Calculator!B8=TRUE,Backdoors!BI23=TRUE),VLOOKUP(Calculator!E23,tbSkills!DH3:DJ6,3,FALSE),0),0))&gt;=100,100,(Backdoors!AI12+IF(EL82&gt;=0.45,VLOOKUP(Calculator!E23,tbSkills!DH3:DI6,2,FALSE)+IF(AND(Calculator!B8=TRUE,Backdoors!BI23=TRUE),VLOOKUP(Calculator!E23,tbSkills!DH3:DJ6,3,FALSE),0),0)))/100)),1),1)</f>
        <v>0.7</v>
      </c>
      <c r="ER82" s="87">
        <f t="shared" si="71"/>
        <v>0</v>
      </c>
      <c r="ES82" s="86" t="str">
        <f>IFERROR(IF(VLOOKUP(A82,tbMoveset!A2:B112,2,FALSE)="Sever",Backdoors!AY24/100,IF(VLOOKUP(A82,tbMoveset!A2:B112,2,FALSE)="Blunt",Backdoors!AZ24/100,Backdoors!BA24/100)),"")</f>
        <v/>
      </c>
      <c r="ET82" s="49">
        <f>IFERROR(IF(VLOOKUP(tbMoveset!A82,tbMoveset!A2:H112,8,FALSE)="Other",IF(VLOOKUP(tbMoveset!A82,tbMoveset!A2:I112,9,FALSE)="Fire",Backdoors!BB24,IF(VLOOKUP(tbMoveset!A82,tbMoveset!A2:I112,9,FALSE)="Water",Backdoors!BC24,IF(VLOOKUP(tbMoveset!A82,tbMoveset!A2:I112,9,FALSE)="Thunder",Backdoors!BD24,IF(VLOOKUP(tbMoveset!A82,tbMoveset!A2:I112,9,FALSE)="Ice",Backdoors!BE24,IF(VLOOKUP(tbMoveset!A82,tbMoveset!A2:I112,9,FALSE)="Dragon",Backdoors!BF24,Backdoors!BG24)))))/100,Backdoors!BG24/100),"")</f>
        <v>0</v>
      </c>
      <c r="EU82" s="49">
        <f>IFERROR(IF(VLOOKUP(A82,tbMoveset!A2:J112,10,FALSE)=TRUE,IF((Backdoors!AI12+IF(ES82&gt;=0.45,VLOOKUP(Calculator!E23,tbSkills!DH3:DI6,2,FALSE)+IF(AND(Calculator!B8=TRUE,Backdoors!BI24=TRUE),VLOOKUP(Calculator!E23,tbSkills!DH3:DJ6,3,FALSE),0),0))&gt;=0,1+(Backdoors!AL2*(IF((Backdoors!AI12+IF(ES82&gt;=0.45,VLOOKUP(Calculator!E23,tbSkills!DH3:DI6,2,FALSE)+IF(AND(Calculator!B8=TRUE,Backdoors!BI24=TRUE),VLOOKUP(Calculator!E23,tbSkills!DH3:DJ6,3,FALSE),0),0))&gt;=100,100,(Backdoors!AI12+IF(ES82&gt;=0.45,VLOOKUP(Calculator!E23,tbSkills!DH3:DI6,2,FALSE)+IF(AND(Calculator!B8=TRUE,Backdoors!BI24=TRUE),VLOOKUP(Calculator!E23,tbSkills!DH3:DJ6,3,FALSE),0),0)))/100)),(1-(0.25*((-Backdoors!AI12-IF(ES82&gt;=0.45,VLOOKUP(Calculator!E23,tbSkills!DH3:DI6,2,FALSE)+IF(AND(Calculator!B8=TRUE,Backdoors!BI24=TRUE),VLOOKUP(Calculator!E23,tbSkills!DH3:DJ6,3,FALSE),0),0))/100)))),1),"")</f>
        <v>1</v>
      </c>
      <c r="EV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S82)*EU82)*(VLOOKUP(A82,tbMoveset!A2:C112,3,FALSE)/100)*IF(VLOOKUP(A82,tbMoveset!A2:B112,2,FALSE)="Projectile",Backdoors!N10,Backdoors!N9),0),"")</f>
        <v/>
      </c>
      <c r="EW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S82&gt;=0.45,VLOOKUP(Calculator!E23,tbSkills!DH3:DI6,2,FALSE)+IF(AND(Calculator!B8=TRUE,Backdoors!BI24=TRUE),VLOOKUP(Calculator!E23,tbSkills!DH3:DJ6,3,FALSE),0),0))&gt;=100,100,(Backdoors!AI12+IF(ES82&gt;=0.45,VLOOKUP(Calculator!E23,tbSkills!DH3:DI6,2,FALSE)+IF(AND(Calculator!B8=TRUE,Backdoors!BI24=TRUE),VLOOKUP(Calculator!E23,tbSkills!DH3:DJ6,3,FALSE),0),0)))/100)),1))*IF(VLOOKUP(A82,tbMoveset!A2:K112,11,FALSE)=TRUE,Backdoors!AC5,1))*ET82,0),"")</f>
        <v>0</v>
      </c>
      <c r="EX82" s="49">
        <f>VLOOKUP(A82,tbMoveset!A2:G112,7,FALSE)*IFERROR(IF(Backdoors!AI12&gt;=0,1+(IF(Calculator!E40&gt;0,VLOOKUP(Calculator!E40,tbSkills!AI3:AJ5,2,FALSE),Backdoors!AL4)*(IF((Backdoors!AI12+IF(ES82&gt;=0.45,VLOOKUP(Calculator!E23,tbSkills!DH3:DI6,2,FALSE)+IF(AND(Calculator!B8=TRUE,Backdoors!BI24=TRUE),VLOOKUP(Calculator!E23,tbSkills!DH3:DJ6,3,FALSE),0),0))&gt;=100,100,(Backdoors!AI12+IF(ES82&gt;=0.45,VLOOKUP(Calculator!E23,tbSkills!DH3:DI6,2,FALSE)+IF(AND(Calculator!B8=TRUE,Backdoors!BI24=TRUE),VLOOKUP(Calculator!E23,tbSkills!DH3:DJ6,3,FALSE),0),0)))/100)),1),1)</f>
        <v>0.7</v>
      </c>
      <c r="EY82" s="87">
        <f t="shared" si="72"/>
        <v>0</v>
      </c>
      <c r="EZ82" s="86" t="str">
        <f>IFERROR(IF(VLOOKUP(A82,tbMoveset!A2:B112,2,FALSE)="Sever",Backdoors!AY25/100,IF(VLOOKUP(A82,tbMoveset!A2:B112,2,FALSE)="Blunt",Backdoors!AZ25/100,Backdoors!BA25/100)),"")</f>
        <v/>
      </c>
      <c r="FA82" s="49">
        <f>IFERROR(IF(VLOOKUP(tbMoveset!A82,tbMoveset!A2:H112,8,FALSE)="Other",IF(VLOOKUP(tbMoveset!A82,tbMoveset!A2:I112,9,FALSE)="Fire",Backdoors!BB25,IF(VLOOKUP(tbMoveset!A82,tbMoveset!A2:I112,9,FALSE)="Water",Backdoors!BC25,IF(VLOOKUP(tbMoveset!A82,tbMoveset!A2:I112,9,FALSE)="Thunder",Backdoors!BD25,IF(VLOOKUP(tbMoveset!A82,tbMoveset!A2:I112,9,FALSE)="Ice",Backdoors!BE25,IF(VLOOKUP(tbMoveset!A82,tbMoveset!A2:I112,9,FALSE)="Dragon",Backdoors!BF25,Backdoors!BG25)))))/100,Backdoors!BG25/100),"")</f>
        <v>0</v>
      </c>
      <c r="FB82" s="49">
        <f>IFERROR(IF(VLOOKUP(A82,tbMoveset!A2:J112,10,FALSE)=TRUE,IF((Backdoors!AI12+IF(EZ82&gt;=0.45,VLOOKUP(Calculator!E23,tbSkills!DH3:DI6,2,FALSE)+IF(AND(Calculator!B8=TRUE,Backdoors!BI25=TRUE),VLOOKUP(Calculator!E23,tbSkills!DH3:DJ6,3,FALSE),0),0))&gt;=0,1+(Backdoors!AL2*(IF((Backdoors!AI12+IF(EZ82&gt;=0.45,VLOOKUP(Calculator!E23,tbSkills!DH3:DI6,2,FALSE)+IF(AND(Calculator!B8=TRUE,Backdoors!BI25=TRUE),VLOOKUP(Calculator!E23,tbSkills!DH3:DJ6,3,FALSE),0),0))&gt;=100,100,(Backdoors!AI12+IF(EZ82&gt;=0.45,VLOOKUP(Calculator!E23,tbSkills!DH3:DI6,2,FALSE)+IF(AND(Calculator!B8=TRUE,Backdoors!BI25=TRUE),VLOOKUP(Calculator!E23,tbSkills!DH3:DJ6,3,FALSE),0),0)))/100)),(1-(0.25*((-Backdoors!AI12-IF(EZ82&gt;=0.45,VLOOKUP(Calculator!E23,tbSkills!DH3:DI6,2,FALSE)+IF(AND(Calculator!B8=TRUE,Backdoors!BI25=TRUE),VLOOKUP(Calculator!E23,tbSkills!DH3:DJ6,3,FALSE),0),0))/100)))),1),"")</f>
        <v>1</v>
      </c>
      <c r="FC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Z82)*FB82)*(VLOOKUP(A82,tbMoveset!A2:C112,3,FALSE)/100)*IF(VLOOKUP(A82,tbMoveset!A2:B112,2,FALSE)="Projectile",Backdoors!N10,Backdoors!N9),0),"")</f>
        <v/>
      </c>
      <c r="FD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Z82&gt;=0.45,VLOOKUP(Calculator!E23,tbSkills!DH3:DI6,2,FALSE)+IF(AND(Calculator!B8=TRUE,Backdoors!BI25=TRUE),VLOOKUP(Calculator!E23,tbSkills!DH3:DJ6,3,FALSE),0),0))&gt;=100,100,(Backdoors!AI12+IF(EZ82&gt;=0.45,VLOOKUP(Calculator!E23,tbSkills!DH3:DI6,2,FALSE)+IF(AND(Calculator!B8=TRUE,Backdoors!BI25=TRUE),VLOOKUP(Calculator!E23,tbSkills!DH3:DJ6,3,FALSE),0),0)))/100)),1))*IF(VLOOKUP(A82,tbMoveset!A2:K112,11,FALSE)=TRUE,Backdoors!AC5,1))*FA82,0),"")</f>
        <v>0</v>
      </c>
      <c r="FE82" s="49">
        <f>VLOOKUP(A82,tbMoveset!A2:G112,7,FALSE)*IFERROR(IF(Backdoors!AI12&gt;=0,1+(IF(Calculator!E40&gt;0,VLOOKUP(Calculator!E40,tbSkills!AI3:AJ5,2,FALSE),Backdoors!AL4)*(IF((Backdoors!AI12+IF(EZ82&gt;=0.45,VLOOKUP(Calculator!E23,tbSkills!DH3:DI6,2,FALSE)+IF(AND(Calculator!B8=TRUE,Backdoors!BI25=TRUE),VLOOKUP(Calculator!E23,tbSkills!DH3:DJ6,3,FALSE),0),0))&gt;=100,100,(Backdoors!AI12+IF(EZ82&gt;=0.45,VLOOKUP(Calculator!E23,tbSkills!DH3:DI6,2,FALSE)+IF(AND(Calculator!B8=TRUE,Backdoors!BI25=TRUE),VLOOKUP(Calculator!E23,tbSkills!DH3:DJ6,3,FALSE),0),0)))/100)),1),1)</f>
        <v>0.7</v>
      </c>
      <c r="FF82" s="87">
        <f t="shared" si="73"/>
        <v>0</v>
      </c>
      <c r="FG82" s="86" t="str">
        <f>IFERROR(IF(VLOOKUP(A82,tbMoveset!A2:B112,2,FALSE)="Sever",Backdoors!AY26/100,IF(VLOOKUP(A82,tbMoveset!A2:B112,2,FALSE)="Blunt",Backdoors!AZ26/100,Backdoors!BA26/100)),"")</f>
        <v/>
      </c>
      <c r="FH82" s="49">
        <f>IFERROR(IF(VLOOKUP(tbMoveset!A82,tbMoveset!A2:H112,8,FALSE)="Other",IF(VLOOKUP(tbMoveset!A82,tbMoveset!A2:I112,9,FALSE)="Fire",Backdoors!BB26,IF(VLOOKUP(tbMoveset!A82,tbMoveset!A2:I112,9,FALSE)="Water",Backdoors!BC26,IF(VLOOKUP(tbMoveset!A82,tbMoveset!A2:I112,9,FALSE)="Thunder",Backdoors!BD26,IF(VLOOKUP(tbMoveset!A82,tbMoveset!A2:I112,9,FALSE)="Ice",Backdoors!BE26,IF(VLOOKUP(tbMoveset!A82,tbMoveset!A2:I112,9,FALSE)="Dragon",Backdoors!BF26,Backdoors!BG26)))))/100,Backdoors!BG26/100),"")</f>
        <v>0</v>
      </c>
      <c r="FI82" s="49">
        <f>IFERROR(IF(VLOOKUP(A82,tbMoveset!A2:J112,10,FALSE)=TRUE,IF((Backdoors!AI12+IF(FG82&gt;=0.45,VLOOKUP(Calculator!E23,tbSkills!DH3:DI6,2,FALSE)+IF(AND(Calculator!B8=TRUE,Backdoors!BI26=TRUE),VLOOKUP(Calculator!E23,tbSkills!DH3:DJ6,3,FALSE),0),0))&gt;=0,1+(Backdoors!AL2*(IF((Backdoors!AI12+IF(FG82&gt;=0.45,VLOOKUP(Calculator!E23,tbSkills!DH3:DI6,2,FALSE)+IF(AND(Calculator!B8=TRUE,Backdoors!BI26=TRUE),VLOOKUP(Calculator!E23,tbSkills!DH3:DJ6,3,FALSE),0),0))&gt;=100,100,(Backdoors!AI12+IF(FG82&gt;=0.45,VLOOKUP(Calculator!E23,tbSkills!DH3:DI6,2,FALSE)+IF(AND(Calculator!B8=TRUE,Backdoors!BI26=TRUE),VLOOKUP(Calculator!E23,tbSkills!DH3:DJ6,3,FALSE),0),0)))/100)),(1-(0.25*((-Backdoors!AI12-IF(FG82&gt;=0.45,VLOOKUP(Calculator!E23,tbSkills!DH3:DI6,2,FALSE)+IF(AND(Calculator!B8=TRUE,Backdoors!BI26=TRUE),VLOOKUP(Calculator!E23,tbSkills!DH3:DJ6,3,FALSE),0),0))/100)))),1),"")</f>
        <v>1</v>
      </c>
      <c r="FJ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FG82)*FI82)*(VLOOKUP(A82,tbMoveset!A2:C112,3,FALSE)/100)*IF(VLOOKUP(A82,tbMoveset!A2:B112,2,FALSE)="Projectile",Backdoors!N10,Backdoors!N9),0),"")</f>
        <v/>
      </c>
      <c r="FK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FG82&gt;=0.45,VLOOKUP(Calculator!E23,tbSkills!DH3:DI6,2,FALSE)+IF(AND(Calculator!B8=TRUE,Backdoors!BI26=TRUE),VLOOKUP(Calculator!E23,tbSkills!DH3:DJ6,3,FALSE),0),0))&gt;=100,100,(Backdoors!AI12+IF(FG82&gt;=0.45,VLOOKUP(Calculator!E23,tbSkills!DH3:DI6,2,FALSE)+IF(AND(Calculator!B8=TRUE,Backdoors!BI26=TRUE),VLOOKUP(Calculator!E23,tbSkills!DH3:DJ6,3,FALSE),0),0)))/100)),1))*IF(VLOOKUP(A82,tbMoveset!A2:K112,11,FALSE)=TRUE,Backdoors!AC5,1))*FH82,0),"")</f>
        <v>0</v>
      </c>
      <c r="FL82" s="49">
        <f>VLOOKUP(A82,tbMoveset!A2:G112,7,FALSE)*IFERROR(IF(Backdoors!AI12&gt;=0,1+(IF(Calculator!E40&gt;0,VLOOKUP(Calculator!E40,tbSkills!AI3:AJ5,2,FALSE),Backdoors!AL4)*(IF((Backdoors!AI12+IF(FG82&gt;=0.45,VLOOKUP(Calculator!E23,tbSkills!DH3:DI6,2,FALSE)+IF(AND(Calculator!B8=TRUE,Backdoors!BI26=TRUE),VLOOKUP(Calculator!E23,tbSkills!DH3:DJ6,3,FALSE),0),0))&gt;=100,100,(Backdoors!AI12+IF(FG82&gt;=0.45,VLOOKUP(Calculator!E23,tbSkills!DH3:DI6,2,FALSE)+IF(AND(Calculator!B8=TRUE,Backdoors!BI26=TRUE),VLOOKUP(Calculator!E23,tbSkills!DH3:DJ6,3,FALSE),0),0)))/100)),1),1)</f>
        <v>0.7</v>
      </c>
      <c r="FM82" s="87">
        <f t="shared" si="74"/>
        <v>0</v>
      </c>
      <c r="FN82" s="86" t="str">
        <f>IFERROR(IF(VLOOKUP(A82,tbMoveset!A2:B112,2,FALSE)="Sever",Backdoors!AY27/100,IF(VLOOKUP(A82,tbMoveset!A2:B112,2,FALSE)="Blunt",Backdoors!AZ27/100,Backdoors!BA27/100)),"")</f>
        <v/>
      </c>
      <c r="FO82" s="49">
        <f>IFERROR(IF(VLOOKUP(tbMoveset!A82,tbMoveset!A2:H112,8,FALSE)="Other",IF(VLOOKUP(tbMoveset!A82,tbMoveset!A2:I112,9,FALSE)="Fire",Backdoors!BB27,IF(VLOOKUP(tbMoveset!A82,tbMoveset!A2:I112,9,FALSE)="Water",Backdoors!BC27,IF(VLOOKUP(tbMoveset!A82,tbMoveset!A2:I112,9,FALSE)="Thunder",Backdoors!BD27,IF(VLOOKUP(tbMoveset!A82,tbMoveset!A2:I112,9,FALSE)="Ice",Backdoors!BE27,IF(VLOOKUP(tbMoveset!A82,tbMoveset!A2:I112,9,FALSE)="Dragon",Backdoors!BF27,Backdoors!BG27)))))/100,Backdoors!BG27/100),"")</f>
        <v>0</v>
      </c>
      <c r="FP82" s="49">
        <f>IFERROR(IF(VLOOKUP(A82,tbMoveset!A2:J112,10,FALSE)=TRUE,IF((Backdoors!AI12+IF(FN82&gt;=0.45,VLOOKUP(Calculator!E23,tbSkills!DH3:DI6,2,FALSE)+IF(AND(Calculator!B8=TRUE,Backdoors!BI27=TRUE),VLOOKUP(Calculator!E23,tbSkills!DH3:DJ6,3,FALSE),0),0))&gt;=0,1+(Backdoors!AL2*(IF((Backdoors!AI12+IF(FN82&gt;=0.45,VLOOKUP(Calculator!E23,tbSkills!DH3:DI6,2,FALSE)+IF(AND(Calculator!B8=TRUE,Backdoors!BI27=TRUE),VLOOKUP(Calculator!E23,tbSkills!DH3:DJ6,3,FALSE),0),0))&gt;=100,100,(Backdoors!AI12+IF(FN82&gt;=0.45,VLOOKUP(Calculator!E23,tbSkills!DH3:DI6,2,FALSE)+IF(AND(Calculator!B8=TRUE,Backdoors!BI27=TRUE),VLOOKUP(Calculator!E23,tbSkills!DH3:DJ6,3,FALSE),0),0)))/100)),(1-(0.25*((-Backdoors!AI12-IF(FN82&gt;=0.45,VLOOKUP(Calculator!E23,tbSkills!DH3:DI6,2,FALSE)+IF(AND(Calculator!B8=TRUE,Backdoors!BI27=TRUE),VLOOKUP(Calculator!E23,tbSkills!DH3:DJ6,3,FALSE),0),0))/100)))),1),"")</f>
        <v>1</v>
      </c>
      <c r="FQ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FN82)*FP82)*(VLOOKUP(A82,tbMoveset!A2:C112,3,FALSE)/100)*IF(VLOOKUP(A82,tbMoveset!A2:B112,2,FALSE)="Projectile",Backdoors!N10,Backdoors!N9),0),"")</f>
        <v/>
      </c>
      <c r="FR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FN82&gt;=0.45,VLOOKUP(Calculator!E23,tbSkills!DH3:DI6,2,FALSE)+IF(AND(Calculator!B8=TRUE,Backdoors!BI27=TRUE),VLOOKUP(Calculator!E23,tbSkills!DH3:DJ6,3,FALSE),0),0))&gt;=100,100,(Backdoors!AI12+IF(FN82&gt;=0.45,VLOOKUP(Calculator!E23,tbSkills!DH3:DI6,2,FALSE)+IF(AND(Calculator!B8=TRUE,Backdoors!BI27=TRUE),VLOOKUP(Calculator!E23,tbSkills!DH3:DJ6,3,FALSE),0),0)))/100)),1))*IF(VLOOKUP(A82,tbMoveset!A2:K112,11,FALSE)=TRUE,Backdoors!AC5,1))*FO82,0),"")</f>
        <v>0</v>
      </c>
      <c r="FS82" s="49">
        <f>VLOOKUP(A82,tbMoveset!A2:G112,7,FALSE)*IFERROR(IF(Backdoors!AI12&gt;=0,1+(IF(Calculator!E40&gt;0,VLOOKUP(Calculator!E40,tbSkills!AI3:AJ5,2,FALSE),Backdoors!AL4)*(IF((Backdoors!AI12+IF(FN82&gt;=0.45,VLOOKUP(Calculator!E23,tbSkills!DH3:DI6,2,FALSE)+IF(AND(Calculator!B8=TRUE,Backdoors!BI27=TRUE),VLOOKUP(Calculator!E23,tbSkills!DH3:DJ6,3,FALSE),0),0))&gt;=100,100,(Backdoors!AI12+IF(FN82&gt;=0.45,VLOOKUP(Calculator!E23,tbSkills!DH3:DI6,2,FALSE)+IF(AND(Calculator!B8=TRUE,Backdoors!BI27=TRUE),VLOOKUP(Calculator!E23,tbSkills!DH3:DJ6,3,FALSE),0),0)))/100)),1),1)</f>
        <v>0.7</v>
      </c>
      <c r="FT82" s="87">
        <f t="shared" si="75"/>
        <v>0</v>
      </c>
      <c r="FU82" s="86" t="str">
        <f>IFERROR(IF(VLOOKUP(A82,tbMoveset!A2:B112,2,FALSE)="Sever",Backdoors!AY28/100,IF(VLOOKUP(A82,tbMoveset!A2:B112,2,FALSE)="Blunt",Backdoors!AZ28/100,Backdoors!BA28/100)),"")</f>
        <v/>
      </c>
      <c r="FV82" s="49">
        <f>IFERROR(IF(VLOOKUP(tbMoveset!A82,tbMoveset!A2:H112,8,FALSE)="Other",IF(VLOOKUP(tbMoveset!A82,tbMoveset!A2:I112,9,FALSE)="Fire",Backdoors!BB28,IF(VLOOKUP(tbMoveset!A82,tbMoveset!A2:I112,9,FALSE)="Water",Backdoors!BC28,IF(VLOOKUP(tbMoveset!A82,tbMoveset!A2:I112,9,FALSE)="Thunder",Backdoors!BD28,IF(VLOOKUP(tbMoveset!A82,tbMoveset!A2:I112,9,FALSE)="Ice",Backdoors!BE28,IF(VLOOKUP(tbMoveset!A82,tbMoveset!A2:I112,9,FALSE)="Dragon",Backdoors!BF28,Backdoors!BG28)))))/100,Backdoors!BG28/100),"")</f>
        <v>0</v>
      </c>
      <c r="FW82" s="49">
        <f>IFERROR(IF(VLOOKUP(A82,tbMoveset!A2:J112,10,FALSE)=TRUE,IF((Backdoors!AI12+IF(FU82&gt;=0.45,VLOOKUP(Calculator!E23,tbSkills!DH3:DI6,2,FALSE)+IF(AND(Calculator!B8=TRUE,Backdoors!BI28=TRUE),VLOOKUP(Calculator!E23,tbSkills!DH3:DJ6,3,FALSE),0),0))&gt;=0,1+(Backdoors!AL2*(IF((Backdoors!AI12+IF(FU82&gt;=0.45,VLOOKUP(Calculator!E23,tbSkills!DH3:DI6,2,FALSE)+IF(AND(Calculator!B8=TRUE,Backdoors!BI28=TRUE),VLOOKUP(Calculator!E23,tbSkills!DH3:DJ6,3,FALSE),0),0))&gt;=100,100,(Backdoors!AI12+IF(FU82&gt;=0.45,VLOOKUP(Calculator!E23,tbSkills!DH3:DI6,2,FALSE)+IF(AND(Calculator!B8=TRUE,Backdoors!BI28=TRUE),VLOOKUP(Calculator!E23,tbSkills!DH3:DJ6,3,FALSE),0),0)))/100)),(1-(0.25*((-Backdoors!AI12-IF(FU82&gt;=0.45,VLOOKUP(Calculator!E23,tbSkills!DH3:DI6,2,FALSE)+IF(AND(Calculator!B8=TRUE,Backdoors!BI28=TRUE),VLOOKUP(Calculator!E23,tbSkills!DH3:DJ6,3,FALSE),0),0))/100)))),1),"")</f>
        <v>1</v>
      </c>
      <c r="FX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FU82)*FW82)*(VLOOKUP(A82,tbMoveset!A2:C112,3,FALSE)/100)*IF(VLOOKUP(A82,tbMoveset!A2:B112,2,FALSE)="Projectile",Backdoors!N10,Backdoors!N9),0),"")</f>
        <v/>
      </c>
      <c r="FY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FU82&gt;=0.45,VLOOKUP(Calculator!E23,tbSkills!DH3:DI6,2,FALSE)+IF(AND(Calculator!B8=TRUE,Backdoors!BI28=TRUE),VLOOKUP(Calculator!E23,tbSkills!DH3:DJ6,3,FALSE),0),0))&gt;=100,100,(Backdoors!AI12+IF(FU82&gt;=0.45,VLOOKUP(Calculator!E23,tbSkills!DH3:DI6,2,FALSE)+IF(AND(Calculator!B8=TRUE,Backdoors!BI28=TRUE),VLOOKUP(Calculator!E23,tbSkills!DH3:DJ6,3,FALSE),0),0)))/100)),1))*IF(VLOOKUP(A82,tbMoveset!A2:K112,11,FALSE)=TRUE,Backdoors!AC5,1))*FV82,0),"")</f>
        <v>0</v>
      </c>
      <c r="FZ82" s="49">
        <f>VLOOKUP(A82,tbMoveset!A2:G112,7,FALSE)*IFERROR(IF(Backdoors!AI12&gt;=0,1+(IF(Calculator!E40&gt;0,VLOOKUP(Calculator!E40,tbSkills!AI3:AJ5,2,FALSE),Backdoors!AL4)*(IF((Backdoors!AI12+IF(FU82&gt;=0.45,VLOOKUP(Calculator!E23,tbSkills!DH3:DI6,2,FALSE)+IF(AND(Calculator!B8=TRUE,Backdoors!BI28=TRUE),VLOOKUP(Calculator!E23,tbSkills!DH3:DJ6,3,FALSE),0),0))&gt;=100,100,(Backdoors!AI12+IF(FU82&gt;=0.45,VLOOKUP(Calculator!E23,tbSkills!DH3:DI6,2,FALSE)+IF(AND(Calculator!B8=TRUE,Backdoors!BI28=TRUE),VLOOKUP(Calculator!E23,tbSkills!DH3:DJ6,3,FALSE),0),0)))/100)),1),1)</f>
        <v>0.7</v>
      </c>
      <c r="GA82" s="87">
        <f t="shared" si="76"/>
        <v>0</v>
      </c>
      <c r="GB82" s="86" t="str">
        <f>IFERROR(IF(VLOOKUP(A82,tbMoveset!A2:B112,2,FALSE)="Sever",Backdoors!AY29/100,IF(VLOOKUP(A82,tbMoveset!A2:B112,2,FALSE)="Blunt",Backdoors!AZ29/100,Backdoors!BA29/100)),"")</f>
        <v/>
      </c>
      <c r="GC82" s="49">
        <f>IFERROR(IF(VLOOKUP(tbMoveset!A82,tbMoveset!A2:H112,8,FALSE)="Other",IF(VLOOKUP(tbMoveset!A82,tbMoveset!A2:I112,9,FALSE)="Fire",Backdoors!BB29,IF(VLOOKUP(tbMoveset!A82,tbMoveset!A2:I112,9,FALSE)="Water",Backdoors!BC29,IF(VLOOKUP(tbMoveset!A82,tbMoveset!A2:I112,9,FALSE)="Thunder",Backdoors!BD29,IF(VLOOKUP(tbMoveset!A82,tbMoveset!A2:I112,9,FALSE)="Ice",Backdoors!BE29,IF(VLOOKUP(tbMoveset!A82,tbMoveset!A2:I112,9,FALSE)="Dragon",Backdoors!BF29,Backdoors!BG29)))))/100,Backdoors!BG29/100),"")</f>
        <v>0</v>
      </c>
      <c r="GD82" s="49">
        <f>IFERROR(IF(VLOOKUP(A82,tbMoveset!A2:J112,10,FALSE)=TRUE,IF((Backdoors!AI12+IF(GB82&gt;=0.45,VLOOKUP(Calculator!E23,tbSkills!DH3:DI6,2,FALSE)+IF(AND(Calculator!B8=TRUE,Backdoors!BI29=TRUE),VLOOKUP(Calculator!E23,tbSkills!DH3:DJ6,3,FALSE),0),0))&gt;=0,1+(Backdoors!AL2*(IF((Backdoors!AI12+IF(GB82&gt;=0.45,VLOOKUP(Calculator!E23,tbSkills!DH3:DI6,2,FALSE)+IF(AND(Calculator!B8=TRUE,Backdoors!BI29=TRUE),VLOOKUP(Calculator!E23,tbSkills!DH3:DJ6,3,FALSE),0),0))&gt;=100,100,(Backdoors!AI12+IF(GB82&gt;=0.45,VLOOKUP(Calculator!E23,tbSkills!DH3:DI6,2,FALSE)+IF(AND(Calculator!B8=TRUE,Backdoors!BI29=TRUE),VLOOKUP(Calculator!E23,tbSkills!DH3:DJ6,3,FALSE),0),0)))/100)),(1-(0.25*((-Backdoors!AI12-IF(GB82&gt;=0.45,VLOOKUP(Calculator!E23,tbSkills!DH3:DI6,2,FALSE)+IF(AND(Calculator!B8=TRUE,Backdoors!BI29=TRUE),VLOOKUP(Calculator!E23,tbSkills!DH3:DJ6,3,FALSE),0),0))/100)))),1),"")</f>
        <v>1</v>
      </c>
      <c r="GE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B82)*GD82)*(VLOOKUP(A82,tbMoveset!A2:C112,3,FALSE)/100)*IF(VLOOKUP(A82,tbMoveset!A2:B112,2,FALSE)="Projectile",Backdoors!N10,Backdoors!N9),0),"")</f>
        <v/>
      </c>
      <c r="GF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B82&gt;=0.45,VLOOKUP(Calculator!E23,tbSkills!DH3:DI6,2,FALSE)+IF(AND(Calculator!B8=TRUE,Backdoors!BI29=TRUE),VLOOKUP(Calculator!E23,tbSkills!DH3:DJ6,3,FALSE),0),0))&gt;=100,100,(Backdoors!AI12+IF(GB82&gt;=0.45,VLOOKUP(Calculator!E23,tbSkills!DH3:DI6,2,FALSE)+IF(AND(Calculator!B8=TRUE,Backdoors!BI29=TRUE),VLOOKUP(Calculator!E23,tbSkills!DH3:DJ6,3,FALSE),0),0)))/100)),1))*IF(VLOOKUP(A82,tbMoveset!A2:K112,11,FALSE)=TRUE,Backdoors!AC5,1))*GC82,0),"")</f>
        <v>0</v>
      </c>
      <c r="GG82" s="49">
        <f>VLOOKUP(A82,tbMoveset!A2:G112,7,FALSE)*IFERROR(IF(Backdoors!AI12&gt;=0,1+(IF(Calculator!E40&gt;0,VLOOKUP(Calculator!E40,tbSkills!AI3:AJ5,2,FALSE),Backdoors!AL4)*(IF((Backdoors!AI12+IF(GB82&gt;=0.45,VLOOKUP(Calculator!E23,tbSkills!DH3:DI6,2,FALSE)+IF(AND(Calculator!B8=TRUE,Backdoors!BI29=TRUE),VLOOKUP(Calculator!E23,tbSkills!DH3:DJ6,3,FALSE),0),0))&gt;=100,100,(Backdoors!AI12+IF(GB82&gt;=0.45,VLOOKUP(Calculator!E23,tbSkills!DH3:DI6,2,FALSE)+IF(AND(Calculator!B8=TRUE,Backdoors!BI29=TRUE),VLOOKUP(Calculator!E23,tbSkills!DH3:DJ6,3,FALSE),0),0)))/100)),1),1)</f>
        <v>0.7</v>
      </c>
      <c r="GH82" s="87">
        <f t="shared" si="77"/>
        <v>0</v>
      </c>
      <c r="GI82" s="86" t="str">
        <f>IFERROR(IF(VLOOKUP(A82,tbMoveset!A2:B112,2,FALSE)="Sever",Backdoors!AY30/100,IF(VLOOKUP(A82,tbMoveset!A2:B112,2,FALSE)="Blunt",Backdoors!AZ30/100,Backdoors!BA30/100)),"")</f>
        <v/>
      </c>
      <c r="GJ82" s="49">
        <f>IFERROR(IF(VLOOKUP(tbMoveset!A82,tbMoveset!A2:H112,8,FALSE)="Other",IF(VLOOKUP(tbMoveset!A82,tbMoveset!A2:I112,9,FALSE)="Fire",Backdoors!BB30,IF(VLOOKUP(tbMoveset!A82,tbMoveset!A2:I112,9,FALSE)="Water",Backdoors!BC30,IF(VLOOKUP(tbMoveset!A82,tbMoveset!A2:I112,9,FALSE)="Thunder",Backdoors!BD30,IF(VLOOKUP(tbMoveset!A82,tbMoveset!A2:I112,9,FALSE)="Ice",Backdoors!BE30,IF(VLOOKUP(tbMoveset!A82,tbMoveset!A2:I112,9,FALSE)="Dragon",Backdoors!BF30,Backdoors!BG30)))))/100,Backdoors!BG30/100),"")</f>
        <v>0</v>
      </c>
      <c r="GK82" s="49">
        <f>IFERROR(IF(VLOOKUP(A82,tbMoveset!A2:J112,10,FALSE)=TRUE,IF((Backdoors!AI12+IF(GI82&gt;=0.45,VLOOKUP(Calculator!E23,tbSkills!DH3:DI6,2,FALSE)+IF(AND(Calculator!B8=TRUE,Backdoors!BI30=TRUE),VLOOKUP(Calculator!E23,tbSkills!DH3:DJ6,3,FALSE),0),0))&gt;=0,1+(Backdoors!AL2*(IF((Backdoors!AI12+IF(GI82&gt;=0.45,VLOOKUP(Calculator!E23,tbSkills!DH3:DI6,2,FALSE)+IF(AND(Calculator!B8=TRUE,Backdoors!BI30=TRUE),VLOOKUP(Calculator!E23,tbSkills!DH3:DJ6,3,FALSE),0),0))&gt;=100,100,(Backdoors!AI12+IF(GI82&gt;=0.45,VLOOKUP(Calculator!E23,tbSkills!DH3:DI6,2,FALSE)+IF(AND(Calculator!B8=TRUE,Backdoors!BI30=TRUE),VLOOKUP(Calculator!E23,tbSkills!DH3:DJ6,3,FALSE),0),0)))/100)),(1-(0.25*((-Backdoors!AI12-IF(GI82&gt;=0.45,VLOOKUP(Calculator!E23,tbSkills!DH3:DI6,2,FALSE)+IF(AND(Calculator!B8=TRUE,Backdoors!BI30=TRUE),VLOOKUP(Calculator!E23,tbSkills!DH3:DJ6,3,FALSE),0),0))/100)))),1),"")</f>
        <v>1</v>
      </c>
      <c r="GL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I82)*GK82)*(VLOOKUP(A82,tbMoveset!A2:C112,3,FALSE)/100)*IF(VLOOKUP(A82,tbMoveset!A2:B112,2,FALSE)="Projectile",Backdoors!N10,Backdoors!N9),0),"")</f>
        <v/>
      </c>
      <c r="GM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I82&gt;=0.45,VLOOKUP(Calculator!E23,tbSkills!DH3:DI6,2,FALSE)+IF(AND(Calculator!B8=TRUE,Backdoors!BI30=TRUE),VLOOKUP(Calculator!E23,tbSkills!DH3:DJ6,3,FALSE),0),0))&gt;=100,100,(Backdoors!AI12+IF(GI82&gt;=0.45,VLOOKUP(Calculator!E23,tbSkills!DH3:DI6,2,FALSE)+IF(AND(Calculator!B8=TRUE,Backdoors!BI30=TRUE),VLOOKUP(Calculator!E23,tbSkills!DH3:DJ6,3,FALSE),0),0)))/100)),1))*IF(VLOOKUP(A82,tbMoveset!A2:K112,11,FALSE)=TRUE,Backdoors!AC5,1))*GJ82,0),"")</f>
        <v>0</v>
      </c>
      <c r="GN82" s="49">
        <f>VLOOKUP(A82,tbMoveset!A2:G112,7,FALSE)*IFERROR(IF(Backdoors!AI12&gt;=0,1+(IF(Calculator!E40&gt;0,VLOOKUP(Calculator!E40,tbSkills!AI3:AJ5,2,FALSE),Backdoors!AL4)*(IF((Backdoors!AI12+IF(GI82&gt;=0.45,VLOOKUP(Calculator!E23,tbSkills!DH3:DI6,2,FALSE)+IF(AND(Calculator!B8=TRUE,Backdoors!BI30=TRUE),VLOOKUP(Calculator!E23,tbSkills!DH3:DJ6,3,FALSE),0),0))&gt;=100,100,(Backdoors!AI12+IF(GI82&gt;=0.45,VLOOKUP(Calculator!E23,tbSkills!DH3:DI6,2,FALSE)+IF(AND(Calculator!B8=TRUE,Backdoors!BI30=TRUE),VLOOKUP(Calculator!E23,tbSkills!DH3:DJ6,3,FALSE),0),0)))/100)),1),1)</f>
        <v>0.7</v>
      </c>
      <c r="GO82" s="87">
        <f t="shared" si="78"/>
        <v>0</v>
      </c>
      <c r="GP82" s="86" t="str">
        <f>IFERROR(IF(VLOOKUP(A82,tbMoveset!A2:B112,2,FALSE)="Sever",Backdoors!AY31/100,IF(VLOOKUP(A82,tbMoveset!A2:B112,2,FALSE)="Blunt",Backdoors!AZ31/100,Backdoors!BA31/100)),"")</f>
        <v/>
      </c>
      <c r="GQ82" s="49">
        <f>IFERROR(IF(VLOOKUP(tbMoveset!A82,tbMoveset!A2:H112,8,FALSE)="Other",IF(VLOOKUP(tbMoveset!A82,tbMoveset!A2:I112,9,FALSE)="Fire",Backdoors!BB31,IF(VLOOKUP(tbMoveset!A82,tbMoveset!A2:I112,9,FALSE)="Water",Backdoors!BC31,IF(VLOOKUP(tbMoveset!A82,tbMoveset!A2:I112,9,FALSE)="Thunder",Backdoors!BD31,IF(VLOOKUP(tbMoveset!A82,tbMoveset!A2:I112,9,FALSE)="Ice",Backdoors!BE31,IF(VLOOKUP(tbMoveset!A82,tbMoveset!A2:I112,9,FALSE)="Dragon",Backdoors!BF31,Backdoors!BG31)))))/100,Backdoors!BG31/100),"")</f>
        <v>0</v>
      </c>
      <c r="GR82" s="49">
        <f>IFERROR(IF(VLOOKUP(A82,tbMoveset!A2:J112,10,FALSE)=TRUE,IF((Backdoors!AI12+IF(GP82&gt;=0.45,VLOOKUP(Calculator!E23,tbSkills!DH3:DI6,2,FALSE)+IF(AND(Calculator!B8=TRUE,Backdoors!BI31=TRUE),VLOOKUP(Calculator!E23,tbSkills!DH3:DJ6,3,FALSE),0),0))&gt;=0,1+(Backdoors!AL2*(IF((Backdoors!AI12+IF(GP82&gt;=0.45,VLOOKUP(Calculator!E23,tbSkills!DH3:DI6,2,FALSE)+IF(AND(Calculator!B8=TRUE,Backdoors!BI31=TRUE),VLOOKUP(Calculator!E23,tbSkills!DH3:DJ6,3,FALSE),0),0))&gt;=100,100,(Backdoors!AI12+IF(GP82&gt;=0.45,VLOOKUP(Calculator!E23,tbSkills!DH3:DI6,2,FALSE)+IF(AND(Calculator!B8=TRUE,Backdoors!BI31=TRUE),VLOOKUP(Calculator!E23,tbSkills!DH3:DJ6,3,FALSE),0),0)))/100)),(1-(0.25*((-Backdoors!AI12-IF(GP82&gt;=0.45,VLOOKUP(Calculator!E23,tbSkills!DH3:DI6,2,FALSE)+IF(AND(Calculator!B8=TRUE,Backdoors!BI31=TRUE),VLOOKUP(Calculator!E23,tbSkills!DH3:DJ6,3,FALSE),0),0))/100)))),1),"")</f>
        <v>1</v>
      </c>
      <c r="GS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P82)*GR82)*(VLOOKUP(A82,tbMoveset!A2:C112,3,FALSE)/100)*IF(VLOOKUP(A82,tbMoveset!A2:B112,2,FALSE)="Projectile",Backdoors!N10,Backdoors!N9),0),"")</f>
        <v/>
      </c>
      <c r="GT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P82&gt;=0.45,VLOOKUP(Calculator!E23,tbSkills!DH3:DI6,2,FALSE)+IF(AND(Calculator!B8=TRUE,Backdoors!BI31=TRUE),VLOOKUP(Calculator!E23,tbSkills!DH3:DJ6,3,FALSE),0),0))&gt;=100,100,(Backdoors!AI12+IF(GP82&gt;=0.45,VLOOKUP(Calculator!E23,tbSkills!DH3:DI6,2,FALSE)+IF(AND(Calculator!B8=TRUE,Backdoors!BI31=TRUE),VLOOKUP(Calculator!E23,tbSkills!DH3:DJ6,3,FALSE),0),0)))/100)),1))*IF(VLOOKUP(A82,tbMoveset!A2:K112,11,FALSE)=TRUE,Backdoors!AC5,1))*GQ82,0),"")</f>
        <v>0</v>
      </c>
      <c r="GU82" s="49">
        <f>VLOOKUP(A82,tbMoveset!A2:G112,7,FALSE)*IFERROR(IF(Backdoors!AI12&gt;=0,1+(IF(Calculator!E40&gt;0,VLOOKUP(Calculator!E40,tbSkills!AI3:AJ5,2,FALSE),Backdoors!AL4)*(IF((Backdoors!AI12+IF(GP82&gt;=0.45,VLOOKUP(Calculator!E23,tbSkills!DH3:DI6,2,FALSE)+IF(AND(Calculator!B8=TRUE,Backdoors!BI31=TRUE),VLOOKUP(Calculator!E23,tbSkills!DH3:DJ6,3,FALSE),0),0))&gt;=100,100,(Backdoors!AI12+IF(GP82&gt;=0.45,VLOOKUP(Calculator!E23,tbSkills!DH3:DI6,2,FALSE)+IF(AND(Calculator!B8=TRUE,Backdoors!BI31=TRUE),VLOOKUP(Calculator!E23,tbSkills!DH3:DJ6,3,FALSE),0),0)))/100)),1),1)</f>
        <v>0.7</v>
      </c>
      <c r="GV82" s="87">
        <f t="shared" si="79"/>
        <v>0</v>
      </c>
      <c r="GW82" s="86" t="str">
        <f>IFERROR(IF(VLOOKUP(A82,tbMoveset!A2:B112,2,FALSE)="Sever",Backdoors!AY32/100,IF(VLOOKUP(A82,tbMoveset!A2:B112,2,FALSE)="Blunt",Backdoors!AZ32/100,Backdoors!BA32/100)),"")</f>
        <v/>
      </c>
      <c r="GX82" s="49">
        <f>IFERROR(IF(VLOOKUP(tbMoveset!A82,tbMoveset!A2:H112,8,FALSE)="Other",IF(VLOOKUP(tbMoveset!A82,tbMoveset!A2:I112,9,FALSE)="Fire",Backdoors!BB32,IF(VLOOKUP(tbMoveset!A82,tbMoveset!A2:I112,9,FALSE)="Water",Backdoors!BC32,IF(VLOOKUP(tbMoveset!A82,tbMoveset!A2:I112,9,FALSE)="Thunder",Backdoors!BD32,IF(VLOOKUP(tbMoveset!A82,tbMoveset!A2:I112,9,FALSE)="Ice",Backdoors!BE32,IF(VLOOKUP(tbMoveset!A82,tbMoveset!A2:I112,9,FALSE)="Dragon",Backdoors!BF32,Backdoors!BG32)))))/100,Backdoors!BG32/100),"")</f>
        <v>0</v>
      </c>
      <c r="GY82" s="49">
        <f>IFERROR(IF(VLOOKUP(A82,tbMoveset!A2:J112,10,FALSE)=TRUE,IF((Backdoors!AI12+IF(GW82&gt;=0.45,VLOOKUP(Calculator!E23,tbSkills!DH3:DI6,2,FALSE)+IF(AND(Calculator!B8=TRUE,Backdoors!BI32=TRUE),VLOOKUP(Calculator!E23,tbSkills!DH3:DJ6,3,FALSE),0),0))&gt;=0,1+(Backdoors!AL2*(IF((Backdoors!AI12+IF(GW82&gt;=0.45,VLOOKUP(Calculator!E23,tbSkills!DH3:DI6,2,FALSE)+IF(AND(Calculator!B8=TRUE,Backdoors!BI32=TRUE),VLOOKUP(Calculator!E23,tbSkills!DH3:DJ6,3,FALSE),0),0))&gt;=100,100,(Backdoors!AI12+IF(GW82&gt;=0.45,VLOOKUP(Calculator!E23,tbSkills!DH3:DI6,2,FALSE)+IF(AND(Calculator!B8=TRUE,Backdoors!BI32=TRUE),VLOOKUP(Calculator!E23,tbSkills!DH3:DJ6,3,FALSE),0),0)))/100)),(1-(0.25*((-Backdoors!AI12-IF(GW82&gt;=0.45,VLOOKUP(Calculator!E23,tbSkills!DH3:DI6,2,FALSE)+IF(AND(Calculator!B8=TRUE,Backdoors!BI32=TRUE),VLOOKUP(Calculator!E23,tbSkills!DH3:DJ6,3,FALSE),0),0))/100)))),1),"")</f>
        <v>1</v>
      </c>
      <c r="GZ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W82)*GY82)*(VLOOKUP(A82,tbMoveset!A2:C112,3,FALSE)/100)*IF(VLOOKUP(A82,tbMoveset!A2:B112,2,FALSE)="Projectile",Backdoors!N10,Backdoors!N9),0),"")</f>
        <v/>
      </c>
      <c r="HA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W82&gt;=0.45,VLOOKUP(Calculator!E23,tbSkills!DH3:DI6,2,FALSE)+IF(AND(Calculator!B8=TRUE,Backdoors!BI32=TRUE),VLOOKUP(Calculator!E23,tbSkills!DH3:DJ6,3,FALSE),0),0))&gt;=100,100,(Backdoors!AI12+IF(GW82&gt;=0.45,VLOOKUP(Calculator!E23,tbSkills!DH3:DI6,2,FALSE)+IF(AND(Calculator!B8=TRUE,Backdoors!BI32=TRUE),VLOOKUP(Calculator!E23,tbSkills!DH3:DJ6,3,FALSE),0),0)))/100)),1))*IF(VLOOKUP(A82,tbMoveset!A2:K112,11,FALSE)=TRUE,Backdoors!AC5,1))*GX82,0),"")</f>
        <v>0</v>
      </c>
      <c r="HB82" s="49">
        <f>VLOOKUP(A82,tbMoveset!A2:G112,7,FALSE)*IFERROR(IF(Backdoors!AI12&gt;=0,1+(IF(Calculator!E40&gt;0,VLOOKUP(Calculator!E40,tbSkills!AI3:AJ5,2,FALSE),Backdoors!AL4)*(IF((Backdoors!AI12+IF(GW82&gt;=0.45,VLOOKUP(Calculator!E23,tbSkills!DH3:DI6,2,FALSE)+IF(AND(Calculator!B8=TRUE,Backdoors!BI32=TRUE),VLOOKUP(Calculator!E23,tbSkills!DH3:DJ6,3,FALSE),0),0))&gt;=100,100,(Backdoors!AI12+IF(GW82&gt;=0.45,VLOOKUP(Calculator!E23,tbSkills!DH3:DI6,2,FALSE)+IF(AND(Calculator!B8=TRUE,Backdoors!BI32=TRUE),VLOOKUP(Calculator!E23,tbSkills!DH3:DJ6,3,FALSE),0),0)))/100)),1),1)</f>
        <v>0.7</v>
      </c>
      <c r="HC82" s="87">
        <f t="shared" si="80"/>
        <v>0</v>
      </c>
      <c r="HD82" s="86" t="str">
        <f>IFERROR(IF(VLOOKUP(A82,tbMoveset!A2:B112,2,FALSE)="Sever",Backdoors!AY33/100,IF(VLOOKUP(A82,tbMoveset!A2:B112,2,FALSE)="Blunt",Backdoors!AZ33/100,Backdoors!BA33/100)),"")</f>
        <v/>
      </c>
      <c r="HE82" s="49">
        <f>IFERROR(IF(VLOOKUP(tbMoveset!A82,tbMoveset!A2:H112,8,FALSE)="Other",IF(VLOOKUP(tbMoveset!A82,tbMoveset!A2:I112,9,FALSE)="Fire",Backdoors!BB33,IF(VLOOKUP(tbMoveset!A82,tbMoveset!A2:I112,9,FALSE)="Water",Backdoors!BC33,IF(VLOOKUP(tbMoveset!A82,tbMoveset!A2:I112,9,FALSE)="Thunder",Backdoors!BD33,IF(VLOOKUP(tbMoveset!A82,tbMoveset!A2:I112,9,FALSE)="Ice",Backdoors!BE33,IF(VLOOKUP(tbMoveset!A82,tbMoveset!A2:I112,9,FALSE)="Dragon",Backdoors!BF33,Backdoors!BG33)))))/100,Backdoors!BG33/100),"")</f>
        <v>0</v>
      </c>
      <c r="HF82" s="49">
        <f>IFERROR(IF(VLOOKUP(A82,tbMoveset!A2:J112,10,FALSE)=TRUE,IF((Backdoors!AI12+IF(HD82&gt;=0.45,VLOOKUP(Calculator!E23,tbSkills!DH3:DI6,2,FALSE)+IF(AND(Calculator!B8=TRUE,Backdoors!BI33=TRUE),VLOOKUP(Calculator!E23,tbSkills!DH3:DJ6,3,FALSE),0),0))&gt;=0,1+(Backdoors!AL2*(IF((Backdoors!AI12+IF(HD82&gt;=0.45,VLOOKUP(Calculator!E23,tbSkills!DH3:DI6,2,FALSE)+IF(AND(Calculator!B8=TRUE,Backdoors!BI33=TRUE),VLOOKUP(Calculator!E23,tbSkills!DH3:DJ6,3,FALSE),0),0))&gt;=100,100,(Backdoors!AI12+IF(HD82&gt;=0.45,VLOOKUP(Calculator!E23,tbSkills!DH3:DI6,2,FALSE)+IF(AND(Calculator!B8=TRUE,Backdoors!BI33=TRUE),VLOOKUP(Calculator!E23,tbSkills!DH3:DJ6,3,FALSE),0),0)))/100)),(1-(0.25*((-Backdoors!AI12-IF(HD82&gt;=0.45,VLOOKUP(Calculator!E23,tbSkills!DH3:DI6,2,FALSE)+IF(AND(Calculator!B8=TRUE,Backdoors!BI33=TRUE),VLOOKUP(Calculator!E23,tbSkills!DH3:DJ6,3,FALSE),0),0))/100)))),1),"")</f>
        <v>1</v>
      </c>
      <c r="HG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D82)*HF82)*(VLOOKUP(A82,tbMoveset!A2:C112,3,FALSE)/100)*IF(VLOOKUP(A82,tbMoveset!A2:B112,2,FALSE)="Projectile",Backdoors!N10,Backdoors!N9),0),"")</f>
        <v/>
      </c>
      <c r="HH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D82&gt;=0.45,VLOOKUP(Calculator!E23,tbSkills!DH3:DI6,2,FALSE)+IF(AND(Calculator!B8=TRUE,Backdoors!BI33=TRUE),VLOOKUP(Calculator!E23,tbSkills!DH3:DJ6,3,FALSE),0),0))&gt;=100,100,(Backdoors!AI12+IF(HD82&gt;=0.45,VLOOKUP(Calculator!E23,tbSkills!DH3:DI6,2,FALSE)+IF(AND(Calculator!B8=TRUE,Backdoors!BI33=TRUE),VLOOKUP(Calculator!E23,tbSkills!DH3:DJ6,3,FALSE),0),0)))/100)),1))*IF(VLOOKUP(A82,tbMoveset!A2:K112,11,FALSE)=TRUE,Backdoors!AC5,1))*HE82,0),"")</f>
        <v>0</v>
      </c>
      <c r="HI82" s="49">
        <f>VLOOKUP(A82,tbMoveset!A2:G112,7,FALSE)*IFERROR(IF(Backdoors!AI12&gt;=0,1+(IF(Calculator!E40&gt;0,VLOOKUP(Calculator!E40,tbSkills!AI3:AJ5,2,FALSE),Backdoors!AL4)*(IF((Backdoors!AI12+IF(HD82&gt;=0.45,VLOOKUP(Calculator!E23,tbSkills!DH3:DI6,2,FALSE)+IF(AND(Calculator!B8=TRUE,Backdoors!BI33=TRUE),VLOOKUP(Calculator!E23,tbSkills!DH3:DJ6,3,FALSE),0),0))&gt;=100,100,(Backdoors!AI12+IF(HD82&gt;=0.45,VLOOKUP(Calculator!E23,tbSkills!DH3:DI6,2,FALSE)+IF(AND(Calculator!B8=TRUE,Backdoors!BI33=TRUE),VLOOKUP(Calculator!E23,tbSkills!DH3:DJ6,3,FALSE),0),0)))/100)),1),1)</f>
        <v>0.7</v>
      </c>
      <c r="HJ82" s="87">
        <f t="shared" si="81"/>
        <v>0</v>
      </c>
      <c r="HK82" s="86" t="str">
        <f>IFERROR(IF(VLOOKUP(A82,tbMoveset!A2:B112,2,FALSE)="Sever",Backdoors!AY34/100,IF(VLOOKUP(A82,tbMoveset!A2:B112,2,FALSE)="Blunt",Backdoors!AZ34/100,Backdoors!BA34/100)),"")</f>
        <v/>
      </c>
      <c r="HL82" s="49">
        <f>IFERROR(IF(VLOOKUP(tbMoveset!A82,tbMoveset!A2:H112,8,FALSE)="Other",IF(VLOOKUP(tbMoveset!A82,tbMoveset!A2:I112,9,FALSE)="Fire",Backdoors!BB34,IF(VLOOKUP(tbMoveset!A82,tbMoveset!A2:I112,9,FALSE)="Water",Backdoors!BC34,IF(VLOOKUP(tbMoveset!A82,tbMoveset!A2:I112,9,FALSE)="Thunder",Backdoors!BD34,IF(VLOOKUP(tbMoveset!A82,tbMoveset!A2:I112,9,FALSE)="Ice",Backdoors!BE34,IF(VLOOKUP(tbMoveset!A82,tbMoveset!A2:I112,9,FALSE)="Dragon",Backdoors!BF34,Backdoors!BG34)))))/100,Backdoors!BG34/100),"")</f>
        <v>0</v>
      </c>
      <c r="HM82" s="49">
        <f>IFERROR(IF(VLOOKUP(A82,tbMoveset!A2:J112,10,FALSE)=TRUE,IF((Backdoors!AI12+IF(HK82&gt;=0.45,VLOOKUP(Calculator!E23,tbSkills!DH3:DI6,2,FALSE)+IF(AND(Calculator!B8=TRUE,Backdoors!BI34=TRUE),VLOOKUP(Calculator!E23,tbSkills!DH3:DJ6,3,FALSE),0),0))&gt;=0,1+(Backdoors!AL2*(IF((Backdoors!AI12+IF(HK82&gt;=0.45,VLOOKUP(Calculator!E23,tbSkills!DH3:DI6,2,FALSE)+IF(AND(Calculator!B8=TRUE,Backdoors!BI34=TRUE),VLOOKUP(Calculator!E23,tbSkills!DH3:DJ6,3,FALSE),0),0))&gt;=100,100,(Backdoors!AI12+IF(HK82&gt;=0.45,VLOOKUP(Calculator!E23,tbSkills!DH3:DI6,2,FALSE)+IF(AND(Calculator!B8=TRUE,Backdoors!BI34=TRUE),VLOOKUP(Calculator!E23,tbSkills!DH3:DJ6,3,FALSE),0),0)))/100)),(1-(0.25*((-Backdoors!AI12-IF(HK82&gt;=0.45,VLOOKUP(Calculator!E23,tbSkills!DH3:DI6,2,FALSE)+IF(AND(Calculator!B8=TRUE,Backdoors!BI34=TRUE),VLOOKUP(Calculator!E23,tbSkills!DH3:DJ6,3,FALSE),0),0))/100)))),1),"")</f>
        <v>1</v>
      </c>
      <c r="HN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K82)*HM82)*(VLOOKUP(A82,tbMoveset!A2:C112,3,FALSE)/100)*IF(VLOOKUP(A82,tbMoveset!A2:B112,2,FALSE)="Projectile",Backdoors!N10,Backdoors!N9),0),"")</f>
        <v/>
      </c>
      <c r="HO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K82&gt;=0.45,VLOOKUP(Calculator!E23,tbSkills!DH3:DI6,2,FALSE)+IF(AND(Calculator!B8=TRUE,Backdoors!BI34=TRUE),VLOOKUP(Calculator!E23,tbSkills!DH3:DJ6,3,FALSE),0),0))&gt;=100,100,(Backdoors!AI12+IF(HK82&gt;=0.45,VLOOKUP(Calculator!E23,tbSkills!DH3:DI6,2,FALSE)+IF(AND(Calculator!B8=TRUE,Backdoors!BI34=TRUE),VLOOKUP(Calculator!E23,tbSkills!DH3:DJ6,3,FALSE),0),0)))/100)),1))*IF(VLOOKUP(A82,tbMoveset!A2:K112,11,FALSE)=TRUE,Backdoors!AC5,1))*HL82,0),"")</f>
        <v>0</v>
      </c>
      <c r="HP82" s="49">
        <f>VLOOKUP(A82,tbMoveset!A2:G112,7,FALSE)*IFERROR(IF(Backdoors!AI12&gt;=0,1+(IF(Calculator!E40&gt;0,VLOOKUP(Calculator!E40,tbSkills!AI3:AJ5,2,FALSE),Backdoors!AL4)*(IF((Backdoors!AI12+IF(HK82&gt;=0.45,VLOOKUP(Calculator!E23,tbSkills!DH3:DI6,2,FALSE)+IF(AND(Calculator!B8=TRUE,Backdoors!BI34=TRUE),VLOOKUP(Calculator!E23,tbSkills!DH3:DJ6,3,FALSE),0),0))&gt;=100,100,(Backdoors!AI12+IF(HK82&gt;=0.45,VLOOKUP(Calculator!E23,tbSkills!DH3:DI6,2,FALSE)+IF(AND(Calculator!B8=TRUE,Backdoors!BI34=TRUE),VLOOKUP(Calculator!E23,tbSkills!DH3:DJ6,3,FALSE),0),0)))/100)),1),1)</f>
        <v>0.7</v>
      </c>
      <c r="HQ82" s="87">
        <f t="shared" si="82"/>
        <v>0</v>
      </c>
      <c r="HR82" s="86" t="str">
        <f>IFERROR(IF(VLOOKUP(A82,tbMoveset!A2:B112,2,FALSE)="Sever",Backdoors!AY35/100,IF(VLOOKUP(A82,tbMoveset!A2:B112,2,FALSE)="Blunt",Backdoors!AZ35/100,Backdoors!BA35/100)),"")</f>
        <v/>
      </c>
      <c r="HS82" s="49">
        <f>IFERROR(IF(VLOOKUP(tbMoveset!A82,tbMoveset!A2:H112,8,FALSE)="Other",IF(VLOOKUP(tbMoveset!A82,tbMoveset!A2:I112,9,FALSE)="Fire",Backdoors!BB35,IF(VLOOKUP(tbMoveset!A82,tbMoveset!A2:I112,9,FALSE)="Water",Backdoors!BC35,IF(VLOOKUP(tbMoveset!A82,tbMoveset!A2:I112,9,FALSE)="Thunder",Backdoors!BD35,IF(VLOOKUP(tbMoveset!A82,tbMoveset!A2:I112,9,FALSE)="Ice",Backdoors!BE35,IF(VLOOKUP(tbMoveset!A82,tbMoveset!A2:I112,9,FALSE)="Dragon",Backdoors!BF35,Backdoors!BG35)))))/100,Backdoors!BG35/100),"")</f>
        <v>0</v>
      </c>
      <c r="HT82" s="49">
        <f>IFERROR(IF(VLOOKUP(A82,tbMoveset!A2:J112,10,FALSE)=TRUE,IF((Backdoors!AI12+IF(HR82&gt;=0.45,VLOOKUP(Calculator!E23,tbSkills!DH3:DI6,2,FALSE)+IF(AND(Calculator!B8=TRUE,Backdoors!BI35=TRUE),VLOOKUP(Calculator!E23,tbSkills!DH3:DJ6,3,FALSE),0),0))&gt;=0,1+(Backdoors!AL2*(IF((Backdoors!AI12+IF(HR82&gt;=0.45,VLOOKUP(Calculator!E23,tbSkills!DH3:DI6,2,FALSE)+IF(AND(Calculator!B8=TRUE,Backdoors!BI35=TRUE),VLOOKUP(Calculator!E23,tbSkills!DH3:DJ6,3,FALSE),0),0))&gt;=100,100,(Backdoors!AI12+IF(HR82&gt;=0.45,VLOOKUP(Calculator!E23,tbSkills!DH3:DI6,2,FALSE)+IF(AND(Calculator!B8=TRUE,Backdoors!BI35=TRUE),VLOOKUP(Calculator!E23,tbSkills!DH3:DJ6,3,FALSE),0),0)))/100)),(1-(0.25*((-Backdoors!AI12-IF(HR82&gt;=0.45,VLOOKUP(Calculator!E23,tbSkills!DH3:DI6,2,FALSE)+IF(AND(Calculator!B8=TRUE,Backdoors!BI35=TRUE),VLOOKUP(Calculator!E23,tbSkills!DH3:DJ6,3,FALSE),0),0))/100)))),1),"")</f>
        <v>1</v>
      </c>
      <c r="HU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R82)*HT82)*(VLOOKUP(A82,tbMoveset!A2:C112,3,FALSE)/100)*IF(VLOOKUP(A82,tbMoveset!A2:B112,2,FALSE)="Projectile",Backdoors!N10,Backdoors!N9),0),"")</f>
        <v/>
      </c>
      <c r="HV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R82&gt;=0.45,VLOOKUP(Calculator!E23,tbSkills!DH3:DI6,2,FALSE)+IF(AND(Calculator!B8=TRUE,Backdoors!BI35=TRUE),VLOOKUP(Calculator!E23,tbSkills!DH3:DJ6,3,FALSE),0),0))&gt;=100,100,(Backdoors!AI12+IF(HR82&gt;=0.45,VLOOKUP(Calculator!E23,tbSkills!DH3:DI6,2,FALSE)+IF(AND(Calculator!B8=TRUE,Backdoors!BI35=TRUE),VLOOKUP(Calculator!E23,tbSkills!DH3:DJ6,3,FALSE),0),0)))/100)),1))*IF(VLOOKUP(A82,tbMoveset!A2:K112,11,FALSE)=TRUE,Backdoors!AC5,1))*HS82,0),"")</f>
        <v>0</v>
      </c>
      <c r="HW82" s="49">
        <f>VLOOKUP(A82,tbMoveset!A2:G112,7,FALSE)*IFERROR(IF(Backdoors!AI12&gt;=0,1+(IF(Calculator!E40&gt;0,VLOOKUP(Calculator!E40,tbSkills!AI3:AJ5,2,FALSE),Backdoors!AL4)*(IF((Backdoors!AI12+IF(HR82&gt;=0.45,VLOOKUP(Calculator!E23,tbSkills!DH3:DI6,2,FALSE)+IF(AND(Calculator!B8=TRUE,Backdoors!BI35=TRUE),VLOOKUP(Calculator!E23,tbSkills!DH3:DJ6,3,FALSE),0),0))&gt;=100,100,(Backdoors!AI12+IF(HR82&gt;=0.45,VLOOKUP(Calculator!E23,tbSkills!DH3:DI6,2,FALSE)+IF(AND(Calculator!B8=TRUE,Backdoors!BI35=TRUE),VLOOKUP(Calculator!E23,tbSkills!DH3:DJ6,3,FALSE),0),0)))/100)),1),1)</f>
        <v>0.7</v>
      </c>
      <c r="HX82" s="87">
        <f t="shared" si="83"/>
        <v>0</v>
      </c>
      <c r="HY82" s="86" t="str">
        <f>IFERROR(IF(VLOOKUP(A82,tbMoveset!A2:B112,2,FALSE)="Sever",Backdoors!AY36/100,IF(VLOOKUP(A82,tbMoveset!A2:B112,2,FALSE)="Blunt",Backdoors!AZ36/100,Backdoors!BA36/100)),"")</f>
        <v/>
      </c>
      <c r="HZ82" s="49">
        <f>IFERROR(IF(VLOOKUP(tbMoveset!A82,tbMoveset!A2:H112,8,FALSE)="Other",IF(VLOOKUP(tbMoveset!A82,tbMoveset!A2:I112,9,FALSE)="Fire",Backdoors!BB36,IF(VLOOKUP(tbMoveset!A82,tbMoveset!A2:I112,9,FALSE)="Water",Backdoors!BC36,IF(VLOOKUP(tbMoveset!A82,tbMoveset!A2:I112,9,FALSE)="Thunder",Backdoors!BD36,IF(VLOOKUP(tbMoveset!A82,tbMoveset!A2:I112,9,FALSE)="Ice",Backdoors!BE36,IF(VLOOKUP(tbMoveset!A82,tbMoveset!A2:I112,9,FALSE)="Dragon",Backdoors!BF36,Backdoors!BG36)))))/100,Backdoors!BG36/100),"")</f>
        <v>0</v>
      </c>
      <c r="IA82" s="49">
        <f>IFERROR(IF(VLOOKUP(A82,tbMoveset!A2:J112,10,FALSE)=TRUE,IF((Backdoors!AI12+IF(HY82&gt;=0.45,VLOOKUP(Calculator!E23,tbSkills!DH3:DI6,2,FALSE)+IF(AND(Calculator!B8=TRUE,Backdoors!BI36=TRUE),VLOOKUP(Calculator!E23,tbSkills!DH3:DJ6,3,FALSE),0),0))&gt;=0,1+(Backdoors!AL2*(IF((Backdoors!AI12+IF(HY82&gt;=0.45,VLOOKUP(Calculator!E23,tbSkills!DH3:DI6,2,FALSE)+IF(AND(Calculator!B8=TRUE,Backdoors!BI36=TRUE),VLOOKUP(Calculator!E23,tbSkills!DH3:DJ6,3,FALSE),0),0))&gt;=100,100,(Backdoors!AI12+IF(HY82&gt;=0.45,VLOOKUP(Calculator!E23,tbSkills!DH3:DI6,2,FALSE)+IF(AND(Calculator!B8=TRUE,Backdoors!BI36=TRUE),VLOOKUP(Calculator!E23,tbSkills!DH3:DJ6,3,FALSE),0),0)))/100)),(1-(0.25*((-Backdoors!AI12-IF(HY82&gt;=0.45,VLOOKUP(Calculator!E23,tbSkills!DH3:DI6,2,FALSE)+IF(AND(Calculator!B8=TRUE,Backdoors!BI36=TRUE),VLOOKUP(Calculator!E23,tbSkills!DH3:DJ6,3,FALSE),0),0))/100)))),1),"")</f>
        <v>1</v>
      </c>
      <c r="IB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Y82)*IA82)*(VLOOKUP(A82,tbMoveset!A2:C112,3,FALSE)/100)*IF(VLOOKUP(A82,tbMoveset!A2:B112,2,FALSE)="Projectile",Backdoors!N10,Backdoors!N9),0),"")</f>
        <v/>
      </c>
      <c r="IC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Y82&gt;=0.45,VLOOKUP(Calculator!E23,tbSkills!DH3:DI6,2,FALSE)+IF(AND(Calculator!B8=TRUE,Backdoors!BI36=TRUE),VLOOKUP(Calculator!E23,tbSkills!DH3:DJ6,3,FALSE),0),0))&gt;=100,100,(Backdoors!AI12+IF(HY82&gt;=0.45,VLOOKUP(Calculator!E23,tbSkills!DH3:DI6,2,FALSE)+IF(AND(Calculator!B8=TRUE,Backdoors!BI36=TRUE),VLOOKUP(Calculator!E23,tbSkills!DH3:DJ6,3,FALSE),0),0)))/100)),1))*IF(VLOOKUP(A82,tbMoveset!A2:K112,11,FALSE)=TRUE,Backdoors!AC5,1))*HZ82,0),"")</f>
        <v>0</v>
      </c>
      <c r="ID82" s="49">
        <f>VLOOKUP(A82,tbMoveset!A2:G112,7,FALSE)*IFERROR(IF(Backdoors!AI12&gt;=0,1+(IF(Calculator!E40&gt;0,VLOOKUP(Calculator!E40,tbSkills!AI3:AJ5,2,FALSE),Backdoors!AL4)*(IF((Backdoors!AI12+IF(HY82&gt;=0.45,VLOOKUP(Calculator!E23,tbSkills!DH3:DI6,2,FALSE)+IF(AND(Calculator!B8=TRUE,Backdoors!BI36=TRUE),VLOOKUP(Calculator!E23,tbSkills!DH3:DJ6,3,FALSE),0),0))&gt;=100,100,(Backdoors!AI12+IF(HY82&gt;=0.45,VLOOKUP(Calculator!E23,tbSkills!DH3:DI6,2,FALSE)+IF(AND(Calculator!B8=TRUE,Backdoors!BI36=TRUE),VLOOKUP(Calculator!E23,tbSkills!DH3:DJ6,3,FALSE),0),0)))/100)),1),1)</f>
        <v>0.7</v>
      </c>
      <c r="IE82" s="87">
        <f t="shared" si="84"/>
        <v>0</v>
      </c>
      <c r="IF82" s="86" t="str">
        <f>IFERROR(IF(VLOOKUP(A82,tbMoveset!A2:B112,2,FALSE)="Sever",Backdoors!AY37/100,IF(VLOOKUP(A82,tbMoveset!A2:B112,2,FALSE)="Blunt",Backdoors!AZ37/100,Backdoors!BA37/100)),"")</f>
        <v/>
      </c>
      <c r="IG82" s="49">
        <f>IFERROR(IF(VLOOKUP(tbMoveset!A82,tbMoveset!A2:H112,8,FALSE)="Other",IF(VLOOKUP(tbMoveset!A82,tbMoveset!A2:I112,9,FALSE)="Fire",Backdoors!BB37,IF(VLOOKUP(tbMoveset!A82,tbMoveset!A2:I112,9,FALSE)="Water",Backdoors!BC37,IF(VLOOKUP(tbMoveset!A82,tbMoveset!A2:I112,9,FALSE)="Thunder",Backdoors!BD37,IF(VLOOKUP(tbMoveset!A82,tbMoveset!A2:I112,9,FALSE)="Ice",Backdoors!BE37,IF(VLOOKUP(tbMoveset!A82,tbMoveset!A2:I112,9,FALSE)="Dragon",Backdoors!BF37,Backdoors!BG37)))))/100,Backdoors!BG37/100),"")</f>
        <v>0</v>
      </c>
      <c r="IH82" s="49">
        <f>IFERROR(IF(VLOOKUP(A82,tbMoveset!A2:J112,10,FALSE)=TRUE,IF((Backdoors!AI12+IF(IF82&gt;=0.45,VLOOKUP(Calculator!E23,tbSkills!DH3:DI6,2,FALSE)+IF(AND(Calculator!B8=TRUE,Backdoors!BI37=TRUE),VLOOKUP(Calculator!E23,tbSkills!DH3:DJ6,3,FALSE),0),0))&gt;=0,1+(Backdoors!AL2*(IF((Backdoors!AI12+IF(IF82&gt;=0.45,VLOOKUP(Calculator!E23,tbSkills!DH3:DI6,2,FALSE)+IF(AND(Calculator!B8=TRUE,Backdoors!BI37=TRUE),VLOOKUP(Calculator!E23,tbSkills!DH3:DJ6,3,FALSE),0),0))&gt;=100,100,(Backdoors!AI12+IF(IF82&gt;=0.45,VLOOKUP(Calculator!E23,tbSkills!DH3:DI6,2,FALSE)+IF(AND(Calculator!B8=TRUE,Backdoors!BI37=TRUE),VLOOKUP(Calculator!E23,tbSkills!DH3:DJ6,3,FALSE),0),0)))/100)),(1-(0.25*((-Backdoors!AI12-IF(IF82&gt;=0.45,VLOOKUP(Calculator!E23,tbSkills!DH3:DI6,2,FALSE)+IF(AND(Calculator!B8=TRUE,Backdoors!BI37=TRUE),VLOOKUP(Calculator!E23,tbSkills!DH3:DJ6,3,FALSE),0),0))/100)))),1),"")</f>
        <v>1</v>
      </c>
      <c r="II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F82)*IH82)*(VLOOKUP(A82,tbMoveset!A2:C112,3,FALSE)/100)*IF(VLOOKUP(A82,tbMoveset!A2:B112,2,FALSE)="Projectile",Backdoors!N10,Backdoors!N9),0),"")</f>
        <v/>
      </c>
      <c r="IJ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IF82&gt;=0.45,VLOOKUP(Calculator!E23,tbSkills!DH3:DI6,2,FALSE)+IF(AND(Calculator!B8=TRUE,Backdoors!BI37=TRUE),VLOOKUP(Calculator!E23,tbSkills!DH3:DJ6,3,FALSE),0),0))&gt;=100,100,(Backdoors!AI12+IF(IF82&gt;=0.45,VLOOKUP(Calculator!E23,tbSkills!DH3:DI6,2,FALSE)+IF(AND(Calculator!B8=TRUE,Backdoors!BI37=TRUE),VLOOKUP(Calculator!E23,tbSkills!DH3:DJ6,3,FALSE),0),0)))/100)),1))*IF(VLOOKUP(A82,tbMoveset!A2:K112,11,FALSE)=TRUE,Backdoors!AC5,1))*IG82,0),"")</f>
        <v>0</v>
      </c>
      <c r="IK82" s="49">
        <f>VLOOKUP(A82,tbMoveset!A2:G112,7,FALSE)*IFERROR(IF(Backdoors!AI12&gt;=0,1+(IF(Calculator!E40&gt;0,VLOOKUP(Calculator!E40,tbSkills!AI3:AJ5,2,FALSE),Backdoors!AL4)*(IF((Backdoors!AI12+IF(IF82&gt;=0.45,VLOOKUP(Calculator!E23,tbSkills!DH3:DI6,2,FALSE)+IF(AND(Calculator!B8=TRUE,Backdoors!BI37=TRUE),VLOOKUP(Calculator!E23,tbSkills!DH3:DJ6,3,FALSE),0),0))&gt;=100,100,(Backdoors!AI12+IF(IF82&gt;=0.45,VLOOKUP(Calculator!E23,tbSkills!DH3:DI6,2,FALSE)+IF(AND(Calculator!B8=TRUE,Backdoors!BI37=TRUE),VLOOKUP(Calculator!E23,tbSkills!DH3:DJ6,3,FALSE),0),0)))/100)),1),1)</f>
        <v>0.7</v>
      </c>
      <c r="IL82" s="87">
        <f t="shared" si="85"/>
        <v>0</v>
      </c>
      <c r="IM82" s="86" t="str">
        <f>IFERROR(IF(VLOOKUP(A82,tbMoveset!A2:B112,2,FALSE)="Sever",Backdoors!AY38/100,IF(VLOOKUP(A82,tbMoveset!A2:B112,2,FALSE)="Blunt",Backdoors!AZ38/100,Backdoors!BA38/100)),"")</f>
        <v/>
      </c>
      <c r="IN82" s="49">
        <f>IFERROR(IF(VLOOKUP(tbMoveset!A82,tbMoveset!A2:H112,8,FALSE)="Other",IF(VLOOKUP(tbMoveset!A82,tbMoveset!A2:I112,9,FALSE)="Fire",Backdoors!BB38,IF(VLOOKUP(tbMoveset!A82,tbMoveset!A2:I112,9,FALSE)="Water",Backdoors!BC38,IF(VLOOKUP(tbMoveset!A82,tbMoveset!A2:I112,9,FALSE)="Thunder",Backdoors!BD38,IF(VLOOKUP(tbMoveset!A82,tbMoveset!A2:I112,9,FALSE)="Ice",Backdoors!BE38,IF(VLOOKUP(tbMoveset!A82,tbMoveset!A2:I112,9,FALSE)="Dragon",Backdoors!BF38,Backdoors!BG38)))))/100,Backdoors!BG38/100),"")</f>
        <v>0</v>
      </c>
      <c r="IO82" s="49">
        <f>IFERROR(IF(VLOOKUP(A82,tbMoveset!A2:J112,10,FALSE)=TRUE,IF((Backdoors!AI12+IF(IM82&gt;=0.45,VLOOKUP(Calculator!E23,tbSkills!DH3:DI6,2,FALSE)+IF(AND(Calculator!B8=TRUE,Backdoors!BI38=TRUE),VLOOKUP(Calculator!E23,tbSkills!DH3:DJ6,3,FALSE),0),0))&gt;=0,1+(Backdoors!AL2*(IF((Backdoors!AI12+IF(IM82&gt;=0.45,VLOOKUP(Calculator!E23,tbSkills!DH3:DI6,2,FALSE)+IF(AND(Calculator!B8=TRUE,Backdoors!BI38=TRUE),VLOOKUP(Calculator!E23,tbSkills!DH3:DJ6,3,FALSE),0),0))&gt;=100,100,(Backdoors!AI12+IF(IM82&gt;=0.45,VLOOKUP(Calculator!E23,tbSkills!DH3:DI6,2,FALSE)+IF(AND(Calculator!B8=TRUE,Backdoors!BI38=TRUE),VLOOKUP(Calculator!E23,tbSkills!DH3:DJ6,3,FALSE),0),0)))/100)),(1-(0.25*((-Backdoors!AI12-IF(IM82&gt;=0.45,VLOOKUP(Calculator!E23,tbSkills!DH3:DI6,2,FALSE)+IF(AND(Calculator!B8=TRUE,Backdoors!BI38=TRUE),VLOOKUP(Calculator!E23,tbSkills!DH3:DJ6,3,FALSE),0),0))/100)))),1),"")</f>
        <v>1</v>
      </c>
      <c r="IP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M82)*IO82)*(VLOOKUP(A82,tbMoveset!A2:C112,3,FALSE)/100)*IF(VLOOKUP(A82,tbMoveset!A2:B112,2,FALSE)="Projectile",Backdoors!N10,Backdoors!N9),0),"")</f>
        <v/>
      </c>
      <c r="IQ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IM82&gt;=0.45,VLOOKUP(Calculator!E23,tbSkills!DH3:DI6,2,FALSE)+IF(AND(Calculator!B8=TRUE,Backdoors!BI38=TRUE),VLOOKUP(Calculator!E23,tbSkills!DH3:DJ6,3,FALSE),0),0))&gt;=100,100,(Backdoors!AI12+IF(IM82&gt;=0.45,VLOOKUP(Calculator!E23,tbSkills!DH3:DI6,2,FALSE)+IF(AND(Calculator!B8=TRUE,Backdoors!BI38=TRUE),VLOOKUP(Calculator!E23,tbSkills!DH3:DJ6,3,FALSE),0),0)))/100)),1))*IF(VLOOKUP(A82,tbMoveset!A2:K112,11,FALSE)=TRUE,Backdoors!AC5,1))*IN82,0),"")</f>
        <v>0</v>
      </c>
      <c r="IR82" s="49">
        <f>VLOOKUP(A82,tbMoveset!A2:G112,7,FALSE)*IFERROR(IF(Backdoors!AI12&gt;=0,1+(IF(Calculator!E40&gt;0,VLOOKUP(Calculator!E40,tbSkills!AI3:AJ5,2,FALSE),Backdoors!AL4)*(IF((Backdoors!AI12+IF(IM82&gt;=0.45,VLOOKUP(Calculator!E23,tbSkills!DH3:DI6,2,FALSE)+IF(AND(Calculator!B8=TRUE,Backdoors!BI38=TRUE),VLOOKUP(Calculator!E23,tbSkills!DH3:DJ6,3,FALSE),0),0))&gt;=100,100,(Backdoors!AI12+IF(IM82&gt;=0.45,VLOOKUP(Calculator!E23,tbSkills!DH3:DI6,2,FALSE)+IF(AND(Calculator!B8=TRUE,Backdoors!BI38=TRUE),VLOOKUP(Calculator!E23,tbSkills!DH3:DJ6,3,FALSE),0),0)))/100)),1),1)</f>
        <v>0.7</v>
      </c>
      <c r="IS82" s="87">
        <f t="shared" si="86"/>
        <v>0</v>
      </c>
      <c r="IT82" s="86" t="str">
        <f>IFERROR(IF(VLOOKUP(A82,tbMoveset!A2:B112,2,FALSE)="Sever",Backdoors!AY39/100,IF(VLOOKUP(A82,tbMoveset!A2:B112,2,FALSE)="Blunt",Backdoors!AZ39/100,Backdoors!BA39/100)),"")</f>
        <v/>
      </c>
      <c r="IU82" s="49">
        <f>IFERROR(IF(VLOOKUP(tbMoveset!A82,tbMoveset!A2:H112,8,FALSE)="Other",IF(VLOOKUP(tbMoveset!A82,tbMoveset!A2:I112,9,FALSE)="Fire",Backdoors!BB39,IF(VLOOKUP(tbMoveset!A82,tbMoveset!A2:I112,9,FALSE)="Water",Backdoors!BC39,IF(VLOOKUP(tbMoveset!A82,tbMoveset!A2:I112,9,FALSE)="Thunder",Backdoors!BD39,IF(VLOOKUP(tbMoveset!A82,tbMoveset!A2:I112,9,FALSE)="Ice",Backdoors!BE39,IF(VLOOKUP(tbMoveset!A82,tbMoveset!A2:I112,9,FALSE)="Dragon",Backdoors!BF39,Backdoors!BG39)))))/100,Backdoors!BG39/100),"")</f>
        <v>0</v>
      </c>
      <c r="IV82" s="49">
        <f>IFERROR(IF(VLOOKUP(A82,tbMoveset!A2:J112,10,FALSE)=TRUE,IF((Backdoors!AI12+IF(IT82&gt;=0.45,VLOOKUP(Calculator!E23,tbSkills!DH3:DI6,2,FALSE)+IF(AND(Calculator!B8=TRUE,Backdoors!BI39=TRUE),VLOOKUP(Calculator!E23,tbSkills!DH3:DJ6,3,FALSE),0),0))&gt;=0,1+(Backdoors!AL2*(IF((Backdoors!AI12+IF(IT82&gt;=0.45,VLOOKUP(Calculator!E23,tbSkills!DH3:DI6,2,FALSE)+IF(AND(Calculator!B8=TRUE,Backdoors!BI39=TRUE),VLOOKUP(Calculator!E23,tbSkills!DH3:DJ6,3,FALSE),0),0))&gt;=100,100,(Backdoors!AI12+IF(IT82&gt;=0.45,VLOOKUP(Calculator!E23,tbSkills!DH3:DI6,2,FALSE)+IF(AND(Calculator!B8=TRUE,Backdoors!BI39=TRUE),VLOOKUP(Calculator!E23,tbSkills!DH3:DJ6,3,FALSE),0),0)))/100)),(1-(0.25*((-Backdoors!AI12-IF(IT82&gt;=0.45,VLOOKUP(Calculator!E23,tbSkills!DH3:DI6,2,FALSE)+IF(AND(Calculator!B8=TRUE,Backdoors!BI39=TRUE),VLOOKUP(Calculator!E23,tbSkills!DH3:DJ6,3,FALSE),0),0))/100)))),1),"")</f>
        <v>1</v>
      </c>
      <c r="IW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T82)*IV82)*(VLOOKUP(A82,tbMoveset!A2:C112,3,FALSE)/100)*IF(VLOOKUP(A82,tbMoveset!A2:B112,2,FALSE)="Projectile",Backdoors!N10,Backdoors!N9),0),"")</f>
        <v/>
      </c>
      <c r="IX82" s="49">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40&gt;0,VLOOKUP(Calculator!E40,tbSkills!AC3:AD5,2,FALSE),Backdoors!AL3)*(IF((Backdoors!AI12+IF(IT82&gt;=0.45,VLOOKUP(Calculator!E23,tbSkills!DH3:DI6,2,FALSE)+IF(AND(Calculator!B8=TRUE,Backdoors!BI39=TRUE),VLOOKUP(Calculator!E23,tbSkills!DH3:DJ6,3,FALSE),0),0))&gt;=100,100,(Backdoors!AI12+IF(IT82&gt;=0.45,VLOOKUP(Calculator!E23,tbSkills!DH3:DI6,2,FALSE)+IF(AND(Calculator!B8=TRUE,Backdoors!BI39=TRUE),VLOOKUP(Calculator!E23,tbSkills!DH3:DJ6,3,FALSE),0),0)))/100)),1))*IF(VLOOKUP(A82,tbMoveset!A2:K112,11,FALSE)=TRUE,Backdoors!AC5,1))*IU82,0),"")</f>
        <v>0</v>
      </c>
      <c r="IY82" s="49">
        <f>VLOOKUP(A82,tbMoveset!A2:G112,7,FALSE)*IFERROR(IF(Backdoors!AI12&gt;=0,1+(IF(Calculator!E40&gt;0,VLOOKUP(Calculator!E40,tbSkills!AI3:AJ5,2,FALSE),Backdoors!AL4)*(IF((Backdoors!AI12+IF(IT82&gt;=0.45,VLOOKUP(Calculator!E23,tbSkills!DH3:DI6,2,FALSE)+IF(AND(Calculator!B8=TRUE,Backdoors!BI39=TRUE),VLOOKUP(Calculator!E23,tbSkills!DH3:DJ6,3,FALSE),0),0))&gt;=100,100,(Backdoors!AI12+IF(IT82&gt;=0.45,VLOOKUP(Calculator!E23,tbSkills!DH3:DI6,2,FALSE)+IF(AND(Calculator!B8=TRUE,Backdoors!BI39=TRUE),VLOOKUP(Calculator!E23,tbSkills!DH3:DJ6,3,FALSE),0),0)))/100)),1),1)</f>
        <v>0.7</v>
      </c>
      <c r="IZ82" s="87">
        <f t="shared" si="87"/>
        <v>0</v>
      </c>
      <c r="JA82" s="86" t="str">
        <f>IFERROR(IF(VLOOKUP(A82,tbMoveset!A2:B112,2,FALSE)="Sever",Backdoors!AY40/100,IF(VLOOKUP(A82,tbMoveset!A2:B112,2,FALSE)="Blunt",Backdoors!AZ40/100,Backdoors!BA40/100)),"")</f>
        <v/>
      </c>
      <c r="JB82" s="49">
        <f>IFERROR(IF(VLOOKUP(tbMoveset!A82,tbMoveset!A2:H112,8,FALSE)="Other",IF(VLOOKUP(tbMoveset!A82,tbMoveset!A2:I112,9,FALSE)="Fire",Backdoors!BB40,IF(VLOOKUP(tbMoveset!A82,tbMoveset!A2:I112,9,FALSE)="Water",Backdoors!BC40,IF(VLOOKUP(tbMoveset!A82,tbMoveset!A2:I112,9,FALSE)="Thunder",Backdoors!BD40,IF(VLOOKUP(tbMoveset!A82,tbMoveset!A2:I112,9,FALSE)="Ice",Backdoors!BE40,IF(VLOOKUP(tbMoveset!A82,tbMoveset!A2:I112,9,FALSE)="Dragon",Backdoors!BF40,Backdoors!BG40)))))/100,Backdoors!BG40/100),"")</f>
        <v>0</v>
      </c>
      <c r="JC82" s="49">
        <f>IFERROR(IF(VLOOKUP(A82,tbMoveset!A2:J112,10,FALSE)=TRUE,IF((Backdoors!AI12+IF(JA82&gt;=0.45,VLOOKUP(Calculator!E23,tbSkills!DH3:DI6,2,FALSE)+IF(AND(Calculator!B8=TRUE,Backdoors!BI40=TRUE),VLOOKUP(Calculator!E23,tbSkills!DH3:DJ6,3,FALSE),0),0))&gt;=0,1+(Backdoors!AL2*(IF((Backdoors!AI12+IF(JA82&gt;=0.45,VLOOKUP(Calculator!E23,tbSkills!DH3:DI6,2,FALSE)+IF(AND(Calculator!B8=TRUE,Backdoors!BI40=TRUE),VLOOKUP(Calculator!E23,tbSkills!DH3:DJ6,3,FALSE),0),0))&gt;=100,100,(Backdoors!AI12+IF(JA82&gt;=0.45,VLOOKUP(Calculator!E23,tbSkills!DH3:DI6,2,FALSE)+IF(AND(Calculator!B8=TRUE,Backdoors!BI40=TRUE),VLOOKUP(Calculator!E23,tbSkills!DH3:DJ6,3,FALSE),0),0)))/100)),(1-(0.25*((-Backdoors!AI12-IF(JA82&gt;=0.45,VLOOKUP(Calculator!E23,tbSkills!DH3:DI6,2,FALSE)+IF(AND(Calculator!B8=TRUE,Backdoors!BI40=TRUE),VLOOKUP(Calculator!E23,tbSkills!DH3:DJ6,3,FALSE),0),0))/100)))),1),"")</f>
        <v>1</v>
      </c>
      <c r="JD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A82)*JC82)*(VLOOKUP(A82,tbMoveset!A2:C112,3,FALSE)/100)*IF(VLOOKUP(A82,tbMoveset!A2:B112,2,FALSE)="Projectile",Backdoors!N10,Backdoors!N9),0),"")</f>
        <v/>
      </c>
      <c r="JE82" s="49">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42&gt;0,VLOOKUP(Calculator!E42,tbSkills!AC3:AD5,2,FALSE),Backdoors!AL3)*(IF((Backdoors!AI12+IF(JA82&gt;=0.45,VLOOKUP(Calculator!E23,tbSkills!DH3:DI6,2,FALSE)+IF(AND(Calculator!B8=TRUE,Backdoors!BI40=TRUE),VLOOKUP(Calculator!E23,tbSkills!DH3:DJ6,3,FALSE),0),0))&gt;=100,100,(Backdoors!AI12+IF(JA82&gt;=0.45,VLOOKUP(Calculator!E23,tbSkills!DH3:DI6,2,FALSE)+IF(AND(Calculator!B8=TRUE,Backdoors!BI40=TRUE),VLOOKUP(Calculator!E23,tbSkills!DH3:DJ6,3,FALSE),0),0)))/100)),1))*IF(VLOOKUP(A82,tbMoveset!A2:K112,11,FALSE)=TRUE,Backdoors!AC5,1))*JB82,0),"")</f>
        <v>0</v>
      </c>
      <c r="JF82" s="49">
        <f>VLOOKUP(A82,tbMoveset!A2:G112,7,FALSE)*IFERROR(IF(Backdoors!AI12&gt;=0,1+(IF(Calculator!E40&gt;0,VLOOKUP(Calculator!E40,tbSkills!AI3:AJ5,2,FALSE),Backdoors!AL4)*(IF((Backdoors!AI12+IF(JA82&gt;=0.45,VLOOKUP(Calculator!E23,tbSkills!DH3:DI6,2,FALSE)+IF(AND(Calculator!B8=TRUE,Backdoors!BI40=TRUE),VLOOKUP(Calculator!E23,tbSkills!DH3:DJ6,3,FALSE),0),0))&gt;=100,100,(Backdoors!AI12+IF(JA82&gt;=0.45,VLOOKUP(Calculator!E23,tbSkills!DH3:DI6,2,FALSE)+IF(AND(Calculator!B8=TRUE,Backdoors!BI40=TRUE),VLOOKUP(Calculator!E23,tbSkills!DH3:DJ6,3,FALSE),0),0)))/100)),1),1)</f>
        <v>0.7</v>
      </c>
      <c r="JG82" s="87">
        <f t="shared" si="88"/>
        <v>0</v>
      </c>
      <c r="JH82" s="86" t="str">
        <f>IFERROR(IF(VLOOKUP(A82,tbMoveset!A2:B112,2,FALSE)="Sever",Backdoors!AY41/100,IF(VLOOKUP(A82,tbMoveset!A2:B112,2,FALSE)="Blunt",Backdoors!AZ41/100,Backdoors!BA41/100)),"")</f>
        <v/>
      </c>
      <c r="JI82" s="49">
        <f>IFERROR(IF(VLOOKUP(tbMoveset!A82,tbMoveset!A2:H112,8,FALSE)="Other",IF(VLOOKUP(tbMoveset!A82,tbMoveset!A2:I112,9,FALSE)="Fire",Backdoors!BB41,IF(VLOOKUP(tbMoveset!A82,tbMoveset!A2:I112,9,FALSE)="Water",Backdoors!BC41,IF(VLOOKUP(tbMoveset!A82,tbMoveset!A2:I112,9,FALSE)="Thunder",Backdoors!BD41,IF(VLOOKUP(tbMoveset!A82,tbMoveset!A2:I112,9,FALSE)="Ice",Backdoors!BE41,IF(VLOOKUP(tbMoveset!A82,tbMoveset!A2:I112,9,FALSE)="Dragon",Backdoors!BF41,Backdoors!BG41)))))/100,Backdoors!BG41/100),"")</f>
        <v>0</v>
      </c>
      <c r="JJ82" s="49">
        <f>IFERROR(IF(VLOOKUP(A82,tbMoveset!A2:J112,10,FALSE)=TRUE,IF((Backdoors!AI12+IF(JH82&gt;=0.45,VLOOKUP(Calculator!E23,tbSkills!DH3:DI6,2,FALSE)+IF(AND(Calculator!B8=TRUE,Backdoors!BI41=TRUE),VLOOKUP(Calculator!E23,tbSkills!DH3:DJ6,3,FALSE),0),0))&gt;=0,1+(Backdoors!AL2*(IF((Backdoors!AI12+IF(JH82&gt;=0.45,VLOOKUP(Calculator!E23,tbSkills!DH3:DI6,2,FALSE)+IF(AND(Calculator!B8=TRUE,Backdoors!BI41=TRUE),VLOOKUP(Calculator!E23,tbSkills!DH3:DJ6,3,FALSE),0),0))&gt;=100,100,(Backdoors!AI12+IF(JH82&gt;=0.45,VLOOKUP(Calculator!E23,tbSkills!DH3:DI6,2,FALSE)+IF(AND(Calculator!B8=TRUE,Backdoors!BI41=TRUE),VLOOKUP(Calculator!E23,tbSkills!DH3:DJ6,3,FALSE),0),0)))/100)),(1-(0.25*((-Backdoors!AI12-IF(JH82&gt;=0.45,VLOOKUP(Calculator!E23,tbSkills!DH3:DI6,2,FALSE)+IF(AND(Calculator!B8=TRUE,Backdoors!BI41=TRUE),VLOOKUP(Calculator!E23,tbSkills!DH3:DJ6,3,FALSE),0),0))/100)))),1),"")</f>
        <v>1</v>
      </c>
      <c r="JK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H82)*JJ82)*(VLOOKUP(A82,tbMoveset!A2:C112,3,FALSE)/100)*IF(VLOOKUP(A82,tbMoveset!A2:B112,2,FALSE)="Projectile",Backdoors!N10,Backdoors!N9),0),"")</f>
        <v/>
      </c>
      <c r="JL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43&gt;0,VLOOKUP(Calculator!E43,tbSkills!AC3:AD5,2,FALSE),Backdoors!AL3)*(IF((Backdoors!AI12+IF(JH82&gt;=0.45,VLOOKUP(Calculator!E23,tbSkills!DH3:DI6,2,FALSE)+IF(AND(Calculator!B8=TRUE,Backdoors!BI41=TRUE),VLOOKUP(Calculator!E23,tbSkills!DH3:DJ6,3,FALSE),0),0))&gt;=100,100,(Backdoors!AI12+IF(JH82&gt;=0.45,VLOOKUP(Calculator!E23,tbSkills!DH3:DI6,2,FALSE)+IF(AND(Calculator!B8=TRUE,Backdoors!BI41=TRUE),VLOOKUP(Calculator!E23,tbSkills!DH3:DJ6,3,FALSE),0),0)))/100)),1))*IF(VLOOKUP(A82,tbMoveset!A2:K112,11,FALSE)=TRUE,Backdoors!AC5,1))*JI82,0),"")</f>
        <v/>
      </c>
      <c r="JM82" s="49">
        <f>VLOOKUP(A82,tbMoveset!A2:G112,7,FALSE)*IFERROR(IF(Backdoors!AI12&gt;=0,1+(IF(Calculator!E40&gt;0,VLOOKUP(Calculator!E40,tbSkills!AI3:AJ5,2,FALSE),Backdoors!AL4)*(IF((Backdoors!AI12+IF(JH82&gt;=0.45,VLOOKUP(Calculator!E23,tbSkills!DH3:DI6,2,FALSE)+IF(AND(Calculator!B8=TRUE,Backdoors!BI41=TRUE),VLOOKUP(Calculator!E23,tbSkills!DH3:DJ6,3,FALSE),0),0))&gt;=100,100,(Backdoors!AI12+IF(JH82&gt;=0.45,VLOOKUP(Calculator!E23,tbSkills!DH3:DI6,2,FALSE)+IF(AND(Calculator!B8=TRUE,Backdoors!BI41=TRUE),VLOOKUP(Calculator!E23,tbSkills!DH3:DJ6,3,FALSE),0),0)))/100)),1),1)</f>
        <v>0.7</v>
      </c>
      <c r="JN82" s="87">
        <f t="shared" si="89"/>
        <v>0</v>
      </c>
      <c r="JO82" s="86" t="str">
        <f>IFERROR(IF(VLOOKUP(A82,tbMoveset!A2:B112,2,FALSE)="Sever",Backdoors!AY42/100,IF(VLOOKUP(A82,tbMoveset!A2:B112,2,FALSE)="Blunt",Backdoors!AZ42/100,Backdoors!BA42/100)),"")</f>
        <v/>
      </c>
      <c r="JP82" s="49">
        <f>IFERROR(IF(VLOOKUP(tbMoveset!A82,tbMoveset!A2:H112,8,FALSE)="Other",IF(VLOOKUP(tbMoveset!A82,tbMoveset!A2:I112,9,FALSE)="Fire",Backdoors!BB42,IF(VLOOKUP(tbMoveset!A82,tbMoveset!A2:I112,9,FALSE)="Water",Backdoors!BC42,IF(VLOOKUP(tbMoveset!A82,tbMoveset!A2:I112,9,FALSE)="Thunder",Backdoors!BD42,IF(VLOOKUP(tbMoveset!A82,tbMoveset!A2:I112,9,FALSE)="Ice",Backdoors!BE42,IF(VLOOKUP(tbMoveset!A82,tbMoveset!A2:I112,9,FALSE)="Dragon",Backdoors!BF42,Backdoors!BG42)))))/100,Backdoors!BG42/100),"")</f>
        <v>0</v>
      </c>
      <c r="JQ82" s="49">
        <f>IFERROR(IF(VLOOKUP(A82,tbMoveset!A2:J112,10,FALSE)=TRUE,IF((Backdoors!AI12+IF(JO82&gt;=0.45,VLOOKUP(Calculator!E23,tbSkills!DH3:DI6,2,FALSE)+IF(AND(Calculator!B8=TRUE,Backdoors!BI42=TRUE),VLOOKUP(Calculator!E23,tbSkills!DH3:DJ6,3,FALSE),0),0))&gt;=0,1+(Backdoors!AL2*(IF((Backdoors!AI12+IF(JO82&gt;=0.45,VLOOKUP(Calculator!E23,tbSkills!DH3:DI6,2,FALSE)+IF(AND(Calculator!B8=TRUE,Backdoors!BI42=TRUE),VLOOKUP(Calculator!E23,tbSkills!DH3:DJ6,3,FALSE),0),0))&gt;=100,100,(Backdoors!AI12+IF(JO82&gt;=0.45,VLOOKUP(Calculator!E23,tbSkills!DH3:DI6,2,FALSE)+IF(AND(Calculator!B8=TRUE,Backdoors!BI42=TRUE),VLOOKUP(Calculator!E23,tbSkills!DH3:DJ6,3,FALSE),0),0)))/100)),(1-(0.25*((-Backdoors!AI12-IF(JO82&gt;=0.45,VLOOKUP(Calculator!E23,tbSkills!DH3:DI6,2,FALSE)+IF(AND(Calculator!B8=TRUE,Backdoors!BI42=TRUE),VLOOKUP(Calculator!E23,tbSkills!DH3:DJ6,3,FALSE),0),0))/100)))),1),"")</f>
        <v>1</v>
      </c>
      <c r="JR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O82)*JQ82)*(VLOOKUP(A82,tbMoveset!A2:C112,3,FALSE)/100)*IF(VLOOKUP(A82,tbMoveset!A2:B112,2,FALSE)="Projectile",Backdoors!N10,Backdoors!N9),0),"")</f>
        <v/>
      </c>
      <c r="JS82" s="49">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45&gt;0,VLOOKUP(Calculator!E45,tbSkills!AC3:AD5,2,FALSE),Backdoors!AL3)*(IF((Backdoors!AI12+IF(JO82&gt;=0.45,VLOOKUP(Calculator!E23,tbSkills!DH3:DI6,2,FALSE)+IF(AND(Calculator!B8=TRUE,Backdoors!BI42=TRUE),VLOOKUP(Calculator!E23,tbSkills!DH3:DJ6,3,FALSE),0),0))&gt;=100,100,(Backdoors!AI12+IF(JO82&gt;=0.45,VLOOKUP(Calculator!E23,tbSkills!DH3:DI6,2,FALSE)+IF(AND(Calculator!B8=TRUE,Backdoors!BI42=TRUE),VLOOKUP(Calculator!E23,tbSkills!DH3:DJ6,3,FALSE),0),0)))/100)),1))*IF(VLOOKUP(A82,tbMoveset!A2:K112,11,FALSE)=TRUE,Backdoors!AC5,1))*JP82,0),"")</f>
        <v>0</v>
      </c>
      <c r="JT82" s="49">
        <f>VLOOKUP(A82,tbMoveset!A2:G112,7,FALSE)*IFERROR(IF(Backdoors!AI12&gt;=0,1+(IF(Calculator!E40&gt;0,VLOOKUP(Calculator!E40,tbSkills!AI3:AJ5,2,FALSE),Backdoors!AL4)*(IF((Backdoors!AI12+IF(JO82&gt;=0.45,VLOOKUP(Calculator!E23,tbSkills!DH3:DI6,2,FALSE)+IF(AND(Calculator!B8=TRUE,Backdoors!BI42=TRUE),VLOOKUP(Calculator!E23,tbSkills!DH3:DJ6,3,FALSE),0),0))&gt;=100,100,(Backdoors!AI12+IF(JO82&gt;=0.45,VLOOKUP(Calculator!E23,tbSkills!DH3:DI6,2,FALSE)+IF(AND(Calculator!B8=TRUE,Backdoors!BI42=TRUE),VLOOKUP(Calculator!E23,tbSkills!DH3:DJ6,3,FALSE),0),0)))/100)),1),1)</f>
        <v>0.7</v>
      </c>
      <c r="JU82" s="87">
        <f t="shared" si="90"/>
        <v>0</v>
      </c>
      <c r="JV82" s="86" t="str">
        <f>IFERROR(IF(VLOOKUP(A82,tbMoveset!A2:B112,2,FALSE)="Sever",Backdoors!AY43/100,IF(VLOOKUP(A82,tbMoveset!A2:B112,2,FALSE)="Blunt",Backdoors!AZ43/100,Backdoors!BA43/100)),"")</f>
        <v/>
      </c>
      <c r="JW82" s="49">
        <f>IFERROR(IF(VLOOKUP(tbMoveset!A82,tbMoveset!A2:H112,8,FALSE)="Other",IF(VLOOKUP(tbMoveset!A82,tbMoveset!A2:I112,9,FALSE)="Fire",Backdoors!BB43,IF(VLOOKUP(tbMoveset!A82,tbMoveset!A2:I112,9,FALSE)="Water",Backdoors!BC43,IF(VLOOKUP(tbMoveset!A82,tbMoveset!A2:I112,9,FALSE)="Thunder",Backdoors!BD43,IF(VLOOKUP(tbMoveset!A82,tbMoveset!A2:I112,9,FALSE)="Ice",Backdoors!BE43,IF(VLOOKUP(tbMoveset!A82,tbMoveset!A2:I112,9,FALSE)="Dragon",Backdoors!BF43,Backdoors!BG43)))))/100,Backdoors!BG43/100),"")</f>
        <v>0</v>
      </c>
      <c r="JX82" s="49">
        <f>IFERROR(IF(VLOOKUP(A82,tbMoveset!A2:J112,10,FALSE)=TRUE,IF((Backdoors!AI12+IF(JV82&gt;=0.45,VLOOKUP(Calculator!E23,tbSkills!DH3:DI6,2,FALSE)+IF(AND(Calculator!B8=TRUE,Backdoors!BI43=TRUE),VLOOKUP(Calculator!E23,tbSkills!DH3:DJ6,3,FALSE),0),0))&gt;=0,1+(Backdoors!AL2*(IF((Backdoors!AI12+IF(JV82&gt;=0.45,VLOOKUP(Calculator!E23,tbSkills!DH3:DI6,2,FALSE)+IF(AND(Calculator!B8=TRUE,Backdoors!BI43=TRUE),VLOOKUP(Calculator!E23,tbSkills!DH3:DJ6,3,FALSE),0),0))&gt;=100,100,(Backdoors!AI12+IF(JV82&gt;=0.45,VLOOKUP(Calculator!E23,tbSkills!DH3:DI6,2,FALSE)+IF(AND(Calculator!B8=TRUE,Backdoors!BI43=TRUE),VLOOKUP(Calculator!E23,tbSkills!DH3:DJ6,3,FALSE),0),0)))/100)),(1-(0.25*((-Backdoors!AI12-IF(JV82&gt;=0.45,VLOOKUP(Calculator!E23,tbSkills!DH3:DI6,2,FALSE)+IF(AND(Calculator!B8=TRUE,Backdoors!BI43=TRUE),VLOOKUP(Calculator!E23,tbSkills!DH3:DJ6,3,FALSE),0),0))/100)))),1),"")</f>
        <v>1</v>
      </c>
      <c r="JY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V82)*JX82)*(VLOOKUP(A82,tbMoveset!A2:C112,3,FALSE)/100)*IF(VLOOKUP(A82,tbMoveset!A2:B112,2,FALSE)="Projectile",Backdoors!N10,Backdoors!N9),0),"")</f>
        <v/>
      </c>
      <c r="JZ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46&gt;0,VLOOKUP(Calculator!E46,tbSkills!AC3:AD5,2,FALSE),Backdoors!AL3)*(IF((Backdoors!AI12+IF(JV82&gt;=0.45,VLOOKUP(Calculator!E23,tbSkills!DH3:DI6,2,FALSE)+IF(AND(Calculator!B8=TRUE,Backdoors!BI43=TRUE),VLOOKUP(Calculator!E23,tbSkills!DH3:DJ6,3,FALSE),0),0))&gt;=100,100,(Backdoors!AI12+IF(JV82&gt;=0.45,VLOOKUP(Calculator!E23,tbSkills!DH3:DI6,2,FALSE)+IF(AND(Calculator!B8=TRUE,Backdoors!BI43=TRUE),VLOOKUP(Calculator!E23,tbSkills!DH3:DJ6,3,FALSE),0),0)))/100)),1))*IF(VLOOKUP(A82,tbMoveset!A2:K112,11,FALSE)=TRUE,Backdoors!AC5,1))*JW82,0),"")</f>
        <v/>
      </c>
      <c r="KA82" s="49">
        <f>VLOOKUP(A82,tbMoveset!A2:G112,7,FALSE)*IFERROR(IF(Backdoors!AI12&gt;=0,1+(IF(Calculator!E40&gt;0,VLOOKUP(Calculator!E40,tbSkills!AI3:AJ5,2,FALSE),Backdoors!AL4)*(IF((Backdoors!AI12+IF(JV82&gt;=0.45,VLOOKUP(Calculator!E23,tbSkills!DH3:DI6,2,FALSE)+IF(AND(Calculator!B8=TRUE,Backdoors!BI43=TRUE),VLOOKUP(Calculator!E23,tbSkills!DH3:DJ6,3,FALSE),0),0))&gt;=100,100,(Backdoors!AI12+IF(JV82&gt;=0.45,VLOOKUP(Calculator!E23,tbSkills!DH3:DI6,2,FALSE)+IF(AND(Calculator!B8=TRUE,Backdoors!BI43=TRUE),VLOOKUP(Calculator!E23,tbSkills!DH3:DJ6,3,FALSE),0),0)))/100)),1),1)</f>
        <v>0.7</v>
      </c>
      <c r="KB82" s="87">
        <f t="shared" si="91"/>
        <v>0</v>
      </c>
      <c r="KC82" s="86" t="str">
        <f>IFERROR(IF(VLOOKUP(A82,tbMoveset!A2:B112,2,FALSE)="Sever",Backdoors!AY44/100,IF(VLOOKUP(A82,tbMoveset!A2:B112,2,FALSE)="Blunt",Backdoors!AZ44/100,Backdoors!BA44/100)),"")</f>
        <v/>
      </c>
      <c r="KD82" s="49">
        <f>IFERROR(IF(VLOOKUP(tbMoveset!A82,tbMoveset!A2:H112,8,FALSE)="Other",IF(VLOOKUP(tbMoveset!A82,tbMoveset!A2:I112,9,FALSE)="Fire",Backdoors!BB44,IF(VLOOKUP(tbMoveset!A82,tbMoveset!A2:I112,9,FALSE)="Water",Backdoors!BC44,IF(VLOOKUP(tbMoveset!A82,tbMoveset!A2:I112,9,FALSE)="Thunder",Backdoors!BD44,IF(VLOOKUP(tbMoveset!A82,tbMoveset!A2:I112,9,FALSE)="Ice",Backdoors!BE44,IF(VLOOKUP(tbMoveset!A82,tbMoveset!A2:I112,9,FALSE)="Dragon",Backdoors!BF44,Backdoors!BG44)))))/100,Backdoors!BG44/100),"")</f>
        <v>0</v>
      </c>
      <c r="KE82" s="49">
        <f>IFERROR(IF(VLOOKUP(A82,tbMoveset!A2:J112,10,FALSE)=TRUE,IF((Backdoors!AI12+IF(KC82&gt;=0.45,VLOOKUP(Calculator!E23,tbSkills!DH3:DI6,2,FALSE)+IF(AND(Calculator!B8=TRUE,Backdoors!BI44=TRUE),VLOOKUP(Calculator!E23,tbSkills!DH3:DJ6,3,FALSE),0),0))&gt;=0,1+(Backdoors!AL2*(IF((Backdoors!AI12+IF(KC82&gt;=0.45,VLOOKUP(Calculator!E23,tbSkills!DH3:DI6,2,FALSE)+IF(AND(Calculator!B8=TRUE,Backdoors!BI44=TRUE),VLOOKUP(Calculator!E23,tbSkills!DH3:DJ6,3,FALSE),0),0))&gt;=100,100,(Backdoors!AI12+IF(KC82&gt;=0.45,VLOOKUP(Calculator!E23,tbSkills!DH3:DI6,2,FALSE)+IF(AND(Calculator!B8=TRUE,Backdoors!BI44=TRUE),VLOOKUP(Calculator!E23,tbSkills!DH3:DJ6,3,FALSE),0),0)))/100)),(1-(0.25*((-Backdoors!AI12-IF(KC82&gt;=0.45,VLOOKUP(Calculator!E23,tbSkills!DH3:DI6,2,FALSE)+IF(AND(Calculator!B8=TRUE,Backdoors!BI44=TRUE),VLOOKUP(Calculator!E23,tbSkills!DH3:DJ6,3,FALSE),0),0))/100)))),1),"")</f>
        <v>1</v>
      </c>
      <c r="KF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KC82)*KE82)*(VLOOKUP(A82,tbMoveset!A2:C112,3,FALSE)/100)*IF(VLOOKUP(A82,tbMoveset!A2:B112,2,FALSE)="Projectile",Backdoors!N10,Backdoors!N9),0),"")</f>
        <v/>
      </c>
      <c r="KG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REF!&gt;0,VLOOKUP(Calculator!#REF!,tbSkills!AC3:AD5,2,FALSE),Backdoors!AL3)*(IF((Backdoors!AI12+IF(KC82&gt;=0.45,VLOOKUP(Calculator!E23,tbSkills!DH3:DI6,2,FALSE)+IF(AND(Calculator!B8=TRUE,Backdoors!BI44=TRUE),VLOOKUP(Calculator!E23,tbSkills!DH3:DJ6,3,FALSE),0),0))&gt;=100,100,(Backdoors!AI12+IF(KC82&gt;=0.45,VLOOKUP(Calculator!E23,tbSkills!DH3:DI6,2,FALSE)+IF(AND(Calculator!B8=TRUE,Backdoors!BI44=TRUE),VLOOKUP(Calculator!E23,tbSkills!DH3:DJ6,3,FALSE),0),0)))/100)),1))*IF(VLOOKUP(A82,tbMoveset!A2:K112,11,FALSE)=TRUE,Backdoors!AC5,1))*KD82,0),"")</f>
        <v/>
      </c>
      <c r="KH82" s="49">
        <f>VLOOKUP(A82,tbMoveset!A2:G112,7,FALSE)*IFERROR(IF(Backdoors!AI12&gt;=0,1+(IF(Calculator!E40&gt;0,VLOOKUP(Calculator!E40,tbSkills!AI3:AJ5,2,FALSE),Backdoors!AL4)*(IF((Backdoors!AI12+IF(KC82&gt;=0.45,VLOOKUP(Calculator!E23,tbSkills!DH3:DI6,2,FALSE)+IF(AND(Calculator!B8=TRUE,Backdoors!BI44=TRUE),VLOOKUP(Calculator!E23,tbSkills!DH3:DJ6,3,FALSE),0),0))&gt;=100,100,(Backdoors!AI12+IF(KC82&gt;=0.45,VLOOKUP(Calculator!E23,tbSkills!DH3:DI6,2,FALSE)+IF(AND(Calculator!B8=TRUE,Backdoors!BI44=TRUE),VLOOKUP(Calculator!E23,tbSkills!DH3:DJ6,3,FALSE),0),0)))/100)),1),1)</f>
        <v>0.7</v>
      </c>
      <c r="KI82" s="87">
        <f t="shared" si="92"/>
        <v>0</v>
      </c>
      <c r="KJ82" s="86" t="str">
        <f>IFERROR(IF(VLOOKUP(A82,tbMoveset!A2:B112,2,FALSE)="Sever",Backdoors!AY45/100,IF(VLOOKUP(A82,tbMoveset!A2:B112,2,FALSE)="Blunt",Backdoors!AZ45/100,Backdoors!BA45/100)),"")</f>
        <v/>
      </c>
      <c r="KK82" s="49">
        <f>IFERROR(IF(VLOOKUP(tbMoveset!A82,tbMoveset!A2:H112,8,FALSE)="Other",IF(VLOOKUP(tbMoveset!A82,tbMoveset!A2:I112,9,FALSE)="Fire",Backdoors!BB45,IF(VLOOKUP(tbMoveset!A82,tbMoveset!A2:I112,9,FALSE)="Water",Backdoors!BC45,IF(VLOOKUP(tbMoveset!A82,tbMoveset!A2:I112,9,FALSE)="Thunder",Backdoors!BD45,IF(VLOOKUP(tbMoveset!A82,tbMoveset!A2:I112,9,FALSE)="Ice",Backdoors!BE45,IF(VLOOKUP(tbMoveset!A82,tbMoveset!A2:I112,9,FALSE)="Dragon",Backdoors!BF45,Backdoors!BG45)))))/100,Backdoors!BG45/100),"")</f>
        <v>0</v>
      </c>
      <c r="KL82" s="49">
        <f>IFERROR(IF(VLOOKUP(A82,tbMoveset!A2:J112,10,FALSE)=TRUE,IF((Backdoors!AI12+IF(KJ82&gt;=0.45,VLOOKUP(Calculator!E23,tbSkills!DH3:DI6,2,FALSE)+IF(AND(Calculator!B8=TRUE,Backdoors!BI45=TRUE),VLOOKUP(Calculator!E23,tbSkills!DH3:DJ6,3,FALSE),0),0))&gt;=0,1+(Backdoors!AL2*(IF((Backdoors!AI12+IF(KJ82&gt;=0.45,VLOOKUP(Calculator!E23,tbSkills!DH3:DI6,2,FALSE)+IF(AND(Calculator!B8=TRUE,Backdoors!BI45=TRUE),VLOOKUP(Calculator!E23,tbSkills!DH3:DJ6,3,FALSE),0),0))&gt;=100,100,(Backdoors!AI12+IF(KJ82&gt;=0.45,VLOOKUP(Calculator!E23,tbSkills!DH3:DI6,2,FALSE)+IF(AND(Calculator!B8=TRUE,Backdoors!BI45=TRUE),VLOOKUP(Calculator!E23,tbSkills!DH3:DJ6,3,FALSE),0),0)))/100)),(1-(0.25*((-Backdoors!AI12-IF(KJ82&gt;=0.45,VLOOKUP(Calculator!E23,tbSkills!DH3:DI6,2,FALSE)+IF(AND(Calculator!B8=TRUE,Backdoors!BI45=TRUE),VLOOKUP(Calculator!E23,tbSkills!DH3:DJ6,3,FALSE),0),0))/100)))),1),"")</f>
        <v>1</v>
      </c>
      <c r="KM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KJ82)*KL82)*(VLOOKUP(A82,tbMoveset!A2:C112,3,FALSE)/100)*IF(VLOOKUP(A82,tbMoveset!A2:B112,2,FALSE)="Projectile",Backdoors!N10,Backdoors!N9),0),"")</f>
        <v/>
      </c>
      <c r="KN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REF!&gt;0,VLOOKUP(Calculator!#REF!,tbSkills!AC3:AD5,2,FALSE),Backdoors!AL3)*(IF((Backdoors!AI12+IF(KJ82&gt;=0.45,VLOOKUP(Calculator!E23,tbSkills!DH3:DI6,2,FALSE)+IF(AND(Calculator!B8=TRUE,Backdoors!BI45=TRUE),VLOOKUP(Calculator!E23,tbSkills!DH3:DJ6,3,FALSE),0),0))&gt;=100,100,(Backdoors!AI12+IF(KJ82&gt;=0.45,VLOOKUP(Calculator!E23,tbSkills!DH3:DI6,2,FALSE)+IF(AND(Calculator!B8=TRUE,Backdoors!BI45=TRUE),VLOOKUP(Calculator!E23,tbSkills!DH3:DJ6,3,FALSE),0),0)))/100)),1))*IF(VLOOKUP(A82,tbMoveset!A2:K112,11,FALSE)=TRUE,Backdoors!AC5,1))*KK82,0),"")</f>
        <v/>
      </c>
      <c r="KO82" s="49">
        <f>VLOOKUP(A82,tbMoveset!A2:G112,7,FALSE)*IFERROR(IF(Backdoors!AI12&gt;=0,1+(IF(Calculator!E40&gt;0,VLOOKUP(Calculator!E40,tbSkills!AI3:AJ5,2,FALSE),Backdoors!AL4)*(IF((Backdoors!AI12+IF(KJ82&gt;=0.45,VLOOKUP(Calculator!E23,tbSkills!DH3:DI6,2,FALSE)+IF(AND(Calculator!B8=TRUE,Backdoors!BI45=TRUE),VLOOKUP(Calculator!E23,tbSkills!DH3:DJ6,3,FALSE),0),0))&gt;=100,100,(Backdoors!AI12+IF(KJ82&gt;=0.45,VLOOKUP(Calculator!E23,tbSkills!DH3:DI6,2,FALSE)+IF(AND(Calculator!B8=TRUE,Backdoors!BI45=TRUE),VLOOKUP(Calculator!E23,tbSkills!DH3:DJ6,3,FALSE),0),0)))/100)),1),1)</f>
        <v>0.7</v>
      </c>
      <c r="KP82" s="87">
        <f t="shared" si="93"/>
        <v>0</v>
      </c>
      <c r="KQ82" s="86" t="str">
        <f>IFERROR(IF(VLOOKUP(A82,tbMoveset!A2:B112,2,FALSE)="Sever",Backdoors!AY46/100,IF(VLOOKUP(A82,tbMoveset!A2:B112,2,FALSE)="Blunt",Backdoors!AZ46/100,Backdoors!BA46/100)),"")</f>
        <v/>
      </c>
      <c r="KR82" s="49">
        <f>IFERROR(IF(VLOOKUP(tbMoveset!A82,tbMoveset!A2:H112,8,FALSE)="Other",IF(VLOOKUP(tbMoveset!A82,tbMoveset!A2:I112,9,FALSE)="Fire",Backdoors!BB46,IF(VLOOKUP(tbMoveset!A82,tbMoveset!A2:I112,9,FALSE)="Water",Backdoors!BC46,IF(VLOOKUP(tbMoveset!A82,tbMoveset!A2:I112,9,FALSE)="Thunder",Backdoors!BD46,IF(VLOOKUP(tbMoveset!A82,tbMoveset!A2:I112,9,FALSE)="Ice",Backdoors!BE46,IF(VLOOKUP(tbMoveset!A82,tbMoveset!A2:I112,9,FALSE)="Dragon",Backdoors!BF46,Backdoors!BG46)))))/100,Backdoors!BG46/100),"")</f>
        <v>0</v>
      </c>
      <c r="KS82" s="49">
        <f>IFERROR(IF(VLOOKUP(A82,tbMoveset!A2:J112,10,FALSE)=TRUE,IF((Backdoors!AI12+IF(KQ82&gt;=0.45,VLOOKUP(Calculator!E23,tbSkills!DH3:DI6,2,FALSE)+IF(AND(Calculator!B8=TRUE,Backdoors!BI46=TRUE),VLOOKUP(Calculator!E23,tbSkills!DH3:DJ6,3,FALSE),0),0))&gt;=0,1+(Backdoors!AL2*(IF((Backdoors!AI12+IF(KQ82&gt;=0.45,VLOOKUP(Calculator!E23,tbSkills!DH3:DI6,2,FALSE)+IF(AND(Calculator!B8=TRUE,Backdoors!BI46=TRUE),VLOOKUP(Calculator!E23,tbSkills!DH3:DJ6,3,FALSE),0),0))&gt;=100,100,(Backdoors!AI12+IF(KQ82&gt;=0.45,VLOOKUP(Calculator!E23,tbSkills!DH3:DI6,2,FALSE)+IF(AND(Calculator!B8=TRUE,Backdoors!BI46=TRUE),VLOOKUP(Calculator!E23,tbSkills!DH3:DJ6,3,FALSE),0),0)))/100)),(1-(0.25*((-Backdoors!AI12-IF(KQ82&gt;=0.45,VLOOKUP(Calculator!E23,tbSkills!DH3:DI6,2,FALSE)+IF(AND(Calculator!B8=TRUE,Backdoors!BI46=TRUE),VLOOKUP(Calculator!E23,tbSkills!DH3:DJ6,3,FALSE),0),0))/100)))),1),"")</f>
        <v>1</v>
      </c>
      <c r="KT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KQ82)*KS82)*(VLOOKUP(A82,tbMoveset!A2:C112,3,FALSE)/100)*IF(VLOOKUP(A82,tbMoveset!A2:B112,2,FALSE)="Projectile",Backdoors!N10,Backdoors!N9),0),"")</f>
        <v/>
      </c>
      <c r="KU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REF!&gt;0,VLOOKUP(Calculator!#REF!,tbSkills!AC3:AD5,2,FALSE),Backdoors!AL3)*(IF((Backdoors!AI12+IF(KQ82&gt;=0.45,VLOOKUP(Calculator!E23,tbSkills!DH3:DI6,2,FALSE)+IF(AND(Calculator!B8=TRUE,Backdoors!BI46=TRUE),VLOOKUP(Calculator!E23,tbSkills!DH3:DJ6,3,FALSE),0),0))&gt;=100,100,(Backdoors!AI12+IF(KQ82&gt;=0.45,VLOOKUP(Calculator!E23,tbSkills!DH3:DI6,2,FALSE)+IF(AND(Calculator!B8=TRUE,Backdoors!BI46=TRUE),VLOOKUP(Calculator!E23,tbSkills!DH3:DJ6,3,FALSE),0),0)))/100)),1))*IF(VLOOKUP(A82,tbMoveset!A2:K112,11,FALSE)=TRUE,Backdoors!AC5,1))*KR82,0),"")</f>
        <v/>
      </c>
      <c r="KV82" s="49">
        <f>VLOOKUP(A82,tbMoveset!A2:G112,7,FALSE)*IFERROR(IF(Backdoors!AI12&gt;=0,1+(IF(Calculator!E40&gt;0,VLOOKUP(Calculator!E40,tbSkills!AI3:AJ5,2,FALSE),Backdoors!AL4)*(IF((Backdoors!AI12+IF(KQ82&gt;=0.45,VLOOKUP(Calculator!E23,tbSkills!DH3:DI6,2,FALSE)+IF(AND(Calculator!B8=TRUE,Backdoors!BI46=TRUE),VLOOKUP(Calculator!E23,tbSkills!DH3:DJ6,3,FALSE),0),0))&gt;=100,100,(Backdoors!AI12+IF(KQ82&gt;=0.45,VLOOKUP(Calculator!E23,tbSkills!DH3:DI6,2,FALSE)+IF(AND(Calculator!B8=TRUE,Backdoors!BI46=TRUE),VLOOKUP(Calculator!E23,tbSkills!DH3:DJ6,3,FALSE),0),0)))/100)),1),1)</f>
        <v>0.7</v>
      </c>
      <c r="KW82" s="87">
        <f t="shared" si="94"/>
        <v>0</v>
      </c>
    </row>
    <row r="83" spans="1:309" x14ac:dyDescent="0.25">
      <c r="A83" s="95" t="str">
        <f>tbMoveset!A83</f>
        <v>Heavenly Blade Dance (L1)</v>
      </c>
      <c r="B83" s="86">
        <f>IFERROR(IF(VLOOKUP(A83,tbMoveset!A2:B112,2,FALSE)="Sever",Backdoors!AY3/100,IF(VLOOKUP(A83,tbMoveset!A2:B112,2,FALSE)="Blunt",Backdoors!AZ3/100,Backdoors!BA3/100)),"")</f>
        <v>0.8</v>
      </c>
      <c r="C83" s="49">
        <f>IFERROR(IF(VLOOKUP(tbMoveset!A83,tbMoveset!A2:H112,8,FALSE)="Other",IF(VLOOKUP(tbMoveset!A83,tbMoveset!A2:I112,9,FALSE)="Fire",Backdoors!BB3,IF(VLOOKUP(tbMoveset!A83,tbMoveset!A2:I112,9,FALSE)="Water",Backdoors!BC3,IF(VLOOKUP(tbMoveset!A83,tbMoveset!A2:I112,9,FALSE)="Thunder",Backdoors!BD3,IF(VLOOKUP(tbMoveset!A83,tbMoveset!A2:I112,9,FALSE)="Ice",Backdoors!BE3,IF(VLOOKUP(tbMoveset!A83,tbMoveset!A2:I112,9,FALSE)="Dragon",Backdoors!BF3,Backdoors!BG3)))))/100,Backdoors!BG3/100),"")</f>
        <v>0</v>
      </c>
      <c r="D83" s="49">
        <f>IFERROR(IF(VLOOKUP(A83,tbMoveset!A2:J112,10,FALSE)=TRUE,IF((Backdoors!AI12+IF(B83&gt;=0.45,VLOOKUP(Calculator!E23,tbSkills!DH3:DI6,2,FALSE)+IF(AND(Calculator!B8=TRUE,Backdoors!BI3=TRUE),VLOOKUP(Calculator!E23,tbSkills!DH3:DJ6,3,FALSE),0),0))&gt;=0,1+(Backdoors!AL2*(IF((Backdoors!AI12+IF(B83&gt;=0.45,VLOOKUP(Calculator!E23,tbSkills!DH3:DI6,2,FALSE)+IF(AND(Calculator!B8=TRUE,Backdoors!BI3=TRUE),VLOOKUP(Calculator!E23,tbSkills!DH3:DJ6,3,FALSE),0),0))&gt;=100,100,(Backdoors!AI12+IF(B83&gt;=0.45,VLOOKUP(Calculator!E23,tbSkills!DH3:DI6,2,FALSE)+IF(AND(Calculator!B8=TRUE,Backdoors!BI3=TRUE),VLOOKUP(Calculator!E23,tbSkills!DH3:DJ6,3,FALSE),0),0)))/100)),(1-(0.25*((-Backdoors!AI12-IF(B83&gt;=0.45,VLOOKUP(Calculator!E23,tbSkills!DH3:DI6,2,FALSE)+IF(AND(Calculator!B8=TRUE,Backdoors!BI3=TRUE),VLOOKUP(Calculator!E23,tbSkills!DH3:DJ6,3,FALSE),0),0))/100)))),1),"")</f>
        <v>1</v>
      </c>
      <c r="E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83)*D83)*(VLOOKUP(A83,tbMoveset!A2:C112,3,FALSE)/100)*IF(VLOOKUP(A83,tbMoveset!A2:B112,2,FALSE)="Projectile",Backdoors!N10,Backdoors!N9),0),"")</f>
        <v>11</v>
      </c>
      <c r="F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83&gt;=0.45,VLOOKUP(Calculator!E23,tbSkills!DH3:DI6,2,FALSE)+IF(AND(Calculator!B8=TRUE,Backdoors!BI3=TRUE),VLOOKUP(Calculator!E23,tbSkills!DH3:DJ6,3,FALSE),0),0))&gt;=100,100,(Backdoors!AI12+IF(B83&gt;=0.45,VLOOKUP(Calculator!E23,tbSkills!DH3:DI6,2,FALSE)+IF(AND(Calculator!B8=TRUE,Backdoors!BI3=TRUE),VLOOKUP(Calculator!E23,tbSkills!DH3:DJ6,3,FALSE),0),0)))/100)),1))*IF(VLOOKUP(A83,tbMoveset!A2:K112,11,FALSE)=TRUE,Backdoors!AC5,1))*C83,0),"")</f>
        <v>0</v>
      </c>
      <c r="G83">
        <f>VLOOKUP(A83,tbMoveset!A2:G112,7,FALSE)*IFERROR(IF(Backdoors!AI12&gt;=0,1+(IF(Calculator!E40&gt;0,VLOOKUP(Calculator!E40,tbSkills!AI3:AJ5,2,FALSE),Backdoors!AL4)*(IF((Backdoors!AI12+IF(B83&gt;=0.45,VLOOKUP(Calculator!E23,tbSkills!DH3:DI6,2,FALSE)+IF(AND(Calculator!B8=TRUE,Backdoors!BI3=TRUE),VLOOKUP(Calculator!E23,tbSkills!DH3:DJ6,3,FALSE),0),0))&gt;=100,100,(Backdoors!AI12+IF(B83&gt;=0.45,VLOOKUP(Calculator!E23,tbSkills!DH3:DI6,2,FALSE)+IF(AND(Calculator!B8=TRUE,Backdoors!BI3=TRUE),VLOOKUP(Calculator!E23,tbSkills!DH3:DJ6,3,FALSE),0),0)))/100)),1),1)</f>
        <v>0.4</v>
      </c>
      <c r="H83" s="87">
        <f t="shared" si="51"/>
        <v>11</v>
      </c>
      <c r="I83" s="86">
        <f>IFERROR(IF(VLOOKUP(A83,tbMoveset!A2:B112,2,FALSE)="Sever",Backdoors!AY4/100,IF(VLOOKUP(A83,tbMoveset!A2:B112,2,FALSE)="Blunt",Backdoors!AZ4/100,Backdoors!BA4/100)),"")</f>
        <v>0.65</v>
      </c>
      <c r="J83" s="49">
        <f>IFERROR(IF(VLOOKUP(tbMoveset!A83,tbMoveset!A2:H112,8,FALSE)="Other",IF(VLOOKUP(tbMoveset!A83,tbMoveset!A2:I112,9,FALSE)="Fire",Backdoors!BB4,IF(VLOOKUP(tbMoveset!A83,tbMoveset!A2:I112,9,FALSE)="Water",Backdoors!BC4,IF(VLOOKUP(tbMoveset!A83,tbMoveset!A2:I112,9,FALSE)="Thunder",Backdoors!BD4,IF(VLOOKUP(tbMoveset!A83,tbMoveset!A2:I112,9,FALSE)="Ice",Backdoors!BE4,IF(VLOOKUP(tbMoveset!A83,tbMoveset!A2:I112,9,FALSE)="Dragon",Backdoors!BF4,Backdoors!BG4)))))/100,Backdoors!BG4/100),"")</f>
        <v>0</v>
      </c>
      <c r="K83" s="49">
        <f>IFERROR(IF(VLOOKUP(A83,tbMoveset!A2:J112,10,FALSE)=TRUE,IF((Backdoors!AI12+IF(I83&gt;=0.45,VLOOKUP(Calculator!E23,tbSkills!DH3:DI6,2,FALSE)+IF(AND(Calculator!B8=TRUE,Backdoors!BI4=TRUE),VLOOKUP(Calculator!E23,tbSkills!DH3:DJ6,3,FALSE),0),0))&gt;=0,1+(Backdoors!AL2*(IF((Backdoors!AI12+IF(I83&gt;=0.45,VLOOKUP(Calculator!E23,tbSkills!DH3:DI6,2,FALSE)+IF(AND(Calculator!B8=TRUE,Backdoors!BI4=TRUE),VLOOKUP(Calculator!E23,tbSkills!DH3:DJ6,3,FALSE),0),0))&gt;=100,100,(Backdoors!AI12+IF(I83&gt;=0.45,VLOOKUP(Calculator!E23,tbSkills!DH3:DI6,2,FALSE)+IF(AND(Calculator!B8=TRUE,Backdoors!BI4=TRUE),VLOOKUP(Calculator!E23,tbSkills!DH3:DJ6,3,FALSE),0),0)))/100)),(1-(0.25*((-Backdoors!AI12-IF(I83&gt;=0.45,VLOOKUP(Calculator!E23,tbSkills!DH3:DI6,2,FALSE)+IF(AND(Calculator!B8=TRUE,Backdoors!BI4=TRUE),VLOOKUP(Calculator!E23,tbSkills!DH3:DJ6,3,FALSE),0),0))/100)))),1),"")</f>
        <v>1</v>
      </c>
      <c r="L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83)*K83)*(VLOOKUP(A83,tbMoveset!A2:C112,3,FALSE)/100)*IF(VLOOKUP(A83,tbMoveset!A2:B112,2,FALSE)="Projectile",Backdoors!N10,Backdoors!N9),0),"")</f>
        <v>9</v>
      </c>
      <c r="M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I83&gt;=0.45,VLOOKUP(Calculator!E23,tbSkills!DH3:DI6,2,FALSE)+IF(AND(Calculator!B8=TRUE,Backdoors!BI4=TRUE),VLOOKUP(Calculator!E23,tbSkills!DH3:DJ6,3,FALSE),0),0))&gt;=100,100,(Backdoors!AI12+IF(I83&gt;=0.45,VLOOKUP(Calculator!E23,tbSkills!DH3:DI6,2,FALSE)+IF(AND(Calculator!B8=TRUE,Backdoors!BI4=TRUE),VLOOKUP(Calculator!E23,tbSkills!DH3:DJ6,3,FALSE),0),0)))/100)),1))*IF(VLOOKUP(A83,tbMoveset!A2:K112,11,FALSE)=TRUE,Backdoors!AC5,1))*J83,0),"")</f>
        <v>0</v>
      </c>
      <c r="N83" s="49">
        <f>VLOOKUP(A83,tbMoveset!A2:G112,7,FALSE)*IFERROR(IF(Backdoors!AI12&gt;=0,1+(IF(Calculator!E40&gt;0,VLOOKUP(Calculator!E40,tbSkills!AI3:AJ5,2,FALSE),Backdoors!AL4)*(IF((Backdoors!AI12+IF(I83&gt;=0.45,VLOOKUP(Calculator!E23,tbSkills!DH3:DI6,2,FALSE)+IF(AND(Calculator!B8=TRUE,Backdoors!BI4=TRUE),VLOOKUP(Calculator!E23,tbSkills!DH3:DJ6,3,FALSE),0),0))&gt;=100,100,(Backdoors!AI12+IF(I83&gt;=0.45,VLOOKUP(Calculator!E23,tbSkills!DH3:DI6,2,FALSE)+IF(AND(Calculator!B8=TRUE,Backdoors!BI4=TRUE),VLOOKUP(Calculator!E23,tbSkills!DH3:DJ6,3,FALSE),0),0)))/100)),1),1)</f>
        <v>0.4</v>
      </c>
      <c r="O83" s="87">
        <f t="shared" si="52"/>
        <v>9</v>
      </c>
      <c r="P83" s="86">
        <f>IFERROR(IF(VLOOKUP(A83,tbMoveset!A2:B112,2,FALSE)="Sever",Backdoors!AY5/100,IF(VLOOKUP(A83,tbMoveset!A2:B112,2,FALSE)="Blunt",Backdoors!AZ5/100,Backdoors!BA5/100)),"")</f>
        <v>0.5</v>
      </c>
      <c r="Q83" s="49">
        <f>IFERROR(IF(VLOOKUP(tbMoveset!A83,tbMoveset!A2:H112,8,FALSE)="Other",IF(VLOOKUP(tbMoveset!A83,tbMoveset!A2:I112,9,FALSE)="Fire",Backdoors!BB5,IF(VLOOKUP(tbMoveset!A83,tbMoveset!A2:I112,9,FALSE)="Water",Backdoors!BC5,IF(VLOOKUP(tbMoveset!A83,tbMoveset!A2:I112,9,FALSE)="Thunder",Backdoors!BD5,IF(VLOOKUP(tbMoveset!A83,tbMoveset!A2:I112,9,FALSE)="Ice",Backdoors!BE5,IF(VLOOKUP(tbMoveset!A83,tbMoveset!A2:I112,9,FALSE)="Dragon",Backdoors!BF5,Backdoors!BG5)))))/100,Backdoors!BG5/100),"")</f>
        <v>0</v>
      </c>
      <c r="R83" s="49">
        <f>IFERROR(IF(VLOOKUP(A83,tbMoveset!A2:J112,10,FALSE)=TRUE,IF((Backdoors!AI12+IF(P83&gt;=0.45,VLOOKUP(Calculator!E23,tbSkills!DH3:DI6,2,FALSE)+IF(AND(Calculator!B8=TRUE,Backdoors!BI5=TRUE),VLOOKUP(Calculator!E23,tbSkills!DH3:DJ6,3,FALSE),0),0))&gt;=0,1+(Backdoors!AL2*(IF((Backdoors!AI12+IF(P83&gt;=0.45,VLOOKUP(Calculator!E23,tbSkills!DH3:DI6,2,FALSE)+IF(AND(Calculator!B8=TRUE,Backdoors!BI5=TRUE),VLOOKUP(Calculator!E23,tbSkills!DH3:DJ6,3,FALSE),0),0))&gt;=100,100,(Backdoors!AI12+IF(P83&gt;=0.45,VLOOKUP(Calculator!E23,tbSkills!DH3:DI6,2,FALSE)+IF(AND(Calculator!B8=TRUE,Backdoors!BI5=TRUE),VLOOKUP(Calculator!E23,tbSkills!DH3:DJ6,3,FALSE),0),0)))/100)),(1-(0.25*((-Backdoors!AI12-IF(P83&gt;=0.45,VLOOKUP(Calculator!E23,tbSkills!DH3:DI6,2,FALSE)+IF(AND(Calculator!B8=TRUE,Backdoors!BI5=TRUE),VLOOKUP(Calculator!E23,tbSkills!DH3:DJ6,3,FALSE),0),0))/100)))),1),"")</f>
        <v>1</v>
      </c>
      <c r="S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P83)*R83)*(VLOOKUP(A83,tbMoveset!A2:C112,3,FALSE)/100)*IF(VLOOKUP(A83,tbMoveset!A2:B112,2,FALSE)="Projectile",Backdoors!N10,Backdoors!N9),0),"")</f>
        <v>7</v>
      </c>
      <c r="T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P83&gt;=0.45,VLOOKUP(Calculator!E23,tbSkills!DH3:DI6,2,FALSE)+IF(AND(Calculator!B8=TRUE,Backdoors!BI5=TRUE),VLOOKUP(Calculator!E23,tbSkills!DH3:DJ6,3,FALSE),0),0))&gt;=100,100,(Backdoors!AI12+IF(P83&gt;=0.45,VLOOKUP(Calculator!E23,tbSkills!DH3:DI6,2,FALSE)+IF(AND(Calculator!B8=TRUE,Backdoors!BI5=TRUE),VLOOKUP(Calculator!E23,tbSkills!DH3:DJ6,3,FALSE),0),0)))/100)),1))*IF(VLOOKUP(A83,tbMoveset!A2:K112,11,FALSE)=TRUE,Backdoors!AC5,1))*Q83,0),"")</f>
        <v>0</v>
      </c>
      <c r="U83" s="49">
        <f>VLOOKUP(A83,tbMoveset!A2:G112,7,FALSE)*IFERROR(IF(Backdoors!AI12&gt;=0,1+(IF(Calculator!E40&gt;0,VLOOKUP(Calculator!E40,tbSkills!AI3:AJ5,2,FALSE),Backdoors!AL4)*(IF((Backdoors!AI12+IF(P83&gt;=0.45,VLOOKUP(Calculator!E23,tbSkills!DH3:DI6,2,FALSE)+IF(AND(Calculator!B8=TRUE,Backdoors!BI5=TRUE),VLOOKUP(Calculator!E23,tbSkills!DH3:DJ6,3,FALSE),0),0))&gt;=100,100,(Backdoors!AI12+IF(P83&gt;=0.45,VLOOKUP(Calculator!E23,tbSkills!DH3:DI6,2,FALSE)+IF(AND(Calculator!B8=TRUE,Backdoors!BI5=TRUE),VLOOKUP(Calculator!E23,tbSkills!DH3:DJ6,3,FALSE),0),0)))/100)),1),1)</f>
        <v>0.4</v>
      </c>
      <c r="V83" s="87">
        <f t="shared" si="53"/>
        <v>7</v>
      </c>
      <c r="W83" s="86">
        <f>IFERROR(IF(VLOOKUP(A83,tbMoveset!A2:B112,2,FALSE)="Sever",Backdoors!AY6/100,IF(VLOOKUP(A83,tbMoveset!A2:B112,2,FALSE)="Blunt",Backdoors!AZ6/100,Backdoors!BA6/100)),"")</f>
        <v>0.45</v>
      </c>
      <c r="X83" s="49">
        <f>IFERROR(IF(VLOOKUP(tbMoveset!A83,tbMoveset!A2:H112,8,FALSE)="Other",IF(VLOOKUP(tbMoveset!A83,tbMoveset!A2:I112,9,FALSE)="Fire",Backdoors!BB6,IF(VLOOKUP(tbMoveset!A83,tbMoveset!A2:I112,9,FALSE)="Water",Backdoors!BC6,IF(VLOOKUP(tbMoveset!A83,tbMoveset!A2:I112,9,FALSE)="Thunder",Backdoors!BD6,IF(VLOOKUP(tbMoveset!A83,tbMoveset!A2:I112,9,FALSE)="Ice",Backdoors!BE6,IF(VLOOKUP(tbMoveset!A83,tbMoveset!A2:I112,9,FALSE)="Dragon",Backdoors!BF6,Backdoors!BG6)))))/100,Backdoors!BG6/100),"")</f>
        <v>0</v>
      </c>
      <c r="Y83" s="49">
        <f>IFERROR(IF(VLOOKUP(A83,tbMoveset!A2:J112,10,FALSE)=TRUE,IF((Backdoors!AI12+IF(W83&gt;=0.45,VLOOKUP(Calculator!E23,tbSkills!DH3:DI6,2,FALSE)+IF(AND(Calculator!B8=TRUE,Backdoors!BI6=TRUE),VLOOKUP(Calculator!E23,tbSkills!DH3:DJ6,3,FALSE),0),0))&gt;=0,1+(Backdoors!AL2*(IF((Backdoors!AI12+IF(W83&gt;=0.45,VLOOKUP(Calculator!E23,tbSkills!DH3:DI6,2,FALSE)+IF(AND(Calculator!B8=TRUE,Backdoors!BI6=TRUE),VLOOKUP(Calculator!E23,tbSkills!DH3:DJ6,3,FALSE),0),0))&gt;=100,100,(Backdoors!AI12+IF(W83&gt;=0.45,VLOOKUP(Calculator!E23,tbSkills!DH3:DI6,2,FALSE)+IF(AND(Calculator!B8=TRUE,Backdoors!BI6=TRUE),VLOOKUP(Calculator!E23,tbSkills!DH3:DJ6,3,FALSE),0),0)))/100)),(1-(0.25*((-Backdoors!AI12-IF(W83&gt;=0.45,VLOOKUP(Calculator!E23,tbSkills!DH3:DI6,2,FALSE)+IF(AND(Calculator!B8=TRUE,Backdoors!BI6=TRUE),VLOOKUP(Calculator!E23,tbSkills!DH3:DJ6,3,FALSE),0),0))/100)))),1),"")</f>
        <v>1</v>
      </c>
      <c r="Z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W83)*Y83)*(VLOOKUP(A83,tbMoveset!A2:C112,3,FALSE)/100)*IF(VLOOKUP(A83,tbMoveset!A2:B112,2,FALSE)="Projectile",Backdoors!N10,Backdoors!N9),0),"")</f>
        <v>6</v>
      </c>
      <c r="AA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W83&gt;=0.45,VLOOKUP(Calculator!E23,tbSkills!DH3:DI6,2,FALSE)+IF(AND(Calculator!B8=TRUE,Backdoors!BI6=TRUE),VLOOKUP(Calculator!E23,tbSkills!DH3:DJ6,3,FALSE),0),0))&gt;=100,100,(Backdoors!AI12+IF(W83&gt;=0.45,VLOOKUP(Calculator!E23,tbSkills!DH3:DI6,2,FALSE)+IF(AND(Calculator!B8=TRUE,Backdoors!BI6=TRUE),VLOOKUP(Calculator!E23,tbSkills!DH3:DJ6,3,FALSE),0),0)))/100)),1))*IF(VLOOKUP(A83,tbMoveset!A2:K112,11,FALSE)=TRUE,Backdoors!AC5,1))*X83,0),"")</f>
        <v>0</v>
      </c>
      <c r="AB83" s="49">
        <f>VLOOKUP(A83,tbMoveset!A2:G112,7,FALSE)*IFERROR(IF(Backdoors!AI12&gt;=0,1+(IF(Calculator!E40&gt;0,VLOOKUP(Calculator!E40,tbSkills!AI3:AJ5,2,FALSE),Backdoors!AL4)*(IF((Backdoors!AI12+IF(W83&gt;=0.45,VLOOKUP(Calculator!E23,tbSkills!DH3:DI6,2,FALSE)+IF(AND(Calculator!B8=TRUE,Backdoors!BI6=TRUE),VLOOKUP(Calculator!E23,tbSkills!DH3:DJ6,3,FALSE),0),0))&gt;=100,100,(Backdoors!AI12+IF(W83&gt;=0.45,VLOOKUP(Calculator!E23,tbSkills!DH3:DI6,2,FALSE)+IF(AND(Calculator!B8=TRUE,Backdoors!BI6=TRUE),VLOOKUP(Calculator!E23,tbSkills!DH3:DJ6,3,FALSE),0),0)))/100)),1),1)</f>
        <v>0.4</v>
      </c>
      <c r="AC83" s="87">
        <f t="shared" si="54"/>
        <v>6</v>
      </c>
      <c r="AD83" s="86">
        <f>IFERROR(IF(VLOOKUP(A83,tbMoveset!A2:B112,2,FALSE)="Sever",Backdoors!AY7/100,IF(VLOOKUP(A83,tbMoveset!A2:B112,2,FALSE)="Blunt",Backdoors!AZ7/100,Backdoors!BA7/100)),"")</f>
        <v>0.65</v>
      </c>
      <c r="AE83" s="49">
        <f>IFERROR(IF(VLOOKUP(tbMoveset!A83,tbMoveset!A2:H112,8,FALSE)="Other",IF(VLOOKUP(tbMoveset!A83,tbMoveset!A2:I112,9,FALSE)="Fire",Backdoors!BB7,IF(VLOOKUP(tbMoveset!A83,tbMoveset!A2:I112,9,FALSE)="Water",Backdoors!BC7,IF(VLOOKUP(tbMoveset!A83,tbMoveset!A2:I112,9,FALSE)="Thunder",Backdoors!BD7,IF(VLOOKUP(tbMoveset!A83,tbMoveset!A2:I112,9,FALSE)="Ice",Backdoors!BE7,IF(VLOOKUP(tbMoveset!A83,tbMoveset!A2:I112,9,FALSE)="Dragon",Backdoors!BF7,Backdoors!BG7)))))/100,Backdoors!BG7/100),"")</f>
        <v>0</v>
      </c>
      <c r="AF83" s="49">
        <f>IFERROR(IF(VLOOKUP(A83,tbMoveset!A2:J112,10,FALSE)=TRUE,IF((Backdoors!AI12+IF(AD83&gt;=0.45,VLOOKUP(Calculator!E23,tbSkills!DH3:DI6,2,FALSE)+IF(AND(Calculator!B8=TRUE,Backdoors!BI7=TRUE),VLOOKUP(Calculator!E23,tbSkills!DH3:DJ6,3,FALSE),0),0))&gt;=0,1+(Backdoors!AL2*(IF((Backdoors!AI12+IF(AD83&gt;=0.45,VLOOKUP(Calculator!E23,tbSkills!DH3:DI6,2,FALSE)+IF(AND(Calculator!B8=TRUE,Backdoors!BI7=TRUE),VLOOKUP(Calculator!E23,tbSkills!DH3:DJ6,3,FALSE),0),0))&gt;=100,100,(Backdoors!AI12+IF(AD83&gt;=0.45,VLOOKUP(Calculator!E23,tbSkills!DH3:DI6,2,FALSE)+IF(AND(Calculator!B8=TRUE,Backdoors!BI7=TRUE),VLOOKUP(Calculator!E23,tbSkills!DH3:DJ6,3,FALSE),0),0)))/100)),(1-(0.25*((-Backdoors!AI12-IF(AD83&gt;=0.45,VLOOKUP(Calculator!E23,tbSkills!DH3:DI6,2,FALSE)+IF(AND(Calculator!B8=TRUE,Backdoors!BI7=TRUE),VLOOKUP(Calculator!E23,tbSkills!DH3:DJ6,3,FALSE),0),0))/100)))),1),"")</f>
        <v>1</v>
      </c>
      <c r="AG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D83)*AF83)*(VLOOKUP(A83,tbMoveset!A2:C112,3,FALSE)/100)*IF(VLOOKUP(A83,tbMoveset!A2:B112,2,FALSE)="Projectile",Backdoors!N10,Backdoors!N9),0),"")</f>
        <v>9</v>
      </c>
      <c r="AH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D83&gt;=0.45,VLOOKUP(Calculator!E23,tbSkills!DH3:DI6,2,FALSE)+IF(AND(Calculator!B8=TRUE,Backdoors!BI7=TRUE),VLOOKUP(Calculator!E23,tbSkills!DH3:DJ6,3,FALSE),0),0))&gt;=100,100,(Backdoors!AI12+IF(AD83&gt;=0.45,VLOOKUP(Calculator!E23,tbSkills!DH3:DI6,2,FALSE)+IF(AND(Calculator!B8=TRUE,Backdoors!BI7=TRUE),VLOOKUP(Calculator!E23,tbSkills!DH3:DJ6,3,FALSE),0),0)))/100)),1))*IF(VLOOKUP(A83,tbMoveset!A2:K112,11,FALSE)=TRUE,Backdoors!AC5,1))*AE83,0),"")</f>
        <v>0</v>
      </c>
      <c r="AI83" s="49">
        <f>VLOOKUP(A83,tbMoveset!A2:G112,7,FALSE)*IFERROR(IF(Backdoors!AI12&gt;=0,1+(IF(Calculator!E40&gt;0,VLOOKUP(Calculator!E40,tbSkills!AI3:AJ5,2,FALSE),Backdoors!AL4)*(IF((Backdoors!AI12+IF(AD83&gt;=0.45,VLOOKUP(Calculator!E23,tbSkills!DH3:DI6,2,FALSE)+IF(AND(Calculator!B8=TRUE,Backdoors!BI7=TRUE),VLOOKUP(Calculator!E23,tbSkills!DH3:DJ6,3,FALSE),0),0))&gt;=100,100,(Backdoors!AI12+IF(AD83&gt;=0.45,VLOOKUP(Calculator!E23,tbSkills!DH3:DI6,2,FALSE)+IF(AND(Calculator!B8=TRUE,Backdoors!BI7=TRUE),VLOOKUP(Calculator!E23,tbSkills!DH3:DJ6,3,FALSE),0),0)))/100)),1),1)</f>
        <v>0.4</v>
      </c>
      <c r="AJ83" s="87">
        <f t="shared" si="55"/>
        <v>9</v>
      </c>
      <c r="AK83" s="91">
        <f>IFERROR(IF(VLOOKUP(A83,tbMoveset!A2:B112,2,FALSE)="Sever",Backdoors!AY8/100,IF(VLOOKUP(A83,tbMoveset!A2:B112,2,FALSE)="Blunt",Backdoors!AZ8/100,Backdoors!BA8/100)),"")</f>
        <v>0.45</v>
      </c>
      <c r="AL83" s="49">
        <f>IFERROR(IF(VLOOKUP(tbMoveset!A83,tbMoveset!A2:H112,8,FALSE)="Other",IF(VLOOKUP(tbMoveset!A83,tbMoveset!A2:I112,9,FALSE)="Fire",Backdoors!BB8,IF(VLOOKUP(tbMoveset!A83,tbMoveset!A2:I112,9,FALSE)="Water",Backdoors!BC8,IF(VLOOKUP(tbMoveset!A83,tbMoveset!A2:I112,9,FALSE)="Thunder",Backdoors!BD8,IF(VLOOKUP(tbMoveset!A83,tbMoveset!A2:I112,9,FALSE)="Ice",Backdoors!BE8,IF(VLOOKUP(tbMoveset!A83,tbMoveset!A2:I112,9,FALSE)="Dragon",Backdoors!BF8,Backdoors!BG8)))))/100,Backdoors!BG8/100),"")</f>
        <v>0</v>
      </c>
      <c r="AM83" s="49">
        <f>IFERROR(IF(VLOOKUP(A83,tbMoveset!A2:J112,10,FALSE)=TRUE,IF((Backdoors!AI12+IF(AK83&gt;=0.45,VLOOKUP(Calculator!E23,tbSkills!DH3:DI6,2,FALSE)+IF(AND(Calculator!B8=TRUE,Backdoors!BI8=TRUE),VLOOKUP(Calculator!E23,tbSkills!DH3:DJ6,3,FALSE),0),0))&gt;=0,1+(Backdoors!AL2*(IF((Backdoors!AI12+IF(AK83&gt;=0.45,VLOOKUP(Calculator!E23,tbSkills!DH3:DI6,2,FALSE)+IF(AND(Calculator!B8=TRUE,Backdoors!BI8=TRUE),VLOOKUP(Calculator!E23,tbSkills!DH3:DJ6,3,FALSE),0),0))&gt;=100,100,(Backdoors!AI12+IF(AK83&gt;=0.45,VLOOKUP(Calculator!E23,tbSkills!DH3:DI6,2,FALSE)+IF(AND(Calculator!B8=TRUE,Backdoors!BI8=TRUE),VLOOKUP(Calculator!E23,tbSkills!DH3:DJ6,3,FALSE),0),0)))/100)),(1-(0.25*((-Backdoors!AI12-IF(AK83&gt;=0.45,VLOOKUP(Calculator!E23,tbSkills!DH3:DI6,2,FALSE)+IF(AND(Calculator!B8=TRUE,Backdoors!BI8=TRUE),VLOOKUP(Calculator!E23,tbSkills!DH3:DJ6,3,FALSE),0),0))/100)))),1),"")</f>
        <v>1</v>
      </c>
      <c r="AN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K83)*AM83)*(VLOOKUP(A83,tbMoveset!A2:C112,3,FALSE)/100)*IF(VLOOKUP(A83,tbMoveset!A2:B112,2,FALSE)="Projectile",Backdoors!N10,Backdoors!N9),0),"")</f>
        <v>6</v>
      </c>
      <c r="AO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K83&gt;=0.45,VLOOKUP(Calculator!E23,tbSkills!DH3:DI6,2,FALSE)+IF(AND(Calculator!B8=TRUE,Backdoors!BI8=TRUE),VLOOKUP(Calculator!E23,tbSkills!DH3:DJ6,3,FALSE),0),0))&gt;=100,100,(Backdoors!AI12+IF(AK83&gt;=0.45,VLOOKUP(Calculator!E23,tbSkills!DH3:DI6,2,FALSE)+IF(AND(Calculator!B8=TRUE,Backdoors!BI8=TRUE),VLOOKUP(Calculator!E23,tbSkills!DH3:DJ6,3,FALSE),0),0)))/100)),1))*IF(VLOOKUP(A83,tbMoveset!A2:K112,11,FALSE)=TRUE,Backdoors!AC5,1))*AL83,0),"")</f>
        <v>0</v>
      </c>
      <c r="AP83" s="49">
        <f>VLOOKUP(A83,tbMoveset!A2:G112,7,FALSE)*IFERROR(IF(Backdoors!AI12&gt;=0,1+(IF(Calculator!E40&gt;0,VLOOKUP(Calculator!E40,tbSkills!AI3:AJ5,2,FALSE),Backdoors!AL4)*(IF((Backdoors!AI12+IF(AK83&gt;=0.45,VLOOKUP(Calculator!E23,tbSkills!DH3:DI6,2,FALSE)+IF(AND(Calculator!B8=TRUE,Backdoors!BI8=TRUE),VLOOKUP(Calculator!E23,tbSkills!DH3:DJ6,3,FALSE),0),0))&gt;=100,100,(Backdoors!AI12+IF(AK83&gt;=0.45,VLOOKUP(Calculator!E23,tbSkills!DH3:DI6,2,FALSE)+IF(AND(Calculator!B8=TRUE,Backdoors!BI8=TRUE),VLOOKUP(Calculator!E23,tbSkills!DH3:DJ6,3,FALSE),0),0)))/100)),1),1)</f>
        <v>0.4</v>
      </c>
      <c r="AQ83" s="87">
        <f t="shared" si="56"/>
        <v>6</v>
      </c>
      <c r="AR83" s="86">
        <f>IFERROR(IF(VLOOKUP(A83,tbMoveset!A2:B112,2,FALSE)="Sever",Backdoors!AY9/100,IF(VLOOKUP(A83,tbMoveset!A2:B112,2,FALSE)="Blunt",Backdoors!AZ9/100,Backdoors!BA9/100)),"")</f>
        <v>0.45</v>
      </c>
      <c r="AS83" s="49">
        <f>IFERROR(IF(VLOOKUP(tbMoveset!A83,tbMoveset!A2:H112,8,FALSE)="Other",IF(VLOOKUP(tbMoveset!A83,tbMoveset!A2:I112,9,FALSE)="Fire",Backdoors!BB9,IF(VLOOKUP(tbMoveset!A83,tbMoveset!A2:I112,9,FALSE)="Water",Backdoors!BC9,IF(VLOOKUP(tbMoveset!A83,tbMoveset!A2:I112,9,FALSE)="Thunder",Backdoors!BD9,IF(VLOOKUP(tbMoveset!A83,tbMoveset!A2:I112,9,FALSE)="Ice",Backdoors!BE9,IF(VLOOKUP(tbMoveset!A83,tbMoveset!A2:I112,9,FALSE)="Dragon",Backdoors!BF9,Backdoors!BG9)))))/100,Backdoors!BG9/100),"")</f>
        <v>0</v>
      </c>
      <c r="AT83" s="49">
        <f>IFERROR(IF(VLOOKUP(A83,tbMoveset!A2:J112,10,FALSE)=TRUE,IF((Backdoors!AI12+IF(AR83&gt;=0.45,VLOOKUP(Calculator!E23,tbSkills!DH3:DI6,2,FALSE)+IF(AND(Calculator!B8=TRUE,Backdoors!BI9=TRUE),VLOOKUP(Calculator!E23,tbSkills!DH3:DJ6,3,FALSE),0),0))&gt;=0,1+(Backdoors!AL2*(IF((Backdoors!AI12+IF(AR83&gt;=0.45,VLOOKUP(Calculator!E23,tbSkills!DH3:DI6,2,FALSE)+IF(AND(Calculator!B8=TRUE,Backdoors!BI9=TRUE),VLOOKUP(Calculator!E23,tbSkills!DH3:DJ6,3,FALSE),0),0))&gt;=100,100,(Backdoors!AI12+IF(AR83&gt;=0.45,VLOOKUP(Calculator!E23,tbSkills!DH3:DI6,2,FALSE)+IF(AND(Calculator!B8=TRUE,Backdoors!BI9=TRUE),VLOOKUP(Calculator!E23,tbSkills!DH3:DJ6,3,FALSE),0),0)))/100)),(1-(0.25*((-Backdoors!AI12-IF(AR83&gt;=0.45,VLOOKUP(Calculator!E23,tbSkills!DH3:DI6,2,FALSE)+IF(AND(Calculator!B8=TRUE,Backdoors!BI9=TRUE),VLOOKUP(Calculator!E23,tbSkills!DH3:DJ6,3,FALSE),0),0))/100)))),1),"")</f>
        <v>1</v>
      </c>
      <c r="AU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R83)*AT83)*(VLOOKUP(A83,tbMoveset!A2:C112,3,FALSE)/100)*IF(VLOOKUP(A83,tbMoveset!A2:B112,2,FALSE)="Projectile",Backdoors!N10,Backdoors!N9),0),"")</f>
        <v>6</v>
      </c>
      <c r="AV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R83&gt;=0.45,VLOOKUP(Calculator!E23,tbSkills!DH3:DI6,2,FALSE)+IF(AND(Calculator!B8=TRUE,Backdoors!BI9=TRUE),VLOOKUP(Calculator!E23,tbSkills!DH3:DJ6,3,FALSE),0),0))&gt;=100,100,(Backdoors!AI12+IF(AR83&gt;=0.45,VLOOKUP(Calculator!E23,tbSkills!DH3:DI6,2,FALSE)+IF(AND(Calculator!B8=TRUE,Backdoors!BI9=TRUE),VLOOKUP(Calculator!E23,tbSkills!DH3:DJ6,3,FALSE),0),0)))/100)),1))*IF(VLOOKUP(A83,tbMoveset!A2:K112,11,FALSE)=TRUE,Backdoors!AC5,1))*AS83,0),"")</f>
        <v>0</v>
      </c>
      <c r="AW83" s="49">
        <f>VLOOKUP(A83,tbMoveset!A2:G112,7,FALSE)*IFERROR(IF(Backdoors!AI12&gt;=0,1+(IF(Calculator!E40&gt;0,VLOOKUP(Calculator!E40,tbSkills!AI3:AJ5,2,FALSE),Backdoors!AL4)*(IF((Backdoors!AI12+IF(AR83&gt;=0.45,VLOOKUP(Calculator!E23,tbSkills!DH3:DI6,2,FALSE)+IF(AND(Calculator!B8=TRUE,Backdoors!BI9=TRUE),VLOOKUP(Calculator!E23,tbSkills!DH3:DJ6,3,FALSE),0),0))&gt;=100,100,(Backdoors!AI12+IF(AR83&gt;=0.45,VLOOKUP(Calculator!E23,tbSkills!DH3:DI6,2,FALSE)+IF(AND(Calculator!B8=TRUE,Backdoors!BI9=TRUE),VLOOKUP(Calculator!E23,tbSkills!DH3:DJ6,3,FALSE),0),0)))/100)),1),1)</f>
        <v>0.4</v>
      </c>
      <c r="AX83" s="87">
        <f t="shared" si="57"/>
        <v>6</v>
      </c>
      <c r="AY83" s="86">
        <f>IFERROR(IF(VLOOKUP(A83,tbMoveset!A2:B112,2,FALSE)="Sever",Backdoors!AY10/100,IF(VLOOKUP(A83,tbMoveset!A2:B112,2,FALSE)="Blunt",Backdoors!AZ10/100,Backdoors!BA10/100)),"")</f>
        <v>0.9</v>
      </c>
      <c r="AZ83" s="49">
        <f>IFERROR(IF(VLOOKUP(tbMoveset!A83,tbMoveset!A2:H112,8,FALSE)="Other",IF(VLOOKUP(tbMoveset!A83,tbMoveset!A2:I112,9,FALSE)="Fire",Backdoors!BB10,IF(VLOOKUP(tbMoveset!A83,tbMoveset!A2:I112,9,FALSE)="Water",Backdoors!BC10,IF(VLOOKUP(tbMoveset!A83,tbMoveset!A2:I112,9,FALSE)="Thunder",Backdoors!BD10,IF(VLOOKUP(tbMoveset!A83,tbMoveset!A2:I112,9,FALSE)="Ice",Backdoors!BE10,IF(VLOOKUP(tbMoveset!A83,tbMoveset!A2:I112,9,FALSE)="Dragon",Backdoors!BF10,Backdoors!BG10)))))/100,Backdoors!BG10/100),"")</f>
        <v>0</v>
      </c>
      <c r="BA83" s="49">
        <f>IFERROR(IF(VLOOKUP(A83,tbMoveset!A2:J112,10,FALSE)=TRUE,IF((Backdoors!AI12+IF(AY83&gt;=0.45,VLOOKUP(Calculator!E23,tbSkills!DH3:DI6,2,FALSE)+IF(AND(Calculator!B8=TRUE,Backdoors!BI10=TRUE),VLOOKUP(Calculator!E23,tbSkills!DH3:DJ6,3,FALSE),0),0))&gt;=0,1+(Backdoors!AL2*(IF((Backdoors!AI12+IF(AY83&gt;=0.45,VLOOKUP(Calculator!E23,tbSkills!DH3:DI6,2,FALSE)+IF(AND(Calculator!B8=TRUE,Backdoors!BI10=TRUE),VLOOKUP(Calculator!E23,tbSkills!DH3:DJ6,3,FALSE),0),0))&gt;=100,100,(Backdoors!AI12+IF(AY83&gt;=0.45,VLOOKUP(Calculator!E23,tbSkills!DH3:DI6,2,FALSE)+IF(AND(Calculator!B8=TRUE,Backdoors!BI10=TRUE),VLOOKUP(Calculator!E23,tbSkills!DH3:DJ6,3,FALSE),0),0)))/100)),(1-(0.25*((-Backdoors!AI12-IF(AY83&gt;=0.45,VLOOKUP(Calculator!E23,tbSkills!DH3:DI6,2,FALSE)+IF(AND(Calculator!B8=TRUE,Backdoors!BI10=TRUE),VLOOKUP(Calculator!E23,tbSkills!DH3:DJ6,3,FALSE),0),0))/100)))),1),"")</f>
        <v>1</v>
      </c>
      <c r="BB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Y83)*BA83)*(VLOOKUP(A83,tbMoveset!A2:C112,3,FALSE)/100)*IF(VLOOKUP(A83,tbMoveset!A2:B112,2,FALSE)="Projectile",Backdoors!N10,Backdoors!N9),0),"")</f>
        <v>13</v>
      </c>
      <c r="BC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Y83&gt;=0.45,VLOOKUP(Calculator!E23,tbSkills!DH3:DI6,2,FALSE)+IF(AND(Calculator!B8=TRUE,Backdoors!BI10=TRUE),VLOOKUP(Calculator!E23,tbSkills!DH3:DJ6,3,FALSE),0),0))&gt;=100,100,(Backdoors!AI12+IF(AY83&gt;=0.45,VLOOKUP(Calculator!E23,tbSkills!DH3:DI6,2,FALSE)+IF(AND(Calculator!B8=TRUE,Backdoors!BI10=TRUE),VLOOKUP(Calculator!E23,tbSkills!DH3:DJ6,3,FALSE),0),0)))/100)),1))*IF(VLOOKUP(A83,tbMoveset!A2:K112,11,FALSE)=TRUE,Backdoors!AC5,1))*AZ83,0),"")</f>
        <v>0</v>
      </c>
      <c r="BD83" s="49">
        <f>VLOOKUP(A83,tbMoveset!A2:G112,7,FALSE)*IFERROR(IF(Backdoors!AI12&gt;=0,1+(IF(Calculator!E40&gt;0,VLOOKUP(Calculator!E40,tbSkills!AI3:AJ5,2,FALSE),Backdoors!AL4)*(IF((Backdoors!AI12+IF(AY83&gt;=0.45,VLOOKUP(Calculator!E23,tbSkills!DH3:DI6,2,FALSE)+IF(AND(Calculator!B8=TRUE,Backdoors!BI10=TRUE),VLOOKUP(Calculator!E23,tbSkills!DH3:DJ6,3,FALSE),0),0))&gt;=100,100,(Backdoors!AI12+IF(AY83&gt;=0.45,VLOOKUP(Calculator!E23,tbSkills!DH3:DI6,2,FALSE)+IF(AND(Calculator!B8=TRUE,Backdoors!BI10=TRUE),VLOOKUP(Calculator!E23,tbSkills!DH3:DJ6,3,FALSE),0),0)))/100)),1),1)</f>
        <v>0.4</v>
      </c>
      <c r="BE83" s="87">
        <f t="shared" si="58"/>
        <v>13</v>
      </c>
      <c r="BF83" s="86" t="str">
        <f>IFERROR(IF(VLOOKUP(A83,tbMoveset!A2:B112,2,FALSE)="Sever",Backdoors!AY11/100,IF(VLOOKUP(A83,tbMoveset!A2:B112,2,FALSE)="Blunt",Backdoors!AZ11/100,Backdoors!BA11/100)),"")</f>
        <v/>
      </c>
      <c r="BG83" s="49">
        <f>IFERROR(IF(VLOOKUP(tbMoveset!A83,tbMoveset!A2:H112,8,FALSE)="Other",IF(VLOOKUP(tbMoveset!A83,tbMoveset!A2:I112,9,FALSE)="Fire",Backdoors!BB11,IF(VLOOKUP(tbMoveset!A83,tbMoveset!A2:I112,9,FALSE)="Water",Backdoors!BC11,IF(VLOOKUP(tbMoveset!A83,tbMoveset!A2:I112,9,FALSE)="Thunder",Backdoors!BD11,IF(VLOOKUP(tbMoveset!A83,tbMoveset!A2:I112,9,FALSE)="Ice",Backdoors!BE11,IF(VLOOKUP(tbMoveset!A83,tbMoveset!A2:I112,9,FALSE)="Dragon",Backdoors!BF11,Backdoors!BG11)))))/100,Backdoors!BG11/100),"")</f>
        <v>0</v>
      </c>
      <c r="BH83" s="49">
        <f>IFERROR(IF(VLOOKUP(A83,tbMoveset!A2:J112,10,FALSE)=TRUE,IF((Backdoors!AI12+IF(BF83&gt;=0.45,VLOOKUP(Calculator!E23,tbSkills!DH3:DI6,2,FALSE)+IF(AND(Calculator!B8=TRUE,Backdoors!BI11=TRUE),VLOOKUP(Calculator!E23,tbSkills!DH3:DJ6,3,FALSE),0),0))&gt;=0,1+(Backdoors!AL2*(IF((Backdoors!AI12+IF(BF83&gt;=0.45,VLOOKUP(Calculator!E23,tbSkills!DH3:DI6,2,FALSE)+IF(AND(Calculator!B8=TRUE,Backdoors!BI11=TRUE),VLOOKUP(Calculator!E23,tbSkills!DH3:DJ6,3,FALSE),0),0))&gt;=100,100,(Backdoors!AI12+IF(BF83&gt;=0.45,VLOOKUP(Calculator!E23,tbSkills!DH3:DI6,2,FALSE)+IF(AND(Calculator!B8=TRUE,Backdoors!BI11=TRUE),VLOOKUP(Calculator!E23,tbSkills!DH3:DJ6,3,FALSE),0),0)))/100)),(1-(0.25*((-Backdoors!AI12-IF(BF83&gt;=0.45,VLOOKUP(Calculator!E23,tbSkills!DH3:DI6,2,FALSE)+IF(AND(Calculator!B8=TRUE,Backdoors!BI11=TRUE),VLOOKUP(Calculator!E23,tbSkills!DH3:DJ6,3,FALSE),0),0))/100)))),1),"")</f>
        <v>1</v>
      </c>
      <c r="BI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F83)*BH83)*(VLOOKUP(A83,tbMoveset!A2:C112,3,FALSE)/100)*IF(VLOOKUP(A83,tbMoveset!A2:B112,2,FALSE)="Projectile",Backdoors!N10,Backdoors!N9),0),"")</f>
        <v/>
      </c>
      <c r="BJ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F83&gt;=0.45,VLOOKUP(Calculator!E23,tbSkills!DH3:DI6,2,FALSE)+IF(AND(Calculator!B8=TRUE,Backdoors!BI11=TRUE),VLOOKUP(Calculator!E23,tbSkills!DH3:DJ6,3,FALSE),0),0))&gt;=100,100,(Backdoors!AI12+IF(BF83&gt;=0.45,VLOOKUP(Calculator!E23,tbSkills!DH3:DI6,2,FALSE)+IF(AND(Calculator!B8=TRUE,Backdoors!BI11=TRUE),VLOOKUP(Calculator!E23,tbSkills!DH3:DJ6,3,FALSE),0),0)))/100)),1))*IF(VLOOKUP(A83,tbMoveset!A2:K112,11,FALSE)=TRUE,Backdoors!AC5,1))*BG83,0),"")</f>
        <v>0</v>
      </c>
      <c r="BK83" s="49">
        <f>VLOOKUP(A83,tbMoveset!A2:G112,7,FALSE)*IFERROR(IF(Backdoors!AI12&gt;=0,1+(IF(Calculator!E40&gt;0,VLOOKUP(Calculator!E40,tbSkills!AI3:AJ5,2,FALSE),Backdoors!AL4)*(IF((Backdoors!AI12+IF(BF83&gt;=0.45,VLOOKUP(Calculator!E23,tbSkills!DH3:DI6,2,FALSE)+IF(AND(Calculator!B8=TRUE,Backdoors!BI11=TRUE),VLOOKUP(Calculator!E23,tbSkills!DH3:DJ6,3,FALSE),0),0))&gt;=100,100,(Backdoors!AI12+IF(BF83&gt;=0.45,VLOOKUP(Calculator!E23,tbSkills!DH3:DI6,2,FALSE)+IF(AND(Calculator!B8=TRUE,Backdoors!BI11=TRUE),VLOOKUP(Calculator!E23,tbSkills!DH3:DJ6,3,FALSE),0),0)))/100)),1),1)</f>
        <v>0.4</v>
      </c>
      <c r="BL83" s="87">
        <f t="shared" si="59"/>
        <v>0</v>
      </c>
      <c r="BM83" s="86" t="str">
        <f>IFERROR(IF(VLOOKUP(A83,tbMoveset!A2:B112,2,FALSE)="Sever",Backdoors!AY12/100,IF(VLOOKUP(A83,tbMoveset!A2:B112,2,FALSE)="Blunt",Backdoors!AZ12/100,Backdoors!BA12/100)),"")</f>
        <v/>
      </c>
      <c r="BN83" s="49">
        <f>IFERROR(IF(VLOOKUP(tbMoveset!A83,tbMoveset!A2:H112,8,FALSE)="Other",IF(VLOOKUP(tbMoveset!A83,tbMoveset!A2:I112,9,FALSE)="Fire",Backdoors!BB12,IF(VLOOKUP(tbMoveset!A83,tbMoveset!A2:I112,9,FALSE)="Water",Backdoors!BC12,IF(VLOOKUP(tbMoveset!A83,tbMoveset!A2:I112,9,FALSE)="Thunder",Backdoors!BD12,IF(VLOOKUP(tbMoveset!A83,tbMoveset!A2:I112,9,FALSE)="Ice",Backdoors!BE12,IF(VLOOKUP(tbMoveset!A83,tbMoveset!A2:I112,9,FALSE)="Dragon",Backdoors!BF12,Backdoors!BG12)))))/100,Backdoors!BG12/100),"")</f>
        <v>0</v>
      </c>
      <c r="BO83" s="49">
        <f>IFERROR(IF(VLOOKUP(A83,tbMoveset!A2:J112,10,FALSE)=TRUE,IF((Backdoors!AI12+IF(BM83&gt;=0.45,VLOOKUP(Calculator!E23,tbSkills!DH3:DI6,2,FALSE)+IF(AND(Calculator!B8=TRUE,Backdoors!BI12=TRUE),VLOOKUP(Calculator!E23,tbSkills!DH3:DJ6,3,FALSE),0),0))&gt;=0,1+(Backdoors!AL2*(IF((Backdoors!AI12+IF(BM83&gt;=0.45,VLOOKUP(Calculator!E23,tbSkills!DH3:DI6,2,FALSE)+IF(AND(Calculator!B8=TRUE,Backdoors!BI12=TRUE),VLOOKUP(Calculator!E23,tbSkills!DH3:DJ6,3,FALSE),0),0))&gt;=100,100,(Backdoors!AI12+IF(BM83&gt;=0.45,VLOOKUP(Calculator!E23,tbSkills!DH3:DI6,2,FALSE)+IF(AND(Calculator!B8=TRUE,Backdoors!BI12=TRUE),VLOOKUP(Calculator!E23,tbSkills!DH3:DJ6,3,FALSE),0),0)))/100)),(1-(0.25*((-Backdoors!AI12-IF(BM83&gt;=0.45,VLOOKUP(Calculator!E23,tbSkills!DH3:DI6,2,FALSE)+IF(AND(Calculator!B8=TRUE,Backdoors!BI12=TRUE),VLOOKUP(Calculator!E23,tbSkills!DH3:DJ6,3,FALSE),0),0))/100)))),1),"")</f>
        <v>1</v>
      </c>
      <c r="BP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M83)*BO83)*(VLOOKUP(A83,tbMoveset!A2:C112,3,FALSE)/100)*IF(VLOOKUP(A83,tbMoveset!A2:B112,2,FALSE)="Projectile",Backdoors!N10,Backdoors!N9),0),"")</f>
        <v/>
      </c>
      <c r="BQ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M83&gt;=0.45,VLOOKUP(Calculator!E23,tbSkills!DH3:DI6,2,FALSE)+IF(AND(Calculator!B8=TRUE,Backdoors!BI12=TRUE),VLOOKUP(Calculator!E23,tbSkills!DH3:DJ6,3,FALSE),0),0))&gt;=100,100,(Backdoors!AI12+IF(BM83&gt;=0.45,VLOOKUP(Calculator!E23,tbSkills!DH3:DI6,2,FALSE)+IF(AND(Calculator!B8=TRUE,Backdoors!BI12=TRUE),VLOOKUP(Calculator!E23,tbSkills!DH3:DJ6,3,FALSE),0),0)))/100)),1))*IF(VLOOKUP(A83,tbMoveset!A2:K112,11,FALSE)=TRUE,Backdoors!AC5,1))*BN83,0),"")</f>
        <v>0</v>
      </c>
      <c r="BR83" s="49">
        <f>VLOOKUP(A83,tbMoveset!A2:G112,7,FALSE)*IFERROR(IF(Backdoors!AI12&gt;=0,1+(IF(Calculator!E40&gt;0,VLOOKUP(Calculator!E40,tbSkills!AI3:AJ5,2,FALSE),Backdoors!AL4)*(IF((Backdoors!AI12+IF(BM83&gt;=0.45,VLOOKUP(Calculator!E23,tbSkills!DH3:DI6,2,FALSE)+IF(AND(Calculator!B8=TRUE,Backdoors!BI12=TRUE),VLOOKUP(Calculator!E23,tbSkills!DH3:DJ6,3,FALSE),0),0))&gt;=100,100,(Backdoors!AI12+IF(BM83&gt;=0.45,VLOOKUP(Calculator!E23,tbSkills!DH3:DI6,2,FALSE)+IF(AND(Calculator!B8=TRUE,Backdoors!BI12=TRUE),VLOOKUP(Calculator!E23,tbSkills!DH3:DJ6,3,FALSE),0),0)))/100)),1),1)</f>
        <v>0.4</v>
      </c>
      <c r="BS83" s="87">
        <f t="shared" si="60"/>
        <v>0</v>
      </c>
      <c r="BT83" s="86" t="str">
        <f>IFERROR(IF(VLOOKUP(A83,tbMoveset!A2:B112,2,FALSE)="Sever",Backdoors!AY13/100,IF(VLOOKUP(A83,tbMoveset!A2:B112,2,FALSE)="Blunt",Backdoors!AZ13/100,Backdoors!BA13/100)),"")</f>
        <v/>
      </c>
      <c r="BU83" s="49">
        <f>IFERROR(IF(VLOOKUP(tbMoveset!A83,tbMoveset!A2:H112,8,FALSE)="Other",IF(VLOOKUP(tbMoveset!A83,tbMoveset!A2:I112,9,FALSE)="Fire",Backdoors!BB13,IF(VLOOKUP(tbMoveset!A83,tbMoveset!A2:I112,9,FALSE)="Water",Backdoors!BC13,IF(VLOOKUP(tbMoveset!A83,tbMoveset!A2:I112,9,FALSE)="Thunder",Backdoors!BD13,IF(VLOOKUP(tbMoveset!A83,tbMoveset!A2:I112,9,FALSE)="Ice",Backdoors!BE13,IF(VLOOKUP(tbMoveset!A83,tbMoveset!A2:I112,9,FALSE)="Dragon",Backdoors!BF13,Backdoors!BG13)))))/100,Backdoors!BG13/100),"")</f>
        <v>0</v>
      </c>
      <c r="BV83" s="49">
        <f>IFERROR(IF(VLOOKUP(A83,tbMoveset!A2:J112,10,FALSE)=TRUE,IF((Backdoors!AI12+IF(BT83&gt;=0.45,VLOOKUP(Calculator!E23,tbSkills!DH3:DI6,2,FALSE)+IF(AND(Calculator!B8=TRUE,Backdoors!BI13=TRUE),VLOOKUP(Calculator!E23,tbSkills!DH3:DJ6,3,FALSE),0),0))&gt;=0,1+(Backdoors!AL2*(IF((Backdoors!AI12+IF(BT83&gt;=0.45,VLOOKUP(Calculator!E23,tbSkills!DH3:DI6,2,FALSE)+IF(AND(Calculator!B8=TRUE,Backdoors!BI13=TRUE),VLOOKUP(Calculator!E23,tbSkills!DH3:DJ6,3,FALSE),0),0))&gt;=100,100,(Backdoors!AI12+IF(BT83&gt;=0.45,VLOOKUP(Calculator!E23,tbSkills!DH3:DI6,2,FALSE)+IF(AND(Calculator!B8=TRUE,Backdoors!BI13=TRUE),VLOOKUP(Calculator!E23,tbSkills!DH3:DJ6,3,FALSE),0),0)))/100)),(1-(0.25*((-Backdoors!AI12-IF(BT83&gt;=0.45,VLOOKUP(Calculator!E23,tbSkills!DH3:DI6,2,FALSE)+IF(AND(Calculator!B8=TRUE,Backdoors!BI13=TRUE),VLOOKUP(Calculator!E23,tbSkills!DH3:DJ6,3,FALSE),0),0))/100)))),1),"")</f>
        <v>1</v>
      </c>
      <c r="BW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T83)*BV83)*(VLOOKUP(A83,tbMoveset!A2:C112,3,FALSE)/100)*IF(VLOOKUP(A83,tbMoveset!A2:B112,2,FALSE)="Projectile",Backdoors!N10,Backdoors!N9),0),"")</f>
        <v/>
      </c>
      <c r="BX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T83&gt;=0.45,VLOOKUP(Calculator!E23,tbSkills!DH3:DI6,2,FALSE)+IF(AND(Calculator!B8=TRUE,Backdoors!BI13=TRUE),VLOOKUP(Calculator!E23,tbSkills!DH3:DJ6,3,FALSE),0),0))&gt;=100,100,(Backdoors!AI12+IF(BT83&gt;=0.45,VLOOKUP(Calculator!E23,tbSkills!DH3:DI6,2,FALSE)+IF(AND(Calculator!B8=TRUE,Backdoors!BI13=TRUE),VLOOKUP(Calculator!E23,tbSkills!DH3:DJ6,3,FALSE),0),0)))/100)),1))*IF(VLOOKUP(A83,tbMoveset!A2:K112,11,FALSE)=TRUE,Backdoors!AC5,1))*BU83,0),"")</f>
        <v>0</v>
      </c>
      <c r="BY83" s="49">
        <f>VLOOKUP(A83,tbMoveset!A2:G112,7,FALSE)*IFERROR(IF(Backdoors!AI12&gt;=0,1+(IF(Calculator!E40&gt;0,VLOOKUP(Calculator!E40,tbSkills!AI3:AJ5,2,FALSE),Backdoors!AL4)*(IF((Backdoors!AI12+IF(BT83&gt;=0.45,VLOOKUP(Calculator!E23,tbSkills!DH3:DI6,2,FALSE)+IF(AND(Calculator!B8=TRUE,Backdoors!BI13=TRUE),VLOOKUP(Calculator!E23,tbSkills!DH3:DJ6,3,FALSE),0),0))&gt;=100,100,(Backdoors!AI12+IF(BT83&gt;=0.45,VLOOKUP(Calculator!E23,tbSkills!DH3:DI6,2,FALSE)+IF(AND(Calculator!B8=TRUE,Backdoors!BI13=TRUE),VLOOKUP(Calculator!E23,tbSkills!DH3:DJ6,3,FALSE),0),0)))/100)),1),1)</f>
        <v>0.4</v>
      </c>
      <c r="BZ83" s="87">
        <f t="shared" si="61"/>
        <v>0</v>
      </c>
      <c r="CA83" s="86" t="str">
        <f>IFERROR(IF(VLOOKUP(A83,tbMoveset!A2:B112,2,FALSE)="Sever",Backdoors!AY14/100,IF(VLOOKUP(A83,tbMoveset!A2:B112,2,FALSE)="Blunt",Backdoors!AZ14/100,Backdoors!BA14/100)),"")</f>
        <v/>
      </c>
      <c r="CB83" s="49">
        <f>IFERROR(IF(VLOOKUP(tbMoveset!A83,tbMoveset!A2:H112,8,FALSE)="Other",IF(VLOOKUP(tbMoveset!A83,tbMoveset!A2:I112,9,FALSE)="Fire",Backdoors!BB14,IF(VLOOKUP(tbMoveset!A83,tbMoveset!A2:I112,9,FALSE)="Water",Backdoors!BC14,IF(VLOOKUP(tbMoveset!A83,tbMoveset!A2:I112,9,FALSE)="Thunder",Backdoors!BD14,IF(VLOOKUP(tbMoveset!A83,tbMoveset!A2:I112,9,FALSE)="Ice",Backdoors!BE14,IF(VLOOKUP(tbMoveset!A83,tbMoveset!A2:I112,9,FALSE)="Dragon",Backdoors!BF14,Backdoors!BG14)))))/100,Backdoors!BG14/100),"")</f>
        <v>0</v>
      </c>
      <c r="CC83" s="49">
        <f>IFERROR(IF(VLOOKUP(A83,tbMoveset!A2:J112,10,FALSE)=TRUE,IF((Backdoors!AI12+IF(CA83&gt;=0.45,VLOOKUP(Calculator!E23,tbSkills!DH3:DI6,2,FALSE)+IF(AND(Calculator!B8=TRUE,Backdoors!BI14=TRUE),VLOOKUP(Calculator!E23,tbSkills!DH3:DJ6,3,FALSE),0),0))&gt;=0,1+(Backdoors!AL2*(IF((Backdoors!AI12+IF(CA83&gt;=0.45,VLOOKUP(Calculator!E23,tbSkills!DH3:DI6,2,FALSE)+IF(AND(Calculator!B8=TRUE,Backdoors!BI14=TRUE),VLOOKUP(Calculator!E23,tbSkills!DH3:DJ6,3,FALSE),0),0))&gt;=100,100,(Backdoors!AI12+IF(CA83&gt;=0.45,VLOOKUP(Calculator!E23,tbSkills!DH3:DI6,2,FALSE)+IF(AND(Calculator!B8=TRUE,Backdoors!BI14=TRUE),VLOOKUP(Calculator!E23,tbSkills!DH3:DJ6,3,FALSE),0),0)))/100)),(1-(0.25*((-Backdoors!AI12-IF(CA83&gt;=0.45,VLOOKUP(Calculator!E23,tbSkills!DH3:DI6,2,FALSE)+IF(AND(Calculator!B8=TRUE,Backdoors!BI14=TRUE),VLOOKUP(Calculator!E23,tbSkills!DH3:DJ6,3,FALSE),0),0))/100)))),1),"")</f>
        <v>1</v>
      </c>
      <c r="CD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A83)*CC83)*(VLOOKUP(A83,tbMoveset!A2:C112,3,FALSE)/100)*IF(VLOOKUP(A83,tbMoveset!A2:B112,2,FALSE)="Projectile",Backdoors!N10,Backdoors!N9),0),"")</f>
        <v/>
      </c>
      <c r="CE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A83&gt;=0.45,VLOOKUP(Calculator!E23,tbSkills!DH3:DI6,2,FALSE)+IF(AND(Calculator!B8=TRUE,Backdoors!BI14=TRUE),VLOOKUP(Calculator!E23,tbSkills!DH3:DJ6,3,FALSE),0),0))&gt;=100,100,(Backdoors!AI12+IF(CA83&gt;=0.45,VLOOKUP(Calculator!E23,tbSkills!DH3:DI6,2,FALSE)+IF(AND(Calculator!B8=TRUE,Backdoors!BI14=TRUE),VLOOKUP(Calculator!E23,tbSkills!DH3:DJ6,3,FALSE),0),0)))/100)),1))*IF(VLOOKUP(A83,tbMoveset!A2:K112,11,FALSE)=TRUE,Backdoors!AC5,1))*CB83,0),"")</f>
        <v>0</v>
      </c>
      <c r="CF83" s="49">
        <f>VLOOKUP(A83,tbMoveset!A2:G112,7,FALSE)*IFERROR(IF(Backdoors!AI12&gt;=0,1+(IF(Calculator!E40&gt;0,VLOOKUP(Calculator!E40,tbSkills!AI3:AJ5,2,FALSE),Backdoors!AL4)*(IF((Backdoors!AI12+IF(CA83&gt;=0.45,VLOOKUP(Calculator!E23,tbSkills!DH3:DI6,2,FALSE)+IF(AND(Calculator!B8=TRUE,Backdoors!BI14=TRUE),VLOOKUP(Calculator!E23,tbSkills!DH3:DJ6,3,FALSE),0),0))&gt;=100,100,(Backdoors!AI12+IF(CA83&gt;=0.45,VLOOKUP(Calculator!E23,tbSkills!DH3:DI6,2,FALSE)+IF(AND(Calculator!B8=TRUE,Backdoors!BI14=TRUE),VLOOKUP(Calculator!E23,tbSkills!DH3:DJ6,3,FALSE),0),0)))/100)),1),1)</f>
        <v>0.4</v>
      </c>
      <c r="CG83" s="87">
        <f t="shared" si="62"/>
        <v>0</v>
      </c>
      <c r="CH83" s="86" t="str">
        <f>IFERROR(IF(VLOOKUP(A83,tbMoveset!A2:B112,2,FALSE)="Sever",Backdoors!AY15/100,IF(VLOOKUP(A83,tbMoveset!A2:B112,2,FALSE)="Blunt",Backdoors!AZ15/100,Backdoors!BA15/100)),"")</f>
        <v/>
      </c>
      <c r="CI83" s="49">
        <f>IFERROR(IF(VLOOKUP(tbMoveset!A83,tbMoveset!A2:H112,8,FALSE)="Other",IF(VLOOKUP(tbMoveset!A83,tbMoveset!A2:I112,9,FALSE)="Fire",Backdoors!BB15,IF(VLOOKUP(tbMoveset!A83,tbMoveset!A2:I112,9,FALSE)="Water",Backdoors!BC15,IF(VLOOKUP(tbMoveset!A83,tbMoveset!A2:I112,9,FALSE)="Thunder",Backdoors!BD15,IF(VLOOKUP(tbMoveset!A83,tbMoveset!A2:I112,9,FALSE)="Ice",Backdoors!BE15,IF(VLOOKUP(tbMoveset!A83,tbMoveset!A2:I112,9,FALSE)="Dragon",Backdoors!BF15,Backdoors!BG15)))))/100,Backdoors!BG15/100),"")</f>
        <v>0</v>
      </c>
      <c r="CJ83" s="49">
        <f>IFERROR(IF(VLOOKUP(A83,tbMoveset!A2:J112,10,FALSE)=TRUE,IF((Backdoors!AI12+IF(CH83&gt;=0.45,VLOOKUP(Calculator!E23,tbSkills!DH3:DI6,2,FALSE)+IF(AND(Calculator!B8=TRUE,Backdoors!BI15=TRUE),VLOOKUP(Calculator!E23,tbSkills!DH3:DJ6,3,FALSE),0),0))&gt;=0,1+(Backdoors!AL2*(IF((Backdoors!AI12+IF(CH83&gt;=0.45,VLOOKUP(Calculator!E23,tbSkills!DH3:DI6,2,FALSE)+IF(AND(Calculator!B8=TRUE,Backdoors!BI15=TRUE),VLOOKUP(Calculator!E23,tbSkills!DH3:DJ6,3,FALSE),0),0))&gt;=100,100,(Backdoors!AI12+IF(CH83&gt;=0.45,VLOOKUP(Calculator!E23,tbSkills!DH3:DI6,2,FALSE)+IF(AND(Calculator!B8=TRUE,Backdoors!BI15=TRUE),VLOOKUP(Calculator!E23,tbSkills!DH3:DJ6,3,FALSE),0),0)))/100)),(1-(0.25*((-Backdoors!AI12-IF(CH83&gt;=0.45,VLOOKUP(Calculator!E23,tbSkills!DH3:DI6,2,FALSE)+IF(AND(Calculator!B8=TRUE,Backdoors!BI15=TRUE),VLOOKUP(Calculator!E23,tbSkills!DH3:DJ6,3,FALSE),0),0))/100)))),1),"")</f>
        <v>1</v>
      </c>
      <c r="CK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H83)*CJ83)*(VLOOKUP(A83,tbMoveset!A2:C112,3,FALSE)/100)*IF(VLOOKUP(A83,tbMoveset!A2:B112,2,FALSE)="Projectile",Backdoors!N10,Backdoors!N9),0),"")</f>
        <v/>
      </c>
      <c r="CL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H83&gt;=0.45,VLOOKUP(Calculator!E23,tbSkills!DH3:DI6,2,FALSE)+IF(AND(Calculator!B8=TRUE,Backdoors!BI15=TRUE),VLOOKUP(Calculator!E23,tbSkills!DH3:DJ6,3,FALSE),0),0))&gt;=100,100,(Backdoors!AI12+IF(CH83&gt;=0.45,VLOOKUP(Calculator!E23,tbSkills!DH3:DI6,2,FALSE)+IF(AND(Calculator!B8=TRUE,Backdoors!BI15=TRUE),VLOOKUP(Calculator!E23,tbSkills!DH3:DJ6,3,FALSE),0),0)))/100)),1))*IF(VLOOKUP(A83,tbMoveset!A2:K112,11,FALSE)=TRUE,Backdoors!AC5,1))*CI83,0),"")</f>
        <v>0</v>
      </c>
      <c r="CM83" s="49">
        <f>VLOOKUP(A83,tbMoveset!A2:G112,7,FALSE)*IFERROR(IF(Backdoors!AI12&gt;=0,1+(IF(Calculator!E40&gt;0,VLOOKUP(Calculator!E40,tbSkills!AI3:AJ5,2,FALSE),Backdoors!AL4)*(IF((Backdoors!AI12+IF(CH83&gt;=0.45,VLOOKUP(Calculator!E23,tbSkills!DH3:DI6,2,FALSE)+IF(AND(Calculator!B8=TRUE,Backdoors!BI15=TRUE),VLOOKUP(Calculator!E23,tbSkills!DH3:DJ6,3,FALSE),0),0))&gt;=100,100,(Backdoors!AI12+IF(CH83&gt;=0.45,VLOOKUP(Calculator!E23,tbSkills!DH3:DI6,2,FALSE)+IF(AND(Calculator!B8=TRUE,Backdoors!BI15=TRUE),VLOOKUP(Calculator!E23,tbSkills!DH3:DJ6,3,FALSE),0),0)))/100)),1),1)</f>
        <v>0.4</v>
      </c>
      <c r="CN83" s="87">
        <f t="shared" si="63"/>
        <v>0</v>
      </c>
      <c r="CO83" s="86" t="str">
        <f>IFERROR(IF(VLOOKUP(A83,tbMoveset!A2:B112,2,FALSE)="Sever",Backdoors!AY16/100,IF(VLOOKUP(A83,tbMoveset!A2:B112,2,FALSE)="Blunt",Backdoors!AZ16/100,Backdoors!BA16/100)),"")</f>
        <v/>
      </c>
      <c r="CP83" s="49">
        <f>IFERROR(IF(VLOOKUP(tbMoveset!A83,tbMoveset!A2:H112,8,FALSE)="Other",IF(VLOOKUP(tbMoveset!A83,tbMoveset!A2:I112,9,FALSE)="Fire",Backdoors!BB16,IF(VLOOKUP(tbMoveset!A83,tbMoveset!A2:I112,9,FALSE)="Water",Backdoors!BC16,IF(VLOOKUP(tbMoveset!A83,tbMoveset!A2:I112,9,FALSE)="Thunder",Backdoors!BD16,IF(VLOOKUP(tbMoveset!A83,tbMoveset!A2:I112,9,FALSE)="Ice",Backdoors!BE16,IF(VLOOKUP(tbMoveset!A83,tbMoveset!A2:I112,9,FALSE)="Dragon",Backdoors!BF16,Backdoors!BG16)))))/100,Backdoors!BG16/100),"")</f>
        <v>0</v>
      </c>
      <c r="CQ83" s="49">
        <f>IFERROR(IF(VLOOKUP(A83,tbMoveset!A2:J112,10,FALSE)=TRUE,IF((Backdoors!AI12+IF(CO83&gt;=0.45,VLOOKUP(Calculator!E23,tbSkills!DH3:DI6,2,FALSE)+IF(AND(Calculator!B8=TRUE,Backdoors!BI16=TRUE),VLOOKUP(Calculator!E23,tbSkills!DH3:DJ6,3,FALSE),0),0))&gt;=0,1+(Backdoors!AL2*(IF((Backdoors!AI12+IF(CO83&gt;=0.45,VLOOKUP(Calculator!E23,tbSkills!DH3:DI6,2,FALSE)+IF(AND(Calculator!B8=TRUE,Backdoors!BI16=TRUE),VLOOKUP(Calculator!E23,tbSkills!DH3:DJ6,3,FALSE),0),0))&gt;=100,100,(Backdoors!AI12+IF(CO83&gt;=0.45,VLOOKUP(Calculator!E23,tbSkills!DH3:DI6,2,FALSE)+IF(AND(Calculator!B8=TRUE,Backdoors!BI16=TRUE),VLOOKUP(Calculator!E23,tbSkills!DH3:DJ6,3,FALSE),0),0)))/100)),(1-(0.25*((-Backdoors!AI12-IF(CO83&gt;=0.45,VLOOKUP(Calculator!E23,tbSkills!DH3:DI6,2,FALSE)+IF(AND(Calculator!B8=TRUE,Backdoors!BI16=TRUE),VLOOKUP(Calculator!E23,tbSkills!DH3:DJ6,3,FALSE),0),0))/100)))),1),"")</f>
        <v>1</v>
      </c>
      <c r="CR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O83)*CQ83)*(VLOOKUP(A83,tbMoveset!A2:C112,3,FALSE)/100)*IF(VLOOKUP(A83,tbMoveset!A2:B112,2,FALSE)="Projectile",Backdoors!N10,Backdoors!N9),0),"")</f>
        <v/>
      </c>
      <c r="CS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O83&gt;=0.45,VLOOKUP(Calculator!E23,tbSkills!DH3:DI6,2,FALSE)+IF(AND(Calculator!B8=TRUE,Backdoors!BI16=TRUE),VLOOKUP(Calculator!E23,tbSkills!DH3:DJ6,3,FALSE),0),0))&gt;=100,100,(Backdoors!AI12+IF(CO83&gt;=0.45,VLOOKUP(Calculator!E23,tbSkills!DH3:DI6,2,FALSE)+IF(AND(Calculator!B8=TRUE,Backdoors!BI16=TRUE),VLOOKUP(Calculator!E23,tbSkills!DH3:DJ6,3,FALSE),0),0)))/100)),1))*IF(VLOOKUP(A83,tbMoveset!A2:K112,11,FALSE)=TRUE,Backdoors!AC5,1))*CP83,0),"")</f>
        <v>0</v>
      </c>
      <c r="CT83" s="49">
        <f>VLOOKUP(A83,tbMoveset!A2:G112,7,FALSE)*IFERROR(IF(Backdoors!AI12&gt;=0,1+(IF(Calculator!E40&gt;0,VLOOKUP(Calculator!E40,tbSkills!AI3:AJ5,2,FALSE),Backdoors!AL4)*(IF((Backdoors!AI12+IF(CO83&gt;=0.45,VLOOKUP(Calculator!E23,tbSkills!DH3:DI6,2,FALSE)+IF(AND(Calculator!B8=TRUE,Backdoors!BI16=TRUE),VLOOKUP(Calculator!E23,tbSkills!DH3:DJ6,3,FALSE),0),0))&gt;=100,100,(Backdoors!AI12+IF(CO83&gt;=0.45,VLOOKUP(Calculator!E23,tbSkills!DH3:DI6,2,FALSE)+IF(AND(Calculator!B8=TRUE,Backdoors!BI16=TRUE),VLOOKUP(Calculator!E23,tbSkills!DH3:DJ6,3,FALSE),0),0)))/100)),1),1)</f>
        <v>0.4</v>
      </c>
      <c r="CU83" s="87">
        <f t="shared" si="64"/>
        <v>0</v>
      </c>
      <c r="CV83" s="86" t="str">
        <f>IFERROR(IF(VLOOKUP(A83,tbMoveset!A2:B112,2,FALSE)="Sever",Backdoors!AY17/100,IF(VLOOKUP(A83,tbMoveset!A2:B112,2,FALSE)="Blunt",Backdoors!AZ17/100,Backdoors!BA17/100)),"")</f>
        <v/>
      </c>
      <c r="CW83" s="49">
        <f>IFERROR(IF(VLOOKUP(tbMoveset!A83,tbMoveset!A2:H112,8,FALSE)="Other",IF(VLOOKUP(tbMoveset!A83,tbMoveset!A2:I112,9,FALSE)="Fire",Backdoors!BB17,IF(VLOOKUP(tbMoveset!A83,tbMoveset!A2:I112,9,FALSE)="Water",Backdoors!BC17,IF(VLOOKUP(tbMoveset!A83,tbMoveset!A2:I112,9,FALSE)="Thunder",Backdoors!BD17,IF(VLOOKUP(tbMoveset!A83,tbMoveset!A2:I112,9,FALSE)="Ice",Backdoors!BE17,IF(VLOOKUP(tbMoveset!A83,tbMoveset!A2:I112,9,FALSE)="Dragon",Backdoors!BF17,Backdoors!BG17)))))/100,Backdoors!BG17/100),"")</f>
        <v>0</v>
      </c>
      <c r="CX83" s="49">
        <f>IFERROR(IF(VLOOKUP(A83,tbMoveset!A2:J112,10,FALSE)=TRUE,IF((Backdoors!AI12+IF(CV83&gt;=0.45,VLOOKUP(Calculator!E23,tbSkills!DH3:DI6,2,FALSE)+IF(AND(Calculator!B8=TRUE,Backdoors!BI17=TRUE),VLOOKUP(Calculator!E23,tbSkills!DH3:DJ6,3,FALSE),0),0))&gt;=0,1+(Backdoors!AL2*(IF((Backdoors!AI12+IF(CV83&gt;=0.45,VLOOKUP(Calculator!E23,tbSkills!DH3:DI6,2,FALSE)+IF(AND(Calculator!B8=TRUE,Backdoors!BI17=TRUE),VLOOKUP(Calculator!E23,tbSkills!DH3:DJ6,3,FALSE),0),0))&gt;=100,100,(Backdoors!AI12+IF(CV83&gt;=0.45,VLOOKUP(Calculator!E23,tbSkills!DH3:DI6,2,FALSE)+IF(AND(Calculator!B8=TRUE,Backdoors!BI17=TRUE),VLOOKUP(Calculator!E23,tbSkills!DH3:DJ6,3,FALSE),0),0)))/100)),(1-(0.25*((-Backdoors!AI12-IF(CV83&gt;=0.45,VLOOKUP(Calculator!E23,tbSkills!DH3:DI6,2,FALSE)+IF(AND(Calculator!B8=TRUE,Backdoors!BI17=TRUE),VLOOKUP(Calculator!E23,tbSkills!DH3:DJ6,3,FALSE),0),0))/100)))),1),"")</f>
        <v>1</v>
      </c>
      <c r="CY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V83)*CX83)*(VLOOKUP(A83,tbMoveset!A2:C112,3,FALSE)/100)*IF(VLOOKUP(A83,tbMoveset!A2:B112,2,FALSE)="Projectile",Backdoors!N10,Backdoors!N9),0),"")</f>
        <v/>
      </c>
      <c r="CZ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V83&gt;=0.45,VLOOKUP(Calculator!E23,tbSkills!DH3:DI6,2,FALSE)+IF(AND(Calculator!B8=TRUE,Backdoors!BI17=TRUE),VLOOKUP(Calculator!E23,tbSkills!DH3:DJ6,3,FALSE),0),0))&gt;=100,100,(Backdoors!AI12+IF(CV83&gt;=0.45,VLOOKUP(Calculator!E23,tbSkills!DH3:DI6,2,FALSE)+IF(AND(Calculator!B8=TRUE,Backdoors!BI17=TRUE),VLOOKUP(Calculator!E23,tbSkills!DH3:DJ6,3,FALSE),0),0)))/100)),1))*IF(VLOOKUP(A83,tbMoveset!A2:K112,11,FALSE)=TRUE,Backdoors!AC5,1))*CW83,0),"")</f>
        <v>0</v>
      </c>
      <c r="DA83" s="49">
        <f>VLOOKUP(A83,tbMoveset!A2:G112,7,FALSE)*IFERROR(IF(Backdoors!AI12&gt;=0,1+(IF(Calculator!E40&gt;0,VLOOKUP(Calculator!E40,tbSkills!AI3:AJ5,2,FALSE),Backdoors!AL4)*(IF((Backdoors!AI12+IF(CV83&gt;=0.45,VLOOKUP(Calculator!E23,tbSkills!DH3:DI6,2,FALSE)+IF(AND(Calculator!B8=TRUE,Backdoors!BI17=TRUE),VLOOKUP(Calculator!E23,tbSkills!DH3:DJ6,3,FALSE),0),0))&gt;=100,100,(Backdoors!AI12+IF(CV83&gt;=0.45,VLOOKUP(Calculator!E23,tbSkills!DH3:DI6,2,FALSE)+IF(AND(Calculator!B8=TRUE,Backdoors!BI17=TRUE),VLOOKUP(Calculator!E23,tbSkills!DH3:DJ6,3,FALSE),0),0)))/100)),1),1)</f>
        <v>0.4</v>
      </c>
      <c r="DB83" s="87">
        <f t="shared" si="65"/>
        <v>0</v>
      </c>
      <c r="DC83" s="86" t="str">
        <f>IFERROR(IF(VLOOKUP(A83,tbMoveset!A2:B112,2,FALSE)="Sever",Backdoors!AY18/100,IF(VLOOKUP(A83,tbMoveset!A2:B112,2,FALSE)="Blunt",Backdoors!AZ18/100,Backdoors!BA18/100)),"")</f>
        <v/>
      </c>
      <c r="DD83" s="49">
        <f>IFERROR(IF(VLOOKUP(tbMoveset!A83,tbMoveset!A2:H112,8,FALSE)="Other",IF(VLOOKUP(tbMoveset!A83,tbMoveset!A2:I112,9,FALSE)="Fire",Backdoors!BB18,IF(VLOOKUP(tbMoveset!A83,tbMoveset!A2:I112,9,FALSE)="Water",Backdoors!BC18,IF(VLOOKUP(tbMoveset!A83,tbMoveset!A2:I112,9,FALSE)="Thunder",Backdoors!BD18,IF(VLOOKUP(tbMoveset!A83,tbMoveset!A2:I112,9,FALSE)="Ice",Backdoors!BE18,IF(VLOOKUP(tbMoveset!A83,tbMoveset!A2:I112,9,FALSE)="Dragon",Backdoors!BF18,Backdoors!BG18)))))/100,Backdoors!BG18/100),"")</f>
        <v>0</v>
      </c>
      <c r="DE83" s="49">
        <f>IFERROR(IF(VLOOKUP(A83,tbMoveset!A2:J112,10,FALSE)=TRUE,IF((Backdoors!AI12+IF(DC83&gt;=0.45,VLOOKUP(Calculator!E23,tbSkills!DH3:DI6,2,FALSE)+IF(AND(Calculator!B8=TRUE,Backdoors!BI18=TRUE),VLOOKUP(Calculator!E23,tbSkills!DH3:DJ6,3,FALSE),0),0))&gt;=0,1+(Backdoors!AL2*(IF((Backdoors!AI12+IF(DC83&gt;=0.45,VLOOKUP(Calculator!E23,tbSkills!DH3:DI6,2,FALSE)+IF(AND(Calculator!B8=TRUE,Backdoors!BI18=TRUE),VLOOKUP(Calculator!E23,tbSkills!DH3:DJ6,3,FALSE),0),0))&gt;=100,100,(Backdoors!AI12+IF(DC83&gt;=0.45,VLOOKUP(Calculator!E23,tbSkills!DH3:DI6,2,FALSE)+IF(AND(Calculator!B8=TRUE,Backdoors!BI18=TRUE),VLOOKUP(Calculator!E23,tbSkills!DH3:DJ6,3,FALSE),0),0)))/100)),(1-(0.25*((-Backdoors!AI12-IF(DC83&gt;=0.45,VLOOKUP(Calculator!E23,tbSkills!DH3:DI6,2,FALSE)+IF(AND(Calculator!B8=TRUE,Backdoors!BI18=TRUE),VLOOKUP(Calculator!E23,tbSkills!DH3:DJ6,3,FALSE),0),0))/100)))),1),"")</f>
        <v>1</v>
      </c>
      <c r="DF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C83)*DE83)*(VLOOKUP(A83,tbMoveset!A2:C112,3,FALSE)/100)*IF(VLOOKUP(A83,tbMoveset!A2:B112,2,FALSE)="Projectile",Backdoors!N10,Backdoors!N9),0),"")</f>
        <v/>
      </c>
      <c r="DG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C83&gt;=0.45,VLOOKUP(Calculator!E23,tbSkills!DH3:DI6,2,FALSE)+IF(AND(Calculator!B8=TRUE,Backdoors!BI18=TRUE),VLOOKUP(Calculator!E23,tbSkills!DH3:DJ6,3,FALSE),0),0))&gt;=100,100,(Backdoors!AI12+IF(DC83&gt;=0.45,VLOOKUP(Calculator!E23,tbSkills!DH3:DI6,2,FALSE)+IF(AND(Calculator!B8=TRUE,Backdoors!BI18=TRUE),VLOOKUP(Calculator!E23,tbSkills!DH3:DJ6,3,FALSE),0),0)))/100)),1))*IF(VLOOKUP(A83,tbMoveset!A2:K112,11,FALSE)=TRUE,Backdoors!AC5,1))*DD83,0),"")</f>
        <v>0</v>
      </c>
      <c r="DH83" s="49">
        <f>VLOOKUP(A83,tbMoveset!A2:G112,7,FALSE)*IFERROR(IF(Backdoors!AI12&gt;=0,1+(IF(Calculator!E40&gt;0,VLOOKUP(Calculator!E40,tbSkills!AI3:AJ5,2,FALSE),Backdoors!AL4)*(IF((Backdoors!AI12+IF(DC83&gt;=0.45,VLOOKUP(Calculator!E23,tbSkills!DH3:DI6,2,FALSE)+IF(AND(Calculator!B8=TRUE,Backdoors!BI18=TRUE),VLOOKUP(Calculator!E23,tbSkills!DH3:DJ6,3,FALSE),0),0))&gt;=100,100,(Backdoors!AI12+IF(DC83&gt;=0.45,VLOOKUP(Calculator!E23,tbSkills!DH3:DI6,2,FALSE)+IF(AND(Calculator!B8=TRUE,Backdoors!BI18=TRUE),VLOOKUP(Calculator!E23,tbSkills!DH3:DJ6,3,FALSE),0),0)))/100)),1),1)</f>
        <v>0.4</v>
      </c>
      <c r="DI83" s="87">
        <f t="shared" si="66"/>
        <v>0</v>
      </c>
      <c r="DJ83" s="86" t="str">
        <f>IFERROR(IF(VLOOKUP(A83,tbMoveset!A2:B112,2,FALSE)="Sever",Backdoors!AY19/100,IF(VLOOKUP(A83,tbMoveset!A2:B112,2,FALSE)="Blunt",Backdoors!AZ19/100,Backdoors!BA19/100)),"")</f>
        <v/>
      </c>
      <c r="DK83" s="49">
        <f>IFERROR(IF(VLOOKUP(tbMoveset!A83,tbMoveset!A2:H112,8,FALSE)="Other",IF(VLOOKUP(tbMoveset!A83,tbMoveset!A2:I112,9,FALSE)="Fire",Backdoors!BB19,IF(VLOOKUP(tbMoveset!A83,tbMoveset!A2:I112,9,FALSE)="Water",Backdoors!BC19,IF(VLOOKUP(tbMoveset!A83,tbMoveset!A2:I112,9,FALSE)="Thunder",Backdoors!BD19,IF(VLOOKUP(tbMoveset!A83,tbMoveset!A2:I112,9,FALSE)="Ice",Backdoors!BE19,IF(VLOOKUP(tbMoveset!A83,tbMoveset!A2:I112,9,FALSE)="Dragon",Backdoors!BF19,Backdoors!BG19)))))/100,Backdoors!BG19/100),"")</f>
        <v>0</v>
      </c>
      <c r="DL83" s="49">
        <f>IFERROR(IF(VLOOKUP(A83,tbMoveset!A2:J112,10,FALSE)=TRUE,IF((Backdoors!AI12+IF(DJ83&gt;=0.45,VLOOKUP(Calculator!E23,tbSkills!DH3:DI6,2,FALSE)+IF(AND(Calculator!B8=TRUE,Backdoors!BI19=TRUE),VLOOKUP(Calculator!E23,tbSkills!DH3:DJ6,3,FALSE),0),0))&gt;=0,1+(Backdoors!AL2*(IF((Backdoors!AI12+IF(DJ83&gt;=0.45,VLOOKUP(Calculator!E23,tbSkills!DH3:DI6,2,FALSE)+IF(AND(Calculator!B8=TRUE,Backdoors!BI19=TRUE),VLOOKUP(Calculator!E23,tbSkills!DH3:DJ6,3,FALSE),0),0))&gt;=100,100,(Backdoors!AI12+IF(DJ83&gt;=0.45,VLOOKUP(Calculator!E23,tbSkills!DH3:DI6,2,FALSE)+IF(AND(Calculator!B8=TRUE,Backdoors!BI19=TRUE),VLOOKUP(Calculator!E23,tbSkills!DH3:DJ6,3,FALSE),0),0)))/100)),(1-(0.25*((-Backdoors!AI12-IF(DJ83&gt;=0.45,VLOOKUP(Calculator!E23,tbSkills!DH3:DI6,2,FALSE)+IF(AND(Calculator!B8=TRUE,Backdoors!BI19=TRUE),VLOOKUP(Calculator!E23,tbSkills!DH3:DJ6,3,FALSE),0),0))/100)))),1),"")</f>
        <v>1</v>
      </c>
      <c r="DM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J83)*DL83)*(VLOOKUP(A83,tbMoveset!A2:C112,3,FALSE)/100)*IF(VLOOKUP(A83,tbMoveset!A2:B112,2,FALSE)="Projectile",Backdoors!N10,Backdoors!N9),0),"")</f>
        <v/>
      </c>
      <c r="DN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J83&gt;=0.45,VLOOKUP(Calculator!E23,tbSkills!DH3:DI6,2,FALSE)+IF(AND(Calculator!B8=TRUE,Backdoors!BI19=TRUE),VLOOKUP(Calculator!E23,tbSkills!DH3:DJ6,3,FALSE),0),0))&gt;=100,100,(Backdoors!AI12+IF(DJ83&gt;=0.45,VLOOKUP(Calculator!E23,tbSkills!DH3:DI6,2,FALSE)+IF(AND(Calculator!B8=TRUE,Backdoors!BI19=TRUE),VLOOKUP(Calculator!E23,tbSkills!DH3:DJ6,3,FALSE),0),0)))/100)),1))*IF(VLOOKUP(A83,tbMoveset!A2:K112,11,FALSE)=TRUE,Backdoors!AC5,1))*DK83,0),"")</f>
        <v>0</v>
      </c>
      <c r="DO83" s="49">
        <f>VLOOKUP(A83,tbMoveset!A2:G112,7,FALSE)*IFERROR(IF(Backdoors!AI12&gt;=0,1+(IF(Calculator!E40&gt;0,VLOOKUP(Calculator!E40,tbSkills!AI3:AJ5,2,FALSE),Backdoors!AL4)*(IF((Backdoors!AI12+IF(DJ83&gt;=0.45,VLOOKUP(Calculator!E23,tbSkills!DH3:DI6,2,FALSE)+IF(AND(Calculator!B8=TRUE,Backdoors!BI19=TRUE),VLOOKUP(Calculator!E23,tbSkills!DH3:DJ6,3,FALSE),0),0))&gt;=100,100,(Backdoors!AI12+IF(DJ83&gt;=0.45,VLOOKUP(Calculator!E23,tbSkills!DH3:DI6,2,FALSE)+IF(AND(Calculator!B8=TRUE,Backdoors!BI19=TRUE),VLOOKUP(Calculator!E23,tbSkills!DH3:DJ6,3,FALSE),0),0)))/100)),1),1)</f>
        <v>0.4</v>
      </c>
      <c r="DP83" s="87">
        <f t="shared" si="67"/>
        <v>0</v>
      </c>
      <c r="DQ83" s="86" t="str">
        <f>IFERROR(IF(VLOOKUP(A83,tbMoveset!A2:B112,2,FALSE)="Sever",Backdoors!AY20/100,IF(VLOOKUP(A83,tbMoveset!A2:B112,2,FALSE)="Blunt",Backdoors!AZ20/100,Backdoors!BA20/100)),"")</f>
        <v/>
      </c>
      <c r="DR83" s="49">
        <f>IFERROR(IF(VLOOKUP(tbMoveset!A83,tbMoveset!A2:H112,8,FALSE)="Other",IF(VLOOKUP(tbMoveset!A83,tbMoveset!A2:I112,9,FALSE)="Fire",Backdoors!BB20,IF(VLOOKUP(tbMoveset!A83,tbMoveset!A2:I112,9,FALSE)="Water",Backdoors!BC20,IF(VLOOKUP(tbMoveset!A83,tbMoveset!A2:I112,9,FALSE)="Thunder",Backdoors!BD20,IF(VLOOKUP(tbMoveset!A83,tbMoveset!A2:I112,9,FALSE)="Ice",Backdoors!BE20,IF(VLOOKUP(tbMoveset!A83,tbMoveset!A2:I112,9,FALSE)="Dragon",Backdoors!BF20,Backdoors!BG20)))))/100,Backdoors!BG20/100),"")</f>
        <v>0</v>
      </c>
      <c r="DS83" s="49">
        <f>IFERROR(IF(VLOOKUP(A83,tbMoveset!A2:J112,10,FALSE)=TRUE,IF((Backdoors!AI12+IF(DQ83&gt;=0.45,VLOOKUP(Calculator!E23,tbSkills!DH3:DI6,2,FALSE)+IF(AND(Calculator!B8=TRUE,Backdoors!BI20=TRUE),VLOOKUP(Calculator!E23,tbSkills!DH3:DJ6,3,FALSE),0),0))&gt;=0,1+(Backdoors!AL2*(IF((Backdoors!AI12+IF(DQ83&gt;=0.45,VLOOKUP(Calculator!E23,tbSkills!DH3:DI6,2,FALSE)+IF(AND(Calculator!B8=TRUE,Backdoors!BI20=TRUE),VLOOKUP(Calculator!E23,tbSkills!DH3:DJ6,3,FALSE),0),0))&gt;=100,100,(Backdoors!AI12+IF(DQ83&gt;=0.45,VLOOKUP(Calculator!E23,tbSkills!DH3:DI6,2,FALSE)+IF(AND(Calculator!B8=TRUE,Backdoors!BI20=TRUE),VLOOKUP(Calculator!E23,tbSkills!DH3:DJ6,3,FALSE),0),0)))/100)),(1-(0.25*((-Backdoors!AI12-IF(DQ83&gt;=0.45,VLOOKUP(Calculator!E23,tbSkills!DH3:DI6,2,FALSE)+IF(AND(Calculator!B8=TRUE,Backdoors!BI20=TRUE),VLOOKUP(Calculator!E23,tbSkills!DH3:DJ6,3,FALSE),0),0))/100)))),1),"")</f>
        <v>1</v>
      </c>
      <c r="DT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Q83)*DS83)*(VLOOKUP(A83,tbMoveset!A2:C112,3,FALSE)/100)*IF(VLOOKUP(A83,tbMoveset!A2:B112,2,FALSE)="Projectile",Backdoors!N10,Backdoors!N9),0),"")</f>
        <v/>
      </c>
      <c r="DU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Q83&gt;=0.45,VLOOKUP(Calculator!E23,tbSkills!DH3:DI6,2,FALSE)+IF(AND(Calculator!B8=TRUE,Backdoors!BI20=TRUE),VLOOKUP(Calculator!E23,tbSkills!DH3:DJ6,3,FALSE),0),0))&gt;=100,100,(Backdoors!AI12+IF(DQ83&gt;=0.45,VLOOKUP(Calculator!E23,tbSkills!DH3:DI6,2,FALSE)+IF(AND(Calculator!B8=TRUE,Backdoors!BI20=TRUE),VLOOKUP(Calculator!E23,tbSkills!DH3:DJ6,3,FALSE),0),0)))/100)),1))*IF(VLOOKUP(A83,tbMoveset!A2:K112,11,FALSE)=TRUE,Backdoors!AC5,1))*DR83,0),"")</f>
        <v>0</v>
      </c>
      <c r="DV83" s="49">
        <f>VLOOKUP(A83,tbMoveset!A2:G112,7,FALSE)*IFERROR(IF(Backdoors!AI12&gt;=0,1+(IF(Calculator!E40&gt;0,VLOOKUP(Calculator!E40,tbSkills!AI3:AJ5,2,FALSE),Backdoors!AL4)*(IF((Backdoors!AI12+IF(DQ83&gt;=0.45,VLOOKUP(Calculator!E23,tbSkills!DH3:DI6,2,FALSE)+IF(AND(Calculator!B8=TRUE,Backdoors!BI20=TRUE),VLOOKUP(Calculator!E23,tbSkills!DH3:DJ6,3,FALSE),0),0))&gt;=100,100,(Backdoors!AI12+IF(DQ83&gt;=0.45,VLOOKUP(Calculator!E23,tbSkills!DH3:DI6,2,FALSE)+IF(AND(Calculator!B8=TRUE,Backdoors!BI20=TRUE),VLOOKUP(Calculator!E23,tbSkills!DH3:DJ6,3,FALSE),0),0)))/100)),1),1)</f>
        <v>0.4</v>
      </c>
      <c r="DW83" s="87">
        <f t="shared" si="68"/>
        <v>0</v>
      </c>
      <c r="DX83" s="86" t="str">
        <f>IFERROR(IF(VLOOKUP(A83,tbMoveset!A2:B112,2,FALSE)="Sever",Backdoors!AY21/100,IF(VLOOKUP(A83,tbMoveset!A2:B112,2,FALSE)="Blunt",Backdoors!AZ21/100,Backdoors!BA21/100)),"")</f>
        <v/>
      </c>
      <c r="DY83" s="49">
        <f>IFERROR(IF(VLOOKUP(tbMoveset!A83,tbMoveset!A2:H112,8,FALSE)="Other",IF(VLOOKUP(tbMoveset!A83,tbMoveset!A2:I112,9,FALSE)="Fire",Backdoors!BB21,IF(VLOOKUP(tbMoveset!A83,tbMoveset!A2:I112,9,FALSE)="Water",Backdoors!BC21,IF(VLOOKUP(tbMoveset!A83,tbMoveset!A2:I112,9,FALSE)="Thunder",Backdoors!BD21,IF(VLOOKUP(tbMoveset!A83,tbMoveset!A2:I112,9,FALSE)="Ice",Backdoors!BE21,IF(VLOOKUP(tbMoveset!A83,tbMoveset!A2:I112,9,FALSE)="Dragon",Backdoors!BF21,Backdoors!BG21)))))/100,Backdoors!BG21/100),"")</f>
        <v>0</v>
      </c>
      <c r="DZ83" s="49">
        <f>IFERROR(IF(VLOOKUP(A83,tbMoveset!A2:J112,10,FALSE)=TRUE,IF((Backdoors!AI12+IF(DX83&gt;=0.45,VLOOKUP(Calculator!E23,tbSkills!DH3:DI6,2,FALSE)+IF(AND(Calculator!B8=TRUE,Backdoors!BI21=TRUE),VLOOKUP(Calculator!E23,tbSkills!DH3:DJ6,3,FALSE),0),0))&gt;=0,1+(Backdoors!AL2*(IF((Backdoors!AI12+IF(DX83&gt;=0.45,VLOOKUP(Calculator!E23,tbSkills!DH3:DI6,2,FALSE)+IF(AND(Calculator!B8=TRUE,Backdoors!BI21=TRUE),VLOOKUP(Calculator!E23,tbSkills!DH3:DJ6,3,FALSE),0),0))&gt;=100,100,(Backdoors!AI12+IF(DX83&gt;=0.45,VLOOKUP(Calculator!E23,tbSkills!DH3:DI6,2,FALSE)+IF(AND(Calculator!B8=TRUE,Backdoors!BI21=TRUE),VLOOKUP(Calculator!E23,tbSkills!DH3:DJ6,3,FALSE),0),0)))/100)),(1-(0.25*((-Backdoors!AI12-IF(DX83&gt;=0.45,VLOOKUP(Calculator!E23,tbSkills!DH3:DI6,2,FALSE)+IF(AND(Calculator!B8=TRUE,Backdoors!BI21=TRUE),VLOOKUP(Calculator!E23,tbSkills!DH3:DJ6,3,FALSE),0),0))/100)))),1),"")</f>
        <v>1</v>
      </c>
      <c r="EA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X83)*DZ83)*(VLOOKUP(A83,tbMoveset!A2:C112,3,FALSE)/100)*IF(VLOOKUP(A83,tbMoveset!A2:B112,2,FALSE)="Projectile",Backdoors!N10,Backdoors!N9),0),"")</f>
        <v/>
      </c>
      <c r="EB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X83&gt;=0.45,VLOOKUP(Calculator!E23,tbSkills!DH3:DI6,2,FALSE)+IF(AND(Calculator!B8=TRUE,Backdoors!BI21=TRUE),VLOOKUP(Calculator!E23,tbSkills!DH3:DJ6,3,FALSE),0),0))&gt;=100,100,(Backdoors!AI12+IF(DX83&gt;=0.45,VLOOKUP(Calculator!E23,tbSkills!DH3:DI6,2,FALSE)+IF(AND(Calculator!B8=TRUE,Backdoors!BI21=TRUE),VLOOKUP(Calculator!E23,tbSkills!DH3:DJ6,3,FALSE),0),0)))/100)),1))*IF(VLOOKUP(A83,tbMoveset!A2:K112,11,FALSE)=TRUE,Backdoors!AC5,1))*DY83,0),"")</f>
        <v>0</v>
      </c>
      <c r="EC83" s="49">
        <f>VLOOKUP(A83,tbMoveset!A2:G112,7,FALSE)*IFERROR(IF(Backdoors!AI12&gt;=0,1+(IF(Calculator!E40&gt;0,VLOOKUP(Calculator!E40,tbSkills!AI3:AJ5,2,FALSE),Backdoors!AL4)*(IF((Backdoors!AI12+IF(DX83&gt;=0.45,VLOOKUP(Calculator!E23,tbSkills!DH3:DI6,2,FALSE)+IF(AND(Calculator!B8=TRUE,Backdoors!BI21=TRUE),VLOOKUP(Calculator!E23,tbSkills!DH3:DJ6,3,FALSE),0),0))&gt;=100,100,(Backdoors!AI12+IF(DX83&gt;=0.45,VLOOKUP(Calculator!E23,tbSkills!DH3:DI6,2,FALSE)+IF(AND(Calculator!B8=TRUE,Backdoors!BI21=TRUE),VLOOKUP(Calculator!E23,tbSkills!DH3:DJ6,3,FALSE),0),0)))/100)),1),1)</f>
        <v>0.4</v>
      </c>
      <c r="ED83" s="87">
        <f t="shared" si="69"/>
        <v>0</v>
      </c>
      <c r="EE83" s="86" t="str">
        <f>IFERROR(IF(VLOOKUP(A83,tbMoveset!A2:B112,2,FALSE)="Sever",Backdoors!AY22/100,IF(VLOOKUP(A83,tbMoveset!A2:B112,2,FALSE)="Blunt",Backdoors!AZ22/100,Backdoors!BA22/100)),"")</f>
        <v/>
      </c>
      <c r="EF83" s="49">
        <f>IFERROR(IF(VLOOKUP(tbMoveset!A83,tbMoveset!A2:H112,8,FALSE)="Other",IF(VLOOKUP(tbMoveset!A83,tbMoveset!A2:I112,9,FALSE)="Fire",Backdoors!BB22,IF(VLOOKUP(tbMoveset!A83,tbMoveset!A2:I112,9,FALSE)="Water",Backdoors!BC22,IF(VLOOKUP(tbMoveset!A83,tbMoveset!A2:I112,9,FALSE)="Thunder",Backdoors!BD22,IF(VLOOKUP(tbMoveset!A83,tbMoveset!A2:I112,9,FALSE)="Ice",Backdoors!BE22,IF(VLOOKUP(tbMoveset!A83,tbMoveset!A2:I112,9,FALSE)="Dragon",Backdoors!BF22,Backdoors!BG22)))))/100,Backdoors!BG22/100),"")</f>
        <v>0</v>
      </c>
      <c r="EG83" s="49">
        <f>IFERROR(IF(VLOOKUP(A83,tbMoveset!A2:J112,10,FALSE)=TRUE,IF((Backdoors!AI12+IF(EE83&gt;=0.45,VLOOKUP(Calculator!E23,tbSkills!DH3:DI6,2,FALSE)+IF(AND(Calculator!B8=TRUE,Backdoors!BI22=TRUE),VLOOKUP(Calculator!E23,tbSkills!DH3:DJ6,3,FALSE),0),0))&gt;=0,1+(Backdoors!AL2*(IF((Backdoors!AI12+IF(EE83&gt;=0.45,VLOOKUP(Calculator!E23,tbSkills!DH3:DI6,2,FALSE)+IF(AND(Calculator!B8=TRUE,Backdoors!BI22=TRUE),VLOOKUP(Calculator!E23,tbSkills!DH3:DJ6,3,FALSE),0),0))&gt;=100,100,(Backdoors!AI12+IF(EE83&gt;=0.45,VLOOKUP(Calculator!E23,tbSkills!DH3:DI6,2,FALSE)+IF(AND(Calculator!B8=TRUE,Backdoors!BI22=TRUE),VLOOKUP(Calculator!E23,tbSkills!DH3:DJ6,3,FALSE),0),0)))/100)),(1-(0.25*((-Backdoors!AI12-IF(EE83&gt;=0.45,VLOOKUP(Calculator!E23,tbSkills!DH3:DI6,2,FALSE)+IF(AND(Calculator!B8=TRUE,Backdoors!BI22=TRUE),VLOOKUP(Calculator!E23,tbSkills!DH3:DJ6,3,FALSE),0),0))/100)))),1),"")</f>
        <v>1</v>
      </c>
      <c r="EH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E83)*EG83)*(VLOOKUP(A83,tbMoveset!A2:C112,3,FALSE)/100)*IF(VLOOKUP(A83,tbMoveset!A2:B112,2,FALSE)="Projectile",Backdoors!N10,Backdoors!N9),0),"")</f>
        <v/>
      </c>
      <c r="EI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E83&gt;=0.45,VLOOKUP(Calculator!E23,tbSkills!DH3:DI6,2,FALSE)+IF(AND(Calculator!B8=TRUE,Backdoors!BI22=TRUE),VLOOKUP(Calculator!E23,tbSkills!DH3:DJ6,3,FALSE),0),0))&gt;=100,100,(Backdoors!AI12+IF(EE83&gt;=0.45,VLOOKUP(Calculator!E23,tbSkills!DH3:DI6,2,FALSE)+IF(AND(Calculator!B8=TRUE,Backdoors!BI22=TRUE),VLOOKUP(Calculator!E23,tbSkills!DH3:DJ6,3,FALSE),0),0)))/100)),1))*IF(VLOOKUP(A83,tbMoveset!A2:K112,11,FALSE)=TRUE,Backdoors!AC5,1))*EF83,0),"")</f>
        <v>0</v>
      </c>
      <c r="EJ83" s="49">
        <f>VLOOKUP(A83,tbMoveset!A2:G112,7,FALSE)*IFERROR(IF(Backdoors!AI12&gt;=0,1+(IF(Calculator!E40&gt;0,VLOOKUP(Calculator!E40,tbSkills!AI3:AJ5,2,FALSE),Backdoors!AL4)*(IF((Backdoors!AI12+IF(EE83&gt;=0.45,VLOOKUP(Calculator!E23,tbSkills!DH3:DI6,2,FALSE)+IF(AND(Calculator!B8=TRUE,Backdoors!BI22=TRUE),VLOOKUP(Calculator!E23,tbSkills!DH3:DJ6,3,FALSE),0),0))&gt;=100,100,(Backdoors!AI12+IF(EE83&gt;=0.45,VLOOKUP(Calculator!E23,tbSkills!DH3:DI6,2,FALSE)+IF(AND(Calculator!B8=TRUE,Backdoors!BI22=TRUE),VLOOKUP(Calculator!E23,tbSkills!DH3:DJ6,3,FALSE),0),0)))/100)),1),1)</f>
        <v>0.4</v>
      </c>
      <c r="EK83" s="87">
        <f t="shared" si="70"/>
        <v>0</v>
      </c>
      <c r="EL83" s="86" t="str">
        <f>IFERROR(IF(VLOOKUP(A83,tbMoveset!A2:B112,2,FALSE)="Sever",Backdoors!AY23/100,IF(VLOOKUP(A83,tbMoveset!A2:B112,2,FALSE)="Blunt",Backdoors!AZ23/100,Backdoors!BA23/100)),"")</f>
        <v/>
      </c>
      <c r="EM83" s="49">
        <f>IFERROR(IF(VLOOKUP(tbMoveset!A83,tbMoveset!A2:H112,8,FALSE)="Other",IF(VLOOKUP(tbMoveset!A83,tbMoveset!A2:I112,9,FALSE)="Fire",Backdoors!BB23,IF(VLOOKUP(tbMoveset!A83,tbMoveset!A2:I112,9,FALSE)="Water",Backdoors!BC23,IF(VLOOKUP(tbMoveset!A83,tbMoveset!A2:I112,9,FALSE)="Thunder",Backdoors!BD23,IF(VLOOKUP(tbMoveset!A83,tbMoveset!A2:I112,9,FALSE)="Ice",Backdoors!BE23,IF(VLOOKUP(tbMoveset!A83,tbMoveset!A2:I112,9,FALSE)="Dragon",Backdoors!BF23,Backdoors!BG23)))))/100,Backdoors!BG23/100),"")</f>
        <v>0</v>
      </c>
      <c r="EN83" s="49">
        <f>IFERROR(IF(VLOOKUP(A83,tbMoveset!A2:J112,10,FALSE)=TRUE,IF((Backdoors!AI12+IF(EL83&gt;=0.45,VLOOKUP(Calculator!E23,tbSkills!DH3:DI6,2,FALSE)+IF(AND(Calculator!B8=TRUE,Backdoors!BI23=TRUE),VLOOKUP(Calculator!E23,tbSkills!DH3:DJ6,3,FALSE),0),0))&gt;=0,1+(Backdoors!AL2*(IF((Backdoors!AI12+IF(EL83&gt;=0.45,VLOOKUP(Calculator!E23,tbSkills!DH3:DI6,2,FALSE)+IF(AND(Calculator!B8=TRUE,Backdoors!BI23=TRUE),VLOOKUP(Calculator!E23,tbSkills!DH3:DJ6,3,FALSE),0),0))&gt;=100,100,(Backdoors!AI12+IF(EL83&gt;=0.45,VLOOKUP(Calculator!E23,tbSkills!DH3:DI6,2,FALSE)+IF(AND(Calculator!B8=TRUE,Backdoors!BI23=TRUE),VLOOKUP(Calculator!E23,tbSkills!DH3:DJ6,3,FALSE),0),0)))/100)),(1-(0.25*((-Backdoors!AI12-IF(EL83&gt;=0.45,VLOOKUP(Calculator!E23,tbSkills!DH3:DI6,2,FALSE)+IF(AND(Calculator!B8=TRUE,Backdoors!BI23=TRUE),VLOOKUP(Calculator!E23,tbSkills!DH3:DJ6,3,FALSE),0),0))/100)))),1),"")</f>
        <v>1</v>
      </c>
      <c r="EO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L83)*EN83)*(VLOOKUP(A83,tbMoveset!A2:C112,3,FALSE)/100)*IF(VLOOKUP(A83,tbMoveset!A2:B112,2,FALSE)="Projectile",Backdoors!N10,Backdoors!N9),0),"")</f>
        <v/>
      </c>
      <c r="EP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L83&gt;=0.45,VLOOKUP(Calculator!E23,tbSkills!DH3:DI6,2,FALSE)+IF(AND(Calculator!B8=TRUE,Backdoors!BI23=TRUE),VLOOKUP(Calculator!E23,tbSkills!DH3:DJ6,3,FALSE),0),0))&gt;=100,100,(Backdoors!AI12+IF(EL83&gt;=0.45,VLOOKUP(Calculator!E23,tbSkills!DH3:DI6,2,FALSE)+IF(AND(Calculator!B8=TRUE,Backdoors!BI23=TRUE),VLOOKUP(Calculator!E23,tbSkills!DH3:DJ6,3,FALSE),0),0)))/100)),1))*IF(VLOOKUP(A83,tbMoveset!A2:K112,11,FALSE)=TRUE,Backdoors!AC5,1))*EM83,0),"")</f>
        <v>0</v>
      </c>
      <c r="EQ83" s="49">
        <f>VLOOKUP(A83,tbMoveset!A2:G112,7,FALSE)*IFERROR(IF(Backdoors!AI12&gt;=0,1+(IF(Calculator!E40&gt;0,VLOOKUP(Calculator!E40,tbSkills!AI3:AJ5,2,FALSE),Backdoors!AL4)*(IF((Backdoors!AI12+IF(EL83&gt;=0.45,VLOOKUP(Calculator!E23,tbSkills!DH3:DI6,2,FALSE)+IF(AND(Calculator!B8=TRUE,Backdoors!BI23=TRUE),VLOOKUP(Calculator!E23,tbSkills!DH3:DJ6,3,FALSE),0),0))&gt;=100,100,(Backdoors!AI12+IF(EL83&gt;=0.45,VLOOKUP(Calculator!E23,tbSkills!DH3:DI6,2,FALSE)+IF(AND(Calculator!B8=TRUE,Backdoors!BI23=TRUE),VLOOKUP(Calculator!E23,tbSkills!DH3:DJ6,3,FALSE),0),0)))/100)),1),1)</f>
        <v>0.4</v>
      </c>
      <c r="ER83" s="87">
        <f t="shared" si="71"/>
        <v>0</v>
      </c>
      <c r="ES83" s="86" t="str">
        <f>IFERROR(IF(VLOOKUP(A83,tbMoveset!A2:B112,2,FALSE)="Sever",Backdoors!AY24/100,IF(VLOOKUP(A83,tbMoveset!A2:B112,2,FALSE)="Blunt",Backdoors!AZ24/100,Backdoors!BA24/100)),"")</f>
        <v/>
      </c>
      <c r="ET83" s="49">
        <f>IFERROR(IF(VLOOKUP(tbMoveset!A83,tbMoveset!A2:H112,8,FALSE)="Other",IF(VLOOKUP(tbMoveset!A83,tbMoveset!A2:I112,9,FALSE)="Fire",Backdoors!BB24,IF(VLOOKUP(tbMoveset!A83,tbMoveset!A2:I112,9,FALSE)="Water",Backdoors!BC24,IF(VLOOKUP(tbMoveset!A83,tbMoveset!A2:I112,9,FALSE)="Thunder",Backdoors!BD24,IF(VLOOKUP(tbMoveset!A83,tbMoveset!A2:I112,9,FALSE)="Ice",Backdoors!BE24,IF(VLOOKUP(tbMoveset!A83,tbMoveset!A2:I112,9,FALSE)="Dragon",Backdoors!BF24,Backdoors!BG24)))))/100,Backdoors!BG24/100),"")</f>
        <v>0</v>
      </c>
      <c r="EU83" s="49">
        <f>IFERROR(IF(VLOOKUP(A83,tbMoveset!A2:J112,10,FALSE)=TRUE,IF((Backdoors!AI12+IF(ES83&gt;=0.45,VLOOKUP(Calculator!E23,tbSkills!DH3:DI6,2,FALSE)+IF(AND(Calculator!B8=TRUE,Backdoors!BI24=TRUE),VLOOKUP(Calculator!E23,tbSkills!DH3:DJ6,3,FALSE),0),0))&gt;=0,1+(Backdoors!AL2*(IF((Backdoors!AI12+IF(ES83&gt;=0.45,VLOOKUP(Calculator!E23,tbSkills!DH3:DI6,2,FALSE)+IF(AND(Calculator!B8=TRUE,Backdoors!BI24=TRUE),VLOOKUP(Calculator!E23,tbSkills!DH3:DJ6,3,FALSE),0),0))&gt;=100,100,(Backdoors!AI12+IF(ES83&gt;=0.45,VLOOKUP(Calculator!E23,tbSkills!DH3:DI6,2,FALSE)+IF(AND(Calculator!B8=TRUE,Backdoors!BI24=TRUE),VLOOKUP(Calculator!E23,tbSkills!DH3:DJ6,3,FALSE),0),0)))/100)),(1-(0.25*((-Backdoors!AI12-IF(ES83&gt;=0.45,VLOOKUP(Calculator!E23,tbSkills!DH3:DI6,2,FALSE)+IF(AND(Calculator!B8=TRUE,Backdoors!BI24=TRUE),VLOOKUP(Calculator!E23,tbSkills!DH3:DJ6,3,FALSE),0),0))/100)))),1),"")</f>
        <v>1</v>
      </c>
      <c r="EV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S83)*EU83)*(VLOOKUP(A83,tbMoveset!A2:C112,3,FALSE)/100)*IF(VLOOKUP(A83,tbMoveset!A2:B112,2,FALSE)="Projectile",Backdoors!N10,Backdoors!N9),0),"")</f>
        <v/>
      </c>
      <c r="EW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S83&gt;=0.45,VLOOKUP(Calculator!E23,tbSkills!DH3:DI6,2,FALSE)+IF(AND(Calculator!B8=TRUE,Backdoors!BI24=TRUE),VLOOKUP(Calculator!E23,tbSkills!DH3:DJ6,3,FALSE),0),0))&gt;=100,100,(Backdoors!AI12+IF(ES83&gt;=0.45,VLOOKUP(Calculator!E23,tbSkills!DH3:DI6,2,FALSE)+IF(AND(Calculator!B8=TRUE,Backdoors!BI24=TRUE),VLOOKUP(Calculator!E23,tbSkills!DH3:DJ6,3,FALSE),0),0)))/100)),1))*IF(VLOOKUP(A83,tbMoveset!A2:K112,11,FALSE)=TRUE,Backdoors!AC5,1))*ET83,0),"")</f>
        <v>0</v>
      </c>
      <c r="EX83" s="49">
        <f>VLOOKUP(A83,tbMoveset!A2:G112,7,FALSE)*IFERROR(IF(Backdoors!AI12&gt;=0,1+(IF(Calculator!E40&gt;0,VLOOKUP(Calculator!E40,tbSkills!AI3:AJ5,2,FALSE),Backdoors!AL4)*(IF((Backdoors!AI12+IF(ES83&gt;=0.45,VLOOKUP(Calculator!E23,tbSkills!DH3:DI6,2,FALSE)+IF(AND(Calculator!B8=TRUE,Backdoors!BI24=TRUE),VLOOKUP(Calculator!E23,tbSkills!DH3:DJ6,3,FALSE),0),0))&gt;=100,100,(Backdoors!AI12+IF(ES83&gt;=0.45,VLOOKUP(Calculator!E23,tbSkills!DH3:DI6,2,FALSE)+IF(AND(Calculator!B8=TRUE,Backdoors!BI24=TRUE),VLOOKUP(Calculator!E23,tbSkills!DH3:DJ6,3,FALSE),0),0)))/100)),1),1)</f>
        <v>0.4</v>
      </c>
      <c r="EY83" s="87">
        <f t="shared" si="72"/>
        <v>0</v>
      </c>
      <c r="EZ83" s="86" t="str">
        <f>IFERROR(IF(VLOOKUP(A83,tbMoveset!A2:B112,2,FALSE)="Sever",Backdoors!AY25/100,IF(VLOOKUP(A83,tbMoveset!A2:B112,2,FALSE)="Blunt",Backdoors!AZ25/100,Backdoors!BA25/100)),"")</f>
        <v/>
      </c>
      <c r="FA83" s="49">
        <f>IFERROR(IF(VLOOKUP(tbMoveset!A83,tbMoveset!A2:H112,8,FALSE)="Other",IF(VLOOKUP(tbMoveset!A83,tbMoveset!A2:I112,9,FALSE)="Fire",Backdoors!BB25,IF(VLOOKUP(tbMoveset!A83,tbMoveset!A2:I112,9,FALSE)="Water",Backdoors!BC25,IF(VLOOKUP(tbMoveset!A83,tbMoveset!A2:I112,9,FALSE)="Thunder",Backdoors!BD25,IF(VLOOKUP(tbMoveset!A83,tbMoveset!A2:I112,9,FALSE)="Ice",Backdoors!BE25,IF(VLOOKUP(tbMoveset!A83,tbMoveset!A2:I112,9,FALSE)="Dragon",Backdoors!BF25,Backdoors!BG25)))))/100,Backdoors!BG25/100),"")</f>
        <v>0</v>
      </c>
      <c r="FB83" s="49">
        <f>IFERROR(IF(VLOOKUP(A83,tbMoveset!A2:J112,10,FALSE)=TRUE,IF((Backdoors!AI12+IF(EZ83&gt;=0.45,VLOOKUP(Calculator!E23,tbSkills!DH3:DI6,2,FALSE)+IF(AND(Calculator!B8=TRUE,Backdoors!BI25=TRUE),VLOOKUP(Calculator!E23,tbSkills!DH3:DJ6,3,FALSE),0),0))&gt;=0,1+(Backdoors!AL2*(IF((Backdoors!AI12+IF(EZ83&gt;=0.45,VLOOKUP(Calculator!E23,tbSkills!DH3:DI6,2,FALSE)+IF(AND(Calculator!B8=TRUE,Backdoors!BI25=TRUE),VLOOKUP(Calculator!E23,tbSkills!DH3:DJ6,3,FALSE),0),0))&gt;=100,100,(Backdoors!AI12+IF(EZ83&gt;=0.45,VLOOKUP(Calculator!E23,tbSkills!DH3:DI6,2,FALSE)+IF(AND(Calculator!B8=TRUE,Backdoors!BI25=TRUE),VLOOKUP(Calculator!E23,tbSkills!DH3:DJ6,3,FALSE),0),0)))/100)),(1-(0.25*((-Backdoors!AI12-IF(EZ83&gt;=0.45,VLOOKUP(Calculator!E23,tbSkills!DH3:DI6,2,FALSE)+IF(AND(Calculator!B8=TRUE,Backdoors!BI25=TRUE),VLOOKUP(Calculator!E23,tbSkills!DH3:DJ6,3,FALSE),0),0))/100)))),1),"")</f>
        <v>1</v>
      </c>
      <c r="FC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Z83)*FB83)*(VLOOKUP(A83,tbMoveset!A2:C112,3,FALSE)/100)*IF(VLOOKUP(A83,tbMoveset!A2:B112,2,FALSE)="Projectile",Backdoors!N10,Backdoors!N9),0),"")</f>
        <v/>
      </c>
      <c r="FD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Z83&gt;=0.45,VLOOKUP(Calculator!E23,tbSkills!DH3:DI6,2,FALSE)+IF(AND(Calculator!B8=TRUE,Backdoors!BI25=TRUE),VLOOKUP(Calculator!E23,tbSkills!DH3:DJ6,3,FALSE),0),0))&gt;=100,100,(Backdoors!AI12+IF(EZ83&gt;=0.45,VLOOKUP(Calculator!E23,tbSkills!DH3:DI6,2,FALSE)+IF(AND(Calculator!B8=TRUE,Backdoors!BI25=TRUE),VLOOKUP(Calculator!E23,tbSkills!DH3:DJ6,3,FALSE),0),0)))/100)),1))*IF(VLOOKUP(A83,tbMoveset!A2:K112,11,FALSE)=TRUE,Backdoors!AC5,1))*FA83,0),"")</f>
        <v>0</v>
      </c>
      <c r="FE83" s="49">
        <f>VLOOKUP(A83,tbMoveset!A2:G112,7,FALSE)*IFERROR(IF(Backdoors!AI12&gt;=0,1+(IF(Calculator!E40&gt;0,VLOOKUP(Calculator!E40,tbSkills!AI3:AJ5,2,FALSE),Backdoors!AL4)*(IF((Backdoors!AI12+IF(EZ83&gt;=0.45,VLOOKUP(Calculator!E23,tbSkills!DH3:DI6,2,FALSE)+IF(AND(Calculator!B8=TRUE,Backdoors!BI25=TRUE),VLOOKUP(Calculator!E23,tbSkills!DH3:DJ6,3,FALSE),0),0))&gt;=100,100,(Backdoors!AI12+IF(EZ83&gt;=0.45,VLOOKUP(Calculator!E23,tbSkills!DH3:DI6,2,FALSE)+IF(AND(Calculator!B8=TRUE,Backdoors!BI25=TRUE),VLOOKUP(Calculator!E23,tbSkills!DH3:DJ6,3,FALSE),0),0)))/100)),1),1)</f>
        <v>0.4</v>
      </c>
      <c r="FF83" s="87">
        <f t="shared" si="73"/>
        <v>0</v>
      </c>
      <c r="FG83" s="86" t="str">
        <f>IFERROR(IF(VLOOKUP(A83,tbMoveset!A2:B112,2,FALSE)="Sever",Backdoors!AY26/100,IF(VLOOKUP(A83,tbMoveset!A2:B112,2,FALSE)="Blunt",Backdoors!AZ26/100,Backdoors!BA26/100)),"")</f>
        <v/>
      </c>
      <c r="FH83" s="49">
        <f>IFERROR(IF(VLOOKUP(tbMoveset!A83,tbMoveset!A2:H112,8,FALSE)="Other",IF(VLOOKUP(tbMoveset!A83,tbMoveset!A2:I112,9,FALSE)="Fire",Backdoors!BB26,IF(VLOOKUP(tbMoveset!A83,tbMoveset!A2:I112,9,FALSE)="Water",Backdoors!BC26,IF(VLOOKUP(tbMoveset!A83,tbMoveset!A2:I112,9,FALSE)="Thunder",Backdoors!BD26,IF(VLOOKUP(tbMoveset!A83,tbMoveset!A2:I112,9,FALSE)="Ice",Backdoors!BE26,IF(VLOOKUP(tbMoveset!A83,tbMoveset!A2:I112,9,FALSE)="Dragon",Backdoors!BF26,Backdoors!BG26)))))/100,Backdoors!BG26/100),"")</f>
        <v>0</v>
      </c>
      <c r="FI83" s="49">
        <f>IFERROR(IF(VLOOKUP(A83,tbMoveset!A2:J112,10,FALSE)=TRUE,IF((Backdoors!AI12+IF(FG83&gt;=0.45,VLOOKUP(Calculator!E23,tbSkills!DH3:DI6,2,FALSE)+IF(AND(Calculator!B8=TRUE,Backdoors!BI26=TRUE),VLOOKUP(Calculator!E23,tbSkills!DH3:DJ6,3,FALSE),0),0))&gt;=0,1+(Backdoors!AL2*(IF((Backdoors!AI12+IF(FG83&gt;=0.45,VLOOKUP(Calculator!E23,tbSkills!DH3:DI6,2,FALSE)+IF(AND(Calculator!B8=TRUE,Backdoors!BI26=TRUE),VLOOKUP(Calculator!E23,tbSkills!DH3:DJ6,3,FALSE),0),0))&gt;=100,100,(Backdoors!AI12+IF(FG83&gt;=0.45,VLOOKUP(Calculator!E23,tbSkills!DH3:DI6,2,FALSE)+IF(AND(Calculator!B8=TRUE,Backdoors!BI26=TRUE),VLOOKUP(Calculator!E23,tbSkills!DH3:DJ6,3,FALSE),0),0)))/100)),(1-(0.25*((-Backdoors!AI12-IF(FG83&gt;=0.45,VLOOKUP(Calculator!E23,tbSkills!DH3:DI6,2,FALSE)+IF(AND(Calculator!B8=TRUE,Backdoors!BI26=TRUE),VLOOKUP(Calculator!E23,tbSkills!DH3:DJ6,3,FALSE),0),0))/100)))),1),"")</f>
        <v>1</v>
      </c>
      <c r="FJ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FG83)*FI83)*(VLOOKUP(A83,tbMoveset!A2:C112,3,FALSE)/100)*IF(VLOOKUP(A83,tbMoveset!A2:B112,2,FALSE)="Projectile",Backdoors!N10,Backdoors!N9),0),"")</f>
        <v/>
      </c>
      <c r="FK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FG83&gt;=0.45,VLOOKUP(Calculator!E23,tbSkills!DH3:DI6,2,FALSE)+IF(AND(Calculator!B8=TRUE,Backdoors!BI26=TRUE),VLOOKUP(Calculator!E23,tbSkills!DH3:DJ6,3,FALSE),0),0))&gt;=100,100,(Backdoors!AI12+IF(FG83&gt;=0.45,VLOOKUP(Calculator!E23,tbSkills!DH3:DI6,2,FALSE)+IF(AND(Calculator!B8=TRUE,Backdoors!BI26=TRUE),VLOOKUP(Calculator!E23,tbSkills!DH3:DJ6,3,FALSE),0),0)))/100)),1))*IF(VLOOKUP(A83,tbMoveset!A2:K112,11,FALSE)=TRUE,Backdoors!AC5,1))*FH83,0),"")</f>
        <v>0</v>
      </c>
      <c r="FL83" s="49">
        <f>VLOOKUP(A83,tbMoveset!A2:G112,7,FALSE)*IFERROR(IF(Backdoors!AI12&gt;=0,1+(IF(Calculator!E40&gt;0,VLOOKUP(Calculator!E40,tbSkills!AI3:AJ5,2,FALSE),Backdoors!AL4)*(IF((Backdoors!AI12+IF(FG83&gt;=0.45,VLOOKUP(Calculator!E23,tbSkills!DH3:DI6,2,FALSE)+IF(AND(Calculator!B8=TRUE,Backdoors!BI26=TRUE),VLOOKUP(Calculator!E23,tbSkills!DH3:DJ6,3,FALSE),0),0))&gt;=100,100,(Backdoors!AI12+IF(FG83&gt;=0.45,VLOOKUP(Calculator!E23,tbSkills!DH3:DI6,2,FALSE)+IF(AND(Calculator!B8=TRUE,Backdoors!BI26=TRUE),VLOOKUP(Calculator!E23,tbSkills!DH3:DJ6,3,FALSE),0),0)))/100)),1),1)</f>
        <v>0.4</v>
      </c>
      <c r="FM83" s="87">
        <f t="shared" si="74"/>
        <v>0</v>
      </c>
      <c r="FN83" s="86" t="str">
        <f>IFERROR(IF(VLOOKUP(A83,tbMoveset!A2:B112,2,FALSE)="Sever",Backdoors!AY27/100,IF(VLOOKUP(A83,tbMoveset!A2:B112,2,FALSE)="Blunt",Backdoors!AZ27/100,Backdoors!BA27/100)),"")</f>
        <v/>
      </c>
      <c r="FO83" s="49">
        <f>IFERROR(IF(VLOOKUP(tbMoveset!A83,tbMoveset!A2:H112,8,FALSE)="Other",IF(VLOOKUP(tbMoveset!A83,tbMoveset!A2:I112,9,FALSE)="Fire",Backdoors!BB27,IF(VLOOKUP(tbMoveset!A83,tbMoveset!A2:I112,9,FALSE)="Water",Backdoors!BC27,IF(VLOOKUP(tbMoveset!A83,tbMoveset!A2:I112,9,FALSE)="Thunder",Backdoors!BD27,IF(VLOOKUP(tbMoveset!A83,tbMoveset!A2:I112,9,FALSE)="Ice",Backdoors!BE27,IF(VLOOKUP(tbMoveset!A83,tbMoveset!A2:I112,9,FALSE)="Dragon",Backdoors!BF27,Backdoors!BG27)))))/100,Backdoors!BG27/100),"")</f>
        <v>0</v>
      </c>
      <c r="FP83" s="49">
        <f>IFERROR(IF(VLOOKUP(A83,tbMoveset!A2:J112,10,FALSE)=TRUE,IF((Backdoors!AI12+IF(FN83&gt;=0.45,VLOOKUP(Calculator!E23,tbSkills!DH3:DI6,2,FALSE)+IF(AND(Calculator!B8=TRUE,Backdoors!BI27=TRUE),VLOOKUP(Calculator!E23,tbSkills!DH3:DJ6,3,FALSE),0),0))&gt;=0,1+(Backdoors!AL2*(IF((Backdoors!AI12+IF(FN83&gt;=0.45,VLOOKUP(Calculator!E23,tbSkills!DH3:DI6,2,FALSE)+IF(AND(Calculator!B8=TRUE,Backdoors!BI27=TRUE),VLOOKUP(Calculator!E23,tbSkills!DH3:DJ6,3,FALSE),0),0))&gt;=100,100,(Backdoors!AI12+IF(FN83&gt;=0.45,VLOOKUP(Calculator!E23,tbSkills!DH3:DI6,2,FALSE)+IF(AND(Calculator!B8=TRUE,Backdoors!BI27=TRUE),VLOOKUP(Calculator!E23,tbSkills!DH3:DJ6,3,FALSE),0),0)))/100)),(1-(0.25*((-Backdoors!AI12-IF(FN83&gt;=0.45,VLOOKUP(Calculator!E23,tbSkills!DH3:DI6,2,FALSE)+IF(AND(Calculator!B8=TRUE,Backdoors!BI27=TRUE),VLOOKUP(Calculator!E23,tbSkills!DH3:DJ6,3,FALSE),0),0))/100)))),1),"")</f>
        <v>1</v>
      </c>
      <c r="FQ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FN83)*FP83)*(VLOOKUP(A83,tbMoveset!A2:C112,3,FALSE)/100)*IF(VLOOKUP(A83,tbMoveset!A2:B112,2,FALSE)="Projectile",Backdoors!N10,Backdoors!N9),0),"")</f>
        <v/>
      </c>
      <c r="FR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FN83&gt;=0.45,VLOOKUP(Calculator!E23,tbSkills!DH3:DI6,2,FALSE)+IF(AND(Calculator!B8=TRUE,Backdoors!BI27=TRUE),VLOOKUP(Calculator!E23,tbSkills!DH3:DJ6,3,FALSE),0),0))&gt;=100,100,(Backdoors!AI12+IF(FN83&gt;=0.45,VLOOKUP(Calculator!E23,tbSkills!DH3:DI6,2,FALSE)+IF(AND(Calculator!B8=TRUE,Backdoors!BI27=TRUE),VLOOKUP(Calculator!E23,tbSkills!DH3:DJ6,3,FALSE),0),0)))/100)),1))*IF(VLOOKUP(A83,tbMoveset!A2:K112,11,FALSE)=TRUE,Backdoors!AC5,1))*FO83,0),"")</f>
        <v>0</v>
      </c>
      <c r="FS83" s="49">
        <f>VLOOKUP(A83,tbMoveset!A2:G112,7,FALSE)*IFERROR(IF(Backdoors!AI12&gt;=0,1+(IF(Calculator!E40&gt;0,VLOOKUP(Calculator!E40,tbSkills!AI3:AJ5,2,FALSE),Backdoors!AL4)*(IF((Backdoors!AI12+IF(FN83&gt;=0.45,VLOOKUP(Calculator!E23,tbSkills!DH3:DI6,2,FALSE)+IF(AND(Calculator!B8=TRUE,Backdoors!BI27=TRUE),VLOOKUP(Calculator!E23,tbSkills!DH3:DJ6,3,FALSE),0),0))&gt;=100,100,(Backdoors!AI12+IF(FN83&gt;=0.45,VLOOKUP(Calculator!E23,tbSkills!DH3:DI6,2,FALSE)+IF(AND(Calculator!B8=TRUE,Backdoors!BI27=TRUE),VLOOKUP(Calculator!E23,tbSkills!DH3:DJ6,3,FALSE),0),0)))/100)),1),1)</f>
        <v>0.4</v>
      </c>
      <c r="FT83" s="87">
        <f t="shared" si="75"/>
        <v>0</v>
      </c>
      <c r="FU83" s="86" t="str">
        <f>IFERROR(IF(VLOOKUP(A83,tbMoveset!A2:B112,2,FALSE)="Sever",Backdoors!AY28/100,IF(VLOOKUP(A83,tbMoveset!A2:B112,2,FALSE)="Blunt",Backdoors!AZ28/100,Backdoors!BA28/100)),"")</f>
        <v/>
      </c>
      <c r="FV83" s="49">
        <f>IFERROR(IF(VLOOKUP(tbMoveset!A83,tbMoveset!A2:H112,8,FALSE)="Other",IF(VLOOKUP(tbMoveset!A83,tbMoveset!A2:I112,9,FALSE)="Fire",Backdoors!BB28,IF(VLOOKUP(tbMoveset!A83,tbMoveset!A2:I112,9,FALSE)="Water",Backdoors!BC28,IF(VLOOKUP(tbMoveset!A83,tbMoveset!A2:I112,9,FALSE)="Thunder",Backdoors!BD28,IF(VLOOKUP(tbMoveset!A83,tbMoveset!A2:I112,9,FALSE)="Ice",Backdoors!BE28,IF(VLOOKUP(tbMoveset!A83,tbMoveset!A2:I112,9,FALSE)="Dragon",Backdoors!BF28,Backdoors!BG28)))))/100,Backdoors!BG28/100),"")</f>
        <v>0</v>
      </c>
      <c r="FW83" s="49">
        <f>IFERROR(IF(VLOOKUP(A83,tbMoveset!A2:J112,10,FALSE)=TRUE,IF((Backdoors!AI12+IF(FU83&gt;=0.45,VLOOKUP(Calculator!E23,tbSkills!DH3:DI6,2,FALSE)+IF(AND(Calculator!B8=TRUE,Backdoors!BI28=TRUE),VLOOKUP(Calculator!E23,tbSkills!DH3:DJ6,3,FALSE),0),0))&gt;=0,1+(Backdoors!AL2*(IF((Backdoors!AI12+IF(FU83&gt;=0.45,VLOOKUP(Calculator!E23,tbSkills!DH3:DI6,2,FALSE)+IF(AND(Calculator!B8=TRUE,Backdoors!BI28=TRUE),VLOOKUP(Calculator!E23,tbSkills!DH3:DJ6,3,FALSE),0),0))&gt;=100,100,(Backdoors!AI12+IF(FU83&gt;=0.45,VLOOKUP(Calculator!E23,tbSkills!DH3:DI6,2,FALSE)+IF(AND(Calculator!B8=TRUE,Backdoors!BI28=TRUE),VLOOKUP(Calculator!E23,tbSkills!DH3:DJ6,3,FALSE),0),0)))/100)),(1-(0.25*((-Backdoors!AI12-IF(FU83&gt;=0.45,VLOOKUP(Calculator!E23,tbSkills!DH3:DI6,2,FALSE)+IF(AND(Calculator!B8=TRUE,Backdoors!BI28=TRUE),VLOOKUP(Calculator!E23,tbSkills!DH3:DJ6,3,FALSE),0),0))/100)))),1),"")</f>
        <v>1</v>
      </c>
      <c r="FX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FU83)*FW83)*(VLOOKUP(A83,tbMoveset!A2:C112,3,FALSE)/100)*IF(VLOOKUP(A83,tbMoveset!A2:B112,2,FALSE)="Projectile",Backdoors!N10,Backdoors!N9),0),"")</f>
        <v/>
      </c>
      <c r="FY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FU83&gt;=0.45,VLOOKUP(Calculator!E23,tbSkills!DH3:DI6,2,FALSE)+IF(AND(Calculator!B8=TRUE,Backdoors!BI28=TRUE),VLOOKUP(Calculator!E23,tbSkills!DH3:DJ6,3,FALSE),0),0))&gt;=100,100,(Backdoors!AI12+IF(FU83&gt;=0.45,VLOOKUP(Calculator!E23,tbSkills!DH3:DI6,2,FALSE)+IF(AND(Calculator!B8=TRUE,Backdoors!BI28=TRUE),VLOOKUP(Calculator!E23,tbSkills!DH3:DJ6,3,FALSE),0),0)))/100)),1))*IF(VLOOKUP(A83,tbMoveset!A2:K112,11,FALSE)=TRUE,Backdoors!AC5,1))*FV83,0),"")</f>
        <v>0</v>
      </c>
      <c r="FZ83" s="49">
        <f>VLOOKUP(A83,tbMoveset!A2:G112,7,FALSE)*IFERROR(IF(Backdoors!AI12&gt;=0,1+(IF(Calculator!E40&gt;0,VLOOKUP(Calculator!E40,tbSkills!AI3:AJ5,2,FALSE),Backdoors!AL4)*(IF((Backdoors!AI12+IF(FU83&gt;=0.45,VLOOKUP(Calculator!E23,tbSkills!DH3:DI6,2,FALSE)+IF(AND(Calculator!B8=TRUE,Backdoors!BI28=TRUE),VLOOKUP(Calculator!E23,tbSkills!DH3:DJ6,3,FALSE),0),0))&gt;=100,100,(Backdoors!AI12+IF(FU83&gt;=0.45,VLOOKUP(Calculator!E23,tbSkills!DH3:DI6,2,FALSE)+IF(AND(Calculator!B8=TRUE,Backdoors!BI28=TRUE),VLOOKUP(Calculator!E23,tbSkills!DH3:DJ6,3,FALSE),0),0)))/100)),1),1)</f>
        <v>0.4</v>
      </c>
      <c r="GA83" s="87">
        <f t="shared" si="76"/>
        <v>0</v>
      </c>
      <c r="GB83" s="86" t="str">
        <f>IFERROR(IF(VLOOKUP(A83,tbMoveset!A2:B112,2,FALSE)="Sever",Backdoors!AY29/100,IF(VLOOKUP(A83,tbMoveset!A2:B112,2,FALSE)="Blunt",Backdoors!AZ29/100,Backdoors!BA29/100)),"")</f>
        <v/>
      </c>
      <c r="GC83" s="49">
        <f>IFERROR(IF(VLOOKUP(tbMoveset!A83,tbMoveset!A2:H112,8,FALSE)="Other",IF(VLOOKUP(tbMoveset!A83,tbMoveset!A2:I112,9,FALSE)="Fire",Backdoors!BB29,IF(VLOOKUP(tbMoveset!A83,tbMoveset!A2:I112,9,FALSE)="Water",Backdoors!BC29,IF(VLOOKUP(tbMoveset!A83,tbMoveset!A2:I112,9,FALSE)="Thunder",Backdoors!BD29,IF(VLOOKUP(tbMoveset!A83,tbMoveset!A2:I112,9,FALSE)="Ice",Backdoors!BE29,IF(VLOOKUP(tbMoveset!A83,tbMoveset!A2:I112,9,FALSE)="Dragon",Backdoors!BF29,Backdoors!BG29)))))/100,Backdoors!BG29/100),"")</f>
        <v>0</v>
      </c>
      <c r="GD83" s="49">
        <f>IFERROR(IF(VLOOKUP(A83,tbMoveset!A2:J112,10,FALSE)=TRUE,IF((Backdoors!AI12+IF(GB83&gt;=0.45,VLOOKUP(Calculator!E23,tbSkills!DH3:DI6,2,FALSE)+IF(AND(Calculator!B8=TRUE,Backdoors!BI29=TRUE),VLOOKUP(Calculator!E23,tbSkills!DH3:DJ6,3,FALSE),0),0))&gt;=0,1+(Backdoors!AL2*(IF((Backdoors!AI12+IF(GB83&gt;=0.45,VLOOKUP(Calculator!E23,tbSkills!DH3:DI6,2,FALSE)+IF(AND(Calculator!B8=TRUE,Backdoors!BI29=TRUE),VLOOKUP(Calculator!E23,tbSkills!DH3:DJ6,3,FALSE),0),0))&gt;=100,100,(Backdoors!AI12+IF(GB83&gt;=0.45,VLOOKUP(Calculator!E23,tbSkills!DH3:DI6,2,FALSE)+IF(AND(Calculator!B8=TRUE,Backdoors!BI29=TRUE),VLOOKUP(Calculator!E23,tbSkills!DH3:DJ6,3,FALSE),0),0)))/100)),(1-(0.25*((-Backdoors!AI12-IF(GB83&gt;=0.45,VLOOKUP(Calculator!E23,tbSkills!DH3:DI6,2,FALSE)+IF(AND(Calculator!B8=TRUE,Backdoors!BI29=TRUE),VLOOKUP(Calculator!E23,tbSkills!DH3:DJ6,3,FALSE),0),0))/100)))),1),"")</f>
        <v>1</v>
      </c>
      <c r="GE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B83)*GD83)*(VLOOKUP(A83,tbMoveset!A2:C112,3,FALSE)/100)*IF(VLOOKUP(A83,tbMoveset!A2:B112,2,FALSE)="Projectile",Backdoors!N10,Backdoors!N9),0),"")</f>
        <v/>
      </c>
      <c r="GF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B83&gt;=0.45,VLOOKUP(Calculator!E23,tbSkills!DH3:DI6,2,FALSE)+IF(AND(Calculator!B8=TRUE,Backdoors!BI29=TRUE),VLOOKUP(Calculator!E23,tbSkills!DH3:DJ6,3,FALSE),0),0))&gt;=100,100,(Backdoors!AI12+IF(GB83&gt;=0.45,VLOOKUP(Calculator!E23,tbSkills!DH3:DI6,2,FALSE)+IF(AND(Calculator!B8=TRUE,Backdoors!BI29=TRUE),VLOOKUP(Calculator!E23,tbSkills!DH3:DJ6,3,FALSE),0),0)))/100)),1))*IF(VLOOKUP(A83,tbMoveset!A2:K112,11,FALSE)=TRUE,Backdoors!AC5,1))*GC83,0),"")</f>
        <v>0</v>
      </c>
      <c r="GG83" s="49">
        <f>VLOOKUP(A83,tbMoveset!A2:G112,7,FALSE)*IFERROR(IF(Backdoors!AI12&gt;=0,1+(IF(Calculator!E40&gt;0,VLOOKUP(Calculator!E40,tbSkills!AI3:AJ5,2,FALSE),Backdoors!AL4)*(IF((Backdoors!AI12+IF(GB83&gt;=0.45,VLOOKUP(Calculator!E23,tbSkills!DH3:DI6,2,FALSE)+IF(AND(Calculator!B8=TRUE,Backdoors!BI29=TRUE),VLOOKUP(Calculator!E23,tbSkills!DH3:DJ6,3,FALSE),0),0))&gt;=100,100,(Backdoors!AI12+IF(GB83&gt;=0.45,VLOOKUP(Calculator!E23,tbSkills!DH3:DI6,2,FALSE)+IF(AND(Calculator!B8=TRUE,Backdoors!BI29=TRUE),VLOOKUP(Calculator!E23,tbSkills!DH3:DJ6,3,FALSE),0),0)))/100)),1),1)</f>
        <v>0.4</v>
      </c>
      <c r="GH83" s="87">
        <f t="shared" si="77"/>
        <v>0</v>
      </c>
      <c r="GI83" s="86" t="str">
        <f>IFERROR(IF(VLOOKUP(A83,tbMoveset!A2:B112,2,FALSE)="Sever",Backdoors!AY30/100,IF(VLOOKUP(A83,tbMoveset!A2:B112,2,FALSE)="Blunt",Backdoors!AZ30/100,Backdoors!BA30/100)),"")</f>
        <v/>
      </c>
      <c r="GJ83" s="49">
        <f>IFERROR(IF(VLOOKUP(tbMoveset!A83,tbMoveset!A2:H112,8,FALSE)="Other",IF(VLOOKUP(tbMoveset!A83,tbMoveset!A2:I112,9,FALSE)="Fire",Backdoors!BB30,IF(VLOOKUP(tbMoveset!A83,tbMoveset!A2:I112,9,FALSE)="Water",Backdoors!BC30,IF(VLOOKUP(tbMoveset!A83,tbMoveset!A2:I112,9,FALSE)="Thunder",Backdoors!BD30,IF(VLOOKUP(tbMoveset!A83,tbMoveset!A2:I112,9,FALSE)="Ice",Backdoors!BE30,IF(VLOOKUP(tbMoveset!A83,tbMoveset!A2:I112,9,FALSE)="Dragon",Backdoors!BF30,Backdoors!BG30)))))/100,Backdoors!BG30/100),"")</f>
        <v>0</v>
      </c>
      <c r="GK83" s="49">
        <f>IFERROR(IF(VLOOKUP(A83,tbMoveset!A2:J112,10,FALSE)=TRUE,IF((Backdoors!AI12+IF(GI83&gt;=0.45,VLOOKUP(Calculator!E23,tbSkills!DH3:DI6,2,FALSE)+IF(AND(Calculator!B8=TRUE,Backdoors!BI30=TRUE),VLOOKUP(Calculator!E23,tbSkills!DH3:DJ6,3,FALSE),0),0))&gt;=0,1+(Backdoors!AL2*(IF((Backdoors!AI12+IF(GI83&gt;=0.45,VLOOKUP(Calculator!E23,tbSkills!DH3:DI6,2,FALSE)+IF(AND(Calculator!B8=TRUE,Backdoors!BI30=TRUE),VLOOKUP(Calculator!E23,tbSkills!DH3:DJ6,3,FALSE),0),0))&gt;=100,100,(Backdoors!AI12+IF(GI83&gt;=0.45,VLOOKUP(Calculator!E23,tbSkills!DH3:DI6,2,FALSE)+IF(AND(Calculator!B8=TRUE,Backdoors!BI30=TRUE),VLOOKUP(Calculator!E23,tbSkills!DH3:DJ6,3,FALSE),0),0)))/100)),(1-(0.25*((-Backdoors!AI12-IF(GI83&gt;=0.45,VLOOKUP(Calculator!E23,tbSkills!DH3:DI6,2,FALSE)+IF(AND(Calculator!B8=TRUE,Backdoors!BI30=TRUE),VLOOKUP(Calculator!E23,tbSkills!DH3:DJ6,3,FALSE),0),0))/100)))),1),"")</f>
        <v>1</v>
      </c>
      <c r="GL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I83)*GK83)*(VLOOKUP(A83,tbMoveset!A2:C112,3,FALSE)/100)*IF(VLOOKUP(A83,tbMoveset!A2:B112,2,FALSE)="Projectile",Backdoors!N10,Backdoors!N9),0),"")</f>
        <v/>
      </c>
      <c r="GM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I83&gt;=0.45,VLOOKUP(Calculator!E23,tbSkills!DH3:DI6,2,FALSE)+IF(AND(Calculator!B8=TRUE,Backdoors!BI30=TRUE),VLOOKUP(Calculator!E23,tbSkills!DH3:DJ6,3,FALSE),0),0))&gt;=100,100,(Backdoors!AI12+IF(GI83&gt;=0.45,VLOOKUP(Calculator!E23,tbSkills!DH3:DI6,2,FALSE)+IF(AND(Calculator!B8=TRUE,Backdoors!BI30=TRUE),VLOOKUP(Calculator!E23,tbSkills!DH3:DJ6,3,FALSE),0),0)))/100)),1))*IF(VLOOKUP(A83,tbMoveset!A2:K112,11,FALSE)=TRUE,Backdoors!AC5,1))*GJ83,0),"")</f>
        <v>0</v>
      </c>
      <c r="GN83" s="49">
        <f>VLOOKUP(A83,tbMoveset!A2:G112,7,FALSE)*IFERROR(IF(Backdoors!AI12&gt;=0,1+(IF(Calculator!E40&gt;0,VLOOKUP(Calculator!E40,tbSkills!AI3:AJ5,2,FALSE),Backdoors!AL4)*(IF((Backdoors!AI12+IF(GI83&gt;=0.45,VLOOKUP(Calculator!E23,tbSkills!DH3:DI6,2,FALSE)+IF(AND(Calculator!B8=TRUE,Backdoors!BI30=TRUE),VLOOKUP(Calculator!E23,tbSkills!DH3:DJ6,3,FALSE),0),0))&gt;=100,100,(Backdoors!AI12+IF(GI83&gt;=0.45,VLOOKUP(Calculator!E23,tbSkills!DH3:DI6,2,FALSE)+IF(AND(Calculator!B8=TRUE,Backdoors!BI30=TRUE),VLOOKUP(Calculator!E23,tbSkills!DH3:DJ6,3,FALSE),0),0)))/100)),1),1)</f>
        <v>0.4</v>
      </c>
      <c r="GO83" s="87">
        <f t="shared" si="78"/>
        <v>0</v>
      </c>
      <c r="GP83" s="86" t="str">
        <f>IFERROR(IF(VLOOKUP(A83,tbMoveset!A2:B112,2,FALSE)="Sever",Backdoors!AY31/100,IF(VLOOKUP(A83,tbMoveset!A2:B112,2,FALSE)="Blunt",Backdoors!AZ31/100,Backdoors!BA31/100)),"")</f>
        <v/>
      </c>
      <c r="GQ83" s="49">
        <f>IFERROR(IF(VLOOKUP(tbMoveset!A83,tbMoveset!A2:H112,8,FALSE)="Other",IF(VLOOKUP(tbMoveset!A83,tbMoveset!A2:I112,9,FALSE)="Fire",Backdoors!BB31,IF(VLOOKUP(tbMoveset!A83,tbMoveset!A2:I112,9,FALSE)="Water",Backdoors!BC31,IF(VLOOKUP(tbMoveset!A83,tbMoveset!A2:I112,9,FALSE)="Thunder",Backdoors!BD31,IF(VLOOKUP(tbMoveset!A83,tbMoveset!A2:I112,9,FALSE)="Ice",Backdoors!BE31,IF(VLOOKUP(tbMoveset!A83,tbMoveset!A2:I112,9,FALSE)="Dragon",Backdoors!BF31,Backdoors!BG31)))))/100,Backdoors!BG31/100),"")</f>
        <v>0</v>
      </c>
      <c r="GR83" s="49">
        <f>IFERROR(IF(VLOOKUP(A83,tbMoveset!A2:J112,10,FALSE)=TRUE,IF((Backdoors!AI12+IF(GP83&gt;=0.45,VLOOKUP(Calculator!E23,tbSkills!DH3:DI6,2,FALSE)+IF(AND(Calculator!B8=TRUE,Backdoors!BI31=TRUE),VLOOKUP(Calculator!E23,tbSkills!DH3:DJ6,3,FALSE),0),0))&gt;=0,1+(Backdoors!AL2*(IF((Backdoors!AI12+IF(GP83&gt;=0.45,VLOOKUP(Calculator!E23,tbSkills!DH3:DI6,2,FALSE)+IF(AND(Calculator!B8=TRUE,Backdoors!BI31=TRUE),VLOOKUP(Calculator!E23,tbSkills!DH3:DJ6,3,FALSE),0),0))&gt;=100,100,(Backdoors!AI12+IF(GP83&gt;=0.45,VLOOKUP(Calculator!E23,tbSkills!DH3:DI6,2,FALSE)+IF(AND(Calculator!B8=TRUE,Backdoors!BI31=TRUE),VLOOKUP(Calculator!E23,tbSkills!DH3:DJ6,3,FALSE),0),0)))/100)),(1-(0.25*((-Backdoors!AI12-IF(GP83&gt;=0.45,VLOOKUP(Calculator!E23,tbSkills!DH3:DI6,2,FALSE)+IF(AND(Calculator!B8=TRUE,Backdoors!BI31=TRUE),VLOOKUP(Calculator!E23,tbSkills!DH3:DJ6,3,FALSE),0),0))/100)))),1),"")</f>
        <v>1</v>
      </c>
      <c r="GS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P83)*GR83)*(VLOOKUP(A83,tbMoveset!A2:C112,3,FALSE)/100)*IF(VLOOKUP(A83,tbMoveset!A2:B112,2,FALSE)="Projectile",Backdoors!N10,Backdoors!N9),0),"")</f>
        <v/>
      </c>
      <c r="GT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P83&gt;=0.45,VLOOKUP(Calculator!E23,tbSkills!DH3:DI6,2,FALSE)+IF(AND(Calculator!B8=TRUE,Backdoors!BI31=TRUE),VLOOKUP(Calculator!E23,tbSkills!DH3:DJ6,3,FALSE),0),0))&gt;=100,100,(Backdoors!AI12+IF(GP83&gt;=0.45,VLOOKUP(Calculator!E23,tbSkills!DH3:DI6,2,FALSE)+IF(AND(Calculator!B8=TRUE,Backdoors!BI31=TRUE),VLOOKUP(Calculator!E23,tbSkills!DH3:DJ6,3,FALSE),0),0)))/100)),1))*IF(VLOOKUP(A83,tbMoveset!A2:K112,11,FALSE)=TRUE,Backdoors!AC5,1))*GQ83,0),"")</f>
        <v>0</v>
      </c>
      <c r="GU83" s="49">
        <f>VLOOKUP(A83,tbMoveset!A2:G112,7,FALSE)*IFERROR(IF(Backdoors!AI12&gt;=0,1+(IF(Calculator!E40&gt;0,VLOOKUP(Calculator!E40,tbSkills!AI3:AJ5,2,FALSE),Backdoors!AL4)*(IF((Backdoors!AI12+IF(GP83&gt;=0.45,VLOOKUP(Calculator!E23,tbSkills!DH3:DI6,2,FALSE)+IF(AND(Calculator!B8=TRUE,Backdoors!BI31=TRUE),VLOOKUP(Calculator!E23,tbSkills!DH3:DJ6,3,FALSE),0),0))&gt;=100,100,(Backdoors!AI12+IF(GP83&gt;=0.45,VLOOKUP(Calculator!E23,tbSkills!DH3:DI6,2,FALSE)+IF(AND(Calculator!B8=TRUE,Backdoors!BI31=TRUE),VLOOKUP(Calculator!E23,tbSkills!DH3:DJ6,3,FALSE),0),0)))/100)),1),1)</f>
        <v>0.4</v>
      </c>
      <c r="GV83" s="87">
        <f t="shared" si="79"/>
        <v>0</v>
      </c>
      <c r="GW83" s="86" t="str">
        <f>IFERROR(IF(VLOOKUP(A83,tbMoveset!A2:B112,2,FALSE)="Sever",Backdoors!AY32/100,IF(VLOOKUP(A83,tbMoveset!A2:B112,2,FALSE)="Blunt",Backdoors!AZ32/100,Backdoors!BA32/100)),"")</f>
        <v/>
      </c>
      <c r="GX83" s="49">
        <f>IFERROR(IF(VLOOKUP(tbMoveset!A83,tbMoveset!A2:H112,8,FALSE)="Other",IF(VLOOKUP(tbMoveset!A83,tbMoveset!A2:I112,9,FALSE)="Fire",Backdoors!BB32,IF(VLOOKUP(tbMoveset!A83,tbMoveset!A2:I112,9,FALSE)="Water",Backdoors!BC32,IF(VLOOKUP(tbMoveset!A83,tbMoveset!A2:I112,9,FALSE)="Thunder",Backdoors!BD32,IF(VLOOKUP(tbMoveset!A83,tbMoveset!A2:I112,9,FALSE)="Ice",Backdoors!BE32,IF(VLOOKUP(tbMoveset!A83,tbMoveset!A2:I112,9,FALSE)="Dragon",Backdoors!BF32,Backdoors!BG32)))))/100,Backdoors!BG32/100),"")</f>
        <v>0</v>
      </c>
      <c r="GY83" s="49">
        <f>IFERROR(IF(VLOOKUP(A83,tbMoveset!A2:J112,10,FALSE)=TRUE,IF((Backdoors!AI12+IF(GW83&gt;=0.45,VLOOKUP(Calculator!E23,tbSkills!DH3:DI6,2,FALSE)+IF(AND(Calculator!B8=TRUE,Backdoors!BI32=TRUE),VLOOKUP(Calculator!E23,tbSkills!DH3:DJ6,3,FALSE),0),0))&gt;=0,1+(Backdoors!AL2*(IF((Backdoors!AI12+IF(GW83&gt;=0.45,VLOOKUP(Calculator!E23,tbSkills!DH3:DI6,2,FALSE)+IF(AND(Calculator!B8=TRUE,Backdoors!BI32=TRUE),VLOOKUP(Calculator!E23,tbSkills!DH3:DJ6,3,FALSE),0),0))&gt;=100,100,(Backdoors!AI12+IF(GW83&gt;=0.45,VLOOKUP(Calculator!E23,tbSkills!DH3:DI6,2,FALSE)+IF(AND(Calculator!B8=TRUE,Backdoors!BI32=TRUE),VLOOKUP(Calculator!E23,tbSkills!DH3:DJ6,3,FALSE),0),0)))/100)),(1-(0.25*((-Backdoors!AI12-IF(GW83&gt;=0.45,VLOOKUP(Calculator!E23,tbSkills!DH3:DI6,2,FALSE)+IF(AND(Calculator!B8=TRUE,Backdoors!BI32=TRUE),VLOOKUP(Calculator!E23,tbSkills!DH3:DJ6,3,FALSE),0),0))/100)))),1),"")</f>
        <v>1</v>
      </c>
      <c r="GZ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W83)*GY83)*(VLOOKUP(A83,tbMoveset!A2:C112,3,FALSE)/100)*IF(VLOOKUP(A83,tbMoveset!A2:B112,2,FALSE)="Projectile",Backdoors!N10,Backdoors!N9),0),"")</f>
        <v/>
      </c>
      <c r="HA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W83&gt;=0.45,VLOOKUP(Calculator!E23,tbSkills!DH3:DI6,2,FALSE)+IF(AND(Calculator!B8=TRUE,Backdoors!BI32=TRUE),VLOOKUP(Calculator!E23,tbSkills!DH3:DJ6,3,FALSE),0),0))&gt;=100,100,(Backdoors!AI12+IF(GW83&gt;=0.45,VLOOKUP(Calculator!E23,tbSkills!DH3:DI6,2,FALSE)+IF(AND(Calculator!B8=TRUE,Backdoors!BI32=TRUE),VLOOKUP(Calculator!E23,tbSkills!DH3:DJ6,3,FALSE),0),0)))/100)),1))*IF(VLOOKUP(A83,tbMoveset!A2:K112,11,FALSE)=TRUE,Backdoors!AC5,1))*GX83,0),"")</f>
        <v>0</v>
      </c>
      <c r="HB83" s="49">
        <f>VLOOKUP(A83,tbMoveset!A2:G112,7,FALSE)*IFERROR(IF(Backdoors!AI12&gt;=0,1+(IF(Calculator!E40&gt;0,VLOOKUP(Calculator!E40,tbSkills!AI3:AJ5,2,FALSE),Backdoors!AL4)*(IF((Backdoors!AI12+IF(GW83&gt;=0.45,VLOOKUP(Calculator!E23,tbSkills!DH3:DI6,2,FALSE)+IF(AND(Calculator!B8=TRUE,Backdoors!BI32=TRUE),VLOOKUP(Calculator!E23,tbSkills!DH3:DJ6,3,FALSE),0),0))&gt;=100,100,(Backdoors!AI12+IF(GW83&gt;=0.45,VLOOKUP(Calculator!E23,tbSkills!DH3:DI6,2,FALSE)+IF(AND(Calculator!B8=TRUE,Backdoors!BI32=TRUE),VLOOKUP(Calculator!E23,tbSkills!DH3:DJ6,3,FALSE),0),0)))/100)),1),1)</f>
        <v>0.4</v>
      </c>
      <c r="HC83" s="87">
        <f t="shared" si="80"/>
        <v>0</v>
      </c>
      <c r="HD83" s="86" t="str">
        <f>IFERROR(IF(VLOOKUP(A83,tbMoveset!A2:B112,2,FALSE)="Sever",Backdoors!AY33/100,IF(VLOOKUP(A83,tbMoveset!A2:B112,2,FALSE)="Blunt",Backdoors!AZ33/100,Backdoors!BA33/100)),"")</f>
        <v/>
      </c>
      <c r="HE83" s="49">
        <f>IFERROR(IF(VLOOKUP(tbMoveset!A83,tbMoveset!A2:H112,8,FALSE)="Other",IF(VLOOKUP(tbMoveset!A83,tbMoveset!A2:I112,9,FALSE)="Fire",Backdoors!BB33,IF(VLOOKUP(tbMoveset!A83,tbMoveset!A2:I112,9,FALSE)="Water",Backdoors!BC33,IF(VLOOKUP(tbMoveset!A83,tbMoveset!A2:I112,9,FALSE)="Thunder",Backdoors!BD33,IF(VLOOKUP(tbMoveset!A83,tbMoveset!A2:I112,9,FALSE)="Ice",Backdoors!BE33,IF(VLOOKUP(tbMoveset!A83,tbMoveset!A2:I112,9,FALSE)="Dragon",Backdoors!BF33,Backdoors!BG33)))))/100,Backdoors!BG33/100),"")</f>
        <v>0</v>
      </c>
      <c r="HF83" s="49">
        <f>IFERROR(IF(VLOOKUP(A83,tbMoveset!A2:J112,10,FALSE)=TRUE,IF((Backdoors!AI12+IF(HD83&gt;=0.45,VLOOKUP(Calculator!E23,tbSkills!DH3:DI6,2,FALSE)+IF(AND(Calculator!B8=TRUE,Backdoors!BI33=TRUE),VLOOKUP(Calculator!E23,tbSkills!DH3:DJ6,3,FALSE),0),0))&gt;=0,1+(Backdoors!AL2*(IF((Backdoors!AI12+IF(HD83&gt;=0.45,VLOOKUP(Calculator!E23,tbSkills!DH3:DI6,2,FALSE)+IF(AND(Calculator!B8=TRUE,Backdoors!BI33=TRUE),VLOOKUP(Calculator!E23,tbSkills!DH3:DJ6,3,FALSE),0),0))&gt;=100,100,(Backdoors!AI12+IF(HD83&gt;=0.45,VLOOKUP(Calculator!E23,tbSkills!DH3:DI6,2,FALSE)+IF(AND(Calculator!B8=TRUE,Backdoors!BI33=TRUE),VLOOKUP(Calculator!E23,tbSkills!DH3:DJ6,3,FALSE),0),0)))/100)),(1-(0.25*((-Backdoors!AI12-IF(HD83&gt;=0.45,VLOOKUP(Calculator!E23,tbSkills!DH3:DI6,2,FALSE)+IF(AND(Calculator!B8=TRUE,Backdoors!BI33=TRUE),VLOOKUP(Calculator!E23,tbSkills!DH3:DJ6,3,FALSE),0),0))/100)))),1),"")</f>
        <v>1</v>
      </c>
      <c r="HG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D83)*HF83)*(VLOOKUP(A83,tbMoveset!A2:C112,3,FALSE)/100)*IF(VLOOKUP(A83,tbMoveset!A2:B112,2,FALSE)="Projectile",Backdoors!N10,Backdoors!N9),0),"")</f>
        <v/>
      </c>
      <c r="HH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D83&gt;=0.45,VLOOKUP(Calculator!E23,tbSkills!DH3:DI6,2,FALSE)+IF(AND(Calculator!B8=TRUE,Backdoors!BI33=TRUE),VLOOKUP(Calculator!E23,tbSkills!DH3:DJ6,3,FALSE),0),0))&gt;=100,100,(Backdoors!AI12+IF(HD83&gt;=0.45,VLOOKUP(Calculator!E23,tbSkills!DH3:DI6,2,FALSE)+IF(AND(Calculator!B8=TRUE,Backdoors!BI33=TRUE),VLOOKUP(Calculator!E23,tbSkills!DH3:DJ6,3,FALSE),0),0)))/100)),1))*IF(VLOOKUP(A83,tbMoveset!A2:K112,11,FALSE)=TRUE,Backdoors!AC5,1))*HE83,0),"")</f>
        <v>0</v>
      </c>
      <c r="HI83" s="49">
        <f>VLOOKUP(A83,tbMoveset!A2:G112,7,FALSE)*IFERROR(IF(Backdoors!AI12&gt;=0,1+(IF(Calculator!E40&gt;0,VLOOKUP(Calculator!E40,tbSkills!AI3:AJ5,2,FALSE),Backdoors!AL4)*(IF((Backdoors!AI12+IF(HD83&gt;=0.45,VLOOKUP(Calculator!E23,tbSkills!DH3:DI6,2,FALSE)+IF(AND(Calculator!B8=TRUE,Backdoors!BI33=TRUE),VLOOKUP(Calculator!E23,tbSkills!DH3:DJ6,3,FALSE),0),0))&gt;=100,100,(Backdoors!AI12+IF(HD83&gt;=0.45,VLOOKUP(Calculator!E23,tbSkills!DH3:DI6,2,FALSE)+IF(AND(Calculator!B8=TRUE,Backdoors!BI33=TRUE),VLOOKUP(Calculator!E23,tbSkills!DH3:DJ6,3,FALSE),0),0)))/100)),1),1)</f>
        <v>0.4</v>
      </c>
      <c r="HJ83" s="87">
        <f t="shared" si="81"/>
        <v>0</v>
      </c>
      <c r="HK83" s="86" t="str">
        <f>IFERROR(IF(VLOOKUP(A83,tbMoveset!A2:B112,2,FALSE)="Sever",Backdoors!AY34/100,IF(VLOOKUP(A83,tbMoveset!A2:B112,2,FALSE)="Blunt",Backdoors!AZ34/100,Backdoors!BA34/100)),"")</f>
        <v/>
      </c>
      <c r="HL83" s="49">
        <f>IFERROR(IF(VLOOKUP(tbMoveset!A83,tbMoveset!A2:H112,8,FALSE)="Other",IF(VLOOKUP(tbMoveset!A83,tbMoveset!A2:I112,9,FALSE)="Fire",Backdoors!BB34,IF(VLOOKUP(tbMoveset!A83,tbMoveset!A2:I112,9,FALSE)="Water",Backdoors!BC34,IF(VLOOKUP(tbMoveset!A83,tbMoveset!A2:I112,9,FALSE)="Thunder",Backdoors!BD34,IF(VLOOKUP(tbMoveset!A83,tbMoveset!A2:I112,9,FALSE)="Ice",Backdoors!BE34,IF(VLOOKUP(tbMoveset!A83,tbMoveset!A2:I112,9,FALSE)="Dragon",Backdoors!BF34,Backdoors!BG34)))))/100,Backdoors!BG34/100),"")</f>
        <v>0</v>
      </c>
      <c r="HM83" s="49">
        <f>IFERROR(IF(VLOOKUP(A83,tbMoveset!A2:J112,10,FALSE)=TRUE,IF((Backdoors!AI12+IF(HK83&gt;=0.45,VLOOKUP(Calculator!E23,tbSkills!DH3:DI6,2,FALSE)+IF(AND(Calculator!B8=TRUE,Backdoors!BI34=TRUE),VLOOKUP(Calculator!E23,tbSkills!DH3:DJ6,3,FALSE),0),0))&gt;=0,1+(Backdoors!AL2*(IF((Backdoors!AI12+IF(HK83&gt;=0.45,VLOOKUP(Calculator!E23,tbSkills!DH3:DI6,2,FALSE)+IF(AND(Calculator!B8=TRUE,Backdoors!BI34=TRUE),VLOOKUP(Calculator!E23,tbSkills!DH3:DJ6,3,FALSE),0),0))&gt;=100,100,(Backdoors!AI12+IF(HK83&gt;=0.45,VLOOKUP(Calculator!E23,tbSkills!DH3:DI6,2,FALSE)+IF(AND(Calculator!B8=TRUE,Backdoors!BI34=TRUE),VLOOKUP(Calculator!E23,tbSkills!DH3:DJ6,3,FALSE),0),0)))/100)),(1-(0.25*((-Backdoors!AI12-IF(HK83&gt;=0.45,VLOOKUP(Calculator!E23,tbSkills!DH3:DI6,2,FALSE)+IF(AND(Calculator!B8=TRUE,Backdoors!BI34=TRUE),VLOOKUP(Calculator!E23,tbSkills!DH3:DJ6,3,FALSE),0),0))/100)))),1),"")</f>
        <v>1</v>
      </c>
      <c r="HN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K83)*HM83)*(VLOOKUP(A83,tbMoveset!A2:C112,3,FALSE)/100)*IF(VLOOKUP(A83,tbMoveset!A2:B112,2,FALSE)="Projectile",Backdoors!N10,Backdoors!N9),0),"")</f>
        <v/>
      </c>
      <c r="HO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K83&gt;=0.45,VLOOKUP(Calculator!E23,tbSkills!DH3:DI6,2,FALSE)+IF(AND(Calculator!B8=TRUE,Backdoors!BI34=TRUE),VLOOKUP(Calculator!E23,tbSkills!DH3:DJ6,3,FALSE),0),0))&gt;=100,100,(Backdoors!AI12+IF(HK83&gt;=0.45,VLOOKUP(Calculator!E23,tbSkills!DH3:DI6,2,FALSE)+IF(AND(Calculator!B8=TRUE,Backdoors!BI34=TRUE),VLOOKUP(Calculator!E23,tbSkills!DH3:DJ6,3,FALSE),0),0)))/100)),1))*IF(VLOOKUP(A83,tbMoveset!A2:K112,11,FALSE)=TRUE,Backdoors!AC5,1))*HL83,0),"")</f>
        <v>0</v>
      </c>
      <c r="HP83" s="49">
        <f>VLOOKUP(A83,tbMoveset!A2:G112,7,FALSE)*IFERROR(IF(Backdoors!AI12&gt;=0,1+(IF(Calculator!E40&gt;0,VLOOKUP(Calculator!E40,tbSkills!AI3:AJ5,2,FALSE),Backdoors!AL4)*(IF((Backdoors!AI12+IF(HK83&gt;=0.45,VLOOKUP(Calculator!E23,tbSkills!DH3:DI6,2,FALSE)+IF(AND(Calculator!B8=TRUE,Backdoors!BI34=TRUE),VLOOKUP(Calculator!E23,tbSkills!DH3:DJ6,3,FALSE),0),0))&gt;=100,100,(Backdoors!AI12+IF(HK83&gt;=0.45,VLOOKUP(Calculator!E23,tbSkills!DH3:DI6,2,FALSE)+IF(AND(Calculator!B8=TRUE,Backdoors!BI34=TRUE),VLOOKUP(Calculator!E23,tbSkills!DH3:DJ6,3,FALSE),0),0)))/100)),1),1)</f>
        <v>0.4</v>
      </c>
      <c r="HQ83" s="87">
        <f t="shared" si="82"/>
        <v>0</v>
      </c>
      <c r="HR83" s="86" t="str">
        <f>IFERROR(IF(VLOOKUP(A83,tbMoveset!A2:B112,2,FALSE)="Sever",Backdoors!AY35/100,IF(VLOOKUP(A83,tbMoveset!A2:B112,2,FALSE)="Blunt",Backdoors!AZ35/100,Backdoors!BA35/100)),"")</f>
        <v/>
      </c>
      <c r="HS83" s="49">
        <f>IFERROR(IF(VLOOKUP(tbMoveset!A83,tbMoveset!A2:H112,8,FALSE)="Other",IF(VLOOKUP(tbMoveset!A83,tbMoveset!A2:I112,9,FALSE)="Fire",Backdoors!BB35,IF(VLOOKUP(tbMoveset!A83,tbMoveset!A2:I112,9,FALSE)="Water",Backdoors!BC35,IF(VLOOKUP(tbMoveset!A83,tbMoveset!A2:I112,9,FALSE)="Thunder",Backdoors!BD35,IF(VLOOKUP(tbMoveset!A83,tbMoveset!A2:I112,9,FALSE)="Ice",Backdoors!BE35,IF(VLOOKUP(tbMoveset!A83,tbMoveset!A2:I112,9,FALSE)="Dragon",Backdoors!BF35,Backdoors!BG35)))))/100,Backdoors!BG35/100),"")</f>
        <v>0</v>
      </c>
      <c r="HT83" s="49">
        <f>IFERROR(IF(VLOOKUP(A83,tbMoveset!A2:J112,10,FALSE)=TRUE,IF((Backdoors!AI12+IF(HR83&gt;=0.45,VLOOKUP(Calculator!E23,tbSkills!DH3:DI6,2,FALSE)+IF(AND(Calculator!B8=TRUE,Backdoors!BI35=TRUE),VLOOKUP(Calculator!E23,tbSkills!DH3:DJ6,3,FALSE),0),0))&gt;=0,1+(Backdoors!AL2*(IF((Backdoors!AI12+IF(HR83&gt;=0.45,VLOOKUP(Calculator!E23,tbSkills!DH3:DI6,2,FALSE)+IF(AND(Calculator!B8=TRUE,Backdoors!BI35=TRUE),VLOOKUP(Calculator!E23,tbSkills!DH3:DJ6,3,FALSE),0),0))&gt;=100,100,(Backdoors!AI12+IF(HR83&gt;=0.45,VLOOKUP(Calculator!E23,tbSkills!DH3:DI6,2,FALSE)+IF(AND(Calculator!B8=TRUE,Backdoors!BI35=TRUE),VLOOKUP(Calculator!E23,tbSkills!DH3:DJ6,3,FALSE),0),0)))/100)),(1-(0.25*((-Backdoors!AI12-IF(HR83&gt;=0.45,VLOOKUP(Calculator!E23,tbSkills!DH3:DI6,2,FALSE)+IF(AND(Calculator!B8=TRUE,Backdoors!BI35=TRUE),VLOOKUP(Calculator!E23,tbSkills!DH3:DJ6,3,FALSE),0),0))/100)))),1),"")</f>
        <v>1</v>
      </c>
      <c r="HU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R83)*HT83)*(VLOOKUP(A83,tbMoveset!A2:C112,3,FALSE)/100)*IF(VLOOKUP(A83,tbMoveset!A2:B112,2,FALSE)="Projectile",Backdoors!N10,Backdoors!N9),0),"")</f>
        <v/>
      </c>
      <c r="HV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R83&gt;=0.45,VLOOKUP(Calculator!E23,tbSkills!DH3:DI6,2,FALSE)+IF(AND(Calculator!B8=TRUE,Backdoors!BI35=TRUE),VLOOKUP(Calculator!E23,tbSkills!DH3:DJ6,3,FALSE),0),0))&gt;=100,100,(Backdoors!AI12+IF(HR83&gt;=0.45,VLOOKUP(Calculator!E23,tbSkills!DH3:DI6,2,FALSE)+IF(AND(Calculator!B8=TRUE,Backdoors!BI35=TRUE),VLOOKUP(Calculator!E23,tbSkills!DH3:DJ6,3,FALSE),0),0)))/100)),1))*IF(VLOOKUP(A83,tbMoveset!A2:K112,11,FALSE)=TRUE,Backdoors!AC5,1))*HS83,0),"")</f>
        <v>0</v>
      </c>
      <c r="HW83" s="49">
        <f>VLOOKUP(A83,tbMoveset!A2:G112,7,FALSE)*IFERROR(IF(Backdoors!AI12&gt;=0,1+(IF(Calculator!E40&gt;0,VLOOKUP(Calculator!E40,tbSkills!AI3:AJ5,2,FALSE),Backdoors!AL4)*(IF((Backdoors!AI12+IF(HR83&gt;=0.45,VLOOKUP(Calculator!E23,tbSkills!DH3:DI6,2,FALSE)+IF(AND(Calculator!B8=TRUE,Backdoors!BI35=TRUE),VLOOKUP(Calculator!E23,tbSkills!DH3:DJ6,3,FALSE),0),0))&gt;=100,100,(Backdoors!AI12+IF(HR83&gt;=0.45,VLOOKUP(Calculator!E23,tbSkills!DH3:DI6,2,FALSE)+IF(AND(Calculator!B8=TRUE,Backdoors!BI35=TRUE),VLOOKUP(Calculator!E23,tbSkills!DH3:DJ6,3,FALSE),0),0)))/100)),1),1)</f>
        <v>0.4</v>
      </c>
      <c r="HX83" s="87">
        <f t="shared" si="83"/>
        <v>0</v>
      </c>
      <c r="HY83" s="86" t="str">
        <f>IFERROR(IF(VLOOKUP(A83,tbMoveset!A2:B112,2,FALSE)="Sever",Backdoors!AY36/100,IF(VLOOKUP(A83,tbMoveset!A2:B112,2,FALSE)="Blunt",Backdoors!AZ36/100,Backdoors!BA36/100)),"")</f>
        <v/>
      </c>
      <c r="HZ83" s="49">
        <f>IFERROR(IF(VLOOKUP(tbMoveset!A83,tbMoveset!A2:H112,8,FALSE)="Other",IF(VLOOKUP(tbMoveset!A83,tbMoveset!A2:I112,9,FALSE)="Fire",Backdoors!BB36,IF(VLOOKUP(tbMoveset!A83,tbMoveset!A2:I112,9,FALSE)="Water",Backdoors!BC36,IF(VLOOKUP(tbMoveset!A83,tbMoveset!A2:I112,9,FALSE)="Thunder",Backdoors!BD36,IF(VLOOKUP(tbMoveset!A83,tbMoveset!A2:I112,9,FALSE)="Ice",Backdoors!BE36,IF(VLOOKUP(tbMoveset!A83,tbMoveset!A2:I112,9,FALSE)="Dragon",Backdoors!BF36,Backdoors!BG36)))))/100,Backdoors!BG36/100),"")</f>
        <v>0</v>
      </c>
      <c r="IA83" s="49">
        <f>IFERROR(IF(VLOOKUP(A83,tbMoveset!A2:J112,10,FALSE)=TRUE,IF((Backdoors!AI12+IF(HY83&gt;=0.45,VLOOKUP(Calculator!E23,tbSkills!DH3:DI6,2,FALSE)+IF(AND(Calculator!B8=TRUE,Backdoors!BI36=TRUE),VLOOKUP(Calculator!E23,tbSkills!DH3:DJ6,3,FALSE),0),0))&gt;=0,1+(Backdoors!AL2*(IF((Backdoors!AI12+IF(HY83&gt;=0.45,VLOOKUP(Calculator!E23,tbSkills!DH3:DI6,2,FALSE)+IF(AND(Calculator!B8=TRUE,Backdoors!BI36=TRUE),VLOOKUP(Calculator!E23,tbSkills!DH3:DJ6,3,FALSE),0),0))&gt;=100,100,(Backdoors!AI12+IF(HY83&gt;=0.45,VLOOKUP(Calculator!E23,tbSkills!DH3:DI6,2,FALSE)+IF(AND(Calculator!B8=TRUE,Backdoors!BI36=TRUE),VLOOKUP(Calculator!E23,tbSkills!DH3:DJ6,3,FALSE),0),0)))/100)),(1-(0.25*((-Backdoors!AI12-IF(HY83&gt;=0.45,VLOOKUP(Calculator!E23,tbSkills!DH3:DI6,2,FALSE)+IF(AND(Calculator!B8=TRUE,Backdoors!BI36=TRUE),VLOOKUP(Calculator!E23,tbSkills!DH3:DJ6,3,FALSE),0),0))/100)))),1),"")</f>
        <v>1</v>
      </c>
      <c r="IB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Y83)*IA83)*(VLOOKUP(A83,tbMoveset!A2:C112,3,FALSE)/100)*IF(VLOOKUP(A83,tbMoveset!A2:B112,2,FALSE)="Projectile",Backdoors!N10,Backdoors!N9),0),"")</f>
        <v/>
      </c>
      <c r="IC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Y83&gt;=0.45,VLOOKUP(Calculator!E23,tbSkills!DH3:DI6,2,FALSE)+IF(AND(Calculator!B8=TRUE,Backdoors!BI36=TRUE),VLOOKUP(Calculator!E23,tbSkills!DH3:DJ6,3,FALSE),0),0))&gt;=100,100,(Backdoors!AI12+IF(HY83&gt;=0.45,VLOOKUP(Calculator!E23,tbSkills!DH3:DI6,2,FALSE)+IF(AND(Calculator!B8=TRUE,Backdoors!BI36=TRUE),VLOOKUP(Calculator!E23,tbSkills!DH3:DJ6,3,FALSE),0),0)))/100)),1))*IF(VLOOKUP(A83,tbMoveset!A2:K112,11,FALSE)=TRUE,Backdoors!AC5,1))*HZ83,0),"")</f>
        <v>0</v>
      </c>
      <c r="ID83" s="49">
        <f>VLOOKUP(A83,tbMoveset!A2:G112,7,FALSE)*IFERROR(IF(Backdoors!AI12&gt;=0,1+(IF(Calculator!E40&gt;0,VLOOKUP(Calculator!E40,tbSkills!AI3:AJ5,2,FALSE),Backdoors!AL4)*(IF((Backdoors!AI12+IF(HY83&gt;=0.45,VLOOKUP(Calculator!E23,tbSkills!DH3:DI6,2,FALSE)+IF(AND(Calculator!B8=TRUE,Backdoors!BI36=TRUE),VLOOKUP(Calculator!E23,tbSkills!DH3:DJ6,3,FALSE),0),0))&gt;=100,100,(Backdoors!AI12+IF(HY83&gt;=0.45,VLOOKUP(Calculator!E23,tbSkills!DH3:DI6,2,FALSE)+IF(AND(Calculator!B8=TRUE,Backdoors!BI36=TRUE),VLOOKUP(Calculator!E23,tbSkills!DH3:DJ6,3,FALSE),0),0)))/100)),1),1)</f>
        <v>0.4</v>
      </c>
      <c r="IE83" s="87">
        <f t="shared" si="84"/>
        <v>0</v>
      </c>
      <c r="IF83" s="86" t="str">
        <f>IFERROR(IF(VLOOKUP(A83,tbMoveset!A2:B112,2,FALSE)="Sever",Backdoors!AY37/100,IF(VLOOKUP(A83,tbMoveset!A2:B112,2,FALSE)="Blunt",Backdoors!AZ37/100,Backdoors!BA37/100)),"")</f>
        <v/>
      </c>
      <c r="IG83" s="49">
        <f>IFERROR(IF(VLOOKUP(tbMoveset!A83,tbMoveset!A2:H112,8,FALSE)="Other",IF(VLOOKUP(tbMoveset!A83,tbMoveset!A2:I112,9,FALSE)="Fire",Backdoors!BB37,IF(VLOOKUP(tbMoveset!A83,tbMoveset!A2:I112,9,FALSE)="Water",Backdoors!BC37,IF(VLOOKUP(tbMoveset!A83,tbMoveset!A2:I112,9,FALSE)="Thunder",Backdoors!BD37,IF(VLOOKUP(tbMoveset!A83,tbMoveset!A2:I112,9,FALSE)="Ice",Backdoors!BE37,IF(VLOOKUP(tbMoveset!A83,tbMoveset!A2:I112,9,FALSE)="Dragon",Backdoors!BF37,Backdoors!BG37)))))/100,Backdoors!BG37/100),"")</f>
        <v>0</v>
      </c>
      <c r="IH83" s="49">
        <f>IFERROR(IF(VLOOKUP(A83,tbMoveset!A2:J112,10,FALSE)=TRUE,IF((Backdoors!AI12+IF(IF83&gt;=0.45,VLOOKUP(Calculator!E23,tbSkills!DH3:DI6,2,FALSE)+IF(AND(Calculator!B8=TRUE,Backdoors!BI37=TRUE),VLOOKUP(Calculator!E23,tbSkills!DH3:DJ6,3,FALSE),0),0))&gt;=0,1+(Backdoors!AL2*(IF((Backdoors!AI12+IF(IF83&gt;=0.45,VLOOKUP(Calculator!E23,tbSkills!DH3:DI6,2,FALSE)+IF(AND(Calculator!B8=TRUE,Backdoors!BI37=TRUE),VLOOKUP(Calculator!E23,tbSkills!DH3:DJ6,3,FALSE),0),0))&gt;=100,100,(Backdoors!AI12+IF(IF83&gt;=0.45,VLOOKUP(Calculator!E23,tbSkills!DH3:DI6,2,FALSE)+IF(AND(Calculator!B8=TRUE,Backdoors!BI37=TRUE),VLOOKUP(Calculator!E23,tbSkills!DH3:DJ6,3,FALSE),0),0)))/100)),(1-(0.25*((-Backdoors!AI12-IF(IF83&gt;=0.45,VLOOKUP(Calculator!E23,tbSkills!DH3:DI6,2,FALSE)+IF(AND(Calculator!B8=TRUE,Backdoors!BI37=TRUE),VLOOKUP(Calculator!E23,tbSkills!DH3:DJ6,3,FALSE),0),0))/100)))),1),"")</f>
        <v>1</v>
      </c>
      <c r="II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F83)*IH83)*(VLOOKUP(A83,tbMoveset!A2:C112,3,FALSE)/100)*IF(VLOOKUP(A83,tbMoveset!A2:B112,2,FALSE)="Projectile",Backdoors!N10,Backdoors!N9),0),"")</f>
        <v/>
      </c>
      <c r="IJ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IF83&gt;=0.45,VLOOKUP(Calculator!E23,tbSkills!DH3:DI6,2,FALSE)+IF(AND(Calculator!B8=TRUE,Backdoors!BI37=TRUE),VLOOKUP(Calculator!E23,tbSkills!DH3:DJ6,3,FALSE),0),0))&gt;=100,100,(Backdoors!AI12+IF(IF83&gt;=0.45,VLOOKUP(Calculator!E23,tbSkills!DH3:DI6,2,FALSE)+IF(AND(Calculator!B8=TRUE,Backdoors!BI37=TRUE),VLOOKUP(Calculator!E23,tbSkills!DH3:DJ6,3,FALSE),0),0)))/100)),1))*IF(VLOOKUP(A83,tbMoveset!A2:K112,11,FALSE)=TRUE,Backdoors!AC5,1))*IG83,0),"")</f>
        <v>0</v>
      </c>
      <c r="IK83" s="49">
        <f>VLOOKUP(A83,tbMoveset!A2:G112,7,FALSE)*IFERROR(IF(Backdoors!AI12&gt;=0,1+(IF(Calculator!E40&gt;0,VLOOKUP(Calculator!E40,tbSkills!AI3:AJ5,2,FALSE),Backdoors!AL4)*(IF((Backdoors!AI12+IF(IF83&gt;=0.45,VLOOKUP(Calculator!E23,tbSkills!DH3:DI6,2,FALSE)+IF(AND(Calculator!B8=TRUE,Backdoors!BI37=TRUE),VLOOKUP(Calculator!E23,tbSkills!DH3:DJ6,3,FALSE),0),0))&gt;=100,100,(Backdoors!AI12+IF(IF83&gt;=0.45,VLOOKUP(Calculator!E23,tbSkills!DH3:DI6,2,FALSE)+IF(AND(Calculator!B8=TRUE,Backdoors!BI37=TRUE),VLOOKUP(Calculator!E23,tbSkills!DH3:DJ6,3,FALSE),0),0)))/100)),1),1)</f>
        <v>0.4</v>
      </c>
      <c r="IL83" s="87">
        <f t="shared" si="85"/>
        <v>0</v>
      </c>
      <c r="IM83" s="86" t="str">
        <f>IFERROR(IF(VLOOKUP(A83,tbMoveset!A2:B112,2,FALSE)="Sever",Backdoors!AY38/100,IF(VLOOKUP(A83,tbMoveset!A2:B112,2,FALSE)="Blunt",Backdoors!AZ38/100,Backdoors!BA38/100)),"")</f>
        <v/>
      </c>
      <c r="IN83" s="49">
        <f>IFERROR(IF(VLOOKUP(tbMoveset!A83,tbMoveset!A2:H112,8,FALSE)="Other",IF(VLOOKUP(tbMoveset!A83,tbMoveset!A2:I112,9,FALSE)="Fire",Backdoors!BB38,IF(VLOOKUP(tbMoveset!A83,tbMoveset!A2:I112,9,FALSE)="Water",Backdoors!BC38,IF(VLOOKUP(tbMoveset!A83,tbMoveset!A2:I112,9,FALSE)="Thunder",Backdoors!BD38,IF(VLOOKUP(tbMoveset!A83,tbMoveset!A2:I112,9,FALSE)="Ice",Backdoors!BE38,IF(VLOOKUP(tbMoveset!A83,tbMoveset!A2:I112,9,FALSE)="Dragon",Backdoors!BF38,Backdoors!BG38)))))/100,Backdoors!BG38/100),"")</f>
        <v>0</v>
      </c>
      <c r="IO83" s="49">
        <f>IFERROR(IF(VLOOKUP(A83,tbMoveset!A2:J112,10,FALSE)=TRUE,IF((Backdoors!AI12+IF(IM83&gt;=0.45,VLOOKUP(Calculator!E23,tbSkills!DH3:DI6,2,FALSE)+IF(AND(Calculator!B8=TRUE,Backdoors!BI38=TRUE),VLOOKUP(Calculator!E23,tbSkills!DH3:DJ6,3,FALSE),0),0))&gt;=0,1+(Backdoors!AL2*(IF((Backdoors!AI12+IF(IM83&gt;=0.45,VLOOKUP(Calculator!E23,tbSkills!DH3:DI6,2,FALSE)+IF(AND(Calculator!B8=TRUE,Backdoors!BI38=TRUE),VLOOKUP(Calculator!E23,tbSkills!DH3:DJ6,3,FALSE),0),0))&gt;=100,100,(Backdoors!AI12+IF(IM83&gt;=0.45,VLOOKUP(Calculator!E23,tbSkills!DH3:DI6,2,FALSE)+IF(AND(Calculator!B8=TRUE,Backdoors!BI38=TRUE),VLOOKUP(Calculator!E23,tbSkills!DH3:DJ6,3,FALSE),0),0)))/100)),(1-(0.25*((-Backdoors!AI12-IF(IM83&gt;=0.45,VLOOKUP(Calculator!E23,tbSkills!DH3:DI6,2,FALSE)+IF(AND(Calculator!B8=TRUE,Backdoors!BI38=TRUE),VLOOKUP(Calculator!E23,tbSkills!DH3:DJ6,3,FALSE),0),0))/100)))),1),"")</f>
        <v>1</v>
      </c>
      <c r="IP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M83)*IO83)*(VLOOKUP(A83,tbMoveset!A2:C112,3,FALSE)/100)*IF(VLOOKUP(A83,tbMoveset!A2:B112,2,FALSE)="Projectile",Backdoors!N10,Backdoors!N9),0),"")</f>
        <v/>
      </c>
      <c r="IQ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IM83&gt;=0.45,VLOOKUP(Calculator!E23,tbSkills!DH3:DI6,2,FALSE)+IF(AND(Calculator!B8=TRUE,Backdoors!BI38=TRUE),VLOOKUP(Calculator!E23,tbSkills!DH3:DJ6,3,FALSE),0),0))&gt;=100,100,(Backdoors!AI12+IF(IM83&gt;=0.45,VLOOKUP(Calculator!E23,tbSkills!DH3:DI6,2,FALSE)+IF(AND(Calculator!B8=TRUE,Backdoors!BI38=TRUE),VLOOKUP(Calculator!E23,tbSkills!DH3:DJ6,3,FALSE),0),0)))/100)),1))*IF(VLOOKUP(A83,tbMoveset!A2:K112,11,FALSE)=TRUE,Backdoors!AC5,1))*IN83,0),"")</f>
        <v>0</v>
      </c>
      <c r="IR83" s="49">
        <f>VLOOKUP(A83,tbMoveset!A2:G112,7,FALSE)*IFERROR(IF(Backdoors!AI12&gt;=0,1+(IF(Calculator!E40&gt;0,VLOOKUP(Calculator!E40,tbSkills!AI3:AJ5,2,FALSE),Backdoors!AL4)*(IF((Backdoors!AI12+IF(IM83&gt;=0.45,VLOOKUP(Calculator!E23,tbSkills!DH3:DI6,2,FALSE)+IF(AND(Calculator!B8=TRUE,Backdoors!BI38=TRUE),VLOOKUP(Calculator!E23,tbSkills!DH3:DJ6,3,FALSE),0),0))&gt;=100,100,(Backdoors!AI12+IF(IM83&gt;=0.45,VLOOKUP(Calculator!E23,tbSkills!DH3:DI6,2,FALSE)+IF(AND(Calculator!B8=TRUE,Backdoors!BI38=TRUE),VLOOKUP(Calculator!E23,tbSkills!DH3:DJ6,3,FALSE),0),0)))/100)),1),1)</f>
        <v>0.4</v>
      </c>
      <c r="IS83" s="87">
        <f t="shared" si="86"/>
        <v>0</v>
      </c>
      <c r="IT83" s="86" t="str">
        <f>IFERROR(IF(VLOOKUP(A83,tbMoveset!A2:B112,2,FALSE)="Sever",Backdoors!AY39/100,IF(VLOOKUP(A83,tbMoveset!A2:B112,2,FALSE)="Blunt",Backdoors!AZ39/100,Backdoors!BA39/100)),"")</f>
        <v/>
      </c>
      <c r="IU83" s="49">
        <f>IFERROR(IF(VLOOKUP(tbMoveset!A83,tbMoveset!A2:H112,8,FALSE)="Other",IF(VLOOKUP(tbMoveset!A83,tbMoveset!A2:I112,9,FALSE)="Fire",Backdoors!BB39,IF(VLOOKUP(tbMoveset!A83,tbMoveset!A2:I112,9,FALSE)="Water",Backdoors!BC39,IF(VLOOKUP(tbMoveset!A83,tbMoveset!A2:I112,9,FALSE)="Thunder",Backdoors!BD39,IF(VLOOKUP(tbMoveset!A83,tbMoveset!A2:I112,9,FALSE)="Ice",Backdoors!BE39,IF(VLOOKUP(tbMoveset!A83,tbMoveset!A2:I112,9,FALSE)="Dragon",Backdoors!BF39,Backdoors!BG39)))))/100,Backdoors!BG39/100),"")</f>
        <v>0</v>
      </c>
      <c r="IV83" s="49">
        <f>IFERROR(IF(VLOOKUP(A83,tbMoveset!A2:J112,10,FALSE)=TRUE,IF((Backdoors!AI12+IF(IT83&gt;=0.45,VLOOKUP(Calculator!E23,tbSkills!DH3:DI6,2,FALSE)+IF(AND(Calculator!B8=TRUE,Backdoors!BI39=TRUE),VLOOKUP(Calculator!E23,tbSkills!DH3:DJ6,3,FALSE),0),0))&gt;=0,1+(Backdoors!AL2*(IF((Backdoors!AI12+IF(IT83&gt;=0.45,VLOOKUP(Calculator!E23,tbSkills!DH3:DI6,2,FALSE)+IF(AND(Calculator!B8=TRUE,Backdoors!BI39=TRUE),VLOOKUP(Calculator!E23,tbSkills!DH3:DJ6,3,FALSE),0),0))&gt;=100,100,(Backdoors!AI12+IF(IT83&gt;=0.45,VLOOKUP(Calculator!E23,tbSkills!DH3:DI6,2,FALSE)+IF(AND(Calculator!B8=TRUE,Backdoors!BI39=TRUE),VLOOKUP(Calculator!E23,tbSkills!DH3:DJ6,3,FALSE),0),0)))/100)),(1-(0.25*((-Backdoors!AI12-IF(IT83&gt;=0.45,VLOOKUP(Calculator!E23,tbSkills!DH3:DI6,2,FALSE)+IF(AND(Calculator!B8=TRUE,Backdoors!BI39=TRUE),VLOOKUP(Calculator!E23,tbSkills!DH3:DJ6,3,FALSE),0),0))/100)))),1),"")</f>
        <v>1</v>
      </c>
      <c r="IW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T83)*IV83)*(VLOOKUP(A83,tbMoveset!A2:C112,3,FALSE)/100)*IF(VLOOKUP(A83,tbMoveset!A2:B112,2,FALSE)="Projectile",Backdoors!N10,Backdoors!N9),0),"")</f>
        <v/>
      </c>
      <c r="IX83" s="49">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40&gt;0,VLOOKUP(Calculator!E40,tbSkills!AC3:AD5,2,FALSE),Backdoors!AL3)*(IF((Backdoors!AI12+IF(IT83&gt;=0.45,VLOOKUP(Calculator!E23,tbSkills!DH3:DI6,2,FALSE)+IF(AND(Calculator!B8=TRUE,Backdoors!BI39=TRUE),VLOOKUP(Calculator!E23,tbSkills!DH3:DJ6,3,FALSE),0),0))&gt;=100,100,(Backdoors!AI12+IF(IT83&gt;=0.45,VLOOKUP(Calculator!E23,tbSkills!DH3:DI6,2,FALSE)+IF(AND(Calculator!B8=TRUE,Backdoors!BI39=TRUE),VLOOKUP(Calculator!E23,tbSkills!DH3:DJ6,3,FALSE),0),0)))/100)),1))*IF(VLOOKUP(A83,tbMoveset!A2:K112,11,FALSE)=TRUE,Backdoors!AC5,1))*IU83,0),"")</f>
        <v>0</v>
      </c>
      <c r="IY83" s="49">
        <f>VLOOKUP(A83,tbMoveset!A2:G112,7,FALSE)*IFERROR(IF(Backdoors!AI12&gt;=0,1+(IF(Calculator!E40&gt;0,VLOOKUP(Calculator!E40,tbSkills!AI3:AJ5,2,FALSE),Backdoors!AL4)*(IF((Backdoors!AI12+IF(IT83&gt;=0.45,VLOOKUP(Calculator!E23,tbSkills!DH3:DI6,2,FALSE)+IF(AND(Calculator!B8=TRUE,Backdoors!BI39=TRUE),VLOOKUP(Calculator!E23,tbSkills!DH3:DJ6,3,FALSE),0),0))&gt;=100,100,(Backdoors!AI12+IF(IT83&gt;=0.45,VLOOKUP(Calculator!E23,tbSkills!DH3:DI6,2,FALSE)+IF(AND(Calculator!B8=TRUE,Backdoors!BI39=TRUE),VLOOKUP(Calculator!E23,tbSkills!DH3:DJ6,3,FALSE),0),0)))/100)),1),1)</f>
        <v>0.4</v>
      </c>
      <c r="IZ83" s="87">
        <f t="shared" si="87"/>
        <v>0</v>
      </c>
      <c r="JA83" s="86" t="str">
        <f>IFERROR(IF(VLOOKUP(A83,tbMoveset!A2:B112,2,FALSE)="Sever",Backdoors!AY40/100,IF(VLOOKUP(A83,tbMoveset!A2:B112,2,FALSE)="Blunt",Backdoors!AZ40/100,Backdoors!BA40/100)),"")</f>
        <v/>
      </c>
      <c r="JB83" s="49">
        <f>IFERROR(IF(VLOOKUP(tbMoveset!A83,tbMoveset!A2:H112,8,FALSE)="Other",IF(VLOOKUP(tbMoveset!A83,tbMoveset!A2:I112,9,FALSE)="Fire",Backdoors!BB40,IF(VLOOKUP(tbMoveset!A83,tbMoveset!A2:I112,9,FALSE)="Water",Backdoors!BC40,IF(VLOOKUP(tbMoveset!A83,tbMoveset!A2:I112,9,FALSE)="Thunder",Backdoors!BD40,IF(VLOOKUP(tbMoveset!A83,tbMoveset!A2:I112,9,FALSE)="Ice",Backdoors!BE40,IF(VLOOKUP(tbMoveset!A83,tbMoveset!A2:I112,9,FALSE)="Dragon",Backdoors!BF40,Backdoors!BG40)))))/100,Backdoors!BG40/100),"")</f>
        <v>0</v>
      </c>
      <c r="JC83" s="49">
        <f>IFERROR(IF(VLOOKUP(A83,tbMoveset!A2:J112,10,FALSE)=TRUE,IF((Backdoors!AI12+IF(JA83&gt;=0.45,VLOOKUP(Calculator!E23,tbSkills!DH3:DI6,2,FALSE)+IF(AND(Calculator!B8=TRUE,Backdoors!BI40=TRUE),VLOOKUP(Calculator!E23,tbSkills!DH3:DJ6,3,FALSE),0),0))&gt;=0,1+(Backdoors!AL2*(IF((Backdoors!AI12+IF(JA83&gt;=0.45,VLOOKUP(Calculator!E23,tbSkills!DH3:DI6,2,FALSE)+IF(AND(Calculator!B8=TRUE,Backdoors!BI40=TRUE),VLOOKUP(Calculator!E23,tbSkills!DH3:DJ6,3,FALSE),0),0))&gt;=100,100,(Backdoors!AI12+IF(JA83&gt;=0.45,VLOOKUP(Calculator!E23,tbSkills!DH3:DI6,2,FALSE)+IF(AND(Calculator!B8=TRUE,Backdoors!BI40=TRUE),VLOOKUP(Calculator!E23,tbSkills!DH3:DJ6,3,FALSE),0),0)))/100)),(1-(0.25*((-Backdoors!AI12-IF(JA83&gt;=0.45,VLOOKUP(Calculator!E23,tbSkills!DH3:DI6,2,FALSE)+IF(AND(Calculator!B8=TRUE,Backdoors!BI40=TRUE),VLOOKUP(Calculator!E23,tbSkills!DH3:DJ6,3,FALSE),0),0))/100)))),1),"")</f>
        <v>1</v>
      </c>
      <c r="JD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A83)*JC83)*(VLOOKUP(A83,tbMoveset!A2:C112,3,FALSE)/100)*IF(VLOOKUP(A83,tbMoveset!A2:B112,2,FALSE)="Projectile",Backdoors!N10,Backdoors!N9),0),"")</f>
        <v/>
      </c>
      <c r="JE83" s="49">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42&gt;0,VLOOKUP(Calculator!E42,tbSkills!AC3:AD5,2,FALSE),Backdoors!AL3)*(IF((Backdoors!AI12+IF(JA83&gt;=0.45,VLOOKUP(Calculator!E23,tbSkills!DH3:DI6,2,FALSE)+IF(AND(Calculator!B8=TRUE,Backdoors!BI40=TRUE),VLOOKUP(Calculator!E23,tbSkills!DH3:DJ6,3,FALSE),0),0))&gt;=100,100,(Backdoors!AI12+IF(JA83&gt;=0.45,VLOOKUP(Calculator!E23,tbSkills!DH3:DI6,2,FALSE)+IF(AND(Calculator!B8=TRUE,Backdoors!BI40=TRUE),VLOOKUP(Calculator!E23,tbSkills!DH3:DJ6,3,FALSE),0),0)))/100)),1))*IF(VLOOKUP(A83,tbMoveset!A2:K112,11,FALSE)=TRUE,Backdoors!AC5,1))*JB83,0),"")</f>
        <v>0</v>
      </c>
      <c r="JF83" s="49">
        <f>VLOOKUP(A83,tbMoveset!A2:G112,7,FALSE)*IFERROR(IF(Backdoors!AI12&gt;=0,1+(IF(Calculator!E40&gt;0,VLOOKUP(Calculator!E40,tbSkills!AI3:AJ5,2,FALSE),Backdoors!AL4)*(IF((Backdoors!AI12+IF(JA83&gt;=0.45,VLOOKUP(Calculator!E23,tbSkills!DH3:DI6,2,FALSE)+IF(AND(Calculator!B8=TRUE,Backdoors!BI40=TRUE),VLOOKUP(Calculator!E23,tbSkills!DH3:DJ6,3,FALSE),0),0))&gt;=100,100,(Backdoors!AI12+IF(JA83&gt;=0.45,VLOOKUP(Calculator!E23,tbSkills!DH3:DI6,2,FALSE)+IF(AND(Calculator!B8=TRUE,Backdoors!BI40=TRUE),VLOOKUP(Calculator!E23,tbSkills!DH3:DJ6,3,FALSE),0),0)))/100)),1),1)</f>
        <v>0.4</v>
      </c>
      <c r="JG83" s="87">
        <f t="shared" si="88"/>
        <v>0</v>
      </c>
      <c r="JH83" s="86" t="str">
        <f>IFERROR(IF(VLOOKUP(A83,tbMoveset!A2:B112,2,FALSE)="Sever",Backdoors!AY41/100,IF(VLOOKUP(A83,tbMoveset!A2:B112,2,FALSE)="Blunt",Backdoors!AZ41/100,Backdoors!BA41/100)),"")</f>
        <v/>
      </c>
      <c r="JI83" s="49">
        <f>IFERROR(IF(VLOOKUP(tbMoveset!A83,tbMoveset!A2:H112,8,FALSE)="Other",IF(VLOOKUP(tbMoveset!A83,tbMoveset!A2:I112,9,FALSE)="Fire",Backdoors!BB41,IF(VLOOKUP(tbMoveset!A83,tbMoveset!A2:I112,9,FALSE)="Water",Backdoors!BC41,IF(VLOOKUP(tbMoveset!A83,tbMoveset!A2:I112,9,FALSE)="Thunder",Backdoors!BD41,IF(VLOOKUP(tbMoveset!A83,tbMoveset!A2:I112,9,FALSE)="Ice",Backdoors!BE41,IF(VLOOKUP(tbMoveset!A83,tbMoveset!A2:I112,9,FALSE)="Dragon",Backdoors!BF41,Backdoors!BG41)))))/100,Backdoors!BG41/100),"")</f>
        <v>0</v>
      </c>
      <c r="JJ83" s="49">
        <f>IFERROR(IF(VLOOKUP(A83,tbMoveset!A2:J112,10,FALSE)=TRUE,IF((Backdoors!AI12+IF(JH83&gt;=0.45,VLOOKUP(Calculator!E23,tbSkills!DH3:DI6,2,FALSE)+IF(AND(Calculator!B8=TRUE,Backdoors!BI41=TRUE),VLOOKUP(Calculator!E23,tbSkills!DH3:DJ6,3,FALSE),0),0))&gt;=0,1+(Backdoors!AL2*(IF((Backdoors!AI12+IF(JH83&gt;=0.45,VLOOKUP(Calculator!E23,tbSkills!DH3:DI6,2,FALSE)+IF(AND(Calculator!B8=TRUE,Backdoors!BI41=TRUE),VLOOKUP(Calculator!E23,tbSkills!DH3:DJ6,3,FALSE),0),0))&gt;=100,100,(Backdoors!AI12+IF(JH83&gt;=0.45,VLOOKUP(Calculator!E23,tbSkills!DH3:DI6,2,FALSE)+IF(AND(Calculator!B8=TRUE,Backdoors!BI41=TRUE),VLOOKUP(Calculator!E23,tbSkills!DH3:DJ6,3,FALSE),0),0)))/100)),(1-(0.25*((-Backdoors!AI12-IF(JH83&gt;=0.45,VLOOKUP(Calculator!E23,tbSkills!DH3:DI6,2,FALSE)+IF(AND(Calculator!B8=TRUE,Backdoors!BI41=TRUE),VLOOKUP(Calculator!E23,tbSkills!DH3:DJ6,3,FALSE),0),0))/100)))),1),"")</f>
        <v>1</v>
      </c>
      <c r="JK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H83)*JJ83)*(VLOOKUP(A83,tbMoveset!A2:C112,3,FALSE)/100)*IF(VLOOKUP(A83,tbMoveset!A2:B112,2,FALSE)="Projectile",Backdoors!N10,Backdoors!N9),0),"")</f>
        <v/>
      </c>
      <c r="JL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43&gt;0,VLOOKUP(Calculator!E43,tbSkills!AC3:AD5,2,FALSE),Backdoors!AL3)*(IF((Backdoors!AI12+IF(JH83&gt;=0.45,VLOOKUP(Calculator!E23,tbSkills!DH3:DI6,2,FALSE)+IF(AND(Calculator!B8=TRUE,Backdoors!BI41=TRUE),VLOOKUP(Calculator!E23,tbSkills!DH3:DJ6,3,FALSE),0),0))&gt;=100,100,(Backdoors!AI12+IF(JH83&gt;=0.45,VLOOKUP(Calculator!E23,tbSkills!DH3:DI6,2,FALSE)+IF(AND(Calculator!B8=TRUE,Backdoors!BI41=TRUE),VLOOKUP(Calculator!E23,tbSkills!DH3:DJ6,3,FALSE),0),0)))/100)),1))*IF(VLOOKUP(A83,tbMoveset!A2:K112,11,FALSE)=TRUE,Backdoors!AC5,1))*JI83,0),"")</f>
        <v/>
      </c>
      <c r="JM83" s="49">
        <f>VLOOKUP(A83,tbMoveset!A2:G112,7,FALSE)*IFERROR(IF(Backdoors!AI12&gt;=0,1+(IF(Calculator!E40&gt;0,VLOOKUP(Calculator!E40,tbSkills!AI3:AJ5,2,FALSE),Backdoors!AL4)*(IF((Backdoors!AI12+IF(JH83&gt;=0.45,VLOOKUP(Calculator!E23,tbSkills!DH3:DI6,2,FALSE)+IF(AND(Calculator!B8=TRUE,Backdoors!BI41=TRUE),VLOOKUP(Calculator!E23,tbSkills!DH3:DJ6,3,FALSE),0),0))&gt;=100,100,(Backdoors!AI12+IF(JH83&gt;=0.45,VLOOKUP(Calculator!E23,tbSkills!DH3:DI6,2,FALSE)+IF(AND(Calculator!B8=TRUE,Backdoors!BI41=TRUE),VLOOKUP(Calculator!E23,tbSkills!DH3:DJ6,3,FALSE),0),0)))/100)),1),1)</f>
        <v>0.4</v>
      </c>
      <c r="JN83" s="87">
        <f t="shared" si="89"/>
        <v>0</v>
      </c>
      <c r="JO83" s="86" t="str">
        <f>IFERROR(IF(VLOOKUP(A83,tbMoveset!A2:B112,2,FALSE)="Sever",Backdoors!AY42/100,IF(VLOOKUP(A83,tbMoveset!A2:B112,2,FALSE)="Blunt",Backdoors!AZ42/100,Backdoors!BA42/100)),"")</f>
        <v/>
      </c>
      <c r="JP83" s="49">
        <f>IFERROR(IF(VLOOKUP(tbMoveset!A83,tbMoveset!A2:H112,8,FALSE)="Other",IF(VLOOKUP(tbMoveset!A83,tbMoveset!A2:I112,9,FALSE)="Fire",Backdoors!BB42,IF(VLOOKUP(tbMoveset!A83,tbMoveset!A2:I112,9,FALSE)="Water",Backdoors!BC42,IF(VLOOKUP(tbMoveset!A83,tbMoveset!A2:I112,9,FALSE)="Thunder",Backdoors!BD42,IF(VLOOKUP(tbMoveset!A83,tbMoveset!A2:I112,9,FALSE)="Ice",Backdoors!BE42,IF(VLOOKUP(tbMoveset!A83,tbMoveset!A2:I112,9,FALSE)="Dragon",Backdoors!BF42,Backdoors!BG42)))))/100,Backdoors!BG42/100),"")</f>
        <v>0</v>
      </c>
      <c r="JQ83" s="49">
        <f>IFERROR(IF(VLOOKUP(A83,tbMoveset!A2:J112,10,FALSE)=TRUE,IF((Backdoors!AI12+IF(JO83&gt;=0.45,VLOOKUP(Calculator!E23,tbSkills!DH3:DI6,2,FALSE)+IF(AND(Calculator!B8=TRUE,Backdoors!BI42=TRUE),VLOOKUP(Calculator!E23,tbSkills!DH3:DJ6,3,FALSE),0),0))&gt;=0,1+(Backdoors!AL2*(IF((Backdoors!AI12+IF(JO83&gt;=0.45,VLOOKUP(Calculator!E23,tbSkills!DH3:DI6,2,FALSE)+IF(AND(Calculator!B8=TRUE,Backdoors!BI42=TRUE),VLOOKUP(Calculator!E23,tbSkills!DH3:DJ6,3,FALSE),0),0))&gt;=100,100,(Backdoors!AI12+IF(JO83&gt;=0.45,VLOOKUP(Calculator!E23,tbSkills!DH3:DI6,2,FALSE)+IF(AND(Calculator!B8=TRUE,Backdoors!BI42=TRUE),VLOOKUP(Calculator!E23,tbSkills!DH3:DJ6,3,FALSE),0),0)))/100)),(1-(0.25*((-Backdoors!AI12-IF(JO83&gt;=0.45,VLOOKUP(Calculator!E23,tbSkills!DH3:DI6,2,FALSE)+IF(AND(Calculator!B8=TRUE,Backdoors!BI42=TRUE),VLOOKUP(Calculator!E23,tbSkills!DH3:DJ6,3,FALSE),0),0))/100)))),1),"")</f>
        <v>1</v>
      </c>
      <c r="JR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O83)*JQ83)*(VLOOKUP(A83,tbMoveset!A2:C112,3,FALSE)/100)*IF(VLOOKUP(A83,tbMoveset!A2:B112,2,FALSE)="Projectile",Backdoors!N10,Backdoors!N9),0),"")</f>
        <v/>
      </c>
      <c r="JS83" s="49">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45&gt;0,VLOOKUP(Calculator!E45,tbSkills!AC3:AD5,2,FALSE),Backdoors!AL3)*(IF((Backdoors!AI12+IF(JO83&gt;=0.45,VLOOKUP(Calculator!E23,tbSkills!DH3:DI6,2,FALSE)+IF(AND(Calculator!B8=TRUE,Backdoors!BI42=TRUE),VLOOKUP(Calculator!E23,tbSkills!DH3:DJ6,3,FALSE),0),0))&gt;=100,100,(Backdoors!AI12+IF(JO83&gt;=0.45,VLOOKUP(Calculator!E23,tbSkills!DH3:DI6,2,FALSE)+IF(AND(Calculator!B8=TRUE,Backdoors!BI42=TRUE),VLOOKUP(Calculator!E23,tbSkills!DH3:DJ6,3,FALSE),0),0)))/100)),1))*IF(VLOOKUP(A83,tbMoveset!A2:K112,11,FALSE)=TRUE,Backdoors!AC5,1))*JP83,0),"")</f>
        <v>0</v>
      </c>
      <c r="JT83" s="49">
        <f>VLOOKUP(A83,tbMoveset!A2:G112,7,FALSE)*IFERROR(IF(Backdoors!AI12&gt;=0,1+(IF(Calculator!E40&gt;0,VLOOKUP(Calculator!E40,tbSkills!AI3:AJ5,2,FALSE),Backdoors!AL4)*(IF((Backdoors!AI12+IF(JO83&gt;=0.45,VLOOKUP(Calculator!E23,tbSkills!DH3:DI6,2,FALSE)+IF(AND(Calculator!B8=TRUE,Backdoors!BI42=TRUE),VLOOKUP(Calculator!E23,tbSkills!DH3:DJ6,3,FALSE),0),0))&gt;=100,100,(Backdoors!AI12+IF(JO83&gt;=0.45,VLOOKUP(Calculator!E23,tbSkills!DH3:DI6,2,FALSE)+IF(AND(Calculator!B8=TRUE,Backdoors!BI42=TRUE),VLOOKUP(Calculator!E23,tbSkills!DH3:DJ6,3,FALSE),0),0)))/100)),1),1)</f>
        <v>0.4</v>
      </c>
      <c r="JU83" s="87">
        <f t="shared" si="90"/>
        <v>0</v>
      </c>
      <c r="JV83" s="86" t="str">
        <f>IFERROR(IF(VLOOKUP(A83,tbMoveset!A2:B112,2,FALSE)="Sever",Backdoors!AY43/100,IF(VLOOKUP(A83,tbMoveset!A2:B112,2,FALSE)="Blunt",Backdoors!AZ43/100,Backdoors!BA43/100)),"")</f>
        <v/>
      </c>
      <c r="JW83" s="49">
        <f>IFERROR(IF(VLOOKUP(tbMoveset!A83,tbMoveset!A2:H112,8,FALSE)="Other",IF(VLOOKUP(tbMoveset!A83,tbMoveset!A2:I112,9,FALSE)="Fire",Backdoors!BB43,IF(VLOOKUP(tbMoveset!A83,tbMoveset!A2:I112,9,FALSE)="Water",Backdoors!BC43,IF(VLOOKUP(tbMoveset!A83,tbMoveset!A2:I112,9,FALSE)="Thunder",Backdoors!BD43,IF(VLOOKUP(tbMoveset!A83,tbMoveset!A2:I112,9,FALSE)="Ice",Backdoors!BE43,IF(VLOOKUP(tbMoveset!A83,tbMoveset!A2:I112,9,FALSE)="Dragon",Backdoors!BF43,Backdoors!BG43)))))/100,Backdoors!BG43/100),"")</f>
        <v>0</v>
      </c>
      <c r="JX83" s="49">
        <f>IFERROR(IF(VLOOKUP(A83,tbMoveset!A2:J112,10,FALSE)=TRUE,IF((Backdoors!AI12+IF(JV83&gt;=0.45,VLOOKUP(Calculator!E23,tbSkills!DH3:DI6,2,FALSE)+IF(AND(Calculator!B8=TRUE,Backdoors!BI43=TRUE),VLOOKUP(Calculator!E23,tbSkills!DH3:DJ6,3,FALSE),0),0))&gt;=0,1+(Backdoors!AL2*(IF((Backdoors!AI12+IF(JV83&gt;=0.45,VLOOKUP(Calculator!E23,tbSkills!DH3:DI6,2,FALSE)+IF(AND(Calculator!B8=TRUE,Backdoors!BI43=TRUE),VLOOKUP(Calculator!E23,tbSkills!DH3:DJ6,3,FALSE),0),0))&gt;=100,100,(Backdoors!AI12+IF(JV83&gt;=0.45,VLOOKUP(Calculator!E23,tbSkills!DH3:DI6,2,FALSE)+IF(AND(Calculator!B8=TRUE,Backdoors!BI43=TRUE),VLOOKUP(Calculator!E23,tbSkills!DH3:DJ6,3,FALSE),0),0)))/100)),(1-(0.25*((-Backdoors!AI12-IF(JV83&gt;=0.45,VLOOKUP(Calculator!E23,tbSkills!DH3:DI6,2,FALSE)+IF(AND(Calculator!B8=TRUE,Backdoors!BI43=TRUE),VLOOKUP(Calculator!E23,tbSkills!DH3:DJ6,3,FALSE),0),0))/100)))),1),"")</f>
        <v>1</v>
      </c>
      <c r="JY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V83)*JX83)*(VLOOKUP(A83,tbMoveset!A2:C112,3,FALSE)/100)*IF(VLOOKUP(A83,tbMoveset!A2:B112,2,FALSE)="Projectile",Backdoors!N10,Backdoors!N9),0),"")</f>
        <v/>
      </c>
      <c r="JZ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46&gt;0,VLOOKUP(Calculator!E46,tbSkills!AC3:AD5,2,FALSE),Backdoors!AL3)*(IF((Backdoors!AI12+IF(JV83&gt;=0.45,VLOOKUP(Calculator!E23,tbSkills!DH3:DI6,2,FALSE)+IF(AND(Calculator!B8=TRUE,Backdoors!BI43=TRUE),VLOOKUP(Calculator!E23,tbSkills!DH3:DJ6,3,FALSE),0),0))&gt;=100,100,(Backdoors!AI12+IF(JV83&gt;=0.45,VLOOKUP(Calculator!E23,tbSkills!DH3:DI6,2,FALSE)+IF(AND(Calculator!B8=TRUE,Backdoors!BI43=TRUE),VLOOKUP(Calculator!E23,tbSkills!DH3:DJ6,3,FALSE),0),0)))/100)),1))*IF(VLOOKUP(A83,tbMoveset!A2:K112,11,FALSE)=TRUE,Backdoors!AC5,1))*JW83,0),"")</f>
        <v/>
      </c>
      <c r="KA83" s="49">
        <f>VLOOKUP(A83,tbMoveset!A2:G112,7,FALSE)*IFERROR(IF(Backdoors!AI12&gt;=0,1+(IF(Calculator!E40&gt;0,VLOOKUP(Calculator!E40,tbSkills!AI3:AJ5,2,FALSE),Backdoors!AL4)*(IF((Backdoors!AI12+IF(JV83&gt;=0.45,VLOOKUP(Calculator!E23,tbSkills!DH3:DI6,2,FALSE)+IF(AND(Calculator!B8=TRUE,Backdoors!BI43=TRUE),VLOOKUP(Calculator!E23,tbSkills!DH3:DJ6,3,FALSE),0),0))&gt;=100,100,(Backdoors!AI12+IF(JV83&gt;=0.45,VLOOKUP(Calculator!E23,tbSkills!DH3:DI6,2,FALSE)+IF(AND(Calculator!B8=TRUE,Backdoors!BI43=TRUE),VLOOKUP(Calculator!E23,tbSkills!DH3:DJ6,3,FALSE),0),0)))/100)),1),1)</f>
        <v>0.4</v>
      </c>
      <c r="KB83" s="87">
        <f t="shared" si="91"/>
        <v>0</v>
      </c>
      <c r="KC83" s="86" t="str">
        <f>IFERROR(IF(VLOOKUP(A83,tbMoveset!A2:B112,2,FALSE)="Sever",Backdoors!AY44/100,IF(VLOOKUP(A83,tbMoveset!A2:B112,2,FALSE)="Blunt",Backdoors!AZ44/100,Backdoors!BA44/100)),"")</f>
        <v/>
      </c>
      <c r="KD83" s="49">
        <f>IFERROR(IF(VLOOKUP(tbMoveset!A83,tbMoveset!A2:H112,8,FALSE)="Other",IF(VLOOKUP(tbMoveset!A83,tbMoveset!A2:I112,9,FALSE)="Fire",Backdoors!BB44,IF(VLOOKUP(tbMoveset!A83,tbMoveset!A2:I112,9,FALSE)="Water",Backdoors!BC44,IF(VLOOKUP(tbMoveset!A83,tbMoveset!A2:I112,9,FALSE)="Thunder",Backdoors!BD44,IF(VLOOKUP(tbMoveset!A83,tbMoveset!A2:I112,9,FALSE)="Ice",Backdoors!BE44,IF(VLOOKUP(tbMoveset!A83,tbMoveset!A2:I112,9,FALSE)="Dragon",Backdoors!BF44,Backdoors!BG44)))))/100,Backdoors!BG44/100),"")</f>
        <v>0</v>
      </c>
      <c r="KE83" s="49">
        <f>IFERROR(IF(VLOOKUP(A83,tbMoveset!A2:J112,10,FALSE)=TRUE,IF((Backdoors!AI12+IF(KC83&gt;=0.45,VLOOKUP(Calculator!E23,tbSkills!DH3:DI6,2,FALSE)+IF(AND(Calculator!B8=TRUE,Backdoors!BI44=TRUE),VLOOKUP(Calculator!E23,tbSkills!DH3:DJ6,3,FALSE),0),0))&gt;=0,1+(Backdoors!AL2*(IF((Backdoors!AI12+IF(KC83&gt;=0.45,VLOOKUP(Calculator!E23,tbSkills!DH3:DI6,2,FALSE)+IF(AND(Calculator!B8=TRUE,Backdoors!BI44=TRUE),VLOOKUP(Calculator!E23,tbSkills!DH3:DJ6,3,FALSE),0),0))&gt;=100,100,(Backdoors!AI12+IF(KC83&gt;=0.45,VLOOKUP(Calculator!E23,tbSkills!DH3:DI6,2,FALSE)+IF(AND(Calculator!B8=TRUE,Backdoors!BI44=TRUE),VLOOKUP(Calculator!E23,tbSkills!DH3:DJ6,3,FALSE),0),0)))/100)),(1-(0.25*((-Backdoors!AI12-IF(KC83&gt;=0.45,VLOOKUP(Calculator!E23,tbSkills!DH3:DI6,2,FALSE)+IF(AND(Calculator!B8=TRUE,Backdoors!BI44=TRUE),VLOOKUP(Calculator!E23,tbSkills!DH3:DJ6,3,FALSE),0),0))/100)))),1),"")</f>
        <v>1</v>
      </c>
      <c r="KF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KC83)*KE83)*(VLOOKUP(A83,tbMoveset!A2:C112,3,FALSE)/100)*IF(VLOOKUP(A83,tbMoveset!A2:B112,2,FALSE)="Projectile",Backdoors!N10,Backdoors!N9),0),"")</f>
        <v/>
      </c>
      <c r="KG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REF!&gt;0,VLOOKUP(Calculator!#REF!,tbSkills!AC3:AD5,2,FALSE),Backdoors!AL3)*(IF((Backdoors!AI12+IF(KC83&gt;=0.45,VLOOKUP(Calculator!E23,tbSkills!DH3:DI6,2,FALSE)+IF(AND(Calculator!B8=TRUE,Backdoors!BI44=TRUE),VLOOKUP(Calculator!E23,tbSkills!DH3:DJ6,3,FALSE),0),0))&gt;=100,100,(Backdoors!AI12+IF(KC83&gt;=0.45,VLOOKUP(Calculator!E23,tbSkills!DH3:DI6,2,FALSE)+IF(AND(Calculator!B8=TRUE,Backdoors!BI44=TRUE),VLOOKUP(Calculator!E23,tbSkills!DH3:DJ6,3,FALSE),0),0)))/100)),1))*IF(VLOOKUP(A83,tbMoveset!A2:K112,11,FALSE)=TRUE,Backdoors!AC5,1))*KD83,0),"")</f>
        <v/>
      </c>
      <c r="KH83" s="49">
        <f>VLOOKUP(A83,tbMoveset!A2:G112,7,FALSE)*IFERROR(IF(Backdoors!AI12&gt;=0,1+(IF(Calculator!E40&gt;0,VLOOKUP(Calculator!E40,tbSkills!AI3:AJ5,2,FALSE),Backdoors!AL4)*(IF((Backdoors!AI12+IF(KC83&gt;=0.45,VLOOKUP(Calculator!E23,tbSkills!DH3:DI6,2,FALSE)+IF(AND(Calculator!B8=TRUE,Backdoors!BI44=TRUE),VLOOKUP(Calculator!E23,tbSkills!DH3:DJ6,3,FALSE),0),0))&gt;=100,100,(Backdoors!AI12+IF(KC83&gt;=0.45,VLOOKUP(Calculator!E23,tbSkills!DH3:DI6,2,FALSE)+IF(AND(Calculator!B8=TRUE,Backdoors!BI44=TRUE),VLOOKUP(Calculator!E23,tbSkills!DH3:DJ6,3,FALSE),0),0)))/100)),1),1)</f>
        <v>0.4</v>
      </c>
      <c r="KI83" s="87">
        <f t="shared" si="92"/>
        <v>0</v>
      </c>
      <c r="KJ83" s="86" t="str">
        <f>IFERROR(IF(VLOOKUP(A83,tbMoveset!A2:B112,2,FALSE)="Sever",Backdoors!AY45/100,IF(VLOOKUP(A83,tbMoveset!A2:B112,2,FALSE)="Blunt",Backdoors!AZ45/100,Backdoors!BA45/100)),"")</f>
        <v/>
      </c>
      <c r="KK83" s="49">
        <f>IFERROR(IF(VLOOKUP(tbMoveset!A83,tbMoveset!A2:H112,8,FALSE)="Other",IF(VLOOKUP(tbMoveset!A83,tbMoveset!A2:I112,9,FALSE)="Fire",Backdoors!BB45,IF(VLOOKUP(tbMoveset!A83,tbMoveset!A2:I112,9,FALSE)="Water",Backdoors!BC45,IF(VLOOKUP(tbMoveset!A83,tbMoveset!A2:I112,9,FALSE)="Thunder",Backdoors!BD45,IF(VLOOKUP(tbMoveset!A83,tbMoveset!A2:I112,9,FALSE)="Ice",Backdoors!BE45,IF(VLOOKUP(tbMoveset!A83,tbMoveset!A2:I112,9,FALSE)="Dragon",Backdoors!BF45,Backdoors!BG45)))))/100,Backdoors!BG45/100),"")</f>
        <v>0</v>
      </c>
      <c r="KL83" s="49">
        <f>IFERROR(IF(VLOOKUP(A83,tbMoveset!A2:J112,10,FALSE)=TRUE,IF((Backdoors!AI12+IF(KJ83&gt;=0.45,VLOOKUP(Calculator!E23,tbSkills!DH3:DI6,2,FALSE)+IF(AND(Calculator!B8=TRUE,Backdoors!BI45=TRUE),VLOOKUP(Calculator!E23,tbSkills!DH3:DJ6,3,FALSE),0),0))&gt;=0,1+(Backdoors!AL2*(IF((Backdoors!AI12+IF(KJ83&gt;=0.45,VLOOKUP(Calculator!E23,tbSkills!DH3:DI6,2,FALSE)+IF(AND(Calculator!B8=TRUE,Backdoors!BI45=TRUE),VLOOKUP(Calculator!E23,tbSkills!DH3:DJ6,3,FALSE),0),0))&gt;=100,100,(Backdoors!AI12+IF(KJ83&gt;=0.45,VLOOKUP(Calculator!E23,tbSkills!DH3:DI6,2,FALSE)+IF(AND(Calculator!B8=TRUE,Backdoors!BI45=TRUE),VLOOKUP(Calculator!E23,tbSkills!DH3:DJ6,3,FALSE),0),0)))/100)),(1-(0.25*((-Backdoors!AI12-IF(KJ83&gt;=0.45,VLOOKUP(Calculator!E23,tbSkills!DH3:DI6,2,FALSE)+IF(AND(Calculator!B8=TRUE,Backdoors!BI45=TRUE),VLOOKUP(Calculator!E23,tbSkills!DH3:DJ6,3,FALSE),0),0))/100)))),1),"")</f>
        <v>1</v>
      </c>
      <c r="KM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KJ83)*KL83)*(VLOOKUP(A83,tbMoveset!A2:C112,3,FALSE)/100)*IF(VLOOKUP(A83,tbMoveset!A2:B112,2,FALSE)="Projectile",Backdoors!N10,Backdoors!N9),0),"")</f>
        <v/>
      </c>
      <c r="KN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REF!&gt;0,VLOOKUP(Calculator!#REF!,tbSkills!AC3:AD5,2,FALSE),Backdoors!AL3)*(IF((Backdoors!AI12+IF(KJ83&gt;=0.45,VLOOKUP(Calculator!E23,tbSkills!DH3:DI6,2,FALSE)+IF(AND(Calculator!B8=TRUE,Backdoors!BI45=TRUE),VLOOKUP(Calculator!E23,tbSkills!DH3:DJ6,3,FALSE),0),0))&gt;=100,100,(Backdoors!AI12+IF(KJ83&gt;=0.45,VLOOKUP(Calculator!E23,tbSkills!DH3:DI6,2,FALSE)+IF(AND(Calculator!B8=TRUE,Backdoors!BI45=TRUE),VLOOKUP(Calculator!E23,tbSkills!DH3:DJ6,3,FALSE),0),0)))/100)),1))*IF(VLOOKUP(A83,tbMoveset!A2:K112,11,FALSE)=TRUE,Backdoors!AC5,1))*KK83,0),"")</f>
        <v/>
      </c>
      <c r="KO83" s="49">
        <f>VLOOKUP(A83,tbMoveset!A2:G112,7,FALSE)*IFERROR(IF(Backdoors!AI12&gt;=0,1+(IF(Calculator!E40&gt;0,VLOOKUP(Calculator!E40,tbSkills!AI3:AJ5,2,FALSE),Backdoors!AL4)*(IF((Backdoors!AI12+IF(KJ83&gt;=0.45,VLOOKUP(Calculator!E23,tbSkills!DH3:DI6,2,FALSE)+IF(AND(Calculator!B8=TRUE,Backdoors!BI45=TRUE),VLOOKUP(Calculator!E23,tbSkills!DH3:DJ6,3,FALSE),0),0))&gt;=100,100,(Backdoors!AI12+IF(KJ83&gt;=0.45,VLOOKUP(Calculator!E23,tbSkills!DH3:DI6,2,FALSE)+IF(AND(Calculator!B8=TRUE,Backdoors!BI45=TRUE),VLOOKUP(Calculator!E23,tbSkills!DH3:DJ6,3,FALSE),0),0)))/100)),1),1)</f>
        <v>0.4</v>
      </c>
      <c r="KP83" s="87">
        <f t="shared" si="93"/>
        <v>0</v>
      </c>
      <c r="KQ83" s="86" t="str">
        <f>IFERROR(IF(VLOOKUP(A83,tbMoveset!A2:B112,2,FALSE)="Sever",Backdoors!AY46/100,IF(VLOOKUP(A83,tbMoveset!A2:B112,2,FALSE)="Blunt",Backdoors!AZ46/100,Backdoors!BA46/100)),"")</f>
        <v/>
      </c>
      <c r="KR83" s="49">
        <f>IFERROR(IF(VLOOKUP(tbMoveset!A83,tbMoveset!A2:H112,8,FALSE)="Other",IF(VLOOKUP(tbMoveset!A83,tbMoveset!A2:I112,9,FALSE)="Fire",Backdoors!BB46,IF(VLOOKUP(tbMoveset!A83,tbMoveset!A2:I112,9,FALSE)="Water",Backdoors!BC46,IF(VLOOKUP(tbMoveset!A83,tbMoveset!A2:I112,9,FALSE)="Thunder",Backdoors!BD46,IF(VLOOKUP(tbMoveset!A83,tbMoveset!A2:I112,9,FALSE)="Ice",Backdoors!BE46,IF(VLOOKUP(tbMoveset!A83,tbMoveset!A2:I112,9,FALSE)="Dragon",Backdoors!BF46,Backdoors!BG46)))))/100,Backdoors!BG46/100),"")</f>
        <v>0</v>
      </c>
      <c r="KS83" s="49">
        <f>IFERROR(IF(VLOOKUP(A83,tbMoveset!A2:J112,10,FALSE)=TRUE,IF((Backdoors!AI12+IF(KQ83&gt;=0.45,VLOOKUP(Calculator!E23,tbSkills!DH3:DI6,2,FALSE)+IF(AND(Calculator!B8=TRUE,Backdoors!BI46=TRUE),VLOOKUP(Calculator!E23,tbSkills!DH3:DJ6,3,FALSE),0),0))&gt;=0,1+(Backdoors!AL2*(IF((Backdoors!AI12+IF(KQ83&gt;=0.45,VLOOKUP(Calculator!E23,tbSkills!DH3:DI6,2,FALSE)+IF(AND(Calculator!B8=TRUE,Backdoors!BI46=TRUE),VLOOKUP(Calculator!E23,tbSkills!DH3:DJ6,3,FALSE),0),0))&gt;=100,100,(Backdoors!AI12+IF(KQ83&gt;=0.45,VLOOKUP(Calculator!E23,tbSkills!DH3:DI6,2,FALSE)+IF(AND(Calculator!B8=TRUE,Backdoors!BI46=TRUE),VLOOKUP(Calculator!E23,tbSkills!DH3:DJ6,3,FALSE),0),0)))/100)),(1-(0.25*((-Backdoors!AI12-IF(KQ83&gt;=0.45,VLOOKUP(Calculator!E23,tbSkills!DH3:DI6,2,FALSE)+IF(AND(Calculator!B8=TRUE,Backdoors!BI46=TRUE),VLOOKUP(Calculator!E23,tbSkills!DH3:DJ6,3,FALSE),0),0))/100)))),1),"")</f>
        <v>1</v>
      </c>
      <c r="KT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KQ83)*KS83)*(VLOOKUP(A83,tbMoveset!A2:C112,3,FALSE)/100)*IF(VLOOKUP(A83,tbMoveset!A2:B112,2,FALSE)="Projectile",Backdoors!N10,Backdoors!N9),0),"")</f>
        <v/>
      </c>
      <c r="KU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REF!&gt;0,VLOOKUP(Calculator!#REF!,tbSkills!AC3:AD5,2,FALSE),Backdoors!AL3)*(IF((Backdoors!AI12+IF(KQ83&gt;=0.45,VLOOKUP(Calculator!E23,tbSkills!DH3:DI6,2,FALSE)+IF(AND(Calculator!B8=TRUE,Backdoors!BI46=TRUE),VLOOKUP(Calculator!E23,tbSkills!DH3:DJ6,3,FALSE),0),0))&gt;=100,100,(Backdoors!AI12+IF(KQ83&gt;=0.45,VLOOKUP(Calculator!E23,tbSkills!DH3:DI6,2,FALSE)+IF(AND(Calculator!B8=TRUE,Backdoors!BI46=TRUE),VLOOKUP(Calculator!E23,tbSkills!DH3:DJ6,3,FALSE),0),0)))/100)),1))*IF(VLOOKUP(A83,tbMoveset!A2:K112,11,FALSE)=TRUE,Backdoors!AC5,1))*KR83,0),"")</f>
        <v/>
      </c>
      <c r="KV83" s="49">
        <f>VLOOKUP(A83,tbMoveset!A2:G112,7,FALSE)*IFERROR(IF(Backdoors!AI12&gt;=0,1+(IF(Calculator!E40&gt;0,VLOOKUP(Calculator!E40,tbSkills!AI3:AJ5,2,FALSE),Backdoors!AL4)*(IF((Backdoors!AI12+IF(KQ83&gt;=0.45,VLOOKUP(Calculator!E23,tbSkills!DH3:DI6,2,FALSE)+IF(AND(Calculator!B8=TRUE,Backdoors!BI46=TRUE),VLOOKUP(Calculator!E23,tbSkills!DH3:DJ6,3,FALSE),0),0))&gt;=100,100,(Backdoors!AI12+IF(KQ83&gt;=0.45,VLOOKUP(Calculator!E23,tbSkills!DH3:DI6,2,FALSE)+IF(AND(Calculator!B8=TRUE,Backdoors!BI46=TRUE),VLOOKUP(Calculator!E23,tbSkills!DH3:DJ6,3,FALSE),0),0)))/100)),1),1)</f>
        <v>0.4</v>
      </c>
      <c r="KW83" s="87">
        <f t="shared" si="94"/>
        <v>0</v>
      </c>
    </row>
    <row r="84" spans="1:309" x14ac:dyDescent="0.25">
      <c r="A84" s="95" t="str">
        <f>tbMoveset!A84</f>
        <v>Heavenly Blade Dance (R1)</v>
      </c>
      <c r="B84" s="86">
        <f>IFERROR(IF(VLOOKUP(A84,tbMoveset!A2:B112,2,FALSE)="Sever",Backdoors!AY3/100,IF(VLOOKUP(A84,tbMoveset!A2:B112,2,FALSE)="Blunt",Backdoors!AZ3/100,Backdoors!BA3/100)),"")</f>
        <v>0.8</v>
      </c>
      <c r="C84" s="49">
        <f>IFERROR(IF(VLOOKUP(tbMoveset!A84,tbMoveset!A2:H112,8,FALSE)="Other",IF(VLOOKUP(tbMoveset!A84,tbMoveset!A2:I112,9,FALSE)="Fire",Backdoors!BB3,IF(VLOOKUP(tbMoveset!A84,tbMoveset!A2:I112,9,FALSE)="Water",Backdoors!BC3,IF(VLOOKUP(tbMoveset!A84,tbMoveset!A2:I112,9,FALSE)="Thunder",Backdoors!BD3,IF(VLOOKUP(tbMoveset!A84,tbMoveset!A2:I112,9,FALSE)="Ice",Backdoors!BE3,IF(VLOOKUP(tbMoveset!A84,tbMoveset!A2:I112,9,FALSE)="Dragon",Backdoors!BF3,Backdoors!BG3)))))/100,Backdoors!BG3/100),"")</f>
        <v>0</v>
      </c>
      <c r="D84" s="49">
        <f>IFERROR(IF(VLOOKUP(A84,tbMoveset!A2:J112,10,FALSE)=TRUE,IF((Backdoors!AI12+IF(B84&gt;=0.45,VLOOKUP(Calculator!E23,tbSkills!DH3:DI6,2,FALSE)+IF(AND(Calculator!B8=TRUE,Backdoors!BI3=TRUE),VLOOKUP(Calculator!E23,tbSkills!DH3:DJ6,3,FALSE),0),0))&gt;=0,1+(Backdoors!AL2*(IF((Backdoors!AI12+IF(B84&gt;=0.45,VLOOKUP(Calculator!E23,tbSkills!DH3:DI6,2,FALSE)+IF(AND(Calculator!B8=TRUE,Backdoors!BI3=TRUE),VLOOKUP(Calculator!E23,tbSkills!DH3:DJ6,3,FALSE),0),0))&gt;=100,100,(Backdoors!AI12+IF(B84&gt;=0.45,VLOOKUP(Calculator!E23,tbSkills!DH3:DI6,2,FALSE)+IF(AND(Calculator!B8=TRUE,Backdoors!BI3=TRUE),VLOOKUP(Calculator!E23,tbSkills!DH3:DJ6,3,FALSE),0),0)))/100)),(1-(0.25*((-Backdoors!AI12-IF(B84&gt;=0.45,VLOOKUP(Calculator!E23,tbSkills!DH3:DI6,2,FALSE)+IF(AND(Calculator!B8=TRUE,Backdoors!BI3=TRUE),VLOOKUP(Calculator!E23,tbSkills!DH3:DJ6,3,FALSE),0),0))/100)))),1),"")</f>
        <v>1</v>
      </c>
      <c r="E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84)*D84)*(VLOOKUP(A84,tbMoveset!A2:C112,3,FALSE)/100)*IF(VLOOKUP(A84,tbMoveset!A2:B112,2,FALSE)="Projectile",Backdoors!N10,Backdoors!N9),0),"")</f>
        <v>7</v>
      </c>
      <c r="F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84&gt;=0.45,VLOOKUP(Calculator!E23,tbSkills!DH3:DI6,2,FALSE)+IF(AND(Calculator!B8=TRUE,Backdoors!BI3=TRUE),VLOOKUP(Calculator!E23,tbSkills!DH3:DJ6,3,FALSE),0),0))&gt;=100,100,(Backdoors!AI12+IF(B84&gt;=0.45,VLOOKUP(Calculator!E23,tbSkills!DH3:DI6,2,FALSE)+IF(AND(Calculator!B8=TRUE,Backdoors!BI3=TRUE),VLOOKUP(Calculator!E23,tbSkills!DH3:DJ6,3,FALSE),0),0)))/100)),1))*IF(VLOOKUP(A84,tbMoveset!A2:K112,11,FALSE)=TRUE,Backdoors!AC5,1))*C84,0),"")</f>
        <v>0</v>
      </c>
      <c r="G84">
        <f>VLOOKUP(A84,tbMoveset!A2:G112,7,FALSE)*IFERROR(IF(Backdoors!AI12&gt;=0,1+(IF(Calculator!E40&gt;0,VLOOKUP(Calculator!E40,tbSkills!AI3:AJ5,2,FALSE),Backdoors!AL4)*(IF((Backdoors!AI12+IF(B84&gt;=0.45,VLOOKUP(Calculator!E23,tbSkills!DH3:DI6,2,FALSE)+IF(AND(Calculator!B8=TRUE,Backdoors!BI3=TRUE),VLOOKUP(Calculator!E23,tbSkills!DH3:DJ6,3,FALSE),0),0))&gt;=100,100,(Backdoors!AI12+IF(B84&gt;=0.45,VLOOKUP(Calculator!E23,tbSkills!DH3:DI6,2,FALSE)+IF(AND(Calculator!B8=TRUE,Backdoors!BI3=TRUE),VLOOKUP(Calculator!E23,tbSkills!DH3:DJ6,3,FALSE),0),0)))/100)),1),1)</f>
        <v>0.4</v>
      </c>
      <c r="H84" s="87">
        <f t="shared" si="51"/>
        <v>7</v>
      </c>
      <c r="I84" s="86">
        <f>IFERROR(IF(VLOOKUP(A84,tbMoveset!A2:B112,2,FALSE)="Sever",Backdoors!AY4/100,IF(VLOOKUP(A84,tbMoveset!A2:B112,2,FALSE)="Blunt",Backdoors!AZ4/100,Backdoors!BA4/100)),"")</f>
        <v>0.65</v>
      </c>
      <c r="J84" s="49">
        <f>IFERROR(IF(VLOOKUP(tbMoveset!A84,tbMoveset!A2:H112,8,FALSE)="Other",IF(VLOOKUP(tbMoveset!A84,tbMoveset!A2:I112,9,FALSE)="Fire",Backdoors!BB4,IF(VLOOKUP(tbMoveset!A84,tbMoveset!A2:I112,9,FALSE)="Water",Backdoors!BC4,IF(VLOOKUP(tbMoveset!A84,tbMoveset!A2:I112,9,FALSE)="Thunder",Backdoors!BD4,IF(VLOOKUP(tbMoveset!A84,tbMoveset!A2:I112,9,FALSE)="Ice",Backdoors!BE4,IF(VLOOKUP(tbMoveset!A84,tbMoveset!A2:I112,9,FALSE)="Dragon",Backdoors!BF4,Backdoors!BG4)))))/100,Backdoors!BG4/100),"")</f>
        <v>0</v>
      </c>
      <c r="K84" s="49">
        <f>IFERROR(IF(VLOOKUP(A84,tbMoveset!A2:J112,10,FALSE)=TRUE,IF((Backdoors!AI12+IF(I84&gt;=0.45,VLOOKUP(Calculator!E23,tbSkills!DH3:DI6,2,FALSE)+IF(AND(Calculator!B8=TRUE,Backdoors!BI4=TRUE),VLOOKUP(Calculator!E23,tbSkills!DH3:DJ6,3,FALSE),0),0))&gt;=0,1+(Backdoors!AL2*(IF((Backdoors!AI12+IF(I84&gt;=0.45,VLOOKUP(Calculator!E23,tbSkills!DH3:DI6,2,FALSE)+IF(AND(Calculator!B8=TRUE,Backdoors!BI4=TRUE),VLOOKUP(Calculator!E23,tbSkills!DH3:DJ6,3,FALSE),0),0))&gt;=100,100,(Backdoors!AI12+IF(I84&gt;=0.45,VLOOKUP(Calculator!E23,tbSkills!DH3:DI6,2,FALSE)+IF(AND(Calculator!B8=TRUE,Backdoors!BI4=TRUE),VLOOKUP(Calculator!E23,tbSkills!DH3:DJ6,3,FALSE),0),0)))/100)),(1-(0.25*((-Backdoors!AI12-IF(I84&gt;=0.45,VLOOKUP(Calculator!E23,tbSkills!DH3:DI6,2,FALSE)+IF(AND(Calculator!B8=TRUE,Backdoors!BI4=TRUE),VLOOKUP(Calculator!E23,tbSkills!DH3:DJ6,3,FALSE),0),0))/100)))),1),"")</f>
        <v>1</v>
      </c>
      <c r="L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84)*K84)*(VLOOKUP(A84,tbMoveset!A2:C112,3,FALSE)/100)*IF(VLOOKUP(A84,tbMoveset!A2:B112,2,FALSE)="Projectile",Backdoors!N10,Backdoors!N9),0),"")</f>
        <v>6</v>
      </c>
      <c r="M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I84&gt;=0.45,VLOOKUP(Calculator!E23,tbSkills!DH3:DI6,2,FALSE)+IF(AND(Calculator!B8=TRUE,Backdoors!BI4=TRUE),VLOOKUP(Calculator!E23,tbSkills!DH3:DJ6,3,FALSE),0),0))&gt;=100,100,(Backdoors!AI12+IF(I84&gt;=0.45,VLOOKUP(Calculator!E23,tbSkills!DH3:DI6,2,FALSE)+IF(AND(Calculator!B8=TRUE,Backdoors!BI4=TRUE),VLOOKUP(Calculator!E23,tbSkills!DH3:DJ6,3,FALSE),0),0)))/100)),1))*IF(VLOOKUP(A84,tbMoveset!A2:K112,11,FALSE)=TRUE,Backdoors!AC5,1))*J84,0),"")</f>
        <v>0</v>
      </c>
      <c r="N84" s="49">
        <f>VLOOKUP(A84,tbMoveset!A2:G112,7,FALSE)*IFERROR(IF(Backdoors!AI12&gt;=0,1+(IF(Calculator!E40&gt;0,VLOOKUP(Calculator!E40,tbSkills!AI3:AJ5,2,FALSE),Backdoors!AL4)*(IF((Backdoors!AI12+IF(I84&gt;=0.45,VLOOKUP(Calculator!E23,tbSkills!DH3:DI6,2,FALSE)+IF(AND(Calculator!B8=TRUE,Backdoors!BI4=TRUE),VLOOKUP(Calculator!E23,tbSkills!DH3:DJ6,3,FALSE),0),0))&gt;=100,100,(Backdoors!AI12+IF(I84&gt;=0.45,VLOOKUP(Calculator!E23,tbSkills!DH3:DI6,2,FALSE)+IF(AND(Calculator!B8=TRUE,Backdoors!BI4=TRUE),VLOOKUP(Calculator!E23,tbSkills!DH3:DJ6,3,FALSE),0),0)))/100)),1),1)</f>
        <v>0.4</v>
      </c>
      <c r="O84" s="87">
        <f t="shared" si="52"/>
        <v>6</v>
      </c>
      <c r="P84" s="86">
        <f>IFERROR(IF(VLOOKUP(A84,tbMoveset!A2:B112,2,FALSE)="Sever",Backdoors!AY5/100,IF(VLOOKUP(A84,tbMoveset!A2:B112,2,FALSE)="Blunt",Backdoors!AZ5/100,Backdoors!BA5/100)),"")</f>
        <v>0.5</v>
      </c>
      <c r="Q84" s="49">
        <f>IFERROR(IF(VLOOKUP(tbMoveset!A84,tbMoveset!A2:H112,8,FALSE)="Other",IF(VLOOKUP(tbMoveset!A84,tbMoveset!A2:I112,9,FALSE)="Fire",Backdoors!BB5,IF(VLOOKUP(tbMoveset!A84,tbMoveset!A2:I112,9,FALSE)="Water",Backdoors!BC5,IF(VLOOKUP(tbMoveset!A84,tbMoveset!A2:I112,9,FALSE)="Thunder",Backdoors!BD5,IF(VLOOKUP(tbMoveset!A84,tbMoveset!A2:I112,9,FALSE)="Ice",Backdoors!BE5,IF(VLOOKUP(tbMoveset!A84,tbMoveset!A2:I112,9,FALSE)="Dragon",Backdoors!BF5,Backdoors!BG5)))))/100,Backdoors!BG5/100),"")</f>
        <v>0</v>
      </c>
      <c r="R84" s="49">
        <f>IFERROR(IF(VLOOKUP(A84,tbMoveset!A2:J112,10,FALSE)=TRUE,IF((Backdoors!AI12+IF(P84&gt;=0.45,VLOOKUP(Calculator!E23,tbSkills!DH3:DI6,2,FALSE)+IF(AND(Calculator!B8=TRUE,Backdoors!BI5=TRUE),VLOOKUP(Calculator!E23,tbSkills!DH3:DJ6,3,FALSE),0),0))&gt;=0,1+(Backdoors!AL2*(IF((Backdoors!AI12+IF(P84&gt;=0.45,VLOOKUP(Calculator!E23,tbSkills!DH3:DI6,2,FALSE)+IF(AND(Calculator!B8=TRUE,Backdoors!BI5=TRUE),VLOOKUP(Calculator!E23,tbSkills!DH3:DJ6,3,FALSE),0),0))&gt;=100,100,(Backdoors!AI12+IF(P84&gt;=0.45,VLOOKUP(Calculator!E23,tbSkills!DH3:DI6,2,FALSE)+IF(AND(Calculator!B8=TRUE,Backdoors!BI5=TRUE),VLOOKUP(Calculator!E23,tbSkills!DH3:DJ6,3,FALSE),0),0)))/100)),(1-(0.25*((-Backdoors!AI12-IF(P84&gt;=0.45,VLOOKUP(Calculator!E23,tbSkills!DH3:DI6,2,FALSE)+IF(AND(Calculator!B8=TRUE,Backdoors!BI5=TRUE),VLOOKUP(Calculator!E23,tbSkills!DH3:DJ6,3,FALSE),0),0))/100)))),1),"")</f>
        <v>1</v>
      </c>
      <c r="S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P84)*R84)*(VLOOKUP(A84,tbMoveset!A2:C112,3,FALSE)/100)*IF(VLOOKUP(A84,tbMoveset!A2:B112,2,FALSE)="Projectile",Backdoors!N10,Backdoors!N9),0),"")</f>
        <v>5</v>
      </c>
      <c r="T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P84&gt;=0.45,VLOOKUP(Calculator!E23,tbSkills!DH3:DI6,2,FALSE)+IF(AND(Calculator!B8=TRUE,Backdoors!BI5=TRUE),VLOOKUP(Calculator!E23,tbSkills!DH3:DJ6,3,FALSE),0),0))&gt;=100,100,(Backdoors!AI12+IF(P84&gt;=0.45,VLOOKUP(Calculator!E23,tbSkills!DH3:DI6,2,FALSE)+IF(AND(Calculator!B8=TRUE,Backdoors!BI5=TRUE),VLOOKUP(Calculator!E23,tbSkills!DH3:DJ6,3,FALSE),0),0)))/100)),1))*IF(VLOOKUP(A84,tbMoveset!A2:K112,11,FALSE)=TRUE,Backdoors!AC5,1))*Q84,0),"")</f>
        <v>0</v>
      </c>
      <c r="U84" s="49">
        <f>VLOOKUP(A84,tbMoveset!A2:G112,7,FALSE)*IFERROR(IF(Backdoors!AI12&gt;=0,1+(IF(Calculator!E40&gt;0,VLOOKUP(Calculator!E40,tbSkills!AI3:AJ5,2,FALSE),Backdoors!AL4)*(IF((Backdoors!AI12+IF(P84&gt;=0.45,VLOOKUP(Calculator!E23,tbSkills!DH3:DI6,2,FALSE)+IF(AND(Calculator!B8=TRUE,Backdoors!BI5=TRUE),VLOOKUP(Calculator!E23,tbSkills!DH3:DJ6,3,FALSE),0),0))&gt;=100,100,(Backdoors!AI12+IF(P84&gt;=0.45,VLOOKUP(Calculator!E23,tbSkills!DH3:DI6,2,FALSE)+IF(AND(Calculator!B8=TRUE,Backdoors!BI5=TRUE),VLOOKUP(Calculator!E23,tbSkills!DH3:DJ6,3,FALSE),0),0)))/100)),1),1)</f>
        <v>0.4</v>
      </c>
      <c r="V84" s="87">
        <f t="shared" si="53"/>
        <v>5</v>
      </c>
      <c r="W84" s="86">
        <f>IFERROR(IF(VLOOKUP(A84,tbMoveset!A2:B112,2,FALSE)="Sever",Backdoors!AY6/100,IF(VLOOKUP(A84,tbMoveset!A2:B112,2,FALSE)="Blunt",Backdoors!AZ6/100,Backdoors!BA6/100)),"")</f>
        <v>0.45</v>
      </c>
      <c r="X84" s="49">
        <f>IFERROR(IF(VLOOKUP(tbMoveset!A84,tbMoveset!A2:H112,8,FALSE)="Other",IF(VLOOKUP(tbMoveset!A84,tbMoveset!A2:I112,9,FALSE)="Fire",Backdoors!BB6,IF(VLOOKUP(tbMoveset!A84,tbMoveset!A2:I112,9,FALSE)="Water",Backdoors!BC6,IF(VLOOKUP(tbMoveset!A84,tbMoveset!A2:I112,9,FALSE)="Thunder",Backdoors!BD6,IF(VLOOKUP(tbMoveset!A84,tbMoveset!A2:I112,9,FALSE)="Ice",Backdoors!BE6,IF(VLOOKUP(tbMoveset!A84,tbMoveset!A2:I112,9,FALSE)="Dragon",Backdoors!BF6,Backdoors!BG6)))))/100,Backdoors!BG6/100),"")</f>
        <v>0</v>
      </c>
      <c r="Y84" s="49">
        <f>IFERROR(IF(VLOOKUP(A84,tbMoveset!A2:J112,10,FALSE)=TRUE,IF((Backdoors!AI12+IF(W84&gt;=0.45,VLOOKUP(Calculator!E23,tbSkills!DH3:DI6,2,FALSE)+IF(AND(Calculator!B8=TRUE,Backdoors!BI6=TRUE),VLOOKUP(Calculator!E23,tbSkills!DH3:DJ6,3,FALSE),0),0))&gt;=0,1+(Backdoors!AL2*(IF((Backdoors!AI12+IF(W84&gt;=0.45,VLOOKUP(Calculator!E23,tbSkills!DH3:DI6,2,FALSE)+IF(AND(Calculator!B8=TRUE,Backdoors!BI6=TRUE),VLOOKUP(Calculator!E23,tbSkills!DH3:DJ6,3,FALSE),0),0))&gt;=100,100,(Backdoors!AI12+IF(W84&gt;=0.45,VLOOKUP(Calculator!E23,tbSkills!DH3:DI6,2,FALSE)+IF(AND(Calculator!B8=TRUE,Backdoors!BI6=TRUE),VLOOKUP(Calculator!E23,tbSkills!DH3:DJ6,3,FALSE),0),0)))/100)),(1-(0.25*((-Backdoors!AI12-IF(W84&gt;=0.45,VLOOKUP(Calculator!E23,tbSkills!DH3:DI6,2,FALSE)+IF(AND(Calculator!B8=TRUE,Backdoors!BI6=TRUE),VLOOKUP(Calculator!E23,tbSkills!DH3:DJ6,3,FALSE),0),0))/100)))),1),"")</f>
        <v>1</v>
      </c>
      <c r="Z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W84)*Y84)*(VLOOKUP(A84,tbMoveset!A2:C112,3,FALSE)/100)*IF(VLOOKUP(A84,tbMoveset!A2:B112,2,FALSE)="Projectile",Backdoors!N10,Backdoors!N9),0),"")</f>
        <v>4</v>
      </c>
      <c r="AA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W84&gt;=0.45,VLOOKUP(Calculator!E23,tbSkills!DH3:DI6,2,FALSE)+IF(AND(Calculator!B8=TRUE,Backdoors!BI6=TRUE),VLOOKUP(Calculator!E23,tbSkills!DH3:DJ6,3,FALSE),0),0))&gt;=100,100,(Backdoors!AI12+IF(W84&gt;=0.45,VLOOKUP(Calculator!E23,tbSkills!DH3:DI6,2,FALSE)+IF(AND(Calculator!B8=TRUE,Backdoors!BI6=TRUE),VLOOKUP(Calculator!E23,tbSkills!DH3:DJ6,3,FALSE),0),0)))/100)),1))*IF(VLOOKUP(A84,tbMoveset!A2:K112,11,FALSE)=TRUE,Backdoors!AC5,1))*X84,0),"")</f>
        <v>0</v>
      </c>
      <c r="AB84" s="49">
        <f>VLOOKUP(A84,tbMoveset!A2:G112,7,FALSE)*IFERROR(IF(Backdoors!AI12&gt;=0,1+(IF(Calculator!E40&gt;0,VLOOKUP(Calculator!E40,tbSkills!AI3:AJ5,2,FALSE),Backdoors!AL4)*(IF((Backdoors!AI12+IF(W84&gt;=0.45,VLOOKUP(Calculator!E23,tbSkills!DH3:DI6,2,FALSE)+IF(AND(Calculator!B8=TRUE,Backdoors!BI6=TRUE),VLOOKUP(Calculator!E23,tbSkills!DH3:DJ6,3,FALSE),0),0))&gt;=100,100,(Backdoors!AI12+IF(W84&gt;=0.45,VLOOKUP(Calculator!E23,tbSkills!DH3:DI6,2,FALSE)+IF(AND(Calculator!B8=TRUE,Backdoors!BI6=TRUE),VLOOKUP(Calculator!E23,tbSkills!DH3:DJ6,3,FALSE),0),0)))/100)),1),1)</f>
        <v>0.4</v>
      </c>
      <c r="AC84" s="87">
        <f t="shared" si="54"/>
        <v>4</v>
      </c>
      <c r="AD84" s="86">
        <f>IFERROR(IF(VLOOKUP(A84,tbMoveset!A2:B112,2,FALSE)="Sever",Backdoors!AY7/100,IF(VLOOKUP(A84,tbMoveset!A2:B112,2,FALSE)="Blunt",Backdoors!AZ7/100,Backdoors!BA7/100)),"")</f>
        <v>0.65</v>
      </c>
      <c r="AE84" s="49">
        <f>IFERROR(IF(VLOOKUP(tbMoveset!A84,tbMoveset!A2:H112,8,FALSE)="Other",IF(VLOOKUP(tbMoveset!A84,tbMoveset!A2:I112,9,FALSE)="Fire",Backdoors!BB7,IF(VLOOKUP(tbMoveset!A84,tbMoveset!A2:I112,9,FALSE)="Water",Backdoors!BC7,IF(VLOOKUP(tbMoveset!A84,tbMoveset!A2:I112,9,FALSE)="Thunder",Backdoors!BD7,IF(VLOOKUP(tbMoveset!A84,tbMoveset!A2:I112,9,FALSE)="Ice",Backdoors!BE7,IF(VLOOKUP(tbMoveset!A84,tbMoveset!A2:I112,9,FALSE)="Dragon",Backdoors!BF7,Backdoors!BG7)))))/100,Backdoors!BG7/100),"")</f>
        <v>0</v>
      </c>
      <c r="AF84" s="49">
        <f>IFERROR(IF(VLOOKUP(A84,tbMoveset!A2:J112,10,FALSE)=TRUE,IF((Backdoors!AI12+IF(AD84&gt;=0.45,VLOOKUP(Calculator!E23,tbSkills!DH3:DI6,2,FALSE)+IF(AND(Calculator!B8=TRUE,Backdoors!BI7=TRUE),VLOOKUP(Calculator!E23,tbSkills!DH3:DJ6,3,FALSE),0),0))&gt;=0,1+(Backdoors!AL2*(IF((Backdoors!AI12+IF(AD84&gt;=0.45,VLOOKUP(Calculator!E23,tbSkills!DH3:DI6,2,FALSE)+IF(AND(Calculator!B8=TRUE,Backdoors!BI7=TRUE),VLOOKUP(Calculator!E23,tbSkills!DH3:DJ6,3,FALSE),0),0))&gt;=100,100,(Backdoors!AI12+IF(AD84&gt;=0.45,VLOOKUP(Calculator!E23,tbSkills!DH3:DI6,2,FALSE)+IF(AND(Calculator!B8=TRUE,Backdoors!BI7=TRUE),VLOOKUP(Calculator!E23,tbSkills!DH3:DJ6,3,FALSE),0),0)))/100)),(1-(0.25*((-Backdoors!AI12-IF(AD84&gt;=0.45,VLOOKUP(Calculator!E23,tbSkills!DH3:DI6,2,FALSE)+IF(AND(Calculator!B8=TRUE,Backdoors!BI7=TRUE),VLOOKUP(Calculator!E23,tbSkills!DH3:DJ6,3,FALSE),0),0))/100)))),1),"")</f>
        <v>1</v>
      </c>
      <c r="AG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D84)*AF84)*(VLOOKUP(A84,tbMoveset!A2:C112,3,FALSE)/100)*IF(VLOOKUP(A84,tbMoveset!A2:B112,2,FALSE)="Projectile",Backdoors!N10,Backdoors!N9),0),"")</f>
        <v>6</v>
      </c>
      <c r="AH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D84&gt;=0.45,VLOOKUP(Calculator!E23,tbSkills!DH3:DI6,2,FALSE)+IF(AND(Calculator!B8=TRUE,Backdoors!BI7=TRUE),VLOOKUP(Calculator!E23,tbSkills!DH3:DJ6,3,FALSE),0),0))&gt;=100,100,(Backdoors!AI12+IF(AD84&gt;=0.45,VLOOKUP(Calculator!E23,tbSkills!DH3:DI6,2,FALSE)+IF(AND(Calculator!B8=TRUE,Backdoors!BI7=TRUE),VLOOKUP(Calculator!E23,tbSkills!DH3:DJ6,3,FALSE),0),0)))/100)),1))*IF(VLOOKUP(A84,tbMoveset!A2:K112,11,FALSE)=TRUE,Backdoors!AC5,1))*AE84,0),"")</f>
        <v>0</v>
      </c>
      <c r="AI84" s="49">
        <f>VLOOKUP(A84,tbMoveset!A2:G112,7,FALSE)*IFERROR(IF(Backdoors!AI12&gt;=0,1+(IF(Calculator!E40&gt;0,VLOOKUP(Calculator!E40,tbSkills!AI3:AJ5,2,FALSE),Backdoors!AL4)*(IF((Backdoors!AI12+IF(AD84&gt;=0.45,VLOOKUP(Calculator!E23,tbSkills!DH3:DI6,2,FALSE)+IF(AND(Calculator!B8=TRUE,Backdoors!BI7=TRUE),VLOOKUP(Calculator!E23,tbSkills!DH3:DJ6,3,FALSE),0),0))&gt;=100,100,(Backdoors!AI12+IF(AD84&gt;=0.45,VLOOKUP(Calculator!E23,tbSkills!DH3:DI6,2,FALSE)+IF(AND(Calculator!B8=TRUE,Backdoors!BI7=TRUE),VLOOKUP(Calculator!E23,tbSkills!DH3:DJ6,3,FALSE),0),0)))/100)),1),1)</f>
        <v>0.4</v>
      </c>
      <c r="AJ84" s="87">
        <f t="shared" si="55"/>
        <v>6</v>
      </c>
      <c r="AK84" s="91">
        <f>IFERROR(IF(VLOOKUP(A84,tbMoveset!A2:B112,2,FALSE)="Sever",Backdoors!AY8/100,IF(VLOOKUP(A84,tbMoveset!A2:B112,2,FALSE)="Blunt",Backdoors!AZ8/100,Backdoors!BA8/100)),"")</f>
        <v>0.45</v>
      </c>
      <c r="AL84" s="49">
        <f>IFERROR(IF(VLOOKUP(tbMoveset!A84,tbMoveset!A2:H112,8,FALSE)="Other",IF(VLOOKUP(tbMoveset!A84,tbMoveset!A2:I112,9,FALSE)="Fire",Backdoors!BB8,IF(VLOOKUP(tbMoveset!A84,tbMoveset!A2:I112,9,FALSE)="Water",Backdoors!BC8,IF(VLOOKUP(tbMoveset!A84,tbMoveset!A2:I112,9,FALSE)="Thunder",Backdoors!BD8,IF(VLOOKUP(tbMoveset!A84,tbMoveset!A2:I112,9,FALSE)="Ice",Backdoors!BE8,IF(VLOOKUP(tbMoveset!A84,tbMoveset!A2:I112,9,FALSE)="Dragon",Backdoors!BF8,Backdoors!BG8)))))/100,Backdoors!BG8/100),"")</f>
        <v>0</v>
      </c>
      <c r="AM84" s="49">
        <f>IFERROR(IF(VLOOKUP(A84,tbMoveset!A2:J112,10,FALSE)=TRUE,IF((Backdoors!AI12+IF(AK84&gt;=0.45,VLOOKUP(Calculator!E23,tbSkills!DH3:DI6,2,FALSE)+IF(AND(Calculator!B8=TRUE,Backdoors!BI8=TRUE),VLOOKUP(Calculator!E23,tbSkills!DH3:DJ6,3,FALSE),0),0))&gt;=0,1+(Backdoors!AL2*(IF((Backdoors!AI12+IF(AK84&gt;=0.45,VLOOKUP(Calculator!E23,tbSkills!DH3:DI6,2,FALSE)+IF(AND(Calculator!B8=TRUE,Backdoors!BI8=TRUE),VLOOKUP(Calculator!E23,tbSkills!DH3:DJ6,3,FALSE),0),0))&gt;=100,100,(Backdoors!AI12+IF(AK84&gt;=0.45,VLOOKUP(Calculator!E23,tbSkills!DH3:DI6,2,FALSE)+IF(AND(Calculator!B8=TRUE,Backdoors!BI8=TRUE),VLOOKUP(Calculator!E23,tbSkills!DH3:DJ6,3,FALSE),0),0)))/100)),(1-(0.25*((-Backdoors!AI12-IF(AK84&gt;=0.45,VLOOKUP(Calculator!E23,tbSkills!DH3:DI6,2,FALSE)+IF(AND(Calculator!B8=TRUE,Backdoors!BI8=TRUE),VLOOKUP(Calculator!E23,tbSkills!DH3:DJ6,3,FALSE),0),0))/100)))),1),"")</f>
        <v>1</v>
      </c>
      <c r="AN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K84)*AM84)*(VLOOKUP(A84,tbMoveset!A2:C112,3,FALSE)/100)*IF(VLOOKUP(A84,tbMoveset!A2:B112,2,FALSE)="Projectile",Backdoors!N10,Backdoors!N9),0),"")</f>
        <v>4</v>
      </c>
      <c r="AO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K84&gt;=0.45,VLOOKUP(Calculator!E23,tbSkills!DH3:DI6,2,FALSE)+IF(AND(Calculator!B8=TRUE,Backdoors!BI8=TRUE),VLOOKUP(Calculator!E23,tbSkills!DH3:DJ6,3,FALSE),0),0))&gt;=100,100,(Backdoors!AI12+IF(AK84&gt;=0.45,VLOOKUP(Calculator!E23,tbSkills!DH3:DI6,2,FALSE)+IF(AND(Calculator!B8=TRUE,Backdoors!BI8=TRUE),VLOOKUP(Calculator!E23,tbSkills!DH3:DJ6,3,FALSE),0),0)))/100)),1))*IF(VLOOKUP(A84,tbMoveset!A2:K112,11,FALSE)=TRUE,Backdoors!AC5,1))*AL84,0),"")</f>
        <v>0</v>
      </c>
      <c r="AP84" s="49">
        <f>VLOOKUP(A84,tbMoveset!A2:G112,7,FALSE)*IFERROR(IF(Backdoors!AI12&gt;=0,1+(IF(Calculator!E40&gt;0,VLOOKUP(Calculator!E40,tbSkills!AI3:AJ5,2,FALSE),Backdoors!AL4)*(IF((Backdoors!AI12+IF(AK84&gt;=0.45,VLOOKUP(Calculator!E23,tbSkills!DH3:DI6,2,FALSE)+IF(AND(Calculator!B8=TRUE,Backdoors!BI8=TRUE),VLOOKUP(Calculator!E23,tbSkills!DH3:DJ6,3,FALSE),0),0))&gt;=100,100,(Backdoors!AI12+IF(AK84&gt;=0.45,VLOOKUP(Calculator!E23,tbSkills!DH3:DI6,2,FALSE)+IF(AND(Calculator!B8=TRUE,Backdoors!BI8=TRUE),VLOOKUP(Calculator!E23,tbSkills!DH3:DJ6,3,FALSE),0),0)))/100)),1),1)</f>
        <v>0.4</v>
      </c>
      <c r="AQ84" s="87">
        <f t="shared" si="56"/>
        <v>4</v>
      </c>
      <c r="AR84" s="86">
        <f>IFERROR(IF(VLOOKUP(A84,tbMoveset!A2:B112,2,FALSE)="Sever",Backdoors!AY9/100,IF(VLOOKUP(A84,tbMoveset!A2:B112,2,FALSE)="Blunt",Backdoors!AZ9/100,Backdoors!BA9/100)),"")</f>
        <v>0.45</v>
      </c>
      <c r="AS84" s="49">
        <f>IFERROR(IF(VLOOKUP(tbMoveset!A84,tbMoveset!A2:H112,8,FALSE)="Other",IF(VLOOKUP(tbMoveset!A84,tbMoveset!A2:I112,9,FALSE)="Fire",Backdoors!BB9,IF(VLOOKUP(tbMoveset!A84,tbMoveset!A2:I112,9,FALSE)="Water",Backdoors!BC9,IF(VLOOKUP(tbMoveset!A84,tbMoveset!A2:I112,9,FALSE)="Thunder",Backdoors!BD9,IF(VLOOKUP(tbMoveset!A84,tbMoveset!A2:I112,9,FALSE)="Ice",Backdoors!BE9,IF(VLOOKUP(tbMoveset!A84,tbMoveset!A2:I112,9,FALSE)="Dragon",Backdoors!BF9,Backdoors!BG9)))))/100,Backdoors!BG9/100),"")</f>
        <v>0</v>
      </c>
      <c r="AT84" s="49">
        <f>IFERROR(IF(VLOOKUP(A84,tbMoveset!A2:J112,10,FALSE)=TRUE,IF((Backdoors!AI12+IF(AR84&gt;=0.45,VLOOKUP(Calculator!E23,tbSkills!DH3:DI6,2,FALSE)+IF(AND(Calculator!B8=TRUE,Backdoors!BI9=TRUE),VLOOKUP(Calculator!E23,tbSkills!DH3:DJ6,3,FALSE),0),0))&gt;=0,1+(Backdoors!AL2*(IF((Backdoors!AI12+IF(AR84&gt;=0.45,VLOOKUP(Calculator!E23,tbSkills!DH3:DI6,2,FALSE)+IF(AND(Calculator!B8=TRUE,Backdoors!BI9=TRUE),VLOOKUP(Calculator!E23,tbSkills!DH3:DJ6,3,FALSE),0),0))&gt;=100,100,(Backdoors!AI12+IF(AR84&gt;=0.45,VLOOKUP(Calculator!E23,tbSkills!DH3:DI6,2,FALSE)+IF(AND(Calculator!B8=TRUE,Backdoors!BI9=TRUE),VLOOKUP(Calculator!E23,tbSkills!DH3:DJ6,3,FALSE),0),0)))/100)),(1-(0.25*((-Backdoors!AI12-IF(AR84&gt;=0.45,VLOOKUP(Calculator!E23,tbSkills!DH3:DI6,2,FALSE)+IF(AND(Calculator!B8=TRUE,Backdoors!BI9=TRUE),VLOOKUP(Calculator!E23,tbSkills!DH3:DJ6,3,FALSE),0),0))/100)))),1),"")</f>
        <v>1</v>
      </c>
      <c r="AU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R84)*AT84)*(VLOOKUP(A84,tbMoveset!A2:C112,3,FALSE)/100)*IF(VLOOKUP(A84,tbMoveset!A2:B112,2,FALSE)="Projectile",Backdoors!N10,Backdoors!N9),0),"")</f>
        <v>4</v>
      </c>
      <c r="AV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R84&gt;=0.45,VLOOKUP(Calculator!E23,tbSkills!DH3:DI6,2,FALSE)+IF(AND(Calculator!B8=TRUE,Backdoors!BI9=TRUE),VLOOKUP(Calculator!E23,tbSkills!DH3:DJ6,3,FALSE),0),0))&gt;=100,100,(Backdoors!AI12+IF(AR84&gt;=0.45,VLOOKUP(Calculator!E23,tbSkills!DH3:DI6,2,FALSE)+IF(AND(Calculator!B8=TRUE,Backdoors!BI9=TRUE),VLOOKUP(Calculator!E23,tbSkills!DH3:DJ6,3,FALSE),0),0)))/100)),1))*IF(VLOOKUP(A84,tbMoveset!A2:K112,11,FALSE)=TRUE,Backdoors!AC5,1))*AS84,0),"")</f>
        <v>0</v>
      </c>
      <c r="AW84" s="49">
        <f>VLOOKUP(A84,tbMoveset!A2:G112,7,FALSE)*IFERROR(IF(Backdoors!AI12&gt;=0,1+(IF(Calculator!E40&gt;0,VLOOKUP(Calculator!E40,tbSkills!AI3:AJ5,2,FALSE),Backdoors!AL4)*(IF((Backdoors!AI12+IF(AR84&gt;=0.45,VLOOKUP(Calculator!E23,tbSkills!DH3:DI6,2,FALSE)+IF(AND(Calculator!B8=TRUE,Backdoors!BI9=TRUE),VLOOKUP(Calculator!E23,tbSkills!DH3:DJ6,3,FALSE),0),0))&gt;=100,100,(Backdoors!AI12+IF(AR84&gt;=0.45,VLOOKUP(Calculator!E23,tbSkills!DH3:DI6,2,FALSE)+IF(AND(Calculator!B8=TRUE,Backdoors!BI9=TRUE),VLOOKUP(Calculator!E23,tbSkills!DH3:DJ6,3,FALSE),0),0)))/100)),1),1)</f>
        <v>0.4</v>
      </c>
      <c r="AX84" s="87">
        <f t="shared" si="57"/>
        <v>4</v>
      </c>
      <c r="AY84" s="86">
        <f>IFERROR(IF(VLOOKUP(A84,tbMoveset!A2:B112,2,FALSE)="Sever",Backdoors!AY10/100,IF(VLOOKUP(A84,tbMoveset!A2:B112,2,FALSE)="Blunt",Backdoors!AZ10/100,Backdoors!BA10/100)),"")</f>
        <v>0.9</v>
      </c>
      <c r="AZ84" s="49">
        <f>IFERROR(IF(VLOOKUP(tbMoveset!A84,tbMoveset!A2:H112,8,FALSE)="Other",IF(VLOOKUP(tbMoveset!A84,tbMoveset!A2:I112,9,FALSE)="Fire",Backdoors!BB10,IF(VLOOKUP(tbMoveset!A84,tbMoveset!A2:I112,9,FALSE)="Water",Backdoors!BC10,IF(VLOOKUP(tbMoveset!A84,tbMoveset!A2:I112,9,FALSE)="Thunder",Backdoors!BD10,IF(VLOOKUP(tbMoveset!A84,tbMoveset!A2:I112,9,FALSE)="Ice",Backdoors!BE10,IF(VLOOKUP(tbMoveset!A84,tbMoveset!A2:I112,9,FALSE)="Dragon",Backdoors!BF10,Backdoors!BG10)))))/100,Backdoors!BG10/100),"")</f>
        <v>0</v>
      </c>
      <c r="BA84" s="49">
        <f>IFERROR(IF(VLOOKUP(A84,tbMoveset!A2:J112,10,FALSE)=TRUE,IF((Backdoors!AI12+IF(AY84&gt;=0.45,VLOOKUP(Calculator!E23,tbSkills!DH3:DI6,2,FALSE)+IF(AND(Calculator!B8=TRUE,Backdoors!BI10=TRUE),VLOOKUP(Calculator!E23,tbSkills!DH3:DJ6,3,FALSE),0),0))&gt;=0,1+(Backdoors!AL2*(IF((Backdoors!AI12+IF(AY84&gt;=0.45,VLOOKUP(Calculator!E23,tbSkills!DH3:DI6,2,FALSE)+IF(AND(Calculator!B8=TRUE,Backdoors!BI10=TRUE),VLOOKUP(Calculator!E23,tbSkills!DH3:DJ6,3,FALSE),0),0))&gt;=100,100,(Backdoors!AI12+IF(AY84&gt;=0.45,VLOOKUP(Calculator!E23,tbSkills!DH3:DI6,2,FALSE)+IF(AND(Calculator!B8=TRUE,Backdoors!BI10=TRUE),VLOOKUP(Calculator!E23,tbSkills!DH3:DJ6,3,FALSE),0),0)))/100)),(1-(0.25*((-Backdoors!AI12-IF(AY84&gt;=0.45,VLOOKUP(Calculator!E23,tbSkills!DH3:DI6,2,FALSE)+IF(AND(Calculator!B8=TRUE,Backdoors!BI10=TRUE),VLOOKUP(Calculator!E23,tbSkills!DH3:DJ6,3,FALSE),0),0))/100)))),1),"")</f>
        <v>1</v>
      </c>
      <c r="BB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Y84)*BA84)*(VLOOKUP(A84,tbMoveset!A2:C112,3,FALSE)/100)*IF(VLOOKUP(A84,tbMoveset!A2:B112,2,FALSE)="Projectile",Backdoors!N10,Backdoors!N9),0),"")</f>
        <v>8</v>
      </c>
      <c r="BC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Y84&gt;=0.45,VLOOKUP(Calculator!E23,tbSkills!DH3:DI6,2,FALSE)+IF(AND(Calculator!B8=TRUE,Backdoors!BI10=TRUE),VLOOKUP(Calculator!E23,tbSkills!DH3:DJ6,3,FALSE),0),0))&gt;=100,100,(Backdoors!AI12+IF(AY84&gt;=0.45,VLOOKUP(Calculator!E23,tbSkills!DH3:DI6,2,FALSE)+IF(AND(Calculator!B8=TRUE,Backdoors!BI10=TRUE),VLOOKUP(Calculator!E23,tbSkills!DH3:DJ6,3,FALSE),0),0)))/100)),1))*IF(VLOOKUP(A84,tbMoveset!A2:K112,11,FALSE)=TRUE,Backdoors!AC5,1))*AZ84,0),"")</f>
        <v>0</v>
      </c>
      <c r="BD84" s="49">
        <f>VLOOKUP(A84,tbMoveset!A2:G112,7,FALSE)*IFERROR(IF(Backdoors!AI12&gt;=0,1+(IF(Calculator!E40&gt;0,VLOOKUP(Calculator!E40,tbSkills!AI3:AJ5,2,FALSE),Backdoors!AL4)*(IF((Backdoors!AI12+IF(AY84&gt;=0.45,VLOOKUP(Calculator!E23,tbSkills!DH3:DI6,2,FALSE)+IF(AND(Calculator!B8=TRUE,Backdoors!BI10=TRUE),VLOOKUP(Calculator!E23,tbSkills!DH3:DJ6,3,FALSE),0),0))&gt;=100,100,(Backdoors!AI12+IF(AY84&gt;=0.45,VLOOKUP(Calculator!E23,tbSkills!DH3:DI6,2,FALSE)+IF(AND(Calculator!B8=TRUE,Backdoors!BI10=TRUE),VLOOKUP(Calculator!E23,tbSkills!DH3:DJ6,3,FALSE),0),0)))/100)),1),1)</f>
        <v>0.4</v>
      </c>
      <c r="BE84" s="87">
        <f t="shared" si="58"/>
        <v>8</v>
      </c>
      <c r="BF84" s="86" t="str">
        <f>IFERROR(IF(VLOOKUP(A84,tbMoveset!A2:B112,2,FALSE)="Sever",Backdoors!AY11/100,IF(VLOOKUP(A84,tbMoveset!A2:B112,2,FALSE)="Blunt",Backdoors!AZ11/100,Backdoors!BA11/100)),"")</f>
        <v/>
      </c>
      <c r="BG84" s="49">
        <f>IFERROR(IF(VLOOKUP(tbMoveset!A84,tbMoveset!A2:H112,8,FALSE)="Other",IF(VLOOKUP(tbMoveset!A84,tbMoveset!A2:I112,9,FALSE)="Fire",Backdoors!BB11,IF(VLOOKUP(tbMoveset!A84,tbMoveset!A2:I112,9,FALSE)="Water",Backdoors!BC11,IF(VLOOKUP(tbMoveset!A84,tbMoveset!A2:I112,9,FALSE)="Thunder",Backdoors!BD11,IF(VLOOKUP(tbMoveset!A84,tbMoveset!A2:I112,9,FALSE)="Ice",Backdoors!BE11,IF(VLOOKUP(tbMoveset!A84,tbMoveset!A2:I112,9,FALSE)="Dragon",Backdoors!BF11,Backdoors!BG11)))))/100,Backdoors!BG11/100),"")</f>
        <v>0</v>
      </c>
      <c r="BH84" s="49">
        <f>IFERROR(IF(VLOOKUP(A84,tbMoveset!A2:J112,10,FALSE)=TRUE,IF((Backdoors!AI12+IF(BF84&gt;=0.45,VLOOKUP(Calculator!E23,tbSkills!DH3:DI6,2,FALSE)+IF(AND(Calculator!B8=TRUE,Backdoors!BI11=TRUE),VLOOKUP(Calculator!E23,tbSkills!DH3:DJ6,3,FALSE),0),0))&gt;=0,1+(Backdoors!AL2*(IF((Backdoors!AI12+IF(BF84&gt;=0.45,VLOOKUP(Calculator!E23,tbSkills!DH3:DI6,2,FALSE)+IF(AND(Calculator!B8=TRUE,Backdoors!BI11=TRUE),VLOOKUP(Calculator!E23,tbSkills!DH3:DJ6,3,FALSE),0),0))&gt;=100,100,(Backdoors!AI12+IF(BF84&gt;=0.45,VLOOKUP(Calculator!E23,tbSkills!DH3:DI6,2,FALSE)+IF(AND(Calculator!B8=TRUE,Backdoors!BI11=TRUE),VLOOKUP(Calculator!E23,tbSkills!DH3:DJ6,3,FALSE),0),0)))/100)),(1-(0.25*((-Backdoors!AI12-IF(BF84&gt;=0.45,VLOOKUP(Calculator!E23,tbSkills!DH3:DI6,2,FALSE)+IF(AND(Calculator!B8=TRUE,Backdoors!BI11=TRUE),VLOOKUP(Calculator!E23,tbSkills!DH3:DJ6,3,FALSE),0),0))/100)))),1),"")</f>
        <v>1</v>
      </c>
      <c r="BI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F84)*BH84)*(VLOOKUP(A84,tbMoveset!A2:C112,3,FALSE)/100)*IF(VLOOKUP(A84,tbMoveset!A2:B112,2,FALSE)="Projectile",Backdoors!N10,Backdoors!N9),0),"")</f>
        <v/>
      </c>
      <c r="BJ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F84&gt;=0.45,VLOOKUP(Calculator!E23,tbSkills!DH3:DI6,2,FALSE)+IF(AND(Calculator!B8=TRUE,Backdoors!BI11=TRUE),VLOOKUP(Calculator!E23,tbSkills!DH3:DJ6,3,FALSE),0),0))&gt;=100,100,(Backdoors!AI12+IF(BF84&gt;=0.45,VLOOKUP(Calculator!E23,tbSkills!DH3:DI6,2,FALSE)+IF(AND(Calculator!B8=TRUE,Backdoors!BI11=TRUE),VLOOKUP(Calculator!E23,tbSkills!DH3:DJ6,3,FALSE),0),0)))/100)),1))*IF(VLOOKUP(A84,tbMoveset!A2:K112,11,FALSE)=TRUE,Backdoors!AC5,1))*BG84,0),"")</f>
        <v>0</v>
      </c>
      <c r="BK84" s="49">
        <f>VLOOKUP(A84,tbMoveset!A2:G112,7,FALSE)*IFERROR(IF(Backdoors!AI12&gt;=0,1+(IF(Calculator!E40&gt;0,VLOOKUP(Calculator!E40,tbSkills!AI3:AJ5,2,FALSE),Backdoors!AL4)*(IF((Backdoors!AI12+IF(BF84&gt;=0.45,VLOOKUP(Calculator!E23,tbSkills!DH3:DI6,2,FALSE)+IF(AND(Calculator!B8=TRUE,Backdoors!BI11=TRUE),VLOOKUP(Calculator!E23,tbSkills!DH3:DJ6,3,FALSE),0),0))&gt;=100,100,(Backdoors!AI12+IF(BF84&gt;=0.45,VLOOKUP(Calculator!E23,tbSkills!DH3:DI6,2,FALSE)+IF(AND(Calculator!B8=TRUE,Backdoors!BI11=TRUE),VLOOKUP(Calculator!E23,tbSkills!DH3:DJ6,3,FALSE),0),0)))/100)),1),1)</f>
        <v>0.4</v>
      </c>
      <c r="BL84" s="87">
        <f t="shared" si="59"/>
        <v>0</v>
      </c>
      <c r="BM84" s="86" t="str">
        <f>IFERROR(IF(VLOOKUP(A84,tbMoveset!A2:B112,2,FALSE)="Sever",Backdoors!AY12/100,IF(VLOOKUP(A84,tbMoveset!A2:B112,2,FALSE)="Blunt",Backdoors!AZ12/100,Backdoors!BA12/100)),"")</f>
        <v/>
      </c>
      <c r="BN84" s="49">
        <f>IFERROR(IF(VLOOKUP(tbMoveset!A84,tbMoveset!A2:H112,8,FALSE)="Other",IF(VLOOKUP(tbMoveset!A84,tbMoveset!A2:I112,9,FALSE)="Fire",Backdoors!BB12,IF(VLOOKUP(tbMoveset!A84,tbMoveset!A2:I112,9,FALSE)="Water",Backdoors!BC12,IF(VLOOKUP(tbMoveset!A84,tbMoveset!A2:I112,9,FALSE)="Thunder",Backdoors!BD12,IF(VLOOKUP(tbMoveset!A84,tbMoveset!A2:I112,9,FALSE)="Ice",Backdoors!BE12,IF(VLOOKUP(tbMoveset!A84,tbMoveset!A2:I112,9,FALSE)="Dragon",Backdoors!BF12,Backdoors!BG12)))))/100,Backdoors!BG12/100),"")</f>
        <v>0</v>
      </c>
      <c r="BO84" s="49">
        <f>IFERROR(IF(VLOOKUP(A84,tbMoveset!A2:J112,10,FALSE)=TRUE,IF((Backdoors!AI12+IF(BM84&gt;=0.45,VLOOKUP(Calculator!E23,tbSkills!DH3:DI6,2,FALSE)+IF(AND(Calculator!B8=TRUE,Backdoors!BI12=TRUE),VLOOKUP(Calculator!E23,tbSkills!DH3:DJ6,3,FALSE),0),0))&gt;=0,1+(Backdoors!AL2*(IF((Backdoors!AI12+IF(BM84&gt;=0.45,VLOOKUP(Calculator!E23,tbSkills!DH3:DI6,2,FALSE)+IF(AND(Calculator!B8=TRUE,Backdoors!BI12=TRUE),VLOOKUP(Calculator!E23,tbSkills!DH3:DJ6,3,FALSE),0),0))&gt;=100,100,(Backdoors!AI12+IF(BM84&gt;=0.45,VLOOKUP(Calculator!E23,tbSkills!DH3:DI6,2,FALSE)+IF(AND(Calculator!B8=TRUE,Backdoors!BI12=TRUE),VLOOKUP(Calculator!E23,tbSkills!DH3:DJ6,3,FALSE),0),0)))/100)),(1-(0.25*((-Backdoors!AI12-IF(BM84&gt;=0.45,VLOOKUP(Calculator!E23,tbSkills!DH3:DI6,2,FALSE)+IF(AND(Calculator!B8=TRUE,Backdoors!BI12=TRUE),VLOOKUP(Calculator!E23,tbSkills!DH3:DJ6,3,FALSE),0),0))/100)))),1),"")</f>
        <v>1</v>
      </c>
      <c r="BP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M84)*BO84)*(VLOOKUP(A84,tbMoveset!A2:C112,3,FALSE)/100)*IF(VLOOKUP(A84,tbMoveset!A2:B112,2,FALSE)="Projectile",Backdoors!N10,Backdoors!N9),0),"")</f>
        <v/>
      </c>
      <c r="BQ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M84&gt;=0.45,VLOOKUP(Calculator!E23,tbSkills!DH3:DI6,2,FALSE)+IF(AND(Calculator!B8=TRUE,Backdoors!BI12=TRUE),VLOOKUP(Calculator!E23,tbSkills!DH3:DJ6,3,FALSE),0),0))&gt;=100,100,(Backdoors!AI12+IF(BM84&gt;=0.45,VLOOKUP(Calculator!E23,tbSkills!DH3:DI6,2,FALSE)+IF(AND(Calculator!B8=TRUE,Backdoors!BI12=TRUE),VLOOKUP(Calculator!E23,tbSkills!DH3:DJ6,3,FALSE),0),0)))/100)),1))*IF(VLOOKUP(A84,tbMoveset!A2:K112,11,FALSE)=TRUE,Backdoors!AC5,1))*BN84,0),"")</f>
        <v>0</v>
      </c>
      <c r="BR84" s="49">
        <f>VLOOKUP(A84,tbMoveset!A2:G112,7,FALSE)*IFERROR(IF(Backdoors!AI12&gt;=0,1+(IF(Calculator!E40&gt;0,VLOOKUP(Calculator!E40,tbSkills!AI3:AJ5,2,FALSE),Backdoors!AL4)*(IF((Backdoors!AI12+IF(BM84&gt;=0.45,VLOOKUP(Calculator!E23,tbSkills!DH3:DI6,2,FALSE)+IF(AND(Calculator!B8=TRUE,Backdoors!BI12=TRUE),VLOOKUP(Calculator!E23,tbSkills!DH3:DJ6,3,FALSE),0),0))&gt;=100,100,(Backdoors!AI12+IF(BM84&gt;=0.45,VLOOKUP(Calculator!E23,tbSkills!DH3:DI6,2,FALSE)+IF(AND(Calculator!B8=TRUE,Backdoors!BI12=TRUE),VLOOKUP(Calculator!E23,tbSkills!DH3:DJ6,3,FALSE),0),0)))/100)),1),1)</f>
        <v>0.4</v>
      </c>
      <c r="BS84" s="87">
        <f t="shared" si="60"/>
        <v>0</v>
      </c>
      <c r="BT84" s="86" t="str">
        <f>IFERROR(IF(VLOOKUP(A84,tbMoveset!A2:B112,2,FALSE)="Sever",Backdoors!AY13/100,IF(VLOOKUP(A84,tbMoveset!A2:B112,2,FALSE)="Blunt",Backdoors!AZ13/100,Backdoors!BA13/100)),"")</f>
        <v/>
      </c>
      <c r="BU84" s="49">
        <f>IFERROR(IF(VLOOKUP(tbMoveset!A84,tbMoveset!A2:H112,8,FALSE)="Other",IF(VLOOKUP(tbMoveset!A84,tbMoveset!A2:I112,9,FALSE)="Fire",Backdoors!BB13,IF(VLOOKUP(tbMoveset!A84,tbMoveset!A2:I112,9,FALSE)="Water",Backdoors!BC13,IF(VLOOKUP(tbMoveset!A84,tbMoveset!A2:I112,9,FALSE)="Thunder",Backdoors!BD13,IF(VLOOKUP(tbMoveset!A84,tbMoveset!A2:I112,9,FALSE)="Ice",Backdoors!BE13,IF(VLOOKUP(tbMoveset!A84,tbMoveset!A2:I112,9,FALSE)="Dragon",Backdoors!BF13,Backdoors!BG13)))))/100,Backdoors!BG13/100),"")</f>
        <v>0</v>
      </c>
      <c r="BV84" s="49">
        <f>IFERROR(IF(VLOOKUP(A84,tbMoveset!A2:J112,10,FALSE)=TRUE,IF((Backdoors!AI12+IF(BT84&gt;=0.45,VLOOKUP(Calculator!E23,tbSkills!DH3:DI6,2,FALSE)+IF(AND(Calculator!B8=TRUE,Backdoors!BI13=TRUE),VLOOKUP(Calculator!E23,tbSkills!DH3:DJ6,3,FALSE),0),0))&gt;=0,1+(Backdoors!AL2*(IF((Backdoors!AI12+IF(BT84&gt;=0.45,VLOOKUP(Calculator!E23,tbSkills!DH3:DI6,2,FALSE)+IF(AND(Calculator!B8=TRUE,Backdoors!BI13=TRUE),VLOOKUP(Calculator!E23,tbSkills!DH3:DJ6,3,FALSE),0),0))&gt;=100,100,(Backdoors!AI12+IF(BT84&gt;=0.45,VLOOKUP(Calculator!E23,tbSkills!DH3:DI6,2,FALSE)+IF(AND(Calculator!B8=TRUE,Backdoors!BI13=TRUE),VLOOKUP(Calculator!E23,tbSkills!DH3:DJ6,3,FALSE),0),0)))/100)),(1-(0.25*((-Backdoors!AI12-IF(BT84&gt;=0.45,VLOOKUP(Calculator!E23,tbSkills!DH3:DI6,2,FALSE)+IF(AND(Calculator!B8=TRUE,Backdoors!BI13=TRUE),VLOOKUP(Calculator!E23,tbSkills!DH3:DJ6,3,FALSE),0),0))/100)))),1),"")</f>
        <v>1</v>
      </c>
      <c r="BW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T84)*BV84)*(VLOOKUP(A84,tbMoveset!A2:C112,3,FALSE)/100)*IF(VLOOKUP(A84,tbMoveset!A2:B112,2,FALSE)="Projectile",Backdoors!N10,Backdoors!N9),0),"")</f>
        <v/>
      </c>
      <c r="BX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T84&gt;=0.45,VLOOKUP(Calculator!E23,tbSkills!DH3:DI6,2,FALSE)+IF(AND(Calculator!B8=TRUE,Backdoors!BI13=TRUE),VLOOKUP(Calculator!E23,tbSkills!DH3:DJ6,3,FALSE),0),0))&gt;=100,100,(Backdoors!AI12+IF(BT84&gt;=0.45,VLOOKUP(Calculator!E23,tbSkills!DH3:DI6,2,FALSE)+IF(AND(Calculator!B8=TRUE,Backdoors!BI13=TRUE),VLOOKUP(Calculator!E23,tbSkills!DH3:DJ6,3,FALSE),0),0)))/100)),1))*IF(VLOOKUP(A84,tbMoveset!A2:K112,11,FALSE)=TRUE,Backdoors!AC5,1))*BU84,0),"")</f>
        <v>0</v>
      </c>
      <c r="BY84" s="49">
        <f>VLOOKUP(A84,tbMoveset!A2:G112,7,FALSE)*IFERROR(IF(Backdoors!AI12&gt;=0,1+(IF(Calculator!E40&gt;0,VLOOKUP(Calculator!E40,tbSkills!AI3:AJ5,2,FALSE),Backdoors!AL4)*(IF((Backdoors!AI12+IF(BT84&gt;=0.45,VLOOKUP(Calculator!E23,tbSkills!DH3:DI6,2,FALSE)+IF(AND(Calculator!B8=TRUE,Backdoors!BI13=TRUE),VLOOKUP(Calculator!E23,tbSkills!DH3:DJ6,3,FALSE),0),0))&gt;=100,100,(Backdoors!AI12+IF(BT84&gt;=0.45,VLOOKUP(Calculator!E23,tbSkills!DH3:DI6,2,FALSE)+IF(AND(Calculator!B8=TRUE,Backdoors!BI13=TRUE),VLOOKUP(Calculator!E23,tbSkills!DH3:DJ6,3,FALSE),0),0)))/100)),1),1)</f>
        <v>0.4</v>
      </c>
      <c r="BZ84" s="87">
        <f t="shared" si="61"/>
        <v>0</v>
      </c>
      <c r="CA84" s="86" t="str">
        <f>IFERROR(IF(VLOOKUP(A84,tbMoveset!A2:B112,2,FALSE)="Sever",Backdoors!AY14/100,IF(VLOOKUP(A84,tbMoveset!A2:B112,2,FALSE)="Blunt",Backdoors!AZ14/100,Backdoors!BA14/100)),"")</f>
        <v/>
      </c>
      <c r="CB84" s="49">
        <f>IFERROR(IF(VLOOKUP(tbMoveset!A84,tbMoveset!A2:H112,8,FALSE)="Other",IF(VLOOKUP(tbMoveset!A84,tbMoveset!A2:I112,9,FALSE)="Fire",Backdoors!BB14,IF(VLOOKUP(tbMoveset!A84,tbMoveset!A2:I112,9,FALSE)="Water",Backdoors!BC14,IF(VLOOKUP(tbMoveset!A84,tbMoveset!A2:I112,9,FALSE)="Thunder",Backdoors!BD14,IF(VLOOKUP(tbMoveset!A84,tbMoveset!A2:I112,9,FALSE)="Ice",Backdoors!BE14,IF(VLOOKUP(tbMoveset!A84,tbMoveset!A2:I112,9,FALSE)="Dragon",Backdoors!BF14,Backdoors!BG14)))))/100,Backdoors!BG14/100),"")</f>
        <v>0</v>
      </c>
      <c r="CC84" s="49">
        <f>IFERROR(IF(VLOOKUP(A84,tbMoveset!A2:J112,10,FALSE)=TRUE,IF((Backdoors!AI12+IF(CA84&gt;=0.45,VLOOKUP(Calculator!E23,tbSkills!DH3:DI6,2,FALSE)+IF(AND(Calculator!B8=TRUE,Backdoors!BI14=TRUE),VLOOKUP(Calculator!E23,tbSkills!DH3:DJ6,3,FALSE),0),0))&gt;=0,1+(Backdoors!AL2*(IF((Backdoors!AI12+IF(CA84&gt;=0.45,VLOOKUP(Calculator!E23,tbSkills!DH3:DI6,2,FALSE)+IF(AND(Calculator!B8=TRUE,Backdoors!BI14=TRUE),VLOOKUP(Calculator!E23,tbSkills!DH3:DJ6,3,FALSE),0),0))&gt;=100,100,(Backdoors!AI12+IF(CA84&gt;=0.45,VLOOKUP(Calculator!E23,tbSkills!DH3:DI6,2,FALSE)+IF(AND(Calculator!B8=TRUE,Backdoors!BI14=TRUE),VLOOKUP(Calculator!E23,tbSkills!DH3:DJ6,3,FALSE),0),0)))/100)),(1-(0.25*((-Backdoors!AI12-IF(CA84&gt;=0.45,VLOOKUP(Calculator!E23,tbSkills!DH3:DI6,2,FALSE)+IF(AND(Calculator!B8=TRUE,Backdoors!BI14=TRUE),VLOOKUP(Calculator!E23,tbSkills!DH3:DJ6,3,FALSE),0),0))/100)))),1),"")</f>
        <v>1</v>
      </c>
      <c r="CD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A84)*CC84)*(VLOOKUP(A84,tbMoveset!A2:C112,3,FALSE)/100)*IF(VLOOKUP(A84,tbMoveset!A2:B112,2,FALSE)="Projectile",Backdoors!N10,Backdoors!N9),0),"")</f>
        <v/>
      </c>
      <c r="CE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A84&gt;=0.45,VLOOKUP(Calculator!E23,tbSkills!DH3:DI6,2,FALSE)+IF(AND(Calculator!B8=TRUE,Backdoors!BI14=TRUE),VLOOKUP(Calculator!E23,tbSkills!DH3:DJ6,3,FALSE),0),0))&gt;=100,100,(Backdoors!AI12+IF(CA84&gt;=0.45,VLOOKUP(Calculator!E23,tbSkills!DH3:DI6,2,FALSE)+IF(AND(Calculator!B8=TRUE,Backdoors!BI14=TRUE),VLOOKUP(Calculator!E23,tbSkills!DH3:DJ6,3,FALSE),0),0)))/100)),1))*IF(VLOOKUP(A84,tbMoveset!A2:K112,11,FALSE)=TRUE,Backdoors!AC5,1))*CB84,0),"")</f>
        <v>0</v>
      </c>
      <c r="CF84" s="49">
        <f>VLOOKUP(A84,tbMoveset!A2:G112,7,FALSE)*IFERROR(IF(Backdoors!AI12&gt;=0,1+(IF(Calculator!E40&gt;0,VLOOKUP(Calculator!E40,tbSkills!AI3:AJ5,2,FALSE),Backdoors!AL4)*(IF((Backdoors!AI12+IF(CA84&gt;=0.45,VLOOKUP(Calculator!E23,tbSkills!DH3:DI6,2,FALSE)+IF(AND(Calculator!B8=TRUE,Backdoors!BI14=TRUE),VLOOKUP(Calculator!E23,tbSkills!DH3:DJ6,3,FALSE),0),0))&gt;=100,100,(Backdoors!AI12+IF(CA84&gt;=0.45,VLOOKUP(Calculator!E23,tbSkills!DH3:DI6,2,FALSE)+IF(AND(Calculator!B8=TRUE,Backdoors!BI14=TRUE),VLOOKUP(Calculator!E23,tbSkills!DH3:DJ6,3,FALSE),0),0)))/100)),1),1)</f>
        <v>0.4</v>
      </c>
      <c r="CG84" s="87">
        <f t="shared" si="62"/>
        <v>0</v>
      </c>
      <c r="CH84" s="86" t="str">
        <f>IFERROR(IF(VLOOKUP(A84,tbMoveset!A2:B112,2,FALSE)="Sever",Backdoors!AY15/100,IF(VLOOKUP(A84,tbMoveset!A2:B112,2,FALSE)="Blunt",Backdoors!AZ15/100,Backdoors!BA15/100)),"")</f>
        <v/>
      </c>
      <c r="CI84" s="49">
        <f>IFERROR(IF(VLOOKUP(tbMoveset!A84,tbMoveset!A2:H112,8,FALSE)="Other",IF(VLOOKUP(tbMoveset!A84,tbMoveset!A2:I112,9,FALSE)="Fire",Backdoors!BB15,IF(VLOOKUP(tbMoveset!A84,tbMoveset!A2:I112,9,FALSE)="Water",Backdoors!BC15,IF(VLOOKUP(tbMoveset!A84,tbMoveset!A2:I112,9,FALSE)="Thunder",Backdoors!BD15,IF(VLOOKUP(tbMoveset!A84,tbMoveset!A2:I112,9,FALSE)="Ice",Backdoors!BE15,IF(VLOOKUP(tbMoveset!A84,tbMoveset!A2:I112,9,FALSE)="Dragon",Backdoors!BF15,Backdoors!BG15)))))/100,Backdoors!BG15/100),"")</f>
        <v>0</v>
      </c>
      <c r="CJ84" s="49">
        <f>IFERROR(IF(VLOOKUP(A84,tbMoveset!A2:J112,10,FALSE)=TRUE,IF((Backdoors!AI12+IF(CH84&gt;=0.45,VLOOKUP(Calculator!E23,tbSkills!DH3:DI6,2,FALSE)+IF(AND(Calculator!B8=TRUE,Backdoors!BI15=TRUE),VLOOKUP(Calculator!E23,tbSkills!DH3:DJ6,3,FALSE),0),0))&gt;=0,1+(Backdoors!AL2*(IF((Backdoors!AI12+IF(CH84&gt;=0.45,VLOOKUP(Calculator!E23,tbSkills!DH3:DI6,2,FALSE)+IF(AND(Calculator!B8=TRUE,Backdoors!BI15=TRUE),VLOOKUP(Calculator!E23,tbSkills!DH3:DJ6,3,FALSE),0),0))&gt;=100,100,(Backdoors!AI12+IF(CH84&gt;=0.45,VLOOKUP(Calculator!E23,tbSkills!DH3:DI6,2,FALSE)+IF(AND(Calculator!B8=TRUE,Backdoors!BI15=TRUE),VLOOKUP(Calculator!E23,tbSkills!DH3:DJ6,3,FALSE),0),0)))/100)),(1-(0.25*((-Backdoors!AI12-IF(CH84&gt;=0.45,VLOOKUP(Calculator!E23,tbSkills!DH3:DI6,2,FALSE)+IF(AND(Calculator!B8=TRUE,Backdoors!BI15=TRUE),VLOOKUP(Calculator!E23,tbSkills!DH3:DJ6,3,FALSE),0),0))/100)))),1),"")</f>
        <v>1</v>
      </c>
      <c r="CK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H84)*CJ84)*(VLOOKUP(A84,tbMoveset!A2:C112,3,FALSE)/100)*IF(VLOOKUP(A84,tbMoveset!A2:B112,2,FALSE)="Projectile",Backdoors!N10,Backdoors!N9),0),"")</f>
        <v/>
      </c>
      <c r="CL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H84&gt;=0.45,VLOOKUP(Calculator!E23,tbSkills!DH3:DI6,2,FALSE)+IF(AND(Calculator!B8=TRUE,Backdoors!BI15=TRUE),VLOOKUP(Calculator!E23,tbSkills!DH3:DJ6,3,FALSE),0),0))&gt;=100,100,(Backdoors!AI12+IF(CH84&gt;=0.45,VLOOKUP(Calculator!E23,tbSkills!DH3:DI6,2,FALSE)+IF(AND(Calculator!B8=TRUE,Backdoors!BI15=TRUE),VLOOKUP(Calculator!E23,tbSkills!DH3:DJ6,3,FALSE),0),0)))/100)),1))*IF(VLOOKUP(A84,tbMoveset!A2:K112,11,FALSE)=TRUE,Backdoors!AC5,1))*CI84,0),"")</f>
        <v>0</v>
      </c>
      <c r="CM84" s="49">
        <f>VLOOKUP(A84,tbMoveset!A2:G112,7,FALSE)*IFERROR(IF(Backdoors!AI12&gt;=0,1+(IF(Calculator!E40&gt;0,VLOOKUP(Calculator!E40,tbSkills!AI3:AJ5,2,FALSE),Backdoors!AL4)*(IF((Backdoors!AI12+IF(CH84&gt;=0.45,VLOOKUP(Calculator!E23,tbSkills!DH3:DI6,2,FALSE)+IF(AND(Calculator!B8=TRUE,Backdoors!BI15=TRUE),VLOOKUP(Calculator!E23,tbSkills!DH3:DJ6,3,FALSE),0),0))&gt;=100,100,(Backdoors!AI12+IF(CH84&gt;=0.45,VLOOKUP(Calculator!E23,tbSkills!DH3:DI6,2,FALSE)+IF(AND(Calculator!B8=TRUE,Backdoors!BI15=TRUE),VLOOKUP(Calculator!E23,tbSkills!DH3:DJ6,3,FALSE),0),0)))/100)),1),1)</f>
        <v>0.4</v>
      </c>
      <c r="CN84" s="87">
        <f t="shared" si="63"/>
        <v>0</v>
      </c>
      <c r="CO84" s="86" t="str">
        <f>IFERROR(IF(VLOOKUP(A84,tbMoveset!A2:B112,2,FALSE)="Sever",Backdoors!AY16/100,IF(VLOOKUP(A84,tbMoveset!A2:B112,2,FALSE)="Blunt",Backdoors!AZ16/100,Backdoors!BA16/100)),"")</f>
        <v/>
      </c>
      <c r="CP84" s="49">
        <f>IFERROR(IF(VLOOKUP(tbMoveset!A84,tbMoveset!A2:H112,8,FALSE)="Other",IF(VLOOKUP(tbMoveset!A84,tbMoveset!A2:I112,9,FALSE)="Fire",Backdoors!BB16,IF(VLOOKUP(tbMoveset!A84,tbMoveset!A2:I112,9,FALSE)="Water",Backdoors!BC16,IF(VLOOKUP(tbMoveset!A84,tbMoveset!A2:I112,9,FALSE)="Thunder",Backdoors!BD16,IF(VLOOKUP(tbMoveset!A84,tbMoveset!A2:I112,9,FALSE)="Ice",Backdoors!BE16,IF(VLOOKUP(tbMoveset!A84,tbMoveset!A2:I112,9,FALSE)="Dragon",Backdoors!BF16,Backdoors!BG16)))))/100,Backdoors!BG16/100),"")</f>
        <v>0</v>
      </c>
      <c r="CQ84" s="49">
        <f>IFERROR(IF(VLOOKUP(A84,tbMoveset!A2:J112,10,FALSE)=TRUE,IF((Backdoors!AI12+IF(CO84&gt;=0.45,VLOOKUP(Calculator!E23,tbSkills!DH3:DI6,2,FALSE)+IF(AND(Calculator!B8=TRUE,Backdoors!BI16=TRUE),VLOOKUP(Calculator!E23,tbSkills!DH3:DJ6,3,FALSE),0),0))&gt;=0,1+(Backdoors!AL2*(IF((Backdoors!AI12+IF(CO84&gt;=0.45,VLOOKUP(Calculator!E23,tbSkills!DH3:DI6,2,FALSE)+IF(AND(Calculator!B8=TRUE,Backdoors!BI16=TRUE),VLOOKUP(Calculator!E23,tbSkills!DH3:DJ6,3,FALSE),0),0))&gt;=100,100,(Backdoors!AI12+IF(CO84&gt;=0.45,VLOOKUP(Calculator!E23,tbSkills!DH3:DI6,2,FALSE)+IF(AND(Calculator!B8=TRUE,Backdoors!BI16=TRUE),VLOOKUP(Calculator!E23,tbSkills!DH3:DJ6,3,FALSE),0),0)))/100)),(1-(0.25*((-Backdoors!AI12-IF(CO84&gt;=0.45,VLOOKUP(Calculator!E23,tbSkills!DH3:DI6,2,FALSE)+IF(AND(Calculator!B8=TRUE,Backdoors!BI16=TRUE),VLOOKUP(Calculator!E23,tbSkills!DH3:DJ6,3,FALSE),0),0))/100)))),1),"")</f>
        <v>1</v>
      </c>
      <c r="CR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O84)*CQ84)*(VLOOKUP(A84,tbMoveset!A2:C112,3,FALSE)/100)*IF(VLOOKUP(A84,tbMoveset!A2:B112,2,FALSE)="Projectile",Backdoors!N10,Backdoors!N9),0),"")</f>
        <v/>
      </c>
      <c r="CS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O84&gt;=0.45,VLOOKUP(Calculator!E23,tbSkills!DH3:DI6,2,FALSE)+IF(AND(Calculator!B8=TRUE,Backdoors!BI16=TRUE),VLOOKUP(Calculator!E23,tbSkills!DH3:DJ6,3,FALSE),0),0))&gt;=100,100,(Backdoors!AI12+IF(CO84&gt;=0.45,VLOOKUP(Calculator!E23,tbSkills!DH3:DI6,2,FALSE)+IF(AND(Calculator!B8=TRUE,Backdoors!BI16=TRUE),VLOOKUP(Calculator!E23,tbSkills!DH3:DJ6,3,FALSE),0),0)))/100)),1))*IF(VLOOKUP(A84,tbMoveset!A2:K112,11,FALSE)=TRUE,Backdoors!AC5,1))*CP84,0),"")</f>
        <v>0</v>
      </c>
      <c r="CT84" s="49">
        <f>VLOOKUP(A84,tbMoveset!A2:G112,7,FALSE)*IFERROR(IF(Backdoors!AI12&gt;=0,1+(IF(Calculator!E40&gt;0,VLOOKUP(Calculator!E40,tbSkills!AI3:AJ5,2,FALSE),Backdoors!AL4)*(IF((Backdoors!AI12+IF(CO84&gt;=0.45,VLOOKUP(Calculator!E23,tbSkills!DH3:DI6,2,FALSE)+IF(AND(Calculator!B8=TRUE,Backdoors!BI16=TRUE),VLOOKUP(Calculator!E23,tbSkills!DH3:DJ6,3,FALSE),0),0))&gt;=100,100,(Backdoors!AI12+IF(CO84&gt;=0.45,VLOOKUP(Calculator!E23,tbSkills!DH3:DI6,2,FALSE)+IF(AND(Calculator!B8=TRUE,Backdoors!BI16=TRUE),VLOOKUP(Calculator!E23,tbSkills!DH3:DJ6,3,FALSE),0),0)))/100)),1),1)</f>
        <v>0.4</v>
      </c>
      <c r="CU84" s="87">
        <f t="shared" si="64"/>
        <v>0</v>
      </c>
      <c r="CV84" s="86" t="str">
        <f>IFERROR(IF(VLOOKUP(A84,tbMoveset!A2:B112,2,FALSE)="Sever",Backdoors!AY17/100,IF(VLOOKUP(A84,tbMoveset!A2:B112,2,FALSE)="Blunt",Backdoors!AZ17/100,Backdoors!BA17/100)),"")</f>
        <v/>
      </c>
      <c r="CW84" s="49">
        <f>IFERROR(IF(VLOOKUP(tbMoveset!A84,tbMoveset!A2:H112,8,FALSE)="Other",IF(VLOOKUP(tbMoveset!A84,tbMoveset!A2:I112,9,FALSE)="Fire",Backdoors!BB17,IF(VLOOKUP(tbMoveset!A84,tbMoveset!A2:I112,9,FALSE)="Water",Backdoors!BC17,IF(VLOOKUP(tbMoveset!A84,tbMoveset!A2:I112,9,FALSE)="Thunder",Backdoors!BD17,IF(VLOOKUP(tbMoveset!A84,tbMoveset!A2:I112,9,FALSE)="Ice",Backdoors!BE17,IF(VLOOKUP(tbMoveset!A84,tbMoveset!A2:I112,9,FALSE)="Dragon",Backdoors!BF17,Backdoors!BG17)))))/100,Backdoors!BG17/100),"")</f>
        <v>0</v>
      </c>
      <c r="CX84" s="49">
        <f>IFERROR(IF(VLOOKUP(A84,tbMoveset!A2:J112,10,FALSE)=TRUE,IF((Backdoors!AI12+IF(CV84&gt;=0.45,VLOOKUP(Calculator!E23,tbSkills!DH3:DI6,2,FALSE)+IF(AND(Calculator!B8=TRUE,Backdoors!BI17=TRUE),VLOOKUP(Calculator!E23,tbSkills!DH3:DJ6,3,FALSE),0),0))&gt;=0,1+(Backdoors!AL2*(IF((Backdoors!AI12+IF(CV84&gt;=0.45,VLOOKUP(Calculator!E23,tbSkills!DH3:DI6,2,FALSE)+IF(AND(Calculator!B8=TRUE,Backdoors!BI17=TRUE),VLOOKUP(Calculator!E23,tbSkills!DH3:DJ6,3,FALSE),0),0))&gt;=100,100,(Backdoors!AI12+IF(CV84&gt;=0.45,VLOOKUP(Calculator!E23,tbSkills!DH3:DI6,2,FALSE)+IF(AND(Calculator!B8=TRUE,Backdoors!BI17=TRUE),VLOOKUP(Calculator!E23,tbSkills!DH3:DJ6,3,FALSE),0),0)))/100)),(1-(0.25*((-Backdoors!AI12-IF(CV84&gt;=0.45,VLOOKUP(Calculator!E23,tbSkills!DH3:DI6,2,FALSE)+IF(AND(Calculator!B8=TRUE,Backdoors!BI17=TRUE),VLOOKUP(Calculator!E23,tbSkills!DH3:DJ6,3,FALSE),0),0))/100)))),1),"")</f>
        <v>1</v>
      </c>
      <c r="CY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V84)*CX84)*(VLOOKUP(A84,tbMoveset!A2:C112,3,FALSE)/100)*IF(VLOOKUP(A84,tbMoveset!A2:B112,2,FALSE)="Projectile",Backdoors!N10,Backdoors!N9),0),"")</f>
        <v/>
      </c>
      <c r="CZ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V84&gt;=0.45,VLOOKUP(Calculator!E23,tbSkills!DH3:DI6,2,FALSE)+IF(AND(Calculator!B8=TRUE,Backdoors!BI17=TRUE),VLOOKUP(Calculator!E23,tbSkills!DH3:DJ6,3,FALSE),0),0))&gt;=100,100,(Backdoors!AI12+IF(CV84&gt;=0.45,VLOOKUP(Calculator!E23,tbSkills!DH3:DI6,2,FALSE)+IF(AND(Calculator!B8=TRUE,Backdoors!BI17=TRUE),VLOOKUP(Calculator!E23,tbSkills!DH3:DJ6,3,FALSE),0),0)))/100)),1))*IF(VLOOKUP(A84,tbMoveset!A2:K112,11,FALSE)=TRUE,Backdoors!AC5,1))*CW84,0),"")</f>
        <v>0</v>
      </c>
      <c r="DA84" s="49">
        <f>VLOOKUP(A84,tbMoveset!A2:G112,7,FALSE)*IFERROR(IF(Backdoors!AI12&gt;=0,1+(IF(Calculator!E40&gt;0,VLOOKUP(Calculator!E40,tbSkills!AI3:AJ5,2,FALSE),Backdoors!AL4)*(IF((Backdoors!AI12+IF(CV84&gt;=0.45,VLOOKUP(Calculator!E23,tbSkills!DH3:DI6,2,FALSE)+IF(AND(Calculator!B8=TRUE,Backdoors!BI17=TRUE),VLOOKUP(Calculator!E23,tbSkills!DH3:DJ6,3,FALSE),0),0))&gt;=100,100,(Backdoors!AI12+IF(CV84&gt;=0.45,VLOOKUP(Calculator!E23,tbSkills!DH3:DI6,2,FALSE)+IF(AND(Calculator!B8=TRUE,Backdoors!BI17=TRUE),VLOOKUP(Calculator!E23,tbSkills!DH3:DJ6,3,FALSE),0),0)))/100)),1),1)</f>
        <v>0.4</v>
      </c>
      <c r="DB84" s="87">
        <f t="shared" si="65"/>
        <v>0</v>
      </c>
      <c r="DC84" s="86" t="str">
        <f>IFERROR(IF(VLOOKUP(A84,tbMoveset!A2:B112,2,FALSE)="Sever",Backdoors!AY18/100,IF(VLOOKUP(A84,tbMoveset!A2:B112,2,FALSE)="Blunt",Backdoors!AZ18/100,Backdoors!BA18/100)),"")</f>
        <v/>
      </c>
      <c r="DD84" s="49">
        <f>IFERROR(IF(VLOOKUP(tbMoveset!A84,tbMoveset!A2:H112,8,FALSE)="Other",IF(VLOOKUP(tbMoveset!A84,tbMoveset!A2:I112,9,FALSE)="Fire",Backdoors!BB18,IF(VLOOKUP(tbMoveset!A84,tbMoveset!A2:I112,9,FALSE)="Water",Backdoors!BC18,IF(VLOOKUP(tbMoveset!A84,tbMoveset!A2:I112,9,FALSE)="Thunder",Backdoors!BD18,IF(VLOOKUP(tbMoveset!A84,tbMoveset!A2:I112,9,FALSE)="Ice",Backdoors!BE18,IF(VLOOKUP(tbMoveset!A84,tbMoveset!A2:I112,9,FALSE)="Dragon",Backdoors!BF18,Backdoors!BG18)))))/100,Backdoors!BG18/100),"")</f>
        <v>0</v>
      </c>
      <c r="DE84" s="49">
        <f>IFERROR(IF(VLOOKUP(A84,tbMoveset!A2:J112,10,FALSE)=TRUE,IF((Backdoors!AI12+IF(DC84&gt;=0.45,VLOOKUP(Calculator!E23,tbSkills!DH3:DI6,2,FALSE)+IF(AND(Calculator!B8=TRUE,Backdoors!BI18=TRUE),VLOOKUP(Calculator!E23,tbSkills!DH3:DJ6,3,FALSE),0),0))&gt;=0,1+(Backdoors!AL2*(IF((Backdoors!AI12+IF(DC84&gt;=0.45,VLOOKUP(Calculator!E23,tbSkills!DH3:DI6,2,FALSE)+IF(AND(Calculator!B8=TRUE,Backdoors!BI18=TRUE),VLOOKUP(Calculator!E23,tbSkills!DH3:DJ6,3,FALSE),0),0))&gt;=100,100,(Backdoors!AI12+IF(DC84&gt;=0.45,VLOOKUP(Calculator!E23,tbSkills!DH3:DI6,2,FALSE)+IF(AND(Calculator!B8=TRUE,Backdoors!BI18=TRUE),VLOOKUP(Calculator!E23,tbSkills!DH3:DJ6,3,FALSE),0),0)))/100)),(1-(0.25*((-Backdoors!AI12-IF(DC84&gt;=0.45,VLOOKUP(Calculator!E23,tbSkills!DH3:DI6,2,FALSE)+IF(AND(Calculator!B8=TRUE,Backdoors!BI18=TRUE),VLOOKUP(Calculator!E23,tbSkills!DH3:DJ6,3,FALSE),0),0))/100)))),1),"")</f>
        <v>1</v>
      </c>
      <c r="DF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C84)*DE84)*(VLOOKUP(A84,tbMoveset!A2:C112,3,FALSE)/100)*IF(VLOOKUP(A84,tbMoveset!A2:B112,2,FALSE)="Projectile",Backdoors!N10,Backdoors!N9),0),"")</f>
        <v/>
      </c>
      <c r="DG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C84&gt;=0.45,VLOOKUP(Calculator!E23,tbSkills!DH3:DI6,2,FALSE)+IF(AND(Calculator!B8=TRUE,Backdoors!BI18=TRUE),VLOOKUP(Calculator!E23,tbSkills!DH3:DJ6,3,FALSE),0),0))&gt;=100,100,(Backdoors!AI12+IF(DC84&gt;=0.45,VLOOKUP(Calculator!E23,tbSkills!DH3:DI6,2,FALSE)+IF(AND(Calculator!B8=TRUE,Backdoors!BI18=TRUE),VLOOKUP(Calculator!E23,tbSkills!DH3:DJ6,3,FALSE),0),0)))/100)),1))*IF(VLOOKUP(A84,tbMoveset!A2:K112,11,FALSE)=TRUE,Backdoors!AC5,1))*DD84,0),"")</f>
        <v>0</v>
      </c>
      <c r="DH84" s="49">
        <f>VLOOKUP(A84,tbMoveset!A2:G112,7,FALSE)*IFERROR(IF(Backdoors!AI12&gt;=0,1+(IF(Calculator!E40&gt;0,VLOOKUP(Calculator!E40,tbSkills!AI3:AJ5,2,FALSE),Backdoors!AL4)*(IF((Backdoors!AI12+IF(DC84&gt;=0.45,VLOOKUP(Calculator!E23,tbSkills!DH3:DI6,2,FALSE)+IF(AND(Calculator!B8=TRUE,Backdoors!BI18=TRUE),VLOOKUP(Calculator!E23,tbSkills!DH3:DJ6,3,FALSE),0),0))&gt;=100,100,(Backdoors!AI12+IF(DC84&gt;=0.45,VLOOKUP(Calculator!E23,tbSkills!DH3:DI6,2,FALSE)+IF(AND(Calculator!B8=TRUE,Backdoors!BI18=TRUE),VLOOKUP(Calculator!E23,tbSkills!DH3:DJ6,3,FALSE),0),0)))/100)),1),1)</f>
        <v>0.4</v>
      </c>
      <c r="DI84" s="87">
        <f t="shared" si="66"/>
        <v>0</v>
      </c>
      <c r="DJ84" s="86" t="str">
        <f>IFERROR(IF(VLOOKUP(A84,tbMoveset!A2:B112,2,FALSE)="Sever",Backdoors!AY19/100,IF(VLOOKUP(A84,tbMoveset!A2:B112,2,FALSE)="Blunt",Backdoors!AZ19/100,Backdoors!BA19/100)),"")</f>
        <v/>
      </c>
      <c r="DK84" s="49">
        <f>IFERROR(IF(VLOOKUP(tbMoveset!A84,tbMoveset!A2:H112,8,FALSE)="Other",IF(VLOOKUP(tbMoveset!A84,tbMoveset!A2:I112,9,FALSE)="Fire",Backdoors!BB19,IF(VLOOKUP(tbMoveset!A84,tbMoveset!A2:I112,9,FALSE)="Water",Backdoors!BC19,IF(VLOOKUP(tbMoveset!A84,tbMoveset!A2:I112,9,FALSE)="Thunder",Backdoors!BD19,IF(VLOOKUP(tbMoveset!A84,tbMoveset!A2:I112,9,FALSE)="Ice",Backdoors!BE19,IF(VLOOKUP(tbMoveset!A84,tbMoveset!A2:I112,9,FALSE)="Dragon",Backdoors!BF19,Backdoors!BG19)))))/100,Backdoors!BG19/100),"")</f>
        <v>0</v>
      </c>
      <c r="DL84" s="49">
        <f>IFERROR(IF(VLOOKUP(A84,tbMoveset!A2:J112,10,FALSE)=TRUE,IF((Backdoors!AI12+IF(DJ84&gt;=0.45,VLOOKUP(Calculator!E23,tbSkills!DH3:DI6,2,FALSE)+IF(AND(Calculator!B8=TRUE,Backdoors!BI19=TRUE),VLOOKUP(Calculator!E23,tbSkills!DH3:DJ6,3,FALSE),0),0))&gt;=0,1+(Backdoors!AL2*(IF((Backdoors!AI12+IF(DJ84&gt;=0.45,VLOOKUP(Calculator!E23,tbSkills!DH3:DI6,2,FALSE)+IF(AND(Calculator!B8=TRUE,Backdoors!BI19=TRUE),VLOOKUP(Calculator!E23,tbSkills!DH3:DJ6,3,FALSE),0),0))&gt;=100,100,(Backdoors!AI12+IF(DJ84&gt;=0.45,VLOOKUP(Calculator!E23,tbSkills!DH3:DI6,2,FALSE)+IF(AND(Calculator!B8=TRUE,Backdoors!BI19=TRUE),VLOOKUP(Calculator!E23,tbSkills!DH3:DJ6,3,FALSE),0),0)))/100)),(1-(0.25*((-Backdoors!AI12-IF(DJ84&gt;=0.45,VLOOKUP(Calculator!E23,tbSkills!DH3:DI6,2,FALSE)+IF(AND(Calculator!B8=TRUE,Backdoors!BI19=TRUE),VLOOKUP(Calculator!E23,tbSkills!DH3:DJ6,3,FALSE),0),0))/100)))),1),"")</f>
        <v>1</v>
      </c>
      <c r="DM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J84)*DL84)*(VLOOKUP(A84,tbMoveset!A2:C112,3,FALSE)/100)*IF(VLOOKUP(A84,tbMoveset!A2:B112,2,FALSE)="Projectile",Backdoors!N10,Backdoors!N9),0),"")</f>
        <v/>
      </c>
      <c r="DN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J84&gt;=0.45,VLOOKUP(Calculator!E23,tbSkills!DH3:DI6,2,FALSE)+IF(AND(Calculator!B8=TRUE,Backdoors!BI19=TRUE),VLOOKUP(Calculator!E23,tbSkills!DH3:DJ6,3,FALSE),0),0))&gt;=100,100,(Backdoors!AI12+IF(DJ84&gt;=0.45,VLOOKUP(Calculator!E23,tbSkills!DH3:DI6,2,FALSE)+IF(AND(Calculator!B8=TRUE,Backdoors!BI19=TRUE),VLOOKUP(Calculator!E23,tbSkills!DH3:DJ6,3,FALSE),0),0)))/100)),1))*IF(VLOOKUP(A84,tbMoveset!A2:K112,11,FALSE)=TRUE,Backdoors!AC5,1))*DK84,0),"")</f>
        <v>0</v>
      </c>
      <c r="DO84" s="49">
        <f>VLOOKUP(A84,tbMoveset!A2:G112,7,FALSE)*IFERROR(IF(Backdoors!AI12&gt;=0,1+(IF(Calculator!E40&gt;0,VLOOKUP(Calculator!E40,tbSkills!AI3:AJ5,2,FALSE),Backdoors!AL4)*(IF((Backdoors!AI12+IF(DJ84&gt;=0.45,VLOOKUP(Calculator!E23,tbSkills!DH3:DI6,2,FALSE)+IF(AND(Calculator!B8=TRUE,Backdoors!BI19=TRUE),VLOOKUP(Calculator!E23,tbSkills!DH3:DJ6,3,FALSE),0),0))&gt;=100,100,(Backdoors!AI12+IF(DJ84&gt;=0.45,VLOOKUP(Calculator!E23,tbSkills!DH3:DI6,2,FALSE)+IF(AND(Calculator!B8=TRUE,Backdoors!BI19=TRUE),VLOOKUP(Calculator!E23,tbSkills!DH3:DJ6,3,FALSE),0),0)))/100)),1),1)</f>
        <v>0.4</v>
      </c>
      <c r="DP84" s="87">
        <f t="shared" si="67"/>
        <v>0</v>
      </c>
      <c r="DQ84" s="86" t="str">
        <f>IFERROR(IF(VLOOKUP(A84,tbMoveset!A2:B112,2,FALSE)="Sever",Backdoors!AY20/100,IF(VLOOKUP(A84,tbMoveset!A2:B112,2,FALSE)="Blunt",Backdoors!AZ20/100,Backdoors!BA20/100)),"")</f>
        <v/>
      </c>
      <c r="DR84" s="49">
        <f>IFERROR(IF(VLOOKUP(tbMoveset!A84,tbMoveset!A2:H112,8,FALSE)="Other",IF(VLOOKUP(tbMoveset!A84,tbMoveset!A2:I112,9,FALSE)="Fire",Backdoors!BB20,IF(VLOOKUP(tbMoveset!A84,tbMoveset!A2:I112,9,FALSE)="Water",Backdoors!BC20,IF(VLOOKUP(tbMoveset!A84,tbMoveset!A2:I112,9,FALSE)="Thunder",Backdoors!BD20,IF(VLOOKUP(tbMoveset!A84,tbMoveset!A2:I112,9,FALSE)="Ice",Backdoors!BE20,IF(VLOOKUP(tbMoveset!A84,tbMoveset!A2:I112,9,FALSE)="Dragon",Backdoors!BF20,Backdoors!BG20)))))/100,Backdoors!BG20/100),"")</f>
        <v>0</v>
      </c>
      <c r="DS84" s="49">
        <f>IFERROR(IF(VLOOKUP(A84,tbMoveset!A2:J112,10,FALSE)=TRUE,IF((Backdoors!AI12+IF(DQ84&gt;=0.45,VLOOKUP(Calculator!E23,tbSkills!DH3:DI6,2,FALSE)+IF(AND(Calculator!B8=TRUE,Backdoors!BI20=TRUE),VLOOKUP(Calculator!E23,tbSkills!DH3:DJ6,3,FALSE),0),0))&gt;=0,1+(Backdoors!AL2*(IF((Backdoors!AI12+IF(DQ84&gt;=0.45,VLOOKUP(Calculator!E23,tbSkills!DH3:DI6,2,FALSE)+IF(AND(Calculator!B8=TRUE,Backdoors!BI20=TRUE),VLOOKUP(Calculator!E23,tbSkills!DH3:DJ6,3,FALSE),0),0))&gt;=100,100,(Backdoors!AI12+IF(DQ84&gt;=0.45,VLOOKUP(Calculator!E23,tbSkills!DH3:DI6,2,FALSE)+IF(AND(Calculator!B8=TRUE,Backdoors!BI20=TRUE),VLOOKUP(Calculator!E23,tbSkills!DH3:DJ6,3,FALSE),0),0)))/100)),(1-(0.25*((-Backdoors!AI12-IF(DQ84&gt;=0.45,VLOOKUP(Calculator!E23,tbSkills!DH3:DI6,2,FALSE)+IF(AND(Calculator!B8=TRUE,Backdoors!BI20=TRUE),VLOOKUP(Calculator!E23,tbSkills!DH3:DJ6,3,FALSE),0),0))/100)))),1),"")</f>
        <v>1</v>
      </c>
      <c r="DT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Q84)*DS84)*(VLOOKUP(A84,tbMoveset!A2:C112,3,FALSE)/100)*IF(VLOOKUP(A84,tbMoveset!A2:B112,2,FALSE)="Projectile",Backdoors!N10,Backdoors!N9),0),"")</f>
        <v/>
      </c>
      <c r="DU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Q84&gt;=0.45,VLOOKUP(Calculator!E23,tbSkills!DH3:DI6,2,FALSE)+IF(AND(Calculator!B8=TRUE,Backdoors!BI20=TRUE),VLOOKUP(Calculator!E23,tbSkills!DH3:DJ6,3,FALSE),0),0))&gt;=100,100,(Backdoors!AI12+IF(DQ84&gt;=0.45,VLOOKUP(Calculator!E23,tbSkills!DH3:DI6,2,FALSE)+IF(AND(Calculator!B8=TRUE,Backdoors!BI20=TRUE),VLOOKUP(Calculator!E23,tbSkills!DH3:DJ6,3,FALSE),0),0)))/100)),1))*IF(VLOOKUP(A84,tbMoveset!A2:K112,11,FALSE)=TRUE,Backdoors!AC5,1))*DR84,0),"")</f>
        <v>0</v>
      </c>
      <c r="DV84" s="49">
        <f>VLOOKUP(A84,tbMoveset!A2:G112,7,FALSE)*IFERROR(IF(Backdoors!AI12&gt;=0,1+(IF(Calculator!E40&gt;0,VLOOKUP(Calculator!E40,tbSkills!AI3:AJ5,2,FALSE),Backdoors!AL4)*(IF((Backdoors!AI12+IF(DQ84&gt;=0.45,VLOOKUP(Calculator!E23,tbSkills!DH3:DI6,2,FALSE)+IF(AND(Calculator!B8=TRUE,Backdoors!BI20=TRUE),VLOOKUP(Calculator!E23,tbSkills!DH3:DJ6,3,FALSE),0),0))&gt;=100,100,(Backdoors!AI12+IF(DQ84&gt;=0.45,VLOOKUP(Calculator!E23,tbSkills!DH3:DI6,2,FALSE)+IF(AND(Calculator!B8=TRUE,Backdoors!BI20=TRUE),VLOOKUP(Calculator!E23,tbSkills!DH3:DJ6,3,FALSE),0),0)))/100)),1),1)</f>
        <v>0.4</v>
      </c>
      <c r="DW84" s="87">
        <f t="shared" si="68"/>
        <v>0</v>
      </c>
      <c r="DX84" s="86" t="str">
        <f>IFERROR(IF(VLOOKUP(A84,tbMoveset!A2:B112,2,FALSE)="Sever",Backdoors!AY21/100,IF(VLOOKUP(A84,tbMoveset!A2:B112,2,FALSE)="Blunt",Backdoors!AZ21/100,Backdoors!BA21/100)),"")</f>
        <v/>
      </c>
      <c r="DY84" s="49">
        <f>IFERROR(IF(VLOOKUP(tbMoveset!A84,tbMoveset!A2:H112,8,FALSE)="Other",IF(VLOOKUP(tbMoveset!A84,tbMoveset!A2:I112,9,FALSE)="Fire",Backdoors!BB21,IF(VLOOKUP(tbMoveset!A84,tbMoveset!A2:I112,9,FALSE)="Water",Backdoors!BC21,IF(VLOOKUP(tbMoveset!A84,tbMoveset!A2:I112,9,FALSE)="Thunder",Backdoors!BD21,IF(VLOOKUP(tbMoveset!A84,tbMoveset!A2:I112,9,FALSE)="Ice",Backdoors!BE21,IF(VLOOKUP(tbMoveset!A84,tbMoveset!A2:I112,9,FALSE)="Dragon",Backdoors!BF21,Backdoors!BG21)))))/100,Backdoors!BG21/100),"")</f>
        <v>0</v>
      </c>
      <c r="DZ84" s="49">
        <f>IFERROR(IF(VLOOKUP(A84,tbMoveset!A2:J112,10,FALSE)=TRUE,IF((Backdoors!AI12+IF(DX84&gt;=0.45,VLOOKUP(Calculator!E23,tbSkills!DH3:DI6,2,FALSE)+IF(AND(Calculator!B8=TRUE,Backdoors!BI21=TRUE),VLOOKUP(Calculator!E23,tbSkills!DH3:DJ6,3,FALSE),0),0))&gt;=0,1+(Backdoors!AL2*(IF((Backdoors!AI12+IF(DX84&gt;=0.45,VLOOKUP(Calculator!E23,tbSkills!DH3:DI6,2,FALSE)+IF(AND(Calculator!B8=TRUE,Backdoors!BI21=TRUE),VLOOKUP(Calculator!E23,tbSkills!DH3:DJ6,3,FALSE),0),0))&gt;=100,100,(Backdoors!AI12+IF(DX84&gt;=0.45,VLOOKUP(Calculator!E23,tbSkills!DH3:DI6,2,FALSE)+IF(AND(Calculator!B8=TRUE,Backdoors!BI21=TRUE),VLOOKUP(Calculator!E23,tbSkills!DH3:DJ6,3,FALSE),0),0)))/100)),(1-(0.25*((-Backdoors!AI12-IF(DX84&gt;=0.45,VLOOKUP(Calculator!E23,tbSkills!DH3:DI6,2,FALSE)+IF(AND(Calculator!B8=TRUE,Backdoors!BI21=TRUE),VLOOKUP(Calculator!E23,tbSkills!DH3:DJ6,3,FALSE),0),0))/100)))),1),"")</f>
        <v>1</v>
      </c>
      <c r="EA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X84)*DZ84)*(VLOOKUP(A84,tbMoveset!A2:C112,3,FALSE)/100)*IF(VLOOKUP(A84,tbMoveset!A2:B112,2,FALSE)="Projectile",Backdoors!N10,Backdoors!N9),0),"")</f>
        <v/>
      </c>
      <c r="EB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X84&gt;=0.45,VLOOKUP(Calculator!E23,tbSkills!DH3:DI6,2,FALSE)+IF(AND(Calculator!B8=TRUE,Backdoors!BI21=TRUE),VLOOKUP(Calculator!E23,tbSkills!DH3:DJ6,3,FALSE),0),0))&gt;=100,100,(Backdoors!AI12+IF(DX84&gt;=0.45,VLOOKUP(Calculator!E23,tbSkills!DH3:DI6,2,FALSE)+IF(AND(Calculator!B8=TRUE,Backdoors!BI21=TRUE),VLOOKUP(Calculator!E23,tbSkills!DH3:DJ6,3,FALSE),0),0)))/100)),1))*IF(VLOOKUP(A84,tbMoveset!A2:K112,11,FALSE)=TRUE,Backdoors!AC5,1))*DY84,0),"")</f>
        <v>0</v>
      </c>
      <c r="EC84" s="49">
        <f>VLOOKUP(A84,tbMoveset!A2:G112,7,FALSE)*IFERROR(IF(Backdoors!AI12&gt;=0,1+(IF(Calculator!E40&gt;0,VLOOKUP(Calculator!E40,tbSkills!AI3:AJ5,2,FALSE),Backdoors!AL4)*(IF((Backdoors!AI12+IF(DX84&gt;=0.45,VLOOKUP(Calculator!E23,tbSkills!DH3:DI6,2,FALSE)+IF(AND(Calculator!B8=TRUE,Backdoors!BI21=TRUE),VLOOKUP(Calculator!E23,tbSkills!DH3:DJ6,3,FALSE),0),0))&gt;=100,100,(Backdoors!AI12+IF(DX84&gt;=0.45,VLOOKUP(Calculator!E23,tbSkills!DH3:DI6,2,FALSE)+IF(AND(Calculator!B8=TRUE,Backdoors!BI21=TRUE),VLOOKUP(Calculator!E23,tbSkills!DH3:DJ6,3,FALSE),0),0)))/100)),1),1)</f>
        <v>0.4</v>
      </c>
      <c r="ED84" s="87">
        <f t="shared" si="69"/>
        <v>0</v>
      </c>
      <c r="EE84" s="86" t="str">
        <f>IFERROR(IF(VLOOKUP(A84,tbMoveset!A2:B112,2,FALSE)="Sever",Backdoors!AY22/100,IF(VLOOKUP(A84,tbMoveset!A2:B112,2,FALSE)="Blunt",Backdoors!AZ22/100,Backdoors!BA22/100)),"")</f>
        <v/>
      </c>
      <c r="EF84" s="49">
        <f>IFERROR(IF(VLOOKUP(tbMoveset!A84,tbMoveset!A2:H112,8,FALSE)="Other",IF(VLOOKUP(tbMoveset!A84,tbMoveset!A2:I112,9,FALSE)="Fire",Backdoors!BB22,IF(VLOOKUP(tbMoveset!A84,tbMoveset!A2:I112,9,FALSE)="Water",Backdoors!BC22,IF(VLOOKUP(tbMoveset!A84,tbMoveset!A2:I112,9,FALSE)="Thunder",Backdoors!BD22,IF(VLOOKUP(tbMoveset!A84,tbMoveset!A2:I112,9,FALSE)="Ice",Backdoors!BE22,IF(VLOOKUP(tbMoveset!A84,tbMoveset!A2:I112,9,FALSE)="Dragon",Backdoors!BF22,Backdoors!BG22)))))/100,Backdoors!BG22/100),"")</f>
        <v>0</v>
      </c>
      <c r="EG84" s="49">
        <f>IFERROR(IF(VLOOKUP(A84,tbMoveset!A2:J112,10,FALSE)=TRUE,IF((Backdoors!AI12+IF(EE84&gt;=0.45,VLOOKUP(Calculator!E23,tbSkills!DH3:DI6,2,FALSE)+IF(AND(Calculator!B8=TRUE,Backdoors!BI22=TRUE),VLOOKUP(Calculator!E23,tbSkills!DH3:DJ6,3,FALSE),0),0))&gt;=0,1+(Backdoors!AL2*(IF((Backdoors!AI12+IF(EE84&gt;=0.45,VLOOKUP(Calculator!E23,tbSkills!DH3:DI6,2,FALSE)+IF(AND(Calculator!B8=TRUE,Backdoors!BI22=TRUE),VLOOKUP(Calculator!E23,tbSkills!DH3:DJ6,3,FALSE),0),0))&gt;=100,100,(Backdoors!AI12+IF(EE84&gt;=0.45,VLOOKUP(Calculator!E23,tbSkills!DH3:DI6,2,FALSE)+IF(AND(Calculator!B8=TRUE,Backdoors!BI22=TRUE),VLOOKUP(Calculator!E23,tbSkills!DH3:DJ6,3,FALSE),0),0)))/100)),(1-(0.25*((-Backdoors!AI12-IF(EE84&gt;=0.45,VLOOKUP(Calculator!E23,tbSkills!DH3:DI6,2,FALSE)+IF(AND(Calculator!B8=TRUE,Backdoors!BI22=TRUE),VLOOKUP(Calculator!E23,tbSkills!DH3:DJ6,3,FALSE),0),0))/100)))),1),"")</f>
        <v>1</v>
      </c>
      <c r="EH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E84)*EG84)*(VLOOKUP(A84,tbMoveset!A2:C112,3,FALSE)/100)*IF(VLOOKUP(A84,tbMoveset!A2:B112,2,FALSE)="Projectile",Backdoors!N10,Backdoors!N9),0),"")</f>
        <v/>
      </c>
      <c r="EI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E84&gt;=0.45,VLOOKUP(Calculator!E23,tbSkills!DH3:DI6,2,FALSE)+IF(AND(Calculator!B8=TRUE,Backdoors!BI22=TRUE),VLOOKUP(Calculator!E23,tbSkills!DH3:DJ6,3,FALSE),0),0))&gt;=100,100,(Backdoors!AI12+IF(EE84&gt;=0.45,VLOOKUP(Calculator!E23,tbSkills!DH3:DI6,2,FALSE)+IF(AND(Calculator!B8=TRUE,Backdoors!BI22=TRUE),VLOOKUP(Calculator!E23,tbSkills!DH3:DJ6,3,FALSE),0),0)))/100)),1))*IF(VLOOKUP(A84,tbMoveset!A2:K112,11,FALSE)=TRUE,Backdoors!AC5,1))*EF84,0),"")</f>
        <v>0</v>
      </c>
      <c r="EJ84" s="49">
        <f>VLOOKUP(A84,tbMoveset!A2:G112,7,FALSE)*IFERROR(IF(Backdoors!AI12&gt;=0,1+(IF(Calculator!E40&gt;0,VLOOKUP(Calculator!E40,tbSkills!AI3:AJ5,2,FALSE),Backdoors!AL4)*(IF((Backdoors!AI12+IF(EE84&gt;=0.45,VLOOKUP(Calculator!E23,tbSkills!DH3:DI6,2,FALSE)+IF(AND(Calculator!B8=TRUE,Backdoors!BI22=TRUE),VLOOKUP(Calculator!E23,tbSkills!DH3:DJ6,3,FALSE),0),0))&gt;=100,100,(Backdoors!AI12+IF(EE84&gt;=0.45,VLOOKUP(Calculator!E23,tbSkills!DH3:DI6,2,FALSE)+IF(AND(Calculator!B8=TRUE,Backdoors!BI22=TRUE),VLOOKUP(Calculator!E23,tbSkills!DH3:DJ6,3,FALSE),0),0)))/100)),1),1)</f>
        <v>0.4</v>
      </c>
      <c r="EK84" s="87">
        <f t="shared" si="70"/>
        <v>0</v>
      </c>
      <c r="EL84" s="86" t="str">
        <f>IFERROR(IF(VLOOKUP(A84,tbMoveset!A2:B112,2,FALSE)="Sever",Backdoors!AY23/100,IF(VLOOKUP(A84,tbMoveset!A2:B112,2,FALSE)="Blunt",Backdoors!AZ23/100,Backdoors!BA23/100)),"")</f>
        <v/>
      </c>
      <c r="EM84" s="49">
        <f>IFERROR(IF(VLOOKUP(tbMoveset!A84,tbMoveset!A2:H112,8,FALSE)="Other",IF(VLOOKUP(tbMoveset!A84,tbMoveset!A2:I112,9,FALSE)="Fire",Backdoors!BB23,IF(VLOOKUP(tbMoveset!A84,tbMoveset!A2:I112,9,FALSE)="Water",Backdoors!BC23,IF(VLOOKUP(tbMoveset!A84,tbMoveset!A2:I112,9,FALSE)="Thunder",Backdoors!BD23,IF(VLOOKUP(tbMoveset!A84,tbMoveset!A2:I112,9,FALSE)="Ice",Backdoors!BE23,IF(VLOOKUP(tbMoveset!A84,tbMoveset!A2:I112,9,FALSE)="Dragon",Backdoors!BF23,Backdoors!BG23)))))/100,Backdoors!BG23/100),"")</f>
        <v>0</v>
      </c>
      <c r="EN84" s="49">
        <f>IFERROR(IF(VLOOKUP(A84,tbMoveset!A2:J112,10,FALSE)=TRUE,IF((Backdoors!AI12+IF(EL84&gt;=0.45,VLOOKUP(Calculator!E23,tbSkills!DH3:DI6,2,FALSE)+IF(AND(Calculator!B8=TRUE,Backdoors!BI23=TRUE),VLOOKUP(Calculator!E23,tbSkills!DH3:DJ6,3,FALSE),0),0))&gt;=0,1+(Backdoors!AL2*(IF((Backdoors!AI12+IF(EL84&gt;=0.45,VLOOKUP(Calculator!E23,tbSkills!DH3:DI6,2,FALSE)+IF(AND(Calculator!B8=TRUE,Backdoors!BI23=TRUE),VLOOKUP(Calculator!E23,tbSkills!DH3:DJ6,3,FALSE),0),0))&gt;=100,100,(Backdoors!AI12+IF(EL84&gt;=0.45,VLOOKUP(Calculator!E23,tbSkills!DH3:DI6,2,FALSE)+IF(AND(Calculator!B8=TRUE,Backdoors!BI23=TRUE),VLOOKUP(Calculator!E23,tbSkills!DH3:DJ6,3,FALSE),0),0)))/100)),(1-(0.25*((-Backdoors!AI12-IF(EL84&gt;=0.45,VLOOKUP(Calculator!E23,tbSkills!DH3:DI6,2,FALSE)+IF(AND(Calculator!B8=TRUE,Backdoors!BI23=TRUE),VLOOKUP(Calculator!E23,tbSkills!DH3:DJ6,3,FALSE),0),0))/100)))),1),"")</f>
        <v>1</v>
      </c>
      <c r="EO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L84)*EN84)*(VLOOKUP(A84,tbMoveset!A2:C112,3,FALSE)/100)*IF(VLOOKUP(A84,tbMoveset!A2:B112,2,FALSE)="Projectile",Backdoors!N10,Backdoors!N9),0),"")</f>
        <v/>
      </c>
      <c r="EP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L84&gt;=0.45,VLOOKUP(Calculator!E23,tbSkills!DH3:DI6,2,FALSE)+IF(AND(Calculator!B8=TRUE,Backdoors!BI23=TRUE),VLOOKUP(Calculator!E23,tbSkills!DH3:DJ6,3,FALSE),0),0))&gt;=100,100,(Backdoors!AI12+IF(EL84&gt;=0.45,VLOOKUP(Calculator!E23,tbSkills!DH3:DI6,2,FALSE)+IF(AND(Calculator!B8=TRUE,Backdoors!BI23=TRUE),VLOOKUP(Calculator!E23,tbSkills!DH3:DJ6,3,FALSE),0),0)))/100)),1))*IF(VLOOKUP(A84,tbMoveset!A2:K112,11,FALSE)=TRUE,Backdoors!AC5,1))*EM84,0),"")</f>
        <v>0</v>
      </c>
      <c r="EQ84" s="49">
        <f>VLOOKUP(A84,tbMoveset!A2:G112,7,FALSE)*IFERROR(IF(Backdoors!AI12&gt;=0,1+(IF(Calculator!E40&gt;0,VLOOKUP(Calculator!E40,tbSkills!AI3:AJ5,2,FALSE),Backdoors!AL4)*(IF((Backdoors!AI12+IF(EL84&gt;=0.45,VLOOKUP(Calculator!E23,tbSkills!DH3:DI6,2,FALSE)+IF(AND(Calculator!B8=TRUE,Backdoors!BI23=TRUE),VLOOKUP(Calculator!E23,tbSkills!DH3:DJ6,3,FALSE),0),0))&gt;=100,100,(Backdoors!AI12+IF(EL84&gt;=0.45,VLOOKUP(Calculator!E23,tbSkills!DH3:DI6,2,FALSE)+IF(AND(Calculator!B8=TRUE,Backdoors!BI23=TRUE),VLOOKUP(Calculator!E23,tbSkills!DH3:DJ6,3,FALSE),0),0)))/100)),1),1)</f>
        <v>0.4</v>
      </c>
      <c r="ER84" s="87">
        <f t="shared" si="71"/>
        <v>0</v>
      </c>
      <c r="ES84" s="86" t="str">
        <f>IFERROR(IF(VLOOKUP(A84,tbMoveset!A2:B112,2,FALSE)="Sever",Backdoors!AY24/100,IF(VLOOKUP(A84,tbMoveset!A2:B112,2,FALSE)="Blunt",Backdoors!AZ24/100,Backdoors!BA24/100)),"")</f>
        <v/>
      </c>
      <c r="ET84" s="49">
        <f>IFERROR(IF(VLOOKUP(tbMoveset!A84,tbMoveset!A2:H112,8,FALSE)="Other",IF(VLOOKUP(tbMoveset!A84,tbMoveset!A2:I112,9,FALSE)="Fire",Backdoors!BB24,IF(VLOOKUP(tbMoveset!A84,tbMoveset!A2:I112,9,FALSE)="Water",Backdoors!BC24,IF(VLOOKUP(tbMoveset!A84,tbMoveset!A2:I112,9,FALSE)="Thunder",Backdoors!BD24,IF(VLOOKUP(tbMoveset!A84,tbMoveset!A2:I112,9,FALSE)="Ice",Backdoors!BE24,IF(VLOOKUP(tbMoveset!A84,tbMoveset!A2:I112,9,FALSE)="Dragon",Backdoors!BF24,Backdoors!BG24)))))/100,Backdoors!BG24/100),"")</f>
        <v>0</v>
      </c>
      <c r="EU84" s="49">
        <f>IFERROR(IF(VLOOKUP(A84,tbMoveset!A2:J112,10,FALSE)=TRUE,IF((Backdoors!AI12+IF(ES84&gt;=0.45,VLOOKUP(Calculator!E23,tbSkills!DH3:DI6,2,FALSE)+IF(AND(Calculator!B8=TRUE,Backdoors!BI24=TRUE),VLOOKUP(Calculator!E23,tbSkills!DH3:DJ6,3,FALSE),0),0))&gt;=0,1+(Backdoors!AL2*(IF((Backdoors!AI12+IF(ES84&gt;=0.45,VLOOKUP(Calculator!E23,tbSkills!DH3:DI6,2,FALSE)+IF(AND(Calculator!B8=TRUE,Backdoors!BI24=TRUE),VLOOKUP(Calculator!E23,tbSkills!DH3:DJ6,3,FALSE),0),0))&gt;=100,100,(Backdoors!AI12+IF(ES84&gt;=0.45,VLOOKUP(Calculator!E23,tbSkills!DH3:DI6,2,FALSE)+IF(AND(Calculator!B8=TRUE,Backdoors!BI24=TRUE),VLOOKUP(Calculator!E23,tbSkills!DH3:DJ6,3,FALSE),0),0)))/100)),(1-(0.25*((-Backdoors!AI12-IF(ES84&gt;=0.45,VLOOKUP(Calculator!E23,tbSkills!DH3:DI6,2,FALSE)+IF(AND(Calculator!B8=TRUE,Backdoors!BI24=TRUE),VLOOKUP(Calculator!E23,tbSkills!DH3:DJ6,3,FALSE),0),0))/100)))),1),"")</f>
        <v>1</v>
      </c>
      <c r="EV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S84)*EU84)*(VLOOKUP(A84,tbMoveset!A2:C112,3,FALSE)/100)*IF(VLOOKUP(A84,tbMoveset!A2:B112,2,FALSE)="Projectile",Backdoors!N10,Backdoors!N9),0),"")</f>
        <v/>
      </c>
      <c r="EW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S84&gt;=0.45,VLOOKUP(Calculator!E23,tbSkills!DH3:DI6,2,FALSE)+IF(AND(Calculator!B8=TRUE,Backdoors!BI24=TRUE),VLOOKUP(Calculator!E23,tbSkills!DH3:DJ6,3,FALSE),0),0))&gt;=100,100,(Backdoors!AI12+IF(ES84&gt;=0.45,VLOOKUP(Calculator!E23,tbSkills!DH3:DI6,2,FALSE)+IF(AND(Calculator!B8=TRUE,Backdoors!BI24=TRUE),VLOOKUP(Calculator!E23,tbSkills!DH3:DJ6,3,FALSE),0),0)))/100)),1))*IF(VLOOKUP(A84,tbMoveset!A2:K112,11,FALSE)=TRUE,Backdoors!AC5,1))*ET84,0),"")</f>
        <v>0</v>
      </c>
      <c r="EX84" s="49">
        <f>VLOOKUP(A84,tbMoveset!A2:G112,7,FALSE)*IFERROR(IF(Backdoors!AI12&gt;=0,1+(IF(Calculator!E40&gt;0,VLOOKUP(Calculator!E40,tbSkills!AI3:AJ5,2,FALSE),Backdoors!AL4)*(IF((Backdoors!AI12+IF(ES84&gt;=0.45,VLOOKUP(Calculator!E23,tbSkills!DH3:DI6,2,FALSE)+IF(AND(Calculator!B8=TRUE,Backdoors!BI24=TRUE),VLOOKUP(Calculator!E23,tbSkills!DH3:DJ6,3,FALSE),0),0))&gt;=100,100,(Backdoors!AI12+IF(ES84&gt;=0.45,VLOOKUP(Calculator!E23,tbSkills!DH3:DI6,2,FALSE)+IF(AND(Calculator!B8=TRUE,Backdoors!BI24=TRUE),VLOOKUP(Calculator!E23,tbSkills!DH3:DJ6,3,FALSE),0),0)))/100)),1),1)</f>
        <v>0.4</v>
      </c>
      <c r="EY84" s="87">
        <f t="shared" si="72"/>
        <v>0</v>
      </c>
      <c r="EZ84" s="86" t="str">
        <f>IFERROR(IF(VLOOKUP(A84,tbMoveset!A2:B112,2,FALSE)="Sever",Backdoors!AY25/100,IF(VLOOKUP(A84,tbMoveset!A2:B112,2,FALSE)="Blunt",Backdoors!AZ25/100,Backdoors!BA25/100)),"")</f>
        <v/>
      </c>
      <c r="FA84" s="49">
        <f>IFERROR(IF(VLOOKUP(tbMoveset!A84,tbMoveset!A2:H112,8,FALSE)="Other",IF(VLOOKUP(tbMoveset!A84,tbMoveset!A2:I112,9,FALSE)="Fire",Backdoors!BB25,IF(VLOOKUP(tbMoveset!A84,tbMoveset!A2:I112,9,FALSE)="Water",Backdoors!BC25,IF(VLOOKUP(tbMoveset!A84,tbMoveset!A2:I112,9,FALSE)="Thunder",Backdoors!BD25,IF(VLOOKUP(tbMoveset!A84,tbMoveset!A2:I112,9,FALSE)="Ice",Backdoors!BE25,IF(VLOOKUP(tbMoveset!A84,tbMoveset!A2:I112,9,FALSE)="Dragon",Backdoors!BF25,Backdoors!BG25)))))/100,Backdoors!BG25/100),"")</f>
        <v>0</v>
      </c>
      <c r="FB84" s="49">
        <f>IFERROR(IF(VLOOKUP(A84,tbMoveset!A2:J112,10,FALSE)=TRUE,IF((Backdoors!AI12+IF(EZ84&gt;=0.45,VLOOKUP(Calculator!E23,tbSkills!DH3:DI6,2,FALSE)+IF(AND(Calculator!B8=TRUE,Backdoors!BI25=TRUE),VLOOKUP(Calculator!E23,tbSkills!DH3:DJ6,3,FALSE),0),0))&gt;=0,1+(Backdoors!AL2*(IF((Backdoors!AI12+IF(EZ84&gt;=0.45,VLOOKUP(Calculator!E23,tbSkills!DH3:DI6,2,FALSE)+IF(AND(Calculator!B8=TRUE,Backdoors!BI25=TRUE),VLOOKUP(Calculator!E23,tbSkills!DH3:DJ6,3,FALSE),0),0))&gt;=100,100,(Backdoors!AI12+IF(EZ84&gt;=0.45,VLOOKUP(Calculator!E23,tbSkills!DH3:DI6,2,FALSE)+IF(AND(Calculator!B8=TRUE,Backdoors!BI25=TRUE),VLOOKUP(Calculator!E23,tbSkills!DH3:DJ6,3,FALSE),0),0)))/100)),(1-(0.25*((-Backdoors!AI12-IF(EZ84&gt;=0.45,VLOOKUP(Calculator!E23,tbSkills!DH3:DI6,2,FALSE)+IF(AND(Calculator!B8=TRUE,Backdoors!BI25=TRUE),VLOOKUP(Calculator!E23,tbSkills!DH3:DJ6,3,FALSE),0),0))/100)))),1),"")</f>
        <v>1</v>
      </c>
      <c r="FC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Z84)*FB84)*(VLOOKUP(A84,tbMoveset!A2:C112,3,FALSE)/100)*IF(VLOOKUP(A84,tbMoveset!A2:B112,2,FALSE)="Projectile",Backdoors!N10,Backdoors!N9),0),"")</f>
        <v/>
      </c>
      <c r="FD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Z84&gt;=0.45,VLOOKUP(Calculator!E23,tbSkills!DH3:DI6,2,FALSE)+IF(AND(Calculator!B8=TRUE,Backdoors!BI25=TRUE),VLOOKUP(Calculator!E23,tbSkills!DH3:DJ6,3,FALSE),0),0))&gt;=100,100,(Backdoors!AI12+IF(EZ84&gt;=0.45,VLOOKUP(Calculator!E23,tbSkills!DH3:DI6,2,FALSE)+IF(AND(Calculator!B8=TRUE,Backdoors!BI25=TRUE),VLOOKUP(Calculator!E23,tbSkills!DH3:DJ6,3,FALSE),0),0)))/100)),1))*IF(VLOOKUP(A84,tbMoveset!A2:K112,11,FALSE)=TRUE,Backdoors!AC5,1))*FA84,0),"")</f>
        <v>0</v>
      </c>
      <c r="FE84" s="49">
        <f>VLOOKUP(A84,tbMoveset!A2:G112,7,FALSE)*IFERROR(IF(Backdoors!AI12&gt;=0,1+(IF(Calculator!E40&gt;0,VLOOKUP(Calculator!E40,tbSkills!AI3:AJ5,2,FALSE),Backdoors!AL4)*(IF((Backdoors!AI12+IF(EZ84&gt;=0.45,VLOOKUP(Calculator!E23,tbSkills!DH3:DI6,2,FALSE)+IF(AND(Calculator!B8=TRUE,Backdoors!BI25=TRUE),VLOOKUP(Calculator!E23,tbSkills!DH3:DJ6,3,FALSE),0),0))&gt;=100,100,(Backdoors!AI12+IF(EZ84&gt;=0.45,VLOOKUP(Calculator!E23,tbSkills!DH3:DI6,2,FALSE)+IF(AND(Calculator!B8=TRUE,Backdoors!BI25=TRUE),VLOOKUP(Calculator!E23,tbSkills!DH3:DJ6,3,FALSE),0),0)))/100)),1),1)</f>
        <v>0.4</v>
      </c>
      <c r="FF84" s="87">
        <f t="shared" si="73"/>
        <v>0</v>
      </c>
      <c r="FG84" s="86" t="str">
        <f>IFERROR(IF(VLOOKUP(A84,tbMoveset!A2:B112,2,FALSE)="Sever",Backdoors!AY26/100,IF(VLOOKUP(A84,tbMoveset!A2:B112,2,FALSE)="Blunt",Backdoors!AZ26/100,Backdoors!BA26/100)),"")</f>
        <v/>
      </c>
      <c r="FH84" s="49">
        <f>IFERROR(IF(VLOOKUP(tbMoveset!A84,tbMoveset!A2:H112,8,FALSE)="Other",IF(VLOOKUP(tbMoveset!A84,tbMoveset!A2:I112,9,FALSE)="Fire",Backdoors!BB26,IF(VLOOKUP(tbMoveset!A84,tbMoveset!A2:I112,9,FALSE)="Water",Backdoors!BC26,IF(VLOOKUP(tbMoveset!A84,tbMoveset!A2:I112,9,FALSE)="Thunder",Backdoors!BD26,IF(VLOOKUP(tbMoveset!A84,tbMoveset!A2:I112,9,FALSE)="Ice",Backdoors!BE26,IF(VLOOKUP(tbMoveset!A84,tbMoveset!A2:I112,9,FALSE)="Dragon",Backdoors!BF26,Backdoors!BG26)))))/100,Backdoors!BG26/100),"")</f>
        <v>0</v>
      </c>
      <c r="FI84" s="49">
        <f>IFERROR(IF(VLOOKUP(A84,tbMoveset!A2:J112,10,FALSE)=TRUE,IF((Backdoors!AI12+IF(FG84&gt;=0.45,VLOOKUP(Calculator!E23,tbSkills!DH3:DI6,2,FALSE)+IF(AND(Calculator!B8=TRUE,Backdoors!BI26=TRUE),VLOOKUP(Calculator!E23,tbSkills!DH3:DJ6,3,FALSE),0),0))&gt;=0,1+(Backdoors!AL2*(IF((Backdoors!AI12+IF(FG84&gt;=0.45,VLOOKUP(Calculator!E23,tbSkills!DH3:DI6,2,FALSE)+IF(AND(Calculator!B8=TRUE,Backdoors!BI26=TRUE),VLOOKUP(Calculator!E23,tbSkills!DH3:DJ6,3,FALSE),0),0))&gt;=100,100,(Backdoors!AI12+IF(FG84&gt;=0.45,VLOOKUP(Calculator!E23,tbSkills!DH3:DI6,2,FALSE)+IF(AND(Calculator!B8=TRUE,Backdoors!BI26=TRUE),VLOOKUP(Calculator!E23,tbSkills!DH3:DJ6,3,FALSE),0),0)))/100)),(1-(0.25*((-Backdoors!AI12-IF(FG84&gt;=0.45,VLOOKUP(Calculator!E23,tbSkills!DH3:DI6,2,FALSE)+IF(AND(Calculator!B8=TRUE,Backdoors!BI26=TRUE),VLOOKUP(Calculator!E23,tbSkills!DH3:DJ6,3,FALSE),0),0))/100)))),1),"")</f>
        <v>1</v>
      </c>
      <c r="FJ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FG84)*FI84)*(VLOOKUP(A84,tbMoveset!A2:C112,3,FALSE)/100)*IF(VLOOKUP(A84,tbMoveset!A2:B112,2,FALSE)="Projectile",Backdoors!N10,Backdoors!N9),0),"")</f>
        <v/>
      </c>
      <c r="FK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FG84&gt;=0.45,VLOOKUP(Calculator!E23,tbSkills!DH3:DI6,2,FALSE)+IF(AND(Calculator!B8=TRUE,Backdoors!BI26=TRUE),VLOOKUP(Calculator!E23,tbSkills!DH3:DJ6,3,FALSE),0),0))&gt;=100,100,(Backdoors!AI12+IF(FG84&gt;=0.45,VLOOKUP(Calculator!E23,tbSkills!DH3:DI6,2,FALSE)+IF(AND(Calculator!B8=TRUE,Backdoors!BI26=TRUE),VLOOKUP(Calculator!E23,tbSkills!DH3:DJ6,3,FALSE),0),0)))/100)),1))*IF(VLOOKUP(A84,tbMoveset!A2:K112,11,FALSE)=TRUE,Backdoors!AC5,1))*FH84,0),"")</f>
        <v>0</v>
      </c>
      <c r="FL84" s="49">
        <f>VLOOKUP(A84,tbMoveset!A2:G112,7,FALSE)*IFERROR(IF(Backdoors!AI12&gt;=0,1+(IF(Calculator!E40&gt;0,VLOOKUP(Calculator!E40,tbSkills!AI3:AJ5,2,FALSE),Backdoors!AL4)*(IF((Backdoors!AI12+IF(FG84&gt;=0.45,VLOOKUP(Calculator!E23,tbSkills!DH3:DI6,2,FALSE)+IF(AND(Calculator!B8=TRUE,Backdoors!BI26=TRUE),VLOOKUP(Calculator!E23,tbSkills!DH3:DJ6,3,FALSE),0),0))&gt;=100,100,(Backdoors!AI12+IF(FG84&gt;=0.45,VLOOKUP(Calculator!E23,tbSkills!DH3:DI6,2,FALSE)+IF(AND(Calculator!B8=TRUE,Backdoors!BI26=TRUE),VLOOKUP(Calculator!E23,tbSkills!DH3:DJ6,3,FALSE),0),0)))/100)),1),1)</f>
        <v>0.4</v>
      </c>
      <c r="FM84" s="87">
        <f t="shared" si="74"/>
        <v>0</v>
      </c>
      <c r="FN84" s="86" t="str">
        <f>IFERROR(IF(VLOOKUP(A84,tbMoveset!A2:B112,2,FALSE)="Sever",Backdoors!AY27/100,IF(VLOOKUP(A84,tbMoveset!A2:B112,2,FALSE)="Blunt",Backdoors!AZ27/100,Backdoors!BA27/100)),"")</f>
        <v/>
      </c>
      <c r="FO84" s="49">
        <f>IFERROR(IF(VLOOKUP(tbMoveset!A84,tbMoveset!A2:H112,8,FALSE)="Other",IF(VLOOKUP(tbMoveset!A84,tbMoveset!A2:I112,9,FALSE)="Fire",Backdoors!BB27,IF(VLOOKUP(tbMoveset!A84,tbMoveset!A2:I112,9,FALSE)="Water",Backdoors!BC27,IF(VLOOKUP(tbMoveset!A84,tbMoveset!A2:I112,9,FALSE)="Thunder",Backdoors!BD27,IF(VLOOKUP(tbMoveset!A84,tbMoveset!A2:I112,9,FALSE)="Ice",Backdoors!BE27,IF(VLOOKUP(tbMoveset!A84,tbMoveset!A2:I112,9,FALSE)="Dragon",Backdoors!BF27,Backdoors!BG27)))))/100,Backdoors!BG27/100),"")</f>
        <v>0</v>
      </c>
      <c r="FP84" s="49">
        <f>IFERROR(IF(VLOOKUP(A84,tbMoveset!A2:J112,10,FALSE)=TRUE,IF((Backdoors!AI12+IF(FN84&gt;=0.45,VLOOKUP(Calculator!E23,tbSkills!DH3:DI6,2,FALSE)+IF(AND(Calculator!B8=TRUE,Backdoors!BI27=TRUE),VLOOKUP(Calculator!E23,tbSkills!DH3:DJ6,3,FALSE),0),0))&gt;=0,1+(Backdoors!AL2*(IF((Backdoors!AI12+IF(FN84&gt;=0.45,VLOOKUP(Calculator!E23,tbSkills!DH3:DI6,2,FALSE)+IF(AND(Calculator!B8=TRUE,Backdoors!BI27=TRUE),VLOOKUP(Calculator!E23,tbSkills!DH3:DJ6,3,FALSE),0),0))&gt;=100,100,(Backdoors!AI12+IF(FN84&gt;=0.45,VLOOKUP(Calculator!E23,tbSkills!DH3:DI6,2,FALSE)+IF(AND(Calculator!B8=TRUE,Backdoors!BI27=TRUE),VLOOKUP(Calculator!E23,tbSkills!DH3:DJ6,3,FALSE),0),0)))/100)),(1-(0.25*((-Backdoors!AI12-IF(FN84&gt;=0.45,VLOOKUP(Calculator!E23,tbSkills!DH3:DI6,2,FALSE)+IF(AND(Calculator!B8=TRUE,Backdoors!BI27=TRUE),VLOOKUP(Calculator!E23,tbSkills!DH3:DJ6,3,FALSE),0),0))/100)))),1),"")</f>
        <v>1</v>
      </c>
      <c r="FQ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FN84)*FP84)*(VLOOKUP(A84,tbMoveset!A2:C112,3,FALSE)/100)*IF(VLOOKUP(A84,tbMoveset!A2:B112,2,FALSE)="Projectile",Backdoors!N10,Backdoors!N9),0),"")</f>
        <v/>
      </c>
      <c r="FR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FN84&gt;=0.45,VLOOKUP(Calculator!E23,tbSkills!DH3:DI6,2,FALSE)+IF(AND(Calculator!B8=TRUE,Backdoors!BI27=TRUE),VLOOKUP(Calculator!E23,tbSkills!DH3:DJ6,3,FALSE),0),0))&gt;=100,100,(Backdoors!AI12+IF(FN84&gt;=0.45,VLOOKUP(Calculator!E23,tbSkills!DH3:DI6,2,FALSE)+IF(AND(Calculator!B8=TRUE,Backdoors!BI27=TRUE),VLOOKUP(Calculator!E23,tbSkills!DH3:DJ6,3,FALSE),0),0)))/100)),1))*IF(VLOOKUP(A84,tbMoveset!A2:K112,11,FALSE)=TRUE,Backdoors!AC5,1))*FO84,0),"")</f>
        <v>0</v>
      </c>
      <c r="FS84" s="49">
        <f>VLOOKUP(A84,tbMoveset!A2:G112,7,FALSE)*IFERROR(IF(Backdoors!AI12&gt;=0,1+(IF(Calculator!E40&gt;0,VLOOKUP(Calculator!E40,tbSkills!AI3:AJ5,2,FALSE),Backdoors!AL4)*(IF((Backdoors!AI12+IF(FN84&gt;=0.45,VLOOKUP(Calculator!E23,tbSkills!DH3:DI6,2,FALSE)+IF(AND(Calculator!B8=TRUE,Backdoors!BI27=TRUE),VLOOKUP(Calculator!E23,tbSkills!DH3:DJ6,3,FALSE),0),0))&gt;=100,100,(Backdoors!AI12+IF(FN84&gt;=0.45,VLOOKUP(Calculator!E23,tbSkills!DH3:DI6,2,FALSE)+IF(AND(Calculator!B8=TRUE,Backdoors!BI27=TRUE),VLOOKUP(Calculator!E23,tbSkills!DH3:DJ6,3,FALSE),0),0)))/100)),1),1)</f>
        <v>0.4</v>
      </c>
      <c r="FT84" s="87">
        <f t="shared" si="75"/>
        <v>0</v>
      </c>
      <c r="FU84" s="86" t="str">
        <f>IFERROR(IF(VLOOKUP(A84,tbMoveset!A2:B112,2,FALSE)="Sever",Backdoors!AY28/100,IF(VLOOKUP(A84,tbMoveset!A2:B112,2,FALSE)="Blunt",Backdoors!AZ28/100,Backdoors!BA28/100)),"")</f>
        <v/>
      </c>
      <c r="FV84" s="49">
        <f>IFERROR(IF(VLOOKUP(tbMoveset!A84,tbMoveset!A2:H112,8,FALSE)="Other",IF(VLOOKUP(tbMoveset!A84,tbMoveset!A2:I112,9,FALSE)="Fire",Backdoors!BB28,IF(VLOOKUP(tbMoveset!A84,tbMoveset!A2:I112,9,FALSE)="Water",Backdoors!BC28,IF(VLOOKUP(tbMoveset!A84,tbMoveset!A2:I112,9,FALSE)="Thunder",Backdoors!BD28,IF(VLOOKUP(tbMoveset!A84,tbMoveset!A2:I112,9,FALSE)="Ice",Backdoors!BE28,IF(VLOOKUP(tbMoveset!A84,tbMoveset!A2:I112,9,FALSE)="Dragon",Backdoors!BF28,Backdoors!BG28)))))/100,Backdoors!BG28/100),"")</f>
        <v>0</v>
      </c>
      <c r="FW84" s="49">
        <f>IFERROR(IF(VLOOKUP(A84,tbMoveset!A2:J112,10,FALSE)=TRUE,IF((Backdoors!AI12+IF(FU84&gt;=0.45,VLOOKUP(Calculator!E23,tbSkills!DH3:DI6,2,FALSE)+IF(AND(Calculator!B8=TRUE,Backdoors!BI28=TRUE),VLOOKUP(Calculator!E23,tbSkills!DH3:DJ6,3,FALSE),0),0))&gt;=0,1+(Backdoors!AL2*(IF((Backdoors!AI12+IF(FU84&gt;=0.45,VLOOKUP(Calculator!E23,tbSkills!DH3:DI6,2,FALSE)+IF(AND(Calculator!B8=TRUE,Backdoors!BI28=TRUE),VLOOKUP(Calculator!E23,tbSkills!DH3:DJ6,3,FALSE),0),0))&gt;=100,100,(Backdoors!AI12+IF(FU84&gt;=0.45,VLOOKUP(Calculator!E23,tbSkills!DH3:DI6,2,FALSE)+IF(AND(Calculator!B8=TRUE,Backdoors!BI28=TRUE),VLOOKUP(Calculator!E23,tbSkills!DH3:DJ6,3,FALSE),0),0)))/100)),(1-(0.25*((-Backdoors!AI12-IF(FU84&gt;=0.45,VLOOKUP(Calculator!E23,tbSkills!DH3:DI6,2,FALSE)+IF(AND(Calculator!B8=TRUE,Backdoors!BI28=TRUE),VLOOKUP(Calculator!E23,tbSkills!DH3:DJ6,3,FALSE),0),0))/100)))),1),"")</f>
        <v>1</v>
      </c>
      <c r="FX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FU84)*FW84)*(VLOOKUP(A84,tbMoveset!A2:C112,3,FALSE)/100)*IF(VLOOKUP(A84,tbMoveset!A2:B112,2,FALSE)="Projectile",Backdoors!N10,Backdoors!N9),0),"")</f>
        <v/>
      </c>
      <c r="FY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FU84&gt;=0.45,VLOOKUP(Calculator!E23,tbSkills!DH3:DI6,2,FALSE)+IF(AND(Calculator!B8=TRUE,Backdoors!BI28=TRUE),VLOOKUP(Calculator!E23,tbSkills!DH3:DJ6,3,FALSE),0),0))&gt;=100,100,(Backdoors!AI12+IF(FU84&gt;=0.45,VLOOKUP(Calculator!E23,tbSkills!DH3:DI6,2,FALSE)+IF(AND(Calculator!B8=TRUE,Backdoors!BI28=TRUE),VLOOKUP(Calculator!E23,tbSkills!DH3:DJ6,3,FALSE),0),0)))/100)),1))*IF(VLOOKUP(A84,tbMoveset!A2:K112,11,FALSE)=TRUE,Backdoors!AC5,1))*FV84,0),"")</f>
        <v>0</v>
      </c>
      <c r="FZ84" s="49">
        <f>VLOOKUP(A84,tbMoveset!A2:G112,7,FALSE)*IFERROR(IF(Backdoors!AI12&gt;=0,1+(IF(Calculator!E40&gt;0,VLOOKUP(Calculator!E40,tbSkills!AI3:AJ5,2,FALSE),Backdoors!AL4)*(IF((Backdoors!AI12+IF(FU84&gt;=0.45,VLOOKUP(Calculator!E23,tbSkills!DH3:DI6,2,FALSE)+IF(AND(Calculator!B8=TRUE,Backdoors!BI28=TRUE),VLOOKUP(Calculator!E23,tbSkills!DH3:DJ6,3,FALSE),0),0))&gt;=100,100,(Backdoors!AI12+IF(FU84&gt;=0.45,VLOOKUP(Calculator!E23,tbSkills!DH3:DI6,2,FALSE)+IF(AND(Calculator!B8=TRUE,Backdoors!BI28=TRUE),VLOOKUP(Calculator!E23,tbSkills!DH3:DJ6,3,FALSE),0),0)))/100)),1),1)</f>
        <v>0.4</v>
      </c>
      <c r="GA84" s="87">
        <f t="shared" si="76"/>
        <v>0</v>
      </c>
      <c r="GB84" s="86" t="str">
        <f>IFERROR(IF(VLOOKUP(A84,tbMoveset!A2:B112,2,FALSE)="Sever",Backdoors!AY29/100,IF(VLOOKUP(A84,tbMoveset!A2:B112,2,FALSE)="Blunt",Backdoors!AZ29/100,Backdoors!BA29/100)),"")</f>
        <v/>
      </c>
      <c r="GC84" s="49">
        <f>IFERROR(IF(VLOOKUP(tbMoveset!A84,tbMoveset!A2:H112,8,FALSE)="Other",IF(VLOOKUP(tbMoveset!A84,tbMoveset!A2:I112,9,FALSE)="Fire",Backdoors!BB29,IF(VLOOKUP(tbMoveset!A84,tbMoveset!A2:I112,9,FALSE)="Water",Backdoors!BC29,IF(VLOOKUP(tbMoveset!A84,tbMoveset!A2:I112,9,FALSE)="Thunder",Backdoors!BD29,IF(VLOOKUP(tbMoveset!A84,tbMoveset!A2:I112,9,FALSE)="Ice",Backdoors!BE29,IF(VLOOKUP(tbMoveset!A84,tbMoveset!A2:I112,9,FALSE)="Dragon",Backdoors!BF29,Backdoors!BG29)))))/100,Backdoors!BG29/100),"")</f>
        <v>0</v>
      </c>
      <c r="GD84" s="49">
        <f>IFERROR(IF(VLOOKUP(A84,tbMoveset!A2:J112,10,FALSE)=TRUE,IF((Backdoors!AI12+IF(GB84&gt;=0.45,VLOOKUP(Calculator!E23,tbSkills!DH3:DI6,2,FALSE)+IF(AND(Calculator!B8=TRUE,Backdoors!BI29=TRUE),VLOOKUP(Calculator!E23,tbSkills!DH3:DJ6,3,FALSE),0),0))&gt;=0,1+(Backdoors!AL2*(IF((Backdoors!AI12+IF(GB84&gt;=0.45,VLOOKUP(Calculator!E23,tbSkills!DH3:DI6,2,FALSE)+IF(AND(Calculator!B8=TRUE,Backdoors!BI29=TRUE),VLOOKUP(Calculator!E23,tbSkills!DH3:DJ6,3,FALSE),0),0))&gt;=100,100,(Backdoors!AI12+IF(GB84&gt;=0.45,VLOOKUP(Calculator!E23,tbSkills!DH3:DI6,2,FALSE)+IF(AND(Calculator!B8=TRUE,Backdoors!BI29=TRUE),VLOOKUP(Calculator!E23,tbSkills!DH3:DJ6,3,FALSE),0),0)))/100)),(1-(0.25*((-Backdoors!AI12-IF(GB84&gt;=0.45,VLOOKUP(Calculator!E23,tbSkills!DH3:DI6,2,FALSE)+IF(AND(Calculator!B8=TRUE,Backdoors!BI29=TRUE),VLOOKUP(Calculator!E23,tbSkills!DH3:DJ6,3,FALSE),0),0))/100)))),1),"")</f>
        <v>1</v>
      </c>
      <c r="GE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B84)*GD84)*(VLOOKUP(A84,tbMoveset!A2:C112,3,FALSE)/100)*IF(VLOOKUP(A84,tbMoveset!A2:B112,2,FALSE)="Projectile",Backdoors!N10,Backdoors!N9),0),"")</f>
        <v/>
      </c>
      <c r="GF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B84&gt;=0.45,VLOOKUP(Calculator!E23,tbSkills!DH3:DI6,2,FALSE)+IF(AND(Calculator!B8=TRUE,Backdoors!BI29=TRUE),VLOOKUP(Calculator!E23,tbSkills!DH3:DJ6,3,FALSE),0),0))&gt;=100,100,(Backdoors!AI12+IF(GB84&gt;=0.45,VLOOKUP(Calculator!E23,tbSkills!DH3:DI6,2,FALSE)+IF(AND(Calculator!B8=TRUE,Backdoors!BI29=TRUE),VLOOKUP(Calculator!E23,tbSkills!DH3:DJ6,3,FALSE),0),0)))/100)),1))*IF(VLOOKUP(A84,tbMoveset!A2:K112,11,FALSE)=TRUE,Backdoors!AC5,1))*GC84,0),"")</f>
        <v>0</v>
      </c>
      <c r="GG84" s="49">
        <f>VLOOKUP(A84,tbMoveset!A2:G112,7,FALSE)*IFERROR(IF(Backdoors!AI12&gt;=0,1+(IF(Calculator!E40&gt;0,VLOOKUP(Calculator!E40,tbSkills!AI3:AJ5,2,FALSE),Backdoors!AL4)*(IF((Backdoors!AI12+IF(GB84&gt;=0.45,VLOOKUP(Calculator!E23,tbSkills!DH3:DI6,2,FALSE)+IF(AND(Calculator!B8=TRUE,Backdoors!BI29=TRUE),VLOOKUP(Calculator!E23,tbSkills!DH3:DJ6,3,FALSE),0),0))&gt;=100,100,(Backdoors!AI12+IF(GB84&gt;=0.45,VLOOKUP(Calculator!E23,tbSkills!DH3:DI6,2,FALSE)+IF(AND(Calculator!B8=TRUE,Backdoors!BI29=TRUE),VLOOKUP(Calculator!E23,tbSkills!DH3:DJ6,3,FALSE),0),0)))/100)),1),1)</f>
        <v>0.4</v>
      </c>
      <c r="GH84" s="87">
        <f t="shared" si="77"/>
        <v>0</v>
      </c>
      <c r="GI84" s="86" t="str">
        <f>IFERROR(IF(VLOOKUP(A84,tbMoveset!A2:B112,2,FALSE)="Sever",Backdoors!AY30/100,IF(VLOOKUP(A84,tbMoveset!A2:B112,2,FALSE)="Blunt",Backdoors!AZ30/100,Backdoors!BA30/100)),"")</f>
        <v/>
      </c>
      <c r="GJ84" s="49">
        <f>IFERROR(IF(VLOOKUP(tbMoveset!A84,tbMoveset!A2:H112,8,FALSE)="Other",IF(VLOOKUP(tbMoveset!A84,tbMoveset!A2:I112,9,FALSE)="Fire",Backdoors!BB30,IF(VLOOKUP(tbMoveset!A84,tbMoveset!A2:I112,9,FALSE)="Water",Backdoors!BC30,IF(VLOOKUP(tbMoveset!A84,tbMoveset!A2:I112,9,FALSE)="Thunder",Backdoors!BD30,IF(VLOOKUP(tbMoveset!A84,tbMoveset!A2:I112,9,FALSE)="Ice",Backdoors!BE30,IF(VLOOKUP(tbMoveset!A84,tbMoveset!A2:I112,9,FALSE)="Dragon",Backdoors!BF30,Backdoors!BG30)))))/100,Backdoors!BG30/100),"")</f>
        <v>0</v>
      </c>
      <c r="GK84" s="49">
        <f>IFERROR(IF(VLOOKUP(A84,tbMoveset!A2:J112,10,FALSE)=TRUE,IF((Backdoors!AI12+IF(GI84&gt;=0.45,VLOOKUP(Calculator!E23,tbSkills!DH3:DI6,2,FALSE)+IF(AND(Calculator!B8=TRUE,Backdoors!BI30=TRUE),VLOOKUP(Calculator!E23,tbSkills!DH3:DJ6,3,FALSE),0),0))&gt;=0,1+(Backdoors!AL2*(IF((Backdoors!AI12+IF(GI84&gt;=0.45,VLOOKUP(Calculator!E23,tbSkills!DH3:DI6,2,FALSE)+IF(AND(Calculator!B8=TRUE,Backdoors!BI30=TRUE),VLOOKUP(Calculator!E23,tbSkills!DH3:DJ6,3,FALSE),0),0))&gt;=100,100,(Backdoors!AI12+IF(GI84&gt;=0.45,VLOOKUP(Calculator!E23,tbSkills!DH3:DI6,2,FALSE)+IF(AND(Calculator!B8=TRUE,Backdoors!BI30=TRUE),VLOOKUP(Calculator!E23,tbSkills!DH3:DJ6,3,FALSE),0),0)))/100)),(1-(0.25*((-Backdoors!AI12-IF(GI84&gt;=0.45,VLOOKUP(Calculator!E23,tbSkills!DH3:DI6,2,FALSE)+IF(AND(Calculator!B8=TRUE,Backdoors!BI30=TRUE),VLOOKUP(Calculator!E23,tbSkills!DH3:DJ6,3,FALSE),0),0))/100)))),1),"")</f>
        <v>1</v>
      </c>
      <c r="GL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I84)*GK84)*(VLOOKUP(A84,tbMoveset!A2:C112,3,FALSE)/100)*IF(VLOOKUP(A84,tbMoveset!A2:B112,2,FALSE)="Projectile",Backdoors!N10,Backdoors!N9),0),"")</f>
        <v/>
      </c>
      <c r="GM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I84&gt;=0.45,VLOOKUP(Calculator!E23,tbSkills!DH3:DI6,2,FALSE)+IF(AND(Calculator!B8=TRUE,Backdoors!BI30=TRUE),VLOOKUP(Calculator!E23,tbSkills!DH3:DJ6,3,FALSE),0),0))&gt;=100,100,(Backdoors!AI12+IF(GI84&gt;=0.45,VLOOKUP(Calculator!E23,tbSkills!DH3:DI6,2,FALSE)+IF(AND(Calculator!B8=TRUE,Backdoors!BI30=TRUE),VLOOKUP(Calculator!E23,tbSkills!DH3:DJ6,3,FALSE),0),0)))/100)),1))*IF(VLOOKUP(A84,tbMoveset!A2:K112,11,FALSE)=TRUE,Backdoors!AC5,1))*GJ84,0),"")</f>
        <v>0</v>
      </c>
      <c r="GN84" s="49">
        <f>VLOOKUP(A84,tbMoveset!A2:G112,7,FALSE)*IFERROR(IF(Backdoors!AI12&gt;=0,1+(IF(Calculator!E40&gt;0,VLOOKUP(Calculator!E40,tbSkills!AI3:AJ5,2,FALSE),Backdoors!AL4)*(IF((Backdoors!AI12+IF(GI84&gt;=0.45,VLOOKUP(Calculator!E23,tbSkills!DH3:DI6,2,FALSE)+IF(AND(Calculator!B8=TRUE,Backdoors!BI30=TRUE),VLOOKUP(Calculator!E23,tbSkills!DH3:DJ6,3,FALSE),0),0))&gt;=100,100,(Backdoors!AI12+IF(GI84&gt;=0.45,VLOOKUP(Calculator!E23,tbSkills!DH3:DI6,2,FALSE)+IF(AND(Calculator!B8=TRUE,Backdoors!BI30=TRUE),VLOOKUP(Calculator!E23,tbSkills!DH3:DJ6,3,FALSE),0),0)))/100)),1),1)</f>
        <v>0.4</v>
      </c>
      <c r="GO84" s="87">
        <f t="shared" si="78"/>
        <v>0</v>
      </c>
      <c r="GP84" s="86" t="str">
        <f>IFERROR(IF(VLOOKUP(A84,tbMoveset!A2:B112,2,FALSE)="Sever",Backdoors!AY31/100,IF(VLOOKUP(A84,tbMoveset!A2:B112,2,FALSE)="Blunt",Backdoors!AZ31/100,Backdoors!BA31/100)),"")</f>
        <v/>
      </c>
      <c r="GQ84" s="49">
        <f>IFERROR(IF(VLOOKUP(tbMoveset!A84,tbMoveset!A2:H112,8,FALSE)="Other",IF(VLOOKUP(tbMoveset!A84,tbMoveset!A2:I112,9,FALSE)="Fire",Backdoors!BB31,IF(VLOOKUP(tbMoveset!A84,tbMoveset!A2:I112,9,FALSE)="Water",Backdoors!BC31,IF(VLOOKUP(tbMoveset!A84,tbMoveset!A2:I112,9,FALSE)="Thunder",Backdoors!BD31,IF(VLOOKUP(tbMoveset!A84,tbMoveset!A2:I112,9,FALSE)="Ice",Backdoors!BE31,IF(VLOOKUP(tbMoveset!A84,tbMoveset!A2:I112,9,FALSE)="Dragon",Backdoors!BF31,Backdoors!BG31)))))/100,Backdoors!BG31/100),"")</f>
        <v>0</v>
      </c>
      <c r="GR84" s="49">
        <f>IFERROR(IF(VLOOKUP(A84,tbMoveset!A2:J112,10,FALSE)=TRUE,IF((Backdoors!AI12+IF(GP84&gt;=0.45,VLOOKUP(Calculator!E23,tbSkills!DH3:DI6,2,FALSE)+IF(AND(Calculator!B8=TRUE,Backdoors!BI31=TRUE),VLOOKUP(Calculator!E23,tbSkills!DH3:DJ6,3,FALSE),0),0))&gt;=0,1+(Backdoors!AL2*(IF((Backdoors!AI12+IF(GP84&gt;=0.45,VLOOKUP(Calculator!E23,tbSkills!DH3:DI6,2,FALSE)+IF(AND(Calculator!B8=TRUE,Backdoors!BI31=TRUE),VLOOKUP(Calculator!E23,tbSkills!DH3:DJ6,3,FALSE),0),0))&gt;=100,100,(Backdoors!AI12+IF(GP84&gt;=0.45,VLOOKUP(Calculator!E23,tbSkills!DH3:DI6,2,FALSE)+IF(AND(Calculator!B8=TRUE,Backdoors!BI31=TRUE),VLOOKUP(Calculator!E23,tbSkills!DH3:DJ6,3,FALSE),0),0)))/100)),(1-(0.25*((-Backdoors!AI12-IF(GP84&gt;=0.45,VLOOKUP(Calculator!E23,tbSkills!DH3:DI6,2,FALSE)+IF(AND(Calculator!B8=TRUE,Backdoors!BI31=TRUE),VLOOKUP(Calculator!E23,tbSkills!DH3:DJ6,3,FALSE),0),0))/100)))),1),"")</f>
        <v>1</v>
      </c>
      <c r="GS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P84)*GR84)*(VLOOKUP(A84,tbMoveset!A2:C112,3,FALSE)/100)*IF(VLOOKUP(A84,tbMoveset!A2:B112,2,FALSE)="Projectile",Backdoors!N10,Backdoors!N9),0),"")</f>
        <v/>
      </c>
      <c r="GT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P84&gt;=0.45,VLOOKUP(Calculator!E23,tbSkills!DH3:DI6,2,FALSE)+IF(AND(Calculator!B8=TRUE,Backdoors!BI31=TRUE),VLOOKUP(Calculator!E23,tbSkills!DH3:DJ6,3,FALSE),0),0))&gt;=100,100,(Backdoors!AI12+IF(GP84&gt;=0.45,VLOOKUP(Calculator!E23,tbSkills!DH3:DI6,2,FALSE)+IF(AND(Calculator!B8=TRUE,Backdoors!BI31=TRUE),VLOOKUP(Calculator!E23,tbSkills!DH3:DJ6,3,FALSE),0),0)))/100)),1))*IF(VLOOKUP(A84,tbMoveset!A2:K112,11,FALSE)=TRUE,Backdoors!AC5,1))*GQ84,0),"")</f>
        <v>0</v>
      </c>
      <c r="GU84" s="49">
        <f>VLOOKUP(A84,tbMoveset!A2:G112,7,FALSE)*IFERROR(IF(Backdoors!AI12&gt;=0,1+(IF(Calculator!E40&gt;0,VLOOKUP(Calculator!E40,tbSkills!AI3:AJ5,2,FALSE),Backdoors!AL4)*(IF((Backdoors!AI12+IF(GP84&gt;=0.45,VLOOKUP(Calculator!E23,tbSkills!DH3:DI6,2,FALSE)+IF(AND(Calculator!B8=TRUE,Backdoors!BI31=TRUE),VLOOKUP(Calculator!E23,tbSkills!DH3:DJ6,3,FALSE),0),0))&gt;=100,100,(Backdoors!AI12+IF(GP84&gt;=0.45,VLOOKUP(Calculator!E23,tbSkills!DH3:DI6,2,FALSE)+IF(AND(Calculator!B8=TRUE,Backdoors!BI31=TRUE),VLOOKUP(Calculator!E23,tbSkills!DH3:DJ6,3,FALSE),0),0)))/100)),1),1)</f>
        <v>0.4</v>
      </c>
      <c r="GV84" s="87">
        <f t="shared" si="79"/>
        <v>0</v>
      </c>
      <c r="GW84" s="86" t="str">
        <f>IFERROR(IF(VLOOKUP(A84,tbMoveset!A2:B112,2,FALSE)="Sever",Backdoors!AY32/100,IF(VLOOKUP(A84,tbMoveset!A2:B112,2,FALSE)="Blunt",Backdoors!AZ32/100,Backdoors!BA32/100)),"")</f>
        <v/>
      </c>
      <c r="GX84" s="49">
        <f>IFERROR(IF(VLOOKUP(tbMoveset!A84,tbMoveset!A2:H112,8,FALSE)="Other",IF(VLOOKUP(tbMoveset!A84,tbMoveset!A2:I112,9,FALSE)="Fire",Backdoors!BB32,IF(VLOOKUP(tbMoveset!A84,tbMoveset!A2:I112,9,FALSE)="Water",Backdoors!BC32,IF(VLOOKUP(tbMoveset!A84,tbMoveset!A2:I112,9,FALSE)="Thunder",Backdoors!BD32,IF(VLOOKUP(tbMoveset!A84,tbMoveset!A2:I112,9,FALSE)="Ice",Backdoors!BE32,IF(VLOOKUP(tbMoveset!A84,tbMoveset!A2:I112,9,FALSE)="Dragon",Backdoors!BF32,Backdoors!BG32)))))/100,Backdoors!BG32/100),"")</f>
        <v>0</v>
      </c>
      <c r="GY84" s="49">
        <f>IFERROR(IF(VLOOKUP(A84,tbMoveset!A2:J112,10,FALSE)=TRUE,IF((Backdoors!AI12+IF(GW84&gt;=0.45,VLOOKUP(Calculator!E23,tbSkills!DH3:DI6,2,FALSE)+IF(AND(Calculator!B8=TRUE,Backdoors!BI32=TRUE),VLOOKUP(Calculator!E23,tbSkills!DH3:DJ6,3,FALSE),0),0))&gt;=0,1+(Backdoors!AL2*(IF((Backdoors!AI12+IF(GW84&gt;=0.45,VLOOKUP(Calculator!E23,tbSkills!DH3:DI6,2,FALSE)+IF(AND(Calculator!B8=TRUE,Backdoors!BI32=TRUE),VLOOKUP(Calculator!E23,tbSkills!DH3:DJ6,3,FALSE),0),0))&gt;=100,100,(Backdoors!AI12+IF(GW84&gt;=0.45,VLOOKUP(Calculator!E23,tbSkills!DH3:DI6,2,FALSE)+IF(AND(Calculator!B8=TRUE,Backdoors!BI32=TRUE),VLOOKUP(Calculator!E23,tbSkills!DH3:DJ6,3,FALSE),0),0)))/100)),(1-(0.25*((-Backdoors!AI12-IF(GW84&gt;=0.45,VLOOKUP(Calculator!E23,tbSkills!DH3:DI6,2,FALSE)+IF(AND(Calculator!B8=TRUE,Backdoors!BI32=TRUE),VLOOKUP(Calculator!E23,tbSkills!DH3:DJ6,3,FALSE),0),0))/100)))),1),"")</f>
        <v>1</v>
      </c>
      <c r="GZ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W84)*GY84)*(VLOOKUP(A84,tbMoveset!A2:C112,3,FALSE)/100)*IF(VLOOKUP(A84,tbMoveset!A2:B112,2,FALSE)="Projectile",Backdoors!N10,Backdoors!N9),0),"")</f>
        <v/>
      </c>
      <c r="HA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W84&gt;=0.45,VLOOKUP(Calculator!E23,tbSkills!DH3:DI6,2,FALSE)+IF(AND(Calculator!B8=TRUE,Backdoors!BI32=TRUE),VLOOKUP(Calculator!E23,tbSkills!DH3:DJ6,3,FALSE),0),0))&gt;=100,100,(Backdoors!AI12+IF(GW84&gt;=0.45,VLOOKUP(Calculator!E23,tbSkills!DH3:DI6,2,FALSE)+IF(AND(Calculator!B8=TRUE,Backdoors!BI32=TRUE),VLOOKUP(Calculator!E23,tbSkills!DH3:DJ6,3,FALSE),0),0)))/100)),1))*IF(VLOOKUP(A84,tbMoveset!A2:K112,11,FALSE)=TRUE,Backdoors!AC5,1))*GX84,0),"")</f>
        <v>0</v>
      </c>
      <c r="HB84" s="49">
        <f>VLOOKUP(A84,tbMoveset!A2:G112,7,FALSE)*IFERROR(IF(Backdoors!AI12&gt;=0,1+(IF(Calculator!E40&gt;0,VLOOKUP(Calculator!E40,tbSkills!AI3:AJ5,2,FALSE),Backdoors!AL4)*(IF((Backdoors!AI12+IF(GW84&gt;=0.45,VLOOKUP(Calculator!E23,tbSkills!DH3:DI6,2,FALSE)+IF(AND(Calculator!B8=TRUE,Backdoors!BI32=TRUE),VLOOKUP(Calculator!E23,tbSkills!DH3:DJ6,3,FALSE),0),0))&gt;=100,100,(Backdoors!AI12+IF(GW84&gt;=0.45,VLOOKUP(Calculator!E23,tbSkills!DH3:DI6,2,FALSE)+IF(AND(Calculator!B8=TRUE,Backdoors!BI32=TRUE),VLOOKUP(Calculator!E23,tbSkills!DH3:DJ6,3,FALSE),0),0)))/100)),1),1)</f>
        <v>0.4</v>
      </c>
      <c r="HC84" s="87">
        <f t="shared" si="80"/>
        <v>0</v>
      </c>
      <c r="HD84" s="86" t="str">
        <f>IFERROR(IF(VLOOKUP(A84,tbMoveset!A2:B112,2,FALSE)="Sever",Backdoors!AY33/100,IF(VLOOKUP(A84,tbMoveset!A2:B112,2,FALSE)="Blunt",Backdoors!AZ33/100,Backdoors!BA33/100)),"")</f>
        <v/>
      </c>
      <c r="HE84" s="49">
        <f>IFERROR(IF(VLOOKUP(tbMoveset!A84,tbMoveset!A2:H112,8,FALSE)="Other",IF(VLOOKUP(tbMoveset!A84,tbMoveset!A2:I112,9,FALSE)="Fire",Backdoors!BB33,IF(VLOOKUP(tbMoveset!A84,tbMoveset!A2:I112,9,FALSE)="Water",Backdoors!BC33,IF(VLOOKUP(tbMoveset!A84,tbMoveset!A2:I112,9,FALSE)="Thunder",Backdoors!BD33,IF(VLOOKUP(tbMoveset!A84,tbMoveset!A2:I112,9,FALSE)="Ice",Backdoors!BE33,IF(VLOOKUP(tbMoveset!A84,tbMoveset!A2:I112,9,FALSE)="Dragon",Backdoors!BF33,Backdoors!BG33)))))/100,Backdoors!BG33/100),"")</f>
        <v>0</v>
      </c>
      <c r="HF84" s="49">
        <f>IFERROR(IF(VLOOKUP(A84,tbMoveset!A2:J112,10,FALSE)=TRUE,IF((Backdoors!AI12+IF(HD84&gt;=0.45,VLOOKUP(Calculator!E23,tbSkills!DH3:DI6,2,FALSE)+IF(AND(Calculator!B8=TRUE,Backdoors!BI33=TRUE),VLOOKUP(Calculator!E23,tbSkills!DH3:DJ6,3,FALSE),0),0))&gt;=0,1+(Backdoors!AL2*(IF((Backdoors!AI12+IF(HD84&gt;=0.45,VLOOKUP(Calculator!E23,tbSkills!DH3:DI6,2,FALSE)+IF(AND(Calculator!B8=TRUE,Backdoors!BI33=TRUE),VLOOKUP(Calculator!E23,tbSkills!DH3:DJ6,3,FALSE),0),0))&gt;=100,100,(Backdoors!AI12+IF(HD84&gt;=0.45,VLOOKUP(Calculator!E23,tbSkills!DH3:DI6,2,FALSE)+IF(AND(Calculator!B8=TRUE,Backdoors!BI33=TRUE),VLOOKUP(Calculator!E23,tbSkills!DH3:DJ6,3,FALSE),0),0)))/100)),(1-(0.25*((-Backdoors!AI12-IF(HD84&gt;=0.45,VLOOKUP(Calculator!E23,tbSkills!DH3:DI6,2,FALSE)+IF(AND(Calculator!B8=TRUE,Backdoors!BI33=TRUE),VLOOKUP(Calculator!E23,tbSkills!DH3:DJ6,3,FALSE),0),0))/100)))),1),"")</f>
        <v>1</v>
      </c>
      <c r="HG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D84)*HF84)*(VLOOKUP(A84,tbMoveset!A2:C112,3,FALSE)/100)*IF(VLOOKUP(A84,tbMoveset!A2:B112,2,FALSE)="Projectile",Backdoors!N10,Backdoors!N9),0),"")</f>
        <v/>
      </c>
      <c r="HH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D84&gt;=0.45,VLOOKUP(Calculator!E23,tbSkills!DH3:DI6,2,FALSE)+IF(AND(Calculator!B8=TRUE,Backdoors!BI33=TRUE),VLOOKUP(Calculator!E23,tbSkills!DH3:DJ6,3,FALSE),0),0))&gt;=100,100,(Backdoors!AI12+IF(HD84&gt;=0.45,VLOOKUP(Calculator!E23,tbSkills!DH3:DI6,2,FALSE)+IF(AND(Calculator!B8=TRUE,Backdoors!BI33=TRUE),VLOOKUP(Calculator!E23,tbSkills!DH3:DJ6,3,FALSE),0),0)))/100)),1))*IF(VLOOKUP(A84,tbMoveset!A2:K112,11,FALSE)=TRUE,Backdoors!AC5,1))*HE84,0),"")</f>
        <v>0</v>
      </c>
      <c r="HI84" s="49">
        <f>VLOOKUP(A84,tbMoveset!A2:G112,7,FALSE)*IFERROR(IF(Backdoors!AI12&gt;=0,1+(IF(Calculator!E40&gt;0,VLOOKUP(Calculator!E40,tbSkills!AI3:AJ5,2,FALSE),Backdoors!AL4)*(IF((Backdoors!AI12+IF(HD84&gt;=0.45,VLOOKUP(Calculator!E23,tbSkills!DH3:DI6,2,FALSE)+IF(AND(Calculator!B8=TRUE,Backdoors!BI33=TRUE),VLOOKUP(Calculator!E23,tbSkills!DH3:DJ6,3,FALSE),0),0))&gt;=100,100,(Backdoors!AI12+IF(HD84&gt;=0.45,VLOOKUP(Calculator!E23,tbSkills!DH3:DI6,2,FALSE)+IF(AND(Calculator!B8=TRUE,Backdoors!BI33=TRUE),VLOOKUP(Calculator!E23,tbSkills!DH3:DJ6,3,FALSE),0),0)))/100)),1),1)</f>
        <v>0.4</v>
      </c>
      <c r="HJ84" s="87">
        <f t="shared" si="81"/>
        <v>0</v>
      </c>
      <c r="HK84" s="86" t="str">
        <f>IFERROR(IF(VLOOKUP(A84,tbMoveset!A2:B112,2,FALSE)="Sever",Backdoors!AY34/100,IF(VLOOKUP(A84,tbMoveset!A2:B112,2,FALSE)="Blunt",Backdoors!AZ34/100,Backdoors!BA34/100)),"")</f>
        <v/>
      </c>
      <c r="HL84" s="49">
        <f>IFERROR(IF(VLOOKUP(tbMoveset!A84,tbMoveset!A2:H112,8,FALSE)="Other",IF(VLOOKUP(tbMoveset!A84,tbMoveset!A2:I112,9,FALSE)="Fire",Backdoors!BB34,IF(VLOOKUP(tbMoveset!A84,tbMoveset!A2:I112,9,FALSE)="Water",Backdoors!BC34,IF(VLOOKUP(tbMoveset!A84,tbMoveset!A2:I112,9,FALSE)="Thunder",Backdoors!BD34,IF(VLOOKUP(tbMoveset!A84,tbMoveset!A2:I112,9,FALSE)="Ice",Backdoors!BE34,IF(VLOOKUP(tbMoveset!A84,tbMoveset!A2:I112,9,FALSE)="Dragon",Backdoors!BF34,Backdoors!BG34)))))/100,Backdoors!BG34/100),"")</f>
        <v>0</v>
      </c>
      <c r="HM84" s="49">
        <f>IFERROR(IF(VLOOKUP(A84,tbMoveset!A2:J112,10,FALSE)=TRUE,IF((Backdoors!AI12+IF(HK84&gt;=0.45,VLOOKUP(Calculator!E23,tbSkills!DH3:DI6,2,FALSE)+IF(AND(Calculator!B8=TRUE,Backdoors!BI34=TRUE),VLOOKUP(Calculator!E23,tbSkills!DH3:DJ6,3,FALSE),0),0))&gt;=0,1+(Backdoors!AL2*(IF((Backdoors!AI12+IF(HK84&gt;=0.45,VLOOKUP(Calculator!E23,tbSkills!DH3:DI6,2,FALSE)+IF(AND(Calculator!B8=TRUE,Backdoors!BI34=TRUE),VLOOKUP(Calculator!E23,tbSkills!DH3:DJ6,3,FALSE),0),0))&gt;=100,100,(Backdoors!AI12+IF(HK84&gt;=0.45,VLOOKUP(Calculator!E23,tbSkills!DH3:DI6,2,FALSE)+IF(AND(Calculator!B8=TRUE,Backdoors!BI34=TRUE),VLOOKUP(Calculator!E23,tbSkills!DH3:DJ6,3,FALSE),0),0)))/100)),(1-(0.25*((-Backdoors!AI12-IF(HK84&gt;=0.45,VLOOKUP(Calculator!E23,tbSkills!DH3:DI6,2,FALSE)+IF(AND(Calculator!B8=TRUE,Backdoors!BI34=TRUE),VLOOKUP(Calculator!E23,tbSkills!DH3:DJ6,3,FALSE),0),0))/100)))),1),"")</f>
        <v>1</v>
      </c>
      <c r="HN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K84)*HM84)*(VLOOKUP(A84,tbMoveset!A2:C112,3,FALSE)/100)*IF(VLOOKUP(A84,tbMoveset!A2:B112,2,FALSE)="Projectile",Backdoors!N10,Backdoors!N9),0),"")</f>
        <v/>
      </c>
      <c r="HO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K84&gt;=0.45,VLOOKUP(Calculator!E23,tbSkills!DH3:DI6,2,FALSE)+IF(AND(Calculator!B8=TRUE,Backdoors!BI34=TRUE),VLOOKUP(Calculator!E23,tbSkills!DH3:DJ6,3,FALSE),0),0))&gt;=100,100,(Backdoors!AI12+IF(HK84&gt;=0.45,VLOOKUP(Calculator!E23,tbSkills!DH3:DI6,2,FALSE)+IF(AND(Calculator!B8=TRUE,Backdoors!BI34=TRUE),VLOOKUP(Calculator!E23,tbSkills!DH3:DJ6,3,FALSE),0),0)))/100)),1))*IF(VLOOKUP(A84,tbMoveset!A2:K112,11,FALSE)=TRUE,Backdoors!AC5,1))*HL84,0),"")</f>
        <v>0</v>
      </c>
      <c r="HP84" s="49">
        <f>VLOOKUP(A84,tbMoveset!A2:G112,7,FALSE)*IFERROR(IF(Backdoors!AI12&gt;=0,1+(IF(Calculator!E40&gt;0,VLOOKUP(Calculator!E40,tbSkills!AI3:AJ5,2,FALSE),Backdoors!AL4)*(IF((Backdoors!AI12+IF(HK84&gt;=0.45,VLOOKUP(Calculator!E23,tbSkills!DH3:DI6,2,FALSE)+IF(AND(Calculator!B8=TRUE,Backdoors!BI34=TRUE),VLOOKUP(Calculator!E23,tbSkills!DH3:DJ6,3,FALSE),0),0))&gt;=100,100,(Backdoors!AI12+IF(HK84&gt;=0.45,VLOOKUP(Calculator!E23,tbSkills!DH3:DI6,2,FALSE)+IF(AND(Calculator!B8=TRUE,Backdoors!BI34=TRUE),VLOOKUP(Calculator!E23,tbSkills!DH3:DJ6,3,FALSE),0),0)))/100)),1),1)</f>
        <v>0.4</v>
      </c>
      <c r="HQ84" s="87">
        <f t="shared" si="82"/>
        <v>0</v>
      </c>
      <c r="HR84" s="86" t="str">
        <f>IFERROR(IF(VLOOKUP(A84,tbMoveset!A2:B112,2,FALSE)="Sever",Backdoors!AY35/100,IF(VLOOKUP(A84,tbMoveset!A2:B112,2,FALSE)="Blunt",Backdoors!AZ35/100,Backdoors!BA35/100)),"")</f>
        <v/>
      </c>
      <c r="HS84" s="49">
        <f>IFERROR(IF(VLOOKUP(tbMoveset!A84,tbMoveset!A2:H112,8,FALSE)="Other",IF(VLOOKUP(tbMoveset!A84,tbMoveset!A2:I112,9,FALSE)="Fire",Backdoors!BB35,IF(VLOOKUP(tbMoveset!A84,tbMoveset!A2:I112,9,FALSE)="Water",Backdoors!BC35,IF(VLOOKUP(tbMoveset!A84,tbMoveset!A2:I112,9,FALSE)="Thunder",Backdoors!BD35,IF(VLOOKUP(tbMoveset!A84,tbMoveset!A2:I112,9,FALSE)="Ice",Backdoors!BE35,IF(VLOOKUP(tbMoveset!A84,tbMoveset!A2:I112,9,FALSE)="Dragon",Backdoors!BF35,Backdoors!BG35)))))/100,Backdoors!BG35/100),"")</f>
        <v>0</v>
      </c>
      <c r="HT84" s="49">
        <f>IFERROR(IF(VLOOKUP(A84,tbMoveset!A2:J112,10,FALSE)=TRUE,IF((Backdoors!AI12+IF(HR84&gt;=0.45,VLOOKUP(Calculator!E23,tbSkills!DH3:DI6,2,FALSE)+IF(AND(Calculator!B8=TRUE,Backdoors!BI35=TRUE),VLOOKUP(Calculator!E23,tbSkills!DH3:DJ6,3,FALSE),0),0))&gt;=0,1+(Backdoors!AL2*(IF((Backdoors!AI12+IF(HR84&gt;=0.45,VLOOKUP(Calculator!E23,tbSkills!DH3:DI6,2,FALSE)+IF(AND(Calculator!B8=TRUE,Backdoors!BI35=TRUE),VLOOKUP(Calculator!E23,tbSkills!DH3:DJ6,3,FALSE),0),0))&gt;=100,100,(Backdoors!AI12+IF(HR84&gt;=0.45,VLOOKUP(Calculator!E23,tbSkills!DH3:DI6,2,FALSE)+IF(AND(Calculator!B8=TRUE,Backdoors!BI35=TRUE),VLOOKUP(Calculator!E23,tbSkills!DH3:DJ6,3,FALSE),0),0)))/100)),(1-(0.25*((-Backdoors!AI12-IF(HR84&gt;=0.45,VLOOKUP(Calculator!E23,tbSkills!DH3:DI6,2,FALSE)+IF(AND(Calculator!B8=TRUE,Backdoors!BI35=TRUE),VLOOKUP(Calculator!E23,tbSkills!DH3:DJ6,3,FALSE),0),0))/100)))),1),"")</f>
        <v>1</v>
      </c>
      <c r="HU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R84)*HT84)*(VLOOKUP(A84,tbMoveset!A2:C112,3,FALSE)/100)*IF(VLOOKUP(A84,tbMoveset!A2:B112,2,FALSE)="Projectile",Backdoors!N10,Backdoors!N9),0),"")</f>
        <v/>
      </c>
      <c r="HV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R84&gt;=0.45,VLOOKUP(Calculator!E23,tbSkills!DH3:DI6,2,FALSE)+IF(AND(Calculator!B8=TRUE,Backdoors!BI35=TRUE),VLOOKUP(Calculator!E23,tbSkills!DH3:DJ6,3,FALSE),0),0))&gt;=100,100,(Backdoors!AI12+IF(HR84&gt;=0.45,VLOOKUP(Calculator!E23,tbSkills!DH3:DI6,2,FALSE)+IF(AND(Calculator!B8=TRUE,Backdoors!BI35=TRUE),VLOOKUP(Calculator!E23,tbSkills!DH3:DJ6,3,FALSE),0),0)))/100)),1))*IF(VLOOKUP(A84,tbMoveset!A2:K112,11,FALSE)=TRUE,Backdoors!AC5,1))*HS84,0),"")</f>
        <v>0</v>
      </c>
      <c r="HW84" s="49">
        <f>VLOOKUP(A84,tbMoveset!A2:G112,7,FALSE)*IFERROR(IF(Backdoors!AI12&gt;=0,1+(IF(Calculator!E40&gt;0,VLOOKUP(Calculator!E40,tbSkills!AI3:AJ5,2,FALSE),Backdoors!AL4)*(IF((Backdoors!AI12+IF(HR84&gt;=0.45,VLOOKUP(Calculator!E23,tbSkills!DH3:DI6,2,FALSE)+IF(AND(Calculator!B8=TRUE,Backdoors!BI35=TRUE),VLOOKUP(Calculator!E23,tbSkills!DH3:DJ6,3,FALSE),0),0))&gt;=100,100,(Backdoors!AI12+IF(HR84&gt;=0.45,VLOOKUP(Calculator!E23,tbSkills!DH3:DI6,2,FALSE)+IF(AND(Calculator!B8=TRUE,Backdoors!BI35=TRUE),VLOOKUP(Calculator!E23,tbSkills!DH3:DJ6,3,FALSE),0),0)))/100)),1),1)</f>
        <v>0.4</v>
      </c>
      <c r="HX84" s="87">
        <f t="shared" si="83"/>
        <v>0</v>
      </c>
      <c r="HY84" s="86" t="str">
        <f>IFERROR(IF(VLOOKUP(A84,tbMoveset!A2:B112,2,FALSE)="Sever",Backdoors!AY36/100,IF(VLOOKUP(A84,tbMoveset!A2:B112,2,FALSE)="Blunt",Backdoors!AZ36/100,Backdoors!BA36/100)),"")</f>
        <v/>
      </c>
      <c r="HZ84" s="49">
        <f>IFERROR(IF(VLOOKUP(tbMoveset!A84,tbMoveset!A2:H112,8,FALSE)="Other",IF(VLOOKUP(tbMoveset!A84,tbMoveset!A2:I112,9,FALSE)="Fire",Backdoors!BB36,IF(VLOOKUP(tbMoveset!A84,tbMoveset!A2:I112,9,FALSE)="Water",Backdoors!BC36,IF(VLOOKUP(tbMoveset!A84,tbMoveset!A2:I112,9,FALSE)="Thunder",Backdoors!BD36,IF(VLOOKUP(tbMoveset!A84,tbMoveset!A2:I112,9,FALSE)="Ice",Backdoors!BE36,IF(VLOOKUP(tbMoveset!A84,tbMoveset!A2:I112,9,FALSE)="Dragon",Backdoors!BF36,Backdoors!BG36)))))/100,Backdoors!BG36/100),"")</f>
        <v>0</v>
      </c>
      <c r="IA84" s="49">
        <f>IFERROR(IF(VLOOKUP(A84,tbMoveset!A2:J112,10,FALSE)=TRUE,IF((Backdoors!AI12+IF(HY84&gt;=0.45,VLOOKUP(Calculator!E23,tbSkills!DH3:DI6,2,FALSE)+IF(AND(Calculator!B8=TRUE,Backdoors!BI36=TRUE),VLOOKUP(Calculator!E23,tbSkills!DH3:DJ6,3,FALSE),0),0))&gt;=0,1+(Backdoors!AL2*(IF((Backdoors!AI12+IF(HY84&gt;=0.45,VLOOKUP(Calculator!E23,tbSkills!DH3:DI6,2,FALSE)+IF(AND(Calculator!B8=TRUE,Backdoors!BI36=TRUE),VLOOKUP(Calculator!E23,tbSkills!DH3:DJ6,3,FALSE),0),0))&gt;=100,100,(Backdoors!AI12+IF(HY84&gt;=0.45,VLOOKUP(Calculator!E23,tbSkills!DH3:DI6,2,FALSE)+IF(AND(Calculator!B8=TRUE,Backdoors!BI36=TRUE),VLOOKUP(Calculator!E23,tbSkills!DH3:DJ6,3,FALSE),0),0)))/100)),(1-(0.25*((-Backdoors!AI12-IF(HY84&gt;=0.45,VLOOKUP(Calculator!E23,tbSkills!DH3:DI6,2,FALSE)+IF(AND(Calculator!B8=TRUE,Backdoors!BI36=TRUE),VLOOKUP(Calculator!E23,tbSkills!DH3:DJ6,3,FALSE),0),0))/100)))),1),"")</f>
        <v>1</v>
      </c>
      <c r="IB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Y84)*IA84)*(VLOOKUP(A84,tbMoveset!A2:C112,3,FALSE)/100)*IF(VLOOKUP(A84,tbMoveset!A2:B112,2,FALSE)="Projectile",Backdoors!N10,Backdoors!N9),0),"")</f>
        <v/>
      </c>
      <c r="IC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Y84&gt;=0.45,VLOOKUP(Calculator!E23,tbSkills!DH3:DI6,2,FALSE)+IF(AND(Calculator!B8=TRUE,Backdoors!BI36=TRUE),VLOOKUP(Calculator!E23,tbSkills!DH3:DJ6,3,FALSE),0),0))&gt;=100,100,(Backdoors!AI12+IF(HY84&gt;=0.45,VLOOKUP(Calculator!E23,tbSkills!DH3:DI6,2,FALSE)+IF(AND(Calculator!B8=TRUE,Backdoors!BI36=TRUE),VLOOKUP(Calculator!E23,tbSkills!DH3:DJ6,3,FALSE),0),0)))/100)),1))*IF(VLOOKUP(A84,tbMoveset!A2:K112,11,FALSE)=TRUE,Backdoors!AC5,1))*HZ84,0),"")</f>
        <v>0</v>
      </c>
      <c r="ID84" s="49">
        <f>VLOOKUP(A84,tbMoveset!A2:G112,7,FALSE)*IFERROR(IF(Backdoors!AI12&gt;=0,1+(IF(Calculator!E40&gt;0,VLOOKUP(Calculator!E40,tbSkills!AI3:AJ5,2,FALSE),Backdoors!AL4)*(IF((Backdoors!AI12+IF(HY84&gt;=0.45,VLOOKUP(Calculator!E23,tbSkills!DH3:DI6,2,FALSE)+IF(AND(Calculator!B8=TRUE,Backdoors!BI36=TRUE),VLOOKUP(Calculator!E23,tbSkills!DH3:DJ6,3,FALSE),0),0))&gt;=100,100,(Backdoors!AI12+IF(HY84&gt;=0.45,VLOOKUP(Calculator!E23,tbSkills!DH3:DI6,2,FALSE)+IF(AND(Calculator!B8=TRUE,Backdoors!BI36=TRUE),VLOOKUP(Calculator!E23,tbSkills!DH3:DJ6,3,FALSE),0),0)))/100)),1),1)</f>
        <v>0.4</v>
      </c>
      <c r="IE84" s="87">
        <f t="shared" si="84"/>
        <v>0</v>
      </c>
      <c r="IF84" s="86" t="str">
        <f>IFERROR(IF(VLOOKUP(A84,tbMoveset!A2:B112,2,FALSE)="Sever",Backdoors!AY37/100,IF(VLOOKUP(A84,tbMoveset!A2:B112,2,FALSE)="Blunt",Backdoors!AZ37/100,Backdoors!BA37/100)),"")</f>
        <v/>
      </c>
      <c r="IG84" s="49">
        <f>IFERROR(IF(VLOOKUP(tbMoveset!A84,tbMoveset!A2:H112,8,FALSE)="Other",IF(VLOOKUP(tbMoveset!A84,tbMoveset!A2:I112,9,FALSE)="Fire",Backdoors!BB37,IF(VLOOKUP(tbMoveset!A84,tbMoveset!A2:I112,9,FALSE)="Water",Backdoors!BC37,IF(VLOOKUP(tbMoveset!A84,tbMoveset!A2:I112,9,FALSE)="Thunder",Backdoors!BD37,IF(VLOOKUP(tbMoveset!A84,tbMoveset!A2:I112,9,FALSE)="Ice",Backdoors!BE37,IF(VLOOKUP(tbMoveset!A84,tbMoveset!A2:I112,9,FALSE)="Dragon",Backdoors!BF37,Backdoors!BG37)))))/100,Backdoors!BG37/100),"")</f>
        <v>0</v>
      </c>
      <c r="IH84" s="49">
        <f>IFERROR(IF(VLOOKUP(A84,tbMoveset!A2:J112,10,FALSE)=TRUE,IF((Backdoors!AI12+IF(IF84&gt;=0.45,VLOOKUP(Calculator!E23,tbSkills!DH3:DI6,2,FALSE)+IF(AND(Calculator!B8=TRUE,Backdoors!BI37=TRUE),VLOOKUP(Calculator!E23,tbSkills!DH3:DJ6,3,FALSE),0),0))&gt;=0,1+(Backdoors!AL2*(IF((Backdoors!AI12+IF(IF84&gt;=0.45,VLOOKUP(Calculator!E23,tbSkills!DH3:DI6,2,FALSE)+IF(AND(Calculator!B8=TRUE,Backdoors!BI37=TRUE),VLOOKUP(Calculator!E23,tbSkills!DH3:DJ6,3,FALSE),0),0))&gt;=100,100,(Backdoors!AI12+IF(IF84&gt;=0.45,VLOOKUP(Calculator!E23,tbSkills!DH3:DI6,2,FALSE)+IF(AND(Calculator!B8=TRUE,Backdoors!BI37=TRUE),VLOOKUP(Calculator!E23,tbSkills!DH3:DJ6,3,FALSE),0),0)))/100)),(1-(0.25*((-Backdoors!AI12-IF(IF84&gt;=0.45,VLOOKUP(Calculator!E23,tbSkills!DH3:DI6,2,FALSE)+IF(AND(Calculator!B8=TRUE,Backdoors!BI37=TRUE),VLOOKUP(Calculator!E23,tbSkills!DH3:DJ6,3,FALSE),0),0))/100)))),1),"")</f>
        <v>1</v>
      </c>
      <c r="II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F84)*IH84)*(VLOOKUP(A84,tbMoveset!A2:C112,3,FALSE)/100)*IF(VLOOKUP(A84,tbMoveset!A2:B112,2,FALSE)="Projectile",Backdoors!N10,Backdoors!N9),0),"")</f>
        <v/>
      </c>
      <c r="IJ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IF84&gt;=0.45,VLOOKUP(Calculator!E23,tbSkills!DH3:DI6,2,FALSE)+IF(AND(Calculator!B8=TRUE,Backdoors!BI37=TRUE),VLOOKUP(Calculator!E23,tbSkills!DH3:DJ6,3,FALSE),0),0))&gt;=100,100,(Backdoors!AI12+IF(IF84&gt;=0.45,VLOOKUP(Calculator!E23,tbSkills!DH3:DI6,2,FALSE)+IF(AND(Calculator!B8=TRUE,Backdoors!BI37=TRUE),VLOOKUP(Calculator!E23,tbSkills!DH3:DJ6,3,FALSE),0),0)))/100)),1))*IF(VLOOKUP(A84,tbMoveset!A2:K112,11,FALSE)=TRUE,Backdoors!AC5,1))*IG84,0),"")</f>
        <v>0</v>
      </c>
      <c r="IK84" s="49">
        <f>VLOOKUP(A84,tbMoveset!A2:G112,7,FALSE)*IFERROR(IF(Backdoors!AI12&gt;=0,1+(IF(Calculator!E40&gt;0,VLOOKUP(Calculator!E40,tbSkills!AI3:AJ5,2,FALSE),Backdoors!AL4)*(IF((Backdoors!AI12+IF(IF84&gt;=0.45,VLOOKUP(Calculator!E23,tbSkills!DH3:DI6,2,FALSE)+IF(AND(Calculator!B8=TRUE,Backdoors!BI37=TRUE),VLOOKUP(Calculator!E23,tbSkills!DH3:DJ6,3,FALSE),0),0))&gt;=100,100,(Backdoors!AI12+IF(IF84&gt;=0.45,VLOOKUP(Calculator!E23,tbSkills!DH3:DI6,2,FALSE)+IF(AND(Calculator!B8=TRUE,Backdoors!BI37=TRUE),VLOOKUP(Calculator!E23,tbSkills!DH3:DJ6,3,FALSE),0),0)))/100)),1),1)</f>
        <v>0.4</v>
      </c>
      <c r="IL84" s="87">
        <f t="shared" si="85"/>
        <v>0</v>
      </c>
      <c r="IM84" s="86" t="str">
        <f>IFERROR(IF(VLOOKUP(A84,tbMoveset!A2:B112,2,FALSE)="Sever",Backdoors!AY38/100,IF(VLOOKUP(A84,tbMoveset!A2:B112,2,FALSE)="Blunt",Backdoors!AZ38/100,Backdoors!BA38/100)),"")</f>
        <v/>
      </c>
      <c r="IN84" s="49">
        <f>IFERROR(IF(VLOOKUP(tbMoveset!A84,tbMoveset!A2:H112,8,FALSE)="Other",IF(VLOOKUP(tbMoveset!A84,tbMoveset!A2:I112,9,FALSE)="Fire",Backdoors!BB38,IF(VLOOKUP(tbMoveset!A84,tbMoveset!A2:I112,9,FALSE)="Water",Backdoors!BC38,IF(VLOOKUP(tbMoveset!A84,tbMoveset!A2:I112,9,FALSE)="Thunder",Backdoors!BD38,IF(VLOOKUP(tbMoveset!A84,tbMoveset!A2:I112,9,FALSE)="Ice",Backdoors!BE38,IF(VLOOKUP(tbMoveset!A84,tbMoveset!A2:I112,9,FALSE)="Dragon",Backdoors!BF38,Backdoors!BG38)))))/100,Backdoors!BG38/100),"")</f>
        <v>0</v>
      </c>
      <c r="IO84" s="49">
        <f>IFERROR(IF(VLOOKUP(A84,tbMoveset!A2:J112,10,FALSE)=TRUE,IF((Backdoors!AI12+IF(IM84&gt;=0.45,VLOOKUP(Calculator!E23,tbSkills!DH3:DI6,2,FALSE)+IF(AND(Calculator!B8=TRUE,Backdoors!BI38=TRUE),VLOOKUP(Calculator!E23,tbSkills!DH3:DJ6,3,FALSE),0),0))&gt;=0,1+(Backdoors!AL2*(IF((Backdoors!AI12+IF(IM84&gt;=0.45,VLOOKUP(Calculator!E23,tbSkills!DH3:DI6,2,FALSE)+IF(AND(Calculator!B8=TRUE,Backdoors!BI38=TRUE),VLOOKUP(Calculator!E23,tbSkills!DH3:DJ6,3,FALSE),0),0))&gt;=100,100,(Backdoors!AI12+IF(IM84&gt;=0.45,VLOOKUP(Calculator!E23,tbSkills!DH3:DI6,2,FALSE)+IF(AND(Calculator!B8=TRUE,Backdoors!BI38=TRUE),VLOOKUP(Calculator!E23,tbSkills!DH3:DJ6,3,FALSE),0),0)))/100)),(1-(0.25*((-Backdoors!AI12-IF(IM84&gt;=0.45,VLOOKUP(Calculator!E23,tbSkills!DH3:DI6,2,FALSE)+IF(AND(Calculator!B8=TRUE,Backdoors!BI38=TRUE),VLOOKUP(Calculator!E23,tbSkills!DH3:DJ6,3,FALSE),0),0))/100)))),1),"")</f>
        <v>1</v>
      </c>
      <c r="IP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M84)*IO84)*(VLOOKUP(A84,tbMoveset!A2:C112,3,FALSE)/100)*IF(VLOOKUP(A84,tbMoveset!A2:B112,2,FALSE)="Projectile",Backdoors!N10,Backdoors!N9),0),"")</f>
        <v/>
      </c>
      <c r="IQ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IM84&gt;=0.45,VLOOKUP(Calculator!E23,tbSkills!DH3:DI6,2,FALSE)+IF(AND(Calculator!B8=TRUE,Backdoors!BI38=TRUE),VLOOKUP(Calculator!E23,tbSkills!DH3:DJ6,3,FALSE),0),0))&gt;=100,100,(Backdoors!AI12+IF(IM84&gt;=0.45,VLOOKUP(Calculator!E23,tbSkills!DH3:DI6,2,FALSE)+IF(AND(Calculator!B8=TRUE,Backdoors!BI38=TRUE),VLOOKUP(Calculator!E23,tbSkills!DH3:DJ6,3,FALSE),0),0)))/100)),1))*IF(VLOOKUP(A84,tbMoveset!A2:K112,11,FALSE)=TRUE,Backdoors!AC5,1))*IN84,0),"")</f>
        <v>0</v>
      </c>
      <c r="IR84" s="49">
        <f>VLOOKUP(A84,tbMoveset!A2:G112,7,FALSE)*IFERROR(IF(Backdoors!AI12&gt;=0,1+(IF(Calculator!E40&gt;0,VLOOKUP(Calculator!E40,tbSkills!AI3:AJ5,2,FALSE),Backdoors!AL4)*(IF((Backdoors!AI12+IF(IM84&gt;=0.45,VLOOKUP(Calculator!E23,tbSkills!DH3:DI6,2,FALSE)+IF(AND(Calculator!B8=TRUE,Backdoors!BI38=TRUE),VLOOKUP(Calculator!E23,tbSkills!DH3:DJ6,3,FALSE),0),0))&gt;=100,100,(Backdoors!AI12+IF(IM84&gt;=0.45,VLOOKUP(Calculator!E23,tbSkills!DH3:DI6,2,FALSE)+IF(AND(Calculator!B8=TRUE,Backdoors!BI38=TRUE),VLOOKUP(Calculator!E23,tbSkills!DH3:DJ6,3,FALSE),0),0)))/100)),1),1)</f>
        <v>0.4</v>
      </c>
      <c r="IS84" s="87">
        <f t="shared" si="86"/>
        <v>0</v>
      </c>
      <c r="IT84" s="86" t="str">
        <f>IFERROR(IF(VLOOKUP(A84,tbMoveset!A2:B112,2,FALSE)="Sever",Backdoors!AY39/100,IF(VLOOKUP(A84,tbMoveset!A2:B112,2,FALSE)="Blunt",Backdoors!AZ39/100,Backdoors!BA39/100)),"")</f>
        <v/>
      </c>
      <c r="IU84" s="49">
        <f>IFERROR(IF(VLOOKUP(tbMoveset!A84,tbMoveset!A2:H112,8,FALSE)="Other",IF(VLOOKUP(tbMoveset!A84,tbMoveset!A2:I112,9,FALSE)="Fire",Backdoors!BB39,IF(VLOOKUP(tbMoveset!A84,tbMoveset!A2:I112,9,FALSE)="Water",Backdoors!BC39,IF(VLOOKUP(tbMoveset!A84,tbMoveset!A2:I112,9,FALSE)="Thunder",Backdoors!BD39,IF(VLOOKUP(tbMoveset!A84,tbMoveset!A2:I112,9,FALSE)="Ice",Backdoors!BE39,IF(VLOOKUP(tbMoveset!A84,tbMoveset!A2:I112,9,FALSE)="Dragon",Backdoors!BF39,Backdoors!BG39)))))/100,Backdoors!BG39/100),"")</f>
        <v>0</v>
      </c>
      <c r="IV84" s="49">
        <f>IFERROR(IF(VLOOKUP(A84,tbMoveset!A2:J112,10,FALSE)=TRUE,IF((Backdoors!AI12+IF(IT84&gt;=0.45,VLOOKUP(Calculator!E23,tbSkills!DH3:DI6,2,FALSE)+IF(AND(Calculator!B8=TRUE,Backdoors!BI39=TRUE),VLOOKUP(Calculator!E23,tbSkills!DH3:DJ6,3,FALSE),0),0))&gt;=0,1+(Backdoors!AL2*(IF((Backdoors!AI12+IF(IT84&gt;=0.45,VLOOKUP(Calculator!E23,tbSkills!DH3:DI6,2,FALSE)+IF(AND(Calculator!B8=TRUE,Backdoors!BI39=TRUE),VLOOKUP(Calculator!E23,tbSkills!DH3:DJ6,3,FALSE),0),0))&gt;=100,100,(Backdoors!AI12+IF(IT84&gt;=0.45,VLOOKUP(Calculator!E23,tbSkills!DH3:DI6,2,FALSE)+IF(AND(Calculator!B8=TRUE,Backdoors!BI39=TRUE),VLOOKUP(Calculator!E23,tbSkills!DH3:DJ6,3,FALSE),0),0)))/100)),(1-(0.25*((-Backdoors!AI12-IF(IT84&gt;=0.45,VLOOKUP(Calculator!E23,tbSkills!DH3:DI6,2,FALSE)+IF(AND(Calculator!B8=TRUE,Backdoors!BI39=TRUE),VLOOKUP(Calculator!E23,tbSkills!DH3:DJ6,3,FALSE),0),0))/100)))),1),"")</f>
        <v>1</v>
      </c>
      <c r="IW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T84)*IV84)*(VLOOKUP(A84,tbMoveset!A2:C112,3,FALSE)/100)*IF(VLOOKUP(A84,tbMoveset!A2:B112,2,FALSE)="Projectile",Backdoors!N10,Backdoors!N9),0),"")</f>
        <v/>
      </c>
      <c r="IX84" s="49">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40&gt;0,VLOOKUP(Calculator!E40,tbSkills!AC3:AD5,2,FALSE),Backdoors!AL3)*(IF((Backdoors!AI12+IF(IT84&gt;=0.45,VLOOKUP(Calculator!E23,tbSkills!DH3:DI6,2,FALSE)+IF(AND(Calculator!B8=TRUE,Backdoors!BI39=TRUE),VLOOKUP(Calculator!E23,tbSkills!DH3:DJ6,3,FALSE),0),0))&gt;=100,100,(Backdoors!AI12+IF(IT84&gt;=0.45,VLOOKUP(Calculator!E23,tbSkills!DH3:DI6,2,FALSE)+IF(AND(Calculator!B8=TRUE,Backdoors!BI39=TRUE),VLOOKUP(Calculator!E23,tbSkills!DH3:DJ6,3,FALSE),0),0)))/100)),1))*IF(VLOOKUP(A84,tbMoveset!A2:K112,11,FALSE)=TRUE,Backdoors!AC5,1))*IU84,0),"")</f>
        <v>0</v>
      </c>
      <c r="IY84" s="49">
        <f>VLOOKUP(A84,tbMoveset!A2:G112,7,FALSE)*IFERROR(IF(Backdoors!AI12&gt;=0,1+(IF(Calculator!E40&gt;0,VLOOKUP(Calculator!E40,tbSkills!AI3:AJ5,2,FALSE),Backdoors!AL4)*(IF((Backdoors!AI12+IF(IT84&gt;=0.45,VLOOKUP(Calculator!E23,tbSkills!DH3:DI6,2,FALSE)+IF(AND(Calculator!B8=TRUE,Backdoors!BI39=TRUE),VLOOKUP(Calculator!E23,tbSkills!DH3:DJ6,3,FALSE),0),0))&gt;=100,100,(Backdoors!AI12+IF(IT84&gt;=0.45,VLOOKUP(Calculator!E23,tbSkills!DH3:DI6,2,FALSE)+IF(AND(Calculator!B8=TRUE,Backdoors!BI39=TRUE),VLOOKUP(Calculator!E23,tbSkills!DH3:DJ6,3,FALSE),0),0)))/100)),1),1)</f>
        <v>0.4</v>
      </c>
      <c r="IZ84" s="87">
        <f t="shared" si="87"/>
        <v>0</v>
      </c>
      <c r="JA84" s="86" t="str">
        <f>IFERROR(IF(VLOOKUP(A84,tbMoveset!A2:B112,2,FALSE)="Sever",Backdoors!AY40/100,IF(VLOOKUP(A84,tbMoveset!A2:B112,2,FALSE)="Blunt",Backdoors!AZ40/100,Backdoors!BA40/100)),"")</f>
        <v/>
      </c>
      <c r="JB84" s="49">
        <f>IFERROR(IF(VLOOKUP(tbMoveset!A84,tbMoveset!A2:H112,8,FALSE)="Other",IF(VLOOKUP(tbMoveset!A84,tbMoveset!A2:I112,9,FALSE)="Fire",Backdoors!BB40,IF(VLOOKUP(tbMoveset!A84,tbMoveset!A2:I112,9,FALSE)="Water",Backdoors!BC40,IF(VLOOKUP(tbMoveset!A84,tbMoveset!A2:I112,9,FALSE)="Thunder",Backdoors!BD40,IF(VLOOKUP(tbMoveset!A84,tbMoveset!A2:I112,9,FALSE)="Ice",Backdoors!BE40,IF(VLOOKUP(tbMoveset!A84,tbMoveset!A2:I112,9,FALSE)="Dragon",Backdoors!BF40,Backdoors!BG40)))))/100,Backdoors!BG40/100),"")</f>
        <v>0</v>
      </c>
      <c r="JC84" s="49">
        <f>IFERROR(IF(VLOOKUP(A84,tbMoveset!A2:J112,10,FALSE)=TRUE,IF((Backdoors!AI12+IF(JA84&gt;=0.45,VLOOKUP(Calculator!E23,tbSkills!DH3:DI6,2,FALSE)+IF(AND(Calculator!B8=TRUE,Backdoors!BI40=TRUE),VLOOKUP(Calculator!E23,tbSkills!DH3:DJ6,3,FALSE),0),0))&gt;=0,1+(Backdoors!AL2*(IF((Backdoors!AI12+IF(JA84&gt;=0.45,VLOOKUP(Calculator!E23,tbSkills!DH3:DI6,2,FALSE)+IF(AND(Calculator!B8=TRUE,Backdoors!BI40=TRUE),VLOOKUP(Calculator!E23,tbSkills!DH3:DJ6,3,FALSE),0),0))&gt;=100,100,(Backdoors!AI12+IF(JA84&gt;=0.45,VLOOKUP(Calculator!E23,tbSkills!DH3:DI6,2,FALSE)+IF(AND(Calculator!B8=TRUE,Backdoors!BI40=TRUE),VLOOKUP(Calculator!E23,tbSkills!DH3:DJ6,3,FALSE),0),0)))/100)),(1-(0.25*((-Backdoors!AI12-IF(JA84&gt;=0.45,VLOOKUP(Calculator!E23,tbSkills!DH3:DI6,2,FALSE)+IF(AND(Calculator!B8=TRUE,Backdoors!BI40=TRUE),VLOOKUP(Calculator!E23,tbSkills!DH3:DJ6,3,FALSE),0),0))/100)))),1),"")</f>
        <v>1</v>
      </c>
      <c r="JD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A84)*JC84)*(VLOOKUP(A84,tbMoveset!A2:C112,3,FALSE)/100)*IF(VLOOKUP(A84,tbMoveset!A2:B112,2,FALSE)="Projectile",Backdoors!N10,Backdoors!N9),0),"")</f>
        <v/>
      </c>
      <c r="JE84" s="49">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42&gt;0,VLOOKUP(Calculator!E42,tbSkills!AC3:AD5,2,FALSE),Backdoors!AL3)*(IF((Backdoors!AI12+IF(JA84&gt;=0.45,VLOOKUP(Calculator!E23,tbSkills!DH3:DI6,2,FALSE)+IF(AND(Calculator!B8=TRUE,Backdoors!BI40=TRUE),VLOOKUP(Calculator!E23,tbSkills!DH3:DJ6,3,FALSE),0),0))&gt;=100,100,(Backdoors!AI12+IF(JA84&gt;=0.45,VLOOKUP(Calculator!E23,tbSkills!DH3:DI6,2,FALSE)+IF(AND(Calculator!B8=TRUE,Backdoors!BI40=TRUE),VLOOKUP(Calculator!E23,tbSkills!DH3:DJ6,3,FALSE),0),0)))/100)),1))*IF(VLOOKUP(A84,tbMoveset!A2:K112,11,FALSE)=TRUE,Backdoors!AC5,1))*JB84,0),"")</f>
        <v>0</v>
      </c>
      <c r="JF84" s="49">
        <f>VLOOKUP(A84,tbMoveset!A2:G112,7,FALSE)*IFERROR(IF(Backdoors!AI12&gt;=0,1+(IF(Calculator!E40&gt;0,VLOOKUP(Calculator!E40,tbSkills!AI3:AJ5,2,FALSE),Backdoors!AL4)*(IF((Backdoors!AI12+IF(JA84&gt;=0.45,VLOOKUP(Calculator!E23,tbSkills!DH3:DI6,2,FALSE)+IF(AND(Calculator!B8=TRUE,Backdoors!BI40=TRUE),VLOOKUP(Calculator!E23,tbSkills!DH3:DJ6,3,FALSE),0),0))&gt;=100,100,(Backdoors!AI12+IF(JA84&gt;=0.45,VLOOKUP(Calculator!E23,tbSkills!DH3:DI6,2,FALSE)+IF(AND(Calculator!B8=TRUE,Backdoors!BI40=TRUE),VLOOKUP(Calculator!E23,tbSkills!DH3:DJ6,3,FALSE),0),0)))/100)),1),1)</f>
        <v>0.4</v>
      </c>
      <c r="JG84" s="87">
        <f t="shared" si="88"/>
        <v>0</v>
      </c>
      <c r="JH84" s="86" t="str">
        <f>IFERROR(IF(VLOOKUP(A84,tbMoveset!A2:B112,2,FALSE)="Sever",Backdoors!AY41/100,IF(VLOOKUP(A84,tbMoveset!A2:B112,2,FALSE)="Blunt",Backdoors!AZ41/100,Backdoors!BA41/100)),"")</f>
        <v/>
      </c>
      <c r="JI84" s="49">
        <f>IFERROR(IF(VLOOKUP(tbMoveset!A84,tbMoveset!A2:H112,8,FALSE)="Other",IF(VLOOKUP(tbMoveset!A84,tbMoveset!A2:I112,9,FALSE)="Fire",Backdoors!BB41,IF(VLOOKUP(tbMoveset!A84,tbMoveset!A2:I112,9,FALSE)="Water",Backdoors!BC41,IF(VLOOKUP(tbMoveset!A84,tbMoveset!A2:I112,9,FALSE)="Thunder",Backdoors!BD41,IF(VLOOKUP(tbMoveset!A84,tbMoveset!A2:I112,9,FALSE)="Ice",Backdoors!BE41,IF(VLOOKUP(tbMoveset!A84,tbMoveset!A2:I112,9,FALSE)="Dragon",Backdoors!BF41,Backdoors!BG41)))))/100,Backdoors!BG41/100),"")</f>
        <v>0</v>
      </c>
      <c r="JJ84" s="49">
        <f>IFERROR(IF(VLOOKUP(A84,tbMoveset!A2:J112,10,FALSE)=TRUE,IF((Backdoors!AI12+IF(JH84&gt;=0.45,VLOOKUP(Calculator!E23,tbSkills!DH3:DI6,2,FALSE)+IF(AND(Calculator!B8=TRUE,Backdoors!BI41=TRUE),VLOOKUP(Calculator!E23,tbSkills!DH3:DJ6,3,FALSE),0),0))&gt;=0,1+(Backdoors!AL2*(IF((Backdoors!AI12+IF(JH84&gt;=0.45,VLOOKUP(Calculator!E23,tbSkills!DH3:DI6,2,FALSE)+IF(AND(Calculator!B8=TRUE,Backdoors!BI41=TRUE),VLOOKUP(Calculator!E23,tbSkills!DH3:DJ6,3,FALSE),0),0))&gt;=100,100,(Backdoors!AI12+IF(JH84&gt;=0.45,VLOOKUP(Calculator!E23,tbSkills!DH3:DI6,2,FALSE)+IF(AND(Calculator!B8=TRUE,Backdoors!BI41=TRUE),VLOOKUP(Calculator!E23,tbSkills!DH3:DJ6,3,FALSE),0),0)))/100)),(1-(0.25*((-Backdoors!AI12-IF(JH84&gt;=0.45,VLOOKUP(Calculator!E23,tbSkills!DH3:DI6,2,FALSE)+IF(AND(Calculator!B8=TRUE,Backdoors!BI41=TRUE),VLOOKUP(Calculator!E23,tbSkills!DH3:DJ6,3,FALSE),0),0))/100)))),1),"")</f>
        <v>1</v>
      </c>
      <c r="JK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H84)*JJ84)*(VLOOKUP(A84,tbMoveset!A2:C112,3,FALSE)/100)*IF(VLOOKUP(A84,tbMoveset!A2:B112,2,FALSE)="Projectile",Backdoors!N10,Backdoors!N9),0),"")</f>
        <v/>
      </c>
      <c r="JL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43&gt;0,VLOOKUP(Calculator!E43,tbSkills!AC3:AD5,2,FALSE),Backdoors!AL3)*(IF((Backdoors!AI12+IF(JH84&gt;=0.45,VLOOKUP(Calculator!E23,tbSkills!DH3:DI6,2,FALSE)+IF(AND(Calculator!B8=TRUE,Backdoors!BI41=TRUE),VLOOKUP(Calculator!E23,tbSkills!DH3:DJ6,3,FALSE),0),0))&gt;=100,100,(Backdoors!AI12+IF(JH84&gt;=0.45,VLOOKUP(Calculator!E23,tbSkills!DH3:DI6,2,FALSE)+IF(AND(Calculator!B8=TRUE,Backdoors!BI41=TRUE),VLOOKUP(Calculator!E23,tbSkills!DH3:DJ6,3,FALSE),0),0)))/100)),1))*IF(VLOOKUP(A84,tbMoveset!A2:K112,11,FALSE)=TRUE,Backdoors!AC5,1))*JI84,0),"")</f>
        <v/>
      </c>
      <c r="JM84" s="49">
        <f>VLOOKUP(A84,tbMoveset!A2:G112,7,FALSE)*IFERROR(IF(Backdoors!AI12&gt;=0,1+(IF(Calculator!E40&gt;0,VLOOKUP(Calculator!E40,tbSkills!AI3:AJ5,2,FALSE),Backdoors!AL4)*(IF((Backdoors!AI12+IF(JH84&gt;=0.45,VLOOKUP(Calculator!E23,tbSkills!DH3:DI6,2,FALSE)+IF(AND(Calculator!B8=TRUE,Backdoors!BI41=TRUE),VLOOKUP(Calculator!E23,tbSkills!DH3:DJ6,3,FALSE),0),0))&gt;=100,100,(Backdoors!AI12+IF(JH84&gt;=0.45,VLOOKUP(Calculator!E23,tbSkills!DH3:DI6,2,FALSE)+IF(AND(Calculator!B8=TRUE,Backdoors!BI41=TRUE),VLOOKUP(Calculator!E23,tbSkills!DH3:DJ6,3,FALSE),0),0)))/100)),1),1)</f>
        <v>0.4</v>
      </c>
      <c r="JN84" s="87">
        <f t="shared" si="89"/>
        <v>0</v>
      </c>
      <c r="JO84" s="86" t="str">
        <f>IFERROR(IF(VLOOKUP(A84,tbMoveset!A2:B112,2,FALSE)="Sever",Backdoors!AY42/100,IF(VLOOKUP(A84,tbMoveset!A2:B112,2,FALSE)="Blunt",Backdoors!AZ42/100,Backdoors!BA42/100)),"")</f>
        <v/>
      </c>
      <c r="JP84" s="49">
        <f>IFERROR(IF(VLOOKUP(tbMoveset!A84,tbMoveset!A2:H112,8,FALSE)="Other",IF(VLOOKUP(tbMoveset!A84,tbMoveset!A2:I112,9,FALSE)="Fire",Backdoors!BB42,IF(VLOOKUP(tbMoveset!A84,tbMoveset!A2:I112,9,FALSE)="Water",Backdoors!BC42,IF(VLOOKUP(tbMoveset!A84,tbMoveset!A2:I112,9,FALSE)="Thunder",Backdoors!BD42,IF(VLOOKUP(tbMoveset!A84,tbMoveset!A2:I112,9,FALSE)="Ice",Backdoors!BE42,IF(VLOOKUP(tbMoveset!A84,tbMoveset!A2:I112,9,FALSE)="Dragon",Backdoors!BF42,Backdoors!BG42)))))/100,Backdoors!BG42/100),"")</f>
        <v>0</v>
      </c>
      <c r="JQ84" s="49">
        <f>IFERROR(IF(VLOOKUP(A84,tbMoveset!A2:J112,10,FALSE)=TRUE,IF((Backdoors!AI12+IF(JO84&gt;=0.45,VLOOKUP(Calculator!E23,tbSkills!DH3:DI6,2,FALSE)+IF(AND(Calculator!B8=TRUE,Backdoors!BI42=TRUE),VLOOKUP(Calculator!E23,tbSkills!DH3:DJ6,3,FALSE),0),0))&gt;=0,1+(Backdoors!AL2*(IF((Backdoors!AI12+IF(JO84&gt;=0.45,VLOOKUP(Calculator!E23,tbSkills!DH3:DI6,2,FALSE)+IF(AND(Calculator!B8=TRUE,Backdoors!BI42=TRUE),VLOOKUP(Calculator!E23,tbSkills!DH3:DJ6,3,FALSE),0),0))&gt;=100,100,(Backdoors!AI12+IF(JO84&gt;=0.45,VLOOKUP(Calculator!E23,tbSkills!DH3:DI6,2,FALSE)+IF(AND(Calculator!B8=TRUE,Backdoors!BI42=TRUE),VLOOKUP(Calculator!E23,tbSkills!DH3:DJ6,3,FALSE),0),0)))/100)),(1-(0.25*((-Backdoors!AI12-IF(JO84&gt;=0.45,VLOOKUP(Calculator!E23,tbSkills!DH3:DI6,2,FALSE)+IF(AND(Calculator!B8=TRUE,Backdoors!BI42=TRUE),VLOOKUP(Calculator!E23,tbSkills!DH3:DJ6,3,FALSE),0),0))/100)))),1),"")</f>
        <v>1</v>
      </c>
      <c r="JR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O84)*JQ84)*(VLOOKUP(A84,tbMoveset!A2:C112,3,FALSE)/100)*IF(VLOOKUP(A84,tbMoveset!A2:B112,2,FALSE)="Projectile",Backdoors!N10,Backdoors!N9),0),"")</f>
        <v/>
      </c>
      <c r="JS84" s="49">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45&gt;0,VLOOKUP(Calculator!E45,tbSkills!AC3:AD5,2,FALSE),Backdoors!AL3)*(IF((Backdoors!AI12+IF(JO84&gt;=0.45,VLOOKUP(Calculator!E23,tbSkills!DH3:DI6,2,FALSE)+IF(AND(Calculator!B8=TRUE,Backdoors!BI42=TRUE),VLOOKUP(Calculator!E23,tbSkills!DH3:DJ6,3,FALSE),0),0))&gt;=100,100,(Backdoors!AI12+IF(JO84&gt;=0.45,VLOOKUP(Calculator!E23,tbSkills!DH3:DI6,2,FALSE)+IF(AND(Calculator!B8=TRUE,Backdoors!BI42=TRUE),VLOOKUP(Calculator!E23,tbSkills!DH3:DJ6,3,FALSE),0),0)))/100)),1))*IF(VLOOKUP(A84,tbMoveset!A2:K112,11,FALSE)=TRUE,Backdoors!AC5,1))*JP84,0),"")</f>
        <v>0</v>
      </c>
      <c r="JT84" s="49">
        <f>VLOOKUP(A84,tbMoveset!A2:G112,7,FALSE)*IFERROR(IF(Backdoors!AI12&gt;=0,1+(IF(Calculator!E40&gt;0,VLOOKUP(Calculator!E40,tbSkills!AI3:AJ5,2,FALSE),Backdoors!AL4)*(IF((Backdoors!AI12+IF(JO84&gt;=0.45,VLOOKUP(Calculator!E23,tbSkills!DH3:DI6,2,FALSE)+IF(AND(Calculator!B8=TRUE,Backdoors!BI42=TRUE),VLOOKUP(Calculator!E23,tbSkills!DH3:DJ6,3,FALSE),0),0))&gt;=100,100,(Backdoors!AI12+IF(JO84&gt;=0.45,VLOOKUP(Calculator!E23,tbSkills!DH3:DI6,2,FALSE)+IF(AND(Calculator!B8=TRUE,Backdoors!BI42=TRUE),VLOOKUP(Calculator!E23,tbSkills!DH3:DJ6,3,FALSE),0),0)))/100)),1),1)</f>
        <v>0.4</v>
      </c>
      <c r="JU84" s="87">
        <f t="shared" si="90"/>
        <v>0</v>
      </c>
      <c r="JV84" s="86" t="str">
        <f>IFERROR(IF(VLOOKUP(A84,tbMoveset!A2:B112,2,FALSE)="Sever",Backdoors!AY43/100,IF(VLOOKUP(A84,tbMoveset!A2:B112,2,FALSE)="Blunt",Backdoors!AZ43/100,Backdoors!BA43/100)),"")</f>
        <v/>
      </c>
      <c r="JW84" s="49">
        <f>IFERROR(IF(VLOOKUP(tbMoveset!A84,tbMoveset!A2:H112,8,FALSE)="Other",IF(VLOOKUP(tbMoveset!A84,tbMoveset!A2:I112,9,FALSE)="Fire",Backdoors!BB43,IF(VLOOKUP(tbMoveset!A84,tbMoveset!A2:I112,9,FALSE)="Water",Backdoors!BC43,IF(VLOOKUP(tbMoveset!A84,tbMoveset!A2:I112,9,FALSE)="Thunder",Backdoors!BD43,IF(VLOOKUP(tbMoveset!A84,tbMoveset!A2:I112,9,FALSE)="Ice",Backdoors!BE43,IF(VLOOKUP(tbMoveset!A84,tbMoveset!A2:I112,9,FALSE)="Dragon",Backdoors!BF43,Backdoors!BG43)))))/100,Backdoors!BG43/100),"")</f>
        <v>0</v>
      </c>
      <c r="JX84" s="49">
        <f>IFERROR(IF(VLOOKUP(A84,tbMoveset!A2:J112,10,FALSE)=TRUE,IF((Backdoors!AI12+IF(JV84&gt;=0.45,VLOOKUP(Calculator!E23,tbSkills!DH3:DI6,2,FALSE)+IF(AND(Calculator!B8=TRUE,Backdoors!BI43=TRUE),VLOOKUP(Calculator!E23,tbSkills!DH3:DJ6,3,FALSE),0),0))&gt;=0,1+(Backdoors!AL2*(IF((Backdoors!AI12+IF(JV84&gt;=0.45,VLOOKUP(Calculator!E23,tbSkills!DH3:DI6,2,FALSE)+IF(AND(Calculator!B8=TRUE,Backdoors!BI43=TRUE),VLOOKUP(Calculator!E23,tbSkills!DH3:DJ6,3,FALSE),0),0))&gt;=100,100,(Backdoors!AI12+IF(JV84&gt;=0.45,VLOOKUP(Calculator!E23,tbSkills!DH3:DI6,2,FALSE)+IF(AND(Calculator!B8=TRUE,Backdoors!BI43=TRUE),VLOOKUP(Calculator!E23,tbSkills!DH3:DJ6,3,FALSE),0),0)))/100)),(1-(0.25*((-Backdoors!AI12-IF(JV84&gt;=0.45,VLOOKUP(Calculator!E23,tbSkills!DH3:DI6,2,FALSE)+IF(AND(Calculator!B8=TRUE,Backdoors!BI43=TRUE),VLOOKUP(Calculator!E23,tbSkills!DH3:DJ6,3,FALSE),0),0))/100)))),1),"")</f>
        <v>1</v>
      </c>
      <c r="JY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V84)*JX84)*(VLOOKUP(A84,tbMoveset!A2:C112,3,FALSE)/100)*IF(VLOOKUP(A84,tbMoveset!A2:B112,2,FALSE)="Projectile",Backdoors!N10,Backdoors!N9),0),"")</f>
        <v/>
      </c>
      <c r="JZ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46&gt;0,VLOOKUP(Calculator!E46,tbSkills!AC3:AD5,2,FALSE),Backdoors!AL3)*(IF((Backdoors!AI12+IF(JV84&gt;=0.45,VLOOKUP(Calculator!E23,tbSkills!DH3:DI6,2,FALSE)+IF(AND(Calculator!B8=TRUE,Backdoors!BI43=TRUE),VLOOKUP(Calculator!E23,tbSkills!DH3:DJ6,3,FALSE),0),0))&gt;=100,100,(Backdoors!AI12+IF(JV84&gt;=0.45,VLOOKUP(Calculator!E23,tbSkills!DH3:DI6,2,FALSE)+IF(AND(Calculator!B8=TRUE,Backdoors!BI43=TRUE),VLOOKUP(Calculator!E23,tbSkills!DH3:DJ6,3,FALSE),0),0)))/100)),1))*IF(VLOOKUP(A84,tbMoveset!A2:K112,11,FALSE)=TRUE,Backdoors!AC5,1))*JW84,0),"")</f>
        <v/>
      </c>
      <c r="KA84" s="49">
        <f>VLOOKUP(A84,tbMoveset!A2:G112,7,FALSE)*IFERROR(IF(Backdoors!AI12&gt;=0,1+(IF(Calculator!E40&gt;0,VLOOKUP(Calculator!E40,tbSkills!AI3:AJ5,2,FALSE),Backdoors!AL4)*(IF((Backdoors!AI12+IF(JV84&gt;=0.45,VLOOKUP(Calculator!E23,tbSkills!DH3:DI6,2,FALSE)+IF(AND(Calculator!B8=TRUE,Backdoors!BI43=TRUE),VLOOKUP(Calculator!E23,tbSkills!DH3:DJ6,3,FALSE),0),0))&gt;=100,100,(Backdoors!AI12+IF(JV84&gt;=0.45,VLOOKUP(Calculator!E23,tbSkills!DH3:DI6,2,FALSE)+IF(AND(Calculator!B8=TRUE,Backdoors!BI43=TRUE),VLOOKUP(Calculator!E23,tbSkills!DH3:DJ6,3,FALSE),0),0)))/100)),1),1)</f>
        <v>0.4</v>
      </c>
      <c r="KB84" s="87">
        <f t="shared" si="91"/>
        <v>0</v>
      </c>
      <c r="KC84" s="86" t="str">
        <f>IFERROR(IF(VLOOKUP(A84,tbMoveset!A2:B112,2,FALSE)="Sever",Backdoors!AY44/100,IF(VLOOKUP(A84,tbMoveset!A2:B112,2,FALSE)="Blunt",Backdoors!AZ44/100,Backdoors!BA44/100)),"")</f>
        <v/>
      </c>
      <c r="KD84" s="49">
        <f>IFERROR(IF(VLOOKUP(tbMoveset!A84,tbMoveset!A2:H112,8,FALSE)="Other",IF(VLOOKUP(tbMoveset!A84,tbMoveset!A2:I112,9,FALSE)="Fire",Backdoors!BB44,IF(VLOOKUP(tbMoveset!A84,tbMoveset!A2:I112,9,FALSE)="Water",Backdoors!BC44,IF(VLOOKUP(tbMoveset!A84,tbMoveset!A2:I112,9,FALSE)="Thunder",Backdoors!BD44,IF(VLOOKUP(tbMoveset!A84,tbMoveset!A2:I112,9,FALSE)="Ice",Backdoors!BE44,IF(VLOOKUP(tbMoveset!A84,tbMoveset!A2:I112,9,FALSE)="Dragon",Backdoors!BF44,Backdoors!BG44)))))/100,Backdoors!BG44/100),"")</f>
        <v>0</v>
      </c>
      <c r="KE84" s="49">
        <f>IFERROR(IF(VLOOKUP(A84,tbMoveset!A2:J112,10,FALSE)=TRUE,IF((Backdoors!AI12+IF(KC84&gt;=0.45,VLOOKUP(Calculator!E23,tbSkills!DH3:DI6,2,FALSE)+IF(AND(Calculator!B8=TRUE,Backdoors!BI44=TRUE),VLOOKUP(Calculator!E23,tbSkills!DH3:DJ6,3,FALSE),0),0))&gt;=0,1+(Backdoors!AL2*(IF((Backdoors!AI12+IF(KC84&gt;=0.45,VLOOKUP(Calculator!E23,tbSkills!DH3:DI6,2,FALSE)+IF(AND(Calculator!B8=TRUE,Backdoors!BI44=TRUE),VLOOKUP(Calculator!E23,tbSkills!DH3:DJ6,3,FALSE),0),0))&gt;=100,100,(Backdoors!AI12+IF(KC84&gt;=0.45,VLOOKUP(Calculator!E23,tbSkills!DH3:DI6,2,FALSE)+IF(AND(Calculator!B8=TRUE,Backdoors!BI44=TRUE),VLOOKUP(Calculator!E23,tbSkills!DH3:DJ6,3,FALSE),0),0)))/100)),(1-(0.25*((-Backdoors!AI12-IF(KC84&gt;=0.45,VLOOKUP(Calculator!E23,tbSkills!DH3:DI6,2,FALSE)+IF(AND(Calculator!B8=TRUE,Backdoors!BI44=TRUE),VLOOKUP(Calculator!E23,tbSkills!DH3:DJ6,3,FALSE),0),0))/100)))),1),"")</f>
        <v>1</v>
      </c>
      <c r="KF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KC84)*KE84)*(VLOOKUP(A84,tbMoveset!A2:C112,3,FALSE)/100)*IF(VLOOKUP(A84,tbMoveset!A2:B112,2,FALSE)="Projectile",Backdoors!N10,Backdoors!N9),0),"")</f>
        <v/>
      </c>
      <c r="KG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REF!&gt;0,VLOOKUP(Calculator!#REF!,tbSkills!AC3:AD5,2,FALSE),Backdoors!AL3)*(IF((Backdoors!AI12+IF(KC84&gt;=0.45,VLOOKUP(Calculator!E23,tbSkills!DH3:DI6,2,FALSE)+IF(AND(Calculator!B8=TRUE,Backdoors!BI44=TRUE),VLOOKUP(Calculator!E23,tbSkills!DH3:DJ6,3,FALSE),0),0))&gt;=100,100,(Backdoors!AI12+IF(KC84&gt;=0.45,VLOOKUP(Calculator!E23,tbSkills!DH3:DI6,2,FALSE)+IF(AND(Calculator!B8=TRUE,Backdoors!BI44=TRUE),VLOOKUP(Calculator!E23,tbSkills!DH3:DJ6,3,FALSE),0),0)))/100)),1))*IF(VLOOKUP(A84,tbMoveset!A2:K112,11,FALSE)=TRUE,Backdoors!AC5,1))*KD84,0),"")</f>
        <v/>
      </c>
      <c r="KH84" s="49">
        <f>VLOOKUP(A84,tbMoveset!A2:G112,7,FALSE)*IFERROR(IF(Backdoors!AI12&gt;=0,1+(IF(Calculator!E40&gt;0,VLOOKUP(Calculator!E40,tbSkills!AI3:AJ5,2,FALSE),Backdoors!AL4)*(IF((Backdoors!AI12+IF(KC84&gt;=0.45,VLOOKUP(Calculator!E23,tbSkills!DH3:DI6,2,FALSE)+IF(AND(Calculator!B8=TRUE,Backdoors!BI44=TRUE),VLOOKUP(Calculator!E23,tbSkills!DH3:DJ6,3,FALSE),0),0))&gt;=100,100,(Backdoors!AI12+IF(KC84&gt;=0.45,VLOOKUP(Calculator!E23,tbSkills!DH3:DI6,2,FALSE)+IF(AND(Calculator!B8=TRUE,Backdoors!BI44=TRUE),VLOOKUP(Calculator!E23,tbSkills!DH3:DJ6,3,FALSE),0),0)))/100)),1),1)</f>
        <v>0.4</v>
      </c>
      <c r="KI84" s="87">
        <f t="shared" si="92"/>
        <v>0</v>
      </c>
      <c r="KJ84" s="86" t="str">
        <f>IFERROR(IF(VLOOKUP(A84,tbMoveset!A2:B112,2,FALSE)="Sever",Backdoors!AY45/100,IF(VLOOKUP(A84,tbMoveset!A2:B112,2,FALSE)="Blunt",Backdoors!AZ45/100,Backdoors!BA45/100)),"")</f>
        <v/>
      </c>
      <c r="KK84" s="49">
        <f>IFERROR(IF(VLOOKUP(tbMoveset!A84,tbMoveset!A2:H112,8,FALSE)="Other",IF(VLOOKUP(tbMoveset!A84,tbMoveset!A2:I112,9,FALSE)="Fire",Backdoors!BB45,IF(VLOOKUP(tbMoveset!A84,tbMoveset!A2:I112,9,FALSE)="Water",Backdoors!BC45,IF(VLOOKUP(tbMoveset!A84,tbMoveset!A2:I112,9,FALSE)="Thunder",Backdoors!BD45,IF(VLOOKUP(tbMoveset!A84,tbMoveset!A2:I112,9,FALSE)="Ice",Backdoors!BE45,IF(VLOOKUP(tbMoveset!A84,tbMoveset!A2:I112,9,FALSE)="Dragon",Backdoors!BF45,Backdoors!BG45)))))/100,Backdoors!BG45/100),"")</f>
        <v>0</v>
      </c>
      <c r="KL84" s="49">
        <f>IFERROR(IF(VLOOKUP(A84,tbMoveset!A2:J112,10,FALSE)=TRUE,IF((Backdoors!AI12+IF(KJ84&gt;=0.45,VLOOKUP(Calculator!E23,tbSkills!DH3:DI6,2,FALSE)+IF(AND(Calculator!B8=TRUE,Backdoors!BI45=TRUE),VLOOKUP(Calculator!E23,tbSkills!DH3:DJ6,3,FALSE),0),0))&gt;=0,1+(Backdoors!AL2*(IF((Backdoors!AI12+IF(KJ84&gt;=0.45,VLOOKUP(Calculator!E23,tbSkills!DH3:DI6,2,FALSE)+IF(AND(Calculator!B8=TRUE,Backdoors!BI45=TRUE),VLOOKUP(Calculator!E23,tbSkills!DH3:DJ6,3,FALSE),0),0))&gt;=100,100,(Backdoors!AI12+IF(KJ84&gt;=0.45,VLOOKUP(Calculator!E23,tbSkills!DH3:DI6,2,FALSE)+IF(AND(Calculator!B8=TRUE,Backdoors!BI45=TRUE),VLOOKUP(Calculator!E23,tbSkills!DH3:DJ6,3,FALSE),0),0)))/100)),(1-(0.25*((-Backdoors!AI12-IF(KJ84&gt;=0.45,VLOOKUP(Calculator!E23,tbSkills!DH3:DI6,2,FALSE)+IF(AND(Calculator!B8=TRUE,Backdoors!BI45=TRUE),VLOOKUP(Calculator!E23,tbSkills!DH3:DJ6,3,FALSE),0),0))/100)))),1),"")</f>
        <v>1</v>
      </c>
      <c r="KM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KJ84)*KL84)*(VLOOKUP(A84,tbMoveset!A2:C112,3,FALSE)/100)*IF(VLOOKUP(A84,tbMoveset!A2:B112,2,FALSE)="Projectile",Backdoors!N10,Backdoors!N9),0),"")</f>
        <v/>
      </c>
      <c r="KN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REF!&gt;0,VLOOKUP(Calculator!#REF!,tbSkills!AC3:AD5,2,FALSE),Backdoors!AL3)*(IF((Backdoors!AI12+IF(KJ84&gt;=0.45,VLOOKUP(Calculator!E23,tbSkills!DH3:DI6,2,FALSE)+IF(AND(Calculator!B8=TRUE,Backdoors!BI45=TRUE),VLOOKUP(Calculator!E23,tbSkills!DH3:DJ6,3,FALSE),0),0))&gt;=100,100,(Backdoors!AI12+IF(KJ84&gt;=0.45,VLOOKUP(Calculator!E23,tbSkills!DH3:DI6,2,FALSE)+IF(AND(Calculator!B8=TRUE,Backdoors!BI45=TRUE),VLOOKUP(Calculator!E23,tbSkills!DH3:DJ6,3,FALSE),0),0)))/100)),1))*IF(VLOOKUP(A84,tbMoveset!A2:K112,11,FALSE)=TRUE,Backdoors!AC5,1))*KK84,0),"")</f>
        <v/>
      </c>
      <c r="KO84" s="49">
        <f>VLOOKUP(A84,tbMoveset!A2:G112,7,FALSE)*IFERROR(IF(Backdoors!AI12&gt;=0,1+(IF(Calculator!E40&gt;0,VLOOKUP(Calculator!E40,tbSkills!AI3:AJ5,2,FALSE),Backdoors!AL4)*(IF((Backdoors!AI12+IF(KJ84&gt;=0.45,VLOOKUP(Calculator!E23,tbSkills!DH3:DI6,2,FALSE)+IF(AND(Calculator!B8=TRUE,Backdoors!BI45=TRUE),VLOOKUP(Calculator!E23,tbSkills!DH3:DJ6,3,FALSE),0),0))&gt;=100,100,(Backdoors!AI12+IF(KJ84&gt;=0.45,VLOOKUP(Calculator!E23,tbSkills!DH3:DI6,2,FALSE)+IF(AND(Calculator!B8=TRUE,Backdoors!BI45=TRUE),VLOOKUP(Calculator!E23,tbSkills!DH3:DJ6,3,FALSE),0),0)))/100)),1),1)</f>
        <v>0.4</v>
      </c>
      <c r="KP84" s="87">
        <f t="shared" si="93"/>
        <v>0</v>
      </c>
      <c r="KQ84" s="86" t="str">
        <f>IFERROR(IF(VLOOKUP(A84,tbMoveset!A2:B112,2,FALSE)="Sever",Backdoors!AY46/100,IF(VLOOKUP(A84,tbMoveset!A2:B112,2,FALSE)="Blunt",Backdoors!AZ46/100,Backdoors!BA46/100)),"")</f>
        <v/>
      </c>
      <c r="KR84" s="49">
        <f>IFERROR(IF(VLOOKUP(tbMoveset!A84,tbMoveset!A2:H112,8,FALSE)="Other",IF(VLOOKUP(tbMoveset!A84,tbMoveset!A2:I112,9,FALSE)="Fire",Backdoors!BB46,IF(VLOOKUP(tbMoveset!A84,tbMoveset!A2:I112,9,FALSE)="Water",Backdoors!BC46,IF(VLOOKUP(tbMoveset!A84,tbMoveset!A2:I112,9,FALSE)="Thunder",Backdoors!BD46,IF(VLOOKUP(tbMoveset!A84,tbMoveset!A2:I112,9,FALSE)="Ice",Backdoors!BE46,IF(VLOOKUP(tbMoveset!A84,tbMoveset!A2:I112,9,FALSE)="Dragon",Backdoors!BF46,Backdoors!BG46)))))/100,Backdoors!BG46/100),"")</f>
        <v>0</v>
      </c>
      <c r="KS84" s="49">
        <f>IFERROR(IF(VLOOKUP(A84,tbMoveset!A2:J112,10,FALSE)=TRUE,IF((Backdoors!AI12+IF(KQ84&gt;=0.45,VLOOKUP(Calculator!E23,tbSkills!DH3:DI6,2,FALSE)+IF(AND(Calculator!B8=TRUE,Backdoors!BI46=TRUE),VLOOKUP(Calculator!E23,tbSkills!DH3:DJ6,3,FALSE),0),0))&gt;=0,1+(Backdoors!AL2*(IF((Backdoors!AI12+IF(KQ84&gt;=0.45,VLOOKUP(Calculator!E23,tbSkills!DH3:DI6,2,FALSE)+IF(AND(Calculator!B8=TRUE,Backdoors!BI46=TRUE),VLOOKUP(Calculator!E23,tbSkills!DH3:DJ6,3,FALSE),0),0))&gt;=100,100,(Backdoors!AI12+IF(KQ84&gt;=0.45,VLOOKUP(Calculator!E23,tbSkills!DH3:DI6,2,FALSE)+IF(AND(Calculator!B8=TRUE,Backdoors!BI46=TRUE),VLOOKUP(Calculator!E23,tbSkills!DH3:DJ6,3,FALSE),0),0)))/100)),(1-(0.25*((-Backdoors!AI12-IF(KQ84&gt;=0.45,VLOOKUP(Calculator!E23,tbSkills!DH3:DI6,2,FALSE)+IF(AND(Calculator!B8=TRUE,Backdoors!BI46=TRUE),VLOOKUP(Calculator!E23,tbSkills!DH3:DJ6,3,FALSE),0),0))/100)))),1),"")</f>
        <v>1</v>
      </c>
      <c r="KT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KQ84)*KS84)*(VLOOKUP(A84,tbMoveset!A2:C112,3,FALSE)/100)*IF(VLOOKUP(A84,tbMoveset!A2:B112,2,FALSE)="Projectile",Backdoors!N10,Backdoors!N9),0),"")</f>
        <v/>
      </c>
      <c r="KU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REF!&gt;0,VLOOKUP(Calculator!#REF!,tbSkills!AC3:AD5,2,FALSE),Backdoors!AL3)*(IF((Backdoors!AI12+IF(KQ84&gt;=0.45,VLOOKUP(Calculator!E23,tbSkills!DH3:DI6,2,FALSE)+IF(AND(Calculator!B8=TRUE,Backdoors!BI46=TRUE),VLOOKUP(Calculator!E23,tbSkills!DH3:DJ6,3,FALSE),0),0))&gt;=100,100,(Backdoors!AI12+IF(KQ84&gt;=0.45,VLOOKUP(Calculator!E23,tbSkills!DH3:DI6,2,FALSE)+IF(AND(Calculator!B8=TRUE,Backdoors!BI46=TRUE),VLOOKUP(Calculator!E23,tbSkills!DH3:DJ6,3,FALSE),0),0)))/100)),1))*IF(VLOOKUP(A84,tbMoveset!A2:K112,11,FALSE)=TRUE,Backdoors!AC5,1))*KR84,0),"")</f>
        <v/>
      </c>
      <c r="KV84" s="49">
        <f>VLOOKUP(A84,tbMoveset!A2:G112,7,FALSE)*IFERROR(IF(Backdoors!AI12&gt;=0,1+(IF(Calculator!E40&gt;0,VLOOKUP(Calculator!E40,tbSkills!AI3:AJ5,2,FALSE),Backdoors!AL4)*(IF((Backdoors!AI12+IF(KQ84&gt;=0.45,VLOOKUP(Calculator!E23,tbSkills!DH3:DI6,2,FALSE)+IF(AND(Calculator!B8=TRUE,Backdoors!BI46=TRUE),VLOOKUP(Calculator!E23,tbSkills!DH3:DJ6,3,FALSE),0),0))&gt;=100,100,(Backdoors!AI12+IF(KQ84&gt;=0.45,VLOOKUP(Calculator!E23,tbSkills!DH3:DI6,2,FALSE)+IF(AND(Calculator!B8=TRUE,Backdoors!BI46=TRUE),VLOOKUP(Calculator!E23,tbSkills!DH3:DJ6,3,FALSE),0),0)))/100)),1),1)</f>
        <v>0.4</v>
      </c>
      <c r="KW84" s="87">
        <f t="shared" si="94"/>
        <v>0</v>
      </c>
    </row>
    <row r="85" spans="1:309" x14ac:dyDescent="0.25">
      <c r="A85" s="95" t="str">
        <f>tbMoveset!A85</f>
        <v>Heavenly Blade Dance (L2)</v>
      </c>
      <c r="B85" s="86">
        <f>IFERROR(IF(VLOOKUP(A85,tbMoveset!A2:B112,2,FALSE)="Sever",Backdoors!AY3/100,IF(VLOOKUP(A85,tbMoveset!A2:B112,2,FALSE)="Blunt",Backdoors!AZ3/100,Backdoors!BA3/100)),"")</f>
        <v>0.8</v>
      </c>
      <c r="C85" s="49">
        <f>IFERROR(IF(VLOOKUP(tbMoveset!A85,tbMoveset!A2:H112,8,FALSE)="Other",IF(VLOOKUP(tbMoveset!A85,tbMoveset!A2:I112,9,FALSE)="Fire",Backdoors!BB3,IF(VLOOKUP(tbMoveset!A85,tbMoveset!A2:I112,9,FALSE)="Water",Backdoors!BC3,IF(VLOOKUP(tbMoveset!A85,tbMoveset!A2:I112,9,FALSE)="Thunder",Backdoors!BD3,IF(VLOOKUP(tbMoveset!A85,tbMoveset!A2:I112,9,FALSE)="Ice",Backdoors!BE3,IF(VLOOKUP(tbMoveset!A85,tbMoveset!A2:I112,9,FALSE)="Dragon",Backdoors!BF3,Backdoors!BG3)))))/100,Backdoors!BG3/100),"")</f>
        <v>0</v>
      </c>
      <c r="D85" s="49">
        <f>IFERROR(IF(VLOOKUP(A85,tbMoveset!A2:J112,10,FALSE)=TRUE,IF((Backdoors!AI12+IF(B85&gt;=0.45,VLOOKUP(Calculator!E23,tbSkills!DH3:DI6,2,FALSE)+IF(AND(Calculator!B8=TRUE,Backdoors!BI3=TRUE),VLOOKUP(Calculator!E23,tbSkills!DH3:DJ6,3,FALSE),0),0))&gt;=0,1+(Backdoors!AL2*(IF((Backdoors!AI12+IF(B85&gt;=0.45,VLOOKUP(Calculator!E23,tbSkills!DH3:DI6,2,FALSE)+IF(AND(Calculator!B8=TRUE,Backdoors!BI3=TRUE),VLOOKUP(Calculator!E23,tbSkills!DH3:DJ6,3,FALSE),0),0))&gt;=100,100,(Backdoors!AI12+IF(B85&gt;=0.45,VLOOKUP(Calculator!E23,tbSkills!DH3:DI6,2,FALSE)+IF(AND(Calculator!B8=TRUE,Backdoors!BI3=TRUE),VLOOKUP(Calculator!E23,tbSkills!DH3:DJ6,3,FALSE),0),0)))/100)),(1-(0.25*((-Backdoors!AI12-IF(B85&gt;=0.45,VLOOKUP(Calculator!E23,tbSkills!DH3:DI6,2,FALSE)+IF(AND(Calculator!B8=TRUE,Backdoors!BI3=TRUE),VLOOKUP(Calculator!E23,tbSkills!DH3:DJ6,3,FALSE),0),0))/100)))),1),"")</f>
        <v>1</v>
      </c>
      <c r="E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85)*D85)*(VLOOKUP(A85,tbMoveset!A2:C112,3,FALSE)/100)*IF(VLOOKUP(A85,tbMoveset!A2:B112,2,FALSE)="Projectile",Backdoors!N10,Backdoors!N9),0),"")</f>
        <v>7</v>
      </c>
      <c r="F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85&gt;=0.45,VLOOKUP(Calculator!E23,tbSkills!DH3:DI6,2,FALSE)+IF(AND(Calculator!B8=TRUE,Backdoors!BI3=TRUE),VLOOKUP(Calculator!E23,tbSkills!DH3:DJ6,3,FALSE),0),0))&gt;=100,100,(Backdoors!AI12+IF(B85&gt;=0.45,VLOOKUP(Calculator!E23,tbSkills!DH3:DI6,2,FALSE)+IF(AND(Calculator!B8=TRUE,Backdoors!BI3=TRUE),VLOOKUP(Calculator!E23,tbSkills!DH3:DJ6,3,FALSE),0),0)))/100)),1))*IF(VLOOKUP(A85,tbMoveset!A2:K112,11,FALSE)=TRUE,Backdoors!AC5,1))*C85,0),"")</f>
        <v>0</v>
      </c>
      <c r="G85">
        <f>VLOOKUP(A85,tbMoveset!A2:G112,7,FALSE)*IFERROR(IF(Backdoors!AI12&gt;=0,1+(IF(Calculator!E40&gt;0,VLOOKUP(Calculator!E40,tbSkills!AI3:AJ5,2,FALSE),Backdoors!AL4)*(IF((Backdoors!AI12+IF(B85&gt;=0.45,VLOOKUP(Calculator!E23,tbSkills!DH3:DI6,2,FALSE)+IF(AND(Calculator!B8=TRUE,Backdoors!BI3=TRUE),VLOOKUP(Calculator!E23,tbSkills!DH3:DJ6,3,FALSE),0),0))&gt;=100,100,(Backdoors!AI12+IF(B85&gt;=0.45,VLOOKUP(Calculator!E23,tbSkills!DH3:DI6,2,FALSE)+IF(AND(Calculator!B8=TRUE,Backdoors!BI3=TRUE),VLOOKUP(Calculator!E23,tbSkills!DH3:DJ6,3,FALSE),0),0)))/100)),1),1)</f>
        <v>0.4</v>
      </c>
      <c r="H85" s="87">
        <f t="shared" si="51"/>
        <v>7</v>
      </c>
      <c r="I85" s="86">
        <f>IFERROR(IF(VLOOKUP(A85,tbMoveset!A2:B112,2,FALSE)="Sever",Backdoors!AY4/100,IF(VLOOKUP(A85,tbMoveset!A2:B112,2,FALSE)="Blunt",Backdoors!AZ4/100,Backdoors!BA4/100)),"")</f>
        <v>0.65</v>
      </c>
      <c r="J85" s="49">
        <f>IFERROR(IF(VLOOKUP(tbMoveset!A85,tbMoveset!A2:H112,8,FALSE)="Other",IF(VLOOKUP(tbMoveset!A85,tbMoveset!A2:I112,9,FALSE)="Fire",Backdoors!BB4,IF(VLOOKUP(tbMoveset!A85,tbMoveset!A2:I112,9,FALSE)="Water",Backdoors!BC4,IF(VLOOKUP(tbMoveset!A85,tbMoveset!A2:I112,9,FALSE)="Thunder",Backdoors!BD4,IF(VLOOKUP(tbMoveset!A85,tbMoveset!A2:I112,9,FALSE)="Ice",Backdoors!BE4,IF(VLOOKUP(tbMoveset!A85,tbMoveset!A2:I112,9,FALSE)="Dragon",Backdoors!BF4,Backdoors!BG4)))))/100,Backdoors!BG4/100),"")</f>
        <v>0</v>
      </c>
      <c r="K85" s="49">
        <f>IFERROR(IF(VLOOKUP(A85,tbMoveset!A2:J112,10,FALSE)=TRUE,IF((Backdoors!AI12+IF(I85&gt;=0.45,VLOOKUP(Calculator!E23,tbSkills!DH3:DI6,2,FALSE)+IF(AND(Calculator!B8=TRUE,Backdoors!BI4=TRUE),VLOOKUP(Calculator!E23,tbSkills!DH3:DJ6,3,FALSE),0),0))&gt;=0,1+(Backdoors!AL2*(IF((Backdoors!AI12+IF(I85&gt;=0.45,VLOOKUP(Calculator!E23,tbSkills!DH3:DI6,2,FALSE)+IF(AND(Calculator!B8=TRUE,Backdoors!BI4=TRUE),VLOOKUP(Calculator!E23,tbSkills!DH3:DJ6,3,FALSE),0),0))&gt;=100,100,(Backdoors!AI12+IF(I85&gt;=0.45,VLOOKUP(Calculator!E23,tbSkills!DH3:DI6,2,FALSE)+IF(AND(Calculator!B8=TRUE,Backdoors!BI4=TRUE),VLOOKUP(Calculator!E23,tbSkills!DH3:DJ6,3,FALSE),0),0)))/100)),(1-(0.25*((-Backdoors!AI12-IF(I85&gt;=0.45,VLOOKUP(Calculator!E23,tbSkills!DH3:DI6,2,FALSE)+IF(AND(Calculator!B8=TRUE,Backdoors!BI4=TRUE),VLOOKUP(Calculator!E23,tbSkills!DH3:DJ6,3,FALSE),0),0))/100)))),1),"")</f>
        <v>1</v>
      </c>
      <c r="L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85)*K85)*(VLOOKUP(A85,tbMoveset!A2:C112,3,FALSE)/100)*IF(VLOOKUP(A85,tbMoveset!A2:B112,2,FALSE)="Projectile",Backdoors!N10,Backdoors!N9),0),"")</f>
        <v>6</v>
      </c>
      <c r="M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I85&gt;=0.45,VLOOKUP(Calculator!E23,tbSkills!DH3:DI6,2,FALSE)+IF(AND(Calculator!B8=TRUE,Backdoors!BI4=TRUE),VLOOKUP(Calculator!E23,tbSkills!DH3:DJ6,3,FALSE),0),0))&gt;=100,100,(Backdoors!AI12+IF(I85&gt;=0.45,VLOOKUP(Calculator!E23,tbSkills!DH3:DI6,2,FALSE)+IF(AND(Calculator!B8=TRUE,Backdoors!BI4=TRUE),VLOOKUP(Calculator!E23,tbSkills!DH3:DJ6,3,FALSE),0),0)))/100)),1))*IF(VLOOKUP(A85,tbMoveset!A2:K112,11,FALSE)=TRUE,Backdoors!AC5,1))*J85,0),"")</f>
        <v>0</v>
      </c>
      <c r="N85" s="49">
        <f>VLOOKUP(A85,tbMoveset!A2:G112,7,FALSE)*IFERROR(IF(Backdoors!AI12&gt;=0,1+(IF(Calculator!E40&gt;0,VLOOKUP(Calculator!E40,tbSkills!AI3:AJ5,2,FALSE),Backdoors!AL4)*(IF((Backdoors!AI12+IF(I85&gt;=0.45,VLOOKUP(Calculator!E23,tbSkills!DH3:DI6,2,FALSE)+IF(AND(Calculator!B8=TRUE,Backdoors!BI4=TRUE),VLOOKUP(Calculator!E23,tbSkills!DH3:DJ6,3,FALSE),0),0))&gt;=100,100,(Backdoors!AI12+IF(I85&gt;=0.45,VLOOKUP(Calculator!E23,tbSkills!DH3:DI6,2,FALSE)+IF(AND(Calculator!B8=TRUE,Backdoors!BI4=TRUE),VLOOKUP(Calculator!E23,tbSkills!DH3:DJ6,3,FALSE),0),0)))/100)),1),1)</f>
        <v>0.4</v>
      </c>
      <c r="O85" s="87">
        <f t="shared" si="52"/>
        <v>6</v>
      </c>
      <c r="P85" s="86">
        <f>IFERROR(IF(VLOOKUP(A85,tbMoveset!A2:B112,2,FALSE)="Sever",Backdoors!AY5/100,IF(VLOOKUP(A85,tbMoveset!A2:B112,2,FALSE)="Blunt",Backdoors!AZ5/100,Backdoors!BA5/100)),"")</f>
        <v>0.5</v>
      </c>
      <c r="Q85" s="49">
        <f>IFERROR(IF(VLOOKUP(tbMoveset!A85,tbMoveset!A2:H112,8,FALSE)="Other",IF(VLOOKUP(tbMoveset!A85,tbMoveset!A2:I112,9,FALSE)="Fire",Backdoors!BB5,IF(VLOOKUP(tbMoveset!A85,tbMoveset!A2:I112,9,FALSE)="Water",Backdoors!BC5,IF(VLOOKUP(tbMoveset!A85,tbMoveset!A2:I112,9,FALSE)="Thunder",Backdoors!BD5,IF(VLOOKUP(tbMoveset!A85,tbMoveset!A2:I112,9,FALSE)="Ice",Backdoors!BE5,IF(VLOOKUP(tbMoveset!A85,tbMoveset!A2:I112,9,FALSE)="Dragon",Backdoors!BF5,Backdoors!BG5)))))/100,Backdoors!BG5/100),"")</f>
        <v>0</v>
      </c>
      <c r="R85" s="49">
        <f>IFERROR(IF(VLOOKUP(A85,tbMoveset!A2:J112,10,FALSE)=TRUE,IF((Backdoors!AI12+IF(P85&gt;=0.45,VLOOKUP(Calculator!E23,tbSkills!DH3:DI6,2,FALSE)+IF(AND(Calculator!B8=TRUE,Backdoors!BI5=TRUE),VLOOKUP(Calculator!E23,tbSkills!DH3:DJ6,3,FALSE),0),0))&gt;=0,1+(Backdoors!AL2*(IF((Backdoors!AI12+IF(P85&gt;=0.45,VLOOKUP(Calculator!E23,tbSkills!DH3:DI6,2,FALSE)+IF(AND(Calculator!B8=TRUE,Backdoors!BI5=TRUE),VLOOKUP(Calculator!E23,tbSkills!DH3:DJ6,3,FALSE),0),0))&gt;=100,100,(Backdoors!AI12+IF(P85&gt;=0.45,VLOOKUP(Calculator!E23,tbSkills!DH3:DI6,2,FALSE)+IF(AND(Calculator!B8=TRUE,Backdoors!BI5=TRUE),VLOOKUP(Calculator!E23,tbSkills!DH3:DJ6,3,FALSE),0),0)))/100)),(1-(0.25*((-Backdoors!AI12-IF(P85&gt;=0.45,VLOOKUP(Calculator!E23,tbSkills!DH3:DI6,2,FALSE)+IF(AND(Calculator!B8=TRUE,Backdoors!BI5=TRUE),VLOOKUP(Calculator!E23,tbSkills!DH3:DJ6,3,FALSE),0),0))/100)))),1),"")</f>
        <v>1</v>
      </c>
      <c r="S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P85)*R85)*(VLOOKUP(A85,tbMoveset!A2:C112,3,FALSE)/100)*IF(VLOOKUP(A85,tbMoveset!A2:B112,2,FALSE)="Projectile",Backdoors!N10,Backdoors!N9),0),"")</f>
        <v>5</v>
      </c>
      <c r="T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P85&gt;=0.45,VLOOKUP(Calculator!E23,tbSkills!DH3:DI6,2,FALSE)+IF(AND(Calculator!B8=TRUE,Backdoors!BI5=TRUE),VLOOKUP(Calculator!E23,tbSkills!DH3:DJ6,3,FALSE),0),0))&gt;=100,100,(Backdoors!AI12+IF(P85&gt;=0.45,VLOOKUP(Calculator!E23,tbSkills!DH3:DI6,2,FALSE)+IF(AND(Calculator!B8=TRUE,Backdoors!BI5=TRUE),VLOOKUP(Calculator!E23,tbSkills!DH3:DJ6,3,FALSE),0),0)))/100)),1))*IF(VLOOKUP(A85,tbMoveset!A2:K112,11,FALSE)=TRUE,Backdoors!AC5,1))*Q85,0),"")</f>
        <v>0</v>
      </c>
      <c r="U85" s="49">
        <f>VLOOKUP(A85,tbMoveset!A2:G112,7,FALSE)*IFERROR(IF(Backdoors!AI12&gt;=0,1+(IF(Calculator!E40&gt;0,VLOOKUP(Calculator!E40,tbSkills!AI3:AJ5,2,FALSE),Backdoors!AL4)*(IF((Backdoors!AI12+IF(P85&gt;=0.45,VLOOKUP(Calculator!E23,tbSkills!DH3:DI6,2,FALSE)+IF(AND(Calculator!B8=TRUE,Backdoors!BI5=TRUE),VLOOKUP(Calculator!E23,tbSkills!DH3:DJ6,3,FALSE),0),0))&gt;=100,100,(Backdoors!AI12+IF(P85&gt;=0.45,VLOOKUP(Calculator!E23,tbSkills!DH3:DI6,2,FALSE)+IF(AND(Calculator!B8=TRUE,Backdoors!BI5=TRUE),VLOOKUP(Calculator!E23,tbSkills!DH3:DJ6,3,FALSE),0),0)))/100)),1),1)</f>
        <v>0.4</v>
      </c>
      <c r="V85" s="87">
        <f t="shared" si="53"/>
        <v>5</v>
      </c>
      <c r="W85" s="86">
        <f>IFERROR(IF(VLOOKUP(A85,tbMoveset!A2:B112,2,FALSE)="Sever",Backdoors!AY6/100,IF(VLOOKUP(A85,tbMoveset!A2:B112,2,FALSE)="Blunt",Backdoors!AZ6/100,Backdoors!BA6/100)),"")</f>
        <v>0.45</v>
      </c>
      <c r="X85" s="49">
        <f>IFERROR(IF(VLOOKUP(tbMoveset!A85,tbMoveset!A2:H112,8,FALSE)="Other",IF(VLOOKUP(tbMoveset!A85,tbMoveset!A2:I112,9,FALSE)="Fire",Backdoors!BB6,IF(VLOOKUP(tbMoveset!A85,tbMoveset!A2:I112,9,FALSE)="Water",Backdoors!BC6,IF(VLOOKUP(tbMoveset!A85,tbMoveset!A2:I112,9,FALSE)="Thunder",Backdoors!BD6,IF(VLOOKUP(tbMoveset!A85,tbMoveset!A2:I112,9,FALSE)="Ice",Backdoors!BE6,IF(VLOOKUP(tbMoveset!A85,tbMoveset!A2:I112,9,FALSE)="Dragon",Backdoors!BF6,Backdoors!BG6)))))/100,Backdoors!BG6/100),"")</f>
        <v>0</v>
      </c>
      <c r="Y85" s="49">
        <f>IFERROR(IF(VLOOKUP(A85,tbMoveset!A2:J112,10,FALSE)=TRUE,IF((Backdoors!AI12+IF(W85&gt;=0.45,VLOOKUP(Calculator!E23,tbSkills!DH3:DI6,2,FALSE)+IF(AND(Calculator!B8=TRUE,Backdoors!BI6=TRUE),VLOOKUP(Calculator!E23,tbSkills!DH3:DJ6,3,FALSE),0),0))&gt;=0,1+(Backdoors!AL2*(IF((Backdoors!AI12+IF(W85&gt;=0.45,VLOOKUP(Calculator!E23,tbSkills!DH3:DI6,2,FALSE)+IF(AND(Calculator!B8=TRUE,Backdoors!BI6=TRUE),VLOOKUP(Calculator!E23,tbSkills!DH3:DJ6,3,FALSE),0),0))&gt;=100,100,(Backdoors!AI12+IF(W85&gt;=0.45,VLOOKUP(Calculator!E23,tbSkills!DH3:DI6,2,FALSE)+IF(AND(Calculator!B8=TRUE,Backdoors!BI6=TRUE),VLOOKUP(Calculator!E23,tbSkills!DH3:DJ6,3,FALSE),0),0)))/100)),(1-(0.25*((-Backdoors!AI12-IF(W85&gt;=0.45,VLOOKUP(Calculator!E23,tbSkills!DH3:DI6,2,FALSE)+IF(AND(Calculator!B8=TRUE,Backdoors!BI6=TRUE),VLOOKUP(Calculator!E23,tbSkills!DH3:DJ6,3,FALSE),0),0))/100)))),1),"")</f>
        <v>1</v>
      </c>
      <c r="Z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W85)*Y85)*(VLOOKUP(A85,tbMoveset!A2:C112,3,FALSE)/100)*IF(VLOOKUP(A85,tbMoveset!A2:B112,2,FALSE)="Projectile",Backdoors!N10,Backdoors!N9),0),"")</f>
        <v>4</v>
      </c>
      <c r="AA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W85&gt;=0.45,VLOOKUP(Calculator!E23,tbSkills!DH3:DI6,2,FALSE)+IF(AND(Calculator!B8=TRUE,Backdoors!BI6=TRUE),VLOOKUP(Calculator!E23,tbSkills!DH3:DJ6,3,FALSE),0),0))&gt;=100,100,(Backdoors!AI12+IF(W85&gt;=0.45,VLOOKUP(Calculator!E23,tbSkills!DH3:DI6,2,FALSE)+IF(AND(Calculator!B8=TRUE,Backdoors!BI6=TRUE),VLOOKUP(Calculator!E23,tbSkills!DH3:DJ6,3,FALSE),0),0)))/100)),1))*IF(VLOOKUP(A85,tbMoveset!A2:K112,11,FALSE)=TRUE,Backdoors!AC5,1))*X85,0),"")</f>
        <v>0</v>
      </c>
      <c r="AB85" s="49">
        <f>VLOOKUP(A85,tbMoveset!A2:G112,7,FALSE)*IFERROR(IF(Backdoors!AI12&gt;=0,1+(IF(Calculator!E40&gt;0,VLOOKUP(Calculator!E40,tbSkills!AI3:AJ5,2,FALSE),Backdoors!AL4)*(IF((Backdoors!AI12+IF(W85&gt;=0.45,VLOOKUP(Calculator!E23,tbSkills!DH3:DI6,2,FALSE)+IF(AND(Calculator!B8=TRUE,Backdoors!BI6=TRUE),VLOOKUP(Calculator!E23,tbSkills!DH3:DJ6,3,FALSE),0),0))&gt;=100,100,(Backdoors!AI12+IF(W85&gt;=0.45,VLOOKUP(Calculator!E23,tbSkills!DH3:DI6,2,FALSE)+IF(AND(Calculator!B8=TRUE,Backdoors!BI6=TRUE),VLOOKUP(Calculator!E23,tbSkills!DH3:DJ6,3,FALSE),0),0)))/100)),1),1)</f>
        <v>0.4</v>
      </c>
      <c r="AC85" s="87">
        <f t="shared" si="54"/>
        <v>4</v>
      </c>
      <c r="AD85" s="86">
        <f>IFERROR(IF(VLOOKUP(A85,tbMoveset!A2:B112,2,FALSE)="Sever",Backdoors!AY7/100,IF(VLOOKUP(A85,tbMoveset!A2:B112,2,FALSE)="Blunt",Backdoors!AZ7/100,Backdoors!BA7/100)),"")</f>
        <v>0.65</v>
      </c>
      <c r="AE85" s="49">
        <f>IFERROR(IF(VLOOKUP(tbMoveset!A85,tbMoveset!A2:H112,8,FALSE)="Other",IF(VLOOKUP(tbMoveset!A85,tbMoveset!A2:I112,9,FALSE)="Fire",Backdoors!BB7,IF(VLOOKUP(tbMoveset!A85,tbMoveset!A2:I112,9,FALSE)="Water",Backdoors!BC7,IF(VLOOKUP(tbMoveset!A85,tbMoveset!A2:I112,9,FALSE)="Thunder",Backdoors!BD7,IF(VLOOKUP(tbMoveset!A85,tbMoveset!A2:I112,9,FALSE)="Ice",Backdoors!BE7,IF(VLOOKUP(tbMoveset!A85,tbMoveset!A2:I112,9,FALSE)="Dragon",Backdoors!BF7,Backdoors!BG7)))))/100,Backdoors!BG7/100),"")</f>
        <v>0</v>
      </c>
      <c r="AF85" s="49">
        <f>IFERROR(IF(VLOOKUP(A85,tbMoveset!A2:J112,10,FALSE)=TRUE,IF((Backdoors!AI12+IF(AD85&gt;=0.45,VLOOKUP(Calculator!E23,tbSkills!DH3:DI6,2,FALSE)+IF(AND(Calculator!B8=TRUE,Backdoors!BI7=TRUE),VLOOKUP(Calculator!E23,tbSkills!DH3:DJ6,3,FALSE),0),0))&gt;=0,1+(Backdoors!AL2*(IF((Backdoors!AI12+IF(AD85&gt;=0.45,VLOOKUP(Calculator!E23,tbSkills!DH3:DI6,2,FALSE)+IF(AND(Calculator!B8=TRUE,Backdoors!BI7=TRUE),VLOOKUP(Calculator!E23,tbSkills!DH3:DJ6,3,FALSE),0),0))&gt;=100,100,(Backdoors!AI12+IF(AD85&gt;=0.45,VLOOKUP(Calculator!E23,tbSkills!DH3:DI6,2,FALSE)+IF(AND(Calculator!B8=TRUE,Backdoors!BI7=TRUE),VLOOKUP(Calculator!E23,tbSkills!DH3:DJ6,3,FALSE),0),0)))/100)),(1-(0.25*((-Backdoors!AI12-IF(AD85&gt;=0.45,VLOOKUP(Calculator!E23,tbSkills!DH3:DI6,2,FALSE)+IF(AND(Calculator!B8=TRUE,Backdoors!BI7=TRUE),VLOOKUP(Calculator!E23,tbSkills!DH3:DJ6,3,FALSE),0),0))/100)))),1),"")</f>
        <v>1</v>
      </c>
      <c r="AG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D85)*AF85)*(VLOOKUP(A85,tbMoveset!A2:C112,3,FALSE)/100)*IF(VLOOKUP(A85,tbMoveset!A2:B112,2,FALSE)="Projectile",Backdoors!N10,Backdoors!N9),0),"")</f>
        <v>6</v>
      </c>
      <c r="AH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D85&gt;=0.45,VLOOKUP(Calculator!E23,tbSkills!DH3:DI6,2,FALSE)+IF(AND(Calculator!B8=TRUE,Backdoors!BI7=TRUE),VLOOKUP(Calculator!E23,tbSkills!DH3:DJ6,3,FALSE),0),0))&gt;=100,100,(Backdoors!AI12+IF(AD85&gt;=0.45,VLOOKUP(Calculator!E23,tbSkills!DH3:DI6,2,FALSE)+IF(AND(Calculator!B8=TRUE,Backdoors!BI7=TRUE),VLOOKUP(Calculator!E23,tbSkills!DH3:DJ6,3,FALSE),0),0)))/100)),1))*IF(VLOOKUP(A85,tbMoveset!A2:K112,11,FALSE)=TRUE,Backdoors!AC5,1))*AE85,0),"")</f>
        <v>0</v>
      </c>
      <c r="AI85" s="49">
        <f>VLOOKUP(A85,tbMoveset!A2:G112,7,FALSE)*IFERROR(IF(Backdoors!AI12&gt;=0,1+(IF(Calculator!E40&gt;0,VLOOKUP(Calculator!E40,tbSkills!AI3:AJ5,2,FALSE),Backdoors!AL4)*(IF((Backdoors!AI12+IF(AD85&gt;=0.45,VLOOKUP(Calculator!E23,tbSkills!DH3:DI6,2,FALSE)+IF(AND(Calculator!B8=TRUE,Backdoors!BI7=TRUE),VLOOKUP(Calculator!E23,tbSkills!DH3:DJ6,3,FALSE),0),0))&gt;=100,100,(Backdoors!AI12+IF(AD85&gt;=0.45,VLOOKUP(Calculator!E23,tbSkills!DH3:DI6,2,FALSE)+IF(AND(Calculator!B8=TRUE,Backdoors!BI7=TRUE),VLOOKUP(Calculator!E23,tbSkills!DH3:DJ6,3,FALSE),0),0)))/100)),1),1)</f>
        <v>0.4</v>
      </c>
      <c r="AJ85" s="87">
        <f t="shared" si="55"/>
        <v>6</v>
      </c>
      <c r="AK85" s="91">
        <f>IFERROR(IF(VLOOKUP(A85,tbMoveset!A2:B112,2,FALSE)="Sever",Backdoors!AY8/100,IF(VLOOKUP(A85,tbMoveset!A2:B112,2,FALSE)="Blunt",Backdoors!AZ8/100,Backdoors!BA8/100)),"")</f>
        <v>0.45</v>
      </c>
      <c r="AL85" s="49">
        <f>IFERROR(IF(VLOOKUP(tbMoveset!A85,tbMoveset!A2:H112,8,FALSE)="Other",IF(VLOOKUP(tbMoveset!A85,tbMoveset!A2:I112,9,FALSE)="Fire",Backdoors!BB8,IF(VLOOKUP(tbMoveset!A85,tbMoveset!A2:I112,9,FALSE)="Water",Backdoors!BC8,IF(VLOOKUP(tbMoveset!A85,tbMoveset!A2:I112,9,FALSE)="Thunder",Backdoors!BD8,IF(VLOOKUP(tbMoveset!A85,tbMoveset!A2:I112,9,FALSE)="Ice",Backdoors!BE8,IF(VLOOKUP(tbMoveset!A85,tbMoveset!A2:I112,9,FALSE)="Dragon",Backdoors!BF8,Backdoors!BG8)))))/100,Backdoors!BG8/100),"")</f>
        <v>0</v>
      </c>
      <c r="AM85" s="49">
        <f>IFERROR(IF(VLOOKUP(A85,tbMoveset!A2:J112,10,FALSE)=TRUE,IF((Backdoors!AI12+IF(AK85&gt;=0.45,VLOOKUP(Calculator!E23,tbSkills!DH3:DI6,2,FALSE)+IF(AND(Calculator!B8=TRUE,Backdoors!BI8=TRUE),VLOOKUP(Calculator!E23,tbSkills!DH3:DJ6,3,FALSE),0),0))&gt;=0,1+(Backdoors!AL2*(IF((Backdoors!AI12+IF(AK85&gt;=0.45,VLOOKUP(Calculator!E23,tbSkills!DH3:DI6,2,FALSE)+IF(AND(Calculator!B8=TRUE,Backdoors!BI8=TRUE),VLOOKUP(Calculator!E23,tbSkills!DH3:DJ6,3,FALSE),0),0))&gt;=100,100,(Backdoors!AI12+IF(AK85&gt;=0.45,VLOOKUP(Calculator!E23,tbSkills!DH3:DI6,2,FALSE)+IF(AND(Calculator!B8=TRUE,Backdoors!BI8=TRUE),VLOOKUP(Calculator!E23,tbSkills!DH3:DJ6,3,FALSE),0),0)))/100)),(1-(0.25*((-Backdoors!AI12-IF(AK85&gt;=0.45,VLOOKUP(Calculator!E23,tbSkills!DH3:DI6,2,FALSE)+IF(AND(Calculator!B8=TRUE,Backdoors!BI8=TRUE),VLOOKUP(Calculator!E23,tbSkills!DH3:DJ6,3,FALSE),0),0))/100)))),1),"")</f>
        <v>1</v>
      </c>
      <c r="AN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K85)*AM85)*(VLOOKUP(A85,tbMoveset!A2:C112,3,FALSE)/100)*IF(VLOOKUP(A85,tbMoveset!A2:B112,2,FALSE)="Projectile",Backdoors!N10,Backdoors!N9),0),"")</f>
        <v>4</v>
      </c>
      <c r="AO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K85&gt;=0.45,VLOOKUP(Calculator!E23,tbSkills!DH3:DI6,2,FALSE)+IF(AND(Calculator!B8=TRUE,Backdoors!BI8=TRUE),VLOOKUP(Calculator!E23,tbSkills!DH3:DJ6,3,FALSE),0),0))&gt;=100,100,(Backdoors!AI12+IF(AK85&gt;=0.45,VLOOKUP(Calculator!E23,tbSkills!DH3:DI6,2,FALSE)+IF(AND(Calculator!B8=TRUE,Backdoors!BI8=TRUE),VLOOKUP(Calculator!E23,tbSkills!DH3:DJ6,3,FALSE),0),0)))/100)),1))*IF(VLOOKUP(A85,tbMoveset!A2:K112,11,FALSE)=TRUE,Backdoors!AC5,1))*AL85,0),"")</f>
        <v>0</v>
      </c>
      <c r="AP85" s="49">
        <f>VLOOKUP(A85,tbMoveset!A2:G112,7,FALSE)*IFERROR(IF(Backdoors!AI12&gt;=0,1+(IF(Calculator!E40&gt;0,VLOOKUP(Calculator!E40,tbSkills!AI3:AJ5,2,FALSE),Backdoors!AL4)*(IF((Backdoors!AI12+IF(AK85&gt;=0.45,VLOOKUP(Calculator!E23,tbSkills!DH3:DI6,2,FALSE)+IF(AND(Calculator!B8=TRUE,Backdoors!BI8=TRUE),VLOOKUP(Calculator!E23,tbSkills!DH3:DJ6,3,FALSE),0),0))&gt;=100,100,(Backdoors!AI12+IF(AK85&gt;=0.45,VLOOKUP(Calculator!E23,tbSkills!DH3:DI6,2,FALSE)+IF(AND(Calculator!B8=TRUE,Backdoors!BI8=TRUE),VLOOKUP(Calculator!E23,tbSkills!DH3:DJ6,3,FALSE),0),0)))/100)),1),1)</f>
        <v>0.4</v>
      </c>
      <c r="AQ85" s="87">
        <f t="shared" si="56"/>
        <v>4</v>
      </c>
      <c r="AR85" s="86">
        <f>IFERROR(IF(VLOOKUP(A85,tbMoveset!A2:B112,2,FALSE)="Sever",Backdoors!AY9/100,IF(VLOOKUP(A85,tbMoveset!A2:B112,2,FALSE)="Blunt",Backdoors!AZ9/100,Backdoors!BA9/100)),"")</f>
        <v>0.45</v>
      </c>
      <c r="AS85" s="49">
        <f>IFERROR(IF(VLOOKUP(tbMoveset!A85,tbMoveset!A2:H112,8,FALSE)="Other",IF(VLOOKUP(tbMoveset!A85,tbMoveset!A2:I112,9,FALSE)="Fire",Backdoors!BB9,IF(VLOOKUP(tbMoveset!A85,tbMoveset!A2:I112,9,FALSE)="Water",Backdoors!BC9,IF(VLOOKUP(tbMoveset!A85,tbMoveset!A2:I112,9,FALSE)="Thunder",Backdoors!BD9,IF(VLOOKUP(tbMoveset!A85,tbMoveset!A2:I112,9,FALSE)="Ice",Backdoors!BE9,IF(VLOOKUP(tbMoveset!A85,tbMoveset!A2:I112,9,FALSE)="Dragon",Backdoors!BF9,Backdoors!BG9)))))/100,Backdoors!BG9/100),"")</f>
        <v>0</v>
      </c>
      <c r="AT85" s="49">
        <f>IFERROR(IF(VLOOKUP(A85,tbMoveset!A2:J112,10,FALSE)=TRUE,IF((Backdoors!AI12+IF(AR85&gt;=0.45,VLOOKUP(Calculator!E23,tbSkills!DH3:DI6,2,FALSE)+IF(AND(Calculator!B8=TRUE,Backdoors!BI9=TRUE),VLOOKUP(Calculator!E23,tbSkills!DH3:DJ6,3,FALSE),0),0))&gt;=0,1+(Backdoors!AL2*(IF((Backdoors!AI12+IF(AR85&gt;=0.45,VLOOKUP(Calculator!E23,tbSkills!DH3:DI6,2,FALSE)+IF(AND(Calculator!B8=TRUE,Backdoors!BI9=TRUE),VLOOKUP(Calculator!E23,tbSkills!DH3:DJ6,3,FALSE),0),0))&gt;=100,100,(Backdoors!AI12+IF(AR85&gt;=0.45,VLOOKUP(Calculator!E23,tbSkills!DH3:DI6,2,FALSE)+IF(AND(Calculator!B8=TRUE,Backdoors!BI9=TRUE),VLOOKUP(Calculator!E23,tbSkills!DH3:DJ6,3,FALSE),0),0)))/100)),(1-(0.25*((-Backdoors!AI12-IF(AR85&gt;=0.45,VLOOKUP(Calculator!E23,tbSkills!DH3:DI6,2,FALSE)+IF(AND(Calculator!B8=TRUE,Backdoors!BI9=TRUE),VLOOKUP(Calculator!E23,tbSkills!DH3:DJ6,3,FALSE),0),0))/100)))),1),"")</f>
        <v>1</v>
      </c>
      <c r="AU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R85)*AT85)*(VLOOKUP(A85,tbMoveset!A2:C112,3,FALSE)/100)*IF(VLOOKUP(A85,tbMoveset!A2:B112,2,FALSE)="Projectile",Backdoors!N10,Backdoors!N9),0),"")</f>
        <v>4</v>
      </c>
      <c r="AV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R85&gt;=0.45,VLOOKUP(Calculator!E23,tbSkills!DH3:DI6,2,FALSE)+IF(AND(Calculator!B8=TRUE,Backdoors!BI9=TRUE),VLOOKUP(Calculator!E23,tbSkills!DH3:DJ6,3,FALSE),0),0))&gt;=100,100,(Backdoors!AI12+IF(AR85&gt;=0.45,VLOOKUP(Calculator!E23,tbSkills!DH3:DI6,2,FALSE)+IF(AND(Calculator!B8=TRUE,Backdoors!BI9=TRUE),VLOOKUP(Calculator!E23,tbSkills!DH3:DJ6,3,FALSE),0),0)))/100)),1))*IF(VLOOKUP(A85,tbMoveset!A2:K112,11,FALSE)=TRUE,Backdoors!AC5,1))*AS85,0),"")</f>
        <v>0</v>
      </c>
      <c r="AW85" s="49">
        <f>VLOOKUP(A85,tbMoveset!A2:G112,7,FALSE)*IFERROR(IF(Backdoors!AI12&gt;=0,1+(IF(Calculator!E40&gt;0,VLOOKUP(Calculator!E40,tbSkills!AI3:AJ5,2,FALSE),Backdoors!AL4)*(IF((Backdoors!AI12+IF(AR85&gt;=0.45,VLOOKUP(Calculator!E23,tbSkills!DH3:DI6,2,FALSE)+IF(AND(Calculator!B8=TRUE,Backdoors!BI9=TRUE),VLOOKUP(Calculator!E23,tbSkills!DH3:DJ6,3,FALSE),0),0))&gt;=100,100,(Backdoors!AI12+IF(AR85&gt;=0.45,VLOOKUP(Calculator!E23,tbSkills!DH3:DI6,2,FALSE)+IF(AND(Calculator!B8=TRUE,Backdoors!BI9=TRUE),VLOOKUP(Calculator!E23,tbSkills!DH3:DJ6,3,FALSE),0),0)))/100)),1),1)</f>
        <v>0.4</v>
      </c>
      <c r="AX85" s="87">
        <f t="shared" si="57"/>
        <v>4</v>
      </c>
      <c r="AY85" s="86">
        <f>IFERROR(IF(VLOOKUP(A85,tbMoveset!A2:B112,2,FALSE)="Sever",Backdoors!AY10/100,IF(VLOOKUP(A85,tbMoveset!A2:B112,2,FALSE)="Blunt",Backdoors!AZ10/100,Backdoors!BA10/100)),"")</f>
        <v>0.9</v>
      </c>
      <c r="AZ85" s="49">
        <f>IFERROR(IF(VLOOKUP(tbMoveset!A85,tbMoveset!A2:H112,8,FALSE)="Other",IF(VLOOKUP(tbMoveset!A85,tbMoveset!A2:I112,9,FALSE)="Fire",Backdoors!BB10,IF(VLOOKUP(tbMoveset!A85,tbMoveset!A2:I112,9,FALSE)="Water",Backdoors!BC10,IF(VLOOKUP(tbMoveset!A85,tbMoveset!A2:I112,9,FALSE)="Thunder",Backdoors!BD10,IF(VLOOKUP(tbMoveset!A85,tbMoveset!A2:I112,9,FALSE)="Ice",Backdoors!BE10,IF(VLOOKUP(tbMoveset!A85,tbMoveset!A2:I112,9,FALSE)="Dragon",Backdoors!BF10,Backdoors!BG10)))))/100,Backdoors!BG10/100),"")</f>
        <v>0</v>
      </c>
      <c r="BA85" s="49">
        <f>IFERROR(IF(VLOOKUP(A85,tbMoveset!A2:J112,10,FALSE)=TRUE,IF((Backdoors!AI12+IF(AY85&gt;=0.45,VLOOKUP(Calculator!E23,tbSkills!DH3:DI6,2,FALSE)+IF(AND(Calculator!B8=TRUE,Backdoors!BI10=TRUE),VLOOKUP(Calculator!E23,tbSkills!DH3:DJ6,3,FALSE),0),0))&gt;=0,1+(Backdoors!AL2*(IF((Backdoors!AI12+IF(AY85&gt;=0.45,VLOOKUP(Calculator!E23,tbSkills!DH3:DI6,2,FALSE)+IF(AND(Calculator!B8=TRUE,Backdoors!BI10=TRUE),VLOOKUP(Calculator!E23,tbSkills!DH3:DJ6,3,FALSE),0),0))&gt;=100,100,(Backdoors!AI12+IF(AY85&gt;=0.45,VLOOKUP(Calculator!E23,tbSkills!DH3:DI6,2,FALSE)+IF(AND(Calculator!B8=TRUE,Backdoors!BI10=TRUE),VLOOKUP(Calculator!E23,tbSkills!DH3:DJ6,3,FALSE),0),0)))/100)),(1-(0.25*((-Backdoors!AI12-IF(AY85&gt;=0.45,VLOOKUP(Calculator!E23,tbSkills!DH3:DI6,2,FALSE)+IF(AND(Calculator!B8=TRUE,Backdoors!BI10=TRUE),VLOOKUP(Calculator!E23,tbSkills!DH3:DJ6,3,FALSE),0),0))/100)))),1),"")</f>
        <v>1</v>
      </c>
      <c r="BB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Y85)*BA85)*(VLOOKUP(A85,tbMoveset!A2:C112,3,FALSE)/100)*IF(VLOOKUP(A85,tbMoveset!A2:B112,2,FALSE)="Projectile",Backdoors!N10,Backdoors!N9),0),"")</f>
        <v>8</v>
      </c>
      <c r="BC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Y85&gt;=0.45,VLOOKUP(Calculator!E23,tbSkills!DH3:DI6,2,FALSE)+IF(AND(Calculator!B8=TRUE,Backdoors!BI10=TRUE),VLOOKUP(Calculator!E23,tbSkills!DH3:DJ6,3,FALSE),0),0))&gt;=100,100,(Backdoors!AI12+IF(AY85&gt;=0.45,VLOOKUP(Calculator!E23,tbSkills!DH3:DI6,2,FALSE)+IF(AND(Calculator!B8=TRUE,Backdoors!BI10=TRUE),VLOOKUP(Calculator!E23,tbSkills!DH3:DJ6,3,FALSE),0),0)))/100)),1))*IF(VLOOKUP(A85,tbMoveset!A2:K112,11,FALSE)=TRUE,Backdoors!AC5,1))*AZ85,0),"")</f>
        <v>0</v>
      </c>
      <c r="BD85" s="49">
        <f>VLOOKUP(A85,tbMoveset!A2:G112,7,FALSE)*IFERROR(IF(Backdoors!AI12&gt;=0,1+(IF(Calculator!E40&gt;0,VLOOKUP(Calculator!E40,tbSkills!AI3:AJ5,2,FALSE),Backdoors!AL4)*(IF((Backdoors!AI12+IF(AY85&gt;=0.45,VLOOKUP(Calculator!E23,tbSkills!DH3:DI6,2,FALSE)+IF(AND(Calculator!B8=TRUE,Backdoors!BI10=TRUE),VLOOKUP(Calculator!E23,tbSkills!DH3:DJ6,3,FALSE),0),0))&gt;=100,100,(Backdoors!AI12+IF(AY85&gt;=0.45,VLOOKUP(Calculator!E23,tbSkills!DH3:DI6,2,FALSE)+IF(AND(Calculator!B8=TRUE,Backdoors!BI10=TRUE),VLOOKUP(Calculator!E23,tbSkills!DH3:DJ6,3,FALSE),0),0)))/100)),1),1)</f>
        <v>0.4</v>
      </c>
      <c r="BE85" s="87">
        <f t="shared" si="58"/>
        <v>8</v>
      </c>
      <c r="BF85" s="86" t="str">
        <f>IFERROR(IF(VLOOKUP(A85,tbMoveset!A2:B112,2,FALSE)="Sever",Backdoors!AY11/100,IF(VLOOKUP(A85,tbMoveset!A2:B112,2,FALSE)="Blunt",Backdoors!AZ11/100,Backdoors!BA11/100)),"")</f>
        <v/>
      </c>
      <c r="BG85" s="49">
        <f>IFERROR(IF(VLOOKUP(tbMoveset!A85,tbMoveset!A2:H112,8,FALSE)="Other",IF(VLOOKUP(tbMoveset!A85,tbMoveset!A2:I112,9,FALSE)="Fire",Backdoors!BB11,IF(VLOOKUP(tbMoveset!A85,tbMoveset!A2:I112,9,FALSE)="Water",Backdoors!BC11,IF(VLOOKUP(tbMoveset!A85,tbMoveset!A2:I112,9,FALSE)="Thunder",Backdoors!BD11,IF(VLOOKUP(tbMoveset!A85,tbMoveset!A2:I112,9,FALSE)="Ice",Backdoors!BE11,IF(VLOOKUP(tbMoveset!A85,tbMoveset!A2:I112,9,FALSE)="Dragon",Backdoors!BF11,Backdoors!BG11)))))/100,Backdoors!BG11/100),"")</f>
        <v>0</v>
      </c>
      <c r="BH85" s="49">
        <f>IFERROR(IF(VLOOKUP(A85,tbMoveset!A2:J112,10,FALSE)=TRUE,IF((Backdoors!AI12+IF(BF85&gt;=0.45,VLOOKUP(Calculator!E23,tbSkills!DH3:DI6,2,FALSE)+IF(AND(Calculator!B8=TRUE,Backdoors!BI11=TRUE),VLOOKUP(Calculator!E23,tbSkills!DH3:DJ6,3,FALSE),0),0))&gt;=0,1+(Backdoors!AL2*(IF((Backdoors!AI12+IF(BF85&gt;=0.45,VLOOKUP(Calculator!E23,tbSkills!DH3:DI6,2,FALSE)+IF(AND(Calculator!B8=TRUE,Backdoors!BI11=TRUE),VLOOKUP(Calculator!E23,tbSkills!DH3:DJ6,3,FALSE),0),0))&gt;=100,100,(Backdoors!AI12+IF(BF85&gt;=0.45,VLOOKUP(Calculator!E23,tbSkills!DH3:DI6,2,FALSE)+IF(AND(Calculator!B8=TRUE,Backdoors!BI11=TRUE),VLOOKUP(Calculator!E23,tbSkills!DH3:DJ6,3,FALSE),0),0)))/100)),(1-(0.25*((-Backdoors!AI12-IF(BF85&gt;=0.45,VLOOKUP(Calculator!E23,tbSkills!DH3:DI6,2,FALSE)+IF(AND(Calculator!B8=TRUE,Backdoors!BI11=TRUE),VLOOKUP(Calculator!E23,tbSkills!DH3:DJ6,3,FALSE),0),0))/100)))),1),"")</f>
        <v>1</v>
      </c>
      <c r="BI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F85)*BH85)*(VLOOKUP(A85,tbMoveset!A2:C112,3,FALSE)/100)*IF(VLOOKUP(A85,tbMoveset!A2:B112,2,FALSE)="Projectile",Backdoors!N10,Backdoors!N9),0),"")</f>
        <v/>
      </c>
      <c r="BJ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F85&gt;=0.45,VLOOKUP(Calculator!E23,tbSkills!DH3:DI6,2,FALSE)+IF(AND(Calculator!B8=TRUE,Backdoors!BI11=TRUE),VLOOKUP(Calculator!E23,tbSkills!DH3:DJ6,3,FALSE),0),0))&gt;=100,100,(Backdoors!AI12+IF(BF85&gt;=0.45,VLOOKUP(Calculator!E23,tbSkills!DH3:DI6,2,FALSE)+IF(AND(Calculator!B8=TRUE,Backdoors!BI11=TRUE),VLOOKUP(Calculator!E23,tbSkills!DH3:DJ6,3,FALSE),0),0)))/100)),1))*IF(VLOOKUP(A85,tbMoveset!A2:K112,11,FALSE)=TRUE,Backdoors!AC5,1))*BG85,0),"")</f>
        <v>0</v>
      </c>
      <c r="BK85" s="49">
        <f>VLOOKUP(A85,tbMoveset!A2:G112,7,FALSE)*IFERROR(IF(Backdoors!AI12&gt;=0,1+(IF(Calculator!E40&gt;0,VLOOKUP(Calculator!E40,tbSkills!AI3:AJ5,2,FALSE),Backdoors!AL4)*(IF((Backdoors!AI12+IF(BF85&gt;=0.45,VLOOKUP(Calculator!E23,tbSkills!DH3:DI6,2,FALSE)+IF(AND(Calculator!B8=TRUE,Backdoors!BI11=TRUE),VLOOKUP(Calculator!E23,tbSkills!DH3:DJ6,3,FALSE),0),0))&gt;=100,100,(Backdoors!AI12+IF(BF85&gt;=0.45,VLOOKUP(Calculator!E23,tbSkills!DH3:DI6,2,FALSE)+IF(AND(Calculator!B8=TRUE,Backdoors!BI11=TRUE),VLOOKUP(Calculator!E23,tbSkills!DH3:DJ6,3,FALSE),0),0)))/100)),1),1)</f>
        <v>0.4</v>
      </c>
      <c r="BL85" s="87">
        <f t="shared" si="59"/>
        <v>0</v>
      </c>
      <c r="BM85" s="86" t="str">
        <f>IFERROR(IF(VLOOKUP(A85,tbMoveset!A2:B112,2,FALSE)="Sever",Backdoors!AY12/100,IF(VLOOKUP(A85,tbMoveset!A2:B112,2,FALSE)="Blunt",Backdoors!AZ12/100,Backdoors!BA12/100)),"")</f>
        <v/>
      </c>
      <c r="BN85" s="49">
        <f>IFERROR(IF(VLOOKUP(tbMoveset!A85,tbMoveset!A2:H112,8,FALSE)="Other",IF(VLOOKUP(tbMoveset!A85,tbMoveset!A2:I112,9,FALSE)="Fire",Backdoors!BB12,IF(VLOOKUP(tbMoveset!A85,tbMoveset!A2:I112,9,FALSE)="Water",Backdoors!BC12,IF(VLOOKUP(tbMoveset!A85,tbMoveset!A2:I112,9,FALSE)="Thunder",Backdoors!BD12,IF(VLOOKUP(tbMoveset!A85,tbMoveset!A2:I112,9,FALSE)="Ice",Backdoors!BE12,IF(VLOOKUP(tbMoveset!A85,tbMoveset!A2:I112,9,FALSE)="Dragon",Backdoors!BF12,Backdoors!BG12)))))/100,Backdoors!BG12/100),"")</f>
        <v>0</v>
      </c>
      <c r="BO85" s="49">
        <f>IFERROR(IF(VLOOKUP(A85,tbMoveset!A2:J112,10,FALSE)=TRUE,IF((Backdoors!AI12+IF(BM85&gt;=0.45,VLOOKUP(Calculator!E23,tbSkills!DH3:DI6,2,FALSE)+IF(AND(Calculator!B8=TRUE,Backdoors!BI12=TRUE),VLOOKUP(Calculator!E23,tbSkills!DH3:DJ6,3,FALSE),0),0))&gt;=0,1+(Backdoors!AL2*(IF((Backdoors!AI12+IF(BM85&gt;=0.45,VLOOKUP(Calculator!E23,tbSkills!DH3:DI6,2,FALSE)+IF(AND(Calculator!B8=TRUE,Backdoors!BI12=TRUE),VLOOKUP(Calculator!E23,tbSkills!DH3:DJ6,3,FALSE),0),0))&gt;=100,100,(Backdoors!AI12+IF(BM85&gt;=0.45,VLOOKUP(Calculator!E23,tbSkills!DH3:DI6,2,FALSE)+IF(AND(Calculator!B8=TRUE,Backdoors!BI12=TRUE),VLOOKUP(Calculator!E23,tbSkills!DH3:DJ6,3,FALSE),0),0)))/100)),(1-(0.25*((-Backdoors!AI12-IF(BM85&gt;=0.45,VLOOKUP(Calculator!E23,tbSkills!DH3:DI6,2,FALSE)+IF(AND(Calculator!B8=TRUE,Backdoors!BI12=TRUE),VLOOKUP(Calculator!E23,tbSkills!DH3:DJ6,3,FALSE),0),0))/100)))),1),"")</f>
        <v>1</v>
      </c>
      <c r="BP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M85)*BO85)*(VLOOKUP(A85,tbMoveset!A2:C112,3,FALSE)/100)*IF(VLOOKUP(A85,tbMoveset!A2:B112,2,FALSE)="Projectile",Backdoors!N10,Backdoors!N9),0),"")</f>
        <v/>
      </c>
      <c r="BQ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M85&gt;=0.45,VLOOKUP(Calculator!E23,tbSkills!DH3:DI6,2,FALSE)+IF(AND(Calculator!B8=TRUE,Backdoors!BI12=TRUE),VLOOKUP(Calculator!E23,tbSkills!DH3:DJ6,3,FALSE),0),0))&gt;=100,100,(Backdoors!AI12+IF(BM85&gt;=0.45,VLOOKUP(Calculator!E23,tbSkills!DH3:DI6,2,FALSE)+IF(AND(Calculator!B8=TRUE,Backdoors!BI12=TRUE),VLOOKUP(Calculator!E23,tbSkills!DH3:DJ6,3,FALSE),0),0)))/100)),1))*IF(VLOOKUP(A85,tbMoveset!A2:K112,11,FALSE)=TRUE,Backdoors!AC5,1))*BN85,0),"")</f>
        <v>0</v>
      </c>
      <c r="BR85" s="49">
        <f>VLOOKUP(A85,tbMoveset!A2:G112,7,FALSE)*IFERROR(IF(Backdoors!AI12&gt;=0,1+(IF(Calculator!E40&gt;0,VLOOKUP(Calculator!E40,tbSkills!AI3:AJ5,2,FALSE),Backdoors!AL4)*(IF((Backdoors!AI12+IF(BM85&gt;=0.45,VLOOKUP(Calculator!E23,tbSkills!DH3:DI6,2,FALSE)+IF(AND(Calculator!B8=TRUE,Backdoors!BI12=TRUE),VLOOKUP(Calculator!E23,tbSkills!DH3:DJ6,3,FALSE),0),0))&gt;=100,100,(Backdoors!AI12+IF(BM85&gt;=0.45,VLOOKUP(Calculator!E23,tbSkills!DH3:DI6,2,FALSE)+IF(AND(Calculator!B8=TRUE,Backdoors!BI12=TRUE),VLOOKUP(Calculator!E23,tbSkills!DH3:DJ6,3,FALSE),0),0)))/100)),1),1)</f>
        <v>0.4</v>
      </c>
      <c r="BS85" s="87">
        <f t="shared" si="60"/>
        <v>0</v>
      </c>
      <c r="BT85" s="86" t="str">
        <f>IFERROR(IF(VLOOKUP(A85,tbMoveset!A2:B112,2,FALSE)="Sever",Backdoors!AY13/100,IF(VLOOKUP(A85,tbMoveset!A2:B112,2,FALSE)="Blunt",Backdoors!AZ13/100,Backdoors!BA13/100)),"")</f>
        <v/>
      </c>
      <c r="BU85" s="49">
        <f>IFERROR(IF(VLOOKUP(tbMoveset!A85,tbMoveset!A2:H112,8,FALSE)="Other",IF(VLOOKUP(tbMoveset!A85,tbMoveset!A2:I112,9,FALSE)="Fire",Backdoors!BB13,IF(VLOOKUP(tbMoveset!A85,tbMoveset!A2:I112,9,FALSE)="Water",Backdoors!BC13,IF(VLOOKUP(tbMoveset!A85,tbMoveset!A2:I112,9,FALSE)="Thunder",Backdoors!BD13,IF(VLOOKUP(tbMoveset!A85,tbMoveset!A2:I112,9,FALSE)="Ice",Backdoors!BE13,IF(VLOOKUP(tbMoveset!A85,tbMoveset!A2:I112,9,FALSE)="Dragon",Backdoors!BF13,Backdoors!BG13)))))/100,Backdoors!BG13/100),"")</f>
        <v>0</v>
      </c>
      <c r="BV85" s="49">
        <f>IFERROR(IF(VLOOKUP(A85,tbMoveset!A2:J112,10,FALSE)=TRUE,IF((Backdoors!AI12+IF(BT85&gt;=0.45,VLOOKUP(Calculator!E23,tbSkills!DH3:DI6,2,FALSE)+IF(AND(Calculator!B8=TRUE,Backdoors!BI13=TRUE),VLOOKUP(Calculator!E23,tbSkills!DH3:DJ6,3,FALSE),0),0))&gt;=0,1+(Backdoors!AL2*(IF((Backdoors!AI12+IF(BT85&gt;=0.45,VLOOKUP(Calculator!E23,tbSkills!DH3:DI6,2,FALSE)+IF(AND(Calculator!B8=TRUE,Backdoors!BI13=TRUE),VLOOKUP(Calculator!E23,tbSkills!DH3:DJ6,3,FALSE),0),0))&gt;=100,100,(Backdoors!AI12+IF(BT85&gt;=0.45,VLOOKUP(Calculator!E23,tbSkills!DH3:DI6,2,FALSE)+IF(AND(Calculator!B8=TRUE,Backdoors!BI13=TRUE),VLOOKUP(Calculator!E23,tbSkills!DH3:DJ6,3,FALSE),0),0)))/100)),(1-(0.25*((-Backdoors!AI12-IF(BT85&gt;=0.45,VLOOKUP(Calculator!E23,tbSkills!DH3:DI6,2,FALSE)+IF(AND(Calculator!B8=TRUE,Backdoors!BI13=TRUE),VLOOKUP(Calculator!E23,tbSkills!DH3:DJ6,3,FALSE),0),0))/100)))),1),"")</f>
        <v>1</v>
      </c>
      <c r="BW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T85)*BV85)*(VLOOKUP(A85,tbMoveset!A2:C112,3,FALSE)/100)*IF(VLOOKUP(A85,tbMoveset!A2:B112,2,FALSE)="Projectile",Backdoors!N10,Backdoors!N9),0),"")</f>
        <v/>
      </c>
      <c r="BX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T85&gt;=0.45,VLOOKUP(Calculator!E23,tbSkills!DH3:DI6,2,FALSE)+IF(AND(Calculator!B8=TRUE,Backdoors!BI13=TRUE),VLOOKUP(Calculator!E23,tbSkills!DH3:DJ6,3,FALSE),0),0))&gt;=100,100,(Backdoors!AI12+IF(BT85&gt;=0.45,VLOOKUP(Calculator!E23,tbSkills!DH3:DI6,2,FALSE)+IF(AND(Calculator!B8=TRUE,Backdoors!BI13=TRUE),VLOOKUP(Calculator!E23,tbSkills!DH3:DJ6,3,FALSE),0),0)))/100)),1))*IF(VLOOKUP(A85,tbMoveset!A2:K112,11,FALSE)=TRUE,Backdoors!AC5,1))*BU85,0),"")</f>
        <v>0</v>
      </c>
      <c r="BY85" s="49">
        <f>VLOOKUP(A85,tbMoveset!A2:G112,7,FALSE)*IFERROR(IF(Backdoors!AI12&gt;=0,1+(IF(Calculator!E40&gt;0,VLOOKUP(Calculator!E40,tbSkills!AI3:AJ5,2,FALSE),Backdoors!AL4)*(IF((Backdoors!AI12+IF(BT85&gt;=0.45,VLOOKUP(Calculator!E23,tbSkills!DH3:DI6,2,FALSE)+IF(AND(Calculator!B8=TRUE,Backdoors!BI13=TRUE),VLOOKUP(Calculator!E23,tbSkills!DH3:DJ6,3,FALSE),0),0))&gt;=100,100,(Backdoors!AI12+IF(BT85&gt;=0.45,VLOOKUP(Calculator!E23,tbSkills!DH3:DI6,2,FALSE)+IF(AND(Calculator!B8=TRUE,Backdoors!BI13=TRUE),VLOOKUP(Calculator!E23,tbSkills!DH3:DJ6,3,FALSE),0),0)))/100)),1),1)</f>
        <v>0.4</v>
      </c>
      <c r="BZ85" s="87">
        <f t="shared" si="61"/>
        <v>0</v>
      </c>
      <c r="CA85" s="86" t="str">
        <f>IFERROR(IF(VLOOKUP(A85,tbMoveset!A2:B112,2,FALSE)="Sever",Backdoors!AY14/100,IF(VLOOKUP(A85,tbMoveset!A2:B112,2,FALSE)="Blunt",Backdoors!AZ14/100,Backdoors!BA14/100)),"")</f>
        <v/>
      </c>
      <c r="CB85" s="49">
        <f>IFERROR(IF(VLOOKUP(tbMoveset!A85,tbMoveset!A2:H112,8,FALSE)="Other",IF(VLOOKUP(tbMoveset!A85,tbMoveset!A2:I112,9,FALSE)="Fire",Backdoors!BB14,IF(VLOOKUP(tbMoveset!A85,tbMoveset!A2:I112,9,FALSE)="Water",Backdoors!BC14,IF(VLOOKUP(tbMoveset!A85,tbMoveset!A2:I112,9,FALSE)="Thunder",Backdoors!BD14,IF(VLOOKUP(tbMoveset!A85,tbMoveset!A2:I112,9,FALSE)="Ice",Backdoors!BE14,IF(VLOOKUP(tbMoveset!A85,tbMoveset!A2:I112,9,FALSE)="Dragon",Backdoors!BF14,Backdoors!BG14)))))/100,Backdoors!BG14/100),"")</f>
        <v>0</v>
      </c>
      <c r="CC85" s="49">
        <f>IFERROR(IF(VLOOKUP(A85,tbMoveset!A2:J112,10,FALSE)=TRUE,IF((Backdoors!AI12+IF(CA85&gt;=0.45,VLOOKUP(Calculator!E23,tbSkills!DH3:DI6,2,FALSE)+IF(AND(Calculator!B8=TRUE,Backdoors!BI14=TRUE),VLOOKUP(Calculator!E23,tbSkills!DH3:DJ6,3,FALSE),0),0))&gt;=0,1+(Backdoors!AL2*(IF((Backdoors!AI12+IF(CA85&gt;=0.45,VLOOKUP(Calculator!E23,tbSkills!DH3:DI6,2,FALSE)+IF(AND(Calculator!B8=TRUE,Backdoors!BI14=TRUE),VLOOKUP(Calculator!E23,tbSkills!DH3:DJ6,3,FALSE),0),0))&gt;=100,100,(Backdoors!AI12+IF(CA85&gt;=0.45,VLOOKUP(Calculator!E23,tbSkills!DH3:DI6,2,FALSE)+IF(AND(Calculator!B8=TRUE,Backdoors!BI14=TRUE),VLOOKUP(Calculator!E23,tbSkills!DH3:DJ6,3,FALSE),0),0)))/100)),(1-(0.25*((-Backdoors!AI12-IF(CA85&gt;=0.45,VLOOKUP(Calculator!E23,tbSkills!DH3:DI6,2,FALSE)+IF(AND(Calculator!B8=TRUE,Backdoors!BI14=TRUE),VLOOKUP(Calculator!E23,tbSkills!DH3:DJ6,3,FALSE),0),0))/100)))),1),"")</f>
        <v>1</v>
      </c>
      <c r="CD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A85)*CC85)*(VLOOKUP(A85,tbMoveset!A2:C112,3,FALSE)/100)*IF(VLOOKUP(A85,tbMoveset!A2:B112,2,FALSE)="Projectile",Backdoors!N10,Backdoors!N9),0),"")</f>
        <v/>
      </c>
      <c r="CE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A85&gt;=0.45,VLOOKUP(Calculator!E23,tbSkills!DH3:DI6,2,FALSE)+IF(AND(Calculator!B8=TRUE,Backdoors!BI14=TRUE),VLOOKUP(Calculator!E23,tbSkills!DH3:DJ6,3,FALSE),0),0))&gt;=100,100,(Backdoors!AI12+IF(CA85&gt;=0.45,VLOOKUP(Calculator!E23,tbSkills!DH3:DI6,2,FALSE)+IF(AND(Calculator!B8=TRUE,Backdoors!BI14=TRUE),VLOOKUP(Calculator!E23,tbSkills!DH3:DJ6,3,FALSE),0),0)))/100)),1))*IF(VLOOKUP(A85,tbMoveset!A2:K112,11,FALSE)=TRUE,Backdoors!AC5,1))*CB85,0),"")</f>
        <v>0</v>
      </c>
      <c r="CF85" s="49">
        <f>VLOOKUP(A85,tbMoveset!A2:G112,7,FALSE)*IFERROR(IF(Backdoors!AI12&gt;=0,1+(IF(Calculator!E40&gt;0,VLOOKUP(Calculator!E40,tbSkills!AI3:AJ5,2,FALSE),Backdoors!AL4)*(IF((Backdoors!AI12+IF(CA85&gt;=0.45,VLOOKUP(Calculator!E23,tbSkills!DH3:DI6,2,FALSE)+IF(AND(Calculator!B8=TRUE,Backdoors!BI14=TRUE),VLOOKUP(Calculator!E23,tbSkills!DH3:DJ6,3,FALSE),0),0))&gt;=100,100,(Backdoors!AI12+IF(CA85&gt;=0.45,VLOOKUP(Calculator!E23,tbSkills!DH3:DI6,2,FALSE)+IF(AND(Calculator!B8=TRUE,Backdoors!BI14=TRUE),VLOOKUP(Calculator!E23,tbSkills!DH3:DJ6,3,FALSE),0),0)))/100)),1),1)</f>
        <v>0.4</v>
      </c>
      <c r="CG85" s="87">
        <f t="shared" si="62"/>
        <v>0</v>
      </c>
      <c r="CH85" s="86" t="str">
        <f>IFERROR(IF(VLOOKUP(A85,tbMoveset!A2:B112,2,FALSE)="Sever",Backdoors!AY15/100,IF(VLOOKUP(A85,tbMoveset!A2:B112,2,FALSE)="Blunt",Backdoors!AZ15/100,Backdoors!BA15/100)),"")</f>
        <v/>
      </c>
      <c r="CI85" s="49">
        <f>IFERROR(IF(VLOOKUP(tbMoveset!A85,tbMoveset!A2:H112,8,FALSE)="Other",IF(VLOOKUP(tbMoveset!A85,tbMoveset!A2:I112,9,FALSE)="Fire",Backdoors!BB15,IF(VLOOKUP(tbMoveset!A85,tbMoveset!A2:I112,9,FALSE)="Water",Backdoors!BC15,IF(VLOOKUP(tbMoveset!A85,tbMoveset!A2:I112,9,FALSE)="Thunder",Backdoors!BD15,IF(VLOOKUP(tbMoveset!A85,tbMoveset!A2:I112,9,FALSE)="Ice",Backdoors!BE15,IF(VLOOKUP(tbMoveset!A85,tbMoveset!A2:I112,9,FALSE)="Dragon",Backdoors!BF15,Backdoors!BG15)))))/100,Backdoors!BG15/100),"")</f>
        <v>0</v>
      </c>
      <c r="CJ85" s="49">
        <f>IFERROR(IF(VLOOKUP(A85,tbMoveset!A2:J112,10,FALSE)=TRUE,IF((Backdoors!AI12+IF(CH85&gt;=0.45,VLOOKUP(Calculator!E23,tbSkills!DH3:DI6,2,FALSE)+IF(AND(Calculator!B8=TRUE,Backdoors!BI15=TRUE),VLOOKUP(Calculator!E23,tbSkills!DH3:DJ6,3,FALSE),0),0))&gt;=0,1+(Backdoors!AL2*(IF((Backdoors!AI12+IF(CH85&gt;=0.45,VLOOKUP(Calculator!E23,tbSkills!DH3:DI6,2,FALSE)+IF(AND(Calculator!B8=TRUE,Backdoors!BI15=TRUE),VLOOKUP(Calculator!E23,tbSkills!DH3:DJ6,3,FALSE),0),0))&gt;=100,100,(Backdoors!AI12+IF(CH85&gt;=0.45,VLOOKUP(Calculator!E23,tbSkills!DH3:DI6,2,FALSE)+IF(AND(Calculator!B8=TRUE,Backdoors!BI15=TRUE),VLOOKUP(Calculator!E23,tbSkills!DH3:DJ6,3,FALSE),0),0)))/100)),(1-(0.25*((-Backdoors!AI12-IF(CH85&gt;=0.45,VLOOKUP(Calculator!E23,tbSkills!DH3:DI6,2,FALSE)+IF(AND(Calculator!B8=TRUE,Backdoors!BI15=TRUE),VLOOKUP(Calculator!E23,tbSkills!DH3:DJ6,3,FALSE),0),0))/100)))),1),"")</f>
        <v>1</v>
      </c>
      <c r="CK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H85)*CJ85)*(VLOOKUP(A85,tbMoveset!A2:C112,3,FALSE)/100)*IF(VLOOKUP(A85,tbMoveset!A2:B112,2,FALSE)="Projectile",Backdoors!N10,Backdoors!N9),0),"")</f>
        <v/>
      </c>
      <c r="CL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H85&gt;=0.45,VLOOKUP(Calculator!E23,tbSkills!DH3:DI6,2,FALSE)+IF(AND(Calculator!B8=TRUE,Backdoors!BI15=TRUE),VLOOKUP(Calculator!E23,tbSkills!DH3:DJ6,3,FALSE),0),0))&gt;=100,100,(Backdoors!AI12+IF(CH85&gt;=0.45,VLOOKUP(Calculator!E23,tbSkills!DH3:DI6,2,FALSE)+IF(AND(Calculator!B8=TRUE,Backdoors!BI15=TRUE),VLOOKUP(Calculator!E23,tbSkills!DH3:DJ6,3,FALSE),0),0)))/100)),1))*IF(VLOOKUP(A85,tbMoveset!A2:K112,11,FALSE)=TRUE,Backdoors!AC5,1))*CI85,0),"")</f>
        <v>0</v>
      </c>
      <c r="CM85" s="49">
        <f>VLOOKUP(A85,tbMoveset!A2:G112,7,FALSE)*IFERROR(IF(Backdoors!AI12&gt;=0,1+(IF(Calculator!E40&gt;0,VLOOKUP(Calculator!E40,tbSkills!AI3:AJ5,2,FALSE),Backdoors!AL4)*(IF((Backdoors!AI12+IF(CH85&gt;=0.45,VLOOKUP(Calculator!E23,tbSkills!DH3:DI6,2,FALSE)+IF(AND(Calculator!B8=TRUE,Backdoors!BI15=TRUE),VLOOKUP(Calculator!E23,tbSkills!DH3:DJ6,3,FALSE),0),0))&gt;=100,100,(Backdoors!AI12+IF(CH85&gt;=0.45,VLOOKUP(Calculator!E23,tbSkills!DH3:DI6,2,FALSE)+IF(AND(Calculator!B8=TRUE,Backdoors!BI15=TRUE),VLOOKUP(Calculator!E23,tbSkills!DH3:DJ6,3,FALSE),0),0)))/100)),1),1)</f>
        <v>0.4</v>
      </c>
      <c r="CN85" s="87">
        <f t="shared" si="63"/>
        <v>0</v>
      </c>
      <c r="CO85" s="86" t="str">
        <f>IFERROR(IF(VLOOKUP(A85,tbMoveset!A2:B112,2,FALSE)="Sever",Backdoors!AY16/100,IF(VLOOKUP(A85,tbMoveset!A2:B112,2,FALSE)="Blunt",Backdoors!AZ16/100,Backdoors!BA16/100)),"")</f>
        <v/>
      </c>
      <c r="CP85" s="49">
        <f>IFERROR(IF(VLOOKUP(tbMoveset!A85,tbMoveset!A2:H112,8,FALSE)="Other",IF(VLOOKUP(tbMoveset!A85,tbMoveset!A2:I112,9,FALSE)="Fire",Backdoors!BB16,IF(VLOOKUP(tbMoveset!A85,tbMoveset!A2:I112,9,FALSE)="Water",Backdoors!BC16,IF(VLOOKUP(tbMoveset!A85,tbMoveset!A2:I112,9,FALSE)="Thunder",Backdoors!BD16,IF(VLOOKUP(tbMoveset!A85,tbMoveset!A2:I112,9,FALSE)="Ice",Backdoors!BE16,IF(VLOOKUP(tbMoveset!A85,tbMoveset!A2:I112,9,FALSE)="Dragon",Backdoors!BF16,Backdoors!BG16)))))/100,Backdoors!BG16/100),"")</f>
        <v>0</v>
      </c>
      <c r="CQ85" s="49">
        <f>IFERROR(IF(VLOOKUP(A85,tbMoveset!A2:J112,10,FALSE)=TRUE,IF((Backdoors!AI12+IF(CO85&gt;=0.45,VLOOKUP(Calculator!E23,tbSkills!DH3:DI6,2,FALSE)+IF(AND(Calculator!B8=TRUE,Backdoors!BI16=TRUE),VLOOKUP(Calculator!E23,tbSkills!DH3:DJ6,3,FALSE),0),0))&gt;=0,1+(Backdoors!AL2*(IF((Backdoors!AI12+IF(CO85&gt;=0.45,VLOOKUP(Calculator!E23,tbSkills!DH3:DI6,2,FALSE)+IF(AND(Calculator!B8=TRUE,Backdoors!BI16=TRUE),VLOOKUP(Calculator!E23,tbSkills!DH3:DJ6,3,FALSE),0),0))&gt;=100,100,(Backdoors!AI12+IF(CO85&gt;=0.45,VLOOKUP(Calculator!E23,tbSkills!DH3:DI6,2,FALSE)+IF(AND(Calculator!B8=TRUE,Backdoors!BI16=TRUE),VLOOKUP(Calculator!E23,tbSkills!DH3:DJ6,3,FALSE),0),0)))/100)),(1-(0.25*((-Backdoors!AI12-IF(CO85&gt;=0.45,VLOOKUP(Calculator!E23,tbSkills!DH3:DI6,2,FALSE)+IF(AND(Calculator!B8=TRUE,Backdoors!BI16=TRUE),VLOOKUP(Calculator!E23,tbSkills!DH3:DJ6,3,FALSE),0),0))/100)))),1),"")</f>
        <v>1</v>
      </c>
      <c r="CR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O85)*CQ85)*(VLOOKUP(A85,tbMoveset!A2:C112,3,FALSE)/100)*IF(VLOOKUP(A85,tbMoveset!A2:B112,2,FALSE)="Projectile",Backdoors!N10,Backdoors!N9),0),"")</f>
        <v/>
      </c>
      <c r="CS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O85&gt;=0.45,VLOOKUP(Calculator!E23,tbSkills!DH3:DI6,2,FALSE)+IF(AND(Calculator!B8=TRUE,Backdoors!BI16=TRUE),VLOOKUP(Calculator!E23,tbSkills!DH3:DJ6,3,FALSE),0),0))&gt;=100,100,(Backdoors!AI12+IF(CO85&gt;=0.45,VLOOKUP(Calculator!E23,tbSkills!DH3:DI6,2,FALSE)+IF(AND(Calculator!B8=TRUE,Backdoors!BI16=TRUE),VLOOKUP(Calculator!E23,tbSkills!DH3:DJ6,3,FALSE),0),0)))/100)),1))*IF(VLOOKUP(A85,tbMoveset!A2:K112,11,FALSE)=TRUE,Backdoors!AC5,1))*CP85,0),"")</f>
        <v>0</v>
      </c>
      <c r="CT85" s="49">
        <f>VLOOKUP(A85,tbMoveset!A2:G112,7,FALSE)*IFERROR(IF(Backdoors!AI12&gt;=0,1+(IF(Calculator!E40&gt;0,VLOOKUP(Calculator!E40,tbSkills!AI3:AJ5,2,FALSE),Backdoors!AL4)*(IF((Backdoors!AI12+IF(CO85&gt;=0.45,VLOOKUP(Calculator!E23,tbSkills!DH3:DI6,2,FALSE)+IF(AND(Calculator!B8=TRUE,Backdoors!BI16=TRUE),VLOOKUP(Calculator!E23,tbSkills!DH3:DJ6,3,FALSE),0),0))&gt;=100,100,(Backdoors!AI12+IF(CO85&gt;=0.45,VLOOKUP(Calculator!E23,tbSkills!DH3:DI6,2,FALSE)+IF(AND(Calculator!B8=TRUE,Backdoors!BI16=TRUE),VLOOKUP(Calculator!E23,tbSkills!DH3:DJ6,3,FALSE),0),0)))/100)),1),1)</f>
        <v>0.4</v>
      </c>
      <c r="CU85" s="87">
        <f t="shared" si="64"/>
        <v>0</v>
      </c>
      <c r="CV85" s="86" t="str">
        <f>IFERROR(IF(VLOOKUP(A85,tbMoveset!A2:B112,2,FALSE)="Sever",Backdoors!AY17/100,IF(VLOOKUP(A85,tbMoveset!A2:B112,2,FALSE)="Blunt",Backdoors!AZ17/100,Backdoors!BA17/100)),"")</f>
        <v/>
      </c>
      <c r="CW85" s="49">
        <f>IFERROR(IF(VLOOKUP(tbMoveset!A85,tbMoveset!A2:H112,8,FALSE)="Other",IF(VLOOKUP(tbMoveset!A85,tbMoveset!A2:I112,9,FALSE)="Fire",Backdoors!BB17,IF(VLOOKUP(tbMoveset!A85,tbMoveset!A2:I112,9,FALSE)="Water",Backdoors!BC17,IF(VLOOKUP(tbMoveset!A85,tbMoveset!A2:I112,9,FALSE)="Thunder",Backdoors!BD17,IF(VLOOKUP(tbMoveset!A85,tbMoveset!A2:I112,9,FALSE)="Ice",Backdoors!BE17,IF(VLOOKUP(tbMoveset!A85,tbMoveset!A2:I112,9,FALSE)="Dragon",Backdoors!BF17,Backdoors!BG17)))))/100,Backdoors!BG17/100),"")</f>
        <v>0</v>
      </c>
      <c r="CX85" s="49">
        <f>IFERROR(IF(VLOOKUP(A85,tbMoveset!A2:J112,10,FALSE)=TRUE,IF((Backdoors!AI12+IF(CV85&gt;=0.45,VLOOKUP(Calculator!E23,tbSkills!DH3:DI6,2,FALSE)+IF(AND(Calculator!B8=TRUE,Backdoors!BI17=TRUE),VLOOKUP(Calculator!E23,tbSkills!DH3:DJ6,3,FALSE),0),0))&gt;=0,1+(Backdoors!AL2*(IF((Backdoors!AI12+IF(CV85&gt;=0.45,VLOOKUP(Calculator!E23,tbSkills!DH3:DI6,2,FALSE)+IF(AND(Calculator!B8=TRUE,Backdoors!BI17=TRUE),VLOOKUP(Calculator!E23,tbSkills!DH3:DJ6,3,FALSE),0),0))&gt;=100,100,(Backdoors!AI12+IF(CV85&gt;=0.45,VLOOKUP(Calculator!E23,tbSkills!DH3:DI6,2,FALSE)+IF(AND(Calculator!B8=TRUE,Backdoors!BI17=TRUE),VLOOKUP(Calculator!E23,tbSkills!DH3:DJ6,3,FALSE),0),0)))/100)),(1-(0.25*((-Backdoors!AI12-IF(CV85&gt;=0.45,VLOOKUP(Calculator!E23,tbSkills!DH3:DI6,2,FALSE)+IF(AND(Calculator!B8=TRUE,Backdoors!BI17=TRUE),VLOOKUP(Calculator!E23,tbSkills!DH3:DJ6,3,FALSE),0),0))/100)))),1),"")</f>
        <v>1</v>
      </c>
      <c r="CY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V85)*CX85)*(VLOOKUP(A85,tbMoveset!A2:C112,3,FALSE)/100)*IF(VLOOKUP(A85,tbMoveset!A2:B112,2,FALSE)="Projectile",Backdoors!N10,Backdoors!N9),0),"")</f>
        <v/>
      </c>
      <c r="CZ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V85&gt;=0.45,VLOOKUP(Calculator!E23,tbSkills!DH3:DI6,2,FALSE)+IF(AND(Calculator!B8=TRUE,Backdoors!BI17=TRUE),VLOOKUP(Calculator!E23,tbSkills!DH3:DJ6,3,FALSE),0),0))&gt;=100,100,(Backdoors!AI12+IF(CV85&gt;=0.45,VLOOKUP(Calculator!E23,tbSkills!DH3:DI6,2,FALSE)+IF(AND(Calculator!B8=TRUE,Backdoors!BI17=TRUE),VLOOKUP(Calculator!E23,tbSkills!DH3:DJ6,3,FALSE),0),0)))/100)),1))*IF(VLOOKUP(A85,tbMoveset!A2:K112,11,FALSE)=TRUE,Backdoors!AC5,1))*CW85,0),"")</f>
        <v>0</v>
      </c>
      <c r="DA85" s="49">
        <f>VLOOKUP(A85,tbMoveset!A2:G112,7,FALSE)*IFERROR(IF(Backdoors!AI12&gt;=0,1+(IF(Calculator!E40&gt;0,VLOOKUP(Calculator!E40,tbSkills!AI3:AJ5,2,FALSE),Backdoors!AL4)*(IF((Backdoors!AI12+IF(CV85&gt;=0.45,VLOOKUP(Calculator!E23,tbSkills!DH3:DI6,2,FALSE)+IF(AND(Calculator!B8=TRUE,Backdoors!BI17=TRUE),VLOOKUP(Calculator!E23,tbSkills!DH3:DJ6,3,FALSE),0),0))&gt;=100,100,(Backdoors!AI12+IF(CV85&gt;=0.45,VLOOKUP(Calculator!E23,tbSkills!DH3:DI6,2,FALSE)+IF(AND(Calculator!B8=TRUE,Backdoors!BI17=TRUE),VLOOKUP(Calculator!E23,tbSkills!DH3:DJ6,3,FALSE),0),0)))/100)),1),1)</f>
        <v>0.4</v>
      </c>
      <c r="DB85" s="87">
        <f t="shared" si="65"/>
        <v>0</v>
      </c>
      <c r="DC85" s="86" t="str">
        <f>IFERROR(IF(VLOOKUP(A85,tbMoveset!A2:B112,2,FALSE)="Sever",Backdoors!AY18/100,IF(VLOOKUP(A85,tbMoveset!A2:B112,2,FALSE)="Blunt",Backdoors!AZ18/100,Backdoors!BA18/100)),"")</f>
        <v/>
      </c>
      <c r="DD85" s="49">
        <f>IFERROR(IF(VLOOKUP(tbMoveset!A85,tbMoveset!A2:H112,8,FALSE)="Other",IF(VLOOKUP(tbMoveset!A85,tbMoveset!A2:I112,9,FALSE)="Fire",Backdoors!BB18,IF(VLOOKUP(tbMoveset!A85,tbMoveset!A2:I112,9,FALSE)="Water",Backdoors!BC18,IF(VLOOKUP(tbMoveset!A85,tbMoveset!A2:I112,9,FALSE)="Thunder",Backdoors!BD18,IF(VLOOKUP(tbMoveset!A85,tbMoveset!A2:I112,9,FALSE)="Ice",Backdoors!BE18,IF(VLOOKUP(tbMoveset!A85,tbMoveset!A2:I112,9,FALSE)="Dragon",Backdoors!BF18,Backdoors!BG18)))))/100,Backdoors!BG18/100),"")</f>
        <v>0</v>
      </c>
      <c r="DE85" s="49">
        <f>IFERROR(IF(VLOOKUP(A85,tbMoveset!A2:J112,10,FALSE)=TRUE,IF((Backdoors!AI12+IF(DC85&gt;=0.45,VLOOKUP(Calculator!E23,tbSkills!DH3:DI6,2,FALSE)+IF(AND(Calculator!B8=TRUE,Backdoors!BI18=TRUE),VLOOKUP(Calculator!E23,tbSkills!DH3:DJ6,3,FALSE),0),0))&gt;=0,1+(Backdoors!AL2*(IF((Backdoors!AI12+IF(DC85&gt;=0.45,VLOOKUP(Calculator!E23,tbSkills!DH3:DI6,2,FALSE)+IF(AND(Calculator!B8=TRUE,Backdoors!BI18=TRUE),VLOOKUP(Calculator!E23,tbSkills!DH3:DJ6,3,FALSE),0),0))&gt;=100,100,(Backdoors!AI12+IF(DC85&gt;=0.45,VLOOKUP(Calculator!E23,tbSkills!DH3:DI6,2,FALSE)+IF(AND(Calculator!B8=TRUE,Backdoors!BI18=TRUE),VLOOKUP(Calculator!E23,tbSkills!DH3:DJ6,3,FALSE),0),0)))/100)),(1-(0.25*((-Backdoors!AI12-IF(DC85&gt;=0.45,VLOOKUP(Calculator!E23,tbSkills!DH3:DI6,2,FALSE)+IF(AND(Calculator!B8=TRUE,Backdoors!BI18=TRUE),VLOOKUP(Calculator!E23,tbSkills!DH3:DJ6,3,FALSE),0),0))/100)))),1),"")</f>
        <v>1</v>
      </c>
      <c r="DF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C85)*DE85)*(VLOOKUP(A85,tbMoveset!A2:C112,3,FALSE)/100)*IF(VLOOKUP(A85,tbMoveset!A2:B112,2,FALSE)="Projectile",Backdoors!N10,Backdoors!N9),0),"")</f>
        <v/>
      </c>
      <c r="DG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C85&gt;=0.45,VLOOKUP(Calculator!E23,tbSkills!DH3:DI6,2,FALSE)+IF(AND(Calculator!B8=TRUE,Backdoors!BI18=TRUE),VLOOKUP(Calculator!E23,tbSkills!DH3:DJ6,3,FALSE),0),0))&gt;=100,100,(Backdoors!AI12+IF(DC85&gt;=0.45,VLOOKUP(Calculator!E23,tbSkills!DH3:DI6,2,FALSE)+IF(AND(Calculator!B8=TRUE,Backdoors!BI18=TRUE),VLOOKUP(Calculator!E23,tbSkills!DH3:DJ6,3,FALSE),0),0)))/100)),1))*IF(VLOOKUP(A85,tbMoveset!A2:K112,11,FALSE)=TRUE,Backdoors!AC5,1))*DD85,0),"")</f>
        <v>0</v>
      </c>
      <c r="DH85" s="49">
        <f>VLOOKUP(A85,tbMoveset!A2:G112,7,FALSE)*IFERROR(IF(Backdoors!AI12&gt;=0,1+(IF(Calculator!E40&gt;0,VLOOKUP(Calculator!E40,tbSkills!AI3:AJ5,2,FALSE),Backdoors!AL4)*(IF((Backdoors!AI12+IF(DC85&gt;=0.45,VLOOKUP(Calculator!E23,tbSkills!DH3:DI6,2,FALSE)+IF(AND(Calculator!B8=TRUE,Backdoors!BI18=TRUE),VLOOKUP(Calculator!E23,tbSkills!DH3:DJ6,3,FALSE),0),0))&gt;=100,100,(Backdoors!AI12+IF(DC85&gt;=0.45,VLOOKUP(Calculator!E23,tbSkills!DH3:DI6,2,FALSE)+IF(AND(Calculator!B8=TRUE,Backdoors!BI18=TRUE),VLOOKUP(Calculator!E23,tbSkills!DH3:DJ6,3,FALSE),0),0)))/100)),1),1)</f>
        <v>0.4</v>
      </c>
      <c r="DI85" s="87">
        <f t="shared" si="66"/>
        <v>0</v>
      </c>
      <c r="DJ85" s="86" t="str">
        <f>IFERROR(IF(VLOOKUP(A85,tbMoveset!A2:B112,2,FALSE)="Sever",Backdoors!AY19/100,IF(VLOOKUP(A85,tbMoveset!A2:B112,2,FALSE)="Blunt",Backdoors!AZ19/100,Backdoors!BA19/100)),"")</f>
        <v/>
      </c>
      <c r="DK85" s="49">
        <f>IFERROR(IF(VLOOKUP(tbMoveset!A85,tbMoveset!A2:H112,8,FALSE)="Other",IF(VLOOKUP(tbMoveset!A85,tbMoveset!A2:I112,9,FALSE)="Fire",Backdoors!BB19,IF(VLOOKUP(tbMoveset!A85,tbMoveset!A2:I112,9,FALSE)="Water",Backdoors!BC19,IF(VLOOKUP(tbMoveset!A85,tbMoveset!A2:I112,9,FALSE)="Thunder",Backdoors!BD19,IF(VLOOKUP(tbMoveset!A85,tbMoveset!A2:I112,9,FALSE)="Ice",Backdoors!BE19,IF(VLOOKUP(tbMoveset!A85,tbMoveset!A2:I112,9,FALSE)="Dragon",Backdoors!BF19,Backdoors!BG19)))))/100,Backdoors!BG19/100),"")</f>
        <v>0</v>
      </c>
      <c r="DL85" s="49">
        <f>IFERROR(IF(VLOOKUP(A85,tbMoveset!A2:J112,10,FALSE)=TRUE,IF((Backdoors!AI12+IF(DJ85&gt;=0.45,VLOOKUP(Calculator!E23,tbSkills!DH3:DI6,2,FALSE)+IF(AND(Calculator!B8=TRUE,Backdoors!BI19=TRUE),VLOOKUP(Calculator!E23,tbSkills!DH3:DJ6,3,FALSE),0),0))&gt;=0,1+(Backdoors!AL2*(IF((Backdoors!AI12+IF(DJ85&gt;=0.45,VLOOKUP(Calculator!E23,tbSkills!DH3:DI6,2,FALSE)+IF(AND(Calculator!B8=TRUE,Backdoors!BI19=TRUE),VLOOKUP(Calculator!E23,tbSkills!DH3:DJ6,3,FALSE),0),0))&gt;=100,100,(Backdoors!AI12+IF(DJ85&gt;=0.45,VLOOKUP(Calculator!E23,tbSkills!DH3:DI6,2,FALSE)+IF(AND(Calculator!B8=TRUE,Backdoors!BI19=TRUE),VLOOKUP(Calculator!E23,tbSkills!DH3:DJ6,3,FALSE),0),0)))/100)),(1-(0.25*((-Backdoors!AI12-IF(DJ85&gt;=0.45,VLOOKUP(Calculator!E23,tbSkills!DH3:DI6,2,FALSE)+IF(AND(Calculator!B8=TRUE,Backdoors!BI19=TRUE),VLOOKUP(Calculator!E23,tbSkills!DH3:DJ6,3,FALSE),0),0))/100)))),1),"")</f>
        <v>1</v>
      </c>
      <c r="DM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J85)*DL85)*(VLOOKUP(A85,tbMoveset!A2:C112,3,FALSE)/100)*IF(VLOOKUP(A85,tbMoveset!A2:B112,2,FALSE)="Projectile",Backdoors!N10,Backdoors!N9),0),"")</f>
        <v/>
      </c>
      <c r="DN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J85&gt;=0.45,VLOOKUP(Calculator!E23,tbSkills!DH3:DI6,2,FALSE)+IF(AND(Calculator!B8=TRUE,Backdoors!BI19=TRUE),VLOOKUP(Calculator!E23,tbSkills!DH3:DJ6,3,FALSE),0),0))&gt;=100,100,(Backdoors!AI12+IF(DJ85&gt;=0.45,VLOOKUP(Calculator!E23,tbSkills!DH3:DI6,2,FALSE)+IF(AND(Calculator!B8=TRUE,Backdoors!BI19=TRUE),VLOOKUP(Calculator!E23,tbSkills!DH3:DJ6,3,FALSE),0),0)))/100)),1))*IF(VLOOKUP(A85,tbMoveset!A2:K112,11,FALSE)=TRUE,Backdoors!AC5,1))*DK85,0),"")</f>
        <v>0</v>
      </c>
      <c r="DO85" s="49">
        <f>VLOOKUP(A85,tbMoveset!A2:G112,7,FALSE)*IFERROR(IF(Backdoors!AI12&gt;=0,1+(IF(Calculator!E40&gt;0,VLOOKUP(Calculator!E40,tbSkills!AI3:AJ5,2,FALSE),Backdoors!AL4)*(IF((Backdoors!AI12+IF(DJ85&gt;=0.45,VLOOKUP(Calculator!E23,tbSkills!DH3:DI6,2,FALSE)+IF(AND(Calculator!B8=TRUE,Backdoors!BI19=TRUE),VLOOKUP(Calculator!E23,tbSkills!DH3:DJ6,3,FALSE),0),0))&gt;=100,100,(Backdoors!AI12+IF(DJ85&gt;=0.45,VLOOKUP(Calculator!E23,tbSkills!DH3:DI6,2,FALSE)+IF(AND(Calculator!B8=TRUE,Backdoors!BI19=TRUE),VLOOKUP(Calculator!E23,tbSkills!DH3:DJ6,3,FALSE),0),0)))/100)),1),1)</f>
        <v>0.4</v>
      </c>
      <c r="DP85" s="87">
        <f t="shared" si="67"/>
        <v>0</v>
      </c>
      <c r="DQ85" s="86" t="str">
        <f>IFERROR(IF(VLOOKUP(A85,tbMoveset!A2:B112,2,FALSE)="Sever",Backdoors!AY20/100,IF(VLOOKUP(A85,tbMoveset!A2:B112,2,FALSE)="Blunt",Backdoors!AZ20/100,Backdoors!BA20/100)),"")</f>
        <v/>
      </c>
      <c r="DR85" s="49">
        <f>IFERROR(IF(VLOOKUP(tbMoveset!A85,tbMoveset!A2:H112,8,FALSE)="Other",IF(VLOOKUP(tbMoveset!A85,tbMoveset!A2:I112,9,FALSE)="Fire",Backdoors!BB20,IF(VLOOKUP(tbMoveset!A85,tbMoveset!A2:I112,9,FALSE)="Water",Backdoors!BC20,IF(VLOOKUP(tbMoveset!A85,tbMoveset!A2:I112,9,FALSE)="Thunder",Backdoors!BD20,IF(VLOOKUP(tbMoveset!A85,tbMoveset!A2:I112,9,FALSE)="Ice",Backdoors!BE20,IF(VLOOKUP(tbMoveset!A85,tbMoveset!A2:I112,9,FALSE)="Dragon",Backdoors!BF20,Backdoors!BG20)))))/100,Backdoors!BG20/100),"")</f>
        <v>0</v>
      </c>
      <c r="DS85" s="49">
        <f>IFERROR(IF(VLOOKUP(A85,tbMoveset!A2:J112,10,FALSE)=TRUE,IF((Backdoors!AI12+IF(DQ85&gt;=0.45,VLOOKUP(Calculator!E23,tbSkills!DH3:DI6,2,FALSE)+IF(AND(Calculator!B8=TRUE,Backdoors!BI20=TRUE),VLOOKUP(Calculator!E23,tbSkills!DH3:DJ6,3,FALSE),0),0))&gt;=0,1+(Backdoors!AL2*(IF((Backdoors!AI12+IF(DQ85&gt;=0.45,VLOOKUP(Calculator!E23,tbSkills!DH3:DI6,2,FALSE)+IF(AND(Calculator!B8=TRUE,Backdoors!BI20=TRUE),VLOOKUP(Calculator!E23,tbSkills!DH3:DJ6,3,FALSE),0),0))&gt;=100,100,(Backdoors!AI12+IF(DQ85&gt;=0.45,VLOOKUP(Calculator!E23,tbSkills!DH3:DI6,2,FALSE)+IF(AND(Calculator!B8=TRUE,Backdoors!BI20=TRUE),VLOOKUP(Calculator!E23,tbSkills!DH3:DJ6,3,FALSE),0),0)))/100)),(1-(0.25*((-Backdoors!AI12-IF(DQ85&gt;=0.45,VLOOKUP(Calculator!E23,tbSkills!DH3:DI6,2,FALSE)+IF(AND(Calculator!B8=TRUE,Backdoors!BI20=TRUE),VLOOKUP(Calculator!E23,tbSkills!DH3:DJ6,3,FALSE),0),0))/100)))),1),"")</f>
        <v>1</v>
      </c>
      <c r="DT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Q85)*DS85)*(VLOOKUP(A85,tbMoveset!A2:C112,3,FALSE)/100)*IF(VLOOKUP(A85,tbMoveset!A2:B112,2,FALSE)="Projectile",Backdoors!N10,Backdoors!N9),0),"")</f>
        <v/>
      </c>
      <c r="DU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Q85&gt;=0.45,VLOOKUP(Calculator!E23,tbSkills!DH3:DI6,2,FALSE)+IF(AND(Calculator!B8=TRUE,Backdoors!BI20=TRUE),VLOOKUP(Calculator!E23,tbSkills!DH3:DJ6,3,FALSE),0),0))&gt;=100,100,(Backdoors!AI12+IF(DQ85&gt;=0.45,VLOOKUP(Calculator!E23,tbSkills!DH3:DI6,2,FALSE)+IF(AND(Calculator!B8=TRUE,Backdoors!BI20=TRUE),VLOOKUP(Calculator!E23,tbSkills!DH3:DJ6,3,FALSE),0),0)))/100)),1))*IF(VLOOKUP(A85,tbMoveset!A2:K112,11,FALSE)=TRUE,Backdoors!AC5,1))*DR85,0),"")</f>
        <v>0</v>
      </c>
      <c r="DV85" s="49">
        <f>VLOOKUP(A85,tbMoveset!A2:G112,7,FALSE)*IFERROR(IF(Backdoors!AI12&gt;=0,1+(IF(Calculator!E40&gt;0,VLOOKUP(Calculator!E40,tbSkills!AI3:AJ5,2,FALSE),Backdoors!AL4)*(IF((Backdoors!AI12+IF(DQ85&gt;=0.45,VLOOKUP(Calculator!E23,tbSkills!DH3:DI6,2,FALSE)+IF(AND(Calculator!B8=TRUE,Backdoors!BI20=TRUE),VLOOKUP(Calculator!E23,tbSkills!DH3:DJ6,3,FALSE),0),0))&gt;=100,100,(Backdoors!AI12+IF(DQ85&gt;=0.45,VLOOKUP(Calculator!E23,tbSkills!DH3:DI6,2,FALSE)+IF(AND(Calculator!B8=TRUE,Backdoors!BI20=TRUE),VLOOKUP(Calculator!E23,tbSkills!DH3:DJ6,3,FALSE),0),0)))/100)),1),1)</f>
        <v>0.4</v>
      </c>
      <c r="DW85" s="87">
        <f t="shared" si="68"/>
        <v>0</v>
      </c>
      <c r="DX85" s="86" t="str">
        <f>IFERROR(IF(VLOOKUP(A85,tbMoveset!A2:B112,2,FALSE)="Sever",Backdoors!AY21/100,IF(VLOOKUP(A85,tbMoveset!A2:B112,2,FALSE)="Blunt",Backdoors!AZ21/100,Backdoors!BA21/100)),"")</f>
        <v/>
      </c>
      <c r="DY85" s="49">
        <f>IFERROR(IF(VLOOKUP(tbMoveset!A85,tbMoveset!A2:H112,8,FALSE)="Other",IF(VLOOKUP(tbMoveset!A85,tbMoveset!A2:I112,9,FALSE)="Fire",Backdoors!BB21,IF(VLOOKUP(tbMoveset!A85,tbMoveset!A2:I112,9,FALSE)="Water",Backdoors!BC21,IF(VLOOKUP(tbMoveset!A85,tbMoveset!A2:I112,9,FALSE)="Thunder",Backdoors!BD21,IF(VLOOKUP(tbMoveset!A85,tbMoveset!A2:I112,9,FALSE)="Ice",Backdoors!BE21,IF(VLOOKUP(tbMoveset!A85,tbMoveset!A2:I112,9,FALSE)="Dragon",Backdoors!BF21,Backdoors!BG21)))))/100,Backdoors!BG21/100),"")</f>
        <v>0</v>
      </c>
      <c r="DZ85" s="49">
        <f>IFERROR(IF(VLOOKUP(A85,tbMoveset!A2:J112,10,FALSE)=TRUE,IF((Backdoors!AI12+IF(DX85&gt;=0.45,VLOOKUP(Calculator!E23,tbSkills!DH3:DI6,2,FALSE)+IF(AND(Calculator!B8=TRUE,Backdoors!BI21=TRUE),VLOOKUP(Calculator!E23,tbSkills!DH3:DJ6,3,FALSE),0),0))&gt;=0,1+(Backdoors!AL2*(IF((Backdoors!AI12+IF(DX85&gt;=0.45,VLOOKUP(Calculator!E23,tbSkills!DH3:DI6,2,FALSE)+IF(AND(Calculator!B8=TRUE,Backdoors!BI21=TRUE),VLOOKUP(Calculator!E23,tbSkills!DH3:DJ6,3,FALSE),0),0))&gt;=100,100,(Backdoors!AI12+IF(DX85&gt;=0.45,VLOOKUP(Calculator!E23,tbSkills!DH3:DI6,2,FALSE)+IF(AND(Calculator!B8=TRUE,Backdoors!BI21=TRUE),VLOOKUP(Calculator!E23,tbSkills!DH3:DJ6,3,FALSE),0),0)))/100)),(1-(0.25*((-Backdoors!AI12-IF(DX85&gt;=0.45,VLOOKUP(Calculator!E23,tbSkills!DH3:DI6,2,FALSE)+IF(AND(Calculator!B8=TRUE,Backdoors!BI21=TRUE),VLOOKUP(Calculator!E23,tbSkills!DH3:DJ6,3,FALSE),0),0))/100)))),1),"")</f>
        <v>1</v>
      </c>
      <c r="EA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X85)*DZ85)*(VLOOKUP(A85,tbMoveset!A2:C112,3,FALSE)/100)*IF(VLOOKUP(A85,tbMoveset!A2:B112,2,FALSE)="Projectile",Backdoors!N10,Backdoors!N9),0),"")</f>
        <v/>
      </c>
      <c r="EB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X85&gt;=0.45,VLOOKUP(Calculator!E23,tbSkills!DH3:DI6,2,FALSE)+IF(AND(Calculator!B8=TRUE,Backdoors!BI21=TRUE),VLOOKUP(Calculator!E23,tbSkills!DH3:DJ6,3,FALSE),0),0))&gt;=100,100,(Backdoors!AI12+IF(DX85&gt;=0.45,VLOOKUP(Calculator!E23,tbSkills!DH3:DI6,2,FALSE)+IF(AND(Calculator!B8=TRUE,Backdoors!BI21=TRUE),VLOOKUP(Calculator!E23,tbSkills!DH3:DJ6,3,FALSE),0),0)))/100)),1))*IF(VLOOKUP(A85,tbMoveset!A2:K112,11,FALSE)=TRUE,Backdoors!AC5,1))*DY85,0),"")</f>
        <v>0</v>
      </c>
      <c r="EC85" s="49">
        <f>VLOOKUP(A85,tbMoveset!A2:G112,7,FALSE)*IFERROR(IF(Backdoors!AI12&gt;=0,1+(IF(Calculator!E40&gt;0,VLOOKUP(Calculator!E40,tbSkills!AI3:AJ5,2,FALSE),Backdoors!AL4)*(IF((Backdoors!AI12+IF(DX85&gt;=0.45,VLOOKUP(Calculator!E23,tbSkills!DH3:DI6,2,FALSE)+IF(AND(Calculator!B8=TRUE,Backdoors!BI21=TRUE),VLOOKUP(Calculator!E23,tbSkills!DH3:DJ6,3,FALSE),0),0))&gt;=100,100,(Backdoors!AI12+IF(DX85&gt;=0.45,VLOOKUP(Calculator!E23,tbSkills!DH3:DI6,2,FALSE)+IF(AND(Calculator!B8=TRUE,Backdoors!BI21=TRUE),VLOOKUP(Calculator!E23,tbSkills!DH3:DJ6,3,FALSE),0),0)))/100)),1),1)</f>
        <v>0.4</v>
      </c>
      <c r="ED85" s="87">
        <f t="shared" si="69"/>
        <v>0</v>
      </c>
      <c r="EE85" s="86" t="str">
        <f>IFERROR(IF(VLOOKUP(A85,tbMoveset!A2:B112,2,FALSE)="Sever",Backdoors!AY22/100,IF(VLOOKUP(A85,tbMoveset!A2:B112,2,FALSE)="Blunt",Backdoors!AZ22/100,Backdoors!BA22/100)),"")</f>
        <v/>
      </c>
      <c r="EF85" s="49">
        <f>IFERROR(IF(VLOOKUP(tbMoveset!A85,tbMoveset!A2:H112,8,FALSE)="Other",IF(VLOOKUP(tbMoveset!A85,tbMoveset!A2:I112,9,FALSE)="Fire",Backdoors!BB22,IF(VLOOKUP(tbMoveset!A85,tbMoveset!A2:I112,9,FALSE)="Water",Backdoors!BC22,IF(VLOOKUP(tbMoveset!A85,tbMoveset!A2:I112,9,FALSE)="Thunder",Backdoors!BD22,IF(VLOOKUP(tbMoveset!A85,tbMoveset!A2:I112,9,FALSE)="Ice",Backdoors!BE22,IF(VLOOKUP(tbMoveset!A85,tbMoveset!A2:I112,9,FALSE)="Dragon",Backdoors!BF22,Backdoors!BG22)))))/100,Backdoors!BG22/100),"")</f>
        <v>0</v>
      </c>
      <c r="EG85" s="49">
        <f>IFERROR(IF(VLOOKUP(A85,tbMoveset!A2:J112,10,FALSE)=TRUE,IF((Backdoors!AI12+IF(EE85&gt;=0.45,VLOOKUP(Calculator!E23,tbSkills!DH3:DI6,2,FALSE)+IF(AND(Calculator!B8=TRUE,Backdoors!BI22=TRUE),VLOOKUP(Calculator!E23,tbSkills!DH3:DJ6,3,FALSE),0),0))&gt;=0,1+(Backdoors!AL2*(IF((Backdoors!AI12+IF(EE85&gt;=0.45,VLOOKUP(Calculator!E23,tbSkills!DH3:DI6,2,FALSE)+IF(AND(Calculator!B8=TRUE,Backdoors!BI22=TRUE),VLOOKUP(Calculator!E23,tbSkills!DH3:DJ6,3,FALSE),0),0))&gt;=100,100,(Backdoors!AI12+IF(EE85&gt;=0.45,VLOOKUP(Calculator!E23,tbSkills!DH3:DI6,2,FALSE)+IF(AND(Calculator!B8=TRUE,Backdoors!BI22=TRUE),VLOOKUP(Calculator!E23,tbSkills!DH3:DJ6,3,FALSE),0),0)))/100)),(1-(0.25*((-Backdoors!AI12-IF(EE85&gt;=0.45,VLOOKUP(Calculator!E23,tbSkills!DH3:DI6,2,FALSE)+IF(AND(Calculator!B8=TRUE,Backdoors!BI22=TRUE),VLOOKUP(Calculator!E23,tbSkills!DH3:DJ6,3,FALSE),0),0))/100)))),1),"")</f>
        <v>1</v>
      </c>
      <c r="EH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E85)*EG85)*(VLOOKUP(A85,tbMoveset!A2:C112,3,FALSE)/100)*IF(VLOOKUP(A85,tbMoveset!A2:B112,2,FALSE)="Projectile",Backdoors!N10,Backdoors!N9),0),"")</f>
        <v/>
      </c>
      <c r="EI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E85&gt;=0.45,VLOOKUP(Calculator!E23,tbSkills!DH3:DI6,2,FALSE)+IF(AND(Calculator!B8=TRUE,Backdoors!BI22=TRUE),VLOOKUP(Calculator!E23,tbSkills!DH3:DJ6,3,FALSE),0),0))&gt;=100,100,(Backdoors!AI12+IF(EE85&gt;=0.45,VLOOKUP(Calculator!E23,tbSkills!DH3:DI6,2,FALSE)+IF(AND(Calculator!B8=TRUE,Backdoors!BI22=TRUE),VLOOKUP(Calculator!E23,tbSkills!DH3:DJ6,3,FALSE),0),0)))/100)),1))*IF(VLOOKUP(A85,tbMoveset!A2:K112,11,FALSE)=TRUE,Backdoors!AC5,1))*EF85,0),"")</f>
        <v>0</v>
      </c>
      <c r="EJ85" s="49">
        <f>VLOOKUP(A85,tbMoveset!A2:G112,7,FALSE)*IFERROR(IF(Backdoors!AI12&gt;=0,1+(IF(Calculator!E40&gt;0,VLOOKUP(Calculator!E40,tbSkills!AI3:AJ5,2,FALSE),Backdoors!AL4)*(IF((Backdoors!AI12+IF(EE85&gt;=0.45,VLOOKUP(Calculator!E23,tbSkills!DH3:DI6,2,FALSE)+IF(AND(Calculator!B8=TRUE,Backdoors!BI22=TRUE),VLOOKUP(Calculator!E23,tbSkills!DH3:DJ6,3,FALSE),0),0))&gt;=100,100,(Backdoors!AI12+IF(EE85&gt;=0.45,VLOOKUP(Calculator!E23,tbSkills!DH3:DI6,2,FALSE)+IF(AND(Calculator!B8=TRUE,Backdoors!BI22=TRUE),VLOOKUP(Calculator!E23,tbSkills!DH3:DJ6,3,FALSE),0),0)))/100)),1),1)</f>
        <v>0.4</v>
      </c>
      <c r="EK85" s="87">
        <f t="shared" si="70"/>
        <v>0</v>
      </c>
      <c r="EL85" s="86" t="str">
        <f>IFERROR(IF(VLOOKUP(A85,tbMoveset!A2:B112,2,FALSE)="Sever",Backdoors!AY23/100,IF(VLOOKUP(A85,tbMoveset!A2:B112,2,FALSE)="Blunt",Backdoors!AZ23/100,Backdoors!BA23/100)),"")</f>
        <v/>
      </c>
      <c r="EM85" s="49">
        <f>IFERROR(IF(VLOOKUP(tbMoveset!A85,tbMoveset!A2:H112,8,FALSE)="Other",IF(VLOOKUP(tbMoveset!A85,tbMoveset!A2:I112,9,FALSE)="Fire",Backdoors!BB23,IF(VLOOKUP(tbMoveset!A85,tbMoveset!A2:I112,9,FALSE)="Water",Backdoors!BC23,IF(VLOOKUP(tbMoveset!A85,tbMoveset!A2:I112,9,FALSE)="Thunder",Backdoors!BD23,IF(VLOOKUP(tbMoveset!A85,tbMoveset!A2:I112,9,FALSE)="Ice",Backdoors!BE23,IF(VLOOKUP(tbMoveset!A85,tbMoveset!A2:I112,9,FALSE)="Dragon",Backdoors!BF23,Backdoors!BG23)))))/100,Backdoors!BG23/100),"")</f>
        <v>0</v>
      </c>
      <c r="EN85" s="49">
        <f>IFERROR(IF(VLOOKUP(A85,tbMoveset!A2:J112,10,FALSE)=TRUE,IF((Backdoors!AI12+IF(EL85&gt;=0.45,VLOOKUP(Calculator!E23,tbSkills!DH3:DI6,2,FALSE)+IF(AND(Calculator!B8=TRUE,Backdoors!BI23=TRUE),VLOOKUP(Calculator!E23,tbSkills!DH3:DJ6,3,FALSE),0),0))&gt;=0,1+(Backdoors!AL2*(IF((Backdoors!AI12+IF(EL85&gt;=0.45,VLOOKUP(Calculator!E23,tbSkills!DH3:DI6,2,FALSE)+IF(AND(Calculator!B8=TRUE,Backdoors!BI23=TRUE),VLOOKUP(Calculator!E23,tbSkills!DH3:DJ6,3,FALSE),0),0))&gt;=100,100,(Backdoors!AI12+IF(EL85&gt;=0.45,VLOOKUP(Calculator!E23,tbSkills!DH3:DI6,2,FALSE)+IF(AND(Calculator!B8=TRUE,Backdoors!BI23=TRUE),VLOOKUP(Calculator!E23,tbSkills!DH3:DJ6,3,FALSE),0),0)))/100)),(1-(0.25*((-Backdoors!AI12-IF(EL85&gt;=0.45,VLOOKUP(Calculator!E23,tbSkills!DH3:DI6,2,FALSE)+IF(AND(Calculator!B8=TRUE,Backdoors!BI23=TRUE),VLOOKUP(Calculator!E23,tbSkills!DH3:DJ6,3,FALSE),0),0))/100)))),1),"")</f>
        <v>1</v>
      </c>
      <c r="EO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L85)*EN85)*(VLOOKUP(A85,tbMoveset!A2:C112,3,FALSE)/100)*IF(VLOOKUP(A85,tbMoveset!A2:B112,2,FALSE)="Projectile",Backdoors!N10,Backdoors!N9),0),"")</f>
        <v/>
      </c>
      <c r="EP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L85&gt;=0.45,VLOOKUP(Calculator!E23,tbSkills!DH3:DI6,2,FALSE)+IF(AND(Calculator!B8=TRUE,Backdoors!BI23=TRUE),VLOOKUP(Calculator!E23,tbSkills!DH3:DJ6,3,FALSE),0),0))&gt;=100,100,(Backdoors!AI12+IF(EL85&gt;=0.45,VLOOKUP(Calculator!E23,tbSkills!DH3:DI6,2,FALSE)+IF(AND(Calculator!B8=TRUE,Backdoors!BI23=TRUE),VLOOKUP(Calculator!E23,tbSkills!DH3:DJ6,3,FALSE),0),0)))/100)),1))*IF(VLOOKUP(A85,tbMoveset!A2:K112,11,FALSE)=TRUE,Backdoors!AC5,1))*EM85,0),"")</f>
        <v>0</v>
      </c>
      <c r="EQ85" s="49">
        <f>VLOOKUP(A85,tbMoveset!A2:G112,7,FALSE)*IFERROR(IF(Backdoors!AI12&gt;=0,1+(IF(Calculator!E40&gt;0,VLOOKUP(Calculator!E40,tbSkills!AI3:AJ5,2,FALSE),Backdoors!AL4)*(IF((Backdoors!AI12+IF(EL85&gt;=0.45,VLOOKUP(Calculator!E23,tbSkills!DH3:DI6,2,FALSE)+IF(AND(Calculator!B8=TRUE,Backdoors!BI23=TRUE),VLOOKUP(Calculator!E23,tbSkills!DH3:DJ6,3,FALSE),0),0))&gt;=100,100,(Backdoors!AI12+IF(EL85&gt;=0.45,VLOOKUP(Calculator!E23,tbSkills!DH3:DI6,2,FALSE)+IF(AND(Calculator!B8=TRUE,Backdoors!BI23=TRUE),VLOOKUP(Calculator!E23,tbSkills!DH3:DJ6,3,FALSE),0),0)))/100)),1),1)</f>
        <v>0.4</v>
      </c>
      <c r="ER85" s="87">
        <f t="shared" si="71"/>
        <v>0</v>
      </c>
      <c r="ES85" s="86" t="str">
        <f>IFERROR(IF(VLOOKUP(A85,tbMoveset!A2:B112,2,FALSE)="Sever",Backdoors!AY24/100,IF(VLOOKUP(A85,tbMoveset!A2:B112,2,FALSE)="Blunt",Backdoors!AZ24/100,Backdoors!BA24/100)),"")</f>
        <v/>
      </c>
      <c r="ET85" s="49">
        <f>IFERROR(IF(VLOOKUP(tbMoveset!A85,tbMoveset!A2:H112,8,FALSE)="Other",IF(VLOOKUP(tbMoveset!A85,tbMoveset!A2:I112,9,FALSE)="Fire",Backdoors!BB24,IF(VLOOKUP(tbMoveset!A85,tbMoveset!A2:I112,9,FALSE)="Water",Backdoors!BC24,IF(VLOOKUP(tbMoveset!A85,tbMoveset!A2:I112,9,FALSE)="Thunder",Backdoors!BD24,IF(VLOOKUP(tbMoveset!A85,tbMoveset!A2:I112,9,FALSE)="Ice",Backdoors!BE24,IF(VLOOKUP(tbMoveset!A85,tbMoveset!A2:I112,9,FALSE)="Dragon",Backdoors!BF24,Backdoors!BG24)))))/100,Backdoors!BG24/100),"")</f>
        <v>0</v>
      </c>
      <c r="EU85" s="49">
        <f>IFERROR(IF(VLOOKUP(A85,tbMoveset!A2:J112,10,FALSE)=TRUE,IF((Backdoors!AI12+IF(ES85&gt;=0.45,VLOOKUP(Calculator!E23,tbSkills!DH3:DI6,2,FALSE)+IF(AND(Calculator!B8=TRUE,Backdoors!BI24=TRUE),VLOOKUP(Calculator!E23,tbSkills!DH3:DJ6,3,FALSE),0),0))&gt;=0,1+(Backdoors!AL2*(IF((Backdoors!AI12+IF(ES85&gt;=0.45,VLOOKUP(Calculator!E23,tbSkills!DH3:DI6,2,FALSE)+IF(AND(Calculator!B8=TRUE,Backdoors!BI24=TRUE),VLOOKUP(Calculator!E23,tbSkills!DH3:DJ6,3,FALSE),0),0))&gt;=100,100,(Backdoors!AI12+IF(ES85&gt;=0.45,VLOOKUP(Calculator!E23,tbSkills!DH3:DI6,2,FALSE)+IF(AND(Calculator!B8=TRUE,Backdoors!BI24=TRUE),VLOOKUP(Calculator!E23,tbSkills!DH3:DJ6,3,FALSE),0),0)))/100)),(1-(0.25*((-Backdoors!AI12-IF(ES85&gt;=0.45,VLOOKUP(Calculator!E23,tbSkills!DH3:DI6,2,FALSE)+IF(AND(Calculator!B8=TRUE,Backdoors!BI24=TRUE),VLOOKUP(Calculator!E23,tbSkills!DH3:DJ6,3,FALSE),0),0))/100)))),1),"")</f>
        <v>1</v>
      </c>
      <c r="EV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S85)*EU85)*(VLOOKUP(A85,tbMoveset!A2:C112,3,FALSE)/100)*IF(VLOOKUP(A85,tbMoveset!A2:B112,2,FALSE)="Projectile",Backdoors!N10,Backdoors!N9),0),"")</f>
        <v/>
      </c>
      <c r="EW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S85&gt;=0.45,VLOOKUP(Calculator!E23,tbSkills!DH3:DI6,2,FALSE)+IF(AND(Calculator!B8=TRUE,Backdoors!BI24=TRUE),VLOOKUP(Calculator!E23,tbSkills!DH3:DJ6,3,FALSE),0),0))&gt;=100,100,(Backdoors!AI12+IF(ES85&gt;=0.45,VLOOKUP(Calculator!E23,tbSkills!DH3:DI6,2,FALSE)+IF(AND(Calculator!B8=TRUE,Backdoors!BI24=TRUE),VLOOKUP(Calculator!E23,tbSkills!DH3:DJ6,3,FALSE),0),0)))/100)),1))*IF(VLOOKUP(A85,tbMoveset!A2:K112,11,FALSE)=TRUE,Backdoors!AC5,1))*ET85,0),"")</f>
        <v>0</v>
      </c>
      <c r="EX85" s="49">
        <f>VLOOKUP(A85,tbMoveset!A2:G112,7,FALSE)*IFERROR(IF(Backdoors!AI12&gt;=0,1+(IF(Calculator!E40&gt;0,VLOOKUP(Calculator!E40,tbSkills!AI3:AJ5,2,FALSE),Backdoors!AL4)*(IF((Backdoors!AI12+IF(ES85&gt;=0.45,VLOOKUP(Calculator!E23,tbSkills!DH3:DI6,2,FALSE)+IF(AND(Calculator!B8=TRUE,Backdoors!BI24=TRUE),VLOOKUP(Calculator!E23,tbSkills!DH3:DJ6,3,FALSE),0),0))&gt;=100,100,(Backdoors!AI12+IF(ES85&gt;=0.45,VLOOKUP(Calculator!E23,tbSkills!DH3:DI6,2,FALSE)+IF(AND(Calculator!B8=TRUE,Backdoors!BI24=TRUE),VLOOKUP(Calculator!E23,tbSkills!DH3:DJ6,3,FALSE),0),0)))/100)),1),1)</f>
        <v>0.4</v>
      </c>
      <c r="EY85" s="87">
        <f t="shared" si="72"/>
        <v>0</v>
      </c>
      <c r="EZ85" s="86" t="str">
        <f>IFERROR(IF(VLOOKUP(A85,tbMoveset!A2:B112,2,FALSE)="Sever",Backdoors!AY25/100,IF(VLOOKUP(A85,tbMoveset!A2:B112,2,FALSE)="Blunt",Backdoors!AZ25/100,Backdoors!BA25/100)),"")</f>
        <v/>
      </c>
      <c r="FA85" s="49">
        <f>IFERROR(IF(VLOOKUP(tbMoveset!A85,tbMoveset!A2:H112,8,FALSE)="Other",IF(VLOOKUP(tbMoveset!A85,tbMoveset!A2:I112,9,FALSE)="Fire",Backdoors!BB25,IF(VLOOKUP(tbMoveset!A85,tbMoveset!A2:I112,9,FALSE)="Water",Backdoors!BC25,IF(VLOOKUP(tbMoveset!A85,tbMoveset!A2:I112,9,FALSE)="Thunder",Backdoors!BD25,IF(VLOOKUP(tbMoveset!A85,tbMoveset!A2:I112,9,FALSE)="Ice",Backdoors!BE25,IF(VLOOKUP(tbMoveset!A85,tbMoveset!A2:I112,9,FALSE)="Dragon",Backdoors!BF25,Backdoors!BG25)))))/100,Backdoors!BG25/100),"")</f>
        <v>0</v>
      </c>
      <c r="FB85" s="49">
        <f>IFERROR(IF(VLOOKUP(A85,tbMoveset!A2:J112,10,FALSE)=TRUE,IF((Backdoors!AI12+IF(EZ85&gt;=0.45,VLOOKUP(Calculator!E23,tbSkills!DH3:DI6,2,FALSE)+IF(AND(Calculator!B8=TRUE,Backdoors!BI25=TRUE),VLOOKUP(Calculator!E23,tbSkills!DH3:DJ6,3,FALSE),0),0))&gt;=0,1+(Backdoors!AL2*(IF((Backdoors!AI12+IF(EZ85&gt;=0.45,VLOOKUP(Calculator!E23,tbSkills!DH3:DI6,2,FALSE)+IF(AND(Calculator!B8=TRUE,Backdoors!BI25=TRUE),VLOOKUP(Calculator!E23,tbSkills!DH3:DJ6,3,FALSE),0),0))&gt;=100,100,(Backdoors!AI12+IF(EZ85&gt;=0.45,VLOOKUP(Calculator!E23,tbSkills!DH3:DI6,2,FALSE)+IF(AND(Calculator!B8=TRUE,Backdoors!BI25=TRUE),VLOOKUP(Calculator!E23,tbSkills!DH3:DJ6,3,FALSE),0),0)))/100)),(1-(0.25*((-Backdoors!AI12-IF(EZ85&gt;=0.45,VLOOKUP(Calculator!E23,tbSkills!DH3:DI6,2,FALSE)+IF(AND(Calculator!B8=TRUE,Backdoors!BI25=TRUE),VLOOKUP(Calculator!E23,tbSkills!DH3:DJ6,3,FALSE),0),0))/100)))),1),"")</f>
        <v>1</v>
      </c>
      <c r="FC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Z85)*FB85)*(VLOOKUP(A85,tbMoveset!A2:C112,3,FALSE)/100)*IF(VLOOKUP(A85,tbMoveset!A2:B112,2,FALSE)="Projectile",Backdoors!N10,Backdoors!N9),0),"")</f>
        <v/>
      </c>
      <c r="FD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Z85&gt;=0.45,VLOOKUP(Calculator!E23,tbSkills!DH3:DI6,2,FALSE)+IF(AND(Calculator!B8=TRUE,Backdoors!BI25=TRUE),VLOOKUP(Calculator!E23,tbSkills!DH3:DJ6,3,FALSE),0),0))&gt;=100,100,(Backdoors!AI12+IF(EZ85&gt;=0.45,VLOOKUP(Calculator!E23,tbSkills!DH3:DI6,2,FALSE)+IF(AND(Calculator!B8=TRUE,Backdoors!BI25=TRUE),VLOOKUP(Calculator!E23,tbSkills!DH3:DJ6,3,FALSE),0),0)))/100)),1))*IF(VLOOKUP(A85,tbMoveset!A2:K112,11,FALSE)=TRUE,Backdoors!AC5,1))*FA85,0),"")</f>
        <v>0</v>
      </c>
      <c r="FE85" s="49">
        <f>VLOOKUP(A85,tbMoveset!A2:G112,7,FALSE)*IFERROR(IF(Backdoors!AI12&gt;=0,1+(IF(Calculator!E40&gt;0,VLOOKUP(Calculator!E40,tbSkills!AI3:AJ5,2,FALSE),Backdoors!AL4)*(IF((Backdoors!AI12+IF(EZ85&gt;=0.45,VLOOKUP(Calculator!E23,tbSkills!DH3:DI6,2,FALSE)+IF(AND(Calculator!B8=TRUE,Backdoors!BI25=TRUE),VLOOKUP(Calculator!E23,tbSkills!DH3:DJ6,3,FALSE),0),0))&gt;=100,100,(Backdoors!AI12+IF(EZ85&gt;=0.45,VLOOKUP(Calculator!E23,tbSkills!DH3:DI6,2,FALSE)+IF(AND(Calculator!B8=TRUE,Backdoors!BI25=TRUE),VLOOKUP(Calculator!E23,tbSkills!DH3:DJ6,3,FALSE),0),0)))/100)),1),1)</f>
        <v>0.4</v>
      </c>
      <c r="FF85" s="87">
        <f t="shared" si="73"/>
        <v>0</v>
      </c>
      <c r="FG85" s="86" t="str">
        <f>IFERROR(IF(VLOOKUP(A85,tbMoveset!A2:B112,2,FALSE)="Sever",Backdoors!AY26/100,IF(VLOOKUP(A85,tbMoveset!A2:B112,2,FALSE)="Blunt",Backdoors!AZ26/100,Backdoors!BA26/100)),"")</f>
        <v/>
      </c>
      <c r="FH85" s="49">
        <f>IFERROR(IF(VLOOKUP(tbMoveset!A85,tbMoveset!A2:H112,8,FALSE)="Other",IF(VLOOKUP(tbMoveset!A85,tbMoveset!A2:I112,9,FALSE)="Fire",Backdoors!BB26,IF(VLOOKUP(tbMoveset!A85,tbMoveset!A2:I112,9,FALSE)="Water",Backdoors!BC26,IF(VLOOKUP(tbMoveset!A85,tbMoveset!A2:I112,9,FALSE)="Thunder",Backdoors!BD26,IF(VLOOKUP(tbMoveset!A85,tbMoveset!A2:I112,9,FALSE)="Ice",Backdoors!BE26,IF(VLOOKUP(tbMoveset!A85,tbMoveset!A2:I112,9,FALSE)="Dragon",Backdoors!BF26,Backdoors!BG26)))))/100,Backdoors!BG26/100),"")</f>
        <v>0</v>
      </c>
      <c r="FI85" s="49">
        <f>IFERROR(IF(VLOOKUP(A85,tbMoveset!A2:J112,10,FALSE)=TRUE,IF((Backdoors!AI12+IF(FG85&gt;=0.45,VLOOKUP(Calculator!E23,tbSkills!DH3:DI6,2,FALSE)+IF(AND(Calculator!B8=TRUE,Backdoors!BI26=TRUE),VLOOKUP(Calculator!E23,tbSkills!DH3:DJ6,3,FALSE),0),0))&gt;=0,1+(Backdoors!AL2*(IF((Backdoors!AI12+IF(FG85&gt;=0.45,VLOOKUP(Calculator!E23,tbSkills!DH3:DI6,2,FALSE)+IF(AND(Calculator!B8=TRUE,Backdoors!BI26=TRUE),VLOOKUP(Calculator!E23,tbSkills!DH3:DJ6,3,FALSE),0),0))&gt;=100,100,(Backdoors!AI12+IF(FG85&gt;=0.45,VLOOKUP(Calculator!E23,tbSkills!DH3:DI6,2,FALSE)+IF(AND(Calculator!B8=TRUE,Backdoors!BI26=TRUE),VLOOKUP(Calculator!E23,tbSkills!DH3:DJ6,3,FALSE),0),0)))/100)),(1-(0.25*((-Backdoors!AI12-IF(FG85&gt;=0.45,VLOOKUP(Calculator!E23,tbSkills!DH3:DI6,2,FALSE)+IF(AND(Calculator!B8=TRUE,Backdoors!BI26=TRUE),VLOOKUP(Calculator!E23,tbSkills!DH3:DJ6,3,FALSE),0),0))/100)))),1),"")</f>
        <v>1</v>
      </c>
      <c r="FJ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FG85)*FI85)*(VLOOKUP(A85,tbMoveset!A2:C112,3,FALSE)/100)*IF(VLOOKUP(A85,tbMoveset!A2:B112,2,FALSE)="Projectile",Backdoors!N10,Backdoors!N9),0),"")</f>
        <v/>
      </c>
      <c r="FK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FG85&gt;=0.45,VLOOKUP(Calculator!E23,tbSkills!DH3:DI6,2,FALSE)+IF(AND(Calculator!B8=TRUE,Backdoors!BI26=TRUE),VLOOKUP(Calculator!E23,tbSkills!DH3:DJ6,3,FALSE),0),0))&gt;=100,100,(Backdoors!AI12+IF(FG85&gt;=0.45,VLOOKUP(Calculator!E23,tbSkills!DH3:DI6,2,FALSE)+IF(AND(Calculator!B8=TRUE,Backdoors!BI26=TRUE),VLOOKUP(Calculator!E23,tbSkills!DH3:DJ6,3,FALSE),0),0)))/100)),1))*IF(VLOOKUP(A85,tbMoveset!A2:K112,11,FALSE)=TRUE,Backdoors!AC5,1))*FH85,0),"")</f>
        <v>0</v>
      </c>
      <c r="FL85" s="49">
        <f>VLOOKUP(A85,tbMoveset!A2:G112,7,FALSE)*IFERROR(IF(Backdoors!AI12&gt;=0,1+(IF(Calculator!E40&gt;0,VLOOKUP(Calculator!E40,tbSkills!AI3:AJ5,2,FALSE),Backdoors!AL4)*(IF((Backdoors!AI12+IF(FG85&gt;=0.45,VLOOKUP(Calculator!E23,tbSkills!DH3:DI6,2,FALSE)+IF(AND(Calculator!B8=TRUE,Backdoors!BI26=TRUE),VLOOKUP(Calculator!E23,tbSkills!DH3:DJ6,3,FALSE),0),0))&gt;=100,100,(Backdoors!AI12+IF(FG85&gt;=0.45,VLOOKUP(Calculator!E23,tbSkills!DH3:DI6,2,FALSE)+IF(AND(Calculator!B8=TRUE,Backdoors!BI26=TRUE),VLOOKUP(Calculator!E23,tbSkills!DH3:DJ6,3,FALSE),0),0)))/100)),1),1)</f>
        <v>0.4</v>
      </c>
      <c r="FM85" s="87">
        <f t="shared" si="74"/>
        <v>0</v>
      </c>
      <c r="FN85" s="86" t="str">
        <f>IFERROR(IF(VLOOKUP(A85,tbMoveset!A2:B112,2,FALSE)="Sever",Backdoors!AY27/100,IF(VLOOKUP(A85,tbMoveset!A2:B112,2,FALSE)="Blunt",Backdoors!AZ27/100,Backdoors!BA27/100)),"")</f>
        <v/>
      </c>
      <c r="FO85" s="49">
        <f>IFERROR(IF(VLOOKUP(tbMoveset!A85,tbMoveset!A2:H112,8,FALSE)="Other",IF(VLOOKUP(tbMoveset!A85,tbMoveset!A2:I112,9,FALSE)="Fire",Backdoors!BB27,IF(VLOOKUP(tbMoveset!A85,tbMoveset!A2:I112,9,FALSE)="Water",Backdoors!BC27,IF(VLOOKUP(tbMoveset!A85,tbMoveset!A2:I112,9,FALSE)="Thunder",Backdoors!BD27,IF(VLOOKUP(tbMoveset!A85,tbMoveset!A2:I112,9,FALSE)="Ice",Backdoors!BE27,IF(VLOOKUP(tbMoveset!A85,tbMoveset!A2:I112,9,FALSE)="Dragon",Backdoors!BF27,Backdoors!BG27)))))/100,Backdoors!BG27/100),"")</f>
        <v>0</v>
      </c>
      <c r="FP85" s="49">
        <f>IFERROR(IF(VLOOKUP(A85,tbMoveset!A2:J112,10,FALSE)=TRUE,IF((Backdoors!AI12+IF(FN85&gt;=0.45,VLOOKUP(Calculator!E23,tbSkills!DH3:DI6,2,FALSE)+IF(AND(Calculator!B8=TRUE,Backdoors!BI27=TRUE),VLOOKUP(Calculator!E23,tbSkills!DH3:DJ6,3,FALSE),0),0))&gt;=0,1+(Backdoors!AL2*(IF((Backdoors!AI12+IF(FN85&gt;=0.45,VLOOKUP(Calculator!E23,tbSkills!DH3:DI6,2,FALSE)+IF(AND(Calculator!B8=TRUE,Backdoors!BI27=TRUE),VLOOKUP(Calculator!E23,tbSkills!DH3:DJ6,3,FALSE),0),0))&gt;=100,100,(Backdoors!AI12+IF(FN85&gt;=0.45,VLOOKUP(Calculator!E23,tbSkills!DH3:DI6,2,FALSE)+IF(AND(Calculator!B8=TRUE,Backdoors!BI27=TRUE),VLOOKUP(Calculator!E23,tbSkills!DH3:DJ6,3,FALSE),0),0)))/100)),(1-(0.25*((-Backdoors!AI12-IF(FN85&gt;=0.45,VLOOKUP(Calculator!E23,tbSkills!DH3:DI6,2,FALSE)+IF(AND(Calculator!B8=TRUE,Backdoors!BI27=TRUE),VLOOKUP(Calculator!E23,tbSkills!DH3:DJ6,3,FALSE),0),0))/100)))),1),"")</f>
        <v>1</v>
      </c>
      <c r="FQ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FN85)*FP85)*(VLOOKUP(A85,tbMoveset!A2:C112,3,FALSE)/100)*IF(VLOOKUP(A85,tbMoveset!A2:B112,2,FALSE)="Projectile",Backdoors!N10,Backdoors!N9),0),"")</f>
        <v/>
      </c>
      <c r="FR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FN85&gt;=0.45,VLOOKUP(Calculator!E23,tbSkills!DH3:DI6,2,FALSE)+IF(AND(Calculator!B8=TRUE,Backdoors!BI27=TRUE),VLOOKUP(Calculator!E23,tbSkills!DH3:DJ6,3,FALSE),0),0))&gt;=100,100,(Backdoors!AI12+IF(FN85&gt;=0.45,VLOOKUP(Calculator!E23,tbSkills!DH3:DI6,2,FALSE)+IF(AND(Calculator!B8=TRUE,Backdoors!BI27=TRUE),VLOOKUP(Calculator!E23,tbSkills!DH3:DJ6,3,FALSE),0),0)))/100)),1))*IF(VLOOKUP(A85,tbMoveset!A2:K112,11,FALSE)=TRUE,Backdoors!AC5,1))*FO85,0),"")</f>
        <v>0</v>
      </c>
      <c r="FS85" s="49">
        <f>VLOOKUP(A85,tbMoveset!A2:G112,7,FALSE)*IFERROR(IF(Backdoors!AI12&gt;=0,1+(IF(Calculator!E40&gt;0,VLOOKUP(Calculator!E40,tbSkills!AI3:AJ5,2,FALSE),Backdoors!AL4)*(IF((Backdoors!AI12+IF(FN85&gt;=0.45,VLOOKUP(Calculator!E23,tbSkills!DH3:DI6,2,FALSE)+IF(AND(Calculator!B8=TRUE,Backdoors!BI27=TRUE),VLOOKUP(Calculator!E23,tbSkills!DH3:DJ6,3,FALSE),0),0))&gt;=100,100,(Backdoors!AI12+IF(FN85&gt;=0.45,VLOOKUP(Calculator!E23,tbSkills!DH3:DI6,2,FALSE)+IF(AND(Calculator!B8=TRUE,Backdoors!BI27=TRUE),VLOOKUP(Calculator!E23,tbSkills!DH3:DJ6,3,FALSE),0),0)))/100)),1),1)</f>
        <v>0.4</v>
      </c>
      <c r="FT85" s="87">
        <f t="shared" si="75"/>
        <v>0</v>
      </c>
      <c r="FU85" s="86" t="str">
        <f>IFERROR(IF(VLOOKUP(A85,tbMoveset!A2:B112,2,FALSE)="Sever",Backdoors!AY28/100,IF(VLOOKUP(A85,tbMoveset!A2:B112,2,FALSE)="Blunt",Backdoors!AZ28/100,Backdoors!BA28/100)),"")</f>
        <v/>
      </c>
      <c r="FV85" s="49">
        <f>IFERROR(IF(VLOOKUP(tbMoveset!A85,tbMoveset!A2:H112,8,FALSE)="Other",IF(VLOOKUP(tbMoveset!A85,tbMoveset!A2:I112,9,FALSE)="Fire",Backdoors!BB28,IF(VLOOKUP(tbMoveset!A85,tbMoveset!A2:I112,9,FALSE)="Water",Backdoors!BC28,IF(VLOOKUP(tbMoveset!A85,tbMoveset!A2:I112,9,FALSE)="Thunder",Backdoors!BD28,IF(VLOOKUP(tbMoveset!A85,tbMoveset!A2:I112,9,FALSE)="Ice",Backdoors!BE28,IF(VLOOKUP(tbMoveset!A85,tbMoveset!A2:I112,9,FALSE)="Dragon",Backdoors!BF28,Backdoors!BG28)))))/100,Backdoors!BG28/100),"")</f>
        <v>0</v>
      </c>
      <c r="FW85" s="49">
        <f>IFERROR(IF(VLOOKUP(A85,tbMoveset!A2:J112,10,FALSE)=TRUE,IF((Backdoors!AI12+IF(FU85&gt;=0.45,VLOOKUP(Calculator!E23,tbSkills!DH3:DI6,2,FALSE)+IF(AND(Calculator!B8=TRUE,Backdoors!BI28=TRUE),VLOOKUP(Calculator!E23,tbSkills!DH3:DJ6,3,FALSE),0),0))&gt;=0,1+(Backdoors!AL2*(IF((Backdoors!AI12+IF(FU85&gt;=0.45,VLOOKUP(Calculator!E23,tbSkills!DH3:DI6,2,FALSE)+IF(AND(Calculator!B8=TRUE,Backdoors!BI28=TRUE),VLOOKUP(Calculator!E23,tbSkills!DH3:DJ6,3,FALSE),0),0))&gt;=100,100,(Backdoors!AI12+IF(FU85&gt;=0.45,VLOOKUP(Calculator!E23,tbSkills!DH3:DI6,2,FALSE)+IF(AND(Calculator!B8=TRUE,Backdoors!BI28=TRUE),VLOOKUP(Calculator!E23,tbSkills!DH3:DJ6,3,FALSE),0),0)))/100)),(1-(0.25*((-Backdoors!AI12-IF(FU85&gt;=0.45,VLOOKUP(Calculator!E23,tbSkills!DH3:DI6,2,FALSE)+IF(AND(Calculator!B8=TRUE,Backdoors!BI28=TRUE),VLOOKUP(Calculator!E23,tbSkills!DH3:DJ6,3,FALSE),0),0))/100)))),1),"")</f>
        <v>1</v>
      </c>
      <c r="FX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FU85)*FW85)*(VLOOKUP(A85,tbMoveset!A2:C112,3,FALSE)/100)*IF(VLOOKUP(A85,tbMoveset!A2:B112,2,FALSE)="Projectile",Backdoors!N10,Backdoors!N9),0),"")</f>
        <v/>
      </c>
      <c r="FY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FU85&gt;=0.45,VLOOKUP(Calculator!E23,tbSkills!DH3:DI6,2,FALSE)+IF(AND(Calculator!B8=TRUE,Backdoors!BI28=TRUE),VLOOKUP(Calculator!E23,tbSkills!DH3:DJ6,3,FALSE),0),0))&gt;=100,100,(Backdoors!AI12+IF(FU85&gt;=0.45,VLOOKUP(Calculator!E23,tbSkills!DH3:DI6,2,FALSE)+IF(AND(Calculator!B8=TRUE,Backdoors!BI28=TRUE),VLOOKUP(Calculator!E23,tbSkills!DH3:DJ6,3,FALSE),0),0)))/100)),1))*IF(VLOOKUP(A85,tbMoveset!A2:K112,11,FALSE)=TRUE,Backdoors!AC5,1))*FV85,0),"")</f>
        <v>0</v>
      </c>
      <c r="FZ85" s="49">
        <f>VLOOKUP(A85,tbMoveset!A2:G112,7,FALSE)*IFERROR(IF(Backdoors!AI12&gt;=0,1+(IF(Calculator!E40&gt;0,VLOOKUP(Calculator!E40,tbSkills!AI3:AJ5,2,FALSE),Backdoors!AL4)*(IF((Backdoors!AI12+IF(FU85&gt;=0.45,VLOOKUP(Calculator!E23,tbSkills!DH3:DI6,2,FALSE)+IF(AND(Calculator!B8=TRUE,Backdoors!BI28=TRUE),VLOOKUP(Calculator!E23,tbSkills!DH3:DJ6,3,FALSE),0),0))&gt;=100,100,(Backdoors!AI12+IF(FU85&gt;=0.45,VLOOKUP(Calculator!E23,tbSkills!DH3:DI6,2,FALSE)+IF(AND(Calculator!B8=TRUE,Backdoors!BI28=TRUE),VLOOKUP(Calculator!E23,tbSkills!DH3:DJ6,3,FALSE),0),0)))/100)),1),1)</f>
        <v>0.4</v>
      </c>
      <c r="GA85" s="87">
        <f t="shared" si="76"/>
        <v>0</v>
      </c>
      <c r="GB85" s="86" t="str">
        <f>IFERROR(IF(VLOOKUP(A85,tbMoveset!A2:B112,2,FALSE)="Sever",Backdoors!AY29/100,IF(VLOOKUP(A85,tbMoveset!A2:B112,2,FALSE)="Blunt",Backdoors!AZ29/100,Backdoors!BA29/100)),"")</f>
        <v/>
      </c>
      <c r="GC85" s="49">
        <f>IFERROR(IF(VLOOKUP(tbMoveset!A85,tbMoveset!A2:H112,8,FALSE)="Other",IF(VLOOKUP(tbMoveset!A85,tbMoveset!A2:I112,9,FALSE)="Fire",Backdoors!BB29,IF(VLOOKUP(tbMoveset!A85,tbMoveset!A2:I112,9,FALSE)="Water",Backdoors!BC29,IF(VLOOKUP(tbMoveset!A85,tbMoveset!A2:I112,9,FALSE)="Thunder",Backdoors!BD29,IF(VLOOKUP(tbMoveset!A85,tbMoveset!A2:I112,9,FALSE)="Ice",Backdoors!BE29,IF(VLOOKUP(tbMoveset!A85,tbMoveset!A2:I112,9,FALSE)="Dragon",Backdoors!BF29,Backdoors!BG29)))))/100,Backdoors!BG29/100),"")</f>
        <v>0</v>
      </c>
      <c r="GD85" s="49">
        <f>IFERROR(IF(VLOOKUP(A85,tbMoveset!A2:J112,10,FALSE)=TRUE,IF((Backdoors!AI12+IF(GB85&gt;=0.45,VLOOKUP(Calculator!E23,tbSkills!DH3:DI6,2,FALSE)+IF(AND(Calculator!B8=TRUE,Backdoors!BI29=TRUE),VLOOKUP(Calculator!E23,tbSkills!DH3:DJ6,3,FALSE),0),0))&gt;=0,1+(Backdoors!AL2*(IF((Backdoors!AI12+IF(GB85&gt;=0.45,VLOOKUP(Calculator!E23,tbSkills!DH3:DI6,2,FALSE)+IF(AND(Calculator!B8=TRUE,Backdoors!BI29=TRUE),VLOOKUP(Calculator!E23,tbSkills!DH3:DJ6,3,FALSE),0),0))&gt;=100,100,(Backdoors!AI12+IF(GB85&gt;=0.45,VLOOKUP(Calculator!E23,tbSkills!DH3:DI6,2,FALSE)+IF(AND(Calculator!B8=TRUE,Backdoors!BI29=TRUE),VLOOKUP(Calculator!E23,tbSkills!DH3:DJ6,3,FALSE),0),0)))/100)),(1-(0.25*((-Backdoors!AI12-IF(GB85&gt;=0.45,VLOOKUP(Calculator!E23,tbSkills!DH3:DI6,2,FALSE)+IF(AND(Calculator!B8=TRUE,Backdoors!BI29=TRUE),VLOOKUP(Calculator!E23,tbSkills!DH3:DJ6,3,FALSE),0),0))/100)))),1),"")</f>
        <v>1</v>
      </c>
      <c r="GE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B85)*GD85)*(VLOOKUP(A85,tbMoveset!A2:C112,3,FALSE)/100)*IF(VLOOKUP(A85,tbMoveset!A2:B112,2,FALSE)="Projectile",Backdoors!N10,Backdoors!N9),0),"")</f>
        <v/>
      </c>
      <c r="GF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B85&gt;=0.45,VLOOKUP(Calculator!E23,tbSkills!DH3:DI6,2,FALSE)+IF(AND(Calculator!B8=TRUE,Backdoors!BI29=TRUE),VLOOKUP(Calculator!E23,tbSkills!DH3:DJ6,3,FALSE),0),0))&gt;=100,100,(Backdoors!AI12+IF(GB85&gt;=0.45,VLOOKUP(Calculator!E23,tbSkills!DH3:DI6,2,FALSE)+IF(AND(Calculator!B8=TRUE,Backdoors!BI29=TRUE),VLOOKUP(Calculator!E23,tbSkills!DH3:DJ6,3,FALSE),0),0)))/100)),1))*IF(VLOOKUP(A85,tbMoveset!A2:K112,11,FALSE)=TRUE,Backdoors!AC5,1))*GC85,0),"")</f>
        <v>0</v>
      </c>
      <c r="GG85" s="49">
        <f>VLOOKUP(A85,tbMoveset!A2:G112,7,FALSE)*IFERROR(IF(Backdoors!AI12&gt;=0,1+(IF(Calculator!E40&gt;0,VLOOKUP(Calculator!E40,tbSkills!AI3:AJ5,2,FALSE),Backdoors!AL4)*(IF((Backdoors!AI12+IF(GB85&gt;=0.45,VLOOKUP(Calculator!E23,tbSkills!DH3:DI6,2,FALSE)+IF(AND(Calculator!B8=TRUE,Backdoors!BI29=TRUE),VLOOKUP(Calculator!E23,tbSkills!DH3:DJ6,3,FALSE),0),0))&gt;=100,100,(Backdoors!AI12+IF(GB85&gt;=0.45,VLOOKUP(Calculator!E23,tbSkills!DH3:DI6,2,FALSE)+IF(AND(Calculator!B8=TRUE,Backdoors!BI29=TRUE),VLOOKUP(Calculator!E23,tbSkills!DH3:DJ6,3,FALSE),0),0)))/100)),1),1)</f>
        <v>0.4</v>
      </c>
      <c r="GH85" s="87">
        <f t="shared" si="77"/>
        <v>0</v>
      </c>
      <c r="GI85" s="86" t="str">
        <f>IFERROR(IF(VLOOKUP(A85,tbMoveset!A2:B112,2,FALSE)="Sever",Backdoors!AY30/100,IF(VLOOKUP(A85,tbMoveset!A2:B112,2,FALSE)="Blunt",Backdoors!AZ30/100,Backdoors!BA30/100)),"")</f>
        <v/>
      </c>
      <c r="GJ85" s="49">
        <f>IFERROR(IF(VLOOKUP(tbMoveset!A85,tbMoveset!A2:H112,8,FALSE)="Other",IF(VLOOKUP(tbMoveset!A85,tbMoveset!A2:I112,9,FALSE)="Fire",Backdoors!BB30,IF(VLOOKUP(tbMoveset!A85,tbMoveset!A2:I112,9,FALSE)="Water",Backdoors!BC30,IF(VLOOKUP(tbMoveset!A85,tbMoveset!A2:I112,9,FALSE)="Thunder",Backdoors!BD30,IF(VLOOKUP(tbMoveset!A85,tbMoveset!A2:I112,9,FALSE)="Ice",Backdoors!BE30,IF(VLOOKUP(tbMoveset!A85,tbMoveset!A2:I112,9,FALSE)="Dragon",Backdoors!BF30,Backdoors!BG30)))))/100,Backdoors!BG30/100),"")</f>
        <v>0</v>
      </c>
      <c r="GK85" s="49">
        <f>IFERROR(IF(VLOOKUP(A85,tbMoveset!A2:J112,10,FALSE)=TRUE,IF((Backdoors!AI12+IF(GI85&gt;=0.45,VLOOKUP(Calculator!E23,tbSkills!DH3:DI6,2,FALSE)+IF(AND(Calculator!B8=TRUE,Backdoors!BI30=TRUE),VLOOKUP(Calculator!E23,tbSkills!DH3:DJ6,3,FALSE),0),0))&gt;=0,1+(Backdoors!AL2*(IF((Backdoors!AI12+IF(GI85&gt;=0.45,VLOOKUP(Calculator!E23,tbSkills!DH3:DI6,2,FALSE)+IF(AND(Calculator!B8=TRUE,Backdoors!BI30=TRUE),VLOOKUP(Calculator!E23,tbSkills!DH3:DJ6,3,FALSE),0),0))&gt;=100,100,(Backdoors!AI12+IF(GI85&gt;=0.45,VLOOKUP(Calculator!E23,tbSkills!DH3:DI6,2,FALSE)+IF(AND(Calculator!B8=TRUE,Backdoors!BI30=TRUE),VLOOKUP(Calculator!E23,tbSkills!DH3:DJ6,3,FALSE),0),0)))/100)),(1-(0.25*((-Backdoors!AI12-IF(GI85&gt;=0.45,VLOOKUP(Calculator!E23,tbSkills!DH3:DI6,2,FALSE)+IF(AND(Calculator!B8=TRUE,Backdoors!BI30=TRUE),VLOOKUP(Calculator!E23,tbSkills!DH3:DJ6,3,FALSE),0),0))/100)))),1),"")</f>
        <v>1</v>
      </c>
      <c r="GL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I85)*GK85)*(VLOOKUP(A85,tbMoveset!A2:C112,3,FALSE)/100)*IF(VLOOKUP(A85,tbMoveset!A2:B112,2,FALSE)="Projectile",Backdoors!N10,Backdoors!N9),0),"")</f>
        <v/>
      </c>
      <c r="GM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I85&gt;=0.45,VLOOKUP(Calculator!E23,tbSkills!DH3:DI6,2,FALSE)+IF(AND(Calculator!B8=TRUE,Backdoors!BI30=TRUE),VLOOKUP(Calculator!E23,tbSkills!DH3:DJ6,3,FALSE),0),0))&gt;=100,100,(Backdoors!AI12+IF(GI85&gt;=0.45,VLOOKUP(Calculator!E23,tbSkills!DH3:DI6,2,FALSE)+IF(AND(Calculator!B8=TRUE,Backdoors!BI30=TRUE),VLOOKUP(Calculator!E23,tbSkills!DH3:DJ6,3,FALSE),0),0)))/100)),1))*IF(VLOOKUP(A85,tbMoveset!A2:K112,11,FALSE)=TRUE,Backdoors!AC5,1))*GJ85,0),"")</f>
        <v>0</v>
      </c>
      <c r="GN85" s="49">
        <f>VLOOKUP(A85,tbMoveset!A2:G112,7,FALSE)*IFERROR(IF(Backdoors!AI12&gt;=0,1+(IF(Calculator!E40&gt;0,VLOOKUP(Calculator!E40,tbSkills!AI3:AJ5,2,FALSE),Backdoors!AL4)*(IF((Backdoors!AI12+IF(GI85&gt;=0.45,VLOOKUP(Calculator!E23,tbSkills!DH3:DI6,2,FALSE)+IF(AND(Calculator!B8=TRUE,Backdoors!BI30=TRUE),VLOOKUP(Calculator!E23,tbSkills!DH3:DJ6,3,FALSE),0),0))&gt;=100,100,(Backdoors!AI12+IF(GI85&gt;=0.45,VLOOKUP(Calculator!E23,tbSkills!DH3:DI6,2,FALSE)+IF(AND(Calculator!B8=TRUE,Backdoors!BI30=TRUE),VLOOKUP(Calculator!E23,tbSkills!DH3:DJ6,3,FALSE),0),0)))/100)),1),1)</f>
        <v>0.4</v>
      </c>
      <c r="GO85" s="87">
        <f t="shared" si="78"/>
        <v>0</v>
      </c>
      <c r="GP85" s="86" t="str">
        <f>IFERROR(IF(VLOOKUP(A85,tbMoveset!A2:B112,2,FALSE)="Sever",Backdoors!AY31/100,IF(VLOOKUP(A85,tbMoveset!A2:B112,2,FALSE)="Blunt",Backdoors!AZ31/100,Backdoors!BA31/100)),"")</f>
        <v/>
      </c>
      <c r="GQ85" s="49">
        <f>IFERROR(IF(VLOOKUP(tbMoveset!A85,tbMoveset!A2:H112,8,FALSE)="Other",IF(VLOOKUP(tbMoveset!A85,tbMoveset!A2:I112,9,FALSE)="Fire",Backdoors!BB31,IF(VLOOKUP(tbMoveset!A85,tbMoveset!A2:I112,9,FALSE)="Water",Backdoors!BC31,IF(VLOOKUP(tbMoveset!A85,tbMoveset!A2:I112,9,FALSE)="Thunder",Backdoors!BD31,IF(VLOOKUP(tbMoveset!A85,tbMoveset!A2:I112,9,FALSE)="Ice",Backdoors!BE31,IF(VLOOKUP(tbMoveset!A85,tbMoveset!A2:I112,9,FALSE)="Dragon",Backdoors!BF31,Backdoors!BG31)))))/100,Backdoors!BG31/100),"")</f>
        <v>0</v>
      </c>
      <c r="GR85" s="49">
        <f>IFERROR(IF(VLOOKUP(A85,tbMoveset!A2:J112,10,FALSE)=TRUE,IF((Backdoors!AI12+IF(GP85&gt;=0.45,VLOOKUP(Calculator!E23,tbSkills!DH3:DI6,2,FALSE)+IF(AND(Calculator!B8=TRUE,Backdoors!BI31=TRUE),VLOOKUP(Calculator!E23,tbSkills!DH3:DJ6,3,FALSE),0),0))&gt;=0,1+(Backdoors!AL2*(IF((Backdoors!AI12+IF(GP85&gt;=0.45,VLOOKUP(Calculator!E23,tbSkills!DH3:DI6,2,FALSE)+IF(AND(Calculator!B8=TRUE,Backdoors!BI31=TRUE),VLOOKUP(Calculator!E23,tbSkills!DH3:DJ6,3,FALSE),0),0))&gt;=100,100,(Backdoors!AI12+IF(GP85&gt;=0.45,VLOOKUP(Calculator!E23,tbSkills!DH3:DI6,2,FALSE)+IF(AND(Calculator!B8=TRUE,Backdoors!BI31=TRUE),VLOOKUP(Calculator!E23,tbSkills!DH3:DJ6,3,FALSE),0),0)))/100)),(1-(0.25*((-Backdoors!AI12-IF(GP85&gt;=0.45,VLOOKUP(Calculator!E23,tbSkills!DH3:DI6,2,FALSE)+IF(AND(Calculator!B8=TRUE,Backdoors!BI31=TRUE),VLOOKUP(Calculator!E23,tbSkills!DH3:DJ6,3,FALSE),0),0))/100)))),1),"")</f>
        <v>1</v>
      </c>
      <c r="GS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P85)*GR85)*(VLOOKUP(A85,tbMoveset!A2:C112,3,FALSE)/100)*IF(VLOOKUP(A85,tbMoveset!A2:B112,2,FALSE)="Projectile",Backdoors!N10,Backdoors!N9),0),"")</f>
        <v/>
      </c>
      <c r="GT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P85&gt;=0.45,VLOOKUP(Calculator!E23,tbSkills!DH3:DI6,2,FALSE)+IF(AND(Calculator!B8=TRUE,Backdoors!BI31=TRUE),VLOOKUP(Calculator!E23,tbSkills!DH3:DJ6,3,FALSE),0),0))&gt;=100,100,(Backdoors!AI12+IF(GP85&gt;=0.45,VLOOKUP(Calculator!E23,tbSkills!DH3:DI6,2,FALSE)+IF(AND(Calculator!B8=TRUE,Backdoors!BI31=TRUE),VLOOKUP(Calculator!E23,tbSkills!DH3:DJ6,3,FALSE),0),0)))/100)),1))*IF(VLOOKUP(A85,tbMoveset!A2:K112,11,FALSE)=TRUE,Backdoors!AC5,1))*GQ85,0),"")</f>
        <v>0</v>
      </c>
      <c r="GU85" s="49">
        <f>VLOOKUP(A85,tbMoveset!A2:G112,7,FALSE)*IFERROR(IF(Backdoors!AI12&gt;=0,1+(IF(Calculator!E40&gt;0,VLOOKUP(Calculator!E40,tbSkills!AI3:AJ5,2,FALSE),Backdoors!AL4)*(IF((Backdoors!AI12+IF(GP85&gt;=0.45,VLOOKUP(Calculator!E23,tbSkills!DH3:DI6,2,FALSE)+IF(AND(Calculator!B8=TRUE,Backdoors!BI31=TRUE),VLOOKUP(Calculator!E23,tbSkills!DH3:DJ6,3,FALSE),0),0))&gt;=100,100,(Backdoors!AI12+IF(GP85&gt;=0.45,VLOOKUP(Calculator!E23,tbSkills!DH3:DI6,2,FALSE)+IF(AND(Calculator!B8=TRUE,Backdoors!BI31=TRUE),VLOOKUP(Calculator!E23,tbSkills!DH3:DJ6,3,FALSE),0),0)))/100)),1),1)</f>
        <v>0.4</v>
      </c>
      <c r="GV85" s="87">
        <f t="shared" si="79"/>
        <v>0</v>
      </c>
      <c r="GW85" s="86" t="str">
        <f>IFERROR(IF(VLOOKUP(A85,tbMoveset!A2:B112,2,FALSE)="Sever",Backdoors!AY32/100,IF(VLOOKUP(A85,tbMoveset!A2:B112,2,FALSE)="Blunt",Backdoors!AZ32/100,Backdoors!BA32/100)),"")</f>
        <v/>
      </c>
      <c r="GX85" s="49">
        <f>IFERROR(IF(VLOOKUP(tbMoveset!A85,tbMoveset!A2:H112,8,FALSE)="Other",IF(VLOOKUP(tbMoveset!A85,tbMoveset!A2:I112,9,FALSE)="Fire",Backdoors!BB32,IF(VLOOKUP(tbMoveset!A85,tbMoveset!A2:I112,9,FALSE)="Water",Backdoors!BC32,IF(VLOOKUP(tbMoveset!A85,tbMoveset!A2:I112,9,FALSE)="Thunder",Backdoors!BD32,IF(VLOOKUP(tbMoveset!A85,tbMoveset!A2:I112,9,FALSE)="Ice",Backdoors!BE32,IF(VLOOKUP(tbMoveset!A85,tbMoveset!A2:I112,9,FALSE)="Dragon",Backdoors!BF32,Backdoors!BG32)))))/100,Backdoors!BG32/100),"")</f>
        <v>0</v>
      </c>
      <c r="GY85" s="49">
        <f>IFERROR(IF(VLOOKUP(A85,tbMoveset!A2:J112,10,FALSE)=TRUE,IF((Backdoors!AI12+IF(GW85&gt;=0.45,VLOOKUP(Calculator!E23,tbSkills!DH3:DI6,2,FALSE)+IF(AND(Calculator!B8=TRUE,Backdoors!BI32=TRUE),VLOOKUP(Calculator!E23,tbSkills!DH3:DJ6,3,FALSE),0),0))&gt;=0,1+(Backdoors!AL2*(IF((Backdoors!AI12+IF(GW85&gt;=0.45,VLOOKUP(Calculator!E23,tbSkills!DH3:DI6,2,FALSE)+IF(AND(Calculator!B8=TRUE,Backdoors!BI32=TRUE),VLOOKUP(Calculator!E23,tbSkills!DH3:DJ6,3,FALSE),0),0))&gt;=100,100,(Backdoors!AI12+IF(GW85&gt;=0.45,VLOOKUP(Calculator!E23,tbSkills!DH3:DI6,2,FALSE)+IF(AND(Calculator!B8=TRUE,Backdoors!BI32=TRUE),VLOOKUP(Calculator!E23,tbSkills!DH3:DJ6,3,FALSE),0),0)))/100)),(1-(0.25*((-Backdoors!AI12-IF(GW85&gt;=0.45,VLOOKUP(Calculator!E23,tbSkills!DH3:DI6,2,FALSE)+IF(AND(Calculator!B8=TRUE,Backdoors!BI32=TRUE),VLOOKUP(Calculator!E23,tbSkills!DH3:DJ6,3,FALSE),0),0))/100)))),1),"")</f>
        <v>1</v>
      </c>
      <c r="GZ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W85)*GY85)*(VLOOKUP(A85,tbMoveset!A2:C112,3,FALSE)/100)*IF(VLOOKUP(A85,tbMoveset!A2:B112,2,FALSE)="Projectile",Backdoors!N10,Backdoors!N9),0),"")</f>
        <v/>
      </c>
      <c r="HA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W85&gt;=0.45,VLOOKUP(Calculator!E23,tbSkills!DH3:DI6,2,FALSE)+IF(AND(Calculator!B8=TRUE,Backdoors!BI32=TRUE),VLOOKUP(Calculator!E23,tbSkills!DH3:DJ6,3,FALSE),0),0))&gt;=100,100,(Backdoors!AI12+IF(GW85&gt;=0.45,VLOOKUP(Calculator!E23,tbSkills!DH3:DI6,2,FALSE)+IF(AND(Calculator!B8=TRUE,Backdoors!BI32=TRUE),VLOOKUP(Calculator!E23,tbSkills!DH3:DJ6,3,FALSE),0),0)))/100)),1))*IF(VLOOKUP(A85,tbMoveset!A2:K112,11,FALSE)=TRUE,Backdoors!AC5,1))*GX85,0),"")</f>
        <v>0</v>
      </c>
      <c r="HB85" s="49">
        <f>VLOOKUP(A85,tbMoveset!A2:G112,7,FALSE)*IFERROR(IF(Backdoors!AI12&gt;=0,1+(IF(Calculator!E40&gt;0,VLOOKUP(Calculator!E40,tbSkills!AI3:AJ5,2,FALSE),Backdoors!AL4)*(IF((Backdoors!AI12+IF(GW85&gt;=0.45,VLOOKUP(Calculator!E23,tbSkills!DH3:DI6,2,FALSE)+IF(AND(Calculator!B8=TRUE,Backdoors!BI32=TRUE),VLOOKUP(Calculator!E23,tbSkills!DH3:DJ6,3,FALSE),0),0))&gt;=100,100,(Backdoors!AI12+IF(GW85&gt;=0.45,VLOOKUP(Calculator!E23,tbSkills!DH3:DI6,2,FALSE)+IF(AND(Calculator!B8=TRUE,Backdoors!BI32=TRUE),VLOOKUP(Calculator!E23,tbSkills!DH3:DJ6,3,FALSE),0),0)))/100)),1),1)</f>
        <v>0.4</v>
      </c>
      <c r="HC85" s="87">
        <f t="shared" si="80"/>
        <v>0</v>
      </c>
      <c r="HD85" s="86" t="str">
        <f>IFERROR(IF(VLOOKUP(A85,tbMoveset!A2:B112,2,FALSE)="Sever",Backdoors!AY33/100,IF(VLOOKUP(A85,tbMoveset!A2:B112,2,FALSE)="Blunt",Backdoors!AZ33/100,Backdoors!BA33/100)),"")</f>
        <v/>
      </c>
      <c r="HE85" s="49">
        <f>IFERROR(IF(VLOOKUP(tbMoveset!A85,tbMoveset!A2:H112,8,FALSE)="Other",IF(VLOOKUP(tbMoveset!A85,tbMoveset!A2:I112,9,FALSE)="Fire",Backdoors!BB33,IF(VLOOKUP(tbMoveset!A85,tbMoveset!A2:I112,9,FALSE)="Water",Backdoors!BC33,IF(VLOOKUP(tbMoveset!A85,tbMoveset!A2:I112,9,FALSE)="Thunder",Backdoors!BD33,IF(VLOOKUP(tbMoveset!A85,tbMoveset!A2:I112,9,FALSE)="Ice",Backdoors!BE33,IF(VLOOKUP(tbMoveset!A85,tbMoveset!A2:I112,9,FALSE)="Dragon",Backdoors!BF33,Backdoors!BG33)))))/100,Backdoors!BG33/100),"")</f>
        <v>0</v>
      </c>
      <c r="HF85" s="49">
        <f>IFERROR(IF(VLOOKUP(A85,tbMoveset!A2:J112,10,FALSE)=TRUE,IF((Backdoors!AI12+IF(HD85&gt;=0.45,VLOOKUP(Calculator!E23,tbSkills!DH3:DI6,2,FALSE)+IF(AND(Calculator!B8=TRUE,Backdoors!BI33=TRUE),VLOOKUP(Calculator!E23,tbSkills!DH3:DJ6,3,FALSE),0),0))&gt;=0,1+(Backdoors!AL2*(IF((Backdoors!AI12+IF(HD85&gt;=0.45,VLOOKUP(Calculator!E23,tbSkills!DH3:DI6,2,FALSE)+IF(AND(Calculator!B8=TRUE,Backdoors!BI33=TRUE),VLOOKUP(Calculator!E23,tbSkills!DH3:DJ6,3,FALSE),0),0))&gt;=100,100,(Backdoors!AI12+IF(HD85&gt;=0.45,VLOOKUP(Calculator!E23,tbSkills!DH3:DI6,2,FALSE)+IF(AND(Calculator!B8=TRUE,Backdoors!BI33=TRUE),VLOOKUP(Calculator!E23,tbSkills!DH3:DJ6,3,FALSE),0),0)))/100)),(1-(0.25*((-Backdoors!AI12-IF(HD85&gt;=0.45,VLOOKUP(Calculator!E23,tbSkills!DH3:DI6,2,FALSE)+IF(AND(Calculator!B8=TRUE,Backdoors!BI33=TRUE),VLOOKUP(Calculator!E23,tbSkills!DH3:DJ6,3,FALSE),0),0))/100)))),1),"")</f>
        <v>1</v>
      </c>
      <c r="HG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D85)*HF85)*(VLOOKUP(A85,tbMoveset!A2:C112,3,FALSE)/100)*IF(VLOOKUP(A85,tbMoveset!A2:B112,2,FALSE)="Projectile",Backdoors!N10,Backdoors!N9),0),"")</f>
        <v/>
      </c>
      <c r="HH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D85&gt;=0.45,VLOOKUP(Calculator!E23,tbSkills!DH3:DI6,2,FALSE)+IF(AND(Calculator!B8=TRUE,Backdoors!BI33=TRUE),VLOOKUP(Calculator!E23,tbSkills!DH3:DJ6,3,FALSE),0),0))&gt;=100,100,(Backdoors!AI12+IF(HD85&gt;=0.45,VLOOKUP(Calculator!E23,tbSkills!DH3:DI6,2,FALSE)+IF(AND(Calculator!B8=TRUE,Backdoors!BI33=TRUE),VLOOKUP(Calculator!E23,tbSkills!DH3:DJ6,3,FALSE),0),0)))/100)),1))*IF(VLOOKUP(A85,tbMoveset!A2:K112,11,FALSE)=TRUE,Backdoors!AC5,1))*HE85,0),"")</f>
        <v>0</v>
      </c>
      <c r="HI85" s="49">
        <f>VLOOKUP(A85,tbMoveset!A2:G112,7,FALSE)*IFERROR(IF(Backdoors!AI12&gt;=0,1+(IF(Calculator!E40&gt;0,VLOOKUP(Calculator!E40,tbSkills!AI3:AJ5,2,FALSE),Backdoors!AL4)*(IF((Backdoors!AI12+IF(HD85&gt;=0.45,VLOOKUP(Calculator!E23,tbSkills!DH3:DI6,2,FALSE)+IF(AND(Calculator!B8=TRUE,Backdoors!BI33=TRUE),VLOOKUP(Calculator!E23,tbSkills!DH3:DJ6,3,FALSE),0),0))&gt;=100,100,(Backdoors!AI12+IF(HD85&gt;=0.45,VLOOKUP(Calculator!E23,tbSkills!DH3:DI6,2,FALSE)+IF(AND(Calculator!B8=TRUE,Backdoors!BI33=TRUE),VLOOKUP(Calculator!E23,tbSkills!DH3:DJ6,3,FALSE),0),0)))/100)),1),1)</f>
        <v>0.4</v>
      </c>
      <c r="HJ85" s="87">
        <f t="shared" si="81"/>
        <v>0</v>
      </c>
      <c r="HK85" s="86" t="str">
        <f>IFERROR(IF(VLOOKUP(A85,tbMoveset!A2:B112,2,FALSE)="Sever",Backdoors!AY34/100,IF(VLOOKUP(A85,tbMoveset!A2:B112,2,FALSE)="Blunt",Backdoors!AZ34/100,Backdoors!BA34/100)),"")</f>
        <v/>
      </c>
      <c r="HL85" s="49">
        <f>IFERROR(IF(VLOOKUP(tbMoveset!A85,tbMoveset!A2:H112,8,FALSE)="Other",IF(VLOOKUP(tbMoveset!A85,tbMoveset!A2:I112,9,FALSE)="Fire",Backdoors!BB34,IF(VLOOKUP(tbMoveset!A85,tbMoveset!A2:I112,9,FALSE)="Water",Backdoors!BC34,IF(VLOOKUP(tbMoveset!A85,tbMoveset!A2:I112,9,FALSE)="Thunder",Backdoors!BD34,IF(VLOOKUP(tbMoveset!A85,tbMoveset!A2:I112,9,FALSE)="Ice",Backdoors!BE34,IF(VLOOKUP(tbMoveset!A85,tbMoveset!A2:I112,9,FALSE)="Dragon",Backdoors!BF34,Backdoors!BG34)))))/100,Backdoors!BG34/100),"")</f>
        <v>0</v>
      </c>
      <c r="HM85" s="49">
        <f>IFERROR(IF(VLOOKUP(A85,tbMoveset!A2:J112,10,FALSE)=TRUE,IF((Backdoors!AI12+IF(HK85&gt;=0.45,VLOOKUP(Calculator!E23,tbSkills!DH3:DI6,2,FALSE)+IF(AND(Calculator!B8=TRUE,Backdoors!BI34=TRUE),VLOOKUP(Calculator!E23,tbSkills!DH3:DJ6,3,FALSE),0),0))&gt;=0,1+(Backdoors!AL2*(IF((Backdoors!AI12+IF(HK85&gt;=0.45,VLOOKUP(Calculator!E23,tbSkills!DH3:DI6,2,FALSE)+IF(AND(Calculator!B8=TRUE,Backdoors!BI34=TRUE),VLOOKUP(Calculator!E23,tbSkills!DH3:DJ6,3,FALSE),0),0))&gt;=100,100,(Backdoors!AI12+IF(HK85&gt;=0.45,VLOOKUP(Calculator!E23,tbSkills!DH3:DI6,2,FALSE)+IF(AND(Calculator!B8=TRUE,Backdoors!BI34=TRUE),VLOOKUP(Calculator!E23,tbSkills!DH3:DJ6,3,FALSE),0),0)))/100)),(1-(0.25*((-Backdoors!AI12-IF(HK85&gt;=0.45,VLOOKUP(Calculator!E23,tbSkills!DH3:DI6,2,FALSE)+IF(AND(Calculator!B8=TRUE,Backdoors!BI34=TRUE),VLOOKUP(Calculator!E23,tbSkills!DH3:DJ6,3,FALSE),0),0))/100)))),1),"")</f>
        <v>1</v>
      </c>
      <c r="HN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K85)*HM85)*(VLOOKUP(A85,tbMoveset!A2:C112,3,FALSE)/100)*IF(VLOOKUP(A85,tbMoveset!A2:B112,2,FALSE)="Projectile",Backdoors!N10,Backdoors!N9),0),"")</f>
        <v/>
      </c>
      <c r="HO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K85&gt;=0.45,VLOOKUP(Calculator!E23,tbSkills!DH3:DI6,2,FALSE)+IF(AND(Calculator!B8=TRUE,Backdoors!BI34=TRUE),VLOOKUP(Calculator!E23,tbSkills!DH3:DJ6,3,FALSE),0),0))&gt;=100,100,(Backdoors!AI12+IF(HK85&gt;=0.45,VLOOKUP(Calculator!E23,tbSkills!DH3:DI6,2,FALSE)+IF(AND(Calculator!B8=TRUE,Backdoors!BI34=TRUE),VLOOKUP(Calculator!E23,tbSkills!DH3:DJ6,3,FALSE),0),0)))/100)),1))*IF(VLOOKUP(A85,tbMoveset!A2:K112,11,FALSE)=TRUE,Backdoors!AC5,1))*HL85,0),"")</f>
        <v>0</v>
      </c>
      <c r="HP85" s="49">
        <f>VLOOKUP(A85,tbMoveset!A2:G112,7,FALSE)*IFERROR(IF(Backdoors!AI12&gt;=0,1+(IF(Calculator!E40&gt;0,VLOOKUP(Calculator!E40,tbSkills!AI3:AJ5,2,FALSE),Backdoors!AL4)*(IF((Backdoors!AI12+IF(HK85&gt;=0.45,VLOOKUP(Calculator!E23,tbSkills!DH3:DI6,2,FALSE)+IF(AND(Calculator!B8=TRUE,Backdoors!BI34=TRUE),VLOOKUP(Calculator!E23,tbSkills!DH3:DJ6,3,FALSE),0),0))&gt;=100,100,(Backdoors!AI12+IF(HK85&gt;=0.45,VLOOKUP(Calculator!E23,tbSkills!DH3:DI6,2,FALSE)+IF(AND(Calculator!B8=TRUE,Backdoors!BI34=TRUE),VLOOKUP(Calculator!E23,tbSkills!DH3:DJ6,3,FALSE),0),0)))/100)),1),1)</f>
        <v>0.4</v>
      </c>
      <c r="HQ85" s="87">
        <f t="shared" si="82"/>
        <v>0</v>
      </c>
      <c r="HR85" s="86" t="str">
        <f>IFERROR(IF(VLOOKUP(A85,tbMoveset!A2:B112,2,FALSE)="Sever",Backdoors!AY35/100,IF(VLOOKUP(A85,tbMoveset!A2:B112,2,FALSE)="Blunt",Backdoors!AZ35/100,Backdoors!BA35/100)),"")</f>
        <v/>
      </c>
      <c r="HS85" s="49">
        <f>IFERROR(IF(VLOOKUP(tbMoveset!A85,tbMoveset!A2:H112,8,FALSE)="Other",IF(VLOOKUP(tbMoveset!A85,tbMoveset!A2:I112,9,FALSE)="Fire",Backdoors!BB35,IF(VLOOKUP(tbMoveset!A85,tbMoveset!A2:I112,9,FALSE)="Water",Backdoors!BC35,IF(VLOOKUP(tbMoveset!A85,tbMoveset!A2:I112,9,FALSE)="Thunder",Backdoors!BD35,IF(VLOOKUP(tbMoveset!A85,tbMoveset!A2:I112,9,FALSE)="Ice",Backdoors!BE35,IF(VLOOKUP(tbMoveset!A85,tbMoveset!A2:I112,9,FALSE)="Dragon",Backdoors!BF35,Backdoors!BG35)))))/100,Backdoors!BG35/100),"")</f>
        <v>0</v>
      </c>
      <c r="HT85" s="49">
        <f>IFERROR(IF(VLOOKUP(A85,tbMoveset!A2:J112,10,FALSE)=TRUE,IF((Backdoors!AI12+IF(HR85&gt;=0.45,VLOOKUP(Calculator!E23,tbSkills!DH3:DI6,2,FALSE)+IF(AND(Calculator!B8=TRUE,Backdoors!BI35=TRUE),VLOOKUP(Calculator!E23,tbSkills!DH3:DJ6,3,FALSE),0),0))&gt;=0,1+(Backdoors!AL2*(IF((Backdoors!AI12+IF(HR85&gt;=0.45,VLOOKUP(Calculator!E23,tbSkills!DH3:DI6,2,FALSE)+IF(AND(Calculator!B8=TRUE,Backdoors!BI35=TRUE),VLOOKUP(Calculator!E23,tbSkills!DH3:DJ6,3,FALSE),0),0))&gt;=100,100,(Backdoors!AI12+IF(HR85&gt;=0.45,VLOOKUP(Calculator!E23,tbSkills!DH3:DI6,2,FALSE)+IF(AND(Calculator!B8=TRUE,Backdoors!BI35=TRUE),VLOOKUP(Calculator!E23,tbSkills!DH3:DJ6,3,FALSE),0),0)))/100)),(1-(0.25*((-Backdoors!AI12-IF(HR85&gt;=0.45,VLOOKUP(Calculator!E23,tbSkills!DH3:DI6,2,FALSE)+IF(AND(Calculator!B8=TRUE,Backdoors!BI35=TRUE),VLOOKUP(Calculator!E23,tbSkills!DH3:DJ6,3,FALSE),0),0))/100)))),1),"")</f>
        <v>1</v>
      </c>
      <c r="HU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R85)*HT85)*(VLOOKUP(A85,tbMoveset!A2:C112,3,FALSE)/100)*IF(VLOOKUP(A85,tbMoveset!A2:B112,2,FALSE)="Projectile",Backdoors!N10,Backdoors!N9),0),"")</f>
        <v/>
      </c>
      <c r="HV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R85&gt;=0.45,VLOOKUP(Calculator!E23,tbSkills!DH3:DI6,2,FALSE)+IF(AND(Calculator!B8=TRUE,Backdoors!BI35=TRUE),VLOOKUP(Calculator!E23,tbSkills!DH3:DJ6,3,FALSE),0),0))&gt;=100,100,(Backdoors!AI12+IF(HR85&gt;=0.45,VLOOKUP(Calculator!E23,tbSkills!DH3:DI6,2,FALSE)+IF(AND(Calculator!B8=TRUE,Backdoors!BI35=TRUE),VLOOKUP(Calculator!E23,tbSkills!DH3:DJ6,3,FALSE),0),0)))/100)),1))*IF(VLOOKUP(A85,tbMoveset!A2:K112,11,FALSE)=TRUE,Backdoors!AC5,1))*HS85,0),"")</f>
        <v>0</v>
      </c>
      <c r="HW85" s="49">
        <f>VLOOKUP(A85,tbMoveset!A2:G112,7,FALSE)*IFERROR(IF(Backdoors!AI12&gt;=0,1+(IF(Calculator!E40&gt;0,VLOOKUP(Calculator!E40,tbSkills!AI3:AJ5,2,FALSE),Backdoors!AL4)*(IF((Backdoors!AI12+IF(HR85&gt;=0.45,VLOOKUP(Calculator!E23,tbSkills!DH3:DI6,2,FALSE)+IF(AND(Calculator!B8=TRUE,Backdoors!BI35=TRUE),VLOOKUP(Calculator!E23,tbSkills!DH3:DJ6,3,FALSE),0),0))&gt;=100,100,(Backdoors!AI12+IF(HR85&gt;=0.45,VLOOKUP(Calculator!E23,tbSkills!DH3:DI6,2,FALSE)+IF(AND(Calculator!B8=TRUE,Backdoors!BI35=TRUE),VLOOKUP(Calculator!E23,tbSkills!DH3:DJ6,3,FALSE),0),0)))/100)),1),1)</f>
        <v>0.4</v>
      </c>
      <c r="HX85" s="87">
        <f t="shared" si="83"/>
        <v>0</v>
      </c>
      <c r="HY85" s="86" t="str">
        <f>IFERROR(IF(VLOOKUP(A85,tbMoveset!A2:B112,2,FALSE)="Sever",Backdoors!AY36/100,IF(VLOOKUP(A85,tbMoveset!A2:B112,2,FALSE)="Blunt",Backdoors!AZ36/100,Backdoors!BA36/100)),"")</f>
        <v/>
      </c>
      <c r="HZ85" s="49">
        <f>IFERROR(IF(VLOOKUP(tbMoveset!A85,tbMoveset!A2:H112,8,FALSE)="Other",IF(VLOOKUP(tbMoveset!A85,tbMoveset!A2:I112,9,FALSE)="Fire",Backdoors!BB36,IF(VLOOKUP(tbMoveset!A85,tbMoveset!A2:I112,9,FALSE)="Water",Backdoors!BC36,IF(VLOOKUP(tbMoveset!A85,tbMoveset!A2:I112,9,FALSE)="Thunder",Backdoors!BD36,IF(VLOOKUP(tbMoveset!A85,tbMoveset!A2:I112,9,FALSE)="Ice",Backdoors!BE36,IF(VLOOKUP(tbMoveset!A85,tbMoveset!A2:I112,9,FALSE)="Dragon",Backdoors!BF36,Backdoors!BG36)))))/100,Backdoors!BG36/100),"")</f>
        <v>0</v>
      </c>
      <c r="IA85" s="49">
        <f>IFERROR(IF(VLOOKUP(A85,tbMoveset!A2:J112,10,FALSE)=TRUE,IF((Backdoors!AI12+IF(HY85&gt;=0.45,VLOOKUP(Calculator!E23,tbSkills!DH3:DI6,2,FALSE)+IF(AND(Calculator!B8=TRUE,Backdoors!BI36=TRUE),VLOOKUP(Calculator!E23,tbSkills!DH3:DJ6,3,FALSE),0),0))&gt;=0,1+(Backdoors!AL2*(IF((Backdoors!AI12+IF(HY85&gt;=0.45,VLOOKUP(Calculator!E23,tbSkills!DH3:DI6,2,FALSE)+IF(AND(Calculator!B8=TRUE,Backdoors!BI36=TRUE),VLOOKUP(Calculator!E23,tbSkills!DH3:DJ6,3,FALSE),0),0))&gt;=100,100,(Backdoors!AI12+IF(HY85&gt;=0.45,VLOOKUP(Calculator!E23,tbSkills!DH3:DI6,2,FALSE)+IF(AND(Calculator!B8=TRUE,Backdoors!BI36=TRUE),VLOOKUP(Calculator!E23,tbSkills!DH3:DJ6,3,FALSE),0),0)))/100)),(1-(0.25*((-Backdoors!AI12-IF(HY85&gt;=0.45,VLOOKUP(Calculator!E23,tbSkills!DH3:DI6,2,FALSE)+IF(AND(Calculator!B8=TRUE,Backdoors!BI36=TRUE),VLOOKUP(Calculator!E23,tbSkills!DH3:DJ6,3,FALSE),0),0))/100)))),1),"")</f>
        <v>1</v>
      </c>
      <c r="IB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Y85)*IA85)*(VLOOKUP(A85,tbMoveset!A2:C112,3,FALSE)/100)*IF(VLOOKUP(A85,tbMoveset!A2:B112,2,FALSE)="Projectile",Backdoors!N10,Backdoors!N9),0),"")</f>
        <v/>
      </c>
      <c r="IC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Y85&gt;=0.45,VLOOKUP(Calculator!E23,tbSkills!DH3:DI6,2,FALSE)+IF(AND(Calculator!B8=TRUE,Backdoors!BI36=TRUE),VLOOKUP(Calculator!E23,tbSkills!DH3:DJ6,3,FALSE),0),0))&gt;=100,100,(Backdoors!AI12+IF(HY85&gt;=0.45,VLOOKUP(Calculator!E23,tbSkills!DH3:DI6,2,FALSE)+IF(AND(Calculator!B8=TRUE,Backdoors!BI36=TRUE),VLOOKUP(Calculator!E23,tbSkills!DH3:DJ6,3,FALSE),0),0)))/100)),1))*IF(VLOOKUP(A85,tbMoveset!A2:K112,11,FALSE)=TRUE,Backdoors!AC5,1))*HZ85,0),"")</f>
        <v>0</v>
      </c>
      <c r="ID85" s="49">
        <f>VLOOKUP(A85,tbMoveset!A2:G112,7,FALSE)*IFERROR(IF(Backdoors!AI12&gt;=0,1+(IF(Calculator!E40&gt;0,VLOOKUP(Calculator!E40,tbSkills!AI3:AJ5,2,FALSE),Backdoors!AL4)*(IF((Backdoors!AI12+IF(HY85&gt;=0.45,VLOOKUP(Calculator!E23,tbSkills!DH3:DI6,2,FALSE)+IF(AND(Calculator!B8=TRUE,Backdoors!BI36=TRUE),VLOOKUP(Calculator!E23,tbSkills!DH3:DJ6,3,FALSE),0),0))&gt;=100,100,(Backdoors!AI12+IF(HY85&gt;=0.45,VLOOKUP(Calculator!E23,tbSkills!DH3:DI6,2,FALSE)+IF(AND(Calculator!B8=TRUE,Backdoors!BI36=TRUE),VLOOKUP(Calculator!E23,tbSkills!DH3:DJ6,3,FALSE),0),0)))/100)),1),1)</f>
        <v>0.4</v>
      </c>
      <c r="IE85" s="87">
        <f t="shared" si="84"/>
        <v>0</v>
      </c>
      <c r="IF85" s="86" t="str">
        <f>IFERROR(IF(VLOOKUP(A85,tbMoveset!A2:B112,2,FALSE)="Sever",Backdoors!AY37/100,IF(VLOOKUP(A85,tbMoveset!A2:B112,2,FALSE)="Blunt",Backdoors!AZ37/100,Backdoors!BA37/100)),"")</f>
        <v/>
      </c>
      <c r="IG85" s="49">
        <f>IFERROR(IF(VLOOKUP(tbMoveset!A85,tbMoveset!A2:H112,8,FALSE)="Other",IF(VLOOKUP(tbMoveset!A85,tbMoveset!A2:I112,9,FALSE)="Fire",Backdoors!BB37,IF(VLOOKUP(tbMoveset!A85,tbMoveset!A2:I112,9,FALSE)="Water",Backdoors!BC37,IF(VLOOKUP(tbMoveset!A85,tbMoveset!A2:I112,9,FALSE)="Thunder",Backdoors!BD37,IF(VLOOKUP(tbMoveset!A85,tbMoveset!A2:I112,9,FALSE)="Ice",Backdoors!BE37,IF(VLOOKUP(tbMoveset!A85,tbMoveset!A2:I112,9,FALSE)="Dragon",Backdoors!BF37,Backdoors!BG37)))))/100,Backdoors!BG37/100),"")</f>
        <v>0</v>
      </c>
      <c r="IH85" s="49">
        <f>IFERROR(IF(VLOOKUP(A85,tbMoveset!A2:J112,10,FALSE)=TRUE,IF((Backdoors!AI12+IF(IF85&gt;=0.45,VLOOKUP(Calculator!E23,tbSkills!DH3:DI6,2,FALSE)+IF(AND(Calculator!B8=TRUE,Backdoors!BI37=TRUE),VLOOKUP(Calculator!E23,tbSkills!DH3:DJ6,3,FALSE),0),0))&gt;=0,1+(Backdoors!AL2*(IF((Backdoors!AI12+IF(IF85&gt;=0.45,VLOOKUP(Calculator!E23,tbSkills!DH3:DI6,2,FALSE)+IF(AND(Calculator!B8=TRUE,Backdoors!BI37=TRUE),VLOOKUP(Calculator!E23,tbSkills!DH3:DJ6,3,FALSE),0),0))&gt;=100,100,(Backdoors!AI12+IF(IF85&gt;=0.45,VLOOKUP(Calculator!E23,tbSkills!DH3:DI6,2,FALSE)+IF(AND(Calculator!B8=TRUE,Backdoors!BI37=TRUE),VLOOKUP(Calculator!E23,tbSkills!DH3:DJ6,3,FALSE),0),0)))/100)),(1-(0.25*((-Backdoors!AI12-IF(IF85&gt;=0.45,VLOOKUP(Calculator!E23,tbSkills!DH3:DI6,2,FALSE)+IF(AND(Calculator!B8=TRUE,Backdoors!BI37=TRUE),VLOOKUP(Calculator!E23,tbSkills!DH3:DJ6,3,FALSE),0),0))/100)))),1),"")</f>
        <v>1</v>
      </c>
      <c r="II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F85)*IH85)*(VLOOKUP(A85,tbMoveset!A2:C112,3,FALSE)/100)*IF(VLOOKUP(A85,tbMoveset!A2:B112,2,FALSE)="Projectile",Backdoors!N10,Backdoors!N9),0),"")</f>
        <v/>
      </c>
      <c r="IJ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IF85&gt;=0.45,VLOOKUP(Calculator!E23,tbSkills!DH3:DI6,2,FALSE)+IF(AND(Calculator!B8=TRUE,Backdoors!BI37=TRUE),VLOOKUP(Calculator!E23,tbSkills!DH3:DJ6,3,FALSE),0),0))&gt;=100,100,(Backdoors!AI12+IF(IF85&gt;=0.45,VLOOKUP(Calculator!E23,tbSkills!DH3:DI6,2,FALSE)+IF(AND(Calculator!B8=TRUE,Backdoors!BI37=TRUE),VLOOKUP(Calculator!E23,tbSkills!DH3:DJ6,3,FALSE),0),0)))/100)),1))*IF(VLOOKUP(A85,tbMoveset!A2:K112,11,FALSE)=TRUE,Backdoors!AC5,1))*IG85,0),"")</f>
        <v>0</v>
      </c>
      <c r="IK85" s="49">
        <f>VLOOKUP(A85,tbMoveset!A2:G112,7,FALSE)*IFERROR(IF(Backdoors!AI12&gt;=0,1+(IF(Calculator!E40&gt;0,VLOOKUP(Calculator!E40,tbSkills!AI3:AJ5,2,FALSE),Backdoors!AL4)*(IF((Backdoors!AI12+IF(IF85&gt;=0.45,VLOOKUP(Calculator!E23,tbSkills!DH3:DI6,2,FALSE)+IF(AND(Calculator!B8=TRUE,Backdoors!BI37=TRUE),VLOOKUP(Calculator!E23,tbSkills!DH3:DJ6,3,FALSE),0),0))&gt;=100,100,(Backdoors!AI12+IF(IF85&gt;=0.45,VLOOKUP(Calculator!E23,tbSkills!DH3:DI6,2,FALSE)+IF(AND(Calculator!B8=TRUE,Backdoors!BI37=TRUE),VLOOKUP(Calculator!E23,tbSkills!DH3:DJ6,3,FALSE),0),0)))/100)),1),1)</f>
        <v>0.4</v>
      </c>
      <c r="IL85" s="87">
        <f t="shared" si="85"/>
        <v>0</v>
      </c>
      <c r="IM85" s="86" t="str">
        <f>IFERROR(IF(VLOOKUP(A85,tbMoveset!A2:B112,2,FALSE)="Sever",Backdoors!AY38/100,IF(VLOOKUP(A85,tbMoveset!A2:B112,2,FALSE)="Blunt",Backdoors!AZ38/100,Backdoors!BA38/100)),"")</f>
        <v/>
      </c>
      <c r="IN85" s="49">
        <f>IFERROR(IF(VLOOKUP(tbMoveset!A85,tbMoveset!A2:H112,8,FALSE)="Other",IF(VLOOKUP(tbMoveset!A85,tbMoveset!A2:I112,9,FALSE)="Fire",Backdoors!BB38,IF(VLOOKUP(tbMoveset!A85,tbMoveset!A2:I112,9,FALSE)="Water",Backdoors!BC38,IF(VLOOKUP(tbMoveset!A85,tbMoveset!A2:I112,9,FALSE)="Thunder",Backdoors!BD38,IF(VLOOKUP(tbMoveset!A85,tbMoveset!A2:I112,9,FALSE)="Ice",Backdoors!BE38,IF(VLOOKUP(tbMoveset!A85,tbMoveset!A2:I112,9,FALSE)="Dragon",Backdoors!BF38,Backdoors!BG38)))))/100,Backdoors!BG38/100),"")</f>
        <v>0</v>
      </c>
      <c r="IO85" s="49">
        <f>IFERROR(IF(VLOOKUP(A85,tbMoveset!A2:J112,10,FALSE)=TRUE,IF((Backdoors!AI12+IF(IM85&gt;=0.45,VLOOKUP(Calculator!E23,tbSkills!DH3:DI6,2,FALSE)+IF(AND(Calculator!B8=TRUE,Backdoors!BI38=TRUE),VLOOKUP(Calculator!E23,tbSkills!DH3:DJ6,3,FALSE),0),0))&gt;=0,1+(Backdoors!AL2*(IF((Backdoors!AI12+IF(IM85&gt;=0.45,VLOOKUP(Calculator!E23,tbSkills!DH3:DI6,2,FALSE)+IF(AND(Calculator!B8=TRUE,Backdoors!BI38=TRUE),VLOOKUP(Calculator!E23,tbSkills!DH3:DJ6,3,FALSE),0),0))&gt;=100,100,(Backdoors!AI12+IF(IM85&gt;=0.45,VLOOKUP(Calculator!E23,tbSkills!DH3:DI6,2,FALSE)+IF(AND(Calculator!B8=TRUE,Backdoors!BI38=TRUE),VLOOKUP(Calculator!E23,tbSkills!DH3:DJ6,3,FALSE),0),0)))/100)),(1-(0.25*((-Backdoors!AI12-IF(IM85&gt;=0.45,VLOOKUP(Calculator!E23,tbSkills!DH3:DI6,2,FALSE)+IF(AND(Calculator!B8=TRUE,Backdoors!BI38=TRUE),VLOOKUP(Calculator!E23,tbSkills!DH3:DJ6,3,FALSE),0),0))/100)))),1),"")</f>
        <v>1</v>
      </c>
      <c r="IP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M85)*IO85)*(VLOOKUP(A85,tbMoveset!A2:C112,3,FALSE)/100)*IF(VLOOKUP(A85,tbMoveset!A2:B112,2,FALSE)="Projectile",Backdoors!N10,Backdoors!N9),0),"")</f>
        <v/>
      </c>
      <c r="IQ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IM85&gt;=0.45,VLOOKUP(Calculator!E23,tbSkills!DH3:DI6,2,FALSE)+IF(AND(Calculator!B8=TRUE,Backdoors!BI38=TRUE),VLOOKUP(Calculator!E23,tbSkills!DH3:DJ6,3,FALSE),0),0))&gt;=100,100,(Backdoors!AI12+IF(IM85&gt;=0.45,VLOOKUP(Calculator!E23,tbSkills!DH3:DI6,2,FALSE)+IF(AND(Calculator!B8=TRUE,Backdoors!BI38=TRUE),VLOOKUP(Calculator!E23,tbSkills!DH3:DJ6,3,FALSE),0),0)))/100)),1))*IF(VLOOKUP(A85,tbMoveset!A2:K112,11,FALSE)=TRUE,Backdoors!AC5,1))*IN85,0),"")</f>
        <v>0</v>
      </c>
      <c r="IR85" s="49">
        <f>VLOOKUP(A85,tbMoveset!A2:G112,7,FALSE)*IFERROR(IF(Backdoors!AI12&gt;=0,1+(IF(Calculator!E40&gt;0,VLOOKUP(Calculator!E40,tbSkills!AI3:AJ5,2,FALSE),Backdoors!AL4)*(IF((Backdoors!AI12+IF(IM85&gt;=0.45,VLOOKUP(Calculator!E23,tbSkills!DH3:DI6,2,FALSE)+IF(AND(Calculator!B8=TRUE,Backdoors!BI38=TRUE),VLOOKUP(Calculator!E23,tbSkills!DH3:DJ6,3,FALSE),0),0))&gt;=100,100,(Backdoors!AI12+IF(IM85&gt;=0.45,VLOOKUP(Calculator!E23,tbSkills!DH3:DI6,2,FALSE)+IF(AND(Calculator!B8=TRUE,Backdoors!BI38=TRUE),VLOOKUP(Calculator!E23,tbSkills!DH3:DJ6,3,FALSE),0),0)))/100)),1),1)</f>
        <v>0.4</v>
      </c>
      <c r="IS85" s="87">
        <f t="shared" si="86"/>
        <v>0</v>
      </c>
      <c r="IT85" s="86" t="str">
        <f>IFERROR(IF(VLOOKUP(A85,tbMoveset!A2:B112,2,FALSE)="Sever",Backdoors!AY39/100,IF(VLOOKUP(A85,tbMoveset!A2:B112,2,FALSE)="Blunt",Backdoors!AZ39/100,Backdoors!BA39/100)),"")</f>
        <v/>
      </c>
      <c r="IU85" s="49">
        <f>IFERROR(IF(VLOOKUP(tbMoveset!A85,tbMoveset!A2:H112,8,FALSE)="Other",IF(VLOOKUP(tbMoveset!A85,tbMoveset!A2:I112,9,FALSE)="Fire",Backdoors!BB39,IF(VLOOKUP(tbMoveset!A85,tbMoveset!A2:I112,9,FALSE)="Water",Backdoors!BC39,IF(VLOOKUP(tbMoveset!A85,tbMoveset!A2:I112,9,FALSE)="Thunder",Backdoors!BD39,IF(VLOOKUP(tbMoveset!A85,tbMoveset!A2:I112,9,FALSE)="Ice",Backdoors!BE39,IF(VLOOKUP(tbMoveset!A85,tbMoveset!A2:I112,9,FALSE)="Dragon",Backdoors!BF39,Backdoors!BG39)))))/100,Backdoors!BG39/100),"")</f>
        <v>0</v>
      </c>
      <c r="IV85" s="49">
        <f>IFERROR(IF(VLOOKUP(A85,tbMoveset!A2:J112,10,FALSE)=TRUE,IF((Backdoors!AI12+IF(IT85&gt;=0.45,VLOOKUP(Calculator!E23,tbSkills!DH3:DI6,2,FALSE)+IF(AND(Calculator!B8=TRUE,Backdoors!BI39=TRUE),VLOOKUP(Calculator!E23,tbSkills!DH3:DJ6,3,FALSE),0),0))&gt;=0,1+(Backdoors!AL2*(IF((Backdoors!AI12+IF(IT85&gt;=0.45,VLOOKUP(Calculator!E23,tbSkills!DH3:DI6,2,FALSE)+IF(AND(Calculator!B8=TRUE,Backdoors!BI39=TRUE),VLOOKUP(Calculator!E23,tbSkills!DH3:DJ6,3,FALSE),0),0))&gt;=100,100,(Backdoors!AI12+IF(IT85&gt;=0.45,VLOOKUP(Calculator!E23,tbSkills!DH3:DI6,2,FALSE)+IF(AND(Calculator!B8=TRUE,Backdoors!BI39=TRUE),VLOOKUP(Calculator!E23,tbSkills!DH3:DJ6,3,FALSE),0),0)))/100)),(1-(0.25*((-Backdoors!AI12-IF(IT85&gt;=0.45,VLOOKUP(Calculator!E23,tbSkills!DH3:DI6,2,FALSE)+IF(AND(Calculator!B8=TRUE,Backdoors!BI39=TRUE),VLOOKUP(Calculator!E23,tbSkills!DH3:DJ6,3,FALSE),0),0))/100)))),1),"")</f>
        <v>1</v>
      </c>
      <c r="IW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T85)*IV85)*(VLOOKUP(A85,tbMoveset!A2:C112,3,FALSE)/100)*IF(VLOOKUP(A85,tbMoveset!A2:B112,2,FALSE)="Projectile",Backdoors!N10,Backdoors!N9),0),"")</f>
        <v/>
      </c>
      <c r="IX85" s="49">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40&gt;0,VLOOKUP(Calculator!E40,tbSkills!AC3:AD5,2,FALSE),Backdoors!AL3)*(IF((Backdoors!AI12+IF(IT85&gt;=0.45,VLOOKUP(Calculator!E23,tbSkills!DH3:DI6,2,FALSE)+IF(AND(Calculator!B8=TRUE,Backdoors!BI39=TRUE),VLOOKUP(Calculator!E23,tbSkills!DH3:DJ6,3,FALSE),0),0))&gt;=100,100,(Backdoors!AI12+IF(IT85&gt;=0.45,VLOOKUP(Calculator!E23,tbSkills!DH3:DI6,2,FALSE)+IF(AND(Calculator!B8=TRUE,Backdoors!BI39=TRUE),VLOOKUP(Calculator!E23,tbSkills!DH3:DJ6,3,FALSE),0),0)))/100)),1))*IF(VLOOKUP(A85,tbMoveset!A2:K112,11,FALSE)=TRUE,Backdoors!AC5,1))*IU85,0),"")</f>
        <v>0</v>
      </c>
      <c r="IY85" s="49">
        <f>VLOOKUP(A85,tbMoveset!A2:G112,7,FALSE)*IFERROR(IF(Backdoors!AI12&gt;=0,1+(IF(Calculator!E40&gt;0,VLOOKUP(Calculator!E40,tbSkills!AI3:AJ5,2,FALSE),Backdoors!AL4)*(IF((Backdoors!AI12+IF(IT85&gt;=0.45,VLOOKUP(Calculator!E23,tbSkills!DH3:DI6,2,FALSE)+IF(AND(Calculator!B8=TRUE,Backdoors!BI39=TRUE),VLOOKUP(Calculator!E23,tbSkills!DH3:DJ6,3,FALSE),0),0))&gt;=100,100,(Backdoors!AI12+IF(IT85&gt;=0.45,VLOOKUP(Calculator!E23,tbSkills!DH3:DI6,2,FALSE)+IF(AND(Calculator!B8=TRUE,Backdoors!BI39=TRUE),VLOOKUP(Calculator!E23,tbSkills!DH3:DJ6,3,FALSE),0),0)))/100)),1),1)</f>
        <v>0.4</v>
      </c>
      <c r="IZ85" s="87">
        <f t="shared" si="87"/>
        <v>0</v>
      </c>
      <c r="JA85" s="86" t="str">
        <f>IFERROR(IF(VLOOKUP(A85,tbMoveset!A2:B112,2,FALSE)="Sever",Backdoors!AY40/100,IF(VLOOKUP(A85,tbMoveset!A2:B112,2,FALSE)="Blunt",Backdoors!AZ40/100,Backdoors!BA40/100)),"")</f>
        <v/>
      </c>
      <c r="JB85" s="49">
        <f>IFERROR(IF(VLOOKUP(tbMoveset!A85,tbMoveset!A2:H112,8,FALSE)="Other",IF(VLOOKUP(tbMoveset!A85,tbMoveset!A2:I112,9,FALSE)="Fire",Backdoors!BB40,IF(VLOOKUP(tbMoveset!A85,tbMoveset!A2:I112,9,FALSE)="Water",Backdoors!BC40,IF(VLOOKUP(tbMoveset!A85,tbMoveset!A2:I112,9,FALSE)="Thunder",Backdoors!BD40,IF(VLOOKUP(tbMoveset!A85,tbMoveset!A2:I112,9,FALSE)="Ice",Backdoors!BE40,IF(VLOOKUP(tbMoveset!A85,tbMoveset!A2:I112,9,FALSE)="Dragon",Backdoors!BF40,Backdoors!BG40)))))/100,Backdoors!BG40/100),"")</f>
        <v>0</v>
      </c>
      <c r="JC85" s="49">
        <f>IFERROR(IF(VLOOKUP(A85,tbMoveset!A2:J112,10,FALSE)=TRUE,IF((Backdoors!AI12+IF(JA85&gt;=0.45,VLOOKUP(Calculator!E23,tbSkills!DH3:DI6,2,FALSE)+IF(AND(Calculator!B8=TRUE,Backdoors!BI40=TRUE),VLOOKUP(Calculator!E23,tbSkills!DH3:DJ6,3,FALSE),0),0))&gt;=0,1+(Backdoors!AL2*(IF((Backdoors!AI12+IF(JA85&gt;=0.45,VLOOKUP(Calculator!E23,tbSkills!DH3:DI6,2,FALSE)+IF(AND(Calculator!B8=TRUE,Backdoors!BI40=TRUE),VLOOKUP(Calculator!E23,tbSkills!DH3:DJ6,3,FALSE),0),0))&gt;=100,100,(Backdoors!AI12+IF(JA85&gt;=0.45,VLOOKUP(Calculator!E23,tbSkills!DH3:DI6,2,FALSE)+IF(AND(Calculator!B8=TRUE,Backdoors!BI40=TRUE),VLOOKUP(Calculator!E23,tbSkills!DH3:DJ6,3,FALSE),0),0)))/100)),(1-(0.25*((-Backdoors!AI12-IF(JA85&gt;=0.45,VLOOKUP(Calculator!E23,tbSkills!DH3:DI6,2,FALSE)+IF(AND(Calculator!B8=TRUE,Backdoors!BI40=TRUE),VLOOKUP(Calculator!E23,tbSkills!DH3:DJ6,3,FALSE),0),0))/100)))),1),"")</f>
        <v>1</v>
      </c>
      <c r="JD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A85)*JC85)*(VLOOKUP(A85,tbMoveset!A2:C112,3,FALSE)/100)*IF(VLOOKUP(A85,tbMoveset!A2:B112,2,FALSE)="Projectile",Backdoors!N10,Backdoors!N9),0),"")</f>
        <v/>
      </c>
      <c r="JE85" s="49">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42&gt;0,VLOOKUP(Calculator!E42,tbSkills!AC3:AD5,2,FALSE),Backdoors!AL3)*(IF((Backdoors!AI12+IF(JA85&gt;=0.45,VLOOKUP(Calculator!E23,tbSkills!DH3:DI6,2,FALSE)+IF(AND(Calculator!B8=TRUE,Backdoors!BI40=TRUE),VLOOKUP(Calculator!E23,tbSkills!DH3:DJ6,3,FALSE),0),0))&gt;=100,100,(Backdoors!AI12+IF(JA85&gt;=0.45,VLOOKUP(Calculator!E23,tbSkills!DH3:DI6,2,FALSE)+IF(AND(Calculator!B8=TRUE,Backdoors!BI40=TRUE),VLOOKUP(Calculator!E23,tbSkills!DH3:DJ6,3,FALSE),0),0)))/100)),1))*IF(VLOOKUP(A85,tbMoveset!A2:K112,11,FALSE)=TRUE,Backdoors!AC5,1))*JB85,0),"")</f>
        <v>0</v>
      </c>
      <c r="JF85" s="49">
        <f>VLOOKUP(A85,tbMoveset!A2:G112,7,FALSE)*IFERROR(IF(Backdoors!AI12&gt;=0,1+(IF(Calculator!E40&gt;0,VLOOKUP(Calculator!E40,tbSkills!AI3:AJ5,2,FALSE),Backdoors!AL4)*(IF((Backdoors!AI12+IF(JA85&gt;=0.45,VLOOKUP(Calculator!E23,tbSkills!DH3:DI6,2,FALSE)+IF(AND(Calculator!B8=TRUE,Backdoors!BI40=TRUE),VLOOKUP(Calculator!E23,tbSkills!DH3:DJ6,3,FALSE),0),0))&gt;=100,100,(Backdoors!AI12+IF(JA85&gt;=0.45,VLOOKUP(Calculator!E23,tbSkills!DH3:DI6,2,FALSE)+IF(AND(Calculator!B8=TRUE,Backdoors!BI40=TRUE),VLOOKUP(Calculator!E23,tbSkills!DH3:DJ6,3,FALSE),0),0)))/100)),1),1)</f>
        <v>0.4</v>
      </c>
      <c r="JG85" s="87">
        <f t="shared" si="88"/>
        <v>0</v>
      </c>
      <c r="JH85" s="86" t="str">
        <f>IFERROR(IF(VLOOKUP(A85,tbMoveset!A2:B112,2,FALSE)="Sever",Backdoors!AY41/100,IF(VLOOKUP(A85,tbMoveset!A2:B112,2,FALSE)="Blunt",Backdoors!AZ41/100,Backdoors!BA41/100)),"")</f>
        <v/>
      </c>
      <c r="JI85" s="49">
        <f>IFERROR(IF(VLOOKUP(tbMoveset!A85,tbMoveset!A2:H112,8,FALSE)="Other",IF(VLOOKUP(tbMoveset!A85,tbMoveset!A2:I112,9,FALSE)="Fire",Backdoors!BB41,IF(VLOOKUP(tbMoveset!A85,tbMoveset!A2:I112,9,FALSE)="Water",Backdoors!BC41,IF(VLOOKUP(tbMoveset!A85,tbMoveset!A2:I112,9,FALSE)="Thunder",Backdoors!BD41,IF(VLOOKUP(tbMoveset!A85,tbMoveset!A2:I112,9,FALSE)="Ice",Backdoors!BE41,IF(VLOOKUP(tbMoveset!A85,tbMoveset!A2:I112,9,FALSE)="Dragon",Backdoors!BF41,Backdoors!BG41)))))/100,Backdoors!BG41/100),"")</f>
        <v>0</v>
      </c>
      <c r="JJ85" s="49">
        <f>IFERROR(IF(VLOOKUP(A85,tbMoveset!A2:J112,10,FALSE)=TRUE,IF((Backdoors!AI12+IF(JH85&gt;=0.45,VLOOKUP(Calculator!E23,tbSkills!DH3:DI6,2,FALSE)+IF(AND(Calculator!B8=TRUE,Backdoors!BI41=TRUE),VLOOKUP(Calculator!E23,tbSkills!DH3:DJ6,3,FALSE),0),0))&gt;=0,1+(Backdoors!AL2*(IF((Backdoors!AI12+IF(JH85&gt;=0.45,VLOOKUP(Calculator!E23,tbSkills!DH3:DI6,2,FALSE)+IF(AND(Calculator!B8=TRUE,Backdoors!BI41=TRUE),VLOOKUP(Calculator!E23,tbSkills!DH3:DJ6,3,FALSE),0),0))&gt;=100,100,(Backdoors!AI12+IF(JH85&gt;=0.45,VLOOKUP(Calculator!E23,tbSkills!DH3:DI6,2,FALSE)+IF(AND(Calculator!B8=TRUE,Backdoors!BI41=TRUE),VLOOKUP(Calculator!E23,tbSkills!DH3:DJ6,3,FALSE),0),0)))/100)),(1-(0.25*((-Backdoors!AI12-IF(JH85&gt;=0.45,VLOOKUP(Calculator!E23,tbSkills!DH3:DI6,2,FALSE)+IF(AND(Calculator!B8=TRUE,Backdoors!BI41=TRUE),VLOOKUP(Calculator!E23,tbSkills!DH3:DJ6,3,FALSE),0),0))/100)))),1),"")</f>
        <v>1</v>
      </c>
      <c r="JK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H85)*JJ85)*(VLOOKUP(A85,tbMoveset!A2:C112,3,FALSE)/100)*IF(VLOOKUP(A85,tbMoveset!A2:B112,2,FALSE)="Projectile",Backdoors!N10,Backdoors!N9),0),"")</f>
        <v/>
      </c>
      <c r="JL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43&gt;0,VLOOKUP(Calculator!E43,tbSkills!AC3:AD5,2,FALSE),Backdoors!AL3)*(IF((Backdoors!AI12+IF(JH85&gt;=0.45,VLOOKUP(Calculator!E23,tbSkills!DH3:DI6,2,FALSE)+IF(AND(Calculator!B8=TRUE,Backdoors!BI41=TRUE),VLOOKUP(Calculator!E23,tbSkills!DH3:DJ6,3,FALSE),0),0))&gt;=100,100,(Backdoors!AI12+IF(JH85&gt;=0.45,VLOOKUP(Calculator!E23,tbSkills!DH3:DI6,2,FALSE)+IF(AND(Calculator!B8=TRUE,Backdoors!BI41=TRUE),VLOOKUP(Calculator!E23,tbSkills!DH3:DJ6,3,FALSE),0),0)))/100)),1))*IF(VLOOKUP(A85,tbMoveset!A2:K112,11,FALSE)=TRUE,Backdoors!AC5,1))*JI85,0),"")</f>
        <v/>
      </c>
      <c r="JM85" s="49">
        <f>VLOOKUP(A85,tbMoveset!A2:G112,7,FALSE)*IFERROR(IF(Backdoors!AI12&gt;=0,1+(IF(Calculator!E40&gt;0,VLOOKUP(Calculator!E40,tbSkills!AI3:AJ5,2,FALSE),Backdoors!AL4)*(IF((Backdoors!AI12+IF(JH85&gt;=0.45,VLOOKUP(Calculator!E23,tbSkills!DH3:DI6,2,FALSE)+IF(AND(Calculator!B8=TRUE,Backdoors!BI41=TRUE),VLOOKUP(Calculator!E23,tbSkills!DH3:DJ6,3,FALSE),0),0))&gt;=100,100,(Backdoors!AI12+IF(JH85&gt;=0.45,VLOOKUP(Calculator!E23,tbSkills!DH3:DI6,2,FALSE)+IF(AND(Calculator!B8=TRUE,Backdoors!BI41=TRUE),VLOOKUP(Calculator!E23,tbSkills!DH3:DJ6,3,FALSE),0),0)))/100)),1),1)</f>
        <v>0.4</v>
      </c>
      <c r="JN85" s="87">
        <f t="shared" si="89"/>
        <v>0</v>
      </c>
      <c r="JO85" s="86" t="str">
        <f>IFERROR(IF(VLOOKUP(A85,tbMoveset!A2:B112,2,FALSE)="Sever",Backdoors!AY42/100,IF(VLOOKUP(A85,tbMoveset!A2:B112,2,FALSE)="Blunt",Backdoors!AZ42/100,Backdoors!BA42/100)),"")</f>
        <v/>
      </c>
      <c r="JP85" s="49">
        <f>IFERROR(IF(VLOOKUP(tbMoveset!A85,tbMoveset!A2:H112,8,FALSE)="Other",IF(VLOOKUP(tbMoveset!A85,tbMoveset!A2:I112,9,FALSE)="Fire",Backdoors!BB42,IF(VLOOKUP(tbMoveset!A85,tbMoveset!A2:I112,9,FALSE)="Water",Backdoors!BC42,IF(VLOOKUP(tbMoveset!A85,tbMoveset!A2:I112,9,FALSE)="Thunder",Backdoors!BD42,IF(VLOOKUP(tbMoveset!A85,tbMoveset!A2:I112,9,FALSE)="Ice",Backdoors!BE42,IF(VLOOKUP(tbMoveset!A85,tbMoveset!A2:I112,9,FALSE)="Dragon",Backdoors!BF42,Backdoors!BG42)))))/100,Backdoors!BG42/100),"")</f>
        <v>0</v>
      </c>
      <c r="JQ85" s="49">
        <f>IFERROR(IF(VLOOKUP(A85,tbMoveset!A2:J112,10,FALSE)=TRUE,IF((Backdoors!AI12+IF(JO85&gt;=0.45,VLOOKUP(Calculator!E23,tbSkills!DH3:DI6,2,FALSE)+IF(AND(Calculator!B8=TRUE,Backdoors!BI42=TRUE),VLOOKUP(Calculator!E23,tbSkills!DH3:DJ6,3,FALSE),0),0))&gt;=0,1+(Backdoors!AL2*(IF((Backdoors!AI12+IF(JO85&gt;=0.45,VLOOKUP(Calculator!E23,tbSkills!DH3:DI6,2,FALSE)+IF(AND(Calculator!B8=TRUE,Backdoors!BI42=TRUE),VLOOKUP(Calculator!E23,tbSkills!DH3:DJ6,3,FALSE),0),0))&gt;=100,100,(Backdoors!AI12+IF(JO85&gt;=0.45,VLOOKUP(Calculator!E23,tbSkills!DH3:DI6,2,FALSE)+IF(AND(Calculator!B8=TRUE,Backdoors!BI42=TRUE),VLOOKUP(Calculator!E23,tbSkills!DH3:DJ6,3,FALSE),0),0)))/100)),(1-(0.25*((-Backdoors!AI12-IF(JO85&gt;=0.45,VLOOKUP(Calculator!E23,tbSkills!DH3:DI6,2,FALSE)+IF(AND(Calculator!B8=TRUE,Backdoors!BI42=TRUE),VLOOKUP(Calculator!E23,tbSkills!DH3:DJ6,3,FALSE),0),0))/100)))),1),"")</f>
        <v>1</v>
      </c>
      <c r="JR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O85)*JQ85)*(VLOOKUP(A85,tbMoveset!A2:C112,3,FALSE)/100)*IF(VLOOKUP(A85,tbMoveset!A2:B112,2,FALSE)="Projectile",Backdoors!N10,Backdoors!N9),0),"")</f>
        <v/>
      </c>
      <c r="JS85" s="49">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45&gt;0,VLOOKUP(Calculator!E45,tbSkills!AC3:AD5,2,FALSE),Backdoors!AL3)*(IF((Backdoors!AI12+IF(JO85&gt;=0.45,VLOOKUP(Calculator!E23,tbSkills!DH3:DI6,2,FALSE)+IF(AND(Calculator!B8=TRUE,Backdoors!BI42=TRUE),VLOOKUP(Calculator!E23,tbSkills!DH3:DJ6,3,FALSE),0),0))&gt;=100,100,(Backdoors!AI12+IF(JO85&gt;=0.45,VLOOKUP(Calculator!E23,tbSkills!DH3:DI6,2,FALSE)+IF(AND(Calculator!B8=TRUE,Backdoors!BI42=TRUE),VLOOKUP(Calculator!E23,tbSkills!DH3:DJ6,3,FALSE),0),0)))/100)),1))*IF(VLOOKUP(A85,tbMoveset!A2:K112,11,FALSE)=TRUE,Backdoors!AC5,1))*JP85,0),"")</f>
        <v>0</v>
      </c>
      <c r="JT85" s="49">
        <f>VLOOKUP(A85,tbMoveset!A2:G112,7,FALSE)*IFERROR(IF(Backdoors!AI12&gt;=0,1+(IF(Calculator!E40&gt;0,VLOOKUP(Calculator!E40,tbSkills!AI3:AJ5,2,FALSE),Backdoors!AL4)*(IF((Backdoors!AI12+IF(JO85&gt;=0.45,VLOOKUP(Calculator!E23,tbSkills!DH3:DI6,2,FALSE)+IF(AND(Calculator!B8=TRUE,Backdoors!BI42=TRUE),VLOOKUP(Calculator!E23,tbSkills!DH3:DJ6,3,FALSE),0),0))&gt;=100,100,(Backdoors!AI12+IF(JO85&gt;=0.45,VLOOKUP(Calculator!E23,tbSkills!DH3:DI6,2,FALSE)+IF(AND(Calculator!B8=TRUE,Backdoors!BI42=TRUE),VLOOKUP(Calculator!E23,tbSkills!DH3:DJ6,3,FALSE),0),0)))/100)),1),1)</f>
        <v>0.4</v>
      </c>
      <c r="JU85" s="87">
        <f t="shared" si="90"/>
        <v>0</v>
      </c>
      <c r="JV85" s="86" t="str">
        <f>IFERROR(IF(VLOOKUP(A85,tbMoveset!A2:B112,2,FALSE)="Sever",Backdoors!AY43/100,IF(VLOOKUP(A85,tbMoveset!A2:B112,2,FALSE)="Blunt",Backdoors!AZ43/100,Backdoors!BA43/100)),"")</f>
        <v/>
      </c>
      <c r="JW85" s="49">
        <f>IFERROR(IF(VLOOKUP(tbMoveset!A85,tbMoveset!A2:H112,8,FALSE)="Other",IF(VLOOKUP(tbMoveset!A85,tbMoveset!A2:I112,9,FALSE)="Fire",Backdoors!BB43,IF(VLOOKUP(tbMoveset!A85,tbMoveset!A2:I112,9,FALSE)="Water",Backdoors!BC43,IF(VLOOKUP(tbMoveset!A85,tbMoveset!A2:I112,9,FALSE)="Thunder",Backdoors!BD43,IF(VLOOKUP(tbMoveset!A85,tbMoveset!A2:I112,9,FALSE)="Ice",Backdoors!BE43,IF(VLOOKUP(tbMoveset!A85,tbMoveset!A2:I112,9,FALSE)="Dragon",Backdoors!BF43,Backdoors!BG43)))))/100,Backdoors!BG43/100),"")</f>
        <v>0</v>
      </c>
      <c r="JX85" s="49">
        <f>IFERROR(IF(VLOOKUP(A85,tbMoveset!A2:J112,10,FALSE)=TRUE,IF((Backdoors!AI12+IF(JV85&gt;=0.45,VLOOKUP(Calculator!E23,tbSkills!DH3:DI6,2,FALSE)+IF(AND(Calculator!B8=TRUE,Backdoors!BI43=TRUE),VLOOKUP(Calculator!E23,tbSkills!DH3:DJ6,3,FALSE),0),0))&gt;=0,1+(Backdoors!AL2*(IF((Backdoors!AI12+IF(JV85&gt;=0.45,VLOOKUP(Calculator!E23,tbSkills!DH3:DI6,2,FALSE)+IF(AND(Calculator!B8=TRUE,Backdoors!BI43=TRUE),VLOOKUP(Calculator!E23,tbSkills!DH3:DJ6,3,FALSE),0),0))&gt;=100,100,(Backdoors!AI12+IF(JV85&gt;=0.45,VLOOKUP(Calculator!E23,tbSkills!DH3:DI6,2,FALSE)+IF(AND(Calculator!B8=TRUE,Backdoors!BI43=TRUE),VLOOKUP(Calculator!E23,tbSkills!DH3:DJ6,3,FALSE),0),0)))/100)),(1-(0.25*((-Backdoors!AI12-IF(JV85&gt;=0.45,VLOOKUP(Calculator!E23,tbSkills!DH3:DI6,2,FALSE)+IF(AND(Calculator!B8=TRUE,Backdoors!BI43=TRUE),VLOOKUP(Calculator!E23,tbSkills!DH3:DJ6,3,FALSE),0),0))/100)))),1),"")</f>
        <v>1</v>
      </c>
      <c r="JY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V85)*JX85)*(VLOOKUP(A85,tbMoveset!A2:C112,3,FALSE)/100)*IF(VLOOKUP(A85,tbMoveset!A2:B112,2,FALSE)="Projectile",Backdoors!N10,Backdoors!N9),0),"")</f>
        <v/>
      </c>
      <c r="JZ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46&gt;0,VLOOKUP(Calculator!E46,tbSkills!AC3:AD5,2,FALSE),Backdoors!AL3)*(IF((Backdoors!AI12+IF(JV85&gt;=0.45,VLOOKUP(Calculator!E23,tbSkills!DH3:DI6,2,FALSE)+IF(AND(Calculator!B8=TRUE,Backdoors!BI43=TRUE),VLOOKUP(Calculator!E23,tbSkills!DH3:DJ6,3,FALSE),0),0))&gt;=100,100,(Backdoors!AI12+IF(JV85&gt;=0.45,VLOOKUP(Calculator!E23,tbSkills!DH3:DI6,2,FALSE)+IF(AND(Calculator!B8=TRUE,Backdoors!BI43=TRUE),VLOOKUP(Calculator!E23,tbSkills!DH3:DJ6,3,FALSE),0),0)))/100)),1))*IF(VLOOKUP(A85,tbMoveset!A2:K112,11,FALSE)=TRUE,Backdoors!AC5,1))*JW85,0),"")</f>
        <v/>
      </c>
      <c r="KA85" s="49">
        <f>VLOOKUP(A85,tbMoveset!A2:G112,7,FALSE)*IFERROR(IF(Backdoors!AI12&gt;=0,1+(IF(Calculator!E40&gt;0,VLOOKUP(Calculator!E40,tbSkills!AI3:AJ5,2,FALSE),Backdoors!AL4)*(IF((Backdoors!AI12+IF(JV85&gt;=0.45,VLOOKUP(Calculator!E23,tbSkills!DH3:DI6,2,FALSE)+IF(AND(Calculator!B8=TRUE,Backdoors!BI43=TRUE),VLOOKUP(Calculator!E23,tbSkills!DH3:DJ6,3,FALSE),0),0))&gt;=100,100,(Backdoors!AI12+IF(JV85&gt;=0.45,VLOOKUP(Calculator!E23,tbSkills!DH3:DI6,2,FALSE)+IF(AND(Calculator!B8=TRUE,Backdoors!BI43=TRUE),VLOOKUP(Calculator!E23,tbSkills!DH3:DJ6,3,FALSE),0),0)))/100)),1),1)</f>
        <v>0.4</v>
      </c>
      <c r="KB85" s="87">
        <f t="shared" si="91"/>
        <v>0</v>
      </c>
      <c r="KC85" s="86" t="str">
        <f>IFERROR(IF(VLOOKUP(A85,tbMoveset!A2:B112,2,FALSE)="Sever",Backdoors!AY44/100,IF(VLOOKUP(A85,tbMoveset!A2:B112,2,FALSE)="Blunt",Backdoors!AZ44/100,Backdoors!BA44/100)),"")</f>
        <v/>
      </c>
      <c r="KD85" s="49">
        <f>IFERROR(IF(VLOOKUP(tbMoveset!A85,tbMoveset!A2:H112,8,FALSE)="Other",IF(VLOOKUP(tbMoveset!A85,tbMoveset!A2:I112,9,FALSE)="Fire",Backdoors!BB44,IF(VLOOKUP(tbMoveset!A85,tbMoveset!A2:I112,9,FALSE)="Water",Backdoors!BC44,IF(VLOOKUP(tbMoveset!A85,tbMoveset!A2:I112,9,FALSE)="Thunder",Backdoors!BD44,IF(VLOOKUP(tbMoveset!A85,tbMoveset!A2:I112,9,FALSE)="Ice",Backdoors!BE44,IF(VLOOKUP(tbMoveset!A85,tbMoveset!A2:I112,9,FALSE)="Dragon",Backdoors!BF44,Backdoors!BG44)))))/100,Backdoors!BG44/100),"")</f>
        <v>0</v>
      </c>
      <c r="KE85" s="49">
        <f>IFERROR(IF(VLOOKUP(A85,tbMoveset!A2:J112,10,FALSE)=TRUE,IF((Backdoors!AI12+IF(KC85&gt;=0.45,VLOOKUP(Calculator!E23,tbSkills!DH3:DI6,2,FALSE)+IF(AND(Calculator!B8=TRUE,Backdoors!BI44=TRUE),VLOOKUP(Calculator!E23,tbSkills!DH3:DJ6,3,FALSE),0),0))&gt;=0,1+(Backdoors!AL2*(IF((Backdoors!AI12+IF(KC85&gt;=0.45,VLOOKUP(Calculator!E23,tbSkills!DH3:DI6,2,FALSE)+IF(AND(Calculator!B8=TRUE,Backdoors!BI44=TRUE),VLOOKUP(Calculator!E23,tbSkills!DH3:DJ6,3,FALSE),0),0))&gt;=100,100,(Backdoors!AI12+IF(KC85&gt;=0.45,VLOOKUP(Calculator!E23,tbSkills!DH3:DI6,2,FALSE)+IF(AND(Calculator!B8=TRUE,Backdoors!BI44=TRUE),VLOOKUP(Calculator!E23,tbSkills!DH3:DJ6,3,FALSE),0),0)))/100)),(1-(0.25*((-Backdoors!AI12-IF(KC85&gt;=0.45,VLOOKUP(Calculator!E23,tbSkills!DH3:DI6,2,FALSE)+IF(AND(Calculator!B8=TRUE,Backdoors!BI44=TRUE),VLOOKUP(Calculator!E23,tbSkills!DH3:DJ6,3,FALSE),0),0))/100)))),1),"")</f>
        <v>1</v>
      </c>
      <c r="KF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KC85)*KE85)*(VLOOKUP(A85,tbMoveset!A2:C112,3,FALSE)/100)*IF(VLOOKUP(A85,tbMoveset!A2:B112,2,FALSE)="Projectile",Backdoors!N10,Backdoors!N9),0),"")</f>
        <v/>
      </c>
      <c r="KG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REF!&gt;0,VLOOKUP(Calculator!#REF!,tbSkills!AC3:AD5,2,FALSE),Backdoors!AL3)*(IF((Backdoors!AI12+IF(KC85&gt;=0.45,VLOOKUP(Calculator!E23,tbSkills!DH3:DI6,2,FALSE)+IF(AND(Calculator!B8=TRUE,Backdoors!BI44=TRUE),VLOOKUP(Calculator!E23,tbSkills!DH3:DJ6,3,FALSE),0),0))&gt;=100,100,(Backdoors!AI12+IF(KC85&gt;=0.45,VLOOKUP(Calculator!E23,tbSkills!DH3:DI6,2,FALSE)+IF(AND(Calculator!B8=TRUE,Backdoors!BI44=TRUE),VLOOKUP(Calculator!E23,tbSkills!DH3:DJ6,3,FALSE),0),0)))/100)),1))*IF(VLOOKUP(A85,tbMoveset!A2:K112,11,FALSE)=TRUE,Backdoors!AC5,1))*KD85,0),"")</f>
        <v/>
      </c>
      <c r="KH85" s="49">
        <f>VLOOKUP(A85,tbMoveset!A2:G112,7,FALSE)*IFERROR(IF(Backdoors!AI12&gt;=0,1+(IF(Calculator!E40&gt;0,VLOOKUP(Calculator!E40,tbSkills!AI3:AJ5,2,FALSE),Backdoors!AL4)*(IF((Backdoors!AI12+IF(KC85&gt;=0.45,VLOOKUP(Calculator!E23,tbSkills!DH3:DI6,2,FALSE)+IF(AND(Calculator!B8=TRUE,Backdoors!BI44=TRUE),VLOOKUP(Calculator!E23,tbSkills!DH3:DJ6,3,FALSE),0),0))&gt;=100,100,(Backdoors!AI12+IF(KC85&gt;=0.45,VLOOKUP(Calculator!E23,tbSkills!DH3:DI6,2,FALSE)+IF(AND(Calculator!B8=TRUE,Backdoors!BI44=TRUE),VLOOKUP(Calculator!E23,tbSkills!DH3:DJ6,3,FALSE),0),0)))/100)),1),1)</f>
        <v>0.4</v>
      </c>
      <c r="KI85" s="87">
        <f t="shared" si="92"/>
        <v>0</v>
      </c>
      <c r="KJ85" s="86" t="str">
        <f>IFERROR(IF(VLOOKUP(A85,tbMoveset!A2:B112,2,FALSE)="Sever",Backdoors!AY45/100,IF(VLOOKUP(A85,tbMoveset!A2:B112,2,FALSE)="Blunt",Backdoors!AZ45/100,Backdoors!BA45/100)),"")</f>
        <v/>
      </c>
      <c r="KK85" s="49">
        <f>IFERROR(IF(VLOOKUP(tbMoveset!A85,tbMoveset!A2:H112,8,FALSE)="Other",IF(VLOOKUP(tbMoveset!A85,tbMoveset!A2:I112,9,FALSE)="Fire",Backdoors!BB45,IF(VLOOKUP(tbMoveset!A85,tbMoveset!A2:I112,9,FALSE)="Water",Backdoors!BC45,IF(VLOOKUP(tbMoveset!A85,tbMoveset!A2:I112,9,FALSE)="Thunder",Backdoors!BD45,IF(VLOOKUP(tbMoveset!A85,tbMoveset!A2:I112,9,FALSE)="Ice",Backdoors!BE45,IF(VLOOKUP(tbMoveset!A85,tbMoveset!A2:I112,9,FALSE)="Dragon",Backdoors!BF45,Backdoors!BG45)))))/100,Backdoors!BG45/100),"")</f>
        <v>0</v>
      </c>
      <c r="KL85" s="49">
        <f>IFERROR(IF(VLOOKUP(A85,tbMoveset!A2:J112,10,FALSE)=TRUE,IF((Backdoors!AI12+IF(KJ85&gt;=0.45,VLOOKUP(Calculator!E23,tbSkills!DH3:DI6,2,FALSE)+IF(AND(Calculator!B8=TRUE,Backdoors!BI45=TRUE),VLOOKUP(Calculator!E23,tbSkills!DH3:DJ6,3,FALSE),0),0))&gt;=0,1+(Backdoors!AL2*(IF((Backdoors!AI12+IF(KJ85&gt;=0.45,VLOOKUP(Calculator!E23,tbSkills!DH3:DI6,2,FALSE)+IF(AND(Calculator!B8=TRUE,Backdoors!BI45=TRUE),VLOOKUP(Calculator!E23,tbSkills!DH3:DJ6,3,FALSE),0),0))&gt;=100,100,(Backdoors!AI12+IF(KJ85&gt;=0.45,VLOOKUP(Calculator!E23,tbSkills!DH3:DI6,2,FALSE)+IF(AND(Calculator!B8=TRUE,Backdoors!BI45=TRUE),VLOOKUP(Calculator!E23,tbSkills!DH3:DJ6,3,FALSE),0),0)))/100)),(1-(0.25*((-Backdoors!AI12-IF(KJ85&gt;=0.45,VLOOKUP(Calculator!E23,tbSkills!DH3:DI6,2,FALSE)+IF(AND(Calculator!B8=TRUE,Backdoors!BI45=TRUE),VLOOKUP(Calculator!E23,tbSkills!DH3:DJ6,3,FALSE),0),0))/100)))),1),"")</f>
        <v>1</v>
      </c>
      <c r="KM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KJ85)*KL85)*(VLOOKUP(A85,tbMoveset!A2:C112,3,FALSE)/100)*IF(VLOOKUP(A85,tbMoveset!A2:B112,2,FALSE)="Projectile",Backdoors!N10,Backdoors!N9),0),"")</f>
        <v/>
      </c>
      <c r="KN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REF!&gt;0,VLOOKUP(Calculator!#REF!,tbSkills!AC3:AD5,2,FALSE),Backdoors!AL3)*(IF((Backdoors!AI12+IF(KJ85&gt;=0.45,VLOOKUP(Calculator!E23,tbSkills!DH3:DI6,2,FALSE)+IF(AND(Calculator!B8=TRUE,Backdoors!BI45=TRUE),VLOOKUP(Calculator!E23,tbSkills!DH3:DJ6,3,FALSE),0),0))&gt;=100,100,(Backdoors!AI12+IF(KJ85&gt;=0.45,VLOOKUP(Calculator!E23,tbSkills!DH3:DI6,2,FALSE)+IF(AND(Calculator!B8=TRUE,Backdoors!BI45=TRUE),VLOOKUP(Calculator!E23,tbSkills!DH3:DJ6,3,FALSE),0),0)))/100)),1))*IF(VLOOKUP(A85,tbMoveset!A2:K112,11,FALSE)=TRUE,Backdoors!AC5,1))*KK85,0),"")</f>
        <v/>
      </c>
      <c r="KO85" s="49">
        <f>VLOOKUP(A85,tbMoveset!A2:G112,7,FALSE)*IFERROR(IF(Backdoors!AI12&gt;=0,1+(IF(Calculator!E40&gt;0,VLOOKUP(Calculator!E40,tbSkills!AI3:AJ5,2,FALSE),Backdoors!AL4)*(IF((Backdoors!AI12+IF(KJ85&gt;=0.45,VLOOKUP(Calculator!E23,tbSkills!DH3:DI6,2,FALSE)+IF(AND(Calculator!B8=TRUE,Backdoors!BI45=TRUE),VLOOKUP(Calculator!E23,tbSkills!DH3:DJ6,3,FALSE),0),0))&gt;=100,100,(Backdoors!AI12+IF(KJ85&gt;=0.45,VLOOKUP(Calculator!E23,tbSkills!DH3:DI6,2,FALSE)+IF(AND(Calculator!B8=TRUE,Backdoors!BI45=TRUE),VLOOKUP(Calculator!E23,tbSkills!DH3:DJ6,3,FALSE),0),0)))/100)),1),1)</f>
        <v>0.4</v>
      </c>
      <c r="KP85" s="87">
        <f t="shared" si="93"/>
        <v>0</v>
      </c>
      <c r="KQ85" s="86" t="str">
        <f>IFERROR(IF(VLOOKUP(A85,tbMoveset!A2:B112,2,FALSE)="Sever",Backdoors!AY46/100,IF(VLOOKUP(A85,tbMoveset!A2:B112,2,FALSE)="Blunt",Backdoors!AZ46/100,Backdoors!BA46/100)),"")</f>
        <v/>
      </c>
      <c r="KR85" s="49">
        <f>IFERROR(IF(VLOOKUP(tbMoveset!A85,tbMoveset!A2:H112,8,FALSE)="Other",IF(VLOOKUP(tbMoveset!A85,tbMoveset!A2:I112,9,FALSE)="Fire",Backdoors!BB46,IF(VLOOKUP(tbMoveset!A85,tbMoveset!A2:I112,9,FALSE)="Water",Backdoors!BC46,IF(VLOOKUP(tbMoveset!A85,tbMoveset!A2:I112,9,FALSE)="Thunder",Backdoors!BD46,IF(VLOOKUP(tbMoveset!A85,tbMoveset!A2:I112,9,FALSE)="Ice",Backdoors!BE46,IF(VLOOKUP(tbMoveset!A85,tbMoveset!A2:I112,9,FALSE)="Dragon",Backdoors!BF46,Backdoors!BG46)))))/100,Backdoors!BG46/100),"")</f>
        <v>0</v>
      </c>
      <c r="KS85" s="49">
        <f>IFERROR(IF(VLOOKUP(A85,tbMoveset!A2:J112,10,FALSE)=TRUE,IF((Backdoors!AI12+IF(KQ85&gt;=0.45,VLOOKUP(Calculator!E23,tbSkills!DH3:DI6,2,FALSE)+IF(AND(Calculator!B8=TRUE,Backdoors!BI46=TRUE),VLOOKUP(Calculator!E23,tbSkills!DH3:DJ6,3,FALSE),0),0))&gt;=0,1+(Backdoors!AL2*(IF((Backdoors!AI12+IF(KQ85&gt;=0.45,VLOOKUP(Calculator!E23,tbSkills!DH3:DI6,2,FALSE)+IF(AND(Calculator!B8=TRUE,Backdoors!BI46=TRUE),VLOOKUP(Calculator!E23,tbSkills!DH3:DJ6,3,FALSE),0),0))&gt;=100,100,(Backdoors!AI12+IF(KQ85&gt;=0.45,VLOOKUP(Calculator!E23,tbSkills!DH3:DI6,2,FALSE)+IF(AND(Calculator!B8=TRUE,Backdoors!BI46=TRUE),VLOOKUP(Calculator!E23,tbSkills!DH3:DJ6,3,FALSE),0),0)))/100)),(1-(0.25*((-Backdoors!AI12-IF(KQ85&gt;=0.45,VLOOKUP(Calculator!E23,tbSkills!DH3:DI6,2,FALSE)+IF(AND(Calculator!B8=TRUE,Backdoors!BI46=TRUE),VLOOKUP(Calculator!E23,tbSkills!DH3:DJ6,3,FALSE),0),0))/100)))),1),"")</f>
        <v>1</v>
      </c>
      <c r="KT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KQ85)*KS85)*(VLOOKUP(A85,tbMoveset!A2:C112,3,FALSE)/100)*IF(VLOOKUP(A85,tbMoveset!A2:B112,2,FALSE)="Projectile",Backdoors!N10,Backdoors!N9),0),"")</f>
        <v/>
      </c>
      <c r="KU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REF!&gt;0,VLOOKUP(Calculator!#REF!,tbSkills!AC3:AD5,2,FALSE),Backdoors!AL3)*(IF((Backdoors!AI12+IF(KQ85&gt;=0.45,VLOOKUP(Calculator!E23,tbSkills!DH3:DI6,2,FALSE)+IF(AND(Calculator!B8=TRUE,Backdoors!BI46=TRUE),VLOOKUP(Calculator!E23,tbSkills!DH3:DJ6,3,FALSE),0),0))&gt;=100,100,(Backdoors!AI12+IF(KQ85&gt;=0.45,VLOOKUP(Calculator!E23,tbSkills!DH3:DI6,2,FALSE)+IF(AND(Calculator!B8=TRUE,Backdoors!BI46=TRUE),VLOOKUP(Calculator!E23,tbSkills!DH3:DJ6,3,FALSE),0),0)))/100)),1))*IF(VLOOKUP(A85,tbMoveset!A2:K112,11,FALSE)=TRUE,Backdoors!AC5,1))*KR85,0),"")</f>
        <v/>
      </c>
      <c r="KV85" s="49">
        <f>VLOOKUP(A85,tbMoveset!A2:G112,7,FALSE)*IFERROR(IF(Backdoors!AI12&gt;=0,1+(IF(Calculator!E40&gt;0,VLOOKUP(Calculator!E40,tbSkills!AI3:AJ5,2,FALSE),Backdoors!AL4)*(IF((Backdoors!AI12+IF(KQ85&gt;=0.45,VLOOKUP(Calculator!E23,tbSkills!DH3:DI6,2,FALSE)+IF(AND(Calculator!B8=TRUE,Backdoors!BI46=TRUE),VLOOKUP(Calculator!E23,tbSkills!DH3:DJ6,3,FALSE),0),0))&gt;=100,100,(Backdoors!AI12+IF(KQ85&gt;=0.45,VLOOKUP(Calculator!E23,tbSkills!DH3:DI6,2,FALSE)+IF(AND(Calculator!B8=TRUE,Backdoors!BI46=TRUE),VLOOKUP(Calculator!E23,tbSkills!DH3:DJ6,3,FALSE),0),0)))/100)),1),1)</f>
        <v>0.4</v>
      </c>
      <c r="KW85" s="87">
        <f t="shared" si="94"/>
        <v>0</v>
      </c>
    </row>
    <row r="86" spans="1:309" x14ac:dyDescent="0.25">
      <c r="A86" s="95" t="str">
        <f>tbMoveset!A86</f>
        <v>Heavenly Blade Dance (R2)</v>
      </c>
      <c r="B86" s="86">
        <f>IFERROR(IF(VLOOKUP(A86,tbMoveset!A2:B112,2,FALSE)="Sever",Backdoors!AY3/100,IF(VLOOKUP(A86,tbMoveset!A2:B112,2,FALSE)="Blunt",Backdoors!AZ3/100,Backdoors!BA3/100)),"")</f>
        <v>0.8</v>
      </c>
      <c r="C86" s="49">
        <f>IFERROR(IF(VLOOKUP(tbMoveset!A86,tbMoveset!A2:H112,8,FALSE)="Other",IF(VLOOKUP(tbMoveset!A86,tbMoveset!A2:I112,9,FALSE)="Fire",Backdoors!BB3,IF(VLOOKUP(tbMoveset!A86,tbMoveset!A2:I112,9,FALSE)="Water",Backdoors!BC3,IF(VLOOKUP(tbMoveset!A86,tbMoveset!A2:I112,9,FALSE)="Thunder",Backdoors!BD3,IF(VLOOKUP(tbMoveset!A86,tbMoveset!A2:I112,9,FALSE)="Ice",Backdoors!BE3,IF(VLOOKUP(tbMoveset!A86,tbMoveset!A2:I112,9,FALSE)="Dragon",Backdoors!BF3,Backdoors!BG3)))))/100,Backdoors!BG3/100),"")</f>
        <v>0</v>
      </c>
      <c r="D86" s="49">
        <f>IFERROR(IF(VLOOKUP(A86,tbMoveset!A2:J112,10,FALSE)=TRUE,IF((Backdoors!AI12+IF(B86&gt;=0.45,VLOOKUP(Calculator!E23,tbSkills!DH3:DI6,2,FALSE)+IF(AND(Calculator!B8=TRUE,Backdoors!BI3=TRUE),VLOOKUP(Calculator!E23,tbSkills!DH3:DJ6,3,FALSE),0),0))&gt;=0,1+(Backdoors!AL2*(IF((Backdoors!AI12+IF(B86&gt;=0.45,VLOOKUP(Calculator!E23,tbSkills!DH3:DI6,2,FALSE)+IF(AND(Calculator!B8=TRUE,Backdoors!BI3=TRUE),VLOOKUP(Calculator!E23,tbSkills!DH3:DJ6,3,FALSE),0),0))&gt;=100,100,(Backdoors!AI12+IF(B86&gt;=0.45,VLOOKUP(Calculator!E23,tbSkills!DH3:DI6,2,FALSE)+IF(AND(Calculator!B8=TRUE,Backdoors!BI3=TRUE),VLOOKUP(Calculator!E23,tbSkills!DH3:DJ6,3,FALSE),0),0)))/100)),(1-(0.25*((-Backdoors!AI12-IF(B86&gt;=0.45,VLOOKUP(Calculator!E23,tbSkills!DH3:DI6,2,FALSE)+IF(AND(Calculator!B8=TRUE,Backdoors!BI3=TRUE),VLOOKUP(Calculator!E23,tbSkills!DH3:DJ6,3,FALSE),0),0))/100)))),1),"")</f>
        <v>1</v>
      </c>
      <c r="E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86)*D86)*(VLOOKUP(A86,tbMoveset!A2:C112,3,FALSE)/100)*IF(VLOOKUP(A86,tbMoveset!A2:B112,2,FALSE)="Projectile",Backdoors!N10,Backdoors!N9),0),"")</f>
        <v>11</v>
      </c>
      <c r="F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86&gt;=0.45,VLOOKUP(Calculator!E23,tbSkills!DH3:DI6,2,FALSE)+IF(AND(Calculator!B8=TRUE,Backdoors!BI3=TRUE),VLOOKUP(Calculator!E23,tbSkills!DH3:DJ6,3,FALSE),0),0))&gt;=100,100,(Backdoors!AI12+IF(B86&gt;=0.45,VLOOKUP(Calculator!E23,tbSkills!DH3:DI6,2,FALSE)+IF(AND(Calculator!B8=TRUE,Backdoors!BI3=TRUE),VLOOKUP(Calculator!E23,tbSkills!DH3:DJ6,3,FALSE),0),0)))/100)),1))*IF(VLOOKUP(A86,tbMoveset!A2:K112,11,FALSE)=TRUE,Backdoors!AC5,1))*C86,0),"")</f>
        <v>0</v>
      </c>
      <c r="G86">
        <f>VLOOKUP(A86,tbMoveset!A2:G112,7,FALSE)*IFERROR(IF(Backdoors!AI12&gt;=0,1+(IF(Calculator!E40&gt;0,VLOOKUP(Calculator!E40,tbSkills!AI3:AJ5,2,FALSE),Backdoors!AL4)*(IF((Backdoors!AI12+IF(B86&gt;=0.45,VLOOKUP(Calculator!E23,tbSkills!DH3:DI6,2,FALSE)+IF(AND(Calculator!B8=TRUE,Backdoors!BI3=TRUE),VLOOKUP(Calculator!E23,tbSkills!DH3:DJ6,3,FALSE),0),0))&gt;=100,100,(Backdoors!AI12+IF(B86&gt;=0.45,VLOOKUP(Calculator!E23,tbSkills!DH3:DI6,2,FALSE)+IF(AND(Calculator!B8=TRUE,Backdoors!BI3=TRUE),VLOOKUP(Calculator!E23,tbSkills!DH3:DJ6,3,FALSE),0),0)))/100)),1),1)</f>
        <v>0.4</v>
      </c>
      <c r="H86" s="87">
        <f t="shared" si="51"/>
        <v>11</v>
      </c>
      <c r="I86" s="86">
        <f>IFERROR(IF(VLOOKUP(A86,tbMoveset!A2:B112,2,FALSE)="Sever",Backdoors!AY4/100,IF(VLOOKUP(A86,tbMoveset!A2:B112,2,FALSE)="Blunt",Backdoors!AZ4/100,Backdoors!BA4/100)),"")</f>
        <v>0.65</v>
      </c>
      <c r="J86" s="49">
        <f>IFERROR(IF(VLOOKUP(tbMoveset!A86,tbMoveset!A2:H112,8,FALSE)="Other",IF(VLOOKUP(tbMoveset!A86,tbMoveset!A2:I112,9,FALSE)="Fire",Backdoors!BB4,IF(VLOOKUP(tbMoveset!A86,tbMoveset!A2:I112,9,FALSE)="Water",Backdoors!BC4,IF(VLOOKUP(tbMoveset!A86,tbMoveset!A2:I112,9,FALSE)="Thunder",Backdoors!BD4,IF(VLOOKUP(tbMoveset!A86,tbMoveset!A2:I112,9,FALSE)="Ice",Backdoors!BE4,IF(VLOOKUP(tbMoveset!A86,tbMoveset!A2:I112,9,FALSE)="Dragon",Backdoors!BF4,Backdoors!BG4)))))/100,Backdoors!BG4/100),"")</f>
        <v>0</v>
      </c>
      <c r="K86" s="49">
        <f>IFERROR(IF(VLOOKUP(A86,tbMoveset!A2:J112,10,FALSE)=TRUE,IF((Backdoors!AI12+IF(I86&gt;=0.45,VLOOKUP(Calculator!E23,tbSkills!DH3:DI6,2,FALSE)+IF(AND(Calculator!B8=TRUE,Backdoors!BI4=TRUE),VLOOKUP(Calculator!E23,tbSkills!DH3:DJ6,3,FALSE),0),0))&gt;=0,1+(Backdoors!AL2*(IF((Backdoors!AI12+IF(I86&gt;=0.45,VLOOKUP(Calculator!E23,tbSkills!DH3:DI6,2,FALSE)+IF(AND(Calculator!B8=TRUE,Backdoors!BI4=TRUE),VLOOKUP(Calculator!E23,tbSkills!DH3:DJ6,3,FALSE),0),0))&gt;=100,100,(Backdoors!AI12+IF(I86&gt;=0.45,VLOOKUP(Calculator!E23,tbSkills!DH3:DI6,2,FALSE)+IF(AND(Calculator!B8=TRUE,Backdoors!BI4=TRUE),VLOOKUP(Calculator!E23,tbSkills!DH3:DJ6,3,FALSE),0),0)))/100)),(1-(0.25*((-Backdoors!AI12-IF(I86&gt;=0.45,VLOOKUP(Calculator!E23,tbSkills!DH3:DI6,2,FALSE)+IF(AND(Calculator!B8=TRUE,Backdoors!BI4=TRUE),VLOOKUP(Calculator!E23,tbSkills!DH3:DJ6,3,FALSE),0),0))/100)))),1),"")</f>
        <v>1</v>
      </c>
      <c r="L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86)*K86)*(VLOOKUP(A86,tbMoveset!A2:C112,3,FALSE)/100)*IF(VLOOKUP(A86,tbMoveset!A2:B112,2,FALSE)="Projectile",Backdoors!N10,Backdoors!N9),0),"")</f>
        <v>9</v>
      </c>
      <c r="M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I86&gt;=0.45,VLOOKUP(Calculator!E23,tbSkills!DH3:DI6,2,FALSE)+IF(AND(Calculator!B8=TRUE,Backdoors!BI4=TRUE),VLOOKUP(Calculator!E23,tbSkills!DH3:DJ6,3,FALSE),0),0))&gt;=100,100,(Backdoors!AI12+IF(I86&gt;=0.45,VLOOKUP(Calculator!E23,tbSkills!DH3:DI6,2,FALSE)+IF(AND(Calculator!B8=TRUE,Backdoors!BI4=TRUE),VLOOKUP(Calculator!E23,tbSkills!DH3:DJ6,3,FALSE),0),0)))/100)),1))*IF(VLOOKUP(A86,tbMoveset!A2:K112,11,FALSE)=TRUE,Backdoors!AC5,1))*J86,0),"")</f>
        <v>0</v>
      </c>
      <c r="N86" s="49">
        <f>VLOOKUP(A86,tbMoveset!A2:G112,7,FALSE)*IFERROR(IF(Backdoors!AI12&gt;=0,1+(IF(Calculator!E40&gt;0,VLOOKUP(Calculator!E40,tbSkills!AI3:AJ5,2,FALSE),Backdoors!AL4)*(IF((Backdoors!AI12+IF(I86&gt;=0.45,VLOOKUP(Calculator!E23,tbSkills!DH3:DI6,2,FALSE)+IF(AND(Calculator!B8=TRUE,Backdoors!BI4=TRUE),VLOOKUP(Calculator!E23,tbSkills!DH3:DJ6,3,FALSE),0),0))&gt;=100,100,(Backdoors!AI12+IF(I86&gt;=0.45,VLOOKUP(Calculator!E23,tbSkills!DH3:DI6,2,FALSE)+IF(AND(Calculator!B8=TRUE,Backdoors!BI4=TRUE),VLOOKUP(Calculator!E23,tbSkills!DH3:DJ6,3,FALSE),0),0)))/100)),1),1)</f>
        <v>0.4</v>
      </c>
      <c r="O86" s="87">
        <f t="shared" si="52"/>
        <v>9</v>
      </c>
      <c r="P86" s="86">
        <f>IFERROR(IF(VLOOKUP(A86,tbMoveset!A2:B112,2,FALSE)="Sever",Backdoors!AY5/100,IF(VLOOKUP(A86,tbMoveset!A2:B112,2,FALSE)="Blunt",Backdoors!AZ5/100,Backdoors!BA5/100)),"")</f>
        <v>0.5</v>
      </c>
      <c r="Q86" s="49">
        <f>IFERROR(IF(VLOOKUP(tbMoveset!A86,tbMoveset!A2:H112,8,FALSE)="Other",IF(VLOOKUP(tbMoveset!A86,tbMoveset!A2:I112,9,FALSE)="Fire",Backdoors!BB5,IF(VLOOKUP(tbMoveset!A86,tbMoveset!A2:I112,9,FALSE)="Water",Backdoors!BC5,IF(VLOOKUP(tbMoveset!A86,tbMoveset!A2:I112,9,FALSE)="Thunder",Backdoors!BD5,IF(VLOOKUP(tbMoveset!A86,tbMoveset!A2:I112,9,FALSE)="Ice",Backdoors!BE5,IF(VLOOKUP(tbMoveset!A86,tbMoveset!A2:I112,9,FALSE)="Dragon",Backdoors!BF5,Backdoors!BG5)))))/100,Backdoors!BG5/100),"")</f>
        <v>0</v>
      </c>
      <c r="R86" s="49">
        <f>IFERROR(IF(VLOOKUP(A86,tbMoveset!A2:J112,10,FALSE)=TRUE,IF((Backdoors!AI12+IF(P86&gt;=0.45,VLOOKUP(Calculator!E23,tbSkills!DH3:DI6,2,FALSE)+IF(AND(Calculator!B8=TRUE,Backdoors!BI5=TRUE),VLOOKUP(Calculator!E23,tbSkills!DH3:DJ6,3,FALSE),0),0))&gt;=0,1+(Backdoors!AL2*(IF((Backdoors!AI12+IF(P86&gt;=0.45,VLOOKUP(Calculator!E23,tbSkills!DH3:DI6,2,FALSE)+IF(AND(Calculator!B8=TRUE,Backdoors!BI5=TRUE),VLOOKUP(Calculator!E23,tbSkills!DH3:DJ6,3,FALSE),0),0))&gt;=100,100,(Backdoors!AI12+IF(P86&gt;=0.45,VLOOKUP(Calculator!E23,tbSkills!DH3:DI6,2,FALSE)+IF(AND(Calculator!B8=TRUE,Backdoors!BI5=TRUE),VLOOKUP(Calculator!E23,tbSkills!DH3:DJ6,3,FALSE),0),0)))/100)),(1-(0.25*((-Backdoors!AI12-IF(P86&gt;=0.45,VLOOKUP(Calculator!E23,tbSkills!DH3:DI6,2,FALSE)+IF(AND(Calculator!B8=TRUE,Backdoors!BI5=TRUE),VLOOKUP(Calculator!E23,tbSkills!DH3:DJ6,3,FALSE),0),0))/100)))),1),"")</f>
        <v>1</v>
      </c>
      <c r="S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P86)*R86)*(VLOOKUP(A86,tbMoveset!A2:C112,3,FALSE)/100)*IF(VLOOKUP(A86,tbMoveset!A2:B112,2,FALSE)="Projectile",Backdoors!N10,Backdoors!N9),0),"")</f>
        <v>7</v>
      </c>
      <c r="T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P86&gt;=0.45,VLOOKUP(Calculator!E23,tbSkills!DH3:DI6,2,FALSE)+IF(AND(Calculator!B8=TRUE,Backdoors!BI5=TRUE),VLOOKUP(Calculator!E23,tbSkills!DH3:DJ6,3,FALSE),0),0))&gt;=100,100,(Backdoors!AI12+IF(P86&gt;=0.45,VLOOKUP(Calculator!E23,tbSkills!DH3:DI6,2,FALSE)+IF(AND(Calculator!B8=TRUE,Backdoors!BI5=TRUE),VLOOKUP(Calculator!E23,tbSkills!DH3:DJ6,3,FALSE),0),0)))/100)),1))*IF(VLOOKUP(A86,tbMoveset!A2:K112,11,FALSE)=TRUE,Backdoors!AC5,1))*Q86,0),"")</f>
        <v>0</v>
      </c>
      <c r="U86" s="49">
        <f>VLOOKUP(A86,tbMoveset!A2:G112,7,FALSE)*IFERROR(IF(Backdoors!AI12&gt;=0,1+(IF(Calculator!E40&gt;0,VLOOKUP(Calculator!E40,tbSkills!AI3:AJ5,2,FALSE),Backdoors!AL4)*(IF((Backdoors!AI12+IF(P86&gt;=0.45,VLOOKUP(Calculator!E23,tbSkills!DH3:DI6,2,FALSE)+IF(AND(Calculator!B8=TRUE,Backdoors!BI5=TRUE),VLOOKUP(Calculator!E23,tbSkills!DH3:DJ6,3,FALSE),0),0))&gt;=100,100,(Backdoors!AI12+IF(P86&gt;=0.45,VLOOKUP(Calculator!E23,tbSkills!DH3:DI6,2,FALSE)+IF(AND(Calculator!B8=TRUE,Backdoors!BI5=TRUE),VLOOKUP(Calculator!E23,tbSkills!DH3:DJ6,3,FALSE),0),0)))/100)),1),1)</f>
        <v>0.4</v>
      </c>
      <c r="V86" s="87">
        <f t="shared" si="53"/>
        <v>7</v>
      </c>
      <c r="W86" s="86">
        <f>IFERROR(IF(VLOOKUP(A86,tbMoveset!A2:B112,2,FALSE)="Sever",Backdoors!AY6/100,IF(VLOOKUP(A86,tbMoveset!A2:B112,2,FALSE)="Blunt",Backdoors!AZ6/100,Backdoors!BA6/100)),"")</f>
        <v>0.45</v>
      </c>
      <c r="X86" s="49">
        <f>IFERROR(IF(VLOOKUP(tbMoveset!A86,tbMoveset!A2:H112,8,FALSE)="Other",IF(VLOOKUP(tbMoveset!A86,tbMoveset!A2:I112,9,FALSE)="Fire",Backdoors!BB6,IF(VLOOKUP(tbMoveset!A86,tbMoveset!A2:I112,9,FALSE)="Water",Backdoors!BC6,IF(VLOOKUP(tbMoveset!A86,tbMoveset!A2:I112,9,FALSE)="Thunder",Backdoors!BD6,IF(VLOOKUP(tbMoveset!A86,tbMoveset!A2:I112,9,FALSE)="Ice",Backdoors!BE6,IF(VLOOKUP(tbMoveset!A86,tbMoveset!A2:I112,9,FALSE)="Dragon",Backdoors!BF6,Backdoors!BG6)))))/100,Backdoors!BG6/100),"")</f>
        <v>0</v>
      </c>
      <c r="Y86" s="49">
        <f>IFERROR(IF(VLOOKUP(A86,tbMoveset!A2:J112,10,FALSE)=TRUE,IF((Backdoors!AI12+IF(W86&gt;=0.45,VLOOKUP(Calculator!E23,tbSkills!DH3:DI6,2,FALSE)+IF(AND(Calculator!B8=TRUE,Backdoors!BI6=TRUE),VLOOKUP(Calculator!E23,tbSkills!DH3:DJ6,3,FALSE),0),0))&gt;=0,1+(Backdoors!AL2*(IF((Backdoors!AI12+IF(W86&gt;=0.45,VLOOKUP(Calculator!E23,tbSkills!DH3:DI6,2,FALSE)+IF(AND(Calculator!B8=TRUE,Backdoors!BI6=TRUE),VLOOKUP(Calculator!E23,tbSkills!DH3:DJ6,3,FALSE),0),0))&gt;=100,100,(Backdoors!AI12+IF(W86&gt;=0.45,VLOOKUP(Calculator!E23,tbSkills!DH3:DI6,2,FALSE)+IF(AND(Calculator!B8=TRUE,Backdoors!BI6=TRUE),VLOOKUP(Calculator!E23,tbSkills!DH3:DJ6,3,FALSE),0),0)))/100)),(1-(0.25*((-Backdoors!AI12-IF(W86&gt;=0.45,VLOOKUP(Calculator!E23,tbSkills!DH3:DI6,2,FALSE)+IF(AND(Calculator!B8=TRUE,Backdoors!BI6=TRUE),VLOOKUP(Calculator!E23,tbSkills!DH3:DJ6,3,FALSE),0),0))/100)))),1),"")</f>
        <v>1</v>
      </c>
      <c r="Z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W86)*Y86)*(VLOOKUP(A86,tbMoveset!A2:C112,3,FALSE)/100)*IF(VLOOKUP(A86,tbMoveset!A2:B112,2,FALSE)="Projectile",Backdoors!N10,Backdoors!N9),0),"")</f>
        <v>6</v>
      </c>
      <c r="AA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W86&gt;=0.45,VLOOKUP(Calculator!E23,tbSkills!DH3:DI6,2,FALSE)+IF(AND(Calculator!B8=TRUE,Backdoors!BI6=TRUE),VLOOKUP(Calculator!E23,tbSkills!DH3:DJ6,3,FALSE),0),0))&gt;=100,100,(Backdoors!AI12+IF(W86&gt;=0.45,VLOOKUP(Calculator!E23,tbSkills!DH3:DI6,2,FALSE)+IF(AND(Calculator!B8=TRUE,Backdoors!BI6=TRUE),VLOOKUP(Calculator!E23,tbSkills!DH3:DJ6,3,FALSE),0),0)))/100)),1))*IF(VLOOKUP(A86,tbMoveset!A2:K112,11,FALSE)=TRUE,Backdoors!AC5,1))*X86,0),"")</f>
        <v>0</v>
      </c>
      <c r="AB86" s="49">
        <f>VLOOKUP(A86,tbMoveset!A2:G112,7,FALSE)*IFERROR(IF(Backdoors!AI12&gt;=0,1+(IF(Calculator!E40&gt;0,VLOOKUP(Calculator!E40,tbSkills!AI3:AJ5,2,FALSE),Backdoors!AL4)*(IF((Backdoors!AI12+IF(W86&gt;=0.45,VLOOKUP(Calculator!E23,tbSkills!DH3:DI6,2,FALSE)+IF(AND(Calculator!B8=TRUE,Backdoors!BI6=TRUE),VLOOKUP(Calculator!E23,tbSkills!DH3:DJ6,3,FALSE),0),0))&gt;=100,100,(Backdoors!AI12+IF(W86&gt;=0.45,VLOOKUP(Calculator!E23,tbSkills!DH3:DI6,2,FALSE)+IF(AND(Calculator!B8=TRUE,Backdoors!BI6=TRUE),VLOOKUP(Calculator!E23,tbSkills!DH3:DJ6,3,FALSE),0),0)))/100)),1),1)</f>
        <v>0.4</v>
      </c>
      <c r="AC86" s="87">
        <f t="shared" si="54"/>
        <v>6</v>
      </c>
      <c r="AD86" s="86">
        <f>IFERROR(IF(VLOOKUP(A86,tbMoveset!A2:B112,2,FALSE)="Sever",Backdoors!AY7/100,IF(VLOOKUP(A86,tbMoveset!A2:B112,2,FALSE)="Blunt",Backdoors!AZ7/100,Backdoors!BA7/100)),"")</f>
        <v>0.65</v>
      </c>
      <c r="AE86" s="49">
        <f>IFERROR(IF(VLOOKUP(tbMoveset!A86,tbMoveset!A2:H112,8,FALSE)="Other",IF(VLOOKUP(tbMoveset!A86,tbMoveset!A2:I112,9,FALSE)="Fire",Backdoors!BB7,IF(VLOOKUP(tbMoveset!A86,tbMoveset!A2:I112,9,FALSE)="Water",Backdoors!BC7,IF(VLOOKUP(tbMoveset!A86,tbMoveset!A2:I112,9,FALSE)="Thunder",Backdoors!BD7,IF(VLOOKUP(tbMoveset!A86,tbMoveset!A2:I112,9,FALSE)="Ice",Backdoors!BE7,IF(VLOOKUP(tbMoveset!A86,tbMoveset!A2:I112,9,FALSE)="Dragon",Backdoors!BF7,Backdoors!BG7)))))/100,Backdoors!BG7/100),"")</f>
        <v>0</v>
      </c>
      <c r="AF86" s="49">
        <f>IFERROR(IF(VLOOKUP(A86,tbMoveset!A2:J112,10,FALSE)=TRUE,IF((Backdoors!AI12+IF(AD86&gt;=0.45,VLOOKUP(Calculator!E23,tbSkills!DH3:DI6,2,FALSE)+IF(AND(Calculator!B8=TRUE,Backdoors!BI7=TRUE),VLOOKUP(Calculator!E23,tbSkills!DH3:DJ6,3,FALSE),0),0))&gt;=0,1+(Backdoors!AL2*(IF((Backdoors!AI12+IF(AD86&gt;=0.45,VLOOKUP(Calculator!E23,tbSkills!DH3:DI6,2,FALSE)+IF(AND(Calculator!B8=TRUE,Backdoors!BI7=TRUE),VLOOKUP(Calculator!E23,tbSkills!DH3:DJ6,3,FALSE),0),0))&gt;=100,100,(Backdoors!AI12+IF(AD86&gt;=0.45,VLOOKUP(Calculator!E23,tbSkills!DH3:DI6,2,FALSE)+IF(AND(Calculator!B8=TRUE,Backdoors!BI7=TRUE),VLOOKUP(Calculator!E23,tbSkills!DH3:DJ6,3,FALSE),0),0)))/100)),(1-(0.25*((-Backdoors!AI12-IF(AD86&gt;=0.45,VLOOKUP(Calculator!E23,tbSkills!DH3:DI6,2,FALSE)+IF(AND(Calculator!B8=TRUE,Backdoors!BI7=TRUE),VLOOKUP(Calculator!E23,tbSkills!DH3:DJ6,3,FALSE),0),0))/100)))),1),"")</f>
        <v>1</v>
      </c>
      <c r="AG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D86)*AF86)*(VLOOKUP(A86,tbMoveset!A2:C112,3,FALSE)/100)*IF(VLOOKUP(A86,tbMoveset!A2:B112,2,FALSE)="Projectile",Backdoors!N10,Backdoors!N9),0),"")</f>
        <v>9</v>
      </c>
      <c r="AH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D86&gt;=0.45,VLOOKUP(Calculator!E23,tbSkills!DH3:DI6,2,FALSE)+IF(AND(Calculator!B8=TRUE,Backdoors!BI7=TRUE),VLOOKUP(Calculator!E23,tbSkills!DH3:DJ6,3,FALSE),0),0))&gt;=100,100,(Backdoors!AI12+IF(AD86&gt;=0.45,VLOOKUP(Calculator!E23,tbSkills!DH3:DI6,2,FALSE)+IF(AND(Calculator!B8=TRUE,Backdoors!BI7=TRUE),VLOOKUP(Calculator!E23,tbSkills!DH3:DJ6,3,FALSE),0),0)))/100)),1))*IF(VLOOKUP(A86,tbMoveset!A2:K112,11,FALSE)=TRUE,Backdoors!AC5,1))*AE86,0),"")</f>
        <v>0</v>
      </c>
      <c r="AI86" s="49">
        <f>VLOOKUP(A86,tbMoveset!A2:G112,7,FALSE)*IFERROR(IF(Backdoors!AI12&gt;=0,1+(IF(Calculator!E40&gt;0,VLOOKUP(Calculator!E40,tbSkills!AI3:AJ5,2,FALSE),Backdoors!AL4)*(IF((Backdoors!AI12+IF(AD86&gt;=0.45,VLOOKUP(Calculator!E23,tbSkills!DH3:DI6,2,FALSE)+IF(AND(Calculator!B8=TRUE,Backdoors!BI7=TRUE),VLOOKUP(Calculator!E23,tbSkills!DH3:DJ6,3,FALSE),0),0))&gt;=100,100,(Backdoors!AI12+IF(AD86&gt;=0.45,VLOOKUP(Calculator!E23,tbSkills!DH3:DI6,2,FALSE)+IF(AND(Calculator!B8=TRUE,Backdoors!BI7=TRUE),VLOOKUP(Calculator!E23,tbSkills!DH3:DJ6,3,FALSE),0),0)))/100)),1),1)</f>
        <v>0.4</v>
      </c>
      <c r="AJ86" s="87">
        <f t="shared" si="55"/>
        <v>9</v>
      </c>
      <c r="AK86" s="91">
        <f>IFERROR(IF(VLOOKUP(A86,tbMoveset!A2:B112,2,FALSE)="Sever",Backdoors!AY8/100,IF(VLOOKUP(A86,tbMoveset!A2:B112,2,FALSE)="Blunt",Backdoors!AZ8/100,Backdoors!BA8/100)),"")</f>
        <v>0.45</v>
      </c>
      <c r="AL86" s="49">
        <f>IFERROR(IF(VLOOKUP(tbMoveset!A86,tbMoveset!A2:H112,8,FALSE)="Other",IF(VLOOKUP(tbMoveset!A86,tbMoveset!A2:I112,9,FALSE)="Fire",Backdoors!BB8,IF(VLOOKUP(tbMoveset!A86,tbMoveset!A2:I112,9,FALSE)="Water",Backdoors!BC8,IF(VLOOKUP(tbMoveset!A86,tbMoveset!A2:I112,9,FALSE)="Thunder",Backdoors!BD8,IF(VLOOKUP(tbMoveset!A86,tbMoveset!A2:I112,9,FALSE)="Ice",Backdoors!BE8,IF(VLOOKUP(tbMoveset!A86,tbMoveset!A2:I112,9,FALSE)="Dragon",Backdoors!BF8,Backdoors!BG8)))))/100,Backdoors!BG8/100),"")</f>
        <v>0</v>
      </c>
      <c r="AM86" s="49">
        <f>IFERROR(IF(VLOOKUP(A86,tbMoveset!A2:J112,10,FALSE)=TRUE,IF((Backdoors!AI12+IF(AK86&gt;=0.45,VLOOKUP(Calculator!E23,tbSkills!DH3:DI6,2,FALSE)+IF(AND(Calculator!B8=TRUE,Backdoors!BI8=TRUE),VLOOKUP(Calculator!E23,tbSkills!DH3:DJ6,3,FALSE),0),0))&gt;=0,1+(Backdoors!AL2*(IF((Backdoors!AI12+IF(AK86&gt;=0.45,VLOOKUP(Calculator!E23,tbSkills!DH3:DI6,2,FALSE)+IF(AND(Calculator!B8=TRUE,Backdoors!BI8=TRUE),VLOOKUP(Calculator!E23,tbSkills!DH3:DJ6,3,FALSE),0),0))&gt;=100,100,(Backdoors!AI12+IF(AK86&gt;=0.45,VLOOKUP(Calculator!E23,tbSkills!DH3:DI6,2,FALSE)+IF(AND(Calculator!B8=TRUE,Backdoors!BI8=TRUE),VLOOKUP(Calculator!E23,tbSkills!DH3:DJ6,3,FALSE),0),0)))/100)),(1-(0.25*((-Backdoors!AI12-IF(AK86&gt;=0.45,VLOOKUP(Calculator!E23,tbSkills!DH3:DI6,2,FALSE)+IF(AND(Calculator!B8=TRUE,Backdoors!BI8=TRUE),VLOOKUP(Calculator!E23,tbSkills!DH3:DJ6,3,FALSE),0),0))/100)))),1),"")</f>
        <v>1</v>
      </c>
      <c r="AN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K86)*AM86)*(VLOOKUP(A86,tbMoveset!A2:C112,3,FALSE)/100)*IF(VLOOKUP(A86,tbMoveset!A2:B112,2,FALSE)="Projectile",Backdoors!N10,Backdoors!N9),0),"")</f>
        <v>6</v>
      </c>
      <c r="AO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K86&gt;=0.45,VLOOKUP(Calculator!E23,tbSkills!DH3:DI6,2,FALSE)+IF(AND(Calculator!B8=TRUE,Backdoors!BI8=TRUE),VLOOKUP(Calculator!E23,tbSkills!DH3:DJ6,3,FALSE),0),0))&gt;=100,100,(Backdoors!AI12+IF(AK86&gt;=0.45,VLOOKUP(Calculator!E23,tbSkills!DH3:DI6,2,FALSE)+IF(AND(Calculator!B8=TRUE,Backdoors!BI8=TRUE),VLOOKUP(Calculator!E23,tbSkills!DH3:DJ6,3,FALSE),0),0)))/100)),1))*IF(VLOOKUP(A86,tbMoveset!A2:K112,11,FALSE)=TRUE,Backdoors!AC5,1))*AL86,0),"")</f>
        <v>0</v>
      </c>
      <c r="AP86" s="49">
        <f>VLOOKUP(A86,tbMoveset!A2:G112,7,FALSE)*IFERROR(IF(Backdoors!AI12&gt;=0,1+(IF(Calculator!E40&gt;0,VLOOKUP(Calculator!E40,tbSkills!AI3:AJ5,2,FALSE),Backdoors!AL4)*(IF((Backdoors!AI12+IF(AK86&gt;=0.45,VLOOKUP(Calculator!E23,tbSkills!DH3:DI6,2,FALSE)+IF(AND(Calculator!B8=TRUE,Backdoors!BI8=TRUE),VLOOKUP(Calculator!E23,tbSkills!DH3:DJ6,3,FALSE),0),0))&gt;=100,100,(Backdoors!AI12+IF(AK86&gt;=0.45,VLOOKUP(Calculator!E23,tbSkills!DH3:DI6,2,FALSE)+IF(AND(Calculator!B8=TRUE,Backdoors!BI8=TRUE),VLOOKUP(Calculator!E23,tbSkills!DH3:DJ6,3,FALSE),0),0)))/100)),1),1)</f>
        <v>0.4</v>
      </c>
      <c r="AQ86" s="87">
        <f t="shared" si="56"/>
        <v>6</v>
      </c>
      <c r="AR86" s="86">
        <f>IFERROR(IF(VLOOKUP(A86,tbMoveset!A2:B112,2,FALSE)="Sever",Backdoors!AY9/100,IF(VLOOKUP(A86,tbMoveset!A2:B112,2,FALSE)="Blunt",Backdoors!AZ9/100,Backdoors!BA9/100)),"")</f>
        <v>0.45</v>
      </c>
      <c r="AS86" s="49">
        <f>IFERROR(IF(VLOOKUP(tbMoveset!A86,tbMoveset!A2:H112,8,FALSE)="Other",IF(VLOOKUP(tbMoveset!A86,tbMoveset!A2:I112,9,FALSE)="Fire",Backdoors!BB9,IF(VLOOKUP(tbMoveset!A86,tbMoveset!A2:I112,9,FALSE)="Water",Backdoors!BC9,IF(VLOOKUP(tbMoveset!A86,tbMoveset!A2:I112,9,FALSE)="Thunder",Backdoors!BD9,IF(VLOOKUP(tbMoveset!A86,tbMoveset!A2:I112,9,FALSE)="Ice",Backdoors!BE9,IF(VLOOKUP(tbMoveset!A86,tbMoveset!A2:I112,9,FALSE)="Dragon",Backdoors!BF9,Backdoors!BG9)))))/100,Backdoors!BG9/100),"")</f>
        <v>0</v>
      </c>
      <c r="AT86" s="49">
        <f>IFERROR(IF(VLOOKUP(A86,tbMoveset!A2:J112,10,FALSE)=TRUE,IF((Backdoors!AI12+IF(AR86&gt;=0.45,VLOOKUP(Calculator!E23,tbSkills!DH3:DI6,2,FALSE)+IF(AND(Calculator!B8=TRUE,Backdoors!BI9=TRUE),VLOOKUP(Calculator!E23,tbSkills!DH3:DJ6,3,FALSE),0),0))&gt;=0,1+(Backdoors!AL2*(IF((Backdoors!AI12+IF(AR86&gt;=0.45,VLOOKUP(Calculator!E23,tbSkills!DH3:DI6,2,FALSE)+IF(AND(Calculator!B8=TRUE,Backdoors!BI9=TRUE),VLOOKUP(Calculator!E23,tbSkills!DH3:DJ6,3,FALSE),0),0))&gt;=100,100,(Backdoors!AI12+IF(AR86&gt;=0.45,VLOOKUP(Calculator!E23,tbSkills!DH3:DI6,2,FALSE)+IF(AND(Calculator!B8=TRUE,Backdoors!BI9=TRUE),VLOOKUP(Calculator!E23,tbSkills!DH3:DJ6,3,FALSE),0),0)))/100)),(1-(0.25*((-Backdoors!AI12-IF(AR86&gt;=0.45,VLOOKUP(Calculator!E23,tbSkills!DH3:DI6,2,FALSE)+IF(AND(Calculator!B8=TRUE,Backdoors!BI9=TRUE),VLOOKUP(Calculator!E23,tbSkills!DH3:DJ6,3,FALSE),0),0))/100)))),1),"")</f>
        <v>1</v>
      </c>
      <c r="AU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R86)*AT86)*(VLOOKUP(A86,tbMoveset!A2:C112,3,FALSE)/100)*IF(VLOOKUP(A86,tbMoveset!A2:B112,2,FALSE)="Projectile",Backdoors!N10,Backdoors!N9),0),"")</f>
        <v>6</v>
      </c>
      <c r="AV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R86&gt;=0.45,VLOOKUP(Calculator!E23,tbSkills!DH3:DI6,2,FALSE)+IF(AND(Calculator!B8=TRUE,Backdoors!BI9=TRUE),VLOOKUP(Calculator!E23,tbSkills!DH3:DJ6,3,FALSE),0),0))&gt;=100,100,(Backdoors!AI12+IF(AR86&gt;=0.45,VLOOKUP(Calculator!E23,tbSkills!DH3:DI6,2,FALSE)+IF(AND(Calculator!B8=TRUE,Backdoors!BI9=TRUE),VLOOKUP(Calculator!E23,tbSkills!DH3:DJ6,3,FALSE),0),0)))/100)),1))*IF(VLOOKUP(A86,tbMoveset!A2:K112,11,FALSE)=TRUE,Backdoors!AC5,1))*AS86,0),"")</f>
        <v>0</v>
      </c>
      <c r="AW86" s="49">
        <f>VLOOKUP(A86,tbMoveset!A2:G112,7,FALSE)*IFERROR(IF(Backdoors!AI12&gt;=0,1+(IF(Calculator!E40&gt;0,VLOOKUP(Calculator!E40,tbSkills!AI3:AJ5,2,FALSE),Backdoors!AL4)*(IF((Backdoors!AI12+IF(AR86&gt;=0.45,VLOOKUP(Calculator!E23,tbSkills!DH3:DI6,2,FALSE)+IF(AND(Calculator!B8=TRUE,Backdoors!BI9=TRUE),VLOOKUP(Calculator!E23,tbSkills!DH3:DJ6,3,FALSE),0),0))&gt;=100,100,(Backdoors!AI12+IF(AR86&gt;=0.45,VLOOKUP(Calculator!E23,tbSkills!DH3:DI6,2,FALSE)+IF(AND(Calculator!B8=TRUE,Backdoors!BI9=TRUE),VLOOKUP(Calculator!E23,tbSkills!DH3:DJ6,3,FALSE),0),0)))/100)),1),1)</f>
        <v>0.4</v>
      </c>
      <c r="AX86" s="87">
        <f t="shared" si="57"/>
        <v>6</v>
      </c>
      <c r="AY86" s="86">
        <f>IFERROR(IF(VLOOKUP(A86,tbMoveset!A2:B112,2,FALSE)="Sever",Backdoors!AY10/100,IF(VLOOKUP(A86,tbMoveset!A2:B112,2,FALSE)="Blunt",Backdoors!AZ10/100,Backdoors!BA10/100)),"")</f>
        <v>0.9</v>
      </c>
      <c r="AZ86" s="49">
        <f>IFERROR(IF(VLOOKUP(tbMoveset!A86,tbMoveset!A2:H112,8,FALSE)="Other",IF(VLOOKUP(tbMoveset!A86,tbMoveset!A2:I112,9,FALSE)="Fire",Backdoors!BB10,IF(VLOOKUP(tbMoveset!A86,tbMoveset!A2:I112,9,FALSE)="Water",Backdoors!BC10,IF(VLOOKUP(tbMoveset!A86,tbMoveset!A2:I112,9,FALSE)="Thunder",Backdoors!BD10,IF(VLOOKUP(tbMoveset!A86,tbMoveset!A2:I112,9,FALSE)="Ice",Backdoors!BE10,IF(VLOOKUP(tbMoveset!A86,tbMoveset!A2:I112,9,FALSE)="Dragon",Backdoors!BF10,Backdoors!BG10)))))/100,Backdoors!BG10/100),"")</f>
        <v>0</v>
      </c>
      <c r="BA86" s="49">
        <f>IFERROR(IF(VLOOKUP(A86,tbMoveset!A2:J112,10,FALSE)=TRUE,IF((Backdoors!AI12+IF(AY86&gt;=0.45,VLOOKUP(Calculator!E23,tbSkills!DH3:DI6,2,FALSE)+IF(AND(Calculator!B8=TRUE,Backdoors!BI10=TRUE),VLOOKUP(Calculator!E23,tbSkills!DH3:DJ6,3,FALSE),0),0))&gt;=0,1+(Backdoors!AL2*(IF((Backdoors!AI12+IF(AY86&gt;=0.45,VLOOKUP(Calculator!E23,tbSkills!DH3:DI6,2,FALSE)+IF(AND(Calculator!B8=TRUE,Backdoors!BI10=TRUE),VLOOKUP(Calculator!E23,tbSkills!DH3:DJ6,3,FALSE),0),0))&gt;=100,100,(Backdoors!AI12+IF(AY86&gt;=0.45,VLOOKUP(Calculator!E23,tbSkills!DH3:DI6,2,FALSE)+IF(AND(Calculator!B8=TRUE,Backdoors!BI10=TRUE),VLOOKUP(Calculator!E23,tbSkills!DH3:DJ6,3,FALSE),0),0)))/100)),(1-(0.25*((-Backdoors!AI12-IF(AY86&gt;=0.45,VLOOKUP(Calculator!E23,tbSkills!DH3:DI6,2,FALSE)+IF(AND(Calculator!B8=TRUE,Backdoors!BI10=TRUE),VLOOKUP(Calculator!E23,tbSkills!DH3:DJ6,3,FALSE),0),0))/100)))),1),"")</f>
        <v>1</v>
      </c>
      <c r="BB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Y86)*BA86)*(VLOOKUP(A86,tbMoveset!A2:C112,3,FALSE)/100)*IF(VLOOKUP(A86,tbMoveset!A2:B112,2,FALSE)="Projectile",Backdoors!N10,Backdoors!N9),0),"")</f>
        <v>13</v>
      </c>
      <c r="BC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Y86&gt;=0.45,VLOOKUP(Calculator!E23,tbSkills!DH3:DI6,2,FALSE)+IF(AND(Calculator!B8=TRUE,Backdoors!BI10=TRUE),VLOOKUP(Calculator!E23,tbSkills!DH3:DJ6,3,FALSE),0),0))&gt;=100,100,(Backdoors!AI12+IF(AY86&gt;=0.45,VLOOKUP(Calculator!E23,tbSkills!DH3:DI6,2,FALSE)+IF(AND(Calculator!B8=TRUE,Backdoors!BI10=TRUE),VLOOKUP(Calculator!E23,tbSkills!DH3:DJ6,3,FALSE),0),0)))/100)),1))*IF(VLOOKUP(A86,tbMoveset!A2:K112,11,FALSE)=TRUE,Backdoors!AC5,1))*AZ86,0),"")</f>
        <v>0</v>
      </c>
      <c r="BD86" s="49">
        <f>VLOOKUP(A86,tbMoveset!A2:G112,7,FALSE)*IFERROR(IF(Backdoors!AI12&gt;=0,1+(IF(Calculator!E40&gt;0,VLOOKUP(Calculator!E40,tbSkills!AI3:AJ5,2,FALSE),Backdoors!AL4)*(IF((Backdoors!AI12+IF(AY86&gt;=0.45,VLOOKUP(Calculator!E23,tbSkills!DH3:DI6,2,FALSE)+IF(AND(Calculator!B8=TRUE,Backdoors!BI10=TRUE),VLOOKUP(Calculator!E23,tbSkills!DH3:DJ6,3,FALSE),0),0))&gt;=100,100,(Backdoors!AI12+IF(AY86&gt;=0.45,VLOOKUP(Calculator!E23,tbSkills!DH3:DI6,2,FALSE)+IF(AND(Calculator!B8=TRUE,Backdoors!BI10=TRUE),VLOOKUP(Calculator!E23,tbSkills!DH3:DJ6,3,FALSE),0),0)))/100)),1),1)</f>
        <v>0.4</v>
      </c>
      <c r="BE86" s="87">
        <f t="shared" si="58"/>
        <v>13</v>
      </c>
      <c r="BF86" s="86" t="str">
        <f>IFERROR(IF(VLOOKUP(A86,tbMoveset!A2:B112,2,FALSE)="Sever",Backdoors!AY11/100,IF(VLOOKUP(A86,tbMoveset!A2:B112,2,FALSE)="Blunt",Backdoors!AZ11/100,Backdoors!BA11/100)),"")</f>
        <v/>
      </c>
      <c r="BG86" s="49">
        <f>IFERROR(IF(VLOOKUP(tbMoveset!A86,tbMoveset!A2:H112,8,FALSE)="Other",IF(VLOOKUP(tbMoveset!A86,tbMoveset!A2:I112,9,FALSE)="Fire",Backdoors!BB11,IF(VLOOKUP(tbMoveset!A86,tbMoveset!A2:I112,9,FALSE)="Water",Backdoors!BC11,IF(VLOOKUP(tbMoveset!A86,tbMoveset!A2:I112,9,FALSE)="Thunder",Backdoors!BD11,IF(VLOOKUP(tbMoveset!A86,tbMoveset!A2:I112,9,FALSE)="Ice",Backdoors!BE11,IF(VLOOKUP(tbMoveset!A86,tbMoveset!A2:I112,9,FALSE)="Dragon",Backdoors!BF11,Backdoors!BG11)))))/100,Backdoors!BG11/100),"")</f>
        <v>0</v>
      </c>
      <c r="BH86" s="49">
        <f>IFERROR(IF(VLOOKUP(A86,tbMoveset!A2:J112,10,FALSE)=TRUE,IF((Backdoors!AI12+IF(BF86&gt;=0.45,VLOOKUP(Calculator!E23,tbSkills!DH3:DI6,2,FALSE)+IF(AND(Calculator!B8=TRUE,Backdoors!BI11=TRUE),VLOOKUP(Calculator!E23,tbSkills!DH3:DJ6,3,FALSE),0),0))&gt;=0,1+(Backdoors!AL2*(IF((Backdoors!AI12+IF(BF86&gt;=0.45,VLOOKUP(Calculator!E23,tbSkills!DH3:DI6,2,FALSE)+IF(AND(Calculator!B8=TRUE,Backdoors!BI11=TRUE),VLOOKUP(Calculator!E23,tbSkills!DH3:DJ6,3,FALSE),0),0))&gt;=100,100,(Backdoors!AI12+IF(BF86&gt;=0.45,VLOOKUP(Calculator!E23,tbSkills!DH3:DI6,2,FALSE)+IF(AND(Calculator!B8=TRUE,Backdoors!BI11=TRUE),VLOOKUP(Calculator!E23,tbSkills!DH3:DJ6,3,FALSE),0),0)))/100)),(1-(0.25*((-Backdoors!AI12-IF(BF86&gt;=0.45,VLOOKUP(Calculator!E23,tbSkills!DH3:DI6,2,FALSE)+IF(AND(Calculator!B8=TRUE,Backdoors!BI11=TRUE),VLOOKUP(Calculator!E23,tbSkills!DH3:DJ6,3,FALSE),0),0))/100)))),1),"")</f>
        <v>1</v>
      </c>
      <c r="BI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F86)*BH86)*(VLOOKUP(A86,tbMoveset!A2:C112,3,FALSE)/100)*IF(VLOOKUP(A86,tbMoveset!A2:B112,2,FALSE)="Projectile",Backdoors!N10,Backdoors!N9),0),"")</f>
        <v/>
      </c>
      <c r="BJ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F86&gt;=0.45,VLOOKUP(Calculator!E23,tbSkills!DH3:DI6,2,FALSE)+IF(AND(Calculator!B8=TRUE,Backdoors!BI11=TRUE),VLOOKUP(Calculator!E23,tbSkills!DH3:DJ6,3,FALSE),0),0))&gt;=100,100,(Backdoors!AI12+IF(BF86&gt;=0.45,VLOOKUP(Calculator!E23,tbSkills!DH3:DI6,2,FALSE)+IF(AND(Calculator!B8=TRUE,Backdoors!BI11=TRUE),VLOOKUP(Calculator!E23,tbSkills!DH3:DJ6,3,FALSE),0),0)))/100)),1))*IF(VLOOKUP(A86,tbMoveset!A2:K112,11,FALSE)=TRUE,Backdoors!AC5,1))*BG86,0),"")</f>
        <v>0</v>
      </c>
      <c r="BK86" s="49">
        <f>VLOOKUP(A86,tbMoveset!A2:G112,7,FALSE)*IFERROR(IF(Backdoors!AI12&gt;=0,1+(IF(Calculator!E40&gt;0,VLOOKUP(Calculator!E40,tbSkills!AI3:AJ5,2,FALSE),Backdoors!AL4)*(IF((Backdoors!AI12+IF(BF86&gt;=0.45,VLOOKUP(Calculator!E23,tbSkills!DH3:DI6,2,FALSE)+IF(AND(Calculator!B8=TRUE,Backdoors!BI11=TRUE),VLOOKUP(Calculator!E23,tbSkills!DH3:DJ6,3,FALSE),0),0))&gt;=100,100,(Backdoors!AI12+IF(BF86&gt;=0.45,VLOOKUP(Calculator!E23,tbSkills!DH3:DI6,2,FALSE)+IF(AND(Calculator!B8=TRUE,Backdoors!BI11=TRUE),VLOOKUP(Calculator!E23,tbSkills!DH3:DJ6,3,FALSE),0),0)))/100)),1),1)</f>
        <v>0.4</v>
      </c>
      <c r="BL86" s="87">
        <f t="shared" si="59"/>
        <v>0</v>
      </c>
      <c r="BM86" s="86" t="str">
        <f>IFERROR(IF(VLOOKUP(A86,tbMoveset!A2:B112,2,FALSE)="Sever",Backdoors!AY12/100,IF(VLOOKUP(A86,tbMoveset!A2:B112,2,FALSE)="Blunt",Backdoors!AZ12/100,Backdoors!BA12/100)),"")</f>
        <v/>
      </c>
      <c r="BN86" s="49">
        <f>IFERROR(IF(VLOOKUP(tbMoveset!A86,tbMoveset!A2:H112,8,FALSE)="Other",IF(VLOOKUP(tbMoveset!A86,tbMoveset!A2:I112,9,FALSE)="Fire",Backdoors!BB12,IF(VLOOKUP(tbMoveset!A86,tbMoveset!A2:I112,9,FALSE)="Water",Backdoors!BC12,IF(VLOOKUP(tbMoveset!A86,tbMoveset!A2:I112,9,FALSE)="Thunder",Backdoors!BD12,IF(VLOOKUP(tbMoveset!A86,tbMoveset!A2:I112,9,FALSE)="Ice",Backdoors!BE12,IF(VLOOKUP(tbMoveset!A86,tbMoveset!A2:I112,9,FALSE)="Dragon",Backdoors!BF12,Backdoors!BG12)))))/100,Backdoors!BG12/100),"")</f>
        <v>0</v>
      </c>
      <c r="BO86" s="49">
        <f>IFERROR(IF(VLOOKUP(A86,tbMoveset!A2:J112,10,FALSE)=TRUE,IF((Backdoors!AI12+IF(BM86&gt;=0.45,VLOOKUP(Calculator!E23,tbSkills!DH3:DI6,2,FALSE)+IF(AND(Calculator!B8=TRUE,Backdoors!BI12=TRUE),VLOOKUP(Calculator!E23,tbSkills!DH3:DJ6,3,FALSE),0),0))&gt;=0,1+(Backdoors!AL2*(IF((Backdoors!AI12+IF(BM86&gt;=0.45,VLOOKUP(Calculator!E23,tbSkills!DH3:DI6,2,FALSE)+IF(AND(Calculator!B8=TRUE,Backdoors!BI12=TRUE),VLOOKUP(Calculator!E23,tbSkills!DH3:DJ6,3,FALSE),0),0))&gt;=100,100,(Backdoors!AI12+IF(BM86&gt;=0.45,VLOOKUP(Calculator!E23,tbSkills!DH3:DI6,2,FALSE)+IF(AND(Calculator!B8=TRUE,Backdoors!BI12=TRUE),VLOOKUP(Calculator!E23,tbSkills!DH3:DJ6,3,FALSE),0),0)))/100)),(1-(0.25*((-Backdoors!AI12-IF(BM86&gt;=0.45,VLOOKUP(Calculator!E23,tbSkills!DH3:DI6,2,FALSE)+IF(AND(Calculator!B8=TRUE,Backdoors!BI12=TRUE),VLOOKUP(Calculator!E23,tbSkills!DH3:DJ6,3,FALSE),0),0))/100)))),1),"")</f>
        <v>1</v>
      </c>
      <c r="BP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M86)*BO86)*(VLOOKUP(A86,tbMoveset!A2:C112,3,FALSE)/100)*IF(VLOOKUP(A86,tbMoveset!A2:B112,2,FALSE)="Projectile",Backdoors!N10,Backdoors!N9),0),"")</f>
        <v/>
      </c>
      <c r="BQ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M86&gt;=0.45,VLOOKUP(Calculator!E23,tbSkills!DH3:DI6,2,FALSE)+IF(AND(Calculator!B8=TRUE,Backdoors!BI12=TRUE),VLOOKUP(Calculator!E23,tbSkills!DH3:DJ6,3,FALSE),0),0))&gt;=100,100,(Backdoors!AI12+IF(BM86&gt;=0.45,VLOOKUP(Calculator!E23,tbSkills!DH3:DI6,2,FALSE)+IF(AND(Calculator!B8=TRUE,Backdoors!BI12=TRUE),VLOOKUP(Calculator!E23,tbSkills!DH3:DJ6,3,FALSE),0),0)))/100)),1))*IF(VLOOKUP(A86,tbMoveset!A2:K112,11,FALSE)=TRUE,Backdoors!AC5,1))*BN86,0),"")</f>
        <v>0</v>
      </c>
      <c r="BR86" s="49">
        <f>VLOOKUP(A86,tbMoveset!A2:G112,7,FALSE)*IFERROR(IF(Backdoors!AI12&gt;=0,1+(IF(Calculator!E40&gt;0,VLOOKUP(Calculator!E40,tbSkills!AI3:AJ5,2,FALSE),Backdoors!AL4)*(IF((Backdoors!AI12+IF(BM86&gt;=0.45,VLOOKUP(Calculator!E23,tbSkills!DH3:DI6,2,FALSE)+IF(AND(Calculator!B8=TRUE,Backdoors!BI12=TRUE),VLOOKUP(Calculator!E23,tbSkills!DH3:DJ6,3,FALSE),0),0))&gt;=100,100,(Backdoors!AI12+IF(BM86&gt;=0.45,VLOOKUP(Calculator!E23,tbSkills!DH3:DI6,2,FALSE)+IF(AND(Calculator!B8=TRUE,Backdoors!BI12=TRUE),VLOOKUP(Calculator!E23,tbSkills!DH3:DJ6,3,FALSE),0),0)))/100)),1),1)</f>
        <v>0.4</v>
      </c>
      <c r="BS86" s="87">
        <f t="shared" si="60"/>
        <v>0</v>
      </c>
      <c r="BT86" s="86" t="str">
        <f>IFERROR(IF(VLOOKUP(A86,tbMoveset!A2:B112,2,FALSE)="Sever",Backdoors!AY13/100,IF(VLOOKUP(A86,tbMoveset!A2:B112,2,FALSE)="Blunt",Backdoors!AZ13/100,Backdoors!BA13/100)),"")</f>
        <v/>
      </c>
      <c r="BU86" s="49">
        <f>IFERROR(IF(VLOOKUP(tbMoveset!A86,tbMoveset!A2:H112,8,FALSE)="Other",IF(VLOOKUP(tbMoveset!A86,tbMoveset!A2:I112,9,FALSE)="Fire",Backdoors!BB13,IF(VLOOKUP(tbMoveset!A86,tbMoveset!A2:I112,9,FALSE)="Water",Backdoors!BC13,IF(VLOOKUP(tbMoveset!A86,tbMoveset!A2:I112,9,FALSE)="Thunder",Backdoors!BD13,IF(VLOOKUP(tbMoveset!A86,tbMoveset!A2:I112,9,FALSE)="Ice",Backdoors!BE13,IF(VLOOKUP(tbMoveset!A86,tbMoveset!A2:I112,9,FALSE)="Dragon",Backdoors!BF13,Backdoors!BG13)))))/100,Backdoors!BG13/100),"")</f>
        <v>0</v>
      </c>
      <c r="BV86" s="49">
        <f>IFERROR(IF(VLOOKUP(A86,tbMoveset!A2:J112,10,FALSE)=TRUE,IF((Backdoors!AI12+IF(BT86&gt;=0.45,VLOOKUP(Calculator!E23,tbSkills!DH3:DI6,2,FALSE)+IF(AND(Calculator!B8=TRUE,Backdoors!BI13=TRUE),VLOOKUP(Calculator!E23,tbSkills!DH3:DJ6,3,FALSE),0),0))&gt;=0,1+(Backdoors!AL2*(IF((Backdoors!AI12+IF(BT86&gt;=0.45,VLOOKUP(Calculator!E23,tbSkills!DH3:DI6,2,FALSE)+IF(AND(Calculator!B8=TRUE,Backdoors!BI13=TRUE),VLOOKUP(Calculator!E23,tbSkills!DH3:DJ6,3,FALSE),0),0))&gt;=100,100,(Backdoors!AI12+IF(BT86&gt;=0.45,VLOOKUP(Calculator!E23,tbSkills!DH3:DI6,2,FALSE)+IF(AND(Calculator!B8=TRUE,Backdoors!BI13=TRUE),VLOOKUP(Calculator!E23,tbSkills!DH3:DJ6,3,FALSE),0),0)))/100)),(1-(0.25*((-Backdoors!AI12-IF(BT86&gt;=0.45,VLOOKUP(Calculator!E23,tbSkills!DH3:DI6,2,FALSE)+IF(AND(Calculator!B8=TRUE,Backdoors!BI13=TRUE),VLOOKUP(Calculator!E23,tbSkills!DH3:DJ6,3,FALSE),0),0))/100)))),1),"")</f>
        <v>1</v>
      </c>
      <c r="BW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T86)*BV86)*(VLOOKUP(A86,tbMoveset!A2:C112,3,FALSE)/100)*IF(VLOOKUP(A86,tbMoveset!A2:B112,2,FALSE)="Projectile",Backdoors!N10,Backdoors!N9),0),"")</f>
        <v/>
      </c>
      <c r="BX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T86&gt;=0.45,VLOOKUP(Calculator!E23,tbSkills!DH3:DI6,2,FALSE)+IF(AND(Calculator!B8=TRUE,Backdoors!BI13=TRUE),VLOOKUP(Calculator!E23,tbSkills!DH3:DJ6,3,FALSE),0),0))&gt;=100,100,(Backdoors!AI12+IF(BT86&gt;=0.45,VLOOKUP(Calculator!E23,tbSkills!DH3:DI6,2,FALSE)+IF(AND(Calculator!B8=TRUE,Backdoors!BI13=TRUE),VLOOKUP(Calculator!E23,tbSkills!DH3:DJ6,3,FALSE),0),0)))/100)),1))*IF(VLOOKUP(A86,tbMoveset!A2:K112,11,FALSE)=TRUE,Backdoors!AC5,1))*BU86,0),"")</f>
        <v>0</v>
      </c>
      <c r="BY86" s="49">
        <f>VLOOKUP(A86,tbMoveset!A2:G112,7,FALSE)*IFERROR(IF(Backdoors!AI12&gt;=0,1+(IF(Calculator!E40&gt;0,VLOOKUP(Calculator!E40,tbSkills!AI3:AJ5,2,FALSE),Backdoors!AL4)*(IF((Backdoors!AI12+IF(BT86&gt;=0.45,VLOOKUP(Calculator!E23,tbSkills!DH3:DI6,2,FALSE)+IF(AND(Calculator!B8=TRUE,Backdoors!BI13=TRUE),VLOOKUP(Calculator!E23,tbSkills!DH3:DJ6,3,FALSE),0),0))&gt;=100,100,(Backdoors!AI12+IF(BT86&gt;=0.45,VLOOKUP(Calculator!E23,tbSkills!DH3:DI6,2,FALSE)+IF(AND(Calculator!B8=TRUE,Backdoors!BI13=TRUE),VLOOKUP(Calculator!E23,tbSkills!DH3:DJ6,3,FALSE),0),0)))/100)),1),1)</f>
        <v>0.4</v>
      </c>
      <c r="BZ86" s="87">
        <f t="shared" si="61"/>
        <v>0</v>
      </c>
      <c r="CA86" s="86" t="str">
        <f>IFERROR(IF(VLOOKUP(A86,tbMoveset!A2:B112,2,FALSE)="Sever",Backdoors!AY14/100,IF(VLOOKUP(A86,tbMoveset!A2:B112,2,FALSE)="Blunt",Backdoors!AZ14/100,Backdoors!BA14/100)),"")</f>
        <v/>
      </c>
      <c r="CB86" s="49">
        <f>IFERROR(IF(VLOOKUP(tbMoveset!A86,tbMoveset!A2:H112,8,FALSE)="Other",IF(VLOOKUP(tbMoveset!A86,tbMoveset!A2:I112,9,FALSE)="Fire",Backdoors!BB14,IF(VLOOKUP(tbMoveset!A86,tbMoveset!A2:I112,9,FALSE)="Water",Backdoors!BC14,IF(VLOOKUP(tbMoveset!A86,tbMoveset!A2:I112,9,FALSE)="Thunder",Backdoors!BD14,IF(VLOOKUP(tbMoveset!A86,tbMoveset!A2:I112,9,FALSE)="Ice",Backdoors!BE14,IF(VLOOKUP(tbMoveset!A86,tbMoveset!A2:I112,9,FALSE)="Dragon",Backdoors!BF14,Backdoors!BG14)))))/100,Backdoors!BG14/100),"")</f>
        <v>0</v>
      </c>
      <c r="CC86" s="49">
        <f>IFERROR(IF(VLOOKUP(A86,tbMoveset!A2:J112,10,FALSE)=TRUE,IF((Backdoors!AI12+IF(CA86&gt;=0.45,VLOOKUP(Calculator!E23,tbSkills!DH3:DI6,2,FALSE)+IF(AND(Calculator!B8=TRUE,Backdoors!BI14=TRUE),VLOOKUP(Calculator!E23,tbSkills!DH3:DJ6,3,FALSE),0),0))&gt;=0,1+(Backdoors!AL2*(IF((Backdoors!AI12+IF(CA86&gt;=0.45,VLOOKUP(Calculator!E23,tbSkills!DH3:DI6,2,FALSE)+IF(AND(Calculator!B8=TRUE,Backdoors!BI14=TRUE),VLOOKUP(Calculator!E23,tbSkills!DH3:DJ6,3,FALSE),0),0))&gt;=100,100,(Backdoors!AI12+IF(CA86&gt;=0.45,VLOOKUP(Calculator!E23,tbSkills!DH3:DI6,2,FALSE)+IF(AND(Calculator!B8=TRUE,Backdoors!BI14=TRUE),VLOOKUP(Calculator!E23,tbSkills!DH3:DJ6,3,FALSE),0),0)))/100)),(1-(0.25*((-Backdoors!AI12-IF(CA86&gt;=0.45,VLOOKUP(Calculator!E23,tbSkills!DH3:DI6,2,FALSE)+IF(AND(Calculator!B8=TRUE,Backdoors!BI14=TRUE),VLOOKUP(Calculator!E23,tbSkills!DH3:DJ6,3,FALSE),0),0))/100)))),1),"")</f>
        <v>1</v>
      </c>
      <c r="CD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A86)*CC86)*(VLOOKUP(A86,tbMoveset!A2:C112,3,FALSE)/100)*IF(VLOOKUP(A86,tbMoveset!A2:B112,2,FALSE)="Projectile",Backdoors!N10,Backdoors!N9),0),"")</f>
        <v/>
      </c>
      <c r="CE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A86&gt;=0.45,VLOOKUP(Calculator!E23,tbSkills!DH3:DI6,2,FALSE)+IF(AND(Calculator!B8=TRUE,Backdoors!BI14=TRUE),VLOOKUP(Calculator!E23,tbSkills!DH3:DJ6,3,FALSE),0),0))&gt;=100,100,(Backdoors!AI12+IF(CA86&gt;=0.45,VLOOKUP(Calculator!E23,tbSkills!DH3:DI6,2,FALSE)+IF(AND(Calculator!B8=TRUE,Backdoors!BI14=TRUE),VLOOKUP(Calculator!E23,tbSkills!DH3:DJ6,3,FALSE),0),0)))/100)),1))*IF(VLOOKUP(A86,tbMoveset!A2:K112,11,FALSE)=TRUE,Backdoors!AC5,1))*CB86,0),"")</f>
        <v>0</v>
      </c>
      <c r="CF86" s="49">
        <f>VLOOKUP(A86,tbMoveset!A2:G112,7,FALSE)*IFERROR(IF(Backdoors!AI12&gt;=0,1+(IF(Calculator!E40&gt;0,VLOOKUP(Calculator!E40,tbSkills!AI3:AJ5,2,FALSE),Backdoors!AL4)*(IF((Backdoors!AI12+IF(CA86&gt;=0.45,VLOOKUP(Calculator!E23,tbSkills!DH3:DI6,2,FALSE)+IF(AND(Calculator!B8=TRUE,Backdoors!BI14=TRUE),VLOOKUP(Calculator!E23,tbSkills!DH3:DJ6,3,FALSE),0),0))&gt;=100,100,(Backdoors!AI12+IF(CA86&gt;=0.45,VLOOKUP(Calculator!E23,tbSkills!DH3:DI6,2,FALSE)+IF(AND(Calculator!B8=TRUE,Backdoors!BI14=TRUE),VLOOKUP(Calculator!E23,tbSkills!DH3:DJ6,3,FALSE),0),0)))/100)),1),1)</f>
        <v>0.4</v>
      </c>
      <c r="CG86" s="87">
        <f t="shared" si="62"/>
        <v>0</v>
      </c>
      <c r="CH86" s="86" t="str">
        <f>IFERROR(IF(VLOOKUP(A86,tbMoveset!A2:B112,2,FALSE)="Sever",Backdoors!AY15/100,IF(VLOOKUP(A86,tbMoveset!A2:B112,2,FALSE)="Blunt",Backdoors!AZ15/100,Backdoors!BA15/100)),"")</f>
        <v/>
      </c>
      <c r="CI86" s="49">
        <f>IFERROR(IF(VLOOKUP(tbMoveset!A86,tbMoveset!A2:H112,8,FALSE)="Other",IF(VLOOKUP(tbMoveset!A86,tbMoveset!A2:I112,9,FALSE)="Fire",Backdoors!BB15,IF(VLOOKUP(tbMoveset!A86,tbMoveset!A2:I112,9,FALSE)="Water",Backdoors!BC15,IF(VLOOKUP(tbMoveset!A86,tbMoveset!A2:I112,9,FALSE)="Thunder",Backdoors!BD15,IF(VLOOKUP(tbMoveset!A86,tbMoveset!A2:I112,9,FALSE)="Ice",Backdoors!BE15,IF(VLOOKUP(tbMoveset!A86,tbMoveset!A2:I112,9,FALSE)="Dragon",Backdoors!BF15,Backdoors!BG15)))))/100,Backdoors!BG15/100),"")</f>
        <v>0</v>
      </c>
      <c r="CJ86" s="49">
        <f>IFERROR(IF(VLOOKUP(A86,tbMoveset!A2:J112,10,FALSE)=TRUE,IF((Backdoors!AI12+IF(CH86&gt;=0.45,VLOOKUP(Calculator!E23,tbSkills!DH3:DI6,2,FALSE)+IF(AND(Calculator!B8=TRUE,Backdoors!BI15=TRUE),VLOOKUP(Calculator!E23,tbSkills!DH3:DJ6,3,FALSE),0),0))&gt;=0,1+(Backdoors!AL2*(IF((Backdoors!AI12+IF(CH86&gt;=0.45,VLOOKUP(Calculator!E23,tbSkills!DH3:DI6,2,FALSE)+IF(AND(Calculator!B8=TRUE,Backdoors!BI15=TRUE),VLOOKUP(Calculator!E23,tbSkills!DH3:DJ6,3,FALSE),0),0))&gt;=100,100,(Backdoors!AI12+IF(CH86&gt;=0.45,VLOOKUP(Calculator!E23,tbSkills!DH3:DI6,2,FALSE)+IF(AND(Calculator!B8=TRUE,Backdoors!BI15=TRUE),VLOOKUP(Calculator!E23,tbSkills!DH3:DJ6,3,FALSE),0),0)))/100)),(1-(0.25*((-Backdoors!AI12-IF(CH86&gt;=0.45,VLOOKUP(Calculator!E23,tbSkills!DH3:DI6,2,FALSE)+IF(AND(Calculator!B8=TRUE,Backdoors!BI15=TRUE),VLOOKUP(Calculator!E23,tbSkills!DH3:DJ6,3,FALSE),0),0))/100)))),1),"")</f>
        <v>1</v>
      </c>
      <c r="CK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H86)*CJ86)*(VLOOKUP(A86,tbMoveset!A2:C112,3,FALSE)/100)*IF(VLOOKUP(A86,tbMoveset!A2:B112,2,FALSE)="Projectile",Backdoors!N10,Backdoors!N9),0),"")</f>
        <v/>
      </c>
      <c r="CL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H86&gt;=0.45,VLOOKUP(Calculator!E23,tbSkills!DH3:DI6,2,FALSE)+IF(AND(Calculator!B8=TRUE,Backdoors!BI15=TRUE),VLOOKUP(Calculator!E23,tbSkills!DH3:DJ6,3,FALSE),0),0))&gt;=100,100,(Backdoors!AI12+IF(CH86&gt;=0.45,VLOOKUP(Calculator!E23,tbSkills!DH3:DI6,2,FALSE)+IF(AND(Calculator!B8=TRUE,Backdoors!BI15=TRUE),VLOOKUP(Calculator!E23,tbSkills!DH3:DJ6,3,FALSE),0),0)))/100)),1))*IF(VLOOKUP(A86,tbMoveset!A2:K112,11,FALSE)=TRUE,Backdoors!AC5,1))*CI86,0),"")</f>
        <v>0</v>
      </c>
      <c r="CM86" s="49">
        <f>VLOOKUP(A86,tbMoveset!A2:G112,7,FALSE)*IFERROR(IF(Backdoors!AI12&gt;=0,1+(IF(Calculator!E40&gt;0,VLOOKUP(Calculator!E40,tbSkills!AI3:AJ5,2,FALSE),Backdoors!AL4)*(IF((Backdoors!AI12+IF(CH86&gt;=0.45,VLOOKUP(Calculator!E23,tbSkills!DH3:DI6,2,FALSE)+IF(AND(Calculator!B8=TRUE,Backdoors!BI15=TRUE),VLOOKUP(Calculator!E23,tbSkills!DH3:DJ6,3,FALSE),0),0))&gt;=100,100,(Backdoors!AI12+IF(CH86&gt;=0.45,VLOOKUP(Calculator!E23,tbSkills!DH3:DI6,2,FALSE)+IF(AND(Calculator!B8=TRUE,Backdoors!BI15=TRUE),VLOOKUP(Calculator!E23,tbSkills!DH3:DJ6,3,FALSE),0),0)))/100)),1),1)</f>
        <v>0.4</v>
      </c>
      <c r="CN86" s="87">
        <f t="shared" si="63"/>
        <v>0</v>
      </c>
      <c r="CO86" s="86" t="str">
        <f>IFERROR(IF(VLOOKUP(A86,tbMoveset!A2:B112,2,FALSE)="Sever",Backdoors!AY16/100,IF(VLOOKUP(A86,tbMoveset!A2:B112,2,FALSE)="Blunt",Backdoors!AZ16/100,Backdoors!BA16/100)),"")</f>
        <v/>
      </c>
      <c r="CP86" s="49">
        <f>IFERROR(IF(VLOOKUP(tbMoveset!A86,tbMoveset!A2:H112,8,FALSE)="Other",IF(VLOOKUP(tbMoveset!A86,tbMoveset!A2:I112,9,FALSE)="Fire",Backdoors!BB16,IF(VLOOKUP(tbMoveset!A86,tbMoveset!A2:I112,9,FALSE)="Water",Backdoors!BC16,IF(VLOOKUP(tbMoveset!A86,tbMoveset!A2:I112,9,FALSE)="Thunder",Backdoors!BD16,IF(VLOOKUP(tbMoveset!A86,tbMoveset!A2:I112,9,FALSE)="Ice",Backdoors!BE16,IF(VLOOKUP(tbMoveset!A86,tbMoveset!A2:I112,9,FALSE)="Dragon",Backdoors!BF16,Backdoors!BG16)))))/100,Backdoors!BG16/100),"")</f>
        <v>0</v>
      </c>
      <c r="CQ86" s="49">
        <f>IFERROR(IF(VLOOKUP(A86,tbMoveset!A2:J112,10,FALSE)=TRUE,IF((Backdoors!AI12+IF(CO86&gt;=0.45,VLOOKUP(Calculator!E23,tbSkills!DH3:DI6,2,FALSE)+IF(AND(Calculator!B8=TRUE,Backdoors!BI16=TRUE),VLOOKUP(Calculator!E23,tbSkills!DH3:DJ6,3,FALSE),0),0))&gt;=0,1+(Backdoors!AL2*(IF((Backdoors!AI12+IF(CO86&gt;=0.45,VLOOKUP(Calculator!E23,tbSkills!DH3:DI6,2,FALSE)+IF(AND(Calculator!B8=TRUE,Backdoors!BI16=TRUE),VLOOKUP(Calculator!E23,tbSkills!DH3:DJ6,3,FALSE),0),0))&gt;=100,100,(Backdoors!AI12+IF(CO86&gt;=0.45,VLOOKUP(Calculator!E23,tbSkills!DH3:DI6,2,FALSE)+IF(AND(Calculator!B8=TRUE,Backdoors!BI16=TRUE),VLOOKUP(Calculator!E23,tbSkills!DH3:DJ6,3,FALSE),0),0)))/100)),(1-(0.25*((-Backdoors!AI12-IF(CO86&gt;=0.45,VLOOKUP(Calculator!E23,tbSkills!DH3:DI6,2,FALSE)+IF(AND(Calculator!B8=TRUE,Backdoors!BI16=TRUE),VLOOKUP(Calculator!E23,tbSkills!DH3:DJ6,3,FALSE),0),0))/100)))),1),"")</f>
        <v>1</v>
      </c>
      <c r="CR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O86)*CQ86)*(VLOOKUP(A86,tbMoveset!A2:C112,3,FALSE)/100)*IF(VLOOKUP(A86,tbMoveset!A2:B112,2,FALSE)="Projectile",Backdoors!N10,Backdoors!N9),0),"")</f>
        <v/>
      </c>
      <c r="CS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O86&gt;=0.45,VLOOKUP(Calculator!E23,tbSkills!DH3:DI6,2,FALSE)+IF(AND(Calculator!B8=TRUE,Backdoors!BI16=TRUE),VLOOKUP(Calculator!E23,tbSkills!DH3:DJ6,3,FALSE),0),0))&gt;=100,100,(Backdoors!AI12+IF(CO86&gt;=0.45,VLOOKUP(Calculator!E23,tbSkills!DH3:DI6,2,FALSE)+IF(AND(Calculator!B8=TRUE,Backdoors!BI16=TRUE),VLOOKUP(Calculator!E23,tbSkills!DH3:DJ6,3,FALSE),0),0)))/100)),1))*IF(VLOOKUP(A86,tbMoveset!A2:K112,11,FALSE)=TRUE,Backdoors!AC5,1))*CP86,0),"")</f>
        <v>0</v>
      </c>
      <c r="CT86" s="49">
        <f>VLOOKUP(A86,tbMoveset!A2:G112,7,FALSE)*IFERROR(IF(Backdoors!AI12&gt;=0,1+(IF(Calculator!E40&gt;0,VLOOKUP(Calculator!E40,tbSkills!AI3:AJ5,2,FALSE),Backdoors!AL4)*(IF((Backdoors!AI12+IF(CO86&gt;=0.45,VLOOKUP(Calculator!E23,tbSkills!DH3:DI6,2,FALSE)+IF(AND(Calculator!B8=TRUE,Backdoors!BI16=TRUE),VLOOKUP(Calculator!E23,tbSkills!DH3:DJ6,3,FALSE),0),0))&gt;=100,100,(Backdoors!AI12+IF(CO86&gt;=0.45,VLOOKUP(Calculator!E23,tbSkills!DH3:DI6,2,FALSE)+IF(AND(Calculator!B8=TRUE,Backdoors!BI16=TRUE),VLOOKUP(Calculator!E23,tbSkills!DH3:DJ6,3,FALSE),0),0)))/100)),1),1)</f>
        <v>0.4</v>
      </c>
      <c r="CU86" s="87">
        <f t="shared" si="64"/>
        <v>0</v>
      </c>
      <c r="CV86" s="86" t="str">
        <f>IFERROR(IF(VLOOKUP(A86,tbMoveset!A2:B112,2,FALSE)="Sever",Backdoors!AY17/100,IF(VLOOKUP(A86,tbMoveset!A2:B112,2,FALSE)="Blunt",Backdoors!AZ17/100,Backdoors!BA17/100)),"")</f>
        <v/>
      </c>
      <c r="CW86" s="49">
        <f>IFERROR(IF(VLOOKUP(tbMoveset!A86,tbMoveset!A2:H112,8,FALSE)="Other",IF(VLOOKUP(tbMoveset!A86,tbMoveset!A2:I112,9,FALSE)="Fire",Backdoors!BB17,IF(VLOOKUP(tbMoveset!A86,tbMoveset!A2:I112,9,FALSE)="Water",Backdoors!BC17,IF(VLOOKUP(tbMoveset!A86,tbMoveset!A2:I112,9,FALSE)="Thunder",Backdoors!BD17,IF(VLOOKUP(tbMoveset!A86,tbMoveset!A2:I112,9,FALSE)="Ice",Backdoors!BE17,IF(VLOOKUP(tbMoveset!A86,tbMoveset!A2:I112,9,FALSE)="Dragon",Backdoors!BF17,Backdoors!BG17)))))/100,Backdoors!BG17/100),"")</f>
        <v>0</v>
      </c>
      <c r="CX86" s="49">
        <f>IFERROR(IF(VLOOKUP(A86,tbMoveset!A2:J112,10,FALSE)=TRUE,IF((Backdoors!AI12+IF(CV86&gt;=0.45,VLOOKUP(Calculator!E23,tbSkills!DH3:DI6,2,FALSE)+IF(AND(Calculator!B8=TRUE,Backdoors!BI17=TRUE),VLOOKUP(Calculator!E23,tbSkills!DH3:DJ6,3,FALSE),0),0))&gt;=0,1+(Backdoors!AL2*(IF((Backdoors!AI12+IF(CV86&gt;=0.45,VLOOKUP(Calculator!E23,tbSkills!DH3:DI6,2,FALSE)+IF(AND(Calculator!B8=TRUE,Backdoors!BI17=TRUE),VLOOKUP(Calculator!E23,tbSkills!DH3:DJ6,3,FALSE),0),0))&gt;=100,100,(Backdoors!AI12+IF(CV86&gt;=0.45,VLOOKUP(Calculator!E23,tbSkills!DH3:DI6,2,FALSE)+IF(AND(Calculator!B8=TRUE,Backdoors!BI17=TRUE),VLOOKUP(Calculator!E23,tbSkills!DH3:DJ6,3,FALSE),0),0)))/100)),(1-(0.25*((-Backdoors!AI12-IF(CV86&gt;=0.45,VLOOKUP(Calculator!E23,tbSkills!DH3:DI6,2,FALSE)+IF(AND(Calculator!B8=TRUE,Backdoors!BI17=TRUE),VLOOKUP(Calculator!E23,tbSkills!DH3:DJ6,3,FALSE),0),0))/100)))),1),"")</f>
        <v>1</v>
      </c>
      <c r="CY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V86)*CX86)*(VLOOKUP(A86,tbMoveset!A2:C112,3,FALSE)/100)*IF(VLOOKUP(A86,tbMoveset!A2:B112,2,FALSE)="Projectile",Backdoors!N10,Backdoors!N9),0),"")</f>
        <v/>
      </c>
      <c r="CZ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V86&gt;=0.45,VLOOKUP(Calculator!E23,tbSkills!DH3:DI6,2,FALSE)+IF(AND(Calculator!B8=TRUE,Backdoors!BI17=TRUE),VLOOKUP(Calculator!E23,tbSkills!DH3:DJ6,3,FALSE),0),0))&gt;=100,100,(Backdoors!AI12+IF(CV86&gt;=0.45,VLOOKUP(Calculator!E23,tbSkills!DH3:DI6,2,FALSE)+IF(AND(Calculator!B8=TRUE,Backdoors!BI17=TRUE),VLOOKUP(Calculator!E23,tbSkills!DH3:DJ6,3,FALSE),0),0)))/100)),1))*IF(VLOOKUP(A86,tbMoveset!A2:K112,11,FALSE)=TRUE,Backdoors!AC5,1))*CW86,0),"")</f>
        <v>0</v>
      </c>
      <c r="DA86" s="49">
        <f>VLOOKUP(A86,tbMoveset!A2:G112,7,FALSE)*IFERROR(IF(Backdoors!AI12&gt;=0,1+(IF(Calculator!E40&gt;0,VLOOKUP(Calculator!E40,tbSkills!AI3:AJ5,2,FALSE),Backdoors!AL4)*(IF((Backdoors!AI12+IF(CV86&gt;=0.45,VLOOKUP(Calculator!E23,tbSkills!DH3:DI6,2,FALSE)+IF(AND(Calculator!B8=TRUE,Backdoors!BI17=TRUE),VLOOKUP(Calculator!E23,tbSkills!DH3:DJ6,3,FALSE),0),0))&gt;=100,100,(Backdoors!AI12+IF(CV86&gt;=0.45,VLOOKUP(Calculator!E23,tbSkills!DH3:DI6,2,FALSE)+IF(AND(Calculator!B8=TRUE,Backdoors!BI17=TRUE),VLOOKUP(Calculator!E23,tbSkills!DH3:DJ6,3,FALSE),0),0)))/100)),1),1)</f>
        <v>0.4</v>
      </c>
      <c r="DB86" s="87">
        <f t="shared" si="65"/>
        <v>0</v>
      </c>
      <c r="DC86" s="86" t="str">
        <f>IFERROR(IF(VLOOKUP(A86,tbMoveset!A2:B112,2,FALSE)="Sever",Backdoors!AY18/100,IF(VLOOKUP(A86,tbMoveset!A2:B112,2,FALSE)="Blunt",Backdoors!AZ18/100,Backdoors!BA18/100)),"")</f>
        <v/>
      </c>
      <c r="DD86" s="49">
        <f>IFERROR(IF(VLOOKUP(tbMoveset!A86,tbMoveset!A2:H112,8,FALSE)="Other",IF(VLOOKUP(tbMoveset!A86,tbMoveset!A2:I112,9,FALSE)="Fire",Backdoors!BB18,IF(VLOOKUP(tbMoveset!A86,tbMoveset!A2:I112,9,FALSE)="Water",Backdoors!BC18,IF(VLOOKUP(tbMoveset!A86,tbMoveset!A2:I112,9,FALSE)="Thunder",Backdoors!BD18,IF(VLOOKUP(tbMoveset!A86,tbMoveset!A2:I112,9,FALSE)="Ice",Backdoors!BE18,IF(VLOOKUP(tbMoveset!A86,tbMoveset!A2:I112,9,FALSE)="Dragon",Backdoors!BF18,Backdoors!BG18)))))/100,Backdoors!BG18/100),"")</f>
        <v>0</v>
      </c>
      <c r="DE86" s="49">
        <f>IFERROR(IF(VLOOKUP(A86,tbMoveset!A2:J112,10,FALSE)=TRUE,IF((Backdoors!AI12+IF(DC86&gt;=0.45,VLOOKUP(Calculator!E23,tbSkills!DH3:DI6,2,FALSE)+IF(AND(Calculator!B8=TRUE,Backdoors!BI18=TRUE),VLOOKUP(Calculator!E23,tbSkills!DH3:DJ6,3,FALSE),0),0))&gt;=0,1+(Backdoors!AL2*(IF((Backdoors!AI12+IF(DC86&gt;=0.45,VLOOKUP(Calculator!E23,tbSkills!DH3:DI6,2,FALSE)+IF(AND(Calculator!B8=TRUE,Backdoors!BI18=TRUE),VLOOKUP(Calculator!E23,tbSkills!DH3:DJ6,3,FALSE),0),0))&gt;=100,100,(Backdoors!AI12+IF(DC86&gt;=0.45,VLOOKUP(Calculator!E23,tbSkills!DH3:DI6,2,FALSE)+IF(AND(Calculator!B8=TRUE,Backdoors!BI18=TRUE),VLOOKUP(Calculator!E23,tbSkills!DH3:DJ6,3,FALSE),0),0)))/100)),(1-(0.25*((-Backdoors!AI12-IF(DC86&gt;=0.45,VLOOKUP(Calculator!E23,tbSkills!DH3:DI6,2,FALSE)+IF(AND(Calculator!B8=TRUE,Backdoors!BI18=TRUE),VLOOKUP(Calculator!E23,tbSkills!DH3:DJ6,3,FALSE),0),0))/100)))),1),"")</f>
        <v>1</v>
      </c>
      <c r="DF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C86)*DE86)*(VLOOKUP(A86,tbMoveset!A2:C112,3,FALSE)/100)*IF(VLOOKUP(A86,tbMoveset!A2:B112,2,FALSE)="Projectile",Backdoors!N10,Backdoors!N9),0),"")</f>
        <v/>
      </c>
      <c r="DG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C86&gt;=0.45,VLOOKUP(Calculator!E23,tbSkills!DH3:DI6,2,FALSE)+IF(AND(Calculator!B8=TRUE,Backdoors!BI18=TRUE),VLOOKUP(Calculator!E23,tbSkills!DH3:DJ6,3,FALSE),0),0))&gt;=100,100,(Backdoors!AI12+IF(DC86&gt;=0.45,VLOOKUP(Calculator!E23,tbSkills!DH3:DI6,2,FALSE)+IF(AND(Calculator!B8=TRUE,Backdoors!BI18=TRUE),VLOOKUP(Calculator!E23,tbSkills!DH3:DJ6,3,FALSE),0),0)))/100)),1))*IF(VLOOKUP(A86,tbMoveset!A2:K112,11,FALSE)=TRUE,Backdoors!AC5,1))*DD86,0),"")</f>
        <v>0</v>
      </c>
      <c r="DH86" s="49">
        <f>VLOOKUP(A86,tbMoveset!A2:G112,7,FALSE)*IFERROR(IF(Backdoors!AI12&gt;=0,1+(IF(Calculator!E40&gt;0,VLOOKUP(Calculator!E40,tbSkills!AI3:AJ5,2,FALSE),Backdoors!AL4)*(IF((Backdoors!AI12+IF(DC86&gt;=0.45,VLOOKUP(Calculator!E23,tbSkills!DH3:DI6,2,FALSE)+IF(AND(Calculator!B8=TRUE,Backdoors!BI18=TRUE),VLOOKUP(Calculator!E23,tbSkills!DH3:DJ6,3,FALSE),0),0))&gt;=100,100,(Backdoors!AI12+IF(DC86&gt;=0.45,VLOOKUP(Calculator!E23,tbSkills!DH3:DI6,2,FALSE)+IF(AND(Calculator!B8=TRUE,Backdoors!BI18=TRUE),VLOOKUP(Calculator!E23,tbSkills!DH3:DJ6,3,FALSE),0),0)))/100)),1),1)</f>
        <v>0.4</v>
      </c>
      <c r="DI86" s="87">
        <f t="shared" si="66"/>
        <v>0</v>
      </c>
      <c r="DJ86" s="86" t="str">
        <f>IFERROR(IF(VLOOKUP(A86,tbMoveset!A2:B112,2,FALSE)="Sever",Backdoors!AY19/100,IF(VLOOKUP(A86,tbMoveset!A2:B112,2,FALSE)="Blunt",Backdoors!AZ19/100,Backdoors!BA19/100)),"")</f>
        <v/>
      </c>
      <c r="DK86" s="49">
        <f>IFERROR(IF(VLOOKUP(tbMoveset!A86,tbMoveset!A2:H112,8,FALSE)="Other",IF(VLOOKUP(tbMoveset!A86,tbMoveset!A2:I112,9,FALSE)="Fire",Backdoors!BB19,IF(VLOOKUP(tbMoveset!A86,tbMoveset!A2:I112,9,FALSE)="Water",Backdoors!BC19,IF(VLOOKUP(tbMoveset!A86,tbMoveset!A2:I112,9,FALSE)="Thunder",Backdoors!BD19,IF(VLOOKUP(tbMoveset!A86,tbMoveset!A2:I112,9,FALSE)="Ice",Backdoors!BE19,IF(VLOOKUP(tbMoveset!A86,tbMoveset!A2:I112,9,FALSE)="Dragon",Backdoors!BF19,Backdoors!BG19)))))/100,Backdoors!BG19/100),"")</f>
        <v>0</v>
      </c>
      <c r="DL86" s="49">
        <f>IFERROR(IF(VLOOKUP(A86,tbMoveset!A2:J112,10,FALSE)=TRUE,IF((Backdoors!AI12+IF(DJ86&gt;=0.45,VLOOKUP(Calculator!E23,tbSkills!DH3:DI6,2,FALSE)+IF(AND(Calculator!B8=TRUE,Backdoors!BI19=TRUE),VLOOKUP(Calculator!E23,tbSkills!DH3:DJ6,3,FALSE),0),0))&gt;=0,1+(Backdoors!AL2*(IF((Backdoors!AI12+IF(DJ86&gt;=0.45,VLOOKUP(Calculator!E23,tbSkills!DH3:DI6,2,FALSE)+IF(AND(Calculator!B8=TRUE,Backdoors!BI19=TRUE),VLOOKUP(Calculator!E23,tbSkills!DH3:DJ6,3,FALSE),0),0))&gt;=100,100,(Backdoors!AI12+IF(DJ86&gt;=0.45,VLOOKUP(Calculator!E23,tbSkills!DH3:DI6,2,FALSE)+IF(AND(Calculator!B8=TRUE,Backdoors!BI19=TRUE),VLOOKUP(Calculator!E23,tbSkills!DH3:DJ6,3,FALSE),0),0)))/100)),(1-(0.25*((-Backdoors!AI12-IF(DJ86&gt;=0.45,VLOOKUP(Calculator!E23,tbSkills!DH3:DI6,2,FALSE)+IF(AND(Calculator!B8=TRUE,Backdoors!BI19=TRUE),VLOOKUP(Calculator!E23,tbSkills!DH3:DJ6,3,FALSE),0),0))/100)))),1),"")</f>
        <v>1</v>
      </c>
      <c r="DM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J86)*DL86)*(VLOOKUP(A86,tbMoveset!A2:C112,3,FALSE)/100)*IF(VLOOKUP(A86,tbMoveset!A2:B112,2,FALSE)="Projectile",Backdoors!N10,Backdoors!N9),0),"")</f>
        <v/>
      </c>
      <c r="DN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J86&gt;=0.45,VLOOKUP(Calculator!E23,tbSkills!DH3:DI6,2,FALSE)+IF(AND(Calculator!B8=TRUE,Backdoors!BI19=TRUE),VLOOKUP(Calculator!E23,tbSkills!DH3:DJ6,3,FALSE),0),0))&gt;=100,100,(Backdoors!AI12+IF(DJ86&gt;=0.45,VLOOKUP(Calculator!E23,tbSkills!DH3:DI6,2,FALSE)+IF(AND(Calculator!B8=TRUE,Backdoors!BI19=TRUE),VLOOKUP(Calculator!E23,tbSkills!DH3:DJ6,3,FALSE),0),0)))/100)),1))*IF(VLOOKUP(A86,tbMoveset!A2:K112,11,FALSE)=TRUE,Backdoors!AC5,1))*DK86,0),"")</f>
        <v>0</v>
      </c>
      <c r="DO86" s="49">
        <f>VLOOKUP(A86,tbMoveset!A2:G112,7,FALSE)*IFERROR(IF(Backdoors!AI12&gt;=0,1+(IF(Calculator!E40&gt;0,VLOOKUP(Calculator!E40,tbSkills!AI3:AJ5,2,FALSE),Backdoors!AL4)*(IF((Backdoors!AI12+IF(DJ86&gt;=0.45,VLOOKUP(Calculator!E23,tbSkills!DH3:DI6,2,FALSE)+IF(AND(Calculator!B8=TRUE,Backdoors!BI19=TRUE),VLOOKUP(Calculator!E23,tbSkills!DH3:DJ6,3,FALSE),0),0))&gt;=100,100,(Backdoors!AI12+IF(DJ86&gt;=0.45,VLOOKUP(Calculator!E23,tbSkills!DH3:DI6,2,FALSE)+IF(AND(Calculator!B8=TRUE,Backdoors!BI19=TRUE),VLOOKUP(Calculator!E23,tbSkills!DH3:DJ6,3,FALSE),0),0)))/100)),1),1)</f>
        <v>0.4</v>
      </c>
      <c r="DP86" s="87">
        <f t="shared" si="67"/>
        <v>0</v>
      </c>
      <c r="DQ86" s="86" t="str">
        <f>IFERROR(IF(VLOOKUP(A86,tbMoveset!A2:B112,2,FALSE)="Sever",Backdoors!AY20/100,IF(VLOOKUP(A86,tbMoveset!A2:B112,2,FALSE)="Blunt",Backdoors!AZ20/100,Backdoors!BA20/100)),"")</f>
        <v/>
      </c>
      <c r="DR86" s="49">
        <f>IFERROR(IF(VLOOKUP(tbMoveset!A86,tbMoveset!A2:H112,8,FALSE)="Other",IF(VLOOKUP(tbMoveset!A86,tbMoveset!A2:I112,9,FALSE)="Fire",Backdoors!BB20,IF(VLOOKUP(tbMoveset!A86,tbMoveset!A2:I112,9,FALSE)="Water",Backdoors!BC20,IF(VLOOKUP(tbMoveset!A86,tbMoveset!A2:I112,9,FALSE)="Thunder",Backdoors!BD20,IF(VLOOKUP(tbMoveset!A86,tbMoveset!A2:I112,9,FALSE)="Ice",Backdoors!BE20,IF(VLOOKUP(tbMoveset!A86,tbMoveset!A2:I112,9,FALSE)="Dragon",Backdoors!BF20,Backdoors!BG20)))))/100,Backdoors!BG20/100),"")</f>
        <v>0</v>
      </c>
      <c r="DS86" s="49">
        <f>IFERROR(IF(VLOOKUP(A86,tbMoveset!A2:J112,10,FALSE)=TRUE,IF((Backdoors!AI12+IF(DQ86&gt;=0.45,VLOOKUP(Calculator!E23,tbSkills!DH3:DI6,2,FALSE)+IF(AND(Calculator!B8=TRUE,Backdoors!BI20=TRUE),VLOOKUP(Calculator!E23,tbSkills!DH3:DJ6,3,FALSE),0),0))&gt;=0,1+(Backdoors!AL2*(IF((Backdoors!AI12+IF(DQ86&gt;=0.45,VLOOKUP(Calculator!E23,tbSkills!DH3:DI6,2,FALSE)+IF(AND(Calculator!B8=TRUE,Backdoors!BI20=TRUE),VLOOKUP(Calculator!E23,tbSkills!DH3:DJ6,3,FALSE),0),0))&gt;=100,100,(Backdoors!AI12+IF(DQ86&gt;=0.45,VLOOKUP(Calculator!E23,tbSkills!DH3:DI6,2,FALSE)+IF(AND(Calculator!B8=TRUE,Backdoors!BI20=TRUE),VLOOKUP(Calculator!E23,tbSkills!DH3:DJ6,3,FALSE),0),0)))/100)),(1-(0.25*((-Backdoors!AI12-IF(DQ86&gt;=0.45,VLOOKUP(Calculator!E23,tbSkills!DH3:DI6,2,FALSE)+IF(AND(Calculator!B8=TRUE,Backdoors!BI20=TRUE),VLOOKUP(Calculator!E23,tbSkills!DH3:DJ6,3,FALSE),0),0))/100)))),1),"")</f>
        <v>1</v>
      </c>
      <c r="DT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Q86)*DS86)*(VLOOKUP(A86,tbMoveset!A2:C112,3,FALSE)/100)*IF(VLOOKUP(A86,tbMoveset!A2:B112,2,FALSE)="Projectile",Backdoors!N10,Backdoors!N9),0),"")</f>
        <v/>
      </c>
      <c r="DU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Q86&gt;=0.45,VLOOKUP(Calculator!E23,tbSkills!DH3:DI6,2,FALSE)+IF(AND(Calculator!B8=TRUE,Backdoors!BI20=TRUE),VLOOKUP(Calculator!E23,tbSkills!DH3:DJ6,3,FALSE),0),0))&gt;=100,100,(Backdoors!AI12+IF(DQ86&gt;=0.45,VLOOKUP(Calculator!E23,tbSkills!DH3:DI6,2,FALSE)+IF(AND(Calculator!B8=TRUE,Backdoors!BI20=TRUE),VLOOKUP(Calculator!E23,tbSkills!DH3:DJ6,3,FALSE),0),0)))/100)),1))*IF(VLOOKUP(A86,tbMoveset!A2:K112,11,FALSE)=TRUE,Backdoors!AC5,1))*DR86,0),"")</f>
        <v>0</v>
      </c>
      <c r="DV86" s="49">
        <f>VLOOKUP(A86,tbMoveset!A2:G112,7,FALSE)*IFERROR(IF(Backdoors!AI12&gt;=0,1+(IF(Calculator!E40&gt;0,VLOOKUP(Calculator!E40,tbSkills!AI3:AJ5,2,FALSE),Backdoors!AL4)*(IF((Backdoors!AI12+IF(DQ86&gt;=0.45,VLOOKUP(Calculator!E23,tbSkills!DH3:DI6,2,FALSE)+IF(AND(Calculator!B8=TRUE,Backdoors!BI20=TRUE),VLOOKUP(Calculator!E23,tbSkills!DH3:DJ6,3,FALSE),0),0))&gt;=100,100,(Backdoors!AI12+IF(DQ86&gt;=0.45,VLOOKUP(Calculator!E23,tbSkills!DH3:DI6,2,FALSE)+IF(AND(Calculator!B8=TRUE,Backdoors!BI20=TRUE),VLOOKUP(Calculator!E23,tbSkills!DH3:DJ6,3,FALSE),0),0)))/100)),1),1)</f>
        <v>0.4</v>
      </c>
      <c r="DW86" s="87">
        <f t="shared" si="68"/>
        <v>0</v>
      </c>
      <c r="DX86" s="86" t="str">
        <f>IFERROR(IF(VLOOKUP(A86,tbMoveset!A2:B112,2,FALSE)="Sever",Backdoors!AY21/100,IF(VLOOKUP(A86,tbMoveset!A2:B112,2,FALSE)="Blunt",Backdoors!AZ21/100,Backdoors!BA21/100)),"")</f>
        <v/>
      </c>
      <c r="DY86" s="49">
        <f>IFERROR(IF(VLOOKUP(tbMoveset!A86,tbMoveset!A2:H112,8,FALSE)="Other",IF(VLOOKUP(tbMoveset!A86,tbMoveset!A2:I112,9,FALSE)="Fire",Backdoors!BB21,IF(VLOOKUP(tbMoveset!A86,tbMoveset!A2:I112,9,FALSE)="Water",Backdoors!BC21,IF(VLOOKUP(tbMoveset!A86,tbMoveset!A2:I112,9,FALSE)="Thunder",Backdoors!BD21,IF(VLOOKUP(tbMoveset!A86,tbMoveset!A2:I112,9,FALSE)="Ice",Backdoors!BE21,IF(VLOOKUP(tbMoveset!A86,tbMoveset!A2:I112,9,FALSE)="Dragon",Backdoors!BF21,Backdoors!BG21)))))/100,Backdoors!BG21/100),"")</f>
        <v>0</v>
      </c>
      <c r="DZ86" s="49">
        <f>IFERROR(IF(VLOOKUP(A86,tbMoveset!A2:J112,10,FALSE)=TRUE,IF((Backdoors!AI12+IF(DX86&gt;=0.45,VLOOKUP(Calculator!E23,tbSkills!DH3:DI6,2,FALSE)+IF(AND(Calculator!B8=TRUE,Backdoors!BI21=TRUE),VLOOKUP(Calculator!E23,tbSkills!DH3:DJ6,3,FALSE),0),0))&gt;=0,1+(Backdoors!AL2*(IF((Backdoors!AI12+IF(DX86&gt;=0.45,VLOOKUP(Calculator!E23,tbSkills!DH3:DI6,2,FALSE)+IF(AND(Calculator!B8=TRUE,Backdoors!BI21=TRUE),VLOOKUP(Calculator!E23,tbSkills!DH3:DJ6,3,FALSE),0),0))&gt;=100,100,(Backdoors!AI12+IF(DX86&gt;=0.45,VLOOKUP(Calculator!E23,tbSkills!DH3:DI6,2,FALSE)+IF(AND(Calculator!B8=TRUE,Backdoors!BI21=TRUE),VLOOKUP(Calculator!E23,tbSkills!DH3:DJ6,3,FALSE),0),0)))/100)),(1-(0.25*((-Backdoors!AI12-IF(DX86&gt;=0.45,VLOOKUP(Calculator!E23,tbSkills!DH3:DI6,2,FALSE)+IF(AND(Calculator!B8=TRUE,Backdoors!BI21=TRUE),VLOOKUP(Calculator!E23,tbSkills!DH3:DJ6,3,FALSE),0),0))/100)))),1),"")</f>
        <v>1</v>
      </c>
      <c r="EA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X86)*DZ86)*(VLOOKUP(A86,tbMoveset!A2:C112,3,FALSE)/100)*IF(VLOOKUP(A86,tbMoveset!A2:B112,2,FALSE)="Projectile",Backdoors!N10,Backdoors!N9),0),"")</f>
        <v/>
      </c>
      <c r="EB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X86&gt;=0.45,VLOOKUP(Calculator!E23,tbSkills!DH3:DI6,2,FALSE)+IF(AND(Calculator!B8=TRUE,Backdoors!BI21=TRUE),VLOOKUP(Calculator!E23,tbSkills!DH3:DJ6,3,FALSE),0),0))&gt;=100,100,(Backdoors!AI12+IF(DX86&gt;=0.45,VLOOKUP(Calculator!E23,tbSkills!DH3:DI6,2,FALSE)+IF(AND(Calculator!B8=TRUE,Backdoors!BI21=TRUE),VLOOKUP(Calculator!E23,tbSkills!DH3:DJ6,3,FALSE),0),0)))/100)),1))*IF(VLOOKUP(A86,tbMoveset!A2:K112,11,FALSE)=TRUE,Backdoors!AC5,1))*DY86,0),"")</f>
        <v>0</v>
      </c>
      <c r="EC86" s="49">
        <f>VLOOKUP(A86,tbMoveset!A2:G112,7,FALSE)*IFERROR(IF(Backdoors!AI12&gt;=0,1+(IF(Calculator!E40&gt;0,VLOOKUP(Calculator!E40,tbSkills!AI3:AJ5,2,FALSE),Backdoors!AL4)*(IF((Backdoors!AI12+IF(DX86&gt;=0.45,VLOOKUP(Calculator!E23,tbSkills!DH3:DI6,2,FALSE)+IF(AND(Calculator!B8=TRUE,Backdoors!BI21=TRUE),VLOOKUP(Calculator!E23,tbSkills!DH3:DJ6,3,FALSE),0),0))&gt;=100,100,(Backdoors!AI12+IF(DX86&gt;=0.45,VLOOKUP(Calculator!E23,tbSkills!DH3:DI6,2,FALSE)+IF(AND(Calculator!B8=TRUE,Backdoors!BI21=TRUE),VLOOKUP(Calculator!E23,tbSkills!DH3:DJ6,3,FALSE),0),0)))/100)),1),1)</f>
        <v>0.4</v>
      </c>
      <c r="ED86" s="87">
        <f t="shared" si="69"/>
        <v>0</v>
      </c>
      <c r="EE86" s="86" t="str">
        <f>IFERROR(IF(VLOOKUP(A86,tbMoveset!A2:B112,2,FALSE)="Sever",Backdoors!AY22/100,IF(VLOOKUP(A86,tbMoveset!A2:B112,2,FALSE)="Blunt",Backdoors!AZ22/100,Backdoors!BA22/100)),"")</f>
        <v/>
      </c>
      <c r="EF86" s="49">
        <f>IFERROR(IF(VLOOKUP(tbMoveset!A86,tbMoveset!A2:H112,8,FALSE)="Other",IF(VLOOKUP(tbMoveset!A86,tbMoveset!A2:I112,9,FALSE)="Fire",Backdoors!BB22,IF(VLOOKUP(tbMoveset!A86,tbMoveset!A2:I112,9,FALSE)="Water",Backdoors!BC22,IF(VLOOKUP(tbMoveset!A86,tbMoveset!A2:I112,9,FALSE)="Thunder",Backdoors!BD22,IF(VLOOKUP(tbMoveset!A86,tbMoveset!A2:I112,9,FALSE)="Ice",Backdoors!BE22,IF(VLOOKUP(tbMoveset!A86,tbMoveset!A2:I112,9,FALSE)="Dragon",Backdoors!BF22,Backdoors!BG22)))))/100,Backdoors!BG22/100),"")</f>
        <v>0</v>
      </c>
      <c r="EG86" s="49">
        <f>IFERROR(IF(VLOOKUP(A86,tbMoveset!A2:J112,10,FALSE)=TRUE,IF((Backdoors!AI12+IF(EE86&gt;=0.45,VLOOKUP(Calculator!E23,tbSkills!DH3:DI6,2,FALSE)+IF(AND(Calculator!B8=TRUE,Backdoors!BI22=TRUE),VLOOKUP(Calculator!E23,tbSkills!DH3:DJ6,3,FALSE),0),0))&gt;=0,1+(Backdoors!AL2*(IF((Backdoors!AI12+IF(EE86&gt;=0.45,VLOOKUP(Calculator!E23,tbSkills!DH3:DI6,2,FALSE)+IF(AND(Calculator!B8=TRUE,Backdoors!BI22=TRUE),VLOOKUP(Calculator!E23,tbSkills!DH3:DJ6,3,FALSE),0),0))&gt;=100,100,(Backdoors!AI12+IF(EE86&gt;=0.45,VLOOKUP(Calculator!E23,tbSkills!DH3:DI6,2,FALSE)+IF(AND(Calculator!B8=TRUE,Backdoors!BI22=TRUE),VLOOKUP(Calculator!E23,tbSkills!DH3:DJ6,3,FALSE),0),0)))/100)),(1-(0.25*((-Backdoors!AI12-IF(EE86&gt;=0.45,VLOOKUP(Calculator!E23,tbSkills!DH3:DI6,2,FALSE)+IF(AND(Calculator!B8=TRUE,Backdoors!BI22=TRUE),VLOOKUP(Calculator!E23,tbSkills!DH3:DJ6,3,FALSE),0),0))/100)))),1),"")</f>
        <v>1</v>
      </c>
      <c r="EH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E86)*EG86)*(VLOOKUP(A86,tbMoveset!A2:C112,3,FALSE)/100)*IF(VLOOKUP(A86,tbMoveset!A2:B112,2,FALSE)="Projectile",Backdoors!N10,Backdoors!N9),0),"")</f>
        <v/>
      </c>
      <c r="EI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E86&gt;=0.45,VLOOKUP(Calculator!E23,tbSkills!DH3:DI6,2,FALSE)+IF(AND(Calculator!B8=TRUE,Backdoors!BI22=TRUE),VLOOKUP(Calculator!E23,tbSkills!DH3:DJ6,3,FALSE),0),0))&gt;=100,100,(Backdoors!AI12+IF(EE86&gt;=0.45,VLOOKUP(Calculator!E23,tbSkills!DH3:DI6,2,FALSE)+IF(AND(Calculator!B8=TRUE,Backdoors!BI22=TRUE),VLOOKUP(Calculator!E23,tbSkills!DH3:DJ6,3,FALSE),0),0)))/100)),1))*IF(VLOOKUP(A86,tbMoveset!A2:K112,11,FALSE)=TRUE,Backdoors!AC5,1))*EF86,0),"")</f>
        <v>0</v>
      </c>
      <c r="EJ86" s="49">
        <f>VLOOKUP(A86,tbMoveset!A2:G112,7,FALSE)*IFERROR(IF(Backdoors!AI12&gt;=0,1+(IF(Calculator!E40&gt;0,VLOOKUP(Calculator!E40,tbSkills!AI3:AJ5,2,FALSE),Backdoors!AL4)*(IF((Backdoors!AI12+IF(EE86&gt;=0.45,VLOOKUP(Calculator!E23,tbSkills!DH3:DI6,2,FALSE)+IF(AND(Calculator!B8=TRUE,Backdoors!BI22=TRUE),VLOOKUP(Calculator!E23,tbSkills!DH3:DJ6,3,FALSE),0),0))&gt;=100,100,(Backdoors!AI12+IF(EE86&gt;=0.45,VLOOKUP(Calculator!E23,tbSkills!DH3:DI6,2,FALSE)+IF(AND(Calculator!B8=TRUE,Backdoors!BI22=TRUE),VLOOKUP(Calculator!E23,tbSkills!DH3:DJ6,3,FALSE),0),0)))/100)),1),1)</f>
        <v>0.4</v>
      </c>
      <c r="EK86" s="87">
        <f t="shared" si="70"/>
        <v>0</v>
      </c>
      <c r="EL86" s="86" t="str">
        <f>IFERROR(IF(VLOOKUP(A86,tbMoveset!A2:B112,2,FALSE)="Sever",Backdoors!AY23/100,IF(VLOOKUP(A86,tbMoveset!A2:B112,2,FALSE)="Blunt",Backdoors!AZ23/100,Backdoors!BA23/100)),"")</f>
        <v/>
      </c>
      <c r="EM86" s="49">
        <f>IFERROR(IF(VLOOKUP(tbMoveset!A86,tbMoveset!A2:H112,8,FALSE)="Other",IF(VLOOKUP(tbMoveset!A86,tbMoveset!A2:I112,9,FALSE)="Fire",Backdoors!BB23,IF(VLOOKUP(tbMoveset!A86,tbMoveset!A2:I112,9,FALSE)="Water",Backdoors!BC23,IF(VLOOKUP(tbMoveset!A86,tbMoveset!A2:I112,9,FALSE)="Thunder",Backdoors!BD23,IF(VLOOKUP(tbMoveset!A86,tbMoveset!A2:I112,9,FALSE)="Ice",Backdoors!BE23,IF(VLOOKUP(tbMoveset!A86,tbMoveset!A2:I112,9,FALSE)="Dragon",Backdoors!BF23,Backdoors!BG23)))))/100,Backdoors!BG23/100),"")</f>
        <v>0</v>
      </c>
      <c r="EN86" s="49">
        <f>IFERROR(IF(VLOOKUP(A86,tbMoveset!A2:J112,10,FALSE)=TRUE,IF((Backdoors!AI12+IF(EL86&gt;=0.45,VLOOKUP(Calculator!E23,tbSkills!DH3:DI6,2,FALSE)+IF(AND(Calculator!B8=TRUE,Backdoors!BI23=TRUE),VLOOKUP(Calculator!E23,tbSkills!DH3:DJ6,3,FALSE),0),0))&gt;=0,1+(Backdoors!AL2*(IF((Backdoors!AI12+IF(EL86&gt;=0.45,VLOOKUP(Calculator!E23,tbSkills!DH3:DI6,2,FALSE)+IF(AND(Calculator!B8=TRUE,Backdoors!BI23=TRUE),VLOOKUP(Calculator!E23,tbSkills!DH3:DJ6,3,FALSE),0),0))&gt;=100,100,(Backdoors!AI12+IF(EL86&gt;=0.45,VLOOKUP(Calculator!E23,tbSkills!DH3:DI6,2,FALSE)+IF(AND(Calculator!B8=TRUE,Backdoors!BI23=TRUE),VLOOKUP(Calculator!E23,tbSkills!DH3:DJ6,3,FALSE),0),0)))/100)),(1-(0.25*((-Backdoors!AI12-IF(EL86&gt;=0.45,VLOOKUP(Calculator!E23,tbSkills!DH3:DI6,2,FALSE)+IF(AND(Calculator!B8=TRUE,Backdoors!BI23=TRUE),VLOOKUP(Calculator!E23,tbSkills!DH3:DJ6,3,FALSE),0),0))/100)))),1),"")</f>
        <v>1</v>
      </c>
      <c r="EO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L86)*EN86)*(VLOOKUP(A86,tbMoveset!A2:C112,3,FALSE)/100)*IF(VLOOKUP(A86,tbMoveset!A2:B112,2,FALSE)="Projectile",Backdoors!N10,Backdoors!N9),0),"")</f>
        <v/>
      </c>
      <c r="EP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L86&gt;=0.45,VLOOKUP(Calculator!E23,tbSkills!DH3:DI6,2,FALSE)+IF(AND(Calculator!B8=TRUE,Backdoors!BI23=TRUE),VLOOKUP(Calculator!E23,tbSkills!DH3:DJ6,3,FALSE),0),0))&gt;=100,100,(Backdoors!AI12+IF(EL86&gt;=0.45,VLOOKUP(Calculator!E23,tbSkills!DH3:DI6,2,FALSE)+IF(AND(Calculator!B8=TRUE,Backdoors!BI23=TRUE),VLOOKUP(Calculator!E23,tbSkills!DH3:DJ6,3,FALSE),0),0)))/100)),1))*IF(VLOOKUP(A86,tbMoveset!A2:K112,11,FALSE)=TRUE,Backdoors!AC5,1))*EM86,0),"")</f>
        <v>0</v>
      </c>
      <c r="EQ86" s="49">
        <f>VLOOKUP(A86,tbMoveset!A2:G112,7,FALSE)*IFERROR(IF(Backdoors!AI12&gt;=0,1+(IF(Calculator!E40&gt;0,VLOOKUP(Calculator!E40,tbSkills!AI3:AJ5,2,FALSE),Backdoors!AL4)*(IF((Backdoors!AI12+IF(EL86&gt;=0.45,VLOOKUP(Calculator!E23,tbSkills!DH3:DI6,2,FALSE)+IF(AND(Calculator!B8=TRUE,Backdoors!BI23=TRUE),VLOOKUP(Calculator!E23,tbSkills!DH3:DJ6,3,FALSE),0),0))&gt;=100,100,(Backdoors!AI12+IF(EL86&gt;=0.45,VLOOKUP(Calculator!E23,tbSkills!DH3:DI6,2,FALSE)+IF(AND(Calculator!B8=TRUE,Backdoors!BI23=TRUE),VLOOKUP(Calculator!E23,tbSkills!DH3:DJ6,3,FALSE),0),0)))/100)),1),1)</f>
        <v>0.4</v>
      </c>
      <c r="ER86" s="87">
        <f t="shared" si="71"/>
        <v>0</v>
      </c>
      <c r="ES86" s="86" t="str">
        <f>IFERROR(IF(VLOOKUP(A86,tbMoveset!A2:B112,2,FALSE)="Sever",Backdoors!AY24/100,IF(VLOOKUP(A86,tbMoveset!A2:B112,2,FALSE)="Blunt",Backdoors!AZ24/100,Backdoors!BA24/100)),"")</f>
        <v/>
      </c>
      <c r="ET86" s="49">
        <f>IFERROR(IF(VLOOKUP(tbMoveset!A86,tbMoveset!A2:H112,8,FALSE)="Other",IF(VLOOKUP(tbMoveset!A86,tbMoveset!A2:I112,9,FALSE)="Fire",Backdoors!BB24,IF(VLOOKUP(tbMoveset!A86,tbMoveset!A2:I112,9,FALSE)="Water",Backdoors!BC24,IF(VLOOKUP(tbMoveset!A86,tbMoveset!A2:I112,9,FALSE)="Thunder",Backdoors!BD24,IF(VLOOKUP(tbMoveset!A86,tbMoveset!A2:I112,9,FALSE)="Ice",Backdoors!BE24,IF(VLOOKUP(tbMoveset!A86,tbMoveset!A2:I112,9,FALSE)="Dragon",Backdoors!BF24,Backdoors!BG24)))))/100,Backdoors!BG24/100),"")</f>
        <v>0</v>
      </c>
      <c r="EU86" s="49">
        <f>IFERROR(IF(VLOOKUP(A86,tbMoveset!A2:J112,10,FALSE)=TRUE,IF((Backdoors!AI12+IF(ES86&gt;=0.45,VLOOKUP(Calculator!E23,tbSkills!DH3:DI6,2,FALSE)+IF(AND(Calculator!B8=TRUE,Backdoors!BI24=TRUE),VLOOKUP(Calculator!E23,tbSkills!DH3:DJ6,3,FALSE),0),0))&gt;=0,1+(Backdoors!AL2*(IF((Backdoors!AI12+IF(ES86&gt;=0.45,VLOOKUP(Calculator!E23,tbSkills!DH3:DI6,2,FALSE)+IF(AND(Calculator!B8=TRUE,Backdoors!BI24=TRUE),VLOOKUP(Calculator!E23,tbSkills!DH3:DJ6,3,FALSE),0),0))&gt;=100,100,(Backdoors!AI12+IF(ES86&gt;=0.45,VLOOKUP(Calculator!E23,tbSkills!DH3:DI6,2,FALSE)+IF(AND(Calculator!B8=TRUE,Backdoors!BI24=TRUE),VLOOKUP(Calculator!E23,tbSkills!DH3:DJ6,3,FALSE),0),0)))/100)),(1-(0.25*((-Backdoors!AI12-IF(ES86&gt;=0.45,VLOOKUP(Calculator!E23,tbSkills!DH3:DI6,2,FALSE)+IF(AND(Calculator!B8=TRUE,Backdoors!BI24=TRUE),VLOOKUP(Calculator!E23,tbSkills!DH3:DJ6,3,FALSE),0),0))/100)))),1),"")</f>
        <v>1</v>
      </c>
      <c r="EV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S86)*EU86)*(VLOOKUP(A86,tbMoveset!A2:C112,3,FALSE)/100)*IF(VLOOKUP(A86,tbMoveset!A2:B112,2,FALSE)="Projectile",Backdoors!N10,Backdoors!N9),0),"")</f>
        <v/>
      </c>
      <c r="EW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S86&gt;=0.45,VLOOKUP(Calculator!E23,tbSkills!DH3:DI6,2,FALSE)+IF(AND(Calculator!B8=TRUE,Backdoors!BI24=TRUE),VLOOKUP(Calculator!E23,tbSkills!DH3:DJ6,3,FALSE),0),0))&gt;=100,100,(Backdoors!AI12+IF(ES86&gt;=0.45,VLOOKUP(Calculator!E23,tbSkills!DH3:DI6,2,FALSE)+IF(AND(Calculator!B8=TRUE,Backdoors!BI24=TRUE),VLOOKUP(Calculator!E23,tbSkills!DH3:DJ6,3,FALSE),0),0)))/100)),1))*IF(VLOOKUP(A86,tbMoveset!A2:K112,11,FALSE)=TRUE,Backdoors!AC5,1))*ET86,0),"")</f>
        <v>0</v>
      </c>
      <c r="EX86" s="49">
        <f>VLOOKUP(A86,tbMoveset!A2:G112,7,FALSE)*IFERROR(IF(Backdoors!AI12&gt;=0,1+(IF(Calculator!E40&gt;0,VLOOKUP(Calculator!E40,tbSkills!AI3:AJ5,2,FALSE),Backdoors!AL4)*(IF((Backdoors!AI12+IF(ES86&gt;=0.45,VLOOKUP(Calculator!E23,tbSkills!DH3:DI6,2,FALSE)+IF(AND(Calculator!B8=TRUE,Backdoors!BI24=TRUE),VLOOKUP(Calculator!E23,tbSkills!DH3:DJ6,3,FALSE),0),0))&gt;=100,100,(Backdoors!AI12+IF(ES86&gt;=0.45,VLOOKUP(Calculator!E23,tbSkills!DH3:DI6,2,FALSE)+IF(AND(Calculator!B8=TRUE,Backdoors!BI24=TRUE),VLOOKUP(Calculator!E23,tbSkills!DH3:DJ6,3,FALSE),0),0)))/100)),1),1)</f>
        <v>0.4</v>
      </c>
      <c r="EY86" s="87">
        <f t="shared" si="72"/>
        <v>0</v>
      </c>
      <c r="EZ86" s="86" t="str">
        <f>IFERROR(IF(VLOOKUP(A86,tbMoveset!A2:B112,2,FALSE)="Sever",Backdoors!AY25/100,IF(VLOOKUP(A86,tbMoveset!A2:B112,2,FALSE)="Blunt",Backdoors!AZ25/100,Backdoors!BA25/100)),"")</f>
        <v/>
      </c>
      <c r="FA86" s="49">
        <f>IFERROR(IF(VLOOKUP(tbMoveset!A86,tbMoveset!A2:H112,8,FALSE)="Other",IF(VLOOKUP(tbMoveset!A86,tbMoveset!A2:I112,9,FALSE)="Fire",Backdoors!BB25,IF(VLOOKUP(tbMoveset!A86,tbMoveset!A2:I112,9,FALSE)="Water",Backdoors!BC25,IF(VLOOKUP(tbMoveset!A86,tbMoveset!A2:I112,9,FALSE)="Thunder",Backdoors!BD25,IF(VLOOKUP(tbMoveset!A86,tbMoveset!A2:I112,9,FALSE)="Ice",Backdoors!BE25,IF(VLOOKUP(tbMoveset!A86,tbMoveset!A2:I112,9,FALSE)="Dragon",Backdoors!BF25,Backdoors!BG25)))))/100,Backdoors!BG25/100),"")</f>
        <v>0</v>
      </c>
      <c r="FB86" s="49">
        <f>IFERROR(IF(VLOOKUP(A86,tbMoveset!A2:J112,10,FALSE)=TRUE,IF((Backdoors!AI12+IF(EZ86&gt;=0.45,VLOOKUP(Calculator!E23,tbSkills!DH3:DI6,2,FALSE)+IF(AND(Calculator!B8=TRUE,Backdoors!BI25=TRUE),VLOOKUP(Calculator!E23,tbSkills!DH3:DJ6,3,FALSE),0),0))&gt;=0,1+(Backdoors!AL2*(IF((Backdoors!AI12+IF(EZ86&gt;=0.45,VLOOKUP(Calculator!E23,tbSkills!DH3:DI6,2,FALSE)+IF(AND(Calculator!B8=TRUE,Backdoors!BI25=TRUE),VLOOKUP(Calculator!E23,tbSkills!DH3:DJ6,3,FALSE),0),0))&gt;=100,100,(Backdoors!AI12+IF(EZ86&gt;=0.45,VLOOKUP(Calculator!E23,tbSkills!DH3:DI6,2,FALSE)+IF(AND(Calculator!B8=TRUE,Backdoors!BI25=TRUE),VLOOKUP(Calculator!E23,tbSkills!DH3:DJ6,3,FALSE),0),0)))/100)),(1-(0.25*((-Backdoors!AI12-IF(EZ86&gt;=0.45,VLOOKUP(Calculator!E23,tbSkills!DH3:DI6,2,FALSE)+IF(AND(Calculator!B8=TRUE,Backdoors!BI25=TRUE),VLOOKUP(Calculator!E23,tbSkills!DH3:DJ6,3,FALSE),0),0))/100)))),1),"")</f>
        <v>1</v>
      </c>
      <c r="FC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Z86)*FB86)*(VLOOKUP(A86,tbMoveset!A2:C112,3,FALSE)/100)*IF(VLOOKUP(A86,tbMoveset!A2:B112,2,FALSE)="Projectile",Backdoors!N10,Backdoors!N9),0),"")</f>
        <v/>
      </c>
      <c r="FD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Z86&gt;=0.45,VLOOKUP(Calculator!E23,tbSkills!DH3:DI6,2,FALSE)+IF(AND(Calculator!B8=TRUE,Backdoors!BI25=TRUE),VLOOKUP(Calculator!E23,tbSkills!DH3:DJ6,3,FALSE),0),0))&gt;=100,100,(Backdoors!AI12+IF(EZ86&gt;=0.45,VLOOKUP(Calculator!E23,tbSkills!DH3:DI6,2,FALSE)+IF(AND(Calculator!B8=TRUE,Backdoors!BI25=TRUE),VLOOKUP(Calculator!E23,tbSkills!DH3:DJ6,3,FALSE),0),0)))/100)),1))*IF(VLOOKUP(A86,tbMoveset!A2:K112,11,FALSE)=TRUE,Backdoors!AC5,1))*FA86,0),"")</f>
        <v>0</v>
      </c>
      <c r="FE86" s="49">
        <f>VLOOKUP(A86,tbMoveset!A2:G112,7,FALSE)*IFERROR(IF(Backdoors!AI12&gt;=0,1+(IF(Calculator!E40&gt;0,VLOOKUP(Calculator!E40,tbSkills!AI3:AJ5,2,FALSE),Backdoors!AL4)*(IF((Backdoors!AI12+IF(EZ86&gt;=0.45,VLOOKUP(Calculator!E23,tbSkills!DH3:DI6,2,FALSE)+IF(AND(Calculator!B8=TRUE,Backdoors!BI25=TRUE),VLOOKUP(Calculator!E23,tbSkills!DH3:DJ6,3,FALSE),0),0))&gt;=100,100,(Backdoors!AI12+IF(EZ86&gt;=0.45,VLOOKUP(Calculator!E23,tbSkills!DH3:DI6,2,FALSE)+IF(AND(Calculator!B8=TRUE,Backdoors!BI25=TRUE),VLOOKUP(Calculator!E23,tbSkills!DH3:DJ6,3,FALSE),0),0)))/100)),1),1)</f>
        <v>0.4</v>
      </c>
      <c r="FF86" s="87">
        <f t="shared" si="73"/>
        <v>0</v>
      </c>
      <c r="FG86" s="86" t="str">
        <f>IFERROR(IF(VLOOKUP(A86,tbMoveset!A2:B112,2,FALSE)="Sever",Backdoors!AY26/100,IF(VLOOKUP(A86,tbMoveset!A2:B112,2,FALSE)="Blunt",Backdoors!AZ26/100,Backdoors!BA26/100)),"")</f>
        <v/>
      </c>
      <c r="FH86" s="49">
        <f>IFERROR(IF(VLOOKUP(tbMoveset!A86,tbMoveset!A2:H112,8,FALSE)="Other",IF(VLOOKUP(tbMoveset!A86,tbMoveset!A2:I112,9,FALSE)="Fire",Backdoors!BB26,IF(VLOOKUP(tbMoveset!A86,tbMoveset!A2:I112,9,FALSE)="Water",Backdoors!BC26,IF(VLOOKUP(tbMoveset!A86,tbMoveset!A2:I112,9,FALSE)="Thunder",Backdoors!BD26,IF(VLOOKUP(tbMoveset!A86,tbMoveset!A2:I112,9,FALSE)="Ice",Backdoors!BE26,IF(VLOOKUP(tbMoveset!A86,tbMoveset!A2:I112,9,FALSE)="Dragon",Backdoors!BF26,Backdoors!BG26)))))/100,Backdoors!BG26/100),"")</f>
        <v>0</v>
      </c>
      <c r="FI86" s="49">
        <f>IFERROR(IF(VLOOKUP(A86,tbMoveset!A2:J112,10,FALSE)=TRUE,IF((Backdoors!AI12+IF(FG86&gt;=0.45,VLOOKUP(Calculator!E23,tbSkills!DH3:DI6,2,FALSE)+IF(AND(Calculator!B8=TRUE,Backdoors!BI26=TRUE),VLOOKUP(Calculator!E23,tbSkills!DH3:DJ6,3,FALSE),0),0))&gt;=0,1+(Backdoors!AL2*(IF((Backdoors!AI12+IF(FG86&gt;=0.45,VLOOKUP(Calculator!E23,tbSkills!DH3:DI6,2,FALSE)+IF(AND(Calculator!B8=TRUE,Backdoors!BI26=TRUE),VLOOKUP(Calculator!E23,tbSkills!DH3:DJ6,3,FALSE),0),0))&gt;=100,100,(Backdoors!AI12+IF(FG86&gt;=0.45,VLOOKUP(Calculator!E23,tbSkills!DH3:DI6,2,FALSE)+IF(AND(Calculator!B8=TRUE,Backdoors!BI26=TRUE),VLOOKUP(Calculator!E23,tbSkills!DH3:DJ6,3,FALSE),0),0)))/100)),(1-(0.25*((-Backdoors!AI12-IF(FG86&gt;=0.45,VLOOKUP(Calculator!E23,tbSkills!DH3:DI6,2,FALSE)+IF(AND(Calculator!B8=TRUE,Backdoors!BI26=TRUE),VLOOKUP(Calculator!E23,tbSkills!DH3:DJ6,3,FALSE),0),0))/100)))),1),"")</f>
        <v>1</v>
      </c>
      <c r="FJ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FG86)*FI86)*(VLOOKUP(A86,tbMoveset!A2:C112,3,FALSE)/100)*IF(VLOOKUP(A86,tbMoveset!A2:B112,2,FALSE)="Projectile",Backdoors!N10,Backdoors!N9),0),"")</f>
        <v/>
      </c>
      <c r="FK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FG86&gt;=0.45,VLOOKUP(Calculator!E23,tbSkills!DH3:DI6,2,FALSE)+IF(AND(Calculator!B8=TRUE,Backdoors!BI26=TRUE),VLOOKUP(Calculator!E23,tbSkills!DH3:DJ6,3,FALSE),0),0))&gt;=100,100,(Backdoors!AI12+IF(FG86&gt;=0.45,VLOOKUP(Calculator!E23,tbSkills!DH3:DI6,2,FALSE)+IF(AND(Calculator!B8=TRUE,Backdoors!BI26=TRUE),VLOOKUP(Calculator!E23,tbSkills!DH3:DJ6,3,FALSE),0),0)))/100)),1))*IF(VLOOKUP(A86,tbMoveset!A2:K112,11,FALSE)=TRUE,Backdoors!AC5,1))*FH86,0),"")</f>
        <v>0</v>
      </c>
      <c r="FL86" s="49">
        <f>VLOOKUP(A86,tbMoveset!A2:G112,7,FALSE)*IFERROR(IF(Backdoors!AI12&gt;=0,1+(IF(Calculator!E40&gt;0,VLOOKUP(Calculator!E40,tbSkills!AI3:AJ5,2,FALSE),Backdoors!AL4)*(IF((Backdoors!AI12+IF(FG86&gt;=0.45,VLOOKUP(Calculator!E23,tbSkills!DH3:DI6,2,FALSE)+IF(AND(Calculator!B8=TRUE,Backdoors!BI26=TRUE),VLOOKUP(Calculator!E23,tbSkills!DH3:DJ6,3,FALSE),0),0))&gt;=100,100,(Backdoors!AI12+IF(FG86&gt;=0.45,VLOOKUP(Calculator!E23,tbSkills!DH3:DI6,2,FALSE)+IF(AND(Calculator!B8=TRUE,Backdoors!BI26=TRUE),VLOOKUP(Calculator!E23,tbSkills!DH3:DJ6,3,FALSE),0),0)))/100)),1),1)</f>
        <v>0.4</v>
      </c>
      <c r="FM86" s="87">
        <f t="shared" si="74"/>
        <v>0</v>
      </c>
      <c r="FN86" s="86" t="str">
        <f>IFERROR(IF(VLOOKUP(A86,tbMoveset!A2:B112,2,FALSE)="Sever",Backdoors!AY27/100,IF(VLOOKUP(A86,tbMoveset!A2:B112,2,FALSE)="Blunt",Backdoors!AZ27/100,Backdoors!BA27/100)),"")</f>
        <v/>
      </c>
      <c r="FO86" s="49">
        <f>IFERROR(IF(VLOOKUP(tbMoveset!A86,tbMoveset!A2:H112,8,FALSE)="Other",IF(VLOOKUP(tbMoveset!A86,tbMoveset!A2:I112,9,FALSE)="Fire",Backdoors!BB27,IF(VLOOKUP(tbMoveset!A86,tbMoveset!A2:I112,9,FALSE)="Water",Backdoors!BC27,IF(VLOOKUP(tbMoveset!A86,tbMoveset!A2:I112,9,FALSE)="Thunder",Backdoors!BD27,IF(VLOOKUP(tbMoveset!A86,tbMoveset!A2:I112,9,FALSE)="Ice",Backdoors!BE27,IF(VLOOKUP(tbMoveset!A86,tbMoveset!A2:I112,9,FALSE)="Dragon",Backdoors!BF27,Backdoors!BG27)))))/100,Backdoors!BG27/100),"")</f>
        <v>0</v>
      </c>
      <c r="FP86" s="49">
        <f>IFERROR(IF(VLOOKUP(A86,tbMoveset!A2:J112,10,FALSE)=TRUE,IF((Backdoors!AI12+IF(FN86&gt;=0.45,VLOOKUP(Calculator!E23,tbSkills!DH3:DI6,2,FALSE)+IF(AND(Calculator!B8=TRUE,Backdoors!BI27=TRUE),VLOOKUP(Calculator!E23,tbSkills!DH3:DJ6,3,FALSE),0),0))&gt;=0,1+(Backdoors!AL2*(IF((Backdoors!AI12+IF(FN86&gt;=0.45,VLOOKUP(Calculator!E23,tbSkills!DH3:DI6,2,FALSE)+IF(AND(Calculator!B8=TRUE,Backdoors!BI27=TRUE),VLOOKUP(Calculator!E23,tbSkills!DH3:DJ6,3,FALSE),0),0))&gt;=100,100,(Backdoors!AI12+IF(FN86&gt;=0.45,VLOOKUP(Calculator!E23,tbSkills!DH3:DI6,2,FALSE)+IF(AND(Calculator!B8=TRUE,Backdoors!BI27=TRUE),VLOOKUP(Calculator!E23,tbSkills!DH3:DJ6,3,FALSE),0),0)))/100)),(1-(0.25*((-Backdoors!AI12-IF(FN86&gt;=0.45,VLOOKUP(Calculator!E23,tbSkills!DH3:DI6,2,FALSE)+IF(AND(Calculator!B8=TRUE,Backdoors!BI27=TRUE),VLOOKUP(Calculator!E23,tbSkills!DH3:DJ6,3,FALSE),0),0))/100)))),1),"")</f>
        <v>1</v>
      </c>
      <c r="FQ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FN86)*FP86)*(VLOOKUP(A86,tbMoveset!A2:C112,3,FALSE)/100)*IF(VLOOKUP(A86,tbMoveset!A2:B112,2,FALSE)="Projectile",Backdoors!N10,Backdoors!N9),0),"")</f>
        <v/>
      </c>
      <c r="FR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FN86&gt;=0.45,VLOOKUP(Calculator!E23,tbSkills!DH3:DI6,2,FALSE)+IF(AND(Calculator!B8=TRUE,Backdoors!BI27=TRUE),VLOOKUP(Calculator!E23,tbSkills!DH3:DJ6,3,FALSE),0),0))&gt;=100,100,(Backdoors!AI12+IF(FN86&gt;=0.45,VLOOKUP(Calculator!E23,tbSkills!DH3:DI6,2,FALSE)+IF(AND(Calculator!B8=TRUE,Backdoors!BI27=TRUE),VLOOKUP(Calculator!E23,tbSkills!DH3:DJ6,3,FALSE),0),0)))/100)),1))*IF(VLOOKUP(A86,tbMoveset!A2:K112,11,FALSE)=TRUE,Backdoors!AC5,1))*FO86,0),"")</f>
        <v>0</v>
      </c>
      <c r="FS86" s="49">
        <f>VLOOKUP(A86,tbMoveset!A2:G112,7,FALSE)*IFERROR(IF(Backdoors!AI12&gt;=0,1+(IF(Calculator!E40&gt;0,VLOOKUP(Calculator!E40,tbSkills!AI3:AJ5,2,FALSE),Backdoors!AL4)*(IF((Backdoors!AI12+IF(FN86&gt;=0.45,VLOOKUP(Calculator!E23,tbSkills!DH3:DI6,2,FALSE)+IF(AND(Calculator!B8=TRUE,Backdoors!BI27=TRUE),VLOOKUP(Calculator!E23,tbSkills!DH3:DJ6,3,FALSE),0),0))&gt;=100,100,(Backdoors!AI12+IF(FN86&gt;=0.45,VLOOKUP(Calculator!E23,tbSkills!DH3:DI6,2,FALSE)+IF(AND(Calculator!B8=TRUE,Backdoors!BI27=TRUE),VLOOKUP(Calculator!E23,tbSkills!DH3:DJ6,3,FALSE),0),0)))/100)),1),1)</f>
        <v>0.4</v>
      </c>
      <c r="FT86" s="87">
        <f t="shared" si="75"/>
        <v>0</v>
      </c>
      <c r="FU86" s="86" t="str">
        <f>IFERROR(IF(VLOOKUP(A86,tbMoveset!A2:B112,2,FALSE)="Sever",Backdoors!AY28/100,IF(VLOOKUP(A86,tbMoveset!A2:B112,2,FALSE)="Blunt",Backdoors!AZ28/100,Backdoors!BA28/100)),"")</f>
        <v/>
      </c>
      <c r="FV86" s="49">
        <f>IFERROR(IF(VLOOKUP(tbMoveset!A86,tbMoveset!A2:H112,8,FALSE)="Other",IF(VLOOKUP(tbMoveset!A86,tbMoveset!A2:I112,9,FALSE)="Fire",Backdoors!BB28,IF(VLOOKUP(tbMoveset!A86,tbMoveset!A2:I112,9,FALSE)="Water",Backdoors!BC28,IF(VLOOKUP(tbMoveset!A86,tbMoveset!A2:I112,9,FALSE)="Thunder",Backdoors!BD28,IF(VLOOKUP(tbMoveset!A86,tbMoveset!A2:I112,9,FALSE)="Ice",Backdoors!BE28,IF(VLOOKUP(tbMoveset!A86,tbMoveset!A2:I112,9,FALSE)="Dragon",Backdoors!BF28,Backdoors!BG28)))))/100,Backdoors!BG28/100),"")</f>
        <v>0</v>
      </c>
      <c r="FW86" s="49">
        <f>IFERROR(IF(VLOOKUP(A86,tbMoveset!A2:J112,10,FALSE)=TRUE,IF((Backdoors!AI12+IF(FU86&gt;=0.45,VLOOKUP(Calculator!E23,tbSkills!DH3:DI6,2,FALSE)+IF(AND(Calculator!B8=TRUE,Backdoors!BI28=TRUE),VLOOKUP(Calculator!E23,tbSkills!DH3:DJ6,3,FALSE),0),0))&gt;=0,1+(Backdoors!AL2*(IF((Backdoors!AI12+IF(FU86&gt;=0.45,VLOOKUP(Calculator!E23,tbSkills!DH3:DI6,2,FALSE)+IF(AND(Calculator!B8=TRUE,Backdoors!BI28=TRUE),VLOOKUP(Calculator!E23,tbSkills!DH3:DJ6,3,FALSE),0),0))&gt;=100,100,(Backdoors!AI12+IF(FU86&gt;=0.45,VLOOKUP(Calculator!E23,tbSkills!DH3:DI6,2,FALSE)+IF(AND(Calculator!B8=TRUE,Backdoors!BI28=TRUE),VLOOKUP(Calculator!E23,tbSkills!DH3:DJ6,3,FALSE),0),0)))/100)),(1-(0.25*((-Backdoors!AI12-IF(FU86&gt;=0.45,VLOOKUP(Calculator!E23,tbSkills!DH3:DI6,2,FALSE)+IF(AND(Calculator!B8=TRUE,Backdoors!BI28=TRUE),VLOOKUP(Calculator!E23,tbSkills!DH3:DJ6,3,FALSE),0),0))/100)))),1),"")</f>
        <v>1</v>
      </c>
      <c r="FX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FU86)*FW86)*(VLOOKUP(A86,tbMoveset!A2:C112,3,FALSE)/100)*IF(VLOOKUP(A86,tbMoveset!A2:B112,2,FALSE)="Projectile",Backdoors!N10,Backdoors!N9),0),"")</f>
        <v/>
      </c>
      <c r="FY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FU86&gt;=0.45,VLOOKUP(Calculator!E23,tbSkills!DH3:DI6,2,FALSE)+IF(AND(Calculator!B8=TRUE,Backdoors!BI28=TRUE),VLOOKUP(Calculator!E23,tbSkills!DH3:DJ6,3,FALSE),0),0))&gt;=100,100,(Backdoors!AI12+IF(FU86&gt;=0.45,VLOOKUP(Calculator!E23,tbSkills!DH3:DI6,2,FALSE)+IF(AND(Calculator!B8=TRUE,Backdoors!BI28=TRUE),VLOOKUP(Calculator!E23,tbSkills!DH3:DJ6,3,FALSE),0),0)))/100)),1))*IF(VLOOKUP(A86,tbMoveset!A2:K112,11,FALSE)=TRUE,Backdoors!AC5,1))*FV86,0),"")</f>
        <v>0</v>
      </c>
      <c r="FZ86" s="49">
        <f>VLOOKUP(A86,tbMoveset!A2:G112,7,FALSE)*IFERROR(IF(Backdoors!AI12&gt;=0,1+(IF(Calculator!E40&gt;0,VLOOKUP(Calculator!E40,tbSkills!AI3:AJ5,2,FALSE),Backdoors!AL4)*(IF((Backdoors!AI12+IF(FU86&gt;=0.45,VLOOKUP(Calculator!E23,tbSkills!DH3:DI6,2,FALSE)+IF(AND(Calculator!B8=TRUE,Backdoors!BI28=TRUE),VLOOKUP(Calculator!E23,tbSkills!DH3:DJ6,3,FALSE),0),0))&gt;=100,100,(Backdoors!AI12+IF(FU86&gt;=0.45,VLOOKUP(Calculator!E23,tbSkills!DH3:DI6,2,FALSE)+IF(AND(Calculator!B8=TRUE,Backdoors!BI28=TRUE),VLOOKUP(Calculator!E23,tbSkills!DH3:DJ6,3,FALSE),0),0)))/100)),1),1)</f>
        <v>0.4</v>
      </c>
      <c r="GA86" s="87">
        <f t="shared" si="76"/>
        <v>0</v>
      </c>
      <c r="GB86" s="86" t="str">
        <f>IFERROR(IF(VLOOKUP(A86,tbMoveset!A2:B112,2,FALSE)="Sever",Backdoors!AY29/100,IF(VLOOKUP(A86,tbMoveset!A2:B112,2,FALSE)="Blunt",Backdoors!AZ29/100,Backdoors!BA29/100)),"")</f>
        <v/>
      </c>
      <c r="GC86" s="49">
        <f>IFERROR(IF(VLOOKUP(tbMoveset!A86,tbMoveset!A2:H112,8,FALSE)="Other",IF(VLOOKUP(tbMoveset!A86,tbMoveset!A2:I112,9,FALSE)="Fire",Backdoors!BB29,IF(VLOOKUP(tbMoveset!A86,tbMoveset!A2:I112,9,FALSE)="Water",Backdoors!BC29,IF(VLOOKUP(tbMoveset!A86,tbMoveset!A2:I112,9,FALSE)="Thunder",Backdoors!BD29,IF(VLOOKUP(tbMoveset!A86,tbMoveset!A2:I112,9,FALSE)="Ice",Backdoors!BE29,IF(VLOOKUP(tbMoveset!A86,tbMoveset!A2:I112,9,FALSE)="Dragon",Backdoors!BF29,Backdoors!BG29)))))/100,Backdoors!BG29/100),"")</f>
        <v>0</v>
      </c>
      <c r="GD86" s="49">
        <f>IFERROR(IF(VLOOKUP(A86,tbMoveset!A2:J112,10,FALSE)=TRUE,IF((Backdoors!AI12+IF(GB86&gt;=0.45,VLOOKUP(Calculator!E23,tbSkills!DH3:DI6,2,FALSE)+IF(AND(Calculator!B8=TRUE,Backdoors!BI29=TRUE),VLOOKUP(Calculator!E23,tbSkills!DH3:DJ6,3,FALSE),0),0))&gt;=0,1+(Backdoors!AL2*(IF((Backdoors!AI12+IF(GB86&gt;=0.45,VLOOKUP(Calculator!E23,tbSkills!DH3:DI6,2,FALSE)+IF(AND(Calculator!B8=TRUE,Backdoors!BI29=TRUE),VLOOKUP(Calculator!E23,tbSkills!DH3:DJ6,3,FALSE),0),0))&gt;=100,100,(Backdoors!AI12+IF(GB86&gt;=0.45,VLOOKUP(Calculator!E23,tbSkills!DH3:DI6,2,FALSE)+IF(AND(Calculator!B8=TRUE,Backdoors!BI29=TRUE),VLOOKUP(Calculator!E23,tbSkills!DH3:DJ6,3,FALSE),0),0)))/100)),(1-(0.25*((-Backdoors!AI12-IF(GB86&gt;=0.45,VLOOKUP(Calculator!E23,tbSkills!DH3:DI6,2,FALSE)+IF(AND(Calculator!B8=TRUE,Backdoors!BI29=TRUE),VLOOKUP(Calculator!E23,tbSkills!DH3:DJ6,3,FALSE),0),0))/100)))),1),"")</f>
        <v>1</v>
      </c>
      <c r="GE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B86)*GD86)*(VLOOKUP(A86,tbMoveset!A2:C112,3,FALSE)/100)*IF(VLOOKUP(A86,tbMoveset!A2:B112,2,FALSE)="Projectile",Backdoors!N10,Backdoors!N9),0),"")</f>
        <v/>
      </c>
      <c r="GF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B86&gt;=0.45,VLOOKUP(Calculator!E23,tbSkills!DH3:DI6,2,FALSE)+IF(AND(Calculator!B8=TRUE,Backdoors!BI29=TRUE),VLOOKUP(Calculator!E23,tbSkills!DH3:DJ6,3,FALSE),0),0))&gt;=100,100,(Backdoors!AI12+IF(GB86&gt;=0.45,VLOOKUP(Calculator!E23,tbSkills!DH3:DI6,2,FALSE)+IF(AND(Calculator!B8=TRUE,Backdoors!BI29=TRUE),VLOOKUP(Calculator!E23,tbSkills!DH3:DJ6,3,FALSE),0),0)))/100)),1))*IF(VLOOKUP(A86,tbMoveset!A2:K112,11,FALSE)=TRUE,Backdoors!AC5,1))*GC86,0),"")</f>
        <v>0</v>
      </c>
      <c r="GG86" s="49">
        <f>VLOOKUP(A86,tbMoveset!A2:G112,7,FALSE)*IFERROR(IF(Backdoors!AI12&gt;=0,1+(IF(Calculator!E40&gt;0,VLOOKUP(Calculator!E40,tbSkills!AI3:AJ5,2,FALSE),Backdoors!AL4)*(IF((Backdoors!AI12+IF(GB86&gt;=0.45,VLOOKUP(Calculator!E23,tbSkills!DH3:DI6,2,FALSE)+IF(AND(Calculator!B8=TRUE,Backdoors!BI29=TRUE),VLOOKUP(Calculator!E23,tbSkills!DH3:DJ6,3,FALSE),0),0))&gt;=100,100,(Backdoors!AI12+IF(GB86&gt;=0.45,VLOOKUP(Calculator!E23,tbSkills!DH3:DI6,2,FALSE)+IF(AND(Calculator!B8=TRUE,Backdoors!BI29=TRUE),VLOOKUP(Calculator!E23,tbSkills!DH3:DJ6,3,FALSE),0),0)))/100)),1),1)</f>
        <v>0.4</v>
      </c>
      <c r="GH86" s="87">
        <f t="shared" si="77"/>
        <v>0</v>
      </c>
      <c r="GI86" s="86" t="str">
        <f>IFERROR(IF(VLOOKUP(A86,tbMoveset!A2:B112,2,FALSE)="Sever",Backdoors!AY30/100,IF(VLOOKUP(A86,tbMoveset!A2:B112,2,FALSE)="Blunt",Backdoors!AZ30/100,Backdoors!BA30/100)),"")</f>
        <v/>
      </c>
      <c r="GJ86" s="49">
        <f>IFERROR(IF(VLOOKUP(tbMoveset!A86,tbMoveset!A2:H112,8,FALSE)="Other",IF(VLOOKUP(tbMoveset!A86,tbMoveset!A2:I112,9,FALSE)="Fire",Backdoors!BB30,IF(VLOOKUP(tbMoveset!A86,tbMoveset!A2:I112,9,FALSE)="Water",Backdoors!BC30,IF(VLOOKUP(tbMoveset!A86,tbMoveset!A2:I112,9,FALSE)="Thunder",Backdoors!BD30,IF(VLOOKUP(tbMoveset!A86,tbMoveset!A2:I112,9,FALSE)="Ice",Backdoors!BE30,IF(VLOOKUP(tbMoveset!A86,tbMoveset!A2:I112,9,FALSE)="Dragon",Backdoors!BF30,Backdoors!BG30)))))/100,Backdoors!BG30/100),"")</f>
        <v>0</v>
      </c>
      <c r="GK86" s="49">
        <f>IFERROR(IF(VLOOKUP(A86,tbMoveset!A2:J112,10,FALSE)=TRUE,IF((Backdoors!AI12+IF(GI86&gt;=0.45,VLOOKUP(Calculator!E23,tbSkills!DH3:DI6,2,FALSE)+IF(AND(Calculator!B8=TRUE,Backdoors!BI30=TRUE),VLOOKUP(Calculator!E23,tbSkills!DH3:DJ6,3,FALSE),0),0))&gt;=0,1+(Backdoors!AL2*(IF((Backdoors!AI12+IF(GI86&gt;=0.45,VLOOKUP(Calculator!E23,tbSkills!DH3:DI6,2,FALSE)+IF(AND(Calculator!B8=TRUE,Backdoors!BI30=TRUE),VLOOKUP(Calculator!E23,tbSkills!DH3:DJ6,3,FALSE),0),0))&gt;=100,100,(Backdoors!AI12+IF(GI86&gt;=0.45,VLOOKUP(Calculator!E23,tbSkills!DH3:DI6,2,FALSE)+IF(AND(Calculator!B8=TRUE,Backdoors!BI30=TRUE),VLOOKUP(Calculator!E23,tbSkills!DH3:DJ6,3,FALSE),0),0)))/100)),(1-(0.25*((-Backdoors!AI12-IF(GI86&gt;=0.45,VLOOKUP(Calculator!E23,tbSkills!DH3:DI6,2,FALSE)+IF(AND(Calculator!B8=TRUE,Backdoors!BI30=TRUE),VLOOKUP(Calculator!E23,tbSkills!DH3:DJ6,3,FALSE),0),0))/100)))),1),"")</f>
        <v>1</v>
      </c>
      <c r="GL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I86)*GK86)*(VLOOKUP(A86,tbMoveset!A2:C112,3,FALSE)/100)*IF(VLOOKUP(A86,tbMoveset!A2:B112,2,FALSE)="Projectile",Backdoors!N10,Backdoors!N9),0),"")</f>
        <v/>
      </c>
      <c r="GM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I86&gt;=0.45,VLOOKUP(Calculator!E23,tbSkills!DH3:DI6,2,FALSE)+IF(AND(Calculator!B8=TRUE,Backdoors!BI30=TRUE),VLOOKUP(Calculator!E23,tbSkills!DH3:DJ6,3,FALSE),0),0))&gt;=100,100,(Backdoors!AI12+IF(GI86&gt;=0.45,VLOOKUP(Calculator!E23,tbSkills!DH3:DI6,2,FALSE)+IF(AND(Calculator!B8=TRUE,Backdoors!BI30=TRUE),VLOOKUP(Calculator!E23,tbSkills!DH3:DJ6,3,FALSE),0),0)))/100)),1))*IF(VLOOKUP(A86,tbMoveset!A2:K112,11,FALSE)=TRUE,Backdoors!AC5,1))*GJ86,0),"")</f>
        <v>0</v>
      </c>
      <c r="GN86" s="49">
        <f>VLOOKUP(A86,tbMoveset!A2:G112,7,FALSE)*IFERROR(IF(Backdoors!AI12&gt;=0,1+(IF(Calculator!E40&gt;0,VLOOKUP(Calculator!E40,tbSkills!AI3:AJ5,2,FALSE),Backdoors!AL4)*(IF((Backdoors!AI12+IF(GI86&gt;=0.45,VLOOKUP(Calculator!E23,tbSkills!DH3:DI6,2,FALSE)+IF(AND(Calculator!B8=TRUE,Backdoors!BI30=TRUE),VLOOKUP(Calculator!E23,tbSkills!DH3:DJ6,3,FALSE),0),0))&gt;=100,100,(Backdoors!AI12+IF(GI86&gt;=0.45,VLOOKUP(Calculator!E23,tbSkills!DH3:DI6,2,FALSE)+IF(AND(Calculator!B8=TRUE,Backdoors!BI30=TRUE),VLOOKUP(Calculator!E23,tbSkills!DH3:DJ6,3,FALSE),0),0)))/100)),1),1)</f>
        <v>0.4</v>
      </c>
      <c r="GO86" s="87">
        <f t="shared" si="78"/>
        <v>0</v>
      </c>
      <c r="GP86" s="86" t="str">
        <f>IFERROR(IF(VLOOKUP(A86,tbMoveset!A2:B112,2,FALSE)="Sever",Backdoors!AY31/100,IF(VLOOKUP(A86,tbMoveset!A2:B112,2,FALSE)="Blunt",Backdoors!AZ31/100,Backdoors!BA31/100)),"")</f>
        <v/>
      </c>
      <c r="GQ86" s="49">
        <f>IFERROR(IF(VLOOKUP(tbMoveset!A86,tbMoveset!A2:H112,8,FALSE)="Other",IF(VLOOKUP(tbMoveset!A86,tbMoveset!A2:I112,9,FALSE)="Fire",Backdoors!BB31,IF(VLOOKUP(tbMoveset!A86,tbMoveset!A2:I112,9,FALSE)="Water",Backdoors!BC31,IF(VLOOKUP(tbMoveset!A86,tbMoveset!A2:I112,9,FALSE)="Thunder",Backdoors!BD31,IF(VLOOKUP(tbMoveset!A86,tbMoveset!A2:I112,9,FALSE)="Ice",Backdoors!BE31,IF(VLOOKUP(tbMoveset!A86,tbMoveset!A2:I112,9,FALSE)="Dragon",Backdoors!BF31,Backdoors!BG31)))))/100,Backdoors!BG31/100),"")</f>
        <v>0</v>
      </c>
      <c r="GR86" s="49">
        <f>IFERROR(IF(VLOOKUP(A86,tbMoveset!A2:J112,10,FALSE)=TRUE,IF((Backdoors!AI12+IF(GP86&gt;=0.45,VLOOKUP(Calculator!E23,tbSkills!DH3:DI6,2,FALSE)+IF(AND(Calculator!B8=TRUE,Backdoors!BI31=TRUE),VLOOKUP(Calculator!E23,tbSkills!DH3:DJ6,3,FALSE),0),0))&gt;=0,1+(Backdoors!AL2*(IF((Backdoors!AI12+IF(GP86&gt;=0.45,VLOOKUP(Calculator!E23,tbSkills!DH3:DI6,2,FALSE)+IF(AND(Calculator!B8=TRUE,Backdoors!BI31=TRUE),VLOOKUP(Calculator!E23,tbSkills!DH3:DJ6,3,FALSE),0),0))&gt;=100,100,(Backdoors!AI12+IF(GP86&gt;=0.45,VLOOKUP(Calculator!E23,tbSkills!DH3:DI6,2,FALSE)+IF(AND(Calculator!B8=TRUE,Backdoors!BI31=TRUE),VLOOKUP(Calculator!E23,tbSkills!DH3:DJ6,3,FALSE),0),0)))/100)),(1-(0.25*((-Backdoors!AI12-IF(GP86&gt;=0.45,VLOOKUP(Calculator!E23,tbSkills!DH3:DI6,2,FALSE)+IF(AND(Calculator!B8=TRUE,Backdoors!BI31=TRUE),VLOOKUP(Calculator!E23,tbSkills!DH3:DJ6,3,FALSE),0),0))/100)))),1),"")</f>
        <v>1</v>
      </c>
      <c r="GS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P86)*GR86)*(VLOOKUP(A86,tbMoveset!A2:C112,3,FALSE)/100)*IF(VLOOKUP(A86,tbMoveset!A2:B112,2,FALSE)="Projectile",Backdoors!N10,Backdoors!N9),0),"")</f>
        <v/>
      </c>
      <c r="GT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P86&gt;=0.45,VLOOKUP(Calculator!E23,tbSkills!DH3:DI6,2,FALSE)+IF(AND(Calculator!B8=TRUE,Backdoors!BI31=TRUE),VLOOKUP(Calculator!E23,tbSkills!DH3:DJ6,3,FALSE),0),0))&gt;=100,100,(Backdoors!AI12+IF(GP86&gt;=0.45,VLOOKUP(Calculator!E23,tbSkills!DH3:DI6,2,FALSE)+IF(AND(Calculator!B8=TRUE,Backdoors!BI31=TRUE),VLOOKUP(Calculator!E23,tbSkills!DH3:DJ6,3,FALSE),0),0)))/100)),1))*IF(VLOOKUP(A86,tbMoveset!A2:K112,11,FALSE)=TRUE,Backdoors!AC5,1))*GQ86,0),"")</f>
        <v>0</v>
      </c>
      <c r="GU86" s="49">
        <f>VLOOKUP(A86,tbMoveset!A2:G112,7,FALSE)*IFERROR(IF(Backdoors!AI12&gt;=0,1+(IF(Calculator!E40&gt;0,VLOOKUP(Calculator!E40,tbSkills!AI3:AJ5,2,FALSE),Backdoors!AL4)*(IF((Backdoors!AI12+IF(GP86&gt;=0.45,VLOOKUP(Calculator!E23,tbSkills!DH3:DI6,2,FALSE)+IF(AND(Calculator!B8=TRUE,Backdoors!BI31=TRUE),VLOOKUP(Calculator!E23,tbSkills!DH3:DJ6,3,FALSE),0),0))&gt;=100,100,(Backdoors!AI12+IF(GP86&gt;=0.45,VLOOKUP(Calculator!E23,tbSkills!DH3:DI6,2,FALSE)+IF(AND(Calculator!B8=TRUE,Backdoors!BI31=TRUE),VLOOKUP(Calculator!E23,tbSkills!DH3:DJ6,3,FALSE),0),0)))/100)),1),1)</f>
        <v>0.4</v>
      </c>
      <c r="GV86" s="87">
        <f t="shared" si="79"/>
        <v>0</v>
      </c>
      <c r="GW86" s="86" t="str">
        <f>IFERROR(IF(VLOOKUP(A86,tbMoveset!A2:B112,2,FALSE)="Sever",Backdoors!AY32/100,IF(VLOOKUP(A86,tbMoveset!A2:B112,2,FALSE)="Blunt",Backdoors!AZ32/100,Backdoors!BA32/100)),"")</f>
        <v/>
      </c>
      <c r="GX86" s="49">
        <f>IFERROR(IF(VLOOKUP(tbMoveset!A86,tbMoveset!A2:H112,8,FALSE)="Other",IF(VLOOKUP(tbMoveset!A86,tbMoveset!A2:I112,9,FALSE)="Fire",Backdoors!BB32,IF(VLOOKUP(tbMoveset!A86,tbMoveset!A2:I112,9,FALSE)="Water",Backdoors!BC32,IF(VLOOKUP(tbMoveset!A86,tbMoveset!A2:I112,9,FALSE)="Thunder",Backdoors!BD32,IF(VLOOKUP(tbMoveset!A86,tbMoveset!A2:I112,9,FALSE)="Ice",Backdoors!BE32,IF(VLOOKUP(tbMoveset!A86,tbMoveset!A2:I112,9,FALSE)="Dragon",Backdoors!BF32,Backdoors!BG32)))))/100,Backdoors!BG32/100),"")</f>
        <v>0</v>
      </c>
      <c r="GY86" s="49">
        <f>IFERROR(IF(VLOOKUP(A86,tbMoveset!A2:J112,10,FALSE)=TRUE,IF((Backdoors!AI12+IF(GW86&gt;=0.45,VLOOKUP(Calculator!E23,tbSkills!DH3:DI6,2,FALSE)+IF(AND(Calculator!B8=TRUE,Backdoors!BI32=TRUE),VLOOKUP(Calculator!E23,tbSkills!DH3:DJ6,3,FALSE),0),0))&gt;=0,1+(Backdoors!AL2*(IF((Backdoors!AI12+IF(GW86&gt;=0.45,VLOOKUP(Calculator!E23,tbSkills!DH3:DI6,2,FALSE)+IF(AND(Calculator!B8=TRUE,Backdoors!BI32=TRUE),VLOOKUP(Calculator!E23,tbSkills!DH3:DJ6,3,FALSE),0),0))&gt;=100,100,(Backdoors!AI12+IF(GW86&gt;=0.45,VLOOKUP(Calculator!E23,tbSkills!DH3:DI6,2,FALSE)+IF(AND(Calculator!B8=TRUE,Backdoors!BI32=TRUE),VLOOKUP(Calculator!E23,tbSkills!DH3:DJ6,3,FALSE),0),0)))/100)),(1-(0.25*((-Backdoors!AI12-IF(GW86&gt;=0.45,VLOOKUP(Calculator!E23,tbSkills!DH3:DI6,2,FALSE)+IF(AND(Calculator!B8=TRUE,Backdoors!BI32=TRUE),VLOOKUP(Calculator!E23,tbSkills!DH3:DJ6,3,FALSE),0),0))/100)))),1),"")</f>
        <v>1</v>
      </c>
      <c r="GZ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W86)*GY86)*(VLOOKUP(A86,tbMoveset!A2:C112,3,FALSE)/100)*IF(VLOOKUP(A86,tbMoveset!A2:B112,2,FALSE)="Projectile",Backdoors!N10,Backdoors!N9),0),"")</f>
        <v/>
      </c>
      <c r="HA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W86&gt;=0.45,VLOOKUP(Calculator!E23,tbSkills!DH3:DI6,2,FALSE)+IF(AND(Calculator!B8=TRUE,Backdoors!BI32=TRUE),VLOOKUP(Calculator!E23,tbSkills!DH3:DJ6,3,FALSE),0),0))&gt;=100,100,(Backdoors!AI12+IF(GW86&gt;=0.45,VLOOKUP(Calculator!E23,tbSkills!DH3:DI6,2,FALSE)+IF(AND(Calculator!B8=TRUE,Backdoors!BI32=TRUE),VLOOKUP(Calculator!E23,tbSkills!DH3:DJ6,3,FALSE),0),0)))/100)),1))*IF(VLOOKUP(A86,tbMoveset!A2:K112,11,FALSE)=TRUE,Backdoors!AC5,1))*GX86,0),"")</f>
        <v>0</v>
      </c>
      <c r="HB86" s="49">
        <f>VLOOKUP(A86,tbMoveset!A2:G112,7,FALSE)*IFERROR(IF(Backdoors!AI12&gt;=0,1+(IF(Calculator!E40&gt;0,VLOOKUP(Calculator!E40,tbSkills!AI3:AJ5,2,FALSE),Backdoors!AL4)*(IF((Backdoors!AI12+IF(GW86&gt;=0.45,VLOOKUP(Calculator!E23,tbSkills!DH3:DI6,2,FALSE)+IF(AND(Calculator!B8=TRUE,Backdoors!BI32=TRUE),VLOOKUP(Calculator!E23,tbSkills!DH3:DJ6,3,FALSE),0),0))&gt;=100,100,(Backdoors!AI12+IF(GW86&gt;=0.45,VLOOKUP(Calculator!E23,tbSkills!DH3:DI6,2,FALSE)+IF(AND(Calculator!B8=TRUE,Backdoors!BI32=TRUE),VLOOKUP(Calculator!E23,tbSkills!DH3:DJ6,3,FALSE),0),0)))/100)),1),1)</f>
        <v>0.4</v>
      </c>
      <c r="HC86" s="87">
        <f t="shared" si="80"/>
        <v>0</v>
      </c>
      <c r="HD86" s="86" t="str">
        <f>IFERROR(IF(VLOOKUP(A86,tbMoveset!A2:B112,2,FALSE)="Sever",Backdoors!AY33/100,IF(VLOOKUP(A86,tbMoveset!A2:B112,2,FALSE)="Blunt",Backdoors!AZ33/100,Backdoors!BA33/100)),"")</f>
        <v/>
      </c>
      <c r="HE86" s="49">
        <f>IFERROR(IF(VLOOKUP(tbMoveset!A86,tbMoveset!A2:H112,8,FALSE)="Other",IF(VLOOKUP(tbMoveset!A86,tbMoveset!A2:I112,9,FALSE)="Fire",Backdoors!BB33,IF(VLOOKUP(tbMoveset!A86,tbMoveset!A2:I112,9,FALSE)="Water",Backdoors!BC33,IF(VLOOKUP(tbMoveset!A86,tbMoveset!A2:I112,9,FALSE)="Thunder",Backdoors!BD33,IF(VLOOKUP(tbMoveset!A86,tbMoveset!A2:I112,9,FALSE)="Ice",Backdoors!BE33,IF(VLOOKUP(tbMoveset!A86,tbMoveset!A2:I112,9,FALSE)="Dragon",Backdoors!BF33,Backdoors!BG33)))))/100,Backdoors!BG33/100),"")</f>
        <v>0</v>
      </c>
      <c r="HF86" s="49">
        <f>IFERROR(IF(VLOOKUP(A86,tbMoveset!A2:J112,10,FALSE)=TRUE,IF((Backdoors!AI12+IF(HD86&gt;=0.45,VLOOKUP(Calculator!E23,tbSkills!DH3:DI6,2,FALSE)+IF(AND(Calculator!B8=TRUE,Backdoors!BI33=TRUE),VLOOKUP(Calculator!E23,tbSkills!DH3:DJ6,3,FALSE),0),0))&gt;=0,1+(Backdoors!AL2*(IF((Backdoors!AI12+IF(HD86&gt;=0.45,VLOOKUP(Calculator!E23,tbSkills!DH3:DI6,2,FALSE)+IF(AND(Calculator!B8=TRUE,Backdoors!BI33=TRUE),VLOOKUP(Calculator!E23,tbSkills!DH3:DJ6,3,FALSE),0),0))&gt;=100,100,(Backdoors!AI12+IF(HD86&gt;=0.45,VLOOKUP(Calculator!E23,tbSkills!DH3:DI6,2,FALSE)+IF(AND(Calculator!B8=TRUE,Backdoors!BI33=TRUE),VLOOKUP(Calculator!E23,tbSkills!DH3:DJ6,3,FALSE),0),0)))/100)),(1-(0.25*((-Backdoors!AI12-IF(HD86&gt;=0.45,VLOOKUP(Calculator!E23,tbSkills!DH3:DI6,2,FALSE)+IF(AND(Calculator!B8=TRUE,Backdoors!BI33=TRUE),VLOOKUP(Calculator!E23,tbSkills!DH3:DJ6,3,FALSE),0),0))/100)))),1),"")</f>
        <v>1</v>
      </c>
      <c r="HG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D86)*HF86)*(VLOOKUP(A86,tbMoveset!A2:C112,3,FALSE)/100)*IF(VLOOKUP(A86,tbMoveset!A2:B112,2,FALSE)="Projectile",Backdoors!N10,Backdoors!N9),0),"")</f>
        <v/>
      </c>
      <c r="HH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D86&gt;=0.45,VLOOKUP(Calculator!E23,tbSkills!DH3:DI6,2,FALSE)+IF(AND(Calculator!B8=TRUE,Backdoors!BI33=TRUE),VLOOKUP(Calculator!E23,tbSkills!DH3:DJ6,3,FALSE),0),0))&gt;=100,100,(Backdoors!AI12+IF(HD86&gt;=0.45,VLOOKUP(Calculator!E23,tbSkills!DH3:DI6,2,FALSE)+IF(AND(Calculator!B8=TRUE,Backdoors!BI33=TRUE),VLOOKUP(Calculator!E23,tbSkills!DH3:DJ6,3,FALSE),0),0)))/100)),1))*IF(VLOOKUP(A86,tbMoveset!A2:K112,11,FALSE)=TRUE,Backdoors!AC5,1))*HE86,0),"")</f>
        <v>0</v>
      </c>
      <c r="HI86" s="49">
        <f>VLOOKUP(A86,tbMoveset!A2:G112,7,FALSE)*IFERROR(IF(Backdoors!AI12&gt;=0,1+(IF(Calculator!E40&gt;0,VLOOKUP(Calculator!E40,tbSkills!AI3:AJ5,2,FALSE),Backdoors!AL4)*(IF((Backdoors!AI12+IF(HD86&gt;=0.45,VLOOKUP(Calculator!E23,tbSkills!DH3:DI6,2,FALSE)+IF(AND(Calculator!B8=TRUE,Backdoors!BI33=TRUE),VLOOKUP(Calculator!E23,tbSkills!DH3:DJ6,3,FALSE),0),0))&gt;=100,100,(Backdoors!AI12+IF(HD86&gt;=0.45,VLOOKUP(Calculator!E23,tbSkills!DH3:DI6,2,FALSE)+IF(AND(Calculator!B8=TRUE,Backdoors!BI33=TRUE),VLOOKUP(Calculator!E23,tbSkills!DH3:DJ6,3,FALSE),0),0)))/100)),1),1)</f>
        <v>0.4</v>
      </c>
      <c r="HJ86" s="87">
        <f t="shared" si="81"/>
        <v>0</v>
      </c>
      <c r="HK86" s="86" t="str">
        <f>IFERROR(IF(VLOOKUP(A86,tbMoveset!A2:B112,2,FALSE)="Sever",Backdoors!AY34/100,IF(VLOOKUP(A86,tbMoveset!A2:B112,2,FALSE)="Blunt",Backdoors!AZ34/100,Backdoors!BA34/100)),"")</f>
        <v/>
      </c>
      <c r="HL86" s="49">
        <f>IFERROR(IF(VLOOKUP(tbMoveset!A86,tbMoveset!A2:H112,8,FALSE)="Other",IF(VLOOKUP(tbMoveset!A86,tbMoveset!A2:I112,9,FALSE)="Fire",Backdoors!BB34,IF(VLOOKUP(tbMoveset!A86,tbMoveset!A2:I112,9,FALSE)="Water",Backdoors!BC34,IF(VLOOKUP(tbMoveset!A86,tbMoveset!A2:I112,9,FALSE)="Thunder",Backdoors!BD34,IF(VLOOKUP(tbMoveset!A86,tbMoveset!A2:I112,9,FALSE)="Ice",Backdoors!BE34,IF(VLOOKUP(tbMoveset!A86,tbMoveset!A2:I112,9,FALSE)="Dragon",Backdoors!BF34,Backdoors!BG34)))))/100,Backdoors!BG34/100),"")</f>
        <v>0</v>
      </c>
      <c r="HM86" s="49">
        <f>IFERROR(IF(VLOOKUP(A86,tbMoveset!A2:J112,10,FALSE)=TRUE,IF((Backdoors!AI12+IF(HK86&gt;=0.45,VLOOKUP(Calculator!E23,tbSkills!DH3:DI6,2,FALSE)+IF(AND(Calculator!B8=TRUE,Backdoors!BI34=TRUE),VLOOKUP(Calculator!E23,tbSkills!DH3:DJ6,3,FALSE),0),0))&gt;=0,1+(Backdoors!AL2*(IF((Backdoors!AI12+IF(HK86&gt;=0.45,VLOOKUP(Calculator!E23,tbSkills!DH3:DI6,2,FALSE)+IF(AND(Calculator!B8=TRUE,Backdoors!BI34=TRUE),VLOOKUP(Calculator!E23,tbSkills!DH3:DJ6,3,FALSE),0),0))&gt;=100,100,(Backdoors!AI12+IF(HK86&gt;=0.45,VLOOKUP(Calculator!E23,tbSkills!DH3:DI6,2,FALSE)+IF(AND(Calculator!B8=TRUE,Backdoors!BI34=TRUE),VLOOKUP(Calculator!E23,tbSkills!DH3:DJ6,3,FALSE),0),0)))/100)),(1-(0.25*((-Backdoors!AI12-IF(HK86&gt;=0.45,VLOOKUP(Calculator!E23,tbSkills!DH3:DI6,2,FALSE)+IF(AND(Calculator!B8=TRUE,Backdoors!BI34=TRUE),VLOOKUP(Calculator!E23,tbSkills!DH3:DJ6,3,FALSE),0),0))/100)))),1),"")</f>
        <v>1</v>
      </c>
      <c r="HN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K86)*HM86)*(VLOOKUP(A86,tbMoveset!A2:C112,3,FALSE)/100)*IF(VLOOKUP(A86,tbMoveset!A2:B112,2,FALSE)="Projectile",Backdoors!N10,Backdoors!N9),0),"")</f>
        <v/>
      </c>
      <c r="HO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K86&gt;=0.45,VLOOKUP(Calculator!E23,tbSkills!DH3:DI6,2,FALSE)+IF(AND(Calculator!B8=TRUE,Backdoors!BI34=TRUE),VLOOKUP(Calculator!E23,tbSkills!DH3:DJ6,3,FALSE),0),0))&gt;=100,100,(Backdoors!AI12+IF(HK86&gt;=0.45,VLOOKUP(Calculator!E23,tbSkills!DH3:DI6,2,FALSE)+IF(AND(Calculator!B8=TRUE,Backdoors!BI34=TRUE),VLOOKUP(Calculator!E23,tbSkills!DH3:DJ6,3,FALSE),0),0)))/100)),1))*IF(VLOOKUP(A86,tbMoveset!A2:K112,11,FALSE)=TRUE,Backdoors!AC5,1))*HL86,0),"")</f>
        <v>0</v>
      </c>
      <c r="HP86" s="49">
        <f>VLOOKUP(A86,tbMoveset!A2:G112,7,FALSE)*IFERROR(IF(Backdoors!AI12&gt;=0,1+(IF(Calculator!E40&gt;0,VLOOKUP(Calculator!E40,tbSkills!AI3:AJ5,2,FALSE),Backdoors!AL4)*(IF((Backdoors!AI12+IF(HK86&gt;=0.45,VLOOKUP(Calculator!E23,tbSkills!DH3:DI6,2,FALSE)+IF(AND(Calculator!B8=TRUE,Backdoors!BI34=TRUE),VLOOKUP(Calculator!E23,tbSkills!DH3:DJ6,3,FALSE),0),0))&gt;=100,100,(Backdoors!AI12+IF(HK86&gt;=0.45,VLOOKUP(Calculator!E23,tbSkills!DH3:DI6,2,FALSE)+IF(AND(Calculator!B8=TRUE,Backdoors!BI34=TRUE),VLOOKUP(Calculator!E23,tbSkills!DH3:DJ6,3,FALSE),0),0)))/100)),1),1)</f>
        <v>0.4</v>
      </c>
      <c r="HQ86" s="87">
        <f t="shared" si="82"/>
        <v>0</v>
      </c>
      <c r="HR86" s="86" t="str">
        <f>IFERROR(IF(VLOOKUP(A86,tbMoveset!A2:B112,2,FALSE)="Sever",Backdoors!AY35/100,IF(VLOOKUP(A86,tbMoveset!A2:B112,2,FALSE)="Blunt",Backdoors!AZ35/100,Backdoors!BA35/100)),"")</f>
        <v/>
      </c>
      <c r="HS86" s="49">
        <f>IFERROR(IF(VLOOKUP(tbMoveset!A86,tbMoveset!A2:H112,8,FALSE)="Other",IF(VLOOKUP(tbMoveset!A86,tbMoveset!A2:I112,9,FALSE)="Fire",Backdoors!BB35,IF(VLOOKUP(tbMoveset!A86,tbMoveset!A2:I112,9,FALSE)="Water",Backdoors!BC35,IF(VLOOKUP(tbMoveset!A86,tbMoveset!A2:I112,9,FALSE)="Thunder",Backdoors!BD35,IF(VLOOKUP(tbMoveset!A86,tbMoveset!A2:I112,9,FALSE)="Ice",Backdoors!BE35,IF(VLOOKUP(tbMoveset!A86,tbMoveset!A2:I112,9,FALSE)="Dragon",Backdoors!BF35,Backdoors!BG35)))))/100,Backdoors!BG35/100),"")</f>
        <v>0</v>
      </c>
      <c r="HT86" s="49">
        <f>IFERROR(IF(VLOOKUP(A86,tbMoveset!A2:J112,10,FALSE)=TRUE,IF((Backdoors!AI12+IF(HR86&gt;=0.45,VLOOKUP(Calculator!E23,tbSkills!DH3:DI6,2,FALSE)+IF(AND(Calculator!B8=TRUE,Backdoors!BI35=TRUE),VLOOKUP(Calculator!E23,tbSkills!DH3:DJ6,3,FALSE),0),0))&gt;=0,1+(Backdoors!AL2*(IF((Backdoors!AI12+IF(HR86&gt;=0.45,VLOOKUP(Calculator!E23,tbSkills!DH3:DI6,2,FALSE)+IF(AND(Calculator!B8=TRUE,Backdoors!BI35=TRUE),VLOOKUP(Calculator!E23,tbSkills!DH3:DJ6,3,FALSE),0),0))&gt;=100,100,(Backdoors!AI12+IF(HR86&gt;=0.45,VLOOKUP(Calculator!E23,tbSkills!DH3:DI6,2,FALSE)+IF(AND(Calculator!B8=TRUE,Backdoors!BI35=TRUE),VLOOKUP(Calculator!E23,tbSkills!DH3:DJ6,3,FALSE),0),0)))/100)),(1-(0.25*((-Backdoors!AI12-IF(HR86&gt;=0.45,VLOOKUP(Calculator!E23,tbSkills!DH3:DI6,2,FALSE)+IF(AND(Calculator!B8=TRUE,Backdoors!BI35=TRUE),VLOOKUP(Calculator!E23,tbSkills!DH3:DJ6,3,FALSE),0),0))/100)))),1),"")</f>
        <v>1</v>
      </c>
      <c r="HU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R86)*HT86)*(VLOOKUP(A86,tbMoveset!A2:C112,3,FALSE)/100)*IF(VLOOKUP(A86,tbMoveset!A2:B112,2,FALSE)="Projectile",Backdoors!N10,Backdoors!N9),0),"")</f>
        <v/>
      </c>
      <c r="HV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R86&gt;=0.45,VLOOKUP(Calculator!E23,tbSkills!DH3:DI6,2,FALSE)+IF(AND(Calculator!B8=TRUE,Backdoors!BI35=TRUE),VLOOKUP(Calculator!E23,tbSkills!DH3:DJ6,3,FALSE),0),0))&gt;=100,100,(Backdoors!AI12+IF(HR86&gt;=0.45,VLOOKUP(Calculator!E23,tbSkills!DH3:DI6,2,FALSE)+IF(AND(Calculator!B8=TRUE,Backdoors!BI35=TRUE),VLOOKUP(Calculator!E23,tbSkills!DH3:DJ6,3,FALSE),0),0)))/100)),1))*IF(VLOOKUP(A86,tbMoveset!A2:K112,11,FALSE)=TRUE,Backdoors!AC5,1))*HS86,0),"")</f>
        <v>0</v>
      </c>
      <c r="HW86" s="49">
        <f>VLOOKUP(A86,tbMoveset!A2:G112,7,FALSE)*IFERROR(IF(Backdoors!AI12&gt;=0,1+(IF(Calculator!E40&gt;0,VLOOKUP(Calculator!E40,tbSkills!AI3:AJ5,2,FALSE),Backdoors!AL4)*(IF((Backdoors!AI12+IF(HR86&gt;=0.45,VLOOKUP(Calculator!E23,tbSkills!DH3:DI6,2,FALSE)+IF(AND(Calculator!B8=TRUE,Backdoors!BI35=TRUE),VLOOKUP(Calculator!E23,tbSkills!DH3:DJ6,3,FALSE),0),0))&gt;=100,100,(Backdoors!AI12+IF(HR86&gt;=0.45,VLOOKUP(Calculator!E23,tbSkills!DH3:DI6,2,FALSE)+IF(AND(Calculator!B8=TRUE,Backdoors!BI35=TRUE),VLOOKUP(Calculator!E23,tbSkills!DH3:DJ6,3,FALSE),0),0)))/100)),1),1)</f>
        <v>0.4</v>
      </c>
      <c r="HX86" s="87">
        <f t="shared" si="83"/>
        <v>0</v>
      </c>
      <c r="HY86" s="86" t="str">
        <f>IFERROR(IF(VLOOKUP(A86,tbMoveset!A2:B112,2,FALSE)="Sever",Backdoors!AY36/100,IF(VLOOKUP(A86,tbMoveset!A2:B112,2,FALSE)="Blunt",Backdoors!AZ36/100,Backdoors!BA36/100)),"")</f>
        <v/>
      </c>
      <c r="HZ86" s="49">
        <f>IFERROR(IF(VLOOKUP(tbMoveset!A86,tbMoveset!A2:H112,8,FALSE)="Other",IF(VLOOKUP(tbMoveset!A86,tbMoveset!A2:I112,9,FALSE)="Fire",Backdoors!BB36,IF(VLOOKUP(tbMoveset!A86,tbMoveset!A2:I112,9,FALSE)="Water",Backdoors!BC36,IF(VLOOKUP(tbMoveset!A86,tbMoveset!A2:I112,9,FALSE)="Thunder",Backdoors!BD36,IF(VLOOKUP(tbMoveset!A86,tbMoveset!A2:I112,9,FALSE)="Ice",Backdoors!BE36,IF(VLOOKUP(tbMoveset!A86,tbMoveset!A2:I112,9,FALSE)="Dragon",Backdoors!BF36,Backdoors!BG36)))))/100,Backdoors!BG36/100),"")</f>
        <v>0</v>
      </c>
      <c r="IA86" s="49">
        <f>IFERROR(IF(VLOOKUP(A86,tbMoveset!A2:J112,10,FALSE)=TRUE,IF((Backdoors!AI12+IF(HY86&gt;=0.45,VLOOKUP(Calculator!E23,tbSkills!DH3:DI6,2,FALSE)+IF(AND(Calculator!B8=TRUE,Backdoors!BI36=TRUE),VLOOKUP(Calculator!E23,tbSkills!DH3:DJ6,3,FALSE),0),0))&gt;=0,1+(Backdoors!AL2*(IF((Backdoors!AI12+IF(HY86&gt;=0.45,VLOOKUP(Calculator!E23,tbSkills!DH3:DI6,2,FALSE)+IF(AND(Calculator!B8=TRUE,Backdoors!BI36=TRUE),VLOOKUP(Calculator!E23,tbSkills!DH3:DJ6,3,FALSE),0),0))&gt;=100,100,(Backdoors!AI12+IF(HY86&gt;=0.45,VLOOKUP(Calculator!E23,tbSkills!DH3:DI6,2,FALSE)+IF(AND(Calculator!B8=TRUE,Backdoors!BI36=TRUE),VLOOKUP(Calculator!E23,tbSkills!DH3:DJ6,3,FALSE),0),0)))/100)),(1-(0.25*((-Backdoors!AI12-IF(HY86&gt;=0.45,VLOOKUP(Calculator!E23,tbSkills!DH3:DI6,2,FALSE)+IF(AND(Calculator!B8=TRUE,Backdoors!BI36=TRUE),VLOOKUP(Calculator!E23,tbSkills!DH3:DJ6,3,FALSE),0),0))/100)))),1),"")</f>
        <v>1</v>
      </c>
      <c r="IB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Y86)*IA86)*(VLOOKUP(A86,tbMoveset!A2:C112,3,FALSE)/100)*IF(VLOOKUP(A86,tbMoveset!A2:B112,2,FALSE)="Projectile",Backdoors!N10,Backdoors!N9),0),"")</f>
        <v/>
      </c>
      <c r="IC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Y86&gt;=0.45,VLOOKUP(Calculator!E23,tbSkills!DH3:DI6,2,FALSE)+IF(AND(Calculator!B8=TRUE,Backdoors!BI36=TRUE),VLOOKUP(Calculator!E23,tbSkills!DH3:DJ6,3,FALSE),0),0))&gt;=100,100,(Backdoors!AI12+IF(HY86&gt;=0.45,VLOOKUP(Calculator!E23,tbSkills!DH3:DI6,2,FALSE)+IF(AND(Calculator!B8=TRUE,Backdoors!BI36=TRUE),VLOOKUP(Calculator!E23,tbSkills!DH3:DJ6,3,FALSE),0),0)))/100)),1))*IF(VLOOKUP(A86,tbMoveset!A2:K112,11,FALSE)=TRUE,Backdoors!AC5,1))*HZ86,0),"")</f>
        <v>0</v>
      </c>
      <c r="ID86" s="49">
        <f>VLOOKUP(A86,tbMoveset!A2:G112,7,FALSE)*IFERROR(IF(Backdoors!AI12&gt;=0,1+(IF(Calculator!E40&gt;0,VLOOKUP(Calculator!E40,tbSkills!AI3:AJ5,2,FALSE),Backdoors!AL4)*(IF((Backdoors!AI12+IF(HY86&gt;=0.45,VLOOKUP(Calculator!E23,tbSkills!DH3:DI6,2,FALSE)+IF(AND(Calculator!B8=TRUE,Backdoors!BI36=TRUE),VLOOKUP(Calculator!E23,tbSkills!DH3:DJ6,3,FALSE),0),0))&gt;=100,100,(Backdoors!AI12+IF(HY86&gt;=0.45,VLOOKUP(Calculator!E23,tbSkills!DH3:DI6,2,FALSE)+IF(AND(Calculator!B8=TRUE,Backdoors!BI36=TRUE),VLOOKUP(Calculator!E23,tbSkills!DH3:DJ6,3,FALSE),0),0)))/100)),1),1)</f>
        <v>0.4</v>
      </c>
      <c r="IE86" s="87">
        <f t="shared" si="84"/>
        <v>0</v>
      </c>
      <c r="IF86" s="86" t="str">
        <f>IFERROR(IF(VLOOKUP(A86,tbMoveset!A2:B112,2,FALSE)="Sever",Backdoors!AY37/100,IF(VLOOKUP(A86,tbMoveset!A2:B112,2,FALSE)="Blunt",Backdoors!AZ37/100,Backdoors!BA37/100)),"")</f>
        <v/>
      </c>
      <c r="IG86" s="49">
        <f>IFERROR(IF(VLOOKUP(tbMoveset!A86,tbMoveset!A2:H112,8,FALSE)="Other",IF(VLOOKUP(tbMoveset!A86,tbMoveset!A2:I112,9,FALSE)="Fire",Backdoors!BB37,IF(VLOOKUP(tbMoveset!A86,tbMoveset!A2:I112,9,FALSE)="Water",Backdoors!BC37,IF(VLOOKUP(tbMoveset!A86,tbMoveset!A2:I112,9,FALSE)="Thunder",Backdoors!BD37,IF(VLOOKUP(tbMoveset!A86,tbMoveset!A2:I112,9,FALSE)="Ice",Backdoors!BE37,IF(VLOOKUP(tbMoveset!A86,tbMoveset!A2:I112,9,FALSE)="Dragon",Backdoors!BF37,Backdoors!BG37)))))/100,Backdoors!BG37/100),"")</f>
        <v>0</v>
      </c>
      <c r="IH86" s="49">
        <f>IFERROR(IF(VLOOKUP(A86,tbMoveset!A2:J112,10,FALSE)=TRUE,IF((Backdoors!AI12+IF(IF86&gt;=0.45,VLOOKUP(Calculator!E23,tbSkills!DH3:DI6,2,FALSE)+IF(AND(Calculator!B8=TRUE,Backdoors!BI37=TRUE),VLOOKUP(Calculator!E23,tbSkills!DH3:DJ6,3,FALSE),0),0))&gt;=0,1+(Backdoors!AL2*(IF((Backdoors!AI12+IF(IF86&gt;=0.45,VLOOKUP(Calculator!E23,tbSkills!DH3:DI6,2,FALSE)+IF(AND(Calculator!B8=TRUE,Backdoors!BI37=TRUE),VLOOKUP(Calculator!E23,tbSkills!DH3:DJ6,3,FALSE),0),0))&gt;=100,100,(Backdoors!AI12+IF(IF86&gt;=0.45,VLOOKUP(Calculator!E23,tbSkills!DH3:DI6,2,FALSE)+IF(AND(Calculator!B8=TRUE,Backdoors!BI37=TRUE),VLOOKUP(Calculator!E23,tbSkills!DH3:DJ6,3,FALSE),0),0)))/100)),(1-(0.25*((-Backdoors!AI12-IF(IF86&gt;=0.45,VLOOKUP(Calculator!E23,tbSkills!DH3:DI6,2,FALSE)+IF(AND(Calculator!B8=TRUE,Backdoors!BI37=TRUE),VLOOKUP(Calculator!E23,tbSkills!DH3:DJ6,3,FALSE),0),0))/100)))),1),"")</f>
        <v>1</v>
      </c>
      <c r="II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F86)*IH86)*(VLOOKUP(A86,tbMoveset!A2:C112,3,FALSE)/100)*IF(VLOOKUP(A86,tbMoveset!A2:B112,2,FALSE)="Projectile",Backdoors!N10,Backdoors!N9),0),"")</f>
        <v/>
      </c>
      <c r="IJ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IF86&gt;=0.45,VLOOKUP(Calculator!E23,tbSkills!DH3:DI6,2,FALSE)+IF(AND(Calculator!B8=TRUE,Backdoors!BI37=TRUE),VLOOKUP(Calculator!E23,tbSkills!DH3:DJ6,3,FALSE),0),0))&gt;=100,100,(Backdoors!AI12+IF(IF86&gt;=0.45,VLOOKUP(Calculator!E23,tbSkills!DH3:DI6,2,FALSE)+IF(AND(Calculator!B8=TRUE,Backdoors!BI37=TRUE),VLOOKUP(Calculator!E23,tbSkills!DH3:DJ6,3,FALSE),0),0)))/100)),1))*IF(VLOOKUP(A86,tbMoveset!A2:K112,11,FALSE)=TRUE,Backdoors!AC5,1))*IG86,0),"")</f>
        <v>0</v>
      </c>
      <c r="IK86" s="49">
        <f>VLOOKUP(A86,tbMoveset!A2:G112,7,FALSE)*IFERROR(IF(Backdoors!AI12&gt;=0,1+(IF(Calculator!E40&gt;0,VLOOKUP(Calculator!E40,tbSkills!AI3:AJ5,2,FALSE),Backdoors!AL4)*(IF((Backdoors!AI12+IF(IF86&gt;=0.45,VLOOKUP(Calculator!E23,tbSkills!DH3:DI6,2,FALSE)+IF(AND(Calculator!B8=TRUE,Backdoors!BI37=TRUE),VLOOKUP(Calculator!E23,tbSkills!DH3:DJ6,3,FALSE),0),0))&gt;=100,100,(Backdoors!AI12+IF(IF86&gt;=0.45,VLOOKUP(Calculator!E23,tbSkills!DH3:DI6,2,FALSE)+IF(AND(Calculator!B8=TRUE,Backdoors!BI37=TRUE),VLOOKUP(Calculator!E23,tbSkills!DH3:DJ6,3,FALSE),0),0)))/100)),1),1)</f>
        <v>0.4</v>
      </c>
      <c r="IL86" s="87">
        <f t="shared" si="85"/>
        <v>0</v>
      </c>
      <c r="IM86" s="86" t="str">
        <f>IFERROR(IF(VLOOKUP(A86,tbMoveset!A2:B112,2,FALSE)="Sever",Backdoors!AY38/100,IF(VLOOKUP(A86,tbMoveset!A2:B112,2,FALSE)="Blunt",Backdoors!AZ38/100,Backdoors!BA38/100)),"")</f>
        <v/>
      </c>
      <c r="IN86" s="49">
        <f>IFERROR(IF(VLOOKUP(tbMoveset!A86,tbMoveset!A2:H112,8,FALSE)="Other",IF(VLOOKUP(tbMoveset!A86,tbMoveset!A2:I112,9,FALSE)="Fire",Backdoors!BB38,IF(VLOOKUP(tbMoveset!A86,tbMoveset!A2:I112,9,FALSE)="Water",Backdoors!BC38,IF(VLOOKUP(tbMoveset!A86,tbMoveset!A2:I112,9,FALSE)="Thunder",Backdoors!BD38,IF(VLOOKUP(tbMoveset!A86,tbMoveset!A2:I112,9,FALSE)="Ice",Backdoors!BE38,IF(VLOOKUP(tbMoveset!A86,tbMoveset!A2:I112,9,FALSE)="Dragon",Backdoors!BF38,Backdoors!BG38)))))/100,Backdoors!BG38/100),"")</f>
        <v>0</v>
      </c>
      <c r="IO86" s="49">
        <f>IFERROR(IF(VLOOKUP(A86,tbMoveset!A2:J112,10,FALSE)=TRUE,IF((Backdoors!AI12+IF(IM86&gt;=0.45,VLOOKUP(Calculator!E23,tbSkills!DH3:DI6,2,FALSE)+IF(AND(Calculator!B8=TRUE,Backdoors!BI38=TRUE),VLOOKUP(Calculator!E23,tbSkills!DH3:DJ6,3,FALSE),0),0))&gt;=0,1+(Backdoors!AL2*(IF((Backdoors!AI12+IF(IM86&gt;=0.45,VLOOKUP(Calculator!E23,tbSkills!DH3:DI6,2,FALSE)+IF(AND(Calculator!B8=TRUE,Backdoors!BI38=TRUE),VLOOKUP(Calculator!E23,tbSkills!DH3:DJ6,3,FALSE),0),0))&gt;=100,100,(Backdoors!AI12+IF(IM86&gt;=0.45,VLOOKUP(Calculator!E23,tbSkills!DH3:DI6,2,FALSE)+IF(AND(Calculator!B8=TRUE,Backdoors!BI38=TRUE),VLOOKUP(Calculator!E23,tbSkills!DH3:DJ6,3,FALSE),0),0)))/100)),(1-(0.25*((-Backdoors!AI12-IF(IM86&gt;=0.45,VLOOKUP(Calculator!E23,tbSkills!DH3:DI6,2,FALSE)+IF(AND(Calculator!B8=TRUE,Backdoors!BI38=TRUE),VLOOKUP(Calculator!E23,tbSkills!DH3:DJ6,3,FALSE),0),0))/100)))),1),"")</f>
        <v>1</v>
      </c>
      <c r="IP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M86)*IO86)*(VLOOKUP(A86,tbMoveset!A2:C112,3,FALSE)/100)*IF(VLOOKUP(A86,tbMoveset!A2:B112,2,FALSE)="Projectile",Backdoors!N10,Backdoors!N9),0),"")</f>
        <v/>
      </c>
      <c r="IQ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IM86&gt;=0.45,VLOOKUP(Calculator!E23,tbSkills!DH3:DI6,2,FALSE)+IF(AND(Calculator!B8=TRUE,Backdoors!BI38=TRUE),VLOOKUP(Calculator!E23,tbSkills!DH3:DJ6,3,FALSE),0),0))&gt;=100,100,(Backdoors!AI12+IF(IM86&gt;=0.45,VLOOKUP(Calculator!E23,tbSkills!DH3:DI6,2,FALSE)+IF(AND(Calculator!B8=TRUE,Backdoors!BI38=TRUE),VLOOKUP(Calculator!E23,tbSkills!DH3:DJ6,3,FALSE),0),0)))/100)),1))*IF(VLOOKUP(A86,tbMoveset!A2:K112,11,FALSE)=TRUE,Backdoors!AC5,1))*IN86,0),"")</f>
        <v>0</v>
      </c>
      <c r="IR86" s="49">
        <f>VLOOKUP(A86,tbMoveset!A2:G112,7,FALSE)*IFERROR(IF(Backdoors!AI12&gt;=0,1+(IF(Calculator!E40&gt;0,VLOOKUP(Calculator!E40,tbSkills!AI3:AJ5,2,FALSE),Backdoors!AL4)*(IF((Backdoors!AI12+IF(IM86&gt;=0.45,VLOOKUP(Calculator!E23,tbSkills!DH3:DI6,2,FALSE)+IF(AND(Calculator!B8=TRUE,Backdoors!BI38=TRUE),VLOOKUP(Calculator!E23,tbSkills!DH3:DJ6,3,FALSE),0),0))&gt;=100,100,(Backdoors!AI12+IF(IM86&gt;=0.45,VLOOKUP(Calculator!E23,tbSkills!DH3:DI6,2,FALSE)+IF(AND(Calculator!B8=TRUE,Backdoors!BI38=TRUE),VLOOKUP(Calculator!E23,tbSkills!DH3:DJ6,3,FALSE),0),0)))/100)),1),1)</f>
        <v>0.4</v>
      </c>
      <c r="IS86" s="87">
        <f t="shared" si="86"/>
        <v>0</v>
      </c>
      <c r="IT86" s="86" t="str">
        <f>IFERROR(IF(VLOOKUP(A86,tbMoveset!A2:B112,2,FALSE)="Sever",Backdoors!AY39/100,IF(VLOOKUP(A86,tbMoveset!A2:B112,2,FALSE)="Blunt",Backdoors!AZ39/100,Backdoors!BA39/100)),"")</f>
        <v/>
      </c>
      <c r="IU86" s="49">
        <f>IFERROR(IF(VLOOKUP(tbMoveset!A86,tbMoveset!A2:H112,8,FALSE)="Other",IF(VLOOKUP(tbMoveset!A86,tbMoveset!A2:I112,9,FALSE)="Fire",Backdoors!BB39,IF(VLOOKUP(tbMoveset!A86,tbMoveset!A2:I112,9,FALSE)="Water",Backdoors!BC39,IF(VLOOKUP(tbMoveset!A86,tbMoveset!A2:I112,9,FALSE)="Thunder",Backdoors!BD39,IF(VLOOKUP(tbMoveset!A86,tbMoveset!A2:I112,9,FALSE)="Ice",Backdoors!BE39,IF(VLOOKUP(tbMoveset!A86,tbMoveset!A2:I112,9,FALSE)="Dragon",Backdoors!BF39,Backdoors!BG39)))))/100,Backdoors!BG39/100),"")</f>
        <v>0</v>
      </c>
      <c r="IV86" s="49">
        <f>IFERROR(IF(VLOOKUP(A86,tbMoveset!A2:J112,10,FALSE)=TRUE,IF((Backdoors!AI12+IF(IT86&gt;=0.45,VLOOKUP(Calculator!E23,tbSkills!DH3:DI6,2,FALSE)+IF(AND(Calculator!B8=TRUE,Backdoors!BI39=TRUE),VLOOKUP(Calculator!E23,tbSkills!DH3:DJ6,3,FALSE),0),0))&gt;=0,1+(Backdoors!AL2*(IF((Backdoors!AI12+IF(IT86&gt;=0.45,VLOOKUP(Calculator!E23,tbSkills!DH3:DI6,2,FALSE)+IF(AND(Calculator!B8=TRUE,Backdoors!BI39=TRUE),VLOOKUP(Calculator!E23,tbSkills!DH3:DJ6,3,FALSE),0),0))&gt;=100,100,(Backdoors!AI12+IF(IT86&gt;=0.45,VLOOKUP(Calculator!E23,tbSkills!DH3:DI6,2,FALSE)+IF(AND(Calculator!B8=TRUE,Backdoors!BI39=TRUE),VLOOKUP(Calculator!E23,tbSkills!DH3:DJ6,3,FALSE),0),0)))/100)),(1-(0.25*((-Backdoors!AI12-IF(IT86&gt;=0.45,VLOOKUP(Calculator!E23,tbSkills!DH3:DI6,2,FALSE)+IF(AND(Calculator!B8=TRUE,Backdoors!BI39=TRUE),VLOOKUP(Calculator!E23,tbSkills!DH3:DJ6,3,FALSE),0),0))/100)))),1),"")</f>
        <v>1</v>
      </c>
      <c r="IW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T86)*IV86)*(VLOOKUP(A86,tbMoveset!A2:C112,3,FALSE)/100)*IF(VLOOKUP(A86,tbMoveset!A2:B112,2,FALSE)="Projectile",Backdoors!N10,Backdoors!N9),0),"")</f>
        <v/>
      </c>
      <c r="IX86" s="49">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40&gt;0,VLOOKUP(Calculator!E40,tbSkills!AC3:AD5,2,FALSE),Backdoors!AL3)*(IF((Backdoors!AI12+IF(IT86&gt;=0.45,VLOOKUP(Calculator!E23,tbSkills!DH3:DI6,2,FALSE)+IF(AND(Calculator!B8=TRUE,Backdoors!BI39=TRUE),VLOOKUP(Calculator!E23,tbSkills!DH3:DJ6,3,FALSE),0),0))&gt;=100,100,(Backdoors!AI12+IF(IT86&gt;=0.45,VLOOKUP(Calculator!E23,tbSkills!DH3:DI6,2,FALSE)+IF(AND(Calculator!B8=TRUE,Backdoors!BI39=TRUE),VLOOKUP(Calculator!E23,tbSkills!DH3:DJ6,3,FALSE),0),0)))/100)),1))*IF(VLOOKUP(A86,tbMoveset!A2:K112,11,FALSE)=TRUE,Backdoors!AC5,1))*IU86,0),"")</f>
        <v>0</v>
      </c>
      <c r="IY86" s="49">
        <f>VLOOKUP(A86,tbMoveset!A2:G112,7,FALSE)*IFERROR(IF(Backdoors!AI12&gt;=0,1+(IF(Calculator!E40&gt;0,VLOOKUP(Calculator!E40,tbSkills!AI3:AJ5,2,FALSE),Backdoors!AL4)*(IF((Backdoors!AI12+IF(IT86&gt;=0.45,VLOOKUP(Calculator!E23,tbSkills!DH3:DI6,2,FALSE)+IF(AND(Calculator!B8=TRUE,Backdoors!BI39=TRUE),VLOOKUP(Calculator!E23,tbSkills!DH3:DJ6,3,FALSE),0),0))&gt;=100,100,(Backdoors!AI12+IF(IT86&gt;=0.45,VLOOKUP(Calculator!E23,tbSkills!DH3:DI6,2,FALSE)+IF(AND(Calculator!B8=TRUE,Backdoors!BI39=TRUE),VLOOKUP(Calculator!E23,tbSkills!DH3:DJ6,3,FALSE),0),0)))/100)),1),1)</f>
        <v>0.4</v>
      </c>
      <c r="IZ86" s="87">
        <f t="shared" si="87"/>
        <v>0</v>
      </c>
      <c r="JA86" s="86" t="str">
        <f>IFERROR(IF(VLOOKUP(A86,tbMoveset!A2:B112,2,FALSE)="Sever",Backdoors!AY40/100,IF(VLOOKUP(A86,tbMoveset!A2:B112,2,FALSE)="Blunt",Backdoors!AZ40/100,Backdoors!BA40/100)),"")</f>
        <v/>
      </c>
      <c r="JB86" s="49">
        <f>IFERROR(IF(VLOOKUP(tbMoveset!A86,tbMoveset!A2:H112,8,FALSE)="Other",IF(VLOOKUP(tbMoveset!A86,tbMoveset!A2:I112,9,FALSE)="Fire",Backdoors!BB40,IF(VLOOKUP(tbMoveset!A86,tbMoveset!A2:I112,9,FALSE)="Water",Backdoors!BC40,IF(VLOOKUP(tbMoveset!A86,tbMoveset!A2:I112,9,FALSE)="Thunder",Backdoors!BD40,IF(VLOOKUP(tbMoveset!A86,tbMoveset!A2:I112,9,FALSE)="Ice",Backdoors!BE40,IF(VLOOKUP(tbMoveset!A86,tbMoveset!A2:I112,9,FALSE)="Dragon",Backdoors!BF40,Backdoors!BG40)))))/100,Backdoors!BG40/100),"")</f>
        <v>0</v>
      </c>
      <c r="JC86" s="49">
        <f>IFERROR(IF(VLOOKUP(A86,tbMoveset!A2:J112,10,FALSE)=TRUE,IF((Backdoors!AI12+IF(JA86&gt;=0.45,VLOOKUP(Calculator!E23,tbSkills!DH3:DI6,2,FALSE)+IF(AND(Calculator!B8=TRUE,Backdoors!BI40=TRUE),VLOOKUP(Calculator!E23,tbSkills!DH3:DJ6,3,FALSE),0),0))&gt;=0,1+(Backdoors!AL2*(IF((Backdoors!AI12+IF(JA86&gt;=0.45,VLOOKUP(Calculator!E23,tbSkills!DH3:DI6,2,FALSE)+IF(AND(Calculator!B8=TRUE,Backdoors!BI40=TRUE),VLOOKUP(Calculator!E23,tbSkills!DH3:DJ6,3,FALSE),0),0))&gt;=100,100,(Backdoors!AI12+IF(JA86&gt;=0.45,VLOOKUP(Calculator!E23,tbSkills!DH3:DI6,2,FALSE)+IF(AND(Calculator!B8=TRUE,Backdoors!BI40=TRUE),VLOOKUP(Calculator!E23,tbSkills!DH3:DJ6,3,FALSE),0),0)))/100)),(1-(0.25*((-Backdoors!AI12-IF(JA86&gt;=0.45,VLOOKUP(Calculator!E23,tbSkills!DH3:DI6,2,FALSE)+IF(AND(Calculator!B8=TRUE,Backdoors!BI40=TRUE),VLOOKUP(Calculator!E23,tbSkills!DH3:DJ6,3,FALSE),0),0))/100)))),1),"")</f>
        <v>1</v>
      </c>
      <c r="JD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A86)*JC86)*(VLOOKUP(A86,tbMoveset!A2:C112,3,FALSE)/100)*IF(VLOOKUP(A86,tbMoveset!A2:B112,2,FALSE)="Projectile",Backdoors!N10,Backdoors!N9),0),"")</f>
        <v/>
      </c>
      <c r="JE86" s="49">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42&gt;0,VLOOKUP(Calculator!E42,tbSkills!AC3:AD5,2,FALSE),Backdoors!AL3)*(IF((Backdoors!AI12+IF(JA86&gt;=0.45,VLOOKUP(Calculator!E23,tbSkills!DH3:DI6,2,FALSE)+IF(AND(Calculator!B8=TRUE,Backdoors!BI40=TRUE),VLOOKUP(Calculator!E23,tbSkills!DH3:DJ6,3,FALSE),0),0))&gt;=100,100,(Backdoors!AI12+IF(JA86&gt;=0.45,VLOOKUP(Calculator!E23,tbSkills!DH3:DI6,2,FALSE)+IF(AND(Calculator!B8=TRUE,Backdoors!BI40=TRUE),VLOOKUP(Calculator!E23,tbSkills!DH3:DJ6,3,FALSE),0),0)))/100)),1))*IF(VLOOKUP(A86,tbMoveset!A2:K112,11,FALSE)=TRUE,Backdoors!AC5,1))*JB86,0),"")</f>
        <v>0</v>
      </c>
      <c r="JF86" s="49">
        <f>VLOOKUP(A86,tbMoveset!A2:G112,7,FALSE)*IFERROR(IF(Backdoors!AI12&gt;=0,1+(IF(Calculator!E40&gt;0,VLOOKUP(Calculator!E40,tbSkills!AI3:AJ5,2,FALSE),Backdoors!AL4)*(IF((Backdoors!AI12+IF(JA86&gt;=0.45,VLOOKUP(Calculator!E23,tbSkills!DH3:DI6,2,FALSE)+IF(AND(Calculator!B8=TRUE,Backdoors!BI40=TRUE),VLOOKUP(Calculator!E23,tbSkills!DH3:DJ6,3,FALSE),0),0))&gt;=100,100,(Backdoors!AI12+IF(JA86&gt;=0.45,VLOOKUP(Calculator!E23,tbSkills!DH3:DI6,2,FALSE)+IF(AND(Calculator!B8=TRUE,Backdoors!BI40=TRUE),VLOOKUP(Calculator!E23,tbSkills!DH3:DJ6,3,FALSE),0),0)))/100)),1),1)</f>
        <v>0.4</v>
      </c>
      <c r="JG86" s="87">
        <f t="shared" si="88"/>
        <v>0</v>
      </c>
      <c r="JH86" s="86" t="str">
        <f>IFERROR(IF(VLOOKUP(A86,tbMoveset!A2:B112,2,FALSE)="Sever",Backdoors!AY41/100,IF(VLOOKUP(A86,tbMoveset!A2:B112,2,FALSE)="Blunt",Backdoors!AZ41/100,Backdoors!BA41/100)),"")</f>
        <v/>
      </c>
      <c r="JI86" s="49">
        <f>IFERROR(IF(VLOOKUP(tbMoveset!A86,tbMoveset!A2:H112,8,FALSE)="Other",IF(VLOOKUP(tbMoveset!A86,tbMoveset!A2:I112,9,FALSE)="Fire",Backdoors!BB41,IF(VLOOKUP(tbMoveset!A86,tbMoveset!A2:I112,9,FALSE)="Water",Backdoors!BC41,IF(VLOOKUP(tbMoveset!A86,tbMoveset!A2:I112,9,FALSE)="Thunder",Backdoors!BD41,IF(VLOOKUP(tbMoveset!A86,tbMoveset!A2:I112,9,FALSE)="Ice",Backdoors!BE41,IF(VLOOKUP(tbMoveset!A86,tbMoveset!A2:I112,9,FALSE)="Dragon",Backdoors!BF41,Backdoors!BG41)))))/100,Backdoors!BG41/100),"")</f>
        <v>0</v>
      </c>
      <c r="JJ86" s="49">
        <f>IFERROR(IF(VLOOKUP(A86,tbMoveset!A2:J112,10,FALSE)=TRUE,IF((Backdoors!AI12+IF(JH86&gt;=0.45,VLOOKUP(Calculator!E23,tbSkills!DH3:DI6,2,FALSE)+IF(AND(Calculator!B8=TRUE,Backdoors!BI41=TRUE),VLOOKUP(Calculator!E23,tbSkills!DH3:DJ6,3,FALSE),0),0))&gt;=0,1+(Backdoors!AL2*(IF((Backdoors!AI12+IF(JH86&gt;=0.45,VLOOKUP(Calculator!E23,tbSkills!DH3:DI6,2,FALSE)+IF(AND(Calculator!B8=TRUE,Backdoors!BI41=TRUE),VLOOKUP(Calculator!E23,tbSkills!DH3:DJ6,3,FALSE),0),0))&gt;=100,100,(Backdoors!AI12+IF(JH86&gt;=0.45,VLOOKUP(Calculator!E23,tbSkills!DH3:DI6,2,FALSE)+IF(AND(Calculator!B8=TRUE,Backdoors!BI41=TRUE),VLOOKUP(Calculator!E23,tbSkills!DH3:DJ6,3,FALSE),0),0)))/100)),(1-(0.25*((-Backdoors!AI12-IF(JH86&gt;=0.45,VLOOKUP(Calculator!E23,tbSkills!DH3:DI6,2,FALSE)+IF(AND(Calculator!B8=TRUE,Backdoors!BI41=TRUE),VLOOKUP(Calculator!E23,tbSkills!DH3:DJ6,3,FALSE),0),0))/100)))),1),"")</f>
        <v>1</v>
      </c>
      <c r="JK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H86)*JJ86)*(VLOOKUP(A86,tbMoveset!A2:C112,3,FALSE)/100)*IF(VLOOKUP(A86,tbMoveset!A2:B112,2,FALSE)="Projectile",Backdoors!N10,Backdoors!N9),0),"")</f>
        <v/>
      </c>
      <c r="JL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43&gt;0,VLOOKUP(Calculator!E43,tbSkills!AC3:AD5,2,FALSE),Backdoors!AL3)*(IF((Backdoors!AI12+IF(JH86&gt;=0.45,VLOOKUP(Calculator!E23,tbSkills!DH3:DI6,2,FALSE)+IF(AND(Calculator!B8=TRUE,Backdoors!BI41=TRUE),VLOOKUP(Calculator!E23,tbSkills!DH3:DJ6,3,FALSE),0),0))&gt;=100,100,(Backdoors!AI12+IF(JH86&gt;=0.45,VLOOKUP(Calculator!E23,tbSkills!DH3:DI6,2,FALSE)+IF(AND(Calculator!B8=TRUE,Backdoors!BI41=TRUE),VLOOKUP(Calculator!E23,tbSkills!DH3:DJ6,3,FALSE),0),0)))/100)),1))*IF(VLOOKUP(A86,tbMoveset!A2:K112,11,FALSE)=TRUE,Backdoors!AC5,1))*JI86,0),"")</f>
        <v/>
      </c>
      <c r="JM86" s="49">
        <f>VLOOKUP(A86,tbMoveset!A2:G112,7,FALSE)*IFERROR(IF(Backdoors!AI12&gt;=0,1+(IF(Calculator!E40&gt;0,VLOOKUP(Calculator!E40,tbSkills!AI3:AJ5,2,FALSE),Backdoors!AL4)*(IF((Backdoors!AI12+IF(JH86&gt;=0.45,VLOOKUP(Calculator!E23,tbSkills!DH3:DI6,2,FALSE)+IF(AND(Calculator!B8=TRUE,Backdoors!BI41=TRUE),VLOOKUP(Calculator!E23,tbSkills!DH3:DJ6,3,FALSE),0),0))&gt;=100,100,(Backdoors!AI12+IF(JH86&gt;=0.45,VLOOKUP(Calculator!E23,tbSkills!DH3:DI6,2,FALSE)+IF(AND(Calculator!B8=TRUE,Backdoors!BI41=TRUE),VLOOKUP(Calculator!E23,tbSkills!DH3:DJ6,3,FALSE),0),0)))/100)),1),1)</f>
        <v>0.4</v>
      </c>
      <c r="JN86" s="87">
        <f t="shared" si="89"/>
        <v>0</v>
      </c>
      <c r="JO86" s="86" t="str">
        <f>IFERROR(IF(VLOOKUP(A86,tbMoveset!A2:B112,2,FALSE)="Sever",Backdoors!AY42/100,IF(VLOOKUP(A86,tbMoveset!A2:B112,2,FALSE)="Blunt",Backdoors!AZ42/100,Backdoors!BA42/100)),"")</f>
        <v/>
      </c>
      <c r="JP86" s="49">
        <f>IFERROR(IF(VLOOKUP(tbMoveset!A86,tbMoveset!A2:H112,8,FALSE)="Other",IF(VLOOKUP(tbMoveset!A86,tbMoveset!A2:I112,9,FALSE)="Fire",Backdoors!BB42,IF(VLOOKUP(tbMoveset!A86,tbMoveset!A2:I112,9,FALSE)="Water",Backdoors!BC42,IF(VLOOKUP(tbMoveset!A86,tbMoveset!A2:I112,9,FALSE)="Thunder",Backdoors!BD42,IF(VLOOKUP(tbMoveset!A86,tbMoveset!A2:I112,9,FALSE)="Ice",Backdoors!BE42,IF(VLOOKUP(tbMoveset!A86,tbMoveset!A2:I112,9,FALSE)="Dragon",Backdoors!BF42,Backdoors!BG42)))))/100,Backdoors!BG42/100),"")</f>
        <v>0</v>
      </c>
      <c r="JQ86" s="49">
        <f>IFERROR(IF(VLOOKUP(A86,tbMoveset!A2:J112,10,FALSE)=TRUE,IF((Backdoors!AI12+IF(JO86&gt;=0.45,VLOOKUP(Calculator!E23,tbSkills!DH3:DI6,2,FALSE)+IF(AND(Calculator!B8=TRUE,Backdoors!BI42=TRUE),VLOOKUP(Calculator!E23,tbSkills!DH3:DJ6,3,FALSE),0),0))&gt;=0,1+(Backdoors!AL2*(IF((Backdoors!AI12+IF(JO86&gt;=0.45,VLOOKUP(Calculator!E23,tbSkills!DH3:DI6,2,FALSE)+IF(AND(Calculator!B8=TRUE,Backdoors!BI42=TRUE),VLOOKUP(Calculator!E23,tbSkills!DH3:DJ6,3,FALSE),0),0))&gt;=100,100,(Backdoors!AI12+IF(JO86&gt;=0.45,VLOOKUP(Calculator!E23,tbSkills!DH3:DI6,2,FALSE)+IF(AND(Calculator!B8=TRUE,Backdoors!BI42=TRUE),VLOOKUP(Calculator!E23,tbSkills!DH3:DJ6,3,FALSE),0),0)))/100)),(1-(0.25*((-Backdoors!AI12-IF(JO86&gt;=0.45,VLOOKUP(Calculator!E23,tbSkills!DH3:DI6,2,FALSE)+IF(AND(Calculator!B8=TRUE,Backdoors!BI42=TRUE),VLOOKUP(Calculator!E23,tbSkills!DH3:DJ6,3,FALSE),0),0))/100)))),1),"")</f>
        <v>1</v>
      </c>
      <c r="JR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O86)*JQ86)*(VLOOKUP(A86,tbMoveset!A2:C112,3,FALSE)/100)*IF(VLOOKUP(A86,tbMoveset!A2:B112,2,FALSE)="Projectile",Backdoors!N10,Backdoors!N9),0),"")</f>
        <v/>
      </c>
      <c r="JS86" s="49">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45&gt;0,VLOOKUP(Calculator!E45,tbSkills!AC3:AD5,2,FALSE),Backdoors!AL3)*(IF((Backdoors!AI12+IF(JO86&gt;=0.45,VLOOKUP(Calculator!E23,tbSkills!DH3:DI6,2,FALSE)+IF(AND(Calculator!B8=TRUE,Backdoors!BI42=TRUE),VLOOKUP(Calculator!E23,tbSkills!DH3:DJ6,3,FALSE),0),0))&gt;=100,100,(Backdoors!AI12+IF(JO86&gt;=0.45,VLOOKUP(Calculator!E23,tbSkills!DH3:DI6,2,FALSE)+IF(AND(Calculator!B8=TRUE,Backdoors!BI42=TRUE),VLOOKUP(Calculator!E23,tbSkills!DH3:DJ6,3,FALSE),0),0)))/100)),1))*IF(VLOOKUP(A86,tbMoveset!A2:K112,11,FALSE)=TRUE,Backdoors!AC5,1))*JP86,0),"")</f>
        <v>0</v>
      </c>
      <c r="JT86" s="49">
        <f>VLOOKUP(A86,tbMoveset!A2:G112,7,FALSE)*IFERROR(IF(Backdoors!AI12&gt;=0,1+(IF(Calculator!E40&gt;0,VLOOKUP(Calculator!E40,tbSkills!AI3:AJ5,2,FALSE),Backdoors!AL4)*(IF((Backdoors!AI12+IF(JO86&gt;=0.45,VLOOKUP(Calculator!E23,tbSkills!DH3:DI6,2,FALSE)+IF(AND(Calculator!B8=TRUE,Backdoors!BI42=TRUE),VLOOKUP(Calculator!E23,tbSkills!DH3:DJ6,3,FALSE),0),0))&gt;=100,100,(Backdoors!AI12+IF(JO86&gt;=0.45,VLOOKUP(Calculator!E23,tbSkills!DH3:DI6,2,FALSE)+IF(AND(Calculator!B8=TRUE,Backdoors!BI42=TRUE),VLOOKUP(Calculator!E23,tbSkills!DH3:DJ6,3,FALSE),0),0)))/100)),1),1)</f>
        <v>0.4</v>
      </c>
      <c r="JU86" s="87">
        <f t="shared" si="90"/>
        <v>0</v>
      </c>
      <c r="JV86" s="86" t="str">
        <f>IFERROR(IF(VLOOKUP(A86,tbMoveset!A2:B112,2,FALSE)="Sever",Backdoors!AY43/100,IF(VLOOKUP(A86,tbMoveset!A2:B112,2,FALSE)="Blunt",Backdoors!AZ43/100,Backdoors!BA43/100)),"")</f>
        <v/>
      </c>
      <c r="JW86" s="49">
        <f>IFERROR(IF(VLOOKUP(tbMoveset!A86,tbMoveset!A2:H112,8,FALSE)="Other",IF(VLOOKUP(tbMoveset!A86,tbMoveset!A2:I112,9,FALSE)="Fire",Backdoors!BB43,IF(VLOOKUP(tbMoveset!A86,tbMoveset!A2:I112,9,FALSE)="Water",Backdoors!BC43,IF(VLOOKUP(tbMoveset!A86,tbMoveset!A2:I112,9,FALSE)="Thunder",Backdoors!BD43,IF(VLOOKUP(tbMoveset!A86,tbMoveset!A2:I112,9,FALSE)="Ice",Backdoors!BE43,IF(VLOOKUP(tbMoveset!A86,tbMoveset!A2:I112,9,FALSE)="Dragon",Backdoors!BF43,Backdoors!BG43)))))/100,Backdoors!BG43/100),"")</f>
        <v>0</v>
      </c>
      <c r="JX86" s="49">
        <f>IFERROR(IF(VLOOKUP(A86,tbMoveset!A2:J112,10,FALSE)=TRUE,IF((Backdoors!AI12+IF(JV86&gt;=0.45,VLOOKUP(Calculator!E23,tbSkills!DH3:DI6,2,FALSE)+IF(AND(Calculator!B8=TRUE,Backdoors!BI43=TRUE),VLOOKUP(Calculator!E23,tbSkills!DH3:DJ6,3,FALSE),0),0))&gt;=0,1+(Backdoors!AL2*(IF((Backdoors!AI12+IF(JV86&gt;=0.45,VLOOKUP(Calculator!E23,tbSkills!DH3:DI6,2,FALSE)+IF(AND(Calculator!B8=TRUE,Backdoors!BI43=TRUE),VLOOKUP(Calculator!E23,tbSkills!DH3:DJ6,3,FALSE),0),0))&gt;=100,100,(Backdoors!AI12+IF(JV86&gt;=0.45,VLOOKUP(Calculator!E23,tbSkills!DH3:DI6,2,FALSE)+IF(AND(Calculator!B8=TRUE,Backdoors!BI43=TRUE),VLOOKUP(Calculator!E23,tbSkills!DH3:DJ6,3,FALSE),0),0)))/100)),(1-(0.25*((-Backdoors!AI12-IF(JV86&gt;=0.45,VLOOKUP(Calculator!E23,tbSkills!DH3:DI6,2,FALSE)+IF(AND(Calculator!B8=TRUE,Backdoors!BI43=TRUE),VLOOKUP(Calculator!E23,tbSkills!DH3:DJ6,3,FALSE),0),0))/100)))),1),"")</f>
        <v>1</v>
      </c>
      <c r="JY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V86)*JX86)*(VLOOKUP(A86,tbMoveset!A2:C112,3,FALSE)/100)*IF(VLOOKUP(A86,tbMoveset!A2:B112,2,FALSE)="Projectile",Backdoors!N10,Backdoors!N9),0),"")</f>
        <v/>
      </c>
      <c r="JZ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46&gt;0,VLOOKUP(Calculator!E46,tbSkills!AC3:AD5,2,FALSE),Backdoors!AL3)*(IF((Backdoors!AI12+IF(JV86&gt;=0.45,VLOOKUP(Calculator!E23,tbSkills!DH3:DI6,2,FALSE)+IF(AND(Calculator!B8=TRUE,Backdoors!BI43=TRUE),VLOOKUP(Calculator!E23,tbSkills!DH3:DJ6,3,FALSE),0),0))&gt;=100,100,(Backdoors!AI12+IF(JV86&gt;=0.45,VLOOKUP(Calculator!E23,tbSkills!DH3:DI6,2,FALSE)+IF(AND(Calculator!B8=TRUE,Backdoors!BI43=TRUE),VLOOKUP(Calculator!E23,tbSkills!DH3:DJ6,3,FALSE),0),0)))/100)),1))*IF(VLOOKUP(A86,tbMoveset!A2:K112,11,FALSE)=TRUE,Backdoors!AC5,1))*JW86,0),"")</f>
        <v/>
      </c>
      <c r="KA86" s="49">
        <f>VLOOKUP(A86,tbMoveset!A2:G112,7,FALSE)*IFERROR(IF(Backdoors!AI12&gt;=0,1+(IF(Calculator!E40&gt;0,VLOOKUP(Calculator!E40,tbSkills!AI3:AJ5,2,FALSE),Backdoors!AL4)*(IF((Backdoors!AI12+IF(JV86&gt;=0.45,VLOOKUP(Calculator!E23,tbSkills!DH3:DI6,2,FALSE)+IF(AND(Calculator!B8=TRUE,Backdoors!BI43=TRUE),VLOOKUP(Calculator!E23,tbSkills!DH3:DJ6,3,FALSE),0),0))&gt;=100,100,(Backdoors!AI12+IF(JV86&gt;=0.45,VLOOKUP(Calculator!E23,tbSkills!DH3:DI6,2,FALSE)+IF(AND(Calculator!B8=TRUE,Backdoors!BI43=TRUE),VLOOKUP(Calculator!E23,tbSkills!DH3:DJ6,3,FALSE),0),0)))/100)),1),1)</f>
        <v>0.4</v>
      </c>
      <c r="KB86" s="87">
        <f t="shared" si="91"/>
        <v>0</v>
      </c>
      <c r="KC86" s="86" t="str">
        <f>IFERROR(IF(VLOOKUP(A86,tbMoveset!A2:B112,2,FALSE)="Sever",Backdoors!AY44/100,IF(VLOOKUP(A86,tbMoveset!A2:B112,2,FALSE)="Blunt",Backdoors!AZ44/100,Backdoors!BA44/100)),"")</f>
        <v/>
      </c>
      <c r="KD86" s="49">
        <f>IFERROR(IF(VLOOKUP(tbMoveset!A86,tbMoveset!A2:H112,8,FALSE)="Other",IF(VLOOKUP(tbMoveset!A86,tbMoveset!A2:I112,9,FALSE)="Fire",Backdoors!BB44,IF(VLOOKUP(tbMoveset!A86,tbMoveset!A2:I112,9,FALSE)="Water",Backdoors!BC44,IF(VLOOKUP(tbMoveset!A86,tbMoveset!A2:I112,9,FALSE)="Thunder",Backdoors!BD44,IF(VLOOKUP(tbMoveset!A86,tbMoveset!A2:I112,9,FALSE)="Ice",Backdoors!BE44,IF(VLOOKUP(tbMoveset!A86,tbMoveset!A2:I112,9,FALSE)="Dragon",Backdoors!BF44,Backdoors!BG44)))))/100,Backdoors!BG44/100),"")</f>
        <v>0</v>
      </c>
      <c r="KE86" s="49">
        <f>IFERROR(IF(VLOOKUP(A86,tbMoveset!A2:J112,10,FALSE)=TRUE,IF((Backdoors!AI12+IF(KC86&gt;=0.45,VLOOKUP(Calculator!E23,tbSkills!DH3:DI6,2,FALSE)+IF(AND(Calculator!B8=TRUE,Backdoors!BI44=TRUE),VLOOKUP(Calculator!E23,tbSkills!DH3:DJ6,3,FALSE),0),0))&gt;=0,1+(Backdoors!AL2*(IF((Backdoors!AI12+IF(KC86&gt;=0.45,VLOOKUP(Calculator!E23,tbSkills!DH3:DI6,2,FALSE)+IF(AND(Calculator!B8=TRUE,Backdoors!BI44=TRUE),VLOOKUP(Calculator!E23,tbSkills!DH3:DJ6,3,FALSE),0),0))&gt;=100,100,(Backdoors!AI12+IF(KC86&gt;=0.45,VLOOKUP(Calculator!E23,tbSkills!DH3:DI6,2,FALSE)+IF(AND(Calculator!B8=TRUE,Backdoors!BI44=TRUE),VLOOKUP(Calculator!E23,tbSkills!DH3:DJ6,3,FALSE),0),0)))/100)),(1-(0.25*((-Backdoors!AI12-IF(KC86&gt;=0.45,VLOOKUP(Calculator!E23,tbSkills!DH3:DI6,2,FALSE)+IF(AND(Calculator!B8=TRUE,Backdoors!BI44=TRUE),VLOOKUP(Calculator!E23,tbSkills!DH3:DJ6,3,FALSE),0),0))/100)))),1),"")</f>
        <v>1</v>
      </c>
      <c r="KF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KC86)*KE86)*(VLOOKUP(A86,tbMoveset!A2:C112,3,FALSE)/100)*IF(VLOOKUP(A86,tbMoveset!A2:B112,2,FALSE)="Projectile",Backdoors!N10,Backdoors!N9),0),"")</f>
        <v/>
      </c>
      <c r="KG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REF!&gt;0,VLOOKUP(Calculator!#REF!,tbSkills!AC3:AD5,2,FALSE),Backdoors!AL3)*(IF((Backdoors!AI12+IF(KC86&gt;=0.45,VLOOKUP(Calculator!E23,tbSkills!DH3:DI6,2,FALSE)+IF(AND(Calculator!B8=TRUE,Backdoors!BI44=TRUE),VLOOKUP(Calculator!E23,tbSkills!DH3:DJ6,3,FALSE),0),0))&gt;=100,100,(Backdoors!AI12+IF(KC86&gt;=0.45,VLOOKUP(Calculator!E23,tbSkills!DH3:DI6,2,FALSE)+IF(AND(Calculator!B8=TRUE,Backdoors!BI44=TRUE),VLOOKUP(Calculator!E23,tbSkills!DH3:DJ6,3,FALSE),0),0)))/100)),1))*IF(VLOOKUP(A86,tbMoveset!A2:K112,11,FALSE)=TRUE,Backdoors!AC5,1))*KD86,0),"")</f>
        <v/>
      </c>
      <c r="KH86" s="49">
        <f>VLOOKUP(A86,tbMoveset!A2:G112,7,FALSE)*IFERROR(IF(Backdoors!AI12&gt;=0,1+(IF(Calculator!E40&gt;0,VLOOKUP(Calculator!E40,tbSkills!AI3:AJ5,2,FALSE),Backdoors!AL4)*(IF((Backdoors!AI12+IF(KC86&gt;=0.45,VLOOKUP(Calculator!E23,tbSkills!DH3:DI6,2,FALSE)+IF(AND(Calculator!B8=TRUE,Backdoors!BI44=TRUE),VLOOKUP(Calculator!E23,tbSkills!DH3:DJ6,3,FALSE),0),0))&gt;=100,100,(Backdoors!AI12+IF(KC86&gt;=0.45,VLOOKUP(Calculator!E23,tbSkills!DH3:DI6,2,FALSE)+IF(AND(Calculator!B8=TRUE,Backdoors!BI44=TRUE),VLOOKUP(Calculator!E23,tbSkills!DH3:DJ6,3,FALSE),0),0)))/100)),1),1)</f>
        <v>0.4</v>
      </c>
      <c r="KI86" s="87">
        <f t="shared" si="92"/>
        <v>0</v>
      </c>
      <c r="KJ86" s="86" t="str">
        <f>IFERROR(IF(VLOOKUP(A86,tbMoveset!A2:B112,2,FALSE)="Sever",Backdoors!AY45/100,IF(VLOOKUP(A86,tbMoveset!A2:B112,2,FALSE)="Blunt",Backdoors!AZ45/100,Backdoors!BA45/100)),"")</f>
        <v/>
      </c>
      <c r="KK86" s="49">
        <f>IFERROR(IF(VLOOKUP(tbMoveset!A86,tbMoveset!A2:H112,8,FALSE)="Other",IF(VLOOKUP(tbMoveset!A86,tbMoveset!A2:I112,9,FALSE)="Fire",Backdoors!BB45,IF(VLOOKUP(tbMoveset!A86,tbMoveset!A2:I112,9,FALSE)="Water",Backdoors!BC45,IF(VLOOKUP(tbMoveset!A86,tbMoveset!A2:I112,9,FALSE)="Thunder",Backdoors!BD45,IF(VLOOKUP(tbMoveset!A86,tbMoveset!A2:I112,9,FALSE)="Ice",Backdoors!BE45,IF(VLOOKUP(tbMoveset!A86,tbMoveset!A2:I112,9,FALSE)="Dragon",Backdoors!BF45,Backdoors!BG45)))))/100,Backdoors!BG45/100),"")</f>
        <v>0</v>
      </c>
      <c r="KL86" s="49">
        <f>IFERROR(IF(VLOOKUP(A86,tbMoveset!A2:J112,10,FALSE)=TRUE,IF((Backdoors!AI12+IF(KJ86&gt;=0.45,VLOOKUP(Calculator!E23,tbSkills!DH3:DI6,2,FALSE)+IF(AND(Calculator!B8=TRUE,Backdoors!BI45=TRUE),VLOOKUP(Calculator!E23,tbSkills!DH3:DJ6,3,FALSE),0),0))&gt;=0,1+(Backdoors!AL2*(IF((Backdoors!AI12+IF(KJ86&gt;=0.45,VLOOKUP(Calculator!E23,tbSkills!DH3:DI6,2,FALSE)+IF(AND(Calculator!B8=TRUE,Backdoors!BI45=TRUE),VLOOKUP(Calculator!E23,tbSkills!DH3:DJ6,3,FALSE),0),0))&gt;=100,100,(Backdoors!AI12+IF(KJ86&gt;=0.45,VLOOKUP(Calculator!E23,tbSkills!DH3:DI6,2,FALSE)+IF(AND(Calculator!B8=TRUE,Backdoors!BI45=TRUE),VLOOKUP(Calculator!E23,tbSkills!DH3:DJ6,3,FALSE),0),0)))/100)),(1-(0.25*((-Backdoors!AI12-IF(KJ86&gt;=0.45,VLOOKUP(Calculator!E23,tbSkills!DH3:DI6,2,FALSE)+IF(AND(Calculator!B8=TRUE,Backdoors!BI45=TRUE),VLOOKUP(Calculator!E23,tbSkills!DH3:DJ6,3,FALSE),0),0))/100)))),1),"")</f>
        <v>1</v>
      </c>
      <c r="KM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KJ86)*KL86)*(VLOOKUP(A86,tbMoveset!A2:C112,3,FALSE)/100)*IF(VLOOKUP(A86,tbMoveset!A2:B112,2,FALSE)="Projectile",Backdoors!N10,Backdoors!N9),0),"")</f>
        <v/>
      </c>
      <c r="KN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REF!&gt;0,VLOOKUP(Calculator!#REF!,tbSkills!AC3:AD5,2,FALSE),Backdoors!AL3)*(IF((Backdoors!AI12+IF(KJ86&gt;=0.45,VLOOKUP(Calculator!E23,tbSkills!DH3:DI6,2,FALSE)+IF(AND(Calculator!B8=TRUE,Backdoors!BI45=TRUE),VLOOKUP(Calculator!E23,tbSkills!DH3:DJ6,3,FALSE),0),0))&gt;=100,100,(Backdoors!AI12+IF(KJ86&gt;=0.45,VLOOKUP(Calculator!E23,tbSkills!DH3:DI6,2,FALSE)+IF(AND(Calculator!B8=TRUE,Backdoors!BI45=TRUE),VLOOKUP(Calculator!E23,tbSkills!DH3:DJ6,3,FALSE),0),0)))/100)),1))*IF(VLOOKUP(A86,tbMoveset!A2:K112,11,FALSE)=TRUE,Backdoors!AC5,1))*KK86,0),"")</f>
        <v/>
      </c>
      <c r="KO86" s="49">
        <f>VLOOKUP(A86,tbMoveset!A2:G112,7,FALSE)*IFERROR(IF(Backdoors!AI12&gt;=0,1+(IF(Calculator!E40&gt;0,VLOOKUP(Calculator!E40,tbSkills!AI3:AJ5,2,FALSE),Backdoors!AL4)*(IF((Backdoors!AI12+IF(KJ86&gt;=0.45,VLOOKUP(Calculator!E23,tbSkills!DH3:DI6,2,FALSE)+IF(AND(Calculator!B8=TRUE,Backdoors!BI45=TRUE),VLOOKUP(Calculator!E23,tbSkills!DH3:DJ6,3,FALSE),0),0))&gt;=100,100,(Backdoors!AI12+IF(KJ86&gt;=0.45,VLOOKUP(Calculator!E23,tbSkills!DH3:DI6,2,FALSE)+IF(AND(Calculator!B8=TRUE,Backdoors!BI45=TRUE),VLOOKUP(Calculator!E23,tbSkills!DH3:DJ6,3,FALSE),0),0)))/100)),1),1)</f>
        <v>0.4</v>
      </c>
      <c r="KP86" s="87">
        <f t="shared" si="93"/>
        <v>0</v>
      </c>
      <c r="KQ86" s="86" t="str">
        <f>IFERROR(IF(VLOOKUP(A86,tbMoveset!A2:B112,2,FALSE)="Sever",Backdoors!AY46/100,IF(VLOOKUP(A86,tbMoveset!A2:B112,2,FALSE)="Blunt",Backdoors!AZ46/100,Backdoors!BA46/100)),"")</f>
        <v/>
      </c>
      <c r="KR86" s="49">
        <f>IFERROR(IF(VLOOKUP(tbMoveset!A86,tbMoveset!A2:H112,8,FALSE)="Other",IF(VLOOKUP(tbMoveset!A86,tbMoveset!A2:I112,9,FALSE)="Fire",Backdoors!BB46,IF(VLOOKUP(tbMoveset!A86,tbMoveset!A2:I112,9,FALSE)="Water",Backdoors!BC46,IF(VLOOKUP(tbMoveset!A86,tbMoveset!A2:I112,9,FALSE)="Thunder",Backdoors!BD46,IF(VLOOKUP(tbMoveset!A86,tbMoveset!A2:I112,9,FALSE)="Ice",Backdoors!BE46,IF(VLOOKUP(tbMoveset!A86,tbMoveset!A2:I112,9,FALSE)="Dragon",Backdoors!BF46,Backdoors!BG46)))))/100,Backdoors!BG46/100),"")</f>
        <v>0</v>
      </c>
      <c r="KS86" s="49">
        <f>IFERROR(IF(VLOOKUP(A86,tbMoveset!A2:J112,10,FALSE)=TRUE,IF((Backdoors!AI12+IF(KQ86&gt;=0.45,VLOOKUP(Calculator!E23,tbSkills!DH3:DI6,2,FALSE)+IF(AND(Calculator!B8=TRUE,Backdoors!BI46=TRUE),VLOOKUP(Calculator!E23,tbSkills!DH3:DJ6,3,FALSE),0),0))&gt;=0,1+(Backdoors!AL2*(IF((Backdoors!AI12+IF(KQ86&gt;=0.45,VLOOKUP(Calculator!E23,tbSkills!DH3:DI6,2,FALSE)+IF(AND(Calculator!B8=TRUE,Backdoors!BI46=TRUE),VLOOKUP(Calculator!E23,tbSkills!DH3:DJ6,3,FALSE),0),0))&gt;=100,100,(Backdoors!AI12+IF(KQ86&gt;=0.45,VLOOKUP(Calculator!E23,tbSkills!DH3:DI6,2,FALSE)+IF(AND(Calculator!B8=TRUE,Backdoors!BI46=TRUE),VLOOKUP(Calculator!E23,tbSkills!DH3:DJ6,3,FALSE),0),0)))/100)),(1-(0.25*((-Backdoors!AI12-IF(KQ86&gt;=0.45,VLOOKUP(Calculator!E23,tbSkills!DH3:DI6,2,FALSE)+IF(AND(Calculator!B8=TRUE,Backdoors!BI46=TRUE),VLOOKUP(Calculator!E23,tbSkills!DH3:DJ6,3,FALSE),0),0))/100)))),1),"")</f>
        <v>1</v>
      </c>
      <c r="KT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KQ86)*KS86)*(VLOOKUP(A86,tbMoveset!A2:C112,3,FALSE)/100)*IF(VLOOKUP(A86,tbMoveset!A2:B112,2,FALSE)="Projectile",Backdoors!N10,Backdoors!N9),0),"")</f>
        <v/>
      </c>
      <c r="KU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REF!&gt;0,VLOOKUP(Calculator!#REF!,tbSkills!AC3:AD5,2,FALSE),Backdoors!AL3)*(IF((Backdoors!AI12+IF(KQ86&gt;=0.45,VLOOKUP(Calculator!E23,tbSkills!DH3:DI6,2,FALSE)+IF(AND(Calculator!B8=TRUE,Backdoors!BI46=TRUE),VLOOKUP(Calculator!E23,tbSkills!DH3:DJ6,3,FALSE),0),0))&gt;=100,100,(Backdoors!AI12+IF(KQ86&gt;=0.45,VLOOKUP(Calculator!E23,tbSkills!DH3:DI6,2,FALSE)+IF(AND(Calculator!B8=TRUE,Backdoors!BI46=TRUE),VLOOKUP(Calculator!E23,tbSkills!DH3:DJ6,3,FALSE),0),0)))/100)),1))*IF(VLOOKUP(A86,tbMoveset!A2:K112,11,FALSE)=TRUE,Backdoors!AC5,1))*KR86,0),"")</f>
        <v/>
      </c>
      <c r="KV86" s="49">
        <f>VLOOKUP(A86,tbMoveset!A2:G112,7,FALSE)*IFERROR(IF(Backdoors!AI12&gt;=0,1+(IF(Calculator!E40&gt;0,VLOOKUP(Calculator!E40,tbSkills!AI3:AJ5,2,FALSE),Backdoors!AL4)*(IF((Backdoors!AI12+IF(KQ86&gt;=0.45,VLOOKUP(Calculator!E23,tbSkills!DH3:DI6,2,FALSE)+IF(AND(Calculator!B8=TRUE,Backdoors!BI46=TRUE),VLOOKUP(Calculator!E23,tbSkills!DH3:DJ6,3,FALSE),0),0))&gt;=100,100,(Backdoors!AI12+IF(KQ86&gt;=0.45,VLOOKUP(Calculator!E23,tbSkills!DH3:DI6,2,FALSE)+IF(AND(Calculator!B8=TRUE,Backdoors!BI46=TRUE),VLOOKUP(Calculator!E23,tbSkills!DH3:DJ6,3,FALSE),0),0)))/100)),1),1)</f>
        <v>0.4</v>
      </c>
      <c r="KW86" s="87">
        <f t="shared" si="94"/>
        <v>0</v>
      </c>
    </row>
    <row r="87" spans="1:309" x14ac:dyDescent="0.25">
      <c r="A87" s="95" t="str">
        <f>tbMoveset!A87</f>
        <v>Heavenly Blade Dance Finisher (R)</v>
      </c>
      <c r="B87" s="86">
        <f>IFERROR(IF(VLOOKUP(A87,tbMoveset!A2:B112,2,FALSE)="Sever",Backdoors!AY3/100,IF(VLOOKUP(A87,tbMoveset!A2:B112,2,FALSE)="Blunt",Backdoors!AZ3/100,Backdoors!BA3/100)),"")</f>
        <v>0.8</v>
      </c>
      <c r="C87" s="49">
        <f>IFERROR(IF(VLOOKUP(tbMoveset!A87,tbMoveset!A2:H112,8,FALSE)="Other",IF(VLOOKUP(tbMoveset!A87,tbMoveset!A2:I112,9,FALSE)="Fire",Backdoors!BB3,IF(VLOOKUP(tbMoveset!A87,tbMoveset!A2:I112,9,FALSE)="Water",Backdoors!BC3,IF(VLOOKUP(tbMoveset!A87,tbMoveset!A2:I112,9,FALSE)="Thunder",Backdoors!BD3,IF(VLOOKUP(tbMoveset!A87,tbMoveset!A2:I112,9,FALSE)="Ice",Backdoors!BE3,IF(VLOOKUP(tbMoveset!A87,tbMoveset!A2:I112,9,FALSE)="Dragon",Backdoors!BF3,Backdoors!BG3)))))/100,Backdoors!BG3/100),"")</f>
        <v>0</v>
      </c>
      <c r="D87" s="49">
        <f>IFERROR(IF(VLOOKUP(A87,tbMoveset!A2:J112,10,FALSE)=TRUE,IF((Backdoors!AI12+IF(B87&gt;=0.45,VLOOKUP(Calculator!E23,tbSkills!DH3:DI6,2,FALSE)+IF(AND(Calculator!B8=TRUE,Backdoors!BI3=TRUE),VLOOKUP(Calculator!E23,tbSkills!DH3:DJ6,3,FALSE),0),0))&gt;=0,1+(Backdoors!AL2*(IF((Backdoors!AI12+IF(B87&gt;=0.45,VLOOKUP(Calculator!E23,tbSkills!DH3:DI6,2,FALSE)+IF(AND(Calculator!B8=TRUE,Backdoors!BI3=TRUE),VLOOKUP(Calculator!E23,tbSkills!DH3:DJ6,3,FALSE),0),0))&gt;=100,100,(Backdoors!AI12+IF(B87&gt;=0.45,VLOOKUP(Calculator!E23,tbSkills!DH3:DI6,2,FALSE)+IF(AND(Calculator!B8=TRUE,Backdoors!BI3=TRUE),VLOOKUP(Calculator!E23,tbSkills!DH3:DJ6,3,FALSE),0),0)))/100)),(1-(0.25*((-Backdoors!AI12-IF(B87&gt;=0.45,VLOOKUP(Calculator!E23,tbSkills!DH3:DI6,2,FALSE)+IF(AND(Calculator!B8=TRUE,Backdoors!BI3=TRUE),VLOOKUP(Calculator!E23,tbSkills!DH3:DJ6,3,FALSE),0),0))/100)))),1),"")</f>
        <v>1</v>
      </c>
      <c r="E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87)*D87)*(VLOOKUP(A87,tbMoveset!A2:C112,3,FALSE)/100)*IF(VLOOKUP(A87,tbMoveset!A2:B112,2,FALSE)="Projectile",Backdoors!N10,Backdoors!N9),0),"")</f>
        <v>14</v>
      </c>
      <c r="F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87&gt;=0.45,VLOOKUP(Calculator!E23,tbSkills!DH3:DI6,2,FALSE)+IF(AND(Calculator!B8=TRUE,Backdoors!BI3=TRUE),VLOOKUP(Calculator!E23,tbSkills!DH3:DJ6,3,FALSE),0),0))&gt;=100,100,(Backdoors!AI12+IF(B87&gt;=0.45,VLOOKUP(Calculator!E23,tbSkills!DH3:DI6,2,FALSE)+IF(AND(Calculator!B8=TRUE,Backdoors!BI3=TRUE),VLOOKUP(Calculator!E23,tbSkills!DH3:DJ6,3,FALSE),0),0)))/100)),1))*IF(VLOOKUP(A87,tbMoveset!A2:K112,11,FALSE)=TRUE,Backdoors!AC5,1))*C87,0),"")</f>
        <v>0</v>
      </c>
      <c r="G87">
        <f>VLOOKUP(A87,tbMoveset!A2:G112,7,FALSE)*IFERROR(IF(Backdoors!AI12&gt;=0,1+(IF(Calculator!E40&gt;0,VLOOKUP(Calculator!E40,tbSkills!AI3:AJ5,2,FALSE),Backdoors!AL4)*(IF((Backdoors!AI12+IF(B87&gt;=0.45,VLOOKUP(Calculator!E23,tbSkills!DH3:DI6,2,FALSE)+IF(AND(Calculator!B8=TRUE,Backdoors!BI3=TRUE),VLOOKUP(Calculator!E23,tbSkills!DH3:DJ6,3,FALSE),0),0))&gt;=100,100,(Backdoors!AI12+IF(B87&gt;=0.45,VLOOKUP(Calculator!E23,tbSkills!DH3:DI6,2,FALSE)+IF(AND(Calculator!B8=TRUE,Backdoors!BI3=TRUE),VLOOKUP(Calculator!E23,tbSkills!DH3:DJ6,3,FALSE),0),0)))/100)),1),1)</f>
        <v>1</v>
      </c>
      <c r="H87" s="87">
        <f t="shared" si="51"/>
        <v>14</v>
      </c>
      <c r="I87" s="86">
        <f>IFERROR(IF(VLOOKUP(A87,tbMoveset!A2:B112,2,FALSE)="Sever",Backdoors!AY4/100,IF(VLOOKUP(A87,tbMoveset!A2:B112,2,FALSE)="Blunt",Backdoors!AZ4/100,Backdoors!BA4/100)),"")</f>
        <v>0.65</v>
      </c>
      <c r="J87" s="49">
        <f>IFERROR(IF(VLOOKUP(tbMoveset!A87,tbMoveset!A2:H112,8,FALSE)="Other",IF(VLOOKUP(tbMoveset!A87,tbMoveset!A2:I112,9,FALSE)="Fire",Backdoors!BB4,IF(VLOOKUP(tbMoveset!A87,tbMoveset!A2:I112,9,FALSE)="Water",Backdoors!BC4,IF(VLOOKUP(tbMoveset!A87,tbMoveset!A2:I112,9,FALSE)="Thunder",Backdoors!BD4,IF(VLOOKUP(tbMoveset!A87,tbMoveset!A2:I112,9,FALSE)="Ice",Backdoors!BE4,IF(VLOOKUP(tbMoveset!A87,tbMoveset!A2:I112,9,FALSE)="Dragon",Backdoors!BF4,Backdoors!BG4)))))/100,Backdoors!BG4/100),"")</f>
        <v>0</v>
      </c>
      <c r="K87" s="49">
        <f>IFERROR(IF(VLOOKUP(A87,tbMoveset!A2:J112,10,FALSE)=TRUE,IF((Backdoors!AI12+IF(I87&gt;=0.45,VLOOKUP(Calculator!E23,tbSkills!DH3:DI6,2,FALSE)+IF(AND(Calculator!B8=TRUE,Backdoors!BI4=TRUE),VLOOKUP(Calculator!E23,tbSkills!DH3:DJ6,3,FALSE),0),0))&gt;=0,1+(Backdoors!AL2*(IF((Backdoors!AI12+IF(I87&gt;=0.45,VLOOKUP(Calculator!E23,tbSkills!DH3:DI6,2,FALSE)+IF(AND(Calculator!B8=TRUE,Backdoors!BI4=TRUE),VLOOKUP(Calculator!E23,tbSkills!DH3:DJ6,3,FALSE),0),0))&gt;=100,100,(Backdoors!AI12+IF(I87&gt;=0.45,VLOOKUP(Calculator!E23,tbSkills!DH3:DI6,2,FALSE)+IF(AND(Calculator!B8=TRUE,Backdoors!BI4=TRUE),VLOOKUP(Calculator!E23,tbSkills!DH3:DJ6,3,FALSE),0),0)))/100)),(1-(0.25*((-Backdoors!AI12-IF(I87&gt;=0.45,VLOOKUP(Calculator!E23,tbSkills!DH3:DI6,2,FALSE)+IF(AND(Calculator!B8=TRUE,Backdoors!BI4=TRUE),VLOOKUP(Calculator!E23,tbSkills!DH3:DJ6,3,FALSE),0),0))/100)))),1),"")</f>
        <v>1</v>
      </c>
      <c r="L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87)*K87)*(VLOOKUP(A87,tbMoveset!A2:C112,3,FALSE)/100)*IF(VLOOKUP(A87,tbMoveset!A2:B112,2,FALSE)="Projectile",Backdoors!N10,Backdoors!N9),0),"")</f>
        <v>11</v>
      </c>
      <c r="M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I87&gt;=0.45,VLOOKUP(Calculator!E23,tbSkills!DH3:DI6,2,FALSE)+IF(AND(Calculator!B8=TRUE,Backdoors!BI4=TRUE),VLOOKUP(Calculator!E23,tbSkills!DH3:DJ6,3,FALSE),0),0))&gt;=100,100,(Backdoors!AI12+IF(I87&gt;=0.45,VLOOKUP(Calculator!E23,tbSkills!DH3:DI6,2,FALSE)+IF(AND(Calculator!B8=TRUE,Backdoors!BI4=TRUE),VLOOKUP(Calculator!E23,tbSkills!DH3:DJ6,3,FALSE),0),0)))/100)),1))*IF(VLOOKUP(A87,tbMoveset!A2:K112,11,FALSE)=TRUE,Backdoors!AC5,1))*J87,0),"")</f>
        <v>0</v>
      </c>
      <c r="N87" s="49">
        <f>VLOOKUP(A87,tbMoveset!A2:G112,7,FALSE)*IFERROR(IF(Backdoors!AI12&gt;=0,1+(IF(Calculator!E40&gt;0,VLOOKUP(Calculator!E40,tbSkills!AI3:AJ5,2,FALSE),Backdoors!AL4)*(IF((Backdoors!AI12+IF(I87&gt;=0.45,VLOOKUP(Calculator!E23,tbSkills!DH3:DI6,2,FALSE)+IF(AND(Calculator!B8=TRUE,Backdoors!BI4=TRUE),VLOOKUP(Calculator!E23,tbSkills!DH3:DJ6,3,FALSE),0),0))&gt;=100,100,(Backdoors!AI12+IF(I87&gt;=0.45,VLOOKUP(Calculator!E23,tbSkills!DH3:DI6,2,FALSE)+IF(AND(Calculator!B8=TRUE,Backdoors!BI4=TRUE),VLOOKUP(Calculator!E23,tbSkills!DH3:DJ6,3,FALSE),0),0)))/100)),1),1)</f>
        <v>1</v>
      </c>
      <c r="O87" s="87">
        <f t="shared" si="52"/>
        <v>11</v>
      </c>
      <c r="P87" s="86">
        <f>IFERROR(IF(VLOOKUP(A87,tbMoveset!A2:B112,2,FALSE)="Sever",Backdoors!AY5/100,IF(VLOOKUP(A87,tbMoveset!A2:B112,2,FALSE)="Blunt",Backdoors!AZ5/100,Backdoors!BA5/100)),"")</f>
        <v>0.5</v>
      </c>
      <c r="Q87" s="49">
        <f>IFERROR(IF(VLOOKUP(tbMoveset!A87,tbMoveset!A2:H112,8,FALSE)="Other",IF(VLOOKUP(tbMoveset!A87,tbMoveset!A2:I112,9,FALSE)="Fire",Backdoors!BB5,IF(VLOOKUP(tbMoveset!A87,tbMoveset!A2:I112,9,FALSE)="Water",Backdoors!BC5,IF(VLOOKUP(tbMoveset!A87,tbMoveset!A2:I112,9,FALSE)="Thunder",Backdoors!BD5,IF(VLOOKUP(tbMoveset!A87,tbMoveset!A2:I112,9,FALSE)="Ice",Backdoors!BE5,IF(VLOOKUP(tbMoveset!A87,tbMoveset!A2:I112,9,FALSE)="Dragon",Backdoors!BF5,Backdoors!BG5)))))/100,Backdoors!BG5/100),"")</f>
        <v>0</v>
      </c>
      <c r="R87" s="49">
        <f>IFERROR(IF(VLOOKUP(A87,tbMoveset!A2:J112,10,FALSE)=TRUE,IF((Backdoors!AI12+IF(P87&gt;=0.45,VLOOKUP(Calculator!E23,tbSkills!DH3:DI6,2,FALSE)+IF(AND(Calculator!B8=TRUE,Backdoors!BI5=TRUE),VLOOKUP(Calculator!E23,tbSkills!DH3:DJ6,3,FALSE),0),0))&gt;=0,1+(Backdoors!AL2*(IF((Backdoors!AI12+IF(P87&gt;=0.45,VLOOKUP(Calculator!E23,tbSkills!DH3:DI6,2,FALSE)+IF(AND(Calculator!B8=TRUE,Backdoors!BI5=TRUE),VLOOKUP(Calculator!E23,tbSkills!DH3:DJ6,3,FALSE),0),0))&gt;=100,100,(Backdoors!AI12+IF(P87&gt;=0.45,VLOOKUP(Calculator!E23,tbSkills!DH3:DI6,2,FALSE)+IF(AND(Calculator!B8=TRUE,Backdoors!BI5=TRUE),VLOOKUP(Calculator!E23,tbSkills!DH3:DJ6,3,FALSE),0),0)))/100)),(1-(0.25*((-Backdoors!AI12-IF(P87&gt;=0.45,VLOOKUP(Calculator!E23,tbSkills!DH3:DI6,2,FALSE)+IF(AND(Calculator!B8=TRUE,Backdoors!BI5=TRUE),VLOOKUP(Calculator!E23,tbSkills!DH3:DJ6,3,FALSE),0),0))/100)))),1),"")</f>
        <v>1</v>
      </c>
      <c r="S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P87)*R87)*(VLOOKUP(A87,tbMoveset!A2:C112,3,FALSE)/100)*IF(VLOOKUP(A87,tbMoveset!A2:B112,2,FALSE)="Projectile",Backdoors!N10,Backdoors!N9),0),"")</f>
        <v>9</v>
      </c>
      <c r="T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P87&gt;=0.45,VLOOKUP(Calculator!E23,tbSkills!DH3:DI6,2,FALSE)+IF(AND(Calculator!B8=TRUE,Backdoors!BI5=TRUE),VLOOKUP(Calculator!E23,tbSkills!DH3:DJ6,3,FALSE),0),0))&gt;=100,100,(Backdoors!AI12+IF(P87&gt;=0.45,VLOOKUP(Calculator!E23,tbSkills!DH3:DI6,2,FALSE)+IF(AND(Calculator!B8=TRUE,Backdoors!BI5=TRUE),VLOOKUP(Calculator!E23,tbSkills!DH3:DJ6,3,FALSE),0),0)))/100)),1))*IF(VLOOKUP(A87,tbMoveset!A2:K112,11,FALSE)=TRUE,Backdoors!AC5,1))*Q87,0),"")</f>
        <v>0</v>
      </c>
      <c r="U87" s="49">
        <f>VLOOKUP(A87,tbMoveset!A2:G112,7,FALSE)*IFERROR(IF(Backdoors!AI12&gt;=0,1+(IF(Calculator!E40&gt;0,VLOOKUP(Calculator!E40,tbSkills!AI3:AJ5,2,FALSE),Backdoors!AL4)*(IF((Backdoors!AI12+IF(P87&gt;=0.45,VLOOKUP(Calculator!E23,tbSkills!DH3:DI6,2,FALSE)+IF(AND(Calculator!B8=TRUE,Backdoors!BI5=TRUE),VLOOKUP(Calculator!E23,tbSkills!DH3:DJ6,3,FALSE),0),0))&gt;=100,100,(Backdoors!AI12+IF(P87&gt;=0.45,VLOOKUP(Calculator!E23,tbSkills!DH3:DI6,2,FALSE)+IF(AND(Calculator!B8=TRUE,Backdoors!BI5=TRUE),VLOOKUP(Calculator!E23,tbSkills!DH3:DJ6,3,FALSE),0),0)))/100)),1),1)</f>
        <v>1</v>
      </c>
      <c r="V87" s="87">
        <f t="shared" si="53"/>
        <v>9</v>
      </c>
      <c r="W87" s="86">
        <f>IFERROR(IF(VLOOKUP(A87,tbMoveset!A2:B112,2,FALSE)="Sever",Backdoors!AY6/100,IF(VLOOKUP(A87,tbMoveset!A2:B112,2,FALSE)="Blunt",Backdoors!AZ6/100,Backdoors!BA6/100)),"")</f>
        <v>0.45</v>
      </c>
      <c r="X87" s="49">
        <f>IFERROR(IF(VLOOKUP(tbMoveset!A87,tbMoveset!A2:H112,8,FALSE)="Other",IF(VLOOKUP(tbMoveset!A87,tbMoveset!A2:I112,9,FALSE)="Fire",Backdoors!BB6,IF(VLOOKUP(tbMoveset!A87,tbMoveset!A2:I112,9,FALSE)="Water",Backdoors!BC6,IF(VLOOKUP(tbMoveset!A87,tbMoveset!A2:I112,9,FALSE)="Thunder",Backdoors!BD6,IF(VLOOKUP(tbMoveset!A87,tbMoveset!A2:I112,9,FALSE)="Ice",Backdoors!BE6,IF(VLOOKUP(tbMoveset!A87,tbMoveset!A2:I112,9,FALSE)="Dragon",Backdoors!BF6,Backdoors!BG6)))))/100,Backdoors!BG6/100),"")</f>
        <v>0</v>
      </c>
      <c r="Y87" s="49">
        <f>IFERROR(IF(VLOOKUP(A87,tbMoveset!A2:J112,10,FALSE)=TRUE,IF((Backdoors!AI12+IF(W87&gt;=0.45,VLOOKUP(Calculator!E23,tbSkills!DH3:DI6,2,FALSE)+IF(AND(Calculator!B8=TRUE,Backdoors!BI6=TRUE),VLOOKUP(Calculator!E23,tbSkills!DH3:DJ6,3,FALSE),0),0))&gt;=0,1+(Backdoors!AL2*(IF((Backdoors!AI12+IF(W87&gt;=0.45,VLOOKUP(Calculator!E23,tbSkills!DH3:DI6,2,FALSE)+IF(AND(Calculator!B8=TRUE,Backdoors!BI6=TRUE),VLOOKUP(Calculator!E23,tbSkills!DH3:DJ6,3,FALSE),0),0))&gt;=100,100,(Backdoors!AI12+IF(W87&gt;=0.45,VLOOKUP(Calculator!E23,tbSkills!DH3:DI6,2,FALSE)+IF(AND(Calculator!B8=TRUE,Backdoors!BI6=TRUE),VLOOKUP(Calculator!E23,tbSkills!DH3:DJ6,3,FALSE),0),0)))/100)),(1-(0.25*((-Backdoors!AI12-IF(W87&gt;=0.45,VLOOKUP(Calculator!E23,tbSkills!DH3:DI6,2,FALSE)+IF(AND(Calculator!B8=TRUE,Backdoors!BI6=TRUE),VLOOKUP(Calculator!E23,tbSkills!DH3:DJ6,3,FALSE),0),0))/100)))),1),"")</f>
        <v>1</v>
      </c>
      <c r="Z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W87)*Y87)*(VLOOKUP(A87,tbMoveset!A2:C112,3,FALSE)/100)*IF(VLOOKUP(A87,tbMoveset!A2:B112,2,FALSE)="Projectile",Backdoors!N10,Backdoors!N9),0),"")</f>
        <v>8</v>
      </c>
      <c r="AA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W87&gt;=0.45,VLOOKUP(Calculator!E23,tbSkills!DH3:DI6,2,FALSE)+IF(AND(Calculator!B8=TRUE,Backdoors!BI6=TRUE),VLOOKUP(Calculator!E23,tbSkills!DH3:DJ6,3,FALSE),0),0))&gt;=100,100,(Backdoors!AI12+IF(W87&gt;=0.45,VLOOKUP(Calculator!E23,tbSkills!DH3:DI6,2,FALSE)+IF(AND(Calculator!B8=TRUE,Backdoors!BI6=TRUE),VLOOKUP(Calculator!E23,tbSkills!DH3:DJ6,3,FALSE),0),0)))/100)),1))*IF(VLOOKUP(A87,tbMoveset!A2:K112,11,FALSE)=TRUE,Backdoors!AC5,1))*X87,0),"")</f>
        <v>0</v>
      </c>
      <c r="AB87" s="49">
        <f>VLOOKUP(A87,tbMoveset!A2:G112,7,FALSE)*IFERROR(IF(Backdoors!AI12&gt;=0,1+(IF(Calculator!E40&gt;0,VLOOKUP(Calculator!E40,tbSkills!AI3:AJ5,2,FALSE),Backdoors!AL4)*(IF((Backdoors!AI12+IF(W87&gt;=0.45,VLOOKUP(Calculator!E23,tbSkills!DH3:DI6,2,FALSE)+IF(AND(Calculator!B8=TRUE,Backdoors!BI6=TRUE),VLOOKUP(Calculator!E23,tbSkills!DH3:DJ6,3,FALSE),0),0))&gt;=100,100,(Backdoors!AI12+IF(W87&gt;=0.45,VLOOKUP(Calculator!E23,tbSkills!DH3:DI6,2,FALSE)+IF(AND(Calculator!B8=TRUE,Backdoors!BI6=TRUE),VLOOKUP(Calculator!E23,tbSkills!DH3:DJ6,3,FALSE),0),0)))/100)),1),1)</f>
        <v>1</v>
      </c>
      <c r="AC87" s="87">
        <f t="shared" si="54"/>
        <v>8</v>
      </c>
      <c r="AD87" s="86">
        <f>IFERROR(IF(VLOOKUP(A87,tbMoveset!A2:B112,2,FALSE)="Sever",Backdoors!AY7/100,IF(VLOOKUP(A87,tbMoveset!A2:B112,2,FALSE)="Blunt",Backdoors!AZ7/100,Backdoors!BA7/100)),"")</f>
        <v>0.65</v>
      </c>
      <c r="AE87" s="49">
        <f>IFERROR(IF(VLOOKUP(tbMoveset!A87,tbMoveset!A2:H112,8,FALSE)="Other",IF(VLOOKUP(tbMoveset!A87,tbMoveset!A2:I112,9,FALSE)="Fire",Backdoors!BB7,IF(VLOOKUP(tbMoveset!A87,tbMoveset!A2:I112,9,FALSE)="Water",Backdoors!BC7,IF(VLOOKUP(tbMoveset!A87,tbMoveset!A2:I112,9,FALSE)="Thunder",Backdoors!BD7,IF(VLOOKUP(tbMoveset!A87,tbMoveset!A2:I112,9,FALSE)="Ice",Backdoors!BE7,IF(VLOOKUP(tbMoveset!A87,tbMoveset!A2:I112,9,FALSE)="Dragon",Backdoors!BF7,Backdoors!BG7)))))/100,Backdoors!BG7/100),"")</f>
        <v>0</v>
      </c>
      <c r="AF87" s="49">
        <f>IFERROR(IF(VLOOKUP(A87,tbMoveset!A2:J112,10,FALSE)=TRUE,IF((Backdoors!AI12+IF(AD87&gt;=0.45,VLOOKUP(Calculator!E23,tbSkills!DH3:DI6,2,FALSE)+IF(AND(Calculator!B8=TRUE,Backdoors!BI7=TRUE),VLOOKUP(Calculator!E23,tbSkills!DH3:DJ6,3,FALSE),0),0))&gt;=0,1+(Backdoors!AL2*(IF((Backdoors!AI12+IF(AD87&gt;=0.45,VLOOKUP(Calculator!E23,tbSkills!DH3:DI6,2,FALSE)+IF(AND(Calculator!B8=TRUE,Backdoors!BI7=TRUE),VLOOKUP(Calculator!E23,tbSkills!DH3:DJ6,3,FALSE),0),0))&gt;=100,100,(Backdoors!AI12+IF(AD87&gt;=0.45,VLOOKUP(Calculator!E23,tbSkills!DH3:DI6,2,FALSE)+IF(AND(Calculator!B8=TRUE,Backdoors!BI7=TRUE),VLOOKUP(Calculator!E23,tbSkills!DH3:DJ6,3,FALSE),0),0)))/100)),(1-(0.25*((-Backdoors!AI12-IF(AD87&gt;=0.45,VLOOKUP(Calculator!E23,tbSkills!DH3:DI6,2,FALSE)+IF(AND(Calculator!B8=TRUE,Backdoors!BI7=TRUE),VLOOKUP(Calculator!E23,tbSkills!DH3:DJ6,3,FALSE),0),0))/100)))),1),"")</f>
        <v>1</v>
      </c>
      <c r="AG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D87)*AF87)*(VLOOKUP(A87,tbMoveset!A2:C112,3,FALSE)/100)*IF(VLOOKUP(A87,tbMoveset!A2:B112,2,FALSE)="Projectile",Backdoors!N10,Backdoors!N9),0),"")</f>
        <v>11</v>
      </c>
      <c r="AH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D87&gt;=0.45,VLOOKUP(Calculator!E23,tbSkills!DH3:DI6,2,FALSE)+IF(AND(Calculator!B8=TRUE,Backdoors!BI7=TRUE),VLOOKUP(Calculator!E23,tbSkills!DH3:DJ6,3,FALSE),0),0))&gt;=100,100,(Backdoors!AI12+IF(AD87&gt;=0.45,VLOOKUP(Calculator!E23,tbSkills!DH3:DI6,2,FALSE)+IF(AND(Calculator!B8=TRUE,Backdoors!BI7=TRUE),VLOOKUP(Calculator!E23,tbSkills!DH3:DJ6,3,FALSE),0),0)))/100)),1))*IF(VLOOKUP(A87,tbMoveset!A2:K112,11,FALSE)=TRUE,Backdoors!AC5,1))*AE87,0),"")</f>
        <v>0</v>
      </c>
      <c r="AI87" s="49">
        <f>VLOOKUP(A87,tbMoveset!A2:G112,7,FALSE)*IFERROR(IF(Backdoors!AI12&gt;=0,1+(IF(Calculator!E40&gt;0,VLOOKUP(Calculator!E40,tbSkills!AI3:AJ5,2,FALSE),Backdoors!AL4)*(IF((Backdoors!AI12+IF(AD87&gt;=0.45,VLOOKUP(Calculator!E23,tbSkills!DH3:DI6,2,FALSE)+IF(AND(Calculator!B8=TRUE,Backdoors!BI7=TRUE),VLOOKUP(Calculator!E23,tbSkills!DH3:DJ6,3,FALSE),0),0))&gt;=100,100,(Backdoors!AI12+IF(AD87&gt;=0.45,VLOOKUP(Calculator!E23,tbSkills!DH3:DI6,2,FALSE)+IF(AND(Calculator!B8=TRUE,Backdoors!BI7=TRUE),VLOOKUP(Calculator!E23,tbSkills!DH3:DJ6,3,FALSE),0),0)))/100)),1),1)</f>
        <v>1</v>
      </c>
      <c r="AJ87" s="87">
        <f t="shared" si="55"/>
        <v>11</v>
      </c>
      <c r="AK87" s="91">
        <f>IFERROR(IF(VLOOKUP(A87,tbMoveset!A2:B112,2,FALSE)="Sever",Backdoors!AY8/100,IF(VLOOKUP(A87,tbMoveset!A2:B112,2,FALSE)="Blunt",Backdoors!AZ8/100,Backdoors!BA8/100)),"")</f>
        <v>0.45</v>
      </c>
      <c r="AL87" s="49">
        <f>IFERROR(IF(VLOOKUP(tbMoveset!A87,tbMoveset!A2:H112,8,FALSE)="Other",IF(VLOOKUP(tbMoveset!A87,tbMoveset!A2:I112,9,FALSE)="Fire",Backdoors!BB8,IF(VLOOKUP(tbMoveset!A87,tbMoveset!A2:I112,9,FALSE)="Water",Backdoors!BC8,IF(VLOOKUP(tbMoveset!A87,tbMoveset!A2:I112,9,FALSE)="Thunder",Backdoors!BD8,IF(VLOOKUP(tbMoveset!A87,tbMoveset!A2:I112,9,FALSE)="Ice",Backdoors!BE8,IF(VLOOKUP(tbMoveset!A87,tbMoveset!A2:I112,9,FALSE)="Dragon",Backdoors!BF8,Backdoors!BG8)))))/100,Backdoors!BG8/100),"")</f>
        <v>0</v>
      </c>
      <c r="AM87" s="49">
        <f>IFERROR(IF(VLOOKUP(A87,tbMoveset!A2:J112,10,FALSE)=TRUE,IF((Backdoors!AI12+IF(AK87&gt;=0.45,VLOOKUP(Calculator!E23,tbSkills!DH3:DI6,2,FALSE)+IF(AND(Calculator!B8=TRUE,Backdoors!BI8=TRUE),VLOOKUP(Calculator!E23,tbSkills!DH3:DJ6,3,FALSE),0),0))&gt;=0,1+(Backdoors!AL2*(IF((Backdoors!AI12+IF(AK87&gt;=0.45,VLOOKUP(Calculator!E23,tbSkills!DH3:DI6,2,FALSE)+IF(AND(Calculator!B8=TRUE,Backdoors!BI8=TRUE),VLOOKUP(Calculator!E23,tbSkills!DH3:DJ6,3,FALSE),0),0))&gt;=100,100,(Backdoors!AI12+IF(AK87&gt;=0.45,VLOOKUP(Calculator!E23,tbSkills!DH3:DI6,2,FALSE)+IF(AND(Calculator!B8=TRUE,Backdoors!BI8=TRUE),VLOOKUP(Calculator!E23,tbSkills!DH3:DJ6,3,FALSE),0),0)))/100)),(1-(0.25*((-Backdoors!AI12-IF(AK87&gt;=0.45,VLOOKUP(Calculator!E23,tbSkills!DH3:DI6,2,FALSE)+IF(AND(Calculator!B8=TRUE,Backdoors!BI8=TRUE),VLOOKUP(Calculator!E23,tbSkills!DH3:DJ6,3,FALSE),0),0))/100)))),1),"")</f>
        <v>1</v>
      </c>
      <c r="AN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K87)*AM87)*(VLOOKUP(A87,tbMoveset!A2:C112,3,FALSE)/100)*IF(VLOOKUP(A87,tbMoveset!A2:B112,2,FALSE)="Projectile",Backdoors!N10,Backdoors!N9),0),"")</f>
        <v>8</v>
      </c>
      <c r="AO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K87&gt;=0.45,VLOOKUP(Calculator!E23,tbSkills!DH3:DI6,2,FALSE)+IF(AND(Calculator!B8=TRUE,Backdoors!BI8=TRUE),VLOOKUP(Calculator!E23,tbSkills!DH3:DJ6,3,FALSE),0),0))&gt;=100,100,(Backdoors!AI12+IF(AK87&gt;=0.45,VLOOKUP(Calculator!E23,tbSkills!DH3:DI6,2,FALSE)+IF(AND(Calculator!B8=TRUE,Backdoors!BI8=TRUE),VLOOKUP(Calculator!E23,tbSkills!DH3:DJ6,3,FALSE),0),0)))/100)),1))*IF(VLOOKUP(A87,tbMoveset!A2:K112,11,FALSE)=TRUE,Backdoors!AC5,1))*AL87,0),"")</f>
        <v>0</v>
      </c>
      <c r="AP87" s="49">
        <f>VLOOKUP(A87,tbMoveset!A2:G112,7,FALSE)*IFERROR(IF(Backdoors!AI12&gt;=0,1+(IF(Calculator!E40&gt;0,VLOOKUP(Calculator!E40,tbSkills!AI3:AJ5,2,FALSE),Backdoors!AL4)*(IF((Backdoors!AI12+IF(AK87&gt;=0.45,VLOOKUP(Calculator!E23,tbSkills!DH3:DI6,2,FALSE)+IF(AND(Calculator!B8=TRUE,Backdoors!BI8=TRUE),VLOOKUP(Calculator!E23,tbSkills!DH3:DJ6,3,FALSE),0),0))&gt;=100,100,(Backdoors!AI12+IF(AK87&gt;=0.45,VLOOKUP(Calculator!E23,tbSkills!DH3:DI6,2,FALSE)+IF(AND(Calculator!B8=TRUE,Backdoors!BI8=TRUE),VLOOKUP(Calculator!E23,tbSkills!DH3:DJ6,3,FALSE),0),0)))/100)),1),1)</f>
        <v>1</v>
      </c>
      <c r="AQ87" s="87">
        <f t="shared" si="56"/>
        <v>8</v>
      </c>
      <c r="AR87" s="86">
        <f>IFERROR(IF(VLOOKUP(A87,tbMoveset!A2:B112,2,FALSE)="Sever",Backdoors!AY9/100,IF(VLOOKUP(A87,tbMoveset!A2:B112,2,FALSE)="Blunt",Backdoors!AZ9/100,Backdoors!BA9/100)),"")</f>
        <v>0.45</v>
      </c>
      <c r="AS87" s="49">
        <f>IFERROR(IF(VLOOKUP(tbMoveset!A87,tbMoveset!A2:H112,8,FALSE)="Other",IF(VLOOKUP(tbMoveset!A87,tbMoveset!A2:I112,9,FALSE)="Fire",Backdoors!BB9,IF(VLOOKUP(tbMoveset!A87,tbMoveset!A2:I112,9,FALSE)="Water",Backdoors!BC9,IF(VLOOKUP(tbMoveset!A87,tbMoveset!A2:I112,9,FALSE)="Thunder",Backdoors!BD9,IF(VLOOKUP(tbMoveset!A87,tbMoveset!A2:I112,9,FALSE)="Ice",Backdoors!BE9,IF(VLOOKUP(tbMoveset!A87,tbMoveset!A2:I112,9,FALSE)="Dragon",Backdoors!BF9,Backdoors!BG9)))))/100,Backdoors!BG9/100),"")</f>
        <v>0</v>
      </c>
      <c r="AT87" s="49">
        <f>IFERROR(IF(VLOOKUP(A87,tbMoveset!A2:J112,10,FALSE)=TRUE,IF((Backdoors!AI12+IF(AR87&gt;=0.45,VLOOKUP(Calculator!E23,tbSkills!DH3:DI6,2,FALSE)+IF(AND(Calculator!B8=TRUE,Backdoors!BI9=TRUE),VLOOKUP(Calculator!E23,tbSkills!DH3:DJ6,3,FALSE),0),0))&gt;=0,1+(Backdoors!AL2*(IF((Backdoors!AI12+IF(AR87&gt;=0.45,VLOOKUP(Calculator!E23,tbSkills!DH3:DI6,2,FALSE)+IF(AND(Calculator!B8=TRUE,Backdoors!BI9=TRUE),VLOOKUP(Calculator!E23,tbSkills!DH3:DJ6,3,FALSE),0),0))&gt;=100,100,(Backdoors!AI12+IF(AR87&gt;=0.45,VLOOKUP(Calculator!E23,tbSkills!DH3:DI6,2,FALSE)+IF(AND(Calculator!B8=TRUE,Backdoors!BI9=TRUE),VLOOKUP(Calculator!E23,tbSkills!DH3:DJ6,3,FALSE),0),0)))/100)),(1-(0.25*((-Backdoors!AI12-IF(AR87&gt;=0.45,VLOOKUP(Calculator!E23,tbSkills!DH3:DI6,2,FALSE)+IF(AND(Calculator!B8=TRUE,Backdoors!BI9=TRUE),VLOOKUP(Calculator!E23,tbSkills!DH3:DJ6,3,FALSE),0),0))/100)))),1),"")</f>
        <v>1</v>
      </c>
      <c r="AU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R87)*AT87)*(VLOOKUP(A87,tbMoveset!A2:C112,3,FALSE)/100)*IF(VLOOKUP(A87,tbMoveset!A2:B112,2,FALSE)="Projectile",Backdoors!N10,Backdoors!N9),0),"")</f>
        <v>8</v>
      </c>
      <c r="AV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R87&gt;=0.45,VLOOKUP(Calculator!E23,tbSkills!DH3:DI6,2,FALSE)+IF(AND(Calculator!B8=TRUE,Backdoors!BI9=TRUE),VLOOKUP(Calculator!E23,tbSkills!DH3:DJ6,3,FALSE),0),0))&gt;=100,100,(Backdoors!AI12+IF(AR87&gt;=0.45,VLOOKUP(Calculator!E23,tbSkills!DH3:DI6,2,FALSE)+IF(AND(Calculator!B8=TRUE,Backdoors!BI9=TRUE),VLOOKUP(Calculator!E23,tbSkills!DH3:DJ6,3,FALSE),0),0)))/100)),1))*IF(VLOOKUP(A87,tbMoveset!A2:K112,11,FALSE)=TRUE,Backdoors!AC5,1))*AS87,0),"")</f>
        <v>0</v>
      </c>
      <c r="AW87" s="49">
        <f>VLOOKUP(A87,tbMoveset!A2:G112,7,FALSE)*IFERROR(IF(Backdoors!AI12&gt;=0,1+(IF(Calculator!E40&gt;0,VLOOKUP(Calculator!E40,tbSkills!AI3:AJ5,2,FALSE),Backdoors!AL4)*(IF((Backdoors!AI12+IF(AR87&gt;=0.45,VLOOKUP(Calculator!E23,tbSkills!DH3:DI6,2,FALSE)+IF(AND(Calculator!B8=TRUE,Backdoors!BI9=TRUE),VLOOKUP(Calculator!E23,tbSkills!DH3:DJ6,3,FALSE),0),0))&gt;=100,100,(Backdoors!AI12+IF(AR87&gt;=0.45,VLOOKUP(Calculator!E23,tbSkills!DH3:DI6,2,FALSE)+IF(AND(Calculator!B8=TRUE,Backdoors!BI9=TRUE),VLOOKUP(Calculator!E23,tbSkills!DH3:DJ6,3,FALSE),0),0)))/100)),1),1)</f>
        <v>1</v>
      </c>
      <c r="AX87" s="87">
        <f t="shared" si="57"/>
        <v>8</v>
      </c>
      <c r="AY87" s="86">
        <f>IFERROR(IF(VLOOKUP(A87,tbMoveset!A2:B112,2,FALSE)="Sever",Backdoors!AY10/100,IF(VLOOKUP(A87,tbMoveset!A2:B112,2,FALSE)="Blunt",Backdoors!AZ10/100,Backdoors!BA10/100)),"")</f>
        <v>0.9</v>
      </c>
      <c r="AZ87" s="49">
        <f>IFERROR(IF(VLOOKUP(tbMoveset!A87,tbMoveset!A2:H112,8,FALSE)="Other",IF(VLOOKUP(tbMoveset!A87,tbMoveset!A2:I112,9,FALSE)="Fire",Backdoors!BB10,IF(VLOOKUP(tbMoveset!A87,tbMoveset!A2:I112,9,FALSE)="Water",Backdoors!BC10,IF(VLOOKUP(tbMoveset!A87,tbMoveset!A2:I112,9,FALSE)="Thunder",Backdoors!BD10,IF(VLOOKUP(tbMoveset!A87,tbMoveset!A2:I112,9,FALSE)="Ice",Backdoors!BE10,IF(VLOOKUP(tbMoveset!A87,tbMoveset!A2:I112,9,FALSE)="Dragon",Backdoors!BF10,Backdoors!BG10)))))/100,Backdoors!BG10/100),"")</f>
        <v>0</v>
      </c>
      <c r="BA87" s="49">
        <f>IFERROR(IF(VLOOKUP(A87,tbMoveset!A2:J112,10,FALSE)=TRUE,IF((Backdoors!AI12+IF(AY87&gt;=0.45,VLOOKUP(Calculator!E23,tbSkills!DH3:DI6,2,FALSE)+IF(AND(Calculator!B8=TRUE,Backdoors!BI10=TRUE),VLOOKUP(Calculator!E23,tbSkills!DH3:DJ6,3,FALSE),0),0))&gt;=0,1+(Backdoors!AL2*(IF((Backdoors!AI12+IF(AY87&gt;=0.45,VLOOKUP(Calculator!E23,tbSkills!DH3:DI6,2,FALSE)+IF(AND(Calculator!B8=TRUE,Backdoors!BI10=TRUE),VLOOKUP(Calculator!E23,tbSkills!DH3:DJ6,3,FALSE),0),0))&gt;=100,100,(Backdoors!AI12+IF(AY87&gt;=0.45,VLOOKUP(Calculator!E23,tbSkills!DH3:DI6,2,FALSE)+IF(AND(Calculator!B8=TRUE,Backdoors!BI10=TRUE),VLOOKUP(Calculator!E23,tbSkills!DH3:DJ6,3,FALSE),0),0)))/100)),(1-(0.25*((-Backdoors!AI12-IF(AY87&gt;=0.45,VLOOKUP(Calculator!E23,tbSkills!DH3:DI6,2,FALSE)+IF(AND(Calculator!B8=TRUE,Backdoors!BI10=TRUE),VLOOKUP(Calculator!E23,tbSkills!DH3:DJ6,3,FALSE),0),0))/100)))),1),"")</f>
        <v>1</v>
      </c>
      <c r="BB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Y87)*BA87)*(VLOOKUP(A87,tbMoveset!A2:C112,3,FALSE)/100)*IF(VLOOKUP(A87,tbMoveset!A2:B112,2,FALSE)="Projectile",Backdoors!N10,Backdoors!N9),0),"")</f>
        <v>16</v>
      </c>
      <c r="BC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Y87&gt;=0.45,VLOOKUP(Calculator!E23,tbSkills!DH3:DI6,2,FALSE)+IF(AND(Calculator!B8=TRUE,Backdoors!BI10=TRUE),VLOOKUP(Calculator!E23,tbSkills!DH3:DJ6,3,FALSE),0),0))&gt;=100,100,(Backdoors!AI12+IF(AY87&gt;=0.45,VLOOKUP(Calculator!E23,tbSkills!DH3:DI6,2,FALSE)+IF(AND(Calculator!B8=TRUE,Backdoors!BI10=TRUE),VLOOKUP(Calculator!E23,tbSkills!DH3:DJ6,3,FALSE),0),0)))/100)),1))*IF(VLOOKUP(A87,tbMoveset!A2:K112,11,FALSE)=TRUE,Backdoors!AC5,1))*AZ87,0),"")</f>
        <v>0</v>
      </c>
      <c r="BD87" s="49">
        <f>VLOOKUP(A87,tbMoveset!A2:G112,7,FALSE)*IFERROR(IF(Backdoors!AI12&gt;=0,1+(IF(Calculator!E40&gt;0,VLOOKUP(Calculator!E40,tbSkills!AI3:AJ5,2,FALSE),Backdoors!AL4)*(IF((Backdoors!AI12+IF(AY87&gt;=0.45,VLOOKUP(Calculator!E23,tbSkills!DH3:DI6,2,FALSE)+IF(AND(Calculator!B8=TRUE,Backdoors!BI10=TRUE),VLOOKUP(Calculator!E23,tbSkills!DH3:DJ6,3,FALSE),0),0))&gt;=100,100,(Backdoors!AI12+IF(AY87&gt;=0.45,VLOOKUP(Calculator!E23,tbSkills!DH3:DI6,2,FALSE)+IF(AND(Calculator!B8=TRUE,Backdoors!BI10=TRUE),VLOOKUP(Calculator!E23,tbSkills!DH3:DJ6,3,FALSE),0),0)))/100)),1),1)</f>
        <v>1</v>
      </c>
      <c r="BE87" s="87">
        <f t="shared" si="58"/>
        <v>16</v>
      </c>
      <c r="BF87" s="86" t="str">
        <f>IFERROR(IF(VLOOKUP(A87,tbMoveset!A2:B112,2,FALSE)="Sever",Backdoors!AY11/100,IF(VLOOKUP(A87,tbMoveset!A2:B112,2,FALSE)="Blunt",Backdoors!AZ11/100,Backdoors!BA11/100)),"")</f>
        <v/>
      </c>
      <c r="BG87" s="49">
        <f>IFERROR(IF(VLOOKUP(tbMoveset!A87,tbMoveset!A2:H112,8,FALSE)="Other",IF(VLOOKUP(tbMoveset!A87,tbMoveset!A2:I112,9,FALSE)="Fire",Backdoors!BB11,IF(VLOOKUP(tbMoveset!A87,tbMoveset!A2:I112,9,FALSE)="Water",Backdoors!BC11,IF(VLOOKUP(tbMoveset!A87,tbMoveset!A2:I112,9,FALSE)="Thunder",Backdoors!BD11,IF(VLOOKUP(tbMoveset!A87,tbMoveset!A2:I112,9,FALSE)="Ice",Backdoors!BE11,IF(VLOOKUP(tbMoveset!A87,tbMoveset!A2:I112,9,FALSE)="Dragon",Backdoors!BF11,Backdoors!BG11)))))/100,Backdoors!BG11/100),"")</f>
        <v>0</v>
      </c>
      <c r="BH87" s="49">
        <f>IFERROR(IF(VLOOKUP(A87,tbMoveset!A2:J112,10,FALSE)=TRUE,IF((Backdoors!AI12+IF(BF87&gt;=0.45,VLOOKUP(Calculator!E23,tbSkills!DH3:DI6,2,FALSE)+IF(AND(Calculator!B8=TRUE,Backdoors!BI11=TRUE),VLOOKUP(Calculator!E23,tbSkills!DH3:DJ6,3,FALSE),0),0))&gt;=0,1+(Backdoors!AL2*(IF((Backdoors!AI12+IF(BF87&gt;=0.45,VLOOKUP(Calculator!E23,tbSkills!DH3:DI6,2,FALSE)+IF(AND(Calculator!B8=TRUE,Backdoors!BI11=TRUE),VLOOKUP(Calculator!E23,tbSkills!DH3:DJ6,3,FALSE),0),0))&gt;=100,100,(Backdoors!AI12+IF(BF87&gt;=0.45,VLOOKUP(Calculator!E23,tbSkills!DH3:DI6,2,FALSE)+IF(AND(Calculator!B8=TRUE,Backdoors!BI11=TRUE),VLOOKUP(Calculator!E23,tbSkills!DH3:DJ6,3,FALSE),0),0)))/100)),(1-(0.25*((-Backdoors!AI12-IF(BF87&gt;=0.45,VLOOKUP(Calculator!E23,tbSkills!DH3:DI6,2,FALSE)+IF(AND(Calculator!B8=TRUE,Backdoors!BI11=TRUE),VLOOKUP(Calculator!E23,tbSkills!DH3:DJ6,3,FALSE),0),0))/100)))),1),"")</f>
        <v>1</v>
      </c>
      <c r="BI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F87)*BH87)*(VLOOKUP(A87,tbMoveset!A2:C112,3,FALSE)/100)*IF(VLOOKUP(A87,tbMoveset!A2:B112,2,FALSE)="Projectile",Backdoors!N10,Backdoors!N9),0),"")</f>
        <v/>
      </c>
      <c r="BJ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F87&gt;=0.45,VLOOKUP(Calculator!E23,tbSkills!DH3:DI6,2,FALSE)+IF(AND(Calculator!B8=TRUE,Backdoors!BI11=TRUE),VLOOKUP(Calculator!E23,tbSkills!DH3:DJ6,3,FALSE),0),0))&gt;=100,100,(Backdoors!AI12+IF(BF87&gt;=0.45,VLOOKUP(Calculator!E23,tbSkills!DH3:DI6,2,FALSE)+IF(AND(Calculator!B8=TRUE,Backdoors!BI11=TRUE),VLOOKUP(Calculator!E23,tbSkills!DH3:DJ6,3,FALSE),0),0)))/100)),1))*IF(VLOOKUP(A87,tbMoveset!A2:K112,11,FALSE)=TRUE,Backdoors!AC5,1))*BG87,0),"")</f>
        <v>0</v>
      </c>
      <c r="BK87" s="49">
        <f>VLOOKUP(A87,tbMoveset!A2:G112,7,FALSE)*IFERROR(IF(Backdoors!AI12&gt;=0,1+(IF(Calculator!E40&gt;0,VLOOKUP(Calculator!E40,tbSkills!AI3:AJ5,2,FALSE),Backdoors!AL4)*(IF((Backdoors!AI12+IF(BF87&gt;=0.45,VLOOKUP(Calculator!E23,tbSkills!DH3:DI6,2,FALSE)+IF(AND(Calculator!B8=TRUE,Backdoors!BI11=TRUE),VLOOKUP(Calculator!E23,tbSkills!DH3:DJ6,3,FALSE),0),0))&gt;=100,100,(Backdoors!AI12+IF(BF87&gt;=0.45,VLOOKUP(Calculator!E23,tbSkills!DH3:DI6,2,FALSE)+IF(AND(Calculator!B8=TRUE,Backdoors!BI11=TRUE),VLOOKUP(Calculator!E23,tbSkills!DH3:DJ6,3,FALSE),0),0)))/100)),1),1)</f>
        <v>1</v>
      </c>
      <c r="BL87" s="87">
        <f t="shared" si="59"/>
        <v>0</v>
      </c>
      <c r="BM87" s="86" t="str">
        <f>IFERROR(IF(VLOOKUP(A87,tbMoveset!A2:B112,2,FALSE)="Sever",Backdoors!AY12/100,IF(VLOOKUP(A87,tbMoveset!A2:B112,2,FALSE)="Blunt",Backdoors!AZ12/100,Backdoors!BA12/100)),"")</f>
        <v/>
      </c>
      <c r="BN87" s="49">
        <f>IFERROR(IF(VLOOKUP(tbMoveset!A87,tbMoveset!A2:H112,8,FALSE)="Other",IF(VLOOKUP(tbMoveset!A87,tbMoveset!A2:I112,9,FALSE)="Fire",Backdoors!BB12,IF(VLOOKUP(tbMoveset!A87,tbMoveset!A2:I112,9,FALSE)="Water",Backdoors!BC12,IF(VLOOKUP(tbMoveset!A87,tbMoveset!A2:I112,9,FALSE)="Thunder",Backdoors!BD12,IF(VLOOKUP(tbMoveset!A87,tbMoveset!A2:I112,9,FALSE)="Ice",Backdoors!BE12,IF(VLOOKUP(tbMoveset!A87,tbMoveset!A2:I112,9,FALSE)="Dragon",Backdoors!BF12,Backdoors!BG12)))))/100,Backdoors!BG12/100),"")</f>
        <v>0</v>
      </c>
      <c r="BO87" s="49">
        <f>IFERROR(IF(VLOOKUP(A87,tbMoveset!A2:J112,10,FALSE)=TRUE,IF((Backdoors!AI12+IF(BM87&gt;=0.45,VLOOKUP(Calculator!E23,tbSkills!DH3:DI6,2,FALSE)+IF(AND(Calculator!B8=TRUE,Backdoors!BI12=TRUE),VLOOKUP(Calculator!E23,tbSkills!DH3:DJ6,3,FALSE),0),0))&gt;=0,1+(Backdoors!AL2*(IF((Backdoors!AI12+IF(BM87&gt;=0.45,VLOOKUP(Calculator!E23,tbSkills!DH3:DI6,2,FALSE)+IF(AND(Calculator!B8=TRUE,Backdoors!BI12=TRUE),VLOOKUP(Calculator!E23,tbSkills!DH3:DJ6,3,FALSE),0),0))&gt;=100,100,(Backdoors!AI12+IF(BM87&gt;=0.45,VLOOKUP(Calculator!E23,tbSkills!DH3:DI6,2,FALSE)+IF(AND(Calculator!B8=TRUE,Backdoors!BI12=TRUE),VLOOKUP(Calculator!E23,tbSkills!DH3:DJ6,3,FALSE),0),0)))/100)),(1-(0.25*((-Backdoors!AI12-IF(BM87&gt;=0.45,VLOOKUP(Calculator!E23,tbSkills!DH3:DI6,2,FALSE)+IF(AND(Calculator!B8=TRUE,Backdoors!BI12=TRUE),VLOOKUP(Calculator!E23,tbSkills!DH3:DJ6,3,FALSE),0),0))/100)))),1),"")</f>
        <v>1</v>
      </c>
      <c r="BP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M87)*BO87)*(VLOOKUP(A87,tbMoveset!A2:C112,3,FALSE)/100)*IF(VLOOKUP(A87,tbMoveset!A2:B112,2,FALSE)="Projectile",Backdoors!N10,Backdoors!N9),0),"")</f>
        <v/>
      </c>
      <c r="BQ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M87&gt;=0.45,VLOOKUP(Calculator!E23,tbSkills!DH3:DI6,2,FALSE)+IF(AND(Calculator!B8=TRUE,Backdoors!BI12=TRUE),VLOOKUP(Calculator!E23,tbSkills!DH3:DJ6,3,FALSE),0),0))&gt;=100,100,(Backdoors!AI12+IF(BM87&gt;=0.45,VLOOKUP(Calculator!E23,tbSkills!DH3:DI6,2,FALSE)+IF(AND(Calculator!B8=TRUE,Backdoors!BI12=TRUE),VLOOKUP(Calculator!E23,tbSkills!DH3:DJ6,3,FALSE),0),0)))/100)),1))*IF(VLOOKUP(A87,tbMoveset!A2:K112,11,FALSE)=TRUE,Backdoors!AC5,1))*BN87,0),"")</f>
        <v>0</v>
      </c>
      <c r="BR87" s="49">
        <f>VLOOKUP(A87,tbMoveset!A2:G112,7,FALSE)*IFERROR(IF(Backdoors!AI12&gt;=0,1+(IF(Calculator!E40&gt;0,VLOOKUP(Calculator!E40,tbSkills!AI3:AJ5,2,FALSE),Backdoors!AL4)*(IF((Backdoors!AI12+IF(BM87&gt;=0.45,VLOOKUP(Calculator!E23,tbSkills!DH3:DI6,2,FALSE)+IF(AND(Calculator!B8=TRUE,Backdoors!BI12=TRUE),VLOOKUP(Calculator!E23,tbSkills!DH3:DJ6,3,FALSE),0),0))&gt;=100,100,(Backdoors!AI12+IF(BM87&gt;=0.45,VLOOKUP(Calculator!E23,tbSkills!DH3:DI6,2,FALSE)+IF(AND(Calculator!B8=TRUE,Backdoors!BI12=TRUE),VLOOKUP(Calculator!E23,tbSkills!DH3:DJ6,3,FALSE),0),0)))/100)),1),1)</f>
        <v>1</v>
      </c>
      <c r="BS87" s="87">
        <f t="shared" si="60"/>
        <v>0</v>
      </c>
      <c r="BT87" s="86" t="str">
        <f>IFERROR(IF(VLOOKUP(A87,tbMoveset!A2:B112,2,FALSE)="Sever",Backdoors!AY13/100,IF(VLOOKUP(A87,tbMoveset!A2:B112,2,FALSE)="Blunt",Backdoors!AZ13/100,Backdoors!BA13/100)),"")</f>
        <v/>
      </c>
      <c r="BU87" s="49">
        <f>IFERROR(IF(VLOOKUP(tbMoveset!A87,tbMoveset!A2:H112,8,FALSE)="Other",IF(VLOOKUP(tbMoveset!A87,tbMoveset!A2:I112,9,FALSE)="Fire",Backdoors!BB13,IF(VLOOKUP(tbMoveset!A87,tbMoveset!A2:I112,9,FALSE)="Water",Backdoors!BC13,IF(VLOOKUP(tbMoveset!A87,tbMoveset!A2:I112,9,FALSE)="Thunder",Backdoors!BD13,IF(VLOOKUP(tbMoveset!A87,tbMoveset!A2:I112,9,FALSE)="Ice",Backdoors!BE13,IF(VLOOKUP(tbMoveset!A87,tbMoveset!A2:I112,9,FALSE)="Dragon",Backdoors!BF13,Backdoors!BG13)))))/100,Backdoors!BG13/100),"")</f>
        <v>0</v>
      </c>
      <c r="BV87" s="49">
        <f>IFERROR(IF(VLOOKUP(A87,tbMoveset!A2:J112,10,FALSE)=TRUE,IF((Backdoors!AI12+IF(BT87&gt;=0.45,VLOOKUP(Calculator!E23,tbSkills!DH3:DI6,2,FALSE)+IF(AND(Calculator!B8=TRUE,Backdoors!BI13=TRUE),VLOOKUP(Calculator!E23,tbSkills!DH3:DJ6,3,FALSE),0),0))&gt;=0,1+(Backdoors!AL2*(IF((Backdoors!AI12+IF(BT87&gt;=0.45,VLOOKUP(Calculator!E23,tbSkills!DH3:DI6,2,FALSE)+IF(AND(Calculator!B8=TRUE,Backdoors!BI13=TRUE),VLOOKUP(Calculator!E23,tbSkills!DH3:DJ6,3,FALSE),0),0))&gt;=100,100,(Backdoors!AI12+IF(BT87&gt;=0.45,VLOOKUP(Calculator!E23,tbSkills!DH3:DI6,2,FALSE)+IF(AND(Calculator!B8=TRUE,Backdoors!BI13=TRUE),VLOOKUP(Calculator!E23,tbSkills!DH3:DJ6,3,FALSE),0),0)))/100)),(1-(0.25*((-Backdoors!AI12-IF(BT87&gt;=0.45,VLOOKUP(Calculator!E23,tbSkills!DH3:DI6,2,FALSE)+IF(AND(Calculator!B8=TRUE,Backdoors!BI13=TRUE),VLOOKUP(Calculator!E23,tbSkills!DH3:DJ6,3,FALSE),0),0))/100)))),1),"")</f>
        <v>1</v>
      </c>
      <c r="BW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T87)*BV87)*(VLOOKUP(A87,tbMoveset!A2:C112,3,FALSE)/100)*IF(VLOOKUP(A87,tbMoveset!A2:B112,2,FALSE)="Projectile",Backdoors!N10,Backdoors!N9),0),"")</f>
        <v/>
      </c>
      <c r="BX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T87&gt;=0.45,VLOOKUP(Calculator!E23,tbSkills!DH3:DI6,2,FALSE)+IF(AND(Calculator!B8=TRUE,Backdoors!BI13=TRUE),VLOOKUP(Calculator!E23,tbSkills!DH3:DJ6,3,FALSE),0),0))&gt;=100,100,(Backdoors!AI12+IF(BT87&gt;=0.45,VLOOKUP(Calculator!E23,tbSkills!DH3:DI6,2,FALSE)+IF(AND(Calculator!B8=TRUE,Backdoors!BI13=TRUE),VLOOKUP(Calculator!E23,tbSkills!DH3:DJ6,3,FALSE),0),0)))/100)),1))*IF(VLOOKUP(A87,tbMoveset!A2:K112,11,FALSE)=TRUE,Backdoors!AC5,1))*BU87,0),"")</f>
        <v>0</v>
      </c>
      <c r="BY87" s="49">
        <f>VLOOKUP(A87,tbMoveset!A2:G112,7,FALSE)*IFERROR(IF(Backdoors!AI12&gt;=0,1+(IF(Calculator!E40&gt;0,VLOOKUP(Calculator!E40,tbSkills!AI3:AJ5,2,FALSE),Backdoors!AL4)*(IF((Backdoors!AI12+IF(BT87&gt;=0.45,VLOOKUP(Calculator!E23,tbSkills!DH3:DI6,2,FALSE)+IF(AND(Calculator!B8=TRUE,Backdoors!BI13=TRUE),VLOOKUP(Calculator!E23,tbSkills!DH3:DJ6,3,FALSE),0),0))&gt;=100,100,(Backdoors!AI12+IF(BT87&gt;=0.45,VLOOKUP(Calculator!E23,tbSkills!DH3:DI6,2,FALSE)+IF(AND(Calculator!B8=TRUE,Backdoors!BI13=TRUE),VLOOKUP(Calculator!E23,tbSkills!DH3:DJ6,3,FALSE),0),0)))/100)),1),1)</f>
        <v>1</v>
      </c>
      <c r="BZ87" s="87">
        <f t="shared" si="61"/>
        <v>0</v>
      </c>
      <c r="CA87" s="86" t="str">
        <f>IFERROR(IF(VLOOKUP(A87,tbMoveset!A2:B112,2,FALSE)="Sever",Backdoors!AY14/100,IF(VLOOKUP(A87,tbMoveset!A2:B112,2,FALSE)="Blunt",Backdoors!AZ14/100,Backdoors!BA14/100)),"")</f>
        <v/>
      </c>
      <c r="CB87" s="49">
        <f>IFERROR(IF(VLOOKUP(tbMoveset!A87,tbMoveset!A2:H112,8,FALSE)="Other",IF(VLOOKUP(tbMoveset!A87,tbMoveset!A2:I112,9,FALSE)="Fire",Backdoors!BB14,IF(VLOOKUP(tbMoveset!A87,tbMoveset!A2:I112,9,FALSE)="Water",Backdoors!BC14,IF(VLOOKUP(tbMoveset!A87,tbMoveset!A2:I112,9,FALSE)="Thunder",Backdoors!BD14,IF(VLOOKUP(tbMoveset!A87,tbMoveset!A2:I112,9,FALSE)="Ice",Backdoors!BE14,IF(VLOOKUP(tbMoveset!A87,tbMoveset!A2:I112,9,FALSE)="Dragon",Backdoors!BF14,Backdoors!BG14)))))/100,Backdoors!BG14/100),"")</f>
        <v>0</v>
      </c>
      <c r="CC87" s="49">
        <f>IFERROR(IF(VLOOKUP(A87,tbMoveset!A2:J112,10,FALSE)=TRUE,IF((Backdoors!AI12+IF(CA87&gt;=0.45,VLOOKUP(Calculator!E23,tbSkills!DH3:DI6,2,FALSE)+IF(AND(Calculator!B8=TRUE,Backdoors!BI14=TRUE),VLOOKUP(Calculator!E23,tbSkills!DH3:DJ6,3,FALSE),0),0))&gt;=0,1+(Backdoors!AL2*(IF((Backdoors!AI12+IF(CA87&gt;=0.45,VLOOKUP(Calculator!E23,tbSkills!DH3:DI6,2,FALSE)+IF(AND(Calculator!B8=TRUE,Backdoors!BI14=TRUE),VLOOKUP(Calculator!E23,tbSkills!DH3:DJ6,3,FALSE),0),0))&gt;=100,100,(Backdoors!AI12+IF(CA87&gt;=0.45,VLOOKUP(Calculator!E23,tbSkills!DH3:DI6,2,FALSE)+IF(AND(Calculator!B8=TRUE,Backdoors!BI14=TRUE),VLOOKUP(Calculator!E23,tbSkills!DH3:DJ6,3,FALSE),0),0)))/100)),(1-(0.25*((-Backdoors!AI12-IF(CA87&gt;=0.45,VLOOKUP(Calculator!E23,tbSkills!DH3:DI6,2,FALSE)+IF(AND(Calculator!B8=TRUE,Backdoors!BI14=TRUE),VLOOKUP(Calculator!E23,tbSkills!DH3:DJ6,3,FALSE),0),0))/100)))),1),"")</f>
        <v>1</v>
      </c>
      <c r="CD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A87)*CC87)*(VLOOKUP(A87,tbMoveset!A2:C112,3,FALSE)/100)*IF(VLOOKUP(A87,tbMoveset!A2:B112,2,FALSE)="Projectile",Backdoors!N10,Backdoors!N9),0),"")</f>
        <v/>
      </c>
      <c r="CE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A87&gt;=0.45,VLOOKUP(Calculator!E23,tbSkills!DH3:DI6,2,FALSE)+IF(AND(Calculator!B8=TRUE,Backdoors!BI14=TRUE),VLOOKUP(Calculator!E23,tbSkills!DH3:DJ6,3,FALSE),0),0))&gt;=100,100,(Backdoors!AI12+IF(CA87&gt;=0.45,VLOOKUP(Calculator!E23,tbSkills!DH3:DI6,2,FALSE)+IF(AND(Calculator!B8=TRUE,Backdoors!BI14=TRUE),VLOOKUP(Calculator!E23,tbSkills!DH3:DJ6,3,FALSE),0),0)))/100)),1))*IF(VLOOKUP(A87,tbMoveset!A2:K112,11,FALSE)=TRUE,Backdoors!AC5,1))*CB87,0),"")</f>
        <v>0</v>
      </c>
      <c r="CF87" s="49">
        <f>VLOOKUP(A87,tbMoveset!A2:G112,7,FALSE)*IFERROR(IF(Backdoors!AI12&gt;=0,1+(IF(Calculator!E40&gt;0,VLOOKUP(Calculator!E40,tbSkills!AI3:AJ5,2,FALSE),Backdoors!AL4)*(IF((Backdoors!AI12+IF(CA87&gt;=0.45,VLOOKUP(Calculator!E23,tbSkills!DH3:DI6,2,FALSE)+IF(AND(Calculator!B8=TRUE,Backdoors!BI14=TRUE),VLOOKUP(Calculator!E23,tbSkills!DH3:DJ6,3,FALSE),0),0))&gt;=100,100,(Backdoors!AI12+IF(CA87&gt;=0.45,VLOOKUP(Calculator!E23,tbSkills!DH3:DI6,2,FALSE)+IF(AND(Calculator!B8=TRUE,Backdoors!BI14=TRUE),VLOOKUP(Calculator!E23,tbSkills!DH3:DJ6,3,FALSE),0),0)))/100)),1),1)</f>
        <v>1</v>
      </c>
      <c r="CG87" s="87">
        <f t="shared" si="62"/>
        <v>0</v>
      </c>
      <c r="CH87" s="86" t="str">
        <f>IFERROR(IF(VLOOKUP(A87,tbMoveset!A2:B112,2,FALSE)="Sever",Backdoors!AY15/100,IF(VLOOKUP(A87,tbMoveset!A2:B112,2,FALSE)="Blunt",Backdoors!AZ15/100,Backdoors!BA15/100)),"")</f>
        <v/>
      </c>
      <c r="CI87" s="49">
        <f>IFERROR(IF(VLOOKUP(tbMoveset!A87,tbMoveset!A2:H112,8,FALSE)="Other",IF(VLOOKUP(tbMoveset!A87,tbMoveset!A2:I112,9,FALSE)="Fire",Backdoors!BB15,IF(VLOOKUP(tbMoveset!A87,tbMoveset!A2:I112,9,FALSE)="Water",Backdoors!BC15,IF(VLOOKUP(tbMoveset!A87,tbMoveset!A2:I112,9,FALSE)="Thunder",Backdoors!BD15,IF(VLOOKUP(tbMoveset!A87,tbMoveset!A2:I112,9,FALSE)="Ice",Backdoors!BE15,IF(VLOOKUP(tbMoveset!A87,tbMoveset!A2:I112,9,FALSE)="Dragon",Backdoors!BF15,Backdoors!BG15)))))/100,Backdoors!BG15/100),"")</f>
        <v>0</v>
      </c>
      <c r="CJ87" s="49">
        <f>IFERROR(IF(VLOOKUP(A87,tbMoveset!A2:J112,10,FALSE)=TRUE,IF((Backdoors!AI12+IF(CH87&gt;=0.45,VLOOKUP(Calculator!E23,tbSkills!DH3:DI6,2,FALSE)+IF(AND(Calculator!B8=TRUE,Backdoors!BI15=TRUE),VLOOKUP(Calculator!E23,tbSkills!DH3:DJ6,3,FALSE),0),0))&gt;=0,1+(Backdoors!AL2*(IF((Backdoors!AI12+IF(CH87&gt;=0.45,VLOOKUP(Calculator!E23,tbSkills!DH3:DI6,2,FALSE)+IF(AND(Calculator!B8=TRUE,Backdoors!BI15=TRUE),VLOOKUP(Calculator!E23,tbSkills!DH3:DJ6,3,FALSE),0),0))&gt;=100,100,(Backdoors!AI12+IF(CH87&gt;=0.45,VLOOKUP(Calculator!E23,tbSkills!DH3:DI6,2,FALSE)+IF(AND(Calculator!B8=TRUE,Backdoors!BI15=TRUE),VLOOKUP(Calculator!E23,tbSkills!DH3:DJ6,3,FALSE),0),0)))/100)),(1-(0.25*((-Backdoors!AI12-IF(CH87&gt;=0.45,VLOOKUP(Calculator!E23,tbSkills!DH3:DI6,2,FALSE)+IF(AND(Calculator!B8=TRUE,Backdoors!BI15=TRUE),VLOOKUP(Calculator!E23,tbSkills!DH3:DJ6,3,FALSE),0),0))/100)))),1),"")</f>
        <v>1</v>
      </c>
      <c r="CK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H87)*CJ87)*(VLOOKUP(A87,tbMoveset!A2:C112,3,FALSE)/100)*IF(VLOOKUP(A87,tbMoveset!A2:B112,2,FALSE)="Projectile",Backdoors!N10,Backdoors!N9),0),"")</f>
        <v/>
      </c>
      <c r="CL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H87&gt;=0.45,VLOOKUP(Calculator!E23,tbSkills!DH3:DI6,2,FALSE)+IF(AND(Calculator!B8=TRUE,Backdoors!BI15=TRUE),VLOOKUP(Calculator!E23,tbSkills!DH3:DJ6,3,FALSE),0),0))&gt;=100,100,(Backdoors!AI12+IF(CH87&gt;=0.45,VLOOKUP(Calculator!E23,tbSkills!DH3:DI6,2,FALSE)+IF(AND(Calculator!B8=TRUE,Backdoors!BI15=TRUE),VLOOKUP(Calculator!E23,tbSkills!DH3:DJ6,3,FALSE),0),0)))/100)),1))*IF(VLOOKUP(A87,tbMoveset!A2:K112,11,FALSE)=TRUE,Backdoors!AC5,1))*CI87,0),"")</f>
        <v>0</v>
      </c>
      <c r="CM87" s="49">
        <f>VLOOKUP(A87,tbMoveset!A2:G112,7,FALSE)*IFERROR(IF(Backdoors!AI12&gt;=0,1+(IF(Calculator!E40&gt;0,VLOOKUP(Calculator!E40,tbSkills!AI3:AJ5,2,FALSE),Backdoors!AL4)*(IF((Backdoors!AI12+IF(CH87&gt;=0.45,VLOOKUP(Calculator!E23,tbSkills!DH3:DI6,2,FALSE)+IF(AND(Calculator!B8=TRUE,Backdoors!BI15=TRUE),VLOOKUP(Calculator!E23,tbSkills!DH3:DJ6,3,FALSE),0),0))&gt;=100,100,(Backdoors!AI12+IF(CH87&gt;=0.45,VLOOKUP(Calculator!E23,tbSkills!DH3:DI6,2,FALSE)+IF(AND(Calculator!B8=TRUE,Backdoors!BI15=TRUE),VLOOKUP(Calculator!E23,tbSkills!DH3:DJ6,3,FALSE),0),0)))/100)),1),1)</f>
        <v>1</v>
      </c>
      <c r="CN87" s="87">
        <f t="shared" si="63"/>
        <v>0</v>
      </c>
      <c r="CO87" s="86" t="str">
        <f>IFERROR(IF(VLOOKUP(A87,tbMoveset!A2:B112,2,FALSE)="Sever",Backdoors!AY16/100,IF(VLOOKUP(A87,tbMoveset!A2:B112,2,FALSE)="Blunt",Backdoors!AZ16/100,Backdoors!BA16/100)),"")</f>
        <v/>
      </c>
      <c r="CP87" s="49">
        <f>IFERROR(IF(VLOOKUP(tbMoveset!A87,tbMoveset!A2:H112,8,FALSE)="Other",IF(VLOOKUP(tbMoveset!A87,tbMoveset!A2:I112,9,FALSE)="Fire",Backdoors!BB16,IF(VLOOKUP(tbMoveset!A87,tbMoveset!A2:I112,9,FALSE)="Water",Backdoors!BC16,IF(VLOOKUP(tbMoveset!A87,tbMoveset!A2:I112,9,FALSE)="Thunder",Backdoors!BD16,IF(VLOOKUP(tbMoveset!A87,tbMoveset!A2:I112,9,FALSE)="Ice",Backdoors!BE16,IF(VLOOKUP(tbMoveset!A87,tbMoveset!A2:I112,9,FALSE)="Dragon",Backdoors!BF16,Backdoors!BG16)))))/100,Backdoors!BG16/100),"")</f>
        <v>0</v>
      </c>
      <c r="CQ87" s="49">
        <f>IFERROR(IF(VLOOKUP(A87,tbMoveset!A2:J112,10,FALSE)=TRUE,IF((Backdoors!AI12+IF(CO87&gt;=0.45,VLOOKUP(Calculator!E23,tbSkills!DH3:DI6,2,FALSE)+IF(AND(Calculator!B8=TRUE,Backdoors!BI16=TRUE),VLOOKUP(Calculator!E23,tbSkills!DH3:DJ6,3,FALSE),0),0))&gt;=0,1+(Backdoors!AL2*(IF((Backdoors!AI12+IF(CO87&gt;=0.45,VLOOKUP(Calculator!E23,tbSkills!DH3:DI6,2,FALSE)+IF(AND(Calculator!B8=TRUE,Backdoors!BI16=TRUE),VLOOKUP(Calculator!E23,tbSkills!DH3:DJ6,3,FALSE),0),0))&gt;=100,100,(Backdoors!AI12+IF(CO87&gt;=0.45,VLOOKUP(Calculator!E23,tbSkills!DH3:DI6,2,FALSE)+IF(AND(Calculator!B8=TRUE,Backdoors!BI16=TRUE),VLOOKUP(Calculator!E23,tbSkills!DH3:DJ6,3,FALSE),0),0)))/100)),(1-(0.25*((-Backdoors!AI12-IF(CO87&gt;=0.45,VLOOKUP(Calculator!E23,tbSkills!DH3:DI6,2,FALSE)+IF(AND(Calculator!B8=TRUE,Backdoors!BI16=TRUE),VLOOKUP(Calculator!E23,tbSkills!DH3:DJ6,3,FALSE),0),0))/100)))),1),"")</f>
        <v>1</v>
      </c>
      <c r="CR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O87)*CQ87)*(VLOOKUP(A87,tbMoveset!A2:C112,3,FALSE)/100)*IF(VLOOKUP(A87,tbMoveset!A2:B112,2,FALSE)="Projectile",Backdoors!N10,Backdoors!N9),0),"")</f>
        <v/>
      </c>
      <c r="CS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O87&gt;=0.45,VLOOKUP(Calculator!E23,tbSkills!DH3:DI6,2,FALSE)+IF(AND(Calculator!B8=TRUE,Backdoors!BI16=TRUE),VLOOKUP(Calculator!E23,tbSkills!DH3:DJ6,3,FALSE),0),0))&gt;=100,100,(Backdoors!AI12+IF(CO87&gt;=0.45,VLOOKUP(Calculator!E23,tbSkills!DH3:DI6,2,FALSE)+IF(AND(Calculator!B8=TRUE,Backdoors!BI16=TRUE),VLOOKUP(Calculator!E23,tbSkills!DH3:DJ6,3,FALSE),0),0)))/100)),1))*IF(VLOOKUP(A87,tbMoveset!A2:K112,11,FALSE)=TRUE,Backdoors!AC5,1))*CP87,0),"")</f>
        <v>0</v>
      </c>
      <c r="CT87" s="49">
        <f>VLOOKUP(A87,tbMoveset!A2:G112,7,FALSE)*IFERROR(IF(Backdoors!AI12&gt;=0,1+(IF(Calculator!E40&gt;0,VLOOKUP(Calculator!E40,tbSkills!AI3:AJ5,2,FALSE),Backdoors!AL4)*(IF((Backdoors!AI12+IF(CO87&gt;=0.45,VLOOKUP(Calculator!E23,tbSkills!DH3:DI6,2,FALSE)+IF(AND(Calculator!B8=TRUE,Backdoors!BI16=TRUE),VLOOKUP(Calculator!E23,tbSkills!DH3:DJ6,3,FALSE),0),0))&gt;=100,100,(Backdoors!AI12+IF(CO87&gt;=0.45,VLOOKUP(Calculator!E23,tbSkills!DH3:DI6,2,FALSE)+IF(AND(Calculator!B8=TRUE,Backdoors!BI16=TRUE),VLOOKUP(Calculator!E23,tbSkills!DH3:DJ6,3,FALSE),0),0)))/100)),1),1)</f>
        <v>1</v>
      </c>
      <c r="CU87" s="87">
        <f t="shared" si="64"/>
        <v>0</v>
      </c>
      <c r="CV87" s="86" t="str">
        <f>IFERROR(IF(VLOOKUP(A87,tbMoveset!A2:B112,2,FALSE)="Sever",Backdoors!AY17/100,IF(VLOOKUP(A87,tbMoveset!A2:B112,2,FALSE)="Blunt",Backdoors!AZ17/100,Backdoors!BA17/100)),"")</f>
        <v/>
      </c>
      <c r="CW87" s="49">
        <f>IFERROR(IF(VLOOKUP(tbMoveset!A87,tbMoveset!A2:H112,8,FALSE)="Other",IF(VLOOKUP(tbMoveset!A87,tbMoveset!A2:I112,9,FALSE)="Fire",Backdoors!BB17,IF(VLOOKUP(tbMoveset!A87,tbMoveset!A2:I112,9,FALSE)="Water",Backdoors!BC17,IF(VLOOKUP(tbMoveset!A87,tbMoveset!A2:I112,9,FALSE)="Thunder",Backdoors!BD17,IF(VLOOKUP(tbMoveset!A87,tbMoveset!A2:I112,9,FALSE)="Ice",Backdoors!BE17,IF(VLOOKUP(tbMoveset!A87,tbMoveset!A2:I112,9,FALSE)="Dragon",Backdoors!BF17,Backdoors!BG17)))))/100,Backdoors!BG17/100),"")</f>
        <v>0</v>
      </c>
      <c r="CX87" s="49">
        <f>IFERROR(IF(VLOOKUP(A87,tbMoveset!A2:J112,10,FALSE)=TRUE,IF((Backdoors!AI12+IF(CV87&gt;=0.45,VLOOKUP(Calculator!E23,tbSkills!DH3:DI6,2,FALSE)+IF(AND(Calculator!B8=TRUE,Backdoors!BI17=TRUE),VLOOKUP(Calculator!E23,tbSkills!DH3:DJ6,3,FALSE),0),0))&gt;=0,1+(Backdoors!AL2*(IF((Backdoors!AI12+IF(CV87&gt;=0.45,VLOOKUP(Calculator!E23,tbSkills!DH3:DI6,2,FALSE)+IF(AND(Calculator!B8=TRUE,Backdoors!BI17=TRUE),VLOOKUP(Calculator!E23,tbSkills!DH3:DJ6,3,FALSE),0),0))&gt;=100,100,(Backdoors!AI12+IF(CV87&gt;=0.45,VLOOKUP(Calculator!E23,tbSkills!DH3:DI6,2,FALSE)+IF(AND(Calculator!B8=TRUE,Backdoors!BI17=TRUE),VLOOKUP(Calculator!E23,tbSkills!DH3:DJ6,3,FALSE),0),0)))/100)),(1-(0.25*((-Backdoors!AI12-IF(CV87&gt;=0.45,VLOOKUP(Calculator!E23,tbSkills!DH3:DI6,2,FALSE)+IF(AND(Calculator!B8=TRUE,Backdoors!BI17=TRUE),VLOOKUP(Calculator!E23,tbSkills!DH3:DJ6,3,FALSE),0),0))/100)))),1),"")</f>
        <v>1</v>
      </c>
      <c r="CY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V87)*CX87)*(VLOOKUP(A87,tbMoveset!A2:C112,3,FALSE)/100)*IF(VLOOKUP(A87,tbMoveset!A2:B112,2,FALSE)="Projectile",Backdoors!N10,Backdoors!N9),0),"")</f>
        <v/>
      </c>
      <c r="CZ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V87&gt;=0.45,VLOOKUP(Calculator!E23,tbSkills!DH3:DI6,2,FALSE)+IF(AND(Calculator!B8=TRUE,Backdoors!BI17=TRUE),VLOOKUP(Calculator!E23,tbSkills!DH3:DJ6,3,FALSE),0),0))&gt;=100,100,(Backdoors!AI12+IF(CV87&gt;=0.45,VLOOKUP(Calculator!E23,tbSkills!DH3:DI6,2,FALSE)+IF(AND(Calculator!B8=TRUE,Backdoors!BI17=TRUE),VLOOKUP(Calculator!E23,tbSkills!DH3:DJ6,3,FALSE),0),0)))/100)),1))*IF(VLOOKUP(A87,tbMoveset!A2:K112,11,FALSE)=TRUE,Backdoors!AC5,1))*CW87,0),"")</f>
        <v>0</v>
      </c>
      <c r="DA87" s="49">
        <f>VLOOKUP(A87,tbMoveset!A2:G112,7,FALSE)*IFERROR(IF(Backdoors!AI12&gt;=0,1+(IF(Calculator!E40&gt;0,VLOOKUP(Calculator!E40,tbSkills!AI3:AJ5,2,FALSE),Backdoors!AL4)*(IF((Backdoors!AI12+IF(CV87&gt;=0.45,VLOOKUP(Calculator!E23,tbSkills!DH3:DI6,2,FALSE)+IF(AND(Calculator!B8=TRUE,Backdoors!BI17=TRUE),VLOOKUP(Calculator!E23,tbSkills!DH3:DJ6,3,FALSE),0),0))&gt;=100,100,(Backdoors!AI12+IF(CV87&gt;=0.45,VLOOKUP(Calculator!E23,tbSkills!DH3:DI6,2,FALSE)+IF(AND(Calculator!B8=TRUE,Backdoors!BI17=TRUE),VLOOKUP(Calculator!E23,tbSkills!DH3:DJ6,3,FALSE),0),0)))/100)),1),1)</f>
        <v>1</v>
      </c>
      <c r="DB87" s="87">
        <f t="shared" si="65"/>
        <v>0</v>
      </c>
      <c r="DC87" s="86" t="str">
        <f>IFERROR(IF(VLOOKUP(A87,tbMoveset!A2:B112,2,FALSE)="Sever",Backdoors!AY18/100,IF(VLOOKUP(A87,tbMoveset!A2:B112,2,FALSE)="Blunt",Backdoors!AZ18/100,Backdoors!BA18/100)),"")</f>
        <v/>
      </c>
      <c r="DD87" s="49">
        <f>IFERROR(IF(VLOOKUP(tbMoveset!A87,tbMoveset!A2:H112,8,FALSE)="Other",IF(VLOOKUP(tbMoveset!A87,tbMoveset!A2:I112,9,FALSE)="Fire",Backdoors!BB18,IF(VLOOKUP(tbMoveset!A87,tbMoveset!A2:I112,9,FALSE)="Water",Backdoors!BC18,IF(VLOOKUP(tbMoveset!A87,tbMoveset!A2:I112,9,FALSE)="Thunder",Backdoors!BD18,IF(VLOOKUP(tbMoveset!A87,tbMoveset!A2:I112,9,FALSE)="Ice",Backdoors!BE18,IF(VLOOKUP(tbMoveset!A87,tbMoveset!A2:I112,9,FALSE)="Dragon",Backdoors!BF18,Backdoors!BG18)))))/100,Backdoors!BG18/100),"")</f>
        <v>0</v>
      </c>
      <c r="DE87" s="49">
        <f>IFERROR(IF(VLOOKUP(A87,tbMoveset!A2:J112,10,FALSE)=TRUE,IF((Backdoors!AI12+IF(DC87&gt;=0.45,VLOOKUP(Calculator!E23,tbSkills!DH3:DI6,2,FALSE)+IF(AND(Calculator!B8=TRUE,Backdoors!BI18=TRUE),VLOOKUP(Calculator!E23,tbSkills!DH3:DJ6,3,FALSE),0),0))&gt;=0,1+(Backdoors!AL2*(IF((Backdoors!AI12+IF(DC87&gt;=0.45,VLOOKUP(Calculator!E23,tbSkills!DH3:DI6,2,FALSE)+IF(AND(Calculator!B8=TRUE,Backdoors!BI18=TRUE),VLOOKUP(Calculator!E23,tbSkills!DH3:DJ6,3,FALSE),0),0))&gt;=100,100,(Backdoors!AI12+IF(DC87&gt;=0.45,VLOOKUP(Calculator!E23,tbSkills!DH3:DI6,2,FALSE)+IF(AND(Calculator!B8=TRUE,Backdoors!BI18=TRUE),VLOOKUP(Calculator!E23,tbSkills!DH3:DJ6,3,FALSE),0),0)))/100)),(1-(0.25*((-Backdoors!AI12-IF(DC87&gt;=0.45,VLOOKUP(Calculator!E23,tbSkills!DH3:DI6,2,FALSE)+IF(AND(Calculator!B8=TRUE,Backdoors!BI18=TRUE),VLOOKUP(Calculator!E23,tbSkills!DH3:DJ6,3,FALSE),0),0))/100)))),1),"")</f>
        <v>1</v>
      </c>
      <c r="DF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C87)*DE87)*(VLOOKUP(A87,tbMoveset!A2:C112,3,FALSE)/100)*IF(VLOOKUP(A87,tbMoveset!A2:B112,2,FALSE)="Projectile",Backdoors!N10,Backdoors!N9),0),"")</f>
        <v/>
      </c>
      <c r="DG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C87&gt;=0.45,VLOOKUP(Calculator!E23,tbSkills!DH3:DI6,2,FALSE)+IF(AND(Calculator!B8=TRUE,Backdoors!BI18=TRUE),VLOOKUP(Calculator!E23,tbSkills!DH3:DJ6,3,FALSE),0),0))&gt;=100,100,(Backdoors!AI12+IF(DC87&gt;=0.45,VLOOKUP(Calculator!E23,tbSkills!DH3:DI6,2,FALSE)+IF(AND(Calculator!B8=TRUE,Backdoors!BI18=TRUE),VLOOKUP(Calculator!E23,tbSkills!DH3:DJ6,3,FALSE),0),0)))/100)),1))*IF(VLOOKUP(A87,tbMoveset!A2:K112,11,FALSE)=TRUE,Backdoors!AC5,1))*DD87,0),"")</f>
        <v>0</v>
      </c>
      <c r="DH87" s="49">
        <f>VLOOKUP(A87,tbMoveset!A2:G112,7,FALSE)*IFERROR(IF(Backdoors!AI12&gt;=0,1+(IF(Calculator!E40&gt;0,VLOOKUP(Calculator!E40,tbSkills!AI3:AJ5,2,FALSE),Backdoors!AL4)*(IF((Backdoors!AI12+IF(DC87&gt;=0.45,VLOOKUP(Calculator!E23,tbSkills!DH3:DI6,2,FALSE)+IF(AND(Calculator!B8=TRUE,Backdoors!BI18=TRUE),VLOOKUP(Calculator!E23,tbSkills!DH3:DJ6,3,FALSE),0),0))&gt;=100,100,(Backdoors!AI12+IF(DC87&gt;=0.45,VLOOKUP(Calculator!E23,tbSkills!DH3:DI6,2,FALSE)+IF(AND(Calculator!B8=TRUE,Backdoors!BI18=TRUE),VLOOKUP(Calculator!E23,tbSkills!DH3:DJ6,3,FALSE),0),0)))/100)),1),1)</f>
        <v>1</v>
      </c>
      <c r="DI87" s="87">
        <f t="shared" si="66"/>
        <v>0</v>
      </c>
      <c r="DJ87" s="86" t="str">
        <f>IFERROR(IF(VLOOKUP(A87,tbMoveset!A2:B112,2,FALSE)="Sever",Backdoors!AY19/100,IF(VLOOKUP(A87,tbMoveset!A2:B112,2,FALSE)="Blunt",Backdoors!AZ19/100,Backdoors!BA19/100)),"")</f>
        <v/>
      </c>
      <c r="DK87" s="49">
        <f>IFERROR(IF(VLOOKUP(tbMoveset!A87,tbMoveset!A2:H112,8,FALSE)="Other",IF(VLOOKUP(tbMoveset!A87,tbMoveset!A2:I112,9,FALSE)="Fire",Backdoors!BB19,IF(VLOOKUP(tbMoveset!A87,tbMoveset!A2:I112,9,FALSE)="Water",Backdoors!BC19,IF(VLOOKUP(tbMoveset!A87,tbMoveset!A2:I112,9,FALSE)="Thunder",Backdoors!BD19,IF(VLOOKUP(tbMoveset!A87,tbMoveset!A2:I112,9,FALSE)="Ice",Backdoors!BE19,IF(VLOOKUP(tbMoveset!A87,tbMoveset!A2:I112,9,FALSE)="Dragon",Backdoors!BF19,Backdoors!BG19)))))/100,Backdoors!BG19/100),"")</f>
        <v>0</v>
      </c>
      <c r="DL87" s="49">
        <f>IFERROR(IF(VLOOKUP(A87,tbMoveset!A2:J112,10,FALSE)=TRUE,IF((Backdoors!AI12+IF(DJ87&gt;=0.45,VLOOKUP(Calculator!E23,tbSkills!DH3:DI6,2,FALSE)+IF(AND(Calculator!B8=TRUE,Backdoors!BI19=TRUE),VLOOKUP(Calculator!E23,tbSkills!DH3:DJ6,3,FALSE),0),0))&gt;=0,1+(Backdoors!AL2*(IF((Backdoors!AI12+IF(DJ87&gt;=0.45,VLOOKUP(Calculator!E23,tbSkills!DH3:DI6,2,FALSE)+IF(AND(Calculator!B8=TRUE,Backdoors!BI19=TRUE),VLOOKUP(Calculator!E23,tbSkills!DH3:DJ6,3,FALSE),0),0))&gt;=100,100,(Backdoors!AI12+IF(DJ87&gt;=0.45,VLOOKUP(Calculator!E23,tbSkills!DH3:DI6,2,FALSE)+IF(AND(Calculator!B8=TRUE,Backdoors!BI19=TRUE),VLOOKUP(Calculator!E23,tbSkills!DH3:DJ6,3,FALSE),0),0)))/100)),(1-(0.25*((-Backdoors!AI12-IF(DJ87&gt;=0.45,VLOOKUP(Calculator!E23,tbSkills!DH3:DI6,2,FALSE)+IF(AND(Calculator!B8=TRUE,Backdoors!BI19=TRUE),VLOOKUP(Calculator!E23,tbSkills!DH3:DJ6,3,FALSE),0),0))/100)))),1),"")</f>
        <v>1</v>
      </c>
      <c r="DM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J87)*DL87)*(VLOOKUP(A87,tbMoveset!A2:C112,3,FALSE)/100)*IF(VLOOKUP(A87,tbMoveset!A2:B112,2,FALSE)="Projectile",Backdoors!N10,Backdoors!N9),0),"")</f>
        <v/>
      </c>
      <c r="DN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J87&gt;=0.45,VLOOKUP(Calculator!E23,tbSkills!DH3:DI6,2,FALSE)+IF(AND(Calculator!B8=TRUE,Backdoors!BI19=TRUE),VLOOKUP(Calculator!E23,tbSkills!DH3:DJ6,3,FALSE),0),0))&gt;=100,100,(Backdoors!AI12+IF(DJ87&gt;=0.45,VLOOKUP(Calculator!E23,tbSkills!DH3:DI6,2,FALSE)+IF(AND(Calculator!B8=TRUE,Backdoors!BI19=TRUE),VLOOKUP(Calculator!E23,tbSkills!DH3:DJ6,3,FALSE),0),0)))/100)),1))*IF(VLOOKUP(A87,tbMoveset!A2:K112,11,FALSE)=TRUE,Backdoors!AC5,1))*DK87,0),"")</f>
        <v>0</v>
      </c>
      <c r="DO87" s="49">
        <f>VLOOKUP(A87,tbMoveset!A2:G112,7,FALSE)*IFERROR(IF(Backdoors!AI12&gt;=0,1+(IF(Calculator!E40&gt;0,VLOOKUP(Calculator!E40,tbSkills!AI3:AJ5,2,FALSE),Backdoors!AL4)*(IF((Backdoors!AI12+IF(DJ87&gt;=0.45,VLOOKUP(Calculator!E23,tbSkills!DH3:DI6,2,FALSE)+IF(AND(Calculator!B8=TRUE,Backdoors!BI19=TRUE),VLOOKUP(Calculator!E23,tbSkills!DH3:DJ6,3,FALSE),0),0))&gt;=100,100,(Backdoors!AI12+IF(DJ87&gt;=0.45,VLOOKUP(Calculator!E23,tbSkills!DH3:DI6,2,FALSE)+IF(AND(Calculator!B8=TRUE,Backdoors!BI19=TRUE),VLOOKUP(Calculator!E23,tbSkills!DH3:DJ6,3,FALSE),0),0)))/100)),1),1)</f>
        <v>1</v>
      </c>
      <c r="DP87" s="87">
        <f t="shared" si="67"/>
        <v>0</v>
      </c>
      <c r="DQ87" s="86" t="str">
        <f>IFERROR(IF(VLOOKUP(A87,tbMoveset!A2:B112,2,FALSE)="Sever",Backdoors!AY20/100,IF(VLOOKUP(A87,tbMoveset!A2:B112,2,FALSE)="Blunt",Backdoors!AZ20/100,Backdoors!BA20/100)),"")</f>
        <v/>
      </c>
      <c r="DR87" s="49">
        <f>IFERROR(IF(VLOOKUP(tbMoveset!A87,tbMoveset!A2:H112,8,FALSE)="Other",IF(VLOOKUP(tbMoveset!A87,tbMoveset!A2:I112,9,FALSE)="Fire",Backdoors!BB20,IF(VLOOKUP(tbMoveset!A87,tbMoveset!A2:I112,9,FALSE)="Water",Backdoors!BC20,IF(VLOOKUP(tbMoveset!A87,tbMoveset!A2:I112,9,FALSE)="Thunder",Backdoors!BD20,IF(VLOOKUP(tbMoveset!A87,tbMoveset!A2:I112,9,FALSE)="Ice",Backdoors!BE20,IF(VLOOKUP(tbMoveset!A87,tbMoveset!A2:I112,9,FALSE)="Dragon",Backdoors!BF20,Backdoors!BG20)))))/100,Backdoors!BG20/100),"")</f>
        <v>0</v>
      </c>
      <c r="DS87" s="49">
        <f>IFERROR(IF(VLOOKUP(A87,tbMoveset!A2:J112,10,FALSE)=TRUE,IF((Backdoors!AI12+IF(DQ87&gt;=0.45,VLOOKUP(Calculator!E23,tbSkills!DH3:DI6,2,FALSE)+IF(AND(Calculator!B8=TRUE,Backdoors!BI20=TRUE),VLOOKUP(Calculator!E23,tbSkills!DH3:DJ6,3,FALSE),0),0))&gt;=0,1+(Backdoors!AL2*(IF((Backdoors!AI12+IF(DQ87&gt;=0.45,VLOOKUP(Calculator!E23,tbSkills!DH3:DI6,2,FALSE)+IF(AND(Calculator!B8=TRUE,Backdoors!BI20=TRUE),VLOOKUP(Calculator!E23,tbSkills!DH3:DJ6,3,FALSE),0),0))&gt;=100,100,(Backdoors!AI12+IF(DQ87&gt;=0.45,VLOOKUP(Calculator!E23,tbSkills!DH3:DI6,2,FALSE)+IF(AND(Calculator!B8=TRUE,Backdoors!BI20=TRUE),VLOOKUP(Calculator!E23,tbSkills!DH3:DJ6,3,FALSE),0),0)))/100)),(1-(0.25*((-Backdoors!AI12-IF(DQ87&gt;=0.45,VLOOKUP(Calculator!E23,tbSkills!DH3:DI6,2,FALSE)+IF(AND(Calculator!B8=TRUE,Backdoors!BI20=TRUE),VLOOKUP(Calculator!E23,tbSkills!DH3:DJ6,3,FALSE),0),0))/100)))),1),"")</f>
        <v>1</v>
      </c>
      <c r="DT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Q87)*DS87)*(VLOOKUP(A87,tbMoveset!A2:C112,3,FALSE)/100)*IF(VLOOKUP(A87,tbMoveset!A2:B112,2,FALSE)="Projectile",Backdoors!N10,Backdoors!N9),0),"")</f>
        <v/>
      </c>
      <c r="DU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Q87&gt;=0.45,VLOOKUP(Calculator!E23,tbSkills!DH3:DI6,2,FALSE)+IF(AND(Calculator!B8=TRUE,Backdoors!BI20=TRUE),VLOOKUP(Calculator!E23,tbSkills!DH3:DJ6,3,FALSE),0),0))&gt;=100,100,(Backdoors!AI12+IF(DQ87&gt;=0.45,VLOOKUP(Calculator!E23,tbSkills!DH3:DI6,2,FALSE)+IF(AND(Calculator!B8=TRUE,Backdoors!BI20=TRUE),VLOOKUP(Calculator!E23,tbSkills!DH3:DJ6,3,FALSE),0),0)))/100)),1))*IF(VLOOKUP(A87,tbMoveset!A2:K112,11,FALSE)=TRUE,Backdoors!AC5,1))*DR87,0),"")</f>
        <v>0</v>
      </c>
      <c r="DV87" s="49">
        <f>VLOOKUP(A87,tbMoveset!A2:G112,7,FALSE)*IFERROR(IF(Backdoors!AI12&gt;=0,1+(IF(Calculator!E40&gt;0,VLOOKUP(Calculator!E40,tbSkills!AI3:AJ5,2,FALSE),Backdoors!AL4)*(IF((Backdoors!AI12+IF(DQ87&gt;=0.45,VLOOKUP(Calculator!E23,tbSkills!DH3:DI6,2,FALSE)+IF(AND(Calculator!B8=TRUE,Backdoors!BI20=TRUE),VLOOKUP(Calculator!E23,tbSkills!DH3:DJ6,3,FALSE),0),0))&gt;=100,100,(Backdoors!AI12+IF(DQ87&gt;=0.45,VLOOKUP(Calculator!E23,tbSkills!DH3:DI6,2,FALSE)+IF(AND(Calculator!B8=TRUE,Backdoors!BI20=TRUE),VLOOKUP(Calculator!E23,tbSkills!DH3:DJ6,3,FALSE),0),0)))/100)),1),1)</f>
        <v>1</v>
      </c>
      <c r="DW87" s="87">
        <f t="shared" si="68"/>
        <v>0</v>
      </c>
      <c r="DX87" s="86" t="str">
        <f>IFERROR(IF(VLOOKUP(A87,tbMoveset!A2:B112,2,FALSE)="Sever",Backdoors!AY21/100,IF(VLOOKUP(A87,tbMoveset!A2:B112,2,FALSE)="Blunt",Backdoors!AZ21/100,Backdoors!BA21/100)),"")</f>
        <v/>
      </c>
      <c r="DY87" s="49">
        <f>IFERROR(IF(VLOOKUP(tbMoveset!A87,tbMoveset!A2:H112,8,FALSE)="Other",IF(VLOOKUP(tbMoveset!A87,tbMoveset!A2:I112,9,FALSE)="Fire",Backdoors!BB21,IF(VLOOKUP(tbMoveset!A87,tbMoveset!A2:I112,9,FALSE)="Water",Backdoors!BC21,IF(VLOOKUP(tbMoveset!A87,tbMoveset!A2:I112,9,FALSE)="Thunder",Backdoors!BD21,IF(VLOOKUP(tbMoveset!A87,tbMoveset!A2:I112,9,FALSE)="Ice",Backdoors!BE21,IF(VLOOKUP(tbMoveset!A87,tbMoveset!A2:I112,9,FALSE)="Dragon",Backdoors!BF21,Backdoors!BG21)))))/100,Backdoors!BG21/100),"")</f>
        <v>0</v>
      </c>
      <c r="DZ87" s="49">
        <f>IFERROR(IF(VLOOKUP(A87,tbMoveset!A2:J112,10,FALSE)=TRUE,IF((Backdoors!AI12+IF(DX87&gt;=0.45,VLOOKUP(Calculator!E23,tbSkills!DH3:DI6,2,FALSE)+IF(AND(Calculator!B8=TRUE,Backdoors!BI21=TRUE),VLOOKUP(Calculator!E23,tbSkills!DH3:DJ6,3,FALSE),0),0))&gt;=0,1+(Backdoors!AL2*(IF((Backdoors!AI12+IF(DX87&gt;=0.45,VLOOKUP(Calculator!E23,tbSkills!DH3:DI6,2,FALSE)+IF(AND(Calculator!B8=TRUE,Backdoors!BI21=TRUE),VLOOKUP(Calculator!E23,tbSkills!DH3:DJ6,3,FALSE),0),0))&gt;=100,100,(Backdoors!AI12+IF(DX87&gt;=0.45,VLOOKUP(Calculator!E23,tbSkills!DH3:DI6,2,FALSE)+IF(AND(Calculator!B8=TRUE,Backdoors!BI21=TRUE),VLOOKUP(Calculator!E23,tbSkills!DH3:DJ6,3,FALSE),0),0)))/100)),(1-(0.25*((-Backdoors!AI12-IF(DX87&gt;=0.45,VLOOKUP(Calculator!E23,tbSkills!DH3:DI6,2,FALSE)+IF(AND(Calculator!B8=TRUE,Backdoors!BI21=TRUE),VLOOKUP(Calculator!E23,tbSkills!DH3:DJ6,3,FALSE),0),0))/100)))),1),"")</f>
        <v>1</v>
      </c>
      <c r="EA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X87)*DZ87)*(VLOOKUP(A87,tbMoveset!A2:C112,3,FALSE)/100)*IF(VLOOKUP(A87,tbMoveset!A2:B112,2,FALSE)="Projectile",Backdoors!N10,Backdoors!N9),0),"")</f>
        <v/>
      </c>
      <c r="EB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X87&gt;=0.45,VLOOKUP(Calculator!E23,tbSkills!DH3:DI6,2,FALSE)+IF(AND(Calculator!B8=TRUE,Backdoors!BI21=TRUE),VLOOKUP(Calculator!E23,tbSkills!DH3:DJ6,3,FALSE),0),0))&gt;=100,100,(Backdoors!AI12+IF(DX87&gt;=0.45,VLOOKUP(Calculator!E23,tbSkills!DH3:DI6,2,FALSE)+IF(AND(Calculator!B8=TRUE,Backdoors!BI21=TRUE),VLOOKUP(Calculator!E23,tbSkills!DH3:DJ6,3,FALSE),0),0)))/100)),1))*IF(VLOOKUP(A87,tbMoveset!A2:K112,11,FALSE)=TRUE,Backdoors!AC5,1))*DY87,0),"")</f>
        <v>0</v>
      </c>
      <c r="EC87" s="49">
        <f>VLOOKUP(A87,tbMoveset!A2:G112,7,FALSE)*IFERROR(IF(Backdoors!AI12&gt;=0,1+(IF(Calculator!E40&gt;0,VLOOKUP(Calculator!E40,tbSkills!AI3:AJ5,2,FALSE),Backdoors!AL4)*(IF((Backdoors!AI12+IF(DX87&gt;=0.45,VLOOKUP(Calculator!E23,tbSkills!DH3:DI6,2,FALSE)+IF(AND(Calculator!B8=TRUE,Backdoors!BI21=TRUE),VLOOKUP(Calculator!E23,tbSkills!DH3:DJ6,3,FALSE),0),0))&gt;=100,100,(Backdoors!AI12+IF(DX87&gt;=0.45,VLOOKUP(Calculator!E23,tbSkills!DH3:DI6,2,FALSE)+IF(AND(Calculator!B8=TRUE,Backdoors!BI21=TRUE),VLOOKUP(Calculator!E23,tbSkills!DH3:DJ6,3,FALSE),0),0)))/100)),1),1)</f>
        <v>1</v>
      </c>
      <c r="ED87" s="87">
        <f t="shared" si="69"/>
        <v>0</v>
      </c>
      <c r="EE87" s="86" t="str">
        <f>IFERROR(IF(VLOOKUP(A87,tbMoveset!A2:B112,2,FALSE)="Sever",Backdoors!AY22/100,IF(VLOOKUP(A87,tbMoveset!A2:B112,2,FALSE)="Blunt",Backdoors!AZ22/100,Backdoors!BA22/100)),"")</f>
        <v/>
      </c>
      <c r="EF87" s="49">
        <f>IFERROR(IF(VLOOKUP(tbMoveset!A87,tbMoveset!A2:H112,8,FALSE)="Other",IF(VLOOKUP(tbMoveset!A87,tbMoveset!A2:I112,9,FALSE)="Fire",Backdoors!BB22,IF(VLOOKUP(tbMoveset!A87,tbMoveset!A2:I112,9,FALSE)="Water",Backdoors!BC22,IF(VLOOKUP(tbMoveset!A87,tbMoveset!A2:I112,9,FALSE)="Thunder",Backdoors!BD22,IF(VLOOKUP(tbMoveset!A87,tbMoveset!A2:I112,9,FALSE)="Ice",Backdoors!BE22,IF(VLOOKUP(tbMoveset!A87,tbMoveset!A2:I112,9,FALSE)="Dragon",Backdoors!BF22,Backdoors!BG22)))))/100,Backdoors!BG22/100),"")</f>
        <v>0</v>
      </c>
      <c r="EG87" s="49">
        <f>IFERROR(IF(VLOOKUP(A87,tbMoveset!A2:J112,10,FALSE)=TRUE,IF((Backdoors!AI12+IF(EE87&gt;=0.45,VLOOKUP(Calculator!E23,tbSkills!DH3:DI6,2,FALSE)+IF(AND(Calculator!B8=TRUE,Backdoors!BI22=TRUE),VLOOKUP(Calculator!E23,tbSkills!DH3:DJ6,3,FALSE),0),0))&gt;=0,1+(Backdoors!AL2*(IF((Backdoors!AI12+IF(EE87&gt;=0.45,VLOOKUP(Calculator!E23,tbSkills!DH3:DI6,2,FALSE)+IF(AND(Calculator!B8=TRUE,Backdoors!BI22=TRUE),VLOOKUP(Calculator!E23,tbSkills!DH3:DJ6,3,FALSE),0),0))&gt;=100,100,(Backdoors!AI12+IF(EE87&gt;=0.45,VLOOKUP(Calculator!E23,tbSkills!DH3:DI6,2,FALSE)+IF(AND(Calculator!B8=TRUE,Backdoors!BI22=TRUE),VLOOKUP(Calculator!E23,tbSkills!DH3:DJ6,3,FALSE),0),0)))/100)),(1-(0.25*((-Backdoors!AI12-IF(EE87&gt;=0.45,VLOOKUP(Calculator!E23,tbSkills!DH3:DI6,2,FALSE)+IF(AND(Calculator!B8=TRUE,Backdoors!BI22=TRUE),VLOOKUP(Calculator!E23,tbSkills!DH3:DJ6,3,FALSE),0),0))/100)))),1),"")</f>
        <v>1</v>
      </c>
      <c r="EH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E87)*EG87)*(VLOOKUP(A87,tbMoveset!A2:C112,3,FALSE)/100)*IF(VLOOKUP(A87,tbMoveset!A2:B112,2,FALSE)="Projectile",Backdoors!N10,Backdoors!N9),0),"")</f>
        <v/>
      </c>
      <c r="EI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E87&gt;=0.45,VLOOKUP(Calculator!E23,tbSkills!DH3:DI6,2,FALSE)+IF(AND(Calculator!B8=TRUE,Backdoors!BI22=TRUE),VLOOKUP(Calculator!E23,tbSkills!DH3:DJ6,3,FALSE),0),0))&gt;=100,100,(Backdoors!AI12+IF(EE87&gt;=0.45,VLOOKUP(Calculator!E23,tbSkills!DH3:DI6,2,FALSE)+IF(AND(Calculator!B8=TRUE,Backdoors!BI22=TRUE),VLOOKUP(Calculator!E23,tbSkills!DH3:DJ6,3,FALSE),0),0)))/100)),1))*IF(VLOOKUP(A87,tbMoveset!A2:K112,11,FALSE)=TRUE,Backdoors!AC5,1))*EF87,0),"")</f>
        <v>0</v>
      </c>
      <c r="EJ87" s="49">
        <f>VLOOKUP(A87,tbMoveset!A2:G112,7,FALSE)*IFERROR(IF(Backdoors!AI12&gt;=0,1+(IF(Calculator!E40&gt;0,VLOOKUP(Calculator!E40,tbSkills!AI3:AJ5,2,FALSE),Backdoors!AL4)*(IF((Backdoors!AI12+IF(EE87&gt;=0.45,VLOOKUP(Calculator!E23,tbSkills!DH3:DI6,2,FALSE)+IF(AND(Calculator!B8=TRUE,Backdoors!BI22=TRUE),VLOOKUP(Calculator!E23,tbSkills!DH3:DJ6,3,FALSE),0),0))&gt;=100,100,(Backdoors!AI12+IF(EE87&gt;=0.45,VLOOKUP(Calculator!E23,tbSkills!DH3:DI6,2,FALSE)+IF(AND(Calculator!B8=TRUE,Backdoors!BI22=TRUE),VLOOKUP(Calculator!E23,tbSkills!DH3:DJ6,3,FALSE),0),0)))/100)),1),1)</f>
        <v>1</v>
      </c>
      <c r="EK87" s="87">
        <f t="shared" si="70"/>
        <v>0</v>
      </c>
      <c r="EL87" s="86" t="str">
        <f>IFERROR(IF(VLOOKUP(A87,tbMoveset!A2:B112,2,FALSE)="Sever",Backdoors!AY23/100,IF(VLOOKUP(A87,tbMoveset!A2:B112,2,FALSE)="Blunt",Backdoors!AZ23/100,Backdoors!BA23/100)),"")</f>
        <v/>
      </c>
      <c r="EM87" s="49">
        <f>IFERROR(IF(VLOOKUP(tbMoveset!A87,tbMoveset!A2:H112,8,FALSE)="Other",IF(VLOOKUP(tbMoveset!A87,tbMoveset!A2:I112,9,FALSE)="Fire",Backdoors!BB23,IF(VLOOKUP(tbMoveset!A87,tbMoveset!A2:I112,9,FALSE)="Water",Backdoors!BC23,IF(VLOOKUP(tbMoveset!A87,tbMoveset!A2:I112,9,FALSE)="Thunder",Backdoors!BD23,IF(VLOOKUP(tbMoveset!A87,tbMoveset!A2:I112,9,FALSE)="Ice",Backdoors!BE23,IF(VLOOKUP(tbMoveset!A87,tbMoveset!A2:I112,9,FALSE)="Dragon",Backdoors!BF23,Backdoors!BG23)))))/100,Backdoors!BG23/100),"")</f>
        <v>0</v>
      </c>
      <c r="EN87" s="49">
        <f>IFERROR(IF(VLOOKUP(A87,tbMoveset!A2:J112,10,FALSE)=TRUE,IF((Backdoors!AI12+IF(EL87&gt;=0.45,VLOOKUP(Calculator!E23,tbSkills!DH3:DI6,2,FALSE)+IF(AND(Calculator!B8=TRUE,Backdoors!BI23=TRUE),VLOOKUP(Calculator!E23,tbSkills!DH3:DJ6,3,FALSE),0),0))&gt;=0,1+(Backdoors!AL2*(IF((Backdoors!AI12+IF(EL87&gt;=0.45,VLOOKUP(Calculator!E23,tbSkills!DH3:DI6,2,FALSE)+IF(AND(Calculator!B8=TRUE,Backdoors!BI23=TRUE),VLOOKUP(Calculator!E23,tbSkills!DH3:DJ6,3,FALSE),0),0))&gt;=100,100,(Backdoors!AI12+IF(EL87&gt;=0.45,VLOOKUP(Calculator!E23,tbSkills!DH3:DI6,2,FALSE)+IF(AND(Calculator!B8=TRUE,Backdoors!BI23=TRUE),VLOOKUP(Calculator!E23,tbSkills!DH3:DJ6,3,FALSE),0),0)))/100)),(1-(0.25*((-Backdoors!AI12-IF(EL87&gt;=0.45,VLOOKUP(Calculator!E23,tbSkills!DH3:DI6,2,FALSE)+IF(AND(Calculator!B8=TRUE,Backdoors!BI23=TRUE),VLOOKUP(Calculator!E23,tbSkills!DH3:DJ6,3,FALSE),0),0))/100)))),1),"")</f>
        <v>1</v>
      </c>
      <c r="EO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L87)*EN87)*(VLOOKUP(A87,tbMoveset!A2:C112,3,FALSE)/100)*IF(VLOOKUP(A87,tbMoveset!A2:B112,2,FALSE)="Projectile",Backdoors!N10,Backdoors!N9),0),"")</f>
        <v/>
      </c>
      <c r="EP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L87&gt;=0.45,VLOOKUP(Calculator!E23,tbSkills!DH3:DI6,2,FALSE)+IF(AND(Calculator!B8=TRUE,Backdoors!BI23=TRUE),VLOOKUP(Calculator!E23,tbSkills!DH3:DJ6,3,FALSE),0),0))&gt;=100,100,(Backdoors!AI12+IF(EL87&gt;=0.45,VLOOKUP(Calculator!E23,tbSkills!DH3:DI6,2,FALSE)+IF(AND(Calculator!B8=TRUE,Backdoors!BI23=TRUE),VLOOKUP(Calculator!E23,tbSkills!DH3:DJ6,3,FALSE),0),0)))/100)),1))*IF(VLOOKUP(A87,tbMoveset!A2:K112,11,FALSE)=TRUE,Backdoors!AC5,1))*EM87,0),"")</f>
        <v>0</v>
      </c>
      <c r="EQ87" s="49">
        <f>VLOOKUP(A87,tbMoveset!A2:G112,7,FALSE)*IFERROR(IF(Backdoors!AI12&gt;=0,1+(IF(Calculator!E40&gt;0,VLOOKUP(Calculator!E40,tbSkills!AI3:AJ5,2,FALSE),Backdoors!AL4)*(IF((Backdoors!AI12+IF(EL87&gt;=0.45,VLOOKUP(Calculator!E23,tbSkills!DH3:DI6,2,FALSE)+IF(AND(Calculator!B8=TRUE,Backdoors!BI23=TRUE),VLOOKUP(Calculator!E23,tbSkills!DH3:DJ6,3,FALSE),0),0))&gt;=100,100,(Backdoors!AI12+IF(EL87&gt;=0.45,VLOOKUP(Calculator!E23,tbSkills!DH3:DI6,2,FALSE)+IF(AND(Calculator!B8=TRUE,Backdoors!BI23=TRUE),VLOOKUP(Calculator!E23,tbSkills!DH3:DJ6,3,FALSE),0),0)))/100)),1),1)</f>
        <v>1</v>
      </c>
      <c r="ER87" s="87">
        <f t="shared" si="71"/>
        <v>0</v>
      </c>
      <c r="ES87" s="86" t="str">
        <f>IFERROR(IF(VLOOKUP(A87,tbMoveset!A2:B112,2,FALSE)="Sever",Backdoors!AY24/100,IF(VLOOKUP(A87,tbMoveset!A2:B112,2,FALSE)="Blunt",Backdoors!AZ24/100,Backdoors!BA24/100)),"")</f>
        <v/>
      </c>
      <c r="ET87" s="49">
        <f>IFERROR(IF(VLOOKUP(tbMoveset!A87,tbMoveset!A2:H112,8,FALSE)="Other",IF(VLOOKUP(tbMoveset!A87,tbMoveset!A2:I112,9,FALSE)="Fire",Backdoors!BB24,IF(VLOOKUP(tbMoveset!A87,tbMoveset!A2:I112,9,FALSE)="Water",Backdoors!BC24,IF(VLOOKUP(tbMoveset!A87,tbMoveset!A2:I112,9,FALSE)="Thunder",Backdoors!BD24,IF(VLOOKUP(tbMoveset!A87,tbMoveset!A2:I112,9,FALSE)="Ice",Backdoors!BE24,IF(VLOOKUP(tbMoveset!A87,tbMoveset!A2:I112,9,FALSE)="Dragon",Backdoors!BF24,Backdoors!BG24)))))/100,Backdoors!BG24/100),"")</f>
        <v>0</v>
      </c>
      <c r="EU87" s="49">
        <f>IFERROR(IF(VLOOKUP(A87,tbMoveset!A2:J112,10,FALSE)=TRUE,IF((Backdoors!AI12+IF(ES87&gt;=0.45,VLOOKUP(Calculator!E23,tbSkills!DH3:DI6,2,FALSE)+IF(AND(Calculator!B8=TRUE,Backdoors!BI24=TRUE),VLOOKUP(Calculator!E23,tbSkills!DH3:DJ6,3,FALSE),0),0))&gt;=0,1+(Backdoors!AL2*(IF((Backdoors!AI12+IF(ES87&gt;=0.45,VLOOKUP(Calculator!E23,tbSkills!DH3:DI6,2,FALSE)+IF(AND(Calculator!B8=TRUE,Backdoors!BI24=TRUE),VLOOKUP(Calculator!E23,tbSkills!DH3:DJ6,3,FALSE),0),0))&gt;=100,100,(Backdoors!AI12+IF(ES87&gt;=0.45,VLOOKUP(Calculator!E23,tbSkills!DH3:DI6,2,FALSE)+IF(AND(Calculator!B8=TRUE,Backdoors!BI24=TRUE),VLOOKUP(Calculator!E23,tbSkills!DH3:DJ6,3,FALSE),0),0)))/100)),(1-(0.25*((-Backdoors!AI12-IF(ES87&gt;=0.45,VLOOKUP(Calculator!E23,tbSkills!DH3:DI6,2,FALSE)+IF(AND(Calculator!B8=TRUE,Backdoors!BI24=TRUE),VLOOKUP(Calculator!E23,tbSkills!DH3:DJ6,3,FALSE),0),0))/100)))),1),"")</f>
        <v>1</v>
      </c>
      <c r="EV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S87)*EU87)*(VLOOKUP(A87,tbMoveset!A2:C112,3,FALSE)/100)*IF(VLOOKUP(A87,tbMoveset!A2:B112,2,FALSE)="Projectile",Backdoors!N10,Backdoors!N9),0),"")</f>
        <v/>
      </c>
      <c r="EW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S87&gt;=0.45,VLOOKUP(Calculator!E23,tbSkills!DH3:DI6,2,FALSE)+IF(AND(Calculator!B8=TRUE,Backdoors!BI24=TRUE),VLOOKUP(Calculator!E23,tbSkills!DH3:DJ6,3,FALSE),0),0))&gt;=100,100,(Backdoors!AI12+IF(ES87&gt;=0.45,VLOOKUP(Calculator!E23,tbSkills!DH3:DI6,2,FALSE)+IF(AND(Calculator!B8=TRUE,Backdoors!BI24=TRUE),VLOOKUP(Calculator!E23,tbSkills!DH3:DJ6,3,FALSE),0),0)))/100)),1))*IF(VLOOKUP(A87,tbMoveset!A2:K112,11,FALSE)=TRUE,Backdoors!AC5,1))*ET87,0),"")</f>
        <v>0</v>
      </c>
      <c r="EX87" s="49">
        <f>VLOOKUP(A87,tbMoveset!A2:G112,7,FALSE)*IFERROR(IF(Backdoors!AI12&gt;=0,1+(IF(Calculator!E40&gt;0,VLOOKUP(Calculator!E40,tbSkills!AI3:AJ5,2,FALSE),Backdoors!AL4)*(IF((Backdoors!AI12+IF(ES87&gt;=0.45,VLOOKUP(Calculator!E23,tbSkills!DH3:DI6,2,FALSE)+IF(AND(Calculator!B8=TRUE,Backdoors!BI24=TRUE),VLOOKUP(Calculator!E23,tbSkills!DH3:DJ6,3,FALSE),0),0))&gt;=100,100,(Backdoors!AI12+IF(ES87&gt;=0.45,VLOOKUP(Calculator!E23,tbSkills!DH3:DI6,2,FALSE)+IF(AND(Calculator!B8=TRUE,Backdoors!BI24=TRUE),VLOOKUP(Calculator!E23,tbSkills!DH3:DJ6,3,FALSE),0),0)))/100)),1),1)</f>
        <v>1</v>
      </c>
      <c r="EY87" s="87">
        <f t="shared" si="72"/>
        <v>0</v>
      </c>
      <c r="EZ87" s="86" t="str">
        <f>IFERROR(IF(VLOOKUP(A87,tbMoveset!A2:B112,2,FALSE)="Sever",Backdoors!AY25/100,IF(VLOOKUP(A87,tbMoveset!A2:B112,2,FALSE)="Blunt",Backdoors!AZ25/100,Backdoors!BA25/100)),"")</f>
        <v/>
      </c>
      <c r="FA87" s="49">
        <f>IFERROR(IF(VLOOKUP(tbMoveset!A87,tbMoveset!A2:H112,8,FALSE)="Other",IF(VLOOKUP(tbMoveset!A87,tbMoveset!A2:I112,9,FALSE)="Fire",Backdoors!BB25,IF(VLOOKUP(tbMoveset!A87,tbMoveset!A2:I112,9,FALSE)="Water",Backdoors!BC25,IF(VLOOKUP(tbMoveset!A87,tbMoveset!A2:I112,9,FALSE)="Thunder",Backdoors!BD25,IF(VLOOKUP(tbMoveset!A87,tbMoveset!A2:I112,9,FALSE)="Ice",Backdoors!BE25,IF(VLOOKUP(tbMoveset!A87,tbMoveset!A2:I112,9,FALSE)="Dragon",Backdoors!BF25,Backdoors!BG25)))))/100,Backdoors!BG25/100),"")</f>
        <v>0</v>
      </c>
      <c r="FB87" s="49">
        <f>IFERROR(IF(VLOOKUP(A87,tbMoveset!A2:J112,10,FALSE)=TRUE,IF((Backdoors!AI12+IF(EZ87&gt;=0.45,VLOOKUP(Calculator!E23,tbSkills!DH3:DI6,2,FALSE)+IF(AND(Calculator!B8=TRUE,Backdoors!BI25=TRUE),VLOOKUP(Calculator!E23,tbSkills!DH3:DJ6,3,FALSE),0),0))&gt;=0,1+(Backdoors!AL2*(IF((Backdoors!AI12+IF(EZ87&gt;=0.45,VLOOKUP(Calculator!E23,tbSkills!DH3:DI6,2,FALSE)+IF(AND(Calculator!B8=TRUE,Backdoors!BI25=TRUE),VLOOKUP(Calculator!E23,tbSkills!DH3:DJ6,3,FALSE),0),0))&gt;=100,100,(Backdoors!AI12+IF(EZ87&gt;=0.45,VLOOKUP(Calculator!E23,tbSkills!DH3:DI6,2,FALSE)+IF(AND(Calculator!B8=TRUE,Backdoors!BI25=TRUE),VLOOKUP(Calculator!E23,tbSkills!DH3:DJ6,3,FALSE),0),0)))/100)),(1-(0.25*((-Backdoors!AI12-IF(EZ87&gt;=0.45,VLOOKUP(Calculator!E23,tbSkills!DH3:DI6,2,FALSE)+IF(AND(Calculator!B8=TRUE,Backdoors!BI25=TRUE),VLOOKUP(Calculator!E23,tbSkills!DH3:DJ6,3,FALSE),0),0))/100)))),1),"")</f>
        <v>1</v>
      </c>
      <c r="FC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Z87)*FB87)*(VLOOKUP(A87,tbMoveset!A2:C112,3,FALSE)/100)*IF(VLOOKUP(A87,tbMoveset!A2:B112,2,FALSE)="Projectile",Backdoors!N10,Backdoors!N9),0),"")</f>
        <v/>
      </c>
      <c r="FD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Z87&gt;=0.45,VLOOKUP(Calculator!E23,tbSkills!DH3:DI6,2,FALSE)+IF(AND(Calculator!B8=TRUE,Backdoors!BI25=TRUE),VLOOKUP(Calculator!E23,tbSkills!DH3:DJ6,3,FALSE),0),0))&gt;=100,100,(Backdoors!AI12+IF(EZ87&gt;=0.45,VLOOKUP(Calculator!E23,tbSkills!DH3:DI6,2,FALSE)+IF(AND(Calculator!B8=TRUE,Backdoors!BI25=TRUE),VLOOKUP(Calculator!E23,tbSkills!DH3:DJ6,3,FALSE),0),0)))/100)),1))*IF(VLOOKUP(A87,tbMoveset!A2:K112,11,FALSE)=TRUE,Backdoors!AC5,1))*FA87,0),"")</f>
        <v>0</v>
      </c>
      <c r="FE87" s="49">
        <f>VLOOKUP(A87,tbMoveset!A2:G112,7,FALSE)*IFERROR(IF(Backdoors!AI12&gt;=0,1+(IF(Calculator!E40&gt;0,VLOOKUP(Calculator!E40,tbSkills!AI3:AJ5,2,FALSE),Backdoors!AL4)*(IF((Backdoors!AI12+IF(EZ87&gt;=0.45,VLOOKUP(Calculator!E23,tbSkills!DH3:DI6,2,FALSE)+IF(AND(Calculator!B8=TRUE,Backdoors!BI25=TRUE),VLOOKUP(Calculator!E23,tbSkills!DH3:DJ6,3,FALSE),0),0))&gt;=100,100,(Backdoors!AI12+IF(EZ87&gt;=0.45,VLOOKUP(Calculator!E23,tbSkills!DH3:DI6,2,FALSE)+IF(AND(Calculator!B8=TRUE,Backdoors!BI25=TRUE),VLOOKUP(Calculator!E23,tbSkills!DH3:DJ6,3,FALSE),0),0)))/100)),1),1)</f>
        <v>1</v>
      </c>
      <c r="FF87" s="87">
        <f t="shared" si="73"/>
        <v>0</v>
      </c>
      <c r="FG87" s="86" t="str">
        <f>IFERROR(IF(VLOOKUP(A87,tbMoveset!A2:B112,2,FALSE)="Sever",Backdoors!AY26/100,IF(VLOOKUP(A87,tbMoveset!A2:B112,2,FALSE)="Blunt",Backdoors!AZ26/100,Backdoors!BA26/100)),"")</f>
        <v/>
      </c>
      <c r="FH87" s="49">
        <f>IFERROR(IF(VLOOKUP(tbMoveset!A87,tbMoveset!A2:H112,8,FALSE)="Other",IF(VLOOKUP(tbMoveset!A87,tbMoveset!A2:I112,9,FALSE)="Fire",Backdoors!BB26,IF(VLOOKUP(tbMoveset!A87,tbMoveset!A2:I112,9,FALSE)="Water",Backdoors!BC26,IF(VLOOKUP(tbMoveset!A87,tbMoveset!A2:I112,9,FALSE)="Thunder",Backdoors!BD26,IF(VLOOKUP(tbMoveset!A87,tbMoveset!A2:I112,9,FALSE)="Ice",Backdoors!BE26,IF(VLOOKUP(tbMoveset!A87,tbMoveset!A2:I112,9,FALSE)="Dragon",Backdoors!BF26,Backdoors!BG26)))))/100,Backdoors!BG26/100),"")</f>
        <v>0</v>
      </c>
      <c r="FI87" s="49">
        <f>IFERROR(IF(VLOOKUP(A87,tbMoveset!A2:J112,10,FALSE)=TRUE,IF((Backdoors!AI12+IF(FG87&gt;=0.45,VLOOKUP(Calculator!E23,tbSkills!DH3:DI6,2,FALSE)+IF(AND(Calculator!B8=TRUE,Backdoors!BI26=TRUE),VLOOKUP(Calculator!E23,tbSkills!DH3:DJ6,3,FALSE),0),0))&gt;=0,1+(Backdoors!AL2*(IF((Backdoors!AI12+IF(FG87&gt;=0.45,VLOOKUP(Calculator!E23,tbSkills!DH3:DI6,2,FALSE)+IF(AND(Calculator!B8=TRUE,Backdoors!BI26=TRUE),VLOOKUP(Calculator!E23,tbSkills!DH3:DJ6,3,FALSE),0),0))&gt;=100,100,(Backdoors!AI12+IF(FG87&gt;=0.45,VLOOKUP(Calculator!E23,tbSkills!DH3:DI6,2,FALSE)+IF(AND(Calculator!B8=TRUE,Backdoors!BI26=TRUE),VLOOKUP(Calculator!E23,tbSkills!DH3:DJ6,3,FALSE),0),0)))/100)),(1-(0.25*((-Backdoors!AI12-IF(FG87&gt;=0.45,VLOOKUP(Calculator!E23,tbSkills!DH3:DI6,2,FALSE)+IF(AND(Calculator!B8=TRUE,Backdoors!BI26=TRUE),VLOOKUP(Calculator!E23,tbSkills!DH3:DJ6,3,FALSE),0),0))/100)))),1),"")</f>
        <v>1</v>
      </c>
      <c r="FJ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FG87)*FI87)*(VLOOKUP(A87,tbMoveset!A2:C112,3,FALSE)/100)*IF(VLOOKUP(A87,tbMoveset!A2:B112,2,FALSE)="Projectile",Backdoors!N10,Backdoors!N9),0),"")</f>
        <v/>
      </c>
      <c r="FK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FG87&gt;=0.45,VLOOKUP(Calculator!E23,tbSkills!DH3:DI6,2,FALSE)+IF(AND(Calculator!B8=TRUE,Backdoors!BI26=TRUE),VLOOKUP(Calculator!E23,tbSkills!DH3:DJ6,3,FALSE),0),0))&gt;=100,100,(Backdoors!AI12+IF(FG87&gt;=0.45,VLOOKUP(Calculator!E23,tbSkills!DH3:DI6,2,FALSE)+IF(AND(Calculator!B8=TRUE,Backdoors!BI26=TRUE),VLOOKUP(Calculator!E23,tbSkills!DH3:DJ6,3,FALSE),0),0)))/100)),1))*IF(VLOOKUP(A87,tbMoveset!A2:K112,11,FALSE)=TRUE,Backdoors!AC5,1))*FH87,0),"")</f>
        <v>0</v>
      </c>
      <c r="FL87" s="49">
        <f>VLOOKUP(A87,tbMoveset!A2:G112,7,FALSE)*IFERROR(IF(Backdoors!AI12&gt;=0,1+(IF(Calculator!E40&gt;0,VLOOKUP(Calculator!E40,tbSkills!AI3:AJ5,2,FALSE),Backdoors!AL4)*(IF((Backdoors!AI12+IF(FG87&gt;=0.45,VLOOKUP(Calculator!E23,tbSkills!DH3:DI6,2,FALSE)+IF(AND(Calculator!B8=TRUE,Backdoors!BI26=TRUE),VLOOKUP(Calculator!E23,tbSkills!DH3:DJ6,3,FALSE),0),0))&gt;=100,100,(Backdoors!AI12+IF(FG87&gt;=0.45,VLOOKUP(Calculator!E23,tbSkills!DH3:DI6,2,FALSE)+IF(AND(Calculator!B8=TRUE,Backdoors!BI26=TRUE),VLOOKUP(Calculator!E23,tbSkills!DH3:DJ6,3,FALSE),0),0)))/100)),1),1)</f>
        <v>1</v>
      </c>
      <c r="FM87" s="87">
        <f t="shared" si="74"/>
        <v>0</v>
      </c>
      <c r="FN87" s="86" t="str">
        <f>IFERROR(IF(VLOOKUP(A87,tbMoveset!A2:B112,2,FALSE)="Sever",Backdoors!AY27/100,IF(VLOOKUP(A87,tbMoveset!A2:B112,2,FALSE)="Blunt",Backdoors!AZ27/100,Backdoors!BA27/100)),"")</f>
        <v/>
      </c>
      <c r="FO87" s="49">
        <f>IFERROR(IF(VLOOKUP(tbMoveset!A87,tbMoveset!A2:H112,8,FALSE)="Other",IF(VLOOKUP(tbMoveset!A87,tbMoveset!A2:I112,9,FALSE)="Fire",Backdoors!BB27,IF(VLOOKUP(tbMoveset!A87,tbMoveset!A2:I112,9,FALSE)="Water",Backdoors!BC27,IF(VLOOKUP(tbMoveset!A87,tbMoveset!A2:I112,9,FALSE)="Thunder",Backdoors!BD27,IF(VLOOKUP(tbMoveset!A87,tbMoveset!A2:I112,9,FALSE)="Ice",Backdoors!BE27,IF(VLOOKUP(tbMoveset!A87,tbMoveset!A2:I112,9,FALSE)="Dragon",Backdoors!BF27,Backdoors!BG27)))))/100,Backdoors!BG27/100),"")</f>
        <v>0</v>
      </c>
      <c r="FP87" s="49">
        <f>IFERROR(IF(VLOOKUP(A87,tbMoveset!A2:J112,10,FALSE)=TRUE,IF((Backdoors!AI12+IF(FN87&gt;=0.45,VLOOKUP(Calculator!E23,tbSkills!DH3:DI6,2,FALSE)+IF(AND(Calculator!B8=TRUE,Backdoors!BI27=TRUE),VLOOKUP(Calculator!E23,tbSkills!DH3:DJ6,3,FALSE),0),0))&gt;=0,1+(Backdoors!AL2*(IF((Backdoors!AI12+IF(FN87&gt;=0.45,VLOOKUP(Calculator!E23,tbSkills!DH3:DI6,2,FALSE)+IF(AND(Calculator!B8=TRUE,Backdoors!BI27=TRUE),VLOOKUP(Calculator!E23,tbSkills!DH3:DJ6,3,FALSE),0),0))&gt;=100,100,(Backdoors!AI12+IF(FN87&gt;=0.45,VLOOKUP(Calculator!E23,tbSkills!DH3:DI6,2,FALSE)+IF(AND(Calculator!B8=TRUE,Backdoors!BI27=TRUE),VLOOKUP(Calculator!E23,tbSkills!DH3:DJ6,3,FALSE),0),0)))/100)),(1-(0.25*((-Backdoors!AI12-IF(FN87&gt;=0.45,VLOOKUP(Calculator!E23,tbSkills!DH3:DI6,2,FALSE)+IF(AND(Calculator!B8=TRUE,Backdoors!BI27=TRUE),VLOOKUP(Calculator!E23,tbSkills!DH3:DJ6,3,FALSE),0),0))/100)))),1),"")</f>
        <v>1</v>
      </c>
      <c r="FQ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FN87)*FP87)*(VLOOKUP(A87,tbMoveset!A2:C112,3,FALSE)/100)*IF(VLOOKUP(A87,tbMoveset!A2:B112,2,FALSE)="Projectile",Backdoors!N10,Backdoors!N9),0),"")</f>
        <v/>
      </c>
      <c r="FR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FN87&gt;=0.45,VLOOKUP(Calculator!E23,tbSkills!DH3:DI6,2,FALSE)+IF(AND(Calculator!B8=TRUE,Backdoors!BI27=TRUE),VLOOKUP(Calculator!E23,tbSkills!DH3:DJ6,3,FALSE),0),0))&gt;=100,100,(Backdoors!AI12+IF(FN87&gt;=0.45,VLOOKUP(Calculator!E23,tbSkills!DH3:DI6,2,FALSE)+IF(AND(Calculator!B8=TRUE,Backdoors!BI27=TRUE),VLOOKUP(Calculator!E23,tbSkills!DH3:DJ6,3,FALSE),0),0)))/100)),1))*IF(VLOOKUP(A87,tbMoveset!A2:K112,11,FALSE)=TRUE,Backdoors!AC5,1))*FO87,0),"")</f>
        <v>0</v>
      </c>
      <c r="FS87" s="49">
        <f>VLOOKUP(A87,tbMoveset!A2:G112,7,FALSE)*IFERROR(IF(Backdoors!AI12&gt;=0,1+(IF(Calculator!E40&gt;0,VLOOKUP(Calculator!E40,tbSkills!AI3:AJ5,2,FALSE),Backdoors!AL4)*(IF((Backdoors!AI12+IF(FN87&gt;=0.45,VLOOKUP(Calculator!E23,tbSkills!DH3:DI6,2,FALSE)+IF(AND(Calculator!B8=TRUE,Backdoors!BI27=TRUE),VLOOKUP(Calculator!E23,tbSkills!DH3:DJ6,3,FALSE),0),0))&gt;=100,100,(Backdoors!AI12+IF(FN87&gt;=0.45,VLOOKUP(Calculator!E23,tbSkills!DH3:DI6,2,FALSE)+IF(AND(Calculator!B8=TRUE,Backdoors!BI27=TRUE),VLOOKUP(Calculator!E23,tbSkills!DH3:DJ6,3,FALSE),0),0)))/100)),1),1)</f>
        <v>1</v>
      </c>
      <c r="FT87" s="87">
        <f t="shared" si="75"/>
        <v>0</v>
      </c>
      <c r="FU87" s="86" t="str">
        <f>IFERROR(IF(VLOOKUP(A87,tbMoveset!A2:B112,2,FALSE)="Sever",Backdoors!AY28/100,IF(VLOOKUP(A87,tbMoveset!A2:B112,2,FALSE)="Blunt",Backdoors!AZ28/100,Backdoors!BA28/100)),"")</f>
        <v/>
      </c>
      <c r="FV87" s="49">
        <f>IFERROR(IF(VLOOKUP(tbMoveset!A87,tbMoveset!A2:H112,8,FALSE)="Other",IF(VLOOKUP(tbMoveset!A87,tbMoveset!A2:I112,9,FALSE)="Fire",Backdoors!BB28,IF(VLOOKUP(tbMoveset!A87,tbMoveset!A2:I112,9,FALSE)="Water",Backdoors!BC28,IF(VLOOKUP(tbMoveset!A87,tbMoveset!A2:I112,9,FALSE)="Thunder",Backdoors!BD28,IF(VLOOKUP(tbMoveset!A87,tbMoveset!A2:I112,9,FALSE)="Ice",Backdoors!BE28,IF(VLOOKUP(tbMoveset!A87,tbMoveset!A2:I112,9,FALSE)="Dragon",Backdoors!BF28,Backdoors!BG28)))))/100,Backdoors!BG28/100),"")</f>
        <v>0</v>
      </c>
      <c r="FW87" s="49">
        <f>IFERROR(IF(VLOOKUP(A87,tbMoveset!A2:J112,10,FALSE)=TRUE,IF((Backdoors!AI12+IF(FU87&gt;=0.45,VLOOKUP(Calculator!E23,tbSkills!DH3:DI6,2,FALSE)+IF(AND(Calculator!B8=TRUE,Backdoors!BI28=TRUE),VLOOKUP(Calculator!E23,tbSkills!DH3:DJ6,3,FALSE),0),0))&gt;=0,1+(Backdoors!AL2*(IF((Backdoors!AI12+IF(FU87&gt;=0.45,VLOOKUP(Calculator!E23,tbSkills!DH3:DI6,2,FALSE)+IF(AND(Calculator!B8=TRUE,Backdoors!BI28=TRUE),VLOOKUP(Calculator!E23,tbSkills!DH3:DJ6,3,FALSE),0),0))&gt;=100,100,(Backdoors!AI12+IF(FU87&gt;=0.45,VLOOKUP(Calculator!E23,tbSkills!DH3:DI6,2,FALSE)+IF(AND(Calculator!B8=TRUE,Backdoors!BI28=TRUE),VLOOKUP(Calculator!E23,tbSkills!DH3:DJ6,3,FALSE),0),0)))/100)),(1-(0.25*((-Backdoors!AI12-IF(FU87&gt;=0.45,VLOOKUP(Calculator!E23,tbSkills!DH3:DI6,2,FALSE)+IF(AND(Calculator!B8=TRUE,Backdoors!BI28=TRUE),VLOOKUP(Calculator!E23,tbSkills!DH3:DJ6,3,FALSE),0),0))/100)))),1),"")</f>
        <v>1</v>
      </c>
      <c r="FX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FU87)*FW87)*(VLOOKUP(A87,tbMoveset!A2:C112,3,FALSE)/100)*IF(VLOOKUP(A87,tbMoveset!A2:B112,2,FALSE)="Projectile",Backdoors!N10,Backdoors!N9),0),"")</f>
        <v/>
      </c>
      <c r="FY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FU87&gt;=0.45,VLOOKUP(Calculator!E23,tbSkills!DH3:DI6,2,FALSE)+IF(AND(Calculator!B8=TRUE,Backdoors!BI28=TRUE),VLOOKUP(Calculator!E23,tbSkills!DH3:DJ6,3,FALSE),0),0))&gt;=100,100,(Backdoors!AI12+IF(FU87&gt;=0.45,VLOOKUP(Calculator!E23,tbSkills!DH3:DI6,2,FALSE)+IF(AND(Calculator!B8=TRUE,Backdoors!BI28=TRUE),VLOOKUP(Calculator!E23,tbSkills!DH3:DJ6,3,FALSE),0),0)))/100)),1))*IF(VLOOKUP(A87,tbMoveset!A2:K112,11,FALSE)=TRUE,Backdoors!AC5,1))*FV87,0),"")</f>
        <v>0</v>
      </c>
      <c r="FZ87" s="49">
        <f>VLOOKUP(A87,tbMoveset!A2:G112,7,FALSE)*IFERROR(IF(Backdoors!AI12&gt;=0,1+(IF(Calculator!E40&gt;0,VLOOKUP(Calculator!E40,tbSkills!AI3:AJ5,2,FALSE),Backdoors!AL4)*(IF((Backdoors!AI12+IF(FU87&gt;=0.45,VLOOKUP(Calculator!E23,tbSkills!DH3:DI6,2,FALSE)+IF(AND(Calculator!B8=TRUE,Backdoors!BI28=TRUE),VLOOKUP(Calculator!E23,tbSkills!DH3:DJ6,3,FALSE),0),0))&gt;=100,100,(Backdoors!AI12+IF(FU87&gt;=0.45,VLOOKUP(Calculator!E23,tbSkills!DH3:DI6,2,FALSE)+IF(AND(Calculator!B8=TRUE,Backdoors!BI28=TRUE),VLOOKUP(Calculator!E23,tbSkills!DH3:DJ6,3,FALSE),0),0)))/100)),1),1)</f>
        <v>1</v>
      </c>
      <c r="GA87" s="87">
        <f t="shared" si="76"/>
        <v>0</v>
      </c>
      <c r="GB87" s="86" t="str">
        <f>IFERROR(IF(VLOOKUP(A87,tbMoveset!A2:B112,2,FALSE)="Sever",Backdoors!AY29/100,IF(VLOOKUP(A87,tbMoveset!A2:B112,2,FALSE)="Blunt",Backdoors!AZ29/100,Backdoors!BA29/100)),"")</f>
        <v/>
      </c>
      <c r="GC87" s="49">
        <f>IFERROR(IF(VLOOKUP(tbMoveset!A87,tbMoveset!A2:H112,8,FALSE)="Other",IF(VLOOKUP(tbMoveset!A87,tbMoveset!A2:I112,9,FALSE)="Fire",Backdoors!BB29,IF(VLOOKUP(tbMoveset!A87,tbMoveset!A2:I112,9,FALSE)="Water",Backdoors!BC29,IF(VLOOKUP(tbMoveset!A87,tbMoveset!A2:I112,9,FALSE)="Thunder",Backdoors!BD29,IF(VLOOKUP(tbMoveset!A87,tbMoveset!A2:I112,9,FALSE)="Ice",Backdoors!BE29,IF(VLOOKUP(tbMoveset!A87,tbMoveset!A2:I112,9,FALSE)="Dragon",Backdoors!BF29,Backdoors!BG29)))))/100,Backdoors!BG29/100),"")</f>
        <v>0</v>
      </c>
      <c r="GD87" s="49">
        <f>IFERROR(IF(VLOOKUP(A87,tbMoveset!A2:J112,10,FALSE)=TRUE,IF((Backdoors!AI12+IF(GB87&gt;=0.45,VLOOKUP(Calculator!E23,tbSkills!DH3:DI6,2,FALSE)+IF(AND(Calculator!B8=TRUE,Backdoors!BI29=TRUE),VLOOKUP(Calculator!E23,tbSkills!DH3:DJ6,3,FALSE),0),0))&gt;=0,1+(Backdoors!AL2*(IF((Backdoors!AI12+IF(GB87&gt;=0.45,VLOOKUP(Calculator!E23,tbSkills!DH3:DI6,2,FALSE)+IF(AND(Calculator!B8=TRUE,Backdoors!BI29=TRUE),VLOOKUP(Calculator!E23,tbSkills!DH3:DJ6,3,FALSE),0),0))&gt;=100,100,(Backdoors!AI12+IF(GB87&gt;=0.45,VLOOKUP(Calculator!E23,tbSkills!DH3:DI6,2,FALSE)+IF(AND(Calculator!B8=TRUE,Backdoors!BI29=TRUE),VLOOKUP(Calculator!E23,tbSkills!DH3:DJ6,3,FALSE),0),0)))/100)),(1-(0.25*((-Backdoors!AI12-IF(GB87&gt;=0.45,VLOOKUP(Calculator!E23,tbSkills!DH3:DI6,2,FALSE)+IF(AND(Calculator!B8=TRUE,Backdoors!BI29=TRUE),VLOOKUP(Calculator!E23,tbSkills!DH3:DJ6,3,FALSE),0),0))/100)))),1),"")</f>
        <v>1</v>
      </c>
      <c r="GE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B87)*GD87)*(VLOOKUP(A87,tbMoveset!A2:C112,3,FALSE)/100)*IF(VLOOKUP(A87,tbMoveset!A2:B112,2,FALSE)="Projectile",Backdoors!N10,Backdoors!N9),0),"")</f>
        <v/>
      </c>
      <c r="GF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B87&gt;=0.45,VLOOKUP(Calculator!E23,tbSkills!DH3:DI6,2,FALSE)+IF(AND(Calculator!B8=TRUE,Backdoors!BI29=TRUE),VLOOKUP(Calculator!E23,tbSkills!DH3:DJ6,3,FALSE),0),0))&gt;=100,100,(Backdoors!AI12+IF(GB87&gt;=0.45,VLOOKUP(Calculator!E23,tbSkills!DH3:DI6,2,FALSE)+IF(AND(Calculator!B8=TRUE,Backdoors!BI29=TRUE),VLOOKUP(Calculator!E23,tbSkills!DH3:DJ6,3,FALSE),0),0)))/100)),1))*IF(VLOOKUP(A87,tbMoveset!A2:K112,11,FALSE)=TRUE,Backdoors!AC5,1))*GC87,0),"")</f>
        <v>0</v>
      </c>
      <c r="GG87" s="49">
        <f>VLOOKUP(A87,tbMoveset!A2:G112,7,FALSE)*IFERROR(IF(Backdoors!AI12&gt;=0,1+(IF(Calculator!E40&gt;0,VLOOKUP(Calculator!E40,tbSkills!AI3:AJ5,2,FALSE),Backdoors!AL4)*(IF((Backdoors!AI12+IF(GB87&gt;=0.45,VLOOKUP(Calculator!E23,tbSkills!DH3:DI6,2,FALSE)+IF(AND(Calculator!B8=TRUE,Backdoors!BI29=TRUE),VLOOKUP(Calculator!E23,tbSkills!DH3:DJ6,3,FALSE),0),0))&gt;=100,100,(Backdoors!AI12+IF(GB87&gt;=0.45,VLOOKUP(Calculator!E23,tbSkills!DH3:DI6,2,FALSE)+IF(AND(Calculator!B8=TRUE,Backdoors!BI29=TRUE),VLOOKUP(Calculator!E23,tbSkills!DH3:DJ6,3,FALSE),0),0)))/100)),1),1)</f>
        <v>1</v>
      </c>
      <c r="GH87" s="87">
        <f t="shared" si="77"/>
        <v>0</v>
      </c>
      <c r="GI87" s="86" t="str">
        <f>IFERROR(IF(VLOOKUP(A87,tbMoveset!A2:B112,2,FALSE)="Sever",Backdoors!AY30/100,IF(VLOOKUP(A87,tbMoveset!A2:B112,2,FALSE)="Blunt",Backdoors!AZ30/100,Backdoors!BA30/100)),"")</f>
        <v/>
      </c>
      <c r="GJ87" s="49">
        <f>IFERROR(IF(VLOOKUP(tbMoveset!A87,tbMoveset!A2:H112,8,FALSE)="Other",IF(VLOOKUP(tbMoveset!A87,tbMoveset!A2:I112,9,FALSE)="Fire",Backdoors!BB30,IF(VLOOKUP(tbMoveset!A87,tbMoveset!A2:I112,9,FALSE)="Water",Backdoors!BC30,IF(VLOOKUP(tbMoveset!A87,tbMoveset!A2:I112,9,FALSE)="Thunder",Backdoors!BD30,IF(VLOOKUP(tbMoveset!A87,tbMoveset!A2:I112,9,FALSE)="Ice",Backdoors!BE30,IF(VLOOKUP(tbMoveset!A87,tbMoveset!A2:I112,9,FALSE)="Dragon",Backdoors!BF30,Backdoors!BG30)))))/100,Backdoors!BG30/100),"")</f>
        <v>0</v>
      </c>
      <c r="GK87" s="49">
        <f>IFERROR(IF(VLOOKUP(A87,tbMoveset!A2:J112,10,FALSE)=TRUE,IF((Backdoors!AI12+IF(GI87&gt;=0.45,VLOOKUP(Calculator!E23,tbSkills!DH3:DI6,2,FALSE)+IF(AND(Calculator!B8=TRUE,Backdoors!BI30=TRUE),VLOOKUP(Calculator!E23,tbSkills!DH3:DJ6,3,FALSE),0),0))&gt;=0,1+(Backdoors!AL2*(IF((Backdoors!AI12+IF(GI87&gt;=0.45,VLOOKUP(Calculator!E23,tbSkills!DH3:DI6,2,FALSE)+IF(AND(Calculator!B8=TRUE,Backdoors!BI30=TRUE),VLOOKUP(Calculator!E23,tbSkills!DH3:DJ6,3,FALSE),0),0))&gt;=100,100,(Backdoors!AI12+IF(GI87&gt;=0.45,VLOOKUP(Calculator!E23,tbSkills!DH3:DI6,2,FALSE)+IF(AND(Calculator!B8=TRUE,Backdoors!BI30=TRUE),VLOOKUP(Calculator!E23,tbSkills!DH3:DJ6,3,FALSE),0),0)))/100)),(1-(0.25*((-Backdoors!AI12-IF(GI87&gt;=0.45,VLOOKUP(Calculator!E23,tbSkills!DH3:DI6,2,FALSE)+IF(AND(Calculator!B8=TRUE,Backdoors!BI30=TRUE),VLOOKUP(Calculator!E23,tbSkills!DH3:DJ6,3,FALSE),0),0))/100)))),1),"")</f>
        <v>1</v>
      </c>
      <c r="GL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I87)*GK87)*(VLOOKUP(A87,tbMoveset!A2:C112,3,FALSE)/100)*IF(VLOOKUP(A87,tbMoveset!A2:B112,2,FALSE)="Projectile",Backdoors!N10,Backdoors!N9),0),"")</f>
        <v/>
      </c>
      <c r="GM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I87&gt;=0.45,VLOOKUP(Calculator!E23,tbSkills!DH3:DI6,2,FALSE)+IF(AND(Calculator!B8=TRUE,Backdoors!BI30=TRUE),VLOOKUP(Calculator!E23,tbSkills!DH3:DJ6,3,FALSE),0),0))&gt;=100,100,(Backdoors!AI12+IF(GI87&gt;=0.45,VLOOKUP(Calculator!E23,tbSkills!DH3:DI6,2,FALSE)+IF(AND(Calculator!B8=TRUE,Backdoors!BI30=TRUE),VLOOKUP(Calculator!E23,tbSkills!DH3:DJ6,3,FALSE),0),0)))/100)),1))*IF(VLOOKUP(A87,tbMoveset!A2:K112,11,FALSE)=TRUE,Backdoors!AC5,1))*GJ87,0),"")</f>
        <v>0</v>
      </c>
      <c r="GN87" s="49">
        <f>VLOOKUP(A87,tbMoveset!A2:G112,7,FALSE)*IFERROR(IF(Backdoors!AI12&gt;=0,1+(IF(Calculator!E40&gt;0,VLOOKUP(Calculator!E40,tbSkills!AI3:AJ5,2,FALSE),Backdoors!AL4)*(IF((Backdoors!AI12+IF(GI87&gt;=0.45,VLOOKUP(Calculator!E23,tbSkills!DH3:DI6,2,FALSE)+IF(AND(Calculator!B8=TRUE,Backdoors!BI30=TRUE),VLOOKUP(Calculator!E23,tbSkills!DH3:DJ6,3,FALSE),0),0))&gt;=100,100,(Backdoors!AI12+IF(GI87&gt;=0.45,VLOOKUP(Calculator!E23,tbSkills!DH3:DI6,2,FALSE)+IF(AND(Calculator!B8=TRUE,Backdoors!BI30=TRUE),VLOOKUP(Calculator!E23,tbSkills!DH3:DJ6,3,FALSE),0),0)))/100)),1),1)</f>
        <v>1</v>
      </c>
      <c r="GO87" s="87">
        <f t="shared" si="78"/>
        <v>0</v>
      </c>
      <c r="GP87" s="86" t="str">
        <f>IFERROR(IF(VLOOKUP(A87,tbMoveset!A2:B112,2,FALSE)="Sever",Backdoors!AY31/100,IF(VLOOKUP(A87,tbMoveset!A2:B112,2,FALSE)="Blunt",Backdoors!AZ31/100,Backdoors!BA31/100)),"")</f>
        <v/>
      </c>
      <c r="GQ87" s="49">
        <f>IFERROR(IF(VLOOKUP(tbMoveset!A87,tbMoveset!A2:H112,8,FALSE)="Other",IF(VLOOKUP(tbMoveset!A87,tbMoveset!A2:I112,9,FALSE)="Fire",Backdoors!BB31,IF(VLOOKUP(tbMoveset!A87,tbMoveset!A2:I112,9,FALSE)="Water",Backdoors!BC31,IF(VLOOKUP(tbMoveset!A87,tbMoveset!A2:I112,9,FALSE)="Thunder",Backdoors!BD31,IF(VLOOKUP(tbMoveset!A87,tbMoveset!A2:I112,9,FALSE)="Ice",Backdoors!BE31,IF(VLOOKUP(tbMoveset!A87,tbMoveset!A2:I112,9,FALSE)="Dragon",Backdoors!BF31,Backdoors!BG31)))))/100,Backdoors!BG31/100),"")</f>
        <v>0</v>
      </c>
      <c r="GR87" s="49">
        <f>IFERROR(IF(VLOOKUP(A87,tbMoveset!A2:J112,10,FALSE)=TRUE,IF((Backdoors!AI12+IF(GP87&gt;=0.45,VLOOKUP(Calculator!E23,tbSkills!DH3:DI6,2,FALSE)+IF(AND(Calculator!B8=TRUE,Backdoors!BI31=TRUE),VLOOKUP(Calculator!E23,tbSkills!DH3:DJ6,3,FALSE),0),0))&gt;=0,1+(Backdoors!AL2*(IF((Backdoors!AI12+IF(GP87&gt;=0.45,VLOOKUP(Calculator!E23,tbSkills!DH3:DI6,2,FALSE)+IF(AND(Calculator!B8=TRUE,Backdoors!BI31=TRUE),VLOOKUP(Calculator!E23,tbSkills!DH3:DJ6,3,FALSE),0),0))&gt;=100,100,(Backdoors!AI12+IF(GP87&gt;=0.45,VLOOKUP(Calculator!E23,tbSkills!DH3:DI6,2,FALSE)+IF(AND(Calculator!B8=TRUE,Backdoors!BI31=TRUE),VLOOKUP(Calculator!E23,tbSkills!DH3:DJ6,3,FALSE),0),0)))/100)),(1-(0.25*((-Backdoors!AI12-IF(GP87&gt;=0.45,VLOOKUP(Calculator!E23,tbSkills!DH3:DI6,2,FALSE)+IF(AND(Calculator!B8=TRUE,Backdoors!BI31=TRUE),VLOOKUP(Calculator!E23,tbSkills!DH3:DJ6,3,FALSE),0),0))/100)))),1),"")</f>
        <v>1</v>
      </c>
      <c r="GS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P87)*GR87)*(VLOOKUP(A87,tbMoveset!A2:C112,3,FALSE)/100)*IF(VLOOKUP(A87,tbMoveset!A2:B112,2,FALSE)="Projectile",Backdoors!N10,Backdoors!N9),0),"")</f>
        <v/>
      </c>
      <c r="GT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P87&gt;=0.45,VLOOKUP(Calculator!E23,tbSkills!DH3:DI6,2,FALSE)+IF(AND(Calculator!B8=TRUE,Backdoors!BI31=TRUE),VLOOKUP(Calculator!E23,tbSkills!DH3:DJ6,3,FALSE),0),0))&gt;=100,100,(Backdoors!AI12+IF(GP87&gt;=0.45,VLOOKUP(Calculator!E23,tbSkills!DH3:DI6,2,FALSE)+IF(AND(Calculator!B8=TRUE,Backdoors!BI31=TRUE),VLOOKUP(Calculator!E23,tbSkills!DH3:DJ6,3,FALSE),0),0)))/100)),1))*IF(VLOOKUP(A87,tbMoveset!A2:K112,11,FALSE)=TRUE,Backdoors!AC5,1))*GQ87,0),"")</f>
        <v>0</v>
      </c>
      <c r="GU87" s="49">
        <f>VLOOKUP(A87,tbMoveset!A2:G112,7,FALSE)*IFERROR(IF(Backdoors!AI12&gt;=0,1+(IF(Calculator!E40&gt;0,VLOOKUP(Calculator!E40,tbSkills!AI3:AJ5,2,FALSE),Backdoors!AL4)*(IF((Backdoors!AI12+IF(GP87&gt;=0.45,VLOOKUP(Calculator!E23,tbSkills!DH3:DI6,2,FALSE)+IF(AND(Calculator!B8=TRUE,Backdoors!BI31=TRUE),VLOOKUP(Calculator!E23,tbSkills!DH3:DJ6,3,FALSE),0),0))&gt;=100,100,(Backdoors!AI12+IF(GP87&gt;=0.45,VLOOKUP(Calculator!E23,tbSkills!DH3:DI6,2,FALSE)+IF(AND(Calculator!B8=TRUE,Backdoors!BI31=TRUE),VLOOKUP(Calculator!E23,tbSkills!DH3:DJ6,3,FALSE),0),0)))/100)),1),1)</f>
        <v>1</v>
      </c>
      <c r="GV87" s="87">
        <f t="shared" si="79"/>
        <v>0</v>
      </c>
      <c r="GW87" s="86" t="str">
        <f>IFERROR(IF(VLOOKUP(A87,tbMoveset!A2:B112,2,FALSE)="Sever",Backdoors!AY32/100,IF(VLOOKUP(A87,tbMoveset!A2:B112,2,FALSE)="Blunt",Backdoors!AZ32/100,Backdoors!BA32/100)),"")</f>
        <v/>
      </c>
      <c r="GX87" s="49">
        <f>IFERROR(IF(VLOOKUP(tbMoveset!A87,tbMoveset!A2:H112,8,FALSE)="Other",IF(VLOOKUP(tbMoveset!A87,tbMoveset!A2:I112,9,FALSE)="Fire",Backdoors!BB32,IF(VLOOKUP(tbMoveset!A87,tbMoveset!A2:I112,9,FALSE)="Water",Backdoors!BC32,IF(VLOOKUP(tbMoveset!A87,tbMoveset!A2:I112,9,FALSE)="Thunder",Backdoors!BD32,IF(VLOOKUP(tbMoveset!A87,tbMoveset!A2:I112,9,FALSE)="Ice",Backdoors!BE32,IF(VLOOKUP(tbMoveset!A87,tbMoveset!A2:I112,9,FALSE)="Dragon",Backdoors!BF32,Backdoors!BG32)))))/100,Backdoors!BG32/100),"")</f>
        <v>0</v>
      </c>
      <c r="GY87" s="49">
        <f>IFERROR(IF(VLOOKUP(A87,tbMoveset!A2:J112,10,FALSE)=TRUE,IF((Backdoors!AI12+IF(GW87&gt;=0.45,VLOOKUP(Calculator!E23,tbSkills!DH3:DI6,2,FALSE)+IF(AND(Calculator!B8=TRUE,Backdoors!BI32=TRUE),VLOOKUP(Calculator!E23,tbSkills!DH3:DJ6,3,FALSE),0),0))&gt;=0,1+(Backdoors!AL2*(IF((Backdoors!AI12+IF(GW87&gt;=0.45,VLOOKUP(Calculator!E23,tbSkills!DH3:DI6,2,FALSE)+IF(AND(Calculator!B8=TRUE,Backdoors!BI32=TRUE),VLOOKUP(Calculator!E23,tbSkills!DH3:DJ6,3,FALSE),0),0))&gt;=100,100,(Backdoors!AI12+IF(GW87&gt;=0.45,VLOOKUP(Calculator!E23,tbSkills!DH3:DI6,2,FALSE)+IF(AND(Calculator!B8=TRUE,Backdoors!BI32=TRUE),VLOOKUP(Calculator!E23,tbSkills!DH3:DJ6,3,FALSE),0),0)))/100)),(1-(0.25*((-Backdoors!AI12-IF(GW87&gt;=0.45,VLOOKUP(Calculator!E23,tbSkills!DH3:DI6,2,FALSE)+IF(AND(Calculator!B8=TRUE,Backdoors!BI32=TRUE),VLOOKUP(Calculator!E23,tbSkills!DH3:DJ6,3,FALSE),0),0))/100)))),1),"")</f>
        <v>1</v>
      </c>
      <c r="GZ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W87)*GY87)*(VLOOKUP(A87,tbMoveset!A2:C112,3,FALSE)/100)*IF(VLOOKUP(A87,tbMoveset!A2:B112,2,FALSE)="Projectile",Backdoors!N10,Backdoors!N9),0),"")</f>
        <v/>
      </c>
      <c r="HA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W87&gt;=0.45,VLOOKUP(Calculator!E23,tbSkills!DH3:DI6,2,FALSE)+IF(AND(Calculator!B8=TRUE,Backdoors!BI32=TRUE),VLOOKUP(Calculator!E23,tbSkills!DH3:DJ6,3,FALSE),0),0))&gt;=100,100,(Backdoors!AI12+IF(GW87&gt;=0.45,VLOOKUP(Calculator!E23,tbSkills!DH3:DI6,2,FALSE)+IF(AND(Calculator!B8=TRUE,Backdoors!BI32=TRUE),VLOOKUP(Calculator!E23,tbSkills!DH3:DJ6,3,FALSE),0),0)))/100)),1))*IF(VLOOKUP(A87,tbMoveset!A2:K112,11,FALSE)=TRUE,Backdoors!AC5,1))*GX87,0),"")</f>
        <v>0</v>
      </c>
      <c r="HB87" s="49">
        <f>VLOOKUP(A87,tbMoveset!A2:G112,7,FALSE)*IFERROR(IF(Backdoors!AI12&gt;=0,1+(IF(Calculator!E40&gt;0,VLOOKUP(Calculator!E40,tbSkills!AI3:AJ5,2,FALSE),Backdoors!AL4)*(IF((Backdoors!AI12+IF(GW87&gt;=0.45,VLOOKUP(Calculator!E23,tbSkills!DH3:DI6,2,FALSE)+IF(AND(Calculator!B8=TRUE,Backdoors!BI32=TRUE),VLOOKUP(Calculator!E23,tbSkills!DH3:DJ6,3,FALSE),0),0))&gt;=100,100,(Backdoors!AI12+IF(GW87&gt;=0.45,VLOOKUP(Calculator!E23,tbSkills!DH3:DI6,2,FALSE)+IF(AND(Calculator!B8=TRUE,Backdoors!BI32=TRUE),VLOOKUP(Calculator!E23,tbSkills!DH3:DJ6,3,FALSE),0),0)))/100)),1),1)</f>
        <v>1</v>
      </c>
      <c r="HC87" s="87">
        <f t="shared" si="80"/>
        <v>0</v>
      </c>
      <c r="HD87" s="86" t="str">
        <f>IFERROR(IF(VLOOKUP(A87,tbMoveset!A2:B112,2,FALSE)="Sever",Backdoors!AY33/100,IF(VLOOKUP(A87,tbMoveset!A2:B112,2,FALSE)="Blunt",Backdoors!AZ33/100,Backdoors!BA33/100)),"")</f>
        <v/>
      </c>
      <c r="HE87" s="49">
        <f>IFERROR(IF(VLOOKUP(tbMoveset!A87,tbMoveset!A2:H112,8,FALSE)="Other",IF(VLOOKUP(tbMoveset!A87,tbMoveset!A2:I112,9,FALSE)="Fire",Backdoors!BB33,IF(VLOOKUP(tbMoveset!A87,tbMoveset!A2:I112,9,FALSE)="Water",Backdoors!BC33,IF(VLOOKUP(tbMoveset!A87,tbMoveset!A2:I112,9,FALSE)="Thunder",Backdoors!BD33,IF(VLOOKUP(tbMoveset!A87,tbMoveset!A2:I112,9,FALSE)="Ice",Backdoors!BE33,IF(VLOOKUP(tbMoveset!A87,tbMoveset!A2:I112,9,FALSE)="Dragon",Backdoors!BF33,Backdoors!BG33)))))/100,Backdoors!BG33/100),"")</f>
        <v>0</v>
      </c>
      <c r="HF87" s="49">
        <f>IFERROR(IF(VLOOKUP(A87,tbMoveset!A2:J112,10,FALSE)=TRUE,IF((Backdoors!AI12+IF(HD87&gt;=0.45,VLOOKUP(Calculator!E23,tbSkills!DH3:DI6,2,FALSE)+IF(AND(Calculator!B8=TRUE,Backdoors!BI33=TRUE),VLOOKUP(Calculator!E23,tbSkills!DH3:DJ6,3,FALSE),0),0))&gt;=0,1+(Backdoors!AL2*(IF((Backdoors!AI12+IF(HD87&gt;=0.45,VLOOKUP(Calculator!E23,tbSkills!DH3:DI6,2,FALSE)+IF(AND(Calculator!B8=TRUE,Backdoors!BI33=TRUE),VLOOKUP(Calculator!E23,tbSkills!DH3:DJ6,3,FALSE),0),0))&gt;=100,100,(Backdoors!AI12+IF(HD87&gt;=0.45,VLOOKUP(Calculator!E23,tbSkills!DH3:DI6,2,FALSE)+IF(AND(Calculator!B8=TRUE,Backdoors!BI33=TRUE),VLOOKUP(Calculator!E23,tbSkills!DH3:DJ6,3,FALSE),0),0)))/100)),(1-(0.25*((-Backdoors!AI12-IF(HD87&gt;=0.45,VLOOKUP(Calculator!E23,tbSkills!DH3:DI6,2,FALSE)+IF(AND(Calculator!B8=TRUE,Backdoors!BI33=TRUE),VLOOKUP(Calculator!E23,tbSkills!DH3:DJ6,3,FALSE),0),0))/100)))),1),"")</f>
        <v>1</v>
      </c>
      <c r="HG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D87)*HF87)*(VLOOKUP(A87,tbMoveset!A2:C112,3,FALSE)/100)*IF(VLOOKUP(A87,tbMoveset!A2:B112,2,FALSE)="Projectile",Backdoors!N10,Backdoors!N9),0),"")</f>
        <v/>
      </c>
      <c r="HH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D87&gt;=0.45,VLOOKUP(Calculator!E23,tbSkills!DH3:DI6,2,FALSE)+IF(AND(Calculator!B8=TRUE,Backdoors!BI33=TRUE),VLOOKUP(Calculator!E23,tbSkills!DH3:DJ6,3,FALSE),0),0))&gt;=100,100,(Backdoors!AI12+IF(HD87&gt;=0.45,VLOOKUP(Calculator!E23,tbSkills!DH3:DI6,2,FALSE)+IF(AND(Calculator!B8=TRUE,Backdoors!BI33=TRUE),VLOOKUP(Calculator!E23,tbSkills!DH3:DJ6,3,FALSE),0),0)))/100)),1))*IF(VLOOKUP(A87,tbMoveset!A2:K112,11,FALSE)=TRUE,Backdoors!AC5,1))*HE87,0),"")</f>
        <v>0</v>
      </c>
      <c r="HI87" s="49">
        <f>VLOOKUP(A87,tbMoveset!A2:G112,7,FALSE)*IFERROR(IF(Backdoors!AI12&gt;=0,1+(IF(Calculator!E40&gt;0,VLOOKUP(Calculator!E40,tbSkills!AI3:AJ5,2,FALSE),Backdoors!AL4)*(IF((Backdoors!AI12+IF(HD87&gt;=0.45,VLOOKUP(Calculator!E23,tbSkills!DH3:DI6,2,FALSE)+IF(AND(Calculator!B8=TRUE,Backdoors!BI33=TRUE),VLOOKUP(Calculator!E23,tbSkills!DH3:DJ6,3,FALSE),0),0))&gt;=100,100,(Backdoors!AI12+IF(HD87&gt;=0.45,VLOOKUP(Calculator!E23,tbSkills!DH3:DI6,2,FALSE)+IF(AND(Calculator!B8=TRUE,Backdoors!BI33=TRUE),VLOOKUP(Calculator!E23,tbSkills!DH3:DJ6,3,FALSE),0),0)))/100)),1),1)</f>
        <v>1</v>
      </c>
      <c r="HJ87" s="87">
        <f t="shared" si="81"/>
        <v>0</v>
      </c>
      <c r="HK87" s="86" t="str">
        <f>IFERROR(IF(VLOOKUP(A87,tbMoveset!A2:B112,2,FALSE)="Sever",Backdoors!AY34/100,IF(VLOOKUP(A87,tbMoveset!A2:B112,2,FALSE)="Blunt",Backdoors!AZ34/100,Backdoors!BA34/100)),"")</f>
        <v/>
      </c>
      <c r="HL87" s="49">
        <f>IFERROR(IF(VLOOKUP(tbMoveset!A87,tbMoveset!A2:H112,8,FALSE)="Other",IF(VLOOKUP(tbMoveset!A87,tbMoveset!A2:I112,9,FALSE)="Fire",Backdoors!BB34,IF(VLOOKUP(tbMoveset!A87,tbMoveset!A2:I112,9,FALSE)="Water",Backdoors!BC34,IF(VLOOKUP(tbMoveset!A87,tbMoveset!A2:I112,9,FALSE)="Thunder",Backdoors!BD34,IF(VLOOKUP(tbMoveset!A87,tbMoveset!A2:I112,9,FALSE)="Ice",Backdoors!BE34,IF(VLOOKUP(tbMoveset!A87,tbMoveset!A2:I112,9,FALSE)="Dragon",Backdoors!BF34,Backdoors!BG34)))))/100,Backdoors!BG34/100),"")</f>
        <v>0</v>
      </c>
      <c r="HM87" s="49">
        <f>IFERROR(IF(VLOOKUP(A87,tbMoveset!A2:J112,10,FALSE)=TRUE,IF((Backdoors!AI12+IF(HK87&gt;=0.45,VLOOKUP(Calculator!E23,tbSkills!DH3:DI6,2,FALSE)+IF(AND(Calculator!B8=TRUE,Backdoors!BI34=TRUE),VLOOKUP(Calculator!E23,tbSkills!DH3:DJ6,3,FALSE),0),0))&gt;=0,1+(Backdoors!AL2*(IF((Backdoors!AI12+IF(HK87&gt;=0.45,VLOOKUP(Calculator!E23,tbSkills!DH3:DI6,2,FALSE)+IF(AND(Calculator!B8=TRUE,Backdoors!BI34=TRUE),VLOOKUP(Calculator!E23,tbSkills!DH3:DJ6,3,FALSE),0),0))&gt;=100,100,(Backdoors!AI12+IF(HK87&gt;=0.45,VLOOKUP(Calculator!E23,tbSkills!DH3:DI6,2,FALSE)+IF(AND(Calculator!B8=TRUE,Backdoors!BI34=TRUE),VLOOKUP(Calculator!E23,tbSkills!DH3:DJ6,3,FALSE),0),0)))/100)),(1-(0.25*((-Backdoors!AI12-IF(HK87&gt;=0.45,VLOOKUP(Calculator!E23,tbSkills!DH3:DI6,2,FALSE)+IF(AND(Calculator!B8=TRUE,Backdoors!BI34=TRUE),VLOOKUP(Calculator!E23,tbSkills!DH3:DJ6,3,FALSE),0),0))/100)))),1),"")</f>
        <v>1</v>
      </c>
      <c r="HN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K87)*HM87)*(VLOOKUP(A87,tbMoveset!A2:C112,3,FALSE)/100)*IF(VLOOKUP(A87,tbMoveset!A2:B112,2,FALSE)="Projectile",Backdoors!N10,Backdoors!N9),0),"")</f>
        <v/>
      </c>
      <c r="HO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K87&gt;=0.45,VLOOKUP(Calculator!E23,tbSkills!DH3:DI6,2,FALSE)+IF(AND(Calculator!B8=TRUE,Backdoors!BI34=TRUE),VLOOKUP(Calculator!E23,tbSkills!DH3:DJ6,3,FALSE),0),0))&gt;=100,100,(Backdoors!AI12+IF(HK87&gt;=0.45,VLOOKUP(Calculator!E23,tbSkills!DH3:DI6,2,FALSE)+IF(AND(Calculator!B8=TRUE,Backdoors!BI34=TRUE),VLOOKUP(Calculator!E23,tbSkills!DH3:DJ6,3,FALSE),0),0)))/100)),1))*IF(VLOOKUP(A87,tbMoveset!A2:K112,11,FALSE)=TRUE,Backdoors!AC5,1))*HL87,0),"")</f>
        <v>0</v>
      </c>
      <c r="HP87" s="49">
        <f>VLOOKUP(A87,tbMoveset!A2:G112,7,FALSE)*IFERROR(IF(Backdoors!AI12&gt;=0,1+(IF(Calculator!E40&gt;0,VLOOKUP(Calculator!E40,tbSkills!AI3:AJ5,2,FALSE),Backdoors!AL4)*(IF((Backdoors!AI12+IF(HK87&gt;=0.45,VLOOKUP(Calculator!E23,tbSkills!DH3:DI6,2,FALSE)+IF(AND(Calculator!B8=TRUE,Backdoors!BI34=TRUE),VLOOKUP(Calculator!E23,tbSkills!DH3:DJ6,3,FALSE),0),0))&gt;=100,100,(Backdoors!AI12+IF(HK87&gt;=0.45,VLOOKUP(Calculator!E23,tbSkills!DH3:DI6,2,FALSE)+IF(AND(Calculator!B8=TRUE,Backdoors!BI34=TRUE),VLOOKUP(Calculator!E23,tbSkills!DH3:DJ6,3,FALSE),0),0)))/100)),1),1)</f>
        <v>1</v>
      </c>
      <c r="HQ87" s="87">
        <f t="shared" si="82"/>
        <v>0</v>
      </c>
      <c r="HR87" s="86" t="str">
        <f>IFERROR(IF(VLOOKUP(A87,tbMoveset!A2:B112,2,FALSE)="Sever",Backdoors!AY35/100,IF(VLOOKUP(A87,tbMoveset!A2:B112,2,FALSE)="Blunt",Backdoors!AZ35/100,Backdoors!BA35/100)),"")</f>
        <v/>
      </c>
      <c r="HS87" s="49">
        <f>IFERROR(IF(VLOOKUP(tbMoveset!A87,tbMoveset!A2:H112,8,FALSE)="Other",IF(VLOOKUP(tbMoveset!A87,tbMoveset!A2:I112,9,FALSE)="Fire",Backdoors!BB35,IF(VLOOKUP(tbMoveset!A87,tbMoveset!A2:I112,9,FALSE)="Water",Backdoors!BC35,IF(VLOOKUP(tbMoveset!A87,tbMoveset!A2:I112,9,FALSE)="Thunder",Backdoors!BD35,IF(VLOOKUP(tbMoveset!A87,tbMoveset!A2:I112,9,FALSE)="Ice",Backdoors!BE35,IF(VLOOKUP(tbMoveset!A87,tbMoveset!A2:I112,9,FALSE)="Dragon",Backdoors!BF35,Backdoors!BG35)))))/100,Backdoors!BG35/100),"")</f>
        <v>0</v>
      </c>
      <c r="HT87" s="49">
        <f>IFERROR(IF(VLOOKUP(A87,tbMoveset!A2:J112,10,FALSE)=TRUE,IF((Backdoors!AI12+IF(HR87&gt;=0.45,VLOOKUP(Calculator!E23,tbSkills!DH3:DI6,2,FALSE)+IF(AND(Calculator!B8=TRUE,Backdoors!BI35=TRUE),VLOOKUP(Calculator!E23,tbSkills!DH3:DJ6,3,FALSE),0),0))&gt;=0,1+(Backdoors!AL2*(IF((Backdoors!AI12+IF(HR87&gt;=0.45,VLOOKUP(Calculator!E23,tbSkills!DH3:DI6,2,FALSE)+IF(AND(Calculator!B8=TRUE,Backdoors!BI35=TRUE),VLOOKUP(Calculator!E23,tbSkills!DH3:DJ6,3,FALSE),0),0))&gt;=100,100,(Backdoors!AI12+IF(HR87&gt;=0.45,VLOOKUP(Calculator!E23,tbSkills!DH3:DI6,2,FALSE)+IF(AND(Calculator!B8=TRUE,Backdoors!BI35=TRUE),VLOOKUP(Calculator!E23,tbSkills!DH3:DJ6,3,FALSE),0),0)))/100)),(1-(0.25*((-Backdoors!AI12-IF(HR87&gt;=0.45,VLOOKUP(Calculator!E23,tbSkills!DH3:DI6,2,FALSE)+IF(AND(Calculator!B8=TRUE,Backdoors!BI35=TRUE),VLOOKUP(Calculator!E23,tbSkills!DH3:DJ6,3,FALSE),0),0))/100)))),1),"")</f>
        <v>1</v>
      </c>
      <c r="HU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R87)*HT87)*(VLOOKUP(A87,tbMoveset!A2:C112,3,FALSE)/100)*IF(VLOOKUP(A87,tbMoveset!A2:B112,2,FALSE)="Projectile",Backdoors!N10,Backdoors!N9),0),"")</f>
        <v/>
      </c>
      <c r="HV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R87&gt;=0.45,VLOOKUP(Calculator!E23,tbSkills!DH3:DI6,2,FALSE)+IF(AND(Calculator!B8=TRUE,Backdoors!BI35=TRUE),VLOOKUP(Calculator!E23,tbSkills!DH3:DJ6,3,FALSE),0),0))&gt;=100,100,(Backdoors!AI12+IF(HR87&gt;=0.45,VLOOKUP(Calculator!E23,tbSkills!DH3:DI6,2,FALSE)+IF(AND(Calculator!B8=TRUE,Backdoors!BI35=TRUE),VLOOKUP(Calculator!E23,tbSkills!DH3:DJ6,3,FALSE),0),0)))/100)),1))*IF(VLOOKUP(A87,tbMoveset!A2:K112,11,FALSE)=TRUE,Backdoors!AC5,1))*HS87,0),"")</f>
        <v>0</v>
      </c>
      <c r="HW87" s="49">
        <f>VLOOKUP(A87,tbMoveset!A2:G112,7,FALSE)*IFERROR(IF(Backdoors!AI12&gt;=0,1+(IF(Calculator!E40&gt;0,VLOOKUP(Calculator!E40,tbSkills!AI3:AJ5,2,FALSE),Backdoors!AL4)*(IF((Backdoors!AI12+IF(HR87&gt;=0.45,VLOOKUP(Calculator!E23,tbSkills!DH3:DI6,2,FALSE)+IF(AND(Calculator!B8=TRUE,Backdoors!BI35=TRUE),VLOOKUP(Calculator!E23,tbSkills!DH3:DJ6,3,FALSE),0),0))&gt;=100,100,(Backdoors!AI12+IF(HR87&gt;=0.45,VLOOKUP(Calculator!E23,tbSkills!DH3:DI6,2,FALSE)+IF(AND(Calculator!B8=TRUE,Backdoors!BI35=TRUE),VLOOKUP(Calculator!E23,tbSkills!DH3:DJ6,3,FALSE),0),0)))/100)),1),1)</f>
        <v>1</v>
      </c>
      <c r="HX87" s="87">
        <f t="shared" si="83"/>
        <v>0</v>
      </c>
      <c r="HY87" s="86" t="str">
        <f>IFERROR(IF(VLOOKUP(A87,tbMoveset!A2:B112,2,FALSE)="Sever",Backdoors!AY36/100,IF(VLOOKUP(A87,tbMoveset!A2:B112,2,FALSE)="Blunt",Backdoors!AZ36/100,Backdoors!BA36/100)),"")</f>
        <v/>
      </c>
      <c r="HZ87" s="49">
        <f>IFERROR(IF(VLOOKUP(tbMoveset!A87,tbMoveset!A2:H112,8,FALSE)="Other",IF(VLOOKUP(tbMoveset!A87,tbMoveset!A2:I112,9,FALSE)="Fire",Backdoors!BB36,IF(VLOOKUP(tbMoveset!A87,tbMoveset!A2:I112,9,FALSE)="Water",Backdoors!BC36,IF(VLOOKUP(tbMoveset!A87,tbMoveset!A2:I112,9,FALSE)="Thunder",Backdoors!BD36,IF(VLOOKUP(tbMoveset!A87,tbMoveset!A2:I112,9,FALSE)="Ice",Backdoors!BE36,IF(VLOOKUP(tbMoveset!A87,tbMoveset!A2:I112,9,FALSE)="Dragon",Backdoors!BF36,Backdoors!BG36)))))/100,Backdoors!BG36/100),"")</f>
        <v>0</v>
      </c>
      <c r="IA87" s="49">
        <f>IFERROR(IF(VLOOKUP(A87,tbMoveset!A2:J112,10,FALSE)=TRUE,IF((Backdoors!AI12+IF(HY87&gt;=0.45,VLOOKUP(Calculator!E23,tbSkills!DH3:DI6,2,FALSE)+IF(AND(Calculator!B8=TRUE,Backdoors!BI36=TRUE),VLOOKUP(Calculator!E23,tbSkills!DH3:DJ6,3,FALSE),0),0))&gt;=0,1+(Backdoors!AL2*(IF((Backdoors!AI12+IF(HY87&gt;=0.45,VLOOKUP(Calculator!E23,tbSkills!DH3:DI6,2,FALSE)+IF(AND(Calculator!B8=TRUE,Backdoors!BI36=TRUE),VLOOKUP(Calculator!E23,tbSkills!DH3:DJ6,3,FALSE),0),0))&gt;=100,100,(Backdoors!AI12+IF(HY87&gt;=0.45,VLOOKUP(Calculator!E23,tbSkills!DH3:DI6,2,FALSE)+IF(AND(Calculator!B8=TRUE,Backdoors!BI36=TRUE),VLOOKUP(Calculator!E23,tbSkills!DH3:DJ6,3,FALSE),0),0)))/100)),(1-(0.25*((-Backdoors!AI12-IF(HY87&gt;=0.45,VLOOKUP(Calculator!E23,tbSkills!DH3:DI6,2,FALSE)+IF(AND(Calculator!B8=TRUE,Backdoors!BI36=TRUE),VLOOKUP(Calculator!E23,tbSkills!DH3:DJ6,3,FALSE),0),0))/100)))),1),"")</f>
        <v>1</v>
      </c>
      <c r="IB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Y87)*IA87)*(VLOOKUP(A87,tbMoveset!A2:C112,3,FALSE)/100)*IF(VLOOKUP(A87,tbMoveset!A2:B112,2,FALSE)="Projectile",Backdoors!N10,Backdoors!N9),0),"")</f>
        <v/>
      </c>
      <c r="IC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Y87&gt;=0.45,VLOOKUP(Calculator!E23,tbSkills!DH3:DI6,2,FALSE)+IF(AND(Calculator!B8=TRUE,Backdoors!BI36=TRUE),VLOOKUP(Calculator!E23,tbSkills!DH3:DJ6,3,FALSE),0),0))&gt;=100,100,(Backdoors!AI12+IF(HY87&gt;=0.45,VLOOKUP(Calculator!E23,tbSkills!DH3:DI6,2,FALSE)+IF(AND(Calculator!B8=TRUE,Backdoors!BI36=TRUE),VLOOKUP(Calculator!E23,tbSkills!DH3:DJ6,3,FALSE),0),0)))/100)),1))*IF(VLOOKUP(A87,tbMoveset!A2:K112,11,FALSE)=TRUE,Backdoors!AC5,1))*HZ87,0),"")</f>
        <v>0</v>
      </c>
      <c r="ID87" s="49">
        <f>VLOOKUP(A87,tbMoveset!A2:G112,7,FALSE)*IFERROR(IF(Backdoors!AI12&gt;=0,1+(IF(Calculator!E40&gt;0,VLOOKUP(Calculator!E40,tbSkills!AI3:AJ5,2,FALSE),Backdoors!AL4)*(IF((Backdoors!AI12+IF(HY87&gt;=0.45,VLOOKUP(Calculator!E23,tbSkills!DH3:DI6,2,FALSE)+IF(AND(Calculator!B8=TRUE,Backdoors!BI36=TRUE),VLOOKUP(Calculator!E23,tbSkills!DH3:DJ6,3,FALSE),0),0))&gt;=100,100,(Backdoors!AI12+IF(HY87&gt;=0.45,VLOOKUP(Calculator!E23,tbSkills!DH3:DI6,2,FALSE)+IF(AND(Calculator!B8=TRUE,Backdoors!BI36=TRUE),VLOOKUP(Calculator!E23,tbSkills!DH3:DJ6,3,FALSE),0),0)))/100)),1),1)</f>
        <v>1</v>
      </c>
      <c r="IE87" s="87">
        <f t="shared" si="84"/>
        <v>0</v>
      </c>
      <c r="IF87" s="86" t="str">
        <f>IFERROR(IF(VLOOKUP(A87,tbMoveset!A2:B112,2,FALSE)="Sever",Backdoors!AY37/100,IF(VLOOKUP(A87,tbMoveset!A2:B112,2,FALSE)="Blunt",Backdoors!AZ37/100,Backdoors!BA37/100)),"")</f>
        <v/>
      </c>
      <c r="IG87" s="49">
        <f>IFERROR(IF(VLOOKUP(tbMoveset!A87,tbMoveset!A2:H112,8,FALSE)="Other",IF(VLOOKUP(tbMoveset!A87,tbMoveset!A2:I112,9,FALSE)="Fire",Backdoors!BB37,IF(VLOOKUP(tbMoveset!A87,tbMoveset!A2:I112,9,FALSE)="Water",Backdoors!BC37,IF(VLOOKUP(tbMoveset!A87,tbMoveset!A2:I112,9,FALSE)="Thunder",Backdoors!BD37,IF(VLOOKUP(tbMoveset!A87,tbMoveset!A2:I112,9,FALSE)="Ice",Backdoors!BE37,IF(VLOOKUP(tbMoveset!A87,tbMoveset!A2:I112,9,FALSE)="Dragon",Backdoors!BF37,Backdoors!BG37)))))/100,Backdoors!BG37/100),"")</f>
        <v>0</v>
      </c>
      <c r="IH87" s="49">
        <f>IFERROR(IF(VLOOKUP(A87,tbMoveset!A2:J112,10,FALSE)=TRUE,IF((Backdoors!AI12+IF(IF87&gt;=0.45,VLOOKUP(Calculator!E23,tbSkills!DH3:DI6,2,FALSE)+IF(AND(Calculator!B8=TRUE,Backdoors!BI37=TRUE),VLOOKUP(Calculator!E23,tbSkills!DH3:DJ6,3,FALSE),0),0))&gt;=0,1+(Backdoors!AL2*(IF((Backdoors!AI12+IF(IF87&gt;=0.45,VLOOKUP(Calculator!E23,tbSkills!DH3:DI6,2,FALSE)+IF(AND(Calculator!B8=TRUE,Backdoors!BI37=TRUE),VLOOKUP(Calculator!E23,tbSkills!DH3:DJ6,3,FALSE),0),0))&gt;=100,100,(Backdoors!AI12+IF(IF87&gt;=0.45,VLOOKUP(Calculator!E23,tbSkills!DH3:DI6,2,FALSE)+IF(AND(Calculator!B8=TRUE,Backdoors!BI37=TRUE),VLOOKUP(Calculator!E23,tbSkills!DH3:DJ6,3,FALSE),0),0)))/100)),(1-(0.25*((-Backdoors!AI12-IF(IF87&gt;=0.45,VLOOKUP(Calculator!E23,tbSkills!DH3:DI6,2,FALSE)+IF(AND(Calculator!B8=TRUE,Backdoors!BI37=TRUE),VLOOKUP(Calculator!E23,tbSkills!DH3:DJ6,3,FALSE),0),0))/100)))),1),"")</f>
        <v>1</v>
      </c>
      <c r="II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F87)*IH87)*(VLOOKUP(A87,tbMoveset!A2:C112,3,FALSE)/100)*IF(VLOOKUP(A87,tbMoveset!A2:B112,2,FALSE)="Projectile",Backdoors!N10,Backdoors!N9),0),"")</f>
        <v/>
      </c>
      <c r="IJ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IF87&gt;=0.45,VLOOKUP(Calculator!E23,tbSkills!DH3:DI6,2,FALSE)+IF(AND(Calculator!B8=TRUE,Backdoors!BI37=TRUE),VLOOKUP(Calculator!E23,tbSkills!DH3:DJ6,3,FALSE),0),0))&gt;=100,100,(Backdoors!AI12+IF(IF87&gt;=0.45,VLOOKUP(Calculator!E23,tbSkills!DH3:DI6,2,FALSE)+IF(AND(Calculator!B8=TRUE,Backdoors!BI37=TRUE),VLOOKUP(Calculator!E23,tbSkills!DH3:DJ6,3,FALSE),0),0)))/100)),1))*IF(VLOOKUP(A87,tbMoveset!A2:K112,11,FALSE)=TRUE,Backdoors!AC5,1))*IG87,0),"")</f>
        <v>0</v>
      </c>
      <c r="IK87" s="49">
        <f>VLOOKUP(A87,tbMoveset!A2:G112,7,FALSE)*IFERROR(IF(Backdoors!AI12&gt;=0,1+(IF(Calculator!E40&gt;0,VLOOKUP(Calculator!E40,tbSkills!AI3:AJ5,2,FALSE),Backdoors!AL4)*(IF((Backdoors!AI12+IF(IF87&gt;=0.45,VLOOKUP(Calculator!E23,tbSkills!DH3:DI6,2,FALSE)+IF(AND(Calculator!B8=TRUE,Backdoors!BI37=TRUE),VLOOKUP(Calculator!E23,tbSkills!DH3:DJ6,3,FALSE),0),0))&gt;=100,100,(Backdoors!AI12+IF(IF87&gt;=0.45,VLOOKUP(Calculator!E23,tbSkills!DH3:DI6,2,FALSE)+IF(AND(Calculator!B8=TRUE,Backdoors!BI37=TRUE),VLOOKUP(Calculator!E23,tbSkills!DH3:DJ6,3,FALSE),0),0)))/100)),1),1)</f>
        <v>1</v>
      </c>
      <c r="IL87" s="87">
        <f t="shared" si="85"/>
        <v>0</v>
      </c>
      <c r="IM87" s="86" t="str">
        <f>IFERROR(IF(VLOOKUP(A87,tbMoveset!A2:B112,2,FALSE)="Sever",Backdoors!AY38/100,IF(VLOOKUP(A87,tbMoveset!A2:B112,2,FALSE)="Blunt",Backdoors!AZ38/100,Backdoors!BA38/100)),"")</f>
        <v/>
      </c>
      <c r="IN87" s="49">
        <f>IFERROR(IF(VLOOKUP(tbMoveset!A87,tbMoveset!A2:H112,8,FALSE)="Other",IF(VLOOKUP(tbMoveset!A87,tbMoveset!A2:I112,9,FALSE)="Fire",Backdoors!BB38,IF(VLOOKUP(tbMoveset!A87,tbMoveset!A2:I112,9,FALSE)="Water",Backdoors!BC38,IF(VLOOKUP(tbMoveset!A87,tbMoveset!A2:I112,9,FALSE)="Thunder",Backdoors!BD38,IF(VLOOKUP(tbMoveset!A87,tbMoveset!A2:I112,9,FALSE)="Ice",Backdoors!BE38,IF(VLOOKUP(tbMoveset!A87,tbMoveset!A2:I112,9,FALSE)="Dragon",Backdoors!BF38,Backdoors!BG38)))))/100,Backdoors!BG38/100),"")</f>
        <v>0</v>
      </c>
      <c r="IO87" s="49">
        <f>IFERROR(IF(VLOOKUP(A87,tbMoveset!A2:J112,10,FALSE)=TRUE,IF((Backdoors!AI12+IF(IM87&gt;=0.45,VLOOKUP(Calculator!E23,tbSkills!DH3:DI6,2,FALSE)+IF(AND(Calculator!B8=TRUE,Backdoors!BI38=TRUE),VLOOKUP(Calculator!E23,tbSkills!DH3:DJ6,3,FALSE),0),0))&gt;=0,1+(Backdoors!AL2*(IF((Backdoors!AI12+IF(IM87&gt;=0.45,VLOOKUP(Calculator!E23,tbSkills!DH3:DI6,2,FALSE)+IF(AND(Calculator!B8=TRUE,Backdoors!BI38=TRUE),VLOOKUP(Calculator!E23,tbSkills!DH3:DJ6,3,FALSE),0),0))&gt;=100,100,(Backdoors!AI12+IF(IM87&gt;=0.45,VLOOKUP(Calculator!E23,tbSkills!DH3:DI6,2,FALSE)+IF(AND(Calculator!B8=TRUE,Backdoors!BI38=TRUE),VLOOKUP(Calculator!E23,tbSkills!DH3:DJ6,3,FALSE),0),0)))/100)),(1-(0.25*((-Backdoors!AI12-IF(IM87&gt;=0.45,VLOOKUP(Calculator!E23,tbSkills!DH3:DI6,2,FALSE)+IF(AND(Calculator!B8=TRUE,Backdoors!BI38=TRUE),VLOOKUP(Calculator!E23,tbSkills!DH3:DJ6,3,FALSE),0),0))/100)))),1),"")</f>
        <v>1</v>
      </c>
      <c r="IP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M87)*IO87)*(VLOOKUP(A87,tbMoveset!A2:C112,3,FALSE)/100)*IF(VLOOKUP(A87,tbMoveset!A2:B112,2,FALSE)="Projectile",Backdoors!N10,Backdoors!N9),0),"")</f>
        <v/>
      </c>
      <c r="IQ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IM87&gt;=0.45,VLOOKUP(Calculator!E23,tbSkills!DH3:DI6,2,FALSE)+IF(AND(Calculator!B8=TRUE,Backdoors!BI38=TRUE),VLOOKUP(Calculator!E23,tbSkills!DH3:DJ6,3,FALSE),0),0))&gt;=100,100,(Backdoors!AI12+IF(IM87&gt;=0.45,VLOOKUP(Calculator!E23,tbSkills!DH3:DI6,2,FALSE)+IF(AND(Calculator!B8=TRUE,Backdoors!BI38=TRUE),VLOOKUP(Calculator!E23,tbSkills!DH3:DJ6,3,FALSE),0),0)))/100)),1))*IF(VLOOKUP(A87,tbMoveset!A2:K112,11,FALSE)=TRUE,Backdoors!AC5,1))*IN87,0),"")</f>
        <v>0</v>
      </c>
      <c r="IR87" s="49">
        <f>VLOOKUP(A87,tbMoveset!A2:G112,7,FALSE)*IFERROR(IF(Backdoors!AI12&gt;=0,1+(IF(Calculator!E40&gt;0,VLOOKUP(Calculator!E40,tbSkills!AI3:AJ5,2,FALSE),Backdoors!AL4)*(IF((Backdoors!AI12+IF(IM87&gt;=0.45,VLOOKUP(Calculator!E23,tbSkills!DH3:DI6,2,FALSE)+IF(AND(Calculator!B8=TRUE,Backdoors!BI38=TRUE),VLOOKUP(Calculator!E23,tbSkills!DH3:DJ6,3,FALSE),0),0))&gt;=100,100,(Backdoors!AI12+IF(IM87&gt;=0.45,VLOOKUP(Calculator!E23,tbSkills!DH3:DI6,2,FALSE)+IF(AND(Calculator!B8=TRUE,Backdoors!BI38=TRUE),VLOOKUP(Calculator!E23,tbSkills!DH3:DJ6,3,FALSE),0),0)))/100)),1),1)</f>
        <v>1</v>
      </c>
      <c r="IS87" s="87">
        <f t="shared" si="86"/>
        <v>0</v>
      </c>
      <c r="IT87" s="86" t="str">
        <f>IFERROR(IF(VLOOKUP(A87,tbMoveset!A2:B112,2,FALSE)="Sever",Backdoors!AY39/100,IF(VLOOKUP(A87,tbMoveset!A2:B112,2,FALSE)="Blunt",Backdoors!AZ39/100,Backdoors!BA39/100)),"")</f>
        <v/>
      </c>
      <c r="IU87" s="49">
        <f>IFERROR(IF(VLOOKUP(tbMoveset!A87,tbMoveset!A2:H112,8,FALSE)="Other",IF(VLOOKUP(tbMoveset!A87,tbMoveset!A2:I112,9,FALSE)="Fire",Backdoors!BB39,IF(VLOOKUP(tbMoveset!A87,tbMoveset!A2:I112,9,FALSE)="Water",Backdoors!BC39,IF(VLOOKUP(tbMoveset!A87,tbMoveset!A2:I112,9,FALSE)="Thunder",Backdoors!BD39,IF(VLOOKUP(tbMoveset!A87,tbMoveset!A2:I112,9,FALSE)="Ice",Backdoors!BE39,IF(VLOOKUP(tbMoveset!A87,tbMoveset!A2:I112,9,FALSE)="Dragon",Backdoors!BF39,Backdoors!BG39)))))/100,Backdoors!BG39/100),"")</f>
        <v>0</v>
      </c>
      <c r="IV87" s="49">
        <f>IFERROR(IF(VLOOKUP(A87,tbMoveset!A2:J112,10,FALSE)=TRUE,IF((Backdoors!AI12+IF(IT87&gt;=0.45,VLOOKUP(Calculator!E23,tbSkills!DH3:DI6,2,FALSE)+IF(AND(Calculator!B8=TRUE,Backdoors!BI39=TRUE),VLOOKUP(Calculator!E23,tbSkills!DH3:DJ6,3,FALSE),0),0))&gt;=0,1+(Backdoors!AL2*(IF((Backdoors!AI12+IF(IT87&gt;=0.45,VLOOKUP(Calculator!E23,tbSkills!DH3:DI6,2,FALSE)+IF(AND(Calculator!B8=TRUE,Backdoors!BI39=TRUE),VLOOKUP(Calculator!E23,tbSkills!DH3:DJ6,3,FALSE),0),0))&gt;=100,100,(Backdoors!AI12+IF(IT87&gt;=0.45,VLOOKUP(Calculator!E23,tbSkills!DH3:DI6,2,FALSE)+IF(AND(Calculator!B8=TRUE,Backdoors!BI39=TRUE),VLOOKUP(Calculator!E23,tbSkills!DH3:DJ6,3,FALSE),0),0)))/100)),(1-(0.25*((-Backdoors!AI12-IF(IT87&gt;=0.45,VLOOKUP(Calculator!E23,tbSkills!DH3:DI6,2,FALSE)+IF(AND(Calculator!B8=TRUE,Backdoors!BI39=TRUE),VLOOKUP(Calculator!E23,tbSkills!DH3:DJ6,3,FALSE),0),0))/100)))),1),"")</f>
        <v>1</v>
      </c>
      <c r="IW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T87)*IV87)*(VLOOKUP(A87,tbMoveset!A2:C112,3,FALSE)/100)*IF(VLOOKUP(A87,tbMoveset!A2:B112,2,FALSE)="Projectile",Backdoors!N10,Backdoors!N9),0),"")</f>
        <v/>
      </c>
      <c r="IX87" s="49">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40&gt;0,VLOOKUP(Calculator!E40,tbSkills!AC3:AD5,2,FALSE),Backdoors!AL3)*(IF((Backdoors!AI12+IF(IT87&gt;=0.45,VLOOKUP(Calculator!E23,tbSkills!DH3:DI6,2,FALSE)+IF(AND(Calculator!B8=TRUE,Backdoors!BI39=TRUE),VLOOKUP(Calculator!E23,tbSkills!DH3:DJ6,3,FALSE),0),0))&gt;=100,100,(Backdoors!AI12+IF(IT87&gt;=0.45,VLOOKUP(Calculator!E23,tbSkills!DH3:DI6,2,FALSE)+IF(AND(Calculator!B8=TRUE,Backdoors!BI39=TRUE),VLOOKUP(Calculator!E23,tbSkills!DH3:DJ6,3,FALSE),0),0)))/100)),1))*IF(VLOOKUP(A87,tbMoveset!A2:K112,11,FALSE)=TRUE,Backdoors!AC5,1))*IU87,0),"")</f>
        <v>0</v>
      </c>
      <c r="IY87" s="49">
        <f>VLOOKUP(A87,tbMoveset!A2:G112,7,FALSE)*IFERROR(IF(Backdoors!AI12&gt;=0,1+(IF(Calculator!E40&gt;0,VLOOKUP(Calculator!E40,tbSkills!AI3:AJ5,2,FALSE),Backdoors!AL4)*(IF((Backdoors!AI12+IF(IT87&gt;=0.45,VLOOKUP(Calculator!E23,tbSkills!DH3:DI6,2,FALSE)+IF(AND(Calculator!B8=TRUE,Backdoors!BI39=TRUE),VLOOKUP(Calculator!E23,tbSkills!DH3:DJ6,3,FALSE),0),0))&gt;=100,100,(Backdoors!AI12+IF(IT87&gt;=0.45,VLOOKUP(Calculator!E23,tbSkills!DH3:DI6,2,FALSE)+IF(AND(Calculator!B8=TRUE,Backdoors!BI39=TRUE),VLOOKUP(Calculator!E23,tbSkills!DH3:DJ6,3,FALSE),0),0)))/100)),1),1)</f>
        <v>1</v>
      </c>
      <c r="IZ87" s="87">
        <f t="shared" si="87"/>
        <v>0</v>
      </c>
      <c r="JA87" s="86" t="str">
        <f>IFERROR(IF(VLOOKUP(A87,tbMoveset!A2:B112,2,FALSE)="Sever",Backdoors!AY40/100,IF(VLOOKUP(A87,tbMoveset!A2:B112,2,FALSE)="Blunt",Backdoors!AZ40/100,Backdoors!BA40/100)),"")</f>
        <v/>
      </c>
      <c r="JB87" s="49">
        <f>IFERROR(IF(VLOOKUP(tbMoveset!A87,tbMoveset!A2:H112,8,FALSE)="Other",IF(VLOOKUP(tbMoveset!A87,tbMoveset!A2:I112,9,FALSE)="Fire",Backdoors!BB40,IF(VLOOKUP(tbMoveset!A87,tbMoveset!A2:I112,9,FALSE)="Water",Backdoors!BC40,IF(VLOOKUP(tbMoveset!A87,tbMoveset!A2:I112,9,FALSE)="Thunder",Backdoors!BD40,IF(VLOOKUP(tbMoveset!A87,tbMoveset!A2:I112,9,FALSE)="Ice",Backdoors!BE40,IF(VLOOKUP(tbMoveset!A87,tbMoveset!A2:I112,9,FALSE)="Dragon",Backdoors!BF40,Backdoors!BG40)))))/100,Backdoors!BG40/100),"")</f>
        <v>0</v>
      </c>
      <c r="JC87" s="49">
        <f>IFERROR(IF(VLOOKUP(A87,tbMoveset!A2:J112,10,FALSE)=TRUE,IF((Backdoors!AI12+IF(JA87&gt;=0.45,VLOOKUP(Calculator!E23,tbSkills!DH3:DI6,2,FALSE)+IF(AND(Calculator!B8=TRUE,Backdoors!BI40=TRUE),VLOOKUP(Calculator!E23,tbSkills!DH3:DJ6,3,FALSE),0),0))&gt;=0,1+(Backdoors!AL2*(IF((Backdoors!AI12+IF(JA87&gt;=0.45,VLOOKUP(Calculator!E23,tbSkills!DH3:DI6,2,FALSE)+IF(AND(Calculator!B8=TRUE,Backdoors!BI40=TRUE),VLOOKUP(Calculator!E23,tbSkills!DH3:DJ6,3,FALSE),0),0))&gt;=100,100,(Backdoors!AI12+IF(JA87&gt;=0.45,VLOOKUP(Calculator!E23,tbSkills!DH3:DI6,2,FALSE)+IF(AND(Calculator!B8=TRUE,Backdoors!BI40=TRUE),VLOOKUP(Calculator!E23,tbSkills!DH3:DJ6,3,FALSE),0),0)))/100)),(1-(0.25*((-Backdoors!AI12-IF(JA87&gt;=0.45,VLOOKUP(Calculator!E23,tbSkills!DH3:DI6,2,FALSE)+IF(AND(Calculator!B8=TRUE,Backdoors!BI40=TRUE),VLOOKUP(Calculator!E23,tbSkills!DH3:DJ6,3,FALSE),0),0))/100)))),1),"")</f>
        <v>1</v>
      </c>
      <c r="JD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A87)*JC87)*(VLOOKUP(A87,tbMoveset!A2:C112,3,FALSE)/100)*IF(VLOOKUP(A87,tbMoveset!A2:B112,2,FALSE)="Projectile",Backdoors!N10,Backdoors!N9),0),"")</f>
        <v/>
      </c>
      <c r="JE87" s="49">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42&gt;0,VLOOKUP(Calculator!E42,tbSkills!AC3:AD5,2,FALSE),Backdoors!AL3)*(IF((Backdoors!AI12+IF(JA87&gt;=0.45,VLOOKUP(Calculator!E23,tbSkills!DH3:DI6,2,FALSE)+IF(AND(Calculator!B8=TRUE,Backdoors!BI40=TRUE),VLOOKUP(Calculator!E23,tbSkills!DH3:DJ6,3,FALSE),0),0))&gt;=100,100,(Backdoors!AI12+IF(JA87&gt;=0.45,VLOOKUP(Calculator!E23,tbSkills!DH3:DI6,2,FALSE)+IF(AND(Calculator!B8=TRUE,Backdoors!BI40=TRUE),VLOOKUP(Calculator!E23,tbSkills!DH3:DJ6,3,FALSE),0),0)))/100)),1))*IF(VLOOKUP(A87,tbMoveset!A2:K112,11,FALSE)=TRUE,Backdoors!AC5,1))*JB87,0),"")</f>
        <v>0</v>
      </c>
      <c r="JF87" s="49">
        <f>VLOOKUP(A87,tbMoveset!A2:G112,7,FALSE)*IFERROR(IF(Backdoors!AI12&gt;=0,1+(IF(Calculator!E40&gt;0,VLOOKUP(Calculator!E40,tbSkills!AI3:AJ5,2,FALSE),Backdoors!AL4)*(IF((Backdoors!AI12+IF(JA87&gt;=0.45,VLOOKUP(Calculator!E23,tbSkills!DH3:DI6,2,FALSE)+IF(AND(Calculator!B8=TRUE,Backdoors!BI40=TRUE),VLOOKUP(Calculator!E23,tbSkills!DH3:DJ6,3,FALSE),0),0))&gt;=100,100,(Backdoors!AI12+IF(JA87&gt;=0.45,VLOOKUP(Calculator!E23,tbSkills!DH3:DI6,2,FALSE)+IF(AND(Calculator!B8=TRUE,Backdoors!BI40=TRUE),VLOOKUP(Calculator!E23,tbSkills!DH3:DJ6,3,FALSE),0),0)))/100)),1),1)</f>
        <v>1</v>
      </c>
      <c r="JG87" s="87">
        <f t="shared" si="88"/>
        <v>0</v>
      </c>
      <c r="JH87" s="86" t="str">
        <f>IFERROR(IF(VLOOKUP(A87,tbMoveset!A2:B112,2,FALSE)="Sever",Backdoors!AY41/100,IF(VLOOKUP(A87,tbMoveset!A2:B112,2,FALSE)="Blunt",Backdoors!AZ41/100,Backdoors!BA41/100)),"")</f>
        <v/>
      </c>
      <c r="JI87" s="49">
        <f>IFERROR(IF(VLOOKUP(tbMoveset!A87,tbMoveset!A2:H112,8,FALSE)="Other",IF(VLOOKUP(tbMoveset!A87,tbMoveset!A2:I112,9,FALSE)="Fire",Backdoors!BB41,IF(VLOOKUP(tbMoveset!A87,tbMoveset!A2:I112,9,FALSE)="Water",Backdoors!BC41,IF(VLOOKUP(tbMoveset!A87,tbMoveset!A2:I112,9,FALSE)="Thunder",Backdoors!BD41,IF(VLOOKUP(tbMoveset!A87,tbMoveset!A2:I112,9,FALSE)="Ice",Backdoors!BE41,IF(VLOOKUP(tbMoveset!A87,tbMoveset!A2:I112,9,FALSE)="Dragon",Backdoors!BF41,Backdoors!BG41)))))/100,Backdoors!BG41/100),"")</f>
        <v>0</v>
      </c>
      <c r="JJ87" s="49">
        <f>IFERROR(IF(VLOOKUP(A87,tbMoveset!A2:J112,10,FALSE)=TRUE,IF((Backdoors!AI12+IF(JH87&gt;=0.45,VLOOKUP(Calculator!E23,tbSkills!DH3:DI6,2,FALSE)+IF(AND(Calculator!B8=TRUE,Backdoors!BI41=TRUE),VLOOKUP(Calculator!E23,tbSkills!DH3:DJ6,3,FALSE),0),0))&gt;=0,1+(Backdoors!AL2*(IF((Backdoors!AI12+IF(JH87&gt;=0.45,VLOOKUP(Calculator!E23,tbSkills!DH3:DI6,2,FALSE)+IF(AND(Calculator!B8=TRUE,Backdoors!BI41=TRUE),VLOOKUP(Calculator!E23,tbSkills!DH3:DJ6,3,FALSE),0),0))&gt;=100,100,(Backdoors!AI12+IF(JH87&gt;=0.45,VLOOKUP(Calculator!E23,tbSkills!DH3:DI6,2,FALSE)+IF(AND(Calculator!B8=TRUE,Backdoors!BI41=TRUE),VLOOKUP(Calculator!E23,tbSkills!DH3:DJ6,3,FALSE),0),0)))/100)),(1-(0.25*((-Backdoors!AI12-IF(JH87&gt;=0.45,VLOOKUP(Calculator!E23,tbSkills!DH3:DI6,2,FALSE)+IF(AND(Calculator!B8=TRUE,Backdoors!BI41=TRUE),VLOOKUP(Calculator!E23,tbSkills!DH3:DJ6,3,FALSE),0),0))/100)))),1),"")</f>
        <v>1</v>
      </c>
      <c r="JK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H87)*JJ87)*(VLOOKUP(A87,tbMoveset!A2:C112,3,FALSE)/100)*IF(VLOOKUP(A87,tbMoveset!A2:B112,2,FALSE)="Projectile",Backdoors!N10,Backdoors!N9),0),"")</f>
        <v/>
      </c>
      <c r="JL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43&gt;0,VLOOKUP(Calculator!E43,tbSkills!AC3:AD5,2,FALSE),Backdoors!AL3)*(IF((Backdoors!AI12+IF(JH87&gt;=0.45,VLOOKUP(Calculator!E23,tbSkills!DH3:DI6,2,FALSE)+IF(AND(Calculator!B8=TRUE,Backdoors!BI41=TRUE),VLOOKUP(Calculator!E23,tbSkills!DH3:DJ6,3,FALSE),0),0))&gt;=100,100,(Backdoors!AI12+IF(JH87&gt;=0.45,VLOOKUP(Calculator!E23,tbSkills!DH3:DI6,2,FALSE)+IF(AND(Calculator!B8=TRUE,Backdoors!BI41=TRUE),VLOOKUP(Calculator!E23,tbSkills!DH3:DJ6,3,FALSE),0),0)))/100)),1))*IF(VLOOKUP(A87,tbMoveset!A2:K112,11,FALSE)=TRUE,Backdoors!AC5,1))*JI87,0),"")</f>
        <v/>
      </c>
      <c r="JM87" s="49">
        <f>VLOOKUP(A87,tbMoveset!A2:G112,7,FALSE)*IFERROR(IF(Backdoors!AI12&gt;=0,1+(IF(Calculator!E40&gt;0,VLOOKUP(Calculator!E40,tbSkills!AI3:AJ5,2,FALSE),Backdoors!AL4)*(IF((Backdoors!AI12+IF(JH87&gt;=0.45,VLOOKUP(Calculator!E23,tbSkills!DH3:DI6,2,FALSE)+IF(AND(Calculator!B8=TRUE,Backdoors!BI41=TRUE),VLOOKUP(Calculator!E23,tbSkills!DH3:DJ6,3,FALSE),0),0))&gt;=100,100,(Backdoors!AI12+IF(JH87&gt;=0.45,VLOOKUP(Calculator!E23,tbSkills!DH3:DI6,2,FALSE)+IF(AND(Calculator!B8=TRUE,Backdoors!BI41=TRUE),VLOOKUP(Calculator!E23,tbSkills!DH3:DJ6,3,FALSE),0),0)))/100)),1),1)</f>
        <v>1</v>
      </c>
      <c r="JN87" s="87">
        <f t="shared" si="89"/>
        <v>0</v>
      </c>
      <c r="JO87" s="86" t="str">
        <f>IFERROR(IF(VLOOKUP(A87,tbMoveset!A2:B112,2,FALSE)="Sever",Backdoors!AY42/100,IF(VLOOKUP(A87,tbMoveset!A2:B112,2,FALSE)="Blunt",Backdoors!AZ42/100,Backdoors!BA42/100)),"")</f>
        <v/>
      </c>
      <c r="JP87" s="49">
        <f>IFERROR(IF(VLOOKUP(tbMoveset!A87,tbMoveset!A2:H112,8,FALSE)="Other",IF(VLOOKUP(tbMoveset!A87,tbMoveset!A2:I112,9,FALSE)="Fire",Backdoors!BB42,IF(VLOOKUP(tbMoveset!A87,tbMoveset!A2:I112,9,FALSE)="Water",Backdoors!BC42,IF(VLOOKUP(tbMoveset!A87,tbMoveset!A2:I112,9,FALSE)="Thunder",Backdoors!BD42,IF(VLOOKUP(tbMoveset!A87,tbMoveset!A2:I112,9,FALSE)="Ice",Backdoors!BE42,IF(VLOOKUP(tbMoveset!A87,tbMoveset!A2:I112,9,FALSE)="Dragon",Backdoors!BF42,Backdoors!BG42)))))/100,Backdoors!BG42/100),"")</f>
        <v>0</v>
      </c>
      <c r="JQ87" s="49">
        <f>IFERROR(IF(VLOOKUP(A87,tbMoveset!A2:J112,10,FALSE)=TRUE,IF((Backdoors!AI12+IF(JO87&gt;=0.45,VLOOKUP(Calculator!E23,tbSkills!DH3:DI6,2,FALSE)+IF(AND(Calculator!B8=TRUE,Backdoors!BI42=TRUE),VLOOKUP(Calculator!E23,tbSkills!DH3:DJ6,3,FALSE),0),0))&gt;=0,1+(Backdoors!AL2*(IF((Backdoors!AI12+IF(JO87&gt;=0.45,VLOOKUP(Calculator!E23,tbSkills!DH3:DI6,2,FALSE)+IF(AND(Calculator!B8=TRUE,Backdoors!BI42=TRUE),VLOOKUP(Calculator!E23,tbSkills!DH3:DJ6,3,FALSE),0),0))&gt;=100,100,(Backdoors!AI12+IF(JO87&gt;=0.45,VLOOKUP(Calculator!E23,tbSkills!DH3:DI6,2,FALSE)+IF(AND(Calculator!B8=TRUE,Backdoors!BI42=TRUE),VLOOKUP(Calculator!E23,tbSkills!DH3:DJ6,3,FALSE),0),0)))/100)),(1-(0.25*((-Backdoors!AI12-IF(JO87&gt;=0.45,VLOOKUP(Calculator!E23,tbSkills!DH3:DI6,2,FALSE)+IF(AND(Calculator!B8=TRUE,Backdoors!BI42=TRUE),VLOOKUP(Calculator!E23,tbSkills!DH3:DJ6,3,FALSE),0),0))/100)))),1),"")</f>
        <v>1</v>
      </c>
      <c r="JR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O87)*JQ87)*(VLOOKUP(A87,tbMoveset!A2:C112,3,FALSE)/100)*IF(VLOOKUP(A87,tbMoveset!A2:B112,2,FALSE)="Projectile",Backdoors!N10,Backdoors!N9),0),"")</f>
        <v/>
      </c>
      <c r="JS87" s="49">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45&gt;0,VLOOKUP(Calculator!E45,tbSkills!AC3:AD5,2,FALSE),Backdoors!AL3)*(IF((Backdoors!AI12+IF(JO87&gt;=0.45,VLOOKUP(Calculator!E23,tbSkills!DH3:DI6,2,FALSE)+IF(AND(Calculator!B8=TRUE,Backdoors!BI42=TRUE),VLOOKUP(Calculator!E23,tbSkills!DH3:DJ6,3,FALSE),0),0))&gt;=100,100,(Backdoors!AI12+IF(JO87&gt;=0.45,VLOOKUP(Calculator!E23,tbSkills!DH3:DI6,2,FALSE)+IF(AND(Calculator!B8=TRUE,Backdoors!BI42=TRUE),VLOOKUP(Calculator!E23,tbSkills!DH3:DJ6,3,FALSE),0),0)))/100)),1))*IF(VLOOKUP(A87,tbMoveset!A2:K112,11,FALSE)=TRUE,Backdoors!AC5,1))*JP87,0),"")</f>
        <v>0</v>
      </c>
      <c r="JT87" s="49">
        <f>VLOOKUP(A87,tbMoveset!A2:G112,7,FALSE)*IFERROR(IF(Backdoors!AI12&gt;=0,1+(IF(Calculator!E40&gt;0,VLOOKUP(Calculator!E40,tbSkills!AI3:AJ5,2,FALSE),Backdoors!AL4)*(IF((Backdoors!AI12+IF(JO87&gt;=0.45,VLOOKUP(Calculator!E23,tbSkills!DH3:DI6,2,FALSE)+IF(AND(Calculator!B8=TRUE,Backdoors!BI42=TRUE),VLOOKUP(Calculator!E23,tbSkills!DH3:DJ6,3,FALSE),0),0))&gt;=100,100,(Backdoors!AI12+IF(JO87&gt;=0.45,VLOOKUP(Calculator!E23,tbSkills!DH3:DI6,2,FALSE)+IF(AND(Calculator!B8=TRUE,Backdoors!BI42=TRUE),VLOOKUP(Calculator!E23,tbSkills!DH3:DJ6,3,FALSE),0),0)))/100)),1),1)</f>
        <v>1</v>
      </c>
      <c r="JU87" s="87">
        <f t="shared" si="90"/>
        <v>0</v>
      </c>
      <c r="JV87" s="86" t="str">
        <f>IFERROR(IF(VLOOKUP(A87,tbMoveset!A2:B112,2,FALSE)="Sever",Backdoors!AY43/100,IF(VLOOKUP(A87,tbMoveset!A2:B112,2,FALSE)="Blunt",Backdoors!AZ43/100,Backdoors!BA43/100)),"")</f>
        <v/>
      </c>
      <c r="JW87" s="49">
        <f>IFERROR(IF(VLOOKUP(tbMoveset!A87,tbMoveset!A2:H112,8,FALSE)="Other",IF(VLOOKUP(tbMoveset!A87,tbMoveset!A2:I112,9,FALSE)="Fire",Backdoors!BB43,IF(VLOOKUP(tbMoveset!A87,tbMoveset!A2:I112,9,FALSE)="Water",Backdoors!BC43,IF(VLOOKUP(tbMoveset!A87,tbMoveset!A2:I112,9,FALSE)="Thunder",Backdoors!BD43,IF(VLOOKUP(tbMoveset!A87,tbMoveset!A2:I112,9,FALSE)="Ice",Backdoors!BE43,IF(VLOOKUP(tbMoveset!A87,tbMoveset!A2:I112,9,FALSE)="Dragon",Backdoors!BF43,Backdoors!BG43)))))/100,Backdoors!BG43/100),"")</f>
        <v>0</v>
      </c>
      <c r="JX87" s="49">
        <f>IFERROR(IF(VLOOKUP(A87,tbMoveset!A2:J112,10,FALSE)=TRUE,IF((Backdoors!AI12+IF(JV87&gt;=0.45,VLOOKUP(Calculator!E23,tbSkills!DH3:DI6,2,FALSE)+IF(AND(Calculator!B8=TRUE,Backdoors!BI43=TRUE),VLOOKUP(Calculator!E23,tbSkills!DH3:DJ6,3,FALSE),0),0))&gt;=0,1+(Backdoors!AL2*(IF((Backdoors!AI12+IF(JV87&gt;=0.45,VLOOKUP(Calculator!E23,tbSkills!DH3:DI6,2,FALSE)+IF(AND(Calculator!B8=TRUE,Backdoors!BI43=TRUE),VLOOKUP(Calculator!E23,tbSkills!DH3:DJ6,3,FALSE),0),0))&gt;=100,100,(Backdoors!AI12+IF(JV87&gt;=0.45,VLOOKUP(Calculator!E23,tbSkills!DH3:DI6,2,FALSE)+IF(AND(Calculator!B8=TRUE,Backdoors!BI43=TRUE),VLOOKUP(Calculator!E23,tbSkills!DH3:DJ6,3,FALSE),0),0)))/100)),(1-(0.25*((-Backdoors!AI12-IF(JV87&gt;=0.45,VLOOKUP(Calculator!E23,tbSkills!DH3:DI6,2,FALSE)+IF(AND(Calculator!B8=TRUE,Backdoors!BI43=TRUE),VLOOKUP(Calculator!E23,tbSkills!DH3:DJ6,3,FALSE),0),0))/100)))),1),"")</f>
        <v>1</v>
      </c>
      <c r="JY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V87)*JX87)*(VLOOKUP(A87,tbMoveset!A2:C112,3,FALSE)/100)*IF(VLOOKUP(A87,tbMoveset!A2:B112,2,FALSE)="Projectile",Backdoors!N10,Backdoors!N9),0),"")</f>
        <v/>
      </c>
      <c r="JZ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46&gt;0,VLOOKUP(Calculator!E46,tbSkills!AC3:AD5,2,FALSE),Backdoors!AL3)*(IF((Backdoors!AI12+IF(JV87&gt;=0.45,VLOOKUP(Calculator!E23,tbSkills!DH3:DI6,2,FALSE)+IF(AND(Calculator!B8=TRUE,Backdoors!BI43=TRUE),VLOOKUP(Calculator!E23,tbSkills!DH3:DJ6,3,FALSE),0),0))&gt;=100,100,(Backdoors!AI12+IF(JV87&gt;=0.45,VLOOKUP(Calculator!E23,tbSkills!DH3:DI6,2,FALSE)+IF(AND(Calculator!B8=TRUE,Backdoors!BI43=TRUE),VLOOKUP(Calculator!E23,tbSkills!DH3:DJ6,3,FALSE),0),0)))/100)),1))*IF(VLOOKUP(A87,tbMoveset!A2:K112,11,FALSE)=TRUE,Backdoors!AC5,1))*JW87,0),"")</f>
        <v/>
      </c>
      <c r="KA87" s="49">
        <f>VLOOKUP(A87,tbMoveset!A2:G112,7,FALSE)*IFERROR(IF(Backdoors!AI12&gt;=0,1+(IF(Calculator!E40&gt;0,VLOOKUP(Calculator!E40,tbSkills!AI3:AJ5,2,FALSE),Backdoors!AL4)*(IF((Backdoors!AI12+IF(JV87&gt;=0.45,VLOOKUP(Calculator!E23,tbSkills!DH3:DI6,2,FALSE)+IF(AND(Calculator!B8=TRUE,Backdoors!BI43=TRUE),VLOOKUP(Calculator!E23,tbSkills!DH3:DJ6,3,FALSE),0),0))&gt;=100,100,(Backdoors!AI12+IF(JV87&gt;=0.45,VLOOKUP(Calculator!E23,tbSkills!DH3:DI6,2,FALSE)+IF(AND(Calculator!B8=TRUE,Backdoors!BI43=TRUE),VLOOKUP(Calculator!E23,tbSkills!DH3:DJ6,3,FALSE),0),0)))/100)),1),1)</f>
        <v>1</v>
      </c>
      <c r="KB87" s="87">
        <f t="shared" si="91"/>
        <v>0</v>
      </c>
      <c r="KC87" s="86" t="str">
        <f>IFERROR(IF(VLOOKUP(A87,tbMoveset!A2:B112,2,FALSE)="Sever",Backdoors!AY44/100,IF(VLOOKUP(A87,tbMoveset!A2:B112,2,FALSE)="Blunt",Backdoors!AZ44/100,Backdoors!BA44/100)),"")</f>
        <v/>
      </c>
      <c r="KD87" s="49">
        <f>IFERROR(IF(VLOOKUP(tbMoveset!A87,tbMoveset!A2:H112,8,FALSE)="Other",IF(VLOOKUP(tbMoveset!A87,tbMoveset!A2:I112,9,FALSE)="Fire",Backdoors!BB44,IF(VLOOKUP(tbMoveset!A87,tbMoveset!A2:I112,9,FALSE)="Water",Backdoors!BC44,IF(VLOOKUP(tbMoveset!A87,tbMoveset!A2:I112,9,FALSE)="Thunder",Backdoors!BD44,IF(VLOOKUP(tbMoveset!A87,tbMoveset!A2:I112,9,FALSE)="Ice",Backdoors!BE44,IF(VLOOKUP(tbMoveset!A87,tbMoveset!A2:I112,9,FALSE)="Dragon",Backdoors!BF44,Backdoors!BG44)))))/100,Backdoors!BG44/100),"")</f>
        <v>0</v>
      </c>
      <c r="KE87" s="49">
        <f>IFERROR(IF(VLOOKUP(A87,tbMoveset!A2:J112,10,FALSE)=TRUE,IF((Backdoors!AI12+IF(KC87&gt;=0.45,VLOOKUP(Calculator!E23,tbSkills!DH3:DI6,2,FALSE)+IF(AND(Calculator!B8=TRUE,Backdoors!BI44=TRUE),VLOOKUP(Calculator!E23,tbSkills!DH3:DJ6,3,FALSE),0),0))&gt;=0,1+(Backdoors!AL2*(IF((Backdoors!AI12+IF(KC87&gt;=0.45,VLOOKUP(Calculator!E23,tbSkills!DH3:DI6,2,FALSE)+IF(AND(Calculator!B8=TRUE,Backdoors!BI44=TRUE),VLOOKUP(Calculator!E23,tbSkills!DH3:DJ6,3,FALSE),0),0))&gt;=100,100,(Backdoors!AI12+IF(KC87&gt;=0.45,VLOOKUP(Calculator!E23,tbSkills!DH3:DI6,2,FALSE)+IF(AND(Calculator!B8=TRUE,Backdoors!BI44=TRUE),VLOOKUP(Calculator!E23,tbSkills!DH3:DJ6,3,FALSE),0),0)))/100)),(1-(0.25*((-Backdoors!AI12-IF(KC87&gt;=0.45,VLOOKUP(Calculator!E23,tbSkills!DH3:DI6,2,FALSE)+IF(AND(Calculator!B8=TRUE,Backdoors!BI44=TRUE),VLOOKUP(Calculator!E23,tbSkills!DH3:DJ6,3,FALSE),0),0))/100)))),1),"")</f>
        <v>1</v>
      </c>
      <c r="KF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KC87)*KE87)*(VLOOKUP(A87,tbMoveset!A2:C112,3,FALSE)/100)*IF(VLOOKUP(A87,tbMoveset!A2:B112,2,FALSE)="Projectile",Backdoors!N10,Backdoors!N9),0),"")</f>
        <v/>
      </c>
      <c r="KG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REF!&gt;0,VLOOKUP(Calculator!#REF!,tbSkills!AC3:AD5,2,FALSE),Backdoors!AL3)*(IF((Backdoors!AI12+IF(KC87&gt;=0.45,VLOOKUP(Calculator!E23,tbSkills!DH3:DI6,2,FALSE)+IF(AND(Calculator!B8=TRUE,Backdoors!BI44=TRUE),VLOOKUP(Calculator!E23,tbSkills!DH3:DJ6,3,FALSE),0),0))&gt;=100,100,(Backdoors!AI12+IF(KC87&gt;=0.45,VLOOKUP(Calculator!E23,tbSkills!DH3:DI6,2,FALSE)+IF(AND(Calculator!B8=TRUE,Backdoors!BI44=TRUE),VLOOKUP(Calculator!E23,tbSkills!DH3:DJ6,3,FALSE),0),0)))/100)),1))*IF(VLOOKUP(A87,tbMoveset!A2:K112,11,FALSE)=TRUE,Backdoors!AC5,1))*KD87,0),"")</f>
        <v/>
      </c>
      <c r="KH87" s="49">
        <f>VLOOKUP(A87,tbMoveset!A2:G112,7,FALSE)*IFERROR(IF(Backdoors!AI12&gt;=0,1+(IF(Calculator!E40&gt;0,VLOOKUP(Calculator!E40,tbSkills!AI3:AJ5,2,FALSE),Backdoors!AL4)*(IF((Backdoors!AI12+IF(KC87&gt;=0.45,VLOOKUP(Calculator!E23,tbSkills!DH3:DI6,2,FALSE)+IF(AND(Calculator!B8=TRUE,Backdoors!BI44=TRUE),VLOOKUP(Calculator!E23,tbSkills!DH3:DJ6,3,FALSE),0),0))&gt;=100,100,(Backdoors!AI12+IF(KC87&gt;=0.45,VLOOKUP(Calculator!E23,tbSkills!DH3:DI6,2,FALSE)+IF(AND(Calculator!B8=TRUE,Backdoors!BI44=TRUE),VLOOKUP(Calculator!E23,tbSkills!DH3:DJ6,3,FALSE),0),0)))/100)),1),1)</f>
        <v>1</v>
      </c>
      <c r="KI87" s="87">
        <f t="shared" si="92"/>
        <v>0</v>
      </c>
      <c r="KJ87" s="86" t="str">
        <f>IFERROR(IF(VLOOKUP(A87,tbMoveset!A2:B112,2,FALSE)="Sever",Backdoors!AY45/100,IF(VLOOKUP(A87,tbMoveset!A2:B112,2,FALSE)="Blunt",Backdoors!AZ45/100,Backdoors!BA45/100)),"")</f>
        <v/>
      </c>
      <c r="KK87" s="49">
        <f>IFERROR(IF(VLOOKUP(tbMoveset!A87,tbMoveset!A2:H112,8,FALSE)="Other",IF(VLOOKUP(tbMoveset!A87,tbMoveset!A2:I112,9,FALSE)="Fire",Backdoors!BB45,IF(VLOOKUP(tbMoveset!A87,tbMoveset!A2:I112,9,FALSE)="Water",Backdoors!BC45,IF(VLOOKUP(tbMoveset!A87,tbMoveset!A2:I112,9,FALSE)="Thunder",Backdoors!BD45,IF(VLOOKUP(tbMoveset!A87,tbMoveset!A2:I112,9,FALSE)="Ice",Backdoors!BE45,IF(VLOOKUP(tbMoveset!A87,tbMoveset!A2:I112,9,FALSE)="Dragon",Backdoors!BF45,Backdoors!BG45)))))/100,Backdoors!BG45/100),"")</f>
        <v>0</v>
      </c>
      <c r="KL87" s="49">
        <f>IFERROR(IF(VLOOKUP(A87,tbMoveset!A2:J112,10,FALSE)=TRUE,IF((Backdoors!AI12+IF(KJ87&gt;=0.45,VLOOKUP(Calculator!E23,tbSkills!DH3:DI6,2,FALSE)+IF(AND(Calculator!B8=TRUE,Backdoors!BI45=TRUE),VLOOKUP(Calculator!E23,tbSkills!DH3:DJ6,3,FALSE),0),0))&gt;=0,1+(Backdoors!AL2*(IF((Backdoors!AI12+IF(KJ87&gt;=0.45,VLOOKUP(Calculator!E23,tbSkills!DH3:DI6,2,FALSE)+IF(AND(Calculator!B8=TRUE,Backdoors!BI45=TRUE),VLOOKUP(Calculator!E23,tbSkills!DH3:DJ6,3,FALSE),0),0))&gt;=100,100,(Backdoors!AI12+IF(KJ87&gt;=0.45,VLOOKUP(Calculator!E23,tbSkills!DH3:DI6,2,FALSE)+IF(AND(Calculator!B8=TRUE,Backdoors!BI45=TRUE),VLOOKUP(Calculator!E23,tbSkills!DH3:DJ6,3,FALSE),0),0)))/100)),(1-(0.25*((-Backdoors!AI12-IF(KJ87&gt;=0.45,VLOOKUP(Calculator!E23,tbSkills!DH3:DI6,2,FALSE)+IF(AND(Calculator!B8=TRUE,Backdoors!BI45=TRUE),VLOOKUP(Calculator!E23,tbSkills!DH3:DJ6,3,FALSE),0),0))/100)))),1),"")</f>
        <v>1</v>
      </c>
      <c r="KM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KJ87)*KL87)*(VLOOKUP(A87,tbMoveset!A2:C112,3,FALSE)/100)*IF(VLOOKUP(A87,tbMoveset!A2:B112,2,FALSE)="Projectile",Backdoors!N10,Backdoors!N9),0),"")</f>
        <v/>
      </c>
      <c r="KN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REF!&gt;0,VLOOKUP(Calculator!#REF!,tbSkills!AC3:AD5,2,FALSE),Backdoors!AL3)*(IF((Backdoors!AI12+IF(KJ87&gt;=0.45,VLOOKUP(Calculator!E23,tbSkills!DH3:DI6,2,FALSE)+IF(AND(Calculator!B8=TRUE,Backdoors!BI45=TRUE),VLOOKUP(Calculator!E23,tbSkills!DH3:DJ6,3,FALSE),0),0))&gt;=100,100,(Backdoors!AI12+IF(KJ87&gt;=0.45,VLOOKUP(Calculator!E23,tbSkills!DH3:DI6,2,FALSE)+IF(AND(Calculator!B8=TRUE,Backdoors!BI45=TRUE),VLOOKUP(Calculator!E23,tbSkills!DH3:DJ6,3,FALSE),0),0)))/100)),1))*IF(VLOOKUP(A87,tbMoveset!A2:K112,11,FALSE)=TRUE,Backdoors!AC5,1))*KK87,0),"")</f>
        <v/>
      </c>
      <c r="KO87" s="49">
        <f>VLOOKUP(A87,tbMoveset!A2:G112,7,FALSE)*IFERROR(IF(Backdoors!AI12&gt;=0,1+(IF(Calculator!E40&gt;0,VLOOKUP(Calculator!E40,tbSkills!AI3:AJ5,2,FALSE),Backdoors!AL4)*(IF((Backdoors!AI12+IF(KJ87&gt;=0.45,VLOOKUP(Calculator!E23,tbSkills!DH3:DI6,2,FALSE)+IF(AND(Calculator!B8=TRUE,Backdoors!BI45=TRUE),VLOOKUP(Calculator!E23,tbSkills!DH3:DJ6,3,FALSE),0),0))&gt;=100,100,(Backdoors!AI12+IF(KJ87&gt;=0.45,VLOOKUP(Calculator!E23,tbSkills!DH3:DI6,2,FALSE)+IF(AND(Calculator!B8=TRUE,Backdoors!BI45=TRUE),VLOOKUP(Calculator!E23,tbSkills!DH3:DJ6,3,FALSE),0),0)))/100)),1),1)</f>
        <v>1</v>
      </c>
      <c r="KP87" s="87">
        <f t="shared" si="93"/>
        <v>0</v>
      </c>
      <c r="KQ87" s="86" t="str">
        <f>IFERROR(IF(VLOOKUP(A87,tbMoveset!A2:B112,2,FALSE)="Sever",Backdoors!AY46/100,IF(VLOOKUP(A87,tbMoveset!A2:B112,2,FALSE)="Blunt",Backdoors!AZ46/100,Backdoors!BA46/100)),"")</f>
        <v/>
      </c>
      <c r="KR87" s="49">
        <f>IFERROR(IF(VLOOKUP(tbMoveset!A87,tbMoveset!A2:H112,8,FALSE)="Other",IF(VLOOKUP(tbMoveset!A87,tbMoveset!A2:I112,9,FALSE)="Fire",Backdoors!BB46,IF(VLOOKUP(tbMoveset!A87,tbMoveset!A2:I112,9,FALSE)="Water",Backdoors!BC46,IF(VLOOKUP(tbMoveset!A87,tbMoveset!A2:I112,9,FALSE)="Thunder",Backdoors!BD46,IF(VLOOKUP(tbMoveset!A87,tbMoveset!A2:I112,9,FALSE)="Ice",Backdoors!BE46,IF(VLOOKUP(tbMoveset!A87,tbMoveset!A2:I112,9,FALSE)="Dragon",Backdoors!BF46,Backdoors!BG46)))))/100,Backdoors!BG46/100),"")</f>
        <v>0</v>
      </c>
      <c r="KS87" s="49">
        <f>IFERROR(IF(VLOOKUP(A87,tbMoveset!A2:J112,10,FALSE)=TRUE,IF((Backdoors!AI12+IF(KQ87&gt;=0.45,VLOOKUP(Calculator!E23,tbSkills!DH3:DI6,2,FALSE)+IF(AND(Calculator!B8=TRUE,Backdoors!BI46=TRUE),VLOOKUP(Calculator!E23,tbSkills!DH3:DJ6,3,FALSE),0),0))&gt;=0,1+(Backdoors!AL2*(IF((Backdoors!AI12+IF(KQ87&gt;=0.45,VLOOKUP(Calculator!E23,tbSkills!DH3:DI6,2,FALSE)+IF(AND(Calculator!B8=TRUE,Backdoors!BI46=TRUE),VLOOKUP(Calculator!E23,tbSkills!DH3:DJ6,3,FALSE),0),0))&gt;=100,100,(Backdoors!AI12+IF(KQ87&gt;=0.45,VLOOKUP(Calculator!E23,tbSkills!DH3:DI6,2,FALSE)+IF(AND(Calculator!B8=TRUE,Backdoors!BI46=TRUE),VLOOKUP(Calculator!E23,tbSkills!DH3:DJ6,3,FALSE),0),0)))/100)),(1-(0.25*((-Backdoors!AI12-IF(KQ87&gt;=0.45,VLOOKUP(Calculator!E23,tbSkills!DH3:DI6,2,FALSE)+IF(AND(Calculator!B8=TRUE,Backdoors!BI46=TRUE),VLOOKUP(Calculator!E23,tbSkills!DH3:DJ6,3,FALSE),0),0))/100)))),1),"")</f>
        <v>1</v>
      </c>
      <c r="KT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KQ87)*KS87)*(VLOOKUP(A87,tbMoveset!A2:C112,3,FALSE)/100)*IF(VLOOKUP(A87,tbMoveset!A2:B112,2,FALSE)="Projectile",Backdoors!N10,Backdoors!N9),0),"")</f>
        <v/>
      </c>
      <c r="KU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REF!&gt;0,VLOOKUP(Calculator!#REF!,tbSkills!AC3:AD5,2,FALSE),Backdoors!AL3)*(IF((Backdoors!AI12+IF(KQ87&gt;=0.45,VLOOKUP(Calculator!E23,tbSkills!DH3:DI6,2,FALSE)+IF(AND(Calculator!B8=TRUE,Backdoors!BI46=TRUE),VLOOKUP(Calculator!E23,tbSkills!DH3:DJ6,3,FALSE),0),0))&gt;=100,100,(Backdoors!AI12+IF(KQ87&gt;=0.45,VLOOKUP(Calculator!E23,tbSkills!DH3:DI6,2,FALSE)+IF(AND(Calculator!B8=TRUE,Backdoors!BI46=TRUE),VLOOKUP(Calculator!E23,tbSkills!DH3:DJ6,3,FALSE),0),0)))/100)),1))*IF(VLOOKUP(A87,tbMoveset!A2:K112,11,FALSE)=TRUE,Backdoors!AC5,1))*KR87,0),"")</f>
        <v/>
      </c>
      <c r="KV87" s="49">
        <f>VLOOKUP(A87,tbMoveset!A2:G112,7,FALSE)*IFERROR(IF(Backdoors!AI12&gt;=0,1+(IF(Calculator!E40&gt;0,VLOOKUP(Calculator!E40,tbSkills!AI3:AJ5,2,FALSE),Backdoors!AL4)*(IF((Backdoors!AI12+IF(KQ87&gt;=0.45,VLOOKUP(Calculator!E23,tbSkills!DH3:DI6,2,FALSE)+IF(AND(Calculator!B8=TRUE,Backdoors!BI46=TRUE),VLOOKUP(Calculator!E23,tbSkills!DH3:DJ6,3,FALSE),0),0))&gt;=100,100,(Backdoors!AI12+IF(KQ87&gt;=0.45,VLOOKUP(Calculator!E23,tbSkills!DH3:DI6,2,FALSE)+IF(AND(Calculator!B8=TRUE,Backdoors!BI46=TRUE),VLOOKUP(Calculator!E23,tbSkills!DH3:DJ6,3,FALSE),0),0)))/100)),1),1)</f>
        <v>1</v>
      </c>
      <c r="KW87" s="87">
        <f t="shared" si="94"/>
        <v>0</v>
      </c>
    </row>
    <row r="88" spans="1:309" x14ac:dyDescent="0.25">
      <c r="A88" s="95" t="str">
        <f>tbMoveset!A88</f>
        <v>Heavenly Blade Dance Finisher (L)</v>
      </c>
      <c r="B88" s="86">
        <f>IFERROR(IF(VLOOKUP(A88,tbMoveset!A2:B112,2,FALSE)="Sever",Backdoors!AY3/100,IF(VLOOKUP(A88,tbMoveset!A2:B112,2,FALSE)="Blunt",Backdoors!AZ3/100,Backdoors!BA3/100)),"")</f>
        <v>0.8</v>
      </c>
      <c r="C88" s="49">
        <f>IFERROR(IF(VLOOKUP(tbMoveset!A88,tbMoveset!A2:H112,8,FALSE)="Other",IF(VLOOKUP(tbMoveset!A88,tbMoveset!A2:I112,9,FALSE)="Fire",Backdoors!BB3,IF(VLOOKUP(tbMoveset!A88,tbMoveset!A2:I112,9,FALSE)="Water",Backdoors!BC3,IF(VLOOKUP(tbMoveset!A88,tbMoveset!A2:I112,9,FALSE)="Thunder",Backdoors!BD3,IF(VLOOKUP(tbMoveset!A88,tbMoveset!A2:I112,9,FALSE)="Ice",Backdoors!BE3,IF(VLOOKUP(tbMoveset!A88,tbMoveset!A2:I112,9,FALSE)="Dragon",Backdoors!BF3,Backdoors!BG3)))))/100,Backdoors!BG3/100),"")</f>
        <v>0</v>
      </c>
      <c r="D88" s="49">
        <f>IFERROR(IF(VLOOKUP(A88,tbMoveset!A2:J112,10,FALSE)=TRUE,IF((Backdoors!AI12+IF(B88&gt;=0.45,VLOOKUP(Calculator!E23,tbSkills!DH3:DI6,2,FALSE)+IF(AND(Calculator!B8=TRUE,Backdoors!BI3=TRUE),VLOOKUP(Calculator!E23,tbSkills!DH3:DJ6,3,FALSE),0),0))&gt;=0,1+(Backdoors!AL2*(IF((Backdoors!AI12+IF(B88&gt;=0.45,VLOOKUP(Calculator!E23,tbSkills!DH3:DI6,2,FALSE)+IF(AND(Calculator!B8=TRUE,Backdoors!BI3=TRUE),VLOOKUP(Calculator!E23,tbSkills!DH3:DJ6,3,FALSE),0),0))&gt;=100,100,(Backdoors!AI12+IF(B88&gt;=0.45,VLOOKUP(Calculator!E23,tbSkills!DH3:DI6,2,FALSE)+IF(AND(Calculator!B8=TRUE,Backdoors!BI3=TRUE),VLOOKUP(Calculator!E23,tbSkills!DH3:DJ6,3,FALSE),0),0)))/100)),(1-(0.25*((-Backdoors!AI12-IF(B88&gt;=0.45,VLOOKUP(Calculator!E23,tbSkills!DH3:DI6,2,FALSE)+IF(AND(Calculator!B8=TRUE,Backdoors!BI3=TRUE),VLOOKUP(Calculator!E23,tbSkills!DH3:DJ6,3,FALSE),0),0))/100)))),1),"")</f>
        <v>1</v>
      </c>
      <c r="E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88)*D88)*(VLOOKUP(A88,tbMoveset!A2:C112,3,FALSE)/100)*IF(VLOOKUP(A88,tbMoveset!A2:B112,2,FALSE)="Projectile",Backdoors!N10,Backdoors!N9),0),"")</f>
        <v>14</v>
      </c>
      <c r="F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88&gt;=0.45,VLOOKUP(Calculator!E23,tbSkills!DH3:DI6,2,FALSE)+IF(AND(Calculator!B8=TRUE,Backdoors!BI3=TRUE),VLOOKUP(Calculator!E23,tbSkills!DH3:DJ6,3,FALSE),0),0))&gt;=100,100,(Backdoors!AI12+IF(B88&gt;=0.45,VLOOKUP(Calculator!E23,tbSkills!DH3:DI6,2,FALSE)+IF(AND(Calculator!B8=TRUE,Backdoors!BI3=TRUE),VLOOKUP(Calculator!E23,tbSkills!DH3:DJ6,3,FALSE),0),0)))/100)),1))*IF(VLOOKUP(A88,tbMoveset!A2:K112,11,FALSE)=TRUE,Backdoors!AC5,1))*C88,0),"")</f>
        <v>0</v>
      </c>
      <c r="G88">
        <f>VLOOKUP(A88,tbMoveset!A2:G112,7,FALSE)*IFERROR(IF(Backdoors!AI12&gt;=0,1+(IF(Calculator!E40&gt;0,VLOOKUP(Calculator!E40,tbSkills!AI3:AJ5,2,FALSE),Backdoors!AL4)*(IF((Backdoors!AI12+IF(B88&gt;=0.45,VLOOKUP(Calculator!E23,tbSkills!DH3:DI6,2,FALSE)+IF(AND(Calculator!B8=TRUE,Backdoors!BI3=TRUE),VLOOKUP(Calculator!E23,tbSkills!DH3:DJ6,3,FALSE),0),0))&gt;=100,100,(Backdoors!AI12+IF(B88&gt;=0.45,VLOOKUP(Calculator!E23,tbSkills!DH3:DI6,2,FALSE)+IF(AND(Calculator!B8=TRUE,Backdoors!BI3=TRUE),VLOOKUP(Calculator!E23,tbSkills!DH3:DJ6,3,FALSE),0),0)))/100)),1),1)</f>
        <v>1</v>
      </c>
      <c r="H88" s="87">
        <f t="shared" si="51"/>
        <v>14</v>
      </c>
      <c r="I88" s="86">
        <f>IFERROR(IF(VLOOKUP(A88,tbMoveset!A2:B112,2,FALSE)="Sever",Backdoors!AY4/100,IF(VLOOKUP(A88,tbMoveset!A2:B112,2,FALSE)="Blunt",Backdoors!AZ4/100,Backdoors!BA4/100)),"")</f>
        <v>0.65</v>
      </c>
      <c r="J88" s="49">
        <f>IFERROR(IF(VLOOKUP(tbMoveset!A88,tbMoveset!A2:H112,8,FALSE)="Other",IF(VLOOKUP(tbMoveset!A88,tbMoveset!A2:I112,9,FALSE)="Fire",Backdoors!BB4,IF(VLOOKUP(tbMoveset!A88,tbMoveset!A2:I112,9,FALSE)="Water",Backdoors!BC4,IF(VLOOKUP(tbMoveset!A88,tbMoveset!A2:I112,9,FALSE)="Thunder",Backdoors!BD4,IF(VLOOKUP(tbMoveset!A88,tbMoveset!A2:I112,9,FALSE)="Ice",Backdoors!BE4,IF(VLOOKUP(tbMoveset!A88,tbMoveset!A2:I112,9,FALSE)="Dragon",Backdoors!BF4,Backdoors!BG4)))))/100,Backdoors!BG4/100),"")</f>
        <v>0</v>
      </c>
      <c r="K88" s="49">
        <f>IFERROR(IF(VLOOKUP(A88,tbMoveset!A2:J112,10,FALSE)=TRUE,IF((Backdoors!AI12+IF(I88&gt;=0.45,VLOOKUP(Calculator!E23,tbSkills!DH3:DI6,2,FALSE)+IF(AND(Calculator!B8=TRUE,Backdoors!BI4=TRUE),VLOOKUP(Calculator!E23,tbSkills!DH3:DJ6,3,FALSE),0),0))&gt;=0,1+(Backdoors!AL2*(IF((Backdoors!AI12+IF(I88&gt;=0.45,VLOOKUP(Calculator!E23,tbSkills!DH3:DI6,2,FALSE)+IF(AND(Calculator!B8=TRUE,Backdoors!BI4=TRUE),VLOOKUP(Calculator!E23,tbSkills!DH3:DJ6,3,FALSE),0),0))&gt;=100,100,(Backdoors!AI12+IF(I88&gt;=0.45,VLOOKUP(Calculator!E23,tbSkills!DH3:DI6,2,FALSE)+IF(AND(Calculator!B8=TRUE,Backdoors!BI4=TRUE),VLOOKUP(Calculator!E23,tbSkills!DH3:DJ6,3,FALSE),0),0)))/100)),(1-(0.25*((-Backdoors!AI12-IF(I88&gt;=0.45,VLOOKUP(Calculator!E23,tbSkills!DH3:DI6,2,FALSE)+IF(AND(Calculator!B8=TRUE,Backdoors!BI4=TRUE),VLOOKUP(Calculator!E23,tbSkills!DH3:DJ6,3,FALSE),0),0))/100)))),1),"")</f>
        <v>1</v>
      </c>
      <c r="L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88)*K88)*(VLOOKUP(A88,tbMoveset!A2:C112,3,FALSE)/100)*IF(VLOOKUP(A88,tbMoveset!A2:B112,2,FALSE)="Projectile",Backdoors!N10,Backdoors!N9),0),"")</f>
        <v>11</v>
      </c>
      <c r="M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I88&gt;=0.45,VLOOKUP(Calculator!E23,tbSkills!DH3:DI6,2,FALSE)+IF(AND(Calculator!B8=TRUE,Backdoors!BI4=TRUE),VLOOKUP(Calculator!E23,tbSkills!DH3:DJ6,3,FALSE),0),0))&gt;=100,100,(Backdoors!AI12+IF(I88&gt;=0.45,VLOOKUP(Calculator!E23,tbSkills!DH3:DI6,2,FALSE)+IF(AND(Calculator!B8=TRUE,Backdoors!BI4=TRUE),VLOOKUP(Calculator!E23,tbSkills!DH3:DJ6,3,FALSE),0),0)))/100)),1))*IF(VLOOKUP(A88,tbMoveset!A2:K112,11,FALSE)=TRUE,Backdoors!AC5,1))*J88,0),"")</f>
        <v>0</v>
      </c>
      <c r="N88" s="49">
        <f>VLOOKUP(A88,tbMoveset!A2:G112,7,FALSE)*IFERROR(IF(Backdoors!AI12&gt;=0,1+(IF(Calculator!E40&gt;0,VLOOKUP(Calculator!E40,tbSkills!AI3:AJ5,2,FALSE),Backdoors!AL4)*(IF((Backdoors!AI12+IF(I88&gt;=0.45,VLOOKUP(Calculator!E23,tbSkills!DH3:DI6,2,FALSE)+IF(AND(Calculator!B8=TRUE,Backdoors!BI4=TRUE),VLOOKUP(Calculator!E23,tbSkills!DH3:DJ6,3,FALSE),0),0))&gt;=100,100,(Backdoors!AI12+IF(I88&gt;=0.45,VLOOKUP(Calculator!E23,tbSkills!DH3:DI6,2,FALSE)+IF(AND(Calculator!B8=TRUE,Backdoors!BI4=TRUE),VLOOKUP(Calculator!E23,tbSkills!DH3:DJ6,3,FALSE),0),0)))/100)),1),1)</f>
        <v>1</v>
      </c>
      <c r="O88" s="87">
        <f t="shared" si="52"/>
        <v>11</v>
      </c>
      <c r="P88" s="86">
        <f>IFERROR(IF(VLOOKUP(A88,tbMoveset!A2:B112,2,FALSE)="Sever",Backdoors!AY5/100,IF(VLOOKUP(A88,tbMoveset!A2:B112,2,FALSE)="Blunt",Backdoors!AZ5/100,Backdoors!BA5/100)),"")</f>
        <v>0.5</v>
      </c>
      <c r="Q88" s="49">
        <f>IFERROR(IF(VLOOKUP(tbMoveset!A88,tbMoveset!A2:H112,8,FALSE)="Other",IF(VLOOKUP(tbMoveset!A88,tbMoveset!A2:I112,9,FALSE)="Fire",Backdoors!BB5,IF(VLOOKUP(tbMoveset!A88,tbMoveset!A2:I112,9,FALSE)="Water",Backdoors!BC5,IF(VLOOKUP(tbMoveset!A88,tbMoveset!A2:I112,9,FALSE)="Thunder",Backdoors!BD5,IF(VLOOKUP(tbMoveset!A88,tbMoveset!A2:I112,9,FALSE)="Ice",Backdoors!BE5,IF(VLOOKUP(tbMoveset!A88,tbMoveset!A2:I112,9,FALSE)="Dragon",Backdoors!BF5,Backdoors!BG5)))))/100,Backdoors!BG5/100),"")</f>
        <v>0</v>
      </c>
      <c r="R88" s="49">
        <f>IFERROR(IF(VLOOKUP(A88,tbMoveset!A2:J112,10,FALSE)=TRUE,IF((Backdoors!AI12+IF(P88&gt;=0.45,VLOOKUP(Calculator!E23,tbSkills!DH3:DI6,2,FALSE)+IF(AND(Calculator!B8=TRUE,Backdoors!BI5=TRUE),VLOOKUP(Calculator!E23,tbSkills!DH3:DJ6,3,FALSE),0),0))&gt;=0,1+(Backdoors!AL2*(IF((Backdoors!AI12+IF(P88&gt;=0.45,VLOOKUP(Calculator!E23,tbSkills!DH3:DI6,2,FALSE)+IF(AND(Calculator!B8=TRUE,Backdoors!BI5=TRUE),VLOOKUP(Calculator!E23,tbSkills!DH3:DJ6,3,FALSE),0),0))&gt;=100,100,(Backdoors!AI12+IF(P88&gt;=0.45,VLOOKUP(Calculator!E23,tbSkills!DH3:DI6,2,FALSE)+IF(AND(Calculator!B8=TRUE,Backdoors!BI5=TRUE),VLOOKUP(Calculator!E23,tbSkills!DH3:DJ6,3,FALSE),0),0)))/100)),(1-(0.25*((-Backdoors!AI12-IF(P88&gt;=0.45,VLOOKUP(Calculator!E23,tbSkills!DH3:DI6,2,FALSE)+IF(AND(Calculator!B8=TRUE,Backdoors!BI5=TRUE),VLOOKUP(Calculator!E23,tbSkills!DH3:DJ6,3,FALSE),0),0))/100)))),1),"")</f>
        <v>1</v>
      </c>
      <c r="S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P88)*R88)*(VLOOKUP(A88,tbMoveset!A2:C112,3,FALSE)/100)*IF(VLOOKUP(A88,tbMoveset!A2:B112,2,FALSE)="Projectile",Backdoors!N10,Backdoors!N9),0),"")</f>
        <v>9</v>
      </c>
      <c r="T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P88&gt;=0.45,VLOOKUP(Calculator!E23,tbSkills!DH3:DI6,2,FALSE)+IF(AND(Calculator!B8=TRUE,Backdoors!BI5=TRUE),VLOOKUP(Calculator!E23,tbSkills!DH3:DJ6,3,FALSE),0),0))&gt;=100,100,(Backdoors!AI12+IF(P88&gt;=0.45,VLOOKUP(Calculator!E23,tbSkills!DH3:DI6,2,FALSE)+IF(AND(Calculator!B8=TRUE,Backdoors!BI5=TRUE),VLOOKUP(Calculator!E23,tbSkills!DH3:DJ6,3,FALSE),0),0)))/100)),1))*IF(VLOOKUP(A88,tbMoveset!A2:K112,11,FALSE)=TRUE,Backdoors!AC5,1))*Q88,0),"")</f>
        <v>0</v>
      </c>
      <c r="U88" s="49">
        <f>VLOOKUP(A88,tbMoveset!A2:G112,7,FALSE)*IFERROR(IF(Backdoors!AI12&gt;=0,1+(IF(Calculator!E40&gt;0,VLOOKUP(Calculator!E40,tbSkills!AI3:AJ5,2,FALSE),Backdoors!AL4)*(IF((Backdoors!AI12+IF(P88&gt;=0.45,VLOOKUP(Calculator!E23,tbSkills!DH3:DI6,2,FALSE)+IF(AND(Calculator!B8=TRUE,Backdoors!BI5=TRUE),VLOOKUP(Calculator!E23,tbSkills!DH3:DJ6,3,FALSE),0),0))&gt;=100,100,(Backdoors!AI12+IF(P88&gt;=0.45,VLOOKUP(Calculator!E23,tbSkills!DH3:DI6,2,FALSE)+IF(AND(Calculator!B8=TRUE,Backdoors!BI5=TRUE),VLOOKUP(Calculator!E23,tbSkills!DH3:DJ6,3,FALSE),0),0)))/100)),1),1)</f>
        <v>1</v>
      </c>
      <c r="V88" s="87">
        <f t="shared" si="53"/>
        <v>9</v>
      </c>
      <c r="W88" s="86">
        <f>IFERROR(IF(VLOOKUP(A88,tbMoveset!A2:B112,2,FALSE)="Sever",Backdoors!AY6/100,IF(VLOOKUP(A88,tbMoveset!A2:B112,2,FALSE)="Blunt",Backdoors!AZ6/100,Backdoors!BA6/100)),"")</f>
        <v>0.45</v>
      </c>
      <c r="X88" s="49">
        <f>IFERROR(IF(VLOOKUP(tbMoveset!A88,tbMoveset!A2:H112,8,FALSE)="Other",IF(VLOOKUP(tbMoveset!A88,tbMoveset!A2:I112,9,FALSE)="Fire",Backdoors!BB6,IF(VLOOKUP(tbMoveset!A88,tbMoveset!A2:I112,9,FALSE)="Water",Backdoors!BC6,IF(VLOOKUP(tbMoveset!A88,tbMoveset!A2:I112,9,FALSE)="Thunder",Backdoors!BD6,IF(VLOOKUP(tbMoveset!A88,tbMoveset!A2:I112,9,FALSE)="Ice",Backdoors!BE6,IF(VLOOKUP(tbMoveset!A88,tbMoveset!A2:I112,9,FALSE)="Dragon",Backdoors!BF6,Backdoors!BG6)))))/100,Backdoors!BG6/100),"")</f>
        <v>0</v>
      </c>
      <c r="Y88" s="49">
        <f>IFERROR(IF(VLOOKUP(A88,tbMoveset!A2:J112,10,FALSE)=TRUE,IF((Backdoors!AI12+IF(W88&gt;=0.45,VLOOKUP(Calculator!E23,tbSkills!DH3:DI6,2,FALSE)+IF(AND(Calculator!B8=TRUE,Backdoors!BI6=TRUE),VLOOKUP(Calculator!E23,tbSkills!DH3:DJ6,3,FALSE),0),0))&gt;=0,1+(Backdoors!AL2*(IF((Backdoors!AI12+IF(W88&gt;=0.45,VLOOKUP(Calculator!E23,tbSkills!DH3:DI6,2,FALSE)+IF(AND(Calculator!B8=TRUE,Backdoors!BI6=TRUE),VLOOKUP(Calculator!E23,tbSkills!DH3:DJ6,3,FALSE),0),0))&gt;=100,100,(Backdoors!AI12+IF(W88&gt;=0.45,VLOOKUP(Calculator!E23,tbSkills!DH3:DI6,2,FALSE)+IF(AND(Calculator!B8=TRUE,Backdoors!BI6=TRUE),VLOOKUP(Calculator!E23,tbSkills!DH3:DJ6,3,FALSE),0),0)))/100)),(1-(0.25*((-Backdoors!AI12-IF(W88&gt;=0.45,VLOOKUP(Calculator!E23,tbSkills!DH3:DI6,2,FALSE)+IF(AND(Calculator!B8=TRUE,Backdoors!BI6=TRUE),VLOOKUP(Calculator!E23,tbSkills!DH3:DJ6,3,FALSE),0),0))/100)))),1),"")</f>
        <v>1</v>
      </c>
      <c r="Z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W88)*Y88)*(VLOOKUP(A88,tbMoveset!A2:C112,3,FALSE)/100)*IF(VLOOKUP(A88,tbMoveset!A2:B112,2,FALSE)="Projectile",Backdoors!N10,Backdoors!N9),0),"")</f>
        <v>8</v>
      </c>
      <c r="AA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W88&gt;=0.45,VLOOKUP(Calculator!E23,tbSkills!DH3:DI6,2,FALSE)+IF(AND(Calculator!B8=TRUE,Backdoors!BI6=TRUE),VLOOKUP(Calculator!E23,tbSkills!DH3:DJ6,3,FALSE),0),0))&gt;=100,100,(Backdoors!AI12+IF(W88&gt;=0.45,VLOOKUP(Calculator!E23,tbSkills!DH3:DI6,2,FALSE)+IF(AND(Calculator!B8=TRUE,Backdoors!BI6=TRUE),VLOOKUP(Calculator!E23,tbSkills!DH3:DJ6,3,FALSE),0),0)))/100)),1))*IF(VLOOKUP(A88,tbMoveset!A2:K112,11,FALSE)=TRUE,Backdoors!AC5,1))*X88,0),"")</f>
        <v>0</v>
      </c>
      <c r="AB88" s="49">
        <f>VLOOKUP(A88,tbMoveset!A2:G112,7,FALSE)*IFERROR(IF(Backdoors!AI12&gt;=0,1+(IF(Calculator!E40&gt;0,VLOOKUP(Calculator!E40,tbSkills!AI3:AJ5,2,FALSE),Backdoors!AL4)*(IF((Backdoors!AI12+IF(W88&gt;=0.45,VLOOKUP(Calculator!E23,tbSkills!DH3:DI6,2,FALSE)+IF(AND(Calculator!B8=TRUE,Backdoors!BI6=TRUE),VLOOKUP(Calculator!E23,tbSkills!DH3:DJ6,3,FALSE),0),0))&gt;=100,100,(Backdoors!AI12+IF(W88&gt;=0.45,VLOOKUP(Calculator!E23,tbSkills!DH3:DI6,2,FALSE)+IF(AND(Calculator!B8=TRUE,Backdoors!BI6=TRUE),VLOOKUP(Calculator!E23,tbSkills!DH3:DJ6,3,FALSE),0),0)))/100)),1),1)</f>
        <v>1</v>
      </c>
      <c r="AC88" s="87">
        <f t="shared" si="54"/>
        <v>8</v>
      </c>
      <c r="AD88" s="86">
        <f>IFERROR(IF(VLOOKUP(A88,tbMoveset!A2:B112,2,FALSE)="Sever",Backdoors!AY7/100,IF(VLOOKUP(A88,tbMoveset!A2:B112,2,FALSE)="Blunt",Backdoors!AZ7/100,Backdoors!BA7/100)),"")</f>
        <v>0.65</v>
      </c>
      <c r="AE88" s="49">
        <f>IFERROR(IF(VLOOKUP(tbMoveset!A88,tbMoveset!A2:H112,8,FALSE)="Other",IF(VLOOKUP(tbMoveset!A88,tbMoveset!A2:I112,9,FALSE)="Fire",Backdoors!BB7,IF(VLOOKUP(tbMoveset!A88,tbMoveset!A2:I112,9,FALSE)="Water",Backdoors!BC7,IF(VLOOKUP(tbMoveset!A88,tbMoveset!A2:I112,9,FALSE)="Thunder",Backdoors!BD7,IF(VLOOKUP(tbMoveset!A88,tbMoveset!A2:I112,9,FALSE)="Ice",Backdoors!BE7,IF(VLOOKUP(tbMoveset!A88,tbMoveset!A2:I112,9,FALSE)="Dragon",Backdoors!BF7,Backdoors!BG7)))))/100,Backdoors!BG7/100),"")</f>
        <v>0</v>
      </c>
      <c r="AF88" s="49">
        <f>IFERROR(IF(VLOOKUP(A88,tbMoveset!A2:J112,10,FALSE)=TRUE,IF((Backdoors!AI12+IF(AD88&gt;=0.45,VLOOKUP(Calculator!E23,tbSkills!DH3:DI6,2,FALSE)+IF(AND(Calculator!B8=TRUE,Backdoors!BI7=TRUE),VLOOKUP(Calculator!E23,tbSkills!DH3:DJ6,3,FALSE),0),0))&gt;=0,1+(Backdoors!AL2*(IF((Backdoors!AI12+IF(AD88&gt;=0.45,VLOOKUP(Calculator!E23,tbSkills!DH3:DI6,2,FALSE)+IF(AND(Calculator!B8=TRUE,Backdoors!BI7=TRUE),VLOOKUP(Calculator!E23,tbSkills!DH3:DJ6,3,FALSE),0),0))&gt;=100,100,(Backdoors!AI12+IF(AD88&gt;=0.45,VLOOKUP(Calculator!E23,tbSkills!DH3:DI6,2,FALSE)+IF(AND(Calculator!B8=TRUE,Backdoors!BI7=TRUE),VLOOKUP(Calculator!E23,tbSkills!DH3:DJ6,3,FALSE),0),0)))/100)),(1-(0.25*((-Backdoors!AI12-IF(AD88&gt;=0.45,VLOOKUP(Calculator!E23,tbSkills!DH3:DI6,2,FALSE)+IF(AND(Calculator!B8=TRUE,Backdoors!BI7=TRUE),VLOOKUP(Calculator!E23,tbSkills!DH3:DJ6,3,FALSE),0),0))/100)))),1),"")</f>
        <v>1</v>
      </c>
      <c r="AG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D88)*AF88)*(VLOOKUP(A88,tbMoveset!A2:C112,3,FALSE)/100)*IF(VLOOKUP(A88,tbMoveset!A2:B112,2,FALSE)="Projectile",Backdoors!N10,Backdoors!N9),0),"")</f>
        <v>11</v>
      </c>
      <c r="AH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D88&gt;=0.45,VLOOKUP(Calculator!E23,tbSkills!DH3:DI6,2,FALSE)+IF(AND(Calculator!B8=TRUE,Backdoors!BI7=TRUE),VLOOKUP(Calculator!E23,tbSkills!DH3:DJ6,3,FALSE),0),0))&gt;=100,100,(Backdoors!AI12+IF(AD88&gt;=0.45,VLOOKUP(Calculator!E23,tbSkills!DH3:DI6,2,FALSE)+IF(AND(Calculator!B8=TRUE,Backdoors!BI7=TRUE),VLOOKUP(Calculator!E23,tbSkills!DH3:DJ6,3,FALSE),0),0)))/100)),1))*IF(VLOOKUP(A88,tbMoveset!A2:K112,11,FALSE)=TRUE,Backdoors!AC5,1))*AE88,0),"")</f>
        <v>0</v>
      </c>
      <c r="AI88" s="49">
        <f>VLOOKUP(A88,tbMoveset!A2:G112,7,FALSE)*IFERROR(IF(Backdoors!AI12&gt;=0,1+(IF(Calculator!E40&gt;0,VLOOKUP(Calculator!E40,tbSkills!AI3:AJ5,2,FALSE),Backdoors!AL4)*(IF((Backdoors!AI12+IF(AD88&gt;=0.45,VLOOKUP(Calculator!E23,tbSkills!DH3:DI6,2,FALSE)+IF(AND(Calculator!B8=TRUE,Backdoors!BI7=TRUE),VLOOKUP(Calculator!E23,tbSkills!DH3:DJ6,3,FALSE),0),0))&gt;=100,100,(Backdoors!AI12+IF(AD88&gt;=0.45,VLOOKUP(Calculator!E23,tbSkills!DH3:DI6,2,FALSE)+IF(AND(Calculator!B8=TRUE,Backdoors!BI7=TRUE),VLOOKUP(Calculator!E23,tbSkills!DH3:DJ6,3,FALSE),0),0)))/100)),1),1)</f>
        <v>1</v>
      </c>
      <c r="AJ88" s="87">
        <f t="shared" si="55"/>
        <v>11</v>
      </c>
      <c r="AK88" s="91">
        <f>IFERROR(IF(VLOOKUP(A88,tbMoveset!A2:B112,2,FALSE)="Sever",Backdoors!AY8/100,IF(VLOOKUP(A88,tbMoveset!A2:B112,2,FALSE)="Blunt",Backdoors!AZ8/100,Backdoors!BA8/100)),"")</f>
        <v>0.45</v>
      </c>
      <c r="AL88" s="49">
        <f>IFERROR(IF(VLOOKUP(tbMoveset!A88,tbMoveset!A2:H112,8,FALSE)="Other",IF(VLOOKUP(tbMoveset!A88,tbMoveset!A2:I112,9,FALSE)="Fire",Backdoors!BB8,IF(VLOOKUP(tbMoveset!A88,tbMoveset!A2:I112,9,FALSE)="Water",Backdoors!BC8,IF(VLOOKUP(tbMoveset!A88,tbMoveset!A2:I112,9,FALSE)="Thunder",Backdoors!BD8,IF(VLOOKUP(tbMoveset!A88,tbMoveset!A2:I112,9,FALSE)="Ice",Backdoors!BE8,IF(VLOOKUP(tbMoveset!A88,tbMoveset!A2:I112,9,FALSE)="Dragon",Backdoors!BF8,Backdoors!BG8)))))/100,Backdoors!BG8/100),"")</f>
        <v>0</v>
      </c>
      <c r="AM88" s="49">
        <f>IFERROR(IF(VLOOKUP(A88,tbMoveset!A2:J112,10,FALSE)=TRUE,IF((Backdoors!AI12+IF(AK88&gt;=0.45,VLOOKUP(Calculator!E23,tbSkills!DH3:DI6,2,FALSE)+IF(AND(Calculator!B8=TRUE,Backdoors!BI8=TRUE),VLOOKUP(Calculator!E23,tbSkills!DH3:DJ6,3,FALSE),0),0))&gt;=0,1+(Backdoors!AL2*(IF((Backdoors!AI12+IF(AK88&gt;=0.45,VLOOKUP(Calculator!E23,tbSkills!DH3:DI6,2,FALSE)+IF(AND(Calculator!B8=TRUE,Backdoors!BI8=TRUE),VLOOKUP(Calculator!E23,tbSkills!DH3:DJ6,3,FALSE),0),0))&gt;=100,100,(Backdoors!AI12+IF(AK88&gt;=0.45,VLOOKUP(Calculator!E23,tbSkills!DH3:DI6,2,FALSE)+IF(AND(Calculator!B8=TRUE,Backdoors!BI8=TRUE),VLOOKUP(Calculator!E23,tbSkills!DH3:DJ6,3,FALSE),0),0)))/100)),(1-(0.25*((-Backdoors!AI12-IF(AK88&gt;=0.45,VLOOKUP(Calculator!E23,tbSkills!DH3:DI6,2,FALSE)+IF(AND(Calculator!B8=TRUE,Backdoors!BI8=TRUE),VLOOKUP(Calculator!E23,tbSkills!DH3:DJ6,3,FALSE),0),0))/100)))),1),"")</f>
        <v>1</v>
      </c>
      <c r="AN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K88)*AM88)*(VLOOKUP(A88,tbMoveset!A2:C112,3,FALSE)/100)*IF(VLOOKUP(A88,tbMoveset!A2:B112,2,FALSE)="Projectile",Backdoors!N10,Backdoors!N9),0),"")</f>
        <v>8</v>
      </c>
      <c r="AO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K88&gt;=0.45,VLOOKUP(Calculator!E23,tbSkills!DH3:DI6,2,FALSE)+IF(AND(Calculator!B8=TRUE,Backdoors!BI8=TRUE),VLOOKUP(Calculator!E23,tbSkills!DH3:DJ6,3,FALSE),0),0))&gt;=100,100,(Backdoors!AI12+IF(AK88&gt;=0.45,VLOOKUP(Calculator!E23,tbSkills!DH3:DI6,2,FALSE)+IF(AND(Calculator!B8=TRUE,Backdoors!BI8=TRUE),VLOOKUP(Calculator!E23,tbSkills!DH3:DJ6,3,FALSE),0),0)))/100)),1))*IF(VLOOKUP(A88,tbMoveset!A2:K112,11,FALSE)=TRUE,Backdoors!AC5,1))*AL88,0),"")</f>
        <v>0</v>
      </c>
      <c r="AP88" s="49">
        <f>VLOOKUP(A88,tbMoveset!A2:G112,7,FALSE)*IFERROR(IF(Backdoors!AI12&gt;=0,1+(IF(Calculator!E40&gt;0,VLOOKUP(Calculator!E40,tbSkills!AI3:AJ5,2,FALSE),Backdoors!AL4)*(IF((Backdoors!AI12+IF(AK88&gt;=0.45,VLOOKUP(Calculator!E23,tbSkills!DH3:DI6,2,FALSE)+IF(AND(Calculator!B8=TRUE,Backdoors!BI8=TRUE),VLOOKUP(Calculator!E23,tbSkills!DH3:DJ6,3,FALSE),0),0))&gt;=100,100,(Backdoors!AI12+IF(AK88&gt;=0.45,VLOOKUP(Calculator!E23,tbSkills!DH3:DI6,2,FALSE)+IF(AND(Calculator!B8=TRUE,Backdoors!BI8=TRUE),VLOOKUP(Calculator!E23,tbSkills!DH3:DJ6,3,FALSE),0),0)))/100)),1),1)</f>
        <v>1</v>
      </c>
      <c r="AQ88" s="87">
        <f t="shared" si="56"/>
        <v>8</v>
      </c>
      <c r="AR88" s="86">
        <f>IFERROR(IF(VLOOKUP(A88,tbMoveset!A2:B112,2,FALSE)="Sever",Backdoors!AY9/100,IF(VLOOKUP(A88,tbMoveset!A2:B112,2,FALSE)="Blunt",Backdoors!AZ9/100,Backdoors!BA9/100)),"")</f>
        <v>0.45</v>
      </c>
      <c r="AS88" s="49">
        <f>IFERROR(IF(VLOOKUP(tbMoveset!A88,tbMoveset!A2:H112,8,FALSE)="Other",IF(VLOOKUP(tbMoveset!A88,tbMoveset!A2:I112,9,FALSE)="Fire",Backdoors!BB9,IF(VLOOKUP(tbMoveset!A88,tbMoveset!A2:I112,9,FALSE)="Water",Backdoors!BC9,IF(VLOOKUP(tbMoveset!A88,tbMoveset!A2:I112,9,FALSE)="Thunder",Backdoors!BD9,IF(VLOOKUP(tbMoveset!A88,tbMoveset!A2:I112,9,FALSE)="Ice",Backdoors!BE9,IF(VLOOKUP(tbMoveset!A88,tbMoveset!A2:I112,9,FALSE)="Dragon",Backdoors!BF9,Backdoors!BG9)))))/100,Backdoors!BG9/100),"")</f>
        <v>0</v>
      </c>
      <c r="AT88" s="49">
        <f>IFERROR(IF(VLOOKUP(A88,tbMoveset!A2:J112,10,FALSE)=TRUE,IF((Backdoors!AI12+IF(AR88&gt;=0.45,VLOOKUP(Calculator!E23,tbSkills!DH3:DI6,2,FALSE)+IF(AND(Calculator!B8=TRUE,Backdoors!BI9=TRUE),VLOOKUP(Calculator!E23,tbSkills!DH3:DJ6,3,FALSE),0),0))&gt;=0,1+(Backdoors!AL2*(IF((Backdoors!AI12+IF(AR88&gt;=0.45,VLOOKUP(Calculator!E23,tbSkills!DH3:DI6,2,FALSE)+IF(AND(Calculator!B8=TRUE,Backdoors!BI9=TRUE),VLOOKUP(Calculator!E23,tbSkills!DH3:DJ6,3,FALSE),0),0))&gt;=100,100,(Backdoors!AI12+IF(AR88&gt;=0.45,VLOOKUP(Calculator!E23,tbSkills!DH3:DI6,2,FALSE)+IF(AND(Calculator!B8=TRUE,Backdoors!BI9=TRUE),VLOOKUP(Calculator!E23,tbSkills!DH3:DJ6,3,FALSE),0),0)))/100)),(1-(0.25*((-Backdoors!AI12-IF(AR88&gt;=0.45,VLOOKUP(Calculator!E23,tbSkills!DH3:DI6,2,FALSE)+IF(AND(Calculator!B8=TRUE,Backdoors!BI9=TRUE),VLOOKUP(Calculator!E23,tbSkills!DH3:DJ6,3,FALSE),0),0))/100)))),1),"")</f>
        <v>1</v>
      </c>
      <c r="AU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R88)*AT88)*(VLOOKUP(A88,tbMoveset!A2:C112,3,FALSE)/100)*IF(VLOOKUP(A88,tbMoveset!A2:B112,2,FALSE)="Projectile",Backdoors!N10,Backdoors!N9),0),"")</f>
        <v>8</v>
      </c>
      <c r="AV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R88&gt;=0.45,VLOOKUP(Calculator!E23,tbSkills!DH3:DI6,2,FALSE)+IF(AND(Calculator!B8=TRUE,Backdoors!BI9=TRUE),VLOOKUP(Calculator!E23,tbSkills!DH3:DJ6,3,FALSE),0),0))&gt;=100,100,(Backdoors!AI12+IF(AR88&gt;=0.45,VLOOKUP(Calculator!E23,tbSkills!DH3:DI6,2,FALSE)+IF(AND(Calculator!B8=TRUE,Backdoors!BI9=TRUE),VLOOKUP(Calculator!E23,tbSkills!DH3:DJ6,3,FALSE),0),0)))/100)),1))*IF(VLOOKUP(A88,tbMoveset!A2:K112,11,FALSE)=TRUE,Backdoors!AC5,1))*AS88,0),"")</f>
        <v>0</v>
      </c>
      <c r="AW88" s="49">
        <f>VLOOKUP(A88,tbMoveset!A2:G112,7,FALSE)*IFERROR(IF(Backdoors!AI12&gt;=0,1+(IF(Calculator!E40&gt;0,VLOOKUP(Calculator!E40,tbSkills!AI3:AJ5,2,FALSE),Backdoors!AL4)*(IF((Backdoors!AI12+IF(AR88&gt;=0.45,VLOOKUP(Calculator!E23,tbSkills!DH3:DI6,2,FALSE)+IF(AND(Calculator!B8=TRUE,Backdoors!BI9=TRUE),VLOOKUP(Calculator!E23,tbSkills!DH3:DJ6,3,FALSE),0),0))&gt;=100,100,(Backdoors!AI12+IF(AR88&gt;=0.45,VLOOKUP(Calculator!E23,tbSkills!DH3:DI6,2,FALSE)+IF(AND(Calculator!B8=TRUE,Backdoors!BI9=TRUE),VLOOKUP(Calculator!E23,tbSkills!DH3:DJ6,3,FALSE),0),0)))/100)),1),1)</f>
        <v>1</v>
      </c>
      <c r="AX88" s="87">
        <f t="shared" si="57"/>
        <v>8</v>
      </c>
      <c r="AY88" s="86">
        <f>IFERROR(IF(VLOOKUP(A88,tbMoveset!A2:B112,2,FALSE)="Sever",Backdoors!AY10/100,IF(VLOOKUP(A88,tbMoveset!A2:B112,2,FALSE)="Blunt",Backdoors!AZ10/100,Backdoors!BA10/100)),"")</f>
        <v>0.9</v>
      </c>
      <c r="AZ88" s="49">
        <f>IFERROR(IF(VLOOKUP(tbMoveset!A88,tbMoveset!A2:H112,8,FALSE)="Other",IF(VLOOKUP(tbMoveset!A88,tbMoveset!A2:I112,9,FALSE)="Fire",Backdoors!BB10,IF(VLOOKUP(tbMoveset!A88,tbMoveset!A2:I112,9,FALSE)="Water",Backdoors!BC10,IF(VLOOKUP(tbMoveset!A88,tbMoveset!A2:I112,9,FALSE)="Thunder",Backdoors!BD10,IF(VLOOKUP(tbMoveset!A88,tbMoveset!A2:I112,9,FALSE)="Ice",Backdoors!BE10,IF(VLOOKUP(tbMoveset!A88,tbMoveset!A2:I112,9,FALSE)="Dragon",Backdoors!BF10,Backdoors!BG10)))))/100,Backdoors!BG10/100),"")</f>
        <v>0</v>
      </c>
      <c r="BA88" s="49">
        <f>IFERROR(IF(VLOOKUP(A88,tbMoveset!A2:J112,10,FALSE)=TRUE,IF((Backdoors!AI12+IF(AY88&gt;=0.45,VLOOKUP(Calculator!E23,tbSkills!DH3:DI6,2,FALSE)+IF(AND(Calculator!B8=TRUE,Backdoors!BI10=TRUE),VLOOKUP(Calculator!E23,tbSkills!DH3:DJ6,3,FALSE),0),0))&gt;=0,1+(Backdoors!AL2*(IF((Backdoors!AI12+IF(AY88&gt;=0.45,VLOOKUP(Calculator!E23,tbSkills!DH3:DI6,2,FALSE)+IF(AND(Calculator!B8=TRUE,Backdoors!BI10=TRUE),VLOOKUP(Calculator!E23,tbSkills!DH3:DJ6,3,FALSE),0),0))&gt;=100,100,(Backdoors!AI12+IF(AY88&gt;=0.45,VLOOKUP(Calculator!E23,tbSkills!DH3:DI6,2,FALSE)+IF(AND(Calculator!B8=TRUE,Backdoors!BI10=TRUE),VLOOKUP(Calculator!E23,tbSkills!DH3:DJ6,3,FALSE),0),0)))/100)),(1-(0.25*((-Backdoors!AI12-IF(AY88&gt;=0.45,VLOOKUP(Calculator!E23,tbSkills!DH3:DI6,2,FALSE)+IF(AND(Calculator!B8=TRUE,Backdoors!BI10=TRUE),VLOOKUP(Calculator!E23,tbSkills!DH3:DJ6,3,FALSE),0),0))/100)))),1),"")</f>
        <v>1</v>
      </c>
      <c r="BB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Y88)*BA88)*(VLOOKUP(A88,tbMoveset!A2:C112,3,FALSE)/100)*IF(VLOOKUP(A88,tbMoveset!A2:B112,2,FALSE)="Projectile",Backdoors!N10,Backdoors!N9),0),"")</f>
        <v>16</v>
      </c>
      <c r="BC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Y88&gt;=0.45,VLOOKUP(Calculator!E23,tbSkills!DH3:DI6,2,FALSE)+IF(AND(Calculator!B8=TRUE,Backdoors!BI10=TRUE),VLOOKUP(Calculator!E23,tbSkills!DH3:DJ6,3,FALSE),0),0))&gt;=100,100,(Backdoors!AI12+IF(AY88&gt;=0.45,VLOOKUP(Calculator!E23,tbSkills!DH3:DI6,2,FALSE)+IF(AND(Calculator!B8=TRUE,Backdoors!BI10=TRUE),VLOOKUP(Calculator!E23,tbSkills!DH3:DJ6,3,FALSE),0),0)))/100)),1))*IF(VLOOKUP(A88,tbMoveset!A2:K112,11,FALSE)=TRUE,Backdoors!AC5,1))*AZ88,0),"")</f>
        <v>0</v>
      </c>
      <c r="BD88" s="49">
        <f>VLOOKUP(A88,tbMoveset!A2:G112,7,FALSE)*IFERROR(IF(Backdoors!AI12&gt;=0,1+(IF(Calculator!E40&gt;0,VLOOKUP(Calculator!E40,tbSkills!AI3:AJ5,2,FALSE),Backdoors!AL4)*(IF((Backdoors!AI12+IF(AY88&gt;=0.45,VLOOKUP(Calculator!E23,tbSkills!DH3:DI6,2,FALSE)+IF(AND(Calculator!B8=TRUE,Backdoors!BI10=TRUE),VLOOKUP(Calculator!E23,tbSkills!DH3:DJ6,3,FALSE),0),0))&gt;=100,100,(Backdoors!AI12+IF(AY88&gt;=0.45,VLOOKUP(Calculator!E23,tbSkills!DH3:DI6,2,FALSE)+IF(AND(Calculator!B8=TRUE,Backdoors!BI10=TRUE),VLOOKUP(Calculator!E23,tbSkills!DH3:DJ6,3,FALSE),0),0)))/100)),1),1)</f>
        <v>1</v>
      </c>
      <c r="BE88" s="87">
        <f t="shared" si="58"/>
        <v>16</v>
      </c>
      <c r="BF88" s="86" t="str">
        <f>IFERROR(IF(VLOOKUP(A88,tbMoveset!A2:B112,2,FALSE)="Sever",Backdoors!AY11/100,IF(VLOOKUP(A88,tbMoveset!A2:B112,2,FALSE)="Blunt",Backdoors!AZ11/100,Backdoors!BA11/100)),"")</f>
        <v/>
      </c>
      <c r="BG88" s="49">
        <f>IFERROR(IF(VLOOKUP(tbMoveset!A88,tbMoveset!A2:H112,8,FALSE)="Other",IF(VLOOKUP(tbMoveset!A88,tbMoveset!A2:I112,9,FALSE)="Fire",Backdoors!BB11,IF(VLOOKUP(tbMoveset!A88,tbMoveset!A2:I112,9,FALSE)="Water",Backdoors!BC11,IF(VLOOKUP(tbMoveset!A88,tbMoveset!A2:I112,9,FALSE)="Thunder",Backdoors!BD11,IF(VLOOKUP(tbMoveset!A88,tbMoveset!A2:I112,9,FALSE)="Ice",Backdoors!BE11,IF(VLOOKUP(tbMoveset!A88,tbMoveset!A2:I112,9,FALSE)="Dragon",Backdoors!BF11,Backdoors!BG11)))))/100,Backdoors!BG11/100),"")</f>
        <v>0</v>
      </c>
      <c r="BH88" s="49">
        <f>IFERROR(IF(VLOOKUP(A88,tbMoveset!A2:J112,10,FALSE)=TRUE,IF((Backdoors!AI12+IF(BF88&gt;=0.45,VLOOKUP(Calculator!E23,tbSkills!DH3:DI6,2,FALSE)+IF(AND(Calculator!B8=TRUE,Backdoors!BI11=TRUE),VLOOKUP(Calculator!E23,tbSkills!DH3:DJ6,3,FALSE),0),0))&gt;=0,1+(Backdoors!AL2*(IF((Backdoors!AI12+IF(BF88&gt;=0.45,VLOOKUP(Calculator!E23,tbSkills!DH3:DI6,2,FALSE)+IF(AND(Calculator!B8=TRUE,Backdoors!BI11=TRUE),VLOOKUP(Calculator!E23,tbSkills!DH3:DJ6,3,FALSE),0),0))&gt;=100,100,(Backdoors!AI12+IF(BF88&gt;=0.45,VLOOKUP(Calculator!E23,tbSkills!DH3:DI6,2,FALSE)+IF(AND(Calculator!B8=TRUE,Backdoors!BI11=TRUE),VLOOKUP(Calculator!E23,tbSkills!DH3:DJ6,3,FALSE),0),0)))/100)),(1-(0.25*((-Backdoors!AI12-IF(BF88&gt;=0.45,VLOOKUP(Calculator!E23,tbSkills!DH3:DI6,2,FALSE)+IF(AND(Calculator!B8=TRUE,Backdoors!BI11=TRUE),VLOOKUP(Calculator!E23,tbSkills!DH3:DJ6,3,FALSE),0),0))/100)))),1),"")</f>
        <v>1</v>
      </c>
      <c r="BI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F88)*BH88)*(VLOOKUP(A88,tbMoveset!A2:C112,3,FALSE)/100)*IF(VLOOKUP(A88,tbMoveset!A2:B112,2,FALSE)="Projectile",Backdoors!N10,Backdoors!N9),0),"")</f>
        <v/>
      </c>
      <c r="BJ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F88&gt;=0.45,VLOOKUP(Calculator!E23,tbSkills!DH3:DI6,2,FALSE)+IF(AND(Calculator!B8=TRUE,Backdoors!BI11=TRUE),VLOOKUP(Calculator!E23,tbSkills!DH3:DJ6,3,FALSE),0),0))&gt;=100,100,(Backdoors!AI12+IF(BF88&gt;=0.45,VLOOKUP(Calculator!E23,tbSkills!DH3:DI6,2,FALSE)+IF(AND(Calculator!B8=TRUE,Backdoors!BI11=TRUE),VLOOKUP(Calculator!E23,tbSkills!DH3:DJ6,3,FALSE),0),0)))/100)),1))*IF(VLOOKUP(A88,tbMoveset!A2:K112,11,FALSE)=TRUE,Backdoors!AC5,1))*BG88,0),"")</f>
        <v>0</v>
      </c>
      <c r="BK88" s="49">
        <f>VLOOKUP(A88,tbMoveset!A2:G112,7,FALSE)*IFERROR(IF(Backdoors!AI12&gt;=0,1+(IF(Calculator!E40&gt;0,VLOOKUP(Calculator!E40,tbSkills!AI3:AJ5,2,FALSE),Backdoors!AL4)*(IF((Backdoors!AI12+IF(BF88&gt;=0.45,VLOOKUP(Calculator!E23,tbSkills!DH3:DI6,2,FALSE)+IF(AND(Calculator!B8=TRUE,Backdoors!BI11=TRUE),VLOOKUP(Calculator!E23,tbSkills!DH3:DJ6,3,FALSE),0),0))&gt;=100,100,(Backdoors!AI12+IF(BF88&gt;=0.45,VLOOKUP(Calculator!E23,tbSkills!DH3:DI6,2,FALSE)+IF(AND(Calculator!B8=TRUE,Backdoors!BI11=TRUE),VLOOKUP(Calculator!E23,tbSkills!DH3:DJ6,3,FALSE),0),0)))/100)),1),1)</f>
        <v>1</v>
      </c>
      <c r="BL88" s="87">
        <f t="shared" si="59"/>
        <v>0</v>
      </c>
      <c r="BM88" s="86" t="str">
        <f>IFERROR(IF(VLOOKUP(A88,tbMoveset!A2:B112,2,FALSE)="Sever",Backdoors!AY12/100,IF(VLOOKUP(A88,tbMoveset!A2:B112,2,FALSE)="Blunt",Backdoors!AZ12/100,Backdoors!BA12/100)),"")</f>
        <v/>
      </c>
      <c r="BN88" s="49">
        <f>IFERROR(IF(VLOOKUP(tbMoveset!A88,tbMoveset!A2:H112,8,FALSE)="Other",IF(VLOOKUP(tbMoveset!A88,tbMoveset!A2:I112,9,FALSE)="Fire",Backdoors!BB12,IF(VLOOKUP(tbMoveset!A88,tbMoveset!A2:I112,9,FALSE)="Water",Backdoors!BC12,IF(VLOOKUP(tbMoveset!A88,tbMoveset!A2:I112,9,FALSE)="Thunder",Backdoors!BD12,IF(VLOOKUP(tbMoveset!A88,tbMoveset!A2:I112,9,FALSE)="Ice",Backdoors!BE12,IF(VLOOKUP(tbMoveset!A88,tbMoveset!A2:I112,9,FALSE)="Dragon",Backdoors!BF12,Backdoors!BG12)))))/100,Backdoors!BG12/100),"")</f>
        <v>0</v>
      </c>
      <c r="BO88" s="49">
        <f>IFERROR(IF(VLOOKUP(A88,tbMoveset!A2:J112,10,FALSE)=TRUE,IF((Backdoors!AI12+IF(BM88&gt;=0.45,VLOOKUP(Calculator!E23,tbSkills!DH3:DI6,2,FALSE)+IF(AND(Calculator!B8=TRUE,Backdoors!BI12=TRUE),VLOOKUP(Calculator!E23,tbSkills!DH3:DJ6,3,FALSE),0),0))&gt;=0,1+(Backdoors!AL2*(IF((Backdoors!AI12+IF(BM88&gt;=0.45,VLOOKUP(Calculator!E23,tbSkills!DH3:DI6,2,FALSE)+IF(AND(Calculator!B8=TRUE,Backdoors!BI12=TRUE),VLOOKUP(Calculator!E23,tbSkills!DH3:DJ6,3,FALSE),0),0))&gt;=100,100,(Backdoors!AI12+IF(BM88&gt;=0.45,VLOOKUP(Calculator!E23,tbSkills!DH3:DI6,2,FALSE)+IF(AND(Calculator!B8=TRUE,Backdoors!BI12=TRUE),VLOOKUP(Calculator!E23,tbSkills!DH3:DJ6,3,FALSE),0),0)))/100)),(1-(0.25*((-Backdoors!AI12-IF(BM88&gt;=0.45,VLOOKUP(Calculator!E23,tbSkills!DH3:DI6,2,FALSE)+IF(AND(Calculator!B8=TRUE,Backdoors!BI12=TRUE),VLOOKUP(Calculator!E23,tbSkills!DH3:DJ6,3,FALSE),0),0))/100)))),1),"")</f>
        <v>1</v>
      </c>
      <c r="BP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M88)*BO88)*(VLOOKUP(A88,tbMoveset!A2:C112,3,FALSE)/100)*IF(VLOOKUP(A88,tbMoveset!A2:B112,2,FALSE)="Projectile",Backdoors!N10,Backdoors!N9),0),"")</f>
        <v/>
      </c>
      <c r="BQ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M88&gt;=0.45,VLOOKUP(Calculator!E23,tbSkills!DH3:DI6,2,FALSE)+IF(AND(Calculator!B8=TRUE,Backdoors!BI12=TRUE),VLOOKUP(Calculator!E23,tbSkills!DH3:DJ6,3,FALSE),0),0))&gt;=100,100,(Backdoors!AI12+IF(BM88&gt;=0.45,VLOOKUP(Calculator!E23,tbSkills!DH3:DI6,2,FALSE)+IF(AND(Calculator!B8=TRUE,Backdoors!BI12=TRUE),VLOOKUP(Calculator!E23,tbSkills!DH3:DJ6,3,FALSE),0),0)))/100)),1))*IF(VLOOKUP(A88,tbMoveset!A2:K112,11,FALSE)=TRUE,Backdoors!AC5,1))*BN88,0),"")</f>
        <v>0</v>
      </c>
      <c r="BR88" s="49">
        <f>VLOOKUP(A88,tbMoveset!A2:G112,7,FALSE)*IFERROR(IF(Backdoors!AI12&gt;=0,1+(IF(Calculator!E40&gt;0,VLOOKUP(Calculator!E40,tbSkills!AI3:AJ5,2,FALSE),Backdoors!AL4)*(IF((Backdoors!AI12+IF(BM88&gt;=0.45,VLOOKUP(Calculator!E23,tbSkills!DH3:DI6,2,FALSE)+IF(AND(Calculator!B8=TRUE,Backdoors!BI12=TRUE),VLOOKUP(Calculator!E23,tbSkills!DH3:DJ6,3,FALSE),0),0))&gt;=100,100,(Backdoors!AI12+IF(BM88&gt;=0.45,VLOOKUP(Calculator!E23,tbSkills!DH3:DI6,2,FALSE)+IF(AND(Calculator!B8=TRUE,Backdoors!BI12=TRUE),VLOOKUP(Calculator!E23,tbSkills!DH3:DJ6,3,FALSE),0),0)))/100)),1),1)</f>
        <v>1</v>
      </c>
      <c r="BS88" s="87">
        <f t="shared" si="60"/>
        <v>0</v>
      </c>
      <c r="BT88" s="86" t="str">
        <f>IFERROR(IF(VLOOKUP(A88,tbMoveset!A2:B112,2,FALSE)="Sever",Backdoors!AY13/100,IF(VLOOKUP(A88,tbMoveset!A2:B112,2,FALSE)="Blunt",Backdoors!AZ13/100,Backdoors!BA13/100)),"")</f>
        <v/>
      </c>
      <c r="BU88" s="49">
        <f>IFERROR(IF(VLOOKUP(tbMoveset!A88,tbMoveset!A2:H112,8,FALSE)="Other",IF(VLOOKUP(tbMoveset!A88,tbMoveset!A2:I112,9,FALSE)="Fire",Backdoors!BB13,IF(VLOOKUP(tbMoveset!A88,tbMoveset!A2:I112,9,FALSE)="Water",Backdoors!BC13,IF(VLOOKUP(tbMoveset!A88,tbMoveset!A2:I112,9,FALSE)="Thunder",Backdoors!BD13,IF(VLOOKUP(tbMoveset!A88,tbMoveset!A2:I112,9,FALSE)="Ice",Backdoors!BE13,IF(VLOOKUP(tbMoveset!A88,tbMoveset!A2:I112,9,FALSE)="Dragon",Backdoors!BF13,Backdoors!BG13)))))/100,Backdoors!BG13/100),"")</f>
        <v>0</v>
      </c>
      <c r="BV88" s="49">
        <f>IFERROR(IF(VLOOKUP(A88,tbMoveset!A2:J112,10,FALSE)=TRUE,IF((Backdoors!AI12+IF(BT88&gt;=0.45,VLOOKUP(Calculator!E23,tbSkills!DH3:DI6,2,FALSE)+IF(AND(Calculator!B8=TRUE,Backdoors!BI13=TRUE),VLOOKUP(Calculator!E23,tbSkills!DH3:DJ6,3,FALSE),0),0))&gt;=0,1+(Backdoors!AL2*(IF((Backdoors!AI12+IF(BT88&gt;=0.45,VLOOKUP(Calculator!E23,tbSkills!DH3:DI6,2,FALSE)+IF(AND(Calculator!B8=TRUE,Backdoors!BI13=TRUE),VLOOKUP(Calculator!E23,tbSkills!DH3:DJ6,3,FALSE),0),0))&gt;=100,100,(Backdoors!AI12+IF(BT88&gt;=0.45,VLOOKUP(Calculator!E23,tbSkills!DH3:DI6,2,FALSE)+IF(AND(Calculator!B8=TRUE,Backdoors!BI13=TRUE),VLOOKUP(Calculator!E23,tbSkills!DH3:DJ6,3,FALSE),0),0)))/100)),(1-(0.25*((-Backdoors!AI12-IF(BT88&gt;=0.45,VLOOKUP(Calculator!E23,tbSkills!DH3:DI6,2,FALSE)+IF(AND(Calculator!B8=TRUE,Backdoors!BI13=TRUE),VLOOKUP(Calculator!E23,tbSkills!DH3:DJ6,3,FALSE),0),0))/100)))),1),"")</f>
        <v>1</v>
      </c>
      <c r="BW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T88)*BV88)*(VLOOKUP(A88,tbMoveset!A2:C112,3,FALSE)/100)*IF(VLOOKUP(A88,tbMoveset!A2:B112,2,FALSE)="Projectile",Backdoors!N10,Backdoors!N9),0),"")</f>
        <v/>
      </c>
      <c r="BX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T88&gt;=0.45,VLOOKUP(Calculator!E23,tbSkills!DH3:DI6,2,FALSE)+IF(AND(Calculator!B8=TRUE,Backdoors!BI13=TRUE),VLOOKUP(Calculator!E23,tbSkills!DH3:DJ6,3,FALSE),0),0))&gt;=100,100,(Backdoors!AI12+IF(BT88&gt;=0.45,VLOOKUP(Calculator!E23,tbSkills!DH3:DI6,2,FALSE)+IF(AND(Calculator!B8=TRUE,Backdoors!BI13=TRUE),VLOOKUP(Calculator!E23,tbSkills!DH3:DJ6,3,FALSE),0),0)))/100)),1))*IF(VLOOKUP(A88,tbMoveset!A2:K112,11,FALSE)=TRUE,Backdoors!AC5,1))*BU88,0),"")</f>
        <v>0</v>
      </c>
      <c r="BY88" s="49">
        <f>VLOOKUP(A88,tbMoveset!A2:G112,7,FALSE)*IFERROR(IF(Backdoors!AI12&gt;=0,1+(IF(Calculator!E40&gt;0,VLOOKUP(Calculator!E40,tbSkills!AI3:AJ5,2,FALSE),Backdoors!AL4)*(IF((Backdoors!AI12+IF(BT88&gt;=0.45,VLOOKUP(Calculator!E23,tbSkills!DH3:DI6,2,FALSE)+IF(AND(Calculator!B8=TRUE,Backdoors!BI13=TRUE),VLOOKUP(Calculator!E23,tbSkills!DH3:DJ6,3,FALSE),0),0))&gt;=100,100,(Backdoors!AI12+IF(BT88&gt;=0.45,VLOOKUP(Calculator!E23,tbSkills!DH3:DI6,2,FALSE)+IF(AND(Calculator!B8=TRUE,Backdoors!BI13=TRUE),VLOOKUP(Calculator!E23,tbSkills!DH3:DJ6,3,FALSE),0),0)))/100)),1),1)</f>
        <v>1</v>
      </c>
      <c r="BZ88" s="87">
        <f t="shared" si="61"/>
        <v>0</v>
      </c>
      <c r="CA88" s="86" t="str">
        <f>IFERROR(IF(VLOOKUP(A88,tbMoveset!A2:B112,2,FALSE)="Sever",Backdoors!AY14/100,IF(VLOOKUP(A88,tbMoveset!A2:B112,2,FALSE)="Blunt",Backdoors!AZ14/100,Backdoors!BA14/100)),"")</f>
        <v/>
      </c>
      <c r="CB88" s="49">
        <f>IFERROR(IF(VLOOKUP(tbMoveset!A88,tbMoveset!A2:H112,8,FALSE)="Other",IF(VLOOKUP(tbMoveset!A88,tbMoveset!A2:I112,9,FALSE)="Fire",Backdoors!BB14,IF(VLOOKUP(tbMoveset!A88,tbMoveset!A2:I112,9,FALSE)="Water",Backdoors!BC14,IF(VLOOKUP(tbMoveset!A88,tbMoveset!A2:I112,9,FALSE)="Thunder",Backdoors!BD14,IF(VLOOKUP(tbMoveset!A88,tbMoveset!A2:I112,9,FALSE)="Ice",Backdoors!BE14,IF(VLOOKUP(tbMoveset!A88,tbMoveset!A2:I112,9,FALSE)="Dragon",Backdoors!BF14,Backdoors!BG14)))))/100,Backdoors!BG14/100),"")</f>
        <v>0</v>
      </c>
      <c r="CC88" s="49">
        <f>IFERROR(IF(VLOOKUP(A88,tbMoveset!A2:J112,10,FALSE)=TRUE,IF((Backdoors!AI12+IF(CA88&gt;=0.45,VLOOKUP(Calculator!E23,tbSkills!DH3:DI6,2,FALSE)+IF(AND(Calculator!B8=TRUE,Backdoors!BI14=TRUE),VLOOKUP(Calculator!E23,tbSkills!DH3:DJ6,3,FALSE),0),0))&gt;=0,1+(Backdoors!AL2*(IF((Backdoors!AI12+IF(CA88&gt;=0.45,VLOOKUP(Calculator!E23,tbSkills!DH3:DI6,2,FALSE)+IF(AND(Calculator!B8=TRUE,Backdoors!BI14=TRUE),VLOOKUP(Calculator!E23,tbSkills!DH3:DJ6,3,FALSE),0),0))&gt;=100,100,(Backdoors!AI12+IF(CA88&gt;=0.45,VLOOKUP(Calculator!E23,tbSkills!DH3:DI6,2,FALSE)+IF(AND(Calculator!B8=TRUE,Backdoors!BI14=TRUE),VLOOKUP(Calculator!E23,tbSkills!DH3:DJ6,3,FALSE),0),0)))/100)),(1-(0.25*((-Backdoors!AI12-IF(CA88&gt;=0.45,VLOOKUP(Calculator!E23,tbSkills!DH3:DI6,2,FALSE)+IF(AND(Calculator!B8=TRUE,Backdoors!BI14=TRUE),VLOOKUP(Calculator!E23,tbSkills!DH3:DJ6,3,FALSE),0),0))/100)))),1),"")</f>
        <v>1</v>
      </c>
      <c r="CD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A88)*CC88)*(VLOOKUP(A88,tbMoveset!A2:C112,3,FALSE)/100)*IF(VLOOKUP(A88,tbMoveset!A2:B112,2,FALSE)="Projectile",Backdoors!N10,Backdoors!N9),0),"")</f>
        <v/>
      </c>
      <c r="CE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A88&gt;=0.45,VLOOKUP(Calculator!E23,tbSkills!DH3:DI6,2,FALSE)+IF(AND(Calculator!B8=TRUE,Backdoors!BI14=TRUE),VLOOKUP(Calculator!E23,tbSkills!DH3:DJ6,3,FALSE),0),0))&gt;=100,100,(Backdoors!AI12+IF(CA88&gt;=0.45,VLOOKUP(Calculator!E23,tbSkills!DH3:DI6,2,FALSE)+IF(AND(Calculator!B8=TRUE,Backdoors!BI14=TRUE),VLOOKUP(Calculator!E23,tbSkills!DH3:DJ6,3,FALSE),0),0)))/100)),1))*IF(VLOOKUP(A88,tbMoveset!A2:K112,11,FALSE)=TRUE,Backdoors!AC5,1))*CB88,0),"")</f>
        <v>0</v>
      </c>
      <c r="CF88" s="49">
        <f>VLOOKUP(A88,tbMoveset!A2:G112,7,FALSE)*IFERROR(IF(Backdoors!AI12&gt;=0,1+(IF(Calculator!E40&gt;0,VLOOKUP(Calculator!E40,tbSkills!AI3:AJ5,2,FALSE),Backdoors!AL4)*(IF((Backdoors!AI12+IF(CA88&gt;=0.45,VLOOKUP(Calculator!E23,tbSkills!DH3:DI6,2,FALSE)+IF(AND(Calculator!B8=TRUE,Backdoors!BI14=TRUE),VLOOKUP(Calculator!E23,tbSkills!DH3:DJ6,3,FALSE),0),0))&gt;=100,100,(Backdoors!AI12+IF(CA88&gt;=0.45,VLOOKUP(Calculator!E23,tbSkills!DH3:DI6,2,FALSE)+IF(AND(Calculator!B8=TRUE,Backdoors!BI14=TRUE),VLOOKUP(Calculator!E23,tbSkills!DH3:DJ6,3,FALSE),0),0)))/100)),1),1)</f>
        <v>1</v>
      </c>
      <c r="CG88" s="87">
        <f t="shared" si="62"/>
        <v>0</v>
      </c>
      <c r="CH88" s="86" t="str">
        <f>IFERROR(IF(VLOOKUP(A88,tbMoveset!A2:B112,2,FALSE)="Sever",Backdoors!AY15/100,IF(VLOOKUP(A88,tbMoveset!A2:B112,2,FALSE)="Blunt",Backdoors!AZ15/100,Backdoors!BA15/100)),"")</f>
        <v/>
      </c>
      <c r="CI88" s="49">
        <f>IFERROR(IF(VLOOKUP(tbMoveset!A88,tbMoveset!A2:H112,8,FALSE)="Other",IF(VLOOKUP(tbMoveset!A88,tbMoveset!A2:I112,9,FALSE)="Fire",Backdoors!BB15,IF(VLOOKUP(tbMoveset!A88,tbMoveset!A2:I112,9,FALSE)="Water",Backdoors!BC15,IF(VLOOKUP(tbMoveset!A88,tbMoveset!A2:I112,9,FALSE)="Thunder",Backdoors!BD15,IF(VLOOKUP(tbMoveset!A88,tbMoveset!A2:I112,9,FALSE)="Ice",Backdoors!BE15,IF(VLOOKUP(tbMoveset!A88,tbMoveset!A2:I112,9,FALSE)="Dragon",Backdoors!BF15,Backdoors!BG15)))))/100,Backdoors!BG15/100),"")</f>
        <v>0</v>
      </c>
      <c r="CJ88" s="49">
        <f>IFERROR(IF(VLOOKUP(A88,tbMoveset!A2:J112,10,FALSE)=TRUE,IF((Backdoors!AI12+IF(CH88&gt;=0.45,VLOOKUP(Calculator!E23,tbSkills!DH3:DI6,2,FALSE)+IF(AND(Calculator!B8=TRUE,Backdoors!BI15=TRUE),VLOOKUP(Calculator!E23,tbSkills!DH3:DJ6,3,FALSE),0),0))&gt;=0,1+(Backdoors!AL2*(IF((Backdoors!AI12+IF(CH88&gt;=0.45,VLOOKUP(Calculator!E23,tbSkills!DH3:DI6,2,FALSE)+IF(AND(Calculator!B8=TRUE,Backdoors!BI15=TRUE),VLOOKUP(Calculator!E23,tbSkills!DH3:DJ6,3,FALSE),0),0))&gt;=100,100,(Backdoors!AI12+IF(CH88&gt;=0.45,VLOOKUP(Calculator!E23,tbSkills!DH3:DI6,2,FALSE)+IF(AND(Calculator!B8=TRUE,Backdoors!BI15=TRUE),VLOOKUP(Calculator!E23,tbSkills!DH3:DJ6,3,FALSE),0),0)))/100)),(1-(0.25*((-Backdoors!AI12-IF(CH88&gt;=0.45,VLOOKUP(Calculator!E23,tbSkills!DH3:DI6,2,FALSE)+IF(AND(Calculator!B8=TRUE,Backdoors!BI15=TRUE),VLOOKUP(Calculator!E23,tbSkills!DH3:DJ6,3,FALSE),0),0))/100)))),1),"")</f>
        <v>1</v>
      </c>
      <c r="CK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H88)*CJ88)*(VLOOKUP(A88,tbMoveset!A2:C112,3,FALSE)/100)*IF(VLOOKUP(A88,tbMoveset!A2:B112,2,FALSE)="Projectile",Backdoors!N10,Backdoors!N9),0),"")</f>
        <v/>
      </c>
      <c r="CL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H88&gt;=0.45,VLOOKUP(Calculator!E23,tbSkills!DH3:DI6,2,FALSE)+IF(AND(Calculator!B8=TRUE,Backdoors!BI15=TRUE),VLOOKUP(Calculator!E23,tbSkills!DH3:DJ6,3,FALSE),0),0))&gt;=100,100,(Backdoors!AI12+IF(CH88&gt;=0.45,VLOOKUP(Calculator!E23,tbSkills!DH3:DI6,2,FALSE)+IF(AND(Calculator!B8=TRUE,Backdoors!BI15=TRUE),VLOOKUP(Calculator!E23,tbSkills!DH3:DJ6,3,FALSE),0),0)))/100)),1))*IF(VLOOKUP(A88,tbMoveset!A2:K112,11,FALSE)=TRUE,Backdoors!AC5,1))*CI88,0),"")</f>
        <v>0</v>
      </c>
      <c r="CM88" s="49">
        <f>VLOOKUP(A88,tbMoveset!A2:G112,7,FALSE)*IFERROR(IF(Backdoors!AI12&gt;=0,1+(IF(Calculator!E40&gt;0,VLOOKUP(Calculator!E40,tbSkills!AI3:AJ5,2,FALSE),Backdoors!AL4)*(IF((Backdoors!AI12+IF(CH88&gt;=0.45,VLOOKUP(Calculator!E23,tbSkills!DH3:DI6,2,FALSE)+IF(AND(Calculator!B8=TRUE,Backdoors!BI15=TRUE),VLOOKUP(Calculator!E23,tbSkills!DH3:DJ6,3,FALSE),0),0))&gt;=100,100,(Backdoors!AI12+IF(CH88&gt;=0.45,VLOOKUP(Calculator!E23,tbSkills!DH3:DI6,2,FALSE)+IF(AND(Calculator!B8=TRUE,Backdoors!BI15=TRUE),VLOOKUP(Calculator!E23,tbSkills!DH3:DJ6,3,FALSE),0),0)))/100)),1),1)</f>
        <v>1</v>
      </c>
      <c r="CN88" s="87">
        <f t="shared" si="63"/>
        <v>0</v>
      </c>
      <c r="CO88" s="86" t="str">
        <f>IFERROR(IF(VLOOKUP(A88,tbMoveset!A2:B112,2,FALSE)="Sever",Backdoors!AY16/100,IF(VLOOKUP(A88,tbMoveset!A2:B112,2,FALSE)="Blunt",Backdoors!AZ16/100,Backdoors!BA16/100)),"")</f>
        <v/>
      </c>
      <c r="CP88" s="49">
        <f>IFERROR(IF(VLOOKUP(tbMoveset!A88,tbMoveset!A2:H112,8,FALSE)="Other",IF(VLOOKUP(tbMoveset!A88,tbMoveset!A2:I112,9,FALSE)="Fire",Backdoors!BB16,IF(VLOOKUP(tbMoveset!A88,tbMoveset!A2:I112,9,FALSE)="Water",Backdoors!BC16,IF(VLOOKUP(tbMoveset!A88,tbMoveset!A2:I112,9,FALSE)="Thunder",Backdoors!BD16,IF(VLOOKUP(tbMoveset!A88,tbMoveset!A2:I112,9,FALSE)="Ice",Backdoors!BE16,IF(VLOOKUP(tbMoveset!A88,tbMoveset!A2:I112,9,FALSE)="Dragon",Backdoors!BF16,Backdoors!BG16)))))/100,Backdoors!BG16/100),"")</f>
        <v>0</v>
      </c>
      <c r="CQ88" s="49">
        <f>IFERROR(IF(VLOOKUP(A88,tbMoveset!A2:J112,10,FALSE)=TRUE,IF((Backdoors!AI12+IF(CO88&gt;=0.45,VLOOKUP(Calculator!E23,tbSkills!DH3:DI6,2,FALSE)+IF(AND(Calculator!B8=TRUE,Backdoors!BI16=TRUE),VLOOKUP(Calculator!E23,tbSkills!DH3:DJ6,3,FALSE),0),0))&gt;=0,1+(Backdoors!AL2*(IF((Backdoors!AI12+IF(CO88&gt;=0.45,VLOOKUP(Calculator!E23,tbSkills!DH3:DI6,2,FALSE)+IF(AND(Calculator!B8=TRUE,Backdoors!BI16=TRUE),VLOOKUP(Calculator!E23,tbSkills!DH3:DJ6,3,FALSE),0),0))&gt;=100,100,(Backdoors!AI12+IF(CO88&gt;=0.45,VLOOKUP(Calculator!E23,tbSkills!DH3:DI6,2,FALSE)+IF(AND(Calculator!B8=TRUE,Backdoors!BI16=TRUE),VLOOKUP(Calculator!E23,tbSkills!DH3:DJ6,3,FALSE),0),0)))/100)),(1-(0.25*((-Backdoors!AI12-IF(CO88&gt;=0.45,VLOOKUP(Calculator!E23,tbSkills!DH3:DI6,2,FALSE)+IF(AND(Calculator!B8=TRUE,Backdoors!BI16=TRUE),VLOOKUP(Calculator!E23,tbSkills!DH3:DJ6,3,FALSE),0),0))/100)))),1),"")</f>
        <v>1</v>
      </c>
      <c r="CR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O88)*CQ88)*(VLOOKUP(A88,tbMoveset!A2:C112,3,FALSE)/100)*IF(VLOOKUP(A88,tbMoveset!A2:B112,2,FALSE)="Projectile",Backdoors!N10,Backdoors!N9),0),"")</f>
        <v/>
      </c>
      <c r="CS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O88&gt;=0.45,VLOOKUP(Calculator!E23,tbSkills!DH3:DI6,2,FALSE)+IF(AND(Calculator!B8=TRUE,Backdoors!BI16=TRUE),VLOOKUP(Calculator!E23,tbSkills!DH3:DJ6,3,FALSE),0),0))&gt;=100,100,(Backdoors!AI12+IF(CO88&gt;=0.45,VLOOKUP(Calculator!E23,tbSkills!DH3:DI6,2,FALSE)+IF(AND(Calculator!B8=TRUE,Backdoors!BI16=TRUE),VLOOKUP(Calculator!E23,tbSkills!DH3:DJ6,3,FALSE),0),0)))/100)),1))*IF(VLOOKUP(A88,tbMoveset!A2:K112,11,FALSE)=TRUE,Backdoors!AC5,1))*CP88,0),"")</f>
        <v>0</v>
      </c>
      <c r="CT88" s="49">
        <f>VLOOKUP(A88,tbMoveset!A2:G112,7,FALSE)*IFERROR(IF(Backdoors!AI12&gt;=0,1+(IF(Calculator!E40&gt;0,VLOOKUP(Calculator!E40,tbSkills!AI3:AJ5,2,FALSE),Backdoors!AL4)*(IF((Backdoors!AI12+IF(CO88&gt;=0.45,VLOOKUP(Calculator!E23,tbSkills!DH3:DI6,2,FALSE)+IF(AND(Calculator!B8=TRUE,Backdoors!BI16=TRUE),VLOOKUP(Calculator!E23,tbSkills!DH3:DJ6,3,FALSE),0),0))&gt;=100,100,(Backdoors!AI12+IF(CO88&gt;=0.45,VLOOKUP(Calculator!E23,tbSkills!DH3:DI6,2,FALSE)+IF(AND(Calculator!B8=TRUE,Backdoors!BI16=TRUE),VLOOKUP(Calculator!E23,tbSkills!DH3:DJ6,3,FALSE),0),0)))/100)),1),1)</f>
        <v>1</v>
      </c>
      <c r="CU88" s="87">
        <f t="shared" si="64"/>
        <v>0</v>
      </c>
      <c r="CV88" s="86" t="str">
        <f>IFERROR(IF(VLOOKUP(A88,tbMoveset!A2:B112,2,FALSE)="Sever",Backdoors!AY17/100,IF(VLOOKUP(A88,tbMoveset!A2:B112,2,FALSE)="Blunt",Backdoors!AZ17/100,Backdoors!BA17/100)),"")</f>
        <v/>
      </c>
      <c r="CW88" s="49">
        <f>IFERROR(IF(VLOOKUP(tbMoveset!A88,tbMoveset!A2:H112,8,FALSE)="Other",IF(VLOOKUP(tbMoveset!A88,tbMoveset!A2:I112,9,FALSE)="Fire",Backdoors!BB17,IF(VLOOKUP(tbMoveset!A88,tbMoveset!A2:I112,9,FALSE)="Water",Backdoors!BC17,IF(VLOOKUP(tbMoveset!A88,tbMoveset!A2:I112,9,FALSE)="Thunder",Backdoors!BD17,IF(VLOOKUP(tbMoveset!A88,tbMoveset!A2:I112,9,FALSE)="Ice",Backdoors!BE17,IF(VLOOKUP(tbMoveset!A88,tbMoveset!A2:I112,9,FALSE)="Dragon",Backdoors!BF17,Backdoors!BG17)))))/100,Backdoors!BG17/100),"")</f>
        <v>0</v>
      </c>
      <c r="CX88" s="49">
        <f>IFERROR(IF(VLOOKUP(A88,tbMoveset!A2:J112,10,FALSE)=TRUE,IF((Backdoors!AI12+IF(CV88&gt;=0.45,VLOOKUP(Calculator!E23,tbSkills!DH3:DI6,2,FALSE)+IF(AND(Calculator!B8=TRUE,Backdoors!BI17=TRUE),VLOOKUP(Calculator!E23,tbSkills!DH3:DJ6,3,FALSE),0),0))&gt;=0,1+(Backdoors!AL2*(IF((Backdoors!AI12+IF(CV88&gt;=0.45,VLOOKUP(Calculator!E23,tbSkills!DH3:DI6,2,FALSE)+IF(AND(Calculator!B8=TRUE,Backdoors!BI17=TRUE),VLOOKUP(Calculator!E23,tbSkills!DH3:DJ6,3,FALSE),0),0))&gt;=100,100,(Backdoors!AI12+IF(CV88&gt;=0.45,VLOOKUP(Calculator!E23,tbSkills!DH3:DI6,2,FALSE)+IF(AND(Calculator!B8=TRUE,Backdoors!BI17=TRUE),VLOOKUP(Calculator!E23,tbSkills!DH3:DJ6,3,FALSE),0),0)))/100)),(1-(0.25*((-Backdoors!AI12-IF(CV88&gt;=0.45,VLOOKUP(Calculator!E23,tbSkills!DH3:DI6,2,FALSE)+IF(AND(Calculator!B8=TRUE,Backdoors!BI17=TRUE),VLOOKUP(Calculator!E23,tbSkills!DH3:DJ6,3,FALSE),0),0))/100)))),1),"")</f>
        <v>1</v>
      </c>
      <c r="CY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V88)*CX88)*(VLOOKUP(A88,tbMoveset!A2:C112,3,FALSE)/100)*IF(VLOOKUP(A88,tbMoveset!A2:B112,2,FALSE)="Projectile",Backdoors!N10,Backdoors!N9),0),"")</f>
        <v/>
      </c>
      <c r="CZ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V88&gt;=0.45,VLOOKUP(Calculator!E23,tbSkills!DH3:DI6,2,FALSE)+IF(AND(Calculator!B8=TRUE,Backdoors!BI17=TRUE),VLOOKUP(Calculator!E23,tbSkills!DH3:DJ6,3,FALSE),0),0))&gt;=100,100,(Backdoors!AI12+IF(CV88&gt;=0.45,VLOOKUP(Calculator!E23,tbSkills!DH3:DI6,2,FALSE)+IF(AND(Calculator!B8=TRUE,Backdoors!BI17=TRUE),VLOOKUP(Calculator!E23,tbSkills!DH3:DJ6,3,FALSE),0),0)))/100)),1))*IF(VLOOKUP(A88,tbMoveset!A2:K112,11,FALSE)=TRUE,Backdoors!AC5,1))*CW88,0),"")</f>
        <v>0</v>
      </c>
      <c r="DA88" s="49">
        <f>VLOOKUP(A88,tbMoveset!A2:G112,7,FALSE)*IFERROR(IF(Backdoors!AI12&gt;=0,1+(IF(Calculator!E40&gt;0,VLOOKUP(Calculator!E40,tbSkills!AI3:AJ5,2,FALSE),Backdoors!AL4)*(IF((Backdoors!AI12+IF(CV88&gt;=0.45,VLOOKUP(Calculator!E23,tbSkills!DH3:DI6,2,FALSE)+IF(AND(Calculator!B8=TRUE,Backdoors!BI17=TRUE),VLOOKUP(Calculator!E23,tbSkills!DH3:DJ6,3,FALSE),0),0))&gt;=100,100,(Backdoors!AI12+IF(CV88&gt;=0.45,VLOOKUP(Calculator!E23,tbSkills!DH3:DI6,2,FALSE)+IF(AND(Calculator!B8=TRUE,Backdoors!BI17=TRUE),VLOOKUP(Calculator!E23,tbSkills!DH3:DJ6,3,FALSE),0),0)))/100)),1),1)</f>
        <v>1</v>
      </c>
      <c r="DB88" s="87">
        <f t="shared" si="65"/>
        <v>0</v>
      </c>
      <c r="DC88" s="86" t="str">
        <f>IFERROR(IF(VLOOKUP(A88,tbMoveset!A2:B112,2,FALSE)="Sever",Backdoors!AY18/100,IF(VLOOKUP(A88,tbMoveset!A2:B112,2,FALSE)="Blunt",Backdoors!AZ18/100,Backdoors!BA18/100)),"")</f>
        <v/>
      </c>
      <c r="DD88" s="49">
        <f>IFERROR(IF(VLOOKUP(tbMoveset!A88,tbMoveset!A2:H112,8,FALSE)="Other",IF(VLOOKUP(tbMoveset!A88,tbMoveset!A2:I112,9,FALSE)="Fire",Backdoors!BB18,IF(VLOOKUP(tbMoveset!A88,tbMoveset!A2:I112,9,FALSE)="Water",Backdoors!BC18,IF(VLOOKUP(tbMoveset!A88,tbMoveset!A2:I112,9,FALSE)="Thunder",Backdoors!BD18,IF(VLOOKUP(tbMoveset!A88,tbMoveset!A2:I112,9,FALSE)="Ice",Backdoors!BE18,IF(VLOOKUP(tbMoveset!A88,tbMoveset!A2:I112,9,FALSE)="Dragon",Backdoors!BF18,Backdoors!BG18)))))/100,Backdoors!BG18/100),"")</f>
        <v>0</v>
      </c>
      <c r="DE88" s="49">
        <f>IFERROR(IF(VLOOKUP(A88,tbMoveset!A2:J112,10,FALSE)=TRUE,IF((Backdoors!AI12+IF(DC88&gt;=0.45,VLOOKUP(Calculator!E23,tbSkills!DH3:DI6,2,FALSE)+IF(AND(Calculator!B8=TRUE,Backdoors!BI18=TRUE),VLOOKUP(Calculator!E23,tbSkills!DH3:DJ6,3,FALSE),0),0))&gt;=0,1+(Backdoors!AL2*(IF((Backdoors!AI12+IF(DC88&gt;=0.45,VLOOKUP(Calculator!E23,tbSkills!DH3:DI6,2,FALSE)+IF(AND(Calculator!B8=TRUE,Backdoors!BI18=TRUE),VLOOKUP(Calculator!E23,tbSkills!DH3:DJ6,3,FALSE),0),0))&gt;=100,100,(Backdoors!AI12+IF(DC88&gt;=0.45,VLOOKUP(Calculator!E23,tbSkills!DH3:DI6,2,FALSE)+IF(AND(Calculator!B8=TRUE,Backdoors!BI18=TRUE),VLOOKUP(Calculator!E23,tbSkills!DH3:DJ6,3,FALSE),0),0)))/100)),(1-(0.25*((-Backdoors!AI12-IF(DC88&gt;=0.45,VLOOKUP(Calculator!E23,tbSkills!DH3:DI6,2,FALSE)+IF(AND(Calculator!B8=TRUE,Backdoors!BI18=TRUE),VLOOKUP(Calculator!E23,tbSkills!DH3:DJ6,3,FALSE),0),0))/100)))),1),"")</f>
        <v>1</v>
      </c>
      <c r="DF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C88)*DE88)*(VLOOKUP(A88,tbMoveset!A2:C112,3,FALSE)/100)*IF(VLOOKUP(A88,tbMoveset!A2:B112,2,FALSE)="Projectile",Backdoors!N10,Backdoors!N9),0),"")</f>
        <v/>
      </c>
      <c r="DG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C88&gt;=0.45,VLOOKUP(Calculator!E23,tbSkills!DH3:DI6,2,FALSE)+IF(AND(Calculator!B8=TRUE,Backdoors!BI18=TRUE),VLOOKUP(Calculator!E23,tbSkills!DH3:DJ6,3,FALSE),0),0))&gt;=100,100,(Backdoors!AI12+IF(DC88&gt;=0.45,VLOOKUP(Calculator!E23,tbSkills!DH3:DI6,2,FALSE)+IF(AND(Calculator!B8=TRUE,Backdoors!BI18=TRUE),VLOOKUP(Calculator!E23,tbSkills!DH3:DJ6,3,FALSE),0),0)))/100)),1))*IF(VLOOKUP(A88,tbMoveset!A2:K112,11,FALSE)=TRUE,Backdoors!AC5,1))*DD88,0),"")</f>
        <v>0</v>
      </c>
      <c r="DH88" s="49">
        <f>VLOOKUP(A88,tbMoveset!A2:G112,7,FALSE)*IFERROR(IF(Backdoors!AI12&gt;=0,1+(IF(Calculator!E40&gt;0,VLOOKUP(Calculator!E40,tbSkills!AI3:AJ5,2,FALSE),Backdoors!AL4)*(IF((Backdoors!AI12+IF(DC88&gt;=0.45,VLOOKUP(Calculator!E23,tbSkills!DH3:DI6,2,FALSE)+IF(AND(Calculator!B8=TRUE,Backdoors!BI18=TRUE),VLOOKUP(Calculator!E23,tbSkills!DH3:DJ6,3,FALSE),0),0))&gt;=100,100,(Backdoors!AI12+IF(DC88&gt;=0.45,VLOOKUP(Calculator!E23,tbSkills!DH3:DI6,2,FALSE)+IF(AND(Calculator!B8=TRUE,Backdoors!BI18=TRUE),VLOOKUP(Calculator!E23,tbSkills!DH3:DJ6,3,FALSE),0),0)))/100)),1),1)</f>
        <v>1</v>
      </c>
      <c r="DI88" s="87">
        <f t="shared" si="66"/>
        <v>0</v>
      </c>
      <c r="DJ88" s="86" t="str">
        <f>IFERROR(IF(VLOOKUP(A88,tbMoveset!A2:B112,2,FALSE)="Sever",Backdoors!AY19/100,IF(VLOOKUP(A88,tbMoveset!A2:B112,2,FALSE)="Blunt",Backdoors!AZ19/100,Backdoors!BA19/100)),"")</f>
        <v/>
      </c>
      <c r="DK88" s="49">
        <f>IFERROR(IF(VLOOKUP(tbMoveset!A88,tbMoveset!A2:H112,8,FALSE)="Other",IF(VLOOKUP(tbMoveset!A88,tbMoveset!A2:I112,9,FALSE)="Fire",Backdoors!BB19,IF(VLOOKUP(tbMoveset!A88,tbMoveset!A2:I112,9,FALSE)="Water",Backdoors!BC19,IF(VLOOKUP(tbMoveset!A88,tbMoveset!A2:I112,9,FALSE)="Thunder",Backdoors!BD19,IF(VLOOKUP(tbMoveset!A88,tbMoveset!A2:I112,9,FALSE)="Ice",Backdoors!BE19,IF(VLOOKUP(tbMoveset!A88,tbMoveset!A2:I112,9,FALSE)="Dragon",Backdoors!BF19,Backdoors!BG19)))))/100,Backdoors!BG19/100),"")</f>
        <v>0</v>
      </c>
      <c r="DL88" s="49">
        <f>IFERROR(IF(VLOOKUP(A88,tbMoveset!A2:J112,10,FALSE)=TRUE,IF((Backdoors!AI12+IF(DJ88&gt;=0.45,VLOOKUP(Calculator!E23,tbSkills!DH3:DI6,2,FALSE)+IF(AND(Calculator!B8=TRUE,Backdoors!BI19=TRUE),VLOOKUP(Calculator!E23,tbSkills!DH3:DJ6,3,FALSE),0),0))&gt;=0,1+(Backdoors!AL2*(IF((Backdoors!AI12+IF(DJ88&gt;=0.45,VLOOKUP(Calculator!E23,tbSkills!DH3:DI6,2,FALSE)+IF(AND(Calculator!B8=TRUE,Backdoors!BI19=TRUE),VLOOKUP(Calculator!E23,tbSkills!DH3:DJ6,3,FALSE),0),0))&gt;=100,100,(Backdoors!AI12+IF(DJ88&gt;=0.45,VLOOKUP(Calculator!E23,tbSkills!DH3:DI6,2,FALSE)+IF(AND(Calculator!B8=TRUE,Backdoors!BI19=TRUE),VLOOKUP(Calculator!E23,tbSkills!DH3:DJ6,3,FALSE),0),0)))/100)),(1-(0.25*((-Backdoors!AI12-IF(DJ88&gt;=0.45,VLOOKUP(Calculator!E23,tbSkills!DH3:DI6,2,FALSE)+IF(AND(Calculator!B8=TRUE,Backdoors!BI19=TRUE),VLOOKUP(Calculator!E23,tbSkills!DH3:DJ6,3,FALSE),0),0))/100)))),1),"")</f>
        <v>1</v>
      </c>
      <c r="DM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J88)*DL88)*(VLOOKUP(A88,tbMoveset!A2:C112,3,FALSE)/100)*IF(VLOOKUP(A88,tbMoveset!A2:B112,2,FALSE)="Projectile",Backdoors!N10,Backdoors!N9),0),"")</f>
        <v/>
      </c>
      <c r="DN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J88&gt;=0.45,VLOOKUP(Calculator!E23,tbSkills!DH3:DI6,2,FALSE)+IF(AND(Calculator!B8=TRUE,Backdoors!BI19=TRUE),VLOOKUP(Calculator!E23,tbSkills!DH3:DJ6,3,FALSE),0),0))&gt;=100,100,(Backdoors!AI12+IF(DJ88&gt;=0.45,VLOOKUP(Calculator!E23,tbSkills!DH3:DI6,2,FALSE)+IF(AND(Calculator!B8=TRUE,Backdoors!BI19=TRUE),VLOOKUP(Calculator!E23,tbSkills!DH3:DJ6,3,FALSE),0),0)))/100)),1))*IF(VLOOKUP(A88,tbMoveset!A2:K112,11,FALSE)=TRUE,Backdoors!AC5,1))*DK88,0),"")</f>
        <v>0</v>
      </c>
      <c r="DO88" s="49">
        <f>VLOOKUP(A88,tbMoveset!A2:G112,7,FALSE)*IFERROR(IF(Backdoors!AI12&gt;=0,1+(IF(Calculator!E40&gt;0,VLOOKUP(Calculator!E40,tbSkills!AI3:AJ5,2,FALSE),Backdoors!AL4)*(IF((Backdoors!AI12+IF(DJ88&gt;=0.45,VLOOKUP(Calculator!E23,tbSkills!DH3:DI6,2,FALSE)+IF(AND(Calculator!B8=TRUE,Backdoors!BI19=TRUE),VLOOKUP(Calculator!E23,tbSkills!DH3:DJ6,3,FALSE),0),0))&gt;=100,100,(Backdoors!AI12+IF(DJ88&gt;=0.45,VLOOKUP(Calculator!E23,tbSkills!DH3:DI6,2,FALSE)+IF(AND(Calculator!B8=TRUE,Backdoors!BI19=TRUE),VLOOKUP(Calculator!E23,tbSkills!DH3:DJ6,3,FALSE),0),0)))/100)),1),1)</f>
        <v>1</v>
      </c>
      <c r="DP88" s="87">
        <f t="shared" si="67"/>
        <v>0</v>
      </c>
      <c r="DQ88" s="86" t="str">
        <f>IFERROR(IF(VLOOKUP(A88,tbMoveset!A2:B112,2,FALSE)="Sever",Backdoors!AY20/100,IF(VLOOKUP(A88,tbMoveset!A2:B112,2,FALSE)="Blunt",Backdoors!AZ20/100,Backdoors!BA20/100)),"")</f>
        <v/>
      </c>
      <c r="DR88" s="49">
        <f>IFERROR(IF(VLOOKUP(tbMoveset!A88,tbMoveset!A2:H112,8,FALSE)="Other",IF(VLOOKUP(tbMoveset!A88,tbMoveset!A2:I112,9,FALSE)="Fire",Backdoors!BB20,IF(VLOOKUP(tbMoveset!A88,tbMoveset!A2:I112,9,FALSE)="Water",Backdoors!BC20,IF(VLOOKUP(tbMoveset!A88,tbMoveset!A2:I112,9,FALSE)="Thunder",Backdoors!BD20,IF(VLOOKUP(tbMoveset!A88,tbMoveset!A2:I112,9,FALSE)="Ice",Backdoors!BE20,IF(VLOOKUP(tbMoveset!A88,tbMoveset!A2:I112,9,FALSE)="Dragon",Backdoors!BF20,Backdoors!BG20)))))/100,Backdoors!BG20/100),"")</f>
        <v>0</v>
      </c>
      <c r="DS88" s="49">
        <f>IFERROR(IF(VLOOKUP(A88,tbMoveset!A2:J112,10,FALSE)=TRUE,IF((Backdoors!AI12+IF(DQ88&gt;=0.45,VLOOKUP(Calculator!E23,tbSkills!DH3:DI6,2,FALSE)+IF(AND(Calculator!B8=TRUE,Backdoors!BI20=TRUE),VLOOKUP(Calculator!E23,tbSkills!DH3:DJ6,3,FALSE),0),0))&gt;=0,1+(Backdoors!AL2*(IF((Backdoors!AI12+IF(DQ88&gt;=0.45,VLOOKUP(Calculator!E23,tbSkills!DH3:DI6,2,FALSE)+IF(AND(Calculator!B8=TRUE,Backdoors!BI20=TRUE),VLOOKUP(Calculator!E23,tbSkills!DH3:DJ6,3,FALSE),0),0))&gt;=100,100,(Backdoors!AI12+IF(DQ88&gt;=0.45,VLOOKUP(Calculator!E23,tbSkills!DH3:DI6,2,FALSE)+IF(AND(Calculator!B8=TRUE,Backdoors!BI20=TRUE),VLOOKUP(Calculator!E23,tbSkills!DH3:DJ6,3,FALSE),0),0)))/100)),(1-(0.25*((-Backdoors!AI12-IF(DQ88&gt;=0.45,VLOOKUP(Calculator!E23,tbSkills!DH3:DI6,2,FALSE)+IF(AND(Calculator!B8=TRUE,Backdoors!BI20=TRUE),VLOOKUP(Calculator!E23,tbSkills!DH3:DJ6,3,FALSE),0),0))/100)))),1),"")</f>
        <v>1</v>
      </c>
      <c r="DT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Q88)*DS88)*(VLOOKUP(A88,tbMoveset!A2:C112,3,FALSE)/100)*IF(VLOOKUP(A88,tbMoveset!A2:B112,2,FALSE)="Projectile",Backdoors!N10,Backdoors!N9),0),"")</f>
        <v/>
      </c>
      <c r="DU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Q88&gt;=0.45,VLOOKUP(Calculator!E23,tbSkills!DH3:DI6,2,FALSE)+IF(AND(Calculator!B8=TRUE,Backdoors!BI20=TRUE),VLOOKUP(Calculator!E23,tbSkills!DH3:DJ6,3,FALSE),0),0))&gt;=100,100,(Backdoors!AI12+IF(DQ88&gt;=0.45,VLOOKUP(Calculator!E23,tbSkills!DH3:DI6,2,FALSE)+IF(AND(Calculator!B8=TRUE,Backdoors!BI20=TRUE),VLOOKUP(Calculator!E23,tbSkills!DH3:DJ6,3,FALSE),0),0)))/100)),1))*IF(VLOOKUP(A88,tbMoveset!A2:K112,11,FALSE)=TRUE,Backdoors!AC5,1))*DR88,0),"")</f>
        <v>0</v>
      </c>
      <c r="DV88" s="49">
        <f>VLOOKUP(A88,tbMoveset!A2:G112,7,FALSE)*IFERROR(IF(Backdoors!AI12&gt;=0,1+(IF(Calculator!E40&gt;0,VLOOKUP(Calculator!E40,tbSkills!AI3:AJ5,2,FALSE),Backdoors!AL4)*(IF((Backdoors!AI12+IF(DQ88&gt;=0.45,VLOOKUP(Calculator!E23,tbSkills!DH3:DI6,2,FALSE)+IF(AND(Calculator!B8=TRUE,Backdoors!BI20=TRUE),VLOOKUP(Calculator!E23,tbSkills!DH3:DJ6,3,FALSE),0),0))&gt;=100,100,(Backdoors!AI12+IF(DQ88&gt;=0.45,VLOOKUP(Calculator!E23,tbSkills!DH3:DI6,2,FALSE)+IF(AND(Calculator!B8=TRUE,Backdoors!BI20=TRUE),VLOOKUP(Calculator!E23,tbSkills!DH3:DJ6,3,FALSE),0),0)))/100)),1),1)</f>
        <v>1</v>
      </c>
      <c r="DW88" s="87">
        <f t="shared" si="68"/>
        <v>0</v>
      </c>
      <c r="DX88" s="86" t="str">
        <f>IFERROR(IF(VLOOKUP(A88,tbMoveset!A2:B112,2,FALSE)="Sever",Backdoors!AY21/100,IF(VLOOKUP(A88,tbMoveset!A2:B112,2,FALSE)="Blunt",Backdoors!AZ21/100,Backdoors!BA21/100)),"")</f>
        <v/>
      </c>
      <c r="DY88" s="49">
        <f>IFERROR(IF(VLOOKUP(tbMoveset!A88,tbMoveset!A2:H112,8,FALSE)="Other",IF(VLOOKUP(tbMoveset!A88,tbMoveset!A2:I112,9,FALSE)="Fire",Backdoors!BB21,IF(VLOOKUP(tbMoveset!A88,tbMoveset!A2:I112,9,FALSE)="Water",Backdoors!BC21,IF(VLOOKUP(tbMoveset!A88,tbMoveset!A2:I112,9,FALSE)="Thunder",Backdoors!BD21,IF(VLOOKUP(tbMoveset!A88,tbMoveset!A2:I112,9,FALSE)="Ice",Backdoors!BE21,IF(VLOOKUP(tbMoveset!A88,tbMoveset!A2:I112,9,FALSE)="Dragon",Backdoors!BF21,Backdoors!BG21)))))/100,Backdoors!BG21/100),"")</f>
        <v>0</v>
      </c>
      <c r="DZ88" s="49">
        <f>IFERROR(IF(VLOOKUP(A88,tbMoveset!A2:J112,10,FALSE)=TRUE,IF((Backdoors!AI12+IF(DX88&gt;=0.45,VLOOKUP(Calculator!E23,tbSkills!DH3:DI6,2,FALSE)+IF(AND(Calculator!B8=TRUE,Backdoors!BI21=TRUE),VLOOKUP(Calculator!E23,tbSkills!DH3:DJ6,3,FALSE),0),0))&gt;=0,1+(Backdoors!AL2*(IF((Backdoors!AI12+IF(DX88&gt;=0.45,VLOOKUP(Calculator!E23,tbSkills!DH3:DI6,2,FALSE)+IF(AND(Calculator!B8=TRUE,Backdoors!BI21=TRUE),VLOOKUP(Calculator!E23,tbSkills!DH3:DJ6,3,FALSE),0),0))&gt;=100,100,(Backdoors!AI12+IF(DX88&gt;=0.45,VLOOKUP(Calculator!E23,tbSkills!DH3:DI6,2,FALSE)+IF(AND(Calculator!B8=TRUE,Backdoors!BI21=TRUE),VLOOKUP(Calculator!E23,tbSkills!DH3:DJ6,3,FALSE),0),0)))/100)),(1-(0.25*((-Backdoors!AI12-IF(DX88&gt;=0.45,VLOOKUP(Calculator!E23,tbSkills!DH3:DI6,2,FALSE)+IF(AND(Calculator!B8=TRUE,Backdoors!BI21=TRUE),VLOOKUP(Calculator!E23,tbSkills!DH3:DJ6,3,FALSE),0),0))/100)))),1),"")</f>
        <v>1</v>
      </c>
      <c r="EA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X88)*DZ88)*(VLOOKUP(A88,tbMoveset!A2:C112,3,FALSE)/100)*IF(VLOOKUP(A88,tbMoveset!A2:B112,2,FALSE)="Projectile",Backdoors!N10,Backdoors!N9),0),"")</f>
        <v/>
      </c>
      <c r="EB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X88&gt;=0.45,VLOOKUP(Calculator!E23,tbSkills!DH3:DI6,2,FALSE)+IF(AND(Calculator!B8=TRUE,Backdoors!BI21=TRUE),VLOOKUP(Calculator!E23,tbSkills!DH3:DJ6,3,FALSE),0),0))&gt;=100,100,(Backdoors!AI12+IF(DX88&gt;=0.45,VLOOKUP(Calculator!E23,tbSkills!DH3:DI6,2,FALSE)+IF(AND(Calculator!B8=TRUE,Backdoors!BI21=TRUE),VLOOKUP(Calculator!E23,tbSkills!DH3:DJ6,3,FALSE),0),0)))/100)),1))*IF(VLOOKUP(A88,tbMoveset!A2:K112,11,FALSE)=TRUE,Backdoors!AC5,1))*DY88,0),"")</f>
        <v>0</v>
      </c>
      <c r="EC88" s="49">
        <f>VLOOKUP(A88,tbMoveset!A2:G112,7,FALSE)*IFERROR(IF(Backdoors!AI12&gt;=0,1+(IF(Calculator!E40&gt;0,VLOOKUP(Calculator!E40,tbSkills!AI3:AJ5,2,FALSE),Backdoors!AL4)*(IF((Backdoors!AI12+IF(DX88&gt;=0.45,VLOOKUP(Calculator!E23,tbSkills!DH3:DI6,2,FALSE)+IF(AND(Calculator!B8=TRUE,Backdoors!BI21=TRUE),VLOOKUP(Calculator!E23,tbSkills!DH3:DJ6,3,FALSE),0),0))&gt;=100,100,(Backdoors!AI12+IF(DX88&gt;=0.45,VLOOKUP(Calculator!E23,tbSkills!DH3:DI6,2,FALSE)+IF(AND(Calculator!B8=TRUE,Backdoors!BI21=TRUE),VLOOKUP(Calculator!E23,tbSkills!DH3:DJ6,3,FALSE),0),0)))/100)),1),1)</f>
        <v>1</v>
      </c>
      <c r="ED88" s="87">
        <f t="shared" si="69"/>
        <v>0</v>
      </c>
      <c r="EE88" s="86" t="str">
        <f>IFERROR(IF(VLOOKUP(A88,tbMoveset!A2:B112,2,FALSE)="Sever",Backdoors!AY22/100,IF(VLOOKUP(A88,tbMoveset!A2:B112,2,FALSE)="Blunt",Backdoors!AZ22/100,Backdoors!BA22/100)),"")</f>
        <v/>
      </c>
      <c r="EF88" s="49">
        <f>IFERROR(IF(VLOOKUP(tbMoveset!A88,tbMoveset!A2:H112,8,FALSE)="Other",IF(VLOOKUP(tbMoveset!A88,tbMoveset!A2:I112,9,FALSE)="Fire",Backdoors!BB22,IF(VLOOKUP(tbMoveset!A88,tbMoveset!A2:I112,9,FALSE)="Water",Backdoors!BC22,IF(VLOOKUP(tbMoveset!A88,tbMoveset!A2:I112,9,FALSE)="Thunder",Backdoors!BD22,IF(VLOOKUP(tbMoveset!A88,tbMoveset!A2:I112,9,FALSE)="Ice",Backdoors!BE22,IF(VLOOKUP(tbMoveset!A88,tbMoveset!A2:I112,9,FALSE)="Dragon",Backdoors!BF22,Backdoors!BG22)))))/100,Backdoors!BG22/100),"")</f>
        <v>0</v>
      </c>
      <c r="EG88" s="49">
        <f>IFERROR(IF(VLOOKUP(A88,tbMoveset!A2:J112,10,FALSE)=TRUE,IF((Backdoors!AI12+IF(EE88&gt;=0.45,VLOOKUP(Calculator!E23,tbSkills!DH3:DI6,2,FALSE)+IF(AND(Calculator!B8=TRUE,Backdoors!BI22=TRUE),VLOOKUP(Calculator!E23,tbSkills!DH3:DJ6,3,FALSE),0),0))&gt;=0,1+(Backdoors!AL2*(IF((Backdoors!AI12+IF(EE88&gt;=0.45,VLOOKUP(Calculator!E23,tbSkills!DH3:DI6,2,FALSE)+IF(AND(Calculator!B8=TRUE,Backdoors!BI22=TRUE),VLOOKUP(Calculator!E23,tbSkills!DH3:DJ6,3,FALSE),0),0))&gt;=100,100,(Backdoors!AI12+IF(EE88&gt;=0.45,VLOOKUP(Calculator!E23,tbSkills!DH3:DI6,2,FALSE)+IF(AND(Calculator!B8=TRUE,Backdoors!BI22=TRUE),VLOOKUP(Calculator!E23,tbSkills!DH3:DJ6,3,FALSE),0),0)))/100)),(1-(0.25*((-Backdoors!AI12-IF(EE88&gt;=0.45,VLOOKUP(Calculator!E23,tbSkills!DH3:DI6,2,FALSE)+IF(AND(Calculator!B8=TRUE,Backdoors!BI22=TRUE),VLOOKUP(Calculator!E23,tbSkills!DH3:DJ6,3,FALSE),0),0))/100)))),1),"")</f>
        <v>1</v>
      </c>
      <c r="EH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E88)*EG88)*(VLOOKUP(A88,tbMoveset!A2:C112,3,FALSE)/100)*IF(VLOOKUP(A88,tbMoveset!A2:B112,2,FALSE)="Projectile",Backdoors!N10,Backdoors!N9),0),"")</f>
        <v/>
      </c>
      <c r="EI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E88&gt;=0.45,VLOOKUP(Calculator!E23,tbSkills!DH3:DI6,2,FALSE)+IF(AND(Calculator!B8=TRUE,Backdoors!BI22=TRUE),VLOOKUP(Calculator!E23,tbSkills!DH3:DJ6,3,FALSE),0),0))&gt;=100,100,(Backdoors!AI12+IF(EE88&gt;=0.45,VLOOKUP(Calculator!E23,tbSkills!DH3:DI6,2,FALSE)+IF(AND(Calculator!B8=TRUE,Backdoors!BI22=TRUE),VLOOKUP(Calculator!E23,tbSkills!DH3:DJ6,3,FALSE),0),0)))/100)),1))*IF(VLOOKUP(A88,tbMoveset!A2:K112,11,FALSE)=TRUE,Backdoors!AC5,1))*EF88,0),"")</f>
        <v>0</v>
      </c>
      <c r="EJ88" s="49">
        <f>VLOOKUP(A88,tbMoveset!A2:G112,7,FALSE)*IFERROR(IF(Backdoors!AI12&gt;=0,1+(IF(Calculator!E40&gt;0,VLOOKUP(Calculator!E40,tbSkills!AI3:AJ5,2,FALSE),Backdoors!AL4)*(IF((Backdoors!AI12+IF(EE88&gt;=0.45,VLOOKUP(Calculator!E23,tbSkills!DH3:DI6,2,FALSE)+IF(AND(Calculator!B8=TRUE,Backdoors!BI22=TRUE),VLOOKUP(Calculator!E23,tbSkills!DH3:DJ6,3,FALSE),0),0))&gt;=100,100,(Backdoors!AI12+IF(EE88&gt;=0.45,VLOOKUP(Calculator!E23,tbSkills!DH3:DI6,2,FALSE)+IF(AND(Calculator!B8=TRUE,Backdoors!BI22=TRUE),VLOOKUP(Calculator!E23,tbSkills!DH3:DJ6,3,FALSE),0),0)))/100)),1),1)</f>
        <v>1</v>
      </c>
      <c r="EK88" s="87">
        <f t="shared" si="70"/>
        <v>0</v>
      </c>
      <c r="EL88" s="86" t="str">
        <f>IFERROR(IF(VLOOKUP(A88,tbMoveset!A2:B112,2,FALSE)="Sever",Backdoors!AY23/100,IF(VLOOKUP(A88,tbMoveset!A2:B112,2,FALSE)="Blunt",Backdoors!AZ23/100,Backdoors!BA23/100)),"")</f>
        <v/>
      </c>
      <c r="EM88" s="49">
        <f>IFERROR(IF(VLOOKUP(tbMoveset!A88,tbMoveset!A2:H112,8,FALSE)="Other",IF(VLOOKUP(tbMoveset!A88,tbMoveset!A2:I112,9,FALSE)="Fire",Backdoors!BB23,IF(VLOOKUP(tbMoveset!A88,tbMoveset!A2:I112,9,FALSE)="Water",Backdoors!BC23,IF(VLOOKUP(tbMoveset!A88,tbMoveset!A2:I112,9,FALSE)="Thunder",Backdoors!BD23,IF(VLOOKUP(tbMoveset!A88,tbMoveset!A2:I112,9,FALSE)="Ice",Backdoors!BE23,IF(VLOOKUP(tbMoveset!A88,tbMoveset!A2:I112,9,FALSE)="Dragon",Backdoors!BF23,Backdoors!BG23)))))/100,Backdoors!BG23/100),"")</f>
        <v>0</v>
      </c>
      <c r="EN88" s="49">
        <f>IFERROR(IF(VLOOKUP(A88,tbMoveset!A2:J112,10,FALSE)=TRUE,IF((Backdoors!AI12+IF(EL88&gt;=0.45,VLOOKUP(Calculator!E23,tbSkills!DH3:DI6,2,FALSE)+IF(AND(Calculator!B8=TRUE,Backdoors!BI23=TRUE),VLOOKUP(Calculator!E23,tbSkills!DH3:DJ6,3,FALSE),0),0))&gt;=0,1+(Backdoors!AL2*(IF((Backdoors!AI12+IF(EL88&gt;=0.45,VLOOKUP(Calculator!E23,tbSkills!DH3:DI6,2,FALSE)+IF(AND(Calculator!B8=TRUE,Backdoors!BI23=TRUE),VLOOKUP(Calculator!E23,tbSkills!DH3:DJ6,3,FALSE),0),0))&gt;=100,100,(Backdoors!AI12+IF(EL88&gt;=0.45,VLOOKUP(Calculator!E23,tbSkills!DH3:DI6,2,FALSE)+IF(AND(Calculator!B8=TRUE,Backdoors!BI23=TRUE),VLOOKUP(Calculator!E23,tbSkills!DH3:DJ6,3,FALSE),0),0)))/100)),(1-(0.25*((-Backdoors!AI12-IF(EL88&gt;=0.45,VLOOKUP(Calculator!E23,tbSkills!DH3:DI6,2,FALSE)+IF(AND(Calculator!B8=TRUE,Backdoors!BI23=TRUE),VLOOKUP(Calculator!E23,tbSkills!DH3:DJ6,3,FALSE),0),0))/100)))),1),"")</f>
        <v>1</v>
      </c>
      <c r="EO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L88)*EN88)*(VLOOKUP(A88,tbMoveset!A2:C112,3,FALSE)/100)*IF(VLOOKUP(A88,tbMoveset!A2:B112,2,FALSE)="Projectile",Backdoors!N10,Backdoors!N9),0),"")</f>
        <v/>
      </c>
      <c r="EP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L88&gt;=0.45,VLOOKUP(Calculator!E23,tbSkills!DH3:DI6,2,FALSE)+IF(AND(Calculator!B8=TRUE,Backdoors!BI23=TRUE),VLOOKUP(Calculator!E23,tbSkills!DH3:DJ6,3,FALSE),0),0))&gt;=100,100,(Backdoors!AI12+IF(EL88&gt;=0.45,VLOOKUP(Calculator!E23,tbSkills!DH3:DI6,2,FALSE)+IF(AND(Calculator!B8=TRUE,Backdoors!BI23=TRUE),VLOOKUP(Calculator!E23,tbSkills!DH3:DJ6,3,FALSE),0),0)))/100)),1))*IF(VLOOKUP(A88,tbMoveset!A2:K112,11,FALSE)=TRUE,Backdoors!AC5,1))*EM88,0),"")</f>
        <v>0</v>
      </c>
      <c r="EQ88" s="49">
        <f>VLOOKUP(A88,tbMoveset!A2:G112,7,FALSE)*IFERROR(IF(Backdoors!AI12&gt;=0,1+(IF(Calculator!E40&gt;0,VLOOKUP(Calculator!E40,tbSkills!AI3:AJ5,2,FALSE),Backdoors!AL4)*(IF((Backdoors!AI12+IF(EL88&gt;=0.45,VLOOKUP(Calculator!E23,tbSkills!DH3:DI6,2,FALSE)+IF(AND(Calculator!B8=TRUE,Backdoors!BI23=TRUE),VLOOKUP(Calculator!E23,tbSkills!DH3:DJ6,3,FALSE),0),0))&gt;=100,100,(Backdoors!AI12+IF(EL88&gt;=0.45,VLOOKUP(Calculator!E23,tbSkills!DH3:DI6,2,FALSE)+IF(AND(Calculator!B8=TRUE,Backdoors!BI23=TRUE),VLOOKUP(Calculator!E23,tbSkills!DH3:DJ6,3,FALSE),0),0)))/100)),1),1)</f>
        <v>1</v>
      </c>
      <c r="ER88" s="87">
        <f t="shared" si="71"/>
        <v>0</v>
      </c>
      <c r="ES88" s="86" t="str">
        <f>IFERROR(IF(VLOOKUP(A88,tbMoveset!A2:B112,2,FALSE)="Sever",Backdoors!AY24/100,IF(VLOOKUP(A88,tbMoveset!A2:B112,2,FALSE)="Blunt",Backdoors!AZ24/100,Backdoors!BA24/100)),"")</f>
        <v/>
      </c>
      <c r="ET88" s="49">
        <f>IFERROR(IF(VLOOKUP(tbMoveset!A88,tbMoveset!A2:H112,8,FALSE)="Other",IF(VLOOKUP(tbMoveset!A88,tbMoveset!A2:I112,9,FALSE)="Fire",Backdoors!BB24,IF(VLOOKUP(tbMoveset!A88,tbMoveset!A2:I112,9,FALSE)="Water",Backdoors!BC24,IF(VLOOKUP(tbMoveset!A88,tbMoveset!A2:I112,9,FALSE)="Thunder",Backdoors!BD24,IF(VLOOKUP(tbMoveset!A88,tbMoveset!A2:I112,9,FALSE)="Ice",Backdoors!BE24,IF(VLOOKUP(tbMoveset!A88,tbMoveset!A2:I112,9,FALSE)="Dragon",Backdoors!BF24,Backdoors!BG24)))))/100,Backdoors!BG24/100),"")</f>
        <v>0</v>
      </c>
      <c r="EU88" s="49">
        <f>IFERROR(IF(VLOOKUP(A88,tbMoveset!A2:J112,10,FALSE)=TRUE,IF((Backdoors!AI12+IF(ES88&gt;=0.45,VLOOKUP(Calculator!E23,tbSkills!DH3:DI6,2,FALSE)+IF(AND(Calculator!B8=TRUE,Backdoors!BI24=TRUE),VLOOKUP(Calculator!E23,tbSkills!DH3:DJ6,3,FALSE),0),0))&gt;=0,1+(Backdoors!AL2*(IF((Backdoors!AI12+IF(ES88&gt;=0.45,VLOOKUP(Calculator!E23,tbSkills!DH3:DI6,2,FALSE)+IF(AND(Calculator!B8=TRUE,Backdoors!BI24=TRUE),VLOOKUP(Calculator!E23,tbSkills!DH3:DJ6,3,FALSE),0),0))&gt;=100,100,(Backdoors!AI12+IF(ES88&gt;=0.45,VLOOKUP(Calculator!E23,tbSkills!DH3:DI6,2,FALSE)+IF(AND(Calculator!B8=TRUE,Backdoors!BI24=TRUE),VLOOKUP(Calculator!E23,tbSkills!DH3:DJ6,3,FALSE),0),0)))/100)),(1-(0.25*((-Backdoors!AI12-IF(ES88&gt;=0.45,VLOOKUP(Calculator!E23,tbSkills!DH3:DI6,2,FALSE)+IF(AND(Calculator!B8=TRUE,Backdoors!BI24=TRUE),VLOOKUP(Calculator!E23,tbSkills!DH3:DJ6,3,FALSE),0),0))/100)))),1),"")</f>
        <v>1</v>
      </c>
      <c r="EV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S88)*EU88)*(VLOOKUP(A88,tbMoveset!A2:C112,3,FALSE)/100)*IF(VLOOKUP(A88,tbMoveset!A2:B112,2,FALSE)="Projectile",Backdoors!N10,Backdoors!N9),0),"")</f>
        <v/>
      </c>
      <c r="EW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S88&gt;=0.45,VLOOKUP(Calculator!E23,tbSkills!DH3:DI6,2,FALSE)+IF(AND(Calculator!B8=TRUE,Backdoors!BI24=TRUE),VLOOKUP(Calculator!E23,tbSkills!DH3:DJ6,3,FALSE),0),0))&gt;=100,100,(Backdoors!AI12+IF(ES88&gt;=0.45,VLOOKUP(Calculator!E23,tbSkills!DH3:DI6,2,FALSE)+IF(AND(Calculator!B8=TRUE,Backdoors!BI24=TRUE),VLOOKUP(Calculator!E23,tbSkills!DH3:DJ6,3,FALSE),0),0)))/100)),1))*IF(VLOOKUP(A88,tbMoveset!A2:K112,11,FALSE)=TRUE,Backdoors!AC5,1))*ET88,0),"")</f>
        <v>0</v>
      </c>
      <c r="EX88" s="49">
        <f>VLOOKUP(A88,tbMoveset!A2:G112,7,FALSE)*IFERROR(IF(Backdoors!AI12&gt;=0,1+(IF(Calculator!E40&gt;0,VLOOKUP(Calculator!E40,tbSkills!AI3:AJ5,2,FALSE),Backdoors!AL4)*(IF((Backdoors!AI12+IF(ES88&gt;=0.45,VLOOKUP(Calculator!E23,tbSkills!DH3:DI6,2,FALSE)+IF(AND(Calculator!B8=TRUE,Backdoors!BI24=TRUE),VLOOKUP(Calculator!E23,tbSkills!DH3:DJ6,3,FALSE),0),0))&gt;=100,100,(Backdoors!AI12+IF(ES88&gt;=0.45,VLOOKUP(Calculator!E23,tbSkills!DH3:DI6,2,FALSE)+IF(AND(Calculator!B8=TRUE,Backdoors!BI24=TRUE),VLOOKUP(Calculator!E23,tbSkills!DH3:DJ6,3,FALSE),0),0)))/100)),1),1)</f>
        <v>1</v>
      </c>
      <c r="EY88" s="87">
        <f t="shared" si="72"/>
        <v>0</v>
      </c>
      <c r="EZ88" s="86" t="str">
        <f>IFERROR(IF(VLOOKUP(A88,tbMoveset!A2:B112,2,FALSE)="Sever",Backdoors!AY25/100,IF(VLOOKUP(A88,tbMoveset!A2:B112,2,FALSE)="Blunt",Backdoors!AZ25/100,Backdoors!BA25/100)),"")</f>
        <v/>
      </c>
      <c r="FA88" s="49">
        <f>IFERROR(IF(VLOOKUP(tbMoveset!A88,tbMoveset!A2:H112,8,FALSE)="Other",IF(VLOOKUP(tbMoveset!A88,tbMoveset!A2:I112,9,FALSE)="Fire",Backdoors!BB25,IF(VLOOKUP(tbMoveset!A88,tbMoveset!A2:I112,9,FALSE)="Water",Backdoors!BC25,IF(VLOOKUP(tbMoveset!A88,tbMoveset!A2:I112,9,FALSE)="Thunder",Backdoors!BD25,IF(VLOOKUP(tbMoveset!A88,tbMoveset!A2:I112,9,FALSE)="Ice",Backdoors!BE25,IF(VLOOKUP(tbMoveset!A88,tbMoveset!A2:I112,9,FALSE)="Dragon",Backdoors!BF25,Backdoors!BG25)))))/100,Backdoors!BG25/100),"")</f>
        <v>0</v>
      </c>
      <c r="FB88" s="49">
        <f>IFERROR(IF(VLOOKUP(A88,tbMoveset!A2:J112,10,FALSE)=TRUE,IF((Backdoors!AI12+IF(EZ88&gt;=0.45,VLOOKUP(Calculator!E23,tbSkills!DH3:DI6,2,FALSE)+IF(AND(Calculator!B8=TRUE,Backdoors!BI25=TRUE),VLOOKUP(Calculator!E23,tbSkills!DH3:DJ6,3,FALSE),0),0))&gt;=0,1+(Backdoors!AL2*(IF((Backdoors!AI12+IF(EZ88&gt;=0.45,VLOOKUP(Calculator!E23,tbSkills!DH3:DI6,2,FALSE)+IF(AND(Calculator!B8=TRUE,Backdoors!BI25=TRUE),VLOOKUP(Calculator!E23,tbSkills!DH3:DJ6,3,FALSE),0),0))&gt;=100,100,(Backdoors!AI12+IF(EZ88&gt;=0.45,VLOOKUP(Calculator!E23,tbSkills!DH3:DI6,2,FALSE)+IF(AND(Calculator!B8=TRUE,Backdoors!BI25=TRUE),VLOOKUP(Calculator!E23,tbSkills!DH3:DJ6,3,FALSE),0),0)))/100)),(1-(0.25*((-Backdoors!AI12-IF(EZ88&gt;=0.45,VLOOKUP(Calculator!E23,tbSkills!DH3:DI6,2,FALSE)+IF(AND(Calculator!B8=TRUE,Backdoors!BI25=TRUE),VLOOKUP(Calculator!E23,tbSkills!DH3:DJ6,3,FALSE),0),0))/100)))),1),"")</f>
        <v>1</v>
      </c>
      <c r="FC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Z88)*FB88)*(VLOOKUP(A88,tbMoveset!A2:C112,3,FALSE)/100)*IF(VLOOKUP(A88,tbMoveset!A2:B112,2,FALSE)="Projectile",Backdoors!N10,Backdoors!N9),0),"")</f>
        <v/>
      </c>
      <c r="FD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Z88&gt;=0.45,VLOOKUP(Calculator!E23,tbSkills!DH3:DI6,2,FALSE)+IF(AND(Calculator!B8=TRUE,Backdoors!BI25=TRUE),VLOOKUP(Calculator!E23,tbSkills!DH3:DJ6,3,FALSE),0),0))&gt;=100,100,(Backdoors!AI12+IF(EZ88&gt;=0.45,VLOOKUP(Calculator!E23,tbSkills!DH3:DI6,2,FALSE)+IF(AND(Calculator!B8=TRUE,Backdoors!BI25=TRUE),VLOOKUP(Calculator!E23,tbSkills!DH3:DJ6,3,FALSE),0),0)))/100)),1))*IF(VLOOKUP(A88,tbMoveset!A2:K112,11,FALSE)=TRUE,Backdoors!AC5,1))*FA88,0),"")</f>
        <v>0</v>
      </c>
      <c r="FE88" s="49">
        <f>VLOOKUP(A88,tbMoveset!A2:G112,7,FALSE)*IFERROR(IF(Backdoors!AI12&gt;=0,1+(IF(Calculator!E40&gt;0,VLOOKUP(Calculator!E40,tbSkills!AI3:AJ5,2,FALSE),Backdoors!AL4)*(IF((Backdoors!AI12+IF(EZ88&gt;=0.45,VLOOKUP(Calculator!E23,tbSkills!DH3:DI6,2,FALSE)+IF(AND(Calculator!B8=TRUE,Backdoors!BI25=TRUE),VLOOKUP(Calculator!E23,tbSkills!DH3:DJ6,3,FALSE),0),0))&gt;=100,100,(Backdoors!AI12+IF(EZ88&gt;=0.45,VLOOKUP(Calculator!E23,tbSkills!DH3:DI6,2,FALSE)+IF(AND(Calculator!B8=TRUE,Backdoors!BI25=TRUE),VLOOKUP(Calculator!E23,tbSkills!DH3:DJ6,3,FALSE),0),0)))/100)),1),1)</f>
        <v>1</v>
      </c>
      <c r="FF88" s="87">
        <f t="shared" si="73"/>
        <v>0</v>
      </c>
      <c r="FG88" s="86" t="str">
        <f>IFERROR(IF(VLOOKUP(A88,tbMoveset!A2:B112,2,FALSE)="Sever",Backdoors!AY26/100,IF(VLOOKUP(A88,tbMoveset!A2:B112,2,FALSE)="Blunt",Backdoors!AZ26/100,Backdoors!BA26/100)),"")</f>
        <v/>
      </c>
      <c r="FH88" s="49">
        <f>IFERROR(IF(VLOOKUP(tbMoveset!A88,tbMoveset!A2:H112,8,FALSE)="Other",IF(VLOOKUP(tbMoveset!A88,tbMoveset!A2:I112,9,FALSE)="Fire",Backdoors!BB26,IF(VLOOKUP(tbMoveset!A88,tbMoveset!A2:I112,9,FALSE)="Water",Backdoors!BC26,IF(VLOOKUP(tbMoveset!A88,tbMoveset!A2:I112,9,FALSE)="Thunder",Backdoors!BD26,IF(VLOOKUP(tbMoveset!A88,tbMoveset!A2:I112,9,FALSE)="Ice",Backdoors!BE26,IF(VLOOKUP(tbMoveset!A88,tbMoveset!A2:I112,9,FALSE)="Dragon",Backdoors!BF26,Backdoors!BG26)))))/100,Backdoors!BG26/100),"")</f>
        <v>0</v>
      </c>
      <c r="FI88" s="49">
        <f>IFERROR(IF(VLOOKUP(A88,tbMoveset!A2:J112,10,FALSE)=TRUE,IF((Backdoors!AI12+IF(FG88&gt;=0.45,VLOOKUP(Calculator!E23,tbSkills!DH3:DI6,2,FALSE)+IF(AND(Calculator!B8=TRUE,Backdoors!BI26=TRUE),VLOOKUP(Calculator!E23,tbSkills!DH3:DJ6,3,FALSE),0),0))&gt;=0,1+(Backdoors!AL2*(IF((Backdoors!AI12+IF(FG88&gt;=0.45,VLOOKUP(Calculator!E23,tbSkills!DH3:DI6,2,FALSE)+IF(AND(Calculator!B8=TRUE,Backdoors!BI26=TRUE),VLOOKUP(Calculator!E23,tbSkills!DH3:DJ6,3,FALSE),0),0))&gt;=100,100,(Backdoors!AI12+IF(FG88&gt;=0.45,VLOOKUP(Calculator!E23,tbSkills!DH3:DI6,2,FALSE)+IF(AND(Calculator!B8=TRUE,Backdoors!BI26=TRUE),VLOOKUP(Calculator!E23,tbSkills!DH3:DJ6,3,FALSE),0),0)))/100)),(1-(0.25*((-Backdoors!AI12-IF(FG88&gt;=0.45,VLOOKUP(Calculator!E23,tbSkills!DH3:DI6,2,FALSE)+IF(AND(Calculator!B8=TRUE,Backdoors!BI26=TRUE),VLOOKUP(Calculator!E23,tbSkills!DH3:DJ6,3,FALSE),0),0))/100)))),1),"")</f>
        <v>1</v>
      </c>
      <c r="FJ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FG88)*FI88)*(VLOOKUP(A88,tbMoveset!A2:C112,3,FALSE)/100)*IF(VLOOKUP(A88,tbMoveset!A2:B112,2,FALSE)="Projectile",Backdoors!N10,Backdoors!N9),0),"")</f>
        <v/>
      </c>
      <c r="FK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FG88&gt;=0.45,VLOOKUP(Calculator!E23,tbSkills!DH3:DI6,2,FALSE)+IF(AND(Calculator!B8=TRUE,Backdoors!BI26=TRUE),VLOOKUP(Calculator!E23,tbSkills!DH3:DJ6,3,FALSE),0),0))&gt;=100,100,(Backdoors!AI12+IF(FG88&gt;=0.45,VLOOKUP(Calculator!E23,tbSkills!DH3:DI6,2,FALSE)+IF(AND(Calculator!B8=TRUE,Backdoors!BI26=TRUE),VLOOKUP(Calculator!E23,tbSkills!DH3:DJ6,3,FALSE),0),0)))/100)),1))*IF(VLOOKUP(A88,tbMoveset!A2:K112,11,FALSE)=TRUE,Backdoors!AC5,1))*FH88,0),"")</f>
        <v>0</v>
      </c>
      <c r="FL88" s="49">
        <f>VLOOKUP(A88,tbMoveset!A2:G112,7,FALSE)*IFERROR(IF(Backdoors!AI12&gt;=0,1+(IF(Calculator!E40&gt;0,VLOOKUP(Calculator!E40,tbSkills!AI3:AJ5,2,FALSE),Backdoors!AL4)*(IF((Backdoors!AI12+IF(FG88&gt;=0.45,VLOOKUP(Calculator!E23,tbSkills!DH3:DI6,2,FALSE)+IF(AND(Calculator!B8=TRUE,Backdoors!BI26=TRUE),VLOOKUP(Calculator!E23,tbSkills!DH3:DJ6,3,FALSE),0),0))&gt;=100,100,(Backdoors!AI12+IF(FG88&gt;=0.45,VLOOKUP(Calculator!E23,tbSkills!DH3:DI6,2,FALSE)+IF(AND(Calculator!B8=TRUE,Backdoors!BI26=TRUE),VLOOKUP(Calculator!E23,tbSkills!DH3:DJ6,3,FALSE),0),0)))/100)),1),1)</f>
        <v>1</v>
      </c>
      <c r="FM88" s="87">
        <f t="shared" si="74"/>
        <v>0</v>
      </c>
      <c r="FN88" s="86" t="str">
        <f>IFERROR(IF(VLOOKUP(A88,tbMoveset!A2:B112,2,FALSE)="Sever",Backdoors!AY27/100,IF(VLOOKUP(A88,tbMoveset!A2:B112,2,FALSE)="Blunt",Backdoors!AZ27/100,Backdoors!BA27/100)),"")</f>
        <v/>
      </c>
      <c r="FO88" s="49">
        <f>IFERROR(IF(VLOOKUP(tbMoveset!A88,tbMoveset!A2:H112,8,FALSE)="Other",IF(VLOOKUP(tbMoveset!A88,tbMoveset!A2:I112,9,FALSE)="Fire",Backdoors!BB27,IF(VLOOKUP(tbMoveset!A88,tbMoveset!A2:I112,9,FALSE)="Water",Backdoors!BC27,IF(VLOOKUP(tbMoveset!A88,tbMoveset!A2:I112,9,FALSE)="Thunder",Backdoors!BD27,IF(VLOOKUP(tbMoveset!A88,tbMoveset!A2:I112,9,FALSE)="Ice",Backdoors!BE27,IF(VLOOKUP(tbMoveset!A88,tbMoveset!A2:I112,9,FALSE)="Dragon",Backdoors!BF27,Backdoors!BG27)))))/100,Backdoors!BG27/100),"")</f>
        <v>0</v>
      </c>
      <c r="FP88" s="49">
        <f>IFERROR(IF(VLOOKUP(A88,tbMoveset!A2:J112,10,FALSE)=TRUE,IF((Backdoors!AI12+IF(FN88&gt;=0.45,VLOOKUP(Calculator!E23,tbSkills!DH3:DI6,2,FALSE)+IF(AND(Calculator!B8=TRUE,Backdoors!BI27=TRUE),VLOOKUP(Calculator!E23,tbSkills!DH3:DJ6,3,FALSE),0),0))&gt;=0,1+(Backdoors!AL2*(IF((Backdoors!AI12+IF(FN88&gt;=0.45,VLOOKUP(Calculator!E23,tbSkills!DH3:DI6,2,FALSE)+IF(AND(Calculator!B8=TRUE,Backdoors!BI27=TRUE),VLOOKUP(Calculator!E23,tbSkills!DH3:DJ6,3,FALSE),0),0))&gt;=100,100,(Backdoors!AI12+IF(FN88&gt;=0.45,VLOOKUP(Calculator!E23,tbSkills!DH3:DI6,2,FALSE)+IF(AND(Calculator!B8=TRUE,Backdoors!BI27=TRUE),VLOOKUP(Calculator!E23,tbSkills!DH3:DJ6,3,FALSE),0),0)))/100)),(1-(0.25*((-Backdoors!AI12-IF(FN88&gt;=0.45,VLOOKUP(Calculator!E23,tbSkills!DH3:DI6,2,FALSE)+IF(AND(Calculator!B8=TRUE,Backdoors!BI27=TRUE),VLOOKUP(Calculator!E23,tbSkills!DH3:DJ6,3,FALSE),0),0))/100)))),1),"")</f>
        <v>1</v>
      </c>
      <c r="FQ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FN88)*FP88)*(VLOOKUP(A88,tbMoveset!A2:C112,3,FALSE)/100)*IF(VLOOKUP(A88,tbMoveset!A2:B112,2,FALSE)="Projectile",Backdoors!N10,Backdoors!N9),0),"")</f>
        <v/>
      </c>
      <c r="FR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FN88&gt;=0.45,VLOOKUP(Calculator!E23,tbSkills!DH3:DI6,2,FALSE)+IF(AND(Calculator!B8=TRUE,Backdoors!BI27=TRUE),VLOOKUP(Calculator!E23,tbSkills!DH3:DJ6,3,FALSE),0),0))&gt;=100,100,(Backdoors!AI12+IF(FN88&gt;=0.45,VLOOKUP(Calculator!E23,tbSkills!DH3:DI6,2,FALSE)+IF(AND(Calculator!B8=TRUE,Backdoors!BI27=TRUE),VLOOKUP(Calculator!E23,tbSkills!DH3:DJ6,3,FALSE),0),0)))/100)),1))*IF(VLOOKUP(A88,tbMoveset!A2:K112,11,FALSE)=TRUE,Backdoors!AC5,1))*FO88,0),"")</f>
        <v>0</v>
      </c>
      <c r="FS88" s="49">
        <f>VLOOKUP(A88,tbMoveset!A2:G112,7,FALSE)*IFERROR(IF(Backdoors!AI12&gt;=0,1+(IF(Calculator!E40&gt;0,VLOOKUP(Calculator!E40,tbSkills!AI3:AJ5,2,FALSE),Backdoors!AL4)*(IF((Backdoors!AI12+IF(FN88&gt;=0.45,VLOOKUP(Calculator!E23,tbSkills!DH3:DI6,2,FALSE)+IF(AND(Calculator!B8=TRUE,Backdoors!BI27=TRUE),VLOOKUP(Calculator!E23,tbSkills!DH3:DJ6,3,FALSE),0),0))&gt;=100,100,(Backdoors!AI12+IF(FN88&gt;=0.45,VLOOKUP(Calculator!E23,tbSkills!DH3:DI6,2,FALSE)+IF(AND(Calculator!B8=TRUE,Backdoors!BI27=TRUE),VLOOKUP(Calculator!E23,tbSkills!DH3:DJ6,3,FALSE),0),0)))/100)),1),1)</f>
        <v>1</v>
      </c>
      <c r="FT88" s="87">
        <f t="shared" si="75"/>
        <v>0</v>
      </c>
      <c r="FU88" s="86" t="str">
        <f>IFERROR(IF(VLOOKUP(A88,tbMoveset!A2:B112,2,FALSE)="Sever",Backdoors!AY28/100,IF(VLOOKUP(A88,tbMoveset!A2:B112,2,FALSE)="Blunt",Backdoors!AZ28/100,Backdoors!BA28/100)),"")</f>
        <v/>
      </c>
      <c r="FV88" s="49">
        <f>IFERROR(IF(VLOOKUP(tbMoveset!A88,tbMoveset!A2:H112,8,FALSE)="Other",IF(VLOOKUP(tbMoveset!A88,tbMoveset!A2:I112,9,FALSE)="Fire",Backdoors!BB28,IF(VLOOKUP(tbMoveset!A88,tbMoveset!A2:I112,9,FALSE)="Water",Backdoors!BC28,IF(VLOOKUP(tbMoveset!A88,tbMoveset!A2:I112,9,FALSE)="Thunder",Backdoors!BD28,IF(VLOOKUP(tbMoveset!A88,tbMoveset!A2:I112,9,FALSE)="Ice",Backdoors!BE28,IF(VLOOKUP(tbMoveset!A88,tbMoveset!A2:I112,9,FALSE)="Dragon",Backdoors!BF28,Backdoors!BG28)))))/100,Backdoors!BG28/100),"")</f>
        <v>0</v>
      </c>
      <c r="FW88" s="49">
        <f>IFERROR(IF(VLOOKUP(A88,tbMoveset!A2:J112,10,FALSE)=TRUE,IF((Backdoors!AI12+IF(FU88&gt;=0.45,VLOOKUP(Calculator!E23,tbSkills!DH3:DI6,2,FALSE)+IF(AND(Calculator!B8=TRUE,Backdoors!BI28=TRUE),VLOOKUP(Calculator!E23,tbSkills!DH3:DJ6,3,FALSE),0),0))&gt;=0,1+(Backdoors!AL2*(IF((Backdoors!AI12+IF(FU88&gt;=0.45,VLOOKUP(Calculator!E23,tbSkills!DH3:DI6,2,FALSE)+IF(AND(Calculator!B8=TRUE,Backdoors!BI28=TRUE),VLOOKUP(Calculator!E23,tbSkills!DH3:DJ6,3,FALSE),0),0))&gt;=100,100,(Backdoors!AI12+IF(FU88&gt;=0.45,VLOOKUP(Calculator!E23,tbSkills!DH3:DI6,2,FALSE)+IF(AND(Calculator!B8=TRUE,Backdoors!BI28=TRUE),VLOOKUP(Calculator!E23,tbSkills!DH3:DJ6,3,FALSE),0),0)))/100)),(1-(0.25*((-Backdoors!AI12-IF(FU88&gt;=0.45,VLOOKUP(Calculator!E23,tbSkills!DH3:DI6,2,FALSE)+IF(AND(Calculator!B8=TRUE,Backdoors!BI28=TRUE),VLOOKUP(Calculator!E23,tbSkills!DH3:DJ6,3,FALSE),0),0))/100)))),1),"")</f>
        <v>1</v>
      </c>
      <c r="FX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FU88)*FW88)*(VLOOKUP(A88,tbMoveset!A2:C112,3,FALSE)/100)*IF(VLOOKUP(A88,tbMoveset!A2:B112,2,FALSE)="Projectile",Backdoors!N10,Backdoors!N9),0),"")</f>
        <v/>
      </c>
      <c r="FY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FU88&gt;=0.45,VLOOKUP(Calculator!E23,tbSkills!DH3:DI6,2,FALSE)+IF(AND(Calculator!B8=TRUE,Backdoors!BI28=TRUE),VLOOKUP(Calculator!E23,tbSkills!DH3:DJ6,3,FALSE),0),0))&gt;=100,100,(Backdoors!AI12+IF(FU88&gt;=0.45,VLOOKUP(Calculator!E23,tbSkills!DH3:DI6,2,FALSE)+IF(AND(Calculator!B8=TRUE,Backdoors!BI28=TRUE),VLOOKUP(Calculator!E23,tbSkills!DH3:DJ6,3,FALSE),0),0)))/100)),1))*IF(VLOOKUP(A88,tbMoveset!A2:K112,11,FALSE)=TRUE,Backdoors!AC5,1))*FV88,0),"")</f>
        <v>0</v>
      </c>
      <c r="FZ88" s="49">
        <f>VLOOKUP(A88,tbMoveset!A2:G112,7,FALSE)*IFERROR(IF(Backdoors!AI12&gt;=0,1+(IF(Calculator!E40&gt;0,VLOOKUP(Calculator!E40,tbSkills!AI3:AJ5,2,FALSE),Backdoors!AL4)*(IF((Backdoors!AI12+IF(FU88&gt;=0.45,VLOOKUP(Calculator!E23,tbSkills!DH3:DI6,2,FALSE)+IF(AND(Calculator!B8=TRUE,Backdoors!BI28=TRUE),VLOOKUP(Calculator!E23,tbSkills!DH3:DJ6,3,FALSE),0),0))&gt;=100,100,(Backdoors!AI12+IF(FU88&gt;=0.45,VLOOKUP(Calculator!E23,tbSkills!DH3:DI6,2,FALSE)+IF(AND(Calculator!B8=TRUE,Backdoors!BI28=TRUE),VLOOKUP(Calculator!E23,tbSkills!DH3:DJ6,3,FALSE),0),0)))/100)),1),1)</f>
        <v>1</v>
      </c>
      <c r="GA88" s="87">
        <f t="shared" si="76"/>
        <v>0</v>
      </c>
      <c r="GB88" s="86" t="str">
        <f>IFERROR(IF(VLOOKUP(A88,tbMoveset!A2:B112,2,FALSE)="Sever",Backdoors!AY29/100,IF(VLOOKUP(A88,tbMoveset!A2:B112,2,FALSE)="Blunt",Backdoors!AZ29/100,Backdoors!BA29/100)),"")</f>
        <v/>
      </c>
      <c r="GC88" s="49">
        <f>IFERROR(IF(VLOOKUP(tbMoveset!A88,tbMoveset!A2:H112,8,FALSE)="Other",IF(VLOOKUP(tbMoveset!A88,tbMoveset!A2:I112,9,FALSE)="Fire",Backdoors!BB29,IF(VLOOKUP(tbMoveset!A88,tbMoveset!A2:I112,9,FALSE)="Water",Backdoors!BC29,IF(VLOOKUP(tbMoveset!A88,tbMoveset!A2:I112,9,FALSE)="Thunder",Backdoors!BD29,IF(VLOOKUP(tbMoveset!A88,tbMoveset!A2:I112,9,FALSE)="Ice",Backdoors!BE29,IF(VLOOKUP(tbMoveset!A88,tbMoveset!A2:I112,9,FALSE)="Dragon",Backdoors!BF29,Backdoors!BG29)))))/100,Backdoors!BG29/100),"")</f>
        <v>0</v>
      </c>
      <c r="GD88" s="49">
        <f>IFERROR(IF(VLOOKUP(A88,tbMoveset!A2:J112,10,FALSE)=TRUE,IF((Backdoors!AI12+IF(GB88&gt;=0.45,VLOOKUP(Calculator!E23,tbSkills!DH3:DI6,2,FALSE)+IF(AND(Calculator!B8=TRUE,Backdoors!BI29=TRUE),VLOOKUP(Calculator!E23,tbSkills!DH3:DJ6,3,FALSE),0),0))&gt;=0,1+(Backdoors!AL2*(IF((Backdoors!AI12+IF(GB88&gt;=0.45,VLOOKUP(Calculator!E23,tbSkills!DH3:DI6,2,FALSE)+IF(AND(Calculator!B8=TRUE,Backdoors!BI29=TRUE),VLOOKUP(Calculator!E23,tbSkills!DH3:DJ6,3,FALSE),0),0))&gt;=100,100,(Backdoors!AI12+IF(GB88&gt;=0.45,VLOOKUP(Calculator!E23,tbSkills!DH3:DI6,2,FALSE)+IF(AND(Calculator!B8=TRUE,Backdoors!BI29=TRUE),VLOOKUP(Calculator!E23,tbSkills!DH3:DJ6,3,FALSE),0),0)))/100)),(1-(0.25*((-Backdoors!AI12-IF(GB88&gt;=0.45,VLOOKUP(Calculator!E23,tbSkills!DH3:DI6,2,FALSE)+IF(AND(Calculator!B8=TRUE,Backdoors!BI29=TRUE),VLOOKUP(Calculator!E23,tbSkills!DH3:DJ6,3,FALSE),0),0))/100)))),1),"")</f>
        <v>1</v>
      </c>
      <c r="GE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B88)*GD88)*(VLOOKUP(A88,tbMoveset!A2:C112,3,FALSE)/100)*IF(VLOOKUP(A88,tbMoveset!A2:B112,2,FALSE)="Projectile",Backdoors!N10,Backdoors!N9),0),"")</f>
        <v/>
      </c>
      <c r="GF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B88&gt;=0.45,VLOOKUP(Calculator!E23,tbSkills!DH3:DI6,2,FALSE)+IF(AND(Calculator!B8=TRUE,Backdoors!BI29=TRUE),VLOOKUP(Calculator!E23,tbSkills!DH3:DJ6,3,FALSE),0),0))&gt;=100,100,(Backdoors!AI12+IF(GB88&gt;=0.45,VLOOKUP(Calculator!E23,tbSkills!DH3:DI6,2,FALSE)+IF(AND(Calculator!B8=TRUE,Backdoors!BI29=TRUE),VLOOKUP(Calculator!E23,tbSkills!DH3:DJ6,3,FALSE),0),0)))/100)),1))*IF(VLOOKUP(A88,tbMoveset!A2:K112,11,FALSE)=TRUE,Backdoors!AC5,1))*GC88,0),"")</f>
        <v>0</v>
      </c>
      <c r="GG88" s="49">
        <f>VLOOKUP(A88,tbMoveset!A2:G112,7,FALSE)*IFERROR(IF(Backdoors!AI12&gt;=0,1+(IF(Calculator!E40&gt;0,VLOOKUP(Calculator!E40,tbSkills!AI3:AJ5,2,FALSE),Backdoors!AL4)*(IF((Backdoors!AI12+IF(GB88&gt;=0.45,VLOOKUP(Calculator!E23,tbSkills!DH3:DI6,2,FALSE)+IF(AND(Calculator!B8=TRUE,Backdoors!BI29=TRUE),VLOOKUP(Calculator!E23,tbSkills!DH3:DJ6,3,FALSE),0),0))&gt;=100,100,(Backdoors!AI12+IF(GB88&gt;=0.45,VLOOKUP(Calculator!E23,tbSkills!DH3:DI6,2,FALSE)+IF(AND(Calculator!B8=TRUE,Backdoors!BI29=TRUE),VLOOKUP(Calculator!E23,tbSkills!DH3:DJ6,3,FALSE),0),0)))/100)),1),1)</f>
        <v>1</v>
      </c>
      <c r="GH88" s="87">
        <f t="shared" si="77"/>
        <v>0</v>
      </c>
      <c r="GI88" s="86" t="str">
        <f>IFERROR(IF(VLOOKUP(A88,tbMoveset!A2:B112,2,FALSE)="Sever",Backdoors!AY30/100,IF(VLOOKUP(A88,tbMoveset!A2:B112,2,FALSE)="Blunt",Backdoors!AZ30/100,Backdoors!BA30/100)),"")</f>
        <v/>
      </c>
      <c r="GJ88" s="49">
        <f>IFERROR(IF(VLOOKUP(tbMoveset!A88,tbMoveset!A2:H112,8,FALSE)="Other",IF(VLOOKUP(tbMoveset!A88,tbMoveset!A2:I112,9,FALSE)="Fire",Backdoors!BB30,IF(VLOOKUP(tbMoveset!A88,tbMoveset!A2:I112,9,FALSE)="Water",Backdoors!BC30,IF(VLOOKUP(tbMoveset!A88,tbMoveset!A2:I112,9,FALSE)="Thunder",Backdoors!BD30,IF(VLOOKUP(tbMoveset!A88,tbMoveset!A2:I112,9,FALSE)="Ice",Backdoors!BE30,IF(VLOOKUP(tbMoveset!A88,tbMoveset!A2:I112,9,FALSE)="Dragon",Backdoors!BF30,Backdoors!BG30)))))/100,Backdoors!BG30/100),"")</f>
        <v>0</v>
      </c>
      <c r="GK88" s="49">
        <f>IFERROR(IF(VLOOKUP(A88,tbMoveset!A2:J112,10,FALSE)=TRUE,IF((Backdoors!AI12+IF(GI88&gt;=0.45,VLOOKUP(Calculator!E23,tbSkills!DH3:DI6,2,FALSE)+IF(AND(Calculator!B8=TRUE,Backdoors!BI30=TRUE),VLOOKUP(Calculator!E23,tbSkills!DH3:DJ6,3,FALSE),0),0))&gt;=0,1+(Backdoors!AL2*(IF((Backdoors!AI12+IF(GI88&gt;=0.45,VLOOKUP(Calculator!E23,tbSkills!DH3:DI6,2,FALSE)+IF(AND(Calculator!B8=TRUE,Backdoors!BI30=TRUE),VLOOKUP(Calculator!E23,tbSkills!DH3:DJ6,3,FALSE),0),0))&gt;=100,100,(Backdoors!AI12+IF(GI88&gt;=0.45,VLOOKUP(Calculator!E23,tbSkills!DH3:DI6,2,FALSE)+IF(AND(Calculator!B8=TRUE,Backdoors!BI30=TRUE),VLOOKUP(Calculator!E23,tbSkills!DH3:DJ6,3,FALSE),0),0)))/100)),(1-(0.25*((-Backdoors!AI12-IF(GI88&gt;=0.45,VLOOKUP(Calculator!E23,tbSkills!DH3:DI6,2,FALSE)+IF(AND(Calculator!B8=TRUE,Backdoors!BI30=TRUE),VLOOKUP(Calculator!E23,tbSkills!DH3:DJ6,3,FALSE),0),0))/100)))),1),"")</f>
        <v>1</v>
      </c>
      <c r="GL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I88)*GK88)*(VLOOKUP(A88,tbMoveset!A2:C112,3,FALSE)/100)*IF(VLOOKUP(A88,tbMoveset!A2:B112,2,FALSE)="Projectile",Backdoors!N10,Backdoors!N9),0),"")</f>
        <v/>
      </c>
      <c r="GM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I88&gt;=0.45,VLOOKUP(Calculator!E23,tbSkills!DH3:DI6,2,FALSE)+IF(AND(Calculator!B8=TRUE,Backdoors!BI30=TRUE),VLOOKUP(Calculator!E23,tbSkills!DH3:DJ6,3,FALSE),0),0))&gt;=100,100,(Backdoors!AI12+IF(GI88&gt;=0.45,VLOOKUP(Calculator!E23,tbSkills!DH3:DI6,2,FALSE)+IF(AND(Calculator!B8=TRUE,Backdoors!BI30=TRUE),VLOOKUP(Calculator!E23,tbSkills!DH3:DJ6,3,FALSE),0),0)))/100)),1))*IF(VLOOKUP(A88,tbMoveset!A2:K112,11,FALSE)=TRUE,Backdoors!AC5,1))*GJ88,0),"")</f>
        <v>0</v>
      </c>
      <c r="GN88" s="49">
        <f>VLOOKUP(A88,tbMoveset!A2:G112,7,FALSE)*IFERROR(IF(Backdoors!AI12&gt;=0,1+(IF(Calculator!E40&gt;0,VLOOKUP(Calculator!E40,tbSkills!AI3:AJ5,2,FALSE),Backdoors!AL4)*(IF((Backdoors!AI12+IF(GI88&gt;=0.45,VLOOKUP(Calculator!E23,tbSkills!DH3:DI6,2,FALSE)+IF(AND(Calculator!B8=TRUE,Backdoors!BI30=TRUE),VLOOKUP(Calculator!E23,tbSkills!DH3:DJ6,3,FALSE),0),0))&gt;=100,100,(Backdoors!AI12+IF(GI88&gt;=0.45,VLOOKUP(Calculator!E23,tbSkills!DH3:DI6,2,FALSE)+IF(AND(Calculator!B8=TRUE,Backdoors!BI30=TRUE),VLOOKUP(Calculator!E23,tbSkills!DH3:DJ6,3,FALSE),0),0)))/100)),1),1)</f>
        <v>1</v>
      </c>
      <c r="GO88" s="87">
        <f t="shared" si="78"/>
        <v>0</v>
      </c>
      <c r="GP88" s="86" t="str">
        <f>IFERROR(IF(VLOOKUP(A88,tbMoveset!A2:B112,2,FALSE)="Sever",Backdoors!AY31/100,IF(VLOOKUP(A88,tbMoveset!A2:B112,2,FALSE)="Blunt",Backdoors!AZ31/100,Backdoors!BA31/100)),"")</f>
        <v/>
      </c>
      <c r="GQ88" s="49">
        <f>IFERROR(IF(VLOOKUP(tbMoveset!A88,tbMoveset!A2:H112,8,FALSE)="Other",IF(VLOOKUP(tbMoveset!A88,tbMoveset!A2:I112,9,FALSE)="Fire",Backdoors!BB31,IF(VLOOKUP(tbMoveset!A88,tbMoveset!A2:I112,9,FALSE)="Water",Backdoors!BC31,IF(VLOOKUP(tbMoveset!A88,tbMoveset!A2:I112,9,FALSE)="Thunder",Backdoors!BD31,IF(VLOOKUP(tbMoveset!A88,tbMoveset!A2:I112,9,FALSE)="Ice",Backdoors!BE31,IF(VLOOKUP(tbMoveset!A88,tbMoveset!A2:I112,9,FALSE)="Dragon",Backdoors!BF31,Backdoors!BG31)))))/100,Backdoors!BG31/100),"")</f>
        <v>0</v>
      </c>
      <c r="GR88" s="49">
        <f>IFERROR(IF(VLOOKUP(A88,tbMoveset!A2:J112,10,FALSE)=TRUE,IF((Backdoors!AI12+IF(GP88&gt;=0.45,VLOOKUP(Calculator!E23,tbSkills!DH3:DI6,2,FALSE)+IF(AND(Calculator!B8=TRUE,Backdoors!BI31=TRUE),VLOOKUP(Calculator!E23,tbSkills!DH3:DJ6,3,FALSE),0),0))&gt;=0,1+(Backdoors!AL2*(IF((Backdoors!AI12+IF(GP88&gt;=0.45,VLOOKUP(Calculator!E23,tbSkills!DH3:DI6,2,FALSE)+IF(AND(Calculator!B8=TRUE,Backdoors!BI31=TRUE),VLOOKUP(Calculator!E23,tbSkills!DH3:DJ6,3,FALSE),0),0))&gt;=100,100,(Backdoors!AI12+IF(GP88&gt;=0.45,VLOOKUP(Calculator!E23,tbSkills!DH3:DI6,2,FALSE)+IF(AND(Calculator!B8=TRUE,Backdoors!BI31=TRUE),VLOOKUP(Calculator!E23,tbSkills!DH3:DJ6,3,FALSE),0),0)))/100)),(1-(0.25*((-Backdoors!AI12-IF(GP88&gt;=0.45,VLOOKUP(Calculator!E23,tbSkills!DH3:DI6,2,FALSE)+IF(AND(Calculator!B8=TRUE,Backdoors!BI31=TRUE),VLOOKUP(Calculator!E23,tbSkills!DH3:DJ6,3,FALSE),0),0))/100)))),1),"")</f>
        <v>1</v>
      </c>
      <c r="GS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P88)*GR88)*(VLOOKUP(A88,tbMoveset!A2:C112,3,FALSE)/100)*IF(VLOOKUP(A88,tbMoveset!A2:B112,2,FALSE)="Projectile",Backdoors!N10,Backdoors!N9),0),"")</f>
        <v/>
      </c>
      <c r="GT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P88&gt;=0.45,VLOOKUP(Calculator!E23,tbSkills!DH3:DI6,2,FALSE)+IF(AND(Calculator!B8=TRUE,Backdoors!BI31=TRUE),VLOOKUP(Calculator!E23,tbSkills!DH3:DJ6,3,FALSE),0),0))&gt;=100,100,(Backdoors!AI12+IF(GP88&gt;=0.45,VLOOKUP(Calculator!E23,tbSkills!DH3:DI6,2,FALSE)+IF(AND(Calculator!B8=TRUE,Backdoors!BI31=TRUE),VLOOKUP(Calculator!E23,tbSkills!DH3:DJ6,3,FALSE),0),0)))/100)),1))*IF(VLOOKUP(A88,tbMoveset!A2:K112,11,FALSE)=TRUE,Backdoors!AC5,1))*GQ88,0),"")</f>
        <v>0</v>
      </c>
      <c r="GU88" s="49">
        <f>VLOOKUP(A88,tbMoveset!A2:G112,7,FALSE)*IFERROR(IF(Backdoors!AI12&gt;=0,1+(IF(Calculator!E40&gt;0,VLOOKUP(Calculator!E40,tbSkills!AI3:AJ5,2,FALSE),Backdoors!AL4)*(IF((Backdoors!AI12+IF(GP88&gt;=0.45,VLOOKUP(Calculator!E23,tbSkills!DH3:DI6,2,FALSE)+IF(AND(Calculator!B8=TRUE,Backdoors!BI31=TRUE),VLOOKUP(Calculator!E23,tbSkills!DH3:DJ6,3,FALSE),0),0))&gt;=100,100,(Backdoors!AI12+IF(GP88&gt;=0.45,VLOOKUP(Calculator!E23,tbSkills!DH3:DI6,2,FALSE)+IF(AND(Calculator!B8=TRUE,Backdoors!BI31=TRUE),VLOOKUP(Calculator!E23,tbSkills!DH3:DJ6,3,FALSE),0),0)))/100)),1),1)</f>
        <v>1</v>
      </c>
      <c r="GV88" s="87">
        <f t="shared" si="79"/>
        <v>0</v>
      </c>
      <c r="GW88" s="86" t="str">
        <f>IFERROR(IF(VLOOKUP(A88,tbMoveset!A2:B112,2,FALSE)="Sever",Backdoors!AY32/100,IF(VLOOKUP(A88,tbMoveset!A2:B112,2,FALSE)="Blunt",Backdoors!AZ32/100,Backdoors!BA32/100)),"")</f>
        <v/>
      </c>
      <c r="GX88" s="49">
        <f>IFERROR(IF(VLOOKUP(tbMoveset!A88,tbMoveset!A2:H112,8,FALSE)="Other",IF(VLOOKUP(tbMoveset!A88,tbMoveset!A2:I112,9,FALSE)="Fire",Backdoors!BB32,IF(VLOOKUP(tbMoveset!A88,tbMoveset!A2:I112,9,FALSE)="Water",Backdoors!BC32,IF(VLOOKUP(tbMoveset!A88,tbMoveset!A2:I112,9,FALSE)="Thunder",Backdoors!BD32,IF(VLOOKUP(tbMoveset!A88,tbMoveset!A2:I112,9,FALSE)="Ice",Backdoors!BE32,IF(VLOOKUP(tbMoveset!A88,tbMoveset!A2:I112,9,FALSE)="Dragon",Backdoors!BF32,Backdoors!BG32)))))/100,Backdoors!BG32/100),"")</f>
        <v>0</v>
      </c>
      <c r="GY88" s="49">
        <f>IFERROR(IF(VLOOKUP(A88,tbMoveset!A2:J112,10,FALSE)=TRUE,IF((Backdoors!AI12+IF(GW88&gt;=0.45,VLOOKUP(Calculator!E23,tbSkills!DH3:DI6,2,FALSE)+IF(AND(Calculator!B8=TRUE,Backdoors!BI32=TRUE),VLOOKUP(Calculator!E23,tbSkills!DH3:DJ6,3,FALSE),0),0))&gt;=0,1+(Backdoors!AL2*(IF((Backdoors!AI12+IF(GW88&gt;=0.45,VLOOKUP(Calculator!E23,tbSkills!DH3:DI6,2,FALSE)+IF(AND(Calculator!B8=TRUE,Backdoors!BI32=TRUE),VLOOKUP(Calculator!E23,tbSkills!DH3:DJ6,3,FALSE),0),0))&gt;=100,100,(Backdoors!AI12+IF(GW88&gt;=0.45,VLOOKUP(Calculator!E23,tbSkills!DH3:DI6,2,FALSE)+IF(AND(Calculator!B8=TRUE,Backdoors!BI32=TRUE),VLOOKUP(Calculator!E23,tbSkills!DH3:DJ6,3,FALSE),0),0)))/100)),(1-(0.25*((-Backdoors!AI12-IF(GW88&gt;=0.45,VLOOKUP(Calculator!E23,tbSkills!DH3:DI6,2,FALSE)+IF(AND(Calculator!B8=TRUE,Backdoors!BI32=TRUE),VLOOKUP(Calculator!E23,tbSkills!DH3:DJ6,3,FALSE),0),0))/100)))),1),"")</f>
        <v>1</v>
      </c>
      <c r="GZ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W88)*GY88)*(VLOOKUP(A88,tbMoveset!A2:C112,3,FALSE)/100)*IF(VLOOKUP(A88,tbMoveset!A2:B112,2,FALSE)="Projectile",Backdoors!N10,Backdoors!N9),0),"")</f>
        <v/>
      </c>
      <c r="HA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W88&gt;=0.45,VLOOKUP(Calculator!E23,tbSkills!DH3:DI6,2,FALSE)+IF(AND(Calculator!B8=TRUE,Backdoors!BI32=TRUE),VLOOKUP(Calculator!E23,tbSkills!DH3:DJ6,3,FALSE),0),0))&gt;=100,100,(Backdoors!AI12+IF(GW88&gt;=0.45,VLOOKUP(Calculator!E23,tbSkills!DH3:DI6,2,FALSE)+IF(AND(Calculator!B8=TRUE,Backdoors!BI32=TRUE),VLOOKUP(Calculator!E23,tbSkills!DH3:DJ6,3,FALSE),0),0)))/100)),1))*IF(VLOOKUP(A88,tbMoveset!A2:K112,11,FALSE)=TRUE,Backdoors!AC5,1))*GX88,0),"")</f>
        <v>0</v>
      </c>
      <c r="HB88" s="49">
        <f>VLOOKUP(A88,tbMoveset!A2:G112,7,FALSE)*IFERROR(IF(Backdoors!AI12&gt;=0,1+(IF(Calculator!E40&gt;0,VLOOKUP(Calculator!E40,tbSkills!AI3:AJ5,2,FALSE),Backdoors!AL4)*(IF((Backdoors!AI12+IF(GW88&gt;=0.45,VLOOKUP(Calculator!E23,tbSkills!DH3:DI6,2,FALSE)+IF(AND(Calculator!B8=TRUE,Backdoors!BI32=TRUE),VLOOKUP(Calculator!E23,tbSkills!DH3:DJ6,3,FALSE),0),0))&gt;=100,100,(Backdoors!AI12+IF(GW88&gt;=0.45,VLOOKUP(Calculator!E23,tbSkills!DH3:DI6,2,FALSE)+IF(AND(Calculator!B8=TRUE,Backdoors!BI32=TRUE),VLOOKUP(Calculator!E23,tbSkills!DH3:DJ6,3,FALSE),0),0)))/100)),1),1)</f>
        <v>1</v>
      </c>
      <c r="HC88" s="87">
        <f t="shared" si="80"/>
        <v>0</v>
      </c>
      <c r="HD88" s="86" t="str">
        <f>IFERROR(IF(VLOOKUP(A88,tbMoveset!A2:B112,2,FALSE)="Sever",Backdoors!AY33/100,IF(VLOOKUP(A88,tbMoveset!A2:B112,2,FALSE)="Blunt",Backdoors!AZ33/100,Backdoors!BA33/100)),"")</f>
        <v/>
      </c>
      <c r="HE88" s="49">
        <f>IFERROR(IF(VLOOKUP(tbMoveset!A88,tbMoveset!A2:H112,8,FALSE)="Other",IF(VLOOKUP(tbMoveset!A88,tbMoveset!A2:I112,9,FALSE)="Fire",Backdoors!BB33,IF(VLOOKUP(tbMoveset!A88,tbMoveset!A2:I112,9,FALSE)="Water",Backdoors!BC33,IF(VLOOKUP(tbMoveset!A88,tbMoveset!A2:I112,9,FALSE)="Thunder",Backdoors!BD33,IF(VLOOKUP(tbMoveset!A88,tbMoveset!A2:I112,9,FALSE)="Ice",Backdoors!BE33,IF(VLOOKUP(tbMoveset!A88,tbMoveset!A2:I112,9,FALSE)="Dragon",Backdoors!BF33,Backdoors!BG33)))))/100,Backdoors!BG33/100),"")</f>
        <v>0</v>
      </c>
      <c r="HF88" s="49">
        <f>IFERROR(IF(VLOOKUP(A88,tbMoveset!A2:J112,10,FALSE)=TRUE,IF((Backdoors!AI12+IF(HD88&gt;=0.45,VLOOKUP(Calculator!E23,tbSkills!DH3:DI6,2,FALSE)+IF(AND(Calculator!B8=TRUE,Backdoors!BI33=TRUE),VLOOKUP(Calculator!E23,tbSkills!DH3:DJ6,3,FALSE),0),0))&gt;=0,1+(Backdoors!AL2*(IF((Backdoors!AI12+IF(HD88&gt;=0.45,VLOOKUP(Calculator!E23,tbSkills!DH3:DI6,2,FALSE)+IF(AND(Calculator!B8=TRUE,Backdoors!BI33=TRUE),VLOOKUP(Calculator!E23,tbSkills!DH3:DJ6,3,FALSE),0),0))&gt;=100,100,(Backdoors!AI12+IF(HD88&gt;=0.45,VLOOKUP(Calculator!E23,tbSkills!DH3:DI6,2,FALSE)+IF(AND(Calculator!B8=TRUE,Backdoors!BI33=TRUE),VLOOKUP(Calculator!E23,tbSkills!DH3:DJ6,3,FALSE),0),0)))/100)),(1-(0.25*((-Backdoors!AI12-IF(HD88&gt;=0.45,VLOOKUP(Calculator!E23,tbSkills!DH3:DI6,2,FALSE)+IF(AND(Calculator!B8=TRUE,Backdoors!BI33=TRUE),VLOOKUP(Calculator!E23,tbSkills!DH3:DJ6,3,FALSE),0),0))/100)))),1),"")</f>
        <v>1</v>
      </c>
      <c r="HG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D88)*HF88)*(VLOOKUP(A88,tbMoveset!A2:C112,3,FALSE)/100)*IF(VLOOKUP(A88,tbMoveset!A2:B112,2,FALSE)="Projectile",Backdoors!N10,Backdoors!N9),0),"")</f>
        <v/>
      </c>
      <c r="HH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D88&gt;=0.45,VLOOKUP(Calculator!E23,tbSkills!DH3:DI6,2,FALSE)+IF(AND(Calculator!B8=TRUE,Backdoors!BI33=TRUE),VLOOKUP(Calculator!E23,tbSkills!DH3:DJ6,3,FALSE),0),0))&gt;=100,100,(Backdoors!AI12+IF(HD88&gt;=0.45,VLOOKUP(Calculator!E23,tbSkills!DH3:DI6,2,FALSE)+IF(AND(Calculator!B8=TRUE,Backdoors!BI33=TRUE),VLOOKUP(Calculator!E23,tbSkills!DH3:DJ6,3,FALSE),0),0)))/100)),1))*IF(VLOOKUP(A88,tbMoveset!A2:K112,11,FALSE)=TRUE,Backdoors!AC5,1))*HE88,0),"")</f>
        <v>0</v>
      </c>
      <c r="HI88" s="49">
        <f>VLOOKUP(A88,tbMoveset!A2:G112,7,FALSE)*IFERROR(IF(Backdoors!AI12&gt;=0,1+(IF(Calculator!E40&gt;0,VLOOKUP(Calculator!E40,tbSkills!AI3:AJ5,2,FALSE),Backdoors!AL4)*(IF((Backdoors!AI12+IF(HD88&gt;=0.45,VLOOKUP(Calculator!E23,tbSkills!DH3:DI6,2,FALSE)+IF(AND(Calculator!B8=TRUE,Backdoors!BI33=TRUE),VLOOKUP(Calculator!E23,tbSkills!DH3:DJ6,3,FALSE),0),0))&gt;=100,100,(Backdoors!AI12+IF(HD88&gt;=0.45,VLOOKUP(Calculator!E23,tbSkills!DH3:DI6,2,FALSE)+IF(AND(Calculator!B8=TRUE,Backdoors!BI33=TRUE),VLOOKUP(Calculator!E23,tbSkills!DH3:DJ6,3,FALSE),0),0)))/100)),1),1)</f>
        <v>1</v>
      </c>
      <c r="HJ88" s="87">
        <f t="shared" si="81"/>
        <v>0</v>
      </c>
      <c r="HK88" s="86" t="str">
        <f>IFERROR(IF(VLOOKUP(A88,tbMoveset!A2:B112,2,FALSE)="Sever",Backdoors!AY34/100,IF(VLOOKUP(A88,tbMoveset!A2:B112,2,FALSE)="Blunt",Backdoors!AZ34/100,Backdoors!BA34/100)),"")</f>
        <v/>
      </c>
      <c r="HL88" s="49">
        <f>IFERROR(IF(VLOOKUP(tbMoveset!A88,tbMoveset!A2:H112,8,FALSE)="Other",IF(VLOOKUP(tbMoveset!A88,tbMoveset!A2:I112,9,FALSE)="Fire",Backdoors!BB34,IF(VLOOKUP(tbMoveset!A88,tbMoveset!A2:I112,9,FALSE)="Water",Backdoors!BC34,IF(VLOOKUP(tbMoveset!A88,tbMoveset!A2:I112,9,FALSE)="Thunder",Backdoors!BD34,IF(VLOOKUP(tbMoveset!A88,tbMoveset!A2:I112,9,FALSE)="Ice",Backdoors!BE34,IF(VLOOKUP(tbMoveset!A88,tbMoveset!A2:I112,9,FALSE)="Dragon",Backdoors!BF34,Backdoors!BG34)))))/100,Backdoors!BG34/100),"")</f>
        <v>0</v>
      </c>
      <c r="HM88" s="49">
        <f>IFERROR(IF(VLOOKUP(A88,tbMoveset!A2:J112,10,FALSE)=TRUE,IF((Backdoors!AI12+IF(HK88&gt;=0.45,VLOOKUP(Calculator!E23,tbSkills!DH3:DI6,2,FALSE)+IF(AND(Calculator!B8=TRUE,Backdoors!BI34=TRUE),VLOOKUP(Calculator!E23,tbSkills!DH3:DJ6,3,FALSE),0),0))&gt;=0,1+(Backdoors!AL2*(IF((Backdoors!AI12+IF(HK88&gt;=0.45,VLOOKUP(Calculator!E23,tbSkills!DH3:DI6,2,FALSE)+IF(AND(Calculator!B8=TRUE,Backdoors!BI34=TRUE),VLOOKUP(Calculator!E23,tbSkills!DH3:DJ6,3,FALSE),0),0))&gt;=100,100,(Backdoors!AI12+IF(HK88&gt;=0.45,VLOOKUP(Calculator!E23,tbSkills!DH3:DI6,2,FALSE)+IF(AND(Calculator!B8=TRUE,Backdoors!BI34=TRUE),VLOOKUP(Calculator!E23,tbSkills!DH3:DJ6,3,FALSE),0),0)))/100)),(1-(0.25*((-Backdoors!AI12-IF(HK88&gt;=0.45,VLOOKUP(Calculator!E23,tbSkills!DH3:DI6,2,FALSE)+IF(AND(Calculator!B8=TRUE,Backdoors!BI34=TRUE),VLOOKUP(Calculator!E23,tbSkills!DH3:DJ6,3,FALSE),0),0))/100)))),1),"")</f>
        <v>1</v>
      </c>
      <c r="HN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K88)*HM88)*(VLOOKUP(A88,tbMoveset!A2:C112,3,FALSE)/100)*IF(VLOOKUP(A88,tbMoveset!A2:B112,2,FALSE)="Projectile",Backdoors!N10,Backdoors!N9),0),"")</f>
        <v/>
      </c>
      <c r="HO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K88&gt;=0.45,VLOOKUP(Calculator!E23,tbSkills!DH3:DI6,2,FALSE)+IF(AND(Calculator!B8=TRUE,Backdoors!BI34=TRUE),VLOOKUP(Calculator!E23,tbSkills!DH3:DJ6,3,FALSE),0),0))&gt;=100,100,(Backdoors!AI12+IF(HK88&gt;=0.45,VLOOKUP(Calculator!E23,tbSkills!DH3:DI6,2,FALSE)+IF(AND(Calculator!B8=TRUE,Backdoors!BI34=TRUE),VLOOKUP(Calculator!E23,tbSkills!DH3:DJ6,3,FALSE),0),0)))/100)),1))*IF(VLOOKUP(A88,tbMoveset!A2:K112,11,FALSE)=TRUE,Backdoors!AC5,1))*HL88,0),"")</f>
        <v>0</v>
      </c>
      <c r="HP88" s="49">
        <f>VLOOKUP(A88,tbMoveset!A2:G112,7,FALSE)*IFERROR(IF(Backdoors!AI12&gt;=0,1+(IF(Calculator!E40&gt;0,VLOOKUP(Calculator!E40,tbSkills!AI3:AJ5,2,FALSE),Backdoors!AL4)*(IF((Backdoors!AI12+IF(HK88&gt;=0.45,VLOOKUP(Calculator!E23,tbSkills!DH3:DI6,2,FALSE)+IF(AND(Calculator!B8=TRUE,Backdoors!BI34=TRUE),VLOOKUP(Calculator!E23,tbSkills!DH3:DJ6,3,FALSE),0),0))&gt;=100,100,(Backdoors!AI12+IF(HK88&gt;=0.45,VLOOKUP(Calculator!E23,tbSkills!DH3:DI6,2,FALSE)+IF(AND(Calculator!B8=TRUE,Backdoors!BI34=TRUE),VLOOKUP(Calculator!E23,tbSkills!DH3:DJ6,3,FALSE),0),0)))/100)),1),1)</f>
        <v>1</v>
      </c>
      <c r="HQ88" s="87">
        <f t="shared" si="82"/>
        <v>0</v>
      </c>
      <c r="HR88" s="86" t="str">
        <f>IFERROR(IF(VLOOKUP(A88,tbMoveset!A2:B112,2,FALSE)="Sever",Backdoors!AY35/100,IF(VLOOKUP(A88,tbMoveset!A2:B112,2,FALSE)="Blunt",Backdoors!AZ35/100,Backdoors!BA35/100)),"")</f>
        <v/>
      </c>
      <c r="HS88" s="49">
        <f>IFERROR(IF(VLOOKUP(tbMoveset!A88,tbMoveset!A2:H112,8,FALSE)="Other",IF(VLOOKUP(tbMoveset!A88,tbMoveset!A2:I112,9,FALSE)="Fire",Backdoors!BB35,IF(VLOOKUP(tbMoveset!A88,tbMoveset!A2:I112,9,FALSE)="Water",Backdoors!BC35,IF(VLOOKUP(tbMoveset!A88,tbMoveset!A2:I112,9,FALSE)="Thunder",Backdoors!BD35,IF(VLOOKUP(tbMoveset!A88,tbMoveset!A2:I112,9,FALSE)="Ice",Backdoors!BE35,IF(VLOOKUP(tbMoveset!A88,tbMoveset!A2:I112,9,FALSE)="Dragon",Backdoors!BF35,Backdoors!BG35)))))/100,Backdoors!BG35/100),"")</f>
        <v>0</v>
      </c>
      <c r="HT88" s="49">
        <f>IFERROR(IF(VLOOKUP(A88,tbMoveset!A2:J112,10,FALSE)=TRUE,IF((Backdoors!AI12+IF(HR88&gt;=0.45,VLOOKUP(Calculator!E23,tbSkills!DH3:DI6,2,FALSE)+IF(AND(Calculator!B8=TRUE,Backdoors!BI35=TRUE),VLOOKUP(Calculator!E23,tbSkills!DH3:DJ6,3,FALSE),0),0))&gt;=0,1+(Backdoors!AL2*(IF((Backdoors!AI12+IF(HR88&gt;=0.45,VLOOKUP(Calculator!E23,tbSkills!DH3:DI6,2,FALSE)+IF(AND(Calculator!B8=TRUE,Backdoors!BI35=TRUE),VLOOKUP(Calculator!E23,tbSkills!DH3:DJ6,3,FALSE),0),0))&gt;=100,100,(Backdoors!AI12+IF(HR88&gt;=0.45,VLOOKUP(Calculator!E23,tbSkills!DH3:DI6,2,FALSE)+IF(AND(Calculator!B8=TRUE,Backdoors!BI35=TRUE),VLOOKUP(Calculator!E23,tbSkills!DH3:DJ6,3,FALSE),0),0)))/100)),(1-(0.25*((-Backdoors!AI12-IF(HR88&gt;=0.45,VLOOKUP(Calculator!E23,tbSkills!DH3:DI6,2,FALSE)+IF(AND(Calculator!B8=TRUE,Backdoors!BI35=TRUE),VLOOKUP(Calculator!E23,tbSkills!DH3:DJ6,3,FALSE),0),0))/100)))),1),"")</f>
        <v>1</v>
      </c>
      <c r="HU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R88)*HT88)*(VLOOKUP(A88,tbMoveset!A2:C112,3,FALSE)/100)*IF(VLOOKUP(A88,tbMoveset!A2:B112,2,FALSE)="Projectile",Backdoors!N10,Backdoors!N9),0),"")</f>
        <v/>
      </c>
      <c r="HV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R88&gt;=0.45,VLOOKUP(Calculator!E23,tbSkills!DH3:DI6,2,FALSE)+IF(AND(Calculator!B8=TRUE,Backdoors!BI35=TRUE),VLOOKUP(Calculator!E23,tbSkills!DH3:DJ6,3,FALSE),0),0))&gt;=100,100,(Backdoors!AI12+IF(HR88&gt;=0.45,VLOOKUP(Calculator!E23,tbSkills!DH3:DI6,2,FALSE)+IF(AND(Calculator!B8=TRUE,Backdoors!BI35=TRUE),VLOOKUP(Calculator!E23,tbSkills!DH3:DJ6,3,FALSE),0),0)))/100)),1))*IF(VLOOKUP(A88,tbMoveset!A2:K112,11,FALSE)=TRUE,Backdoors!AC5,1))*HS88,0),"")</f>
        <v>0</v>
      </c>
      <c r="HW88" s="49">
        <f>VLOOKUP(A88,tbMoveset!A2:G112,7,FALSE)*IFERROR(IF(Backdoors!AI12&gt;=0,1+(IF(Calculator!E40&gt;0,VLOOKUP(Calculator!E40,tbSkills!AI3:AJ5,2,FALSE),Backdoors!AL4)*(IF((Backdoors!AI12+IF(HR88&gt;=0.45,VLOOKUP(Calculator!E23,tbSkills!DH3:DI6,2,FALSE)+IF(AND(Calculator!B8=TRUE,Backdoors!BI35=TRUE),VLOOKUP(Calculator!E23,tbSkills!DH3:DJ6,3,FALSE),0),0))&gt;=100,100,(Backdoors!AI12+IF(HR88&gt;=0.45,VLOOKUP(Calculator!E23,tbSkills!DH3:DI6,2,FALSE)+IF(AND(Calculator!B8=TRUE,Backdoors!BI35=TRUE),VLOOKUP(Calculator!E23,tbSkills!DH3:DJ6,3,FALSE),0),0)))/100)),1),1)</f>
        <v>1</v>
      </c>
      <c r="HX88" s="87">
        <f t="shared" si="83"/>
        <v>0</v>
      </c>
      <c r="HY88" s="86" t="str">
        <f>IFERROR(IF(VLOOKUP(A88,tbMoveset!A2:B112,2,FALSE)="Sever",Backdoors!AY36/100,IF(VLOOKUP(A88,tbMoveset!A2:B112,2,FALSE)="Blunt",Backdoors!AZ36/100,Backdoors!BA36/100)),"")</f>
        <v/>
      </c>
      <c r="HZ88" s="49">
        <f>IFERROR(IF(VLOOKUP(tbMoveset!A88,tbMoveset!A2:H112,8,FALSE)="Other",IF(VLOOKUP(tbMoveset!A88,tbMoveset!A2:I112,9,FALSE)="Fire",Backdoors!BB36,IF(VLOOKUP(tbMoveset!A88,tbMoveset!A2:I112,9,FALSE)="Water",Backdoors!BC36,IF(VLOOKUP(tbMoveset!A88,tbMoveset!A2:I112,9,FALSE)="Thunder",Backdoors!BD36,IF(VLOOKUP(tbMoveset!A88,tbMoveset!A2:I112,9,FALSE)="Ice",Backdoors!BE36,IF(VLOOKUP(tbMoveset!A88,tbMoveset!A2:I112,9,FALSE)="Dragon",Backdoors!BF36,Backdoors!BG36)))))/100,Backdoors!BG36/100),"")</f>
        <v>0</v>
      </c>
      <c r="IA88" s="49">
        <f>IFERROR(IF(VLOOKUP(A88,tbMoveset!A2:J112,10,FALSE)=TRUE,IF((Backdoors!AI12+IF(HY88&gt;=0.45,VLOOKUP(Calculator!E23,tbSkills!DH3:DI6,2,FALSE)+IF(AND(Calculator!B8=TRUE,Backdoors!BI36=TRUE),VLOOKUP(Calculator!E23,tbSkills!DH3:DJ6,3,FALSE),0),0))&gt;=0,1+(Backdoors!AL2*(IF((Backdoors!AI12+IF(HY88&gt;=0.45,VLOOKUP(Calculator!E23,tbSkills!DH3:DI6,2,FALSE)+IF(AND(Calculator!B8=TRUE,Backdoors!BI36=TRUE),VLOOKUP(Calculator!E23,tbSkills!DH3:DJ6,3,FALSE),0),0))&gt;=100,100,(Backdoors!AI12+IF(HY88&gt;=0.45,VLOOKUP(Calculator!E23,tbSkills!DH3:DI6,2,FALSE)+IF(AND(Calculator!B8=TRUE,Backdoors!BI36=TRUE),VLOOKUP(Calculator!E23,tbSkills!DH3:DJ6,3,FALSE),0),0)))/100)),(1-(0.25*((-Backdoors!AI12-IF(HY88&gt;=0.45,VLOOKUP(Calculator!E23,tbSkills!DH3:DI6,2,FALSE)+IF(AND(Calculator!B8=TRUE,Backdoors!BI36=TRUE),VLOOKUP(Calculator!E23,tbSkills!DH3:DJ6,3,FALSE),0),0))/100)))),1),"")</f>
        <v>1</v>
      </c>
      <c r="IB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Y88)*IA88)*(VLOOKUP(A88,tbMoveset!A2:C112,3,FALSE)/100)*IF(VLOOKUP(A88,tbMoveset!A2:B112,2,FALSE)="Projectile",Backdoors!N10,Backdoors!N9),0),"")</f>
        <v/>
      </c>
      <c r="IC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Y88&gt;=0.45,VLOOKUP(Calculator!E23,tbSkills!DH3:DI6,2,FALSE)+IF(AND(Calculator!B8=TRUE,Backdoors!BI36=TRUE),VLOOKUP(Calculator!E23,tbSkills!DH3:DJ6,3,FALSE),0),0))&gt;=100,100,(Backdoors!AI12+IF(HY88&gt;=0.45,VLOOKUP(Calculator!E23,tbSkills!DH3:DI6,2,FALSE)+IF(AND(Calculator!B8=TRUE,Backdoors!BI36=TRUE),VLOOKUP(Calculator!E23,tbSkills!DH3:DJ6,3,FALSE),0),0)))/100)),1))*IF(VLOOKUP(A88,tbMoveset!A2:K112,11,FALSE)=TRUE,Backdoors!AC5,1))*HZ88,0),"")</f>
        <v>0</v>
      </c>
      <c r="ID88" s="49">
        <f>VLOOKUP(A88,tbMoveset!A2:G112,7,FALSE)*IFERROR(IF(Backdoors!AI12&gt;=0,1+(IF(Calculator!E40&gt;0,VLOOKUP(Calculator!E40,tbSkills!AI3:AJ5,2,FALSE),Backdoors!AL4)*(IF((Backdoors!AI12+IF(HY88&gt;=0.45,VLOOKUP(Calculator!E23,tbSkills!DH3:DI6,2,FALSE)+IF(AND(Calculator!B8=TRUE,Backdoors!BI36=TRUE),VLOOKUP(Calculator!E23,tbSkills!DH3:DJ6,3,FALSE),0),0))&gt;=100,100,(Backdoors!AI12+IF(HY88&gt;=0.45,VLOOKUP(Calculator!E23,tbSkills!DH3:DI6,2,FALSE)+IF(AND(Calculator!B8=TRUE,Backdoors!BI36=TRUE),VLOOKUP(Calculator!E23,tbSkills!DH3:DJ6,3,FALSE),0),0)))/100)),1),1)</f>
        <v>1</v>
      </c>
      <c r="IE88" s="87">
        <f t="shared" si="84"/>
        <v>0</v>
      </c>
      <c r="IF88" s="86" t="str">
        <f>IFERROR(IF(VLOOKUP(A88,tbMoveset!A2:B112,2,FALSE)="Sever",Backdoors!AY37/100,IF(VLOOKUP(A88,tbMoveset!A2:B112,2,FALSE)="Blunt",Backdoors!AZ37/100,Backdoors!BA37/100)),"")</f>
        <v/>
      </c>
      <c r="IG88" s="49">
        <f>IFERROR(IF(VLOOKUP(tbMoveset!A88,tbMoveset!A2:H112,8,FALSE)="Other",IF(VLOOKUP(tbMoveset!A88,tbMoveset!A2:I112,9,FALSE)="Fire",Backdoors!BB37,IF(VLOOKUP(tbMoveset!A88,tbMoveset!A2:I112,9,FALSE)="Water",Backdoors!BC37,IF(VLOOKUP(tbMoveset!A88,tbMoveset!A2:I112,9,FALSE)="Thunder",Backdoors!BD37,IF(VLOOKUP(tbMoveset!A88,tbMoveset!A2:I112,9,FALSE)="Ice",Backdoors!BE37,IF(VLOOKUP(tbMoveset!A88,tbMoveset!A2:I112,9,FALSE)="Dragon",Backdoors!BF37,Backdoors!BG37)))))/100,Backdoors!BG37/100),"")</f>
        <v>0</v>
      </c>
      <c r="IH88" s="49">
        <f>IFERROR(IF(VLOOKUP(A88,tbMoveset!A2:J112,10,FALSE)=TRUE,IF((Backdoors!AI12+IF(IF88&gt;=0.45,VLOOKUP(Calculator!E23,tbSkills!DH3:DI6,2,FALSE)+IF(AND(Calculator!B8=TRUE,Backdoors!BI37=TRUE),VLOOKUP(Calculator!E23,tbSkills!DH3:DJ6,3,FALSE),0),0))&gt;=0,1+(Backdoors!AL2*(IF((Backdoors!AI12+IF(IF88&gt;=0.45,VLOOKUP(Calculator!E23,tbSkills!DH3:DI6,2,FALSE)+IF(AND(Calculator!B8=TRUE,Backdoors!BI37=TRUE),VLOOKUP(Calculator!E23,tbSkills!DH3:DJ6,3,FALSE),0),0))&gt;=100,100,(Backdoors!AI12+IF(IF88&gt;=0.45,VLOOKUP(Calculator!E23,tbSkills!DH3:DI6,2,FALSE)+IF(AND(Calculator!B8=TRUE,Backdoors!BI37=TRUE),VLOOKUP(Calculator!E23,tbSkills!DH3:DJ6,3,FALSE),0),0)))/100)),(1-(0.25*((-Backdoors!AI12-IF(IF88&gt;=0.45,VLOOKUP(Calculator!E23,tbSkills!DH3:DI6,2,FALSE)+IF(AND(Calculator!B8=TRUE,Backdoors!BI37=TRUE),VLOOKUP(Calculator!E23,tbSkills!DH3:DJ6,3,FALSE),0),0))/100)))),1),"")</f>
        <v>1</v>
      </c>
      <c r="II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F88)*IH88)*(VLOOKUP(A88,tbMoveset!A2:C112,3,FALSE)/100)*IF(VLOOKUP(A88,tbMoveset!A2:B112,2,FALSE)="Projectile",Backdoors!N10,Backdoors!N9),0),"")</f>
        <v/>
      </c>
      <c r="IJ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IF88&gt;=0.45,VLOOKUP(Calculator!E23,tbSkills!DH3:DI6,2,FALSE)+IF(AND(Calculator!B8=TRUE,Backdoors!BI37=TRUE),VLOOKUP(Calculator!E23,tbSkills!DH3:DJ6,3,FALSE),0),0))&gt;=100,100,(Backdoors!AI12+IF(IF88&gt;=0.45,VLOOKUP(Calculator!E23,tbSkills!DH3:DI6,2,FALSE)+IF(AND(Calculator!B8=TRUE,Backdoors!BI37=TRUE),VLOOKUP(Calculator!E23,tbSkills!DH3:DJ6,3,FALSE),0),0)))/100)),1))*IF(VLOOKUP(A88,tbMoveset!A2:K112,11,FALSE)=TRUE,Backdoors!AC5,1))*IG88,0),"")</f>
        <v>0</v>
      </c>
      <c r="IK88" s="49">
        <f>VLOOKUP(A88,tbMoveset!A2:G112,7,FALSE)*IFERROR(IF(Backdoors!AI12&gt;=0,1+(IF(Calculator!E40&gt;0,VLOOKUP(Calculator!E40,tbSkills!AI3:AJ5,2,FALSE),Backdoors!AL4)*(IF((Backdoors!AI12+IF(IF88&gt;=0.45,VLOOKUP(Calculator!E23,tbSkills!DH3:DI6,2,FALSE)+IF(AND(Calculator!B8=TRUE,Backdoors!BI37=TRUE),VLOOKUP(Calculator!E23,tbSkills!DH3:DJ6,3,FALSE),0),0))&gt;=100,100,(Backdoors!AI12+IF(IF88&gt;=0.45,VLOOKUP(Calculator!E23,tbSkills!DH3:DI6,2,FALSE)+IF(AND(Calculator!B8=TRUE,Backdoors!BI37=TRUE),VLOOKUP(Calculator!E23,tbSkills!DH3:DJ6,3,FALSE),0),0)))/100)),1),1)</f>
        <v>1</v>
      </c>
      <c r="IL88" s="87">
        <f t="shared" si="85"/>
        <v>0</v>
      </c>
      <c r="IM88" s="86" t="str">
        <f>IFERROR(IF(VLOOKUP(A88,tbMoveset!A2:B112,2,FALSE)="Sever",Backdoors!AY38/100,IF(VLOOKUP(A88,tbMoveset!A2:B112,2,FALSE)="Blunt",Backdoors!AZ38/100,Backdoors!BA38/100)),"")</f>
        <v/>
      </c>
      <c r="IN88" s="49">
        <f>IFERROR(IF(VLOOKUP(tbMoveset!A88,tbMoveset!A2:H112,8,FALSE)="Other",IF(VLOOKUP(tbMoveset!A88,tbMoveset!A2:I112,9,FALSE)="Fire",Backdoors!BB38,IF(VLOOKUP(tbMoveset!A88,tbMoveset!A2:I112,9,FALSE)="Water",Backdoors!BC38,IF(VLOOKUP(tbMoveset!A88,tbMoveset!A2:I112,9,FALSE)="Thunder",Backdoors!BD38,IF(VLOOKUP(tbMoveset!A88,tbMoveset!A2:I112,9,FALSE)="Ice",Backdoors!BE38,IF(VLOOKUP(tbMoveset!A88,tbMoveset!A2:I112,9,FALSE)="Dragon",Backdoors!BF38,Backdoors!BG38)))))/100,Backdoors!BG38/100),"")</f>
        <v>0</v>
      </c>
      <c r="IO88" s="49">
        <f>IFERROR(IF(VLOOKUP(A88,tbMoveset!A2:J112,10,FALSE)=TRUE,IF((Backdoors!AI12+IF(IM88&gt;=0.45,VLOOKUP(Calculator!E23,tbSkills!DH3:DI6,2,FALSE)+IF(AND(Calculator!B8=TRUE,Backdoors!BI38=TRUE),VLOOKUP(Calculator!E23,tbSkills!DH3:DJ6,3,FALSE),0),0))&gt;=0,1+(Backdoors!AL2*(IF((Backdoors!AI12+IF(IM88&gt;=0.45,VLOOKUP(Calculator!E23,tbSkills!DH3:DI6,2,FALSE)+IF(AND(Calculator!B8=TRUE,Backdoors!BI38=TRUE),VLOOKUP(Calculator!E23,tbSkills!DH3:DJ6,3,FALSE),0),0))&gt;=100,100,(Backdoors!AI12+IF(IM88&gt;=0.45,VLOOKUP(Calculator!E23,tbSkills!DH3:DI6,2,FALSE)+IF(AND(Calculator!B8=TRUE,Backdoors!BI38=TRUE),VLOOKUP(Calculator!E23,tbSkills!DH3:DJ6,3,FALSE),0),0)))/100)),(1-(0.25*((-Backdoors!AI12-IF(IM88&gt;=0.45,VLOOKUP(Calculator!E23,tbSkills!DH3:DI6,2,FALSE)+IF(AND(Calculator!B8=TRUE,Backdoors!BI38=TRUE),VLOOKUP(Calculator!E23,tbSkills!DH3:DJ6,3,FALSE),0),0))/100)))),1),"")</f>
        <v>1</v>
      </c>
      <c r="IP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M88)*IO88)*(VLOOKUP(A88,tbMoveset!A2:C112,3,FALSE)/100)*IF(VLOOKUP(A88,tbMoveset!A2:B112,2,FALSE)="Projectile",Backdoors!N10,Backdoors!N9),0),"")</f>
        <v/>
      </c>
      <c r="IQ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IM88&gt;=0.45,VLOOKUP(Calculator!E23,tbSkills!DH3:DI6,2,FALSE)+IF(AND(Calculator!B8=TRUE,Backdoors!BI38=TRUE),VLOOKUP(Calculator!E23,tbSkills!DH3:DJ6,3,FALSE),0),0))&gt;=100,100,(Backdoors!AI12+IF(IM88&gt;=0.45,VLOOKUP(Calculator!E23,tbSkills!DH3:DI6,2,FALSE)+IF(AND(Calculator!B8=TRUE,Backdoors!BI38=TRUE),VLOOKUP(Calculator!E23,tbSkills!DH3:DJ6,3,FALSE),0),0)))/100)),1))*IF(VLOOKUP(A88,tbMoveset!A2:K112,11,FALSE)=TRUE,Backdoors!AC5,1))*IN88,0),"")</f>
        <v>0</v>
      </c>
      <c r="IR88" s="49">
        <f>VLOOKUP(A88,tbMoveset!A2:G112,7,FALSE)*IFERROR(IF(Backdoors!AI12&gt;=0,1+(IF(Calculator!E40&gt;0,VLOOKUP(Calculator!E40,tbSkills!AI3:AJ5,2,FALSE),Backdoors!AL4)*(IF((Backdoors!AI12+IF(IM88&gt;=0.45,VLOOKUP(Calculator!E23,tbSkills!DH3:DI6,2,FALSE)+IF(AND(Calculator!B8=TRUE,Backdoors!BI38=TRUE),VLOOKUP(Calculator!E23,tbSkills!DH3:DJ6,3,FALSE),0),0))&gt;=100,100,(Backdoors!AI12+IF(IM88&gt;=0.45,VLOOKUP(Calculator!E23,tbSkills!DH3:DI6,2,FALSE)+IF(AND(Calculator!B8=TRUE,Backdoors!BI38=TRUE),VLOOKUP(Calculator!E23,tbSkills!DH3:DJ6,3,FALSE),0),0)))/100)),1),1)</f>
        <v>1</v>
      </c>
      <c r="IS88" s="87">
        <f t="shared" si="86"/>
        <v>0</v>
      </c>
      <c r="IT88" s="86" t="str">
        <f>IFERROR(IF(VLOOKUP(A88,tbMoveset!A2:B112,2,FALSE)="Sever",Backdoors!AY39/100,IF(VLOOKUP(A88,tbMoveset!A2:B112,2,FALSE)="Blunt",Backdoors!AZ39/100,Backdoors!BA39/100)),"")</f>
        <v/>
      </c>
      <c r="IU88" s="49">
        <f>IFERROR(IF(VLOOKUP(tbMoveset!A88,tbMoveset!A2:H112,8,FALSE)="Other",IF(VLOOKUP(tbMoveset!A88,tbMoveset!A2:I112,9,FALSE)="Fire",Backdoors!BB39,IF(VLOOKUP(tbMoveset!A88,tbMoveset!A2:I112,9,FALSE)="Water",Backdoors!BC39,IF(VLOOKUP(tbMoveset!A88,tbMoveset!A2:I112,9,FALSE)="Thunder",Backdoors!BD39,IF(VLOOKUP(tbMoveset!A88,tbMoveset!A2:I112,9,FALSE)="Ice",Backdoors!BE39,IF(VLOOKUP(tbMoveset!A88,tbMoveset!A2:I112,9,FALSE)="Dragon",Backdoors!BF39,Backdoors!BG39)))))/100,Backdoors!BG39/100),"")</f>
        <v>0</v>
      </c>
      <c r="IV88" s="49">
        <f>IFERROR(IF(VLOOKUP(A88,tbMoveset!A2:J112,10,FALSE)=TRUE,IF((Backdoors!AI12+IF(IT88&gt;=0.45,VLOOKUP(Calculator!E23,tbSkills!DH3:DI6,2,FALSE)+IF(AND(Calculator!B8=TRUE,Backdoors!BI39=TRUE),VLOOKUP(Calculator!E23,tbSkills!DH3:DJ6,3,FALSE),0),0))&gt;=0,1+(Backdoors!AL2*(IF((Backdoors!AI12+IF(IT88&gt;=0.45,VLOOKUP(Calculator!E23,tbSkills!DH3:DI6,2,FALSE)+IF(AND(Calculator!B8=TRUE,Backdoors!BI39=TRUE),VLOOKUP(Calculator!E23,tbSkills!DH3:DJ6,3,FALSE),0),0))&gt;=100,100,(Backdoors!AI12+IF(IT88&gt;=0.45,VLOOKUP(Calculator!E23,tbSkills!DH3:DI6,2,FALSE)+IF(AND(Calculator!B8=TRUE,Backdoors!BI39=TRUE),VLOOKUP(Calculator!E23,tbSkills!DH3:DJ6,3,FALSE),0),0)))/100)),(1-(0.25*((-Backdoors!AI12-IF(IT88&gt;=0.45,VLOOKUP(Calculator!E23,tbSkills!DH3:DI6,2,FALSE)+IF(AND(Calculator!B8=TRUE,Backdoors!BI39=TRUE),VLOOKUP(Calculator!E23,tbSkills!DH3:DJ6,3,FALSE),0),0))/100)))),1),"")</f>
        <v>1</v>
      </c>
      <c r="IW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T88)*IV88)*(VLOOKUP(A88,tbMoveset!A2:C112,3,FALSE)/100)*IF(VLOOKUP(A88,tbMoveset!A2:B112,2,FALSE)="Projectile",Backdoors!N10,Backdoors!N9),0),"")</f>
        <v/>
      </c>
      <c r="IX88" s="49">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40&gt;0,VLOOKUP(Calculator!E40,tbSkills!AC3:AD5,2,FALSE),Backdoors!AL3)*(IF((Backdoors!AI12+IF(IT88&gt;=0.45,VLOOKUP(Calculator!E23,tbSkills!DH3:DI6,2,FALSE)+IF(AND(Calculator!B8=TRUE,Backdoors!BI39=TRUE),VLOOKUP(Calculator!E23,tbSkills!DH3:DJ6,3,FALSE),0),0))&gt;=100,100,(Backdoors!AI12+IF(IT88&gt;=0.45,VLOOKUP(Calculator!E23,tbSkills!DH3:DI6,2,FALSE)+IF(AND(Calculator!B8=TRUE,Backdoors!BI39=TRUE),VLOOKUP(Calculator!E23,tbSkills!DH3:DJ6,3,FALSE),0),0)))/100)),1))*IF(VLOOKUP(A88,tbMoveset!A2:K112,11,FALSE)=TRUE,Backdoors!AC5,1))*IU88,0),"")</f>
        <v>0</v>
      </c>
      <c r="IY88" s="49">
        <f>VLOOKUP(A88,tbMoveset!A2:G112,7,FALSE)*IFERROR(IF(Backdoors!AI12&gt;=0,1+(IF(Calculator!E40&gt;0,VLOOKUP(Calculator!E40,tbSkills!AI3:AJ5,2,FALSE),Backdoors!AL4)*(IF((Backdoors!AI12+IF(IT88&gt;=0.45,VLOOKUP(Calculator!E23,tbSkills!DH3:DI6,2,FALSE)+IF(AND(Calculator!B8=TRUE,Backdoors!BI39=TRUE),VLOOKUP(Calculator!E23,tbSkills!DH3:DJ6,3,FALSE),0),0))&gt;=100,100,(Backdoors!AI12+IF(IT88&gt;=0.45,VLOOKUP(Calculator!E23,tbSkills!DH3:DI6,2,FALSE)+IF(AND(Calculator!B8=TRUE,Backdoors!BI39=TRUE),VLOOKUP(Calculator!E23,tbSkills!DH3:DJ6,3,FALSE),0),0)))/100)),1),1)</f>
        <v>1</v>
      </c>
      <c r="IZ88" s="87">
        <f t="shared" si="87"/>
        <v>0</v>
      </c>
      <c r="JA88" s="86" t="str">
        <f>IFERROR(IF(VLOOKUP(A88,tbMoveset!A2:B112,2,FALSE)="Sever",Backdoors!AY40/100,IF(VLOOKUP(A88,tbMoveset!A2:B112,2,FALSE)="Blunt",Backdoors!AZ40/100,Backdoors!BA40/100)),"")</f>
        <v/>
      </c>
      <c r="JB88" s="49">
        <f>IFERROR(IF(VLOOKUP(tbMoveset!A88,tbMoveset!A2:H112,8,FALSE)="Other",IF(VLOOKUP(tbMoveset!A88,tbMoveset!A2:I112,9,FALSE)="Fire",Backdoors!BB40,IF(VLOOKUP(tbMoveset!A88,tbMoveset!A2:I112,9,FALSE)="Water",Backdoors!BC40,IF(VLOOKUP(tbMoveset!A88,tbMoveset!A2:I112,9,FALSE)="Thunder",Backdoors!BD40,IF(VLOOKUP(tbMoveset!A88,tbMoveset!A2:I112,9,FALSE)="Ice",Backdoors!BE40,IF(VLOOKUP(tbMoveset!A88,tbMoveset!A2:I112,9,FALSE)="Dragon",Backdoors!BF40,Backdoors!BG40)))))/100,Backdoors!BG40/100),"")</f>
        <v>0</v>
      </c>
      <c r="JC88" s="49">
        <f>IFERROR(IF(VLOOKUP(A88,tbMoveset!A2:J112,10,FALSE)=TRUE,IF((Backdoors!AI12+IF(JA88&gt;=0.45,VLOOKUP(Calculator!E23,tbSkills!DH3:DI6,2,FALSE)+IF(AND(Calculator!B8=TRUE,Backdoors!BI40=TRUE),VLOOKUP(Calculator!E23,tbSkills!DH3:DJ6,3,FALSE),0),0))&gt;=0,1+(Backdoors!AL2*(IF((Backdoors!AI12+IF(JA88&gt;=0.45,VLOOKUP(Calculator!E23,tbSkills!DH3:DI6,2,FALSE)+IF(AND(Calculator!B8=TRUE,Backdoors!BI40=TRUE),VLOOKUP(Calculator!E23,tbSkills!DH3:DJ6,3,FALSE),0),0))&gt;=100,100,(Backdoors!AI12+IF(JA88&gt;=0.45,VLOOKUP(Calculator!E23,tbSkills!DH3:DI6,2,FALSE)+IF(AND(Calculator!B8=TRUE,Backdoors!BI40=TRUE),VLOOKUP(Calculator!E23,tbSkills!DH3:DJ6,3,FALSE),0),0)))/100)),(1-(0.25*((-Backdoors!AI12-IF(JA88&gt;=0.45,VLOOKUP(Calculator!E23,tbSkills!DH3:DI6,2,FALSE)+IF(AND(Calculator!B8=TRUE,Backdoors!BI40=TRUE),VLOOKUP(Calculator!E23,tbSkills!DH3:DJ6,3,FALSE),0),0))/100)))),1),"")</f>
        <v>1</v>
      </c>
      <c r="JD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A88)*JC88)*(VLOOKUP(A88,tbMoveset!A2:C112,3,FALSE)/100)*IF(VLOOKUP(A88,tbMoveset!A2:B112,2,FALSE)="Projectile",Backdoors!N10,Backdoors!N9),0),"")</f>
        <v/>
      </c>
      <c r="JE88" s="49">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42&gt;0,VLOOKUP(Calculator!E42,tbSkills!AC3:AD5,2,FALSE),Backdoors!AL3)*(IF((Backdoors!AI12+IF(JA88&gt;=0.45,VLOOKUP(Calculator!E23,tbSkills!DH3:DI6,2,FALSE)+IF(AND(Calculator!B8=TRUE,Backdoors!BI40=TRUE),VLOOKUP(Calculator!E23,tbSkills!DH3:DJ6,3,FALSE),0),0))&gt;=100,100,(Backdoors!AI12+IF(JA88&gt;=0.45,VLOOKUP(Calculator!E23,tbSkills!DH3:DI6,2,FALSE)+IF(AND(Calculator!B8=TRUE,Backdoors!BI40=TRUE),VLOOKUP(Calculator!E23,tbSkills!DH3:DJ6,3,FALSE),0),0)))/100)),1))*IF(VLOOKUP(A88,tbMoveset!A2:K112,11,FALSE)=TRUE,Backdoors!AC5,1))*JB88,0),"")</f>
        <v>0</v>
      </c>
      <c r="JF88" s="49">
        <f>VLOOKUP(A88,tbMoveset!A2:G112,7,FALSE)*IFERROR(IF(Backdoors!AI12&gt;=0,1+(IF(Calculator!E40&gt;0,VLOOKUP(Calculator!E40,tbSkills!AI3:AJ5,2,FALSE),Backdoors!AL4)*(IF((Backdoors!AI12+IF(JA88&gt;=0.45,VLOOKUP(Calculator!E23,tbSkills!DH3:DI6,2,FALSE)+IF(AND(Calculator!B8=TRUE,Backdoors!BI40=TRUE),VLOOKUP(Calculator!E23,tbSkills!DH3:DJ6,3,FALSE),0),0))&gt;=100,100,(Backdoors!AI12+IF(JA88&gt;=0.45,VLOOKUP(Calculator!E23,tbSkills!DH3:DI6,2,FALSE)+IF(AND(Calculator!B8=TRUE,Backdoors!BI40=TRUE),VLOOKUP(Calculator!E23,tbSkills!DH3:DJ6,3,FALSE),0),0)))/100)),1),1)</f>
        <v>1</v>
      </c>
      <c r="JG88" s="87">
        <f t="shared" si="88"/>
        <v>0</v>
      </c>
      <c r="JH88" s="86" t="str">
        <f>IFERROR(IF(VLOOKUP(A88,tbMoveset!A2:B112,2,FALSE)="Sever",Backdoors!AY41/100,IF(VLOOKUP(A88,tbMoveset!A2:B112,2,FALSE)="Blunt",Backdoors!AZ41/100,Backdoors!BA41/100)),"")</f>
        <v/>
      </c>
      <c r="JI88" s="49">
        <f>IFERROR(IF(VLOOKUP(tbMoveset!A88,tbMoveset!A2:H112,8,FALSE)="Other",IF(VLOOKUP(tbMoveset!A88,tbMoveset!A2:I112,9,FALSE)="Fire",Backdoors!BB41,IF(VLOOKUP(tbMoveset!A88,tbMoveset!A2:I112,9,FALSE)="Water",Backdoors!BC41,IF(VLOOKUP(tbMoveset!A88,tbMoveset!A2:I112,9,FALSE)="Thunder",Backdoors!BD41,IF(VLOOKUP(tbMoveset!A88,tbMoveset!A2:I112,9,FALSE)="Ice",Backdoors!BE41,IF(VLOOKUP(tbMoveset!A88,tbMoveset!A2:I112,9,FALSE)="Dragon",Backdoors!BF41,Backdoors!BG41)))))/100,Backdoors!BG41/100),"")</f>
        <v>0</v>
      </c>
      <c r="JJ88" s="49">
        <f>IFERROR(IF(VLOOKUP(A88,tbMoveset!A2:J112,10,FALSE)=TRUE,IF((Backdoors!AI12+IF(JH88&gt;=0.45,VLOOKUP(Calculator!E23,tbSkills!DH3:DI6,2,FALSE)+IF(AND(Calculator!B8=TRUE,Backdoors!BI41=TRUE),VLOOKUP(Calculator!E23,tbSkills!DH3:DJ6,3,FALSE),0),0))&gt;=0,1+(Backdoors!AL2*(IF((Backdoors!AI12+IF(JH88&gt;=0.45,VLOOKUP(Calculator!E23,tbSkills!DH3:DI6,2,FALSE)+IF(AND(Calculator!B8=TRUE,Backdoors!BI41=TRUE),VLOOKUP(Calculator!E23,tbSkills!DH3:DJ6,3,FALSE),0),0))&gt;=100,100,(Backdoors!AI12+IF(JH88&gt;=0.45,VLOOKUP(Calculator!E23,tbSkills!DH3:DI6,2,FALSE)+IF(AND(Calculator!B8=TRUE,Backdoors!BI41=TRUE),VLOOKUP(Calculator!E23,tbSkills!DH3:DJ6,3,FALSE),0),0)))/100)),(1-(0.25*((-Backdoors!AI12-IF(JH88&gt;=0.45,VLOOKUP(Calculator!E23,tbSkills!DH3:DI6,2,FALSE)+IF(AND(Calculator!B8=TRUE,Backdoors!BI41=TRUE),VLOOKUP(Calculator!E23,tbSkills!DH3:DJ6,3,FALSE),0),0))/100)))),1),"")</f>
        <v>1</v>
      </c>
      <c r="JK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H88)*JJ88)*(VLOOKUP(A88,tbMoveset!A2:C112,3,FALSE)/100)*IF(VLOOKUP(A88,tbMoveset!A2:B112,2,FALSE)="Projectile",Backdoors!N10,Backdoors!N9),0),"")</f>
        <v/>
      </c>
      <c r="JL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43&gt;0,VLOOKUP(Calculator!E43,tbSkills!AC3:AD5,2,FALSE),Backdoors!AL3)*(IF((Backdoors!AI12+IF(JH88&gt;=0.45,VLOOKUP(Calculator!E23,tbSkills!DH3:DI6,2,FALSE)+IF(AND(Calculator!B8=TRUE,Backdoors!BI41=TRUE),VLOOKUP(Calculator!E23,tbSkills!DH3:DJ6,3,FALSE),0),0))&gt;=100,100,(Backdoors!AI12+IF(JH88&gt;=0.45,VLOOKUP(Calculator!E23,tbSkills!DH3:DI6,2,FALSE)+IF(AND(Calculator!B8=TRUE,Backdoors!BI41=TRUE),VLOOKUP(Calculator!E23,tbSkills!DH3:DJ6,3,FALSE),0),0)))/100)),1))*IF(VLOOKUP(A88,tbMoveset!A2:K112,11,FALSE)=TRUE,Backdoors!AC5,1))*JI88,0),"")</f>
        <v/>
      </c>
      <c r="JM88" s="49">
        <f>VLOOKUP(A88,tbMoveset!A2:G112,7,FALSE)*IFERROR(IF(Backdoors!AI12&gt;=0,1+(IF(Calculator!E40&gt;0,VLOOKUP(Calculator!E40,tbSkills!AI3:AJ5,2,FALSE),Backdoors!AL4)*(IF((Backdoors!AI12+IF(JH88&gt;=0.45,VLOOKUP(Calculator!E23,tbSkills!DH3:DI6,2,FALSE)+IF(AND(Calculator!B8=TRUE,Backdoors!BI41=TRUE),VLOOKUP(Calculator!E23,tbSkills!DH3:DJ6,3,FALSE),0),0))&gt;=100,100,(Backdoors!AI12+IF(JH88&gt;=0.45,VLOOKUP(Calculator!E23,tbSkills!DH3:DI6,2,FALSE)+IF(AND(Calculator!B8=TRUE,Backdoors!BI41=TRUE),VLOOKUP(Calculator!E23,tbSkills!DH3:DJ6,3,FALSE),0),0)))/100)),1),1)</f>
        <v>1</v>
      </c>
      <c r="JN88" s="87">
        <f t="shared" si="89"/>
        <v>0</v>
      </c>
      <c r="JO88" s="86" t="str">
        <f>IFERROR(IF(VLOOKUP(A88,tbMoveset!A2:B112,2,FALSE)="Sever",Backdoors!AY42/100,IF(VLOOKUP(A88,tbMoveset!A2:B112,2,FALSE)="Blunt",Backdoors!AZ42/100,Backdoors!BA42/100)),"")</f>
        <v/>
      </c>
      <c r="JP88" s="49">
        <f>IFERROR(IF(VLOOKUP(tbMoveset!A88,tbMoveset!A2:H112,8,FALSE)="Other",IF(VLOOKUP(tbMoveset!A88,tbMoveset!A2:I112,9,FALSE)="Fire",Backdoors!BB42,IF(VLOOKUP(tbMoveset!A88,tbMoveset!A2:I112,9,FALSE)="Water",Backdoors!BC42,IF(VLOOKUP(tbMoveset!A88,tbMoveset!A2:I112,9,FALSE)="Thunder",Backdoors!BD42,IF(VLOOKUP(tbMoveset!A88,tbMoveset!A2:I112,9,FALSE)="Ice",Backdoors!BE42,IF(VLOOKUP(tbMoveset!A88,tbMoveset!A2:I112,9,FALSE)="Dragon",Backdoors!BF42,Backdoors!BG42)))))/100,Backdoors!BG42/100),"")</f>
        <v>0</v>
      </c>
      <c r="JQ88" s="49">
        <f>IFERROR(IF(VLOOKUP(A88,tbMoveset!A2:J112,10,FALSE)=TRUE,IF((Backdoors!AI12+IF(JO88&gt;=0.45,VLOOKUP(Calculator!E23,tbSkills!DH3:DI6,2,FALSE)+IF(AND(Calculator!B8=TRUE,Backdoors!BI42=TRUE),VLOOKUP(Calculator!E23,tbSkills!DH3:DJ6,3,FALSE),0),0))&gt;=0,1+(Backdoors!AL2*(IF((Backdoors!AI12+IF(JO88&gt;=0.45,VLOOKUP(Calculator!E23,tbSkills!DH3:DI6,2,FALSE)+IF(AND(Calculator!B8=TRUE,Backdoors!BI42=TRUE),VLOOKUP(Calculator!E23,tbSkills!DH3:DJ6,3,FALSE),0),0))&gt;=100,100,(Backdoors!AI12+IF(JO88&gt;=0.45,VLOOKUP(Calculator!E23,tbSkills!DH3:DI6,2,FALSE)+IF(AND(Calculator!B8=TRUE,Backdoors!BI42=TRUE),VLOOKUP(Calculator!E23,tbSkills!DH3:DJ6,3,FALSE),0),0)))/100)),(1-(0.25*((-Backdoors!AI12-IF(JO88&gt;=0.45,VLOOKUP(Calculator!E23,tbSkills!DH3:DI6,2,FALSE)+IF(AND(Calculator!B8=TRUE,Backdoors!BI42=TRUE),VLOOKUP(Calculator!E23,tbSkills!DH3:DJ6,3,FALSE),0),0))/100)))),1),"")</f>
        <v>1</v>
      </c>
      <c r="JR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O88)*JQ88)*(VLOOKUP(A88,tbMoveset!A2:C112,3,FALSE)/100)*IF(VLOOKUP(A88,tbMoveset!A2:B112,2,FALSE)="Projectile",Backdoors!N10,Backdoors!N9),0),"")</f>
        <v/>
      </c>
      <c r="JS88" s="49">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45&gt;0,VLOOKUP(Calculator!E45,tbSkills!AC3:AD5,2,FALSE),Backdoors!AL3)*(IF((Backdoors!AI12+IF(JO88&gt;=0.45,VLOOKUP(Calculator!E23,tbSkills!DH3:DI6,2,FALSE)+IF(AND(Calculator!B8=TRUE,Backdoors!BI42=TRUE),VLOOKUP(Calculator!E23,tbSkills!DH3:DJ6,3,FALSE),0),0))&gt;=100,100,(Backdoors!AI12+IF(JO88&gt;=0.45,VLOOKUP(Calculator!E23,tbSkills!DH3:DI6,2,FALSE)+IF(AND(Calculator!B8=TRUE,Backdoors!BI42=TRUE),VLOOKUP(Calculator!E23,tbSkills!DH3:DJ6,3,FALSE),0),0)))/100)),1))*IF(VLOOKUP(A88,tbMoveset!A2:K112,11,FALSE)=TRUE,Backdoors!AC5,1))*JP88,0),"")</f>
        <v>0</v>
      </c>
      <c r="JT88" s="49">
        <f>VLOOKUP(A88,tbMoveset!A2:G112,7,FALSE)*IFERROR(IF(Backdoors!AI12&gt;=0,1+(IF(Calculator!E40&gt;0,VLOOKUP(Calculator!E40,tbSkills!AI3:AJ5,2,FALSE),Backdoors!AL4)*(IF((Backdoors!AI12+IF(JO88&gt;=0.45,VLOOKUP(Calculator!E23,tbSkills!DH3:DI6,2,FALSE)+IF(AND(Calculator!B8=TRUE,Backdoors!BI42=TRUE),VLOOKUP(Calculator!E23,tbSkills!DH3:DJ6,3,FALSE),0),0))&gt;=100,100,(Backdoors!AI12+IF(JO88&gt;=0.45,VLOOKUP(Calculator!E23,tbSkills!DH3:DI6,2,FALSE)+IF(AND(Calculator!B8=TRUE,Backdoors!BI42=TRUE),VLOOKUP(Calculator!E23,tbSkills!DH3:DJ6,3,FALSE),0),0)))/100)),1),1)</f>
        <v>1</v>
      </c>
      <c r="JU88" s="87">
        <f t="shared" si="90"/>
        <v>0</v>
      </c>
      <c r="JV88" s="86" t="str">
        <f>IFERROR(IF(VLOOKUP(A88,tbMoveset!A2:B112,2,FALSE)="Sever",Backdoors!AY43/100,IF(VLOOKUP(A88,tbMoveset!A2:B112,2,FALSE)="Blunt",Backdoors!AZ43/100,Backdoors!BA43/100)),"")</f>
        <v/>
      </c>
      <c r="JW88" s="49">
        <f>IFERROR(IF(VLOOKUP(tbMoveset!A88,tbMoveset!A2:H112,8,FALSE)="Other",IF(VLOOKUP(tbMoveset!A88,tbMoveset!A2:I112,9,FALSE)="Fire",Backdoors!BB43,IF(VLOOKUP(tbMoveset!A88,tbMoveset!A2:I112,9,FALSE)="Water",Backdoors!BC43,IF(VLOOKUP(tbMoveset!A88,tbMoveset!A2:I112,9,FALSE)="Thunder",Backdoors!BD43,IF(VLOOKUP(tbMoveset!A88,tbMoveset!A2:I112,9,FALSE)="Ice",Backdoors!BE43,IF(VLOOKUP(tbMoveset!A88,tbMoveset!A2:I112,9,FALSE)="Dragon",Backdoors!BF43,Backdoors!BG43)))))/100,Backdoors!BG43/100),"")</f>
        <v>0</v>
      </c>
      <c r="JX88" s="49">
        <f>IFERROR(IF(VLOOKUP(A88,tbMoveset!A2:J112,10,FALSE)=TRUE,IF((Backdoors!AI12+IF(JV88&gt;=0.45,VLOOKUP(Calculator!E23,tbSkills!DH3:DI6,2,FALSE)+IF(AND(Calculator!B8=TRUE,Backdoors!BI43=TRUE),VLOOKUP(Calculator!E23,tbSkills!DH3:DJ6,3,FALSE),0),0))&gt;=0,1+(Backdoors!AL2*(IF((Backdoors!AI12+IF(JV88&gt;=0.45,VLOOKUP(Calculator!E23,tbSkills!DH3:DI6,2,FALSE)+IF(AND(Calculator!B8=TRUE,Backdoors!BI43=TRUE),VLOOKUP(Calculator!E23,tbSkills!DH3:DJ6,3,FALSE),0),0))&gt;=100,100,(Backdoors!AI12+IF(JV88&gt;=0.45,VLOOKUP(Calculator!E23,tbSkills!DH3:DI6,2,FALSE)+IF(AND(Calculator!B8=TRUE,Backdoors!BI43=TRUE),VLOOKUP(Calculator!E23,tbSkills!DH3:DJ6,3,FALSE),0),0)))/100)),(1-(0.25*((-Backdoors!AI12-IF(JV88&gt;=0.45,VLOOKUP(Calculator!E23,tbSkills!DH3:DI6,2,FALSE)+IF(AND(Calculator!B8=TRUE,Backdoors!BI43=TRUE),VLOOKUP(Calculator!E23,tbSkills!DH3:DJ6,3,FALSE),0),0))/100)))),1),"")</f>
        <v>1</v>
      </c>
      <c r="JY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V88)*JX88)*(VLOOKUP(A88,tbMoveset!A2:C112,3,FALSE)/100)*IF(VLOOKUP(A88,tbMoveset!A2:B112,2,FALSE)="Projectile",Backdoors!N10,Backdoors!N9),0),"")</f>
        <v/>
      </c>
      <c r="JZ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46&gt;0,VLOOKUP(Calculator!E46,tbSkills!AC3:AD5,2,FALSE),Backdoors!AL3)*(IF((Backdoors!AI12+IF(JV88&gt;=0.45,VLOOKUP(Calculator!E23,tbSkills!DH3:DI6,2,FALSE)+IF(AND(Calculator!B8=TRUE,Backdoors!BI43=TRUE),VLOOKUP(Calculator!E23,tbSkills!DH3:DJ6,3,FALSE),0),0))&gt;=100,100,(Backdoors!AI12+IF(JV88&gt;=0.45,VLOOKUP(Calculator!E23,tbSkills!DH3:DI6,2,FALSE)+IF(AND(Calculator!B8=TRUE,Backdoors!BI43=TRUE),VLOOKUP(Calculator!E23,tbSkills!DH3:DJ6,3,FALSE),0),0)))/100)),1))*IF(VLOOKUP(A88,tbMoveset!A2:K112,11,FALSE)=TRUE,Backdoors!AC5,1))*JW88,0),"")</f>
        <v/>
      </c>
      <c r="KA88" s="49">
        <f>VLOOKUP(A88,tbMoveset!A2:G112,7,FALSE)*IFERROR(IF(Backdoors!AI12&gt;=0,1+(IF(Calculator!E40&gt;0,VLOOKUP(Calculator!E40,tbSkills!AI3:AJ5,2,FALSE),Backdoors!AL4)*(IF((Backdoors!AI12+IF(JV88&gt;=0.45,VLOOKUP(Calculator!E23,tbSkills!DH3:DI6,2,FALSE)+IF(AND(Calculator!B8=TRUE,Backdoors!BI43=TRUE),VLOOKUP(Calculator!E23,tbSkills!DH3:DJ6,3,FALSE),0),0))&gt;=100,100,(Backdoors!AI12+IF(JV88&gt;=0.45,VLOOKUP(Calculator!E23,tbSkills!DH3:DI6,2,FALSE)+IF(AND(Calculator!B8=TRUE,Backdoors!BI43=TRUE),VLOOKUP(Calculator!E23,tbSkills!DH3:DJ6,3,FALSE),0),0)))/100)),1),1)</f>
        <v>1</v>
      </c>
      <c r="KB88" s="87">
        <f t="shared" si="91"/>
        <v>0</v>
      </c>
      <c r="KC88" s="86" t="str">
        <f>IFERROR(IF(VLOOKUP(A88,tbMoveset!A2:B112,2,FALSE)="Sever",Backdoors!AY44/100,IF(VLOOKUP(A88,tbMoveset!A2:B112,2,FALSE)="Blunt",Backdoors!AZ44/100,Backdoors!BA44/100)),"")</f>
        <v/>
      </c>
      <c r="KD88" s="49">
        <f>IFERROR(IF(VLOOKUP(tbMoveset!A88,tbMoveset!A2:H112,8,FALSE)="Other",IF(VLOOKUP(tbMoveset!A88,tbMoveset!A2:I112,9,FALSE)="Fire",Backdoors!BB44,IF(VLOOKUP(tbMoveset!A88,tbMoveset!A2:I112,9,FALSE)="Water",Backdoors!BC44,IF(VLOOKUP(tbMoveset!A88,tbMoveset!A2:I112,9,FALSE)="Thunder",Backdoors!BD44,IF(VLOOKUP(tbMoveset!A88,tbMoveset!A2:I112,9,FALSE)="Ice",Backdoors!BE44,IF(VLOOKUP(tbMoveset!A88,tbMoveset!A2:I112,9,FALSE)="Dragon",Backdoors!BF44,Backdoors!BG44)))))/100,Backdoors!BG44/100),"")</f>
        <v>0</v>
      </c>
      <c r="KE88" s="49">
        <f>IFERROR(IF(VLOOKUP(A88,tbMoveset!A2:J112,10,FALSE)=TRUE,IF((Backdoors!AI12+IF(KC88&gt;=0.45,VLOOKUP(Calculator!E23,tbSkills!DH3:DI6,2,FALSE)+IF(AND(Calculator!B8=TRUE,Backdoors!BI44=TRUE),VLOOKUP(Calculator!E23,tbSkills!DH3:DJ6,3,FALSE),0),0))&gt;=0,1+(Backdoors!AL2*(IF((Backdoors!AI12+IF(KC88&gt;=0.45,VLOOKUP(Calculator!E23,tbSkills!DH3:DI6,2,FALSE)+IF(AND(Calculator!B8=TRUE,Backdoors!BI44=TRUE),VLOOKUP(Calculator!E23,tbSkills!DH3:DJ6,3,FALSE),0),0))&gt;=100,100,(Backdoors!AI12+IF(KC88&gt;=0.45,VLOOKUP(Calculator!E23,tbSkills!DH3:DI6,2,FALSE)+IF(AND(Calculator!B8=TRUE,Backdoors!BI44=TRUE),VLOOKUP(Calculator!E23,tbSkills!DH3:DJ6,3,FALSE),0),0)))/100)),(1-(0.25*((-Backdoors!AI12-IF(KC88&gt;=0.45,VLOOKUP(Calculator!E23,tbSkills!DH3:DI6,2,FALSE)+IF(AND(Calculator!B8=TRUE,Backdoors!BI44=TRUE),VLOOKUP(Calculator!E23,tbSkills!DH3:DJ6,3,FALSE),0),0))/100)))),1),"")</f>
        <v>1</v>
      </c>
      <c r="KF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KC88)*KE88)*(VLOOKUP(A88,tbMoveset!A2:C112,3,FALSE)/100)*IF(VLOOKUP(A88,tbMoveset!A2:B112,2,FALSE)="Projectile",Backdoors!N10,Backdoors!N9),0),"")</f>
        <v/>
      </c>
      <c r="KG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REF!&gt;0,VLOOKUP(Calculator!#REF!,tbSkills!AC3:AD5,2,FALSE),Backdoors!AL3)*(IF((Backdoors!AI12+IF(KC88&gt;=0.45,VLOOKUP(Calculator!E23,tbSkills!DH3:DI6,2,FALSE)+IF(AND(Calculator!B8=TRUE,Backdoors!BI44=TRUE),VLOOKUP(Calculator!E23,tbSkills!DH3:DJ6,3,FALSE),0),0))&gt;=100,100,(Backdoors!AI12+IF(KC88&gt;=0.45,VLOOKUP(Calculator!E23,tbSkills!DH3:DI6,2,FALSE)+IF(AND(Calculator!B8=TRUE,Backdoors!BI44=TRUE),VLOOKUP(Calculator!E23,tbSkills!DH3:DJ6,3,FALSE),0),0)))/100)),1))*IF(VLOOKUP(A88,tbMoveset!A2:K112,11,FALSE)=TRUE,Backdoors!AC5,1))*KD88,0),"")</f>
        <v/>
      </c>
      <c r="KH88" s="49">
        <f>VLOOKUP(A88,tbMoveset!A2:G112,7,FALSE)*IFERROR(IF(Backdoors!AI12&gt;=0,1+(IF(Calculator!E40&gt;0,VLOOKUP(Calculator!E40,tbSkills!AI3:AJ5,2,FALSE),Backdoors!AL4)*(IF((Backdoors!AI12+IF(KC88&gt;=0.45,VLOOKUP(Calculator!E23,tbSkills!DH3:DI6,2,FALSE)+IF(AND(Calculator!B8=TRUE,Backdoors!BI44=TRUE),VLOOKUP(Calculator!E23,tbSkills!DH3:DJ6,3,FALSE),0),0))&gt;=100,100,(Backdoors!AI12+IF(KC88&gt;=0.45,VLOOKUP(Calculator!E23,tbSkills!DH3:DI6,2,FALSE)+IF(AND(Calculator!B8=TRUE,Backdoors!BI44=TRUE),VLOOKUP(Calculator!E23,tbSkills!DH3:DJ6,3,FALSE),0),0)))/100)),1),1)</f>
        <v>1</v>
      </c>
      <c r="KI88" s="87">
        <f t="shared" si="92"/>
        <v>0</v>
      </c>
      <c r="KJ88" s="86" t="str">
        <f>IFERROR(IF(VLOOKUP(A88,tbMoveset!A2:B112,2,FALSE)="Sever",Backdoors!AY45/100,IF(VLOOKUP(A88,tbMoveset!A2:B112,2,FALSE)="Blunt",Backdoors!AZ45/100,Backdoors!BA45/100)),"")</f>
        <v/>
      </c>
      <c r="KK88" s="49">
        <f>IFERROR(IF(VLOOKUP(tbMoveset!A88,tbMoveset!A2:H112,8,FALSE)="Other",IF(VLOOKUP(tbMoveset!A88,tbMoveset!A2:I112,9,FALSE)="Fire",Backdoors!BB45,IF(VLOOKUP(tbMoveset!A88,tbMoveset!A2:I112,9,FALSE)="Water",Backdoors!BC45,IF(VLOOKUP(tbMoveset!A88,tbMoveset!A2:I112,9,FALSE)="Thunder",Backdoors!BD45,IF(VLOOKUP(tbMoveset!A88,tbMoveset!A2:I112,9,FALSE)="Ice",Backdoors!BE45,IF(VLOOKUP(tbMoveset!A88,tbMoveset!A2:I112,9,FALSE)="Dragon",Backdoors!BF45,Backdoors!BG45)))))/100,Backdoors!BG45/100),"")</f>
        <v>0</v>
      </c>
      <c r="KL88" s="49">
        <f>IFERROR(IF(VLOOKUP(A88,tbMoveset!A2:J112,10,FALSE)=TRUE,IF((Backdoors!AI12+IF(KJ88&gt;=0.45,VLOOKUP(Calculator!E23,tbSkills!DH3:DI6,2,FALSE)+IF(AND(Calculator!B8=TRUE,Backdoors!BI45=TRUE),VLOOKUP(Calculator!E23,tbSkills!DH3:DJ6,3,FALSE),0),0))&gt;=0,1+(Backdoors!AL2*(IF((Backdoors!AI12+IF(KJ88&gt;=0.45,VLOOKUP(Calculator!E23,tbSkills!DH3:DI6,2,FALSE)+IF(AND(Calculator!B8=TRUE,Backdoors!BI45=TRUE),VLOOKUP(Calculator!E23,tbSkills!DH3:DJ6,3,FALSE),0),0))&gt;=100,100,(Backdoors!AI12+IF(KJ88&gt;=0.45,VLOOKUP(Calculator!E23,tbSkills!DH3:DI6,2,FALSE)+IF(AND(Calculator!B8=TRUE,Backdoors!BI45=TRUE),VLOOKUP(Calculator!E23,tbSkills!DH3:DJ6,3,FALSE),0),0)))/100)),(1-(0.25*((-Backdoors!AI12-IF(KJ88&gt;=0.45,VLOOKUP(Calculator!E23,tbSkills!DH3:DI6,2,FALSE)+IF(AND(Calculator!B8=TRUE,Backdoors!BI45=TRUE),VLOOKUP(Calculator!E23,tbSkills!DH3:DJ6,3,FALSE),0),0))/100)))),1),"")</f>
        <v>1</v>
      </c>
      <c r="KM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KJ88)*KL88)*(VLOOKUP(A88,tbMoveset!A2:C112,3,FALSE)/100)*IF(VLOOKUP(A88,tbMoveset!A2:B112,2,FALSE)="Projectile",Backdoors!N10,Backdoors!N9),0),"")</f>
        <v/>
      </c>
      <c r="KN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REF!&gt;0,VLOOKUP(Calculator!#REF!,tbSkills!AC3:AD5,2,FALSE),Backdoors!AL3)*(IF((Backdoors!AI12+IF(KJ88&gt;=0.45,VLOOKUP(Calculator!E23,tbSkills!DH3:DI6,2,FALSE)+IF(AND(Calculator!B8=TRUE,Backdoors!BI45=TRUE),VLOOKUP(Calculator!E23,tbSkills!DH3:DJ6,3,FALSE),0),0))&gt;=100,100,(Backdoors!AI12+IF(KJ88&gt;=0.45,VLOOKUP(Calculator!E23,tbSkills!DH3:DI6,2,FALSE)+IF(AND(Calculator!B8=TRUE,Backdoors!BI45=TRUE),VLOOKUP(Calculator!E23,tbSkills!DH3:DJ6,3,FALSE),0),0)))/100)),1))*IF(VLOOKUP(A88,tbMoveset!A2:K112,11,FALSE)=TRUE,Backdoors!AC5,1))*KK88,0),"")</f>
        <v/>
      </c>
      <c r="KO88" s="49">
        <f>VLOOKUP(A88,tbMoveset!A2:G112,7,FALSE)*IFERROR(IF(Backdoors!AI12&gt;=0,1+(IF(Calculator!E40&gt;0,VLOOKUP(Calculator!E40,tbSkills!AI3:AJ5,2,FALSE),Backdoors!AL4)*(IF((Backdoors!AI12+IF(KJ88&gt;=0.45,VLOOKUP(Calculator!E23,tbSkills!DH3:DI6,2,FALSE)+IF(AND(Calculator!B8=TRUE,Backdoors!BI45=TRUE),VLOOKUP(Calculator!E23,tbSkills!DH3:DJ6,3,FALSE),0),0))&gt;=100,100,(Backdoors!AI12+IF(KJ88&gt;=0.45,VLOOKUP(Calculator!E23,tbSkills!DH3:DI6,2,FALSE)+IF(AND(Calculator!B8=TRUE,Backdoors!BI45=TRUE),VLOOKUP(Calculator!E23,tbSkills!DH3:DJ6,3,FALSE),0),0)))/100)),1),1)</f>
        <v>1</v>
      </c>
      <c r="KP88" s="87">
        <f t="shared" si="93"/>
        <v>0</v>
      </c>
      <c r="KQ88" s="86" t="str">
        <f>IFERROR(IF(VLOOKUP(A88,tbMoveset!A2:B112,2,FALSE)="Sever",Backdoors!AY46/100,IF(VLOOKUP(A88,tbMoveset!A2:B112,2,FALSE)="Blunt",Backdoors!AZ46/100,Backdoors!BA46/100)),"")</f>
        <v/>
      </c>
      <c r="KR88" s="49">
        <f>IFERROR(IF(VLOOKUP(tbMoveset!A88,tbMoveset!A2:H112,8,FALSE)="Other",IF(VLOOKUP(tbMoveset!A88,tbMoveset!A2:I112,9,FALSE)="Fire",Backdoors!BB46,IF(VLOOKUP(tbMoveset!A88,tbMoveset!A2:I112,9,FALSE)="Water",Backdoors!BC46,IF(VLOOKUP(tbMoveset!A88,tbMoveset!A2:I112,9,FALSE)="Thunder",Backdoors!BD46,IF(VLOOKUP(tbMoveset!A88,tbMoveset!A2:I112,9,FALSE)="Ice",Backdoors!BE46,IF(VLOOKUP(tbMoveset!A88,tbMoveset!A2:I112,9,FALSE)="Dragon",Backdoors!BF46,Backdoors!BG46)))))/100,Backdoors!BG46/100),"")</f>
        <v>0</v>
      </c>
      <c r="KS88" s="49">
        <f>IFERROR(IF(VLOOKUP(A88,tbMoveset!A2:J112,10,FALSE)=TRUE,IF((Backdoors!AI12+IF(KQ88&gt;=0.45,VLOOKUP(Calculator!E23,tbSkills!DH3:DI6,2,FALSE)+IF(AND(Calculator!B8=TRUE,Backdoors!BI46=TRUE),VLOOKUP(Calculator!E23,tbSkills!DH3:DJ6,3,FALSE),0),0))&gt;=0,1+(Backdoors!AL2*(IF((Backdoors!AI12+IF(KQ88&gt;=0.45,VLOOKUP(Calculator!E23,tbSkills!DH3:DI6,2,FALSE)+IF(AND(Calculator!B8=TRUE,Backdoors!BI46=TRUE),VLOOKUP(Calculator!E23,tbSkills!DH3:DJ6,3,FALSE),0),0))&gt;=100,100,(Backdoors!AI12+IF(KQ88&gt;=0.45,VLOOKUP(Calculator!E23,tbSkills!DH3:DI6,2,FALSE)+IF(AND(Calculator!B8=TRUE,Backdoors!BI46=TRUE),VLOOKUP(Calculator!E23,tbSkills!DH3:DJ6,3,FALSE),0),0)))/100)),(1-(0.25*((-Backdoors!AI12-IF(KQ88&gt;=0.45,VLOOKUP(Calculator!E23,tbSkills!DH3:DI6,2,FALSE)+IF(AND(Calculator!B8=TRUE,Backdoors!BI46=TRUE),VLOOKUP(Calculator!E23,tbSkills!DH3:DJ6,3,FALSE),0),0))/100)))),1),"")</f>
        <v>1</v>
      </c>
      <c r="KT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KQ88)*KS88)*(VLOOKUP(A88,tbMoveset!A2:C112,3,FALSE)/100)*IF(VLOOKUP(A88,tbMoveset!A2:B112,2,FALSE)="Projectile",Backdoors!N10,Backdoors!N9),0),"")</f>
        <v/>
      </c>
      <c r="KU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REF!&gt;0,VLOOKUP(Calculator!#REF!,tbSkills!AC3:AD5,2,FALSE),Backdoors!AL3)*(IF((Backdoors!AI12+IF(KQ88&gt;=0.45,VLOOKUP(Calculator!E23,tbSkills!DH3:DI6,2,FALSE)+IF(AND(Calculator!B8=TRUE,Backdoors!BI46=TRUE),VLOOKUP(Calculator!E23,tbSkills!DH3:DJ6,3,FALSE),0),0))&gt;=100,100,(Backdoors!AI12+IF(KQ88&gt;=0.45,VLOOKUP(Calculator!E23,tbSkills!DH3:DI6,2,FALSE)+IF(AND(Calculator!B8=TRUE,Backdoors!BI46=TRUE),VLOOKUP(Calculator!E23,tbSkills!DH3:DJ6,3,FALSE),0),0)))/100)),1))*IF(VLOOKUP(A88,tbMoveset!A2:K112,11,FALSE)=TRUE,Backdoors!AC5,1))*KR88,0),"")</f>
        <v/>
      </c>
      <c r="KV88" s="49">
        <f>VLOOKUP(A88,tbMoveset!A2:G112,7,FALSE)*IFERROR(IF(Backdoors!AI12&gt;=0,1+(IF(Calculator!E40&gt;0,VLOOKUP(Calculator!E40,tbSkills!AI3:AJ5,2,FALSE),Backdoors!AL4)*(IF((Backdoors!AI12+IF(KQ88&gt;=0.45,VLOOKUP(Calculator!E23,tbSkills!DH3:DI6,2,FALSE)+IF(AND(Calculator!B8=TRUE,Backdoors!BI46=TRUE),VLOOKUP(Calculator!E23,tbSkills!DH3:DJ6,3,FALSE),0),0))&gt;=100,100,(Backdoors!AI12+IF(KQ88&gt;=0.45,VLOOKUP(Calculator!E23,tbSkills!DH3:DI6,2,FALSE)+IF(AND(Calculator!B8=TRUE,Backdoors!BI46=TRUE),VLOOKUP(Calculator!E23,tbSkills!DH3:DJ6,3,FALSE),0),0)))/100)),1),1)</f>
        <v>1</v>
      </c>
      <c r="KW88" s="87">
        <f t="shared" si="94"/>
        <v>0</v>
      </c>
    </row>
    <row r="89" spans="1:309" x14ac:dyDescent="0.25">
      <c r="A89" s="95" t="str">
        <f>tbMoveset!A89</f>
        <v>Spinning Blade Dance Finisher (L1)</v>
      </c>
      <c r="B89" s="86">
        <f>IFERROR(IF(VLOOKUP(A89,tbMoveset!A2:B112,2,FALSE)="Sever",Backdoors!AY3/100,IF(VLOOKUP(A89,tbMoveset!A2:B112,2,FALSE)="Blunt",Backdoors!AZ3/100,Backdoors!BA3/100)),"")</f>
        <v>0.8</v>
      </c>
      <c r="C89" s="49">
        <f>IFERROR(IF(VLOOKUP(tbMoveset!A89,tbMoveset!A2:H112,8,FALSE)="Other",IF(VLOOKUP(tbMoveset!A89,tbMoveset!A2:I112,9,FALSE)="Fire",Backdoors!BB3,IF(VLOOKUP(tbMoveset!A89,tbMoveset!A2:I112,9,FALSE)="Water",Backdoors!BC3,IF(VLOOKUP(tbMoveset!A89,tbMoveset!A2:I112,9,FALSE)="Thunder",Backdoors!BD3,IF(VLOOKUP(tbMoveset!A89,tbMoveset!A2:I112,9,FALSE)="Ice",Backdoors!BE3,IF(VLOOKUP(tbMoveset!A89,tbMoveset!A2:I112,9,FALSE)="Dragon",Backdoors!BF3,Backdoors!BG3)))))/100,Backdoors!BG3/100),"")</f>
        <v>0</v>
      </c>
      <c r="D89" s="49">
        <f>IFERROR(IF(VLOOKUP(A89,tbMoveset!A2:J112,10,FALSE)=TRUE,IF((Backdoors!AI12+IF(B89&gt;=0.45,VLOOKUP(Calculator!E23,tbSkills!DH3:DI6,2,FALSE)+IF(AND(Calculator!B8=TRUE,Backdoors!BI3=TRUE),VLOOKUP(Calculator!E23,tbSkills!DH3:DJ6,3,FALSE),0),0))&gt;=0,1+(Backdoors!AL2*(IF((Backdoors!AI12+IF(B89&gt;=0.45,VLOOKUP(Calculator!E23,tbSkills!DH3:DI6,2,FALSE)+IF(AND(Calculator!B8=TRUE,Backdoors!BI3=TRUE),VLOOKUP(Calculator!E23,tbSkills!DH3:DJ6,3,FALSE),0),0))&gt;=100,100,(Backdoors!AI12+IF(B89&gt;=0.45,VLOOKUP(Calculator!E23,tbSkills!DH3:DI6,2,FALSE)+IF(AND(Calculator!B8=TRUE,Backdoors!BI3=TRUE),VLOOKUP(Calculator!E23,tbSkills!DH3:DJ6,3,FALSE),0),0)))/100)),(1-(0.25*((-Backdoors!AI12-IF(B89&gt;=0.45,VLOOKUP(Calculator!E23,tbSkills!DH3:DI6,2,FALSE)+IF(AND(Calculator!B8=TRUE,Backdoors!BI3=TRUE),VLOOKUP(Calculator!E23,tbSkills!DH3:DJ6,3,FALSE),0),0))/100)))),1),"")</f>
        <v>1</v>
      </c>
      <c r="E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89)*D89)*(VLOOKUP(A89,tbMoveset!A2:C112,3,FALSE)/100)*IF(VLOOKUP(A89,tbMoveset!A2:B112,2,FALSE)="Projectile",Backdoors!N10,Backdoors!N9),0),"")</f>
        <v>13</v>
      </c>
      <c r="F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89&gt;=0.45,VLOOKUP(Calculator!E23,tbSkills!DH3:DI6,2,FALSE)+IF(AND(Calculator!B8=TRUE,Backdoors!BI3=TRUE),VLOOKUP(Calculator!E23,tbSkills!DH3:DJ6,3,FALSE),0),0))&gt;=100,100,(Backdoors!AI12+IF(B89&gt;=0.45,VLOOKUP(Calculator!E23,tbSkills!DH3:DI6,2,FALSE)+IF(AND(Calculator!B8=TRUE,Backdoors!BI3=TRUE),VLOOKUP(Calculator!E23,tbSkills!DH3:DJ6,3,FALSE),0),0)))/100)),1))*IF(VLOOKUP(A89,tbMoveset!A2:K112,11,FALSE)=TRUE,Backdoors!AC5,1))*C89,0),"")</f>
        <v>0</v>
      </c>
      <c r="G89">
        <f>VLOOKUP(A89,tbMoveset!A2:G112,7,FALSE)*IFERROR(IF(Backdoors!AI12&gt;=0,1+(IF(Calculator!E40&gt;0,VLOOKUP(Calculator!E40,tbSkills!AI3:AJ5,2,FALSE),Backdoors!AL4)*(IF((Backdoors!AI12+IF(B89&gt;=0.45,VLOOKUP(Calculator!E23,tbSkills!DH3:DI6,2,FALSE)+IF(AND(Calculator!B8=TRUE,Backdoors!BI3=TRUE),VLOOKUP(Calculator!E23,tbSkills!DH3:DJ6,3,FALSE),0),0))&gt;=100,100,(Backdoors!AI12+IF(B89&gt;=0.45,VLOOKUP(Calculator!E23,tbSkills!DH3:DI6,2,FALSE)+IF(AND(Calculator!B8=TRUE,Backdoors!BI3=TRUE),VLOOKUP(Calculator!E23,tbSkills!DH3:DJ6,3,FALSE),0),0)))/100)),1),1)</f>
        <v>0.7</v>
      </c>
      <c r="H89" s="87">
        <f t="shared" si="51"/>
        <v>13</v>
      </c>
      <c r="I89" s="86">
        <f>IFERROR(IF(VLOOKUP(A89,tbMoveset!A2:B112,2,FALSE)="Sever",Backdoors!AY4/100,IF(VLOOKUP(A89,tbMoveset!A2:B112,2,FALSE)="Blunt",Backdoors!AZ4/100,Backdoors!BA4/100)),"")</f>
        <v>0.65</v>
      </c>
      <c r="J89" s="49">
        <f>IFERROR(IF(VLOOKUP(tbMoveset!A89,tbMoveset!A2:H112,8,FALSE)="Other",IF(VLOOKUP(tbMoveset!A89,tbMoveset!A2:I112,9,FALSE)="Fire",Backdoors!BB4,IF(VLOOKUP(tbMoveset!A89,tbMoveset!A2:I112,9,FALSE)="Water",Backdoors!BC4,IF(VLOOKUP(tbMoveset!A89,tbMoveset!A2:I112,9,FALSE)="Thunder",Backdoors!BD4,IF(VLOOKUP(tbMoveset!A89,tbMoveset!A2:I112,9,FALSE)="Ice",Backdoors!BE4,IF(VLOOKUP(tbMoveset!A89,tbMoveset!A2:I112,9,FALSE)="Dragon",Backdoors!BF4,Backdoors!BG4)))))/100,Backdoors!BG4/100),"")</f>
        <v>0</v>
      </c>
      <c r="K89" s="49">
        <f>IFERROR(IF(VLOOKUP(A89,tbMoveset!A2:J112,10,FALSE)=TRUE,IF((Backdoors!AI12+IF(I89&gt;=0.45,VLOOKUP(Calculator!E23,tbSkills!DH3:DI6,2,FALSE)+IF(AND(Calculator!B8=TRUE,Backdoors!BI4=TRUE),VLOOKUP(Calculator!E23,tbSkills!DH3:DJ6,3,FALSE),0),0))&gt;=0,1+(Backdoors!AL2*(IF((Backdoors!AI12+IF(I89&gt;=0.45,VLOOKUP(Calculator!E23,tbSkills!DH3:DI6,2,FALSE)+IF(AND(Calculator!B8=TRUE,Backdoors!BI4=TRUE),VLOOKUP(Calculator!E23,tbSkills!DH3:DJ6,3,FALSE),0),0))&gt;=100,100,(Backdoors!AI12+IF(I89&gt;=0.45,VLOOKUP(Calculator!E23,tbSkills!DH3:DI6,2,FALSE)+IF(AND(Calculator!B8=TRUE,Backdoors!BI4=TRUE),VLOOKUP(Calculator!E23,tbSkills!DH3:DJ6,3,FALSE),0),0)))/100)),(1-(0.25*((-Backdoors!AI12-IF(I89&gt;=0.45,VLOOKUP(Calculator!E23,tbSkills!DH3:DI6,2,FALSE)+IF(AND(Calculator!B8=TRUE,Backdoors!BI4=TRUE),VLOOKUP(Calculator!E23,tbSkills!DH3:DJ6,3,FALSE),0),0))/100)))),1),"")</f>
        <v>1</v>
      </c>
      <c r="L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89)*K89)*(VLOOKUP(A89,tbMoveset!A2:C112,3,FALSE)/100)*IF(VLOOKUP(A89,tbMoveset!A2:B112,2,FALSE)="Projectile",Backdoors!N10,Backdoors!N9),0),"")</f>
        <v>11</v>
      </c>
      <c r="M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I89&gt;=0.45,VLOOKUP(Calculator!E23,tbSkills!DH3:DI6,2,FALSE)+IF(AND(Calculator!B8=TRUE,Backdoors!BI4=TRUE),VLOOKUP(Calculator!E23,tbSkills!DH3:DJ6,3,FALSE),0),0))&gt;=100,100,(Backdoors!AI12+IF(I89&gt;=0.45,VLOOKUP(Calculator!E23,tbSkills!DH3:DI6,2,FALSE)+IF(AND(Calculator!B8=TRUE,Backdoors!BI4=TRUE),VLOOKUP(Calculator!E23,tbSkills!DH3:DJ6,3,FALSE),0),0)))/100)),1))*IF(VLOOKUP(A89,tbMoveset!A2:K112,11,FALSE)=TRUE,Backdoors!AC5,1))*J89,0),"")</f>
        <v>0</v>
      </c>
      <c r="N89" s="49">
        <f>VLOOKUP(A89,tbMoveset!A2:G112,7,FALSE)*IFERROR(IF(Backdoors!AI12&gt;=0,1+(IF(Calculator!E40&gt;0,VLOOKUP(Calculator!E40,tbSkills!AI3:AJ5,2,FALSE),Backdoors!AL4)*(IF((Backdoors!AI12+IF(I89&gt;=0.45,VLOOKUP(Calculator!E23,tbSkills!DH3:DI6,2,FALSE)+IF(AND(Calculator!B8=TRUE,Backdoors!BI4=TRUE),VLOOKUP(Calculator!E23,tbSkills!DH3:DJ6,3,FALSE),0),0))&gt;=100,100,(Backdoors!AI12+IF(I89&gt;=0.45,VLOOKUP(Calculator!E23,tbSkills!DH3:DI6,2,FALSE)+IF(AND(Calculator!B8=TRUE,Backdoors!BI4=TRUE),VLOOKUP(Calculator!E23,tbSkills!DH3:DJ6,3,FALSE),0),0)))/100)),1),1)</f>
        <v>0.7</v>
      </c>
      <c r="O89" s="87">
        <f t="shared" si="52"/>
        <v>11</v>
      </c>
      <c r="P89" s="86">
        <f>IFERROR(IF(VLOOKUP(A89,tbMoveset!A2:B112,2,FALSE)="Sever",Backdoors!AY5/100,IF(VLOOKUP(A89,tbMoveset!A2:B112,2,FALSE)="Blunt",Backdoors!AZ5/100,Backdoors!BA5/100)),"")</f>
        <v>0.5</v>
      </c>
      <c r="Q89" s="49">
        <f>IFERROR(IF(VLOOKUP(tbMoveset!A89,tbMoveset!A2:H112,8,FALSE)="Other",IF(VLOOKUP(tbMoveset!A89,tbMoveset!A2:I112,9,FALSE)="Fire",Backdoors!BB5,IF(VLOOKUP(tbMoveset!A89,tbMoveset!A2:I112,9,FALSE)="Water",Backdoors!BC5,IF(VLOOKUP(tbMoveset!A89,tbMoveset!A2:I112,9,FALSE)="Thunder",Backdoors!BD5,IF(VLOOKUP(tbMoveset!A89,tbMoveset!A2:I112,9,FALSE)="Ice",Backdoors!BE5,IF(VLOOKUP(tbMoveset!A89,tbMoveset!A2:I112,9,FALSE)="Dragon",Backdoors!BF5,Backdoors!BG5)))))/100,Backdoors!BG5/100),"")</f>
        <v>0</v>
      </c>
      <c r="R89" s="49">
        <f>IFERROR(IF(VLOOKUP(A89,tbMoveset!A2:J112,10,FALSE)=TRUE,IF((Backdoors!AI12+IF(P89&gt;=0.45,VLOOKUP(Calculator!E23,tbSkills!DH3:DI6,2,FALSE)+IF(AND(Calculator!B8=TRUE,Backdoors!BI5=TRUE),VLOOKUP(Calculator!E23,tbSkills!DH3:DJ6,3,FALSE),0),0))&gt;=0,1+(Backdoors!AL2*(IF((Backdoors!AI12+IF(P89&gt;=0.45,VLOOKUP(Calculator!E23,tbSkills!DH3:DI6,2,FALSE)+IF(AND(Calculator!B8=TRUE,Backdoors!BI5=TRUE),VLOOKUP(Calculator!E23,tbSkills!DH3:DJ6,3,FALSE),0),0))&gt;=100,100,(Backdoors!AI12+IF(P89&gt;=0.45,VLOOKUP(Calculator!E23,tbSkills!DH3:DI6,2,FALSE)+IF(AND(Calculator!B8=TRUE,Backdoors!BI5=TRUE),VLOOKUP(Calculator!E23,tbSkills!DH3:DJ6,3,FALSE),0),0)))/100)),(1-(0.25*((-Backdoors!AI12-IF(P89&gt;=0.45,VLOOKUP(Calculator!E23,tbSkills!DH3:DI6,2,FALSE)+IF(AND(Calculator!B8=TRUE,Backdoors!BI5=TRUE),VLOOKUP(Calculator!E23,tbSkills!DH3:DJ6,3,FALSE),0),0))/100)))),1),"")</f>
        <v>1</v>
      </c>
      <c r="S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P89)*R89)*(VLOOKUP(A89,tbMoveset!A2:C112,3,FALSE)/100)*IF(VLOOKUP(A89,tbMoveset!A2:B112,2,FALSE)="Projectile",Backdoors!N10,Backdoors!N9),0),"")</f>
        <v>8</v>
      </c>
      <c r="T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P89&gt;=0.45,VLOOKUP(Calculator!E23,tbSkills!DH3:DI6,2,FALSE)+IF(AND(Calculator!B8=TRUE,Backdoors!BI5=TRUE),VLOOKUP(Calculator!E23,tbSkills!DH3:DJ6,3,FALSE),0),0))&gt;=100,100,(Backdoors!AI12+IF(P89&gt;=0.45,VLOOKUP(Calculator!E23,tbSkills!DH3:DI6,2,FALSE)+IF(AND(Calculator!B8=TRUE,Backdoors!BI5=TRUE),VLOOKUP(Calculator!E23,tbSkills!DH3:DJ6,3,FALSE),0),0)))/100)),1))*IF(VLOOKUP(A89,tbMoveset!A2:K112,11,FALSE)=TRUE,Backdoors!AC5,1))*Q89,0),"")</f>
        <v>0</v>
      </c>
      <c r="U89" s="49">
        <f>VLOOKUP(A89,tbMoveset!A2:G112,7,FALSE)*IFERROR(IF(Backdoors!AI12&gt;=0,1+(IF(Calculator!E40&gt;0,VLOOKUP(Calculator!E40,tbSkills!AI3:AJ5,2,FALSE),Backdoors!AL4)*(IF((Backdoors!AI12+IF(P89&gt;=0.45,VLOOKUP(Calculator!E23,tbSkills!DH3:DI6,2,FALSE)+IF(AND(Calculator!B8=TRUE,Backdoors!BI5=TRUE),VLOOKUP(Calculator!E23,tbSkills!DH3:DJ6,3,FALSE),0),0))&gt;=100,100,(Backdoors!AI12+IF(P89&gt;=0.45,VLOOKUP(Calculator!E23,tbSkills!DH3:DI6,2,FALSE)+IF(AND(Calculator!B8=TRUE,Backdoors!BI5=TRUE),VLOOKUP(Calculator!E23,tbSkills!DH3:DJ6,3,FALSE),0),0)))/100)),1),1)</f>
        <v>0.7</v>
      </c>
      <c r="V89" s="87">
        <f t="shared" si="53"/>
        <v>8</v>
      </c>
      <c r="W89" s="86">
        <f>IFERROR(IF(VLOOKUP(A89,tbMoveset!A2:B112,2,FALSE)="Sever",Backdoors!AY6/100,IF(VLOOKUP(A89,tbMoveset!A2:B112,2,FALSE)="Blunt",Backdoors!AZ6/100,Backdoors!BA6/100)),"")</f>
        <v>0.45</v>
      </c>
      <c r="X89" s="49">
        <f>IFERROR(IF(VLOOKUP(tbMoveset!A89,tbMoveset!A2:H112,8,FALSE)="Other",IF(VLOOKUP(tbMoveset!A89,tbMoveset!A2:I112,9,FALSE)="Fire",Backdoors!BB6,IF(VLOOKUP(tbMoveset!A89,tbMoveset!A2:I112,9,FALSE)="Water",Backdoors!BC6,IF(VLOOKUP(tbMoveset!A89,tbMoveset!A2:I112,9,FALSE)="Thunder",Backdoors!BD6,IF(VLOOKUP(tbMoveset!A89,tbMoveset!A2:I112,9,FALSE)="Ice",Backdoors!BE6,IF(VLOOKUP(tbMoveset!A89,tbMoveset!A2:I112,9,FALSE)="Dragon",Backdoors!BF6,Backdoors!BG6)))))/100,Backdoors!BG6/100),"")</f>
        <v>0</v>
      </c>
      <c r="Y89" s="49">
        <f>IFERROR(IF(VLOOKUP(A89,tbMoveset!A2:J112,10,FALSE)=TRUE,IF((Backdoors!AI12+IF(W89&gt;=0.45,VLOOKUP(Calculator!E23,tbSkills!DH3:DI6,2,FALSE)+IF(AND(Calculator!B8=TRUE,Backdoors!BI6=TRUE),VLOOKUP(Calculator!E23,tbSkills!DH3:DJ6,3,FALSE),0),0))&gt;=0,1+(Backdoors!AL2*(IF((Backdoors!AI12+IF(W89&gt;=0.45,VLOOKUP(Calculator!E23,tbSkills!DH3:DI6,2,FALSE)+IF(AND(Calculator!B8=TRUE,Backdoors!BI6=TRUE),VLOOKUP(Calculator!E23,tbSkills!DH3:DJ6,3,FALSE),0),0))&gt;=100,100,(Backdoors!AI12+IF(W89&gt;=0.45,VLOOKUP(Calculator!E23,tbSkills!DH3:DI6,2,FALSE)+IF(AND(Calculator!B8=TRUE,Backdoors!BI6=TRUE),VLOOKUP(Calculator!E23,tbSkills!DH3:DJ6,3,FALSE),0),0)))/100)),(1-(0.25*((-Backdoors!AI12-IF(W89&gt;=0.45,VLOOKUP(Calculator!E23,tbSkills!DH3:DI6,2,FALSE)+IF(AND(Calculator!B8=TRUE,Backdoors!BI6=TRUE),VLOOKUP(Calculator!E23,tbSkills!DH3:DJ6,3,FALSE),0),0))/100)))),1),"")</f>
        <v>1</v>
      </c>
      <c r="Z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W89)*Y89)*(VLOOKUP(A89,tbMoveset!A2:C112,3,FALSE)/100)*IF(VLOOKUP(A89,tbMoveset!A2:B112,2,FALSE)="Projectile",Backdoors!N10,Backdoors!N9),0),"")</f>
        <v>8</v>
      </c>
      <c r="AA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W89&gt;=0.45,VLOOKUP(Calculator!E23,tbSkills!DH3:DI6,2,FALSE)+IF(AND(Calculator!B8=TRUE,Backdoors!BI6=TRUE),VLOOKUP(Calculator!E23,tbSkills!DH3:DJ6,3,FALSE),0),0))&gt;=100,100,(Backdoors!AI12+IF(W89&gt;=0.45,VLOOKUP(Calculator!E23,tbSkills!DH3:DI6,2,FALSE)+IF(AND(Calculator!B8=TRUE,Backdoors!BI6=TRUE),VLOOKUP(Calculator!E23,tbSkills!DH3:DJ6,3,FALSE),0),0)))/100)),1))*IF(VLOOKUP(A89,tbMoveset!A2:K112,11,FALSE)=TRUE,Backdoors!AC5,1))*X89,0),"")</f>
        <v>0</v>
      </c>
      <c r="AB89" s="49">
        <f>VLOOKUP(A89,tbMoveset!A2:G112,7,FALSE)*IFERROR(IF(Backdoors!AI12&gt;=0,1+(IF(Calculator!E40&gt;0,VLOOKUP(Calculator!E40,tbSkills!AI3:AJ5,2,FALSE),Backdoors!AL4)*(IF((Backdoors!AI12+IF(W89&gt;=0.45,VLOOKUP(Calculator!E23,tbSkills!DH3:DI6,2,FALSE)+IF(AND(Calculator!B8=TRUE,Backdoors!BI6=TRUE),VLOOKUP(Calculator!E23,tbSkills!DH3:DJ6,3,FALSE),0),0))&gt;=100,100,(Backdoors!AI12+IF(W89&gt;=0.45,VLOOKUP(Calculator!E23,tbSkills!DH3:DI6,2,FALSE)+IF(AND(Calculator!B8=TRUE,Backdoors!BI6=TRUE),VLOOKUP(Calculator!E23,tbSkills!DH3:DJ6,3,FALSE),0),0)))/100)),1),1)</f>
        <v>0.7</v>
      </c>
      <c r="AC89" s="87">
        <f t="shared" si="54"/>
        <v>8</v>
      </c>
      <c r="AD89" s="86">
        <f>IFERROR(IF(VLOOKUP(A89,tbMoveset!A2:B112,2,FALSE)="Sever",Backdoors!AY7/100,IF(VLOOKUP(A89,tbMoveset!A2:B112,2,FALSE)="Blunt",Backdoors!AZ7/100,Backdoors!BA7/100)),"")</f>
        <v>0.65</v>
      </c>
      <c r="AE89" s="49">
        <f>IFERROR(IF(VLOOKUP(tbMoveset!A89,tbMoveset!A2:H112,8,FALSE)="Other",IF(VLOOKUP(tbMoveset!A89,tbMoveset!A2:I112,9,FALSE)="Fire",Backdoors!BB7,IF(VLOOKUP(tbMoveset!A89,tbMoveset!A2:I112,9,FALSE)="Water",Backdoors!BC7,IF(VLOOKUP(tbMoveset!A89,tbMoveset!A2:I112,9,FALSE)="Thunder",Backdoors!BD7,IF(VLOOKUP(tbMoveset!A89,tbMoveset!A2:I112,9,FALSE)="Ice",Backdoors!BE7,IF(VLOOKUP(tbMoveset!A89,tbMoveset!A2:I112,9,FALSE)="Dragon",Backdoors!BF7,Backdoors!BG7)))))/100,Backdoors!BG7/100),"")</f>
        <v>0</v>
      </c>
      <c r="AF89" s="49">
        <f>IFERROR(IF(VLOOKUP(A89,tbMoveset!A2:J112,10,FALSE)=TRUE,IF((Backdoors!AI12+IF(AD89&gt;=0.45,VLOOKUP(Calculator!E23,tbSkills!DH3:DI6,2,FALSE)+IF(AND(Calculator!B8=TRUE,Backdoors!BI7=TRUE),VLOOKUP(Calculator!E23,tbSkills!DH3:DJ6,3,FALSE),0),0))&gt;=0,1+(Backdoors!AL2*(IF((Backdoors!AI12+IF(AD89&gt;=0.45,VLOOKUP(Calculator!E23,tbSkills!DH3:DI6,2,FALSE)+IF(AND(Calculator!B8=TRUE,Backdoors!BI7=TRUE),VLOOKUP(Calculator!E23,tbSkills!DH3:DJ6,3,FALSE),0),0))&gt;=100,100,(Backdoors!AI12+IF(AD89&gt;=0.45,VLOOKUP(Calculator!E23,tbSkills!DH3:DI6,2,FALSE)+IF(AND(Calculator!B8=TRUE,Backdoors!BI7=TRUE),VLOOKUP(Calculator!E23,tbSkills!DH3:DJ6,3,FALSE),0),0)))/100)),(1-(0.25*((-Backdoors!AI12-IF(AD89&gt;=0.45,VLOOKUP(Calculator!E23,tbSkills!DH3:DI6,2,FALSE)+IF(AND(Calculator!B8=TRUE,Backdoors!BI7=TRUE),VLOOKUP(Calculator!E23,tbSkills!DH3:DJ6,3,FALSE),0),0))/100)))),1),"")</f>
        <v>1</v>
      </c>
      <c r="AG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D89)*AF89)*(VLOOKUP(A89,tbMoveset!A2:C112,3,FALSE)/100)*IF(VLOOKUP(A89,tbMoveset!A2:B112,2,FALSE)="Projectile",Backdoors!N10,Backdoors!N9),0),"")</f>
        <v>11</v>
      </c>
      <c r="AH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D89&gt;=0.45,VLOOKUP(Calculator!E23,tbSkills!DH3:DI6,2,FALSE)+IF(AND(Calculator!B8=TRUE,Backdoors!BI7=TRUE),VLOOKUP(Calculator!E23,tbSkills!DH3:DJ6,3,FALSE),0),0))&gt;=100,100,(Backdoors!AI12+IF(AD89&gt;=0.45,VLOOKUP(Calculator!E23,tbSkills!DH3:DI6,2,FALSE)+IF(AND(Calculator!B8=TRUE,Backdoors!BI7=TRUE),VLOOKUP(Calculator!E23,tbSkills!DH3:DJ6,3,FALSE),0),0)))/100)),1))*IF(VLOOKUP(A89,tbMoveset!A2:K112,11,FALSE)=TRUE,Backdoors!AC5,1))*AE89,0),"")</f>
        <v>0</v>
      </c>
      <c r="AI89" s="49">
        <f>VLOOKUP(A89,tbMoveset!A2:G112,7,FALSE)*IFERROR(IF(Backdoors!AI12&gt;=0,1+(IF(Calculator!E40&gt;0,VLOOKUP(Calculator!E40,tbSkills!AI3:AJ5,2,FALSE),Backdoors!AL4)*(IF((Backdoors!AI12+IF(AD89&gt;=0.45,VLOOKUP(Calculator!E23,tbSkills!DH3:DI6,2,FALSE)+IF(AND(Calculator!B8=TRUE,Backdoors!BI7=TRUE),VLOOKUP(Calculator!E23,tbSkills!DH3:DJ6,3,FALSE),0),0))&gt;=100,100,(Backdoors!AI12+IF(AD89&gt;=0.45,VLOOKUP(Calculator!E23,tbSkills!DH3:DI6,2,FALSE)+IF(AND(Calculator!B8=TRUE,Backdoors!BI7=TRUE),VLOOKUP(Calculator!E23,tbSkills!DH3:DJ6,3,FALSE),0),0)))/100)),1),1)</f>
        <v>0.7</v>
      </c>
      <c r="AJ89" s="87">
        <f t="shared" si="55"/>
        <v>11</v>
      </c>
      <c r="AK89" s="91">
        <f>IFERROR(IF(VLOOKUP(A89,tbMoveset!A2:B112,2,FALSE)="Sever",Backdoors!AY8/100,IF(VLOOKUP(A89,tbMoveset!A2:B112,2,FALSE)="Blunt",Backdoors!AZ8/100,Backdoors!BA8/100)),"")</f>
        <v>0.45</v>
      </c>
      <c r="AL89" s="49">
        <f>IFERROR(IF(VLOOKUP(tbMoveset!A89,tbMoveset!A2:H112,8,FALSE)="Other",IF(VLOOKUP(tbMoveset!A89,tbMoveset!A2:I112,9,FALSE)="Fire",Backdoors!BB8,IF(VLOOKUP(tbMoveset!A89,tbMoveset!A2:I112,9,FALSE)="Water",Backdoors!BC8,IF(VLOOKUP(tbMoveset!A89,tbMoveset!A2:I112,9,FALSE)="Thunder",Backdoors!BD8,IF(VLOOKUP(tbMoveset!A89,tbMoveset!A2:I112,9,FALSE)="Ice",Backdoors!BE8,IF(VLOOKUP(tbMoveset!A89,tbMoveset!A2:I112,9,FALSE)="Dragon",Backdoors!BF8,Backdoors!BG8)))))/100,Backdoors!BG8/100),"")</f>
        <v>0</v>
      </c>
      <c r="AM89" s="49">
        <f>IFERROR(IF(VLOOKUP(A89,tbMoveset!A2:J112,10,FALSE)=TRUE,IF((Backdoors!AI12+IF(AK89&gt;=0.45,VLOOKUP(Calculator!E23,tbSkills!DH3:DI6,2,FALSE)+IF(AND(Calculator!B8=TRUE,Backdoors!BI8=TRUE),VLOOKUP(Calculator!E23,tbSkills!DH3:DJ6,3,FALSE),0),0))&gt;=0,1+(Backdoors!AL2*(IF((Backdoors!AI12+IF(AK89&gt;=0.45,VLOOKUP(Calculator!E23,tbSkills!DH3:DI6,2,FALSE)+IF(AND(Calculator!B8=TRUE,Backdoors!BI8=TRUE),VLOOKUP(Calculator!E23,tbSkills!DH3:DJ6,3,FALSE),0),0))&gt;=100,100,(Backdoors!AI12+IF(AK89&gt;=0.45,VLOOKUP(Calculator!E23,tbSkills!DH3:DI6,2,FALSE)+IF(AND(Calculator!B8=TRUE,Backdoors!BI8=TRUE),VLOOKUP(Calculator!E23,tbSkills!DH3:DJ6,3,FALSE),0),0)))/100)),(1-(0.25*((-Backdoors!AI12-IF(AK89&gt;=0.45,VLOOKUP(Calculator!E23,tbSkills!DH3:DI6,2,FALSE)+IF(AND(Calculator!B8=TRUE,Backdoors!BI8=TRUE),VLOOKUP(Calculator!E23,tbSkills!DH3:DJ6,3,FALSE),0),0))/100)))),1),"")</f>
        <v>1</v>
      </c>
      <c r="AN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K89)*AM89)*(VLOOKUP(A89,tbMoveset!A2:C112,3,FALSE)/100)*IF(VLOOKUP(A89,tbMoveset!A2:B112,2,FALSE)="Projectile",Backdoors!N10,Backdoors!N9),0),"")</f>
        <v>8</v>
      </c>
      <c r="AO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K89&gt;=0.45,VLOOKUP(Calculator!E23,tbSkills!DH3:DI6,2,FALSE)+IF(AND(Calculator!B8=TRUE,Backdoors!BI8=TRUE),VLOOKUP(Calculator!E23,tbSkills!DH3:DJ6,3,FALSE),0),0))&gt;=100,100,(Backdoors!AI12+IF(AK89&gt;=0.45,VLOOKUP(Calculator!E23,tbSkills!DH3:DI6,2,FALSE)+IF(AND(Calculator!B8=TRUE,Backdoors!BI8=TRUE),VLOOKUP(Calculator!E23,tbSkills!DH3:DJ6,3,FALSE),0),0)))/100)),1))*IF(VLOOKUP(A89,tbMoveset!A2:K112,11,FALSE)=TRUE,Backdoors!AC5,1))*AL89,0),"")</f>
        <v>0</v>
      </c>
      <c r="AP89" s="49">
        <f>VLOOKUP(A89,tbMoveset!A2:G112,7,FALSE)*IFERROR(IF(Backdoors!AI12&gt;=0,1+(IF(Calculator!E40&gt;0,VLOOKUP(Calculator!E40,tbSkills!AI3:AJ5,2,FALSE),Backdoors!AL4)*(IF((Backdoors!AI12+IF(AK89&gt;=0.45,VLOOKUP(Calculator!E23,tbSkills!DH3:DI6,2,FALSE)+IF(AND(Calculator!B8=TRUE,Backdoors!BI8=TRUE),VLOOKUP(Calculator!E23,tbSkills!DH3:DJ6,3,FALSE),0),0))&gt;=100,100,(Backdoors!AI12+IF(AK89&gt;=0.45,VLOOKUP(Calculator!E23,tbSkills!DH3:DI6,2,FALSE)+IF(AND(Calculator!B8=TRUE,Backdoors!BI8=TRUE),VLOOKUP(Calculator!E23,tbSkills!DH3:DJ6,3,FALSE),0),0)))/100)),1),1)</f>
        <v>0.7</v>
      </c>
      <c r="AQ89" s="87">
        <f t="shared" si="56"/>
        <v>8</v>
      </c>
      <c r="AR89" s="86">
        <f>IFERROR(IF(VLOOKUP(A89,tbMoveset!A2:B112,2,FALSE)="Sever",Backdoors!AY9/100,IF(VLOOKUP(A89,tbMoveset!A2:B112,2,FALSE)="Blunt",Backdoors!AZ9/100,Backdoors!BA9/100)),"")</f>
        <v>0.45</v>
      </c>
      <c r="AS89" s="49">
        <f>IFERROR(IF(VLOOKUP(tbMoveset!A89,tbMoveset!A2:H112,8,FALSE)="Other",IF(VLOOKUP(tbMoveset!A89,tbMoveset!A2:I112,9,FALSE)="Fire",Backdoors!BB9,IF(VLOOKUP(tbMoveset!A89,tbMoveset!A2:I112,9,FALSE)="Water",Backdoors!BC9,IF(VLOOKUP(tbMoveset!A89,tbMoveset!A2:I112,9,FALSE)="Thunder",Backdoors!BD9,IF(VLOOKUP(tbMoveset!A89,tbMoveset!A2:I112,9,FALSE)="Ice",Backdoors!BE9,IF(VLOOKUP(tbMoveset!A89,tbMoveset!A2:I112,9,FALSE)="Dragon",Backdoors!BF9,Backdoors!BG9)))))/100,Backdoors!BG9/100),"")</f>
        <v>0</v>
      </c>
      <c r="AT89" s="49">
        <f>IFERROR(IF(VLOOKUP(A89,tbMoveset!A2:J112,10,FALSE)=TRUE,IF((Backdoors!AI12+IF(AR89&gt;=0.45,VLOOKUP(Calculator!E23,tbSkills!DH3:DI6,2,FALSE)+IF(AND(Calculator!B8=TRUE,Backdoors!BI9=TRUE),VLOOKUP(Calculator!E23,tbSkills!DH3:DJ6,3,FALSE),0),0))&gt;=0,1+(Backdoors!AL2*(IF((Backdoors!AI12+IF(AR89&gt;=0.45,VLOOKUP(Calculator!E23,tbSkills!DH3:DI6,2,FALSE)+IF(AND(Calculator!B8=TRUE,Backdoors!BI9=TRUE),VLOOKUP(Calculator!E23,tbSkills!DH3:DJ6,3,FALSE),0),0))&gt;=100,100,(Backdoors!AI12+IF(AR89&gt;=0.45,VLOOKUP(Calculator!E23,tbSkills!DH3:DI6,2,FALSE)+IF(AND(Calculator!B8=TRUE,Backdoors!BI9=TRUE),VLOOKUP(Calculator!E23,tbSkills!DH3:DJ6,3,FALSE),0),0)))/100)),(1-(0.25*((-Backdoors!AI12-IF(AR89&gt;=0.45,VLOOKUP(Calculator!E23,tbSkills!DH3:DI6,2,FALSE)+IF(AND(Calculator!B8=TRUE,Backdoors!BI9=TRUE),VLOOKUP(Calculator!E23,tbSkills!DH3:DJ6,3,FALSE),0),0))/100)))),1),"")</f>
        <v>1</v>
      </c>
      <c r="AU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R89)*AT89)*(VLOOKUP(A89,tbMoveset!A2:C112,3,FALSE)/100)*IF(VLOOKUP(A89,tbMoveset!A2:B112,2,FALSE)="Projectile",Backdoors!N10,Backdoors!N9),0),"")</f>
        <v>8</v>
      </c>
      <c r="AV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R89&gt;=0.45,VLOOKUP(Calculator!E23,tbSkills!DH3:DI6,2,FALSE)+IF(AND(Calculator!B8=TRUE,Backdoors!BI9=TRUE),VLOOKUP(Calculator!E23,tbSkills!DH3:DJ6,3,FALSE),0),0))&gt;=100,100,(Backdoors!AI12+IF(AR89&gt;=0.45,VLOOKUP(Calculator!E23,tbSkills!DH3:DI6,2,FALSE)+IF(AND(Calculator!B8=TRUE,Backdoors!BI9=TRUE),VLOOKUP(Calculator!E23,tbSkills!DH3:DJ6,3,FALSE),0),0)))/100)),1))*IF(VLOOKUP(A89,tbMoveset!A2:K112,11,FALSE)=TRUE,Backdoors!AC5,1))*AS89,0),"")</f>
        <v>0</v>
      </c>
      <c r="AW89" s="49">
        <f>VLOOKUP(A89,tbMoveset!A2:G112,7,FALSE)*IFERROR(IF(Backdoors!AI12&gt;=0,1+(IF(Calculator!E40&gt;0,VLOOKUP(Calculator!E40,tbSkills!AI3:AJ5,2,FALSE),Backdoors!AL4)*(IF((Backdoors!AI12+IF(AR89&gt;=0.45,VLOOKUP(Calculator!E23,tbSkills!DH3:DI6,2,FALSE)+IF(AND(Calculator!B8=TRUE,Backdoors!BI9=TRUE),VLOOKUP(Calculator!E23,tbSkills!DH3:DJ6,3,FALSE),0),0))&gt;=100,100,(Backdoors!AI12+IF(AR89&gt;=0.45,VLOOKUP(Calculator!E23,tbSkills!DH3:DI6,2,FALSE)+IF(AND(Calculator!B8=TRUE,Backdoors!BI9=TRUE),VLOOKUP(Calculator!E23,tbSkills!DH3:DJ6,3,FALSE),0),0)))/100)),1),1)</f>
        <v>0.7</v>
      </c>
      <c r="AX89" s="87">
        <f t="shared" si="57"/>
        <v>8</v>
      </c>
      <c r="AY89" s="86">
        <f>IFERROR(IF(VLOOKUP(A89,tbMoveset!A2:B112,2,FALSE)="Sever",Backdoors!AY10/100,IF(VLOOKUP(A89,tbMoveset!A2:B112,2,FALSE)="Blunt",Backdoors!AZ10/100,Backdoors!BA10/100)),"")</f>
        <v>0.9</v>
      </c>
      <c r="AZ89" s="49">
        <f>IFERROR(IF(VLOOKUP(tbMoveset!A89,tbMoveset!A2:H112,8,FALSE)="Other",IF(VLOOKUP(tbMoveset!A89,tbMoveset!A2:I112,9,FALSE)="Fire",Backdoors!BB10,IF(VLOOKUP(tbMoveset!A89,tbMoveset!A2:I112,9,FALSE)="Water",Backdoors!BC10,IF(VLOOKUP(tbMoveset!A89,tbMoveset!A2:I112,9,FALSE)="Thunder",Backdoors!BD10,IF(VLOOKUP(tbMoveset!A89,tbMoveset!A2:I112,9,FALSE)="Ice",Backdoors!BE10,IF(VLOOKUP(tbMoveset!A89,tbMoveset!A2:I112,9,FALSE)="Dragon",Backdoors!BF10,Backdoors!BG10)))))/100,Backdoors!BG10/100),"")</f>
        <v>0</v>
      </c>
      <c r="BA89" s="49">
        <f>IFERROR(IF(VLOOKUP(A89,tbMoveset!A2:J112,10,FALSE)=TRUE,IF((Backdoors!AI12+IF(AY89&gt;=0.45,VLOOKUP(Calculator!E23,tbSkills!DH3:DI6,2,FALSE)+IF(AND(Calculator!B8=TRUE,Backdoors!BI10=TRUE),VLOOKUP(Calculator!E23,tbSkills!DH3:DJ6,3,FALSE),0),0))&gt;=0,1+(Backdoors!AL2*(IF((Backdoors!AI12+IF(AY89&gt;=0.45,VLOOKUP(Calculator!E23,tbSkills!DH3:DI6,2,FALSE)+IF(AND(Calculator!B8=TRUE,Backdoors!BI10=TRUE),VLOOKUP(Calculator!E23,tbSkills!DH3:DJ6,3,FALSE),0),0))&gt;=100,100,(Backdoors!AI12+IF(AY89&gt;=0.45,VLOOKUP(Calculator!E23,tbSkills!DH3:DI6,2,FALSE)+IF(AND(Calculator!B8=TRUE,Backdoors!BI10=TRUE),VLOOKUP(Calculator!E23,tbSkills!DH3:DJ6,3,FALSE),0),0)))/100)),(1-(0.25*((-Backdoors!AI12-IF(AY89&gt;=0.45,VLOOKUP(Calculator!E23,tbSkills!DH3:DI6,2,FALSE)+IF(AND(Calculator!B8=TRUE,Backdoors!BI10=TRUE),VLOOKUP(Calculator!E23,tbSkills!DH3:DJ6,3,FALSE),0),0))/100)))),1),"")</f>
        <v>1</v>
      </c>
      <c r="BB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Y89)*BA89)*(VLOOKUP(A89,tbMoveset!A2:C112,3,FALSE)/100)*IF(VLOOKUP(A89,tbMoveset!A2:B112,2,FALSE)="Projectile",Backdoors!N10,Backdoors!N9),0),"")</f>
        <v>15</v>
      </c>
      <c r="BC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Y89&gt;=0.45,VLOOKUP(Calculator!E23,tbSkills!DH3:DI6,2,FALSE)+IF(AND(Calculator!B8=TRUE,Backdoors!BI10=TRUE),VLOOKUP(Calculator!E23,tbSkills!DH3:DJ6,3,FALSE),0),0))&gt;=100,100,(Backdoors!AI12+IF(AY89&gt;=0.45,VLOOKUP(Calculator!E23,tbSkills!DH3:DI6,2,FALSE)+IF(AND(Calculator!B8=TRUE,Backdoors!BI10=TRUE),VLOOKUP(Calculator!E23,tbSkills!DH3:DJ6,3,FALSE),0),0)))/100)),1))*IF(VLOOKUP(A89,tbMoveset!A2:K112,11,FALSE)=TRUE,Backdoors!AC5,1))*AZ89,0),"")</f>
        <v>0</v>
      </c>
      <c r="BD89" s="49">
        <f>VLOOKUP(A89,tbMoveset!A2:G112,7,FALSE)*IFERROR(IF(Backdoors!AI12&gt;=0,1+(IF(Calculator!E40&gt;0,VLOOKUP(Calculator!E40,tbSkills!AI3:AJ5,2,FALSE),Backdoors!AL4)*(IF((Backdoors!AI12+IF(AY89&gt;=0.45,VLOOKUP(Calculator!E23,tbSkills!DH3:DI6,2,FALSE)+IF(AND(Calculator!B8=TRUE,Backdoors!BI10=TRUE),VLOOKUP(Calculator!E23,tbSkills!DH3:DJ6,3,FALSE),0),0))&gt;=100,100,(Backdoors!AI12+IF(AY89&gt;=0.45,VLOOKUP(Calculator!E23,tbSkills!DH3:DI6,2,FALSE)+IF(AND(Calculator!B8=TRUE,Backdoors!BI10=TRUE),VLOOKUP(Calculator!E23,tbSkills!DH3:DJ6,3,FALSE),0),0)))/100)),1),1)</f>
        <v>0.7</v>
      </c>
      <c r="BE89" s="87">
        <f t="shared" si="58"/>
        <v>15</v>
      </c>
      <c r="BF89" s="86" t="str">
        <f>IFERROR(IF(VLOOKUP(A89,tbMoveset!A2:B112,2,FALSE)="Sever",Backdoors!AY11/100,IF(VLOOKUP(A89,tbMoveset!A2:B112,2,FALSE)="Blunt",Backdoors!AZ11/100,Backdoors!BA11/100)),"")</f>
        <v/>
      </c>
      <c r="BG89" s="49">
        <f>IFERROR(IF(VLOOKUP(tbMoveset!A89,tbMoveset!A2:H112,8,FALSE)="Other",IF(VLOOKUP(tbMoveset!A89,tbMoveset!A2:I112,9,FALSE)="Fire",Backdoors!BB11,IF(VLOOKUP(tbMoveset!A89,tbMoveset!A2:I112,9,FALSE)="Water",Backdoors!BC11,IF(VLOOKUP(tbMoveset!A89,tbMoveset!A2:I112,9,FALSE)="Thunder",Backdoors!BD11,IF(VLOOKUP(tbMoveset!A89,tbMoveset!A2:I112,9,FALSE)="Ice",Backdoors!BE11,IF(VLOOKUP(tbMoveset!A89,tbMoveset!A2:I112,9,FALSE)="Dragon",Backdoors!BF11,Backdoors!BG11)))))/100,Backdoors!BG11/100),"")</f>
        <v>0</v>
      </c>
      <c r="BH89" s="49">
        <f>IFERROR(IF(VLOOKUP(A89,tbMoveset!A2:J112,10,FALSE)=TRUE,IF((Backdoors!AI12+IF(BF89&gt;=0.45,VLOOKUP(Calculator!E23,tbSkills!DH3:DI6,2,FALSE)+IF(AND(Calculator!B8=TRUE,Backdoors!BI11=TRUE),VLOOKUP(Calculator!E23,tbSkills!DH3:DJ6,3,FALSE),0),0))&gt;=0,1+(Backdoors!AL2*(IF((Backdoors!AI12+IF(BF89&gt;=0.45,VLOOKUP(Calculator!E23,tbSkills!DH3:DI6,2,FALSE)+IF(AND(Calculator!B8=TRUE,Backdoors!BI11=TRUE),VLOOKUP(Calculator!E23,tbSkills!DH3:DJ6,3,FALSE),0),0))&gt;=100,100,(Backdoors!AI12+IF(BF89&gt;=0.45,VLOOKUP(Calculator!E23,tbSkills!DH3:DI6,2,FALSE)+IF(AND(Calculator!B8=TRUE,Backdoors!BI11=TRUE),VLOOKUP(Calculator!E23,tbSkills!DH3:DJ6,3,FALSE),0),0)))/100)),(1-(0.25*((-Backdoors!AI12-IF(BF89&gt;=0.45,VLOOKUP(Calculator!E23,tbSkills!DH3:DI6,2,FALSE)+IF(AND(Calculator!B8=TRUE,Backdoors!BI11=TRUE),VLOOKUP(Calculator!E23,tbSkills!DH3:DJ6,3,FALSE),0),0))/100)))),1),"")</f>
        <v>1</v>
      </c>
      <c r="BI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F89)*BH89)*(VLOOKUP(A89,tbMoveset!A2:C112,3,FALSE)/100)*IF(VLOOKUP(A89,tbMoveset!A2:B112,2,FALSE)="Projectile",Backdoors!N10,Backdoors!N9),0),"")</f>
        <v/>
      </c>
      <c r="BJ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F89&gt;=0.45,VLOOKUP(Calculator!E23,tbSkills!DH3:DI6,2,FALSE)+IF(AND(Calculator!B8=TRUE,Backdoors!BI11=TRUE),VLOOKUP(Calculator!E23,tbSkills!DH3:DJ6,3,FALSE),0),0))&gt;=100,100,(Backdoors!AI12+IF(BF89&gt;=0.45,VLOOKUP(Calculator!E23,tbSkills!DH3:DI6,2,FALSE)+IF(AND(Calculator!B8=TRUE,Backdoors!BI11=TRUE),VLOOKUP(Calculator!E23,tbSkills!DH3:DJ6,3,FALSE),0),0)))/100)),1))*IF(VLOOKUP(A89,tbMoveset!A2:K112,11,FALSE)=TRUE,Backdoors!AC5,1))*BG89,0),"")</f>
        <v>0</v>
      </c>
      <c r="BK89" s="49">
        <f>VLOOKUP(A89,tbMoveset!A2:G112,7,FALSE)*IFERROR(IF(Backdoors!AI12&gt;=0,1+(IF(Calculator!E40&gt;0,VLOOKUP(Calculator!E40,tbSkills!AI3:AJ5,2,FALSE),Backdoors!AL4)*(IF((Backdoors!AI12+IF(BF89&gt;=0.45,VLOOKUP(Calculator!E23,tbSkills!DH3:DI6,2,FALSE)+IF(AND(Calculator!B8=TRUE,Backdoors!BI11=TRUE),VLOOKUP(Calculator!E23,tbSkills!DH3:DJ6,3,FALSE),0),0))&gt;=100,100,(Backdoors!AI12+IF(BF89&gt;=0.45,VLOOKUP(Calculator!E23,tbSkills!DH3:DI6,2,FALSE)+IF(AND(Calculator!B8=TRUE,Backdoors!BI11=TRUE),VLOOKUP(Calculator!E23,tbSkills!DH3:DJ6,3,FALSE),0),0)))/100)),1),1)</f>
        <v>0.7</v>
      </c>
      <c r="BL89" s="87">
        <f t="shared" si="59"/>
        <v>0</v>
      </c>
      <c r="BM89" s="86" t="str">
        <f>IFERROR(IF(VLOOKUP(A89,tbMoveset!A2:B112,2,FALSE)="Sever",Backdoors!AY12/100,IF(VLOOKUP(A89,tbMoveset!A2:B112,2,FALSE)="Blunt",Backdoors!AZ12/100,Backdoors!BA12/100)),"")</f>
        <v/>
      </c>
      <c r="BN89" s="49">
        <f>IFERROR(IF(VLOOKUP(tbMoveset!A89,tbMoveset!A2:H112,8,FALSE)="Other",IF(VLOOKUP(tbMoveset!A89,tbMoveset!A2:I112,9,FALSE)="Fire",Backdoors!BB12,IF(VLOOKUP(tbMoveset!A89,tbMoveset!A2:I112,9,FALSE)="Water",Backdoors!BC12,IF(VLOOKUP(tbMoveset!A89,tbMoveset!A2:I112,9,FALSE)="Thunder",Backdoors!BD12,IF(VLOOKUP(tbMoveset!A89,tbMoveset!A2:I112,9,FALSE)="Ice",Backdoors!BE12,IF(VLOOKUP(tbMoveset!A89,tbMoveset!A2:I112,9,FALSE)="Dragon",Backdoors!BF12,Backdoors!BG12)))))/100,Backdoors!BG12/100),"")</f>
        <v>0</v>
      </c>
      <c r="BO89" s="49">
        <f>IFERROR(IF(VLOOKUP(A89,tbMoveset!A2:J112,10,FALSE)=TRUE,IF((Backdoors!AI12+IF(BM89&gt;=0.45,VLOOKUP(Calculator!E23,tbSkills!DH3:DI6,2,FALSE)+IF(AND(Calculator!B8=TRUE,Backdoors!BI12=TRUE),VLOOKUP(Calculator!E23,tbSkills!DH3:DJ6,3,FALSE),0),0))&gt;=0,1+(Backdoors!AL2*(IF((Backdoors!AI12+IF(BM89&gt;=0.45,VLOOKUP(Calculator!E23,tbSkills!DH3:DI6,2,FALSE)+IF(AND(Calculator!B8=TRUE,Backdoors!BI12=TRUE),VLOOKUP(Calculator!E23,tbSkills!DH3:DJ6,3,FALSE),0),0))&gt;=100,100,(Backdoors!AI12+IF(BM89&gt;=0.45,VLOOKUP(Calculator!E23,tbSkills!DH3:DI6,2,FALSE)+IF(AND(Calculator!B8=TRUE,Backdoors!BI12=TRUE),VLOOKUP(Calculator!E23,tbSkills!DH3:DJ6,3,FALSE),0),0)))/100)),(1-(0.25*((-Backdoors!AI12-IF(BM89&gt;=0.45,VLOOKUP(Calculator!E23,tbSkills!DH3:DI6,2,FALSE)+IF(AND(Calculator!B8=TRUE,Backdoors!BI12=TRUE),VLOOKUP(Calculator!E23,tbSkills!DH3:DJ6,3,FALSE),0),0))/100)))),1),"")</f>
        <v>1</v>
      </c>
      <c r="BP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M89)*BO89)*(VLOOKUP(A89,tbMoveset!A2:C112,3,FALSE)/100)*IF(VLOOKUP(A89,tbMoveset!A2:B112,2,FALSE)="Projectile",Backdoors!N10,Backdoors!N9),0),"")</f>
        <v/>
      </c>
      <c r="BQ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M89&gt;=0.45,VLOOKUP(Calculator!E23,tbSkills!DH3:DI6,2,FALSE)+IF(AND(Calculator!B8=TRUE,Backdoors!BI12=TRUE),VLOOKUP(Calculator!E23,tbSkills!DH3:DJ6,3,FALSE),0),0))&gt;=100,100,(Backdoors!AI12+IF(BM89&gt;=0.45,VLOOKUP(Calculator!E23,tbSkills!DH3:DI6,2,FALSE)+IF(AND(Calculator!B8=TRUE,Backdoors!BI12=TRUE),VLOOKUP(Calculator!E23,tbSkills!DH3:DJ6,3,FALSE),0),0)))/100)),1))*IF(VLOOKUP(A89,tbMoveset!A2:K112,11,FALSE)=TRUE,Backdoors!AC5,1))*BN89,0),"")</f>
        <v>0</v>
      </c>
      <c r="BR89" s="49">
        <f>VLOOKUP(A89,tbMoveset!A2:G112,7,FALSE)*IFERROR(IF(Backdoors!AI12&gt;=0,1+(IF(Calculator!E40&gt;0,VLOOKUP(Calculator!E40,tbSkills!AI3:AJ5,2,FALSE),Backdoors!AL4)*(IF((Backdoors!AI12+IF(BM89&gt;=0.45,VLOOKUP(Calculator!E23,tbSkills!DH3:DI6,2,FALSE)+IF(AND(Calculator!B8=TRUE,Backdoors!BI12=TRUE),VLOOKUP(Calculator!E23,tbSkills!DH3:DJ6,3,FALSE),0),0))&gt;=100,100,(Backdoors!AI12+IF(BM89&gt;=0.45,VLOOKUP(Calculator!E23,tbSkills!DH3:DI6,2,FALSE)+IF(AND(Calculator!B8=TRUE,Backdoors!BI12=TRUE),VLOOKUP(Calculator!E23,tbSkills!DH3:DJ6,3,FALSE),0),0)))/100)),1),1)</f>
        <v>0.7</v>
      </c>
      <c r="BS89" s="87">
        <f t="shared" si="60"/>
        <v>0</v>
      </c>
      <c r="BT89" s="86" t="str">
        <f>IFERROR(IF(VLOOKUP(A89,tbMoveset!A2:B112,2,FALSE)="Sever",Backdoors!AY13/100,IF(VLOOKUP(A89,tbMoveset!A2:B112,2,FALSE)="Blunt",Backdoors!AZ13/100,Backdoors!BA13/100)),"")</f>
        <v/>
      </c>
      <c r="BU89" s="49">
        <f>IFERROR(IF(VLOOKUP(tbMoveset!A89,tbMoveset!A2:H112,8,FALSE)="Other",IF(VLOOKUP(tbMoveset!A89,tbMoveset!A2:I112,9,FALSE)="Fire",Backdoors!BB13,IF(VLOOKUP(tbMoveset!A89,tbMoveset!A2:I112,9,FALSE)="Water",Backdoors!BC13,IF(VLOOKUP(tbMoveset!A89,tbMoveset!A2:I112,9,FALSE)="Thunder",Backdoors!BD13,IF(VLOOKUP(tbMoveset!A89,tbMoveset!A2:I112,9,FALSE)="Ice",Backdoors!BE13,IF(VLOOKUP(tbMoveset!A89,tbMoveset!A2:I112,9,FALSE)="Dragon",Backdoors!BF13,Backdoors!BG13)))))/100,Backdoors!BG13/100),"")</f>
        <v>0</v>
      </c>
      <c r="BV89" s="49">
        <f>IFERROR(IF(VLOOKUP(A89,tbMoveset!A2:J112,10,FALSE)=TRUE,IF((Backdoors!AI12+IF(BT89&gt;=0.45,VLOOKUP(Calculator!E23,tbSkills!DH3:DI6,2,FALSE)+IF(AND(Calculator!B8=TRUE,Backdoors!BI13=TRUE),VLOOKUP(Calculator!E23,tbSkills!DH3:DJ6,3,FALSE),0),0))&gt;=0,1+(Backdoors!AL2*(IF((Backdoors!AI12+IF(BT89&gt;=0.45,VLOOKUP(Calculator!E23,tbSkills!DH3:DI6,2,FALSE)+IF(AND(Calculator!B8=TRUE,Backdoors!BI13=TRUE),VLOOKUP(Calculator!E23,tbSkills!DH3:DJ6,3,FALSE),0),0))&gt;=100,100,(Backdoors!AI12+IF(BT89&gt;=0.45,VLOOKUP(Calculator!E23,tbSkills!DH3:DI6,2,FALSE)+IF(AND(Calculator!B8=TRUE,Backdoors!BI13=TRUE),VLOOKUP(Calculator!E23,tbSkills!DH3:DJ6,3,FALSE),0),0)))/100)),(1-(0.25*((-Backdoors!AI12-IF(BT89&gt;=0.45,VLOOKUP(Calculator!E23,tbSkills!DH3:DI6,2,FALSE)+IF(AND(Calculator!B8=TRUE,Backdoors!BI13=TRUE),VLOOKUP(Calculator!E23,tbSkills!DH3:DJ6,3,FALSE),0),0))/100)))),1),"")</f>
        <v>1</v>
      </c>
      <c r="BW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T89)*BV89)*(VLOOKUP(A89,tbMoveset!A2:C112,3,FALSE)/100)*IF(VLOOKUP(A89,tbMoveset!A2:B112,2,FALSE)="Projectile",Backdoors!N10,Backdoors!N9),0),"")</f>
        <v/>
      </c>
      <c r="BX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T89&gt;=0.45,VLOOKUP(Calculator!E23,tbSkills!DH3:DI6,2,FALSE)+IF(AND(Calculator!B8=TRUE,Backdoors!BI13=TRUE),VLOOKUP(Calculator!E23,tbSkills!DH3:DJ6,3,FALSE),0),0))&gt;=100,100,(Backdoors!AI12+IF(BT89&gt;=0.45,VLOOKUP(Calculator!E23,tbSkills!DH3:DI6,2,FALSE)+IF(AND(Calculator!B8=TRUE,Backdoors!BI13=TRUE),VLOOKUP(Calculator!E23,tbSkills!DH3:DJ6,3,FALSE),0),0)))/100)),1))*IF(VLOOKUP(A89,tbMoveset!A2:K112,11,FALSE)=TRUE,Backdoors!AC5,1))*BU89,0),"")</f>
        <v>0</v>
      </c>
      <c r="BY89" s="49">
        <f>VLOOKUP(A89,tbMoveset!A2:G112,7,FALSE)*IFERROR(IF(Backdoors!AI12&gt;=0,1+(IF(Calculator!E40&gt;0,VLOOKUP(Calculator!E40,tbSkills!AI3:AJ5,2,FALSE),Backdoors!AL4)*(IF((Backdoors!AI12+IF(BT89&gt;=0.45,VLOOKUP(Calculator!E23,tbSkills!DH3:DI6,2,FALSE)+IF(AND(Calculator!B8=TRUE,Backdoors!BI13=TRUE),VLOOKUP(Calculator!E23,tbSkills!DH3:DJ6,3,FALSE),0),0))&gt;=100,100,(Backdoors!AI12+IF(BT89&gt;=0.45,VLOOKUP(Calculator!E23,tbSkills!DH3:DI6,2,FALSE)+IF(AND(Calculator!B8=TRUE,Backdoors!BI13=TRUE),VLOOKUP(Calculator!E23,tbSkills!DH3:DJ6,3,FALSE),0),0)))/100)),1),1)</f>
        <v>0.7</v>
      </c>
      <c r="BZ89" s="87">
        <f t="shared" si="61"/>
        <v>0</v>
      </c>
      <c r="CA89" s="86" t="str">
        <f>IFERROR(IF(VLOOKUP(A89,tbMoveset!A2:B112,2,FALSE)="Sever",Backdoors!AY14/100,IF(VLOOKUP(A89,tbMoveset!A2:B112,2,FALSE)="Blunt",Backdoors!AZ14/100,Backdoors!BA14/100)),"")</f>
        <v/>
      </c>
      <c r="CB89" s="49">
        <f>IFERROR(IF(VLOOKUP(tbMoveset!A89,tbMoveset!A2:H112,8,FALSE)="Other",IF(VLOOKUP(tbMoveset!A89,tbMoveset!A2:I112,9,FALSE)="Fire",Backdoors!BB14,IF(VLOOKUP(tbMoveset!A89,tbMoveset!A2:I112,9,FALSE)="Water",Backdoors!BC14,IF(VLOOKUP(tbMoveset!A89,tbMoveset!A2:I112,9,FALSE)="Thunder",Backdoors!BD14,IF(VLOOKUP(tbMoveset!A89,tbMoveset!A2:I112,9,FALSE)="Ice",Backdoors!BE14,IF(VLOOKUP(tbMoveset!A89,tbMoveset!A2:I112,9,FALSE)="Dragon",Backdoors!BF14,Backdoors!BG14)))))/100,Backdoors!BG14/100),"")</f>
        <v>0</v>
      </c>
      <c r="CC89" s="49">
        <f>IFERROR(IF(VLOOKUP(A89,tbMoveset!A2:J112,10,FALSE)=TRUE,IF((Backdoors!AI12+IF(CA89&gt;=0.45,VLOOKUP(Calculator!E23,tbSkills!DH3:DI6,2,FALSE)+IF(AND(Calculator!B8=TRUE,Backdoors!BI14=TRUE),VLOOKUP(Calculator!E23,tbSkills!DH3:DJ6,3,FALSE),0),0))&gt;=0,1+(Backdoors!AL2*(IF((Backdoors!AI12+IF(CA89&gt;=0.45,VLOOKUP(Calculator!E23,tbSkills!DH3:DI6,2,FALSE)+IF(AND(Calculator!B8=TRUE,Backdoors!BI14=TRUE),VLOOKUP(Calculator!E23,tbSkills!DH3:DJ6,3,FALSE),0),0))&gt;=100,100,(Backdoors!AI12+IF(CA89&gt;=0.45,VLOOKUP(Calculator!E23,tbSkills!DH3:DI6,2,FALSE)+IF(AND(Calculator!B8=TRUE,Backdoors!BI14=TRUE),VLOOKUP(Calculator!E23,tbSkills!DH3:DJ6,3,FALSE),0),0)))/100)),(1-(0.25*((-Backdoors!AI12-IF(CA89&gt;=0.45,VLOOKUP(Calculator!E23,tbSkills!DH3:DI6,2,FALSE)+IF(AND(Calculator!B8=TRUE,Backdoors!BI14=TRUE),VLOOKUP(Calculator!E23,tbSkills!DH3:DJ6,3,FALSE),0),0))/100)))),1),"")</f>
        <v>1</v>
      </c>
      <c r="CD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A89)*CC89)*(VLOOKUP(A89,tbMoveset!A2:C112,3,FALSE)/100)*IF(VLOOKUP(A89,tbMoveset!A2:B112,2,FALSE)="Projectile",Backdoors!N10,Backdoors!N9),0),"")</f>
        <v/>
      </c>
      <c r="CE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A89&gt;=0.45,VLOOKUP(Calculator!E23,tbSkills!DH3:DI6,2,FALSE)+IF(AND(Calculator!B8=TRUE,Backdoors!BI14=TRUE),VLOOKUP(Calculator!E23,tbSkills!DH3:DJ6,3,FALSE),0),0))&gt;=100,100,(Backdoors!AI12+IF(CA89&gt;=0.45,VLOOKUP(Calculator!E23,tbSkills!DH3:DI6,2,FALSE)+IF(AND(Calculator!B8=TRUE,Backdoors!BI14=TRUE),VLOOKUP(Calculator!E23,tbSkills!DH3:DJ6,3,FALSE),0),0)))/100)),1))*IF(VLOOKUP(A89,tbMoveset!A2:K112,11,FALSE)=TRUE,Backdoors!AC5,1))*CB89,0),"")</f>
        <v>0</v>
      </c>
      <c r="CF89" s="49">
        <f>VLOOKUP(A89,tbMoveset!A2:G112,7,FALSE)*IFERROR(IF(Backdoors!AI12&gt;=0,1+(IF(Calculator!E40&gt;0,VLOOKUP(Calculator!E40,tbSkills!AI3:AJ5,2,FALSE),Backdoors!AL4)*(IF((Backdoors!AI12+IF(CA89&gt;=0.45,VLOOKUP(Calculator!E23,tbSkills!DH3:DI6,2,FALSE)+IF(AND(Calculator!B8=TRUE,Backdoors!BI14=TRUE),VLOOKUP(Calculator!E23,tbSkills!DH3:DJ6,3,FALSE),0),0))&gt;=100,100,(Backdoors!AI12+IF(CA89&gt;=0.45,VLOOKUP(Calculator!E23,tbSkills!DH3:DI6,2,FALSE)+IF(AND(Calculator!B8=TRUE,Backdoors!BI14=TRUE),VLOOKUP(Calculator!E23,tbSkills!DH3:DJ6,3,FALSE),0),0)))/100)),1),1)</f>
        <v>0.7</v>
      </c>
      <c r="CG89" s="87">
        <f t="shared" si="62"/>
        <v>0</v>
      </c>
      <c r="CH89" s="86" t="str">
        <f>IFERROR(IF(VLOOKUP(A89,tbMoveset!A2:B112,2,FALSE)="Sever",Backdoors!AY15/100,IF(VLOOKUP(A89,tbMoveset!A2:B112,2,FALSE)="Blunt",Backdoors!AZ15/100,Backdoors!BA15/100)),"")</f>
        <v/>
      </c>
      <c r="CI89" s="49">
        <f>IFERROR(IF(VLOOKUP(tbMoveset!A89,tbMoveset!A2:H112,8,FALSE)="Other",IF(VLOOKUP(tbMoveset!A89,tbMoveset!A2:I112,9,FALSE)="Fire",Backdoors!BB15,IF(VLOOKUP(tbMoveset!A89,tbMoveset!A2:I112,9,FALSE)="Water",Backdoors!BC15,IF(VLOOKUP(tbMoveset!A89,tbMoveset!A2:I112,9,FALSE)="Thunder",Backdoors!BD15,IF(VLOOKUP(tbMoveset!A89,tbMoveset!A2:I112,9,FALSE)="Ice",Backdoors!BE15,IF(VLOOKUP(tbMoveset!A89,tbMoveset!A2:I112,9,FALSE)="Dragon",Backdoors!BF15,Backdoors!BG15)))))/100,Backdoors!BG15/100),"")</f>
        <v>0</v>
      </c>
      <c r="CJ89" s="49">
        <f>IFERROR(IF(VLOOKUP(A89,tbMoveset!A2:J112,10,FALSE)=TRUE,IF((Backdoors!AI12+IF(CH89&gt;=0.45,VLOOKUP(Calculator!E23,tbSkills!DH3:DI6,2,FALSE)+IF(AND(Calculator!B8=TRUE,Backdoors!BI15=TRUE),VLOOKUP(Calculator!E23,tbSkills!DH3:DJ6,3,FALSE),0),0))&gt;=0,1+(Backdoors!AL2*(IF((Backdoors!AI12+IF(CH89&gt;=0.45,VLOOKUP(Calculator!E23,tbSkills!DH3:DI6,2,FALSE)+IF(AND(Calculator!B8=TRUE,Backdoors!BI15=TRUE),VLOOKUP(Calculator!E23,tbSkills!DH3:DJ6,3,FALSE),0),0))&gt;=100,100,(Backdoors!AI12+IF(CH89&gt;=0.45,VLOOKUP(Calculator!E23,tbSkills!DH3:DI6,2,FALSE)+IF(AND(Calculator!B8=TRUE,Backdoors!BI15=TRUE),VLOOKUP(Calculator!E23,tbSkills!DH3:DJ6,3,FALSE),0),0)))/100)),(1-(0.25*((-Backdoors!AI12-IF(CH89&gt;=0.45,VLOOKUP(Calculator!E23,tbSkills!DH3:DI6,2,FALSE)+IF(AND(Calculator!B8=TRUE,Backdoors!BI15=TRUE),VLOOKUP(Calculator!E23,tbSkills!DH3:DJ6,3,FALSE),0),0))/100)))),1),"")</f>
        <v>1</v>
      </c>
      <c r="CK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H89)*CJ89)*(VLOOKUP(A89,tbMoveset!A2:C112,3,FALSE)/100)*IF(VLOOKUP(A89,tbMoveset!A2:B112,2,FALSE)="Projectile",Backdoors!N10,Backdoors!N9),0),"")</f>
        <v/>
      </c>
      <c r="CL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H89&gt;=0.45,VLOOKUP(Calculator!E23,tbSkills!DH3:DI6,2,FALSE)+IF(AND(Calculator!B8=TRUE,Backdoors!BI15=TRUE),VLOOKUP(Calculator!E23,tbSkills!DH3:DJ6,3,FALSE),0),0))&gt;=100,100,(Backdoors!AI12+IF(CH89&gt;=0.45,VLOOKUP(Calculator!E23,tbSkills!DH3:DI6,2,FALSE)+IF(AND(Calculator!B8=TRUE,Backdoors!BI15=TRUE),VLOOKUP(Calculator!E23,tbSkills!DH3:DJ6,3,FALSE),0),0)))/100)),1))*IF(VLOOKUP(A89,tbMoveset!A2:K112,11,FALSE)=TRUE,Backdoors!AC5,1))*CI89,0),"")</f>
        <v>0</v>
      </c>
      <c r="CM89" s="49">
        <f>VLOOKUP(A89,tbMoveset!A2:G112,7,FALSE)*IFERROR(IF(Backdoors!AI12&gt;=0,1+(IF(Calculator!E40&gt;0,VLOOKUP(Calculator!E40,tbSkills!AI3:AJ5,2,FALSE),Backdoors!AL4)*(IF((Backdoors!AI12+IF(CH89&gt;=0.45,VLOOKUP(Calculator!E23,tbSkills!DH3:DI6,2,FALSE)+IF(AND(Calculator!B8=TRUE,Backdoors!BI15=TRUE),VLOOKUP(Calculator!E23,tbSkills!DH3:DJ6,3,FALSE),0),0))&gt;=100,100,(Backdoors!AI12+IF(CH89&gt;=0.45,VLOOKUP(Calculator!E23,tbSkills!DH3:DI6,2,FALSE)+IF(AND(Calculator!B8=TRUE,Backdoors!BI15=TRUE),VLOOKUP(Calculator!E23,tbSkills!DH3:DJ6,3,FALSE),0),0)))/100)),1),1)</f>
        <v>0.7</v>
      </c>
      <c r="CN89" s="87">
        <f t="shared" si="63"/>
        <v>0</v>
      </c>
      <c r="CO89" s="86" t="str">
        <f>IFERROR(IF(VLOOKUP(A89,tbMoveset!A2:B112,2,FALSE)="Sever",Backdoors!AY16/100,IF(VLOOKUP(A89,tbMoveset!A2:B112,2,FALSE)="Blunt",Backdoors!AZ16/100,Backdoors!BA16/100)),"")</f>
        <v/>
      </c>
      <c r="CP89" s="49">
        <f>IFERROR(IF(VLOOKUP(tbMoveset!A89,tbMoveset!A2:H112,8,FALSE)="Other",IF(VLOOKUP(tbMoveset!A89,tbMoveset!A2:I112,9,FALSE)="Fire",Backdoors!BB16,IF(VLOOKUP(tbMoveset!A89,tbMoveset!A2:I112,9,FALSE)="Water",Backdoors!BC16,IF(VLOOKUP(tbMoveset!A89,tbMoveset!A2:I112,9,FALSE)="Thunder",Backdoors!BD16,IF(VLOOKUP(tbMoveset!A89,tbMoveset!A2:I112,9,FALSE)="Ice",Backdoors!BE16,IF(VLOOKUP(tbMoveset!A89,tbMoveset!A2:I112,9,FALSE)="Dragon",Backdoors!BF16,Backdoors!BG16)))))/100,Backdoors!BG16/100),"")</f>
        <v>0</v>
      </c>
      <c r="CQ89" s="49">
        <f>IFERROR(IF(VLOOKUP(A89,tbMoveset!A2:J112,10,FALSE)=TRUE,IF((Backdoors!AI12+IF(CO89&gt;=0.45,VLOOKUP(Calculator!E23,tbSkills!DH3:DI6,2,FALSE)+IF(AND(Calculator!B8=TRUE,Backdoors!BI16=TRUE),VLOOKUP(Calculator!E23,tbSkills!DH3:DJ6,3,FALSE),0),0))&gt;=0,1+(Backdoors!AL2*(IF((Backdoors!AI12+IF(CO89&gt;=0.45,VLOOKUP(Calculator!E23,tbSkills!DH3:DI6,2,FALSE)+IF(AND(Calculator!B8=TRUE,Backdoors!BI16=TRUE),VLOOKUP(Calculator!E23,tbSkills!DH3:DJ6,3,FALSE),0),0))&gt;=100,100,(Backdoors!AI12+IF(CO89&gt;=0.45,VLOOKUP(Calculator!E23,tbSkills!DH3:DI6,2,FALSE)+IF(AND(Calculator!B8=TRUE,Backdoors!BI16=TRUE),VLOOKUP(Calculator!E23,tbSkills!DH3:DJ6,3,FALSE),0),0)))/100)),(1-(0.25*((-Backdoors!AI12-IF(CO89&gt;=0.45,VLOOKUP(Calculator!E23,tbSkills!DH3:DI6,2,FALSE)+IF(AND(Calculator!B8=TRUE,Backdoors!BI16=TRUE),VLOOKUP(Calculator!E23,tbSkills!DH3:DJ6,3,FALSE),0),0))/100)))),1),"")</f>
        <v>1</v>
      </c>
      <c r="CR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O89)*CQ89)*(VLOOKUP(A89,tbMoveset!A2:C112,3,FALSE)/100)*IF(VLOOKUP(A89,tbMoveset!A2:B112,2,FALSE)="Projectile",Backdoors!N10,Backdoors!N9),0),"")</f>
        <v/>
      </c>
      <c r="CS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O89&gt;=0.45,VLOOKUP(Calculator!E23,tbSkills!DH3:DI6,2,FALSE)+IF(AND(Calculator!B8=TRUE,Backdoors!BI16=TRUE),VLOOKUP(Calculator!E23,tbSkills!DH3:DJ6,3,FALSE),0),0))&gt;=100,100,(Backdoors!AI12+IF(CO89&gt;=0.45,VLOOKUP(Calculator!E23,tbSkills!DH3:DI6,2,FALSE)+IF(AND(Calculator!B8=TRUE,Backdoors!BI16=TRUE),VLOOKUP(Calculator!E23,tbSkills!DH3:DJ6,3,FALSE),0),0)))/100)),1))*IF(VLOOKUP(A89,tbMoveset!A2:K112,11,FALSE)=TRUE,Backdoors!AC5,1))*CP89,0),"")</f>
        <v>0</v>
      </c>
      <c r="CT89" s="49">
        <f>VLOOKUP(A89,tbMoveset!A2:G112,7,FALSE)*IFERROR(IF(Backdoors!AI12&gt;=0,1+(IF(Calculator!E40&gt;0,VLOOKUP(Calculator!E40,tbSkills!AI3:AJ5,2,FALSE),Backdoors!AL4)*(IF((Backdoors!AI12+IF(CO89&gt;=0.45,VLOOKUP(Calculator!E23,tbSkills!DH3:DI6,2,FALSE)+IF(AND(Calculator!B8=TRUE,Backdoors!BI16=TRUE),VLOOKUP(Calculator!E23,tbSkills!DH3:DJ6,3,FALSE),0),0))&gt;=100,100,(Backdoors!AI12+IF(CO89&gt;=0.45,VLOOKUP(Calculator!E23,tbSkills!DH3:DI6,2,FALSE)+IF(AND(Calculator!B8=TRUE,Backdoors!BI16=TRUE),VLOOKUP(Calculator!E23,tbSkills!DH3:DJ6,3,FALSE),0),0)))/100)),1),1)</f>
        <v>0.7</v>
      </c>
      <c r="CU89" s="87">
        <f t="shared" si="64"/>
        <v>0</v>
      </c>
      <c r="CV89" s="86" t="str">
        <f>IFERROR(IF(VLOOKUP(A89,tbMoveset!A2:B112,2,FALSE)="Sever",Backdoors!AY17/100,IF(VLOOKUP(A89,tbMoveset!A2:B112,2,FALSE)="Blunt",Backdoors!AZ17/100,Backdoors!BA17/100)),"")</f>
        <v/>
      </c>
      <c r="CW89" s="49">
        <f>IFERROR(IF(VLOOKUP(tbMoveset!A89,tbMoveset!A2:H112,8,FALSE)="Other",IF(VLOOKUP(tbMoveset!A89,tbMoveset!A2:I112,9,FALSE)="Fire",Backdoors!BB17,IF(VLOOKUP(tbMoveset!A89,tbMoveset!A2:I112,9,FALSE)="Water",Backdoors!BC17,IF(VLOOKUP(tbMoveset!A89,tbMoveset!A2:I112,9,FALSE)="Thunder",Backdoors!BD17,IF(VLOOKUP(tbMoveset!A89,tbMoveset!A2:I112,9,FALSE)="Ice",Backdoors!BE17,IF(VLOOKUP(tbMoveset!A89,tbMoveset!A2:I112,9,FALSE)="Dragon",Backdoors!BF17,Backdoors!BG17)))))/100,Backdoors!BG17/100),"")</f>
        <v>0</v>
      </c>
      <c r="CX89" s="49">
        <f>IFERROR(IF(VLOOKUP(A89,tbMoveset!A2:J112,10,FALSE)=TRUE,IF((Backdoors!AI12+IF(CV89&gt;=0.45,VLOOKUP(Calculator!E23,tbSkills!DH3:DI6,2,FALSE)+IF(AND(Calculator!B8=TRUE,Backdoors!BI17=TRUE),VLOOKUP(Calculator!E23,tbSkills!DH3:DJ6,3,FALSE),0),0))&gt;=0,1+(Backdoors!AL2*(IF((Backdoors!AI12+IF(CV89&gt;=0.45,VLOOKUP(Calculator!E23,tbSkills!DH3:DI6,2,FALSE)+IF(AND(Calculator!B8=TRUE,Backdoors!BI17=TRUE),VLOOKUP(Calculator!E23,tbSkills!DH3:DJ6,3,FALSE),0),0))&gt;=100,100,(Backdoors!AI12+IF(CV89&gt;=0.45,VLOOKUP(Calculator!E23,tbSkills!DH3:DI6,2,FALSE)+IF(AND(Calculator!B8=TRUE,Backdoors!BI17=TRUE),VLOOKUP(Calculator!E23,tbSkills!DH3:DJ6,3,FALSE),0),0)))/100)),(1-(0.25*((-Backdoors!AI12-IF(CV89&gt;=0.45,VLOOKUP(Calculator!E23,tbSkills!DH3:DI6,2,FALSE)+IF(AND(Calculator!B8=TRUE,Backdoors!BI17=TRUE),VLOOKUP(Calculator!E23,tbSkills!DH3:DJ6,3,FALSE),0),0))/100)))),1),"")</f>
        <v>1</v>
      </c>
      <c r="CY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V89)*CX89)*(VLOOKUP(A89,tbMoveset!A2:C112,3,FALSE)/100)*IF(VLOOKUP(A89,tbMoveset!A2:B112,2,FALSE)="Projectile",Backdoors!N10,Backdoors!N9),0),"")</f>
        <v/>
      </c>
      <c r="CZ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V89&gt;=0.45,VLOOKUP(Calculator!E23,tbSkills!DH3:DI6,2,FALSE)+IF(AND(Calculator!B8=TRUE,Backdoors!BI17=TRUE),VLOOKUP(Calculator!E23,tbSkills!DH3:DJ6,3,FALSE),0),0))&gt;=100,100,(Backdoors!AI12+IF(CV89&gt;=0.45,VLOOKUP(Calculator!E23,tbSkills!DH3:DI6,2,FALSE)+IF(AND(Calculator!B8=TRUE,Backdoors!BI17=TRUE),VLOOKUP(Calculator!E23,tbSkills!DH3:DJ6,3,FALSE),0),0)))/100)),1))*IF(VLOOKUP(A89,tbMoveset!A2:K112,11,FALSE)=TRUE,Backdoors!AC5,1))*CW89,0),"")</f>
        <v>0</v>
      </c>
      <c r="DA89" s="49">
        <f>VLOOKUP(A89,tbMoveset!A2:G112,7,FALSE)*IFERROR(IF(Backdoors!AI12&gt;=0,1+(IF(Calculator!E40&gt;0,VLOOKUP(Calculator!E40,tbSkills!AI3:AJ5,2,FALSE),Backdoors!AL4)*(IF((Backdoors!AI12+IF(CV89&gt;=0.45,VLOOKUP(Calculator!E23,tbSkills!DH3:DI6,2,FALSE)+IF(AND(Calculator!B8=TRUE,Backdoors!BI17=TRUE),VLOOKUP(Calculator!E23,tbSkills!DH3:DJ6,3,FALSE),0),0))&gt;=100,100,(Backdoors!AI12+IF(CV89&gt;=0.45,VLOOKUP(Calculator!E23,tbSkills!DH3:DI6,2,FALSE)+IF(AND(Calculator!B8=TRUE,Backdoors!BI17=TRUE),VLOOKUP(Calculator!E23,tbSkills!DH3:DJ6,3,FALSE),0),0)))/100)),1),1)</f>
        <v>0.7</v>
      </c>
      <c r="DB89" s="87">
        <f t="shared" si="65"/>
        <v>0</v>
      </c>
      <c r="DC89" s="86" t="str">
        <f>IFERROR(IF(VLOOKUP(A89,tbMoveset!A2:B112,2,FALSE)="Sever",Backdoors!AY18/100,IF(VLOOKUP(A89,tbMoveset!A2:B112,2,FALSE)="Blunt",Backdoors!AZ18/100,Backdoors!BA18/100)),"")</f>
        <v/>
      </c>
      <c r="DD89" s="49">
        <f>IFERROR(IF(VLOOKUP(tbMoveset!A89,tbMoveset!A2:H112,8,FALSE)="Other",IF(VLOOKUP(tbMoveset!A89,tbMoveset!A2:I112,9,FALSE)="Fire",Backdoors!BB18,IF(VLOOKUP(tbMoveset!A89,tbMoveset!A2:I112,9,FALSE)="Water",Backdoors!BC18,IF(VLOOKUP(tbMoveset!A89,tbMoveset!A2:I112,9,FALSE)="Thunder",Backdoors!BD18,IF(VLOOKUP(tbMoveset!A89,tbMoveset!A2:I112,9,FALSE)="Ice",Backdoors!BE18,IF(VLOOKUP(tbMoveset!A89,tbMoveset!A2:I112,9,FALSE)="Dragon",Backdoors!BF18,Backdoors!BG18)))))/100,Backdoors!BG18/100),"")</f>
        <v>0</v>
      </c>
      <c r="DE89" s="49">
        <f>IFERROR(IF(VLOOKUP(A89,tbMoveset!A2:J112,10,FALSE)=TRUE,IF((Backdoors!AI12+IF(DC89&gt;=0.45,VLOOKUP(Calculator!E23,tbSkills!DH3:DI6,2,FALSE)+IF(AND(Calculator!B8=TRUE,Backdoors!BI18=TRUE),VLOOKUP(Calculator!E23,tbSkills!DH3:DJ6,3,FALSE),0),0))&gt;=0,1+(Backdoors!AL2*(IF((Backdoors!AI12+IF(DC89&gt;=0.45,VLOOKUP(Calculator!E23,tbSkills!DH3:DI6,2,FALSE)+IF(AND(Calculator!B8=TRUE,Backdoors!BI18=TRUE),VLOOKUP(Calculator!E23,tbSkills!DH3:DJ6,3,FALSE),0),0))&gt;=100,100,(Backdoors!AI12+IF(DC89&gt;=0.45,VLOOKUP(Calculator!E23,tbSkills!DH3:DI6,2,FALSE)+IF(AND(Calculator!B8=TRUE,Backdoors!BI18=TRUE),VLOOKUP(Calculator!E23,tbSkills!DH3:DJ6,3,FALSE),0),0)))/100)),(1-(0.25*((-Backdoors!AI12-IF(DC89&gt;=0.45,VLOOKUP(Calculator!E23,tbSkills!DH3:DI6,2,FALSE)+IF(AND(Calculator!B8=TRUE,Backdoors!BI18=TRUE),VLOOKUP(Calculator!E23,tbSkills!DH3:DJ6,3,FALSE),0),0))/100)))),1),"")</f>
        <v>1</v>
      </c>
      <c r="DF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C89)*DE89)*(VLOOKUP(A89,tbMoveset!A2:C112,3,FALSE)/100)*IF(VLOOKUP(A89,tbMoveset!A2:B112,2,FALSE)="Projectile",Backdoors!N10,Backdoors!N9),0),"")</f>
        <v/>
      </c>
      <c r="DG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C89&gt;=0.45,VLOOKUP(Calculator!E23,tbSkills!DH3:DI6,2,FALSE)+IF(AND(Calculator!B8=TRUE,Backdoors!BI18=TRUE),VLOOKUP(Calculator!E23,tbSkills!DH3:DJ6,3,FALSE),0),0))&gt;=100,100,(Backdoors!AI12+IF(DC89&gt;=0.45,VLOOKUP(Calculator!E23,tbSkills!DH3:DI6,2,FALSE)+IF(AND(Calculator!B8=TRUE,Backdoors!BI18=TRUE),VLOOKUP(Calculator!E23,tbSkills!DH3:DJ6,3,FALSE),0),0)))/100)),1))*IF(VLOOKUP(A89,tbMoveset!A2:K112,11,FALSE)=TRUE,Backdoors!AC5,1))*DD89,0),"")</f>
        <v>0</v>
      </c>
      <c r="DH89" s="49">
        <f>VLOOKUP(A89,tbMoveset!A2:G112,7,FALSE)*IFERROR(IF(Backdoors!AI12&gt;=0,1+(IF(Calculator!E40&gt;0,VLOOKUP(Calculator!E40,tbSkills!AI3:AJ5,2,FALSE),Backdoors!AL4)*(IF((Backdoors!AI12+IF(DC89&gt;=0.45,VLOOKUP(Calculator!E23,tbSkills!DH3:DI6,2,FALSE)+IF(AND(Calculator!B8=TRUE,Backdoors!BI18=TRUE),VLOOKUP(Calculator!E23,tbSkills!DH3:DJ6,3,FALSE),0),0))&gt;=100,100,(Backdoors!AI12+IF(DC89&gt;=0.45,VLOOKUP(Calculator!E23,tbSkills!DH3:DI6,2,FALSE)+IF(AND(Calculator!B8=TRUE,Backdoors!BI18=TRUE),VLOOKUP(Calculator!E23,tbSkills!DH3:DJ6,3,FALSE),0),0)))/100)),1),1)</f>
        <v>0.7</v>
      </c>
      <c r="DI89" s="87">
        <f t="shared" si="66"/>
        <v>0</v>
      </c>
      <c r="DJ89" s="86" t="str">
        <f>IFERROR(IF(VLOOKUP(A89,tbMoveset!A2:B112,2,FALSE)="Sever",Backdoors!AY19/100,IF(VLOOKUP(A89,tbMoveset!A2:B112,2,FALSE)="Blunt",Backdoors!AZ19/100,Backdoors!BA19/100)),"")</f>
        <v/>
      </c>
      <c r="DK89" s="49">
        <f>IFERROR(IF(VLOOKUP(tbMoveset!A89,tbMoveset!A2:H112,8,FALSE)="Other",IF(VLOOKUP(tbMoveset!A89,tbMoveset!A2:I112,9,FALSE)="Fire",Backdoors!BB19,IF(VLOOKUP(tbMoveset!A89,tbMoveset!A2:I112,9,FALSE)="Water",Backdoors!BC19,IF(VLOOKUP(tbMoveset!A89,tbMoveset!A2:I112,9,FALSE)="Thunder",Backdoors!BD19,IF(VLOOKUP(tbMoveset!A89,tbMoveset!A2:I112,9,FALSE)="Ice",Backdoors!BE19,IF(VLOOKUP(tbMoveset!A89,tbMoveset!A2:I112,9,FALSE)="Dragon",Backdoors!BF19,Backdoors!BG19)))))/100,Backdoors!BG19/100),"")</f>
        <v>0</v>
      </c>
      <c r="DL89" s="49">
        <f>IFERROR(IF(VLOOKUP(A89,tbMoveset!A2:J112,10,FALSE)=TRUE,IF((Backdoors!AI12+IF(DJ89&gt;=0.45,VLOOKUP(Calculator!E23,tbSkills!DH3:DI6,2,FALSE)+IF(AND(Calculator!B8=TRUE,Backdoors!BI19=TRUE),VLOOKUP(Calculator!E23,tbSkills!DH3:DJ6,3,FALSE),0),0))&gt;=0,1+(Backdoors!AL2*(IF((Backdoors!AI12+IF(DJ89&gt;=0.45,VLOOKUP(Calculator!E23,tbSkills!DH3:DI6,2,FALSE)+IF(AND(Calculator!B8=TRUE,Backdoors!BI19=TRUE),VLOOKUP(Calculator!E23,tbSkills!DH3:DJ6,3,FALSE),0),0))&gt;=100,100,(Backdoors!AI12+IF(DJ89&gt;=0.45,VLOOKUP(Calculator!E23,tbSkills!DH3:DI6,2,FALSE)+IF(AND(Calculator!B8=TRUE,Backdoors!BI19=TRUE),VLOOKUP(Calculator!E23,tbSkills!DH3:DJ6,3,FALSE),0),0)))/100)),(1-(0.25*((-Backdoors!AI12-IF(DJ89&gt;=0.45,VLOOKUP(Calculator!E23,tbSkills!DH3:DI6,2,FALSE)+IF(AND(Calculator!B8=TRUE,Backdoors!BI19=TRUE),VLOOKUP(Calculator!E23,tbSkills!DH3:DJ6,3,FALSE),0),0))/100)))),1),"")</f>
        <v>1</v>
      </c>
      <c r="DM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J89)*DL89)*(VLOOKUP(A89,tbMoveset!A2:C112,3,FALSE)/100)*IF(VLOOKUP(A89,tbMoveset!A2:B112,2,FALSE)="Projectile",Backdoors!N10,Backdoors!N9),0),"")</f>
        <v/>
      </c>
      <c r="DN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J89&gt;=0.45,VLOOKUP(Calculator!E23,tbSkills!DH3:DI6,2,FALSE)+IF(AND(Calculator!B8=TRUE,Backdoors!BI19=TRUE),VLOOKUP(Calculator!E23,tbSkills!DH3:DJ6,3,FALSE),0),0))&gt;=100,100,(Backdoors!AI12+IF(DJ89&gt;=0.45,VLOOKUP(Calculator!E23,tbSkills!DH3:DI6,2,FALSE)+IF(AND(Calculator!B8=TRUE,Backdoors!BI19=TRUE),VLOOKUP(Calculator!E23,tbSkills!DH3:DJ6,3,FALSE),0),0)))/100)),1))*IF(VLOOKUP(A89,tbMoveset!A2:K112,11,FALSE)=TRUE,Backdoors!AC5,1))*DK89,0),"")</f>
        <v>0</v>
      </c>
      <c r="DO89" s="49">
        <f>VLOOKUP(A89,tbMoveset!A2:G112,7,FALSE)*IFERROR(IF(Backdoors!AI12&gt;=0,1+(IF(Calculator!E40&gt;0,VLOOKUP(Calculator!E40,tbSkills!AI3:AJ5,2,FALSE),Backdoors!AL4)*(IF((Backdoors!AI12+IF(DJ89&gt;=0.45,VLOOKUP(Calculator!E23,tbSkills!DH3:DI6,2,FALSE)+IF(AND(Calculator!B8=TRUE,Backdoors!BI19=TRUE),VLOOKUP(Calculator!E23,tbSkills!DH3:DJ6,3,FALSE),0),0))&gt;=100,100,(Backdoors!AI12+IF(DJ89&gt;=0.45,VLOOKUP(Calculator!E23,tbSkills!DH3:DI6,2,FALSE)+IF(AND(Calculator!B8=TRUE,Backdoors!BI19=TRUE),VLOOKUP(Calculator!E23,tbSkills!DH3:DJ6,3,FALSE),0),0)))/100)),1),1)</f>
        <v>0.7</v>
      </c>
      <c r="DP89" s="87">
        <f t="shared" si="67"/>
        <v>0</v>
      </c>
      <c r="DQ89" s="86" t="str">
        <f>IFERROR(IF(VLOOKUP(A89,tbMoveset!A2:B112,2,FALSE)="Sever",Backdoors!AY20/100,IF(VLOOKUP(A89,tbMoveset!A2:B112,2,FALSE)="Blunt",Backdoors!AZ20/100,Backdoors!BA20/100)),"")</f>
        <v/>
      </c>
      <c r="DR89" s="49">
        <f>IFERROR(IF(VLOOKUP(tbMoveset!A89,tbMoveset!A2:H112,8,FALSE)="Other",IF(VLOOKUP(tbMoveset!A89,tbMoveset!A2:I112,9,FALSE)="Fire",Backdoors!BB20,IF(VLOOKUP(tbMoveset!A89,tbMoveset!A2:I112,9,FALSE)="Water",Backdoors!BC20,IF(VLOOKUP(tbMoveset!A89,tbMoveset!A2:I112,9,FALSE)="Thunder",Backdoors!BD20,IF(VLOOKUP(tbMoveset!A89,tbMoveset!A2:I112,9,FALSE)="Ice",Backdoors!BE20,IF(VLOOKUP(tbMoveset!A89,tbMoveset!A2:I112,9,FALSE)="Dragon",Backdoors!BF20,Backdoors!BG20)))))/100,Backdoors!BG20/100),"")</f>
        <v>0</v>
      </c>
      <c r="DS89" s="49">
        <f>IFERROR(IF(VLOOKUP(A89,tbMoveset!A2:J112,10,FALSE)=TRUE,IF((Backdoors!AI12+IF(DQ89&gt;=0.45,VLOOKUP(Calculator!E23,tbSkills!DH3:DI6,2,FALSE)+IF(AND(Calculator!B8=TRUE,Backdoors!BI20=TRUE),VLOOKUP(Calculator!E23,tbSkills!DH3:DJ6,3,FALSE),0),0))&gt;=0,1+(Backdoors!AL2*(IF((Backdoors!AI12+IF(DQ89&gt;=0.45,VLOOKUP(Calculator!E23,tbSkills!DH3:DI6,2,FALSE)+IF(AND(Calculator!B8=TRUE,Backdoors!BI20=TRUE),VLOOKUP(Calculator!E23,tbSkills!DH3:DJ6,3,FALSE),0),0))&gt;=100,100,(Backdoors!AI12+IF(DQ89&gt;=0.45,VLOOKUP(Calculator!E23,tbSkills!DH3:DI6,2,FALSE)+IF(AND(Calculator!B8=TRUE,Backdoors!BI20=TRUE),VLOOKUP(Calculator!E23,tbSkills!DH3:DJ6,3,FALSE),0),0)))/100)),(1-(0.25*((-Backdoors!AI12-IF(DQ89&gt;=0.45,VLOOKUP(Calculator!E23,tbSkills!DH3:DI6,2,FALSE)+IF(AND(Calculator!B8=TRUE,Backdoors!BI20=TRUE),VLOOKUP(Calculator!E23,tbSkills!DH3:DJ6,3,FALSE),0),0))/100)))),1),"")</f>
        <v>1</v>
      </c>
      <c r="DT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Q89)*DS89)*(VLOOKUP(A89,tbMoveset!A2:C112,3,FALSE)/100)*IF(VLOOKUP(A89,tbMoveset!A2:B112,2,FALSE)="Projectile",Backdoors!N10,Backdoors!N9),0),"")</f>
        <v/>
      </c>
      <c r="DU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Q89&gt;=0.45,VLOOKUP(Calculator!E23,tbSkills!DH3:DI6,2,FALSE)+IF(AND(Calculator!B8=TRUE,Backdoors!BI20=TRUE),VLOOKUP(Calculator!E23,tbSkills!DH3:DJ6,3,FALSE),0),0))&gt;=100,100,(Backdoors!AI12+IF(DQ89&gt;=0.45,VLOOKUP(Calculator!E23,tbSkills!DH3:DI6,2,FALSE)+IF(AND(Calculator!B8=TRUE,Backdoors!BI20=TRUE),VLOOKUP(Calculator!E23,tbSkills!DH3:DJ6,3,FALSE),0),0)))/100)),1))*IF(VLOOKUP(A89,tbMoveset!A2:K112,11,FALSE)=TRUE,Backdoors!AC5,1))*DR89,0),"")</f>
        <v>0</v>
      </c>
      <c r="DV89" s="49">
        <f>VLOOKUP(A89,tbMoveset!A2:G112,7,FALSE)*IFERROR(IF(Backdoors!AI12&gt;=0,1+(IF(Calculator!E40&gt;0,VLOOKUP(Calculator!E40,tbSkills!AI3:AJ5,2,FALSE),Backdoors!AL4)*(IF((Backdoors!AI12+IF(DQ89&gt;=0.45,VLOOKUP(Calculator!E23,tbSkills!DH3:DI6,2,FALSE)+IF(AND(Calculator!B8=TRUE,Backdoors!BI20=TRUE),VLOOKUP(Calculator!E23,tbSkills!DH3:DJ6,3,FALSE),0),0))&gt;=100,100,(Backdoors!AI12+IF(DQ89&gt;=0.45,VLOOKUP(Calculator!E23,tbSkills!DH3:DI6,2,FALSE)+IF(AND(Calculator!B8=TRUE,Backdoors!BI20=TRUE),VLOOKUP(Calculator!E23,tbSkills!DH3:DJ6,3,FALSE),0),0)))/100)),1),1)</f>
        <v>0.7</v>
      </c>
      <c r="DW89" s="87">
        <f t="shared" si="68"/>
        <v>0</v>
      </c>
      <c r="DX89" s="86" t="str">
        <f>IFERROR(IF(VLOOKUP(A89,tbMoveset!A2:B112,2,FALSE)="Sever",Backdoors!AY21/100,IF(VLOOKUP(A89,tbMoveset!A2:B112,2,FALSE)="Blunt",Backdoors!AZ21/100,Backdoors!BA21/100)),"")</f>
        <v/>
      </c>
      <c r="DY89" s="49">
        <f>IFERROR(IF(VLOOKUP(tbMoveset!A89,tbMoveset!A2:H112,8,FALSE)="Other",IF(VLOOKUP(tbMoveset!A89,tbMoveset!A2:I112,9,FALSE)="Fire",Backdoors!BB21,IF(VLOOKUP(tbMoveset!A89,tbMoveset!A2:I112,9,FALSE)="Water",Backdoors!BC21,IF(VLOOKUP(tbMoveset!A89,tbMoveset!A2:I112,9,FALSE)="Thunder",Backdoors!BD21,IF(VLOOKUP(tbMoveset!A89,tbMoveset!A2:I112,9,FALSE)="Ice",Backdoors!BE21,IF(VLOOKUP(tbMoveset!A89,tbMoveset!A2:I112,9,FALSE)="Dragon",Backdoors!BF21,Backdoors!BG21)))))/100,Backdoors!BG21/100),"")</f>
        <v>0</v>
      </c>
      <c r="DZ89" s="49">
        <f>IFERROR(IF(VLOOKUP(A89,tbMoveset!A2:J112,10,FALSE)=TRUE,IF((Backdoors!AI12+IF(DX89&gt;=0.45,VLOOKUP(Calculator!E23,tbSkills!DH3:DI6,2,FALSE)+IF(AND(Calculator!B8=TRUE,Backdoors!BI21=TRUE),VLOOKUP(Calculator!E23,tbSkills!DH3:DJ6,3,FALSE),0),0))&gt;=0,1+(Backdoors!AL2*(IF((Backdoors!AI12+IF(DX89&gt;=0.45,VLOOKUP(Calculator!E23,tbSkills!DH3:DI6,2,FALSE)+IF(AND(Calculator!B8=TRUE,Backdoors!BI21=TRUE),VLOOKUP(Calculator!E23,tbSkills!DH3:DJ6,3,FALSE),0),0))&gt;=100,100,(Backdoors!AI12+IF(DX89&gt;=0.45,VLOOKUP(Calculator!E23,tbSkills!DH3:DI6,2,FALSE)+IF(AND(Calculator!B8=TRUE,Backdoors!BI21=TRUE),VLOOKUP(Calculator!E23,tbSkills!DH3:DJ6,3,FALSE),0),0)))/100)),(1-(0.25*((-Backdoors!AI12-IF(DX89&gt;=0.45,VLOOKUP(Calculator!E23,tbSkills!DH3:DI6,2,FALSE)+IF(AND(Calculator!B8=TRUE,Backdoors!BI21=TRUE),VLOOKUP(Calculator!E23,tbSkills!DH3:DJ6,3,FALSE),0),0))/100)))),1),"")</f>
        <v>1</v>
      </c>
      <c r="EA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X89)*DZ89)*(VLOOKUP(A89,tbMoveset!A2:C112,3,FALSE)/100)*IF(VLOOKUP(A89,tbMoveset!A2:B112,2,FALSE)="Projectile",Backdoors!N10,Backdoors!N9),0),"")</f>
        <v/>
      </c>
      <c r="EB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X89&gt;=0.45,VLOOKUP(Calculator!E23,tbSkills!DH3:DI6,2,FALSE)+IF(AND(Calculator!B8=TRUE,Backdoors!BI21=TRUE),VLOOKUP(Calculator!E23,tbSkills!DH3:DJ6,3,FALSE),0),0))&gt;=100,100,(Backdoors!AI12+IF(DX89&gt;=0.45,VLOOKUP(Calculator!E23,tbSkills!DH3:DI6,2,FALSE)+IF(AND(Calculator!B8=TRUE,Backdoors!BI21=TRUE),VLOOKUP(Calculator!E23,tbSkills!DH3:DJ6,3,FALSE),0),0)))/100)),1))*IF(VLOOKUP(A89,tbMoveset!A2:K112,11,FALSE)=TRUE,Backdoors!AC5,1))*DY89,0),"")</f>
        <v>0</v>
      </c>
      <c r="EC89" s="49">
        <f>VLOOKUP(A89,tbMoveset!A2:G112,7,FALSE)*IFERROR(IF(Backdoors!AI12&gt;=0,1+(IF(Calculator!E40&gt;0,VLOOKUP(Calculator!E40,tbSkills!AI3:AJ5,2,FALSE),Backdoors!AL4)*(IF((Backdoors!AI12+IF(DX89&gt;=0.45,VLOOKUP(Calculator!E23,tbSkills!DH3:DI6,2,FALSE)+IF(AND(Calculator!B8=TRUE,Backdoors!BI21=TRUE),VLOOKUP(Calculator!E23,tbSkills!DH3:DJ6,3,FALSE),0),0))&gt;=100,100,(Backdoors!AI12+IF(DX89&gt;=0.45,VLOOKUP(Calculator!E23,tbSkills!DH3:DI6,2,FALSE)+IF(AND(Calculator!B8=TRUE,Backdoors!BI21=TRUE),VLOOKUP(Calculator!E23,tbSkills!DH3:DJ6,3,FALSE),0),0)))/100)),1),1)</f>
        <v>0.7</v>
      </c>
      <c r="ED89" s="87">
        <f t="shared" si="69"/>
        <v>0</v>
      </c>
      <c r="EE89" s="86" t="str">
        <f>IFERROR(IF(VLOOKUP(A89,tbMoveset!A2:B112,2,FALSE)="Sever",Backdoors!AY22/100,IF(VLOOKUP(A89,tbMoveset!A2:B112,2,FALSE)="Blunt",Backdoors!AZ22/100,Backdoors!BA22/100)),"")</f>
        <v/>
      </c>
      <c r="EF89" s="49">
        <f>IFERROR(IF(VLOOKUP(tbMoveset!A89,tbMoveset!A2:H112,8,FALSE)="Other",IF(VLOOKUP(tbMoveset!A89,tbMoveset!A2:I112,9,FALSE)="Fire",Backdoors!BB22,IF(VLOOKUP(tbMoveset!A89,tbMoveset!A2:I112,9,FALSE)="Water",Backdoors!BC22,IF(VLOOKUP(tbMoveset!A89,tbMoveset!A2:I112,9,FALSE)="Thunder",Backdoors!BD22,IF(VLOOKUP(tbMoveset!A89,tbMoveset!A2:I112,9,FALSE)="Ice",Backdoors!BE22,IF(VLOOKUP(tbMoveset!A89,tbMoveset!A2:I112,9,FALSE)="Dragon",Backdoors!BF22,Backdoors!BG22)))))/100,Backdoors!BG22/100),"")</f>
        <v>0</v>
      </c>
      <c r="EG89" s="49">
        <f>IFERROR(IF(VLOOKUP(A89,tbMoveset!A2:J112,10,FALSE)=TRUE,IF((Backdoors!AI12+IF(EE89&gt;=0.45,VLOOKUP(Calculator!E23,tbSkills!DH3:DI6,2,FALSE)+IF(AND(Calculator!B8=TRUE,Backdoors!BI22=TRUE),VLOOKUP(Calculator!E23,tbSkills!DH3:DJ6,3,FALSE),0),0))&gt;=0,1+(Backdoors!AL2*(IF((Backdoors!AI12+IF(EE89&gt;=0.45,VLOOKUP(Calculator!E23,tbSkills!DH3:DI6,2,FALSE)+IF(AND(Calculator!B8=TRUE,Backdoors!BI22=TRUE),VLOOKUP(Calculator!E23,tbSkills!DH3:DJ6,3,FALSE),0),0))&gt;=100,100,(Backdoors!AI12+IF(EE89&gt;=0.45,VLOOKUP(Calculator!E23,tbSkills!DH3:DI6,2,FALSE)+IF(AND(Calculator!B8=TRUE,Backdoors!BI22=TRUE),VLOOKUP(Calculator!E23,tbSkills!DH3:DJ6,3,FALSE),0),0)))/100)),(1-(0.25*((-Backdoors!AI12-IF(EE89&gt;=0.45,VLOOKUP(Calculator!E23,tbSkills!DH3:DI6,2,FALSE)+IF(AND(Calculator!B8=TRUE,Backdoors!BI22=TRUE),VLOOKUP(Calculator!E23,tbSkills!DH3:DJ6,3,FALSE),0),0))/100)))),1),"")</f>
        <v>1</v>
      </c>
      <c r="EH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E89)*EG89)*(VLOOKUP(A89,tbMoveset!A2:C112,3,FALSE)/100)*IF(VLOOKUP(A89,tbMoveset!A2:B112,2,FALSE)="Projectile",Backdoors!N10,Backdoors!N9),0),"")</f>
        <v/>
      </c>
      <c r="EI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E89&gt;=0.45,VLOOKUP(Calculator!E23,tbSkills!DH3:DI6,2,FALSE)+IF(AND(Calculator!B8=TRUE,Backdoors!BI22=TRUE),VLOOKUP(Calculator!E23,tbSkills!DH3:DJ6,3,FALSE),0),0))&gt;=100,100,(Backdoors!AI12+IF(EE89&gt;=0.45,VLOOKUP(Calculator!E23,tbSkills!DH3:DI6,2,FALSE)+IF(AND(Calculator!B8=TRUE,Backdoors!BI22=TRUE),VLOOKUP(Calculator!E23,tbSkills!DH3:DJ6,3,FALSE),0),0)))/100)),1))*IF(VLOOKUP(A89,tbMoveset!A2:K112,11,FALSE)=TRUE,Backdoors!AC5,1))*EF89,0),"")</f>
        <v>0</v>
      </c>
      <c r="EJ89" s="49">
        <f>VLOOKUP(A89,tbMoveset!A2:G112,7,FALSE)*IFERROR(IF(Backdoors!AI12&gt;=0,1+(IF(Calculator!E40&gt;0,VLOOKUP(Calculator!E40,tbSkills!AI3:AJ5,2,FALSE),Backdoors!AL4)*(IF((Backdoors!AI12+IF(EE89&gt;=0.45,VLOOKUP(Calculator!E23,tbSkills!DH3:DI6,2,FALSE)+IF(AND(Calculator!B8=TRUE,Backdoors!BI22=TRUE),VLOOKUP(Calculator!E23,tbSkills!DH3:DJ6,3,FALSE),0),0))&gt;=100,100,(Backdoors!AI12+IF(EE89&gt;=0.45,VLOOKUP(Calculator!E23,tbSkills!DH3:DI6,2,FALSE)+IF(AND(Calculator!B8=TRUE,Backdoors!BI22=TRUE),VLOOKUP(Calculator!E23,tbSkills!DH3:DJ6,3,FALSE),0),0)))/100)),1),1)</f>
        <v>0.7</v>
      </c>
      <c r="EK89" s="87">
        <f t="shared" si="70"/>
        <v>0</v>
      </c>
      <c r="EL89" s="86" t="str">
        <f>IFERROR(IF(VLOOKUP(A89,tbMoveset!A2:B112,2,FALSE)="Sever",Backdoors!AY23/100,IF(VLOOKUP(A89,tbMoveset!A2:B112,2,FALSE)="Blunt",Backdoors!AZ23/100,Backdoors!BA23/100)),"")</f>
        <v/>
      </c>
      <c r="EM89" s="49">
        <f>IFERROR(IF(VLOOKUP(tbMoveset!A89,tbMoveset!A2:H112,8,FALSE)="Other",IF(VLOOKUP(tbMoveset!A89,tbMoveset!A2:I112,9,FALSE)="Fire",Backdoors!BB23,IF(VLOOKUP(tbMoveset!A89,tbMoveset!A2:I112,9,FALSE)="Water",Backdoors!BC23,IF(VLOOKUP(tbMoveset!A89,tbMoveset!A2:I112,9,FALSE)="Thunder",Backdoors!BD23,IF(VLOOKUP(tbMoveset!A89,tbMoveset!A2:I112,9,FALSE)="Ice",Backdoors!BE23,IF(VLOOKUP(tbMoveset!A89,tbMoveset!A2:I112,9,FALSE)="Dragon",Backdoors!BF23,Backdoors!BG23)))))/100,Backdoors!BG23/100),"")</f>
        <v>0</v>
      </c>
      <c r="EN89" s="49">
        <f>IFERROR(IF(VLOOKUP(A89,tbMoveset!A2:J112,10,FALSE)=TRUE,IF((Backdoors!AI12+IF(EL89&gt;=0.45,VLOOKUP(Calculator!E23,tbSkills!DH3:DI6,2,FALSE)+IF(AND(Calculator!B8=TRUE,Backdoors!BI23=TRUE),VLOOKUP(Calculator!E23,tbSkills!DH3:DJ6,3,FALSE),0),0))&gt;=0,1+(Backdoors!AL2*(IF((Backdoors!AI12+IF(EL89&gt;=0.45,VLOOKUP(Calculator!E23,tbSkills!DH3:DI6,2,FALSE)+IF(AND(Calculator!B8=TRUE,Backdoors!BI23=TRUE),VLOOKUP(Calculator!E23,tbSkills!DH3:DJ6,3,FALSE),0),0))&gt;=100,100,(Backdoors!AI12+IF(EL89&gt;=0.45,VLOOKUP(Calculator!E23,tbSkills!DH3:DI6,2,FALSE)+IF(AND(Calculator!B8=TRUE,Backdoors!BI23=TRUE),VLOOKUP(Calculator!E23,tbSkills!DH3:DJ6,3,FALSE),0),0)))/100)),(1-(0.25*((-Backdoors!AI12-IF(EL89&gt;=0.45,VLOOKUP(Calculator!E23,tbSkills!DH3:DI6,2,FALSE)+IF(AND(Calculator!B8=TRUE,Backdoors!BI23=TRUE),VLOOKUP(Calculator!E23,tbSkills!DH3:DJ6,3,FALSE),0),0))/100)))),1),"")</f>
        <v>1</v>
      </c>
      <c r="EO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L89)*EN89)*(VLOOKUP(A89,tbMoveset!A2:C112,3,FALSE)/100)*IF(VLOOKUP(A89,tbMoveset!A2:B112,2,FALSE)="Projectile",Backdoors!N10,Backdoors!N9),0),"")</f>
        <v/>
      </c>
      <c r="EP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L89&gt;=0.45,VLOOKUP(Calculator!E23,tbSkills!DH3:DI6,2,FALSE)+IF(AND(Calculator!B8=TRUE,Backdoors!BI23=TRUE),VLOOKUP(Calculator!E23,tbSkills!DH3:DJ6,3,FALSE),0),0))&gt;=100,100,(Backdoors!AI12+IF(EL89&gt;=0.45,VLOOKUP(Calculator!E23,tbSkills!DH3:DI6,2,FALSE)+IF(AND(Calculator!B8=TRUE,Backdoors!BI23=TRUE),VLOOKUP(Calculator!E23,tbSkills!DH3:DJ6,3,FALSE),0),0)))/100)),1))*IF(VLOOKUP(A89,tbMoveset!A2:K112,11,FALSE)=TRUE,Backdoors!AC5,1))*EM89,0),"")</f>
        <v>0</v>
      </c>
      <c r="EQ89" s="49">
        <f>VLOOKUP(A89,tbMoveset!A2:G112,7,FALSE)*IFERROR(IF(Backdoors!AI12&gt;=0,1+(IF(Calculator!E40&gt;0,VLOOKUP(Calculator!E40,tbSkills!AI3:AJ5,2,FALSE),Backdoors!AL4)*(IF((Backdoors!AI12+IF(EL89&gt;=0.45,VLOOKUP(Calculator!E23,tbSkills!DH3:DI6,2,FALSE)+IF(AND(Calculator!B8=TRUE,Backdoors!BI23=TRUE),VLOOKUP(Calculator!E23,tbSkills!DH3:DJ6,3,FALSE),0),0))&gt;=100,100,(Backdoors!AI12+IF(EL89&gt;=0.45,VLOOKUP(Calculator!E23,tbSkills!DH3:DI6,2,FALSE)+IF(AND(Calculator!B8=TRUE,Backdoors!BI23=TRUE),VLOOKUP(Calculator!E23,tbSkills!DH3:DJ6,3,FALSE),0),0)))/100)),1),1)</f>
        <v>0.7</v>
      </c>
      <c r="ER89" s="87">
        <f t="shared" si="71"/>
        <v>0</v>
      </c>
      <c r="ES89" s="86" t="str">
        <f>IFERROR(IF(VLOOKUP(A89,tbMoveset!A2:B112,2,FALSE)="Sever",Backdoors!AY24/100,IF(VLOOKUP(A89,tbMoveset!A2:B112,2,FALSE)="Blunt",Backdoors!AZ24/100,Backdoors!BA24/100)),"")</f>
        <v/>
      </c>
      <c r="ET89" s="49">
        <f>IFERROR(IF(VLOOKUP(tbMoveset!A89,tbMoveset!A2:H112,8,FALSE)="Other",IF(VLOOKUP(tbMoveset!A89,tbMoveset!A2:I112,9,FALSE)="Fire",Backdoors!BB24,IF(VLOOKUP(tbMoveset!A89,tbMoveset!A2:I112,9,FALSE)="Water",Backdoors!BC24,IF(VLOOKUP(tbMoveset!A89,tbMoveset!A2:I112,9,FALSE)="Thunder",Backdoors!BD24,IF(VLOOKUP(tbMoveset!A89,tbMoveset!A2:I112,9,FALSE)="Ice",Backdoors!BE24,IF(VLOOKUP(tbMoveset!A89,tbMoveset!A2:I112,9,FALSE)="Dragon",Backdoors!BF24,Backdoors!BG24)))))/100,Backdoors!BG24/100),"")</f>
        <v>0</v>
      </c>
      <c r="EU89" s="49">
        <f>IFERROR(IF(VLOOKUP(A89,tbMoveset!A2:J112,10,FALSE)=TRUE,IF((Backdoors!AI12+IF(ES89&gt;=0.45,VLOOKUP(Calculator!E23,tbSkills!DH3:DI6,2,FALSE)+IF(AND(Calculator!B8=TRUE,Backdoors!BI24=TRUE),VLOOKUP(Calculator!E23,tbSkills!DH3:DJ6,3,FALSE),0),0))&gt;=0,1+(Backdoors!AL2*(IF((Backdoors!AI12+IF(ES89&gt;=0.45,VLOOKUP(Calculator!E23,tbSkills!DH3:DI6,2,FALSE)+IF(AND(Calculator!B8=TRUE,Backdoors!BI24=TRUE),VLOOKUP(Calculator!E23,tbSkills!DH3:DJ6,3,FALSE),0),0))&gt;=100,100,(Backdoors!AI12+IF(ES89&gt;=0.45,VLOOKUP(Calculator!E23,tbSkills!DH3:DI6,2,FALSE)+IF(AND(Calculator!B8=TRUE,Backdoors!BI24=TRUE),VLOOKUP(Calculator!E23,tbSkills!DH3:DJ6,3,FALSE),0),0)))/100)),(1-(0.25*((-Backdoors!AI12-IF(ES89&gt;=0.45,VLOOKUP(Calculator!E23,tbSkills!DH3:DI6,2,FALSE)+IF(AND(Calculator!B8=TRUE,Backdoors!BI24=TRUE),VLOOKUP(Calculator!E23,tbSkills!DH3:DJ6,3,FALSE),0),0))/100)))),1),"")</f>
        <v>1</v>
      </c>
      <c r="EV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S89)*EU89)*(VLOOKUP(A89,tbMoveset!A2:C112,3,FALSE)/100)*IF(VLOOKUP(A89,tbMoveset!A2:B112,2,FALSE)="Projectile",Backdoors!N10,Backdoors!N9),0),"")</f>
        <v/>
      </c>
      <c r="EW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S89&gt;=0.45,VLOOKUP(Calculator!E23,tbSkills!DH3:DI6,2,FALSE)+IF(AND(Calculator!B8=TRUE,Backdoors!BI24=TRUE),VLOOKUP(Calculator!E23,tbSkills!DH3:DJ6,3,FALSE),0),0))&gt;=100,100,(Backdoors!AI12+IF(ES89&gt;=0.45,VLOOKUP(Calculator!E23,tbSkills!DH3:DI6,2,FALSE)+IF(AND(Calculator!B8=TRUE,Backdoors!BI24=TRUE),VLOOKUP(Calculator!E23,tbSkills!DH3:DJ6,3,FALSE),0),0)))/100)),1))*IF(VLOOKUP(A89,tbMoveset!A2:K112,11,FALSE)=TRUE,Backdoors!AC5,1))*ET89,0),"")</f>
        <v>0</v>
      </c>
      <c r="EX89" s="49">
        <f>VLOOKUP(A89,tbMoveset!A2:G112,7,FALSE)*IFERROR(IF(Backdoors!AI12&gt;=0,1+(IF(Calculator!E40&gt;0,VLOOKUP(Calculator!E40,tbSkills!AI3:AJ5,2,FALSE),Backdoors!AL4)*(IF((Backdoors!AI12+IF(ES89&gt;=0.45,VLOOKUP(Calculator!E23,tbSkills!DH3:DI6,2,FALSE)+IF(AND(Calculator!B8=TRUE,Backdoors!BI24=TRUE),VLOOKUP(Calculator!E23,tbSkills!DH3:DJ6,3,FALSE),0),0))&gt;=100,100,(Backdoors!AI12+IF(ES89&gt;=0.45,VLOOKUP(Calculator!E23,tbSkills!DH3:DI6,2,FALSE)+IF(AND(Calculator!B8=TRUE,Backdoors!BI24=TRUE),VLOOKUP(Calculator!E23,tbSkills!DH3:DJ6,3,FALSE),0),0)))/100)),1),1)</f>
        <v>0.7</v>
      </c>
      <c r="EY89" s="87">
        <f t="shared" si="72"/>
        <v>0</v>
      </c>
      <c r="EZ89" s="86" t="str">
        <f>IFERROR(IF(VLOOKUP(A89,tbMoveset!A2:B112,2,FALSE)="Sever",Backdoors!AY25/100,IF(VLOOKUP(A89,tbMoveset!A2:B112,2,FALSE)="Blunt",Backdoors!AZ25/100,Backdoors!BA25/100)),"")</f>
        <v/>
      </c>
      <c r="FA89" s="49">
        <f>IFERROR(IF(VLOOKUP(tbMoveset!A89,tbMoveset!A2:H112,8,FALSE)="Other",IF(VLOOKUP(tbMoveset!A89,tbMoveset!A2:I112,9,FALSE)="Fire",Backdoors!BB25,IF(VLOOKUP(tbMoveset!A89,tbMoveset!A2:I112,9,FALSE)="Water",Backdoors!BC25,IF(VLOOKUP(tbMoveset!A89,tbMoveset!A2:I112,9,FALSE)="Thunder",Backdoors!BD25,IF(VLOOKUP(tbMoveset!A89,tbMoveset!A2:I112,9,FALSE)="Ice",Backdoors!BE25,IF(VLOOKUP(tbMoveset!A89,tbMoveset!A2:I112,9,FALSE)="Dragon",Backdoors!BF25,Backdoors!BG25)))))/100,Backdoors!BG25/100),"")</f>
        <v>0</v>
      </c>
      <c r="FB89" s="49">
        <f>IFERROR(IF(VLOOKUP(A89,tbMoveset!A2:J112,10,FALSE)=TRUE,IF((Backdoors!AI12+IF(EZ89&gt;=0.45,VLOOKUP(Calculator!E23,tbSkills!DH3:DI6,2,FALSE)+IF(AND(Calculator!B8=TRUE,Backdoors!BI25=TRUE),VLOOKUP(Calculator!E23,tbSkills!DH3:DJ6,3,FALSE),0),0))&gt;=0,1+(Backdoors!AL2*(IF((Backdoors!AI12+IF(EZ89&gt;=0.45,VLOOKUP(Calculator!E23,tbSkills!DH3:DI6,2,FALSE)+IF(AND(Calculator!B8=TRUE,Backdoors!BI25=TRUE),VLOOKUP(Calculator!E23,tbSkills!DH3:DJ6,3,FALSE),0),0))&gt;=100,100,(Backdoors!AI12+IF(EZ89&gt;=0.45,VLOOKUP(Calculator!E23,tbSkills!DH3:DI6,2,FALSE)+IF(AND(Calculator!B8=TRUE,Backdoors!BI25=TRUE),VLOOKUP(Calculator!E23,tbSkills!DH3:DJ6,3,FALSE),0),0)))/100)),(1-(0.25*((-Backdoors!AI12-IF(EZ89&gt;=0.45,VLOOKUP(Calculator!E23,tbSkills!DH3:DI6,2,FALSE)+IF(AND(Calculator!B8=TRUE,Backdoors!BI25=TRUE),VLOOKUP(Calculator!E23,tbSkills!DH3:DJ6,3,FALSE),0),0))/100)))),1),"")</f>
        <v>1</v>
      </c>
      <c r="FC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Z89)*FB89)*(VLOOKUP(A89,tbMoveset!A2:C112,3,FALSE)/100)*IF(VLOOKUP(A89,tbMoveset!A2:B112,2,FALSE)="Projectile",Backdoors!N10,Backdoors!N9),0),"")</f>
        <v/>
      </c>
      <c r="FD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Z89&gt;=0.45,VLOOKUP(Calculator!E23,tbSkills!DH3:DI6,2,FALSE)+IF(AND(Calculator!B8=TRUE,Backdoors!BI25=TRUE),VLOOKUP(Calculator!E23,tbSkills!DH3:DJ6,3,FALSE),0),0))&gt;=100,100,(Backdoors!AI12+IF(EZ89&gt;=0.45,VLOOKUP(Calculator!E23,tbSkills!DH3:DI6,2,FALSE)+IF(AND(Calculator!B8=TRUE,Backdoors!BI25=TRUE),VLOOKUP(Calculator!E23,tbSkills!DH3:DJ6,3,FALSE),0),0)))/100)),1))*IF(VLOOKUP(A89,tbMoveset!A2:K112,11,FALSE)=TRUE,Backdoors!AC5,1))*FA89,0),"")</f>
        <v>0</v>
      </c>
      <c r="FE89" s="49">
        <f>VLOOKUP(A89,tbMoveset!A2:G112,7,FALSE)*IFERROR(IF(Backdoors!AI12&gt;=0,1+(IF(Calculator!E40&gt;0,VLOOKUP(Calculator!E40,tbSkills!AI3:AJ5,2,FALSE),Backdoors!AL4)*(IF((Backdoors!AI12+IF(EZ89&gt;=0.45,VLOOKUP(Calculator!E23,tbSkills!DH3:DI6,2,FALSE)+IF(AND(Calculator!B8=TRUE,Backdoors!BI25=TRUE),VLOOKUP(Calculator!E23,tbSkills!DH3:DJ6,3,FALSE),0),0))&gt;=100,100,(Backdoors!AI12+IF(EZ89&gt;=0.45,VLOOKUP(Calculator!E23,tbSkills!DH3:DI6,2,FALSE)+IF(AND(Calculator!B8=TRUE,Backdoors!BI25=TRUE),VLOOKUP(Calculator!E23,tbSkills!DH3:DJ6,3,FALSE),0),0)))/100)),1),1)</f>
        <v>0.7</v>
      </c>
      <c r="FF89" s="87">
        <f t="shared" si="73"/>
        <v>0</v>
      </c>
      <c r="FG89" s="86" t="str">
        <f>IFERROR(IF(VLOOKUP(A89,tbMoveset!A2:B112,2,FALSE)="Sever",Backdoors!AY26/100,IF(VLOOKUP(A89,tbMoveset!A2:B112,2,FALSE)="Blunt",Backdoors!AZ26/100,Backdoors!BA26/100)),"")</f>
        <v/>
      </c>
      <c r="FH89" s="49">
        <f>IFERROR(IF(VLOOKUP(tbMoveset!A89,tbMoveset!A2:H112,8,FALSE)="Other",IF(VLOOKUP(tbMoveset!A89,tbMoveset!A2:I112,9,FALSE)="Fire",Backdoors!BB26,IF(VLOOKUP(tbMoveset!A89,tbMoveset!A2:I112,9,FALSE)="Water",Backdoors!BC26,IF(VLOOKUP(tbMoveset!A89,tbMoveset!A2:I112,9,FALSE)="Thunder",Backdoors!BD26,IF(VLOOKUP(tbMoveset!A89,tbMoveset!A2:I112,9,FALSE)="Ice",Backdoors!BE26,IF(VLOOKUP(tbMoveset!A89,tbMoveset!A2:I112,9,FALSE)="Dragon",Backdoors!BF26,Backdoors!BG26)))))/100,Backdoors!BG26/100),"")</f>
        <v>0</v>
      </c>
      <c r="FI89" s="49">
        <f>IFERROR(IF(VLOOKUP(A89,tbMoveset!A2:J112,10,FALSE)=TRUE,IF((Backdoors!AI12+IF(FG89&gt;=0.45,VLOOKUP(Calculator!E23,tbSkills!DH3:DI6,2,FALSE)+IF(AND(Calculator!B8=TRUE,Backdoors!BI26=TRUE),VLOOKUP(Calculator!E23,tbSkills!DH3:DJ6,3,FALSE),0),0))&gt;=0,1+(Backdoors!AL2*(IF((Backdoors!AI12+IF(FG89&gt;=0.45,VLOOKUP(Calculator!E23,tbSkills!DH3:DI6,2,FALSE)+IF(AND(Calculator!B8=TRUE,Backdoors!BI26=TRUE),VLOOKUP(Calculator!E23,tbSkills!DH3:DJ6,3,FALSE),0),0))&gt;=100,100,(Backdoors!AI12+IF(FG89&gt;=0.45,VLOOKUP(Calculator!E23,tbSkills!DH3:DI6,2,FALSE)+IF(AND(Calculator!B8=TRUE,Backdoors!BI26=TRUE),VLOOKUP(Calculator!E23,tbSkills!DH3:DJ6,3,FALSE),0),0)))/100)),(1-(0.25*((-Backdoors!AI12-IF(FG89&gt;=0.45,VLOOKUP(Calculator!E23,tbSkills!DH3:DI6,2,FALSE)+IF(AND(Calculator!B8=TRUE,Backdoors!BI26=TRUE),VLOOKUP(Calculator!E23,tbSkills!DH3:DJ6,3,FALSE),0),0))/100)))),1),"")</f>
        <v>1</v>
      </c>
      <c r="FJ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FG89)*FI89)*(VLOOKUP(A89,tbMoveset!A2:C112,3,FALSE)/100)*IF(VLOOKUP(A89,tbMoveset!A2:B112,2,FALSE)="Projectile",Backdoors!N10,Backdoors!N9),0),"")</f>
        <v/>
      </c>
      <c r="FK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FG89&gt;=0.45,VLOOKUP(Calculator!E23,tbSkills!DH3:DI6,2,FALSE)+IF(AND(Calculator!B8=TRUE,Backdoors!BI26=TRUE),VLOOKUP(Calculator!E23,tbSkills!DH3:DJ6,3,FALSE),0),0))&gt;=100,100,(Backdoors!AI12+IF(FG89&gt;=0.45,VLOOKUP(Calculator!E23,tbSkills!DH3:DI6,2,FALSE)+IF(AND(Calculator!B8=TRUE,Backdoors!BI26=TRUE),VLOOKUP(Calculator!E23,tbSkills!DH3:DJ6,3,FALSE),0),0)))/100)),1))*IF(VLOOKUP(A89,tbMoveset!A2:K112,11,FALSE)=TRUE,Backdoors!AC5,1))*FH89,0),"")</f>
        <v>0</v>
      </c>
      <c r="FL89" s="49">
        <f>VLOOKUP(A89,tbMoveset!A2:G112,7,FALSE)*IFERROR(IF(Backdoors!AI12&gt;=0,1+(IF(Calculator!E40&gt;0,VLOOKUP(Calculator!E40,tbSkills!AI3:AJ5,2,FALSE),Backdoors!AL4)*(IF((Backdoors!AI12+IF(FG89&gt;=0.45,VLOOKUP(Calculator!E23,tbSkills!DH3:DI6,2,FALSE)+IF(AND(Calculator!B8=TRUE,Backdoors!BI26=TRUE),VLOOKUP(Calculator!E23,tbSkills!DH3:DJ6,3,FALSE),0),0))&gt;=100,100,(Backdoors!AI12+IF(FG89&gt;=0.45,VLOOKUP(Calculator!E23,tbSkills!DH3:DI6,2,FALSE)+IF(AND(Calculator!B8=TRUE,Backdoors!BI26=TRUE),VLOOKUP(Calculator!E23,tbSkills!DH3:DJ6,3,FALSE),0),0)))/100)),1),1)</f>
        <v>0.7</v>
      </c>
      <c r="FM89" s="87">
        <f t="shared" si="74"/>
        <v>0</v>
      </c>
      <c r="FN89" s="86" t="str">
        <f>IFERROR(IF(VLOOKUP(A89,tbMoveset!A2:B112,2,FALSE)="Sever",Backdoors!AY27/100,IF(VLOOKUP(A89,tbMoveset!A2:B112,2,FALSE)="Blunt",Backdoors!AZ27/100,Backdoors!BA27/100)),"")</f>
        <v/>
      </c>
      <c r="FO89" s="49">
        <f>IFERROR(IF(VLOOKUP(tbMoveset!A89,tbMoveset!A2:H112,8,FALSE)="Other",IF(VLOOKUP(tbMoveset!A89,tbMoveset!A2:I112,9,FALSE)="Fire",Backdoors!BB27,IF(VLOOKUP(tbMoveset!A89,tbMoveset!A2:I112,9,FALSE)="Water",Backdoors!BC27,IF(VLOOKUP(tbMoveset!A89,tbMoveset!A2:I112,9,FALSE)="Thunder",Backdoors!BD27,IF(VLOOKUP(tbMoveset!A89,tbMoveset!A2:I112,9,FALSE)="Ice",Backdoors!BE27,IF(VLOOKUP(tbMoveset!A89,tbMoveset!A2:I112,9,FALSE)="Dragon",Backdoors!BF27,Backdoors!BG27)))))/100,Backdoors!BG27/100),"")</f>
        <v>0</v>
      </c>
      <c r="FP89" s="49">
        <f>IFERROR(IF(VLOOKUP(A89,tbMoveset!A2:J112,10,FALSE)=TRUE,IF((Backdoors!AI12+IF(FN89&gt;=0.45,VLOOKUP(Calculator!E23,tbSkills!DH3:DI6,2,FALSE)+IF(AND(Calculator!B8=TRUE,Backdoors!BI27=TRUE),VLOOKUP(Calculator!E23,tbSkills!DH3:DJ6,3,FALSE),0),0))&gt;=0,1+(Backdoors!AL2*(IF((Backdoors!AI12+IF(FN89&gt;=0.45,VLOOKUP(Calculator!E23,tbSkills!DH3:DI6,2,FALSE)+IF(AND(Calculator!B8=TRUE,Backdoors!BI27=TRUE),VLOOKUP(Calculator!E23,tbSkills!DH3:DJ6,3,FALSE),0),0))&gt;=100,100,(Backdoors!AI12+IF(FN89&gt;=0.45,VLOOKUP(Calculator!E23,tbSkills!DH3:DI6,2,FALSE)+IF(AND(Calculator!B8=TRUE,Backdoors!BI27=TRUE),VLOOKUP(Calculator!E23,tbSkills!DH3:DJ6,3,FALSE),0),0)))/100)),(1-(0.25*((-Backdoors!AI12-IF(FN89&gt;=0.45,VLOOKUP(Calculator!E23,tbSkills!DH3:DI6,2,FALSE)+IF(AND(Calculator!B8=TRUE,Backdoors!BI27=TRUE),VLOOKUP(Calculator!E23,tbSkills!DH3:DJ6,3,FALSE),0),0))/100)))),1),"")</f>
        <v>1</v>
      </c>
      <c r="FQ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FN89)*FP89)*(VLOOKUP(A89,tbMoveset!A2:C112,3,FALSE)/100)*IF(VLOOKUP(A89,tbMoveset!A2:B112,2,FALSE)="Projectile",Backdoors!N10,Backdoors!N9),0),"")</f>
        <v/>
      </c>
      <c r="FR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FN89&gt;=0.45,VLOOKUP(Calculator!E23,tbSkills!DH3:DI6,2,FALSE)+IF(AND(Calculator!B8=TRUE,Backdoors!BI27=TRUE),VLOOKUP(Calculator!E23,tbSkills!DH3:DJ6,3,FALSE),0),0))&gt;=100,100,(Backdoors!AI12+IF(FN89&gt;=0.45,VLOOKUP(Calculator!E23,tbSkills!DH3:DI6,2,FALSE)+IF(AND(Calculator!B8=TRUE,Backdoors!BI27=TRUE),VLOOKUP(Calculator!E23,tbSkills!DH3:DJ6,3,FALSE),0),0)))/100)),1))*IF(VLOOKUP(A89,tbMoveset!A2:K112,11,FALSE)=TRUE,Backdoors!AC5,1))*FO89,0),"")</f>
        <v>0</v>
      </c>
      <c r="FS89" s="49">
        <f>VLOOKUP(A89,tbMoveset!A2:G112,7,FALSE)*IFERROR(IF(Backdoors!AI12&gt;=0,1+(IF(Calculator!E40&gt;0,VLOOKUP(Calculator!E40,tbSkills!AI3:AJ5,2,FALSE),Backdoors!AL4)*(IF((Backdoors!AI12+IF(FN89&gt;=0.45,VLOOKUP(Calculator!E23,tbSkills!DH3:DI6,2,FALSE)+IF(AND(Calculator!B8=TRUE,Backdoors!BI27=TRUE),VLOOKUP(Calculator!E23,tbSkills!DH3:DJ6,3,FALSE),0),0))&gt;=100,100,(Backdoors!AI12+IF(FN89&gt;=0.45,VLOOKUP(Calculator!E23,tbSkills!DH3:DI6,2,FALSE)+IF(AND(Calculator!B8=TRUE,Backdoors!BI27=TRUE),VLOOKUP(Calculator!E23,tbSkills!DH3:DJ6,3,FALSE),0),0)))/100)),1),1)</f>
        <v>0.7</v>
      </c>
      <c r="FT89" s="87">
        <f t="shared" si="75"/>
        <v>0</v>
      </c>
      <c r="FU89" s="86" t="str">
        <f>IFERROR(IF(VLOOKUP(A89,tbMoveset!A2:B112,2,FALSE)="Sever",Backdoors!AY28/100,IF(VLOOKUP(A89,tbMoveset!A2:B112,2,FALSE)="Blunt",Backdoors!AZ28/100,Backdoors!BA28/100)),"")</f>
        <v/>
      </c>
      <c r="FV89" s="49">
        <f>IFERROR(IF(VLOOKUP(tbMoveset!A89,tbMoveset!A2:H112,8,FALSE)="Other",IF(VLOOKUP(tbMoveset!A89,tbMoveset!A2:I112,9,FALSE)="Fire",Backdoors!BB28,IF(VLOOKUP(tbMoveset!A89,tbMoveset!A2:I112,9,FALSE)="Water",Backdoors!BC28,IF(VLOOKUP(tbMoveset!A89,tbMoveset!A2:I112,9,FALSE)="Thunder",Backdoors!BD28,IF(VLOOKUP(tbMoveset!A89,tbMoveset!A2:I112,9,FALSE)="Ice",Backdoors!BE28,IF(VLOOKUP(tbMoveset!A89,tbMoveset!A2:I112,9,FALSE)="Dragon",Backdoors!BF28,Backdoors!BG28)))))/100,Backdoors!BG28/100),"")</f>
        <v>0</v>
      </c>
      <c r="FW89" s="49">
        <f>IFERROR(IF(VLOOKUP(A89,tbMoveset!A2:J112,10,FALSE)=TRUE,IF((Backdoors!AI12+IF(FU89&gt;=0.45,VLOOKUP(Calculator!E23,tbSkills!DH3:DI6,2,FALSE)+IF(AND(Calculator!B8=TRUE,Backdoors!BI28=TRUE),VLOOKUP(Calculator!E23,tbSkills!DH3:DJ6,3,FALSE),0),0))&gt;=0,1+(Backdoors!AL2*(IF((Backdoors!AI12+IF(FU89&gt;=0.45,VLOOKUP(Calculator!E23,tbSkills!DH3:DI6,2,FALSE)+IF(AND(Calculator!B8=TRUE,Backdoors!BI28=TRUE),VLOOKUP(Calculator!E23,tbSkills!DH3:DJ6,3,FALSE),0),0))&gt;=100,100,(Backdoors!AI12+IF(FU89&gt;=0.45,VLOOKUP(Calculator!E23,tbSkills!DH3:DI6,2,FALSE)+IF(AND(Calculator!B8=TRUE,Backdoors!BI28=TRUE),VLOOKUP(Calculator!E23,tbSkills!DH3:DJ6,3,FALSE),0),0)))/100)),(1-(0.25*((-Backdoors!AI12-IF(FU89&gt;=0.45,VLOOKUP(Calculator!E23,tbSkills!DH3:DI6,2,FALSE)+IF(AND(Calculator!B8=TRUE,Backdoors!BI28=TRUE),VLOOKUP(Calculator!E23,tbSkills!DH3:DJ6,3,FALSE),0),0))/100)))),1),"")</f>
        <v>1</v>
      </c>
      <c r="FX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FU89)*FW89)*(VLOOKUP(A89,tbMoveset!A2:C112,3,FALSE)/100)*IF(VLOOKUP(A89,tbMoveset!A2:B112,2,FALSE)="Projectile",Backdoors!N10,Backdoors!N9),0),"")</f>
        <v/>
      </c>
      <c r="FY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FU89&gt;=0.45,VLOOKUP(Calculator!E23,tbSkills!DH3:DI6,2,FALSE)+IF(AND(Calculator!B8=TRUE,Backdoors!BI28=TRUE),VLOOKUP(Calculator!E23,tbSkills!DH3:DJ6,3,FALSE),0),0))&gt;=100,100,(Backdoors!AI12+IF(FU89&gt;=0.45,VLOOKUP(Calculator!E23,tbSkills!DH3:DI6,2,FALSE)+IF(AND(Calculator!B8=TRUE,Backdoors!BI28=TRUE),VLOOKUP(Calculator!E23,tbSkills!DH3:DJ6,3,FALSE),0),0)))/100)),1))*IF(VLOOKUP(A89,tbMoveset!A2:K112,11,FALSE)=TRUE,Backdoors!AC5,1))*FV89,0),"")</f>
        <v>0</v>
      </c>
      <c r="FZ89" s="49">
        <f>VLOOKUP(A89,tbMoveset!A2:G112,7,FALSE)*IFERROR(IF(Backdoors!AI12&gt;=0,1+(IF(Calculator!E40&gt;0,VLOOKUP(Calculator!E40,tbSkills!AI3:AJ5,2,FALSE),Backdoors!AL4)*(IF((Backdoors!AI12+IF(FU89&gt;=0.45,VLOOKUP(Calculator!E23,tbSkills!DH3:DI6,2,FALSE)+IF(AND(Calculator!B8=TRUE,Backdoors!BI28=TRUE),VLOOKUP(Calculator!E23,tbSkills!DH3:DJ6,3,FALSE),0),0))&gt;=100,100,(Backdoors!AI12+IF(FU89&gt;=0.45,VLOOKUP(Calculator!E23,tbSkills!DH3:DI6,2,FALSE)+IF(AND(Calculator!B8=TRUE,Backdoors!BI28=TRUE),VLOOKUP(Calculator!E23,tbSkills!DH3:DJ6,3,FALSE),0),0)))/100)),1),1)</f>
        <v>0.7</v>
      </c>
      <c r="GA89" s="87">
        <f t="shared" si="76"/>
        <v>0</v>
      </c>
      <c r="GB89" s="86" t="str">
        <f>IFERROR(IF(VLOOKUP(A89,tbMoveset!A2:B112,2,FALSE)="Sever",Backdoors!AY29/100,IF(VLOOKUP(A89,tbMoveset!A2:B112,2,FALSE)="Blunt",Backdoors!AZ29/100,Backdoors!BA29/100)),"")</f>
        <v/>
      </c>
      <c r="GC89" s="49">
        <f>IFERROR(IF(VLOOKUP(tbMoveset!A89,tbMoveset!A2:H112,8,FALSE)="Other",IF(VLOOKUP(tbMoveset!A89,tbMoveset!A2:I112,9,FALSE)="Fire",Backdoors!BB29,IF(VLOOKUP(tbMoveset!A89,tbMoveset!A2:I112,9,FALSE)="Water",Backdoors!BC29,IF(VLOOKUP(tbMoveset!A89,tbMoveset!A2:I112,9,FALSE)="Thunder",Backdoors!BD29,IF(VLOOKUP(tbMoveset!A89,tbMoveset!A2:I112,9,FALSE)="Ice",Backdoors!BE29,IF(VLOOKUP(tbMoveset!A89,tbMoveset!A2:I112,9,FALSE)="Dragon",Backdoors!BF29,Backdoors!BG29)))))/100,Backdoors!BG29/100),"")</f>
        <v>0</v>
      </c>
      <c r="GD89" s="49">
        <f>IFERROR(IF(VLOOKUP(A89,tbMoveset!A2:J112,10,FALSE)=TRUE,IF((Backdoors!AI12+IF(GB89&gt;=0.45,VLOOKUP(Calculator!E23,tbSkills!DH3:DI6,2,FALSE)+IF(AND(Calculator!B8=TRUE,Backdoors!BI29=TRUE),VLOOKUP(Calculator!E23,tbSkills!DH3:DJ6,3,FALSE),0),0))&gt;=0,1+(Backdoors!AL2*(IF((Backdoors!AI12+IF(GB89&gt;=0.45,VLOOKUP(Calculator!E23,tbSkills!DH3:DI6,2,FALSE)+IF(AND(Calculator!B8=TRUE,Backdoors!BI29=TRUE),VLOOKUP(Calculator!E23,tbSkills!DH3:DJ6,3,FALSE),0),0))&gt;=100,100,(Backdoors!AI12+IF(GB89&gt;=0.45,VLOOKUP(Calculator!E23,tbSkills!DH3:DI6,2,FALSE)+IF(AND(Calculator!B8=TRUE,Backdoors!BI29=TRUE),VLOOKUP(Calculator!E23,tbSkills!DH3:DJ6,3,FALSE),0),0)))/100)),(1-(0.25*((-Backdoors!AI12-IF(GB89&gt;=0.45,VLOOKUP(Calculator!E23,tbSkills!DH3:DI6,2,FALSE)+IF(AND(Calculator!B8=TRUE,Backdoors!BI29=TRUE),VLOOKUP(Calculator!E23,tbSkills!DH3:DJ6,3,FALSE),0),0))/100)))),1),"")</f>
        <v>1</v>
      </c>
      <c r="GE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B89)*GD89)*(VLOOKUP(A89,tbMoveset!A2:C112,3,FALSE)/100)*IF(VLOOKUP(A89,tbMoveset!A2:B112,2,FALSE)="Projectile",Backdoors!N10,Backdoors!N9),0),"")</f>
        <v/>
      </c>
      <c r="GF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B89&gt;=0.45,VLOOKUP(Calculator!E23,tbSkills!DH3:DI6,2,FALSE)+IF(AND(Calculator!B8=TRUE,Backdoors!BI29=TRUE),VLOOKUP(Calculator!E23,tbSkills!DH3:DJ6,3,FALSE),0),0))&gt;=100,100,(Backdoors!AI12+IF(GB89&gt;=0.45,VLOOKUP(Calculator!E23,tbSkills!DH3:DI6,2,FALSE)+IF(AND(Calculator!B8=TRUE,Backdoors!BI29=TRUE),VLOOKUP(Calculator!E23,tbSkills!DH3:DJ6,3,FALSE),0),0)))/100)),1))*IF(VLOOKUP(A89,tbMoveset!A2:K112,11,FALSE)=TRUE,Backdoors!AC5,1))*GC89,0),"")</f>
        <v>0</v>
      </c>
      <c r="GG89" s="49">
        <f>VLOOKUP(A89,tbMoveset!A2:G112,7,FALSE)*IFERROR(IF(Backdoors!AI12&gt;=0,1+(IF(Calculator!E40&gt;0,VLOOKUP(Calculator!E40,tbSkills!AI3:AJ5,2,FALSE),Backdoors!AL4)*(IF((Backdoors!AI12+IF(GB89&gt;=0.45,VLOOKUP(Calculator!E23,tbSkills!DH3:DI6,2,FALSE)+IF(AND(Calculator!B8=TRUE,Backdoors!BI29=TRUE),VLOOKUP(Calculator!E23,tbSkills!DH3:DJ6,3,FALSE),0),0))&gt;=100,100,(Backdoors!AI12+IF(GB89&gt;=0.45,VLOOKUP(Calculator!E23,tbSkills!DH3:DI6,2,FALSE)+IF(AND(Calculator!B8=TRUE,Backdoors!BI29=TRUE),VLOOKUP(Calculator!E23,tbSkills!DH3:DJ6,3,FALSE),0),0)))/100)),1),1)</f>
        <v>0.7</v>
      </c>
      <c r="GH89" s="87">
        <f t="shared" si="77"/>
        <v>0</v>
      </c>
      <c r="GI89" s="86" t="str">
        <f>IFERROR(IF(VLOOKUP(A89,tbMoveset!A2:B112,2,FALSE)="Sever",Backdoors!AY30/100,IF(VLOOKUP(A89,tbMoveset!A2:B112,2,FALSE)="Blunt",Backdoors!AZ30/100,Backdoors!BA30/100)),"")</f>
        <v/>
      </c>
      <c r="GJ89" s="49">
        <f>IFERROR(IF(VLOOKUP(tbMoveset!A89,tbMoveset!A2:H112,8,FALSE)="Other",IF(VLOOKUP(tbMoveset!A89,tbMoveset!A2:I112,9,FALSE)="Fire",Backdoors!BB30,IF(VLOOKUP(tbMoveset!A89,tbMoveset!A2:I112,9,FALSE)="Water",Backdoors!BC30,IF(VLOOKUP(tbMoveset!A89,tbMoveset!A2:I112,9,FALSE)="Thunder",Backdoors!BD30,IF(VLOOKUP(tbMoveset!A89,tbMoveset!A2:I112,9,FALSE)="Ice",Backdoors!BE30,IF(VLOOKUP(tbMoveset!A89,tbMoveset!A2:I112,9,FALSE)="Dragon",Backdoors!BF30,Backdoors!BG30)))))/100,Backdoors!BG30/100),"")</f>
        <v>0</v>
      </c>
      <c r="GK89" s="49">
        <f>IFERROR(IF(VLOOKUP(A89,tbMoveset!A2:J112,10,FALSE)=TRUE,IF((Backdoors!AI12+IF(GI89&gt;=0.45,VLOOKUP(Calculator!E23,tbSkills!DH3:DI6,2,FALSE)+IF(AND(Calculator!B8=TRUE,Backdoors!BI30=TRUE),VLOOKUP(Calculator!E23,tbSkills!DH3:DJ6,3,FALSE),0),0))&gt;=0,1+(Backdoors!AL2*(IF((Backdoors!AI12+IF(GI89&gt;=0.45,VLOOKUP(Calculator!E23,tbSkills!DH3:DI6,2,FALSE)+IF(AND(Calculator!B8=TRUE,Backdoors!BI30=TRUE),VLOOKUP(Calculator!E23,tbSkills!DH3:DJ6,3,FALSE),0),0))&gt;=100,100,(Backdoors!AI12+IF(GI89&gt;=0.45,VLOOKUP(Calculator!E23,tbSkills!DH3:DI6,2,FALSE)+IF(AND(Calculator!B8=TRUE,Backdoors!BI30=TRUE),VLOOKUP(Calculator!E23,tbSkills!DH3:DJ6,3,FALSE),0),0)))/100)),(1-(0.25*((-Backdoors!AI12-IF(GI89&gt;=0.45,VLOOKUP(Calculator!E23,tbSkills!DH3:DI6,2,FALSE)+IF(AND(Calculator!B8=TRUE,Backdoors!BI30=TRUE),VLOOKUP(Calculator!E23,tbSkills!DH3:DJ6,3,FALSE),0),0))/100)))),1),"")</f>
        <v>1</v>
      </c>
      <c r="GL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I89)*GK89)*(VLOOKUP(A89,tbMoveset!A2:C112,3,FALSE)/100)*IF(VLOOKUP(A89,tbMoveset!A2:B112,2,FALSE)="Projectile",Backdoors!N10,Backdoors!N9),0),"")</f>
        <v/>
      </c>
      <c r="GM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I89&gt;=0.45,VLOOKUP(Calculator!E23,tbSkills!DH3:DI6,2,FALSE)+IF(AND(Calculator!B8=TRUE,Backdoors!BI30=TRUE),VLOOKUP(Calculator!E23,tbSkills!DH3:DJ6,3,FALSE),0),0))&gt;=100,100,(Backdoors!AI12+IF(GI89&gt;=0.45,VLOOKUP(Calculator!E23,tbSkills!DH3:DI6,2,FALSE)+IF(AND(Calculator!B8=TRUE,Backdoors!BI30=TRUE),VLOOKUP(Calculator!E23,tbSkills!DH3:DJ6,3,FALSE),0),0)))/100)),1))*IF(VLOOKUP(A89,tbMoveset!A2:K112,11,FALSE)=TRUE,Backdoors!AC5,1))*GJ89,0),"")</f>
        <v>0</v>
      </c>
      <c r="GN89" s="49">
        <f>VLOOKUP(A89,tbMoveset!A2:G112,7,FALSE)*IFERROR(IF(Backdoors!AI12&gt;=0,1+(IF(Calculator!E40&gt;0,VLOOKUP(Calculator!E40,tbSkills!AI3:AJ5,2,FALSE),Backdoors!AL4)*(IF((Backdoors!AI12+IF(GI89&gt;=0.45,VLOOKUP(Calculator!E23,tbSkills!DH3:DI6,2,FALSE)+IF(AND(Calculator!B8=TRUE,Backdoors!BI30=TRUE),VLOOKUP(Calculator!E23,tbSkills!DH3:DJ6,3,FALSE),0),0))&gt;=100,100,(Backdoors!AI12+IF(GI89&gt;=0.45,VLOOKUP(Calculator!E23,tbSkills!DH3:DI6,2,FALSE)+IF(AND(Calculator!B8=TRUE,Backdoors!BI30=TRUE),VLOOKUP(Calculator!E23,tbSkills!DH3:DJ6,3,FALSE),0),0)))/100)),1),1)</f>
        <v>0.7</v>
      </c>
      <c r="GO89" s="87">
        <f t="shared" si="78"/>
        <v>0</v>
      </c>
      <c r="GP89" s="86" t="str">
        <f>IFERROR(IF(VLOOKUP(A89,tbMoveset!A2:B112,2,FALSE)="Sever",Backdoors!AY31/100,IF(VLOOKUP(A89,tbMoveset!A2:B112,2,FALSE)="Blunt",Backdoors!AZ31/100,Backdoors!BA31/100)),"")</f>
        <v/>
      </c>
      <c r="GQ89" s="49">
        <f>IFERROR(IF(VLOOKUP(tbMoveset!A89,tbMoveset!A2:H112,8,FALSE)="Other",IF(VLOOKUP(tbMoveset!A89,tbMoveset!A2:I112,9,FALSE)="Fire",Backdoors!BB31,IF(VLOOKUP(tbMoveset!A89,tbMoveset!A2:I112,9,FALSE)="Water",Backdoors!BC31,IF(VLOOKUP(tbMoveset!A89,tbMoveset!A2:I112,9,FALSE)="Thunder",Backdoors!BD31,IF(VLOOKUP(tbMoveset!A89,tbMoveset!A2:I112,9,FALSE)="Ice",Backdoors!BE31,IF(VLOOKUP(tbMoveset!A89,tbMoveset!A2:I112,9,FALSE)="Dragon",Backdoors!BF31,Backdoors!BG31)))))/100,Backdoors!BG31/100),"")</f>
        <v>0</v>
      </c>
      <c r="GR89" s="49">
        <f>IFERROR(IF(VLOOKUP(A89,tbMoveset!A2:J112,10,FALSE)=TRUE,IF((Backdoors!AI12+IF(GP89&gt;=0.45,VLOOKUP(Calculator!E23,tbSkills!DH3:DI6,2,FALSE)+IF(AND(Calculator!B8=TRUE,Backdoors!BI31=TRUE),VLOOKUP(Calculator!E23,tbSkills!DH3:DJ6,3,FALSE),0),0))&gt;=0,1+(Backdoors!AL2*(IF((Backdoors!AI12+IF(GP89&gt;=0.45,VLOOKUP(Calculator!E23,tbSkills!DH3:DI6,2,FALSE)+IF(AND(Calculator!B8=TRUE,Backdoors!BI31=TRUE),VLOOKUP(Calculator!E23,tbSkills!DH3:DJ6,3,FALSE),0),0))&gt;=100,100,(Backdoors!AI12+IF(GP89&gt;=0.45,VLOOKUP(Calculator!E23,tbSkills!DH3:DI6,2,FALSE)+IF(AND(Calculator!B8=TRUE,Backdoors!BI31=TRUE),VLOOKUP(Calculator!E23,tbSkills!DH3:DJ6,3,FALSE),0),0)))/100)),(1-(0.25*((-Backdoors!AI12-IF(GP89&gt;=0.45,VLOOKUP(Calculator!E23,tbSkills!DH3:DI6,2,FALSE)+IF(AND(Calculator!B8=TRUE,Backdoors!BI31=TRUE),VLOOKUP(Calculator!E23,tbSkills!DH3:DJ6,3,FALSE),0),0))/100)))),1),"")</f>
        <v>1</v>
      </c>
      <c r="GS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P89)*GR89)*(VLOOKUP(A89,tbMoveset!A2:C112,3,FALSE)/100)*IF(VLOOKUP(A89,tbMoveset!A2:B112,2,FALSE)="Projectile",Backdoors!N10,Backdoors!N9),0),"")</f>
        <v/>
      </c>
      <c r="GT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P89&gt;=0.45,VLOOKUP(Calculator!E23,tbSkills!DH3:DI6,2,FALSE)+IF(AND(Calculator!B8=TRUE,Backdoors!BI31=TRUE),VLOOKUP(Calculator!E23,tbSkills!DH3:DJ6,3,FALSE),0),0))&gt;=100,100,(Backdoors!AI12+IF(GP89&gt;=0.45,VLOOKUP(Calculator!E23,tbSkills!DH3:DI6,2,FALSE)+IF(AND(Calculator!B8=TRUE,Backdoors!BI31=TRUE),VLOOKUP(Calculator!E23,tbSkills!DH3:DJ6,3,FALSE),0),0)))/100)),1))*IF(VLOOKUP(A89,tbMoveset!A2:K112,11,FALSE)=TRUE,Backdoors!AC5,1))*GQ89,0),"")</f>
        <v>0</v>
      </c>
      <c r="GU89" s="49">
        <f>VLOOKUP(A89,tbMoveset!A2:G112,7,FALSE)*IFERROR(IF(Backdoors!AI12&gt;=0,1+(IF(Calculator!E40&gt;0,VLOOKUP(Calculator!E40,tbSkills!AI3:AJ5,2,FALSE),Backdoors!AL4)*(IF((Backdoors!AI12+IF(GP89&gt;=0.45,VLOOKUP(Calculator!E23,tbSkills!DH3:DI6,2,FALSE)+IF(AND(Calculator!B8=TRUE,Backdoors!BI31=TRUE),VLOOKUP(Calculator!E23,tbSkills!DH3:DJ6,3,FALSE),0),0))&gt;=100,100,(Backdoors!AI12+IF(GP89&gt;=0.45,VLOOKUP(Calculator!E23,tbSkills!DH3:DI6,2,FALSE)+IF(AND(Calculator!B8=TRUE,Backdoors!BI31=TRUE),VLOOKUP(Calculator!E23,tbSkills!DH3:DJ6,3,FALSE),0),0)))/100)),1),1)</f>
        <v>0.7</v>
      </c>
      <c r="GV89" s="87">
        <f t="shared" si="79"/>
        <v>0</v>
      </c>
      <c r="GW89" s="86" t="str">
        <f>IFERROR(IF(VLOOKUP(A89,tbMoveset!A2:B112,2,FALSE)="Sever",Backdoors!AY32/100,IF(VLOOKUP(A89,tbMoveset!A2:B112,2,FALSE)="Blunt",Backdoors!AZ32/100,Backdoors!BA32/100)),"")</f>
        <v/>
      </c>
      <c r="GX89" s="49">
        <f>IFERROR(IF(VLOOKUP(tbMoveset!A89,tbMoveset!A2:H112,8,FALSE)="Other",IF(VLOOKUP(tbMoveset!A89,tbMoveset!A2:I112,9,FALSE)="Fire",Backdoors!BB32,IF(VLOOKUP(tbMoveset!A89,tbMoveset!A2:I112,9,FALSE)="Water",Backdoors!BC32,IF(VLOOKUP(tbMoveset!A89,tbMoveset!A2:I112,9,FALSE)="Thunder",Backdoors!BD32,IF(VLOOKUP(tbMoveset!A89,tbMoveset!A2:I112,9,FALSE)="Ice",Backdoors!BE32,IF(VLOOKUP(tbMoveset!A89,tbMoveset!A2:I112,9,FALSE)="Dragon",Backdoors!BF32,Backdoors!BG32)))))/100,Backdoors!BG32/100),"")</f>
        <v>0</v>
      </c>
      <c r="GY89" s="49">
        <f>IFERROR(IF(VLOOKUP(A89,tbMoveset!A2:J112,10,FALSE)=TRUE,IF((Backdoors!AI12+IF(GW89&gt;=0.45,VLOOKUP(Calculator!E23,tbSkills!DH3:DI6,2,FALSE)+IF(AND(Calculator!B8=TRUE,Backdoors!BI32=TRUE),VLOOKUP(Calculator!E23,tbSkills!DH3:DJ6,3,FALSE),0),0))&gt;=0,1+(Backdoors!AL2*(IF((Backdoors!AI12+IF(GW89&gt;=0.45,VLOOKUP(Calculator!E23,tbSkills!DH3:DI6,2,FALSE)+IF(AND(Calculator!B8=TRUE,Backdoors!BI32=TRUE),VLOOKUP(Calculator!E23,tbSkills!DH3:DJ6,3,FALSE),0),0))&gt;=100,100,(Backdoors!AI12+IF(GW89&gt;=0.45,VLOOKUP(Calculator!E23,tbSkills!DH3:DI6,2,FALSE)+IF(AND(Calculator!B8=TRUE,Backdoors!BI32=TRUE),VLOOKUP(Calculator!E23,tbSkills!DH3:DJ6,3,FALSE),0),0)))/100)),(1-(0.25*((-Backdoors!AI12-IF(GW89&gt;=0.45,VLOOKUP(Calculator!E23,tbSkills!DH3:DI6,2,FALSE)+IF(AND(Calculator!B8=TRUE,Backdoors!BI32=TRUE),VLOOKUP(Calculator!E23,tbSkills!DH3:DJ6,3,FALSE),0),0))/100)))),1),"")</f>
        <v>1</v>
      </c>
      <c r="GZ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W89)*GY89)*(VLOOKUP(A89,tbMoveset!A2:C112,3,FALSE)/100)*IF(VLOOKUP(A89,tbMoveset!A2:B112,2,FALSE)="Projectile",Backdoors!N10,Backdoors!N9),0),"")</f>
        <v/>
      </c>
      <c r="HA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W89&gt;=0.45,VLOOKUP(Calculator!E23,tbSkills!DH3:DI6,2,FALSE)+IF(AND(Calculator!B8=TRUE,Backdoors!BI32=TRUE),VLOOKUP(Calculator!E23,tbSkills!DH3:DJ6,3,FALSE),0),0))&gt;=100,100,(Backdoors!AI12+IF(GW89&gt;=0.45,VLOOKUP(Calculator!E23,tbSkills!DH3:DI6,2,FALSE)+IF(AND(Calculator!B8=TRUE,Backdoors!BI32=TRUE),VLOOKUP(Calculator!E23,tbSkills!DH3:DJ6,3,FALSE),0),0)))/100)),1))*IF(VLOOKUP(A89,tbMoveset!A2:K112,11,FALSE)=TRUE,Backdoors!AC5,1))*GX89,0),"")</f>
        <v>0</v>
      </c>
      <c r="HB89" s="49">
        <f>VLOOKUP(A89,tbMoveset!A2:G112,7,FALSE)*IFERROR(IF(Backdoors!AI12&gt;=0,1+(IF(Calculator!E40&gt;0,VLOOKUP(Calculator!E40,tbSkills!AI3:AJ5,2,FALSE),Backdoors!AL4)*(IF((Backdoors!AI12+IF(GW89&gt;=0.45,VLOOKUP(Calculator!E23,tbSkills!DH3:DI6,2,FALSE)+IF(AND(Calculator!B8=TRUE,Backdoors!BI32=TRUE),VLOOKUP(Calculator!E23,tbSkills!DH3:DJ6,3,FALSE),0),0))&gt;=100,100,(Backdoors!AI12+IF(GW89&gt;=0.45,VLOOKUP(Calculator!E23,tbSkills!DH3:DI6,2,FALSE)+IF(AND(Calculator!B8=TRUE,Backdoors!BI32=TRUE),VLOOKUP(Calculator!E23,tbSkills!DH3:DJ6,3,FALSE),0),0)))/100)),1),1)</f>
        <v>0.7</v>
      </c>
      <c r="HC89" s="87">
        <f t="shared" si="80"/>
        <v>0</v>
      </c>
      <c r="HD89" s="86" t="str">
        <f>IFERROR(IF(VLOOKUP(A89,tbMoveset!A2:B112,2,FALSE)="Sever",Backdoors!AY33/100,IF(VLOOKUP(A89,tbMoveset!A2:B112,2,FALSE)="Blunt",Backdoors!AZ33/100,Backdoors!BA33/100)),"")</f>
        <v/>
      </c>
      <c r="HE89" s="49">
        <f>IFERROR(IF(VLOOKUP(tbMoveset!A89,tbMoveset!A2:H112,8,FALSE)="Other",IF(VLOOKUP(tbMoveset!A89,tbMoveset!A2:I112,9,FALSE)="Fire",Backdoors!BB33,IF(VLOOKUP(tbMoveset!A89,tbMoveset!A2:I112,9,FALSE)="Water",Backdoors!BC33,IF(VLOOKUP(tbMoveset!A89,tbMoveset!A2:I112,9,FALSE)="Thunder",Backdoors!BD33,IF(VLOOKUP(tbMoveset!A89,tbMoveset!A2:I112,9,FALSE)="Ice",Backdoors!BE33,IF(VLOOKUP(tbMoveset!A89,tbMoveset!A2:I112,9,FALSE)="Dragon",Backdoors!BF33,Backdoors!BG33)))))/100,Backdoors!BG33/100),"")</f>
        <v>0</v>
      </c>
      <c r="HF89" s="49">
        <f>IFERROR(IF(VLOOKUP(A89,tbMoveset!A2:J112,10,FALSE)=TRUE,IF((Backdoors!AI12+IF(HD89&gt;=0.45,VLOOKUP(Calculator!E23,tbSkills!DH3:DI6,2,FALSE)+IF(AND(Calculator!B8=TRUE,Backdoors!BI33=TRUE),VLOOKUP(Calculator!E23,tbSkills!DH3:DJ6,3,FALSE),0),0))&gt;=0,1+(Backdoors!AL2*(IF((Backdoors!AI12+IF(HD89&gt;=0.45,VLOOKUP(Calculator!E23,tbSkills!DH3:DI6,2,FALSE)+IF(AND(Calculator!B8=TRUE,Backdoors!BI33=TRUE),VLOOKUP(Calculator!E23,tbSkills!DH3:DJ6,3,FALSE),0),0))&gt;=100,100,(Backdoors!AI12+IF(HD89&gt;=0.45,VLOOKUP(Calculator!E23,tbSkills!DH3:DI6,2,FALSE)+IF(AND(Calculator!B8=TRUE,Backdoors!BI33=TRUE),VLOOKUP(Calculator!E23,tbSkills!DH3:DJ6,3,FALSE),0),0)))/100)),(1-(0.25*((-Backdoors!AI12-IF(HD89&gt;=0.45,VLOOKUP(Calculator!E23,tbSkills!DH3:DI6,2,FALSE)+IF(AND(Calculator!B8=TRUE,Backdoors!BI33=TRUE),VLOOKUP(Calculator!E23,tbSkills!DH3:DJ6,3,FALSE),0),0))/100)))),1),"")</f>
        <v>1</v>
      </c>
      <c r="HG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D89)*HF89)*(VLOOKUP(A89,tbMoveset!A2:C112,3,FALSE)/100)*IF(VLOOKUP(A89,tbMoveset!A2:B112,2,FALSE)="Projectile",Backdoors!N10,Backdoors!N9),0),"")</f>
        <v/>
      </c>
      <c r="HH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D89&gt;=0.45,VLOOKUP(Calculator!E23,tbSkills!DH3:DI6,2,FALSE)+IF(AND(Calculator!B8=TRUE,Backdoors!BI33=TRUE),VLOOKUP(Calculator!E23,tbSkills!DH3:DJ6,3,FALSE),0),0))&gt;=100,100,(Backdoors!AI12+IF(HD89&gt;=0.45,VLOOKUP(Calculator!E23,tbSkills!DH3:DI6,2,FALSE)+IF(AND(Calculator!B8=TRUE,Backdoors!BI33=TRUE),VLOOKUP(Calculator!E23,tbSkills!DH3:DJ6,3,FALSE),0),0)))/100)),1))*IF(VLOOKUP(A89,tbMoveset!A2:K112,11,FALSE)=TRUE,Backdoors!AC5,1))*HE89,0),"")</f>
        <v>0</v>
      </c>
      <c r="HI89" s="49">
        <f>VLOOKUP(A89,tbMoveset!A2:G112,7,FALSE)*IFERROR(IF(Backdoors!AI12&gt;=0,1+(IF(Calculator!E40&gt;0,VLOOKUP(Calculator!E40,tbSkills!AI3:AJ5,2,FALSE),Backdoors!AL4)*(IF((Backdoors!AI12+IF(HD89&gt;=0.45,VLOOKUP(Calculator!E23,tbSkills!DH3:DI6,2,FALSE)+IF(AND(Calculator!B8=TRUE,Backdoors!BI33=TRUE),VLOOKUP(Calculator!E23,tbSkills!DH3:DJ6,3,FALSE),0),0))&gt;=100,100,(Backdoors!AI12+IF(HD89&gt;=0.45,VLOOKUP(Calculator!E23,tbSkills!DH3:DI6,2,FALSE)+IF(AND(Calculator!B8=TRUE,Backdoors!BI33=TRUE),VLOOKUP(Calculator!E23,tbSkills!DH3:DJ6,3,FALSE),0),0)))/100)),1),1)</f>
        <v>0.7</v>
      </c>
      <c r="HJ89" s="87">
        <f t="shared" si="81"/>
        <v>0</v>
      </c>
      <c r="HK89" s="86" t="str">
        <f>IFERROR(IF(VLOOKUP(A89,tbMoveset!A2:B112,2,FALSE)="Sever",Backdoors!AY34/100,IF(VLOOKUP(A89,tbMoveset!A2:B112,2,FALSE)="Blunt",Backdoors!AZ34/100,Backdoors!BA34/100)),"")</f>
        <v/>
      </c>
      <c r="HL89" s="49">
        <f>IFERROR(IF(VLOOKUP(tbMoveset!A89,tbMoveset!A2:H112,8,FALSE)="Other",IF(VLOOKUP(tbMoveset!A89,tbMoveset!A2:I112,9,FALSE)="Fire",Backdoors!BB34,IF(VLOOKUP(tbMoveset!A89,tbMoveset!A2:I112,9,FALSE)="Water",Backdoors!BC34,IF(VLOOKUP(tbMoveset!A89,tbMoveset!A2:I112,9,FALSE)="Thunder",Backdoors!BD34,IF(VLOOKUP(tbMoveset!A89,tbMoveset!A2:I112,9,FALSE)="Ice",Backdoors!BE34,IF(VLOOKUP(tbMoveset!A89,tbMoveset!A2:I112,9,FALSE)="Dragon",Backdoors!BF34,Backdoors!BG34)))))/100,Backdoors!BG34/100),"")</f>
        <v>0</v>
      </c>
      <c r="HM89" s="49">
        <f>IFERROR(IF(VLOOKUP(A89,tbMoveset!A2:J112,10,FALSE)=TRUE,IF((Backdoors!AI12+IF(HK89&gt;=0.45,VLOOKUP(Calculator!E23,tbSkills!DH3:DI6,2,FALSE)+IF(AND(Calculator!B8=TRUE,Backdoors!BI34=TRUE),VLOOKUP(Calculator!E23,tbSkills!DH3:DJ6,3,FALSE),0),0))&gt;=0,1+(Backdoors!AL2*(IF((Backdoors!AI12+IF(HK89&gt;=0.45,VLOOKUP(Calculator!E23,tbSkills!DH3:DI6,2,FALSE)+IF(AND(Calculator!B8=TRUE,Backdoors!BI34=TRUE),VLOOKUP(Calculator!E23,tbSkills!DH3:DJ6,3,FALSE),0),0))&gt;=100,100,(Backdoors!AI12+IF(HK89&gt;=0.45,VLOOKUP(Calculator!E23,tbSkills!DH3:DI6,2,FALSE)+IF(AND(Calculator!B8=TRUE,Backdoors!BI34=TRUE),VLOOKUP(Calculator!E23,tbSkills!DH3:DJ6,3,FALSE),0),0)))/100)),(1-(0.25*((-Backdoors!AI12-IF(HK89&gt;=0.45,VLOOKUP(Calculator!E23,tbSkills!DH3:DI6,2,FALSE)+IF(AND(Calculator!B8=TRUE,Backdoors!BI34=TRUE),VLOOKUP(Calculator!E23,tbSkills!DH3:DJ6,3,FALSE),0),0))/100)))),1),"")</f>
        <v>1</v>
      </c>
      <c r="HN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K89)*HM89)*(VLOOKUP(A89,tbMoveset!A2:C112,3,FALSE)/100)*IF(VLOOKUP(A89,tbMoveset!A2:B112,2,FALSE)="Projectile",Backdoors!N10,Backdoors!N9),0),"")</f>
        <v/>
      </c>
      <c r="HO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K89&gt;=0.45,VLOOKUP(Calculator!E23,tbSkills!DH3:DI6,2,FALSE)+IF(AND(Calculator!B8=TRUE,Backdoors!BI34=TRUE),VLOOKUP(Calculator!E23,tbSkills!DH3:DJ6,3,FALSE),0),0))&gt;=100,100,(Backdoors!AI12+IF(HK89&gt;=0.45,VLOOKUP(Calculator!E23,tbSkills!DH3:DI6,2,FALSE)+IF(AND(Calculator!B8=TRUE,Backdoors!BI34=TRUE),VLOOKUP(Calculator!E23,tbSkills!DH3:DJ6,3,FALSE),0),0)))/100)),1))*IF(VLOOKUP(A89,tbMoveset!A2:K112,11,FALSE)=TRUE,Backdoors!AC5,1))*HL89,0),"")</f>
        <v>0</v>
      </c>
      <c r="HP89" s="49">
        <f>VLOOKUP(A89,tbMoveset!A2:G112,7,FALSE)*IFERROR(IF(Backdoors!AI12&gt;=0,1+(IF(Calculator!E40&gt;0,VLOOKUP(Calculator!E40,tbSkills!AI3:AJ5,2,FALSE),Backdoors!AL4)*(IF((Backdoors!AI12+IF(HK89&gt;=0.45,VLOOKUP(Calculator!E23,tbSkills!DH3:DI6,2,FALSE)+IF(AND(Calculator!B8=TRUE,Backdoors!BI34=TRUE),VLOOKUP(Calculator!E23,tbSkills!DH3:DJ6,3,FALSE),0),0))&gt;=100,100,(Backdoors!AI12+IF(HK89&gt;=0.45,VLOOKUP(Calculator!E23,tbSkills!DH3:DI6,2,FALSE)+IF(AND(Calculator!B8=TRUE,Backdoors!BI34=TRUE),VLOOKUP(Calculator!E23,tbSkills!DH3:DJ6,3,FALSE),0),0)))/100)),1),1)</f>
        <v>0.7</v>
      </c>
      <c r="HQ89" s="87">
        <f t="shared" si="82"/>
        <v>0</v>
      </c>
      <c r="HR89" s="86" t="str">
        <f>IFERROR(IF(VLOOKUP(A89,tbMoveset!A2:B112,2,FALSE)="Sever",Backdoors!AY35/100,IF(VLOOKUP(A89,tbMoveset!A2:B112,2,FALSE)="Blunt",Backdoors!AZ35/100,Backdoors!BA35/100)),"")</f>
        <v/>
      </c>
      <c r="HS89" s="49">
        <f>IFERROR(IF(VLOOKUP(tbMoveset!A89,tbMoveset!A2:H112,8,FALSE)="Other",IF(VLOOKUP(tbMoveset!A89,tbMoveset!A2:I112,9,FALSE)="Fire",Backdoors!BB35,IF(VLOOKUP(tbMoveset!A89,tbMoveset!A2:I112,9,FALSE)="Water",Backdoors!BC35,IF(VLOOKUP(tbMoveset!A89,tbMoveset!A2:I112,9,FALSE)="Thunder",Backdoors!BD35,IF(VLOOKUP(tbMoveset!A89,tbMoveset!A2:I112,9,FALSE)="Ice",Backdoors!BE35,IF(VLOOKUP(tbMoveset!A89,tbMoveset!A2:I112,9,FALSE)="Dragon",Backdoors!BF35,Backdoors!BG35)))))/100,Backdoors!BG35/100),"")</f>
        <v>0</v>
      </c>
      <c r="HT89" s="49">
        <f>IFERROR(IF(VLOOKUP(A89,tbMoveset!A2:J112,10,FALSE)=TRUE,IF((Backdoors!AI12+IF(HR89&gt;=0.45,VLOOKUP(Calculator!E23,tbSkills!DH3:DI6,2,FALSE)+IF(AND(Calculator!B8=TRUE,Backdoors!BI35=TRUE),VLOOKUP(Calculator!E23,tbSkills!DH3:DJ6,3,FALSE),0),0))&gt;=0,1+(Backdoors!AL2*(IF((Backdoors!AI12+IF(HR89&gt;=0.45,VLOOKUP(Calculator!E23,tbSkills!DH3:DI6,2,FALSE)+IF(AND(Calculator!B8=TRUE,Backdoors!BI35=TRUE),VLOOKUP(Calculator!E23,tbSkills!DH3:DJ6,3,FALSE),0),0))&gt;=100,100,(Backdoors!AI12+IF(HR89&gt;=0.45,VLOOKUP(Calculator!E23,tbSkills!DH3:DI6,2,FALSE)+IF(AND(Calculator!B8=TRUE,Backdoors!BI35=TRUE),VLOOKUP(Calculator!E23,tbSkills!DH3:DJ6,3,FALSE),0),0)))/100)),(1-(0.25*((-Backdoors!AI12-IF(HR89&gt;=0.45,VLOOKUP(Calculator!E23,tbSkills!DH3:DI6,2,FALSE)+IF(AND(Calculator!B8=TRUE,Backdoors!BI35=TRUE),VLOOKUP(Calculator!E23,tbSkills!DH3:DJ6,3,FALSE),0),0))/100)))),1),"")</f>
        <v>1</v>
      </c>
      <c r="HU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R89)*HT89)*(VLOOKUP(A89,tbMoveset!A2:C112,3,FALSE)/100)*IF(VLOOKUP(A89,tbMoveset!A2:B112,2,FALSE)="Projectile",Backdoors!N10,Backdoors!N9),0),"")</f>
        <v/>
      </c>
      <c r="HV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R89&gt;=0.45,VLOOKUP(Calculator!E23,tbSkills!DH3:DI6,2,FALSE)+IF(AND(Calculator!B8=TRUE,Backdoors!BI35=TRUE),VLOOKUP(Calculator!E23,tbSkills!DH3:DJ6,3,FALSE),0),0))&gt;=100,100,(Backdoors!AI12+IF(HR89&gt;=0.45,VLOOKUP(Calculator!E23,tbSkills!DH3:DI6,2,FALSE)+IF(AND(Calculator!B8=TRUE,Backdoors!BI35=TRUE),VLOOKUP(Calculator!E23,tbSkills!DH3:DJ6,3,FALSE),0),0)))/100)),1))*IF(VLOOKUP(A89,tbMoveset!A2:K112,11,FALSE)=TRUE,Backdoors!AC5,1))*HS89,0),"")</f>
        <v>0</v>
      </c>
      <c r="HW89" s="49">
        <f>VLOOKUP(A89,tbMoveset!A2:G112,7,FALSE)*IFERROR(IF(Backdoors!AI12&gt;=0,1+(IF(Calculator!E40&gt;0,VLOOKUP(Calculator!E40,tbSkills!AI3:AJ5,2,FALSE),Backdoors!AL4)*(IF((Backdoors!AI12+IF(HR89&gt;=0.45,VLOOKUP(Calculator!E23,tbSkills!DH3:DI6,2,FALSE)+IF(AND(Calculator!B8=TRUE,Backdoors!BI35=TRUE),VLOOKUP(Calculator!E23,tbSkills!DH3:DJ6,3,FALSE),0),0))&gt;=100,100,(Backdoors!AI12+IF(HR89&gt;=0.45,VLOOKUP(Calculator!E23,tbSkills!DH3:DI6,2,FALSE)+IF(AND(Calculator!B8=TRUE,Backdoors!BI35=TRUE),VLOOKUP(Calculator!E23,tbSkills!DH3:DJ6,3,FALSE),0),0)))/100)),1),1)</f>
        <v>0.7</v>
      </c>
      <c r="HX89" s="87">
        <f t="shared" si="83"/>
        <v>0</v>
      </c>
      <c r="HY89" s="86" t="str">
        <f>IFERROR(IF(VLOOKUP(A89,tbMoveset!A2:B112,2,FALSE)="Sever",Backdoors!AY36/100,IF(VLOOKUP(A89,tbMoveset!A2:B112,2,FALSE)="Blunt",Backdoors!AZ36/100,Backdoors!BA36/100)),"")</f>
        <v/>
      </c>
      <c r="HZ89" s="49">
        <f>IFERROR(IF(VLOOKUP(tbMoveset!A89,tbMoveset!A2:H112,8,FALSE)="Other",IF(VLOOKUP(tbMoveset!A89,tbMoveset!A2:I112,9,FALSE)="Fire",Backdoors!BB36,IF(VLOOKUP(tbMoveset!A89,tbMoveset!A2:I112,9,FALSE)="Water",Backdoors!BC36,IF(VLOOKUP(tbMoveset!A89,tbMoveset!A2:I112,9,FALSE)="Thunder",Backdoors!BD36,IF(VLOOKUP(tbMoveset!A89,tbMoveset!A2:I112,9,FALSE)="Ice",Backdoors!BE36,IF(VLOOKUP(tbMoveset!A89,tbMoveset!A2:I112,9,FALSE)="Dragon",Backdoors!BF36,Backdoors!BG36)))))/100,Backdoors!BG36/100),"")</f>
        <v>0</v>
      </c>
      <c r="IA89" s="49">
        <f>IFERROR(IF(VLOOKUP(A89,tbMoveset!A2:J112,10,FALSE)=TRUE,IF((Backdoors!AI12+IF(HY89&gt;=0.45,VLOOKUP(Calculator!E23,tbSkills!DH3:DI6,2,FALSE)+IF(AND(Calculator!B8=TRUE,Backdoors!BI36=TRUE),VLOOKUP(Calculator!E23,tbSkills!DH3:DJ6,3,FALSE),0),0))&gt;=0,1+(Backdoors!AL2*(IF((Backdoors!AI12+IF(HY89&gt;=0.45,VLOOKUP(Calculator!E23,tbSkills!DH3:DI6,2,FALSE)+IF(AND(Calculator!B8=TRUE,Backdoors!BI36=TRUE),VLOOKUP(Calculator!E23,tbSkills!DH3:DJ6,3,FALSE),0),0))&gt;=100,100,(Backdoors!AI12+IF(HY89&gt;=0.45,VLOOKUP(Calculator!E23,tbSkills!DH3:DI6,2,FALSE)+IF(AND(Calculator!B8=TRUE,Backdoors!BI36=TRUE),VLOOKUP(Calculator!E23,tbSkills!DH3:DJ6,3,FALSE),0),0)))/100)),(1-(0.25*((-Backdoors!AI12-IF(HY89&gt;=0.45,VLOOKUP(Calculator!E23,tbSkills!DH3:DI6,2,FALSE)+IF(AND(Calculator!B8=TRUE,Backdoors!BI36=TRUE),VLOOKUP(Calculator!E23,tbSkills!DH3:DJ6,3,FALSE),0),0))/100)))),1),"")</f>
        <v>1</v>
      </c>
      <c r="IB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Y89)*IA89)*(VLOOKUP(A89,tbMoveset!A2:C112,3,FALSE)/100)*IF(VLOOKUP(A89,tbMoveset!A2:B112,2,FALSE)="Projectile",Backdoors!N10,Backdoors!N9),0),"")</f>
        <v/>
      </c>
      <c r="IC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Y89&gt;=0.45,VLOOKUP(Calculator!E23,tbSkills!DH3:DI6,2,FALSE)+IF(AND(Calculator!B8=TRUE,Backdoors!BI36=TRUE),VLOOKUP(Calculator!E23,tbSkills!DH3:DJ6,3,FALSE),0),0))&gt;=100,100,(Backdoors!AI12+IF(HY89&gt;=0.45,VLOOKUP(Calculator!E23,tbSkills!DH3:DI6,2,FALSE)+IF(AND(Calculator!B8=TRUE,Backdoors!BI36=TRUE),VLOOKUP(Calculator!E23,tbSkills!DH3:DJ6,3,FALSE),0),0)))/100)),1))*IF(VLOOKUP(A89,tbMoveset!A2:K112,11,FALSE)=TRUE,Backdoors!AC5,1))*HZ89,0),"")</f>
        <v>0</v>
      </c>
      <c r="ID89" s="49">
        <f>VLOOKUP(A89,tbMoveset!A2:G112,7,FALSE)*IFERROR(IF(Backdoors!AI12&gt;=0,1+(IF(Calculator!E40&gt;0,VLOOKUP(Calculator!E40,tbSkills!AI3:AJ5,2,FALSE),Backdoors!AL4)*(IF((Backdoors!AI12+IF(HY89&gt;=0.45,VLOOKUP(Calculator!E23,tbSkills!DH3:DI6,2,FALSE)+IF(AND(Calculator!B8=TRUE,Backdoors!BI36=TRUE),VLOOKUP(Calculator!E23,tbSkills!DH3:DJ6,3,FALSE),0),0))&gt;=100,100,(Backdoors!AI12+IF(HY89&gt;=0.45,VLOOKUP(Calculator!E23,tbSkills!DH3:DI6,2,FALSE)+IF(AND(Calculator!B8=TRUE,Backdoors!BI36=TRUE),VLOOKUP(Calculator!E23,tbSkills!DH3:DJ6,3,FALSE),0),0)))/100)),1),1)</f>
        <v>0.7</v>
      </c>
      <c r="IE89" s="87">
        <f t="shared" si="84"/>
        <v>0</v>
      </c>
      <c r="IF89" s="86" t="str">
        <f>IFERROR(IF(VLOOKUP(A89,tbMoveset!A2:B112,2,FALSE)="Sever",Backdoors!AY37/100,IF(VLOOKUP(A89,tbMoveset!A2:B112,2,FALSE)="Blunt",Backdoors!AZ37/100,Backdoors!BA37/100)),"")</f>
        <v/>
      </c>
      <c r="IG89" s="49">
        <f>IFERROR(IF(VLOOKUP(tbMoveset!A89,tbMoveset!A2:H112,8,FALSE)="Other",IF(VLOOKUP(tbMoveset!A89,tbMoveset!A2:I112,9,FALSE)="Fire",Backdoors!BB37,IF(VLOOKUP(tbMoveset!A89,tbMoveset!A2:I112,9,FALSE)="Water",Backdoors!BC37,IF(VLOOKUP(tbMoveset!A89,tbMoveset!A2:I112,9,FALSE)="Thunder",Backdoors!BD37,IF(VLOOKUP(tbMoveset!A89,tbMoveset!A2:I112,9,FALSE)="Ice",Backdoors!BE37,IF(VLOOKUP(tbMoveset!A89,tbMoveset!A2:I112,9,FALSE)="Dragon",Backdoors!BF37,Backdoors!BG37)))))/100,Backdoors!BG37/100),"")</f>
        <v>0</v>
      </c>
      <c r="IH89" s="49">
        <f>IFERROR(IF(VLOOKUP(A89,tbMoveset!A2:J112,10,FALSE)=TRUE,IF((Backdoors!AI12+IF(IF89&gt;=0.45,VLOOKUP(Calculator!E23,tbSkills!DH3:DI6,2,FALSE)+IF(AND(Calculator!B8=TRUE,Backdoors!BI37=TRUE),VLOOKUP(Calculator!E23,tbSkills!DH3:DJ6,3,FALSE),0),0))&gt;=0,1+(Backdoors!AL2*(IF((Backdoors!AI12+IF(IF89&gt;=0.45,VLOOKUP(Calculator!E23,tbSkills!DH3:DI6,2,FALSE)+IF(AND(Calculator!B8=TRUE,Backdoors!BI37=TRUE),VLOOKUP(Calculator!E23,tbSkills!DH3:DJ6,3,FALSE),0),0))&gt;=100,100,(Backdoors!AI12+IF(IF89&gt;=0.45,VLOOKUP(Calculator!E23,tbSkills!DH3:DI6,2,FALSE)+IF(AND(Calculator!B8=TRUE,Backdoors!BI37=TRUE),VLOOKUP(Calculator!E23,tbSkills!DH3:DJ6,3,FALSE),0),0)))/100)),(1-(0.25*((-Backdoors!AI12-IF(IF89&gt;=0.45,VLOOKUP(Calculator!E23,tbSkills!DH3:DI6,2,FALSE)+IF(AND(Calculator!B8=TRUE,Backdoors!BI37=TRUE),VLOOKUP(Calculator!E23,tbSkills!DH3:DJ6,3,FALSE),0),0))/100)))),1),"")</f>
        <v>1</v>
      </c>
      <c r="II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F89)*IH89)*(VLOOKUP(A89,tbMoveset!A2:C112,3,FALSE)/100)*IF(VLOOKUP(A89,tbMoveset!A2:B112,2,FALSE)="Projectile",Backdoors!N10,Backdoors!N9),0),"")</f>
        <v/>
      </c>
      <c r="IJ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IF89&gt;=0.45,VLOOKUP(Calculator!E23,tbSkills!DH3:DI6,2,FALSE)+IF(AND(Calculator!B8=TRUE,Backdoors!BI37=TRUE),VLOOKUP(Calculator!E23,tbSkills!DH3:DJ6,3,FALSE),0),0))&gt;=100,100,(Backdoors!AI12+IF(IF89&gt;=0.45,VLOOKUP(Calculator!E23,tbSkills!DH3:DI6,2,FALSE)+IF(AND(Calculator!B8=TRUE,Backdoors!BI37=TRUE),VLOOKUP(Calculator!E23,tbSkills!DH3:DJ6,3,FALSE),0),0)))/100)),1))*IF(VLOOKUP(A89,tbMoveset!A2:K112,11,FALSE)=TRUE,Backdoors!AC5,1))*IG89,0),"")</f>
        <v>0</v>
      </c>
      <c r="IK89" s="49">
        <f>VLOOKUP(A89,tbMoveset!A2:G112,7,FALSE)*IFERROR(IF(Backdoors!AI12&gt;=0,1+(IF(Calculator!E40&gt;0,VLOOKUP(Calculator!E40,tbSkills!AI3:AJ5,2,FALSE),Backdoors!AL4)*(IF((Backdoors!AI12+IF(IF89&gt;=0.45,VLOOKUP(Calculator!E23,tbSkills!DH3:DI6,2,FALSE)+IF(AND(Calculator!B8=TRUE,Backdoors!BI37=TRUE),VLOOKUP(Calculator!E23,tbSkills!DH3:DJ6,3,FALSE),0),0))&gt;=100,100,(Backdoors!AI12+IF(IF89&gt;=0.45,VLOOKUP(Calculator!E23,tbSkills!DH3:DI6,2,FALSE)+IF(AND(Calculator!B8=TRUE,Backdoors!BI37=TRUE),VLOOKUP(Calculator!E23,tbSkills!DH3:DJ6,3,FALSE),0),0)))/100)),1),1)</f>
        <v>0.7</v>
      </c>
      <c r="IL89" s="87">
        <f t="shared" si="85"/>
        <v>0</v>
      </c>
      <c r="IM89" s="86" t="str">
        <f>IFERROR(IF(VLOOKUP(A89,tbMoveset!A2:B112,2,FALSE)="Sever",Backdoors!AY38/100,IF(VLOOKUP(A89,tbMoveset!A2:B112,2,FALSE)="Blunt",Backdoors!AZ38/100,Backdoors!BA38/100)),"")</f>
        <v/>
      </c>
      <c r="IN89" s="49">
        <f>IFERROR(IF(VLOOKUP(tbMoveset!A89,tbMoveset!A2:H112,8,FALSE)="Other",IF(VLOOKUP(tbMoveset!A89,tbMoveset!A2:I112,9,FALSE)="Fire",Backdoors!BB38,IF(VLOOKUP(tbMoveset!A89,tbMoveset!A2:I112,9,FALSE)="Water",Backdoors!BC38,IF(VLOOKUP(tbMoveset!A89,tbMoveset!A2:I112,9,FALSE)="Thunder",Backdoors!BD38,IF(VLOOKUP(tbMoveset!A89,tbMoveset!A2:I112,9,FALSE)="Ice",Backdoors!BE38,IF(VLOOKUP(tbMoveset!A89,tbMoveset!A2:I112,9,FALSE)="Dragon",Backdoors!BF38,Backdoors!BG38)))))/100,Backdoors!BG38/100),"")</f>
        <v>0</v>
      </c>
      <c r="IO89" s="49">
        <f>IFERROR(IF(VLOOKUP(A89,tbMoveset!A2:J112,10,FALSE)=TRUE,IF((Backdoors!AI12+IF(IM89&gt;=0.45,VLOOKUP(Calculator!E23,tbSkills!DH3:DI6,2,FALSE)+IF(AND(Calculator!B8=TRUE,Backdoors!BI38=TRUE),VLOOKUP(Calculator!E23,tbSkills!DH3:DJ6,3,FALSE),0),0))&gt;=0,1+(Backdoors!AL2*(IF((Backdoors!AI12+IF(IM89&gt;=0.45,VLOOKUP(Calculator!E23,tbSkills!DH3:DI6,2,FALSE)+IF(AND(Calculator!B8=TRUE,Backdoors!BI38=TRUE),VLOOKUP(Calculator!E23,tbSkills!DH3:DJ6,3,FALSE),0),0))&gt;=100,100,(Backdoors!AI12+IF(IM89&gt;=0.45,VLOOKUP(Calculator!E23,tbSkills!DH3:DI6,2,FALSE)+IF(AND(Calculator!B8=TRUE,Backdoors!BI38=TRUE),VLOOKUP(Calculator!E23,tbSkills!DH3:DJ6,3,FALSE),0),0)))/100)),(1-(0.25*((-Backdoors!AI12-IF(IM89&gt;=0.45,VLOOKUP(Calculator!E23,tbSkills!DH3:DI6,2,FALSE)+IF(AND(Calculator!B8=TRUE,Backdoors!BI38=TRUE),VLOOKUP(Calculator!E23,tbSkills!DH3:DJ6,3,FALSE),0),0))/100)))),1),"")</f>
        <v>1</v>
      </c>
      <c r="IP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M89)*IO89)*(VLOOKUP(A89,tbMoveset!A2:C112,3,FALSE)/100)*IF(VLOOKUP(A89,tbMoveset!A2:B112,2,FALSE)="Projectile",Backdoors!N10,Backdoors!N9),0),"")</f>
        <v/>
      </c>
      <c r="IQ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IM89&gt;=0.45,VLOOKUP(Calculator!E23,tbSkills!DH3:DI6,2,FALSE)+IF(AND(Calculator!B8=TRUE,Backdoors!BI38=TRUE),VLOOKUP(Calculator!E23,tbSkills!DH3:DJ6,3,FALSE),0),0))&gt;=100,100,(Backdoors!AI12+IF(IM89&gt;=0.45,VLOOKUP(Calculator!E23,tbSkills!DH3:DI6,2,FALSE)+IF(AND(Calculator!B8=TRUE,Backdoors!BI38=TRUE),VLOOKUP(Calculator!E23,tbSkills!DH3:DJ6,3,FALSE),0),0)))/100)),1))*IF(VLOOKUP(A89,tbMoveset!A2:K112,11,FALSE)=TRUE,Backdoors!AC5,1))*IN89,0),"")</f>
        <v>0</v>
      </c>
      <c r="IR89" s="49">
        <f>VLOOKUP(A89,tbMoveset!A2:G112,7,FALSE)*IFERROR(IF(Backdoors!AI12&gt;=0,1+(IF(Calculator!E40&gt;0,VLOOKUP(Calculator!E40,tbSkills!AI3:AJ5,2,FALSE),Backdoors!AL4)*(IF((Backdoors!AI12+IF(IM89&gt;=0.45,VLOOKUP(Calculator!E23,tbSkills!DH3:DI6,2,FALSE)+IF(AND(Calculator!B8=TRUE,Backdoors!BI38=TRUE),VLOOKUP(Calculator!E23,tbSkills!DH3:DJ6,3,FALSE),0),0))&gt;=100,100,(Backdoors!AI12+IF(IM89&gt;=0.45,VLOOKUP(Calculator!E23,tbSkills!DH3:DI6,2,FALSE)+IF(AND(Calculator!B8=TRUE,Backdoors!BI38=TRUE),VLOOKUP(Calculator!E23,tbSkills!DH3:DJ6,3,FALSE),0),0)))/100)),1),1)</f>
        <v>0.7</v>
      </c>
      <c r="IS89" s="87">
        <f t="shared" si="86"/>
        <v>0</v>
      </c>
      <c r="IT89" s="86" t="str">
        <f>IFERROR(IF(VLOOKUP(A89,tbMoveset!A2:B112,2,FALSE)="Sever",Backdoors!AY39/100,IF(VLOOKUP(A89,tbMoveset!A2:B112,2,FALSE)="Blunt",Backdoors!AZ39/100,Backdoors!BA39/100)),"")</f>
        <v/>
      </c>
      <c r="IU89" s="49">
        <f>IFERROR(IF(VLOOKUP(tbMoveset!A89,tbMoveset!A2:H112,8,FALSE)="Other",IF(VLOOKUP(tbMoveset!A89,tbMoveset!A2:I112,9,FALSE)="Fire",Backdoors!BB39,IF(VLOOKUP(tbMoveset!A89,tbMoveset!A2:I112,9,FALSE)="Water",Backdoors!BC39,IF(VLOOKUP(tbMoveset!A89,tbMoveset!A2:I112,9,FALSE)="Thunder",Backdoors!BD39,IF(VLOOKUP(tbMoveset!A89,tbMoveset!A2:I112,9,FALSE)="Ice",Backdoors!BE39,IF(VLOOKUP(tbMoveset!A89,tbMoveset!A2:I112,9,FALSE)="Dragon",Backdoors!BF39,Backdoors!BG39)))))/100,Backdoors!BG39/100),"")</f>
        <v>0</v>
      </c>
      <c r="IV89" s="49">
        <f>IFERROR(IF(VLOOKUP(A89,tbMoveset!A2:J112,10,FALSE)=TRUE,IF((Backdoors!AI12+IF(IT89&gt;=0.45,VLOOKUP(Calculator!E23,tbSkills!DH3:DI6,2,FALSE)+IF(AND(Calculator!B8=TRUE,Backdoors!BI39=TRUE),VLOOKUP(Calculator!E23,tbSkills!DH3:DJ6,3,FALSE),0),0))&gt;=0,1+(Backdoors!AL2*(IF((Backdoors!AI12+IF(IT89&gt;=0.45,VLOOKUP(Calculator!E23,tbSkills!DH3:DI6,2,FALSE)+IF(AND(Calculator!B8=TRUE,Backdoors!BI39=TRUE),VLOOKUP(Calculator!E23,tbSkills!DH3:DJ6,3,FALSE),0),0))&gt;=100,100,(Backdoors!AI12+IF(IT89&gt;=0.45,VLOOKUP(Calculator!E23,tbSkills!DH3:DI6,2,FALSE)+IF(AND(Calculator!B8=TRUE,Backdoors!BI39=TRUE),VLOOKUP(Calculator!E23,tbSkills!DH3:DJ6,3,FALSE),0),0)))/100)),(1-(0.25*((-Backdoors!AI12-IF(IT89&gt;=0.45,VLOOKUP(Calculator!E23,tbSkills!DH3:DI6,2,FALSE)+IF(AND(Calculator!B8=TRUE,Backdoors!BI39=TRUE),VLOOKUP(Calculator!E23,tbSkills!DH3:DJ6,3,FALSE),0),0))/100)))),1),"")</f>
        <v>1</v>
      </c>
      <c r="IW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T89)*IV89)*(VLOOKUP(A89,tbMoveset!A2:C112,3,FALSE)/100)*IF(VLOOKUP(A89,tbMoveset!A2:B112,2,FALSE)="Projectile",Backdoors!N10,Backdoors!N9),0),"")</f>
        <v/>
      </c>
      <c r="IX89" s="49">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40&gt;0,VLOOKUP(Calculator!E40,tbSkills!AC3:AD5,2,FALSE),Backdoors!AL3)*(IF((Backdoors!AI12+IF(IT89&gt;=0.45,VLOOKUP(Calculator!E23,tbSkills!DH3:DI6,2,FALSE)+IF(AND(Calculator!B8=TRUE,Backdoors!BI39=TRUE),VLOOKUP(Calculator!E23,tbSkills!DH3:DJ6,3,FALSE),0),0))&gt;=100,100,(Backdoors!AI12+IF(IT89&gt;=0.45,VLOOKUP(Calculator!E23,tbSkills!DH3:DI6,2,FALSE)+IF(AND(Calculator!B8=TRUE,Backdoors!BI39=TRUE),VLOOKUP(Calculator!E23,tbSkills!DH3:DJ6,3,FALSE),0),0)))/100)),1))*IF(VLOOKUP(A89,tbMoveset!A2:K112,11,FALSE)=TRUE,Backdoors!AC5,1))*IU89,0),"")</f>
        <v>0</v>
      </c>
      <c r="IY89" s="49">
        <f>VLOOKUP(A89,tbMoveset!A2:G112,7,FALSE)*IFERROR(IF(Backdoors!AI12&gt;=0,1+(IF(Calculator!E40&gt;0,VLOOKUP(Calculator!E40,tbSkills!AI3:AJ5,2,FALSE),Backdoors!AL4)*(IF((Backdoors!AI12+IF(IT89&gt;=0.45,VLOOKUP(Calculator!E23,tbSkills!DH3:DI6,2,FALSE)+IF(AND(Calculator!B8=TRUE,Backdoors!BI39=TRUE),VLOOKUP(Calculator!E23,tbSkills!DH3:DJ6,3,FALSE),0),0))&gt;=100,100,(Backdoors!AI12+IF(IT89&gt;=0.45,VLOOKUP(Calculator!E23,tbSkills!DH3:DI6,2,FALSE)+IF(AND(Calculator!B8=TRUE,Backdoors!BI39=TRUE),VLOOKUP(Calculator!E23,tbSkills!DH3:DJ6,3,FALSE),0),0)))/100)),1),1)</f>
        <v>0.7</v>
      </c>
      <c r="IZ89" s="87">
        <f t="shared" si="87"/>
        <v>0</v>
      </c>
      <c r="JA89" s="86" t="str">
        <f>IFERROR(IF(VLOOKUP(A89,tbMoveset!A2:B112,2,FALSE)="Sever",Backdoors!AY40/100,IF(VLOOKUP(A89,tbMoveset!A2:B112,2,FALSE)="Blunt",Backdoors!AZ40/100,Backdoors!BA40/100)),"")</f>
        <v/>
      </c>
      <c r="JB89" s="49">
        <f>IFERROR(IF(VLOOKUP(tbMoveset!A89,tbMoveset!A2:H112,8,FALSE)="Other",IF(VLOOKUP(tbMoveset!A89,tbMoveset!A2:I112,9,FALSE)="Fire",Backdoors!BB40,IF(VLOOKUP(tbMoveset!A89,tbMoveset!A2:I112,9,FALSE)="Water",Backdoors!BC40,IF(VLOOKUP(tbMoveset!A89,tbMoveset!A2:I112,9,FALSE)="Thunder",Backdoors!BD40,IF(VLOOKUP(tbMoveset!A89,tbMoveset!A2:I112,9,FALSE)="Ice",Backdoors!BE40,IF(VLOOKUP(tbMoveset!A89,tbMoveset!A2:I112,9,FALSE)="Dragon",Backdoors!BF40,Backdoors!BG40)))))/100,Backdoors!BG40/100),"")</f>
        <v>0</v>
      </c>
      <c r="JC89" s="49">
        <f>IFERROR(IF(VLOOKUP(A89,tbMoveset!A2:J112,10,FALSE)=TRUE,IF((Backdoors!AI12+IF(JA89&gt;=0.45,VLOOKUP(Calculator!E23,tbSkills!DH3:DI6,2,FALSE)+IF(AND(Calculator!B8=TRUE,Backdoors!BI40=TRUE),VLOOKUP(Calculator!E23,tbSkills!DH3:DJ6,3,FALSE),0),0))&gt;=0,1+(Backdoors!AL2*(IF((Backdoors!AI12+IF(JA89&gt;=0.45,VLOOKUP(Calculator!E23,tbSkills!DH3:DI6,2,FALSE)+IF(AND(Calculator!B8=TRUE,Backdoors!BI40=TRUE),VLOOKUP(Calculator!E23,tbSkills!DH3:DJ6,3,FALSE),0),0))&gt;=100,100,(Backdoors!AI12+IF(JA89&gt;=0.45,VLOOKUP(Calculator!E23,tbSkills!DH3:DI6,2,FALSE)+IF(AND(Calculator!B8=TRUE,Backdoors!BI40=TRUE),VLOOKUP(Calculator!E23,tbSkills!DH3:DJ6,3,FALSE),0),0)))/100)),(1-(0.25*((-Backdoors!AI12-IF(JA89&gt;=0.45,VLOOKUP(Calculator!E23,tbSkills!DH3:DI6,2,FALSE)+IF(AND(Calculator!B8=TRUE,Backdoors!BI40=TRUE),VLOOKUP(Calculator!E23,tbSkills!DH3:DJ6,3,FALSE),0),0))/100)))),1),"")</f>
        <v>1</v>
      </c>
      <c r="JD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A89)*JC89)*(VLOOKUP(A89,tbMoveset!A2:C112,3,FALSE)/100)*IF(VLOOKUP(A89,tbMoveset!A2:B112,2,FALSE)="Projectile",Backdoors!N10,Backdoors!N9),0),"")</f>
        <v/>
      </c>
      <c r="JE89" s="49">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42&gt;0,VLOOKUP(Calculator!E42,tbSkills!AC3:AD5,2,FALSE),Backdoors!AL3)*(IF((Backdoors!AI12+IF(JA89&gt;=0.45,VLOOKUP(Calculator!E23,tbSkills!DH3:DI6,2,FALSE)+IF(AND(Calculator!B8=TRUE,Backdoors!BI40=TRUE),VLOOKUP(Calculator!E23,tbSkills!DH3:DJ6,3,FALSE),0),0))&gt;=100,100,(Backdoors!AI12+IF(JA89&gt;=0.45,VLOOKUP(Calculator!E23,tbSkills!DH3:DI6,2,FALSE)+IF(AND(Calculator!B8=TRUE,Backdoors!BI40=TRUE),VLOOKUP(Calculator!E23,tbSkills!DH3:DJ6,3,FALSE),0),0)))/100)),1))*IF(VLOOKUP(A89,tbMoveset!A2:K112,11,FALSE)=TRUE,Backdoors!AC5,1))*JB89,0),"")</f>
        <v>0</v>
      </c>
      <c r="JF89" s="49">
        <f>VLOOKUP(A89,tbMoveset!A2:G112,7,FALSE)*IFERROR(IF(Backdoors!AI12&gt;=0,1+(IF(Calculator!E40&gt;0,VLOOKUP(Calculator!E40,tbSkills!AI3:AJ5,2,FALSE),Backdoors!AL4)*(IF((Backdoors!AI12+IF(JA89&gt;=0.45,VLOOKUP(Calculator!E23,tbSkills!DH3:DI6,2,FALSE)+IF(AND(Calculator!B8=TRUE,Backdoors!BI40=TRUE),VLOOKUP(Calculator!E23,tbSkills!DH3:DJ6,3,FALSE),0),0))&gt;=100,100,(Backdoors!AI12+IF(JA89&gt;=0.45,VLOOKUP(Calculator!E23,tbSkills!DH3:DI6,2,FALSE)+IF(AND(Calculator!B8=TRUE,Backdoors!BI40=TRUE),VLOOKUP(Calculator!E23,tbSkills!DH3:DJ6,3,FALSE),0),0)))/100)),1),1)</f>
        <v>0.7</v>
      </c>
      <c r="JG89" s="87">
        <f t="shared" si="88"/>
        <v>0</v>
      </c>
      <c r="JH89" s="86" t="str">
        <f>IFERROR(IF(VLOOKUP(A89,tbMoveset!A2:B112,2,FALSE)="Sever",Backdoors!AY41/100,IF(VLOOKUP(A89,tbMoveset!A2:B112,2,FALSE)="Blunt",Backdoors!AZ41/100,Backdoors!BA41/100)),"")</f>
        <v/>
      </c>
      <c r="JI89" s="49">
        <f>IFERROR(IF(VLOOKUP(tbMoveset!A89,tbMoveset!A2:H112,8,FALSE)="Other",IF(VLOOKUP(tbMoveset!A89,tbMoveset!A2:I112,9,FALSE)="Fire",Backdoors!BB41,IF(VLOOKUP(tbMoveset!A89,tbMoveset!A2:I112,9,FALSE)="Water",Backdoors!BC41,IF(VLOOKUP(tbMoveset!A89,tbMoveset!A2:I112,9,FALSE)="Thunder",Backdoors!BD41,IF(VLOOKUP(tbMoveset!A89,tbMoveset!A2:I112,9,FALSE)="Ice",Backdoors!BE41,IF(VLOOKUP(tbMoveset!A89,tbMoveset!A2:I112,9,FALSE)="Dragon",Backdoors!BF41,Backdoors!BG41)))))/100,Backdoors!BG41/100),"")</f>
        <v>0</v>
      </c>
      <c r="JJ89" s="49">
        <f>IFERROR(IF(VLOOKUP(A89,tbMoveset!A2:J112,10,FALSE)=TRUE,IF((Backdoors!AI12+IF(JH89&gt;=0.45,VLOOKUP(Calculator!E23,tbSkills!DH3:DI6,2,FALSE)+IF(AND(Calculator!B8=TRUE,Backdoors!BI41=TRUE),VLOOKUP(Calculator!E23,tbSkills!DH3:DJ6,3,FALSE),0),0))&gt;=0,1+(Backdoors!AL2*(IF((Backdoors!AI12+IF(JH89&gt;=0.45,VLOOKUP(Calculator!E23,tbSkills!DH3:DI6,2,FALSE)+IF(AND(Calculator!B8=TRUE,Backdoors!BI41=TRUE),VLOOKUP(Calculator!E23,tbSkills!DH3:DJ6,3,FALSE),0),0))&gt;=100,100,(Backdoors!AI12+IF(JH89&gt;=0.45,VLOOKUP(Calculator!E23,tbSkills!DH3:DI6,2,FALSE)+IF(AND(Calculator!B8=TRUE,Backdoors!BI41=TRUE),VLOOKUP(Calculator!E23,tbSkills!DH3:DJ6,3,FALSE),0),0)))/100)),(1-(0.25*((-Backdoors!AI12-IF(JH89&gt;=0.45,VLOOKUP(Calculator!E23,tbSkills!DH3:DI6,2,FALSE)+IF(AND(Calculator!B8=TRUE,Backdoors!BI41=TRUE),VLOOKUP(Calculator!E23,tbSkills!DH3:DJ6,3,FALSE),0),0))/100)))),1),"")</f>
        <v>1</v>
      </c>
      <c r="JK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H89)*JJ89)*(VLOOKUP(A89,tbMoveset!A2:C112,3,FALSE)/100)*IF(VLOOKUP(A89,tbMoveset!A2:B112,2,FALSE)="Projectile",Backdoors!N10,Backdoors!N9),0),"")</f>
        <v/>
      </c>
      <c r="JL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43&gt;0,VLOOKUP(Calculator!E43,tbSkills!AC3:AD5,2,FALSE),Backdoors!AL3)*(IF((Backdoors!AI12+IF(JH89&gt;=0.45,VLOOKUP(Calculator!E23,tbSkills!DH3:DI6,2,FALSE)+IF(AND(Calculator!B8=TRUE,Backdoors!BI41=TRUE),VLOOKUP(Calculator!E23,tbSkills!DH3:DJ6,3,FALSE),0),0))&gt;=100,100,(Backdoors!AI12+IF(JH89&gt;=0.45,VLOOKUP(Calculator!E23,tbSkills!DH3:DI6,2,FALSE)+IF(AND(Calculator!B8=TRUE,Backdoors!BI41=TRUE),VLOOKUP(Calculator!E23,tbSkills!DH3:DJ6,3,FALSE),0),0)))/100)),1))*IF(VLOOKUP(A89,tbMoveset!A2:K112,11,FALSE)=TRUE,Backdoors!AC5,1))*JI89,0),"")</f>
        <v/>
      </c>
      <c r="JM89" s="49">
        <f>VLOOKUP(A89,tbMoveset!A2:G112,7,FALSE)*IFERROR(IF(Backdoors!AI12&gt;=0,1+(IF(Calculator!E40&gt;0,VLOOKUP(Calculator!E40,tbSkills!AI3:AJ5,2,FALSE),Backdoors!AL4)*(IF((Backdoors!AI12+IF(JH89&gt;=0.45,VLOOKUP(Calculator!E23,tbSkills!DH3:DI6,2,FALSE)+IF(AND(Calculator!B8=TRUE,Backdoors!BI41=TRUE),VLOOKUP(Calculator!E23,tbSkills!DH3:DJ6,3,FALSE),0),0))&gt;=100,100,(Backdoors!AI12+IF(JH89&gt;=0.45,VLOOKUP(Calculator!E23,tbSkills!DH3:DI6,2,FALSE)+IF(AND(Calculator!B8=TRUE,Backdoors!BI41=TRUE),VLOOKUP(Calculator!E23,tbSkills!DH3:DJ6,3,FALSE),0),0)))/100)),1),1)</f>
        <v>0.7</v>
      </c>
      <c r="JN89" s="87">
        <f t="shared" si="89"/>
        <v>0</v>
      </c>
      <c r="JO89" s="86" t="str">
        <f>IFERROR(IF(VLOOKUP(A89,tbMoveset!A2:B112,2,FALSE)="Sever",Backdoors!AY42/100,IF(VLOOKUP(A89,tbMoveset!A2:B112,2,FALSE)="Blunt",Backdoors!AZ42/100,Backdoors!BA42/100)),"")</f>
        <v/>
      </c>
      <c r="JP89" s="49">
        <f>IFERROR(IF(VLOOKUP(tbMoveset!A89,tbMoveset!A2:H112,8,FALSE)="Other",IF(VLOOKUP(tbMoveset!A89,tbMoveset!A2:I112,9,FALSE)="Fire",Backdoors!BB42,IF(VLOOKUP(tbMoveset!A89,tbMoveset!A2:I112,9,FALSE)="Water",Backdoors!BC42,IF(VLOOKUP(tbMoveset!A89,tbMoveset!A2:I112,9,FALSE)="Thunder",Backdoors!BD42,IF(VLOOKUP(tbMoveset!A89,tbMoveset!A2:I112,9,FALSE)="Ice",Backdoors!BE42,IF(VLOOKUP(tbMoveset!A89,tbMoveset!A2:I112,9,FALSE)="Dragon",Backdoors!BF42,Backdoors!BG42)))))/100,Backdoors!BG42/100),"")</f>
        <v>0</v>
      </c>
      <c r="JQ89" s="49">
        <f>IFERROR(IF(VLOOKUP(A89,tbMoveset!A2:J112,10,FALSE)=TRUE,IF((Backdoors!AI12+IF(JO89&gt;=0.45,VLOOKUP(Calculator!E23,tbSkills!DH3:DI6,2,FALSE)+IF(AND(Calculator!B8=TRUE,Backdoors!BI42=TRUE),VLOOKUP(Calculator!E23,tbSkills!DH3:DJ6,3,FALSE),0),0))&gt;=0,1+(Backdoors!AL2*(IF((Backdoors!AI12+IF(JO89&gt;=0.45,VLOOKUP(Calculator!E23,tbSkills!DH3:DI6,2,FALSE)+IF(AND(Calculator!B8=TRUE,Backdoors!BI42=TRUE),VLOOKUP(Calculator!E23,tbSkills!DH3:DJ6,3,FALSE),0),0))&gt;=100,100,(Backdoors!AI12+IF(JO89&gt;=0.45,VLOOKUP(Calculator!E23,tbSkills!DH3:DI6,2,FALSE)+IF(AND(Calculator!B8=TRUE,Backdoors!BI42=TRUE),VLOOKUP(Calculator!E23,tbSkills!DH3:DJ6,3,FALSE),0),0)))/100)),(1-(0.25*((-Backdoors!AI12-IF(JO89&gt;=0.45,VLOOKUP(Calculator!E23,tbSkills!DH3:DI6,2,FALSE)+IF(AND(Calculator!B8=TRUE,Backdoors!BI42=TRUE),VLOOKUP(Calculator!E23,tbSkills!DH3:DJ6,3,FALSE),0),0))/100)))),1),"")</f>
        <v>1</v>
      </c>
      <c r="JR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O89)*JQ89)*(VLOOKUP(A89,tbMoveset!A2:C112,3,FALSE)/100)*IF(VLOOKUP(A89,tbMoveset!A2:B112,2,FALSE)="Projectile",Backdoors!N10,Backdoors!N9),0),"")</f>
        <v/>
      </c>
      <c r="JS89" s="49">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45&gt;0,VLOOKUP(Calculator!E45,tbSkills!AC3:AD5,2,FALSE),Backdoors!AL3)*(IF((Backdoors!AI12+IF(JO89&gt;=0.45,VLOOKUP(Calculator!E23,tbSkills!DH3:DI6,2,FALSE)+IF(AND(Calculator!B8=TRUE,Backdoors!BI42=TRUE),VLOOKUP(Calculator!E23,tbSkills!DH3:DJ6,3,FALSE),0),0))&gt;=100,100,(Backdoors!AI12+IF(JO89&gt;=0.45,VLOOKUP(Calculator!E23,tbSkills!DH3:DI6,2,FALSE)+IF(AND(Calculator!B8=TRUE,Backdoors!BI42=TRUE),VLOOKUP(Calculator!E23,tbSkills!DH3:DJ6,3,FALSE),0),0)))/100)),1))*IF(VLOOKUP(A89,tbMoveset!A2:K112,11,FALSE)=TRUE,Backdoors!AC5,1))*JP89,0),"")</f>
        <v>0</v>
      </c>
      <c r="JT89" s="49">
        <f>VLOOKUP(A89,tbMoveset!A2:G112,7,FALSE)*IFERROR(IF(Backdoors!AI12&gt;=0,1+(IF(Calculator!E40&gt;0,VLOOKUP(Calculator!E40,tbSkills!AI3:AJ5,2,FALSE),Backdoors!AL4)*(IF((Backdoors!AI12+IF(JO89&gt;=0.45,VLOOKUP(Calculator!E23,tbSkills!DH3:DI6,2,FALSE)+IF(AND(Calculator!B8=TRUE,Backdoors!BI42=TRUE),VLOOKUP(Calculator!E23,tbSkills!DH3:DJ6,3,FALSE),0),0))&gt;=100,100,(Backdoors!AI12+IF(JO89&gt;=0.45,VLOOKUP(Calculator!E23,tbSkills!DH3:DI6,2,FALSE)+IF(AND(Calculator!B8=TRUE,Backdoors!BI42=TRUE),VLOOKUP(Calculator!E23,tbSkills!DH3:DJ6,3,FALSE),0),0)))/100)),1),1)</f>
        <v>0.7</v>
      </c>
      <c r="JU89" s="87">
        <f t="shared" si="90"/>
        <v>0</v>
      </c>
      <c r="JV89" s="86" t="str">
        <f>IFERROR(IF(VLOOKUP(A89,tbMoveset!A2:B112,2,FALSE)="Sever",Backdoors!AY43/100,IF(VLOOKUP(A89,tbMoveset!A2:B112,2,FALSE)="Blunt",Backdoors!AZ43/100,Backdoors!BA43/100)),"")</f>
        <v/>
      </c>
      <c r="JW89" s="49">
        <f>IFERROR(IF(VLOOKUP(tbMoveset!A89,tbMoveset!A2:H112,8,FALSE)="Other",IF(VLOOKUP(tbMoveset!A89,tbMoveset!A2:I112,9,FALSE)="Fire",Backdoors!BB43,IF(VLOOKUP(tbMoveset!A89,tbMoveset!A2:I112,9,FALSE)="Water",Backdoors!BC43,IF(VLOOKUP(tbMoveset!A89,tbMoveset!A2:I112,9,FALSE)="Thunder",Backdoors!BD43,IF(VLOOKUP(tbMoveset!A89,tbMoveset!A2:I112,9,FALSE)="Ice",Backdoors!BE43,IF(VLOOKUP(tbMoveset!A89,tbMoveset!A2:I112,9,FALSE)="Dragon",Backdoors!BF43,Backdoors!BG43)))))/100,Backdoors!BG43/100),"")</f>
        <v>0</v>
      </c>
      <c r="JX89" s="49">
        <f>IFERROR(IF(VLOOKUP(A89,tbMoveset!A2:J112,10,FALSE)=TRUE,IF((Backdoors!AI12+IF(JV89&gt;=0.45,VLOOKUP(Calculator!E23,tbSkills!DH3:DI6,2,FALSE)+IF(AND(Calculator!B8=TRUE,Backdoors!BI43=TRUE),VLOOKUP(Calculator!E23,tbSkills!DH3:DJ6,3,FALSE),0),0))&gt;=0,1+(Backdoors!AL2*(IF((Backdoors!AI12+IF(JV89&gt;=0.45,VLOOKUP(Calculator!E23,tbSkills!DH3:DI6,2,FALSE)+IF(AND(Calculator!B8=TRUE,Backdoors!BI43=TRUE),VLOOKUP(Calculator!E23,tbSkills!DH3:DJ6,3,FALSE),0),0))&gt;=100,100,(Backdoors!AI12+IF(JV89&gt;=0.45,VLOOKUP(Calculator!E23,tbSkills!DH3:DI6,2,FALSE)+IF(AND(Calculator!B8=TRUE,Backdoors!BI43=TRUE),VLOOKUP(Calculator!E23,tbSkills!DH3:DJ6,3,FALSE),0),0)))/100)),(1-(0.25*((-Backdoors!AI12-IF(JV89&gt;=0.45,VLOOKUP(Calculator!E23,tbSkills!DH3:DI6,2,FALSE)+IF(AND(Calculator!B8=TRUE,Backdoors!BI43=TRUE),VLOOKUP(Calculator!E23,tbSkills!DH3:DJ6,3,FALSE),0),0))/100)))),1),"")</f>
        <v>1</v>
      </c>
      <c r="JY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V89)*JX89)*(VLOOKUP(A89,tbMoveset!A2:C112,3,FALSE)/100)*IF(VLOOKUP(A89,tbMoveset!A2:B112,2,FALSE)="Projectile",Backdoors!N10,Backdoors!N9),0),"")</f>
        <v/>
      </c>
      <c r="JZ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46&gt;0,VLOOKUP(Calculator!E46,tbSkills!AC3:AD5,2,FALSE),Backdoors!AL3)*(IF((Backdoors!AI12+IF(JV89&gt;=0.45,VLOOKUP(Calculator!E23,tbSkills!DH3:DI6,2,FALSE)+IF(AND(Calculator!B8=TRUE,Backdoors!BI43=TRUE),VLOOKUP(Calculator!E23,tbSkills!DH3:DJ6,3,FALSE),0),0))&gt;=100,100,(Backdoors!AI12+IF(JV89&gt;=0.45,VLOOKUP(Calculator!E23,tbSkills!DH3:DI6,2,FALSE)+IF(AND(Calculator!B8=TRUE,Backdoors!BI43=TRUE),VLOOKUP(Calculator!E23,tbSkills!DH3:DJ6,3,FALSE),0),0)))/100)),1))*IF(VLOOKUP(A89,tbMoveset!A2:K112,11,FALSE)=TRUE,Backdoors!AC5,1))*JW89,0),"")</f>
        <v/>
      </c>
      <c r="KA89" s="49">
        <f>VLOOKUP(A89,tbMoveset!A2:G112,7,FALSE)*IFERROR(IF(Backdoors!AI12&gt;=0,1+(IF(Calculator!E40&gt;0,VLOOKUP(Calculator!E40,tbSkills!AI3:AJ5,2,FALSE),Backdoors!AL4)*(IF((Backdoors!AI12+IF(JV89&gt;=0.45,VLOOKUP(Calculator!E23,tbSkills!DH3:DI6,2,FALSE)+IF(AND(Calculator!B8=TRUE,Backdoors!BI43=TRUE),VLOOKUP(Calculator!E23,tbSkills!DH3:DJ6,3,FALSE),0),0))&gt;=100,100,(Backdoors!AI12+IF(JV89&gt;=0.45,VLOOKUP(Calculator!E23,tbSkills!DH3:DI6,2,FALSE)+IF(AND(Calculator!B8=TRUE,Backdoors!BI43=TRUE),VLOOKUP(Calculator!E23,tbSkills!DH3:DJ6,3,FALSE),0),0)))/100)),1),1)</f>
        <v>0.7</v>
      </c>
      <c r="KB89" s="87">
        <f t="shared" si="91"/>
        <v>0</v>
      </c>
      <c r="KC89" s="86" t="str">
        <f>IFERROR(IF(VLOOKUP(A89,tbMoveset!A2:B112,2,FALSE)="Sever",Backdoors!AY44/100,IF(VLOOKUP(A89,tbMoveset!A2:B112,2,FALSE)="Blunt",Backdoors!AZ44/100,Backdoors!BA44/100)),"")</f>
        <v/>
      </c>
      <c r="KD89" s="49">
        <f>IFERROR(IF(VLOOKUP(tbMoveset!A89,tbMoveset!A2:H112,8,FALSE)="Other",IF(VLOOKUP(tbMoveset!A89,tbMoveset!A2:I112,9,FALSE)="Fire",Backdoors!BB44,IF(VLOOKUP(tbMoveset!A89,tbMoveset!A2:I112,9,FALSE)="Water",Backdoors!BC44,IF(VLOOKUP(tbMoveset!A89,tbMoveset!A2:I112,9,FALSE)="Thunder",Backdoors!BD44,IF(VLOOKUP(tbMoveset!A89,tbMoveset!A2:I112,9,FALSE)="Ice",Backdoors!BE44,IF(VLOOKUP(tbMoveset!A89,tbMoveset!A2:I112,9,FALSE)="Dragon",Backdoors!BF44,Backdoors!BG44)))))/100,Backdoors!BG44/100),"")</f>
        <v>0</v>
      </c>
      <c r="KE89" s="49">
        <f>IFERROR(IF(VLOOKUP(A89,tbMoveset!A2:J112,10,FALSE)=TRUE,IF((Backdoors!AI12+IF(KC89&gt;=0.45,VLOOKUP(Calculator!E23,tbSkills!DH3:DI6,2,FALSE)+IF(AND(Calculator!B8=TRUE,Backdoors!BI44=TRUE),VLOOKUP(Calculator!E23,tbSkills!DH3:DJ6,3,FALSE),0),0))&gt;=0,1+(Backdoors!AL2*(IF((Backdoors!AI12+IF(KC89&gt;=0.45,VLOOKUP(Calculator!E23,tbSkills!DH3:DI6,2,FALSE)+IF(AND(Calculator!B8=TRUE,Backdoors!BI44=TRUE),VLOOKUP(Calculator!E23,tbSkills!DH3:DJ6,3,FALSE),0),0))&gt;=100,100,(Backdoors!AI12+IF(KC89&gt;=0.45,VLOOKUP(Calculator!E23,tbSkills!DH3:DI6,2,FALSE)+IF(AND(Calculator!B8=TRUE,Backdoors!BI44=TRUE),VLOOKUP(Calculator!E23,tbSkills!DH3:DJ6,3,FALSE),0),0)))/100)),(1-(0.25*((-Backdoors!AI12-IF(KC89&gt;=0.45,VLOOKUP(Calculator!E23,tbSkills!DH3:DI6,2,FALSE)+IF(AND(Calculator!B8=TRUE,Backdoors!BI44=TRUE),VLOOKUP(Calculator!E23,tbSkills!DH3:DJ6,3,FALSE),0),0))/100)))),1),"")</f>
        <v>1</v>
      </c>
      <c r="KF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KC89)*KE89)*(VLOOKUP(A89,tbMoveset!A2:C112,3,FALSE)/100)*IF(VLOOKUP(A89,tbMoveset!A2:B112,2,FALSE)="Projectile",Backdoors!N10,Backdoors!N9),0),"")</f>
        <v/>
      </c>
      <c r="KG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REF!&gt;0,VLOOKUP(Calculator!#REF!,tbSkills!AC3:AD5,2,FALSE),Backdoors!AL3)*(IF((Backdoors!AI12+IF(KC89&gt;=0.45,VLOOKUP(Calculator!E23,tbSkills!DH3:DI6,2,FALSE)+IF(AND(Calculator!B8=TRUE,Backdoors!BI44=TRUE),VLOOKUP(Calculator!E23,tbSkills!DH3:DJ6,3,FALSE),0),0))&gt;=100,100,(Backdoors!AI12+IF(KC89&gt;=0.45,VLOOKUP(Calculator!E23,tbSkills!DH3:DI6,2,FALSE)+IF(AND(Calculator!B8=TRUE,Backdoors!BI44=TRUE),VLOOKUP(Calculator!E23,tbSkills!DH3:DJ6,3,FALSE),0),0)))/100)),1))*IF(VLOOKUP(A89,tbMoveset!A2:K112,11,FALSE)=TRUE,Backdoors!AC5,1))*KD89,0),"")</f>
        <v/>
      </c>
      <c r="KH89" s="49">
        <f>VLOOKUP(A89,tbMoveset!A2:G112,7,FALSE)*IFERROR(IF(Backdoors!AI12&gt;=0,1+(IF(Calculator!E40&gt;0,VLOOKUP(Calculator!E40,tbSkills!AI3:AJ5,2,FALSE),Backdoors!AL4)*(IF((Backdoors!AI12+IF(KC89&gt;=0.45,VLOOKUP(Calculator!E23,tbSkills!DH3:DI6,2,FALSE)+IF(AND(Calculator!B8=TRUE,Backdoors!BI44=TRUE),VLOOKUP(Calculator!E23,tbSkills!DH3:DJ6,3,FALSE),0),0))&gt;=100,100,(Backdoors!AI12+IF(KC89&gt;=0.45,VLOOKUP(Calculator!E23,tbSkills!DH3:DI6,2,FALSE)+IF(AND(Calculator!B8=TRUE,Backdoors!BI44=TRUE),VLOOKUP(Calculator!E23,tbSkills!DH3:DJ6,3,FALSE),0),0)))/100)),1),1)</f>
        <v>0.7</v>
      </c>
      <c r="KI89" s="87">
        <f t="shared" si="92"/>
        <v>0</v>
      </c>
      <c r="KJ89" s="86" t="str">
        <f>IFERROR(IF(VLOOKUP(A89,tbMoveset!A2:B112,2,FALSE)="Sever",Backdoors!AY45/100,IF(VLOOKUP(A89,tbMoveset!A2:B112,2,FALSE)="Blunt",Backdoors!AZ45/100,Backdoors!BA45/100)),"")</f>
        <v/>
      </c>
      <c r="KK89" s="49">
        <f>IFERROR(IF(VLOOKUP(tbMoveset!A89,tbMoveset!A2:H112,8,FALSE)="Other",IF(VLOOKUP(tbMoveset!A89,tbMoveset!A2:I112,9,FALSE)="Fire",Backdoors!BB45,IF(VLOOKUP(tbMoveset!A89,tbMoveset!A2:I112,9,FALSE)="Water",Backdoors!BC45,IF(VLOOKUP(tbMoveset!A89,tbMoveset!A2:I112,9,FALSE)="Thunder",Backdoors!BD45,IF(VLOOKUP(tbMoveset!A89,tbMoveset!A2:I112,9,FALSE)="Ice",Backdoors!BE45,IF(VLOOKUP(tbMoveset!A89,tbMoveset!A2:I112,9,FALSE)="Dragon",Backdoors!BF45,Backdoors!BG45)))))/100,Backdoors!BG45/100),"")</f>
        <v>0</v>
      </c>
      <c r="KL89" s="49">
        <f>IFERROR(IF(VLOOKUP(A89,tbMoveset!A2:J112,10,FALSE)=TRUE,IF((Backdoors!AI12+IF(KJ89&gt;=0.45,VLOOKUP(Calculator!E23,tbSkills!DH3:DI6,2,FALSE)+IF(AND(Calculator!B8=TRUE,Backdoors!BI45=TRUE),VLOOKUP(Calculator!E23,tbSkills!DH3:DJ6,3,FALSE),0),0))&gt;=0,1+(Backdoors!AL2*(IF((Backdoors!AI12+IF(KJ89&gt;=0.45,VLOOKUP(Calculator!E23,tbSkills!DH3:DI6,2,FALSE)+IF(AND(Calculator!B8=TRUE,Backdoors!BI45=TRUE),VLOOKUP(Calculator!E23,tbSkills!DH3:DJ6,3,FALSE),0),0))&gt;=100,100,(Backdoors!AI12+IF(KJ89&gt;=0.45,VLOOKUP(Calculator!E23,tbSkills!DH3:DI6,2,FALSE)+IF(AND(Calculator!B8=TRUE,Backdoors!BI45=TRUE),VLOOKUP(Calculator!E23,tbSkills!DH3:DJ6,3,FALSE),0),0)))/100)),(1-(0.25*((-Backdoors!AI12-IF(KJ89&gt;=0.45,VLOOKUP(Calculator!E23,tbSkills!DH3:DI6,2,FALSE)+IF(AND(Calculator!B8=TRUE,Backdoors!BI45=TRUE),VLOOKUP(Calculator!E23,tbSkills!DH3:DJ6,3,FALSE),0),0))/100)))),1),"")</f>
        <v>1</v>
      </c>
      <c r="KM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KJ89)*KL89)*(VLOOKUP(A89,tbMoveset!A2:C112,3,FALSE)/100)*IF(VLOOKUP(A89,tbMoveset!A2:B112,2,FALSE)="Projectile",Backdoors!N10,Backdoors!N9),0),"")</f>
        <v/>
      </c>
      <c r="KN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REF!&gt;0,VLOOKUP(Calculator!#REF!,tbSkills!AC3:AD5,2,FALSE),Backdoors!AL3)*(IF((Backdoors!AI12+IF(KJ89&gt;=0.45,VLOOKUP(Calculator!E23,tbSkills!DH3:DI6,2,FALSE)+IF(AND(Calculator!B8=TRUE,Backdoors!BI45=TRUE),VLOOKUP(Calculator!E23,tbSkills!DH3:DJ6,3,FALSE),0),0))&gt;=100,100,(Backdoors!AI12+IF(KJ89&gt;=0.45,VLOOKUP(Calculator!E23,tbSkills!DH3:DI6,2,FALSE)+IF(AND(Calculator!B8=TRUE,Backdoors!BI45=TRUE),VLOOKUP(Calculator!E23,tbSkills!DH3:DJ6,3,FALSE),0),0)))/100)),1))*IF(VLOOKUP(A89,tbMoveset!A2:K112,11,FALSE)=TRUE,Backdoors!AC5,1))*KK89,0),"")</f>
        <v/>
      </c>
      <c r="KO89" s="49">
        <f>VLOOKUP(A89,tbMoveset!A2:G112,7,FALSE)*IFERROR(IF(Backdoors!AI12&gt;=0,1+(IF(Calculator!E40&gt;0,VLOOKUP(Calculator!E40,tbSkills!AI3:AJ5,2,FALSE),Backdoors!AL4)*(IF((Backdoors!AI12+IF(KJ89&gt;=0.45,VLOOKUP(Calculator!E23,tbSkills!DH3:DI6,2,FALSE)+IF(AND(Calculator!B8=TRUE,Backdoors!BI45=TRUE),VLOOKUP(Calculator!E23,tbSkills!DH3:DJ6,3,FALSE),0),0))&gt;=100,100,(Backdoors!AI12+IF(KJ89&gt;=0.45,VLOOKUP(Calculator!E23,tbSkills!DH3:DI6,2,FALSE)+IF(AND(Calculator!B8=TRUE,Backdoors!BI45=TRUE),VLOOKUP(Calculator!E23,tbSkills!DH3:DJ6,3,FALSE),0),0)))/100)),1),1)</f>
        <v>0.7</v>
      </c>
      <c r="KP89" s="87">
        <f t="shared" si="93"/>
        <v>0</v>
      </c>
      <c r="KQ89" s="86" t="str">
        <f>IFERROR(IF(VLOOKUP(A89,tbMoveset!A2:B112,2,FALSE)="Sever",Backdoors!AY46/100,IF(VLOOKUP(A89,tbMoveset!A2:B112,2,FALSE)="Blunt",Backdoors!AZ46/100,Backdoors!BA46/100)),"")</f>
        <v/>
      </c>
      <c r="KR89" s="49">
        <f>IFERROR(IF(VLOOKUP(tbMoveset!A89,tbMoveset!A2:H112,8,FALSE)="Other",IF(VLOOKUP(tbMoveset!A89,tbMoveset!A2:I112,9,FALSE)="Fire",Backdoors!BB46,IF(VLOOKUP(tbMoveset!A89,tbMoveset!A2:I112,9,FALSE)="Water",Backdoors!BC46,IF(VLOOKUP(tbMoveset!A89,tbMoveset!A2:I112,9,FALSE)="Thunder",Backdoors!BD46,IF(VLOOKUP(tbMoveset!A89,tbMoveset!A2:I112,9,FALSE)="Ice",Backdoors!BE46,IF(VLOOKUP(tbMoveset!A89,tbMoveset!A2:I112,9,FALSE)="Dragon",Backdoors!BF46,Backdoors!BG46)))))/100,Backdoors!BG46/100),"")</f>
        <v>0</v>
      </c>
      <c r="KS89" s="49">
        <f>IFERROR(IF(VLOOKUP(A89,tbMoveset!A2:J112,10,FALSE)=TRUE,IF((Backdoors!AI12+IF(KQ89&gt;=0.45,VLOOKUP(Calculator!E23,tbSkills!DH3:DI6,2,FALSE)+IF(AND(Calculator!B8=TRUE,Backdoors!BI46=TRUE),VLOOKUP(Calculator!E23,tbSkills!DH3:DJ6,3,FALSE),0),0))&gt;=0,1+(Backdoors!AL2*(IF((Backdoors!AI12+IF(KQ89&gt;=0.45,VLOOKUP(Calculator!E23,tbSkills!DH3:DI6,2,FALSE)+IF(AND(Calculator!B8=TRUE,Backdoors!BI46=TRUE),VLOOKUP(Calculator!E23,tbSkills!DH3:DJ6,3,FALSE),0),0))&gt;=100,100,(Backdoors!AI12+IF(KQ89&gt;=0.45,VLOOKUP(Calculator!E23,tbSkills!DH3:DI6,2,FALSE)+IF(AND(Calculator!B8=TRUE,Backdoors!BI46=TRUE),VLOOKUP(Calculator!E23,tbSkills!DH3:DJ6,3,FALSE),0),0)))/100)),(1-(0.25*((-Backdoors!AI12-IF(KQ89&gt;=0.45,VLOOKUP(Calculator!E23,tbSkills!DH3:DI6,2,FALSE)+IF(AND(Calculator!B8=TRUE,Backdoors!BI46=TRUE),VLOOKUP(Calculator!E23,tbSkills!DH3:DJ6,3,FALSE),0),0))/100)))),1),"")</f>
        <v>1</v>
      </c>
      <c r="KT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KQ89)*KS89)*(VLOOKUP(A89,tbMoveset!A2:C112,3,FALSE)/100)*IF(VLOOKUP(A89,tbMoveset!A2:B112,2,FALSE)="Projectile",Backdoors!N10,Backdoors!N9),0),"")</f>
        <v/>
      </c>
      <c r="KU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REF!&gt;0,VLOOKUP(Calculator!#REF!,tbSkills!AC3:AD5,2,FALSE),Backdoors!AL3)*(IF((Backdoors!AI12+IF(KQ89&gt;=0.45,VLOOKUP(Calculator!E23,tbSkills!DH3:DI6,2,FALSE)+IF(AND(Calculator!B8=TRUE,Backdoors!BI46=TRUE),VLOOKUP(Calculator!E23,tbSkills!DH3:DJ6,3,FALSE),0),0))&gt;=100,100,(Backdoors!AI12+IF(KQ89&gt;=0.45,VLOOKUP(Calculator!E23,tbSkills!DH3:DI6,2,FALSE)+IF(AND(Calculator!B8=TRUE,Backdoors!BI46=TRUE),VLOOKUP(Calculator!E23,tbSkills!DH3:DJ6,3,FALSE),0),0)))/100)),1))*IF(VLOOKUP(A89,tbMoveset!A2:K112,11,FALSE)=TRUE,Backdoors!AC5,1))*KR89,0),"")</f>
        <v/>
      </c>
      <c r="KV89" s="49">
        <f>VLOOKUP(A89,tbMoveset!A2:G112,7,FALSE)*IFERROR(IF(Backdoors!AI12&gt;=0,1+(IF(Calculator!E40&gt;0,VLOOKUP(Calculator!E40,tbSkills!AI3:AJ5,2,FALSE),Backdoors!AL4)*(IF((Backdoors!AI12+IF(KQ89&gt;=0.45,VLOOKUP(Calculator!E23,tbSkills!DH3:DI6,2,FALSE)+IF(AND(Calculator!B8=TRUE,Backdoors!BI46=TRUE),VLOOKUP(Calculator!E23,tbSkills!DH3:DJ6,3,FALSE),0),0))&gt;=100,100,(Backdoors!AI12+IF(KQ89&gt;=0.45,VLOOKUP(Calculator!E23,tbSkills!DH3:DI6,2,FALSE)+IF(AND(Calculator!B8=TRUE,Backdoors!BI46=TRUE),VLOOKUP(Calculator!E23,tbSkills!DH3:DJ6,3,FALSE),0),0)))/100)),1),1)</f>
        <v>0.7</v>
      </c>
      <c r="KW89" s="87">
        <f t="shared" si="94"/>
        <v>0</v>
      </c>
    </row>
    <row r="90" spans="1:309" x14ac:dyDescent="0.25">
      <c r="A90" s="95" t="str">
        <f>tbMoveset!A90</f>
        <v>Spinning Blade Dance Finisher (R1)</v>
      </c>
      <c r="B90" s="86">
        <f>IFERROR(IF(VLOOKUP(A90,tbMoveset!A2:B112,2,FALSE)="Sever",Backdoors!AY3/100,IF(VLOOKUP(A90,tbMoveset!A2:B112,2,FALSE)="Blunt",Backdoors!AZ3/100,Backdoors!BA3/100)),"")</f>
        <v>0.8</v>
      </c>
      <c r="C90" s="49">
        <f>IFERROR(IF(VLOOKUP(tbMoveset!A90,tbMoveset!A2:H112,8,FALSE)="Other",IF(VLOOKUP(tbMoveset!A90,tbMoveset!A2:I112,9,FALSE)="Fire",Backdoors!BB3,IF(VLOOKUP(tbMoveset!A90,tbMoveset!A2:I112,9,FALSE)="Water",Backdoors!BC3,IF(VLOOKUP(tbMoveset!A90,tbMoveset!A2:I112,9,FALSE)="Thunder",Backdoors!BD3,IF(VLOOKUP(tbMoveset!A90,tbMoveset!A2:I112,9,FALSE)="Ice",Backdoors!BE3,IF(VLOOKUP(tbMoveset!A90,tbMoveset!A2:I112,9,FALSE)="Dragon",Backdoors!BF3,Backdoors!BG3)))))/100,Backdoors!BG3/100),"")</f>
        <v>0</v>
      </c>
      <c r="D90" s="49">
        <f>IFERROR(IF(VLOOKUP(A90,tbMoveset!A2:J112,10,FALSE)=TRUE,IF((Backdoors!AI12+IF(B90&gt;=0.45,VLOOKUP(Calculator!E23,tbSkills!DH3:DI6,2,FALSE)+IF(AND(Calculator!B8=TRUE,Backdoors!BI3=TRUE),VLOOKUP(Calculator!E23,tbSkills!DH3:DJ6,3,FALSE),0),0))&gt;=0,1+(Backdoors!AL2*(IF((Backdoors!AI12+IF(B90&gt;=0.45,VLOOKUP(Calculator!E23,tbSkills!DH3:DI6,2,FALSE)+IF(AND(Calculator!B8=TRUE,Backdoors!BI3=TRUE),VLOOKUP(Calculator!E23,tbSkills!DH3:DJ6,3,FALSE),0),0))&gt;=100,100,(Backdoors!AI12+IF(B90&gt;=0.45,VLOOKUP(Calculator!E23,tbSkills!DH3:DI6,2,FALSE)+IF(AND(Calculator!B8=TRUE,Backdoors!BI3=TRUE),VLOOKUP(Calculator!E23,tbSkills!DH3:DJ6,3,FALSE),0),0)))/100)),(1-(0.25*((-Backdoors!AI12-IF(B90&gt;=0.45,VLOOKUP(Calculator!E23,tbSkills!DH3:DI6,2,FALSE)+IF(AND(Calculator!B8=TRUE,Backdoors!BI3=TRUE),VLOOKUP(Calculator!E23,tbSkills!DH3:DJ6,3,FALSE),0),0))/100)))),1),"")</f>
        <v>1</v>
      </c>
      <c r="E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90)*D90)*(VLOOKUP(A90,tbMoveset!A2:C112,3,FALSE)/100)*IF(VLOOKUP(A90,tbMoveset!A2:B112,2,FALSE)="Projectile",Backdoors!N10,Backdoors!N9),0),"")</f>
        <v>13</v>
      </c>
      <c r="F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90&gt;=0.45,VLOOKUP(Calculator!E23,tbSkills!DH3:DI6,2,FALSE)+IF(AND(Calculator!B8=TRUE,Backdoors!BI3=TRUE),VLOOKUP(Calculator!E23,tbSkills!DH3:DJ6,3,FALSE),0),0))&gt;=100,100,(Backdoors!AI12+IF(B90&gt;=0.45,VLOOKUP(Calculator!E23,tbSkills!DH3:DI6,2,FALSE)+IF(AND(Calculator!B8=TRUE,Backdoors!BI3=TRUE),VLOOKUP(Calculator!E23,tbSkills!DH3:DJ6,3,FALSE),0),0)))/100)),1))*IF(VLOOKUP(A90,tbMoveset!A2:K112,11,FALSE)=TRUE,Backdoors!AC5,1))*C90,0),"")</f>
        <v>0</v>
      </c>
      <c r="G90">
        <f>VLOOKUP(A90,tbMoveset!A2:G112,7,FALSE)*IFERROR(IF(Backdoors!AI12&gt;=0,1+(IF(Calculator!E40&gt;0,VLOOKUP(Calculator!E40,tbSkills!AI3:AJ5,2,FALSE),Backdoors!AL4)*(IF((Backdoors!AI12+IF(B90&gt;=0.45,VLOOKUP(Calculator!E23,tbSkills!DH3:DI6,2,FALSE)+IF(AND(Calculator!B8=TRUE,Backdoors!BI3=TRUE),VLOOKUP(Calculator!E23,tbSkills!DH3:DJ6,3,FALSE),0),0))&gt;=100,100,(Backdoors!AI12+IF(B90&gt;=0.45,VLOOKUP(Calculator!E23,tbSkills!DH3:DI6,2,FALSE)+IF(AND(Calculator!B8=TRUE,Backdoors!BI3=TRUE),VLOOKUP(Calculator!E23,tbSkills!DH3:DJ6,3,FALSE),0),0)))/100)),1),1)</f>
        <v>0.7</v>
      </c>
      <c r="H90" s="87">
        <f t="shared" si="51"/>
        <v>13</v>
      </c>
      <c r="I90" s="86">
        <f>IFERROR(IF(VLOOKUP(A90,tbMoveset!A2:B112,2,FALSE)="Sever",Backdoors!AY4/100,IF(VLOOKUP(A90,tbMoveset!A2:B112,2,FALSE)="Blunt",Backdoors!AZ4/100,Backdoors!BA4/100)),"")</f>
        <v>0.65</v>
      </c>
      <c r="J90" s="49">
        <f>IFERROR(IF(VLOOKUP(tbMoveset!A90,tbMoveset!A2:H112,8,FALSE)="Other",IF(VLOOKUP(tbMoveset!A90,tbMoveset!A2:I112,9,FALSE)="Fire",Backdoors!BB4,IF(VLOOKUP(tbMoveset!A90,tbMoveset!A2:I112,9,FALSE)="Water",Backdoors!BC4,IF(VLOOKUP(tbMoveset!A90,tbMoveset!A2:I112,9,FALSE)="Thunder",Backdoors!BD4,IF(VLOOKUP(tbMoveset!A90,tbMoveset!A2:I112,9,FALSE)="Ice",Backdoors!BE4,IF(VLOOKUP(tbMoveset!A90,tbMoveset!A2:I112,9,FALSE)="Dragon",Backdoors!BF4,Backdoors!BG4)))))/100,Backdoors!BG4/100),"")</f>
        <v>0</v>
      </c>
      <c r="K90" s="49">
        <f>IFERROR(IF(VLOOKUP(A90,tbMoveset!A2:J112,10,FALSE)=TRUE,IF((Backdoors!AI12+IF(I90&gt;=0.45,VLOOKUP(Calculator!E23,tbSkills!DH3:DI6,2,FALSE)+IF(AND(Calculator!B8=TRUE,Backdoors!BI4=TRUE),VLOOKUP(Calculator!E23,tbSkills!DH3:DJ6,3,FALSE),0),0))&gt;=0,1+(Backdoors!AL2*(IF((Backdoors!AI12+IF(I90&gt;=0.45,VLOOKUP(Calculator!E23,tbSkills!DH3:DI6,2,FALSE)+IF(AND(Calculator!B8=TRUE,Backdoors!BI4=TRUE),VLOOKUP(Calculator!E23,tbSkills!DH3:DJ6,3,FALSE),0),0))&gt;=100,100,(Backdoors!AI12+IF(I90&gt;=0.45,VLOOKUP(Calculator!E23,tbSkills!DH3:DI6,2,FALSE)+IF(AND(Calculator!B8=TRUE,Backdoors!BI4=TRUE),VLOOKUP(Calculator!E23,tbSkills!DH3:DJ6,3,FALSE),0),0)))/100)),(1-(0.25*((-Backdoors!AI12-IF(I90&gt;=0.45,VLOOKUP(Calculator!E23,tbSkills!DH3:DI6,2,FALSE)+IF(AND(Calculator!B8=TRUE,Backdoors!BI4=TRUE),VLOOKUP(Calculator!E23,tbSkills!DH3:DJ6,3,FALSE),0),0))/100)))),1),"")</f>
        <v>1</v>
      </c>
      <c r="L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90)*K90)*(VLOOKUP(A90,tbMoveset!A2:C112,3,FALSE)/100)*IF(VLOOKUP(A90,tbMoveset!A2:B112,2,FALSE)="Projectile",Backdoors!N10,Backdoors!N9),0),"")</f>
        <v>11</v>
      </c>
      <c r="M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I90&gt;=0.45,VLOOKUP(Calculator!E23,tbSkills!DH3:DI6,2,FALSE)+IF(AND(Calculator!B8=TRUE,Backdoors!BI4=TRUE),VLOOKUP(Calculator!E23,tbSkills!DH3:DJ6,3,FALSE),0),0))&gt;=100,100,(Backdoors!AI12+IF(I90&gt;=0.45,VLOOKUP(Calculator!E23,tbSkills!DH3:DI6,2,FALSE)+IF(AND(Calculator!B8=TRUE,Backdoors!BI4=TRUE),VLOOKUP(Calculator!E23,tbSkills!DH3:DJ6,3,FALSE),0),0)))/100)),1))*IF(VLOOKUP(A90,tbMoveset!A2:K112,11,FALSE)=TRUE,Backdoors!AC5,1))*J90,0),"")</f>
        <v>0</v>
      </c>
      <c r="N90" s="49">
        <f>VLOOKUP(A90,tbMoveset!A2:G112,7,FALSE)*IFERROR(IF(Backdoors!AI12&gt;=0,1+(IF(Calculator!E40&gt;0,VLOOKUP(Calculator!E40,tbSkills!AI3:AJ5,2,FALSE),Backdoors!AL4)*(IF((Backdoors!AI12+IF(I90&gt;=0.45,VLOOKUP(Calculator!E23,tbSkills!DH3:DI6,2,FALSE)+IF(AND(Calculator!B8=TRUE,Backdoors!BI4=TRUE),VLOOKUP(Calculator!E23,tbSkills!DH3:DJ6,3,FALSE),0),0))&gt;=100,100,(Backdoors!AI12+IF(I90&gt;=0.45,VLOOKUP(Calculator!E23,tbSkills!DH3:DI6,2,FALSE)+IF(AND(Calculator!B8=TRUE,Backdoors!BI4=TRUE),VLOOKUP(Calculator!E23,tbSkills!DH3:DJ6,3,FALSE),0),0)))/100)),1),1)</f>
        <v>0.7</v>
      </c>
      <c r="O90" s="87">
        <f t="shared" si="52"/>
        <v>11</v>
      </c>
      <c r="P90" s="86">
        <f>IFERROR(IF(VLOOKUP(A90,tbMoveset!A2:B112,2,FALSE)="Sever",Backdoors!AY5/100,IF(VLOOKUP(A90,tbMoveset!A2:B112,2,FALSE)="Blunt",Backdoors!AZ5/100,Backdoors!BA5/100)),"")</f>
        <v>0.5</v>
      </c>
      <c r="Q90" s="49">
        <f>IFERROR(IF(VLOOKUP(tbMoveset!A90,tbMoveset!A2:H112,8,FALSE)="Other",IF(VLOOKUP(tbMoveset!A90,tbMoveset!A2:I112,9,FALSE)="Fire",Backdoors!BB5,IF(VLOOKUP(tbMoveset!A90,tbMoveset!A2:I112,9,FALSE)="Water",Backdoors!BC5,IF(VLOOKUP(tbMoveset!A90,tbMoveset!A2:I112,9,FALSE)="Thunder",Backdoors!BD5,IF(VLOOKUP(tbMoveset!A90,tbMoveset!A2:I112,9,FALSE)="Ice",Backdoors!BE5,IF(VLOOKUP(tbMoveset!A90,tbMoveset!A2:I112,9,FALSE)="Dragon",Backdoors!BF5,Backdoors!BG5)))))/100,Backdoors!BG5/100),"")</f>
        <v>0</v>
      </c>
      <c r="R90" s="49">
        <f>IFERROR(IF(VLOOKUP(A90,tbMoveset!A2:J112,10,FALSE)=TRUE,IF((Backdoors!AI12+IF(P90&gt;=0.45,VLOOKUP(Calculator!E23,tbSkills!DH3:DI6,2,FALSE)+IF(AND(Calculator!B8=TRUE,Backdoors!BI5=TRUE),VLOOKUP(Calculator!E23,tbSkills!DH3:DJ6,3,FALSE),0),0))&gt;=0,1+(Backdoors!AL2*(IF((Backdoors!AI12+IF(P90&gt;=0.45,VLOOKUP(Calculator!E23,tbSkills!DH3:DI6,2,FALSE)+IF(AND(Calculator!B8=TRUE,Backdoors!BI5=TRUE),VLOOKUP(Calculator!E23,tbSkills!DH3:DJ6,3,FALSE),0),0))&gt;=100,100,(Backdoors!AI12+IF(P90&gt;=0.45,VLOOKUP(Calculator!E23,tbSkills!DH3:DI6,2,FALSE)+IF(AND(Calculator!B8=TRUE,Backdoors!BI5=TRUE),VLOOKUP(Calculator!E23,tbSkills!DH3:DJ6,3,FALSE),0),0)))/100)),(1-(0.25*((-Backdoors!AI12-IF(P90&gt;=0.45,VLOOKUP(Calculator!E23,tbSkills!DH3:DI6,2,FALSE)+IF(AND(Calculator!B8=TRUE,Backdoors!BI5=TRUE),VLOOKUP(Calculator!E23,tbSkills!DH3:DJ6,3,FALSE),0),0))/100)))),1),"")</f>
        <v>1</v>
      </c>
      <c r="S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P90)*R90)*(VLOOKUP(A90,tbMoveset!A2:C112,3,FALSE)/100)*IF(VLOOKUP(A90,tbMoveset!A2:B112,2,FALSE)="Projectile",Backdoors!N10,Backdoors!N9),0),"")</f>
        <v>8</v>
      </c>
      <c r="T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P90&gt;=0.45,VLOOKUP(Calculator!E23,tbSkills!DH3:DI6,2,FALSE)+IF(AND(Calculator!B8=TRUE,Backdoors!BI5=TRUE),VLOOKUP(Calculator!E23,tbSkills!DH3:DJ6,3,FALSE),0),0))&gt;=100,100,(Backdoors!AI12+IF(P90&gt;=0.45,VLOOKUP(Calculator!E23,tbSkills!DH3:DI6,2,FALSE)+IF(AND(Calculator!B8=TRUE,Backdoors!BI5=TRUE),VLOOKUP(Calculator!E23,tbSkills!DH3:DJ6,3,FALSE),0),0)))/100)),1))*IF(VLOOKUP(A90,tbMoveset!A2:K112,11,FALSE)=TRUE,Backdoors!AC5,1))*Q90,0),"")</f>
        <v>0</v>
      </c>
      <c r="U90" s="49">
        <f>VLOOKUP(A90,tbMoveset!A2:G112,7,FALSE)*IFERROR(IF(Backdoors!AI12&gt;=0,1+(IF(Calculator!E40&gt;0,VLOOKUP(Calculator!E40,tbSkills!AI3:AJ5,2,FALSE),Backdoors!AL4)*(IF((Backdoors!AI12+IF(P90&gt;=0.45,VLOOKUP(Calculator!E23,tbSkills!DH3:DI6,2,FALSE)+IF(AND(Calculator!B8=TRUE,Backdoors!BI5=TRUE),VLOOKUP(Calculator!E23,tbSkills!DH3:DJ6,3,FALSE),0),0))&gt;=100,100,(Backdoors!AI12+IF(P90&gt;=0.45,VLOOKUP(Calculator!E23,tbSkills!DH3:DI6,2,FALSE)+IF(AND(Calculator!B8=TRUE,Backdoors!BI5=TRUE),VLOOKUP(Calculator!E23,tbSkills!DH3:DJ6,3,FALSE),0),0)))/100)),1),1)</f>
        <v>0.7</v>
      </c>
      <c r="V90" s="87">
        <f t="shared" si="53"/>
        <v>8</v>
      </c>
      <c r="W90" s="86">
        <f>IFERROR(IF(VLOOKUP(A90,tbMoveset!A2:B112,2,FALSE)="Sever",Backdoors!AY6/100,IF(VLOOKUP(A90,tbMoveset!A2:B112,2,FALSE)="Blunt",Backdoors!AZ6/100,Backdoors!BA6/100)),"")</f>
        <v>0.45</v>
      </c>
      <c r="X90" s="49">
        <f>IFERROR(IF(VLOOKUP(tbMoveset!A90,tbMoveset!A2:H112,8,FALSE)="Other",IF(VLOOKUP(tbMoveset!A90,tbMoveset!A2:I112,9,FALSE)="Fire",Backdoors!BB6,IF(VLOOKUP(tbMoveset!A90,tbMoveset!A2:I112,9,FALSE)="Water",Backdoors!BC6,IF(VLOOKUP(tbMoveset!A90,tbMoveset!A2:I112,9,FALSE)="Thunder",Backdoors!BD6,IF(VLOOKUP(tbMoveset!A90,tbMoveset!A2:I112,9,FALSE)="Ice",Backdoors!BE6,IF(VLOOKUP(tbMoveset!A90,tbMoveset!A2:I112,9,FALSE)="Dragon",Backdoors!BF6,Backdoors!BG6)))))/100,Backdoors!BG6/100),"")</f>
        <v>0</v>
      </c>
      <c r="Y90" s="49">
        <f>IFERROR(IF(VLOOKUP(A90,tbMoveset!A2:J112,10,FALSE)=TRUE,IF((Backdoors!AI12+IF(W90&gt;=0.45,VLOOKUP(Calculator!E23,tbSkills!DH3:DI6,2,FALSE)+IF(AND(Calculator!B8=TRUE,Backdoors!BI6=TRUE),VLOOKUP(Calculator!E23,tbSkills!DH3:DJ6,3,FALSE),0),0))&gt;=0,1+(Backdoors!AL2*(IF((Backdoors!AI12+IF(W90&gt;=0.45,VLOOKUP(Calculator!E23,tbSkills!DH3:DI6,2,FALSE)+IF(AND(Calculator!B8=TRUE,Backdoors!BI6=TRUE),VLOOKUP(Calculator!E23,tbSkills!DH3:DJ6,3,FALSE),0),0))&gt;=100,100,(Backdoors!AI12+IF(W90&gt;=0.45,VLOOKUP(Calculator!E23,tbSkills!DH3:DI6,2,FALSE)+IF(AND(Calculator!B8=TRUE,Backdoors!BI6=TRUE),VLOOKUP(Calculator!E23,tbSkills!DH3:DJ6,3,FALSE),0),0)))/100)),(1-(0.25*((-Backdoors!AI12-IF(W90&gt;=0.45,VLOOKUP(Calculator!E23,tbSkills!DH3:DI6,2,FALSE)+IF(AND(Calculator!B8=TRUE,Backdoors!BI6=TRUE),VLOOKUP(Calculator!E23,tbSkills!DH3:DJ6,3,FALSE),0),0))/100)))),1),"")</f>
        <v>1</v>
      </c>
      <c r="Z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W90)*Y90)*(VLOOKUP(A90,tbMoveset!A2:C112,3,FALSE)/100)*IF(VLOOKUP(A90,tbMoveset!A2:B112,2,FALSE)="Projectile",Backdoors!N10,Backdoors!N9),0),"")</f>
        <v>8</v>
      </c>
      <c r="AA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W90&gt;=0.45,VLOOKUP(Calculator!E23,tbSkills!DH3:DI6,2,FALSE)+IF(AND(Calculator!B8=TRUE,Backdoors!BI6=TRUE),VLOOKUP(Calculator!E23,tbSkills!DH3:DJ6,3,FALSE),0),0))&gt;=100,100,(Backdoors!AI12+IF(W90&gt;=0.45,VLOOKUP(Calculator!E23,tbSkills!DH3:DI6,2,FALSE)+IF(AND(Calculator!B8=TRUE,Backdoors!BI6=TRUE),VLOOKUP(Calculator!E23,tbSkills!DH3:DJ6,3,FALSE),0),0)))/100)),1))*IF(VLOOKUP(A90,tbMoveset!A2:K112,11,FALSE)=TRUE,Backdoors!AC5,1))*X90,0),"")</f>
        <v>0</v>
      </c>
      <c r="AB90" s="49">
        <f>VLOOKUP(A90,tbMoveset!A2:G112,7,FALSE)*IFERROR(IF(Backdoors!AI12&gt;=0,1+(IF(Calculator!E40&gt;0,VLOOKUP(Calculator!E40,tbSkills!AI3:AJ5,2,FALSE),Backdoors!AL4)*(IF((Backdoors!AI12+IF(W90&gt;=0.45,VLOOKUP(Calculator!E23,tbSkills!DH3:DI6,2,FALSE)+IF(AND(Calculator!B8=TRUE,Backdoors!BI6=TRUE),VLOOKUP(Calculator!E23,tbSkills!DH3:DJ6,3,FALSE),0),0))&gt;=100,100,(Backdoors!AI12+IF(W90&gt;=0.45,VLOOKUP(Calculator!E23,tbSkills!DH3:DI6,2,FALSE)+IF(AND(Calculator!B8=TRUE,Backdoors!BI6=TRUE),VLOOKUP(Calculator!E23,tbSkills!DH3:DJ6,3,FALSE),0),0)))/100)),1),1)</f>
        <v>0.7</v>
      </c>
      <c r="AC90" s="87">
        <f t="shared" si="54"/>
        <v>8</v>
      </c>
      <c r="AD90" s="86">
        <f>IFERROR(IF(VLOOKUP(A90,tbMoveset!A2:B112,2,FALSE)="Sever",Backdoors!AY7/100,IF(VLOOKUP(A90,tbMoveset!A2:B112,2,FALSE)="Blunt",Backdoors!AZ7/100,Backdoors!BA7/100)),"")</f>
        <v>0.65</v>
      </c>
      <c r="AE90" s="49">
        <f>IFERROR(IF(VLOOKUP(tbMoveset!A90,tbMoveset!A2:H112,8,FALSE)="Other",IF(VLOOKUP(tbMoveset!A90,tbMoveset!A2:I112,9,FALSE)="Fire",Backdoors!BB7,IF(VLOOKUP(tbMoveset!A90,tbMoveset!A2:I112,9,FALSE)="Water",Backdoors!BC7,IF(VLOOKUP(tbMoveset!A90,tbMoveset!A2:I112,9,FALSE)="Thunder",Backdoors!BD7,IF(VLOOKUP(tbMoveset!A90,tbMoveset!A2:I112,9,FALSE)="Ice",Backdoors!BE7,IF(VLOOKUP(tbMoveset!A90,tbMoveset!A2:I112,9,FALSE)="Dragon",Backdoors!BF7,Backdoors!BG7)))))/100,Backdoors!BG7/100),"")</f>
        <v>0</v>
      </c>
      <c r="AF90" s="49">
        <f>IFERROR(IF(VLOOKUP(A90,tbMoveset!A2:J112,10,FALSE)=TRUE,IF((Backdoors!AI12+IF(AD90&gt;=0.45,VLOOKUP(Calculator!E23,tbSkills!DH3:DI6,2,FALSE)+IF(AND(Calculator!B8=TRUE,Backdoors!BI7=TRUE),VLOOKUP(Calculator!E23,tbSkills!DH3:DJ6,3,FALSE),0),0))&gt;=0,1+(Backdoors!AL2*(IF((Backdoors!AI12+IF(AD90&gt;=0.45,VLOOKUP(Calculator!E23,tbSkills!DH3:DI6,2,FALSE)+IF(AND(Calculator!B8=TRUE,Backdoors!BI7=TRUE),VLOOKUP(Calculator!E23,tbSkills!DH3:DJ6,3,FALSE),0),0))&gt;=100,100,(Backdoors!AI12+IF(AD90&gt;=0.45,VLOOKUP(Calculator!E23,tbSkills!DH3:DI6,2,FALSE)+IF(AND(Calculator!B8=TRUE,Backdoors!BI7=TRUE),VLOOKUP(Calculator!E23,tbSkills!DH3:DJ6,3,FALSE),0),0)))/100)),(1-(0.25*((-Backdoors!AI12-IF(AD90&gt;=0.45,VLOOKUP(Calculator!E23,tbSkills!DH3:DI6,2,FALSE)+IF(AND(Calculator!B8=TRUE,Backdoors!BI7=TRUE),VLOOKUP(Calculator!E23,tbSkills!DH3:DJ6,3,FALSE),0),0))/100)))),1),"")</f>
        <v>1</v>
      </c>
      <c r="AG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D90)*AF90)*(VLOOKUP(A90,tbMoveset!A2:C112,3,FALSE)/100)*IF(VLOOKUP(A90,tbMoveset!A2:B112,2,FALSE)="Projectile",Backdoors!N10,Backdoors!N9),0),"")</f>
        <v>11</v>
      </c>
      <c r="AH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D90&gt;=0.45,VLOOKUP(Calculator!E23,tbSkills!DH3:DI6,2,FALSE)+IF(AND(Calculator!B8=TRUE,Backdoors!BI7=TRUE),VLOOKUP(Calculator!E23,tbSkills!DH3:DJ6,3,FALSE),0),0))&gt;=100,100,(Backdoors!AI12+IF(AD90&gt;=0.45,VLOOKUP(Calculator!E23,tbSkills!DH3:DI6,2,FALSE)+IF(AND(Calculator!B8=TRUE,Backdoors!BI7=TRUE),VLOOKUP(Calculator!E23,tbSkills!DH3:DJ6,3,FALSE),0),0)))/100)),1))*IF(VLOOKUP(A90,tbMoveset!A2:K112,11,FALSE)=TRUE,Backdoors!AC5,1))*AE90,0),"")</f>
        <v>0</v>
      </c>
      <c r="AI90" s="49">
        <f>VLOOKUP(A90,tbMoveset!A2:G112,7,FALSE)*IFERROR(IF(Backdoors!AI12&gt;=0,1+(IF(Calculator!E40&gt;0,VLOOKUP(Calculator!E40,tbSkills!AI3:AJ5,2,FALSE),Backdoors!AL4)*(IF((Backdoors!AI12+IF(AD90&gt;=0.45,VLOOKUP(Calculator!E23,tbSkills!DH3:DI6,2,FALSE)+IF(AND(Calculator!B8=TRUE,Backdoors!BI7=TRUE),VLOOKUP(Calculator!E23,tbSkills!DH3:DJ6,3,FALSE),0),0))&gt;=100,100,(Backdoors!AI12+IF(AD90&gt;=0.45,VLOOKUP(Calculator!E23,tbSkills!DH3:DI6,2,FALSE)+IF(AND(Calculator!B8=TRUE,Backdoors!BI7=TRUE),VLOOKUP(Calculator!E23,tbSkills!DH3:DJ6,3,FALSE),0),0)))/100)),1),1)</f>
        <v>0.7</v>
      </c>
      <c r="AJ90" s="87">
        <f t="shared" si="55"/>
        <v>11</v>
      </c>
      <c r="AK90" s="91">
        <f>IFERROR(IF(VLOOKUP(A90,tbMoveset!A2:B112,2,FALSE)="Sever",Backdoors!AY8/100,IF(VLOOKUP(A90,tbMoveset!A2:B112,2,FALSE)="Blunt",Backdoors!AZ8/100,Backdoors!BA8/100)),"")</f>
        <v>0.45</v>
      </c>
      <c r="AL90" s="49">
        <f>IFERROR(IF(VLOOKUP(tbMoveset!A90,tbMoveset!A2:H112,8,FALSE)="Other",IF(VLOOKUP(tbMoveset!A90,tbMoveset!A2:I112,9,FALSE)="Fire",Backdoors!BB8,IF(VLOOKUP(tbMoveset!A90,tbMoveset!A2:I112,9,FALSE)="Water",Backdoors!BC8,IF(VLOOKUP(tbMoveset!A90,tbMoveset!A2:I112,9,FALSE)="Thunder",Backdoors!BD8,IF(VLOOKUP(tbMoveset!A90,tbMoveset!A2:I112,9,FALSE)="Ice",Backdoors!BE8,IF(VLOOKUP(tbMoveset!A90,tbMoveset!A2:I112,9,FALSE)="Dragon",Backdoors!BF8,Backdoors!BG8)))))/100,Backdoors!BG8/100),"")</f>
        <v>0</v>
      </c>
      <c r="AM90" s="49">
        <f>IFERROR(IF(VLOOKUP(A90,tbMoveset!A2:J112,10,FALSE)=TRUE,IF((Backdoors!AI12+IF(AK90&gt;=0.45,VLOOKUP(Calculator!E23,tbSkills!DH3:DI6,2,FALSE)+IF(AND(Calculator!B8=TRUE,Backdoors!BI8=TRUE),VLOOKUP(Calculator!E23,tbSkills!DH3:DJ6,3,FALSE),0),0))&gt;=0,1+(Backdoors!AL2*(IF((Backdoors!AI12+IF(AK90&gt;=0.45,VLOOKUP(Calculator!E23,tbSkills!DH3:DI6,2,FALSE)+IF(AND(Calculator!B8=TRUE,Backdoors!BI8=TRUE),VLOOKUP(Calculator!E23,tbSkills!DH3:DJ6,3,FALSE),0),0))&gt;=100,100,(Backdoors!AI12+IF(AK90&gt;=0.45,VLOOKUP(Calculator!E23,tbSkills!DH3:DI6,2,FALSE)+IF(AND(Calculator!B8=TRUE,Backdoors!BI8=TRUE),VLOOKUP(Calculator!E23,tbSkills!DH3:DJ6,3,FALSE),0),0)))/100)),(1-(0.25*((-Backdoors!AI12-IF(AK90&gt;=0.45,VLOOKUP(Calculator!E23,tbSkills!DH3:DI6,2,FALSE)+IF(AND(Calculator!B8=TRUE,Backdoors!BI8=TRUE),VLOOKUP(Calculator!E23,tbSkills!DH3:DJ6,3,FALSE),0),0))/100)))),1),"")</f>
        <v>1</v>
      </c>
      <c r="AN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K90)*AM90)*(VLOOKUP(A90,tbMoveset!A2:C112,3,FALSE)/100)*IF(VLOOKUP(A90,tbMoveset!A2:B112,2,FALSE)="Projectile",Backdoors!N10,Backdoors!N9),0),"")</f>
        <v>8</v>
      </c>
      <c r="AO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K90&gt;=0.45,VLOOKUP(Calculator!E23,tbSkills!DH3:DI6,2,FALSE)+IF(AND(Calculator!B8=TRUE,Backdoors!BI8=TRUE),VLOOKUP(Calculator!E23,tbSkills!DH3:DJ6,3,FALSE),0),0))&gt;=100,100,(Backdoors!AI12+IF(AK90&gt;=0.45,VLOOKUP(Calculator!E23,tbSkills!DH3:DI6,2,FALSE)+IF(AND(Calculator!B8=TRUE,Backdoors!BI8=TRUE),VLOOKUP(Calculator!E23,tbSkills!DH3:DJ6,3,FALSE),0),0)))/100)),1))*IF(VLOOKUP(A90,tbMoveset!A2:K112,11,FALSE)=TRUE,Backdoors!AC5,1))*AL90,0),"")</f>
        <v>0</v>
      </c>
      <c r="AP90" s="49">
        <f>VLOOKUP(A90,tbMoveset!A2:G112,7,FALSE)*IFERROR(IF(Backdoors!AI12&gt;=0,1+(IF(Calculator!E40&gt;0,VLOOKUP(Calculator!E40,tbSkills!AI3:AJ5,2,FALSE),Backdoors!AL4)*(IF((Backdoors!AI12+IF(AK90&gt;=0.45,VLOOKUP(Calculator!E23,tbSkills!DH3:DI6,2,FALSE)+IF(AND(Calculator!B8=TRUE,Backdoors!BI8=TRUE),VLOOKUP(Calculator!E23,tbSkills!DH3:DJ6,3,FALSE),0),0))&gt;=100,100,(Backdoors!AI12+IF(AK90&gt;=0.45,VLOOKUP(Calculator!E23,tbSkills!DH3:DI6,2,FALSE)+IF(AND(Calculator!B8=TRUE,Backdoors!BI8=TRUE),VLOOKUP(Calculator!E23,tbSkills!DH3:DJ6,3,FALSE),0),0)))/100)),1),1)</f>
        <v>0.7</v>
      </c>
      <c r="AQ90" s="87">
        <f t="shared" si="56"/>
        <v>8</v>
      </c>
      <c r="AR90" s="86">
        <f>IFERROR(IF(VLOOKUP(A90,tbMoveset!A2:B112,2,FALSE)="Sever",Backdoors!AY9/100,IF(VLOOKUP(A90,tbMoveset!A2:B112,2,FALSE)="Blunt",Backdoors!AZ9/100,Backdoors!BA9/100)),"")</f>
        <v>0.45</v>
      </c>
      <c r="AS90" s="49">
        <f>IFERROR(IF(VLOOKUP(tbMoveset!A90,tbMoveset!A2:H112,8,FALSE)="Other",IF(VLOOKUP(tbMoveset!A90,tbMoveset!A2:I112,9,FALSE)="Fire",Backdoors!BB9,IF(VLOOKUP(tbMoveset!A90,tbMoveset!A2:I112,9,FALSE)="Water",Backdoors!BC9,IF(VLOOKUP(tbMoveset!A90,tbMoveset!A2:I112,9,FALSE)="Thunder",Backdoors!BD9,IF(VLOOKUP(tbMoveset!A90,tbMoveset!A2:I112,9,FALSE)="Ice",Backdoors!BE9,IF(VLOOKUP(tbMoveset!A90,tbMoveset!A2:I112,9,FALSE)="Dragon",Backdoors!BF9,Backdoors!BG9)))))/100,Backdoors!BG9/100),"")</f>
        <v>0</v>
      </c>
      <c r="AT90" s="49">
        <f>IFERROR(IF(VLOOKUP(A90,tbMoveset!A2:J112,10,FALSE)=TRUE,IF((Backdoors!AI12+IF(AR90&gt;=0.45,VLOOKUP(Calculator!E23,tbSkills!DH3:DI6,2,FALSE)+IF(AND(Calculator!B8=TRUE,Backdoors!BI9=TRUE),VLOOKUP(Calculator!E23,tbSkills!DH3:DJ6,3,FALSE),0),0))&gt;=0,1+(Backdoors!AL2*(IF((Backdoors!AI12+IF(AR90&gt;=0.45,VLOOKUP(Calculator!E23,tbSkills!DH3:DI6,2,FALSE)+IF(AND(Calculator!B8=TRUE,Backdoors!BI9=TRUE),VLOOKUP(Calculator!E23,tbSkills!DH3:DJ6,3,FALSE),0),0))&gt;=100,100,(Backdoors!AI12+IF(AR90&gt;=0.45,VLOOKUP(Calculator!E23,tbSkills!DH3:DI6,2,FALSE)+IF(AND(Calculator!B8=TRUE,Backdoors!BI9=TRUE),VLOOKUP(Calculator!E23,tbSkills!DH3:DJ6,3,FALSE),0),0)))/100)),(1-(0.25*((-Backdoors!AI12-IF(AR90&gt;=0.45,VLOOKUP(Calculator!E23,tbSkills!DH3:DI6,2,FALSE)+IF(AND(Calculator!B8=TRUE,Backdoors!BI9=TRUE),VLOOKUP(Calculator!E23,tbSkills!DH3:DJ6,3,FALSE),0),0))/100)))),1),"")</f>
        <v>1</v>
      </c>
      <c r="AU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R90)*AT90)*(VLOOKUP(A90,tbMoveset!A2:C112,3,FALSE)/100)*IF(VLOOKUP(A90,tbMoveset!A2:B112,2,FALSE)="Projectile",Backdoors!N10,Backdoors!N9),0),"")</f>
        <v>8</v>
      </c>
      <c r="AV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R90&gt;=0.45,VLOOKUP(Calculator!E23,tbSkills!DH3:DI6,2,FALSE)+IF(AND(Calculator!B8=TRUE,Backdoors!BI9=TRUE),VLOOKUP(Calculator!E23,tbSkills!DH3:DJ6,3,FALSE),0),0))&gt;=100,100,(Backdoors!AI12+IF(AR90&gt;=0.45,VLOOKUP(Calculator!E23,tbSkills!DH3:DI6,2,FALSE)+IF(AND(Calculator!B8=TRUE,Backdoors!BI9=TRUE),VLOOKUP(Calculator!E23,tbSkills!DH3:DJ6,3,FALSE),0),0)))/100)),1))*IF(VLOOKUP(A90,tbMoveset!A2:K112,11,FALSE)=TRUE,Backdoors!AC5,1))*AS90,0),"")</f>
        <v>0</v>
      </c>
      <c r="AW90" s="49">
        <f>VLOOKUP(A90,tbMoveset!A2:G112,7,FALSE)*IFERROR(IF(Backdoors!AI12&gt;=0,1+(IF(Calculator!E40&gt;0,VLOOKUP(Calculator!E40,tbSkills!AI3:AJ5,2,FALSE),Backdoors!AL4)*(IF((Backdoors!AI12+IF(AR90&gt;=0.45,VLOOKUP(Calculator!E23,tbSkills!DH3:DI6,2,FALSE)+IF(AND(Calculator!B8=TRUE,Backdoors!BI9=TRUE),VLOOKUP(Calculator!E23,tbSkills!DH3:DJ6,3,FALSE),0),0))&gt;=100,100,(Backdoors!AI12+IF(AR90&gt;=0.45,VLOOKUP(Calculator!E23,tbSkills!DH3:DI6,2,FALSE)+IF(AND(Calculator!B8=TRUE,Backdoors!BI9=TRUE),VLOOKUP(Calculator!E23,tbSkills!DH3:DJ6,3,FALSE),0),0)))/100)),1),1)</f>
        <v>0.7</v>
      </c>
      <c r="AX90" s="87">
        <f t="shared" si="57"/>
        <v>8</v>
      </c>
      <c r="AY90" s="86">
        <f>IFERROR(IF(VLOOKUP(A90,tbMoveset!A2:B112,2,FALSE)="Sever",Backdoors!AY10/100,IF(VLOOKUP(A90,tbMoveset!A2:B112,2,FALSE)="Blunt",Backdoors!AZ10/100,Backdoors!BA10/100)),"")</f>
        <v>0.9</v>
      </c>
      <c r="AZ90" s="49">
        <f>IFERROR(IF(VLOOKUP(tbMoveset!A90,tbMoveset!A2:H112,8,FALSE)="Other",IF(VLOOKUP(tbMoveset!A90,tbMoveset!A2:I112,9,FALSE)="Fire",Backdoors!BB10,IF(VLOOKUP(tbMoveset!A90,tbMoveset!A2:I112,9,FALSE)="Water",Backdoors!BC10,IF(VLOOKUP(tbMoveset!A90,tbMoveset!A2:I112,9,FALSE)="Thunder",Backdoors!BD10,IF(VLOOKUP(tbMoveset!A90,tbMoveset!A2:I112,9,FALSE)="Ice",Backdoors!BE10,IF(VLOOKUP(tbMoveset!A90,tbMoveset!A2:I112,9,FALSE)="Dragon",Backdoors!BF10,Backdoors!BG10)))))/100,Backdoors!BG10/100),"")</f>
        <v>0</v>
      </c>
      <c r="BA90" s="49">
        <f>IFERROR(IF(VLOOKUP(A90,tbMoveset!A2:J112,10,FALSE)=TRUE,IF((Backdoors!AI12+IF(AY90&gt;=0.45,VLOOKUP(Calculator!E23,tbSkills!DH3:DI6,2,FALSE)+IF(AND(Calculator!B8=TRUE,Backdoors!BI10=TRUE),VLOOKUP(Calculator!E23,tbSkills!DH3:DJ6,3,FALSE),0),0))&gt;=0,1+(Backdoors!AL2*(IF((Backdoors!AI12+IF(AY90&gt;=0.45,VLOOKUP(Calculator!E23,tbSkills!DH3:DI6,2,FALSE)+IF(AND(Calculator!B8=TRUE,Backdoors!BI10=TRUE),VLOOKUP(Calculator!E23,tbSkills!DH3:DJ6,3,FALSE),0),0))&gt;=100,100,(Backdoors!AI12+IF(AY90&gt;=0.45,VLOOKUP(Calculator!E23,tbSkills!DH3:DI6,2,FALSE)+IF(AND(Calculator!B8=TRUE,Backdoors!BI10=TRUE),VLOOKUP(Calculator!E23,tbSkills!DH3:DJ6,3,FALSE),0),0)))/100)),(1-(0.25*((-Backdoors!AI12-IF(AY90&gt;=0.45,VLOOKUP(Calculator!E23,tbSkills!DH3:DI6,2,FALSE)+IF(AND(Calculator!B8=TRUE,Backdoors!BI10=TRUE),VLOOKUP(Calculator!E23,tbSkills!DH3:DJ6,3,FALSE),0),0))/100)))),1),"")</f>
        <v>1</v>
      </c>
      <c r="BB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Y90)*BA90)*(VLOOKUP(A90,tbMoveset!A2:C112,3,FALSE)/100)*IF(VLOOKUP(A90,tbMoveset!A2:B112,2,FALSE)="Projectile",Backdoors!N10,Backdoors!N9),0),"")</f>
        <v>15</v>
      </c>
      <c r="BC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Y90&gt;=0.45,VLOOKUP(Calculator!E23,tbSkills!DH3:DI6,2,FALSE)+IF(AND(Calculator!B8=TRUE,Backdoors!BI10=TRUE),VLOOKUP(Calculator!E23,tbSkills!DH3:DJ6,3,FALSE),0),0))&gt;=100,100,(Backdoors!AI12+IF(AY90&gt;=0.45,VLOOKUP(Calculator!E23,tbSkills!DH3:DI6,2,FALSE)+IF(AND(Calculator!B8=TRUE,Backdoors!BI10=TRUE),VLOOKUP(Calculator!E23,tbSkills!DH3:DJ6,3,FALSE),0),0)))/100)),1))*IF(VLOOKUP(A90,tbMoveset!A2:K112,11,FALSE)=TRUE,Backdoors!AC5,1))*AZ90,0),"")</f>
        <v>0</v>
      </c>
      <c r="BD90" s="49">
        <f>VLOOKUP(A90,tbMoveset!A2:G112,7,FALSE)*IFERROR(IF(Backdoors!AI12&gt;=0,1+(IF(Calculator!E40&gt;0,VLOOKUP(Calculator!E40,tbSkills!AI3:AJ5,2,FALSE),Backdoors!AL4)*(IF((Backdoors!AI12+IF(AY90&gt;=0.45,VLOOKUP(Calculator!E23,tbSkills!DH3:DI6,2,FALSE)+IF(AND(Calculator!B8=TRUE,Backdoors!BI10=TRUE),VLOOKUP(Calculator!E23,tbSkills!DH3:DJ6,3,FALSE),0),0))&gt;=100,100,(Backdoors!AI12+IF(AY90&gt;=0.45,VLOOKUP(Calculator!E23,tbSkills!DH3:DI6,2,FALSE)+IF(AND(Calculator!B8=TRUE,Backdoors!BI10=TRUE),VLOOKUP(Calculator!E23,tbSkills!DH3:DJ6,3,FALSE),0),0)))/100)),1),1)</f>
        <v>0.7</v>
      </c>
      <c r="BE90" s="87">
        <f t="shared" si="58"/>
        <v>15</v>
      </c>
      <c r="BF90" s="86" t="str">
        <f>IFERROR(IF(VLOOKUP(A90,tbMoveset!A2:B112,2,FALSE)="Sever",Backdoors!AY11/100,IF(VLOOKUP(A90,tbMoveset!A2:B112,2,FALSE)="Blunt",Backdoors!AZ11/100,Backdoors!BA11/100)),"")</f>
        <v/>
      </c>
      <c r="BG90" s="49">
        <f>IFERROR(IF(VLOOKUP(tbMoveset!A90,tbMoveset!A2:H112,8,FALSE)="Other",IF(VLOOKUP(tbMoveset!A90,tbMoveset!A2:I112,9,FALSE)="Fire",Backdoors!BB11,IF(VLOOKUP(tbMoveset!A90,tbMoveset!A2:I112,9,FALSE)="Water",Backdoors!BC11,IF(VLOOKUP(tbMoveset!A90,tbMoveset!A2:I112,9,FALSE)="Thunder",Backdoors!BD11,IF(VLOOKUP(tbMoveset!A90,tbMoveset!A2:I112,9,FALSE)="Ice",Backdoors!BE11,IF(VLOOKUP(tbMoveset!A90,tbMoveset!A2:I112,9,FALSE)="Dragon",Backdoors!BF11,Backdoors!BG11)))))/100,Backdoors!BG11/100),"")</f>
        <v>0</v>
      </c>
      <c r="BH90" s="49">
        <f>IFERROR(IF(VLOOKUP(A90,tbMoveset!A2:J112,10,FALSE)=TRUE,IF((Backdoors!AI12+IF(BF90&gt;=0.45,VLOOKUP(Calculator!E23,tbSkills!DH3:DI6,2,FALSE)+IF(AND(Calculator!B8=TRUE,Backdoors!BI11=TRUE),VLOOKUP(Calculator!E23,tbSkills!DH3:DJ6,3,FALSE),0),0))&gt;=0,1+(Backdoors!AL2*(IF((Backdoors!AI12+IF(BF90&gt;=0.45,VLOOKUP(Calculator!E23,tbSkills!DH3:DI6,2,FALSE)+IF(AND(Calculator!B8=TRUE,Backdoors!BI11=TRUE),VLOOKUP(Calculator!E23,tbSkills!DH3:DJ6,3,FALSE),0),0))&gt;=100,100,(Backdoors!AI12+IF(BF90&gt;=0.45,VLOOKUP(Calculator!E23,tbSkills!DH3:DI6,2,FALSE)+IF(AND(Calculator!B8=TRUE,Backdoors!BI11=TRUE),VLOOKUP(Calculator!E23,tbSkills!DH3:DJ6,3,FALSE),0),0)))/100)),(1-(0.25*((-Backdoors!AI12-IF(BF90&gt;=0.45,VLOOKUP(Calculator!E23,tbSkills!DH3:DI6,2,FALSE)+IF(AND(Calculator!B8=TRUE,Backdoors!BI11=TRUE),VLOOKUP(Calculator!E23,tbSkills!DH3:DJ6,3,FALSE),0),0))/100)))),1),"")</f>
        <v>1</v>
      </c>
      <c r="BI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F90)*BH90)*(VLOOKUP(A90,tbMoveset!A2:C112,3,FALSE)/100)*IF(VLOOKUP(A90,tbMoveset!A2:B112,2,FALSE)="Projectile",Backdoors!N10,Backdoors!N9),0),"")</f>
        <v/>
      </c>
      <c r="BJ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F90&gt;=0.45,VLOOKUP(Calculator!E23,tbSkills!DH3:DI6,2,FALSE)+IF(AND(Calculator!B8=TRUE,Backdoors!BI11=TRUE),VLOOKUP(Calculator!E23,tbSkills!DH3:DJ6,3,FALSE),0),0))&gt;=100,100,(Backdoors!AI12+IF(BF90&gt;=0.45,VLOOKUP(Calculator!E23,tbSkills!DH3:DI6,2,FALSE)+IF(AND(Calculator!B8=TRUE,Backdoors!BI11=TRUE),VLOOKUP(Calculator!E23,tbSkills!DH3:DJ6,3,FALSE),0),0)))/100)),1))*IF(VLOOKUP(A90,tbMoveset!A2:K112,11,FALSE)=TRUE,Backdoors!AC5,1))*BG90,0),"")</f>
        <v>0</v>
      </c>
      <c r="BK90" s="49">
        <f>VLOOKUP(A90,tbMoveset!A2:G112,7,FALSE)*IFERROR(IF(Backdoors!AI12&gt;=0,1+(IF(Calculator!E40&gt;0,VLOOKUP(Calculator!E40,tbSkills!AI3:AJ5,2,FALSE),Backdoors!AL4)*(IF((Backdoors!AI12+IF(BF90&gt;=0.45,VLOOKUP(Calculator!E23,tbSkills!DH3:DI6,2,FALSE)+IF(AND(Calculator!B8=TRUE,Backdoors!BI11=TRUE),VLOOKUP(Calculator!E23,tbSkills!DH3:DJ6,3,FALSE),0),0))&gt;=100,100,(Backdoors!AI12+IF(BF90&gt;=0.45,VLOOKUP(Calculator!E23,tbSkills!DH3:DI6,2,FALSE)+IF(AND(Calculator!B8=TRUE,Backdoors!BI11=TRUE),VLOOKUP(Calculator!E23,tbSkills!DH3:DJ6,3,FALSE),0),0)))/100)),1),1)</f>
        <v>0.7</v>
      </c>
      <c r="BL90" s="87">
        <f t="shared" si="59"/>
        <v>0</v>
      </c>
      <c r="BM90" s="86" t="str">
        <f>IFERROR(IF(VLOOKUP(A90,tbMoveset!A2:B112,2,FALSE)="Sever",Backdoors!AY12/100,IF(VLOOKUP(A90,tbMoveset!A2:B112,2,FALSE)="Blunt",Backdoors!AZ12/100,Backdoors!BA12/100)),"")</f>
        <v/>
      </c>
      <c r="BN90" s="49">
        <f>IFERROR(IF(VLOOKUP(tbMoveset!A90,tbMoveset!A2:H112,8,FALSE)="Other",IF(VLOOKUP(tbMoveset!A90,tbMoveset!A2:I112,9,FALSE)="Fire",Backdoors!BB12,IF(VLOOKUP(tbMoveset!A90,tbMoveset!A2:I112,9,FALSE)="Water",Backdoors!BC12,IF(VLOOKUP(tbMoveset!A90,tbMoveset!A2:I112,9,FALSE)="Thunder",Backdoors!BD12,IF(VLOOKUP(tbMoveset!A90,tbMoveset!A2:I112,9,FALSE)="Ice",Backdoors!BE12,IF(VLOOKUP(tbMoveset!A90,tbMoveset!A2:I112,9,FALSE)="Dragon",Backdoors!BF12,Backdoors!BG12)))))/100,Backdoors!BG12/100),"")</f>
        <v>0</v>
      </c>
      <c r="BO90" s="49">
        <f>IFERROR(IF(VLOOKUP(A90,tbMoveset!A2:J112,10,FALSE)=TRUE,IF((Backdoors!AI12+IF(BM90&gt;=0.45,VLOOKUP(Calculator!E23,tbSkills!DH3:DI6,2,FALSE)+IF(AND(Calculator!B8=TRUE,Backdoors!BI12=TRUE),VLOOKUP(Calculator!E23,tbSkills!DH3:DJ6,3,FALSE),0),0))&gt;=0,1+(Backdoors!AL2*(IF((Backdoors!AI12+IF(BM90&gt;=0.45,VLOOKUP(Calculator!E23,tbSkills!DH3:DI6,2,FALSE)+IF(AND(Calculator!B8=TRUE,Backdoors!BI12=TRUE),VLOOKUP(Calculator!E23,tbSkills!DH3:DJ6,3,FALSE),0),0))&gt;=100,100,(Backdoors!AI12+IF(BM90&gt;=0.45,VLOOKUP(Calculator!E23,tbSkills!DH3:DI6,2,FALSE)+IF(AND(Calculator!B8=TRUE,Backdoors!BI12=TRUE),VLOOKUP(Calculator!E23,tbSkills!DH3:DJ6,3,FALSE),0),0)))/100)),(1-(0.25*((-Backdoors!AI12-IF(BM90&gt;=0.45,VLOOKUP(Calculator!E23,tbSkills!DH3:DI6,2,FALSE)+IF(AND(Calculator!B8=TRUE,Backdoors!BI12=TRUE),VLOOKUP(Calculator!E23,tbSkills!DH3:DJ6,3,FALSE),0),0))/100)))),1),"")</f>
        <v>1</v>
      </c>
      <c r="BP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M90)*BO90)*(VLOOKUP(A90,tbMoveset!A2:C112,3,FALSE)/100)*IF(VLOOKUP(A90,tbMoveset!A2:B112,2,FALSE)="Projectile",Backdoors!N10,Backdoors!N9),0),"")</f>
        <v/>
      </c>
      <c r="BQ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M90&gt;=0.45,VLOOKUP(Calculator!E23,tbSkills!DH3:DI6,2,FALSE)+IF(AND(Calculator!B8=TRUE,Backdoors!BI12=TRUE),VLOOKUP(Calculator!E23,tbSkills!DH3:DJ6,3,FALSE),0),0))&gt;=100,100,(Backdoors!AI12+IF(BM90&gt;=0.45,VLOOKUP(Calculator!E23,tbSkills!DH3:DI6,2,FALSE)+IF(AND(Calculator!B8=TRUE,Backdoors!BI12=TRUE),VLOOKUP(Calculator!E23,tbSkills!DH3:DJ6,3,FALSE),0),0)))/100)),1))*IF(VLOOKUP(A90,tbMoveset!A2:K112,11,FALSE)=TRUE,Backdoors!AC5,1))*BN90,0),"")</f>
        <v>0</v>
      </c>
      <c r="BR90" s="49">
        <f>VLOOKUP(A90,tbMoveset!A2:G112,7,FALSE)*IFERROR(IF(Backdoors!AI12&gt;=0,1+(IF(Calculator!E40&gt;0,VLOOKUP(Calculator!E40,tbSkills!AI3:AJ5,2,FALSE),Backdoors!AL4)*(IF((Backdoors!AI12+IF(BM90&gt;=0.45,VLOOKUP(Calculator!E23,tbSkills!DH3:DI6,2,FALSE)+IF(AND(Calculator!B8=TRUE,Backdoors!BI12=TRUE),VLOOKUP(Calculator!E23,tbSkills!DH3:DJ6,3,FALSE),0),0))&gt;=100,100,(Backdoors!AI12+IF(BM90&gt;=0.45,VLOOKUP(Calculator!E23,tbSkills!DH3:DI6,2,FALSE)+IF(AND(Calculator!B8=TRUE,Backdoors!BI12=TRUE),VLOOKUP(Calculator!E23,tbSkills!DH3:DJ6,3,FALSE),0),0)))/100)),1),1)</f>
        <v>0.7</v>
      </c>
      <c r="BS90" s="87">
        <f t="shared" si="60"/>
        <v>0</v>
      </c>
      <c r="BT90" s="86" t="str">
        <f>IFERROR(IF(VLOOKUP(A90,tbMoveset!A2:B112,2,FALSE)="Sever",Backdoors!AY13/100,IF(VLOOKUP(A90,tbMoveset!A2:B112,2,FALSE)="Blunt",Backdoors!AZ13/100,Backdoors!BA13/100)),"")</f>
        <v/>
      </c>
      <c r="BU90" s="49">
        <f>IFERROR(IF(VLOOKUP(tbMoveset!A90,tbMoveset!A2:H112,8,FALSE)="Other",IF(VLOOKUP(tbMoveset!A90,tbMoveset!A2:I112,9,FALSE)="Fire",Backdoors!BB13,IF(VLOOKUP(tbMoveset!A90,tbMoveset!A2:I112,9,FALSE)="Water",Backdoors!BC13,IF(VLOOKUP(tbMoveset!A90,tbMoveset!A2:I112,9,FALSE)="Thunder",Backdoors!BD13,IF(VLOOKUP(tbMoveset!A90,tbMoveset!A2:I112,9,FALSE)="Ice",Backdoors!BE13,IF(VLOOKUP(tbMoveset!A90,tbMoveset!A2:I112,9,FALSE)="Dragon",Backdoors!BF13,Backdoors!BG13)))))/100,Backdoors!BG13/100),"")</f>
        <v>0</v>
      </c>
      <c r="BV90" s="49">
        <f>IFERROR(IF(VLOOKUP(A90,tbMoveset!A2:J112,10,FALSE)=TRUE,IF((Backdoors!AI12+IF(BT90&gt;=0.45,VLOOKUP(Calculator!E23,tbSkills!DH3:DI6,2,FALSE)+IF(AND(Calculator!B8=TRUE,Backdoors!BI13=TRUE),VLOOKUP(Calculator!E23,tbSkills!DH3:DJ6,3,FALSE),0),0))&gt;=0,1+(Backdoors!AL2*(IF((Backdoors!AI12+IF(BT90&gt;=0.45,VLOOKUP(Calculator!E23,tbSkills!DH3:DI6,2,FALSE)+IF(AND(Calculator!B8=TRUE,Backdoors!BI13=TRUE),VLOOKUP(Calculator!E23,tbSkills!DH3:DJ6,3,FALSE),0),0))&gt;=100,100,(Backdoors!AI12+IF(BT90&gt;=0.45,VLOOKUP(Calculator!E23,tbSkills!DH3:DI6,2,FALSE)+IF(AND(Calculator!B8=TRUE,Backdoors!BI13=TRUE),VLOOKUP(Calculator!E23,tbSkills!DH3:DJ6,3,FALSE),0),0)))/100)),(1-(0.25*((-Backdoors!AI12-IF(BT90&gt;=0.45,VLOOKUP(Calculator!E23,tbSkills!DH3:DI6,2,FALSE)+IF(AND(Calculator!B8=TRUE,Backdoors!BI13=TRUE),VLOOKUP(Calculator!E23,tbSkills!DH3:DJ6,3,FALSE),0),0))/100)))),1),"")</f>
        <v>1</v>
      </c>
      <c r="BW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T90)*BV90)*(VLOOKUP(A90,tbMoveset!A2:C112,3,FALSE)/100)*IF(VLOOKUP(A90,tbMoveset!A2:B112,2,FALSE)="Projectile",Backdoors!N10,Backdoors!N9),0),"")</f>
        <v/>
      </c>
      <c r="BX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T90&gt;=0.45,VLOOKUP(Calculator!E23,tbSkills!DH3:DI6,2,FALSE)+IF(AND(Calculator!B8=TRUE,Backdoors!BI13=TRUE),VLOOKUP(Calculator!E23,tbSkills!DH3:DJ6,3,FALSE),0),0))&gt;=100,100,(Backdoors!AI12+IF(BT90&gt;=0.45,VLOOKUP(Calculator!E23,tbSkills!DH3:DI6,2,FALSE)+IF(AND(Calculator!B8=TRUE,Backdoors!BI13=TRUE),VLOOKUP(Calculator!E23,tbSkills!DH3:DJ6,3,FALSE),0),0)))/100)),1))*IF(VLOOKUP(A90,tbMoveset!A2:K112,11,FALSE)=TRUE,Backdoors!AC5,1))*BU90,0),"")</f>
        <v>0</v>
      </c>
      <c r="BY90" s="49">
        <f>VLOOKUP(A90,tbMoveset!A2:G112,7,FALSE)*IFERROR(IF(Backdoors!AI12&gt;=0,1+(IF(Calculator!E40&gt;0,VLOOKUP(Calculator!E40,tbSkills!AI3:AJ5,2,FALSE),Backdoors!AL4)*(IF((Backdoors!AI12+IF(BT90&gt;=0.45,VLOOKUP(Calculator!E23,tbSkills!DH3:DI6,2,FALSE)+IF(AND(Calculator!B8=TRUE,Backdoors!BI13=TRUE),VLOOKUP(Calculator!E23,tbSkills!DH3:DJ6,3,FALSE),0),0))&gt;=100,100,(Backdoors!AI12+IF(BT90&gt;=0.45,VLOOKUP(Calculator!E23,tbSkills!DH3:DI6,2,FALSE)+IF(AND(Calculator!B8=TRUE,Backdoors!BI13=TRUE),VLOOKUP(Calculator!E23,tbSkills!DH3:DJ6,3,FALSE),0),0)))/100)),1),1)</f>
        <v>0.7</v>
      </c>
      <c r="BZ90" s="87">
        <f t="shared" si="61"/>
        <v>0</v>
      </c>
      <c r="CA90" s="86" t="str">
        <f>IFERROR(IF(VLOOKUP(A90,tbMoveset!A2:B112,2,FALSE)="Sever",Backdoors!AY14/100,IF(VLOOKUP(A90,tbMoveset!A2:B112,2,FALSE)="Blunt",Backdoors!AZ14/100,Backdoors!BA14/100)),"")</f>
        <v/>
      </c>
      <c r="CB90" s="49">
        <f>IFERROR(IF(VLOOKUP(tbMoveset!A90,tbMoveset!A2:H112,8,FALSE)="Other",IF(VLOOKUP(tbMoveset!A90,tbMoveset!A2:I112,9,FALSE)="Fire",Backdoors!BB14,IF(VLOOKUP(tbMoveset!A90,tbMoveset!A2:I112,9,FALSE)="Water",Backdoors!BC14,IF(VLOOKUP(tbMoveset!A90,tbMoveset!A2:I112,9,FALSE)="Thunder",Backdoors!BD14,IF(VLOOKUP(tbMoveset!A90,tbMoveset!A2:I112,9,FALSE)="Ice",Backdoors!BE14,IF(VLOOKUP(tbMoveset!A90,tbMoveset!A2:I112,9,FALSE)="Dragon",Backdoors!BF14,Backdoors!BG14)))))/100,Backdoors!BG14/100),"")</f>
        <v>0</v>
      </c>
      <c r="CC90" s="49">
        <f>IFERROR(IF(VLOOKUP(A90,tbMoveset!A2:J112,10,FALSE)=TRUE,IF((Backdoors!AI12+IF(CA90&gt;=0.45,VLOOKUP(Calculator!E23,tbSkills!DH3:DI6,2,FALSE)+IF(AND(Calculator!B8=TRUE,Backdoors!BI14=TRUE),VLOOKUP(Calculator!E23,tbSkills!DH3:DJ6,3,FALSE),0),0))&gt;=0,1+(Backdoors!AL2*(IF((Backdoors!AI12+IF(CA90&gt;=0.45,VLOOKUP(Calculator!E23,tbSkills!DH3:DI6,2,FALSE)+IF(AND(Calculator!B8=TRUE,Backdoors!BI14=TRUE),VLOOKUP(Calculator!E23,tbSkills!DH3:DJ6,3,FALSE),0),0))&gt;=100,100,(Backdoors!AI12+IF(CA90&gt;=0.45,VLOOKUP(Calculator!E23,tbSkills!DH3:DI6,2,FALSE)+IF(AND(Calculator!B8=TRUE,Backdoors!BI14=TRUE),VLOOKUP(Calculator!E23,tbSkills!DH3:DJ6,3,FALSE),0),0)))/100)),(1-(0.25*((-Backdoors!AI12-IF(CA90&gt;=0.45,VLOOKUP(Calculator!E23,tbSkills!DH3:DI6,2,FALSE)+IF(AND(Calculator!B8=TRUE,Backdoors!BI14=TRUE),VLOOKUP(Calculator!E23,tbSkills!DH3:DJ6,3,FALSE),0),0))/100)))),1),"")</f>
        <v>1</v>
      </c>
      <c r="CD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A90)*CC90)*(VLOOKUP(A90,tbMoveset!A2:C112,3,FALSE)/100)*IF(VLOOKUP(A90,tbMoveset!A2:B112,2,FALSE)="Projectile",Backdoors!N10,Backdoors!N9),0),"")</f>
        <v/>
      </c>
      <c r="CE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A90&gt;=0.45,VLOOKUP(Calculator!E23,tbSkills!DH3:DI6,2,FALSE)+IF(AND(Calculator!B8=TRUE,Backdoors!BI14=TRUE),VLOOKUP(Calculator!E23,tbSkills!DH3:DJ6,3,FALSE),0),0))&gt;=100,100,(Backdoors!AI12+IF(CA90&gt;=0.45,VLOOKUP(Calculator!E23,tbSkills!DH3:DI6,2,FALSE)+IF(AND(Calculator!B8=TRUE,Backdoors!BI14=TRUE),VLOOKUP(Calculator!E23,tbSkills!DH3:DJ6,3,FALSE),0),0)))/100)),1))*IF(VLOOKUP(A90,tbMoveset!A2:K112,11,FALSE)=TRUE,Backdoors!AC5,1))*CB90,0),"")</f>
        <v>0</v>
      </c>
      <c r="CF90" s="49">
        <f>VLOOKUP(A90,tbMoveset!A2:G112,7,FALSE)*IFERROR(IF(Backdoors!AI12&gt;=0,1+(IF(Calculator!E40&gt;0,VLOOKUP(Calculator!E40,tbSkills!AI3:AJ5,2,FALSE),Backdoors!AL4)*(IF((Backdoors!AI12+IF(CA90&gt;=0.45,VLOOKUP(Calculator!E23,tbSkills!DH3:DI6,2,FALSE)+IF(AND(Calculator!B8=TRUE,Backdoors!BI14=TRUE),VLOOKUP(Calculator!E23,tbSkills!DH3:DJ6,3,FALSE),0),0))&gt;=100,100,(Backdoors!AI12+IF(CA90&gt;=0.45,VLOOKUP(Calculator!E23,tbSkills!DH3:DI6,2,FALSE)+IF(AND(Calculator!B8=TRUE,Backdoors!BI14=TRUE),VLOOKUP(Calculator!E23,tbSkills!DH3:DJ6,3,FALSE),0),0)))/100)),1),1)</f>
        <v>0.7</v>
      </c>
      <c r="CG90" s="87">
        <f t="shared" si="62"/>
        <v>0</v>
      </c>
      <c r="CH90" s="86" t="str">
        <f>IFERROR(IF(VLOOKUP(A90,tbMoveset!A2:B112,2,FALSE)="Sever",Backdoors!AY15/100,IF(VLOOKUP(A90,tbMoveset!A2:B112,2,FALSE)="Blunt",Backdoors!AZ15/100,Backdoors!BA15/100)),"")</f>
        <v/>
      </c>
      <c r="CI90" s="49">
        <f>IFERROR(IF(VLOOKUP(tbMoveset!A90,tbMoveset!A2:H112,8,FALSE)="Other",IF(VLOOKUP(tbMoveset!A90,tbMoveset!A2:I112,9,FALSE)="Fire",Backdoors!BB15,IF(VLOOKUP(tbMoveset!A90,tbMoveset!A2:I112,9,FALSE)="Water",Backdoors!BC15,IF(VLOOKUP(tbMoveset!A90,tbMoveset!A2:I112,9,FALSE)="Thunder",Backdoors!BD15,IF(VLOOKUP(tbMoveset!A90,tbMoveset!A2:I112,9,FALSE)="Ice",Backdoors!BE15,IF(VLOOKUP(tbMoveset!A90,tbMoveset!A2:I112,9,FALSE)="Dragon",Backdoors!BF15,Backdoors!BG15)))))/100,Backdoors!BG15/100),"")</f>
        <v>0</v>
      </c>
      <c r="CJ90" s="49">
        <f>IFERROR(IF(VLOOKUP(A90,tbMoveset!A2:J112,10,FALSE)=TRUE,IF((Backdoors!AI12+IF(CH90&gt;=0.45,VLOOKUP(Calculator!E23,tbSkills!DH3:DI6,2,FALSE)+IF(AND(Calculator!B8=TRUE,Backdoors!BI15=TRUE),VLOOKUP(Calculator!E23,tbSkills!DH3:DJ6,3,FALSE),0),0))&gt;=0,1+(Backdoors!AL2*(IF((Backdoors!AI12+IF(CH90&gt;=0.45,VLOOKUP(Calculator!E23,tbSkills!DH3:DI6,2,FALSE)+IF(AND(Calculator!B8=TRUE,Backdoors!BI15=TRUE),VLOOKUP(Calculator!E23,tbSkills!DH3:DJ6,3,FALSE),0),0))&gt;=100,100,(Backdoors!AI12+IF(CH90&gt;=0.45,VLOOKUP(Calculator!E23,tbSkills!DH3:DI6,2,FALSE)+IF(AND(Calculator!B8=TRUE,Backdoors!BI15=TRUE),VLOOKUP(Calculator!E23,tbSkills!DH3:DJ6,3,FALSE),0),0)))/100)),(1-(0.25*((-Backdoors!AI12-IF(CH90&gt;=0.45,VLOOKUP(Calculator!E23,tbSkills!DH3:DI6,2,FALSE)+IF(AND(Calculator!B8=TRUE,Backdoors!BI15=TRUE),VLOOKUP(Calculator!E23,tbSkills!DH3:DJ6,3,FALSE),0),0))/100)))),1),"")</f>
        <v>1</v>
      </c>
      <c r="CK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H90)*CJ90)*(VLOOKUP(A90,tbMoveset!A2:C112,3,FALSE)/100)*IF(VLOOKUP(A90,tbMoveset!A2:B112,2,FALSE)="Projectile",Backdoors!N10,Backdoors!N9),0),"")</f>
        <v/>
      </c>
      <c r="CL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H90&gt;=0.45,VLOOKUP(Calculator!E23,tbSkills!DH3:DI6,2,FALSE)+IF(AND(Calculator!B8=TRUE,Backdoors!BI15=TRUE),VLOOKUP(Calculator!E23,tbSkills!DH3:DJ6,3,FALSE),0),0))&gt;=100,100,(Backdoors!AI12+IF(CH90&gt;=0.45,VLOOKUP(Calculator!E23,tbSkills!DH3:DI6,2,FALSE)+IF(AND(Calculator!B8=TRUE,Backdoors!BI15=TRUE),VLOOKUP(Calculator!E23,tbSkills!DH3:DJ6,3,FALSE),0),0)))/100)),1))*IF(VLOOKUP(A90,tbMoveset!A2:K112,11,FALSE)=TRUE,Backdoors!AC5,1))*CI90,0),"")</f>
        <v>0</v>
      </c>
      <c r="CM90" s="49">
        <f>VLOOKUP(A90,tbMoveset!A2:G112,7,FALSE)*IFERROR(IF(Backdoors!AI12&gt;=0,1+(IF(Calculator!E40&gt;0,VLOOKUP(Calculator!E40,tbSkills!AI3:AJ5,2,FALSE),Backdoors!AL4)*(IF((Backdoors!AI12+IF(CH90&gt;=0.45,VLOOKUP(Calculator!E23,tbSkills!DH3:DI6,2,FALSE)+IF(AND(Calculator!B8=TRUE,Backdoors!BI15=TRUE),VLOOKUP(Calculator!E23,tbSkills!DH3:DJ6,3,FALSE),0),0))&gt;=100,100,(Backdoors!AI12+IF(CH90&gt;=0.45,VLOOKUP(Calculator!E23,tbSkills!DH3:DI6,2,FALSE)+IF(AND(Calculator!B8=TRUE,Backdoors!BI15=TRUE),VLOOKUP(Calculator!E23,tbSkills!DH3:DJ6,3,FALSE),0),0)))/100)),1),1)</f>
        <v>0.7</v>
      </c>
      <c r="CN90" s="87">
        <f t="shared" si="63"/>
        <v>0</v>
      </c>
      <c r="CO90" s="86" t="str">
        <f>IFERROR(IF(VLOOKUP(A90,tbMoveset!A2:B112,2,FALSE)="Sever",Backdoors!AY16/100,IF(VLOOKUP(A90,tbMoveset!A2:B112,2,FALSE)="Blunt",Backdoors!AZ16/100,Backdoors!BA16/100)),"")</f>
        <v/>
      </c>
      <c r="CP90" s="49">
        <f>IFERROR(IF(VLOOKUP(tbMoveset!A90,tbMoveset!A2:H112,8,FALSE)="Other",IF(VLOOKUP(tbMoveset!A90,tbMoveset!A2:I112,9,FALSE)="Fire",Backdoors!BB16,IF(VLOOKUP(tbMoveset!A90,tbMoveset!A2:I112,9,FALSE)="Water",Backdoors!BC16,IF(VLOOKUP(tbMoveset!A90,tbMoveset!A2:I112,9,FALSE)="Thunder",Backdoors!BD16,IF(VLOOKUP(tbMoveset!A90,tbMoveset!A2:I112,9,FALSE)="Ice",Backdoors!BE16,IF(VLOOKUP(tbMoveset!A90,tbMoveset!A2:I112,9,FALSE)="Dragon",Backdoors!BF16,Backdoors!BG16)))))/100,Backdoors!BG16/100),"")</f>
        <v>0</v>
      </c>
      <c r="CQ90" s="49">
        <f>IFERROR(IF(VLOOKUP(A90,tbMoveset!A2:J112,10,FALSE)=TRUE,IF((Backdoors!AI12+IF(CO90&gt;=0.45,VLOOKUP(Calculator!E23,tbSkills!DH3:DI6,2,FALSE)+IF(AND(Calculator!B8=TRUE,Backdoors!BI16=TRUE),VLOOKUP(Calculator!E23,tbSkills!DH3:DJ6,3,FALSE),0),0))&gt;=0,1+(Backdoors!AL2*(IF((Backdoors!AI12+IF(CO90&gt;=0.45,VLOOKUP(Calculator!E23,tbSkills!DH3:DI6,2,FALSE)+IF(AND(Calculator!B8=TRUE,Backdoors!BI16=TRUE),VLOOKUP(Calculator!E23,tbSkills!DH3:DJ6,3,FALSE),0),0))&gt;=100,100,(Backdoors!AI12+IF(CO90&gt;=0.45,VLOOKUP(Calculator!E23,tbSkills!DH3:DI6,2,FALSE)+IF(AND(Calculator!B8=TRUE,Backdoors!BI16=TRUE),VLOOKUP(Calculator!E23,tbSkills!DH3:DJ6,3,FALSE),0),0)))/100)),(1-(0.25*((-Backdoors!AI12-IF(CO90&gt;=0.45,VLOOKUP(Calculator!E23,tbSkills!DH3:DI6,2,FALSE)+IF(AND(Calculator!B8=TRUE,Backdoors!BI16=TRUE),VLOOKUP(Calculator!E23,tbSkills!DH3:DJ6,3,FALSE),0),0))/100)))),1),"")</f>
        <v>1</v>
      </c>
      <c r="CR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O90)*CQ90)*(VLOOKUP(A90,tbMoveset!A2:C112,3,FALSE)/100)*IF(VLOOKUP(A90,tbMoveset!A2:B112,2,FALSE)="Projectile",Backdoors!N10,Backdoors!N9),0),"")</f>
        <v/>
      </c>
      <c r="CS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O90&gt;=0.45,VLOOKUP(Calculator!E23,tbSkills!DH3:DI6,2,FALSE)+IF(AND(Calculator!B8=TRUE,Backdoors!BI16=TRUE),VLOOKUP(Calculator!E23,tbSkills!DH3:DJ6,3,FALSE),0),0))&gt;=100,100,(Backdoors!AI12+IF(CO90&gt;=0.45,VLOOKUP(Calculator!E23,tbSkills!DH3:DI6,2,FALSE)+IF(AND(Calculator!B8=TRUE,Backdoors!BI16=TRUE),VLOOKUP(Calculator!E23,tbSkills!DH3:DJ6,3,FALSE),0),0)))/100)),1))*IF(VLOOKUP(A90,tbMoveset!A2:K112,11,FALSE)=TRUE,Backdoors!AC5,1))*CP90,0),"")</f>
        <v>0</v>
      </c>
      <c r="CT90" s="49">
        <f>VLOOKUP(A90,tbMoveset!A2:G112,7,FALSE)*IFERROR(IF(Backdoors!AI12&gt;=0,1+(IF(Calculator!E40&gt;0,VLOOKUP(Calculator!E40,tbSkills!AI3:AJ5,2,FALSE),Backdoors!AL4)*(IF((Backdoors!AI12+IF(CO90&gt;=0.45,VLOOKUP(Calculator!E23,tbSkills!DH3:DI6,2,FALSE)+IF(AND(Calculator!B8=TRUE,Backdoors!BI16=TRUE),VLOOKUP(Calculator!E23,tbSkills!DH3:DJ6,3,FALSE),0),0))&gt;=100,100,(Backdoors!AI12+IF(CO90&gt;=0.45,VLOOKUP(Calculator!E23,tbSkills!DH3:DI6,2,FALSE)+IF(AND(Calculator!B8=TRUE,Backdoors!BI16=TRUE),VLOOKUP(Calculator!E23,tbSkills!DH3:DJ6,3,FALSE),0),0)))/100)),1),1)</f>
        <v>0.7</v>
      </c>
      <c r="CU90" s="87">
        <f t="shared" si="64"/>
        <v>0</v>
      </c>
      <c r="CV90" s="86" t="str">
        <f>IFERROR(IF(VLOOKUP(A90,tbMoveset!A2:B112,2,FALSE)="Sever",Backdoors!AY17/100,IF(VLOOKUP(A90,tbMoveset!A2:B112,2,FALSE)="Blunt",Backdoors!AZ17/100,Backdoors!BA17/100)),"")</f>
        <v/>
      </c>
      <c r="CW90" s="49">
        <f>IFERROR(IF(VLOOKUP(tbMoveset!A90,tbMoveset!A2:H112,8,FALSE)="Other",IF(VLOOKUP(tbMoveset!A90,tbMoveset!A2:I112,9,FALSE)="Fire",Backdoors!BB17,IF(VLOOKUP(tbMoveset!A90,tbMoveset!A2:I112,9,FALSE)="Water",Backdoors!BC17,IF(VLOOKUP(tbMoveset!A90,tbMoveset!A2:I112,9,FALSE)="Thunder",Backdoors!BD17,IF(VLOOKUP(tbMoveset!A90,tbMoveset!A2:I112,9,FALSE)="Ice",Backdoors!BE17,IF(VLOOKUP(tbMoveset!A90,tbMoveset!A2:I112,9,FALSE)="Dragon",Backdoors!BF17,Backdoors!BG17)))))/100,Backdoors!BG17/100),"")</f>
        <v>0</v>
      </c>
      <c r="CX90" s="49">
        <f>IFERROR(IF(VLOOKUP(A90,tbMoveset!A2:J112,10,FALSE)=TRUE,IF((Backdoors!AI12+IF(CV90&gt;=0.45,VLOOKUP(Calculator!E23,tbSkills!DH3:DI6,2,FALSE)+IF(AND(Calculator!B8=TRUE,Backdoors!BI17=TRUE),VLOOKUP(Calculator!E23,tbSkills!DH3:DJ6,3,FALSE),0),0))&gt;=0,1+(Backdoors!AL2*(IF((Backdoors!AI12+IF(CV90&gt;=0.45,VLOOKUP(Calculator!E23,tbSkills!DH3:DI6,2,FALSE)+IF(AND(Calculator!B8=TRUE,Backdoors!BI17=TRUE),VLOOKUP(Calculator!E23,tbSkills!DH3:DJ6,3,FALSE),0),0))&gt;=100,100,(Backdoors!AI12+IF(CV90&gt;=0.45,VLOOKUP(Calculator!E23,tbSkills!DH3:DI6,2,FALSE)+IF(AND(Calculator!B8=TRUE,Backdoors!BI17=TRUE),VLOOKUP(Calculator!E23,tbSkills!DH3:DJ6,3,FALSE),0),0)))/100)),(1-(0.25*((-Backdoors!AI12-IF(CV90&gt;=0.45,VLOOKUP(Calculator!E23,tbSkills!DH3:DI6,2,FALSE)+IF(AND(Calculator!B8=TRUE,Backdoors!BI17=TRUE),VLOOKUP(Calculator!E23,tbSkills!DH3:DJ6,3,FALSE),0),0))/100)))),1),"")</f>
        <v>1</v>
      </c>
      <c r="CY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V90)*CX90)*(VLOOKUP(A90,tbMoveset!A2:C112,3,FALSE)/100)*IF(VLOOKUP(A90,tbMoveset!A2:B112,2,FALSE)="Projectile",Backdoors!N10,Backdoors!N9),0),"")</f>
        <v/>
      </c>
      <c r="CZ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V90&gt;=0.45,VLOOKUP(Calculator!E23,tbSkills!DH3:DI6,2,FALSE)+IF(AND(Calculator!B8=TRUE,Backdoors!BI17=TRUE),VLOOKUP(Calculator!E23,tbSkills!DH3:DJ6,3,FALSE),0),0))&gt;=100,100,(Backdoors!AI12+IF(CV90&gt;=0.45,VLOOKUP(Calculator!E23,tbSkills!DH3:DI6,2,FALSE)+IF(AND(Calculator!B8=TRUE,Backdoors!BI17=TRUE),VLOOKUP(Calculator!E23,tbSkills!DH3:DJ6,3,FALSE),0),0)))/100)),1))*IF(VLOOKUP(A90,tbMoveset!A2:K112,11,FALSE)=TRUE,Backdoors!AC5,1))*CW90,0),"")</f>
        <v>0</v>
      </c>
      <c r="DA90" s="49">
        <f>VLOOKUP(A90,tbMoveset!A2:G112,7,FALSE)*IFERROR(IF(Backdoors!AI12&gt;=0,1+(IF(Calculator!E40&gt;0,VLOOKUP(Calculator!E40,tbSkills!AI3:AJ5,2,FALSE),Backdoors!AL4)*(IF((Backdoors!AI12+IF(CV90&gt;=0.45,VLOOKUP(Calculator!E23,tbSkills!DH3:DI6,2,FALSE)+IF(AND(Calculator!B8=TRUE,Backdoors!BI17=TRUE),VLOOKUP(Calculator!E23,tbSkills!DH3:DJ6,3,FALSE),0),0))&gt;=100,100,(Backdoors!AI12+IF(CV90&gt;=0.45,VLOOKUP(Calculator!E23,tbSkills!DH3:DI6,2,FALSE)+IF(AND(Calculator!B8=TRUE,Backdoors!BI17=TRUE),VLOOKUP(Calculator!E23,tbSkills!DH3:DJ6,3,FALSE),0),0)))/100)),1),1)</f>
        <v>0.7</v>
      </c>
      <c r="DB90" s="87">
        <f t="shared" si="65"/>
        <v>0</v>
      </c>
      <c r="DC90" s="86" t="str">
        <f>IFERROR(IF(VLOOKUP(A90,tbMoveset!A2:B112,2,FALSE)="Sever",Backdoors!AY18/100,IF(VLOOKUP(A90,tbMoveset!A2:B112,2,FALSE)="Blunt",Backdoors!AZ18/100,Backdoors!BA18/100)),"")</f>
        <v/>
      </c>
      <c r="DD90" s="49">
        <f>IFERROR(IF(VLOOKUP(tbMoveset!A90,tbMoveset!A2:H112,8,FALSE)="Other",IF(VLOOKUP(tbMoveset!A90,tbMoveset!A2:I112,9,FALSE)="Fire",Backdoors!BB18,IF(VLOOKUP(tbMoveset!A90,tbMoveset!A2:I112,9,FALSE)="Water",Backdoors!BC18,IF(VLOOKUP(tbMoveset!A90,tbMoveset!A2:I112,9,FALSE)="Thunder",Backdoors!BD18,IF(VLOOKUP(tbMoveset!A90,tbMoveset!A2:I112,9,FALSE)="Ice",Backdoors!BE18,IF(VLOOKUP(tbMoveset!A90,tbMoveset!A2:I112,9,FALSE)="Dragon",Backdoors!BF18,Backdoors!BG18)))))/100,Backdoors!BG18/100),"")</f>
        <v>0</v>
      </c>
      <c r="DE90" s="49">
        <f>IFERROR(IF(VLOOKUP(A90,tbMoveset!A2:J112,10,FALSE)=TRUE,IF((Backdoors!AI12+IF(DC90&gt;=0.45,VLOOKUP(Calculator!E23,tbSkills!DH3:DI6,2,FALSE)+IF(AND(Calculator!B8=TRUE,Backdoors!BI18=TRUE),VLOOKUP(Calculator!E23,tbSkills!DH3:DJ6,3,FALSE),0),0))&gt;=0,1+(Backdoors!AL2*(IF((Backdoors!AI12+IF(DC90&gt;=0.45,VLOOKUP(Calculator!E23,tbSkills!DH3:DI6,2,FALSE)+IF(AND(Calculator!B8=TRUE,Backdoors!BI18=TRUE),VLOOKUP(Calculator!E23,tbSkills!DH3:DJ6,3,FALSE),0),0))&gt;=100,100,(Backdoors!AI12+IF(DC90&gt;=0.45,VLOOKUP(Calculator!E23,tbSkills!DH3:DI6,2,FALSE)+IF(AND(Calculator!B8=TRUE,Backdoors!BI18=TRUE),VLOOKUP(Calculator!E23,tbSkills!DH3:DJ6,3,FALSE),0),0)))/100)),(1-(0.25*((-Backdoors!AI12-IF(DC90&gt;=0.45,VLOOKUP(Calculator!E23,tbSkills!DH3:DI6,2,FALSE)+IF(AND(Calculator!B8=TRUE,Backdoors!BI18=TRUE),VLOOKUP(Calculator!E23,tbSkills!DH3:DJ6,3,FALSE),0),0))/100)))),1),"")</f>
        <v>1</v>
      </c>
      <c r="DF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C90)*DE90)*(VLOOKUP(A90,tbMoveset!A2:C112,3,FALSE)/100)*IF(VLOOKUP(A90,tbMoveset!A2:B112,2,FALSE)="Projectile",Backdoors!N10,Backdoors!N9),0),"")</f>
        <v/>
      </c>
      <c r="DG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C90&gt;=0.45,VLOOKUP(Calculator!E23,tbSkills!DH3:DI6,2,FALSE)+IF(AND(Calculator!B8=TRUE,Backdoors!BI18=TRUE),VLOOKUP(Calculator!E23,tbSkills!DH3:DJ6,3,FALSE),0),0))&gt;=100,100,(Backdoors!AI12+IF(DC90&gt;=0.45,VLOOKUP(Calculator!E23,tbSkills!DH3:DI6,2,FALSE)+IF(AND(Calculator!B8=TRUE,Backdoors!BI18=TRUE),VLOOKUP(Calculator!E23,tbSkills!DH3:DJ6,3,FALSE),0),0)))/100)),1))*IF(VLOOKUP(A90,tbMoveset!A2:K112,11,FALSE)=TRUE,Backdoors!AC5,1))*DD90,0),"")</f>
        <v>0</v>
      </c>
      <c r="DH90" s="49">
        <f>VLOOKUP(A90,tbMoveset!A2:G112,7,FALSE)*IFERROR(IF(Backdoors!AI12&gt;=0,1+(IF(Calculator!E40&gt;0,VLOOKUP(Calculator!E40,tbSkills!AI3:AJ5,2,FALSE),Backdoors!AL4)*(IF((Backdoors!AI12+IF(DC90&gt;=0.45,VLOOKUP(Calculator!E23,tbSkills!DH3:DI6,2,FALSE)+IF(AND(Calculator!B8=TRUE,Backdoors!BI18=TRUE),VLOOKUP(Calculator!E23,tbSkills!DH3:DJ6,3,FALSE),0),0))&gt;=100,100,(Backdoors!AI12+IF(DC90&gt;=0.45,VLOOKUP(Calculator!E23,tbSkills!DH3:DI6,2,FALSE)+IF(AND(Calculator!B8=TRUE,Backdoors!BI18=TRUE),VLOOKUP(Calculator!E23,tbSkills!DH3:DJ6,3,FALSE),0),0)))/100)),1),1)</f>
        <v>0.7</v>
      </c>
      <c r="DI90" s="87">
        <f t="shared" si="66"/>
        <v>0</v>
      </c>
      <c r="DJ90" s="86" t="str">
        <f>IFERROR(IF(VLOOKUP(A90,tbMoveset!A2:B112,2,FALSE)="Sever",Backdoors!AY19/100,IF(VLOOKUP(A90,tbMoveset!A2:B112,2,FALSE)="Blunt",Backdoors!AZ19/100,Backdoors!BA19/100)),"")</f>
        <v/>
      </c>
      <c r="DK90" s="49">
        <f>IFERROR(IF(VLOOKUP(tbMoveset!A90,tbMoveset!A2:H112,8,FALSE)="Other",IF(VLOOKUP(tbMoveset!A90,tbMoveset!A2:I112,9,FALSE)="Fire",Backdoors!BB19,IF(VLOOKUP(tbMoveset!A90,tbMoveset!A2:I112,9,FALSE)="Water",Backdoors!BC19,IF(VLOOKUP(tbMoveset!A90,tbMoveset!A2:I112,9,FALSE)="Thunder",Backdoors!BD19,IF(VLOOKUP(tbMoveset!A90,tbMoveset!A2:I112,9,FALSE)="Ice",Backdoors!BE19,IF(VLOOKUP(tbMoveset!A90,tbMoveset!A2:I112,9,FALSE)="Dragon",Backdoors!BF19,Backdoors!BG19)))))/100,Backdoors!BG19/100),"")</f>
        <v>0</v>
      </c>
      <c r="DL90" s="49">
        <f>IFERROR(IF(VLOOKUP(A90,tbMoveset!A2:J112,10,FALSE)=TRUE,IF((Backdoors!AI12+IF(DJ90&gt;=0.45,VLOOKUP(Calculator!E23,tbSkills!DH3:DI6,2,FALSE)+IF(AND(Calculator!B8=TRUE,Backdoors!BI19=TRUE),VLOOKUP(Calculator!E23,tbSkills!DH3:DJ6,3,FALSE),0),0))&gt;=0,1+(Backdoors!AL2*(IF((Backdoors!AI12+IF(DJ90&gt;=0.45,VLOOKUP(Calculator!E23,tbSkills!DH3:DI6,2,FALSE)+IF(AND(Calculator!B8=TRUE,Backdoors!BI19=TRUE),VLOOKUP(Calculator!E23,tbSkills!DH3:DJ6,3,FALSE),0),0))&gt;=100,100,(Backdoors!AI12+IF(DJ90&gt;=0.45,VLOOKUP(Calculator!E23,tbSkills!DH3:DI6,2,FALSE)+IF(AND(Calculator!B8=TRUE,Backdoors!BI19=TRUE),VLOOKUP(Calculator!E23,tbSkills!DH3:DJ6,3,FALSE),0),0)))/100)),(1-(0.25*((-Backdoors!AI12-IF(DJ90&gt;=0.45,VLOOKUP(Calculator!E23,tbSkills!DH3:DI6,2,FALSE)+IF(AND(Calculator!B8=TRUE,Backdoors!BI19=TRUE),VLOOKUP(Calculator!E23,tbSkills!DH3:DJ6,3,FALSE),0),0))/100)))),1),"")</f>
        <v>1</v>
      </c>
      <c r="DM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J90)*DL90)*(VLOOKUP(A90,tbMoveset!A2:C112,3,FALSE)/100)*IF(VLOOKUP(A90,tbMoveset!A2:B112,2,FALSE)="Projectile",Backdoors!N10,Backdoors!N9),0),"")</f>
        <v/>
      </c>
      <c r="DN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J90&gt;=0.45,VLOOKUP(Calculator!E23,tbSkills!DH3:DI6,2,FALSE)+IF(AND(Calculator!B8=TRUE,Backdoors!BI19=TRUE),VLOOKUP(Calculator!E23,tbSkills!DH3:DJ6,3,FALSE),0),0))&gt;=100,100,(Backdoors!AI12+IF(DJ90&gt;=0.45,VLOOKUP(Calculator!E23,tbSkills!DH3:DI6,2,FALSE)+IF(AND(Calculator!B8=TRUE,Backdoors!BI19=TRUE),VLOOKUP(Calculator!E23,tbSkills!DH3:DJ6,3,FALSE),0),0)))/100)),1))*IF(VLOOKUP(A90,tbMoveset!A2:K112,11,FALSE)=TRUE,Backdoors!AC5,1))*DK90,0),"")</f>
        <v>0</v>
      </c>
      <c r="DO90" s="49">
        <f>VLOOKUP(A90,tbMoveset!A2:G112,7,FALSE)*IFERROR(IF(Backdoors!AI12&gt;=0,1+(IF(Calculator!E40&gt;0,VLOOKUP(Calculator!E40,tbSkills!AI3:AJ5,2,FALSE),Backdoors!AL4)*(IF((Backdoors!AI12+IF(DJ90&gt;=0.45,VLOOKUP(Calculator!E23,tbSkills!DH3:DI6,2,FALSE)+IF(AND(Calculator!B8=TRUE,Backdoors!BI19=TRUE),VLOOKUP(Calculator!E23,tbSkills!DH3:DJ6,3,FALSE),0),0))&gt;=100,100,(Backdoors!AI12+IF(DJ90&gt;=0.45,VLOOKUP(Calculator!E23,tbSkills!DH3:DI6,2,FALSE)+IF(AND(Calculator!B8=TRUE,Backdoors!BI19=TRUE),VLOOKUP(Calculator!E23,tbSkills!DH3:DJ6,3,FALSE),0),0)))/100)),1),1)</f>
        <v>0.7</v>
      </c>
      <c r="DP90" s="87">
        <f t="shared" si="67"/>
        <v>0</v>
      </c>
      <c r="DQ90" s="86" t="str">
        <f>IFERROR(IF(VLOOKUP(A90,tbMoveset!A2:B112,2,FALSE)="Sever",Backdoors!AY20/100,IF(VLOOKUP(A90,tbMoveset!A2:B112,2,FALSE)="Blunt",Backdoors!AZ20/100,Backdoors!BA20/100)),"")</f>
        <v/>
      </c>
      <c r="DR90" s="49">
        <f>IFERROR(IF(VLOOKUP(tbMoveset!A90,tbMoveset!A2:H112,8,FALSE)="Other",IF(VLOOKUP(tbMoveset!A90,tbMoveset!A2:I112,9,FALSE)="Fire",Backdoors!BB20,IF(VLOOKUP(tbMoveset!A90,tbMoveset!A2:I112,9,FALSE)="Water",Backdoors!BC20,IF(VLOOKUP(tbMoveset!A90,tbMoveset!A2:I112,9,FALSE)="Thunder",Backdoors!BD20,IF(VLOOKUP(tbMoveset!A90,tbMoveset!A2:I112,9,FALSE)="Ice",Backdoors!BE20,IF(VLOOKUP(tbMoveset!A90,tbMoveset!A2:I112,9,FALSE)="Dragon",Backdoors!BF20,Backdoors!BG20)))))/100,Backdoors!BG20/100),"")</f>
        <v>0</v>
      </c>
      <c r="DS90" s="49">
        <f>IFERROR(IF(VLOOKUP(A90,tbMoveset!A2:J112,10,FALSE)=TRUE,IF((Backdoors!AI12+IF(DQ90&gt;=0.45,VLOOKUP(Calculator!E23,tbSkills!DH3:DI6,2,FALSE)+IF(AND(Calculator!B8=TRUE,Backdoors!BI20=TRUE),VLOOKUP(Calculator!E23,tbSkills!DH3:DJ6,3,FALSE),0),0))&gt;=0,1+(Backdoors!AL2*(IF((Backdoors!AI12+IF(DQ90&gt;=0.45,VLOOKUP(Calculator!E23,tbSkills!DH3:DI6,2,FALSE)+IF(AND(Calculator!B8=TRUE,Backdoors!BI20=TRUE),VLOOKUP(Calculator!E23,tbSkills!DH3:DJ6,3,FALSE),0),0))&gt;=100,100,(Backdoors!AI12+IF(DQ90&gt;=0.45,VLOOKUP(Calculator!E23,tbSkills!DH3:DI6,2,FALSE)+IF(AND(Calculator!B8=TRUE,Backdoors!BI20=TRUE),VLOOKUP(Calculator!E23,tbSkills!DH3:DJ6,3,FALSE),0),0)))/100)),(1-(0.25*((-Backdoors!AI12-IF(DQ90&gt;=0.45,VLOOKUP(Calculator!E23,tbSkills!DH3:DI6,2,FALSE)+IF(AND(Calculator!B8=TRUE,Backdoors!BI20=TRUE),VLOOKUP(Calculator!E23,tbSkills!DH3:DJ6,3,FALSE),0),0))/100)))),1),"")</f>
        <v>1</v>
      </c>
      <c r="DT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Q90)*DS90)*(VLOOKUP(A90,tbMoveset!A2:C112,3,FALSE)/100)*IF(VLOOKUP(A90,tbMoveset!A2:B112,2,FALSE)="Projectile",Backdoors!N10,Backdoors!N9),0),"")</f>
        <v/>
      </c>
      <c r="DU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Q90&gt;=0.45,VLOOKUP(Calculator!E23,tbSkills!DH3:DI6,2,FALSE)+IF(AND(Calculator!B8=TRUE,Backdoors!BI20=TRUE),VLOOKUP(Calculator!E23,tbSkills!DH3:DJ6,3,FALSE),0),0))&gt;=100,100,(Backdoors!AI12+IF(DQ90&gt;=0.45,VLOOKUP(Calculator!E23,tbSkills!DH3:DI6,2,FALSE)+IF(AND(Calculator!B8=TRUE,Backdoors!BI20=TRUE),VLOOKUP(Calculator!E23,tbSkills!DH3:DJ6,3,FALSE),0),0)))/100)),1))*IF(VLOOKUP(A90,tbMoveset!A2:K112,11,FALSE)=TRUE,Backdoors!AC5,1))*DR90,0),"")</f>
        <v>0</v>
      </c>
      <c r="DV90" s="49">
        <f>VLOOKUP(A90,tbMoveset!A2:G112,7,FALSE)*IFERROR(IF(Backdoors!AI12&gt;=0,1+(IF(Calculator!E40&gt;0,VLOOKUP(Calculator!E40,tbSkills!AI3:AJ5,2,FALSE),Backdoors!AL4)*(IF((Backdoors!AI12+IF(DQ90&gt;=0.45,VLOOKUP(Calculator!E23,tbSkills!DH3:DI6,2,FALSE)+IF(AND(Calculator!B8=TRUE,Backdoors!BI20=TRUE),VLOOKUP(Calculator!E23,tbSkills!DH3:DJ6,3,FALSE),0),0))&gt;=100,100,(Backdoors!AI12+IF(DQ90&gt;=0.45,VLOOKUP(Calculator!E23,tbSkills!DH3:DI6,2,FALSE)+IF(AND(Calculator!B8=TRUE,Backdoors!BI20=TRUE),VLOOKUP(Calculator!E23,tbSkills!DH3:DJ6,3,FALSE),0),0)))/100)),1),1)</f>
        <v>0.7</v>
      </c>
      <c r="DW90" s="87">
        <f t="shared" si="68"/>
        <v>0</v>
      </c>
      <c r="DX90" s="86" t="str">
        <f>IFERROR(IF(VLOOKUP(A90,tbMoveset!A2:B112,2,FALSE)="Sever",Backdoors!AY21/100,IF(VLOOKUP(A90,tbMoveset!A2:B112,2,FALSE)="Blunt",Backdoors!AZ21/100,Backdoors!BA21/100)),"")</f>
        <v/>
      </c>
      <c r="DY90" s="49">
        <f>IFERROR(IF(VLOOKUP(tbMoveset!A90,tbMoveset!A2:H112,8,FALSE)="Other",IF(VLOOKUP(tbMoveset!A90,tbMoveset!A2:I112,9,FALSE)="Fire",Backdoors!BB21,IF(VLOOKUP(tbMoveset!A90,tbMoveset!A2:I112,9,FALSE)="Water",Backdoors!BC21,IF(VLOOKUP(tbMoveset!A90,tbMoveset!A2:I112,9,FALSE)="Thunder",Backdoors!BD21,IF(VLOOKUP(tbMoveset!A90,tbMoveset!A2:I112,9,FALSE)="Ice",Backdoors!BE21,IF(VLOOKUP(tbMoveset!A90,tbMoveset!A2:I112,9,FALSE)="Dragon",Backdoors!BF21,Backdoors!BG21)))))/100,Backdoors!BG21/100),"")</f>
        <v>0</v>
      </c>
      <c r="DZ90" s="49">
        <f>IFERROR(IF(VLOOKUP(A90,tbMoveset!A2:J112,10,FALSE)=TRUE,IF((Backdoors!AI12+IF(DX90&gt;=0.45,VLOOKUP(Calculator!E23,tbSkills!DH3:DI6,2,FALSE)+IF(AND(Calculator!B8=TRUE,Backdoors!BI21=TRUE),VLOOKUP(Calculator!E23,tbSkills!DH3:DJ6,3,FALSE),0),0))&gt;=0,1+(Backdoors!AL2*(IF((Backdoors!AI12+IF(DX90&gt;=0.45,VLOOKUP(Calculator!E23,tbSkills!DH3:DI6,2,FALSE)+IF(AND(Calculator!B8=TRUE,Backdoors!BI21=TRUE),VLOOKUP(Calculator!E23,tbSkills!DH3:DJ6,3,FALSE),0),0))&gt;=100,100,(Backdoors!AI12+IF(DX90&gt;=0.45,VLOOKUP(Calculator!E23,tbSkills!DH3:DI6,2,FALSE)+IF(AND(Calculator!B8=TRUE,Backdoors!BI21=TRUE),VLOOKUP(Calculator!E23,tbSkills!DH3:DJ6,3,FALSE),0),0)))/100)),(1-(0.25*((-Backdoors!AI12-IF(DX90&gt;=0.45,VLOOKUP(Calculator!E23,tbSkills!DH3:DI6,2,FALSE)+IF(AND(Calculator!B8=TRUE,Backdoors!BI21=TRUE),VLOOKUP(Calculator!E23,tbSkills!DH3:DJ6,3,FALSE),0),0))/100)))),1),"")</f>
        <v>1</v>
      </c>
      <c r="EA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X90)*DZ90)*(VLOOKUP(A90,tbMoveset!A2:C112,3,FALSE)/100)*IF(VLOOKUP(A90,tbMoveset!A2:B112,2,FALSE)="Projectile",Backdoors!N10,Backdoors!N9),0),"")</f>
        <v/>
      </c>
      <c r="EB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X90&gt;=0.45,VLOOKUP(Calculator!E23,tbSkills!DH3:DI6,2,FALSE)+IF(AND(Calculator!B8=TRUE,Backdoors!BI21=TRUE),VLOOKUP(Calculator!E23,tbSkills!DH3:DJ6,3,FALSE),0),0))&gt;=100,100,(Backdoors!AI12+IF(DX90&gt;=0.45,VLOOKUP(Calculator!E23,tbSkills!DH3:DI6,2,FALSE)+IF(AND(Calculator!B8=TRUE,Backdoors!BI21=TRUE),VLOOKUP(Calculator!E23,tbSkills!DH3:DJ6,3,FALSE),0),0)))/100)),1))*IF(VLOOKUP(A90,tbMoveset!A2:K112,11,FALSE)=TRUE,Backdoors!AC5,1))*DY90,0),"")</f>
        <v>0</v>
      </c>
      <c r="EC90" s="49">
        <f>VLOOKUP(A90,tbMoveset!A2:G112,7,FALSE)*IFERROR(IF(Backdoors!AI12&gt;=0,1+(IF(Calculator!E40&gt;0,VLOOKUP(Calculator!E40,tbSkills!AI3:AJ5,2,FALSE),Backdoors!AL4)*(IF((Backdoors!AI12+IF(DX90&gt;=0.45,VLOOKUP(Calculator!E23,tbSkills!DH3:DI6,2,FALSE)+IF(AND(Calculator!B8=TRUE,Backdoors!BI21=TRUE),VLOOKUP(Calculator!E23,tbSkills!DH3:DJ6,3,FALSE),0),0))&gt;=100,100,(Backdoors!AI12+IF(DX90&gt;=0.45,VLOOKUP(Calculator!E23,tbSkills!DH3:DI6,2,FALSE)+IF(AND(Calculator!B8=TRUE,Backdoors!BI21=TRUE),VLOOKUP(Calculator!E23,tbSkills!DH3:DJ6,3,FALSE),0),0)))/100)),1),1)</f>
        <v>0.7</v>
      </c>
      <c r="ED90" s="87">
        <f t="shared" si="69"/>
        <v>0</v>
      </c>
      <c r="EE90" s="86" t="str">
        <f>IFERROR(IF(VLOOKUP(A90,tbMoveset!A2:B112,2,FALSE)="Sever",Backdoors!AY22/100,IF(VLOOKUP(A90,tbMoveset!A2:B112,2,FALSE)="Blunt",Backdoors!AZ22/100,Backdoors!BA22/100)),"")</f>
        <v/>
      </c>
      <c r="EF90" s="49">
        <f>IFERROR(IF(VLOOKUP(tbMoveset!A90,tbMoveset!A2:H112,8,FALSE)="Other",IF(VLOOKUP(tbMoveset!A90,tbMoveset!A2:I112,9,FALSE)="Fire",Backdoors!BB22,IF(VLOOKUP(tbMoveset!A90,tbMoveset!A2:I112,9,FALSE)="Water",Backdoors!BC22,IF(VLOOKUP(tbMoveset!A90,tbMoveset!A2:I112,9,FALSE)="Thunder",Backdoors!BD22,IF(VLOOKUP(tbMoveset!A90,tbMoveset!A2:I112,9,FALSE)="Ice",Backdoors!BE22,IF(VLOOKUP(tbMoveset!A90,tbMoveset!A2:I112,9,FALSE)="Dragon",Backdoors!BF22,Backdoors!BG22)))))/100,Backdoors!BG22/100),"")</f>
        <v>0</v>
      </c>
      <c r="EG90" s="49">
        <f>IFERROR(IF(VLOOKUP(A90,tbMoveset!A2:J112,10,FALSE)=TRUE,IF((Backdoors!AI12+IF(EE90&gt;=0.45,VLOOKUP(Calculator!E23,tbSkills!DH3:DI6,2,FALSE)+IF(AND(Calculator!B8=TRUE,Backdoors!BI22=TRUE),VLOOKUP(Calculator!E23,tbSkills!DH3:DJ6,3,FALSE),0),0))&gt;=0,1+(Backdoors!AL2*(IF((Backdoors!AI12+IF(EE90&gt;=0.45,VLOOKUP(Calculator!E23,tbSkills!DH3:DI6,2,FALSE)+IF(AND(Calculator!B8=TRUE,Backdoors!BI22=TRUE),VLOOKUP(Calculator!E23,tbSkills!DH3:DJ6,3,FALSE),0),0))&gt;=100,100,(Backdoors!AI12+IF(EE90&gt;=0.45,VLOOKUP(Calculator!E23,tbSkills!DH3:DI6,2,FALSE)+IF(AND(Calculator!B8=TRUE,Backdoors!BI22=TRUE),VLOOKUP(Calculator!E23,tbSkills!DH3:DJ6,3,FALSE),0),0)))/100)),(1-(0.25*((-Backdoors!AI12-IF(EE90&gt;=0.45,VLOOKUP(Calculator!E23,tbSkills!DH3:DI6,2,FALSE)+IF(AND(Calculator!B8=TRUE,Backdoors!BI22=TRUE),VLOOKUP(Calculator!E23,tbSkills!DH3:DJ6,3,FALSE),0),0))/100)))),1),"")</f>
        <v>1</v>
      </c>
      <c r="EH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E90)*EG90)*(VLOOKUP(A90,tbMoveset!A2:C112,3,FALSE)/100)*IF(VLOOKUP(A90,tbMoveset!A2:B112,2,FALSE)="Projectile",Backdoors!N10,Backdoors!N9),0),"")</f>
        <v/>
      </c>
      <c r="EI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E90&gt;=0.45,VLOOKUP(Calculator!E23,tbSkills!DH3:DI6,2,FALSE)+IF(AND(Calculator!B8=TRUE,Backdoors!BI22=TRUE),VLOOKUP(Calculator!E23,tbSkills!DH3:DJ6,3,FALSE),0),0))&gt;=100,100,(Backdoors!AI12+IF(EE90&gt;=0.45,VLOOKUP(Calculator!E23,tbSkills!DH3:DI6,2,FALSE)+IF(AND(Calculator!B8=TRUE,Backdoors!BI22=TRUE),VLOOKUP(Calculator!E23,tbSkills!DH3:DJ6,3,FALSE),0),0)))/100)),1))*IF(VLOOKUP(A90,tbMoveset!A2:K112,11,FALSE)=TRUE,Backdoors!AC5,1))*EF90,0),"")</f>
        <v>0</v>
      </c>
      <c r="EJ90" s="49">
        <f>VLOOKUP(A90,tbMoveset!A2:G112,7,FALSE)*IFERROR(IF(Backdoors!AI12&gt;=0,1+(IF(Calculator!E40&gt;0,VLOOKUP(Calculator!E40,tbSkills!AI3:AJ5,2,FALSE),Backdoors!AL4)*(IF((Backdoors!AI12+IF(EE90&gt;=0.45,VLOOKUP(Calculator!E23,tbSkills!DH3:DI6,2,FALSE)+IF(AND(Calculator!B8=TRUE,Backdoors!BI22=TRUE),VLOOKUP(Calculator!E23,tbSkills!DH3:DJ6,3,FALSE),0),0))&gt;=100,100,(Backdoors!AI12+IF(EE90&gt;=0.45,VLOOKUP(Calculator!E23,tbSkills!DH3:DI6,2,FALSE)+IF(AND(Calculator!B8=TRUE,Backdoors!BI22=TRUE),VLOOKUP(Calculator!E23,tbSkills!DH3:DJ6,3,FALSE),0),0)))/100)),1),1)</f>
        <v>0.7</v>
      </c>
      <c r="EK90" s="87">
        <f t="shared" si="70"/>
        <v>0</v>
      </c>
      <c r="EL90" s="86" t="str">
        <f>IFERROR(IF(VLOOKUP(A90,tbMoveset!A2:B112,2,FALSE)="Sever",Backdoors!AY23/100,IF(VLOOKUP(A90,tbMoveset!A2:B112,2,FALSE)="Blunt",Backdoors!AZ23/100,Backdoors!BA23/100)),"")</f>
        <v/>
      </c>
      <c r="EM90" s="49">
        <f>IFERROR(IF(VLOOKUP(tbMoveset!A90,tbMoveset!A2:H112,8,FALSE)="Other",IF(VLOOKUP(tbMoveset!A90,tbMoveset!A2:I112,9,FALSE)="Fire",Backdoors!BB23,IF(VLOOKUP(tbMoveset!A90,tbMoveset!A2:I112,9,FALSE)="Water",Backdoors!BC23,IF(VLOOKUP(tbMoveset!A90,tbMoveset!A2:I112,9,FALSE)="Thunder",Backdoors!BD23,IF(VLOOKUP(tbMoveset!A90,tbMoveset!A2:I112,9,FALSE)="Ice",Backdoors!BE23,IF(VLOOKUP(tbMoveset!A90,tbMoveset!A2:I112,9,FALSE)="Dragon",Backdoors!BF23,Backdoors!BG23)))))/100,Backdoors!BG23/100),"")</f>
        <v>0</v>
      </c>
      <c r="EN90" s="49">
        <f>IFERROR(IF(VLOOKUP(A90,tbMoveset!A2:J112,10,FALSE)=TRUE,IF((Backdoors!AI12+IF(EL90&gt;=0.45,VLOOKUP(Calculator!E23,tbSkills!DH3:DI6,2,FALSE)+IF(AND(Calculator!B8=TRUE,Backdoors!BI23=TRUE),VLOOKUP(Calculator!E23,tbSkills!DH3:DJ6,3,FALSE),0),0))&gt;=0,1+(Backdoors!AL2*(IF((Backdoors!AI12+IF(EL90&gt;=0.45,VLOOKUP(Calculator!E23,tbSkills!DH3:DI6,2,FALSE)+IF(AND(Calculator!B8=TRUE,Backdoors!BI23=TRUE),VLOOKUP(Calculator!E23,tbSkills!DH3:DJ6,3,FALSE),0),0))&gt;=100,100,(Backdoors!AI12+IF(EL90&gt;=0.45,VLOOKUP(Calculator!E23,tbSkills!DH3:DI6,2,FALSE)+IF(AND(Calculator!B8=TRUE,Backdoors!BI23=TRUE),VLOOKUP(Calculator!E23,tbSkills!DH3:DJ6,3,FALSE),0),0)))/100)),(1-(0.25*((-Backdoors!AI12-IF(EL90&gt;=0.45,VLOOKUP(Calculator!E23,tbSkills!DH3:DI6,2,FALSE)+IF(AND(Calculator!B8=TRUE,Backdoors!BI23=TRUE),VLOOKUP(Calculator!E23,tbSkills!DH3:DJ6,3,FALSE),0),0))/100)))),1),"")</f>
        <v>1</v>
      </c>
      <c r="EO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L90)*EN90)*(VLOOKUP(A90,tbMoveset!A2:C112,3,FALSE)/100)*IF(VLOOKUP(A90,tbMoveset!A2:B112,2,FALSE)="Projectile",Backdoors!N10,Backdoors!N9),0),"")</f>
        <v/>
      </c>
      <c r="EP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L90&gt;=0.45,VLOOKUP(Calculator!E23,tbSkills!DH3:DI6,2,FALSE)+IF(AND(Calculator!B8=TRUE,Backdoors!BI23=TRUE),VLOOKUP(Calculator!E23,tbSkills!DH3:DJ6,3,FALSE),0),0))&gt;=100,100,(Backdoors!AI12+IF(EL90&gt;=0.45,VLOOKUP(Calculator!E23,tbSkills!DH3:DI6,2,FALSE)+IF(AND(Calculator!B8=TRUE,Backdoors!BI23=TRUE),VLOOKUP(Calculator!E23,tbSkills!DH3:DJ6,3,FALSE),0),0)))/100)),1))*IF(VLOOKUP(A90,tbMoveset!A2:K112,11,FALSE)=TRUE,Backdoors!AC5,1))*EM90,0),"")</f>
        <v>0</v>
      </c>
      <c r="EQ90" s="49">
        <f>VLOOKUP(A90,tbMoveset!A2:G112,7,FALSE)*IFERROR(IF(Backdoors!AI12&gt;=0,1+(IF(Calculator!E40&gt;0,VLOOKUP(Calculator!E40,tbSkills!AI3:AJ5,2,FALSE),Backdoors!AL4)*(IF((Backdoors!AI12+IF(EL90&gt;=0.45,VLOOKUP(Calculator!E23,tbSkills!DH3:DI6,2,FALSE)+IF(AND(Calculator!B8=TRUE,Backdoors!BI23=TRUE),VLOOKUP(Calculator!E23,tbSkills!DH3:DJ6,3,FALSE),0),0))&gt;=100,100,(Backdoors!AI12+IF(EL90&gt;=0.45,VLOOKUP(Calculator!E23,tbSkills!DH3:DI6,2,FALSE)+IF(AND(Calculator!B8=TRUE,Backdoors!BI23=TRUE),VLOOKUP(Calculator!E23,tbSkills!DH3:DJ6,3,FALSE),0),0)))/100)),1),1)</f>
        <v>0.7</v>
      </c>
      <c r="ER90" s="87">
        <f t="shared" si="71"/>
        <v>0</v>
      </c>
      <c r="ES90" s="86" t="str">
        <f>IFERROR(IF(VLOOKUP(A90,tbMoveset!A2:B112,2,FALSE)="Sever",Backdoors!AY24/100,IF(VLOOKUP(A90,tbMoveset!A2:B112,2,FALSE)="Blunt",Backdoors!AZ24/100,Backdoors!BA24/100)),"")</f>
        <v/>
      </c>
      <c r="ET90" s="49">
        <f>IFERROR(IF(VLOOKUP(tbMoveset!A90,tbMoveset!A2:H112,8,FALSE)="Other",IF(VLOOKUP(tbMoveset!A90,tbMoveset!A2:I112,9,FALSE)="Fire",Backdoors!BB24,IF(VLOOKUP(tbMoveset!A90,tbMoveset!A2:I112,9,FALSE)="Water",Backdoors!BC24,IF(VLOOKUP(tbMoveset!A90,tbMoveset!A2:I112,9,FALSE)="Thunder",Backdoors!BD24,IF(VLOOKUP(tbMoveset!A90,tbMoveset!A2:I112,9,FALSE)="Ice",Backdoors!BE24,IF(VLOOKUP(tbMoveset!A90,tbMoveset!A2:I112,9,FALSE)="Dragon",Backdoors!BF24,Backdoors!BG24)))))/100,Backdoors!BG24/100),"")</f>
        <v>0</v>
      </c>
      <c r="EU90" s="49">
        <f>IFERROR(IF(VLOOKUP(A90,tbMoveset!A2:J112,10,FALSE)=TRUE,IF((Backdoors!AI12+IF(ES90&gt;=0.45,VLOOKUP(Calculator!E23,tbSkills!DH3:DI6,2,FALSE)+IF(AND(Calculator!B8=TRUE,Backdoors!BI24=TRUE),VLOOKUP(Calculator!E23,tbSkills!DH3:DJ6,3,FALSE),0),0))&gt;=0,1+(Backdoors!AL2*(IF((Backdoors!AI12+IF(ES90&gt;=0.45,VLOOKUP(Calculator!E23,tbSkills!DH3:DI6,2,FALSE)+IF(AND(Calculator!B8=TRUE,Backdoors!BI24=TRUE),VLOOKUP(Calculator!E23,tbSkills!DH3:DJ6,3,FALSE),0),0))&gt;=100,100,(Backdoors!AI12+IF(ES90&gt;=0.45,VLOOKUP(Calculator!E23,tbSkills!DH3:DI6,2,FALSE)+IF(AND(Calculator!B8=TRUE,Backdoors!BI24=TRUE),VLOOKUP(Calculator!E23,tbSkills!DH3:DJ6,3,FALSE),0),0)))/100)),(1-(0.25*((-Backdoors!AI12-IF(ES90&gt;=0.45,VLOOKUP(Calculator!E23,tbSkills!DH3:DI6,2,FALSE)+IF(AND(Calculator!B8=TRUE,Backdoors!BI24=TRUE),VLOOKUP(Calculator!E23,tbSkills!DH3:DJ6,3,FALSE),0),0))/100)))),1),"")</f>
        <v>1</v>
      </c>
      <c r="EV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S90)*EU90)*(VLOOKUP(A90,tbMoveset!A2:C112,3,FALSE)/100)*IF(VLOOKUP(A90,tbMoveset!A2:B112,2,FALSE)="Projectile",Backdoors!N10,Backdoors!N9),0),"")</f>
        <v/>
      </c>
      <c r="EW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S90&gt;=0.45,VLOOKUP(Calculator!E23,tbSkills!DH3:DI6,2,FALSE)+IF(AND(Calculator!B8=TRUE,Backdoors!BI24=TRUE),VLOOKUP(Calculator!E23,tbSkills!DH3:DJ6,3,FALSE),0),0))&gt;=100,100,(Backdoors!AI12+IF(ES90&gt;=0.45,VLOOKUP(Calculator!E23,tbSkills!DH3:DI6,2,FALSE)+IF(AND(Calculator!B8=TRUE,Backdoors!BI24=TRUE),VLOOKUP(Calculator!E23,tbSkills!DH3:DJ6,3,FALSE),0),0)))/100)),1))*IF(VLOOKUP(A90,tbMoveset!A2:K112,11,FALSE)=TRUE,Backdoors!AC5,1))*ET90,0),"")</f>
        <v>0</v>
      </c>
      <c r="EX90" s="49">
        <f>VLOOKUP(A90,tbMoveset!A2:G112,7,FALSE)*IFERROR(IF(Backdoors!AI12&gt;=0,1+(IF(Calculator!E40&gt;0,VLOOKUP(Calculator!E40,tbSkills!AI3:AJ5,2,FALSE),Backdoors!AL4)*(IF((Backdoors!AI12+IF(ES90&gt;=0.45,VLOOKUP(Calculator!E23,tbSkills!DH3:DI6,2,FALSE)+IF(AND(Calculator!B8=TRUE,Backdoors!BI24=TRUE),VLOOKUP(Calculator!E23,tbSkills!DH3:DJ6,3,FALSE),0),0))&gt;=100,100,(Backdoors!AI12+IF(ES90&gt;=0.45,VLOOKUP(Calculator!E23,tbSkills!DH3:DI6,2,FALSE)+IF(AND(Calculator!B8=TRUE,Backdoors!BI24=TRUE),VLOOKUP(Calculator!E23,tbSkills!DH3:DJ6,3,FALSE),0),0)))/100)),1),1)</f>
        <v>0.7</v>
      </c>
      <c r="EY90" s="87">
        <f t="shared" si="72"/>
        <v>0</v>
      </c>
      <c r="EZ90" s="86" t="str">
        <f>IFERROR(IF(VLOOKUP(A90,tbMoveset!A2:B112,2,FALSE)="Sever",Backdoors!AY25/100,IF(VLOOKUP(A90,tbMoveset!A2:B112,2,FALSE)="Blunt",Backdoors!AZ25/100,Backdoors!BA25/100)),"")</f>
        <v/>
      </c>
      <c r="FA90" s="49">
        <f>IFERROR(IF(VLOOKUP(tbMoveset!A90,tbMoveset!A2:H112,8,FALSE)="Other",IF(VLOOKUP(tbMoveset!A90,tbMoveset!A2:I112,9,FALSE)="Fire",Backdoors!BB25,IF(VLOOKUP(tbMoveset!A90,tbMoveset!A2:I112,9,FALSE)="Water",Backdoors!BC25,IF(VLOOKUP(tbMoveset!A90,tbMoveset!A2:I112,9,FALSE)="Thunder",Backdoors!BD25,IF(VLOOKUP(tbMoveset!A90,tbMoveset!A2:I112,9,FALSE)="Ice",Backdoors!BE25,IF(VLOOKUP(tbMoveset!A90,tbMoveset!A2:I112,9,FALSE)="Dragon",Backdoors!BF25,Backdoors!BG25)))))/100,Backdoors!BG25/100),"")</f>
        <v>0</v>
      </c>
      <c r="FB90" s="49">
        <f>IFERROR(IF(VLOOKUP(A90,tbMoveset!A2:J112,10,FALSE)=TRUE,IF((Backdoors!AI12+IF(EZ90&gt;=0.45,VLOOKUP(Calculator!E23,tbSkills!DH3:DI6,2,FALSE)+IF(AND(Calculator!B8=TRUE,Backdoors!BI25=TRUE),VLOOKUP(Calculator!E23,tbSkills!DH3:DJ6,3,FALSE),0),0))&gt;=0,1+(Backdoors!AL2*(IF((Backdoors!AI12+IF(EZ90&gt;=0.45,VLOOKUP(Calculator!E23,tbSkills!DH3:DI6,2,FALSE)+IF(AND(Calculator!B8=TRUE,Backdoors!BI25=TRUE),VLOOKUP(Calculator!E23,tbSkills!DH3:DJ6,3,FALSE),0),0))&gt;=100,100,(Backdoors!AI12+IF(EZ90&gt;=0.45,VLOOKUP(Calculator!E23,tbSkills!DH3:DI6,2,FALSE)+IF(AND(Calculator!B8=TRUE,Backdoors!BI25=TRUE),VLOOKUP(Calculator!E23,tbSkills!DH3:DJ6,3,FALSE),0),0)))/100)),(1-(0.25*((-Backdoors!AI12-IF(EZ90&gt;=0.45,VLOOKUP(Calculator!E23,tbSkills!DH3:DI6,2,FALSE)+IF(AND(Calculator!B8=TRUE,Backdoors!BI25=TRUE),VLOOKUP(Calculator!E23,tbSkills!DH3:DJ6,3,FALSE),0),0))/100)))),1),"")</f>
        <v>1</v>
      </c>
      <c r="FC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Z90)*FB90)*(VLOOKUP(A90,tbMoveset!A2:C112,3,FALSE)/100)*IF(VLOOKUP(A90,tbMoveset!A2:B112,2,FALSE)="Projectile",Backdoors!N10,Backdoors!N9),0),"")</f>
        <v/>
      </c>
      <c r="FD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Z90&gt;=0.45,VLOOKUP(Calculator!E23,tbSkills!DH3:DI6,2,FALSE)+IF(AND(Calculator!B8=TRUE,Backdoors!BI25=TRUE),VLOOKUP(Calculator!E23,tbSkills!DH3:DJ6,3,FALSE),0),0))&gt;=100,100,(Backdoors!AI12+IF(EZ90&gt;=0.45,VLOOKUP(Calculator!E23,tbSkills!DH3:DI6,2,FALSE)+IF(AND(Calculator!B8=TRUE,Backdoors!BI25=TRUE),VLOOKUP(Calculator!E23,tbSkills!DH3:DJ6,3,FALSE),0),0)))/100)),1))*IF(VLOOKUP(A90,tbMoveset!A2:K112,11,FALSE)=TRUE,Backdoors!AC5,1))*FA90,0),"")</f>
        <v>0</v>
      </c>
      <c r="FE90" s="49">
        <f>VLOOKUP(A90,tbMoveset!A2:G112,7,FALSE)*IFERROR(IF(Backdoors!AI12&gt;=0,1+(IF(Calculator!E40&gt;0,VLOOKUP(Calculator!E40,tbSkills!AI3:AJ5,2,FALSE),Backdoors!AL4)*(IF((Backdoors!AI12+IF(EZ90&gt;=0.45,VLOOKUP(Calculator!E23,tbSkills!DH3:DI6,2,FALSE)+IF(AND(Calculator!B8=TRUE,Backdoors!BI25=TRUE),VLOOKUP(Calculator!E23,tbSkills!DH3:DJ6,3,FALSE),0),0))&gt;=100,100,(Backdoors!AI12+IF(EZ90&gt;=0.45,VLOOKUP(Calculator!E23,tbSkills!DH3:DI6,2,FALSE)+IF(AND(Calculator!B8=TRUE,Backdoors!BI25=TRUE),VLOOKUP(Calculator!E23,tbSkills!DH3:DJ6,3,FALSE),0),0)))/100)),1),1)</f>
        <v>0.7</v>
      </c>
      <c r="FF90" s="87">
        <f t="shared" si="73"/>
        <v>0</v>
      </c>
      <c r="FG90" s="86" t="str">
        <f>IFERROR(IF(VLOOKUP(A90,tbMoveset!A2:B112,2,FALSE)="Sever",Backdoors!AY26/100,IF(VLOOKUP(A90,tbMoveset!A2:B112,2,FALSE)="Blunt",Backdoors!AZ26/100,Backdoors!BA26/100)),"")</f>
        <v/>
      </c>
      <c r="FH90" s="49">
        <f>IFERROR(IF(VLOOKUP(tbMoveset!A90,tbMoveset!A2:H112,8,FALSE)="Other",IF(VLOOKUP(tbMoveset!A90,tbMoveset!A2:I112,9,FALSE)="Fire",Backdoors!BB26,IF(VLOOKUP(tbMoveset!A90,tbMoveset!A2:I112,9,FALSE)="Water",Backdoors!BC26,IF(VLOOKUP(tbMoveset!A90,tbMoveset!A2:I112,9,FALSE)="Thunder",Backdoors!BD26,IF(VLOOKUP(tbMoveset!A90,tbMoveset!A2:I112,9,FALSE)="Ice",Backdoors!BE26,IF(VLOOKUP(tbMoveset!A90,tbMoveset!A2:I112,9,FALSE)="Dragon",Backdoors!BF26,Backdoors!BG26)))))/100,Backdoors!BG26/100),"")</f>
        <v>0</v>
      </c>
      <c r="FI90" s="49">
        <f>IFERROR(IF(VLOOKUP(A90,tbMoveset!A2:J112,10,FALSE)=TRUE,IF((Backdoors!AI12+IF(FG90&gt;=0.45,VLOOKUP(Calculator!E23,tbSkills!DH3:DI6,2,FALSE)+IF(AND(Calculator!B8=TRUE,Backdoors!BI26=TRUE),VLOOKUP(Calculator!E23,tbSkills!DH3:DJ6,3,FALSE),0),0))&gt;=0,1+(Backdoors!AL2*(IF((Backdoors!AI12+IF(FG90&gt;=0.45,VLOOKUP(Calculator!E23,tbSkills!DH3:DI6,2,FALSE)+IF(AND(Calculator!B8=TRUE,Backdoors!BI26=TRUE),VLOOKUP(Calculator!E23,tbSkills!DH3:DJ6,3,FALSE),0),0))&gt;=100,100,(Backdoors!AI12+IF(FG90&gt;=0.45,VLOOKUP(Calculator!E23,tbSkills!DH3:DI6,2,FALSE)+IF(AND(Calculator!B8=TRUE,Backdoors!BI26=TRUE),VLOOKUP(Calculator!E23,tbSkills!DH3:DJ6,3,FALSE),0),0)))/100)),(1-(0.25*((-Backdoors!AI12-IF(FG90&gt;=0.45,VLOOKUP(Calculator!E23,tbSkills!DH3:DI6,2,FALSE)+IF(AND(Calculator!B8=TRUE,Backdoors!BI26=TRUE),VLOOKUP(Calculator!E23,tbSkills!DH3:DJ6,3,FALSE),0),0))/100)))),1),"")</f>
        <v>1</v>
      </c>
      <c r="FJ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FG90)*FI90)*(VLOOKUP(A90,tbMoveset!A2:C112,3,FALSE)/100)*IF(VLOOKUP(A90,tbMoveset!A2:B112,2,FALSE)="Projectile",Backdoors!N10,Backdoors!N9),0),"")</f>
        <v/>
      </c>
      <c r="FK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FG90&gt;=0.45,VLOOKUP(Calculator!E23,tbSkills!DH3:DI6,2,FALSE)+IF(AND(Calculator!B8=TRUE,Backdoors!BI26=TRUE),VLOOKUP(Calculator!E23,tbSkills!DH3:DJ6,3,FALSE),0),0))&gt;=100,100,(Backdoors!AI12+IF(FG90&gt;=0.45,VLOOKUP(Calculator!E23,tbSkills!DH3:DI6,2,FALSE)+IF(AND(Calculator!B8=TRUE,Backdoors!BI26=TRUE),VLOOKUP(Calculator!E23,tbSkills!DH3:DJ6,3,FALSE),0),0)))/100)),1))*IF(VLOOKUP(A90,tbMoveset!A2:K112,11,FALSE)=TRUE,Backdoors!AC5,1))*FH90,0),"")</f>
        <v>0</v>
      </c>
      <c r="FL90" s="49">
        <f>VLOOKUP(A90,tbMoveset!A2:G112,7,FALSE)*IFERROR(IF(Backdoors!AI12&gt;=0,1+(IF(Calculator!E40&gt;0,VLOOKUP(Calculator!E40,tbSkills!AI3:AJ5,2,FALSE),Backdoors!AL4)*(IF((Backdoors!AI12+IF(FG90&gt;=0.45,VLOOKUP(Calculator!E23,tbSkills!DH3:DI6,2,FALSE)+IF(AND(Calculator!B8=TRUE,Backdoors!BI26=TRUE),VLOOKUP(Calculator!E23,tbSkills!DH3:DJ6,3,FALSE),0),0))&gt;=100,100,(Backdoors!AI12+IF(FG90&gt;=0.45,VLOOKUP(Calculator!E23,tbSkills!DH3:DI6,2,FALSE)+IF(AND(Calculator!B8=TRUE,Backdoors!BI26=TRUE),VLOOKUP(Calculator!E23,tbSkills!DH3:DJ6,3,FALSE),0),0)))/100)),1),1)</f>
        <v>0.7</v>
      </c>
      <c r="FM90" s="87">
        <f t="shared" si="74"/>
        <v>0</v>
      </c>
      <c r="FN90" s="86" t="str">
        <f>IFERROR(IF(VLOOKUP(A90,tbMoveset!A2:B112,2,FALSE)="Sever",Backdoors!AY27/100,IF(VLOOKUP(A90,tbMoveset!A2:B112,2,FALSE)="Blunt",Backdoors!AZ27/100,Backdoors!BA27/100)),"")</f>
        <v/>
      </c>
      <c r="FO90" s="49">
        <f>IFERROR(IF(VLOOKUP(tbMoveset!A90,tbMoveset!A2:H112,8,FALSE)="Other",IF(VLOOKUP(tbMoveset!A90,tbMoveset!A2:I112,9,FALSE)="Fire",Backdoors!BB27,IF(VLOOKUP(tbMoveset!A90,tbMoveset!A2:I112,9,FALSE)="Water",Backdoors!BC27,IF(VLOOKUP(tbMoveset!A90,tbMoveset!A2:I112,9,FALSE)="Thunder",Backdoors!BD27,IF(VLOOKUP(tbMoveset!A90,tbMoveset!A2:I112,9,FALSE)="Ice",Backdoors!BE27,IF(VLOOKUP(tbMoveset!A90,tbMoveset!A2:I112,9,FALSE)="Dragon",Backdoors!BF27,Backdoors!BG27)))))/100,Backdoors!BG27/100),"")</f>
        <v>0</v>
      </c>
      <c r="FP90" s="49">
        <f>IFERROR(IF(VLOOKUP(A90,tbMoveset!A2:J112,10,FALSE)=TRUE,IF((Backdoors!AI12+IF(FN90&gt;=0.45,VLOOKUP(Calculator!E23,tbSkills!DH3:DI6,2,FALSE)+IF(AND(Calculator!B8=TRUE,Backdoors!BI27=TRUE),VLOOKUP(Calculator!E23,tbSkills!DH3:DJ6,3,FALSE),0),0))&gt;=0,1+(Backdoors!AL2*(IF((Backdoors!AI12+IF(FN90&gt;=0.45,VLOOKUP(Calculator!E23,tbSkills!DH3:DI6,2,FALSE)+IF(AND(Calculator!B8=TRUE,Backdoors!BI27=TRUE),VLOOKUP(Calculator!E23,tbSkills!DH3:DJ6,3,FALSE),0),0))&gt;=100,100,(Backdoors!AI12+IF(FN90&gt;=0.45,VLOOKUP(Calculator!E23,tbSkills!DH3:DI6,2,FALSE)+IF(AND(Calculator!B8=TRUE,Backdoors!BI27=TRUE),VLOOKUP(Calculator!E23,tbSkills!DH3:DJ6,3,FALSE),0),0)))/100)),(1-(0.25*((-Backdoors!AI12-IF(FN90&gt;=0.45,VLOOKUP(Calculator!E23,tbSkills!DH3:DI6,2,FALSE)+IF(AND(Calculator!B8=TRUE,Backdoors!BI27=TRUE),VLOOKUP(Calculator!E23,tbSkills!DH3:DJ6,3,FALSE),0),0))/100)))),1),"")</f>
        <v>1</v>
      </c>
      <c r="FQ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FN90)*FP90)*(VLOOKUP(A90,tbMoveset!A2:C112,3,FALSE)/100)*IF(VLOOKUP(A90,tbMoveset!A2:B112,2,FALSE)="Projectile",Backdoors!N10,Backdoors!N9),0),"")</f>
        <v/>
      </c>
      <c r="FR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FN90&gt;=0.45,VLOOKUP(Calculator!E23,tbSkills!DH3:DI6,2,FALSE)+IF(AND(Calculator!B8=TRUE,Backdoors!BI27=TRUE),VLOOKUP(Calculator!E23,tbSkills!DH3:DJ6,3,FALSE),0),0))&gt;=100,100,(Backdoors!AI12+IF(FN90&gt;=0.45,VLOOKUP(Calculator!E23,tbSkills!DH3:DI6,2,FALSE)+IF(AND(Calculator!B8=TRUE,Backdoors!BI27=TRUE),VLOOKUP(Calculator!E23,tbSkills!DH3:DJ6,3,FALSE),0),0)))/100)),1))*IF(VLOOKUP(A90,tbMoveset!A2:K112,11,FALSE)=TRUE,Backdoors!AC5,1))*FO90,0),"")</f>
        <v>0</v>
      </c>
      <c r="FS90" s="49">
        <f>VLOOKUP(A90,tbMoveset!A2:G112,7,FALSE)*IFERROR(IF(Backdoors!AI12&gt;=0,1+(IF(Calculator!E40&gt;0,VLOOKUP(Calculator!E40,tbSkills!AI3:AJ5,2,FALSE),Backdoors!AL4)*(IF((Backdoors!AI12+IF(FN90&gt;=0.45,VLOOKUP(Calculator!E23,tbSkills!DH3:DI6,2,FALSE)+IF(AND(Calculator!B8=TRUE,Backdoors!BI27=TRUE),VLOOKUP(Calculator!E23,tbSkills!DH3:DJ6,3,FALSE),0),0))&gt;=100,100,(Backdoors!AI12+IF(FN90&gt;=0.45,VLOOKUP(Calculator!E23,tbSkills!DH3:DI6,2,FALSE)+IF(AND(Calculator!B8=TRUE,Backdoors!BI27=TRUE),VLOOKUP(Calculator!E23,tbSkills!DH3:DJ6,3,FALSE),0),0)))/100)),1),1)</f>
        <v>0.7</v>
      </c>
      <c r="FT90" s="87">
        <f t="shared" si="75"/>
        <v>0</v>
      </c>
      <c r="FU90" s="86" t="str">
        <f>IFERROR(IF(VLOOKUP(A90,tbMoveset!A2:B112,2,FALSE)="Sever",Backdoors!AY28/100,IF(VLOOKUP(A90,tbMoveset!A2:B112,2,FALSE)="Blunt",Backdoors!AZ28/100,Backdoors!BA28/100)),"")</f>
        <v/>
      </c>
      <c r="FV90" s="49">
        <f>IFERROR(IF(VLOOKUP(tbMoveset!A90,tbMoveset!A2:H112,8,FALSE)="Other",IF(VLOOKUP(tbMoveset!A90,tbMoveset!A2:I112,9,FALSE)="Fire",Backdoors!BB28,IF(VLOOKUP(tbMoveset!A90,tbMoveset!A2:I112,9,FALSE)="Water",Backdoors!BC28,IF(VLOOKUP(tbMoveset!A90,tbMoveset!A2:I112,9,FALSE)="Thunder",Backdoors!BD28,IF(VLOOKUP(tbMoveset!A90,tbMoveset!A2:I112,9,FALSE)="Ice",Backdoors!BE28,IF(VLOOKUP(tbMoveset!A90,tbMoveset!A2:I112,9,FALSE)="Dragon",Backdoors!BF28,Backdoors!BG28)))))/100,Backdoors!BG28/100),"")</f>
        <v>0</v>
      </c>
      <c r="FW90" s="49">
        <f>IFERROR(IF(VLOOKUP(A90,tbMoveset!A2:J112,10,FALSE)=TRUE,IF((Backdoors!AI12+IF(FU90&gt;=0.45,VLOOKUP(Calculator!E23,tbSkills!DH3:DI6,2,FALSE)+IF(AND(Calculator!B8=TRUE,Backdoors!BI28=TRUE),VLOOKUP(Calculator!E23,tbSkills!DH3:DJ6,3,FALSE),0),0))&gt;=0,1+(Backdoors!AL2*(IF((Backdoors!AI12+IF(FU90&gt;=0.45,VLOOKUP(Calculator!E23,tbSkills!DH3:DI6,2,FALSE)+IF(AND(Calculator!B8=TRUE,Backdoors!BI28=TRUE),VLOOKUP(Calculator!E23,tbSkills!DH3:DJ6,3,FALSE),0),0))&gt;=100,100,(Backdoors!AI12+IF(FU90&gt;=0.45,VLOOKUP(Calculator!E23,tbSkills!DH3:DI6,2,FALSE)+IF(AND(Calculator!B8=TRUE,Backdoors!BI28=TRUE),VLOOKUP(Calculator!E23,tbSkills!DH3:DJ6,3,FALSE),0),0)))/100)),(1-(0.25*((-Backdoors!AI12-IF(FU90&gt;=0.45,VLOOKUP(Calculator!E23,tbSkills!DH3:DI6,2,FALSE)+IF(AND(Calculator!B8=TRUE,Backdoors!BI28=TRUE),VLOOKUP(Calculator!E23,tbSkills!DH3:DJ6,3,FALSE),0),0))/100)))),1),"")</f>
        <v>1</v>
      </c>
      <c r="FX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FU90)*FW90)*(VLOOKUP(A90,tbMoveset!A2:C112,3,FALSE)/100)*IF(VLOOKUP(A90,tbMoveset!A2:B112,2,FALSE)="Projectile",Backdoors!N10,Backdoors!N9),0),"")</f>
        <v/>
      </c>
      <c r="FY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FU90&gt;=0.45,VLOOKUP(Calculator!E23,tbSkills!DH3:DI6,2,FALSE)+IF(AND(Calculator!B8=TRUE,Backdoors!BI28=TRUE),VLOOKUP(Calculator!E23,tbSkills!DH3:DJ6,3,FALSE),0),0))&gt;=100,100,(Backdoors!AI12+IF(FU90&gt;=0.45,VLOOKUP(Calculator!E23,tbSkills!DH3:DI6,2,FALSE)+IF(AND(Calculator!B8=TRUE,Backdoors!BI28=TRUE),VLOOKUP(Calculator!E23,tbSkills!DH3:DJ6,3,FALSE),0),0)))/100)),1))*IF(VLOOKUP(A90,tbMoveset!A2:K112,11,FALSE)=TRUE,Backdoors!AC5,1))*FV90,0),"")</f>
        <v>0</v>
      </c>
      <c r="FZ90" s="49">
        <f>VLOOKUP(A90,tbMoveset!A2:G112,7,FALSE)*IFERROR(IF(Backdoors!AI12&gt;=0,1+(IF(Calculator!E40&gt;0,VLOOKUP(Calculator!E40,tbSkills!AI3:AJ5,2,FALSE),Backdoors!AL4)*(IF((Backdoors!AI12+IF(FU90&gt;=0.45,VLOOKUP(Calculator!E23,tbSkills!DH3:DI6,2,FALSE)+IF(AND(Calculator!B8=TRUE,Backdoors!BI28=TRUE),VLOOKUP(Calculator!E23,tbSkills!DH3:DJ6,3,FALSE),0),0))&gt;=100,100,(Backdoors!AI12+IF(FU90&gt;=0.45,VLOOKUP(Calculator!E23,tbSkills!DH3:DI6,2,FALSE)+IF(AND(Calculator!B8=TRUE,Backdoors!BI28=TRUE),VLOOKUP(Calculator!E23,tbSkills!DH3:DJ6,3,FALSE),0),0)))/100)),1),1)</f>
        <v>0.7</v>
      </c>
      <c r="GA90" s="87">
        <f t="shared" si="76"/>
        <v>0</v>
      </c>
      <c r="GB90" s="86" t="str">
        <f>IFERROR(IF(VLOOKUP(A90,tbMoveset!A2:B112,2,FALSE)="Sever",Backdoors!AY29/100,IF(VLOOKUP(A90,tbMoveset!A2:B112,2,FALSE)="Blunt",Backdoors!AZ29/100,Backdoors!BA29/100)),"")</f>
        <v/>
      </c>
      <c r="GC90" s="49">
        <f>IFERROR(IF(VLOOKUP(tbMoveset!A90,tbMoveset!A2:H112,8,FALSE)="Other",IF(VLOOKUP(tbMoveset!A90,tbMoveset!A2:I112,9,FALSE)="Fire",Backdoors!BB29,IF(VLOOKUP(tbMoveset!A90,tbMoveset!A2:I112,9,FALSE)="Water",Backdoors!BC29,IF(VLOOKUP(tbMoveset!A90,tbMoveset!A2:I112,9,FALSE)="Thunder",Backdoors!BD29,IF(VLOOKUP(tbMoveset!A90,tbMoveset!A2:I112,9,FALSE)="Ice",Backdoors!BE29,IF(VLOOKUP(tbMoveset!A90,tbMoveset!A2:I112,9,FALSE)="Dragon",Backdoors!BF29,Backdoors!BG29)))))/100,Backdoors!BG29/100),"")</f>
        <v>0</v>
      </c>
      <c r="GD90" s="49">
        <f>IFERROR(IF(VLOOKUP(A90,tbMoveset!A2:J112,10,FALSE)=TRUE,IF((Backdoors!AI12+IF(GB90&gt;=0.45,VLOOKUP(Calculator!E23,tbSkills!DH3:DI6,2,FALSE)+IF(AND(Calculator!B8=TRUE,Backdoors!BI29=TRUE),VLOOKUP(Calculator!E23,tbSkills!DH3:DJ6,3,FALSE),0),0))&gt;=0,1+(Backdoors!AL2*(IF((Backdoors!AI12+IF(GB90&gt;=0.45,VLOOKUP(Calculator!E23,tbSkills!DH3:DI6,2,FALSE)+IF(AND(Calculator!B8=TRUE,Backdoors!BI29=TRUE),VLOOKUP(Calculator!E23,tbSkills!DH3:DJ6,3,FALSE),0),0))&gt;=100,100,(Backdoors!AI12+IF(GB90&gt;=0.45,VLOOKUP(Calculator!E23,tbSkills!DH3:DI6,2,FALSE)+IF(AND(Calculator!B8=TRUE,Backdoors!BI29=TRUE),VLOOKUP(Calculator!E23,tbSkills!DH3:DJ6,3,FALSE),0),0)))/100)),(1-(0.25*((-Backdoors!AI12-IF(GB90&gt;=0.45,VLOOKUP(Calculator!E23,tbSkills!DH3:DI6,2,FALSE)+IF(AND(Calculator!B8=TRUE,Backdoors!BI29=TRUE),VLOOKUP(Calculator!E23,tbSkills!DH3:DJ6,3,FALSE),0),0))/100)))),1),"")</f>
        <v>1</v>
      </c>
      <c r="GE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B90)*GD90)*(VLOOKUP(A90,tbMoveset!A2:C112,3,FALSE)/100)*IF(VLOOKUP(A90,tbMoveset!A2:B112,2,FALSE)="Projectile",Backdoors!N10,Backdoors!N9),0),"")</f>
        <v/>
      </c>
      <c r="GF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B90&gt;=0.45,VLOOKUP(Calculator!E23,tbSkills!DH3:DI6,2,FALSE)+IF(AND(Calculator!B8=TRUE,Backdoors!BI29=TRUE),VLOOKUP(Calculator!E23,tbSkills!DH3:DJ6,3,FALSE),0),0))&gt;=100,100,(Backdoors!AI12+IF(GB90&gt;=0.45,VLOOKUP(Calculator!E23,tbSkills!DH3:DI6,2,FALSE)+IF(AND(Calculator!B8=TRUE,Backdoors!BI29=TRUE),VLOOKUP(Calculator!E23,tbSkills!DH3:DJ6,3,FALSE),0),0)))/100)),1))*IF(VLOOKUP(A90,tbMoveset!A2:K112,11,FALSE)=TRUE,Backdoors!AC5,1))*GC90,0),"")</f>
        <v>0</v>
      </c>
      <c r="GG90" s="49">
        <f>VLOOKUP(A90,tbMoveset!A2:G112,7,FALSE)*IFERROR(IF(Backdoors!AI12&gt;=0,1+(IF(Calculator!E40&gt;0,VLOOKUP(Calculator!E40,tbSkills!AI3:AJ5,2,FALSE),Backdoors!AL4)*(IF((Backdoors!AI12+IF(GB90&gt;=0.45,VLOOKUP(Calculator!E23,tbSkills!DH3:DI6,2,FALSE)+IF(AND(Calculator!B8=TRUE,Backdoors!BI29=TRUE),VLOOKUP(Calculator!E23,tbSkills!DH3:DJ6,3,FALSE),0),0))&gt;=100,100,(Backdoors!AI12+IF(GB90&gt;=0.45,VLOOKUP(Calculator!E23,tbSkills!DH3:DI6,2,FALSE)+IF(AND(Calculator!B8=TRUE,Backdoors!BI29=TRUE),VLOOKUP(Calculator!E23,tbSkills!DH3:DJ6,3,FALSE),0),0)))/100)),1),1)</f>
        <v>0.7</v>
      </c>
      <c r="GH90" s="87">
        <f t="shared" si="77"/>
        <v>0</v>
      </c>
      <c r="GI90" s="86" t="str">
        <f>IFERROR(IF(VLOOKUP(A90,tbMoveset!A2:B112,2,FALSE)="Sever",Backdoors!AY30/100,IF(VLOOKUP(A90,tbMoveset!A2:B112,2,FALSE)="Blunt",Backdoors!AZ30/100,Backdoors!BA30/100)),"")</f>
        <v/>
      </c>
      <c r="GJ90" s="49">
        <f>IFERROR(IF(VLOOKUP(tbMoveset!A90,tbMoveset!A2:H112,8,FALSE)="Other",IF(VLOOKUP(tbMoveset!A90,tbMoveset!A2:I112,9,FALSE)="Fire",Backdoors!BB30,IF(VLOOKUP(tbMoveset!A90,tbMoveset!A2:I112,9,FALSE)="Water",Backdoors!BC30,IF(VLOOKUP(tbMoveset!A90,tbMoveset!A2:I112,9,FALSE)="Thunder",Backdoors!BD30,IF(VLOOKUP(tbMoveset!A90,tbMoveset!A2:I112,9,FALSE)="Ice",Backdoors!BE30,IF(VLOOKUP(tbMoveset!A90,tbMoveset!A2:I112,9,FALSE)="Dragon",Backdoors!BF30,Backdoors!BG30)))))/100,Backdoors!BG30/100),"")</f>
        <v>0</v>
      </c>
      <c r="GK90" s="49">
        <f>IFERROR(IF(VLOOKUP(A90,tbMoveset!A2:J112,10,FALSE)=TRUE,IF((Backdoors!AI12+IF(GI90&gt;=0.45,VLOOKUP(Calculator!E23,tbSkills!DH3:DI6,2,FALSE)+IF(AND(Calculator!B8=TRUE,Backdoors!BI30=TRUE),VLOOKUP(Calculator!E23,tbSkills!DH3:DJ6,3,FALSE),0),0))&gt;=0,1+(Backdoors!AL2*(IF((Backdoors!AI12+IF(GI90&gt;=0.45,VLOOKUP(Calculator!E23,tbSkills!DH3:DI6,2,FALSE)+IF(AND(Calculator!B8=TRUE,Backdoors!BI30=TRUE),VLOOKUP(Calculator!E23,tbSkills!DH3:DJ6,3,FALSE),0),0))&gt;=100,100,(Backdoors!AI12+IF(GI90&gt;=0.45,VLOOKUP(Calculator!E23,tbSkills!DH3:DI6,2,FALSE)+IF(AND(Calculator!B8=TRUE,Backdoors!BI30=TRUE),VLOOKUP(Calculator!E23,tbSkills!DH3:DJ6,3,FALSE),0),0)))/100)),(1-(0.25*((-Backdoors!AI12-IF(GI90&gt;=0.45,VLOOKUP(Calculator!E23,tbSkills!DH3:DI6,2,FALSE)+IF(AND(Calculator!B8=TRUE,Backdoors!BI30=TRUE),VLOOKUP(Calculator!E23,tbSkills!DH3:DJ6,3,FALSE),0),0))/100)))),1),"")</f>
        <v>1</v>
      </c>
      <c r="GL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I90)*GK90)*(VLOOKUP(A90,tbMoveset!A2:C112,3,FALSE)/100)*IF(VLOOKUP(A90,tbMoveset!A2:B112,2,FALSE)="Projectile",Backdoors!N10,Backdoors!N9),0),"")</f>
        <v/>
      </c>
      <c r="GM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I90&gt;=0.45,VLOOKUP(Calculator!E23,tbSkills!DH3:DI6,2,FALSE)+IF(AND(Calculator!B8=TRUE,Backdoors!BI30=TRUE),VLOOKUP(Calculator!E23,tbSkills!DH3:DJ6,3,FALSE),0),0))&gt;=100,100,(Backdoors!AI12+IF(GI90&gt;=0.45,VLOOKUP(Calculator!E23,tbSkills!DH3:DI6,2,FALSE)+IF(AND(Calculator!B8=TRUE,Backdoors!BI30=TRUE),VLOOKUP(Calculator!E23,tbSkills!DH3:DJ6,3,FALSE),0),0)))/100)),1))*IF(VLOOKUP(A90,tbMoveset!A2:K112,11,FALSE)=TRUE,Backdoors!AC5,1))*GJ90,0),"")</f>
        <v>0</v>
      </c>
      <c r="GN90" s="49">
        <f>VLOOKUP(A90,tbMoveset!A2:G112,7,FALSE)*IFERROR(IF(Backdoors!AI12&gt;=0,1+(IF(Calculator!E40&gt;0,VLOOKUP(Calculator!E40,tbSkills!AI3:AJ5,2,FALSE),Backdoors!AL4)*(IF((Backdoors!AI12+IF(GI90&gt;=0.45,VLOOKUP(Calculator!E23,tbSkills!DH3:DI6,2,FALSE)+IF(AND(Calculator!B8=TRUE,Backdoors!BI30=TRUE),VLOOKUP(Calculator!E23,tbSkills!DH3:DJ6,3,FALSE),0),0))&gt;=100,100,(Backdoors!AI12+IF(GI90&gt;=0.45,VLOOKUP(Calculator!E23,tbSkills!DH3:DI6,2,FALSE)+IF(AND(Calculator!B8=TRUE,Backdoors!BI30=TRUE),VLOOKUP(Calculator!E23,tbSkills!DH3:DJ6,3,FALSE),0),0)))/100)),1),1)</f>
        <v>0.7</v>
      </c>
      <c r="GO90" s="87">
        <f t="shared" si="78"/>
        <v>0</v>
      </c>
      <c r="GP90" s="86" t="str">
        <f>IFERROR(IF(VLOOKUP(A90,tbMoveset!A2:B112,2,FALSE)="Sever",Backdoors!AY31/100,IF(VLOOKUP(A90,tbMoveset!A2:B112,2,FALSE)="Blunt",Backdoors!AZ31/100,Backdoors!BA31/100)),"")</f>
        <v/>
      </c>
      <c r="GQ90" s="49">
        <f>IFERROR(IF(VLOOKUP(tbMoveset!A90,tbMoveset!A2:H112,8,FALSE)="Other",IF(VLOOKUP(tbMoveset!A90,tbMoveset!A2:I112,9,FALSE)="Fire",Backdoors!BB31,IF(VLOOKUP(tbMoveset!A90,tbMoveset!A2:I112,9,FALSE)="Water",Backdoors!BC31,IF(VLOOKUP(tbMoveset!A90,tbMoveset!A2:I112,9,FALSE)="Thunder",Backdoors!BD31,IF(VLOOKUP(tbMoveset!A90,tbMoveset!A2:I112,9,FALSE)="Ice",Backdoors!BE31,IF(VLOOKUP(tbMoveset!A90,tbMoveset!A2:I112,9,FALSE)="Dragon",Backdoors!BF31,Backdoors!BG31)))))/100,Backdoors!BG31/100),"")</f>
        <v>0</v>
      </c>
      <c r="GR90" s="49">
        <f>IFERROR(IF(VLOOKUP(A90,tbMoveset!A2:J112,10,FALSE)=TRUE,IF((Backdoors!AI12+IF(GP90&gt;=0.45,VLOOKUP(Calculator!E23,tbSkills!DH3:DI6,2,FALSE)+IF(AND(Calculator!B8=TRUE,Backdoors!BI31=TRUE),VLOOKUP(Calculator!E23,tbSkills!DH3:DJ6,3,FALSE),0),0))&gt;=0,1+(Backdoors!AL2*(IF((Backdoors!AI12+IF(GP90&gt;=0.45,VLOOKUP(Calculator!E23,tbSkills!DH3:DI6,2,FALSE)+IF(AND(Calculator!B8=TRUE,Backdoors!BI31=TRUE),VLOOKUP(Calculator!E23,tbSkills!DH3:DJ6,3,FALSE),0),0))&gt;=100,100,(Backdoors!AI12+IF(GP90&gt;=0.45,VLOOKUP(Calculator!E23,tbSkills!DH3:DI6,2,FALSE)+IF(AND(Calculator!B8=TRUE,Backdoors!BI31=TRUE),VLOOKUP(Calculator!E23,tbSkills!DH3:DJ6,3,FALSE),0),0)))/100)),(1-(0.25*((-Backdoors!AI12-IF(GP90&gt;=0.45,VLOOKUP(Calculator!E23,tbSkills!DH3:DI6,2,FALSE)+IF(AND(Calculator!B8=TRUE,Backdoors!BI31=TRUE),VLOOKUP(Calculator!E23,tbSkills!DH3:DJ6,3,FALSE),0),0))/100)))),1),"")</f>
        <v>1</v>
      </c>
      <c r="GS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P90)*GR90)*(VLOOKUP(A90,tbMoveset!A2:C112,3,FALSE)/100)*IF(VLOOKUP(A90,tbMoveset!A2:B112,2,FALSE)="Projectile",Backdoors!N10,Backdoors!N9),0),"")</f>
        <v/>
      </c>
      <c r="GT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P90&gt;=0.45,VLOOKUP(Calculator!E23,tbSkills!DH3:DI6,2,FALSE)+IF(AND(Calculator!B8=TRUE,Backdoors!BI31=TRUE),VLOOKUP(Calculator!E23,tbSkills!DH3:DJ6,3,FALSE),0),0))&gt;=100,100,(Backdoors!AI12+IF(GP90&gt;=0.45,VLOOKUP(Calculator!E23,tbSkills!DH3:DI6,2,FALSE)+IF(AND(Calculator!B8=TRUE,Backdoors!BI31=TRUE),VLOOKUP(Calculator!E23,tbSkills!DH3:DJ6,3,FALSE),0),0)))/100)),1))*IF(VLOOKUP(A90,tbMoveset!A2:K112,11,FALSE)=TRUE,Backdoors!AC5,1))*GQ90,0),"")</f>
        <v>0</v>
      </c>
      <c r="GU90" s="49">
        <f>VLOOKUP(A90,tbMoveset!A2:G112,7,FALSE)*IFERROR(IF(Backdoors!AI12&gt;=0,1+(IF(Calculator!E40&gt;0,VLOOKUP(Calculator!E40,tbSkills!AI3:AJ5,2,FALSE),Backdoors!AL4)*(IF((Backdoors!AI12+IF(GP90&gt;=0.45,VLOOKUP(Calculator!E23,tbSkills!DH3:DI6,2,FALSE)+IF(AND(Calculator!B8=TRUE,Backdoors!BI31=TRUE),VLOOKUP(Calculator!E23,tbSkills!DH3:DJ6,3,FALSE),0),0))&gt;=100,100,(Backdoors!AI12+IF(GP90&gt;=0.45,VLOOKUP(Calculator!E23,tbSkills!DH3:DI6,2,FALSE)+IF(AND(Calculator!B8=TRUE,Backdoors!BI31=TRUE),VLOOKUP(Calculator!E23,tbSkills!DH3:DJ6,3,FALSE),0),0)))/100)),1),1)</f>
        <v>0.7</v>
      </c>
      <c r="GV90" s="87">
        <f t="shared" si="79"/>
        <v>0</v>
      </c>
      <c r="GW90" s="86" t="str">
        <f>IFERROR(IF(VLOOKUP(A90,tbMoveset!A2:B112,2,FALSE)="Sever",Backdoors!AY32/100,IF(VLOOKUP(A90,tbMoveset!A2:B112,2,FALSE)="Blunt",Backdoors!AZ32/100,Backdoors!BA32/100)),"")</f>
        <v/>
      </c>
      <c r="GX90" s="49">
        <f>IFERROR(IF(VLOOKUP(tbMoveset!A90,tbMoveset!A2:H112,8,FALSE)="Other",IF(VLOOKUP(tbMoveset!A90,tbMoveset!A2:I112,9,FALSE)="Fire",Backdoors!BB32,IF(VLOOKUP(tbMoveset!A90,tbMoveset!A2:I112,9,FALSE)="Water",Backdoors!BC32,IF(VLOOKUP(tbMoveset!A90,tbMoveset!A2:I112,9,FALSE)="Thunder",Backdoors!BD32,IF(VLOOKUP(tbMoveset!A90,tbMoveset!A2:I112,9,FALSE)="Ice",Backdoors!BE32,IF(VLOOKUP(tbMoveset!A90,tbMoveset!A2:I112,9,FALSE)="Dragon",Backdoors!BF32,Backdoors!BG32)))))/100,Backdoors!BG32/100),"")</f>
        <v>0</v>
      </c>
      <c r="GY90" s="49">
        <f>IFERROR(IF(VLOOKUP(A90,tbMoveset!A2:J112,10,FALSE)=TRUE,IF((Backdoors!AI12+IF(GW90&gt;=0.45,VLOOKUP(Calculator!E23,tbSkills!DH3:DI6,2,FALSE)+IF(AND(Calculator!B8=TRUE,Backdoors!BI32=TRUE),VLOOKUP(Calculator!E23,tbSkills!DH3:DJ6,3,FALSE),0),0))&gt;=0,1+(Backdoors!AL2*(IF((Backdoors!AI12+IF(GW90&gt;=0.45,VLOOKUP(Calculator!E23,tbSkills!DH3:DI6,2,FALSE)+IF(AND(Calculator!B8=TRUE,Backdoors!BI32=TRUE),VLOOKUP(Calculator!E23,tbSkills!DH3:DJ6,3,FALSE),0),0))&gt;=100,100,(Backdoors!AI12+IF(GW90&gt;=0.45,VLOOKUP(Calculator!E23,tbSkills!DH3:DI6,2,FALSE)+IF(AND(Calculator!B8=TRUE,Backdoors!BI32=TRUE),VLOOKUP(Calculator!E23,tbSkills!DH3:DJ6,3,FALSE),0),0)))/100)),(1-(0.25*((-Backdoors!AI12-IF(GW90&gt;=0.45,VLOOKUP(Calculator!E23,tbSkills!DH3:DI6,2,FALSE)+IF(AND(Calculator!B8=TRUE,Backdoors!BI32=TRUE),VLOOKUP(Calculator!E23,tbSkills!DH3:DJ6,3,FALSE),0),0))/100)))),1),"")</f>
        <v>1</v>
      </c>
      <c r="GZ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W90)*GY90)*(VLOOKUP(A90,tbMoveset!A2:C112,3,FALSE)/100)*IF(VLOOKUP(A90,tbMoveset!A2:B112,2,FALSE)="Projectile",Backdoors!N10,Backdoors!N9),0),"")</f>
        <v/>
      </c>
      <c r="HA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W90&gt;=0.45,VLOOKUP(Calculator!E23,tbSkills!DH3:DI6,2,FALSE)+IF(AND(Calculator!B8=TRUE,Backdoors!BI32=TRUE),VLOOKUP(Calculator!E23,tbSkills!DH3:DJ6,3,FALSE),0),0))&gt;=100,100,(Backdoors!AI12+IF(GW90&gt;=0.45,VLOOKUP(Calculator!E23,tbSkills!DH3:DI6,2,FALSE)+IF(AND(Calculator!B8=TRUE,Backdoors!BI32=TRUE),VLOOKUP(Calculator!E23,tbSkills!DH3:DJ6,3,FALSE),0),0)))/100)),1))*IF(VLOOKUP(A90,tbMoveset!A2:K112,11,FALSE)=TRUE,Backdoors!AC5,1))*GX90,0),"")</f>
        <v>0</v>
      </c>
      <c r="HB90" s="49">
        <f>VLOOKUP(A90,tbMoveset!A2:G112,7,FALSE)*IFERROR(IF(Backdoors!AI12&gt;=0,1+(IF(Calculator!E40&gt;0,VLOOKUP(Calculator!E40,tbSkills!AI3:AJ5,2,FALSE),Backdoors!AL4)*(IF((Backdoors!AI12+IF(GW90&gt;=0.45,VLOOKUP(Calculator!E23,tbSkills!DH3:DI6,2,FALSE)+IF(AND(Calculator!B8=TRUE,Backdoors!BI32=TRUE),VLOOKUP(Calculator!E23,tbSkills!DH3:DJ6,3,FALSE),0),0))&gt;=100,100,(Backdoors!AI12+IF(GW90&gt;=0.45,VLOOKUP(Calculator!E23,tbSkills!DH3:DI6,2,FALSE)+IF(AND(Calculator!B8=TRUE,Backdoors!BI32=TRUE),VLOOKUP(Calculator!E23,tbSkills!DH3:DJ6,3,FALSE),0),0)))/100)),1),1)</f>
        <v>0.7</v>
      </c>
      <c r="HC90" s="87">
        <f t="shared" si="80"/>
        <v>0</v>
      </c>
      <c r="HD90" s="86" t="str">
        <f>IFERROR(IF(VLOOKUP(A90,tbMoveset!A2:B112,2,FALSE)="Sever",Backdoors!AY33/100,IF(VLOOKUP(A90,tbMoveset!A2:B112,2,FALSE)="Blunt",Backdoors!AZ33/100,Backdoors!BA33/100)),"")</f>
        <v/>
      </c>
      <c r="HE90" s="49">
        <f>IFERROR(IF(VLOOKUP(tbMoveset!A90,tbMoveset!A2:H112,8,FALSE)="Other",IF(VLOOKUP(tbMoveset!A90,tbMoveset!A2:I112,9,FALSE)="Fire",Backdoors!BB33,IF(VLOOKUP(tbMoveset!A90,tbMoveset!A2:I112,9,FALSE)="Water",Backdoors!BC33,IF(VLOOKUP(tbMoveset!A90,tbMoveset!A2:I112,9,FALSE)="Thunder",Backdoors!BD33,IF(VLOOKUP(tbMoveset!A90,tbMoveset!A2:I112,9,FALSE)="Ice",Backdoors!BE33,IF(VLOOKUP(tbMoveset!A90,tbMoveset!A2:I112,9,FALSE)="Dragon",Backdoors!BF33,Backdoors!BG33)))))/100,Backdoors!BG33/100),"")</f>
        <v>0</v>
      </c>
      <c r="HF90" s="49">
        <f>IFERROR(IF(VLOOKUP(A90,tbMoveset!A2:J112,10,FALSE)=TRUE,IF((Backdoors!AI12+IF(HD90&gt;=0.45,VLOOKUP(Calculator!E23,tbSkills!DH3:DI6,2,FALSE)+IF(AND(Calculator!B8=TRUE,Backdoors!BI33=TRUE),VLOOKUP(Calculator!E23,tbSkills!DH3:DJ6,3,FALSE),0),0))&gt;=0,1+(Backdoors!AL2*(IF((Backdoors!AI12+IF(HD90&gt;=0.45,VLOOKUP(Calculator!E23,tbSkills!DH3:DI6,2,FALSE)+IF(AND(Calculator!B8=TRUE,Backdoors!BI33=TRUE),VLOOKUP(Calculator!E23,tbSkills!DH3:DJ6,3,FALSE),0),0))&gt;=100,100,(Backdoors!AI12+IF(HD90&gt;=0.45,VLOOKUP(Calculator!E23,tbSkills!DH3:DI6,2,FALSE)+IF(AND(Calculator!B8=TRUE,Backdoors!BI33=TRUE),VLOOKUP(Calculator!E23,tbSkills!DH3:DJ6,3,FALSE),0),0)))/100)),(1-(0.25*((-Backdoors!AI12-IF(HD90&gt;=0.45,VLOOKUP(Calculator!E23,tbSkills!DH3:DI6,2,FALSE)+IF(AND(Calculator!B8=TRUE,Backdoors!BI33=TRUE),VLOOKUP(Calculator!E23,tbSkills!DH3:DJ6,3,FALSE),0),0))/100)))),1),"")</f>
        <v>1</v>
      </c>
      <c r="HG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D90)*HF90)*(VLOOKUP(A90,tbMoveset!A2:C112,3,FALSE)/100)*IF(VLOOKUP(A90,tbMoveset!A2:B112,2,FALSE)="Projectile",Backdoors!N10,Backdoors!N9),0),"")</f>
        <v/>
      </c>
      <c r="HH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D90&gt;=0.45,VLOOKUP(Calculator!E23,tbSkills!DH3:DI6,2,FALSE)+IF(AND(Calculator!B8=TRUE,Backdoors!BI33=TRUE),VLOOKUP(Calculator!E23,tbSkills!DH3:DJ6,3,FALSE),0),0))&gt;=100,100,(Backdoors!AI12+IF(HD90&gt;=0.45,VLOOKUP(Calculator!E23,tbSkills!DH3:DI6,2,FALSE)+IF(AND(Calculator!B8=TRUE,Backdoors!BI33=TRUE),VLOOKUP(Calculator!E23,tbSkills!DH3:DJ6,3,FALSE),0),0)))/100)),1))*IF(VLOOKUP(A90,tbMoveset!A2:K112,11,FALSE)=TRUE,Backdoors!AC5,1))*HE90,0),"")</f>
        <v>0</v>
      </c>
      <c r="HI90" s="49">
        <f>VLOOKUP(A90,tbMoveset!A2:G112,7,FALSE)*IFERROR(IF(Backdoors!AI12&gt;=0,1+(IF(Calculator!E40&gt;0,VLOOKUP(Calculator!E40,tbSkills!AI3:AJ5,2,FALSE),Backdoors!AL4)*(IF((Backdoors!AI12+IF(HD90&gt;=0.45,VLOOKUP(Calculator!E23,tbSkills!DH3:DI6,2,FALSE)+IF(AND(Calculator!B8=TRUE,Backdoors!BI33=TRUE),VLOOKUP(Calculator!E23,tbSkills!DH3:DJ6,3,FALSE),0),0))&gt;=100,100,(Backdoors!AI12+IF(HD90&gt;=0.45,VLOOKUP(Calculator!E23,tbSkills!DH3:DI6,2,FALSE)+IF(AND(Calculator!B8=TRUE,Backdoors!BI33=TRUE),VLOOKUP(Calculator!E23,tbSkills!DH3:DJ6,3,FALSE),0),0)))/100)),1),1)</f>
        <v>0.7</v>
      </c>
      <c r="HJ90" s="87">
        <f t="shared" si="81"/>
        <v>0</v>
      </c>
      <c r="HK90" s="86" t="str">
        <f>IFERROR(IF(VLOOKUP(A90,tbMoveset!A2:B112,2,FALSE)="Sever",Backdoors!AY34/100,IF(VLOOKUP(A90,tbMoveset!A2:B112,2,FALSE)="Blunt",Backdoors!AZ34/100,Backdoors!BA34/100)),"")</f>
        <v/>
      </c>
      <c r="HL90" s="49">
        <f>IFERROR(IF(VLOOKUP(tbMoveset!A90,tbMoveset!A2:H112,8,FALSE)="Other",IF(VLOOKUP(tbMoveset!A90,tbMoveset!A2:I112,9,FALSE)="Fire",Backdoors!BB34,IF(VLOOKUP(tbMoveset!A90,tbMoveset!A2:I112,9,FALSE)="Water",Backdoors!BC34,IF(VLOOKUP(tbMoveset!A90,tbMoveset!A2:I112,9,FALSE)="Thunder",Backdoors!BD34,IF(VLOOKUP(tbMoveset!A90,tbMoveset!A2:I112,9,FALSE)="Ice",Backdoors!BE34,IF(VLOOKUP(tbMoveset!A90,tbMoveset!A2:I112,9,FALSE)="Dragon",Backdoors!BF34,Backdoors!BG34)))))/100,Backdoors!BG34/100),"")</f>
        <v>0</v>
      </c>
      <c r="HM90" s="49">
        <f>IFERROR(IF(VLOOKUP(A90,tbMoveset!A2:J112,10,FALSE)=TRUE,IF((Backdoors!AI12+IF(HK90&gt;=0.45,VLOOKUP(Calculator!E23,tbSkills!DH3:DI6,2,FALSE)+IF(AND(Calculator!B8=TRUE,Backdoors!BI34=TRUE),VLOOKUP(Calculator!E23,tbSkills!DH3:DJ6,3,FALSE),0),0))&gt;=0,1+(Backdoors!AL2*(IF((Backdoors!AI12+IF(HK90&gt;=0.45,VLOOKUP(Calculator!E23,tbSkills!DH3:DI6,2,FALSE)+IF(AND(Calculator!B8=TRUE,Backdoors!BI34=TRUE),VLOOKUP(Calculator!E23,tbSkills!DH3:DJ6,3,FALSE),0),0))&gt;=100,100,(Backdoors!AI12+IF(HK90&gt;=0.45,VLOOKUP(Calculator!E23,tbSkills!DH3:DI6,2,FALSE)+IF(AND(Calculator!B8=TRUE,Backdoors!BI34=TRUE),VLOOKUP(Calculator!E23,tbSkills!DH3:DJ6,3,FALSE),0),0)))/100)),(1-(0.25*((-Backdoors!AI12-IF(HK90&gt;=0.45,VLOOKUP(Calculator!E23,tbSkills!DH3:DI6,2,FALSE)+IF(AND(Calculator!B8=TRUE,Backdoors!BI34=TRUE),VLOOKUP(Calculator!E23,tbSkills!DH3:DJ6,3,FALSE),0),0))/100)))),1),"")</f>
        <v>1</v>
      </c>
      <c r="HN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K90)*HM90)*(VLOOKUP(A90,tbMoveset!A2:C112,3,FALSE)/100)*IF(VLOOKUP(A90,tbMoveset!A2:B112,2,FALSE)="Projectile",Backdoors!N10,Backdoors!N9),0),"")</f>
        <v/>
      </c>
      <c r="HO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K90&gt;=0.45,VLOOKUP(Calculator!E23,tbSkills!DH3:DI6,2,FALSE)+IF(AND(Calculator!B8=TRUE,Backdoors!BI34=TRUE),VLOOKUP(Calculator!E23,tbSkills!DH3:DJ6,3,FALSE),0),0))&gt;=100,100,(Backdoors!AI12+IF(HK90&gt;=0.45,VLOOKUP(Calculator!E23,tbSkills!DH3:DI6,2,FALSE)+IF(AND(Calculator!B8=TRUE,Backdoors!BI34=TRUE),VLOOKUP(Calculator!E23,tbSkills!DH3:DJ6,3,FALSE),0),0)))/100)),1))*IF(VLOOKUP(A90,tbMoveset!A2:K112,11,FALSE)=TRUE,Backdoors!AC5,1))*HL90,0),"")</f>
        <v>0</v>
      </c>
      <c r="HP90" s="49">
        <f>VLOOKUP(A90,tbMoveset!A2:G112,7,FALSE)*IFERROR(IF(Backdoors!AI12&gt;=0,1+(IF(Calculator!E40&gt;0,VLOOKUP(Calculator!E40,tbSkills!AI3:AJ5,2,FALSE),Backdoors!AL4)*(IF((Backdoors!AI12+IF(HK90&gt;=0.45,VLOOKUP(Calculator!E23,tbSkills!DH3:DI6,2,FALSE)+IF(AND(Calculator!B8=TRUE,Backdoors!BI34=TRUE),VLOOKUP(Calculator!E23,tbSkills!DH3:DJ6,3,FALSE),0),0))&gt;=100,100,(Backdoors!AI12+IF(HK90&gt;=0.45,VLOOKUP(Calculator!E23,tbSkills!DH3:DI6,2,FALSE)+IF(AND(Calculator!B8=TRUE,Backdoors!BI34=TRUE),VLOOKUP(Calculator!E23,tbSkills!DH3:DJ6,3,FALSE),0),0)))/100)),1),1)</f>
        <v>0.7</v>
      </c>
      <c r="HQ90" s="87">
        <f t="shared" si="82"/>
        <v>0</v>
      </c>
      <c r="HR90" s="86" t="str">
        <f>IFERROR(IF(VLOOKUP(A90,tbMoveset!A2:B112,2,FALSE)="Sever",Backdoors!AY35/100,IF(VLOOKUP(A90,tbMoveset!A2:B112,2,FALSE)="Blunt",Backdoors!AZ35/100,Backdoors!BA35/100)),"")</f>
        <v/>
      </c>
      <c r="HS90" s="49">
        <f>IFERROR(IF(VLOOKUP(tbMoveset!A90,tbMoveset!A2:H112,8,FALSE)="Other",IF(VLOOKUP(tbMoveset!A90,tbMoveset!A2:I112,9,FALSE)="Fire",Backdoors!BB35,IF(VLOOKUP(tbMoveset!A90,tbMoveset!A2:I112,9,FALSE)="Water",Backdoors!BC35,IF(VLOOKUP(tbMoveset!A90,tbMoveset!A2:I112,9,FALSE)="Thunder",Backdoors!BD35,IF(VLOOKUP(tbMoveset!A90,tbMoveset!A2:I112,9,FALSE)="Ice",Backdoors!BE35,IF(VLOOKUP(tbMoveset!A90,tbMoveset!A2:I112,9,FALSE)="Dragon",Backdoors!BF35,Backdoors!BG35)))))/100,Backdoors!BG35/100),"")</f>
        <v>0</v>
      </c>
      <c r="HT90" s="49">
        <f>IFERROR(IF(VLOOKUP(A90,tbMoveset!A2:J112,10,FALSE)=TRUE,IF((Backdoors!AI12+IF(HR90&gt;=0.45,VLOOKUP(Calculator!E23,tbSkills!DH3:DI6,2,FALSE)+IF(AND(Calculator!B8=TRUE,Backdoors!BI35=TRUE),VLOOKUP(Calculator!E23,tbSkills!DH3:DJ6,3,FALSE),0),0))&gt;=0,1+(Backdoors!AL2*(IF((Backdoors!AI12+IF(HR90&gt;=0.45,VLOOKUP(Calculator!E23,tbSkills!DH3:DI6,2,FALSE)+IF(AND(Calculator!B8=TRUE,Backdoors!BI35=TRUE),VLOOKUP(Calculator!E23,tbSkills!DH3:DJ6,3,FALSE),0),0))&gt;=100,100,(Backdoors!AI12+IF(HR90&gt;=0.45,VLOOKUP(Calculator!E23,tbSkills!DH3:DI6,2,FALSE)+IF(AND(Calculator!B8=TRUE,Backdoors!BI35=TRUE),VLOOKUP(Calculator!E23,tbSkills!DH3:DJ6,3,FALSE),0),0)))/100)),(1-(0.25*((-Backdoors!AI12-IF(HR90&gt;=0.45,VLOOKUP(Calculator!E23,tbSkills!DH3:DI6,2,FALSE)+IF(AND(Calculator!B8=TRUE,Backdoors!BI35=TRUE),VLOOKUP(Calculator!E23,tbSkills!DH3:DJ6,3,FALSE),0),0))/100)))),1),"")</f>
        <v>1</v>
      </c>
      <c r="HU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R90)*HT90)*(VLOOKUP(A90,tbMoveset!A2:C112,3,FALSE)/100)*IF(VLOOKUP(A90,tbMoveset!A2:B112,2,FALSE)="Projectile",Backdoors!N10,Backdoors!N9),0),"")</f>
        <v/>
      </c>
      <c r="HV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R90&gt;=0.45,VLOOKUP(Calculator!E23,tbSkills!DH3:DI6,2,FALSE)+IF(AND(Calculator!B8=TRUE,Backdoors!BI35=TRUE),VLOOKUP(Calculator!E23,tbSkills!DH3:DJ6,3,FALSE),0),0))&gt;=100,100,(Backdoors!AI12+IF(HR90&gt;=0.45,VLOOKUP(Calculator!E23,tbSkills!DH3:DI6,2,FALSE)+IF(AND(Calculator!B8=TRUE,Backdoors!BI35=TRUE),VLOOKUP(Calculator!E23,tbSkills!DH3:DJ6,3,FALSE),0),0)))/100)),1))*IF(VLOOKUP(A90,tbMoveset!A2:K112,11,FALSE)=TRUE,Backdoors!AC5,1))*HS90,0),"")</f>
        <v>0</v>
      </c>
      <c r="HW90" s="49">
        <f>VLOOKUP(A90,tbMoveset!A2:G112,7,FALSE)*IFERROR(IF(Backdoors!AI12&gt;=0,1+(IF(Calculator!E40&gt;0,VLOOKUP(Calculator!E40,tbSkills!AI3:AJ5,2,FALSE),Backdoors!AL4)*(IF((Backdoors!AI12+IF(HR90&gt;=0.45,VLOOKUP(Calculator!E23,tbSkills!DH3:DI6,2,FALSE)+IF(AND(Calculator!B8=TRUE,Backdoors!BI35=TRUE),VLOOKUP(Calculator!E23,tbSkills!DH3:DJ6,3,FALSE),0),0))&gt;=100,100,(Backdoors!AI12+IF(HR90&gt;=0.45,VLOOKUP(Calculator!E23,tbSkills!DH3:DI6,2,FALSE)+IF(AND(Calculator!B8=TRUE,Backdoors!BI35=TRUE),VLOOKUP(Calculator!E23,tbSkills!DH3:DJ6,3,FALSE),0),0)))/100)),1),1)</f>
        <v>0.7</v>
      </c>
      <c r="HX90" s="87">
        <f t="shared" si="83"/>
        <v>0</v>
      </c>
      <c r="HY90" s="86" t="str">
        <f>IFERROR(IF(VLOOKUP(A90,tbMoveset!A2:B112,2,FALSE)="Sever",Backdoors!AY36/100,IF(VLOOKUP(A90,tbMoveset!A2:B112,2,FALSE)="Blunt",Backdoors!AZ36/100,Backdoors!BA36/100)),"")</f>
        <v/>
      </c>
      <c r="HZ90" s="49">
        <f>IFERROR(IF(VLOOKUP(tbMoveset!A90,tbMoveset!A2:H112,8,FALSE)="Other",IF(VLOOKUP(tbMoveset!A90,tbMoveset!A2:I112,9,FALSE)="Fire",Backdoors!BB36,IF(VLOOKUP(tbMoveset!A90,tbMoveset!A2:I112,9,FALSE)="Water",Backdoors!BC36,IF(VLOOKUP(tbMoveset!A90,tbMoveset!A2:I112,9,FALSE)="Thunder",Backdoors!BD36,IF(VLOOKUP(tbMoveset!A90,tbMoveset!A2:I112,9,FALSE)="Ice",Backdoors!BE36,IF(VLOOKUP(tbMoveset!A90,tbMoveset!A2:I112,9,FALSE)="Dragon",Backdoors!BF36,Backdoors!BG36)))))/100,Backdoors!BG36/100),"")</f>
        <v>0</v>
      </c>
      <c r="IA90" s="49">
        <f>IFERROR(IF(VLOOKUP(A90,tbMoveset!A2:J112,10,FALSE)=TRUE,IF((Backdoors!AI12+IF(HY90&gt;=0.45,VLOOKUP(Calculator!E23,tbSkills!DH3:DI6,2,FALSE)+IF(AND(Calculator!B8=TRUE,Backdoors!BI36=TRUE),VLOOKUP(Calculator!E23,tbSkills!DH3:DJ6,3,FALSE),0),0))&gt;=0,1+(Backdoors!AL2*(IF((Backdoors!AI12+IF(HY90&gt;=0.45,VLOOKUP(Calculator!E23,tbSkills!DH3:DI6,2,FALSE)+IF(AND(Calculator!B8=TRUE,Backdoors!BI36=TRUE),VLOOKUP(Calculator!E23,tbSkills!DH3:DJ6,3,FALSE),0),0))&gt;=100,100,(Backdoors!AI12+IF(HY90&gt;=0.45,VLOOKUP(Calculator!E23,tbSkills!DH3:DI6,2,FALSE)+IF(AND(Calculator!B8=TRUE,Backdoors!BI36=TRUE),VLOOKUP(Calculator!E23,tbSkills!DH3:DJ6,3,FALSE),0),0)))/100)),(1-(0.25*((-Backdoors!AI12-IF(HY90&gt;=0.45,VLOOKUP(Calculator!E23,tbSkills!DH3:DI6,2,FALSE)+IF(AND(Calculator!B8=TRUE,Backdoors!BI36=TRUE),VLOOKUP(Calculator!E23,tbSkills!DH3:DJ6,3,FALSE),0),0))/100)))),1),"")</f>
        <v>1</v>
      </c>
      <c r="IB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Y90)*IA90)*(VLOOKUP(A90,tbMoveset!A2:C112,3,FALSE)/100)*IF(VLOOKUP(A90,tbMoveset!A2:B112,2,FALSE)="Projectile",Backdoors!N10,Backdoors!N9),0),"")</f>
        <v/>
      </c>
      <c r="IC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Y90&gt;=0.45,VLOOKUP(Calculator!E23,tbSkills!DH3:DI6,2,FALSE)+IF(AND(Calculator!B8=TRUE,Backdoors!BI36=TRUE),VLOOKUP(Calculator!E23,tbSkills!DH3:DJ6,3,FALSE),0),0))&gt;=100,100,(Backdoors!AI12+IF(HY90&gt;=0.45,VLOOKUP(Calculator!E23,tbSkills!DH3:DI6,2,FALSE)+IF(AND(Calculator!B8=TRUE,Backdoors!BI36=TRUE),VLOOKUP(Calculator!E23,tbSkills!DH3:DJ6,3,FALSE),0),0)))/100)),1))*IF(VLOOKUP(A90,tbMoveset!A2:K112,11,FALSE)=TRUE,Backdoors!AC5,1))*HZ90,0),"")</f>
        <v>0</v>
      </c>
      <c r="ID90" s="49">
        <f>VLOOKUP(A90,tbMoveset!A2:G112,7,FALSE)*IFERROR(IF(Backdoors!AI12&gt;=0,1+(IF(Calculator!E40&gt;0,VLOOKUP(Calculator!E40,tbSkills!AI3:AJ5,2,FALSE),Backdoors!AL4)*(IF((Backdoors!AI12+IF(HY90&gt;=0.45,VLOOKUP(Calculator!E23,tbSkills!DH3:DI6,2,FALSE)+IF(AND(Calculator!B8=TRUE,Backdoors!BI36=TRUE),VLOOKUP(Calculator!E23,tbSkills!DH3:DJ6,3,FALSE),0),0))&gt;=100,100,(Backdoors!AI12+IF(HY90&gt;=0.45,VLOOKUP(Calculator!E23,tbSkills!DH3:DI6,2,FALSE)+IF(AND(Calculator!B8=TRUE,Backdoors!BI36=TRUE),VLOOKUP(Calculator!E23,tbSkills!DH3:DJ6,3,FALSE),0),0)))/100)),1),1)</f>
        <v>0.7</v>
      </c>
      <c r="IE90" s="87">
        <f t="shared" si="84"/>
        <v>0</v>
      </c>
      <c r="IF90" s="86" t="str">
        <f>IFERROR(IF(VLOOKUP(A90,tbMoveset!A2:B112,2,FALSE)="Sever",Backdoors!AY37/100,IF(VLOOKUP(A90,tbMoveset!A2:B112,2,FALSE)="Blunt",Backdoors!AZ37/100,Backdoors!BA37/100)),"")</f>
        <v/>
      </c>
      <c r="IG90" s="49">
        <f>IFERROR(IF(VLOOKUP(tbMoveset!A90,tbMoveset!A2:H112,8,FALSE)="Other",IF(VLOOKUP(tbMoveset!A90,tbMoveset!A2:I112,9,FALSE)="Fire",Backdoors!BB37,IF(VLOOKUP(tbMoveset!A90,tbMoveset!A2:I112,9,FALSE)="Water",Backdoors!BC37,IF(VLOOKUP(tbMoveset!A90,tbMoveset!A2:I112,9,FALSE)="Thunder",Backdoors!BD37,IF(VLOOKUP(tbMoveset!A90,tbMoveset!A2:I112,9,FALSE)="Ice",Backdoors!BE37,IF(VLOOKUP(tbMoveset!A90,tbMoveset!A2:I112,9,FALSE)="Dragon",Backdoors!BF37,Backdoors!BG37)))))/100,Backdoors!BG37/100),"")</f>
        <v>0</v>
      </c>
      <c r="IH90" s="49">
        <f>IFERROR(IF(VLOOKUP(A90,tbMoveset!A2:J112,10,FALSE)=TRUE,IF((Backdoors!AI12+IF(IF90&gt;=0.45,VLOOKUP(Calculator!E23,tbSkills!DH3:DI6,2,FALSE)+IF(AND(Calculator!B8=TRUE,Backdoors!BI37=TRUE),VLOOKUP(Calculator!E23,tbSkills!DH3:DJ6,3,FALSE),0),0))&gt;=0,1+(Backdoors!AL2*(IF((Backdoors!AI12+IF(IF90&gt;=0.45,VLOOKUP(Calculator!E23,tbSkills!DH3:DI6,2,FALSE)+IF(AND(Calculator!B8=TRUE,Backdoors!BI37=TRUE),VLOOKUP(Calculator!E23,tbSkills!DH3:DJ6,3,FALSE),0),0))&gt;=100,100,(Backdoors!AI12+IF(IF90&gt;=0.45,VLOOKUP(Calculator!E23,tbSkills!DH3:DI6,2,FALSE)+IF(AND(Calculator!B8=TRUE,Backdoors!BI37=TRUE),VLOOKUP(Calculator!E23,tbSkills!DH3:DJ6,3,FALSE),0),0)))/100)),(1-(0.25*((-Backdoors!AI12-IF(IF90&gt;=0.45,VLOOKUP(Calculator!E23,tbSkills!DH3:DI6,2,FALSE)+IF(AND(Calculator!B8=TRUE,Backdoors!BI37=TRUE),VLOOKUP(Calculator!E23,tbSkills!DH3:DJ6,3,FALSE),0),0))/100)))),1),"")</f>
        <v>1</v>
      </c>
      <c r="II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F90)*IH90)*(VLOOKUP(A90,tbMoveset!A2:C112,3,FALSE)/100)*IF(VLOOKUP(A90,tbMoveset!A2:B112,2,FALSE)="Projectile",Backdoors!N10,Backdoors!N9),0),"")</f>
        <v/>
      </c>
      <c r="IJ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IF90&gt;=0.45,VLOOKUP(Calculator!E23,tbSkills!DH3:DI6,2,FALSE)+IF(AND(Calculator!B8=TRUE,Backdoors!BI37=TRUE),VLOOKUP(Calculator!E23,tbSkills!DH3:DJ6,3,FALSE),0),0))&gt;=100,100,(Backdoors!AI12+IF(IF90&gt;=0.45,VLOOKUP(Calculator!E23,tbSkills!DH3:DI6,2,FALSE)+IF(AND(Calculator!B8=TRUE,Backdoors!BI37=TRUE),VLOOKUP(Calculator!E23,tbSkills!DH3:DJ6,3,FALSE),0),0)))/100)),1))*IF(VLOOKUP(A90,tbMoveset!A2:K112,11,FALSE)=TRUE,Backdoors!AC5,1))*IG90,0),"")</f>
        <v>0</v>
      </c>
      <c r="IK90" s="49">
        <f>VLOOKUP(A90,tbMoveset!A2:G112,7,FALSE)*IFERROR(IF(Backdoors!AI12&gt;=0,1+(IF(Calculator!E40&gt;0,VLOOKUP(Calculator!E40,tbSkills!AI3:AJ5,2,FALSE),Backdoors!AL4)*(IF((Backdoors!AI12+IF(IF90&gt;=0.45,VLOOKUP(Calculator!E23,tbSkills!DH3:DI6,2,FALSE)+IF(AND(Calculator!B8=TRUE,Backdoors!BI37=TRUE),VLOOKUP(Calculator!E23,tbSkills!DH3:DJ6,3,FALSE),0),0))&gt;=100,100,(Backdoors!AI12+IF(IF90&gt;=0.45,VLOOKUP(Calculator!E23,tbSkills!DH3:DI6,2,FALSE)+IF(AND(Calculator!B8=TRUE,Backdoors!BI37=TRUE),VLOOKUP(Calculator!E23,tbSkills!DH3:DJ6,3,FALSE),0),0)))/100)),1),1)</f>
        <v>0.7</v>
      </c>
      <c r="IL90" s="87">
        <f t="shared" si="85"/>
        <v>0</v>
      </c>
      <c r="IM90" s="86" t="str">
        <f>IFERROR(IF(VLOOKUP(A90,tbMoveset!A2:B112,2,FALSE)="Sever",Backdoors!AY38/100,IF(VLOOKUP(A90,tbMoveset!A2:B112,2,FALSE)="Blunt",Backdoors!AZ38/100,Backdoors!BA38/100)),"")</f>
        <v/>
      </c>
      <c r="IN90" s="49">
        <f>IFERROR(IF(VLOOKUP(tbMoveset!A90,tbMoveset!A2:H112,8,FALSE)="Other",IF(VLOOKUP(tbMoveset!A90,tbMoveset!A2:I112,9,FALSE)="Fire",Backdoors!BB38,IF(VLOOKUP(tbMoveset!A90,tbMoveset!A2:I112,9,FALSE)="Water",Backdoors!BC38,IF(VLOOKUP(tbMoveset!A90,tbMoveset!A2:I112,9,FALSE)="Thunder",Backdoors!BD38,IF(VLOOKUP(tbMoveset!A90,tbMoveset!A2:I112,9,FALSE)="Ice",Backdoors!BE38,IF(VLOOKUP(tbMoveset!A90,tbMoveset!A2:I112,9,FALSE)="Dragon",Backdoors!BF38,Backdoors!BG38)))))/100,Backdoors!BG38/100),"")</f>
        <v>0</v>
      </c>
      <c r="IO90" s="49">
        <f>IFERROR(IF(VLOOKUP(A90,tbMoveset!A2:J112,10,FALSE)=TRUE,IF((Backdoors!AI12+IF(IM90&gt;=0.45,VLOOKUP(Calculator!E23,tbSkills!DH3:DI6,2,FALSE)+IF(AND(Calculator!B8=TRUE,Backdoors!BI38=TRUE),VLOOKUP(Calculator!E23,tbSkills!DH3:DJ6,3,FALSE),0),0))&gt;=0,1+(Backdoors!AL2*(IF((Backdoors!AI12+IF(IM90&gt;=0.45,VLOOKUP(Calculator!E23,tbSkills!DH3:DI6,2,FALSE)+IF(AND(Calculator!B8=TRUE,Backdoors!BI38=TRUE),VLOOKUP(Calculator!E23,tbSkills!DH3:DJ6,3,FALSE),0),0))&gt;=100,100,(Backdoors!AI12+IF(IM90&gt;=0.45,VLOOKUP(Calculator!E23,tbSkills!DH3:DI6,2,FALSE)+IF(AND(Calculator!B8=TRUE,Backdoors!BI38=TRUE),VLOOKUP(Calculator!E23,tbSkills!DH3:DJ6,3,FALSE),0),0)))/100)),(1-(0.25*((-Backdoors!AI12-IF(IM90&gt;=0.45,VLOOKUP(Calculator!E23,tbSkills!DH3:DI6,2,FALSE)+IF(AND(Calculator!B8=TRUE,Backdoors!BI38=TRUE),VLOOKUP(Calculator!E23,tbSkills!DH3:DJ6,3,FALSE),0),0))/100)))),1),"")</f>
        <v>1</v>
      </c>
      <c r="IP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M90)*IO90)*(VLOOKUP(A90,tbMoveset!A2:C112,3,FALSE)/100)*IF(VLOOKUP(A90,tbMoveset!A2:B112,2,FALSE)="Projectile",Backdoors!N10,Backdoors!N9),0),"")</f>
        <v/>
      </c>
      <c r="IQ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IM90&gt;=0.45,VLOOKUP(Calculator!E23,tbSkills!DH3:DI6,2,FALSE)+IF(AND(Calculator!B8=TRUE,Backdoors!BI38=TRUE),VLOOKUP(Calculator!E23,tbSkills!DH3:DJ6,3,FALSE),0),0))&gt;=100,100,(Backdoors!AI12+IF(IM90&gt;=0.45,VLOOKUP(Calculator!E23,tbSkills!DH3:DI6,2,FALSE)+IF(AND(Calculator!B8=TRUE,Backdoors!BI38=TRUE),VLOOKUP(Calculator!E23,tbSkills!DH3:DJ6,3,FALSE),0),0)))/100)),1))*IF(VLOOKUP(A90,tbMoveset!A2:K112,11,FALSE)=TRUE,Backdoors!AC5,1))*IN90,0),"")</f>
        <v>0</v>
      </c>
      <c r="IR90" s="49">
        <f>VLOOKUP(A90,tbMoveset!A2:G112,7,FALSE)*IFERROR(IF(Backdoors!AI12&gt;=0,1+(IF(Calculator!E40&gt;0,VLOOKUP(Calculator!E40,tbSkills!AI3:AJ5,2,FALSE),Backdoors!AL4)*(IF((Backdoors!AI12+IF(IM90&gt;=0.45,VLOOKUP(Calculator!E23,tbSkills!DH3:DI6,2,FALSE)+IF(AND(Calculator!B8=TRUE,Backdoors!BI38=TRUE),VLOOKUP(Calculator!E23,tbSkills!DH3:DJ6,3,FALSE),0),0))&gt;=100,100,(Backdoors!AI12+IF(IM90&gt;=0.45,VLOOKUP(Calculator!E23,tbSkills!DH3:DI6,2,FALSE)+IF(AND(Calculator!B8=TRUE,Backdoors!BI38=TRUE),VLOOKUP(Calculator!E23,tbSkills!DH3:DJ6,3,FALSE),0),0)))/100)),1),1)</f>
        <v>0.7</v>
      </c>
      <c r="IS90" s="87">
        <f t="shared" si="86"/>
        <v>0</v>
      </c>
      <c r="IT90" s="86" t="str">
        <f>IFERROR(IF(VLOOKUP(A90,tbMoveset!A2:B112,2,FALSE)="Sever",Backdoors!AY39/100,IF(VLOOKUP(A90,tbMoveset!A2:B112,2,FALSE)="Blunt",Backdoors!AZ39/100,Backdoors!BA39/100)),"")</f>
        <v/>
      </c>
      <c r="IU90" s="49">
        <f>IFERROR(IF(VLOOKUP(tbMoveset!A90,tbMoveset!A2:H112,8,FALSE)="Other",IF(VLOOKUP(tbMoveset!A90,tbMoveset!A2:I112,9,FALSE)="Fire",Backdoors!BB39,IF(VLOOKUP(tbMoveset!A90,tbMoveset!A2:I112,9,FALSE)="Water",Backdoors!BC39,IF(VLOOKUP(tbMoveset!A90,tbMoveset!A2:I112,9,FALSE)="Thunder",Backdoors!BD39,IF(VLOOKUP(tbMoveset!A90,tbMoveset!A2:I112,9,FALSE)="Ice",Backdoors!BE39,IF(VLOOKUP(tbMoveset!A90,tbMoveset!A2:I112,9,FALSE)="Dragon",Backdoors!BF39,Backdoors!BG39)))))/100,Backdoors!BG39/100),"")</f>
        <v>0</v>
      </c>
      <c r="IV90" s="49">
        <f>IFERROR(IF(VLOOKUP(A90,tbMoveset!A2:J112,10,FALSE)=TRUE,IF((Backdoors!AI12+IF(IT90&gt;=0.45,VLOOKUP(Calculator!E23,tbSkills!DH3:DI6,2,FALSE)+IF(AND(Calculator!B8=TRUE,Backdoors!BI39=TRUE),VLOOKUP(Calculator!E23,tbSkills!DH3:DJ6,3,FALSE),0),0))&gt;=0,1+(Backdoors!AL2*(IF((Backdoors!AI12+IF(IT90&gt;=0.45,VLOOKUP(Calculator!E23,tbSkills!DH3:DI6,2,FALSE)+IF(AND(Calculator!B8=TRUE,Backdoors!BI39=TRUE),VLOOKUP(Calculator!E23,tbSkills!DH3:DJ6,3,FALSE),0),0))&gt;=100,100,(Backdoors!AI12+IF(IT90&gt;=0.45,VLOOKUP(Calculator!E23,tbSkills!DH3:DI6,2,FALSE)+IF(AND(Calculator!B8=TRUE,Backdoors!BI39=TRUE),VLOOKUP(Calculator!E23,tbSkills!DH3:DJ6,3,FALSE),0),0)))/100)),(1-(0.25*((-Backdoors!AI12-IF(IT90&gt;=0.45,VLOOKUP(Calculator!E23,tbSkills!DH3:DI6,2,FALSE)+IF(AND(Calculator!B8=TRUE,Backdoors!BI39=TRUE),VLOOKUP(Calculator!E23,tbSkills!DH3:DJ6,3,FALSE),0),0))/100)))),1),"")</f>
        <v>1</v>
      </c>
      <c r="IW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T90)*IV90)*(VLOOKUP(A90,tbMoveset!A2:C112,3,FALSE)/100)*IF(VLOOKUP(A90,tbMoveset!A2:B112,2,FALSE)="Projectile",Backdoors!N10,Backdoors!N9),0),"")</f>
        <v/>
      </c>
      <c r="IX90" s="49">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40&gt;0,VLOOKUP(Calculator!E40,tbSkills!AC3:AD5,2,FALSE),Backdoors!AL3)*(IF((Backdoors!AI12+IF(IT90&gt;=0.45,VLOOKUP(Calculator!E23,tbSkills!DH3:DI6,2,FALSE)+IF(AND(Calculator!B8=TRUE,Backdoors!BI39=TRUE),VLOOKUP(Calculator!E23,tbSkills!DH3:DJ6,3,FALSE),0),0))&gt;=100,100,(Backdoors!AI12+IF(IT90&gt;=0.45,VLOOKUP(Calculator!E23,tbSkills!DH3:DI6,2,FALSE)+IF(AND(Calculator!B8=TRUE,Backdoors!BI39=TRUE),VLOOKUP(Calculator!E23,tbSkills!DH3:DJ6,3,FALSE),0),0)))/100)),1))*IF(VLOOKUP(A90,tbMoveset!A2:K112,11,FALSE)=TRUE,Backdoors!AC5,1))*IU90,0),"")</f>
        <v>0</v>
      </c>
      <c r="IY90" s="49">
        <f>VLOOKUP(A90,tbMoveset!A2:G112,7,FALSE)*IFERROR(IF(Backdoors!AI12&gt;=0,1+(IF(Calculator!E40&gt;0,VLOOKUP(Calculator!E40,tbSkills!AI3:AJ5,2,FALSE),Backdoors!AL4)*(IF((Backdoors!AI12+IF(IT90&gt;=0.45,VLOOKUP(Calculator!E23,tbSkills!DH3:DI6,2,FALSE)+IF(AND(Calculator!B8=TRUE,Backdoors!BI39=TRUE),VLOOKUP(Calculator!E23,tbSkills!DH3:DJ6,3,FALSE),0),0))&gt;=100,100,(Backdoors!AI12+IF(IT90&gt;=0.45,VLOOKUP(Calculator!E23,tbSkills!DH3:DI6,2,FALSE)+IF(AND(Calculator!B8=TRUE,Backdoors!BI39=TRUE),VLOOKUP(Calculator!E23,tbSkills!DH3:DJ6,3,FALSE),0),0)))/100)),1),1)</f>
        <v>0.7</v>
      </c>
      <c r="IZ90" s="87">
        <f t="shared" si="87"/>
        <v>0</v>
      </c>
      <c r="JA90" s="86" t="str">
        <f>IFERROR(IF(VLOOKUP(A90,tbMoveset!A2:B112,2,FALSE)="Sever",Backdoors!AY40/100,IF(VLOOKUP(A90,tbMoveset!A2:B112,2,FALSE)="Blunt",Backdoors!AZ40/100,Backdoors!BA40/100)),"")</f>
        <v/>
      </c>
      <c r="JB90" s="49">
        <f>IFERROR(IF(VLOOKUP(tbMoveset!A90,tbMoveset!A2:H112,8,FALSE)="Other",IF(VLOOKUP(tbMoveset!A90,tbMoveset!A2:I112,9,FALSE)="Fire",Backdoors!BB40,IF(VLOOKUP(tbMoveset!A90,tbMoveset!A2:I112,9,FALSE)="Water",Backdoors!BC40,IF(VLOOKUP(tbMoveset!A90,tbMoveset!A2:I112,9,FALSE)="Thunder",Backdoors!BD40,IF(VLOOKUP(tbMoveset!A90,tbMoveset!A2:I112,9,FALSE)="Ice",Backdoors!BE40,IF(VLOOKUP(tbMoveset!A90,tbMoveset!A2:I112,9,FALSE)="Dragon",Backdoors!BF40,Backdoors!BG40)))))/100,Backdoors!BG40/100),"")</f>
        <v>0</v>
      </c>
      <c r="JC90" s="49">
        <f>IFERROR(IF(VLOOKUP(A90,tbMoveset!A2:J112,10,FALSE)=TRUE,IF((Backdoors!AI12+IF(JA90&gt;=0.45,VLOOKUP(Calculator!E23,tbSkills!DH3:DI6,2,FALSE)+IF(AND(Calculator!B8=TRUE,Backdoors!BI40=TRUE),VLOOKUP(Calculator!E23,tbSkills!DH3:DJ6,3,FALSE),0),0))&gt;=0,1+(Backdoors!AL2*(IF((Backdoors!AI12+IF(JA90&gt;=0.45,VLOOKUP(Calculator!E23,tbSkills!DH3:DI6,2,FALSE)+IF(AND(Calculator!B8=TRUE,Backdoors!BI40=TRUE),VLOOKUP(Calculator!E23,tbSkills!DH3:DJ6,3,FALSE),0),0))&gt;=100,100,(Backdoors!AI12+IF(JA90&gt;=0.45,VLOOKUP(Calculator!E23,tbSkills!DH3:DI6,2,FALSE)+IF(AND(Calculator!B8=TRUE,Backdoors!BI40=TRUE),VLOOKUP(Calculator!E23,tbSkills!DH3:DJ6,3,FALSE),0),0)))/100)),(1-(0.25*((-Backdoors!AI12-IF(JA90&gt;=0.45,VLOOKUP(Calculator!E23,tbSkills!DH3:DI6,2,FALSE)+IF(AND(Calculator!B8=TRUE,Backdoors!BI40=TRUE),VLOOKUP(Calculator!E23,tbSkills!DH3:DJ6,3,FALSE),0),0))/100)))),1),"")</f>
        <v>1</v>
      </c>
      <c r="JD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A90)*JC90)*(VLOOKUP(A90,tbMoveset!A2:C112,3,FALSE)/100)*IF(VLOOKUP(A90,tbMoveset!A2:B112,2,FALSE)="Projectile",Backdoors!N10,Backdoors!N9),0),"")</f>
        <v/>
      </c>
      <c r="JE90" s="49">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42&gt;0,VLOOKUP(Calculator!E42,tbSkills!AC3:AD5,2,FALSE),Backdoors!AL3)*(IF((Backdoors!AI12+IF(JA90&gt;=0.45,VLOOKUP(Calculator!E23,tbSkills!DH3:DI6,2,FALSE)+IF(AND(Calculator!B8=TRUE,Backdoors!BI40=TRUE),VLOOKUP(Calculator!E23,tbSkills!DH3:DJ6,3,FALSE),0),0))&gt;=100,100,(Backdoors!AI12+IF(JA90&gt;=0.45,VLOOKUP(Calculator!E23,tbSkills!DH3:DI6,2,FALSE)+IF(AND(Calculator!B8=TRUE,Backdoors!BI40=TRUE),VLOOKUP(Calculator!E23,tbSkills!DH3:DJ6,3,FALSE),0),0)))/100)),1))*IF(VLOOKUP(A90,tbMoveset!A2:K112,11,FALSE)=TRUE,Backdoors!AC5,1))*JB90,0),"")</f>
        <v>0</v>
      </c>
      <c r="JF90" s="49">
        <f>VLOOKUP(A90,tbMoveset!A2:G112,7,FALSE)*IFERROR(IF(Backdoors!AI12&gt;=0,1+(IF(Calculator!E40&gt;0,VLOOKUP(Calculator!E40,tbSkills!AI3:AJ5,2,FALSE),Backdoors!AL4)*(IF((Backdoors!AI12+IF(JA90&gt;=0.45,VLOOKUP(Calculator!E23,tbSkills!DH3:DI6,2,FALSE)+IF(AND(Calculator!B8=TRUE,Backdoors!BI40=TRUE),VLOOKUP(Calculator!E23,tbSkills!DH3:DJ6,3,FALSE),0),0))&gt;=100,100,(Backdoors!AI12+IF(JA90&gt;=0.45,VLOOKUP(Calculator!E23,tbSkills!DH3:DI6,2,FALSE)+IF(AND(Calculator!B8=TRUE,Backdoors!BI40=TRUE),VLOOKUP(Calculator!E23,tbSkills!DH3:DJ6,3,FALSE),0),0)))/100)),1),1)</f>
        <v>0.7</v>
      </c>
      <c r="JG90" s="87">
        <f t="shared" si="88"/>
        <v>0</v>
      </c>
      <c r="JH90" s="86" t="str">
        <f>IFERROR(IF(VLOOKUP(A90,tbMoveset!A2:B112,2,FALSE)="Sever",Backdoors!AY41/100,IF(VLOOKUP(A90,tbMoveset!A2:B112,2,FALSE)="Blunt",Backdoors!AZ41/100,Backdoors!BA41/100)),"")</f>
        <v/>
      </c>
      <c r="JI90" s="49">
        <f>IFERROR(IF(VLOOKUP(tbMoveset!A90,tbMoveset!A2:H112,8,FALSE)="Other",IF(VLOOKUP(tbMoveset!A90,tbMoveset!A2:I112,9,FALSE)="Fire",Backdoors!BB41,IF(VLOOKUP(tbMoveset!A90,tbMoveset!A2:I112,9,FALSE)="Water",Backdoors!BC41,IF(VLOOKUP(tbMoveset!A90,tbMoveset!A2:I112,9,FALSE)="Thunder",Backdoors!BD41,IF(VLOOKUP(tbMoveset!A90,tbMoveset!A2:I112,9,FALSE)="Ice",Backdoors!BE41,IF(VLOOKUP(tbMoveset!A90,tbMoveset!A2:I112,9,FALSE)="Dragon",Backdoors!BF41,Backdoors!BG41)))))/100,Backdoors!BG41/100),"")</f>
        <v>0</v>
      </c>
      <c r="JJ90" s="49">
        <f>IFERROR(IF(VLOOKUP(A90,tbMoveset!A2:J112,10,FALSE)=TRUE,IF((Backdoors!AI12+IF(JH90&gt;=0.45,VLOOKUP(Calculator!E23,tbSkills!DH3:DI6,2,FALSE)+IF(AND(Calculator!B8=TRUE,Backdoors!BI41=TRUE),VLOOKUP(Calculator!E23,tbSkills!DH3:DJ6,3,FALSE),0),0))&gt;=0,1+(Backdoors!AL2*(IF((Backdoors!AI12+IF(JH90&gt;=0.45,VLOOKUP(Calculator!E23,tbSkills!DH3:DI6,2,FALSE)+IF(AND(Calculator!B8=TRUE,Backdoors!BI41=TRUE),VLOOKUP(Calculator!E23,tbSkills!DH3:DJ6,3,FALSE),0),0))&gt;=100,100,(Backdoors!AI12+IF(JH90&gt;=0.45,VLOOKUP(Calculator!E23,tbSkills!DH3:DI6,2,FALSE)+IF(AND(Calculator!B8=TRUE,Backdoors!BI41=TRUE),VLOOKUP(Calculator!E23,tbSkills!DH3:DJ6,3,FALSE),0),0)))/100)),(1-(0.25*((-Backdoors!AI12-IF(JH90&gt;=0.45,VLOOKUP(Calculator!E23,tbSkills!DH3:DI6,2,FALSE)+IF(AND(Calculator!B8=TRUE,Backdoors!BI41=TRUE),VLOOKUP(Calculator!E23,tbSkills!DH3:DJ6,3,FALSE),0),0))/100)))),1),"")</f>
        <v>1</v>
      </c>
      <c r="JK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H90)*JJ90)*(VLOOKUP(A90,tbMoveset!A2:C112,3,FALSE)/100)*IF(VLOOKUP(A90,tbMoveset!A2:B112,2,FALSE)="Projectile",Backdoors!N10,Backdoors!N9),0),"")</f>
        <v/>
      </c>
      <c r="JL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43&gt;0,VLOOKUP(Calculator!E43,tbSkills!AC3:AD5,2,FALSE),Backdoors!AL3)*(IF((Backdoors!AI12+IF(JH90&gt;=0.45,VLOOKUP(Calculator!E23,tbSkills!DH3:DI6,2,FALSE)+IF(AND(Calculator!B8=TRUE,Backdoors!BI41=TRUE),VLOOKUP(Calculator!E23,tbSkills!DH3:DJ6,3,FALSE),0),0))&gt;=100,100,(Backdoors!AI12+IF(JH90&gt;=0.45,VLOOKUP(Calculator!E23,tbSkills!DH3:DI6,2,FALSE)+IF(AND(Calculator!B8=TRUE,Backdoors!BI41=TRUE),VLOOKUP(Calculator!E23,tbSkills!DH3:DJ6,3,FALSE),0),0)))/100)),1))*IF(VLOOKUP(A90,tbMoveset!A2:K112,11,FALSE)=TRUE,Backdoors!AC5,1))*JI90,0),"")</f>
        <v/>
      </c>
      <c r="JM90" s="49">
        <f>VLOOKUP(A90,tbMoveset!A2:G112,7,FALSE)*IFERROR(IF(Backdoors!AI12&gt;=0,1+(IF(Calculator!E40&gt;0,VLOOKUP(Calculator!E40,tbSkills!AI3:AJ5,2,FALSE),Backdoors!AL4)*(IF((Backdoors!AI12+IF(JH90&gt;=0.45,VLOOKUP(Calculator!E23,tbSkills!DH3:DI6,2,FALSE)+IF(AND(Calculator!B8=TRUE,Backdoors!BI41=TRUE),VLOOKUP(Calculator!E23,tbSkills!DH3:DJ6,3,FALSE),0),0))&gt;=100,100,(Backdoors!AI12+IF(JH90&gt;=0.45,VLOOKUP(Calculator!E23,tbSkills!DH3:DI6,2,FALSE)+IF(AND(Calculator!B8=TRUE,Backdoors!BI41=TRUE),VLOOKUP(Calculator!E23,tbSkills!DH3:DJ6,3,FALSE),0),0)))/100)),1),1)</f>
        <v>0.7</v>
      </c>
      <c r="JN90" s="87">
        <f t="shared" si="89"/>
        <v>0</v>
      </c>
      <c r="JO90" s="86" t="str">
        <f>IFERROR(IF(VLOOKUP(A90,tbMoveset!A2:B112,2,FALSE)="Sever",Backdoors!AY42/100,IF(VLOOKUP(A90,tbMoveset!A2:B112,2,FALSE)="Blunt",Backdoors!AZ42/100,Backdoors!BA42/100)),"")</f>
        <v/>
      </c>
      <c r="JP90" s="49">
        <f>IFERROR(IF(VLOOKUP(tbMoveset!A90,tbMoveset!A2:H112,8,FALSE)="Other",IF(VLOOKUP(tbMoveset!A90,tbMoveset!A2:I112,9,FALSE)="Fire",Backdoors!BB42,IF(VLOOKUP(tbMoveset!A90,tbMoveset!A2:I112,9,FALSE)="Water",Backdoors!BC42,IF(VLOOKUP(tbMoveset!A90,tbMoveset!A2:I112,9,FALSE)="Thunder",Backdoors!BD42,IF(VLOOKUP(tbMoveset!A90,tbMoveset!A2:I112,9,FALSE)="Ice",Backdoors!BE42,IF(VLOOKUP(tbMoveset!A90,tbMoveset!A2:I112,9,FALSE)="Dragon",Backdoors!BF42,Backdoors!BG42)))))/100,Backdoors!BG42/100),"")</f>
        <v>0</v>
      </c>
      <c r="JQ90" s="49">
        <f>IFERROR(IF(VLOOKUP(A90,tbMoveset!A2:J112,10,FALSE)=TRUE,IF((Backdoors!AI12+IF(JO90&gt;=0.45,VLOOKUP(Calculator!E23,tbSkills!DH3:DI6,2,FALSE)+IF(AND(Calculator!B8=TRUE,Backdoors!BI42=TRUE),VLOOKUP(Calculator!E23,tbSkills!DH3:DJ6,3,FALSE),0),0))&gt;=0,1+(Backdoors!AL2*(IF((Backdoors!AI12+IF(JO90&gt;=0.45,VLOOKUP(Calculator!E23,tbSkills!DH3:DI6,2,FALSE)+IF(AND(Calculator!B8=TRUE,Backdoors!BI42=TRUE),VLOOKUP(Calculator!E23,tbSkills!DH3:DJ6,3,FALSE),0),0))&gt;=100,100,(Backdoors!AI12+IF(JO90&gt;=0.45,VLOOKUP(Calculator!E23,tbSkills!DH3:DI6,2,FALSE)+IF(AND(Calculator!B8=TRUE,Backdoors!BI42=TRUE),VLOOKUP(Calculator!E23,tbSkills!DH3:DJ6,3,FALSE),0),0)))/100)),(1-(0.25*((-Backdoors!AI12-IF(JO90&gt;=0.45,VLOOKUP(Calculator!E23,tbSkills!DH3:DI6,2,FALSE)+IF(AND(Calculator!B8=TRUE,Backdoors!BI42=TRUE),VLOOKUP(Calculator!E23,tbSkills!DH3:DJ6,3,FALSE),0),0))/100)))),1),"")</f>
        <v>1</v>
      </c>
      <c r="JR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O90)*JQ90)*(VLOOKUP(A90,tbMoveset!A2:C112,3,FALSE)/100)*IF(VLOOKUP(A90,tbMoveset!A2:B112,2,FALSE)="Projectile",Backdoors!N10,Backdoors!N9),0),"")</f>
        <v/>
      </c>
      <c r="JS90" s="49">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45&gt;0,VLOOKUP(Calculator!E45,tbSkills!AC3:AD5,2,FALSE),Backdoors!AL3)*(IF((Backdoors!AI12+IF(JO90&gt;=0.45,VLOOKUP(Calculator!E23,tbSkills!DH3:DI6,2,FALSE)+IF(AND(Calculator!B8=TRUE,Backdoors!BI42=TRUE),VLOOKUP(Calculator!E23,tbSkills!DH3:DJ6,3,FALSE),0),0))&gt;=100,100,(Backdoors!AI12+IF(JO90&gt;=0.45,VLOOKUP(Calculator!E23,tbSkills!DH3:DI6,2,FALSE)+IF(AND(Calculator!B8=TRUE,Backdoors!BI42=TRUE),VLOOKUP(Calculator!E23,tbSkills!DH3:DJ6,3,FALSE),0),0)))/100)),1))*IF(VLOOKUP(A90,tbMoveset!A2:K112,11,FALSE)=TRUE,Backdoors!AC5,1))*JP90,0),"")</f>
        <v>0</v>
      </c>
      <c r="JT90" s="49">
        <f>VLOOKUP(A90,tbMoveset!A2:G112,7,FALSE)*IFERROR(IF(Backdoors!AI12&gt;=0,1+(IF(Calculator!E40&gt;0,VLOOKUP(Calculator!E40,tbSkills!AI3:AJ5,2,FALSE),Backdoors!AL4)*(IF((Backdoors!AI12+IF(JO90&gt;=0.45,VLOOKUP(Calculator!E23,tbSkills!DH3:DI6,2,FALSE)+IF(AND(Calculator!B8=TRUE,Backdoors!BI42=TRUE),VLOOKUP(Calculator!E23,tbSkills!DH3:DJ6,3,FALSE),0),0))&gt;=100,100,(Backdoors!AI12+IF(JO90&gt;=0.45,VLOOKUP(Calculator!E23,tbSkills!DH3:DI6,2,FALSE)+IF(AND(Calculator!B8=TRUE,Backdoors!BI42=TRUE),VLOOKUP(Calculator!E23,tbSkills!DH3:DJ6,3,FALSE),0),0)))/100)),1),1)</f>
        <v>0.7</v>
      </c>
      <c r="JU90" s="87">
        <f t="shared" si="90"/>
        <v>0</v>
      </c>
      <c r="JV90" s="86" t="str">
        <f>IFERROR(IF(VLOOKUP(A90,tbMoveset!A2:B112,2,FALSE)="Sever",Backdoors!AY43/100,IF(VLOOKUP(A90,tbMoveset!A2:B112,2,FALSE)="Blunt",Backdoors!AZ43/100,Backdoors!BA43/100)),"")</f>
        <v/>
      </c>
      <c r="JW90" s="49">
        <f>IFERROR(IF(VLOOKUP(tbMoveset!A90,tbMoveset!A2:H112,8,FALSE)="Other",IF(VLOOKUP(tbMoveset!A90,tbMoveset!A2:I112,9,FALSE)="Fire",Backdoors!BB43,IF(VLOOKUP(tbMoveset!A90,tbMoveset!A2:I112,9,FALSE)="Water",Backdoors!BC43,IF(VLOOKUP(tbMoveset!A90,tbMoveset!A2:I112,9,FALSE)="Thunder",Backdoors!BD43,IF(VLOOKUP(tbMoveset!A90,tbMoveset!A2:I112,9,FALSE)="Ice",Backdoors!BE43,IF(VLOOKUP(tbMoveset!A90,tbMoveset!A2:I112,9,FALSE)="Dragon",Backdoors!BF43,Backdoors!BG43)))))/100,Backdoors!BG43/100),"")</f>
        <v>0</v>
      </c>
      <c r="JX90" s="49">
        <f>IFERROR(IF(VLOOKUP(A90,tbMoveset!A2:J112,10,FALSE)=TRUE,IF((Backdoors!AI12+IF(JV90&gt;=0.45,VLOOKUP(Calculator!E23,tbSkills!DH3:DI6,2,FALSE)+IF(AND(Calculator!B8=TRUE,Backdoors!BI43=TRUE),VLOOKUP(Calculator!E23,tbSkills!DH3:DJ6,3,FALSE),0),0))&gt;=0,1+(Backdoors!AL2*(IF((Backdoors!AI12+IF(JV90&gt;=0.45,VLOOKUP(Calculator!E23,tbSkills!DH3:DI6,2,FALSE)+IF(AND(Calculator!B8=TRUE,Backdoors!BI43=TRUE),VLOOKUP(Calculator!E23,tbSkills!DH3:DJ6,3,FALSE),0),0))&gt;=100,100,(Backdoors!AI12+IF(JV90&gt;=0.45,VLOOKUP(Calculator!E23,tbSkills!DH3:DI6,2,FALSE)+IF(AND(Calculator!B8=TRUE,Backdoors!BI43=TRUE),VLOOKUP(Calculator!E23,tbSkills!DH3:DJ6,3,FALSE),0),0)))/100)),(1-(0.25*((-Backdoors!AI12-IF(JV90&gt;=0.45,VLOOKUP(Calculator!E23,tbSkills!DH3:DI6,2,FALSE)+IF(AND(Calculator!B8=TRUE,Backdoors!BI43=TRUE),VLOOKUP(Calculator!E23,tbSkills!DH3:DJ6,3,FALSE),0),0))/100)))),1),"")</f>
        <v>1</v>
      </c>
      <c r="JY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V90)*JX90)*(VLOOKUP(A90,tbMoveset!A2:C112,3,FALSE)/100)*IF(VLOOKUP(A90,tbMoveset!A2:B112,2,FALSE)="Projectile",Backdoors!N10,Backdoors!N9),0),"")</f>
        <v/>
      </c>
      <c r="JZ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46&gt;0,VLOOKUP(Calculator!E46,tbSkills!AC3:AD5,2,FALSE),Backdoors!AL3)*(IF((Backdoors!AI12+IF(JV90&gt;=0.45,VLOOKUP(Calculator!E23,tbSkills!DH3:DI6,2,FALSE)+IF(AND(Calculator!B8=TRUE,Backdoors!BI43=TRUE),VLOOKUP(Calculator!E23,tbSkills!DH3:DJ6,3,FALSE),0),0))&gt;=100,100,(Backdoors!AI12+IF(JV90&gt;=0.45,VLOOKUP(Calculator!E23,tbSkills!DH3:DI6,2,FALSE)+IF(AND(Calculator!B8=TRUE,Backdoors!BI43=TRUE),VLOOKUP(Calculator!E23,tbSkills!DH3:DJ6,3,FALSE),0),0)))/100)),1))*IF(VLOOKUP(A90,tbMoveset!A2:K112,11,FALSE)=TRUE,Backdoors!AC5,1))*JW90,0),"")</f>
        <v/>
      </c>
      <c r="KA90" s="49">
        <f>VLOOKUP(A90,tbMoveset!A2:G112,7,FALSE)*IFERROR(IF(Backdoors!AI12&gt;=0,1+(IF(Calculator!E40&gt;0,VLOOKUP(Calculator!E40,tbSkills!AI3:AJ5,2,FALSE),Backdoors!AL4)*(IF((Backdoors!AI12+IF(JV90&gt;=0.45,VLOOKUP(Calculator!E23,tbSkills!DH3:DI6,2,FALSE)+IF(AND(Calculator!B8=TRUE,Backdoors!BI43=TRUE),VLOOKUP(Calculator!E23,tbSkills!DH3:DJ6,3,FALSE),0),0))&gt;=100,100,(Backdoors!AI12+IF(JV90&gt;=0.45,VLOOKUP(Calculator!E23,tbSkills!DH3:DI6,2,FALSE)+IF(AND(Calculator!B8=TRUE,Backdoors!BI43=TRUE),VLOOKUP(Calculator!E23,tbSkills!DH3:DJ6,3,FALSE),0),0)))/100)),1),1)</f>
        <v>0.7</v>
      </c>
      <c r="KB90" s="87">
        <f t="shared" si="91"/>
        <v>0</v>
      </c>
      <c r="KC90" s="86" t="str">
        <f>IFERROR(IF(VLOOKUP(A90,tbMoveset!A2:B112,2,FALSE)="Sever",Backdoors!AY44/100,IF(VLOOKUP(A90,tbMoveset!A2:B112,2,FALSE)="Blunt",Backdoors!AZ44/100,Backdoors!BA44/100)),"")</f>
        <v/>
      </c>
      <c r="KD90" s="49">
        <f>IFERROR(IF(VLOOKUP(tbMoveset!A90,tbMoveset!A2:H112,8,FALSE)="Other",IF(VLOOKUP(tbMoveset!A90,tbMoveset!A2:I112,9,FALSE)="Fire",Backdoors!BB44,IF(VLOOKUP(tbMoveset!A90,tbMoveset!A2:I112,9,FALSE)="Water",Backdoors!BC44,IF(VLOOKUP(tbMoveset!A90,tbMoveset!A2:I112,9,FALSE)="Thunder",Backdoors!BD44,IF(VLOOKUP(tbMoveset!A90,tbMoveset!A2:I112,9,FALSE)="Ice",Backdoors!BE44,IF(VLOOKUP(tbMoveset!A90,tbMoveset!A2:I112,9,FALSE)="Dragon",Backdoors!BF44,Backdoors!BG44)))))/100,Backdoors!BG44/100),"")</f>
        <v>0</v>
      </c>
      <c r="KE90" s="49">
        <f>IFERROR(IF(VLOOKUP(A90,tbMoveset!A2:J112,10,FALSE)=TRUE,IF((Backdoors!AI12+IF(KC90&gt;=0.45,VLOOKUP(Calculator!E23,tbSkills!DH3:DI6,2,FALSE)+IF(AND(Calculator!B8=TRUE,Backdoors!BI44=TRUE),VLOOKUP(Calculator!E23,tbSkills!DH3:DJ6,3,FALSE),0),0))&gt;=0,1+(Backdoors!AL2*(IF((Backdoors!AI12+IF(KC90&gt;=0.45,VLOOKUP(Calculator!E23,tbSkills!DH3:DI6,2,FALSE)+IF(AND(Calculator!B8=TRUE,Backdoors!BI44=TRUE),VLOOKUP(Calculator!E23,tbSkills!DH3:DJ6,3,FALSE),0),0))&gt;=100,100,(Backdoors!AI12+IF(KC90&gt;=0.45,VLOOKUP(Calculator!E23,tbSkills!DH3:DI6,2,FALSE)+IF(AND(Calculator!B8=TRUE,Backdoors!BI44=TRUE),VLOOKUP(Calculator!E23,tbSkills!DH3:DJ6,3,FALSE),0),0)))/100)),(1-(0.25*((-Backdoors!AI12-IF(KC90&gt;=0.45,VLOOKUP(Calculator!E23,tbSkills!DH3:DI6,2,FALSE)+IF(AND(Calculator!B8=TRUE,Backdoors!BI44=TRUE),VLOOKUP(Calculator!E23,tbSkills!DH3:DJ6,3,FALSE),0),0))/100)))),1),"")</f>
        <v>1</v>
      </c>
      <c r="KF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KC90)*KE90)*(VLOOKUP(A90,tbMoveset!A2:C112,3,FALSE)/100)*IF(VLOOKUP(A90,tbMoveset!A2:B112,2,FALSE)="Projectile",Backdoors!N10,Backdoors!N9),0),"")</f>
        <v/>
      </c>
      <c r="KG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REF!&gt;0,VLOOKUP(Calculator!#REF!,tbSkills!AC3:AD5,2,FALSE),Backdoors!AL3)*(IF((Backdoors!AI12+IF(KC90&gt;=0.45,VLOOKUP(Calculator!E23,tbSkills!DH3:DI6,2,FALSE)+IF(AND(Calculator!B8=TRUE,Backdoors!BI44=TRUE),VLOOKUP(Calculator!E23,tbSkills!DH3:DJ6,3,FALSE),0),0))&gt;=100,100,(Backdoors!AI12+IF(KC90&gt;=0.45,VLOOKUP(Calculator!E23,tbSkills!DH3:DI6,2,FALSE)+IF(AND(Calculator!B8=TRUE,Backdoors!BI44=TRUE),VLOOKUP(Calculator!E23,tbSkills!DH3:DJ6,3,FALSE),0),0)))/100)),1))*IF(VLOOKUP(A90,tbMoveset!A2:K112,11,FALSE)=TRUE,Backdoors!AC5,1))*KD90,0),"")</f>
        <v/>
      </c>
      <c r="KH90" s="49">
        <f>VLOOKUP(A90,tbMoveset!A2:G112,7,FALSE)*IFERROR(IF(Backdoors!AI12&gt;=0,1+(IF(Calculator!E40&gt;0,VLOOKUP(Calculator!E40,tbSkills!AI3:AJ5,2,FALSE),Backdoors!AL4)*(IF((Backdoors!AI12+IF(KC90&gt;=0.45,VLOOKUP(Calculator!E23,tbSkills!DH3:DI6,2,FALSE)+IF(AND(Calculator!B8=TRUE,Backdoors!BI44=TRUE),VLOOKUP(Calculator!E23,tbSkills!DH3:DJ6,3,FALSE),0),0))&gt;=100,100,(Backdoors!AI12+IF(KC90&gt;=0.45,VLOOKUP(Calculator!E23,tbSkills!DH3:DI6,2,FALSE)+IF(AND(Calculator!B8=TRUE,Backdoors!BI44=TRUE),VLOOKUP(Calculator!E23,tbSkills!DH3:DJ6,3,FALSE),0),0)))/100)),1),1)</f>
        <v>0.7</v>
      </c>
      <c r="KI90" s="87">
        <f t="shared" si="92"/>
        <v>0</v>
      </c>
      <c r="KJ90" s="86" t="str">
        <f>IFERROR(IF(VLOOKUP(A90,tbMoveset!A2:B112,2,FALSE)="Sever",Backdoors!AY45/100,IF(VLOOKUP(A90,tbMoveset!A2:B112,2,FALSE)="Blunt",Backdoors!AZ45/100,Backdoors!BA45/100)),"")</f>
        <v/>
      </c>
      <c r="KK90" s="49">
        <f>IFERROR(IF(VLOOKUP(tbMoveset!A90,tbMoveset!A2:H112,8,FALSE)="Other",IF(VLOOKUP(tbMoveset!A90,tbMoveset!A2:I112,9,FALSE)="Fire",Backdoors!BB45,IF(VLOOKUP(tbMoveset!A90,tbMoveset!A2:I112,9,FALSE)="Water",Backdoors!BC45,IF(VLOOKUP(tbMoveset!A90,tbMoveset!A2:I112,9,FALSE)="Thunder",Backdoors!BD45,IF(VLOOKUP(tbMoveset!A90,tbMoveset!A2:I112,9,FALSE)="Ice",Backdoors!BE45,IF(VLOOKUP(tbMoveset!A90,tbMoveset!A2:I112,9,FALSE)="Dragon",Backdoors!BF45,Backdoors!BG45)))))/100,Backdoors!BG45/100),"")</f>
        <v>0</v>
      </c>
      <c r="KL90" s="49">
        <f>IFERROR(IF(VLOOKUP(A90,tbMoveset!A2:J112,10,FALSE)=TRUE,IF((Backdoors!AI12+IF(KJ90&gt;=0.45,VLOOKUP(Calculator!E23,tbSkills!DH3:DI6,2,FALSE)+IF(AND(Calculator!B8=TRUE,Backdoors!BI45=TRUE),VLOOKUP(Calculator!E23,tbSkills!DH3:DJ6,3,FALSE),0),0))&gt;=0,1+(Backdoors!AL2*(IF((Backdoors!AI12+IF(KJ90&gt;=0.45,VLOOKUP(Calculator!E23,tbSkills!DH3:DI6,2,FALSE)+IF(AND(Calculator!B8=TRUE,Backdoors!BI45=TRUE),VLOOKUP(Calculator!E23,tbSkills!DH3:DJ6,3,FALSE),0),0))&gt;=100,100,(Backdoors!AI12+IF(KJ90&gt;=0.45,VLOOKUP(Calculator!E23,tbSkills!DH3:DI6,2,FALSE)+IF(AND(Calculator!B8=TRUE,Backdoors!BI45=TRUE),VLOOKUP(Calculator!E23,tbSkills!DH3:DJ6,3,FALSE),0),0)))/100)),(1-(0.25*((-Backdoors!AI12-IF(KJ90&gt;=0.45,VLOOKUP(Calculator!E23,tbSkills!DH3:DI6,2,FALSE)+IF(AND(Calculator!B8=TRUE,Backdoors!BI45=TRUE),VLOOKUP(Calculator!E23,tbSkills!DH3:DJ6,3,FALSE),0),0))/100)))),1),"")</f>
        <v>1</v>
      </c>
      <c r="KM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KJ90)*KL90)*(VLOOKUP(A90,tbMoveset!A2:C112,3,FALSE)/100)*IF(VLOOKUP(A90,tbMoveset!A2:B112,2,FALSE)="Projectile",Backdoors!N10,Backdoors!N9),0),"")</f>
        <v/>
      </c>
      <c r="KN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REF!&gt;0,VLOOKUP(Calculator!#REF!,tbSkills!AC3:AD5,2,FALSE),Backdoors!AL3)*(IF((Backdoors!AI12+IF(KJ90&gt;=0.45,VLOOKUP(Calculator!E23,tbSkills!DH3:DI6,2,FALSE)+IF(AND(Calculator!B8=TRUE,Backdoors!BI45=TRUE),VLOOKUP(Calculator!E23,tbSkills!DH3:DJ6,3,FALSE),0),0))&gt;=100,100,(Backdoors!AI12+IF(KJ90&gt;=0.45,VLOOKUP(Calculator!E23,tbSkills!DH3:DI6,2,FALSE)+IF(AND(Calculator!B8=TRUE,Backdoors!BI45=TRUE),VLOOKUP(Calculator!E23,tbSkills!DH3:DJ6,3,FALSE),0),0)))/100)),1))*IF(VLOOKUP(A90,tbMoveset!A2:K112,11,FALSE)=TRUE,Backdoors!AC5,1))*KK90,0),"")</f>
        <v/>
      </c>
      <c r="KO90" s="49">
        <f>VLOOKUP(A90,tbMoveset!A2:G112,7,FALSE)*IFERROR(IF(Backdoors!AI12&gt;=0,1+(IF(Calculator!E40&gt;0,VLOOKUP(Calculator!E40,tbSkills!AI3:AJ5,2,FALSE),Backdoors!AL4)*(IF((Backdoors!AI12+IF(KJ90&gt;=0.45,VLOOKUP(Calculator!E23,tbSkills!DH3:DI6,2,FALSE)+IF(AND(Calculator!B8=TRUE,Backdoors!BI45=TRUE),VLOOKUP(Calculator!E23,tbSkills!DH3:DJ6,3,FALSE),0),0))&gt;=100,100,(Backdoors!AI12+IF(KJ90&gt;=0.45,VLOOKUP(Calculator!E23,tbSkills!DH3:DI6,2,FALSE)+IF(AND(Calculator!B8=TRUE,Backdoors!BI45=TRUE),VLOOKUP(Calculator!E23,tbSkills!DH3:DJ6,3,FALSE),0),0)))/100)),1),1)</f>
        <v>0.7</v>
      </c>
      <c r="KP90" s="87">
        <f t="shared" si="93"/>
        <v>0</v>
      </c>
      <c r="KQ90" s="86" t="str">
        <f>IFERROR(IF(VLOOKUP(A90,tbMoveset!A2:B112,2,FALSE)="Sever",Backdoors!AY46/100,IF(VLOOKUP(A90,tbMoveset!A2:B112,2,FALSE)="Blunt",Backdoors!AZ46/100,Backdoors!BA46/100)),"")</f>
        <v/>
      </c>
      <c r="KR90" s="49">
        <f>IFERROR(IF(VLOOKUP(tbMoveset!A90,tbMoveset!A2:H112,8,FALSE)="Other",IF(VLOOKUP(tbMoveset!A90,tbMoveset!A2:I112,9,FALSE)="Fire",Backdoors!BB46,IF(VLOOKUP(tbMoveset!A90,tbMoveset!A2:I112,9,FALSE)="Water",Backdoors!BC46,IF(VLOOKUP(tbMoveset!A90,tbMoveset!A2:I112,9,FALSE)="Thunder",Backdoors!BD46,IF(VLOOKUP(tbMoveset!A90,tbMoveset!A2:I112,9,FALSE)="Ice",Backdoors!BE46,IF(VLOOKUP(tbMoveset!A90,tbMoveset!A2:I112,9,FALSE)="Dragon",Backdoors!BF46,Backdoors!BG46)))))/100,Backdoors!BG46/100),"")</f>
        <v>0</v>
      </c>
      <c r="KS90" s="49">
        <f>IFERROR(IF(VLOOKUP(A90,tbMoveset!A2:J112,10,FALSE)=TRUE,IF((Backdoors!AI12+IF(KQ90&gt;=0.45,VLOOKUP(Calculator!E23,tbSkills!DH3:DI6,2,FALSE)+IF(AND(Calculator!B8=TRUE,Backdoors!BI46=TRUE),VLOOKUP(Calculator!E23,tbSkills!DH3:DJ6,3,FALSE),0),0))&gt;=0,1+(Backdoors!AL2*(IF((Backdoors!AI12+IF(KQ90&gt;=0.45,VLOOKUP(Calculator!E23,tbSkills!DH3:DI6,2,FALSE)+IF(AND(Calculator!B8=TRUE,Backdoors!BI46=TRUE),VLOOKUP(Calculator!E23,tbSkills!DH3:DJ6,3,FALSE),0),0))&gt;=100,100,(Backdoors!AI12+IF(KQ90&gt;=0.45,VLOOKUP(Calculator!E23,tbSkills!DH3:DI6,2,FALSE)+IF(AND(Calculator!B8=TRUE,Backdoors!BI46=TRUE),VLOOKUP(Calculator!E23,tbSkills!DH3:DJ6,3,FALSE),0),0)))/100)),(1-(0.25*((-Backdoors!AI12-IF(KQ90&gt;=0.45,VLOOKUP(Calculator!E23,tbSkills!DH3:DI6,2,FALSE)+IF(AND(Calculator!B8=TRUE,Backdoors!BI46=TRUE),VLOOKUP(Calculator!E23,tbSkills!DH3:DJ6,3,FALSE),0),0))/100)))),1),"")</f>
        <v>1</v>
      </c>
      <c r="KT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KQ90)*KS90)*(VLOOKUP(A90,tbMoveset!A2:C112,3,FALSE)/100)*IF(VLOOKUP(A90,tbMoveset!A2:B112,2,FALSE)="Projectile",Backdoors!N10,Backdoors!N9),0),"")</f>
        <v/>
      </c>
      <c r="KU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REF!&gt;0,VLOOKUP(Calculator!#REF!,tbSkills!AC3:AD5,2,FALSE),Backdoors!AL3)*(IF((Backdoors!AI12+IF(KQ90&gt;=0.45,VLOOKUP(Calculator!E23,tbSkills!DH3:DI6,2,FALSE)+IF(AND(Calculator!B8=TRUE,Backdoors!BI46=TRUE),VLOOKUP(Calculator!E23,tbSkills!DH3:DJ6,3,FALSE),0),0))&gt;=100,100,(Backdoors!AI12+IF(KQ90&gt;=0.45,VLOOKUP(Calculator!E23,tbSkills!DH3:DI6,2,FALSE)+IF(AND(Calculator!B8=TRUE,Backdoors!BI46=TRUE),VLOOKUP(Calculator!E23,tbSkills!DH3:DJ6,3,FALSE),0),0)))/100)),1))*IF(VLOOKUP(A90,tbMoveset!A2:K112,11,FALSE)=TRUE,Backdoors!AC5,1))*KR90,0),"")</f>
        <v/>
      </c>
      <c r="KV90" s="49">
        <f>VLOOKUP(A90,tbMoveset!A2:G112,7,FALSE)*IFERROR(IF(Backdoors!AI12&gt;=0,1+(IF(Calculator!E40&gt;0,VLOOKUP(Calculator!E40,tbSkills!AI3:AJ5,2,FALSE),Backdoors!AL4)*(IF((Backdoors!AI12+IF(KQ90&gt;=0.45,VLOOKUP(Calculator!E23,tbSkills!DH3:DI6,2,FALSE)+IF(AND(Calculator!B8=TRUE,Backdoors!BI46=TRUE),VLOOKUP(Calculator!E23,tbSkills!DH3:DJ6,3,FALSE),0),0))&gt;=100,100,(Backdoors!AI12+IF(KQ90&gt;=0.45,VLOOKUP(Calculator!E23,tbSkills!DH3:DI6,2,FALSE)+IF(AND(Calculator!B8=TRUE,Backdoors!BI46=TRUE),VLOOKUP(Calculator!E23,tbSkills!DH3:DJ6,3,FALSE),0),0)))/100)),1),1)</f>
        <v>0.7</v>
      </c>
      <c r="KW90" s="87">
        <f t="shared" si="94"/>
        <v>0</v>
      </c>
    </row>
    <row r="91" spans="1:309" x14ac:dyDescent="0.25">
      <c r="A91" s="95" t="str">
        <f>tbMoveset!A91</f>
        <v>Spinning Blade Dance Finisher (L2)</v>
      </c>
      <c r="B91" s="86">
        <f>IFERROR(IF(VLOOKUP(A91,tbMoveset!A2:B112,2,FALSE)="Sever",Backdoors!AY3/100,IF(VLOOKUP(A91,tbMoveset!A2:B112,2,FALSE)="Blunt",Backdoors!AZ3/100,Backdoors!BA3/100)),"")</f>
        <v>0.8</v>
      </c>
      <c r="C91" s="49">
        <f>IFERROR(IF(VLOOKUP(tbMoveset!A91,tbMoveset!A2:H112,8,FALSE)="Other",IF(VLOOKUP(tbMoveset!A91,tbMoveset!A2:I112,9,FALSE)="Fire",Backdoors!BB3,IF(VLOOKUP(tbMoveset!A91,tbMoveset!A2:I112,9,FALSE)="Water",Backdoors!BC3,IF(VLOOKUP(tbMoveset!A91,tbMoveset!A2:I112,9,FALSE)="Thunder",Backdoors!BD3,IF(VLOOKUP(tbMoveset!A91,tbMoveset!A2:I112,9,FALSE)="Ice",Backdoors!BE3,IF(VLOOKUP(tbMoveset!A91,tbMoveset!A2:I112,9,FALSE)="Dragon",Backdoors!BF3,Backdoors!BG3)))))/100,Backdoors!BG3/100),"")</f>
        <v>0</v>
      </c>
      <c r="D91" s="49">
        <f>IFERROR(IF(VLOOKUP(A91,tbMoveset!A2:J112,10,FALSE)=TRUE,IF((Backdoors!AI12+IF(B91&gt;=0.45,VLOOKUP(Calculator!E23,tbSkills!DH3:DI6,2,FALSE)+IF(AND(Calculator!B8=TRUE,Backdoors!BI3=TRUE),VLOOKUP(Calculator!E23,tbSkills!DH3:DJ6,3,FALSE),0),0))&gt;=0,1+(Backdoors!AL2*(IF((Backdoors!AI12+IF(B91&gt;=0.45,VLOOKUP(Calculator!E23,tbSkills!DH3:DI6,2,FALSE)+IF(AND(Calculator!B8=TRUE,Backdoors!BI3=TRUE),VLOOKUP(Calculator!E23,tbSkills!DH3:DJ6,3,FALSE),0),0))&gt;=100,100,(Backdoors!AI12+IF(B91&gt;=0.45,VLOOKUP(Calculator!E23,tbSkills!DH3:DI6,2,FALSE)+IF(AND(Calculator!B8=TRUE,Backdoors!BI3=TRUE),VLOOKUP(Calculator!E23,tbSkills!DH3:DJ6,3,FALSE),0),0)))/100)),(1-(0.25*((-Backdoors!AI12-IF(B91&gt;=0.45,VLOOKUP(Calculator!E23,tbSkills!DH3:DI6,2,FALSE)+IF(AND(Calculator!B8=TRUE,Backdoors!BI3=TRUE),VLOOKUP(Calculator!E23,tbSkills!DH3:DJ6,3,FALSE),0),0))/100)))),1),"")</f>
        <v>1</v>
      </c>
      <c r="E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91)*D91)*(VLOOKUP(A91,tbMoveset!A2:C112,3,FALSE)/100)*IF(VLOOKUP(A91,tbMoveset!A2:B112,2,FALSE)="Projectile",Backdoors!N10,Backdoors!N9),0),"")</f>
        <v>8</v>
      </c>
      <c r="F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91&gt;=0.45,VLOOKUP(Calculator!E23,tbSkills!DH3:DI6,2,FALSE)+IF(AND(Calculator!B8=TRUE,Backdoors!BI3=TRUE),VLOOKUP(Calculator!E23,tbSkills!DH3:DJ6,3,FALSE),0),0))&gt;=100,100,(Backdoors!AI12+IF(B91&gt;=0.45,VLOOKUP(Calculator!E23,tbSkills!DH3:DI6,2,FALSE)+IF(AND(Calculator!B8=TRUE,Backdoors!BI3=TRUE),VLOOKUP(Calculator!E23,tbSkills!DH3:DJ6,3,FALSE),0),0)))/100)),1))*IF(VLOOKUP(A91,tbMoveset!A2:K112,11,FALSE)=TRUE,Backdoors!AC5,1))*C91,0),"")</f>
        <v>0</v>
      </c>
      <c r="G91">
        <f>VLOOKUP(A91,tbMoveset!A2:G112,7,FALSE)*IFERROR(IF(Backdoors!AI12&gt;=0,1+(IF(Calculator!E40&gt;0,VLOOKUP(Calculator!E40,tbSkills!AI3:AJ5,2,FALSE),Backdoors!AL4)*(IF((Backdoors!AI12+IF(B91&gt;=0.45,VLOOKUP(Calculator!E23,tbSkills!DH3:DI6,2,FALSE)+IF(AND(Calculator!B8=TRUE,Backdoors!BI3=TRUE),VLOOKUP(Calculator!E23,tbSkills!DH3:DJ6,3,FALSE),0),0))&gt;=100,100,(Backdoors!AI12+IF(B91&gt;=0.45,VLOOKUP(Calculator!E23,tbSkills!DH3:DI6,2,FALSE)+IF(AND(Calculator!B8=TRUE,Backdoors!BI3=TRUE),VLOOKUP(Calculator!E23,tbSkills!DH3:DJ6,3,FALSE),0),0)))/100)),1),1)</f>
        <v>0.7</v>
      </c>
      <c r="H91" s="87">
        <f t="shared" si="51"/>
        <v>8</v>
      </c>
      <c r="I91" s="86">
        <f>IFERROR(IF(VLOOKUP(A91,tbMoveset!A2:B112,2,FALSE)="Sever",Backdoors!AY4/100,IF(VLOOKUP(A91,tbMoveset!A2:B112,2,FALSE)="Blunt",Backdoors!AZ4/100,Backdoors!BA4/100)),"")</f>
        <v>0.65</v>
      </c>
      <c r="J91" s="49">
        <f>IFERROR(IF(VLOOKUP(tbMoveset!A91,tbMoveset!A2:H112,8,FALSE)="Other",IF(VLOOKUP(tbMoveset!A91,tbMoveset!A2:I112,9,FALSE)="Fire",Backdoors!BB4,IF(VLOOKUP(tbMoveset!A91,tbMoveset!A2:I112,9,FALSE)="Water",Backdoors!BC4,IF(VLOOKUP(tbMoveset!A91,tbMoveset!A2:I112,9,FALSE)="Thunder",Backdoors!BD4,IF(VLOOKUP(tbMoveset!A91,tbMoveset!A2:I112,9,FALSE)="Ice",Backdoors!BE4,IF(VLOOKUP(tbMoveset!A91,tbMoveset!A2:I112,9,FALSE)="Dragon",Backdoors!BF4,Backdoors!BG4)))))/100,Backdoors!BG4/100),"")</f>
        <v>0</v>
      </c>
      <c r="K91" s="49">
        <f>IFERROR(IF(VLOOKUP(A91,tbMoveset!A2:J112,10,FALSE)=TRUE,IF((Backdoors!AI12+IF(I91&gt;=0.45,VLOOKUP(Calculator!E23,tbSkills!DH3:DI6,2,FALSE)+IF(AND(Calculator!B8=TRUE,Backdoors!BI4=TRUE),VLOOKUP(Calculator!E23,tbSkills!DH3:DJ6,3,FALSE),0),0))&gt;=0,1+(Backdoors!AL2*(IF((Backdoors!AI12+IF(I91&gt;=0.45,VLOOKUP(Calculator!E23,tbSkills!DH3:DI6,2,FALSE)+IF(AND(Calculator!B8=TRUE,Backdoors!BI4=TRUE),VLOOKUP(Calculator!E23,tbSkills!DH3:DJ6,3,FALSE),0),0))&gt;=100,100,(Backdoors!AI12+IF(I91&gt;=0.45,VLOOKUP(Calculator!E23,tbSkills!DH3:DI6,2,FALSE)+IF(AND(Calculator!B8=TRUE,Backdoors!BI4=TRUE),VLOOKUP(Calculator!E23,tbSkills!DH3:DJ6,3,FALSE),0),0)))/100)),(1-(0.25*((-Backdoors!AI12-IF(I91&gt;=0.45,VLOOKUP(Calculator!E23,tbSkills!DH3:DI6,2,FALSE)+IF(AND(Calculator!B8=TRUE,Backdoors!BI4=TRUE),VLOOKUP(Calculator!E23,tbSkills!DH3:DJ6,3,FALSE),0),0))/100)))),1),"")</f>
        <v>1</v>
      </c>
      <c r="L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91)*K91)*(VLOOKUP(A91,tbMoveset!A2:C112,3,FALSE)/100)*IF(VLOOKUP(A91,tbMoveset!A2:B112,2,FALSE)="Projectile",Backdoors!N10,Backdoors!N9),0),"")</f>
        <v>7</v>
      </c>
      <c r="M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I91&gt;=0.45,VLOOKUP(Calculator!E23,tbSkills!DH3:DI6,2,FALSE)+IF(AND(Calculator!B8=TRUE,Backdoors!BI4=TRUE),VLOOKUP(Calculator!E23,tbSkills!DH3:DJ6,3,FALSE),0),0))&gt;=100,100,(Backdoors!AI12+IF(I91&gt;=0.45,VLOOKUP(Calculator!E23,tbSkills!DH3:DI6,2,FALSE)+IF(AND(Calculator!B8=TRUE,Backdoors!BI4=TRUE),VLOOKUP(Calculator!E23,tbSkills!DH3:DJ6,3,FALSE),0),0)))/100)),1))*IF(VLOOKUP(A91,tbMoveset!A2:K112,11,FALSE)=TRUE,Backdoors!AC5,1))*J91,0),"")</f>
        <v>0</v>
      </c>
      <c r="N91" s="49">
        <f>VLOOKUP(A91,tbMoveset!A2:G112,7,FALSE)*IFERROR(IF(Backdoors!AI12&gt;=0,1+(IF(Calculator!E40&gt;0,VLOOKUP(Calculator!E40,tbSkills!AI3:AJ5,2,FALSE),Backdoors!AL4)*(IF((Backdoors!AI12+IF(I91&gt;=0.45,VLOOKUP(Calculator!E23,tbSkills!DH3:DI6,2,FALSE)+IF(AND(Calculator!B8=TRUE,Backdoors!BI4=TRUE),VLOOKUP(Calculator!E23,tbSkills!DH3:DJ6,3,FALSE),0),0))&gt;=100,100,(Backdoors!AI12+IF(I91&gt;=0.45,VLOOKUP(Calculator!E23,tbSkills!DH3:DI6,2,FALSE)+IF(AND(Calculator!B8=TRUE,Backdoors!BI4=TRUE),VLOOKUP(Calculator!E23,tbSkills!DH3:DJ6,3,FALSE),0),0)))/100)),1),1)</f>
        <v>0.7</v>
      </c>
      <c r="O91" s="87">
        <f t="shared" si="52"/>
        <v>7</v>
      </c>
      <c r="P91" s="86">
        <f>IFERROR(IF(VLOOKUP(A91,tbMoveset!A2:B112,2,FALSE)="Sever",Backdoors!AY5/100,IF(VLOOKUP(A91,tbMoveset!A2:B112,2,FALSE)="Blunt",Backdoors!AZ5/100,Backdoors!BA5/100)),"")</f>
        <v>0.5</v>
      </c>
      <c r="Q91" s="49">
        <f>IFERROR(IF(VLOOKUP(tbMoveset!A91,tbMoveset!A2:H112,8,FALSE)="Other",IF(VLOOKUP(tbMoveset!A91,tbMoveset!A2:I112,9,FALSE)="Fire",Backdoors!BB5,IF(VLOOKUP(tbMoveset!A91,tbMoveset!A2:I112,9,FALSE)="Water",Backdoors!BC5,IF(VLOOKUP(tbMoveset!A91,tbMoveset!A2:I112,9,FALSE)="Thunder",Backdoors!BD5,IF(VLOOKUP(tbMoveset!A91,tbMoveset!A2:I112,9,FALSE)="Ice",Backdoors!BE5,IF(VLOOKUP(tbMoveset!A91,tbMoveset!A2:I112,9,FALSE)="Dragon",Backdoors!BF5,Backdoors!BG5)))))/100,Backdoors!BG5/100),"")</f>
        <v>0</v>
      </c>
      <c r="R91" s="49">
        <f>IFERROR(IF(VLOOKUP(A91,tbMoveset!A2:J112,10,FALSE)=TRUE,IF((Backdoors!AI12+IF(P91&gt;=0.45,VLOOKUP(Calculator!E23,tbSkills!DH3:DI6,2,FALSE)+IF(AND(Calculator!B8=TRUE,Backdoors!BI5=TRUE),VLOOKUP(Calculator!E23,tbSkills!DH3:DJ6,3,FALSE),0),0))&gt;=0,1+(Backdoors!AL2*(IF((Backdoors!AI12+IF(P91&gt;=0.45,VLOOKUP(Calculator!E23,tbSkills!DH3:DI6,2,FALSE)+IF(AND(Calculator!B8=TRUE,Backdoors!BI5=TRUE),VLOOKUP(Calculator!E23,tbSkills!DH3:DJ6,3,FALSE),0),0))&gt;=100,100,(Backdoors!AI12+IF(P91&gt;=0.45,VLOOKUP(Calculator!E23,tbSkills!DH3:DI6,2,FALSE)+IF(AND(Calculator!B8=TRUE,Backdoors!BI5=TRUE),VLOOKUP(Calculator!E23,tbSkills!DH3:DJ6,3,FALSE),0),0)))/100)),(1-(0.25*((-Backdoors!AI12-IF(P91&gt;=0.45,VLOOKUP(Calculator!E23,tbSkills!DH3:DI6,2,FALSE)+IF(AND(Calculator!B8=TRUE,Backdoors!BI5=TRUE),VLOOKUP(Calculator!E23,tbSkills!DH3:DJ6,3,FALSE),0),0))/100)))),1),"")</f>
        <v>1</v>
      </c>
      <c r="S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P91)*R91)*(VLOOKUP(A91,tbMoveset!A2:C112,3,FALSE)/100)*IF(VLOOKUP(A91,tbMoveset!A2:B112,2,FALSE)="Projectile",Backdoors!N10,Backdoors!N9),0),"")</f>
        <v>5</v>
      </c>
      <c r="T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P91&gt;=0.45,VLOOKUP(Calculator!E23,tbSkills!DH3:DI6,2,FALSE)+IF(AND(Calculator!B8=TRUE,Backdoors!BI5=TRUE),VLOOKUP(Calculator!E23,tbSkills!DH3:DJ6,3,FALSE),0),0))&gt;=100,100,(Backdoors!AI12+IF(P91&gt;=0.45,VLOOKUP(Calculator!E23,tbSkills!DH3:DI6,2,FALSE)+IF(AND(Calculator!B8=TRUE,Backdoors!BI5=TRUE),VLOOKUP(Calculator!E23,tbSkills!DH3:DJ6,3,FALSE),0),0)))/100)),1))*IF(VLOOKUP(A91,tbMoveset!A2:K112,11,FALSE)=TRUE,Backdoors!AC5,1))*Q91,0),"")</f>
        <v>0</v>
      </c>
      <c r="U91" s="49">
        <f>VLOOKUP(A91,tbMoveset!A2:G112,7,FALSE)*IFERROR(IF(Backdoors!AI12&gt;=0,1+(IF(Calculator!E40&gt;0,VLOOKUP(Calculator!E40,tbSkills!AI3:AJ5,2,FALSE),Backdoors!AL4)*(IF((Backdoors!AI12+IF(P91&gt;=0.45,VLOOKUP(Calculator!E23,tbSkills!DH3:DI6,2,FALSE)+IF(AND(Calculator!B8=TRUE,Backdoors!BI5=TRUE),VLOOKUP(Calculator!E23,tbSkills!DH3:DJ6,3,FALSE),0),0))&gt;=100,100,(Backdoors!AI12+IF(P91&gt;=0.45,VLOOKUP(Calculator!E23,tbSkills!DH3:DI6,2,FALSE)+IF(AND(Calculator!B8=TRUE,Backdoors!BI5=TRUE),VLOOKUP(Calculator!E23,tbSkills!DH3:DJ6,3,FALSE),0),0)))/100)),1),1)</f>
        <v>0.7</v>
      </c>
      <c r="V91" s="87">
        <f t="shared" si="53"/>
        <v>5</v>
      </c>
      <c r="W91" s="86">
        <f>IFERROR(IF(VLOOKUP(A91,tbMoveset!A2:B112,2,FALSE)="Sever",Backdoors!AY6/100,IF(VLOOKUP(A91,tbMoveset!A2:B112,2,FALSE)="Blunt",Backdoors!AZ6/100,Backdoors!BA6/100)),"")</f>
        <v>0.45</v>
      </c>
      <c r="X91" s="49">
        <f>IFERROR(IF(VLOOKUP(tbMoveset!A91,tbMoveset!A2:H112,8,FALSE)="Other",IF(VLOOKUP(tbMoveset!A91,tbMoveset!A2:I112,9,FALSE)="Fire",Backdoors!BB6,IF(VLOOKUP(tbMoveset!A91,tbMoveset!A2:I112,9,FALSE)="Water",Backdoors!BC6,IF(VLOOKUP(tbMoveset!A91,tbMoveset!A2:I112,9,FALSE)="Thunder",Backdoors!BD6,IF(VLOOKUP(tbMoveset!A91,tbMoveset!A2:I112,9,FALSE)="Ice",Backdoors!BE6,IF(VLOOKUP(tbMoveset!A91,tbMoveset!A2:I112,9,FALSE)="Dragon",Backdoors!BF6,Backdoors!BG6)))))/100,Backdoors!BG6/100),"")</f>
        <v>0</v>
      </c>
      <c r="Y91" s="49">
        <f>IFERROR(IF(VLOOKUP(A91,tbMoveset!A2:J112,10,FALSE)=TRUE,IF((Backdoors!AI12+IF(W91&gt;=0.45,VLOOKUP(Calculator!E23,tbSkills!DH3:DI6,2,FALSE)+IF(AND(Calculator!B8=TRUE,Backdoors!BI6=TRUE),VLOOKUP(Calculator!E23,tbSkills!DH3:DJ6,3,FALSE),0),0))&gt;=0,1+(Backdoors!AL2*(IF((Backdoors!AI12+IF(W91&gt;=0.45,VLOOKUP(Calculator!E23,tbSkills!DH3:DI6,2,FALSE)+IF(AND(Calculator!B8=TRUE,Backdoors!BI6=TRUE),VLOOKUP(Calculator!E23,tbSkills!DH3:DJ6,3,FALSE),0),0))&gt;=100,100,(Backdoors!AI12+IF(W91&gt;=0.45,VLOOKUP(Calculator!E23,tbSkills!DH3:DI6,2,FALSE)+IF(AND(Calculator!B8=TRUE,Backdoors!BI6=TRUE),VLOOKUP(Calculator!E23,tbSkills!DH3:DJ6,3,FALSE),0),0)))/100)),(1-(0.25*((-Backdoors!AI12-IF(W91&gt;=0.45,VLOOKUP(Calculator!E23,tbSkills!DH3:DI6,2,FALSE)+IF(AND(Calculator!B8=TRUE,Backdoors!BI6=TRUE),VLOOKUP(Calculator!E23,tbSkills!DH3:DJ6,3,FALSE),0),0))/100)))),1),"")</f>
        <v>1</v>
      </c>
      <c r="Z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W91)*Y91)*(VLOOKUP(A91,tbMoveset!A2:C112,3,FALSE)/100)*IF(VLOOKUP(A91,tbMoveset!A2:B112,2,FALSE)="Projectile",Backdoors!N10,Backdoors!N9),0),"")</f>
        <v>5</v>
      </c>
      <c r="AA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W91&gt;=0.45,VLOOKUP(Calculator!E23,tbSkills!DH3:DI6,2,FALSE)+IF(AND(Calculator!B8=TRUE,Backdoors!BI6=TRUE),VLOOKUP(Calculator!E23,tbSkills!DH3:DJ6,3,FALSE),0),0))&gt;=100,100,(Backdoors!AI12+IF(W91&gt;=0.45,VLOOKUP(Calculator!E23,tbSkills!DH3:DI6,2,FALSE)+IF(AND(Calculator!B8=TRUE,Backdoors!BI6=TRUE),VLOOKUP(Calculator!E23,tbSkills!DH3:DJ6,3,FALSE),0),0)))/100)),1))*IF(VLOOKUP(A91,tbMoveset!A2:K112,11,FALSE)=TRUE,Backdoors!AC5,1))*X91,0),"")</f>
        <v>0</v>
      </c>
      <c r="AB91" s="49">
        <f>VLOOKUP(A91,tbMoveset!A2:G112,7,FALSE)*IFERROR(IF(Backdoors!AI12&gt;=0,1+(IF(Calculator!E40&gt;0,VLOOKUP(Calculator!E40,tbSkills!AI3:AJ5,2,FALSE),Backdoors!AL4)*(IF((Backdoors!AI12+IF(W91&gt;=0.45,VLOOKUP(Calculator!E23,tbSkills!DH3:DI6,2,FALSE)+IF(AND(Calculator!B8=TRUE,Backdoors!BI6=TRUE),VLOOKUP(Calculator!E23,tbSkills!DH3:DJ6,3,FALSE),0),0))&gt;=100,100,(Backdoors!AI12+IF(W91&gt;=0.45,VLOOKUP(Calculator!E23,tbSkills!DH3:DI6,2,FALSE)+IF(AND(Calculator!B8=TRUE,Backdoors!BI6=TRUE),VLOOKUP(Calculator!E23,tbSkills!DH3:DJ6,3,FALSE),0),0)))/100)),1),1)</f>
        <v>0.7</v>
      </c>
      <c r="AC91" s="87">
        <f t="shared" si="54"/>
        <v>5</v>
      </c>
      <c r="AD91" s="86">
        <f>IFERROR(IF(VLOOKUP(A91,tbMoveset!A2:B112,2,FALSE)="Sever",Backdoors!AY7/100,IF(VLOOKUP(A91,tbMoveset!A2:B112,2,FALSE)="Blunt",Backdoors!AZ7/100,Backdoors!BA7/100)),"")</f>
        <v>0.65</v>
      </c>
      <c r="AE91" s="49">
        <f>IFERROR(IF(VLOOKUP(tbMoveset!A91,tbMoveset!A2:H112,8,FALSE)="Other",IF(VLOOKUP(tbMoveset!A91,tbMoveset!A2:I112,9,FALSE)="Fire",Backdoors!BB7,IF(VLOOKUP(tbMoveset!A91,tbMoveset!A2:I112,9,FALSE)="Water",Backdoors!BC7,IF(VLOOKUP(tbMoveset!A91,tbMoveset!A2:I112,9,FALSE)="Thunder",Backdoors!BD7,IF(VLOOKUP(tbMoveset!A91,tbMoveset!A2:I112,9,FALSE)="Ice",Backdoors!BE7,IF(VLOOKUP(tbMoveset!A91,tbMoveset!A2:I112,9,FALSE)="Dragon",Backdoors!BF7,Backdoors!BG7)))))/100,Backdoors!BG7/100),"")</f>
        <v>0</v>
      </c>
      <c r="AF91" s="49">
        <f>IFERROR(IF(VLOOKUP(A91,tbMoveset!A2:J112,10,FALSE)=TRUE,IF((Backdoors!AI12+IF(AD91&gt;=0.45,VLOOKUP(Calculator!E23,tbSkills!DH3:DI6,2,FALSE)+IF(AND(Calculator!B8=TRUE,Backdoors!BI7=TRUE),VLOOKUP(Calculator!E23,tbSkills!DH3:DJ6,3,FALSE),0),0))&gt;=0,1+(Backdoors!AL2*(IF((Backdoors!AI12+IF(AD91&gt;=0.45,VLOOKUP(Calculator!E23,tbSkills!DH3:DI6,2,FALSE)+IF(AND(Calculator!B8=TRUE,Backdoors!BI7=TRUE),VLOOKUP(Calculator!E23,tbSkills!DH3:DJ6,3,FALSE),0),0))&gt;=100,100,(Backdoors!AI12+IF(AD91&gt;=0.45,VLOOKUP(Calculator!E23,tbSkills!DH3:DI6,2,FALSE)+IF(AND(Calculator!B8=TRUE,Backdoors!BI7=TRUE),VLOOKUP(Calculator!E23,tbSkills!DH3:DJ6,3,FALSE),0),0)))/100)),(1-(0.25*((-Backdoors!AI12-IF(AD91&gt;=0.45,VLOOKUP(Calculator!E23,tbSkills!DH3:DI6,2,FALSE)+IF(AND(Calculator!B8=TRUE,Backdoors!BI7=TRUE),VLOOKUP(Calculator!E23,tbSkills!DH3:DJ6,3,FALSE),0),0))/100)))),1),"")</f>
        <v>1</v>
      </c>
      <c r="AG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D91)*AF91)*(VLOOKUP(A91,tbMoveset!A2:C112,3,FALSE)/100)*IF(VLOOKUP(A91,tbMoveset!A2:B112,2,FALSE)="Projectile",Backdoors!N10,Backdoors!N9),0),"")</f>
        <v>7</v>
      </c>
      <c r="AH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D91&gt;=0.45,VLOOKUP(Calculator!E23,tbSkills!DH3:DI6,2,FALSE)+IF(AND(Calculator!B8=TRUE,Backdoors!BI7=TRUE),VLOOKUP(Calculator!E23,tbSkills!DH3:DJ6,3,FALSE),0),0))&gt;=100,100,(Backdoors!AI12+IF(AD91&gt;=0.45,VLOOKUP(Calculator!E23,tbSkills!DH3:DI6,2,FALSE)+IF(AND(Calculator!B8=TRUE,Backdoors!BI7=TRUE),VLOOKUP(Calculator!E23,tbSkills!DH3:DJ6,3,FALSE),0),0)))/100)),1))*IF(VLOOKUP(A91,tbMoveset!A2:K112,11,FALSE)=TRUE,Backdoors!AC5,1))*AE91,0),"")</f>
        <v>0</v>
      </c>
      <c r="AI91" s="49">
        <f>VLOOKUP(A91,tbMoveset!A2:G112,7,FALSE)*IFERROR(IF(Backdoors!AI12&gt;=0,1+(IF(Calculator!E40&gt;0,VLOOKUP(Calculator!E40,tbSkills!AI3:AJ5,2,FALSE),Backdoors!AL4)*(IF((Backdoors!AI12+IF(AD91&gt;=0.45,VLOOKUP(Calculator!E23,tbSkills!DH3:DI6,2,FALSE)+IF(AND(Calculator!B8=TRUE,Backdoors!BI7=TRUE),VLOOKUP(Calculator!E23,tbSkills!DH3:DJ6,3,FALSE),0),0))&gt;=100,100,(Backdoors!AI12+IF(AD91&gt;=0.45,VLOOKUP(Calculator!E23,tbSkills!DH3:DI6,2,FALSE)+IF(AND(Calculator!B8=TRUE,Backdoors!BI7=TRUE),VLOOKUP(Calculator!E23,tbSkills!DH3:DJ6,3,FALSE),0),0)))/100)),1),1)</f>
        <v>0.7</v>
      </c>
      <c r="AJ91" s="87">
        <f t="shared" si="55"/>
        <v>7</v>
      </c>
      <c r="AK91" s="91">
        <f>IFERROR(IF(VLOOKUP(A91,tbMoveset!A2:B112,2,FALSE)="Sever",Backdoors!AY8/100,IF(VLOOKUP(A91,tbMoveset!A2:B112,2,FALSE)="Blunt",Backdoors!AZ8/100,Backdoors!BA8/100)),"")</f>
        <v>0.45</v>
      </c>
      <c r="AL91" s="49">
        <f>IFERROR(IF(VLOOKUP(tbMoveset!A91,tbMoveset!A2:H112,8,FALSE)="Other",IF(VLOOKUP(tbMoveset!A91,tbMoveset!A2:I112,9,FALSE)="Fire",Backdoors!BB8,IF(VLOOKUP(tbMoveset!A91,tbMoveset!A2:I112,9,FALSE)="Water",Backdoors!BC8,IF(VLOOKUP(tbMoveset!A91,tbMoveset!A2:I112,9,FALSE)="Thunder",Backdoors!BD8,IF(VLOOKUP(tbMoveset!A91,tbMoveset!A2:I112,9,FALSE)="Ice",Backdoors!BE8,IF(VLOOKUP(tbMoveset!A91,tbMoveset!A2:I112,9,FALSE)="Dragon",Backdoors!BF8,Backdoors!BG8)))))/100,Backdoors!BG8/100),"")</f>
        <v>0</v>
      </c>
      <c r="AM91" s="49">
        <f>IFERROR(IF(VLOOKUP(A91,tbMoveset!A2:J112,10,FALSE)=TRUE,IF((Backdoors!AI12+IF(AK91&gt;=0.45,VLOOKUP(Calculator!E23,tbSkills!DH3:DI6,2,FALSE)+IF(AND(Calculator!B8=TRUE,Backdoors!BI8=TRUE),VLOOKUP(Calculator!E23,tbSkills!DH3:DJ6,3,FALSE),0),0))&gt;=0,1+(Backdoors!AL2*(IF((Backdoors!AI12+IF(AK91&gt;=0.45,VLOOKUP(Calculator!E23,tbSkills!DH3:DI6,2,FALSE)+IF(AND(Calculator!B8=TRUE,Backdoors!BI8=TRUE),VLOOKUP(Calculator!E23,tbSkills!DH3:DJ6,3,FALSE),0),0))&gt;=100,100,(Backdoors!AI12+IF(AK91&gt;=0.45,VLOOKUP(Calculator!E23,tbSkills!DH3:DI6,2,FALSE)+IF(AND(Calculator!B8=TRUE,Backdoors!BI8=TRUE),VLOOKUP(Calculator!E23,tbSkills!DH3:DJ6,3,FALSE),0),0)))/100)),(1-(0.25*((-Backdoors!AI12-IF(AK91&gt;=0.45,VLOOKUP(Calculator!E23,tbSkills!DH3:DI6,2,FALSE)+IF(AND(Calculator!B8=TRUE,Backdoors!BI8=TRUE),VLOOKUP(Calculator!E23,tbSkills!DH3:DJ6,3,FALSE),0),0))/100)))),1),"")</f>
        <v>1</v>
      </c>
      <c r="AN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K91)*AM91)*(VLOOKUP(A91,tbMoveset!A2:C112,3,FALSE)/100)*IF(VLOOKUP(A91,tbMoveset!A2:B112,2,FALSE)="Projectile",Backdoors!N10,Backdoors!N9),0),"")</f>
        <v>5</v>
      </c>
      <c r="AO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K91&gt;=0.45,VLOOKUP(Calculator!E23,tbSkills!DH3:DI6,2,FALSE)+IF(AND(Calculator!B8=TRUE,Backdoors!BI8=TRUE),VLOOKUP(Calculator!E23,tbSkills!DH3:DJ6,3,FALSE),0),0))&gt;=100,100,(Backdoors!AI12+IF(AK91&gt;=0.45,VLOOKUP(Calculator!E23,tbSkills!DH3:DI6,2,FALSE)+IF(AND(Calculator!B8=TRUE,Backdoors!BI8=TRUE),VLOOKUP(Calculator!E23,tbSkills!DH3:DJ6,3,FALSE),0),0)))/100)),1))*IF(VLOOKUP(A91,tbMoveset!A2:K112,11,FALSE)=TRUE,Backdoors!AC5,1))*AL91,0),"")</f>
        <v>0</v>
      </c>
      <c r="AP91" s="49">
        <f>VLOOKUP(A91,tbMoveset!A2:G112,7,FALSE)*IFERROR(IF(Backdoors!AI12&gt;=0,1+(IF(Calculator!E40&gt;0,VLOOKUP(Calculator!E40,tbSkills!AI3:AJ5,2,FALSE),Backdoors!AL4)*(IF((Backdoors!AI12+IF(AK91&gt;=0.45,VLOOKUP(Calculator!E23,tbSkills!DH3:DI6,2,FALSE)+IF(AND(Calculator!B8=TRUE,Backdoors!BI8=TRUE),VLOOKUP(Calculator!E23,tbSkills!DH3:DJ6,3,FALSE),0),0))&gt;=100,100,(Backdoors!AI12+IF(AK91&gt;=0.45,VLOOKUP(Calculator!E23,tbSkills!DH3:DI6,2,FALSE)+IF(AND(Calculator!B8=TRUE,Backdoors!BI8=TRUE),VLOOKUP(Calculator!E23,tbSkills!DH3:DJ6,3,FALSE),0),0)))/100)),1),1)</f>
        <v>0.7</v>
      </c>
      <c r="AQ91" s="87">
        <f t="shared" si="56"/>
        <v>5</v>
      </c>
      <c r="AR91" s="86">
        <f>IFERROR(IF(VLOOKUP(A91,tbMoveset!A2:B112,2,FALSE)="Sever",Backdoors!AY9/100,IF(VLOOKUP(A91,tbMoveset!A2:B112,2,FALSE)="Blunt",Backdoors!AZ9/100,Backdoors!BA9/100)),"")</f>
        <v>0.45</v>
      </c>
      <c r="AS91" s="49">
        <f>IFERROR(IF(VLOOKUP(tbMoveset!A91,tbMoveset!A2:H112,8,FALSE)="Other",IF(VLOOKUP(tbMoveset!A91,tbMoveset!A2:I112,9,FALSE)="Fire",Backdoors!BB9,IF(VLOOKUP(tbMoveset!A91,tbMoveset!A2:I112,9,FALSE)="Water",Backdoors!BC9,IF(VLOOKUP(tbMoveset!A91,tbMoveset!A2:I112,9,FALSE)="Thunder",Backdoors!BD9,IF(VLOOKUP(tbMoveset!A91,tbMoveset!A2:I112,9,FALSE)="Ice",Backdoors!BE9,IF(VLOOKUP(tbMoveset!A91,tbMoveset!A2:I112,9,FALSE)="Dragon",Backdoors!BF9,Backdoors!BG9)))))/100,Backdoors!BG9/100),"")</f>
        <v>0</v>
      </c>
      <c r="AT91" s="49">
        <f>IFERROR(IF(VLOOKUP(A91,tbMoveset!A2:J112,10,FALSE)=TRUE,IF((Backdoors!AI12+IF(AR91&gt;=0.45,VLOOKUP(Calculator!E23,tbSkills!DH3:DI6,2,FALSE)+IF(AND(Calculator!B8=TRUE,Backdoors!BI9=TRUE),VLOOKUP(Calculator!E23,tbSkills!DH3:DJ6,3,FALSE),0),0))&gt;=0,1+(Backdoors!AL2*(IF((Backdoors!AI12+IF(AR91&gt;=0.45,VLOOKUP(Calculator!E23,tbSkills!DH3:DI6,2,FALSE)+IF(AND(Calculator!B8=TRUE,Backdoors!BI9=TRUE),VLOOKUP(Calculator!E23,tbSkills!DH3:DJ6,3,FALSE),0),0))&gt;=100,100,(Backdoors!AI12+IF(AR91&gt;=0.45,VLOOKUP(Calculator!E23,tbSkills!DH3:DI6,2,FALSE)+IF(AND(Calculator!B8=TRUE,Backdoors!BI9=TRUE),VLOOKUP(Calculator!E23,tbSkills!DH3:DJ6,3,FALSE),0),0)))/100)),(1-(0.25*((-Backdoors!AI12-IF(AR91&gt;=0.45,VLOOKUP(Calculator!E23,tbSkills!DH3:DI6,2,FALSE)+IF(AND(Calculator!B8=TRUE,Backdoors!BI9=TRUE),VLOOKUP(Calculator!E23,tbSkills!DH3:DJ6,3,FALSE),0),0))/100)))),1),"")</f>
        <v>1</v>
      </c>
      <c r="AU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R91)*AT91)*(VLOOKUP(A91,tbMoveset!A2:C112,3,FALSE)/100)*IF(VLOOKUP(A91,tbMoveset!A2:B112,2,FALSE)="Projectile",Backdoors!N10,Backdoors!N9),0),"")</f>
        <v>5</v>
      </c>
      <c r="AV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R91&gt;=0.45,VLOOKUP(Calculator!E23,tbSkills!DH3:DI6,2,FALSE)+IF(AND(Calculator!B8=TRUE,Backdoors!BI9=TRUE),VLOOKUP(Calculator!E23,tbSkills!DH3:DJ6,3,FALSE),0),0))&gt;=100,100,(Backdoors!AI12+IF(AR91&gt;=0.45,VLOOKUP(Calculator!E23,tbSkills!DH3:DI6,2,FALSE)+IF(AND(Calculator!B8=TRUE,Backdoors!BI9=TRUE),VLOOKUP(Calculator!E23,tbSkills!DH3:DJ6,3,FALSE),0),0)))/100)),1))*IF(VLOOKUP(A91,tbMoveset!A2:K112,11,FALSE)=TRUE,Backdoors!AC5,1))*AS91,0),"")</f>
        <v>0</v>
      </c>
      <c r="AW91" s="49">
        <f>VLOOKUP(A91,tbMoveset!A2:G112,7,FALSE)*IFERROR(IF(Backdoors!AI12&gt;=0,1+(IF(Calculator!E40&gt;0,VLOOKUP(Calculator!E40,tbSkills!AI3:AJ5,2,FALSE),Backdoors!AL4)*(IF((Backdoors!AI12+IF(AR91&gt;=0.45,VLOOKUP(Calculator!E23,tbSkills!DH3:DI6,2,FALSE)+IF(AND(Calculator!B8=TRUE,Backdoors!BI9=TRUE),VLOOKUP(Calculator!E23,tbSkills!DH3:DJ6,3,FALSE),0),0))&gt;=100,100,(Backdoors!AI12+IF(AR91&gt;=0.45,VLOOKUP(Calculator!E23,tbSkills!DH3:DI6,2,FALSE)+IF(AND(Calculator!B8=TRUE,Backdoors!BI9=TRUE),VLOOKUP(Calculator!E23,tbSkills!DH3:DJ6,3,FALSE),0),0)))/100)),1),1)</f>
        <v>0.7</v>
      </c>
      <c r="AX91" s="87">
        <f t="shared" si="57"/>
        <v>5</v>
      </c>
      <c r="AY91" s="86">
        <f>IFERROR(IF(VLOOKUP(A91,tbMoveset!A2:B112,2,FALSE)="Sever",Backdoors!AY10/100,IF(VLOOKUP(A91,tbMoveset!A2:B112,2,FALSE)="Blunt",Backdoors!AZ10/100,Backdoors!BA10/100)),"")</f>
        <v>0.9</v>
      </c>
      <c r="AZ91" s="49">
        <f>IFERROR(IF(VLOOKUP(tbMoveset!A91,tbMoveset!A2:H112,8,FALSE)="Other",IF(VLOOKUP(tbMoveset!A91,tbMoveset!A2:I112,9,FALSE)="Fire",Backdoors!BB10,IF(VLOOKUP(tbMoveset!A91,tbMoveset!A2:I112,9,FALSE)="Water",Backdoors!BC10,IF(VLOOKUP(tbMoveset!A91,tbMoveset!A2:I112,9,FALSE)="Thunder",Backdoors!BD10,IF(VLOOKUP(tbMoveset!A91,tbMoveset!A2:I112,9,FALSE)="Ice",Backdoors!BE10,IF(VLOOKUP(tbMoveset!A91,tbMoveset!A2:I112,9,FALSE)="Dragon",Backdoors!BF10,Backdoors!BG10)))))/100,Backdoors!BG10/100),"")</f>
        <v>0</v>
      </c>
      <c r="BA91" s="49">
        <f>IFERROR(IF(VLOOKUP(A91,tbMoveset!A2:J112,10,FALSE)=TRUE,IF((Backdoors!AI12+IF(AY91&gt;=0.45,VLOOKUP(Calculator!E23,tbSkills!DH3:DI6,2,FALSE)+IF(AND(Calculator!B8=TRUE,Backdoors!BI10=TRUE),VLOOKUP(Calculator!E23,tbSkills!DH3:DJ6,3,FALSE),0),0))&gt;=0,1+(Backdoors!AL2*(IF((Backdoors!AI12+IF(AY91&gt;=0.45,VLOOKUP(Calculator!E23,tbSkills!DH3:DI6,2,FALSE)+IF(AND(Calculator!B8=TRUE,Backdoors!BI10=TRUE),VLOOKUP(Calculator!E23,tbSkills!DH3:DJ6,3,FALSE),0),0))&gt;=100,100,(Backdoors!AI12+IF(AY91&gt;=0.45,VLOOKUP(Calculator!E23,tbSkills!DH3:DI6,2,FALSE)+IF(AND(Calculator!B8=TRUE,Backdoors!BI10=TRUE),VLOOKUP(Calculator!E23,tbSkills!DH3:DJ6,3,FALSE),0),0)))/100)),(1-(0.25*((-Backdoors!AI12-IF(AY91&gt;=0.45,VLOOKUP(Calculator!E23,tbSkills!DH3:DI6,2,FALSE)+IF(AND(Calculator!B8=TRUE,Backdoors!BI10=TRUE),VLOOKUP(Calculator!E23,tbSkills!DH3:DJ6,3,FALSE),0),0))/100)))),1),"")</f>
        <v>1</v>
      </c>
      <c r="BB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Y91)*BA91)*(VLOOKUP(A91,tbMoveset!A2:C112,3,FALSE)/100)*IF(VLOOKUP(A91,tbMoveset!A2:B112,2,FALSE)="Projectile",Backdoors!N10,Backdoors!N9),0),"")</f>
        <v>9</v>
      </c>
      <c r="BC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Y91&gt;=0.45,VLOOKUP(Calculator!E23,tbSkills!DH3:DI6,2,FALSE)+IF(AND(Calculator!B8=TRUE,Backdoors!BI10=TRUE),VLOOKUP(Calculator!E23,tbSkills!DH3:DJ6,3,FALSE),0),0))&gt;=100,100,(Backdoors!AI12+IF(AY91&gt;=0.45,VLOOKUP(Calculator!E23,tbSkills!DH3:DI6,2,FALSE)+IF(AND(Calculator!B8=TRUE,Backdoors!BI10=TRUE),VLOOKUP(Calculator!E23,tbSkills!DH3:DJ6,3,FALSE),0),0)))/100)),1))*IF(VLOOKUP(A91,tbMoveset!A2:K112,11,FALSE)=TRUE,Backdoors!AC5,1))*AZ91,0),"")</f>
        <v>0</v>
      </c>
      <c r="BD91" s="49">
        <f>VLOOKUP(A91,tbMoveset!A2:G112,7,FALSE)*IFERROR(IF(Backdoors!AI12&gt;=0,1+(IF(Calculator!E40&gt;0,VLOOKUP(Calculator!E40,tbSkills!AI3:AJ5,2,FALSE),Backdoors!AL4)*(IF((Backdoors!AI12+IF(AY91&gt;=0.45,VLOOKUP(Calculator!E23,tbSkills!DH3:DI6,2,FALSE)+IF(AND(Calculator!B8=TRUE,Backdoors!BI10=TRUE),VLOOKUP(Calculator!E23,tbSkills!DH3:DJ6,3,FALSE),0),0))&gt;=100,100,(Backdoors!AI12+IF(AY91&gt;=0.45,VLOOKUP(Calculator!E23,tbSkills!DH3:DI6,2,FALSE)+IF(AND(Calculator!B8=TRUE,Backdoors!BI10=TRUE),VLOOKUP(Calculator!E23,tbSkills!DH3:DJ6,3,FALSE),0),0)))/100)),1),1)</f>
        <v>0.7</v>
      </c>
      <c r="BE91" s="87">
        <f t="shared" si="58"/>
        <v>9</v>
      </c>
      <c r="BF91" s="86" t="str">
        <f>IFERROR(IF(VLOOKUP(A91,tbMoveset!A2:B112,2,FALSE)="Sever",Backdoors!AY11/100,IF(VLOOKUP(A91,tbMoveset!A2:B112,2,FALSE)="Blunt",Backdoors!AZ11/100,Backdoors!BA11/100)),"")</f>
        <v/>
      </c>
      <c r="BG91" s="49">
        <f>IFERROR(IF(VLOOKUP(tbMoveset!A91,tbMoveset!A2:H112,8,FALSE)="Other",IF(VLOOKUP(tbMoveset!A91,tbMoveset!A2:I112,9,FALSE)="Fire",Backdoors!BB11,IF(VLOOKUP(tbMoveset!A91,tbMoveset!A2:I112,9,FALSE)="Water",Backdoors!BC11,IF(VLOOKUP(tbMoveset!A91,tbMoveset!A2:I112,9,FALSE)="Thunder",Backdoors!BD11,IF(VLOOKUP(tbMoveset!A91,tbMoveset!A2:I112,9,FALSE)="Ice",Backdoors!BE11,IF(VLOOKUP(tbMoveset!A91,tbMoveset!A2:I112,9,FALSE)="Dragon",Backdoors!BF11,Backdoors!BG11)))))/100,Backdoors!BG11/100),"")</f>
        <v>0</v>
      </c>
      <c r="BH91" s="49">
        <f>IFERROR(IF(VLOOKUP(A91,tbMoveset!A2:J112,10,FALSE)=TRUE,IF((Backdoors!AI12+IF(BF91&gt;=0.45,VLOOKUP(Calculator!E23,tbSkills!DH3:DI6,2,FALSE)+IF(AND(Calculator!B8=TRUE,Backdoors!BI11=TRUE),VLOOKUP(Calculator!E23,tbSkills!DH3:DJ6,3,FALSE),0),0))&gt;=0,1+(Backdoors!AL2*(IF((Backdoors!AI12+IF(BF91&gt;=0.45,VLOOKUP(Calculator!E23,tbSkills!DH3:DI6,2,FALSE)+IF(AND(Calculator!B8=TRUE,Backdoors!BI11=TRUE),VLOOKUP(Calculator!E23,tbSkills!DH3:DJ6,3,FALSE),0),0))&gt;=100,100,(Backdoors!AI12+IF(BF91&gt;=0.45,VLOOKUP(Calculator!E23,tbSkills!DH3:DI6,2,FALSE)+IF(AND(Calculator!B8=TRUE,Backdoors!BI11=TRUE),VLOOKUP(Calculator!E23,tbSkills!DH3:DJ6,3,FALSE),0),0)))/100)),(1-(0.25*((-Backdoors!AI12-IF(BF91&gt;=0.45,VLOOKUP(Calculator!E23,tbSkills!DH3:DI6,2,FALSE)+IF(AND(Calculator!B8=TRUE,Backdoors!BI11=TRUE),VLOOKUP(Calculator!E23,tbSkills!DH3:DJ6,3,FALSE),0),0))/100)))),1),"")</f>
        <v>1</v>
      </c>
      <c r="BI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F91)*BH91)*(VLOOKUP(A91,tbMoveset!A2:C112,3,FALSE)/100)*IF(VLOOKUP(A91,tbMoveset!A2:B112,2,FALSE)="Projectile",Backdoors!N10,Backdoors!N9),0),"")</f>
        <v/>
      </c>
      <c r="BJ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F91&gt;=0.45,VLOOKUP(Calculator!E23,tbSkills!DH3:DI6,2,FALSE)+IF(AND(Calculator!B8=TRUE,Backdoors!BI11=TRUE),VLOOKUP(Calculator!E23,tbSkills!DH3:DJ6,3,FALSE),0),0))&gt;=100,100,(Backdoors!AI12+IF(BF91&gt;=0.45,VLOOKUP(Calculator!E23,tbSkills!DH3:DI6,2,FALSE)+IF(AND(Calculator!B8=TRUE,Backdoors!BI11=TRUE),VLOOKUP(Calculator!E23,tbSkills!DH3:DJ6,3,FALSE),0),0)))/100)),1))*IF(VLOOKUP(A91,tbMoveset!A2:K112,11,FALSE)=TRUE,Backdoors!AC5,1))*BG91,0),"")</f>
        <v>0</v>
      </c>
      <c r="BK91" s="49">
        <f>VLOOKUP(A91,tbMoveset!A2:G112,7,FALSE)*IFERROR(IF(Backdoors!AI12&gt;=0,1+(IF(Calculator!E40&gt;0,VLOOKUP(Calculator!E40,tbSkills!AI3:AJ5,2,FALSE),Backdoors!AL4)*(IF((Backdoors!AI12+IF(BF91&gt;=0.45,VLOOKUP(Calculator!E23,tbSkills!DH3:DI6,2,FALSE)+IF(AND(Calculator!B8=TRUE,Backdoors!BI11=TRUE),VLOOKUP(Calculator!E23,tbSkills!DH3:DJ6,3,FALSE),0),0))&gt;=100,100,(Backdoors!AI12+IF(BF91&gt;=0.45,VLOOKUP(Calculator!E23,tbSkills!DH3:DI6,2,FALSE)+IF(AND(Calculator!B8=TRUE,Backdoors!BI11=TRUE),VLOOKUP(Calculator!E23,tbSkills!DH3:DJ6,3,FALSE),0),0)))/100)),1),1)</f>
        <v>0.7</v>
      </c>
      <c r="BL91" s="87">
        <f t="shared" si="59"/>
        <v>0</v>
      </c>
      <c r="BM91" s="86" t="str">
        <f>IFERROR(IF(VLOOKUP(A91,tbMoveset!A2:B112,2,FALSE)="Sever",Backdoors!AY12/100,IF(VLOOKUP(A91,tbMoveset!A2:B112,2,FALSE)="Blunt",Backdoors!AZ12/100,Backdoors!BA12/100)),"")</f>
        <v/>
      </c>
      <c r="BN91" s="49">
        <f>IFERROR(IF(VLOOKUP(tbMoveset!A91,tbMoveset!A2:H112,8,FALSE)="Other",IF(VLOOKUP(tbMoveset!A91,tbMoveset!A2:I112,9,FALSE)="Fire",Backdoors!BB12,IF(VLOOKUP(tbMoveset!A91,tbMoveset!A2:I112,9,FALSE)="Water",Backdoors!BC12,IF(VLOOKUP(tbMoveset!A91,tbMoveset!A2:I112,9,FALSE)="Thunder",Backdoors!BD12,IF(VLOOKUP(tbMoveset!A91,tbMoveset!A2:I112,9,FALSE)="Ice",Backdoors!BE12,IF(VLOOKUP(tbMoveset!A91,tbMoveset!A2:I112,9,FALSE)="Dragon",Backdoors!BF12,Backdoors!BG12)))))/100,Backdoors!BG12/100),"")</f>
        <v>0</v>
      </c>
      <c r="BO91" s="49">
        <f>IFERROR(IF(VLOOKUP(A91,tbMoveset!A2:J112,10,FALSE)=TRUE,IF((Backdoors!AI12+IF(BM91&gt;=0.45,VLOOKUP(Calculator!E23,tbSkills!DH3:DI6,2,FALSE)+IF(AND(Calculator!B8=TRUE,Backdoors!BI12=TRUE),VLOOKUP(Calculator!E23,tbSkills!DH3:DJ6,3,FALSE),0),0))&gt;=0,1+(Backdoors!AL2*(IF((Backdoors!AI12+IF(BM91&gt;=0.45,VLOOKUP(Calculator!E23,tbSkills!DH3:DI6,2,FALSE)+IF(AND(Calculator!B8=TRUE,Backdoors!BI12=TRUE),VLOOKUP(Calculator!E23,tbSkills!DH3:DJ6,3,FALSE),0),0))&gt;=100,100,(Backdoors!AI12+IF(BM91&gt;=0.45,VLOOKUP(Calculator!E23,tbSkills!DH3:DI6,2,FALSE)+IF(AND(Calculator!B8=TRUE,Backdoors!BI12=TRUE),VLOOKUP(Calculator!E23,tbSkills!DH3:DJ6,3,FALSE),0),0)))/100)),(1-(0.25*((-Backdoors!AI12-IF(BM91&gt;=0.45,VLOOKUP(Calculator!E23,tbSkills!DH3:DI6,2,FALSE)+IF(AND(Calculator!B8=TRUE,Backdoors!BI12=TRUE),VLOOKUP(Calculator!E23,tbSkills!DH3:DJ6,3,FALSE),0),0))/100)))),1),"")</f>
        <v>1</v>
      </c>
      <c r="BP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M91)*BO91)*(VLOOKUP(A91,tbMoveset!A2:C112,3,FALSE)/100)*IF(VLOOKUP(A91,tbMoveset!A2:B112,2,FALSE)="Projectile",Backdoors!N10,Backdoors!N9),0),"")</f>
        <v/>
      </c>
      <c r="BQ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M91&gt;=0.45,VLOOKUP(Calculator!E23,tbSkills!DH3:DI6,2,FALSE)+IF(AND(Calculator!B8=TRUE,Backdoors!BI12=TRUE),VLOOKUP(Calculator!E23,tbSkills!DH3:DJ6,3,FALSE),0),0))&gt;=100,100,(Backdoors!AI12+IF(BM91&gt;=0.45,VLOOKUP(Calculator!E23,tbSkills!DH3:DI6,2,FALSE)+IF(AND(Calculator!B8=TRUE,Backdoors!BI12=TRUE),VLOOKUP(Calculator!E23,tbSkills!DH3:DJ6,3,FALSE),0),0)))/100)),1))*IF(VLOOKUP(A91,tbMoveset!A2:K112,11,FALSE)=TRUE,Backdoors!AC5,1))*BN91,0),"")</f>
        <v>0</v>
      </c>
      <c r="BR91" s="49">
        <f>VLOOKUP(A91,tbMoveset!A2:G112,7,FALSE)*IFERROR(IF(Backdoors!AI12&gt;=0,1+(IF(Calculator!E40&gt;0,VLOOKUP(Calculator!E40,tbSkills!AI3:AJ5,2,FALSE),Backdoors!AL4)*(IF((Backdoors!AI12+IF(BM91&gt;=0.45,VLOOKUP(Calculator!E23,tbSkills!DH3:DI6,2,FALSE)+IF(AND(Calculator!B8=TRUE,Backdoors!BI12=TRUE),VLOOKUP(Calculator!E23,tbSkills!DH3:DJ6,3,FALSE),0),0))&gt;=100,100,(Backdoors!AI12+IF(BM91&gt;=0.45,VLOOKUP(Calculator!E23,tbSkills!DH3:DI6,2,FALSE)+IF(AND(Calculator!B8=TRUE,Backdoors!BI12=TRUE),VLOOKUP(Calculator!E23,tbSkills!DH3:DJ6,3,FALSE),0),0)))/100)),1),1)</f>
        <v>0.7</v>
      </c>
      <c r="BS91" s="87">
        <f t="shared" si="60"/>
        <v>0</v>
      </c>
      <c r="BT91" s="86" t="str">
        <f>IFERROR(IF(VLOOKUP(A91,tbMoveset!A2:B112,2,FALSE)="Sever",Backdoors!AY13/100,IF(VLOOKUP(A91,tbMoveset!A2:B112,2,FALSE)="Blunt",Backdoors!AZ13/100,Backdoors!BA13/100)),"")</f>
        <v/>
      </c>
      <c r="BU91" s="49">
        <f>IFERROR(IF(VLOOKUP(tbMoveset!A91,tbMoveset!A2:H112,8,FALSE)="Other",IF(VLOOKUP(tbMoveset!A91,tbMoveset!A2:I112,9,FALSE)="Fire",Backdoors!BB13,IF(VLOOKUP(tbMoveset!A91,tbMoveset!A2:I112,9,FALSE)="Water",Backdoors!BC13,IF(VLOOKUP(tbMoveset!A91,tbMoveset!A2:I112,9,FALSE)="Thunder",Backdoors!BD13,IF(VLOOKUP(tbMoveset!A91,tbMoveset!A2:I112,9,FALSE)="Ice",Backdoors!BE13,IF(VLOOKUP(tbMoveset!A91,tbMoveset!A2:I112,9,FALSE)="Dragon",Backdoors!BF13,Backdoors!BG13)))))/100,Backdoors!BG13/100),"")</f>
        <v>0</v>
      </c>
      <c r="BV91" s="49">
        <f>IFERROR(IF(VLOOKUP(A91,tbMoveset!A2:J112,10,FALSE)=TRUE,IF((Backdoors!AI12+IF(BT91&gt;=0.45,VLOOKUP(Calculator!E23,tbSkills!DH3:DI6,2,FALSE)+IF(AND(Calculator!B8=TRUE,Backdoors!BI13=TRUE),VLOOKUP(Calculator!E23,tbSkills!DH3:DJ6,3,FALSE),0),0))&gt;=0,1+(Backdoors!AL2*(IF((Backdoors!AI12+IF(BT91&gt;=0.45,VLOOKUP(Calculator!E23,tbSkills!DH3:DI6,2,FALSE)+IF(AND(Calculator!B8=TRUE,Backdoors!BI13=TRUE),VLOOKUP(Calculator!E23,tbSkills!DH3:DJ6,3,FALSE),0),0))&gt;=100,100,(Backdoors!AI12+IF(BT91&gt;=0.45,VLOOKUP(Calculator!E23,tbSkills!DH3:DI6,2,FALSE)+IF(AND(Calculator!B8=TRUE,Backdoors!BI13=TRUE),VLOOKUP(Calculator!E23,tbSkills!DH3:DJ6,3,FALSE),0),0)))/100)),(1-(0.25*((-Backdoors!AI12-IF(BT91&gt;=0.45,VLOOKUP(Calculator!E23,tbSkills!DH3:DI6,2,FALSE)+IF(AND(Calculator!B8=TRUE,Backdoors!BI13=TRUE),VLOOKUP(Calculator!E23,tbSkills!DH3:DJ6,3,FALSE),0),0))/100)))),1),"")</f>
        <v>1</v>
      </c>
      <c r="BW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T91)*BV91)*(VLOOKUP(A91,tbMoveset!A2:C112,3,FALSE)/100)*IF(VLOOKUP(A91,tbMoveset!A2:B112,2,FALSE)="Projectile",Backdoors!N10,Backdoors!N9),0),"")</f>
        <v/>
      </c>
      <c r="BX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T91&gt;=0.45,VLOOKUP(Calculator!E23,tbSkills!DH3:DI6,2,FALSE)+IF(AND(Calculator!B8=TRUE,Backdoors!BI13=TRUE),VLOOKUP(Calculator!E23,tbSkills!DH3:DJ6,3,FALSE),0),0))&gt;=100,100,(Backdoors!AI12+IF(BT91&gt;=0.45,VLOOKUP(Calculator!E23,tbSkills!DH3:DI6,2,FALSE)+IF(AND(Calculator!B8=TRUE,Backdoors!BI13=TRUE),VLOOKUP(Calculator!E23,tbSkills!DH3:DJ6,3,FALSE),0),0)))/100)),1))*IF(VLOOKUP(A91,tbMoveset!A2:K112,11,FALSE)=TRUE,Backdoors!AC5,1))*BU91,0),"")</f>
        <v>0</v>
      </c>
      <c r="BY91" s="49">
        <f>VLOOKUP(A91,tbMoveset!A2:G112,7,FALSE)*IFERROR(IF(Backdoors!AI12&gt;=0,1+(IF(Calculator!E40&gt;0,VLOOKUP(Calculator!E40,tbSkills!AI3:AJ5,2,FALSE),Backdoors!AL4)*(IF((Backdoors!AI12+IF(BT91&gt;=0.45,VLOOKUP(Calculator!E23,tbSkills!DH3:DI6,2,FALSE)+IF(AND(Calculator!B8=TRUE,Backdoors!BI13=TRUE),VLOOKUP(Calculator!E23,tbSkills!DH3:DJ6,3,FALSE),0),0))&gt;=100,100,(Backdoors!AI12+IF(BT91&gt;=0.45,VLOOKUP(Calculator!E23,tbSkills!DH3:DI6,2,FALSE)+IF(AND(Calculator!B8=TRUE,Backdoors!BI13=TRUE),VLOOKUP(Calculator!E23,tbSkills!DH3:DJ6,3,FALSE),0),0)))/100)),1),1)</f>
        <v>0.7</v>
      </c>
      <c r="BZ91" s="87">
        <f t="shared" si="61"/>
        <v>0</v>
      </c>
      <c r="CA91" s="86" t="str">
        <f>IFERROR(IF(VLOOKUP(A91,tbMoveset!A2:B112,2,FALSE)="Sever",Backdoors!AY14/100,IF(VLOOKUP(A91,tbMoveset!A2:B112,2,FALSE)="Blunt",Backdoors!AZ14/100,Backdoors!BA14/100)),"")</f>
        <v/>
      </c>
      <c r="CB91" s="49">
        <f>IFERROR(IF(VLOOKUP(tbMoveset!A91,tbMoveset!A2:H112,8,FALSE)="Other",IF(VLOOKUP(tbMoveset!A91,tbMoveset!A2:I112,9,FALSE)="Fire",Backdoors!BB14,IF(VLOOKUP(tbMoveset!A91,tbMoveset!A2:I112,9,FALSE)="Water",Backdoors!BC14,IF(VLOOKUP(tbMoveset!A91,tbMoveset!A2:I112,9,FALSE)="Thunder",Backdoors!BD14,IF(VLOOKUP(tbMoveset!A91,tbMoveset!A2:I112,9,FALSE)="Ice",Backdoors!BE14,IF(VLOOKUP(tbMoveset!A91,tbMoveset!A2:I112,9,FALSE)="Dragon",Backdoors!BF14,Backdoors!BG14)))))/100,Backdoors!BG14/100),"")</f>
        <v>0</v>
      </c>
      <c r="CC91" s="49">
        <f>IFERROR(IF(VLOOKUP(A91,tbMoveset!A2:J112,10,FALSE)=TRUE,IF((Backdoors!AI12+IF(CA91&gt;=0.45,VLOOKUP(Calculator!E23,tbSkills!DH3:DI6,2,FALSE)+IF(AND(Calculator!B8=TRUE,Backdoors!BI14=TRUE),VLOOKUP(Calculator!E23,tbSkills!DH3:DJ6,3,FALSE),0),0))&gt;=0,1+(Backdoors!AL2*(IF((Backdoors!AI12+IF(CA91&gt;=0.45,VLOOKUP(Calculator!E23,tbSkills!DH3:DI6,2,FALSE)+IF(AND(Calculator!B8=TRUE,Backdoors!BI14=TRUE),VLOOKUP(Calculator!E23,tbSkills!DH3:DJ6,3,FALSE),0),0))&gt;=100,100,(Backdoors!AI12+IF(CA91&gt;=0.45,VLOOKUP(Calculator!E23,tbSkills!DH3:DI6,2,FALSE)+IF(AND(Calculator!B8=TRUE,Backdoors!BI14=TRUE),VLOOKUP(Calculator!E23,tbSkills!DH3:DJ6,3,FALSE),0),0)))/100)),(1-(0.25*((-Backdoors!AI12-IF(CA91&gt;=0.45,VLOOKUP(Calculator!E23,tbSkills!DH3:DI6,2,FALSE)+IF(AND(Calculator!B8=TRUE,Backdoors!BI14=TRUE),VLOOKUP(Calculator!E23,tbSkills!DH3:DJ6,3,FALSE),0),0))/100)))),1),"")</f>
        <v>1</v>
      </c>
      <c r="CD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A91)*CC91)*(VLOOKUP(A91,tbMoveset!A2:C112,3,FALSE)/100)*IF(VLOOKUP(A91,tbMoveset!A2:B112,2,FALSE)="Projectile",Backdoors!N10,Backdoors!N9),0),"")</f>
        <v/>
      </c>
      <c r="CE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A91&gt;=0.45,VLOOKUP(Calculator!E23,tbSkills!DH3:DI6,2,FALSE)+IF(AND(Calculator!B8=TRUE,Backdoors!BI14=TRUE),VLOOKUP(Calculator!E23,tbSkills!DH3:DJ6,3,FALSE),0),0))&gt;=100,100,(Backdoors!AI12+IF(CA91&gt;=0.45,VLOOKUP(Calculator!E23,tbSkills!DH3:DI6,2,FALSE)+IF(AND(Calculator!B8=TRUE,Backdoors!BI14=TRUE),VLOOKUP(Calculator!E23,tbSkills!DH3:DJ6,3,FALSE),0),0)))/100)),1))*IF(VLOOKUP(A91,tbMoveset!A2:K112,11,FALSE)=TRUE,Backdoors!AC5,1))*CB91,0),"")</f>
        <v>0</v>
      </c>
      <c r="CF91" s="49">
        <f>VLOOKUP(A91,tbMoveset!A2:G112,7,FALSE)*IFERROR(IF(Backdoors!AI12&gt;=0,1+(IF(Calculator!E40&gt;0,VLOOKUP(Calculator!E40,tbSkills!AI3:AJ5,2,FALSE),Backdoors!AL4)*(IF((Backdoors!AI12+IF(CA91&gt;=0.45,VLOOKUP(Calculator!E23,tbSkills!DH3:DI6,2,FALSE)+IF(AND(Calculator!B8=TRUE,Backdoors!BI14=TRUE),VLOOKUP(Calculator!E23,tbSkills!DH3:DJ6,3,FALSE),0),0))&gt;=100,100,(Backdoors!AI12+IF(CA91&gt;=0.45,VLOOKUP(Calculator!E23,tbSkills!DH3:DI6,2,FALSE)+IF(AND(Calculator!B8=TRUE,Backdoors!BI14=TRUE),VLOOKUP(Calculator!E23,tbSkills!DH3:DJ6,3,FALSE),0),0)))/100)),1),1)</f>
        <v>0.7</v>
      </c>
      <c r="CG91" s="87">
        <f t="shared" si="62"/>
        <v>0</v>
      </c>
      <c r="CH91" s="86" t="str">
        <f>IFERROR(IF(VLOOKUP(A91,tbMoveset!A2:B112,2,FALSE)="Sever",Backdoors!AY15/100,IF(VLOOKUP(A91,tbMoveset!A2:B112,2,FALSE)="Blunt",Backdoors!AZ15/100,Backdoors!BA15/100)),"")</f>
        <v/>
      </c>
      <c r="CI91" s="49">
        <f>IFERROR(IF(VLOOKUP(tbMoveset!A91,tbMoveset!A2:H112,8,FALSE)="Other",IF(VLOOKUP(tbMoveset!A91,tbMoveset!A2:I112,9,FALSE)="Fire",Backdoors!BB15,IF(VLOOKUP(tbMoveset!A91,tbMoveset!A2:I112,9,FALSE)="Water",Backdoors!BC15,IF(VLOOKUP(tbMoveset!A91,tbMoveset!A2:I112,9,FALSE)="Thunder",Backdoors!BD15,IF(VLOOKUP(tbMoveset!A91,tbMoveset!A2:I112,9,FALSE)="Ice",Backdoors!BE15,IF(VLOOKUP(tbMoveset!A91,tbMoveset!A2:I112,9,FALSE)="Dragon",Backdoors!BF15,Backdoors!BG15)))))/100,Backdoors!BG15/100),"")</f>
        <v>0</v>
      </c>
      <c r="CJ91" s="49">
        <f>IFERROR(IF(VLOOKUP(A91,tbMoveset!A2:J112,10,FALSE)=TRUE,IF((Backdoors!AI12+IF(CH91&gt;=0.45,VLOOKUP(Calculator!E23,tbSkills!DH3:DI6,2,FALSE)+IF(AND(Calculator!B8=TRUE,Backdoors!BI15=TRUE),VLOOKUP(Calculator!E23,tbSkills!DH3:DJ6,3,FALSE),0),0))&gt;=0,1+(Backdoors!AL2*(IF((Backdoors!AI12+IF(CH91&gt;=0.45,VLOOKUP(Calculator!E23,tbSkills!DH3:DI6,2,FALSE)+IF(AND(Calculator!B8=TRUE,Backdoors!BI15=TRUE),VLOOKUP(Calculator!E23,tbSkills!DH3:DJ6,3,FALSE),0),0))&gt;=100,100,(Backdoors!AI12+IF(CH91&gt;=0.45,VLOOKUP(Calculator!E23,tbSkills!DH3:DI6,2,FALSE)+IF(AND(Calculator!B8=TRUE,Backdoors!BI15=TRUE),VLOOKUP(Calculator!E23,tbSkills!DH3:DJ6,3,FALSE),0),0)))/100)),(1-(0.25*((-Backdoors!AI12-IF(CH91&gt;=0.45,VLOOKUP(Calculator!E23,tbSkills!DH3:DI6,2,FALSE)+IF(AND(Calculator!B8=TRUE,Backdoors!BI15=TRUE),VLOOKUP(Calculator!E23,tbSkills!DH3:DJ6,3,FALSE),0),0))/100)))),1),"")</f>
        <v>1</v>
      </c>
      <c r="CK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H91)*CJ91)*(VLOOKUP(A91,tbMoveset!A2:C112,3,FALSE)/100)*IF(VLOOKUP(A91,tbMoveset!A2:B112,2,FALSE)="Projectile",Backdoors!N10,Backdoors!N9),0),"")</f>
        <v/>
      </c>
      <c r="CL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H91&gt;=0.45,VLOOKUP(Calculator!E23,tbSkills!DH3:DI6,2,FALSE)+IF(AND(Calculator!B8=TRUE,Backdoors!BI15=TRUE),VLOOKUP(Calculator!E23,tbSkills!DH3:DJ6,3,FALSE),0),0))&gt;=100,100,(Backdoors!AI12+IF(CH91&gt;=0.45,VLOOKUP(Calculator!E23,tbSkills!DH3:DI6,2,FALSE)+IF(AND(Calculator!B8=TRUE,Backdoors!BI15=TRUE),VLOOKUP(Calculator!E23,tbSkills!DH3:DJ6,3,FALSE),0),0)))/100)),1))*IF(VLOOKUP(A91,tbMoveset!A2:K112,11,FALSE)=TRUE,Backdoors!AC5,1))*CI91,0),"")</f>
        <v>0</v>
      </c>
      <c r="CM91" s="49">
        <f>VLOOKUP(A91,tbMoveset!A2:G112,7,FALSE)*IFERROR(IF(Backdoors!AI12&gt;=0,1+(IF(Calculator!E40&gt;0,VLOOKUP(Calculator!E40,tbSkills!AI3:AJ5,2,FALSE),Backdoors!AL4)*(IF((Backdoors!AI12+IF(CH91&gt;=0.45,VLOOKUP(Calculator!E23,tbSkills!DH3:DI6,2,FALSE)+IF(AND(Calculator!B8=TRUE,Backdoors!BI15=TRUE),VLOOKUP(Calculator!E23,tbSkills!DH3:DJ6,3,FALSE),0),0))&gt;=100,100,(Backdoors!AI12+IF(CH91&gt;=0.45,VLOOKUP(Calculator!E23,tbSkills!DH3:DI6,2,FALSE)+IF(AND(Calculator!B8=TRUE,Backdoors!BI15=TRUE),VLOOKUP(Calculator!E23,tbSkills!DH3:DJ6,3,FALSE),0),0)))/100)),1),1)</f>
        <v>0.7</v>
      </c>
      <c r="CN91" s="87">
        <f t="shared" si="63"/>
        <v>0</v>
      </c>
      <c r="CO91" s="86" t="str">
        <f>IFERROR(IF(VLOOKUP(A91,tbMoveset!A2:B112,2,FALSE)="Sever",Backdoors!AY16/100,IF(VLOOKUP(A91,tbMoveset!A2:B112,2,FALSE)="Blunt",Backdoors!AZ16/100,Backdoors!BA16/100)),"")</f>
        <v/>
      </c>
      <c r="CP91" s="49">
        <f>IFERROR(IF(VLOOKUP(tbMoveset!A91,tbMoveset!A2:H112,8,FALSE)="Other",IF(VLOOKUP(tbMoveset!A91,tbMoveset!A2:I112,9,FALSE)="Fire",Backdoors!BB16,IF(VLOOKUP(tbMoveset!A91,tbMoveset!A2:I112,9,FALSE)="Water",Backdoors!BC16,IF(VLOOKUP(tbMoveset!A91,tbMoveset!A2:I112,9,FALSE)="Thunder",Backdoors!BD16,IF(VLOOKUP(tbMoveset!A91,tbMoveset!A2:I112,9,FALSE)="Ice",Backdoors!BE16,IF(VLOOKUP(tbMoveset!A91,tbMoveset!A2:I112,9,FALSE)="Dragon",Backdoors!BF16,Backdoors!BG16)))))/100,Backdoors!BG16/100),"")</f>
        <v>0</v>
      </c>
      <c r="CQ91" s="49">
        <f>IFERROR(IF(VLOOKUP(A91,tbMoveset!A2:J112,10,FALSE)=TRUE,IF((Backdoors!AI12+IF(CO91&gt;=0.45,VLOOKUP(Calculator!E23,tbSkills!DH3:DI6,2,FALSE)+IF(AND(Calculator!B8=TRUE,Backdoors!BI16=TRUE),VLOOKUP(Calculator!E23,tbSkills!DH3:DJ6,3,FALSE),0),0))&gt;=0,1+(Backdoors!AL2*(IF((Backdoors!AI12+IF(CO91&gt;=0.45,VLOOKUP(Calculator!E23,tbSkills!DH3:DI6,2,FALSE)+IF(AND(Calculator!B8=TRUE,Backdoors!BI16=TRUE),VLOOKUP(Calculator!E23,tbSkills!DH3:DJ6,3,FALSE),0),0))&gt;=100,100,(Backdoors!AI12+IF(CO91&gt;=0.45,VLOOKUP(Calculator!E23,tbSkills!DH3:DI6,2,FALSE)+IF(AND(Calculator!B8=TRUE,Backdoors!BI16=TRUE),VLOOKUP(Calculator!E23,tbSkills!DH3:DJ6,3,FALSE),0),0)))/100)),(1-(0.25*((-Backdoors!AI12-IF(CO91&gt;=0.45,VLOOKUP(Calculator!E23,tbSkills!DH3:DI6,2,FALSE)+IF(AND(Calculator!B8=TRUE,Backdoors!BI16=TRUE),VLOOKUP(Calculator!E23,tbSkills!DH3:DJ6,3,FALSE),0),0))/100)))),1),"")</f>
        <v>1</v>
      </c>
      <c r="CR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O91)*CQ91)*(VLOOKUP(A91,tbMoveset!A2:C112,3,FALSE)/100)*IF(VLOOKUP(A91,tbMoveset!A2:B112,2,FALSE)="Projectile",Backdoors!N10,Backdoors!N9),0),"")</f>
        <v/>
      </c>
      <c r="CS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O91&gt;=0.45,VLOOKUP(Calculator!E23,tbSkills!DH3:DI6,2,FALSE)+IF(AND(Calculator!B8=TRUE,Backdoors!BI16=TRUE),VLOOKUP(Calculator!E23,tbSkills!DH3:DJ6,3,FALSE),0),0))&gt;=100,100,(Backdoors!AI12+IF(CO91&gt;=0.45,VLOOKUP(Calculator!E23,tbSkills!DH3:DI6,2,FALSE)+IF(AND(Calculator!B8=TRUE,Backdoors!BI16=TRUE),VLOOKUP(Calculator!E23,tbSkills!DH3:DJ6,3,FALSE),0),0)))/100)),1))*IF(VLOOKUP(A91,tbMoveset!A2:K112,11,FALSE)=TRUE,Backdoors!AC5,1))*CP91,0),"")</f>
        <v>0</v>
      </c>
      <c r="CT91" s="49">
        <f>VLOOKUP(A91,tbMoveset!A2:G112,7,FALSE)*IFERROR(IF(Backdoors!AI12&gt;=0,1+(IF(Calculator!E40&gt;0,VLOOKUP(Calculator!E40,tbSkills!AI3:AJ5,2,FALSE),Backdoors!AL4)*(IF((Backdoors!AI12+IF(CO91&gt;=0.45,VLOOKUP(Calculator!E23,tbSkills!DH3:DI6,2,FALSE)+IF(AND(Calculator!B8=TRUE,Backdoors!BI16=TRUE),VLOOKUP(Calculator!E23,tbSkills!DH3:DJ6,3,FALSE),0),0))&gt;=100,100,(Backdoors!AI12+IF(CO91&gt;=0.45,VLOOKUP(Calculator!E23,tbSkills!DH3:DI6,2,FALSE)+IF(AND(Calculator!B8=TRUE,Backdoors!BI16=TRUE),VLOOKUP(Calculator!E23,tbSkills!DH3:DJ6,3,FALSE),0),0)))/100)),1),1)</f>
        <v>0.7</v>
      </c>
      <c r="CU91" s="87">
        <f t="shared" si="64"/>
        <v>0</v>
      </c>
      <c r="CV91" s="86" t="str">
        <f>IFERROR(IF(VLOOKUP(A91,tbMoveset!A2:B112,2,FALSE)="Sever",Backdoors!AY17/100,IF(VLOOKUP(A91,tbMoveset!A2:B112,2,FALSE)="Blunt",Backdoors!AZ17/100,Backdoors!BA17/100)),"")</f>
        <v/>
      </c>
      <c r="CW91" s="49">
        <f>IFERROR(IF(VLOOKUP(tbMoveset!A91,tbMoveset!A2:H112,8,FALSE)="Other",IF(VLOOKUP(tbMoveset!A91,tbMoveset!A2:I112,9,FALSE)="Fire",Backdoors!BB17,IF(VLOOKUP(tbMoveset!A91,tbMoveset!A2:I112,9,FALSE)="Water",Backdoors!BC17,IF(VLOOKUP(tbMoveset!A91,tbMoveset!A2:I112,9,FALSE)="Thunder",Backdoors!BD17,IF(VLOOKUP(tbMoveset!A91,tbMoveset!A2:I112,9,FALSE)="Ice",Backdoors!BE17,IF(VLOOKUP(tbMoveset!A91,tbMoveset!A2:I112,9,FALSE)="Dragon",Backdoors!BF17,Backdoors!BG17)))))/100,Backdoors!BG17/100),"")</f>
        <v>0</v>
      </c>
      <c r="CX91" s="49">
        <f>IFERROR(IF(VLOOKUP(A91,tbMoveset!A2:J112,10,FALSE)=TRUE,IF((Backdoors!AI12+IF(CV91&gt;=0.45,VLOOKUP(Calculator!E23,tbSkills!DH3:DI6,2,FALSE)+IF(AND(Calculator!B8=TRUE,Backdoors!BI17=TRUE),VLOOKUP(Calculator!E23,tbSkills!DH3:DJ6,3,FALSE),0),0))&gt;=0,1+(Backdoors!AL2*(IF((Backdoors!AI12+IF(CV91&gt;=0.45,VLOOKUP(Calculator!E23,tbSkills!DH3:DI6,2,FALSE)+IF(AND(Calculator!B8=TRUE,Backdoors!BI17=TRUE),VLOOKUP(Calculator!E23,tbSkills!DH3:DJ6,3,FALSE),0),0))&gt;=100,100,(Backdoors!AI12+IF(CV91&gt;=0.45,VLOOKUP(Calculator!E23,tbSkills!DH3:DI6,2,FALSE)+IF(AND(Calculator!B8=TRUE,Backdoors!BI17=TRUE),VLOOKUP(Calculator!E23,tbSkills!DH3:DJ6,3,FALSE),0),0)))/100)),(1-(0.25*((-Backdoors!AI12-IF(CV91&gt;=0.45,VLOOKUP(Calculator!E23,tbSkills!DH3:DI6,2,FALSE)+IF(AND(Calculator!B8=TRUE,Backdoors!BI17=TRUE),VLOOKUP(Calculator!E23,tbSkills!DH3:DJ6,3,FALSE),0),0))/100)))),1),"")</f>
        <v>1</v>
      </c>
      <c r="CY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V91)*CX91)*(VLOOKUP(A91,tbMoveset!A2:C112,3,FALSE)/100)*IF(VLOOKUP(A91,tbMoveset!A2:B112,2,FALSE)="Projectile",Backdoors!N10,Backdoors!N9),0),"")</f>
        <v/>
      </c>
      <c r="CZ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V91&gt;=0.45,VLOOKUP(Calculator!E23,tbSkills!DH3:DI6,2,FALSE)+IF(AND(Calculator!B8=TRUE,Backdoors!BI17=TRUE),VLOOKUP(Calculator!E23,tbSkills!DH3:DJ6,3,FALSE),0),0))&gt;=100,100,(Backdoors!AI12+IF(CV91&gt;=0.45,VLOOKUP(Calculator!E23,tbSkills!DH3:DI6,2,FALSE)+IF(AND(Calculator!B8=TRUE,Backdoors!BI17=TRUE),VLOOKUP(Calculator!E23,tbSkills!DH3:DJ6,3,FALSE),0),0)))/100)),1))*IF(VLOOKUP(A91,tbMoveset!A2:K112,11,FALSE)=TRUE,Backdoors!AC5,1))*CW91,0),"")</f>
        <v>0</v>
      </c>
      <c r="DA91" s="49">
        <f>VLOOKUP(A91,tbMoveset!A2:G112,7,FALSE)*IFERROR(IF(Backdoors!AI12&gt;=0,1+(IF(Calculator!E40&gt;0,VLOOKUP(Calculator!E40,tbSkills!AI3:AJ5,2,FALSE),Backdoors!AL4)*(IF((Backdoors!AI12+IF(CV91&gt;=0.45,VLOOKUP(Calculator!E23,tbSkills!DH3:DI6,2,FALSE)+IF(AND(Calculator!B8=TRUE,Backdoors!BI17=TRUE),VLOOKUP(Calculator!E23,tbSkills!DH3:DJ6,3,FALSE),0),0))&gt;=100,100,(Backdoors!AI12+IF(CV91&gt;=0.45,VLOOKUP(Calculator!E23,tbSkills!DH3:DI6,2,FALSE)+IF(AND(Calculator!B8=TRUE,Backdoors!BI17=TRUE),VLOOKUP(Calculator!E23,tbSkills!DH3:DJ6,3,FALSE),0),0)))/100)),1),1)</f>
        <v>0.7</v>
      </c>
      <c r="DB91" s="87">
        <f t="shared" si="65"/>
        <v>0</v>
      </c>
      <c r="DC91" s="86" t="str">
        <f>IFERROR(IF(VLOOKUP(A91,tbMoveset!A2:B112,2,FALSE)="Sever",Backdoors!AY18/100,IF(VLOOKUP(A91,tbMoveset!A2:B112,2,FALSE)="Blunt",Backdoors!AZ18/100,Backdoors!BA18/100)),"")</f>
        <v/>
      </c>
      <c r="DD91" s="49">
        <f>IFERROR(IF(VLOOKUP(tbMoveset!A91,tbMoveset!A2:H112,8,FALSE)="Other",IF(VLOOKUP(tbMoveset!A91,tbMoveset!A2:I112,9,FALSE)="Fire",Backdoors!BB18,IF(VLOOKUP(tbMoveset!A91,tbMoveset!A2:I112,9,FALSE)="Water",Backdoors!BC18,IF(VLOOKUP(tbMoveset!A91,tbMoveset!A2:I112,9,FALSE)="Thunder",Backdoors!BD18,IF(VLOOKUP(tbMoveset!A91,tbMoveset!A2:I112,9,FALSE)="Ice",Backdoors!BE18,IF(VLOOKUP(tbMoveset!A91,tbMoveset!A2:I112,9,FALSE)="Dragon",Backdoors!BF18,Backdoors!BG18)))))/100,Backdoors!BG18/100),"")</f>
        <v>0</v>
      </c>
      <c r="DE91" s="49">
        <f>IFERROR(IF(VLOOKUP(A91,tbMoveset!A2:J112,10,FALSE)=TRUE,IF((Backdoors!AI12+IF(DC91&gt;=0.45,VLOOKUP(Calculator!E23,tbSkills!DH3:DI6,2,FALSE)+IF(AND(Calculator!B8=TRUE,Backdoors!BI18=TRUE),VLOOKUP(Calculator!E23,tbSkills!DH3:DJ6,3,FALSE),0),0))&gt;=0,1+(Backdoors!AL2*(IF((Backdoors!AI12+IF(DC91&gt;=0.45,VLOOKUP(Calculator!E23,tbSkills!DH3:DI6,2,FALSE)+IF(AND(Calculator!B8=TRUE,Backdoors!BI18=TRUE),VLOOKUP(Calculator!E23,tbSkills!DH3:DJ6,3,FALSE),0),0))&gt;=100,100,(Backdoors!AI12+IF(DC91&gt;=0.45,VLOOKUP(Calculator!E23,tbSkills!DH3:DI6,2,FALSE)+IF(AND(Calculator!B8=TRUE,Backdoors!BI18=TRUE),VLOOKUP(Calculator!E23,tbSkills!DH3:DJ6,3,FALSE),0),0)))/100)),(1-(0.25*((-Backdoors!AI12-IF(DC91&gt;=0.45,VLOOKUP(Calculator!E23,tbSkills!DH3:DI6,2,FALSE)+IF(AND(Calculator!B8=TRUE,Backdoors!BI18=TRUE),VLOOKUP(Calculator!E23,tbSkills!DH3:DJ6,3,FALSE),0),0))/100)))),1),"")</f>
        <v>1</v>
      </c>
      <c r="DF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C91)*DE91)*(VLOOKUP(A91,tbMoveset!A2:C112,3,FALSE)/100)*IF(VLOOKUP(A91,tbMoveset!A2:B112,2,FALSE)="Projectile",Backdoors!N10,Backdoors!N9),0),"")</f>
        <v/>
      </c>
      <c r="DG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C91&gt;=0.45,VLOOKUP(Calculator!E23,tbSkills!DH3:DI6,2,FALSE)+IF(AND(Calculator!B8=TRUE,Backdoors!BI18=TRUE),VLOOKUP(Calculator!E23,tbSkills!DH3:DJ6,3,FALSE),0),0))&gt;=100,100,(Backdoors!AI12+IF(DC91&gt;=0.45,VLOOKUP(Calculator!E23,tbSkills!DH3:DI6,2,FALSE)+IF(AND(Calculator!B8=TRUE,Backdoors!BI18=TRUE),VLOOKUP(Calculator!E23,tbSkills!DH3:DJ6,3,FALSE),0),0)))/100)),1))*IF(VLOOKUP(A91,tbMoveset!A2:K112,11,FALSE)=TRUE,Backdoors!AC5,1))*DD91,0),"")</f>
        <v>0</v>
      </c>
      <c r="DH91" s="49">
        <f>VLOOKUP(A91,tbMoveset!A2:G112,7,FALSE)*IFERROR(IF(Backdoors!AI12&gt;=0,1+(IF(Calculator!E40&gt;0,VLOOKUP(Calculator!E40,tbSkills!AI3:AJ5,2,FALSE),Backdoors!AL4)*(IF((Backdoors!AI12+IF(DC91&gt;=0.45,VLOOKUP(Calculator!E23,tbSkills!DH3:DI6,2,FALSE)+IF(AND(Calculator!B8=TRUE,Backdoors!BI18=TRUE),VLOOKUP(Calculator!E23,tbSkills!DH3:DJ6,3,FALSE),0),0))&gt;=100,100,(Backdoors!AI12+IF(DC91&gt;=0.45,VLOOKUP(Calculator!E23,tbSkills!DH3:DI6,2,FALSE)+IF(AND(Calculator!B8=TRUE,Backdoors!BI18=TRUE),VLOOKUP(Calculator!E23,tbSkills!DH3:DJ6,3,FALSE),0),0)))/100)),1),1)</f>
        <v>0.7</v>
      </c>
      <c r="DI91" s="87">
        <f t="shared" si="66"/>
        <v>0</v>
      </c>
      <c r="DJ91" s="86" t="str">
        <f>IFERROR(IF(VLOOKUP(A91,tbMoveset!A2:B112,2,FALSE)="Sever",Backdoors!AY19/100,IF(VLOOKUP(A91,tbMoveset!A2:B112,2,FALSE)="Blunt",Backdoors!AZ19/100,Backdoors!BA19/100)),"")</f>
        <v/>
      </c>
      <c r="DK91" s="49">
        <f>IFERROR(IF(VLOOKUP(tbMoveset!A91,tbMoveset!A2:H112,8,FALSE)="Other",IF(VLOOKUP(tbMoveset!A91,tbMoveset!A2:I112,9,FALSE)="Fire",Backdoors!BB19,IF(VLOOKUP(tbMoveset!A91,tbMoveset!A2:I112,9,FALSE)="Water",Backdoors!BC19,IF(VLOOKUP(tbMoveset!A91,tbMoveset!A2:I112,9,FALSE)="Thunder",Backdoors!BD19,IF(VLOOKUP(tbMoveset!A91,tbMoveset!A2:I112,9,FALSE)="Ice",Backdoors!BE19,IF(VLOOKUP(tbMoveset!A91,tbMoveset!A2:I112,9,FALSE)="Dragon",Backdoors!BF19,Backdoors!BG19)))))/100,Backdoors!BG19/100),"")</f>
        <v>0</v>
      </c>
      <c r="DL91" s="49">
        <f>IFERROR(IF(VLOOKUP(A91,tbMoveset!A2:J112,10,FALSE)=TRUE,IF((Backdoors!AI12+IF(DJ91&gt;=0.45,VLOOKUP(Calculator!E23,tbSkills!DH3:DI6,2,FALSE)+IF(AND(Calculator!B8=TRUE,Backdoors!BI19=TRUE),VLOOKUP(Calculator!E23,tbSkills!DH3:DJ6,3,FALSE),0),0))&gt;=0,1+(Backdoors!AL2*(IF((Backdoors!AI12+IF(DJ91&gt;=0.45,VLOOKUP(Calculator!E23,tbSkills!DH3:DI6,2,FALSE)+IF(AND(Calculator!B8=TRUE,Backdoors!BI19=TRUE),VLOOKUP(Calculator!E23,tbSkills!DH3:DJ6,3,FALSE),0),0))&gt;=100,100,(Backdoors!AI12+IF(DJ91&gt;=0.45,VLOOKUP(Calculator!E23,tbSkills!DH3:DI6,2,FALSE)+IF(AND(Calculator!B8=TRUE,Backdoors!BI19=TRUE),VLOOKUP(Calculator!E23,tbSkills!DH3:DJ6,3,FALSE),0),0)))/100)),(1-(0.25*((-Backdoors!AI12-IF(DJ91&gt;=0.45,VLOOKUP(Calculator!E23,tbSkills!DH3:DI6,2,FALSE)+IF(AND(Calculator!B8=TRUE,Backdoors!BI19=TRUE),VLOOKUP(Calculator!E23,tbSkills!DH3:DJ6,3,FALSE),0),0))/100)))),1),"")</f>
        <v>1</v>
      </c>
      <c r="DM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J91)*DL91)*(VLOOKUP(A91,tbMoveset!A2:C112,3,FALSE)/100)*IF(VLOOKUP(A91,tbMoveset!A2:B112,2,FALSE)="Projectile",Backdoors!N10,Backdoors!N9),0),"")</f>
        <v/>
      </c>
      <c r="DN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J91&gt;=0.45,VLOOKUP(Calculator!E23,tbSkills!DH3:DI6,2,FALSE)+IF(AND(Calculator!B8=TRUE,Backdoors!BI19=TRUE),VLOOKUP(Calculator!E23,tbSkills!DH3:DJ6,3,FALSE),0),0))&gt;=100,100,(Backdoors!AI12+IF(DJ91&gt;=0.45,VLOOKUP(Calculator!E23,tbSkills!DH3:DI6,2,FALSE)+IF(AND(Calculator!B8=TRUE,Backdoors!BI19=TRUE),VLOOKUP(Calculator!E23,tbSkills!DH3:DJ6,3,FALSE),0),0)))/100)),1))*IF(VLOOKUP(A91,tbMoveset!A2:K112,11,FALSE)=TRUE,Backdoors!AC5,1))*DK91,0),"")</f>
        <v>0</v>
      </c>
      <c r="DO91" s="49">
        <f>VLOOKUP(A91,tbMoveset!A2:G112,7,FALSE)*IFERROR(IF(Backdoors!AI12&gt;=0,1+(IF(Calculator!E40&gt;0,VLOOKUP(Calculator!E40,tbSkills!AI3:AJ5,2,FALSE),Backdoors!AL4)*(IF((Backdoors!AI12+IF(DJ91&gt;=0.45,VLOOKUP(Calculator!E23,tbSkills!DH3:DI6,2,FALSE)+IF(AND(Calculator!B8=TRUE,Backdoors!BI19=TRUE),VLOOKUP(Calculator!E23,tbSkills!DH3:DJ6,3,FALSE),0),0))&gt;=100,100,(Backdoors!AI12+IF(DJ91&gt;=0.45,VLOOKUP(Calculator!E23,tbSkills!DH3:DI6,2,FALSE)+IF(AND(Calculator!B8=TRUE,Backdoors!BI19=TRUE),VLOOKUP(Calculator!E23,tbSkills!DH3:DJ6,3,FALSE),0),0)))/100)),1),1)</f>
        <v>0.7</v>
      </c>
      <c r="DP91" s="87">
        <f t="shared" si="67"/>
        <v>0</v>
      </c>
      <c r="DQ91" s="86" t="str">
        <f>IFERROR(IF(VLOOKUP(A91,tbMoveset!A2:B112,2,FALSE)="Sever",Backdoors!AY20/100,IF(VLOOKUP(A91,tbMoveset!A2:B112,2,FALSE)="Blunt",Backdoors!AZ20/100,Backdoors!BA20/100)),"")</f>
        <v/>
      </c>
      <c r="DR91" s="49">
        <f>IFERROR(IF(VLOOKUP(tbMoveset!A91,tbMoveset!A2:H112,8,FALSE)="Other",IF(VLOOKUP(tbMoveset!A91,tbMoveset!A2:I112,9,FALSE)="Fire",Backdoors!BB20,IF(VLOOKUP(tbMoveset!A91,tbMoveset!A2:I112,9,FALSE)="Water",Backdoors!BC20,IF(VLOOKUP(tbMoveset!A91,tbMoveset!A2:I112,9,FALSE)="Thunder",Backdoors!BD20,IF(VLOOKUP(tbMoveset!A91,tbMoveset!A2:I112,9,FALSE)="Ice",Backdoors!BE20,IF(VLOOKUP(tbMoveset!A91,tbMoveset!A2:I112,9,FALSE)="Dragon",Backdoors!BF20,Backdoors!BG20)))))/100,Backdoors!BG20/100),"")</f>
        <v>0</v>
      </c>
      <c r="DS91" s="49">
        <f>IFERROR(IF(VLOOKUP(A91,tbMoveset!A2:J112,10,FALSE)=TRUE,IF((Backdoors!AI12+IF(DQ91&gt;=0.45,VLOOKUP(Calculator!E23,tbSkills!DH3:DI6,2,FALSE)+IF(AND(Calculator!B8=TRUE,Backdoors!BI20=TRUE),VLOOKUP(Calculator!E23,tbSkills!DH3:DJ6,3,FALSE),0),0))&gt;=0,1+(Backdoors!AL2*(IF((Backdoors!AI12+IF(DQ91&gt;=0.45,VLOOKUP(Calculator!E23,tbSkills!DH3:DI6,2,FALSE)+IF(AND(Calculator!B8=TRUE,Backdoors!BI20=TRUE),VLOOKUP(Calculator!E23,tbSkills!DH3:DJ6,3,FALSE),0),0))&gt;=100,100,(Backdoors!AI12+IF(DQ91&gt;=0.45,VLOOKUP(Calculator!E23,tbSkills!DH3:DI6,2,FALSE)+IF(AND(Calculator!B8=TRUE,Backdoors!BI20=TRUE),VLOOKUP(Calculator!E23,tbSkills!DH3:DJ6,3,FALSE),0),0)))/100)),(1-(0.25*((-Backdoors!AI12-IF(DQ91&gt;=0.45,VLOOKUP(Calculator!E23,tbSkills!DH3:DI6,2,FALSE)+IF(AND(Calculator!B8=TRUE,Backdoors!BI20=TRUE),VLOOKUP(Calculator!E23,tbSkills!DH3:DJ6,3,FALSE),0),0))/100)))),1),"")</f>
        <v>1</v>
      </c>
      <c r="DT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Q91)*DS91)*(VLOOKUP(A91,tbMoveset!A2:C112,3,FALSE)/100)*IF(VLOOKUP(A91,tbMoveset!A2:B112,2,FALSE)="Projectile",Backdoors!N10,Backdoors!N9),0),"")</f>
        <v/>
      </c>
      <c r="DU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Q91&gt;=0.45,VLOOKUP(Calculator!E23,tbSkills!DH3:DI6,2,FALSE)+IF(AND(Calculator!B8=TRUE,Backdoors!BI20=TRUE),VLOOKUP(Calculator!E23,tbSkills!DH3:DJ6,3,FALSE),0),0))&gt;=100,100,(Backdoors!AI12+IF(DQ91&gt;=0.45,VLOOKUP(Calculator!E23,tbSkills!DH3:DI6,2,FALSE)+IF(AND(Calculator!B8=TRUE,Backdoors!BI20=TRUE),VLOOKUP(Calculator!E23,tbSkills!DH3:DJ6,3,FALSE),0),0)))/100)),1))*IF(VLOOKUP(A91,tbMoveset!A2:K112,11,FALSE)=TRUE,Backdoors!AC5,1))*DR91,0),"")</f>
        <v>0</v>
      </c>
      <c r="DV91" s="49">
        <f>VLOOKUP(A91,tbMoveset!A2:G112,7,FALSE)*IFERROR(IF(Backdoors!AI12&gt;=0,1+(IF(Calculator!E40&gt;0,VLOOKUP(Calculator!E40,tbSkills!AI3:AJ5,2,FALSE),Backdoors!AL4)*(IF((Backdoors!AI12+IF(DQ91&gt;=0.45,VLOOKUP(Calculator!E23,tbSkills!DH3:DI6,2,FALSE)+IF(AND(Calculator!B8=TRUE,Backdoors!BI20=TRUE),VLOOKUP(Calculator!E23,tbSkills!DH3:DJ6,3,FALSE),0),0))&gt;=100,100,(Backdoors!AI12+IF(DQ91&gt;=0.45,VLOOKUP(Calculator!E23,tbSkills!DH3:DI6,2,FALSE)+IF(AND(Calculator!B8=TRUE,Backdoors!BI20=TRUE),VLOOKUP(Calculator!E23,tbSkills!DH3:DJ6,3,FALSE),0),0)))/100)),1),1)</f>
        <v>0.7</v>
      </c>
      <c r="DW91" s="87">
        <f t="shared" si="68"/>
        <v>0</v>
      </c>
      <c r="DX91" s="86" t="str">
        <f>IFERROR(IF(VLOOKUP(A91,tbMoveset!A2:B112,2,FALSE)="Sever",Backdoors!AY21/100,IF(VLOOKUP(A91,tbMoveset!A2:B112,2,FALSE)="Blunt",Backdoors!AZ21/100,Backdoors!BA21/100)),"")</f>
        <v/>
      </c>
      <c r="DY91" s="49">
        <f>IFERROR(IF(VLOOKUP(tbMoveset!A91,tbMoveset!A2:H112,8,FALSE)="Other",IF(VLOOKUP(tbMoveset!A91,tbMoveset!A2:I112,9,FALSE)="Fire",Backdoors!BB21,IF(VLOOKUP(tbMoveset!A91,tbMoveset!A2:I112,9,FALSE)="Water",Backdoors!BC21,IF(VLOOKUP(tbMoveset!A91,tbMoveset!A2:I112,9,FALSE)="Thunder",Backdoors!BD21,IF(VLOOKUP(tbMoveset!A91,tbMoveset!A2:I112,9,FALSE)="Ice",Backdoors!BE21,IF(VLOOKUP(tbMoveset!A91,tbMoveset!A2:I112,9,FALSE)="Dragon",Backdoors!BF21,Backdoors!BG21)))))/100,Backdoors!BG21/100),"")</f>
        <v>0</v>
      </c>
      <c r="DZ91" s="49">
        <f>IFERROR(IF(VLOOKUP(A91,tbMoveset!A2:J112,10,FALSE)=TRUE,IF((Backdoors!AI12+IF(DX91&gt;=0.45,VLOOKUP(Calculator!E23,tbSkills!DH3:DI6,2,FALSE)+IF(AND(Calculator!B8=TRUE,Backdoors!BI21=TRUE),VLOOKUP(Calculator!E23,tbSkills!DH3:DJ6,3,FALSE),0),0))&gt;=0,1+(Backdoors!AL2*(IF((Backdoors!AI12+IF(DX91&gt;=0.45,VLOOKUP(Calculator!E23,tbSkills!DH3:DI6,2,FALSE)+IF(AND(Calculator!B8=TRUE,Backdoors!BI21=TRUE),VLOOKUP(Calculator!E23,tbSkills!DH3:DJ6,3,FALSE),0),0))&gt;=100,100,(Backdoors!AI12+IF(DX91&gt;=0.45,VLOOKUP(Calculator!E23,tbSkills!DH3:DI6,2,FALSE)+IF(AND(Calculator!B8=TRUE,Backdoors!BI21=TRUE),VLOOKUP(Calculator!E23,tbSkills!DH3:DJ6,3,FALSE),0),0)))/100)),(1-(0.25*((-Backdoors!AI12-IF(DX91&gt;=0.45,VLOOKUP(Calculator!E23,tbSkills!DH3:DI6,2,FALSE)+IF(AND(Calculator!B8=TRUE,Backdoors!BI21=TRUE),VLOOKUP(Calculator!E23,tbSkills!DH3:DJ6,3,FALSE),0),0))/100)))),1),"")</f>
        <v>1</v>
      </c>
      <c r="EA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X91)*DZ91)*(VLOOKUP(A91,tbMoveset!A2:C112,3,FALSE)/100)*IF(VLOOKUP(A91,tbMoveset!A2:B112,2,FALSE)="Projectile",Backdoors!N10,Backdoors!N9),0),"")</f>
        <v/>
      </c>
      <c r="EB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X91&gt;=0.45,VLOOKUP(Calculator!E23,tbSkills!DH3:DI6,2,FALSE)+IF(AND(Calculator!B8=TRUE,Backdoors!BI21=TRUE),VLOOKUP(Calculator!E23,tbSkills!DH3:DJ6,3,FALSE),0),0))&gt;=100,100,(Backdoors!AI12+IF(DX91&gt;=0.45,VLOOKUP(Calculator!E23,tbSkills!DH3:DI6,2,FALSE)+IF(AND(Calculator!B8=TRUE,Backdoors!BI21=TRUE),VLOOKUP(Calculator!E23,tbSkills!DH3:DJ6,3,FALSE),0),0)))/100)),1))*IF(VLOOKUP(A91,tbMoveset!A2:K112,11,FALSE)=TRUE,Backdoors!AC5,1))*DY91,0),"")</f>
        <v>0</v>
      </c>
      <c r="EC91" s="49">
        <f>VLOOKUP(A91,tbMoveset!A2:G112,7,FALSE)*IFERROR(IF(Backdoors!AI12&gt;=0,1+(IF(Calculator!E40&gt;0,VLOOKUP(Calculator!E40,tbSkills!AI3:AJ5,2,FALSE),Backdoors!AL4)*(IF((Backdoors!AI12+IF(DX91&gt;=0.45,VLOOKUP(Calculator!E23,tbSkills!DH3:DI6,2,FALSE)+IF(AND(Calculator!B8=TRUE,Backdoors!BI21=TRUE),VLOOKUP(Calculator!E23,tbSkills!DH3:DJ6,3,FALSE),0),0))&gt;=100,100,(Backdoors!AI12+IF(DX91&gt;=0.45,VLOOKUP(Calculator!E23,tbSkills!DH3:DI6,2,FALSE)+IF(AND(Calculator!B8=TRUE,Backdoors!BI21=TRUE),VLOOKUP(Calculator!E23,tbSkills!DH3:DJ6,3,FALSE),0),0)))/100)),1),1)</f>
        <v>0.7</v>
      </c>
      <c r="ED91" s="87">
        <f t="shared" si="69"/>
        <v>0</v>
      </c>
      <c r="EE91" s="86" t="str">
        <f>IFERROR(IF(VLOOKUP(A91,tbMoveset!A2:B112,2,FALSE)="Sever",Backdoors!AY22/100,IF(VLOOKUP(A91,tbMoveset!A2:B112,2,FALSE)="Blunt",Backdoors!AZ22/100,Backdoors!BA22/100)),"")</f>
        <v/>
      </c>
      <c r="EF91" s="49">
        <f>IFERROR(IF(VLOOKUP(tbMoveset!A91,tbMoveset!A2:H112,8,FALSE)="Other",IF(VLOOKUP(tbMoveset!A91,tbMoveset!A2:I112,9,FALSE)="Fire",Backdoors!BB22,IF(VLOOKUP(tbMoveset!A91,tbMoveset!A2:I112,9,FALSE)="Water",Backdoors!BC22,IF(VLOOKUP(tbMoveset!A91,tbMoveset!A2:I112,9,FALSE)="Thunder",Backdoors!BD22,IF(VLOOKUP(tbMoveset!A91,tbMoveset!A2:I112,9,FALSE)="Ice",Backdoors!BE22,IF(VLOOKUP(tbMoveset!A91,tbMoveset!A2:I112,9,FALSE)="Dragon",Backdoors!BF22,Backdoors!BG22)))))/100,Backdoors!BG22/100),"")</f>
        <v>0</v>
      </c>
      <c r="EG91" s="49">
        <f>IFERROR(IF(VLOOKUP(A91,tbMoveset!A2:J112,10,FALSE)=TRUE,IF((Backdoors!AI12+IF(EE91&gt;=0.45,VLOOKUP(Calculator!E23,tbSkills!DH3:DI6,2,FALSE)+IF(AND(Calculator!B8=TRUE,Backdoors!BI22=TRUE),VLOOKUP(Calculator!E23,tbSkills!DH3:DJ6,3,FALSE),0),0))&gt;=0,1+(Backdoors!AL2*(IF((Backdoors!AI12+IF(EE91&gt;=0.45,VLOOKUP(Calculator!E23,tbSkills!DH3:DI6,2,FALSE)+IF(AND(Calculator!B8=TRUE,Backdoors!BI22=TRUE),VLOOKUP(Calculator!E23,tbSkills!DH3:DJ6,3,FALSE),0),0))&gt;=100,100,(Backdoors!AI12+IF(EE91&gt;=0.45,VLOOKUP(Calculator!E23,tbSkills!DH3:DI6,2,FALSE)+IF(AND(Calculator!B8=TRUE,Backdoors!BI22=TRUE),VLOOKUP(Calculator!E23,tbSkills!DH3:DJ6,3,FALSE),0),0)))/100)),(1-(0.25*((-Backdoors!AI12-IF(EE91&gt;=0.45,VLOOKUP(Calculator!E23,tbSkills!DH3:DI6,2,FALSE)+IF(AND(Calculator!B8=TRUE,Backdoors!BI22=TRUE),VLOOKUP(Calculator!E23,tbSkills!DH3:DJ6,3,FALSE),0),0))/100)))),1),"")</f>
        <v>1</v>
      </c>
      <c r="EH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E91)*EG91)*(VLOOKUP(A91,tbMoveset!A2:C112,3,FALSE)/100)*IF(VLOOKUP(A91,tbMoveset!A2:B112,2,FALSE)="Projectile",Backdoors!N10,Backdoors!N9),0),"")</f>
        <v/>
      </c>
      <c r="EI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E91&gt;=0.45,VLOOKUP(Calculator!E23,tbSkills!DH3:DI6,2,FALSE)+IF(AND(Calculator!B8=TRUE,Backdoors!BI22=TRUE),VLOOKUP(Calculator!E23,tbSkills!DH3:DJ6,3,FALSE),0),0))&gt;=100,100,(Backdoors!AI12+IF(EE91&gt;=0.45,VLOOKUP(Calculator!E23,tbSkills!DH3:DI6,2,FALSE)+IF(AND(Calculator!B8=TRUE,Backdoors!BI22=TRUE),VLOOKUP(Calculator!E23,tbSkills!DH3:DJ6,3,FALSE),0),0)))/100)),1))*IF(VLOOKUP(A91,tbMoveset!A2:K112,11,FALSE)=TRUE,Backdoors!AC5,1))*EF91,0),"")</f>
        <v>0</v>
      </c>
      <c r="EJ91" s="49">
        <f>VLOOKUP(A91,tbMoveset!A2:G112,7,FALSE)*IFERROR(IF(Backdoors!AI12&gt;=0,1+(IF(Calculator!E40&gt;0,VLOOKUP(Calculator!E40,tbSkills!AI3:AJ5,2,FALSE),Backdoors!AL4)*(IF((Backdoors!AI12+IF(EE91&gt;=0.45,VLOOKUP(Calculator!E23,tbSkills!DH3:DI6,2,FALSE)+IF(AND(Calculator!B8=TRUE,Backdoors!BI22=TRUE),VLOOKUP(Calculator!E23,tbSkills!DH3:DJ6,3,FALSE),0),0))&gt;=100,100,(Backdoors!AI12+IF(EE91&gt;=0.45,VLOOKUP(Calculator!E23,tbSkills!DH3:DI6,2,FALSE)+IF(AND(Calculator!B8=TRUE,Backdoors!BI22=TRUE),VLOOKUP(Calculator!E23,tbSkills!DH3:DJ6,3,FALSE),0),0)))/100)),1),1)</f>
        <v>0.7</v>
      </c>
      <c r="EK91" s="87">
        <f t="shared" si="70"/>
        <v>0</v>
      </c>
      <c r="EL91" s="86" t="str">
        <f>IFERROR(IF(VLOOKUP(A91,tbMoveset!A2:B112,2,FALSE)="Sever",Backdoors!AY23/100,IF(VLOOKUP(A91,tbMoveset!A2:B112,2,FALSE)="Blunt",Backdoors!AZ23/100,Backdoors!BA23/100)),"")</f>
        <v/>
      </c>
      <c r="EM91" s="49">
        <f>IFERROR(IF(VLOOKUP(tbMoveset!A91,tbMoveset!A2:H112,8,FALSE)="Other",IF(VLOOKUP(tbMoveset!A91,tbMoveset!A2:I112,9,FALSE)="Fire",Backdoors!BB23,IF(VLOOKUP(tbMoveset!A91,tbMoveset!A2:I112,9,FALSE)="Water",Backdoors!BC23,IF(VLOOKUP(tbMoveset!A91,tbMoveset!A2:I112,9,FALSE)="Thunder",Backdoors!BD23,IF(VLOOKUP(tbMoveset!A91,tbMoveset!A2:I112,9,FALSE)="Ice",Backdoors!BE23,IF(VLOOKUP(tbMoveset!A91,tbMoveset!A2:I112,9,FALSE)="Dragon",Backdoors!BF23,Backdoors!BG23)))))/100,Backdoors!BG23/100),"")</f>
        <v>0</v>
      </c>
      <c r="EN91" s="49">
        <f>IFERROR(IF(VLOOKUP(A91,tbMoveset!A2:J112,10,FALSE)=TRUE,IF((Backdoors!AI12+IF(EL91&gt;=0.45,VLOOKUP(Calculator!E23,tbSkills!DH3:DI6,2,FALSE)+IF(AND(Calculator!B8=TRUE,Backdoors!BI23=TRUE),VLOOKUP(Calculator!E23,tbSkills!DH3:DJ6,3,FALSE),0),0))&gt;=0,1+(Backdoors!AL2*(IF((Backdoors!AI12+IF(EL91&gt;=0.45,VLOOKUP(Calculator!E23,tbSkills!DH3:DI6,2,FALSE)+IF(AND(Calculator!B8=TRUE,Backdoors!BI23=TRUE),VLOOKUP(Calculator!E23,tbSkills!DH3:DJ6,3,FALSE),0),0))&gt;=100,100,(Backdoors!AI12+IF(EL91&gt;=0.45,VLOOKUP(Calculator!E23,tbSkills!DH3:DI6,2,FALSE)+IF(AND(Calculator!B8=TRUE,Backdoors!BI23=TRUE),VLOOKUP(Calculator!E23,tbSkills!DH3:DJ6,3,FALSE),0),0)))/100)),(1-(0.25*((-Backdoors!AI12-IF(EL91&gt;=0.45,VLOOKUP(Calculator!E23,tbSkills!DH3:DI6,2,FALSE)+IF(AND(Calculator!B8=TRUE,Backdoors!BI23=TRUE),VLOOKUP(Calculator!E23,tbSkills!DH3:DJ6,3,FALSE),0),0))/100)))),1),"")</f>
        <v>1</v>
      </c>
      <c r="EO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L91)*EN91)*(VLOOKUP(A91,tbMoveset!A2:C112,3,FALSE)/100)*IF(VLOOKUP(A91,tbMoveset!A2:B112,2,FALSE)="Projectile",Backdoors!N10,Backdoors!N9),0),"")</f>
        <v/>
      </c>
      <c r="EP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L91&gt;=0.45,VLOOKUP(Calculator!E23,tbSkills!DH3:DI6,2,FALSE)+IF(AND(Calculator!B8=TRUE,Backdoors!BI23=TRUE),VLOOKUP(Calculator!E23,tbSkills!DH3:DJ6,3,FALSE),0),0))&gt;=100,100,(Backdoors!AI12+IF(EL91&gt;=0.45,VLOOKUP(Calculator!E23,tbSkills!DH3:DI6,2,FALSE)+IF(AND(Calculator!B8=TRUE,Backdoors!BI23=TRUE),VLOOKUP(Calculator!E23,tbSkills!DH3:DJ6,3,FALSE),0),0)))/100)),1))*IF(VLOOKUP(A91,tbMoveset!A2:K112,11,FALSE)=TRUE,Backdoors!AC5,1))*EM91,0),"")</f>
        <v>0</v>
      </c>
      <c r="EQ91" s="49">
        <f>VLOOKUP(A91,tbMoveset!A2:G112,7,FALSE)*IFERROR(IF(Backdoors!AI12&gt;=0,1+(IF(Calculator!E40&gt;0,VLOOKUP(Calculator!E40,tbSkills!AI3:AJ5,2,FALSE),Backdoors!AL4)*(IF((Backdoors!AI12+IF(EL91&gt;=0.45,VLOOKUP(Calculator!E23,tbSkills!DH3:DI6,2,FALSE)+IF(AND(Calculator!B8=TRUE,Backdoors!BI23=TRUE),VLOOKUP(Calculator!E23,tbSkills!DH3:DJ6,3,FALSE),0),0))&gt;=100,100,(Backdoors!AI12+IF(EL91&gt;=0.45,VLOOKUP(Calculator!E23,tbSkills!DH3:DI6,2,FALSE)+IF(AND(Calculator!B8=TRUE,Backdoors!BI23=TRUE),VLOOKUP(Calculator!E23,tbSkills!DH3:DJ6,3,FALSE),0),0)))/100)),1),1)</f>
        <v>0.7</v>
      </c>
      <c r="ER91" s="87">
        <f t="shared" si="71"/>
        <v>0</v>
      </c>
      <c r="ES91" s="86" t="str">
        <f>IFERROR(IF(VLOOKUP(A91,tbMoveset!A2:B112,2,FALSE)="Sever",Backdoors!AY24/100,IF(VLOOKUP(A91,tbMoveset!A2:B112,2,FALSE)="Blunt",Backdoors!AZ24/100,Backdoors!BA24/100)),"")</f>
        <v/>
      </c>
      <c r="ET91" s="49">
        <f>IFERROR(IF(VLOOKUP(tbMoveset!A91,tbMoveset!A2:H112,8,FALSE)="Other",IF(VLOOKUP(tbMoveset!A91,tbMoveset!A2:I112,9,FALSE)="Fire",Backdoors!BB24,IF(VLOOKUP(tbMoveset!A91,tbMoveset!A2:I112,9,FALSE)="Water",Backdoors!BC24,IF(VLOOKUP(tbMoveset!A91,tbMoveset!A2:I112,9,FALSE)="Thunder",Backdoors!BD24,IF(VLOOKUP(tbMoveset!A91,tbMoveset!A2:I112,9,FALSE)="Ice",Backdoors!BE24,IF(VLOOKUP(tbMoveset!A91,tbMoveset!A2:I112,9,FALSE)="Dragon",Backdoors!BF24,Backdoors!BG24)))))/100,Backdoors!BG24/100),"")</f>
        <v>0</v>
      </c>
      <c r="EU91" s="49">
        <f>IFERROR(IF(VLOOKUP(A91,tbMoveset!A2:J112,10,FALSE)=TRUE,IF((Backdoors!AI12+IF(ES91&gt;=0.45,VLOOKUP(Calculator!E23,tbSkills!DH3:DI6,2,FALSE)+IF(AND(Calculator!B8=TRUE,Backdoors!BI24=TRUE),VLOOKUP(Calculator!E23,tbSkills!DH3:DJ6,3,FALSE),0),0))&gt;=0,1+(Backdoors!AL2*(IF((Backdoors!AI12+IF(ES91&gt;=0.45,VLOOKUP(Calculator!E23,tbSkills!DH3:DI6,2,FALSE)+IF(AND(Calculator!B8=TRUE,Backdoors!BI24=TRUE),VLOOKUP(Calculator!E23,tbSkills!DH3:DJ6,3,FALSE),0),0))&gt;=100,100,(Backdoors!AI12+IF(ES91&gt;=0.45,VLOOKUP(Calculator!E23,tbSkills!DH3:DI6,2,FALSE)+IF(AND(Calculator!B8=TRUE,Backdoors!BI24=TRUE),VLOOKUP(Calculator!E23,tbSkills!DH3:DJ6,3,FALSE),0),0)))/100)),(1-(0.25*((-Backdoors!AI12-IF(ES91&gt;=0.45,VLOOKUP(Calculator!E23,tbSkills!DH3:DI6,2,FALSE)+IF(AND(Calculator!B8=TRUE,Backdoors!BI24=TRUE),VLOOKUP(Calculator!E23,tbSkills!DH3:DJ6,3,FALSE),0),0))/100)))),1),"")</f>
        <v>1</v>
      </c>
      <c r="EV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S91)*EU91)*(VLOOKUP(A91,tbMoveset!A2:C112,3,FALSE)/100)*IF(VLOOKUP(A91,tbMoveset!A2:B112,2,FALSE)="Projectile",Backdoors!N10,Backdoors!N9),0),"")</f>
        <v/>
      </c>
      <c r="EW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S91&gt;=0.45,VLOOKUP(Calculator!E23,tbSkills!DH3:DI6,2,FALSE)+IF(AND(Calculator!B8=TRUE,Backdoors!BI24=TRUE),VLOOKUP(Calculator!E23,tbSkills!DH3:DJ6,3,FALSE),0),0))&gt;=100,100,(Backdoors!AI12+IF(ES91&gt;=0.45,VLOOKUP(Calculator!E23,tbSkills!DH3:DI6,2,FALSE)+IF(AND(Calculator!B8=TRUE,Backdoors!BI24=TRUE),VLOOKUP(Calculator!E23,tbSkills!DH3:DJ6,3,FALSE),0),0)))/100)),1))*IF(VLOOKUP(A91,tbMoveset!A2:K112,11,FALSE)=TRUE,Backdoors!AC5,1))*ET91,0),"")</f>
        <v>0</v>
      </c>
      <c r="EX91" s="49">
        <f>VLOOKUP(A91,tbMoveset!A2:G112,7,FALSE)*IFERROR(IF(Backdoors!AI12&gt;=0,1+(IF(Calculator!E40&gt;0,VLOOKUP(Calculator!E40,tbSkills!AI3:AJ5,2,FALSE),Backdoors!AL4)*(IF((Backdoors!AI12+IF(ES91&gt;=0.45,VLOOKUP(Calculator!E23,tbSkills!DH3:DI6,2,FALSE)+IF(AND(Calculator!B8=TRUE,Backdoors!BI24=TRUE),VLOOKUP(Calculator!E23,tbSkills!DH3:DJ6,3,FALSE),0),0))&gt;=100,100,(Backdoors!AI12+IF(ES91&gt;=0.45,VLOOKUP(Calculator!E23,tbSkills!DH3:DI6,2,FALSE)+IF(AND(Calculator!B8=TRUE,Backdoors!BI24=TRUE),VLOOKUP(Calculator!E23,tbSkills!DH3:DJ6,3,FALSE),0),0)))/100)),1),1)</f>
        <v>0.7</v>
      </c>
      <c r="EY91" s="87">
        <f t="shared" si="72"/>
        <v>0</v>
      </c>
      <c r="EZ91" s="86" t="str">
        <f>IFERROR(IF(VLOOKUP(A91,tbMoveset!A2:B112,2,FALSE)="Sever",Backdoors!AY25/100,IF(VLOOKUP(A91,tbMoveset!A2:B112,2,FALSE)="Blunt",Backdoors!AZ25/100,Backdoors!BA25/100)),"")</f>
        <v/>
      </c>
      <c r="FA91" s="49">
        <f>IFERROR(IF(VLOOKUP(tbMoveset!A91,tbMoveset!A2:H112,8,FALSE)="Other",IF(VLOOKUP(tbMoveset!A91,tbMoveset!A2:I112,9,FALSE)="Fire",Backdoors!BB25,IF(VLOOKUP(tbMoveset!A91,tbMoveset!A2:I112,9,FALSE)="Water",Backdoors!BC25,IF(VLOOKUP(tbMoveset!A91,tbMoveset!A2:I112,9,FALSE)="Thunder",Backdoors!BD25,IF(VLOOKUP(tbMoveset!A91,tbMoveset!A2:I112,9,FALSE)="Ice",Backdoors!BE25,IF(VLOOKUP(tbMoveset!A91,tbMoveset!A2:I112,9,FALSE)="Dragon",Backdoors!BF25,Backdoors!BG25)))))/100,Backdoors!BG25/100),"")</f>
        <v>0</v>
      </c>
      <c r="FB91" s="49">
        <f>IFERROR(IF(VLOOKUP(A91,tbMoveset!A2:J112,10,FALSE)=TRUE,IF((Backdoors!AI12+IF(EZ91&gt;=0.45,VLOOKUP(Calculator!E23,tbSkills!DH3:DI6,2,FALSE)+IF(AND(Calculator!B8=TRUE,Backdoors!BI25=TRUE),VLOOKUP(Calculator!E23,tbSkills!DH3:DJ6,3,FALSE),0),0))&gt;=0,1+(Backdoors!AL2*(IF((Backdoors!AI12+IF(EZ91&gt;=0.45,VLOOKUP(Calculator!E23,tbSkills!DH3:DI6,2,FALSE)+IF(AND(Calculator!B8=TRUE,Backdoors!BI25=TRUE),VLOOKUP(Calculator!E23,tbSkills!DH3:DJ6,3,FALSE),0),0))&gt;=100,100,(Backdoors!AI12+IF(EZ91&gt;=0.45,VLOOKUP(Calculator!E23,tbSkills!DH3:DI6,2,FALSE)+IF(AND(Calculator!B8=TRUE,Backdoors!BI25=TRUE),VLOOKUP(Calculator!E23,tbSkills!DH3:DJ6,3,FALSE),0),0)))/100)),(1-(0.25*((-Backdoors!AI12-IF(EZ91&gt;=0.45,VLOOKUP(Calculator!E23,tbSkills!DH3:DI6,2,FALSE)+IF(AND(Calculator!B8=TRUE,Backdoors!BI25=TRUE),VLOOKUP(Calculator!E23,tbSkills!DH3:DJ6,3,FALSE),0),0))/100)))),1),"")</f>
        <v>1</v>
      </c>
      <c r="FC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Z91)*FB91)*(VLOOKUP(A91,tbMoveset!A2:C112,3,FALSE)/100)*IF(VLOOKUP(A91,tbMoveset!A2:B112,2,FALSE)="Projectile",Backdoors!N10,Backdoors!N9),0),"")</f>
        <v/>
      </c>
      <c r="FD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Z91&gt;=0.45,VLOOKUP(Calculator!E23,tbSkills!DH3:DI6,2,FALSE)+IF(AND(Calculator!B8=TRUE,Backdoors!BI25=TRUE),VLOOKUP(Calculator!E23,tbSkills!DH3:DJ6,3,FALSE),0),0))&gt;=100,100,(Backdoors!AI12+IF(EZ91&gt;=0.45,VLOOKUP(Calculator!E23,tbSkills!DH3:DI6,2,FALSE)+IF(AND(Calculator!B8=TRUE,Backdoors!BI25=TRUE),VLOOKUP(Calculator!E23,tbSkills!DH3:DJ6,3,FALSE),0),0)))/100)),1))*IF(VLOOKUP(A91,tbMoveset!A2:K112,11,FALSE)=TRUE,Backdoors!AC5,1))*FA91,0),"")</f>
        <v>0</v>
      </c>
      <c r="FE91" s="49">
        <f>VLOOKUP(A91,tbMoveset!A2:G112,7,FALSE)*IFERROR(IF(Backdoors!AI12&gt;=0,1+(IF(Calculator!E40&gt;0,VLOOKUP(Calculator!E40,tbSkills!AI3:AJ5,2,FALSE),Backdoors!AL4)*(IF((Backdoors!AI12+IF(EZ91&gt;=0.45,VLOOKUP(Calculator!E23,tbSkills!DH3:DI6,2,FALSE)+IF(AND(Calculator!B8=TRUE,Backdoors!BI25=TRUE),VLOOKUP(Calculator!E23,tbSkills!DH3:DJ6,3,FALSE),0),0))&gt;=100,100,(Backdoors!AI12+IF(EZ91&gt;=0.45,VLOOKUP(Calculator!E23,tbSkills!DH3:DI6,2,FALSE)+IF(AND(Calculator!B8=TRUE,Backdoors!BI25=TRUE),VLOOKUP(Calculator!E23,tbSkills!DH3:DJ6,3,FALSE),0),0)))/100)),1),1)</f>
        <v>0.7</v>
      </c>
      <c r="FF91" s="87">
        <f t="shared" si="73"/>
        <v>0</v>
      </c>
      <c r="FG91" s="86" t="str">
        <f>IFERROR(IF(VLOOKUP(A91,tbMoveset!A2:B112,2,FALSE)="Sever",Backdoors!AY26/100,IF(VLOOKUP(A91,tbMoveset!A2:B112,2,FALSE)="Blunt",Backdoors!AZ26/100,Backdoors!BA26/100)),"")</f>
        <v/>
      </c>
      <c r="FH91" s="49">
        <f>IFERROR(IF(VLOOKUP(tbMoveset!A91,tbMoveset!A2:H112,8,FALSE)="Other",IF(VLOOKUP(tbMoveset!A91,tbMoveset!A2:I112,9,FALSE)="Fire",Backdoors!BB26,IF(VLOOKUP(tbMoveset!A91,tbMoveset!A2:I112,9,FALSE)="Water",Backdoors!BC26,IF(VLOOKUP(tbMoveset!A91,tbMoveset!A2:I112,9,FALSE)="Thunder",Backdoors!BD26,IF(VLOOKUP(tbMoveset!A91,tbMoveset!A2:I112,9,FALSE)="Ice",Backdoors!BE26,IF(VLOOKUP(tbMoveset!A91,tbMoveset!A2:I112,9,FALSE)="Dragon",Backdoors!BF26,Backdoors!BG26)))))/100,Backdoors!BG26/100),"")</f>
        <v>0</v>
      </c>
      <c r="FI91" s="49">
        <f>IFERROR(IF(VLOOKUP(A91,tbMoveset!A2:J112,10,FALSE)=TRUE,IF((Backdoors!AI12+IF(FG91&gt;=0.45,VLOOKUP(Calculator!E23,tbSkills!DH3:DI6,2,FALSE)+IF(AND(Calculator!B8=TRUE,Backdoors!BI26=TRUE),VLOOKUP(Calculator!E23,tbSkills!DH3:DJ6,3,FALSE),0),0))&gt;=0,1+(Backdoors!AL2*(IF((Backdoors!AI12+IF(FG91&gt;=0.45,VLOOKUP(Calculator!E23,tbSkills!DH3:DI6,2,FALSE)+IF(AND(Calculator!B8=TRUE,Backdoors!BI26=TRUE),VLOOKUP(Calculator!E23,tbSkills!DH3:DJ6,3,FALSE),0),0))&gt;=100,100,(Backdoors!AI12+IF(FG91&gt;=0.45,VLOOKUP(Calculator!E23,tbSkills!DH3:DI6,2,FALSE)+IF(AND(Calculator!B8=TRUE,Backdoors!BI26=TRUE),VLOOKUP(Calculator!E23,tbSkills!DH3:DJ6,3,FALSE),0),0)))/100)),(1-(0.25*((-Backdoors!AI12-IF(FG91&gt;=0.45,VLOOKUP(Calculator!E23,tbSkills!DH3:DI6,2,FALSE)+IF(AND(Calculator!B8=TRUE,Backdoors!BI26=TRUE),VLOOKUP(Calculator!E23,tbSkills!DH3:DJ6,3,FALSE),0),0))/100)))),1),"")</f>
        <v>1</v>
      </c>
      <c r="FJ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FG91)*FI91)*(VLOOKUP(A91,tbMoveset!A2:C112,3,FALSE)/100)*IF(VLOOKUP(A91,tbMoveset!A2:B112,2,FALSE)="Projectile",Backdoors!N10,Backdoors!N9),0),"")</f>
        <v/>
      </c>
      <c r="FK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FG91&gt;=0.45,VLOOKUP(Calculator!E23,tbSkills!DH3:DI6,2,FALSE)+IF(AND(Calculator!B8=TRUE,Backdoors!BI26=TRUE),VLOOKUP(Calculator!E23,tbSkills!DH3:DJ6,3,FALSE),0),0))&gt;=100,100,(Backdoors!AI12+IF(FG91&gt;=0.45,VLOOKUP(Calculator!E23,tbSkills!DH3:DI6,2,FALSE)+IF(AND(Calculator!B8=TRUE,Backdoors!BI26=TRUE),VLOOKUP(Calculator!E23,tbSkills!DH3:DJ6,3,FALSE),0),0)))/100)),1))*IF(VLOOKUP(A91,tbMoveset!A2:K112,11,FALSE)=TRUE,Backdoors!AC5,1))*FH91,0),"")</f>
        <v>0</v>
      </c>
      <c r="FL91" s="49">
        <f>VLOOKUP(A91,tbMoveset!A2:G112,7,FALSE)*IFERROR(IF(Backdoors!AI12&gt;=0,1+(IF(Calculator!E40&gt;0,VLOOKUP(Calculator!E40,tbSkills!AI3:AJ5,2,FALSE),Backdoors!AL4)*(IF((Backdoors!AI12+IF(FG91&gt;=0.45,VLOOKUP(Calculator!E23,tbSkills!DH3:DI6,2,FALSE)+IF(AND(Calculator!B8=TRUE,Backdoors!BI26=TRUE),VLOOKUP(Calculator!E23,tbSkills!DH3:DJ6,3,FALSE),0),0))&gt;=100,100,(Backdoors!AI12+IF(FG91&gt;=0.45,VLOOKUP(Calculator!E23,tbSkills!DH3:DI6,2,FALSE)+IF(AND(Calculator!B8=TRUE,Backdoors!BI26=TRUE),VLOOKUP(Calculator!E23,tbSkills!DH3:DJ6,3,FALSE),0),0)))/100)),1),1)</f>
        <v>0.7</v>
      </c>
      <c r="FM91" s="87">
        <f t="shared" si="74"/>
        <v>0</v>
      </c>
      <c r="FN91" s="86" t="str">
        <f>IFERROR(IF(VLOOKUP(A91,tbMoveset!A2:B112,2,FALSE)="Sever",Backdoors!AY27/100,IF(VLOOKUP(A91,tbMoveset!A2:B112,2,FALSE)="Blunt",Backdoors!AZ27/100,Backdoors!BA27/100)),"")</f>
        <v/>
      </c>
      <c r="FO91" s="49">
        <f>IFERROR(IF(VLOOKUP(tbMoveset!A91,tbMoveset!A2:H112,8,FALSE)="Other",IF(VLOOKUP(tbMoveset!A91,tbMoveset!A2:I112,9,FALSE)="Fire",Backdoors!BB27,IF(VLOOKUP(tbMoveset!A91,tbMoveset!A2:I112,9,FALSE)="Water",Backdoors!BC27,IF(VLOOKUP(tbMoveset!A91,tbMoveset!A2:I112,9,FALSE)="Thunder",Backdoors!BD27,IF(VLOOKUP(tbMoveset!A91,tbMoveset!A2:I112,9,FALSE)="Ice",Backdoors!BE27,IF(VLOOKUP(tbMoveset!A91,tbMoveset!A2:I112,9,FALSE)="Dragon",Backdoors!BF27,Backdoors!BG27)))))/100,Backdoors!BG27/100),"")</f>
        <v>0</v>
      </c>
      <c r="FP91" s="49">
        <f>IFERROR(IF(VLOOKUP(A91,tbMoveset!A2:J112,10,FALSE)=TRUE,IF((Backdoors!AI12+IF(FN91&gt;=0.45,VLOOKUP(Calculator!E23,tbSkills!DH3:DI6,2,FALSE)+IF(AND(Calculator!B8=TRUE,Backdoors!BI27=TRUE),VLOOKUP(Calculator!E23,tbSkills!DH3:DJ6,3,FALSE),0),0))&gt;=0,1+(Backdoors!AL2*(IF((Backdoors!AI12+IF(FN91&gt;=0.45,VLOOKUP(Calculator!E23,tbSkills!DH3:DI6,2,FALSE)+IF(AND(Calculator!B8=TRUE,Backdoors!BI27=TRUE),VLOOKUP(Calculator!E23,tbSkills!DH3:DJ6,3,FALSE),0),0))&gt;=100,100,(Backdoors!AI12+IF(FN91&gt;=0.45,VLOOKUP(Calculator!E23,tbSkills!DH3:DI6,2,FALSE)+IF(AND(Calculator!B8=TRUE,Backdoors!BI27=TRUE),VLOOKUP(Calculator!E23,tbSkills!DH3:DJ6,3,FALSE),0),0)))/100)),(1-(0.25*((-Backdoors!AI12-IF(FN91&gt;=0.45,VLOOKUP(Calculator!E23,tbSkills!DH3:DI6,2,FALSE)+IF(AND(Calculator!B8=TRUE,Backdoors!BI27=TRUE),VLOOKUP(Calculator!E23,tbSkills!DH3:DJ6,3,FALSE),0),0))/100)))),1),"")</f>
        <v>1</v>
      </c>
      <c r="FQ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FN91)*FP91)*(VLOOKUP(A91,tbMoveset!A2:C112,3,FALSE)/100)*IF(VLOOKUP(A91,tbMoveset!A2:B112,2,FALSE)="Projectile",Backdoors!N10,Backdoors!N9),0),"")</f>
        <v/>
      </c>
      <c r="FR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FN91&gt;=0.45,VLOOKUP(Calculator!E23,tbSkills!DH3:DI6,2,FALSE)+IF(AND(Calculator!B8=TRUE,Backdoors!BI27=TRUE),VLOOKUP(Calculator!E23,tbSkills!DH3:DJ6,3,FALSE),0),0))&gt;=100,100,(Backdoors!AI12+IF(FN91&gt;=0.45,VLOOKUP(Calculator!E23,tbSkills!DH3:DI6,2,FALSE)+IF(AND(Calculator!B8=TRUE,Backdoors!BI27=TRUE),VLOOKUP(Calculator!E23,tbSkills!DH3:DJ6,3,FALSE),0),0)))/100)),1))*IF(VLOOKUP(A91,tbMoveset!A2:K112,11,FALSE)=TRUE,Backdoors!AC5,1))*FO91,0),"")</f>
        <v>0</v>
      </c>
      <c r="FS91" s="49">
        <f>VLOOKUP(A91,tbMoveset!A2:G112,7,FALSE)*IFERROR(IF(Backdoors!AI12&gt;=0,1+(IF(Calculator!E40&gt;0,VLOOKUP(Calculator!E40,tbSkills!AI3:AJ5,2,FALSE),Backdoors!AL4)*(IF((Backdoors!AI12+IF(FN91&gt;=0.45,VLOOKUP(Calculator!E23,tbSkills!DH3:DI6,2,FALSE)+IF(AND(Calculator!B8=TRUE,Backdoors!BI27=TRUE),VLOOKUP(Calculator!E23,tbSkills!DH3:DJ6,3,FALSE),0),0))&gt;=100,100,(Backdoors!AI12+IF(FN91&gt;=0.45,VLOOKUP(Calculator!E23,tbSkills!DH3:DI6,2,FALSE)+IF(AND(Calculator!B8=TRUE,Backdoors!BI27=TRUE),VLOOKUP(Calculator!E23,tbSkills!DH3:DJ6,3,FALSE),0),0)))/100)),1),1)</f>
        <v>0.7</v>
      </c>
      <c r="FT91" s="87">
        <f t="shared" si="75"/>
        <v>0</v>
      </c>
      <c r="FU91" s="86" t="str">
        <f>IFERROR(IF(VLOOKUP(A91,tbMoveset!A2:B112,2,FALSE)="Sever",Backdoors!AY28/100,IF(VLOOKUP(A91,tbMoveset!A2:B112,2,FALSE)="Blunt",Backdoors!AZ28/100,Backdoors!BA28/100)),"")</f>
        <v/>
      </c>
      <c r="FV91" s="49">
        <f>IFERROR(IF(VLOOKUP(tbMoveset!A91,tbMoveset!A2:H112,8,FALSE)="Other",IF(VLOOKUP(tbMoveset!A91,tbMoveset!A2:I112,9,FALSE)="Fire",Backdoors!BB28,IF(VLOOKUP(tbMoveset!A91,tbMoveset!A2:I112,9,FALSE)="Water",Backdoors!BC28,IF(VLOOKUP(tbMoveset!A91,tbMoveset!A2:I112,9,FALSE)="Thunder",Backdoors!BD28,IF(VLOOKUP(tbMoveset!A91,tbMoveset!A2:I112,9,FALSE)="Ice",Backdoors!BE28,IF(VLOOKUP(tbMoveset!A91,tbMoveset!A2:I112,9,FALSE)="Dragon",Backdoors!BF28,Backdoors!BG28)))))/100,Backdoors!BG28/100),"")</f>
        <v>0</v>
      </c>
      <c r="FW91" s="49">
        <f>IFERROR(IF(VLOOKUP(A91,tbMoveset!A2:J112,10,FALSE)=TRUE,IF((Backdoors!AI12+IF(FU91&gt;=0.45,VLOOKUP(Calculator!E23,tbSkills!DH3:DI6,2,FALSE)+IF(AND(Calculator!B8=TRUE,Backdoors!BI28=TRUE),VLOOKUP(Calculator!E23,tbSkills!DH3:DJ6,3,FALSE),0),0))&gt;=0,1+(Backdoors!AL2*(IF((Backdoors!AI12+IF(FU91&gt;=0.45,VLOOKUP(Calculator!E23,tbSkills!DH3:DI6,2,FALSE)+IF(AND(Calculator!B8=TRUE,Backdoors!BI28=TRUE),VLOOKUP(Calculator!E23,tbSkills!DH3:DJ6,3,FALSE),0),0))&gt;=100,100,(Backdoors!AI12+IF(FU91&gt;=0.45,VLOOKUP(Calculator!E23,tbSkills!DH3:DI6,2,FALSE)+IF(AND(Calculator!B8=TRUE,Backdoors!BI28=TRUE),VLOOKUP(Calculator!E23,tbSkills!DH3:DJ6,3,FALSE),0),0)))/100)),(1-(0.25*((-Backdoors!AI12-IF(FU91&gt;=0.45,VLOOKUP(Calculator!E23,tbSkills!DH3:DI6,2,FALSE)+IF(AND(Calculator!B8=TRUE,Backdoors!BI28=TRUE),VLOOKUP(Calculator!E23,tbSkills!DH3:DJ6,3,FALSE),0),0))/100)))),1),"")</f>
        <v>1</v>
      </c>
      <c r="FX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FU91)*FW91)*(VLOOKUP(A91,tbMoveset!A2:C112,3,FALSE)/100)*IF(VLOOKUP(A91,tbMoveset!A2:B112,2,FALSE)="Projectile",Backdoors!N10,Backdoors!N9),0),"")</f>
        <v/>
      </c>
      <c r="FY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FU91&gt;=0.45,VLOOKUP(Calculator!E23,tbSkills!DH3:DI6,2,FALSE)+IF(AND(Calculator!B8=TRUE,Backdoors!BI28=TRUE),VLOOKUP(Calculator!E23,tbSkills!DH3:DJ6,3,FALSE),0),0))&gt;=100,100,(Backdoors!AI12+IF(FU91&gt;=0.45,VLOOKUP(Calculator!E23,tbSkills!DH3:DI6,2,FALSE)+IF(AND(Calculator!B8=TRUE,Backdoors!BI28=TRUE),VLOOKUP(Calculator!E23,tbSkills!DH3:DJ6,3,FALSE),0),0)))/100)),1))*IF(VLOOKUP(A91,tbMoveset!A2:K112,11,FALSE)=TRUE,Backdoors!AC5,1))*FV91,0),"")</f>
        <v>0</v>
      </c>
      <c r="FZ91" s="49">
        <f>VLOOKUP(A91,tbMoveset!A2:G112,7,FALSE)*IFERROR(IF(Backdoors!AI12&gt;=0,1+(IF(Calculator!E40&gt;0,VLOOKUP(Calculator!E40,tbSkills!AI3:AJ5,2,FALSE),Backdoors!AL4)*(IF((Backdoors!AI12+IF(FU91&gt;=0.45,VLOOKUP(Calculator!E23,tbSkills!DH3:DI6,2,FALSE)+IF(AND(Calculator!B8=TRUE,Backdoors!BI28=TRUE),VLOOKUP(Calculator!E23,tbSkills!DH3:DJ6,3,FALSE),0),0))&gt;=100,100,(Backdoors!AI12+IF(FU91&gt;=0.45,VLOOKUP(Calculator!E23,tbSkills!DH3:DI6,2,FALSE)+IF(AND(Calculator!B8=TRUE,Backdoors!BI28=TRUE),VLOOKUP(Calculator!E23,tbSkills!DH3:DJ6,3,FALSE),0),0)))/100)),1),1)</f>
        <v>0.7</v>
      </c>
      <c r="GA91" s="87">
        <f t="shared" si="76"/>
        <v>0</v>
      </c>
      <c r="GB91" s="86" t="str">
        <f>IFERROR(IF(VLOOKUP(A91,tbMoveset!A2:B112,2,FALSE)="Sever",Backdoors!AY29/100,IF(VLOOKUP(A91,tbMoveset!A2:B112,2,FALSE)="Blunt",Backdoors!AZ29/100,Backdoors!BA29/100)),"")</f>
        <v/>
      </c>
      <c r="GC91" s="49">
        <f>IFERROR(IF(VLOOKUP(tbMoveset!A91,tbMoveset!A2:H112,8,FALSE)="Other",IF(VLOOKUP(tbMoveset!A91,tbMoveset!A2:I112,9,FALSE)="Fire",Backdoors!BB29,IF(VLOOKUP(tbMoveset!A91,tbMoveset!A2:I112,9,FALSE)="Water",Backdoors!BC29,IF(VLOOKUP(tbMoveset!A91,tbMoveset!A2:I112,9,FALSE)="Thunder",Backdoors!BD29,IF(VLOOKUP(tbMoveset!A91,tbMoveset!A2:I112,9,FALSE)="Ice",Backdoors!BE29,IF(VLOOKUP(tbMoveset!A91,tbMoveset!A2:I112,9,FALSE)="Dragon",Backdoors!BF29,Backdoors!BG29)))))/100,Backdoors!BG29/100),"")</f>
        <v>0</v>
      </c>
      <c r="GD91" s="49">
        <f>IFERROR(IF(VLOOKUP(A91,tbMoveset!A2:J112,10,FALSE)=TRUE,IF((Backdoors!AI12+IF(GB91&gt;=0.45,VLOOKUP(Calculator!E23,tbSkills!DH3:DI6,2,FALSE)+IF(AND(Calculator!B8=TRUE,Backdoors!BI29=TRUE),VLOOKUP(Calculator!E23,tbSkills!DH3:DJ6,3,FALSE),0),0))&gt;=0,1+(Backdoors!AL2*(IF((Backdoors!AI12+IF(GB91&gt;=0.45,VLOOKUP(Calculator!E23,tbSkills!DH3:DI6,2,FALSE)+IF(AND(Calculator!B8=TRUE,Backdoors!BI29=TRUE),VLOOKUP(Calculator!E23,tbSkills!DH3:DJ6,3,FALSE),0),0))&gt;=100,100,(Backdoors!AI12+IF(GB91&gt;=0.45,VLOOKUP(Calculator!E23,tbSkills!DH3:DI6,2,FALSE)+IF(AND(Calculator!B8=TRUE,Backdoors!BI29=TRUE),VLOOKUP(Calculator!E23,tbSkills!DH3:DJ6,3,FALSE),0),0)))/100)),(1-(0.25*((-Backdoors!AI12-IF(GB91&gt;=0.45,VLOOKUP(Calculator!E23,tbSkills!DH3:DI6,2,FALSE)+IF(AND(Calculator!B8=TRUE,Backdoors!BI29=TRUE),VLOOKUP(Calculator!E23,tbSkills!DH3:DJ6,3,FALSE),0),0))/100)))),1),"")</f>
        <v>1</v>
      </c>
      <c r="GE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B91)*GD91)*(VLOOKUP(A91,tbMoveset!A2:C112,3,FALSE)/100)*IF(VLOOKUP(A91,tbMoveset!A2:B112,2,FALSE)="Projectile",Backdoors!N10,Backdoors!N9),0),"")</f>
        <v/>
      </c>
      <c r="GF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B91&gt;=0.45,VLOOKUP(Calculator!E23,tbSkills!DH3:DI6,2,FALSE)+IF(AND(Calculator!B8=TRUE,Backdoors!BI29=TRUE),VLOOKUP(Calculator!E23,tbSkills!DH3:DJ6,3,FALSE),0),0))&gt;=100,100,(Backdoors!AI12+IF(GB91&gt;=0.45,VLOOKUP(Calculator!E23,tbSkills!DH3:DI6,2,FALSE)+IF(AND(Calculator!B8=TRUE,Backdoors!BI29=TRUE),VLOOKUP(Calculator!E23,tbSkills!DH3:DJ6,3,FALSE),0),0)))/100)),1))*IF(VLOOKUP(A91,tbMoveset!A2:K112,11,FALSE)=TRUE,Backdoors!AC5,1))*GC91,0),"")</f>
        <v>0</v>
      </c>
      <c r="GG91" s="49">
        <f>VLOOKUP(A91,tbMoveset!A2:G112,7,FALSE)*IFERROR(IF(Backdoors!AI12&gt;=0,1+(IF(Calculator!E40&gt;0,VLOOKUP(Calculator!E40,tbSkills!AI3:AJ5,2,FALSE),Backdoors!AL4)*(IF((Backdoors!AI12+IF(GB91&gt;=0.45,VLOOKUP(Calculator!E23,tbSkills!DH3:DI6,2,FALSE)+IF(AND(Calculator!B8=TRUE,Backdoors!BI29=TRUE),VLOOKUP(Calculator!E23,tbSkills!DH3:DJ6,3,FALSE),0),0))&gt;=100,100,(Backdoors!AI12+IF(GB91&gt;=0.45,VLOOKUP(Calculator!E23,tbSkills!DH3:DI6,2,FALSE)+IF(AND(Calculator!B8=TRUE,Backdoors!BI29=TRUE),VLOOKUP(Calculator!E23,tbSkills!DH3:DJ6,3,FALSE),0),0)))/100)),1),1)</f>
        <v>0.7</v>
      </c>
      <c r="GH91" s="87">
        <f t="shared" si="77"/>
        <v>0</v>
      </c>
      <c r="GI91" s="86" t="str">
        <f>IFERROR(IF(VLOOKUP(A91,tbMoveset!A2:B112,2,FALSE)="Sever",Backdoors!AY30/100,IF(VLOOKUP(A91,tbMoveset!A2:B112,2,FALSE)="Blunt",Backdoors!AZ30/100,Backdoors!BA30/100)),"")</f>
        <v/>
      </c>
      <c r="GJ91" s="49">
        <f>IFERROR(IF(VLOOKUP(tbMoveset!A91,tbMoveset!A2:H112,8,FALSE)="Other",IF(VLOOKUP(tbMoveset!A91,tbMoveset!A2:I112,9,FALSE)="Fire",Backdoors!BB30,IF(VLOOKUP(tbMoveset!A91,tbMoveset!A2:I112,9,FALSE)="Water",Backdoors!BC30,IF(VLOOKUP(tbMoveset!A91,tbMoveset!A2:I112,9,FALSE)="Thunder",Backdoors!BD30,IF(VLOOKUP(tbMoveset!A91,tbMoveset!A2:I112,9,FALSE)="Ice",Backdoors!BE30,IF(VLOOKUP(tbMoveset!A91,tbMoveset!A2:I112,9,FALSE)="Dragon",Backdoors!BF30,Backdoors!BG30)))))/100,Backdoors!BG30/100),"")</f>
        <v>0</v>
      </c>
      <c r="GK91" s="49">
        <f>IFERROR(IF(VLOOKUP(A91,tbMoveset!A2:J112,10,FALSE)=TRUE,IF((Backdoors!AI12+IF(GI91&gt;=0.45,VLOOKUP(Calculator!E23,tbSkills!DH3:DI6,2,FALSE)+IF(AND(Calculator!B8=TRUE,Backdoors!BI30=TRUE),VLOOKUP(Calculator!E23,tbSkills!DH3:DJ6,3,FALSE),0),0))&gt;=0,1+(Backdoors!AL2*(IF((Backdoors!AI12+IF(GI91&gt;=0.45,VLOOKUP(Calculator!E23,tbSkills!DH3:DI6,2,FALSE)+IF(AND(Calculator!B8=TRUE,Backdoors!BI30=TRUE),VLOOKUP(Calculator!E23,tbSkills!DH3:DJ6,3,FALSE),0),0))&gt;=100,100,(Backdoors!AI12+IF(GI91&gt;=0.45,VLOOKUP(Calculator!E23,tbSkills!DH3:DI6,2,FALSE)+IF(AND(Calculator!B8=TRUE,Backdoors!BI30=TRUE),VLOOKUP(Calculator!E23,tbSkills!DH3:DJ6,3,FALSE),0),0)))/100)),(1-(0.25*((-Backdoors!AI12-IF(GI91&gt;=0.45,VLOOKUP(Calculator!E23,tbSkills!DH3:DI6,2,FALSE)+IF(AND(Calculator!B8=TRUE,Backdoors!BI30=TRUE),VLOOKUP(Calculator!E23,tbSkills!DH3:DJ6,3,FALSE),0),0))/100)))),1),"")</f>
        <v>1</v>
      </c>
      <c r="GL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I91)*GK91)*(VLOOKUP(A91,tbMoveset!A2:C112,3,FALSE)/100)*IF(VLOOKUP(A91,tbMoveset!A2:B112,2,FALSE)="Projectile",Backdoors!N10,Backdoors!N9),0),"")</f>
        <v/>
      </c>
      <c r="GM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I91&gt;=0.45,VLOOKUP(Calculator!E23,tbSkills!DH3:DI6,2,FALSE)+IF(AND(Calculator!B8=TRUE,Backdoors!BI30=TRUE),VLOOKUP(Calculator!E23,tbSkills!DH3:DJ6,3,FALSE),0),0))&gt;=100,100,(Backdoors!AI12+IF(GI91&gt;=0.45,VLOOKUP(Calculator!E23,tbSkills!DH3:DI6,2,FALSE)+IF(AND(Calculator!B8=TRUE,Backdoors!BI30=TRUE),VLOOKUP(Calculator!E23,tbSkills!DH3:DJ6,3,FALSE),0),0)))/100)),1))*IF(VLOOKUP(A91,tbMoveset!A2:K112,11,FALSE)=TRUE,Backdoors!AC5,1))*GJ91,0),"")</f>
        <v>0</v>
      </c>
      <c r="GN91" s="49">
        <f>VLOOKUP(A91,tbMoveset!A2:G112,7,FALSE)*IFERROR(IF(Backdoors!AI12&gt;=0,1+(IF(Calculator!E40&gt;0,VLOOKUP(Calculator!E40,tbSkills!AI3:AJ5,2,FALSE),Backdoors!AL4)*(IF((Backdoors!AI12+IF(GI91&gt;=0.45,VLOOKUP(Calculator!E23,tbSkills!DH3:DI6,2,FALSE)+IF(AND(Calculator!B8=TRUE,Backdoors!BI30=TRUE),VLOOKUP(Calculator!E23,tbSkills!DH3:DJ6,3,FALSE),0),0))&gt;=100,100,(Backdoors!AI12+IF(GI91&gt;=0.45,VLOOKUP(Calculator!E23,tbSkills!DH3:DI6,2,FALSE)+IF(AND(Calculator!B8=TRUE,Backdoors!BI30=TRUE),VLOOKUP(Calculator!E23,tbSkills!DH3:DJ6,3,FALSE),0),0)))/100)),1),1)</f>
        <v>0.7</v>
      </c>
      <c r="GO91" s="87">
        <f t="shared" si="78"/>
        <v>0</v>
      </c>
      <c r="GP91" s="86" t="str">
        <f>IFERROR(IF(VLOOKUP(A91,tbMoveset!A2:B112,2,FALSE)="Sever",Backdoors!AY31/100,IF(VLOOKUP(A91,tbMoveset!A2:B112,2,FALSE)="Blunt",Backdoors!AZ31/100,Backdoors!BA31/100)),"")</f>
        <v/>
      </c>
      <c r="GQ91" s="49">
        <f>IFERROR(IF(VLOOKUP(tbMoveset!A91,tbMoveset!A2:H112,8,FALSE)="Other",IF(VLOOKUP(tbMoveset!A91,tbMoveset!A2:I112,9,FALSE)="Fire",Backdoors!BB31,IF(VLOOKUP(tbMoveset!A91,tbMoveset!A2:I112,9,FALSE)="Water",Backdoors!BC31,IF(VLOOKUP(tbMoveset!A91,tbMoveset!A2:I112,9,FALSE)="Thunder",Backdoors!BD31,IF(VLOOKUP(tbMoveset!A91,tbMoveset!A2:I112,9,FALSE)="Ice",Backdoors!BE31,IF(VLOOKUP(tbMoveset!A91,tbMoveset!A2:I112,9,FALSE)="Dragon",Backdoors!BF31,Backdoors!BG31)))))/100,Backdoors!BG31/100),"")</f>
        <v>0</v>
      </c>
      <c r="GR91" s="49">
        <f>IFERROR(IF(VLOOKUP(A91,tbMoveset!A2:J112,10,FALSE)=TRUE,IF((Backdoors!AI12+IF(GP91&gt;=0.45,VLOOKUP(Calculator!E23,tbSkills!DH3:DI6,2,FALSE)+IF(AND(Calculator!B8=TRUE,Backdoors!BI31=TRUE),VLOOKUP(Calculator!E23,tbSkills!DH3:DJ6,3,FALSE),0),0))&gt;=0,1+(Backdoors!AL2*(IF((Backdoors!AI12+IF(GP91&gt;=0.45,VLOOKUP(Calculator!E23,tbSkills!DH3:DI6,2,FALSE)+IF(AND(Calculator!B8=TRUE,Backdoors!BI31=TRUE),VLOOKUP(Calculator!E23,tbSkills!DH3:DJ6,3,FALSE),0),0))&gt;=100,100,(Backdoors!AI12+IF(GP91&gt;=0.45,VLOOKUP(Calculator!E23,tbSkills!DH3:DI6,2,FALSE)+IF(AND(Calculator!B8=TRUE,Backdoors!BI31=TRUE),VLOOKUP(Calculator!E23,tbSkills!DH3:DJ6,3,FALSE),0),0)))/100)),(1-(0.25*((-Backdoors!AI12-IF(GP91&gt;=0.45,VLOOKUP(Calculator!E23,tbSkills!DH3:DI6,2,FALSE)+IF(AND(Calculator!B8=TRUE,Backdoors!BI31=TRUE),VLOOKUP(Calculator!E23,tbSkills!DH3:DJ6,3,FALSE),0),0))/100)))),1),"")</f>
        <v>1</v>
      </c>
      <c r="GS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P91)*GR91)*(VLOOKUP(A91,tbMoveset!A2:C112,3,FALSE)/100)*IF(VLOOKUP(A91,tbMoveset!A2:B112,2,FALSE)="Projectile",Backdoors!N10,Backdoors!N9),0),"")</f>
        <v/>
      </c>
      <c r="GT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P91&gt;=0.45,VLOOKUP(Calculator!E23,tbSkills!DH3:DI6,2,FALSE)+IF(AND(Calculator!B8=TRUE,Backdoors!BI31=TRUE),VLOOKUP(Calculator!E23,tbSkills!DH3:DJ6,3,FALSE),0),0))&gt;=100,100,(Backdoors!AI12+IF(GP91&gt;=0.45,VLOOKUP(Calculator!E23,tbSkills!DH3:DI6,2,FALSE)+IF(AND(Calculator!B8=TRUE,Backdoors!BI31=TRUE),VLOOKUP(Calculator!E23,tbSkills!DH3:DJ6,3,FALSE),0),0)))/100)),1))*IF(VLOOKUP(A91,tbMoveset!A2:K112,11,FALSE)=TRUE,Backdoors!AC5,1))*GQ91,0),"")</f>
        <v>0</v>
      </c>
      <c r="GU91" s="49">
        <f>VLOOKUP(A91,tbMoveset!A2:G112,7,FALSE)*IFERROR(IF(Backdoors!AI12&gt;=0,1+(IF(Calculator!E40&gt;0,VLOOKUP(Calculator!E40,tbSkills!AI3:AJ5,2,FALSE),Backdoors!AL4)*(IF((Backdoors!AI12+IF(GP91&gt;=0.45,VLOOKUP(Calculator!E23,tbSkills!DH3:DI6,2,FALSE)+IF(AND(Calculator!B8=TRUE,Backdoors!BI31=TRUE),VLOOKUP(Calculator!E23,tbSkills!DH3:DJ6,3,FALSE),0),0))&gt;=100,100,(Backdoors!AI12+IF(GP91&gt;=0.45,VLOOKUP(Calculator!E23,tbSkills!DH3:DI6,2,FALSE)+IF(AND(Calculator!B8=TRUE,Backdoors!BI31=TRUE),VLOOKUP(Calculator!E23,tbSkills!DH3:DJ6,3,FALSE),0),0)))/100)),1),1)</f>
        <v>0.7</v>
      </c>
      <c r="GV91" s="87">
        <f t="shared" si="79"/>
        <v>0</v>
      </c>
      <c r="GW91" s="86" t="str">
        <f>IFERROR(IF(VLOOKUP(A91,tbMoveset!A2:B112,2,FALSE)="Sever",Backdoors!AY32/100,IF(VLOOKUP(A91,tbMoveset!A2:B112,2,FALSE)="Blunt",Backdoors!AZ32/100,Backdoors!BA32/100)),"")</f>
        <v/>
      </c>
      <c r="GX91" s="49">
        <f>IFERROR(IF(VLOOKUP(tbMoveset!A91,tbMoveset!A2:H112,8,FALSE)="Other",IF(VLOOKUP(tbMoveset!A91,tbMoveset!A2:I112,9,FALSE)="Fire",Backdoors!BB32,IF(VLOOKUP(tbMoveset!A91,tbMoveset!A2:I112,9,FALSE)="Water",Backdoors!BC32,IF(VLOOKUP(tbMoveset!A91,tbMoveset!A2:I112,9,FALSE)="Thunder",Backdoors!BD32,IF(VLOOKUP(tbMoveset!A91,tbMoveset!A2:I112,9,FALSE)="Ice",Backdoors!BE32,IF(VLOOKUP(tbMoveset!A91,tbMoveset!A2:I112,9,FALSE)="Dragon",Backdoors!BF32,Backdoors!BG32)))))/100,Backdoors!BG32/100),"")</f>
        <v>0</v>
      </c>
      <c r="GY91" s="49">
        <f>IFERROR(IF(VLOOKUP(A91,tbMoveset!A2:J112,10,FALSE)=TRUE,IF((Backdoors!AI12+IF(GW91&gt;=0.45,VLOOKUP(Calculator!E23,tbSkills!DH3:DI6,2,FALSE)+IF(AND(Calculator!B8=TRUE,Backdoors!BI32=TRUE),VLOOKUP(Calculator!E23,tbSkills!DH3:DJ6,3,FALSE),0),0))&gt;=0,1+(Backdoors!AL2*(IF((Backdoors!AI12+IF(GW91&gt;=0.45,VLOOKUP(Calculator!E23,tbSkills!DH3:DI6,2,FALSE)+IF(AND(Calculator!B8=TRUE,Backdoors!BI32=TRUE),VLOOKUP(Calculator!E23,tbSkills!DH3:DJ6,3,FALSE),0),0))&gt;=100,100,(Backdoors!AI12+IF(GW91&gt;=0.45,VLOOKUP(Calculator!E23,tbSkills!DH3:DI6,2,FALSE)+IF(AND(Calculator!B8=TRUE,Backdoors!BI32=TRUE),VLOOKUP(Calculator!E23,tbSkills!DH3:DJ6,3,FALSE),0),0)))/100)),(1-(0.25*((-Backdoors!AI12-IF(GW91&gt;=0.45,VLOOKUP(Calculator!E23,tbSkills!DH3:DI6,2,FALSE)+IF(AND(Calculator!B8=TRUE,Backdoors!BI32=TRUE),VLOOKUP(Calculator!E23,tbSkills!DH3:DJ6,3,FALSE),0),0))/100)))),1),"")</f>
        <v>1</v>
      </c>
      <c r="GZ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W91)*GY91)*(VLOOKUP(A91,tbMoveset!A2:C112,3,FALSE)/100)*IF(VLOOKUP(A91,tbMoveset!A2:B112,2,FALSE)="Projectile",Backdoors!N10,Backdoors!N9),0),"")</f>
        <v/>
      </c>
      <c r="HA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W91&gt;=0.45,VLOOKUP(Calculator!E23,tbSkills!DH3:DI6,2,FALSE)+IF(AND(Calculator!B8=TRUE,Backdoors!BI32=TRUE),VLOOKUP(Calculator!E23,tbSkills!DH3:DJ6,3,FALSE),0),0))&gt;=100,100,(Backdoors!AI12+IF(GW91&gt;=0.45,VLOOKUP(Calculator!E23,tbSkills!DH3:DI6,2,FALSE)+IF(AND(Calculator!B8=TRUE,Backdoors!BI32=TRUE),VLOOKUP(Calculator!E23,tbSkills!DH3:DJ6,3,FALSE),0),0)))/100)),1))*IF(VLOOKUP(A91,tbMoveset!A2:K112,11,FALSE)=TRUE,Backdoors!AC5,1))*GX91,0),"")</f>
        <v>0</v>
      </c>
      <c r="HB91" s="49">
        <f>VLOOKUP(A91,tbMoveset!A2:G112,7,FALSE)*IFERROR(IF(Backdoors!AI12&gt;=0,1+(IF(Calculator!E40&gt;0,VLOOKUP(Calculator!E40,tbSkills!AI3:AJ5,2,FALSE),Backdoors!AL4)*(IF((Backdoors!AI12+IF(GW91&gt;=0.45,VLOOKUP(Calculator!E23,tbSkills!DH3:DI6,2,FALSE)+IF(AND(Calculator!B8=TRUE,Backdoors!BI32=TRUE),VLOOKUP(Calculator!E23,tbSkills!DH3:DJ6,3,FALSE),0),0))&gt;=100,100,(Backdoors!AI12+IF(GW91&gt;=0.45,VLOOKUP(Calculator!E23,tbSkills!DH3:DI6,2,FALSE)+IF(AND(Calculator!B8=TRUE,Backdoors!BI32=TRUE),VLOOKUP(Calculator!E23,tbSkills!DH3:DJ6,3,FALSE),0),0)))/100)),1),1)</f>
        <v>0.7</v>
      </c>
      <c r="HC91" s="87">
        <f t="shared" si="80"/>
        <v>0</v>
      </c>
      <c r="HD91" s="86" t="str">
        <f>IFERROR(IF(VLOOKUP(A91,tbMoveset!A2:B112,2,FALSE)="Sever",Backdoors!AY33/100,IF(VLOOKUP(A91,tbMoveset!A2:B112,2,FALSE)="Blunt",Backdoors!AZ33/100,Backdoors!BA33/100)),"")</f>
        <v/>
      </c>
      <c r="HE91" s="49">
        <f>IFERROR(IF(VLOOKUP(tbMoveset!A91,tbMoveset!A2:H112,8,FALSE)="Other",IF(VLOOKUP(tbMoveset!A91,tbMoveset!A2:I112,9,FALSE)="Fire",Backdoors!BB33,IF(VLOOKUP(tbMoveset!A91,tbMoveset!A2:I112,9,FALSE)="Water",Backdoors!BC33,IF(VLOOKUP(tbMoveset!A91,tbMoveset!A2:I112,9,FALSE)="Thunder",Backdoors!BD33,IF(VLOOKUP(tbMoveset!A91,tbMoveset!A2:I112,9,FALSE)="Ice",Backdoors!BE33,IF(VLOOKUP(tbMoveset!A91,tbMoveset!A2:I112,9,FALSE)="Dragon",Backdoors!BF33,Backdoors!BG33)))))/100,Backdoors!BG33/100),"")</f>
        <v>0</v>
      </c>
      <c r="HF91" s="49">
        <f>IFERROR(IF(VLOOKUP(A91,tbMoveset!A2:J112,10,FALSE)=TRUE,IF((Backdoors!AI12+IF(HD91&gt;=0.45,VLOOKUP(Calculator!E23,tbSkills!DH3:DI6,2,FALSE)+IF(AND(Calculator!B8=TRUE,Backdoors!BI33=TRUE),VLOOKUP(Calculator!E23,tbSkills!DH3:DJ6,3,FALSE),0),0))&gt;=0,1+(Backdoors!AL2*(IF((Backdoors!AI12+IF(HD91&gt;=0.45,VLOOKUP(Calculator!E23,tbSkills!DH3:DI6,2,FALSE)+IF(AND(Calculator!B8=TRUE,Backdoors!BI33=TRUE),VLOOKUP(Calculator!E23,tbSkills!DH3:DJ6,3,FALSE),0),0))&gt;=100,100,(Backdoors!AI12+IF(HD91&gt;=0.45,VLOOKUP(Calculator!E23,tbSkills!DH3:DI6,2,FALSE)+IF(AND(Calculator!B8=TRUE,Backdoors!BI33=TRUE),VLOOKUP(Calculator!E23,tbSkills!DH3:DJ6,3,FALSE),0),0)))/100)),(1-(0.25*((-Backdoors!AI12-IF(HD91&gt;=0.45,VLOOKUP(Calculator!E23,tbSkills!DH3:DI6,2,FALSE)+IF(AND(Calculator!B8=TRUE,Backdoors!BI33=TRUE),VLOOKUP(Calculator!E23,tbSkills!DH3:DJ6,3,FALSE),0),0))/100)))),1),"")</f>
        <v>1</v>
      </c>
      <c r="HG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D91)*HF91)*(VLOOKUP(A91,tbMoveset!A2:C112,3,FALSE)/100)*IF(VLOOKUP(A91,tbMoveset!A2:B112,2,FALSE)="Projectile",Backdoors!N10,Backdoors!N9),0),"")</f>
        <v/>
      </c>
      <c r="HH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D91&gt;=0.45,VLOOKUP(Calculator!E23,tbSkills!DH3:DI6,2,FALSE)+IF(AND(Calculator!B8=TRUE,Backdoors!BI33=TRUE),VLOOKUP(Calculator!E23,tbSkills!DH3:DJ6,3,FALSE),0),0))&gt;=100,100,(Backdoors!AI12+IF(HD91&gt;=0.45,VLOOKUP(Calculator!E23,tbSkills!DH3:DI6,2,FALSE)+IF(AND(Calculator!B8=TRUE,Backdoors!BI33=TRUE),VLOOKUP(Calculator!E23,tbSkills!DH3:DJ6,3,FALSE),0),0)))/100)),1))*IF(VLOOKUP(A91,tbMoveset!A2:K112,11,FALSE)=TRUE,Backdoors!AC5,1))*HE91,0),"")</f>
        <v>0</v>
      </c>
      <c r="HI91" s="49">
        <f>VLOOKUP(A91,tbMoveset!A2:G112,7,FALSE)*IFERROR(IF(Backdoors!AI12&gt;=0,1+(IF(Calculator!E40&gt;0,VLOOKUP(Calculator!E40,tbSkills!AI3:AJ5,2,FALSE),Backdoors!AL4)*(IF((Backdoors!AI12+IF(HD91&gt;=0.45,VLOOKUP(Calculator!E23,tbSkills!DH3:DI6,2,FALSE)+IF(AND(Calculator!B8=TRUE,Backdoors!BI33=TRUE),VLOOKUP(Calculator!E23,tbSkills!DH3:DJ6,3,FALSE),0),0))&gt;=100,100,(Backdoors!AI12+IF(HD91&gt;=0.45,VLOOKUP(Calculator!E23,tbSkills!DH3:DI6,2,FALSE)+IF(AND(Calculator!B8=TRUE,Backdoors!BI33=TRUE),VLOOKUP(Calculator!E23,tbSkills!DH3:DJ6,3,FALSE),0),0)))/100)),1),1)</f>
        <v>0.7</v>
      </c>
      <c r="HJ91" s="87">
        <f t="shared" si="81"/>
        <v>0</v>
      </c>
      <c r="HK91" s="86" t="str">
        <f>IFERROR(IF(VLOOKUP(A91,tbMoveset!A2:B112,2,FALSE)="Sever",Backdoors!AY34/100,IF(VLOOKUP(A91,tbMoveset!A2:B112,2,FALSE)="Blunt",Backdoors!AZ34/100,Backdoors!BA34/100)),"")</f>
        <v/>
      </c>
      <c r="HL91" s="49">
        <f>IFERROR(IF(VLOOKUP(tbMoveset!A91,tbMoveset!A2:H112,8,FALSE)="Other",IF(VLOOKUP(tbMoveset!A91,tbMoveset!A2:I112,9,FALSE)="Fire",Backdoors!BB34,IF(VLOOKUP(tbMoveset!A91,tbMoveset!A2:I112,9,FALSE)="Water",Backdoors!BC34,IF(VLOOKUP(tbMoveset!A91,tbMoveset!A2:I112,9,FALSE)="Thunder",Backdoors!BD34,IF(VLOOKUP(tbMoveset!A91,tbMoveset!A2:I112,9,FALSE)="Ice",Backdoors!BE34,IF(VLOOKUP(tbMoveset!A91,tbMoveset!A2:I112,9,FALSE)="Dragon",Backdoors!BF34,Backdoors!BG34)))))/100,Backdoors!BG34/100),"")</f>
        <v>0</v>
      </c>
      <c r="HM91" s="49">
        <f>IFERROR(IF(VLOOKUP(A91,tbMoveset!A2:J112,10,FALSE)=TRUE,IF((Backdoors!AI12+IF(HK91&gt;=0.45,VLOOKUP(Calculator!E23,tbSkills!DH3:DI6,2,FALSE)+IF(AND(Calculator!B8=TRUE,Backdoors!BI34=TRUE),VLOOKUP(Calculator!E23,tbSkills!DH3:DJ6,3,FALSE),0),0))&gt;=0,1+(Backdoors!AL2*(IF((Backdoors!AI12+IF(HK91&gt;=0.45,VLOOKUP(Calculator!E23,tbSkills!DH3:DI6,2,FALSE)+IF(AND(Calculator!B8=TRUE,Backdoors!BI34=TRUE),VLOOKUP(Calculator!E23,tbSkills!DH3:DJ6,3,FALSE),0),0))&gt;=100,100,(Backdoors!AI12+IF(HK91&gt;=0.45,VLOOKUP(Calculator!E23,tbSkills!DH3:DI6,2,FALSE)+IF(AND(Calculator!B8=TRUE,Backdoors!BI34=TRUE),VLOOKUP(Calculator!E23,tbSkills!DH3:DJ6,3,FALSE),0),0)))/100)),(1-(0.25*((-Backdoors!AI12-IF(HK91&gt;=0.45,VLOOKUP(Calculator!E23,tbSkills!DH3:DI6,2,FALSE)+IF(AND(Calculator!B8=TRUE,Backdoors!BI34=TRUE),VLOOKUP(Calculator!E23,tbSkills!DH3:DJ6,3,FALSE),0),0))/100)))),1),"")</f>
        <v>1</v>
      </c>
      <c r="HN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K91)*HM91)*(VLOOKUP(A91,tbMoveset!A2:C112,3,FALSE)/100)*IF(VLOOKUP(A91,tbMoveset!A2:B112,2,FALSE)="Projectile",Backdoors!N10,Backdoors!N9),0),"")</f>
        <v/>
      </c>
      <c r="HO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K91&gt;=0.45,VLOOKUP(Calculator!E23,tbSkills!DH3:DI6,2,FALSE)+IF(AND(Calculator!B8=TRUE,Backdoors!BI34=TRUE),VLOOKUP(Calculator!E23,tbSkills!DH3:DJ6,3,FALSE),0),0))&gt;=100,100,(Backdoors!AI12+IF(HK91&gt;=0.45,VLOOKUP(Calculator!E23,tbSkills!DH3:DI6,2,FALSE)+IF(AND(Calculator!B8=TRUE,Backdoors!BI34=TRUE),VLOOKUP(Calculator!E23,tbSkills!DH3:DJ6,3,FALSE),0),0)))/100)),1))*IF(VLOOKUP(A91,tbMoveset!A2:K112,11,FALSE)=TRUE,Backdoors!AC5,1))*HL91,0),"")</f>
        <v>0</v>
      </c>
      <c r="HP91" s="49">
        <f>VLOOKUP(A91,tbMoveset!A2:G112,7,FALSE)*IFERROR(IF(Backdoors!AI12&gt;=0,1+(IF(Calculator!E40&gt;0,VLOOKUP(Calculator!E40,tbSkills!AI3:AJ5,2,FALSE),Backdoors!AL4)*(IF((Backdoors!AI12+IF(HK91&gt;=0.45,VLOOKUP(Calculator!E23,tbSkills!DH3:DI6,2,FALSE)+IF(AND(Calculator!B8=TRUE,Backdoors!BI34=TRUE),VLOOKUP(Calculator!E23,tbSkills!DH3:DJ6,3,FALSE),0),0))&gt;=100,100,(Backdoors!AI12+IF(HK91&gt;=0.45,VLOOKUP(Calculator!E23,tbSkills!DH3:DI6,2,FALSE)+IF(AND(Calculator!B8=TRUE,Backdoors!BI34=TRUE),VLOOKUP(Calculator!E23,tbSkills!DH3:DJ6,3,FALSE),0),0)))/100)),1),1)</f>
        <v>0.7</v>
      </c>
      <c r="HQ91" s="87">
        <f t="shared" si="82"/>
        <v>0</v>
      </c>
      <c r="HR91" s="86" t="str">
        <f>IFERROR(IF(VLOOKUP(A91,tbMoveset!A2:B112,2,FALSE)="Sever",Backdoors!AY35/100,IF(VLOOKUP(A91,tbMoveset!A2:B112,2,FALSE)="Blunt",Backdoors!AZ35/100,Backdoors!BA35/100)),"")</f>
        <v/>
      </c>
      <c r="HS91" s="49">
        <f>IFERROR(IF(VLOOKUP(tbMoveset!A91,tbMoveset!A2:H112,8,FALSE)="Other",IF(VLOOKUP(tbMoveset!A91,tbMoveset!A2:I112,9,FALSE)="Fire",Backdoors!BB35,IF(VLOOKUP(tbMoveset!A91,tbMoveset!A2:I112,9,FALSE)="Water",Backdoors!BC35,IF(VLOOKUP(tbMoveset!A91,tbMoveset!A2:I112,9,FALSE)="Thunder",Backdoors!BD35,IF(VLOOKUP(tbMoveset!A91,tbMoveset!A2:I112,9,FALSE)="Ice",Backdoors!BE35,IF(VLOOKUP(tbMoveset!A91,tbMoveset!A2:I112,9,FALSE)="Dragon",Backdoors!BF35,Backdoors!BG35)))))/100,Backdoors!BG35/100),"")</f>
        <v>0</v>
      </c>
      <c r="HT91" s="49">
        <f>IFERROR(IF(VLOOKUP(A91,tbMoveset!A2:J112,10,FALSE)=TRUE,IF((Backdoors!AI12+IF(HR91&gt;=0.45,VLOOKUP(Calculator!E23,tbSkills!DH3:DI6,2,FALSE)+IF(AND(Calculator!B8=TRUE,Backdoors!BI35=TRUE),VLOOKUP(Calculator!E23,tbSkills!DH3:DJ6,3,FALSE),0),0))&gt;=0,1+(Backdoors!AL2*(IF((Backdoors!AI12+IF(HR91&gt;=0.45,VLOOKUP(Calculator!E23,tbSkills!DH3:DI6,2,FALSE)+IF(AND(Calculator!B8=TRUE,Backdoors!BI35=TRUE),VLOOKUP(Calculator!E23,tbSkills!DH3:DJ6,3,FALSE),0),0))&gt;=100,100,(Backdoors!AI12+IF(HR91&gt;=0.45,VLOOKUP(Calculator!E23,tbSkills!DH3:DI6,2,FALSE)+IF(AND(Calculator!B8=TRUE,Backdoors!BI35=TRUE),VLOOKUP(Calculator!E23,tbSkills!DH3:DJ6,3,FALSE),0),0)))/100)),(1-(0.25*((-Backdoors!AI12-IF(HR91&gt;=0.45,VLOOKUP(Calculator!E23,tbSkills!DH3:DI6,2,FALSE)+IF(AND(Calculator!B8=TRUE,Backdoors!BI35=TRUE),VLOOKUP(Calculator!E23,tbSkills!DH3:DJ6,3,FALSE),0),0))/100)))),1),"")</f>
        <v>1</v>
      </c>
      <c r="HU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R91)*HT91)*(VLOOKUP(A91,tbMoveset!A2:C112,3,FALSE)/100)*IF(VLOOKUP(A91,tbMoveset!A2:B112,2,FALSE)="Projectile",Backdoors!N10,Backdoors!N9),0),"")</f>
        <v/>
      </c>
      <c r="HV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R91&gt;=0.45,VLOOKUP(Calculator!E23,tbSkills!DH3:DI6,2,FALSE)+IF(AND(Calculator!B8=TRUE,Backdoors!BI35=TRUE),VLOOKUP(Calculator!E23,tbSkills!DH3:DJ6,3,FALSE),0),0))&gt;=100,100,(Backdoors!AI12+IF(HR91&gt;=0.45,VLOOKUP(Calculator!E23,tbSkills!DH3:DI6,2,FALSE)+IF(AND(Calculator!B8=TRUE,Backdoors!BI35=TRUE),VLOOKUP(Calculator!E23,tbSkills!DH3:DJ6,3,FALSE),0),0)))/100)),1))*IF(VLOOKUP(A91,tbMoveset!A2:K112,11,FALSE)=TRUE,Backdoors!AC5,1))*HS91,0),"")</f>
        <v>0</v>
      </c>
      <c r="HW91" s="49">
        <f>VLOOKUP(A91,tbMoveset!A2:G112,7,FALSE)*IFERROR(IF(Backdoors!AI12&gt;=0,1+(IF(Calculator!E40&gt;0,VLOOKUP(Calculator!E40,tbSkills!AI3:AJ5,2,FALSE),Backdoors!AL4)*(IF((Backdoors!AI12+IF(HR91&gt;=0.45,VLOOKUP(Calculator!E23,tbSkills!DH3:DI6,2,FALSE)+IF(AND(Calculator!B8=TRUE,Backdoors!BI35=TRUE),VLOOKUP(Calculator!E23,tbSkills!DH3:DJ6,3,FALSE),0),0))&gt;=100,100,(Backdoors!AI12+IF(HR91&gt;=0.45,VLOOKUP(Calculator!E23,tbSkills!DH3:DI6,2,FALSE)+IF(AND(Calculator!B8=TRUE,Backdoors!BI35=TRUE),VLOOKUP(Calculator!E23,tbSkills!DH3:DJ6,3,FALSE),0),0)))/100)),1),1)</f>
        <v>0.7</v>
      </c>
      <c r="HX91" s="87">
        <f t="shared" si="83"/>
        <v>0</v>
      </c>
      <c r="HY91" s="86" t="str">
        <f>IFERROR(IF(VLOOKUP(A91,tbMoveset!A2:B112,2,FALSE)="Sever",Backdoors!AY36/100,IF(VLOOKUP(A91,tbMoveset!A2:B112,2,FALSE)="Blunt",Backdoors!AZ36/100,Backdoors!BA36/100)),"")</f>
        <v/>
      </c>
      <c r="HZ91" s="49">
        <f>IFERROR(IF(VLOOKUP(tbMoveset!A91,tbMoveset!A2:H112,8,FALSE)="Other",IF(VLOOKUP(tbMoveset!A91,tbMoveset!A2:I112,9,FALSE)="Fire",Backdoors!BB36,IF(VLOOKUP(tbMoveset!A91,tbMoveset!A2:I112,9,FALSE)="Water",Backdoors!BC36,IF(VLOOKUP(tbMoveset!A91,tbMoveset!A2:I112,9,FALSE)="Thunder",Backdoors!BD36,IF(VLOOKUP(tbMoveset!A91,tbMoveset!A2:I112,9,FALSE)="Ice",Backdoors!BE36,IF(VLOOKUP(tbMoveset!A91,tbMoveset!A2:I112,9,FALSE)="Dragon",Backdoors!BF36,Backdoors!BG36)))))/100,Backdoors!BG36/100),"")</f>
        <v>0</v>
      </c>
      <c r="IA91" s="49">
        <f>IFERROR(IF(VLOOKUP(A91,tbMoveset!A2:J112,10,FALSE)=TRUE,IF((Backdoors!AI12+IF(HY91&gt;=0.45,VLOOKUP(Calculator!E23,tbSkills!DH3:DI6,2,FALSE)+IF(AND(Calculator!B8=TRUE,Backdoors!BI36=TRUE),VLOOKUP(Calculator!E23,tbSkills!DH3:DJ6,3,FALSE),0),0))&gt;=0,1+(Backdoors!AL2*(IF((Backdoors!AI12+IF(HY91&gt;=0.45,VLOOKUP(Calculator!E23,tbSkills!DH3:DI6,2,FALSE)+IF(AND(Calculator!B8=TRUE,Backdoors!BI36=TRUE),VLOOKUP(Calculator!E23,tbSkills!DH3:DJ6,3,FALSE),0),0))&gt;=100,100,(Backdoors!AI12+IF(HY91&gt;=0.45,VLOOKUP(Calculator!E23,tbSkills!DH3:DI6,2,FALSE)+IF(AND(Calculator!B8=TRUE,Backdoors!BI36=TRUE),VLOOKUP(Calculator!E23,tbSkills!DH3:DJ6,3,FALSE),0),0)))/100)),(1-(0.25*((-Backdoors!AI12-IF(HY91&gt;=0.45,VLOOKUP(Calculator!E23,tbSkills!DH3:DI6,2,FALSE)+IF(AND(Calculator!B8=TRUE,Backdoors!BI36=TRUE),VLOOKUP(Calculator!E23,tbSkills!DH3:DJ6,3,FALSE),0),0))/100)))),1),"")</f>
        <v>1</v>
      </c>
      <c r="IB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Y91)*IA91)*(VLOOKUP(A91,tbMoveset!A2:C112,3,FALSE)/100)*IF(VLOOKUP(A91,tbMoveset!A2:B112,2,FALSE)="Projectile",Backdoors!N10,Backdoors!N9),0),"")</f>
        <v/>
      </c>
      <c r="IC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Y91&gt;=0.45,VLOOKUP(Calculator!E23,tbSkills!DH3:DI6,2,FALSE)+IF(AND(Calculator!B8=TRUE,Backdoors!BI36=TRUE),VLOOKUP(Calculator!E23,tbSkills!DH3:DJ6,3,FALSE),0),0))&gt;=100,100,(Backdoors!AI12+IF(HY91&gt;=0.45,VLOOKUP(Calculator!E23,tbSkills!DH3:DI6,2,FALSE)+IF(AND(Calculator!B8=TRUE,Backdoors!BI36=TRUE),VLOOKUP(Calculator!E23,tbSkills!DH3:DJ6,3,FALSE),0),0)))/100)),1))*IF(VLOOKUP(A91,tbMoveset!A2:K112,11,FALSE)=TRUE,Backdoors!AC5,1))*HZ91,0),"")</f>
        <v>0</v>
      </c>
      <c r="ID91" s="49">
        <f>VLOOKUP(A91,tbMoveset!A2:G112,7,FALSE)*IFERROR(IF(Backdoors!AI12&gt;=0,1+(IF(Calculator!E40&gt;0,VLOOKUP(Calculator!E40,tbSkills!AI3:AJ5,2,FALSE),Backdoors!AL4)*(IF((Backdoors!AI12+IF(HY91&gt;=0.45,VLOOKUP(Calculator!E23,tbSkills!DH3:DI6,2,FALSE)+IF(AND(Calculator!B8=TRUE,Backdoors!BI36=TRUE),VLOOKUP(Calculator!E23,tbSkills!DH3:DJ6,3,FALSE),0),0))&gt;=100,100,(Backdoors!AI12+IF(HY91&gt;=0.45,VLOOKUP(Calculator!E23,tbSkills!DH3:DI6,2,FALSE)+IF(AND(Calculator!B8=TRUE,Backdoors!BI36=TRUE),VLOOKUP(Calculator!E23,tbSkills!DH3:DJ6,3,FALSE),0),0)))/100)),1),1)</f>
        <v>0.7</v>
      </c>
      <c r="IE91" s="87">
        <f t="shared" si="84"/>
        <v>0</v>
      </c>
      <c r="IF91" s="86" t="str">
        <f>IFERROR(IF(VLOOKUP(A91,tbMoveset!A2:B112,2,FALSE)="Sever",Backdoors!AY37/100,IF(VLOOKUP(A91,tbMoveset!A2:B112,2,FALSE)="Blunt",Backdoors!AZ37/100,Backdoors!BA37/100)),"")</f>
        <v/>
      </c>
      <c r="IG91" s="49">
        <f>IFERROR(IF(VLOOKUP(tbMoveset!A91,tbMoveset!A2:H112,8,FALSE)="Other",IF(VLOOKUP(tbMoveset!A91,tbMoveset!A2:I112,9,FALSE)="Fire",Backdoors!BB37,IF(VLOOKUP(tbMoveset!A91,tbMoveset!A2:I112,9,FALSE)="Water",Backdoors!BC37,IF(VLOOKUP(tbMoveset!A91,tbMoveset!A2:I112,9,FALSE)="Thunder",Backdoors!BD37,IF(VLOOKUP(tbMoveset!A91,tbMoveset!A2:I112,9,FALSE)="Ice",Backdoors!BE37,IF(VLOOKUP(tbMoveset!A91,tbMoveset!A2:I112,9,FALSE)="Dragon",Backdoors!BF37,Backdoors!BG37)))))/100,Backdoors!BG37/100),"")</f>
        <v>0</v>
      </c>
      <c r="IH91" s="49">
        <f>IFERROR(IF(VLOOKUP(A91,tbMoveset!A2:J112,10,FALSE)=TRUE,IF((Backdoors!AI12+IF(IF91&gt;=0.45,VLOOKUP(Calculator!E23,tbSkills!DH3:DI6,2,FALSE)+IF(AND(Calculator!B8=TRUE,Backdoors!BI37=TRUE),VLOOKUP(Calculator!E23,tbSkills!DH3:DJ6,3,FALSE),0),0))&gt;=0,1+(Backdoors!AL2*(IF((Backdoors!AI12+IF(IF91&gt;=0.45,VLOOKUP(Calculator!E23,tbSkills!DH3:DI6,2,FALSE)+IF(AND(Calculator!B8=TRUE,Backdoors!BI37=TRUE),VLOOKUP(Calculator!E23,tbSkills!DH3:DJ6,3,FALSE),0),0))&gt;=100,100,(Backdoors!AI12+IF(IF91&gt;=0.45,VLOOKUP(Calculator!E23,tbSkills!DH3:DI6,2,FALSE)+IF(AND(Calculator!B8=TRUE,Backdoors!BI37=TRUE),VLOOKUP(Calculator!E23,tbSkills!DH3:DJ6,3,FALSE),0),0)))/100)),(1-(0.25*((-Backdoors!AI12-IF(IF91&gt;=0.45,VLOOKUP(Calculator!E23,tbSkills!DH3:DI6,2,FALSE)+IF(AND(Calculator!B8=TRUE,Backdoors!BI37=TRUE),VLOOKUP(Calculator!E23,tbSkills!DH3:DJ6,3,FALSE),0),0))/100)))),1),"")</f>
        <v>1</v>
      </c>
      <c r="II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F91)*IH91)*(VLOOKUP(A91,tbMoveset!A2:C112,3,FALSE)/100)*IF(VLOOKUP(A91,tbMoveset!A2:B112,2,FALSE)="Projectile",Backdoors!N10,Backdoors!N9),0),"")</f>
        <v/>
      </c>
      <c r="IJ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IF91&gt;=0.45,VLOOKUP(Calculator!E23,tbSkills!DH3:DI6,2,FALSE)+IF(AND(Calculator!B8=TRUE,Backdoors!BI37=TRUE),VLOOKUP(Calculator!E23,tbSkills!DH3:DJ6,3,FALSE),0),0))&gt;=100,100,(Backdoors!AI12+IF(IF91&gt;=0.45,VLOOKUP(Calculator!E23,tbSkills!DH3:DI6,2,FALSE)+IF(AND(Calculator!B8=TRUE,Backdoors!BI37=TRUE),VLOOKUP(Calculator!E23,tbSkills!DH3:DJ6,3,FALSE),0),0)))/100)),1))*IF(VLOOKUP(A91,tbMoveset!A2:K112,11,FALSE)=TRUE,Backdoors!AC5,1))*IG91,0),"")</f>
        <v>0</v>
      </c>
      <c r="IK91" s="49">
        <f>VLOOKUP(A91,tbMoveset!A2:G112,7,FALSE)*IFERROR(IF(Backdoors!AI12&gt;=0,1+(IF(Calculator!E40&gt;0,VLOOKUP(Calculator!E40,tbSkills!AI3:AJ5,2,FALSE),Backdoors!AL4)*(IF((Backdoors!AI12+IF(IF91&gt;=0.45,VLOOKUP(Calculator!E23,tbSkills!DH3:DI6,2,FALSE)+IF(AND(Calculator!B8=TRUE,Backdoors!BI37=TRUE),VLOOKUP(Calculator!E23,tbSkills!DH3:DJ6,3,FALSE),0),0))&gt;=100,100,(Backdoors!AI12+IF(IF91&gt;=0.45,VLOOKUP(Calculator!E23,tbSkills!DH3:DI6,2,FALSE)+IF(AND(Calculator!B8=TRUE,Backdoors!BI37=TRUE),VLOOKUP(Calculator!E23,tbSkills!DH3:DJ6,3,FALSE),0),0)))/100)),1),1)</f>
        <v>0.7</v>
      </c>
      <c r="IL91" s="87">
        <f t="shared" si="85"/>
        <v>0</v>
      </c>
      <c r="IM91" s="86" t="str">
        <f>IFERROR(IF(VLOOKUP(A91,tbMoveset!A2:B112,2,FALSE)="Sever",Backdoors!AY38/100,IF(VLOOKUP(A91,tbMoveset!A2:B112,2,FALSE)="Blunt",Backdoors!AZ38/100,Backdoors!BA38/100)),"")</f>
        <v/>
      </c>
      <c r="IN91" s="49">
        <f>IFERROR(IF(VLOOKUP(tbMoveset!A91,tbMoveset!A2:H112,8,FALSE)="Other",IF(VLOOKUP(tbMoveset!A91,tbMoveset!A2:I112,9,FALSE)="Fire",Backdoors!BB38,IF(VLOOKUP(tbMoveset!A91,tbMoveset!A2:I112,9,FALSE)="Water",Backdoors!BC38,IF(VLOOKUP(tbMoveset!A91,tbMoveset!A2:I112,9,FALSE)="Thunder",Backdoors!BD38,IF(VLOOKUP(tbMoveset!A91,tbMoveset!A2:I112,9,FALSE)="Ice",Backdoors!BE38,IF(VLOOKUP(tbMoveset!A91,tbMoveset!A2:I112,9,FALSE)="Dragon",Backdoors!BF38,Backdoors!BG38)))))/100,Backdoors!BG38/100),"")</f>
        <v>0</v>
      </c>
      <c r="IO91" s="49">
        <f>IFERROR(IF(VLOOKUP(A91,tbMoveset!A2:J112,10,FALSE)=TRUE,IF((Backdoors!AI12+IF(IM91&gt;=0.45,VLOOKUP(Calculator!E23,tbSkills!DH3:DI6,2,FALSE)+IF(AND(Calculator!B8=TRUE,Backdoors!BI38=TRUE),VLOOKUP(Calculator!E23,tbSkills!DH3:DJ6,3,FALSE),0),0))&gt;=0,1+(Backdoors!AL2*(IF((Backdoors!AI12+IF(IM91&gt;=0.45,VLOOKUP(Calculator!E23,tbSkills!DH3:DI6,2,FALSE)+IF(AND(Calculator!B8=TRUE,Backdoors!BI38=TRUE),VLOOKUP(Calculator!E23,tbSkills!DH3:DJ6,3,FALSE),0),0))&gt;=100,100,(Backdoors!AI12+IF(IM91&gt;=0.45,VLOOKUP(Calculator!E23,tbSkills!DH3:DI6,2,FALSE)+IF(AND(Calculator!B8=TRUE,Backdoors!BI38=TRUE),VLOOKUP(Calculator!E23,tbSkills!DH3:DJ6,3,FALSE),0),0)))/100)),(1-(0.25*((-Backdoors!AI12-IF(IM91&gt;=0.45,VLOOKUP(Calculator!E23,tbSkills!DH3:DI6,2,FALSE)+IF(AND(Calculator!B8=TRUE,Backdoors!BI38=TRUE),VLOOKUP(Calculator!E23,tbSkills!DH3:DJ6,3,FALSE),0),0))/100)))),1),"")</f>
        <v>1</v>
      </c>
      <c r="IP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M91)*IO91)*(VLOOKUP(A91,tbMoveset!A2:C112,3,FALSE)/100)*IF(VLOOKUP(A91,tbMoveset!A2:B112,2,FALSE)="Projectile",Backdoors!N10,Backdoors!N9),0),"")</f>
        <v/>
      </c>
      <c r="IQ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IM91&gt;=0.45,VLOOKUP(Calculator!E23,tbSkills!DH3:DI6,2,FALSE)+IF(AND(Calculator!B8=TRUE,Backdoors!BI38=TRUE),VLOOKUP(Calculator!E23,tbSkills!DH3:DJ6,3,FALSE),0),0))&gt;=100,100,(Backdoors!AI12+IF(IM91&gt;=0.45,VLOOKUP(Calculator!E23,tbSkills!DH3:DI6,2,FALSE)+IF(AND(Calculator!B8=TRUE,Backdoors!BI38=TRUE),VLOOKUP(Calculator!E23,tbSkills!DH3:DJ6,3,FALSE),0),0)))/100)),1))*IF(VLOOKUP(A91,tbMoveset!A2:K112,11,FALSE)=TRUE,Backdoors!AC5,1))*IN91,0),"")</f>
        <v>0</v>
      </c>
      <c r="IR91" s="49">
        <f>VLOOKUP(A91,tbMoveset!A2:G112,7,FALSE)*IFERROR(IF(Backdoors!AI12&gt;=0,1+(IF(Calculator!E40&gt;0,VLOOKUP(Calculator!E40,tbSkills!AI3:AJ5,2,FALSE),Backdoors!AL4)*(IF((Backdoors!AI12+IF(IM91&gt;=0.45,VLOOKUP(Calculator!E23,tbSkills!DH3:DI6,2,FALSE)+IF(AND(Calculator!B8=TRUE,Backdoors!BI38=TRUE),VLOOKUP(Calculator!E23,tbSkills!DH3:DJ6,3,FALSE),0),0))&gt;=100,100,(Backdoors!AI12+IF(IM91&gt;=0.45,VLOOKUP(Calculator!E23,tbSkills!DH3:DI6,2,FALSE)+IF(AND(Calculator!B8=TRUE,Backdoors!BI38=TRUE),VLOOKUP(Calculator!E23,tbSkills!DH3:DJ6,3,FALSE),0),0)))/100)),1),1)</f>
        <v>0.7</v>
      </c>
      <c r="IS91" s="87">
        <f t="shared" si="86"/>
        <v>0</v>
      </c>
      <c r="IT91" s="86" t="str">
        <f>IFERROR(IF(VLOOKUP(A91,tbMoveset!A2:B112,2,FALSE)="Sever",Backdoors!AY39/100,IF(VLOOKUP(A91,tbMoveset!A2:B112,2,FALSE)="Blunt",Backdoors!AZ39/100,Backdoors!BA39/100)),"")</f>
        <v/>
      </c>
      <c r="IU91" s="49">
        <f>IFERROR(IF(VLOOKUP(tbMoveset!A91,tbMoveset!A2:H112,8,FALSE)="Other",IF(VLOOKUP(tbMoveset!A91,tbMoveset!A2:I112,9,FALSE)="Fire",Backdoors!BB39,IF(VLOOKUP(tbMoveset!A91,tbMoveset!A2:I112,9,FALSE)="Water",Backdoors!BC39,IF(VLOOKUP(tbMoveset!A91,tbMoveset!A2:I112,9,FALSE)="Thunder",Backdoors!BD39,IF(VLOOKUP(tbMoveset!A91,tbMoveset!A2:I112,9,FALSE)="Ice",Backdoors!BE39,IF(VLOOKUP(tbMoveset!A91,tbMoveset!A2:I112,9,FALSE)="Dragon",Backdoors!BF39,Backdoors!BG39)))))/100,Backdoors!BG39/100),"")</f>
        <v>0</v>
      </c>
      <c r="IV91" s="49">
        <f>IFERROR(IF(VLOOKUP(A91,tbMoveset!A2:J112,10,FALSE)=TRUE,IF((Backdoors!AI12+IF(IT91&gt;=0.45,VLOOKUP(Calculator!E23,tbSkills!DH3:DI6,2,FALSE)+IF(AND(Calculator!B8=TRUE,Backdoors!BI39=TRUE),VLOOKUP(Calculator!E23,tbSkills!DH3:DJ6,3,FALSE),0),0))&gt;=0,1+(Backdoors!AL2*(IF((Backdoors!AI12+IF(IT91&gt;=0.45,VLOOKUP(Calculator!E23,tbSkills!DH3:DI6,2,FALSE)+IF(AND(Calculator!B8=TRUE,Backdoors!BI39=TRUE),VLOOKUP(Calculator!E23,tbSkills!DH3:DJ6,3,FALSE),0),0))&gt;=100,100,(Backdoors!AI12+IF(IT91&gt;=0.45,VLOOKUP(Calculator!E23,tbSkills!DH3:DI6,2,FALSE)+IF(AND(Calculator!B8=TRUE,Backdoors!BI39=TRUE),VLOOKUP(Calculator!E23,tbSkills!DH3:DJ6,3,FALSE),0),0)))/100)),(1-(0.25*((-Backdoors!AI12-IF(IT91&gt;=0.45,VLOOKUP(Calculator!E23,tbSkills!DH3:DI6,2,FALSE)+IF(AND(Calculator!B8=TRUE,Backdoors!BI39=TRUE),VLOOKUP(Calculator!E23,tbSkills!DH3:DJ6,3,FALSE),0),0))/100)))),1),"")</f>
        <v>1</v>
      </c>
      <c r="IW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T91)*IV91)*(VLOOKUP(A91,tbMoveset!A2:C112,3,FALSE)/100)*IF(VLOOKUP(A91,tbMoveset!A2:B112,2,FALSE)="Projectile",Backdoors!N10,Backdoors!N9),0),"")</f>
        <v/>
      </c>
      <c r="IX91" s="49">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40&gt;0,VLOOKUP(Calculator!E40,tbSkills!AC3:AD5,2,FALSE),Backdoors!AL3)*(IF((Backdoors!AI12+IF(IT91&gt;=0.45,VLOOKUP(Calculator!E23,tbSkills!DH3:DI6,2,FALSE)+IF(AND(Calculator!B8=TRUE,Backdoors!BI39=TRUE),VLOOKUP(Calculator!E23,tbSkills!DH3:DJ6,3,FALSE),0),0))&gt;=100,100,(Backdoors!AI12+IF(IT91&gt;=0.45,VLOOKUP(Calculator!E23,tbSkills!DH3:DI6,2,FALSE)+IF(AND(Calculator!B8=TRUE,Backdoors!BI39=TRUE),VLOOKUP(Calculator!E23,tbSkills!DH3:DJ6,3,FALSE),0),0)))/100)),1))*IF(VLOOKUP(A91,tbMoveset!A2:K112,11,FALSE)=TRUE,Backdoors!AC5,1))*IU91,0),"")</f>
        <v>0</v>
      </c>
      <c r="IY91" s="49">
        <f>VLOOKUP(A91,tbMoveset!A2:G112,7,FALSE)*IFERROR(IF(Backdoors!AI12&gt;=0,1+(IF(Calculator!E40&gt;0,VLOOKUP(Calculator!E40,tbSkills!AI3:AJ5,2,FALSE),Backdoors!AL4)*(IF((Backdoors!AI12+IF(IT91&gt;=0.45,VLOOKUP(Calculator!E23,tbSkills!DH3:DI6,2,FALSE)+IF(AND(Calculator!B8=TRUE,Backdoors!BI39=TRUE),VLOOKUP(Calculator!E23,tbSkills!DH3:DJ6,3,FALSE),0),0))&gt;=100,100,(Backdoors!AI12+IF(IT91&gt;=0.45,VLOOKUP(Calculator!E23,tbSkills!DH3:DI6,2,FALSE)+IF(AND(Calculator!B8=TRUE,Backdoors!BI39=TRUE),VLOOKUP(Calculator!E23,tbSkills!DH3:DJ6,3,FALSE),0),0)))/100)),1),1)</f>
        <v>0.7</v>
      </c>
      <c r="IZ91" s="87">
        <f t="shared" si="87"/>
        <v>0</v>
      </c>
      <c r="JA91" s="86" t="str">
        <f>IFERROR(IF(VLOOKUP(A91,tbMoveset!A2:B112,2,FALSE)="Sever",Backdoors!AY40/100,IF(VLOOKUP(A91,tbMoveset!A2:B112,2,FALSE)="Blunt",Backdoors!AZ40/100,Backdoors!BA40/100)),"")</f>
        <v/>
      </c>
      <c r="JB91" s="49">
        <f>IFERROR(IF(VLOOKUP(tbMoveset!A91,tbMoveset!A2:H112,8,FALSE)="Other",IF(VLOOKUP(tbMoveset!A91,tbMoveset!A2:I112,9,FALSE)="Fire",Backdoors!BB40,IF(VLOOKUP(tbMoveset!A91,tbMoveset!A2:I112,9,FALSE)="Water",Backdoors!BC40,IF(VLOOKUP(tbMoveset!A91,tbMoveset!A2:I112,9,FALSE)="Thunder",Backdoors!BD40,IF(VLOOKUP(tbMoveset!A91,tbMoveset!A2:I112,9,FALSE)="Ice",Backdoors!BE40,IF(VLOOKUP(tbMoveset!A91,tbMoveset!A2:I112,9,FALSE)="Dragon",Backdoors!BF40,Backdoors!BG40)))))/100,Backdoors!BG40/100),"")</f>
        <v>0</v>
      </c>
      <c r="JC91" s="49">
        <f>IFERROR(IF(VLOOKUP(A91,tbMoveset!A2:J112,10,FALSE)=TRUE,IF((Backdoors!AI12+IF(JA91&gt;=0.45,VLOOKUP(Calculator!E23,tbSkills!DH3:DI6,2,FALSE)+IF(AND(Calculator!B8=TRUE,Backdoors!BI40=TRUE),VLOOKUP(Calculator!E23,tbSkills!DH3:DJ6,3,FALSE),0),0))&gt;=0,1+(Backdoors!AL2*(IF((Backdoors!AI12+IF(JA91&gt;=0.45,VLOOKUP(Calculator!E23,tbSkills!DH3:DI6,2,FALSE)+IF(AND(Calculator!B8=TRUE,Backdoors!BI40=TRUE),VLOOKUP(Calculator!E23,tbSkills!DH3:DJ6,3,FALSE),0),0))&gt;=100,100,(Backdoors!AI12+IF(JA91&gt;=0.45,VLOOKUP(Calculator!E23,tbSkills!DH3:DI6,2,FALSE)+IF(AND(Calculator!B8=TRUE,Backdoors!BI40=TRUE),VLOOKUP(Calculator!E23,tbSkills!DH3:DJ6,3,FALSE),0),0)))/100)),(1-(0.25*((-Backdoors!AI12-IF(JA91&gt;=0.45,VLOOKUP(Calculator!E23,tbSkills!DH3:DI6,2,FALSE)+IF(AND(Calculator!B8=TRUE,Backdoors!BI40=TRUE),VLOOKUP(Calculator!E23,tbSkills!DH3:DJ6,3,FALSE),0),0))/100)))),1),"")</f>
        <v>1</v>
      </c>
      <c r="JD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A91)*JC91)*(VLOOKUP(A91,tbMoveset!A2:C112,3,FALSE)/100)*IF(VLOOKUP(A91,tbMoveset!A2:B112,2,FALSE)="Projectile",Backdoors!N10,Backdoors!N9),0),"")</f>
        <v/>
      </c>
      <c r="JE91" s="49">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42&gt;0,VLOOKUP(Calculator!E42,tbSkills!AC3:AD5,2,FALSE),Backdoors!AL3)*(IF((Backdoors!AI12+IF(JA91&gt;=0.45,VLOOKUP(Calculator!E23,tbSkills!DH3:DI6,2,FALSE)+IF(AND(Calculator!B8=TRUE,Backdoors!BI40=TRUE),VLOOKUP(Calculator!E23,tbSkills!DH3:DJ6,3,FALSE),0),0))&gt;=100,100,(Backdoors!AI12+IF(JA91&gt;=0.45,VLOOKUP(Calculator!E23,tbSkills!DH3:DI6,2,FALSE)+IF(AND(Calculator!B8=TRUE,Backdoors!BI40=TRUE),VLOOKUP(Calculator!E23,tbSkills!DH3:DJ6,3,FALSE),0),0)))/100)),1))*IF(VLOOKUP(A91,tbMoveset!A2:K112,11,FALSE)=TRUE,Backdoors!AC5,1))*JB91,0),"")</f>
        <v>0</v>
      </c>
      <c r="JF91" s="49">
        <f>VLOOKUP(A91,tbMoveset!A2:G112,7,FALSE)*IFERROR(IF(Backdoors!AI12&gt;=0,1+(IF(Calculator!E40&gt;0,VLOOKUP(Calculator!E40,tbSkills!AI3:AJ5,2,FALSE),Backdoors!AL4)*(IF((Backdoors!AI12+IF(JA91&gt;=0.45,VLOOKUP(Calculator!E23,tbSkills!DH3:DI6,2,FALSE)+IF(AND(Calculator!B8=TRUE,Backdoors!BI40=TRUE),VLOOKUP(Calculator!E23,tbSkills!DH3:DJ6,3,FALSE),0),0))&gt;=100,100,(Backdoors!AI12+IF(JA91&gt;=0.45,VLOOKUP(Calculator!E23,tbSkills!DH3:DI6,2,FALSE)+IF(AND(Calculator!B8=TRUE,Backdoors!BI40=TRUE),VLOOKUP(Calculator!E23,tbSkills!DH3:DJ6,3,FALSE),0),0)))/100)),1),1)</f>
        <v>0.7</v>
      </c>
      <c r="JG91" s="87">
        <f t="shared" si="88"/>
        <v>0</v>
      </c>
      <c r="JH91" s="86" t="str">
        <f>IFERROR(IF(VLOOKUP(A91,tbMoveset!A2:B112,2,FALSE)="Sever",Backdoors!AY41/100,IF(VLOOKUP(A91,tbMoveset!A2:B112,2,FALSE)="Blunt",Backdoors!AZ41/100,Backdoors!BA41/100)),"")</f>
        <v/>
      </c>
      <c r="JI91" s="49">
        <f>IFERROR(IF(VLOOKUP(tbMoveset!A91,tbMoveset!A2:H112,8,FALSE)="Other",IF(VLOOKUP(tbMoveset!A91,tbMoveset!A2:I112,9,FALSE)="Fire",Backdoors!BB41,IF(VLOOKUP(tbMoveset!A91,tbMoveset!A2:I112,9,FALSE)="Water",Backdoors!BC41,IF(VLOOKUP(tbMoveset!A91,tbMoveset!A2:I112,9,FALSE)="Thunder",Backdoors!BD41,IF(VLOOKUP(tbMoveset!A91,tbMoveset!A2:I112,9,FALSE)="Ice",Backdoors!BE41,IF(VLOOKUP(tbMoveset!A91,tbMoveset!A2:I112,9,FALSE)="Dragon",Backdoors!BF41,Backdoors!BG41)))))/100,Backdoors!BG41/100),"")</f>
        <v>0</v>
      </c>
      <c r="JJ91" s="49">
        <f>IFERROR(IF(VLOOKUP(A91,tbMoveset!A2:J112,10,FALSE)=TRUE,IF((Backdoors!AI12+IF(JH91&gt;=0.45,VLOOKUP(Calculator!E23,tbSkills!DH3:DI6,2,FALSE)+IF(AND(Calculator!B8=TRUE,Backdoors!BI41=TRUE),VLOOKUP(Calculator!E23,tbSkills!DH3:DJ6,3,FALSE),0),0))&gt;=0,1+(Backdoors!AL2*(IF((Backdoors!AI12+IF(JH91&gt;=0.45,VLOOKUP(Calculator!E23,tbSkills!DH3:DI6,2,FALSE)+IF(AND(Calculator!B8=TRUE,Backdoors!BI41=TRUE),VLOOKUP(Calculator!E23,tbSkills!DH3:DJ6,3,FALSE),0),0))&gt;=100,100,(Backdoors!AI12+IF(JH91&gt;=0.45,VLOOKUP(Calculator!E23,tbSkills!DH3:DI6,2,FALSE)+IF(AND(Calculator!B8=TRUE,Backdoors!BI41=TRUE),VLOOKUP(Calculator!E23,tbSkills!DH3:DJ6,3,FALSE),0),0)))/100)),(1-(0.25*((-Backdoors!AI12-IF(JH91&gt;=0.45,VLOOKUP(Calculator!E23,tbSkills!DH3:DI6,2,FALSE)+IF(AND(Calculator!B8=TRUE,Backdoors!BI41=TRUE),VLOOKUP(Calculator!E23,tbSkills!DH3:DJ6,3,FALSE),0),0))/100)))),1),"")</f>
        <v>1</v>
      </c>
      <c r="JK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H91)*JJ91)*(VLOOKUP(A91,tbMoveset!A2:C112,3,FALSE)/100)*IF(VLOOKUP(A91,tbMoveset!A2:B112,2,FALSE)="Projectile",Backdoors!N10,Backdoors!N9),0),"")</f>
        <v/>
      </c>
      <c r="JL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43&gt;0,VLOOKUP(Calculator!E43,tbSkills!AC3:AD5,2,FALSE),Backdoors!AL3)*(IF((Backdoors!AI12+IF(JH91&gt;=0.45,VLOOKUP(Calculator!E23,tbSkills!DH3:DI6,2,FALSE)+IF(AND(Calculator!B8=TRUE,Backdoors!BI41=TRUE),VLOOKUP(Calculator!E23,tbSkills!DH3:DJ6,3,FALSE),0),0))&gt;=100,100,(Backdoors!AI12+IF(JH91&gt;=0.45,VLOOKUP(Calculator!E23,tbSkills!DH3:DI6,2,FALSE)+IF(AND(Calculator!B8=TRUE,Backdoors!BI41=TRUE),VLOOKUP(Calculator!E23,tbSkills!DH3:DJ6,3,FALSE),0),0)))/100)),1))*IF(VLOOKUP(A91,tbMoveset!A2:K112,11,FALSE)=TRUE,Backdoors!AC5,1))*JI91,0),"")</f>
        <v/>
      </c>
      <c r="JM91" s="49">
        <f>VLOOKUP(A91,tbMoveset!A2:G112,7,FALSE)*IFERROR(IF(Backdoors!AI12&gt;=0,1+(IF(Calculator!E40&gt;0,VLOOKUP(Calculator!E40,tbSkills!AI3:AJ5,2,FALSE),Backdoors!AL4)*(IF((Backdoors!AI12+IF(JH91&gt;=0.45,VLOOKUP(Calculator!E23,tbSkills!DH3:DI6,2,FALSE)+IF(AND(Calculator!B8=TRUE,Backdoors!BI41=TRUE),VLOOKUP(Calculator!E23,tbSkills!DH3:DJ6,3,FALSE),0),0))&gt;=100,100,(Backdoors!AI12+IF(JH91&gt;=0.45,VLOOKUP(Calculator!E23,tbSkills!DH3:DI6,2,FALSE)+IF(AND(Calculator!B8=TRUE,Backdoors!BI41=TRUE),VLOOKUP(Calculator!E23,tbSkills!DH3:DJ6,3,FALSE),0),0)))/100)),1),1)</f>
        <v>0.7</v>
      </c>
      <c r="JN91" s="87">
        <f t="shared" si="89"/>
        <v>0</v>
      </c>
      <c r="JO91" s="86" t="str">
        <f>IFERROR(IF(VLOOKUP(A91,tbMoveset!A2:B112,2,FALSE)="Sever",Backdoors!AY42/100,IF(VLOOKUP(A91,tbMoveset!A2:B112,2,FALSE)="Blunt",Backdoors!AZ42/100,Backdoors!BA42/100)),"")</f>
        <v/>
      </c>
      <c r="JP91" s="49">
        <f>IFERROR(IF(VLOOKUP(tbMoveset!A91,tbMoveset!A2:H112,8,FALSE)="Other",IF(VLOOKUP(tbMoveset!A91,tbMoveset!A2:I112,9,FALSE)="Fire",Backdoors!BB42,IF(VLOOKUP(tbMoveset!A91,tbMoveset!A2:I112,9,FALSE)="Water",Backdoors!BC42,IF(VLOOKUP(tbMoveset!A91,tbMoveset!A2:I112,9,FALSE)="Thunder",Backdoors!BD42,IF(VLOOKUP(tbMoveset!A91,tbMoveset!A2:I112,9,FALSE)="Ice",Backdoors!BE42,IF(VLOOKUP(tbMoveset!A91,tbMoveset!A2:I112,9,FALSE)="Dragon",Backdoors!BF42,Backdoors!BG42)))))/100,Backdoors!BG42/100),"")</f>
        <v>0</v>
      </c>
      <c r="JQ91" s="49">
        <f>IFERROR(IF(VLOOKUP(A91,tbMoveset!A2:J112,10,FALSE)=TRUE,IF((Backdoors!AI12+IF(JO91&gt;=0.45,VLOOKUP(Calculator!E23,tbSkills!DH3:DI6,2,FALSE)+IF(AND(Calculator!B8=TRUE,Backdoors!BI42=TRUE),VLOOKUP(Calculator!E23,tbSkills!DH3:DJ6,3,FALSE),0),0))&gt;=0,1+(Backdoors!AL2*(IF((Backdoors!AI12+IF(JO91&gt;=0.45,VLOOKUP(Calculator!E23,tbSkills!DH3:DI6,2,FALSE)+IF(AND(Calculator!B8=TRUE,Backdoors!BI42=TRUE),VLOOKUP(Calculator!E23,tbSkills!DH3:DJ6,3,FALSE),0),0))&gt;=100,100,(Backdoors!AI12+IF(JO91&gt;=0.45,VLOOKUP(Calculator!E23,tbSkills!DH3:DI6,2,FALSE)+IF(AND(Calculator!B8=TRUE,Backdoors!BI42=TRUE),VLOOKUP(Calculator!E23,tbSkills!DH3:DJ6,3,FALSE),0),0)))/100)),(1-(0.25*((-Backdoors!AI12-IF(JO91&gt;=0.45,VLOOKUP(Calculator!E23,tbSkills!DH3:DI6,2,FALSE)+IF(AND(Calculator!B8=TRUE,Backdoors!BI42=TRUE),VLOOKUP(Calculator!E23,tbSkills!DH3:DJ6,3,FALSE),0),0))/100)))),1),"")</f>
        <v>1</v>
      </c>
      <c r="JR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O91)*JQ91)*(VLOOKUP(A91,tbMoveset!A2:C112,3,FALSE)/100)*IF(VLOOKUP(A91,tbMoveset!A2:B112,2,FALSE)="Projectile",Backdoors!N10,Backdoors!N9),0),"")</f>
        <v/>
      </c>
      <c r="JS91" s="49">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45&gt;0,VLOOKUP(Calculator!E45,tbSkills!AC3:AD5,2,FALSE),Backdoors!AL3)*(IF((Backdoors!AI12+IF(JO91&gt;=0.45,VLOOKUP(Calculator!E23,tbSkills!DH3:DI6,2,FALSE)+IF(AND(Calculator!B8=TRUE,Backdoors!BI42=TRUE),VLOOKUP(Calculator!E23,tbSkills!DH3:DJ6,3,FALSE),0),0))&gt;=100,100,(Backdoors!AI12+IF(JO91&gt;=0.45,VLOOKUP(Calculator!E23,tbSkills!DH3:DI6,2,FALSE)+IF(AND(Calculator!B8=TRUE,Backdoors!BI42=TRUE),VLOOKUP(Calculator!E23,tbSkills!DH3:DJ6,3,FALSE),0),0)))/100)),1))*IF(VLOOKUP(A91,tbMoveset!A2:K112,11,FALSE)=TRUE,Backdoors!AC5,1))*JP91,0),"")</f>
        <v>0</v>
      </c>
      <c r="JT91" s="49">
        <f>VLOOKUP(A91,tbMoveset!A2:G112,7,FALSE)*IFERROR(IF(Backdoors!AI12&gt;=0,1+(IF(Calculator!E40&gt;0,VLOOKUP(Calculator!E40,tbSkills!AI3:AJ5,2,FALSE),Backdoors!AL4)*(IF((Backdoors!AI12+IF(JO91&gt;=0.45,VLOOKUP(Calculator!E23,tbSkills!DH3:DI6,2,FALSE)+IF(AND(Calculator!B8=TRUE,Backdoors!BI42=TRUE),VLOOKUP(Calculator!E23,tbSkills!DH3:DJ6,3,FALSE),0),0))&gt;=100,100,(Backdoors!AI12+IF(JO91&gt;=0.45,VLOOKUP(Calculator!E23,tbSkills!DH3:DI6,2,FALSE)+IF(AND(Calculator!B8=TRUE,Backdoors!BI42=TRUE),VLOOKUP(Calculator!E23,tbSkills!DH3:DJ6,3,FALSE),0),0)))/100)),1),1)</f>
        <v>0.7</v>
      </c>
      <c r="JU91" s="87">
        <f t="shared" si="90"/>
        <v>0</v>
      </c>
      <c r="JV91" s="86" t="str">
        <f>IFERROR(IF(VLOOKUP(A91,tbMoveset!A2:B112,2,FALSE)="Sever",Backdoors!AY43/100,IF(VLOOKUP(A91,tbMoveset!A2:B112,2,FALSE)="Blunt",Backdoors!AZ43/100,Backdoors!BA43/100)),"")</f>
        <v/>
      </c>
      <c r="JW91" s="49">
        <f>IFERROR(IF(VLOOKUP(tbMoveset!A91,tbMoveset!A2:H112,8,FALSE)="Other",IF(VLOOKUP(tbMoveset!A91,tbMoveset!A2:I112,9,FALSE)="Fire",Backdoors!BB43,IF(VLOOKUP(tbMoveset!A91,tbMoveset!A2:I112,9,FALSE)="Water",Backdoors!BC43,IF(VLOOKUP(tbMoveset!A91,tbMoveset!A2:I112,9,FALSE)="Thunder",Backdoors!BD43,IF(VLOOKUP(tbMoveset!A91,tbMoveset!A2:I112,9,FALSE)="Ice",Backdoors!BE43,IF(VLOOKUP(tbMoveset!A91,tbMoveset!A2:I112,9,FALSE)="Dragon",Backdoors!BF43,Backdoors!BG43)))))/100,Backdoors!BG43/100),"")</f>
        <v>0</v>
      </c>
      <c r="JX91" s="49">
        <f>IFERROR(IF(VLOOKUP(A91,tbMoveset!A2:J112,10,FALSE)=TRUE,IF((Backdoors!AI12+IF(JV91&gt;=0.45,VLOOKUP(Calculator!E23,tbSkills!DH3:DI6,2,FALSE)+IF(AND(Calculator!B8=TRUE,Backdoors!BI43=TRUE),VLOOKUP(Calculator!E23,tbSkills!DH3:DJ6,3,FALSE),0),0))&gt;=0,1+(Backdoors!AL2*(IF((Backdoors!AI12+IF(JV91&gt;=0.45,VLOOKUP(Calculator!E23,tbSkills!DH3:DI6,2,FALSE)+IF(AND(Calculator!B8=TRUE,Backdoors!BI43=TRUE),VLOOKUP(Calculator!E23,tbSkills!DH3:DJ6,3,FALSE),0),0))&gt;=100,100,(Backdoors!AI12+IF(JV91&gt;=0.45,VLOOKUP(Calculator!E23,tbSkills!DH3:DI6,2,FALSE)+IF(AND(Calculator!B8=TRUE,Backdoors!BI43=TRUE),VLOOKUP(Calculator!E23,tbSkills!DH3:DJ6,3,FALSE),0),0)))/100)),(1-(0.25*((-Backdoors!AI12-IF(JV91&gt;=0.45,VLOOKUP(Calculator!E23,tbSkills!DH3:DI6,2,FALSE)+IF(AND(Calculator!B8=TRUE,Backdoors!BI43=TRUE),VLOOKUP(Calculator!E23,tbSkills!DH3:DJ6,3,FALSE),0),0))/100)))),1),"")</f>
        <v>1</v>
      </c>
      <c r="JY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V91)*JX91)*(VLOOKUP(A91,tbMoveset!A2:C112,3,FALSE)/100)*IF(VLOOKUP(A91,tbMoveset!A2:B112,2,FALSE)="Projectile",Backdoors!N10,Backdoors!N9),0),"")</f>
        <v/>
      </c>
      <c r="JZ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46&gt;0,VLOOKUP(Calculator!E46,tbSkills!AC3:AD5,2,FALSE),Backdoors!AL3)*(IF((Backdoors!AI12+IF(JV91&gt;=0.45,VLOOKUP(Calculator!E23,tbSkills!DH3:DI6,2,FALSE)+IF(AND(Calculator!B8=TRUE,Backdoors!BI43=TRUE),VLOOKUP(Calculator!E23,tbSkills!DH3:DJ6,3,FALSE),0),0))&gt;=100,100,(Backdoors!AI12+IF(JV91&gt;=0.45,VLOOKUP(Calculator!E23,tbSkills!DH3:DI6,2,FALSE)+IF(AND(Calculator!B8=TRUE,Backdoors!BI43=TRUE),VLOOKUP(Calculator!E23,tbSkills!DH3:DJ6,3,FALSE),0),0)))/100)),1))*IF(VLOOKUP(A91,tbMoveset!A2:K112,11,FALSE)=TRUE,Backdoors!AC5,1))*JW91,0),"")</f>
        <v/>
      </c>
      <c r="KA91" s="49">
        <f>VLOOKUP(A91,tbMoveset!A2:G112,7,FALSE)*IFERROR(IF(Backdoors!AI12&gt;=0,1+(IF(Calculator!E40&gt;0,VLOOKUP(Calculator!E40,tbSkills!AI3:AJ5,2,FALSE),Backdoors!AL4)*(IF((Backdoors!AI12+IF(JV91&gt;=0.45,VLOOKUP(Calculator!E23,tbSkills!DH3:DI6,2,FALSE)+IF(AND(Calculator!B8=TRUE,Backdoors!BI43=TRUE),VLOOKUP(Calculator!E23,tbSkills!DH3:DJ6,3,FALSE),0),0))&gt;=100,100,(Backdoors!AI12+IF(JV91&gt;=0.45,VLOOKUP(Calculator!E23,tbSkills!DH3:DI6,2,FALSE)+IF(AND(Calculator!B8=TRUE,Backdoors!BI43=TRUE),VLOOKUP(Calculator!E23,tbSkills!DH3:DJ6,3,FALSE),0),0)))/100)),1),1)</f>
        <v>0.7</v>
      </c>
      <c r="KB91" s="87">
        <f t="shared" si="91"/>
        <v>0</v>
      </c>
      <c r="KC91" s="86" t="str">
        <f>IFERROR(IF(VLOOKUP(A91,tbMoveset!A2:B112,2,FALSE)="Sever",Backdoors!AY44/100,IF(VLOOKUP(A91,tbMoveset!A2:B112,2,FALSE)="Blunt",Backdoors!AZ44/100,Backdoors!BA44/100)),"")</f>
        <v/>
      </c>
      <c r="KD91" s="49">
        <f>IFERROR(IF(VLOOKUP(tbMoveset!A91,tbMoveset!A2:H112,8,FALSE)="Other",IF(VLOOKUP(tbMoveset!A91,tbMoveset!A2:I112,9,FALSE)="Fire",Backdoors!BB44,IF(VLOOKUP(tbMoveset!A91,tbMoveset!A2:I112,9,FALSE)="Water",Backdoors!BC44,IF(VLOOKUP(tbMoveset!A91,tbMoveset!A2:I112,9,FALSE)="Thunder",Backdoors!BD44,IF(VLOOKUP(tbMoveset!A91,tbMoveset!A2:I112,9,FALSE)="Ice",Backdoors!BE44,IF(VLOOKUP(tbMoveset!A91,tbMoveset!A2:I112,9,FALSE)="Dragon",Backdoors!BF44,Backdoors!BG44)))))/100,Backdoors!BG44/100),"")</f>
        <v>0</v>
      </c>
      <c r="KE91" s="49">
        <f>IFERROR(IF(VLOOKUP(A91,tbMoveset!A2:J112,10,FALSE)=TRUE,IF((Backdoors!AI12+IF(KC91&gt;=0.45,VLOOKUP(Calculator!E23,tbSkills!DH3:DI6,2,FALSE)+IF(AND(Calculator!B8=TRUE,Backdoors!BI44=TRUE),VLOOKUP(Calculator!E23,tbSkills!DH3:DJ6,3,FALSE),0),0))&gt;=0,1+(Backdoors!AL2*(IF((Backdoors!AI12+IF(KC91&gt;=0.45,VLOOKUP(Calculator!E23,tbSkills!DH3:DI6,2,FALSE)+IF(AND(Calculator!B8=TRUE,Backdoors!BI44=TRUE),VLOOKUP(Calculator!E23,tbSkills!DH3:DJ6,3,FALSE),0),0))&gt;=100,100,(Backdoors!AI12+IF(KC91&gt;=0.45,VLOOKUP(Calculator!E23,tbSkills!DH3:DI6,2,FALSE)+IF(AND(Calculator!B8=TRUE,Backdoors!BI44=TRUE),VLOOKUP(Calculator!E23,tbSkills!DH3:DJ6,3,FALSE),0),0)))/100)),(1-(0.25*((-Backdoors!AI12-IF(KC91&gt;=0.45,VLOOKUP(Calculator!E23,tbSkills!DH3:DI6,2,FALSE)+IF(AND(Calculator!B8=TRUE,Backdoors!BI44=TRUE),VLOOKUP(Calculator!E23,tbSkills!DH3:DJ6,3,FALSE),0),0))/100)))),1),"")</f>
        <v>1</v>
      </c>
      <c r="KF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KC91)*KE91)*(VLOOKUP(A91,tbMoveset!A2:C112,3,FALSE)/100)*IF(VLOOKUP(A91,tbMoveset!A2:B112,2,FALSE)="Projectile",Backdoors!N10,Backdoors!N9),0),"")</f>
        <v/>
      </c>
      <c r="KG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REF!&gt;0,VLOOKUP(Calculator!#REF!,tbSkills!AC3:AD5,2,FALSE),Backdoors!AL3)*(IF((Backdoors!AI12+IF(KC91&gt;=0.45,VLOOKUP(Calculator!E23,tbSkills!DH3:DI6,2,FALSE)+IF(AND(Calculator!B8=TRUE,Backdoors!BI44=TRUE),VLOOKUP(Calculator!E23,tbSkills!DH3:DJ6,3,FALSE),0),0))&gt;=100,100,(Backdoors!AI12+IF(KC91&gt;=0.45,VLOOKUP(Calculator!E23,tbSkills!DH3:DI6,2,FALSE)+IF(AND(Calculator!B8=TRUE,Backdoors!BI44=TRUE),VLOOKUP(Calculator!E23,tbSkills!DH3:DJ6,3,FALSE),0),0)))/100)),1))*IF(VLOOKUP(A91,tbMoveset!A2:K112,11,FALSE)=TRUE,Backdoors!AC5,1))*KD91,0),"")</f>
        <v/>
      </c>
      <c r="KH91" s="49">
        <f>VLOOKUP(A91,tbMoveset!A2:G112,7,FALSE)*IFERROR(IF(Backdoors!AI12&gt;=0,1+(IF(Calculator!E40&gt;0,VLOOKUP(Calculator!E40,tbSkills!AI3:AJ5,2,FALSE),Backdoors!AL4)*(IF((Backdoors!AI12+IF(KC91&gt;=0.45,VLOOKUP(Calculator!E23,tbSkills!DH3:DI6,2,FALSE)+IF(AND(Calculator!B8=TRUE,Backdoors!BI44=TRUE),VLOOKUP(Calculator!E23,tbSkills!DH3:DJ6,3,FALSE),0),0))&gt;=100,100,(Backdoors!AI12+IF(KC91&gt;=0.45,VLOOKUP(Calculator!E23,tbSkills!DH3:DI6,2,FALSE)+IF(AND(Calculator!B8=TRUE,Backdoors!BI44=TRUE),VLOOKUP(Calculator!E23,tbSkills!DH3:DJ6,3,FALSE),0),0)))/100)),1),1)</f>
        <v>0.7</v>
      </c>
      <c r="KI91" s="87">
        <f t="shared" si="92"/>
        <v>0</v>
      </c>
      <c r="KJ91" s="86" t="str">
        <f>IFERROR(IF(VLOOKUP(A91,tbMoveset!A2:B112,2,FALSE)="Sever",Backdoors!AY45/100,IF(VLOOKUP(A91,tbMoveset!A2:B112,2,FALSE)="Blunt",Backdoors!AZ45/100,Backdoors!BA45/100)),"")</f>
        <v/>
      </c>
      <c r="KK91" s="49">
        <f>IFERROR(IF(VLOOKUP(tbMoveset!A91,tbMoveset!A2:H112,8,FALSE)="Other",IF(VLOOKUP(tbMoveset!A91,tbMoveset!A2:I112,9,FALSE)="Fire",Backdoors!BB45,IF(VLOOKUP(tbMoveset!A91,tbMoveset!A2:I112,9,FALSE)="Water",Backdoors!BC45,IF(VLOOKUP(tbMoveset!A91,tbMoveset!A2:I112,9,FALSE)="Thunder",Backdoors!BD45,IF(VLOOKUP(tbMoveset!A91,tbMoveset!A2:I112,9,FALSE)="Ice",Backdoors!BE45,IF(VLOOKUP(tbMoveset!A91,tbMoveset!A2:I112,9,FALSE)="Dragon",Backdoors!BF45,Backdoors!BG45)))))/100,Backdoors!BG45/100),"")</f>
        <v>0</v>
      </c>
      <c r="KL91" s="49">
        <f>IFERROR(IF(VLOOKUP(A91,tbMoveset!A2:J112,10,FALSE)=TRUE,IF((Backdoors!AI12+IF(KJ91&gt;=0.45,VLOOKUP(Calculator!E23,tbSkills!DH3:DI6,2,FALSE)+IF(AND(Calculator!B8=TRUE,Backdoors!BI45=TRUE),VLOOKUP(Calculator!E23,tbSkills!DH3:DJ6,3,FALSE),0),0))&gt;=0,1+(Backdoors!AL2*(IF((Backdoors!AI12+IF(KJ91&gt;=0.45,VLOOKUP(Calculator!E23,tbSkills!DH3:DI6,2,FALSE)+IF(AND(Calculator!B8=TRUE,Backdoors!BI45=TRUE),VLOOKUP(Calculator!E23,tbSkills!DH3:DJ6,3,FALSE),0),0))&gt;=100,100,(Backdoors!AI12+IF(KJ91&gt;=0.45,VLOOKUP(Calculator!E23,tbSkills!DH3:DI6,2,FALSE)+IF(AND(Calculator!B8=TRUE,Backdoors!BI45=TRUE),VLOOKUP(Calculator!E23,tbSkills!DH3:DJ6,3,FALSE),0),0)))/100)),(1-(0.25*((-Backdoors!AI12-IF(KJ91&gt;=0.45,VLOOKUP(Calculator!E23,tbSkills!DH3:DI6,2,FALSE)+IF(AND(Calculator!B8=TRUE,Backdoors!BI45=TRUE),VLOOKUP(Calculator!E23,tbSkills!DH3:DJ6,3,FALSE),0),0))/100)))),1),"")</f>
        <v>1</v>
      </c>
      <c r="KM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KJ91)*KL91)*(VLOOKUP(A91,tbMoveset!A2:C112,3,FALSE)/100)*IF(VLOOKUP(A91,tbMoveset!A2:B112,2,FALSE)="Projectile",Backdoors!N10,Backdoors!N9),0),"")</f>
        <v/>
      </c>
      <c r="KN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REF!&gt;0,VLOOKUP(Calculator!#REF!,tbSkills!AC3:AD5,2,FALSE),Backdoors!AL3)*(IF((Backdoors!AI12+IF(KJ91&gt;=0.45,VLOOKUP(Calculator!E23,tbSkills!DH3:DI6,2,FALSE)+IF(AND(Calculator!B8=TRUE,Backdoors!BI45=TRUE),VLOOKUP(Calculator!E23,tbSkills!DH3:DJ6,3,FALSE),0),0))&gt;=100,100,(Backdoors!AI12+IF(KJ91&gt;=0.45,VLOOKUP(Calculator!E23,tbSkills!DH3:DI6,2,FALSE)+IF(AND(Calculator!B8=TRUE,Backdoors!BI45=TRUE),VLOOKUP(Calculator!E23,tbSkills!DH3:DJ6,3,FALSE),0),0)))/100)),1))*IF(VLOOKUP(A91,tbMoveset!A2:K112,11,FALSE)=TRUE,Backdoors!AC5,1))*KK91,0),"")</f>
        <v/>
      </c>
      <c r="KO91" s="49">
        <f>VLOOKUP(A91,tbMoveset!A2:G112,7,FALSE)*IFERROR(IF(Backdoors!AI12&gt;=0,1+(IF(Calculator!E40&gt;0,VLOOKUP(Calculator!E40,tbSkills!AI3:AJ5,2,FALSE),Backdoors!AL4)*(IF((Backdoors!AI12+IF(KJ91&gt;=0.45,VLOOKUP(Calculator!E23,tbSkills!DH3:DI6,2,FALSE)+IF(AND(Calculator!B8=TRUE,Backdoors!BI45=TRUE),VLOOKUP(Calculator!E23,tbSkills!DH3:DJ6,3,FALSE),0),0))&gt;=100,100,(Backdoors!AI12+IF(KJ91&gt;=0.45,VLOOKUP(Calculator!E23,tbSkills!DH3:DI6,2,FALSE)+IF(AND(Calculator!B8=TRUE,Backdoors!BI45=TRUE),VLOOKUP(Calculator!E23,tbSkills!DH3:DJ6,3,FALSE),0),0)))/100)),1),1)</f>
        <v>0.7</v>
      </c>
      <c r="KP91" s="87">
        <f t="shared" si="93"/>
        <v>0</v>
      </c>
      <c r="KQ91" s="86" t="str">
        <f>IFERROR(IF(VLOOKUP(A91,tbMoveset!A2:B112,2,FALSE)="Sever",Backdoors!AY46/100,IF(VLOOKUP(A91,tbMoveset!A2:B112,2,FALSE)="Blunt",Backdoors!AZ46/100,Backdoors!BA46/100)),"")</f>
        <v/>
      </c>
      <c r="KR91" s="49">
        <f>IFERROR(IF(VLOOKUP(tbMoveset!A91,tbMoveset!A2:H112,8,FALSE)="Other",IF(VLOOKUP(tbMoveset!A91,tbMoveset!A2:I112,9,FALSE)="Fire",Backdoors!BB46,IF(VLOOKUP(tbMoveset!A91,tbMoveset!A2:I112,9,FALSE)="Water",Backdoors!BC46,IF(VLOOKUP(tbMoveset!A91,tbMoveset!A2:I112,9,FALSE)="Thunder",Backdoors!BD46,IF(VLOOKUP(tbMoveset!A91,tbMoveset!A2:I112,9,FALSE)="Ice",Backdoors!BE46,IF(VLOOKUP(tbMoveset!A91,tbMoveset!A2:I112,9,FALSE)="Dragon",Backdoors!BF46,Backdoors!BG46)))))/100,Backdoors!BG46/100),"")</f>
        <v>0</v>
      </c>
      <c r="KS91" s="49">
        <f>IFERROR(IF(VLOOKUP(A91,tbMoveset!A2:J112,10,FALSE)=TRUE,IF((Backdoors!AI12+IF(KQ91&gt;=0.45,VLOOKUP(Calculator!E23,tbSkills!DH3:DI6,2,FALSE)+IF(AND(Calculator!B8=TRUE,Backdoors!BI46=TRUE),VLOOKUP(Calculator!E23,tbSkills!DH3:DJ6,3,FALSE),0),0))&gt;=0,1+(Backdoors!AL2*(IF((Backdoors!AI12+IF(KQ91&gt;=0.45,VLOOKUP(Calculator!E23,tbSkills!DH3:DI6,2,FALSE)+IF(AND(Calculator!B8=TRUE,Backdoors!BI46=TRUE),VLOOKUP(Calculator!E23,tbSkills!DH3:DJ6,3,FALSE),0),0))&gt;=100,100,(Backdoors!AI12+IF(KQ91&gt;=0.45,VLOOKUP(Calculator!E23,tbSkills!DH3:DI6,2,FALSE)+IF(AND(Calculator!B8=TRUE,Backdoors!BI46=TRUE),VLOOKUP(Calculator!E23,tbSkills!DH3:DJ6,3,FALSE),0),0)))/100)),(1-(0.25*((-Backdoors!AI12-IF(KQ91&gt;=0.45,VLOOKUP(Calculator!E23,tbSkills!DH3:DI6,2,FALSE)+IF(AND(Calculator!B8=TRUE,Backdoors!BI46=TRUE),VLOOKUP(Calculator!E23,tbSkills!DH3:DJ6,3,FALSE),0),0))/100)))),1),"")</f>
        <v>1</v>
      </c>
      <c r="KT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KQ91)*KS91)*(VLOOKUP(A91,tbMoveset!A2:C112,3,FALSE)/100)*IF(VLOOKUP(A91,tbMoveset!A2:B112,2,FALSE)="Projectile",Backdoors!N10,Backdoors!N9),0),"")</f>
        <v/>
      </c>
      <c r="KU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REF!&gt;0,VLOOKUP(Calculator!#REF!,tbSkills!AC3:AD5,2,FALSE),Backdoors!AL3)*(IF((Backdoors!AI12+IF(KQ91&gt;=0.45,VLOOKUP(Calculator!E23,tbSkills!DH3:DI6,2,FALSE)+IF(AND(Calculator!B8=TRUE,Backdoors!BI46=TRUE),VLOOKUP(Calculator!E23,tbSkills!DH3:DJ6,3,FALSE),0),0))&gt;=100,100,(Backdoors!AI12+IF(KQ91&gt;=0.45,VLOOKUP(Calculator!E23,tbSkills!DH3:DI6,2,FALSE)+IF(AND(Calculator!B8=TRUE,Backdoors!BI46=TRUE),VLOOKUP(Calculator!E23,tbSkills!DH3:DJ6,3,FALSE),0),0)))/100)),1))*IF(VLOOKUP(A91,tbMoveset!A2:K112,11,FALSE)=TRUE,Backdoors!AC5,1))*KR91,0),"")</f>
        <v/>
      </c>
      <c r="KV91" s="49">
        <f>VLOOKUP(A91,tbMoveset!A2:G112,7,FALSE)*IFERROR(IF(Backdoors!AI12&gt;=0,1+(IF(Calculator!E40&gt;0,VLOOKUP(Calculator!E40,tbSkills!AI3:AJ5,2,FALSE),Backdoors!AL4)*(IF((Backdoors!AI12+IF(KQ91&gt;=0.45,VLOOKUP(Calculator!E23,tbSkills!DH3:DI6,2,FALSE)+IF(AND(Calculator!B8=TRUE,Backdoors!BI46=TRUE),VLOOKUP(Calculator!E23,tbSkills!DH3:DJ6,3,FALSE),0),0))&gt;=100,100,(Backdoors!AI12+IF(KQ91&gt;=0.45,VLOOKUP(Calculator!E23,tbSkills!DH3:DI6,2,FALSE)+IF(AND(Calculator!B8=TRUE,Backdoors!BI46=TRUE),VLOOKUP(Calculator!E23,tbSkills!DH3:DJ6,3,FALSE),0),0)))/100)),1),1)</f>
        <v>0.7</v>
      </c>
      <c r="KW91" s="87">
        <f t="shared" si="94"/>
        <v>0</v>
      </c>
    </row>
    <row r="92" spans="1:309" x14ac:dyDescent="0.25">
      <c r="A92" s="95" t="str">
        <f>tbMoveset!A92</f>
        <v>Spinning Blade Dance Finisher (R2)</v>
      </c>
      <c r="B92" s="86">
        <f>IFERROR(IF(VLOOKUP(A92,tbMoveset!A2:B112,2,FALSE)="Sever",Backdoors!AY3/100,IF(VLOOKUP(A92,tbMoveset!A2:B112,2,FALSE)="Blunt",Backdoors!AZ3/100,Backdoors!BA3/100)),"")</f>
        <v>0.8</v>
      </c>
      <c r="C92" s="49">
        <f>IFERROR(IF(VLOOKUP(tbMoveset!A92,tbMoveset!A2:H112,8,FALSE)="Other",IF(VLOOKUP(tbMoveset!A92,tbMoveset!A2:I112,9,FALSE)="Fire",Backdoors!BB3,IF(VLOOKUP(tbMoveset!A92,tbMoveset!A2:I112,9,FALSE)="Water",Backdoors!BC3,IF(VLOOKUP(tbMoveset!A92,tbMoveset!A2:I112,9,FALSE)="Thunder",Backdoors!BD3,IF(VLOOKUP(tbMoveset!A92,tbMoveset!A2:I112,9,FALSE)="Ice",Backdoors!BE3,IF(VLOOKUP(tbMoveset!A92,tbMoveset!A2:I112,9,FALSE)="Dragon",Backdoors!BF3,Backdoors!BG3)))))/100,Backdoors!BG3/100),"")</f>
        <v>0</v>
      </c>
      <c r="D92" s="49">
        <f>IFERROR(IF(VLOOKUP(A92,tbMoveset!A2:J112,10,FALSE)=TRUE,IF((Backdoors!AI12+IF(B92&gt;=0.45,VLOOKUP(Calculator!E23,tbSkills!DH3:DI6,2,FALSE)+IF(AND(Calculator!B8=TRUE,Backdoors!BI3=TRUE),VLOOKUP(Calculator!E23,tbSkills!DH3:DJ6,3,FALSE),0),0))&gt;=0,1+(Backdoors!AL2*(IF((Backdoors!AI12+IF(B92&gt;=0.45,VLOOKUP(Calculator!E23,tbSkills!DH3:DI6,2,FALSE)+IF(AND(Calculator!B8=TRUE,Backdoors!BI3=TRUE),VLOOKUP(Calculator!E23,tbSkills!DH3:DJ6,3,FALSE),0),0))&gt;=100,100,(Backdoors!AI12+IF(B92&gt;=0.45,VLOOKUP(Calculator!E23,tbSkills!DH3:DI6,2,FALSE)+IF(AND(Calculator!B8=TRUE,Backdoors!BI3=TRUE),VLOOKUP(Calculator!E23,tbSkills!DH3:DJ6,3,FALSE),0),0)))/100)),(1-(0.25*((-Backdoors!AI12-IF(B92&gt;=0.45,VLOOKUP(Calculator!E23,tbSkills!DH3:DI6,2,FALSE)+IF(AND(Calculator!B8=TRUE,Backdoors!BI3=TRUE),VLOOKUP(Calculator!E23,tbSkills!DH3:DJ6,3,FALSE),0),0))/100)))),1),"")</f>
        <v>1</v>
      </c>
      <c r="E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92)*D92)*(VLOOKUP(A92,tbMoveset!A2:C112,3,FALSE)/100)*IF(VLOOKUP(A92,tbMoveset!A2:B112,2,FALSE)="Projectile",Backdoors!N10,Backdoors!N9),0),"")</f>
        <v>8</v>
      </c>
      <c r="F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92&gt;=0.45,VLOOKUP(Calculator!E23,tbSkills!DH3:DI6,2,FALSE)+IF(AND(Calculator!B8=TRUE,Backdoors!BI3=TRUE),VLOOKUP(Calculator!E23,tbSkills!DH3:DJ6,3,FALSE),0),0))&gt;=100,100,(Backdoors!AI12+IF(B92&gt;=0.45,VLOOKUP(Calculator!E23,tbSkills!DH3:DI6,2,FALSE)+IF(AND(Calculator!B8=TRUE,Backdoors!BI3=TRUE),VLOOKUP(Calculator!E23,tbSkills!DH3:DJ6,3,FALSE),0),0)))/100)),1))*IF(VLOOKUP(A92,tbMoveset!A2:K112,11,FALSE)=TRUE,Backdoors!AC5,1))*C92,0),"")</f>
        <v>0</v>
      </c>
      <c r="G92">
        <f>VLOOKUP(A92,tbMoveset!A2:G112,7,FALSE)*IFERROR(IF(Backdoors!AI12&gt;=0,1+(IF(Calculator!E40&gt;0,VLOOKUP(Calculator!E40,tbSkills!AI3:AJ5,2,FALSE),Backdoors!AL4)*(IF((Backdoors!AI12+IF(B92&gt;=0.45,VLOOKUP(Calculator!E23,tbSkills!DH3:DI6,2,FALSE)+IF(AND(Calculator!B8=TRUE,Backdoors!BI3=TRUE),VLOOKUP(Calculator!E23,tbSkills!DH3:DJ6,3,FALSE),0),0))&gt;=100,100,(Backdoors!AI12+IF(B92&gt;=0.45,VLOOKUP(Calculator!E23,tbSkills!DH3:DI6,2,FALSE)+IF(AND(Calculator!B8=TRUE,Backdoors!BI3=TRUE),VLOOKUP(Calculator!E23,tbSkills!DH3:DJ6,3,FALSE),0),0)))/100)),1),1)</f>
        <v>0.7</v>
      </c>
      <c r="H92" s="87">
        <f t="shared" si="51"/>
        <v>8</v>
      </c>
      <c r="I92" s="86">
        <f>IFERROR(IF(VLOOKUP(A92,tbMoveset!A2:B112,2,FALSE)="Sever",Backdoors!AY4/100,IF(VLOOKUP(A92,tbMoveset!A2:B112,2,FALSE)="Blunt",Backdoors!AZ4/100,Backdoors!BA4/100)),"")</f>
        <v>0.65</v>
      </c>
      <c r="J92" s="49">
        <f>IFERROR(IF(VLOOKUP(tbMoveset!A92,tbMoveset!A2:H112,8,FALSE)="Other",IF(VLOOKUP(tbMoveset!A92,tbMoveset!A2:I112,9,FALSE)="Fire",Backdoors!BB4,IF(VLOOKUP(tbMoveset!A92,tbMoveset!A2:I112,9,FALSE)="Water",Backdoors!BC4,IF(VLOOKUP(tbMoveset!A92,tbMoveset!A2:I112,9,FALSE)="Thunder",Backdoors!BD4,IF(VLOOKUP(tbMoveset!A92,tbMoveset!A2:I112,9,FALSE)="Ice",Backdoors!BE4,IF(VLOOKUP(tbMoveset!A92,tbMoveset!A2:I112,9,FALSE)="Dragon",Backdoors!BF4,Backdoors!BG4)))))/100,Backdoors!BG4/100),"")</f>
        <v>0</v>
      </c>
      <c r="K92" s="49">
        <f>IFERROR(IF(VLOOKUP(A92,tbMoveset!A2:J112,10,FALSE)=TRUE,IF((Backdoors!AI12+IF(I92&gt;=0.45,VLOOKUP(Calculator!E23,tbSkills!DH3:DI6,2,FALSE)+IF(AND(Calculator!B8=TRUE,Backdoors!BI4=TRUE),VLOOKUP(Calculator!E23,tbSkills!DH3:DJ6,3,FALSE),0),0))&gt;=0,1+(Backdoors!AL2*(IF((Backdoors!AI12+IF(I92&gt;=0.45,VLOOKUP(Calculator!E23,tbSkills!DH3:DI6,2,FALSE)+IF(AND(Calculator!B8=TRUE,Backdoors!BI4=TRUE),VLOOKUP(Calculator!E23,tbSkills!DH3:DJ6,3,FALSE),0),0))&gt;=100,100,(Backdoors!AI12+IF(I92&gt;=0.45,VLOOKUP(Calculator!E23,tbSkills!DH3:DI6,2,FALSE)+IF(AND(Calculator!B8=TRUE,Backdoors!BI4=TRUE),VLOOKUP(Calculator!E23,tbSkills!DH3:DJ6,3,FALSE),0),0)))/100)),(1-(0.25*((-Backdoors!AI12-IF(I92&gt;=0.45,VLOOKUP(Calculator!E23,tbSkills!DH3:DI6,2,FALSE)+IF(AND(Calculator!B8=TRUE,Backdoors!BI4=TRUE),VLOOKUP(Calculator!E23,tbSkills!DH3:DJ6,3,FALSE),0),0))/100)))),1),"")</f>
        <v>1</v>
      </c>
      <c r="L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92)*K92)*(VLOOKUP(A92,tbMoveset!A2:C112,3,FALSE)/100)*IF(VLOOKUP(A92,tbMoveset!A2:B112,2,FALSE)="Projectile",Backdoors!N10,Backdoors!N9),0),"")</f>
        <v>7</v>
      </c>
      <c r="M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I92&gt;=0.45,VLOOKUP(Calculator!E23,tbSkills!DH3:DI6,2,FALSE)+IF(AND(Calculator!B8=TRUE,Backdoors!BI4=TRUE),VLOOKUP(Calculator!E23,tbSkills!DH3:DJ6,3,FALSE),0),0))&gt;=100,100,(Backdoors!AI12+IF(I92&gt;=0.45,VLOOKUP(Calculator!E23,tbSkills!DH3:DI6,2,FALSE)+IF(AND(Calculator!B8=TRUE,Backdoors!BI4=TRUE),VLOOKUP(Calculator!E23,tbSkills!DH3:DJ6,3,FALSE),0),0)))/100)),1))*IF(VLOOKUP(A92,tbMoveset!A2:K112,11,FALSE)=TRUE,Backdoors!AC5,1))*J92,0),"")</f>
        <v>0</v>
      </c>
      <c r="N92" s="49">
        <f>VLOOKUP(A92,tbMoveset!A2:G112,7,FALSE)*IFERROR(IF(Backdoors!AI12&gt;=0,1+(IF(Calculator!E40&gt;0,VLOOKUP(Calculator!E40,tbSkills!AI3:AJ5,2,FALSE),Backdoors!AL4)*(IF((Backdoors!AI12+IF(I92&gt;=0.45,VLOOKUP(Calculator!E23,tbSkills!DH3:DI6,2,FALSE)+IF(AND(Calculator!B8=TRUE,Backdoors!BI4=TRUE),VLOOKUP(Calculator!E23,tbSkills!DH3:DJ6,3,FALSE),0),0))&gt;=100,100,(Backdoors!AI12+IF(I92&gt;=0.45,VLOOKUP(Calculator!E23,tbSkills!DH3:DI6,2,FALSE)+IF(AND(Calculator!B8=TRUE,Backdoors!BI4=TRUE),VLOOKUP(Calculator!E23,tbSkills!DH3:DJ6,3,FALSE),0),0)))/100)),1),1)</f>
        <v>0.7</v>
      </c>
      <c r="O92" s="87">
        <f t="shared" si="52"/>
        <v>7</v>
      </c>
      <c r="P92" s="86">
        <f>IFERROR(IF(VLOOKUP(A92,tbMoveset!A2:B112,2,FALSE)="Sever",Backdoors!AY5/100,IF(VLOOKUP(A92,tbMoveset!A2:B112,2,FALSE)="Blunt",Backdoors!AZ5/100,Backdoors!BA5/100)),"")</f>
        <v>0.5</v>
      </c>
      <c r="Q92" s="49">
        <f>IFERROR(IF(VLOOKUP(tbMoveset!A92,tbMoveset!A2:H112,8,FALSE)="Other",IF(VLOOKUP(tbMoveset!A92,tbMoveset!A2:I112,9,FALSE)="Fire",Backdoors!BB5,IF(VLOOKUP(tbMoveset!A92,tbMoveset!A2:I112,9,FALSE)="Water",Backdoors!BC5,IF(VLOOKUP(tbMoveset!A92,tbMoveset!A2:I112,9,FALSE)="Thunder",Backdoors!BD5,IF(VLOOKUP(tbMoveset!A92,tbMoveset!A2:I112,9,FALSE)="Ice",Backdoors!BE5,IF(VLOOKUP(tbMoveset!A92,tbMoveset!A2:I112,9,FALSE)="Dragon",Backdoors!BF5,Backdoors!BG5)))))/100,Backdoors!BG5/100),"")</f>
        <v>0</v>
      </c>
      <c r="R92" s="49">
        <f>IFERROR(IF(VLOOKUP(A92,tbMoveset!A2:J112,10,FALSE)=TRUE,IF((Backdoors!AI12+IF(P92&gt;=0.45,VLOOKUP(Calculator!E23,tbSkills!DH3:DI6,2,FALSE)+IF(AND(Calculator!B8=TRUE,Backdoors!BI5=TRUE),VLOOKUP(Calculator!E23,tbSkills!DH3:DJ6,3,FALSE),0),0))&gt;=0,1+(Backdoors!AL2*(IF((Backdoors!AI12+IF(P92&gt;=0.45,VLOOKUP(Calculator!E23,tbSkills!DH3:DI6,2,FALSE)+IF(AND(Calculator!B8=TRUE,Backdoors!BI5=TRUE),VLOOKUP(Calculator!E23,tbSkills!DH3:DJ6,3,FALSE),0),0))&gt;=100,100,(Backdoors!AI12+IF(P92&gt;=0.45,VLOOKUP(Calculator!E23,tbSkills!DH3:DI6,2,FALSE)+IF(AND(Calculator!B8=TRUE,Backdoors!BI5=TRUE),VLOOKUP(Calculator!E23,tbSkills!DH3:DJ6,3,FALSE),0),0)))/100)),(1-(0.25*((-Backdoors!AI12-IF(P92&gt;=0.45,VLOOKUP(Calculator!E23,tbSkills!DH3:DI6,2,FALSE)+IF(AND(Calculator!B8=TRUE,Backdoors!BI5=TRUE),VLOOKUP(Calculator!E23,tbSkills!DH3:DJ6,3,FALSE),0),0))/100)))),1),"")</f>
        <v>1</v>
      </c>
      <c r="S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P92)*R92)*(VLOOKUP(A92,tbMoveset!A2:C112,3,FALSE)/100)*IF(VLOOKUP(A92,tbMoveset!A2:B112,2,FALSE)="Projectile",Backdoors!N10,Backdoors!N9),0),"")</f>
        <v>5</v>
      </c>
      <c r="T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P92&gt;=0.45,VLOOKUP(Calculator!E23,tbSkills!DH3:DI6,2,FALSE)+IF(AND(Calculator!B8=TRUE,Backdoors!BI5=TRUE),VLOOKUP(Calculator!E23,tbSkills!DH3:DJ6,3,FALSE),0),0))&gt;=100,100,(Backdoors!AI12+IF(P92&gt;=0.45,VLOOKUP(Calculator!E23,tbSkills!DH3:DI6,2,FALSE)+IF(AND(Calculator!B8=TRUE,Backdoors!BI5=TRUE),VLOOKUP(Calculator!E23,tbSkills!DH3:DJ6,3,FALSE),0),0)))/100)),1))*IF(VLOOKUP(A92,tbMoveset!A2:K112,11,FALSE)=TRUE,Backdoors!AC5,1))*Q92,0),"")</f>
        <v>0</v>
      </c>
      <c r="U92" s="49">
        <f>VLOOKUP(A92,tbMoveset!A2:G112,7,FALSE)*IFERROR(IF(Backdoors!AI12&gt;=0,1+(IF(Calculator!E40&gt;0,VLOOKUP(Calculator!E40,tbSkills!AI3:AJ5,2,FALSE),Backdoors!AL4)*(IF((Backdoors!AI12+IF(P92&gt;=0.45,VLOOKUP(Calculator!E23,tbSkills!DH3:DI6,2,FALSE)+IF(AND(Calculator!B8=TRUE,Backdoors!BI5=TRUE),VLOOKUP(Calculator!E23,tbSkills!DH3:DJ6,3,FALSE),0),0))&gt;=100,100,(Backdoors!AI12+IF(P92&gt;=0.45,VLOOKUP(Calculator!E23,tbSkills!DH3:DI6,2,FALSE)+IF(AND(Calculator!B8=TRUE,Backdoors!BI5=TRUE),VLOOKUP(Calculator!E23,tbSkills!DH3:DJ6,3,FALSE),0),0)))/100)),1),1)</f>
        <v>0.7</v>
      </c>
      <c r="V92" s="87">
        <f t="shared" si="53"/>
        <v>5</v>
      </c>
      <c r="W92" s="86">
        <f>IFERROR(IF(VLOOKUP(A92,tbMoveset!A2:B112,2,FALSE)="Sever",Backdoors!AY6/100,IF(VLOOKUP(A92,tbMoveset!A2:B112,2,FALSE)="Blunt",Backdoors!AZ6/100,Backdoors!BA6/100)),"")</f>
        <v>0.45</v>
      </c>
      <c r="X92" s="49">
        <f>IFERROR(IF(VLOOKUP(tbMoveset!A92,tbMoveset!A2:H112,8,FALSE)="Other",IF(VLOOKUP(tbMoveset!A92,tbMoveset!A2:I112,9,FALSE)="Fire",Backdoors!BB6,IF(VLOOKUP(tbMoveset!A92,tbMoveset!A2:I112,9,FALSE)="Water",Backdoors!BC6,IF(VLOOKUP(tbMoveset!A92,tbMoveset!A2:I112,9,FALSE)="Thunder",Backdoors!BD6,IF(VLOOKUP(tbMoveset!A92,tbMoveset!A2:I112,9,FALSE)="Ice",Backdoors!BE6,IF(VLOOKUP(tbMoveset!A92,tbMoveset!A2:I112,9,FALSE)="Dragon",Backdoors!BF6,Backdoors!BG6)))))/100,Backdoors!BG6/100),"")</f>
        <v>0</v>
      </c>
      <c r="Y92" s="49">
        <f>IFERROR(IF(VLOOKUP(A92,tbMoveset!A2:J112,10,FALSE)=TRUE,IF((Backdoors!AI12+IF(W92&gt;=0.45,VLOOKUP(Calculator!E23,tbSkills!DH3:DI6,2,FALSE)+IF(AND(Calculator!B8=TRUE,Backdoors!BI6=TRUE),VLOOKUP(Calculator!E23,tbSkills!DH3:DJ6,3,FALSE),0),0))&gt;=0,1+(Backdoors!AL2*(IF((Backdoors!AI12+IF(W92&gt;=0.45,VLOOKUP(Calculator!E23,tbSkills!DH3:DI6,2,FALSE)+IF(AND(Calculator!B8=TRUE,Backdoors!BI6=TRUE),VLOOKUP(Calculator!E23,tbSkills!DH3:DJ6,3,FALSE),0),0))&gt;=100,100,(Backdoors!AI12+IF(W92&gt;=0.45,VLOOKUP(Calculator!E23,tbSkills!DH3:DI6,2,FALSE)+IF(AND(Calculator!B8=TRUE,Backdoors!BI6=TRUE),VLOOKUP(Calculator!E23,tbSkills!DH3:DJ6,3,FALSE),0),0)))/100)),(1-(0.25*((-Backdoors!AI12-IF(W92&gt;=0.45,VLOOKUP(Calculator!E23,tbSkills!DH3:DI6,2,FALSE)+IF(AND(Calculator!B8=TRUE,Backdoors!BI6=TRUE),VLOOKUP(Calculator!E23,tbSkills!DH3:DJ6,3,FALSE),0),0))/100)))),1),"")</f>
        <v>1</v>
      </c>
      <c r="Z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W92)*Y92)*(VLOOKUP(A92,tbMoveset!A2:C112,3,FALSE)/100)*IF(VLOOKUP(A92,tbMoveset!A2:B112,2,FALSE)="Projectile",Backdoors!N10,Backdoors!N9),0),"")</f>
        <v>5</v>
      </c>
      <c r="AA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W92&gt;=0.45,VLOOKUP(Calculator!E23,tbSkills!DH3:DI6,2,FALSE)+IF(AND(Calculator!B8=TRUE,Backdoors!BI6=TRUE),VLOOKUP(Calculator!E23,tbSkills!DH3:DJ6,3,FALSE),0),0))&gt;=100,100,(Backdoors!AI12+IF(W92&gt;=0.45,VLOOKUP(Calculator!E23,tbSkills!DH3:DI6,2,FALSE)+IF(AND(Calculator!B8=TRUE,Backdoors!BI6=TRUE),VLOOKUP(Calculator!E23,tbSkills!DH3:DJ6,3,FALSE),0),0)))/100)),1))*IF(VLOOKUP(A92,tbMoveset!A2:K112,11,FALSE)=TRUE,Backdoors!AC5,1))*X92,0),"")</f>
        <v>0</v>
      </c>
      <c r="AB92" s="49">
        <f>VLOOKUP(A92,tbMoveset!A2:G112,7,FALSE)*IFERROR(IF(Backdoors!AI12&gt;=0,1+(IF(Calculator!E40&gt;0,VLOOKUP(Calculator!E40,tbSkills!AI3:AJ5,2,FALSE),Backdoors!AL4)*(IF((Backdoors!AI12+IF(W92&gt;=0.45,VLOOKUP(Calculator!E23,tbSkills!DH3:DI6,2,FALSE)+IF(AND(Calculator!B8=TRUE,Backdoors!BI6=TRUE),VLOOKUP(Calculator!E23,tbSkills!DH3:DJ6,3,FALSE),0),0))&gt;=100,100,(Backdoors!AI12+IF(W92&gt;=0.45,VLOOKUP(Calculator!E23,tbSkills!DH3:DI6,2,FALSE)+IF(AND(Calculator!B8=TRUE,Backdoors!BI6=TRUE),VLOOKUP(Calculator!E23,tbSkills!DH3:DJ6,3,FALSE),0),0)))/100)),1),1)</f>
        <v>0.7</v>
      </c>
      <c r="AC92" s="87">
        <f t="shared" si="54"/>
        <v>5</v>
      </c>
      <c r="AD92" s="86">
        <f>IFERROR(IF(VLOOKUP(A92,tbMoveset!A2:B112,2,FALSE)="Sever",Backdoors!AY7/100,IF(VLOOKUP(A92,tbMoveset!A2:B112,2,FALSE)="Blunt",Backdoors!AZ7/100,Backdoors!BA7/100)),"")</f>
        <v>0.65</v>
      </c>
      <c r="AE92" s="49">
        <f>IFERROR(IF(VLOOKUP(tbMoveset!A92,tbMoveset!A2:H112,8,FALSE)="Other",IF(VLOOKUP(tbMoveset!A92,tbMoveset!A2:I112,9,FALSE)="Fire",Backdoors!BB7,IF(VLOOKUP(tbMoveset!A92,tbMoveset!A2:I112,9,FALSE)="Water",Backdoors!BC7,IF(VLOOKUP(tbMoveset!A92,tbMoveset!A2:I112,9,FALSE)="Thunder",Backdoors!BD7,IF(VLOOKUP(tbMoveset!A92,tbMoveset!A2:I112,9,FALSE)="Ice",Backdoors!BE7,IF(VLOOKUP(tbMoveset!A92,tbMoveset!A2:I112,9,FALSE)="Dragon",Backdoors!BF7,Backdoors!BG7)))))/100,Backdoors!BG7/100),"")</f>
        <v>0</v>
      </c>
      <c r="AF92" s="49">
        <f>IFERROR(IF(VLOOKUP(A92,tbMoveset!A2:J112,10,FALSE)=TRUE,IF((Backdoors!AI12+IF(AD92&gt;=0.45,VLOOKUP(Calculator!E23,tbSkills!DH3:DI6,2,FALSE)+IF(AND(Calculator!B8=TRUE,Backdoors!BI7=TRUE),VLOOKUP(Calculator!E23,tbSkills!DH3:DJ6,3,FALSE),0),0))&gt;=0,1+(Backdoors!AL2*(IF((Backdoors!AI12+IF(AD92&gt;=0.45,VLOOKUP(Calculator!E23,tbSkills!DH3:DI6,2,FALSE)+IF(AND(Calculator!B8=TRUE,Backdoors!BI7=TRUE),VLOOKUP(Calculator!E23,tbSkills!DH3:DJ6,3,FALSE),0),0))&gt;=100,100,(Backdoors!AI12+IF(AD92&gt;=0.45,VLOOKUP(Calculator!E23,tbSkills!DH3:DI6,2,FALSE)+IF(AND(Calculator!B8=TRUE,Backdoors!BI7=TRUE),VLOOKUP(Calculator!E23,tbSkills!DH3:DJ6,3,FALSE),0),0)))/100)),(1-(0.25*((-Backdoors!AI12-IF(AD92&gt;=0.45,VLOOKUP(Calculator!E23,tbSkills!DH3:DI6,2,FALSE)+IF(AND(Calculator!B8=TRUE,Backdoors!BI7=TRUE),VLOOKUP(Calculator!E23,tbSkills!DH3:DJ6,3,FALSE),0),0))/100)))),1),"")</f>
        <v>1</v>
      </c>
      <c r="AG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D92)*AF92)*(VLOOKUP(A92,tbMoveset!A2:C112,3,FALSE)/100)*IF(VLOOKUP(A92,tbMoveset!A2:B112,2,FALSE)="Projectile",Backdoors!N10,Backdoors!N9),0),"")</f>
        <v>7</v>
      </c>
      <c r="AH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D92&gt;=0.45,VLOOKUP(Calculator!E23,tbSkills!DH3:DI6,2,FALSE)+IF(AND(Calculator!B8=TRUE,Backdoors!BI7=TRUE),VLOOKUP(Calculator!E23,tbSkills!DH3:DJ6,3,FALSE),0),0))&gt;=100,100,(Backdoors!AI12+IF(AD92&gt;=0.45,VLOOKUP(Calculator!E23,tbSkills!DH3:DI6,2,FALSE)+IF(AND(Calculator!B8=TRUE,Backdoors!BI7=TRUE),VLOOKUP(Calculator!E23,tbSkills!DH3:DJ6,3,FALSE),0),0)))/100)),1))*IF(VLOOKUP(A92,tbMoveset!A2:K112,11,FALSE)=TRUE,Backdoors!AC5,1))*AE92,0),"")</f>
        <v>0</v>
      </c>
      <c r="AI92" s="49">
        <f>VLOOKUP(A92,tbMoveset!A2:G112,7,FALSE)*IFERROR(IF(Backdoors!AI12&gt;=0,1+(IF(Calculator!E40&gt;0,VLOOKUP(Calculator!E40,tbSkills!AI3:AJ5,2,FALSE),Backdoors!AL4)*(IF((Backdoors!AI12+IF(AD92&gt;=0.45,VLOOKUP(Calculator!E23,tbSkills!DH3:DI6,2,FALSE)+IF(AND(Calculator!B8=TRUE,Backdoors!BI7=TRUE),VLOOKUP(Calculator!E23,tbSkills!DH3:DJ6,3,FALSE),0),0))&gt;=100,100,(Backdoors!AI12+IF(AD92&gt;=0.45,VLOOKUP(Calculator!E23,tbSkills!DH3:DI6,2,FALSE)+IF(AND(Calculator!B8=TRUE,Backdoors!BI7=TRUE),VLOOKUP(Calculator!E23,tbSkills!DH3:DJ6,3,FALSE),0),0)))/100)),1),1)</f>
        <v>0.7</v>
      </c>
      <c r="AJ92" s="87">
        <f t="shared" si="55"/>
        <v>7</v>
      </c>
      <c r="AK92" s="91">
        <f>IFERROR(IF(VLOOKUP(A92,tbMoveset!A2:B112,2,FALSE)="Sever",Backdoors!AY8/100,IF(VLOOKUP(A92,tbMoveset!A2:B112,2,FALSE)="Blunt",Backdoors!AZ8/100,Backdoors!BA8/100)),"")</f>
        <v>0.45</v>
      </c>
      <c r="AL92" s="49">
        <f>IFERROR(IF(VLOOKUP(tbMoveset!A92,tbMoveset!A2:H112,8,FALSE)="Other",IF(VLOOKUP(tbMoveset!A92,tbMoveset!A2:I112,9,FALSE)="Fire",Backdoors!BB8,IF(VLOOKUP(tbMoveset!A92,tbMoveset!A2:I112,9,FALSE)="Water",Backdoors!BC8,IF(VLOOKUP(tbMoveset!A92,tbMoveset!A2:I112,9,FALSE)="Thunder",Backdoors!BD8,IF(VLOOKUP(tbMoveset!A92,tbMoveset!A2:I112,9,FALSE)="Ice",Backdoors!BE8,IF(VLOOKUP(tbMoveset!A92,tbMoveset!A2:I112,9,FALSE)="Dragon",Backdoors!BF8,Backdoors!BG8)))))/100,Backdoors!BG8/100),"")</f>
        <v>0</v>
      </c>
      <c r="AM92" s="49">
        <f>IFERROR(IF(VLOOKUP(A92,tbMoveset!A2:J112,10,FALSE)=TRUE,IF((Backdoors!AI12+IF(AK92&gt;=0.45,VLOOKUP(Calculator!E23,tbSkills!DH3:DI6,2,FALSE)+IF(AND(Calculator!B8=TRUE,Backdoors!BI8=TRUE),VLOOKUP(Calculator!E23,tbSkills!DH3:DJ6,3,FALSE),0),0))&gt;=0,1+(Backdoors!AL2*(IF((Backdoors!AI12+IF(AK92&gt;=0.45,VLOOKUP(Calculator!E23,tbSkills!DH3:DI6,2,FALSE)+IF(AND(Calculator!B8=TRUE,Backdoors!BI8=TRUE),VLOOKUP(Calculator!E23,tbSkills!DH3:DJ6,3,FALSE),0),0))&gt;=100,100,(Backdoors!AI12+IF(AK92&gt;=0.45,VLOOKUP(Calculator!E23,tbSkills!DH3:DI6,2,FALSE)+IF(AND(Calculator!B8=TRUE,Backdoors!BI8=TRUE),VLOOKUP(Calculator!E23,tbSkills!DH3:DJ6,3,FALSE),0),0)))/100)),(1-(0.25*((-Backdoors!AI12-IF(AK92&gt;=0.45,VLOOKUP(Calculator!E23,tbSkills!DH3:DI6,2,FALSE)+IF(AND(Calculator!B8=TRUE,Backdoors!BI8=TRUE),VLOOKUP(Calculator!E23,tbSkills!DH3:DJ6,3,FALSE),0),0))/100)))),1),"")</f>
        <v>1</v>
      </c>
      <c r="AN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K92)*AM92)*(VLOOKUP(A92,tbMoveset!A2:C112,3,FALSE)/100)*IF(VLOOKUP(A92,tbMoveset!A2:B112,2,FALSE)="Projectile",Backdoors!N10,Backdoors!N9),0),"")</f>
        <v>5</v>
      </c>
      <c r="AO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K92&gt;=0.45,VLOOKUP(Calculator!E23,tbSkills!DH3:DI6,2,FALSE)+IF(AND(Calculator!B8=TRUE,Backdoors!BI8=TRUE),VLOOKUP(Calculator!E23,tbSkills!DH3:DJ6,3,FALSE),0),0))&gt;=100,100,(Backdoors!AI12+IF(AK92&gt;=0.45,VLOOKUP(Calculator!E23,tbSkills!DH3:DI6,2,FALSE)+IF(AND(Calculator!B8=TRUE,Backdoors!BI8=TRUE),VLOOKUP(Calculator!E23,tbSkills!DH3:DJ6,3,FALSE),0),0)))/100)),1))*IF(VLOOKUP(A92,tbMoveset!A2:K112,11,FALSE)=TRUE,Backdoors!AC5,1))*AL92,0),"")</f>
        <v>0</v>
      </c>
      <c r="AP92" s="49">
        <f>VLOOKUP(A92,tbMoveset!A2:G112,7,FALSE)*IFERROR(IF(Backdoors!AI12&gt;=0,1+(IF(Calculator!E40&gt;0,VLOOKUP(Calculator!E40,tbSkills!AI3:AJ5,2,FALSE),Backdoors!AL4)*(IF((Backdoors!AI12+IF(AK92&gt;=0.45,VLOOKUP(Calculator!E23,tbSkills!DH3:DI6,2,FALSE)+IF(AND(Calculator!B8=TRUE,Backdoors!BI8=TRUE),VLOOKUP(Calculator!E23,tbSkills!DH3:DJ6,3,FALSE),0),0))&gt;=100,100,(Backdoors!AI12+IF(AK92&gt;=0.45,VLOOKUP(Calculator!E23,tbSkills!DH3:DI6,2,FALSE)+IF(AND(Calculator!B8=TRUE,Backdoors!BI8=TRUE),VLOOKUP(Calculator!E23,tbSkills!DH3:DJ6,3,FALSE),0),0)))/100)),1),1)</f>
        <v>0.7</v>
      </c>
      <c r="AQ92" s="87">
        <f t="shared" si="56"/>
        <v>5</v>
      </c>
      <c r="AR92" s="86">
        <f>IFERROR(IF(VLOOKUP(A92,tbMoveset!A2:B112,2,FALSE)="Sever",Backdoors!AY9/100,IF(VLOOKUP(A92,tbMoveset!A2:B112,2,FALSE)="Blunt",Backdoors!AZ9/100,Backdoors!BA9/100)),"")</f>
        <v>0.45</v>
      </c>
      <c r="AS92" s="49">
        <f>IFERROR(IF(VLOOKUP(tbMoveset!A92,tbMoveset!A2:H112,8,FALSE)="Other",IF(VLOOKUP(tbMoveset!A92,tbMoveset!A2:I112,9,FALSE)="Fire",Backdoors!BB9,IF(VLOOKUP(tbMoveset!A92,tbMoveset!A2:I112,9,FALSE)="Water",Backdoors!BC9,IF(VLOOKUP(tbMoveset!A92,tbMoveset!A2:I112,9,FALSE)="Thunder",Backdoors!BD9,IF(VLOOKUP(tbMoveset!A92,tbMoveset!A2:I112,9,FALSE)="Ice",Backdoors!BE9,IF(VLOOKUP(tbMoveset!A92,tbMoveset!A2:I112,9,FALSE)="Dragon",Backdoors!BF9,Backdoors!BG9)))))/100,Backdoors!BG9/100),"")</f>
        <v>0</v>
      </c>
      <c r="AT92" s="49">
        <f>IFERROR(IF(VLOOKUP(A92,tbMoveset!A2:J112,10,FALSE)=TRUE,IF((Backdoors!AI12+IF(AR92&gt;=0.45,VLOOKUP(Calculator!E23,tbSkills!DH3:DI6,2,FALSE)+IF(AND(Calculator!B8=TRUE,Backdoors!BI9=TRUE),VLOOKUP(Calculator!E23,tbSkills!DH3:DJ6,3,FALSE),0),0))&gt;=0,1+(Backdoors!AL2*(IF((Backdoors!AI12+IF(AR92&gt;=0.45,VLOOKUP(Calculator!E23,tbSkills!DH3:DI6,2,FALSE)+IF(AND(Calculator!B8=TRUE,Backdoors!BI9=TRUE),VLOOKUP(Calculator!E23,tbSkills!DH3:DJ6,3,FALSE),0),0))&gt;=100,100,(Backdoors!AI12+IF(AR92&gt;=0.45,VLOOKUP(Calculator!E23,tbSkills!DH3:DI6,2,FALSE)+IF(AND(Calculator!B8=TRUE,Backdoors!BI9=TRUE),VLOOKUP(Calculator!E23,tbSkills!DH3:DJ6,3,FALSE),0),0)))/100)),(1-(0.25*((-Backdoors!AI12-IF(AR92&gt;=0.45,VLOOKUP(Calculator!E23,tbSkills!DH3:DI6,2,FALSE)+IF(AND(Calculator!B8=TRUE,Backdoors!BI9=TRUE),VLOOKUP(Calculator!E23,tbSkills!DH3:DJ6,3,FALSE),0),0))/100)))),1),"")</f>
        <v>1</v>
      </c>
      <c r="AU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R92)*AT92)*(VLOOKUP(A92,tbMoveset!A2:C112,3,FALSE)/100)*IF(VLOOKUP(A92,tbMoveset!A2:B112,2,FALSE)="Projectile",Backdoors!N10,Backdoors!N9),0),"")</f>
        <v>5</v>
      </c>
      <c r="AV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R92&gt;=0.45,VLOOKUP(Calculator!E23,tbSkills!DH3:DI6,2,FALSE)+IF(AND(Calculator!B8=TRUE,Backdoors!BI9=TRUE),VLOOKUP(Calculator!E23,tbSkills!DH3:DJ6,3,FALSE),0),0))&gt;=100,100,(Backdoors!AI12+IF(AR92&gt;=0.45,VLOOKUP(Calculator!E23,tbSkills!DH3:DI6,2,FALSE)+IF(AND(Calculator!B8=TRUE,Backdoors!BI9=TRUE),VLOOKUP(Calculator!E23,tbSkills!DH3:DJ6,3,FALSE),0),0)))/100)),1))*IF(VLOOKUP(A92,tbMoveset!A2:K112,11,FALSE)=TRUE,Backdoors!AC5,1))*AS92,0),"")</f>
        <v>0</v>
      </c>
      <c r="AW92" s="49">
        <f>VLOOKUP(A92,tbMoveset!A2:G112,7,FALSE)*IFERROR(IF(Backdoors!AI12&gt;=0,1+(IF(Calculator!E40&gt;0,VLOOKUP(Calculator!E40,tbSkills!AI3:AJ5,2,FALSE),Backdoors!AL4)*(IF((Backdoors!AI12+IF(AR92&gt;=0.45,VLOOKUP(Calculator!E23,tbSkills!DH3:DI6,2,FALSE)+IF(AND(Calculator!B8=TRUE,Backdoors!BI9=TRUE),VLOOKUP(Calculator!E23,tbSkills!DH3:DJ6,3,FALSE),0),0))&gt;=100,100,(Backdoors!AI12+IF(AR92&gt;=0.45,VLOOKUP(Calculator!E23,tbSkills!DH3:DI6,2,FALSE)+IF(AND(Calculator!B8=TRUE,Backdoors!BI9=TRUE),VLOOKUP(Calculator!E23,tbSkills!DH3:DJ6,3,FALSE),0),0)))/100)),1),1)</f>
        <v>0.7</v>
      </c>
      <c r="AX92" s="87">
        <f t="shared" si="57"/>
        <v>5</v>
      </c>
      <c r="AY92" s="86">
        <f>IFERROR(IF(VLOOKUP(A92,tbMoveset!A2:B112,2,FALSE)="Sever",Backdoors!AY10/100,IF(VLOOKUP(A92,tbMoveset!A2:B112,2,FALSE)="Blunt",Backdoors!AZ10/100,Backdoors!BA10/100)),"")</f>
        <v>0.9</v>
      </c>
      <c r="AZ92" s="49">
        <f>IFERROR(IF(VLOOKUP(tbMoveset!A92,tbMoveset!A2:H112,8,FALSE)="Other",IF(VLOOKUP(tbMoveset!A92,tbMoveset!A2:I112,9,FALSE)="Fire",Backdoors!BB10,IF(VLOOKUP(tbMoveset!A92,tbMoveset!A2:I112,9,FALSE)="Water",Backdoors!BC10,IF(VLOOKUP(tbMoveset!A92,tbMoveset!A2:I112,9,FALSE)="Thunder",Backdoors!BD10,IF(VLOOKUP(tbMoveset!A92,tbMoveset!A2:I112,9,FALSE)="Ice",Backdoors!BE10,IF(VLOOKUP(tbMoveset!A92,tbMoveset!A2:I112,9,FALSE)="Dragon",Backdoors!BF10,Backdoors!BG10)))))/100,Backdoors!BG10/100),"")</f>
        <v>0</v>
      </c>
      <c r="BA92" s="49">
        <f>IFERROR(IF(VLOOKUP(A92,tbMoveset!A2:J112,10,FALSE)=TRUE,IF((Backdoors!AI12+IF(AY92&gt;=0.45,VLOOKUP(Calculator!E23,tbSkills!DH3:DI6,2,FALSE)+IF(AND(Calculator!B8=TRUE,Backdoors!BI10=TRUE),VLOOKUP(Calculator!E23,tbSkills!DH3:DJ6,3,FALSE),0),0))&gt;=0,1+(Backdoors!AL2*(IF((Backdoors!AI12+IF(AY92&gt;=0.45,VLOOKUP(Calculator!E23,tbSkills!DH3:DI6,2,FALSE)+IF(AND(Calculator!B8=TRUE,Backdoors!BI10=TRUE),VLOOKUP(Calculator!E23,tbSkills!DH3:DJ6,3,FALSE),0),0))&gt;=100,100,(Backdoors!AI12+IF(AY92&gt;=0.45,VLOOKUP(Calculator!E23,tbSkills!DH3:DI6,2,FALSE)+IF(AND(Calculator!B8=TRUE,Backdoors!BI10=TRUE),VLOOKUP(Calculator!E23,tbSkills!DH3:DJ6,3,FALSE),0),0)))/100)),(1-(0.25*((-Backdoors!AI12-IF(AY92&gt;=0.45,VLOOKUP(Calculator!E23,tbSkills!DH3:DI6,2,FALSE)+IF(AND(Calculator!B8=TRUE,Backdoors!BI10=TRUE),VLOOKUP(Calculator!E23,tbSkills!DH3:DJ6,3,FALSE),0),0))/100)))),1),"")</f>
        <v>1</v>
      </c>
      <c r="BB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Y92)*BA92)*(VLOOKUP(A92,tbMoveset!A2:C112,3,FALSE)/100)*IF(VLOOKUP(A92,tbMoveset!A2:B112,2,FALSE)="Projectile",Backdoors!N10,Backdoors!N9),0),"")</f>
        <v>9</v>
      </c>
      <c r="BC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Y92&gt;=0.45,VLOOKUP(Calculator!E23,tbSkills!DH3:DI6,2,FALSE)+IF(AND(Calculator!B8=TRUE,Backdoors!BI10=TRUE),VLOOKUP(Calculator!E23,tbSkills!DH3:DJ6,3,FALSE),0),0))&gt;=100,100,(Backdoors!AI12+IF(AY92&gt;=0.45,VLOOKUP(Calculator!E23,tbSkills!DH3:DI6,2,FALSE)+IF(AND(Calculator!B8=TRUE,Backdoors!BI10=TRUE),VLOOKUP(Calculator!E23,tbSkills!DH3:DJ6,3,FALSE),0),0)))/100)),1))*IF(VLOOKUP(A92,tbMoveset!A2:K112,11,FALSE)=TRUE,Backdoors!AC5,1))*AZ92,0),"")</f>
        <v>0</v>
      </c>
      <c r="BD92" s="49">
        <f>VLOOKUP(A92,tbMoveset!A2:G112,7,FALSE)*IFERROR(IF(Backdoors!AI12&gt;=0,1+(IF(Calculator!E40&gt;0,VLOOKUP(Calculator!E40,tbSkills!AI3:AJ5,2,FALSE),Backdoors!AL4)*(IF((Backdoors!AI12+IF(AY92&gt;=0.45,VLOOKUP(Calculator!E23,tbSkills!DH3:DI6,2,FALSE)+IF(AND(Calculator!B8=TRUE,Backdoors!BI10=TRUE),VLOOKUP(Calculator!E23,tbSkills!DH3:DJ6,3,FALSE),0),0))&gt;=100,100,(Backdoors!AI12+IF(AY92&gt;=0.45,VLOOKUP(Calculator!E23,tbSkills!DH3:DI6,2,FALSE)+IF(AND(Calculator!B8=TRUE,Backdoors!BI10=TRUE),VLOOKUP(Calculator!E23,tbSkills!DH3:DJ6,3,FALSE),0),0)))/100)),1),1)</f>
        <v>0.7</v>
      </c>
      <c r="BE92" s="87">
        <f t="shared" si="58"/>
        <v>9</v>
      </c>
      <c r="BF92" s="86" t="str">
        <f>IFERROR(IF(VLOOKUP(A92,tbMoveset!A2:B112,2,FALSE)="Sever",Backdoors!AY11/100,IF(VLOOKUP(A92,tbMoveset!A2:B112,2,FALSE)="Blunt",Backdoors!AZ11/100,Backdoors!BA11/100)),"")</f>
        <v/>
      </c>
      <c r="BG92" s="49">
        <f>IFERROR(IF(VLOOKUP(tbMoveset!A92,tbMoveset!A2:H112,8,FALSE)="Other",IF(VLOOKUP(tbMoveset!A92,tbMoveset!A2:I112,9,FALSE)="Fire",Backdoors!BB11,IF(VLOOKUP(tbMoveset!A92,tbMoveset!A2:I112,9,FALSE)="Water",Backdoors!BC11,IF(VLOOKUP(tbMoveset!A92,tbMoveset!A2:I112,9,FALSE)="Thunder",Backdoors!BD11,IF(VLOOKUP(tbMoveset!A92,tbMoveset!A2:I112,9,FALSE)="Ice",Backdoors!BE11,IF(VLOOKUP(tbMoveset!A92,tbMoveset!A2:I112,9,FALSE)="Dragon",Backdoors!BF11,Backdoors!BG11)))))/100,Backdoors!BG11/100),"")</f>
        <v>0</v>
      </c>
      <c r="BH92" s="49">
        <f>IFERROR(IF(VLOOKUP(A92,tbMoveset!A2:J112,10,FALSE)=TRUE,IF((Backdoors!AI12+IF(BF92&gt;=0.45,VLOOKUP(Calculator!E23,tbSkills!DH3:DI6,2,FALSE)+IF(AND(Calculator!B8=TRUE,Backdoors!BI11=TRUE),VLOOKUP(Calculator!E23,tbSkills!DH3:DJ6,3,FALSE),0),0))&gt;=0,1+(Backdoors!AL2*(IF((Backdoors!AI12+IF(BF92&gt;=0.45,VLOOKUP(Calculator!E23,tbSkills!DH3:DI6,2,FALSE)+IF(AND(Calculator!B8=TRUE,Backdoors!BI11=TRUE),VLOOKUP(Calculator!E23,tbSkills!DH3:DJ6,3,FALSE),0),0))&gt;=100,100,(Backdoors!AI12+IF(BF92&gt;=0.45,VLOOKUP(Calculator!E23,tbSkills!DH3:DI6,2,FALSE)+IF(AND(Calculator!B8=TRUE,Backdoors!BI11=TRUE),VLOOKUP(Calculator!E23,tbSkills!DH3:DJ6,3,FALSE),0),0)))/100)),(1-(0.25*((-Backdoors!AI12-IF(BF92&gt;=0.45,VLOOKUP(Calculator!E23,tbSkills!DH3:DI6,2,FALSE)+IF(AND(Calculator!B8=TRUE,Backdoors!BI11=TRUE),VLOOKUP(Calculator!E23,tbSkills!DH3:DJ6,3,FALSE),0),0))/100)))),1),"")</f>
        <v>1</v>
      </c>
      <c r="BI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F92)*BH92)*(VLOOKUP(A92,tbMoveset!A2:C112,3,FALSE)/100)*IF(VLOOKUP(A92,tbMoveset!A2:B112,2,FALSE)="Projectile",Backdoors!N10,Backdoors!N9),0),"")</f>
        <v/>
      </c>
      <c r="BJ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F92&gt;=0.45,VLOOKUP(Calculator!E23,tbSkills!DH3:DI6,2,FALSE)+IF(AND(Calculator!B8=TRUE,Backdoors!BI11=TRUE),VLOOKUP(Calculator!E23,tbSkills!DH3:DJ6,3,FALSE),0),0))&gt;=100,100,(Backdoors!AI12+IF(BF92&gt;=0.45,VLOOKUP(Calculator!E23,tbSkills!DH3:DI6,2,FALSE)+IF(AND(Calculator!B8=TRUE,Backdoors!BI11=TRUE),VLOOKUP(Calculator!E23,tbSkills!DH3:DJ6,3,FALSE),0),0)))/100)),1))*IF(VLOOKUP(A92,tbMoveset!A2:K112,11,FALSE)=TRUE,Backdoors!AC5,1))*BG92,0),"")</f>
        <v>0</v>
      </c>
      <c r="BK92" s="49">
        <f>VLOOKUP(A92,tbMoveset!A2:G112,7,FALSE)*IFERROR(IF(Backdoors!AI12&gt;=0,1+(IF(Calculator!E40&gt;0,VLOOKUP(Calculator!E40,tbSkills!AI3:AJ5,2,FALSE),Backdoors!AL4)*(IF((Backdoors!AI12+IF(BF92&gt;=0.45,VLOOKUP(Calculator!E23,tbSkills!DH3:DI6,2,FALSE)+IF(AND(Calculator!B8=TRUE,Backdoors!BI11=TRUE),VLOOKUP(Calculator!E23,tbSkills!DH3:DJ6,3,FALSE),0),0))&gt;=100,100,(Backdoors!AI12+IF(BF92&gt;=0.45,VLOOKUP(Calculator!E23,tbSkills!DH3:DI6,2,FALSE)+IF(AND(Calculator!B8=TRUE,Backdoors!BI11=TRUE),VLOOKUP(Calculator!E23,tbSkills!DH3:DJ6,3,FALSE),0),0)))/100)),1),1)</f>
        <v>0.7</v>
      </c>
      <c r="BL92" s="87">
        <f t="shared" si="59"/>
        <v>0</v>
      </c>
      <c r="BM92" s="86" t="str">
        <f>IFERROR(IF(VLOOKUP(A92,tbMoveset!A2:B112,2,FALSE)="Sever",Backdoors!AY12/100,IF(VLOOKUP(A92,tbMoveset!A2:B112,2,FALSE)="Blunt",Backdoors!AZ12/100,Backdoors!BA12/100)),"")</f>
        <v/>
      </c>
      <c r="BN92" s="49">
        <f>IFERROR(IF(VLOOKUP(tbMoveset!A92,tbMoveset!A2:H112,8,FALSE)="Other",IF(VLOOKUP(tbMoveset!A92,tbMoveset!A2:I112,9,FALSE)="Fire",Backdoors!BB12,IF(VLOOKUP(tbMoveset!A92,tbMoveset!A2:I112,9,FALSE)="Water",Backdoors!BC12,IF(VLOOKUP(tbMoveset!A92,tbMoveset!A2:I112,9,FALSE)="Thunder",Backdoors!BD12,IF(VLOOKUP(tbMoveset!A92,tbMoveset!A2:I112,9,FALSE)="Ice",Backdoors!BE12,IF(VLOOKUP(tbMoveset!A92,tbMoveset!A2:I112,9,FALSE)="Dragon",Backdoors!BF12,Backdoors!BG12)))))/100,Backdoors!BG12/100),"")</f>
        <v>0</v>
      </c>
      <c r="BO92" s="49">
        <f>IFERROR(IF(VLOOKUP(A92,tbMoveset!A2:J112,10,FALSE)=TRUE,IF((Backdoors!AI12+IF(BM92&gt;=0.45,VLOOKUP(Calculator!E23,tbSkills!DH3:DI6,2,FALSE)+IF(AND(Calculator!B8=TRUE,Backdoors!BI12=TRUE),VLOOKUP(Calculator!E23,tbSkills!DH3:DJ6,3,FALSE),0),0))&gt;=0,1+(Backdoors!AL2*(IF((Backdoors!AI12+IF(BM92&gt;=0.45,VLOOKUP(Calculator!E23,tbSkills!DH3:DI6,2,FALSE)+IF(AND(Calculator!B8=TRUE,Backdoors!BI12=TRUE),VLOOKUP(Calculator!E23,tbSkills!DH3:DJ6,3,FALSE),0),0))&gt;=100,100,(Backdoors!AI12+IF(BM92&gt;=0.45,VLOOKUP(Calculator!E23,tbSkills!DH3:DI6,2,FALSE)+IF(AND(Calculator!B8=TRUE,Backdoors!BI12=TRUE),VLOOKUP(Calculator!E23,tbSkills!DH3:DJ6,3,FALSE),0),0)))/100)),(1-(0.25*((-Backdoors!AI12-IF(BM92&gt;=0.45,VLOOKUP(Calculator!E23,tbSkills!DH3:DI6,2,FALSE)+IF(AND(Calculator!B8=TRUE,Backdoors!BI12=TRUE),VLOOKUP(Calculator!E23,tbSkills!DH3:DJ6,3,FALSE),0),0))/100)))),1),"")</f>
        <v>1</v>
      </c>
      <c r="BP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M92)*BO92)*(VLOOKUP(A92,tbMoveset!A2:C112,3,FALSE)/100)*IF(VLOOKUP(A92,tbMoveset!A2:B112,2,FALSE)="Projectile",Backdoors!N10,Backdoors!N9),0),"")</f>
        <v/>
      </c>
      <c r="BQ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M92&gt;=0.45,VLOOKUP(Calculator!E23,tbSkills!DH3:DI6,2,FALSE)+IF(AND(Calculator!B8=TRUE,Backdoors!BI12=TRUE),VLOOKUP(Calculator!E23,tbSkills!DH3:DJ6,3,FALSE),0),0))&gt;=100,100,(Backdoors!AI12+IF(BM92&gt;=0.45,VLOOKUP(Calculator!E23,tbSkills!DH3:DI6,2,FALSE)+IF(AND(Calculator!B8=TRUE,Backdoors!BI12=TRUE),VLOOKUP(Calculator!E23,tbSkills!DH3:DJ6,3,FALSE),0),0)))/100)),1))*IF(VLOOKUP(A92,tbMoveset!A2:K112,11,FALSE)=TRUE,Backdoors!AC5,1))*BN92,0),"")</f>
        <v>0</v>
      </c>
      <c r="BR92" s="49">
        <f>VLOOKUP(A92,tbMoveset!A2:G112,7,FALSE)*IFERROR(IF(Backdoors!AI12&gt;=0,1+(IF(Calculator!E40&gt;0,VLOOKUP(Calculator!E40,tbSkills!AI3:AJ5,2,FALSE),Backdoors!AL4)*(IF((Backdoors!AI12+IF(BM92&gt;=0.45,VLOOKUP(Calculator!E23,tbSkills!DH3:DI6,2,FALSE)+IF(AND(Calculator!B8=TRUE,Backdoors!BI12=TRUE),VLOOKUP(Calculator!E23,tbSkills!DH3:DJ6,3,FALSE),0),0))&gt;=100,100,(Backdoors!AI12+IF(BM92&gt;=0.45,VLOOKUP(Calculator!E23,tbSkills!DH3:DI6,2,FALSE)+IF(AND(Calculator!B8=TRUE,Backdoors!BI12=TRUE),VLOOKUP(Calculator!E23,tbSkills!DH3:DJ6,3,FALSE),0),0)))/100)),1),1)</f>
        <v>0.7</v>
      </c>
      <c r="BS92" s="87">
        <f t="shared" si="60"/>
        <v>0</v>
      </c>
      <c r="BT92" s="86" t="str">
        <f>IFERROR(IF(VLOOKUP(A92,tbMoveset!A2:B112,2,FALSE)="Sever",Backdoors!AY13/100,IF(VLOOKUP(A92,tbMoveset!A2:B112,2,FALSE)="Blunt",Backdoors!AZ13/100,Backdoors!BA13/100)),"")</f>
        <v/>
      </c>
      <c r="BU92" s="49">
        <f>IFERROR(IF(VLOOKUP(tbMoveset!A92,tbMoveset!A2:H112,8,FALSE)="Other",IF(VLOOKUP(tbMoveset!A92,tbMoveset!A2:I112,9,FALSE)="Fire",Backdoors!BB13,IF(VLOOKUP(tbMoveset!A92,tbMoveset!A2:I112,9,FALSE)="Water",Backdoors!BC13,IF(VLOOKUP(tbMoveset!A92,tbMoveset!A2:I112,9,FALSE)="Thunder",Backdoors!BD13,IF(VLOOKUP(tbMoveset!A92,tbMoveset!A2:I112,9,FALSE)="Ice",Backdoors!BE13,IF(VLOOKUP(tbMoveset!A92,tbMoveset!A2:I112,9,FALSE)="Dragon",Backdoors!BF13,Backdoors!BG13)))))/100,Backdoors!BG13/100),"")</f>
        <v>0</v>
      </c>
      <c r="BV92" s="49">
        <f>IFERROR(IF(VLOOKUP(A92,tbMoveset!A2:J112,10,FALSE)=TRUE,IF((Backdoors!AI12+IF(BT92&gt;=0.45,VLOOKUP(Calculator!E23,tbSkills!DH3:DI6,2,FALSE)+IF(AND(Calculator!B8=TRUE,Backdoors!BI13=TRUE),VLOOKUP(Calculator!E23,tbSkills!DH3:DJ6,3,FALSE),0),0))&gt;=0,1+(Backdoors!AL2*(IF((Backdoors!AI12+IF(BT92&gt;=0.45,VLOOKUP(Calculator!E23,tbSkills!DH3:DI6,2,FALSE)+IF(AND(Calculator!B8=TRUE,Backdoors!BI13=TRUE),VLOOKUP(Calculator!E23,tbSkills!DH3:DJ6,3,FALSE),0),0))&gt;=100,100,(Backdoors!AI12+IF(BT92&gt;=0.45,VLOOKUP(Calculator!E23,tbSkills!DH3:DI6,2,FALSE)+IF(AND(Calculator!B8=TRUE,Backdoors!BI13=TRUE),VLOOKUP(Calculator!E23,tbSkills!DH3:DJ6,3,FALSE),0),0)))/100)),(1-(0.25*((-Backdoors!AI12-IF(BT92&gt;=0.45,VLOOKUP(Calculator!E23,tbSkills!DH3:DI6,2,FALSE)+IF(AND(Calculator!B8=TRUE,Backdoors!BI13=TRUE),VLOOKUP(Calculator!E23,tbSkills!DH3:DJ6,3,FALSE),0),0))/100)))),1),"")</f>
        <v>1</v>
      </c>
      <c r="BW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T92)*BV92)*(VLOOKUP(A92,tbMoveset!A2:C112,3,FALSE)/100)*IF(VLOOKUP(A92,tbMoveset!A2:B112,2,FALSE)="Projectile",Backdoors!N10,Backdoors!N9),0),"")</f>
        <v/>
      </c>
      <c r="BX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T92&gt;=0.45,VLOOKUP(Calculator!E23,tbSkills!DH3:DI6,2,FALSE)+IF(AND(Calculator!B8=TRUE,Backdoors!BI13=TRUE),VLOOKUP(Calculator!E23,tbSkills!DH3:DJ6,3,FALSE),0),0))&gt;=100,100,(Backdoors!AI12+IF(BT92&gt;=0.45,VLOOKUP(Calculator!E23,tbSkills!DH3:DI6,2,FALSE)+IF(AND(Calculator!B8=TRUE,Backdoors!BI13=TRUE),VLOOKUP(Calculator!E23,tbSkills!DH3:DJ6,3,FALSE),0),0)))/100)),1))*IF(VLOOKUP(A92,tbMoveset!A2:K112,11,FALSE)=TRUE,Backdoors!AC5,1))*BU92,0),"")</f>
        <v>0</v>
      </c>
      <c r="BY92" s="49">
        <f>VLOOKUP(A92,tbMoveset!A2:G112,7,FALSE)*IFERROR(IF(Backdoors!AI12&gt;=0,1+(IF(Calculator!E40&gt;0,VLOOKUP(Calculator!E40,tbSkills!AI3:AJ5,2,FALSE),Backdoors!AL4)*(IF((Backdoors!AI12+IF(BT92&gt;=0.45,VLOOKUP(Calculator!E23,tbSkills!DH3:DI6,2,FALSE)+IF(AND(Calculator!B8=TRUE,Backdoors!BI13=TRUE),VLOOKUP(Calculator!E23,tbSkills!DH3:DJ6,3,FALSE),0),0))&gt;=100,100,(Backdoors!AI12+IF(BT92&gt;=0.45,VLOOKUP(Calculator!E23,tbSkills!DH3:DI6,2,FALSE)+IF(AND(Calculator!B8=TRUE,Backdoors!BI13=TRUE),VLOOKUP(Calculator!E23,tbSkills!DH3:DJ6,3,FALSE),0),0)))/100)),1),1)</f>
        <v>0.7</v>
      </c>
      <c r="BZ92" s="87">
        <f t="shared" si="61"/>
        <v>0</v>
      </c>
      <c r="CA92" s="86" t="str">
        <f>IFERROR(IF(VLOOKUP(A92,tbMoveset!A2:B112,2,FALSE)="Sever",Backdoors!AY14/100,IF(VLOOKUP(A92,tbMoveset!A2:B112,2,FALSE)="Blunt",Backdoors!AZ14/100,Backdoors!BA14/100)),"")</f>
        <v/>
      </c>
      <c r="CB92" s="49">
        <f>IFERROR(IF(VLOOKUP(tbMoveset!A92,tbMoveset!A2:H112,8,FALSE)="Other",IF(VLOOKUP(tbMoveset!A92,tbMoveset!A2:I112,9,FALSE)="Fire",Backdoors!BB14,IF(VLOOKUP(tbMoveset!A92,tbMoveset!A2:I112,9,FALSE)="Water",Backdoors!BC14,IF(VLOOKUP(tbMoveset!A92,tbMoveset!A2:I112,9,FALSE)="Thunder",Backdoors!BD14,IF(VLOOKUP(tbMoveset!A92,tbMoveset!A2:I112,9,FALSE)="Ice",Backdoors!BE14,IF(VLOOKUP(tbMoveset!A92,tbMoveset!A2:I112,9,FALSE)="Dragon",Backdoors!BF14,Backdoors!BG14)))))/100,Backdoors!BG14/100),"")</f>
        <v>0</v>
      </c>
      <c r="CC92" s="49">
        <f>IFERROR(IF(VLOOKUP(A92,tbMoveset!A2:J112,10,FALSE)=TRUE,IF((Backdoors!AI12+IF(CA92&gt;=0.45,VLOOKUP(Calculator!E23,tbSkills!DH3:DI6,2,FALSE)+IF(AND(Calculator!B8=TRUE,Backdoors!BI14=TRUE),VLOOKUP(Calculator!E23,tbSkills!DH3:DJ6,3,FALSE),0),0))&gt;=0,1+(Backdoors!AL2*(IF((Backdoors!AI12+IF(CA92&gt;=0.45,VLOOKUP(Calculator!E23,tbSkills!DH3:DI6,2,FALSE)+IF(AND(Calculator!B8=TRUE,Backdoors!BI14=TRUE),VLOOKUP(Calculator!E23,tbSkills!DH3:DJ6,3,FALSE),0),0))&gt;=100,100,(Backdoors!AI12+IF(CA92&gt;=0.45,VLOOKUP(Calculator!E23,tbSkills!DH3:DI6,2,FALSE)+IF(AND(Calculator!B8=TRUE,Backdoors!BI14=TRUE),VLOOKUP(Calculator!E23,tbSkills!DH3:DJ6,3,FALSE),0),0)))/100)),(1-(0.25*((-Backdoors!AI12-IF(CA92&gt;=0.45,VLOOKUP(Calculator!E23,tbSkills!DH3:DI6,2,FALSE)+IF(AND(Calculator!B8=TRUE,Backdoors!BI14=TRUE),VLOOKUP(Calculator!E23,tbSkills!DH3:DJ6,3,FALSE),0),0))/100)))),1),"")</f>
        <v>1</v>
      </c>
      <c r="CD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A92)*CC92)*(VLOOKUP(A92,tbMoveset!A2:C112,3,FALSE)/100)*IF(VLOOKUP(A92,tbMoveset!A2:B112,2,FALSE)="Projectile",Backdoors!N10,Backdoors!N9),0),"")</f>
        <v/>
      </c>
      <c r="CE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A92&gt;=0.45,VLOOKUP(Calculator!E23,tbSkills!DH3:DI6,2,FALSE)+IF(AND(Calculator!B8=TRUE,Backdoors!BI14=TRUE),VLOOKUP(Calculator!E23,tbSkills!DH3:DJ6,3,FALSE),0),0))&gt;=100,100,(Backdoors!AI12+IF(CA92&gt;=0.45,VLOOKUP(Calculator!E23,tbSkills!DH3:DI6,2,FALSE)+IF(AND(Calculator!B8=TRUE,Backdoors!BI14=TRUE),VLOOKUP(Calculator!E23,tbSkills!DH3:DJ6,3,FALSE),0),0)))/100)),1))*IF(VLOOKUP(A92,tbMoveset!A2:K112,11,FALSE)=TRUE,Backdoors!AC5,1))*CB92,0),"")</f>
        <v>0</v>
      </c>
      <c r="CF92" s="49">
        <f>VLOOKUP(A92,tbMoveset!A2:G112,7,FALSE)*IFERROR(IF(Backdoors!AI12&gt;=0,1+(IF(Calculator!E40&gt;0,VLOOKUP(Calculator!E40,tbSkills!AI3:AJ5,2,FALSE),Backdoors!AL4)*(IF((Backdoors!AI12+IF(CA92&gt;=0.45,VLOOKUP(Calculator!E23,tbSkills!DH3:DI6,2,FALSE)+IF(AND(Calculator!B8=TRUE,Backdoors!BI14=TRUE),VLOOKUP(Calculator!E23,tbSkills!DH3:DJ6,3,FALSE),0),0))&gt;=100,100,(Backdoors!AI12+IF(CA92&gt;=0.45,VLOOKUP(Calculator!E23,tbSkills!DH3:DI6,2,FALSE)+IF(AND(Calculator!B8=TRUE,Backdoors!BI14=TRUE),VLOOKUP(Calculator!E23,tbSkills!DH3:DJ6,3,FALSE),0),0)))/100)),1),1)</f>
        <v>0.7</v>
      </c>
      <c r="CG92" s="87">
        <f t="shared" si="62"/>
        <v>0</v>
      </c>
      <c r="CH92" s="86" t="str">
        <f>IFERROR(IF(VLOOKUP(A92,tbMoveset!A2:B112,2,FALSE)="Sever",Backdoors!AY15/100,IF(VLOOKUP(A92,tbMoveset!A2:B112,2,FALSE)="Blunt",Backdoors!AZ15/100,Backdoors!BA15/100)),"")</f>
        <v/>
      </c>
      <c r="CI92" s="49">
        <f>IFERROR(IF(VLOOKUP(tbMoveset!A92,tbMoveset!A2:H112,8,FALSE)="Other",IF(VLOOKUP(tbMoveset!A92,tbMoveset!A2:I112,9,FALSE)="Fire",Backdoors!BB15,IF(VLOOKUP(tbMoveset!A92,tbMoveset!A2:I112,9,FALSE)="Water",Backdoors!BC15,IF(VLOOKUP(tbMoveset!A92,tbMoveset!A2:I112,9,FALSE)="Thunder",Backdoors!BD15,IF(VLOOKUP(tbMoveset!A92,tbMoveset!A2:I112,9,FALSE)="Ice",Backdoors!BE15,IF(VLOOKUP(tbMoveset!A92,tbMoveset!A2:I112,9,FALSE)="Dragon",Backdoors!BF15,Backdoors!BG15)))))/100,Backdoors!BG15/100),"")</f>
        <v>0</v>
      </c>
      <c r="CJ92" s="49">
        <f>IFERROR(IF(VLOOKUP(A92,tbMoveset!A2:J112,10,FALSE)=TRUE,IF((Backdoors!AI12+IF(CH92&gt;=0.45,VLOOKUP(Calculator!E23,tbSkills!DH3:DI6,2,FALSE)+IF(AND(Calculator!B8=TRUE,Backdoors!BI15=TRUE),VLOOKUP(Calculator!E23,tbSkills!DH3:DJ6,3,FALSE),0),0))&gt;=0,1+(Backdoors!AL2*(IF((Backdoors!AI12+IF(CH92&gt;=0.45,VLOOKUP(Calculator!E23,tbSkills!DH3:DI6,2,FALSE)+IF(AND(Calculator!B8=TRUE,Backdoors!BI15=TRUE),VLOOKUP(Calculator!E23,tbSkills!DH3:DJ6,3,FALSE),0),0))&gt;=100,100,(Backdoors!AI12+IF(CH92&gt;=0.45,VLOOKUP(Calculator!E23,tbSkills!DH3:DI6,2,FALSE)+IF(AND(Calculator!B8=TRUE,Backdoors!BI15=TRUE),VLOOKUP(Calculator!E23,tbSkills!DH3:DJ6,3,FALSE),0),0)))/100)),(1-(0.25*((-Backdoors!AI12-IF(CH92&gt;=0.45,VLOOKUP(Calculator!E23,tbSkills!DH3:DI6,2,FALSE)+IF(AND(Calculator!B8=TRUE,Backdoors!BI15=TRUE),VLOOKUP(Calculator!E23,tbSkills!DH3:DJ6,3,FALSE),0),0))/100)))),1),"")</f>
        <v>1</v>
      </c>
      <c r="CK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H92)*CJ92)*(VLOOKUP(A92,tbMoveset!A2:C112,3,FALSE)/100)*IF(VLOOKUP(A92,tbMoveset!A2:B112,2,FALSE)="Projectile",Backdoors!N10,Backdoors!N9),0),"")</f>
        <v/>
      </c>
      <c r="CL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H92&gt;=0.45,VLOOKUP(Calculator!E23,tbSkills!DH3:DI6,2,FALSE)+IF(AND(Calculator!B8=TRUE,Backdoors!BI15=TRUE),VLOOKUP(Calculator!E23,tbSkills!DH3:DJ6,3,FALSE),0),0))&gt;=100,100,(Backdoors!AI12+IF(CH92&gt;=0.45,VLOOKUP(Calculator!E23,tbSkills!DH3:DI6,2,FALSE)+IF(AND(Calculator!B8=TRUE,Backdoors!BI15=TRUE),VLOOKUP(Calculator!E23,tbSkills!DH3:DJ6,3,FALSE),0),0)))/100)),1))*IF(VLOOKUP(A92,tbMoveset!A2:K112,11,FALSE)=TRUE,Backdoors!AC5,1))*CI92,0),"")</f>
        <v>0</v>
      </c>
      <c r="CM92" s="49">
        <f>VLOOKUP(A92,tbMoveset!A2:G112,7,FALSE)*IFERROR(IF(Backdoors!AI12&gt;=0,1+(IF(Calculator!E40&gt;0,VLOOKUP(Calculator!E40,tbSkills!AI3:AJ5,2,FALSE),Backdoors!AL4)*(IF((Backdoors!AI12+IF(CH92&gt;=0.45,VLOOKUP(Calculator!E23,tbSkills!DH3:DI6,2,FALSE)+IF(AND(Calculator!B8=TRUE,Backdoors!BI15=TRUE),VLOOKUP(Calculator!E23,tbSkills!DH3:DJ6,3,FALSE),0),0))&gt;=100,100,(Backdoors!AI12+IF(CH92&gt;=0.45,VLOOKUP(Calculator!E23,tbSkills!DH3:DI6,2,FALSE)+IF(AND(Calculator!B8=TRUE,Backdoors!BI15=TRUE),VLOOKUP(Calculator!E23,tbSkills!DH3:DJ6,3,FALSE),0),0)))/100)),1),1)</f>
        <v>0.7</v>
      </c>
      <c r="CN92" s="87">
        <f t="shared" si="63"/>
        <v>0</v>
      </c>
      <c r="CO92" s="86" t="str">
        <f>IFERROR(IF(VLOOKUP(A92,tbMoveset!A2:B112,2,FALSE)="Sever",Backdoors!AY16/100,IF(VLOOKUP(A92,tbMoveset!A2:B112,2,FALSE)="Blunt",Backdoors!AZ16/100,Backdoors!BA16/100)),"")</f>
        <v/>
      </c>
      <c r="CP92" s="49">
        <f>IFERROR(IF(VLOOKUP(tbMoveset!A92,tbMoveset!A2:H112,8,FALSE)="Other",IF(VLOOKUP(tbMoveset!A92,tbMoveset!A2:I112,9,FALSE)="Fire",Backdoors!BB16,IF(VLOOKUP(tbMoveset!A92,tbMoveset!A2:I112,9,FALSE)="Water",Backdoors!BC16,IF(VLOOKUP(tbMoveset!A92,tbMoveset!A2:I112,9,FALSE)="Thunder",Backdoors!BD16,IF(VLOOKUP(tbMoveset!A92,tbMoveset!A2:I112,9,FALSE)="Ice",Backdoors!BE16,IF(VLOOKUP(tbMoveset!A92,tbMoveset!A2:I112,9,FALSE)="Dragon",Backdoors!BF16,Backdoors!BG16)))))/100,Backdoors!BG16/100),"")</f>
        <v>0</v>
      </c>
      <c r="CQ92" s="49">
        <f>IFERROR(IF(VLOOKUP(A92,tbMoveset!A2:J112,10,FALSE)=TRUE,IF((Backdoors!AI12+IF(CO92&gt;=0.45,VLOOKUP(Calculator!E23,tbSkills!DH3:DI6,2,FALSE)+IF(AND(Calculator!B8=TRUE,Backdoors!BI16=TRUE),VLOOKUP(Calculator!E23,tbSkills!DH3:DJ6,3,FALSE),0),0))&gt;=0,1+(Backdoors!AL2*(IF((Backdoors!AI12+IF(CO92&gt;=0.45,VLOOKUP(Calculator!E23,tbSkills!DH3:DI6,2,FALSE)+IF(AND(Calculator!B8=TRUE,Backdoors!BI16=TRUE),VLOOKUP(Calculator!E23,tbSkills!DH3:DJ6,3,FALSE),0),0))&gt;=100,100,(Backdoors!AI12+IF(CO92&gt;=0.45,VLOOKUP(Calculator!E23,tbSkills!DH3:DI6,2,FALSE)+IF(AND(Calculator!B8=TRUE,Backdoors!BI16=TRUE),VLOOKUP(Calculator!E23,tbSkills!DH3:DJ6,3,FALSE),0),0)))/100)),(1-(0.25*((-Backdoors!AI12-IF(CO92&gt;=0.45,VLOOKUP(Calculator!E23,tbSkills!DH3:DI6,2,FALSE)+IF(AND(Calculator!B8=TRUE,Backdoors!BI16=TRUE),VLOOKUP(Calculator!E23,tbSkills!DH3:DJ6,3,FALSE),0),0))/100)))),1),"")</f>
        <v>1</v>
      </c>
      <c r="CR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O92)*CQ92)*(VLOOKUP(A92,tbMoveset!A2:C112,3,FALSE)/100)*IF(VLOOKUP(A92,tbMoveset!A2:B112,2,FALSE)="Projectile",Backdoors!N10,Backdoors!N9),0),"")</f>
        <v/>
      </c>
      <c r="CS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O92&gt;=0.45,VLOOKUP(Calculator!E23,tbSkills!DH3:DI6,2,FALSE)+IF(AND(Calculator!B8=TRUE,Backdoors!BI16=TRUE),VLOOKUP(Calculator!E23,tbSkills!DH3:DJ6,3,FALSE),0),0))&gt;=100,100,(Backdoors!AI12+IF(CO92&gt;=0.45,VLOOKUP(Calculator!E23,tbSkills!DH3:DI6,2,FALSE)+IF(AND(Calculator!B8=TRUE,Backdoors!BI16=TRUE),VLOOKUP(Calculator!E23,tbSkills!DH3:DJ6,3,FALSE),0),0)))/100)),1))*IF(VLOOKUP(A92,tbMoveset!A2:K112,11,FALSE)=TRUE,Backdoors!AC5,1))*CP92,0),"")</f>
        <v>0</v>
      </c>
      <c r="CT92" s="49">
        <f>VLOOKUP(A92,tbMoveset!A2:G112,7,FALSE)*IFERROR(IF(Backdoors!AI12&gt;=0,1+(IF(Calculator!E40&gt;0,VLOOKUP(Calculator!E40,tbSkills!AI3:AJ5,2,FALSE),Backdoors!AL4)*(IF((Backdoors!AI12+IF(CO92&gt;=0.45,VLOOKUP(Calculator!E23,tbSkills!DH3:DI6,2,FALSE)+IF(AND(Calculator!B8=TRUE,Backdoors!BI16=TRUE),VLOOKUP(Calculator!E23,tbSkills!DH3:DJ6,3,FALSE),0),0))&gt;=100,100,(Backdoors!AI12+IF(CO92&gt;=0.45,VLOOKUP(Calculator!E23,tbSkills!DH3:DI6,2,FALSE)+IF(AND(Calculator!B8=TRUE,Backdoors!BI16=TRUE),VLOOKUP(Calculator!E23,tbSkills!DH3:DJ6,3,FALSE),0),0)))/100)),1),1)</f>
        <v>0.7</v>
      </c>
      <c r="CU92" s="87">
        <f t="shared" si="64"/>
        <v>0</v>
      </c>
      <c r="CV92" s="86" t="str">
        <f>IFERROR(IF(VLOOKUP(A92,tbMoveset!A2:B112,2,FALSE)="Sever",Backdoors!AY17/100,IF(VLOOKUP(A92,tbMoveset!A2:B112,2,FALSE)="Blunt",Backdoors!AZ17/100,Backdoors!BA17/100)),"")</f>
        <v/>
      </c>
      <c r="CW92" s="49">
        <f>IFERROR(IF(VLOOKUP(tbMoveset!A92,tbMoveset!A2:H112,8,FALSE)="Other",IF(VLOOKUP(tbMoveset!A92,tbMoveset!A2:I112,9,FALSE)="Fire",Backdoors!BB17,IF(VLOOKUP(tbMoveset!A92,tbMoveset!A2:I112,9,FALSE)="Water",Backdoors!BC17,IF(VLOOKUP(tbMoveset!A92,tbMoveset!A2:I112,9,FALSE)="Thunder",Backdoors!BD17,IF(VLOOKUP(tbMoveset!A92,tbMoveset!A2:I112,9,FALSE)="Ice",Backdoors!BE17,IF(VLOOKUP(tbMoveset!A92,tbMoveset!A2:I112,9,FALSE)="Dragon",Backdoors!BF17,Backdoors!BG17)))))/100,Backdoors!BG17/100),"")</f>
        <v>0</v>
      </c>
      <c r="CX92" s="49">
        <f>IFERROR(IF(VLOOKUP(A92,tbMoveset!A2:J112,10,FALSE)=TRUE,IF((Backdoors!AI12+IF(CV92&gt;=0.45,VLOOKUP(Calculator!E23,tbSkills!DH3:DI6,2,FALSE)+IF(AND(Calculator!B8=TRUE,Backdoors!BI17=TRUE),VLOOKUP(Calculator!E23,tbSkills!DH3:DJ6,3,FALSE),0),0))&gt;=0,1+(Backdoors!AL2*(IF((Backdoors!AI12+IF(CV92&gt;=0.45,VLOOKUP(Calculator!E23,tbSkills!DH3:DI6,2,FALSE)+IF(AND(Calculator!B8=TRUE,Backdoors!BI17=TRUE),VLOOKUP(Calculator!E23,tbSkills!DH3:DJ6,3,FALSE),0),0))&gt;=100,100,(Backdoors!AI12+IF(CV92&gt;=0.45,VLOOKUP(Calculator!E23,tbSkills!DH3:DI6,2,FALSE)+IF(AND(Calculator!B8=TRUE,Backdoors!BI17=TRUE),VLOOKUP(Calculator!E23,tbSkills!DH3:DJ6,3,FALSE),0),0)))/100)),(1-(0.25*((-Backdoors!AI12-IF(CV92&gt;=0.45,VLOOKUP(Calculator!E23,tbSkills!DH3:DI6,2,FALSE)+IF(AND(Calculator!B8=TRUE,Backdoors!BI17=TRUE),VLOOKUP(Calculator!E23,tbSkills!DH3:DJ6,3,FALSE),0),0))/100)))),1),"")</f>
        <v>1</v>
      </c>
      <c r="CY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V92)*CX92)*(VLOOKUP(A92,tbMoveset!A2:C112,3,FALSE)/100)*IF(VLOOKUP(A92,tbMoveset!A2:B112,2,FALSE)="Projectile",Backdoors!N10,Backdoors!N9),0),"")</f>
        <v/>
      </c>
      <c r="CZ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V92&gt;=0.45,VLOOKUP(Calculator!E23,tbSkills!DH3:DI6,2,FALSE)+IF(AND(Calculator!B8=TRUE,Backdoors!BI17=TRUE),VLOOKUP(Calculator!E23,tbSkills!DH3:DJ6,3,FALSE),0),0))&gt;=100,100,(Backdoors!AI12+IF(CV92&gt;=0.45,VLOOKUP(Calculator!E23,tbSkills!DH3:DI6,2,FALSE)+IF(AND(Calculator!B8=TRUE,Backdoors!BI17=TRUE),VLOOKUP(Calculator!E23,tbSkills!DH3:DJ6,3,FALSE),0),0)))/100)),1))*IF(VLOOKUP(A92,tbMoveset!A2:K112,11,FALSE)=TRUE,Backdoors!AC5,1))*CW92,0),"")</f>
        <v>0</v>
      </c>
      <c r="DA92" s="49">
        <f>VLOOKUP(A92,tbMoveset!A2:G112,7,FALSE)*IFERROR(IF(Backdoors!AI12&gt;=0,1+(IF(Calculator!E40&gt;0,VLOOKUP(Calculator!E40,tbSkills!AI3:AJ5,2,FALSE),Backdoors!AL4)*(IF((Backdoors!AI12+IF(CV92&gt;=0.45,VLOOKUP(Calculator!E23,tbSkills!DH3:DI6,2,FALSE)+IF(AND(Calculator!B8=TRUE,Backdoors!BI17=TRUE),VLOOKUP(Calculator!E23,tbSkills!DH3:DJ6,3,FALSE),0),0))&gt;=100,100,(Backdoors!AI12+IF(CV92&gt;=0.45,VLOOKUP(Calculator!E23,tbSkills!DH3:DI6,2,FALSE)+IF(AND(Calculator!B8=TRUE,Backdoors!BI17=TRUE),VLOOKUP(Calculator!E23,tbSkills!DH3:DJ6,3,FALSE),0),0)))/100)),1),1)</f>
        <v>0.7</v>
      </c>
      <c r="DB92" s="87">
        <f t="shared" si="65"/>
        <v>0</v>
      </c>
      <c r="DC92" s="86" t="str">
        <f>IFERROR(IF(VLOOKUP(A92,tbMoveset!A2:B112,2,FALSE)="Sever",Backdoors!AY18/100,IF(VLOOKUP(A92,tbMoveset!A2:B112,2,FALSE)="Blunt",Backdoors!AZ18/100,Backdoors!BA18/100)),"")</f>
        <v/>
      </c>
      <c r="DD92" s="49">
        <f>IFERROR(IF(VLOOKUP(tbMoveset!A92,tbMoveset!A2:H112,8,FALSE)="Other",IF(VLOOKUP(tbMoveset!A92,tbMoveset!A2:I112,9,FALSE)="Fire",Backdoors!BB18,IF(VLOOKUP(tbMoveset!A92,tbMoveset!A2:I112,9,FALSE)="Water",Backdoors!BC18,IF(VLOOKUP(tbMoveset!A92,tbMoveset!A2:I112,9,FALSE)="Thunder",Backdoors!BD18,IF(VLOOKUP(tbMoveset!A92,tbMoveset!A2:I112,9,FALSE)="Ice",Backdoors!BE18,IF(VLOOKUP(tbMoveset!A92,tbMoveset!A2:I112,9,FALSE)="Dragon",Backdoors!BF18,Backdoors!BG18)))))/100,Backdoors!BG18/100),"")</f>
        <v>0</v>
      </c>
      <c r="DE92" s="49">
        <f>IFERROR(IF(VLOOKUP(A92,tbMoveset!A2:J112,10,FALSE)=TRUE,IF((Backdoors!AI12+IF(DC92&gt;=0.45,VLOOKUP(Calculator!E23,tbSkills!DH3:DI6,2,FALSE)+IF(AND(Calculator!B8=TRUE,Backdoors!BI18=TRUE),VLOOKUP(Calculator!E23,tbSkills!DH3:DJ6,3,FALSE),0),0))&gt;=0,1+(Backdoors!AL2*(IF((Backdoors!AI12+IF(DC92&gt;=0.45,VLOOKUP(Calculator!E23,tbSkills!DH3:DI6,2,FALSE)+IF(AND(Calculator!B8=TRUE,Backdoors!BI18=TRUE),VLOOKUP(Calculator!E23,tbSkills!DH3:DJ6,3,FALSE),0),0))&gt;=100,100,(Backdoors!AI12+IF(DC92&gt;=0.45,VLOOKUP(Calculator!E23,tbSkills!DH3:DI6,2,FALSE)+IF(AND(Calculator!B8=TRUE,Backdoors!BI18=TRUE),VLOOKUP(Calculator!E23,tbSkills!DH3:DJ6,3,FALSE),0),0)))/100)),(1-(0.25*((-Backdoors!AI12-IF(DC92&gt;=0.45,VLOOKUP(Calculator!E23,tbSkills!DH3:DI6,2,FALSE)+IF(AND(Calculator!B8=TRUE,Backdoors!BI18=TRUE),VLOOKUP(Calculator!E23,tbSkills!DH3:DJ6,3,FALSE),0),0))/100)))),1),"")</f>
        <v>1</v>
      </c>
      <c r="DF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C92)*DE92)*(VLOOKUP(A92,tbMoveset!A2:C112,3,FALSE)/100)*IF(VLOOKUP(A92,tbMoveset!A2:B112,2,FALSE)="Projectile",Backdoors!N10,Backdoors!N9),0),"")</f>
        <v/>
      </c>
      <c r="DG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C92&gt;=0.45,VLOOKUP(Calculator!E23,tbSkills!DH3:DI6,2,FALSE)+IF(AND(Calculator!B8=TRUE,Backdoors!BI18=TRUE),VLOOKUP(Calculator!E23,tbSkills!DH3:DJ6,3,FALSE),0),0))&gt;=100,100,(Backdoors!AI12+IF(DC92&gt;=0.45,VLOOKUP(Calculator!E23,tbSkills!DH3:DI6,2,FALSE)+IF(AND(Calculator!B8=TRUE,Backdoors!BI18=TRUE),VLOOKUP(Calculator!E23,tbSkills!DH3:DJ6,3,FALSE),0),0)))/100)),1))*IF(VLOOKUP(A92,tbMoveset!A2:K112,11,FALSE)=TRUE,Backdoors!AC5,1))*DD92,0),"")</f>
        <v>0</v>
      </c>
      <c r="DH92" s="49">
        <f>VLOOKUP(A92,tbMoveset!A2:G112,7,FALSE)*IFERROR(IF(Backdoors!AI12&gt;=0,1+(IF(Calculator!E40&gt;0,VLOOKUP(Calculator!E40,tbSkills!AI3:AJ5,2,FALSE),Backdoors!AL4)*(IF((Backdoors!AI12+IF(DC92&gt;=0.45,VLOOKUP(Calculator!E23,tbSkills!DH3:DI6,2,FALSE)+IF(AND(Calculator!B8=TRUE,Backdoors!BI18=TRUE),VLOOKUP(Calculator!E23,tbSkills!DH3:DJ6,3,FALSE),0),0))&gt;=100,100,(Backdoors!AI12+IF(DC92&gt;=0.45,VLOOKUP(Calculator!E23,tbSkills!DH3:DI6,2,FALSE)+IF(AND(Calculator!B8=TRUE,Backdoors!BI18=TRUE),VLOOKUP(Calculator!E23,tbSkills!DH3:DJ6,3,FALSE),0),0)))/100)),1),1)</f>
        <v>0.7</v>
      </c>
      <c r="DI92" s="87">
        <f t="shared" si="66"/>
        <v>0</v>
      </c>
      <c r="DJ92" s="86" t="str">
        <f>IFERROR(IF(VLOOKUP(A92,tbMoveset!A2:B112,2,FALSE)="Sever",Backdoors!AY19/100,IF(VLOOKUP(A92,tbMoveset!A2:B112,2,FALSE)="Blunt",Backdoors!AZ19/100,Backdoors!BA19/100)),"")</f>
        <v/>
      </c>
      <c r="DK92" s="49">
        <f>IFERROR(IF(VLOOKUP(tbMoveset!A92,tbMoveset!A2:H112,8,FALSE)="Other",IF(VLOOKUP(tbMoveset!A92,tbMoveset!A2:I112,9,FALSE)="Fire",Backdoors!BB19,IF(VLOOKUP(tbMoveset!A92,tbMoveset!A2:I112,9,FALSE)="Water",Backdoors!BC19,IF(VLOOKUP(tbMoveset!A92,tbMoveset!A2:I112,9,FALSE)="Thunder",Backdoors!BD19,IF(VLOOKUP(tbMoveset!A92,tbMoveset!A2:I112,9,FALSE)="Ice",Backdoors!BE19,IF(VLOOKUP(tbMoveset!A92,tbMoveset!A2:I112,9,FALSE)="Dragon",Backdoors!BF19,Backdoors!BG19)))))/100,Backdoors!BG19/100),"")</f>
        <v>0</v>
      </c>
      <c r="DL92" s="49">
        <f>IFERROR(IF(VLOOKUP(A92,tbMoveset!A2:J112,10,FALSE)=TRUE,IF((Backdoors!AI12+IF(DJ92&gt;=0.45,VLOOKUP(Calculator!E23,tbSkills!DH3:DI6,2,FALSE)+IF(AND(Calculator!B8=TRUE,Backdoors!BI19=TRUE),VLOOKUP(Calculator!E23,tbSkills!DH3:DJ6,3,FALSE),0),0))&gt;=0,1+(Backdoors!AL2*(IF((Backdoors!AI12+IF(DJ92&gt;=0.45,VLOOKUP(Calculator!E23,tbSkills!DH3:DI6,2,FALSE)+IF(AND(Calculator!B8=TRUE,Backdoors!BI19=TRUE),VLOOKUP(Calculator!E23,tbSkills!DH3:DJ6,3,FALSE),0),0))&gt;=100,100,(Backdoors!AI12+IF(DJ92&gt;=0.45,VLOOKUP(Calculator!E23,tbSkills!DH3:DI6,2,FALSE)+IF(AND(Calculator!B8=TRUE,Backdoors!BI19=TRUE),VLOOKUP(Calculator!E23,tbSkills!DH3:DJ6,3,FALSE),0),0)))/100)),(1-(0.25*((-Backdoors!AI12-IF(DJ92&gt;=0.45,VLOOKUP(Calculator!E23,tbSkills!DH3:DI6,2,FALSE)+IF(AND(Calculator!B8=TRUE,Backdoors!BI19=TRUE),VLOOKUP(Calculator!E23,tbSkills!DH3:DJ6,3,FALSE),0),0))/100)))),1),"")</f>
        <v>1</v>
      </c>
      <c r="DM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J92)*DL92)*(VLOOKUP(A92,tbMoveset!A2:C112,3,FALSE)/100)*IF(VLOOKUP(A92,tbMoveset!A2:B112,2,FALSE)="Projectile",Backdoors!N10,Backdoors!N9),0),"")</f>
        <v/>
      </c>
      <c r="DN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J92&gt;=0.45,VLOOKUP(Calculator!E23,tbSkills!DH3:DI6,2,FALSE)+IF(AND(Calculator!B8=TRUE,Backdoors!BI19=TRUE),VLOOKUP(Calculator!E23,tbSkills!DH3:DJ6,3,FALSE),0),0))&gt;=100,100,(Backdoors!AI12+IF(DJ92&gt;=0.45,VLOOKUP(Calculator!E23,tbSkills!DH3:DI6,2,FALSE)+IF(AND(Calculator!B8=TRUE,Backdoors!BI19=TRUE),VLOOKUP(Calculator!E23,tbSkills!DH3:DJ6,3,FALSE),0),0)))/100)),1))*IF(VLOOKUP(A92,tbMoveset!A2:K112,11,FALSE)=TRUE,Backdoors!AC5,1))*DK92,0),"")</f>
        <v>0</v>
      </c>
      <c r="DO92" s="49">
        <f>VLOOKUP(A92,tbMoveset!A2:G112,7,FALSE)*IFERROR(IF(Backdoors!AI12&gt;=0,1+(IF(Calculator!E40&gt;0,VLOOKUP(Calculator!E40,tbSkills!AI3:AJ5,2,FALSE),Backdoors!AL4)*(IF((Backdoors!AI12+IF(DJ92&gt;=0.45,VLOOKUP(Calculator!E23,tbSkills!DH3:DI6,2,FALSE)+IF(AND(Calculator!B8=TRUE,Backdoors!BI19=TRUE),VLOOKUP(Calculator!E23,tbSkills!DH3:DJ6,3,FALSE),0),0))&gt;=100,100,(Backdoors!AI12+IF(DJ92&gt;=0.45,VLOOKUP(Calculator!E23,tbSkills!DH3:DI6,2,FALSE)+IF(AND(Calculator!B8=TRUE,Backdoors!BI19=TRUE),VLOOKUP(Calculator!E23,tbSkills!DH3:DJ6,3,FALSE),0),0)))/100)),1),1)</f>
        <v>0.7</v>
      </c>
      <c r="DP92" s="87">
        <f t="shared" si="67"/>
        <v>0</v>
      </c>
      <c r="DQ92" s="86" t="str">
        <f>IFERROR(IF(VLOOKUP(A92,tbMoveset!A2:B112,2,FALSE)="Sever",Backdoors!AY20/100,IF(VLOOKUP(A92,tbMoveset!A2:B112,2,FALSE)="Blunt",Backdoors!AZ20/100,Backdoors!BA20/100)),"")</f>
        <v/>
      </c>
      <c r="DR92" s="49">
        <f>IFERROR(IF(VLOOKUP(tbMoveset!A92,tbMoveset!A2:H112,8,FALSE)="Other",IF(VLOOKUP(tbMoveset!A92,tbMoveset!A2:I112,9,FALSE)="Fire",Backdoors!BB20,IF(VLOOKUP(tbMoveset!A92,tbMoveset!A2:I112,9,FALSE)="Water",Backdoors!BC20,IF(VLOOKUP(tbMoveset!A92,tbMoveset!A2:I112,9,FALSE)="Thunder",Backdoors!BD20,IF(VLOOKUP(tbMoveset!A92,tbMoveset!A2:I112,9,FALSE)="Ice",Backdoors!BE20,IF(VLOOKUP(tbMoveset!A92,tbMoveset!A2:I112,9,FALSE)="Dragon",Backdoors!BF20,Backdoors!BG20)))))/100,Backdoors!BG20/100),"")</f>
        <v>0</v>
      </c>
      <c r="DS92" s="49">
        <f>IFERROR(IF(VLOOKUP(A92,tbMoveset!A2:J112,10,FALSE)=TRUE,IF((Backdoors!AI12+IF(DQ92&gt;=0.45,VLOOKUP(Calculator!E23,tbSkills!DH3:DI6,2,FALSE)+IF(AND(Calculator!B8=TRUE,Backdoors!BI20=TRUE),VLOOKUP(Calculator!E23,tbSkills!DH3:DJ6,3,FALSE),0),0))&gt;=0,1+(Backdoors!AL2*(IF((Backdoors!AI12+IF(DQ92&gt;=0.45,VLOOKUP(Calculator!E23,tbSkills!DH3:DI6,2,FALSE)+IF(AND(Calculator!B8=TRUE,Backdoors!BI20=TRUE),VLOOKUP(Calculator!E23,tbSkills!DH3:DJ6,3,FALSE),0),0))&gt;=100,100,(Backdoors!AI12+IF(DQ92&gt;=0.45,VLOOKUP(Calculator!E23,tbSkills!DH3:DI6,2,FALSE)+IF(AND(Calculator!B8=TRUE,Backdoors!BI20=TRUE),VLOOKUP(Calculator!E23,tbSkills!DH3:DJ6,3,FALSE),0),0)))/100)),(1-(0.25*((-Backdoors!AI12-IF(DQ92&gt;=0.45,VLOOKUP(Calculator!E23,tbSkills!DH3:DI6,2,FALSE)+IF(AND(Calculator!B8=TRUE,Backdoors!BI20=TRUE),VLOOKUP(Calculator!E23,tbSkills!DH3:DJ6,3,FALSE),0),0))/100)))),1),"")</f>
        <v>1</v>
      </c>
      <c r="DT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Q92)*DS92)*(VLOOKUP(A92,tbMoveset!A2:C112,3,FALSE)/100)*IF(VLOOKUP(A92,tbMoveset!A2:B112,2,FALSE)="Projectile",Backdoors!N10,Backdoors!N9),0),"")</f>
        <v/>
      </c>
      <c r="DU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Q92&gt;=0.45,VLOOKUP(Calculator!E23,tbSkills!DH3:DI6,2,FALSE)+IF(AND(Calculator!B8=TRUE,Backdoors!BI20=TRUE),VLOOKUP(Calculator!E23,tbSkills!DH3:DJ6,3,FALSE),0),0))&gt;=100,100,(Backdoors!AI12+IF(DQ92&gt;=0.45,VLOOKUP(Calculator!E23,tbSkills!DH3:DI6,2,FALSE)+IF(AND(Calculator!B8=TRUE,Backdoors!BI20=TRUE),VLOOKUP(Calculator!E23,tbSkills!DH3:DJ6,3,FALSE),0),0)))/100)),1))*IF(VLOOKUP(A92,tbMoveset!A2:K112,11,FALSE)=TRUE,Backdoors!AC5,1))*DR92,0),"")</f>
        <v>0</v>
      </c>
      <c r="DV92" s="49">
        <f>VLOOKUP(A92,tbMoveset!A2:G112,7,FALSE)*IFERROR(IF(Backdoors!AI12&gt;=0,1+(IF(Calculator!E40&gt;0,VLOOKUP(Calculator!E40,tbSkills!AI3:AJ5,2,FALSE),Backdoors!AL4)*(IF((Backdoors!AI12+IF(DQ92&gt;=0.45,VLOOKUP(Calculator!E23,tbSkills!DH3:DI6,2,FALSE)+IF(AND(Calculator!B8=TRUE,Backdoors!BI20=TRUE),VLOOKUP(Calculator!E23,tbSkills!DH3:DJ6,3,FALSE),0),0))&gt;=100,100,(Backdoors!AI12+IF(DQ92&gt;=0.45,VLOOKUP(Calculator!E23,tbSkills!DH3:DI6,2,FALSE)+IF(AND(Calculator!B8=TRUE,Backdoors!BI20=TRUE),VLOOKUP(Calculator!E23,tbSkills!DH3:DJ6,3,FALSE),0),0)))/100)),1),1)</f>
        <v>0.7</v>
      </c>
      <c r="DW92" s="87">
        <f t="shared" si="68"/>
        <v>0</v>
      </c>
      <c r="DX92" s="86" t="str">
        <f>IFERROR(IF(VLOOKUP(A92,tbMoveset!A2:B112,2,FALSE)="Sever",Backdoors!AY21/100,IF(VLOOKUP(A92,tbMoveset!A2:B112,2,FALSE)="Blunt",Backdoors!AZ21/100,Backdoors!BA21/100)),"")</f>
        <v/>
      </c>
      <c r="DY92" s="49">
        <f>IFERROR(IF(VLOOKUP(tbMoveset!A92,tbMoveset!A2:H112,8,FALSE)="Other",IF(VLOOKUP(tbMoveset!A92,tbMoveset!A2:I112,9,FALSE)="Fire",Backdoors!BB21,IF(VLOOKUP(tbMoveset!A92,tbMoveset!A2:I112,9,FALSE)="Water",Backdoors!BC21,IF(VLOOKUP(tbMoveset!A92,tbMoveset!A2:I112,9,FALSE)="Thunder",Backdoors!BD21,IF(VLOOKUP(tbMoveset!A92,tbMoveset!A2:I112,9,FALSE)="Ice",Backdoors!BE21,IF(VLOOKUP(tbMoveset!A92,tbMoveset!A2:I112,9,FALSE)="Dragon",Backdoors!BF21,Backdoors!BG21)))))/100,Backdoors!BG21/100),"")</f>
        <v>0</v>
      </c>
      <c r="DZ92" s="49">
        <f>IFERROR(IF(VLOOKUP(A92,tbMoveset!A2:J112,10,FALSE)=TRUE,IF((Backdoors!AI12+IF(DX92&gt;=0.45,VLOOKUP(Calculator!E23,tbSkills!DH3:DI6,2,FALSE)+IF(AND(Calculator!B8=TRUE,Backdoors!BI21=TRUE),VLOOKUP(Calculator!E23,tbSkills!DH3:DJ6,3,FALSE),0),0))&gt;=0,1+(Backdoors!AL2*(IF((Backdoors!AI12+IF(DX92&gt;=0.45,VLOOKUP(Calculator!E23,tbSkills!DH3:DI6,2,FALSE)+IF(AND(Calculator!B8=TRUE,Backdoors!BI21=TRUE),VLOOKUP(Calculator!E23,tbSkills!DH3:DJ6,3,FALSE),0),0))&gt;=100,100,(Backdoors!AI12+IF(DX92&gt;=0.45,VLOOKUP(Calculator!E23,tbSkills!DH3:DI6,2,FALSE)+IF(AND(Calculator!B8=TRUE,Backdoors!BI21=TRUE),VLOOKUP(Calculator!E23,tbSkills!DH3:DJ6,3,FALSE),0),0)))/100)),(1-(0.25*((-Backdoors!AI12-IF(DX92&gt;=0.45,VLOOKUP(Calculator!E23,tbSkills!DH3:DI6,2,FALSE)+IF(AND(Calculator!B8=TRUE,Backdoors!BI21=TRUE),VLOOKUP(Calculator!E23,tbSkills!DH3:DJ6,3,FALSE),0),0))/100)))),1),"")</f>
        <v>1</v>
      </c>
      <c r="EA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X92)*DZ92)*(VLOOKUP(A92,tbMoveset!A2:C112,3,FALSE)/100)*IF(VLOOKUP(A92,tbMoveset!A2:B112,2,FALSE)="Projectile",Backdoors!N10,Backdoors!N9),0),"")</f>
        <v/>
      </c>
      <c r="EB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X92&gt;=0.45,VLOOKUP(Calculator!E23,tbSkills!DH3:DI6,2,FALSE)+IF(AND(Calculator!B8=TRUE,Backdoors!BI21=TRUE),VLOOKUP(Calculator!E23,tbSkills!DH3:DJ6,3,FALSE),0),0))&gt;=100,100,(Backdoors!AI12+IF(DX92&gt;=0.45,VLOOKUP(Calculator!E23,tbSkills!DH3:DI6,2,FALSE)+IF(AND(Calculator!B8=TRUE,Backdoors!BI21=TRUE),VLOOKUP(Calculator!E23,tbSkills!DH3:DJ6,3,FALSE),0),0)))/100)),1))*IF(VLOOKUP(A92,tbMoveset!A2:K112,11,FALSE)=TRUE,Backdoors!AC5,1))*DY92,0),"")</f>
        <v>0</v>
      </c>
      <c r="EC92" s="49">
        <f>VLOOKUP(A92,tbMoveset!A2:G112,7,FALSE)*IFERROR(IF(Backdoors!AI12&gt;=0,1+(IF(Calculator!E40&gt;0,VLOOKUP(Calculator!E40,tbSkills!AI3:AJ5,2,FALSE),Backdoors!AL4)*(IF((Backdoors!AI12+IF(DX92&gt;=0.45,VLOOKUP(Calculator!E23,tbSkills!DH3:DI6,2,FALSE)+IF(AND(Calculator!B8=TRUE,Backdoors!BI21=TRUE),VLOOKUP(Calculator!E23,tbSkills!DH3:DJ6,3,FALSE),0),0))&gt;=100,100,(Backdoors!AI12+IF(DX92&gt;=0.45,VLOOKUP(Calculator!E23,tbSkills!DH3:DI6,2,FALSE)+IF(AND(Calculator!B8=TRUE,Backdoors!BI21=TRUE),VLOOKUP(Calculator!E23,tbSkills!DH3:DJ6,3,FALSE),0),0)))/100)),1),1)</f>
        <v>0.7</v>
      </c>
      <c r="ED92" s="87">
        <f t="shared" si="69"/>
        <v>0</v>
      </c>
      <c r="EE92" s="86" t="str">
        <f>IFERROR(IF(VLOOKUP(A92,tbMoveset!A2:B112,2,FALSE)="Sever",Backdoors!AY22/100,IF(VLOOKUP(A92,tbMoveset!A2:B112,2,FALSE)="Blunt",Backdoors!AZ22/100,Backdoors!BA22/100)),"")</f>
        <v/>
      </c>
      <c r="EF92" s="49">
        <f>IFERROR(IF(VLOOKUP(tbMoveset!A92,tbMoveset!A2:H112,8,FALSE)="Other",IF(VLOOKUP(tbMoveset!A92,tbMoveset!A2:I112,9,FALSE)="Fire",Backdoors!BB22,IF(VLOOKUP(tbMoveset!A92,tbMoveset!A2:I112,9,FALSE)="Water",Backdoors!BC22,IF(VLOOKUP(tbMoveset!A92,tbMoveset!A2:I112,9,FALSE)="Thunder",Backdoors!BD22,IF(VLOOKUP(tbMoveset!A92,tbMoveset!A2:I112,9,FALSE)="Ice",Backdoors!BE22,IF(VLOOKUP(tbMoveset!A92,tbMoveset!A2:I112,9,FALSE)="Dragon",Backdoors!BF22,Backdoors!BG22)))))/100,Backdoors!BG22/100),"")</f>
        <v>0</v>
      </c>
      <c r="EG92" s="49">
        <f>IFERROR(IF(VLOOKUP(A92,tbMoveset!A2:J112,10,FALSE)=TRUE,IF((Backdoors!AI12+IF(EE92&gt;=0.45,VLOOKUP(Calculator!E23,tbSkills!DH3:DI6,2,FALSE)+IF(AND(Calculator!B8=TRUE,Backdoors!BI22=TRUE),VLOOKUP(Calculator!E23,tbSkills!DH3:DJ6,3,FALSE),0),0))&gt;=0,1+(Backdoors!AL2*(IF((Backdoors!AI12+IF(EE92&gt;=0.45,VLOOKUP(Calculator!E23,tbSkills!DH3:DI6,2,FALSE)+IF(AND(Calculator!B8=TRUE,Backdoors!BI22=TRUE),VLOOKUP(Calculator!E23,tbSkills!DH3:DJ6,3,FALSE),0),0))&gt;=100,100,(Backdoors!AI12+IF(EE92&gt;=0.45,VLOOKUP(Calculator!E23,tbSkills!DH3:DI6,2,FALSE)+IF(AND(Calculator!B8=TRUE,Backdoors!BI22=TRUE),VLOOKUP(Calculator!E23,tbSkills!DH3:DJ6,3,FALSE),0),0)))/100)),(1-(0.25*((-Backdoors!AI12-IF(EE92&gt;=0.45,VLOOKUP(Calculator!E23,tbSkills!DH3:DI6,2,FALSE)+IF(AND(Calculator!B8=TRUE,Backdoors!BI22=TRUE),VLOOKUP(Calculator!E23,tbSkills!DH3:DJ6,3,FALSE),0),0))/100)))),1),"")</f>
        <v>1</v>
      </c>
      <c r="EH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E92)*EG92)*(VLOOKUP(A92,tbMoveset!A2:C112,3,FALSE)/100)*IF(VLOOKUP(A92,tbMoveset!A2:B112,2,FALSE)="Projectile",Backdoors!N10,Backdoors!N9),0),"")</f>
        <v/>
      </c>
      <c r="EI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E92&gt;=0.45,VLOOKUP(Calculator!E23,tbSkills!DH3:DI6,2,FALSE)+IF(AND(Calculator!B8=TRUE,Backdoors!BI22=TRUE),VLOOKUP(Calculator!E23,tbSkills!DH3:DJ6,3,FALSE),0),0))&gt;=100,100,(Backdoors!AI12+IF(EE92&gt;=0.45,VLOOKUP(Calculator!E23,tbSkills!DH3:DI6,2,FALSE)+IF(AND(Calculator!B8=TRUE,Backdoors!BI22=TRUE),VLOOKUP(Calculator!E23,tbSkills!DH3:DJ6,3,FALSE),0),0)))/100)),1))*IF(VLOOKUP(A92,tbMoveset!A2:K112,11,FALSE)=TRUE,Backdoors!AC5,1))*EF92,0),"")</f>
        <v>0</v>
      </c>
      <c r="EJ92" s="49">
        <f>VLOOKUP(A92,tbMoveset!A2:G112,7,FALSE)*IFERROR(IF(Backdoors!AI12&gt;=0,1+(IF(Calculator!E40&gt;0,VLOOKUP(Calculator!E40,tbSkills!AI3:AJ5,2,FALSE),Backdoors!AL4)*(IF((Backdoors!AI12+IF(EE92&gt;=0.45,VLOOKUP(Calculator!E23,tbSkills!DH3:DI6,2,FALSE)+IF(AND(Calculator!B8=TRUE,Backdoors!BI22=TRUE),VLOOKUP(Calculator!E23,tbSkills!DH3:DJ6,3,FALSE),0),0))&gt;=100,100,(Backdoors!AI12+IF(EE92&gt;=0.45,VLOOKUP(Calculator!E23,tbSkills!DH3:DI6,2,FALSE)+IF(AND(Calculator!B8=TRUE,Backdoors!BI22=TRUE),VLOOKUP(Calculator!E23,tbSkills!DH3:DJ6,3,FALSE),0),0)))/100)),1),1)</f>
        <v>0.7</v>
      </c>
      <c r="EK92" s="87">
        <f t="shared" si="70"/>
        <v>0</v>
      </c>
      <c r="EL92" s="86" t="str">
        <f>IFERROR(IF(VLOOKUP(A92,tbMoveset!A2:B112,2,FALSE)="Sever",Backdoors!AY23/100,IF(VLOOKUP(A92,tbMoveset!A2:B112,2,FALSE)="Blunt",Backdoors!AZ23/100,Backdoors!BA23/100)),"")</f>
        <v/>
      </c>
      <c r="EM92" s="49">
        <f>IFERROR(IF(VLOOKUP(tbMoveset!A92,tbMoveset!A2:H112,8,FALSE)="Other",IF(VLOOKUP(tbMoveset!A92,tbMoveset!A2:I112,9,FALSE)="Fire",Backdoors!BB23,IF(VLOOKUP(tbMoveset!A92,tbMoveset!A2:I112,9,FALSE)="Water",Backdoors!BC23,IF(VLOOKUP(tbMoveset!A92,tbMoveset!A2:I112,9,FALSE)="Thunder",Backdoors!BD23,IF(VLOOKUP(tbMoveset!A92,tbMoveset!A2:I112,9,FALSE)="Ice",Backdoors!BE23,IF(VLOOKUP(tbMoveset!A92,tbMoveset!A2:I112,9,FALSE)="Dragon",Backdoors!BF23,Backdoors!BG23)))))/100,Backdoors!BG23/100),"")</f>
        <v>0</v>
      </c>
      <c r="EN92" s="49">
        <f>IFERROR(IF(VLOOKUP(A92,tbMoveset!A2:J112,10,FALSE)=TRUE,IF((Backdoors!AI12+IF(EL92&gt;=0.45,VLOOKUP(Calculator!E23,tbSkills!DH3:DI6,2,FALSE)+IF(AND(Calculator!B8=TRUE,Backdoors!BI23=TRUE),VLOOKUP(Calculator!E23,tbSkills!DH3:DJ6,3,FALSE),0),0))&gt;=0,1+(Backdoors!AL2*(IF((Backdoors!AI12+IF(EL92&gt;=0.45,VLOOKUP(Calculator!E23,tbSkills!DH3:DI6,2,FALSE)+IF(AND(Calculator!B8=TRUE,Backdoors!BI23=TRUE),VLOOKUP(Calculator!E23,tbSkills!DH3:DJ6,3,FALSE),0),0))&gt;=100,100,(Backdoors!AI12+IF(EL92&gt;=0.45,VLOOKUP(Calculator!E23,tbSkills!DH3:DI6,2,FALSE)+IF(AND(Calculator!B8=TRUE,Backdoors!BI23=TRUE),VLOOKUP(Calculator!E23,tbSkills!DH3:DJ6,3,FALSE),0),0)))/100)),(1-(0.25*((-Backdoors!AI12-IF(EL92&gt;=0.45,VLOOKUP(Calculator!E23,tbSkills!DH3:DI6,2,FALSE)+IF(AND(Calculator!B8=TRUE,Backdoors!BI23=TRUE),VLOOKUP(Calculator!E23,tbSkills!DH3:DJ6,3,FALSE),0),0))/100)))),1),"")</f>
        <v>1</v>
      </c>
      <c r="EO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L92)*EN92)*(VLOOKUP(A92,tbMoveset!A2:C112,3,FALSE)/100)*IF(VLOOKUP(A92,tbMoveset!A2:B112,2,FALSE)="Projectile",Backdoors!N10,Backdoors!N9),0),"")</f>
        <v/>
      </c>
      <c r="EP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L92&gt;=0.45,VLOOKUP(Calculator!E23,tbSkills!DH3:DI6,2,FALSE)+IF(AND(Calculator!B8=TRUE,Backdoors!BI23=TRUE),VLOOKUP(Calculator!E23,tbSkills!DH3:DJ6,3,FALSE),0),0))&gt;=100,100,(Backdoors!AI12+IF(EL92&gt;=0.45,VLOOKUP(Calculator!E23,tbSkills!DH3:DI6,2,FALSE)+IF(AND(Calculator!B8=TRUE,Backdoors!BI23=TRUE),VLOOKUP(Calculator!E23,tbSkills!DH3:DJ6,3,FALSE),0),0)))/100)),1))*IF(VLOOKUP(A92,tbMoveset!A2:K112,11,FALSE)=TRUE,Backdoors!AC5,1))*EM92,0),"")</f>
        <v>0</v>
      </c>
      <c r="EQ92" s="49">
        <f>VLOOKUP(A92,tbMoveset!A2:G112,7,FALSE)*IFERROR(IF(Backdoors!AI12&gt;=0,1+(IF(Calculator!E40&gt;0,VLOOKUP(Calculator!E40,tbSkills!AI3:AJ5,2,FALSE),Backdoors!AL4)*(IF((Backdoors!AI12+IF(EL92&gt;=0.45,VLOOKUP(Calculator!E23,tbSkills!DH3:DI6,2,FALSE)+IF(AND(Calculator!B8=TRUE,Backdoors!BI23=TRUE),VLOOKUP(Calculator!E23,tbSkills!DH3:DJ6,3,FALSE),0),0))&gt;=100,100,(Backdoors!AI12+IF(EL92&gt;=0.45,VLOOKUP(Calculator!E23,tbSkills!DH3:DI6,2,FALSE)+IF(AND(Calculator!B8=TRUE,Backdoors!BI23=TRUE),VLOOKUP(Calculator!E23,tbSkills!DH3:DJ6,3,FALSE),0),0)))/100)),1),1)</f>
        <v>0.7</v>
      </c>
      <c r="ER92" s="87">
        <f t="shared" si="71"/>
        <v>0</v>
      </c>
      <c r="ES92" s="86" t="str">
        <f>IFERROR(IF(VLOOKUP(A92,tbMoveset!A2:B112,2,FALSE)="Sever",Backdoors!AY24/100,IF(VLOOKUP(A92,tbMoveset!A2:B112,2,FALSE)="Blunt",Backdoors!AZ24/100,Backdoors!BA24/100)),"")</f>
        <v/>
      </c>
      <c r="ET92" s="49">
        <f>IFERROR(IF(VLOOKUP(tbMoveset!A92,tbMoveset!A2:H112,8,FALSE)="Other",IF(VLOOKUP(tbMoveset!A92,tbMoveset!A2:I112,9,FALSE)="Fire",Backdoors!BB24,IF(VLOOKUP(tbMoveset!A92,tbMoveset!A2:I112,9,FALSE)="Water",Backdoors!BC24,IF(VLOOKUP(tbMoveset!A92,tbMoveset!A2:I112,9,FALSE)="Thunder",Backdoors!BD24,IF(VLOOKUP(tbMoveset!A92,tbMoveset!A2:I112,9,FALSE)="Ice",Backdoors!BE24,IF(VLOOKUP(tbMoveset!A92,tbMoveset!A2:I112,9,FALSE)="Dragon",Backdoors!BF24,Backdoors!BG24)))))/100,Backdoors!BG24/100),"")</f>
        <v>0</v>
      </c>
      <c r="EU92" s="49">
        <f>IFERROR(IF(VLOOKUP(A92,tbMoveset!A2:J112,10,FALSE)=TRUE,IF((Backdoors!AI12+IF(ES92&gt;=0.45,VLOOKUP(Calculator!E23,tbSkills!DH3:DI6,2,FALSE)+IF(AND(Calculator!B8=TRUE,Backdoors!BI24=TRUE),VLOOKUP(Calculator!E23,tbSkills!DH3:DJ6,3,FALSE),0),0))&gt;=0,1+(Backdoors!AL2*(IF((Backdoors!AI12+IF(ES92&gt;=0.45,VLOOKUP(Calculator!E23,tbSkills!DH3:DI6,2,FALSE)+IF(AND(Calculator!B8=TRUE,Backdoors!BI24=TRUE),VLOOKUP(Calculator!E23,tbSkills!DH3:DJ6,3,FALSE),0),0))&gt;=100,100,(Backdoors!AI12+IF(ES92&gt;=0.45,VLOOKUP(Calculator!E23,tbSkills!DH3:DI6,2,FALSE)+IF(AND(Calculator!B8=TRUE,Backdoors!BI24=TRUE),VLOOKUP(Calculator!E23,tbSkills!DH3:DJ6,3,FALSE),0),0)))/100)),(1-(0.25*((-Backdoors!AI12-IF(ES92&gt;=0.45,VLOOKUP(Calculator!E23,tbSkills!DH3:DI6,2,FALSE)+IF(AND(Calculator!B8=TRUE,Backdoors!BI24=TRUE),VLOOKUP(Calculator!E23,tbSkills!DH3:DJ6,3,FALSE),0),0))/100)))),1),"")</f>
        <v>1</v>
      </c>
      <c r="EV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S92)*EU92)*(VLOOKUP(A92,tbMoveset!A2:C112,3,FALSE)/100)*IF(VLOOKUP(A92,tbMoveset!A2:B112,2,FALSE)="Projectile",Backdoors!N10,Backdoors!N9),0),"")</f>
        <v/>
      </c>
      <c r="EW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S92&gt;=0.45,VLOOKUP(Calculator!E23,tbSkills!DH3:DI6,2,FALSE)+IF(AND(Calculator!B8=TRUE,Backdoors!BI24=TRUE),VLOOKUP(Calculator!E23,tbSkills!DH3:DJ6,3,FALSE),0),0))&gt;=100,100,(Backdoors!AI12+IF(ES92&gt;=0.45,VLOOKUP(Calculator!E23,tbSkills!DH3:DI6,2,FALSE)+IF(AND(Calculator!B8=TRUE,Backdoors!BI24=TRUE),VLOOKUP(Calculator!E23,tbSkills!DH3:DJ6,3,FALSE),0),0)))/100)),1))*IF(VLOOKUP(A92,tbMoveset!A2:K112,11,FALSE)=TRUE,Backdoors!AC5,1))*ET92,0),"")</f>
        <v>0</v>
      </c>
      <c r="EX92" s="49">
        <f>VLOOKUP(A92,tbMoveset!A2:G112,7,FALSE)*IFERROR(IF(Backdoors!AI12&gt;=0,1+(IF(Calculator!E40&gt;0,VLOOKUP(Calculator!E40,tbSkills!AI3:AJ5,2,FALSE),Backdoors!AL4)*(IF((Backdoors!AI12+IF(ES92&gt;=0.45,VLOOKUP(Calculator!E23,tbSkills!DH3:DI6,2,FALSE)+IF(AND(Calculator!B8=TRUE,Backdoors!BI24=TRUE),VLOOKUP(Calculator!E23,tbSkills!DH3:DJ6,3,FALSE),0),0))&gt;=100,100,(Backdoors!AI12+IF(ES92&gt;=0.45,VLOOKUP(Calculator!E23,tbSkills!DH3:DI6,2,FALSE)+IF(AND(Calculator!B8=TRUE,Backdoors!BI24=TRUE),VLOOKUP(Calculator!E23,tbSkills!DH3:DJ6,3,FALSE),0),0)))/100)),1),1)</f>
        <v>0.7</v>
      </c>
      <c r="EY92" s="87">
        <f t="shared" si="72"/>
        <v>0</v>
      </c>
      <c r="EZ92" s="86" t="str">
        <f>IFERROR(IF(VLOOKUP(A92,tbMoveset!A2:B112,2,FALSE)="Sever",Backdoors!AY25/100,IF(VLOOKUP(A92,tbMoveset!A2:B112,2,FALSE)="Blunt",Backdoors!AZ25/100,Backdoors!BA25/100)),"")</f>
        <v/>
      </c>
      <c r="FA92" s="49">
        <f>IFERROR(IF(VLOOKUP(tbMoveset!A92,tbMoveset!A2:H112,8,FALSE)="Other",IF(VLOOKUP(tbMoveset!A92,tbMoveset!A2:I112,9,FALSE)="Fire",Backdoors!BB25,IF(VLOOKUP(tbMoveset!A92,tbMoveset!A2:I112,9,FALSE)="Water",Backdoors!BC25,IF(VLOOKUP(tbMoveset!A92,tbMoveset!A2:I112,9,FALSE)="Thunder",Backdoors!BD25,IF(VLOOKUP(tbMoveset!A92,tbMoveset!A2:I112,9,FALSE)="Ice",Backdoors!BE25,IF(VLOOKUP(tbMoveset!A92,tbMoveset!A2:I112,9,FALSE)="Dragon",Backdoors!BF25,Backdoors!BG25)))))/100,Backdoors!BG25/100),"")</f>
        <v>0</v>
      </c>
      <c r="FB92" s="49">
        <f>IFERROR(IF(VLOOKUP(A92,tbMoveset!A2:J112,10,FALSE)=TRUE,IF((Backdoors!AI12+IF(EZ92&gt;=0.45,VLOOKUP(Calculator!E23,tbSkills!DH3:DI6,2,FALSE)+IF(AND(Calculator!B8=TRUE,Backdoors!BI25=TRUE),VLOOKUP(Calculator!E23,tbSkills!DH3:DJ6,3,FALSE),0),0))&gt;=0,1+(Backdoors!AL2*(IF((Backdoors!AI12+IF(EZ92&gt;=0.45,VLOOKUP(Calculator!E23,tbSkills!DH3:DI6,2,FALSE)+IF(AND(Calculator!B8=TRUE,Backdoors!BI25=TRUE),VLOOKUP(Calculator!E23,tbSkills!DH3:DJ6,3,FALSE),0),0))&gt;=100,100,(Backdoors!AI12+IF(EZ92&gt;=0.45,VLOOKUP(Calculator!E23,tbSkills!DH3:DI6,2,FALSE)+IF(AND(Calculator!B8=TRUE,Backdoors!BI25=TRUE),VLOOKUP(Calculator!E23,tbSkills!DH3:DJ6,3,FALSE),0),0)))/100)),(1-(0.25*((-Backdoors!AI12-IF(EZ92&gt;=0.45,VLOOKUP(Calculator!E23,tbSkills!DH3:DI6,2,FALSE)+IF(AND(Calculator!B8=TRUE,Backdoors!BI25=TRUE),VLOOKUP(Calculator!E23,tbSkills!DH3:DJ6,3,FALSE),0),0))/100)))),1),"")</f>
        <v>1</v>
      </c>
      <c r="FC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Z92)*FB92)*(VLOOKUP(A92,tbMoveset!A2:C112,3,FALSE)/100)*IF(VLOOKUP(A92,tbMoveset!A2:B112,2,FALSE)="Projectile",Backdoors!N10,Backdoors!N9),0),"")</f>
        <v/>
      </c>
      <c r="FD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Z92&gt;=0.45,VLOOKUP(Calculator!E23,tbSkills!DH3:DI6,2,FALSE)+IF(AND(Calculator!B8=TRUE,Backdoors!BI25=TRUE),VLOOKUP(Calculator!E23,tbSkills!DH3:DJ6,3,FALSE),0),0))&gt;=100,100,(Backdoors!AI12+IF(EZ92&gt;=0.45,VLOOKUP(Calculator!E23,tbSkills!DH3:DI6,2,FALSE)+IF(AND(Calculator!B8=TRUE,Backdoors!BI25=TRUE),VLOOKUP(Calculator!E23,tbSkills!DH3:DJ6,3,FALSE),0),0)))/100)),1))*IF(VLOOKUP(A92,tbMoveset!A2:K112,11,FALSE)=TRUE,Backdoors!AC5,1))*FA92,0),"")</f>
        <v>0</v>
      </c>
      <c r="FE92" s="49">
        <f>VLOOKUP(A92,tbMoveset!A2:G112,7,FALSE)*IFERROR(IF(Backdoors!AI12&gt;=0,1+(IF(Calculator!E40&gt;0,VLOOKUP(Calculator!E40,tbSkills!AI3:AJ5,2,FALSE),Backdoors!AL4)*(IF((Backdoors!AI12+IF(EZ92&gt;=0.45,VLOOKUP(Calculator!E23,tbSkills!DH3:DI6,2,FALSE)+IF(AND(Calculator!B8=TRUE,Backdoors!BI25=TRUE),VLOOKUP(Calculator!E23,tbSkills!DH3:DJ6,3,FALSE),0),0))&gt;=100,100,(Backdoors!AI12+IF(EZ92&gt;=0.45,VLOOKUP(Calculator!E23,tbSkills!DH3:DI6,2,FALSE)+IF(AND(Calculator!B8=TRUE,Backdoors!BI25=TRUE),VLOOKUP(Calculator!E23,tbSkills!DH3:DJ6,3,FALSE),0),0)))/100)),1),1)</f>
        <v>0.7</v>
      </c>
      <c r="FF92" s="87">
        <f t="shared" si="73"/>
        <v>0</v>
      </c>
      <c r="FG92" s="86" t="str">
        <f>IFERROR(IF(VLOOKUP(A92,tbMoveset!A2:B112,2,FALSE)="Sever",Backdoors!AY26/100,IF(VLOOKUP(A92,tbMoveset!A2:B112,2,FALSE)="Blunt",Backdoors!AZ26/100,Backdoors!BA26/100)),"")</f>
        <v/>
      </c>
      <c r="FH92" s="49">
        <f>IFERROR(IF(VLOOKUP(tbMoveset!A92,tbMoveset!A2:H112,8,FALSE)="Other",IF(VLOOKUP(tbMoveset!A92,tbMoveset!A2:I112,9,FALSE)="Fire",Backdoors!BB26,IF(VLOOKUP(tbMoveset!A92,tbMoveset!A2:I112,9,FALSE)="Water",Backdoors!BC26,IF(VLOOKUP(tbMoveset!A92,tbMoveset!A2:I112,9,FALSE)="Thunder",Backdoors!BD26,IF(VLOOKUP(tbMoveset!A92,tbMoveset!A2:I112,9,FALSE)="Ice",Backdoors!BE26,IF(VLOOKUP(tbMoveset!A92,tbMoveset!A2:I112,9,FALSE)="Dragon",Backdoors!BF26,Backdoors!BG26)))))/100,Backdoors!BG26/100),"")</f>
        <v>0</v>
      </c>
      <c r="FI92" s="49">
        <f>IFERROR(IF(VLOOKUP(A92,tbMoveset!A2:J112,10,FALSE)=TRUE,IF((Backdoors!AI12+IF(FG92&gt;=0.45,VLOOKUP(Calculator!E23,tbSkills!DH3:DI6,2,FALSE)+IF(AND(Calculator!B8=TRUE,Backdoors!BI26=TRUE),VLOOKUP(Calculator!E23,tbSkills!DH3:DJ6,3,FALSE),0),0))&gt;=0,1+(Backdoors!AL2*(IF((Backdoors!AI12+IF(FG92&gt;=0.45,VLOOKUP(Calculator!E23,tbSkills!DH3:DI6,2,FALSE)+IF(AND(Calculator!B8=TRUE,Backdoors!BI26=TRUE),VLOOKUP(Calculator!E23,tbSkills!DH3:DJ6,3,FALSE),0),0))&gt;=100,100,(Backdoors!AI12+IF(FG92&gt;=0.45,VLOOKUP(Calculator!E23,tbSkills!DH3:DI6,2,FALSE)+IF(AND(Calculator!B8=TRUE,Backdoors!BI26=TRUE),VLOOKUP(Calculator!E23,tbSkills!DH3:DJ6,3,FALSE),0),0)))/100)),(1-(0.25*((-Backdoors!AI12-IF(FG92&gt;=0.45,VLOOKUP(Calculator!E23,tbSkills!DH3:DI6,2,FALSE)+IF(AND(Calculator!B8=TRUE,Backdoors!BI26=TRUE),VLOOKUP(Calculator!E23,tbSkills!DH3:DJ6,3,FALSE),0),0))/100)))),1),"")</f>
        <v>1</v>
      </c>
      <c r="FJ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FG92)*FI92)*(VLOOKUP(A92,tbMoveset!A2:C112,3,FALSE)/100)*IF(VLOOKUP(A92,tbMoveset!A2:B112,2,FALSE)="Projectile",Backdoors!N10,Backdoors!N9),0),"")</f>
        <v/>
      </c>
      <c r="FK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FG92&gt;=0.45,VLOOKUP(Calculator!E23,tbSkills!DH3:DI6,2,FALSE)+IF(AND(Calculator!B8=TRUE,Backdoors!BI26=TRUE),VLOOKUP(Calculator!E23,tbSkills!DH3:DJ6,3,FALSE),0),0))&gt;=100,100,(Backdoors!AI12+IF(FG92&gt;=0.45,VLOOKUP(Calculator!E23,tbSkills!DH3:DI6,2,FALSE)+IF(AND(Calculator!B8=TRUE,Backdoors!BI26=TRUE),VLOOKUP(Calculator!E23,tbSkills!DH3:DJ6,3,FALSE),0),0)))/100)),1))*IF(VLOOKUP(A92,tbMoveset!A2:K112,11,FALSE)=TRUE,Backdoors!AC5,1))*FH92,0),"")</f>
        <v>0</v>
      </c>
      <c r="FL92" s="49">
        <f>VLOOKUP(A92,tbMoveset!A2:G112,7,FALSE)*IFERROR(IF(Backdoors!AI12&gt;=0,1+(IF(Calculator!E40&gt;0,VLOOKUP(Calculator!E40,tbSkills!AI3:AJ5,2,FALSE),Backdoors!AL4)*(IF((Backdoors!AI12+IF(FG92&gt;=0.45,VLOOKUP(Calculator!E23,tbSkills!DH3:DI6,2,FALSE)+IF(AND(Calculator!B8=TRUE,Backdoors!BI26=TRUE),VLOOKUP(Calculator!E23,tbSkills!DH3:DJ6,3,FALSE),0),0))&gt;=100,100,(Backdoors!AI12+IF(FG92&gt;=0.45,VLOOKUP(Calculator!E23,tbSkills!DH3:DI6,2,FALSE)+IF(AND(Calculator!B8=TRUE,Backdoors!BI26=TRUE),VLOOKUP(Calculator!E23,tbSkills!DH3:DJ6,3,FALSE),0),0)))/100)),1),1)</f>
        <v>0.7</v>
      </c>
      <c r="FM92" s="87">
        <f t="shared" si="74"/>
        <v>0</v>
      </c>
      <c r="FN92" s="86" t="str">
        <f>IFERROR(IF(VLOOKUP(A92,tbMoveset!A2:B112,2,FALSE)="Sever",Backdoors!AY27/100,IF(VLOOKUP(A92,tbMoveset!A2:B112,2,FALSE)="Blunt",Backdoors!AZ27/100,Backdoors!BA27/100)),"")</f>
        <v/>
      </c>
      <c r="FO92" s="49">
        <f>IFERROR(IF(VLOOKUP(tbMoveset!A92,tbMoveset!A2:H112,8,FALSE)="Other",IF(VLOOKUP(tbMoveset!A92,tbMoveset!A2:I112,9,FALSE)="Fire",Backdoors!BB27,IF(VLOOKUP(tbMoveset!A92,tbMoveset!A2:I112,9,FALSE)="Water",Backdoors!BC27,IF(VLOOKUP(tbMoveset!A92,tbMoveset!A2:I112,9,FALSE)="Thunder",Backdoors!BD27,IF(VLOOKUP(tbMoveset!A92,tbMoveset!A2:I112,9,FALSE)="Ice",Backdoors!BE27,IF(VLOOKUP(tbMoveset!A92,tbMoveset!A2:I112,9,FALSE)="Dragon",Backdoors!BF27,Backdoors!BG27)))))/100,Backdoors!BG27/100),"")</f>
        <v>0</v>
      </c>
      <c r="FP92" s="49">
        <f>IFERROR(IF(VLOOKUP(A92,tbMoveset!A2:J112,10,FALSE)=TRUE,IF((Backdoors!AI12+IF(FN92&gt;=0.45,VLOOKUP(Calculator!E23,tbSkills!DH3:DI6,2,FALSE)+IF(AND(Calculator!B8=TRUE,Backdoors!BI27=TRUE),VLOOKUP(Calculator!E23,tbSkills!DH3:DJ6,3,FALSE),0),0))&gt;=0,1+(Backdoors!AL2*(IF((Backdoors!AI12+IF(FN92&gt;=0.45,VLOOKUP(Calculator!E23,tbSkills!DH3:DI6,2,FALSE)+IF(AND(Calculator!B8=TRUE,Backdoors!BI27=TRUE),VLOOKUP(Calculator!E23,tbSkills!DH3:DJ6,3,FALSE),0),0))&gt;=100,100,(Backdoors!AI12+IF(FN92&gt;=0.45,VLOOKUP(Calculator!E23,tbSkills!DH3:DI6,2,FALSE)+IF(AND(Calculator!B8=TRUE,Backdoors!BI27=TRUE),VLOOKUP(Calculator!E23,tbSkills!DH3:DJ6,3,FALSE),0),0)))/100)),(1-(0.25*((-Backdoors!AI12-IF(FN92&gt;=0.45,VLOOKUP(Calculator!E23,tbSkills!DH3:DI6,2,FALSE)+IF(AND(Calculator!B8=TRUE,Backdoors!BI27=TRUE),VLOOKUP(Calculator!E23,tbSkills!DH3:DJ6,3,FALSE),0),0))/100)))),1),"")</f>
        <v>1</v>
      </c>
      <c r="FQ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FN92)*FP92)*(VLOOKUP(A92,tbMoveset!A2:C112,3,FALSE)/100)*IF(VLOOKUP(A92,tbMoveset!A2:B112,2,FALSE)="Projectile",Backdoors!N10,Backdoors!N9),0),"")</f>
        <v/>
      </c>
      <c r="FR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FN92&gt;=0.45,VLOOKUP(Calculator!E23,tbSkills!DH3:DI6,2,FALSE)+IF(AND(Calculator!B8=TRUE,Backdoors!BI27=TRUE),VLOOKUP(Calculator!E23,tbSkills!DH3:DJ6,3,FALSE),0),0))&gt;=100,100,(Backdoors!AI12+IF(FN92&gt;=0.45,VLOOKUP(Calculator!E23,tbSkills!DH3:DI6,2,FALSE)+IF(AND(Calculator!B8=TRUE,Backdoors!BI27=TRUE),VLOOKUP(Calculator!E23,tbSkills!DH3:DJ6,3,FALSE),0),0)))/100)),1))*IF(VLOOKUP(A92,tbMoveset!A2:K112,11,FALSE)=TRUE,Backdoors!AC5,1))*FO92,0),"")</f>
        <v>0</v>
      </c>
      <c r="FS92" s="49">
        <f>VLOOKUP(A92,tbMoveset!A2:G112,7,FALSE)*IFERROR(IF(Backdoors!AI12&gt;=0,1+(IF(Calculator!E40&gt;0,VLOOKUP(Calculator!E40,tbSkills!AI3:AJ5,2,FALSE),Backdoors!AL4)*(IF((Backdoors!AI12+IF(FN92&gt;=0.45,VLOOKUP(Calculator!E23,tbSkills!DH3:DI6,2,FALSE)+IF(AND(Calculator!B8=TRUE,Backdoors!BI27=TRUE),VLOOKUP(Calculator!E23,tbSkills!DH3:DJ6,3,FALSE),0),0))&gt;=100,100,(Backdoors!AI12+IF(FN92&gt;=0.45,VLOOKUP(Calculator!E23,tbSkills!DH3:DI6,2,FALSE)+IF(AND(Calculator!B8=TRUE,Backdoors!BI27=TRUE),VLOOKUP(Calculator!E23,tbSkills!DH3:DJ6,3,FALSE),0),0)))/100)),1),1)</f>
        <v>0.7</v>
      </c>
      <c r="FT92" s="87">
        <f t="shared" si="75"/>
        <v>0</v>
      </c>
      <c r="FU92" s="86" t="str">
        <f>IFERROR(IF(VLOOKUP(A92,tbMoveset!A2:B112,2,FALSE)="Sever",Backdoors!AY28/100,IF(VLOOKUP(A92,tbMoveset!A2:B112,2,FALSE)="Blunt",Backdoors!AZ28/100,Backdoors!BA28/100)),"")</f>
        <v/>
      </c>
      <c r="FV92" s="49">
        <f>IFERROR(IF(VLOOKUP(tbMoveset!A92,tbMoveset!A2:H112,8,FALSE)="Other",IF(VLOOKUP(tbMoveset!A92,tbMoveset!A2:I112,9,FALSE)="Fire",Backdoors!BB28,IF(VLOOKUP(tbMoveset!A92,tbMoveset!A2:I112,9,FALSE)="Water",Backdoors!BC28,IF(VLOOKUP(tbMoveset!A92,tbMoveset!A2:I112,9,FALSE)="Thunder",Backdoors!BD28,IF(VLOOKUP(tbMoveset!A92,tbMoveset!A2:I112,9,FALSE)="Ice",Backdoors!BE28,IF(VLOOKUP(tbMoveset!A92,tbMoveset!A2:I112,9,FALSE)="Dragon",Backdoors!BF28,Backdoors!BG28)))))/100,Backdoors!BG28/100),"")</f>
        <v>0</v>
      </c>
      <c r="FW92" s="49">
        <f>IFERROR(IF(VLOOKUP(A92,tbMoveset!A2:J112,10,FALSE)=TRUE,IF((Backdoors!AI12+IF(FU92&gt;=0.45,VLOOKUP(Calculator!E23,tbSkills!DH3:DI6,2,FALSE)+IF(AND(Calculator!B8=TRUE,Backdoors!BI28=TRUE),VLOOKUP(Calculator!E23,tbSkills!DH3:DJ6,3,FALSE),0),0))&gt;=0,1+(Backdoors!AL2*(IF((Backdoors!AI12+IF(FU92&gt;=0.45,VLOOKUP(Calculator!E23,tbSkills!DH3:DI6,2,FALSE)+IF(AND(Calculator!B8=TRUE,Backdoors!BI28=TRUE),VLOOKUP(Calculator!E23,tbSkills!DH3:DJ6,3,FALSE),0),0))&gt;=100,100,(Backdoors!AI12+IF(FU92&gt;=0.45,VLOOKUP(Calculator!E23,tbSkills!DH3:DI6,2,FALSE)+IF(AND(Calculator!B8=TRUE,Backdoors!BI28=TRUE),VLOOKUP(Calculator!E23,tbSkills!DH3:DJ6,3,FALSE),0),0)))/100)),(1-(0.25*((-Backdoors!AI12-IF(FU92&gt;=0.45,VLOOKUP(Calculator!E23,tbSkills!DH3:DI6,2,FALSE)+IF(AND(Calculator!B8=TRUE,Backdoors!BI28=TRUE),VLOOKUP(Calculator!E23,tbSkills!DH3:DJ6,3,FALSE),0),0))/100)))),1),"")</f>
        <v>1</v>
      </c>
      <c r="FX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FU92)*FW92)*(VLOOKUP(A92,tbMoveset!A2:C112,3,FALSE)/100)*IF(VLOOKUP(A92,tbMoveset!A2:B112,2,FALSE)="Projectile",Backdoors!N10,Backdoors!N9),0),"")</f>
        <v/>
      </c>
      <c r="FY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FU92&gt;=0.45,VLOOKUP(Calculator!E23,tbSkills!DH3:DI6,2,FALSE)+IF(AND(Calculator!B8=TRUE,Backdoors!BI28=TRUE),VLOOKUP(Calculator!E23,tbSkills!DH3:DJ6,3,FALSE),0),0))&gt;=100,100,(Backdoors!AI12+IF(FU92&gt;=0.45,VLOOKUP(Calculator!E23,tbSkills!DH3:DI6,2,FALSE)+IF(AND(Calculator!B8=TRUE,Backdoors!BI28=TRUE),VLOOKUP(Calculator!E23,tbSkills!DH3:DJ6,3,FALSE),0),0)))/100)),1))*IF(VLOOKUP(A92,tbMoveset!A2:K112,11,FALSE)=TRUE,Backdoors!AC5,1))*FV92,0),"")</f>
        <v>0</v>
      </c>
      <c r="FZ92" s="49">
        <f>VLOOKUP(A92,tbMoveset!A2:G112,7,FALSE)*IFERROR(IF(Backdoors!AI12&gt;=0,1+(IF(Calculator!E40&gt;0,VLOOKUP(Calculator!E40,tbSkills!AI3:AJ5,2,FALSE),Backdoors!AL4)*(IF((Backdoors!AI12+IF(FU92&gt;=0.45,VLOOKUP(Calculator!E23,tbSkills!DH3:DI6,2,FALSE)+IF(AND(Calculator!B8=TRUE,Backdoors!BI28=TRUE),VLOOKUP(Calculator!E23,tbSkills!DH3:DJ6,3,FALSE),0),0))&gt;=100,100,(Backdoors!AI12+IF(FU92&gt;=0.45,VLOOKUP(Calculator!E23,tbSkills!DH3:DI6,2,FALSE)+IF(AND(Calculator!B8=TRUE,Backdoors!BI28=TRUE),VLOOKUP(Calculator!E23,tbSkills!DH3:DJ6,3,FALSE),0),0)))/100)),1),1)</f>
        <v>0.7</v>
      </c>
      <c r="GA92" s="87">
        <f t="shared" si="76"/>
        <v>0</v>
      </c>
      <c r="GB92" s="86" t="str">
        <f>IFERROR(IF(VLOOKUP(A92,tbMoveset!A2:B112,2,FALSE)="Sever",Backdoors!AY29/100,IF(VLOOKUP(A92,tbMoveset!A2:B112,2,FALSE)="Blunt",Backdoors!AZ29/100,Backdoors!BA29/100)),"")</f>
        <v/>
      </c>
      <c r="GC92" s="49">
        <f>IFERROR(IF(VLOOKUP(tbMoveset!A92,tbMoveset!A2:H112,8,FALSE)="Other",IF(VLOOKUP(tbMoveset!A92,tbMoveset!A2:I112,9,FALSE)="Fire",Backdoors!BB29,IF(VLOOKUP(tbMoveset!A92,tbMoveset!A2:I112,9,FALSE)="Water",Backdoors!BC29,IF(VLOOKUP(tbMoveset!A92,tbMoveset!A2:I112,9,FALSE)="Thunder",Backdoors!BD29,IF(VLOOKUP(tbMoveset!A92,tbMoveset!A2:I112,9,FALSE)="Ice",Backdoors!BE29,IF(VLOOKUP(tbMoveset!A92,tbMoveset!A2:I112,9,FALSE)="Dragon",Backdoors!BF29,Backdoors!BG29)))))/100,Backdoors!BG29/100),"")</f>
        <v>0</v>
      </c>
      <c r="GD92" s="49">
        <f>IFERROR(IF(VLOOKUP(A92,tbMoveset!A2:J112,10,FALSE)=TRUE,IF((Backdoors!AI12+IF(GB92&gt;=0.45,VLOOKUP(Calculator!E23,tbSkills!DH3:DI6,2,FALSE)+IF(AND(Calculator!B8=TRUE,Backdoors!BI29=TRUE),VLOOKUP(Calculator!E23,tbSkills!DH3:DJ6,3,FALSE),0),0))&gt;=0,1+(Backdoors!AL2*(IF((Backdoors!AI12+IF(GB92&gt;=0.45,VLOOKUP(Calculator!E23,tbSkills!DH3:DI6,2,FALSE)+IF(AND(Calculator!B8=TRUE,Backdoors!BI29=TRUE),VLOOKUP(Calculator!E23,tbSkills!DH3:DJ6,3,FALSE),0),0))&gt;=100,100,(Backdoors!AI12+IF(GB92&gt;=0.45,VLOOKUP(Calculator!E23,tbSkills!DH3:DI6,2,FALSE)+IF(AND(Calculator!B8=TRUE,Backdoors!BI29=TRUE),VLOOKUP(Calculator!E23,tbSkills!DH3:DJ6,3,FALSE),0),0)))/100)),(1-(0.25*((-Backdoors!AI12-IF(GB92&gt;=0.45,VLOOKUP(Calculator!E23,tbSkills!DH3:DI6,2,FALSE)+IF(AND(Calculator!B8=TRUE,Backdoors!BI29=TRUE),VLOOKUP(Calculator!E23,tbSkills!DH3:DJ6,3,FALSE),0),0))/100)))),1),"")</f>
        <v>1</v>
      </c>
      <c r="GE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B92)*GD92)*(VLOOKUP(A92,tbMoveset!A2:C112,3,FALSE)/100)*IF(VLOOKUP(A92,tbMoveset!A2:B112,2,FALSE)="Projectile",Backdoors!N10,Backdoors!N9),0),"")</f>
        <v/>
      </c>
      <c r="GF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B92&gt;=0.45,VLOOKUP(Calculator!E23,tbSkills!DH3:DI6,2,FALSE)+IF(AND(Calculator!B8=TRUE,Backdoors!BI29=TRUE),VLOOKUP(Calculator!E23,tbSkills!DH3:DJ6,3,FALSE),0),0))&gt;=100,100,(Backdoors!AI12+IF(GB92&gt;=0.45,VLOOKUP(Calculator!E23,tbSkills!DH3:DI6,2,FALSE)+IF(AND(Calculator!B8=TRUE,Backdoors!BI29=TRUE),VLOOKUP(Calculator!E23,tbSkills!DH3:DJ6,3,FALSE),0),0)))/100)),1))*IF(VLOOKUP(A92,tbMoveset!A2:K112,11,FALSE)=TRUE,Backdoors!AC5,1))*GC92,0),"")</f>
        <v>0</v>
      </c>
      <c r="GG92" s="49">
        <f>VLOOKUP(A92,tbMoveset!A2:G112,7,FALSE)*IFERROR(IF(Backdoors!AI12&gt;=0,1+(IF(Calculator!E40&gt;0,VLOOKUP(Calculator!E40,tbSkills!AI3:AJ5,2,FALSE),Backdoors!AL4)*(IF((Backdoors!AI12+IF(GB92&gt;=0.45,VLOOKUP(Calculator!E23,tbSkills!DH3:DI6,2,FALSE)+IF(AND(Calculator!B8=TRUE,Backdoors!BI29=TRUE),VLOOKUP(Calculator!E23,tbSkills!DH3:DJ6,3,FALSE),0),0))&gt;=100,100,(Backdoors!AI12+IF(GB92&gt;=0.45,VLOOKUP(Calculator!E23,tbSkills!DH3:DI6,2,FALSE)+IF(AND(Calculator!B8=TRUE,Backdoors!BI29=TRUE),VLOOKUP(Calculator!E23,tbSkills!DH3:DJ6,3,FALSE),0),0)))/100)),1),1)</f>
        <v>0.7</v>
      </c>
      <c r="GH92" s="87">
        <f t="shared" si="77"/>
        <v>0</v>
      </c>
      <c r="GI92" s="86" t="str">
        <f>IFERROR(IF(VLOOKUP(A92,tbMoveset!A2:B112,2,FALSE)="Sever",Backdoors!AY30/100,IF(VLOOKUP(A92,tbMoveset!A2:B112,2,FALSE)="Blunt",Backdoors!AZ30/100,Backdoors!BA30/100)),"")</f>
        <v/>
      </c>
      <c r="GJ92" s="49">
        <f>IFERROR(IF(VLOOKUP(tbMoveset!A92,tbMoveset!A2:H112,8,FALSE)="Other",IF(VLOOKUP(tbMoveset!A92,tbMoveset!A2:I112,9,FALSE)="Fire",Backdoors!BB30,IF(VLOOKUP(tbMoveset!A92,tbMoveset!A2:I112,9,FALSE)="Water",Backdoors!BC30,IF(VLOOKUP(tbMoveset!A92,tbMoveset!A2:I112,9,FALSE)="Thunder",Backdoors!BD30,IF(VLOOKUP(tbMoveset!A92,tbMoveset!A2:I112,9,FALSE)="Ice",Backdoors!BE30,IF(VLOOKUP(tbMoveset!A92,tbMoveset!A2:I112,9,FALSE)="Dragon",Backdoors!BF30,Backdoors!BG30)))))/100,Backdoors!BG30/100),"")</f>
        <v>0</v>
      </c>
      <c r="GK92" s="49">
        <f>IFERROR(IF(VLOOKUP(A92,tbMoveset!A2:J112,10,FALSE)=TRUE,IF((Backdoors!AI12+IF(GI92&gt;=0.45,VLOOKUP(Calculator!E23,tbSkills!DH3:DI6,2,FALSE)+IF(AND(Calculator!B8=TRUE,Backdoors!BI30=TRUE),VLOOKUP(Calculator!E23,tbSkills!DH3:DJ6,3,FALSE),0),0))&gt;=0,1+(Backdoors!AL2*(IF((Backdoors!AI12+IF(GI92&gt;=0.45,VLOOKUP(Calculator!E23,tbSkills!DH3:DI6,2,FALSE)+IF(AND(Calculator!B8=TRUE,Backdoors!BI30=TRUE),VLOOKUP(Calculator!E23,tbSkills!DH3:DJ6,3,FALSE),0),0))&gt;=100,100,(Backdoors!AI12+IF(GI92&gt;=0.45,VLOOKUP(Calculator!E23,tbSkills!DH3:DI6,2,FALSE)+IF(AND(Calculator!B8=TRUE,Backdoors!BI30=TRUE),VLOOKUP(Calculator!E23,tbSkills!DH3:DJ6,3,FALSE),0),0)))/100)),(1-(0.25*((-Backdoors!AI12-IF(GI92&gt;=0.45,VLOOKUP(Calculator!E23,tbSkills!DH3:DI6,2,FALSE)+IF(AND(Calculator!B8=TRUE,Backdoors!BI30=TRUE),VLOOKUP(Calculator!E23,tbSkills!DH3:DJ6,3,FALSE),0),0))/100)))),1),"")</f>
        <v>1</v>
      </c>
      <c r="GL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I92)*GK92)*(VLOOKUP(A92,tbMoveset!A2:C112,3,FALSE)/100)*IF(VLOOKUP(A92,tbMoveset!A2:B112,2,FALSE)="Projectile",Backdoors!N10,Backdoors!N9),0),"")</f>
        <v/>
      </c>
      <c r="GM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I92&gt;=0.45,VLOOKUP(Calculator!E23,tbSkills!DH3:DI6,2,FALSE)+IF(AND(Calculator!B8=TRUE,Backdoors!BI30=TRUE),VLOOKUP(Calculator!E23,tbSkills!DH3:DJ6,3,FALSE),0),0))&gt;=100,100,(Backdoors!AI12+IF(GI92&gt;=0.45,VLOOKUP(Calculator!E23,tbSkills!DH3:DI6,2,FALSE)+IF(AND(Calculator!B8=TRUE,Backdoors!BI30=TRUE),VLOOKUP(Calculator!E23,tbSkills!DH3:DJ6,3,FALSE),0),0)))/100)),1))*IF(VLOOKUP(A92,tbMoveset!A2:K112,11,FALSE)=TRUE,Backdoors!AC5,1))*GJ92,0),"")</f>
        <v>0</v>
      </c>
      <c r="GN92" s="49">
        <f>VLOOKUP(A92,tbMoveset!A2:G112,7,FALSE)*IFERROR(IF(Backdoors!AI12&gt;=0,1+(IF(Calculator!E40&gt;0,VLOOKUP(Calculator!E40,tbSkills!AI3:AJ5,2,FALSE),Backdoors!AL4)*(IF((Backdoors!AI12+IF(GI92&gt;=0.45,VLOOKUP(Calculator!E23,tbSkills!DH3:DI6,2,FALSE)+IF(AND(Calculator!B8=TRUE,Backdoors!BI30=TRUE),VLOOKUP(Calculator!E23,tbSkills!DH3:DJ6,3,FALSE),0),0))&gt;=100,100,(Backdoors!AI12+IF(GI92&gt;=0.45,VLOOKUP(Calculator!E23,tbSkills!DH3:DI6,2,FALSE)+IF(AND(Calculator!B8=TRUE,Backdoors!BI30=TRUE),VLOOKUP(Calculator!E23,tbSkills!DH3:DJ6,3,FALSE),0),0)))/100)),1),1)</f>
        <v>0.7</v>
      </c>
      <c r="GO92" s="87">
        <f t="shared" si="78"/>
        <v>0</v>
      </c>
      <c r="GP92" s="86" t="str">
        <f>IFERROR(IF(VLOOKUP(A92,tbMoveset!A2:B112,2,FALSE)="Sever",Backdoors!AY31/100,IF(VLOOKUP(A92,tbMoveset!A2:B112,2,FALSE)="Blunt",Backdoors!AZ31/100,Backdoors!BA31/100)),"")</f>
        <v/>
      </c>
      <c r="GQ92" s="49">
        <f>IFERROR(IF(VLOOKUP(tbMoveset!A92,tbMoveset!A2:H112,8,FALSE)="Other",IF(VLOOKUP(tbMoveset!A92,tbMoveset!A2:I112,9,FALSE)="Fire",Backdoors!BB31,IF(VLOOKUP(tbMoveset!A92,tbMoveset!A2:I112,9,FALSE)="Water",Backdoors!BC31,IF(VLOOKUP(tbMoveset!A92,tbMoveset!A2:I112,9,FALSE)="Thunder",Backdoors!BD31,IF(VLOOKUP(tbMoveset!A92,tbMoveset!A2:I112,9,FALSE)="Ice",Backdoors!BE31,IF(VLOOKUP(tbMoveset!A92,tbMoveset!A2:I112,9,FALSE)="Dragon",Backdoors!BF31,Backdoors!BG31)))))/100,Backdoors!BG31/100),"")</f>
        <v>0</v>
      </c>
      <c r="GR92" s="49">
        <f>IFERROR(IF(VLOOKUP(A92,tbMoveset!A2:J112,10,FALSE)=TRUE,IF((Backdoors!AI12+IF(GP92&gt;=0.45,VLOOKUP(Calculator!E23,tbSkills!DH3:DI6,2,FALSE)+IF(AND(Calculator!B8=TRUE,Backdoors!BI31=TRUE),VLOOKUP(Calculator!E23,tbSkills!DH3:DJ6,3,FALSE),0),0))&gt;=0,1+(Backdoors!AL2*(IF((Backdoors!AI12+IF(GP92&gt;=0.45,VLOOKUP(Calculator!E23,tbSkills!DH3:DI6,2,FALSE)+IF(AND(Calculator!B8=TRUE,Backdoors!BI31=TRUE),VLOOKUP(Calculator!E23,tbSkills!DH3:DJ6,3,FALSE),0),0))&gt;=100,100,(Backdoors!AI12+IF(GP92&gt;=0.45,VLOOKUP(Calculator!E23,tbSkills!DH3:DI6,2,FALSE)+IF(AND(Calculator!B8=TRUE,Backdoors!BI31=TRUE),VLOOKUP(Calculator!E23,tbSkills!DH3:DJ6,3,FALSE),0),0)))/100)),(1-(0.25*((-Backdoors!AI12-IF(GP92&gt;=0.45,VLOOKUP(Calculator!E23,tbSkills!DH3:DI6,2,FALSE)+IF(AND(Calculator!B8=TRUE,Backdoors!BI31=TRUE),VLOOKUP(Calculator!E23,tbSkills!DH3:DJ6,3,FALSE),0),0))/100)))),1),"")</f>
        <v>1</v>
      </c>
      <c r="GS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P92)*GR92)*(VLOOKUP(A92,tbMoveset!A2:C112,3,FALSE)/100)*IF(VLOOKUP(A92,tbMoveset!A2:B112,2,FALSE)="Projectile",Backdoors!N10,Backdoors!N9),0),"")</f>
        <v/>
      </c>
      <c r="GT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P92&gt;=0.45,VLOOKUP(Calculator!E23,tbSkills!DH3:DI6,2,FALSE)+IF(AND(Calculator!B8=TRUE,Backdoors!BI31=TRUE),VLOOKUP(Calculator!E23,tbSkills!DH3:DJ6,3,FALSE),0),0))&gt;=100,100,(Backdoors!AI12+IF(GP92&gt;=0.45,VLOOKUP(Calculator!E23,tbSkills!DH3:DI6,2,FALSE)+IF(AND(Calculator!B8=TRUE,Backdoors!BI31=TRUE),VLOOKUP(Calculator!E23,tbSkills!DH3:DJ6,3,FALSE),0),0)))/100)),1))*IF(VLOOKUP(A92,tbMoveset!A2:K112,11,FALSE)=TRUE,Backdoors!AC5,1))*GQ92,0),"")</f>
        <v>0</v>
      </c>
      <c r="GU92" s="49">
        <f>VLOOKUP(A92,tbMoveset!A2:G112,7,FALSE)*IFERROR(IF(Backdoors!AI12&gt;=0,1+(IF(Calculator!E40&gt;0,VLOOKUP(Calculator!E40,tbSkills!AI3:AJ5,2,FALSE),Backdoors!AL4)*(IF((Backdoors!AI12+IF(GP92&gt;=0.45,VLOOKUP(Calculator!E23,tbSkills!DH3:DI6,2,FALSE)+IF(AND(Calculator!B8=TRUE,Backdoors!BI31=TRUE),VLOOKUP(Calculator!E23,tbSkills!DH3:DJ6,3,FALSE),0),0))&gt;=100,100,(Backdoors!AI12+IF(GP92&gt;=0.45,VLOOKUP(Calculator!E23,tbSkills!DH3:DI6,2,FALSE)+IF(AND(Calculator!B8=TRUE,Backdoors!BI31=TRUE),VLOOKUP(Calculator!E23,tbSkills!DH3:DJ6,3,FALSE),0),0)))/100)),1),1)</f>
        <v>0.7</v>
      </c>
      <c r="GV92" s="87">
        <f t="shared" si="79"/>
        <v>0</v>
      </c>
      <c r="GW92" s="86" t="str">
        <f>IFERROR(IF(VLOOKUP(A92,tbMoveset!A2:B112,2,FALSE)="Sever",Backdoors!AY32/100,IF(VLOOKUP(A92,tbMoveset!A2:B112,2,FALSE)="Blunt",Backdoors!AZ32/100,Backdoors!BA32/100)),"")</f>
        <v/>
      </c>
      <c r="GX92" s="49">
        <f>IFERROR(IF(VLOOKUP(tbMoveset!A92,tbMoveset!A2:H112,8,FALSE)="Other",IF(VLOOKUP(tbMoveset!A92,tbMoveset!A2:I112,9,FALSE)="Fire",Backdoors!BB32,IF(VLOOKUP(tbMoveset!A92,tbMoveset!A2:I112,9,FALSE)="Water",Backdoors!BC32,IF(VLOOKUP(tbMoveset!A92,tbMoveset!A2:I112,9,FALSE)="Thunder",Backdoors!BD32,IF(VLOOKUP(tbMoveset!A92,tbMoveset!A2:I112,9,FALSE)="Ice",Backdoors!BE32,IF(VLOOKUP(tbMoveset!A92,tbMoveset!A2:I112,9,FALSE)="Dragon",Backdoors!BF32,Backdoors!BG32)))))/100,Backdoors!BG32/100),"")</f>
        <v>0</v>
      </c>
      <c r="GY92" s="49">
        <f>IFERROR(IF(VLOOKUP(A92,tbMoveset!A2:J112,10,FALSE)=TRUE,IF((Backdoors!AI12+IF(GW92&gt;=0.45,VLOOKUP(Calculator!E23,tbSkills!DH3:DI6,2,FALSE)+IF(AND(Calculator!B8=TRUE,Backdoors!BI32=TRUE),VLOOKUP(Calculator!E23,tbSkills!DH3:DJ6,3,FALSE),0),0))&gt;=0,1+(Backdoors!AL2*(IF((Backdoors!AI12+IF(GW92&gt;=0.45,VLOOKUP(Calculator!E23,tbSkills!DH3:DI6,2,FALSE)+IF(AND(Calculator!B8=TRUE,Backdoors!BI32=TRUE),VLOOKUP(Calculator!E23,tbSkills!DH3:DJ6,3,FALSE),0),0))&gt;=100,100,(Backdoors!AI12+IF(GW92&gt;=0.45,VLOOKUP(Calculator!E23,tbSkills!DH3:DI6,2,FALSE)+IF(AND(Calculator!B8=TRUE,Backdoors!BI32=TRUE),VLOOKUP(Calculator!E23,tbSkills!DH3:DJ6,3,FALSE),0),0)))/100)),(1-(0.25*((-Backdoors!AI12-IF(GW92&gt;=0.45,VLOOKUP(Calculator!E23,tbSkills!DH3:DI6,2,FALSE)+IF(AND(Calculator!B8=TRUE,Backdoors!BI32=TRUE),VLOOKUP(Calculator!E23,tbSkills!DH3:DJ6,3,FALSE),0),0))/100)))),1),"")</f>
        <v>1</v>
      </c>
      <c r="GZ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W92)*GY92)*(VLOOKUP(A92,tbMoveset!A2:C112,3,FALSE)/100)*IF(VLOOKUP(A92,tbMoveset!A2:B112,2,FALSE)="Projectile",Backdoors!N10,Backdoors!N9),0),"")</f>
        <v/>
      </c>
      <c r="HA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W92&gt;=0.45,VLOOKUP(Calculator!E23,tbSkills!DH3:DI6,2,FALSE)+IF(AND(Calculator!B8=TRUE,Backdoors!BI32=TRUE),VLOOKUP(Calculator!E23,tbSkills!DH3:DJ6,3,FALSE),0),0))&gt;=100,100,(Backdoors!AI12+IF(GW92&gt;=0.45,VLOOKUP(Calculator!E23,tbSkills!DH3:DI6,2,FALSE)+IF(AND(Calculator!B8=TRUE,Backdoors!BI32=TRUE),VLOOKUP(Calculator!E23,tbSkills!DH3:DJ6,3,FALSE),0),0)))/100)),1))*IF(VLOOKUP(A92,tbMoveset!A2:K112,11,FALSE)=TRUE,Backdoors!AC5,1))*GX92,0),"")</f>
        <v>0</v>
      </c>
      <c r="HB92" s="49">
        <f>VLOOKUP(A92,tbMoveset!A2:G112,7,FALSE)*IFERROR(IF(Backdoors!AI12&gt;=0,1+(IF(Calculator!E40&gt;0,VLOOKUP(Calculator!E40,tbSkills!AI3:AJ5,2,FALSE),Backdoors!AL4)*(IF((Backdoors!AI12+IF(GW92&gt;=0.45,VLOOKUP(Calculator!E23,tbSkills!DH3:DI6,2,FALSE)+IF(AND(Calculator!B8=TRUE,Backdoors!BI32=TRUE),VLOOKUP(Calculator!E23,tbSkills!DH3:DJ6,3,FALSE),0),0))&gt;=100,100,(Backdoors!AI12+IF(GW92&gt;=0.45,VLOOKUP(Calculator!E23,tbSkills!DH3:DI6,2,FALSE)+IF(AND(Calculator!B8=TRUE,Backdoors!BI32=TRUE),VLOOKUP(Calculator!E23,tbSkills!DH3:DJ6,3,FALSE),0),0)))/100)),1),1)</f>
        <v>0.7</v>
      </c>
      <c r="HC92" s="87">
        <f t="shared" si="80"/>
        <v>0</v>
      </c>
      <c r="HD92" s="86" t="str">
        <f>IFERROR(IF(VLOOKUP(A92,tbMoveset!A2:B112,2,FALSE)="Sever",Backdoors!AY33/100,IF(VLOOKUP(A92,tbMoveset!A2:B112,2,FALSE)="Blunt",Backdoors!AZ33/100,Backdoors!BA33/100)),"")</f>
        <v/>
      </c>
      <c r="HE92" s="49">
        <f>IFERROR(IF(VLOOKUP(tbMoveset!A92,tbMoveset!A2:H112,8,FALSE)="Other",IF(VLOOKUP(tbMoveset!A92,tbMoveset!A2:I112,9,FALSE)="Fire",Backdoors!BB33,IF(VLOOKUP(tbMoveset!A92,tbMoveset!A2:I112,9,FALSE)="Water",Backdoors!BC33,IF(VLOOKUP(tbMoveset!A92,tbMoveset!A2:I112,9,FALSE)="Thunder",Backdoors!BD33,IF(VLOOKUP(tbMoveset!A92,tbMoveset!A2:I112,9,FALSE)="Ice",Backdoors!BE33,IF(VLOOKUP(tbMoveset!A92,tbMoveset!A2:I112,9,FALSE)="Dragon",Backdoors!BF33,Backdoors!BG33)))))/100,Backdoors!BG33/100),"")</f>
        <v>0</v>
      </c>
      <c r="HF92" s="49">
        <f>IFERROR(IF(VLOOKUP(A92,tbMoveset!A2:J112,10,FALSE)=TRUE,IF((Backdoors!AI12+IF(HD92&gt;=0.45,VLOOKUP(Calculator!E23,tbSkills!DH3:DI6,2,FALSE)+IF(AND(Calculator!B8=TRUE,Backdoors!BI33=TRUE),VLOOKUP(Calculator!E23,tbSkills!DH3:DJ6,3,FALSE),0),0))&gt;=0,1+(Backdoors!AL2*(IF((Backdoors!AI12+IF(HD92&gt;=0.45,VLOOKUP(Calculator!E23,tbSkills!DH3:DI6,2,FALSE)+IF(AND(Calculator!B8=TRUE,Backdoors!BI33=TRUE),VLOOKUP(Calculator!E23,tbSkills!DH3:DJ6,3,FALSE),0),0))&gt;=100,100,(Backdoors!AI12+IF(HD92&gt;=0.45,VLOOKUP(Calculator!E23,tbSkills!DH3:DI6,2,FALSE)+IF(AND(Calculator!B8=TRUE,Backdoors!BI33=TRUE),VLOOKUP(Calculator!E23,tbSkills!DH3:DJ6,3,FALSE),0),0)))/100)),(1-(0.25*((-Backdoors!AI12-IF(HD92&gt;=0.45,VLOOKUP(Calculator!E23,tbSkills!DH3:DI6,2,FALSE)+IF(AND(Calculator!B8=TRUE,Backdoors!BI33=TRUE),VLOOKUP(Calculator!E23,tbSkills!DH3:DJ6,3,FALSE),0),0))/100)))),1),"")</f>
        <v>1</v>
      </c>
      <c r="HG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D92)*HF92)*(VLOOKUP(A92,tbMoveset!A2:C112,3,FALSE)/100)*IF(VLOOKUP(A92,tbMoveset!A2:B112,2,FALSE)="Projectile",Backdoors!N10,Backdoors!N9),0),"")</f>
        <v/>
      </c>
      <c r="HH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D92&gt;=0.45,VLOOKUP(Calculator!E23,tbSkills!DH3:DI6,2,FALSE)+IF(AND(Calculator!B8=TRUE,Backdoors!BI33=TRUE),VLOOKUP(Calculator!E23,tbSkills!DH3:DJ6,3,FALSE),0),0))&gt;=100,100,(Backdoors!AI12+IF(HD92&gt;=0.45,VLOOKUP(Calculator!E23,tbSkills!DH3:DI6,2,FALSE)+IF(AND(Calculator!B8=TRUE,Backdoors!BI33=TRUE),VLOOKUP(Calculator!E23,tbSkills!DH3:DJ6,3,FALSE),0),0)))/100)),1))*IF(VLOOKUP(A92,tbMoveset!A2:K112,11,FALSE)=TRUE,Backdoors!AC5,1))*HE92,0),"")</f>
        <v>0</v>
      </c>
      <c r="HI92" s="49">
        <f>VLOOKUP(A92,tbMoveset!A2:G112,7,FALSE)*IFERROR(IF(Backdoors!AI12&gt;=0,1+(IF(Calculator!E40&gt;0,VLOOKUP(Calculator!E40,tbSkills!AI3:AJ5,2,FALSE),Backdoors!AL4)*(IF((Backdoors!AI12+IF(HD92&gt;=0.45,VLOOKUP(Calculator!E23,tbSkills!DH3:DI6,2,FALSE)+IF(AND(Calculator!B8=TRUE,Backdoors!BI33=TRUE),VLOOKUP(Calculator!E23,tbSkills!DH3:DJ6,3,FALSE),0),0))&gt;=100,100,(Backdoors!AI12+IF(HD92&gt;=0.45,VLOOKUP(Calculator!E23,tbSkills!DH3:DI6,2,FALSE)+IF(AND(Calculator!B8=TRUE,Backdoors!BI33=TRUE),VLOOKUP(Calculator!E23,tbSkills!DH3:DJ6,3,FALSE),0),0)))/100)),1),1)</f>
        <v>0.7</v>
      </c>
      <c r="HJ92" s="87">
        <f t="shared" si="81"/>
        <v>0</v>
      </c>
      <c r="HK92" s="86" t="str">
        <f>IFERROR(IF(VLOOKUP(A92,tbMoveset!A2:B112,2,FALSE)="Sever",Backdoors!AY34/100,IF(VLOOKUP(A92,tbMoveset!A2:B112,2,FALSE)="Blunt",Backdoors!AZ34/100,Backdoors!BA34/100)),"")</f>
        <v/>
      </c>
      <c r="HL92" s="49">
        <f>IFERROR(IF(VLOOKUP(tbMoveset!A92,tbMoveset!A2:H112,8,FALSE)="Other",IF(VLOOKUP(tbMoveset!A92,tbMoveset!A2:I112,9,FALSE)="Fire",Backdoors!BB34,IF(VLOOKUP(tbMoveset!A92,tbMoveset!A2:I112,9,FALSE)="Water",Backdoors!BC34,IF(VLOOKUP(tbMoveset!A92,tbMoveset!A2:I112,9,FALSE)="Thunder",Backdoors!BD34,IF(VLOOKUP(tbMoveset!A92,tbMoveset!A2:I112,9,FALSE)="Ice",Backdoors!BE34,IF(VLOOKUP(tbMoveset!A92,tbMoveset!A2:I112,9,FALSE)="Dragon",Backdoors!BF34,Backdoors!BG34)))))/100,Backdoors!BG34/100),"")</f>
        <v>0</v>
      </c>
      <c r="HM92" s="49">
        <f>IFERROR(IF(VLOOKUP(A92,tbMoveset!A2:J112,10,FALSE)=TRUE,IF((Backdoors!AI12+IF(HK92&gt;=0.45,VLOOKUP(Calculator!E23,tbSkills!DH3:DI6,2,FALSE)+IF(AND(Calculator!B8=TRUE,Backdoors!BI34=TRUE),VLOOKUP(Calculator!E23,tbSkills!DH3:DJ6,3,FALSE),0),0))&gt;=0,1+(Backdoors!AL2*(IF((Backdoors!AI12+IF(HK92&gt;=0.45,VLOOKUP(Calculator!E23,tbSkills!DH3:DI6,2,FALSE)+IF(AND(Calculator!B8=TRUE,Backdoors!BI34=TRUE),VLOOKUP(Calculator!E23,tbSkills!DH3:DJ6,3,FALSE),0),0))&gt;=100,100,(Backdoors!AI12+IF(HK92&gt;=0.45,VLOOKUP(Calculator!E23,tbSkills!DH3:DI6,2,FALSE)+IF(AND(Calculator!B8=TRUE,Backdoors!BI34=TRUE),VLOOKUP(Calculator!E23,tbSkills!DH3:DJ6,3,FALSE),0),0)))/100)),(1-(0.25*((-Backdoors!AI12-IF(HK92&gt;=0.45,VLOOKUP(Calculator!E23,tbSkills!DH3:DI6,2,FALSE)+IF(AND(Calculator!B8=TRUE,Backdoors!BI34=TRUE),VLOOKUP(Calculator!E23,tbSkills!DH3:DJ6,3,FALSE),0),0))/100)))),1),"")</f>
        <v>1</v>
      </c>
      <c r="HN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K92)*HM92)*(VLOOKUP(A92,tbMoveset!A2:C112,3,FALSE)/100)*IF(VLOOKUP(A92,tbMoveset!A2:B112,2,FALSE)="Projectile",Backdoors!N10,Backdoors!N9),0),"")</f>
        <v/>
      </c>
      <c r="HO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K92&gt;=0.45,VLOOKUP(Calculator!E23,tbSkills!DH3:DI6,2,FALSE)+IF(AND(Calculator!B8=TRUE,Backdoors!BI34=TRUE),VLOOKUP(Calculator!E23,tbSkills!DH3:DJ6,3,FALSE),0),0))&gt;=100,100,(Backdoors!AI12+IF(HK92&gt;=0.45,VLOOKUP(Calculator!E23,tbSkills!DH3:DI6,2,FALSE)+IF(AND(Calculator!B8=TRUE,Backdoors!BI34=TRUE),VLOOKUP(Calculator!E23,tbSkills!DH3:DJ6,3,FALSE),0),0)))/100)),1))*IF(VLOOKUP(A92,tbMoveset!A2:K112,11,FALSE)=TRUE,Backdoors!AC5,1))*HL92,0),"")</f>
        <v>0</v>
      </c>
      <c r="HP92" s="49">
        <f>VLOOKUP(A92,tbMoveset!A2:G112,7,FALSE)*IFERROR(IF(Backdoors!AI12&gt;=0,1+(IF(Calculator!E40&gt;0,VLOOKUP(Calculator!E40,tbSkills!AI3:AJ5,2,FALSE),Backdoors!AL4)*(IF((Backdoors!AI12+IF(HK92&gt;=0.45,VLOOKUP(Calculator!E23,tbSkills!DH3:DI6,2,FALSE)+IF(AND(Calculator!B8=TRUE,Backdoors!BI34=TRUE),VLOOKUP(Calculator!E23,tbSkills!DH3:DJ6,3,FALSE),0),0))&gt;=100,100,(Backdoors!AI12+IF(HK92&gt;=0.45,VLOOKUP(Calculator!E23,tbSkills!DH3:DI6,2,FALSE)+IF(AND(Calculator!B8=TRUE,Backdoors!BI34=TRUE),VLOOKUP(Calculator!E23,tbSkills!DH3:DJ6,3,FALSE),0),0)))/100)),1),1)</f>
        <v>0.7</v>
      </c>
      <c r="HQ92" s="87">
        <f t="shared" si="82"/>
        <v>0</v>
      </c>
      <c r="HR92" s="86" t="str">
        <f>IFERROR(IF(VLOOKUP(A92,tbMoveset!A2:B112,2,FALSE)="Sever",Backdoors!AY35/100,IF(VLOOKUP(A92,tbMoveset!A2:B112,2,FALSE)="Blunt",Backdoors!AZ35/100,Backdoors!BA35/100)),"")</f>
        <v/>
      </c>
      <c r="HS92" s="49">
        <f>IFERROR(IF(VLOOKUP(tbMoveset!A92,tbMoveset!A2:H112,8,FALSE)="Other",IF(VLOOKUP(tbMoveset!A92,tbMoveset!A2:I112,9,FALSE)="Fire",Backdoors!BB35,IF(VLOOKUP(tbMoveset!A92,tbMoveset!A2:I112,9,FALSE)="Water",Backdoors!BC35,IF(VLOOKUP(tbMoveset!A92,tbMoveset!A2:I112,9,FALSE)="Thunder",Backdoors!BD35,IF(VLOOKUP(tbMoveset!A92,tbMoveset!A2:I112,9,FALSE)="Ice",Backdoors!BE35,IF(VLOOKUP(tbMoveset!A92,tbMoveset!A2:I112,9,FALSE)="Dragon",Backdoors!BF35,Backdoors!BG35)))))/100,Backdoors!BG35/100),"")</f>
        <v>0</v>
      </c>
      <c r="HT92" s="49">
        <f>IFERROR(IF(VLOOKUP(A92,tbMoveset!A2:J112,10,FALSE)=TRUE,IF((Backdoors!AI12+IF(HR92&gt;=0.45,VLOOKUP(Calculator!E23,tbSkills!DH3:DI6,2,FALSE)+IF(AND(Calculator!B8=TRUE,Backdoors!BI35=TRUE),VLOOKUP(Calculator!E23,tbSkills!DH3:DJ6,3,FALSE),0),0))&gt;=0,1+(Backdoors!AL2*(IF((Backdoors!AI12+IF(HR92&gt;=0.45,VLOOKUP(Calculator!E23,tbSkills!DH3:DI6,2,FALSE)+IF(AND(Calculator!B8=TRUE,Backdoors!BI35=TRUE),VLOOKUP(Calculator!E23,tbSkills!DH3:DJ6,3,FALSE),0),0))&gt;=100,100,(Backdoors!AI12+IF(HR92&gt;=0.45,VLOOKUP(Calculator!E23,tbSkills!DH3:DI6,2,FALSE)+IF(AND(Calculator!B8=TRUE,Backdoors!BI35=TRUE),VLOOKUP(Calculator!E23,tbSkills!DH3:DJ6,3,FALSE),0),0)))/100)),(1-(0.25*((-Backdoors!AI12-IF(HR92&gt;=0.45,VLOOKUP(Calculator!E23,tbSkills!DH3:DI6,2,FALSE)+IF(AND(Calculator!B8=TRUE,Backdoors!BI35=TRUE),VLOOKUP(Calculator!E23,tbSkills!DH3:DJ6,3,FALSE),0),0))/100)))),1),"")</f>
        <v>1</v>
      </c>
      <c r="HU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R92)*HT92)*(VLOOKUP(A92,tbMoveset!A2:C112,3,FALSE)/100)*IF(VLOOKUP(A92,tbMoveset!A2:B112,2,FALSE)="Projectile",Backdoors!N10,Backdoors!N9),0),"")</f>
        <v/>
      </c>
      <c r="HV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R92&gt;=0.45,VLOOKUP(Calculator!E23,tbSkills!DH3:DI6,2,FALSE)+IF(AND(Calculator!B8=TRUE,Backdoors!BI35=TRUE),VLOOKUP(Calculator!E23,tbSkills!DH3:DJ6,3,FALSE),0),0))&gt;=100,100,(Backdoors!AI12+IF(HR92&gt;=0.45,VLOOKUP(Calculator!E23,tbSkills!DH3:DI6,2,FALSE)+IF(AND(Calculator!B8=TRUE,Backdoors!BI35=TRUE),VLOOKUP(Calculator!E23,tbSkills!DH3:DJ6,3,FALSE),0),0)))/100)),1))*IF(VLOOKUP(A92,tbMoveset!A2:K112,11,FALSE)=TRUE,Backdoors!AC5,1))*HS92,0),"")</f>
        <v>0</v>
      </c>
      <c r="HW92" s="49">
        <f>VLOOKUP(A92,tbMoveset!A2:G112,7,FALSE)*IFERROR(IF(Backdoors!AI12&gt;=0,1+(IF(Calculator!E40&gt;0,VLOOKUP(Calculator!E40,tbSkills!AI3:AJ5,2,FALSE),Backdoors!AL4)*(IF((Backdoors!AI12+IF(HR92&gt;=0.45,VLOOKUP(Calculator!E23,tbSkills!DH3:DI6,2,FALSE)+IF(AND(Calculator!B8=TRUE,Backdoors!BI35=TRUE),VLOOKUP(Calculator!E23,tbSkills!DH3:DJ6,3,FALSE),0),0))&gt;=100,100,(Backdoors!AI12+IF(HR92&gt;=0.45,VLOOKUP(Calculator!E23,tbSkills!DH3:DI6,2,FALSE)+IF(AND(Calculator!B8=TRUE,Backdoors!BI35=TRUE),VLOOKUP(Calculator!E23,tbSkills!DH3:DJ6,3,FALSE),0),0)))/100)),1),1)</f>
        <v>0.7</v>
      </c>
      <c r="HX92" s="87">
        <f t="shared" si="83"/>
        <v>0</v>
      </c>
      <c r="HY92" s="86" t="str">
        <f>IFERROR(IF(VLOOKUP(A92,tbMoveset!A2:B112,2,FALSE)="Sever",Backdoors!AY36/100,IF(VLOOKUP(A92,tbMoveset!A2:B112,2,FALSE)="Blunt",Backdoors!AZ36/100,Backdoors!BA36/100)),"")</f>
        <v/>
      </c>
      <c r="HZ92" s="49">
        <f>IFERROR(IF(VLOOKUP(tbMoveset!A92,tbMoveset!A2:H112,8,FALSE)="Other",IF(VLOOKUP(tbMoveset!A92,tbMoveset!A2:I112,9,FALSE)="Fire",Backdoors!BB36,IF(VLOOKUP(tbMoveset!A92,tbMoveset!A2:I112,9,FALSE)="Water",Backdoors!BC36,IF(VLOOKUP(tbMoveset!A92,tbMoveset!A2:I112,9,FALSE)="Thunder",Backdoors!BD36,IF(VLOOKUP(tbMoveset!A92,tbMoveset!A2:I112,9,FALSE)="Ice",Backdoors!BE36,IF(VLOOKUP(tbMoveset!A92,tbMoveset!A2:I112,9,FALSE)="Dragon",Backdoors!BF36,Backdoors!BG36)))))/100,Backdoors!BG36/100),"")</f>
        <v>0</v>
      </c>
      <c r="IA92" s="49">
        <f>IFERROR(IF(VLOOKUP(A92,tbMoveset!A2:J112,10,FALSE)=TRUE,IF((Backdoors!AI12+IF(HY92&gt;=0.45,VLOOKUP(Calculator!E23,tbSkills!DH3:DI6,2,FALSE)+IF(AND(Calculator!B8=TRUE,Backdoors!BI36=TRUE),VLOOKUP(Calculator!E23,tbSkills!DH3:DJ6,3,FALSE),0),0))&gt;=0,1+(Backdoors!AL2*(IF((Backdoors!AI12+IF(HY92&gt;=0.45,VLOOKUP(Calculator!E23,tbSkills!DH3:DI6,2,FALSE)+IF(AND(Calculator!B8=TRUE,Backdoors!BI36=TRUE),VLOOKUP(Calculator!E23,tbSkills!DH3:DJ6,3,FALSE),0),0))&gt;=100,100,(Backdoors!AI12+IF(HY92&gt;=0.45,VLOOKUP(Calculator!E23,tbSkills!DH3:DI6,2,FALSE)+IF(AND(Calculator!B8=TRUE,Backdoors!BI36=TRUE),VLOOKUP(Calculator!E23,tbSkills!DH3:DJ6,3,FALSE),0),0)))/100)),(1-(0.25*((-Backdoors!AI12-IF(HY92&gt;=0.45,VLOOKUP(Calculator!E23,tbSkills!DH3:DI6,2,FALSE)+IF(AND(Calculator!B8=TRUE,Backdoors!BI36=TRUE),VLOOKUP(Calculator!E23,tbSkills!DH3:DJ6,3,FALSE),0),0))/100)))),1),"")</f>
        <v>1</v>
      </c>
      <c r="IB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Y92)*IA92)*(VLOOKUP(A92,tbMoveset!A2:C112,3,FALSE)/100)*IF(VLOOKUP(A92,tbMoveset!A2:B112,2,FALSE)="Projectile",Backdoors!N10,Backdoors!N9),0),"")</f>
        <v/>
      </c>
      <c r="IC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Y92&gt;=0.45,VLOOKUP(Calculator!E23,tbSkills!DH3:DI6,2,FALSE)+IF(AND(Calculator!B8=TRUE,Backdoors!BI36=TRUE),VLOOKUP(Calculator!E23,tbSkills!DH3:DJ6,3,FALSE),0),0))&gt;=100,100,(Backdoors!AI12+IF(HY92&gt;=0.45,VLOOKUP(Calculator!E23,tbSkills!DH3:DI6,2,FALSE)+IF(AND(Calculator!B8=TRUE,Backdoors!BI36=TRUE),VLOOKUP(Calculator!E23,tbSkills!DH3:DJ6,3,FALSE),0),0)))/100)),1))*IF(VLOOKUP(A92,tbMoveset!A2:K112,11,FALSE)=TRUE,Backdoors!AC5,1))*HZ92,0),"")</f>
        <v>0</v>
      </c>
      <c r="ID92" s="49">
        <f>VLOOKUP(A92,tbMoveset!A2:G112,7,FALSE)*IFERROR(IF(Backdoors!AI12&gt;=0,1+(IF(Calculator!E40&gt;0,VLOOKUP(Calculator!E40,tbSkills!AI3:AJ5,2,FALSE),Backdoors!AL4)*(IF((Backdoors!AI12+IF(HY92&gt;=0.45,VLOOKUP(Calculator!E23,tbSkills!DH3:DI6,2,FALSE)+IF(AND(Calculator!B8=TRUE,Backdoors!BI36=TRUE),VLOOKUP(Calculator!E23,tbSkills!DH3:DJ6,3,FALSE),0),0))&gt;=100,100,(Backdoors!AI12+IF(HY92&gt;=0.45,VLOOKUP(Calculator!E23,tbSkills!DH3:DI6,2,FALSE)+IF(AND(Calculator!B8=TRUE,Backdoors!BI36=TRUE),VLOOKUP(Calculator!E23,tbSkills!DH3:DJ6,3,FALSE),0),0)))/100)),1),1)</f>
        <v>0.7</v>
      </c>
      <c r="IE92" s="87">
        <f t="shared" si="84"/>
        <v>0</v>
      </c>
      <c r="IF92" s="86" t="str">
        <f>IFERROR(IF(VLOOKUP(A92,tbMoveset!A2:B112,2,FALSE)="Sever",Backdoors!AY37/100,IF(VLOOKUP(A92,tbMoveset!A2:B112,2,FALSE)="Blunt",Backdoors!AZ37/100,Backdoors!BA37/100)),"")</f>
        <v/>
      </c>
      <c r="IG92" s="49">
        <f>IFERROR(IF(VLOOKUP(tbMoveset!A92,tbMoveset!A2:H112,8,FALSE)="Other",IF(VLOOKUP(tbMoveset!A92,tbMoveset!A2:I112,9,FALSE)="Fire",Backdoors!BB37,IF(VLOOKUP(tbMoveset!A92,tbMoveset!A2:I112,9,FALSE)="Water",Backdoors!BC37,IF(VLOOKUP(tbMoveset!A92,tbMoveset!A2:I112,9,FALSE)="Thunder",Backdoors!BD37,IF(VLOOKUP(tbMoveset!A92,tbMoveset!A2:I112,9,FALSE)="Ice",Backdoors!BE37,IF(VLOOKUP(tbMoveset!A92,tbMoveset!A2:I112,9,FALSE)="Dragon",Backdoors!BF37,Backdoors!BG37)))))/100,Backdoors!BG37/100),"")</f>
        <v>0</v>
      </c>
      <c r="IH92" s="49">
        <f>IFERROR(IF(VLOOKUP(A92,tbMoveset!A2:J112,10,FALSE)=TRUE,IF((Backdoors!AI12+IF(IF92&gt;=0.45,VLOOKUP(Calculator!E23,tbSkills!DH3:DI6,2,FALSE)+IF(AND(Calculator!B8=TRUE,Backdoors!BI37=TRUE),VLOOKUP(Calculator!E23,tbSkills!DH3:DJ6,3,FALSE),0),0))&gt;=0,1+(Backdoors!AL2*(IF((Backdoors!AI12+IF(IF92&gt;=0.45,VLOOKUP(Calculator!E23,tbSkills!DH3:DI6,2,FALSE)+IF(AND(Calculator!B8=TRUE,Backdoors!BI37=TRUE),VLOOKUP(Calculator!E23,tbSkills!DH3:DJ6,3,FALSE),0),0))&gt;=100,100,(Backdoors!AI12+IF(IF92&gt;=0.45,VLOOKUP(Calculator!E23,tbSkills!DH3:DI6,2,FALSE)+IF(AND(Calculator!B8=TRUE,Backdoors!BI37=TRUE),VLOOKUP(Calculator!E23,tbSkills!DH3:DJ6,3,FALSE),0),0)))/100)),(1-(0.25*((-Backdoors!AI12-IF(IF92&gt;=0.45,VLOOKUP(Calculator!E23,tbSkills!DH3:DI6,2,FALSE)+IF(AND(Calculator!B8=TRUE,Backdoors!BI37=TRUE),VLOOKUP(Calculator!E23,tbSkills!DH3:DJ6,3,FALSE),0),0))/100)))),1),"")</f>
        <v>1</v>
      </c>
      <c r="II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F92)*IH92)*(VLOOKUP(A92,tbMoveset!A2:C112,3,FALSE)/100)*IF(VLOOKUP(A92,tbMoveset!A2:B112,2,FALSE)="Projectile",Backdoors!N10,Backdoors!N9),0),"")</f>
        <v/>
      </c>
      <c r="IJ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IF92&gt;=0.45,VLOOKUP(Calculator!E23,tbSkills!DH3:DI6,2,FALSE)+IF(AND(Calculator!B8=TRUE,Backdoors!BI37=TRUE),VLOOKUP(Calculator!E23,tbSkills!DH3:DJ6,3,FALSE),0),0))&gt;=100,100,(Backdoors!AI12+IF(IF92&gt;=0.45,VLOOKUP(Calculator!E23,tbSkills!DH3:DI6,2,FALSE)+IF(AND(Calculator!B8=TRUE,Backdoors!BI37=TRUE),VLOOKUP(Calculator!E23,tbSkills!DH3:DJ6,3,FALSE),0),0)))/100)),1))*IF(VLOOKUP(A92,tbMoveset!A2:K112,11,FALSE)=TRUE,Backdoors!AC5,1))*IG92,0),"")</f>
        <v>0</v>
      </c>
      <c r="IK92" s="49">
        <f>VLOOKUP(A92,tbMoveset!A2:G112,7,FALSE)*IFERROR(IF(Backdoors!AI12&gt;=0,1+(IF(Calculator!E40&gt;0,VLOOKUP(Calculator!E40,tbSkills!AI3:AJ5,2,FALSE),Backdoors!AL4)*(IF((Backdoors!AI12+IF(IF92&gt;=0.45,VLOOKUP(Calculator!E23,tbSkills!DH3:DI6,2,FALSE)+IF(AND(Calculator!B8=TRUE,Backdoors!BI37=TRUE),VLOOKUP(Calculator!E23,tbSkills!DH3:DJ6,3,FALSE),0),0))&gt;=100,100,(Backdoors!AI12+IF(IF92&gt;=0.45,VLOOKUP(Calculator!E23,tbSkills!DH3:DI6,2,FALSE)+IF(AND(Calculator!B8=TRUE,Backdoors!BI37=TRUE),VLOOKUP(Calculator!E23,tbSkills!DH3:DJ6,3,FALSE),0),0)))/100)),1),1)</f>
        <v>0.7</v>
      </c>
      <c r="IL92" s="87">
        <f t="shared" si="85"/>
        <v>0</v>
      </c>
      <c r="IM92" s="86" t="str">
        <f>IFERROR(IF(VLOOKUP(A92,tbMoveset!A2:B112,2,FALSE)="Sever",Backdoors!AY38/100,IF(VLOOKUP(A92,tbMoveset!A2:B112,2,FALSE)="Blunt",Backdoors!AZ38/100,Backdoors!BA38/100)),"")</f>
        <v/>
      </c>
      <c r="IN92" s="49">
        <f>IFERROR(IF(VLOOKUP(tbMoveset!A92,tbMoveset!A2:H112,8,FALSE)="Other",IF(VLOOKUP(tbMoveset!A92,tbMoveset!A2:I112,9,FALSE)="Fire",Backdoors!BB38,IF(VLOOKUP(tbMoveset!A92,tbMoveset!A2:I112,9,FALSE)="Water",Backdoors!BC38,IF(VLOOKUP(tbMoveset!A92,tbMoveset!A2:I112,9,FALSE)="Thunder",Backdoors!BD38,IF(VLOOKUP(tbMoveset!A92,tbMoveset!A2:I112,9,FALSE)="Ice",Backdoors!BE38,IF(VLOOKUP(tbMoveset!A92,tbMoveset!A2:I112,9,FALSE)="Dragon",Backdoors!BF38,Backdoors!BG38)))))/100,Backdoors!BG38/100),"")</f>
        <v>0</v>
      </c>
      <c r="IO92" s="49">
        <f>IFERROR(IF(VLOOKUP(A92,tbMoveset!A2:J112,10,FALSE)=TRUE,IF((Backdoors!AI12+IF(IM92&gt;=0.45,VLOOKUP(Calculator!E23,tbSkills!DH3:DI6,2,FALSE)+IF(AND(Calculator!B8=TRUE,Backdoors!BI38=TRUE),VLOOKUP(Calculator!E23,tbSkills!DH3:DJ6,3,FALSE),0),0))&gt;=0,1+(Backdoors!AL2*(IF((Backdoors!AI12+IF(IM92&gt;=0.45,VLOOKUP(Calculator!E23,tbSkills!DH3:DI6,2,FALSE)+IF(AND(Calculator!B8=TRUE,Backdoors!BI38=TRUE),VLOOKUP(Calculator!E23,tbSkills!DH3:DJ6,3,FALSE),0),0))&gt;=100,100,(Backdoors!AI12+IF(IM92&gt;=0.45,VLOOKUP(Calculator!E23,tbSkills!DH3:DI6,2,FALSE)+IF(AND(Calculator!B8=TRUE,Backdoors!BI38=TRUE),VLOOKUP(Calculator!E23,tbSkills!DH3:DJ6,3,FALSE),0),0)))/100)),(1-(0.25*((-Backdoors!AI12-IF(IM92&gt;=0.45,VLOOKUP(Calculator!E23,tbSkills!DH3:DI6,2,FALSE)+IF(AND(Calculator!B8=TRUE,Backdoors!BI38=TRUE),VLOOKUP(Calculator!E23,tbSkills!DH3:DJ6,3,FALSE),0),0))/100)))),1),"")</f>
        <v>1</v>
      </c>
      <c r="IP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M92)*IO92)*(VLOOKUP(A92,tbMoveset!A2:C112,3,FALSE)/100)*IF(VLOOKUP(A92,tbMoveset!A2:B112,2,FALSE)="Projectile",Backdoors!N10,Backdoors!N9),0),"")</f>
        <v/>
      </c>
      <c r="IQ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IM92&gt;=0.45,VLOOKUP(Calculator!E23,tbSkills!DH3:DI6,2,FALSE)+IF(AND(Calculator!B8=TRUE,Backdoors!BI38=TRUE),VLOOKUP(Calculator!E23,tbSkills!DH3:DJ6,3,FALSE),0),0))&gt;=100,100,(Backdoors!AI12+IF(IM92&gt;=0.45,VLOOKUP(Calculator!E23,tbSkills!DH3:DI6,2,FALSE)+IF(AND(Calculator!B8=TRUE,Backdoors!BI38=TRUE),VLOOKUP(Calculator!E23,tbSkills!DH3:DJ6,3,FALSE),0),0)))/100)),1))*IF(VLOOKUP(A92,tbMoveset!A2:K112,11,FALSE)=TRUE,Backdoors!AC5,1))*IN92,0),"")</f>
        <v>0</v>
      </c>
      <c r="IR92" s="49">
        <f>VLOOKUP(A92,tbMoveset!A2:G112,7,FALSE)*IFERROR(IF(Backdoors!AI12&gt;=0,1+(IF(Calculator!E40&gt;0,VLOOKUP(Calculator!E40,tbSkills!AI3:AJ5,2,FALSE),Backdoors!AL4)*(IF((Backdoors!AI12+IF(IM92&gt;=0.45,VLOOKUP(Calculator!E23,tbSkills!DH3:DI6,2,FALSE)+IF(AND(Calculator!B8=TRUE,Backdoors!BI38=TRUE),VLOOKUP(Calculator!E23,tbSkills!DH3:DJ6,3,FALSE),0),0))&gt;=100,100,(Backdoors!AI12+IF(IM92&gt;=0.45,VLOOKUP(Calculator!E23,tbSkills!DH3:DI6,2,FALSE)+IF(AND(Calculator!B8=TRUE,Backdoors!BI38=TRUE),VLOOKUP(Calculator!E23,tbSkills!DH3:DJ6,3,FALSE),0),0)))/100)),1),1)</f>
        <v>0.7</v>
      </c>
      <c r="IS92" s="87">
        <f t="shared" si="86"/>
        <v>0</v>
      </c>
      <c r="IT92" s="86" t="str">
        <f>IFERROR(IF(VLOOKUP(A92,tbMoveset!A2:B112,2,FALSE)="Sever",Backdoors!AY39/100,IF(VLOOKUP(A92,tbMoveset!A2:B112,2,FALSE)="Blunt",Backdoors!AZ39/100,Backdoors!BA39/100)),"")</f>
        <v/>
      </c>
      <c r="IU92" s="49">
        <f>IFERROR(IF(VLOOKUP(tbMoveset!A92,tbMoveset!A2:H112,8,FALSE)="Other",IF(VLOOKUP(tbMoveset!A92,tbMoveset!A2:I112,9,FALSE)="Fire",Backdoors!BB39,IF(VLOOKUP(tbMoveset!A92,tbMoveset!A2:I112,9,FALSE)="Water",Backdoors!BC39,IF(VLOOKUP(tbMoveset!A92,tbMoveset!A2:I112,9,FALSE)="Thunder",Backdoors!BD39,IF(VLOOKUP(tbMoveset!A92,tbMoveset!A2:I112,9,FALSE)="Ice",Backdoors!BE39,IF(VLOOKUP(tbMoveset!A92,tbMoveset!A2:I112,9,FALSE)="Dragon",Backdoors!BF39,Backdoors!BG39)))))/100,Backdoors!BG39/100),"")</f>
        <v>0</v>
      </c>
      <c r="IV92" s="49">
        <f>IFERROR(IF(VLOOKUP(A92,tbMoveset!A2:J112,10,FALSE)=TRUE,IF((Backdoors!AI12+IF(IT92&gt;=0.45,VLOOKUP(Calculator!E23,tbSkills!DH3:DI6,2,FALSE)+IF(AND(Calculator!B8=TRUE,Backdoors!BI39=TRUE),VLOOKUP(Calculator!E23,tbSkills!DH3:DJ6,3,FALSE),0),0))&gt;=0,1+(Backdoors!AL2*(IF((Backdoors!AI12+IF(IT92&gt;=0.45,VLOOKUP(Calculator!E23,tbSkills!DH3:DI6,2,FALSE)+IF(AND(Calculator!B8=TRUE,Backdoors!BI39=TRUE),VLOOKUP(Calculator!E23,tbSkills!DH3:DJ6,3,FALSE),0),0))&gt;=100,100,(Backdoors!AI12+IF(IT92&gt;=0.45,VLOOKUP(Calculator!E23,tbSkills!DH3:DI6,2,FALSE)+IF(AND(Calculator!B8=TRUE,Backdoors!BI39=TRUE),VLOOKUP(Calculator!E23,tbSkills!DH3:DJ6,3,FALSE),0),0)))/100)),(1-(0.25*((-Backdoors!AI12-IF(IT92&gt;=0.45,VLOOKUP(Calculator!E23,tbSkills!DH3:DI6,2,FALSE)+IF(AND(Calculator!B8=TRUE,Backdoors!BI39=TRUE),VLOOKUP(Calculator!E23,tbSkills!DH3:DJ6,3,FALSE),0),0))/100)))),1),"")</f>
        <v>1</v>
      </c>
      <c r="IW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T92)*IV92)*(VLOOKUP(A92,tbMoveset!A2:C112,3,FALSE)/100)*IF(VLOOKUP(A92,tbMoveset!A2:B112,2,FALSE)="Projectile",Backdoors!N10,Backdoors!N9),0),"")</f>
        <v/>
      </c>
      <c r="IX92" s="49">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40&gt;0,VLOOKUP(Calculator!E40,tbSkills!AC3:AD5,2,FALSE),Backdoors!AL3)*(IF((Backdoors!AI12+IF(IT92&gt;=0.45,VLOOKUP(Calculator!E23,tbSkills!DH3:DI6,2,FALSE)+IF(AND(Calculator!B8=TRUE,Backdoors!BI39=TRUE),VLOOKUP(Calculator!E23,tbSkills!DH3:DJ6,3,FALSE),0),0))&gt;=100,100,(Backdoors!AI12+IF(IT92&gt;=0.45,VLOOKUP(Calculator!E23,tbSkills!DH3:DI6,2,FALSE)+IF(AND(Calculator!B8=TRUE,Backdoors!BI39=TRUE),VLOOKUP(Calculator!E23,tbSkills!DH3:DJ6,3,FALSE),0),0)))/100)),1))*IF(VLOOKUP(A92,tbMoveset!A2:K112,11,FALSE)=TRUE,Backdoors!AC5,1))*IU92,0),"")</f>
        <v>0</v>
      </c>
      <c r="IY92" s="49">
        <f>VLOOKUP(A92,tbMoveset!A2:G112,7,FALSE)*IFERROR(IF(Backdoors!AI12&gt;=0,1+(IF(Calculator!E40&gt;0,VLOOKUP(Calculator!E40,tbSkills!AI3:AJ5,2,FALSE),Backdoors!AL4)*(IF((Backdoors!AI12+IF(IT92&gt;=0.45,VLOOKUP(Calculator!E23,tbSkills!DH3:DI6,2,FALSE)+IF(AND(Calculator!B8=TRUE,Backdoors!BI39=TRUE),VLOOKUP(Calculator!E23,tbSkills!DH3:DJ6,3,FALSE),0),0))&gt;=100,100,(Backdoors!AI12+IF(IT92&gt;=0.45,VLOOKUP(Calculator!E23,tbSkills!DH3:DI6,2,FALSE)+IF(AND(Calculator!B8=TRUE,Backdoors!BI39=TRUE),VLOOKUP(Calculator!E23,tbSkills!DH3:DJ6,3,FALSE),0),0)))/100)),1),1)</f>
        <v>0.7</v>
      </c>
      <c r="IZ92" s="87">
        <f t="shared" si="87"/>
        <v>0</v>
      </c>
      <c r="JA92" s="86" t="str">
        <f>IFERROR(IF(VLOOKUP(A92,tbMoveset!A2:B112,2,FALSE)="Sever",Backdoors!AY40/100,IF(VLOOKUP(A92,tbMoveset!A2:B112,2,FALSE)="Blunt",Backdoors!AZ40/100,Backdoors!BA40/100)),"")</f>
        <v/>
      </c>
      <c r="JB92" s="49">
        <f>IFERROR(IF(VLOOKUP(tbMoveset!A92,tbMoveset!A2:H112,8,FALSE)="Other",IF(VLOOKUP(tbMoveset!A92,tbMoveset!A2:I112,9,FALSE)="Fire",Backdoors!BB40,IF(VLOOKUP(tbMoveset!A92,tbMoveset!A2:I112,9,FALSE)="Water",Backdoors!BC40,IF(VLOOKUP(tbMoveset!A92,tbMoveset!A2:I112,9,FALSE)="Thunder",Backdoors!BD40,IF(VLOOKUP(tbMoveset!A92,tbMoveset!A2:I112,9,FALSE)="Ice",Backdoors!BE40,IF(VLOOKUP(tbMoveset!A92,tbMoveset!A2:I112,9,FALSE)="Dragon",Backdoors!BF40,Backdoors!BG40)))))/100,Backdoors!BG40/100),"")</f>
        <v>0</v>
      </c>
      <c r="JC92" s="49">
        <f>IFERROR(IF(VLOOKUP(A92,tbMoveset!A2:J112,10,FALSE)=TRUE,IF((Backdoors!AI12+IF(JA92&gt;=0.45,VLOOKUP(Calculator!E23,tbSkills!DH3:DI6,2,FALSE)+IF(AND(Calculator!B8=TRUE,Backdoors!BI40=TRUE),VLOOKUP(Calculator!E23,tbSkills!DH3:DJ6,3,FALSE),0),0))&gt;=0,1+(Backdoors!AL2*(IF((Backdoors!AI12+IF(JA92&gt;=0.45,VLOOKUP(Calculator!E23,tbSkills!DH3:DI6,2,FALSE)+IF(AND(Calculator!B8=TRUE,Backdoors!BI40=TRUE),VLOOKUP(Calculator!E23,tbSkills!DH3:DJ6,3,FALSE),0),0))&gt;=100,100,(Backdoors!AI12+IF(JA92&gt;=0.45,VLOOKUP(Calculator!E23,tbSkills!DH3:DI6,2,FALSE)+IF(AND(Calculator!B8=TRUE,Backdoors!BI40=TRUE),VLOOKUP(Calculator!E23,tbSkills!DH3:DJ6,3,FALSE),0),0)))/100)),(1-(0.25*((-Backdoors!AI12-IF(JA92&gt;=0.45,VLOOKUP(Calculator!E23,tbSkills!DH3:DI6,2,FALSE)+IF(AND(Calculator!B8=TRUE,Backdoors!BI40=TRUE),VLOOKUP(Calculator!E23,tbSkills!DH3:DJ6,3,FALSE),0),0))/100)))),1),"")</f>
        <v>1</v>
      </c>
      <c r="JD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A92)*JC92)*(VLOOKUP(A92,tbMoveset!A2:C112,3,FALSE)/100)*IF(VLOOKUP(A92,tbMoveset!A2:B112,2,FALSE)="Projectile",Backdoors!N10,Backdoors!N9),0),"")</f>
        <v/>
      </c>
      <c r="JE92" s="49">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42&gt;0,VLOOKUP(Calculator!E42,tbSkills!AC3:AD5,2,FALSE),Backdoors!AL3)*(IF((Backdoors!AI12+IF(JA92&gt;=0.45,VLOOKUP(Calculator!E23,tbSkills!DH3:DI6,2,FALSE)+IF(AND(Calculator!B8=TRUE,Backdoors!BI40=TRUE),VLOOKUP(Calculator!E23,tbSkills!DH3:DJ6,3,FALSE),0),0))&gt;=100,100,(Backdoors!AI12+IF(JA92&gt;=0.45,VLOOKUP(Calculator!E23,tbSkills!DH3:DI6,2,FALSE)+IF(AND(Calculator!B8=TRUE,Backdoors!BI40=TRUE),VLOOKUP(Calculator!E23,tbSkills!DH3:DJ6,3,FALSE),0),0)))/100)),1))*IF(VLOOKUP(A92,tbMoveset!A2:K112,11,FALSE)=TRUE,Backdoors!AC5,1))*JB92,0),"")</f>
        <v>0</v>
      </c>
      <c r="JF92" s="49">
        <f>VLOOKUP(A92,tbMoveset!A2:G112,7,FALSE)*IFERROR(IF(Backdoors!AI12&gt;=0,1+(IF(Calculator!E40&gt;0,VLOOKUP(Calculator!E40,tbSkills!AI3:AJ5,2,FALSE),Backdoors!AL4)*(IF((Backdoors!AI12+IF(JA92&gt;=0.45,VLOOKUP(Calculator!E23,tbSkills!DH3:DI6,2,FALSE)+IF(AND(Calculator!B8=TRUE,Backdoors!BI40=TRUE),VLOOKUP(Calculator!E23,tbSkills!DH3:DJ6,3,FALSE),0),0))&gt;=100,100,(Backdoors!AI12+IF(JA92&gt;=0.45,VLOOKUP(Calculator!E23,tbSkills!DH3:DI6,2,FALSE)+IF(AND(Calculator!B8=TRUE,Backdoors!BI40=TRUE),VLOOKUP(Calculator!E23,tbSkills!DH3:DJ6,3,FALSE),0),0)))/100)),1),1)</f>
        <v>0.7</v>
      </c>
      <c r="JG92" s="87">
        <f t="shared" si="88"/>
        <v>0</v>
      </c>
      <c r="JH92" s="86" t="str">
        <f>IFERROR(IF(VLOOKUP(A92,tbMoveset!A2:B112,2,FALSE)="Sever",Backdoors!AY41/100,IF(VLOOKUP(A92,tbMoveset!A2:B112,2,FALSE)="Blunt",Backdoors!AZ41/100,Backdoors!BA41/100)),"")</f>
        <v/>
      </c>
      <c r="JI92" s="49">
        <f>IFERROR(IF(VLOOKUP(tbMoveset!A92,tbMoveset!A2:H112,8,FALSE)="Other",IF(VLOOKUP(tbMoveset!A92,tbMoveset!A2:I112,9,FALSE)="Fire",Backdoors!BB41,IF(VLOOKUP(tbMoveset!A92,tbMoveset!A2:I112,9,FALSE)="Water",Backdoors!BC41,IF(VLOOKUP(tbMoveset!A92,tbMoveset!A2:I112,9,FALSE)="Thunder",Backdoors!BD41,IF(VLOOKUP(tbMoveset!A92,tbMoveset!A2:I112,9,FALSE)="Ice",Backdoors!BE41,IF(VLOOKUP(tbMoveset!A92,tbMoveset!A2:I112,9,FALSE)="Dragon",Backdoors!BF41,Backdoors!BG41)))))/100,Backdoors!BG41/100),"")</f>
        <v>0</v>
      </c>
      <c r="JJ92" s="49">
        <f>IFERROR(IF(VLOOKUP(A92,tbMoveset!A2:J112,10,FALSE)=TRUE,IF((Backdoors!AI12+IF(JH92&gt;=0.45,VLOOKUP(Calculator!E23,tbSkills!DH3:DI6,2,FALSE)+IF(AND(Calculator!B8=TRUE,Backdoors!BI41=TRUE),VLOOKUP(Calculator!E23,tbSkills!DH3:DJ6,3,FALSE),0),0))&gt;=0,1+(Backdoors!AL2*(IF((Backdoors!AI12+IF(JH92&gt;=0.45,VLOOKUP(Calculator!E23,tbSkills!DH3:DI6,2,FALSE)+IF(AND(Calculator!B8=TRUE,Backdoors!BI41=TRUE),VLOOKUP(Calculator!E23,tbSkills!DH3:DJ6,3,FALSE),0),0))&gt;=100,100,(Backdoors!AI12+IF(JH92&gt;=0.45,VLOOKUP(Calculator!E23,tbSkills!DH3:DI6,2,FALSE)+IF(AND(Calculator!B8=TRUE,Backdoors!BI41=TRUE),VLOOKUP(Calculator!E23,tbSkills!DH3:DJ6,3,FALSE),0),0)))/100)),(1-(0.25*((-Backdoors!AI12-IF(JH92&gt;=0.45,VLOOKUP(Calculator!E23,tbSkills!DH3:DI6,2,FALSE)+IF(AND(Calculator!B8=TRUE,Backdoors!BI41=TRUE),VLOOKUP(Calculator!E23,tbSkills!DH3:DJ6,3,FALSE),0),0))/100)))),1),"")</f>
        <v>1</v>
      </c>
      <c r="JK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H92)*JJ92)*(VLOOKUP(A92,tbMoveset!A2:C112,3,FALSE)/100)*IF(VLOOKUP(A92,tbMoveset!A2:B112,2,FALSE)="Projectile",Backdoors!N10,Backdoors!N9),0),"")</f>
        <v/>
      </c>
      <c r="JL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43&gt;0,VLOOKUP(Calculator!E43,tbSkills!AC3:AD5,2,FALSE),Backdoors!AL3)*(IF((Backdoors!AI12+IF(JH92&gt;=0.45,VLOOKUP(Calculator!E23,tbSkills!DH3:DI6,2,FALSE)+IF(AND(Calculator!B8=TRUE,Backdoors!BI41=TRUE),VLOOKUP(Calculator!E23,tbSkills!DH3:DJ6,3,FALSE),0),0))&gt;=100,100,(Backdoors!AI12+IF(JH92&gt;=0.45,VLOOKUP(Calculator!E23,tbSkills!DH3:DI6,2,FALSE)+IF(AND(Calculator!B8=TRUE,Backdoors!BI41=TRUE),VLOOKUP(Calculator!E23,tbSkills!DH3:DJ6,3,FALSE),0),0)))/100)),1))*IF(VLOOKUP(A92,tbMoveset!A2:K112,11,FALSE)=TRUE,Backdoors!AC5,1))*JI92,0),"")</f>
        <v/>
      </c>
      <c r="JM92" s="49">
        <f>VLOOKUP(A92,tbMoveset!A2:G112,7,FALSE)*IFERROR(IF(Backdoors!AI12&gt;=0,1+(IF(Calculator!E40&gt;0,VLOOKUP(Calculator!E40,tbSkills!AI3:AJ5,2,FALSE),Backdoors!AL4)*(IF((Backdoors!AI12+IF(JH92&gt;=0.45,VLOOKUP(Calculator!E23,tbSkills!DH3:DI6,2,FALSE)+IF(AND(Calculator!B8=TRUE,Backdoors!BI41=TRUE),VLOOKUP(Calculator!E23,tbSkills!DH3:DJ6,3,FALSE),0),0))&gt;=100,100,(Backdoors!AI12+IF(JH92&gt;=0.45,VLOOKUP(Calculator!E23,tbSkills!DH3:DI6,2,FALSE)+IF(AND(Calculator!B8=TRUE,Backdoors!BI41=TRUE),VLOOKUP(Calculator!E23,tbSkills!DH3:DJ6,3,FALSE),0),0)))/100)),1),1)</f>
        <v>0.7</v>
      </c>
      <c r="JN92" s="87">
        <f t="shared" si="89"/>
        <v>0</v>
      </c>
      <c r="JO92" s="86" t="str">
        <f>IFERROR(IF(VLOOKUP(A92,tbMoveset!A2:B112,2,FALSE)="Sever",Backdoors!AY42/100,IF(VLOOKUP(A92,tbMoveset!A2:B112,2,FALSE)="Blunt",Backdoors!AZ42/100,Backdoors!BA42/100)),"")</f>
        <v/>
      </c>
      <c r="JP92" s="49">
        <f>IFERROR(IF(VLOOKUP(tbMoveset!A92,tbMoveset!A2:H112,8,FALSE)="Other",IF(VLOOKUP(tbMoveset!A92,tbMoveset!A2:I112,9,FALSE)="Fire",Backdoors!BB42,IF(VLOOKUP(tbMoveset!A92,tbMoveset!A2:I112,9,FALSE)="Water",Backdoors!BC42,IF(VLOOKUP(tbMoveset!A92,tbMoveset!A2:I112,9,FALSE)="Thunder",Backdoors!BD42,IF(VLOOKUP(tbMoveset!A92,tbMoveset!A2:I112,9,FALSE)="Ice",Backdoors!BE42,IF(VLOOKUP(tbMoveset!A92,tbMoveset!A2:I112,9,FALSE)="Dragon",Backdoors!BF42,Backdoors!BG42)))))/100,Backdoors!BG42/100),"")</f>
        <v>0</v>
      </c>
      <c r="JQ92" s="49">
        <f>IFERROR(IF(VLOOKUP(A92,tbMoveset!A2:J112,10,FALSE)=TRUE,IF((Backdoors!AI12+IF(JO92&gt;=0.45,VLOOKUP(Calculator!E23,tbSkills!DH3:DI6,2,FALSE)+IF(AND(Calculator!B8=TRUE,Backdoors!BI42=TRUE),VLOOKUP(Calculator!E23,tbSkills!DH3:DJ6,3,FALSE),0),0))&gt;=0,1+(Backdoors!AL2*(IF((Backdoors!AI12+IF(JO92&gt;=0.45,VLOOKUP(Calculator!E23,tbSkills!DH3:DI6,2,FALSE)+IF(AND(Calculator!B8=TRUE,Backdoors!BI42=TRUE),VLOOKUP(Calculator!E23,tbSkills!DH3:DJ6,3,FALSE),0),0))&gt;=100,100,(Backdoors!AI12+IF(JO92&gt;=0.45,VLOOKUP(Calculator!E23,tbSkills!DH3:DI6,2,FALSE)+IF(AND(Calculator!B8=TRUE,Backdoors!BI42=TRUE),VLOOKUP(Calculator!E23,tbSkills!DH3:DJ6,3,FALSE),0),0)))/100)),(1-(0.25*((-Backdoors!AI12-IF(JO92&gt;=0.45,VLOOKUP(Calculator!E23,tbSkills!DH3:DI6,2,FALSE)+IF(AND(Calculator!B8=TRUE,Backdoors!BI42=TRUE),VLOOKUP(Calculator!E23,tbSkills!DH3:DJ6,3,FALSE),0),0))/100)))),1),"")</f>
        <v>1</v>
      </c>
      <c r="JR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O92)*JQ92)*(VLOOKUP(A92,tbMoveset!A2:C112,3,FALSE)/100)*IF(VLOOKUP(A92,tbMoveset!A2:B112,2,FALSE)="Projectile",Backdoors!N10,Backdoors!N9),0),"")</f>
        <v/>
      </c>
      <c r="JS92" s="49">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45&gt;0,VLOOKUP(Calculator!E45,tbSkills!AC3:AD5,2,FALSE),Backdoors!AL3)*(IF((Backdoors!AI12+IF(JO92&gt;=0.45,VLOOKUP(Calculator!E23,tbSkills!DH3:DI6,2,FALSE)+IF(AND(Calculator!B8=TRUE,Backdoors!BI42=TRUE),VLOOKUP(Calculator!E23,tbSkills!DH3:DJ6,3,FALSE),0),0))&gt;=100,100,(Backdoors!AI12+IF(JO92&gt;=0.45,VLOOKUP(Calculator!E23,tbSkills!DH3:DI6,2,FALSE)+IF(AND(Calculator!B8=TRUE,Backdoors!BI42=TRUE),VLOOKUP(Calculator!E23,tbSkills!DH3:DJ6,3,FALSE),0),0)))/100)),1))*IF(VLOOKUP(A92,tbMoveset!A2:K112,11,FALSE)=TRUE,Backdoors!AC5,1))*JP92,0),"")</f>
        <v>0</v>
      </c>
      <c r="JT92" s="49">
        <f>VLOOKUP(A92,tbMoveset!A2:G112,7,FALSE)*IFERROR(IF(Backdoors!AI12&gt;=0,1+(IF(Calculator!E40&gt;0,VLOOKUP(Calculator!E40,tbSkills!AI3:AJ5,2,FALSE),Backdoors!AL4)*(IF((Backdoors!AI12+IF(JO92&gt;=0.45,VLOOKUP(Calculator!E23,tbSkills!DH3:DI6,2,FALSE)+IF(AND(Calculator!B8=TRUE,Backdoors!BI42=TRUE),VLOOKUP(Calculator!E23,tbSkills!DH3:DJ6,3,FALSE),0),0))&gt;=100,100,(Backdoors!AI12+IF(JO92&gt;=0.45,VLOOKUP(Calculator!E23,tbSkills!DH3:DI6,2,FALSE)+IF(AND(Calculator!B8=TRUE,Backdoors!BI42=TRUE),VLOOKUP(Calculator!E23,tbSkills!DH3:DJ6,3,FALSE),0),0)))/100)),1),1)</f>
        <v>0.7</v>
      </c>
      <c r="JU92" s="87">
        <f t="shared" si="90"/>
        <v>0</v>
      </c>
      <c r="JV92" s="86" t="str">
        <f>IFERROR(IF(VLOOKUP(A92,tbMoveset!A2:B112,2,FALSE)="Sever",Backdoors!AY43/100,IF(VLOOKUP(A92,tbMoveset!A2:B112,2,FALSE)="Blunt",Backdoors!AZ43/100,Backdoors!BA43/100)),"")</f>
        <v/>
      </c>
      <c r="JW92" s="49">
        <f>IFERROR(IF(VLOOKUP(tbMoveset!A92,tbMoveset!A2:H112,8,FALSE)="Other",IF(VLOOKUP(tbMoveset!A92,tbMoveset!A2:I112,9,FALSE)="Fire",Backdoors!BB43,IF(VLOOKUP(tbMoveset!A92,tbMoveset!A2:I112,9,FALSE)="Water",Backdoors!BC43,IF(VLOOKUP(tbMoveset!A92,tbMoveset!A2:I112,9,FALSE)="Thunder",Backdoors!BD43,IF(VLOOKUP(tbMoveset!A92,tbMoveset!A2:I112,9,FALSE)="Ice",Backdoors!BE43,IF(VLOOKUP(tbMoveset!A92,tbMoveset!A2:I112,9,FALSE)="Dragon",Backdoors!BF43,Backdoors!BG43)))))/100,Backdoors!BG43/100),"")</f>
        <v>0</v>
      </c>
      <c r="JX92" s="49">
        <f>IFERROR(IF(VLOOKUP(A92,tbMoveset!A2:J112,10,FALSE)=TRUE,IF((Backdoors!AI12+IF(JV92&gt;=0.45,VLOOKUP(Calculator!E23,tbSkills!DH3:DI6,2,FALSE)+IF(AND(Calculator!B8=TRUE,Backdoors!BI43=TRUE),VLOOKUP(Calculator!E23,tbSkills!DH3:DJ6,3,FALSE),0),0))&gt;=0,1+(Backdoors!AL2*(IF((Backdoors!AI12+IF(JV92&gt;=0.45,VLOOKUP(Calculator!E23,tbSkills!DH3:DI6,2,FALSE)+IF(AND(Calculator!B8=TRUE,Backdoors!BI43=TRUE),VLOOKUP(Calculator!E23,tbSkills!DH3:DJ6,3,FALSE),0),0))&gt;=100,100,(Backdoors!AI12+IF(JV92&gt;=0.45,VLOOKUP(Calculator!E23,tbSkills!DH3:DI6,2,FALSE)+IF(AND(Calculator!B8=TRUE,Backdoors!BI43=TRUE),VLOOKUP(Calculator!E23,tbSkills!DH3:DJ6,3,FALSE),0),0)))/100)),(1-(0.25*((-Backdoors!AI12-IF(JV92&gt;=0.45,VLOOKUP(Calculator!E23,tbSkills!DH3:DI6,2,FALSE)+IF(AND(Calculator!B8=TRUE,Backdoors!BI43=TRUE),VLOOKUP(Calculator!E23,tbSkills!DH3:DJ6,3,FALSE),0),0))/100)))),1),"")</f>
        <v>1</v>
      </c>
      <c r="JY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V92)*JX92)*(VLOOKUP(A92,tbMoveset!A2:C112,3,FALSE)/100)*IF(VLOOKUP(A92,tbMoveset!A2:B112,2,FALSE)="Projectile",Backdoors!N10,Backdoors!N9),0),"")</f>
        <v/>
      </c>
      <c r="JZ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46&gt;0,VLOOKUP(Calculator!E46,tbSkills!AC3:AD5,2,FALSE),Backdoors!AL3)*(IF((Backdoors!AI12+IF(JV92&gt;=0.45,VLOOKUP(Calculator!E23,tbSkills!DH3:DI6,2,FALSE)+IF(AND(Calculator!B8=TRUE,Backdoors!BI43=TRUE),VLOOKUP(Calculator!E23,tbSkills!DH3:DJ6,3,FALSE),0),0))&gt;=100,100,(Backdoors!AI12+IF(JV92&gt;=0.45,VLOOKUP(Calculator!E23,tbSkills!DH3:DI6,2,FALSE)+IF(AND(Calculator!B8=TRUE,Backdoors!BI43=TRUE),VLOOKUP(Calculator!E23,tbSkills!DH3:DJ6,3,FALSE),0),0)))/100)),1))*IF(VLOOKUP(A92,tbMoveset!A2:K112,11,FALSE)=TRUE,Backdoors!AC5,1))*JW92,0),"")</f>
        <v/>
      </c>
      <c r="KA92" s="49">
        <f>VLOOKUP(A92,tbMoveset!A2:G112,7,FALSE)*IFERROR(IF(Backdoors!AI12&gt;=0,1+(IF(Calculator!E40&gt;0,VLOOKUP(Calculator!E40,tbSkills!AI3:AJ5,2,FALSE),Backdoors!AL4)*(IF((Backdoors!AI12+IF(JV92&gt;=0.45,VLOOKUP(Calculator!E23,tbSkills!DH3:DI6,2,FALSE)+IF(AND(Calculator!B8=TRUE,Backdoors!BI43=TRUE),VLOOKUP(Calculator!E23,tbSkills!DH3:DJ6,3,FALSE),0),0))&gt;=100,100,(Backdoors!AI12+IF(JV92&gt;=0.45,VLOOKUP(Calculator!E23,tbSkills!DH3:DI6,2,FALSE)+IF(AND(Calculator!B8=TRUE,Backdoors!BI43=TRUE),VLOOKUP(Calculator!E23,tbSkills!DH3:DJ6,3,FALSE),0),0)))/100)),1),1)</f>
        <v>0.7</v>
      </c>
      <c r="KB92" s="87">
        <f t="shared" si="91"/>
        <v>0</v>
      </c>
      <c r="KC92" s="86" t="str">
        <f>IFERROR(IF(VLOOKUP(A92,tbMoveset!A2:B112,2,FALSE)="Sever",Backdoors!AY44/100,IF(VLOOKUP(A92,tbMoveset!A2:B112,2,FALSE)="Blunt",Backdoors!AZ44/100,Backdoors!BA44/100)),"")</f>
        <v/>
      </c>
      <c r="KD92" s="49">
        <f>IFERROR(IF(VLOOKUP(tbMoveset!A92,tbMoveset!A2:H112,8,FALSE)="Other",IF(VLOOKUP(tbMoveset!A92,tbMoveset!A2:I112,9,FALSE)="Fire",Backdoors!BB44,IF(VLOOKUP(tbMoveset!A92,tbMoveset!A2:I112,9,FALSE)="Water",Backdoors!BC44,IF(VLOOKUP(tbMoveset!A92,tbMoveset!A2:I112,9,FALSE)="Thunder",Backdoors!BD44,IF(VLOOKUP(tbMoveset!A92,tbMoveset!A2:I112,9,FALSE)="Ice",Backdoors!BE44,IF(VLOOKUP(tbMoveset!A92,tbMoveset!A2:I112,9,FALSE)="Dragon",Backdoors!BF44,Backdoors!BG44)))))/100,Backdoors!BG44/100),"")</f>
        <v>0</v>
      </c>
      <c r="KE92" s="49">
        <f>IFERROR(IF(VLOOKUP(A92,tbMoveset!A2:J112,10,FALSE)=TRUE,IF((Backdoors!AI12+IF(KC92&gt;=0.45,VLOOKUP(Calculator!E23,tbSkills!DH3:DI6,2,FALSE)+IF(AND(Calculator!B8=TRUE,Backdoors!BI44=TRUE),VLOOKUP(Calculator!E23,tbSkills!DH3:DJ6,3,FALSE),0),0))&gt;=0,1+(Backdoors!AL2*(IF((Backdoors!AI12+IF(KC92&gt;=0.45,VLOOKUP(Calculator!E23,tbSkills!DH3:DI6,2,FALSE)+IF(AND(Calculator!B8=TRUE,Backdoors!BI44=TRUE),VLOOKUP(Calculator!E23,tbSkills!DH3:DJ6,3,FALSE),0),0))&gt;=100,100,(Backdoors!AI12+IF(KC92&gt;=0.45,VLOOKUP(Calculator!E23,tbSkills!DH3:DI6,2,FALSE)+IF(AND(Calculator!B8=TRUE,Backdoors!BI44=TRUE),VLOOKUP(Calculator!E23,tbSkills!DH3:DJ6,3,FALSE),0),0)))/100)),(1-(0.25*((-Backdoors!AI12-IF(KC92&gt;=0.45,VLOOKUP(Calculator!E23,tbSkills!DH3:DI6,2,FALSE)+IF(AND(Calculator!B8=TRUE,Backdoors!BI44=TRUE),VLOOKUP(Calculator!E23,tbSkills!DH3:DJ6,3,FALSE),0),0))/100)))),1),"")</f>
        <v>1</v>
      </c>
      <c r="KF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KC92)*KE92)*(VLOOKUP(A92,tbMoveset!A2:C112,3,FALSE)/100)*IF(VLOOKUP(A92,tbMoveset!A2:B112,2,FALSE)="Projectile",Backdoors!N10,Backdoors!N9),0),"")</f>
        <v/>
      </c>
      <c r="KG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REF!&gt;0,VLOOKUP(Calculator!#REF!,tbSkills!AC3:AD5,2,FALSE),Backdoors!AL3)*(IF((Backdoors!AI12+IF(KC92&gt;=0.45,VLOOKUP(Calculator!E23,tbSkills!DH3:DI6,2,FALSE)+IF(AND(Calculator!B8=TRUE,Backdoors!BI44=TRUE),VLOOKUP(Calculator!E23,tbSkills!DH3:DJ6,3,FALSE),0),0))&gt;=100,100,(Backdoors!AI12+IF(KC92&gt;=0.45,VLOOKUP(Calculator!E23,tbSkills!DH3:DI6,2,FALSE)+IF(AND(Calculator!B8=TRUE,Backdoors!BI44=TRUE),VLOOKUP(Calculator!E23,tbSkills!DH3:DJ6,3,FALSE),0),0)))/100)),1))*IF(VLOOKUP(A92,tbMoveset!A2:K112,11,FALSE)=TRUE,Backdoors!AC5,1))*KD92,0),"")</f>
        <v/>
      </c>
      <c r="KH92" s="49">
        <f>VLOOKUP(A92,tbMoveset!A2:G112,7,FALSE)*IFERROR(IF(Backdoors!AI12&gt;=0,1+(IF(Calculator!E40&gt;0,VLOOKUP(Calculator!E40,tbSkills!AI3:AJ5,2,FALSE),Backdoors!AL4)*(IF((Backdoors!AI12+IF(KC92&gt;=0.45,VLOOKUP(Calculator!E23,tbSkills!DH3:DI6,2,FALSE)+IF(AND(Calculator!B8=TRUE,Backdoors!BI44=TRUE),VLOOKUP(Calculator!E23,tbSkills!DH3:DJ6,3,FALSE),0),0))&gt;=100,100,(Backdoors!AI12+IF(KC92&gt;=0.45,VLOOKUP(Calculator!E23,tbSkills!DH3:DI6,2,FALSE)+IF(AND(Calculator!B8=TRUE,Backdoors!BI44=TRUE),VLOOKUP(Calculator!E23,tbSkills!DH3:DJ6,3,FALSE),0),0)))/100)),1),1)</f>
        <v>0.7</v>
      </c>
      <c r="KI92" s="87">
        <f t="shared" si="92"/>
        <v>0</v>
      </c>
      <c r="KJ92" s="86" t="str">
        <f>IFERROR(IF(VLOOKUP(A92,tbMoveset!A2:B112,2,FALSE)="Sever",Backdoors!AY45/100,IF(VLOOKUP(A92,tbMoveset!A2:B112,2,FALSE)="Blunt",Backdoors!AZ45/100,Backdoors!BA45/100)),"")</f>
        <v/>
      </c>
      <c r="KK92" s="49">
        <f>IFERROR(IF(VLOOKUP(tbMoveset!A92,tbMoveset!A2:H112,8,FALSE)="Other",IF(VLOOKUP(tbMoveset!A92,tbMoveset!A2:I112,9,FALSE)="Fire",Backdoors!BB45,IF(VLOOKUP(tbMoveset!A92,tbMoveset!A2:I112,9,FALSE)="Water",Backdoors!BC45,IF(VLOOKUP(tbMoveset!A92,tbMoveset!A2:I112,9,FALSE)="Thunder",Backdoors!BD45,IF(VLOOKUP(tbMoveset!A92,tbMoveset!A2:I112,9,FALSE)="Ice",Backdoors!BE45,IF(VLOOKUP(tbMoveset!A92,tbMoveset!A2:I112,9,FALSE)="Dragon",Backdoors!BF45,Backdoors!BG45)))))/100,Backdoors!BG45/100),"")</f>
        <v>0</v>
      </c>
      <c r="KL92" s="49">
        <f>IFERROR(IF(VLOOKUP(A92,tbMoveset!A2:J112,10,FALSE)=TRUE,IF((Backdoors!AI12+IF(KJ92&gt;=0.45,VLOOKUP(Calculator!E23,tbSkills!DH3:DI6,2,FALSE)+IF(AND(Calculator!B8=TRUE,Backdoors!BI45=TRUE),VLOOKUP(Calculator!E23,tbSkills!DH3:DJ6,3,FALSE),0),0))&gt;=0,1+(Backdoors!AL2*(IF((Backdoors!AI12+IF(KJ92&gt;=0.45,VLOOKUP(Calculator!E23,tbSkills!DH3:DI6,2,FALSE)+IF(AND(Calculator!B8=TRUE,Backdoors!BI45=TRUE),VLOOKUP(Calculator!E23,tbSkills!DH3:DJ6,3,FALSE),0),0))&gt;=100,100,(Backdoors!AI12+IF(KJ92&gt;=0.45,VLOOKUP(Calculator!E23,tbSkills!DH3:DI6,2,FALSE)+IF(AND(Calculator!B8=TRUE,Backdoors!BI45=TRUE),VLOOKUP(Calculator!E23,tbSkills!DH3:DJ6,3,FALSE),0),0)))/100)),(1-(0.25*((-Backdoors!AI12-IF(KJ92&gt;=0.45,VLOOKUP(Calculator!E23,tbSkills!DH3:DI6,2,FALSE)+IF(AND(Calculator!B8=TRUE,Backdoors!BI45=TRUE),VLOOKUP(Calculator!E23,tbSkills!DH3:DJ6,3,FALSE),0),0))/100)))),1),"")</f>
        <v>1</v>
      </c>
      <c r="KM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KJ92)*KL92)*(VLOOKUP(A92,tbMoveset!A2:C112,3,FALSE)/100)*IF(VLOOKUP(A92,tbMoveset!A2:B112,2,FALSE)="Projectile",Backdoors!N10,Backdoors!N9),0),"")</f>
        <v/>
      </c>
      <c r="KN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REF!&gt;0,VLOOKUP(Calculator!#REF!,tbSkills!AC3:AD5,2,FALSE),Backdoors!AL3)*(IF((Backdoors!AI12+IF(KJ92&gt;=0.45,VLOOKUP(Calculator!E23,tbSkills!DH3:DI6,2,FALSE)+IF(AND(Calculator!B8=TRUE,Backdoors!BI45=TRUE),VLOOKUP(Calculator!E23,tbSkills!DH3:DJ6,3,FALSE),0),0))&gt;=100,100,(Backdoors!AI12+IF(KJ92&gt;=0.45,VLOOKUP(Calculator!E23,tbSkills!DH3:DI6,2,FALSE)+IF(AND(Calculator!B8=TRUE,Backdoors!BI45=TRUE),VLOOKUP(Calculator!E23,tbSkills!DH3:DJ6,3,FALSE),0),0)))/100)),1))*IF(VLOOKUP(A92,tbMoveset!A2:K112,11,FALSE)=TRUE,Backdoors!AC5,1))*KK92,0),"")</f>
        <v/>
      </c>
      <c r="KO92" s="49">
        <f>VLOOKUP(A92,tbMoveset!A2:G112,7,FALSE)*IFERROR(IF(Backdoors!AI12&gt;=0,1+(IF(Calculator!E40&gt;0,VLOOKUP(Calculator!E40,tbSkills!AI3:AJ5,2,FALSE),Backdoors!AL4)*(IF((Backdoors!AI12+IF(KJ92&gt;=0.45,VLOOKUP(Calculator!E23,tbSkills!DH3:DI6,2,FALSE)+IF(AND(Calculator!B8=TRUE,Backdoors!BI45=TRUE),VLOOKUP(Calculator!E23,tbSkills!DH3:DJ6,3,FALSE),0),0))&gt;=100,100,(Backdoors!AI12+IF(KJ92&gt;=0.45,VLOOKUP(Calculator!E23,tbSkills!DH3:DI6,2,FALSE)+IF(AND(Calculator!B8=TRUE,Backdoors!BI45=TRUE),VLOOKUP(Calculator!E23,tbSkills!DH3:DJ6,3,FALSE),0),0)))/100)),1),1)</f>
        <v>0.7</v>
      </c>
      <c r="KP92" s="87">
        <f t="shared" si="93"/>
        <v>0</v>
      </c>
      <c r="KQ92" s="86" t="str">
        <f>IFERROR(IF(VLOOKUP(A92,tbMoveset!A2:B112,2,FALSE)="Sever",Backdoors!AY46/100,IF(VLOOKUP(A92,tbMoveset!A2:B112,2,FALSE)="Blunt",Backdoors!AZ46/100,Backdoors!BA46/100)),"")</f>
        <v/>
      </c>
      <c r="KR92" s="49">
        <f>IFERROR(IF(VLOOKUP(tbMoveset!A92,tbMoveset!A2:H112,8,FALSE)="Other",IF(VLOOKUP(tbMoveset!A92,tbMoveset!A2:I112,9,FALSE)="Fire",Backdoors!BB46,IF(VLOOKUP(tbMoveset!A92,tbMoveset!A2:I112,9,FALSE)="Water",Backdoors!BC46,IF(VLOOKUP(tbMoveset!A92,tbMoveset!A2:I112,9,FALSE)="Thunder",Backdoors!BD46,IF(VLOOKUP(tbMoveset!A92,tbMoveset!A2:I112,9,FALSE)="Ice",Backdoors!BE46,IF(VLOOKUP(tbMoveset!A92,tbMoveset!A2:I112,9,FALSE)="Dragon",Backdoors!BF46,Backdoors!BG46)))))/100,Backdoors!BG46/100),"")</f>
        <v>0</v>
      </c>
      <c r="KS92" s="49">
        <f>IFERROR(IF(VLOOKUP(A92,tbMoveset!A2:J112,10,FALSE)=TRUE,IF((Backdoors!AI12+IF(KQ92&gt;=0.45,VLOOKUP(Calculator!E23,tbSkills!DH3:DI6,2,FALSE)+IF(AND(Calculator!B8=TRUE,Backdoors!BI46=TRUE),VLOOKUP(Calculator!E23,tbSkills!DH3:DJ6,3,FALSE),0),0))&gt;=0,1+(Backdoors!AL2*(IF((Backdoors!AI12+IF(KQ92&gt;=0.45,VLOOKUP(Calculator!E23,tbSkills!DH3:DI6,2,FALSE)+IF(AND(Calculator!B8=TRUE,Backdoors!BI46=TRUE),VLOOKUP(Calculator!E23,tbSkills!DH3:DJ6,3,FALSE),0),0))&gt;=100,100,(Backdoors!AI12+IF(KQ92&gt;=0.45,VLOOKUP(Calculator!E23,tbSkills!DH3:DI6,2,FALSE)+IF(AND(Calculator!B8=TRUE,Backdoors!BI46=TRUE),VLOOKUP(Calculator!E23,tbSkills!DH3:DJ6,3,FALSE),0),0)))/100)),(1-(0.25*((-Backdoors!AI12-IF(KQ92&gt;=0.45,VLOOKUP(Calculator!E23,tbSkills!DH3:DI6,2,FALSE)+IF(AND(Calculator!B8=TRUE,Backdoors!BI46=TRUE),VLOOKUP(Calculator!E23,tbSkills!DH3:DJ6,3,FALSE),0),0))/100)))),1),"")</f>
        <v>1</v>
      </c>
      <c r="KT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KQ92)*KS92)*(VLOOKUP(A92,tbMoveset!A2:C112,3,FALSE)/100)*IF(VLOOKUP(A92,tbMoveset!A2:B112,2,FALSE)="Projectile",Backdoors!N10,Backdoors!N9),0),"")</f>
        <v/>
      </c>
      <c r="KU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REF!&gt;0,VLOOKUP(Calculator!#REF!,tbSkills!AC3:AD5,2,FALSE),Backdoors!AL3)*(IF((Backdoors!AI12+IF(KQ92&gt;=0.45,VLOOKUP(Calculator!E23,tbSkills!DH3:DI6,2,FALSE)+IF(AND(Calculator!B8=TRUE,Backdoors!BI46=TRUE),VLOOKUP(Calculator!E23,tbSkills!DH3:DJ6,3,FALSE),0),0))&gt;=100,100,(Backdoors!AI12+IF(KQ92&gt;=0.45,VLOOKUP(Calculator!E23,tbSkills!DH3:DI6,2,FALSE)+IF(AND(Calculator!B8=TRUE,Backdoors!BI46=TRUE),VLOOKUP(Calculator!E23,tbSkills!DH3:DJ6,3,FALSE),0),0)))/100)),1))*IF(VLOOKUP(A92,tbMoveset!A2:K112,11,FALSE)=TRUE,Backdoors!AC5,1))*KR92,0),"")</f>
        <v/>
      </c>
      <c r="KV92" s="49">
        <f>VLOOKUP(A92,tbMoveset!A2:G112,7,FALSE)*IFERROR(IF(Backdoors!AI12&gt;=0,1+(IF(Calculator!E40&gt;0,VLOOKUP(Calculator!E40,tbSkills!AI3:AJ5,2,FALSE),Backdoors!AL4)*(IF((Backdoors!AI12+IF(KQ92&gt;=0.45,VLOOKUP(Calculator!E23,tbSkills!DH3:DI6,2,FALSE)+IF(AND(Calculator!B8=TRUE,Backdoors!BI46=TRUE),VLOOKUP(Calculator!E23,tbSkills!DH3:DJ6,3,FALSE),0),0))&gt;=100,100,(Backdoors!AI12+IF(KQ92&gt;=0.45,VLOOKUP(Calculator!E23,tbSkills!DH3:DI6,2,FALSE)+IF(AND(Calculator!B8=TRUE,Backdoors!BI46=TRUE),VLOOKUP(Calculator!E23,tbSkills!DH3:DJ6,3,FALSE),0),0)))/100)),1),1)</f>
        <v>0.7</v>
      </c>
      <c r="KW92" s="87">
        <f t="shared" si="94"/>
        <v>0</v>
      </c>
    </row>
    <row r="93" spans="1:309" x14ac:dyDescent="0.25">
      <c r="A93" s="95" t="str">
        <f>tbMoveset!A93</f>
        <v>[Clutching] Weapon Attack (L1, R1)</v>
      </c>
      <c r="B93" s="86">
        <f>IFERROR(IF(VLOOKUP(A93,tbMoveset!A2:B112,2,FALSE)="Sever",Backdoors!AY3/100,IF(VLOOKUP(A93,tbMoveset!A2:B112,2,FALSE)="Blunt",Backdoors!AZ3/100,Backdoors!BA3/100)),"")</f>
        <v>0.8</v>
      </c>
      <c r="C93" s="49">
        <f>IFERROR(IF(VLOOKUP(tbMoveset!A93,tbMoveset!A2:H112,8,FALSE)="Other",IF(VLOOKUP(tbMoveset!A93,tbMoveset!A2:I112,9,FALSE)="Fire",Backdoors!BB3,IF(VLOOKUP(tbMoveset!A93,tbMoveset!A2:I112,9,FALSE)="Water",Backdoors!BC3,IF(VLOOKUP(tbMoveset!A93,tbMoveset!A2:I112,9,FALSE)="Thunder",Backdoors!BD3,IF(VLOOKUP(tbMoveset!A93,tbMoveset!A2:I112,9,FALSE)="Ice",Backdoors!BE3,IF(VLOOKUP(tbMoveset!A93,tbMoveset!A2:I112,9,FALSE)="Dragon",Backdoors!BF3,Backdoors!BG3)))))/100,Backdoors!BG3/100),"")</f>
        <v>0</v>
      </c>
      <c r="D93" s="49">
        <f>IFERROR(IF(VLOOKUP(A93,tbMoveset!A2:J112,10,FALSE)=TRUE,IF((Backdoors!AI12+IF(B93&gt;=0.45,VLOOKUP(Calculator!E23,tbSkills!DH3:DI6,2,FALSE)+IF(AND(Calculator!B8=TRUE,Backdoors!BI3=TRUE),VLOOKUP(Calculator!E23,tbSkills!DH3:DJ6,3,FALSE),0),0))&gt;=0,1+(Backdoors!AL2*(IF((Backdoors!AI12+IF(B93&gt;=0.45,VLOOKUP(Calculator!E23,tbSkills!DH3:DI6,2,FALSE)+IF(AND(Calculator!B8=TRUE,Backdoors!BI3=TRUE),VLOOKUP(Calculator!E23,tbSkills!DH3:DJ6,3,FALSE),0),0))&gt;=100,100,(Backdoors!AI12+IF(B93&gt;=0.45,VLOOKUP(Calculator!E23,tbSkills!DH3:DI6,2,FALSE)+IF(AND(Calculator!B8=TRUE,Backdoors!BI3=TRUE),VLOOKUP(Calculator!E23,tbSkills!DH3:DJ6,3,FALSE),0),0)))/100)),(1-(0.25*((-Backdoors!AI12-IF(B93&gt;=0.45,VLOOKUP(Calculator!E23,tbSkills!DH3:DI6,2,FALSE)+IF(AND(Calculator!B8=TRUE,Backdoors!BI3=TRUE),VLOOKUP(Calculator!E23,tbSkills!DH3:DJ6,3,FALSE),0),0))/100)))),1),"")</f>
        <v>1</v>
      </c>
      <c r="E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93)*D93)*(VLOOKUP(A93,tbMoveset!A2:C112,3,FALSE)/100)*IF(VLOOKUP(A93,tbMoveset!A2:B112,2,FALSE)="Projectile",Backdoors!N10,Backdoors!N9),0),"")</f>
        <v>9</v>
      </c>
      <c r="F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93&gt;=0.45,VLOOKUP(Calculator!E23,tbSkills!DH3:DI6,2,FALSE)+IF(AND(Calculator!B8=TRUE,Backdoors!BI3=TRUE),VLOOKUP(Calculator!E23,tbSkills!DH3:DJ6,3,FALSE),0),0))&gt;=100,100,(Backdoors!AI12+IF(B93&gt;=0.45,VLOOKUP(Calculator!E23,tbSkills!DH3:DI6,2,FALSE)+IF(AND(Calculator!B8=TRUE,Backdoors!BI3=TRUE),VLOOKUP(Calculator!E23,tbSkills!DH3:DJ6,3,FALSE),0),0)))/100)),1))*IF(VLOOKUP(A93,tbMoveset!A2:K112,11,FALSE)=TRUE,Backdoors!AC5,1))*C93,0),"")</f>
        <v>0</v>
      </c>
      <c r="G93">
        <f>VLOOKUP(A93,tbMoveset!A2:G112,7,FALSE)*IFERROR(IF(Backdoors!AI12&gt;=0,1+(IF(Calculator!E40&gt;0,VLOOKUP(Calculator!E40,tbSkills!AI3:AJ5,2,FALSE),Backdoors!AL4)*(IF((Backdoors!AI12+IF(B93&gt;=0.45,VLOOKUP(Calculator!E23,tbSkills!DH3:DI6,2,FALSE)+IF(AND(Calculator!B8=TRUE,Backdoors!BI3=TRUE),VLOOKUP(Calculator!E23,tbSkills!DH3:DJ6,3,FALSE),0),0))&gt;=100,100,(Backdoors!AI12+IF(B93&gt;=0.45,VLOOKUP(Calculator!E23,tbSkills!DH3:DI6,2,FALSE)+IF(AND(Calculator!B8=TRUE,Backdoors!BI3=TRUE),VLOOKUP(Calculator!E23,tbSkills!DH3:DJ6,3,FALSE),0),0)))/100)),1),1)</f>
        <v>0.7</v>
      </c>
      <c r="H93" s="87">
        <f t="shared" si="51"/>
        <v>9</v>
      </c>
      <c r="I93" s="86">
        <f>IFERROR(IF(VLOOKUP(A93,tbMoveset!A2:B112,2,FALSE)="Sever",Backdoors!AY4/100,IF(VLOOKUP(A93,tbMoveset!A2:B112,2,FALSE)="Blunt",Backdoors!AZ4/100,Backdoors!BA4/100)),"")</f>
        <v>0.65</v>
      </c>
      <c r="J93" s="49">
        <f>IFERROR(IF(VLOOKUP(tbMoveset!A93,tbMoveset!A2:H112,8,FALSE)="Other",IF(VLOOKUP(tbMoveset!A93,tbMoveset!A2:I112,9,FALSE)="Fire",Backdoors!BB4,IF(VLOOKUP(tbMoveset!A93,tbMoveset!A2:I112,9,FALSE)="Water",Backdoors!BC4,IF(VLOOKUP(tbMoveset!A93,tbMoveset!A2:I112,9,FALSE)="Thunder",Backdoors!BD4,IF(VLOOKUP(tbMoveset!A93,tbMoveset!A2:I112,9,FALSE)="Ice",Backdoors!BE4,IF(VLOOKUP(tbMoveset!A93,tbMoveset!A2:I112,9,FALSE)="Dragon",Backdoors!BF4,Backdoors!BG4)))))/100,Backdoors!BG4/100),"")</f>
        <v>0</v>
      </c>
      <c r="K93" s="49">
        <f>IFERROR(IF(VLOOKUP(A93,tbMoveset!A2:J112,10,FALSE)=TRUE,IF((Backdoors!AI12+IF(I93&gt;=0.45,VLOOKUP(Calculator!E23,tbSkills!DH3:DI6,2,FALSE)+IF(AND(Calculator!B8=TRUE,Backdoors!BI4=TRUE),VLOOKUP(Calculator!E23,tbSkills!DH3:DJ6,3,FALSE),0),0))&gt;=0,1+(Backdoors!AL2*(IF((Backdoors!AI12+IF(I93&gt;=0.45,VLOOKUP(Calculator!E23,tbSkills!DH3:DI6,2,FALSE)+IF(AND(Calculator!B8=TRUE,Backdoors!BI4=TRUE),VLOOKUP(Calculator!E23,tbSkills!DH3:DJ6,3,FALSE),0),0))&gt;=100,100,(Backdoors!AI12+IF(I93&gt;=0.45,VLOOKUP(Calculator!E23,tbSkills!DH3:DI6,2,FALSE)+IF(AND(Calculator!B8=TRUE,Backdoors!BI4=TRUE),VLOOKUP(Calculator!E23,tbSkills!DH3:DJ6,3,FALSE),0),0)))/100)),(1-(0.25*((-Backdoors!AI12-IF(I93&gt;=0.45,VLOOKUP(Calculator!E23,tbSkills!DH3:DI6,2,FALSE)+IF(AND(Calculator!B8=TRUE,Backdoors!BI4=TRUE),VLOOKUP(Calculator!E23,tbSkills!DH3:DJ6,3,FALSE),0),0))/100)))),1),"")</f>
        <v>1</v>
      </c>
      <c r="L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93)*K93)*(VLOOKUP(A93,tbMoveset!A2:C112,3,FALSE)/100)*IF(VLOOKUP(A93,tbMoveset!A2:B112,2,FALSE)="Projectile",Backdoors!N10,Backdoors!N9),0),"")</f>
        <v>7</v>
      </c>
      <c r="M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I93&gt;=0.45,VLOOKUP(Calculator!E23,tbSkills!DH3:DI6,2,FALSE)+IF(AND(Calculator!B8=TRUE,Backdoors!BI4=TRUE),VLOOKUP(Calculator!E23,tbSkills!DH3:DJ6,3,FALSE),0),0))&gt;=100,100,(Backdoors!AI12+IF(I93&gt;=0.45,VLOOKUP(Calculator!E23,tbSkills!DH3:DI6,2,FALSE)+IF(AND(Calculator!B8=TRUE,Backdoors!BI4=TRUE),VLOOKUP(Calculator!E23,tbSkills!DH3:DJ6,3,FALSE),0),0)))/100)),1))*IF(VLOOKUP(A93,tbMoveset!A2:K112,11,FALSE)=TRUE,Backdoors!AC5,1))*J93,0),"")</f>
        <v>0</v>
      </c>
      <c r="N93" s="49">
        <f>VLOOKUP(A93,tbMoveset!A2:G112,7,FALSE)*IFERROR(IF(Backdoors!AI12&gt;=0,1+(IF(Calculator!E40&gt;0,VLOOKUP(Calculator!E40,tbSkills!AI3:AJ5,2,FALSE),Backdoors!AL4)*(IF((Backdoors!AI12+IF(I93&gt;=0.45,VLOOKUP(Calculator!E23,tbSkills!DH3:DI6,2,FALSE)+IF(AND(Calculator!B8=TRUE,Backdoors!BI4=TRUE),VLOOKUP(Calculator!E23,tbSkills!DH3:DJ6,3,FALSE),0),0))&gt;=100,100,(Backdoors!AI12+IF(I93&gt;=0.45,VLOOKUP(Calculator!E23,tbSkills!DH3:DI6,2,FALSE)+IF(AND(Calculator!B8=TRUE,Backdoors!BI4=TRUE),VLOOKUP(Calculator!E23,tbSkills!DH3:DJ6,3,FALSE),0),0)))/100)),1),1)</f>
        <v>0.7</v>
      </c>
      <c r="O93" s="87">
        <f t="shared" si="52"/>
        <v>7</v>
      </c>
      <c r="P93" s="86">
        <f>IFERROR(IF(VLOOKUP(A93,tbMoveset!A2:B112,2,FALSE)="Sever",Backdoors!AY5/100,IF(VLOOKUP(A93,tbMoveset!A2:B112,2,FALSE)="Blunt",Backdoors!AZ5/100,Backdoors!BA5/100)),"")</f>
        <v>0.5</v>
      </c>
      <c r="Q93" s="49">
        <f>IFERROR(IF(VLOOKUP(tbMoveset!A93,tbMoveset!A2:H112,8,FALSE)="Other",IF(VLOOKUP(tbMoveset!A93,tbMoveset!A2:I112,9,FALSE)="Fire",Backdoors!BB5,IF(VLOOKUP(tbMoveset!A93,tbMoveset!A2:I112,9,FALSE)="Water",Backdoors!BC5,IF(VLOOKUP(tbMoveset!A93,tbMoveset!A2:I112,9,FALSE)="Thunder",Backdoors!BD5,IF(VLOOKUP(tbMoveset!A93,tbMoveset!A2:I112,9,FALSE)="Ice",Backdoors!BE5,IF(VLOOKUP(tbMoveset!A93,tbMoveset!A2:I112,9,FALSE)="Dragon",Backdoors!BF5,Backdoors!BG5)))))/100,Backdoors!BG5/100),"")</f>
        <v>0</v>
      </c>
      <c r="R93" s="49">
        <f>IFERROR(IF(VLOOKUP(A93,tbMoveset!A2:J112,10,FALSE)=TRUE,IF((Backdoors!AI12+IF(P93&gt;=0.45,VLOOKUP(Calculator!E23,tbSkills!DH3:DI6,2,FALSE)+IF(AND(Calculator!B8=TRUE,Backdoors!BI5=TRUE),VLOOKUP(Calculator!E23,tbSkills!DH3:DJ6,3,FALSE),0),0))&gt;=0,1+(Backdoors!AL2*(IF((Backdoors!AI12+IF(P93&gt;=0.45,VLOOKUP(Calculator!E23,tbSkills!DH3:DI6,2,FALSE)+IF(AND(Calculator!B8=TRUE,Backdoors!BI5=TRUE),VLOOKUP(Calculator!E23,tbSkills!DH3:DJ6,3,FALSE),0),0))&gt;=100,100,(Backdoors!AI12+IF(P93&gt;=0.45,VLOOKUP(Calculator!E23,tbSkills!DH3:DI6,2,FALSE)+IF(AND(Calculator!B8=TRUE,Backdoors!BI5=TRUE),VLOOKUP(Calculator!E23,tbSkills!DH3:DJ6,3,FALSE),0),0)))/100)),(1-(0.25*((-Backdoors!AI12-IF(P93&gt;=0.45,VLOOKUP(Calculator!E23,tbSkills!DH3:DI6,2,FALSE)+IF(AND(Calculator!B8=TRUE,Backdoors!BI5=TRUE),VLOOKUP(Calculator!E23,tbSkills!DH3:DJ6,3,FALSE),0),0))/100)))),1),"")</f>
        <v>1</v>
      </c>
      <c r="S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P93)*R93)*(VLOOKUP(A93,tbMoveset!A2:C112,3,FALSE)/100)*IF(VLOOKUP(A93,tbMoveset!A2:B112,2,FALSE)="Projectile",Backdoors!N10,Backdoors!N9),0),"")</f>
        <v>5</v>
      </c>
      <c r="T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P93&gt;=0.45,VLOOKUP(Calculator!E23,tbSkills!DH3:DI6,2,FALSE)+IF(AND(Calculator!B8=TRUE,Backdoors!BI5=TRUE),VLOOKUP(Calculator!E23,tbSkills!DH3:DJ6,3,FALSE),0),0))&gt;=100,100,(Backdoors!AI12+IF(P93&gt;=0.45,VLOOKUP(Calculator!E23,tbSkills!DH3:DI6,2,FALSE)+IF(AND(Calculator!B8=TRUE,Backdoors!BI5=TRUE),VLOOKUP(Calculator!E23,tbSkills!DH3:DJ6,3,FALSE),0),0)))/100)),1))*IF(VLOOKUP(A93,tbMoveset!A2:K112,11,FALSE)=TRUE,Backdoors!AC5,1))*Q93,0),"")</f>
        <v>0</v>
      </c>
      <c r="U93" s="49">
        <f>VLOOKUP(A93,tbMoveset!A2:G112,7,FALSE)*IFERROR(IF(Backdoors!AI12&gt;=0,1+(IF(Calculator!E40&gt;0,VLOOKUP(Calculator!E40,tbSkills!AI3:AJ5,2,FALSE),Backdoors!AL4)*(IF((Backdoors!AI12+IF(P93&gt;=0.45,VLOOKUP(Calculator!E23,tbSkills!DH3:DI6,2,FALSE)+IF(AND(Calculator!B8=TRUE,Backdoors!BI5=TRUE),VLOOKUP(Calculator!E23,tbSkills!DH3:DJ6,3,FALSE),0),0))&gt;=100,100,(Backdoors!AI12+IF(P93&gt;=0.45,VLOOKUP(Calculator!E23,tbSkills!DH3:DI6,2,FALSE)+IF(AND(Calculator!B8=TRUE,Backdoors!BI5=TRUE),VLOOKUP(Calculator!E23,tbSkills!DH3:DJ6,3,FALSE),0),0)))/100)),1),1)</f>
        <v>0.7</v>
      </c>
      <c r="V93" s="87">
        <f t="shared" si="53"/>
        <v>5</v>
      </c>
      <c r="W93" s="86">
        <f>IFERROR(IF(VLOOKUP(A93,tbMoveset!A2:B112,2,FALSE)="Sever",Backdoors!AY6/100,IF(VLOOKUP(A93,tbMoveset!A2:B112,2,FALSE)="Blunt",Backdoors!AZ6/100,Backdoors!BA6/100)),"")</f>
        <v>0.45</v>
      </c>
      <c r="X93" s="49">
        <f>IFERROR(IF(VLOOKUP(tbMoveset!A93,tbMoveset!A2:H112,8,FALSE)="Other",IF(VLOOKUP(tbMoveset!A93,tbMoveset!A2:I112,9,FALSE)="Fire",Backdoors!BB6,IF(VLOOKUP(tbMoveset!A93,tbMoveset!A2:I112,9,FALSE)="Water",Backdoors!BC6,IF(VLOOKUP(tbMoveset!A93,tbMoveset!A2:I112,9,FALSE)="Thunder",Backdoors!BD6,IF(VLOOKUP(tbMoveset!A93,tbMoveset!A2:I112,9,FALSE)="Ice",Backdoors!BE6,IF(VLOOKUP(tbMoveset!A93,tbMoveset!A2:I112,9,FALSE)="Dragon",Backdoors!BF6,Backdoors!BG6)))))/100,Backdoors!BG6/100),"")</f>
        <v>0</v>
      </c>
      <c r="Y93" s="49">
        <f>IFERROR(IF(VLOOKUP(A93,tbMoveset!A2:J112,10,FALSE)=TRUE,IF((Backdoors!AI12+IF(W93&gt;=0.45,VLOOKUP(Calculator!E23,tbSkills!DH3:DI6,2,FALSE)+IF(AND(Calculator!B8=TRUE,Backdoors!BI6=TRUE),VLOOKUP(Calculator!E23,tbSkills!DH3:DJ6,3,FALSE),0),0))&gt;=0,1+(Backdoors!AL2*(IF((Backdoors!AI12+IF(W93&gt;=0.45,VLOOKUP(Calculator!E23,tbSkills!DH3:DI6,2,FALSE)+IF(AND(Calculator!B8=TRUE,Backdoors!BI6=TRUE),VLOOKUP(Calculator!E23,tbSkills!DH3:DJ6,3,FALSE),0),0))&gt;=100,100,(Backdoors!AI12+IF(W93&gt;=0.45,VLOOKUP(Calculator!E23,tbSkills!DH3:DI6,2,FALSE)+IF(AND(Calculator!B8=TRUE,Backdoors!BI6=TRUE),VLOOKUP(Calculator!E23,tbSkills!DH3:DJ6,3,FALSE),0),0)))/100)),(1-(0.25*((-Backdoors!AI12-IF(W93&gt;=0.45,VLOOKUP(Calculator!E23,tbSkills!DH3:DI6,2,FALSE)+IF(AND(Calculator!B8=TRUE,Backdoors!BI6=TRUE),VLOOKUP(Calculator!E23,tbSkills!DH3:DJ6,3,FALSE),0),0))/100)))),1),"")</f>
        <v>1</v>
      </c>
      <c r="Z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W93)*Y93)*(VLOOKUP(A93,tbMoveset!A2:C112,3,FALSE)/100)*IF(VLOOKUP(A93,tbMoveset!A2:B112,2,FALSE)="Projectile",Backdoors!N10,Backdoors!N9),0),"")</f>
        <v>5</v>
      </c>
      <c r="AA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W93&gt;=0.45,VLOOKUP(Calculator!E23,tbSkills!DH3:DI6,2,FALSE)+IF(AND(Calculator!B8=TRUE,Backdoors!BI6=TRUE),VLOOKUP(Calculator!E23,tbSkills!DH3:DJ6,3,FALSE),0),0))&gt;=100,100,(Backdoors!AI12+IF(W93&gt;=0.45,VLOOKUP(Calculator!E23,tbSkills!DH3:DI6,2,FALSE)+IF(AND(Calculator!B8=TRUE,Backdoors!BI6=TRUE),VLOOKUP(Calculator!E23,tbSkills!DH3:DJ6,3,FALSE),0),0)))/100)),1))*IF(VLOOKUP(A93,tbMoveset!A2:K112,11,FALSE)=TRUE,Backdoors!AC5,1))*X93,0),"")</f>
        <v>0</v>
      </c>
      <c r="AB93" s="49">
        <f>VLOOKUP(A93,tbMoveset!A2:G112,7,FALSE)*IFERROR(IF(Backdoors!AI12&gt;=0,1+(IF(Calculator!E40&gt;0,VLOOKUP(Calculator!E40,tbSkills!AI3:AJ5,2,FALSE),Backdoors!AL4)*(IF((Backdoors!AI12+IF(W93&gt;=0.45,VLOOKUP(Calculator!E23,tbSkills!DH3:DI6,2,FALSE)+IF(AND(Calculator!B8=TRUE,Backdoors!BI6=TRUE),VLOOKUP(Calculator!E23,tbSkills!DH3:DJ6,3,FALSE),0),0))&gt;=100,100,(Backdoors!AI12+IF(W93&gt;=0.45,VLOOKUP(Calculator!E23,tbSkills!DH3:DI6,2,FALSE)+IF(AND(Calculator!B8=TRUE,Backdoors!BI6=TRUE),VLOOKUP(Calculator!E23,tbSkills!DH3:DJ6,3,FALSE),0),0)))/100)),1),1)</f>
        <v>0.7</v>
      </c>
      <c r="AC93" s="87">
        <f t="shared" si="54"/>
        <v>5</v>
      </c>
      <c r="AD93" s="86">
        <f>IFERROR(IF(VLOOKUP(A93,tbMoveset!A2:B112,2,FALSE)="Sever",Backdoors!AY7/100,IF(VLOOKUP(A93,tbMoveset!A2:B112,2,FALSE)="Blunt",Backdoors!AZ7/100,Backdoors!BA7/100)),"")</f>
        <v>0.65</v>
      </c>
      <c r="AE93" s="49">
        <f>IFERROR(IF(VLOOKUP(tbMoveset!A93,tbMoveset!A2:H112,8,FALSE)="Other",IF(VLOOKUP(tbMoveset!A93,tbMoveset!A2:I112,9,FALSE)="Fire",Backdoors!BB7,IF(VLOOKUP(tbMoveset!A93,tbMoveset!A2:I112,9,FALSE)="Water",Backdoors!BC7,IF(VLOOKUP(tbMoveset!A93,tbMoveset!A2:I112,9,FALSE)="Thunder",Backdoors!BD7,IF(VLOOKUP(tbMoveset!A93,tbMoveset!A2:I112,9,FALSE)="Ice",Backdoors!BE7,IF(VLOOKUP(tbMoveset!A93,tbMoveset!A2:I112,9,FALSE)="Dragon",Backdoors!BF7,Backdoors!BG7)))))/100,Backdoors!BG7/100),"")</f>
        <v>0</v>
      </c>
      <c r="AF93" s="49">
        <f>IFERROR(IF(VLOOKUP(A93,tbMoveset!A2:J112,10,FALSE)=TRUE,IF((Backdoors!AI12+IF(AD93&gt;=0.45,VLOOKUP(Calculator!E23,tbSkills!DH3:DI6,2,FALSE)+IF(AND(Calculator!B8=TRUE,Backdoors!BI7=TRUE),VLOOKUP(Calculator!E23,tbSkills!DH3:DJ6,3,FALSE),0),0))&gt;=0,1+(Backdoors!AL2*(IF((Backdoors!AI12+IF(AD93&gt;=0.45,VLOOKUP(Calculator!E23,tbSkills!DH3:DI6,2,FALSE)+IF(AND(Calculator!B8=TRUE,Backdoors!BI7=TRUE),VLOOKUP(Calculator!E23,tbSkills!DH3:DJ6,3,FALSE),0),0))&gt;=100,100,(Backdoors!AI12+IF(AD93&gt;=0.45,VLOOKUP(Calculator!E23,tbSkills!DH3:DI6,2,FALSE)+IF(AND(Calculator!B8=TRUE,Backdoors!BI7=TRUE),VLOOKUP(Calculator!E23,tbSkills!DH3:DJ6,3,FALSE),0),0)))/100)),(1-(0.25*((-Backdoors!AI12-IF(AD93&gt;=0.45,VLOOKUP(Calculator!E23,tbSkills!DH3:DI6,2,FALSE)+IF(AND(Calculator!B8=TRUE,Backdoors!BI7=TRUE),VLOOKUP(Calculator!E23,tbSkills!DH3:DJ6,3,FALSE),0),0))/100)))),1),"")</f>
        <v>1</v>
      </c>
      <c r="AG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D93)*AF93)*(VLOOKUP(A93,tbMoveset!A2:C112,3,FALSE)/100)*IF(VLOOKUP(A93,tbMoveset!A2:B112,2,FALSE)="Projectile",Backdoors!N10,Backdoors!N9),0),"")</f>
        <v>7</v>
      </c>
      <c r="AH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D93&gt;=0.45,VLOOKUP(Calculator!E23,tbSkills!DH3:DI6,2,FALSE)+IF(AND(Calculator!B8=TRUE,Backdoors!BI7=TRUE),VLOOKUP(Calculator!E23,tbSkills!DH3:DJ6,3,FALSE),0),0))&gt;=100,100,(Backdoors!AI12+IF(AD93&gt;=0.45,VLOOKUP(Calculator!E23,tbSkills!DH3:DI6,2,FALSE)+IF(AND(Calculator!B8=TRUE,Backdoors!BI7=TRUE),VLOOKUP(Calculator!E23,tbSkills!DH3:DJ6,3,FALSE),0),0)))/100)),1))*IF(VLOOKUP(A93,tbMoveset!A2:K112,11,FALSE)=TRUE,Backdoors!AC5,1))*AE93,0),"")</f>
        <v>0</v>
      </c>
      <c r="AI93" s="49">
        <f>VLOOKUP(A93,tbMoveset!A2:G112,7,FALSE)*IFERROR(IF(Backdoors!AI12&gt;=0,1+(IF(Calculator!E40&gt;0,VLOOKUP(Calculator!E40,tbSkills!AI3:AJ5,2,FALSE),Backdoors!AL4)*(IF((Backdoors!AI12+IF(AD93&gt;=0.45,VLOOKUP(Calculator!E23,tbSkills!DH3:DI6,2,FALSE)+IF(AND(Calculator!B8=TRUE,Backdoors!BI7=TRUE),VLOOKUP(Calculator!E23,tbSkills!DH3:DJ6,3,FALSE),0),0))&gt;=100,100,(Backdoors!AI12+IF(AD93&gt;=0.45,VLOOKUP(Calculator!E23,tbSkills!DH3:DI6,2,FALSE)+IF(AND(Calculator!B8=TRUE,Backdoors!BI7=TRUE),VLOOKUP(Calculator!E23,tbSkills!DH3:DJ6,3,FALSE),0),0)))/100)),1),1)</f>
        <v>0.7</v>
      </c>
      <c r="AJ93" s="87">
        <f t="shared" si="55"/>
        <v>7</v>
      </c>
      <c r="AK93" s="91">
        <f>IFERROR(IF(VLOOKUP(A93,tbMoveset!A2:B112,2,FALSE)="Sever",Backdoors!AY8/100,IF(VLOOKUP(A93,tbMoveset!A2:B112,2,FALSE)="Blunt",Backdoors!AZ8/100,Backdoors!BA8/100)),"")</f>
        <v>0.45</v>
      </c>
      <c r="AL93" s="49">
        <f>IFERROR(IF(VLOOKUP(tbMoveset!A93,tbMoveset!A2:H112,8,FALSE)="Other",IF(VLOOKUP(tbMoveset!A93,tbMoveset!A2:I112,9,FALSE)="Fire",Backdoors!BB8,IF(VLOOKUP(tbMoveset!A93,tbMoveset!A2:I112,9,FALSE)="Water",Backdoors!BC8,IF(VLOOKUP(tbMoveset!A93,tbMoveset!A2:I112,9,FALSE)="Thunder",Backdoors!BD8,IF(VLOOKUP(tbMoveset!A93,tbMoveset!A2:I112,9,FALSE)="Ice",Backdoors!BE8,IF(VLOOKUP(tbMoveset!A93,tbMoveset!A2:I112,9,FALSE)="Dragon",Backdoors!BF8,Backdoors!BG8)))))/100,Backdoors!BG8/100),"")</f>
        <v>0</v>
      </c>
      <c r="AM93" s="49">
        <f>IFERROR(IF(VLOOKUP(A93,tbMoveset!A2:J112,10,FALSE)=TRUE,IF((Backdoors!AI12+IF(AK93&gt;=0.45,VLOOKUP(Calculator!E23,tbSkills!DH3:DI6,2,FALSE)+IF(AND(Calculator!B8=TRUE,Backdoors!BI8=TRUE),VLOOKUP(Calculator!E23,tbSkills!DH3:DJ6,3,FALSE),0),0))&gt;=0,1+(Backdoors!AL2*(IF((Backdoors!AI12+IF(AK93&gt;=0.45,VLOOKUP(Calculator!E23,tbSkills!DH3:DI6,2,FALSE)+IF(AND(Calculator!B8=TRUE,Backdoors!BI8=TRUE),VLOOKUP(Calculator!E23,tbSkills!DH3:DJ6,3,FALSE),0),0))&gt;=100,100,(Backdoors!AI12+IF(AK93&gt;=0.45,VLOOKUP(Calculator!E23,tbSkills!DH3:DI6,2,FALSE)+IF(AND(Calculator!B8=TRUE,Backdoors!BI8=TRUE),VLOOKUP(Calculator!E23,tbSkills!DH3:DJ6,3,FALSE),0),0)))/100)),(1-(0.25*((-Backdoors!AI12-IF(AK93&gt;=0.45,VLOOKUP(Calculator!E23,tbSkills!DH3:DI6,2,FALSE)+IF(AND(Calculator!B8=TRUE,Backdoors!BI8=TRUE),VLOOKUP(Calculator!E23,tbSkills!DH3:DJ6,3,FALSE),0),0))/100)))),1),"")</f>
        <v>1</v>
      </c>
      <c r="AN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K93)*AM93)*(VLOOKUP(A93,tbMoveset!A2:C112,3,FALSE)/100)*IF(VLOOKUP(A93,tbMoveset!A2:B112,2,FALSE)="Projectile",Backdoors!N10,Backdoors!N9),0),"")</f>
        <v>5</v>
      </c>
      <c r="AO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K93&gt;=0.45,VLOOKUP(Calculator!E23,tbSkills!DH3:DI6,2,FALSE)+IF(AND(Calculator!B8=TRUE,Backdoors!BI8=TRUE),VLOOKUP(Calculator!E23,tbSkills!DH3:DJ6,3,FALSE),0),0))&gt;=100,100,(Backdoors!AI12+IF(AK93&gt;=0.45,VLOOKUP(Calculator!E23,tbSkills!DH3:DI6,2,FALSE)+IF(AND(Calculator!B8=TRUE,Backdoors!BI8=TRUE),VLOOKUP(Calculator!E23,tbSkills!DH3:DJ6,3,FALSE),0),0)))/100)),1))*IF(VLOOKUP(A93,tbMoveset!A2:K112,11,FALSE)=TRUE,Backdoors!AC5,1))*AL93,0),"")</f>
        <v>0</v>
      </c>
      <c r="AP93" s="49">
        <f>VLOOKUP(A93,tbMoveset!A2:G112,7,FALSE)*IFERROR(IF(Backdoors!AI12&gt;=0,1+(IF(Calculator!E40&gt;0,VLOOKUP(Calculator!E40,tbSkills!AI3:AJ5,2,FALSE),Backdoors!AL4)*(IF((Backdoors!AI12+IF(AK93&gt;=0.45,VLOOKUP(Calculator!E23,tbSkills!DH3:DI6,2,FALSE)+IF(AND(Calculator!B8=TRUE,Backdoors!BI8=TRUE),VLOOKUP(Calculator!E23,tbSkills!DH3:DJ6,3,FALSE),0),0))&gt;=100,100,(Backdoors!AI12+IF(AK93&gt;=0.45,VLOOKUP(Calculator!E23,tbSkills!DH3:DI6,2,FALSE)+IF(AND(Calculator!B8=TRUE,Backdoors!BI8=TRUE),VLOOKUP(Calculator!E23,tbSkills!DH3:DJ6,3,FALSE),0),0)))/100)),1),1)</f>
        <v>0.7</v>
      </c>
      <c r="AQ93" s="87">
        <f t="shared" si="56"/>
        <v>5</v>
      </c>
      <c r="AR93" s="86">
        <f>IFERROR(IF(VLOOKUP(A93,tbMoveset!A2:B112,2,FALSE)="Sever",Backdoors!AY9/100,IF(VLOOKUP(A93,tbMoveset!A2:B112,2,FALSE)="Blunt",Backdoors!AZ9/100,Backdoors!BA9/100)),"")</f>
        <v>0.45</v>
      </c>
      <c r="AS93" s="49">
        <f>IFERROR(IF(VLOOKUP(tbMoveset!A93,tbMoveset!A2:H112,8,FALSE)="Other",IF(VLOOKUP(tbMoveset!A93,tbMoveset!A2:I112,9,FALSE)="Fire",Backdoors!BB9,IF(VLOOKUP(tbMoveset!A93,tbMoveset!A2:I112,9,FALSE)="Water",Backdoors!BC9,IF(VLOOKUP(tbMoveset!A93,tbMoveset!A2:I112,9,FALSE)="Thunder",Backdoors!BD9,IF(VLOOKUP(tbMoveset!A93,tbMoveset!A2:I112,9,FALSE)="Ice",Backdoors!BE9,IF(VLOOKUP(tbMoveset!A93,tbMoveset!A2:I112,9,FALSE)="Dragon",Backdoors!BF9,Backdoors!BG9)))))/100,Backdoors!BG9/100),"")</f>
        <v>0</v>
      </c>
      <c r="AT93" s="49">
        <f>IFERROR(IF(VLOOKUP(A93,tbMoveset!A2:J112,10,FALSE)=TRUE,IF((Backdoors!AI12+IF(AR93&gt;=0.45,VLOOKUP(Calculator!E23,tbSkills!DH3:DI6,2,FALSE)+IF(AND(Calculator!B8=TRUE,Backdoors!BI9=TRUE),VLOOKUP(Calculator!E23,tbSkills!DH3:DJ6,3,FALSE),0),0))&gt;=0,1+(Backdoors!AL2*(IF((Backdoors!AI12+IF(AR93&gt;=0.45,VLOOKUP(Calculator!E23,tbSkills!DH3:DI6,2,FALSE)+IF(AND(Calculator!B8=TRUE,Backdoors!BI9=TRUE),VLOOKUP(Calculator!E23,tbSkills!DH3:DJ6,3,FALSE),0),0))&gt;=100,100,(Backdoors!AI12+IF(AR93&gt;=0.45,VLOOKUP(Calculator!E23,tbSkills!DH3:DI6,2,FALSE)+IF(AND(Calculator!B8=TRUE,Backdoors!BI9=TRUE),VLOOKUP(Calculator!E23,tbSkills!DH3:DJ6,3,FALSE),0),0)))/100)),(1-(0.25*((-Backdoors!AI12-IF(AR93&gt;=0.45,VLOOKUP(Calculator!E23,tbSkills!DH3:DI6,2,FALSE)+IF(AND(Calculator!B8=TRUE,Backdoors!BI9=TRUE),VLOOKUP(Calculator!E23,tbSkills!DH3:DJ6,3,FALSE),0),0))/100)))),1),"")</f>
        <v>1</v>
      </c>
      <c r="AU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R93)*AT93)*(VLOOKUP(A93,tbMoveset!A2:C112,3,FALSE)/100)*IF(VLOOKUP(A93,tbMoveset!A2:B112,2,FALSE)="Projectile",Backdoors!N10,Backdoors!N9),0),"")</f>
        <v>5</v>
      </c>
      <c r="AV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R93&gt;=0.45,VLOOKUP(Calculator!E23,tbSkills!DH3:DI6,2,FALSE)+IF(AND(Calculator!B8=TRUE,Backdoors!BI9=TRUE),VLOOKUP(Calculator!E23,tbSkills!DH3:DJ6,3,FALSE),0),0))&gt;=100,100,(Backdoors!AI12+IF(AR93&gt;=0.45,VLOOKUP(Calculator!E23,tbSkills!DH3:DI6,2,FALSE)+IF(AND(Calculator!B8=TRUE,Backdoors!BI9=TRUE),VLOOKUP(Calculator!E23,tbSkills!DH3:DJ6,3,FALSE),0),0)))/100)),1))*IF(VLOOKUP(A93,tbMoveset!A2:K112,11,FALSE)=TRUE,Backdoors!AC5,1))*AS93,0),"")</f>
        <v>0</v>
      </c>
      <c r="AW93" s="49">
        <f>VLOOKUP(A93,tbMoveset!A2:G112,7,FALSE)*IFERROR(IF(Backdoors!AI12&gt;=0,1+(IF(Calculator!E40&gt;0,VLOOKUP(Calculator!E40,tbSkills!AI3:AJ5,2,FALSE),Backdoors!AL4)*(IF((Backdoors!AI12+IF(AR93&gt;=0.45,VLOOKUP(Calculator!E23,tbSkills!DH3:DI6,2,FALSE)+IF(AND(Calculator!B8=TRUE,Backdoors!BI9=TRUE),VLOOKUP(Calculator!E23,tbSkills!DH3:DJ6,3,FALSE),0),0))&gt;=100,100,(Backdoors!AI12+IF(AR93&gt;=0.45,VLOOKUP(Calculator!E23,tbSkills!DH3:DI6,2,FALSE)+IF(AND(Calculator!B8=TRUE,Backdoors!BI9=TRUE),VLOOKUP(Calculator!E23,tbSkills!DH3:DJ6,3,FALSE),0),0)))/100)),1),1)</f>
        <v>0.7</v>
      </c>
      <c r="AX93" s="87">
        <f t="shared" si="57"/>
        <v>5</v>
      </c>
      <c r="AY93" s="86">
        <f>IFERROR(IF(VLOOKUP(A93,tbMoveset!A2:B112,2,FALSE)="Sever",Backdoors!AY10/100,IF(VLOOKUP(A93,tbMoveset!A2:B112,2,FALSE)="Blunt",Backdoors!AZ10/100,Backdoors!BA10/100)),"")</f>
        <v>0.9</v>
      </c>
      <c r="AZ93" s="49">
        <f>IFERROR(IF(VLOOKUP(tbMoveset!A93,tbMoveset!A2:H112,8,FALSE)="Other",IF(VLOOKUP(tbMoveset!A93,tbMoveset!A2:I112,9,FALSE)="Fire",Backdoors!BB10,IF(VLOOKUP(tbMoveset!A93,tbMoveset!A2:I112,9,FALSE)="Water",Backdoors!BC10,IF(VLOOKUP(tbMoveset!A93,tbMoveset!A2:I112,9,FALSE)="Thunder",Backdoors!BD10,IF(VLOOKUP(tbMoveset!A93,tbMoveset!A2:I112,9,FALSE)="Ice",Backdoors!BE10,IF(VLOOKUP(tbMoveset!A93,tbMoveset!A2:I112,9,FALSE)="Dragon",Backdoors!BF10,Backdoors!BG10)))))/100,Backdoors!BG10/100),"")</f>
        <v>0</v>
      </c>
      <c r="BA93" s="49">
        <f>IFERROR(IF(VLOOKUP(A93,tbMoveset!A2:J112,10,FALSE)=TRUE,IF((Backdoors!AI12+IF(AY93&gt;=0.45,VLOOKUP(Calculator!E23,tbSkills!DH3:DI6,2,FALSE)+IF(AND(Calculator!B8=TRUE,Backdoors!BI10=TRUE),VLOOKUP(Calculator!E23,tbSkills!DH3:DJ6,3,FALSE),0),0))&gt;=0,1+(Backdoors!AL2*(IF((Backdoors!AI12+IF(AY93&gt;=0.45,VLOOKUP(Calculator!E23,tbSkills!DH3:DI6,2,FALSE)+IF(AND(Calculator!B8=TRUE,Backdoors!BI10=TRUE),VLOOKUP(Calculator!E23,tbSkills!DH3:DJ6,3,FALSE),0),0))&gt;=100,100,(Backdoors!AI12+IF(AY93&gt;=0.45,VLOOKUP(Calculator!E23,tbSkills!DH3:DI6,2,FALSE)+IF(AND(Calculator!B8=TRUE,Backdoors!BI10=TRUE),VLOOKUP(Calculator!E23,tbSkills!DH3:DJ6,3,FALSE),0),0)))/100)),(1-(0.25*((-Backdoors!AI12-IF(AY93&gt;=0.45,VLOOKUP(Calculator!E23,tbSkills!DH3:DI6,2,FALSE)+IF(AND(Calculator!B8=TRUE,Backdoors!BI10=TRUE),VLOOKUP(Calculator!E23,tbSkills!DH3:DJ6,3,FALSE),0),0))/100)))),1),"")</f>
        <v>1</v>
      </c>
      <c r="BB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Y93)*BA93)*(VLOOKUP(A93,tbMoveset!A2:C112,3,FALSE)/100)*IF(VLOOKUP(A93,tbMoveset!A2:B112,2,FALSE)="Projectile",Backdoors!N10,Backdoors!N9),0),"")</f>
        <v>10</v>
      </c>
      <c r="BC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Y93&gt;=0.45,VLOOKUP(Calculator!E23,tbSkills!DH3:DI6,2,FALSE)+IF(AND(Calculator!B8=TRUE,Backdoors!BI10=TRUE),VLOOKUP(Calculator!E23,tbSkills!DH3:DJ6,3,FALSE),0),0))&gt;=100,100,(Backdoors!AI12+IF(AY93&gt;=0.45,VLOOKUP(Calculator!E23,tbSkills!DH3:DI6,2,FALSE)+IF(AND(Calculator!B8=TRUE,Backdoors!BI10=TRUE),VLOOKUP(Calculator!E23,tbSkills!DH3:DJ6,3,FALSE),0),0)))/100)),1))*IF(VLOOKUP(A93,tbMoveset!A2:K112,11,FALSE)=TRUE,Backdoors!AC5,1))*AZ93,0),"")</f>
        <v>0</v>
      </c>
      <c r="BD93" s="49">
        <f>VLOOKUP(A93,tbMoveset!A2:G112,7,FALSE)*IFERROR(IF(Backdoors!AI12&gt;=0,1+(IF(Calculator!E40&gt;0,VLOOKUP(Calculator!E40,tbSkills!AI3:AJ5,2,FALSE),Backdoors!AL4)*(IF((Backdoors!AI12+IF(AY93&gt;=0.45,VLOOKUP(Calculator!E23,tbSkills!DH3:DI6,2,FALSE)+IF(AND(Calculator!B8=TRUE,Backdoors!BI10=TRUE),VLOOKUP(Calculator!E23,tbSkills!DH3:DJ6,3,FALSE),0),0))&gt;=100,100,(Backdoors!AI12+IF(AY93&gt;=0.45,VLOOKUP(Calculator!E23,tbSkills!DH3:DI6,2,FALSE)+IF(AND(Calculator!B8=TRUE,Backdoors!BI10=TRUE),VLOOKUP(Calculator!E23,tbSkills!DH3:DJ6,3,FALSE),0),0)))/100)),1),1)</f>
        <v>0.7</v>
      </c>
      <c r="BE93" s="87">
        <f t="shared" si="58"/>
        <v>10</v>
      </c>
      <c r="BF93" s="86" t="str">
        <f>IFERROR(IF(VLOOKUP(A93,tbMoveset!A2:B112,2,FALSE)="Sever",Backdoors!AY11/100,IF(VLOOKUP(A93,tbMoveset!A2:B112,2,FALSE)="Blunt",Backdoors!AZ11/100,Backdoors!BA11/100)),"")</f>
        <v/>
      </c>
      <c r="BG93" s="49">
        <f>IFERROR(IF(VLOOKUP(tbMoveset!A93,tbMoveset!A2:H112,8,FALSE)="Other",IF(VLOOKUP(tbMoveset!A93,tbMoveset!A2:I112,9,FALSE)="Fire",Backdoors!BB11,IF(VLOOKUP(tbMoveset!A93,tbMoveset!A2:I112,9,FALSE)="Water",Backdoors!BC11,IF(VLOOKUP(tbMoveset!A93,tbMoveset!A2:I112,9,FALSE)="Thunder",Backdoors!BD11,IF(VLOOKUP(tbMoveset!A93,tbMoveset!A2:I112,9,FALSE)="Ice",Backdoors!BE11,IF(VLOOKUP(tbMoveset!A93,tbMoveset!A2:I112,9,FALSE)="Dragon",Backdoors!BF11,Backdoors!BG11)))))/100,Backdoors!BG11/100),"")</f>
        <v>0</v>
      </c>
      <c r="BH93" s="49">
        <f>IFERROR(IF(VLOOKUP(A93,tbMoveset!A2:J112,10,FALSE)=TRUE,IF((Backdoors!AI12+IF(BF93&gt;=0.45,VLOOKUP(Calculator!E23,tbSkills!DH3:DI6,2,FALSE)+IF(AND(Calculator!B8=TRUE,Backdoors!BI11=TRUE),VLOOKUP(Calculator!E23,tbSkills!DH3:DJ6,3,FALSE),0),0))&gt;=0,1+(Backdoors!AL2*(IF((Backdoors!AI12+IF(BF93&gt;=0.45,VLOOKUP(Calculator!E23,tbSkills!DH3:DI6,2,FALSE)+IF(AND(Calculator!B8=TRUE,Backdoors!BI11=TRUE),VLOOKUP(Calculator!E23,tbSkills!DH3:DJ6,3,FALSE),0),0))&gt;=100,100,(Backdoors!AI12+IF(BF93&gt;=0.45,VLOOKUP(Calculator!E23,tbSkills!DH3:DI6,2,FALSE)+IF(AND(Calculator!B8=TRUE,Backdoors!BI11=TRUE),VLOOKUP(Calculator!E23,tbSkills!DH3:DJ6,3,FALSE),0),0)))/100)),(1-(0.25*((-Backdoors!AI12-IF(BF93&gt;=0.45,VLOOKUP(Calculator!E23,tbSkills!DH3:DI6,2,FALSE)+IF(AND(Calculator!B8=TRUE,Backdoors!BI11=TRUE),VLOOKUP(Calculator!E23,tbSkills!DH3:DJ6,3,FALSE),0),0))/100)))),1),"")</f>
        <v>1</v>
      </c>
      <c r="BI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F93)*BH93)*(VLOOKUP(A93,tbMoveset!A2:C112,3,FALSE)/100)*IF(VLOOKUP(A93,tbMoveset!A2:B112,2,FALSE)="Projectile",Backdoors!N10,Backdoors!N9),0),"")</f>
        <v/>
      </c>
      <c r="BJ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F93&gt;=0.45,VLOOKUP(Calculator!E23,tbSkills!DH3:DI6,2,FALSE)+IF(AND(Calculator!B8=TRUE,Backdoors!BI11=TRUE),VLOOKUP(Calculator!E23,tbSkills!DH3:DJ6,3,FALSE),0),0))&gt;=100,100,(Backdoors!AI12+IF(BF93&gt;=0.45,VLOOKUP(Calculator!E23,tbSkills!DH3:DI6,2,FALSE)+IF(AND(Calculator!B8=TRUE,Backdoors!BI11=TRUE),VLOOKUP(Calculator!E23,tbSkills!DH3:DJ6,3,FALSE),0),0)))/100)),1))*IF(VLOOKUP(A93,tbMoveset!A2:K112,11,FALSE)=TRUE,Backdoors!AC5,1))*BG93,0),"")</f>
        <v>0</v>
      </c>
      <c r="BK93" s="49">
        <f>VLOOKUP(A93,tbMoveset!A2:G112,7,FALSE)*IFERROR(IF(Backdoors!AI12&gt;=0,1+(IF(Calculator!E40&gt;0,VLOOKUP(Calculator!E40,tbSkills!AI3:AJ5,2,FALSE),Backdoors!AL4)*(IF((Backdoors!AI12+IF(BF93&gt;=0.45,VLOOKUP(Calculator!E23,tbSkills!DH3:DI6,2,FALSE)+IF(AND(Calculator!B8=TRUE,Backdoors!BI11=TRUE),VLOOKUP(Calculator!E23,tbSkills!DH3:DJ6,3,FALSE),0),0))&gt;=100,100,(Backdoors!AI12+IF(BF93&gt;=0.45,VLOOKUP(Calculator!E23,tbSkills!DH3:DI6,2,FALSE)+IF(AND(Calculator!B8=TRUE,Backdoors!BI11=TRUE),VLOOKUP(Calculator!E23,tbSkills!DH3:DJ6,3,FALSE),0),0)))/100)),1),1)</f>
        <v>0.7</v>
      </c>
      <c r="BL93" s="87">
        <f t="shared" si="59"/>
        <v>0</v>
      </c>
      <c r="BM93" s="86" t="str">
        <f>IFERROR(IF(VLOOKUP(A93,tbMoveset!A2:B112,2,FALSE)="Sever",Backdoors!AY12/100,IF(VLOOKUP(A93,tbMoveset!A2:B112,2,FALSE)="Blunt",Backdoors!AZ12/100,Backdoors!BA12/100)),"")</f>
        <v/>
      </c>
      <c r="BN93" s="49">
        <f>IFERROR(IF(VLOOKUP(tbMoveset!A93,tbMoveset!A2:H112,8,FALSE)="Other",IF(VLOOKUP(tbMoveset!A93,tbMoveset!A2:I112,9,FALSE)="Fire",Backdoors!BB12,IF(VLOOKUP(tbMoveset!A93,tbMoveset!A2:I112,9,FALSE)="Water",Backdoors!BC12,IF(VLOOKUP(tbMoveset!A93,tbMoveset!A2:I112,9,FALSE)="Thunder",Backdoors!BD12,IF(VLOOKUP(tbMoveset!A93,tbMoveset!A2:I112,9,FALSE)="Ice",Backdoors!BE12,IF(VLOOKUP(tbMoveset!A93,tbMoveset!A2:I112,9,FALSE)="Dragon",Backdoors!BF12,Backdoors!BG12)))))/100,Backdoors!BG12/100),"")</f>
        <v>0</v>
      </c>
      <c r="BO93" s="49">
        <f>IFERROR(IF(VLOOKUP(A93,tbMoveset!A2:J112,10,FALSE)=TRUE,IF((Backdoors!AI12+IF(BM93&gt;=0.45,VLOOKUP(Calculator!E23,tbSkills!DH3:DI6,2,FALSE)+IF(AND(Calculator!B8=TRUE,Backdoors!BI12=TRUE),VLOOKUP(Calculator!E23,tbSkills!DH3:DJ6,3,FALSE),0),0))&gt;=0,1+(Backdoors!AL2*(IF((Backdoors!AI12+IF(BM93&gt;=0.45,VLOOKUP(Calculator!E23,tbSkills!DH3:DI6,2,FALSE)+IF(AND(Calculator!B8=TRUE,Backdoors!BI12=TRUE),VLOOKUP(Calculator!E23,tbSkills!DH3:DJ6,3,FALSE),0),0))&gt;=100,100,(Backdoors!AI12+IF(BM93&gt;=0.45,VLOOKUP(Calculator!E23,tbSkills!DH3:DI6,2,FALSE)+IF(AND(Calculator!B8=TRUE,Backdoors!BI12=TRUE),VLOOKUP(Calculator!E23,tbSkills!DH3:DJ6,3,FALSE),0),0)))/100)),(1-(0.25*((-Backdoors!AI12-IF(BM93&gt;=0.45,VLOOKUP(Calculator!E23,tbSkills!DH3:DI6,2,FALSE)+IF(AND(Calculator!B8=TRUE,Backdoors!BI12=TRUE),VLOOKUP(Calculator!E23,tbSkills!DH3:DJ6,3,FALSE),0),0))/100)))),1),"")</f>
        <v>1</v>
      </c>
      <c r="BP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M93)*BO93)*(VLOOKUP(A93,tbMoveset!A2:C112,3,FALSE)/100)*IF(VLOOKUP(A93,tbMoveset!A2:B112,2,FALSE)="Projectile",Backdoors!N10,Backdoors!N9),0),"")</f>
        <v/>
      </c>
      <c r="BQ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M93&gt;=0.45,VLOOKUP(Calculator!E23,tbSkills!DH3:DI6,2,FALSE)+IF(AND(Calculator!B8=TRUE,Backdoors!BI12=TRUE),VLOOKUP(Calculator!E23,tbSkills!DH3:DJ6,3,FALSE),0),0))&gt;=100,100,(Backdoors!AI12+IF(BM93&gt;=0.45,VLOOKUP(Calculator!E23,tbSkills!DH3:DI6,2,FALSE)+IF(AND(Calculator!B8=TRUE,Backdoors!BI12=TRUE),VLOOKUP(Calculator!E23,tbSkills!DH3:DJ6,3,FALSE),0),0)))/100)),1))*IF(VLOOKUP(A93,tbMoveset!A2:K112,11,FALSE)=TRUE,Backdoors!AC5,1))*BN93,0),"")</f>
        <v>0</v>
      </c>
      <c r="BR93" s="49">
        <f>VLOOKUP(A93,tbMoveset!A2:G112,7,FALSE)*IFERROR(IF(Backdoors!AI12&gt;=0,1+(IF(Calculator!E40&gt;0,VLOOKUP(Calculator!E40,tbSkills!AI3:AJ5,2,FALSE),Backdoors!AL4)*(IF((Backdoors!AI12+IF(BM93&gt;=0.45,VLOOKUP(Calculator!E23,tbSkills!DH3:DI6,2,FALSE)+IF(AND(Calculator!B8=TRUE,Backdoors!BI12=TRUE),VLOOKUP(Calculator!E23,tbSkills!DH3:DJ6,3,FALSE),0),0))&gt;=100,100,(Backdoors!AI12+IF(BM93&gt;=0.45,VLOOKUP(Calculator!E23,tbSkills!DH3:DI6,2,FALSE)+IF(AND(Calculator!B8=TRUE,Backdoors!BI12=TRUE),VLOOKUP(Calculator!E23,tbSkills!DH3:DJ6,3,FALSE),0),0)))/100)),1),1)</f>
        <v>0.7</v>
      </c>
      <c r="BS93" s="87">
        <f t="shared" si="60"/>
        <v>0</v>
      </c>
      <c r="BT93" s="86" t="str">
        <f>IFERROR(IF(VLOOKUP(A93,tbMoveset!A2:B112,2,FALSE)="Sever",Backdoors!AY13/100,IF(VLOOKUP(A93,tbMoveset!A2:B112,2,FALSE)="Blunt",Backdoors!AZ13/100,Backdoors!BA13/100)),"")</f>
        <v/>
      </c>
      <c r="BU93" s="49">
        <f>IFERROR(IF(VLOOKUP(tbMoveset!A93,tbMoveset!A2:H112,8,FALSE)="Other",IF(VLOOKUP(tbMoveset!A93,tbMoveset!A2:I112,9,FALSE)="Fire",Backdoors!BB13,IF(VLOOKUP(tbMoveset!A93,tbMoveset!A2:I112,9,FALSE)="Water",Backdoors!BC13,IF(VLOOKUP(tbMoveset!A93,tbMoveset!A2:I112,9,FALSE)="Thunder",Backdoors!BD13,IF(VLOOKUP(tbMoveset!A93,tbMoveset!A2:I112,9,FALSE)="Ice",Backdoors!BE13,IF(VLOOKUP(tbMoveset!A93,tbMoveset!A2:I112,9,FALSE)="Dragon",Backdoors!BF13,Backdoors!BG13)))))/100,Backdoors!BG13/100),"")</f>
        <v>0</v>
      </c>
      <c r="BV93" s="49">
        <f>IFERROR(IF(VLOOKUP(A93,tbMoveset!A2:J112,10,FALSE)=TRUE,IF((Backdoors!AI12+IF(BT93&gt;=0.45,VLOOKUP(Calculator!E23,tbSkills!DH3:DI6,2,FALSE)+IF(AND(Calculator!B8=TRUE,Backdoors!BI13=TRUE),VLOOKUP(Calculator!E23,tbSkills!DH3:DJ6,3,FALSE),0),0))&gt;=0,1+(Backdoors!AL2*(IF((Backdoors!AI12+IF(BT93&gt;=0.45,VLOOKUP(Calculator!E23,tbSkills!DH3:DI6,2,FALSE)+IF(AND(Calculator!B8=TRUE,Backdoors!BI13=TRUE),VLOOKUP(Calculator!E23,tbSkills!DH3:DJ6,3,FALSE),0),0))&gt;=100,100,(Backdoors!AI12+IF(BT93&gt;=0.45,VLOOKUP(Calculator!E23,tbSkills!DH3:DI6,2,FALSE)+IF(AND(Calculator!B8=TRUE,Backdoors!BI13=TRUE),VLOOKUP(Calculator!E23,tbSkills!DH3:DJ6,3,FALSE),0),0)))/100)),(1-(0.25*((-Backdoors!AI12-IF(BT93&gt;=0.45,VLOOKUP(Calculator!E23,tbSkills!DH3:DI6,2,FALSE)+IF(AND(Calculator!B8=TRUE,Backdoors!BI13=TRUE),VLOOKUP(Calculator!E23,tbSkills!DH3:DJ6,3,FALSE),0),0))/100)))),1),"")</f>
        <v>1</v>
      </c>
      <c r="BW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T93)*BV93)*(VLOOKUP(A93,tbMoveset!A2:C112,3,FALSE)/100)*IF(VLOOKUP(A93,tbMoveset!A2:B112,2,FALSE)="Projectile",Backdoors!N10,Backdoors!N9),0),"")</f>
        <v/>
      </c>
      <c r="BX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T93&gt;=0.45,VLOOKUP(Calculator!E23,tbSkills!DH3:DI6,2,FALSE)+IF(AND(Calculator!B8=TRUE,Backdoors!BI13=TRUE),VLOOKUP(Calculator!E23,tbSkills!DH3:DJ6,3,FALSE),0),0))&gt;=100,100,(Backdoors!AI12+IF(BT93&gt;=0.45,VLOOKUP(Calculator!E23,tbSkills!DH3:DI6,2,FALSE)+IF(AND(Calculator!B8=TRUE,Backdoors!BI13=TRUE),VLOOKUP(Calculator!E23,tbSkills!DH3:DJ6,3,FALSE),0),0)))/100)),1))*IF(VLOOKUP(A93,tbMoveset!A2:K112,11,FALSE)=TRUE,Backdoors!AC5,1))*BU93,0),"")</f>
        <v>0</v>
      </c>
      <c r="BY93" s="49">
        <f>VLOOKUP(A93,tbMoveset!A2:G112,7,FALSE)*IFERROR(IF(Backdoors!AI12&gt;=0,1+(IF(Calculator!E40&gt;0,VLOOKUP(Calculator!E40,tbSkills!AI3:AJ5,2,FALSE),Backdoors!AL4)*(IF((Backdoors!AI12+IF(BT93&gt;=0.45,VLOOKUP(Calculator!E23,tbSkills!DH3:DI6,2,FALSE)+IF(AND(Calculator!B8=TRUE,Backdoors!BI13=TRUE),VLOOKUP(Calculator!E23,tbSkills!DH3:DJ6,3,FALSE),0),0))&gt;=100,100,(Backdoors!AI12+IF(BT93&gt;=0.45,VLOOKUP(Calculator!E23,tbSkills!DH3:DI6,2,FALSE)+IF(AND(Calculator!B8=TRUE,Backdoors!BI13=TRUE),VLOOKUP(Calculator!E23,tbSkills!DH3:DJ6,3,FALSE),0),0)))/100)),1),1)</f>
        <v>0.7</v>
      </c>
      <c r="BZ93" s="87">
        <f t="shared" si="61"/>
        <v>0</v>
      </c>
      <c r="CA93" s="86" t="str">
        <f>IFERROR(IF(VLOOKUP(A93,tbMoveset!A2:B112,2,FALSE)="Sever",Backdoors!AY14/100,IF(VLOOKUP(A93,tbMoveset!A2:B112,2,FALSE)="Blunt",Backdoors!AZ14/100,Backdoors!BA14/100)),"")</f>
        <v/>
      </c>
      <c r="CB93" s="49">
        <f>IFERROR(IF(VLOOKUP(tbMoveset!A93,tbMoveset!A2:H112,8,FALSE)="Other",IF(VLOOKUP(tbMoveset!A93,tbMoveset!A2:I112,9,FALSE)="Fire",Backdoors!BB14,IF(VLOOKUP(tbMoveset!A93,tbMoveset!A2:I112,9,FALSE)="Water",Backdoors!BC14,IF(VLOOKUP(tbMoveset!A93,tbMoveset!A2:I112,9,FALSE)="Thunder",Backdoors!BD14,IF(VLOOKUP(tbMoveset!A93,tbMoveset!A2:I112,9,FALSE)="Ice",Backdoors!BE14,IF(VLOOKUP(tbMoveset!A93,tbMoveset!A2:I112,9,FALSE)="Dragon",Backdoors!BF14,Backdoors!BG14)))))/100,Backdoors!BG14/100),"")</f>
        <v>0</v>
      </c>
      <c r="CC93" s="49">
        <f>IFERROR(IF(VLOOKUP(A93,tbMoveset!A2:J112,10,FALSE)=TRUE,IF((Backdoors!AI12+IF(CA93&gt;=0.45,VLOOKUP(Calculator!E23,tbSkills!DH3:DI6,2,FALSE)+IF(AND(Calculator!B8=TRUE,Backdoors!BI14=TRUE),VLOOKUP(Calculator!E23,tbSkills!DH3:DJ6,3,FALSE),0),0))&gt;=0,1+(Backdoors!AL2*(IF((Backdoors!AI12+IF(CA93&gt;=0.45,VLOOKUP(Calculator!E23,tbSkills!DH3:DI6,2,FALSE)+IF(AND(Calculator!B8=TRUE,Backdoors!BI14=TRUE),VLOOKUP(Calculator!E23,tbSkills!DH3:DJ6,3,FALSE),0),0))&gt;=100,100,(Backdoors!AI12+IF(CA93&gt;=0.45,VLOOKUP(Calculator!E23,tbSkills!DH3:DI6,2,FALSE)+IF(AND(Calculator!B8=TRUE,Backdoors!BI14=TRUE),VLOOKUP(Calculator!E23,tbSkills!DH3:DJ6,3,FALSE),0),0)))/100)),(1-(0.25*((-Backdoors!AI12-IF(CA93&gt;=0.45,VLOOKUP(Calculator!E23,tbSkills!DH3:DI6,2,FALSE)+IF(AND(Calculator!B8=TRUE,Backdoors!BI14=TRUE),VLOOKUP(Calculator!E23,tbSkills!DH3:DJ6,3,FALSE),0),0))/100)))),1),"")</f>
        <v>1</v>
      </c>
      <c r="CD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A93)*CC93)*(VLOOKUP(A93,tbMoveset!A2:C112,3,FALSE)/100)*IF(VLOOKUP(A93,tbMoveset!A2:B112,2,FALSE)="Projectile",Backdoors!N10,Backdoors!N9),0),"")</f>
        <v/>
      </c>
      <c r="CE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A93&gt;=0.45,VLOOKUP(Calculator!E23,tbSkills!DH3:DI6,2,FALSE)+IF(AND(Calculator!B8=TRUE,Backdoors!BI14=TRUE),VLOOKUP(Calculator!E23,tbSkills!DH3:DJ6,3,FALSE),0),0))&gt;=100,100,(Backdoors!AI12+IF(CA93&gt;=0.45,VLOOKUP(Calculator!E23,tbSkills!DH3:DI6,2,FALSE)+IF(AND(Calculator!B8=TRUE,Backdoors!BI14=TRUE),VLOOKUP(Calculator!E23,tbSkills!DH3:DJ6,3,FALSE),0),0)))/100)),1))*IF(VLOOKUP(A93,tbMoveset!A2:K112,11,FALSE)=TRUE,Backdoors!AC5,1))*CB93,0),"")</f>
        <v>0</v>
      </c>
      <c r="CF93" s="49">
        <f>VLOOKUP(A93,tbMoveset!A2:G112,7,FALSE)*IFERROR(IF(Backdoors!AI12&gt;=0,1+(IF(Calculator!E40&gt;0,VLOOKUP(Calculator!E40,tbSkills!AI3:AJ5,2,FALSE),Backdoors!AL4)*(IF((Backdoors!AI12+IF(CA93&gt;=0.45,VLOOKUP(Calculator!E23,tbSkills!DH3:DI6,2,FALSE)+IF(AND(Calculator!B8=TRUE,Backdoors!BI14=TRUE),VLOOKUP(Calculator!E23,tbSkills!DH3:DJ6,3,FALSE),0),0))&gt;=100,100,(Backdoors!AI12+IF(CA93&gt;=0.45,VLOOKUP(Calculator!E23,tbSkills!DH3:DI6,2,FALSE)+IF(AND(Calculator!B8=TRUE,Backdoors!BI14=TRUE),VLOOKUP(Calculator!E23,tbSkills!DH3:DJ6,3,FALSE),0),0)))/100)),1),1)</f>
        <v>0.7</v>
      </c>
      <c r="CG93" s="87">
        <f t="shared" si="62"/>
        <v>0</v>
      </c>
      <c r="CH93" s="86" t="str">
        <f>IFERROR(IF(VLOOKUP(A93,tbMoveset!A2:B112,2,FALSE)="Sever",Backdoors!AY15/100,IF(VLOOKUP(A93,tbMoveset!A2:B112,2,FALSE)="Blunt",Backdoors!AZ15/100,Backdoors!BA15/100)),"")</f>
        <v/>
      </c>
      <c r="CI93" s="49">
        <f>IFERROR(IF(VLOOKUP(tbMoveset!A93,tbMoveset!A2:H112,8,FALSE)="Other",IF(VLOOKUP(tbMoveset!A93,tbMoveset!A2:I112,9,FALSE)="Fire",Backdoors!BB15,IF(VLOOKUP(tbMoveset!A93,tbMoveset!A2:I112,9,FALSE)="Water",Backdoors!BC15,IF(VLOOKUP(tbMoveset!A93,tbMoveset!A2:I112,9,FALSE)="Thunder",Backdoors!BD15,IF(VLOOKUP(tbMoveset!A93,tbMoveset!A2:I112,9,FALSE)="Ice",Backdoors!BE15,IF(VLOOKUP(tbMoveset!A93,tbMoveset!A2:I112,9,FALSE)="Dragon",Backdoors!BF15,Backdoors!BG15)))))/100,Backdoors!BG15/100),"")</f>
        <v>0</v>
      </c>
      <c r="CJ93" s="49">
        <f>IFERROR(IF(VLOOKUP(A93,tbMoveset!A2:J112,10,FALSE)=TRUE,IF((Backdoors!AI12+IF(CH93&gt;=0.45,VLOOKUP(Calculator!E23,tbSkills!DH3:DI6,2,FALSE)+IF(AND(Calculator!B8=TRUE,Backdoors!BI15=TRUE),VLOOKUP(Calculator!E23,tbSkills!DH3:DJ6,3,FALSE),0),0))&gt;=0,1+(Backdoors!AL2*(IF((Backdoors!AI12+IF(CH93&gt;=0.45,VLOOKUP(Calculator!E23,tbSkills!DH3:DI6,2,FALSE)+IF(AND(Calculator!B8=TRUE,Backdoors!BI15=TRUE),VLOOKUP(Calculator!E23,tbSkills!DH3:DJ6,3,FALSE),0),0))&gt;=100,100,(Backdoors!AI12+IF(CH93&gt;=0.45,VLOOKUP(Calculator!E23,tbSkills!DH3:DI6,2,FALSE)+IF(AND(Calculator!B8=TRUE,Backdoors!BI15=TRUE),VLOOKUP(Calculator!E23,tbSkills!DH3:DJ6,3,FALSE),0),0)))/100)),(1-(0.25*((-Backdoors!AI12-IF(CH93&gt;=0.45,VLOOKUP(Calculator!E23,tbSkills!DH3:DI6,2,FALSE)+IF(AND(Calculator!B8=TRUE,Backdoors!BI15=TRUE),VLOOKUP(Calculator!E23,tbSkills!DH3:DJ6,3,FALSE),0),0))/100)))),1),"")</f>
        <v>1</v>
      </c>
      <c r="CK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H93)*CJ93)*(VLOOKUP(A93,tbMoveset!A2:C112,3,FALSE)/100)*IF(VLOOKUP(A93,tbMoveset!A2:B112,2,FALSE)="Projectile",Backdoors!N10,Backdoors!N9),0),"")</f>
        <v/>
      </c>
      <c r="CL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H93&gt;=0.45,VLOOKUP(Calculator!E23,tbSkills!DH3:DI6,2,FALSE)+IF(AND(Calculator!B8=TRUE,Backdoors!BI15=TRUE),VLOOKUP(Calculator!E23,tbSkills!DH3:DJ6,3,FALSE),0),0))&gt;=100,100,(Backdoors!AI12+IF(CH93&gt;=0.45,VLOOKUP(Calculator!E23,tbSkills!DH3:DI6,2,FALSE)+IF(AND(Calculator!B8=TRUE,Backdoors!BI15=TRUE),VLOOKUP(Calculator!E23,tbSkills!DH3:DJ6,3,FALSE),0),0)))/100)),1))*IF(VLOOKUP(A93,tbMoveset!A2:K112,11,FALSE)=TRUE,Backdoors!AC5,1))*CI93,0),"")</f>
        <v>0</v>
      </c>
      <c r="CM93" s="49">
        <f>VLOOKUP(A93,tbMoveset!A2:G112,7,FALSE)*IFERROR(IF(Backdoors!AI12&gt;=0,1+(IF(Calculator!E40&gt;0,VLOOKUP(Calculator!E40,tbSkills!AI3:AJ5,2,FALSE),Backdoors!AL4)*(IF((Backdoors!AI12+IF(CH93&gt;=0.45,VLOOKUP(Calculator!E23,tbSkills!DH3:DI6,2,FALSE)+IF(AND(Calculator!B8=TRUE,Backdoors!BI15=TRUE),VLOOKUP(Calculator!E23,tbSkills!DH3:DJ6,3,FALSE),0),0))&gt;=100,100,(Backdoors!AI12+IF(CH93&gt;=0.45,VLOOKUP(Calculator!E23,tbSkills!DH3:DI6,2,FALSE)+IF(AND(Calculator!B8=TRUE,Backdoors!BI15=TRUE),VLOOKUP(Calculator!E23,tbSkills!DH3:DJ6,3,FALSE),0),0)))/100)),1),1)</f>
        <v>0.7</v>
      </c>
      <c r="CN93" s="87">
        <f t="shared" si="63"/>
        <v>0</v>
      </c>
      <c r="CO93" s="86" t="str">
        <f>IFERROR(IF(VLOOKUP(A93,tbMoveset!A2:B112,2,FALSE)="Sever",Backdoors!AY16/100,IF(VLOOKUP(A93,tbMoveset!A2:B112,2,FALSE)="Blunt",Backdoors!AZ16/100,Backdoors!BA16/100)),"")</f>
        <v/>
      </c>
      <c r="CP93" s="49">
        <f>IFERROR(IF(VLOOKUP(tbMoveset!A93,tbMoveset!A2:H112,8,FALSE)="Other",IF(VLOOKUP(tbMoveset!A93,tbMoveset!A2:I112,9,FALSE)="Fire",Backdoors!BB16,IF(VLOOKUP(tbMoveset!A93,tbMoveset!A2:I112,9,FALSE)="Water",Backdoors!BC16,IF(VLOOKUP(tbMoveset!A93,tbMoveset!A2:I112,9,FALSE)="Thunder",Backdoors!BD16,IF(VLOOKUP(tbMoveset!A93,tbMoveset!A2:I112,9,FALSE)="Ice",Backdoors!BE16,IF(VLOOKUP(tbMoveset!A93,tbMoveset!A2:I112,9,FALSE)="Dragon",Backdoors!BF16,Backdoors!BG16)))))/100,Backdoors!BG16/100),"")</f>
        <v>0</v>
      </c>
      <c r="CQ93" s="49">
        <f>IFERROR(IF(VLOOKUP(A93,tbMoveset!A2:J112,10,FALSE)=TRUE,IF((Backdoors!AI12+IF(CO93&gt;=0.45,VLOOKUP(Calculator!E23,tbSkills!DH3:DI6,2,FALSE)+IF(AND(Calculator!B8=TRUE,Backdoors!BI16=TRUE),VLOOKUP(Calculator!E23,tbSkills!DH3:DJ6,3,FALSE),0),0))&gt;=0,1+(Backdoors!AL2*(IF((Backdoors!AI12+IF(CO93&gt;=0.45,VLOOKUP(Calculator!E23,tbSkills!DH3:DI6,2,FALSE)+IF(AND(Calculator!B8=TRUE,Backdoors!BI16=TRUE),VLOOKUP(Calculator!E23,tbSkills!DH3:DJ6,3,FALSE),0),0))&gt;=100,100,(Backdoors!AI12+IF(CO93&gt;=0.45,VLOOKUP(Calculator!E23,tbSkills!DH3:DI6,2,FALSE)+IF(AND(Calculator!B8=TRUE,Backdoors!BI16=TRUE),VLOOKUP(Calculator!E23,tbSkills!DH3:DJ6,3,FALSE),0),0)))/100)),(1-(0.25*((-Backdoors!AI12-IF(CO93&gt;=0.45,VLOOKUP(Calculator!E23,tbSkills!DH3:DI6,2,FALSE)+IF(AND(Calculator!B8=TRUE,Backdoors!BI16=TRUE),VLOOKUP(Calculator!E23,tbSkills!DH3:DJ6,3,FALSE),0),0))/100)))),1),"")</f>
        <v>1</v>
      </c>
      <c r="CR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O93)*CQ93)*(VLOOKUP(A93,tbMoveset!A2:C112,3,FALSE)/100)*IF(VLOOKUP(A93,tbMoveset!A2:B112,2,FALSE)="Projectile",Backdoors!N10,Backdoors!N9),0),"")</f>
        <v/>
      </c>
      <c r="CS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O93&gt;=0.45,VLOOKUP(Calculator!E23,tbSkills!DH3:DI6,2,FALSE)+IF(AND(Calculator!B8=TRUE,Backdoors!BI16=TRUE),VLOOKUP(Calculator!E23,tbSkills!DH3:DJ6,3,FALSE),0),0))&gt;=100,100,(Backdoors!AI12+IF(CO93&gt;=0.45,VLOOKUP(Calculator!E23,tbSkills!DH3:DI6,2,FALSE)+IF(AND(Calculator!B8=TRUE,Backdoors!BI16=TRUE),VLOOKUP(Calculator!E23,tbSkills!DH3:DJ6,3,FALSE),0),0)))/100)),1))*IF(VLOOKUP(A93,tbMoveset!A2:K112,11,FALSE)=TRUE,Backdoors!AC5,1))*CP93,0),"")</f>
        <v>0</v>
      </c>
      <c r="CT93" s="49">
        <f>VLOOKUP(A93,tbMoveset!A2:G112,7,FALSE)*IFERROR(IF(Backdoors!AI12&gt;=0,1+(IF(Calculator!E40&gt;0,VLOOKUP(Calculator!E40,tbSkills!AI3:AJ5,2,FALSE),Backdoors!AL4)*(IF((Backdoors!AI12+IF(CO93&gt;=0.45,VLOOKUP(Calculator!E23,tbSkills!DH3:DI6,2,FALSE)+IF(AND(Calculator!B8=TRUE,Backdoors!BI16=TRUE),VLOOKUP(Calculator!E23,tbSkills!DH3:DJ6,3,FALSE),0),0))&gt;=100,100,(Backdoors!AI12+IF(CO93&gt;=0.45,VLOOKUP(Calculator!E23,tbSkills!DH3:DI6,2,FALSE)+IF(AND(Calculator!B8=TRUE,Backdoors!BI16=TRUE),VLOOKUP(Calculator!E23,tbSkills!DH3:DJ6,3,FALSE),0),0)))/100)),1),1)</f>
        <v>0.7</v>
      </c>
      <c r="CU93" s="87">
        <f t="shared" si="64"/>
        <v>0</v>
      </c>
      <c r="CV93" s="86" t="str">
        <f>IFERROR(IF(VLOOKUP(A93,tbMoveset!A2:B112,2,FALSE)="Sever",Backdoors!AY17/100,IF(VLOOKUP(A93,tbMoveset!A2:B112,2,FALSE)="Blunt",Backdoors!AZ17/100,Backdoors!BA17/100)),"")</f>
        <v/>
      </c>
      <c r="CW93" s="49">
        <f>IFERROR(IF(VLOOKUP(tbMoveset!A93,tbMoveset!A2:H112,8,FALSE)="Other",IF(VLOOKUP(tbMoveset!A93,tbMoveset!A2:I112,9,FALSE)="Fire",Backdoors!BB17,IF(VLOOKUP(tbMoveset!A93,tbMoveset!A2:I112,9,FALSE)="Water",Backdoors!BC17,IF(VLOOKUP(tbMoveset!A93,tbMoveset!A2:I112,9,FALSE)="Thunder",Backdoors!BD17,IF(VLOOKUP(tbMoveset!A93,tbMoveset!A2:I112,9,FALSE)="Ice",Backdoors!BE17,IF(VLOOKUP(tbMoveset!A93,tbMoveset!A2:I112,9,FALSE)="Dragon",Backdoors!BF17,Backdoors!BG17)))))/100,Backdoors!BG17/100),"")</f>
        <v>0</v>
      </c>
      <c r="CX93" s="49">
        <f>IFERROR(IF(VLOOKUP(A93,tbMoveset!A2:J112,10,FALSE)=TRUE,IF((Backdoors!AI12+IF(CV93&gt;=0.45,VLOOKUP(Calculator!E23,tbSkills!DH3:DI6,2,FALSE)+IF(AND(Calculator!B8=TRUE,Backdoors!BI17=TRUE),VLOOKUP(Calculator!E23,tbSkills!DH3:DJ6,3,FALSE),0),0))&gt;=0,1+(Backdoors!AL2*(IF((Backdoors!AI12+IF(CV93&gt;=0.45,VLOOKUP(Calculator!E23,tbSkills!DH3:DI6,2,FALSE)+IF(AND(Calculator!B8=TRUE,Backdoors!BI17=TRUE),VLOOKUP(Calculator!E23,tbSkills!DH3:DJ6,3,FALSE),0),0))&gt;=100,100,(Backdoors!AI12+IF(CV93&gt;=0.45,VLOOKUP(Calculator!E23,tbSkills!DH3:DI6,2,FALSE)+IF(AND(Calculator!B8=TRUE,Backdoors!BI17=TRUE),VLOOKUP(Calculator!E23,tbSkills!DH3:DJ6,3,FALSE),0),0)))/100)),(1-(0.25*((-Backdoors!AI12-IF(CV93&gt;=0.45,VLOOKUP(Calculator!E23,tbSkills!DH3:DI6,2,FALSE)+IF(AND(Calculator!B8=TRUE,Backdoors!BI17=TRUE),VLOOKUP(Calculator!E23,tbSkills!DH3:DJ6,3,FALSE),0),0))/100)))),1),"")</f>
        <v>1</v>
      </c>
      <c r="CY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V93)*CX93)*(VLOOKUP(A93,tbMoveset!A2:C112,3,FALSE)/100)*IF(VLOOKUP(A93,tbMoveset!A2:B112,2,FALSE)="Projectile",Backdoors!N10,Backdoors!N9),0),"")</f>
        <v/>
      </c>
      <c r="CZ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V93&gt;=0.45,VLOOKUP(Calculator!E23,tbSkills!DH3:DI6,2,FALSE)+IF(AND(Calculator!B8=TRUE,Backdoors!BI17=TRUE),VLOOKUP(Calculator!E23,tbSkills!DH3:DJ6,3,FALSE),0),0))&gt;=100,100,(Backdoors!AI12+IF(CV93&gt;=0.45,VLOOKUP(Calculator!E23,tbSkills!DH3:DI6,2,FALSE)+IF(AND(Calculator!B8=TRUE,Backdoors!BI17=TRUE),VLOOKUP(Calculator!E23,tbSkills!DH3:DJ6,3,FALSE),0),0)))/100)),1))*IF(VLOOKUP(A93,tbMoveset!A2:K112,11,FALSE)=TRUE,Backdoors!AC5,1))*CW93,0),"")</f>
        <v>0</v>
      </c>
      <c r="DA93" s="49">
        <f>VLOOKUP(A93,tbMoveset!A2:G112,7,FALSE)*IFERROR(IF(Backdoors!AI12&gt;=0,1+(IF(Calculator!E40&gt;0,VLOOKUP(Calculator!E40,tbSkills!AI3:AJ5,2,FALSE),Backdoors!AL4)*(IF((Backdoors!AI12+IF(CV93&gt;=0.45,VLOOKUP(Calculator!E23,tbSkills!DH3:DI6,2,FALSE)+IF(AND(Calculator!B8=TRUE,Backdoors!BI17=TRUE),VLOOKUP(Calculator!E23,tbSkills!DH3:DJ6,3,FALSE),0),0))&gt;=100,100,(Backdoors!AI12+IF(CV93&gt;=0.45,VLOOKUP(Calculator!E23,tbSkills!DH3:DI6,2,FALSE)+IF(AND(Calculator!B8=TRUE,Backdoors!BI17=TRUE),VLOOKUP(Calculator!E23,tbSkills!DH3:DJ6,3,FALSE),0),0)))/100)),1),1)</f>
        <v>0.7</v>
      </c>
      <c r="DB93" s="87">
        <f t="shared" si="65"/>
        <v>0</v>
      </c>
      <c r="DC93" s="86" t="str">
        <f>IFERROR(IF(VLOOKUP(A93,tbMoveset!A2:B112,2,FALSE)="Sever",Backdoors!AY18/100,IF(VLOOKUP(A93,tbMoveset!A2:B112,2,FALSE)="Blunt",Backdoors!AZ18/100,Backdoors!BA18/100)),"")</f>
        <v/>
      </c>
      <c r="DD93" s="49">
        <f>IFERROR(IF(VLOOKUP(tbMoveset!A93,tbMoveset!A2:H112,8,FALSE)="Other",IF(VLOOKUP(tbMoveset!A93,tbMoveset!A2:I112,9,FALSE)="Fire",Backdoors!BB18,IF(VLOOKUP(tbMoveset!A93,tbMoveset!A2:I112,9,FALSE)="Water",Backdoors!BC18,IF(VLOOKUP(tbMoveset!A93,tbMoveset!A2:I112,9,FALSE)="Thunder",Backdoors!BD18,IF(VLOOKUP(tbMoveset!A93,tbMoveset!A2:I112,9,FALSE)="Ice",Backdoors!BE18,IF(VLOOKUP(tbMoveset!A93,tbMoveset!A2:I112,9,FALSE)="Dragon",Backdoors!BF18,Backdoors!BG18)))))/100,Backdoors!BG18/100),"")</f>
        <v>0</v>
      </c>
      <c r="DE93" s="49">
        <f>IFERROR(IF(VLOOKUP(A93,tbMoveset!A2:J112,10,FALSE)=TRUE,IF((Backdoors!AI12+IF(DC93&gt;=0.45,VLOOKUP(Calculator!E23,tbSkills!DH3:DI6,2,FALSE)+IF(AND(Calculator!B8=TRUE,Backdoors!BI18=TRUE),VLOOKUP(Calculator!E23,tbSkills!DH3:DJ6,3,FALSE),0),0))&gt;=0,1+(Backdoors!AL2*(IF((Backdoors!AI12+IF(DC93&gt;=0.45,VLOOKUP(Calculator!E23,tbSkills!DH3:DI6,2,FALSE)+IF(AND(Calculator!B8=TRUE,Backdoors!BI18=TRUE),VLOOKUP(Calculator!E23,tbSkills!DH3:DJ6,3,FALSE),0),0))&gt;=100,100,(Backdoors!AI12+IF(DC93&gt;=0.45,VLOOKUP(Calculator!E23,tbSkills!DH3:DI6,2,FALSE)+IF(AND(Calculator!B8=TRUE,Backdoors!BI18=TRUE),VLOOKUP(Calculator!E23,tbSkills!DH3:DJ6,3,FALSE),0),0)))/100)),(1-(0.25*((-Backdoors!AI12-IF(DC93&gt;=0.45,VLOOKUP(Calculator!E23,tbSkills!DH3:DI6,2,FALSE)+IF(AND(Calculator!B8=TRUE,Backdoors!BI18=TRUE),VLOOKUP(Calculator!E23,tbSkills!DH3:DJ6,3,FALSE),0),0))/100)))),1),"")</f>
        <v>1</v>
      </c>
      <c r="DF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C93)*DE93)*(VLOOKUP(A93,tbMoveset!A2:C112,3,FALSE)/100)*IF(VLOOKUP(A93,tbMoveset!A2:B112,2,FALSE)="Projectile",Backdoors!N10,Backdoors!N9),0),"")</f>
        <v/>
      </c>
      <c r="DG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C93&gt;=0.45,VLOOKUP(Calculator!E23,tbSkills!DH3:DI6,2,FALSE)+IF(AND(Calculator!B8=TRUE,Backdoors!BI18=TRUE),VLOOKUP(Calculator!E23,tbSkills!DH3:DJ6,3,FALSE),0),0))&gt;=100,100,(Backdoors!AI12+IF(DC93&gt;=0.45,VLOOKUP(Calculator!E23,tbSkills!DH3:DI6,2,FALSE)+IF(AND(Calculator!B8=TRUE,Backdoors!BI18=TRUE),VLOOKUP(Calculator!E23,tbSkills!DH3:DJ6,3,FALSE),0),0)))/100)),1))*IF(VLOOKUP(A93,tbMoveset!A2:K112,11,FALSE)=TRUE,Backdoors!AC5,1))*DD93,0),"")</f>
        <v>0</v>
      </c>
      <c r="DH93" s="49">
        <f>VLOOKUP(A93,tbMoveset!A2:G112,7,FALSE)*IFERROR(IF(Backdoors!AI12&gt;=0,1+(IF(Calculator!E40&gt;0,VLOOKUP(Calculator!E40,tbSkills!AI3:AJ5,2,FALSE),Backdoors!AL4)*(IF((Backdoors!AI12+IF(DC93&gt;=0.45,VLOOKUP(Calculator!E23,tbSkills!DH3:DI6,2,FALSE)+IF(AND(Calculator!B8=TRUE,Backdoors!BI18=TRUE),VLOOKUP(Calculator!E23,tbSkills!DH3:DJ6,3,FALSE),0),0))&gt;=100,100,(Backdoors!AI12+IF(DC93&gt;=0.45,VLOOKUP(Calculator!E23,tbSkills!DH3:DI6,2,FALSE)+IF(AND(Calculator!B8=TRUE,Backdoors!BI18=TRUE),VLOOKUP(Calculator!E23,tbSkills!DH3:DJ6,3,FALSE),0),0)))/100)),1),1)</f>
        <v>0.7</v>
      </c>
      <c r="DI93" s="87">
        <f t="shared" si="66"/>
        <v>0</v>
      </c>
      <c r="DJ93" s="86" t="str">
        <f>IFERROR(IF(VLOOKUP(A93,tbMoveset!A2:B112,2,FALSE)="Sever",Backdoors!AY19/100,IF(VLOOKUP(A93,tbMoveset!A2:B112,2,FALSE)="Blunt",Backdoors!AZ19/100,Backdoors!BA19/100)),"")</f>
        <v/>
      </c>
      <c r="DK93" s="49">
        <f>IFERROR(IF(VLOOKUP(tbMoveset!A93,tbMoveset!A2:H112,8,FALSE)="Other",IF(VLOOKUP(tbMoveset!A93,tbMoveset!A2:I112,9,FALSE)="Fire",Backdoors!BB19,IF(VLOOKUP(tbMoveset!A93,tbMoveset!A2:I112,9,FALSE)="Water",Backdoors!BC19,IF(VLOOKUP(tbMoveset!A93,tbMoveset!A2:I112,9,FALSE)="Thunder",Backdoors!BD19,IF(VLOOKUP(tbMoveset!A93,tbMoveset!A2:I112,9,FALSE)="Ice",Backdoors!BE19,IF(VLOOKUP(tbMoveset!A93,tbMoveset!A2:I112,9,FALSE)="Dragon",Backdoors!BF19,Backdoors!BG19)))))/100,Backdoors!BG19/100),"")</f>
        <v>0</v>
      </c>
      <c r="DL93" s="49">
        <f>IFERROR(IF(VLOOKUP(A93,tbMoveset!A2:J112,10,FALSE)=TRUE,IF((Backdoors!AI12+IF(DJ93&gt;=0.45,VLOOKUP(Calculator!E23,tbSkills!DH3:DI6,2,FALSE)+IF(AND(Calculator!B8=TRUE,Backdoors!BI19=TRUE),VLOOKUP(Calculator!E23,tbSkills!DH3:DJ6,3,FALSE),0),0))&gt;=0,1+(Backdoors!AL2*(IF((Backdoors!AI12+IF(DJ93&gt;=0.45,VLOOKUP(Calculator!E23,tbSkills!DH3:DI6,2,FALSE)+IF(AND(Calculator!B8=TRUE,Backdoors!BI19=TRUE),VLOOKUP(Calculator!E23,tbSkills!DH3:DJ6,3,FALSE),0),0))&gt;=100,100,(Backdoors!AI12+IF(DJ93&gt;=0.45,VLOOKUP(Calculator!E23,tbSkills!DH3:DI6,2,FALSE)+IF(AND(Calculator!B8=TRUE,Backdoors!BI19=TRUE),VLOOKUP(Calculator!E23,tbSkills!DH3:DJ6,3,FALSE),0),0)))/100)),(1-(0.25*((-Backdoors!AI12-IF(DJ93&gt;=0.45,VLOOKUP(Calculator!E23,tbSkills!DH3:DI6,2,FALSE)+IF(AND(Calculator!B8=TRUE,Backdoors!BI19=TRUE),VLOOKUP(Calculator!E23,tbSkills!DH3:DJ6,3,FALSE),0),0))/100)))),1),"")</f>
        <v>1</v>
      </c>
      <c r="DM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J93)*DL93)*(VLOOKUP(A93,tbMoveset!A2:C112,3,FALSE)/100)*IF(VLOOKUP(A93,tbMoveset!A2:B112,2,FALSE)="Projectile",Backdoors!N10,Backdoors!N9),0),"")</f>
        <v/>
      </c>
      <c r="DN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J93&gt;=0.45,VLOOKUP(Calculator!E23,tbSkills!DH3:DI6,2,FALSE)+IF(AND(Calculator!B8=TRUE,Backdoors!BI19=TRUE),VLOOKUP(Calculator!E23,tbSkills!DH3:DJ6,3,FALSE),0),0))&gt;=100,100,(Backdoors!AI12+IF(DJ93&gt;=0.45,VLOOKUP(Calculator!E23,tbSkills!DH3:DI6,2,FALSE)+IF(AND(Calculator!B8=TRUE,Backdoors!BI19=TRUE),VLOOKUP(Calculator!E23,tbSkills!DH3:DJ6,3,FALSE),0),0)))/100)),1))*IF(VLOOKUP(A93,tbMoveset!A2:K112,11,FALSE)=TRUE,Backdoors!AC5,1))*DK93,0),"")</f>
        <v>0</v>
      </c>
      <c r="DO93" s="49">
        <f>VLOOKUP(A93,tbMoveset!A2:G112,7,FALSE)*IFERROR(IF(Backdoors!AI12&gt;=0,1+(IF(Calculator!E40&gt;0,VLOOKUP(Calculator!E40,tbSkills!AI3:AJ5,2,FALSE),Backdoors!AL4)*(IF((Backdoors!AI12+IF(DJ93&gt;=0.45,VLOOKUP(Calculator!E23,tbSkills!DH3:DI6,2,FALSE)+IF(AND(Calculator!B8=TRUE,Backdoors!BI19=TRUE),VLOOKUP(Calculator!E23,tbSkills!DH3:DJ6,3,FALSE),0),0))&gt;=100,100,(Backdoors!AI12+IF(DJ93&gt;=0.45,VLOOKUP(Calculator!E23,tbSkills!DH3:DI6,2,FALSE)+IF(AND(Calculator!B8=TRUE,Backdoors!BI19=TRUE),VLOOKUP(Calculator!E23,tbSkills!DH3:DJ6,3,FALSE),0),0)))/100)),1),1)</f>
        <v>0.7</v>
      </c>
      <c r="DP93" s="87">
        <f t="shared" si="67"/>
        <v>0</v>
      </c>
      <c r="DQ93" s="86" t="str">
        <f>IFERROR(IF(VLOOKUP(A93,tbMoveset!A2:B112,2,FALSE)="Sever",Backdoors!AY20/100,IF(VLOOKUP(A93,tbMoveset!A2:B112,2,FALSE)="Blunt",Backdoors!AZ20/100,Backdoors!BA20/100)),"")</f>
        <v/>
      </c>
      <c r="DR93" s="49">
        <f>IFERROR(IF(VLOOKUP(tbMoveset!A93,tbMoveset!A2:H112,8,FALSE)="Other",IF(VLOOKUP(tbMoveset!A93,tbMoveset!A2:I112,9,FALSE)="Fire",Backdoors!BB20,IF(VLOOKUP(tbMoveset!A93,tbMoveset!A2:I112,9,FALSE)="Water",Backdoors!BC20,IF(VLOOKUP(tbMoveset!A93,tbMoveset!A2:I112,9,FALSE)="Thunder",Backdoors!BD20,IF(VLOOKUP(tbMoveset!A93,tbMoveset!A2:I112,9,FALSE)="Ice",Backdoors!BE20,IF(VLOOKUP(tbMoveset!A93,tbMoveset!A2:I112,9,FALSE)="Dragon",Backdoors!BF20,Backdoors!BG20)))))/100,Backdoors!BG20/100),"")</f>
        <v>0</v>
      </c>
      <c r="DS93" s="49">
        <f>IFERROR(IF(VLOOKUP(A93,tbMoveset!A2:J112,10,FALSE)=TRUE,IF((Backdoors!AI12+IF(DQ93&gt;=0.45,VLOOKUP(Calculator!E23,tbSkills!DH3:DI6,2,FALSE)+IF(AND(Calculator!B8=TRUE,Backdoors!BI20=TRUE),VLOOKUP(Calculator!E23,tbSkills!DH3:DJ6,3,FALSE),0),0))&gt;=0,1+(Backdoors!AL2*(IF((Backdoors!AI12+IF(DQ93&gt;=0.45,VLOOKUP(Calculator!E23,tbSkills!DH3:DI6,2,FALSE)+IF(AND(Calculator!B8=TRUE,Backdoors!BI20=TRUE),VLOOKUP(Calculator!E23,tbSkills!DH3:DJ6,3,FALSE),0),0))&gt;=100,100,(Backdoors!AI12+IF(DQ93&gt;=0.45,VLOOKUP(Calculator!E23,tbSkills!DH3:DI6,2,FALSE)+IF(AND(Calculator!B8=TRUE,Backdoors!BI20=TRUE),VLOOKUP(Calculator!E23,tbSkills!DH3:DJ6,3,FALSE),0),0)))/100)),(1-(0.25*((-Backdoors!AI12-IF(DQ93&gt;=0.45,VLOOKUP(Calculator!E23,tbSkills!DH3:DI6,2,FALSE)+IF(AND(Calculator!B8=TRUE,Backdoors!BI20=TRUE),VLOOKUP(Calculator!E23,tbSkills!DH3:DJ6,3,FALSE),0),0))/100)))),1),"")</f>
        <v>1</v>
      </c>
      <c r="DT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Q93)*DS93)*(VLOOKUP(A93,tbMoveset!A2:C112,3,FALSE)/100)*IF(VLOOKUP(A93,tbMoveset!A2:B112,2,FALSE)="Projectile",Backdoors!N10,Backdoors!N9),0),"")</f>
        <v/>
      </c>
      <c r="DU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Q93&gt;=0.45,VLOOKUP(Calculator!E23,tbSkills!DH3:DI6,2,FALSE)+IF(AND(Calculator!B8=TRUE,Backdoors!BI20=TRUE),VLOOKUP(Calculator!E23,tbSkills!DH3:DJ6,3,FALSE),0),0))&gt;=100,100,(Backdoors!AI12+IF(DQ93&gt;=0.45,VLOOKUP(Calculator!E23,tbSkills!DH3:DI6,2,FALSE)+IF(AND(Calculator!B8=TRUE,Backdoors!BI20=TRUE),VLOOKUP(Calculator!E23,tbSkills!DH3:DJ6,3,FALSE),0),0)))/100)),1))*IF(VLOOKUP(A93,tbMoveset!A2:K112,11,FALSE)=TRUE,Backdoors!AC5,1))*DR93,0),"")</f>
        <v>0</v>
      </c>
      <c r="DV93" s="49">
        <f>VLOOKUP(A93,tbMoveset!A2:G112,7,FALSE)*IFERROR(IF(Backdoors!AI12&gt;=0,1+(IF(Calculator!E40&gt;0,VLOOKUP(Calculator!E40,tbSkills!AI3:AJ5,2,FALSE),Backdoors!AL4)*(IF((Backdoors!AI12+IF(DQ93&gt;=0.45,VLOOKUP(Calculator!E23,tbSkills!DH3:DI6,2,FALSE)+IF(AND(Calculator!B8=TRUE,Backdoors!BI20=TRUE),VLOOKUP(Calculator!E23,tbSkills!DH3:DJ6,3,FALSE),0),0))&gt;=100,100,(Backdoors!AI12+IF(DQ93&gt;=0.45,VLOOKUP(Calculator!E23,tbSkills!DH3:DI6,2,FALSE)+IF(AND(Calculator!B8=TRUE,Backdoors!BI20=TRUE),VLOOKUP(Calculator!E23,tbSkills!DH3:DJ6,3,FALSE),0),0)))/100)),1),1)</f>
        <v>0.7</v>
      </c>
      <c r="DW93" s="87">
        <f t="shared" si="68"/>
        <v>0</v>
      </c>
      <c r="DX93" s="86" t="str">
        <f>IFERROR(IF(VLOOKUP(A93,tbMoveset!A2:B112,2,FALSE)="Sever",Backdoors!AY21/100,IF(VLOOKUP(A93,tbMoveset!A2:B112,2,FALSE)="Blunt",Backdoors!AZ21/100,Backdoors!BA21/100)),"")</f>
        <v/>
      </c>
      <c r="DY93" s="49">
        <f>IFERROR(IF(VLOOKUP(tbMoveset!A93,tbMoveset!A2:H112,8,FALSE)="Other",IF(VLOOKUP(tbMoveset!A93,tbMoveset!A2:I112,9,FALSE)="Fire",Backdoors!BB21,IF(VLOOKUP(tbMoveset!A93,tbMoveset!A2:I112,9,FALSE)="Water",Backdoors!BC21,IF(VLOOKUP(tbMoveset!A93,tbMoveset!A2:I112,9,FALSE)="Thunder",Backdoors!BD21,IF(VLOOKUP(tbMoveset!A93,tbMoveset!A2:I112,9,FALSE)="Ice",Backdoors!BE21,IF(VLOOKUP(tbMoveset!A93,tbMoveset!A2:I112,9,FALSE)="Dragon",Backdoors!BF21,Backdoors!BG21)))))/100,Backdoors!BG21/100),"")</f>
        <v>0</v>
      </c>
      <c r="DZ93" s="49">
        <f>IFERROR(IF(VLOOKUP(A93,tbMoveset!A2:J112,10,FALSE)=TRUE,IF((Backdoors!AI12+IF(DX93&gt;=0.45,VLOOKUP(Calculator!E23,tbSkills!DH3:DI6,2,FALSE)+IF(AND(Calculator!B8=TRUE,Backdoors!BI21=TRUE),VLOOKUP(Calculator!E23,tbSkills!DH3:DJ6,3,FALSE),0),0))&gt;=0,1+(Backdoors!AL2*(IF((Backdoors!AI12+IF(DX93&gt;=0.45,VLOOKUP(Calculator!E23,tbSkills!DH3:DI6,2,FALSE)+IF(AND(Calculator!B8=TRUE,Backdoors!BI21=TRUE),VLOOKUP(Calculator!E23,tbSkills!DH3:DJ6,3,FALSE),0),0))&gt;=100,100,(Backdoors!AI12+IF(DX93&gt;=0.45,VLOOKUP(Calculator!E23,tbSkills!DH3:DI6,2,FALSE)+IF(AND(Calculator!B8=TRUE,Backdoors!BI21=TRUE),VLOOKUP(Calculator!E23,tbSkills!DH3:DJ6,3,FALSE),0),0)))/100)),(1-(0.25*((-Backdoors!AI12-IF(DX93&gt;=0.45,VLOOKUP(Calculator!E23,tbSkills!DH3:DI6,2,FALSE)+IF(AND(Calculator!B8=TRUE,Backdoors!BI21=TRUE),VLOOKUP(Calculator!E23,tbSkills!DH3:DJ6,3,FALSE),0),0))/100)))),1),"")</f>
        <v>1</v>
      </c>
      <c r="EA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X93)*DZ93)*(VLOOKUP(A93,tbMoveset!A2:C112,3,FALSE)/100)*IF(VLOOKUP(A93,tbMoveset!A2:B112,2,FALSE)="Projectile",Backdoors!N10,Backdoors!N9),0),"")</f>
        <v/>
      </c>
      <c r="EB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X93&gt;=0.45,VLOOKUP(Calculator!E23,tbSkills!DH3:DI6,2,FALSE)+IF(AND(Calculator!B8=TRUE,Backdoors!BI21=TRUE),VLOOKUP(Calculator!E23,tbSkills!DH3:DJ6,3,FALSE),0),0))&gt;=100,100,(Backdoors!AI12+IF(DX93&gt;=0.45,VLOOKUP(Calculator!E23,tbSkills!DH3:DI6,2,FALSE)+IF(AND(Calculator!B8=TRUE,Backdoors!BI21=TRUE),VLOOKUP(Calculator!E23,tbSkills!DH3:DJ6,3,FALSE),0),0)))/100)),1))*IF(VLOOKUP(A93,tbMoveset!A2:K112,11,FALSE)=TRUE,Backdoors!AC5,1))*DY93,0),"")</f>
        <v>0</v>
      </c>
      <c r="EC93" s="49">
        <f>VLOOKUP(A93,tbMoveset!A2:G112,7,FALSE)*IFERROR(IF(Backdoors!AI12&gt;=0,1+(IF(Calculator!E40&gt;0,VLOOKUP(Calculator!E40,tbSkills!AI3:AJ5,2,FALSE),Backdoors!AL4)*(IF((Backdoors!AI12+IF(DX93&gt;=0.45,VLOOKUP(Calculator!E23,tbSkills!DH3:DI6,2,FALSE)+IF(AND(Calculator!B8=TRUE,Backdoors!BI21=TRUE),VLOOKUP(Calculator!E23,tbSkills!DH3:DJ6,3,FALSE),0),0))&gt;=100,100,(Backdoors!AI12+IF(DX93&gt;=0.45,VLOOKUP(Calculator!E23,tbSkills!DH3:DI6,2,FALSE)+IF(AND(Calculator!B8=TRUE,Backdoors!BI21=TRUE),VLOOKUP(Calculator!E23,tbSkills!DH3:DJ6,3,FALSE),0),0)))/100)),1),1)</f>
        <v>0.7</v>
      </c>
      <c r="ED93" s="87">
        <f t="shared" si="69"/>
        <v>0</v>
      </c>
      <c r="EE93" s="86" t="str">
        <f>IFERROR(IF(VLOOKUP(A93,tbMoveset!A2:B112,2,FALSE)="Sever",Backdoors!AY22/100,IF(VLOOKUP(A93,tbMoveset!A2:B112,2,FALSE)="Blunt",Backdoors!AZ22/100,Backdoors!BA22/100)),"")</f>
        <v/>
      </c>
      <c r="EF93" s="49">
        <f>IFERROR(IF(VLOOKUP(tbMoveset!A93,tbMoveset!A2:H112,8,FALSE)="Other",IF(VLOOKUP(tbMoveset!A93,tbMoveset!A2:I112,9,FALSE)="Fire",Backdoors!BB22,IF(VLOOKUP(tbMoveset!A93,tbMoveset!A2:I112,9,FALSE)="Water",Backdoors!BC22,IF(VLOOKUP(tbMoveset!A93,tbMoveset!A2:I112,9,FALSE)="Thunder",Backdoors!BD22,IF(VLOOKUP(tbMoveset!A93,tbMoveset!A2:I112,9,FALSE)="Ice",Backdoors!BE22,IF(VLOOKUP(tbMoveset!A93,tbMoveset!A2:I112,9,FALSE)="Dragon",Backdoors!BF22,Backdoors!BG22)))))/100,Backdoors!BG22/100),"")</f>
        <v>0</v>
      </c>
      <c r="EG93" s="49">
        <f>IFERROR(IF(VLOOKUP(A93,tbMoveset!A2:J112,10,FALSE)=TRUE,IF((Backdoors!AI12+IF(EE93&gt;=0.45,VLOOKUP(Calculator!E23,tbSkills!DH3:DI6,2,FALSE)+IF(AND(Calculator!B8=TRUE,Backdoors!BI22=TRUE),VLOOKUP(Calculator!E23,tbSkills!DH3:DJ6,3,FALSE),0),0))&gt;=0,1+(Backdoors!AL2*(IF((Backdoors!AI12+IF(EE93&gt;=0.45,VLOOKUP(Calculator!E23,tbSkills!DH3:DI6,2,FALSE)+IF(AND(Calculator!B8=TRUE,Backdoors!BI22=TRUE),VLOOKUP(Calculator!E23,tbSkills!DH3:DJ6,3,FALSE),0),0))&gt;=100,100,(Backdoors!AI12+IF(EE93&gt;=0.45,VLOOKUP(Calculator!E23,tbSkills!DH3:DI6,2,FALSE)+IF(AND(Calculator!B8=TRUE,Backdoors!BI22=TRUE),VLOOKUP(Calculator!E23,tbSkills!DH3:DJ6,3,FALSE),0),0)))/100)),(1-(0.25*((-Backdoors!AI12-IF(EE93&gt;=0.45,VLOOKUP(Calculator!E23,tbSkills!DH3:DI6,2,FALSE)+IF(AND(Calculator!B8=TRUE,Backdoors!BI22=TRUE),VLOOKUP(Calculator!E23,tbSkills!DH3:DJ6,3,FALSE),0),0))/100)))),1),"")</f>
        <v>1</v>
      </c>
      <c r="EH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E93)*EG93)*(VLOOKUP(A93,tbMoveset!A2:C112,3,FALSE)/100)*IF(VLOOKUP(A93,tbMoveset!A2:B112,2,FALSE)="Projectile",Backdoors!N10,Backdoors!N9),0),"")</f>
        <v/>
      </c>
      <c r="EI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E93&gt;=0.45,VLOOKUP(Calculator!E23,tbSkills!DH3:DI6,2,FALSE)+IF(AND(Calculator!B8=TRUE,Backdoors!BI22=TRUE),VLOOKUP(Calculator!E23,tbSkills!DH3:DJ6,3,FALSE),0),0))&gt;=100,100,(Backdoors!AI12+IF(EE93&gt;=0.45,VLOOKUP(Calculator!E23,tbSkills!DH3:DI6,2,FALSE)+IF(AND(Calculator!B8=TRUE,Backdoors!BI22=TRUE),VLOOKUP(Calculator!E23,tbSkills!DH3:DJ6,3,FALSE),0),0)))/100)),1))*IF(VLOOKUP(A93,tbMoveset!A2:K112,11,FALSE)=TRUE,Backdoors!AC5,1))*EF93,0),"")</f>
        <v>0</v>
      </c>
      <c r="EJ93" s="49">
        <f>VLOOKUP(A93,tbMoveset!A2:G112,7,FALSE)*IFERROR(IF(Backdoors!AI12&gt;=0,1+(IF(Calculator!E40&gt;0,VLOOKUP(Calculator!E40,tbSkills!AI3:AJ5,2,FALSE),Backdoors!AL4)*(IF((Backdoors!AI12+IF(EE93&gt;=0.45,VLOOKUP(Calculator!E23,tbSkills!DH3:DI6,2,FALSE)+IF(AND(Calculator!B8=TRUE,Backdoors!BI22=TRUE),VLOOKUP(Calculator!E23,tbSkills!DH3:DJ6,3,FALSE),0),0))&gt;=100,100,(Backdoors!AI12+IF(EE93&gt;=0.45,VLOOKUP(Calculator!E23,tbSkills!DH3:DI6,2,FALSE)+IF(AND(Calculator!B8=TRUE,Backdoors!BI22=TRUE),VLOOKUP(Calculator!E23,tbSkills!DH3:DJ6,3,FALSE),0),0)))/100)),1),1)</f>
        <v>0.7</v>
      </c>
      <c r="EK93" s="87">
        <f t="shared" si="70"/>
        <v>0</v>
      </c>
      <c r="EL93" s="86" t="str">
        <f>IFERROR(IF(VLOOKUP(A93,tbMoveset!A2:B112,2,FALSE)="Sever",Backdoors!AY23/100,IF(VLOOKUP(A93,tbMoveset!A2:B112,2,FALSE)="Blunt",Backdoors!AZ23/100,Backdoors!BA23/100)),"")</f>
        <v/>
      </c>
      <c r="EM93" s="49">
        <f>IFERROR(IF(VLOOKUP(tbMoveset!A93,tbMoveset!A2:H112,8,FALSE)="Other",IF(VLOOKUP(tbMoveset!A93,tbMoveset!A2:I112,9,FALSE)="Fire",Backdoors!BB23,IF(VLOOKUP(tbMoveset!A93,tbMoveset!A2:I112,9,FALSE)="Water",Backdoors!BC23,IF(VLOOKUP(tbMoveset!A93,tbMoveset!A2:I112,9,FALSE)="Thunder",Backdoors!BD23,IF(VLOOKUP(tbMoveset!A93,tbMoveset!A2:I112,9,FALSE)="Ice",Backdoors!BE23,IF(VLOOKUP(tbMoveset!A93,tbMoveset!A2:I112,9,FALSE)="Dragon",Backdoors!BF23,Backdoors!BG23)))))/100,Backdoors!BG23/100),"")</f>
        <v>0</v>
      </c>
      <c r="EN93" s="49">
        <f>IFERROR(IF(VLOOKUP(A93,tbMoveset!A2:J112,10,FALSE)=TRUE,IF((Backdoors!AI12+IF(EL93&gt;=0.45,VLOOKUP(Calculator!E23,tbSkills!DH3:DI6,2,FALSE)+IF(AND(Calculator!B8=TRUE,Backdoors!BI23=TRUE),VLOOKUP(Calculator!E23,tbSkills!DH3:DJ6,3,FALSE),0),0))&gt;=0,1+(Backdoors!AL2*(IF((Backdoors!AI12+IF(EL93&gt;=0.45,VLOOKUP(Calculator!E23,tbSkills!DH3:DI6,2,FALSE)+IF(AND(Calculator!B8=TRUE,Backdoors!BI23=TRUE),VLOOKUP(Calculator!E23,tbSkills!DH3:DJ6,3,FALSE),0),0))&gt;=100,100,(Backdoors!AI12+IF(EL93&gt;=0.45,VLOOKUP(Calculator!E23,tbSkills!DH3:DI6,2,FALSE)+IF(AND(Calculator!B8=TRUE,Backdoors!BI23=TRUE),VLOOKUP(Calculator!E23,tbSkills!DH3:DJ6,3,FALSE),0),0)))/100)),(1-(0.25*((-Backdoors!AI12-IF(EL93&gt;=0.45,VLOOKUP(Calculator!E23,tbSkills!DH3:DI6,2,FALSE)+IF(AND(Calculator!B8=TRUE,Backdoors!BI23=TRUE),VLOOKUP(Calculator!E23,tbSkills!DH3:DJ6,3,FALSE),0),0))/100)))),1),"")</f>
        <v>1</v>
      </c>
      <c r="EO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L93)*EN93)*(VLOOKUP(A93,tbMoveset!A2:C112,3,FALSE)/100)*IF(VLOOKUP(A93,tbMoveset!A2:B112,2,FALSE)="Projectile",Backdoors!N10,Backdoors!N9),0),"")</f>
        <v/>
      </c>
      <c r="EP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L93&gt;=0.45,VLOOKUP(Calculator!E23,tbSkills!DH3:DI6,2,FALSE)+IF(AND(Calculator!B8=TRUE,Backdoors!BI23=TRUE),VLOOKUP(Calculator!E23,tbSkills!DH3:DJ6,3,FALSE),0),0))&gt;=100,100,(Backdoors!AI12+IF(EL93&gt;=0.45,VLOOKUP(Calculator!E23,tbSkills!DH3:DI6,2,FALSE)+IF(AND(Calculator!B8=TRUE,Backdoors!BI23=TRUE),VLOOKUP(Calculator!E23,tbSkills!DH3:DJ6,3,FALSE),0),0)))/100)),1))*IF(VLOOKUP(A93,tbMoveset!A2:K112,11,FALSE)=TRUE,Backdoors!AC5,1))*EM93,0),"")</f>
        <v>0</v>
      </c>
      <c r="EQ93" s="49">
        <f>VLOOKUP(A93,tbMoveset!A2:G112,7,FALSE)*IFERROR(IF(Backdoors!AI12&gt;=0,1+(IF(Calculator!E40&gt;0,VLOOKUP(Calculator!E40,tbSkills!AI3:AJ5,2,FALSE),Backdoors!AL4)*(IF((Backdoors!AI12+IF(EL93&gt;=0.45,VLOOKUP(Calculator!E23,tbSkills!DH3:DI6,2,FALSE)+IF(AND(Calculator!B8=TRUE,Backdoors!BI23=TRUE),VLOOKUP(Calculator!E23,tbSkills!DH3:DJ6,3,FALSE),0),0))&gt;=100,100,(Backdoors!AI12+IF(EL93&gt;=0.45,VLOOKUP(Calculator!E23,tbSkills!DH3:DI6,2,FALSE)+IF(AND(Calculator!B8=TRUE,Backdoors!BI23=TRUE),VLOOKUP(Calculator!E23,tbSkills!DH3:DJ6,3,FALSE),0),0)))/100)),1),1)</f>
        <v>0.7</v>
      </c>
      <c r="ER93" s="87">
        <f t="shared" si="71"/>
        <v>0</v>
      </c>
      <c r="ES93" s="86" t="str">
        <f>IFERROR(IF(VLOOKUP(A93,tbMoveset!A2:B112,2,FALSE)="Sever",Backdoors!AY24/100,IF(VLOOKUP(A93,tbMoveset!A2:B112,2,FALSE)="Blunt",Backdoors!AZ24/100,Backdoors!BA24/100)),"")</f>
        <v/>
      </c>
      <c r="ET93" s="49">
        <f>IFERROR(IF(VLOOKUP(tbMoveset!A93,tbMoveset!A2:H112,8,FALSE)="Other",IF(VLOOKUP(tbMoveset!A93,tbMoveset!A2:I112,9,FALSE)="Fire",Backdoors!BB24,IF(VLOOKUP(tbMoveset!A93,tbMoveset!A2:I112,9,FALSE)="Water",Backdoors!BC24,IF(VLOOKUP(tbMoveset!A93,tbMoveset!A2:I112,9,FALSE)="Thunder",Backdoors!BD24,IF(VLOOKUP(tbMoveset!A93,tbMoveset!A2:I112,9,FALSE)="Ice",Backdoors!BE24,IF(VLOOKUP(tbMoveset!A93,tbMoveset!A2:I112,9,FALSE)="Dragon",Backdoors!BF24,Backdoors!BG24)))))/100,Backdoors!BG24/100),"")</f>
        <v>0</v>
      </c>
      <c r="EU93" s="49">
        <f>IFERROR(IF(VLOOKUP(A93,tbMoveset!A2:J112,10,FALSE)=TRUE,IF((Backdoors!AI12+IF(ES93&gt;=0.45,VLOOKUP(Calculator!E23,tbSkills!DH3:DI6,2,FALSE)+IF(AND(Calculator!B8=TRUE,Backdoors!BI24=TRUE),VLOOKUP(Calculator!E23,tbSkills!DH3:DJ6,3,FALSE),0),0))&gt;=0,1+(Backdoors!AL2*(IF((Backdoors!AI12+IF(ES93&gt;=0.45,VLOOKUP(Calculator!E23,tbSkills!DH3:DI6,2,FALSE)+IF(AND(Calculator!B8=TRUE,Backdoors!BI24=TRUE),VLOOKUP(Calculator!E23,tbSkills!DH3:DJ6,3,FALSE),0),0))&gt;=100,100,(Backdoors!AI12+IF(ES93&gt;=0.45,VLOOKUP(Calculator!E23,tbSkills!DH3:DI6,2,FALSE)+IF(AND(Calculator!B8=TRUE,Backdoors!BI24=TRUE),VLOOKUP(Calculator!E23,tbSkills!DH3:DJ6,3,FALSE),0),0)))/100)),(1-(0.25*((-Backdoors!AI12-IF(ES93&gt;=0.45,VLOOKUP(Calculator!E23,tbSkills!DH3:DI6,2,FALSE)+IF(AND(Calculator!B8=TRUE,Backdoors!BI24=TRUE),VLOOKUP(Calculator!E23,tbSkills!DH3:DJ6,3,FALSE),0),0))/100)))),1),"")</f>
        <v>1</v>
      </c>
      <c r="EV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S93)*EU93)*(VLOOKUP(A93,tbMoveset!A2:C112,3,FALSE)/100)*IF(VLOOKUP(A93,tbMoveset!A2:B112,2,FALSE)="Projectile",Backdoors!N10,Backdoors!N9),0),"")</f>
        <v/>
      </c>
      <c r="EW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S93&gt;=0.45,VLOOKUP(Calculator!E23,tbSkills!DH3:DI6,2,FALSE)+IF(AND(Calculator!B8=TRUE,Backdoors!BI24=TRUE),VLOOKUP(Calculator!E23,tbSkills!DH3:DJ6,3,FALSE),0),0))&gt;=100,100,(Backdoors!AI12+IF(ES93&gt;=0.45,VLOOKUP(Calculator!E23,tbSkills!DH3:DI6,2,FALSE)+IF(AND(Calculator!B8=TRUE,Backdoors!BI24=TRUE),VLOOKUP(Calculator!E23,tbSkills!DH3:DJ6,3,FALSE),0),0)))/100)),1))*IF(VLOOKUP(A93,tbMoveset!A2:K112,11,FALSE)=TRUE,Backdoors!AC5,1))*ET93,0),"")</f>
        <v>0</v>
      </c>
      <c r="EX93" s="49">
        <f>VLOOKUP(A93,tbMoveset!A2:G112,7,FALSE)*IFERROR(IF(Backdoors!AI12&gt;=0,1+(IF(Calculator!E40&gt;0,VLOOKUP(Calculator!E40,tbSkills!AI3:AJ5,2,FALSE),Backdoors!AL4)*(IF((Backdoors!AI12+IF(ES93&gt;=0.45,VLOOKUP(Calculator!E23,tbSkills!DH3:DI6,2,FALSE)+IF(AND(Calculator!B8=TRUE,Backdoors!BI24=TRUE),VLOOKUP(Calculator!E23,tbSkills!DH3:DJ6,3,FALSE),0),0))&gt;=100,100,(Backdoors!AI12+IF(ES93&gt;=0.45,VLOOKUP(Calculator!E23,tbSkills!DH3:DI6,2,FALSE)+IF(AND(Calculator!B8=TRUE,Backdoors!BI24=TRUE),VLOOKUP(Calculator!E23,tbSkills!DH3:DJ6,3,FALSE),0),0)))/100)),1),1)</f>
        <v>0.7</v>
      </c>
      <c r="EY93" s="87">
        <f t="shared" si="72"/>
        <v>0</v>
      </c>
      <c r="EZ93" s="86" t="str">
        <f>IFERROR(IF(VLOOKUP(A93,tbMoveset!A2:B112,2,FALSE)="Sever",Backdoors!AY25/100,IF(VLOOKUP(A93,tbMoveset!A2:B112,2,FALSE)="Blunt",Backdoors!AZ25/100,Backdoors!BA25/100)),"")</f>
        <v/>
      </c>
      <c r="FA93" s="49">
        <f>IFERROR(IF(VLOOKUP(tbMoveset!A93,tbMoveset!A2:H112,8,FALSE)="Other",IF(VLOOKUP(tbMoveset!A93,tbMoveset!A2:I112,9,FALSE)="Fire",Backdoors!BB25,IF(VLOOKUP(tbMoveset!A93,tbMoveset!A2:I112,9,FALSE)="Water",Backdoors!BC25,IF(VLOOKUP(tbMoveset!A93,tbMoveset!A2:I112,9,FALSE)="Thunder",Backdoors!BD25,IF(VLOOKUP(tbMoveset!A93,tbMoveset!A2:I112,9,FALSE)="Ice",Backdoors!BE25,IF(VLOOKUP(tbMoveset!A93,tbMoveset!A2:I112,9,FALSE)="Dragon",Backdoors!BF25,Backdoors!BG25)))))/100,Backdoors!BG25/100),"")</f>
        <v>0</v>
      </c>
      <c r="FB93" s="49">
        <f>IFERROR(IF(VLOOKUP(A93,tbMoveset!A2:J112,10,FALSE)=TRUE,IF((Backdoors!AI12+IF(EZ93&gt;=0.45,VLOOKUP(Calculator!E23,tbSkills!DH3:DI6,2,FALSE)+IF(AND(Calculator!B8=TRUE,Backdoors!BI25=TRUE),VLOOKUP(Calculator!E23,tbSkills!DH3:DJ6,3,FALSE),0),0))&gt;=0,1+(Backdoors!AL2*(IF((Backdoors!AI12+IF(EZ93&gt;=0.45,VLOOKUP(Calculator!E23,tbSkills!DH3:DI6,2,FALSE)+IF(AND(Calculator!B8=TRUE,Backdoors!BI25=TRUE),VLOOKUP(Calculator!E23,tbSkills!DH3:DJ6,3,FALSE),0),0))&gt;=100,100,(Backdoors!AI12+IF(EZ93&gt;=0.45,VLOOKUP(Calculator!E23,tbSkills!DH3:DI6,2,FALSE)+IF(AND(Calculator!B8=TRUE,Backdoors!BI25=TRUE),VLOOKUP(Calculator!E23,tbSkills!DH3:DJ6,3,FALSE),0),0)))/100)),(1-(0.25*((-Backdoors!AI12-IF(EZ93&gt;=0.45,VLOOKUP(Calculator!E23,tbSkills!DH3:DI6,2,FALSE)+IF(AND(Calculator!B8=TRUE,Backdoors!BI25=TRUE),VLOOKUP(Calculator!E23,tbSkills!DH3:DJ6,3,FALSE),0),0))/100)))),1),"")</f>
        <v>1</v>
      </c>
      <c r="FC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Z93)*FB93)*(VLOOKUP(A93,tbMoveset!A2:C112,3,FALSE)/100)*IF(VLOOKUP(A93,tbMoveset!A2:B112,2,FALSE)="Projectile",Backdoors!N10,Backdoors!N9),0),"")</f>
        <v/>
      </c>
      <c r="FD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Z93&gt;=0.45,VLOOKUP(Calculator!E23,tbSkills!DH3:DI6,2,FALSE)+IF(AND(Calculator!B8=TRUE,Backdoors!BI25=TRUE),VLOOKUP(Calculator!E23,tbSkills!DH3:DJ6,3,FALSE),0),0))&gt;=100,100,(Backdoors!AI12+IF(EZ93&gt;=0.45,VLOOKUP(Calculator!E23,tbSkills!DH3:DI6,2,FALSE)+IF(AND(Calculator!B8=TRUE,Backdoors!BI25=TRUE),VLOOKUP(Calculator!E23,tbSkills!DH3:DJ6,3,FALSE),0),0)))/100)),1))*IF(VLOOKUP(A93,tbMoveset!A2:K112,11,FALSE)=TRUE,Backdoors!AC5,1))*FA93,0),"")</f>
        <v>0</v>
      </c>
      <c r="FE93" s="49">
        <f>VLOOKUP(A93,tbMoveset!A2:G112,7,FALSE)*IFERROR(IF(Backdoors!AI12&gt;=0,1+(IF(Calculator!E40&gt;0,VLOOKUP(Calculator!E40,tbSkills!AI3:AJ5,2,FALSE),Backdoors!AL4)*(IF((Backdoors!AI12+IF(EZ93&gt;=0.45,VLOOKUP(Calculator!E23,tbSkills!DH3:DI6,2,FALSE)+IF(AND(Calculator!B8=TRUE,Backdoors!BI25=TRUE),VLOOKUP(Calculator!E23,tbSkills!DH3:DJ6,3,FALSE),0),0))&gt;=100,100,(Backdoors!AI12+IF(EZ93&gt;=0.45,VLOOKUP(Calculator!E23,tbSkills!DH3:DI6,2,FALSE)+IF(AND(Calculator!B8=TRUE,Backdoors!BI25=TRUE),VLOOKUP(Calculator!E23,tbSkills!DH3:DJ6,3,FALSE),0),0)))/100)),1),1)</f>
        <v>0.7</v>
      </c>
      <c r="FF93" s="87">
        <f t="shared" si="73"/>
        <v>0</v>
      </c>
      <c r="FG93" s="86" t="str">
        <f>IFERROR(IF(VLOOKUP(A93,tbMoveset!A2:B112,2,FALSE)="Sever",Backdoors!AY26/100,IF(VLOOKUP(A93,tbMoveset!A2:B112,2,FALSE)="Blunt",Backdoors!AZ26/100,Backdoors!BA26/100)),"")</f>
        <v/>
      </c>
      <c r="FH93" s="49">
        <f>IFERROR(IF(VLOOKUP(tbMoveset!A93,tbMoveset!A2:H112,8,FALSE)="Other",IF(VLOOKUP(tbMoveset!A93,tbMoveset!A2:I112,9,FALSE)="Fire",Backdoors!BB26,IF(VLOOKUP(tbMoveset!A93,tbMoveset!A2:I112,9,FALSE)="Water",Backdoors!BC26,IF(VLOOKUP(tbMoveset!A93,tbMoveset!A2:I112,9,FALSE)="Thunder",Backdoors!BD26,IF(VLOOKUP(tbMoveset!A93,tbMoveset!A2:I112,9,FALSE)="Ice",Backdoors!BE26,IF(VLOOKUP(tbMoveset!A93,tbMoveset!A2:I112,9,FALSE)="Dragon",Backdoors!BF26,Backdoors!BG26)))))/100,Backdoors!BG26/100),"")</f>
        <v>0</v>
      </c>
      <c r="FI93" s="49">
        <f>IFERROR(IF(VLOOKUP(A93,tbMoveset!A2:J112,10,FALSE)=TRUE,IF((Backdoors!AI12+IF(FG93&gt;=0.45,VLOOKUP(Calculator!E23,tbSkills!DH3:DI6,2,FALSE)+IF(AND(Calculator!B8=TRUE,Backdoors!BI26=TRUE),VLOOKUP(Calculator!E23,tbSkills!DH3:DJ6,3,FALSE),0),0))&gt;=0,1+(Backdoors!AL2*(IF((Backdoors!AI12+IF(FG93&gt;=0.45,VLOOKUP(Calculator!E23,tbSkills!DH3:DI6,2,FALSE)+IF(AND(Calculator!B8=TRUE,Backdoors!BI26=TRUE),VLOOKUP(Calculator!E23,tbSkills!DH3:DJ6,3,FALSE),0),0))&gt;=100,100,(Backdoors!AI12+IF(FG93&gt;=0.45,VLOOKUP(Calculator!E23,tbSkills!DH3:DI6,2,FALSE)+IF(AND(Calculator!B8=TRUE,Backdoors!BI26=TRUE),VLOOKUP(Calculator!E23,tbSkills!DH3:DJ6,3,FALSE),0),0)))/100)),(1-(0.25*((-Backdoors!AI12-IF(FG93&gt;=0.45,VLOOKUP(Calculator!E23,tbSkills!DH3:DI6,2,FALSE)+IF(AND(Calculator!B8=TRUE,Backdoors!BI26=TRUE),VLOOKUP(Calculator!E23,tbSkills!DH3:DJ6,3,FALSE),0),0))/100)))),1),"")</f>
        <v>1</v>
      </c>
      <c r="FJ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FG93)*FI93)*(VLOOKUP(A93,tbMoveset!A2:C112,3,FALSE)/100)*IF(VLOOKUP(A93,tbMoveset!A2:B112,2,FALSE)="Projectile",Backdoors!N10,Backdoors!N9),0),"")</f>
        <v/>
      </c>
      <c r="FK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FG93&gt;=0.45,VLOOKUP(Calculator!E23,tbSkills!DH3:DI6,2,FALSE)+IF(AND(Calculator!B8=TRUE,Backdoors!BI26=TRUE),VLOOKUP(Calculator!E23,tbSkills!DH3:DJ6,3,FALSE),0),0))&gt;=100,100,(Backdoors!AI12+IF(FG93&gt;=0.45,VLOOKUP(Calculator!E23,tbSkills!DH3:DI6,2,FALSE)+IF(AND(Calculator!B8=TRUE,Backdoors!BI26=TRUE),VLOOKUP(Calculator!E23,tbSkills!DH3:DJ6,3,FALSE),0),0)))/100)),1))*IF(VLOOKUP(A93,tbMoveset!A2:K112,11,FALSE)=TRUE,Backdoors!AC5,1))*FH93,0),"")</f>
        <v>0</v>
      </c>
      <c r="FL93" s="49">
        <f>VLOOKUP(A93,tbMoveset!A2:G112,7,FALSE)*IFERROR(IF(Backdoors!AI12&gt;=0,1+(IF(Calculator!E40&gt;0,VLOOKUP(Calculator!E40,tbSkills!AI3:AJ5,2,FALSE),Backdoors!AL4)*(IF((Backdoors!AI12+IF(FG93&gt;=0.45,VLOOKUP(Calculator!E23,tbSkills!DH3:DI6,2,FALSE)+IF(AND(Calculator!B8=TRUE,Backdoors!BI26=TRUE),VLOOKUP(Calculator!E23,tbSkills!DH3:DJ6,3,FALSE),0),0))&gt;=100,100,(Backdoors!AI12+IF(FG93&gt;=0.45,VLOOKUP(Calculator!E23,tbSkills!DH3:DI6,2,FALSE)+IF(AND(Calculator!B8=TRUE,Backdoors!BI26=TRUE),VLOOKUP(Calculator!E23,tbSkills!DH3:DJ6,3,FALSE),0),0)))/100)),1),1)</f>
        <v>0.7</v>
      </c>
      <c r="FM93" s="87">
        <f t="shared" si="74"/>
        <v>0</v>
      </c>
      <c r="FN93" s="86" t="str">
        <f>IFERROR(IF(VLOOKUP(A93,tbMoveset!A2:B112,2,FALSE)="Sever",Backdoors!AY27/100,IF(VLOOKUP(A93,tbMoveset!A2:B112,2,FALSE)="Blunt",Backdoors!AZ27/100,Backdoors!BA27/100)),"")</f>
        <v/>
      </c>
      <c r="FO93" s="49">
        <f>IFERROR(IF(VLOOKUP(tbMoveset!A93,tbMoveset!A2:H112,8,FALSE)="Other",IF(VLOOKUP(tbMoveset!A93,tbMoveset!A2:I112,9,FALSE)="Fire",Backdoors!BB27,IF(VLOOKUP(tbMoveset!A93,tbMoveset!A2:I112,9,FALSE)="Water",Backdoors!BC27,IF(VLOOKUP(tbMoveset!A93,tbMoveset!A2:I112,9,FALSE)="Thunder",Backdoors!BD27,IF(VLOOKUP(tbMoveset!A93,tbMoveset!A2:I112,9,FALSE)="Ice",Backdoors!BE27,IF(VLOOKUP(tbMoveset!A93,tbMoveset!A2:I112,9,FALSE)="Dragon",Backdoors!BF27,Backdoors!BG27)))))/100,Backdoors!BG27/100),"")</f>
        <v>0</v>
      </c>
      <c r="FP93" s="49">
        <f>IFERROR(IF(VLOOKUP(A93,tbMoveset!A2:J112,10,FALSE)=TRUE,IF((Backdoors!AI12+IF(FN93&gt;=0.45,VLOOKUP(Calculator!E23,tbSkills!DH3:DI6,2,FALSE)+IF(AND(Calculator!B8=TRUE,Backdoors!BI27=TRUE),VLOOKUP(Calculator!E23,tbSkills!DH3:DJ6,3,FALSE),0),0))&gt;=0,1+(Backdoors!AL2*(IF((Backdoors!AI12+IF(FN93&gt;=0.45,VLOOKUP(Calculator!E23,tbSkills!DH3:DI6,2,FALSE)+IF(AND(Calculator!B8=TRUE,Backdoors!BI27=TRUE),VLOOKUP(Calculator!E23,tbSkills!DH3:DJ6,3,FALSE),0),0))&gt;=100,100,(Backdoors!AI12+IF(FN93&gt;=0.45,VLOOKUP(Calculator!E23,tbSkills!DH3:DI6,2,FALSE)+IF(AND(Calculator!B8=TRUE,Backdoors!BI27=TRUE),VLOOKUP(Calculator!E23,tbSkills!DH3:DJ6,3,FALSE),0),0)))/100)),(1-(0.25*((-Backdoors!AI12-IF(FN93&gt;=0.45,VLOOKUP(Calculator!E23,tbSkills!DH3:DI6,2,FALSE)+IF(AND(Calculator!B8=TRUE,Backdoors!BI27=TRUE),VLOOKUP(Calculator!E23,tbSkills!DH3:DJ6,3,FALSE),0),0))/100)))),1),"")</f>
        <v>1</v>
      </c>
      <c r="FQ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FN93)*FP93)*(VLOOKUP(A93,tbMoveset!A2:C112,3,FALSE)/100)*IF(VLOOKUP(A93,tbMoveset!A2:B112,2,FALSE)="Projectile",Backdoors!N10,Backdoors!N9),0),"")</f>
        <v/>
      </c>
      <c r="FR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FN93&gt;=0.45,VLOOKUP(Calculator!E23,tbSkills!DH3:DI6,2,FALSE)+IF(AND(Calculator!B8=TRUE,Backdoors!BI27=TRUE),VLOOKUP(Calculator!E23,tbSkills!DH3:DJ6,3,FALSE),0),0))&gt;=100,100,(Backdoors!AI12+IF(FN93&gt;=0.45,VLOOKUP(Calculator!E23,tbSkills!DH3:DI6,2,FALSE)+IF(AND(Calculator!B8=TRUE,Backdoors!BI27=TRUE),VLOOKUP(Calculator!E23,tbSkills!DH3:DJ6,3,FALSE),0),0)))/100)),1))*IF(VLOOKUP(A93,tbMoveset!A2:K112,11,FALSE)=TRUE,Backdoors!AC5,1))*FO93,0),"")</f>
        <v>0</v>
      </c>
      <c r="FS93" s="49">
        <f>VLOOKUP(A93,tbMoveset!A2:G112,7,FALSE)*IFERROR(IF(Backdoors!AI12&gt;=0,1+(IF(Calculator!E40&gt;0,VLOOKUP(Calculator!E40,tbSkills!AI3:AJ5,2,FALSE),Backdoors!AL4)*(IF((Backdoors!AI12+IF(FN93&gt;=0.45,VLOOKUP(Calculator!E23,tbSkills!DH3:DI6,2,FALSE)+IF(AND(Calculator!B8=TRUE,Backdoors!BI27=TRUE),VLOOKUP(Calculator!E23,tbSkills!DH3:DJ6,3,FALSE),0),0))&gt;=100,100,(Backdoors!AI12+IF(FN93&gt;=0.45,VLOOKUP(Calculator!E23,tbSkills!DH3:DI6,2,FALSE)+IF(AND(Calculator!B8=TRUE,Backdoors!BI27=TRUE),VLOOKUP(Calculator!E23,tbSkills!DH3:DJ6,3,FALSE),0),0)))/100)),1),1)</f>
        <v>0.7</v>
      </c>
      <c r="FT93" s="87">
        <f t="shared" si="75"/>
        <v>0</v>
      </c>
      <c r="FU93" s="86" t="str">
        <f>IFERROR(IF(VLOOKUP(A93,tbMoveset!A2:B112,2,FALSE)="Sever",Backdoors!AY28/100,IF(VLOOKUP(A93,tbMoveset!A2:B112,2,FALSE)="Blunt",Backdoors!AZ28/100,Backdoors!BA28/100)),"")</f>
        <v/>
      </c>
      <c r="FV93" s="49">
        <f>IFERROR(IF(VLOOKUP(tbMoveset!A93,tbMoveset!A2:H112,8,FALSE)="Other",IF(VLOOKUP(tbMoveset!A93,tbMoveset!A2:I112,9,FALSE)="Fire",Backdoors!BB28,IF(VLOOKUP(tbMoveset!A93,tbMoveset!A2:I112,9,FALSE)="Water",Backdoors!BC28,IF(VLOOKUP(tbMoveset!A93,tbMoveset!A2:I112,9,FALSE)="Thunder",Backdoors!BD28,IF(VLOOKUP(tbMoveset!A93,tbMoveset!A2:I112,9,FALSE)="Ice",Backdoors!BE28,IF(VLOOKUP(tbMoveset!A93,tbMoveset!A2:I112,9,FALSE)="Dragon",Backdoors!BF28,Backdoors!BG28)))))/100,Backdoors!BG28/100),"")</f>
        <v>0</v>
      </c>
      <c r="FW93" s="49">
        <f>IFERROR(IF(VLOOKUP(A93,tbMoveset!A2:J112,10,FALSE)=TRUE,IF((Backdoors!AI12+IF(FU93&gt;=0.45,VLOOKUP(Calculator!E23,tbSkills!DH3:DI6,2,FALSE)+IF(AND(Calculator!B8=TRUE,Backdoors!BI28=TRUE),VLOOKUP(Calculator!E23,tbSkills!DH3:DJ6,3,FALSE),0),0))&gt;=0,1+(Backdoors!AL2*(IF((Backdoors!AI12+IF(FU93&gt;=0.45,VLOOKUP(Calculator!E23,tbSkills!DH3:DI6,2,FALSE)+IF(AND(Calculator!B8=TRUE,Backdoors!BI28=TRUE),VLOOKUP(Calculator!E23,tbSkills!DH3:DJ6,3,FALSE),0),0))&gt;=100,100,(Backdoors!AI12+IF(FU93&gt;=0.45,VLOOKUP(Calculator!E23,tbSkills!DH3:DI6,2,FALSE)+IF(AND(Calculator!B8=TRUE,Backdoors!BI28=TRUE),VLOOKUP(Calculator!E23,tbSkills!DH3:DJ6,3,FALSE),0),0)))/100)),(1-(0.25*((-Backdoors!AI12-IF(FU93&gt;=0.45,VLOOKUP(Calculator!E23,tbSkills!DH3:DI6,2,FALSE)+IF(AND(Calculator!B8=TRUE,Backdoors!BI28=TRUE),VLOOKUP(Calculator!E23,tbSkills!DH3:DJ6,3,FALSE),0),0))/100)))),1),"")</f>
        <v>1</v>
      </c>
      <c r="FX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FU93)*FW93)*(VLOOKUP(A93,tbMoveset!A2:C112,3,FALSE)/100)*IF(VLOOKUP(A93,tbMoveset!A2:B112,2,FALSE)="Projectile",Backdoors!N10,Backdoors!N9),0),"")</f>
        <v/>
      </c>
      <c r="FY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FU93&gt;=0.45,VLOOKUP(Calculator!E23,tbSkills!DH3:DI6,2,FALSE)+IF(AND(Calculator!B8=TRUE,Backdoors!BI28=TRUE),VLOOKUP(Calculator!E23,tbSkills!DH3:DJ6,3,FALSE),0),0))&gt;=100,100,(Backdoors!AI12+IF(FU93&gt;=0.45,VLOOKUP(Calculator!E23,tbSkills!DH3:DI6,2,FALSE)+IF(AND(Calculator!B8=TRUE,Backdoors!BI28=TRUE),VLOOKUP(Calculator!E23,tbSkills!DH3:DJ6,3,FALSE),0),0)))/100)),1))*IF(VLOOKUP(A93,tbMoveset!A2:K112,11,FALSE)=TRUE,Backdoors!AC5,1))*FV93,0),"")</f>
        <v>0</v>
      </c>
      <c r="FZ93" s="49">
        <f>VLOOKUP(A93,tbMoveset!A2:G112,7,FALSE)*IFERROR(IF(Backdoors!AI12&gt;=0,1+(IF(Calculator!E40&gt;0,VLOOKUP(Calculator!E40,tbSkills!AI3:AJ5,2,FALSE),Backdoors!AL4)*(IF((Backdoors!AI12+IF(FU93&gt;=0.45,VLOOKUP(Calculator!E23,tbSkills!DH3:DI6,2,FALSE)+IF(AND(Calculator!B8=TRUE,Backdoors!BI28=TRUE),VLOOKUP(Calculator!E23,tbSkills!DH3:DJ6,3,FALSE),0),0))&gt;=100,100,(Backdoors!AI12+IF(FU93&gt;=0.45,VLOOKUP(Calculator!E23,tbSkills!DH3:DI6,2,FALSE)+IF(AND(Calculator!B8=TRUE,Backdoors!BI28=TRUE),VLOOKUP(Calculator!E23,tbSkills!DH3:DJ6,3,FALSE),0),0)))/100)),1),1)</f>
        <v>0.7</v>
      </c>
      <c r="GA93" s="87">
        <f t="shared" si="76"/>
        <v>0</v>
      </c>
      <c r="GB93" s="86" t="str">
        <f>IFERROR(IF(VLOOKUP(A93,tbMoveset!A2:B112,2,FALSE)="Sever",Backdoors!AY29/100,IF(VLOOKUP(A93,tbMoveset!A2:B112,2,FALSE)="Blunt",Backdoors!AZ29/100,Backdoors!BA29/100)),"")</f>
        <v/>
      </c>
      <c r="GC93" s="49">
        <f>IFERROR(IF(VLOOKUP(tbMoveset!A93,tbMoveset!A2:H112,8,FALSE)="Other",IF(VLOOKUP(tbMoveset!A93,tbMoveset!A2:I112,9,FALSE)="Fire",Backdoors!BB29,IF(VLOOKUP(tbMoveset!A93,tbMoveset!A2:I112,9,FALSE)="Water",Backdoors!BC29,IF(VLOOKUP(tbMoveset!A93,tbMoveset!A2:I112,9,FALSE)="Thunder",Backdoors!BD29,IF(VLOOKUP(tbMoveset!A93,tbMoveset!A2:I112,9,FALSE)="Ice",Backdoors!BE29,IF(VLOOKUP(tbMoveset!A93,tbMoveset!A2:I112,9,FALSE)="Dragon",Backdoors!BF29,Backdoors!BG29)))))/100,Backdoors!BG29/100),"")</f>
        <v>0</v>
      </c>
      <c r="GD93" s="49">
        <f>IFERROR(IF(VLOOKUP(A93,tbMoveset!A2:J112,10,FALSE)=TRUE,IF((Backdoors!AI12+IF(GB93&gt;=0.45,VLOOKUP(Calculator!E23,tbSkills!DH3:DI6,2,FALSE)+IF(AND(Calculator!B8=TRUE,Backdoors!BI29=TRUE),VLOOKUP(Calculator!E23,tbSkills!DH3:DJ6,3,FALSE),0),0))&gt;=0,1+(Backdoors!AL2*(IF((Backdoors!AI12+IF(GB93&gt;=0.45,VLOOKUP(Calculator!E23,tbSkills!DH3:DI6,2,FALSE)+IF(AND(Calculator!B8=TRUE,Backdoors!BI29=TRUE),VLOOKUP(Calculator!E23,tbSkills!DH3:DJ6,3,FALSE),0),0))&gt;=100,100,(Backdoors!AI12+IF(GB93&gt;=0.45,VLOOKUP(Calculator!E23,tbSkills!DH3:DI6,2,FALSE)+IF(AND(Calculator!B8=TRUE,Backdoors!BI29=TRUE),VLOOKUP(Calculator!E23,tbSkills!DH3:DJ6,3,FALSE),0),0)))/100)),(1-(0.25*((-Backdoors!AI12-IF(GB93&gt;=0.45,VLOOKUP(Calculator!E23,tbSkills!DH3:DI6,2,FALSE)+IF(AND(Calculator!B8=TRUE,Backdoors!BI29=TRUE),VLOOKUP(Calculator!E23,tbSkills!DH3:DJ6,3,FALSE),0),0))/100)))),1),"")</f>
        <v>1</v>
      </c>
      <c r="GE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B93)*GD93)*(VLOOKUP(A93,tbMoveset!A2:C112,3,FALSE)/100)*IF(VLOOKUP(A93,tbMoveset!A2:B112,2,FALSE)="Projectile",Backdoors!N10,Backdoors!N9),0),"")</f>
        <v/>
      </c>
      <c r="GF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B93&gt;=0.45,VLOOKUP(Calculator!E23,tbSkills!DH3:DI6,2,FALSE)+IF(AND(Calculator!B8=TRUE,Backdoors!BI29=TRUE),VLOOKUP(Calculator!E23,tbSkills!DH3:DJ6,3,FALSE),0),0))&gt;=100,100,(Backdoors!AI12+IF(GB93&gt;=0.45,VLOOKUP(Calculator!E23,tbSkills!DH3:DI6,2,FALSE)+IF(AND(Calculator!B8=TRUE,Backdoors!BI29=TRUE),VLOOKUP(Calculator!E23,tbSkills!DH3:DJ6,3,FALSE),0),0)))/100)),1))*IF(VLOOKUP(A93,tbMoveset!A2:K112,11,FALSE)=TRUE,Backdoors!AC5,1))*GC93,0),"")</f>
        <v>0</v>
      </c>
      <c r="GG93" s="49">
        <f>VLOOKUP(A93,tbMoveset!A2:G112,7,FALSE)*IFERROR(IF(Backdoors!AI12&gt;=0,1+(IF(Calculator!E40&gt;0,VLOOKUP(Calculator!E40,tbSkills!AI3:AJ5,2,FALSE),Backdoors!AL4)*(IF((Backdoors!AI12+IF(GB93&gt;=0.45,VLOOKUP(Calculator!E23,tbSkills!DH3:DI6,2,FALSE)+IF(AND(Calculator!B8=TRUE,Backdoors!BI29=TRUE),VLOOKUP(Calculator!E23,tbSkills!DH3:DJ6,3,FALSE),0),0))&gt;=100,100,(Backdoors!AI12+IF(GB93&gt;=0.45,VLOOKUP(Calculator!E23,tbSkills!DH3:DI6,2,FALSE)+IF(AND(Calculator!B8=TRUE,Backdoors!BI29=TRUE),VLOOKUP(Calculator!E23,tbSkills!DH3:DJ6,3,FALSE),0),0)))/100)),1),1)</f>
        <v>0.7</v>
      </c>
      <c r="GH93" s="87">
        <f t="shared" si="77"/>
        <v>0</v>
      </c>
      <c r="GI93" s="86" t="str">
        <f>IFERROR(IF(VLOOKUP(A93,tbMoveset!A2:B112,2,FALSE)="Sever",Backdoors!AY30/100,IF(VLOOKUP(A93,tbMoveset!A2:B112,2,FALSE)="Blunt",Backdoors!AZ30/100,Backdoors!BA30/100)),"")</f>
        <v/>
      </c>
      <c r="GJ93" s="49">
        <f>IFERROR(IF(VLOOKUP(tbMoveset!A93,tbMoveset!A2:H112,8,FALSE)="Other",IF(VLOOKUP(tbMoveset!A93,tbMoveset!A2:I112,9,FALSE)="Fire",Backdoors!BB30,IF(VLOOKUP(tbMoveset!A93,tbMoveset!A2:I112,9,FALSE)="Water",Backdoors!BC30,IF(VLOOKUP(tbMoveset!A93,tbMoveset!A2:I112,9,FALSE)="Thunder",Backdoors!BD30,IF(VLOOKUP(tbMoveset!A93,tbMoveset!A2:I112,9,FALSE)="Ice",Backdoors!BE30,IF(VLOOKUP(tbMoveset!A93,tbMoveset!A2:I112,9,FALSE)="Dragon",Backdoors!BF30,Backdoors!BG30)))))/100,Backdoors!BG30/100),"")</f>
        <v>0</v>
      </c>
      <c r="GK93" s="49">
        <f>IFERROR(IF(VLOOKUP(A93,tbMoveset!A2:J112,10,FALSE)=TRUE,IF((Backdoors!AI12+IF(GI93&gt;=0.45,VLOOKUP(Calculator!E23,tbSkills!DH3:DI6,2,FALSE)+IF(AND(Calculator!B8=TRUE,Backdoors!BI30=TRUE),VLOOKUP(Calculator!E23,tbSkills!DH3:DJ6,3,FALSE),0),0))&gt;=0,1+(Backdoors!AL2*(IF((Backdoors!AI12+IF(GI93&gt;=0.45,VLOOKUP(Calculator!E23,tbSkills!DH3:DI6,2,FALSE)+IF(AND(Calculator!B8=TRUE,Backdoors!BI30=TRUE),VLOOKUP(Calculator!E23,tbSkills!DH3:DJ6,3,FALSE),0),0))&gt;=100,100,(Backdoors!AI12+IF(GI93&gt;=0.45,VLOOKUP(Calculator!E23,tbSkills!DH3:DI6,2,FALSE)+IF(AND(Calculator!B8=TRUE,Backdoors!BI30=TRUE),VLOOKUP(Calculator!E23,tbSkills!DH3:DJ6,3,FALSE),0),0)))/100)),(1-(0.25*((-Backdoors!AI12-IF(GI93&gt;=0.45,VLOOKUP(Calculator!E23,tbSkills!DH3:DI6,2,FALSE)+IF(AND(Calculator!B8=TRUE,Backdoors!BI30=TRUE),VLOOKUP(Calculator!E23,tbSkills!DH3:DJ6,3,FALSE),0),0))/100)))),1),"")</f>
        <v>1</v>
      </c>
      <c r="GL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I93)*GK93)*(VLOOKUP(A93,tbMoveset!A2:C112,3,FALSE)/100)*IF(VLOOKUP(A93,tbMoveset!A2:B112,2,FALSE)="Projectile",Backdoors!N10,Backdoors!N9),0),"")</f>
        <v/>
      </c>
      <c r="GM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I93&gt;=0.45,VLOOKUP(Calculator!E23,tbSkills!DH3:DI6,2,FALSE)+IF(AND(Calculator!B8=TRUE,Backdoors!BI30=TRUE),VLOOKUP(Calculator!E23,tbSkills!DH3:DJ6,3,FALSE),0),0))&gt;=100,100,(Backdoors!AI12+IF(GI93&gt;=0.45,VLOOKUP(Calculator!E23,tbSkills!DH3:DI6,2,FALSE)+IF(AND(Calculator!B8=TRUE,Backdoors!BI30=TRUE),VLOOKUP(Calculator!E23,tbSkills!DH3:DJ6,3,FALSE),0),0)))/100)),1))*IF(VLOOKUP(A93,tbMoveset!A2:K112,11,FALSE)=TRUE,Backdoors!AC5,1))*GJ93,0),"")</f>
        <v>0</v>
      </c>
      <c r="GN93" s="49">
        <f>VLOOKUP(A93,tbMoveset!A2:G112,7,FALSE)*IFERROR(IF(Backdoors!AI12&gt;=0,1+(IF(Calculator!E40&gt;0,VLOOKUP(Calculator!E40,tbSkills!AI3:AJ5,2,FALSE),Backdoors!AL4)*(IF((Backdoors!AI12+IF(GI93&gt;=0.45,VLOOKUP(Calculator!E23,tbSkills!DH3:DI6,2,FALSE)+IF(AND(Calculator!B8=TRUE,Backdoors!BI30=TRUE),VLOOKUP(Calculator!E23,tbSkills!DH3:DJ6,3,FALSE),0),0))&gt;=100,100,(Backdoors!AI12+IF(GI93&gt;=0.45,VLOOKUP(Calculator!E23,tbSkills!DH3:DI6,2,FALSE)+IF(AND(Calculator!B8=TRUE,Backdoors!BI30=TRUE),VLOOKUP(Calculator!E23,tbSkills!DH3:DJ6,3,FALSE),0),0)))/100)),1),1)</f>
        <v>0.7</v>
      </c>
      <c r="GO93" s="87">
        <f t="shared" si="78"/>
        <v>0</v>
      </c>
      <c r="GP93" s="86" t="str">
        <f>IFERROR(IF(VLOOKUP(A93,tbMoveset!A2:B112,2,FALSE)="Sever",Backdoors!AY31/100,IF(VLOOKUP(A93,tbMoveset!A2:B112,2,FALSE)="Blunt",Backdoors!AZ31/100,Backdoors!BA31/100)),"")</f>
        <v/>
      </c>
      <c r="GQ93" s="49">
        <f>IFERROR(IF(VLOOKUP(tbMoveset!A93,tbMoveset!A2:H112,8,FALSE)="Other",IF(VLOOKUP(tbMoveset!A93,tbMoveset!A2:I112,9,FALSE)="Fire",Backdoors!BB31,IF(VLOOKUP(tbMoveset!A93,tbMoveset!A2:I112,9,FALSE)="Water",Backdoors!BC31,IF(VLOOKUP(tbMoveset!A93,tbMoveset!A2:I112,9,FALSE)="Thunder",Backdoors!BD31,IF(VLOOKUP(tbMoveset!A93,tbMoveset!A2:I112,9,FALSE)="Ice",Backdoors!BE31,IF(VLOOKUP(tbMoveset!A93,tbMoveset!A2:I112,9,FALSE)="Dragon",Backdoors!BF31,Backdoors!BG31)))))/100,Backdoors!BG31/100),"")</f>
        <v>0</v>
      </c>
      <c r="GR93" s="49">
        <f>IFERROR(IF(VLOOKUP(A93,tbMoveset!A2:J112,10,FALSE)=TRUE,IF((Backdoors!AI12+IF(GP93&gt;=0.45,VLOOKUP(Calculator!E23,tbSkills!DH3:DI6,2,FALSE)+IF(AND(Calculator!B8=TRUE,Backdoors!BI31=TRUE),VLOOKUP(Calculator!E23,tbSkills!DH3:DJ6,3,FALSE),0),0))&gt;=0,1+(Backdoors!AL2*(IF((Backdoors!AI12+IF(GP93&gt;=0.45,VLOOKUP(Calculator!E23,tbSkills!DH3:DI6,2,FALSE)+IF(AND(Calculator!B8=TRUE,Backdoors!BI31=TRUE),VLOOKUP(Calculator!E23,tbSkills!DH3:DJ6,3,FALSE),0),0))&gt;=100,100,(Backdoors!AI12+IF(GP93&gt;=0.45,VLOOKUP(Calculator!E23,tbSkills!DH3:DI6,2,FALSE)+IF(AND(Calculator!B8=TRUE,Backdoors!BI31=TRUE),VLOOKUP(Calculator!E23,tbSkills!DH3:DJ6,3,FALSE),0),0)))/100)),(1-(0.25*((-Backdoors!AI12-IF(GP93&gt;=0.45,VLOOKUP(Calculator!E23,tbSkills!DH3:DI6,2,FALSE)+IF(AND(Calculator!B8=TRUE,Backdoors!BI31=TRUE),VLOOKUP(Calculator!E23,tbSkills!DH3:DJ6,3,FALSE),0),0))/100)))),1),"")</f>
        <v>1</v>
      </c>
      <c r="GS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P93)*GR93)*(VLOOKUP(A93,tbMoveset!A2:C112,3,FALSE)/100)*IF(VLOOKUP(A93,tbMoveset!A2:B112,2,FALSE)="Projectile",Backdoors!N10,Backdoors!N9),0),"")</f>
        <v/>
      </c>
      <c r="GT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P93&gt;=0.45,VLOOKUP(Calculator!E23,tbSkills!DH3:DI6,2,FALSE)+IF(AND(Calculator!B8=TRUE,Backdoors!BI31=TRUE),VLOOKUP(Calculator!E23,tbSkills!DH3:DJ6,3,FALSE),0),0))&gt;=100,100,(Backdoors!AI12+IF(GP93&gt;=0.45,VLOOKUP(Calculator!E23,tbSkills!DH3:DI6,2,FALSE)+IF(AND(Calculator!B8=TRUE,Backdoors!BI31=TRUE),VLOOKUP(Calculator!E23,tbSkills!DH3:DJ6,3,FALSE),0),0)))/100)),1))*IF(VLOOKUP(A93,tbMoveset!A2:K112,11,FALSE)=TRUE,Backdoors!AC5,1))*GQ93,0),"")</f>
        <v>0</v>
      </c>
      <c r="GU93" s="49">
        <f>VLOOKUP(A93,tbMoveset!A2:G112,7,FALSE)*IFERROR(IF(Backdoors!AI12&gt;=0,1+(IF(Calculator!E40&gt;0,VLOOKUP(Calculator!E40,tbSkills!AI3:AJ5,2,FALSE),Backdoors!AL4)*(IF((Backdoors!AI12+IF(GP93&gt;=0.45,VLOOKUP(Calculator!E23,tbSkills!DH3:DI6,2,FALSE)+IF(AND(Calculator!B8=TRUE,Backdoors!BI31=TRUE),VLOOKUP(Calculator!E23,tbSkills!DH3:DJ6,3,FALSE),0),0))&gt;=100,100,(Backdoors!AI12+IF(GP93&gt;=0.45,VLOOKUP(Calculator!E23,tbSkills!DH3:DI6,2,FALSE)+IF(AND(Calculator!B8=TRUE,Backdoors!BI31=TRUE),VLOOKUP(Calculator!E23,tbSkills!DH3:DJ6,3,FALSE),0),0)))/100)),1),1)</f>
        <v>0.7</v>
      </c>
      <c r="GV93" s="87">
        <f t="shared" si="79"/>
        <v>0</v>
      </c>
      <c r="GW93" s="86" t="str">
        <f>IFERROR(IF(VLOOKUP(A93,tbMoveset!A2:B112,2,FALSE)="Sever",Backdoors!AY32/100,IF(VLOOKUP(A93,tbMoveset!A2:B112,2,FALSE)="Blunt",Backdoors!AZ32/100,Backdoors!BA32/100)),"")</f>
        <v/>
      </c>
      <c r="GX93" s="49">
        <f>IFERROR(IF(VLOOKUP(tbMoveset!A93,tbMoveset!A2:H112,8,FALSE)="Other",IF(VLOOKUP(tbMoveset!A93,tbMoveset!A2:I112,9,FALSE)="Fire",Backdoors!BB32,IF(VLOOKUP(tbMoveset!A93,tbMoveset!A2:I112,9,FALSE)="Water",Backdoors!BC32,IF(VLOOKUP(tbMoveset!A93,tbMoveset!A2:I112,9,FALSE)="Thunder",Backdoors!BD32,IF(VLOOKUP(tbMoveset!A93,tbMoveset!A2:I112,9,FALSE)="Ice",Backdoors!BE32,IF(VLOOKUP(tbMoveset!A93,tbMoveset!A2:I112,9,FALSE)="Dragon",Backdoors!BF32,Backdoors!BG32)))))/100,Backdoors!BG32/100),"")</f>
        <v>0</v>
      </c>
      <c r="GY93" s="49">
        <f>IFERROR(IF(VLOOKUP(A93,tbMoveset!A2:J112,10,FALSE)=TRUE,IF((Backdoors!AI12+IF(GW93&gt;=0.45,VLOOKUP(Calculator!E23,tbSkills!DH3:DI6,2,FALSE)+IF(AND(Calculator!B8=TRUE,Backdoors!BI32=TRUE),VLOOKUP(Calculator!E23,tbSkills!DH3:DJ6,3,FALSE),0),0))&gt;=0,1+(Backdoors!AL2*(IF((Backdoors!AI12+IF(GW93&gt;=0.45,VLOOKUP(Calculator!E23,tbSkills!DH3:DI6,2,FALSE)+IF(AND(Calculator!B8=TRUE,Backdoors!BI32=TRUE),VLOOKUP(Calculator!E23,tbSkills!DH3:DJ6,3,FALSE),0),0))&gt;=100,100,(Backdoors!AI12+IF(GW93&gt;=0.45,VLOOKUP(Calculator!E23,tbSkills!DH3:DI6,2,FALSE)+IF(AND(Calculator!B8=TRUE,Backdoors!BI32=TRUE),VLOOKUP(Calculator!E23,tbSkills!DH3:DJ6,3,FALSE),0),0)))/100)),(1-(0.25*((-Backdoors!AI12-IF(GW93&gt;=0.45,VLOOKUP(Calculator!E23,tbSkills!DH3:DI6,2,FALSE)+IF(AND(Calculator!B8=TRUE,Backdoors!BI32=TRUE),VLOOKUP(Calculator!E23,tbSkills!DH3:DJ6,3,FALSE),0),0))/100)))),1),"")</f>
        <v>1</v>
      </c>
      <c r="GZ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W93)*GY93)*(VLOOKUP(A93,tbMoveset!A2:C112,3,FALSE)/100)*IF(VLOOKUP(A93,tbMoveset!A2:B112,2,FALSE)="Projectile",Backdoors!N10,Backdoors!N9),0),"")</f>
        <v/>
      </c>
      <c r="HA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W93&gt;=0.45,VLOOKUP(Calculator!E23,tbSkills!DH3:DI6,2,FALSE)+IF(AND(Calculator!B8=TRUE,Backdoors!BI32=TRUE),VLOOKUP(Calculator!E23,tbSkills!DH3:DJ6,3,FALSE),0),0))&gt;=100,100,(Backdoors!AI12+IF(GW93&gt;=0.45,VLOOKUP(Calculator!E23,tbSkills!DH3:DI6,2,FALSE)+IF(AND(Calculator!B8=TRUE,Backdoors!BI32=TRUE),VLOOKUP(Calculator!E23,tbSkills!DH3:DJ6,3,FALSE),0),0)))/100)),1))*IF(VLOOKUP(A93,tbMoveset!A2:K112,11,FALSE)=TRUE,Backdoors!AC5,1))*GX93,0),"")</f>
        <v>0</v>
      </c>
      <c r="HB93" s="49">
        <f>VLOOKUP(A93,tbMoveset!A2:G112,7,FALSE)*IFERROR(IF(Backdoors!AI12&gt;=0,1+(IF(Calculator!E40&gt;0,VLOOKUP(Calculator!E40,tbSkills!AI3:AJ5,2,FALSE),Backdoors!AL4)*(IF((Backdoors!AI12+IF(GW93&gt;=0.45,VLOOKUP(Calculator!E23,tbSkills!DH3:DI6,2,FALSE)+IF(AND(Calculator!B8=TRUE,Backdoors!BI32=TRUE),VLOOKUP(Calculator!E23,tbSkills!DH3:DJ6,3,FALSE),0),0))&gt;=100,100,(Backdoors!AI12+IF(GW93&gt;=0.45,VLOOKUP(Calculator!E23,tbSkills!DH3:DI6,2,FALSE)+IF(AND(Calculator!B8=TRUE,Backdoors!BI32=TRUE),VLOOKUP(Calculator!E23,tbSkills!DH3:DJ6,3,FALSE),0),0)))/100)),1),1)</f>
        <v>0.7</v>
      </c>
      <c r="HC93" s="87">
        <f t="shared" si="80"/>
        <v>0</v>
      </c>
      <c r="HD93" s="86" t="str">
        <f>IFERROR(IF(VLOOKUP(A93,tbMoveset!A2:B112,2,FALSE)="Sever",Backdoors!AY33/100,IF(VLOOKUP(A93,tbMoveset!A2:B112,2,FALSE)="Blunt",Backdoors!AZ33/100,Backdoors!BA33/100)),"")</f>
        <v/>
      </c>
      <c r="HE93" s="49">
        <f>IFERROR(IF(VLOOKUP(tbMoveset!A93,tbMoveset!A2:H112,8,FALSE)="Other",IF(VLOOKUP(tbMoveset!A93,tbMoveset!A2:I112,9,FALSE)="Fire",Backdoors!BB33,IF(VLOOKUP(tbMoveset!A93,tbMoveset!A2:I112,9,FALSE)="Water",Backdoors!BC33,IF(VLOOKUP(tbMoveset!A93,tbMoveset!A2:I112,9,FALSE)="Thunder",Backdoors!BD33,IF(VLOOKUP(tbMoveset!A93,tbMoveset!A2:I112,9,FALSE)="Ice",Backdoors!BE33,IF(VLOOKUP(tbMoveset!A93,tbMoveset!A2:I112,9,FALSE)="Dragon",Backdoors!BF33,Backdoors!BG33)))))/100,Backdoors!BG33/100),"")</f>
        <v>0</v>
      </c>
      <c r="HF93" s="49">
        <f>IFERROR(IF(VLOOKUP(A93,tbMoveset!A2:J112,10,FALSE)=TRUE,IF((Backdoors!AI12+IF(HD93&gt;=0.45,VLOOKUP(Calculator!E23,tbSkills!DH3:DI6,2,FALSE)+IF(AND(Calculator!B8=TRUE,Backdoors!BI33=TRUE),VLOOKUP(Calculator!E23,tbSkills!DH3:DJ6,3,FALSE),0),0))&gt;=0,1+(Backdoors!AL2*(IF((Backdoors!AI12+IF(HD93&gt;=0.45,VLOOKUP(Calculator!E23,tbSkills!DH3:DI6,2,FALSE)+IF(AND(Calculator!B8=TRUE,Backdoors!BI33=TRUE),VLOOKUP(Calculator!E23,tbSkills!DH3:DJ6,3,FALSE),0),0))&gt;=100,100,(Backdoors!AI12+IF(HD93&gt;=0.45,VLOOKUP(Calculator!E23,tbSkills!DH3:DI6,2,FALSE)+IF(AND(Calculator!B8=TRUE,Backdoors!BI33=TRUE),VLOOKUP(Calculator!E23,tbSkills!DH3:DJ6,3,FALSE),0),0)))/100)),(1-(0.25*((-Backdoors!AI12-IF(HD93&gt;=0.45,VLOOKUP(Calculator!E23,tbSkills!DH3:DI6,2,FALSE)+IF(AND(Calculator!B8=TRUE,Backdoors!BI33=TRUE),VLOOKUP(Calculator!E23,tbSkills!DH3:DJ6,3,FALSE),0),0))/100)))),1),"")</f>
        <v>1</v>
      </c>
      <c r="HG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D93)*HF93)*(VLOOKUP(A93,tbMoveset!A2:C112,3,FALSE)/100)*IF(VLOOKUP(A93,tbMoveset!A2:B112,2,FALSE)="Projectile",Backdoors!N10,Backdoors!N9),0),"")</f>
        <v/>
      </c>
      <c r="HH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D93&gt;=0.45,VLOOKUP(Calculator!E23,tbSkills!DH3:DI6,2,FALSE)+IF(AND(Calculator!B8=TRUE,Backdoors!BI33=TRUE),VLOOKUP(Calculator!E23,tbSkills!DH3:DJ6,3,FALSE),0),0))&gt;=100,100,(Backdoors!AI12+IF(HD93&gt;=0.45,VLOOKUP(Calculator!E23,tbSkills!DH3:DI6,2,FALSE)+IF(AND(Calculator!B8=TRUE,Backdoors!BI33=TRUE),VLOOKUP(Calculator!E23,tbSkills!DH3:DJ6,3,FALSE),0),0)))/100)),1))*IF(VLOOKUP(A93,tbMoveset!A2:K112,11,FALSE)=TRUE,Backdoors!AC5,1))*HE93,0),"")</f>
        <v>0</v>
      </c>
      <c r="HI93" s="49">
        <f>VLOOKUP(A93,tbMoveset!A2:G112,7,FALSE)*IFERROR(IF(Backdoors!AI12&gt;=0,1+(IF(Calculator!E40&gt;0,VLOOKUP(Calculator!E40,tbSkills!AI3:AJ5,2,FALSE),Backdoors!AL4)*(IF((Backdoors!AI12+IF(HD93&gt;=0.45,VLOOKUP(Calculator!E23,tbSkills!DH3:DI6,2,FALSE)+IF(AND(Calculator!B8=TRUE,Backdoors!BI33=TRUE),VLOOKUP(Calculator!E23,tbSkills!DH3:DJ6,3,FALSE),0),0))&gt;=100,100,(Backdoors!AI12+IF(HD93&gt;=0.45,VLOOKUP(Calculator!E23,tbSkills!DH3:DI6,2,FALSE)+IF(AND(Calculator!B8=TRUE,Backdoors!BI33=TRUE),VLOOKUP(Calculator!E23,tbSkills!DH3:DJ6,3,FALSE),0),0)))/100)),1),1)</f>
        <v>0.7</v>
      </c>
      <c r="HJ93" s="87">
        <f t="shared" si="81"/>
        <v>0</v>
      </c>
      <c r="HK93" s="86" t="str">
        <f>IFERROR(IF(VLOOKUP(A93,tbMoveset!A2:B112,2,FALSE)="Sever",Backdoors!AY34/100,IF(VLOOKUP(A93,tbMoveset!A2:B112,2,FALSE)="Blunt",Backdoors!AZ34/100,Backdoors!BA34/100)),"")</f>
        <v/>
      </c>
      <c r="HL93" s="49">
        <f>IFERROR(IF(VLOOKUP(tbMoveset!A93,tbMoveset!A2:H112,8,FALSE)="Other",IF(VLOOKUP(tbMoveset!A93,tbMoveset!A2:I112,9,FALSE)="Fire",Backdoors!BB34,IF(VLOOKUP(tbMoveset!A93,tbMoveset!A2:I112,9,FALSE)="Water",Backdoors!BC34,IF(VLOOKUP(tbMoveset!A93,tbMoveset!A2:I112,9,FALSE)="Thunder",Backdoors!BD34,IF(VLOOKUP(tbMoveset!A93,tbMoveset!A2:I112,9,FALSE)="Ice",Backdoors!BE34,IF(VLOOKUP(tbMoveset!A93,tbMoveset!A2:I112,9,FALSE)="Dragon",Backdoors!BF34,Backdoors!BG34)))))/100,Backdoors!BG34/100),"")</f>
        <v>0</v>
      </c>
      <c r="HM93" s="49">
        <f>IFERROR(IF(VLOOKUP(A93,tbMoveset!A2:J112,10,FALSE)=TRUE,IF((Backdoors!AI12+IF(HK93&gt;=0.45,VLOOKUP(Calculator!E23,tbSkills!DH3:DI6,2,FALSE)+IF(AND(Calculator!B8=TRUE,Backdoors!BI34=TRUE),VLOOKUP(Calculator!E23,tbSkills!DH3:DJ6,3,FALSE),0),0))&gt;=0,1+(Backdoors!AL2*(IF((Backdoors!AI12+IF(HK93&gt;=0.45,VLOOKUP(Calculator!E23,tbSkills!DH3:DI6,2,FALSE)+IF(AND(Calculator!B8=TRUE,Backdoors!BI34=TRUE),VLOOKUP(Calculator!E23,tbSkills!DH3:DJ6,3,FALSE),0),0))&gt;=100,100,(Backdoors!AI12+IF(HK93&gt;=0.45,VLOOKUP(Calculator!E23,tbSkills!DH3:DI6,2,FALSE)+IF(AND(Calculator!B8=TRUE,Backdoors!BI34=TRUE),VLOOKUP(Calculator!E23,tbSkills!DH3:DJ6,3,FALSE),0),0)))/100)),(1-(0.25*((-Backdoors!AI12-IF(HK93&gt;=0.45,VLOOKUP(Calculator!E23,tbSkills!DH3:DI6,2,FALSE)+IF(AND(Calculator!B8=TRUE,Backdoors!BI34=TRUE),VLOOKUP(Calculator!E23,tbSkills!DH3:DJ6,3,FALSE),0),0))/100)))),1),"")</f>
        <v>1</v>
      </c>
      <c r="HN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K93)*HM93)*(VLOOKUP(A93,tbMoveset!A2:C112,3,FALSE)/100)*IF(VLOOKUP(A93,tbMoveset!A2:B112,2,FALSE)="Projectile",Backdoors!N10,Backdoors!N9),0),"")</f>
        <v/>
      </c>
      <c r="HO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K93&gt;=0.45,VLOOKUP(Calculator!E23,tbSkills!DH3:DI6,2,FALSE)+IF(AND(Calculator!B8=TRUE,Backdoors!BI34=TRUE),VLOOKUP(Calculator!E23,tbSkills!DH3:DJ6,3,FALSE),0),0))&gt;=100,100,(Backdoors!AI12+IF(HK93&gt;=0.45,VLOOKUP(Calculator!E23,tbSkills!DH3:DI6,2,FALSE)+IF(AND(Calculator!B8=TRUE,Backdoors!BI34=TRUE),VLOOKUP(Calculator!E23,tbSkills!DH3:DJ6,3,FALSE),0),0)))/100)),1))*IF(VLOOKUP(A93,tbMoveset!A2:K112,11,FALSE)=TRUE,Backdoors!AC5,1))*HL93,0),"")</f>
        <v>0</v>
      </c>
      <c r="HP93" s="49">
        <f>VLOOKUP(A93,tbMoveset!A2:G112,7,FALSE)*IFERROR(IF(Backdoors!AI12&gt;=0,1+(IF(Calculator!E40&gt;0,VLOOKUP(Calculator!E40,tbSkills!AI3:AJ5,2,FALSE),Backdoors!AL4)*(IF((Backdoors!AI12+IF(HK93&gt;=0.45,VLOOKUP(Calculator!E23,tbSkills!DH3:DI6,2,FALSE)+IF(AND(Calculator!B8=TRUE,Backdoors!BI34=TRUE),VLOOKUP(Calculator!E23,tbSkills!DH3:DJ6,3,FALSE),0),0))&gt;=100,100,(Backdoors!AI12+IF(HK93&gt;=0.45,VLOOKUP(Calculator!E23,tbSkills!DH3:DI6,2,FALSE)+IF(AND(Calculator!B8=TRUE,Backdoors!BI34=TRUE),VLOOKUP(Calculator!E23,tbSkills!DH3:DJ6,3,FALSE),0),0)))/100)),1),1)</f>
        <v>0.7</v>
      </c>
      <c r="HQ93" s="87">
        <f t="shared" si="82"/>
        <v>0</v>
      </c>
      <c r="HR93" s="86" t="str">
        <f>IFERROR(IF(VLOOKUP(A93,tbMoveset!A2:B112,2,FALSE)="Sever",Backdoors!AY35/100,IF(VLOOKUP(A93,tbMoveset!A2:B112,2,FALSE)="Blunt",Backdoors!AZ35/100,Backdoors!BA35/100)),"")</f>
        <v/>
      </c>
      <c r="HS93" s="49">
        <f>IFERROR(IF(VLOOKUP(tbMoveset!A93,tbMoveset!A2:H112,8,FALSE)="Other",IF(VLOOKUP(tbMoveset!A93,tbMoveset!A2:I112,9,FALSE)="Fire",Backdoors!BB35,IF(VLOOKUP(tbMoveset!A93,tbMoveset!A2:I112,9,FALSE)="Water",Backdoors!BC35,IF(VLOOKUP(tbMoveset!A93,tbMoveset!A2:I112,9,FALSE)="Thunder",Backdoors!BD35,IF(VLOOKUP(tbMoveset!A93,tbMoveset!A2:I112,9,FALSE)="Ice",Backdoors!BE35,IF(VLOOKUP(tbMoveset!A93,tbMoveset!A2:I112,9,FALSE)="Dragon",Backdoors!BF35,Backdoors!BG35)))))/100,Backdoors!BG35/100),"")</f>
        <v>0</v>
      </c>
      <c r="HT93" s="49">
        <f>IFERROR(IF(VLOOKUP(A93,tbMoveset!A2:J112,10,FALSE)=TRUE,IF((Backdoors!AI12+IF(HR93&gt;=0.45,VLOOKUP(Calculator!E23,tbSkills!DH3:DI6,2,FALSE)+IF(AND(Calculator!B8=TRUE,Backdoors!BI35=TRUE),VLOOKUP(Calculator!E23,tbSkills!DH3:DJ6,3,FALSE),0),0))&gt;=0,1+(Backdoors!AL2*(IF((Backdoors!AI12+IF(HR93&gt;=0.45,VLOOKUP(Calculator!E23,tbSkills!DH3:DI6,2,FALSE)+IF(AND(Calculator!B8=TRUE,Backdoors!BI35=TRUE),VLOOKUP(Calculator!E23,tbSkills!DH3:DJ6,3,FALSE),0),0))&gt;=100,100,(Backdoors!AI12+IF(HR93&gt;=0.45,VLOOKUP(Calculator!E23,tbSkills!DH3:DI6,2,FALSE)+IF(AND(Calculator!B8=TRUE,Backdoors!BI35=TRUE),VLOOKUP(Calculator!E23,tbSkills!DH3:DJ6,3,FALSE),0),0)))/100)),(1-(0.25*((-Backdoors!AI12-IF(HR93&gt;=0.45,VLOOKUP(Calculator!E23,tbSkills!DH3:DI6,2,FALSE)+IF(AND(Calculator!B8=TRUE,Backdoors!BI35=TRUE),VLOOKUP(Calculator!E23,tbSkills!DH3:DJ6,3,FALSE),0),0))/100)))),1),"")</f>
        <v>1</v>
      </c>
      <c r="HU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R93)*HT93)*(VLOOKUP(A93,tbMoveset!A2:C112,3,FALSE)/100)*IF(VLOOKUP(A93,tbMoveset!A2:B112,2,FALSE)="Projectile",Backdoors!N10,Backdoors!N9),0),"")</f>
        <v/>
      </c>
      <c r="HV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R93&gt;=0.45,VLOOKUP(Calculator!E23,tbSkills!DH3:DI6,2,FALSE)+IF(AND(Calculator!B8=TRUE,Backdoors!BI35=TRUE),VLOOKUP(Calculator!E23,tbSkills!DH3:DJ6,3,FALSE),0),0))&gt;=100,100,(Backdoors!AI12+IF(HR93&gt;=0.45,VLOOKUP(Calculator!E23,tbSkills!DH3:DI6,2,FALSE)+IF(AND(Calculator!B8=TRUE,Backdoors!BI35=TRUE),VLOOKUP(Calculator!E23,tbSkills!DH3:DJ6,3,FALSE),0),0)))/100)),1))*IF(VLOOKUP(A93,tbMoveset!A2:K112,11,FALSE)=TRUE,Backdoors!AC5,1))*HS93,0),"")</f>
        <v>0</v>
      </c>
      <c r="HW93" s="49">
        <f>VLOOKUP(A93,tbMoveset!A2:G112,7,FALSE)*IFERROR(IF(Backdoors!AI12&gt;=0,1+(IF(Calculator!E40&gt;0,VLOOKUP(Calculator!E40,tbSkills!AI3:AJ5,2,FALSE),Backdoors!AL4)*(IF((Backdoors!AI12+IF(HR93&gt;=0.45,VLOOKUP(Calculator!E23,tbSkills!DH3:DI6,2,FALSE)+IF(AND(Calculator!B8=TRUE,Backdoors!BI35=TRUE),VLOOKUP(Calculator!E23,tbSkills!DH3:DJ6,3,FALSE),0),0))&gt;=100,100,(Backdoors!AI12+IF(HR93&gt;=0.45,VLOOKUP(Calculator!E23,tbSkills!DH3:DI6,2,FALSE)+IF(AND(Calculator!B8=TRUE,Backdoors!BI35=TRUE),VLOOKUP(Calculator!E23,tbSkills!DH3:DJ6,3,FALSE),0),0)))/100)),1),1)</f>
        <v>0.7</v>
      </c>
      <c r="HX93" s="87">
        <f t="shared" si="83"/>
        <v>0</v>
      </c>
      <c r="HY93" s="86" t="str">
        <f>IFERROR(IF(VLOOKUP(A93,tbMoveset!A2:B112,2,FALSE)="Sever",Backdoors!AY36/100,IF(VLOOKUP(A93,tbMoveset!A2:B112,2,FALSE)="Blunt",Backdoors!AZ36/100,Backdoors!BA36/100)),"")</f>
        <v/>
      </c>
      <c r="HZ93" s="49">
        <f>IFERROR(IF(VLOOKUP(tbMoveset!A93,tbMoveset!A2:H112,8,FALSE)="Other",IF(VLOOKUP(tbMoveset!A93,tbMoveset!A2:I112,9,FALSE)="Fire",Backdoors!BB36,IF(VLOOKUP(tbMoveset!A93,tbMoveset!A2:I112,9,FALSE)="Water",Backdoors!BC36,IF(VLOOKUP(tbMoveset!A93,tbMoveset!A2:I112,9,FALSE)="Thunder",Backdoors!BD36,IF(VLOOKUP(tbMoveset!A93,tbMoveset!A2:I112,9,FALSE)="Ice",Backdoors!BE36,IF(VLOOKUP(tbMoveset!A93,tbMoveset!A2:I112,9,FALSE)="Dragon",Backdoors!BF36,Backdoors!BG36)))))/100,Backdoors!BG36/100),"")</f>
        <v>0</v>
      </c>
      <c r="IA93" s="49">
        <f>IFERROR(IF(VLOOKUP(A93,tbMoveset!A2:J112,10,FALSE)=TRUE,IF((Backdoors!AI12+IF(HY93&gt;=0.45,VLOOKUP(Calculator!E23,tbSkills!DH3:DI6,2,FALSE)+IF(AND(Calculator!B8=TRUE,Backdoors!BI36=TRUE),VLOOKUP(Calculator!E23,tbSkills!DH3:DJ6,3,FALSE),0),0))&gt;=0,1+(Backdoors!AL2*(IF((Backdoors!AI12+IF(HY93&gt;=0.45,VLOOKUP(Calculator!E23,tbSkills!DH3:DI6,2,FALSE)+IF(AND(Calculator!B8=TRUE,Backdoors!BI36=TRUE),VLOOKUP(Calculator!E23,tbSkills!DH3:DJ6,3,FALSE),0),0))&gt;=100,100,(Backdoors!AI12+IF(HY93&gt;=0.45,VLOOKUP(Calculator!E23,tbSkills!DH3:DI6,2,FALSE)+IF(AND(Calculator!B8=TRUE,Backdoors!BI36=TRUE),VLOOKUP(Calculator!E23,tbSkills!DH3:DJ6,3,FALSE),0),0)))/100)),(1-(0.25*((-Backdoors!AI12-IF(HY93&gt;=0.45,VLOOKUP(Calculator!E23,tbSkills!DH3:DI6,2,FALSE)+IF(AND(Calculator!B8=TRUE,Backdoors!BI36=TRUE),VLOOKUP(Calculator!E23,tbSkills!DH3:DJ6,3,FALSE),0),0))/100)))),1),"")</f>
        <v>1</v>
      </c>
      <c r="IB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Y93)*IA93)*(VLOOKUP(A93,tbMoveset!A2:C112,3,FALSE)/100)*IF(VLOOKUP(A93,tbMoveset!A2:B112,2,FALSE)="Projectile",Backdoors!N10,Backdoors!N9),0),"")</f>
        <v/>
      </c>
      <c r="IC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Y93&gt;=0.45,VLOOKUP(Calculator!E23,tbSkills!DH3:DI6,2,FALSE)+IF(AND(Calculator!B8=TRUE,Backdoors!BI36=TRUE),VLOOKUP(Calculator!E23,tbSkills!DH3:DJ6,3,FALSE),0),0))&gt;=100,100,(Backdoors!AI12+IF(HY93&gt;=0.45,VLOOKUP(Calculator!E23,tbSkills!DH3:DI6,2,FALSE)+IF(AND(Calculator!B8=TRUE,Backdoors!BI36=TRUE),VLOOKUP(Calculator!E23,tbSkills!DH3:DJ6,3,FALSE),0),0)))/100)),1))*IF(VLOOKUP(A93,tbMoveset!A2:K112,11,FALSE)=TRUE,Backdoors!AC5,1))*HZ93,0),"")</f>
        <v>0</v>
      </c>
      <c r="ID93" s="49">
        <f>VLOOKUP(A93,tbMoveset!A2:G112,7,FALSE)*IFERROR(IF(Backdoors!AI12&gt;=0,1+(IF(Calculator!E40&gt;0,VLOOKUP(Calculator!E40,tbSkills!AI3:AJ5,2,FALSE),Backdoors!AL4)*(IF((Backdoors!AI12+IF(HY93&gt;=0.45,VLOOKUP(Calculator!E23,tbSkills!DH3:DI6,2,FALSE)+IF(AND(Calculator!B8=TRUE,Backdoors!BI36=TRUE),VLOOKUP(Calculator!E23,tbSkills!DH3:DJ6,3,FALSE),0),0))&gt;=100,100,(Backdoors!AI12+IF(HY93&gt;=0.45,VLOOKUP(Calculator!E23,tbSkills!DH3:DI6,2,FALSE)+IF(AND(Calculator!B8=TRUE,Backdoors!BI36=TRUE),VLOOKUP(Calculator!E23,tbSkills!DH3:DJ6,3,FALSE),0),0)))/100)),1),1)</f>
        <v>0.7</v>
      </c>
      <c r="IE93" s="87">
        <f t="shared" si="84"/>
        <v>0</v>
      </c>
      <c r="IF93" s="86" t="str">
        <f>IFERROR(IF(VLOOKUP(A93,tbMoveset!A2:B112,2,FALSE)="Sever",Backdoors!AY37/100,IF(VLOOKUP(A93,tbMoveset!A2:B112,2,FALSE)="Blunt",Backdoors!AZ37/100,Backdoors!BA37/100)),"")</f>
        <v/>
      </c>
      <c r="IG93" s="49">
        <f>IFERROR(IF(VLOOKUP(tbMoveset!A93,tbMoveset!A2:H112,8,FALSE)="Other",IF(VLOOKUP(tbMoveset!A93,tbMoveset!A2:I112,9,FALSE)="Fire",Backdoors!BB37,IF(VLOOKUP(tbMoveset!A93,tbMoveset!A2:I112,9,FALSE)="Water",Backdoors!BC37,IF(VLOOKUP(tbMoveset!A93,tbMoveset!A2:I112,9,FALSE)="Thunder",Backdoors!BD37,IF(VLOOKUP(tbMoveset!A93,tbMoveset!A2:I112,9,FALSE)="Ice",Backdoors!BE37,IF(VLOOKUP(tbMoveset!A93,tbMoveset!A2:I112,9,FALSE)="Dragon",Backdoors!BF37,Backdoors!BG37)))))/100,Backdoors!BG37/100),"")</f>
        <v>0</v>
      </c>
      <c r="IH93" s="49">
        <f>IFERROR(IF(VLOOKUP(A93,tbMoveset!A2:J112,10,FALSE)=TRUE,IF((Backdoors!AI12+IF(IF93&gt;=0.45,VLOOKUP(Calculator!E23,tbSkills!DH3:DI6,2,FALSE)+IF(AND(Calculator!B8=TRUE,Backdoors!BI37=TRUE),VLOOKUP(Calculator!E23,tbSkills!DH3:DJ6,3,FALSE),0),0))&gt;=0,1+(Backdoors!AL2*(IF((Backdoors!AI12+IF(IF93&gt;=0.45,VLOOKUP(Calculator!E23,tbSkills!DH3:DI6,2,FALSE)+IF(AND(Calculator!B8=TRUE,Backdoors!BI37=TRUE),VLOOKUP(Calculator!E23,tbSkills!DH3:DJ6,3,FALSE),0),0))&gt;=100,100,(Backdoors!AI12+IF(IF93&gt;=0.45,VLOOKUP(Calculator!E23,tbSkills!DH3:DI6,2,FALSE)+IF(AND(Calculator!B8=TRUE,Backdoors!BI37=TRUE),VLOOKUP(Calculator!E23,tbSkills!DH3:DJ6,3,FALSE),0),0)))/100)),(1-(0.25*((-Backdoors!AI12-IF(IF93&gt;=0.45,VLOOKUP(Calculator!E23,tbSkills!DH3:DI6,2,FALSE)+IF(AND(Calculator!B8=TRUE,Backdoors!BI37=TRUE),VLOOKUP(Calculator!E23,tbSkills!DH3:DJ6,3,FALSE),0),0))/100)))),1),"")</f>
        <v>1</v>
      </c>
      <c r="II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F93)*IH93)*(VLOOKUP(A93,tbMoveset!A2:C112,3,FALSE)/100)*IF(VLOOKUP(A93,tbMoveset!A2:B112,2,FALSE)="Projectile",Backdoors!N10,Backdoors!N9),0),"")</f>
        <v/>
      </c>
      <c r="IJ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IF93&gt;=0.45,VLOOKUP(Calculator!E23,tbSkills!DH3:DI6,2,FALSE)+IF(AND(Calculator!B8=TRUE,Backdoors!BI37=TRUE),VLOOKUP(Calculator!E23,tbSkills!DH3:DJ6,3,FALSE),0),0))&gt;=100,100,(Backdoors!AI12+IF(IF93&gt;=0.45,VLOOKUP(Calculator!E23,tbSkills!DH3:DI6,2,FALSE)+IF(AND(Calculator!B8=TRUE,Backdoors!BI37=TRUE),VLOOKUP(Calculator!E23,tbSkills!DH3:DJ6,3,FALSE),0),0)))/100)),1))*IF(VLOOKUP(A93,tbMoveset!A2:K112,11,FALSE)=TRUE,Backdoors!AC5,1))*IG93,0),"")</f>
        <v>0</v>
      </c>
      <c r="IK93" s="49">
        <f>VLOOKUP(A93,tbMoveset!A2:G112,7,FALSE)*IFERROR(IF(Backdoors!AI12&gt;=0,1+(IF(Calculator!E40&gt;0,VLOOKUP(Calculator!E40,tbSkills!AI3:AJ5,2,FALSE),Backdoors!AL4)*(IF((Backdoors!AI12+IF(IF93&gt;=0.45,VLOOKUP(Calculator!E23,tbSkills!DH3:DI6,2,FALSE)+IF(AND(Calculator!B8=TRUE,Backdoors!BI37=TRUE),VLOOKUP(Calculator!E23,tbSkills!DH3:DJ6,3,FALSE),0),0))&gt;=100,100,(Backdoors!AI12+IF(IF93&gt;=0.45,VLOOKUP(Calculator!E23,tbSkills!DH3:DI6,2,FALSE)+IF(AND(Calculator!B8=TRUE,Backdoors!BI37=TRUE),VLOOKUP(Calculator!E23,tbSkills!DH3:DJ6,3,FALSE),0),0)))/100)),1),1)</f>
        <v>0.7</v>
      </c>
      <c r="IL93" s="87">
        <f t="shared" si="85"/>
        <v>0</v>
      </c>
      <c r="IM93" s="86" t="str">
        <f>IFERROR(IF(VLOOKUP(A93,tbMoveset!A2:B112,2,FALSE)="Sever",Backdoors!AY38/100,IF(VLOOKUP(A93,tbMoveset!A2:B112,2,FALSE)="Blunt",Backdoors!AZ38/100,Backdoors!BA38/100)),"")</f>
        <v/>
      </c>
      <c r="IN93" s="49">
        <f>IFERROR(IF(VLOOKUP(tbMoveset!A93,tbMoveset!A2:H112,8,FALSE)="Other",IF(VLOOKUP(tbMoveset!A93,tbMoveset!A2:I112,9,FALSE)="Fire",Backdoors!BB38,IF(VLOOKUP(tbMoveset!A93,tbMoveset!A2:I112,9,FALSE)="Water",Backdoors!BC38,IF(VLOOKUP(tbMoveset!A93,tbMoveset!A2:I112,9,FALSE)="Thunder",Backdoors!BD38,IF(VLOOKUP(tbMoveset!A93,tbMoveset!A2:I112,9,FALSE)="Ice",Backdoors!BE38,IF(VLOOKUP(tbMoveset!A93,tbMoveset!A2:I112,9,FALSE)="Dragon",Backdoors!BF38,Backdoors!BG38)))))/100,Backdoors!BG38/100),"")</f>
        <v>0</v>
      </c>
      <c r="IO93" s="49">
        <f>IFERROR(IF(VLOOKUP(A93,tbMoveset!A2:J112,10,FALSE)=TRUE,IF((Backdoors!AI12+IF(IM93&gt;=0.45,VLOOKUP(Calculator!E23,tbSkills!DH3:DI6,2,FALSE)+IF(AND(Calculator!B8=TRUE,Backdoors!BI38=TRUE),VLOOKUP(Calculator!E23,tbSkills!DH3:DJ6,3,FALSE),0),0))&gt;=0,1+(Backdoors!AL2*(IF((Backdoors!AI12+IF(IM93&gt;=0.45,VLOOKUP(Calculator!E23,tbSkills!DH3:DI6,2,FALSE)+IF(AND(Calculator!B8=TRUE,Backdoors!BI38=TRUE),VLOOKUP(Calculator!E23,tbSkills!DH3:DJ6,3,FALSE),0),0))&gt;=100,100,(Backdoors!AI12+IF(IM93&gt;=0.45,VLOOKUP(Calculator!E23,tbSkills!DH3:DI6,2,FALSE)+IF(AND(Calculator!B8=TRUE,Backdoors!BI38=TRUE),VLOOKUP(Calculator!E23,tbSkills!DH3:DJ6,3,FALSE),0),0)))/100)),(1-(0.25*((-Backdoors!AI12-IF(IM93&gt;=0.45,VLOOKUP(Calculator!E23,tbSkills!DH3:DI6,2,FALSE)+IF(AND(Calculator!B8=TRUE,Backdoors!BI38=TRUE),VLOOKUP(Calculator!E23,tbSkills!DH3:DJ6,3,FALSE),0),0))/100)))),1),"")</f>
        <v>1</v>
      </c>
      <c r="IP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M93)*IO93)*(VLOOKUP(A93,tbMoveset!A2:C112,3,FALSE)/100)*IF(VLOOKUP(A93,tbMoveset!A2:B112,2,FALSE)="Projectile",Backdoors!N10,Backdoors!N9),0),"")</f>
        <v/>
      </c>
      <c r="IQ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IM93&gt;=0.45,VLOOKUP(Calculator!E23,tbSkills!DH3:DI6,2,FALSE)+IF(AND(Calculator!B8=TRUE,Backdoors!BI38=TRUE),VLOOKUP(Calculator!E23,tbSkills!DH3:DJ6,3,FALSE),0),0))&gt;=100,100,(Backdoors!AI12+IF(IM93&gt;=0.45,VLOOKUP(Calculator!E23,tbSkills!DH3:DI6,2,FALSE)+IF(AND(Calculator!B8=TRUE,Backdoors!BI38=TRUE),VLOOKUP(Calculator!E23,tbSkills!DH3:DJ6,3,FALSE),0),0)))/100)),1))*IF(VLOOKUP(A93,tbMoveset!A2:K112,11,FALSE)=TRUE,Backdoors!AC5,1))*IN93,0),"")</f>
        <v>0</v>
      </c>
      <c r="IR93" s="49">
        <f>VLOOKUP(A93,tbMoveset!A2:G112,7,FALSE)*IFERROR(IF(Backdoors!AI12&gt;=0,1+(IF(Calculator!E40&gt;0,VLOOKUP(Calculator!E40,tbSkills!AI3:AJ5,2,FALSE),Backdoors!AL4)*(IF((Backdoors!AI12+IF(IM93&gt;=0.45,VLOOKUP(Calculator!E23,tbSkills!DH3:DI6,2,FALSE)+IF(AND(Calculator!B8=TRUE,Backdoors!BI38=TRUE),VLOOKUP(Calculator!E23,tbSkills!DH3:DJ6,3,FALSE),0),0))&gt;=100,100,(Backdoors!AI12+IF(IM93&gt;=0.45,VLOOKUP(Calculator!E23,tbSkills!DH3:DI6,2,FALSE)+IF(AND(Calculator!B8=TRUE,Backdoors!BI38=TRUE),VLOOKUP(Calculator!E23,tbSkills!DH3:DJ6,3,FALSE),0),0)))/100)),1),1)</f>
        <v>0.7</v>
      </c>
      <c r="IS93" s="87">
        <f t="shared" si="86"/>
        <v>0</v>
      </c>
      <c r="IT93" s="86" t="str">
        <f>IFERROR(IF(VLOOKUP(A93,tbMoveset!A2:B112,2,FALSE)="Sever",Backdoors!AY39/100,IF(VLOOKUP(A93,tbMoveset!A2:B112,2,FALSE)="Blunt",Backdoors!AZ39/100,Backdoors!BA39/100)),"")</f>
        <v/>
      </c>
      <c r="IU93" s="49">
        <f>IFERROR(IF(VLOOKUP(tbMoveset!A93,tbMoveset!A2:H112,8,FALSE)="Other",IF(VLOOKUP(tbMoveset!A93,tbMoveset!A2:I112,9,FALSE)="Fire",Backdoors!BB39,IF(VLOOKUP(tbMoveset!A93,tbMoveset!A2:I112,9,FALSE)="Water",Backdoors!BC39,IF(VLOOKUP(tbMoveset!A93,tbMoveset!A2:I112,9,FALSE)="Thunder",Backdoors!BD39,IF(VLOOKUP(tbMoveset!A93,tbMoveset!A2:I112,9,FALSE)="Ice",Backdoors!BE39,IF(VLOOKUP(tbMoveset!A93,tbMoveset!A2:I112,9,FALSE)="Dragon",Backdoors!BF39,Backdoors!BG39)))))/100,Backdoors!BG39/100),"")</f>
        <v>0</v>
      </c>
      <c r="IV93" s="49">
        <f>IFERROR(IF(VLOOKUP(A93,tbMoveset!A2:J112,10,FALSE)=TRUE,IF((Backdoors!AI12+IF(IT93&gt;=0.45,VLOOKUP(Calculator!E23,tbSkills!DH3:DI6,2,FALSE)+IF(AND(Calculator!B8=TRUE,Backdoors!BI39=TRUE),VLOOKUP(Calculator!E23,tbSkills!DH3:DJ6,3,FALSE),0),0))&gt;=0,1+(Backdoors!AL2*(IF((Backdoors!AI12+IF(IT93&gt;=0.45,VLOOKUP(Calculator!E23,tbSkills!DH3:DI6,2,FALSE)+IF(AND(Calculator!B8=TRUE,Backdoors!BI39=TRUE),VLOOKUP(Calculator!E23,tbSkills!DH3:DJ6,3,FALSE),0),0))&gt;=100,100,(Backdoors!AI12+IF(IT93&gt;=0.45,VLOOKUP(Calculator!E23,tbSkills!DH3:DI6,2,FALSE)+IF(AND(Calculator!B8=TRUE,Backdoors!BI39=TRUE),VLOOKUP(Calculator!E23,tbSkills!DH3:DJ6,3,FALSE),0),0)))/100)),(1-(0.25*((-Backdoors!AI12-IF(IT93&gt;=0.45,VLOOKUP(Calculator!E23,tbSkills!DH3:DI6,2,FALSE)+IF(AND(Calculator!B8=TRUE,Backdoors!BI39=TRUE),VLOOKUP(Calculator!E23,tbSkills!DH3:DJ6,3,FALSE),0),0))/100)))),1),"")</f>
        <v>1</v>
      </c>
      <c r="IW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T93)*IV93)*(VLOOKUP(A93,tbMoveset!A2:C112,3,FALSE)/100)*IF(VLOOKUP(A93,tbMoveset!A2:B112,2,FALSE)="Projectile",Backdoors!N10,Backdoors!N9),0),"")</f>
        <v/>
      </c>
      <c r="IX93" s="49">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40&gt;0,VLOOKUP(Calculator!E40,tbSkills!AC3:AD5,2,FALSE),Backdoors!AL3)*(IF((Backdoors!AI12+IF(IT93&gt;=0.45,VLOOKUP(Calculator!E23,tbSkills!DH3:DI6,2,FALSE)+IF(AND(Calculator!B8=TRUE,Backdoors!BI39=TRUE),VLOOKUP(Calculator!E23,tbSkills!DH3:DJ6,3,FALSE),0),0))&gt;=100,100,(Backdoors!AI12+IF(IT93&gt;=0.45,VLOOKUP(Calculator!E23,tbSkills!DH3:DI6,2,FALSE)+IF(AND(Calculator!B8=TRUE,Backdoors!BI39=TRUE),VLOOKUP(Calculator!E23,tbSkills!DH3:DJ6,3,FALSE),0),0)))/100)),1))*IF(VLOOKUP(A93,tbMoveset!A2:K112,11,FALSE)=TRUE,Backdoors!AC5,1))*IU93,0),"")</f>
        <v>0</v>
      </c>
      <c r="IY93" s="49">
        <f>VLOOKUP(A93,tbMoveset!A2:G112,7,FALSE)*IFERROR(IF(Backdoors!AI12&gt;=0,1+(IF(Calculator!E40&gt;0,VLOOKUP(Calculator!E40,tbSkills!AI3:AJ5,2,FALSE),Backdoors!AL4)*(IF((Backdoors!AI12+IF(IT93&gt;=0.45,VLOOKUP(Calculator!E23,tbSkills!DH3:DI6,2,FALSE)+IF(AND(Calculator!B8=TRUE,Backdoors!BI39=TRUE),VLOOKUP(Calculator!E23,tbSkills!DH3:DJ6,3,FALSE),0),0))&gt;=100,100,(Backdoors!AI12+IF(IT93&gt;=0.45,VLOOKUP(Calculator!E23,tbSkills!DH3:DI6,2,FALSE)+IF(AND(Calculator!B8=TRUE,Backdoors!BI39=TRUE),VLOOKUP(Calculator!E23,tbSkills!DH3:DJ6,3,FALSE),0),0)))/100)),1),1)</f>
        <v>0.7</v>
      </c>
      <c r="IZ93" s="87">
        <f t="shared" si="87"/>
        <v>0</v>
      </c>
      <c r="JA93" s="86" t="str">
        <f>IFERROR(IF(VLOOKUP(A93,tbMoveset!A2:B112,2,FALSE)="Sever",Backdoors!AY40/100,IF(VLOOKUP(A93,tbMoveset!A2:B112,2,FALSE)="Blunt",Backdoors!AZ40/100,Backdoors!BA40/100)),"")</f>
        <v/>
      </c>
      <c r="JB93" s="49">
        <f>IFERROR(IF(VLOOKUP(tbMoveset!A93,tbMoveset!A2:H112,8,FALSE)="Other",IF(VLOOKUP(tbMoveset!A93,tbMoveset!A2:I112,9,FALSE)="Fire",Backdoors!BB40,IF(VLOOKUP(tbMoveset!A93,tbMoveset!A2:I112,9,FALSE)="Water",Backdoors!BC40,IF(VLOOKUP(tbMoveset!A93,tbMoveset!A2:I112,9,FALSE)="Thunder",Backdoors!BD40,IF(VLOOKUP(tbMoveset!A93,tbMoveset!A2:I112,9,FALSE)="Ice",Backdoors!BE40,IF(VLOOKUP(tbMoveset!A93,tbMoveset!A2:I112,9,FALSE)="Dragon",Backdoors!BF40,Backdoors!BG40)))))/100,Backdoors!BG40/100),"")</f>
        <v>0</v>
      </c>
      <c r="JC93" s="49">
        <f>IFERROR(IF(VLOOKUP(A93,tbMoveset!A2:J112,10,FALSE)=TRUE,IF((Backdoors!AI12+IF(JA93&gt;=0.45,VLOOKUP(Calculator!E23,tbSkills!DH3:DI6,2,FALSE)+IF(AND(Calculator!B8=TRUE,Backdoors!BI40=TRUE),VLOOKUP(Calculator!E23,tbSkills!DH3:DJ6,3,FALSE),0),0))&gt;=0,1+(Backdoors!AL2*(IF((Backdoors!AI12+IF(JA93&gt;=0.45,VLOOKUP(Calculator!E23,tbSkills!DH3:DI6,2,FALSE)+IF(AND(Calculator!B8=TRUE,Backdoors!BI40=TRUE),VLOOKUP(Calculator!E23,tbSkills!DH3:DJ6,3,FALSE),0),0))&gt;=100,100,(Backdoors!AI12+IF(JA93&gt;=0.45,VLOOKUP(Calculator!E23,tbSkills!DH3:DI6,2,FALSE)+IF(AND(Calculator!B8=TRUE,Backdoors!BI40=TRUE),VLOOKUP(Calculator!E23,tbSkills!DH3:DJ6,3,FALSE),0),0)))/100)),(1-(0.25*((-Backdoors!AI12-IF(JA93&gt;=0.45,VLOOKUP(Calculator!E23,tbSkills!DH3:DI6,2,FALSE)+IF(AND(Calculator!B8=TRUE,Backdoors!BI40=TRUE),VLOOKUP(Calculator!E23,tbSkills!DH3:DJ6,3,FALSE),0),0))/100)))),1),"")</f>
        <v>1</v>
      </c>
      <c r="JD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A93)*JC93)*(VLOOKUP(A93,tbMoveset!A2:C112,3,FALSE)/100)*IF(VLOOKUP(A93,tbMoveset!A2:B112,2,FALSE)="Projectile",Backdoors!N10,Backdoors!N9),0),"")</f>
        <v/>
      </c>
      <c r="JE93" s="49">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42&gt;0,VLOOKUP(Calculator!E42,tbSkills!AC3:AD5,2,FALSE),Backdoors!AL3)*(IF((Backdoors!AI12+IF(JA93&gt;=0.45,VLOOKUP(Calculator!E23,tbSkills!DH3:DI6,2,FALSE)+IF(AND(Calculator!B8=TRUE,Backdoors!BI40=TRUE),VLOOKUP(Calculator!E23,tbSkills!DH3:DJ6,3,FALSE),0),0))&gt;=100,100,(Backdoors!AI12+IF(JA93&gt;=0.45,VLOOKUP(Calculator!E23,tbSkills!DH3:DI6,2,FALSE)+IF(AND(Calculator!B8=TRUE,Backdoors!BI40=TRUE),VLOOKUP(Calculator!E23,tbSkills!DH3:DJ6,3,FALSE),0),0)))/100)),1))*IF(VLOOKUP(A93,tbMoveset!A2:K112,11,FALSE)=TRUE,Backdoors!AC5,1))*JB93,0),"")</f>
        <v>0</v>
      </c>
      <c r="JF93" s="49">
        <f>VLOOKUP(A93,tbMoveset!A2:G112,7,FALSE)*IFERROR(IF(Backdoors!AI12&gt;=0,1+(IF(Calculator!E40&gt;0,VLOOKUP(Calculator!E40,tbSkills!AI3:AJ5,2,FALSE),Backdoors!AL4)*(IF((Backdoors!AI12+IF(JA93&gt;=0.45,VLOOKUP(Calculator!E23,tbSkills!DH3:DI6,2,FALSE)+IF(AND(Calculator!B8=TRUE,Backdoors!BI40=TRUE),VLOOKUP(Calculator!E23,tbSkills!DH3:DJ6,3,FALSE),0),0))&gt;=100,100,(Backdoors!AI12+IF(JA93&gt;=0.45,VLOOKUP(Calculator!E23,tbSkills!DH3:DI6,2,FALSE)+IF(AND(Calculator!B8=TRUE,Backdoors!BI40=TRUE),VLOOKUP(Calculator!E23,tbSkills!DH3:DJ6,3,FALSE),0),0)))/100)),1),1)</f>
        <v>0.7</v>
      </c>
      <c r="JG93" s="87">
        <f t="shared" si="88"/>
        <v>0</v>
      </c>
      <c r="JH93" s="86" t="str">
        <f>IFERROR(IF(VLOOKUP(A93,tbMoveset!A2:B112,2,FALSE)="Sever",Backdoors!AY41/100,IF(VLOOKUP(A93,tbMoveset!A2:B112,2,FALSE)="Blunt",Backdoors!AZ41/100,Backdoors!BA41/100)),"")</f>
        <v/>
      </c>
      <c r="JI93" s="49">
        <f>IFERROR(IF(VLOOKUP(tbMoveset!A93,tbMoveset!A2:H112,8,FALSE)="Other",IF(VLOOKUP(tbMoveset!A93,tbMoveset!A2:I112,9,FALSE)="Fire",Backdoors!BB41,IF(VLOOKUP(tbMoveset!A93,tbMoveset!A2:I112,9,FALSE)="Water",Backdoors!BC41,IF(VLOOKUP(tbMoveset!A93,tbMoveset!A2:I112,9,FALSE)="Thunder",Backdoors!BD41,IF(VLOOKUP(tbMoveset!A93,tbMoveset!A2:I112,9,FALSE)="Ice",Backdoors!BE41,IF(VLOOKUP(tbMoveset!A93,tbMoveset!A2:I112,9,FALSE)="Dragon",Backdoors!BF41,Backdoors!BG41)))))/100,Backdoors!BG41/100),"")</f>
        <v>0</v>
      </c>
      <c r="JJ93" s="49">
        <f>IFERROR(IF(VLOOKUP(A93,tbMoveset!A2:J112,10,FALSE)=TRUE,IF((Backdoors!AI12+IF(JH93&gt;=0.45,VLOOKUP(Calculator!E23,tbSkills!DH3:DI6,2,FALSE)+IF(AND(Calculator!B8=TRUE,Backdoors!BI41=TRUE),VLOOKUP(Calculator!E23,tbSkills!DH3:DJ6,3,FALSE),0),0))&gt;=0,1+(Backdoors!AL2*(IF((Backdoors!AI12+IF(JH93&gt;=0.45,VLOOKUP(Calculator!E23,tbSkills!DH3:DI6,2,FALSE)+IF(AND(Calculator!B8=TRUE,Backdoors!BI41=TRUE),VLOOKUP(Calculator!E23,tbSkills!DH3:DJ6,3,FALSE),0),0))&gt;=100,100,(Backdoors!AI12+IF(JH93&gt;=0.45,VLOOKUP(Calculator!E23,tbSkills!DH3:DI6,2,FALSE)+IF(AND(Calculator!B8=TRUE,Backdoors!BI41=TRUE),VLOOKUP(Calculator!E23,tbSkills!DH3:DJ6,3,FALSE),0),0)))/100)),(1-(0.25*((-Backdoors!AI12-IF(JH93&gt;=0.45,VLOOKUP(Calculator!E23,tbSkills!DH3:DI6,2,FALSE)+IF(AND(Calculator!B8=TRUE,Backdoors!BI41=TRUE),VLOOKUP(Calculator!E23,tbSkills!DH3:DJ6,3,FALSE),0),0))/100)))),1),"")</f>
        <v>1</v>
      </c>
      <c r="JK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H93)*JJ93)*(VLOOKUP(A93,tbMoveset!A2:C112,3,FALSE)/100)*IF(VLOOKUP(A93,tbMoveset!A2:B112,2,FALSE)="Projectile",Backdoors!N10,Backdoors!N9),0),"")</f>
        <v/>
      </c>
      <c r="JL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43&gt;0,VLOOKUP(Calculator!E43,tbSkills!AC3:AD5,2,FALSE),Backdoors!AL3)*(IF((Backdoors!AI12+IF(JH93&gt;=0.45,VLOOKUP(Calculator!E23,tbSkills!DH3:DI6,2,FALSE)+IF(AND(Calculator!B8=TRUE,Backdoors!BI41=TRUE),VLOOKUP(Calculator!E23,tbSkills!DH3:DJ6,3,FALSE),0),0))&gt;=100,100,(Backdoors!AI12+IF(JH93&gt;=0.45,VLOOKUP(Calculator!E23,tbSkills!DH3:DI6,2,FALSE)+IF(AND(Calculator!B8=TRUE,Backdoors!BI41=TRUE),VLOOKUP(Calculator!E23,tbSkills!DH3:DJ6,3,FALSE),0),0)))/100)),1))*IF(VLOOKUP(A93,tbMoveset!A2:K112,11,FALSE)=TRUE,Backdoors!AC5,1))*JI93,0),"")</f>
        <v/>
      </c>
      <c r="JM93" s="49">
        <f>VLOOKUP(A93,tbMoveset!A2:G112,7,FALSE)*IFERROR(IF(Backdoors!AI12&gt;=0,1+(IF(Calculator!E40&gt;0,VLOOKUP(Calculator!E40,tbSkills!AI3:AJ5,2,FALSE),Backdoors!AL4)*(IF((Backdoors!AI12+IF(JH93&gt;=0.45,VLOOKUP(Calculator!E23,tbSkills!DH3:DI6,2,FALSE)+IF(AND(Calculator!B8=TRUE,Backdoors!BI41=TRUE),VLOOKUP(Calculator!E23,tbSkills!DH3:DJ6,3,FALSE),0),0))&gt;=100,100,(Backdoors!AI12+IF(JH93&gt;=0.45,VLOOKUP(Calculator!E23,tbSkills!DH3:DI6,2,FALSE)+IF(AND(Calculator!B8=TRUE,Backdoors!BI41=TRUE),VLOOKUP(Calculator!E23,tbSkills!DH3:DJ6,3,FALSE),0),0)))/100)),1),1)</f>
        <v>0.7</v>
      </c>
      <c r="JN93" s="87">
        <f t="shared" si="89"/>
        <v>0</v>
      </c>
      <c r="JO93" s="86" t="str">
        <f>IFERROR(IF(VLOOKUP(A93,tbMoveset!A2:B112,2,FALSE)="Sever",Backdoors!AY42/100,IF(VLOOKUP(A93,tbMoveset!A2:B112,2,FALSE)="Blunt",Backdoors!AZ42/100,Backdoors!BA42/100)),"")</f>
        <v/>
      </c>
      <c r="JP93" s="49">
        <f>IFERROR(IF(VLOOKUP(tbMoveset!A93,tbMoveset!A2:H112,8,FALSE)="Other",IF(VLOOKUP(tbMoveset!A93,tbMoveset!A2:I112,9,FALSE)="Fire",Backdoors!BB42,IF(VLOOKUP(tbMoveset!A93,tbMoveset!A2:I112,9,FALSE)="Water",Backdoors!BC42,IF(VLOOKUP(tbMoveset!A93,tbMoveset!A2:I112,9,FALSE)="Thunder",Backdoors!BD42,IF(VLOOKUP(tbMoveset!A93,tbMoveset!A2:I112,9,FALSE)="Ice",Backdoors!BE42,IF(VLOOKUP(tbMoveset!A93,tbMoveset!A2:I112,9,FALSE)="Dragon",Backdoors!BF42,Backdoors!BG42)))))/100,Backdoors!BG42/100),"")</f>
        <v>0</v>
      </c>
      <c r="JQ93" s="49">
        <f>IFERROR(IF(VLOOKUP(A93,tbMoveset!A2:J112,10,FALSE)=TRUE,IF((Backdoors!AI12+IF(JO93&gt;=0.45,VLOOKUP(Calculator!E23,tbSkills!DH3:DI6,2,FALSE)+IF(AND(Calculator!B8=TRUE,Backdoors!BI42=TRUE),VLOOKUP(Calculator!E23,tbSkills!DH3:DJ6,3,FALSE),0),0))&gt;=0,1+(Backdoors!AL2*(IF((Backdoors!AI12+IF(JO93&gt;=0.45,VLOOKUP(Calculator!E23,tbSkills!DH3:DI6,2,FALSE)+IF(AND(Calculator!B8=TRUE,Backdoors!BI42=TRUE),VLOOKUP(Calculator!E23,tbSkills!DH3:DJ6,3,FALSE),0),0))&gt;=100,100,(Backdoors!AI12+IF(JO93&gt;=0.45,VLOOKUP(Calculator!E23,tbSkills!DH3:DI6,2,FALSE)+IF(AND(Calculator!B8=TRUE,Backdoors!BI42=TRUE),VLOOKUP(Calculator!E23,tbSkills!DH3:DJ6,3,FALSE),0),0)))/100)),(1-(0.25*((-Backdoors!AI12-IF(JO93&gt;=0.45,VLOOKUP(Calculator!E23,tbSkills!DH3:DI6,2,FALSE)+IF(AND(Calculator!B8=TRUE,Backdoors!BI42=TRUE),VLOOKUP(Calculator!E23,tbSkills!DH3:DJ6,3,FALSE),0),0))/100)))),1),"")</f>
        <v>1</v>
      </c>
      <c r="JR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O93)*JQ93)*(VLOOKUP(A93,tbMoveset!A2:C112,3,FALSE)/100)*IF(VLOOKUP(A93,tbMoveset!A2:B112,2,FALSE)="Projectile",Backdoors!N10,Backdoors!N9),0),"")</f>
        <v/>
      </c>
      <c r="JS93" s="49">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45&gt;0,VLOOKUP(Calculator!E45,tbSkills!AC3:AD5,2,FALSE),Backdoors!AL3)*(IF((Backdoors!AI12+IF(JO93&gt;=0.45,VLOOKUP(Calculator!E23,tbSkills!DH3:DI6,2,FALSE)+IF(AND(Calculator!B8=TRUE,Backdoors!BI42=TRUE),VLOOKUP(Calculator!E23,tbSkills!DH3:DJ6,3,FALSE),0),0))&gt;=100,100,(Backdoors!AI12+IF(JO93&gt;=0.45,VLOOKUP(Calculator!E23,tbSkills!DH3:DI6,2,FALSE)+IF(AND(Calculator!B8=TRUE,Backdoors!BI42=TRUE),VLOOKUP(Calculator!E23,tbSkills!DH3:DJ6,3,FALSE),0),0)))/100)),1))*IF(VLOOKUP(A93,tbMoveset!A2:K112,11,FALSE)=TRUE,Backdoors!AC5,1))*JP93,0),"")</f>
        <v>0</v>
      </c>
      <c r="JT93" s="49">
        <f>VLOOKUP(A93,tbMoveset!A2:G112,7,FALSE)*IFERROR(IF(Backdoors!AI12&gt;=0,1+(IF(Calculator!E40&gt;0,VLOOKUP(Calculator!E40,tbSkills!AI3:AJ5,2,FALSE),Backdoors!AL4)*(IF((Backdoors!AI12+IF(JO93&gt;=0.45,VLOOKUP(Calculator!E23,tbSkills!DH3:DI6,2,FALSE)+IF(AND(Calculator!B8=TRUE,Backdoors!BI42=TRUE),VLOOKUP(Calculator!E23,tbSkills!DH3:DJ6,3,FALSE),0),0))&gt;=100,100,(Backdoors!AI12+IF(JO93&gt;=0.45,VLOOKUP(Calculator!E23,tbSkills!DH3:DI6,2,FALSE)+IF(AND(Calculator!B8=TRUE,Backdoors!BI42=TRUE),VLOOKUP(Calculator!E23,tbSkills!DH3:DJ6,3,FALSE),0),0)))/100)),1),1)</f>
        <v>0.7</v>
      </c>
      <c r="JU93" s="87">
        <f t="shared" si="90"/>
        <v>0</v>
      </c>
      <c r="JV93" s="86" t="str">
        <f>IFERROR(IF(VLOOKUP(A93,tbMoveset!A2:B112,2,FALSE)="Sever",Backdoors!AY43/100,IF(VLOOKUP(A93,tbMoveset!A2:B112,2,FALSE)="Blunt",Backdoors!AZ43/100,Backdoors!BA43/100)),"")</f>
        <v/>
      </c>
      <c r="JW93" s="49">
        <f>IFERROR(IF(VLOOKUP(tbMoveset!A93,tbMoveset!A2:H112,8,FALSE)="Other",IF(VLOOKUP(tbMoveset!A93,tbMoveset!A2:I112,9,FALSE)="Fire",Backdoors!BB43,IF(VLOOKUP(tbMoveset!A93,tbMoveset!A2:I112,9,FALSE)="Water",Backdoors!BC43,IF(VLOOKUP(tbMoveset!A93,tbMoveset!A2:I112,9,FALSE)="Thunder",Backdoors!BD43,IF(VLOOKUP(tbMoveset!A93,tbMoveset!A2:I112,9,FALSE)="Ice",Backdoors!BE43,IF(VLOOKUP(tbMoveset!A93,tbMoveset!A2:I112,9,FALSE)="Dragon",Backdoors!BF43,Backdoors!BG43)))))/100,Backdoors!BG43/100),"")</f>
        <v>0</v>
      </c>
      <c r="JX93" s="49">
        <f>IFERROR(IF(VLOOKUP(A93,tbMoveset!A2:J112,10,FALSE)=TRUE,IF((Backdoors!AI12+IF(JV93&gt;=0.45,VLOOKUP(Calculator!E23,tbSkills!DH3:DI6,2,FALSE)+IF(AND(Calculator!B8=TRUE,Backdoors!BI43=TRUE),VLOOKUP(Calculator!E23,tbSkills!DH3:DJ6,3,FALSE),0),0))&gt;=0,1+(Backdoors!AL2*(IF((Backdoors!AI12+IF(JV93&gt;=0.45,VLOOKUP(Calculator!E23,tbSkills!DH3:DI6,2,FALSE)+IF(AND(Calculator!B8=TRUE,Backdoors!BI43=TRUE),VLOOKUP(Calculator!E23,tbSkills!DH3:DJ6,3,FALSE),0),0))&gt;=100,100,(Backdoors!AI12+IF(JV93&gt;=0.45,VLOOKUP(Calculator!E23,tbSkills!DH3:DI6,2,FALSE)+IF(AND(Calculator!B8=TRUE,Backdoors!BI43=TRUE),VLOOKUP(Calculator!E23,tbSkills!DH3:DJ6,3,FALSE),0),0)))/100)),(1-(0.25*((-Backdoors!AI12-IF(JV93&gt;=0.45,VLOOKUP(Calculator!E23,tbSkills!DH3:DI6,2,FALSE)+IF(AND(Calculator!B8=TRUE,Backdoors!BI43=TRUE),VLOOKUP(Calculator!E23,tbSkills!DH3:DJ6,3,FALSE),0),0))/100)))),1),"")</f>
        <v>1</v>
      </c>
      <c r="JY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V93)*JX93)*(VLOOKUP(A93,tbMoveset!A2:C112,3,FALSE)/100)*IF(VLOOKUP(A93,tbMoveset!A2:B112,2,FALSE)="Projectile",Backdoors!N10,Backdoors!N9),0),"")</f>
        <v/>
      </c>
      <c r="JZ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46&gt;0,VLOOKUP(Calculator!E46,tbSkills!AC3:AD5,2,FALSE),Backdoors!AL3)*(IF((Backdoors!AI12+IF(JV93&gt;=0.45,VLOOKUP(Calculator!E23,tbSkills!DH3:DI6,2,FALSE)+IF(AND(Calculator!B8=TRUE,Backdoors!BI43=TRUE),VLOOKUP(Calculator!E23,tbSkills!DH3:DJ6,3,FALSE),0),0))&gt;=100,100,(Backdoors!AI12+IF(JV93&gt;=0.45,VLOOKUP(Calculator!E23,tbSkills!DH3:DI6,2,FALSE)+IF(AND(Calculator!B8=TRUE,Backdoors!BI43=TRUE),VLOOKUP(Calculator!E23,tbSkills!DH3:DJ6,3,FALSE),0),0)))/100)),1))*IF(VLOOKUP(A93,tbMoveset!A2:K112,11,FALSE)=TRUE,Backdoors!AC5,1))*JW93,0),"")</f>
        <v/>
      </c>
      <c r="KA93" s="49">
        <f>VLOOKUP(A93,tbMoveset!A2:G112,7,FALSE)*IFERROR(IF(Backdoors!AI12&gt;=0,1+(IF(Calculator!E40&gt;0,VLOOKUP(Calculator!E40,tbSkills!AI3:AJ5,2,FALSE),Backdoors!AL4)*(IF((Backdoors!AI12+IF(JV93&gt;=0.45,VLOOKUP(Calculator!E23,tbSkills!DH3:DI6,2,FALSE)+IF(AND(Calculator!B8=TRUE,Backdoors!BI43=TRUE),VLOOKUP(Calculator!E23,tbSkills!DH3:DJ6,3,FALSE),0),0))&gt;=100,100,(Backdoors!AI12+IF(JV93&gt;=0.45,VLOOKUP(Calculator!E23,tbSkills!DH3:DI6,2,FALSE)+IF(AND(Calculator!B8=TRUE,Backdoors!BI43=TRUE),VLOOKUP(Calculator!E23,tbSkills!DH3:DJ6,3,FALSE),0),0)))/100)),1),1)</f>
        <v>0.7</v>
      </c>
      <c r="KB93" s="87">
        <f t="shared" si="91"/>
        <v>0</v>
      </c>
      <c r="KC93" s="86" t="str">
        <f>IFERROR(IF(VLOOKUP(A93,tbMoveset!A2:B112,2,FALSE)="Sever",Backdoors!AY44/100,IF(VLOOKUP(A93,tbMoveset!A2:B112,2,FALSE)="Blunt",Backdoors!AZ44/100,Backdoors!BA44/100)),"")</f>
        <v/>
      </c>
      <c r="KD93" s="49">
        <f>IFERROR(IF(VLOOKUP(tbMoveset!A93,tbMoveset!A2:H112,8,FALSE)="Other",IF(VLOOKUP(tbMoveset!A93,tbMoveset!A2:I112,9,FALSE)="Fire",Backdoors!BB44,IF(VLOOKUP(tbMoveset!A93,tbMoveset!A2:I112,9,FALSE)="Water",Backdoors!BC44,IF(VLOOKUP(tbMoveset!A93,tbMoveset!A2:I112,9,FALSE)="Thunder",Backdoors!BD44,IF(VLOOKUP(tbMoveset!A93,tbMoveset!A2:I112,9,FALSE)="Ice",Backdoors!BE44,IF(VLOOKUP(tbMoveset!A93,tbMoveset!A2:I112,9,FALSE)="Dragon",Backdoors!BF44,Backdoors!BG44)))))/100,Backdoors!BG44/100),"")</f>
        <v>0</v>
      </c>
      <c r="KE93" s="49">
        <f>IFERROR(IF(VLOOKUP(A93,tbMoveset!A2:J112,10,FALSE)=TRUE,IF((Backdoors!AI12+IF(KC93&gt;=0.45,VLOOKUP(Calculator!E23,tbSkills!DH3:DI6,2,FALSE)+IF(AND(Calculator!B8=TRUE,Backdoors!BI44=TRUE),VLOOKUP(Calculator!E23,tbSkills!DH3:DJ6,3,FALSE),0),0))&gt;=0,1+(Backdoors!AL2*(IF((Backdoors!AI12+IF(KC93&gt;=0.45,VLOOKUP(Calculator!E23,tbSkills!DH3:DI6,2,FALSE)+IF(AND(Calculator!B8=TRUE,Backdoors!BI44=TRUE),VLOOKUP(Calculator!E23,tbSkills!DH3:DJ6,3,FALSE),0),0))&gt;=100,100,(Backdoors!AI12+IF(KC93&gt;=0.45,VLOOKUP(Calculator!E23,tbSkills!DH3:DI6,2,FALSE)+IF(AND(Calculator!B8=TRUE,Backdoors!BI44=TRUE),VLOOKUP(Calculator!E23,tbSkills!DH3:DJ6,3,FALSE),0),0)))/100)),(1-(0.25*((-Backdoors!AI12-IF(KC93&gt;=0.45,VLOOKUP(Calculator!E23,tbSkills!DH3:DI6,2,FALSE)+IF(AND(Calculator!B8=TRUE,Backdoors!BI44=TRUE),VLOOKUP(Calculator!E23,tbSkills!DH3:DJ6,3,FALSE),0),0))/100)))),1),"")</f>
        <v>1</v>
      </c>
      <c r="KF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KC93)*KE93)*(VLOOKUP(A93,tbMoveset!A2:C112,3,FALSE)/100)*IF(VLOOKUP(A93,tbMoveset!A2:B112,2,FALSE)="Projectile",Backdoors!N10,Backdoors!N9),0),"")</f>
        <v/>
      </c>
      <c r="KG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REF!&gt;0,VLOOKUP(Calculator!#REF!,tbSkills!AC3:AD5,2,FALSE),Backdoors!AL3)*(IF((Backdoors!AI12+IF(KC93&gt;=0.45,VLOOKUP(Calculator!E23,tbSkills!DH3:DI6,2,FALSE)+IF(AND(Calculator!B8=TRUE,Backdoors!BI44=TRUE),VLOOKUP(Calculator!E23,tbSkills!DH3:DJ6,3,FALSE),0),0))&gt;=100,100,(Backdoors!AI12+IF(KC93&gt;=0.45,VLOOKUP(Calculator!E23,tbSkills!DH3:DI6,2,FALSE)+IF(AND(Calculator!B8=TRUE,Backdoors!BI44=TRUE),VLOOKUP(Calculator!E23,tbSkills!DH3:DJ6,3,FALSE),0),0)))/100)),1))*IF(VLOOKUP(A93,tbMoveset!A2:K112,11,FALSE)=TRUE,Backdoors!AC5,1))*KD93,0),"")</f>
        <v/>
      </c>
      <c r="KH93" s="49">
        <f>VLOOKUP(A93,tbMoveset!A2:G112,7,FALSE)*IFERROR(IF(Backdoors!AI12&gt;=0,1+(IF(Calculator!E40&gt;0,VLOOKUP(Calculator!E40,tbSkills!AI3:AJ5,2,FALSE),Backdoors!AL4)*(IF((Backdoors!AI12+IF(KC93&gt;=0.45,VLOOKUP(Calculator!E23,tbSkills!DH3:DI6,2,FALSE)+IF(AND(Calculator!B8=TRUE,Backdoors!BI44=TRUE),VLOOKUP(Calculator!E23,tbSkills!DH3:DJ6,3,FALSE),0),0))&gt;=100,100,(Backdoors!AI12+IF(KC93&gt;=0.45,VLOOKUP(Calculator!E23,tbSkills!DH3:DI6,2,FALSE)+IF(AND(Calculator!B8=TRUE,Backdoors!BI44=TRUE),VLOOKUP(Calculator!E23,tbSkills!DH3:DJ6,3,FALSE),0),0)))/100)),1),1)</f>
        <v>0.7</v>
      </c>
      <c r="KI93" s="87">
        <f t="shared" si="92"/>
        <v>0</v>
      </c>
      <c r="KJ93" s="86" t="str">
        <f>IFERROR(IF(VLOOKUP(A93,tbMoveset!A2:B112,2,FALSE)="Sever",Backdoors!AY45/100,IF(VLOOKUP(A93,tbMoveset!A2:B112,2,FALSE)="Blunt",Backdoors!AZ45/100,Backdoors!BA45/100)),"")</f>
        <v/>
      </c>
      <c r="KK93" s="49">
        <f>IFERROR(IF(VLOOKUP(tbMoveset!A93,tbMoveset!A2:H112,8,FALSE)="Other",IF(VLOOKUP(tbMoveset!A93,tbMoveset!A2:I112,9,FALSE)="Fire",Backdoors!BB45,IF(VLOOKUP(tbMoveset!A93,tbMoveset!A2:I112,9,FALSE)="Water",Backdoors!BC45,IF(VLOOKUP(tbMoveset!A93,tbMoveset!A2:I112,9,FALSE)="Thunder",Backdoors!BD45,IF(VLOOKUP(tbMoveset!A93,tbMoveset!A2:I112,9,FALSE)="Ice",Backdoors!BE45,IF(VLOOKUP(tbMoveset!A93,tbMoveset!A2:I112,9,FALSE)="Dragon",Backdoors!BF45,Backdoors!BG45)))))/100,Backdoors!BG45/100),"")</f>
        <v>0</v>
      </c>
      <c r="KL93" s="49">
        <f>IFERROR(IF(VLOOKUP(A93,tbMoveset!A2:J112,10,FALSE)=TRUE,IF((Backdoors!AI12+IF(KJ93&gt;=0.45,VLOOKUP(Calculator!E23,tbSkills!DH3:DI6,2,FALSE)+IF(AND(Calculator!B8=TRUE,Backdoors!BI45=TRUE),VLOOKUP(Calculator!E23,tbSkills!DH3:DJ6,3,FALSE),0),0))&gt;=0,1+(Backdoors!AL2*(IF((Backdoors!AI12+IF(KJ93&gt;=0.45,VLOOKUP(Calculator!E23,tbSkills!DH3:DI6,2,FALSE)+IF(AND(Calculator!B8=TRUE,Backdoors!BI45=TRUE),VLOOKUP(Calculator!E23,tbSkills!DH3:DJ6,3,FALSE),0),0))&gt;=100,100,(Backdoors!AI12+IF(KJ93&gt;=0.45,VLOOKUP(Calculator!E23,tbSkills!DH3:DI6,2,FALSE)+IF(AND(Calculator!B8=TRUE,Backdoors!BI45=TRUE),VLOOKUP(Calculator!E23,tbSkills!DH3:DJ6,3,FALSE),0),0)))/100)),(1-(0.25*((-Backdoors!AI12-IF(KJ93&gt;=0.45,VLOOKUP(Calculator!E23,tbSkills!DH3:DI6,2,FALSE)+IF(AND(Calculator!B8=TRUE,Backdoors!BI45=TRUE),VLOOKUP(Calculator!E23,tbSkills!DH3:DJ6,3,FALSE),0),0))/100)))),1),"")</f>
        <v>1</v>
      </c>
      <c r="KM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KJ93)*KL93)*(VLOOKUP(A93,tbMoveset!A2:C112,3,FALSE)/100)*IF(VLOOKUP(A93,tbMoveset!A2:B112,2,FALSE)="Projectile",Backdoors!N10,Backdoors!N9),0),"")</f>
        <v/>
      </c>
      <c r="KN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REF!&gt;0,VLOOKUP(Calculator!#REF!,tbSkills!AC3:AD5,2,FALSE),Backdoors!AL3)*(IF((Backdoors!AI12+IF(KJ93&gt;=0.45,VLOOKUP(Calculator!E23,tbSkills!DH3:DI6,2,FALSE)+IF(AND(Calculator!B8=TRUE,Backdoors!BI45=TRUE),VLOOKUP(Calculator!E23,tbSkills!DH3:DJ6,3,FALSE),0),0))&gt;=100,100,(Backdoors!AI12+IF(KJ93&gt;=0.45,VLOOKUP(Calculator!E23,tbSkills!DH3:DI6,2,FALSE)+IF(AND(Calculator!B8=TRUE,Backdoors!BI45=TRUE),VLOOKUP(Calculator!E23,tbSkills!DH3:DJ6,3,FALSE),0),0)))/100)),1))*IF(VLOOKUP(A93,tbMoveset!A2:K112,11,FALSE)=TRUE,Backdoors!AC5,1))*KK93,0),"")</f>
        <v/>
      </c>
      <c r="KO93" s="49">
        <f>VLOOKUP(A93,tbMoveset!A2:G112,7,FALSE)*IFERROR(IF(Backdoors!AI12&gt;=0,1+(IF(Calculator!E40&gt;0,VLOOKUP(Calculator!E40,tbSkills!AI3:AJ5,2,FALSE),Backdoors!AL4)*(IF((Backdoors!AI12+IF(KJ93&gt;=0.45,VLOOKUP(Calculator!E23,tbSkills!DH3:DI6,2,FALSE)+IF(AND(Calculator!B8=TRUE,Backdoors!BI45=TRUE),VLOOKUP(Calculator!E23,tbSkills!DH3:DJ6,3,FALSE),0),0))&gt;=100,100,(Backdoors!AI12+IF(KJ93&gt;=0.45,VLOOKUP(Calculator!E23,tbSkills!DH3:DI6,2,FALSE)+IF(AND(Calculator!B8=TRUE,Backdoors!BI45=TRUE),VLOOKUP(Calculator!E23,tbSkills!DH3:DJ6,3,FALSE),0),0)))/100)),1),1)</f>
        <v>0.7</v>
      </c>
      <c r="KP93" s="87">
        <f t="shared" si="93"/>
        <v>0</v>
      </c>
      <c r="KQ93" s="86" t="str">
        <f>IFERROR(IF(VLOOKUP(A93,tbMoveset!A2:B112,2,FALSE)="Sever",Backdoors!AY46/100,IF(VLOOKUP(A93,tbMoveset!A2:B112,2,FALSE)="Blunt",Backdoors!AZ46/100,Backdoors!BA46/100)),"")</f>
        <v/>
      </c>
      <c r="KR93" s="49">
        <f>IFERROR(IF(VLOOKUP(tbMoveset!A93,tbMoveset!A2:H112,8,FALSE)="Other",IF(VLOOKUP(tbMoveset!A93,tbMoveset!A2:I112,9,FALSE)="Fire",Backdoors!BB46,IF(VLOOKUP(tbMoveset!A93,tbMoveset!A2:I112,9,FALSE)="Water",Backdoors!BC46,IF(VLOOKUP(tbMoveset!A93,tbMoveset!A2:I112,9,FALSE)="Thunder",Backdoors!BD46,IF(VLOOKUP(tbMoveset!A93,tbMoveset!A2:I112,9,FALSE)="Ice",Backdoors!BE46,IF(VLOOKUP(tbMoveset!A93,tbMoveset!A2:I112,9,FALSE)="Dragon",Backdoors!BF46,Backdoors!BG46)))))/100,Backdoors!BG46/100),"")</f>
        <v>0</v>
      </c>
      <c r="KS93" s="49">
        <f>IFERROR(IF(VLOOKUP(A93,tbMoveset!A2:J112,10,FALSE)=TRUE,IF((Backdoors!AI12+IF(KQ93&gt;=0.45,VLOOKUP(Calculator!E23,tbSkills!DH3:DI6,2,FALSE)+IF(AND(Calculator!B8=TRUE,Backdoors!BI46=TRUE),VLOOKUP(Calculator!E23,tbSkills!DH3:DJ6,3,FALSE),0),0))&gt;=0,1+(Backdoors!AL2*(IF((Backdoors!AI12+IF(KQ93&gt;=0.45,VLOOKUP(Calculator!E23,tbSkills!DH3:DI6,2,FALSE)+IF(AND(Calculator!B8=TRUE,Backdoors!BI46=TRUE),VLOOKUP(Calculator!E23,tbSkills!DH3:DJ6,3,FALSE),0),0))&gt;=100,100,(Backdoors!AI12+IF(KQ93&gt;=0.45,VLOOKUP(Calculator!E23,tbSkills!DH3:DI6,2,FALSE)+IF(AND(Calculator!B8=TRUE,Backdoors!BI46=TRUE),VLOOKUP(Calculator!E23,tbSkills!DH3:DJ6,3,FALSE),0),0)))/100)),(1-(0.25*((-Backdoors!AI12-IF(KQ93&gt;=0.45,VLOOKUP(Calculator!E23,tbSkills!DH3:DI6,2,FALSE)+IF(AND(Calculator!B8=TRUE,Backdoors!BI46=TRUE),VLOOKUP(Calculator!E23,tbSkills!DH3:DJ6,3,FALSE),0),0))/100)))),1),"")</f>
        <v>1</v>
      </c>
      <c r="KT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KQ93)*KS93)*(VLOOKUP(A93,tbMoveset!A2:C112,3,FALSE)/100)*IF(VLOOKUP(A93,tbMoveset!A2:B112,2,FALSE)="Projectile",Backdoors!N10,Backdoors!N9),0),"")</f>
        <v/>
      </c>
      <c r="KU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REF!&gt;0,VLOOKUP(Calculator!#REF!,tbSkills!AC3:AD5,2,FALSE),Backdoors!AL3)*(IF((Backdoors!AI12+IF(KQ93&gt;=0.45,VLOOKUP(Calculator!E23,tbSkills!DH3:DI6,2,FALSE)+IF(AND(Calculator!B8=TRUE,Backdoors!BI46=TRUE),VLOOKUP(Calculator!E23,tbSkills!DH3:DJ6,3,FALSE),0),0))&gt;=100,100,(Backdoors!AI12+IF(KQ93&gt;=0.45,VLOOKUP(Calculator!E23,tbSkills!DH3:DI6,2,FALSE)+IF(AND(Calculator!B8=TRUE,Backdoors!BI46=TRUE),VLOOKUP(Calculator!E23,tbSkills!DH3:DJ6,3,FALSE),0),0)))/100)),1))*IF(VLOOKUP(A93,tbMoveset!A2:K112,11,FALSE)=TRUE,Backdoors!AC5,1))*KR93,0),"")</f>
        <v/>
      </c>
      <c r="KV93" s="49">
        <f>VLOOKUP(A93,tbMoveset!A2:G112,7,FALSE)*IFERROR(IF(Backdoors!AI12&gt;=0,1+(IF(Calculator!E40&gt;0,VLOOKUP(Calculator!E40,tbSkills!AI3:AJ5,2,FALSE),Backdoors!AL4)*(IF((Backdoors!AI12+IF(KQ93&gt;=0.45,VLOOKUP(Calculator!E23,tbSkills!DH3:DI6,2,FALSE)+IF(AND(Calculator!B8=TRUE,Backdoors!BI46=TRUE),VLOOKUP(Calculator!E23,tbSkills!DH3:DJ6,3,FALSE),0),0))&gt;=100,100,(Backdoors!AI12+IF(KQ93&gt;=0.45,VLOOKUP(Calculator!E23,tbSkills!DH3:DI6,2,FALSE)+IF(AND(Calculator!B8=TRUE,Backdoors!BI46=TRUE),VLOOKUP(Calculator!E23,tbSkills!DH3:DJ6,3,FALSE),0),0)))/100)),1),1)</f>
        <v>0.7</v>
      </c>
      <c r="KW93" s="87">
        <f t="shared" si="94"/>
        <v>0</v>
      </c>
    </row>
    <row r="94" spans="1:309" x14ac:dyDescent="0.25">
      <c r="A94" s="95" t="str">
        <f>tbMoveset!A94</f>
        <v>[Clutching] Weapon Attack (R2)</v>
      </c>
      <c r="B94" s="86">
        <f>IFERROR(IF(VLOOKUP(A94,tbMoveset!A2:B112,2,FALSE)="Sever",Backdoors!AY3/100,IF(VLOOKUP(A94,tbMoveset!A2:B112,2,FALSE)="Blunt",Backdoors!AZ3/100,Backdoors!BA3/100)),"")</f>
        <v>0.8</v>
      </c>
      <c r="C94" s="49">
        <f>IFERROR(IF(VLOOKUP(tbMoveset!A94,tbMoveset!A2:H112,8,FALSE)="Other",IF(VLOOKUP(tbMoveset!A94,tbMoveset!A2:I112,9,FALSE)="Fire",Backdoors!BB3,IF(VLOOKUP(tbMoveset!A94,tbMoveset!A2:I112,9,FALSE)="Water",Backdoors!BC3,IF(VLOOKUP(tbMoveset!A94,tbMoveset!A2:I112,9,FALSE)="Thunder",Backdoors!BD3,IF(VLOOKUP(tbMoveset!A94,tbMoveset!A2:I112,9,FALSE)="Ice",Backdoors!BE3,IF(VLOOKUP(tbMoveset!A94,tbMoveset!A2:I112,9,FALSE)="Dragon",Backdoors!BF3,Backdoors!BG3)))))/100,Backdoors!BG3/100),"")</f>
        <v>0</v>
      </c>
      <c r="D94" s="49">
        <f>IFERROR(IF(VLOOKUP(A94,tbMoveset!A2:J112,10,FALSE)=TRUE,IF((Backdoors!AI12+IF(B94&gt;=0.45,VLOOKUP(Calculator!E23,tbSkills!DH3:DI6,2,FALSE)+IF(AND(Calculator!B8=TRUE,Backdoors!BI3=TRUE),VLOOKUP(Calculator!E23,tbSkills!DH3:DJ6,3,FALSE),0),0))&gt;=0,1+(Backdoors!AL2*(IF((Backdoors!AI12+IF(B94&gt;=0.45,VLOOKUP(Calculator!E23,tbSkills!DH3:DI6,2,FALSE)+IF(AND(Calculator!B8=TRUE,Backdoors!BI3=TRUE),VLOOKUP(Calculator!E23,tbSkills!DH3:DJ6,3,FALSE),0),0))&gt;=100,100,(Backdoors!AI12+IF(B94&gt;=0.45,VLOOKUP(Calculator!E23,tbSkills!DH3:DI6,2,FALSE)+IF(AND(Calculator!B8=TRUE,Backdoors!BI3=TRUE),VLOOKUP(Calculator!E23,tbSkills!DH3:DJ6,3,FALSE),0),0)))/100)),(1-(0.25*((-Backdoors!AI12-IF(B94&gt;=0.45,VLOOKUP(Calculator!E23,tbSkills!DH3:DI6,2,FALSE)+IF(AND(Calculator!B8=TRUE,Backdoors!BI3=TRUE),VLOOKUP(Calculator!E23,tbSkills!DH3:DJ6,3,FALSE),0),0))/100)))),1),"")</f>
        <v>1</v>
      </c>
      <c r="E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94)*D94)*(VLOOKUP(A94,tbMoveset!A2:C112,3,FALSE)/100)*IF(VLOOKUP(A94,tbMoveset!A2:B112,2,FALSE)="Projectile",Backdoors!N10,Backdoors!N9),0),"")</f>
        <v>9</v>
      </c>
      <c r="F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94&gt;=0.45,VLOOKUP(Calculator!E23,tbSkills!DH3:DI6,2,FALSE)+IF(AND(Calculator!B8=TRUE,Backdoors!BI3=TRUE),VLOOKUP(Calculator!E23,tbSkills!DH3:DJ6,3,FALSE),0),0))&gt;=100,100,(Backdoors!AI12+IF(B94&gt;=0.45,VLOOKUP(Calculator!E23,tbSkills!DH3:DI6,2,FALSE)+IF(AND(Calculator!B8=TRUE,Backdoors!BI3=TRUE),VLOOKUP(Calculator!E23,tbSkills!DH3:DJ6,3,FALSE),0),0)))/100)),1))*IF(VLOOKUP(A94,tbMoveset!A2:K112,11,FALSE)=TRUE,Backdoors!AC5,1))*C94,0),"")</f>
        <v>0</v>
      </c>
      <c r="G94">
        <f>VLOOKUP(A94,tbMoveset!A2:G112,7,FALSE)*IFERROR(IF(Backdoors!AI12&gt;=0,1+(IF(Calculator!E40&gt;0,VLOOKUP(Calculator!E40,tbSkills!AI3:AJ5,2,FALSE),Backdoors!AL4)*(IF((Backdoors!AI12+IF(B94&gt;=0.45,VLOOKUP(Calculator!E23,tbSkills!DH3:DI6,2,FALSE)+IF(AND(Calculator!B8=TRUE,Backdoors!BI3=TRUE),VLOOKUP(Calculator!E23,tbSkills!DH3:DJ6,3,FALSE),0),0))&gt;=100,100,(Backdoors!AI12+IF(B94&gt;=0.45,VLOOKUP(Calculator!E23,tbSkills!DH3:DI6,2,FALSE)+IF(AND(Calculator!B8=TRUE,Backdoors!BI3=TRUE),VLOOKUP(Calculator!E23,tbSkills!DH3:DJ6,3,FALSE),0),0)))/100)),1),1)</f>
        <v>0.7</v>
      </c>
      <c r="H94" s="87">
        <f t="shared" si="51"/>
        <v>9</v>
      </c>
      <c r="I94" s="86">
        <f>IFERROR(IF(VLOOKUP(A94,tbMoveset!A2:B112,2,FALSE)="Sever",Backdoors!AY4/100,IF(VLOOKUP(A94,tbMoveset!A2:B112,2,FALSE)="Blunt",Backdoors!AZ4/100,Backdoors!BA4/100)),"")</f>
        <v>0.65</v>
      </c>
      <c r="J94" s="49">
        <f>IFERROR(IF(VLOOKUP(tbMoveset!A94,tbMoveset!A2:H112,8,FALSE)="Other",IF(VLOOKUP(tbMoveset!A94,tbMoveset!A2:I112,9,FALSE)="Fire",Backdoors!BB4,IF(VLOOKUP(tbMoveset!A94,tbMoveset!A2:I112,9,FALSE)="Water",Backdoors!BC4,IF(VLOOKUP(tbMoveset!A94,tbMoveset!A2:I112,9,FALSE)="Thunder",Backdoors!BD4,IF(VLOOKUP(tbMoveset!A94,tbMoveset!A2:I112,9,FALSE)="Ice",Backdoors!BE4,IF(VLOOKUP(tbMoveset!A94,tbMoveset!A2:I112,9,FALSE)="Dragon",Backdoors!BF4,Backdoors!BG4)))))/100,Backdoors!BG4/100),"")</f>
        <v>0</v>
      </c>
      <c r="K94" s="49">
        <f>IFERROR(IF(VLOOKUP(A94,tbMoveset!A2:J112,10,FALSE)=TRUE,IF((Backdoors!AI12+IF(I94&gt;=0.45,VLOOKUP(Calculator!E23,tbSkills!DH3:DI6,2,FALSE)+IF(AND(Calculator!B8=TRUE,Backdoors!BI4=TRUE),VLOOKUP(Calculator!E23,tbSkills!DH3:DJ6,3,FALSE),0),0))&gt;=0,1+(Backdoors!AL2*(IF((Backdoors!AI12+IF(I94&gt;=0.45,VLOOKUP(Calculator!E23,tbSkills!DH3:DI6,2,FALSE)+IF(AND(Calculator!B8=TRUE,Backdoors!BI4=TRUE),VLOOKUP(Calculator!E23,tbSkills!DH3:DJ6,3,FALSE),0),0))&gt;=100,100,(Backdoors!AI12+IF(I94&gt;=0.45,VLOOKUP(Calculator!E23,tbSkills!DH3:DI6,2,FALSE)+IF(AND(Calculator!B8=TRUE,Backdoors!BI4=TRUE),VLOOKUP(Calculator!E23,tbSkills!DH3:DJ6,3,FALSE),0),0)))/100)),(1-(0.25*((-Backdoors!AI12-IF(I94&gt;=0.45,VLOOKUP(Calculator!E23,tbSkills!DH3:DI6,2,FALSE)+IF(AND(Calculator!B8=TRUE,Backdoors!BI4=TRUE),VLOOKUP(Calculator!E23,tbSkills!DH3:DJ6,3,FALSE),0),0))/100)))),1),"")</f>
        <v>1</v>
      </c>
      <c r="L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94)*K94)*(VLOOKUP(A94,tbMoveset!A2:C112,3,FALSE)/100)*IF(VLOOKUP(A94,tbMoveset!A2:B112,2,FALSE)="Projectile",Backdoors!N10,Backdoors!N9),0),"")</f>
        <v>7</v>
      </c>
      <c r="M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I94&gt;=0.45,VLOOKUP(Calculator!E23,tbSkills!DH3:DI6,2,FALSE)+IF(AND(Calculator!B8=TRUE,Backdoors!BI4=TRUE),VLOOKUP(Calculator!E23,tbSkills!DH3:DJ6,3,FALSE),0),0))&gt;=100,100,(Backdoors!AI12+IF(I94&gt;=0.45,VLOOKUP(Calculator!E23,tbSkills!DH3:DI6,2,FALSE)+IF(AND(Calculator!B8=TRUE,Backdoors!BI4=TRUE),VLOOKUP(Calculator!E23,tbSkills!DH3:DJ6,3,FALSE),0),0)))/100)),1))*IF(VLOOKUP(A94,tbMoveset!A2:K112,11,FALSE)=TRUE,Backdoors!AC5,1))*J94,0),"")</f>
        <v>0</v>
      </c>
      <c r="N94" s="49">
        <f>VLOOKUP(A94,tbMoveset!A2:G112,7,FALSE)*IFERROR(IF(Backdoors!AI12&gt;=0,1+(IF(Calculator!E40&gt;0,VLOOKUP(Calculator!E40,tbSkills!AI3:AJ5,2,FALSE),Backdoors!AL4)*(IF((Backdoors!AI12+IF(I94&gt;=0.45,VLOOKUP(Calculator!E23,tbSkills!DH3:DI6,2,FALSE)+IF(AND(Calculator!B8=TRUE,Backdoors!BI4=TRUE),VLOOKUP(Calculator!E23,tbSkills!DH3:DJ6,3,FALSE),0),0))&gt;=100,100,(Backdoors!AI12+IF(I94&gt;=0.45,VLOOKUP(Calculator!E23,tbSkills!DH3:DI6,2,FALSE)+IF(AND(Calculator!B8=TRUE,Backdoors!BI4=TRUE),VLOOKUP(Calculator!E23,tbSkills!DH3:DJ6,3,FALSE),0),0)))/100)),1),1)</f>
        <v>0.7</v>
      </c>
      <c r="O94" s="87">
        <f t="shared" si="52"/>
        <v>7</v>
      </c>
      <c r="P94" s="86">
        <f>IFERROR(IF(VLOOKUP(A94,tbMoveset!A2:B112,2,FALSE)="Sever",Backdoors!AY5/100,IF(VLOOKUP(A94,tbMoveset!A2:B112,2,FALSE)="Blunt",Backdoors!AZ5/100,Backdoors!BA5/100)),"")</f>
        <v>0.5</v>
      </c>
      <c r="Q94" s="49">
        <f>IFERROR(IF(VLOOKUP(tbMoveset!A94,tbMoveset!A2:H112,8,FALSE)="Other",IF(VLOOKUP(tbMoveset!A94,tbMoveset!A2:I112,9,FALSE)="Fire",Backdoors!BB5,IF(VLOOKUP(tbMoveset!A94,tbMoveset!A2:I112,9,FALSE)="Water",Backdoors!BC5,IF(VLOOKUP(tbMoveset!A94,tbMoveset!A2:I112,9,FALSE)="Thunder",Backdoors!BD5,IF(VLOOKUP(tbMoveset!A94,tbMoveset!A2:I112,9,FALSE)="Ice",Backdoors!BE5,IF(VLOOKUP(tbMoveset!A94,tbMoveset!A2:I112,9,FALSE)="Dragon",Backdoors!BF5,Backdoors!BG5)))))/100,Backdoors!BG5/100),"")</f>
        <v>0</v>
      </c>
      <c r="R94" s="49">
        <f>IFERROR(IF(VLOOKUP(A94,tbMoveset!A2:J112,10,FALSE)=TRUE,IF((Backdoors!AI12+IF(P94&gt;=0.45,VLOOKUP(Calculator!E23,tbSkills!DH3:DI6,2,FALSE)+IF(AND(Calculator!B8=TRUE,Backdoors!BI5=TRUE),VLOOKUP(Calculator!E23,tbSkills!DH3:DJ6,3,FALSE),0),0))&gt;=0,1+(Backdoors!AL2*(IF((Backdoors!AI12+IF(P94&gt;=0.45,VLOOKUP(Calculator!E23,tbSkills!DH3:DI6,2,FALSE)+IF(AND(Calculator!B8=TRUE,Backdoors!BI5=TRUE),VLOOKUP(Calculator!E23,tbSkills!DH3:DJ6,3,FALSE),0),0))&gt;=100,100,(Backdoors!AI12+IF(P94&gt;=0.45,VLOOKUP(Calculator!E23,tbSkills!DH3:DI6,2,FALSE)+IF(AND(Calculator!B8=TRUE,Backdoors!BI5=TRUE),VLOOKUP(Calculator!E23,tbSkills!DH3:DJ6,3,FALSE),0),0)))/100)),(1-(0.25*((-Backdoors!AI12-IF(P94&gt;=0.45,VLOOKUP(Calculator!E23,tbSkills!DH3:DI6,2,FALSE)+IF(AND(Calculator!B8=TRUE,Backdoors!BI5=TRUE),VLOOKUP(Calculator!E23,tbSkills!DH3:DJ6,3,FALSE),0),0))/100)))),1),"")</f>
        <v>1</v>
      </c>
      <c r="S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P94)*R94)*(VLOOKUP(A94,tbMoveset!A2:C112,3,FALSE)/100)*IF(VLOOKUP(A94,tbMoveset!A2:B112,2,FALSE)="Projectile",Backdoors!N10,Backdoors!N9),0),"")</f>
        <v>5</v>
      </c>
      <c r="T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P94&gt;=0.45,VLOOKUP(Calculator!E23,tbSkills!DH3:DI6,2,FALSE)+IF(AND(Calculator!B8=TRUE,Backdoors!BI5=TRUE),VLOOKUP(Calculator!E23,tbSkills!DH3:DJ6,3,FALSE),0),0))&gt;=100,100,(Backdoors!AI12+IF(P94&gt;=0.45,VLOOKUP(Calculator!E23,tbSkills!DH3:DI6,2,FALSE)+IF(AND(Calculator!B8=TRUE,Backdoors!BI5=TRUE),VLOOKUP(Calculator!E23,tbSkills!DH3:DJ6,3,FALSE),0),0)))/100)),1))*IF(VLOOKUP(A94,tbMoveset!A2:K112,11,FALSE)=TRUE,Backdoors!AC5,1))*Q94,0),"")</f>
        <v>0</v>
      </c>
      <c r="U94" s="49">
        <f>VLOOKUP(A94,tbMoveset!A2:G112,7,FALSE)*IFERROR(IF(Backdoors!AI12&gt;=0,1+(IF(Calculator!E40&gt;0,VLOOKUP(Calculator!E40,tbSkills!AI3:AJ5,2,FALSE),Backdoors!AL4)*(IF((Backdoors!AI12+IF(P94&gt;=0.45,VLOOKUP(Calculator!E23,tbSkills!DH3:DI6,2,FALSE)+IF(AND(Calculator!B8=TRUE,Backdoors!BI5=TRUE),VLOOKUP(Calculator!E23,tbSkills!DH3:DJ6,3,FALSE),0),0))&gt;=100,100,(Backdoors!AI12+IF(P94&gt;=0.45,VLOOKUP(Calculator!E23,tbSkills!DH3:DI6,2,FALSE)+IF(AND(Calculator!B8=TRUE,Backdoors!BI5=TRUE),VLOOKUP(Calculator!E23,tbSkills!DH3:DJ6,3,FALSE),0),0)))/100)),1),1)</f>
        <v>0.7</v>
      </c>
      <c r="V94" s="87">
        <f t="shared" si="53"/>
        <v>5</v>
      </c>
      <c r="W94" s="86">
        <f>IFERROR(IF(VLOOKUP(A94,tbMoveset!A2:B112,2,FALSE)="Sever",Backdoors!AY6/100,IF(VLOOKUP(A94,tbMoveset!A2:B112,2,FALSE)="Blunt",Backdoors!AZ6/100,Backdoors!BA6/100)),"")</f>
        <v>0.45</v>
      </c>
      <c r="X94" s="49">
        <f>IFERROR(IF(VLOOKUP(tbMoveset!A94,tbMoveset!A2:H112,8,FALSE)="Other",IF(VLOOKUP(tbMoveset!A94,tbMoveset!A2:I112,9,FALSE)="Fire",Backdoors!BB6,IF(VLOOKUP(tbMoveset!A94,tbMoveset!A2:I112,9,FALSE)="Water",Backdoors!BC6,IF(VLOOKUP(tbMoveset!A94,tbMoveset!A2:I112,9,FALSE)="Thunder",Backdoors!BD6,IF(VLOOKUP(tbMoveset!A94,tbMoveset!A2:I112,9,FALSE)="Ice",Backdoors!BE6,IF(VLOOKUP(tbMoveset!A94,tbMoveset!A2:I112,9,FALSE)="Dragon",Backdoors!BF6,Backdoors!BG6)))))/100,Backdoors!BG6/100),"")</f>
        <v>0</v>
      </c>
      <c r="Y94" s="49">
        <f>IFERROR(IF(VLOOKUP(A94,tbMoveset!A2:J112,10,FALSE)=TRUE,IF((Backdoors!AI12+IF(W94&gt;=0.45,VLOOKUP(Calculator!E23,tbSkills!DH3:DI6,2,FALSE)+IF(AND(Calculator!B8=TRUE,Backdoors!BI6=TRUE),VLOOKUP(Calculator!E23,tbSkills!DH3:DJ6,3,FALSE),0),0))&gt;=0,1+(Backdoors!AL2*(IF((Backdoors!AI12+IF(W94&gt;=0.45,VLOOKUP(Calculator!E23,tbSkills!DH3:DI6,2,FALSE)+IF(AND(Calculator!B8=TRUE,Backdoors!BI6=TRUE),VLOOKUP(Calculator!E23,tbSkills!DH3:DJ6,3,FALSE),0),0))&gt;=100,100,(Backdoors!AI12+IF(W94&gt;=0.45,VLOOKUP(Calculator!E23,tbSkills!DH3:DI6,2,FALSE)+IF(AND(Calculator!B8=TRUE,Backdoors!BI6=TRUE),VLOOKUP(Calculator!E23,tbSkills!DH3:DJ6,3,FALSE),0),0)))/100)),(1-(0.25*((-Backdoors!AI12-IF(W94&gt;=0.45,VLOOKUP(Calculator!E23,tbSkills!DH3:DI6,2,FALSE)+IF(AND(Calculator!B8=TRUE,Backdoors!BI6=TRUE),VLOOKUP(Calculator!E23,tbSkills!DH3:DJ6,3,FALSE),0),0))/100)))),1),"")</f>
        <v>1</v>
      </c>
      <c r="Z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W94)*Y94)*(VLOOKUP(A94,tbMoveset!A2:C112,3,FALSE)/100)*IF(VLOOKUP(A94,tbMoveset!A2:B112,2,FALSE)="Projectile",Backdoors!N10,Backdoors!N9),0),"")</f>
        <v>5</v>
      </c>
      <c r="AA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W94&gt;=0.45,VLOOKUP(Calculator!E23,tbSkills!DH3:DI6,2,FALSE)+IF(AND(Calculator!B8=TRUE,Backdoors!BI6=TRUE),VLOOKUP(Calculator!E23,tbSkills!DH3:DJ6,3,FALSE),0),0))&gt;=100,100,(Backdoors!AI12+IF(W94&gt;=0.45,VLOOKUP(Calculator!E23,tbSkills!DH3:DI6,2,FALSE)+IF(AND(Calculator!B8=TRUE,Backdoors!BI6=TRUE),VLOOKUP(Calculator!E23,tbSkills!DH3:DJ6,3,FALSE),0),0)))/100)),1))*IF(VLOOKUP(A94,tbMoveset!A2:K112,11,FALSE)=TRUE,Backdoors!AC5,1))*X94,0),"")</f>
        <v>0</v>
      </c>
      <c r="AB94" s="49">
        <f>VLOOKUP(A94,tbMoveset!A2:G112,7,FALSE)*IFERROR(IF(Backdoors!AI12&gt;=0,1+(IF(Calculator!E40&gt;0,VLOOKUP(Calculator!E40,tbSkills!AI3:AJ5,2,FALSE),Backdoors!AL4)*(IF((Backdoors!AI12+IF(W94&gt;=0.45,VLOOKUP(Calculator!E23,tbSkills!DH3:DI6,2,FALSE)+IF(AND(Calculator!B8=TRUE,Backdoors!BI6=TRUE),VLOOKUP(Calculator!E23,tbSkills!DH3:DJ6,3,FALSE),0),0))&gt;=100,100,(Backdoors!AI12+IF(W94&gt;=0.45,VLOOKUP(Calculator!E23,tbSkills!DH3:DI6,2,FALSE)+IF(AND(Calculator!B8=TRUE,Backdoors!BI6=TRUE),VLOOKUP(Calculator!E23,tbSkills!DH3:DJ6,3,FALSE),0),0)))/100)),1),1)</f>
        <v>0.7</v>
      </c>
      <c r="AC94" s="87">
        <f t="shared" si="54"/>
        <v>5</v>
      </c>
      <c r="AD94" s="86">
        <f>IFERROR(IF(VLOOKUP(A94,tbMoveset!A2:B112,2,FALSE)="Sever",Backdoors!AY7/100,IF(VLOOKUP(A94,tbMoveset!A2:B112,2,FALSE)="Blunt",Backdoors!AZ7/100,Backdoors!BA7/100)),"")</f>
        <v>0.65</v>
      </c>
      <c r="AE94" s="49">
        <f>IFERROR(IF(VLOOKUP(tbMoveset!A94,tbMoveset!A2:H112,8,FALSE)="Other",IF(VLOOKUP(tbMoveset!A94,tbMoveset!A2:I112,9,FALSE)="Fire",Backdoors!BB7,IF(VLOOKUP(tbMoveset!A94,tbMoveset!A2:I112,9,FALSE)="Water",Backdoors!BC7,IF(VLOOKUP(tbMoveset!A94,tbMoveset!A2:I112,9,FALSE)="Thunder",Backdoors!BD7,IF(VLOOKUP(tbMoveset!A94,tbMoveset!A2:I112,9,FALSE)="Ice",Backdoors!BE7,IF(VLOOKUP(tbMoveset!A94,tbMoveset!A2:I112,9,FALSE)="Dragon",Backdoors!BF7,Backdoors!BG7)))))/100,Backdoors!BG7/100),"")</f>
        <v>0</v>
      </c>
      <c r="AF94" s="49">
        <f>IFERROR(IF(VLOOKUP(A94,tbMoveset!A2:J112,10,FALSE)=TRUE,IF((Backdoors!AI12+IF(AD94&gt;=0.45,VLOOKUP(Calculator!E23,tbSkills!DH3:DI6,2,FALSE)+IF(AND(Calculator!B8=TRUE,Backdoors!BI7=TRUE),VLOOKUP(Calculator!E23,tbSkills!DH3:DJ6,3,FALSE),0),0))&gt;=0,1+(Backdoors!AL2*(IF((Backdoors!AI12+IF(AD94&gt;=0.45,VLOOKUP(Calculator!E23,tbSkills!DH3:DI6,2,FALSE)+IF(AND(Calculator!B8=TRUE,Backdoors!BI7=TRUE),VLOOKUP(Calculator!E23,tbSkills!DH3:DJ6,3,FALSE),0),0))&gt;=100,100,(Backdoors!AI12+IF(AD94&gt;=0.45,VLOOKUP(Calculator!E23,tbSkills!DH3:DI6,2,FALSE)+IF(AND(Calculator!B8=TRUE,Backdoors!BI7=TRUE),VLOOKUP(Calculator!E23,tbSkills!DH3:DJ6,3,FALSE),0),0)))/100)),(1-(0.25*((-Backdoors!AI12-IF(AD94&gt;=0.45,VLOOKUP(Calculator!E23,tbSkills!DH3:DI6,2,FALSE)+IF(AND(Calculator!B8=TRUE,Backdoors!BI7=TRUE),VLOOKUP(Calculator!E23,tbSkills!DH3:DJ6,3,FALSE),0),0))/100)))),1),"")</f>
        <v>1</v>
      </c>
      <c r="AG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D94)*AF94)*(VLOOKUP(A94,tbMoveset!A2:C112,3,FALSE)/100)*IF(VLOOKUP(A94,tbMoveset!A2:B112,2,FALSE)="Projectile",Backdoors!N10,Backdoors!N9),0),"")</f>
        <v>7</v>
      </c>
      <c r="AH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D94&gt;=0.45,VLOOKUP(Calculator!E23,tbSkills!DH3:DI6,2,FALSE)+IF(AND(Calculator!B8=TRUE,Backdoors!BI7=TRUE),VLOOKUP(Calculator!E23,tbSkills!DH3:DJ6,3,FALSE),0),0))&gt;=100,100,(Backdoors!AI12+IF(AD94&gt;=0.45,VLOOKUP(Calculator!E23,tbSkills!DH3:DI6,2,FALSE)+IF(AND(Calculator!B8=TRUE,Backdoors!BI7=TRUE),VLOOKUP(Calculator!E23,tbSkills!DH3:DJ6,3,FALSE),0),0)))/100)),1))*IF(VLOOKUP(A94,tbMoveset!A2:K112,11,FALSE)=TRUE,Backdoors!AC5,1))*AE94,0),"")</f>
        <v>0</v>
      </c>
      <c r="AI94" s="49">
        <f>VLOOKUP(A94,tbMoveset!A2:G112,7,FALSE)*IFERROR(IF(Backdoors!AI12&gt;=0,1+(IF(Calculator!E40&gt;0,VLOOKUP(Calculator!E40,tbSkills!AI3:AJ5,2,FALSE),Backdoors!AL4)*(IF((Backdoors!AI12+IF(AD94&gt;=0.45,VLOOKUP(Calculator!E23,tbSkills!DH3:DI6,2,FALSE)+IF(AND(Calculator!B8=TRUE,Backdoors!BI7=TRUE),VLOOKUP(Calculator!E23,tbSkills!DH3:DJ6,3,FALSE),0),0))&gt;=100,100,(Backdoors!AI12+IF(AD94&gt;=0.45,VLOOKUP(Calculator!E23,tbSkills!DH3:DI6,2,FALSE)+IF(AND(Calculator!B8=TRUE,Backdoors!BI7=TRUE),VLOOKUP(Calculator!E23,tbSkills!DH3:DJ6,3,FALSE),0),0)))/100)),1),1)</f>
        <v>0.7</v>
      </c>
      <c r="AJ94" s="87">
        <f t="shared" si="55"/>
        <v>7</v>
      </c>
      <c r="AK94" s="91">
        <f>IFERROR(IF(VLOOKUP(A94,tbMoveset!A2:B112,2,FALSE)="Sever",Backdoors!AY8/100,IF(VLOOKUP(A94,tbMoveset!A2:B112,2,FALSE)="Blunt",Backdoors!AZ8/100,Backdoors!BA8/100)),"")</f>
        <v>0.45</v>
      </c>
      <c r="AL94" s="49">
        <f>IFERROR(IF(VLOOKUP(tbMoveset!A94,tbMoveset!A2:H112,8,FALSE)="Other",IF(VLOOKUP(tbMoveset!A94,tbMoveset!A2:I112,9,FALSE)="Fire",Backdoors!BB8,IF(VLOOKUP(tbMoveset!A94,tbMoveset!A2:I112,9,FALSE)="Water",Backdoors!BC8,IF(VLOOKUP(tbMoveset!A94,tbMoveset!A2:I112,9,FALSE)="Thunder",Backdoors!BD8,IF(VLOOKUP(tbMoveset!A94,tbMoveset!A2:I112,9,FALSE)="Ice",Backdoors!BE8,IF(VLOOKUP(tbMoveset!A94,tbMoveset!A2:I112,9,FALSE)="Dragon",Backdoors!BF8,Backdoors!BG8)))))/100,Backdoors!BG8/100),"")</f>
        <v>0</v>
      </c>
      <c r="AM94" s="49">
        <f>IFERROR(IF(VLOOKUP(A94,tbMoveset!A2:J112,10,FALSE)=TRUE,IF((Backdoors!AI12+IF(AK94&gt;=0.45,VLOOKUP(Calculator!E23,tbSkills!DH3:DI6,2,FALSE)+IF(AND(Calculator!B8=TRUE,Backdoors!BI8=TRUE),VLOOKUP(Calculator!E23,tbSkills!DH3:DJ6,3,FALSE),0),0))&gt;=0,1+(Backdoors!AL2*(IF((Backdoors!AI12+IF(AK94&gt;=0.45,VLOOKUP(Calculator!E23,tbSkills!DH3:DI6,2,FALSE)+IF(AND(Calculator!B8=TRUE,Backdoors!BI8=TRUE),VLOOKUP(Calculator!E23,tbSkills!DH3:DJ6,3,FALSE),0),0))&gt;=100,100,(Backdoors!AI12+IF(AK94&gt;=0.45,VLOOKUP(Calculator!E23,tbSkills!DH3:DI6,2,FALSE)+IF(AND(Calculator!B8=TRUE,Backdoors!BI8=TRUE),VLOOKUP(Calculator!E23,tbSkills!DH3:DJ6,3,FALSE),0),0)))/100)),(1-(0.25*((-Backdoors!AI12-IF(AK94&gt;=0.45,VLOOKUP(Calculator!E23,tbSkills!DH3:DI6,2,FALSE)+IF(AND(Calculator!B8=TRUE,Backdoors!BI8=TRUE),VLOOKUP(Calculator!E23,tbSkills!DH3:DJ6,3,FALSE),0),0))/100)))),1),"")</f>
        <v>1</v>
      </c>
      <c r="AN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K94)*AM94)*(VLOOKUP(A94,tbMoveset!A2:C112,3,FALSE)/100)*IF(VLOOKUP(A94,tbMoveset!A2:B112,2,FALSE)="Projectile",Backdoors!N10,Backdoors!N9),0),"")</f>
        <v>5</v>
      </c>
      <c r="AO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K94&gt;=0.45,VLOOKUP(Calculator!E23,tbSkills!DH3:DI6,2,FALSE)+IF(AND(Calculator!B8=TRUE,Backdoors!BI8=TRUE),VLOOKUP(Calculator!E23,tbSkills!DH3:DJ6,3,FALSE),0),0))&gt;=100,100,(Backdoors!AI12+IF(AK94&gt;=0.45,VLOOKUP(Calculator!E23,tbSkills!DH3:DI6,2,FALSE)+IF(AND(Calculator!B8=TRUE,Backdoors!BI8=TRUE),VLOOKUP(Calculator!E23,tbSkills!DH3:DJ6,3,FALSE),0),0)))/100)),1))*IF(VLOOKUP(A94,tbMoveset!A2:K112,11,FALSE)=TRUE,Backdoors!AC5,1))*AL94,0),"")</f>
        <v>0</v>
      </c>
      <c r="AP94" s="49">
        <f>VLOOKUP(A94,tbMoveset!A2:G112,7,FALSE)*IFERROR(IF(Backdoors!AI12&gt;=0,1+(IF(Calculator!E40&gt;0,VLOOKUP(Calculator!E40,tbSkills!AI3:AJ5,2,FALSE),Backdoors!AL4)*(IF((Backdoors!AI12+IF(AK94&gt;=0.45,VLOOKUP(Calculator!E23,tbSkills!DH3:DI6,2,FALSE)+IF(AND(Calculator!B8=TRUE,Backdoors!BI8=TRUE),VLOOKUP(Calculator!E23,tbSkills!DH3:DJ6,3,FALSE),0),0))&gt;=100,100,(Backdoors!AI12+IF(AK94&gt;=0.45,VLOOKUP(Calculator!E23,tbSkills!DH3:DI6,2,FALSE)+IF(AND(Calculator!B8=TRUE,Backdoors!BI8=TRUE),VLOOKUP(Calculator!E23,tbSkills!DH3:DJ6,3,FALSE),0),0)))/100)),1),1)</f>
        <v>0.7</v>
      </c>
      <c r="AQ94" s="87">
        <f t="shared" si="56"/>
        <v>5</v>
      </c>
      <c r="AR94" s="86">
        <f>IFERROR(IF(VLOOKUP(A94,tbMoveset!A2:B112,2,FALSE)="Sever",Backdoors!AY9/100,IF(VLOOKUP(A94,tbMoveset!A2:B112,2,FALSE)="Blunt",Backdoors!AZ9/100,Backdoors!BA9/100)),"")</f>
        <v>0.45</v>
      </c>
      <c r="AS94" s="49">
        <f>IFERROR(IF(VLOOKUP(tbMoveset!A94,tbMoveset!A2:H112,8,FALSE)="Other",IF(VLOOKUP(tbMoveset!A94,tbMoveset!A2:I112,9,FALSE)="Fire",Backdoors!BB9,IF(VLOOKUP(tbMoveset!A94,tbMoveset!A2:I112,9,FALSE)="Water",Backdoors!BC9,IF(VLOOKUP(tbMoveset!A94,tbMoveset!A2:I112,9,FALSE)="Thunder",Backdoors!BD9,IF(VLOOKUP(tbMoveset!A94,tbMoveset!A2:I112,9,FALSE)="Ice",Backdoors!BE9,IF(VLOOKUP(tbMoveset!A94,tbMoveset!A2:I112,9,FALSE)="Dragon",Backdoors!BF9,Backdoors!BG9)))))/100,Backdoors!BG9/100),"")</f>
        <v>0</v>
      </c>
      <c r="AT94" s="49">
        <f>IFERROR(IF(VLOOKUP(A94,tbMoveset!A2:J112,10,FALSE)=TRUE,IF((Backdoors!AI12+IF(AR94&gt;=0.45,VLOOKUP(Calculator!E23,tbSkills!DH3:DI6,2,FALSE)+IF(AND(Calculator!B8=TRUE,Backdoors!BI9=TRUE),VLOOKUP(Calculator!E23,tbSkills!DH3:DJ6,3,FALSE),0),0))&gt;=0,1+(Backdoors!AL2*(IF((Backdoors!AI12+IF(AR94&gt;=0.45,VLOOKUP(Calculator!E23,tbSkills!DH3:DI6,2,FALSE)+IF(AND(Calculator!B8=TRUE,Backdoors!BI9=TRUE),VLOOKUP(Calculator!E23,tbSkills!DH3:DJ6,3,FALSE),0),0))&gt;=100,100,(Backdoors!AI12+IF(AR94&gt;=0.45,VLOOKUP(Calculator!E23,tbSkills!DH3:DI6,2,FALSE)+IF(AND(Calculator!B8=TRUE,Backdoors!BI9=TRUE),VLOOKUP(Calculator!E23,tbSkills!DH3:DJ6,3,FALSE),0),0)))/100)),(1-(0.25*((-Backdoors!AI12-IF(AR94&gt;=0.45,VLOOKUP(Calculator!E23,tbSkills!DH3:DI6,2,FALSE)+IF(AND(Calculator!B8=TRUE,Backdoors!BI9=TRUE),VLOOKUP(Calculator!E23,tbSkills!DH3:DJ6,3,FALSE),0),0))/100)))),1),"")</f>
        <v>1</v>
      </c>
      <c r="AU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R94)*AT94)*(VLOOKUP(A94,tbMoveset!A2:C112,3,FALSE)/100)*IF(VLOOKUP(A94,tbMoveset!A2:B112,2,FALSE)="Projectile",Backdoors!N10,Backdoors!N9),0),"")</f>
        <v>5</v>
      </c>
      <c r="AV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R94&gt;=0.45,VLOOKUP(Calculator!E23,tbSkills!DH3:DI6,2,FALSE)+IF(AND(Calculator!B8=TRUE,Backdoors!BI9=TRUE),VLOOKUP(Calculator!E23,tbSkills!DH3:DJ6,3,FALSE),0),0))&gt;=100,100,(Backdoors!AI12+IF(AR94&gt;=0.45,VLOOKUP(Calculator!E23,tbSkills!DH3:DI6,2,FALSE)+IF(AND(Calculator!B8=TRUE,Backdoors!BI9=TRUE),VLOOKUP(Calculator!E23,tbSkills!DH3:DJ6,3,FALSE),0),0)))/100)),1))*IF(VLOOKUP(A94,tbMoveset!A2:K112,11,FALSE)=TRUE,Backdoors!AC5,1))*AS94,0),"")</f>
        <v>0</v>
      </c>
      <c r="AW94" s="49">
        <f>VLOOKUP(A94,tbMoveset!A2:G112,7,FALSE)*IFERROR(IF(Backdoors!AI12&gt;=0,1+(IF(Calculator!E40&gt;0,VLOOKUP(Calculator!E40,tbSkills!AI3:AJ5,2,FALSE),Backdoors!AL4)*(IF((Backdoors!AI12+IF(AR94&gt;=0.45,VLOOKUP(Calculator!E23,tbSkills!DH3:DI6,2,FALSE)+IF(AND(Calculator!B8=TRUE,Backdoors!BI9=TRUE),VLOOKUP(Calculator!E23,tbSkills!DH3:DJ6,3,FALSE),0),0))&gt;=100,100,(Backdoors!AI12+IF(AR94&gt;=0.45,VLOOKUP(Calculator!E23,tbSkills!DH3:DI6,2,FALSE)+IF(AND(Calculator!B8=TRUE,Backdoors!BI9=TRUE),VLOOKUP(Calculator!E23,tbSkills!DH3:DJ6,3,FALSE),0),0)))/100)),1),1)</f>
        <v>0.7</v>
      </c>
      <c r="AX94" s="87">
        <f t="shared" si="57"/>
        <v>5</v>
      </c>
      <c r="AY94" s="86">
        <f>IFERROR(IF(VLOOKUP(A94,tbMoveset!A2:B112,2,FALSE)="Sever",Backdoors!AY10/100,IF(VLOOKUP(A94,tbMoveset!A2:B112,2,FALSE)="Blunt",Backdoors!AZ10/100,Backdoors!BA10/100)),"")</f>
        <v>0.9</v>
      </c>
      <c r="AZ94" s="49">
        <f>IFERROR(IF(VLOOKUP(tbMoveset!A94,tbMoveset!A2:H112,8,FALSE)="Other",IF(VLOOKUP(tbMoveset!A94,tbMoveset!A2:I112,9,FALSE)="Fire",Backdoors!BB10,IF(VLOOKUP(tbMoveset!A94,tbMoveset!A2:I112,9,FALSE)="Water",Backdoors!BC10,IF(VLOOKUP(tbMoveset!A94,tbMoveset!A2:I112,9,FALSE)="Thunder",Backdoors!BD10,IF(VLOOKUP(tbMoveset!A94,tbMoveset!A2:I112,9,FALSE)="Ice",Backdoors!BE10,IF(VLOOKUP(tbMoveset!A94,tbMoveset!A2:I112,9,FALSE)="Dragon",Backdoors!BF10,Backdoors!BG10)))))/100,Backdoors!BG10/100),"")</f>
        <v>0</v>
      </c>
      <c r="BA94" s="49">
        <f>IFERROR(IF(VLOOKUP(A94,tbMoveset!A2:J112,10,FALSE)=TRUE,IF((Backdoors!AI12+IF(AY94&gt;=0.45,VLOOKUP(Calculator!E23,tbSkills!DH3:DI6,2,FALSE)+IF(AND(Calculator!B8=TRUE,Backdoors!BI10=TRUE),VLOOKUP(Calculator!E23,tbSkills!DH3:DJ6,3,FALSE),0),0))&gt;=0,1+(Backdoors!AL2*(IF((Backdoors!AI12+IF(AY94&gt;=0.45,VLOOKUP(Calculator!E23,tbSkills!DH3:DI6,2,FALSE)+IF(AND(Calculator!B8=TRUE,Backdoors!BI10=TRUE),VLOOKUP(Calculator!E23,tbSkills!DH3:DJ6,3,FALSE),0),0))&gt;=100,100,(Backdoors!AI12+IF(AY94&gt;=0.45,VLOOKUP(Calculator!E23,tbSkills!DH3:DI6,2,FALSE)+IF(AND(Calculator!B8=TRUE,Backdoors!BI10=TRUE),VLOOKUP(Calculator!E23,tbSkills!DH3:DJ6,3,FALSE),0),0)))/100)),(1-(0.25*((-Backdoors!AI12-IF(AY94&gt;=0.45,VLOOKUP(Calculator!E23,tbSkills!DH3:DI6,2,FALSE)+IF(AND(Calculator!B8=TRUE,Backdoors!BI10=TRUE),VLOOKUP(Calculator!E23,tbSkills!DH3:DJ6,3,FALSE),0),0))/100)))),1),"")</f>
        <v>1</v>
      </c>
      <c r="BB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Y94)*BA94)*(VLOOKUP(A94,tbMoveset!A2:C112,3,FALSE)/100)*IF(VLOOKUP(A94,tbMoveset!A2:B112,2,FALSE)="Projectile",Backdoors!N10,Backdoors!N9),0),"")</f>
        <v>10</v>
      </c>
      <c r="BC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Y94&gt;=0.45,VLOOKUP(Calculator!E23,tbSkills!DH3:DI6,2,FALSE)+IF(AND(Calculator!B8=TRUE,Backdoors!BI10=TRUE),VLOOKUP(Calculator!E23,tbSkills!DH3:DJ6,3,FALSE),0),0))&gt;=100,100,(Backdoors!AI12+IF(AY94&gt;=0.45,VLOOKUP(Calculator!E23,tbSkills!DH3:DI6,2,FALSE)+IF(AND(Calculator!B8=TRUE,Backdoors!BI10=TRUE),VLOOKUP(Calculator!E23,tbSkills!DH3:DJ6,3,FALSE),0),0)))/100)),1))*IF(VLOOKUP(A94,tbMoveset!A2:K112,11,FALSE)=TRUE,Backdoors!AC5,1))*AZ94,0),"")</f>
        <v>0</v>
      </c>
      <c r="BD94" s="49">
        <f>VLOOKUP(A94,tbMoveset!A2:G112,7,FALSE)*IFERROR(IF(Backdoors!AI12&gt;=0,1+(IF(Calculator!E40&gt;0,VLOOKUP(Calculator!E40,tbSkills!AI3:AJ5,2,FALSE),Backdoors!AL4)*(IF((Backdoors!AI12+IF(AY94&gt;=0.45,VLOOKUP(Calculator!E23,tbSkills!DH3:DI6,2,FALSE)+IF(AND(Calculator!B8=TRUE,Backdoors!BI10=TRUE),VLOOKUP(Calculator!E23,tbSkills!DH3:DJ6,3,FALSE),0),0))&gt;=100,100,(Backdoors!AI12+IF(AY94&gt;=0.45,VLOOKUP(Calculator!E23,tbSkills!DH3:DI6,2,FALSE)+IF(AND(Calculator!B8=TRUE,Backdoors!BI10=TRUE),VLOOKUP(Calculator!E23,tbSkills!DH3:DJ6,3,FALSE),0),0)))/100)),1),1)</f>
        <v>0.7</v>
      </c>
      <c r="BE94" s="87">
        <f t="shared" si="58"/>
        <v>10</v>
      </c>
      <c r="BF94" s="86" t="str">
        <f>IFERROR(IF(VLOOKUP(A94,tbMoveset!A2:B112,2,FALSE)="Sever",Backdoors!AY11/100,IF(VLOOKUP(A94,tbMoveset!A2:B112,2,FALSE)="Blunt",Backdoors!AZ11/100,Backdoors!BA11/100)),"")</f>
        <v/>
      </c>
      <c r="BG94" s="49">
        <f>IFERROR(IF(VLOOKUP(tbMoveset!A94,tbMoveset!A2:H112,8,FALSE)="Other",IF(VLOOKUP(tbMoveset!A94,tbMoveset!A2:I112,9,FALSE)="Fire",Backdoors!BB11,IF(VLOOKUP(tbMoveset!A94,tbMoveset!A2:I112,9,FALSE)="Water",Backdoors!BC11,IF(VLOOKUP(tbMoveset!A94,tbMoveset!A2:I112,9,FALSE)="Thunder",Backdoors!BD11,IF(VLOOKUP(tbMoveset!A94,tbMoveset!A2:I112,9,FALSE)="Ice",Backdoors!BE11,IF(VLOOKUP(tbMoveset!A94,tbMoveset!A2:I112,9,FALSE)="Dragon",Backdoors!BF11,Backdoors!BG11)))))/100,Backdoors!BG11/100),"")</f>
        <v>0</v>
      </c>
      <c r="BH94" s="49">
        <f>IFERROR(IF(VLOOKUP(A94,tbMoveset!A2:J112,10,FALSE)=TRUE,IF((Backdoors!AI12+IF(BF94&gt;=0.45,VLOOKUP(Calculator!E23,tbSkills!DH3:DI6,2,FALSE)+IF(AND(Calculator!B8=TRUE,Backdoors!BI11=TRUE),VLOOKUP(Calculator!E23,tbSkills!DH3:DJ6,3,FALSE),0),0))&gt;=0,1+(Backdoors!AL2*(IF((Backdoors!AI12+IF(BF94&gt;=0.45,VLOOKUP(Calculator!E23,tbSkills!DH3:DI6,2,FALSE)+IF(AND(Calculator!B8=TRUE,Backdoors!BI11=TRUE),VLOOKUP(Calculator!E23,tbSkills!DH3:DJ6,3,FALSE),0),0))&gt;=100,100,(Backdoors!AI12+IF(BF94&gt;=0.45,VLOOKUP(Calculator!E23,tbSkills!DH3:DI6,2,FALSE)+IF(AND(Calculator!B8=TRUE,Backdoors!BI11=TRUE),VLOOKUP(Calculator!E23,tbSkills!DH3:DJ6,3,FALSE),0),0)))/100)),(1-(0.25*((-Backdoors!AI12-IF(BF94&gt;=0.45,VLOOKUP(Calculator!E23,tbSkills!DH3:DI6,2,FALSE)+IF(AND(Calculator!B8=TRUE,Backdoors!BI11=TRUE),VLOOKUP(Calculator!E23,tbSkills!DH3:DJ6,3,FALSE),0),0))/100)))),1),"")</f>
        <v>1</v>
      </c>
      <c r="BI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F94)*BH94)*(VLOOKUP(A94,tbMoveset!A2:C112,3,FALSE)/100)*IF(VLOOKUP(A94,tbMoveset!A2:B112,2,FALSE)="Projectile",Backdoors!N10,Backdoors!N9),0),"")</f>
        <v/>
      </c>
      <c r="BJ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F94&gt;=0.45,VLOOKUP(Calculator!E23,tbSkills!DH3:DI6,2,FALSE)+IF(AND(Calculator!B8=TRUE,Backdoors!BI11=TRUE),VLOOKUP(Calculator!E23,tbSkills!DH3:DJ6,3,FALSE),0),0))&gt;=100,100,(Backdoors!AI12+IF(BF94&gt;=0.45,VLOOKUP(Calculator!E23,tbSkills!DH3:DI6,2,FALSE)+IF(AND(Calculator!B8=TRUE,Backdoors!BI11=TRUE),VLOOKUP(Calculator!E23,tbSkills!DH3:DJ6,3,FALSE),0),0)))/100)),1))*IF(VLOOKUP(A94,tbMoveset!A2:K112,11,FALSE)=TRUE,Backdoors!AC5,1))*BG94,0),"")</f>
        <v>0</v>
      </c>
      <c r="BK94" s="49">
        <f>VLOOKUP(A94,tbMoveset!A2:G112,7,FALSE)*IFERROR(IF(Backdoors!AI12&gt;=0,1+(IF(Calculator!E40&gt;0,VLOOKUP(Calculator!E40,tbSkills!AI3:AJ5,2,FALSE),Backdoors!AL4)*(IF((Backdoors!AI12+IF(BF94&gt;=0.45,VLOOKUP(Calculator!E23,tbSkills!DH3:DI6,2,FALSE)+IF(AND(Calculator!B8=TRUE,Backdoors!BI11=TRUE),VLOOKUP(Calculator!E23,tbSkills!DH3:DJ6,3,FALSE),0),0))&gt;=100,100,(Backdoors!AI12+IF(BF94&gt;=0.45,VLOOKUP(Calculator!E23,tbSkills!DH3:DI6,2,FALSE)+IF(AND(Calculator!B8=TRUE,Backdoors!BI11=TRUE),VLOOKUP(Calculator!E23,tbSkills!DH3:DJ6,3,FALSE),0),0)))/100)),1),1)</f>
        <v>0.7</v>
      </c>
      <c r="BL94" s="87">
        <f t="shared" si="59"/>
        <v>0</v>
      </c>
      <c r="BM94" s="86" t="str">
        <f>IFERROR(IF(VLOOKUP(A94,tbMoveset!A2:B112,2,FALSE)="Sever",Backdoors!AY12/100,IF(VLOOKUP(A94,tbMoveset!A2:B112,2,FALSE)="Blunt",Backdoors!AZ12/100,Backdoors!BA12/100)),"")</f>
        <v/>
      </c>
      <c r="BN94" s="49">
        <f>IFERROR(IF(VLOOKUP(tbMoveset!A94,tbMoveset!A2:H112,8,FALSE)="Other",IF(VLOOKUP(tbMoveset!A94,tbMoveset!A2:I112,9,FALSE)="Fire",Backdoors!BB12,IF(VLOOKUP(tbMoveset!A94,tbMoveset!A2:I112,9,FALSE)="Water",Backdoors!BC12,IF(VLOOKUP(tbMoveset!A94,tbMoveset!A2:I112,9,FALSE)="Thunder",Backdoors!BD12,IF(VLOOKUP(tbMoveset!A94,tbMoveset!A2:I112,9,FALSE)="Ice",Backdoors!BE12,IF(VLOOKUP(tbMoveset!A94,tbMoveset!A2:I112,9,FALSE)="Dragon",Backdoors!BF12,Backdoors!BG12)))))/100,Backdoors!BG12/100),"")</f>
        <v>0</v>
      </c>
      <c r="BO94" s="49">
        <f>IFERROR(IF(VLOOKUP(A94,tbMoveset!A2:J112,10,FALSE)=TRUE,IF((Backdoors!AI12+IF(BM94&gt;=0.45,VLOOKUP(Calculator!E23,tbSkills!DH3:DI6,2,FALSE)+IF(AND(Calculator!B8=TRUE,Backdoors!BI12=TRUE),VLOOKUP(Calculator!E23,tbSkills!DH3:DJ6,3,FALSE),0),0))&gt;=0,1+(Backdoors!AL2*(IF((Backdoors!AI12+IF(BM94&gt;=0.45,VLOOKUP(Calculator!E23,tbSkills!DH3:DI6,2,FALSE)+IF(AND(Calculator!B8=TRUE,Backdoors!BI12=TRUE),VLOOKUP(Calculator!E23,tbSkills!DH3:DJ6,3,FALSE),0),0))&gt;=100,100,(Backdoors!AI12+IF(BM94&gt;=0.45,VLOOKUP(Calculator!E23,tbSkills!DH3:DI6,2,FALSE)+IF(AND(Calculator!B8=TRUE,Backdoors!BI12=TRUE),VLOOKUP(Calculator!E23,tbSkills!DH3:DJ6,3,FALSE),0),0)))/100)),(1-(0.25*((-Backdoors!AI12-IF(BM94&gt;=0.45,VLOOKUP(Calculator!E23,tbSkills!DH3:DI6,2,FALSE)+IF(AND(Calculator!B8=TRUE,Backdoors!BI12=TRUE),VLOOKUP(Calculator!E23,tbSkills!DH3:DJ6,3,FALSE),0),0))/100)))),1),"")</f>
        <v>1</v>
      </c>
      <c r="BP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M94)*BO94)*(VLOOKUP(A94,tbMoveset!A2:C112,3,FALSE)/100)*IF(VLOOKUP(A94,tbMoveset!A2:B112,2,FALSE)="Projectile",Backdoors!N10,Backdoors!N9),0),"")</f>
        <v/>
      </c>
      <c r="BQ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M94&gt;=0.45,VLOOKUP(Calculator!E23,tbSkills!DH3:DI6,2,FALSE)+IF(AND(Calculator!B8=TRUE,Backdoors!BI12=TRUE),VLOOKUP(Calculator!E23,tbSkills!DH3:DJ6,3,FALSE),0),0))&gt;=100,100,(Backdoors!AI12+IF(BM94&gt;=0.45,VLOOKUP(Calculator!E23,tbSkills!DH3:DI6,2,FALSE)+IF(AND(Calculator!B8=TRUE,Backdoors!BI12=TRUE),VLOOKUP(Calculator!E23,tbSkills!DH3:DJ6,3,FALSE),0),0)))/100)),1))*IF(VLOOKUP(A94,tbMoveset!A2:K112,11,FALSE)=TRUE,Backdoors!AC5,1))*BN94,0),"")</f>
        <v>0</v>
      </c>
      <c r="BR94" s="49">
        <f>VLOOKUP(A94,tbMoveset!A2:G112,7,FALSE)*IFERROR(IF(Backdoors!AI12&gt;=0,1+(IF(Calculator!E40&gt;0,VLOOKUP(Calculator!E40,tbSkills!AI3:AJ5,2,FALSE),Backdoors!AL4)*(IF((Backdoors!AI12+IF(BM94&gt;=0.45,VLOOKUP(Calculator!E23,tbSkills!DH3:DI6,2,FALSE)+IF(AND(Calculator!B8=TRUE,Backdoors!BI12=TRUE),VLOOKUP(Calculator!E23,tbSkills!DH3:DJ6,3,FALSE),0),0))&gt;=100,100,(Backdoors!AI12+IF(BM94&gt;=0.45,VLOOKUP(Calculator!E23,tbSkills!DH3:DI6,2,FALSE)+IF(AND(Calculator!B8=TRUE,Backdoors!BI12=TRUE),VLOOKUP(Calculator!E23,tbSkills!DH3:DJ6,3,FALSE),0),0)))/100)),1),1)</f>
        <v>0.7</v>
      </c>
      <c r="BS94" s="87">
        <f t="shared" si="60"/>
        <v>0</v>
      </c>
      <c r="BT94" s="86" t="str">
        <f>IFERROR(IF(VLOOKUP(A94,tbMoveset!A2:B112,2,FALSE)="Sever",Backdoors!AY13/100,IF(VLOOKUP(A94,tbMoveset!A2:B112,2,FALSE)="Blunt",Backdoors!AZ13/100,Backdoors!BA13/100)),"")</f>
        <v/>
      </c>
      <c r="BU94" s="49">
        <f>IFERROR(IF(VLOOKUP(tbMoveset!A94,tbMoveset!A2:H112,8,FALSE)="Other",IF(VLOOKUP(tbMoveset!A94,tbMoveset!A2:I112,9,FALSE)="Fire",Backdoors!BB13,IF(VLOOKUP(tbMoveset!A94,tbMoveset!A2:I112,9,FALSE)="Water",Backdoors!BC13,IF(VLOOKUP(tbMoveset!A94,tbMoveset!A2:I112,9,FALSE)="Thunder",Backdoors!BD13,IF(VLOOKUP(tbMoveset!A94,tbMoveset!A2:I112,9,FALSE)="Ice",Backdoors!BE13,IF(VLOOKUP(tbMoveset!A94,tbMoveset!A2:I112,9,FALSE)="Dragon",Backdoors!BF13,Backdoors!BG13)))))/100,Backdoors!BG13/100),"")</f>
        <v>0</v>
      </c>
      <c r="BV94" s="49">
        <f>IFERROR(IF(VLOOKUP(A94,tbMoveset!A2:J112,10,FALSE)=TRUE,IF((Backdoors!AI12+IF(BT94&gt;=0.45,VLOOKUP(Calculator!E23,tbSkills!DH3:DI6,2,FALSE)+IF(AND(Calculator!B8=TRUE,Backdoors!BI13=TRUE),VLOOKUP(Calculator!E23,tbSkills!DH3:DJ6,3,FALSE),0),0))&gt;=0,1+(Backdoors!AL2*(IF((Backdoors!AI12+IF(BT94&gt;=0.45,VLOOKUP(Calculator!E23,tbSkills!DH3:DI6,2,FALSE)+IF(AND(Calculator!B8=TRUE,Backdoors!BI13=TRUE),VLOOKUP(Calculator!E23,tbSkills!DH3:DJ6,3,FALSE),0),0))&gt;=100,100,(Backdoors!AI12+IF(BT94&gt;=0.45,VLOOKUP(Calculator!E23,tbSkills!DH3:DI6,2,FALSE)+IF(AND(Calculator!B8=TRUE,Backdoors!BI13=TRUE),VLOOKUP(Calculator!E23,tbSkills!DH3:DJ6,3,FALSE),0),0)))/100)),(1-(0.25*((-Backdoors!AI12-IF(BT94&gt;=0.45,VLOOKUP(Calculator!E23,tbSkills!DH3:DI6,2,FALSE)+IF(AND(Calculator!B8=TRUE,Backdoors!BI13=TRUE),VLOOKUP(Calculator!E23,tbSkills!DH3:DJ6,3,FALSE),0),0))/100)))),1),"")</f>
        <v>1</v>
      </c>
      <c r="BW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T94)*BV94)*(VLOOKUP(A94,tbMoveset!A2:C112,3,FALSE)/100)*IF(VLOOKUP(A94,tbMoveset!A2:B112,2,FALSE)="Projectile",Backdoors!N10,Backdoors!N9),0),"")</f>
        <v/>
      </c>
      <c r="BX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T94&gt;=0.45,VLOOKUP(Calculator!E23,tbSkills!DH3:DI6,2,FALSE)+IF(AND(Calculator!B8=TRUE,Backdoors!BI13=TRUE),VLOOKUP(Calculator!E23,tbSkills!DH3:DJ6,3,FALSE),0),0))&gt;=100,100,(Backdoors!AI12+IF(BT94&gt;=0.45,VLOOKUP(Calculator!E23,tbSkills!DH3:DI6,2,FALSE)+IF(AND(Calculator!B8=TRUE,Backdoors!BI13=TRUE),VLOOKUP(Calculator!E23,tbSkills!DH3:DJ6,3,FALSE),0),0)))/100)),1))*IF(VLOOKUP(A94,tbMoveset!A2:K112,11,FALSE)=TRUE,Backdoors!AC5,1))*BU94,0),"")</f>
        <v>0</v>
      </c>
      <c r="BY94" s="49">
        <f>VLOOKUP(A94,tbMoveset!A2:G112,7,FALSE)*IFERROR(IF(Backdoors!AI12&gt;=0,1+(IF(Calculator!E40&gt;0,VLOOKUP(Calculator!E40,tbSkills!AI3:AJ5,2,FALSE),Backdoors!AL4)*(IF((Backdoors!AI12+IF(BT94&gt;=0.45,VLOOKUP(Calculator!E23,tbSkills!DH3:DI6,2,FALSE)+IF(AND(Calculator!B8=TRUE,Backdoors!BI13=TRUE),VLOOKUP(Calculator!E23,tbSkills!DH3:DJ6,3,FALSE),0),0))&gt;=100,100,(Backdoors!AI12+IF(BT94&gt;=0.45,VLOOKUP(Calculator!E23,tbSkills!DH3:DI6,2,FALSE)+IF(AND(Calculator!B8=TRUE,Backdoors!BI13=TRUE),VLOOKUP(Calculator!E23,tbSkills!DH3:DJ6,3,FALSE),0),0)))/100)),1),1)</f>
        <v>0.7</v>
      </c>
      <c r="BZ94" s="87">
        <f t="shared" si="61"/>
        <v>0</v>
      </c>
      <c r="CA94" s="86" t="str">
        <f>IFERROR(IF(VLOOKUP(A94,tbMoveset!A2:B112,2,FALSE)="Sever",Backdoors!AY14/100,IF(VLOOKUP(A94,tbMoveset!A2:B112,2,FALSE)="Blunt",Backdoors!AZ14/100,Backdoors!BA14/100)),"")</f>
        <v/>
      </c>
      <c r="CB94" s="49">
        <f>IFERROR(IF(VLOOKUP(tbMoveset!A94,tbMoveset!A2:H112,8,FALSE)="Other",IF(VLOOKUP(tbMoveset!A94,tbMoveset!A2:I112,9,FALSE)="Fire",Backdoors!BB14,IF(VLOOKUP(tbMoveset!A94,tbMoveset!A2:I112,9,FALSE)="Water",Backdoors!BC14,IF(VLOOKUP(tbMoveset!A94,tbMoveset!A2:I112,9,FALSE)="Thunder",Backdoors!BD14,IF(VLOOKUP(tbMoveset!A94,tbMoveset!A2:I112,9,FALSE)="Ice",Backdoors!BE14,IF(VLOOKUP(tbMoveset!A94,tbMoveset!A2:I112,9,FALSE)="Dragon",Backdoors!BF14,Backdoors!BG14)))))/100,Backdoors!BG14/100),"")</f>
        <v>0</v>
      </c>
      <c r="CC94" s="49">
        <f>IFERROR(IF(VLOOKUP(A94,tbMoveset!A2:J112,10,FALSE)=TRUE,IF((Backdoors!AI12+IF(CA94&gt;=0.45,VLOOKUP(Calculator!E23,tbSkills!DH3:DI6,2,FALSE)+IF(AND(Calculator!B8=TRUE,Backdoors!BI14=TRUE),VLOOKUP(Calculator!E23,tbSkills!DH3:DJ6,3,FALSE),0),0))&gt;=0,1+(Backdoors!AL2*(IF((Backdoors!AI12+IF(CA94&gt;=0.45,VLOOKUP(Calculator!E23,tbSkills!DH3:DI6,2,FALSE)+IF(AND(Calculator!B8=TRUE,Backdoors!BI14=TRUE),VLOOKUP(Calculator!E23,tbSkills!DH3:DJ6,3,FALSE),0),0))&gt;=100,100,(Backdoors!AI12+IF(CA94&gt;=0.45,VLOOKUP(Calculator!E23,tbSkills!DH3:DI6,2,FALSE)+IF(AND(Calculator!B8=TRUE,Backdoors!BI14=TRUE),VLOOKUP(Calculator!E23,tbSkills!DH3:DJ6,3,FALSE),0),0)))/100)),(1-(0.25*((-Backdoors!AI12-IF(CA94&gt;=0.45,VLOOKUP(Calculator!E23,tbSkills!DH3:DI6,2,FALSE)+IF(AND(Calculator!B8=TRUE,Backdoors!BI14=TRUE),VLOOKUP(Calculator!E23,tbSkills!DH3:DJ6,3,FALSE),0),0))/100)))),1),"")</f>
        <v>1</v>
      </c>
      <c r="CD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A94)*CC94)*(VLOOKUP(A94,tbMoveset!A2:C112,3,FALSE)/100)*IF(VLOOKUP(A94,tbMoveset!A2:B112,2,FALSE)="Projectile",Backdoors!N10,Backdoors!N9),0),"")</f>
        <v/>
      </c>
      <c r="CE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A94&gt;=0.45,VLOOKUP(Calculator!E23,tbSkills!DH3:DI6,2,FALSE)+IF(AND(Calculator!B8=TRUE,Backdoors!BI14=TRUE),VLOOKUP(Calculator!E23,tbSkills!DH3:DJ6,3,FALSE),0),0))&gt;=100,100,(Backdoors!AI12+IF(CA94&gt;=0.45,VLOOKUP(Calculator!E23,tbSkills!DH3:DI6,2,FALSE)+IF(AND(Calculator!B8=TRUE,Backdoors!BI14=TRUE),VLOOKUP(Calculator!E23,tbSkills!DH3:DJ6,3,FALSE),0),0)))/100)),1))*IF(VLOOKUP(A94,tbMoveset!A2:K112,11,FALSE)=TRUE,Backdoors!AC5,1))*CB94,0),"")</f>
        <v>0</v>
      </c>
      <c r="CF94" s="49">
        <f>VLOOKUP(A94,tbMoveset!A2:G112,7,FALSE)*IFERROR(IF(Backdoors!AI12&gt;=0,1+(IF(Calculator!E40&gt;0,VLOOKUP(Calculator!E40,tbSkills!AI3:AJ5,2,FALSE),Backdoors!AL4)*(IF((Backdoors!AI12+IF(CA94&gt;=0.45,VLOOKUP(Calculator!E23,tbSkills!DH3:DI6,2,FALSE)+IF(AND(Calculator!B8=TRUE,Backdoors!BI14=TRUE),VLOOKUP(Calculator!E23,tbSkills!DH3:DJ6,3,FALSE),0),0))&gt;=100,100,(Backdoors!AI12+IF(CA94&gt;=0.45,VLOOKUP(Calculator!E23,tbSkills!DH3:DI6,2,FALSE)+IF(AND(Calculator!B8=TRUE,Backdoors!BI14=TRUE),VLOOKUP(Calculator!E23,tbSkills!DH3:DJ6,3,FALSE),0),0)))/100)),1),1)</f>
        <v>0.7</v>
      </c>
      <c r="CG94" s="87">
        <f t="shared" si="62"/>
        <v>0</v>
      </c>
      <c r="CH94" s="86" t="str">
        <f>IFERROR(IF(VLOOKUP(A94,tbMoveset!A2:B112,2,FALSE)="Sever",Backdoors!AY15/100,IF(VLOOKUP(A94,tbMoveset!A2:B112,2,FALSE)="Blunt",Backdoors!AZ15/100,Backdoors!BA15/100)),"")</f>
        <v/>
      </c>
      <c r="CI94" s="49">
        <f>IFERROR(IF(VLOOKUP(tbMoveset!A94,tbMoveset!A2:H112,8,FALSE)="Other",IF(VLOOKUP(tbMoveset!A94,tbMoveset!A2:I112,9,FALSE)="Fire",Backdoors!BB15,IF(VLOOKUP(tbMoveset!A94,tbMoveset!A2:I112,9,FALSE)="Water",Backdoors!BC15,IF(VLOOKUP(tbMoveset!A94,tbMoveset!A2:I112,9,FALSE)="Thunder",Backdoors!BD15,IF(VLOOKUP(tbMoveset!A94,tbMoveset!A2:I112,9,FALSE)="Ice",Backdoors!BE15,IF(VLOOKUP(tbMoveset!A94,tbMoveset!A2:I112,9,FALSE)="Dragon",Backdoors!BF15,Backdoors!BG15)))))/100,Backdoors!BG15/100),"")</f>
        <v>0</v>
      </c>
      <c r="CJ94" s="49">
        <f>IFERROR(IF(VLOOKUP(A94,tbMoveset!A2:J112,10,FALSE)=TRUE,IF((Backdoors!AI12+IF(CH94&gt;=0.45,VLOOKUP(Calculator!E23,tbSkills!DH3:DI6,2,FALSE)+IF(AND(Calculator!B8=TRUE,Backdoors!BI15=TRUE),VLOOKUP(Calculator!E23,tbSkills!DH3:DJ6,3,FALSE),0),0))&gt;=0,1+(Backdoors!AL2*(IF((Backdoors!AI12+IF(CH94&gt;=0.45,VLOOKUP(Calculator!E23,tbSkills!DH3:DI6,2,FALSE)+IF(AND(Calculator!B8=TRUE,Backdoors!BI15=TRUE),VLOOKUP(Calculator!E23,tbSkills!DH3:DJ6,3,FALSE),0),0))&gt;=100,100,(Backdoors!AI12+IF(CH94&gt;=0.45,VLOOKUP(Calculator!E23,tbSkills!DH3:DI6,2,FALSE)+IF(AND(Calculator!B8=TRUE,Backdoors!BI15=TRUE),VLOOKUP(Calculator!E23,tbSkills!DH3:DJ6,3,FALSE),0),0)))/100)),(1-(0.25*((-Backdoors!AI12-IF(CH94&gt;=0.45,VLOOKUP(Calculator!E23,tbSkills!DH3:DI6,2,FALSE)+IF(AND(Calculator!B8=TRUE,Backdoors!BI15=TRUE),VLOOKUP(Calculator!E23,tbSkills!DH3:DJ6,3,FALSE),0),0))/100)))),1),"")</f>
        <v>1</v>
      </c>
      <c r="CK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H94)*CJ94)*(VLOOKUP(A94,tbMoveset!A2:C112,3,FALSE)/100)*IF(VLOOKUP(A94,tbMoveset!A2:B112,2,FALSE)="Projectile",Backdoors!N10,Backdoors!N9),0),"")</f>
        <v/>
      </c>
      <c r="CL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H94&gt;=0.45,VLOOKUP(Calculator!E23,tbSkills!DH3:DI6,2,FALSE)+IF(AND(Calculator!B8=TRUE,Backdoors!BI15=TRUE),VLOOKUP(Calculator!E23,tbSkills!DH3:DJ6,3,FALSE),0),0))&gt;=100,100,(Backdoors!AI12+IF(CH94&gt;=0.45,VLOOKUP(Calculator!E23,tbSkills!DH3:DI6,2,FALSE)+IF(AND(Calculator!B8=TRUE,Backdoors!BI15=TRUE),VLOOKUP(Calculator!E23,tbSkills!DH3:DJ6,3,FALSE),0),0)))/100)),1))*IF(VLOOKUP(A94,tbMoveset!A2:K112,11,FALSE)=TRUE,Backdoors!AC5,1))*CI94,0),"")</f>
        <v>0</v>
      </c>
      <c r="CM94" s="49">
        <f>VLOOKUP(A94,tbMoveset!A2:G112,7,FALSE)*IFERROR(IF(Backdoors!AI12&gt;=0,1+(IF(Calculator!E40&gt;0,VLOOKUP(Calculator!E40,tbSkills!AI3:AJ5,2,FALSE),Backdoors!AL4)*(IF((Backdoors!AI12+IF(CH94&gt;=0.45,VLOOKUP(Calculator!E23,tbSkills!DH3:DI6,2,FALSE)+IF(AND(Calculator!B8=TRUE,Backdoors!BI15=TRUE),VLOOKUP(Calculator!E23,tbSkills!DH3:DJ6,3,FALSE),0),0))&gt;=100,100,(Backdoors!AI12+IF(CH94&gt;=0.45,VLOOKUP(Calculator!E23,tbSkills!DH3:DI6,2,FALSE)+IF(AND(Calculator!B8=TRUE,Backdoors!BI15=TRUE),VLOOKUP(Calculator!E23,tbSkills!DH3:DJ6,3,FALSE),0),0)))/100)),1),1)</f>
        <v>0.7</v>
      </c>
      <c r="CN94" s="87">
        <f t="shared" si="63"/>
        <v>0</v>
      </c>
      <c r="CO94" s="86" t="str">
        <f>IFERROR(IF(VLOOKUP(A94,tbMoveset!A2:B112,2,FALSE)="Sever",Backdoors!AY16/100,IF(VLOOKUP(A94,tbMoveset!A2:B112,2,FALSE)="Blunt",Backdoors!AZ16/100,Backdoors!BA16/100)),"")</f>
        <v/>
      </c>
      <c r="CP94" s="49">
        <f>IFERROR(IF(VLOOKUP(tbMoveset!A94,tbMoveset!A2:H112,8,FALSE)="Other",IF(VLOOKUP(tbMoveset!A94,tbMoveset!A2:I112,9,FALSE)="Fire",Backdoors!BB16,IF(VLOOKUP(tbMoveset!A94,tbMoveset!A2:I112,9,FALSE)="Water",Backdoors!BC16,IF(VLOOKUP(tbMoveset!A94,tbMoveset!A2:I112,9,FALSE)="Thunder",Backdoors!BD16,IF(VLOOKUP(tbMoveset!A94,tbMoveset!A2:I112,9,FALSE)="Ice",Backdoors!BE16,IF(VLOOKUP(tbMoveset!A94,tbMoveset!A2:I112,9,FALSE)="Dragon",Backdoors!BF16,Backdoors!BG16)))))/100,Backdoors!BG16/100),"")</f>
        <v>0</v>
      </c>
      <c r="CQ94" s="49">
        <f>IFERROR(IF(VLOOKUP(A94,tbMoveset!A2:J112,10,FALSE)=TRUE,IF((Backdoors!AI12+IF(CO94&gt;=0.45,VLOOKUP(Calculator!E23,tbSkills!DH3:DI6,2,FALSE)+IF(AND(Calculator!B8=TRUE,Backdoors!BI16=TRUE),VLOOKUP(Calculator!E23,tbSkills!DH3:DJ6,3,FALSE),0),0))&gt;=0,1+(Backdoors!AL2*(IF((Backdoors!AI12+IF(CO94&gt;=0.45,VLOOKUP(Calculator!E23,tbSkills!DH3:DI6,2,FALSE)+IF(AND(Calculator!B8=TRUE,Backdoors!BI16=TRUE),VLOOKUP(Calculator!E23,tbSkills!DH3:DJ6,3,FALSE),0),0))&gt;=100,100,(Backdoors!AI12+IF(CO94&gt;=0.45,VLOOKUP(Calculator!E23,tbSkills!DH3:DI6,2,FALSE)+IF(AND(Calculator!B8=TRUE,Backdoors!BI16=TRUE),VLOOKUP(Calculator!E23,tbSkills!DH3:DJ6,3,FALSE),0),0)))/100)),(1-(0.25*((-Backdoors!AI12-IF(CO94&gt;=0.45,VLOOKUP(Calculator!E23,tbSkills!DH3:DI6,2,FALSE)+IF(AND(Calculator!B8=TRUE,Backdoors!BI16=TRUE),VLOOKUP(Calculator!E23,tbSkills!DH3:DJ6,3,FALSE),0),0))/100)))),1),"")</f>
        <v>1</v>
      </c>
      <c r="CR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O94)*CQ94)*(VLOOKUP(A94,tbMoveset!A2:C112,3,FALSE)/100)*IF(VLOOKUP(A94,tbMoveset!A2:B112,2,FALSE)="Projectile",Backdoors!N10,Backdoors!N9),0),"")</f>
        <v/>
      </c>
      <c r="CS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O94&gt;=0.45,VLOOKUP(Calculator!E23,tbSkills!DH3:DI6,2,FALSE)+IF(AND(Calculator!B8=TRUE,Backdoors!BI16=TRUE),VLOOKUP(Calculator!E23,tbSkills!DH3:DJ6,3,FALSE),0),0))&gt;=100,100,(Backdoors!AI12+IF(CO94&gt;=0.45,VLOOKUP(Calculator!E23,tbSkills!DH3:DI6,2,FALSE)+IF(AND(Calculator!B8=TRUE,Backdoors!BI16=TRUE),VLOOKUP(Calculator!E23,tbSkills!DH3:DJ6,3,FALSE),0),0)))/100)),1))*IF(VLOOKUP(A94,tbMoveset!A2:K112,11,FALSE)=TRUE,Backdoors!AC5,1))*CP94,0),"")</f>
        <v>0</v>
      </c>
      <c r="CT94" s="49">
        <f>VLOOKUP(A94,tbMoveset!A2:G112,7,FALSE)*IFERROR(IF(Backdoors!AI12&gt;=0,1+(IF(Calculator!E40&gt;0,VLOOKUP(Calculator!E40,tbSkills!AI3:AJ5,2,FALSE),Backdoors!AL4)*(IF((Backdoors!AI12+IF(CO94&gt;=0.45,VLOOKUP(Calculator!E23,tbSkills!DH3:DI6,2,FALSE)+IF(AND(Calculator!B8=TRUE,Backdoors!BI16=TRUE),VLOOKUP(Calculator!E23,tbSkills!DH3:DJ6,3,FALSE),0),0))&gt;=100,100,(Backdoors!AI12+IF(CO94&gt;=0.45,VLOOKUP(Calculator!E23,tbSkills!DH3:DI6,2,FALSE)+IF(AND(Calculator!B8=TRUE,Backdoors!BI16=TRUE),VLOOKUP(Calculator!E23,tbSkills!DH3:DJ6,3,FALSE),0),0)))/100)),1),1)</f>
        <v>0.7</v>
      </c>
      <c r="CU94" s="87">
        <f t="shared" si="64"/>
        <v>0</v>
      </c>
      <c r="CV94" s="86" t="str">
        <f>IFERROR(IF(VLOOKUP(A94,tbMoveset!A2:B112,2,FALSE)="Sever",Backdoors!AY17/100,IF(VLOOKUP(A94,tbMoveset!A2:B112,2,FALSE)="Blunt",Backdoors!AZ17/100,Backdoors!BA17/100)),"")</f>
        <v/>
      </c>
      <c r="CW94" s="49">
        <f>IFERROR(IF(VLOOKUP(tbMoveset!A94,tbMoveset!A2:H112,8,FALSE)="Other",IF(VLOOKUP(tbMoveset!A94,tbMoveset!A2:I112,9,FALSE)="Fire",Backdoors!BB17,IF(VLOOKUP(tbMoveset!A94,tbMoveset!A2:I112,9,FALSE)="Water",Backdoors!BC17,IF(VLOOKUP(tbMoveset!A94,tbMoveset!A2:I112,9,FALSE)="Thunder",Backdoors!BD17,IF(VLOOKUP(tbMoveset!A94,tbMoveset!A2:I112,9,FALSE)="Ice",Backdoors!BE17,IF(VLOOKUP(tbMoveset!A94,tbMoveset!A2:I112,9,FALSE)="Dragon",Backdoors!BF17,Backdoors!BG17)))))/100,Backdoors!BG17/100),"")</f>
        <v>0</v>
      </c>
      <c r="CX94" s="49">
        <f>IFERROR(IF(VLOOKUP(A94,tbMoveset!A2:J112,10,FALSE)=TRUE,IF((Backdoors!AI12+IF(CV94&gt;=0.45,VLOOKUP(Calculator!E23,tbSkills!DH3:DI6,2,FALSE)+IF(AND(Calculator!B8=TRUE,Backdoors!BI17=TRUE),VLOOKUP(Calculator!E23,tbSkills!DH3:DJ6,3,FALSE),0),0))&gt;=0,1+(Backdoors!AL2*(IF((Backdoors!AI12+IF(CV94&gt;=0.45,VLOOKUP(Calculator!E23,tbSkills!DH3:DI6,2,FALSE)+IF(AND(Calculator!B8=TRUE,Backdoors!BI17=TRUE),VLOOKUP(Calculator!E23,tbSkills!DH3:DJ6,3,FALSE),0),0))&gt;=100,100,(Backdoors!AI12+IF(CV94&gt;=0.45,VLOOKUP(Calculator!E23,tbSkills!DH3:DI6,2,FALSE)+IF(AND(Calculator!B8=TRUE,Backdoors!BI17=TRUE),VLOOKUP(Calculator!E23,tbSkills!DH3:DJ6,3,FALSE),0),0)))/100)),(1-(0.25*((-Backdoors!AI12-IF(CV94&gt;=0.45,VLOOKUP(Calculator!E23,tbSkills!DH3:DI6,2,FALSE)+IF(AND(Calculator!B8=TRUE,Backdoors!BI17=TRUE),VLOOKUP(Calculator!E23,tbSkills!DH3:DJ6,3,FALSE),0),0))/100)))),1),"")</f>
        <v>1</v>
      </c>
      <c r="CY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V94)*CX94)*(VLOOKUP(A94,tbMoveset!A2:C112,3,FALSE)/100)*IF(VLOOKUP(A94,tbMoveset!A2:B112,2,FALSE)="Projectile",Backdoors!N10,Backdoors!N9),0),"")</f>
        <v/>
      </c>
      <c r="CZ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V94&gt;=0.45,VLOOKUP(Calculator!E23,tbSkills!DH3:DI6,2,FALSE)+IF(AND(Calculator!B8=TRUE,Backdoors!BI17=TRUE),VLOOKUP(Calculator!E23,tbSkills!DH3:DJ6,3,FALSE),0),0))&gt;=100,100,(Backdoors!AI12+IF(CV94&gt;=0.45,VLOOKUP(Calculator!E23,tbSkills!DH3:DI6,2,FALSE)+IF(AND(Calculator!B8=TRUE,Backdoors!BI17=TRUE),VLOOKUP(Calculator!E23,tbSkills!DH3:DJ6,3,FALSE),0),0)))/100)),1))*IF(VLOOKUP(A94,tbMoveset!A2:K112,11,FALSE)=TRUE,Backdoors!AC5,1))*CW94,0),"")</f>
        <v>0</v>
      </c>
      <c r="DA94" s="49">
        <f>VLOOKUP(A94,tbMoveset!A2:G112,7,FALSE)*IFERROR(IF(Backdoors!AI12&gt;=0,1+(IF(Calculator!E40&gt;0,VLOOKUP(Calculator!E40,tbSkills!AI3:AJ5,2,FALSE),Backdoors!AL4)*(IF((Backdoors!AI12+IF(CV94&gt;=0.45,VLOOKUP(Calculator!E23,tbSkills!DH3:DI6,2,FALSE)+IF(AND(Calculator!B8=TRUE,Backdoors!BI17=TRUE),VLOOKUP(Calculator!E23,tbSkills!DH3:DJ6,3,FALSE),0),0))&gt;=100,100,(Backdoors!AI12+IF(CV94&gt;=0.45,VLOOKUP(Calculator!E23,tbSkills!DH3:DI6,2,FALSE)+IF(AND(Calculator!B8=TRUE,Backdoors!BI17=TRUE),VLOOKUP(Calculator!E23,tbSkills!DH3:DJ6,3,FALSE),0),0)))/100)),1),1)</f>
        <v>0.7</v>
      </c>
      <c r="DB94" s="87">
        <f t="shared" si="65"/>
        <v>0</v>
      </c>
      <c r="DC94" s="86" t="str">
        <f>IFERROR(IF(VLOOKUP(A94,tbMoveset!A2:B112,2,FALSE)="Sever",Backdoors!AY18/100,IF(VLOOKUP(A94,tbMoveset!A2:B112,2,FALSE)="Blunt",Backdoors!AZ18/100,Backdoors!BA18/100)),"")</f>
        <v/>
      </c>
      <c r="DD94" s="49">
        <f>IFERROR(IF(VLOOKUP(tbMoveset!A94,tbMoveset!A2:H112,8,FALSE)="Other",IF(VLOOKUP(tbMoveset!A94,tbMoveset!A2:I112,9,FALSE)="Fire",Backdoors!BB18,IF(VLOOKUP(tbMoveset!A94,tbMoveset!A2:I112,9,FALSE)="Water",Backdoors!BC18,IF(VLOOKUP(tbMoveset!A94,tbMoveset!A2:I112,9,FALSE)="Thunder",Backdoors!BD18,IF(VLOOKUP(tbMoveset!A94,tbMoveset!A2:I112,9,FALSE)="Ice",Backdoors!BE18,IF(VLOOKUP(tbMoveset!A94,tbMoveset!A2:I112,9,FALSE)="Dragon",Backdoors!BF18,Backdoors!BG18)))))/100,Backdoors!BG18/100),"")</f>
        <v>0</v>
      </c>
      <c r="DE94" s="49">
        <f>IFERROR(IF(VLOOKUP(A94,tbMoveset!A2:J112,10,FALSE)=TRUE,IF((Backdoors!AI12+IF(DC94&gt;=0.45,VLOOKUP(Calculator!E23,tbSkills!DH3:DI6,2,FALSE)+IF(AND(Calculator!B8=TRUE,Backdoors!BI18=TRUE),VLOOKUP(Calculator!E23,tbSkills!DH3:DJ6,3,FALSE),0),0))&gt;=0,1+(Backdoors!AL2*(IF((Backdoors!AI12+IF(DC94&gt;=0.45,VLOOKUP(Calculator!E23,tbSkills!DH3:DI6,2,FALSE)+IF(AND(Calculator!B8=TRUE,Backdoors!BI18=TRUE),VLOOKUP(Calculator!E23,tbSkills!DH3:DJ6,3,FALSE),0),0))&gt;=100,100,(Backdoors!AI12+IF(DC94&gt;=0.45,VLOOKUP(Calculator!E23,tbSkills!DH3:DI6,2,FALSE)+IF(AND(Calculator!B8=TRUE,Backdoors!BI18=TRUE),VLOOKUP(Calculator!E23,tbSkills!DH3:DJ6,3,FALSE),0),0)))/100)),(1-(0.25*((-Backdoors!AI12-IF(DC94&gt;=0.45,VLOOKUP(Calculator!E23,tbSkills!DH3:DI6,2,FALSE)+IF(AND(Calculator!B8=TRUE,Backdoors!BI18=TRUE),VLOOKUP(Calculator!E23,tbSkills!DH3:DJ6,3,FALSE),0),0))/100)))),1),"")</f>
        <v>1</v>
      </c>
      <c r="DF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C94)*DE94)*(VLOOKUP(A94,tbMoveset!A2:C112,3,FALSE)/100)*IF(VLOOKUP(A94,tbMoveset!A2:B112,2,FALSE)="Projectile",Backdoors!N10,Backdoors!N9),0),"")</f>
        <v/>
      </c>
      <c r="DG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C94&gt;=0.45,VLOOKUP(Calculator!E23,tbSkills!DH3:DI6,2,FALSE)+IF(AND(Calculator!B8=TRUE,Backdoors!BI18=TRUE),VLOOKUP(Calculator!E23,tbSkills!DH3:DJ6,3,FALSE),0),0))&gt;=100,100,(Backdoors!AI12+IF(DC94&gt;=0.45,VLOOKUP(Calculator!E23,tbSkills!DH3:DI6,2,FALSE)+IF(AND(Calculator!B8=TRUE,Backdoors!BI18=TRUE),VLOOKUP(Calculator!E23,tbSkills!DH3:DJ6,3,FALSE),0),0)))/100)),1))*IF(VLOOKUP(A94,tbMoveset!A2:K112,11,FALSE)=TRUE,Backdoors!AC5,1))*DD94,0),"")</f>
        <v>0</v>
      </c>
      <c r="DH94" s="49">
        <f>VLOOKUP(A94,tbMoveset!A2:G112,7,FALSE)*IFERROR(IF(Backdoors!AI12&gt;=0,1+(IF(Calculator!E40&gt;0,VLOOKUP(Calculator!E40,tbSkills!AI3:AJ5,2,FALSE),Backdoors!AL4)*(IF((Backdoors!AI12+IF(DC94&gt;=0.45,VLOOKUP(Calculator!E23,tbSkills!DH3:DI6,2,FALSE)+IF(AND(Calculator!B8=TRUE,Backdoors!BI18=TRUE),VLOOKUP(Calculator!E23,tbSkills!DH3:DJ6,3,FALSE),0),0))&gt;=100,100,(Backdoors!AI12+IF(DC94&gt;=0.45,VLOOKUP(Calculator!E23,tbSkills!DH3:DI6,2,FALSE)+IF(AND(Calculator!B8=TRUE,Backdoors!BI18=TRUE),VLOOKUP(Calculator!E23,tbSkills!DH3:DJ6,3,FALSE),0),0)))/100)),1),1)</f>
        <v>0.7</v>
      </c>
      <c r="DI94" s="87">
        <f t="shared" si="66"/>
        <v>0</v>
      </c>
      <c r="DJ94" s="86" t="str">
        <f>IFERROR(IF(VLOOKUP(A94,tbMoveset!A2:B112,2,FALSE)="Sever",Backdoors!AY19/100,IF(VLOOKUP(A94,tbMoveset!A2:B112,2,FALSE)="Blunt",Backdoors!AZ19/100,Backdoors!BA19/100)),"")</f>
        <v/>
      </c>
      <c r="DK94" s="49">
        <f>IFERROR(IF(VLOOKUP(tbMoveset!A94,tbMoveset!A2:H112,8,FALSE)="Other",IF(VLOOKUP(tbMoveset!A94,tbMoveset!A2:I112,9,FALSE)="Fire",Backdoors!BB19,IF(VLOOKUP(tbMoveset!A94,tbMoveset!A2:I112,9,FALSE)="Water",Backdoors!BC19,IF(VLOOKUP(tbMoveset!A94,tbMoveset!A2:I112,9,FALSE)="Thunder",Backdoors!BD19,IF(VLOOKUP(tbMoveset!A94,tbMoveset!A2:I112,9,FALSE)="Ice",Backdoors!BE19,IF(VLOOKUP(tbMoveset!A94,tbMoveset!A2:I112,9,FALSE)="Dragon",Backdoors!BF19,Backdoors!BG19)))))/100,Backdoors!BG19/100),"")</f>
        <v>0</v>
      </c>
      <c r="DL94" s="49">
        <f>IFERROR(IF(VLOOKUP(A94,tbMoveset!A2:J112,10,FALSE)=TRUE,IF((Backdoors!AI12+IF(DJ94&gt;=0.45,VLOOKUP(Calculator!E23,tbSkills!DH3:DI6,2,FALSE)+IF(AND(Calculator!B8=TRUE,Backdoors!BI19=TRUE),VLOOKUP(Calculator!E23,tbSkills!DH3:DJ6,3,FALSE),0),0))&gt;=0,1+(Backdoors!AL2*(IF((Backdoors!AI12+IF(DJ94&gt;=0.45,VLOOKUP(Calculator!E23,tbSkills!DH3:DI6,2,FALSE)+IF(AND(Calculator!B8=TRUE,Backdoors!BI19=TRUE),VLOOKUP(Calculator!E23,tbSkills!DH3:DJ6,3,FALSE),0),0))&gt;=100,100,(Backdoors!AI12+IF(DJ94&gt;=0.45,VLOOKUP(Calculator!E23,tbSkills!DH3:DI6,2,FALSE)+IF(AND(Calculator!B8=TRUE,Backdoors!BI19=TRUE),VLOOKUP(Calculator!E23,tbSkills!DH3:DJ6,3,FALSE),0),0)))/100)),(1-(0.25*((-Backdoors!AI12-IF(DJ94&gt;=0.45,VLOOKUP(Calculator!E23,tbSkills!DH3:DI6,2,FALSE)+IF(AND(Calculator!B8=TRUE,Backdoors!BI19=TRUE),VLOOKUP(Calculator!E23,tbSkills!DH3:DJ6,3,FALSE),0),0))/100)))),1),"")</f>
        <v>1</v>
      </c>
      <c r="DM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J94)*DL94)*(VLOOKUP(A94,tbMoveset!A2:C112,3,FALSE)/100)*IF(VLOOKUP(A94,tbMoveset!A2:B112,2,FALSE)="Projectile",Backdoors!N10,Backdoors!N9),0),"")</f>
        <v/>
      </c>
      <c r="DN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J94&gt;=0.45,VLOOKUP(Calculator!E23,tbSkills!DH3:DI6,2,FALSE)+IF(AND(Calculator!B8=TRUE,Backdoors!BI19=TRUE),VLOOKUP(Calculator!E23,tbSkills!DH3:DJ6,3,FALSE),0),0))&gt;=100,100,(Backdoors!AI12+IF(DJ94&gt;=0.45,VLOOKUP(Calculator!E23,tbSkills!DH3:DI6,2,FALSE)+IF(AND(Calculator!B8=TRUE,Backdoors!BI19=TRUE),VLOOKUP(Calculator!E23,tbSkills!DH3:DJ6,3,FALSE),0),0)))/100)),1))*IF(VLOOKUP(A94,tbMoveset!A2:K112,11,FALSE)=TRUE,Backdoors!AC5,1))*DK94,0),"")</f>
        <v>0</v>
      </c>
      <c r="DO94" s="49">
        <f>VLOOKUP(A94,tbMoveset!A2:G112,7,FALSE)*IFERROR(IF(Backdoors!AI12&gt;=0,1+(IF(Calculator!E40&gt;0,VLOOKUP(Calculator!E40,tbSkills!AI3:AJ5,2,FALSE),Backdoors!AL4)*(IF((Backdoors!AI12+IF(DJ94&gt;=0.45,VLOOKUP(Calculator!E23,tbSkills!DH3:DI6,2,FALSE)+IF(AND(Calculator!B8=TRUE,Backdoors!BI19=TRUE),VLOOKUP(Calculator!E23,tbSkills!DH3:DJ6,3,FALSE),0),0))&gt;=100,100,(Backdoors!AI12+IF(DJ94&gt;=0.45,VLOOKUP(Calculator!E23,tbSkills!DH3:DI6,2,FALSE)+IF(AND(Calculator!B8=TRUE,Backdoors!BI19=TRUE),VLOOKUP(Calculator!E23,tbSkills!DH3:DJ6,3,FALSE),0),0)))/100)),1),1)</f>
        <v>0.7</v>
      </c>
      <c r="DP94" s="87">
        <f t="shared" si="67"/>
        <v>0</v>
      </c>
      <c r="DQ94" s="86" t="str">
        <f>IFERROR(IF(VLOOKUP(A94,tbMoveset!A2:B112,2,FALSE)="Sever",Backdoors!AY20/100,IF(VLOOKUP(A94,tbMoveset!A2:B112,2,FALSE)="Blunt",Backdoors!AZ20/100,Backdoors!BA20/100)),"")</f>
        <v/>
      </c>
      <c r="DR94" s="49">
        <f>IFERROR(IF(VLOOKUP(tbMoveset!A94,tbMoveset!A2:H112,8,FALSE)="Other",IF(VLOOKUP(tbMoveset!A94,tbMoveset!A2:I112,9,FALSE)="Fire",Backdoors!BB20,IF(VLOOKUP(tbMoveset!A94,tbMoveset!A2:I112,9,FALSE)="Water",Backdoors!BC20,IF(VLOOKUP(tbMoveset!A94,tbMoveset!A2:I112,9,FALSE)="Thunder",Backdoors!BD20,IF(VLOOKUP(tbMoveset!A94,tbMoveset!A2:I112,9,FALSE)="Ice",Backdoors!BE20,IF(VLOOKUP(tbMoveset!A94,tbMoveset!A2:I112,9,FALSE)="Dragon",Backdoors!BF20,Backdoors!BG20)))))/100,Backdoors!BG20/100),"")</f>
        <v>0</v>
      </c>
      <c r="DS94" s="49">
        <f>IFERROR(IF(VLOOKUP(A94,tbMoveset!A2:J112,10,FALSE)=TRUE,IF((Backdoors!AI12+IF(DQ94&gt;=0.45,VLOOKUP(Calculator!E23,tbSkills!DH3:DI6,2,FALSE)+IF(AND(Calculator!B8=TRUE,Backdoors!BI20=TRUE),VLOOKUP(Calculator!E23,tbSkills!DH3:DJ6,3,FALSE),0),0))&gt;=0,1+(Backdoors!AL2*(IF((Backdoors!AI12+IF(DQ94&gt;=0.45,VLOOKUP(Calculator!E23,tbSkills!DH3:DI6,2,FALSE)+IF(AND(Calculator!B8=TRUE,Backdoors!BI20=TRUE),VLOOKUP(Calculator!E23,tbSkills!DH3:DJ6,3,FALSE),0),0))&gt;=100,100,(Backdoors!AI12+IF(DQ94&gt;=0.45,VLOOKUP(Calculator!E23,tbSkills!DH3:DI6,2,FALSE)+IF(AND(Calculator!B8=TRUE,Backdoors!BI20=TRUE),VLOOKUP(Calculator!E23,tbSkills!DH3:DJ6,3,FALSE),0),0)))/100)),(1-(0.25*((-Backdoors!AI12-IF(DQ94&gt;=0.45,VLOOKUP(Calculator!E23,tbSkills!DH3:DI6,2,FALSE)+IF(AND(Calculator!B8=TRUE,Backdoors!BI20=TRUE),VLOOKUP(Calculator!E23,tbSkills!DH3:DJ6,3,FALSE),0),0))/100)))),1),"")</f>
        <v>1</v>
      </c>
      <c r="DT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Q94)*DS94)*(VLOOKUP(A94,tbMoveset!A2:C112,3,FALSE)/100)*IF(VLOOKUP(A94,tbMoveset!A2:B112,2,FALSE)="Projectile",Backdoors!N10,Backdoors!N9),0),"")</f>
        <v/>
      </c>
      <c r="DU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Q94&gt;=0.45,VLOOKUP(Calculator!E23,tbSkills!DH3:DI6,2,FALSE)+IF(AND(Calculator!B8=TRUE,Backdoors!BI20=TRUE),VLOOKUP(Calculator!E23,tbSkills!DH3:DJ6,3,FALSE),0),0))&gt;=100,100,(Backdoors!AI12+IF(DQ94&gt;=0.45,VLOOKUP(Calculator!E23,tbSkills!DH3:DI6,2,FALSE)+IF(AND(Calculator!B8=TRUE,Backdoors!BI20=TRUE),VLOOKUP(Calculator!E23,tbSkills!DH3:DJ6,3,FALSE),0),0)))/100)),1))*IF(VLOOKUP(A94,tbMoveset!A2:K112,11,FALSE)=TRUE,Backdoors!AC5,1))*DR94,0),"")</f>
        <v>0</v>
      </c>
      <c r="DV94" s="49">
        <f>VLOOKUP(A94,tbMoveset!A2:G112,7,FALSE)*IFERROR(IF(Backdoors!AI12&gt;=0,1+(IF(Calculator!E40&gt;0,VLOOKUP(Calculator!E40,tbSkills!AI3:AJ5,2,FALSE),Backdoors!AL4)*(IF((Backdoors!AI12+IF(DQ94&gt;=0.45,VLOOKUP(Calculator!E23,tbSkills!DH3:DI6,2,FALSE)+IF(AND(Calculator!B8=TRUE,Backdoors!BI20=TRUE),VLOOKUP(Calculator!E23,tbSkills!DH3:DJ6,3,FALSE),0),0))&gt;=100,100,(Backdoors!AI12+IF(DQ94&gt;=0.45,VLOOKUP(Calculator!E23,tbSkills!DH3:DI6,2,FALSE)+IF(AND(Calculator!B8=TRUE,Backdoors!BI20=TRUE),VLOOKUP(Calculator!E23,tbSkills!DH3:DJ6,3,FALSE),0),0)))/100)),1),1)</f>
        <v>0.7</v>
      </c>
      <c r="DW94" s="87">
        <f t="shared" si="68"/>
        <v>0</v>
      </c>
      <c r="DX94" s="86" t="str">
        <f>IFERROR(IF(VLOOKUP(A94,tbMoveset!A2:B112,2,FALSE)="Sever",Backdoors!AY21/100,IF(VLOOKUP(A94,tbMoveset!A2:B112,2,FALSE)="Blunt",Backdoors!AZ21/100,Backdoors!BA21/100)),"")</f>
        <v/>
      </c>
      <c r="DY94" s="49">
        <f>IFERROR(IF(VLOOKUP(tbMoveset!A94,tbMoveset!A2:H112,8,FALSE)="Other",IF(VLOOKUP(tbMoveset!A94,tbMoveset!A2:I112,9,FALSE)="Fire",Backdoors!BB21,IF(VLOOKUP(tbMoveset!A94,tbMoveset!A2:I112,9,FALSE)="Water",Backdoors!BC21,IF(VLOOKUP(tbMoveset!A94,tbMoveset!A2:I112,9,FALSE)="Thunder",Backdoors!BD21,IF(VLOOKUP(tbMoveset!A94,tbMoveset!A2:I112,9,FALSE)="Ice",Backdoors!BE21,IF(VLOOKUP(tbMoveset!A94,tbMoveset!A2:I112,9,FALSE)="Dragon",Backdoors!BF21,Backdoors!BG21)))))/100,Backdoors!BG21/100),"")</f>
        <v>0</v>
      </c>
      <c r="DZ94" s="49">
        <f>IFERROR(IF(VLOOKUP(A94,tbMoveset!A2:J112,10,FALSE)=TRUE,IF((Backdoors!AI12+IF(DX94&gt;=0.45,VLOOKUP(Calculator!E23,tbSkills!DH3:DI6,2,FALSE)+IF(AND(Calculator!B8=TRUE,Backdoors!BI21=TRUE),VLOOKUP(Calculator!E23,tbSkills!DH3:DJ6,3,FALSE),0),0))&gt;=0,1+(Backdoors!AL2*(IF((Backdoors!AI12+IF(DX94&gt;=0.45,VLOOKUP(Calculator!E23,tbSkills!DH3:DI6,2,FALSE)+IF(AND(Calculator!B8=TRUE,Backdoors!BI21=TRUE),VLOOKUP(Calculator!E23,tbSkills!DH3:DJ6,3,FALSE),0),0))&gt;=100,100,(Backdoors!AI12+IF(DX94&gt;=0.45,VLOOKUP(Calculator!E23,tbSkills!DH3:DI6,2,FALSE)+IF(AND(Calculator!B8=TRUE,Backdoors!BI21=TRUE),VLOOKUP(Calculator!E23,tbSkills!DH3:DJ6,3,FALSE),0),0)))/100)),(1-(0.25*((-Backdoors!AI12-IF(DX94&gt;=0.45,VLOOKUP(Calculator!E23,tbSkills!DH3:DI6,2,FALSE)+IF(AND(Calculator!B8=TRUE,Backdoors!BI21=TRUE),VLOOKUP(Calculator!E23,tbSkills!DH3:DJ6,3,FALSE),0),0))/100)))),1),"")</f>
        <v>1</v>
      </c>
      <c r="EA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X94)*DZ94)*(VLOOKUP(A94,tbMoveset!A2:C112,3,FALSE)/100)*IF(VLOOKUP(A94,tbMoveset!A2:B112,2,FALSE)="Projectile",Backdoors!N10,Backdoors!N9),0),"")</f>
        <v/>
      </c>
      <c r="EB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X94&gt;=0.45,VLOOKUP(Calculator!E23,tbSkills!DH3:DI6,2,FALSE)+IF(AND(Calculator!B8=TRUE,Backdoors!BI21=TRUE),VLOOKUP(Calculator!E23,tbSkills!DH3:DJ6,3,FALSE),0),0))&gt;=100,100,(Backdoors!AI12+IF(DX94&gt;=0.45,VLOOKUP(Calculator!E23,tbSkills!DH3:DI6,2,FALSE)+IF(AND(Calculator!B8=TRUE,Backdoors!BI21=TRUE),VLOOKUP(Calculator!E23,tbSkills!DH3:DJ6,3,FALSE),0),0)))/100)),1))*IF(VLOOKUP(A94,tbMoveset!A2:K112,11,FALSE)=TRUE,Backdoors!AC5,1))*DY94,0),"")</f>
        <v>0</v>
      </c>
      <c r="EC94" s="49">
        <f>VLOOKUP(A94,tbMoveset!A2:G112,7,FALSE)*IFERROR(IF(Backdoors!AI12&gt;=0,1+(IF(Calculator!E40&gt;0,VLOOKUP(Calculator!E40,tbSkills!AI3:AJ5,2,FALSE),Backdoors!AL4)*(IF((Backdoors!AI12+IF(DX94&gt;=0.45,VLOOKUP(Calculator!E23,tbSkills!DH3:DI6,2,FALSE)+IF(AND(Calculator!B8=TRUE,Backdoors!BI21=TRUE),VLOOKUP(Calculator!E23,tbSkills!DH3:DJ6,3,FALSE),0),0))&gt;=100,100,(Backdoors!AI12+IF(DX94&gt;=0.45,VLOOKUP(Calculator!E23,tbSkills!DH3:DI6,2,FALSE)+IF(AND(Calculator!B8=TRUE,Backdoors!BI21=TRUE),VLOOKUP(Calculator!E23,tbSkills!DH3:DJ6,3,FALSE),0),0)))/100)),1),1)</f>
        <v>0.7</v>
      </c>
      <c r="ED94" s="87">
        <f t="shared" si="69"/>
        <v>0</v>
      </c>
      <c r="EE94" s="86" t="str">
        <f>IFERROR(IF(VLOOKUP(A94,tbMoveset!A2:B112,2,FALSE)="Sever",Backdoors!AY22/100,IF(VLOOKUP(A94,tbMoveset!A2:B112,2,FALSE)="Blunt",Backdoors!AZ22/100,Backdoors!BA22/100)),"")</f>
        <v/>
      </c>
      <c r="EF94" s="49">
        <f>IFERROR(IF(VLOOKUP(tbMoveset!A94,tbMoveset!A2:H112,8,FALSE)="Other",IF(VLOOKUP(tbMoveset!A94,tbMoveset!A2:I112,9,FALSE)="Fire",Backdoors!BB22,IF(VLOOKUP(tbMoveset!A94,tbMoveset!A2:I112,9,FALSE)="Water",Backdoors!BC22,IF(VLOOKUP(tbMoveset!A94,tbMoveset!A2:I112,9,FALSE)="Thunder",Backdoors!BD22,IF(VLOOKUP(tbMoveset!A94,tbMoveset!A2:I112,9,FALSE)="Ice",Backdoors!BE22,IF(VLOOKUP(tbMoveset!A94,tbMoveset!A2:I112,9,FALSE)="Dragon",Backdoors!BF22,Backdoors!BG22)))))/100,Backdoors!BG22/100),"")</f>
        <v>0</v>
      </c>
      <c r="EG94" s="49">
        <f>IFERROR(IF(VLOOKUP(A94,tbMoveset!A2:J112,10,FALSE)=TRUE,IF((Backdoors!AI12+IF(EE94&gt;=0.45,VLOOKUP(Calculator!E23,tbSkills!DH3:DI6,2,FALSE)+IF(AND(Calculator!B8=TRUE,Backdoors!BI22=TRUE),VLOOKUP(Calculator!E23,tbSkills!DH3:DJ6,3,FALSE),0),0))&gt;=0,1+(Backdoors!AL2*(IF((Backdoors!AI12+IF(EE94&gt;=0.45,VLOOKUP(Calculator!E23,tbSkills!DH3:DI6,2,FALSE)+IF(AND(Calculator!B8=TRUE,Backdoors!BI22=TRUE),VLOOKUP(Calculator!E23,tbSkills!DH3:DJ6,3,FALSE),0),0))&gt;=100,100,(Backdoors!AI12+IF(EE94&gt;=0.45,VLOOKUP(Calculator!E23,tbSkills!DH3:DI6,2,FALSE)+IF(AND(Calculator!B8=TRUE,Backdoors!BI22=TRUE),VLOOKUP(Calculator!E23,tbSkills!DH3:DJ6,3,FALSE),0),0)))/100)),(1-(0.25*((-Backdoors!AI12-IF(EE94&gt;=0.45,VLOOKUP(Calculator!E23,tbSkills!DH3:DI6,2,FALSE)+IF(AND(Calculator!B8=TRUE,Backdoors!BI22=TRUE),VLOOKUP(Calculator!E23,tbSkills!DH3:DJ6,3,FALSE),0),0))/100)))),1),"")</f>
        <v>1</v>
      </c>
      <c r="EH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E94)*EG94)*(VLOOKUP(A94,tbMoveset!A2:C112,3,FALSE)/100)*IF(VLOOKUP(A94,tbMoveset!A2:B112,2,FALSE)="Projectile",Backdoors!N10,Backdoors!N9),0),"")</f>
        <v/>
      </c>
      <c r="EI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E94&gt;=0.45,VLOOKUP(Calculator!E23,tbSkills!DH3:DI6,2,FALSE)+IF(AND(Calculator!B8=TRUE,Backdoors!BI22=TRUE),VLOOKUP(Calculator!E23,tbSkills!DH3:DJ6,3,FALSE),0),0))&gt;=100,100,(Backdoors!AI12+IF(EE94&gt;=0.45,VLOOKUP(Calculator!E23,tbSkills!DH3:DI6,2,FALSE)+IF(AND(Calculator!B8=TRUE,Backdoors!BI22=TRUE),VLOOKUP(Calculator!E23,tbSkills!DH3:DJ6,3,FALSE),0),0)))/100)),1))*IF(VLOOKUP(A94,tbMoveset!A2:K112,11,FALSE)=TRUE,Backdoors!AC5,1))*EF94,0),"")</f>
        <v>0</v>
      </c>
      <c r="EJ94" s="49">
        <f>VLOOKUP(A94,tbMoveset!A2:G112,7,FALSE)*IFERROR(IF(Backdoors!AI12&gt;=0,1+(IF(Calculator!E40&gt;0,VLOOKUP(Calculator!E40,tbSkills!AI3:AJ5,2,FALSE),Backdoors!AL4)*(IF((Backdoors!AI12+IF(EE94&gt;=0.45,VLOOKUP(Calculator!E23,tbSkills!DH3:DI6,2,FALSE)+IF(AND(Calculator!B8=TRUE,Backdoors!BI22=TRUE),VLOOKUP(Calculator!E23,tbSkills!DH3:DJ6,3,FALSE),0),0))&gt;=100,100,(Backdoors!AI12+IF(EE94&gt;=0.45,VLOOKUP(Calculator!E23,tbSkills!DH3:DI6,2,FALSE)+IF(AND(Calculator!B8=TRUE,Backdoors!BI22=TRUE),VLOOKUP(Calculator!E23,tbSkills!DH3:DJ6,3,FALSE),0),0)))/100)),1),1)</f>
        <v>0.7</v>
      </c>
      <c r="EK94" s="87">
        <f t="shared" si="70"/>
        <v>0</v>
      </c>
      <c r="EL94" s="86" t="str">
        <f>IFERROR(IF(VLOOKUP(A94,tbMoveset!A2:B112,2,FALSE)="Sever",Backdoors!AY23/100,IF(VLOOKUP(A94,tbMoveset!A2:B112,2,FALSE)="Blunt",Backdoors!AZ23/100,Backdoors!BA23/100)),"")</f>
        <v/>
      </c>
      <c r="EM94" s="49">
        <f>IFERROR(IF(VLOOKUP(tbMoveset!A94,tbMoveset!A2:H112,8,FALSE)="Other",IF(VLOOKUP(tbMoveset!A94,tbMoveset!A2:I112,9,FALSE)="Fire",Backdoors!BB23,IF(VLOOKUP(tbMoveset!A94,tbMoveset!A2:I112,9,FALSE)="Water",Backdoors!BC23,IF(VLOOKUP(tbMoveset!A94,tbMoveset!A2:I112,9,FALSE)="Thunder",Backdoors!BD23,IF(VLOOKUP(tbMoveset!A94,tbMoveset!A2:I112,9,FALSE)="Ice",Backdoors!BE23,IF(VLOOKUP(tbMoveset!A94,tbMoveset!A2:I112,9,FALSE)="Dragon",Backdoors!BF23,Backdoors!BG23)))))/100,Backdoors!BG23/100),"")</f>
        <v>0</v>
      </c>
      <c r="EN94" s="49">
        <f>IFERROR(IF(VLOOKUP(A94,tbMoveset!A2:J112,10,FALSE)=TRUE,IF((Backdoors!AI12+IF(EL94&gt;=0.45,VLOOKUP(Calculator!E23,tbSkills!DH3:DI6,2,FALSE)+IF(AND(Calculator!B8=TRUE,Backdoors!BI23=TRUE),VLOOKUP(Calculator!E23,tbSkills!DH3:DJ6,3,FALSE),0),0))&gt;=0,1+(Backdoors!AL2*(IF((Backdoors!AI12+IF(EL94&gt;=0.45,VLOOKUP(Calculator!E23,tbSkills!DH3:DI6,2,FALSE)+IF(AND(Calculator!B8=TRUE,Backdoors!BI23=TRUE),VLOOKUP(Calculator!E23,tbSkills!DH3:DJ6,3,FALSE),0),0))&gt;=100,100,(Backdoors!AI12+IF(EL94&gt;=0.45,VLOOKUP(Calculator!E23,tbSkills!DH3:DI6,2,FALSE)+IF(AND(Calculator!B8=TRUE,Backdoors!BI23=TRUE),VLOOKUP(Calculator!E23,tbSkills!DH3:DJ6,3,FALSE),0),0)))/100)),(1-(0.25*((-Backdoors!AI12-IF(EL94&gt;=0.45,VLOOKUP(Calculator!E23,tbSkills!DH3:DI6,2,FALSE)+IF(AND(Calculator!B8=TRUE,Backdoors!BI23=TRUE),VLOOKUP(Calculator!E23,tbSkills!DH3:DJ6,3,FALSE),0),0))/100)))),1),"")</f>
        <v>1</v>
      </c>
      <c r="EO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L94)*EN94)*(VLOOKUP(A94,tbMoveset!A2:C112,3,FALSE)/100)*IF(VLOOKUP(A94,tbMoveset!A2:B112,2,FALSE)="Projectile",Backdoors!N10,Backdoors!N9),0),"")</f>
        <v/>
      </c>
      <c r="EP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L94&gt;=0.45,VLOOKUP(Calculator!E23,tbSkills!DH3:DI6,2,FALSE)+IF(AND(Calculator!B8=TRUE,Backdoors!BI23=TRUE),VLOOKUP(Calculator!E23,tbSkills!DH3:DJ6,3,FALSE),0),0))&gt;=100,100,(Backdoors!AI12+IF(EL94&gt;=0.45,VLOOKUP(Calculator!E23,tbSkills!DH3:DI6,2,FALSE)+IF(AND(Calculator!B8=TRUE,Backdoors!BI23=TRUE),VLOOKUP(Calculator!E23,tbSkills!DH3:DJ6,3,FALSE),0),0)))/100)),1))*IF(VLOOKUP(A94,tbMoveset!A2:K112,11,FALSE)=TRUE,Backdoors!AC5,1))*EM94,0),"")</f>
        <v>0</v>
      </c>
      <c r="EQ94" s="49">
        <f>VLOOKUP(A94,tbMoveset!A2:G112,7,FALSE)*IFERROR(IF(Backdoors!AI12&gt;=0,1+(IF(Calculator!E40&gt;0,VLOOKUP(Calculator!E40,tbSkills!AI3:AJ5,2,FALSE),Backdoors!AL4)*(IF((Backdoors!AI12+IF(EL94&gt;=0.45,VLOOKUP(Calculator!E23,tbSkills!DH3:DI6,2,FALSE)+IF(AND(Calculator!B8=TRUE,Backdoors!BI23=TRUE),VLOOKUP(Calculator!E23,tbSkills!DH3:DJ6,3,FALSE),0),0))&gt;=100,100,(Backdoors!AI12+IF(EL94&gt;=0.45,VLOOKUP(Calculator!E23,tbSkills!DH3:DI6,2,FALSE)+IF(AND(Calculator!B8=TRUE,Backdoors!BI23=TRUE),VLOOKUP(Calculator!E23,tbSkills!DH3:DJ6,3,FALSE),0),0)))/100)),1),1)</f>
        <v>0.7</v>
      </c>
      <c r="ER94" s="87">
        <f t="shared" si="71"/>
        <v>0</v>
      </c>
      <c r="ES94" s="86" t="str">
        <f>IFERROR(IF(VLOOKUP(A94,tbMoveset!A2:B112,2,FALSE)="Sever",Backdoors!AY24/100,IF(VLOOKUP(A94,tbMoveset!A2:B112,2,FALSE)="Blunt",Backdoors!AZ24/100,Backdoors!BA24/100)),"")</f>
        <v/>
      </c>
      <c r="ET94" s="49">
        <f>IFERROR(IF(VLOOKUP(tbMoveset!A94,tbMoveset!A2:H112,8,FALSE)="Other",IF(VLOOKUP(tbMoveset!A94,tbMoveset!A2:I112,9,FALSE)="Fire",Backdoors!BB24,IF(VLOOKUP(tbMoveset!A94,tbMoveset!A2:I112,9,FALSE)="Water",Backdoors!BC24,IF(VLOOKUP(tbMoveset!A94,tbMoveset!A2:I112,9,FALSE)="Thunder",Backdoors!BD24,IF(VLOOKUP(tbMoveset!A94,tbMoveset!A2:I112,9,FALSE)="Ice",Backdoors!BE24,IF(VLOOKUP(tbMoveset!A94,tbMoveset!A2:I112,9,FALSE)="Dragon",Backdoors!BF24,Backdoors!BG24)))))/100,Backdoors!BG24/100),"")</f>
        <v>0</v>
      </c>
      <c r="EU94" s="49">
        <f>IFERROR(IF(VLOOKUP(A94,tbMoveset!A2:J112,10,FALSE)=TRUE,IF((Backdoors!AI12+IF(ES94&gt;=0.45,VLOOKUP(Calculator!E23,tbSkills!DH3:DI6,2,FALSE)+IF(AND(Calculator!B8=TRUE,Backdoors!BI24=TRUE),VLOOKUP(Calculator!E23,tbSkills!DH3:DJ6,3,FALSE),0),0))&gt;=0,1+(Backdoors!AL2*(IF((Backdoors!AI12+IF(ES94&gt;=0.45,VLOOKUP(Calculator!E23,tbSkills!DH3:DI6,2,FALSE)+IF(AND(Calculator!B8=TRUE,Backdoors!BI24=TRUE),VLOOKUP(Calculator!E23,tbSkills!DH3:DJ6,3,FALSE),0),0))&gt;=100,100,(Backdoors!AI12+IF(ES94&gt;=0.45,VLOOKUP(Calculator!E23,tbSkills!DH3:DI6,2,FALSE)+IF(AND(Calculator!B8=TRUE,Backdoors!BI24=TRUE),VLOOKUP(Calculator!E23,tbSkills!DH3:DJ6,3,FALSE),0),0)))/100)),(1-(0.25*((-Backdoors!AI12-IF(ES94&gt;=0.45,VLOOKUP(Calculator!E23,tbSkills!DH3:DI6,2,FALSE)+IF(AND(Calculator!B8=TRUE,Backdoors!BI24=TRUE),VLOOKUP(Calculator!E23,tbSkills!DH3:DJ6,3,FALSE),0),0))/100)))),1),"")</f>
        <v>1</v>
      </c>
      <c r="EV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S94)*EU94)*(VLOOKUP(A94,tbMoveset!A2:C112,3,FALSE)/100)*IF(VLOOKUP(A94,tbMoveset!A2:B112,2,FALSE)="Projectile",Backdoors!N10,Backdoors!N9),0),"")</f>
        <v/>
      </c>
      <c r="EW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S94&gt;=0.45,VLOOKUP(Calculator!E23,tbSkills!DH3:DI6,2,FALSE)+IF(AND(Calculator!B8=TRUE,Backdoors!BI24=TRUE),VLOOKUP(Calculator!E23,tbSkills!DH3:DJ6,3,FALSE),0),0))&gt;=100,100,(Backdoors!AI12+IF(ES94&gt;=0.45,VLOOKUP(Calculator!E23,tbSkills!DH3:DI6,2,FALSE)+IF(AND(Calculator!B8=TRUE,Backdoors!BI24=TRUE),VLOOKUP(Calculator!E23,tbSkills!DH3:DJ6,3,FALSE),0),0)))/100)),1))*IF(VLOOKUP(A94,tbMoveset!A2:K112,11,FALSE)=TRUE,Backdoors!AC5,1))*ET94,0),"")</f>
        <v>0</v>
      </c>
      <c r="EX94" s="49">
        <f>VLOOKUP(A94,tbMoveset!A2:G112,7,FALSE)*IFERROR(IF(Backdoors!AI12&gt;=0,1+(IF(Calculator!E40&gt;0,VLOOKUP(Calculator!E40,tbSkills!AI3:AJ5,2,FALSE),Backdoors!AL4)*(IF((Backdoors!AI12+IF(ES94&gt;=0.45,VLOOKUP(Calculator!E23,tbSkills!DH3:DI6,2,FALSE)+IF(AND(Calculator!B8=TRUE,Backdoors!BI24=TRUE),VLOOKUP(Calculator!E23,tbSkills!DH3:DJ6,3,FALSE),0),0))&gt;=100,100,(Backdoors!AI12+IF(ES94&gt;=0.45,VLOOKUP(Calculator!E23,tbSkills!DH3:DI6,2,FALSE)+IF(AND(Calculator!B8=TRUE,Backdoors!BI24=TRUE),VLOOKUP(Calculator!E23,tbSkills!DH3:DJ6,3,FALSE),0),0)))/100)),1),1)</f>
        <v>0.7</v>
      </c>
      <c r="EY94" s="87">
        <f t="shared" si="72"/>
        <v>0</v>
      </c>
      <c r="EZ94" s="86" t="str">
        <f>IFERROR(IF(VLOOKUP(A94,tbMoveset!A2:B112,2,FALSE)="Sever",Backdoors!AY25/100,IF(VLOOKUP(A94,tbMoveset!A2:B112,2,FALSE)="Blunt",Backdoors!AZ25/100,Backdoors!BA25/100)),"")</f>
        <v/>
      </c>
      <c r="FA94" s="49">
        <f>IFERROR(IF(VLOOKUP(tbMoveset!A94,tbMoveset!A2:H112,8,FALSE)="Other",IF(VLOOKUP(tbMoveset!A94,tbMoveset!A2:I112,9,FALSE)="Fire",Backdoors!BB25,IF(VLOOKUP(tbMoveset!A94,tbMoveset!A2:I112,9,FALSE)="Water",Backdoors!BC25,IF(VLOOKUP(tbMoveset!A94,tbMoveset!A2:I112,9,FALSE)="Thunder",Backdoors!BD25,IF(VLOOKUP(tbMoveset!A94,tbMoveset!A2:I112,9,FALSE)="Ice",Backdoors!BE25,IF(VLOOKUP(tbMoveset!A94,tbMoveset!A2:I112,9,FALSE)="Dragon",Backdoors!BF25,Backdoors!BG25)))))/100,Backdoors!BG25/100),"")</f>
        <v>0</v>
      </c>
      <c r="FB94" s="49">
        <f>IFERROR(IF(VLOOKUP(A94,tbMoveset!A2:J112,10,FALSE)=TRUE,IF((Backdoors!AI12+IF(EZ94&gt;=0.45,VLOOKUP(Calculator!E23,tbSkills!DH3:DI6,2,FALSE)+IF(AND(Calculator!B8=TRUE,Backdoors!BI25=TRUE),VLOOKUP(Calculator!E23,tbSkills!DH3:DJ6,3,FALSE),0),0))&gt;=0,1+(Backdoors!AL2*(IF((Backdoors!AI12+IF(EZ94&gt;=0.45,VLOOKUP(Calculator!E23,tbSkills!DH3:DI6,2,FALSE)+IF(AND(Calculator!B8=TRUE,Backdoors!BI25=TRUE),VLOOKUP(Calculator!E23,tbSkills!DH3:DJ6,3,FALSE),0),0))&gt;=100,100,(Backdoors!AI12+IF(EZ94&gt;=0.45,VLOOKUP(Calculator!E23,tbSkills!DH3:DI6,2,FALSE)+IF(AND(Calculator!B8=TRUE,Backdoors!BI25=TRUE),VLOOKUP(Calculator!E23,tbSkills!DH3:DJ6,3,FALSE),0),0)))/100)),(1-(0.25*((-Backdoors!AI12-IF(EZ94&gt;=0.45,VLOOKUP(Calculator!E23,tbSkills!DH3:DI6,2,FALSE)+IF(AND(Calculator!B8=TRUE,Backdoors!BI25=TRUE),VLOOKUP(Calculator!E23,tbSkills!DH3:DJ6,3,FALSE),0),0))/100)))),1),"")</f>
        <v>1</v>
      </c>
      <c r="FC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Z94)*FB94)*(VLOOKUP(A94,tbMoveset!A2:C112,3,FALSE)/100)*IF(VLOOKUP(A94,tbMoveset!A2:B112,2,FALSE)="Projectile",Backdoors!N10,Backdoors!N9),0),"")</f>
        <v/>
      </c>
      <c r="FD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Z94&gt;=0.45,VLOOKUP(Calculator!E23,tbSkills!DH3:DI6,2,FALSE)+IF(AND(Calculator!B8=TRUE,Backdoors!BI25=TRUE),VLOOKUP(Calculator!E23,tbSkills!DH3:DJ6,3,FALSE),0),0))&gt;=100,100,(Backdoors!AI12+IF(EZ94&gt;=0.45,VLOOKUP(Calculator!E23,tbSkills!DH3:DI6,2,FALSE)+IF(AND(Calculator!B8=TRUE,Backdoors!BI25=TRUE),VLOOKUP(Calculator!E23,tbSkills!DH3:DJ6,3,FALSE),0),0)))/100)),1))*IF(VLOOKUP(A94,tbMoveset!A2:K112,11,FALSE)=TRUE,Backdoors!AC5,1))*FA94,0),"")</f>
        <v>0</v>
      </c>
      <c r="FE94" s="49">
        <f>VLOOKUP(A94,tbMoveset!A2:G112,7,FALSE)*IFERROR(IF(Backdoors!AI12&gt;=0,1+(IF(Calculator!E40&gt;0,VLOOKUP(Calculator!E40,tbSkills!AI3:AJ5,2,FALSE),Backdoors!AL4)*(IF((Backdoors!AI12+IF(EZ94&gt;=0.45,VLOOKUP(Calculator!E23,tbSkills!DH3:DI6,2,FALSE)+IF(AND(Calculator!B8=TRUE,Backdoors!BI25=TRUE),VLOOKUP(Calculator!E23,tbSkills!DH3:DJ6,3,FALSE),0),0))&gt;=100,100,(Backdoors!AI12+IF(EZ94&gt;=0.45,VLOOKUP(Calculator!E23,tbSkills!DH3:DI6,2,FALSE)+IF(AND(Calculator!B8=TRUE,Backdoors!BI25=TRUE),VLOOKUP(Calculator!E23,tbSkills!DH3:DJ6,3,FALSE),0),0)))/100)),1),1)</f>
        <v>0.7</v>
      </c>
      <c r="FF94" s="87">
        <f t="shared" si="73"/>
        <v>0</v>
      </c>
      <c r="FG94" s="86" t="str">
        <f>IFERROR(IF(VLOOKUP(A94,tbMoveset!A2:B112,2,FALSE)="Sever",Backdoors!AY26/100,IF(VLOOKUP(A94,tbMoveset!A2:B112,2,FALSE)="Blunt",Backdoors!AZ26/100,Backdoors!BA26/100)),"")</f>
        <v/>
      </c>
      <c r="FH94" s="49">
        <f>IFERROR(IF(VLOOKUP(tbMoveset!A94,tbMoveset!A2:H112,8,FALSE)="Other",IF(VLOOKUP(tbMoveset!A94,tbMoveset!A2:I112,9,FALSE)="Fire",Backdoors!BB26,IF(VLOOKUP(tbMoveset!A94,tbMoveset!A2:I112,9,FALSE)="Water",Backdoors!BC26,IF(VLOOKUP(tbMoveset!A94,tbMoveset!A2:I112,9,FALSE)="Thunder",Backdoors!BD26,IF(VLOOKUP(tbMoveset!A94,tbMoveset!A2:I112,9,FALSE)="Ice",Backdoors!BE26,IF(VLOOKUP(tbMoveset!A94,tbMoveset!A2:I112,9,FALSE)="Dragon",Backdoors!BF26,Backdoors!BG26)))))/100,Backdoors!BG26/100),"")</f>
        <v>0</v>
      </c>
      <c r="FI94" s="49">
        <f>IFERROR(IF(VLOOKUP(A94,tbMoveset!A2:J112,10,FALSE)=TRUE,IF((Backdoors!AI12+IF(FG94&gt;=0.45,VLOOKUP(Calculator!E23,tbSkills!DH3:DI6,2,FALSE)+IF(AND(Calculator!B8=TRUE,Backdoors!BI26=TRUE),VLOOKUP(Calculator!E23,tbSkills!DH3:DJ6,3,FALSE),0),0))&gt;=0,1+(Backdoors!AL2*(IF((Backdoors!AI12+IF(FG94&gt;=0.45,VLOOKUP(Calculator!E23,tbSkills!DH3:DI6,2,FALSE)+IF(AND(Calculator!B8=TRUE,Backdoors!BI26=TRUE),VLOOKUP(Calculator!E23,tbSkills!DH3:DJ6,3,FALSE),0),0))&gt;=100,100,(Backdoors!AI12+IF(FG94&gt;=0.45,VLOOKUP(Calculator!E23,tbSkills!DH3:DI6,2,FALSE)+IF(AND(Calculator!B8=TRUE,Backdoors!BI26=TRUE),VLOOKUP(Calculator!E23,tbSkills!DH3:DJ6,3,FALSE),0),0)))/100)),(1-(0.25*((-Backdoors!AI12-IF(FG94&gt;=0.45,VLOOKUP(Calculator!E23,tbSkills!DH3:DI6,2,FALSE)+IF(AND(Calculator!B8=TRUE,Backdoors!BI26=TRUE),VLOOKUP(Calculator!E23,tbSkills!DH3:DJ6,3,FALSE),0),0))/100)))),1),"")</f>
        <v>1</v>
      </c>
      <c r="FJ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FG94)*FI94)*(VLOOKUP(A94,tbMoveset!A2:C112,3,FALSE)/100)*IF(VLOOKUP(A94,tbMoveset!A2:B112,2,FALSE)="Projectile",Backdoors!N10,Backdoors!N9),0),"")</f>
        <v/>
      </c>
      <c r="FK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FG94&gt;=0.45,VLOOKUP(Calculator!E23,tbSkills!DH3:DI6,2,FALSE)+IF(AND(Calculator!B8=TRUE,Backdoors!BI26=TRUE),VLOOKUP(Calculator!E23,tbSkills!DH3:DJ6,3,FALSE),0),0))&gt;=100,100,(Backdoors!AI12+IF(FG94&gt;=0.45,VLOOKUP(Calculator!E23,tbSkills!DH3:DI6,2,FALSE)+IF(AND(Calculator!B8=TRUE,Backdoors!BI26=TRUE),VLOOKUP(Calculator!E23,tbSkills!DH3:DJ6,3,FALSE),0),0)))/100)),1))*IF(VLOOKUP(A94,tbMoveset!A2:K112,11,FALSE)=TRUE,Backdoors!AC5,1))*FH94,0),"")</f>
        <v>0</v>
      </c>
      <c r="FL94" s="49">
        <f>VLOOKUP(A94,tbMoveset!A2:G112,7,FALSE)*IFERROR(IF(Backdoors!AI12&gt;=0,1+(IF(Calculator!E40&gt;0,VLOOKUP(Calculator!E40,tbSkills!AI3:AJ5,2,FALSE),Backdoors!AL4)*(IF((Backdoors!AI12+IF(FG94&gt;=0.45,VLOOKUP(Calculator!E23,tbSkills!DH3:DI6,2,FALSE)+IF(AND(Calculator!B8=TRUE,Backdoors!BI26=TRUE),VLOOKUP(Calculator!E23,tbSkills!DH3:DJ6,3,FALSE),0),0))&gt;=100,100,(Backdoors!AI12+IF(FG94&gt;=0.45,VLOOKUP(Calculator!E23,tbSkills!DH3:DI6,2,FALSE)+IF(AND(Calculator!B8=TRUE,Backdoors!BI26=TRUE),VLOOKUP(Calculator!E23,tbSkills!DH3:DJ6,3,FALSE),0),0)))/100)),1),1)</f>
        <v>0.7</v>
      </c>
      <c r="FM94" s="87">
        <f t="shared" si="74"/>
        <v>0</v>
      </c>
      <c r="FN94" s="86" t="str">
        <f>IFERROR(IF(VLOOKUP(A94,tbMoveset!A2:B112,2,FALSE)="Sever",Backdoors!AY27/100,IF(VLOOKUP(A94,tbMoveset!A2:B112,2,FALSE)="Blunt",Backdoors!AZ27/100,Backdoors!BA27/100)),"")</f>
        <v/>
      </c>
      <c r="FO94" s="49">
        <f>IFERROR(IF(VLOOKUP(tbMoveset!A94,tbMoveset!A2:H112,8,FALSE)="Other",IF(VLOOKUP(tbMoveset!A94,tbMoveset!A2:I112,9,FALSE)="Fire",Backdoors!BB27,IF(VLOOKUP(tbMoveset!A94,tbMoveset!A2:I112,9,FALSE)="Water",Backdoors!BC27,IF(VLOOKUP(tbMoveset!A94,tbMoveset!A2:I112,9,FALSE)="Thunder",Backdoors!BD27,IF(VLOOKUP(tbMoveset!A94,tbMoveset!A2:I112,9,FALSE)="Ice",Backdoors!BE27,IF(VLOOKUP(tbMoveset!A94,tbMoveset!A2:I112,9,FALSE)="Dragon",Backdoors!BF27,Backdoors!BG27)))))/100,Backdoors!BG27/100),"")</f>
        <v>0</v>
      </c>
      <c r="FP94" s="49">
        <f>IFERROR(IF(VLOOKUP(A94,tbMoveset!A2:J112,10,FALSE)=TRUE,IF((Backdoors!AI12+IF(FN94&gt;=0.45,VLOOKUP(Calculator!E23,tbSkills!DH3:DI6,2,FALSE)+IF(AND(Calculator!B8=TRUE,Backdoors!BI27=TRUE),VLOOKUP(Calculator!E23,tbSkills!DH3:DJ6,3,FALSE),0),0))&gt;=0,1+(Backdoors!AL2*(IF((Backdoors!AI12+IF(FN94&gt;=0.45,VLOOKUP(Calculator!E23,tbSkills!DH3:DI6,2,FALSE)+IF(AND(Calculator!B8=TRUE,Backdoors!BI27=TRUE),VLOOKUP(Calculator!E23,tbSkills!DH3:DJ6,3,FALSE),0),0))&gt;=100,100,(Backdoors!AI12+IF(FN94&gt;=0.45,VLOOKUP(Calculator!E23,tbSkills!DH3:DI6,2,FALSE)+IF(AND(Calculator!B8=TRUE,Backdoors!BI27=TRUE),VLOOKUP(Calculator!E23,tbSkills!DH3:DJ6,3,FALSE),0),0)))/100)),(1-(0.25*((-Backdoors!AI12-IF(FN94&gt;=0.45,VLOOKUP(Calculator!E23,tbSkills!DH3:DI6,2,FALSE)+IF(AND(Calculator!B8=TRUE,Backdoors!BI27=TRUE),VLOOKUP(Calculator!E23,tbSkills!DH3:DJ6,3,FALSE),0),0))/100)))),1),"")</f>
        <v>1</v>
      </c>
      <c r="FQ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FN94)*FP94)*(VLOOKUP(A94,tbMoveset!A2:C112,3,FALSE)/100)*IF(VLOOKUP(A94,tbMoveset!A2:B112,2,FALSE)="Projectile",Backdoors!N10,Backdoors!N9),0),"")</f>
        <v/>
      </c>
      <c r="FR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FN94&gt;=0.45,VLOOKUP(Calculator!E23,tbSkills!DH3:DI6,2,FALSE)+IF(AND(Calculator!B8=TRUE,Backdoors!BI27=TRUE),VLOOKUP(Calculator!E23,tbSkills!DH3:DJ6,3,FALSE),0),0))&gt;=100,100,(Backdoors!AI12+IF(FN94&gt;=0.45,VLOOKUP(Calculator!E23,tbSkills!DH3:DI6,2,FALSE)+IF(AND(Calculator!B8=TRUE,Backdoors!BI27=TRUE),VLOOKUP(Calculator!E23,tbSkills!DH3:DJ6,3,FALSE),0),0)))/100)),1))*IF(VLOOKUP(A94,tbMoveset!A2:K112,11,FALSE)=TRUE,Backdoors!AC5,1))*FO94,0),"")</f>
        <v>0</v>
      </c>
      <c r="FS94" s="49">
        <f>VLOOKUP(A94,tbMoveset!A2:G112,7,FALSE)*IFERROR(IF(Backdoors!AI12&gt;=0,1+(IF(Calculator!E40&gt;0,VLOOKUP(Calculator!E40,tbSkills!AI3:AJ5,2,FALSE),Backdoors!AL4)*(IF((Backdoors!AI12+IF(FN94&gt;=0.45,VLOOKUP(Calculator!E23,tbSkills!DH3:DI6,2,FALSE)+IF(AND(Calculator!B8=TRUE,Backdoors!BI27=TRUE),VLOOKUP(Calculator!E23,tbSkills!DH3:DJ6,3,FALSE),0),0))&gt;=100,100,(Backdoors!AI12+IF(FN94&gt;=0.45,VLOOKUP(Calculator!E23,tbSkills!DH3:DI6,2,FALSE)+IF(AND(Calculator!B8=TRUE,Backdoors!BI27=TRUE),VLOOKUP(Calculator!E23,tbSkills!DH3:DJ6,3,FALSE),0),0)))/100)),1),1)</f>
        <v>0.7</v>
      </c>
      <c r="FT94" s="87">
        <f t="shared" si="75"/>
        <v>0</v>
      </c>
      <c r="FU94" s="86" t="str">
        <f>IFERROR(IF(VLOOKUP(A94,tbMoveset!A2:B112,2,FALSE)="Sever",Backdoors!AY28/100,IF(VLOOKUP(A94,tbMoveset!A2:B112,2,FALSE)="Blunt",Backdoors!AZ28/100,Backdoors!BA28/100)),"")</f>
        <v/>
      </c>
      <c r="FV94" s="49">
        <f>IFERROR(IF(VLOOKUP(tbMoveset!A94,tbMoveset!A2:H112,8,FALSE)="Other",IF(VLOOKUP(tbMoveset!A94,tbMoveset!A2:I112,9,FALSE)="Fire",Backdoors!BB28,IF(VLOOKUP(tbMoveset!A94,tbMoveset!A2:I112,9,FALSE)="Water",Backdoors!BC28,IF(VLOOKUP(tbMoveset!A94,tbMoveset!A2:I112,9,FALSE)="Thunder",Backdoors!BD28,IF(VLOOKUP(tbMoveset!A94,tbMoveset!A2:I112,9,FALSE)="Ice",Backdoors!BE28,IF(VLOOKUP(tbMoveset!A94,tbMoveset!A2:I112,9,FALSE)="Dragon",Backdoors!BF28,Backdoors!BG28)))))/100,Backdoors!BG28/100),"")</f>
        <v>0</v>
      </c>
      <c r="FW94" s="49">
        <f>IFERROR(IF(VLOOKUP(A94,tbMoveset!A2:J112,10,FALSE)=TRUE,IF((Backdoors!AI12+IF(FU94&gt;=0.45,VLOOKUP(Calculator!E23,tbSkills!DH3:DI6,2,FALSE)+IF(AND(Calculator!B8=TRUE,Backdoors!BI28=TRUE),VLOOKUP(Calculator!E23,tbSkills!DH3:DJ6,3,FALSE),0),0))&gt;=0,1+(Backdoors!AL2*(IF((Backdoors!AI12+IF(FU94&gt;=0.45,VLOOKUP(Calculator!E23,tbSkills!DH3:DI6,2,FALSE)+IF(AND(Calculator!B8=TRUE,Backdoors!BI28=TRUE),VLOOKUP(Calculator!E23,tbSkills!DH3:DJ6,3,FALSE),0),0))&gt;=100,100,(Backdoors!AI12+IF(FU94&gt;=0.45,VLOOKUP(Calculator!E23,tbSkills!DH3:DI6,2,FALSE)+IF(AND(Calculator!B8=TRUE,Backdoors!BI28=TRUE),VLOOKUP(Calculator!E23,tbSkills!DH3:DJ6,3,FALSE),0),0)))/100)),(1-(0.25*((-Backdoors!AI12-IF(FU94&gt;=0.45,VLOOKUP(Calculator!E23,tbSkills!DH3:DI6,2,FALSE)+IF(AND(Calculator!B8=TRUE,Backdoors!BI28=TRUE),VLOOKUP(Calculator!E23,tbSkills!DH3:DJ6,3,FALSE),0),0))/100)))),1),"")</f>
        <v>1</v>
      </c>
      <c r="FX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FU94)*FW94)*(VLOOKUP(A94,tbMoveset!A2:C112,3,FALSE)/100)*IF(VLOOKUP(A94,tbMoveset!A2:B112,2,FALSE)="Projectile",Backdoors!N10,Backdoors!N9),0),"")</f>
        <v/>
      </c>
      <c r="FY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FU94&gt;=0.45,VLOOKUP(Calculator!E23,tbSkills!DH3:DI6,2,FALSE)+IF(AND(Calculator!B8=TRUE,Backdoors!BI28=TRUE),VLOOKUP(Calculator!E23,tbSkills!DH3:DJ6,3,FALSE),0),0))&gt;=100,100,(Backdoors!AI12+IF(FU94&gt;=0.45,VLOOKUP(Calculator!E23,tbSkills!DH3:DI6,2,FALSE)+IF(AND(Calculator!B8=TRUE,Backdoors!BI28=TRUE),VLOOKUP(Calculator!E23,tbSkills!DH3:DJ6,3,FALSE),0),0)))/100)),1))*IF(VLOOKUP(A94,tbMoveset!A2:K112,11,FALSE)=TRUE,Backdoors!AC5,1))*FV94,0),"")</f>
        <v>0</v>
      </c>
      <c r="FZ94" s="49">
        <f>VLOOKUP(A94,tbMoveset!A2:G112,7,FALSE)*IFERROR(IF(Backdoors!AI12&gt;=0,1+(IF(Calculator!E40&gt;0,VLOOKUP(Calculator!E40,tbSkills!AI3:AJ5,2,FALSE),Backdoors!AL4)*(IF((Backdoors!AI12+IF(FU94&gt;=0.45,VLOOKUP(Calculator!E23,tbSkills!DH3:DI6,2,FALSE)+IF(AND(Calculator!B8=TRUE,Backdoors!BI28=TRUE),VLOOKUP(Calculator!E23,tbSkills!DH3:DJ6,3,FALSE),0),0))&gt;=100,100,(Backdoors!AI12+IF(FU94&gt;=0.45,VLOOKUP(Calculator!E23,tbSkills!DH3:DI6,2,FALSE)+IF(AND(Calculator!B8=TRUE,Backdoors!BI28=TRUE),VLOOKUP(Calculator!E23,tbSkills!DH3:DJ6,3,FALSE),0),0)))/100)),1),1)</f>
        <v>0.7</v>
      </c>
      <c r="GA94" s="87">
        <f t="shared" si="76"/>
        <v>0</v>
      </c>
      <c r="GB94" s="86" t="str">
        <f>IFERROR(IF(VLOOKUP(A94,tbMoveset!A2:B112,2,FALSE)="Sever",Backdoors!AY29/100,IF(VLOOKUP(A94,tbMoveset!A2:B112,2,FALSE)="Blunt",Backdoors!AZ29/100,Backdoors!BA29/100)),"")</f>
        <v/>
      </c>
      <c r="GC94" s="49">
        <f>IFERROR(IF(VLOOKUP(tbMoveset!A94,tbMoveset!A2:H112,8,FALSE)="Other",IF(VLOOKUP(tbMoveset!A94,tbMoveset!A2:I112,9,FALSE)="Fire",Backdoors!BB29,IF(VLOOKUP(tbMoveset!A94,tbMoveset!A2:I112,9,FALSE)="Water",Backdoors!BC29,IF(VLOOKUP(tbMoveset!A94,tbMoveset!A2:I112,9,FALSE)="Thunder",Backdoors!BD29,IF(VLOOKUP(tbMoveset!A94,tbMoveset!A2:I112,9,FALSE)="Ice",Backdoors!BE29,IF(VLOOKUP(tbMoveset!A94,tbMoveset!A2:I112,9,FALSE)="Dragon",Backdoors!BF29,Backdoors!BG29)))))/100,Backdoors!BG29/100),"")</f>
        <v>0</v>
      </c>
      <c r="GD94" s="49">
        <f>IFERROR(IF(VLOOKUP(A94,tbMoveset!A2:J112,10,FALSE)=TRUE,IF((Backdoors!AI12+IF(GB94&gt;=0.45,VLOOKUP(Calculator!E23,tbSkills!DH3:DI6,2,FALSE)+IF(AND(Calculator!B8=TRUE,Backdoors!BI29=TRUE),VLOOKUP(Calculator!E23,tbSkills!DH3:DJ6,3,FALSE),0),0))&gt;=0,1+(Backdoors!AL2*(IF((Backdoors!AI12+IF(GB94&gt;=0.45,VLOOKUP(Calculator!E23,tbSkills!DH3:DI6,2,FALSE)+IF(AND(Calculator!B8=TRUE,Backdoors!BI29=TRUE),VLOOKUP(Calculator!E23,tbSkills!DH3:DJ6,3,FALSE),0),0))&gt;=100,100,(Backdoors!AI12+IF(GB94&gt;=0.45,VLOOKUP(Calculator!E23,tbSkills!DH3:DI6,2,FALSE)+IF(AND(Calculator!B8=TRUE,Backdoors!BI29=TRUE),VLOOKUP(Calculator!E23,tbSkills!DH3:DJ6,3,FALSE),0),0)))/100)),(1-(0.25*((-Backdoors!AI12-IF(GB94&gt;=0.45,VLOOKUP(Calculator!E23,tbSkills!DH3:DI6,2,FALSE)+IF(AND(Calculator!B8=TRUE,Backdoors!BI29=TRUE),VLOOKUP(Calculator!E23,tbSkills!DH3:DJ6,3,FALSE),0),0))/100)))),1),"")</f>
        <v>1</v>
      </c>
      <c r="GE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B94)*GD94)*(VLOOKUP(A94,tbMoveset!A2:C112,3,FALSE)/100)*IF(VLOOKUP(A94,tbMoveset!A2:B112,2,FALSE)="Projectile",Backdoors!N10,Backdoors!N9),0),"")</f>
        <v/>
      </c>
      <c r="GF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B94&gt;=0.45,VLOOKUP(Calculator!E23,tbSkills!DH3:DI6,2,FALSE)+IF(AND(Calculator!B8=TRUE,Backdoors!BI29=TRUE),VLOOKUP(Calculator!E23,tbSkills!DH3:DJ6,3,FALSE),0),0))&gt;=100,100,(Backdoors!AI12+IF(GB94&gt;=0.45,VLOOKUP(Calculator!E23,tbSkills!DH3:DI6,2,FALSE)+IF(AND(Calculator!B8=TRUE,Backdoors!BI29=TRUE),VLOOKUP(Calculator!E23,tbSkills!DH3:DJ6,3,FALSE),0),0)))/100)),1))*IF(VLOOKUP(A94,tbMoveset!A2:K112,11,FALSE)=TRUE,Backdoors!AC5,1))*GC94,0),"")</f>
        <v>0</v>
      </c>
      <c r="GG94" s="49">
        <f>VLOOKUP(A94,tbMoveset!A2:G112,7,FALSE)*IFERROR(IF(Backdoors!AI12&gt;=0,1+(IF(Calculator!E40&gt;0,VLOOKUP(Calculator!E40,tbSkills!AI3:AJ5,2,FALSE),Backdoors!AL4)*(IF((Backdoors!AI12+IF(GB94&gt;=0.45,VLOOKUP(Calculator!E23,tbSkills!DH3:DI6,2,FALSE)+IF(AND(Calculator!B8=TRUE,Backdoors!BI29=TRUE),VLOOKUP(Calculator!E23,tbSkills!DH3:DJ6,3,FALSE),0),0))&gt;=100,100,(Backdoors!AI12+IF(GB94&gt;=0.45,VLOOKUP(Calculator!E23,tbSkills!DH3:DI6,2,FALSE)+IF(AND(Calculator!B8=TRUE,Backdoors!BI29=TRUE),VLOOKUP(Calculator!E23,tbSkills!DH3:DJ6,3,FALSE),0),0)))/100)),1),1)</f>
        <v>0.7</v>
      </c>
      <c r="GH94" s="87">
        <f t="shared" si="77"/>
        <v>0</v>
      </c>
      <c r="GI94" s="86" t="str">
        <f>IFERROR(IF(VLOOKUP(A94,tbMoveset!A2:B112,2,FALSE)="Sever",Backdoors!AY30/100,IF(VLOOKUP(A94,tbMoveset!A2:B112,2,FALSE)="Blunt",Backdoors!AZ30/100,Backdoors!BA30/100)),"")</f>
        <v/>
      </c>
      <c r="GJ94" s="49">
        <f>IFERROR(IF(VLOOKUP(tbMoveset!A94,tbMoveset!A2:H112,8,FALSE)="Other",IF(VLOOKUP(tbMoveset!A94,tbMoveset!A2:I112,9,FALSE)="Fire",Backdoors!BB30,IF(VLOOKUP(tbMoveset!A94,tbMoveset!A2:I112,9,FALSE)="Water",Backdoors!BC30,IF(VLOOKUP(tbMoveset!A94,tbMoveset!A2:I112,9,FALSE)="Thunder",Backdoors!BD30,IF(VLOOKUP(tbMoveset!A94,tbMoveset!A2:I112,9,FALSE)="Ice",Backdoors!BE30,IF(VLOOKUP(tbMoveset!A94,tbMoveset!A2:I112,9,FALSE)="Dragon",Backdoors!BF30,Backdoors!BG30)))))/100,Backdoors!BG30/100),"")</f>
        <v>0</v>
      </c>
      <c r="GK94" s="49">
        <f>IFERROR(IF(VLOOKUP(A94,tbMoveset!A2:J112,10,FALSE)=TRUE,IF((Backdoors!AI12+IF(GI94&gt;=0.45,VLOOKUP(Calculator!E23,tbSkills!DH3:DI6,2,FALSE)+IF(AND(Calculator!B8=TRUE,Backdoors!BI30=TRUE),VLOOKUP(Calculator!E23,tbSkills!DH3:DJ6,3,FALSE),0),0))&gt;=0,1+(Backdoors!AL2*(IF((Backdoors!AI12+IF(GI94&gt;=0.45,VLOOKUP(Calculator!E23,tbSkills!DH3:DI6,2,FALSE)+IF(AND(Calculator!B8=TRUE,Backdoors!BI30=TRUE),VLOOKUP(Calculator!E23,tbSkills!DH3:DJ6,3,FALSE),0),0))&gt;=100,100,(Backdoors!AI12+IF(GI94&gt;=0.45,VLOOKUP(Calculator!E23,tbSkills!DH3:DI6,2,FALSE)+IF(AND(Calculator!B8=TRUE,Backdoors!BI30=TRUE),VLOOKUP(Calculator!E23,tbSkills!DH3:DJ6,3,FALSE),0),0)))/100)),(1-(0.25*((-Backdoors!AI12-IF(GI94&gt;=0.45,VLOOKUP(Calculator!E23,tbSkills!DH3:DI6,2,FALSE)+IF(AND(Calculator!B8=TRUE,Backdoors!BI30=TRUE),VLOOKUP(Calculator!E23,tbSkills!DH3:DJ6,3,FALSE),0),0))/100)))),1),"")</f>
        <v>1</v>
      </c>
      <c r="GL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I94)*GK94)*(VLOOKUP(A94,tbMoveset!A2:C112,3,FALSE)/100)*IF(VLOOKUP(A94,tbMoveset!A2:B112,2,FALSE)="Projectile",Backdoors!N10,Backdoors!N9),0),"")</f>
        <v/>
      </c>
      <c r="GM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I94&gt;=0.45,VLOOKUP(Calculator!E23,tbSkills!DH3:DI6,2,FALSE)+IF(AND(Calculator!B8=TRUE,Backdoors!BI30=TRUE),VLOOKUP(Calculator!E23,tbSkills!DH3:DJ6,3,FALSE),0),0))&gt;=100,100,(Backdoors!AI12+IF(GI94&gt;=0.45,VLOOKUP(Calculator!E23,tbSkills!DH3:DI6,2,FALSE)+IF(AND(Calculator!B8=TRUE,Backdoors!BI30=TRUE),VLOOKUP(Calculator!E23,tbSkills!DH3:DJ6,3,FALSE),0),0)))/100)),1))*IF(VLOOKUP(A94,tbMoveset!A2:K112,11,FALSE)=TRUE,Backdoors!AC5,1))*GJ94,0),"")</f>
        <v>0</v>
      </c>
      <c r="GN94" s="49">
        <f>VLOOKUP(A94,tbMoveset!A2:G112,7,FALSE)*IFERROR(IF(Backdoors!AI12&gt;=0,1+(IF(Calculator!E40&gt;0,VLOOKUP(Calculator!E40,tbSkills!AI3:AJ5,2,FALSE),Backdoors!AL4)*(IF((Backdoors!AI12+IF(GI94&gt;=0.45,VLOOKUP(Calculator!E23,tbSkills!DH3:DI6,2,FALSE)+IF(AND(Calculator!B8=TRUE,Backdoors!BI30=TRUE),VLOOKUP(Calculator!E23,tbSkills!DH3:DJ6,3,FALSE),0),0))&gt;=100,100,(Backdoors!AI12+IF(GI94&gt;=0.45,VLOOKUP(Calculator!E23,tbSkills!DH3:DI6,2,FALSE)+IF(AND(Calculator!B8=TRUE,Backdoors!BI30=TRUE),VLOOKUP(Calculator!E23,tbSkills!DH3:DJ6,3,FALSE),0),0)))/100)),1),1)</f>
        <v>0.7</v>
      </c>
      <c r="GO94" s="87">
        <f t="shared" si="78"/>
        <v>0</v>
      </c>
      <c r="GP94" s="86" t="str">
        <f>IFERROR(IF(VLOOKUP(A94,tbMoveset!A2:B112,2,FALSE)="Sever",Backdoors!AY31/100,IF(VLOOKUP(A94,tbMoveset!A2:B112,2,FALSE)="Blunt",Backdoors!AZ31/100,Backdoors!BA31/100)),"")</f>
        <v/>
      </c>
      <c r="GQ94" s="49">
        <f>IFERROR(IF(VLOOKUP(tbMoveset!A94,tbMoveset!A2:H112,8,FALSE)="Other",IF(VLOOKUP(tbMoveset!A94,tbMoveset!A2:I112,9,FALSE)="Fire",Backdoors!BB31,IF(VLOOKUP(tbMoveset!A94,tbMoveset!A2:I112,9,FALSE)="Water",Backdoors!BC31,IF(VLOOKUP(tbMoveset!A94,tbMoveset!A2:I112,9,FALSE)="Thunder",Backdoors!BD31,IF(VLOOKUP(tbMoveset!A94,tbMoveset!A2:I112,9,FALSE)="Ice",Backdoors!BE31,IF(VLOOKUP(tbMoveset!A94,tbMoveset!A2:I112,9,FALSE)="Dragon",Backdoors!BF31,Backdoors!BG31)))))/100,Backdoors!BG31/100),"")</f>
        <v>0</v>
      </c>
      <c r="GR94" s="49">
        <f>IFERROR(IF(VLOOKUP(A94,tbMoveset!A2:J112,10,FALSE)=TRUE,IF((Backdoors!AI12+IF(GP94&gt;=0.45,VLOOKUP(Calculator!E23,tbSkills!DH3:DI6,2,FALSE)+IF(AND(Calculator!B8=TRUE,Backdoors!BI31=TRUE),VLOOKUP(Calculator!E23,tbSkills!DH3:DJ6,3,FALSE),0),0))&gt;=0,1+(Backdoors!AL2*(IF((Backdoors!AI12+IF(GP94&gt;=0.45,VLOOKUP(Calculator!E23,tbSkills!DH3:DI6,2,FALSE)+IF(AND(Calculator!B8=TRUE,Backdoors!BI31=TRUE),VLOOKUP(Calculator!E23,tbSkills!DH3:DJ6,3,FALSE),0),0))&gt;=100,100,(Backdoors!AI12+IF(GP94&gt;=0.45,VLOOKUP(Calculator!E23,tbSkills!DH3:DI6,2,FALSE)+IF(AND(Calculator!B8=TRUE,Backdoors!BI31=TRUE),VLOOKUP(Calculator!E23,tbSkills!DH3:DJ6,3,FALSE),0),0)))/100)),(1-(0.25*((-Backdoors!AI12-IF(GP94&gt;=0.45,VLOOKUP(Calculator!E23,tbSkills!DH3:DI6,2,FALSE)+IF(AND(Calculator!B8=TRUE,Backdoors!BI31=TRUE),VLOOKUP(Calculator!E23,tbSkills!DH3:DJ6,3,FALSE),0),0))/100)))),1),"")</f>
        <v>1</v>
      </c>
      <c r="GS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P94)*GR94)*(VLOOKUP(A94,tbMoveset!A2:C112,3,FALSE)/100)*IF(VLOOKUP(A94,tbMoveset!A2:B112,2,FALSE)="Projectile",Backdoors!N10,Backdoors!N9),0),"")</f>
        <v/>
      </c>
      <c r="GT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P94&gt;=0.45,VLOOKUP(Calculator!E23,tbSkills!DH3:DI6,2,FALSE)+IF(AND(Calculator!B8=TRUE,Backdoors!BI31=TRUE),VLOOKUP(Calculator!E23,tbSkills!DH3:DJ6,3,FALSE),0),0))&gt;=100,100,(Backdoors!AI12+IF(GP94&gt;=0.45,VLOOKUP(Calculator!E23,tbSkills!DH3:DI6,2,FALSE)+IF(AND(Calculator!B8=TRUE,Backdoors!BI31=TRUE),VLOOKUP(Calculator!E23,tbSkills!DH3:DJ6,3,FALSE),0),0)))/100)),1))*IF(VLOOKUP(A94,tbMoveset!A2:K112,11,FALSE)=TRUE,Backdoors!AC5,1))*GQ94,0),"")</f>
        <v>0</v>
      </c>
      <c r="GU94" s="49">
        <f>VLOOKUP(A94,tbMoveset!A2:G112,7,FALSE)*IFERROR(IF(Backdoors!AI12&gt;=0,1+(IF(Calculator!E40&gt;0,VLOOKUP(Calculator!E40,tbSkills!AI3:AJ5,2,FALSE),Backdoors!AL4)*(IF((Backdoors!AI12+IF(GP94&gt;=0.45,VLOOKUP(Calculator!E23,tbSkills!DH3:DI6,2,FALSE)+IF(AND(Calculator!B8=TRUE,Backdoors!BI31=TRUE),VLOOKUP(Calculator!E23,tbSkills!DH3:DJ6,3,FALSE),0),0))&gt;=100,100,(Backdoors!AI12+IF(GP94&gt;=0.45,VLOOKUP(Calculator!E23,tbSkills!DH3:DI6,2,FALSE)+IF(AND(Calculator!B8=TRUE,Backdoors!BI31=TRUE),VLOOKUP(Calculator!E23,tbSkills!DH3:DJ6,3,FALSE),0),0)))/100)),1),1)</f>
        <v>0.7</v>
      </c>
      <c r="GV94" s="87">
        <f t="shared" si="79"/>
        <v>0</v>
      </c>
      <c r="GW94" s="86" t="str">
        <f>IFERROR(IF(VLOOKUP(A94,tbMoveset!A2:B112,2,FALSE)="Sever",Backdoors!AY32/100,IF(VLOOKUP(A94,tbMoveset!A2:B112,2,FALSE)="Blunt",Backdoors!AZ32/100,Backdoors!BA32/100)),"")</f>
        <v/>
      </c>
      <c r="GX94" s="49">
        <f>IFERROR(IF(VLOOKUP(tbMoveset!A94,tbMoveset!A2:H112,8,FALSE)="Other",IF(VLOOKUP(tbMoveset!A94,tbMoveset!A2:I112,9,FALSE)="Fire",Backdoors!BB32,IF(VLOOKUP(tbMoveset!A94,tbMoveset!A2:I112,9,FALSE)="Water",Backdoors!BC32,IF(VLOOKUP(tbMoveset!A94,tbMoveset!A2:I112,9,FALSE)="Thunder",Backdoors!BD32,IF(VLOOKUP(tbMoveset!A94,tbMoveset!A2:I112,9,FALSE)="Ice",Backdoors!BE32,IF(VLOOKUP(tbMoveset!A94,tbMoveset!A2:I112,9,FALSE)="Dragon",Backdoors!BF32,Backdoors!BG32)))))/100,Backdoors!BG32/100),"")</f>
        <v>0</v>
      </c>
      <c r="GY94" s="49">
        <f>IFERROR(IF(VLOOKUP(A94,tbMoveset!A2:J112,10,FALSE)=TRUE,IF((Backdoors!AI12+IF(GW94&gt;=0.45,VLOOKUP(Calculator!E23,tbSkills!DH3:DI6,2,FALSE)+IF(AND(Calculator!B8=TRUE,Backdoors!BI32=TRUE),VLOOKUP(Calculator!E23,tbSkills!DH3:DJ6,3,FALSE),0),0))&gt;=0,1+(Backdoors!AL2*(IF((Backdoors!AI12+IF(GW94&gt;=0.45,VLOOKUP(Calculator!E23,tbSkills!DH3:DI6,2,FALSE)+IF(AND(Calculator!B8=TRUE,Backdoors!BI32=TRUE),VLOOKUP(Calculator!E23,tbSkills!DH3:DJ6,3,FALSE),0),0))&gt;=100,100,(Backdoors!AI12+IF(GW94&gt;=0.45,VLOOKUP(Calculator!E23,tbSkills!DH3:DI6,2,FALSE)+IF(AND(Calculator!B8=TRUE,Backdoors!BI32=TRUE),VLOOKUP(Calculator!E23,tbSkills!DH3:DJ6,3,FALSE),0),0)))/100)),(1-(0.25*((-Backdoors!AI12-IF(GW94&gt;=0.45,VLOOKUP(Calculator!E23,tbSkills!DH3:DI6,2,FALSE)+IF(AND(Calculator!B8=TRUE,Backdoors!BI32=TRUE),VLOOKUP(Calculator!E23,tbSkills!DH3:DJ6,3,FALSE),0),0))/100)))),1),"")</f>
        <v>1</v>
      </c>
      <c r="GZ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W94)*GY94)*(VLOOKUP(A94,tbMoveset!A2:C112,3,FALSE)/100)*IF(VLOOKUP(A94,tbMoveset!A2:B112,2,FALSE)="Projectile",Backdoors!N10,Backdoors!N9),0),"")</f>
        <v/>
      </c>
      <c r="HA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W94&gt;=0.45,VLOOKUP(Calculator!E23,tbSkills!DH3:DI6,2,FALSE)+IF(AND(Calculator!B8=TRUE,Backdoors!BI32=TRUE),VLOOKUP(Calculator!E23,tbSkills!DH3:DJ6,3,FALSE),0),0))&gt;=100,100,(Backdoors!AI12+IF(GW94&gt;=0.45,VLOOKUP(Calculator!E23,tbSkills!DH3:DI6,2,FALSE)+IF(AND(Calculator!B8=TRUE,Backdoors!BI32=TRUE),VLOOKUP(Calculator!E23,tbSkills!DH3:DJ6,3,FALSE),0),0)))/100)),1))*IF(VLOOKUP(A94,tbMoveset!A2:K112,11,FALSE)=TRUE,Backdoors!AC5,1))*GX94,0),"")</f>
        <v>0</v>
      </c>
      <c r="HB94" s="49">
        <f>VLOOKUP(A94,tbMoveset!A2:G112,7,FALSE)*IFERROR(IF(Backdoors!AI12&gt;=0,1+(IF(Calculator!E40&gt;0,VLOOKUP(Calculator!E40,tbSkills!AI3:AJ5,2,FALSE),Backdoors!AL4)*(IF((Backdoors!AI12+IF(GW94&gt;=0.45,VLOOKUP(Calculator!E23,tbSkills!DH3:DI6,2,FALSE)+IF(AND(Calculator!B8=TRUE,Backdoors!BI32=TRUE),VLOOKUP(Calculator!E23,tbSkills!DH3:DJ6,3,FALSE),0),0))&gt;=100,100,(Backdoors!AI12+IF(GW94&gt;=0.45,VLOOKUP(Calculator!E23,tbSkills!DH3:DI6,2,FALSE)+IF(AND(Calculator!B8=TRUE,Backdoors!BI32=TRUE),VLOOKUP(Calculator!E23,tbSkills!DH3:DJ6,3,FALSE),0),0)))/100)),1),1)</f>
        <v>0.7</v>
      </c>
      <c r="HC94" s="87">
        <f t="shared" si="80"/>
        <v>0</v>
      </c>
      <c r="HD94" s="86" t="str">
        <f>IFERROR(IF(VLOOKUP(A94,tbMoveset!A2:B112,2,FALSE)="Sever",Backdoors!AY33/100,IF(VLOOKUP(A94,tbMoveset!A2:B112,2,FALSE)="Blunt",Backdoors!AZ33/100,Backdoors!BA33/100)),"")</f>
        <v/>
      </c>
      <c r="HE94" s="49">
        <f>IFERROR(IF(VLOOKUP(tbMoveset!A94,tbMoveset!A2:H112,8,FALSE)="Other",IF(VLOOKUP(tbMoveset!A94,tbMoveset!A2:I112,9,FALSE)="Fire",Backdoors!BB33,IF(VLOOKUP(tbMoveset!A94,tbMoveset!A2:I112,9,FALSE)="Water",Backdoors!BC33,IF(VLOOKUP(tbMoveset!A94,tbMoveset!A2:I112,9,FALSE)="Thunder",Backdoors!BD33,IF(VLOOKUP(tbMoveset!A94,tbMoveset!A2:I112,9,FALSE)="Ice",Backdoors!BE33,IF(VLOOKUP(tbMoveset!A94,tbMoveset!A2:I112,9,FALSE)="Dragon",Backdoors!BF33,Backdoors!BG33)))))/100,Backdoors!BG33/100),"")</f>
        <v>0</v>
      </c>
      <c r="HF94" s="49">
        <f>IFERROR(IF(VLOOKUP(A94,tbMoveset!A2:J112,10,FALSE)=TRUE,IF((Backdoors!AI12+IF(HD94&gt;=0.45,VLOOKUP(Calculator!E23,tbSkills!DH3:DI6,2,FALSE)+IF(AND(Calculator!B8=TRUE,Backdoors!BI33=TRUE),VLOOKUP(Calculator!E23,tbSkills!DH3:DJ6,3,FALSE),0),0))&gt;=0,1+(Backdoors!AL2*(IF((Backdoors!AI12+IF(HD94&gt;=0.45,VLOOKUP(Calculator!E23,tbSkills!DH3:DI6,2,FALSE)+IF(AND(Calculator!B8=TRUE,Backdoors!BI33=TRUE),VLOOKUP(Calculator!E23,tbSkills!DH3:DJ6,3,FALSE),0),0))&gt;=100,100,(Backdoors!AI12+IF(HD94&gt;=0.45,VLOOKUP(Calculator!E23,tbSkills!DH3:DI6,2,FALSE)+IF(AND(Calculator!B8=TRUE,Backdoors!BI33=TRUE),VLOOKUP(Calculator!E23,tbSkills!DH3:DJ6,3,FALSE),0),0)))/100)),(1-(0.25*((-Backdoors!AI12-IF(HD94&gt;=0.45,VLOOKUP(Calculator!E23,tbSkills!DH3:DI6,2,FALSE)+IF(AND(Calculator!B8=TRUE,Backdoors!BI33=TRUE),VLOOKUP(Calculator!E23,tbSkills!DH3:DJ6,3,FALSE),0),0))/100)))),1),"")</f>
        <v>1</v>
      </c>
      <c r="HG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D94)*HF94)*(VLOOKUP(A94,tbMoveset!A2:C112,3,FALSE)/100)*IF(VLOOKUP(A94,tbMoveset!A2:B112,2,FALSE)="Projectile",Backdoors!N10,Backdoors!N9),0),"")</f>
        <v/>
      </c>
      <c r="HH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D94&gt;=0.45,VLOOKUP(Calculator!E23,tbSkills!DH3:DI6,2,FALSE)+IF(AND(Calculator!B8=TRUE,Backdoors!BI33=TRUE),VLOOKUP(Calculator!E23,tbSkills!DH3:DJ6,3,FALSE),0),0))&gt;=100,100,(Backdoors!AI12+IF(HD94&gt;=0.45,VLOOKUP(Calculator!E23,tbSkills!DH3:DI6,2,FALSE)+IF(AND(Calculator!B8=TRUE,Backdoors!BI33=TRUE),VLOOKUP(Calculator!E23,tbSkills!DH3:DJ6,3,FALSE),0),0)))/100)),1))*IF(VLOOKUP(A94,tbMoveset!A2:K112,11,FALSE)=TRUE,Backdoors!AC5,1))*HE94,0),"")</f>
        <v>0</v>
      </c>
      <c r="HI94" s="49">
        <f>VLOOKUP(A94,tbMoveset!A2:G112,7,FALSE)*IFERROR(IF(Backdoors!AI12&gt;=0,1+(IF(Calculator!E40&gt;0,VLOOKUP(Calculator!E40,tbSkills!AI3:AJ5,2,FALSE),Backdoors!AL4)*(IF((Backdoors!AI12+IF(HD94&gt;=0.45,VLOOKUP(Calculator!E23,tbSkills!DH3:DI6,2,FALSE)+IF(AND(Calculator!B8=TRUE,Backdoors!BI33=TRUE),VLOOKUP(Calculator!E23,tbSkills!DH3:DJ6,3,FALSE),0),0))&gt;=100,100,(Backdoors!AI12+IF(HD94&gt;=0.45,VLOOKUP(Calculator!E23,tbSkills!DH3:DI6,2,FALSE)+IF(AND(Calculator!B8=TRUE,Backdoors!BI33=TRUE),VLOOKUP(Calculator!E23,tbSkills!DH3:DJ6,3,FALSE),0),0)))/100)),1),1)</f>
        <v>0.7</v>
      </c>
      <c r="HJ94" s="87">
        <f t="shared" si="81"/>
        <v>0</v>
      </c>
      <c r="HK94" s="86" t="str">
        <f>IFERROR(IF(VLOOKUP(A94,tbMoveset!A2:B112,2,FALSE)="Sever",Backdoors!AY34/100,IF(VLOOKUP(A94,tbMoveset!A2:B112,2,FALSE)="Blunt",Backdoors!AZ34/100,Backdoors!BA34/100)),"")</f>
        <v/>
      </c>
      <c r="HL94" s="49">
        <f>IFERROR(IF(VLOOKUP(tbMoveset!A94,tbMoveset!A2:H112,8,FALSE)="Other",IF(VLOOKUP(tbMoveset!A94,tbMoveset!A2:I112,9,FALSE)="Fire",Backdoors!BB34,IF(VLOOKUP(tbMoveset!A94,tbMoveset!A2:I112,9,FALSE)="Water",Backdoors!BC34,IF(VLOOKUP(tbMoveset!A94,tbMoveset!A2:I112,9,FALSE)="Thunder",Backdoors!BD34,IF(VLOOKUP(tbMoveset!A94,tbMoveset!A2:I112,9,FALSE)="Ice",Backdoors!BE34,IF(VLOOKUP(tbMoveset!A94,tbMoveset!A2:I112,9,FALSE)="Dragon",Backdoors!BF34,Backdoors!BG34)))))/100,Backdoors!BG34/100),"")</f>
        <v>0</v>
      </c>
      <c r="HM94" s="49">
        <f>IFERROR(IF(VLOOKUP(A94,tbMoveset!A2:J112,10,FALSE)=TRUE,IF((Backdoors!AI12+IF(HK94&gt;=0.45,VLOOKUP(Calculator!E23,tbSkills!DH3:DI6,2,FALSE)+IF(AND(Calculator!B8=TRUE,Backdoors!BI34=TRUE),VLOOKUP(Calculator!E23,tbSkills!DH3:DJ6,3,FALSE),0),0))&gt;=0,1+(Backdoors!AL2*(IF((Backdoors!AI12+IF(HK94&gt;=0.45,VLOOKUP(Calculator!E23,tbSkills!DH3:DI6,2,FALSE)+IF(AND(Calculator!B8=TRUE,Backdoors!BI34=TRUE),VLOOKUP(Calculator!E23,tbSkills!DH3:DJ6,3,FALSE),0),0))&gt;=100,100,(Backdoors!AI12+IF(HK94&gt;=0.45,VLOOKUP(Calculator!E23,tbSkills!DH3:DI6,2,FALSE)+IF(AND(Calculator!B8=TRUE,Backdoors!BI34=TRUE),VLOOKUP(Calculator!E23,tbSkills!DH3:DJ6,3,FALSE),0),0)))/100)),(1-(0.25*((-Backdoors!AI12-IF(HK94&gt;=0.45,VLOOKUP(Calculator!E23,tbSkills!DH3:DI6,2,FALSE)+IF(AND(Calculator!B8=TRUE,Backdoors!BI34=TRUE),VLOOKUP(Calculator!E23,tbSkills!DH3:DJ6,3,FALSE),0),0))/100)))),1),"")</f>
        <v>1</v>
      </c>
      <c r="HN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K94)*HM94)*(VLOOKUP(A94,tbMoveset!A2:C112,3,FALSE)/100)*IF(VLOOKUP(A94,tbMoveset!A2:B112,2,FALSE)="Projectile",Backdoors!N10,Backdoors!N9),0),"")</f>
        <v/>
      </c>
      <c r="HO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K94&gt;=0.45,VLOOKUP(Calculator!E23,tbSkills!DH3:DI6,2,FALSE)+IF(AND(Calculator!B8=TRUE,Backdoors!BI34=TRUE),VLOOKUP(Calculator!E23,tbSkills!DH3:DJ6,3,FALSE),0),0))&gt;=100,100,(Backdoors!AI12+IF(HK94&gt;=0.45,VLOOKUP(Calculator!E23,tbSkills!DH3:DI6,2,FALSE)+IF(AND(Calculator!B8=TRUE,Backdoors!BI34=TRUE),VLOOKUP(Calculator!E23,tbSkills!DH3:DJ6,3,FALSE),0),0)))/100)),1))*IF(VLOOKUP(A94,tbMoveset!A2:K112,11,FALSE)=TRUE,Backdoors!AC5,1))*HL94,0),"")</f>
        <v>0</v>
      </c>
      <c r="HP94" s="49">
        <f>VLOOKUP(A94,tbMoveset!A2:G112,7,FALSE)*IFERROR(IF(Backdoors!AI12&gt;=0,1+(IF(Calculator!E40&gt;0,VLOOKUP(Calculator!E40,tbSkills!AI3:AJ5,2,FALSE),Backdoors!AL4)*(IF((Backdoors!AI12+IF(HK94&gt;=0.45,VLOOKUP(Calculator!E23,tbSkills!DH3:DI6,2,FALSE)+IF(AND(Calculator!B8=TRUE,Backdoors!BI34=TRUE),VLOOKUP(Calculator!E23,tbSkills!DH3:DJ6,3,FALSE),0),0))&gt;=100,100,(Backdoors!AI12+IF(HK94&gt;=0.45,VLOOKUP(Calculator!E23,tbSkills!DH3:DI6,2,FALSE)+IF(AND(Calculator!B8=TRUE,Backdoors!BI34=TRUE),VLOOKUP(Calculator!E23,tbSkills!DH3:DJ6,3,FALSE),0),0)))/100)),1),1)</f>
        <v>0.7</v>
      </c>
      <c r="HQ94" s="87">
        <f t="shared" si="82"/>
        <v>0</v>
      </c>
      <c r="HR94" s="86" t="str">
        <f>IFERROR(IF(VLOOKUP(A94,tbMoveset!A2:B112,2,FALSE)="Sever",Backdoors!AY35/100,IF(VLOOKUP(A94,tbMoveset!A2:B112,2,FALSE)="Blunt",Backdoors!AZ35/100,Backdoors!BA35/100)),"")</f>
        <v/>
      </c>
      <c r="HS94" s="49">
        <f>IFERROR(IF(VLOOKUP(tbMoveset!A94,tbMoveset!A2:H112,8,FALSE)="Other",IF(VLOOKUP(tbMoveset!A94,tbMoveset!A2:I112,9,FALSE)="Fire",Backdoors!BB35,IF(VLOOKUP(tbMoveset!A94,tbMoveset!A2:I112,9,FALSE)="Water",Backdoors!BC35,IF(VLOOKUP(tbMoveset!A94,tbMoveset!A2:I112,9,FALSE)="Thunder",Backdoors!BD35,IF(VLOOKUP(tbMoveset!A94,tbMoveset!A2:I112,9,FALSE)="Ice",Backdoors!BE35,IF(VLOOKUP(tbMoveset!A94,tbMoveset!A2:I112,9,FALSE)="Dragon",Backdoors!BF35,Backdoors!BG35)))))/100,Backdoors!BG35/100),"")</f>
        <v>0</v>
      </c>
      <c r="HT94" s="49">
        <f>IFERROR(IF(VLOOKUP(A94,tbMoveset!A2:J112,10,FALSE)=TRUE,IF((Backdoors!AI12+IF(HR94&gt;=0.45,VLOOKUP(Calculator!E23,tbSkills!DH3:DI6,2,FALSE)+IF(AND(Calculator!B8=TRUE,Backdoors!BI35=TRUE),VLOOKUP(Calculator!E23,tbSkills!DH3:DJ6,3,FALSE),0),0))&gt;=0,1+(Backdoors!AL2*(IF((Backdoors!AI12+IF(HR94&gt;=0.45,VLOOKUP(Calculator!E23,tbSkills!DH3:DI6,2,FALSE)+IF(AND(Calculator!B8=TRUE,Backdoors!BI35=TRUE),VLOOKUP(Calculator!E23,tbSkills!DH3:DJ6,3,FALSE),0),0))&gt;=100,100,(Backdoors!AI12+IF(HR94&gt;=0.45,VLOOKUP(Calculator!E23,tbSkills!DH3:DI6,2,FALSE)+IF(AND(Calculator!B8=TRUE,Backdoors!BI35=TRUE),VLOOKUP(Calculator!E23,tbSkills!DH3:DJ6,3,FALSE),0),0)))/100)),(1-(0.25*((-Backdoors!AI12-IF(HR94&gt;=0.45,VLOOKUP(Calculator!E23,tbSkills!DH3:DI6,2,FALSE)+IF(AND(Calculator!B8=TRUE,Backdoors!BI35=TRUE),VLOOKUP(Calculator!E23,tbSkills!DH3:DJ6,3,FALSE),0),0))/100)))),1),"")</f>
        <v>1</v>
      </c>
      <c r="HU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R94)*HT94)*(VLOOKUP(A94,tbMoveset!A2:C112,3,FALSE)/100)*IF(VLOOKUP(A94,tbMoveset!A2:B112,2,FALSE)="Projectile",Backdoors!N10,Backdoors!N9),0),"")</f>
        <v/>
      </c>
      <c r="HV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R94&gt;=0.45,VLOOKUP(Calculator!E23,tbSkills!DH3:DI6,2,FALSE)+IF(AND(Calculator!B8=TRUE,Backdoors!BI35=TRUE),VLOOKUP(Calculator!E23,tbSkills!DH3:DJ6,3,FALSE),0),0))&gt;=100,100,(Backdoors!AI12+IF(HR94&gt;=0.45,VLOOKUP(Calculator!E23,tbSkills!DH3:DI6,2,FALSE)+IF(AND(Calculator!B8=TRUE,Backdoors!BI35=TRUE),VLOOKUP(Calculator!E23,tbSkills!DH3:DJ6,3,FALSE),0),0)))/100)),1))*IF(VLOOKUP(A94,tbMoveset!A2:K112,11,FALSE)=TRUE,Backdoors!AC5,1))*HS94,0),"")</f>
        <v>0</v>
      </c>
      <c r="HW94" s="49">
        <f>VLOOKUP(A94,tbMoveset!A2:G112,7,FALSE)*IFERROR(IF(Backdoors!AI12&gt;=0,1+(IF(Calculator!E40&gt;0,VLOOKUP(Calculator!E40,tbSkills!AI3:AJ5,2,FALSE),Backdoors!AL4)*(IF((Backdoors!AI12+IF(HR94&gt;=0.45,VLOOKUP(Calculator!E23,tbSkills!DH3:DI6,2,FALSE)+IF(AND(Calculator!B8=TRUE,Backdoors!BI35=TRUE),VLOOKUP(Calculator!E23,tbSkills!DH3:DJ6,3,FALSE),0),0))&gt;=100,100,(Backdoors!AI12+IF(HR94&gt;=0.45,VLOOKUP(Calculator!E23,tbSkills!DH3:DI6,2,FALSE)+IF(AND(Calculator!B8=TRUE,Backdoors!BI35=TRUE),VLOOKUP(Calculator!E23,tbSkills!DH3:DJ6,3,FALSE),0),0)))/100)),1),1)</f>
        <v>0.7</v>
      </c>
      <c r="HX94" s="87">
        <f t="shared" si="83"/>
        <v>0</v>
      </c>
      <c r="HY94" s="86" t="str">
        <f>IFERROR(IF(VLOOKUP(A94,tbMoveset!A2:B112,2,FALSE)="Sever",Backdoors!AY36/100,IF(VLOOKUP(A94,tbMoveset!A2:B112,2,FALSE)="Blunt",Backdoors!AZ36/100,Backdoors!BA36/100)),"")</f>
        <v/>
      </c>
      <c r="HZ94" s="49">
        <f>IFERROR(IF(VLOOKUP(tbMoveset!A94,tbMoveset!A2:H112,8,FALSE)="Other",IF(VLOOKUP(tbMoveset!A94,tbMoveset!A2:I112,9,FALSE)="Fire",Backdoors!BB36,IF(VLOOKUP(tbMoveset!A94,tbMoveset!A2:I112,9,FALSE)="Water",Backdoors!BC36,IF(VLOOKUP(tbMoveset!A94,tbMoveset!A2:I112,9,FALSE)="Thunder",Backdoors!BD36,IF(VLOOKUP(tbMoveset!A94,tbMoveset!A2:I112,9,FALSE)="Ice",Backdoors!BE36,IF(VLOOKUP(tbMoveset!A94,tbMoveset!A2:I112,9,FALSE)="Dragon",Backdoors!BF36,Backdoors!BG36)))))/100,Backdoors!BG36/100),"")</f>
        <v>0</v>
      </c>
      <c r="IA94" s="49">
        <f>IFERROR(IF(VLOOKUP(A94,tbMoveset!A2:J112,10,FALSE)=TRUE,IF((Backdoors!AI12+IF(HY94&gt;=0.45,VLOOKUP(Calculator!E23,tbSkills!DH3:DI6,2,FALSE)+IF(AND(Calculator!B8=TRUE,Backdoors!BI36=TRUE),VLOOKUP(Calculator!E23,tbSkills!DH3:DJ6,3,FALSE),0),0))&gt;=0,1+(Backdoors!AL2*(IF((Backdoors!AI12+IF(HY94&gt;=0.45,VLOOKUP(Calculator!E23,tbSkills!DH3:DI6,2,FALSE)+IF(AND(Calculator!B8=TRUE,Backdoors!BI36=TRUE),VLOOKUP(Calculator!E23,tbSkills!DH3:DJ6,3,FALSE),0),0))&gt;=100,100,(Backdoors!AI12+IF(HY94&gt;=0.45,VLOOKUP(Calculator!E23,tbSkills!DH3:DI6,2,FALSE)+IF(AND(Calculator!B8=TRUE,Backdoors!BI36=TRUE),VLOOKUP(Calculator!E23,tbSkills!DH3:DJ6,3,FALSE),0),0)))/100)),(1-(0.25*((-Backdoors!AI12-IF(HY94&gt;=0.45,VLOOKUP(Calculator!E23,tbSkills!DH3:DI6,2,FALSE)+IF(AND(Calculator!B8=TRUE,Backdoors!BI36=TRUE),VLOOKUP(Calculator!E23,tbSkills!DH3:DJ6,3,FALSE),0),0))/100)))),1),"")</f>
        <v>1</v>
      </c>
      <c r="IB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Y94)*IA94)*(VLOOKUP(A94,tbMoveset!A2:C112,3,FALSE)/100)*IF(VLOOKUP(A94,tbMoveset!A2:B112,2,FALSE)="Projectile",Backdoors!N10,Backdoors!N9),0),"")</f>
        <v/>
      </c>
      <c r="IC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Y94&gt;=0.45,VLOOKUP(Calculator!E23,tbSkills!DH3:DI6,2,FALSE)+IF(AND(Calculator!B8=TRUE,Backdoors!BI36=TRUE),VLOOKUP(Calculator!E23,tbSkills!DH3:DJ6,3,FALSE),0),0))&gt;=100,100,(Backdoors!AI12+IF(HY94&gt;=0.45,VLOOKUP(Calculator!E23,tbSkills!DH3:DI6,2,FALSE)+IF(AND(Calculator!B8=TRUE,Backdoors!BI36=TRUE),VLOOKUP(Calculator!E23,tbSkills!DH3:DJ6,3,FALSE),0),0)))/100)),1))*IF(VLOOKUP(A94,tbMoveset!A2:K112,11,FALSE)=TRUE,Backdoors!AC5,1))*HZ94,0),"")</f>
        <v>0</v>
      </c>
      <c r="ID94" s="49">
        <f>VLOOKUP(A94,tbMoveset!A2:G112,7,FALSE)*IFERROR(IF(Backdoors!AI12&gt;=0,1+(IF(Calculator!E40&gt;0,VLOOKUP(Calculator!E40,tbSkills!AI3:AJ5,2,FALSE),Backdoors!AL4)*(IF((Backdoors!AI12+IF(HY94&gt;=0.45,VLOOKUP(Calculator!E23,tbSkills!DH3:DI6,2,FALSE)+IF(AND(Calculator!B8=TRUE,Backdoors!BI36=TRUE),VLOOKUP(Calculator!E23,tbSkills!DH3:DJ6,3,FALSE),0),0))&gt;=100,100,(Backdoors!AI12+IF(HY94&gt;=0.45,VLOOKUP(Calculator!E23,tbSkills!DH3:DI6,2,FALSE)+IF(AND(Calculator!B8=TRUE,Backdoors!BI36=TRUE),VLOOKUP(Calculator!E23,tbSkills!DH3:DJ6,3,FALSE),0),0)))/100)),1),1)</f>
        <v>0.7</v>
      </c>
      <c r="IE94" s="87">
        <f t="shared" si="84"/>
        <v>0</v>
      </c>
      <c r="IF94" s="86" t="str">
        <f>IFERROR(IF(VLOOKUP(A94,tbMoveset!A2:B112,2,FALSE)="Sever",Backdoors!AY37/100,IF(VLOOKUP(A94,tbMoveset!A2:B112,2,FALSE)="Blunt",Backdoors!AZ37/100,Backdoors!BA37/100)),"")</f>
        <v/>
      </c>
      <c r="IG94" s="49">
        <f>IFERROR(IF(VLOOKUP(tbMoveset!A94,tbMoveset!A2:H112,8,FALSE)="Other",IF(VLOOKUP(tbMoveset!A94,tbMoveset!A2:I112,9,FALSE)="Fire",Backdoors!BB37,IF(VLOOKUP(tbMoveset!A94,tbMoveset!A2:I112,9,FALSE)="Water",Backdoors!BC37,IF(VLOOKUP(tbMoveset!A94,tbMoveset!A2:I112,9,FALSE)="Thunder",Backdoors!BD37,IF(VLOOKUP(tbMoveset!A94,tbMoveset!A2:I112,9,FALSE)="Ice",Backdoors!BE37,IF(VLOOKUP(tbMoveset!A94,tbMoveset!A2:I112,9,FALSE)="Dragon",Backdoors!BF37,Backdoors!BG37)))))/100,Backdoors!BG37/100),"")</f>
        <v>0</v>
      </c>
      <c r="IH94" s="49">
        <f>IFERROR(IF(VLOOKUP(A94,tbMoveset!A2:J112,10,FALSE)=TRUE,IF((Backdoors!AI12+IF(IF94&gt;=0.45,VLOOKUP(Calculator!E23,tbSkills!DH3:DI6,2,FALSE)+IF(AND(Calculator!B8=TRUE,Backdoors!BI37=TRUE),VLOOKUP(Calculator!E23,tbSkills!DH3:DJ6,3,FALSE),0),0))&gt;=0,1+(Backdoors!AL2*(IF((Backdoors!AI12+IF(IF94&gt;=0.45,VLOOKUP(Calculator!E23,tbSkills!DH3:DI6,2,FALSE)+IF(AND(Calculator!B8=TRUE,Backdoors!BI37=TRUE),VLOOKUP(Calculator!E23,tbSkills!DH3:DJ6,3,FALSE),0),0))&gt;=100,100,(Backdoors!AI12+IF(IF94&gt;=0.45,VLOOKUP(Calculator!E23,tbSkills!DH3:DI6,2,FALSE)+IF(AND(Calculator!B8=TRUE,Backdoors!BI37=TRUE),VLOOKUP(Calculator!E23,tbSkills!DH3:DJ6,3,FALSE),0),0)))/100)),(1-(0.25*((-Backdoors!AI12-IF(IF94&gt;=0.45,VLOOKUP(Calculator!E23,tbSkills!DH3:DI6,2,FALSE)+IF(AND(Calculator!B8=TRUE,Backdoors!BI37=TRUE),VLOOKUP(Calculator!E23,tbSkills!DH3:DJ6,3,FALSE),0),0))/100)))),1),"")</f>
        <v>1</v>
      </c>
      <c r="II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F94)*IH94)*(VLOOKUP(A94,tbMoveset!A2:C112,3,FALSE)/100)*IF(VLOOKUP(A94,tbMoveset!A2:B112,2,FALSE)="Projectile",Backdoors!N10,Backdoors!N9),0),"")</f>
        <v/>
      </c>
      <c r="IJ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IF94&gt;=0.45,VLOOKUP(Calculator!E23,tbSkills!DH3:DI6,2,FALSE)+IF(AND(Calculator!B8=TRUE,Backdoors!BI37=TRUE),VLOOKUP(Calculator!E23,tbSkills!DH3:DJ6,3,FALSE),0),0))&gt;=100,100,(Backdoors!AI12+IF(IF94&gt;=0.45,VLOOKUP(Calculator!E23,tbSkills!DH3:DI6,2,FALSE)+IF(AND(Calculator!B8=TRUE,Backdoors!BI37=TRUE),VLOOKUP(Calculator!E23,tbSkills!DH3:DJ6,3,FALSE),0),0)))/100)),1))*IF(VLOOKUP(A94,tbMoveset!A2:K112,11,FALSE)=TRUE,Backdoors!AC5,1))*IG94,0),"")</f>
        <v>0</v>
      </c>
      <c r="IK94" s="49">
        <f>VLOOKUP(A94,tbMoveset!A2:G112,7,FALSE)*IFERROR(IF(Backdoors!AI12&gt;=0,1+(IF(Calculator!E40&gt;0,VLOOKUP(Calculator!E40,tbSkills!AI3:AJ5,2,FALSE),Backdoors!AL4)*(IF((Backdoors!AI12+IF(IF94&gt;=0.45,VLOOKUP(Calculator!E23,tbSkills!DH3:DI6,2,FALSE)+IF(AND(Calculator!B8=TRUE,Backdoors!BI37=TRUE),VLOOKUP(Calculator!E23,tbSkills!DH3:DJ6,3,FALSE),0),0))&gt;=100,100,(Backdoors!AI12+IF(IF94&gt;=0.45,VLOOKUP(Calculator!E23,tbSkills!DH3:DI6,2,FALSE)+IF(AND(Calculator!B8=TRUE,Backdoors!BI37=TRUE),VLOOKUP(Calculator!E23,tbSkills!DH3:DJ6,3,FALSE),0),0)))/100)),1),1)</f>
        <v>0.7</v>
      </c>
      <c r="IL94" s="87">
        <f t="shared" si="85"/>
        <v>0</v>
      </c>
      <c r="IM94" s="86" t="str">
        <f>IFERROR(IF(VLOOKUP(A94,tbMoveset!A2:B112,2,FALSE)="Sever",Backdoors!AY38/100,IF(VLOOKUP(A94,tbMoveset!A2:B112,2,FALSE)="Blunt",Backdoors!AZ38/100,Backdoors!BA38/100)),"")</f>
        <v/>
      </c>
      <c r="IN94" s="49">
        <f>IFERROR(IF(VLOOKUP(tbMoveset!A94,tbMoveset!A2:H112,8,FALSE)="Other",IF(VLOOKUP(tbMoveset!A94,tbMoveset!A2:I112,9,FALSE)="Fire",Backdoors!BB38,IF(VLOOKUP(tbMoveset!A94,tbMoveset!A2:I112,9,FALSE)="Water",Backdoors!BC38,IF(VLOOKUP(tbMoveset!A94,tbMoveset!A2:I112,9,FALSE)="Thunder",Backdoors!BD38,IF(VLOOKUP(tbMoveset!A94,tbMoveset!A2:I112,9,FALSE)="Ice",Backdoors!BE38,IF(VLOOKUP(tbMoveset!A94,tbMoveset!A2:I112,9,FALSE)="Dragon",Backdoors!BF38,Backdoors!BG38)))))/100,Backdoors!BG38/100),"")</f>
        <v>0</v>
      </c>
      <c r="IO94" s="49">
        <f>IFERROR(IF(VLOOKUP(A94,tbMoveset!A2:J112,10,FALSE)=TRUE,IF((Backdoors!AI12+IF(IM94&gt;=0.45,VLOOKUP(Calculator!E23,tbSkills!DH3:DI6,2,FALSE)+IF(AND(Calculator!B8=TRUE,Backdoors!BI38=TRUE),VLOOKUP(Calculator!E23,tbSkills!DH3:DJ6,3,FALSE),0),0))&gt;=0,1+(Backdoors!AL2*(IF((Backdoors!AI12+IF(IM94&gt;=0.45,VLOOKUP(Calculator!E23,tbSkills!DH3:DI6,2,FALSE)+IF(AND(Calculator!B8=TRUE,Backdoors!BI38=TRUE),VLOOKUP(Calculator!E23,tbSkills!DH3:DJ6,3,FALSE),0),0))&gt;=100,100,(Backdoors!AI12+IF(IM94&gt;=0.45,VLOOKUP(Calculator!E23,tbSkills!DH3:DI6,2,FALSE)+IF(AND(Calculator!B8=TRUE,Backdoors!BI38=TRUE),VLOOKUP(Calculator!E23,tbSkills!DH3:DJ6,3,FALSE),0),0)))/100)),(1-(0.25*((-Backdoors!AI12-IF(IM94&gt;=0.45,VLOOKUP(Calculator!E23,tbSkills!DH3:DI6,2,FALSE)+IF(AND(Calculator!B8=TRUE,Backdoors!BI38=TRUE),VLOOKUP(Calculator!E23,tbSkills!DH3:DJ6,3,FALSE),0),0))/100)))),1),"")</f>
        <v>1</v>
      </c>
      <c r="IP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M94)*IO94)*(VLOOKUP(A94,tbMoveset!A2:C112,3,FALSE)/100)*IF(VLOOKUP(A94,tbMoveset!A2:B112,2,FALSE)="Projectile",Backdoors!N10,Backdoors!N9),0),"")</f>
        <v/>
      </c>
      <c r="IQ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IM94&gt;=0.45,VLOOKUP(Calculator!E23,tbSkills!DH3:DI6,2,FALSE)+IF(AND(Calculator!B8=TRUE,Backdoors!BI38=TRUE),VLOOKUP(Calculator!E23,tbSkills!DH3:DJ6,3,FALSE),0),0))&gt;=100,100,(Backdoors!AI12+IF(IM94&gt;=0.45,VLOOKUP(Calculator!E23,tbSkills!DH3:DI6,2,FALSE)+IF(AND(Calculator!B8=TRUE,Backdoors!BI38=TRUE),VLOOKUP(Calculator!E23,tbSkills!DH3:DJ6,3,FALSE),0),0)))/100)),1))*IF(VLOOKUP(A94,tbMoveset!A2:K112,11,FALSE)=TRUE,Backdoors!AC5,1))*IN94,0),"")</f>
        <v>0</v>
      </c>
      <c r="IR94" s="49">
        <f>VLOOKUP(A94,tbMoveset!A2:G112,7,FALSE)*IFERROR(IF(Backdoors!AI12&gt;=0,1+(IF(Calculator!E40&gt;0,VLOOKUP(Calculator!E40,tbSkills!AI3:AJ5,2,FALSE),Backdoors!AL4)*(IF((Backdoors!AI12+IF(IM94&gt;=0.45,VLOOKUP(Calculator!E23,tbSkills!DH3:DI6,2,FALSE)+IF(AND(Calculator!B8=TRUE,Backdoors!BI38=TRUE),VLOOKUP(Calculator!E23,tbSkills!DH3:DJ6,3,FALSE),0),0))&gt;=100,100,(Backdoors!AI12+IF(IM94&gt;=0.45,VLOOKUP(Calculator!E23,tbSkills!DH3:DI6,2,FALSE)+IF(AND(Calculator!B8=TRUE,Backdoors!BI38=TRUE),VLOOKUP(Calculator!E23,tbSkills!DH3:DJ6,3,FALSE),0),0)))/100)),1),1)</f>
        <v>0.7</v>
      </c>
      <c r="IS94" s="87">
        <f t="shared" si="86"/>
        <v>0</v>
      </c>
      <c r="IT94" s="86" t="str">
        <f>IFERROR(IF(VLOOKUP(A94,tbMoveset!A2:B112,2,FALSE)="Sever",Backdoors!AY39/100,IF(VLOOKUP(A94,tbMoveset!A2:B112,2,FALSE)="Blunt",Backdoors!AZ39/100,Backdoors!BA39/100)),"")</f>
        <v/>
      </c>
      <c r="IU94" s="49">
        <f>IFERROR(IF(VLOOKUP(tbMoveset!A94,tbMoveset!A2:H112,8,FALSE)="Other",IF(VLOOKUP(tbMoveset!A94,tbMoveset!A2:I112,9,FALSE)="Fire",Backdoors!BB39,IF(VLOOKUP(tbMoveset!A94,tbMoveset!A2:I112,9,FALSE)="Water",Backdoors!BC39,IF(VLOOKUP(tbMoveset!A94,tbMoveset!A2:I112,9,FALSE)="Thunder",Backdoors!BD39,IF(VLOOKUP(tbMoveset!A94,tbMoveset!A2:I112,9,FALSE)="Ice",Backdoors!BE39,IF(VLOOKUP(tbMoveset!A94,tbMoveset!A2:I112,9,FALSE)="Dragon",Backdoors!BF39,Backdoors!BG39)))))/100,Backdoors!BG39/100),"")</f>
        <v>0</v>
      </c>
      <c r="IV94" s="49">
        <f>IFERROR(IF(VLOOKUP(A94,tbMoveset!A2:J112,10,FALSE)=TRUE,IF((Backdoors!AI12+IF(IT94&gt;=0.45,VLOOKUP(Calculator!E23,tbSkills!DH3:DI6,2,FALSE)+IF(AND(Calculator!B8=TRUE,Backdoors!BI39=TRUE),VLOOKUP(Calculator!E23,tbSkills!DH3:DJ6,3,FALSE),0),0))&gt;=0,1+(Backdoors!AL2*(IF((Backdoors!AI12+IF(IT94&gt;=0.45,VLOOKUP(Calculator!E23,tbSkills!DH3:DI6,2,FALSE)+IF(AND(Calculator!B8=TRUE,Backdoors!BI39=TRUE),VLOOKUP(Calculator!E23,tbSkills!DH3:DJ6,3,FALSE),0),0))&gt;=100,100,(Backdoors!AI12+IF(IT94&gt;=0.45,VLOOKUP(Calculator!E23,tbSkills!DH3:DI6,2,FALSE)+IF(AND(Calculator!B8=TRUE,Backdoors!BI39=TRUE),VLOOKUP(Calculator!E23,tbSkills!DH3:DJ6,3,FALSE),0),0)))/100)),(1-(0.25*((-Backdoors!AI12-IF(IT94&gt;=0.45,VLOOKUP(Calculator!E23,tbSkills!DH3:DI6,2,FALSE)+IF(AND(Calculator!B8=TRUE,Backdoors!BI39=TRUE),VLOOKUP(Calculator!E23,tbSkills!DH3:DJ6,3,FALSE),0),0))/100)))),1),"")</f>
        <v>1</v>
      </c>
      <c r="IW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T94)*IV94)*(VLOOKUP(A94,tbMoveset!A2:C112,3,FALSE)/100)*IF(VLOOKUP(A94,tbMoveset!A2:B112,2,FALSE)="Projectile",Backdoors!N10,Backdoors!N9),0),"")</f>
        <v/>
      </c>
      <c r="IX94" s="49">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40&gt;0,VLOOKUP(Calculator!E40,tbSkills!AC3:AD5,2,FALSE),Backdoors!AL3)*(IF((Backdoors!AI12+IF(IT94&gt;=0.45,VLOOKUP(Calculator!E23,tbSkills!DH3:DI6,2,FALSE)+IF(AND(Calculator!B8=TRUE,Backdoors!BI39=TRUE),VLOOKUP(Calculator!E23,tbSkills!DH3:DJ6,3,FALSE),0),0))&gt;=100,100,(Backdoors!AI12+IF(IT94&gt;=0.45,VLOOKUP(Calculator!E23,tbSkills!DH3:DI6,2,FALSE)+IF(AND(Calculator!B8=TRUE,Backdoors!BI39=TRUE),VLOOKUP(Calculator!E23,tbSkills!DH3:DJ6,3,FALSE),0),0)))/100)),1))*IF(VLOOKUP(A94,tbMoveset!A2:K112,11,FALSE)=TRUE,Backdoors!AC5,1))*IU94,0),"")</f>
        <v>0</v>
      </c>
      <c r="IY94" s="49">
        <f>VLOOKUP(A94,tbMoveset!A2:G112,7,FALSE)*IFERROR(IF(Backdoors!AI12&gt;=0,1+(IF(Calculator!E40&gt;0,VLOOKUP(Calculator!E40,tbSkills!AI3:AJ5,2,FALSE),Backdoors!AL4)*(IF((Backdoors!AI12+IF(IT94&gt;=0.45,VLOOKUP(Calculator!E23,tbSkills!DH3:DI6,2,FALSE)+IF(AND(Calculator!B8=TRUE,Backdoors!BI39=TRUE),VLOOKUP(Calculator!E23,tbSkills!DH3:DJ6,3,FALSE),0),0))&gt;=100,100,(Backdoors!AI12+IF(IT94&gt;=0.45,VLOOKUP(Calculator!E23,tbSkills!DH3:DI6,2,FALSE)+IF(AND(Calculator!B8=TRUE,Backdoors!BI39=TRUE),VLOOKUP(Calculator!E23,tbSkills!DH3:DJ6,3,FALSE),0),0)))/100)),1),1)</f>
        <v>0.7</v>
      </c>
      <c r="IZ94" s="87">
        <f t="shared" si="87"/>
        <v>0</v>
      </c>
      <c r="JA94" s="86" t="str">
        <f>IFERROR(IF(VLOOKUP(A94,tbMoveset!A2:B112,2,FALSE)="Sever",Backdoors!AY40/100,IF(VLOOKUP(A94,tbMoveset!A2:B112,2,FALSE)="Blunt",Backdoors!AZ40/100,Backdoors!BA40/100)),"")</f>
        <v/>
      </c>
      <c r="JB94" s="49">
        <f>IFERROR(IF(VLOOKUP(tbMoveset!A94,tbMoveset!A2:H112,8,FALSE)="Other",IF(VLOOKUP(tbMoveset!A94,tbMoveset!A2:I112,9,FALSE)="Fire",Backdoors!BB40,IF(VLOOKUP(tbMoveset!A94,tbMoveset!A2:I112,9,FALSE)="Water",Backdoors!BC40,IF(VLOOKUP(tbMoveset!A94,tbMoveset!A2:I112,9,FALSE)="Thunder",Backdoors!BD40,IF(VLOOKUP(tbMoveset!A94,tbMoveset!A2:I112,9,FALSE)="Ice",Backdoors!BE40,IF(VLOOKUP(tbMoveset!A94,tbMoveset!A2:I112,9,FALSE)="Dragon",Backdoors!BF40,Backdoors!BG40)))))/100,Backdoors!BG40/100),"")</f>
        <v>0</v>
      </c>
      <c r="JC94" s="49">
        <f>IFERROR(IF(VLOOKUP(A94,tbMoveset!A2:J112,10,FALSE)=TRUE,IF((Backdoors!AI12+IF(JA94&gt;=0.45,VLOOKUP(Calculator!E23,tbSkills!DH3:DI6,2,FALSE)+IF(AND(Calculator!B8=TRUE,Backdoors!BI40=TRUE),VLOOKUP(Calculator!E23,tbSkills!DH3:DJ6,3,FALSE),0),0))&gt;=0,1+(Backdoors!AL2*(IF((Backdoors!AI12+IF(JA94&gt;=0.45,VLOOKUP(Calculator!E23,tbSkills!DH3:DI6,2,FALSE)+IF(AND(Calculator!B8=TRUE,Backdoors!BI40=TRUE),VLOOKUP(Calculator!E23,tbSkills!DH3:DJ6,3,FALSE),0),0))&gt;=100,100,(Backdoors!AI12+IF(JA94&gt;=0.45,VLOOKUP(Calculator!E23,tbSkills!DH3:DI6,2,FALSE)+IF(AND(Calculator!B8=TRUE,Backdoors!BI40=TRUE),VLOOKUP(Calculator!E23,tbSkills!DH3:DJ6,3,FALSE),0),0)))/100)),(1-(0.25*((-Backdoors!AI12-IF(JA94&gt;=0.45,VLOOKUP(Calculator!E23,tbSkills!DH3:DI6,2,FALSE)+IF(AND(Calculator!B8=TRUE,Backdoors!BI40=TRUE),VLOOKUP(Calculator!E23,tbSkills!DH3:DJ6,3,FALSE),0),0))/100)))),1),"")</f>
        <v>1</v>
      </c>
      <c r="JD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A94)*JC94)*(VLOOKUP(A94,tbMoveset!A2:C112,3,FALSE)/100)*IF(VLOOKUP(A94,tbMoveset!A2:B112,2,FALSE)="Projectile",Backdoors!N10,Backdoors!N9),0),"")</f>
        <v/>
      </c>
      <c r="JE94" s="49">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42&gt;0,VLOOKUP(Calculator!E42,tbSkills!AC3:AD5,2,FALSE),Backdoors!AL3)*(IF((Backdoors!AI12+IF(JA94&gt;=0.45,VLOOKUP(Calculator!E23,tbSkills!DH3:DI6,2,FALSE)+IF(AND(Calculator!B8=TRUE,Backdoors!BI40=TRUE),VLOOKUP(Calculator!E23,tbSkills!DH3:DJ6,3,FALSE),0),0))&gt;=100,100,(Backdoors!AI12+IF(JA94&gt;=0.45,VLOOKUP(Calculator!E23,tbSkills!DH3:DI6,2,FALSE)+IF(AND(Calculator!B8=TRUE,Backdoors!BI40=TRUE),VLOOKUP(Calculator!E23,tbSkills!DH3:DJ6,3,FALSE),0),0)))/100)),1))*IF(VLOOKUP(A94,tbMoveset!A2:K112,11,FALSE)=TRUE,Backdoors!AC5,1))*JB94,0),"")</f>
        <v>0</v>
      </c>
      <c r="JF94" s="49">
        <f>VLOOKUP(A94,tbMoveset!A2:G112,7,FALSE)*IFERROR(IF(Backdoors!AI12&gt;=0,1+(IF(Calculator!E40&gt;0,VLOOKUP(Calculator!E40,tbSkills!AI3:AJ5,2,FALSE),Backdoors!AL4)*(IF((Backdoors!AI12+IF(JA94&gt;=0.45,VLOOKUP(Calculator!E23,tbSkills!DH3:DI6,2,FALSE)+IF(AND(Calculator!B8=TRUE,Backdoors!BI40=TRUE),VLOOKUP(Calculator!E23,tbSkills!DH3:DJ6,3,FALSE),0),0))&gt;=100,100,(Backdoors!AI12+IF(JA94&gt;=0.45,VLOOKUP(Calculator!E23,tbSkills!DH3:DI6,2,FALSE)+IF(AND(Calculator!B8=TRUE,Backdoors!BI40=TRUE),VLOOKUP(Calculator!E23,tbSkills!DH3:DJ6,3,FALSE),0),0)))/100)),1),1)</f>
        <v>0.7</v>
      </c>
      <c r="JG94" s="87">
        <f t="shared" si="88"/>
        <v>0</v>
      </c>
      <c r="JH94" s="86" t="str">
        <f>IFERROR(IF(VLOOKUP(A94,tbMoveset!A2:B112,2,FALSE)="Sever",Backdoors!AY41/100,IF(VLOOKUP(A94,tbMoveset!A2:B112,2,FALSE)="Blunt",Backdoors!AZ41/100,Backdoors!BA41/100)),"")</f>
        <v/>
      </c>
      <c r="JI94" s="49">
        <f>IFERROR(IF(VLOOKUP(tbMoveset!A94,tbMoveset!A2:H112,8,FALSE)="Other",IF(VLOOKUP(tbMoveset!A94,tbMoveset!A2:I112,9,FALSE)="Fire",Backdoors!BB41,IF(VLOOKUP(tbMoveset!A94,tbMoveset!A2:I112,9,FALSE)="Water",Backdoors!BC41,IF(VLOOKUP(tbMoveset!A94,tbMoveset!A2:I112,9,FALSE)="Thunder",Backdoors!BD41,IF(VLOOKUP(tbMoveset!A94,tbMoveset!A2:I112,9,FALSE)="Ice",Backdoors!BE41,IF(VLOOKUP(tbMoveset!A94,tbMoveset!A2:I112,9,FALSE)="Dragon",Backdoors!BF41,Backdoors!BG41)))))/100,Backdoors!BG41/100),"")</f>
        <v>0</v>
      </c>
      <c r="JJ94" s="49">
        <f>IFERROR(IF(VLOOKUP(A94,tbMoveset!A2:J112,10,FALSE)=TRUE,IF((Backdoors!AI12+IF(JH94&gt;=0.45,VLOOKUP(Calculator!E23,tbSkills!DH3:DI6,2,FALSE)+IF(AND(Calculator!B8=TRUE,Backdoors!BI41=TRUE),VLOOKUP(Calculator!E23,tbSkills!DH3:DJ6,3,FALSE),0),0))&gt;=0,1+(Backdoors!AL2*(IF((Backdoors!AI12+IF(JH94&gt;=0.45,VLOOKUP(Calculator!E23,tbSkills!DH3:DI6,2,FALSE)+IF(AND(Calculator!B8=TRUE,Backdoors!BI41=TRUE),VLOOKUP(Calculator!E23,tbSkills!DH3:DJ6,3,FALSE),0),0))&gt;=100,100,(Backdoors!AI12+IF(JH94&gt;=0.45,VLOOKUP(Calculator!E23,tbSkills!DH3:DI6,2,FALSE)+IF(AND(Calculator!B8=TRUE,Backdoors!BI41=TRUE),VLOOKUP(Calculator!E23,tbSkills!DH3:DJ6,3,FALSE),0),0)))/100)),(1-(0.25*((-Backdoors!AI12-IF(JH94&gt;=0.45,VLOOKUP(Calculator!E23,tbSkills!DH3:DI6,2,FALSE)+IF(AND(Calculator!B8=TRUE,Backdoors!BI41=TRUE),VLOOKUP(Calculator!E23,tbSkills!DH3:DJ6,3,FALSE),0),0))/100)))),1),"")</f>
        <v>1</v>
      </c>
      <c r="JK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H94)*JJ94)*(VLOOKUP(A94,tbMoveset!A2:C112,3,FALSE)/100)*IF(VLOOKUP(A94,tbMoveset!A2:B112,2,FALSE)="Projectile",Backdoors!N10,Backdoors!N9),0),"")</f>
        <v/>
      </c>
      <c r="JL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43&gt;0,VLOOKUP(Calculator!E43,tbSkills!AC3:AD5,2,FALSE),Backdoors!AL3)*(IF((Backdoors!AI12+IF(JH94&gt;=0.45,VLOOKUP(Calculator!E23,tbSkills!DH3:DI6,2,FALSE)+IF(AND(Calculator!B8=TRUE,Backdoors!BI41=TRUE),VLOOKUP(Calculator!E23,tbSkills!DH3:DJ6,3,FALSE),0),0))&gt;=100,100,(Backdoors!AI12+IF(JH94&gt;=0.45,VLOOKUP(Calculator!E23,tbSkills!DH3:DI6,2,FALSE)+IF(AND(Calculator!B8=TRUE,Backdoors!BI41=TRUE),VLOOKUP(Calculator!E23,tbSkills!DH3:DJ6,3,FALSE),0),0)))/100)),1))*IF(VLOOKUP(A94,tbMoveset!A2:K112,11,FALSE)=TRUE,Backdoors!AC5,1))*JI94,0),"")</f>
        <v/>
      </c>
      <c r="JM94" s="49">
        <f>VLOOKUP(A94,tbMoveset!A2:G112,7,FALSE)*IFERROR(IF(Backdoors!AI12&gt;=0,1+(IF(Calculator!E40&gt;0,VLOOKUP(Calculator!E40,tbSkills!AI3:AJ5,2,FALSE),Backdoors!AL4)*(IF((Backdoors!AI12+IF(JH94&gt;=0.45,VLOOKUP(Calculator!E23,tbSkills!DH3:DI6,2,FALSE)+IF(AND(Calculator!B8=TRUE,Backdoors!BI41=TRUE),VLOOKUP(Calculator!E23,tbSkills!DH3:DJ6,3,FALSE),0),0))&gt;=100,100,(Backdoors!AI12+IF(JH94&gt;=0.45,VLOOKUP(Calculator!E23,tbSkills!DH3:DI6,2,FALSE)+IF(AND(Calculator!B8=TRUE,Backdoors!BI41=TRUE),VLOOKUP(Calculator!E23,tbSkills!DH3:DJ6,3,FALSE),0),0)))/100)),1),1)</f>
        <v>0.7</v>
      </c>
      <c r="JN94" s="87">
        <f t="shared" si="89"/>
        <v>0</v>
      </c>
      <c r="JO94" s="86" t="str">
        <f>IFERROR(IF(VLOOKUP(A94,tbMoveset!A2:B112,2,FALSE)="Sever",Backdoors!AY42/100,IF(VLOOKUP(A94,tbMoveset!A2:B112,2,FALSE)="Blunt",Backdoors!AZ42/100,Backdoors!BA42/100)),"")</f>
        <v/>
      </c>
      <c r="JP94" s="49">
        <f>IFERROR(IF(VLOOKUP(tbMoveset!A94,tbMoveset!A2:H112,8,FALSE)="Other",IF(VLOOKUP(tbMoveset!A94,tbMoveset!A2:I112,9,FALSE)="Fire",Backdoors!BB42,IF(VLOOKUP(tbMoveset!A94,tbMoveset!A2:I112,9,FALSE)="Water",Backdoors!BC42,IF(VLOOKUP(tbMoveset!A94,tbMoveset!A2:I112,9,FALSE)="Thunder",Backdoors!BD42,IF(VLOOKUP(tbMoveset!A94,tbMoveset!A2:I112,9,FALSE)="Ice",Backdoors!BE42,IF(VLOOKUP(tbMoveset!A94,tbMoveset!A2:I112,9,FALSE)="Dragon",Backdoors!BF42,Backdoors!BG42)))))/100,Backdoors!BG42/100),"")</f>
        <v>0</v>
      </c>
      <c r="JQ94" s="49">
        <f>IFERROR(IF(VLOOKUP(A94,tbMoveset!A2:J112,10,FALSE)=TRUE,IF((Backdoors!AI12+IF(JO94&gt;=0.45,VLOOKUP(Calculator!E23,tbSkills!DH3:DI6,2,FALSE)+IF(AND(Calculator!B8=TRUE,Backdoors!BI42=TRUE),VLOOKUP(Calculator!E23,tbSkills!DH3:DJ6,3,FALSE),0),0))&gt;=0,1+(Backdoors!AL2*(IF((Backdoors!AI12+IF(JO94&gt;=0.45,VLOOKUP(Calculator!E23,tbSkills!DH3:DI6,2,FALSE)+IF(AND(Calculator!B8=TRUE,Backdoors!BI42=TRUE),VLOOKUP(Calculator!E23,tbSkills!DH3:DJ6,3,FALSE),0),0))&gt;=100,100,(Backdoors!AI12+IF(JO94&gt;=0.45,VLOOKUP(Calculator!E23,tbSkills!DH3:DI6,2,FALSE)+IF(AND(Calculator!B8=TRUE,Backdoors!BI42=TRUE),VLOOKUP(Calculator!E23,tbSkills!DH3:DJ6,3,FALSE),0),0)))/100)),(1-(0.25*((-Backdoors!AI12-IF(JO94&gt;=0.45,VLOOKUP(Calculator!E23,tbSkills!DH3:DI6,2,FALSE)+IF(AND(Calculator!B8=TRUE,Backdoors!BI42=TRUE),VLOOKUP(Calculator!E23,tbSkills!DH3:DJ6,3,FALSE),0),0))/100)))),1),"")</f>
        <v>1</v>
      </c>
      <c r="JR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O94)*JQ94)*(VLOOKUP(A94,tbMoveset!A2:C112,3,FALSE)/100)*IF(VLOOKUP(A94,tbMoveset!A2:B112,2,FALSE)="Projectile",Backdoors!N10,Backdoors!N9),0),"")</f>
        <v/>
      </c>
      <c r="JS94" s="49">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45&gt;0,VLOOKUP(Calculator!E45,tbSkills!AC3:AD5,2,FALSE),Backdoors!AL3)*(IF((Backdoors!AI12+IF(JO94&gt;=0.45,VLOOKUP(Calculator!E23,tbSkills!DH3:DI6,2,FALSE)+IF(AND(Calculator!B8=TRUE,Backdoors!BI42=TRUE),VLOOKUP(Calculator!E23,tbSkills!DH3:DJ6,3,FALSE),0),0))&gt;=100,100,(Backdoors!AI12+IF(JO94&gt;=0.45,VLOOKUP(Calculator!E23,tbSkills!DH3:DI6,2,FALSE)+IF(AND(Calculator!B8=TRUE,Backdoors!BI42=TRUE),VLOOKUP(Calculator!E23,tbSkills!DH3:DJ6,3,FALSE),0),0)))/100)),1))*IF(VLOOKUP(A94,tbMoveset!A2:K112,11,FALSE)=TRUE,Backdoors!AC5,1))*JP94,0),"")</f>
        <v>0</v>
      </c>
      <c r="JT94" s="49">
        <f>VLOOKUP(A94,tbMoveset!A2:G112,7,FALSE)*IFERROR(IF(Backdoors!AI12&gt;=0,1+(IF(Calculator!E40&gt;0,VLOOKUP(Calculator!E40,tbSkills!AI3:AJ5,2,FALSE),Backdoors!AL4)*(IF((Backdoors!AI12+IF(JO94&gt;=0.45,VLOOKUP(Calculator!E23,tbSkills!DH3:DI6,2,FALSE)+IF(AND(Calculator!B8=TRUE,Backdoors!BI42=TRUE),VLOOKUP(Calculator!E23,tbSkills!DH3:DJ6,3,FALSE),0),0))&gt;=100,100,(Backdoors!AI12+IF(JO94&gt;=0.45,VLOOKUP(Calculator!E23,tbSkills!DH3:DI6,2,FALSE)+IF(AND(Calculator!B8=TRUE,Backdoors!BI42=TRUE),VLOOKUP(Calculator!E23,tbSkills!DH3:DJ6,3,FALSE),0),0)))/100)),1),1)</f>
        <v>0.7</v>
      </c>
      <c r="JU94" s="87">
        <f t="shared" si="90"/>
        <v>0</v>
      </c>
      <c r="JV94" s="86" t="str">
        <f>IFERROR(IF(VLOOKUP(A94,tbMoveset!A2:B112,2,FALSE)="Sever",Backdoors!AY43/100,IF(VLOOKUP(A94,tbMoveset!A2:B112,2,FALSE)="Blunt",Backdoors!AZ43/100,Backdoors!BA43/100)),"")</f>
        <v/>
      </c>
      <c r="JW94" s="49">
        <f>IFERROR(IF(VLOOKUP(tbMoveset!A94,tbMoveset!A2:H112,8,FALSE)="Other",IF(VLOOKUP(tbMoveset!A94,tbMoveset!A2:I112,9,FALSE)="Fire",Backdoors!BB43,IF(VLOOKUP(tbMoveset!A94,tbMoveset!A2:I112,9,FALSE)="Water",Backdoors!BC43,IF(VLOOKUP(tbMoveset!A94,tbMoveset!A2:I112,9,FALSE)="Thunder",Backdoors!BD43,IF(VLOOKUP(tbMoveset!A94,tbMoveset!A2:I112,9,FALSE)="Ice",Backdoors!BE43,IF(VLOOKUP(tbMoveset!A94,tbMoveset!A2:I112,9,FALSE)="Dragon",Backdoors!BF43,Backdoors!BG43)))))/100,Backdoors!BG43/100),"")</f>
        <v>0</v>
      </c>
      <c r="JX94" s="49">
        <f>IFERROR(IF(VLOOKUP(A94,tbMoveset!A2:J112,10,FALSE)=TRUE,IF((Backdoors!AI12+IF(JV94&gt;=0.45,VLOOKUP(Calculator!E23,tbSkills!DH3:DI6,2,FALSE)+IF(AND(Calculator!B8=TRUE,Backdoors!BI43=TRUE),VLOOKUP(Calculator!E23,tbSkills!DH3:DJ6,3,FALSE),0),0))&gt;=0,1+(Backdoors!AL2*(IF((Backdoors!AI12+IF(JV94&gt;=0.45,VLOOKUP(Calculator!E23,tbSkills!DH3:DI6,2,FALSE)+IF(AND(Calculator!B8=TRUE,Backdoors!BI43=TRUE),VLOOKUP(Calculator!E23,tbSkills!DH3:DJ6,3,FALSE),0),0))&gt;=100,100,(Backdoors!AI12+IF(JV94&gt;=0.45,VLOOKUP(Calculator!E23,tbSkills!DH3:DI6,2,FALSE)+IF(AND(Calculator!B8=TRUE,Backdoors!BI43=TRUE),VLOOKUP(Calculator!E23,tbSkills!DH3:DJ6,3,FALSE),0),0)))/100)),(1-(0.25*((-Backdoors!AI12-IF(JV94&gt;=0.45,VLOOKUP(Calculator!E23,tbSkills!DH3:DI6,2,FALSE)+IF(AND(Calculator!B8=TRUE,Backdoors!BI43=TRUE),VLOOKUP(Calculator!E23,tbSkills!DH3:DJ6,3,FALSE),0),0))/100)))),1),"")</f>
        <v>1</v>
      </c>
      <c r="JY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V94)*JX94)*(VLOOKUP(A94,tbMoveset!A2:C112,3,FALSE)/100)*IF(VLOOKUP(A94,tbMoveset!A2:B112,2,FALSE)="Projectile",Backdoors!N10,Backdoors!N9),0),"")</f>
        <v/>
      </c>
      <c r="JZ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46&gt;0,VLOOKUP(Calculator!E46,tbSkills!AC3:AD5,2,FALSE),Backdoors!AL3)*(IF((Backdoors!AI12+IF(JV94&gt;=0.45,VLOOKUP(Calculator!E23,tbSkills!DH3:DI6,2,FALSE)+IF(AND(Calculator!B8=TRUE,Backdoors!BI43=TRUE),VLOOKUP(Calculator!E23,tbSkills!DH3:DJ6,3,FALSE),0),0))&gt;=100,100,(Backdoors!AI12+IF(JV94&gt;=0.45,VLOOKUP(Calculator!E23,tbSkills!DH3:DI6,2,FALSE)+IF(AND(Calculator!B8=TRUE,Backdoors!BI43=TRUE),VLOOKUP(Calculator!E23,tbSkills!DH3:DJ6,3,FALSE),0),0)))/100)),1))*IF(VLOOKUP(A94,tbMoveset!A2:K112,11,FALSE)=TRUE,Backdoors!AC5,1))*JW94,0),"")</f>
        <v/>
      </c>
      <c r="KA94" s="49">
        <f>VLOOKUP(A94,tbMoveset!A2:G112,7,FALSE)*IFERROR(IF(Backdoors!AI12&gt;=0,1+(IF(Calculator!E40&gt;0,VLOOKUP(Calculator!E40,tbSkills!AI3:AJ5,2,FALSE),Backdoors!AL4)*(IF((Backdoors!AI12+IF(JV94&gt;=0.45,VLOOKUP(Calculator!E23,tbSkills!DH3:DI6,2,FALSE)+IF(AND(Calculator!B8=TRUE,Backdoors!BI43=TRUE),VLOOKUP(Calculator!E23,tbSkills!DH3:DJ6,3,FALSE),0),0))&gt;=100,100,(Backdoors!AI12+IF(JV94&gt;=0.45,VLOOKUP(Calculator!E23,tbSkills!DH3:DI6,2,FALSE)+IF(AND(Calculator!B8=TRUE,Backdoors!BI43=TRUE),VLOOKUP(Calculator!E23,tbSkills!DH3:DJ6,3,FALSE),0),0)))/100)),1),1)</f>
        <v>0.7</v>
      </c>
      <c r="KB94" s="87">
        <f t="shared" si="91"/>
        <v>0</v>
      </c>
      <c r="KC94" s="86" t="str">
        <f>IFERROR(IF(VLOOKUP(A94,tbMoveset!A2:B112,2,FALSE)="Sever",Backdoors!AY44/100,IF(VLOOKUP(A94,tbMoveset!A2:B112,2,FALSE)="Blunt",Backdoors!AZ44/100,Backdoors!BA44/100)),"")</f>
        <v/>
      </c>
      <c r="KD94" s="49">
        <f>IFERROR(IF(VLOOKUP(tbMoveset!A94,tbMoveset!A2:H112,8,FALSE)="Other",IF(VLOOKUP(tbMoveset!A94,tbMoveset!A2:I112,9,FALSE)="Fire",Backdoors!BB44,IF(VLOOKUP(tbMoveset!A94,tbMoveset!A2:I112,9,FALSE)="Water",Backdoors!BC44,IF(VLOOKUP(tbMoveset!A94,tbMoveset!A2:I112,9,FALSE)="Thunder",Backdoors!BD44,IF(VLOOKUP(tbMoveset!A94,tbMoveset!A2:I112,9,FALSE)="Ice",Backdoors!BE44,IF(VLOOKUP(tbMoveset!A94,tbMoveset!A2:I112,9,FALSE)="Dragon",Backdoors!BF44,Backdoors!BG44)))))/100,Backdoors!BG44/100),"")</f>
        <v>0</v>
      </c>
      <c r="KE94" s="49">
        <f>IFERROR(IF(VLOOKUP(A94,tbMoveset!A2:J112,10,FALSE)=TRUE,IF((Backdoors!AI12+IF(KC94&gt;=0.45,VLOOKUP(Calculator!E23,tbSkills!DH3:DI6,2,FALSE)+IF(AND(Calculator!B8=TRUE,Backdoors!BI44=TRUE),VLOOKUP(Calculator!E23,tbSkills!DH3:DJ6,3,FALSE),0),0))&gt;=0,1+(Backdoors!AL2*(IF((Backdoors!AI12+IF(KC94&gt;=0.45,VLOOKUP(Calculator!E23,tbSkills!DH3:DI6,2,FALSE)+IF(AND(Calculator!B8=TRUE,Backdoors!BI44=TRUE),VLOOKUP(Calculator!E23,tbSkills!DH3:DJ6,3,FALSE),0),0))&gt;=100,100,(Backdoors!AI12+IF(KC94&gt;=0.45,VLOOKUP(Calculator!E23,tbSkills!DH3:DI6,2,FALSE)+IF(AND(Calculator!B8=TRUE,Backdoors!BI44=TRUE),VLOOKUP(Calculator!E23,tbSkills!DH3:DJ6,3,FALSE),0),0)))/100)),(1-(0.25*((-Backdoors!AI12-IF(KC94&gt;=0.45,VLOOKUP(Calculator!E23,tbSkills!DH3:DI6,2,FALSE)+IF(AND(Calculator!B8=TRUE,Backdoors!BI44=TRUE),VLOOKUP(Calculator!E23,tbSkills!DH3:DJ6,3,FALSE),0),0))/100)))),1),"")</f>
        <v>1</v>
      </c>
      <c r="KF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KC94)*KE94)*(VLOOKUP(A94,tbMoveset!A2:C112,3,FALSE)/100)*IF(VLOOKUP(A94,tbMoveset!A2:B112,2,FALSE)="Projectile",Backdoors!N10,Backdoors!N9),0),"")</f>
        <v/>
      </c>
      <c r="KG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REF!&gt;0,VLOOKUP(Calculator!#REF!,tbSkills!AC3:AD5,2,FALSE),Backdoors!AL3)*(IF((Backdoors!AI12+IF(KC94&gt;=0.45,VLOOKUP(Calculator!E23,tbSkills!DH3:DI6,2,FALSE)+IF(AND(Calculator!B8=TRUE,Backdoors!BI44=TRUE),VLOOKUP(Calculator!E23,tbSkills!DH3:DJ6,3,FALSE),0),0))&gt;=100,100,(Backdoors!AI12+IF(KC94&gt;=0.45,VLOOKUP(Calculator!E23,tbSkills!DH3:DI6,2,FALSE)+IF(AND(Calculator!B8=TRUE,Backdoors!BI44=TRUE),VLOOKUP(Calculator!E23,tbSkills!DH3:DJ6,3,FALSE),0),0)))/100)),1))*IF(VLOOKUP(A94,tbMoveset!A2:K112,11,FALSE)=TRUE,Backdoors!AC5,1))*KD94,0),"")</f>
        <v/>
      </c>
      <c r="KH94" s="49">
        <f>VLOOKUP(A94,tbMoveset!A2:G112,7,FALSE)*IFERROR(IF(Backdoors!AI12&gt;=0,1+(IF(Calculator!E40&gt;0,VLOOKUP(Calculator!E40,tbSkills!AI3:AJ5,2,FALSE),Backdoors!AL4)*(IF((Backdoors!AI12+IF(KC94&gt;=0.45,VLOOKUP(Calculator!E23,tbSkills!DH3:DI6,2,FALSE)+IF(AND(Calculator!B8=TRUE,Backdoors!BI44=TRUE),VLOOKUP(Calculator!E23,tbSkills!DH3:DJ6,3,FALSE),0),0))&gt;=100,100,(Backdoors!AI12+IF(KC94&gt;=0.45,VLOOKUP(Calculator!E23,tbSkills!DH3:DI6,2,FALSE)+IF(AND(Calculator!B8=TRUE,Backdoors!BI44=TRUE),VLOOKUP(Calculator!E23,tbSkills!DH3:DJ6,3,FALSE),0),0)))/100)),1),1)</f>
        <v>0.7</v>
      </c>
      <c r="KI94" s="87">
        <f t="shared" si="92"/>
        <v>0</v>
      </c>
      <c r="KJ94" s="86" t="str">
        <f>IFERROR(IF(VLOOKUP(A94,tbMoveset!A2:B112,2,FALSE)="Sever",Backdoors!AY45/100,IF(VLOOKUP(A94,tbMoveset!A2:B112,2,FALSE)="Blunt",Backdoors!AZ45/100,Backdoors!BA45/100)),"")</f>
        <v/>
      </c>
      <c r="KK94" s="49">
        <f>IFERROR(IF(VLOOKUP(tbMoveset!A94,tbMoveset!A2:H112,8,FALSE)="Other",IF(VLOOKUP(tbMoveset!A94,tbMoveset!A2:I112,9,FALSE)="Fire",Backdoors!BB45,IF(VLOOKUP(tbMoveset!A94,tbMoveset!A2:I112,9,FALSE)="Water",Backdoors!BC45,IF(VLOOKUP(tbMoveset!A94,tbMoveset!A2:I112,9,FALSE)="Thunder",Backdoors!BD45,IF(VLOOKUP(tbMoveset!A94,tbMoveset!A2:I112,9,FALSE)="Ice",Backdoors!BE45,IF(VLOOKUP(tbMoveset!A94,tbMoveset!A2:I112,9,FALSE)="Dragon",Backdoors!BF45,Backdoors!BG45)))))/100,Backdoors!BG45/100),"")</f>
        <v>0</v>
      </c>
      <c r="KL94" s="49">
        <f>IFERROR(IF(VLOOKUP(A94,tbMoveset!A2:J112,10,FALSE)=TRUE,IF((Backdoors!AI12+IF(KJ94&gt;=0.45,VLOOKUP(Calculator!E23,tbSkills!DH3:DI6,2,FALSE)+IF(AND(Calculator!B8=TRUE,Backdoors!BI45=TRUE),VLOOKUP(Calculator!E23,tbSkills!DH3:DJ6,3,FALSE),0),0))&gt;=0,1+(Backdoors!AL2*(IF((Backdoors!AI12+IF(KJ94&gt;=0.45,VLOOKUP(Calculator!E23,tbSkills!DH3:DI6,2,FALSE)+IF(AND(Calculator!B8=TRUE,Backdoors!BI45=TRUE),VLOOKUP(Calculator!E23,tbSkills!DH3:DJ6,3,FALSE),0),0))&gt;=100,100,(Backdoors!AI12+IF(KJ94&gt;=0.45,VLOOKUP(Calculator!E23,tbSkills!DH3:DI6,2,FALSE)+IF(AND(Calculator!B8=TRUE,Backdoors!BI45=TRUE),VLOOKUP(Calculator!E23,tbSkills!DH3:DJ6,3,FALSE),0),0)))/100)),(1-(0.25*((-Backdoors!AI12-IF(KJ94&gt;=0.45,VLOOKUP(Calculator!E23,tbSkills!DH3:DI6,2,FALSE)+IF(AND(Calculator!B8=TRUE,Backdoors!BI45=TRUE),VLOOKUP(Calculator!E23,tbSkills!DH3:DJ6,3,FALSE),0),0))/100)))),1),"")</f>
        <v>1</v>
      </c>
      <c r="KM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KJ94)*KL94)*(VLOOKUP(A94,tbMoveset!A2:C112,3,FALSE)/100)*IF(VLOOKUP(A94,tbMoveset!A2:B112,2,FALSE)="Projectile",Backdoors!N10,Backdoors!N9),0),"")</f>
        <v/>
      </c>
      <c r="KN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REF!&gt;0,VLOOKUP(Calculator!#REF!,tbSkills!AC3:AD5,2,FALSE),Backdoors!AL3)*(IF((Backdoors!AI12+IF(KJ94&gt;=0.45,VLOOKUP(Calculator!E23,tbSkills!DH3:DI6,2,FALSE)+IF(AND(Calculator!B8=TRUE,Backdoors!BI45=TRUE),VLOOKUP(Calculator!E23,tbSkills!DH3:DJ6,3,FALSE),0),0))&gt;=100,100,(Backdoors!AI12+IF(KJ94&gt;=0.45,VLOOKUP(Calculator!E23,tbSkills!DH3:DI6,2,FALSE)+IF(AND(Calculator!B8=TRUE,Backdoors!BI45=TRUE),VLOOKUP(Calculator!E23,tbSkills!DH3:DJ6,3,FALSE),0),0)))/100)),1))*IF(VLOOKUP(A94,tbMoveset!A2:K112,11,FALSE)=TRUE,Backdoors!AC5,1))*KK94,0),"")</f>
        <v/>
      </c>
      <c r="KO94" s="49">
        <f>VLOOKUP(A94,tbMoveset!A2:G112,7,FALSE)*IFERROR(IF(Backdoors!AI12&gt;=0,1+(IF(Calculator!E40&gt;0,VLOOKUP(Calculator!E40,tbSkills!AI3:AJ5,2,FALSE),Backdoors!AL4)*(IF((Backdoors!AI12+IF(KJ94&gt;=0.45,VLOOKUP(Calculator!E23,tbSkills!DH3:DI6,2,FALSE)+IF(AND(Calculator!B8=TRUE,Backdoors!BI45=TRUE),VLOOKUP(Calculator!E23,tbSkills!DH3:DJ6,3,FALSE),0),0))&gt;=100,100,(Backdoors!AI12+IF(KJ94&gt;=0.45,VLOOKUP(Calculator!E23,tbSkills!DH3:DI6,2,FALSE)+IF(AND(Calculator!B8=TRUE,Backdoors!BI45=TRUE),VLOOKUP(Calculator!E23,tbSkills!DH3:DJ6,3,FALSE),0),0)))/100)),1),1)</f>
        <v>0.7</v>
      </c>
      <c r="KP94" s="87">
        <f t="shared" si="93"/>
        <v>0</v>
      </c>
      <c r="KQ94" s="86" t="str">
        <f>IFERROR(IF(VLOOKUP(A94,tbMoveset!A2:B112,2,FALSE)="Sever",Backdoors!AY46/100,IF(VLOOKUP(A94,tbMoveset!A2:B112,2,FALSE)="Blunt",Backdoors!AZ46/100,Backdoors!BA46/100)),"")</f>
        <v/>
      </c>
      <c r="KR94" s="49">
        <f>IFERROR(IF(VLOOKUP(tbMoveset!A94,tbMoveset!A2:H112,8,FALSE)="Other",IF(VLOOKUP(tbMoveset!A94,tbMoveset!A2:I112,9,FALSE)="Fire",Backdoors!BB46,IF(VLOOKUP(tbMoveset!A94,tbMoveset!A2:I112,9,FALSE)="Water",Backdoors!BC46,IF(VLOOKUP(tbMoveset!A94,tbMoveset!A2:I112,9,FALSE)="Thunder",Backdoors!BD46,IF(VLOOKUP(tbMoveset!A94,tbMoveset!A2:I112,9,FALSE)="Ice",Backdoors!BE46,IF(VLOOKUP(tbMoveset!A94,tbMoveset!A2:I112,9,FALSE)="Dragon",Backdoors!BF46,Backdoors!BG46)))))/100,Backdoors!BG46/100),"")</f>
        <v>0</v>
      </c>
      <c r="KS94" s="49">
        <f>IFERROR(IF(VLOOKUP(A94,tbMoveset!A2:J112,10,FALSE)=TRUE,IF((Backdoors!AI12+IF(KQ94&gt;=0.45,VLOOKUP(Calculator!E23,tbSkills!DH3:DI6,2,FALSE)+IF(AND(Calculator!B8=TRUE,Backdoors!BI46=TRUE),VLOOKUP(Calculator!E23,tbSkills!DH3:DJ6,3,FALSE),0),0))&gt;=0,1+(Backdoors!AL2*(IF((Backdoors!AI12+IF(KQ94&gt;=0.45,VLOOKUP(Calculator!E23,tbSkills!DH3:DI6,2,FALSE)+IF(AND(Calculator!B8=TRUE,Backdoors!BI46=TRUE),VLOOKUP(Calculator!E23,tbSkills!DH3:DJ6,3,FALSE),0),0))&gt;=100,100,(Backdoors!AI12+IF(KQ94&gt;=0.45,VLOOKUP(Calculator!E23,tbSkills!DH3:DI6,2,FALSE)+IF(AND(Calculator!B8=TRUE,Backdoors!BI46=TRUE),VLOOKUP(Calculator!E23,tbSkills!DH3:DJ6,3,FALSE),0),0)))/100)),(1-(0.25*((-Backdoors!AI12-IF(KQ94&gt;=0.45,VLOOKUP(Calculator!E23,tbSkills!DH3:DI6,2,FALSE)+IF(AND(Calculator!B8=TRUE,Backdoors!BI46=TRUE),VLOOKUP(Calculator!E23,tbSkills!DH3:DJ6,3,FALSE),0),0))/100)))),1),"")</f>
        <v>1</v>
      </c>
      <c r="KT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KQ94)*KS94)*(VLOOKUP(A94,tbMoveset!A2:C112,3,FALSE)/100)*IF(VLOOKUP(A94,tbMoveset!A2:B112,2,FALSE)="Projectile",Backdoors!N10,Backdoors!N9),0),"")</f>
        <v/>
      </c>
      <c r="KU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REF!&gt;0,VLOOKUP(Calculator!#REF!,tbSkills!AC3:AD5,2,FALSE),Backdoors!AL3)*(IF((Backdoors!AI12+IF(KQ94&gt;=0.45,VLOOKUP(Calculator!E23,tbSkills!DH3:DI6,2,FALSE)+IF(AND(Calculator!B8=TRUE,Backdoors!BI46=TRUE),VLOOKUP(Calculator!E23,tbSkills!DH3:DJ6,3,FALSE),0),0))&gt;=100,100,(Backdoors!AI12+IF(KQ94&gt;=0.45,VLOOKUP(Calculator!E23,tbSkills!DH3:DI6,2,FALSE)+IF(AND(Calculator!B8=TRUE,Backdoors!BI46=TRUE),VLOOKUP(Calculator!E23,tbSkills!DH3:DJ6,3,FALSE),0),0)))/100)),1))*IF(VLOOKUP(A94,tbMoveset!A2:K112,11,FALSE)=TRUE,Backdoors!AC5,1))*KR94,0),"")</f>
        <v/>
      </c>
      <c r="KV94" s="49">
        <f>VLOOKUP(A94,tbMoveset!A2:G112,7,FALSE)*IFERROR(IF(Backdoors!AI12&gt;=0,1+(IF(Calculator!E40&gt;0,VLOOKUP(Calculator!E40,tbSkills!AI3:AJ5,2,FALSE),Backdoors!AL4)*(IF((Backdoors!AI12+IF(KQ94&gt;=0.45,VLOOKUP(Calculator!E23,tbSkills!DH3:DI6,2,FALSE)+IF(AND(Calculator!B8=TRUE,Backdoors!BI46=TRUE),VLOOKUP(Calculator!E23,tbSkills!DH3:DJ6,3,FALSE),0),0))&gt;=100,100,(Backdoors!AI12+IF(KQ94&gt;=0.45,VLOOKUP(Calculator!E23,tbSkills!DH3:DI6,2,FALSE)+IF(AND(Calculator!B8=TRUE,Backdoors!BI46=TRUE),VLOOKUP(Calculator!E23,tbSkills!DH3:DJ6,3,FALSE),0),0)))/100)),1),1)</f>
        <v>0.7</v>
      </c>
      <c r="KW94" s="87">
        <f t="shared" si="94"/>
        <v>0</v>
      </c>
    </row>
    <row r="95" spans="1:309" x14ac:dyDescent="0.25">
      <c r="A95" s="95" t="str">
        <f>tbMoveset!A95</f>
        <v>[Clutching] Weapon Attack (L2)</v>
      </c>
      <c r="B95" s="86">
        <f>IFERROR(IF(VLOOKUP(A95,tbMoveset!A2:B112,2,FALSE)="Sever",Backdoors!AY3/100,IF(VLOOKUP(A95,tbMoveset!A2:B112,2,FALSE)="Blunt",Backdoors!AZ3/100,Backdoors!BA3/100)),"")</f>
        <v>0.8</v>
      </c>
      <c r="C95" s="49">
        <f>IFERROR(IF(VLOOKUP(tbMoveset!A95,tbMoveset!A2:H112,8,FALSE)="Other",IF(VLOOKUP(tbMoveset!A95,tbMoveset!A2:I112,9,FALSE)="Fire",Backdoors!BB3,IF(VLOOKUP(tbMoveset!A95,tbMoveset!A2:I112,9,FALSE)="Water",Backdoors!BC3,IF(VLOOKUP(tbMoveset!A95,tbMoveset!A2:I112,9,FALSE)="Thunder",Backdoors!BD3,IF(VLOOKUP(tbMoveset!A95,tbMoveset!A2:I112,9,FALSE)="Ice",Backdoors!BE3,IF(VLOOKUP(tbMoveset!A95,tbMoveset!A2:I112,9,FALSE)="Dragon",Backdoors!BF3,Backdoors!BG3)))))/100,Backdoors!BG3/100),"")</f>
        <v>0</v>
      </c>
      <c r="D95" s="49">
        <f>IFERROR(IF(VLOOKUP(A95,tbMoveset!A2:J112,10,FALSE)=TRUE,IF((Backdoors!AI12+IF(B95&gt;=0.45,VLOOKUP(Calculator!E23,tbSkills!DH3:DI6,2,FALSE)+IF(AND(Calculator!B8=TRUE,Backdoors!BI3=TRUE),VLOOKUP(Calculator!E23,tbSkills!DH3:DJ6,3,FALSE),0),0))&gt;=0,1+(Backdoors!AL2*(IF((Backdoors!AI12+IF(B95&gt;=0.45,VLOOKUP(Calculator!E23,tbSkills!DH3:DI6,2,FALSE)+IF(AND(Calculator!B8=TRUE,Backdoors!BI3=TRUE),VLOOKUP(Calculator!E23,tbSkills!DH3:DJ6,3,FALSE),0),0))&gt;=100,100,(Backdoors!AI12+IF(B95&gt;=0.45,VLOOKUP(Calculator!E23,tbSkills!DH3:DI6,2,FALSE)+IF(AND(Calculator!B8=TRUE,Backdoors!BI3=TRUE),VLOOKUP(Calculator!E23,tbSkills!DH3:DJ6,3,FALSE),0),0)))/100)),(1-(0.25*((-Backdoors!AI12-IF(B95&gt;=0.45,VLOOKUP(Calculator!E23,tbSkills!DH3:DI6,2,FALSE)+IF(AND(Calculator!B8=TRUE,Backdoors!BI3=TRUE),VLOOKUP(Calculator!E23,tbSkills!DH3:DJ6,3,FALSE),0),0))/100)))),1),"")</f>
        <v>1</v>
      </c>
      <c r="E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95)*D95)*(VLOOKUP(A95,tbMoveset!A2:C112,3,FALSE)/100)*IF(VLOOKUP(A95,tbMoveset!A2:B112,2,FALSE)="Projectile",Backdoors!N10,Backdoors!N9),0),"")</f>
        <v>6</v>
      </c>
      <c r="F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95&gt;=0.45,VLOOKUP(Calculator!E23,tbSkills!DH3:DI6,2,FALSE)+IF(AND(Calculator!B8=TRUE,Backdoors!BI3=TRUE),VLOOKUP(Calculator!E23,tbSkills!DH3:DJ6,3,FALSE),0),0))&gt;=100,100,(Backdoors!AI12+IF(B95&gt;=0.45,VLOOKUP(Calculator!E23,tbSkills!DH3:DI6,2,FALSE)+IF(AND(Calculator!B8=TRUE,Backdoors!BI3=TRUE),VLOOKUP(Calculator!E23,tbSkills!DH3:DJ6,3,FALSE),0),0)))/100)),1))*IF(VLOOKUP(A95,tbMoveset!A2:K112,11,FALSE)=TRUE,Backdoors!AC5,1))*C95,0),"")</f>
        <v>0</v>
      </c>
      <c r="G95">
        <f>VLOOKUP(A95,tbMoveset!A2:G112,7,FALSE)*IFERROR(IF(Backdoors!AI12&gt;=0,1+(IF(Calculator!E40&gt;0,VLOOKUP(Calculator!E40,tbSkills!AI3:AJ5,2,FALSE),Backdoors!AL4)*(IF((Backdoors!AI12+IF(B95&gt;=0.45,VLOOKUP(Calculator!E23,tbSkills!DH3:DI6,2,FALSE)+IF(AND(Calculator!B8=TRUE,Backdoors!BI3=TRUE),VLOOKUP(Calculator!E23,tbSkills!DH3:DJ6,3,FALSE),0),0))&gt;=100,100,(Backdoors!AI12+IF(B95&gt;=0.45,VLOOKUP(Calculator!E23,tbSkills!DH3:DI6,2,FALSE)+IF(AND(Calculator!B8=TRUE,Backdoors!BI3=TRUE),VLOOKUP(Calculator!E23,tbSkills!DH3:DJ6,3,FALSE),0),0)))/100)),1),1)</f>
        <v>0.5</v>
      </c>
      <c r="H95" s="87">
        <f t="shared" si="51"/>
        <v>6</v>
      </c>
      <c r="I95" s="86">
        <f>IFERROR(IF(VLOOKUP(A95,tbMoveset!A2:B112,2,FALSE)="Sever",Backdoors!AY4/100,IF(VLOOKUP(A95,tbMoveset!A2:B112,2,FALSE)="Blunt",Backdoors!AZ4/100,Backdoors!BA4/100)),"")</f>
        <v>0.65</v>
      </c>
      <c r="J95" s="49">
        <f>IFERROR(IF(VLOOKUP(tbMoveset!A95,tbMoveset!A2:H112,8,FALSE)="Other",IF(VLOOKUP(tbMoveset!A95,tbMoveset!A2:I112,9,FALSE)="Fire",Backdoors!BB4,IF(VLOOKUP(tbMoveset!A95,tbMoveset!A2:I112,9,FALSE)="Water",Backdoors!BC4,IF(VLOOKUP(tbMoveset!A95,tbMoveset!A2:I112,9,FALSE)="Thunder",Backdoors!BD4,IF(VLOOKUP(tbMoveset!A95,tbMoveset!A2:I112,9,FALSE)="Ice",Backdoors!BE4,IF(VLOOKUP(tbMoveset!A95,tbMoveset!A2:I112,9,FALSE)="Dragon",Backdoors!BF4,Backdoors!BG4)))))/100,Backdoors!BG4/100),"")</f>
        <v>0</v>
      </c>
      <c r="K95" s="49">
        <f>IFERROR(IF(VLOOKUP(A95,tbMoveset!A2:J112,10,FALSE)=TRUE,IF((Backdoors!AI12+IF(I95&gt;=0.45,VLOOKUP(Calculator!E23,tbSkills!DH3:DI6,2,FALSE)+IF(AND(Calculator!B8=TRUE,Backdoors!BI4=TRUE),VLOOKUP(Calculator!E23,tbSkills!DH3:DJ6,3,FALSE),0),0))&gt;=0,1+(Backdoors!AL2*(IF((Backdoors!AI12+IF(I95&gt;=0.45,VLOOKUP(Calculator!E23,tbSkills!DH3:DI6,2,FALSE)+IF(AND(Calculator!B8=TRUE,Backdoors!BI4=TRUE),VLOOKUP(Calculator!E23,tbSkills!DH3:DJ6,3,FALSE),0),0))&gt;=100,100,(Backdoors!AI12+IF(I95&gt;=0.45,VLOOKUP(Calculator!E23,tbSkills!DH3:DI6,2,FALSE)+IF(AND(Calculator!B8=TRUE,Backdoors!BI4=TRUE),VLOOKUP(Calculator!E23,tbSkills!DH3:DJ6,3,FALSE),0),0)))/100)),(1-(0.25*((-Backdoors!AI12-IF(I95&gt;=0.45,VLOOKUP(Calculator!E23,tbSkills!DH3:DI6,2,FALSE)+IF(AND(Calculator!B8=TRUE,Backdoors!BI4=TRUE),VLOOKUP(Calculator!E23,tbSkills!DH3:DJ6,3,FALSE),0),0))/100)))),1),"")</f>
        <v>1</v>
      </c>
      <c r="L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95)*K95)*(VLOOKUP(A95,tbMoveset!A2:C112,3,FALSE)/100)*IF(VLOOKUP(A95,tbMoveset!A2:B112,2,FALSE)="Projectile",Backdoors!N10,Backdoors!N9),0),"")</f>
        <v>5</v>
      </c>
      <c r="M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I95&gt;=0.45,VLOOKUP(Calculator!E23,tbSkills!DH3:DI6,2,FALSE)+IF(AND(Calculator!B8=TRUE,Backdoors!BI4=TRUE),VLOOKUP(Calculator!E23,tbSkills!DH3:DJ6,3,FALSE),0),0))&gt;=100,100,(Backdoors!AI12+IF(I95&gt;=0.45,VLOOKUP(Calculator!E23,tbSkills!DH3:DI6,2,FALSE)+IF(AND(Calculator!B8=TRUE,Backdoors!BI4=TRUE),VLOOKUP(Calculator!E23,tbSkills!DH3:DJ6,3,FALSE),0),0)))/100)),1))*IF(VLOOKUP(A95,tbMoveset!A2:K112,11,FALSE)=TRUE,Backdoors!AC5,1))*J95,0),"")</f>
        <v>0</v>
      </c>
      <c r="N95" s="49">
        <f>VLOOKUP(A95,tbMoveset!A2:G112,7,FALSE)*IFERROR(IF(Backdoors!AI12&gt;=0,1+(IF(Calculator!E40&gt;0,VLOOKUP(Calculator!E40,tbSkills!AI3:AJ5,2,FALSE),Backdoors!AL4)*(IF((Backdoors!AI12+IF(I95&gt;=0.45,VLOOKUP(Calculator!E23,tbSkills!DH3:DI6,2,FALSE)+IF(AND(Calculator!B8=TRUE,Backdoors!BI4=TRUE),VLOOKUP(Calculator!E23,tbSkills!DH3:DJ6,3,FALSE),0),0))&gt;=100,100,(Backdoors!AI12+IF(I95&gt;=0.45,VLOOKUP(Calculator!E23,tbSkills!DH3:DI6,2,FALSE)+IF(AND(Calculator!B8=TRUE,Backdoors!BI4=TRUE),VLOOKUP(Calculator!E23,tbSkills!DH3:DJ6,3,FALSE),0),0)))/100)),1),1)</f>
        <v>0.5</v>
      </c>
      <c r="O95" s="87">
        <f t="shared" si="52"/>
        <v>5</v>
      </c>
      <c r="P95" s="86">
        <f>IFERROR(IF(VLOOKUP(A95,tbMoveset!A2:B112,2,FALSE)="Sever",Backdoors!AY5/100,IF(VLOOKUP(A95,tbMoveset!A2:B112,2,FALSE)="Blunt",Backdoors!AZ5/100,Backdoors!BA5/100)),"")</f>
        <v>0.5</v>
      </c>
      <c r="Q95" s="49">
        <f>IFERROR(IF(VLOOKUP(tbMoveset!A95,tbMoveset!A2:H112,8,FALSE)="Other",IF(VLOOKUP(tbMoveset!A95,tbMoveset!A2:I112,9,FALSE)="Fire",Backdoors!BB5,IF(VLOOKUP(tbMoveset!A95,tbMoveset!A2:I112,9,FALSE)="Water",Backdoors!BC5,IF(VLOOKUP(tbMoveset!A95,tbMoveset!A2:I112,9,FALSE)="Thunder",Backdoors!BD5,IF(VLOOKUP(tbMoveset!A95,tbMoveset!A2:I112,9,FALSE)="Ice",Backdoors!BE5,IF(VLOOKUP(tbMoveset!A95,tbMoveset!A2:I112,9,FALSE)="Dragon",Backdoors!BF5,Backdoors!BG5)))))/100,Backdoors!BG5/100),"")</f>
        <v>0</v>
      </c>
      <c r="R95" s="49">
        <f>IFERROR(IF(VLOOKUP(A95,tbMoveset!A2:J112,10,FALSE)=TRUE,IF((Backdoors!AI12+IF(P95&gt;=0.45,VLOOKUP(Calculator!E23,tbSkills!DH3:DI6,2,FALSE)+IF(AND(Calculator!B8=TRUE,Backdoors!BI5=TRUE),VLOOKUP(Calculator!E23,tbSkills!DH3:DJ6,3,FALSE),0),0))&gt;=0,1+(Backdoors!AL2*(IF((Backdoors!AI12+IF(P95&gt;=0.45,VLOOKUP(Calculator!E23,tbSkills!DH3:DI6,2,FALSE)+IF(AND(Calculator!B8=TRUE,Backdoors!BI5=TRUE),VLOOKUP(Calculator!E23,tbSkills!DH3:DJ6,3,FALSE),0),0))&gt;=100,100,(Backdoors!AI12+IF(P95&gt;=0.45,VLOOKUP(Calculator!E23,tbSkills!DH3:DI6,2,FALSE)+IF(AND(Calculator!B8=TRUE,Backdoors!BI5=TRUE),VLOOKUP(Calculator!E23,tbSkills!DH3:DJ6,3,FALSE),0),0)))/100)),(1-(0.25*((-Backdoors!AI12-IF(P95&gt;=0.45,VLOOKUP(Calculator!E23,tbSkills!DH3:DI6,2,FALSE)+IF(AND(Calculator!B8=TRUE,Backdoors!BI5=TRUE),VLOOKUP(Calculator!E23,tbSkills!DH3:DJ6,3,FALSE),0),0))/100)))),1),"")</f>
        <v>1</v>
      </c>
      <c r="S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P95)*R95)*(VLOOKUP(A95,tbMoveset!A2:C112,3,FALSE)/100)*IF(VLOOKUP(A95,tbMoveset!A2:B112,2,FALSE)="Projectile",Backdoors!N10,Backdoors!N9),0),"")</f>
        <v>4</v>
      </c>
      <c r="T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P95&gt;=0.45,VLOOKUP(Calculator!E23,tbSkills!DH3:DI6,2,FALSE)+IF(AND(Calculator!B8=TRUE,Backdoors!BI5=TRUE),VLOOKUP(Calculator!E23,tbSkills!DH3:DJ6,3,FALSE),0),0))&gt;=100,100,(Backdoors!AI12+IF(P95&gt;=0.45,VLOOKUP(Calculator!E23,tbSkills!DH3:DI6,2,FALSE)+IF(AND(Calculator!B8=TRUE,Backdoors!BI5=TRUE),VLOOKUP(Calculator!E23,tbSkills!DH3:DJ6,3,FALSE),0),0)))/100)),1))*IF(VLOOKUP(A95,tbMoveset!A2:K112,11,FALSE)=TRUE,Backdoors!AC5,1))*Q95,0),"")</f>
        <v>0</v>
      </c>
      <c r="U95" s="49">
        <f>VLOOKUP(A95,tbMoveset!A2:G112,7,FALSE)*IFERROR(IF(Backdoors!AI12&gt;=0,1+(IF(Calculator!E40&gt;0,VLOOKUP(Calculator!E40,tbSkills!AI3:AJ5,2,FALSE),Backdoors!AL4)*(IF((Backdoors!AI12+IF(P95&gt;=0.45,VLOOKUP(Calculator!E23,tbSkills!DH3:DI6,2,FALSE)+IF(AND(Calculator!B8=TRUE,Backdoors!BI5=TRUE),VLOOKUP(Calculator!E23,tbSkills!DH3:DJ6,3,FALSE),0),0))&gt;=100,100,(Backdoors!AI12+IF(P95&gt;=0.45,VLOOKUP(Calculator!E23,tbSkills!DH3:DI6,2,FALSE)+IF(AND(Calculator!B8=TRUE,Backdoors!BI5=TRUE),VLOOKUP(Calculator!E23,tbSkills!DH3:DJ6,3,FALSE),0),0)))/100)),1),1)</f>
        <v>0.5</v>
      </c>
      <c r="V95" s="87">
        <f t="shared" si="53"/>
        <v>4</v>
      </c>
      <c r="W95" s="86">
        <f>IFERROR(IF(VLOOKUP(A95,tbMoveset!A2:B112,2,FALSE)="Sever",Backdoors!AY6/100,IF(VLOOKUP(A95,tbMoveset!A2:B112,2,FALSE)="Blunt",Backdoors!AZ6/100,Backdoors!BA6/100)),"")</f>
        <v>0.45</v>
      </c>
      <c r="X95" s="49">
        <f>IFERROR(IF(VLOOKUP(tbMoveset!A95,tbMoveset!A2:H112,8,FALSE)="Other",IF(VLOOKUP(tbMoveset!A95,tbMoveset!A2:I112,9,FALSE)="Fire",Backdoors!BB6,IF(VLOOKUP(tbMoveset!A95,tbMoveset!A2:I112,9,FALSE)="Water",Backdoors!BC6,IF(VLOOKUP(tbMoveset!A95,tbMoveset!A2:I112,9,FALSE)="Thunder",Backdoors!BD6,IF(VLOOKUP(tbMoveset!A95,tbMoveset!A2:I112,9,FALSE)="Ice",Backdoors!BE6,IF(VLOOKUP(tbMoveset!A95,tbMoveset!A2:I112,9,FALSE)="Dragon",Backdoors!BF6,Backdoors!BG6)))))/100,Backdoors!BG6/100),"")</f>
        <v>0</v>
      </c>
      <c r="Y95" s="49">
        <f>IFERROR(IF(VLOOKUP(A95,tbMoveset!A2:J112,10,FALSE)=TRUE,IF((Backdoors!AI12+IF(W95&gt;=0.45,VLOOKUP(Calculator!E23,tbSkills!DH3:DI6,2,FALSE)+IF(AND(Calculator!B8=TRUE,Backdoors!BI6=TRUE),VLOOKUP(Calculator!E23,tbSkills!DH3:DJ6,3,FALSE),0),0))&gt;=0,1+(Backdoors!AL2*(IF((Backdoors!AI12+IF(W95&gt;=0.45,VLOOKUP(Calculator!E23,tbSkills!DH3:DI6,2,FALSE)+IF(AND(Calculator!B8=TRUE,Backdoors!BI6=TRUE),VLOOKUP(Calculator!E23,tbSkills!DH3:DJ6,3,FALSE),0),0))&gt;=100,100,(Backdoors!AI12+IF(W95&gt;=0.45,VLOOKUP(Calculator!E23,tbSkills!DH3:DI6,2,FALSE)+IF(AND(Calculator!B8=TRUE,Backdoors!BI6=TRUE),VLOOKUP(Calculator!E23,tbSkills!DH3:DJ6,3,FALSE),0),0)))/100)),(1-(0.25*((-Backdoors!AI12-IF(W95&gt;=0.45,VLOOKUP(Calculator!E23,tbSkills!DH3:DI6,2,FALSE)+IF(AND(Calculator!B8=TRUE,Backdoors!BI6=TRUE),VLOOKUP(Calculator!E23,tbSkills!DH3:DJ6,3,FALSE),0),0))/100)))),1),"")</f>
        <v>1</v>
      </c>
      <c r="Z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W95)*Y95)*(VLOOKUP(A95,tbMoveset!A2:C112,3,FALSE)/100)*IF(VLOOKUP(A95,tbMoveset!A2:B112,2,FALSE)="Projectile",Backdoors!N10,Backdoors!N9),0),"")</f>
        <v>3</v>
      </c>
      <c r="AA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W95&gt;=0.45,VLOOKUP(Calculator!E23,tbSkills!DH3:DI6,2,FALSE)+IF(AND(Calculator!B8=TRUE,Backdoors!BI6=TRUE),VLOOKUP(Calculator!E23,tbSkills!DH3:DJ6,3,FALSE),0),0))&gt;=100,100,(Backdoors!AI12+IF(W95&gt;=0.45,VLOOKUP(Calculator!E23,tbSkills!DH3:DI6,2,FALSE)+IF(AND(Calculator!B8=TRUE,Backdoors!BI6=TRUE),VLOOKUP(Calculator!E23,tbSkills!DH3:DJ6,3,FALSE),0),0)))/100)),1))*IF(VLOOKUP(A95,tbMoveset!A2:K112,11,FALSE)=TRUE,Backdoors!AC5,1))*X95,0),"")</f>
        <v>0</v>
      </c>
      <c r="AB95" s="49">
        <f>VLOOKUP(A95,tbMoveset!A2:G112,7,FALSE)*IFERROR(IF(Backdoors!AI12&gt;=0,1+(IF(Calculator!E40&gt;0,VLOOKUP(Calculator!E40,tbSkills!AI3:AJ5,2,FALSE),Backdoors!AL4)*(IF((Backdoors!AI12+IF(W95&gt;=0.45,VLOOKUP(Calculator!E23,tbSkills!DH3:DI6,2,FALSE)+IF(AND(Calculator!B8=TRUE,Backdoors!BI6=TRUE),VLOOKUP(Calculator!E23,tbSkills!DH3:DJ6,3,FALSE),0),0))&gt;=100,100,(Backdoors!AI12+IF(W95&gt;=0.45,VLOOKUP(Calculator!E23,tbSkills!DH3:DI6,2,FALSE)+IF(AND(Calculator!B8=TRUE,Backdoors!BI6=TRUE),VLOOKUP(Calculator!E23,tbSkills!DH3:DJ6,3,FALSE),0),0)))/100)),1),1)</f>
        <v>0.5</v>
      </c>
      <c r="AC95" s="87">
        <f t="shared" si="54"/>
        <v>3</v>
      </c>
      <c r="AD95" s="86">
        <f>IFERROR(IF(VLOOKUP(A95,tbMoveset!A2:B112,2,FALSE)="Sever",Backdoors!AY7/100,IF(VLOOKUP(A95,tbMoveset!A2:B112,2,FALSE)="Blunt",Backdoors!AZ7/100,Backdoors!BA7/100)),"")</f>
        <v>0.65</v>
      </c>
      <c r="AE95" s="49">
        <f>IFERROR(IF(VLOOKUP(tbMoveset!A95,tbMoveset!A2:H112,8,FALSE)="Other",IF(VLOOKUP(tbMoveset!A95,tbMoveset!A2:I112,9,FALSE)="Fire",Backdoors!BB7,IF(VLOOKUP(tbMoveset!A95,tbMoveset!A2:I112,9,FALSE)="Water",Backdoors!BC7,IF(VLOOKUP(tbMoveset!A95,tbMoveset!A2:I112,9,FALSE)="Thunder",Backdoors!BD7,IF(VLOOKUP(tbMoveset!A95,tbMoveset!A2:I112,9,FALSE)="Ice",Backdoors!BE7,IF(VLOOKUP(tbMoveset!A95,tbMoveset!A2:I112,9,FALSE)="Dragon",Backdoors!BF7,Backdoors!BG7)))))/100,Backdoors!BG7/100),"")</f>
        <v>0</v>
      </c>
      <c r="AF95" s="49">
        <f>IFERROR(IF(VLOOKUP(A95,tbMoveset!A2:J112,10,FALSE)=TRUE,IF((Backdoors!AI12+IF(AD95&gt;=0.45,VLOOKUP(Calculator!E23,tbSkills!DH3:DI6,2,FALSE)+IF(AND(Calculator!B8=TRUE,Backdoors!BI7=TRUE),VLOOKUP(Calculator!E23,tbSkills!DH3:DJ6,3,FALSE),0),0))&gt;=0,1+(Backdoors!AL2*(IF((Backdoors!AI12+IF(AD95&gt;=0.45,VLOOKUP(Calculator!E23,tbSkills!DH3:DI6,2,FALSE)+IF(AND(Calculator!B8=TRUE,Backdoors!BI7=TRUE),VLOOKUP(Calculator!E23,tbSkills!DH3:DJ6,3,FALSE),0),0))&gt;=100,100,(Backdoors!AI12+IF(AD95&gt;=0.45,VLOOKUP(Calculator!E23,tbSkills!DH3:DI6,2,FALSE)+IF(AND(Calculator!B8=TRUE,Backdoors!BI7=TRUE),VLOOKUP(Calculator!E23,tbSkills!DH3:DJ6,3,FALSE),0),0)))/100)),(1-(0.25*((-Backdoors!AI12-IF(AD95&gt;=0.45,VLOOKUP(Calculator!E23,tbSkills!DH3:DI6,2,FALSE)+IF(AND(Calculator!B8=TRUE,Backdoors!BI7=TRUE),VLOOKUP(Calculator!E23,tbSkills!DH3:DJ6,3,FALSE),0),0))/100)))),1),"")</f>
        <v>1</v>
      </c>
      <c r="AG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D95)*AF95)*(VLOOKUP(A95,tbMoveset!A2:C112,3,FALSE)/100)*IF(VLOOKUP(A95,tbMoveset!A2:B112,2,FALSE)="Projectile",Backdoors!N10,Backdoors!N9),0),"")</f>
        <v>5</v>
      </c>
      <c r="AH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D95&gt;=0.45,VLOOKUP(Calculator!E23,tbSkills!DH3:DI6,2,FALSE)+IF(AND(Calculator!B8=TRUE,Backdoors!BI7=TRUE),VLOOKUP(Calculator!E23,tbSkills!DH3:DJ6,3,FALSE),0),0))&gt;=100,100,(Backdoors!AI12+IF(AD95&gt;=0.45,VLOOKUP(Calculator!E23,tbSkills!DH3:DI6,2,FALSE)+IF(AND(Calculator!B8=TRUE,Backdoors!BI7=TRUE),VLOOKUP(Calculator!E23,tbSkills!DH3:DJ6,3,FALSE),0),0)))/100)),1))*IF(VLOOKUP(A95,tbMoveset!A2:K112,11,FALSE)=TRUE,Backdoors!AC5,1))*AE95,0),"")</f>
        <v>0</v>
      </c>
      <c r="AI95" s="49">
        <f>VLOOKUP(A95,tbMoveset!A2:G112,7,FALSE)*IFERROR(IF(Backdoors!AI12&gt;=0,1+(IF(Calculator!E40&gt;0,VLOOKUP(Calculator!E40,tbSkills!AI3:AJ5,2,FALSE),Backdoors!AL4)*(IF((Backdoors!AI12+IF(AD95&gt;=0.45,VLOOKUP(Calculator!E23,tbSkills!DH3:DI6,2,FALSE)+IF(AND(Calculator!B8=TRUE,Backdoors!BI7=TRUE),VLOOKUP(Calculator!E23,tbSkills!DH3:DJ6,3,FALSE),0),0))&gt;=100,100,(Backdoors!AI12+IF(AD95&gt;=0.45,VLOOKUP(Calculator!E23,tbSkills!DH3:DI6,2,FALSE)+IF(AND(Calculator!B8=TRUE,Backdoors!BI7=TRUE),VLOOKUP(Calculator!E23,tbSkills!DH3:DJ6,3,FALSE),0),0)))/100)),1),1)</f>
        <v>0.5</v>
      </c>
      <c r="AJ95" s="87">
        <f t="shared" si="55"/>
        <v>5</v>
      </c>
      <c r="AK95" s="91">
        <f>IFERROR(IF(VLOOKUP(A95,tbMoveset!A2:B112,2,FALSE)="Sever",Backdoors!AY8/100,IF(VLOOKUP(A95,tbMoveset!A2:B112,2,FALSE)="Blunt",Backdoors!AZ8/100,Backdoors!BA8/100)),"")</f>
        <v>0.45</v>
      </c>
      <c r="AL95" s="49">
        <f>IFERROR(IF(VLOOKUP(tbMoveset!A95,tbMoveset!A2:H112,8,FALSE)="Other",IF(VLOOKUP(tbMoveset!A95,tbMoveset!A2:I112,9,FALSE)="Fire",Backdoors!BB8,IF(VLOOKUP(tbMoveset!A95,tbMoveset!A2:I112,9,FALSE)="Water",Backdoors!BC8,IF(VLOOKUP(tbMoveset!A95,tbMoveset!A2:I112,9,FALSE)="Thunder",Backdoors!BD8,IF(VLOOKUP(tbMoveset!A95,tbMoveset!A2:I112,9,FALSE)="Ice",Backdoors!BE8,IF(VLOOKUP(tbMoveset!A95,tbMoveset!A2:I112,9,FALSE)="Dragon",Backdoors!BF8,Backdoors!BG8)))))/100,Backdoors!BG8/100),"")</f>
        <v>0</v>
      </c>
      <c r="AM95" s="49">
        <f>IFERROR(IF(VLOOKUP(A95,tbMoveset!A2:J112,10,FALSE)=TRUE,IF((Backdoors!AI12+IF(AK95&gt;=0.45,VLOOKUP(Calculator!E23,tbSkills!DH3:DI6,2,FALSE)+IF(AND(Calculator!B8=TRUE,Backdoors!BI8=TRUE),VLOOKUP(Calculator!E23,tbSkills!DH3:DJ6,3,FALSE),0),0))&gt;=0,1+(Backdoors!AL2*(IF((Backdoors!AI12+IF(AK95&gt;=0.45,VLOOKUP(Calculator!E23,tbSkills!DH3:DI6,2,FALSE)+IF(AND(Calculator!B8=TRUE,Backdoors!BI8=TRUE),VLOOKUP(Calculator!E23,tbSkills!DH3:DJ6,3,FALSE),0),0))&gt;=100,100,(Backdoors!AI12+IF(AK95&gt;=0.45,VLOOKUP(Calculator!E23,tbSkills!DH3:DI6,2,FALSE)+IF(AND(Calculator!B8=TRUE,Backdoors!BI8=TRUE),VLOOKUP(Calculator!E23,tbSkills!DH3:DJ6,3,FALSE),0),0)))/100)),(1-(0.25*((-Backdoors!AI12-IF(AK95&gt;=0.45,VLOOKUP(Calculator!E23,tbSkills!DH3:DI6,2,FALSE)+IF(AND(Calculator!B8=TRUE,Backdoors!BI8=TRUE),VLOOKUP(Calculator!E23,tbSkills!DH3:DJ6,3,FALSE),0),0))/100)))),1),"")</f>
        <v>1</v>
      </c>
      <c r="AN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K95)*AM95)*(VLOOKUP(A95,tbMoveset!A2:C112,3,FALSE)/100)*IF(VLOOKUP(A95,tbMoveset!A2:B112,2,FALSE)="Projectile",Backdoors!N10,Backdoors!N9),0),"")</f>
        <v>3</v>
      </c>
      <c r="AO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K95&gt;=0.45,VLOOKUP(Calculator!E23,tbSkills!DH3:DI6,2,FALSE)+IF(AND(Calculator!B8=TRUE,Backdoors!BI8=TRUE),VLOOKUP(Calculator!E23,tbSkills!DH3:DJ6,3,FALSE),0),0))&gt;=100,100,(Backdoors!AI12+IF(AK95&gt;=0.45,VLOOKUP(Calculator!E23,tbSkills!DH3:DI6,2,FALSE)+IF(AND(Calculator!B8=TRUE,Backdoors!BI8=TRUE),VLOOKUP(Calculator!E23,tbSkills!DH3:DJ6,3,FALSE),0),0)))/100)),1))*IF(VLOOKUP(A95,tbMoveset!A2:K112,11,FALSE)=TRUE,Backdoors!AC5,1))*AL95,0),"")</f>
        <v>0</v>
      </c>
      <c r="AP95" s="49">
        <f>VLOOKUP(A95,tbMoveset!A2:G112,7,FALSE)*IFERROR(IF(Backdoors!AI12&gt;=0,1+(IF(Calculator!E40&gt;0,VLOOKUP(Calculator!E40,tbSkills!AI3:AJ5,2,FALSE),Backdoors!AL4)*(IF((Backdoors!AI12+IF(AK95&gt;=0.45,VLOOKUP(Calculator!E23,tbSkills!DH3:DI6,2,FALSE)+IF(AND(Calculator!B8=TRUE,Backdoors!BI8=TRUE),VLOOKUP(Calculator!E23,tbSkills!DH3:DJ6,3,FALSE),0),0))&gt;=100,100,(Backdoors!AI12+IF(AK95&gt;=0.45,VLOOKUP(Calculator!E23,tbSkills!DH3:DI6,2,FALSE)+IF(AND(Calculator!B8=TRUE,Backdoors!BI8=TRUE),VLOOKUP(Calculator!E23,tbSkills!DH3:DJ6,3,FALSE),0),0)))/100)),1),1)</f>
        <v>0.5</v>
      </c>
      <c r="AQ95" s="87">
        <f t="shared" si="56"/>
        <v>3</v>
      </c>
      <c r="AR95" s="86">
        <f>IFERROR(IF(VLOOKUP(A95,tbMoveset!A2:B112,2,FALSE)="Sever",Backdoors!AY9/100,IF(VLOOKUP(A95,tbMoveset!A2:B112,2,FALSE)="Blunt",Backdoors!AZ9/100,Backdoors!BA9/100)),"")</f>
        <v>0.45</v>
      </c>
      <c r="AS95" s="49">
        <f>IFERROR(IF(VLOOKUP(tbMoveset!A95,tbMoveset!A2:H112,8,FALSE)="Other",IF(VLOOKUP(tbMoveset!A95,tbMoveset!A2:I112,9,FALSE)="Fire",Backdoors!BB9,IF(VLOOKUP(tbMoveset!A95,tbMoveset!A2:I112,9,FALSE)="Water",Backdoors!BC9,IF(VLOOKUP(tbMoveset!A95,tbMoveset!A2:I112,9,FALSE)="Thunder",Backdoors!BD9,IF(VLOOKUP(tbMoveset!A95,tbMoveset!A2:I112,9,FALSE)="Ice",Backdoors!BE9,IF(VLOOKUP(tbMoveset!A95,tbMoveset!A2:I112,9,FALSE)="Dragon",Backdoors!BF9,Backdoors!BG9)))))/100,Backdoors!BG9/100),"")</f>
        <v>0</v>
      </c>
      <c r="AT95" s="49">
        <f>IFERROR(IF(VLOOKUP(A95,tbMoveset!A2:J112,10,FALSE)=TRUE,IF((Backdoors!AI12+IF(AR95&gt;=0.45,VLOOKUP(Calculator!E23,tbSkills!DH3:DI6,2,FALSE)+IF(AND(Calculator!B8=TRUE,Backdoors!BI9=TRUE),VLOOKUP(Calculator!E23,tbSkills!DH3:DJ6,3,FALSE),0),0))&gt;=0,1+(Backdoors!AL2*(IF((Backdoors!AI12+IF(AR95&gt;=0.45,VLOOKUP(Calculator!E23,tbSkills!DH3:DI6,2,FALSE)+IF(AND(Calculator!B8=TRUE,Backdoors!BI9=TRUE),VLOOKUP(Calculator!E23,tbSkills!DH3:DJ6,3,FALSE),0),0))&gt;=100,100,(Backdoors!AI12+IF(AR95&gt;=0.45,VLOOKUP(Calculator!E23,tbSkills!DH3:DI6,2,FALSE)+IF(AND(Calculator!B8=TRUE,Backdoors!BI9=TRUE),VLOOKUP(Calculator!E23,tbSkills!DH3:DJ6,3,FALSE),0),0)))/100)),(1-(0.25*((-Backdoors!AI12-IF(AR95&gt;=0.45,VLOOKUP(Calculator!E23,tbSkills!DH3:DI6,2,FALSE)+IF(AND(Calculator!B8=TRUE,Backdoors!BI9=TRUE),VLOOKUP(Calculator!E23,tbSkills!DH3:DJ6,3,FALSE),0),0))/100)))),1),"")</f>
        <v>1</v>
      </c>
      <c r="AU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R95)*AT95)*(VLOOKUP(A95,tbMoveset!A2:C112,3,FALSE)/100)*IF(VLOOKUP(A95,tbMoveset!A2:B112,2,FALSE)="Projectile",Backdoors!N10,Backdoors!N9),0),"")</f>
        <v>3</v>
      </c>
      <c r="AV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R95&gt;=0.45,VLOOKUP(Calculator!E23,tbSkills!DH3:DI6,2,FALSE)+IF(AND(Calculator!B8=TRUE,Backdoors!BI9=TRUE),VLOOKUP(Calculator!E23,tbSkills!DH3:DJ6,3,FALSE),0),0))&gt;=100,100,(Backdoors!AI12+IF(AR95&gt;=0.45,VLOOKUP(Calculator!E23,tbSkills!DH3:DI6,2,FALSE)+IF(AND(Calculator!B8=TRUE,Backdoors!BI9=TRUE),VLOOKUP(Calculator!E23,tbSkills!DH3:DJ6,3,FALSE),0),0)))/100)),1))*IF(VLOOKUP(A95,tbMoveset!A2:K112,11,FALSE)=TRUE,Backdoors!AC5,1))*AS95,0),"")</f>
        <v>0</v>
      </c>
      <c r="AW95" s="49">
        <f>VLOOKUP(A95,tbMoveset!A2:G112,7,FALSE)*IFERROR(IF(Backdoors!AI12&gt;=0,1+(IF(Calculator!E40&gt;0,VLOOKUP(Calculator!E40,tbSkills!AI3:AJ5,2,FALSE),Backdoors!AL4)*(IF((Backdoors!AI12+IF(AR95&gt;=0.45,VLOOKUP(Calculator!E23,tbSkills!DH3:DI6,2,FALSE)+IF(AND(Calculator!B8=TRUE,Backdoors!BI9=TRUE),VLOOKUP(Calculator!E23,tbSkills!DH3:DJ6,3,FALSE),0),0))&gt;=100,100,(Backdoors!AI12+IF(AR95&gt;=0.45,VLOOKUP(Calculator!E23,tbSkills!DH3:DI6,2,FALSE)+IF(AND(Calculator!B8=TRUE,Backdoors!BI9=TRUE),VLOOKUP(Calculator!E23,tbSkills!DH3:DJ6,3,FALSE),0),0)))/100)),1),1)</f>
        <v>0.5</v>
      </c>
      <c r="AX95" s="87">
        <f t="shared" si="57"/>
        <v>3</v>
      </c>
      <c r="AY95" s="86">
        <f>IFERROR(IF(VLOOKUP(A95,tbMoveset!A2:B112,2,FALSE)="Sever",Backdoors!AY10/100,IF(VLOOKUP(A95,tbMoveset!A2:B112,2,FALSE)="Blunt",Backdoors!AZ10/100,Backdoors!BA10/100)),"")</f>
        <v>0.9</v>
      </c>
      <c r="AZ95" s="49">
        <f>IFERROR(IF(VLOOKUP(tbMoveset!A95,tbMoveset!A2:H112,8,FALSE)="Other",IF(VLOOKUP(tbMoveset!A95,tbMoveset!A2:I112,9,FALSE)="Fire",Backdoors!BB10,IF(VLOOKUP(tbMoveset!A95,tbMoveset!A2:I112,9,FALSE)="Water",Backdoors!BC10,IF(VLOOKUP(tbMoveset!A95,tbMoveset!A2:I112,9,FALSE)="Thunder",Backdoors!BD10,IF(VLOOKUP(tbMoveset!A95,tbMoveset!A2:I112,9,FALSE)="Ice",Backdoors!BE10,IF(VLOOKUP(tbMoveset!A95,tbMoveset!A2:I112,9,FALSE)="Dragon",Backdoors!BF10,Backdoors!BG10)))))/100,Backdoors!BG10/100),"")</f>
        <v>0</v>
      </c>
      <c r="BA95" s="49">
        <f>IFERROR(IF(VLOOKUP(A95,tbMoveset!A2:J112,10,FALSE)=TRUE,IF((Backdoors!AI12+IF(AY95&gt;=0.45,VLOOKUP(Calculator!E23,tbSkills!DH3:DI6,2,FALSE)+IF(AND(Calculator!B8=TRUE,Backdoors!BI10=TRUE),VLOOKUP(Calculator!E23,tbSkills!DH3:DJ6,3,FALSE),0),0))&gt;=0,1+(Backdoors!AL2*(IF((Backdoors!AI12+IF(AY95&gt;=0.45,VLOOKUP(Calculator!E23,tbSkills!DH3:DI6,2,FALSE)+IF(AND(Calculator!B8=TRUE,Backdoors!BI10=TRUE),VLOOKUP(Calculator!E23,tbSkills!DH3:DJ6,3,FALSE),0),0))&gt;=100,100,(Backdoors!AI12+IF(AY95&gt;=0.45,VLOOKUP(Calculator!E23,tbSkills!DH3:DI6,2,FALSE)+IF(AND(Calculator!B8=TRUE,Backdoors!BI10=TRUE),VLOOKUP(Calculator!E23,tbSkills!DH3:DJ6,3,FALSE),0),0)))/100)),(1-(0.25*((-Backdoors!AI12-IF(AY95&gt;=0.45,VLOOKUP(Calculator!E23,tbSkills!DH3:DI6,2,FALSE)+IF(AND(Calculator!B8=TRUE,Backdoors!BI10=TRUE),VLOOKUP(Calculator!E23,tbSkills!DH3:DJ6,3,FALSE),0),0))/100)))),1),"")</f>
        <v>1</v>
      </c>
      <c r="BB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Y95)*BA95)*(VLOOKUP(A95,tbMoveset!A2:C112,3,FALSE)/100)*IF(VLOOKUP(A95,tbMoveset!A2:B112,2,FALSE)="Projectile",Backdoors!N10,Backdoors!N9),0),"")</f>
        <v>7</v>
      </c>
      <c r="BC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Y95&gt;=0.45,VLOOKUP(Calculator!E23,tbSkills!DH3:DI6,2,FALSE)+IF(AND(Calculator!B8=TRUE,Backdoors!BI10=TRUE),VLOOKUP(Calculator!E23,tbSkills!DH3:DJ6,3,FALSE),0),0))&gt;=100,100,(Backdoors!AI12+IF(AY95&gt;=0.45,VLOOKUP(Calculator!E23,tbSkills!DH3:DI6,2,FALSE)+IF(AND(Calculator!B8=TRUE,Backdoors!BI10=TRUE),VLOOKUP(Calculator!E23,tbSkills!DH3:DJ6,3,FALSE),0),0)))/100)),1))*IF(VLOOKUP(A95,tbMoveset!A2:K112,11,FALSE)=TRUE,Backdoors!AC5,1))*AZ95,0),"")</f>
        <v>0</v>
      </c>
      <c r="BD95" s="49">
        <f>VLOOKUP(A95,tbMoveset!A2:G112,7,FALSE)*IFERROR(IF(Backdoors!AI12&gt;=0,1+(IF(Calculator!E40&gt;0,VLOOKUP(Calculator!E40,tbSkills!AI3:AJ5,2,FALSE),Backdoors!AL4)*(IF((Backdoors!AI12+IF(AY95&gt;=0.45,VLOOKUP(Calculator!E23,tbSkills!DH3:DI6,2,FALSE)+IF(AND(Calculator!B8=TRUE,Backdoors!BI10=TRUE),VLOOKUP(Calculator!E23,tbSkills!DH3:DJ6,3,FALSE),0),0))&gt;=100,100,(Backdoors!AI12+IF(AY95&gt;=0.45,VLOOKUP(Calculator!E23,tbSkills!DH3:DI6,2,FALSE)+IF(AND(Calculator!B8=TRUE,Backdoors!BI10=TRUE),VLOOKUP(Calculator!E23,tbSkills!DH3:DJ6,3,FALSE),0),0)))/100)),1),1)</f>
        <v>0.5</v>
      </c>
      <c r="BE95" s="87">
        <f t="shared" si="58"/>
        <v>7</v>
      </c>
      <c r="BF95" s="86" t="str">
        <f>IFERROR(IF(VLOOKUP(A95,tbMoveset!A2:B112,2,FALSE)="Sever",Backdoors!AY11/100,IF(VLOOKUP(A95,tbMoveset!A2:B112,2,FALSE)="Blunt",Backdoors!AZ11/100,Backdoors!BA11/100)),"")</f>
        <v/>
      </c>
      <c r="BG95" s="49">
        <f>IFERROR(IF(VLOOKUP(tbMoveset!A95,tbMoveset!A2:H112,8,FALSE)="Other",IF(VLOOKUP(tbMoveset!A95,tbMoveset!A2:I112,9,FALSE)="Fire",Backdoors!BB11,IF(VLOOKUP(tbMoveset!A95,tbMoveset!A2:I112,9,FALSE)="Water",Backdoors!BC11,IF(VLOOKUP(tbMoveset!A95,tbMoveset!A2:I112,9,FALSE)="Thunder",Backdoors!BD11,IF(VLOOKUP(tbMoveset!A95,tbMoveset!A2:I112,9,FALSE)="Ice",Backdoors!BE11,IF(VLOOKUP(tbMoveset!A95,tbMoveset!A2:I112,9,FALSE)="Dragon",Backdoors!BF11,Backdoors!BG11)))))/100,Backdoors!BG11/100),"")</f>
        <v>0</v>
      </c>
      <c r="BH95" s="49">
        <f>IFERROR(IF(VLOOKUP(A95,tbMoveset!A2:J112,10,FALSE)=TRUE,IF((Backdoors!AI12+IF(BF95&gt;=0.45,VLOOKUP(Calculator!E23,tbSkills!DH3:DI6,2,FALSE)+IF(AND(Calculator!B8=TRUE,Backdoors!BI11=TRUE),VLOOKUP(Calculator!E23,tbSkills!DH3:DJ6,3,FALSE),0),0))&gt;=0,1+(Backdoors!AL2*(IF((Backdoors!AI12+IF(BF95&gt;=0.45,VLOOKUP(Calculator!E23,tbSkills!DH3:DI6,2,FALSE)+IF(AND(Calculator!B8=TRUE,Backdoors!BI11=TRUE),VLOOKUP(Calculator!E23,tbSkills!DH3:DJ6,3,FALSE),0),0))&gt;=100,100,(Backdoors!AI12+IF(BF95&gt;=0.45,VLOOKUP(Calculator!E23,tbSkills!DH3:DI6,2,FALSE)+IF(AND(Calculator!B8=TRUE,Backdoors!BI11=TRUE),VLOOKUP(Calculator!E23,tbSkills!DH3:DJ6,3,FALSE),0),0)))/100)),(1-(0.25*((-Backdoors!AI12-IF(BF95&gt;=0.45,VLOOKUP(Calculator!E23,tbSkills!DH3:DI6,2,FALSE)+IF(AND(Calculator!B8=TRUE,Backdoors!BI11=TRUE),VLOOKUP(Calculator!E23,tbSkills!DH3:DJ6,3,FALSE),0),0))/100)))),1),"")</f>
        <v>1</v>
      </c>
      <c r="BI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F95)*BH95)*(VLOOKUP(A95,tbMoveset!A2:C112,3,FALSE)/100)*IF(VLOOKUP(A95,tbMoveset!A2:B112,2,FALSE)="Projectile",Backdoors!N10,Backdoors!N9),0),"")</f>
        <v/>
      </c>
      <c r="BJ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F95&gt;=0.45,VLOOKUP(Calculator!E23,tbSkills!DH3:DI6,2,FALSE)+IF(AND(Calculator!B8=TRUE,Backdoors!BI11=TRUE),VLOOKUP(Calculator!E23,tbSkills!DH3:DJ6,3,FALSE),0),0))&gt;=100,100,(Backdoors!AI12+IF(BF95&gt;=0.45,VLOOKUP(Calculator!E23,tbSkills!DH3:DI6,2,FALSE)+IF(AND(Calculator!B8=TRUE,Backdoors!BI11=TRUE),VLOOKUP(Calculator!E23,tbSkills!DH3:DJ6,3,FALSE),0),0)))/100)),1))*IF(VLOOKUP(A95,tbMoveset!A2:K112,11,FALSE)=TRUE,Backdoors!AC5,1))*BG95,0),"")</f>
        <v>0</v>
      </c>
      <c r="BK95" s="49">
        <f>VLOOKUP(A95,tbMoveset!A2:G112,7,FALSE)*IFERROR(IF(Backdoors!AI12&gt;=0,1+(IF(Calculator!E40&gt;0,VLOOKUP(Calculator!E40,tbSkills!AI3:AJ5,2,FALSE),Backdoors!AL4)*(IF((Backdoors!AI12+IF(BF95&gt;=0.45,VLOOKUP(Calculator!E23,tbSkills!DH3:DI6,2,FALSE)+IF(AND(Calculator!B8=TRUE,Backdoors!BI11=TRUE),VLOOKUP(Calculator!E23,tbSkills!DH3:DJ6,3,FALSE),0),0))&gt;=100,100,(Backdoors!AI12+IF(BF95&gt;=0.45,VLOOKUP(Calculator!E23,tbSkills!DH3:DI6,2,FALSE)+IF(AND(Calculator!B8=TRUE,Backdoors!BI11=TRUE),VLOOKUP(Calculator!E23,tbSkills!DH3:DJ6,3,FALSE),0),0)))/100)),1),1)</f>
        <v>0.5</v>
      </c>
      <c r="BL95" s="87">
        <f t="shared" si="59"/>
        <v>0</v>
      </c>
      <c r="BM95" s="86" t="str">
        <f>IFERROR(IF(VLOOKUP(A95,tbMoveset!A2:B112,2,FALSE)="Sever",Backdoors!AY12/100,IF(VLOOKUP(A95,tbMoveset!A2:B112,2,FALSE)="Blunt",Backdoors!AZ12/100,Backdoors!BA12/100)),"")</f>
        <v/>
      </c>
      <c r="BN95" s="49">
        <f>IFERROR(IF(VLOOKUP(tbMoveset!A95,tbMoveset!A2:H112,8,FALSE)="Other",IF(VLOOKUP(tbMoveset!A95,tbMoveset!A2:I112,9,FALSE)="Fire",Backdoors!BB12,IF(VLOOKUP(tbMoveset!A95,tbMoveset!A2:I112,9,FALSE)="Water",Backdoors!BC12,IF(VLOOKUP(tbMoveset!A95,tbMoveset!A2:I112,9,FALSE)="Thunder",Backdoors!BD12,IF(VLOOKUP(tbMoveset!A95,tbMoveset!A2:I112,9,FALSE)="Ice",Backdoors!BE12,IF(VLOOKUP(tbMoveset!A95,tbMoveset!A2:I112,9,FALSE)="Dragon",Backdoors!BF12,Backdoors!BG12)))))/100,Backdoors!BG12/100),"")</f>
        <v>0</v>
      </c>
      <c r="BO95" s="49">
        <f>IFERROR(IF(VLOOKUP(A95,tbMoveset!A2:J112,10,FALSE)=TRUE,IF((Backdoors!AI12+IF(BM95&gt;=0.45,VLOOKUP(Calculator!E23,tbSkills!DH3:DI6,2,FALSE)+IF(AND(Calculator!B8=TRUE,Backdoors!BI12=TRUE),VLOOKUP(Calculator!E23,tbSkills!DH3:DJ6,3,FALSE),0),0))&gt;=0,1+(Backdoors!AL2*(IF((Backdoors!AI12+IF(BM95&gt;=0.45,VLOOKUP(Calculator!E23,tbSkills!DH3:DI6,2,FALSE)+IF(AND(Calculator!B8=TRUE,Backdoors!BI12=TRUE),VLOOKUP(Calculator!E23,tbSkills!DH3:DJ6,3,FALSE),0),0))&gt;=100,100,(Backdoors!AI12+IF(BM95&gt;=0.45,VLOOKUP(Calculator!E23,tbSkills!DH3:DI6,2,FALSE)+IF(AND(Calculator!B8=TRUE,Backdoors!BI12=TRUE),VLOOKUP(Calculator!E23,tbSkills!DH3:DJ6,3,FALSE),0),0)))/100)),(1-(0.25*((-Backdoors!AI12-IF(BM95&gt;=0.45,VLOOKUP(Calculator!E23,tbSkills!DH3:DI6,2,FALSE)+IF(AND(Calculator!B8=TRUE,Backdoors!BI12=TRUE),VLOOKUP(Calculator!E23,tbSkills!DH3:DJ6,3,FALSE),0),0))/100)))),1),"")</f>
        <v>1</v>
      </c>
      <c r="BP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M95)*BO95)*(VLOOKUP(A95,tbMoveset!A2:C112,3,FALSE)/100)*IF(VLOOKUP(A95,tbMoveset!A2:B112,2,FALSE)="Projectile",Backdoors!N10,Backdoors!N9),0),"")</f>
        <v/>
      </c>
      <c r="BQ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M95&gt;=0.45,VLOOKUP(Calculator!E23,tbSkills!DH3:DI6,2,FALSE)+IF(AND(Calculator!B8=TRUE,Backdoors!BI12=TRUE),VLOOKUP(Calculator!E23,tbSkills!DH3:DJ6,3,FALSE),0),0))&gt;=100,100,(Backdoors!AI12+IF(BM95&gt;=0.45,VLOOKUP(Calculator!E23,tbSkills!DH3:DI6,2,FALSE)+IF(AND(Calculator!B8=TRUE,Backdoors!BI12=TRUE),VLOOKUP(Calculator!E23,tbSkills!DH3:DJ6,3,FALSE),0),0)))/100)),1))*IF(VLOOKUP(A95,tbMoveset!A2:K112,11,FALSE)=TRUE,Backdoors!AC5,1))*BN95,0),"")</f>
        <v>0</v>
      </c>
      <c r="BR95" s="49">
        <f>VLOOKUP(A95,tbMoveset!A2:G112,7,FALSE)*IFERROR(IF(Backdoors!AI12&gt;=0,1+(IF(Calculator!E40&gt;0,VLOOKUP(Calculator!E40,tbSkills!AI3:AJ5,2,FALSE),Backdoors!AL4)*(IF((Backdoors!AI12+IF(BM95&gt;=0.45,VLOOKUP(Calculator!E23,tbSkills!DH3:DI6,2,FALSE)+IF(AND(Calculator!B8=TRUE,Backdoors!BI12=TRUE),VLOOKUP(Calculator!E23,tbSkills!DH3:DJ6,3,FALSE),0),0))&gt;=100,100,(Backdoors!AI12+IF(BM95&gt;=0.45,VLOOKUP(Calculator!E23,tbSkills!DH3:DI6,2,FALSE)+IF(AND(Calculator!B8=TRUE,Backdoors!BI12=TRUE),VLOOKUP(Calculator!E23,tbSkills!DH3:DJ6,3,FALSE),0),0)))/100)),1),1)</f>
        <v>0.5</v>
      </c>
      <c r="BS95" s="87">
        <f t="shared" si="60"/>
        <v>0</v>
      </c>
      <c r="BT95" s="86" t="str">
        <f>IFERROR(IF(VLOOKUP(A95,tbMoveset!A2:B112,2,FALSE)="Sever",Backdoors!AY13/100,IF(VLOOKUP(A95,tbMoveset!A2:B112,2,FALSE)="Blunt",Backdoors!AZ13/100,Backdoors!BA13/100)),"")</f>
        <v/>
      </c>
      <c r="BU95" s="49">
        <f>IFERROR(IF(VLOOKUP(tbMoveset!A95,tbMoveset!A2:H112,8,FALSE)="Other",IF(VLOOKUP(tbMoveset!A95,tbMoveset!A2:I112,9,FALSE)="Fire",Backdoors!BB13,IF(VLOOKUP(tbMoveset!A95,tbMoveset!A2:I112,9,FALSE)="Water",Backdoors!BC13,IF(VLOOKUP(tbMoveset!A95,tbMoveset!A2:I112,9,FALSE)="Thunder",Backdoors!BD13,IF(VLOOKUP(tbMoveset!A95,tbMoveset!A2:I112,9,FALSE)="Ice",Backdoors!BE13,IF(VLOOKUP(tbMoveset!A95,tbMoveset!A2:I112,9,FALSE)="Dragon",Backdoors!BF13,Backdoors!BG13)))))/100,Backdoors!BG13/100),"")</f>
        <v>0</v>
      </c>
      <c r="BV95" s="49">
        <f>IFERROR(IF(VLOOKUP(A95,tbMoveset!A2:J112,10,FALSE)=TRUE,IF((Backdoors!AI12+IF(BT95&gt;=0.45,VLOOKUP(Calculator!E23,tbSkills!DH3:DI6,2,FALSE)+IF(AND(Calculator!B8=TRUE,Backdoors!BI13=TRUE),VLOOKUP(Calculator!E23,tbSkills!DH3:DJ6,3,FALSE),0),0))&gt;=0,1+(Backdoors!AL2*(IF((Backdoors!AI12+IF(BT95&gt;=0.45,VLOOKUP(Calculator!E23,tbSkills!DH3:DI6,2,FALSE)+IF(AND(Calculator!B8=TRUE,Backdoors!BI13=TRUE),VLOOKUP(Calculator!E23,tbSkills!DH3:DJ6,3,FALSE),0),0))&gt;=100,100,(Backdoors!AI12+IF(BT95&gt;=0.45,VLOOKUP(Calculator!E23,tbSkills!DH3:DI6,2,FALSE)+IF(AND(Calculator!B8=TRUE,Backdoors!BI13=TRUE),VLOOKUP(Calculator!E23,tbSkills!DH3:DJ6,3,FALSE),0),0)))/100)),(1-(0.25*((-Backdoors!AI12-IF(BT95&gt;=0.45,VLOOKUP(Calculator!E23,tbSkills!DH3:DI6,2,FALSE)+IF(AND(Calculator!B8=TRUE,Backdoors!BI13=TRUE),VLOOKUP(Calculator!E23,tbSkills!DH3:DJ6,3,FALSE),0),0))/100)))),1),"")</f>
        <v>1</v>
      </c>
      <c r="BW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T95)*BV95)*(VLOOKUP(A95,tbMoveset!A2:C112,3,FALSE)/100)*IF(VLOOKUP(A95,tbMoveset!A2:B112,2,FALSE)="Projectile",Backdoors!N10,Backdoors!N9),0),"")</f>
        <v/>
      </c>
      <c r="BX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T95&gt;=0.45,VLOOKUP(Calculator!E23,tbSkills!DH3:DI6,2,FALSE)+IF(AND(Calculator!B8=TRUE,Backdoors!BI13=TRUE),VLOOKUP(Calculator!E23,tbSkills!DH3:DJ6,3,FALSE),0),0))&gt;=100,100,(Backdoors!AI12+IF(BT95&gt;=0.45,VLOOKUP(Calculator!E23,tbSkills!DH3:DI6,2,FALSE)+IF(AND(Calculator!B8=TRUE,Backdoors!BI13=TRUE),VLOOKUP(Calculator!E23,tbSkills!DH3:DJ6,3,FALSE),0),0)))/100)),1))*IF(VLOOKUP(A95,tbMoveset!A2:K112,11,FALSE)=TRUE,Backdoors!AC5,1))*BU95,0),"")</f>
        <v>0</v>
      </c>
      <c r="BY95" s="49">
        <f>VLOOKUP(A95,tbMoveset!A2:G112,7,FALSE)*IFERROR(IF(Backdoors!AI12&gt;=0,1+(IF(Calculator!E40&gt;0,VLOOKUP(Calculator!E40,tbSkills!AI3:AJ5,2,FALSE),Backdoors!AL4)*(IF((Backdoors!AI12+IF(BT95&gt;=0.45,VLOOKUP(Calculator!E23,tbSkills!DH3:DI6,2,FALSE)+IF(AND(Calculator!B8=TRUE,Backdoors!BI13=TRUE),VLOOKUP(Calculator!E23,tbSkills!DH3:DJ6,3,FALSE),0),0))&gt;=100,100,(Backdoors!AI12+IF(BT95&gt;=0.45,VLOOKUP(Calculator!E23,tbSkills!DH3:DI6,2,FALSE)+IF(AND(Calculator!B8=TRUE,Backdoors!BI13=TRUE),VLOOKUP(Calculator!E23,tbSkills!DH3:DJ6,3,FALSE),0),0)))/100)),1),1)</f>
        <v>0.5</v>
      </c>
      <c r="BZ95" s="87">
        <f t="shared" si="61"/>
        <v>0</v>
      </c>
      <c r="CA95" s="86" t="str">
        <f>IFERROR(IF(VLOOKUP(A95,tbMoveset!A2:B112,2,FALSE)="Sever",Backdoors!AY14/100,IF(VLOOKUP(A95,tbMoveset!A2:B112,2,FALSE)="Blunt",Backdoors!AZ14/100,Backdoors!BA14/100)),"")</f>
        <v/>
      </c>
      <c r="CB95" s="49">
        <f>IFERROR(IF(VLOOKUP(tbMoveset!A95,tbMoveset!A2:H112,8,FALSE)="Other",IF(VLOOKUP(tbMoveset!A95,tbMoveset!A2:I112,9,FALSE)="Fire",Backdoors!BB14,IF(VLOOKUP(tbMoveset!A95,tbMoveset!A2:I112,9,FALSE)="Water",Backdoors!BC14,IF(VLOOKUP(tbMoveset!A95,tbMoveset!A2:I112,9,FALSE)="Thunder",Backdoors!BD14,IF(VLOOKUP(tbMoveset!A95,tbMoveset!A2:I112,9,FALSE)="Ice",Backdoors!BE14,IF(VLOOKUP(tbMoveset!A95,tbMoveset!A2:I112,9,FALSE)="Dragon",Backdoors!BF14,Backdoors!BG14)))))/100,Backdoors!BG14/100),"")</f>
        <v>0</v>
      </c>
      <c r="CC95" s="49">
        <f>IFERROR(IF(VLOOKUP(A95,tbMoveset!A2:J112,10,FALSE)=TRUE,IF((Backdoors!AI12+IF(CA95&gt;=0.45,VLOOKUP(Calculator!E23,tbSkills!DH3:DI6,2,FALSE)+IF(AND(Calculator!B8=TRUE,Backdoors!BI14=TRUE),VLOOKUP(Calculator!E23,tbSkills!DH3:DJ6,3,FALSE),0),0))&gt;=0,1+(Backdoors!AL2*(IF((Backdoors!AI12+IF(CA95&gt;=0.45,VLOOKUP(Calculator!E23,tbSkills!DH3:DI6,2,FALSE)+IF(AND(Calculator!B8=TRUE,Backdoors!BI14=TRUE),VLOOKUP(Calculator!E23,tbSkills!DH3:DJ6,3,FALSE),0),0))&gt;=100,100,(Backdoors!AI12+IF(CA95&gt;=0.45,VLOOKUP(Calculator!E23,tbSkills!DH3:DI6,2,FALSE)+IF(AND(Calculator!B8=TRUE,Backdoors!BI14=TRUE),VLOOKUP(Calculator!E23,tbSkills!DH3:DJ6,3,FALSE),0),0)))/100)),(1-(0.25*((-Backdoors!AI12-IF(CA95&gt;=0.45,VLOOKUP(Calculator!E23,tbSkills!DH3:DI6,2,FALSE)+IF(AND(Calculator!B8=TRUE,Backdoors!BI14=TRUE),VLOOKUP(Calculator!E23,tbSkills!DH3:DJ6,3,FALSE),0),0))/100)))),1),"")</f>
        <v>1</v>
      </c>
      <c r="CD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A95)*CC95)*(VLOOKUP(A95,tbMoveset!A2:C112,3,FALSE)/100)*IF(VLOOKUP(A95,tbMoveset!A2:B112,2,FALSE)="Projectile",Backdoors!N10,Backdoors!N9),0),"")</f>
        <v/>
      </c>
      <c r="CE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A95&gt;=0.45,VLOOKUP(Calculator!E23,tbSkills!DH3:DI6,2,FALSE)+IF(AND(Calculator!B8=TRUE,Backdoors!BI14=TRUE),VLOOKUP(Calculator!E23,tbSkills!DH3:DJ6,3,FALSE),0),0))&gt;=100,100,(Backdoors!AI12+IF(CA95&gt;=0.45,VLOOKUP(Calculator!E23,tbSkills!DH3:DI6,2,FALSE)+IF(AND(Calculator!B8=TRUE,Backdoors!BI14=TRUE),VLOOKUP(Calculator!E23,tbSkills!DH3:DJ6,3,FALSE),0),0)))/100)),1))*IF(VLOOKUP(A95,tbMoveset!A2:K112,11,FALSE)=TRUE,Backdoors!AC5,1))*CB95,0),"")</f>
        <v>0</v>
      </c>
      <c r="CF95" s="49">
        <f>VLOOKUP(A95,tbMoveset!A2:G112,7,FALSE)*IFERROR(IF(Backdoors!AI12&gt;=0,1+(IF(Calculator!E40&gt;0,VLOOKUP(Calculator!E40,tbSkills!AI3:AJ5,2,FALSE),Backdoors!AL4)*(IF((Backdoors!AI12+IF(CA95&gt;=0.45,VLOOKUP(Calculator!E23,tbSkills!DH3:DI6,2,FALSE)+IF(AND(Calculator!B8=TRUE,Backdoors!BI14=TRUE),VLOOKUP(Calculator!E23,tbSkills!DH3:DJ6,3,FALSE),0),0))&gt;=100,100,(Backdoors!AI12+IF(CA95&gt;=0.45,VLOOKUP(Calculator!E23,tbSkills!DH3:DI6,2,FALSE)+IF(AND(Calculator!B8=TRUE,Backdoors!BI14=TRUE),VLOOKUP(Calculator!E23,tbSkills!DH3:DJ6,3,FALSE),0),0)))/100)),1),1)</f>
        <v>0.5</v>
      </c>
      <c r="CG95" s="87">
        <f t="shared" si="62"/>
        <v>0</v>
      </c>
      <c r="CH95" s="86" t="str">
        <f>IFERROR(IF(VLOOKUP(A95,tbMoveset!A2:B112,2,FALSE)="Sever",Backdoors!AY15/100,IF(VLOOKUP(A95,tbMoveset!A2:B112,2,FALSE)="Blunt",Backdoors!AZ15/100,Backdoors!BA15/100)),"")</f>
        <v/>
      </c>
      <c r="CI95" s="49">
        <f>IFERROR(IF(VLOOKUP(tbMoveset!A95,tbMoveset!A2:H112,8,FALSE)="Other",IF(VLOOKUP(tbMoveset!A95,tbMoveset!A2:I112,9,FALSE)="Fire",Backdoors!BB15,IF(VLOOKUP(tbMoveset!A95,tbMoveset!A2:I112,9,FALSE)="Water",Backdoors!BC15,IF(VLOOKUP(tbMoveset!A95,tbMoveset!A2:I112,9,FALSE)="Thunder",Backdoors!BD15,IF(VLOOKUP(tbMoveset!A95,tbMoveset!A2:I112,9,FALSE)="Ice",Backdoors!BE15,IF(VLOOKUP(tbMoveset!A95,tbMoveset!A2:I112,9,FALSE)="Dragon",Backdoors!BF15,Backdoors!BG15)))))/100,Backdoors!BG15/100),"")</f>
        <v>0</v>
      </c>
      <c r="CJ95" s="49">
        <f>IFERROR(IF(VLOOKUP(A95,tbMoveset!A2:J112,10,FALSE)=TRUE,IF((Backdoors!AI12+IF(CH95&gt;=0.45,VLOOKUP(Calculator!E23,tbSkills!DH3:DI6,2,FALSE)+IF(AND(Calculator!B8=TRUE,Backdoors!BI15=TRUE),VLOOKUP(Calculator!E23,tbSkills!DH3:DJ6,3,FALSE),0),0))&gt;=0,1+(Backdoors!AL2*(IF((Backdoors!AI12+IF(CH95&gt;=0.45,VLOOKUP(Calculator!E23,tbSkills!DH3:DI6,2,FALSE)+IF(AND(Calculator!B8=TRUE,Backdoors!BI15=TRUE),VLOOKUP(Calculator!E23,tbSkills!DH3:DJ6,3,FALSE),0),0))&gt;=100,100,(Backdoors!AI12+IF(CH95&gt;=0.45,VLOOKUP(Calculator!E23,tbSkills!DH3:DI6,2,FALSE)+IF(AND(Calculator!B8=TRUE,Backdoors!BI15=TRUE),VLOOKUP(Calculator!E23,tbSkills!DH3:DJ6,3,FALSE),0),0)))/100)),(1-(0.25*((-Backdoors!AI12-IF(CH95&gt;=0.45,VLOOKUP(Calculator!E23,tbSkills!DH3:DI6,2,FALSE)+IF(AND(Calculator!B8=TRUE,Backdoors!BI15=TRUE),VLOOKUP(Calculator!E23,tbSkills!DH3:DJ6,3,FALSE),0),0))/100)))),1),"")</f>
        <v>1</v>
      </c>
      <c r="CK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H95)*CJ95)*(VLOOKUP(A95,tbMoveset!A2:C112,3,FALSE)/100)*IF(VLOOKUP(A95,tbMoveset!A2:B112,2,FALSE)="Projectile",Backdoors!N10,Backdoors!N9),0),"")</f>
        <v/>
      </c>
      <c r="CL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H95&gt;=0.45,VLOOKUP(Calculator!E23,tbSkills!DH3:DI6,2,FALSE)+IF(AND(Calculator!B8=TRUE,Backdoors!BI15=TRUE),VLOOKUP(Calculator!E23,tbSkills!DH3:DJ6,3,FALSE),0),0))&gt;=100,100,(Backdoors!AI12+IF(CH95&gt;=0.45,VLOOKUP(Calculator!E23,tbSkills!DH3:DI6,2,FALSE)+IF(AND(Calculator!B8=TRUE,Backdoors!BI15=TRUE),VLOOKUP(Calculator!E23,tbSkills!DH3:DJ6,3,FALSE),0),0)))/100)),1))*IF(VLOOKUP(A95,tbMoveset!A2:K112,11,FALSE)=TRUE,Backdoors!AC5,1))*CI95,0),"")</f>
        <v>0</v>
      </c>
      <c r="CM95" s="49">
        <f>VLOOKUP(A95,tbMoveset!A2:G112,7,FALSE)*IFERROR(IF(Backdoors!AI12&gt;=0,1+(IF(Calculator!E40&gt;0,VLOOKUP(Calculator!E40,tbSkills!AI3:AJ5,2,FALSE),Backdoors!AL4)*(IF((Backdoors!AI12+IF(CH95&gt;=0.45,VLOOKUP(Calculator!E23,tbSkills!DH3:DI6,2,FALSE)+IF(AND(Calculator!B8=TRUE,Backdoors!BI15=TRUE),VLOOKUP(Calculator!E23,tbSkills!DH3:DJ6,3,FALSE),0),0))&gt;=100,100,(Backdoors!AI12+IF(CH95&gt;=0.45,VLOOKUP(Calculator!E23,tbSkills!DH3:DI6,2,FALSE)+IF(AND(Calculator!B8=TRUE,Backdoors!BI15=TRUE),VLOOKUP(Calculator!E23,tbSkills!DH3:DJ6,3,FALSE),0),0)))/100)),1),1)</f>
        <v>0.5</v>
      </c>
      <c r="CN95" s="87">
        <f t="shared" si="63"/>
        <v>0</v>
      </c>
      <c r="CO95" s="86" t="str">
        <f>IFERROR(IF(VLOOKUP(A95,tbMoveset!A2:B112,2,FALSE)="Sever",Backdoors!AY16/100,IF(VLOOKUP(A95,tbMoveset!A2:B112,2,FALSE)="Blunt",Backdoors!AZ16/100,Backdoors!BA16/100)),"")</f>
        <v/>
      </c>
      <c r="CP95" s="49">
        <f>IFERROR(IF(VLOOKUP(tbMoveset!A95,tbMoveset!A2:H112,8,FALSE)="Other",IF(VLOOKUP(tbMoveset!A95,tbMoveset!A2:I112,9,FALSE)="Fire",Backdoors!BB16,IF(VLOOKUP(tbMoveset!A95,tbMoveset!A2:I112,9,FALSE)="Water",Backdoors!BC16,IF(VLOOKUP(tbMoveset!A95,tbMoveset!A2:I112,9,FALSE)="Thunder",Backdoors!BD16,IF(VLOOKUP(tbMoveset!A95,tbMoveset!A2:I112,9,FALSE)="Ice",Backdoors!BE16,IF(VLOOKUP(tbMoveset!A95,tbMoveset!A2:I112,9,FALSE)="Dragon",Backdoors!BF16,Backdoors!BG16)))))/100,Backdoors!BG16/100),"")</f>
        <v>0</v>
      </c>
      <c r="CQ95" s="49">
        <f>IFERROR(IF(VLOOKUP(A95,tbMoveset!A2:J112,10,FALSE)=TRUE,IF((Backdoors!AI12+IF(CO95&gt;=0.45,VLOOKUP(Calculator!E23,tbSkills!DH3:DI6,2,FALSE)+IF(AND(Calculator!B8=TRUE,Backdoors!BI16=TRUE),VLOOKUP(Calculator!E23,tbSkills!DH3:DJ6,3,FALSE),0),0))&gt;=0,1+(Backdoors!AL2*(IF((Backdoors!AI12+IF(CO95&gt;=0.45,VLOOKUP(Calculator!E23,tbSkills!DH3:DI6,2,FALSE)+IF(AND(Calculator!B8=TRUE,Backdoors!BI16=TRUE),VLOOKUP(Calculator!E23,tbSkills!DH3:DJ6,3,FALSE),0),0))&gt;=100,100,(Backdoors!AI12+IF(CO95&gt;=0.45,VLOOKUP(Calculator!E23,tbSkills!DH3:DI6,2,FALSE)+IF(AND(Calculator!B8=TRUE,Backdoors!BI16=TRUE),VLOOKUP(Calculator!E23,tbSkills!DH3:DJ6,3,FALSE),0),0)))/100)),(1-(0.25*((-Backdoors!AI12-IF(CO95&gt;=0.45,VLOOKUP(Calculator!E23,tbSkills!DH3:DI6,2,FALSE)+IF(AND(Calculator!B8=TRUE,Backdoors!BI16=TRUE),VLOOKUP(Calculator!E23,tbSkills!DH3:DJ6,3,FALSE),0),0))/100)))),1),"")</f>
        <v>1</v>
      </c>
      <c r="CR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O95)*CQ95)*(VLOOKUP(A95,tbMoveset!A2:C112,3,FALSE)/100)*IF(VLOOKUP(A95,tbMoveset!A2:B112,2,FALSE)="Projectile",Backdoors!N10,Backdoors!N9),0),"")</f>
        <v/>
      </c>
      <c r="CS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O95&gt;=0.45,VLOOKUP(Calculator!E23,tbSkills!DH3:DI6,2,FALSE)+IF(AND(Calculator!B8=TRUE,Backdoors!BI16=TRUE),VLOOKUP(Calculator!E23,tbSkills!DH3:DJ6,3,FALSE),0),0))&gt;=100,100,(Backdoors!AI12+IF(CO95&gt;=0.45,VLOOKUP(Calculator!E23,tbSkills!DH3:DI6,2,FALSE)+IF(AND(Calculator!B8=TRUE,Backdoors!BI16=TRUE),VLOOKUP(Calculator!E23,tbSkills!DH3:DJ6,3,FALSE),0),0)))/100)),1))*IF(VLOOKUP(A95,tbMoveset!A2:K112,11,FALSE)=TRUE,Backdoors!AC5,1))*CP95,0),"")</f>
        <v>0</v>
      </c>
      <c r="CT95" s="49">
        <f>VLOOKUP(A95,tbMoveset!A2:G112,7,FALSE)*IFERROR(IF(Backdoors!AI12&gt;=0,1+(IF(Calculator!E40&gt;0,VLOOKUP(Calculator!E40,tbSkills!AI3:AJ5,2,FALSE),Backdoors!AL4)*(IF((Backdoors!AI12+IF(CO95&gt;=0.45,VLOOKUP(Calculator!E23,tbSkills!DH3:DI6,2,FALSE)+IF(AND(Calculator!B8=TRUE,Backdoors!BI16=TRUE),VLOOKUP(Calculator!E23,tbSkills!DH3:DJ6,3,FALSE),0),0))&gt;=100,100,(Backdoors!AI12+IF(CO95&gt;=0.45,VLOOKUP(Calculator!E23,tbSkills!DH3:DI6,2,FALSE)+IF(AND(Calculator!B8=TRUE,Backdoors!BI16=TRUE),VLOOKUP(Calculator!E23,tbSkills!DH3:DJ6,3,FALSE),0),0)))/100)),1),1)</f>
        <v>0.5</v>
      </c>
      <c r="CU95" s="87">
        <f t="shared" si="64"/>
        <v>0</v>
      </c>
      <c r="CV95" s="86" t="str">
        <f>IFERROR(IF(VLOOKUP(A95,tbMoveset!A2:B112,2,FALSE)="Sever",Backdoors!AY17/100,IF(VLOOKUP(A95,tbMoveset!A2:B112,2,FALSE)="Blunt",Backdoors!AZ17/100,Backdoors!BA17/100)),"")</f>
        <v/>
      </c>
      <c r="CW95" s="49">
        <f>IFERROR(IF(VLOOKUP(tbMoveset!A95,tbMoveset!A2:H112,8,FALSE)="Other",IF(VLOOKUP(tbMoveset!A95,tbMoveset!A2:I112,9,FALSE)="Fire",Backdoors!BB17,IF(VLOOKUP(tbMoveset!A95,tbMoveset!A2:I112,9,FALSE)="Water",Backdoors!BC17,IF(VLOOKUP(tbMoveset!A95,tbMoveset!A2:I112,9,FALSE)="Thunder",Backdoors!BD17,IF(VLOOKUP(tbMoveset!A95,tbMoveset!A2:I112,9,FALSE)="Ice",Backdoors!BE17,IF(VLOOKUP(tbMoveset!A95,tbMoveset!A2:I112,9,FALSE)="Dragon",Backdoors!BF17,Backdoors!BG17)))))/100,Backdoors!BG17/100),"")</f>
        <v>0</v>
      </c>
      <c r="CX95" s="49">
        <f>IFERROR(IF(VLOOKUP(A95,tbMoveset!A2:J112,10,FALSE)=TRUE,IF((Backdoors!AI12+IF(CV95&gt;=0.45,VLOOKUP(Calculator!E23,tbSkills!DH3:DI6,2,FALSE)+IF(AND(Calculator!B8=TRUE,Backdoors!BI17=TRUE),VLOOKUP(Calculator!E23,tbSkills!DH3:DJ6,3,FALSE),0),0))&gt;=0,1+(Backdoors!AL2*(IF((Backdoors!AI12+IF(CV95&gt;=0.45,VLOOKUP(Calculator!E23,tbSkills!DH3:DI6,2,FALSE)+IF(AND(Calculator!B8=TRUE,Backdoors!BI17=TRUE),VLOOKUP(Calculator!E23,tbSkills!DH3:DJ6,3,FALSE),0),0))&gt;=100,100,(Backdoors!AI12+IF(CV95&gt;=0.45,VLOOKUP(Calculator!E23,tbSkills!DH3:DI6,2,FALSE)+IF(AND(Calculator!B8=TRUE,Backdoors!BI17=TRUE),VLOOKUP(Calculator!E23,tbSkills!DH3:DJ6,3,FALSE),0),0)))/100)),(1-(0.25*((-Backdoors!AI12-IF(CV95&gt;=0.45,VLOOKUP(Calculator!E23,tbSkills!DH3:DI6,2,FALSE)+IF(AND(Calculator!B8=TRUE,Backdoors!BI17=TRUE),VLOOKUP(Calculator!E23,tbSkills!DH3:DJ6,3,FALSE),0),0))/100)))),1),"")</f>
        <v>1</v>
      </c>
      <c r="CY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V95)*CX95)*(VLOOKUP(A95,tbMoveset!A2:C112,3,FALSE)/100)*IF(VLOOKUP(A95,tbMoveset!A2:B112,2,FALSE)="Projectile",Backdoors!N10,Backdoors!N9),0),"")</f>
        <v/>
      </c>
      <c r="CZ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V95&gt;=0.45,VLOOKUP(Calculator!E23,tbSkills!DH3:DI6,2,FALSE)+IF(AND(Calculator!B8=TRUE,Backdoors!BI17=TRUE),VLOOKUP(Calculator!E23,tbSkills!DH3:DJ6,3,FALSE),0),0))&gt;=100,100,(Backdoors!AI12+IF(CV95&gt;=0.45,VLOOKUP(Calculator!E23,tbSkills!DH3:DI6,2,FALSE)+IF(AND(Calculator!B8=TRUE,Backdoors!BI17=TRUE),VLOOKUP(Calculator!E23,tbSkills!DH3:DJ6,3,FALSE),0),0)))/100)),1))*IF(VLOOKUP(A95,tbMoveset!A2:K112,11,FALSE)=TRUE,Backdoors!AC5,1))*CW95,0),"")</f>
        <v>0</v>
      </c>
      <c r="DA95" s="49">
        <f>VLOOKUP(A95,tbMoveset!A2:G112,7,FALSE)*IFERROR(IF(Backdoors!AI12&gt;=0,1+(IF(Calculator!E40&gt;0,VLOOKUP(Calculator!E40,tbSkills!AI3:AJ5,2,FALSE),Backdoors!AL4)*(IF((Backdoors!AI12+IF(CV95&gt;=0.45,VLOOKUP(Calculator!E23,tbSkills!DH3:DI6,2,FALSE)+IF(AND(Calculator!B8=TRUE,Backdoors!BI17=TRUE),VLOOKUP(Calculator!E23,tbSkills!DH3:DJ6,3,FALSE),0),0))&gt;=100,100,(Backdoors!AI12+IF(CV95&gt;=0.45,VLOOKUP(Calculator!E23,tbSkills!DH3:DI6,2,FALSE)+IF(AND(Calculator!B8=TRUE,Backdoors!BI17=TRUE),VLOOKUP(Calculator!E23,tbSkills!DH3:DJ6,3,FALSE),0),0)))/100)),1),1)</f>
        <v>0.5</v>
      </c>
      <c r="DB95" s="87">
        <f t="shared" si="65"/>
        <v>0</v>
      </c>
      <c r="DC95" s="86" t="str">
        <f>IFERROR(IF(VLOOKUP(A95,tbMoveset!A2:B112,2,FALSE)="Sever",Backdoors!AY18/100,IF(VLOOKUP(A95,tbMoveset!A2:B112,2,FALSE)="Blunt",Backdoors!AZ18/100,Backdoors!BA18/100)),"")</f>
        <v/>
      </c>
      <c r="DD95" s="49">
        <f>IFERROR(IF(VLOOKUP(tbMoveset!A95,tbMoveset!A2:H112,8,FALSE)="Other",IF(VLOOKUP(tbMoveset!A95,tbMoveset!A2:I112,9,FALSE)="Fire",Backdoors!BB18,IF(VLOOKUP(tbMoveset!A95,tbMoveset!A2:I112,9,FALSE)="Water",Backdoors!BC18,IF(VLOOKUP(tbMoveset!A95,tbMoveset!A2:I112,9,FALSE)="Thunder",Backdoors!BD18,IF(VLOOKUP(tbMoveset!A95,tbMoveset!A2:I112,9,FALSE)="Ice",Backdoors!BE18,IF(VLOOKUP(tbMoveset!A95,tbMoveset!A2:I112,9,FALSE)="Dragon",Backdoors!BF18,Backdoors!BG18)))))/100,Backdoors!BG18/100),"")</f>
        <v>0</v>
      </c>
      <c r="DE95" s="49">
        <f>IFERROR(IF(VLOOKUP(A95,tbMoveset!A2:J112,10,FALSE)=TRUE,IF((Backdoors!AI12+IF(DC95&gt;=0.45,VLOOKUP(Calculator!E23,tbSkills!DH3:DI6,2,FALSE)+IF(AND(Calculator!B8=TRUE,Backdoors!BI18=TRUE),VLOOKUP(Calculator!E23,tbSkills!DH3:DJ6,3,FALSE),0),0))&gt;=0,1+(Backdoors!AL2*(IF((Backdoors!AI12+IF(DC95&gt;=0.45,VLOOKUP(Calculator!E23,tbSkills!DH3:DI6,2,FALSE)+IF(AND(Calculator!B8=TRUE,Backdoors!BI18=TRUE),VLOOKUP(Calculator!E23,tbSkills!DH3:DJ6,3,FALSE),0),0))&gt;=100,100,(Backdoors!AI12+IF(DC95&gt;=0.45,VLOOKUP(Calculator!E23,tbSkills!DH3:DI6,2,FALSE)+IF(AND(Calculator!B8=TRUE,Backdoors!BI18=TRUE),VLOOKUP(Calculator!E23,tbSkills!DH3:DJ6,3,FALSE),0),0)))/100)),(1-(0.25*((-Backdoors!AI12-IF(DC95&gt;=0.45,VLOOKUP(Calculator!E23,tbSkills!DH3:DI6,2,FALSE)+IF(AND(Calculator!B8=TRUE,Backdoors!BI18=TRUE),VLOOKUP(Calculator!E23,tbSkills!DH3:DJ6,3,FALSE),0),0))/100)))),1),"")</f>
        <v>1</v>
      </c>
      <c r="DF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C95)*DE95)*(VLOOKUP(A95,tbMoveset!A2:C112,3,FALSE)/100)*IF(VLOOKUP(A95,tbMoveset!A2:B112,2,FALSE)="Projectile",Backdoors!N10,Backdoors!N9),0),"")</f>
        <v/>
      </c>
      <c r="DG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C95&gt;=0.45,VLOOKUP(Calculator!E23,tbSkills!DH3:DI6,2,FALSE)+IF(AND(Calculator!B8=TRUE,Backdoors!BI18=TRUE),VLOOKUP(Calculator!E23,tbSkills!DH3:DJ6,3,FALSE),0),0))&gt;=100,100,(Backdoors!AI12+IF(DC95&gt;=0.45,VLOOKUP(Calculator!E23,tbSkills!DH3:DI6,2,FALSE)+IF(AND(Calculator!B8=TRUE,Backdoors!BI18=TRUE),VLOOKUP(Calculator!E23,tbSkills!DH3:DJ6,3,FALSE),0),0)))/100)),1))*IF(VLOOKUP(A95,tbMoveset!A2:K112,11,FALSE)=TRUE,Backdoors!AC5,1))*DD95,0),"")</f>
        <v>0</v>
      </c>
      <c r="DH95" s="49">
        <f>VLOOKUP(A95,tbMoveset!A2:G112,7,FALSE)*IFERROR(IF(Backdoors!AI12&gt;=0,1+(IF(Calculator!E40&gt;0,VLOOKUP(Calculator!E40,tbSkills!AI3:AJ5,2,FALSE),Backdoors!AL4)*(IF((Backdoors!AI12+IF(DC95&gt;=0.45,VLOOKUP(Calculator!E23,tbSkills!DH3:DI6,2,FALSE)+IF(AND(Calculator!B8=TRUE,Backdoors!BI18=TRUE),VLOOKUP(Calculator!E23,tbSkills!DH3:DJ6,3,FALSE),0),0))&gt;=100,100,(Backdoors!AI12+IF(DC95&gt;=0.45,VLOOKUP(Calculator!E23,tbSkills!DH3:DI6,2,FALSE)+IF(AND(Calculator!B8=TRUE,Backdoors!BI18=TRUE),VLOOKUP(Calculator!E23,tbSkills!DH3:DJ6,3,FALSE),0),0)))/100)),1),1)</f>
        <v>0.5</v>
      </c>
      <c r="DI95" s="87">
        <f t="shared" si="66"/>
        <v>0</v>
      </c>
      <c r="DJ95" s="86" t="str">
        <f>IFERROR(IF(VLOOKUP(A95,tbMoveset!A2:B112,2,FALSE)="Sever",Backdoors!AY19/100,IF(VLOOKUP(A95,tbMoveset!A2:B112,2,FALSE)="Blunt",Backdoors!AZ19/100,Backdoors!BA19/100)),"")</f>
        <v/>
      </c>
      <c r="DK95" s="49">
        <f>IFERROR(IF(VLOOKUP(tbMoveset!A95,tbMoveset!A2:H112,8,FALSE)="Other",IF(VLOOKUP(tbMoveset!A95,tbMoveset!A2:I112,9,FALSE)="Fire",Backdoors!BB19,IF(VLOOKUP(tbMoveset!A95,tbMoveset!A2:I112,9,FALSE)="Water",Backdoors!BC19,IF(VLOOKUP(tbMoveset!A95,tbMoveset!A2:I112,9,FALSE)="Thunder",Backdoors!BD19,IF(VLOOKUP(tbMoveset!A95,tbMoveset!A2:I112,9,FALSE)="Ice",Backdoors!BE19,IF(VLOOKUP(tbMoveset!A95,tbMoveset!A2:I112,9,FALSE)="Dragon",Backdoors!BF19,Backdoors!BG19)))))/100,Backdoors!BG19/100),"")</f>
        <v>0</v>
      </c>
      <c r="DL95" s="49">
        <f>IFERROR(IF(VLOOKUP(A95,tbMoveset!A2:J112,10,FALSE)=TRUE,IF((Backdoors!AI12+IF(DJ95&gt;=0.45,VLOOKUP(Calculator!E23,tbSkills!DH3:DI6,2,FALSE)+IF(AND(Calculator!B8=TRUE,Backdoors!BI19=TRUE),VLOOKUP(Calculator!E23,tbSkills!DH3:DJ6,3,FALSE),0),0))&gt;=0,1+(Backdoors!AL2*(IF((Backdoors!AI12+IF(DJ95&gt;=0.45,VLOOKUP(Calculator!E23,tbSkills!DH3:DI6,2,FALSE)+IF(AND(Calculator!B8=TRUE,Backdoors!BI19=TRUE),VLOOKUP(Calculator!E23,tbSkills!DH3:DJ6,3,FALSE),0),0))&gt;=100,100,(Backdoors!AI12+IF(DJ95&gt;=0.45,VLOOKUP(Calculator!E23,tbSkills!DH3:DI6,2,FALSE)+IF(AND(Calculator!B8=TRUE,Backdoors!BI19=TRUE),VLOOKUP(Calculator!E23,tbSkills!DH3:DJ6,3,FALSE),0),0)))/100)),(1-(0.25*((-Backdoors!AI12-IF(DJ95&gt;=0.45,VLOOKUP(Calculator!E23,tbSkills!DH3:DI6,2,FALSE)+IF(AND(Calculator!B8=TRUE,Backdoors!BI19=TRUE),VLOOKUP(Calculator!E23,tbSkills!DH3:DJ6,3,FALSE),0),0))/100)))),1),"")</f>
        <v>1</v>
      </c>
      <c r="DM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J95)*DL95)*(VLOOKUP(A95,tbMoveset!A2:C112,3,FALSE)/100)*IF(VLOOKUP(A95,tbMoveset!A2:B112,2,FALSE)="Projectile",Backdoors!N10,Backdoors!N9),0),"")</f>
        <v/>
      </c>
      <c r="DN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J95&gt;=0.45,VLOOKUP(Calculator!E23,tbSkills!DH3:DI6,2,FALSE)+IF(AND(Calculator!B8=TRUE,Backdoors!BI19=TRUE),VLOOKUP(Calculator!E23,tbSkills!DH3:DJ6,3,FALSE),0),0))&gt;=100,100,(Backdoors!AI12+IF(DJ95&gt;=0.45,VLOOKUP(Calculator!E23,tbSkills!DH3:DI6,2,FALSE)+IF(AND(Calculator!B8=TRUE,Backdoors!BI19=TRUE),VLOOKUP(Calculator!E23,tbSkills!DH3:DJ6,3,FALSE),0),0)))/100)),1))*IF(VLOOKUP(A95,tbMoveset!A2:K112,11,FALSE)=TRUE,Backdoors!AC5,1))*DK95,0),"")</f>
        <v>0</v>
      </c>
      <c r="DO95" s="49">
        <f>VLOOKUP(A95,tbMoveset!A2:G112,7,FALSE)*IFERROR(IF(Backdoors!AI12&gt;=0,1+(IF(Calculator!E40&gt;0,VLOOKUP(Calculator!E40,tbSkills!AI3:AJ5,2,FALSE),Backdoors!AL4)*(IF((Backdoors!AI12+IF(DJ95&gt;=0.45,VLOOKUP(Calculator!E23,tbSkills!DH3:DI6,2,FALSE)+IF(AND(Calculator!B8=TRUE,Backdoors!BI19=TRUE),VLOOKUP(Calculator!E23,tbSkills!DH3:DJ6,3,FALSE),0),0))&gt;=100,100,(Backdoors!AI12+IF(DJ95&gt;=0.45,VLOOKUP(Calculator!E23,tbSkills!DH3:DI6,2,FALSE)+IF(AND(Calculator!B8=TRUE,Backdoors!BI19=TRUE),VLOOKUP(Calculator!E23,tbSkills!DH3:DJ6,3,FALSE),0),0)))/100)),1),1)</f>
        <v>0.5</v>
      </c>
      <c r="DP95" s="87">
        <f t="shared" si="67"/>
        <v>0</v>
      </c>
      <c r="DQ95" s="86" t="str">
        <f>IFERROR(IF(VLOOKUP(A95,tbMoveset!A2:B112,2,FALSE)="Sever",Backdoors!AY20/100,IF(VLOOKUP(A95,tbMoveset!A2:B112,2,FALSE)="Blunt",Backdoors!AZ20/100,Backdoors!BA20/100)),"")</f>
        <v/>
      </c>
      <c r="DR95" s="49">
        <f>IFERROR(IF(VLOOKUP(tbMoveset!A95,tbMoveset!A2:H112,8,FALSE)="Other",IF(VLOOKUP(tbMoveset!A95,tbMoveset!A2:I112,9,FALSE)="Fire",Backdoors!BB20,IF(VLOOKUP(tbMoveset!A95,tbMoveset!A2:I112,9,FALSE)="Water",Backdoors!BC20,IF(VLOOKUP(tbMoveset!A95,tbMoveset!A2:I112,9,FALSE)="Thunder",Backdoors!BD20,IF(VLOOKUP(tbMoveset!A95,tbMoveset!A2:I112,9,FALSE)="Ice",Backdoors!BE20,IF(VLOOKUP(tbMoveset!A95,tbMoveset!A2:I112,9,FALSE)="Dragon",Backdoors!BF20,Backdoors!BG20)))))/100,Backdoors!BG20/100),"")</f>
        <v>0</v>
      </c>
      <c r="DS95" s="49">
        <f>IFERROR(IF(VLOOKUP(A95,tbMoveset!A2:J112,10,FALSE)=TRUE,IF((Backdoors!AI12+IF(DQ95&gt;=0.45,VLOOKUP(Calculator!E23,tbSkills!DH3:DI6,2,FALSE)+IF(AND(Calculator!B8=TRUE,Backdoors!BI20=TRUE),VLOOKUP(Calculator!E23,tbSkills!DH3:DJ6,3,FALSE),0),0))&gt;=0,1+(Backdoors!AL2*(IF((Backdoors!AI12+IF(DQ95&gt;=0.45,VLOOKUP(Calculator!E23,tbSkills!DH3:DI6,2,FALSE)+IF(AND(Calculator!B8=TRUE,Backdoors!BI20=TRUE),VLOOKUP(Calculator!E23,tbSkills!DH3:DJ6,3,FALSE),0),0))&gt;=100,100,(Backdoors!AI12+IF(DQ95&gt;=0.45,VLOOKUP(Calculator!E23,tbSkills!DH3:DI6,2,FALSE)+IF(AND(Calculator!B8=TRUE,Backdoors!BI20=TRUE),VLOOKUP(Calculator!E23,tbSkills!DH3:DJ6,3,FALSE),0),0)))/100)),(1-(0.25*((-Backdoors!AI12-IF(DQ95&gt;=0.45,VLOOKUP(Calculator!E23,tbSkills!DH3:DI6,2,FALSE)+IF(AND(Calculator!B8=TRUE,Backdoors!BI20=TRUE),VLOOKUP(Calculator!E23,tbSkills!DH3:DJ6,3,FALSE),0),0))/100)))),1),"")</f>
        <v>1</v>
      </c>
      <c r="DT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Q95)*DS95)*(VLOOKUP(A95,tbMoveset!A2:C112,3,FALSE)/100)*IF(VLOOKUP(A95,tbMoveset!A2:B112,2,FALSE)="Projectile",Backdoors!N10,Backdoors!N9),0),"")</f>
        <v/>
      </c>
      <c r="DU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Q95&gt;=0.45,VLOOKUP(Calculator!E23,tbSkills!DH3:DI6,2,FALSE)+IF(AND(Calculator!B8=TRUE,Backdoors!BI20=TRUE),VLOOKUP(Calculator!E23,tbSkills!DH3:DJ6,3,FALSE),0),0))&gt;=100,100,(Backdoors!AI12+IF(DQ95&gt;=0.45,VLOOKUP(Calculator!E23,tbSkills!DH3:DI6,2,FALSE)+IF(AND(Calculator!B8=TRUE,Backdoors!BI20=TRUE),VLOOKUP(Calculator!E23,tbSkills!DH3:DJ6,3,FALSE),0),0)))/100)),1))*IF(VLOOKUP(A95,tbMoveset!A2:K112,11,FALSE)=TRUE,Backdoors!AC5,1))*DR95,0),"")</f>
        <v>0</v>
      </c>
      <c r="DV95" s="49">
        <f>VLOOKUP(A95,tbMoveset!A2:G112,7,FALSE)*IFERROR(IF(Backdoors!AI12&gt;=0,1+(IF(Calculator!E40&gt;0,VLOOKUP(Calculator!E40,tbSkills!AI3:AJ5,2,FALSE),Backdoors!AL4)*(IF((Backdoors!AI12+IF(DQ95&gt;=0.45,VLOOKUP(Calculator!E23,tbSkills!DH3:DI6,2,FALSE)+IF(AND(Calculator!B8=TRUE,Backdoors!BI20=TRUE),VLOOKUP(Calculator!E23,tbSkills!DH3:DJ6,3,FALSE),0),0))&gt;=100,100,(Backdoors!AI12+IF(DQ95&gt;=0.45,VLOOKUP(Calculator!E23,tbSkills!DH3:DI6,2,FALSE)+IF(AND(Calculator!B8=TRUE,Backdoors!BI20=TRUE),VLOOKUP(Calculator!E23,tbSkills!DH3:DJ6,3,FALSE),0),0)))/100)),1),1)</f>
        <v>0.5</v>
      </c>
      <c r="DW95" s="87">
        <f t="shared" si="68"/>
        <v>0</v>
      </c>
      <c r="DX95" s="86" t="str">
        <f>IFERROR(IF(VLOOKUP(A95,tbMoveset!A2:B112,2,FALSE)="Sever",Backdoors!AY21/100,IF(VLOOKUP(A95,tbMoveset!A2:B112,2,FALSE)="Blunt",Backdoors!AZ21/100,Backdoors!BA21/100)),"")</f>
        <v/>
      </c>
      <c r="DY95" s="49">
        <f>IFERROR(IF(VLOOKUP(tbMoveset!A95,tbMoveset!A2:H112,8,FALSE)="Other",IF(VLOOKUP(tbMoveset!A95,tbMoveset!A2:I112,9,FALSE)="Fire",Backdoors!BB21,IF(VLOOKUP(tbMoveset!A95,tbMoveset!A2:I112,9,FALSE)="Water",Backdoors!BC21,IF(VLOOKUP(tbMoveset!A95,tbMoveset!A2:I112,9,FALSE)="Thunder",Backdoors!BD21,IF(VLOOKUP(tbMoveset!A95,tbMoveset!A2:I112,9,FALSE)="Ice",Backdoors!BE21,IF(VLOOKUP(tbMoveset!A95,tbMoveset!A2:I112,9,FALSE)="Dragon",Backdoors!BF21,Backdoors!BG21)))))/100,Backdoors!BG21/100),"")</f>
        <v>0</v>
      </c>
      <c r="DZ95" s="49">
        <f>IFERROR(IF(VLOOKUP(A95,tbMoveset!A2:J112,10,FALSE)=TRUE,IF((Backdoors!AI12+IF(DX95&gt;=0.45,VLOOKUP(Calculator!E23,tbSkills!DH3:DI6,2,FALSE)+IF(AND(Calculator!B8=TRUE,Backdoors!BI21=TRUE),VLOOKUP(Calculator!E23,tbSkills!DH3:DJ6,3,FALSE),0),0))&gt;=0,1+(Backdoors!AL2*(IF((Backdoors!AI12+IF(DX95&gt;=0.45,VLOOKUP(Calculator!E23,tbSkills!DH3:DI6,2,FALSE)+IF(AND(Calculator!B8=TRUE,Backdoors!BI21=TRUE),VLOOKUP(Calculator!E23,tbSkills!DH3:DJ6,3,FALSE),0),0))&gt;=100,100,(Backdoors!AI12+IF(DX95&gt;=0.45,VLOOKUP(Calculator!E23,tbSkills!DH3:DI6,2,FALSE)+IF(AND(Calculator!B8=TRUE,Backdoors!BI21=TRUE),VLOOKUP(Calculator!E23,tbSkills!DH3:DJ6,3,FALSE),0),0)))/100)),(1-(0.25*((-Backdoors!AI12-IF(DX95&gt;=0.45,VLOOKUP(Calculator!E23,tbSkills!DH3:DI6,2,FALSE)+IF(AND(Calculator!B8=TRUE,Backdoors!BI21=TRUE),VLOOKUP(Calculator!E23,tbSkills!DH3:DJ6,3,FALSE),0),0))/100)))),1),"")</f>
        <v>1</v>
      </c>
      <c r="EA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X95)*DZ95)*(VLOOKUP(A95,tbMoveset!A2:C112,3,FALSE)/100)*IF(VLOOKUP(A95,tbMoveset!A2:B112,2,FALSE)="Projectile",Backdoors!N10,Backdoors!N9),0),"")</f>
        <v/>
      </c>
      <c r="EB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X95&gt;=0.45,VLOOKUP(Calculator!E23,tbSkills!DH3:DI6,2,FALSE)+IF(AND(Calculator!B8=TRUE,Backdoors!BI21=TRUE),VLOOKUP(Calculator!E23,tbSkills!DH3:DJ6,3,FALSE),0),0))&gt;=100,100,(Backdoors!AI12+IF(DX95&gt;=0.45,VLOOKUP(Calculator!E23,tbSkills!DH3:DI6,2,FALSE)+IF(AND(Calculator!B8=TRUE,Backdoors!BI21=TRUE),VLOOKUP(Calculator!E23,tbSkills!DH3:DJ6,3,FALSE),0),0)))/100)),1))*IF(VLOOKUP(A95,tbMoveset!A2:K112,11,FALSE)=TRUE,Backdoors!AC5,1))*DY95,0),"")</f>
        <v>0</v>
      </c>
      <c r="EC95" s="49">
        <f>VLOOKUP(A95,tbMoveset!A2:G112,7,FALSE)*IFERROR(IF(Backdoors!AI12&gt;=0,1+(IF(Calculator!E40&gt;0,VLOOKUP(Calculator!E40,tbSkills!AI3:AJ5,2,FALSE),Backdoors!AL4)*(IF((Backdoors!AI12+IF(DX95&gt;=0.45,VLOOKUP(Calculator!E23,tbSkills!DH3:DI6,2,FALSE)+IF(AND(Calculator!B8=TRUE,Backdoors!BI21=TRUE),VLOOKUP(Calculator!E23,tbSkills!DH3:DJ6,3,FALSE),0),0))&gt;=100,100,(Backdoors!AI12+IF(DX95&gt;=0.45,VLOOKUP(Calculator!E23,tbSkills!DH3:DI6,2,FALSE)+IF(AND(Calculator!B8=TRUE,Backdoors!BI21=TRUE),VLOOKUP(Calculator!E23,tbSkills!DH3:DJ6,3,FALSE),0),0)))/100)),1),1)</f>
        <v>0.5</v>
      </c>
      <c r="ED95" s="87">
        <f t="shared" si="69"/>
        <v>0</v>
      </c>
      <c r="EE95" s="86" t="str">
        <f>IFERROR(IF(VLOOKUP(A95,tbMoveset!A2:B112,2,FALSE)="Sever",Backdoors!AY22/100,IF(VLOOKUP(A95,tbMoveset!A2:B112,2,FALSE)="Blunt",Backdoors!AZ22/100,Backdoors!BA22/100)),"")</f>
        <v/>
      </c>
      <c r="EF95" s="49">
        <f>IFERROR(IF(VLOOKUP(tbMoveset!A95,tbMoveset!A2:H112,8,FALSE)="Other",IF(VLOOKUP(tbMoveset!A95,tbMoveset!A2:I112,9,FALSE)="Fire",Backdoors!BB22,IF(VLOOKUP(tbMoveset!A95,tbMoveset!A2:I112,9,FALSE)="Water",Backdoors!BC22,IF(VLOOKUP(tbMoveset!A95,tbMoveset!A2:I112,9,FALSE)="Thunder",Backdoors!BD22,IF(VLOOKUP(tbMoveset!A95,tbMoveset!A2:I112,9,FALSE)="Ice",Backdoors!BE22,IF(VLOOKUP(tbMoveset!A95,tbMoveset!A2:I112,9,FALSE)="Dragon",Backdoors!BF22,Backdoors!BG22)))))/100,Backdoors!BG22/100),"")</f>
        <v>0</v>
      </c>
      <c r="EG95" s="49">
        <f>IFERROR(IF(VLOOKUP(A95,tbMoveset!A2:J112,10,FALSE)=TRUE,IF((Backdoors!AI12+IF(EE95&gt;=0.45,VLOOKUP(Calculator!E23,tbSkills!DH3:DI6,2,FALSE)+IF(AND(Calculator!B8=TRUE,Backdoors!BI22=TRUE),VLOOKUP(Calculator!E23,tbSkills!DH3:DJ6,3,FALSE),0),0))&gt;=0,1+(Backdoors!AL2*(IF((Backdoors!AI12+IF(EE95&gt;=0.45,VLOOKUP(Calculator!E23,tbSkills!DH3:DI6,2,FALSE)+IF(AND(Calculator!B8=TRUE,Backdoors!BI22=TRUE),VLOOKUP(Calculator!E23,tbSkills!DH3:DJ6,3,FALSE),0),0))&gt;=100,100,(Backdoors!AI12+IF(EE95&gt;=0.45,VLOOKUP(Calculator!E23,tbSkills!DH3:DI6,2,FALSE)+IF(AND(Calculator!B8=TRUE,Backdoors!BI22=TRUE),VLOOKUP(Calculator!E23,tbSkills!DH3:DJ6,3,FALSE),0),0)))/100)),(1-(0.25*((-Backdoors!AI12-IF(EE95&gt;=0.45,VLOOKUP(Calculator!E23,tbSkills!DH3:DI6,2,FALSE)+IF(AND(Calculator!B8=TRUE,Backdoors!BI22=TRUE),VLOOKUP(Calculator!E23,tbSkills!DH3:DJ6,3,FALSE),0),0))/100)))),1),"")</f>
        <v>1</v>
      </c>
      <c r="EH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E95)*EG95)*(VLOOKUP(A95,tbMoveset!A2:C112,3,FALSE)/100)*IF(VLOOKUP(A95,tbMoveset!A2:B112,2,FALSE)="Projectile",Backdoors!N10,Backdoors!N9),0),"")</f>
        <v/>
      </c>
      <c r="EI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E95&gt;=0.45,VLOOKUP(Calculator!E23,tbSkills!DH3:DI6,2,FALSE)+IF(AND(Calculator!B8=TRUE,Backdoors!BI22=TRUE),VLOOKUP(Calculator!E23,tbSkills!DH3:DJ6,3,FALSE),0),0))&gt;=100,100,(Backdoors!AI12+IF(EE95&gt;=0.45,VLOOKUP(Calculator!E23,tbSkills!DH3:DI6,2,FALSE)+IF(AND(Calculator!B8=TRUE,Backdoors!BI22=TRUE),VLOOKUP(Calculator!E23,tbSkills!DH3:DJ6,3,FALSE),0),0)))/100)),1))*IF(VLOOKUP(A95,tbMoveset!A2:K112,11,FALSE)=TRUE,Backdoors!AC5,1))*EF95,0),"")</f>
        <v>0</v>
      </c>
      <c r="EJ95" s="49">
        <f>VLOOKUP(A95,tbMoveset!A2:G112,7,FALSE)*IFERROR(IF(Backdoors!AI12&gt;=0,1+(IF(Calculator!E40&gt;0,VLOOKUP(Calculator!E40,tbSkills!AI3:AJ5,2,FALSE),Backdoors!AL4)*(IF((Backdoors!AI12+IF(EE95&gt;=0.45,VLOOKUP(Calculator!E23,tbSkills!DH3:DI6,2,FALSE)+IF(AND(Calculator!B8=TRUE,Backdoors!BI22=TRUE),VLOOKUP(Calculator!E23,tbSkills!DH3:DJ6,3,FALSE),0),0))&gt;=100,100,(Backdoors!AI12+IF(EE95&gt;=0.45,VLOOKUP(Calculator!E23,tbSkills!DH3:DI6,2,FALSE)+IF(AND(Calculator!B8=TRUE,Backdoors!BI22=TRUE),VLOOKUP(Calculator!E23,tbSkills!DH3:DJ6,3,FALSE),0),0)))/100)),1),1)</f>
        <v>0.5</v>
      </c>
      <c r="EK95" s="87">
        <f t="shared" si="70"/>
        <v>0</v>
      </c>
      <c r="EL95" s="86" t="str">
        <f>IFERROR(IF(VLOOKUP(A95,tbMoveset!A2:B112,2,FALSE)="Sever",Backdoors!AY23/100,IF(VLOOKUP(A95,tbMoveset!A2:B112,2,FALSE)="Blunt",Backdoors!AZ23/100,Backdoors!BA23/100)),"")</f>
        <v/>
      </c>
      <c r="EM95" s="49">
        <f>IFERROR(IF(VLOOKUP(tbMoveset!A95,tbMoveset!A2:H112,8,FALSE)="Other",IF(VLOOKUP(tbMoveset!A95,tbMoveset!A2:I112,9,FALSE)="Fire",Backdoors!BB23,IF(VLOOKUP(tbMoveset!A95,tbMoveset!A2:I112,9,FALSE)="Water",Backdoors!BC23,IF(VLOOKUP(tbMoveset!A95,tbMoveset!A2:I112,9,FALSE)="Thunder",Backdoors!BD23,IF(VLOOKUP(tbMoveset!A95,tbMoveset!A2:I112,9,FALSE)="Ice",Backdoors!BE23,IF(VLOOKUP(tbMoveset!A95,tbMoveset!A2:I112,9,FALSE)="Dragon",Backdoors!BF23,Backdoors!BG23)))))/100,Backdoors!BG23/100),"")</f>
        <v>0</v>
      </c>
      <c r="EN95" s="49">
        <f>IFERROR(IF(VLOOKUP(A95,tbMoveset!A2:J112,10,FALSE)=TRUE,IF((Backdoors!AI12+IF(EL95&gt;=0.45,VLOOKUP(Calculator!E23,tbSkills!DH3:DI6,2,FALSE)+IF(AND(Calculator!B8=TRUE,Backdoors!BI23=TRUE),VLOOKUP(Calculator!E23,tbSkills!DH3:DJ6,3,FALSE),0),0))&gt;=0,1+(Backdoors!AL2*(IF((Backdoors!AI12+IF(EL95&gt;=0.45,VLOOKUP(Calculator!E23,tbSkills!DH3:DI6,2,FALSE)+IF(AND(Calculator!B8=TRUE,Backdoors!BI23=TRUE),VLOOKUP(Calculator!E23,tbSkills!DH3:DJ6,3,FALSE),0),0))&gt;=100,100,(Backdoors!AI12+IF(EL95&gt;=0.45,VLOOKUP(Calculator!E23,tbSkills!DH3:DI6,2,FALSE)+IF(AND(Calculator!B8=TRUE,Backdoors!BI23=TRUE),VLOOKUP(Calculator!E23,tbSkills!DH3:DJ6,3,FALSE),0),0)))/100)),(1-(0.25*((-Backdoors!AI12-IF(EL95&gt;=0.45,VLOOKUP(Calculator!E23,tbSkills!DH3:DI6,2,FALSE)+IF(AND(Calculator!B8=TRUE,Backdoors!BI23=TRUE),VLOOKUP(Calculator!E23,tbSkills!DH3:DJ6,3,FALSE),0),0))/100)))),1),"")</f>
        <v>1</v>
      </c>
      <c r="EO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L95)*EN95)*(VLOOKUP(A95,tbMoveset!A2:C112,3,FALSE)/100)*IF(VLOOKUP(A95,tbMoveset!A2:B112,2,FALSE)="Projectile",Backdoors!N10,Backdoors!N9),0),"")</f>
        <v/>
      </c>
      <c r="EP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L95&gt;=0.45,VLOOKUP(Calculator!E23,tbSkills!DH3:DI6,2,FALSE)+IF(AND(Calculator!B8=TRUE,Backdoors!BI23=TRUE),VLOOKUP(Calculator!E23,tbSkills!DH3:DJ6,3,FALSE),0),0))&gt;=100,100,(Backdoors!AI12+IF(EL95&gt;=0.45,VLOOKUP(Calculator!E23,tbSkills!DH3:DI6,2,FALSE)+IF(AND(Calculator!B8=TRUE,Backdoors!BI23=TRUE),VLOOKUP(Calculator!E23,tbSkills!DH3:DJ6,3,FALSE),0),0)))/100)),1))*IF(VLOOKUP(A95,tbMoveset!A2:K112,11,FALSE)=TRUE,Backdoors!AC5,1))*EM95,0),"")</f>
        <v>0</v>
      </c>
      <c r="EQ95" s="49">
        <f>VLOOKUP(A95,tbMoveset!A2:G112,7,FALSE)*IFERROR(IF(Backdoors!AI12&gt;=0,1+(IF(Calculator!E40&gt;0,VLOOKUP(Calculator!E40,tbSkills!AI3:AJ5,2,FALSE),Backdoors!AL4)*(IF((Backdoors!AI12+IF(EL95&gt;=0.45,VLOOKUP(Calculator!E23,tbSkills!DH3:DI6,2,FALSE)+IF(AND(Calculator!B8=TRUE,Backdoors!BI23=TRUE),VLOOKUP(Calculator!E23,tbSkills!DH3:DJ6,3,FALSE),0),0))&gt;=100,100,(Backdoors!AI12+IF(EL95&gt;=0.45,VLOOKUP(Calculator!E23,tbSkills!DH3:DI6,2,FALSE)+IF(AND(Calculator!B8=TRUE,Backdoors!BI23=TRUE),VLOOKUP(Calculator!E23,tbSkills!DH3:DJ6,3,FALSE),0),0)))/100)),1),1)</f>
        <v>0.5</v>
      </c>
      <c r="ER95" s="87">
        <f t="shared" si="71"/>
        <v>0</v>
      </c>
      <c r="ES95" s="86" t="str">
        <f>IFERROR(IF(VLOOKUP(A95,tbMoveset!A2:B112,2,FALSE)="Sever",Backdoors!AY24/100,IF(VLOOKUP(A95,tbMoveset!A2:B112,2,FALSE)="Blunt",Backdoors!AZ24/100,Backdoors!BA24/100)),"")</f>
        <v/>
      </c>
      <c r="ET95" s="49">
        <f>IFERROR(IF(VLOOKUP(tbMoveset!A95,tbMoveset!A2:H112,8,FALSE)="Other",IF(VLOOKUP(tbMoveset!A95,tbMoveset!A2:I112,9,FALSE)="Fire",Backdoors!BB24,IF(VLOOKUP(tbMoveset!A95,tbMoveset!A2:I112,9,FALSE)="Water",Backdoors!BC24,IF(VLOOKUP(tbMoveset!A95,tbMoveset!A2:I112,9,FALSE)="Thunder",Backdoors!BD24,IF(VLOOKUP(tbMoveset!A95,tbMoveset!A2:I112,9,FALSE)="Ice",Backdoors!BE24,IF(VLOOKUP(tbMoveset!A95,tbMoveset!A2:I112,9,FALSE)="Dragon",Backdoors!BF24,Backdoors!BG24)))))/100,Backdoors!BG24/100),"")</f>
        <v>0</v>
      </c>
      <c r="EU95" s="49">
        <f>IFERROR(IF(VLOOKUP(A95,tbMoveset!A2:J112,10,FALSE)=TRUE,IF((Backdoors!AI12+IF(ES95&gt;=0.45,VLOOKUP(Calculator!E23,tbSkills!DH3:DI6,2,FALSE)+IF(AND(Calculator!B8=TRUE,Backdoors!BI24=TRUE),VLOOKUP(Calculator!E23,tbSkills!DH3:DJ6,3,FALSE),0),0))&gt;=0,1+(Backdoors!AL2*(IF((Backdoors!AI12+IF(ES95&gt;=0.45,VLOOKUP(Calculator!E23,tbSkills!DH3:DI6,2,FALSE)+IF(AND(Calculator!B8=TRUE,Backdoors!BI24=TRUE),VLOOKUP(Calculator!E23,tbSkills!DH3:DJ6,3,FALSE),0),0))&gt;=100,100,(Backdoors!AI12+IF(ES95&gt;=0.45,VLOOKUP(Calculator!E23,tbSkills!DH3:DI6,2,FALSE)+IF(AND(Calculator!B8=TRUE,Backdoors!BI24=TRUE),VLOOKUP(Calculator!E23,tbSkills!DH3:DJ6,3,FALSE),0),0)))/100)),(1-(0.25*((-Backdoors!AI12-IF(ES95&gt;=0.45,VLOOKUP(Calculator!E23,tbSkills!DH3:DI6,2,FALSE)+IF(AND(Calculator!B8=TRUE,Backdoors!BI24=TRUE),VLOOKUP(Calculator!E23,tbSkills!DH3:DJ6,3,FALSE),0),0))/100)))),1),"")</f>
        <v>1</v>
      </c>
      <c r="EV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S95)*EU95)*(VLOOKUP(A95,tbMoveset!A2:C112,3,FALSE)/100)*IF(VLOOKUP(A95,tbMoveset!A2:B112,2,FALSE)="Projectile",Backdoors!N10,Backdoors!N9),0),"")</f>
        <v/>
      </c>
      <c r="EW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S95&gt;=0.45,VLOOKUP(Calculator!E23,tbSkills!DH3:DI6,2,FALSE)+IF(AND(Calculator!B8=TRUE,Backdoors!BI24=TRUE),VLOOKUP(Calculator!E23,tbSkills!DH3:DJ6,3,FALSE),0),0))&gt;=100,100,(Backdoors!AI12+IF(ES95&gt;=0.45,VLOOKUP(Calculator!E23,tbSkills!DH3:DI6,2,FALSE)+IF(AND(Calculator!B8=TRUE,Backdoors!BI24=TRUE),VLOOKUP(Calculator!E23,tbSkills!DH3:DJ6,3,FALSE),0),0)))/100)),1))*IF(VLOOKUP(A95,tbMoveset!A2:K112,11,FALSE)=TRUE,Backdoors!AC5,1))*ET95,0),"")</f>
        <v>0</v>
      </c>
      <c r="EX95" s="49">
        <f>VLOOKUP(A95,tbMoveset!A2:G112,7,FALSE)*IFERROR(IF(Backdoors!AI12&gt;=0,1+(IF(Calculator!E40&gt;0,VLOOKUP(Calculator!E40,tbSkills!AI3:AJ5,2,FALSE),Backdoors!AL4)*(IF((Backdoors!AI12+IF(ES95&gt;=0.45,VLOOKUP(Calculator!E23,tbSkills!DH3:DI6,2,FALSE)+IF(AND(Calculator!B8=TRUE,Backdoors!BI24=TRUE),VLOOKUP(Calculator!E23,tbSkills!DH3:DJ6,3,FALSE),0),0))&gt;=100,100,(Backdoors!AI12+IF(ES95&gt;=0.45,VLOOKUP(Calculator!E23,tbSkills!DH3:DI6,2,FALSE)+IF(AND(Calculator!B8=TRUE,Backdoors!BI24=TRUE),VLOOKUP(Calculator!E23,tbSkills!DH3:DJ6,3,FALSE),0),0)))/100)),1),1)</f>
        <v>0.5</v>
      </c>
      <c r="EY95" s="87">
        <f t="shared" si="72"/>
        <v>0</v>
      </c>
      <c r="EZ95" s="86" t="str">
        <f>IFERROR(IF(VLOOKUP(A95,tbMoveset!A2:B112,2,FALSE)="Sever",Backdoors!AY25/100,IF(VLOOKUP(A95,tbMoveset!A2:B112,2,FALSE)="Blunt",Backdoors!AZ25/100,Backdoors!BA25/100)),"")</f>
        <v/>
      </c>
      <c r="FA95" s="49">
        <f>IFERROR(IF(VLOOKUP(tbMoveset!A95,tbMoveset!A2:H112,8,FALSE)="Other",IF(VLOOKUP(tbMoveset!A95,tbMoveset!A2:I112,9,FALSE)="Fire",Backdoors!BB25,IF(VLOOKUP(tbMoveset!A95,tbMoveset!A2:I112,9,FALSE)="Water",Backdoors!BC25,IF(VLOOKUP(tbMoveset!A95,tbMoveset!A2:I112,9,FALSE)="Thunder",Backdoors!BD25,IF(VLOOKUP(tbMoveset!A95,tbMoveset!A2:I112,9,FALSE)="Ice",Backdoors!BE25,IF(VLOOKUP(tbMoveset!A95,tbMoveset!A2:I112,9,FALSE)="Dragon",Backdoors!BF25,Backdoors!BG25)))))/100,Backdoors!BG25/100),"")</f>
        <v>0</v>
      </c>
      <c r="FB95" s="49">
        <f>IFERROR(IF(VLOOKUP(A95,tbMoveset!A2:J112,10,FALSE)=TRUE,IF((Backdoors!AI12+IF(EZ95&gt;=0.45,VLOOKUP(Calculator!E23,tbSkills!DH3:DI6,2,FALSE)+IF(AND(Calculator!B8=TRUE,Backdoors!BI25=TRUE),VLOOKUP(Calculator!E23,tbSkills!DH3:DJ6,3,FALSE),0),0))&gt;=0,1+(Backdoors!AL2*(IF((Backdoors!AI12+IF(EZ95&gt;=0.45,VLOOKUP(Calculator!E23,tbSkills!DH3:DI6,2,FALSE)+IF(AND(Calculator!B8=TRUE,Backdoors!BI25=TRUE),VLOOKUP(Calculator!E23,tbSkills!DH3:DJ6,3,FALSE),0),0))&gt;=100,100,(Backdoors!AI12+IF(EZ95&gt;=0.45,VLOOKUP(Calculator!E23,tbSkills!DH3:DI6,2,FALSE)+IF(AND(Calculator!B8=TRUE,Backdoors!BI25=TRUE),VLOOKUP(Calculator!E23,tbSkills!DH3:DJ6,3,FALSE),0),0)))/100)),(1-(0.25*((-Backdoors!AI12-IF(EZ95&gt;=0.45,VLOOKUP(Calculator!E23,tbSkills!DH3:DI6,2,FALSE)+IF(AND(Calculator!B8=TRUE,Backdoors!BI25=TRUE),VLOOKUP(Calculator!E23,tbSkills!DH3:DJ6,3,FALSE),0),0))/100)))),1),"")</f>
        <v>1</v>
      </c>
      <c r="FC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Z95)*FB95)*(VLOOKUP(A95,tbMoveset!A2:C112,3,FALSE)/100)*IF(VLOOKUP(A95,tbMoveset!A2:B112,2,FALSE)="Projectile",Backdoors!N10,Backdoors!N9),0),"")</f>
        <v/>
      </c>
      <c r="FD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Z95&gt;=0.45,VLOOKUP(Calculator!E23,tbSkills!DH3:DI6,2,FALSE)+IF(AND(Calculator!B8=TRUE,Backdoors!BI25=TRUE),VLOOKUP(Calculator!E23,tbSkills!DH3:DJ6,3,FALSE),0),0))&gt;=100,100,(Backdoors!AI12+IF(EZ95&gt;=0.45,VLOOKUP(Calculator!E23,tbSkills!DH3:DI6,2,FALSE)+IF(AND(Calculator!B8=TRUE,Backdoors!BI25=TRUE),VLOOKUP(Calculator!E23,tbSkills!DH3:DJ6,3,FALSE),0),0)))/100)),1))*IF(VLOOKUP(A95,tbMoveset!A2:K112,11,FALSE)=TRUE,Backdoors!AC5,1))*FA95,0),"")</f>
        <v>0</v>
      </c>
      <c r="FE95" s="49">
        <f>VLOOKUP(A95,tbMoveset!A2:G112,7,FALSE)*IFERROR(IF(Backdoors!AI12&gt;=0,1+(IF(Calculator!E40&gt;0,VLOOKUP(Calculator!E40,tbSkills!AI3:AJ5,2,FALSE),Backdoors!AL4)*(IF((Backdoors!AI12+IF(EZ95&gt;=0.45,VLOOKUP(Calculator!E23,tbSkills!DH3:DI6,2,FALSE)+IF(AND(Calculator!B8=TRUE,Backdoors!BI25=TRUE),VLOOKUP(Calculator!E23,tbSkills!DH3:DJ6,3,FALSE),0),0))&gt;=100,100,(Backdoors!AI12+IF(EZ95&gt;=0.45,VLOOKUP(Calculator!E23,tbSkills!DH3:DI6,2,FALSE)+IF(AND(Calculator!B8=TRUE,Backdoors!BI25=TRUE),VLOOKUP(Calculator!E23,tbSkills!DH3:DJ6,3,FALSE),0),0)))/100)),1),1)</f>
        <v>0.5</v>
      </c>
      <c r="FF95" s="87">
        <f t="shared" si="73"/>
        <v>0</v>
      </c>
      <c r="FG95" s="86" t="str">
        <f>IFERROR(IF(VLOOKUP(A95,tbMoveset!A2:B112,2,FALSE)="Sever",Backdoors!AY26/100,IF(VLOOKUP(A95,tbMoveset!A2:B112,2,FALSE)="Blunt",Backdoors!AZ26/100,Backdoors!BA26/100)),"")</f>
        <v/>
      </c>
      <c r="FH95" s="49">
        <f>IFERROR(IF(VLOOKUP(tbMoveset!A95,tbMoveset!A2:H112,8,FALSE)="Other",IF(VLOOKUP(tbMoveset!A95,tbMoveset!A2:I112,9,FALSE)="Fire",Backdoors!BB26,IF(VLOOKUP(tbMoveset!A95,tbMoveset!A2:I112,9,FALSE)="Water",Backdoors!BC26,IF(VLOOKUP(tbMoveset!A95,tbMoveset!A2:I112,9,FALSE)="Thunder",Backdoors!BD26,IF(VLOOKUP(tbMoveset!A95,tbMoveset!A2:I112,9,FALSE)="Ice",Backdoors!BE26,IF(VLOOKUP(tbMoveset!A95,tbMoveset!A2:I112,9,FALSE)="Dragon",Backdoors!BF26,Backdoors!BG26)))))/100,Backdoors!BG26/100),"")</f>
        <v>0</v>
      </c>
      <c r="FI95" s="49">
        <f>IFERROR(IF(VLOOKUP(A95,tbMoveset!A2:J112,10,FALSE)=TRUE,IF((Backdoors!AI12+IF(FG95&gt;=0.45,VLOOKUP(Calculator!E23,tbSkills!DH3:DI6,2,FALSE)+IF(AND(Calculator!B8=TRUE,Backdoors!BI26=TRUE),VLOOKUP(Calculator!E23,tbSkills!DH3:DJ6,3,FALSE),0),0))&gt;=0,1+(Backdoors!AL2*(IF((Backdoors!AI12+IF(FG95&gt;=0.45,VLOOKUP(Calculator!E23,tbSkills!DH3:DI6,2,FALSE)+IF(AND(Calculator!B8=TRUE,Backdoors!BI26=TRUE),VLOOKUP(Calculator!E23,tbSkills!DH3:DJ6,3,FALSE),0),0))&gt;=100,100,(Backdoors!AI12+IF(FG95&gt;=0.45,VLOOKUP(Calculator!E23,tbSkills!DH3:DI6,2,FALSE)+IF(AND(Calculator!B8=TRUE,Backdoors!BI26=TRUE),VLOOKUP(Calculator!E23,tbSkills!DH3:DJ6,3,FALSE),0),0)))/100)),(1-(0.25*((-Backdoors!AI12-IF(FG95&gt;=0.45,VLOOKUP(Calculator!E23,tbSkills!DH3:DI6,2,FALSE)+IF(AND(Calculator!B8=TRUE,Backdoors!BI26=TRUE),VLOOKUP(Calculator!E23,tbSkills!DH3:DJ6,3,FALSE),0),0))/100)))),1),"")</f>
        <v>1</v>
      </c>
      <c r="FJ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FG95)*FI95)*(VLOOKUP(A95,tbMoveset!A2:C112,3,FALSE)/100)*IF(VLOOKUP(A95,tbMoveset!A2:B112,2,FALSE)="Projectile",Backdoors!N10,Backdoors!N9),0),"")</f>
        <v/>
      </c>
      <c r="FK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FG95&gt;=0.45,VLOOKUP(Calculator!E23,tbSkills!DH3:DI6,2,FALSE)+IF(AND(Calculator!B8=TRUE,Backdoors!BI26=TRUE),VLOOKUP(Calculator!E23,tbSkills!DH3:DJ6,3,FALSE),0),0))&gt;=100,100,(Backdoors!AI12+IF(FG95&gt;=0.45,VLOOKUP(Calculator!E23,tbSkills!DH3:DI6,2,FALSE)+IF(AND(Calculator!B8=TRUE,Backdoors!BI26=TRUE),VLOOKUP(Calculator!E23,tbSkills!DH3:DJ6,3,FALSE),0),0)))/100)),1))*IF(VLOOKUP(A95,tbMoveset!A2:K112,11,FALSE)=TRUE,Backdoors!AC5,1))*FH95,0),"")</f>
        <v>0</v>
      </c>
      <c r="FL95" s="49">
        <f>VLOOKUP(A95,tbMoveset!A2:G112,7,FALSE)*IFERROR(IF(Backdoors!AI12&gt;=0,1+(IF(Calculator!E40&gt;0,VLOOKUP(Calculator!E40,tbSkills!AI3:AJ5,2,FALSE),Backdoors!AL4)*(IF((Backdoors!AI12+IF(FG95&gt;=0.45,VLOOKUP(Calculator!E23,tbSkills!DH3:DI6,2,FALSE)+IF(AND(Calculator!B8=TRUE,Backdoors!BI26=TRUE),VLOOKUP(Calculator!E23,tbSkills!DH3:DJ6,3,FALSE),0),0))&gt;=100,100,(Backdoors!AI12+IF(FG95&gt;=0.45,VLOOKUP(Calculator!E23,tbSkills!DH3:DI6,2,FALSE)+IF(AND(Calculator!B8=TRUE,Backdoors!BI26=TRUE),VLOOKUP(Calculator!E23,tbSkills!DH3:DJ6,3,FALSE),0),0)))/100)),1),1)</f>
        <v>0.5</v>
      </c>
      <c r="FM95" s="87">
        <f t="shared" si="74"/>
        <v>0</v>
      </c>
      <c r="FN95" s="86" t="str">
        <f>IFERROR(IF(VLOOKUP(A95,tbMoveset!A2:B112,2,FALSE)="Sever",Backdoors!AY27/100,IF(VLOOKUP(A95,tbMoveset!A2:B112,2,FALSE)="Blunt",Backdoors!AZ27/100,Backdoors!BA27/100)),"")</f>
        <v/>
      </c>
      <c r="FO95" s="49">
        <f>IFERROR(IF(VLOOKUP(tbMoveset!A95,tbMoveset!A2:H112,8,FALSE)="Other",IF(VLOOKUP(tbMoveset!A95,tbMoveset!A2:I112,9,FALSE)="Fire",Backdoors!BB27,IF(VLOOKUP(tbMoveset!A95,tbMoveset!A2:I112,9,FALSE)="Water",Backdoors!BC27,IF(VLOOKUP(tbMoveset!A95,tbMoveset!A2:I112,9,FALSE)="Thunder",Backdoors!BD27,IF(VLOOKUP(tbMoveset!A95,tbMoveset!A2:I112,9,FALSE)="Ice",Backdoors!BE27,IF(VLOOKUP(tbMoveset!A95,tbMoveset!A2:I112,9,FALSE)="Dragon",Backdoors!BF27,Backdoors!BG27)))))/100,Backdoors!BG27/100),"")</f>
        <v>0</v>
      </c>
      <c r="FP95" s="49">
        <f>IFERROR(IF(VLOOKUP(A95,tbMoveset!A2:J112,10,FALSE)=TRUE,IF((Backdoors!AI12+IF(FN95&gt;=0.45,VLOOKUP(Calculator!E23,tbSkills!DH3:DI6,2,FALSE)+IF(AND(Calculator!B8=TRUE,Backdoors!BI27=TRUE),VLOOKUP(Calculator!E23,tbSkills!DH3:DJ6,3,FALSE),0),0))&gt;=0,1+(Backdoors!AL2*(IF((Backdoors!AI12+IF(FN95&gt;=0.45,VLOOKUP(Calculator!E23,tbSkills!DH3:DI6,2,FALSE)+IF(AND(Calculator!B8=TRUE,Backdoors!BI27=TRUE),VLOOKUP(Calculator!E23,tbSkills!DH3:DJ6,3,FALSE),0),0))&gt;=100,100,(Backdoors!AI12+IF(FN95&gt;=0.45,VLOOKUP(Calculator!E23,tbSkills!DH3:DI6,2,FALSE)+IF(AND(Calculator!B8=TRUE,Backdoors!BI27=TRUE),VLOOKUP(Calculator!E23,tbSkills!DH3:DJ6,3,FALSE),0),0)))/100)),(1-(0.25*((-Backdoors!AI12-IF(FN95&gt;=0.45,VLOOKUP(Calculator!E23,tbSkills!DH3:DI6,2,FALSE)+IF(AND(Calculator!B8=TRUE,Backdoors!BI27=TRUE),VLOOKUP(Calculator!E23,tbSkills!DH3:DJ6,3,FALSE),0),0))/100)))),1),"")</f>
        <v>1</v>
      </c>
      <c r="FQ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FN95)*FP95)*(VLOOKUP(A95,tbMoveset!A2:C112,3,FALSE)/100)*IF(VLOOKUP(A95,tbMoveset!A2:B112,2,FALSE)="Projectile",Backdoors!N10,Backdoors!N9),0),"")</f>
        <v/>
      </c>
      <c r="FR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FN95&gt;=0.45,VLOOKUP(Calculator!E23,tbSkills!DH3:DI6,2,FALSE)+IF(AND(Calculator!B8=TRUE,Backdoors!BI27=TRUE),VLOOKUP(Calculator!E23,tbSkills!DH3:DJ6,3,FALSE),0),0))&gt;=100,100,(Backdoors!AI12+IF(FN95&gt;=0.45,VLOOKUP(Calculator!E23,tbSkills!DH3:DI6,2,FALSE)+IF(AND(Calculator!B8=TRUE,Backdoors!BI27=TRUE),VLOOKUP(Calculator!E23,tbSkills!DH3:DJ6,3,FALSE),0),0)))/100)),1))*IF(VLOOKUP(A95,tbMoveset!A2:K112,11,FALSE)=TRUE,Backdoors!AC5,1))*FO95,0),"")</f>
        <v>0</v>
      </c>
      <c r="FS95" s="49">
        <f>VLOOKUP(A95,tbMoveset!A2:G112,7,FALSE)*IFERROR(IF(Backdoors!AI12&gt;=0,1+(IF(Calculator!E40&gt;0,VLOOKUP(Calculator!E40,tbSkills!AI3:AJ5,2,FALSE),Backdoors!AL4)*(IF((Backdoors!AI12+IF(FN95&gt;=0.45,VLOOKUP(Calculator!E23,tbSkills!DH3:DI6,2,FALSE)+IF(AND(Calculator!B8=TRUE,Backdoors!BI27=TRUE),VLOOKUP(Calculator!E23,tbSkills!DH3:DJ6,3,FALSE),0),0))&gt;=100,100,(Backdoors!AI12+IF(FN95&gt;=0.45,VLOOKUP(Calculator!E23,tbSkills!DH3:DI6,2,FALSE)+IF(AND(Calculator!B8=TRUE,Backdoors!BI27=TRUE),VLOOKUP(Calculator!E23,tbSkills!DH3:DJ6,3,FALSE),0),0)))/100)),1),1)</f>
        <v>0.5</v>
      </c>
      <c r="FT95" s="87">
        <f t="shared" si="75"/>
        <v>0</v>
      </c>
      <c r="FU95" s="86" t="str">
        <f>IFERROR(IF(VLOOKUP(A95,tbMoveset!A2:B112,2,FALSE)="Sever",Backdoors!AY28/100,IF(VLOOKUP(A95,tbMoveset!A2:B112,2,FALSE)="Blunt",Backdoors!AZ28/100,Backdoors!BA28/100)),"")</f>
        <v/>
      </c>
      <c r="FV95" s="49">
        <f>IFERROR(IF(VLOOKUP(tbMoveset!A95,tbMoveset!A2:H112,8,FALSE)="Other",IF(VLOOKUP(tbMoveset!A95,tbMoveset!A2:I112,9,FALSE)="Fire",Backdoors!BB28,IF(VLOOKUP(tbMoveset!A95,tbMoveset!A2:I112,9,FALSE)="Water",Backdoors!BC28,IF(VLOOKUP(tbMoveset!A95,tbMoveset!A2:I112,9,FALSE)="Thunder",Backdoors!BD28,IF(VLOOKUP(tbMoveset!A95,tbMoveset!A2:I112,9,FALSE)="Ice",Backdoors!BE28,IF(VLOOKUP(tbMoveset!A95,tbMoveset!A2:I112,9,FALSE)="Dragon",Backdoors!BF28,Backdoors!BG28)))))/100,Backdoors!BG28/100),"")</f>
        <v>0</v>
      </c>
      <c r="FW95" s="49">
        <f>IFERROR(IF(VLOOKUP(A95,tbMoveset!A2:J112,10,FALSE)=TRUE,IF((Backdoors!AI12+IF(FU95&gt;=0.45,VLOOKUP(Calculator!E23,tbSkills!DH3:DI6,2,FALSE)+IF(AND(Calculator!B8=TRUE,Backdoors!BI28=TRUE),VLOOKUP(Calculator!E23,tbSkills!DH3:DJ6,3,FALSE),0),0))&gt;=0,1+(Backdoors!AL2*(IF((Backdoors!AI12+IF(FU95&gt;=0.45,VLOOKUP(Calculator!E23,tbSkills!DH3:DI6,2,FALSE)+IF(AND(Calculator!B8=TRUE,Backdoors!BI28=TRUE),VLOOKUP(Calculator!E23,tbSkills!DH3:DJ6,3,FALSE),0),0))&gt;=100,100,(Backdoors!AI12+IF(FU95&gt;=0.45,VLOOKUP(Calculator!E23,tbSkills!DH3:DI6,2,FALSE)+IF(AND(Calculator!B8=TRUE,Backdoors!BI28=TRUE),VLOOKUP(Calculator!E23,tbSkills!DH3:DJ6,3,FALSE),0),0)))/100)),(1-(0.25*((-Backdoors!AI12-IF(FU95&gt;=0.45,VLOOKUP(Calculator!E23,tbSkills!DH3:DI6,2,FALSE)+IF(AND(Calculator!B8=TRUE,Backdoors!BI28=TRUE),VLOOKUP(Calculator!E23,tbSkills!DH3:DJ6,3,FALSE),0),0))/100)))),1),"")</f>
        <v>1</v>
      </c>
      <c r="FX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FU95)*FW95)*(VLOOKUP(A95,tbMoveset!A2:C112,3,FALSE)/100)*IF(VLOOKUP(A95,tbMoveset!A2:B112,2,FALSE)="Projectile",Backdoors!N10,Backdoors!N9),0),"")</f>
        <v/>
      </c>
      <c r="FY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FU95&gt;=0.45,VLOOKUP(Calculator!E23,tbSkills!DH3:DI6,2,FALSE)+IF(AND(Calculator!B8=TRUE,Backdoors!BI28=TRUE),VLOOKUP(Calculator!E23,tbSkills!DH3:DJ6,3,FALSE),0),0))&gt;=100,100,(Backdoors!AI12+IF(FU95&gt;=0.45,VLOOKUP(Calculator!E23,tbSkills!DH3:DI6,2,FALSE)+IF(AND(Calculator!B8=TRUE,Backdoors!BI28=TRUE),VLOOKUP(Calculator!E23,tbSkills!DH3:DJ6,3,FALSE),0),0)))/100)),1))*IF(VLOOKUP(A95,tbMoveset!A2:K112,11,FALSE)=TRUE,Backdoors!AC5,1))*FV95,0),"")</f>
        <v>0</v>
      </c>
      <c r="FZ95" s="49">
        <f>VLOOKUP(A95,tbMoveset!A2:G112,7,FALSE)*IFERROR(IF(Backdoors!AI12&gt;=0,1+(IF(Calculator!E40&gt;0,VLOOKUP(Calculator!E40,tbSkills!AI3:AJ5,2,FALSE),Backdoors!AL4)*(IF((Backdoors!AI12+IF(FU95&gt;=0.45,VLOOKUP(Calculator!E23,tbSkills!DH3:DI6,2,FALSE)+IF(AND(Calculator!B8=TRUE,Backdoors!BI28=TRUE),VLOOKUP(Calculator!E23,tbSkills!DH3:DJ6,3,FALSE),0),0))&gt;=100,100,(Backdoors!AI12+IF(FU95&gt;=0.45,VLOOKUP(Calculator!E23,tbSkills!DH3:DI6,2,FALSE)+IF(AND(Calculator!B8=TRUE,Backdoors!BI28=TRUE),VLOOKUP(Calculator!E23,tbSkills!DH3:DJ6,3,FALSE),0),0)))/100)),1),1)</f>
        <v>0.5</v>
      </c>
      <c r="GA95" s="87">
        <f t="shared" si="76"/>
        <v>0</v>
      </c>
      <c r="GB95" s="86" t="str">
        <f>IFERROR(IF(VLOOKUP(A95,tbMoveset!A2:B112,2,FALSE)="Sever",Backdoors!AY29/100,IF(VLOOKUP(A95,tbMoveset!A2:B112,2,FALSE)="Blunt",Backdoors!AZ29/100,Backdoors!BA29/100)),"")</f>
        <v/>
      </c>
      <c r="GC95" s="49">
        <f>IFERROR(IF(VLOOKUP(tbMoveset!A95,tbMoveset!A2:H112,8,FALSE)="Other",IF(VLOOKUP(tbMoveset!A95,tbMoveset!A2:I112,9,FALSE)="Fire",Backdoors!BB29,IF(VLOOKUP(tbMoveset!A95,tbMoveset!A2:I112,9,FALSE)="Water",Backdoors!BC29,IF(VLOOKUP(tbMoveset!A95,tbMoveset!A2:I112,9,FALSE)="Thunder",Backdoors!BD29,IF(VLOOKUP(tbMoveset!A95,tbMoveset!A2:I112,9,FALSE)="Ice",Backdoors!BE29,IF(VLOOKUP(tbMoveset!A95,tbMoveset!A2:I112,9,FALSE)="Dragon",Backdoors!BF29,Backdoors!BG29)))))/100,Backdoors!BG29/100),"")</f>
        <v>0</v>
      </c>
      <c r="GD95" s="49">
        <f>IFERROR(IF(VLOOKUP(A95,tbMoveset!A2:J112,10,FALSE)=TRUE,IF((Backdoors!AI12+IF(GB95&gt;=0.45,VLOOKUP(Calculator!E23,tbSkills!DH3:DI6,2,FALSE)+IF(AND(Calculator!B8=TRUE,Backdoors!BI29=TRUE),VLOOKUP(Calculator!E23,tbSkills!DH3:DJ6,3,FALSE),0),0))&gt;=0,1+(Backdoors!AL2*(IF((Backdoors!AI12+IF(GB95&gt;=0.45,VLOOKUP(Calculator!E23,tbSkills!DH3:DI6,2,FALSE)+IF(AND(Calculator!B8=TRUE,Backdoors!BI29=TRUE),VLOOKUP(Calculator!E23,tbSkills!DH3:DJ6,3,FALSE),0),0))&gt;=100,100,(Backdoors!AI12+IF(GB95&gt;=0.45,VLOOKUP(Calculator!E23,tbSkills!DH3:DI6,2,FALSE)+IF(AND(Calculator!B8=TRUE,Backdoors!BI29=TRUE),VLOOKUP(Calculator!E23,tbSkills!DH3:DJ6,3,FALSE),0),0)))/100)),(1-(0.25*((-Backdoors!AI12-IF(GB95&gt;=0.45,VLOOKUP(Calculator!E23,tbSkills!DH3:DI6,2,FALSE)+IF(AND(Calculator!B8=TRUE,Backdoors!BI29=TRUE),VLOOKUP(Calculator!E23,tbSkills!DH3:DJ6,3,FALSE),0),0))/100)))),1),"")</f>
        <v>1</v>
      </c>
      <c r="GE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B95)*GD95)*(VLOOKUP(A95,tbMoveset!A2:C112,3,FALSE)/100)*IF(VLOOKUP(A95,tbMoveset!A2:B112,2,FALSE)="Projectile",Backdoors!N10,Backdoors!N9),0),"")</f>
        <v/>
      </c>
      <c r="GF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B95&gt;=0.45,VLOOKUP(Calculator!E23,tbSkills!DH3:DI6,2,FALSE)+IF(AND(Calculator!B8=TRUE,Backdoors!BI29=TRUE),VLOOKUP(Calculator!E23,tbSkills!DH3:DJ6,3,FALSE),0),0))&gt;=100,100,(Backdoors!AI12+IF(GB95&gt;=0.45,VLOOKUP(Calculator!E23,tbSkills!DH3:DI6,2,FALSE)+IF(AND(Calculator!B8=TRUE,Backdoors!BI29=TRUE),VLOOKUP(Calculator!E23,tbSkills!DH3:DJ6,3,FALSE),0),0)))/100)),1))*IF(VLOOKUP(A95,tbMoveset!A2:K112,11,FALSE)=TRUE,Backdoors!AC5,1))*GC95,0),"")</f>
        <v>0</v>
      </c>
      <c r="GG95" s="49">
        <f>VLOOKUP(A95,tbMoveset!A2:G112,7,FALSE)*IFERROR(IF(Backdoors!AI12&gt;=0,1+(IF(Calculator!E40&gt;0,VLOOKUP(Calculator!E40,tbSkills!AI3:AJ5,2,FALSE),Backdoors!AL4)*(IF((Backdoors!AI12+IF(GB95&gt;=0.45,VLOOKUP(Calculator!E23,tbSkills!DH3:DI6,2,FALSE)+IF(AND(Calculator!B8=TRUE,Backdoors!BI29=TRUE),VLOOKUP(Calculator!E23,tbSkills!DH3:DJ6,3,FALSE),0),0))&gt;=100,100,(Backdoors!AI12+IF(GB95&gt;=0.45,VLOOKUP(Calculator!E23,tbSkills!DH3:DI6,2,FALSE)+IF(AND(Calculator!B8=TRUE,Backdoors!BI29=TRUE),VLOOKUP(Calculator!E23,tbSkills!DH3:DJ6,3,FALSE),0),0)))/100)),1),1)</f>
        <v>0.5</v>
      </c>
      <c r="GH95" s="87">
        <f t="shared" si="77"/>
        <v>0</v>
      </c>
      <c r="GI95" s="86" t="str">
        <f>IFERROR(IF(VLOOKUP(A95,tbMoveset!A2:B112,2,FALSE)="Sever",Backdoors!AY30/100,IF(VLOOKUP(A95,tbMoveset!A2:B112,2,FALSE)="Blunt",Backdoors!AZ30/100,Backdoors!BA30/100)),"")</f>
        <v/>
      </c>
      <c r="GJ95" s="49">
        <f>IFERROR(IF(VLOOKUP(tbMoveset!A95,tbMoveset!A2:H112,8,FALSE)="Other",IF(VLOOKUP(tbMoveset!A95,tbMoveset!A2:I112,9,FALSE)="Fire",Backdoors!BB30,IF(VLOOKUP(tbMoveset!A95,tbMoveset!A2:I112,9,FALSE)="Water",Backdoors!BC30,IF(VLOOKUP(tbMoveset!A95,tbMoveset!A2:I112,9,FALSE)="Thunder",Backdoors!BD30,IF(VLOOKUP(tbMoveset!A95,tbMoveset!A2:I112,9,FALSE)="Ice",Backdoors!BE30,IF(VLOOKUP(tbMoveset!A95,tbMoveset!A2:I112,9,FALSE)="Dragon",Backdoors!BF30,Backdoors!BG30)))))/100,Backdoors!BG30/100),"")</f>
        <v>0</v>
      </c>
      <c r="GK95" s="49">
        <f>IFERROR(IF(VLOOKUP(A95,tbMoveset!A2:J112,10,FALSE)=TRUE,IF((Backdoors!AI12+IF(GI95&gt;=0.45,VLOOKUP(Calculator!E23,tbSkills!DH3:DI6,2,FALSE)+IF(AND(Calculator!B8=TRUE,Backdoors!BI30=TRUE),VLOOKUP(Calculator!E23,tbSkills!DH3:DJ6,3,FALSE),0),0))&gt;=0,1+(Backdoors!AL2*(IF((Backdoors!AI12+IF(GI95&gt;=0.45,VLOOKUP(Calculator!E23,tbSkills!DH3:DI6,2,FALSE)+IF(AND(Calculator!B8=TRUE,Backdoors!BI30=TRUE),VLOOKUP(Calculator!E23,tbSkills!DH3:DJ6,3,FALSE),0),0))&gt;=100,100,(Backdoors!AI12+IF(GI95&gt;=0.45,VLOOKUP(Calculator!E23,tbSkills!DH3:DI6,2,FALSE)+IF(AND(Calculator!B8=TRUE,Backdoors!BI30=TRUE),VLOOKUP(Calculator!E23,tbSkills!DH3:DJ6,3,FALSE),0),0)))/100)),(1-(0.25*((-Backdoors!AI12-IF(GI95&gt;=0.45,VLOOKUP(Calculator!E23,tbSkills!DH3:DI6,2,FALSE)+IF(AND(Calculator!B8=TRUE,Backdoors!BI30=TRUE),VLOOKUP(Calculator!E23,tbSkills!DH3:DJ6,3,FALSE),0),0))/100)))),1),"")</f>
        <v>1</v>
      </c>
      <c r="GL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I95)*GK95)*(VLOOKUP(A95,tbMoveset!A2:C112,3,FALSE)/100)*IF(VLOOKUP(A95,tbMoveset!A2:B112,2,FALSE)="Projectile",Backdoors!N10,Backdoors!N9),0),"")</f>
        <v/>
      </c>
      <c r="GM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I95&gt;=0.45,VLOOKUP(Calculator!E23,tbSkills!DH3:DI6,2,FALSE)+IF(AND(Calculator!B8=TRUE,Backdoors!BI30=TRUE),VLOOKUP(Calculator!E23,tbSkills!DH3:DJ6,3,FALSE),0),0))&gt;=100,100,(Backdoors!AI12+IF(GI95&gt;=0.45,VLOOKUP(Calculator!E23,tbSkills!DH3:DI6,2,FALSE)+IF(AND(Calculator!B8=TRUE,Backdoors!BI30=TRUE),VLOOKUP(Calculator!E23,tbSkills!DH3:DJ6,3,FALSE),0),0)))/100)),1))*IF(VLOOKUP(A95,tbMoveset!A2:K112,11,FALSE)=TRUE,Backdoors!AC5,1))*GJ95,0),"")</f>
        <v>0</v>
      </c>
      <c r="GN95" s="49">
        <f>VLOOKUP(A95,tbMoveset!A2:G112,7,FALSE)*IFERROR(IF(Backdoors!AI12&gt;=0,1+(IF(Calculator!E40&gt;0,VLOOKUP(Calculator!E40,tbSkills!AI3:AJ5,2,FALSE),Backdoors!AL4)*(IF((Backdoors!AI12+IF(GI95&gt;=0.45,VLOOKUP(Calculator!E23,tbSkills!DH3:DI6,2,FALSE)+IF(AND(Calculator!B8=TRUE,Backdoors!BI30=TRUE),VLOOKUP(Calculator!E23,tbSkills!DH3:DJ6,3,FALSE),0),0))&gt;=100,100,(Backdoors!AI12+IF(GI95&gt;=0.45,VLOOKUP(Calculator!E23,tbSkills!DH3:DI6,2,FALSE)+IF(AND(Calculator!B8=TRUE,Backdoors!BI30=TRUE),VLOOKUP(Calculator!E23,tbSkills!DH3:DJ6,3,FALSE),0),0)))/100)),1),1)</f>
        <v>0.5</v>
      </c>
      <c r="GO95" s="87">
        <f t="shared" si="78"/>
        <v>0</v>
      </c>
      <c r="GP95" s="86" t="str">
        <f>IFERROR(IF(VLOOKUP(A95,tbMoveset!A2:B112,2,FALSE)="Sever",Backdoors!AY31/100,IF(VLOOKUP(A95,tbMoveset!A2:B112,2,FALSE)="Blunt",Backdoors!AZ31/100,Backdoors!BA31/100)),"")</f>
        <v/>
      </c>
      <c r="GQ95" s="49">
        <f>IFERROR(IF(VLOOKUP(tbMoveset!A95,tbMoveset!A2:H112,8,FALSE)="Other",IF(VLOOKUP(tbMoveset!A95,tbMoveset!A2:I112,9,FALSE)="Fire",Backdoors!BB31,IF(VLOOKUP(tbMoveset!A95,tbMoveset!A2:I112,9,FALSE)="Water",Backdoors!BC31,IF(VLOOKUP(tbMoveset!A95,tbMoveset!A2:I112,9,FALSE)="Thunder",Backdoors!BD31,IF(VLOOKUP(tbMoveset!A95,tbMoveset!A2:I112,9,FALSE)="Ice",Backdoors!BE31,IF(VLOOKUP(tbMoveset!A95,tbMoveset!A2:I112,9,FALSE)="Dragon",Backdoors!BF31,Backdoors!BG31)))))/100,Backdoors!BG31/100),"")</f>
        <v>0</v>
      </c>
      <c r="GR95" s="49">
        <f>IFERROR(IF(VLOOKUP(A95,tbMoveset!A2:J112,10,FALSE)=TRUE,IF((Backdoors!AI12+IF(GP95&gt;=0.45,VLOOKUP(Calculator!E23,tbSkills!DH3:DI6,2,FALSE)+IF(AND(Calculator!B8=TRUE,Backdoors!BI31=TRUE),VLOOKUP(Calculator!E23,tbSkills!DH3:DJ6,3,FALSE),0),0))&gt;=0,1+(Backdoors!AL2*(IF((Backdoors!AI12+IF(GP95&gt;=0.45,VLOOKUP(Calculator!E23,tbSkills!DH3:DI6,2,FALSE)+IF(AND(Calculator!B8=TRUE,Backdoors!BI31=TRUE),VLOOKUP(Calculator!E23,tbSkills!DH3:DJ6,3,FALSE),0),0))&gt;=100,100,(Backdoors!AI12+IF(GP95&gt;=0.45,VLOOKUP(Calculator!E23,tbSkills!DH3:DI6,2,FALSE)+IF(AND(Calculator!B8=TRUE,Backdoors!BI31=TRUE),VLOOKUP(Calculator!E23,tbSkills!DH3:DJ6,3,FALSE),0),0)))/100)),(1-(0.25*((-Backdoors!AI12-IF(GP95&gt;=0.45,VLOOKUP(Calculator!E23,tbSkills!DH3:DI6,2,FALSE)+IF(AND(Calculator!B8=TRUE,Backdoors!BI31=TRUE),VLOOKUP(Calculator!E23,tbSkills!DH3:DJ6,3,FALSE),0),0))/100)))),1),"")</f>
        <v>1</v>
      </c>
      <c r="GS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P95)*GR95)*(VLOOKUP(A95,tbMoveset!A2:C112,3,FALSE)/100)*IF(VLOOKUP(A95,tbMoveset!A2:B112,2,FALSE)="Projectile",Backdoors!N10,Backdoors!N9),0),"")</f>
        <v/>
      </c>
      <c r="GT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P95&gt;=0.45,VLOOKUP(Calculator!E23,tbSkills!DH3:DI6,2,FALSE)+IF(AND(Calculator!B8=TRUE,Backdoors!BI31=TRUE),VLOOKUP(Calculator!E23,tbSkills!DH3:DJ6,3,FALSE),0),0))&gt;=100,100,(Backdoors!AI12+IF(GP95&gt;=0.45,VLOOKUP(Calculator!E23,tbSkills!DH3:DI6,2,FALSE)+IF(AND(Calculator!B8=TRUE,Backdoors!BI31=TRUE),VLOOKUP(Calculator!E23,tbSkills!DH3:DJ6,3,FALSE),0),0)))/100)),1))*IF(VLOOKUP(A95,tbMoveset!A2:K112,11,FALSE)=TRUE,Backdoors!AC5,1))*GQ95,0),"")</f>
        <v>0</v>
      </c>
      <c r="GU95" s="49">
        <f>VLOOKUP(A95,tbMoveset!A2:G112,7,FALSE)*IFERROR(IF(Backdoors!AI12&gt;=0,1+(IF(Calculator!E40&gt;0,VLOOKUP(Calculator!E40,tbSkills!AI3:AJ5,2,FALSE),Backdoors!AL4)*(IF((Backdoors!AI12+IF(GP95&gt;=0.45,VLOOKUP(Calculator!E23,tbSkills!DH3:DI6,2,FALSE)+IF(AND(Calculator!B8=TRUE,Backdoors!BI31=TRUE),VLOOKUP(Calculator!E23,tbSkills!DH3:DJ6,3,FALSE),0),0))&gt;=100,100,(Backdoors!AI12+IF(GP95&gt;=0.45,VLOOKUP(Calculator!E23,tbSkills!DH3:DI6,2,FALSE)+IF(AND(Calculator!B8=TRUE,Backdoors!BI31=TRUE),VLOOKUP(Calculator!E23,tbSkills!DH3:DJ6,3,FALSE),0),0)))/100)),1),1)</f>
        <v>0.5</v>
      </c>
      <c r="GV95" s="87">
        <f t="shared" si="79"/>
        <v>0</v>
      </c>
      <c r="GW95" s="86" t="str">
        <f>IFERROR(IF(VLOOKUP(A95,tbMoveset!A2:B112,2,FALSE)="Sever",Backdoors!AY32/100,IF(VLOOKUP(A95,tbMoveset!A2:B112,2,FALSE)="Blunt",Backdoors!AZ32/100,Backdoors!BA32/100)),"")</f>
        <v/>
      </c>
      <c r="GX95" s="49">
        <f>IFERROR(IF(VLOOKUP(tbMoveset!A95,tbMoveset!A2:H112,8,FALSE)="Other",IF(VLOOKUP(tbMoveset!A95,tbMoveset!A2:I112,9,FALSE)="Fire",Backdoors!BB32,IF(VLOOKUP(tbMoveset!A95,tbMoveset!A2:I112,9,FALSE)="Water",Backdoors!BC32,IF(VLOOKUP(tbMoveset!A95,tbMoveset!A2:I112,9,FALSE)="Thunder",Backdoors!BD32,IF(VLOOKUP(tbMoveset!A95,tbMoveset!A2:I112,9,FALSE)="Ice",Backdoors!BE32,IF(VLOOKUP(tbMoveset!A95,tbMoveset!A2:I112,9,FALSE)="Dragon",Backdoors!BF32,Backdoors!BG32)))))/100,Backdoors!BG32/100),"")</f>
        <v>0</v>
      </c>
      <c r="GY95" s="49">
        <f>IFERROR(IF(VLOOKUP(A95,tbMoveset!A2:J112,10,FALSE)=TRUE,IF((Backdoors!AI12+IF(GW95&gt;=0.45,VLOOKUP(Calculator!E23,tbSkills!DH3:DI6,2,FALSE)+IF(AND(Calculator!B8=TRUE,Backdoors!BI32=TRUE),VLOOKUP(Calculator!E23,tbSkills!DH3:DJ6,3,FALSE),0),0))&gt;=0,1+(Backdoors!AL2*(IF((Backdoors!AI12+IF(GW95&gt;=0.45,VLOOKUP(Calculator!E23,tbSkills!DH3:DI6,2,FALSE)+IF(AND(Calculator!B8=TRUE,Backdoors!BI32=TRUE),VLOOKUP(Calculator!E23,tbSkills!DH3:DJ6,3,FALSE),0),0))&gt;=100,100,(Backdoors!AI12+IF(GW95&gt;=0.45,VLOOKUP(Calculator!E23,tbSkills!DH3:DI6,2,FALSE)+IF(AND(Calculator!B8=TRUE,Backdoors!BI32=TRUE),VLOOKUP(Calculator!E23,tbSkills!DH3:DJ6,3,FALSE),0),0)))/100)),(1-(0.25*((-Backdoors!AI12-IF(GW95&gt;=0.45,VLOOKUP(Calculator!E23,tbSkills!DH3:DI6,2,FALSE)+IF(AND(Calculator!B8=TRUE,Backdoors!BI32=TRUE),VLOOKUP(Calculator!E23,tbSkills!DH3:DJ6,3,FALSE),0),0))/100)))),1),"")</f>
        <v>1</v>
      </c>
      <c r="GZ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W95)*GY95)*(VLOOKUP(A95,tbMoveset!A2:C112,3,FALSE)/100)*IF(VLOOKUP(A95,tbMoveset!A2:B112,2,FALSE)="Projectile",Backdoors!N10,Backdoors!N9),0),"")</f>
        <v/>
      </c>
      <c r="HA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W95&gt;=0.45,VLOOKUP(Calculator!E23,tbSkills!DH3:DI6,2,FALSE)+IF(AND(Calculator!B8=TRUE,Backdoors!BI32=TRUE),VLOOKUP(Calculator!E23,tbSkills!DH3:DJ6,3,FALSE),0),0))&gt;=100,100,(Backdoors!AI12+IF(GW95&gt;=0.45,VLOOKUP(Calculator!E23,tbSkills!DH3:DI6,2,FALSE)+IF(AND(Calculator!B8=TRUE,Backdoors!BI32=TRUE),VLOOKUP(Calculator!E23,tbSkills!DH3:DJ6,3,FALSE),0),0)))/100)),1))*IF(VLOOKUP(A95,tbMoveset!A2:K112,11,FALSE)=TRUE,Backdoors!AC5,1))*GX95,0),"")</f>
        <v>0</v>
      </c>
      <c r="HB95" s="49">
        <f>VLOOKUP(A95,tbMoveset!A2:G112,7,FALSE)*IFERROR(IF(Backdoors!AI12&gt;=0,1+(IF(Calculator!E40&gt;0,VLOOKUP(Calculator!E40,tbSkills!AI3:AJ5,2,FALSE),Backdoors!AL4)*(IF((Backdoors!AI12+IF(GW95&gt;=0.45,VLOOKUP(Calculator!E23,tbSkills!DH3:DI6,2,FALSE)+IF(AND(Calculator!B8=TRUE,Backdoors!BI32=TRUE),VLOOKUP(Calculator!E23,tbSkills!DH3:DJ6,3,FALSE),0),0))&gt;=100,100,(Backdoors!AI12+IF(GW95&gt;=0.45,VLOOKUP(Calculator!E23,tbSkills!DH3:DI6,2,FALSE)+IF(AND(Calculator!B8=TRUE,Backdoors!BI32=TRUE),VLOOKUP(Calculator!E23,tbSkills!DH3:DJ6,3,FALSE),0),0)))/100)),1),1)</f>
        <v>0.5</v>
      </c>
      <c r="HC95" s="87">
        <f t="shared" si="80"/>
        <v>0</v>
      </c>
      <c r="HD95" s="86" t="str">
        <f>IFERROR(IF(VLOOKUP(A95,tbMoveset!A2:B112,2,FALSE)="Sever",Backdoors!AY33/100,IF(VLOOKUP(A95,tbMoveset!A2:B112,2,FALSE)="Blunt",Backdoors!AZ33/100,Backdoors!BA33/100)),"")</f>
        <v/>
      </c>
      <c r="HE95" s="49">
        <f>IFERROR(IF(VLOOKUP(tbMoveset!A95,tbMoveset!A2:H112,8,FALSE)="Other",IF(VLOOKUP(tbMoveset!A95,tbMoveset!A2:I112,9,FALSE)="Fire",Backdoors!BB33,IF(VLOOKUP(tbMoveset!A95,tbMoveset!A2:I112,9,FALSE)="Water",Backdoors!BC33,IF(VLOOKUP(tbMoveset!A95,tbMoveset!A2:I112,9,FALSE)="Thunder",Backdoors!BD33,IF(VLOOKUP(tbMoveset!A95,tbMoveset!A2:I112,9,FALSE)="Ice",Backdoors!BE33,IF(VLOOKUP(tbMoveset!A95,tbMoveset!A2:I112,9,FALSE)="Dragon",Backdoors!BF33,Backdoors!BG33)))))/100,Backdoors!BG33/100),"")</f>
        <v>0</v>
      </c>
      <c r="HF95" s="49">
        <f>IFERROR(IF(VLOOKUP(A95,tbMoveset!A2:J112,10,FALSE)=TRUE,IF((Backdoors!AI12+IF(HD95&gt;=0.45,VLOOKUP(Calculator!E23,tbSkills!DH3:DI6,2,FALSE)+IF(AND(Calculator!B8=TRUE,Backdoors!BI33=TRUE),VLOOKUP(Calculator!E23,tbSkills!DH3:DJ6,3,FALSE),0),0))&gt;=0,1+(Backdoors!AL2*(IF((Backdoors!AI12+IF(HD95&gt;=0.45,VLOOKUP(Calculator!E23,tbSkills!DH3:DI6,2,FALSE)+IF(AND(Calculator!B8=TRUE,Backdoors!BI33=TRUE),VLOOKUP(Calculator!E23,tbSkills!DH3:DJ6,3,FALSE),0),0))&gt;=100,100,(Backdoors!AI12+IF(HD95&gt;=0.45,VLOOKUP(Calculator!E23,tbSkills!DH3:DI6,2,FALSE)+IF(AND(Calculator!B8=TRUE,Backdoors!BI33=TRUE),VLOOKUP(Calculator!E23,tbSkills!DH3:DJ6,3,FALSE),0),0)))/100)),(1-(0.25*((-Backdoors!AI12-IF(HD95&gt;=0.45,VLOOKUP(Calculator!E23,tbSkills!DH3:DI6,2,FALSE)+IF(AND(Calculator!B8=TRUE,Backdoors!BI33=TRUE),VLOOKUP(Calculator!E23,tbSkills!DH3:DJ6,3,FALSE),0),0))/100)))),1),"")</f>
        <v>1</v>
      </c>
      <c r="HG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D95)*HF95)*(VLOOKUP(A95,tbMoveset!A2:C112,3,FALSE)/100)*IF(VLOOKUP(A95,tbMoveset!A2:B112,2,FALSE)="Projectile",Backdoors!N10,Backdoors!N9),0),"")</f>
        <v/>
      </c>
      <c r="HH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D95&gt;=0.45,VLOOKUP(Calculator!E23,tbSkills!DH3:DI6,2,FALSE)+IF(AND(Calculator!B8=TRUE,Backdoors!BI33=TRUE),VLOOKUP(Calculator!E23,tbSkills!DH3:DJ6,3,FALSE),0),0))&gt;=100,100,(Backdoors!AI12+IF(HD95&gt;=0.45,VLOOKUP(Calculator!E23,tbSkills!DH3:DI6,2,FALSE)+IF(AND(Calculator!B8=TRUE,Backdoors!BI33=TRUE),VLOOKUP(Calculator!E23,tbSkills!DH3:DJ6,3,FALSE),0),0)))/100)),1))*IF(VLOOKUP(A95,tbMoveset!A2:K112,11,FALSE)=TRUE,Backdoors!AC5,1))*HE95,0),"")</f>
        <v>0</v>
      </c>
      <c r="HI95" s="49">
        <f>VLOOKUP(A95,tbMoveset!A2:G112,7,FALSE)*IFERROR(IF(Backdoors!AI12&gt;=0,1+(IF(Calculator!E40&gt;0,VLOOKUP(Calculator!E40,tbSkills!AI3:AJ5,2,FALSE),Backdoors!AL4)*(IF((Backdoors!AI12+IF(HD95&gt;=0.45,VLOOKUP(Calculator!E23,tbSkills!DH3:DI6,2,FALSE)+IF(AND(Calculator!B8=TRUE,Backdoors!BI33=TRUE),VLOOKUP(Calculator!E23,tbSkills!DH3:DJ6,3,FALSE),0),0))&gt;=100,100,(Backdoors!AI12+IF(HD95&gt;=0.45,VLOOKUP(Calculator!E23,tbSkills!DH3:DI6,2,FALSE)+IF(AND(Calculator!B8=TRUE,Backdoors!BI33=TRUE),VLOOKUP(Calculator!E23,tbSkills!DH3:DJ6,3,FALSE),0),0)))/100)),1),1)</f>
        <v>0.5</v>
      </c>
      <c r="HJ95" s="87">
        <f t="shared" si="81"/>
        <v>0</v>
      </c>
      <c r="HK95" s="86" t="str">
        <f>IFERROR(IF(VLOOKUP(A95,tbMoveset!A2:B112,2,FALSE)="Sever",Backdoors!AY34/100,IF(VLOOKUP(A95,tbMoveset!A2:B112,2,FALSE)="Blunt",Backdoors!AZ34/100,Backdoors!BA34/100)),"")</f>
        <v/>
      </c>
      <c r="HL95" s="49">
        <f>IFERROR(IF(VLOOKUP(tbMoveset!A95,tbMoveset!A2:H112,8,FALSE)="Other",IF(VLOOKUP(tbMoveset!A95,tbMoveset!A2:I112,9,FALSE)="Fire",Backdoors!BB34,IF(VLOOKUP(tbMoveset!A95,tbMoveset!A2:I112,9,FALSE)="Water",Backdoors!BC34,IF(VLOOKUP(tbMoveset!A95,tbMoveset!A2:I112,9,FALSE)="Thunder",Backdoors!BD34,IF(VLOOKUP(tbMoveset!A95,tbMoveset!A2:I112,9,FALSE)="Ice",Backdoors!BE34,IF(VLOOKUP(tbMoveset!A95,tbMoveset!A2:I112,9,FALSE)="Dragon",Backdoors!BF34,Backdoors!BG34)))))/100,Backdoors!BG34/100),"")</f>
        <v>0</v>
      </c>
      <c r="HM95" s="49">
        <f>IFERROR(IF(VLOOKUP(A95,tbMoveset!A2:J112,10,FALSE)=TRUE,IF((Backdoors!AI12+IF(HK95&gt;=0.45,VLOOKUP(Calculator!E23,tbSkills!DH3:DI6,2,FALSE)+IF(AND(Calculator!B8=TRUE,Backdoors!BI34=TRUE),VLOOKUP(Calculator!E23,tbSkills!DH3:DJ6,3,FALSE),0),0))&gt;=0,1+(Backdoors!AL2*(IF((Backdoors!AI12+IF(HK95&gt;=0.45,VLOOKUP(Calculator!E23,tbSkills!DH3:DI6,2,FALSE)+IF(AND(Calculator!B8=TRUE,Backdoors!BI34=TRUE),VLOOKUP(Calculator!E23,tbSkills!DH3:DJ6,3,FALSE),0),0))&gt;=100,100,(Backdoors!AI12+IF(HK95&gt;=0.45,VLOOKUP(Calculator!E23,tbSkills!DH3:DI6,2,FALSE)+IF(AND(Calculator!B8=TRUE,Backdoors!BI34=TRUE),VLOOKUP(Calculator!E23,tbSkills!DH3:DJ6,3,FALSE),0),0)))/100)),(1-(0.25*((-Backdoors!AI12-IF(HK95&gt;=0.45,VLOOKUP(Calculator!E23,tbSkills!DH3:DI6,2,FALSE)+IF(AND(Calculator!B8=TRUE,Backdoors!BI34=TRUE),VLOOKUP(Calculator!E23,tbSkills!DH3:DJ6,3,FALSE),0),0))/100)))),1),"")</f>
        <v>1</v>
      </c>
      <c r="HN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K95)*HM95)*(VLOOKUP(A95,tbMoveset!A2:C112,3,FALSE)/100)*IF(VLOOKUP(A95,tbMoveset!A2:B112,2,FALSE)="Projectile",Backdoors!N10,Backdoors!N9),0),"")</f>
        <v/>
      </c>
      <c r="HO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K95&gt;=0.45,VLOOKUP(Calculator!E23,tbSkills!DH3:DI6,2,FALSE)+IF(AND(Calculator!B8=TRUE,Backdoors!BI34=TRUE),VLOOKUP(Calculator!E23,tbSkills!DH3:DJ6,3,FALSE),0),0))&gt;=100,100,(Backdoors!AI12+IF(HK95&gt;=0.45,VLOOKUP(Calculator!E23,tbSkills!DH3:DI6,2,FALSE)+IF(AND(Calculator!B8=TRUE,Backdoors!BI34=TRUE),VLOOKUP(Calculator!E23,tbSkills!DH3:DJ6,3,FALSE),0),0)))/100)),1))*IF(VLOOKUP(A95,tbMoveset!A2:K112,11,FALSE)=TRUE,Backdoors!AC5,1))*HL95,0),"")</f>
        <v>0</v>
      </c>
      <c r="HP95" s="49">
        <f>VLOOKUP(A95,tbMoveset!A2:G112,7,FALSE)*IFERROR(IF(Backdoors!AI12&gt;=0,1+(IF(Calculator!E40&gt;0,VLOOKUP(Calculator!E40,tbSkills!AI3:AJ5,2,FALSE),Backdoors!AL4)*(IF((Backdoors!AI12+IF(HK95&gt;=0.45,VLOOKUP(Calculator!E23,tbSkills!DH3:DI6,2,FALSE)+IF(AND(Calculator!B8=TRUE,Backdoors!BI34=TRUE),VLOOKUP(Calculator!E23,tbSkills!DH3:DJ6,3,FALSE),0),0))&gt;=100,100,(Backdoors!AI12+IF(HK95&gt;=0.45,VLOOKUP(Calculator!E23,tbSkills!DH3:DI6,2,FALSE)+IF(AND(Calculator!B8=TRUE,Backdoors!BI34=TRUE),VLOOKUP(Calculator!E23,tbSkills!DH3:DJ6,3,FALSE),0),0)))/100)),1),1)</f>
        <v>0.5</v>
      </c>
      <c r="HQ95" s="87">
        <f t="shared" si="82"/>
        <v>0</v>
      </c>
      <c r="HR95" s="86" t="str">
        <f>IFERROR(IF(VLOOKUP(A95,tbMoveset!A2:B112,2,FALSE)="Sever",Backdoors!AY35/100,IF(VLOOKUP(A95,tbMoveset!A2:B112,2,FALSE)="Blunt",Backdoors!AZ35/100,Backdoors!BA35/100)),"")</f>
        <v/>
      </c>
      <c r="HS95" s="49">
        <f>IFERROR(IF(VLOOKUP(tbMoveset!A95,tbMoveset!A2:H112,8,FALSE)="Other",IF(VLOOKUP(tbMoveset!A95,tbMoveset!A2:I112,9,FALSE)="Fire",Backdoors!BB35,IF(VLOOKUP(tbMoveset!A95,tbMoveset!A2:I112,9,FALSE)="Water",Backdoors!BC35,IF(VLOOKUP(tbMoveset!A95,tbMoveset!A2:I112,9,FALSE)="Thunder",Backdoors!BD35,IF(VLOOKUP(tbMoveset!A95,tbMoveset!A2:I112,9,FALSE)="Ice",Backdoors!BE35,IF(VLOOKUP(tbMoveset!A95,tbMoveset!A2:I112,9,FALSE)="Dragon",Backdoors!BF35,Backdoors!BG35)))))/100,Backdoors!BG35/100),"")</f>
        <v>0</v>
      </c>
      <c r="HT95" s="49">
        <f>IFERROR(IF(VLOOKUP(A95,tbMoveset!A2:J112,10,FALSE)=TRUE,IF((Backdoors!AI12+IF(HR95&gt;=0.45,VLOOKUP(Calculator!E23,tbSkills!DH3:DI6,2,FALSE)+IF(AND(Calculator!B8=TRUE,Backdoors!BI35=TRUE),VLOOKUP(Calculator!E23,tbSkills!DH3:DJ6,3,FALSE),0),0))&gt;=0,1+(Backdoors!AL2*(IF((Backdoors!AI12+IF(HR95&gt;=0.45,VLOOKUP(Calculator!E23,tbSkills!DH3:DI6,2,FALSE)+IF(AND(Calculator!B8=TRUE,Backdoors!BI35=TRUE),VLOOKUP(Calculator!E23,tbSkills!DH3:DJ6,3,FALSE),0),0))&gt;=100,100,(Backdoors!AI12+IF(HR95&gt;=0.45,VLOOKUP(Calculator!E23,tbSkills!DH3:DI6,2,FALSE)+IF(AND(Calculator!B8=TRUE,Backdoors!BI35=TRUE),VLOOKUP(Calculator!E23,tbSkills!DH3:DJ6,3,FALSE),0),0)))/100)),(1-(0.25*((-Backdoors!AI12-IF(HR95&gt;=0.45,VLOOKUP(Calculator!E23,tbSkills!DH3:DI6,2,FALSE)+IF(AND(Calculator!B8=TRUE,Backdoors!BI35=TRUE),VLOOKUP(Calculator!E23,tbSkills!DH3:DJ6,3,FALSE),0),0))/100)))),1),"")</f>
        <v>1</v>
      </c>
      <c r="HU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R95)*HT95)*(VLOOKUP(A95,tbMoveset!A2:C112,3,FALSE)/100)*IF(VLOOKUP(A95,tbMoveset!A2:B112,2,FALSE)="Projectile",Backdoors!N10,Backdoors!N9),0),"")</f>
        <v/>
      </c>
      <c r="HV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R95&gt;=0.45,VLOOKUP(Calculator!E23,tbSkills!DH3:DI6,2,FALSE)+IF(AND(Calculator!B8=TRUE,Backdoors!BI35=TRUE),VLOOKUP(Calculator!E23,tbSkills!DH3:DJ6,3,FALSE),0),0))&gt;=100,100,(Backdoors!AI12+IF(HR95&gt;=0.45,VLOOKUP(Calculator!E23,tbSkills!DH3:DI6,2,FALSE)+IF(AND(Calculator!B8=TRUE,Backdoors!BI35=TRUE),VLOOKUP(Calculator!E23,tbSkills!DH3:DJ6,3,FALSE),0),0)))/100)),1))*IF(VLOOKUP(A95,tbMoveset!A2:K112,11,FALSE)=TRUE,Backdoors!AC5,1))*HS95,0),"")</f>
        <v>0</v>
      </c>
      <c r="HW95" s="49">
        <f>VLOOKUP(A95,tbMoveset!A2:G112,7,FALSE)*IFERROR(IF(Backdoors!AI12&gt;=0,1+(IF(Calculator!E40&gt;0,VLOOKUP(Calculator!E40,tbSkills!AI3:AJ5,2,FALSE),Backdoors!AL4)*(IF((Backdoors!AI12+IF(HR95&gt;=0.45,VLOOKUP(Calculator!E23,tbSkills!DH3:DI6,2,FALSE)+IF(AND(Calculator!B8=TRUE,Backdoors!BI35=TRUE),VLOOKUP(Calculator!E23,tbSkills!DH3:DJ6,3,FALSE),0),0))&gt;=100,100,(Backdoors!AI12+IF(HR95&gt;=0.45,VLOOKUP(Calculator!E23,tbSkills!DH3:DI6,2,FALSE)+IF(AND(Calculator!B8=TRUE,Backdoors!BI35=TRUE),VLOOKUP(Calculator!E23,tbSkills!DH3:DJ6,3,FALSE),0),0)))/100)),1),1)</f>
        <v>0.5</v>
      </c>
      <c r="HX95" s="87">
        <f t="shared" si="83"/>
        <v>0</v>
      </c>
      <c r="HY95" s="86" t="str">
        <f>IFERROR(IF(VLOOKUP(A95,tbMoveset!A2:B112,2,FALSE)="Sever",Backdoors!AY36/100,IF(VLOOKUP(A95,tbMoveset!A2:B112,2,FALSE)="Blunt",Backdoors!AZ36/100,Backdoors!BA36/100)),"")</f>
        <v/>
      </c>
      <c r="HZ95" s="49">
        <f>IFERROR(IF(VLOOKUP(tbMoveset!A95,tbMoveset!A2:H112,8,FALSE)="Other",IF(VLOOKUP(tbMoveset!A95,tbMoveset!A2:I112,9,FALSE)="Fire",Backdoors!BB36,IF(VLOOKUP(tbMoveset!A95,tbMoveset!A2:I112,9,FALSE)="Water",Backdoors!BC36,IF(VLOOKUP(tbMoveset!A95,tbMoveset!A2:I112,9,FALSE)="Thunder",Backdoors!BD36,IF(VLOOKUP(tbMoveset!A95,tbMoveset!A2:I112,9,FALSE)="Ice",Backdoors!BE36,IF(VLOOKUP(tbMoveset!A95,tbMoveset!A2:I112,9,FALSE)="Dragon",Backdoors!BF36,Backdoors!BG36)))))/100,Backdoors!BG36/100),"")</f>
        <v>0</v>
      </c>
      <c r="IA95" s="49">
        <f>IFERROR(IF(VLOOKUP(A95,tbMoveset!A2:J112,10,FALSE)=TRUE,IF((Backdoors!AI12+IF(HY95&gt;=0.45,VLOOKUP(Calculator!E23,tbSkills!DH3:DI6,2,FALSE)+IF(AND(Calculator!B8=TRUE,Backdoors!BI36=TRUE),VLOOKUP(Calculator!E23,tbSkills!DH3:DJ6,3,FALSE),0),0))&gt;=0,1+(Backdoors!AL2*(IF((Backdoors!AI12+IF(HY95&gt;=0.45,VLOOKUP(Calculator!E23,tbSkills!DH3:DI6,2,FALSE)+IF(AND(Calculator!B8=TRUE,Backdoors!BI36=TRUE),VLOOKUP(Calculator!E23,tbSkills!DH3:DJ6,3,FALSE),0),0))&gt;=100,100,(Backdoors!AI12+IF(HY95&gt;=0.45,VLOOKUP(Calculator!E23,tbSkills!DH3:DI6,2,FALSE)+IF(AND(Calculator!B8=TRUE,Backdoors!BI36=TRUE),VLOOKUP(Calculator!E23,tbSkills!DH3:DJ6,3,FALSE),0),0)))/100)),(1-(0.25*((-Backdoors!AI12-IF(HY95&gt;=0.45,VLOOKUP(Calculator!E23,tbSkills!DH3:DI6,2,FALSE)+IF(AND(Calculator!B8=TRUE,Backdoors!BI36=TRUE),VLOOKUP(Calculator!E23,tbSkills!DH3:DJ6,3,FALSE),0),0))/100)))),1),"")</f>
        <v>1</v>
      </c>
      <c r="IB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Y95)*IA95)*(VLOOKUP(A95,tbMoveset!A2:C112,3,FALSE)/100)*IF(VLOOKUP(A95,tbMoveset!A2:B112,2,FALSE)="Projectile",Backdoors!N10,Backdoors!N9),0),"")</f>
        <v/>
      </c>
      <c r="IC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Y95&gt;=0.45,VLOOKUP(Calculator!E23,tbSkills!DH3:DI6,2,FALSE)+IF(AND(Calculator!B8=TRUE,Backdoors!BI36=TRUE),VLOOKUP(Calculator!E23,tbSkills!DH3:DJ6,3,FALSE),0),0))&gt;=100,100,(Backdoors!AI12+IF(HY95&gt;=0.45,VLOOKUP(Calculator!E23,tbSkills!DH3:DI6,2,FALSE)+IF(AND(Calculator!B8=TRUE,Backdoors!BI36=TRUE),VLOOKUP(Calculator!E23,tbSkills!DH3:DJ6,3,FALSE),0),0)))/100)),1))*IF(VLOOKUP(A95,tbMoveset!A2:K112,11,FALSE)=TRUE,Backdoors!AC5,1))*HZ95,0),"")</f>
        <v>0</v>
      </c>
      <c r="ID95" s="49">
        <f>VLOOKUP(A95,tbMoveset!A2:G112,7,FALSE)*IFERROR(IF(Backdoors!AI12&gt;=0,1+(IF(Calculator!E40&gt;0,VLOOKUP(Calculator!E40,tbSkills!AI3:AJ5,2,FALSE),Backdoors!AL4)*(IF((Backdoors!AI12+IF(HY95&gt;=0.45,VLOOKUP(Calculator!E23,tbSkills!DH3:DI6,2,FALSE)+IF(AND(Calculator!B8=TRUE,Backdoors!BI36=TRUE),VLOOKUP(Calculator!E23,tbSkills!DH3:DJ6,3,FALSE),0),0))&gt;=100,100,(Backdoors!AI12+IF(HY95&gt;=0.45,VLOOKUP(Calculator!E23,tbSkills!DH3:DI6,2,FALSE)+IF(AND(Calculator!B8=TRUE,Backdoors!BI36=TRUE),VLOOKUP(Calculator!E23,tbSkills!DH3:DJ6,3,FALSE),0),0)))/100)),1),1)</f>
        <v>0.5</v>
      </c>
      <c r="IE95" s="87">
        <f t="shared" si="84"/>
        <v>0</v>
      </c>
      <c r="IF95" s="86" t="str">
        <f>IFERROR(IF(VLOOKUP(A95,tbMoveset!A2:B112,2,FALSE)="Sever",Backdoors!AY37/100,IF(VLOOKUP(A95,tbMoveset!A2:B112,2,FALSE)="Blunt",Backdoors!AZ37/100,Backdoors!BA37/100)),"")</f>
        <v/>
      </c>
      <c r="IG95" s="49">
        <f>IFERROR(IF(VLOOKUP(tbMoveset!A95,tbMoveset!A2:H112,8,FALSE)="Other",IF(VLOOKUP(tbMoveset!A95,tbMoveset!A2:I112,9,FALSE)="Fire",Backdoors!BB37,IF(VLOOKUP(tbMoveset!A95,tbMoveset!A2:I112,9,FALSE)="Water",Backdoors!BC37,IF(VLOOKUP(tbMoveset!A95,tbMoveset!A2:I112,9,FALSE)="Thunder",Backdoors!BD37,IF(VLOOKUP(tbMoveset!A95,tbMoveset!A2:I112,9,FALSE)="Ice",Backdoors!BE37,IF(VLOOKUP(tbMoveset!A95,tbMoveset!A2:I112,9,FALSE)="Dragon",Backdoors!BF37,Backdoors!BG37)))))/100,Backdoors!BG37/100),"")</f>
        <v>0</v>
      </c>
      <c r="IH95" s="49">
        <f>IFERROR(IF(VLOOKUP(A95,tbMoveset!A2:J112,10,FALSE)=TRUE,IF((Backdoors!AI12+IF(IF95&gt;=0.45,VLOOKUP(Calculator!E23,tbSkills!DH3:DI6,2,FALSE)+IF(AND(Calculator!B8=TRUE,Backdoors!BI37=TRUE),VLOOKUP(Calculator!E23,tbSkills!DH3:DJ6,3,FALSE),0),0))&gt;=0,1+(Backdoors!AL2*(IF((Backdoors!AI12+IF(IF95&gt;=0.45,VLOOKUP(Calculator!E23,tbSkills!DH3:DI6,2,FALSE)+IF(AND(Calculator!B8=TRUE,Backdoors!BI37=TRUE),VLOOKUP(Calculator!E23,tbSkills!DH3:DJ6,3,FALSE),0),0))&gt;=100,100,(Backdoors!AI12+IF(IF95&gt;=0.45,VLOOKUP(Calculator!E23,tbSkills!DH3:DI6,2,FALSE)+IF(AND(Calculator!B8=TRUE,Backdoors!BI37=TRUE),VLOOKUP(Calculator!E23,tbSkills!DH3:DJ6,3,FALSE),0),0)))/100)),(1-(0.25*((-Backdoors!AI12-IF(IF95&gt;=0.45,VLOOKUP(Calculator!E23,tbSkills!DH3:DI6,2,FALSE)+IF(AND(Calculator!B8=TRUE,Backdoors!BI37=TRUE),VLOOKUP(Calculator!E23,tbSkills!DH3:DJ6,3,FALSE),0),0))/100)))),1),"")</f>
        <v>1</v>
      </c>
      <c r="II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F95)*IH95)*(VLOOKUP(A95,tbMoveset!A2:C112,3,FALSE)/100)*IF(VLOOKUP(A95,tbMoveset!A2:B112,2,FALSE)="Projectile",Backdoors!N10,Backdoors!N9),0),"")</f>
        <v/>
      </c>
      <c r="IJ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IF95&gt;=0.45,VLOOKUP(Calculator!E23,tbSkills!DH3:DI6,2,FALSE)+IF(AND(Calculator!B8=TRUE,Backdoors!BI37=TRUE),VLOOKUP(Calculator!E23,tbSkills!DH3:DJ6,3,FALSE),0),0))&gt;=100,100,(Backdoors!AI12+IF(IF95&gt;=0.45,VLOOKUP(Calculator!E23,tbSkills!DH3:DI6,2,FALSE)+IF(AND(Calculator!B8=TRUE,Backdoors!BI37=TRUE),VLOOKUP(Calculator!E23,tbSkills!DH3:DJ6,3,FALSE),0),0)))/100)),1))*IF(VLOOKUP(A95,tbMoveset!A2:K112,11,FALSE)=TRUE,Backdoors!AC5,1))*IG95,0),"")</f>
        <v>0</v>
      </c>
      <c r="IK95" s="49">
        <f>VLOOKUP(A95,tbMoveset!A2:G112,7,FALSE)*IFERROR(IF(Backdoors!AI12&gt;=0,1+(IF(Calculator!E40&gt;0,VLOOKUP(Calculator!E40,tbSkills!AI3:AJ5,2,FALSE),Backdoors!AL4)*(IF((Backdoors!AI12+IF(IF95&gt;=0.45,VLOOKUP(Calculator!E23,tbSkills!DH3:DI6,2,FALSE)+IF(AND(Calculator!B8=TRUE,Backdoors!BI37=TRUE),VLOOKUP(Calculator!E23,tbSkills!DH3:DJ6,3,FALSE),0),0))&gt;=100,100,(Backdoors!AI12+IF(IF95&gt;=0.45,VLOOKUP(Calculator!E23,tbSkills!DH3:DI6,2,FALSE)+IF(AND(Calculator!B8=TRUE,Backdoors!BI37=TRUE),VLOOKUP(Calculator!E23,tbSkills!DH3:DJ6,3,FALSE),0),0)))/100)),1),1)</f>
        <v>0.5</v>
      </c>
      <c r="IL95" s="87">
        <f t="shared" si="85"/>
        <v>0</v>
      </c>
      <c r="IM95" s="86" t="str">
        <f>IFERROR(IF(VLOOKUP(A95,tbMoveset!A2:B112,2,FALSE)="Sever",Backdoors!AY38/100,IF(VLOOKUP(A95,tbMoveset!A2:B112,2,FALSE)="Blunt",Backdoors!AZ38/100,Backdoors!BA38/100)),"")</f>
        <v/>
      </c>
      <c r="IN95" s="49">
        <f>IFERROR(IF(VLOOKUP(tbMoveset!A95,tbMoveset!A2:H112,8,FALSE)="Other",IF(VLOOKUP(tbMoveset!A95,tbMoveset!A2:I112,9,FALSE)="Fire",Backdoors!BB38,IF(VLOOKUP(tbMoveset!A95,tbMoveset!A2:I112,9,FALSE)="Water",Backdoors!BC38,IF(VLOOKUP(tbMoveset!A95,tbMoveset!A2:I112,9,FALSE)="Thunder",Backdoors!BD38,IF(VLOOKUP(tbMoveset!A95,tbMoveset!A2:I112,9,FALSE)="Ice",Backdoors!BE38,IF(VLOOKUP(tbMoveset!A95,tbMoveset!A2:I112,9,FALSE)="Dragon",Backdoors!BF38,Backdoors!BG38)))))/100,Backdoors!BG38/100),"")</f>
        <v>0</v>
      </c>
      <c r="IO95" s="49">
        <f>IFERROR(IF(VLOOKUP(A95,tbMoveset!A2:J112,10,FALSE)=TRUE,IF((Backdoors!AI12+IF(IM95&gt;=0.45,VLOOKUP(Calculator!E23,tbSkills!DH3:DI6,2,FALSE)+IF(AND(Calculator!B8=TRUE,Backdoors!BI38=TRUE),VLOOKUP(Calculator!E23,tbSkills!DH3:DJ6,3,FALSE),0),0))&gt;=0,1+(Backdoors!AL2*(IF((Backdoors!AI12+IF(IM95&gt;=0.45,VLOOKUP(Calculator!E23,tbSkills!DH3:DI6,2,FALSE)+IF(AND(Calculator!B8=TRUE,Backdoors!BI38=TRUE),VLOOKUP(Calculator!E23,tbSkills!DH3:DJ6,3,FALSE),0),0))&gt;=100,100,(Backdoors!AI12+IF(IM95&gt;=0.45,VLOOKUP(Calculator!E23,tbSkills!DH3:DI6,2,FALSE)+IF(AND(Calculator!B8=TRUE,Backdoors!BI38=TRUE),VLOOKUP(Calculator!E23,tbSkills!DH3:DJ6,3,FALSE),0),0)))/100)),(1-(0.25*((-Backdoors!AI12-IF(IM95&gt;=0.45,VLOOKUP(Calculator!E23,tbSkills!DH3:DI6,2,FALSE)+IF(AND(Calculator!B8=TRUE,Backdoors!BI38=TRUE),VLOOKUP(Calculator!E23,tbSkills!DH3:DJ6,3,FALSE),0),0))/100)))),1),"")</f>
        <v>1</v>
      </c>
      <c r="IP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M95)*IO95)*(VLOOKUP(A95,tbMoveset!A2:C112,3,FALSE)/100)*IF(VLOOKUP(A95,tbMoveset!A2:B112,2,FALSE)="Projectile",Backdoors!N10,Backdoors!N9),0),"")</f>
        <v/>
      </c>
      <c r="IQ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IM95&gt;=0.45,VLOOKUP(Calculator!E23,tbSkills!DH3:DI6,2,FALSE)+IF(AND(Calculator!B8=TRUE,Backdoors!BI38=TRUE),VLOOKUP(Calculator!E23,tbSkills!DH3:DJ6,3,FALSE),0),0))&gt;=100,100,(Backdoors!AI12+IF(IM95&gt;=0.45,VLOOKUP(Calculator!E23,tbSkills!DH3:DI6,2,FALSE)+IF(AND(Calculator!B8=TRUE,Backdoors!BI38=TRUE),VLOOKUP(Calculator!E23,tbSkills!DH3:DJ6,3,FALSE),0),0)))/100)),1))*IF(VLOOKUP(A95,tbMoveset!A2:K112,11,FALSE)=TRUE,Backdoors!AC5,1))*IN95,0),"")</f>
        <v>0</v>
      </c>
      <c r="IR95" s="49">
        <f>VLOOKUP(A95,tbMoveset!A2:G112,7,FALSE)*IFERROR(IF(Backdoors!AI12&gt;=0,1+(IF(Calculator!E40&gt;0,VLOOKUP(Calculator!E40,tbSkills!AI3:AJ5,2,FALSE),Backdoors!AL4)*(IF((Backdoors!AI12+IF(IM95&gt;=0.45,VLOOKUP(Calculator!E23,tbSkills!DH3:DI6,2,FALSE)+IF(AND(Calculator!B8=TRUE,Backdoors!BI38=TRUE),VLOOKUP(Calculator!E23,tbSkills!DH3:DJ6,3,FALSE),0),0))&gt;=100,100,(Backdoors!AI12+IF(IM95&gt;=0.45,VLOOKUP(Calculator!E23,tbSkills!DH3:DI6,2,FALSE)+IF(AND(Calculator!B8=TRUE,Backdoors!BI38=TRUE),VLOOKUP(Calculator!E23,tbSkills!DH3:DJ6,3,FALSE),0),0)))/100)),1),1)</f>
        <v>0.5</v>
      </c>
      <c r="IS95" s="87">
        <f t="shared" si="86"/>
        <v>0</v>
      </c>
      <c r="IT95" s="86" t="str">
        <f>IFERROR(IF(VLOOKUP(A95,tbMoveset!A2:B112,2,FALSE)="Sever",Backdoors!AY39/100,IF(VLOOKUP(A95,tbMoveset!A2:B112,2,FALSE)="Blunt",Backdoors!AZ39/100,Backdoors!BA39/100)),"")</f>
        <v/>
      </c>
      <c r="IU95" s="49">
        <f>IFERROR(IF(VLOOKUP(tbMoveset!A95,tbMoveset!A2:H112,8,FALSE)="Other",IF(VLOOKUP(tbMoveset!A95,tbMoveset!A2:I112,9,FALSE)="Fire",Backdoors!BB39,IF(VLOOKUP(tbMoveset!A95,tbMoveset!A2:I112,9,FALSE)="Water",Backdoors!BC39,IF(VLOOKUP(tbMoveset!A95,tbMoveset!A2:I112,9,FALSE)="Thunder",Backdoors!BD39,IF(VLOOKUP(tbMoveset!A95,tbMoveset!A2:I112,9,FALSE)="Ice",Backdoors!BE39,IF(VLOOKUP(tbMoveset!A95,tbMoveset!A2:I112,9,FALSE)="Dragon",Backdoors!BF39,Backdoors!BG39)))))/100,Backdoors!BG39/100),"")</f>
        <v>0</v>
      </c>
      <c r="IV95" s="49">
        <f>IFERROR(IF(VLOOKUP(A95,tbMoveset!A2:J112,10,FALSE)=TRUE,IF((Backdoors!AI12+IF(IT95&gt;=0.45,VLOOKUP(Calculator!E23,tbSkills!DH3:DI6,2,FALSE)+IF(AND(Calculator!B8=TRUE,Backdoors!BI39=TRUE),VLOOKUP(Calculator!E23,tbSkills!DH3:DJ6,3,FALSE),0),0))&gt;=0,1+(Backdoors!AL2*(IF((Backdoors!AI12+IF(IT95&gt;=0.45,VLOOKUP(Calculator!E23,tbSkills!DH3:DI6,2,FALSE)+IF(AND(Calculator!B8=TRUE,Backdoors!BI39=TRUE),VLOOKUP(Calculator!E23,tbSkills!DH3:DJ6,3,FALSE),0),0))&gt;=100,100,(Backdoors!AI12+IF(IT95&gt;=0.45,VLOOKUP(Calculator!E23,tbSkills!DH3:DI6,2,FALSE)+IF(AND(Calculator!B8=TRUE,Backdoors!BI39=TRUE),VLOOKUP(Calculator!E23,tbSkills!DH3:DJ6,3,FALSE),0),0)))/100)),(1-(0.25*((-Backdoors!AI12-IF(IT95&gt;=0.45,VLOOKUP(Calculator!E23,tbSkills!DH3:DI6,2,FALSE)+IF(AND(Calculator!B8=TRUE,Backdoors!BI39=TRUE),VLOOKUP(Calculator!E23,tbSkills!DH3:DJ6,3,FALSE),0),0))/100)))),1),"")</f>
        <v>1</v>
      </c>
      <c r="IW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T95)*IV95)*(VLOOKUP(A95,tbMoveset!A2:C112,3,FALSE)/100)*IF(VLOOKUP(A95,tbMoveset!A2:B112,2,FALSE)="Projectile",Backdoors!N10,Backdoors!N9),0),"")</f>
        <v/>
      </c>
      <c r="IX95" s="49">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40&gt;0,VLOOKUP(Calculator!E40,tbSkills!AC3:AD5,2,FALSE),Backdoors!AL3)*(IF((Backdoors!AI12+IF(IT95&gt;=0.45,VLOOKUP(Calculator!E23,tbSkills!DH3:DI6,2,FALSE)+IF(AND(Calculator!B8=TRUE,Backdoors!BI39=TRUE),VLOOKUP(Calculator!E23,tbSkills!DH3:DJ6,3,FALSE),0),0))&gt;=100,100,(Backdoors!AI12+IF(IT95&gt;=0.45,VLOOKUP(Calculator!E23,tbSkills!DH3:DI6,2,FALSE)+IF(AND(Calculator!B8=TRUE,Backdoors!BI39=TRUE),VLOOKUP(Calculator!E23,tbSkills!DH3:DJ6,3,FALSE),0),0)))/100)),1))*IF(VLOOKUP(A95,tbMoveset!A2:K112,11,FALSE)=TRUE,Backdoors!AC5,1))*IU95,0),"")</f>
        <v>0</v>
      </c>
      <c r="IY95" s="49">
        <f>VLOOKUP(A95,tbMoveset!A2:G112,7,FALSE)*IFERROR(IF(Backdoors!AI12&gt;=0,1+(IF(Calculator!E40&gt;0,VLOOKUP(Calculator!E40,tbSkills!AI3:AJ5,2,FALSE),Backdoors!AL4)*(IF((Backdoors!AI12+IF(IT95&gt;=0.45,VLOOKUP(Calculator!E23,tbSkills!DH3:DI6,2,FALSE)+IF(AND(Calculator!B8=TRUE,Backdoors!BI39=TRUE),VLOOKUP(Calculator!E23,tbSkills!DH3:DJ6,3,FALSE),0),0))&gt;=100,100,(Backdoors!AI12+IF(IT95&gt;=0.45,VLOOKUP(Calculator!E23,tbSkills!DH3:DI6,2,FALSE)+IF(AND(Calculator!B8=TRUE,Backdoors!BI39=TRUE),VLOOKUP(Calculator!E23,tbSkills!DH3:DJ6,3,FALSE),0),0)))/100)),1),1)</f>
        <v>0.5</v>
      </c>
      <c r="IZ95" s="87">
        <f t="shared" si="87"/>
        <v>0</v>
      </c>
      <c r="JA95" s="86" t="str">
        <f>IFERROR(IF(VLOOKUP(A95,tbMoveset!A2:B112,2,FALSE)="Sever",Backdoors!AY40/100,IF(VLOOKUP(A95,tbMoveset!A2:B112,2,FALSE)="Blunt",Backdoors!AZ40/100,Backdoors!BA40/100)),"")</f>
        <v/>
      </c>
      <c r="JB95" s="49">
        <f>IFERROR(IF(VLOOKUP(tbMoveset!A95,tbMoveset!A2:H112,8,FALSE)="Other",IF(VLOOKUP(tbMoveset!A95,tbMoveset!A2:I112,9,FALSE)="Fire",Backdoors!BB40,IF(VLOOKUP(tbMoveset!A95,tbMoveset!A2:I112,9,FALSE)="Water",Backdoors!BC40,IF(VLOOKUP(tbMoveset!A95,tbMoveset!A2:I112,9,FALSE)="Thunder",Backdoors!BD40,IF(VLOOKUP(tbMoveset!A95,tbMoveset!A2:I112,9,FALSE)="Ice",Backdoors!BE40,IF(VLOOKUP(tbMoveset!A95,tbMoveset!A2:I112,9,FALSE)="Dragon",Backdoors!BF40,Backdoors!BG40)))))/100,Backdoors!BG40/100),"")</f>
        <v>0</v>
      </c>
      <c r="JC95" s="49">
        <f>IFERROR(IF(VLOOKUP(A95,tbMoveset!A2:J112,10,FALSE)=TRUE,IF((Backdoors!AI12+IF(JA95&gt;=0.45,VLOOKUP(Calculator!E23,tbSkills!DH3:DI6,2,FALSE)+IF(AND(Calculator!B8=TRUE,Backdoors!BI40=TRUE),VLOOKUP(Calculator!E23,tbSkills!DH3:DJ6,3,FALSE),0),0))&gt;=0,1+(Backdoors!AL2*(IF((Backdoors!AI12+IF(JA95&gt;=0.45,VLOOKUP(Calculator!E23,tbSkills!DH3:DI6,2,FALSE)+IF(AND(Calculator!B8=TRUE,Backdoors!BI40=TRUE),VLOOKUP(Calculator!E23,tbSkills!DH3:DJ6,3,FALSE),0),0))&gt;=100,100,(Backdoors!AI12+IF(JA95&gt;=0.45,VLOOKUP(Calculator!E23,tbSkills!DH3:DI6,2,FALSE)+IF(AND(Calculator!B8=TRUE,Backdoors!BI40=TRUE),VLOOKUP(Calculator!E23,tbSkills!DH3:DJ6,3,FALSE),0),0)))/100)),(1-(0.25*((-Backdoors!AI12-IF(JA95&gt;=0.45,VLOOKUP(Calculator!E23,tbSkills!DH3:DI6,2,FALSE)+IF(AND(Calculator!B8=TRUE,Backdoors!BI40=TRUE),VLOOKUP(Calculator!E23,tbSkills!DH3:DJ6,3,FALSE),0),0))/100)))),1),"")</f>
        <v>1</v>
      </c>
      <c r="JD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A95)*JC95)*(VLOOKUP(A95,tbMoveset!A2:C112,3,FALSE)/100)*IF(VLOOKUP(A95,tbMoveset!A2:B112,2,FALSE)="Projectile",Backdoors!N10,Backdoors!N9),0),"")</f>
        <v/>
      </c>
      <c r="JE95" s="49">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42&gt;0,VLOOKUP(Calculator!E42,tbSkills!AC3:AD5,2,FALSE),Backdoors!AL3)*(IF((Backdoors!AI12+IF(JA95&gt;=0.45,VLOOKUP(Calculator!E23,tbSkills!DH3:DI6,2,FALSE)+IF(AND(Calculator!B8=TRUE,Backdoors!BI40=TRUE),VLOOKUP(Calculator!E23,tbSkills!DH3:DJ6,3,FALSE),0),0))&gt;=100,100,(Backdoors!AI12+IF(JA95&gt;=0.45,VLOOKUP(Calculator!E23,tbSkills!DH3:DI6,2,FALSE)+IF(AND(Calculator!B8=TRUE,Backdoors!BI40=TRUE),VLOOKUP(Calculator!E23,tbSkills!DH3:DJ6,3,FALSE),0),0)))/100)),1))*IF(VLOOKUP(A95,tbMoveset!A2:K112,11,FALSE)=TRUE,Backdoors!AC5,1))*JB95,0),"")</f>
        <v>0</v>
      </c>
      <c r="JF95" s="49">
        <f>VLOOKUP(A95,tbMoveset!A2:G112,7,FALSE)*IFERROR(IF(Backdoors!AI12&gt;=0,1+(IF(Calculator!E40&gt;0,VLOOKUP(Calculator!E40,tbSkills!AI3:AJ5,2,FALSE),Backdoors!AL4)*(IF((Backdoors!AI12+IF(JA95&gt;=0.45,VLOOKUP(Calculator!E23,tbSkills!DH3:DI6,2,FALSE)+IF(AND(Calculator!B8=TRUE,Backdoors!BI40=TRUE),VLOOKUP(Calculator!E23,tbSkills!DH3:DJ6,3,FALSE),0),0))&gt;=100,100,(Backdoors!AI12+IF(JA95&gt;=0.45,VLOOKUP(Calculator!E23,tbSkills!DH3:DI6,2,FALSE)+IF(AND(Calculator!B8=TRUE,Backdoors!BI40=TRUE),VLOOKUP(Calculator!E23,tbSkills!DH3:DJ6,3,FALSE),0),0)))/100)),1),1)</f>
        <v>0.5</v>
      </c>
      <c r="JG95" s="87">
        <f t="shared" si="88"/>
        <v>0</v>
      </c>
      <c r="JH95" s="86" t="str">
        <f>IFERROR(IF(VLOOKUP(A95,tbMoveset!A2:B112,2,FALSE)="Sever",Backdoors!AY41/100,IF(VLOOKUP(A95,tbMoveset!A2:B112,2,FALSE)="Blunt",Backdoors!AZ41/100,Backdoors!BA41/100)),"")</f>
        <v/>
      </c>
      <c r="JI95" s="49">
        <f>IFERROR(IF(VLOOKUP(tbMoveset!A95,tbMoveset!A2:H112,8,FALSE)="Other",IF(VLOOKUP(tbMoveset!A95,tbMoveset!A2:I112,9,FALSE)="Fire",Backdoors!BB41,IF(VLOOKUP(tbMoveset!A95,tbMoveset!A2:I112,9,FALSE)="Water",Backdoors!BC41,IF(VLOOKUP(tbMoveset!A95,tbMoveset!A2:I112,9,FALSE)="Thunder",Backdoors!BD41,IF(VLOOKUP(tbMoveset!A95,tbMoveset!A2:I112,9,FALSE)="Ice",Backdoors!BE41,IF(VLOOKUP(tbMoveset!A95,tbMoveset!A2:I112,9,FALSE)="Dragon",Backdoors!BF41,Backdoors!BG41)))))/100,Backdoors!BG41/100),"")</f>
        <v>0</v>
      </c>
      <c r="JJ95" s="49">
        <f>IFERROR(IF(VLOOKUP(A95,tbMoveset!A2:J112,10,FALSE)=TRUE,IF((Backdoors!AI12+IF(JH95&gt;=0.45,VLOOKUP(Calculator!E23,tbSkills!DH3:DI6,2,FALSE)+IF(AND(Calculator!B8=TRUE,Backdoors!BI41=TRUE),VLOOKUP(Calculator!E23,tbSkills!DH3:DJ6,3,FALSE),0),0))&gt;=0,1+(Backdoors!AL2*(IF((Backdoors!AI12+IF(JH95&gt;=0.45,VLOOKUP(Calculator!E23,tbSkills!DH3:DI6,2,FALSE)+IF(AND(Calculator!B8=TRUE,Backdoors!BI41=TRUE),VLOOKUP(Calculator!E23,tbSkills!DH3:DJ6,3,FALSE),0),0))&gt;=100,100,(Backdoors!AI12+IF(JH95&gt;=0.45,VLOOKUP(Calculator!E23,tbSkills!DH3:DI6,2,FALSE)+IF(AND(Calculator!B8=TRUE,Backdoors!BI41=TRUE),VLOOKUP(Calculator!E23,tbSkills!DH3:DJ6,3,FALSE),0),0)))/100)),(1-(0.25*((-Backdoors!AI12-IF(JH95&gt;=0.45,VLOOKUP(Calculator!E23,tbSkills!DH3:DI6,2,FALSE)+IF(AND(Calculator!B8=TRUE,Backdoors!BI41=TRUE),VLOOKUP(Calculator!E23,tbSkills!DH3:DJ6,3,FALSE),0),0))/100)))),1),"")</f>
        <v>1</v>
      </c>
      <c r="JK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H95)*JJ95)*(VLOOKUP(A95,tbMoveset!A2:C112,3,FALSE)/100)*IF(VLOOKUP(A95,tbMoveset!A2:B112,2,FALSE)="Projectile",Backdoors!N10,Backdoors!N9),0),"")</f>
        <v/>
      </c>
      <c r="JL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43&gt;0,VLOOKUP(Calculator!E43,tbSkills!AC3:AD5,2,FALSE),Backdoors!AL3)*(IF((Backdoors!AI12+IF(JH95&gt;=0.45,VLOOKUP(Calculator!E23,tbSkills!DH3:DI6,2,FALSE)+IF(AND(Calculator!B8=TRUE,Backdoors!BI41=TRUE),VLOOKUP(Calculator!E23,tbSkills!DH3:DJ6,3,FALSE),0),0))&gt;=100,100,(Backdoors!AI12+IF(JH95&gt;=0.45,VLOOKUP(Calculator!E23,tbSkills!DH3:DI6,2,FALSE)+IF(AND(Calculator!B8=TRUE,Backdoors!BI41=TRUE),VLOOKUP(Calculator!E23,tbSkills!DH3:DJ6,3,FALSE),0),0)))/100)),1))*IF(VLOOKUP(A95,tbMoveset!A2:K112,11,FALSE)=TRUE,Backdoors!AC5,1))*JI95,0),"")</f>
        <v/>
      </c>
      <c r="JM95" s="49">
        <f>VLOOKUP(A95,tbMoveset!A2:G112,7,FALSE)*IFERROR(IF(Backdoors!AI12&gt;=0,1+(IF(Calculator!E40&gt;0,VLOOKUP(Calculator!E40,tbSkills!AI3:AJ5,2,FALSE),Backdoors!AL4)*(IF((Backdoors!AI12+IF(JH95&gt;=0.45,VLOOKUP(Calculator!E23,tbSkills!DH3:DI6,2,FALSE)+IF(AND(Calculator!B8=TRUE,Backdoors!BI41=TRUE),VLOOKUP(Calculator!E23,tbSkills!DH3:DJ6,3,FALSE),0),0))&gt;=100,100,(Backdoors!AI12+IF(JH95&gt;=0.45,VLOOKUP(Calculator!E23,tbSkills!DH3:DI6,2,FALSE)+IF(AND(Calculator!B8=TRUE,Backdoors!BI41=TRUE),VLOOKUP(Calculator!E23,tbSkills!DH3:DJ6,3,FALSE),0),0)))/100)),1),1)</f>
        <v>0.5</v>
      </c>
      <c r="JN95" s="87">
        <f t="shared" si="89"/>
        <v>0</v>
      </c>
      <c r="JO95" s="86" t="str">
        <f>IFERROR(IF(VLOOKUP(A95,tbMoveset!A2:B112,2,FALSE)="Sever",Backdoors!AY42/100,IF(VLOOKUP(A95,tbMoveset!A2:B112,2,FALSE)="Blunt",Backdoors!AZ42/100,Backdoors!BA42/100)),"")</f>
        <v/>
      </c>
      <c r="JP95" s="49">
        <f>IFERROR(IF(VLOOKUP(tbMoveset!A95,tbMoveset!A2:H112,8,FALSE)="Other",IF(VLOOKUP(tbMoveset!A95,tbMoveset!A2:I112,9,FALSE)="Fire",Backdoors!BB42,IF(VLOOKUP(tbMoveset!A95,tbMoveset!A2:I112,9,FALSE)="Water",Backdoors!BC42,IF(VLOOKUP(tbMoveset!A95,tbMoveset!A2:I112,9,FALSE)="Thunder",Backdoors!BD42,IF(VLOOKUP(tbMoveset!A95,tbMoveset!A2:I112,9,FALSE)="Ice",Backdoors!BE42,IF(VLOOKUP(tbMoveset!A95,tbMoveset!A2:I112,9,FALSE)="Dragon",Backdoors!BF42,Backdoors!BG42)))))/100,Backdoors!BG42/100),"")</f>
        <v>0</v>
      </c>
      <c r="JQ95" s="49">
        <f>IFERROR(IF(VLOOKUP(A95,tbMoveset!A2:J112,10,FALSE)=TRUE,IF((Backdoors!AI12+IF(JO95&gt;=0.45,VLOOKUP(Calculator!E23,tbSkills!DH3:DI6,2,FALSE)+IF(AND(Calculator!B8=TRUE,Backdoors!BI42=TRUE),VLOOKUP(Calculator!E23,tbSkills!DH3:DJ6,3,FALSE),0),0))&gt;=0,1+(Backdoors!AL2*(IF((Backdoors!AI12+IF(JO95&gt;=0.45,VLOOKUP(Calculator!E23,tbSkills!DH3:DI6,2,FALSE)+IF(AND(Calculator!B8=TRUE,Backdoors!BI42=TRUE),VLOOKUP(Calculator!E23,tbSkills!DH3:DJ6,3,FALSE),0),0))&gt;=100,100,(Backdoors!AI12+IF(JO95&gt;=0.45,VLOOKUP(Calculator!E23,tbSkills!DH3:DI6,2,FALSE)+IF(AND(Calculator!B8=TRUE,Backdoors!BI42=TRUE),VLOOKUP(Calculator!E23,tbSkills!DH3:DJ6,3,FALSE),0),0)))/100)),(1-(0.25*((-Backdoors!AI12-IF(JO95&gt;=0.45,VLOOKUP(Calculator!E23,tbSkills!DH3:DI6,2,FALSE)+IF(AND(Calculator!B8=TRUE,Backdoors!BI42=TRUE),VLOOKUP(Calculator!E23,tbSkills!DH3:DJ6,3,FALSE),0),0))/100)))),1),"")</f>
        <v>1</v>
      </c>
      <c r="JR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O95)*JQ95)*(VLOOKUP(A95,tbMoveset!A2:C112,3,FALSE)/100)*IF(VLOOKUP(A95,tbMoveset!A2:B112,2,FALSE)="Projectile",Backdoors!N10,Backdoors!N9),0),"")</f>
        <v/>
      </c>
      <c r="JS95" s="49">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45&gt;0,VLOOKUP(Calculator!E45,tbSkills!AC3:AD5,2,FALSE),Backdoors!AL3)*(IF((Backdoors!AI12+IF(JO95&gt;=0.45,VLOOKUP(Calculator!E23,tbSkills!DH3:DI6,2,FALSE)+IF(AND(Calculator!B8=TRUE,Backdoors!BI42=TRUE),VLOOKUP(Calculator!E23,tbSkills!DH3:DJ6,3,FALSE),0),0))&gt;=100,100,(Backdoors!AI12+IF(JO95&gt;=0.45,VLOOKUP(Calculator!E23,tbSkills!DH3:DI6,2,FALSE)+IF(AND(Calculator!B8=TRUE,Backdoors!BI42=TRUE),VLOOKUP(Calculator!E23,tbSkills!DH3:DJ6,3,FALSE),0),0)))/100)),1))*IF(VLOOKUP(A95,tbMoveset!A2:K112,11,FALSE)=TRUE,Backdoors!AC5,1))*JP95,0),"")</f>
        <v>0</v>
      </c>
      <c r="JT95" s="49">
        <f>VLOOKUP(A95,tbMoveset!A2:G112,7,FALSE)*IFERROR(IF(Backdoors!AI12&gt;=0,1+(IF(Calculator!E40&gt;0,VLOOKUP(Calculator!E40,tbSkills!AI3:AJ5,2,FALSE),Backdoors!AL4)*(IF((Backdoors!AI12+IF(JO95&gt;=0.45,VLOOKUP(Calculator!E23,tbSkills!DH3:DI6,2,FALSE)+IF(AND(Calculator!B8=TRUE,Backdoors!BI42=TRUE),VLOOKUP(Calculator!E23,tbSkills!DH3:DJ6,3,FALSE),0),0))&gt;=100,100,(Backdoors!AI12+IF(JO95&gt;=0.45,VLOOKUP(Calculator!E23,tbSkills!DH3:DI6,2,FALSE)+IF(AND(Calculator!B8=TRUE,Backdoors!BI42=TRUE),VLOOKUP(Calculator!E23,tbSkills!DH3:DJ6,3,FALSE),0),0)))/100)),1),1)</f>
        <v>0.5</v>
      </c>
      <c r="JU95" s="87">
        <f t="shared" si="90"/>
        <v>0</v>
      </c>
      <c r="JV95" s="86" t="str">
        <f>IFERROR(IF(VLOOKUP(A95,tbMoveset!A2:B112,2,FALSE)="Sever",Backdoors!AY43/100,IF(VLOOKUP(A95,tbMoveset!A2:B112,2,FALSE)="Blunt",Backdoors!AZ43/100,Backdoors!BA43/100)),"")</f>
        <v/>
      </c>
      <c r="JW95" s="49">
        <f>IFERROR(IF(VLOOKUP(tbMoveset!A95,tbMoveset!A2:H112,8,FALSE)="Other",IF(VLOOKUP(tbMoveset!A95,tbMoveset!A2:I112,9,FALSE)="Fire",Backdoors!BB43,IF(VLOOKUP(tbMoveset!A95,tbMoveset!A2:I112,9,FALSE)="Water",Backdoors!BC43,IF(VLOOKUP(tbMoveset!A95,tbMoveset!A2:I112,9,FALSE)="Thunder",Backdoors!BD43,IF(VLOOKUP(tbMoveset!A95,tbMoveset!A2:I112,9,FALSE)="Ice",Backdoors!BE43,IF(VLOOKUP(tbMoveset!A95,tbMoveset!A2:I112,9,FALSE)="Dragon",Backdoors!BF43,Backdoors!BG43)))))/100,Backdoors!BG43/100),"")</f>
        <v>0</v>
      </c>
      <c r="JX95" s="49">
        <f>IFERROR(IF(VLOOKUP(A95,tbMoveset!A2:J112,10,FALSE)=TRUE,IF((Backdoors!AI12+IF(JV95&gt;=0.45,VLOOKUP(Calculator!E23,tbSkills!DH3:DI6,2,FALSE)+IF(AND(Calculator!B8=TRUE,Backdoors!BI43=TRUE),VLOOKUP(Calculator!E23,tbSkills!DH3:DJ6,3,FALSE),0),0))&gt;=0,1+(Backdoors!AL2*(IF((Backdoors!AI12+IF(JV95&gt;=0.45,VLOOKUP(Calculator!E23,tbSkills!DH3:DI6,2,FALSE)+IF(AND(Calculator!B8=TRUE,Backdoors!BI43=TRUE),VLOOKUP(Calculator!E23,tbSkills!DH3:DJ6,3,FALSE),0),0))&gt;=100,100,(Backdoors!AI12+IF(JV95&gt;=0.45,VLOOKUP(Calculator!E23,tbSkills!DH3:DI6,2,FALSE)+IF(AND(Calculator!B8=TRUE,Backdoors!BI43=TRUE),VLOOKUP(Calculator!E23,tbSkills!DH3:DJ6,3,FALSE),0),0)))/100)),(1-(0.25*((-Backdoors!AI12-IF(JV95&gt;=0.45,VLOOKUP(Calculator!E23,tbSkills!DH3:DI6,2,FALSE)+IF(AND(Calculator!B8=TRUE,Backdoors!BI43=TRUE),VLOOKUP(Calculator!E23,tbSkills!DH3:DJ6,3,FALSE),0),0))/100)))),1),"")</f>
        <v>1</v>
      </c>
      <c r="JY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V95)*JX95)*(VLOOKUP(A95,tbMoveset!A2:C112,3,FALSE)/100)*IF(VLOOKUP(A95,tbMoveset!A2:B112,2,FALSE)="Projectile",Backdoors!N10,Backdoors!N9),0),"")</f>
        <v/>
      </c>
      <c r="JZ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46&gt;0,VLOOKUP(Calculator!E46,tbSkills!AC3:AD5,2,FALSE),Backdoors!AL3)*(IF((Backdoors!AI12+IF(JV95&gt;=0.45,VLOOKUP(Calculator!E23,tbSkills!DH3:DI6,2,FALSE)+IF(AND(Calculator!B8=TRUE,Backdoors!BI43=TRUE),VLOOKUP(Calculator!E23,tbSkills!DH3:DJ6,3,FALSE),0),0))&gt;=100,100,(Backdoors!AI12+IF(JV95&gt;=0.45,VLOOKUP(Calculator!E23,tbSkills!DH3:DI6,2,FALSE)+IF(AND(Calculator!B8=TRUE,Backdoors!BI43=TRUE),VLOOKUP(Calculator!E23,tbSkills!DH3:DJ6,3,FALSE),0),0)))/100)),1))*IF(VLOOKUP(A95,tbMoveset!A2:K112,11,FALSE)=TRUE,Backdoors!AC5,1))*JW95,0),"")</f>
        <v/>
      </c>
      <c r="KA95" s="49">
        <f>VLOOKUP(A95,tbMoveset!A2:G112,7,FALSE)*IFERROR(IF(Backdoors!AI12&gt;=0,1+(IF(Calculator!E40&gt;0,VLOOKUP(Calculator!E40,tbSkills!AI3:AJ5,2,FALSE),Backdoors!AL4)*(IF((Backdoors!AI12+IF(JV95&gt;=0.45,VLOOKUP(Calculator!E23,tbSkills!DH3:DI6,2,FALSE)+IF(AND(Calculator!B8=TRUE,Backdoors!BI43=TRUE),VLOOKUP(Calculator!E23,tbSkills!DH3:DJ6,3,FALSE),0),0))&gt;=100,100,(Backdoors!AI12+IF(JV95&gt;=0.45,VLOOKUP(Calculator!E23,tbSkills!DH3:DI6,2,FALSE)+IF(AND(Calculator!B8=TRUE,Backdoors!BI43=TRUE),VLOOKUP(Calculator!E23,tbSkills!DH3:DJ6,3,FALSE),0),0)))/100)),1),1)</f>
        <v>0.5</v>
      </c>
      <c r="KB95" s="87">
        <f t="shared" si="91"/>
        <v>0</v>
      </c>
      <c r="KC95" s="86" t="str">
        <f>IFERROR(IF(VLOOKUP(A95,tbMoveset!A2:B112,2,FALSE)="Sever",Backdoors!AY44/100,IF(VLOOKUP(A95,tbMoveset!A2:B112,2,FALSE)="Blunt",Backdoors!AZ44/100,Backdoors!BA44/100)),"")</f>
        <v/>
      </c>
      <c r="KD95" s="49">
        <f>IFERROR(IF(VLOOKUP(tbMoveset!A95,tbMoveset!A2:H112,8,FALSE)="Other",IF(VLOOKUP(tbMoveset!A95,tbMoveset!A2:I112,9,FALSE)="Fire",Backdoors!BB44,IF(VLOOKUP(tbMoveset!A95,tbMoveset!A2:I112,9,FALSE)="Water",Backdoors!BC44,IF(VLOOKUP(tbMoveset!A95,tbMoveset!A2:I112,9,FALSE)="Thunder",Backdoors!BD44,IF(VLOOKUP(tbMoveset!A95,tbMoveset!A2:I112,9,FALSE)="Ice",Backdoors!BE44,IF(VLOOKUP(tbMoveset!A95,tbMoveset!A2:I112,9,FALSE)="Dragon",Backdoors!BF44,Backdoors!BG44)))))/100,Backdoors!BG44/100),"")</f>
        <v>0</v>
      </c>
      <c r="KE95" s="49">
        <f>IFERROR(IF(VLOOKUP(A95,tbMoveset!A2:J112,10,FALSE)=TRUE,IF((Backdoors!AI12+IF(KC95&gt;=0.45,VLOOKUP(Calculator!E23,tbSkills!DH3:DI6,2,FALSE)+IF(AND(Calculator!B8=TRUE,Backdoors!BI44=TRUE),VLOOKUP(Calculator!E23,tbSkills!DH3:DJ6,3,FALSE),0),0))&gt;=0,1+(Backdoors!AL2*(IF((Backdoors!AI12+IF(KC95&gt;=0.45,VLOOKUP(Calculator!E23,tbSkills!DH3:DI6,2,FALSE)+IF(AND(Calculator!B8=TRUE,Backdoors!BI44=TRUE),VLOOKUP(Calculator!E23,tbSkills!DH3:DJ6,3,FALSE),0),0))&gt;=100,100,(Backdoors!AI12+IF(KC95&gt;=0.45,VLOOKUP(Calculator!E23,tbSkills!DH3:DI6,2,FALSE)+IF(AND(Calculator!B8=TRUE,Backdoors!BI44=TRUE),VLOOKUP(Calculator!E23,tbSkills!DH3:DJ6,3,FALSE),0),0)))/100)),(1-(0.25*((-Backdoors!AI12-IF(KC95&gt;=0.45,VLOOKUP(Calculator!E23,tbSkills!DH3:DI6,2,FALSE)+IF(AND(Calculator!B8=TRUE,Backdoors!BI44=TRUE),VLOOKUP(Calculator!E23,tbSkills!DH3:DJ6,3,FALSE),0),0))/100)))),1),"")</f>
        <v>1</v>
      </c>
      <c r="KF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KC95)*KE95)*(VLOOKUP(A95,tbMoveset!A2:C112,3,FALSE)/100)*IF(VLOOKUP(A95,tbMoveset!A2:B112,2,FALSE)="Projectile",Backdoors!N10,Backdoors!N9),0),"")</f>
        <v/>
      </c>
      <c r="KG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REF!&gt;0,VLOOKUP(Calculator!#REF!,tbSkills!AC3:AD5,2,FALSE),Backdoors!AL3)*(IF((Backdoors!AI12+IF(KC95&gt;=0.45,VLOOKUP(Calculator!E23,tbSkills!DH3:DI6,2,FALSE)+IF(AND(Calculator!B8=TRUE,Backdoors!BI44=TRUE),VLOOKUP(Calculator!E23,tbSkills!DH3:DJ6,3,FALSE),0),0))&gt;=100,100,(Backdoors!AI12+IF(KC95&gt;=0.45,VLOOKUP(Calculator!E23,tbSkills!DH3:DI6,2,FALSE)+IF(AND(Calculator!B8=TRUE,Backdoors!BI44=TRUE),VLOOKUP(Calculator!E23,tbSkills!DH3:DJ6,3,FALSE),0),0)))/100)),1))*IF(VLOOKUP(A95,tbMoveset!A2:K112,11,FALSE)=TRUE,Backdoors!AC5,1))*KD95,0),"")</f>
        <v/>
      </c>
      <c r="KH95" s="49">
        <f>VLOOKUP(A95,tbMoveset!A2:G112,7,FALSE)*IFERROR(IF(Backdoors!AI12&gt;=0,1+(IF(Calculator!E40&gt;0,VLOOKUP(Calculator!E40,tbSkills!AI3:AJ5,2,FALSE),Backdoors!AL4)*(IF((Backdoors!AI12+IF(KC95&gt;=0.45,VLOOKUP(Calculator!E23,tbSkills!DH3:DI6,2,FALSE)+IF(AND(Calculator!B8=TRUE,Backdoors!BI44=TRUE),VLOOKUP(Calculator!E23,tbSkills!DH3:DJ6,3,FALSE),0),0))&gt;=100,100,(Backdoors!AI12+IF(KC95&gt;=0.45,VLOOKUP(Calculator!E23,tbSkills!DH3:DI6,2,FALSE)+IF(AND(Calculator!B8=TRUE,Backdoors!BI44=TRUE),VLOOKUP(Calculator!E23,tbSkills!DH3:DJ6,3,FALSE),0),0)))/100)),1),1)</f>
        <v>0.5</v>
      </c>
      <c r="KI95" s="87">
        <f t="shared" si="92"/>
        <v>0</v>
      </c>
      <c r="KJ95" s="86" t="str">
        <f>IFERROR(IF(VLOOKUP(A95,tbMoveset!A2:B112,2,FALSE)="Sever",Backdoors!AY45/100,IF(VLOOKUP(A95,tbMoveset!A2:B112,2,FALSE)="Blunt",Backdoors!AZ45/100,Backdoors!BA45/100)),"")</f>
        <v/>
      </c>
      <c r="KK95" s="49">
        <f>IFERROR(IF(VLOOKUP(tbMoveset!A95,tbMoveset!A2:H112,8,FALSE)="Other",IF(VLOOKUP(tbMoveset!A95,tbMoveset!A2:I112,9,FALSE)="Fire",Backdoors!BB45,IF(VLOOKUP(tbMoveset!A95,tbMoveset!A2:I112,9,FALSE)="Water",Backdoors!BC45,IF(VLOOKUP(tbMoveset!A95,tbMoveset!A2:I112,9,FALSE)="Thunder",Backdoors!BD45,IF(VLOOKUP(tbMoveset!A95,tbMoveset!A2:I112,9,FALSE)="Ice",Backdoors!BE45,IF(VLOOKUP(tbMoveset!A95,tbMoveset!A2:I112,9,FALSE)="Dragon",Backdoors!BF45,Backdoors!BG45)))))/100,Backdoors!BG45/100),"")</f>
        <v>0</v>
      </c>
      <c r="KL95" s="49">
        <f>IFERROR(IF(VLOOKUP(A95,tbMoveset!A2:J112,10,FALSE)=TRUE,IF((Backdoors!AI12+IF(KJ95&gt;=0.45,VLOOKUP(Calculator!E23,tbSkills!DH3:DI6,2,FALSE)+IF(AND(Calculator!B8=TRUE,Backdoors!BI45=TRUE),VLOOKUP(Calculator!E23,tbSkills!DH3:DJ6,3,FALSE),0),0))&gt;=0,1+(Backdoors!AL2*(IF((Backdoors!AI12+IF(KJ95&gt;=0.45,VLOOKUP(Calculator!E23,tbSkills!DH3:DI6,2,FALSE)+IF(AND(Calculator!B8=TRUE,Backdoors!BI45=TRUE),VLOOKUP(Calculator!E23,tbSkills!DH3:DJ6,3,FALSE),0),0))&gt;=100,100,(Backdoors!AI12+IF(KJ95&gt;=0.45,VLOOKUP(Calculator!E23,tbSkills!DH3:DI6,2,FALSE)+IF(AND(Calculator!B8=TRUE,Backdoors!BI45=TRUE),VLOOKUP(Calculator!E23,tbSkills!DH3:DJ6,3,FALSE),0),0)))/100)),(1-(0.25*((-Backdoors!AI12-IF(KJ95&gt;=0.45,VLOOKUP(Calculator!E23,tbSkills!DH3:DI6,2,FALSE)+IF(AND(Calculator!B8=TRUE,Backdoors!BI45=TRUE),VLOOKUP(Calculator!E23,tbSkills!DH3:DJ6,3,FALSE),0),0))/100)))),1),"")</f>
        <v>1</v>
      </c>
      <c r="KM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KJ95)*KL95)*(VLOOKUP(A95,tbMoveset!A2:C112,3,FALSE)/100)*IF(VLOOKUP(A95,tbMoveset!A2:B112,2,FALSE)="Projectile",Backdoors!N10,Backdoors!N9),0),"")</f>
        <v/>
      </c>
      <c r="KN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REF!&gt;0,VLOOKUP(Calculator!#REF!,tbSkills!AC3:AD5,2,FALSE),Backdoors!AL3)*(IF((Backdoors!AI12+IF(KJ95&gt;=0.45,VLOOKUP(Calculator!E23,tbSkills!DH3:DI6,2,FALSE)+IF(AND(Calculator!B8=TRUE,Backdoors!BI45=TRUE),VLOOKUP(Calculator!E23,tbSkills!DH3:DJ6,3,FALSE),0),0))&gt;=100,100,(Backdoors!AI12+IF(KJ95&gt;=0.45,VLOOKUP(Calculator!E23,tbSkills!DH3:DI6,2,FALSE)+IF(AND(Calculator!B8=TRUE,Backdoors!BI45=TRUE),VLOOKUP(Calculator!E23,tbSkills!DH3:DJ6,3,FALSE),0),0)))/100)),1))*IF(VLOOKUP(A95,tbMoveset!A2:K112,11,FALSE)=TRUE,Backdoors!AC5,1))*KK95,0),"")</f>
        <v/>
      </c>
      <c r="KO95" s="49">
        <f>VLOOKUP(A95,tbMoveset!A2:G112,7,FALSE)*IFERROR(IF(Backdoors!AI12&gt;=0,1+(IF(Calculator!E40&gt;0,VLOOKUP(Calculator!E40,tbSkills!AI3:AJ5,2,FALSE),Backdoors!AL4)*(IF((Backdoors!AI12+IF(KJ95&gt;=0.45,VLOOKUP(Calculator!E23,tbSkills!DH3:DI6,2,FALSE)+IF(AND(Calculator!B8=TRUE,Backdoors!BI45=TRUE),VLOOKUP(Calculator!E23,tbSkills!DH3:DJ6,3,FALSE),0),0))&gt;=100,100,(Backdoors!AI12+IF(KJ95&gt;=0.45,VLOOKUP(Calculator!E23,tbSkills!DH3:DI6,2,FALSE)+IF(AND(Calculator!B8=TRUE,Backdoors!BI45=TRUE),VLOOKUP(Calculator!E23,tbSkills!DH3:DJ6,3,FALSE),0),0)))/100)),1),1)</f>
        <v>0.5</v>
      </c>
      <c r="KP95" s="87">
        <f t="shared" si="93"/>
        <v>0</v>
      </c>
      <c r="KQ95" s="86" t="str">
        <f>IFERROR(IF(VLOOKUP(A95,tbMoveset!A2:B112,2,FALSE)="Sever",Backdoors!AY46/100,IF(VLOOKUP(A95,tbMoveset!A2:B112,2,FALSE)="Blunt",Backdoors!AZ46/100,Backdoors!BA46/100)),"")</f>
        <v/>
      </c>
      <c r="KR95" s="49">
        <f>IFERROR(IF(VLOOKUP(tbMoveset!A95,tbMoveset!A2:H112,8,FALSE)="Other",IF(VLOOKUP(tbMoveset!A95,tbMoveset!A2:I112,9,FALSE)="Fire",Backdoors!BB46,IF(VLOOKUP(tbMoveset!A95,tbMoveset!A2:I112,9,FALSE)="Water",Backdoors!BC46,IF(VLOOKUP(tbMoveset!A95,tbMoveset!A2:I112,9,FALSE)="Thunder",Backdoors!BD46,IF(VLOOKUP(tbMoveset!A95,tbMoveset!A2:I112,9,FALSE)="Ice",Backdoors!BE46,IF(VLOOKUP(tbMoveset!A95,tbMoveset!A2:I112,9,FALSE)="Dragon",Backdoors!BF46,Backdoors!BG46)))))/100,Backdoors!BG46/100),"")</f>
        <v>0</v>
      </c>
      <c r="KS95" s="49">
        <f>IFERROR(IF(VLOOKUP(A95,tbMoveset!A2:J112,10,FALSE)=TRUE,IF((Backdoors!AI12+IF(KQ95&gt;=0.45,VLOOKUP(Calculator!E23,tbSkills!DH3:DI6,2,FALSE)+IF(AND(Calculator!B8=TRUE,Backdoors!BI46=TRUE),VLOOKUP(Calculator!E23,tbSkills!DH3:DJ6,3,FALSE),0),0))&gt;=0,1+(Backdoors!AL2*(IF((Backdoors!AI12+IF(KQ95&gt;=0.45,VLOOKUP(Calculator!E23,tbSkills!DH3:DI6,2,FALSE)+IF(AND(Calculator!B8=TRUE,Backdoors!BI46=TRUE),VLOOKUP(Calculator!E23,tbSkills!DH3:DJ6,3,FALSE),0),0))&gt;=100,100,(Backdoors!AI12+IF(KQ95&gt;=0.45,VLOOKUP(Calculator!E23,tbSkills!DH3:DI6,2,FALSE)+IF(AND(Calculator!B8=TRUE,Backdoors!BI46=TRUE),VLOOKUP(Calculator!E23,tbSkills!DH3:DJ6,3,FALSE),0),0)))/100)),(1-(0.25*((-Backdoors!AI12-IF(KQ95&gt;=0.45,VLOOKUP(Calculator!E23,tbSkills!DH3:DI6,2,FALSE)+IF(AND(Calculator!B8=TRUE,Backdoors!BI46=TRUE),VLOOKUP(Calculator!E23,tbSkills!DH3:DJ6,3,FALSE),0),0))/100)))),1),"")</f>
        <v>1</v>
      </c>
      <c r="KT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KQ95)*KS95)*(VLOOKUP(A95,tbMoveset!A2:C112,3,FALSE)/100)*IF(VLOOKUP(A95,tbMoveset!A2:B112,2,FALSE)="Projectile",Backdoors!N10,Backdoors!N9),0),"")</f>
        <v/>
      </c>
      <c r="KU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REF!&gt;0,VLOOKUP(Calculator!#REF!,tbSkills!AC3:AD5,2,FALSE),Backdoors!AL3)*(IF((Backdoors!AI12+IF(KQ95&gt;=0.45,VLOOKUP(Calculator!E23,tbSkills!DH3:DI6,2,FALSE)+IF(AND(Calculator!B8=TRUE,Backdoors!BI46=TRUE),VLOOKUP(Calculator!E23,tbSkills!DH3:DJ6,3,FALSE),0),0))&gt;=100,100,(Backdoors!AI12+IF(KQ95&gt;=0.45,VLOOKUP(Calculator!E23,tbSkills!DH3:DI6,2,FALSE)+IF(AND(Calculator!B8=TRUE,Backdoors!BI46=TRUE),VLOOKUP(Calculator!E23,tbSkills!DH3:DJ6,3,FALSE),0),0)))/100)),1))*IF(VLOOKUP(A95,tbMoveset!A2:K112,11,FALSE)=TRUE,Backdoors!AC5,1))*KR95,0),"")</f>
        <v/>
      </c>
      <c r="KV95" s="49">
        <f>VLOOKUP(A95,tbMoveset!A2:G112,7,FALSE)*IFERROR(IF(Backdoors!AI12&gt;=0,1+(IF(Calculator!E40&gt;0,VLOOKUP(Calculator!E40,tbSkills!AI3:AJ5,2,FALSE),Backdoors!AL4)*(IF((Backdoors!AI12+IF(KQ95&gt;=0.45,VLOOKUP(Calculator!E23,tbSkills!DH3:DI6,2,FALSE)+IF(AND(Calculator!B8=TRUE,Backdoors!BI46=TRUE),VLOOKUP(Calculator!E23,tbSkills!DH3:DJ6,3,FALSE),0),0))&gt;=100,100,(Backdoors!AI12+IF(KQ95&gt;=0.45,VLOOKUP(Calculator!E23,tbSkills!DH3:DI6,2,FALSE)+IF(AND(Calculator!B8=TRUE,Backdoors!BI46=TRUE),VLOOKUP(Calculator!E23,tbSkills!DH3:DJ6,3,FALSE),0),0)))/100)),1),1)</f>
        <v>0.5</v>
      </c>
      <c r="KW95" s="87">
        <f t="shared" si="94"/>
        <v>0</v>
      </c>
    </row>
    <row r="96" spans="1:309" x14ac:dyDescent="0.25">
      <c r="A96" s="95" t="str">
        <f>tbMoveset!A96</f>
        <v>[Clutching] Weapon Attack (R3)</v>
      </c>
      <c r="B96" s="86">
        <f>IFERROR(IF(VLOOKUP(A96,tbMoveset!A2:B112,2,FALSE)="Sever",Backdoors!AY3/100,IF(VLOOKUP(A96,tbMoveset!A2:B112,2,FALSE)="Blunt",Backdoors!AZ3/100,Backdoors!BA3/100)),"")</f>
        <v>0.8</v>
      </c>
      <c r="C96" s="49">
        <f>IFERROR(IF(VLOOKUP(tbMoveset!A96,tbMoveset!A2:H112,8,FALSE)="Other",IF(VLOOKUP(tbMoveset!A96,tbMoveset!A2:I112,9,FALSE)="Fire",Backdoors!BB3,IF(VLOOKUP(tbMoveset!A96,tbMoveset!A2:I112,9,FALSE)="Water",Backdoors!BC3,IF(VLOOKUP(tbMoveset!A96,tbMoveset!A2:I112,9,FALSE)="Thunder",Backdoors!BD3,IF(VLOOKUP(tbMoveset!A96,tbMoveset!A2:I112,9,FALSE)="Ice",Backdoors!BE3,IF(VLOOKUP(tbMoveset!A96,tbMoveset!A2:I112,9,FALSE)="Dragon",Backdoors!BF3,Backdoors!BG3)))))/100,Backdoors!BG3/100),"")</f>
        <v>0</v>
      </c>
      <c r="D96" s="49">
        <f>IFERROR(IF(VLOOKUP(A96,tbMoveset!A2:J112,10,FALSE)=TRUE,IF((Backdoors!AI12+IF(B96&gt;=0.45,VLOOKUP(Calculator!E23,tbSkills!DH3:DI6,2,FALSE)+IF(AND(Calculator!B8=TRUE,Backdoors!BI3=TRUE),VLOOKUP(Calculator!E23,tbSkills!DH3:DJ6,3,FALSE),0),0))&gt;=0,1+(Backdoors!AL2*(IF((Backdoors!AI12+IF(B96&gt;=0.45,VLOOKUP(Calculator!E23,tbSkills!DH3:DI6,2,FALSE)+IF(AND(Calculator!B8=TRUE,Backdoors!BI3=TRUE),VLOOKUP(Calculator!E23,tbSkills!DH3:DJ6,3,FALSE),0),0))&gt;=100,100,(Backdoors!AI12+IF(B96&gt;=0.45,VLOOKUP(Calculator!E23,tbSkills!DH3:DI6,2,FALSE)+IF(AND(Calculator!B8=TRUE,Backdoors!BI3=TRUE),VLOOKUP(Calculator!E23,tbSkills!DH3:DJ6,3,FALSE),0),0)))/100)),(1-(0.25*((-Backdoors!AI12-IF(B96&gt;=0.45,VLOOKUP(Calculator!E23,tbSkills!DH3:DI6,2,FALSE)+IF(AND(Calculator!B8=TRUE,Backdoors!BI3=TRUE),VLOOKUP(Calculator!E23,tbSkills!DH3:DJ6,3,FALSE),0),0))/100)))),1),"")</f>
        <v>1</v>
      </c>
      <c r="E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96)*D96)*(VLOOKUP(A96,tbMoveset!A2:C112,3,FALSE)/100)*IF(VLOOKUP(A96,tbMoveset!A2:B112,2,FALSE)="Projectile",Backdoors!N10,Backdoors!N9),0),"")</f>
        <v>6</v>
      </c>
      <c r="F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96&gt;=0.45,VLOOKUP(Calculator!E23,tbSkills!DH3:DI6,2,FALSE)+IF(AND(Calculator!B8=TRUE,Backdoors!BI3=TRUE),VLOOKUP(Calculator!E23,tbSkills!DH3:DJ6,3,FALSE),0),0))&gt;=100,100,(Backdoors!AI12+IF(B96&gt;=0.45,VLOOKUP(Calculator!E23,tbSkills!DH3:DI6,2,FALSE)+IF(AND(Calculator!B8=TRUE,Backdoors!BI3=TRUE),VLOOKUP(Calculator!E23,tbSkills!DH3:DJ6,3,FALSE),0),0)))/100)),1))*IF(VLOOKUP(A96,tbMoveset!A2:K112,11,FALSE)=TRUE,Backdoors!AC5,1))*C96,0),"")</f>
        <v>0</v>
      </c>
      <c r="G96">
        <f>VLOOKUP(A96,tbMoveset!A2:G112,7,FALSE)*IFERROR(IF(Backdoors!AI12&gt;=0,1+(IF(Calculator!E40&gt;0,VLOOKUP(Calculator!E40,tbSkills!AI3:AJ5,2,FALSE),Backdoors!AL4)*(IF((Backdoors!AI12+IF(B96&gt;=0.45,VLOOKUP(Calculator!E23,tbSkills!DH3:DI6,2,FALSE)+IF(AND(Calculator!B8=TRUE,Backdoors!BI3=TRUE),VLOOKUP(Calculator!E23,tbSkills!DH3:DJ6,3,FALSE),0),0))&gt;=100,100,(Backdoors!AI12+IF(B96&gt;=0.45,VLOOKUP(Calculator!E23,tbSkills!DH3:DI6,2,FALSE)+IF(AND(Calculator!B8=TRUE,Backdoors!BI3=TRUE),VLOOKUP(Calculator!E23,tbSkills!DH3:DJ6,3,FALSE),0),0)))/100)),1),1)</f>
        <v>0.7</v>
      </c>
      <c r="H96" s="87">
        <f t="shared" si="51"/>
        <v>6</v>
      </c>
      <c r="I96" s="86">
        <f>IFERROR(IF(VLOOKUP(A96,tbMoveset!A2:B112,2,FALSE)="Sever",Backdoors!AY4/100,IF(VLOOKUP(A96,tbMoveset!A2:B112,2,FALSE)="Blunt",Backdoors!AZ4/100,Backdoors!BA4/100)),"")</f>
        <v>0.65</v>
      </c>
      <c r="J96" s="49">
        <f>IFERROR(IF(VLOOKUP(tbMoveset!A96,tbMoveset!A2:H112,8,FALSE)="Other",IF(VLOOKUP(tbMoveset!A96,tbMoveset!A2:I112,9,FALSE)="Fire",Backdoors!BB4,IF(VLOOKUP(tbMoveset!A96,tbMoveset!A2:I112,9,FALSE)="Water",Backdoors!BC4,IF(VLOOKUP(tbMoveset!A96,tbMoveset!A2:I112,9,FALSE)="Thunder",Backdoors!BD4,IF(VLOOKUP(tbMoveset!A96,tbMoveset!A2:I112,9,FALSE)="Ice",Backdoors!BE4,IF(VLOOKUP(tbMoveset!A96,tbMoveset!A2:I112,9,FALSE)="Dragon",Backdoors!BF4,Backdoors!BG4)))))/100,Backdoors!BG4/100),"")</f>
        <v>0</v>
      </c>
      <c r="K96" s="49">
        <f>IFERROR(IF(VLOOKUP(A96,tbMoveset!A2:J112,10,FALSE)=TRUE,IF((Backdoors!AI12+IF(I96&gt;=0.45,VLOOKUP(Calculator!E23,tbSkills!DH3:DI6,2,FALSE)+IF(AND(Calculator!B8=TRUE,Backdoors!BI4=TRUE),VLOOKUP(Calculator!E23,tbSkills!DH3:DJ6,3,FALSE),0),0))&gt;=0,1+(Backdoors!AL2*(IF((Backdoors!AI12+IF(I96&gt;=0.45,VLOOKUP(Calculator!E23,tbSkills!DH3:DI6,2,FALSE)+IF(AND(Calculator!B8=TRUE,Backdoors!BI4=TRUE),VLOOKUP(Calculator!E23,tbSkills!DH3:DJ6,3,FALSE),0),0))&gt;=100,100,(Backdoors!AI12+IF(I96&gt;=0.45,VLOOKUP(Calculator!E23,tbSkills!DH3:DI6,2,FALSE)+IF(AND(Calculator!B8=TRUE,Backdoors!BI4=TRUE),VLOOKUP(Calculator!E23,tbSkills!DH3:DJ6,3,FALSE),0),0)))/100)),(1-(0.25*((-Backdoors!AI12-IF(I96&gt;=0.45,VLOOKUP(Calculator!E23,tbSkills!DH3:DI6,2,FALSE)+IF(AND(Calculator!B8=TRUE,Backdoors!BI4=TRUE),VLOOKUP(Calculator!E23,tbSkills!DH3:DJ6,3,FALSE),0),0))/100)))),1),"")</f>
        <v>1</v>
      </c>
      <c r="L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96)*K96)*(VLOOKUP(A96,tbMoveset!A2:C112,3,FALSE)/100)*IF(VLOOKUP(A96,tbMoveset!A2:B112,2,FALSE)="Projectile",Backdoors!N10,Backdoors!N9),0),"")</f>
        <v>5</v>
      </c>
      <c r="M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I96&gt;=0.45,VLOOKUP(Calculator!E23,tbSkills!DH3:DI6,2,FALSE)+IF(AND(Calculator!B8=TRUE,Backdoors!BI4=TRUE),VLOOKUP(Calculator!E23,tbSkills!DH3:DJ6,3,FALSE),0),0))&gt;=100,100,(Backdoors!AI12+IF(I96&gt;=0.45,VLOOKUP(Calculator!E23,tbSkills!DH3:DI6,2,FALSE)+IF(AND(Calculator!B8=TRUE,Backdoors!BI4=TRUE),VLOOKUP(Calculator!E23,tbSkills!DH3:DJ6,3,FALSE),0),0)))/100)),1))*IF(VLOOKUP(A96,tbMoveset!A2:K112,11,FALSE)=TRUE,Backdoors!AC5,1))*J96,0),"")</f>
        <v>0</v>
      </c>
      <c r="N96" s="49">
        <f>VLOOKUP(A96,tbMoveset!A2:G112,7,FALSE)*IFERROR(IF(Backdoors!AI12&gt;=0,1+(IF(Calculator!E40&gt;0,VLOOKUP(Calculator!E40,tbSkills!AI3:AJ5,2,FALSE),Backdoors!AL4)*(IF((Backdoors!AI12+IF(I96&gt;=0.45,VLOOKUP(Calculator!E23,tbSkills!DH3:DI6,2,FALSE)+IF(AND(Calculator!B8=TRUE,Backdoors!BI4=TRUE),VLOOKUP(Calculator!E23,tbSkills!DH3:DJ6,3,FALSE),0),0))&gt;=100,100,(Backdoors!AI12+IF(I96&gt;=0.45,VLOOKUP(Calculator!E23,tbSkills!DH3:DI6,2,FALSE)+IF(AND(Calculator!B8=TRUE,Backdoors!BI4=TRUE),VLOOKUP(Calculator!E23,tbSkills!DH3:DJ6,3,FALSE),0),0)))/100)),1),1)</f>
        <v>0.7</v>
      </c>
      <c r="O96" s="87">
        <f t="shared" si="52"/>
        <v>5</v>
      </c>
      <c r="P96" s="86">
        <f>IFERROR(IF(VLOOKUP(A96,tbMoveset!A2:B112,2,FALSE)="Sever",Backdoors!AY5/100,IF(VLOOKUP(A96,tbMoveset!A2:B112,2,FALSE)="Blunt",Backdoors!AZ5/100,Backdoors!BA5/100)),"")</f>
        <v>0.5</v>
      </c>
      <c r="Q96" s="49">
        <f>IFERROR(IF(VLOOKUP(tbMoveset!A96,tbMoveset!A2:H112,8,FALSE)="Other",IF(VLOOKUP(tbMoveset!A96,tbMoveset!A2:I112,9,FALSE)="Fire",Backdoors!BB5,IF(VLOOKUP(tbMoveset!A96,tbMoveset!A2:I112,9,FALSE)="Water",Backdoors!BC5,IF(VLOOKUP(tbMoveset!A96,tbMoveset!A2:I112,9,FALSE)="Thunder",Backdoors!BD5,IF(VLOOKUP(tbMoveset!A96,tbMoveset!A2:I112,9,FALSE)="Ice",Backdoors!BE5,IF(VLOOKUP(tbMoveset!A96,tbMoveset!A2:I112,9,FALSE)="Dragon",Backdoors!BF5,Backdoors!BG5)))))/100,Backdoors!BG5/100),"")</f>
        <v>0</v>
      </c>
      <c r="R96" s="49">
        <f>IFERROR(IF(VLOOKUP(A96,tbMoveset!A2:J112,10,FALSE)=TRUE,IF((Backdoors!AI12+IF(P96&gt;=0.45,VLOOKUP(Calculator!E23,tbSkills!DH3:DI6,2,FALSE)+IF(AND(Calculator!B8=TRUE,Backdoors!BI5=TRUE),VLOOKUP(Calculator!E23,tbSkills!DH3:DJ6,3,FALSE),0),0))&gt;=0,1+(Backdoors!AL2*(IF((Backdoors!AI12+IF(P96&gt;=0.45,VLOOKUP(Calculator!E23,tbSkills!DH3:DI6,2,FALSE)+IF(AND(Calculator!B8=TRUE,Backdoors!BI5=TRUE),VLOOKUP(Calculator!E23,tbSkills!DH3:DJ6,3,FALSE),0),0))&gt;=100,100,(Backdoors!AI12+IF(P96&gt;=0.45,VLOOKUP(Calculator!E23,tbSkills!DH3:DI6,2,FALSE)+IF(AND(Calculator!B8=TRUE,Backdoors!BI5=TRUE),VLOOKUP(Calculator!E23,tbSkills!DH3:DJ6,3,FALSE),0),0)))/100)),(1-(0.25*((-Backdoors!AI12-IF(P96&gt;=0.45,VLOOKUP(Calculator!E23,tbSkills!DH3:DI6,2,FALSE)+IF(AND(Calculator!B8=TRUE,Backdoors!BI5=TRUE),VLOOKUP(Calculator!E23,tbSkills!DH3:DJ6,3,FALSE),0),0))/100)))),1),"")</f>
        <v>1</v>
      </c>
      <c r="S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P96)*R96)*(VLOOKUP(A96,tbMoveset!A2:C112,3,FALSE)/100)*IF(VLOOKUP(A96,tbMoveset!A2:B112,2,FALSE)="Projectile",Backdoors!N10,Backdoors!N9),0),"")</f>
        <v>4</v>
      </c>
      <c r="T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P96&gt;=0.45,VLOOKUP(Calculator!E23,tbSkills!DH3:DI6,2,FALSE)+IF(AND(Calculator!B8=TRUE,Backdoors!BI5=TRUE),VLOOKUP(Calculator!E23,tbSkills!DH3:DJ6,3,FALSE),0),0))&gt;=100,100,(Backdoors!AI12+IF(P96&gt;=0.45,VLOOKUP(Calculator!E23,tbSkills!DH3:DI6,2,FALSE)+IF(AND(Calculator!B8=TRUE,Backdoors!BI5=TRUE),VLOOKUP(Calculator!E23,tbSkills!DH3:DJ6,3,FALSE),0),0)))/100)),1))*IF(VLOOKUP(A96,tbMoveset!A2:K112,11,FALSE)=TRUE,Backdoors!AC5,1))*Q96,0),"")</f>
        <v>0</v>
      </c>
      <c r="U96" s="49">
        <f>VLOOKUP(A96,tbMoveset!A2:G112,7,FALSE)*IFERROR(IF(Backdoors!AI12&gt;=0,1+(IF(Calculator!E40&gt;0,VLOOKUP(Calculator!E40,tbSkills!AI3:AJ5,2,FALSE),Backdoors!AL4)*(IF((Backdoors!AI12+IF(P96&gt;=0.45,VLOOKUP(Calculator!E23,tbSkills!DH3:DI6,2,FALSE)+IF(AND(Calculator!B8=TRUE,Backdoors!BI5=TRUE),VLOOKUP(Calculator!E23,tbSkills!DH3:DJ6,3,FALSE),0),0))&gt;=100,100,(Backdoors!AI12+IF(P96&gt;=0.45,VLOOKUP(Calculator!E23,tbSkills!DH3:DI6,2,FALSE)+IF(AND(Calculator!B8=TRUE,Backdoors!BI5=TRUE),VLOOKUP(Calculator!E23,tbSkills!DH3:DJ6,3,FALSE),0),0)))/100)),1),1)</f>
        <v>0.7</v>
      </c>
      <c r="V96" s="87">
        <f t="shared" si="53"/>
        <v>4</v>
      </c>
      <c r="W96" s="86">
        <f>IFERROR(IF(VLOOKUP(A96,tbMoveset!A2:B112,2,FALSE)="Sever",Backdoors!AY6/100,IF(VLOOKUP(A96,tbMoveset!A2:B112,2,FALSE)="Blunt",Backdoors!AZ6/100,Backdoors!BA6/100)),"")</f>
        <v>0.45</v>
      </c>
      <c r="X96" s="49">
        <f>IFERROR(IF(VLOOKUP(tbMoveset!A96,tbMoveset!A2:H112,8,FALSE)="Other",IF(VLOOKUP(tbMoveset!A96,tbMoveset!A2:I112,9,FALSE)="Fire",Backdoors!BB6,IF(VLOOKUP(tbMoveset!A96,tbMoveset!A2:I112,9,FALSE)="Water",Backdoors!BC6,IF(VLOOKUP(tbMoveset!A96,tbMoveset!A2:I112,9,FALSE)="Thunder",Backdoors!BD6,IF(VLOOKUP(tbMoveset!A96,tbMoveset!A2:I112,9,FALSE)="Ice",Backdoors!BE6,IF(VLOOKUP(tbMoveset!A96,tbMoveset!A2:I112,9,FALSE)="Dragon",Backdoors!BF6,Backdoors!BG6)))))/100,Backdoors!BG6/100),"")</f>
        <v>0</v>
      </c>
      <c r="Y96" s="49">
        <f>IFERROR(IF(VLOOKUP(A96,tbMoveset!A2:J112,10,FALSE)=TRUE,IF((Backdoors!AI12+IF(W96&gt;=0.45,VLOOKUP(Calculator!E23,tbSkills!DH3:DI6,2,FALSE)+IF(AND(Calculator!B8=TRUE,Backdoors!BI6=TRUE),VLOOKUP(Calculator!E23,tbSkills!DH3:DJ6,3,FALSE),0),0))&gt;=0,1+(Backdoors!AL2*(IF((Backdoors!AI12+IF(W96&gt;=0.45,VLOOKUP(Calculator!E23,tbSkills!DH3:DI6,2,FALSE)+IF(AND(Calculator!B8=TRUE,Backdoors!BI6=TRUE),VLOOKUP(Calculator!E23,tbSkills!DH3:DJ6,3,FALSE),0),0))&gt;=100,100,(Backdoors!AI12+IF(W96&gt;=0.45,VLOOKUP(Calculator!E23,tbSkills!DH3:DI6,2,FALSE)+IF(AND(Calculator!B8=TRUE,Backdoors!BI6=TRUE),VLOOKUP(Calculator!E23,tbSkills!DH3:DJ6,3,FALSE),0),0)))/100)),(1-(0.25*((-Backdoors!AI12-IF(W96&gt;=0.45,VLOOKUP(Calculator!E23,tbSkills!DH3:DI6,2,FALSE)+IF(AND(Calculator!B8=TRUE,Backdoors!BI6=TRUE),VLOOKUP(Calculator!E23,tbSkills!DH3:DJ6,3,FALSE),0),0))/100)))),1),"")</f>
        <v>1</v>
      </c>
      <c r="Z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W96)*Y96)*(VLOOKUP(A96,tbMoveset!A2:C112,3,FALSE)/100)*IF(VLOOKUP(A96,tbMoveset!A2:B112,2,FALSE)="Projectile",Backdoors!N10,Backdoors!N9),0),"")</f>
        <v>3</v>
      </c>
      <c r="AA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W96&gt;=0.45,VLOOKUP(Calculator!E23,tbSkills!DH3:DI6,2,FALSE)+IF(AND(Calculator!B8=TRUE,Backdoors!BI6=TRUE),VLOOKUP(Calculator!E23,tbSkills!DH3:DJ6,3,FALSE),0),0))&gt;=100,100,(Backdoors!AI12+IF(W96&gt;=0.45,VLOOKUP(Calculator!E23,tbSkills!DH3:DI6,2,FALSE)+IF(AND(Calculator!B8=TRUE,Backdoors!BI6=TRUE),VLOOKUP(Calculator!E23,tbSkills!DH3:DJ6,3,FALSE),0),0)))/100)),1))*IF(VLOOKUP(A96,tbMoveset!A2:K112,11,FALSE)=TRUE,Backdoors!AC5,1))*X96,0),"")</f>
        <v>0</v>
      </c>
      <c r="AB96" s="49">
        <f>VLOOKUP(A96,tbMoveset!A2:G112,7,FALSE)*IFERROR(IF(Backdoors!AI12&gt;=0,1+(IF(Calculator!E40&gt;0,VLOOKUP(Calculator!E40,tbSkills!AI3:AJ5,2,FALSE),Backdoors!AL4)*(IF((Backdoors!AI12+IF(W96&gt;=0.45,VLOOKUP(Calculator!E23,tbSkills!DH3:DI6,2,FALSE)+IF(AND(Calculator!B8=TRUE,Backdoors!BI6=TRUE),VLOOKUP(Calculator!E23,tbSkills!DH3:DJ6,3,FALSE),0),0))&gt;=100,100,(Backdoors!AI12+IF(W96&gt;=0.45,VLOOKUP(Calculator!E23,tbSkills!DH3:DI6,2,FALSE)+IF(AND(Calculator!B8=TRUE,Backdoors!BI6=TRUE),VLOOKUP(Calculator!E23,tbSkills!DH3:DJ6,3,FALSE),0),0)))/100)),1),1)</f>
        <v>0.7</v>
      </c>
      <c r="AC96" s="87">
        <f t="shared" si="54"/>
        <v>3</v>
      </c>
      <c r="AD96" s="86">
        <f>IFERROR(IF(VLOOKUP(A96,tbMoveset!A2:B112,2,FALSE)="Sever",Backdoors!AY7/100,IF(VLOOKUP(A96,tbMoveset!A2:B112,2,FALSE)="Blunt",Backdoors!AZ7/100,Backdoors!BA7/100)),"")</f>
        <v>0.65</v>
      </c>
      <c r="AE96" s="49">
        <f>IFERROR(IF(VLOOKUP(tbMoveset!A96,tbMoveset!A2:H112,8,FALSE)="Other",IF(VLOOKUP(tbMoveset!A96,tbMoveset!A2:I112,9,FALSE)="Fire",Backdoors!BB7,IF(VLOOKUP(tbMoveset!A96,tbMoveset!A2:I112,9,FALSE)="Water",Backdoors!BC7,IF(VLOOKUP(tbMoveset!A96,tbMoveset!A2:I112,9,FALSE)="Thunder",Backdoors!BD7,IF(VLOOKUP(tbMoveset!A96,tbMoveset!A2:I112,9,FALSE)="Ice",Backdoors!BE7,IF(VLOOKUP(tbMoveset!A96,tbMoveset!A2:I112,9,FALSE)="Dragon",Backdoors!BF7,Backdoors!BG7)))))/100,Backdoors!BG7/100),"")</f>
        <v>0</v>
      </c>
      <c r="AF96" s="49">
        <f>IFERROR(IF(VLOOKUP(A96,tbMoveset!A2:J112,10,FALSE)=TRUE,IF((Backdoors!AI12+IF(AD96&gt;=0.45,VLOOKUP(Calculator!E23,tbSkills!DH3:DI6,2,FALSE)+IF(AND(Calculator!B8=TRUE,Backdoors!BI7=TRUE),VLOOKUP(Calculator!E23,tbSkills!DH3:DJ6,3,FALSE),0),0))&gt;=0,1+(Backdoors!AL2*(IF((Backdoors!AI12+IF(AD96&gt;=0.45,VLOOKUP(Calculator!E23,tbSkills!DH3:DI6,2,FALSE)+IF(AND(Calculator!B8=TRUE,Backdoors!BI7=TRUE),VLOOKUP(Calculator!E23,tbSkills!DH3:DJ6,3,FALSE),0),0))&gt;=100,100,(Backdoors!AI12+IF(AD96&gt;=0.45,VLOOKUP(Calculator!E23,tbSkills!DH3:DI6,2,FALSE)+IF(AND(Calculator!B8=TRUE,Backdoors!BI7=TRUE),VLOOKUP(Calculator!E23,tbSkills!DH3:DJ6,3,FALSE),0),0)))/100)),(1-(0.25*((-Backdoors!AI12-IF(AD96&gt;=0.45,VLOOKUP(Calculator!E23,tbSkills!DH3:DI6,2,FALSE)+IF(AND(Calculator!B8=TRUE,Backdoors!BI7=TRUE),VLOOKUP(Calculator!E23,tbSkills!DH3:DJ6,3,FALSE),0),0))/100)))),1),"")</f>
        <v>1</v>
      </c>
      <c r="AG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D96)*AF96)*(VLOOKUP(A96,tbMoveset!A2:C112,3,FALSE)/100)*IF(VLOOKUP(A96,tbMoveset!A2:B112,2,FALSE)="Projectile",Backdoors!N10,Backdoors!N9),0),"")</f>
        <v>5</v>
      </c>
      <c r="AH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D96&gt;=0.45,VLOOKUP(Calculator!E23,tbSkills!DH3:DI6,2,FALSE)+IF(AND(Calculator!B8=TRUE,Backdoors!BI7=TRUE),VLOOKUP(Calculator!E23,tbSkills!DH3:DJ6,3,FALSE),0),0))&gt;=100,100,(Backdoors!AI12+IF(AD96&gt;=0.45,VLOOKUP(Calculator!E23,tbSkills!DH3:DI6,2,FALSE)+IF(AND(Calculator!B8=TRUE,Backdoors!BI7=TRUE),VLOOKUP(Calculator!E23,tbSkills!DH3:DJ6,3,FALSE),0),0)))/100)),1))*IF(VLOOKUP(A96,tbMoveset!A2:K112,11,FALSE)=TRUE,Backdoors!AC5,1))*AE96,0),"")</f>
        <v>0</v>
      </c>
      <c r="AI96" s="49">
        <f>VLOOKUP(A96,tbMoveset!A2:G112,7,FALSE)*IFERROR(IF(Backdoors!AI12&gt;=0,1+(IF(Calculator!E40&gt;0,VLOOKUP(Calculator!E40,tbSkills!AI3:AJ5,2,FALSE),Backdoors!AL4)*(IF((Backdoors!AI12+IF(AD96&gt;=0.45,VLOOKUP(Calculator!E23,tbSkills!DH3:DI6,2,FALSE)+IF(AND(Calculator!B8=TRUE,Backdoors!BI7=TRUE),VLOOKUP(Calculator!E23,tbSkills!DH3:DJ6,3,FALSE),0),0))&gt;=100,100,(Backdoors!AI12+IF(AD96&gt;=0.45,VLOOKUP(Calculator!E23,tbSkills!DH3:DI6,2,FALSE)+IF(AND(Calculator!B8=TRUE,Backdoors!BI7=TRUE),VLOOKUP(Calculator!E23,tbSkills!DH3:DJ6,3,FALSE),0),0)))/100)),1),1)</f>
        <v>0.7</v>
      </c>
      <c r="AJ96" s="87">
        <f t="shared" si="55"/>
        <v>5</v>
      </c>
      <c r="AK96" s="91">
        <f>IFERROR(IF(VLOOKUP(A96,tbMoveset!A2:B112,2,FALSE)="Sever",Backdoors!AY8/100,IF(VLOOKUP(A96,tbMoveset!A2:B112,2,FALSE)="Blunt",Backdoors!AZ8/100,Backdoors!BA8/100)),"")</f>
        <v>0.45</v>
      </c>
      <c r="AL96" s="49">
        <f>IFERROR(IF(VLOOKUP(tbMoveset!A96,tbMoveset!A2:H112,8,FALSE)="Other",IF(VLOOKUP(tbMoveset!A96,tbMoveset!A2:I112,9,FALSE)="Fire",Backdoors!BB8,IF(VLOOKUP(tbMoveset!A96,tbMoveset!A2:I112,9,FALSE)="Water",Backdoors!BC8,IF(VLOOKUP(tbMoveset!A96,tbMoveset!A2:I112,9,FALSE)="Thunder",Backdoors!BD8,IF(VLOOKUP(tbMoveset!A96,tbMoveset!A2:I112,9,FALSE)="Ice",Backdoors!BE8,IF(VLOOKUP(tbMoveset!A96,tbMoveset!A2:I112,9,FALSE)="Dragon",Backdoors!BF8,Backdoors!BG8)))))/100,Backdoors!BG8/100),"")</f>
        <v>0</v>
      </c>
      <c r="AM96" s="49">
        <f>IFERROR(IF(VLOOKUP(A96,tbMoveset!A2:J112,10,FALSE)=TRUE,IF((Backdoors!AI12+IF(AK96&gt;=0.45,VLOOKUP(Calculator!E23,tbSkills!DH3:DI6,2,FALSE)+IF(AND(Calculator!B8=TRUE,Backdoors!BI8=TRUE),VLOOKUP(Calculator!E23,tbSkills!DH3:DJ6,3,FALSE),0),0))&gt;=0,1+(Backdoors!AL2*(IF((Backdoors!AI12+IF(AK96&gt;=0.45,VLOOKUP(Calculator!E23,tbSkills!DH3:DI6,2,FALSE)+IF(AND(Calculator!B8=TRUE,Backdoors!BI8=TRUE),VLOOKUP(Calculator!E23,tbSkills!DH3:DJ6,3,FALSE),0),0))&gt;=100,100,(Backdoors!AI12+IF(AK96&gt;=0.45,VLOOKUP(Calculator!E23,tbSkills!DH3:DI6,2,FALSE)+IF(AND(Calculator!B8=TRUE,Backdoors!BI8=TRUE),VLOOKUP(Calculator!E23,tbSkills!DH3:DJ6,3,FALSE),0),0)))/100)),(1-(0.25*((-Backdoors!AI12-IF(AK96&gt;=0.45,VLOOKUP(Calculator!E23,tbSkills!DH3:DI6,2,FALSE)+IF(AND(Calculator!B8=TRUE,Backdoors!BI8=TRUE),VLOOKUP(Calculator!E23,tbSkills!DH3:DJ6,3,FALSE),0),0))/100)))),1),"")</f>
        <v>1</v>
      </c>
      <c r="AN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K96)*AM96)*(VLOOKUP(A96,tbMoveset!A2:C112,3,FALSE)/100)*IF(VLOOKUP(A96,tbMoveset!A2:B112,2,FALSE)="Projectile",Backdoors!N10,Backdoors!N9),0),"")</f>
        <v>3</v>
      </c>
      <c r="AO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K96&gt;=0.45,VLOOKUP(Calculator!E23,tbSkills!DH3:DI6,2,FALSE)+IF(AND(Calculator!B8=TRUE,Backdoors!BI8=TRUE),VLOOKUP(Calculator!E23,tbSkills!DH3:DJ6,3,FALSE),0),0))&gt;=100,100,(Backdoors!AI12+IF(AK96&gt;=0.45,VLOOKUP(Calculator!E23,tbSkills!DH3:DI6,2,FALSE)+IF(AND(Calculator!B8=TRUE,Backdoors!BI8=TRUE),VLOOKUP(Calculator!E23,tbSkills!DH3:DJ6,3,FALSE),0),0)))/100)),1))*IF(VLOOKUP(A96,tbMoveset!A2:K112,11,FALSE)=TRUE,Backdoors!AC5,1))*AL96,0),"")</f>
        <v>0</v>
      </c>
      <c r="AP96" s="49">
        <f>VLOOKUP(A96,tbMoveset!A2:G112,7,FALSE)*IFERROR(IF(Backdoors!AI12&gt;=0,1+(IF(Calculator!E40&gt;0,VLOOKUP(Calculator!E40,tbSkills!AI3:AJ5,2,FALSE),Backdoors!AL4)*(IF((Backdoors!AI12+IF(AK96&gt;=0.45,VLOOKUP(Calculator!E23,tbSkills!DH3:DI6,2,FALSE)+IF(AND(Calculator!B8=TRUE,Backdoors!BI8=TRUE),VLOOKUP(Calculator!E23,tbSkills!DH3:DJ6,3,FALSE),0),0))&gt;=100,100,(Backdoors!AI12+IF(AK96&gt;=0.45,VLOOKUP(Calculator!E23,tbSkills!DH3:DI6,2,FALSE)+IF(AND(Calculator!B8=TRUE,Backdoors!BI8=TRUE),VLOOKUP(Calculator!E23,tbSkills!DH3:DJ6,3,FALSE),0),0)))/100)),1),1)</f>
        <v>0.7</v>
      </c>
      <c r="AQ96" s="87">
        <f t="shared" si="56"/>
        <v>3</v>
      </c>
      <c r="AR96" s="86">
        <f>IFERROR(IF(VLOOKUP(A96,tbMoveset!A2:B112,2,FALSE)="Sever",Backdoors!AY9/100,IF(VLOOKUP(A96,tbMoveset!A2:B112,2,FALSE)="Blunt",Backdoors!AZ9/100,Backdoors!BA9/100)),"")</f>
        <v>0.45</v>
      </c>
      <c r="AS96" s="49">
        <f>IFERROR(IF(VLOOKUP(tbMoveset!A96,tbMoveset!A2:H112,8,FALSE)="Other",IF(VLOOKUP(tbMoveset!A96,tbMoveset!A2:I112,9,FALSE)="Fire",Backdoors!BB9,IF(VLOOKUP(tbMoveset!A96,tbMoveset!A2:I112,9,FALSE)="Water",Backdoors!BC9,IF(VLOOKUP(tbMoveset!A96,tbMoveset!A2:I112,9,FALSE)="Thunder",Backdoors!BD9,IF(VLOOKUP(tbMoveset!A96,tbMoveset!A2:I112,9,FALSE)="Ice",Backdoors!BE9,IF(VLOOKUP(tbMoveset!A96,tbMoveset!A2:I112,9,FALSE)="Dragon",Backdoors!BF9,Backdoors!BG9)))))/100,Backdoors!BG9/100),"")</f>
        <v>0</v>
      </c>
      <c r="AT96" s="49">
        <f>IFERROR(IF(VLOOKUP(A96,tbMoveset!A2:J112,10,FALSE)=TRUE,IF((Backdoors!AI12+IF(AR96&gt;=0.45,VLOOKUP(Calculator!E23,tbSkills!DH3:DI6,2,FALSE)+IF(AND(Calculator!B8=TRUE,Backdoors!BI9=TRUE),VLOOKUP(Calculator!E23,tbSkills!DH3:DJ6,3,FALSE),0),0))&gt;=0,1+(Backdoors!AL2*(IF((Backdoors!AI12+IF(AR96&gt;=0.45,VLOOKUP(Calculator!E23,tbSkills!DH3:DI6,2,FALSE)+IF(AND(Calculator!B8=TRUE,Backdoors!BI9=TRUE),VLOOKUP(Calculator!E23,tbSkills!DH3:DJ6,3,FALSE),0),0))&gt;=100,100,(Backdoors!AI12+IF(AR96&gt;=0.45,VLOOKUP(Calculator!E23,tbSkills!DH3:DI6,2,FALSE)+IF(AND(Calculator!B8=TRUE,Backdoors!BI9=TRUE),VLOOKUP(Calculator!E23,tbSkills!DH3:DJ6,3,FALSE),0),0)))/100)),(1-(0.25*((-Backdoors!AI12-IF(AR96&gt;=0.45,VLOOKUP(Calculator!E23,tbSkills!DH3:DI6,2,FALSE)+IF(AND(Calculator!B8=TRUE,Backdoors!BI9=TRUE),VLOOKUP(Calculator!E23,tbSkills!DH3:DJ6,3,FALSE),0),0))/100)))),1),"")</f>
        <v>1</v>
      </c>
      <c r="AU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R96)*AT96)*(VLOOKUP(A96,tbMoveset!A2:C112,3,FALSE)/100)*IF(VLOOKUP(A96,tbMoveset!A2:B112,2,FALSE)="Projectile",Backdoors!N10,Backdoors!N9),0),"")</f>
        <v>3</v>
      </c>
      <c r="AV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R96&gt;=0.45,VLOOKUP(Calculator!E23,tbSkills!DH3:DI6,2,FALSE)+IF(AND(Calculator!B8=TRUE,Backdoors!BI9=TRUE),VLOOKUP(Calculator!E23,tbSkills!DH3:DJ6,3,FALSE),0),0))&gt;=100,100,(Backdoors!AI12+IF(AR96&gt;=0.45,VLOOKUP(Calculator!E23,tbSkills!DH3:DI6,2,FALSE)+IF(AND(Calculator!B8=TRUE,Backdoors!BI9=TRUE),VLOOKUP(Calculator!E23,tbSkills!DH3:DJ6,3,FALSE),0),0)))/100)),1))*IF(VLOOKUP(A96,tbMoveset!A2:K112,11,FALSE)=TRUE,Backdoors!AC5,1))*AS96,0),"")</f>
        <v>0</v>
      </c>
      <c r="AW96" s="49">
        <f>VLOOKUP(A96,tbMoveset!A2:G112,7,FALSE)*IFERROR(IF(Backdoors!AI12&gt;=0,1+(IF(Calculator!E40&gt;0,VLOOKUP(Calculator!E40,tbSkills!AI3:AJ5,2,FALSE),Backdoors!AL4)*(IF((Backdoors!AI12+IF(AR96&gt;=0.45,VLOOKUP(Calculator!E23,tbSkills!DH3:DI6,2,FALSE)+IF(AND(Calculator!B8=TRUE,Backdoors!BI9=TRUE),VLOOKUP(Calculator!E23,tbSkills!DH3:DJ6,3,FALSE),0),0))&gt;=100,100,(Backdoors!AI12+IF(AR96&gt;=0.45,VLOOKUP(Calculator!E23,tbSkills!DH3:DI6,2,FALSE)+IF(AND(Calculator!B8=TRUE,Backdoors!BI9=TRUE),VLOOKUP(Calculator!E23,tbSkills!DH3:DJ6,3,FALSE),0),0)))/100)),1),1)</f>
        <v>0.7</v>
      </c>
      <c r="AX96" s="87">
        <f t="shared" si="57"/>
        <v>3</v>
      </c>
      <c r="AY96" s="86">
        <f>IFERROR(IF(VLOOKUP(A96,tbMoveset!A2:B112,2,FALSE)="Sever",Backdoors!AY10/100,IF(VLOOKUP(A96,tbMoveset!A2:B112,2,FALSE)="Blunt",Backdoors!AZ10/100,Backdoors!BA10/100)),"")</f>
        <v>0.9</v>
      </c>
      <c r="AZ96" s="49">
        <f>IFERROR(IF(VLOOKUP(tbMoveset!A96,tbMoveset!A2:H112,8,FALSE)="Other",IF(VLOOKUP(tbMoveset!A96,tbMoveset!A2:I112,9,FALSE)="Fire",Backdoors!BB10,IF(VLOOKUP(tbMoveset!A96,tbMoveset!A2:I112,9,FALSE)="Water",Backdoors!BC10,IF(VLOOKUP(tbMoveset!A96,tbMoveset!A2:I112,9,FALSE)="Thunder",Backdoors!BD10,IF(VLOOKUP(tbMoveset!A96,tbMoveset!A2:I112,9,FALSE)="Ice",Backdoors!BE10,IF(VLOOKUP(tbMoveset!A96,tbMoveset!A2:I112,9,FALSE)="Dragon",Backdoors!BF10,Backdoors!BG10)))))/100,Backdoors!BG10/100),"")</f>
        <v>0</v>
      </c>
      <c r="BA96" s="49">
        <f>IFERROR(IF(VLOOKUP(A96,tbMoveset!A2:J112,10,FALSE)=TRUE,IF((Backdoors!AI12+IF(AY96&gt;=0.45,VLOOKUP(Calculator!E23,tbSkills!DH3:DI6,2,FALSE)+IF(AND(Calculator!B8=TRUE,Backdoors!BI10=TRUE),VLOOKUP(Calculator!E23,tbSkills!DH3:DJ6,3,FALSE),0),0))&gt;=0,1+(Backdoors!AL2*(IF((Backdoors!AI12+IF(AY96&gt;=0.45,VLOOKUP(Calculator!E23,tbSkills!DH3:DI6,2,FALSE)+IF(AND(Calculator!B8=TRUE,Backdoors!BI10=TRUE),VLOOKUP(Calculator!E23,tbSkills!DH3:DJ6,3,FALSE),0),0))&gt;=100,100,(Backdoors!AI12+IF(AY96&gt;=0.45,VLOOKUP(Calculator!E23,tbSkills!DH3:DI6,2,FALSE)+IF(AND(Calculator!B8=TRUE,Backdoors!BI10=TRUE),VLOOKUP(Calculator!E23,tbSkills!DH3:DJ6,3,FALSE),0),0)))/100)),(1-(0.25*((-Backdoors!AI12-IF(AY96&gt;=0.45,VLOOKUP(Calculator!E23,tbSkills!DH3:DI6,2,FALSE)+IF(AND(Calculator!B8=TRUE,Backdoors!BI10=TRUE),VLOOKUP(Calculator!E23,tbSkills!DH3:DJ6,3,FALSE),0),0))/100)))),1),"")</f>
        <v>1</v>
      </c>
      <c r="BB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Y96)*BA96)*(VLOOKUP(A96,tbMoveset!A2:C112,3,FALSE)/100)*IF(VLOOKUP(A96,tbMoveset!A2:B112,2,FALSE)="Projectile",Backdoors!N10,Backdoors!N9),0),"")</f>
        <v>7</v>
      </c>
      <c r="BC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Y96&gt;=0.45,VLOOKUP(Calculator!E23,tbSkills!DH3:DI6,2,FALSE)+IF(AND(Calculator!B8=TRUE,Backdoors!BI10=TRUE),VLOOKUP(Calculator!E23,tbSkills!DH3:DJ6,3,FALSE),0),0))&gt;=100,100,(Backdoors!AI12+IF(AY96&gt;=0.45,VLOOKUP(Calculator!E23,tbSkills!DH3:DI6,2,FALSE)+IF(AND(Calculator!B8=TRUE,Backdoors!BI10=TRUE),VLOOKUP(Calculator!E23,tbSkills!DH3:DJ6,3,FALSE),0),0)))/100)),1))*IF(VLOOKUP(A96,tbMoveset!A2:K112,11,FALSE)=TRUE,Backdoors!AC5,1))*AZ96,0),"")</f>
        <v>0</v>
      </c>
      <c r="BD96" s="49">
        <f>VLOOKUP(A96,tbMoveset!A2:G112,7,FALSE)*IFERROR(IF(Backdoors!AI12&gt;=0,1+(IF(Calculator!E40&gt;0,VLOOKUP(Calculator!E40,tbSkills!AI3:AJ5,2,FALSE),Backdoors!AL4)*(IF((Backdoors!AI12+IF(AY96&gt;=0.45,VLOOKUP(Calculator!E23,tbSkills!DH3:DI6,2,FALSE)+IF(AND(Calculator!B8=TRUE,Backdoors!BI10=TRUE),VLOOKUP(Calculator!E23,tbSkills!DH3:DJ6,3,FALSE),0),0))&gt;=100,100,(Backdoors!AI12+IF(AY96&gt;=0.45,VLOOKUP(Calculator!E23,tbSkills!DH3:DI6,2,FALSE)+IF(AND(Calculator!B8=TRUE,Backdoors!BI10=TRUE),VLOOKUP(Calculator!E23,tbSkills!DH3:DJ6,3,FALSE),0),0)))/100)),1),1)</f>
        <v>0.7</v>
      </c>
      <c r="BE96" s="87">
        <f t="shared" si="58"/>
        <v>7</v>
      </c>
      <c r="BF96" s="86" t="str">
        <f>IFERROR(IF(VLOOKUP(A96,tbMoveset!A2:B112,2,FALSE)="Sever",Backdoors!AY11/100,IF(VLOOKUP(A96,tbMoveset!A2:B112,2,FALSE)="Blunt",Backdoors!AZ11/100,Backdoors!BA11/100)),"")</f>
        <v/>
      </c>
      <c r="BG96" s="49">
        <f>IFERROR(IF(VLOOKUP(tbMoveset!A96,tbMoveset!A2:H112,8,FALSE)="Other",IF(VLOOKUP(tbMoveset!A96,tbMoveset!A2:I112,9,FALSE)="Fire",Backdoors!BB11,IF(VLOOKUP(tbMoveset!A96,tbMoveset!A2:I112,9,FALSE)="Water",Backdoors!BC11,IF(VLOOKUP(tbMoveset!A96,tbMoveset!A2:I112,9,FALSE)="Thunder",Backdoors!BD11,IF(VLOOKUP(tbMoveset!A96,tbMoveset!A2:I112,9,FALSE)="Ice",Backdoors!BE11,IF(VLOOKUP(tbMoveset!A96,tbMoveset!A2:I112,9,FALSE)="Dragon",Backdoors!BF11,Backdoors!BG11)))))/100,Backdoors!BG11/100),"")</f>
        <v>0</v>
      </c>
      <c r="BH96" s="49">
        <f>IFERROR(IF(VLOOKUP(A96,tbMoveset!A2:J112,10,FALSE)=TRUE,IF((Backdoors!AI12+IF(BF96&gt;=0.45,VLOOKUP(Calculator!E23,tbSkills!DH3:DI6,2,FALSE)+IF(AND(Calculator!B8=TRUE,Backdoors!BI11=TRUE),VLOOKUP(Calculator!E23,tbSkills!DH3:DJ6,3,FALSE),0),0))&gt;=0,1+(Backdoors!AL2*(IF((Backdoors!AI12+IF(BF96&gt;=0.45,VLOOKUP(Calculator!E23,tbSkills!DH3:DI6,2,FALSE)+IF(AND(Calculator!B8=TRUE,Backdoors!BI11=TRUE),VLOOKUP(Calculator!E23,tbSkills!DH3:DJ6,3,FALSE),0),0))&gt;=100,100,(Backdoors!AI12+IF(BF96&gt;=0.45,VLOOKUP(Calculator!E23,tbSkills!DH3:DI6,2,FALSE)+IF(AND(Calculator!B8=TRUE,Backdoors!BI11=TRUE),VLOOKUP(Calculator!E23,tbSkills!DH3:DJ6,3,FALSE),0),0)))/100)),(1-(0.25*((-Backdoors!AI12-IF(BF96&gt;=0.45,VLOOKUP(Calculator!E23,tbSkills!DH3:DI6,2,FALSE)+IF(AND(Calculator!B8=TRUE,Backdoors!BI11=TRUE),VLOOKUP(Calculator!E23,tbSkills!DH3:DJ6,3,FALSE),0),0))/100)))),1),"")</f>
        <v>1</v>
      </c>
      <c r="BI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F96)*BH96)*(VLOOKUP(A96,tbMoveset!A2:C112,3,FALSE)/100)*IF(VLOOKUP(A96,tbMoveset!A2:B112,2,FALSE)="Projectile",Backdoors!N10,Backdoors!N9),0),"")</f>
        <v/>
      </c>
      <c r="BJ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F96&gt;=0.45,VLOOKUP(Calculator!E23,tbSkills!DH3:DI6,2,FALSE)+IF(AND(Calculator!B8=TRUE,Backdoors!BI11=TRUE),VLOOKUP(Calculator!E23,tbSkills!DH3:DJ6,3,FALSE),0),0))&gt;=100,100,(Backdoors!AI12+IF(BF96&gt;=0.45,VLOOKUP(Calculator!E23,tbSkills!DH3:DI6,2,FALSE)+IF(AND(Calculator!B8=TRUE,Backdoors!BI11=TRUE),VLOOKUP(Calculator!E23,tbSkills!DH3:DJ6,3,FALSE),0),0)))/100)),1))*IF(VLOOKUP(A96,tbMoveset!A2:K112,11,FALSE)=TRUE,Backdoors!AC5,1))*BG96,0),"")</f>
        <v>0</v>
      </c>
      <c r="BK96" s="49">
        <f>VLOOKUP(A96,tbMoveset!A2:G112,7,FALSE)*IFERROR(IF(Backdoors!AI12&gt;=0,1+(IF(Calculator!E40&gt;0,VLOOKUP(Calculator!E40,tbSkills!AI3:AJ5,2,FALSE),Backdoors!AL4)*(IF((Backdoors!AI12+IF(BF96&gt;=0.45,VLOOKUP(Calculator!E23,tbSkills!DH3:DI6,2,FALSE)+IF(AND(Calculator!B8=TRUE,Backdoors!BI11=TRUE),VLOOKUP(Calculator!E23,tbSkills!DH3:DJ6,3,FALSE),0),0))&gt;=100,100,(Backdoors!AI12+IF(BF96&gt;=0.45,VLOOKUP(Calculator!E23,tbSkills!DH3:DI6,2,FALSE)+IF(AND(Calculator!B8=TRUE,Backdoors!BI11=TRUE),VLOOKUP(Calculator!E23,tbSkills!DH3:DJ6,3,FALSE),0),0)))/100)),1),1)</f>
        <v>0.7</v>
      </c>
      <c r="BL96" s="87">
        <f t="shared" si="59"/>
        <v>0</v>
      </c>
      <c r="BM96" s="86" t="str">
        <f>IFERROR(IF(VLOOKUP(A96,tbMoveset!A2:B112,2,FALSE)="Sever",Backdoors!AY12/100,IF(VLOOKUP(A96,tbMoveset!A2:B112,2,FALSE)="Blunt",Backdoors!AZ12/100,Backdoors!BA12/100)),"")</f>
        <v/>
      </c>
      <c r="BN96" s="49">
        <f>IFERROR(IF(VLOOKUP(tbMoveset!A96,tbMoveset!A2:H112,8,FALSE)="Other",IF(VLOOKUP(tbMoveset!A96,tbMoveset!A2:I112,9,FALSE)="Fire",Backdoors!BB12,IF(VLOOKUP(tbMoveset!A96,tbMoveset!A2:I112,9,FALSE)="Water",Backdoors!BC12,IF(VLOOKUP(tbMoveset!A96,tbMoveset!A2:I112,9,FALSE)="Thunder",Backdoors!BD12,IF(VLOOKUP(tbMoveset!A96,tbMoveset!A2:I112,9,FALSE)="Ice",Backdoors!BE12,IF(VLOOKUP(tbMoveset!A96,tbMoveset!A2:I112,9,FALSE)="Dragon",Backdoors!BF12,Backdoors!BG12)))))/100,Backdoors!BG12/100),"")</f>
        <v>0</v>
      </c>
      <c r="BO96" s="49">
        <f>IFERROR(IF(VLOOKUP(A96,tbMoveset!A2:J112,10,FALSE)=TRUE,IF((Backdoors!AI12+IF(BM96&gt;=0.45,VLOOKUP(Calculator!E23,tbSkills!DH3:DI6,2,FALSE)+IF(AND(Calculator!B8=TRUE,Backdoors!BI12=TRUE),VLOOKUP(Calculator!E23,tbSkills!DH3:DJ6,3,FALSE),0),0))&gt;=0,1+(Backdoors!AL2*(IF((Backdoors!AI12+IF(BM96&gt;=0.45,VLOOKUP(Calculator!E23,tbSkills!DH3:DI6,2,FALSE)+IF(AND(Calculator!B8=TRUE,Backdoors!BI12=TRUE),VLOOKUP(Calculator!E23,tbSkills!DH3:DJ6,3,FALSE),0),0))&gt;=100,100,(Backdoors!AI12+IF(BM96&gt;=0.45,VLOOKUP(Calculator!E23,tbSkills!DH3:DI6,2,FALSE)+IF(AND(Calculator!B8=TRUE,Backdoors!BI12=TRUE),VLOOKUP(Calculator!E23,tbSkills!DH3:DJ6,3,FALSE),0),0)))/100)),(1-(0.25*((-Backdoors!AI12-IF(BM96&gt;=0.45,VLOOKUP(Calculator!E23,tbSkills!DH3:DI6,2,FALSE)+IF(AND(Calculator!B8=TRUE,Backdoors!BI12=TRUE),VLOOKUP(Calculator!E23,tbSkills!DH3:DJ6,3,FALSE),0),0))/100)))),1),"")</f>
        <v>1</v>
      </c>
      <c r="BP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M96)*BO96)*(VLOOKUP(A96,tbMoveset!A2:C112,3,FALSE)/100)*IF(VLOOKUP(A96,tbMoveset!A2:B112,2,FALSE)="Projectile",Backdoors!N10,Backdoors!N9),0),"")</f>
        <v/>
      </c>
      <c r="BQ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M96&gt;=0.45,VLOOKUP(Calculator!E23,tbSkills!DH3:DI6,2,FALSE)+IF(AND(Calculator!B8=TRUE,Backdoors!BI12=TRUE),VLOOKUP(Calculator!E23,tbSkills!DH3:DJ6,3,FALSE),0),0))&gt;=100,100,(Backdoors!AI12+IF(BM96&gt;=0.45,VLOOKUP(Calculator!E23,tbSkills!DH3:DI6,2,FALSE)+IF(AND(Calculator!B8=TRUE,Backdoors!BI12=TRUE),VLOOKUP(Calculator!E23,tbSkills!DH3:DJ6,3,FALSE),0),0)))/100)),1))*IF(VLOOKUP(A96,tbMoveset!A2:K112,11,FALSE)=TRUE,Backdoors!AC5,1))*BN96,0),"")</f>
        <v>0</v>
      </c>
      <c r="BR96" s="49">
        <f>VLOOKUP(A96,tbMoveset!A2:G112,7,FALSE)*IFERROR(IF(Backdoors!AI12&gt;=0,1+(IF(Calculator!E40&gt;0,VLOOKUP(Calculator!E40,tbSkills!AI3:AJ5,2,FALSE),Backdoors!AL4)*(IF((Backdoors!AI12+IF(BM96&gt;=0.45,VLOOKUP(Calculator!E23,tbSkills!DH3:DI6,2,FALSE)+IF(AND(Calculator!B8=TRUE,Backdoors!BI12=TRUE),VLOOKUP(Calculator!E23,tbSkills!DH3:DJ6,3,FALSE),0),0))&gt;=100,100,(Backdoors!AI12+IF(BM96&gt;=0.45,VLOOKUP(Calculator!E23,tbSkills!DH3:DI6,2,FALSE)+IF(AND(Calculator!B8=TRUE,Backdoors!BI12=TRUE),VLOOKUP(Calculator!E23,tbSkills!DH3:DJ6,3,FALSE),0),0)))/100)),1),1)</f>
        <v>0.7</v>
      </c>
      <c r="BS96" s="87">
        <f t="shared" si="60"/>
        <v>0</v>
      </c>
      <c r="BT96" s="86" t="str">
        <f>IFERROR(IF(VLOOKUP(A96,tbMoveset!A2:B112,2,FALSE)="Sever",Backdoors!AY13/100,IF(VLOOKUP(A96,tbMoveset!A2:B112,2,FALSE)="Blunt",Backdoors!AZ13/100,Backdoors!BA13/100)),"")</f>
        <v/>
      </c>
      <c r="BU96" s="49">
        <f>IFERROR(IF(VLOOKUP(tbMoveset!A96,tbMoveset!A2:H112,8,FALSE)="Other",IF(VLOOKUP(tbMoveset!A96,tbMoveset!A2:I112,9,FALSE)="Fire",Backdoors!BB13,IF(VLOOKUP(tbMoveset!A96,tbMoveset!A2:I112,9,FALSE)="Water",Backdoors!BC13,IF(VLOOKUP(tbMoveset!A96,tbMoveset!A2:I112,9,FALSE)="Thunder",Backdoors!BD13,IF(VLOOKUP(tbMoveset!A96,tbMoveset!A2:I112,9,FALSE)="Ice",Backdoors!BE13,IF(VLOOKUP(tbMoveset!A96,tbMoveset!A2:I112,9,FALSE)="Dragon",Backdoors!BF13,Backdoors!BG13)))))/100,Backdoors!BG13/100),"")</f>
        <v>0</v>
      </c>
      <c r="BV96" s="49">
        <f>IFERROR(IF(VLOOKUP(A96,tbMoveset!A2:J112,10,FALSE)=TRUE,IF((Backdoors!AI12+IF(BT96&gt;=0.45,VLOOKUP(Calculator!E23,tbSkills!DH3:DI6,2,FALSE)+IF(AND(Calculator!B8=TRUE,Backdoors!BI13=TRUE),VLOOKUP(Calculator!E23,tbSkills!DH3:DJ6,3,FALSE),0),0))&gt;=0,1+(Backdoors!AL2*(IF((Backdoors!AI12+IF(BT96&gt;=0.45,VLOOKUP(Calculator!E23,tbSkills!DH3:DI6,2,FALSE)+IF(AND(Calculator!B8=TRUE,Backdoors!BI13=TRUE),VLOOKUP(Calculator!E23,tbSkills!DH3:DJ6,3,FALSE),0),0))&gt;=100,100,(Backdoors!AI12+IF(BT96&gt;=0.45,VLOOKUP(Calculator!E23,tbSkills!DH3:DI6,2,FALSE)+IF(AND(Calculator!B8=TRUE,Backdoors!BI13=TRUE),VLOOKUP(Calculator!E23,tbSkills!DH3:DJ6,3,FALSE),0),0)))/100)),(1-(0.25*((-Backdoors!AI12-IF(BT96&gt;=0.45,VLOOKUP(Calculator!E23,tbSkills!DH3:DI6,2,FALSE)+IF(AND(Calculator!B8=TRUE,Backdoors!BI13=TRUE),VLOOKUP(Calculator!E23,tbSkills!DH3:DJ6,3,FALSE),0),0))/100)))),1),"")</f>
        <v>1</v>
      </c>
      <c r="BW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T96)*BV96)*(VLOOKUP(A96,tbMoveset!A2:C112,3,FALSE)/100)*IF(VLOOKUP(A96,tbMoveset!A2:B112,2,FALSE)="Projectile",Backdoors!N10,Backdoors!N9),0),"")</f>
        <v/>
      </c>
      <c r="BX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T96&gt;=0.45,VLOOKUP(Calculator!E23,tbSkills!DH3:DI6,2,FALSE)+IF(AND(Calculator!B8=TRUE,Backdoors!BI13=TRUE),VLOOKUP(Calculator!E23,tbSkills!DH3:DJ6,3,FALSE),0),0))&gt;=100,100,(Backdoors!AI12+IF(BT96&gt;=0.45,VLOOKUP(Calculator!E23,tbSkills!DH3:DI6,2,FALSE)+IF(AND(Calculator!B8=TRUE,Backdoors!BI13=TRUE),VLOOKUP(Calculator!E23,tbSkills!DH3:DJ6,3,FALSE),0),0)))/100)),1))*IF(VLOOKUP(A96,tbMoveset!A2:K112,11,FALSE)=TRUE,Backdoors!AC5,1))*BU96,0),"")</f>
        <v>0</v>
      </c>
      <c r="BY96" s="49">
        <f>VLOOKUP(A96,tbMoveset!A2:G112,7,FALSE)*IFERROR(IF(Backdoors!AI12&gt;=0,1+(IF(Calculator!E40&gt;0,VLOOKUP(Calculator!E40,tbSkills!AI3:AJ5,2,FALSE),Backdoors!AL4)*(IF((Backdoors!AI12+IF(BT96&gt;=0.45,VLOOKUP(Calculator!E23,tbSkills!DH3:DI6,2,FALSE)+IF(AND(Calculator!B8=TRUE,Backdoors!BI13=TRUE),VLOOKUP(Calculator!E23,tbSkills!DH3:DJ6,3,FALSE),0),0))&gt;=100,100,(Backdoors!AI12+IF(BT96&gt;=0.45,VLOOKUP(Calculator!E23,tbSkills!DH3:DI6,2,FALSE)+IF(AND(Calculator!B8=TRUE,Backdoors!BI13=TRUE),VLOOKUP(Calculator!E23,tbSkills!DH3:DJ6,3,FALSE),0),0)))/100)),1),1)</f>
        <v>0.7</v>
      </c>
      <c r="BZ96" s="87">
        <f t="shared" si="61"/>
        <v>0</v>
      </c>
      <c r="CA96" s="86" t="str">
        <f>IFERROR(IF(VLOOKUP(A96,tbMoveset!A2:B112,2,FALSE)="Sever",Backdoors!AY14/100,IF(VLOOKUP(A96,tbMoveset!A2:B112,2,FALSE)="Blunt",Backdoors!AZ14/100,Backdoors!BA14/100)),"")</f>
        <v/>
      </c>
      <c r="CB96" s="49">
        <f>IFERROR(IF(VLOOKUP(tbMoveset!A96,tbMoveset!A2:H112,8,FALSE)="Other",IF(VLOOKUP(tbMoveset!A96,tbMoveset!A2:I112,9,FALSE)="Fire",Backdoors!BB14,IF(VLOOKUP(tbMoveset!A96,tbMoveset!A2:I112,9,FALSE)="Water",Backdoors!BC14,IF(VLOOKUP(tbMoveset!A96,tbMoveset!A2:I112,9,FALSE)="Thunder",Backdoors!BD14,IF(VLOOKUP(tbMoveset!A96,tbMoveset!A2:I112,9,FALSE)="Ice",Backdoors!BE14,IF(VLOOKUP(tbMoveset!A96,tbMoveset!A2:I112,9,FALSE)="Dragon",Backdoors!BF14,Backdoors!BG14)))))/100,Backdoors!BG14/100),"")</f>
        <v>0</v>
      </c>
      <c r="CC96" s="49">
        <f>IFERROR(IF(VLOOKUP(A96,tbMoveset!A2:J112,10,FALSE)=TRUE,IF((Backdoors!AI12+IF(CA96&gt;=0.45,VLOOKUP(Calculator!E23,tbSkills!DH3:DI6,2,FALSE)+IF(AND(Calculator!B8=TRUE,Backdoors!BI14=TRUE),VLOOKUP(Calculator!E23,tbSkills!DH3:DJ6,3,FALSE),0),0))&gt;=0,1+(Backdoors!AL2*(IF((Backdoors!AI12+IF(CA96&gt;=0.45,VLOOKUP(Calculator!E23,tbSkills!DH3:DI6,2,FALSE)+IF(AND(Calculator!B8=TRUE,Backdoors!BI14=TRUE),VLOOKUP(Calculator!E23,tbSkills!DH3:DJ6,3,FALSE),0),0))&gt;=100,100,(Backdoors!AI12+IF(CA96&gt;=0.45,VLOOKUP(Calculator!E23,tbSkills!DH3:DI6,2,FALSE)+IF(AND(Calculator!B8=TRUE,Backdoors!BI14=TRUE),VLOOKUP(Calculator!E23,tbSkills!DH3:DJ6,3,FALSE),0),0)))/100)),(1-(0.25*((-Backdoors!AI12-IF(CA96&gt;=0.45,VLOOKUP(Calculator!E23,tbSkills!DH3:DI6,2,FALSE)+IF(AND(Calculator!B8=TRUE,Backdoors!BI14=TRUE),VLOOKUP(Calculator!E23,tbSkills!DH3:DJ6,3,FALSE),0),0))/100)))),1),"")</f>
        <v>1</v>
      </c>
      <c r="CD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A96)*CC96)*(VLOOKUP(A96,tbMoveset!A2:C112,3,FALSE)/100)*IF(VLOOKUP(A96,tbMoveset!A2:B112,2,FALSE)="Projectile",Backdoors!N10,Backdoors!N9),0),"")</f>
        <v/>
      </c>
      <c r="CE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A96&gt;=0.45,VLOOKUP(Calculator!E23,tbSkills!DH3:DI6,2,FALSE)+IF(AND(Calculator!B8=TRUE,Backdoors!BI14=TRUE),VLOOKUP(Calculator!E23,tbSkills!DH3:DJ6,3,FALSE),0),0))&gt;=100,100,(Backdoors!AI12+IF(CA96&gt;=0.45,VLOOKUP(Calculator!E23,tbSkills!DH3:DI6,2,FALSE)+IF(AND(Calculator!B8=TRUE,Backdoors!BI14=TRUE),VLOOKUP(Calculator!E23,tbSkills!DH3:DJ6,3,FALSE),0),0)))/100)),1))*IF(VLOOKUP(A96,tbMoveset!A2:K112,11,FALSE)=TRUE,Backdoors!AC5,1))*CB96,0),"")</f>
        <v>0</v>
      </c>
      <c r="CF96" s="49">
        <f>VLOOKUP(A96,tbMoveset!A2:G112,7,FALSE)*IFERROR(IF(Backdoors!AI12&gt;=0,1+(IF(Calculator!E40&gt;0,VLOOKUP(Calculator!E40,tbSkills!AI3:AJ5,2,FALSE),Backdoors!AL4)*(IF((Backdoors!AI12+IF(CA96&gt;=0.45,VLOOKUP(Calculator!E23,tbSkills!DH3:DI6,2,FALSE)+IF(AND(Calculator!B8=TRUE,Backdoors!BI14=TRUE),VLOOKUP(Calculator!E23,tbSkills!DH3:DJ6,3,FALSE),0),0))&gt;=100,100,(Backdoors!AI12+IF(CA96&gt;=0.45,VLOOKUP(Calculator!E23,tbSkills!DH3:DI6,2,FALSE)+IF(AND(Calculator!B8=TRUE,Backdoors!BI14=TRUE),VLOOKUP(Calculator!E23,tbSkills!DH3:DJ6,3,FALSE),0),0)))/100)),1),1)</f>
        <v>0.7</v>
      </c>
      <c r="CG96" s="87">
        <f t="shared" si="62"/>
        <v>0</v>
      </c>
      <c r="CH96" s="86" t="str">
        <f>IFERROR(IF(VLOOKUP(A96,tbMoveset!A2:B112,2,FALSE)="Sever",Backdoors!AY15/100,IF(VLOOKUP(A96,tbMoveset!A2:B112,2,FALSE)="Blunt",Backdoors!AZ15/100,Backdoors!BA15/100)),"")</f>
        <v/>
      </c>
      <c r="CI96" s="49">
        <f>IFERROR(IF(VLOOKUP(tbMoveset!A96,tbMoveset!A2:H112,8,FALSE)="Other",IF(VLOOKUP(tbMoveset!A96,tbMoveset!A2:I112,9,FALSE)="Fire",Backdoors!BB15,IF(VLOOKUP(tbMoveset!A96,tbMoveset!A2:I112,9,FALSE)="Water",Backdoors!BC15,IF(VLOOKUP(tbMoveset!A96,tbMoveset!A2:I112,9,FALSE)="Thunder",Backdoors!BD15,IF(VLOOKUP(tbMoveset!A96,tbMoveset!A2:I112,9,FALSE)="Ice",Backdoors!BE15,IF(VLOOKUP(tbMoveset!A96,tbMoveset!A2:I112,9,FALSE)="Dragon",Backdoors!BF15,Backdoors!BG15)))))/100,Backdoors!BG15/100),"")</f>
        <v>0</v>
      </c>
      <c r="CJ96" s="49">
        <f>IFERROR(IF(VLOOKUP(A96,tbMoveset!A2:J112,10,FALSE)=TRUE,IF((Backdoors!AI12+IF(CH96&gt;=0.45,VLOOKUP(Calculator!E23,tbSkills!DH3:DI6,2,FALSE)+IF(AND(Calculator!B8=TRUE,Backdoors!BI15=TRUE),VLOOKUP(Calculator!E23,tbSkills!DH3:DJ6,3,FALSE),0),0))&gt;=0,1+(Backdoors!AL2*(IF((Backdoors!AI12+IF(CH96&gt;=0.45,VLOOKUP(Calculator!E23,tbSkills!DH3:DI6,2,FALSE)+IF(AND(Calculator!B8=TRUE,Backdoors!BI15=TRUE),VLOOKUP(Calculator!E23,tbSkills!DH3:DJ6,3,FALSE),0),0))&gt;=100,100,(Backdoors!AI12+IF(CH96&gt;=0.45,VLOOKUP(Calculator!E23,tbSkills!DH3:DI6,2,FALSE)+IF(AND(Calculator!B8=TRUE,Backdoors!BI15=TRUE),VLOOKUP(Calculator!E23,tbSkills!DH3:DJ6,3,FALSE),0),0)))/100)),(1-(0.25*((-Backdoors!AI12-IF(CH96&gt;=0.45,VLOOKUP(Calculator!E23,tbSkills!DH3:DI6,2,FALSE)+IF(AND(Calculator!B8=TRUE,Backdoors!BI15=TRUE),VLOOKUP(Calculator!E23,tbSkills!DH3:DJ6,3,FALSE),0),0))/100)))),1),"")</f>
        <v>1</v>
      </c>
      <c r="CK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H96)*CJ96)*(VLOOKUP(A96,tbMoveset!A2:C112,3,FALSE)/100)*IF(VLOOKUP(A96,tbMoveset!A2:B112,2,FALSE)="Projectile",Backdoors!N10,Backdoors!N9),0),"")</f>
        <v/>
      </c>
      <c r="CL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H96&gt;=0.45,VLOOKUP(Calculator!E23,tbSkills!DH3:DI6,2,FALSE)+IF(AND(Calculator!B8=TRUE,Backdoors!BI15=TRUE),VLOOKUP(Calculator!E23,tbSkills!DH3:DJ6,3,FALSE),0),0))&gt;=100,100,(Backdoors!AI12+IF(CH96&gt;=0.45,VLOOKUP(Calculator!E23,tbSkills!DH3:DI6,2,FALSE)+IF(AND(Calculator!B8=TRUE,Backdoors!BI15=TRUE),VLOOKUP(Calculator!E23,tbSkills!DH3:DJ6,3,FALSE),0),0)))/100)),1))*IF(VLOOKUP(A96,tbMoveset!A2:K112,11,FALSE)=TRUE,Backdoors!AC5,1))*CI96,0),"")</f>
        <v>0</v>
      </c>
      <c r="CM96" s="49">
        <f>VLOOKUP(A96,tbMoveset!A2:G112,7,FALSE)*IFERROR(IF(Backdoors!AI12&gt;=0,1+(IF(Calculator!E40&gt;0,VLOOKUP(Calculator!E40,tbSkills!AI3:AJ5,2,FALSE),Backdoors!AL4)*(IF((Backdoors!AI12+IF(CH96&gt;=0.45,VLOOKUP(Calculator!E23,tbSkills!DH3:DI6,2,FALSE)+IF(AND(Calculator!B8=TRUE,Backdoors!BI15=TRUE),VLOOKUP(Calculator!E23,tbSkills!DH3:DJ6,3,FALSE),0),0))&gt;=100,100,(Backdoors!AI12+IF(CH96&gt;=0.45,VLOOKUP(Calculator!E23,tbSkills!DH3:DI6,2,FALSE)+IF(AND(Calculator!B8=TRUE,Backdoors!BI15=TRUE),VLOOKUP(Calculator!E23,tbSkills!DH3:DJ6,3,FALSE),0),0)))/100)),1),1)</f>
        <v>0.7</v>
      </c>
      <c r="CN96" s="87">
        <f t="shared" si="63"/>
        <v>0</v>
      </c>
      <c r="CO96" s="86" t="str">
        <f>IFERROR(IF(VLOOKUP(A96,tbMoveset!A2:B112,2,FALSE)="Sever",Backdoors!AY16/100,IF(VLOOKUP(A96,tbMoveset!A2:B112,2,FALSE)="Blunt",Backdoors!AZ16/100,Backdoors!BA16/100)),"")</f>
        <v/>
      </c>
      <c r="CP96" s="49">
        <f>IFERROR(IF(VLOOKUP(tbMoveset!A96,tbMoveset!A2:H112,8,FALSE)="Other",IF(VLOOKUP(tbMoveset!A96,tbMoveset!A2:I112,9,FALSE)="Fire",Backdoors!BB16,IF(VLOOKUP(tbMoveset!A96,tbMoveset!A2:I112,9,FALSE)="Water",Backdoors!BC16,IF(VLOOKUP(tbMoveset!A96,tbMoveset!A2:I112,9,FALSE)="Thunder",Backdoors!BD16,IF(VLOOKUP(tbMoveset!A96,tbMoveset!A2:I112,9,FALSE)="Ice",Backdoors!BE16,IF(VLOOKUP(tbMoveset!A96,tbMoveset!A2:I112,9,FALSE)="Dragon",Backdoors!BF16,Backdoors!BG16)))))/100,Backdoors!BG16/100),"")</f>
        <v>0</v>
      </c>
      <c r="CQ96" s="49">
        <f>IFERROR(IF(VLOOKUP(A96,tbMoveset!A2:J112,10,FALSE)=TRUE,IF((Backdoors!AI12+IF(CO96&gt;=0.45,VLOOKUP(Calculator!E23,tbSkills!DH3:DI6,2,FALSE)+IF(AND(Calculator!B8=TRUE,Backdoors!BI16=TRUE),VLOOKUP(Calculator!E23,tbSkills!DH3:DJ6,3,FALSE),0),0))&gt;=0,1+(Backdoors!AL2*(IF((Backdoors!AI12+IF(CO96&gt;=0.45,VLOOKUP(Calculator!E23,tbSkills!DH3:DI6,2,FALSE)+IF(AND(Calculator!B8=TRUE,Backdoors!BI16=TRUE),VLOOKUP(Calculator!E23,tbSkills!DH3:DJ6,3,FALSE),0),0))&gt;=100,100,(Backdoors!AI12+IF(CO96&gt;=0.45,VLOOKUP(Calculator!E23,tbSkills!DH3:DI6,2,FALSE)+IF(AND(Calculator!B8=TRUE,Backdoors!BI16=TRUE),VLOOKUP(Calculator!E23,tbSkills!DH3:DJ6,3,FALSE),0),0)))/100)),(1-(0.25*((-Backdoors!AI12-IF(CO96&gt;=0.45,VLOOKUP(Calculator!E23,tbSkills!DH3:DI6,2,FALSE)+IF(AND(Calculator!B8=TRUE,Backdoors!BI16=TRUE),VLOOKUP(Calculator!E23,tbSkills!DH3:DJ6,3,FALSE),0),0))/100)))),1),"")</f>
        <v>1</v>
      </c>
      <c r="CR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O96)*CQ96)*(VLOOKUP(A96,tbMoveset!A2:C112,3,FALSE)/100)*IF(VLOOKUP(A96,tbMoveset!A2:B112,2,FALSE)="Projectile",Backdoors!N10,Backdoors!N9),0),"")</f>
        <v/>
      </c>
      <c r="CS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O96&gt;=0.45,VLOOKUP(Calculator!E23,tbSkills!DH3:DI6,2,FALSE)+IF(AND(Calculator!B8=TRUE,Backdoors!BI16=TRUE),VLOOKUP(Calculator!E23,tbSkills!DH3:DJ6,3,FALSE),0),0))&gt;=100,100,(Backdoors!AI12+IF(CO96&gt;=0.45,VLOOKUP(Calculator!E23,tbSkills!DH3:DI6,2,FALSE)+IF(AND(Calculator!B8=TRUE,Backdoors!BI16=TRUE),VLOOKUP(Calculator!E23,tbSkills!DH3:DJ6,3,FALSE),0),0)))/100)),1))*IF(VLOOKUP(A96,tbMoveset!A2:K112,11,FALSE)=TRUE,Backdoors!AC5,1))*CP96,0),"")</f>
        <v>0</v>
      </c>
      <c r="CT96" s="49">
        <f>VLOOKUP(A96,tbMoveset!A2:G112,7,FALSE)*IFERROR(IF(Backdoors!AI12&gt;=0,1+(IF(Calculator!E40&gt;0,VLOOKUP(Calculator!E40,tbSkills!AI3:AJ5,2,FALSE),Backdoors!AL4)*(IF((Backdoors!AI12+IF(CO96&gt;=0.45,VLOOKUP(Calculator!E23,tbSkills!DH3:DI6,2,FALSE)+IF(AND(Calculator!B8=TRUE,Backdoors!BI16=TRUE),VLOOKUP(Calculator!E23,tbSkills!DH3:DJ6,3,FALSE),0),0))&gt;=100,100,(Backdoors!AI12+IF(CO96&gt;=0.45,VLOOKUP(Calculator!E23,tbSkills!DH3:DI6,2,FALSE)+IF(AND(Calculator!B8=TRUE,Backdoors!BI16=TRUE),VLOOKUP(Calculator!E23,tbSkills!DH3:DJ6,3,FALSE),0),0)))/100)),1),1)</f>
        <v>0.7</v>
      </c>
      <c r="CU96" s="87">
        <f t="shared" si="64"/>
        <v>0</v>
      </c>
      <c r="CV96" s="86" t="str">
        <f>IFERROR(IF(VLOOKUP(A96,tbMoveset!A2:B112,2,FALSE)="Sever",Backdoors!AY17/100,IF(VLOOKUP(A96,tbMoveset!A2:B112,2,FALSE)="Blunt",Backdoors!AZ17/100,Backdoors!BA17/100)),"")</f>
        <v/>
      </c>
      <c r="CW96" s="49">
        <f>IFERROR(IF(VLOOKUP(tbMoveset!A96,tbMoveset!A2:H112,8,FALSE)="Other",IF(VLOOKUP(tbMoveset!A96,tbMoveset!A2:I112,9,FALSE)="Fire",Backdoors!BB17,IF(VLOOKUP(tbMoveset!A96,tbMoveset!A2:I112,9,FALSE)="Water",Backdoors!BC17,IF(VLOOKUP(tbMoveset!A96,tbMoveset!A2:I112,9,FALSE)="Thunder",Backdoors!BD17,IF(VLOOKUP(tbMoveset!A96,tbMoveset!A2:I112,9,FALSE)="Ice",Backdoors!BE17,IF(VLOOKUP(tbMoveset!A96,tbMoveset!A2:I112,9,FALSE)="Dragon",Backdoors!BF17,Backdoors!BG17)))))/100,Backdoors!BG17/100),"")</f>
        <v>0</v>
      </c>
      <c r="CX96" s="49">
        <f>IFERROR(IF(VLOOKUP(A96,tbMoveset!A2:J112,10,FALSE)=TRUE,IF((Backdoors!AI12+IF(CV96&gt;=0.45,VLOOKUP(Calculator!E23,tbSkills!DH3:DI6,2,FALSE)+IF(AND(Calculator!B8=TRUE,Backdoors!BI17=TRUE),VLOOKUP(Calculator!E23,tbSkills!DH3:DJ6,3,FALSE),0),0))&gt;=0,1+(Backdoors!AL2*(IF((Backdoors!AI12+IF(CV96&gt;=0.45,VLOOKUP(Calculator!E23,tbSkills!DH3:DI6,2,FALSE)+IF(AND(Calculator!B8=TRUE,Backdoors!BI17=TRUE),VLOOKUP(Calculator!E23,tbSkills!DH3:DJ6,3,FALSE),0),0))&gt;=100,100,(Backdoors!AI12+IF(CV96&gt;=0.45,VLOOKUP(Calculator!E23,tbSkills!DH3:DI6,2,FALSE)+IF(AND(Calculator!B8=TRUE,Backdoors!BI17=TRUE),VLOOKUP(Calculator!E23,tbSkills!DH3:DJ6,3,FALSE),0),0)))/100)),(1-(0.25*((-Backdoors!AI12-IF(CV96&gt;=0.45,VLOOKUP(Calculator!E23,tbSkills!DH3:DI6,2,FALSE)+IF(AND(Calculator!B8=TRUE,Backdoors!BI17=TRUE),VLOOKUP(Calculator!E23,tbSkills!DH3:DJ6,3,FALSE),0),0))/100)))),1),"")</f>
        <v>1</v>
      </c>
      <c r="CY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V96)*CX96)*(VLOOKUP(A96,tbMoveset!A2:C112,3,FALSE)/100)*IF(VLOOKUP(A96,tbMoveset!A2:B112,2,FALSE)="Projectile",Backdoors!N10,Backdoors!N9),0),"")</f>
        <v/>
      </c>
      <c r="CZ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V96&gt;=0.45,VLOOKUP(Calculator!E23,tbSkills!DH3:DI6,2,FALSE)+IF(AND(Calculator!B8=TRUE,Backdoors!BI17=TRUE),VLOOKUP(Calculator!E23,tbSkills!DH3:DJ6,3,FALSE),0),0))&gt;=100,100,(Backdoors!AI12+IF(CV96&gt;=0.45,VLOOKUP(Calculator!E23,tbSkills!DH3:DI6,2,FALSE)+IF(AND(Calculator!B8=TRUE,Backdoors!BI17=TRUE),VLOOKUP(Calculator!E23,tbSkills!DH3:DJ6,3,FALSE),0),0)))/100)),1))*IF(VLOOKUP(A96,tbMoveset!A2:K112,11,FALSE)=TRUE,Backdoors!AC5,1))*CW96,0),"")</f>
        <v>0</v>
      </c>
      <c r="DA96" s="49">
        <f>VLOOKUP(A96,tbMoveset!A2:G112,7,FALSE)*IFERROR(IF(Backdoors!AI12&gt;=0,1+(IF(Calculator!E40&gt;0,VLOOKUP(Calculator!E40,tbSkills!AI3:AJ5,2,FALSE),Backdoors!AL4)*(IF((Backdoors!AI12+IF(CV96&gt;=0.45,VLOOKUP(Calculator!E23,tbSkills!DH3:DI6,2,FALSE)+IF(AND(Calculator!B8=TRUE,Backdoors!BI17=TRUE),VLOOKUP(Calculator!E23,tbSkills!DH3:DJ6,3,FALSE),0),0))&gt;=100,100,(Backdoors!AI12+IF(CV96&gt;=0.45,VLOOKUP(Calculator!E23,tbSkills!DH3:DI6,2,FALSE)+IF(AND(Calculator!B8=TRUE,Backdoors!BI17=TRUE),VLOOKUP(Calculator!E23,tbSkills!DH3:DJ6,3,FALSE),0),0)))/100)),1),1)</f>
        <v>0.7</v>
      </c>
      <c r="DB96" s="87">
        <f t="shared" si="65"/>
        <v>0</v>
      </c>
      <c r="DC96" s="86" t="str">
        <f>IFERROR(IF(VLOOKUP(A96,tbMoveset!A2:B112,2,FALSE)="Sever",Backdoors!AY18/100,IF(VLOOKUP(A96,tbMoveset!A2:B112,2,FALSE)="Blunt",Backdoors!AZ18/100,Backdoors!BA18/100)),"")</f>
        <v/>
      </c>
      <c r="DD96" s="49">
        <f>IFERROR(IF(VLOOKUP(tbMoveset!A96,tbMoveset!A2:H112,8,FALSE)="Other",IF(VLOOKUP(tbMoveset!A96,tbMoveset!A2:I112,9,FALSE)="Fire",Backdoors!BB18,IF(VLOOKUP(tbMoveset!A96,tbMoveset!A2:I112,9,FALSE)="Water",Backdoors!BC18,IF(VLOOKUP(tbMoveset!A96,tbMoveset!A2:I112,9,FALSE)="Thunder",Backdoors!BD18,IF(VLOOKUP(tbMoveset!A96,tbMoveset!A2:I112,9,FALSE)="Ice",Backdoors!BE18,IF(VLOOKUP(tbMoveset!A96,tbMoveset!A2:I112,9,FALSE)="Dragon",Backdoors!BF18,Backdoors!BG18)))))/100,Backdoors!BG18/100),"")</f>
        <v>0</v>
      </c>
      <c r="DE96" s="49">
        <f>IFERROR(IF(VLOOKUP(A96,tbMoveset!A2:J112,10,FALSE)=TRUE,IF((Backdoors!AI12+IF(DC96&gt;=0.45,VLOOKUP(Calculator!E23,tbSkills!DH3:DI6,2,FALSE)+IF(AND(Calculator!B8=TRUE,Backdoors!BI18=TRUE),VLOOKUP(Calculator!E23,tbSkills!DH3:DJ6,3,FALSE),0),0))&gt;=0,1+(Backdoors!AL2*(IF((Backdoors!AI12+IF(DC96&gt;=0.45,VLOOKUP(Calculator!E23,tbSkills!DH3:DI6,2,FALSE)+IF(AND(Calculator!B8=TRUE,Backdoors!BI18=TRUE),VLOOKUP(Calculator!E23,tbSkills!DH3:DJ6,3,FALSE),0),0))&gt;=100,100,(Backdoors!AI12+IF(DC96&gt;=0.45,VLOOKUP(Calculator!E23,tbSkills!DH3:DI6,2,FALSE)+IF(AND(Calculator!B8=TRUE,Backdoors!BI18=TRUE),VLOOKUP(Calculator!E23,tbSkills!DH3:DJ6,3,FALSE),0),0)))/100)),(1-(0.25*((-Backdoors!AI12-IF(DC96&gt;=0.45,VLOOKUP(Calculator!E23,tbSkills!DH3:DI6,2,FALSE)+IF(AND(Calculator!B8=TRUE,Backdoors!BI18=TRUE),VLOOKUP(Calculator!E23,tbSkills!DH3:DJ6,3,FALSE),0),0))/100)))),1),"")</f>
        <v>1</v>
      </c>
      <c r="DF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C96)*DE96)*(VLOOKUP(A96,tbMoveset!A2:C112,3,FALSE)/100)*IF(VLOOKUP(A96,tbMoveset!A2:B112,2,FALSE)="Projectile",Backdoors!N10,Backdoors!N9),0),"")</f>
        <v/>
      </c>
      <c r="DG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C96&gt;=0.45,VLOOKUP(Calculator!E23,tbSkills!DH3:DI6,2,FALSE)+IF(AND(Calculator!B8=TRUE,Backdoors!BI18=TRUE),VLOOKUP(Calculator!E23,tbSkills!DH3:DJ6,3,FALSE),0),0))&gt;=100,100,(Backdoors!AI12+IF(DC96&gt;=0.45,VLOOKUP(Calculator!E23,tbSkills!DH3:DI6,2,FALSE)+IF(AND(Calculator!B8=TRUE,Backdoors!BI18=TRUE),VLOOKUP(Calculator!E23,tbSkills!DH3:DJ6,3,FALSE),0),0)))/100)),1))*IF(VLOOKUP(A96,tbMoveset!A2:K112,11,FALSE)=TRUE,Backdoors!AC5,1))*DD96,0),"")</f>
        <v>0</v>
      </c>
      <c r="DH96" s="49">
        <f>VLOOKUP(A96,tbMoveset!A2:G112,7,FALSE)*IFERROR(IF(Backdoors!AI12&gt;=0,1+(IF(Calculator!E40&gt;0,VLOOKUP(Calculator!E40,tbSkills!AI3:AJ5,2,FALSE),Backdoors!AL4)*(IF((Backdoors!AI12+IF(DC96&gt;=0.45,VLOOKUP(Calculator!E23,tbSkills!DH3:DI6,2,FALSE)+IF(AND(Calculator!B8=TRUE,Backdoors!BI18=TRUE),VLOOKUP(Calculator!E23,tbSkills!DH3:DJ6,3,FALSE),0),0))&gt;=100,100,(Backdoors!AI12+IF(DC96&gt;=0.45,VLOOKUP(Calculator!E23,tbSkills!DH3:DI6,2,FALSE)+IF(AND(Calculator!B8=TRUE,Backdoors!BI18=TRUE),VLOOKUP(Calculator!E23,tbSkills!DH3:DJ6,3,FALSE),0),0)))/100)),1),1)</f>
        <v>0.7</v>
      </c>
      <c r="DI96" s="87">
        <f t="shared" si="66"/>
        <v>0</v>
      </c>
      <c r="DJ96" s="86" t="str">
        <f>IFERROR(IF(VLOOKUP(A96,tbMoveset!A2:B112,2,FALSE)="Sever",Backdoors!AY19/100,IF(VLOOKUP(A96,tbMoveset!A2:B112,2,FALSE)="Blunt",Backdoors!AZ19/100,Backdoors!BA19/100)),"")</f>
        <v/>
      </c>
      <c r="DK96" s="49">
        <f>IFERROR(IF(VLOOKUP(tbMoveset!A96,tbMoveset!A2:H112,8,FALSE)="Other",IF(VLOOKUP(tbMoveset!A96,tbMoveset!A2:I112,9,FALSE)="Fire",Backdoors!BB19,IF(VLOOKUP(tbMoveset!A96,tbMoveset!A2:I112,9,FALSE)="Water",Backdoors!BC19,IF(VLOOKUP(tbMoveset!A96,tbMoveset!A2:I112,9,FALSE)="Thunder",Backdoors!BD19,IF(VLOOKUP(tbMoveset!A96,tbMoveset!A2:I112,9,FALSE)="Ice",Backdoors!BE19,IF(VLOOKUP(tbMoveset!A96,tbMoveset!A2:I112,9,FALSE)="Dragon",Backdoors!BF19,Backdoors!BG19)))))/100,Backdoors!BG19/100),"")</f>
        <v>0</v>
      </c>
      <c r="DL96" s="49">
        <f>IFERROR(IF(VLOOKUP(A96,tbMoveset!A2:J112,10,FALSE)=TRUE,IF((Backdoors!AI12+IF(DJ96&gt;=0.45,VLOOKUP(Calculator!E23,tbSkills!DH3:DI6,2,FALSE)+IF(AND(Calculator!B8=TRUE,Backdoors!BI19=TRUE),VLOOKUP(Calculator!E23,tbSkills!DH3:DJ6,3,FALSE),0),0))&gt;=0,1+(Backdoors!AL2*(IF((Backdoors!AI12+IF(DJ96&gt;=0.45,VLOOKUP(Calculator!E23,tbSkills!DH3:DI6,2,FALSE)+IF(AND(Calculator!B8=TRUE,Backdoors!BI19=TRUE),VLOOKUP(Calculator!E23,tbSkills!DH3:DJ6,3,FALSE),0),0))&gt;=100,100,(Backdoors!AI12+IF(DJ96&gt;=0.45,VLOOKUP(Calculator!E23,tbSkills!DH3:DI6,2,FALSE)+IF(AND(Calculator!B8=TRUE,Backdoors!BI19=TRUE),VLOOKUP(Calculator!E23,tbSkills!DH3:DJ6,3,FALSE),0),0)))/100)),(1-(0.25*((-Backdoors!AI12-IF(DJ96&gt;=0.45,VLOOKUP(Calculator!E23,tbSkills!DH3:DI6,2,FALSE)+IF(AND(Calculator!B8=TRUE,Backdoors!BI19=TRUE),VLOOKUP(Calculator!E23,tbSkills!DH3:DJ6,3,FALSE),0),0))/100)))),1),"")</f>
        <v>1</v>
      </c>
      <c r="DM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J96)*DL96)*(VLOOKUP(A96,tbMoveset!A2:C112,3,FALSE)/100)*IF(VLOOKUP(A96,tbMoveset!A2:B112,2,FALSE)="Projectile",Backdoors!N10,Backdoors!N9),0),"")</f>
        <v/>
      </c>
      <c r="DN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J96&gt;=0.45,VLOOKUP(Calculator!E23,tbSkills!DH3:DI6,2,FALSE)+IF(AND(Calculator!B8=TRUE,Backdoors!BI19=TRUE),VLOOKUP(Calculator!E23,tbSkills!DH3:DJ6,3,FALSE),0),0))&gt;=100,100,(Backdoors!AI12+IF(DJ96&gt;=0.45,VLOOKUP(Calculator!E23,tbSkills!DH3:DI6,2,FALSE)+IF(AND(Calculator!B8=TRUE,Backdoors!BI19=TRUE),VLOOKUP(Calculator!E23,tbSkills!DH3:DJ6,3,FALSE),0),0)))/100)),1))*IF(VLOOKUP(A96,tbMoveset!A2:K112,11,FALSE)=TRUE,Backdoors!AC5,1))*DK96,0),"")</f>
        <v>0</v>
      </c>
      <c r="DO96" s="49">
        <f>VLOOKUP(A96,tbMoveset!A2:G112,7,FALSE)*IFERROR(IF(Backdoors!AI12&gt;=0,1+(IF(Calculator!E40&gt;0,VLOOKUP(Calculator!E40,tbSkills!AI3:AJ5,2,FALSE),Backdoors!AL4)*(IF((Backdoors!AI12+IF(DJ96&gt;=0.45,VLOOKUP(Calculator!E23,tbSkills!DH3:DI6,2,FALSE)+IF(AND(Calculator!B8=TRUE,Backdoors!BI19=TRUE),VLOOKUP(Calculator!E23,tbSkills!DH3:DJ6,3,FALSE),0),0))&gt;=100,100,(Backdoors!AI12+IF(DJ96&gt;=0.45,VLOOKUP(Calculator!E23,tbSkills!DH3:DI6,2,FALSE)+IF(AND(Calculator!B8=TRUE,Backdoors!BI19=TRUE),VLOOKUP(Calculator!E23,tbSkills!DH3:DJ6,3,FALSE),0),0)))/100)),1),1)</f>
        <v>0.7</v>
      </c>
      <c r="DP96" s="87">
        <f t="shared" si="67"/>
        <v>0</v>
      </c>
      <c r="DQ96" s="86" t="str">
        <f>IFERROR(IF(VLOOKUP(A96,tbMoveset!A2:B112,2,FALSE)="Sever",Backdoors!AY20/100,IF(VLOOKUP(A96,tbMoveset!A2:B112,2,FALSE)="Blunt",Backdoors!AZ20/100,Backdoors!BA20/100)),"")</f>
        <v/>
      </c>
      <c r="DR96" s="49">
        <f>IFERROR(IF(VLOOKUP(tbMoveset!A96,tbMoveset!A2:H112,8,FALSE)="Other",IF(VLOOKUP(tbMoveset!A96,tbMoveset!A2:I112,9,FALSE)="Fire",Backdoors!BB20,IF(VLOOKUP(tbMoveset!A96,tbMoveset!A2:I112,9,FALSE)="Water",Backdoors!BC20,IF(VLOOKUP(tbMoveset!A96,tbMoveset!A2:I112,9,FALSE)="Thunder",Backdoors!BD20,IF(VLOOKUP(tbMoveset!A96,tbMoveset!A2:I112,9,FALSE)="Ice",Backdoors!BE20,IF(VLOOKUP(tbMoveset!A96,tbMoveset!A2:I112,9,FALSE)="Dragon",Backdoors!BF20,Backdoors!BG20)))))/100,Backdoors!BG20/100),"")</f>
        <v>0</v>
      </c>
      <c r="DS96" s="49">
        <f>IFERROR(IF(VLOOKUP(A96,tbMoveset!A2:J112,10,FALSE)=TRUE,IF((Backdoors!AI12+IF(DQ96&gt;=0.45,VLOOKUP(Calculator!E23,tbSkills!DH3:DI6,2,FALSE)+IF(AND(Calculator!B8=TRUE,Backdoors!BI20=TRUE),VLOOKUP(Calculator!E23,tbSkills!DH3:DJ6,3,FALSE),0),0))&gt;=0,1+(Backdoors!AL2*(IF((Backdoors!AI12+IF(DQ96&gt;=0.45,VLOOKUP(Calculator!E23,tbSkills!DH3:DI6,2,FALSE)+IF(AND(Calculator!B8=TRUE,Backdoors!BI20=TRUE),VLOOKUP(Calculator!E23,tbSkills!DH3:DJ6,3,FALSE),0),0))&gt;=100,100,(Backdoors!AI12+IF(DQ96&gt;=0.45,VLOOKUP(Calculator!E23,tbSkills!DH3:DI6,2,FALSE)+IF(AND(Calculator!B8=TRUE,Backdoors!BI20=TRUE),VLOOKUP(Calculator!E23,tbSkills!DH3:DJ6,3,FALSE),0),0)))/100)),(1-(0.25*((-Backdoors!AI12-IF(DQ96&gt;=0.45,VLOOKUP(Calculator!E23,tbSkills!DH3:DI6,2,FALSE)+IF(AND(Calculator!B8=TRUE,Backdoors!BI20=TRUE),VLOOKUP(Calculator!E23,tbSkills!DH3:DJ6,3,FALSE),0),0))/100)))),1),"")</f>
        <v>1</v>
      </c>
      <c r="DT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Q96)*DS96)*(VLOOKUP(A96,tbMoveset!A2:C112,3,FALSE)/100)*IF(VLOOKUP(A96,tbMoveset!A2:B112,2,FALSE)="Projectile",Backdoors!N10,Backdoors!N9),0),"")</f>
        <v/>
      </c>
      <c r="DU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Q96&gt;=0.45,VLOOKUP(Calculator!E23,tbSkills!DH3:DI6,2,FALSE)+IF(AND(Calculator!B8=TRUE,Backdoors!BI20=TRUE),VLOOKUP(Calculator!E23,tbSkills!DH3:DJ6,3,FALSE),0),0))&gt;=100,100,(Backdoors!AI12+IF(DQ96&gt;=0.45,VLOOKUP(Calculator!E23,tbSkills!DH3:DI6,2,FALSE)+IF(AND(Calculator!B8=TRUE,Backdoors!BI20=TRUE),VLOOKUP(Calculator!E23,tbSkills!DH3:DJ6,3,FALSE),0),0)))/100)),1))*IF(VLOOKUP(A96,tbMoveset!A2:K112,11,FALSE)=TRUE,Backdoors!AC5,1))*DR96,0),"")</f>
        <v>0</v>
      </c>
      <c r="DV96" s="49">
        <f>VLOOKUP(A96,tbMoveset!A2:G112,7,FALSE)*IFERROR(IF(Backdoors!AI12&gt;=0,1+(IF(Calculator!E40&gt;0,VLOOKUP(Calculator!E40,tbSkills!AI3:AJ5,2,FALSE),Backdoors!AL4)*(IF((Backdoors!AI12+IF(DQ96&gt;=0.45,VLOOKUP(Calculator!E23,tbSkills!DH3:DI6,2,FALSE)+IF(AND(Calculator!B8=TRUE,Backdoors!BI20=TRUE),VLOOKUP(Calculator!E23,tbSkills!DH3:DJ6,3,FALSE),0),0))&gt;=100,100,(Backdoors!AI12+IF(DQ96&gt;=0.45,VLOOKUP(Calculator!E23,tbSkills!DH3:DI6,2,FALSE)+IF(AND(Calculator!B8=TRUE,Backdoors!BI20=TRUE),VLOOKUP(Calculator!E23,tbSkills!DH3:DJ6,3,FALSE),0),0)))/100)),1),1)</f>
        <v>0.7</v>
      </c>
      <c r="DW96" s="87">
        <f t="shared" si="68"/>
        <v>0</v>
      </c>
      <c r="DX96" s="86" t="str">
        <f>IFERROR(IF(VLOOKUP(A96,tbMoveset!A2:B112,2,FALSE)="Sever",Backdoors!AY21/100,IF(VLOOKUP(A96,tbMoveset!A2:B112,2,FALSE)="Blunt",Backdoors!AZ21/100,Backdoors!BA21/100)),"")</f>
        <v/>
      </c>
      <c r="DY96" s="49">
        <f>IFERROR(IF(VLOOKUP(tbMoveset!A96,tbMoveset!A2:H112,8,FALSE)="Other",IF(VLOOKUP(tbMoveset!A96,tbMoveset!A2:I112,9,FALSE)="Fire",Backdoors!BB21,IF(VLOOKUP(tbMoveset!A96,tbMoveset!A2:I112,9,FALSE)="Water",Backdoors!BC21,IF(VLOOKUP(tbMoveset!A96,tbMoveset!A2:I112,9,FALSE)="Thunder",Backdoors!BD21,IF(VLOOKUP(tbMoveset!A96,tbMoveset!A2:I112,9,FALSE)="Ice",Backdoors!BE21,IF(VLOOKUP(tbMoveset!A96,tbMoveset!A2:I112,9,FALSE)="Dragon",Backdoors!BF21,Backdoors!BG21)))))/100,Backdoors!BG21/100),"")</f>
        <v>0</v>
      </c>
      <c r="DZ96" s="49">
        <f>IFERROR(IF(VLOOKUP(A96,tbMoveset!A2:J112,10,FALSE)=TRUE,IF((Backdoors!AI12+IF(DX96&gt;=0.45,VLOOKUP(Calculator!E23,tbSkills!DH3:DI6,2,FALSE)+IF(AND(Calculator!B8=TRUE,Backdoors!BI21=TRUE),VLOOKUP(Calculator!E23,tbSkills!DH3:DJ6,3,FALSE),0),0))&gt;=0,1+(Backdoors!AL2*(IF((Backdoors!AI12+IF(DX96&gt;=0.45,VLOOKUP(Calculator!E23,tbSkills!DH3:DI6,2,FALSE)+IF(AND(Calculator!B8=TRUE,Backdoors!BI21=TRUE),VLOOKUP(Calculator!E23,tbSkills!DH3:DJ6,3,FALSE),0),0))&gt;=100,100,(Backdoors!AI12+IF(DX96&gt;=0.45,VLOOKUP(Calculator!E23,tbSkills!DH3:DI6,2,FALSE)+IF(AND(Calculator!B8=TRUE,Backdoors!BI21=TRUE),VLOOKUP(Calculator!E23,tbSkills!DH3:DJ6,3,FALSE),0),0)))/100)),(1-(0.25*((-Backdoors!AI12-IF(DX96&gt;=0.45,VLOOKUP(Calculator!E23,tbSkills!DH3:DI6,2,FALSE)+IF(AND(Calculator!B8=TRUE,Backdoors!BI21=TRUE),VLOOKUP(Calculator!E23,tbSkills!DH3:DJ6,3,FALSE),0),0))/100)))),1),"")</f>
        <v>1</v>
      </c>
      <c r="EA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X96)*DZ96)*(VLOOKUP(A96,tbMoveset!A2:C112,3,FALSE)/100)*IF(VLOOKUP(A96,tbMoveset!A2:B112,2,FALSE)="Projectile",Backdoors!N10,Backdoors!N9),0),"")</f>
        <v/>
      </c>
      <c r="EB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X96&gt;=0.45,VLOOKUP(Calculator!E23,tbSkills!DH3:DI6,2,FALSE)+IF(AND(Calculator!B8=TRUE,Backdoors!BI21=TRUE),VLOOKUP(Calculator!E23,tbSkills!DH3:DJ6,3,FALSE),0),0))&gt;=100,100,(Backdoors!AI12+IF(DX96&gt;=0.45,VLOOKUP(Calculator!E23,tbSkills!DH3:DI6,2,FALSE)+IF(AND(Calculator!B8=TRUE,Backdoors!BI21=TRUE),VLOOKUP(Calculator!E23,tbSkills!DH3:DJ6,3,FALSE),0),0)))/100)),1))*IF(VLOOKUP(A96,tbMoveset!A2:K112,11,FALSE)=TRUE,Backdoors!AC5,1))*DY96,0),"")</f>
        <v>0</v>
      </c>
      <c r="EC96" s="49">
        <f>VLOOKUP(A96,tbMoveset!A2:G112,7,FALSE)*IFERROR(IF(Backdoors!AI12&gt;=0,1+(IF(Calculator!E40&gt;0,VLOOKUP(Calculator!E40,tbSkills!AI3:AJ5,2,FALSE),Backdoors!AL4)*(IF((Backdoors!AI12+IF(DX96&gt;=0.45,VLOOKUP(Calculator!E23,tbSkills!DH3:DI6,2,FALSE)+IF(AND(Calculator!B8=TRUE,Backdoors!BI21=TRUE),VLOOKUP(Calculator!E23,tbSkills!DH3:DJ6,3,FALSE),0),0))&gt;=100,100,(Backdoors!AI12+IF(DX96&gt;=0.45,VLOOKUP(Calculator!E23,tbSkills!DH3:DI6,2,FALSE)+IF(AND(Calculator!B8=TRUE,Backdoors!BI21=TRUE),VLOOKUP(Calculator!E23,tbSkills!DH3:DJ6,3,FALSE),0),0)))/100)),1),1)</f>
        <v>0.7</v>
      </c>
      <c r="ED96" s="87">
        <f t="shared" si="69"/>
        <v>0</v>
      </c>
      <c r="EE96" s="86" t="str">
        <f>IFERROR(IF(VLOOKUP(A96,tbMoveset!A2:B112,2,FALSE)="Sever",Backdoors!AY22/100,IF(VLOOKUP(A96,tbMoveset!A2:B112,2,FALSE)="Blunt",Backdoors!AZ22/100,Backdoors!BA22/100)),"")</f>
        <v/>
      </c>
      <c r="EF96" s="49">
        <f>IFERROR(IF(VLOOKUP(tbMoveset!A96,tbMoveset!A2:H112,8,FALSE)="Other",IF(VLOOKUP(tbMoveset!A96,tbMoveset!A2:I112,9,FALSE)="Fire",Backdoors!BB22,IF(VLOOKUP(tbMoveset!A96,tbMoveset!A2:I112,9,FALSE)="Water",Backdoors!BC22,IF(VLOOKUP(tbMoveset!A96,tbMoveset!A2:I112,9,FALSE)="Thunder",Backdoors!BD22,IF(VLOOKUP(tbMoveset!A96,tbMoveset!A2:I112,9,FALSE)="Ice",Backdoors!BE22,IF(VLOOKUP(tbMoveset!A96,tbMoveset!A2:I112,9,FALSE)="Dragon",Backdoors!BF22,Backdoors!BG22)))))/100,Backdoors!BG22/100),"")</f>
        <v>0</v>
      </c>
      <c r="EG96" s="49">
        <f>IFERROR(IF(VLOOKUP(A96,tbMoveset!A2:J112,10,FALSE)=TRUE,IF((Backdoors!AI12+IF(EE96&gt;=0.45,VLOOKUP(Calculator!E23,tbSkills!DH3:DI6,2,FALSE)+IF(AND(Calculator!B8=TRUE,Backdoors!BI22=TRUE),VLOOKUP(Calculator!E23,tbSkills!DH3:DJ6,3,FALSE),0),0))&gt;=0,1+(Backdoors!AL2*(IF((Backdoors!AI12+IF(EE96&gt;=0.45,VLOOKUP(Calculator!E23,tbSkills!DH3:DI6,2,FALSE)+IF(AND(Calculator!B8=TRUE,Backdoors!BI22=TRUE),VLOOKUP(Calculator!E23,tbSkills!DH3:DJ6,3,FALSE),0),0))&gt;=100,100,(Backdoors!AI12+IF(EE96&gt;=0.45,VLOOKUP(Calculator!E23,tbSkills!DH3:DI6,2,FALSE)+IF(AND(Calculator!B8=TRUE,Backdoors!BI22=TRUE),VLOOKUP(Calculator!E23,tbSkills!DH3:DJ6,3,FALSE),0),0)))/100)),(1-(0.25*((-Backdoors!AI12-IF(EE96&gt;=0.45,VLOOKUP(Calculator!E23,tbSkills!DH3:DI6,2,FALSE)+IF(AND(Calculator!B8=TRUE,Backdoors!BI22=TRUE),VLOOKUP(Calculator!E23,tbSkills!DH3:DJ6,3,FALSE),0),0))/100)))),1),"")</f>
        <v>1</v>
      </c>
      <c r="EH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E96)*EG96)*(VLOOKUP(A96,tbMoveset!A2:C112,3,FALSE)/100)*IF(VLOOKUP(A96,tbMoveset!A2:B112,2,FALSE)="Projectile",Backdoors!N10,Backdoors!N9),0),"")</f>
        <v/>
      </c>
      <c r="EI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E96&gt;=0.45,VLOOKUP(Calculator!E23,tbSkills!DH3:DI6,2,FALSE)+IF(AND(Calculator!B8=TRUE,Backdoors!BI22=TRUE),VLOOKUP(Calculator!E23,tbSkills!DH3:DJ6,3,FALSE),0),0))&gt;=100,100,(Backdoors!AI12+IF(EE96&gt;=0.45,VLOOKUP(Calculator!E23,tbSkills!DH3:DI6,2,FALSE)+IF(AND(Calculator!B8=TRUE,Backdoors!BI22=TRUE),VLOOKUP(Calculator!E23,tbSkills!DH3:DJ6,3,FALSE),0),0)))/100)),1))*IF(VLOOKUP(A96,tbMoveset!A2:K112,11,FALSE)=TRUE,Backdoors!AC5,1))*EF96,0),"")</f>
        <v>0</v>
      </c>
      <c r="EJ96" s="49">
        <f>VLOOKUP(A96,tbMoveset!A2:G112,7,FALSE)*IFERROR(IF(Backdoors!AI12&gt;=0,1+(IF(Calculator!E40&gt;0,VLOOKUP(Calculator!E40,tbSkills!AI3:AJ5,2,FALSE),Backdoors!AL4)*(IF((Backdoors!AI12+IF(EE96&gt;=0.45,VLOOKUP(Calculator!E23,tbSkills!DH3:DI6,2,FALSE)+IF(AND(Calculator!B8=TRUE,Backdoors!BI22=TRUE),VLOOKUP(Calculator!E23,tbSkills!DH3:DJ6,3,FALSE),0),0))&gt;=100,100,(Backdoors!AI12+IF(EE96&gt;=0.45,VLOOKUP(Calculator!E23,tbSkills!DH3:DI6,2,FALSE)+IF(AND(Calculator!B8=TRUE,Backdoors!BI22=TRUE),VLOOKUP(Calculator!E23,tbSkills!DH3:DJ6,3,FALSE),0),0)))/100)),1),1)</f>
        <v>0.7</v>
      </c>
      <c r="EK96" s="87">
        <f t="shared" si="70"/>
        <v>0</v>
      </c>
      <c r="EL96" s="86" t="str">
        <f>IFERROR(IF(VLOOKUP(A96,tbMoveset!A2:B112,2,FALSE)="Sever",Backdoors!AY23/100,IF(VLOOKUP(A96,tbMoveset!A2:B112,2,FALSE)="Blunt",Backdoors!AZ23/100,Backdoors!BA23/100)),"")</f>
        <v/>
      </c>
      <c r="EM96" s="49">
        <f>IFERROR(IF(VLOOKUP(tbMoveset!A96,tbMoveset!A2:H112,8,FALSE)="Other",IF(VLOOKUP(tbMoveset!A96,tbMoveset!A2:I112,9,FALSE)="Fire",Backdoors!BB23,IF(VLOOKUP(tbMoveset!A96,tbMoveset!A2:I112,9,FALSE)="Water",Backdoors!BC23,IF(VLOOKUP(tbMoveset!A96,tbMoveset!A2:I112,9,FALSE)="Thunder",Backdoors!BD23,IF(VLOOKUP(tbMoveset!A96,tbMoveset!A2:I112,9,FALSE)="Ice",Backdoors!BE23,IF(VLOOKUP(tbMoveset!A96,tbMoveset!A2:I112,9,FALSE)="Dragon",Backdoors!BF23,Backdoors!BG23)))))/100,Backdoors!BG23/100),"")</f>
        <v>0</v>
      </c>
      <c r="EN96" s="49">
        <f>IFERROR(IF(VLOOKUP(A96,tbMoveset!A2:J112,10,FALSE)=TRUE,IF((Backdoors!AI12+IF(EL96&gt;=0.45,VLOOKUP(Calculator!E23,tbSkills!DH3:DI6,2,FALSE)+IF(AND(Calculator!B8=TRUE,Backdoors!BI23=TRUE),VLOOKUP(Calculator!E23,tbSkills!DH3:DJ6,3,FALSE),0),0))&gt;=0,1+(Backdoors!AL2*(IF((Backdoors!AI12+IF(EL96&gt;=0.45,VLOOKUP(Calculator!E23,tbSkills!DH3:DI6,2,FALSE)+IF(AND(Calculator!B8=TRUE,Backdoors!BI23=TRUE),VLOOKUP(Calculator!E23,tbSkills!DH3:DJ6,3,FALSE),0),0))&gt;=100,100,(Backdoors!AI12+IF(EL96&gt;=0.45,VLOOKUP(Calculator!E23,tbSkills!DH3:DI6,2,FALSE)+IF(AND(Calculator!B8=TRUE,Backdoors!BI23=TRUE),VLOOKUP(Calculator!E23,tbSkills!DH3:DJ6,3,FALSE),0),0)))/100)),(1-(0.25*((-Backdoors!AI12-IF(EL96&gt;=0.45,VLOOKUP(Calculator!E23,tbSkills!DH3:DI6,2,FALSE)+IF(AND(Calculator!B8=TRUE,Backdoors!BI23=TRUE),VLOOKUP(Calculator!E23,tbSkills!DH3:DJ6,3,FALSE),0),0))/100)))),1),"")</f>
        <v>1</v>
      </c>
      <c r="EO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L96)*EN96)*(VLOOKUP(A96,tbMoveset!A2:C112,3,FALSE)/100)*IF(VLOOKUP(A96,tbMoveset!A2:B112,2,FALSE)="Projectile",Backdoors!N10,Backdoors!N9),0),"")</f>
        <v/>
      </c>
      <c r="EP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L96&gt;=0.45,VLOOKUP(Calculator!E23,tbSkills!DH3:DI6,2,FALSE)+IF(AND(Calculator!B8=TRUE,Backdoors!BI23=TRUE),VLOOKUP(Calculator!E23,tbSkills!DH3:DJ6,3,FALSE),0),0))&gt;=100,100,(Backdoors!AI12+IF(EL96&gt;=0.45,VLOOKUP(Calculator!E23,tbSkills!DH3:DI6,2,FALSE)+IF(AND(Calculator!B8=TRUE,Backdoors!BI23=TRUE),VLOOKUP(Calculator!E23,tbSkills!DH3:DJ6,3,FALSE),0),0)))/100)),1))*IF(VLOOKUP(A96,tbMoveset!A2:K112,11,FALSE)=TRUE,Backdoors!AC5,1))*EM96,0),"")</f>
        <v>0</v>
      </c>
      <c r="EQ96" s="49">
        <f>VLOOKUP(A96,tbMoveset!A2:G112,7,FALSE)*IFERROR(IF(Backdoors!AI12&gt;=0,1+(IF(Calculator!E40&gt;0,VLOOKUP(Calculator!E40,tbSkills!AI3:AJ5,2,FALSE),Backdoors!AL4)*(IF((Backdoors!AI12+IF(EL96&gt;=0.45,VLOOKUP(Calculator!E23,tbSkills!DH3:DI6,2,FALSE)+IF(AND(Calculator!B8=TRUE,Backdoors!BI23=TRUE),VLOOKUP(Calculator!E23,tbSkills!DH3:DJ6,3,FALSE),0),0))&gt;=100,100,(Backdoors!AI12+IF(EL96&gt;=0.45,VLOOKUP(Calculator!E23,tbSkills!DH3:DI6,2,FALSE)+IF(AND(Calculator!B8=TRUE,Backdoors!BI23=TRUE),VLOOKUP(Calculator!E23,tbSkills!DH3:DJ6,3,FALSE),0),0)))/100)),1),1)</f>
        <v>0.7</v>
      </c>
      <c r="ER96" s="87">
        <f t="shared" si="71"/>
        <v>0</v>
      </c>
      <c r="ES96" s="86" t="str">
        <f>IFERROR(IF(VLOOKUP(A96,tbMoveset!A2:B112,2,FALSE)="Sever",Backdoors!AY24/100,IF(VLOOKUP(A96,tbMoveset!A2:B112,2,FALSE)="Blunt",Backdoors!AZ24/100,Backdoors!BA24/100)),"")</f>
        <v/>
      </c>
      <c r="ET96" s="49">
        <f>IFERROR(IF(VLOOKUP(tbMoveset!A96,tbMoveset!A2:H112,8,FALSE)="Other",IF(VLOOKUP(tbMoveset!A96,tbMoveset!A2:I112,9,FALSE)="Fire",Backdoors!BB24,IF(VLOOKUP(tbMoveset!A96,tbMoveset!A2:I112,9,FALSE)="Water",Backdoors!BC24,IF(VLOOKUP(tbMoveset!A96,tbMoveset!A2:I112,9,FALSE)="Thunder",Backdoors!BD24,IF(VLOOKUP(tbMoveset!A96,tbMoveset!A2:I112,9,FALSE)="Ice",Backdoors!BE24,IF(VLOOKUP(tbMoveset!A96,tbMoveset!A2:I112,9,FALSE)="Dragon",Backdoors!BF24,Backdoors!BG24)))))/100,Backdoors!BG24/100),"")</f>
        <v>0</v>
      </c>
      <c r="EU96" s="49">
        <f>IFERROR(IF(VLOOKUP(A96,tbMoveset!A2:J112,10,FALSE)=TRUE,IF((Backdoors!AI12+IF(ES96&gt;=0.45,VLOOKUP(Calculator!E23,tbSkills!DH3:DI6,2,FALSE)+IF(AND(Calculator!B8=TRUE,Backdoors!BI24=TRUE),VLOOKUP(Calculator!E23,tbSkills!DH3:DJ6,3,FALSE),0),0))&gt;=0,1+(Backdoors!AL2*(IF((Backdoors!AI12+IF(ES96&gt;=0.45,VLOOKUP(Calculator!E23,tbSkills!DH3:DI6,2,FALSE)+IF(AND(Calculator!B8=TRUE,Backdoors!BI24=TRUE),VLOOKUP(Calculator!E23,tbSkills!DH3:DJ6,3,FALSE),0),0))&gt;=100,100,(Backdoors!AI12+IF(ES96&gt;=0.45,VLOOKUP(Calculator!E23,tbSkills!DH3:DI6,2,FALSE)+IF(AND(Calculator!B8=TRUE,Backdoors!BI24=TRUE),VLOOKUP(Calculator!E23,tbSkills!DH3:DJ6,3,FALSE),0),0)))/100)),(1-(0.25*((-Backdoors!AI12-IF(ES96&gt;=0.45,VLOOKUP(Calculator!E23,tbSkills!DH3:DI6,2,FALSE)+IF(AND(Calculator!B8=TRUE,Backdoors!BI24=TRUE),VLOOKUP(Calculator!E23,tbSkills!DH3:DJ6,3,FALSE),0),0))/100)))),1),"")</f>
        <v>1</v>
      </c>
      <c r="EV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S96)*EU96)*(VLOOKUP(A96,tbMoveset!A2:C112,3,FALSE)/100)*IF(VLOOKUP(A96,tbMoveset!A2:B112,2,FALSE)="Projectile",Backdoors!N10,Backdoors!N9),0),"")</f>
        <v/>
      </c>
      <c r="EW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S96&gt;=0.45,VLOOKUP(Calculator!E23,tbSkills!DH3:DI6,2,FALSE)+IF(AND(Calculator!B8=TRUE,Backdoors!BI24=TRUE),VLOOKUP(Calculator!E23,tbSkills!DH3:DJ6,3,FALSE),0),0))&gt;=100,100,(Backdoors!AI12+IF(ES96&gt;=0.45,VLOOKUP(Calculator!E23,tbSkills!DH3:DI6,2,FALSE)+IF(AND(Calculator!B8=TRUE,Backdoors!BI24=TRUE),VLOOKUP(Calculator!E23,tbSkills!DH3:DJ6,3,FALSE),0),0)))/100)),1))*IF(VLOOKUP(A96,tbMoveset!A2:K112,11,FALSE)=TRUE,Backdoors!AC5,1))*ET96,0),"")</f>
        <v>0</v>
      </c>
      <c r="EX96" s="49">
        <f>VLOOKUP(A96,tbMoveset!A2:G112,7,FALSE)*IFERROR(IF(Backdoors!AI12&gt;=0,1+(IF(Calculator!E40&gt;0,VLOOKUP(Calculator!E40,tbSkills!AI3:AJ5,2,FALSE),Backdoors!AL4)*(IF((Backdoors!AI12+IF(ES96&gt;=0.45,VLOOKUP(Calculator!E23,tbSkills!DH3:DI6,2,FALSE)+IF(AND(Calculator!B8=TRUE,Backdoors!BI24=TRUE),VLOOKUP(Calculator!E23,tbSkills!DH3:DJ6,3,FALSE),0),0))&gt;=100,100,(Backdoors!AI12+IF(ES96&gt;=0.45,VLOOKUP(Calculator!E23,tbSkills!DH3:DI6,2,FALSE)+IF(AND(Calculator!B8=TRUE,Backdoors!BI24=TRUE),VLOOKUP(Calculator!E23,tbSkills!DH3:DJ6,3,FALSE),0),0)))/100)),1),1)</f>
        <v>0.7</v>
      </c>
      <c r="EY96" s="87">
        <f t="shared" si="72"/>
        <v>0</v>
      </c>
      <c r="EZ96" s="86" t="str">
        <f>IFERROR(IF(VLOOKUP(A96,tbMoveset!A2:B112,2,FALSE)="Sever",Backdoors!AY25/100,IF(VLOOKUP(A96,tbMoveset!A2:B112,2,FALSE)="Blunt",Backdoors!AZ25/100,Backdoors!BA25/100)),"")</f>
        <v/>
      </c>
      <c r="FA96" s="49">
        <f>IFERROR(IF(VLOOKUP(tbMoveset!A96,tbMoveset!A2:H112,8,FALSE)="Other",IF(VLOOKUP(tbMoveset!A96,tbMoveset!A2:I112,9,FALSE)="Fire",Backdoors!BB25,IF(VLOOKUP(tbMoveset!A96,tbMoveset!A2:I112,9,FALSE)="Water",Backdoors!BC25,IF(VLOOKUP(tbMoveset!A96,tbMoveset!A2:I112,9,FALSE)="Thunder",Backdoors!BD25,IF(VLOOKUP(tbMoveset!A96,tbMoveset!A2:I112,9,FALSE)="Ice",Backdoors!BE25,IF(VLOOKUP(tbMoveset!A96,tbMoveset!A2:I112,9,FALSE)="Dragon",Backdoors!BF25,Backdoors!BG25)))))/100,Backdoors!BG25/100),"")</f>
        <v>0</v>
      </c>
      <c r="FB96" s="49">
        <f>IFERROR(IF(VLOOKUP(A96,tbMoveset!A2:J112,10,FALSE)=TRUE,IF((Backdoors!AI12+IF(EZ96&gt;=0.45,VLOOKUP(Calculator!E23,tbSkills!DH3:DI6,2,FALSE)+IF(AND(Calculator!B8=TRUE,Backdoors!BI25=TRUE),VLOOKUP(Calculator!E23,tbSkills!DH3:DJ6,3,FALSE),0),0))&gt;=0,1+(Backdoors!AL2*(IF((Backdoors!AI12+IF(EZ96&gt;=0.45,VLOOKUP(Calculator!E23,tbSkills!DH3:DI6,2,FALSE)+IF(AND(Calculator!B8=TRUE,Backdoors!BI25=TRUE),VLOOKUP(Calculator!E23,tbSkills!DH3:DJ6,3,FALSE),0),0))&gt;=100,100,(Backdoors!AI12+IF(EZ96&gt;=0.45,VLOOKUP(Calculator!E23,tbSkills!DH3:DI6,2,FALSE)+IF(AND(Calculator!B8=TRUE,Backdoors!BI25=TRUE),VLOOKUP(Calculator!E23,tbSkills!DH3:DJ6,3,FALSE),0),0)))/100)),(1-(0.25*((-Backdoors!AI12-IF(EZ96&gt;=0.45,VLOOKUP(Calculator!E23,tbSkills!DH3:DI6,2,FALSE)+IF(AND(Calculator!B8=TRUE,Backdoors!BI25=TRUE),VLOOKUP(Calculator!E23,tbSkills!DH3:DJ6,3,FALSE),0),0))/100)))),1),"")</f>
        <v>1</v>
      </c>
      <c r="FC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Z96)*FB96)*(VLOOKUP(A96,tbMoveset!A2:C112,3,FALSE)/100)*IF(VLOOKUP(A96,tbMoveset!A2:B112,2,FALSE)="Projectile",Backdoors!N10,Backdoors!N9),0),"")</f>
        <v/>
      </c>
      <c r="FD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Z96&gt;=0.45,VLOOKUP(Calculator!E23,tbSkills!DH3:DI6,2,FALSE)+IF(AND(Calculator!B8=TRUE,Backdoors!BI25=TRUE),VLOOKUP(Calculator!E23,tbSkills!DH3:DJ6,3,FALSE),0),0))&gt;=100,100,(Backdoors!AI12+IF(EZ96&gt;=0.45,VLOOKUP(Calculator!E23,tbSkills!DH3:DI6,2,FALSE)+IF(AND(Calculator!B8=TRUE,Backdoors!BI25=TRUE),VLOOKUP(Calculator!E23,tbSkills!DH3:DJ6,3,FALSE),0),0)))/100)),1))*IF(VLOOKUP(A96,tbMoveset!A2:K112,11,FALSE)=TRUE,Backdoors!AC5,1))*FA96,0),"")</f>
        <v>0</v>
      </c>
      <c r="FE96" s="49">
        <f>VLOOKUP(A96,tbMoveset!A2:G112,7,FALSE)*IFERROR(IF(Backdoors!AI12&gt;=0,1+(IF(Calculator!E40&gt;0,VLOOKUP(Calculator!E40,tbSkills!AI3:AJ5,2,FALSE),Backdoors!AL4)*(IF((Backdoors!AI12+IF(EZ96&gt;=0.45,VLOOKUP(Calculator!E23,tbSkills!DH3:DI6,2,FALSE)+IF(AND(Calculator!B8=TRUE,Backdoors!BI25=TRUE),VLOOKUP(Calculator!E23,tbSkills!DH3:DJ6,3,FALSE),0),0))&gt;=100,100,(Backdoors!AI12+IF(EZ96&gt;=0.45,VLOOKUP(Calculator!E23,tbSkills!DH3:DI6,2,FALSE)+IF(AND(Calculator!B8=TRUE,Backdoors!BI25=TRUE),VLOOKUP(Calculator!E23,tbSkills!DH3:DJ6,3,FALSE),0),0)))/100)),1),1)</f>
        <v>0.7</v>
      </c>
      <c r="FF96" s="87">
        <f t="shared" si="73"/>
        <v>0</v>
      </c>
      <c r="FG96" s="86" t="str">
        <f>IFERROR(IF(VLOOKUP(A96,tbMoveset!A2:B112,2,FALSE)="Sever",Backdoors!AY26/100,IF(VLOOKUP(A96,tbMoveset!A2:B112,2,FALSE)="Blunt",Backdoors!AZ26/100,Backdoors!BA26/100)),"")</f>
        <v/>
      </c>
      <c r="FH96" s="49">
        <f>IFERROR(IF(VLOOKUP(tbMoveset!A96,tbMoveset!A2:H112,8,FALSE)="Other",IF(VLOOKUP(tbMoveset!A96,tbMoveset!A2:I112,9,FALSE)="Fire",Backdoors!BB26,IF(VLOOKUP(tbMoveset!A96,tbMoveset!A2:I112,9,FALSE)="Water",Backdoors!BC26,IF(VLOOKUP(tbMoveset!A96,tbMoveset!A2:I112,9,FALSE)="Thunder",Backdoors!BD26,IF(VLOOKUP(tbMoveset!A96,tbMoveset!A2:I112,9,FALSE)="Ice",Backdoors!BE26,IF(VLOOKUP(tbMoveset!A96,tbMoveset!A2:I112,9,FALSE)="Dragon",Backdoors!BF26,Backdoors!BG26)))))/100,Backdoors!BG26/100),"")</f>
        <v>0</v>
      </c>
      <c r="FI96" s="49">
        <f>IFERROR(IF(VLOOKUP(A96,tbMoveset!A2:J112,10,FALSE)=TRUE,IF((Backdoors!AI12+IF(FG96&gt;=0.45,VLOOKUP(Calculator!E23,tbSkills!DH3:DI6,2,FALSE)+IF(AND(Calculator!B8=TRUE,Backdoors!BI26=TRUE),VLOOKUP(Calculator!E23,tbSkills!DH3:DJ6,3,FALSE),0),0))&gt;=0,1+(Backdoors!AL2*(IF((Backdoors!AI12+IF(FG96&gt;=0.45,VLOOKUP(Calculator!E23,tbSkills!DH3:DI6,2,FALSE)+IF(AND(Calculator!B8=TRUE,Backdoors!BI26=TRUE),VLOOKUP(Calculator!E23,tbSkills!DH3:DJ6,3,FALSE),0),0))&gt;=100,100,(Backdoors!AI12+IF(FG96&gt;=0.45,VLOOKUP(Calculator!E23,tbSkills!DH3:DI6,2,FALSE)+IF(AND(Calculator!B8=TRUE,Backdoors!BI26=TRUE),VLOOKUP(Calculator!E23,tbSkills!DH3:DJ6,3,FALSE),0),0)))/100)),(1-(0.25*((-Backdoors!AI12-IF(FG96&gt;=0.45,VLOOKUP(Calculator!E23,tbSkills!DH3:DI6,2,FALSE)+IF(AND(Calculator!B8=TRUE,Backdoors!BI26=TRUE),VLOOKUP(Calculator!E23,tbSkills!DH3:DJ6,3,FALSE),0),0))/100)))),1),"")</f>
        <v>1</v>
      </c>
      <c r="FJ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FG96)*FI96)*(VLOOKUP(A96,tbMoveset!A2:C112,3,FALSE)/100)*IF(VLOOKUP(A96,tbMoveset!A2:B112,2,FALSE)="Projectile",Backdoors!N10,Backdoors!N9),0),"")</f>
        <v/>
      </c>
      <c r="FK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FG96&gt;=0.45,VLOOKUP(Calculator!E23,tbSkills!DH3:DI6,2,FALSE)+IF(AND(Calculator!B8=TRUE,Backdoors!BI26=TRUE),VLOOKUP(Calculator!E23,tbSkills!DH3:DJ6,3,FALSE),0),0))&gt;=100,100,(Backdoors!AI12+IF(FG96&gt;=0.45,VLOOKUP(Calculator!E23,tbSkills!DH3:DI6,2,FALSE)+IF(AND(Calculator!B8=TRUE,Backdoors!BI26=TRUE),VLOOKUP(Calculator!E23,tbSkills!DH3:DJ6,3,FALSE),0),0)))/100)),1))*IF(VLOOKUP(A96,tbMoveset!A2:K112,11,FALSE)=TRUE,Backdoors!AC5,1))*FH96,0),"")</f>
        <v>0</v>
      </c>
      <c r="FL96" s="49">
        <f>VLOOKUP(A96,tbMoveset!A2:G112,7,FALSE)*IFERROR(IF(Backdoors!AI12&gt;=0,1+(IF(Calculator!E40&gt;0,VLOOKUP(Calculator!E40,tbSkills!AI3:AJ5,2,FALSE),Backdoors!AL4)*(IF((Backdoors!AI12+IF(FG96&gt;=0.45,VLOOKUP(Calculator!E23,tbSkills!DH3:DI6,2,FALSE)+IF(AND(Calculator!B8=TRUE,Backdoors!BI26=TRUE),VLOOKUP(Calculator!E23,tbSkills!DH3:DJ6,3,FALSE),0),0))&gt;=100,100,(Backdoors!AI12+IF(FG96&gt;=0.45,VLOOKUP(Calculator!E23,tbSkills!DH3:DI6,2,FALSE)+IF(AND(Calculator!B8=TRUE,Backdoors!BI26=TRUE),VLOOKUP(Calculator!E23,tbSkills!DH3:DJ6,3,FALSE),0),0)))/100)),1),1)</f>
        <v>0.7</v>
      </c>
      <c r="FM96" s="87">
        <f t="shared" si="74"/>
        <v>0</v>
      </c>
      <c r="FN96" s="86" t="str">
        <f>IFERROR(IF(VLOOKUP(A96,tbMoveset!A2:B112,2,FALSE)="Sever",Backdoors!AY27/100,IF(VLOOKUP(A96,tbMoveset!A2:B112,2,FALSE)="Blunt",Backdoors!AZ27/100,Backdoors!BA27/100)),"")</f>
        <v/>
      </c>
      <c r="FO96" s="49">
        <f>IFERROR(IF(VLOOKUP(tbMoveset!A96,tbMoveset!A2:H112,8,FALSE)="Other",IF(VLOOKUP(tbMoveset!A96,tbMoveset!A2:I112,9,FALSE)="Fire",Backdoors!BB27,IF(VLOOKUP(tbMoveset!A96,tbMoveset!A2:I112,9,FALSE)="Water",Backdoors!BC27,IF(VLOOKUP(tbMoveset!A96,tbMoveset!A2:I112,9,FALSE)="Thunder",Backdoors!BD27,IF(VLOOKUP(tbMoveset!A96,tbMoveset!A2:I112,9,FALSE)="Ice",Backdoors!BE27,IF(VLOOKUP(tbMoveset!A96,tbMoveset!A2:I112,9,FALSE)="Dragon",Backdoors!BF27,Backdoors!BG27)))))/100,Backdoors!BG27/100),"")</f>
        <v>0</v>
      </c>
      <c r="FP96" s="49">
        <f>IFERROR(IF(VLOOKUP(A96,tbMoveset!A2:J112,10,FALSE)=TRUE,IF((Backdoors!AI12+IF(FN96&gt;=0.45,VLOOKUP(Calculator!E23,tbSkills!DH3:DI6,2,FALSE)+IF(AND(Calculator!B8=TRUE,Backdoors!BI27=TRUE),VLOOKUP(Calculator!E23,tbSkills!DH3:DJ6,3,FALSE),0),0))&gt;=0,1+(Backdoors!AL2*(IF((Backdoors!AI12+IF(FN96&gt;=0.45,VLOOKUP(Calculator!E23,tbSkills!DH3:DI6,2,FALSE)+IF(AND(Calculator!B8=TRUE,Backdoors!BI27=TRUE),VLOOKUP(Calculator!E23,tbSkills!DH3:DJ6,3,FALSE),0),0))&gt;=100,100,(Backdoors!AI12+IF(FN96&gt;=0.45,VLOOKUP(Calculator!E23,tbSkills!DH3:DI6,2,FALSE)+IF(AND(Calculator!B8=TRUE,Backdoors!BI27=TRUE),VLOOKUP(Calculator!E23,tbSkills!DH3:DJ6,3,FALSE),0),0)))/100)),(1-(0.25*((-Backdoors!AI12-IF(FN96&gt;=0.45,VLOOKUP(Calculator!E23,tbSkills!DH3:DI6,2,FALSE)+IF(AND(Calculator!B8=TRUE,Backdoors!BI27=TRUE),VLOOKUP(Calculator!E23,tbSkills!DH3:DJ6,3,FALSE),0),0))/100)))),1),"")</f>
        <v>1</v>
      </c>
      <c r="FQ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FN96)*FP96)*(VLOOKUP(A96,tbMoveset!A2:C112,3,FALSE)/100)*IF(VLOOKUP(A96,tbMoveset!A2:B112,2,FALSE)="Projectile",Backdoors!N10,Backdoors!N9),0),"")</f>
        <v/>
      </c>
      <c r="FR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FN96&gt;=0.45,VLOOKUP(Calculator!E23,tbSkills!DH3:DI6,2,FALSE)+IF(AND(Calculator!B8=TRUE,Backdoors!BI27=TRUE),VLOOKUP(Calculator!E23,tbSkills!DH3:DJ6,3,FALSE),0),0))&gt;=100,100,(Backdoors!AI12+IF(FN96&gt;=0.45,VLOOKUP(Calculator!E23,tbSkills!DH3:DI6,2,FALSE)+IF(AND(Calculator!B8=TRUE,Backdoors!BI27=TRUE),VLOOKUP(Calculator!E23,tbSkills!DH3:DJ6,3,FALSE),0),0)))/100)),1))*IF(VLOOKUP(A96,tbMoveset!A2:K112,11,FALSE)=TRUE,Backdoors!AC5,1))*FO96,0),"")</f>
        <v>0</v>
      </c>
      <c r="FS96" s="49">
        <f>VLOOKUP(A96,tbMoveset!A2:G112,7,FALSE)*IFERROR(IF(Backdoors!AI12&gt;=0,1+(IF(Calculator!E40&gt;0,VLOOKUP(Calculator!E40,tbSkills!AI3:AJ5,2,FALSE),Backdoors!AL4)*(IF((Backdoors!AI12+IF(FN96&gt;=0.45,VLOOKUP(Calculator!E23,tbSkills!DH3:DI6,2,FALSE)+IF(AND(Calculator!B8=TRUE,Backdoors!BI27=TRUE),VLOOKUP(Calculator!E23,tbSkills!DH3:DJ6,3,FALSE),0),0))&gt;=100,100,(Backdoors!AI12+IF(FN96&gt;=0.45,VLOOKUP(Calculator!E23,tbSkills!DH3:DI6,2,FALSE)+IF(AND(Calculator!B8=TRUE,Backdoors!BI27=TRUE),VLOOKUP(Calculator!E23,tbSkills!DH3:DJ6,3,FALSE),0),0)))/100)),1),1)</f>
        <v>0.7</v>
      </c>
      <c r="FT96" s="87">
        <f t="shared" si="75"/>
        <v>0</v>
      </c>
      <c r="FU96" s="86" t="str">
        <f>IFERROR(IF(VLOOKUP(A96,tbMoveset!A2:B112,2,FALSE)="Sever",Backdoors!AY28/100,IF(VLOOKUP(A96,tbMoveset!A2:B112,2,FALSE)="Blunt",Backdoors!AZ28/100,Backdoors!BA28/100)),"")</f>
        <v/>
      </c>
      <c r="FV96" s="49">
        <f>IFERROR(IF(VLOOKUP(tbMoveset!A96,tbMoveset!A2:H112,8,FALSE)="Other",IF(VLOOKUP(tbMoveset!A96,tbMoveset!A2:I112,9,FALSE)="Fire",Backdoors!BB28,IF(VLOOKUP(tbMoveset!A96,tbMoveset!A2:I112,9,FALSE)="Water",Backdoors!BC28,IF(VLOOKUP(tbMoveset!A96,tbMoveset!A2:I112,9,FALSE)="Thunder",Backdoors!BD28,IF(VLOOKUP(tbMoveset!A96,tbMoveset!A2:I112,9,FALSE)="Ice",Backdoors!BE28,IF(VLOOKUP(tbMoveset!A96,tbMoveset!A2:I112,9,FALSE)="Dragon",Backdoors!BF28,Backdoors!BG28)))))/100,Backdoors!BG28/100),"")</f>
        <v>0</v>
      </c>
      <c r="FW96" s="49">
        <f>IFERROR(IF(VLOOKUP(A96,tbMoveset!A2:J112,10,FALSE)=TRUE,IF((Backdoors!AI12+IF(FU96&gt;=0.45,VLOOKUP(Calculator!E23,tbSkills!DH3:DI6,2,FALSE)+IF(AND(Calculator!B8=TRUE,Backdoors!BI28=TRUE),VLOOKUP(Calculator!E23,tbSkills!DH3:DJ6,3,FALSE),0),0))&gt;=0,1+(Backdoors!AL2*(IF((Backdoors!AI12+IF(FU96&gt;=0.45,VLOOKUP(Calculator!E23,tbSkills!DH3:DI6,2,FALSE)+IF(AND(Calculator!B8=TRUE,Backdoors!BI28=TRUE),VLOOKUP(Calculator!E23,tbSkills!DH3:DJ6,3,FALSE),0),0))&gt;=100,100,(Backdoors!AI12+IF(FU96&gt;=0.45,VLOOKUP(Calculator!E23,tbSkills!DH3:DI6,2,FALSE)+IF(AND(Calculator!B8=TRUE,Backdoors!BI28=TRUE),VLOOKUP(Calculator!E23,tbSkills!DH3:DJ6,3,FALSE),0),0)))/100)),(1-(0.25*((-Backdoors!AI12-IF(FU96&gt;=0.45,VLOOKUP(Calculator!E23,tbSkills!DH3:DI6,2,FALSE)+IF(AND(Calculator!B8=TRUE,Backdoors!BI28=TRUE),VLOOKUP(Calculator!E23,tbSkills!DH3:DJ6,3,FALSE),0),0))/100)))),1),"")</f>
        <v>1</v>
      </c>
      <c r="FX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FU96)*FW96)*(VLOOKUP(A96,tbMoveset!A2:C112,3,FALSE)/100)*IF(VLOOKUP(A96,tbMoveset!A2:B112,2,FALSE)="Projectile",Backdoors!N10,Backdoors!N9),0),"")</f>
        <v/>
      </c>
      <c r="FY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FU96&gt;=0.45,VLOOKUP(Calculator!E23,tbSkills!DH3:DI6,2,FALSE)+IF(AND(Calculator!B8=TRUE,Backdoors!BI28=TRUE),VLOOKUP(Calculator!E23,tbSkills!DH3:DJ6,3,FALSE),0),0))&gt;=100,100,(Backdoors!AI12+IF(FU96&gt;=0.45,VLOOKUP(Calculator!E23,tbSkills!DH3:DI6,2,FALSE)+IF(AND(Calculator!B8=TRUE,Backdoors!BI28=TRUE),VLOOKUP(Calculator!E23,tbSkills!DH3:DJ6,3,FALSE),0),0)))/100)),1))*IF(VLOOKUP(A96,tbMoveset!A2:K112,11,FALSE)=TRUE,Backdoors!AC5,1))*FV96,0),"")</f>
        <v>0</v>
      </c>
      <c r="FZ96" s="49">
        <f>VLOOKUP(A96,tbMoveset!A2:G112,7,FALSE)*IFERROR(IF(Backdoors!AI12&gt;=0,1+(IF(Calculator!E40&gt;0,VLOOKUP(Calculator!E40,tbSkills!AI3:AJ5,2,FALSE),Backdoors!AL4)*(IF((Backdoors!AI12+IF(FU96&gt;=0.45,VLOOKUP(Calculator!E23,tbSkills!DH3:DI6,2,FALSE)+IF(AND(Calculator!B8=TRUE,Backdoors!BI28=TRUE),VLOOKUP(Calculator!E23,tbSkills!DH3:DJ6,3,FALSE),0),0))&gt;=100,100,(Backdoors!AI12+IF(FU96&gt;=0.45,VLOOKUP(Calculator!E23,tbSkills!DH3:DI6,2,FALSE)+IF(AND(Calculator!B8=TRUE,Backdoors!BI28=TRUE),VLOOKUP(Calculator!E23,tbSkills!DH3:DJ6,3,FALSE),0),0)))/100)),1),1)</f>
        <v>0.7</v>
      </c>
      <c r="GA96" s="87">
        <f t="shared" si="76"/>
        <v>0</v>
      </c>
      <c r="GB96" s="86" t="str">
        <f>IFERROR(IF(VLOOKUP(A96,tbMoveset!A2:B112,2,FALSE)="Sever",Backdoors!AY29/100,IF(VLOOKUP(A96,tbMoveset!A2:B112,2,FALSE)="Blunt",Backdoors!AZ29/100,Backdoors!BA29/100)),"")</f>
        <v/>
      </c>
      <c r="GC96" s="49">
        <f>IFERROR(IF(VLOOKUP(tbMoveset!A96,tbMoveset!A2:H112,8,FALSE)="Other",IF(VLOOKUP(tbMoveset!A96,tbMoveset!A2:I112,9,FALSE)="Fire",Backdoors!BB29,IF(VLOOKUP(tbMoveset!A96,tbMoveset!A2:I112,9,FALSE)="Water",Backdoors!BC29,IF(VLOOKUP(tbMoveset!A96,tbMoveset!A2:I112,9,FALSE)="Thunder",Backdoors!BD29,IF(VLOOKUP(tbMoveset!A96,tbMoveset!A2:I112,9,FALSE)="Ice",Backdoors!BE29,IF(VLOOKUP(tbMoveset!A96,tbMoveset!A2:I112,9,FALSE)="Dragon",Backdoors!BF29,Backdoors!BG29)))))/100,Backdoors!BG29/100),"")</f>
        <v>0</v>
      </c>
      <c r="GD96" s="49">
        <f>IFERROR(IF(VLOOKUP(A96,tbMoveset!A2:J112,10,FALSE)=TRUE,IF((Backdoors!AI12+IF(GB96&gt;=0.45,VLOOKUP(Calculator!E23,tbSkills!DH3:DI6,2,FALSE)+IF(AND(Calculator!B8=TRUE,Backdoors!BI29=TRUE),VLOOKUP(Calculator!E23,tbSkills!DH3:DJ6,3,FALSE),0),0))&gt;=0,1+(Backdoors!AL2*(IF((Backdoors!AI12+IF(GB96&gt;=0.45,VLOOKUP(Calculator!E23,tbSkills!DH3:DI6,2,FALSE)+IF(AND(Calculator!B8=TRUE,Backdoors!BI29=TRUE),VLOOKUP(Calculator!E23,tbSkills!DH3:DJ6,3,FALSE),0),0))&gt;=100,100,(Backdoors!AI12+IF(GB96&gt;=0.45,VLOOKUP(Calculator!E23,tbSkills!DH3:DI6,2,FALSE)+IF(AND(Calculator!B8=TRUE,Backdoors!BI29=TRUE),VLOOKUP(Calculator!E23,tbSkills!DH3:DJ6,3,FALSE),0),0)))/100)),(1-(0.25*((-Backdoors!AI12-IF(GB96&gt;=0.45,VLOOKUP(Calculator!E23,tbSkills!DH3:DI6,2,FALSE)+IF(AND(Calculator!B8=TRUE,Backdoors!BI29=TRUE),VLOOKUP(Calculator!E23,tbSkills!DH3:DJ6,3,FALSE),0),0))/100)))),1),"")</f>
        <v>1</v>
      </c>
      <c r="GE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B96)*GD96)*(VLOOKUP(A96,tbMoveset!A2:C112,3,FALSE)/100)*IF(VLOOKUP(A96,tbMoveset!A2:B112,2,FALSE)="Projectile",Backdoors!N10,Backdoors!N9),0),"")</f>
        <v/>
      </c>
      <c r="GF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B96&gt;=0.45,VLOOKUP(Calculator!E23,tbSkills!DH3:DI6,2,FALSE)+IF(AND(Calculator!B8=TRUE,Backdoors!BI29=TRUE),VLOOKUP(Calculator!E23,tbSkills!DH3:DJ6,3,FALSE),0),0))&gt;=100,100,(Backdoors!AI12+IF(GB96&gt;=0.45,VLOOKUP(Calculator!E23,tbSkills!DH3:DI6,2,FALSE)+IF(AND(Calculator!B8=TRUE,Backdoors!BI29=TRUE),VLOOKUP(Calculator!E23,tbSkills!DH3:DJ6,3,FALSE),0),0)))/100)),1))*IF(VLOOKUP(A96,tbMoveset!A2:K112,11,FALSE)=TRUE,Backdoors!AC5,1))*GC96,0),"")</f>
        <v>0</v>
      </c>
      <c r="GG96" s="49">
        <f>VLOOKUP(A96,tbMoveset!A2:G112,7,FALSE)*IFERROR(IF(Backdoors!AI12&gt;=0,1+(IF(Calculator!E40&gt;0,VLOOKUP(Calculator!E40,tbSkills!AI3:AJ5,2,FALSE),Backdoors!AL4)*(IF((Backdoors!AI12+IF(GB96&gt;=0.45,VLOOKUP(Calculator!E23,tbSkills!DH3:DI6,2,FALSE)+IF(AND(Calculator!B8=TRUE,Backdoors!BI29=TRUE),VLOOKUP(Calculator!E23,tbSkills!DH3:DJ6,3,FALSE),0),0))&gt;=100,100,(Backdoors!AI12+IF(GB96&gt;=0.45,VLOOKUP(Calculator!E23,tbSkills!DH3:DI6,2,FALSE)+IF(AND(Calculator!B8=TRUE,Backdoors!BI29=TRUE),VLOOKUP(Calculator!E23,tbSkills!DH3:DJ6,3,FALSE),0),0)))/100)),1),1)</f>
        <v>0.7</v>
      </c>
      <c r="GH96" s="87">
        <f t="shared" si="77"/>
        <v>0</v>
      </c>
      <c r="GI96" s="86" t="str">
        <f>IFERROR(IF(VLOOKUP(A96,tbMoveset!A2:B112,2,FALSE)="Sever",Backdoors!AY30/100,IF(VLOOKUP(A96,tbMoveset!A2:B112,2,FALSE)="Blunt",Backdoors!AZ30/100,Backdoors!BA30/100)),"")</f>
        <v/>
      </c>
      <c r="GJ96" s="49">
        <f>IFERROR(IF(VLOOKUP(tbMoveset!A96,tbMoveset!A2:H112,8,FALSE)="Other",IF(VLOOKUP(tbMoveset!A96,tbMoveset!A2:I112,9,FALSE)="Fire",Backdoors!BB30,IF(VLOOKUP(tbMoveset!A96,tbMoveset!A2:I112,9,FALSE)="Water",Backdoors!BC30,IF(VLOOKUP(tbMoveset!A96,tbMoveset!A2:I112,9,FALSE)="Thunder",Backdoors!BD30,IF(VLOOKUP(tbMoveset!A96,tbMoveset!A2:I112,9,FALSE)="Ice",Backdoors!BE30,IF(VLOOKUP(tbMoveset!A96,tbMoveset!A2:I112,9,FALSE)="Dragon",Backdoors!BF30,Backdoors!BG30)))))/100,Backdoors!BG30/100),"")</f>
        <v>0</v>
      </c>
      <c r="GK96" s="49">
        <f>IFERROR(IF(VLOOKUP(A96,tbMoveset!A2:J112,10,FALSE)=TRUE,IF((Backdoors!AI12+IF(GI96&gt;=0.45,VLOOKUP(Calculator!E23,tbSkills!DH3:DI6,2,FALSE)+IF(AND(Calculator!B8=TRUE,Backdoors!BI30=TRUE),VLOOKUP(Calculator!E23,tbSkills!DH3:DJ6,3,FALSE),0),0))&gt;=0,1+(Backdoors!AL2*(IF((Backdoors!AI12+IF(GI96&gt;=0.45,VLOOKUP(Calculator!E23,tbSkills!DH3:DI6,2,FALSE)+IF(AND(Calculator!B8=TRUE,Backdoors!BI30=TRUE),VLOOKUP(Calculator!E23,tbSkills!DH3:DJ6,3,FALSE),0),0))&gt;=100,100,(Backdoors!AI12+IF(GI96&gt;=0.45,VLOOKUP(Calculator!E23,tbSkills!DH3:DI6,2,FALSE)+IF(AND(Calculator!B8=TRUE,Backdoors!BI30=TRUE),VLOOKUP(Calculator!E23,tbSkills!DH3:DJ6,3,FALSE),0),0)))/100)),(1-(0.25*((-Backdoors!AI12-IF(GI96&gt;=0.45,VLOOKUP(Calculator!E23,tbSkills!DH3:DI6,2,FALSE)+IF(AND(Calculator!B8=TRUE,Backdoors!BI30=TRUE),VLOOKUP(Calculator!E23,tbSkills!DH3:DJ6,3,FALSE),0),0))/100)))),1),"")</f>
        <v>1</v>
      </c>
      <c r="GL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I96)*GK96)*(VLOOKUP(A96,tbMoveset!A2:C112,3,FALSE)/100)*IF(VLOOKUP(A96,tbMoveset!A2:B112,2,FALSE)="Projectile",Backdoors!N10,Backdoors!N9),0),"")</f>
        <v/>
      </c>
      <c r="GM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I96&gt;=0.45,VLOOKUP(Calculator!E23,tbSkills!DH3:DI6,2,FALSE)+IF(AND(Calculator!B8=TRUE,Backdoors!BI30=TRUE),VLOOKUP(Calculator!E23,tbSkills!DH3:DJ6,3,FALSE),0),0))&gt;=100,100,(Backdoors!AI12+IF(GI96&gt;=0.45,VLOOKUP(Calculator!E23,tbSkills!DH3:DI6,2,FALSE)+IF(AND(Calculator!B8=TRUE,Backdoors!BI30=TRUE),VLOOKUP(Calculator!E23,tbSkills!DH3:DJ6,3,FALSE),0),0)))/100)),1))*IF(VLOOKUP(A96,tbMoveset!A2:K112,11,FALSE)=TRUE,Backdoors!AC5,1))*GJ96,0),"")</f>
        <v>0</v>
      </c>
      <c r="GN96" s="49">
        <f>VLOOKUP(A96,tbMoveset!A2:G112,7,FALSE)*IFERROR(IF(Backdoors!AI12&gt;=0,1+(IF(Calculator!E40&gt;0,VLOOKUP(Calculator!E40,tbSkills!AI3:AJ5,2,FALSE),Backdoors!AL4)*(IF((Backdoors!AI12+IF(GI96&gt;=0.45,VLOOKUP(Calculator!E23,tbSkills!DH3:DI6,2,FALSE)+IF(AND(Calculator!B8=TRUE,Backdoors!BI30=TRUE),VLOOKUP(Calculator!E23,tbSkills!DH3:DJ6,3,FALSE),0),0))&gt;=100,100,(Backdoors!AI12+IF(GI96&gt;=0.45,VLOOKUP(Calculator!E23,tbSkills!DH3:DI6,2,FALSE)+IF(AND(Calculator!B8=TRUE,Backdoors!BI30=TRUE),VLOOKUP(Calculator!E23,tbSkills!DH3:DJ6,3,FALSE),0),0)))/100)),1),1)</f>
        <v>0.7</v>
      </c>
      <c r="GO96" s="87">
        <f t="shared" si="78"/>
        <v>0</v>
      </c>
      <c r="GP96" s="86" t="str">
        <f>IFERROR(IF(VLOOKUP(A96,tbMoveset!A2:B112,2,FALSE)="Sever",Backdoors!AY31/100,IF(VLOOKUP(A96,tbMoveset!A2:B112,2,FALSE)="Blunt",Backdoors!AZ31/100,Backdoors!BA31/100)),"")</f>
        <v/>
      </c>
      <c r="GQ96" s="49">
        <f>IFERROR(IF(VLOOKUP(tbMoveset!A96,tbMoveset!A2:H112,8,FALSE)="Other",IF(VLOOKUP(tbMoveset!A96,tbMoveset!A2:I112,9,FALSE)="Fire",Backdoors!BB31,IF(VLOOKUP(tbMoveset!A96,tbMoveset!A2:I112,9,FALSE)="Water",Backdoors!BC31,IF(VLOOKUP(tbMoveset!A96,tbMoveset!A2:I112,9,FALSE)="Thunder",Backdoors!BD31,IF(VLOOKUP(tbMoveset!A96,tbMoveset!A2:I112,9,FALSE)="Ice",Backdoors!BE31,IF(VLOOKUP(tbMoveset!A96,tbMoveset!A2:I112,9,FALSE)="Dragon",Backdoors!BF31,Backdoors!BG31)))))/100,Backdoors!BG31/100),"")</f>
        <v>0</v>
      </c>
      <c r="GR96" s="49">
        <f>IFERROR(IF(VLOOKUP(A96,tbMoveset!A2:J112,10,FALSE)=TRUE,IF((Backdoors!AI12+IF(GP96&gt;=0.45,VLOOKUP(Calculator!E23,tbSkills!DH3:DI6,2,FALSE)+IF(AND(Calculator!B8=TRUE,Backdoors!BI31=TRUE),VLOOKUP(Calculator!E23,tbSkills!DH3:DJ6,3,FALSE),0),0))&gt;=0,1+(Backdoors!AL2*(IF((Backdoors!AI12+IF(GP96&gt;=0.45,VLOOKUP(Calculator!E23,tbSkills!DH3:DI6,2,FALSE)+IF(AND(Calculator!B8=TRUE,Backdoors!BI31=TRUE),VLOOKUP(Calculator!E23,tbSkills!DH3:DJ6,3,FALSE),0),0))&gt;=100,100,(Backdoors!AI12+IF(GP96&gt;=0.45,VLOOKUP(Calculator!E23,tbSkills!DH3:DI6,2,FALSE)+IF(AND(Calculator!B8=TRUE,Backdoors!BI31=TRUE),VLOOKUP(Calculator!E23,tbSkills!DH3:DJ6,3,FALSE),0),0)))/100)),(1-(0.25*((-Backdoors!AI12-IF(GP96&gt;=0.45,VLOOKUP(Calculator!E23,tbSkills!DH3:DI6,2,FALSE)+IF(AND(Calculator!B8=TRUE,Backdoors!BI31=TRUE),VLOOKUP(Calculator!E23,tbSkills!DH3:DJ6,3,FALSE),0),0))/100)))),1),"")</f>
        <v>1</v>
      </c>
      <c r="GS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P96)*GR96)*(VLOOKUP(A96,tbMoveset!A2:C112,3,FALSE)/100)*IF(VLOOKUP(A96,tbMoveset!A2:B112,2,FALSE)="Projectile",Backdoors!N10,Backdoors!N9),0),"")</f>
        <v/>
      </c>
      <c r="GT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P96&gt;=0.45,VLOOKUP(Calculator!E23,tbSkills!DH3:DI6,2,FALSE)+IF(AND(Calculator!B8=TRUE,Backdoors!BI31=TRUE),VLOOKUP(Calculator!E23,tbSkills!DH3:DJ6,3,FALSE),0),0))&gt;=100,100,(Backdoors!AI12+IF(GP96&gt;=0.45,VLOOKUP(Calculator!E23,tbSkills!DH3:DI6,2,FALSE)+IF(AND(Calculator!B8=TRUE,Backdoors!BI31=TRUE),VLOOKUP(Calculator!E23,tbSkills!DH3:DJ6,3,FALSE),0),0)))/100)),1))*IF(VLOOKUP(A96,tbMoveset!A2:K112,11,FALSE)=TRUE,Backdoors!AC5,1))*GQ96,0),"")</f>
        <v>0</v>
      </c>
      <c r="GU96" s="49">
        <f>VLOOKUP(A96,tbMoveset!A2:G112,7,FALSE)*IFERROR(IF(Backdoors!AI12&gt;=0,1+(IF(Calculator!E40&gt;0,VLOOKUP(Calculator!E40,tbSkills!AI3:AJ5,2,FALSE),Backdoors!AL4)*(IF((Backdoors!AI12+IF(GP96&gt;=0.45,VLOOKUP(Calculator!E23,tbSkills!DH3:DI6,2,FALSE)+IF(AND(Calculator!B8=TRUE,Backdoors!BI31=TRUE),VLOOKUP(Calculator!E23,tbSkills!DH3:DJ6,3,FALSE),0),0))&gt;=100,100,(Backdoors!AI12+IF(GP96&gt;=0.45,VLOOKUP(Calculator!E23,tbSkills!DH3:DI6,2,FALSE)+IF(AND(Calculator!B8=TRUE,Backdoors!BI31=TRUE),VLOOKUP(Calculator!E23,tbSkills!DH3:DJ6,3,FALSE),0),0)))/100)),1),1)</f>
        <v>0.7</v>
      </c>
      <c r="GV96" s="87">
        <f t="shared" si="79"/>
        <v>0</v>
      </c>
      <c r="GW96" s="86" t="str">
        <f>IFERROR(IF(VLOOKUP(A96,tbMoveset!A2:B112,2,FALSE)="Sever",Backdoors!AY32/100,IF(VLOOKUP(A96,tbMoveset!A2:B112,2,FALSE)="Blunt",Backdoors!AZ32/100,Backdoors!BA32/100)),"")</f>
        <v/>
      </c>
      <c r="GX96" s="49">
        <f>IFERROR(IF(VLOOKUP(tbMoveset!A96,tbMoveset!A2:H112,8,FALSE)="Other",IF(VLOOKUP(tbMoveset!A96,tbMoveset!A2:I112,9,FALSE)="Fire",Backdoors!BB32,IF(VLOOKUP(tbMoveset!A96,tbMoveset!A2:I112,9,FALSE)="Water",Backdoors!BC32,IF(VLOOKUP(tbMoveset!A96,tbMoveset!A2:I112,9,FALSE)="Thunder",Backdoors!BD32,IF(VLOOKUP(tbMoveset!A96,tbMoveset!A2:I112,9,FALSE)="Ice",Backdoors!BE32,IF(VLOOKUP(tbMoveset!A96,tbMoveset!A2:I112,9,FALSE)="Dragon",Backdoors!BF32,Backdoors!BG32)))))/100,Backdoors!BG32/100),"")</f>
        <v>0</v>
      </c>
      <c r="GY96" s="49">
        <f>IFERROR(IF(VLOOKUP(A96,tbMoveset!A2:J112,10,FALSE)=TRUE,IF((Backdoors!AI12+IF(GW96&gt;=0.45,VLOOKUP(Calculator!E23,tbSkills!DH3:DI6,2,FALSE)+IF(AND(Calculator!B8=TRUE,Backdoors!BI32=TRUE),VLOOKUP(Calculator!E23,tbSkills!DH3:DJ6,3,FALSE),0),0))&gt;=0,1+(Backdoors!AL2*(IF((Backdoors!AI12+IF(GW96&gt;=0.45,VLOOKUP(Calculator!E23,tbSkills!DH3:DI6,2,FALSE)+IF(AND(Calculator!B8=TRUE,Backdoors!BI32=TRUE),VLOOKUP(Calculator!E23,tbSkills!DH3:DJ6,3,FALSE),0),0))&gt;=100,100,(Backdoors!AI12+IF(GW96&gt;=0.45,VLOOKUP(Calculator!E23,tbSkills!DH3:DI6,2,FALSE)+IF(AND(Calculator!B8=TRUE,Backdoors!BI32=TRUE),VLOOKUP(Calculator!E23,tbSkills!DH3:DJ6,3,FALSE),0),0)))/100)),(1-(0.25*((-Backdoors!AI12-IF(GW96&gt;=0.45,VLOOKUP(Calculator!E23,tbSkills!DH3:DI6,2,FALSE)+IF(AND(Calculator!B8=TRUE,Backdoors!BI32=TRUE),VLOOKUP(Calculator!E23,tbSkills!DH3:DJ6,3,FALSE),0),0))/100)))),1),"")</f>
        <v>1</v>
      </c>
      <c r="GZ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W96)*GY96)*(VLOOKUP(A96,tbMoveset!A2:C112,3,FALSE)/100)*IF(VLOOKUP(A96,tbMoveset!A2:B112,2,FALSE)="Projectile",Backdoors!N10,Backdoors!N9),0),"")</f>
        <v/>
      </c>
      <c r="HA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W96&gt;=0.45,VLOOKUP(Calculator!E23,tbSkills!DH3:DI6,2,FALSE)+IF(AND(Calculator!B8=TRUE,Backdoors!BI32=TRUE),VLOOKUP(Calculator!E23,tbSkills!DH3:DJ6,3,FALSE),0),0))&gt;=100,100,(Backdoors!AI12+IF(GW96&gt;=0.45,VLOOKUP(Calculator!E23,tbSkills!DH3:DI6,2,FALSE)+IF(AND(Calculator!B8=TRUE,Backdoors!BI32=TRUE),VLOOKUP(Calculator!E23,tbSkills!DH3:DJ6,3,FALSE),0),0)))/100)),1))*IF(VLOOKUP(A96,tbMoveset!A2:K112,11,FALSE)=TRUE,Backdoors!AC5,1))*GX96,0),"")</f>
        <v>0</v>
      </c>
      <c r="HB96" s="49">
        <f>VLOOKUP(A96,tbMoveset!A2:G112,7,FALSE)*IFERROR(IF(Backdoors!AI12&gt;=0,1+(IF(Calculator!E40&gt;0,VLOOKUP(Calculator!E40,tbSkills!AI3:AJ5,2,FALSE),Backdoors!AL4)*(IF((Backdoors!AI12+IF(GW96&gt;=0.45,VLOOKUP(Calculator!E23,tbSkills!DH3:DI6,2,FALSE)+IF(AND(Calculator!B8=TRUE,Backdoors!BI32=TRUE),VLOOKUP(Calculator!E23,tbSkills!DH3:DJ6,3,FALSE),0),0))&gt;=100,100,(Backdoors!AI12+IF(GW96&gt;=0.45,VLOOKUP(Calculator!E23,tbSkills!DH3:DI6,2,FALSE)+IF(AND(Calculator!B8=TRUE,Backdoors!BI32=TRUE),VLOOKUP(Calculator!E23,tbSkills!DH3:DJ6,3,FALSE),0),0)))/100)),1),1)</f>
        <v>0.7</v>
      </c>
      <c r="HC96" s="87">
        <f t="shared" si="80"/>
        <v>0</v>
      </c>
      <c r="HD96" s="86" t="str">
        <f>IFERROR(IF(VLOOKUP(A96,tbMoveset!A2:B112,2,FALSE)="Sever",Backdoors!AY33/100,IF(VLOOKUP(A96,tbMoveset!A2:B112,2,FALSE)="Blunt",Backdoors!AZ33/100,Backdoors!BA33/100)),"")</f>
        <v/>
      </c>
      <c r="HE96" s="49">
        <f>IFERROR(IF(VLOOKUP(tbMoveset!A96,tbMoveset!A2:H112,8,FALSE)="Other",IF(VLOOKUP(tbMoveset!A96,tbMoveset!A2:I112,9,FALSE)="Fire",Backdoors!BB33,IF(VLOOKUP(tbMoveset!A96,tbMoveset!A2:I112,9,FALSE)="Water",Backdoors!BC33,IF(VLOOKUP(tbMoveset!A96,tbMoveset!A2:I112,9,FALSE)="Thunder",Backdoors!BD33,IF(VLOOKUP(tbMoveset!A96,tbMoveset!A2:I112,9,FALSE)="Ice",Backdoors!BE33,IF(VLOOKUP(tbMoveset!A96,tbMoveset!A2:I112,9,FALSE)="Dragon",Backdoors!BF33,Backdoors!BG33)))))/100,Backdoors!BG33/100),"")</f>
        <v>0</v>
      </c>
      <c r="HF96" s="49">
        <f>IFERROR(IF(VLOOKUP(A96,tbMoveset!A2:J112,10,FALSE)=TRUE,IF((Backdoors!AI12+IF(HD96&gt;=0.45,VLOOKUP(Calculator!E23,tbSkills!DH3:DI6,2,FALSE)+IF(AND(Calculator!B8=TRUE,Backdoors!BI33=TRUE),VLOOKUP(Calculator!E23,tbSkills!DH3:DJ6,3,FALSE),0),0))&gt;=0,1+(Backdoors!AL2*(IF((Backdoors!AI12+IF(HD96&gt;=0.45,VLOOKUP(Calculator!E23,tbSkills!DH3:DI6,2,FALSE)+IF(AND(Calculator!B8=TRUE,Backdoors!BI33=TRUE),VLOOKUP(Calculator!E23,tbSkills!DH3:DJ6,3,FALSE),0),0))&gt;=100,100,(Backdoors!AI12+IF(HD96&gt;=0.45,VLOOKUP(Calculator!E23,tbSkills!DH3:DI6,2,FALSE)+IF(AND(Calculator!B8=TRUE,Backdoors!BI33=TRUE),VLOOKUP(Calculator!E23,tbSkills!DH3:DJ6,3,FALSE),0),0)))/100)),(1-(0.25*((-Backdoors!AI12-IF(HD96&gt;=0.45,VLOOKUP(Calculator!E23,tbSkills!DH3:DI6,2,FALSE)+IF(AND(Calculator!B8=TRUE,Backdoors!BI33=TRUE),VLOOKUP(Calculator!E23,tbSkills!DH3:DJ6,3,FALSE),0),0))/100)))),1),"")</f>
        <v>1</v>
      </c>
      <c r="HG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D96)*HF96)*(VLOOKUP(A96,tbMoveset!A2:C112,3,FALSE)/100)*IF(VLOOKUP(A96,tbMoveset!A2:B112,2,FALSE)="Projectile",Backdoors!N10,Backdoors!N9),0),"")</f>
        <v/>
      </c>
      <c r="HH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D96&gt;=0.45,VLOOKUP(Calculator!E23,tbSkills!DH3:DI6,2,FALSE)+IF(AND(Calculator!B8=TRUE,Backdoors!BI33=TRUE),VLOOKUP(Calculator!E23,tbSkills!DH3:DJ6,3,FALSE),0),0))&gt;=100,100,(Backdoors!AI12+IF(HD96&gt;=0.45,VLOOKUP(Calculator!E23,tbSkills!DH3:DI6,2,FALSE)+IF(AND(Calculator!B8=TRUE,Backdoors!BI33=TRUE),VLOOKUP(Calculator!E23,tbSkills!DH3:DJ6,3,FALSE),0),0)))/100)),1))*IF(VLOOKUP(A96,tbMoveset!A2:K112,11,FALSE)=TRUE,Backdoors!AC5,1))*HE96,0),"")</f>
        <v>0</v>
      </c>
      <c r="HI96" s="49">
        <f>VLOOKUP(A96,tbMoveset!A2:G112,7,FALSE)*IFERROR(IF(Backdoors!AI12&gt;=0,1+(IF(Calculator!E40&gt;0,VLOOKUP(Calculator!E40,tbSkills!AI3:AJ5,2,FALSE),Backdoors!AL4)*(IF((Backdoors!AI12+IF(HD96&gt;=0.45,VLOOKUP(Calculator!E23,tbSkills!DH3:DI6,2,FALSE)+IF(AND(Calculator!B8=TRUE,Backdoors!BI33=TRUE),VLOOKUP(Calculator!E23,tbSkills!DH3:DJ6,3,FALSE),0),0))&gt;=100,100,(Backdoors!AI12+IF(HD96&gt;=0.45,VLOOKUP(Calculator!E23,tbSkills!DH3:DI6,2,FALSE)+IF(AND(Calculator!B8=TRUE,Backdoors!BI33=TRUE),VLOOKUP(Calculator!E23,tbSkills!DH3:DJ6,3,FALSE),0),0)))/100)),1),1)</f>
        <v>0.7</v>
      </c>
      <c r="HJ96" s="87">
        <f t="shared" si="81"/>
        <v>0</v>
      </c>
      <c r="HK96" s="86" t="str">
        <f>IFERROR(IF(VLOOKUP(A96,tbMoveset!A2:B112,2,FALSE)="Sever",Backdoors!AY34/100,IF(VLOOKUP(A96,tbMoveset!A2:B112,2,FALSE)="Blunt",Backdoors!AZ34/100,Backdoors!BA34/100)),"")</f>
        <v/>
      </c>
      <c r="HL96" s="49">
        <f>IFERROR(IF(VLOOKUP(tbMoveset!A96,tbMoveset!A2:H112,8,FALSE)="Other",IF(VLOOKUP(tbMoveset!A96,tbMoveset!A2:I112,9,FALSE)="Fire",Backdoors!BB34,IF(VLOOKUP(tbMoveset!A96,tbMoveset!A2:I112,9,FALSE)="Water",Backdoors!BC34,IF(VLOOKUP(tbMoveset!A96,tbMoveset!A2:I112,9,FALSE)="Thunder",Backdoors!BD34,IF(VLOOKUP(tbMoveset!A96,tbMoveset!A2:I112,9,FALSE)="Ice",Backdoors!BE34,IF(VLOOKUP(tbMoveset!A96,tbMoveset!A2:I112,9,FALSE)="Dragon",Backdoors!BF34,Backdoors!BG34)))))/100,Backdoors!BG34/100),"")</f>
        <v>0</v>
      </c>
      <c r="HM96" s="49">
        <f>IFERROR(IF(VLOOKUP(A96,tbMoveset!A2:J112,10,FALSE)=TRUE,IF((Backdoors!AI12+IF(HK96&gt;=0.45,VLOOKUP(Calculator!E23,tbSkills!DH3:DI6,2,FALSE)+IF(AND(Calculator!B8=TRUE,Backdoors!BI34=TRUE),VLOOKUP(Calculator!E23,tbSkills!DH3:DJ6,3,FALSE),0),0))&gt;=0,1+(Backdoors!AL2*(IF((Backdoors!AI12+IF(HK96&gt;=0.45,VLOOKUP(Calculator!E23,tbSkills!DH3:DI6,2,FALSE)+IF(AND(Calculator!B8=TRUE,Backdoors!BI34=TRUE),VLOOKUP(Calculator!E23,tbSkills!DH3:DJ6,3,FALSE),0),0))&gt;=100,100,(Backdoors!AI12+IF(HK96&gt;=0.45,VLOOKUP(Calculator!E23,tbSkills!DH3:DI6,2,FALSE)+IF(AND(Calculator!B8=TRUE,Backdoors!BI34=TRUE),VLOOKUP(Calculator!E23,tbSkills!DH3:DJ6,3,FALSE),0),0)))/100)),(1-(0.25*((-Backdoors!AI12-IF(HK96&gt;=0.45,VLOOKUP(Calculator!E23,tbSkills!DH3:DI6,2,FALSE)+IF(AND(Calculator!B8=TRUE,Backdoors!BI34=TRUE),VLOOKUP(Calculator!E23,tbSkills!DH3:DJ6,3,FALSE),0),0))/100)))),1),"")</f>
        <v>1</v>
      </c>
      <c r="HN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K96)*HM96)*(VLOOKUP(A96,tbMoveset!A2:C112,3,FALSE)/100)*IF(VLOOKUP(A96,tbMoveset!A2:B112,2,FALSE)="Projectile",Backdoors!N10,Backdoors!N9),0),"")</f>
        <v/>
      </c>
      <c r="HO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K96&gt;=0.45,VLOOKUP(Calculator!E23,tbSkills!DH3:DI6,2,FALSE)+IF(AND(Calculator!B8=TRUE,Backdoors!BI34=TRUE),VLOOKUP(Calculator!E23,tbSkills!DH3:DJ6,3,FALSE),0),0))&gt;=100,100,(Backdoors!AI12+IF(HK96&gt;=0.45,VLOOKUP(Calculator!E23,tbSkills!DH3:DI6,2,FALSE)+IF(AND(Calculator!B8=TRUE,Backdoors!BI34=TRUE),VLOOKUP(Calculator!E23,tbSkills!DH3:DJ6,3,FALSE),0),0)))/100)),1))*IF(VLOOKUP(A96,tbMoveset!A2:K112,11,FALSE)=TRUE,Backdoors!AC5,1))*HL96,0),"")</f>
        <v>0</v>
      </c>
      <c r="HP96" s="49">
        <f>VLOOKUP(A96,tbMoveset!A2:G112,7,FALSE)*IFERROR(IF(Backdoors!AI12&gt;=0,1+(IF(Calculator!E40&gt;0,VLOOKUP(Calculator!E40,tbSkills!AI3:AJ5,2,FALSE),Backdoors!AL4)*(IF((Backdoors!AI12+IF(HK96&gt;=0.45,VLOOKUP(Calculator!E23,tbSkills!DH3:DI6,2,FALSE)+IF(AND(Calculator!B8=TRUE,Backdoors!BI34=TRUE),VLOOKUP(Calculator!E23,tbSkills!DH3:DJ6,3,FALSE),0),0))&gt;=100,100,(Backdoors!AI12+IF(HK96&gt;=0.45,VLOOKUP(Calculator!E23,tbSkills!DH3:DI6,2,FALSE)+IF(AND(Calculator!B8=TRUE,Backdoors!BI34=TRUE),VLOOKUP(Calculator!E23,tbSkills!DH3:DJ6,3,FALSE),0),0)))/100)),1),1)</f>
        <v>0.7</v>
      </c>
      <c r="HQ96" s="87">
        <f t="shared" si="82"/>
        <v>0</v>
      </c>
      <c r="HR96" s="86" t="str">
        <f>IFERROR(IF(VLOOKUP(A96,tbMoveset!A2:B112,2,FALSE)="Sever",Backdoors!AY35/100,IF(VLOOKUP(A96,tbMoveset!A2:B112,2,FALSE)="Blunt",Backdoors!AZ35/100,Backdoors!BA35/100)),"")</f>
        <v/>
      </c>
      <c r="HS96" s="49">
        <f>IFERROR(IF(VLOOKUP(tbMoveset!A96,tbMoveset!A2:H112,8,FALSE)="Other",IF(VLOOKUP(tbMoveset!A96,tbMoveset!A2:I112,9,FALSE)="Fire",Backdoors!BB35,IF(VLOOKUP(tbMoveset!A96,tbMoveset!A2:I112,9,FALSE)="Water",Backdoors!BC35,IF(VLOOKUP(tbMoveset!A96,tbMoveset!A2:I112,9,FALSE)="Thunder",Backdoors!BD35,IF(VLOOKUP(tbMoveset!A96,tbMoveset!A2:I112,9,FALSE)="Ice",Backdoors!BE35,IF(VLOOKUP(tbMoveset!A96,tbMoveset!A2:I112,9,FALSE)="Dragon",Backdoors!BF35,Backdoors!BG35)))))/100,Backdoors!BG35/100),"")</f>
        <v>0</v>
      </c>
      <c r="HT96" s="49">
        <f>IFERROR(IF(VLOOKUP(A96,tbMoveset!A2:J112,10,FALSE)=TRUE,IF((Backdoors!AI12+IF(HR96&gt;=0.45,VLOOKUP(Calculator!E23,tbSkills!DH3:DI6,2,FALSE)+IF(AND(Calculator!B8=TRUE,Backdoors!BI35=TRUE),VLOOKUP(Calculator!E23,tbSkills!DH3:DJ6,3,FALSE),0),0))&gt;=0,1+(Backdoors!AL2*(IF((Backdoors!AI12+IF(HR96&gt;=0.45,VLOOKUP(Calculator!E23,tbSkills!DH3:DI6,2,FALSE)+IF(AND(Calculator!B8=TRUE,Backdoors!BI35=TRUE),VLOOKUP(Calculator!E23,tbSkills!DH3:DJ6,3,FALSE),0),0))&gt;=100,100,(Backdoors!AI12+IF(HR96&gt;=0.45,VLOOKUP(Calculator!E23,tbSkills!DH3:DI6,2,FALSE)+IF(AND(Calculator!B8=TRUE,Backdoors!BI35=TRUE),VLOOKUP(Calculator!E23,tbSkills!DH3:DJ6,3,FALSE),0),0)))/100)),(1-(0.25*((-Backdoors!AI12-IF(HR96&gt;=0.45,VLOOKUP(Calculator!E23,tbSkills!DH3:DI6,2,FALSE)+IF(AND(Calculator!B8=TRUE,Backdoors!BI35=TRUE),VLOOKUP(Calculator!E23,tbSkills!DH3:DJ6,3,FALSE),0),0))/100)))),1),"")</f>
        <v>1</v>
      </c>
      <c r="HU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R96)*HT96)*(VLOOKUP(A96,tbMoveset!A2:C112,3,FALSE)/100)*IF(VLOOKUP(A96,tbMoveset!A2:B112,2,FALSE)="Projectile",Backdoors!N10,Backdoors!N9),0),"")</f>
        <v/>
      </c>
      <c r="HV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R96&gt;=0.45,VLOOKUP(Calculator!E23,tbSkills!DH3:DI6,2,FALSE)+IF(AND(Calculator!B8=TRUE,Backdoors!BI35=TRUE),VLOOKUP(Calculator!E23,tbSkills!DH3:DJ6,3,FALSE),0),0))&gt;=100,100,(Backdoors!AI12+IF(HR96&gt;=0.45,VLOOKUP(Calculator!E23,tbSkills!DH3:DI6,2,FALSE)+IF(AND(Calculator!B8=TRUE,Backdoors!BI35=TRUE),VLOOKUP(Calculator!E23,tbSkills!DH3:DJ6,3,FALSE),0),0)))/100)),1))*IF(VLOOKUP(A96,tbMoveset!A2:K112,11,FALSE)=TRUE,Backdoors!AC5,1))*HS96,0),"")</f>
        <v>0</v>
      </c>
      <c r="HW96" s="49">
        <f>VLOOKUP(A96,tbMoveset!A2:G112,7,FALSE)*IFERROR(IF(Backdoors!AI12&gt;=0,1+(IF(Calculator!E40&gt;0,VLOOKUP(Calculator!E40,tbSkills!AI3:AJ5,2,FALSE),Backdoors!AL4)*(IF((Backdoors!AI12+IF(HR96&gt;=0.45,VLOOKUP(Calculator!E23,tbSkills!DH3:DI6,2,FALSE)+IF(AND(Calculator!B8=TRUE,Backdoors!BI35=TRUE),VLOOKUP(Calculator!E23,tbSkills!DH3:DJ6,3,FALSE),0),0))&gt;=100,100,(Backdoors!AI12+IF(HR96&gt;=0.45,VLOOKUP(Calculator!E23,tbSkills!DH3:DI6,2,FALSE)+IF(AND(Calculator!B8=TRUE,Backdoors!BI35=TRUE),VLOOKUP(Calculator!E23,tbSkills!DH3:DJ6,3,FALSE),0),0)))/100)),1),1)</f>
        <v>0.7</v>
      </c>
      <c r="HX96" s="87">
        <f t="shared" si="83"/>
        <v>0</v>
      </c>
      <c r="HY96" s="86" t="str">
        <f>IFERROR(IF(VLOOKUP(A96,tbMoveset!A2:B112,2,FALSE)="Sever",Backdoors!AY36/100,IF(VLOOKUP(A96,tbMoveset!A2:B112,2,FALSE)="Blunt",Backdoors!AZ36/100,Backdoors!BA36/100)),"")</f>
        <v/>
      </c>
      <c r="HZ96" s="49">
        <f>IFERROR(IF(VLOOKUP(tbMoveset!A96,tbMoveset!A2:H112,8,FALSE)="Other",IF(VLOOKUP(tbMoveset!A96,tbMoveset!A2:I112,9,FALSE)="Fire",Backdoors!BB36,IF(VLOOKUP(tbMoveset!A96,tbMoveset!A2:I112,9,FALSE)="Water",Backdoors!BC36,IF(VLOOKUP(tbMoveset!A96,tbMoveset!A2:I112,9,FALSE)="Thunder",Backdoors!BD36,IF(VLOOKUP(tbMoveset!A96,tbMoveset!A2:I112,9,FALSE)="Ice",Backdoors!BE36,IF(VLOOKUP(tbMoveset!A96,tbMoveset!A2:I112,9,FALSE)="Dragon",Backdoors!BF36,Backdoors!BG36)))))/100,Backdoors!BG36/100),"")</f>
        <v>0</v>
      </c>
      <c r="IA96" s="49">
        <f>IFERROR(IF(VLOOKUP(A96,tbMoveset!A2:J112,10,FALSE)=TRUE,IF((Backdoors!AI12+IF(HY96&gt;=0.45,VLOOKUP(Calculator!E23,tbSkills!DH3:DI6,2,FALSE)+IF(AND(Calculator!B8=TRUE,Backdoors!BI36=TRUE),VLOOKUP(Calculator!E23,tbSkills!DH3:DJ6,3,FALSE),0),0))&gt;=0,1+(Backdoors!AL2*(IF((Backdoors!AI12+IF(HY96&gt;=0.45,VLOOKUP(Calculator!E23,tbSkills!DH3:DI6,2,FALSE)+IF(AND(Calculator!B8=TRUE,Backdoors!BI36=TRUE),VLOOKUP(Calculator!E23,tbSkills!DH3:DJ6,3,FALSE),0),0))&gt;=100,100,(Backdoors!AI12+IF(HY96&gt;=0.45,VLOOKUP(Calculator!E23,tbSkills!DH3:DI6,2,FALSE)+IF(AND(Calculator!B8=TRUE,Backdoors!BI36=TRUE),VLOOKUP(Calculator!E23,tbSkills!DH3:DJ6,3,FALSE),0),0)))/100)),(1-(0.25*((-Backdoors!AI12-IF(HY96&gt;=0.45,VLOOKUP(Calculator!E23,tbSkills!DH3:DI6,2,FALSE)+IF(AND(Calculator!B8=TRUE,Backdoors!BI36=TRUE),VLOOKUP(Calculator!E23,tbSkills!DH3:DJ6,3,FALSE),0),0))/100)))),1),"")</f>
        <v>1</v>
      </c>
      <c r="IB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Y96)*IA96)*(VLOOKUP(A96,tbMoveset!A2:C112,3,FALSE)/100)*IF(VLOOKUP(A96,tbMoveset!A2:B112,2,FALSE)="Projectile",Backdoors!N10,Backdoors!N9),0),"")</f>
        <v/>
      </c>
      <c r="IC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Y96&gt;=0.45,VLOOKUP(Calculator!E23,tbSkills!DH3:DI6,2,FALSE)+IF(AND(Calculator!B8=TRUE,Backdoors!BI36=TRUE),VLOOKUP(Calculator!E23,tbSkills!DH3:DJ6,3,FALSE),0),0))&gt;=100,100,(Backdoors!AI12+IF(HY96&gt;=0.45,VLOOKUP(Calculator!E23,tbSkills!DH3:DI6,2,FALSE)+IF(AND(Calculator!B8=TRUE,Backdoors!BI36=TRUE),VLOOKUP(Calculator!E23,tbSkills!DH3:DJ6,3,FALSE),0),0)))/100)),1))*IF(VLOOKUP(A96,tbMoveset!A2:K112,11,FALSE)=TRUE,Backdoors!AC5,1))*HZ96,0),"")</f>
        <v>0</v>
      </c>
      <c r="ID96" s="49">
        <f>VLOOKUP(A96,tbMoveset!A2:G112,7,FALSE)*IFERROR(IF(Backdoors!AI12&gt;=0,1+(IF(Calculator!E40&gt;0,VLOOKUP(Calculator!E40,tbSkills!AI3:AJ5,2,FALSE),Backdoors!AL4)*(IF((Backdoors!AI12+IF(HY96&gt;=0.45,VLOOKUP(Calculator!E23,tbSkills!DH3:DI6,2,FALSE)+IF(AND(Calculator!B8=TRUE,Backdoors!BI36=TRUE),VLOOKUP(Calculator!E23,tbSkills!DH3:DJ6,3,FALSE),0),0))&gt;=100,100,(Backdoors!AI12+IF(HY96&gt;=0.45,VLOOKUP(Calculator!E23,tbSkills!DH3:DI6,2,FALSE)+IF(AND(Calculator!B8=TRUE,Backdoors!BI36=TRUE),VLOOKUP(Calculator!E23,tbSkills!DH3:DJ6,3,FALSE),0),0)))/100)),1),1)</f>
        <v>0.7</v>
      </c>
      <c r="IE96" s="87">
        <f t="shared" si="84"/>
        <v>0</v>
      </c>
      <c r="IF96" s="86" t="str">
        <f>IFERROR(IF(VLOOKUP(A96,tbMoveset!A2:B112,2,FALSE)="Sever",Backdoors!AY37/100,IF(VLOOKUP(A96,tbMoveset!A2:B112,2,FALSE)="Blunt",Backdoors!AZ37/100,Backdoors!BA37/100)),"")</f>
        <v/>
      </c>
      <c r="IG96" s="49">
        <f>IFERROR(IF(VLOOKUP(tbMoveset!A96,tbMoveset!A2:H112,8,FALSE)="Other",IF(VLOOKUP(tbMoveset!A96,tbMoveset!A2:I112,9,FALSE)="Fire",Backdoors!BB37,IF(VLOOKUP(tbMoveset!A96,tbMoveset!A2:I112,9,FALSE)="Water",Backdoors!BC37,IF(VLOOKUP(tbMoveset!A96,tbMoveset!A2:I112,9,FALSE)="Thunder",Backdoors!BD37,IF(VLOOKUP(tbMoveset!A96,tbMoveset!A2:I112,9,FALSE)="Ice",Backdoors!BE37,IF(VLOOKUP(tbMoveset!A96,tbMoveset!A2:I112,9,FALSE)="Dragon",Backdoors!BF37,Backdoors!BG37)))))/100,Backdoors!BG37/100),"")</f>
        <v>0</v>
      </c>
      <c r="IH96" s="49">
        <f>IFERROR(IF(VLOOKUP(A96,tbMoveset!A2:J112,10,FALSE)=TRUE,IF((Backdoors!AI12+IF(IF96&gt;=0.45,VLOOKUP(Calculator!E23,tbSkills!DH3:DI6,2,FALSE)+IF(AND(Calculator!B8=TRUE,Backdoors!BI37=TRUE),VLOOKUP(Calculator!E23,tbSkills!DH3:DJ6,3,FALSE),0),0))&gt;=0,1+(Backdoors!AL2*(IF((Backdoors!AI12+IF(IF96&gt;=0.45,VLOOKUP(Calculator!E23,tbSkills!DH3:DI6,2,FALSE)+IF(AND(Calculator!B8=TRUE,Backdoors!BI37=TRUE),VLOOKUP(Calculator!E23,tbSkills!DH3:DJ6,3,FALSE),0),0))&gt;=100,100,(Backdoors!AI12+IF(IF96&gt;=0.45,VLOOKUP(Calculator!E23,tbSkills!DH3:DI6,2,FALSE)+IF(AND(Calculator!B8=TRUE,Backdoors!BI37=TRUE),VLOOKUP(Calculator!E23,tbSkills!DH3:DJ6,3,FALSE),0),0)))/100)),(1-(0.25*((-Backdoors!AI12-IF(IF96&gt;=0.45,VLOOKUP(Calculator!E23,tbSkills!DH3:DI6,2,FALSE)+IF(AND(Calculator!B8=TRUE,Backdoors!BI37=TRUE),VLOOKUP(Calculator!E23,tbSkills!DH3:DJ6,3,FALSE),0),0))/100)))),1),"")</f>
        <v>1</v>
      </c>
      <c r="II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F96)*IH96)*(VLOOKUP(A96,tbMoveset!A2:C112,3,FALSE)/100)*IF(VLOOKUP(A96,tbMoveset!A2:B112,2,FALSE)="Projectile",Backdoors!N10,Backdoors!N9),0),"")</f>
        <v/>
      </c>
      <c r="IJ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IF96&gt;=0.45,VLOOKUP(Calculator!E23,tbSkills!DH3:DI6,2,FALSE)+IF(AND(Calculator!B8=TRUE,Backdoors!BI37=TRUE),VLOOKUP(Calculator!E23,tbSkills!DH3:DJ6,3,FALSE),0),0))&gt;=100,100,(Backdoors!AI12+IF(IF96&gt;=0.45,VLOOKUP(Calculator!E23,tbSkills!DH3:DI6,2,FALSE)+IF(AND(Calculator!B8=TRUE,Backdoors!BI37=TRUE),VLOOKUP(Calculator!E23,tbSkills!DH3:DJ6,3,FALSE),0),0)))/100)),1))*IF(VLOOKUP(A96,tbMoveset!A2:K112,11,FALSE)=TRUE,Backdoors!AC5,1))*IG96,0),"")</f>
        <v>0</v>
      </c>
      <c r="IK96" s="49">
        <f>VLOOKUP(A96,tbMoveset!A2:G112,7,FALSE)*IFERROR(IF(Backdoors!AI12&gt;=0,1+(IF(Calculator!E40&gt;0,VLOOKUP(Calculator!E40,tbSkills!AI3:AJ5,2,FALSE),Backdoors!AL4)*(IF((Backdoors!AI12+IF(IF96&gt;=0.45,VLOOKUP(Calculator!E23,tbSkills!DH3:DI6,2,FALSE)+IF(AND(Calculator!B8=TRUE,Backdoors!BI37=TRUE),VLOOKUP(Calculator!E23,tbSkills!DH3:DJ6,3,FALSE),0),0))&gt;=100,100,(Backdoors!AI12+IF(IF96&gt;=0.45,VLOOKUP(Calculator!E23,tbSkills!DH3:DI6,2,FALSE)+IF(AND(Calculator!B8=TRUE,Backdoors!BI37=TRUE),VLOOKUP(Calculator!E23,tbSkills!DH3:DJ6,3,FALSE),0),0)))/100)),1),1)</f>
        <v>0.7</v>
      </c>
      <c r="IL96" s="87">
        <f t="shared" si="85"/>
        <v>0</v>
      </c>
      <c r="IM96" s="86" t="str">
        <f>IFERROR(IF(VLOOKUP(A96,tbMoveset!A2:B112,2,FALSE)="Sever",Backdoors!AY38/100,IF(VLOOKUP(A96,tbMoveset!A2:B112,2,FALSE)="Blunt",Backdoors!AZ38/100,Backdoors!BA38/100)),"")</f>
        <v/>
      </c>
      <c r="IN96" s="49">
        <f>IFERROR(IF(VLOOKUP(tbMoveset!A96,tbMoveset!A2:H112,8,FALSE)="Other",IF(VLOOKUP(tbMoveset!A96,tbMoveset!A2:I112,9,FALSE)="Fire",Backdoors!BB38,IF(VLOOKUP(tbMoveset!A96,tbMoveset!A2:I112,9,FALSE)="Water",Backdoors!BC38,IF(VLOOKUP(tbMoveset!A96,tbMoveset!A2:I112,9,FALSE)="Thunder",Backdoors!BD38,IF(VLOOKUP(tbMoveset!A96,tbMoveset!A2:I112,9,FALSE)="Ice",Backdoors!BE38,IF(VLOOKUP(tbMoveset!A96,tbMoveset!A2:I112,9,FALSE)="Dragon",Backdoors!BF38,Backdoors!BG38)))))/100,Backdoors!BG38/100),"")</f>
        <v>0</v>
      </c>
      <c r="IO96" s="49">
        <f>IFERROR(IF(VLOOKUP(A96,tbMoveset!A2:J112,10,FALSE)=TRUE,IF((Backdoors!AI12+IF(IM96&gt;=0.45,VLOOKUP(Calculator!E23,tbSkills!DH3:DI6,2,FALSE)+IF(AND(Calculator!B8=TRUE,Backdoors!BI38=TRUE),VLOOKUP(Calculator!E23,tbSkills!DH3:DJ6,3,FALSE),0),0))&gt;=0,1+(Backdoors!AL2*(IF((Backdoors!AI12+IF(IM96&gt;=0.45,VLOOKUP(Calculator!E23,tbSkills!DH3:DI6,2,FALSE)+IF(AND(Calculator!B8=TRUE,Backdoors!BI38=TRUE),VLOOKUP(Calculator!E23,tbSkills!DH3:DJ6,3,FALSE),0),0))&gt;=100,100,(Backdoors!AI12+IF(IM96&gt;=0.45,VLOOKUP(Calculator!E23,tbSkills!DH3:DI6,2,FALSE)+IF(AND(Calculator!B8=TRUE,Backdoors!BI38=TRUE),VLOOKUP(Calculator!E23,tbSkills!DH3:DJ6,3,FALSE),0),0)))/100)),(1-(0.25*((-Backdoors!AI12-IF(IM96&gt;=0.45,VLOOKUP(Calculator!E23,tbSkills!DH3:DI6,2,FALSE)+IF(AND(Calculator!B8=TRUE,Backdoors!BI38=TRUE),VLOOKUP(Calculator!E23,tbSkills!DH3:DJ6,3,FALSE),0),0))/100)))),1),"")</f>
        <v>1</v>
      </c>
      <c r="IP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M96)*IO96)*(VLOOKUP(A96,tbMoveset!A2:C112,3,FALSE)/100)*IF(VLOOKUP(A96,tbMoveset!A2:B112,2,FALSE)="Projectile",Backdoors!N10,Backdoors!N9),0),"")</f>
        <v/>
      </c>
      <c r="IQ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IM96&gt;=0.45,VLOOKUP(Calculator!E23,tbSkills!DH3:DI6,2,FALSE)+IF(AND(Calculator!B8=TRUE,Backdoors!BI38=TRUE),VLOOKUP(Calculator!E23,tbSkills!DH3:DJ6,3,FALSE),0),0))&gt;=100,100,(Backdoors!AI12+IF(IM96&gt;=0.45,VLOOKUP(Calculator!E23,tbSkills!DH3:DI6,2,FALSE)+IF(AND(Calculator!B8=TRUE,Backdoors!BI38=TRUE),VLOOKUP(Calculator!E23,tbSkills!DH3:DJ6,3,FALSE),0),0)))/100)),1))*IF(VLOOKUP(A96,tbMoveset!A2:K112,11,FALSE)=TRUE,Backdoors!AC5,1))*IN96,0),"")</f>
        <v>0</v>
      </c>
      <c r="IR96" s="49">
        <f>VLOOKUP(A96,tbMoveset!A2:G112,7,FALSE)*IFERROR(IF(Backdoors!AI12&gt;=0,1+(IF(Calculator!E40&gt;0,VLOOKUP(Calculator!E40,tbSkills!AI3:AJ5,2,FALSE),Backdoors!AL4)*(IF((Backdoors!AI12+IF(IM96&gt;=0.45,VLOOKUP(Calculator!E23,tbSkills!DH3:DI6,2,FALSE)+IF(AND(Calculator!B8=TRUE,Backdoors!BI38=TRUE),VLOOKUP(Calculator!E23,tbSkills!DH3:DJ6,3,FALSE),0),0))&gt;=100,100,(Backdoors!AI12+IF(IM96&gt;=0.45,VLOOKUP(Calculator!E23,tbSkills!DH3:DI6,2,FALSE)+IF(AND(Calculator!B8=TRUE,Backdoors!BI38=TRUE),VLOOKUP(Calculator!E23,tbSkills!DH3:DJ6,3,FALSE),0),0)))/100)),1),1)</f>
        <v>0.7</v>
      </c>
      <c r="IS96" s="87">
        <f t="shared" si="86"/>
        <v>0</v>
      </c>
      <c r="IT96" s="86" t="str">
        <f>IFERROR(IF(VLOOKUP(A96,tbMoveset!A2:B112,2,FALSE)="Sever",Backdoors!AY39/100,IF(VLOOKUP(A96,tbMoveset!A2:B112,2,FALSE)="Blunt",Backdoors!AZ39/100,Backdoors!BA39/100)),"")</f>
        <v/>
      </c>
      <c r="IU96" s="49">
        <f>IFERROR(IF(VLOOKUP(tbMoveset!A96,tbMoveset!A2:H112,8,FALSE)="Other",IF(VLOOKUP(tbMoveset!A96,tbMoveset!A2:I112,9,FALSE)="Fire",Backdoors!BB39,IF(VLOOKUP(tbMoveset!A96,tbMoveset!A2:I112,9,FALSE)="Water",Backdoors!BC39,IF(VLOOKUP(tbMoveset!A96,tbMoveset!A2:I112,9,FALSE)="Thunder",Backdoors!BD39,IF(VLOOKUP(tbMoveset!A96,tbMoveset!A2:I112,9,FALSE)="Ice",Backdoors!BE39,IF(VLOOKUP(tbMoveset!A96,tbMoveset!A2:I112,9,FALSE)="Dragon",Backdoors!BF39,Backdoors!BG39)))))/100,Backdoors!BG39/100),"")</f>
        <v>0</v>
      </c>
      <c r="IV96" s="49">
        <f>IFERROR(IF(VLOOKUP(A96,tbMoveset!A2:J112,10,FALSE)=TRUE,IF((Backdoors!AI12+IF(IT96&gt;=0.45,VLOOKUP(Calculator!E23,tbSkills!DH3:DI6,2,FALSE)+IF(AND(Calculator!B8=TRUE,Backdoors!BI39=TRUE),VLOOKUP(Calculator!E23,tbSkills!DH3:DJ6,3,FALSE),0),0))&gt;=0,1+(Backdoors!AL2*(IF((Backdoors!AI12+IF(IT96&gt;=0.45,VLOOKUP(Calculator!E23,tbSkills!DH3:DI6,2,FALSE)+IF(AND(Calculator!B8=TRUE,Backdoors!BI39=TRUE),VLOOKUP(Calculator!E23,tbSkills!DH3:DJ6,3,FALSE),0),0))&gt;=100,100,(Backdoors!AI12+IF(IT96&gt;=0.45,VLOOKUP(Calculator!E23,tbSkills!DH3:DI6,2,FALSE)+IF(AND(Calculator!B8=TRUE,Backdoors!BI39=TRUE),VLOOKUP(Calculator!E23,tbSkills!DH3:DJ6,3,FALSE),0),0)))/100)),(1-(0.25*((-Backdoors!AI12-IF(IT96&gt;=0.45,VLOOKUP(Calculator!E23,tbSkills!DH3:DI6,2,FALSE)+IF(AND(Calculator!B8=TRUE,Backdoors!BI39=TRUE),VLOOKUP(Calculator!E23,tbSkills!DH3:DJ6,3,FALSE),0),0))/100)))),1),"")</f>
        <v>1</v>
      </c>
      <c r="IW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T96)*IV96)*(VLOOKUP(A96,tbMoveset!A2:C112,3,FALSE)/100)*IF(VLOOKUP(A96,tbMoveset!A2:B112,2,FALSE)="Projectile",Backdoors!N10,Backdoors!N9),0),"")</f>
        <v/>
      </c>
      <c r="IX96" s="49">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40&gt;0,VLOOKUP(Calculator!E40,tbSkills!AC3:AD5,2,FALSE),Backdoors!AL3)*(IF((Backdoors!AI12+IF(IT96&gt;=0.45,VLOOKUP(Calculator!E23,tbSkills!DH3:DI6,2,FALSE)+IF(AND(Calculator!B8=TRUE,Backdoors!BI39=TRUE),VLOOKUP(Calculator!E23,tbSkills!DH3:DJ6,3,FALSE),0),0))&gt;=100,100,(Backdoors!AI12+IF(IT96&gt;=0.45,VLOOKUP(Calculator!E23,tbSkills!DH3:DI6,2,FALSE)+IF(AND(Calculator!B8=TRUE,Backdoors!BI39=TRUE),VLOOKUP(Calculator!E23,tbSkills!DH3:DJ6,3,FALSE),0),0)))/100)),1))*IF(VLOOKUP(A96,tbMoveset!A2:K112,11,FALSE)=TRUE,Backdoors!AC5,1))*IU96,0),"")</f>
        <v>0</v>
      </c>
      <c r="IY96" s="49">
        <f>VLOOKUP(A96,tbMoveset!A2:G112,7,FALSE)*IFERROR(IF(Backdoors!AI12&gt;=0,1+(IF(Calculator!E40&gt;0,VLOOKUP(Calculator!E40,tbSkills!AI3:AJ5,2,FALSE),Backdoors!AL4)*(IF((Backdoors!AI12+IF(IT96&gt;=0.45,VLOOKUP(Calculator!E23,tbSkills!DH3:DI6,2,FALSE)+IF(AND(Calculator!B8=TRUE,Backdoors!BI39=TRUE),VLOOKUP(Calculator!E23,tbSkills!DH3:DJ6,3,FALSE),0),0))&gt;=100,100,(Backdoors!AI12+IF(IT96&gt;=0.45,VLOOKUP(Calculator!E23,tbSkills!DH3:DI6,2,FALSE)+IF(AND(Calculator!B8=TRUE,Backdoors!BI39=TRUE),VLOOKUP(Calculator!E23,tbSkills!DH3:DJ6,3,FALSE),0),0)))/100)),1),1)</f>
        <v>0.7</v>
      </c>
      <c r="IZ96" s="87">
        <f t="shared" si="87"/>
        <v>0</v>
      </c>
      <c r="JA96" s="86" t="str">
        <f>IFERROR(IF(VLOOKUP(A96,tbMoveset!A2:B112,2,FALSE)="Sever",Backdoors!AY40/100,IF(VLOOKUP(A96,tbMoveset!A2:B112,2,FALSE)="Blunt",Backdoors!AZ40/100,Backdoors!BA40/100)),"")</f>
        <v/>
      </c>
      <c r="JB96" s="49">
        <f>IFERROR(IF(VLOOKUP(tbMoveset!A96,tbMoveset!A2:H112,8,FALSE)="Other",IF(VLOOKUP(tbMoveset!A96,tbMoveset!A2:I112,9,FALSE)="Fire",Backdoors!BB40,IF(VLOOKUP(tbMoveset!A96,tbMoveset!A2:I112,9,FALSE)="Water",Backdoors!BC40,IF(VLOOKUP(tbMoveset!A96,tbMoveset!A2:I112,9,FALSE)="Thunder",Backdoors!BD40,IF(VLOOKUP(tbMoveset!A96,tbMoveset!A2:I112,9,FALSE)="Ice",Backdoors!BE40,IF(VLOOKUP(tbMoveset!A96,tbMoveset!A2:I112,9,FALSE)="Dragon",Backdoors!BF40,Backdoors!BG40)))))/100,Backdoors!BG40/100),"")</f>
        <v>0</v>
      </c>
      <c r="JC96" s="49">
        <f>IFERROR(IF(VLOOKUP(A96,tbMoveset!A2:J112,10,FALSE)=TRUE,IF((Backdoors!AI12+IF(JA96&gt;=0.45,VLOOKUP(Calculator!E23,tbSkills!DH3:DI6,2,FALSE)+IF(AND(Calculator!B8=TRUE,Backdoors!BI40=TRUE),VLOOKUP(Calculator!E23,tbSkills!DH3:DJ6,3,FALSE),0),0))&gt;=0,1+(Backdoors!AL2*(IF((Backdoors!AI12+IF(JA96&gt;=0.45,VLOOKUP(Calculator!E23,tbSkills!DH3:DI6,2,FALSE)+IF(AND(Calculator!B8=TRUE,Backdoors!BI40=TRUE),VLOOKUP(Calculator!E23,tbSkills!DH3:DJ6,3,FALSE),0),0))&gt;=100,100,(Backdoors!AI12+IF(JA96&gt;=0.45,VLOOKUP(Calculator!E23,tbSkills!DH3:DI6,2,FALSE)+IF(AND(Calculator!B8=TRUE,Backdoors!BI40=TRUE),VLOOKUP(Calculator!E23,tbSkills!DH3:DJ6,3,FALSE),0),0)))/100)),(1-(0.25*((-Backdoors!AI12-IF(JA96&gt;=0.45,VLOOKUP(Calculator!E23,tbSkills!DH3:DI6,2,FALSE)+IF(AND(Calculator!B8=TRUE,Backdoors!BI40=TRUE),VLOOKUP(Calculator!E23,tbSkills!DH3:DJ6,3,FALSE),0),0))/100)))),1),"")</f>
        <v>1</v>
      </c>
      <c r="JD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A96)*JC96)*(VLOOKUP(A96,tbMoveset!A2:C112,3,FALSE)/100)*IF(VLOOKUP(A96,tbMoveset!A2:B112,2,FALSE)="Projectile",Backdoors!N10,Backdoors!N9),0),"")</f>
        <v/>
      </c>
      <c r="JE96" s="49">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42&gt;0,VLOOKUP(Calculator!E42,tbSkills!AC3:AD5,2,FALSE),Backdoors!AL3)*(IF((Backdoors!AI12+IF(JA96&gt;=0.45,VLOOKUP(Calculator!E23,tbSkills!DH3:DI6,2,FALSE)+IF(AND(Calculator!B8=TRUE,Backdoors!BI40=TRUE),VLOOKUP(Calculator!E23,tbSkills!DH3:DJ6,3,FALSE),0),0))&gt;=100,100,(Backdoors!AI12+IF(JA96&gt;=0.45,VLOOKUP(Calculator!E23,tbSkills!DH3:DI6,2,FALSE)+IF(AND(Calculator!B8=TRUE,Backdoors!BI40=TRUE),VLOOKUP(Calculator!E23,tbSkills!DH3:DJ6,3,FALSE),0),0)))/100)),1))*IF(VLOOKUP(A96,tbMoveset!A2:K112,11,FALSE)=TRUE,Backdoors!AC5,1))*JB96,0),"")</f>
        <v>0</v>
      </c>
      <c r="JF96" s="49">
        <f>VLOOKUP(A96,tbMoveset!A2:G112,7,FALSE)*IFERROR(IF(Backdoors!AI12&gt;=0,1+(IF(Calculator!E40&gt;0,VLOOKUP(Calculator!E40,tbSkills!AI3:AJ5,2,FALSE),Backdoors!AL4)*(IF((Backdoors!AI12+IF(JA96&gt;=0.45,VLOOKUP(Calculator!E23,tbSkills!DH3:DI6,2,FALSE)+IF(AND(Calculator!B8=TRUE,Backdoors!BI40=TRUE),VLOOKUP(Calculator!E23,tbSkills!DH3:DJ6,3,FALSE),0),0))&gt;=100,100,(Backdoors!AI12+IF(JA96&gt;=0.45,VLOOKUP(Calculator!E23,tbSkills!DH3:DI6,2,FALSE)+IF(AND(Calculator!B8=TRUE,Backdoors!BI40=TRUE),VLOOKUP(Calculator!E23,tbSkills!DH3:DJ6,3,FALSE),0),0)))/100)),1),1)</f>
        <v>0.7</v>
      </c>
      <c r="JG96" s="87">
        <f t="shared" si="88"/>
        <v>0</v>
      </c>
      <c r="JH96" s="86" t="str">
        <f>IFERROR(IF(VLOOKUP(A96,tbMoveset!A2:B112,2,FALSE)="Sever",Backdoors!AY41/100,IF(VLOOKUP(A96,tbMoveset!A2:B112,2,FALSE)="Blunt",Backdoors!AZ41/100,Backdoors!BA41/100)),"")</f>
        <v/>
      </c>
      <c r="JI96" s="49">
        <f>IFERROR(IF(VLOOKUP(tbMoveset!A96,tbMoveset!A2:H112,8,FALSE)="Other",IF(VLOOKUP(tbMoveset!A96,tbMoveset!A2:I112,9,FALSE)="Fire",Backdoors!BB41,IF(VLOOKUP(tbMoveset!A96,tbMoveset!A2:I112,9,FALSE)="Water",Backdoors!BC41,IF(VLOOKUP(tbMoveset!A96,tbMoveset!A2:I112,9,FALSE)="Thunder",Backdoors!BD41,IF(VLOOKUP(tbMoveset!A96,tbMoveset!A2:I112,9,FALSE)="Ice",Backdoors!BE41,IF(VLOOKUP(tbMoveset!A96,tbMoveset!A2:I112,9,FALSE)="Dragon",Backdoors!BF41,Backdoors!BG41)))))/100,Backdoors!BG41/100),"")</f>
        <v>0</v>
      </c>
      <c r="JJ96" s="49">
        <f>IFERROR(IF(VLOOKUP(A96,tbMoveset!A2:J112,10,FALSE)=TRUE,IF((Backdoors!AI12+IF(JH96&gt;=0.45,VLOOKUP(Calculator!E23,tbSkills!DH3:DI6,2,FALSE)+IF(AND(Calculator!B8=TRUE,Backdoors!BI41=TRUE),VLOOKUP(Calculator!E23,tbSkills!DH3:DJ6,3,FALSE),0),0))&gt;=0,1+(Backdoors!AL2*(IF((Backdoors!AI12+IF(JH96&gt;=0.45,VLOOKUP(Calculator!E23,tbSkills!DH3:DI6,2,FALSE)+IF(AND(Calculator!B8=TRUE,Backdoors!BI41=TRUE),VLOOKUP(Calculator!E23,tbSkills!DH3:DJ6,3,FALSE),0),0))&gt;=100,100,(Backdoors!AI12+IF(JH96&gt;=0.45,VLOOKUP(Calculator!E23,tbSkills!DH3:DI6,2,FALSE)+IF(AND(Calculator!B8=TRUE,Backdoors!BI41=TRUE),VLOOKUP(Calculator!E23,tbSkills!DH3:DJ6,3,FALSE),0),0)))/100)),(1-(0.25*((-Backdoors!AI12-IF(JH96&gt;=0.45,VLOOKUP(Calculator!E23,tbSkills!DH3:DI6,2,FALSE)+IF(AND(Calculator!B8=TRUE,Backdoors!BI41=TRUE),VLOOKUP(Calculator!E23,tbSkills!DH3:DJ6,3,FALSE),0),0))/100)))),1),"")</f>
        <v>1</v>
      </c>
      <c r="JK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H96)*JJ96)*(VLOOKUP(A96,tbMoveset!A2:C112,3,FALSE)/100)*IF(VLOOKUP(A96,tbMoveset!A2:B112,2,FALSE)="Projectile",Backdoors!N10,Backdoors!N9),0),"")</f>
        <v/>
      </c>
      <c r="JL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43&gt;0,VLOOKUP(Calculator!E43,tbSkills!AC3:AD5,2,FALSE),Backdoors!AL3)*(IF((Backdoors!AI12+IF(JH96&gt;=0.45,VLOOKUP(Calculator!E23,tbSkills!DH3:DI6,2,FALSE)+IF(AND(Calculator!B8=TRUE,Backdoors!BI41=TRUE),VLOOKUP(Calculator!E23,tbSkills!DH3:DJ6,3,FALSE),0),0))&gt;=100,100,(Backdoors!AI12+IF(JH96&gt;=0.45,VLOOKUP(Calculator!E23,tbSkills!DH3:DI6,2,FALSE)+IF(AND(Calculator!B8=TRUE,Backdoors!BI41=TRUE),VLOOKUP(Calculator!E23,tbSkills!DH3:DJ6,3,FALSE),0),0)))/100)),1))*IF(VLOOKUP(A96,tbMoveset!A2:K112,11,FALSE)=TRUE,Backdoors!AC5,1))*JI96,0),"")</f>
        <v/>
      </c>
      <c r="JM96" s="49">
        <f>VLOOKUP(A96,tbMoveset!A2:G112,7,FALSE)*IFERROR(IF(Backdoors!AI12&gt;=0,1+(IF(Calculator!E40&gt;0,VLOOKUP(Calculator!E40,tbSkills!AI3:AJ5,2,FALSE),Backdoors!AL4)*(IF((Backdoors!AI12+IF(JH96&gt;=0.45,VLOOKUP(Calculator!E23,tbSkills!DH3:DI6,2,FALSE)+IF(AND(Calculator!B8=TRUE,Backdoors!BI41=TRUE),VLOOKUP(Calculator!E23,tbSkills!DH3:DJ6,3,FALSE),0),0))&gt;=100,100,(Backdoors!AI12+IF(JH96&gt;=0.45,VLOOKUP(Calculator!E23,tbSkills!DH3:DI6,2,FALSE)+IF(AND(Calculator!B8=TRUE,Backdoors!BI41=TRUE),VLOOKUP(Calculator!E23,tbSkills!DH3:DJ6,3,FALSE),0),0)))/100)),1),1)</f>
        <v>0.7</v>
      </c>
      <c r="JN96" s="87">
        <f t="shared" si="89"/>
        <v>0</v>
      </c>
      <c r="JO96" s="86" t="str">
        <f>IFERROR(IF(VLOOKUP(A96,tbMoveset!A2:B112,2,FALSE)="Sever",Backdoors!AY42/100,IF(VLOOKUP(A96,tbMoveset!A2:B112,2,FALSE)="Blunt",Backdoors!AZ42/100,Backdoors!BA42/100)),"")</f>
        <v/>
      </c>
      <c r="JP96" s="49">
        <f>IFERROR(IF(VLOOKUP(tbMoveset!A96,tbMoveset!A2:H112,8,FALSE)="Other",IF(VLOOKUP(tbMoveset!A96,tbMoveset!A2:I112,9,FALSE)="Fire",Backdoors!BB42,IF(VLOOKUP(tbMoveset!A96,tbMoveset!A2:I112,9,FALSE)="Water",Backdoors!BC42,IF(VLOOKUP(tbMoveset!A96,tbMoveset!A2:I112,9,FALSE)="Thunder",Backdoors!BD42,IF(VLOOKUP(tbMoveset!A96,tbMoveset!A2:I112,9,FALSE)="Ice",Backdoors!BE42,IF(VLOOKUP(tbMoveset!A96,tbMoveset!A2:I112,9,FALSE)="Dragon",Backdoors!BF42,Backdoors!BG42)))))/100,Backdoors!BG42/100),"")</f>
        <v>0</v>
      </c>
      <c r="JQ96" s="49">
        <f>IFERROR(IF(VLOOKUP(A96,tbMoveset!A2:J112,10,FALSE)=TRUE,IF((Backdoors!AI12+IF(JO96&gt;=0.45,VLOOKUP(Calculator!E23,tbSkills!DH3:DI6,2,FALSE)+IF(AND(Calculator!B8=TRUE,Backdoors!BI42=TRUE),VLOOKUP(Calculator!E23,tbSkills!DH3:DJ6,3,FALSE),0),0))&gt;=0,1+(Backdoors!AL2*(IF((Backdoors!AI12+IF(JO96&gt;=0.45,VLOOKUP(Calculator!E23,tbSkills!DH3:DI6,2,FALSE)+IF(AND(Calculator!B8=TRUE,Backdoors!BI42=TRUE),VLOOKUP(Calculator!E23,tbSkills!DH3:DJ6,3,FALSE),0),0))&gt;=100,100,(Backdoors!AI12+IF(JO96&gt;=0.45,VLOOKUP(Calculator!E23,tbSkills!DH3:DI6,2,FALSE)+IF(AND(Calculator!B8=TRUE,Backdoors!BI42=TRUE),VLOOKUP(Calculator!E23,tbSkills!DH3:DJ6,3,FALSE),0),0)))/100)),(1-(0.25*((-Backdoors!AI12-IF(JO96&gt;=0.45,VLOOKUP(Calculator!E23,tbSkills!DH3:DI6,2,FALSE)+IF(AND(Calculator!B8=TRUE,Backdoors!BI42=TRUE),VLOOKUP(Calculator!E23,tbSkills!DH3:DJ6,3,FALSE),0),0))/100)))),1),"")</f>
        <v>1</v>
      </c>
      <c r="JR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O96)*JQ96)*(VLOOKUP(A96,tbMoveset!A2:C112,3,FALSE)/100)*IF(VLOOKUP(A96,tbMoveset!A2:B112,2,FALSE)="Projectile",Backdoors!N10,Backdoors!N9),0),"")</f>
        <v/>
      </c>
      <c r="JS96" s="49">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45&gt;0,VLOOKUP(Calculator!E45,tbSkills!AC3:AD5,2,FALSE),Backdoors!AL3)*(IF((Backdoors!AI12+IF(JO96&gt;=0.45,VLOOKUP(Calculator!E23,tbSkills!DH3:DI6,2,FALSE)+IF(AND(Calculator!B8=TRUE,Backdoors!BI42=TRUE),VLOOKUP(Calculator!E23,tbSkills!DH3:DJ6,3,FALSE),0),0))&gt;=100,100,(Backdoors!AI12+IF(JO96&gt;=0.45,VLOOKUP(Calculator!E23,tbSkills!DH3:DI6,2,FALSE)+IF(AND(Calculator!B8=TRUE,Backdoors!BI42=TRUE),VLOOKUP(Calculator!E23,tbSkills!DH3:DJ6,3,FALSE),0),0)))/100)),1))*IF(VLOOKUP(A96,tbMoveset!A2:K112,11,FALSE)=TRUE,Backdoors!AC5,1))*JP96,0),"")</f>
        <v>0</v>
      </c>
      <c r="JT96" s="49">
        <f>VLOOKUP(A96,tbMoveset!A2:G112,7,FALSE)*IFERROR(IF(Backdoors!AI12&gt;=0,1+(IF(Calculator!E40&gt;0,VLOOKUP(Calculator!E40,tbSkills!AI3:AJ5,2,FALSE),Backdoors!AL4)*(IF((Backdoors!AI12+IF(JO96&gt;=0.45,VLOOKUP(Calculator!E23,tbSkills!DH3:DI6,2,FALSE)+IF(AND(Calculator!B8=TRUE,Backdoors!BI42=TRUE),VLOOKUP(Calculator!E23,tbSkills!DH3:DJ6,3,FALSE),0),0))&gt;=100,100,(Backdoors!AI12+IF(JO96&gt;=0.45,VLOOKUP(Calculator!E23,tbSkills!DH3:DI6,2,FALSE)+IF(AND(Calculator!B8=TRUE,Backdoors!BI42=TRUE),VLOOKUP(Calculator!E23,tbSkills!DH3:DJ6,3,FALSE),0),0)))/100)),1),1)</f>
        <v>0.7</v>
      </c>
      <c r="JU96" s="87">
        <f t="shared" si="90"/>
        <v>0</v>
      </c>
      <c r="JV96" s="86" t="str">
        <f>IFERROR(IF(VLOOKUP(A96,tbMoveset!A2:B112,2,FALSE)="Sever",Backdoors!AY43/100,IF(VLOOKUP(A96,tbMoveset!A2:B112,2,FALSE)="Blunt",Backdoors!AZ43/100,Backdoors!BA43/100)),"")</f>
        <v/>
      </c>
      <c r="JW96" s="49">
        <f>IFERROR(IF(VLOOKUP(tbMoveset!A96,tbMoveset!A2:H112,8,FALSE)="Other",IF(VLOOKUP(tbMoveset!A96,tbMoveset!A2:I112,9,FALSE)="Fire",Backdoors!BB43,IF(VLOOKUP(tbMoveset!A96,tbMoveset!A2:I112,9,FALSE)="Water",Backdoors!BC43,IF(VLOOKUP(tbMoveset!A96,tbMoveset!A2:I112,9,FALSE)="Thunder",Backdoors!BD43,IF(VLOOKUP(tbMoveset!A96,tbMoveset!A2:I112,9,FALSE)="Ice",Backdoors!BE43,IF(VLOOKUP(tbMoveset!A96,tbMoveset!A2:I112,9,FALSE)="Dragon",Backdoors!BF43,Backdoors!BG43)))))/100,Backdoors!BG43/100),"")</f>
        <v>0</v>
      </c>
      <c r="JX96" s="49">
        <f>IFERROR(IF(VLOOKUP(A96,tbMoveset!A2:J112,10,FALSE)=TRUE,IF((Backdoors!AI12+IF(JV96&gt;=0.45,VLOOKUP(Calculator!E23,tbSkills!DH3:DI6,2,FALSE)+IF(AND(Calculator!B8=TRUE,Backdoors!BI43=TRUE),VLOOKUP(Calculator!E23,tbSkills!DH3:DJ6,3,FALSE),0),0))&gt;=0,1+(Backdoors!AL2*(IF((Backdoors!AI12+IF(JV96&gt;=0.45,VLOOKUP(Calculator!E23,tbSkills!DH3:DI6,2,FALSE)+IF(AND(Calculator!B8=TRUE,Backdoors!BI43=TRUE),VLOOKUP(Calculator!E23,tbSkills!DH3:DJ6,3,FALSE),0),0))&gt;=100,100,(Backdoors!AI12+IF(JV96&gt;=0.45,VLOOKUP(Calculator!E23,tbSkills!DH3:DI6,2,FALSE)+IF(AND(Calculator!B8=TRUE,Backdoors!BI43=TRUE),VLOOKUP(Calculator!E23,tbSkills!DH3:DJ6,3,FALSE),0),0)))/100)),(1-(0.25*((-Backdoors!AI12-IF(JV96&gt;=0.45,VLOOKUP(Calculator!E23,tbSkills!DH3:DI6,2,FALSE)+IF(AND(Calculator!B8=TRUE,Backdoors!BI43=TRUE),VLOOKUP(Calculator!E23,tbSkills!DH3:DJ6,3,FALSE),0),0))/100)))),1),"")</f>
        <v>1</v>
      </c>
      <c r="JY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V96)*JX96)*(VLOOKUP(A96,tbMoveset!A2:C112,3,FALSE)/100)*IF(VLOOKUP(A96,tbMoveset!A2:B112,2,FALSE)="Projectile",Backdoors!N10,Backdoors!N9),0),"")</f>
        <v/>
      </c>
      <c r="JZ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46&gt;0,VLOOKUP(Calculator!E46,tbSkills!AC3:AD5,2,FALSE),Backdoors!AL3)*(IF((Backdoors!AI12+IF(JV96&gt;=0.45,VLOOKUP(Calculator!E23,tbSkills!DH3:DI6,2,FALSE)+IF(AND(Calculator!B8=TRUE,Backdoors!BI43=TRUE),VLOOKUP(Calculator!E23,tbSkills!DH3:DJ6,3,FALSE),0),0))&gt;=100,100,(Backdoors!AI12+IF(JV96&gt;=0.45,VLOOKUP(Calculator!E23,tbSkills!DH3:DI6,2,FALSE)+IF(AND(Calculator!B8=TRUE,Backdoors!BI43=TRUE),VLOOKUP(Calculator!E23,tbSkills!DH3:DJ6,3,FALSE),0),0)))/100)),1))*IF(VLOOKUP(A96,tbMoveset!A2:K112,11,FALSE)=TRUE,Backdoors!AC5,1))*JW96,0),"")</f>
        <v/>
      </c>
      <c r="KA96" s="49">
        <f>VLOOKUP(A96,tbMoveset!A2:G112,7,FALSE)*IFERROR(IF(Backdoors!AI12&gt;=0,1+(IF(Calculator!E40&gt;0,VLOOKUP(Calculator!E40,tbSkills!AI3:AJ5,2,FALSE),Backdoors!AL4)*(IF((Backdoors!AI12+IF(JV96&gt;=0.45,VLOOKUP(Calculator!E23,tbSkills!DH3:DI6,2,FALSE)+IF(AND(Calculator!B8=TRUE,Backdoors!BI43=TRUE),VLOOKUP(Calculator!E23,tbSkills!DH3:DJ6,3,FALSE),0),0))&gt;=100,100,(Backdoors!AI12+IF(JV96&gt;=0.45,VLOOKUP(Calculator!E23,tbSkills!DH3:DI6,2,FALSE)+IF(AND(Calculator!B8=TRUE,Backdoors!BI43=TRUE),VLOOKUP(Calculator!E23,tbSkills!DH3:DJ6,3,FALSE),0),0)))/100)),1),1)</f>
        <v>0.7</v>
      </c>
      <c r="KB96" s="87">
        <f t="shared" si="91"/>
        <v>0</v>
      </c>
      <c r="KC96" s="86" t="str">
        <f>IFERROR(IF(VLOOKUP(A96,tbMoveset!A2:B112,2,FALSE)="Sever",Backdoors!AY44/100,IF(VLOOKUP(A96,tbMoveset!A2:B112,2,FALSE)="Blunt",Backdoors!AZ44/100,Backdoors!BA44/100)),"")</f>
        <v/>
      </c>
      <c r="KD96" s="49">
        <f>IFERROR(IF(VLOOKUP(tbMoveset!A96,tbMoveset!A2:H112,8,FALSE)="Other",IF(VLOOKUP(tbMoveset!A96,tbMoveset!A2:I112,9,FALSE)="Fire",Backdoors!BB44,IF(VLOOKUP(tbMoveset!A96,tbMoveset!A2:I112,9,FALSE)="Water",Backdoors!BC44,IF(VLOOKUP(tbMoveset!A96,tbMoveset!A2:I112,9,FALSE)="Thunder",Backdoors!BD44,IF(VLOOKUP(tbMoveset!A96,tbMoveset!A2:I112,9,FALSE)="Ice",Backdoors!BE44,IF(VLOOKUP(tbMoveset!A96,tbMoveset!A2:I112,9,FALSE)="Dragon",Backdoors!BF44,Backdoors!BG44)))))/100,Backdoors!BG44/100),"")</f>
        <v>0</v>
      </c>
      <c r="KE96" s="49">
        <f>IFERROR(IF(VLOOKUP(A96,tbMoveset!A2:J112,10,FALSE)=TRUE,IF((Backdoors!AI12+IF(KC96&gt;=0.45,VLOOKUP(Calculator!E23,tbSkills!DH3:DI6,2,FALSE)+IF(AND(Calculator!B8=TRUE,Backdoors!BI44=TRUE),VLOOKUP(Calculator!E23,tbSkills!DH3:DJ6,3,FALSE),0),0))&gt;=0,1+(Backdoors!AL2*(IF((Backdoors!AI12+IF(KC96&gt;=0.45,VLOOKUP(Calculator!E23,tbSkills!DH3:DI6,2,FALSE)+IF(AND(Calculator!B8=TRUE,Backdoors!BI44=TRUE),VLOOKUP(Calculator!E23,tbSkills!DH3:DJ6,3,FALSE),0),0))&gt;=100,100,(Backdoors!AI12+IF(KC96&gt;=0.45,VLOOKUP(Calculator!E23,tbSkills!DH3:DI6,2,FALSE)+IF(AND(Calculator!B8=TRUE,Backdoors!BI44=TRUE),VLOOKUP(Calculator!E23,tbSkills!DH3:DJ6,3,FALSE),0),0)))/100)),(1-(0.25*((-Backdoors!AI12-IF(KC96&gt;=0.45,VLOOKUP(Calculator!E23,tbSkills!DH3:DI6,2,FALSE)+IF(AND(Calculator!B8=TRUE,Backdoors!BI44=TRUE),VLOOKUP(Calculator!E23,tbSkills!DH3:DJ6,3,FALSE),0),0))/100)))),1),"")</f>
        <v>1</v>
      </c>
      <c r="KF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KC96)*KE96)*(VLOOKUP(A96,tbMoveset!A2:C112,3,FALSE)/100)*IF(VLOOKUP(A96,tbMoveset!A2:B112,2,FALSE)="Projectile",Backdoors!N10,Backdoors!N9),0),"")</f>
        <v/>
      </c>
      <c r="KG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REF!&gt;0,VLOOKUP(Calculator!#REF!,tbSkills!AC3:AD5,2,FALSE),Backdoors!AL3)*(IF((Backdoors!AI12+IF(KC96&gt;=0.45,VLOOKUP(Calculator!E23,tbSkills!DH3:DI6,2,FALSE)+IF(AND(Calculator!B8=TRUE,Backdoors!BI44=TRUE),VLOOKUP(Calculator!E23,tbSkills!DH3:DJ6,3,FALSE),0),0))&gt;=100,100,(Backdoors!AI12+IF(KC96&gt;=0.45,VLOOKUP(Calculator!E23,tbSkills!DH3:DI6,2,FALSE)+IF(AND(Calculator!B8=TRUE,Backdoors!BI44=TRUE),VLOOKUP(Calculator!E23,tbSkills!DH3:DJ6,3,FALSE),0),0)))/100)),1))*IF(VLOOKUP(A96,tbMoveset!A2:K112,11,FALSE)=TRUE,Backdoors!AC5,1))*KD96,0),"")</f>
        <v/>
      </c>
      <c r="KH96" s="49">
        <f>VLOOKUP(A96,tbMoveset!A2:G112,7,FALSE)*IFERROR(IF(Backdoors!AI12&gt;=0,1+(IF(Calculator!E40&gt;0,VLOOKUP(Calculator!E40,tbSkills!AI3:AJ5,2,FALSE),Backdoors!AL4)*(IF((Backdoors!AI12+IF(KC96&gt;=0.45,VLOOKUP(Calculator!E23,tbSkills!DH3:DI6,2,FALSE)+IF(AND(Calculator!B8=TRUE,Backdoors!BI44=TRUE),VLOOKUP(Calculator!E23,tbSkills!DH3:DJ6,3,FALSE),0),0))&gt;=100,100,(Backdoors!AI12+IF(KC96&gt;=0.45,VLOOKUP(Calculator!E23,tbSkills!DH3:DI6,2,FALSE)+IF(AND(Calculator!B8=TRUE,Backdoors!BI44=TRUE),VLOOKUP(Calculator!E23,tbSkills!DH3:DJ6,3,FALSE),0),0)))/100)),1),1)</f>
        <v>0.7</v>
      </c>
      <c r="KI96" s="87">
        <f t="shared" si="92"/>
        <v>0</v>
      </c>
      <c r="KJ96" s="86" t="str">
        <f>IFERROR(IF(VLOOKUP(A96,tbMoveset!A2:B112,2,FALSE)="Sever",Backdoors!AY45/100,IF(VLOOKUP(A96,tbMoveset!A2:B112,2,FALSE)="Blunt",Backdoors!AZ45/100,Backdoors!BA45/100)),"")</f>
        <v/>
      </c>
      <c r="KK96" s="49">
        <f>IFERROR(IF(VLOOKUP(tbMoveset!A96,tbMoveset!A2:H112,8,FALSE)="Other",IF(VLOOKUP(tbMoveset!A96,tbMoveset!A2:I112,9,FALSE)="Fire",Backdoors!BB45,IF(VLOOKUP(tbMoveset!A96,tbMoveset!A2:I112,9,FALSE)="Water",Backdoors!BC45,IF(VLOOKUP(tbMoveset!A96,tbMoveset!A2:I112,9,FALSE)="Thunder",Backdoors!BD45,IF(VLOOKUP(tbMoveset!A96,tbMoveset!A2:I112,9,FALSE)="Ice",Backdoors!BE45,IF(VLOOKUP(tbMoveset!A96,tbMoveset!A2:I112,9,FALSE)="Dragon",Backdoors!BF45,Backdoors!BG45)))))/100,Backdoors!BG45/100),"")</f>
        <v>0</v>
      </c>
      <c r="KL96" s="49">
        <f>IFERROR(IF(VLOOKUP(A96,tbMoveset!A2:J112,10,FALSE)=TRUE,IF((Backdoors!AI12+IF(KJ96&gt;=0.45,VLOOKUP(Calculator!E23,tbSkills!DH3:DI6,2,FALSE)+IF(AND(Calculator!B8=TRUE,Backdoors!BI45=TRUE),VLOOKUP(Calculator!E23,tbSkills!DH3:DJ6,3,FALSE),0),0))&gt;=0,1+(Backdoors!AL2*(IF((Backdoors!AI12+IF(KJ96&gt;=0.45,VLOOKUP(Calculator!E23,tbSkills!DH3:DI6,2,FALSE)+IF(AND(Calculator!B8=TRUE,Backdoors!BI45=TRUE),VLOOKUP(Calculator!E23,tbSkills!DH3:DJ6,3,FALSE),0),0))&gt;=100,100,(Backdoors!AI12+IF(KJ96&gt;=0.45,VLOOKUP(Calculator!E23,tbSkills!DH3:DI6,2,FALSE)+IF(AND(Calculator!B8=TRUE,Backdoors!BI45=TRUE),VLOOKUP(Calculator!E23,tbSkills!DH3:DJ6,3,FALSE),0),0)))/100)),(1-(0.25*((-Backdoors!AI12-IF(KJ96&gt;=0.45,VLOOKUP(Calculator!E23,tbSkills!DH3:DI6,2,FALSE)+IF(AND(Calculator!B8=TRUE,Backdoors!BI45=TRUE),VLOOKUP(Calculator!E23,tbSkills!DH3:DJ6,3,FALSE),0),0))/100)))),1),"")</f>
        <v>1</v>
      </c>
      <c r="KM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KJ96)*KL96)*(VLOOKUP(A96,tbMoveset!A2:C112,3,FALSE)/100)*IF(VLOOKUP(A96,tbMoveset!A2:B112,2,FALSE)="Projectile",Backdoors!N10,Backdoors!N9),0),"")</f>
        <v/>
      </c>
      <c r="KN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REF!&gt;0,VLOOKUP(Calculator!#REF!,tbSkills!AC3:AD5,2,FALSE),Backdoors!AL3)*(IF((Backdoors!AI12+IF(KJ96&gt;=0.45,VLOOKUP(Calculator!E23,tbSkills!DH3:DI6,2,FALSE)+IF(AND(Calculator!B8=TRUE,Backdoors!BI45=TRUE),VLOOKUP(Calculator!E23,tbSkills!DH3:DJ6,3,FALSE),0),0))&gt;=100,100,(Backdoors!AI12+IF(KJ96&gt;=0.45,VLOOKUP(Calculator!E23,tbSkills!DH3:DI6,2,FALSE)+IF(AND(Calculator!B8=TRUE,Backdoors!BI45=TRUE),VLOOKUP(Calculator!E23,tbSkills!DH3:DJ6,3,FALSE),0),0)))/100)),1))*IF(VLOOKUP(A96,tbMoveset!A2:K112,11,FALSE)=TRUE,Backdoors!AC5,1))*KK96,0),"")</f>
        <v/>
      </c>
      <c r="KO96" s="49">
        <f>VLOOKUP(A96,tbMoveset!A2:G112,7,FALSE)*IFERROR(IF(Backdoors!AI12&gt;=0,1+(IF(Calculator!E40&gt;0,VLOOKUP(Calculator!E40,tbSkills!AI3:AJ5,2,FALSE),Backdoors!AL4)*(IF((Backdoors!AI12+IF(KJ96&gt;=0.45,VLOOKUP(Calculator!E23,tbSkills!DH3:DI6,2,FALSE)+IF(AND(Calculator!B8=TRUE,Backdoors!BI45=TRUE),VLOOKUP(Calculator!E23,tbSkills!DH3:DJ6,3,FALSE),0),0))&gt;=100,100,(Backdoors!AI12+IF(KJ96&gt;=0.45,VLOOKUP(Calculator!E23,tbSkills!DH3:DI6,2,FALSE)+IF(AND(Calculator!B8=TRUE,Backdoors!BI45=TRUE),VLOOKUP(Calculator!E23,tbSkills!DH3:DJ6,3,FALSE),0),0)))/100)),1),1)</f>
        <v>0.7</v>
      </c>
      <c r="KP96" s="87">
        <f t="shared" si="93"/>
        <v>0</v>
      </c>
      <c r="KQ96" s="86" t="str">
        <f>IFERROR(IF(VLOOKUP(A96,tbMoveset!A2:B112,2,FALSE)="Sever",Backdoors!AY46/100,IF(VLOOKUP(A96,tbMoveset!A2:B112,2,FALSE)="Blunt",Backdoors!AZ46/100,Backdoors!BA46/100)),"")</f>
        <v/>
      </c>
      <c r="KR96" s="49">
        <f>IFERROR(IF(VLOOKUP(tbMoveset!A96,tbMoveset!A2:H112,8,FALSE)="Other",IF(VLOOKUP(tbMoveset!A96,tbMoveset!A2:I112,9,FALSE)="Fire",Backdoors!BB46,IF(VLOOKUP(tbMoveset!A96,tbMoveset!A2:I112,9,FALSE)="Water",Backdoors!BC46,IF(VLOOKUP(tbMoveset!A96,tbMoveset!A2:I112,9,FALSE)="Thunder",Backdoors!BD46,IF(VLOOKUP(tbMoveset!A96,tbMoveset!A2:I112,9,FALSE)="Ice",Backdoors!BE46,IF(VLOOKUP(tbMoveset!A96,tbMoveset!A2:I112,9,FALSE)="Dragon",Backdoors!BF46,Backdoors!BG46)))))/100,Backdoors!BG46/100),"")</f>
        <v>0</v>
      </c>
      <c r="KS96" s="49">
        <f>IFERROR(IF(VLOOKUP(A96,tbMoveset!A2:J112,10,FALSE)=TRUE,IF((Backdoors!AI12+IF(KQ96&gt;=0.45,VLOOKUP(Calculator!E23,tbSkills!DH3:DI6,2,FALSE)+IF(AND(Calculator!B8=TRUE,Backdoors!BI46=TRUE),VLOOKUP(Calculator!E23,tbSkills!DH3:DJ6,3,FALSE),0),0))&gt;=0,1+(Backdoors!AL2*(IF((Backdoors!AI12+IF(KQ96&gt;=0.45,VLOOKUP(Calculator!E23,tbSkills!DH3:DI6,2,FALSE)+IF(AND(Calculator!B8=TRUE,Backdoors!BI46=TRUE),VLOOKUP(Calculator!E23,tbSkills!DH3:DJ6,3,FALSE),0),0))&gt;=100,100,(Backdoors!AI12+IF(KQ96&gt;=0.45,VLOOKUP(Calculator!E23,tbSkills!DH3:DI6,2,FALSE)+IF(AND(Calculator!B8=TRUE,Backdoors!BI46=TRUE),VLOOKUP(Calculator!E23,tbSkills!DH3:DJ6,3,FALSE),0),0)))/100)),(1-(0.25*((-Backdoors!AI12-IF(KQ96&gt;=0.45,VLOOKUP(Calculator!E23,tbSkills!DH3:DI6,2,FALSE)+IF(AND(Calculator!B8=TRUE,Backdoors!BI46=TRUE),VLOOKUP(Calculator!E23,tbSkills!DH3:DJ6,3,FALSE),0),0))/100)))),1),"")</f>
        <v>1</v>
      </c>
      <c r="KT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KQ96)*KS96)*(VLOOKUP(A96,tbMoveset!A2:C112,3,FALSE)/100)*IF(VLOOKUP(A96,tbMoveset!A2:B112,2,FALSE)="Projectile",Backdoors!N10,Backdoors!N9),0),"")</f>
        <v/>
      </c>
      <c r="KU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REF!&gt;0,VLOOKUP(Calculator!#REF!,tbSkills!AC3:AD5,2,FALSE),Backdoors!AL3)*(IF((Backdoors!AI12+IF(KQ96&gt;=0.45,VLOOKUP(Calculator!E23,tbSkills!DH3:DI6,2,FALSE)+IF(AND(Calculator!B8=TRUE,Backdoors!BI46=TRUE),VLOOKUP(Calculator!E23,tbSkills!DH3:DJ6,3,FALSE),0),0))&gt;=100,100,(Backdoors!AI12+IF(KQ96&gt;=0.45,VLOOKUP(Calculator!E23,tbSkills!DH3:DI6,2,FALSE)+IF(AND(Calculator!B8=TRUE,Backdoors!BI46=TRUE),VLOOKUP(Calculator!E23,tbSkills!DH3:DJ6,3,FALSE),0),0)))/100)),1))*IF(VLOOKUP(A96,tbMoveset!A2:K112,11,FALSE)=TRUE,Backdoors!AC5,1))*KR96,0),"")</f>
        <v/>
      </c>
      <c r="KV96" s="49">
        <f>VLOOKUP(A96,tbMoveset!A2:G112,7,FALSE)*IFERROR(IF(Backdoors!AI12&gt;=0,1+(IF(Calculator!E40&gt;0,VLOOKUP(Calculator!E40,tbSkills!AI3:AJ5,2,FALSE),Backdoors!AL4)*(IF((Backdoors!AI12+IF(KQ96&gt;=0.45,VLOOKUP(Calculator!E23,tbSkills!DH3:DI6,2,FALSE)+IF(AND(Calculator!B8=TRUE,Backdoors!BI46=TRUE),VLOOKUP(Calculator!E23,tbSkills!DH3:DJ6,3,FALSE),0),0))&gt;=100,100,(Backdoors!AI12+IF(KQ96&gt;=0.45,VLOOKUP(Calculator!E23,tbSkills!DH3:DI6,2,FALSE)+IF(AND(Calculator!B8=TRUE,Backdoors!BI46=TRUE),VLOOKUP(Calculator!E23,tbSkills!DH3:DJ6,3,FALSE),0),0)))/100)),1),1)</f>
        <v>0.7</v>
      </c>
      <c r="KW96" s="87">
        <f t="shared" si="94"/>
        <v>0</v>
      </c>
    </row>
    <row r="97" spans="1:309" x14ac:dyDescent="0.25">
      <c r="A97" s="95" t="str">
        <f>tbMoveset!A97</f>
        <v>[Clutching] Weapon Attack (L3 Repeated)</v>
      </c>
      <c r="B97" s="86">
        <f>IFERROR(IF(VLOOKUP(A97,tbMoveset!A2:B112,2,FALSE)="Sever",Backdoors!AY3/100,IF(VLOOKUP(A97,tbMoveset!A2:B112,2,FALSE)="Blunt",Backdoors!AZ3/100,Backdoors!BA3/100)),"")</f>
        <v>0.8</v>
      </c>
      <c r="C97" s="49">
        <f>IFERROR(IF(VLOOKUP(tbMoveset!A97,tbMoveset!A2:H112,8,FALSE)="Other",IF(VLOOKUP(tbMoveset!A97,tbMoveset!A2:I112,9,FALSE)="Fire",Backdoors!BB3,IF(VLOOKUP(tbMoveset!A97,tbMoveset!A2:I112,9,FALSE)="Water",Backdoors!BC3,IF(VLOOKUP(tbMoveset!A97,tbMoveset!A2:I112,9,FALSE)="Thunder",Backdoors!BD3,IF(VLOOKUP(tbMoveset!A97,tbMoveset!A2:I112,9,FALSE)="Ice",Backdoors!BE3,IF(VLOOKUP(tbMoveset!A97,tbMoveset!A2:I112,9,FALSE)="Dragon",Backdoors!BF3,Backdoors!BG3)))))/100,Backdoors!BG3/100),"")</f>
        <v>0</v>
      </c>
      <c r="D97" s="49">
        <f>IFERROR(IF(VLOOKUP(A97,tbMoveset!A2:J112,10,FALSE)=TRUE,IF((Backdoors!AI12+IF(B97&gt;=0.45,VLOOKUP(Calculator!E23,tbSkills!DH3:DI6,2,FALSE)+IF(AND(Calculator!B8=TRUE,Backdoors!BI3=TRUE),VLOOKUP(Calculator!E23,tbSkills!DH3:DJ6,3,FALSE),0),0))&gt;=0,1+(Backdoors!AL2*(IF((Backdoors!AI12+IF(B97&gt;=0.45,VLOOKUP(Calculator!E23,tbSkills!DH3:DI6,2,FALSE)+IF(AND(Calculator!B8=TRUE,Backdoors!BI3=TRUE),VLOOKUP(Calculator!E23,tbSkills!DH3:DJ6,3,FALSE),0),0))&gt;=100,100,(Backdoors!AI12+IF(B97&gt;=0.45,VLOOKUP(Calculator!E23,tbSkills!DH3:DI6,2,FALSE)+IF(AND(Calculator!B8=TRUE,Backdoors!BI3=TRUE),VLOOKUP(Calculator!E23,tbSkills!DH3:DJ6,3,FALSE),0),0)))/100)),(1-(0.25*((-Backdoors!AI12-IF(B97&gt;=0.45,VLOOKUP(Calculator!E23,tbSkills!DH3:DI6,2,FALSE)+IF(AND(Calculator!B8=TRUE,Backdoors!BI3=TRUE),VLOOKUP(Calculator!E23,tbSkills!DH3:DJ6,3,FALSE),0),0))/100)))),1),"")</f>
        <v>1</v>
      </c>
      <c r="E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97)*D97)*(VLOOKUP(A97,tbMoveset!A2:C112,3,FALSE)/100)*IF(VLOOKUP(A97,tbMoveset!A2:B112,2,FALSE)="Projectile",Backdoors!N10,Backdoors!N9),0),"")</f>
        <v>6</v>
      </c>
      <c r="F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97&gt;=0.45,VLOOKUP(Calculator!E23,tbSkills!DH3:DI6,2,FALSE)+IF(AND(Calculator!B8=TRUE,Backdoors!BI3=TRUE),VLOOKUP(Calculator!E23,tbSkills!DH3:DJ6,3,FALSE),0),0))&gt;=100,100,(Backdoors!AI12+IF(B97&gt;=0.45,VLOOKUP(Calculator!E23,tbSkills!DH3:DI6,2,FALSE)+IF(AND(Calculator!B8=TRUE,Backdoors!BI3=TRUE),VLOOKUP(Calculator!E23,tbSkills!DH3:DJ6,3,FALSE),0),0)))/100)),1))*IF(VLOOKUP(A97,tbMoveset!A2:K112,11,FALSE)=TRUE,Backdoors!AC5,1))*C97,0),"")</f>
        <v>0</v>
      </c>
      <c r="G97">
        <f>VLOOKUP(A97,tbMoveset!A2:G112,7,FALSE)*IFERROR(IF(Backdoors!AI12&gt;=0,1+(IF(Calculator!E40&gt;0,VLOOKUP(Calculator!E40,tbSkills!AI3:AJ5,2,FALSE),Backdoors!AL4)*(IF((Backdoors!AI12+IF(B97&gt;=0.45,VLOOKUP(Calculator!E23,tbSkills!DH3:DI6,2,FALSE)+IF(AND(Calculator!B8=TRUE,Backdoors!BI3=TRUE),VLOOKUP(Calculator!E23,tbSkills!DH3:DJ6,3,FALSE),0),0))&gt;=100,100,(Backdoors!AI12+IF(B97&gt;=0.45,VLOOKUP(Calculator!E23,tbSkills!DH3:DI6,2,FALSE)+IF(AND(Calculator!B8=TRUE,Backdoors!BI3=TRUE),VLOOKUP(Calculator!E23,tbSkills!DH3:DJ6,3,FALSE),0),0)))/100)),1),1)</f>
        <v>0.7</v>
      </c>
      <c r="H97" s="87">
        <f t="shared" si="51"/>
        <v>6</v>
      </c>
      <c r="I97" s="86">
        <f>IFERROR(IF(VLOOKUP(A97,tbMoveset!A2:B112,2,FALSE)="Sever",Backdoors!AY4/100,IF(VLOOKUP(A97,tbMoveset!A2:B112,2,FALSE)="Blunt",Backdoors!AZ4/100,Backdoors!BA4/100)),"")</f>
        <v>0.65</v>
      </c>
      <c r="J97" s="49">
        <f>IFERROR(IF(VLOOKUP(tbMoveset!A97,tbMoveset!A2:H112,8,FALSE)="Other",IF(VLOOKUP(tbMoveset!A97,tbMoveset!A2:I112,9,FALSE)="Fire",Backdoors!BB4,IF(VLOOKUP(tbMoveset!A97,tbMoveset!A2:I112,9,FALSE)="Water",Backdoors!BC4,IF(VLOOKUP(tbMoveset!A97,tbMoveset!A2:I112,9,FALSE)="Thunder",Backdoors!BD4,IF(VLOOKUP(tbMoveset!A97,tbMoveset!A2:I112,9,FALSE)="Ice",Backdoors!BE4,IF(VLOOKUP(tbMoveset!A97,tbMoveset!A2:I112,9,FALSE)="Dragon",Backdoors!BF4,Backdoors!BG4)))))/100,Backdoors!BG4/100),"")</f>
        <v>0</v>
      </c>
      <c r="K97" s="49">
        <f>IFERROR(IF(VLOOKUP(A97,tbMoveset!A2:J112,10,FALSE)=TRUE,IF((Backdoors!AI12+IF(I97&gt;=0.45,VLOOKUP(Calculator!E23,tbSkills!DH3:DI6,2,FALSE)+IF(AND(Calculator!B8=TRUE,Backdoors!BI4=TRUE),VLOOKUP(Calculator!E23,tbSkills!DH3:DJ6,3,FALSE),0),0))&gt;=0,1+(Backdoors!AL2*(IF((Backdoors!AI12+IF(I97&gt;=0.45,VLOOKUP(Calculator!E23,tbSkills!DH3:DI6,2,FALSE)+IF(AND(Calculator!B8=TRUE,Backdoors!BI4=TRUE),VLOOKUP(Calculator!E23,tbSkills!DH3:DJ6,3,FALSE),0),0))&gt;=100,100,(Backdoors!AI12+IF(I97&gt;=0.45,VLOOKUP(Calculator!E23,tbSkills!DH3:DI6,2,FALSE)+IF(AND(Calculator!B8=TRUE,Backdoors!BI4=TRUE),VLOOKUP(Calculator!E23,tbSkills!DH3:DJ6,3,FALSE),0),0)))/100)),(1-(0.25*((-Backdoors!AI12-IF(I97&gt;=0.45,VLOOKUP(Calculator!E23,tbSkills!DH3:DI6,2,FALSE)+IF(AND(Calculator!B8=TRUE,Backdoors!BI4=TRUE),VLOOKUP(Calculator!E23,tbSkills!DH3:DJ6,3,FALSE),0),0))/100)))),1),"")</f>
        <v>1</v>
      </c>
      <c r="L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97)*K97)*(VLOOKUP(A97,tbMoveset!A2:C112,3,FALSE)/100)*IF(VLOOKUP(A97,tbMoveset!A2:B112,2,FALSE)="Projectile",Backdoors!N10,Backdoors!N9),0),"")</f>
        <v>5</v>
      </c>
      <c r="M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I97&gt;=0.45,VLOOKUP(Calculator!E23,tbSkills!DH3:DI6,2,FALSE)+IF(AND(Calculator!B8=TRUE,Backdoors!BI4=TRUE),VLOOKUP(Calculator!E23,tbSkills!DH3:DJ6,3,FALSE),0),0))&gt;=100,100,(Backdoors!AI12+IF(I97&gt;=0.45,VLOOKUP(Calculator!E23,tbSkills!DH3:DI6,2,FALSE)+IF(AND(Calculator!B8=TRUE,Backdoors!BI4=TRUE),VLOOKUP(Calculator!E23,tbSkills!DH3:DJ6,3,FALSE),0),0)))/100)),1))*IF(VLOOKUP(A97,tbMoveset!A2:K112,11,FALSE)=TRUE,Backdoors!AC5,1))*J97,0),"")</f>
        <v>0</v>
      </c>
      <c r="N97" s="49">
        <f>VLOOKUP(A97,tbMoveset!A2:G112,7,FALSE)*IFERROR(IF(Backdoors!AI12&gt;=0,1+(IF(Calculator!E40&gt;0,VLOOKUP(Calculator!E40,tbSkills!AI3:AJ5,2,FALSE),Backdoors!AL4)*(IF((Backdoors!AI12+IF(I97&gt;=0.45,VLOOKUP(Calculator!E23,tbSkills!DH3:DI6,2,FALSE)+IF(AND(Calculator!B8=TRUE,Backdoors!BI4=TRUE),VLOOKUP(Calculator!E23,tbSkills!DH3:DJ6,3,FALSE),0),0))&gt;=100,100,(Backdoors!AI12+IF(I97&gt;=0.45,VLOOKUP(Calculator!E23,tbSkills!DH3:DI6,2,FALSE)+IF(AND(Calculator!B8=TRUE,Backdoors!BI4=TRUE),VLOOKUP(Calculator!E23,tbSkills!DH3:DJ6,3,FALSE),0),0)))/100)),1),1)</f>
        <v>0.7</v>
      </c>
      <c r="O97" s="87">
        <f t="shared" si="52"/>
        <v>5</v>
      </c>
      <c r="P97" s="86">
        <f>IFERROR(IF(VLOOKUP(A97,tbMoveset!A2:B112,2,FALSE)="Sever",Backdoors!AY5/100,IF(VLOOKUP(A97,tbMoveset!A2:B112,2,FALSE)="Blunt",Backdoors!AZ5/100,Backdoors!BA5/100)),"")</f>
        <v>0.5</v>
      </c>
      <c r="Q97" s="49">
        <f>IFERROR(IF(VLOOKUP(tbMoveset!A97,tbMoveset!A2:H112,8,FALSE)="Other",IF(VLOOKUP(tbMoveset!A97,tbMoveset!A2:I112,9,FALSE)="Fire",Backdoors!BB5,IF(VLOOKUP(tbMoveset!A97,tbMoveset!A2:I112,9,FALSE)="Water",Backdoors!BC5,IF(VLOOKUP(tbMoveset!A97,tbMoveset!A2:I112,9,FALSE)="Thunder",Backdoors!BD5,IF(VLOOKUP(tbMoveset!A97,tbMoveset!A2:I112,9,FALSE)="Ice",Backdoors!BE5,IF(VLOOKUP(tbMoveset!A97,tbMoveset!A2:I112,9,FALSE)="Dragon",Backdoors!BF5,Backdoors!BG5)))))/100,Backdoors!BG5/100),"")</f>
        <v>0</v>
      </c>
      <c r="R97" s="49">
        <f>IFERROR(IF(VLOOKUP(A97,tbMoveset!A2:J112,10,FALSE)=TRUE,IF((Backdoors!AI12+IF(P97&gt;=0.45,VLOOKUP(Calculator!E23,tbSkills!DH3:DI6,2,FALSE)+IF(AND(Calculator!B8=TRUE,Backdoors!BI5=TRUE),VLOOKUP(Calculator!E23,tbSkills!DH3:DJ6,3,FALSE),0),0))&gt;=0,1+(Backdoors!AL2*(IF((Backdoors!AI12+IF(P97&gt;=0.45,VLOOKUP(Calculator!E23,tbSkills!DH3:DI6,2,FALSE)+IF(AND(Calculator!B8=TRUE,Backdoors!BI5=TRUE),VLOOKUP(Calculator!E23,tbSkills!DH3:DJ6,3,FALSE),0),0))&gt;=100,100,(Backdoors!AI12+IF(P97&gt;=0.45,VLOOKUP(Calculator!E23,tbSkills!DH3:DI6,2,FALSE)+IF(AND(Calculator!B8=TRUE,Backdoors!BI5=TRUE),VLOOKUP(Calculator!E23,tbSkills!DH3:DJ6,3,FALSE),0),0)))/100)),(1-(0.25*((-Backdoors!AI12-IF(P97&gt;=0.45,VLOOKUP(Calculator!E23,tbSkills!DH3:DI6,2,FALSE)+IF(AND(Calculator!B8=TRUE,Backdoors!BI5=TRUE),VLOOKUP(Calculator!E23,tbSkills!DH3:DJ6,3,FALSE),0),0))/100)))),1),"")</f>
        <v>1</v>
      </c>
      <c r="S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P97)*R97)*(VLOOKUP(A97,tbMoveset!A2:C112,3,FALSE)/100)*IF(VLOOKUP(A97,tbMoveset!A2:B112,2,FALSE)="Projectile",Backdoors!N10,Backdoors!N9),0),"")</f>
        <v>4</v>
      </c>
      <c r="T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P97&gt;=0.45,VLOOKUP(Calculator!E23,tbSkills!DH3:DI6,2,FALSE)+IF(AND(Calculator!B8=TRUE,Backdoors!BI5=TRUE),VLOOKUP(Calculator!E23,tbSkills!DH3:DJ6,3,FALSE),0),0))&gt;=100,100,(Backdoors!AI12+IF(P97&gt;=0.45,VLOOKUP(Calculator!E23,tbSkills!DH3:DI6,2,FALSE)+IF(AND(Calculator!B8=TRUE,Backdoors!BI5=TRUE),VLOOKUP(Calculator!E23,tbSkills!DH3:DJ6,3,FALSE),0),0)))/100)),1))*IF(VLOOKUP(A97,tbMoveset!A2:K112,11,FALSE)=TRUE,Backdoors!AC5,1))*Q97,0),"")</f>
        <v>0</v>
      </c>
      <c r="U97" s="49">
        <f>VLOOKUP(A97,tbMoveset!A2:G112,7,FALSE)*IFERROR(IF(Backdoors!AI12&gt;=0,1+(IF(Calculator!E40&gt;0,VLOOKUP(Calculator!E40,tbSkills!AI3:AJ5,2,FALSE),Backdoors!AL4)*(IF((Backdoors!AI12+IF(P97&gt;=0.45,VLOOKUP(Calculator!E23,tbSkills!DH3:DI6,2,FALSE)+IF(AND(Calculator!B8=TRUE,Backdoors!BI5=TRUE),VLOOKUP(Calculator!E23,tbSkills!DH3:DJ6,3,FALSE),0),0))&gt;=100,100,(Backdoors!AI12+IF(P97&gt;=0.45,VLOOKUP(Calculator!E23,tbSkills!DH3:DI6,2,FALSE)+IF(AND(Calculator!B8=TRUE,Backdoors!BI5=TRUE),VLOOKUP(Calculator!E23,tbSkills!DH3:DJ6,3,FALSE),0),0)))/100)),1),1)</f>
        <v>0.7</v>
      </c>
      <c r="V97" s="87">
        <f t="shared" si="53"/>
        <v>4</v>
      </c>
      <c r="W97" s="86">
        <f>IFERROR(IF(VLOOKUP(A97,tbMoveset!A2:B112,2,FALSE)="Sever",Backdoors!AY6/100,IF(VLOOKUP(A97,tbMoveset!A2:B112,2,FALSE)="Blunt",Backdoors!AZ6/100,Backdoors!BA6/100)),"")</f>
        <v>0.45</v>
      </c>
      <c r="X97" s="49">
        <f>IFERROR(IF(VLOOKUP(tbMoveset!A97,tbMoveset!A2:H112,8,FALSE)="Other",IF(VLOOKUP(tbMoveset!A97,tbMoveset!A2:I112,9,FALSE)="Fire",Backdoors!BB6,IF(VLOOKUP(tbMoveset!A97,tbMoveset!A2:I112,9,FALSE)="Water",Backdoors!BC6,IF(VLOOKUP(tbMoveset!A97,tbMoveset!A2:I112,9,FALSE)="Thunder",Backdoors!BD6,IF(VLOOKUP(tbMoveset!A97,tbMoveset!A2:I112,9,FALSE)="Ice",Backdoors!BE6,IF(VLOOKUP(tbMoveset!A97,tbMoveset!A2:I112,9,FALSE)="Dragon",Backdoors!BF6,Backdoors!BG6)))))/100,Backdoors!BG6/100),"")</f>
        <v>0</v>
      </c>
      <c r="Y97" s="49">
        <f>IFERROR(IF(VLOOKUP(A97,tbMoveset!A2:J112,10,FALSE)=TRUE,IF((Backdoors!AI12+IF(W97&gt;=0.45,VLOOKUP(Calculator!E23,tbSkills!DH3:DI6,2,FALSE)+IF(AND(Calculator!B8=TRUE,Backdoors!BI6=TRUE),VLOOKUP(Calculator!E23,tbSkills!DH3:DJ6,3,FALSE),0),0))&gt;=0,1+(Backdoors!AL2*(IF((Backdoors!AI12+IF(W97&gt;=0.45,VLOOKUP(Calculator!E23,tbSkills!DH3:DI6,2,FALSE)+IF(AND(Calculator!B8=TRUE,Backdoors!BI6=TRUE),VLOOKUP(Calculator!E23,tbSkills!DH3:DJ6,3,FALSE),0),0))&gt;=100,100,(Backdoors!AI12+IF(W97&gt;=0.45,VLOOKUP(Calculator!E23,tbSkills!DH3:DI6,2,FALSE)+IF(AND(Calculator!B8=TRUE,Backdoors!BI6=TRUE),VLOOKUP(Calculator!E23,tbSkills!DH3:DJ6,3,FALSE),0),0)))/100)),(1-(0.25*((-Backdoors!AI12-IF(W97&gt;=0.45,VLOOKUP(Calculator!E23,tbSkills!DH3:DI6,2,FALSE)+IF(AND(Calculator!B8=TRUE,Backdoors!BI6=TRUE),VLOOKUP(Calculator!E23,tbSkills!DH3:DJ6,3,FALSE),0),0))/100)))),1),"")</f>
        <v>1</v>
      </c>
      <c r="Z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W97)*Y97)*(VLOOKUP(A97,tbMoveset!A2:C112,3,FALSE)/100)*IF(VLOOKUP(A97,tbMoveset!A2:B112,2,FALSE)="Projectile",Backdoors!N10,Backdoors!N9),0),"")</f>
        <v>3</v>
      </c>
      <c r="AA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W97&gt;=0.45,VLOOKUP(Calculator!E23,tbSkills!DH3:DI6,2,FALSE)+IF(AND(Calculator!B8=TRUE,Backdoors!BI6=TRUE),VLOOKUP(Calculator!E23,tbSkills!DH3:DJ6,3,FALSE),0),0))&gt;=100,100,(Backdoors!AI12+IF(W97&gt;=0.45,VLOOKUP(Calculator!E23,tbSkills!DH3:DI6,2,FALSE)+IF(AND(Calculator!B8=TRUE,Backdoors!BI6=TRUE),VLOOKUP(Calculator!E23,tbSkills!DH3:DJ6,3,FALSE),0),0)))/100)),1))*IF(VLOOKUP(A97,tbMoveset!A2:K112,11,FALSE)=TRUE,Backdoors!AC5,1))*X97,0),"")</f>
        <v>0</v>
      </c>
      <c r="AB97" s="49">
        <f>VLOOKUP(A97,tbMoveset!A2:G112,7,FALSE)*IFERROR(IF(Backdoors!AI12&gt;=0,1+(IF(Calculator!E40&gt;0,VLOOKUP(Calculator!E40,tbSkills!AI3:AJ5,2,FALSE),Backdoors!AL4)*(IF((Backdoors!AI12+IF(W97&gt;=0.45,VLOOKUP(Calculator!E23,tbSkills!DH3:DI6,2,FALSE)+IF(AND(Calculator!B8=TRUE,Backdoors!BI6=TRUE),VLOOKUP(Calculator!E23,tbSkills!DH3:DJ6,3,FALSE),0),0))&gt;=100,100,(Backdoors!AI12+IF(W97&gt;=0.45,VLOOKUP(Calculator!E23,tbSkills!DH3:DI6,2,FALSE)+IF(AND(Calculator!B8=TRUE,Backdoors!BI6=TRUE),VLOOKUP(Calculator!E23,tbSkills!DH3:DJ6,3,FALSE),0),0)))/100)),1),1)</f>
        <v>0.7</v>
      </c>
      <c r="AC97" s="87">
        <f t="shared" si="54"/>
        <v>3</v>
      </c>
      <c r="AD97" s="86">
        <f>IFERROR(IF(VLOOKUP(A97,tbMoveset!A2:B112,2,FALSE)="Sever",Backdoors!AY7/100,IF(VLOOKUP(A97,tbMoveset!A2:B112,2,FALSE)="Blunt",Backdoors!AZ7/100,Backdoors!BA7/100)),"")</f>
        <v>0.65</v>
      </c>
      <c r="AE97" s="49">
        <f>IFERROR(IF(VLOOKUP(tbMoveset!A97,tbMoveset!A2:H112,8,FALSE)="Other",IF(VLOOKUP(tbMoveset!A97,tbMoveset!A2:I112,9,FALSE)="Fire",Backdoors!BB7,IF(VLOOKUP(tbMoveset!A97,tbMoveset!A2:I112,9,FALSE)="Water",Backdoors!BC7,IF(VLOOKUP(tbMoveset!A97,tbMoveset!A2:I112,9,FALSE)="Thunder",Backdoors!BD7,IF(VLOOKUP(tbMoveset!A97,tbMoveset!A2:I112,9,FALSE)="Ice",Backdoors!BE7,IF(VLOOKUP(tbMoveset!A97,tbMoveset!A2:I112,9,FALSE)="Dragon",Backdoors!BF7,Backdoors!BG7)))))/100,Backdoors!BG7/100),"")</f>
        <v>0</v>
      </c>
      <c r="AF97" s="49">
        <f>IFERROR(IF(VLOOKUP(A97,tbMoveset!A2:J112,10,FALSE)=TRUE,IF((Backdoors!AI12+IF(AD97&gt;=0.45,VLOOKUP(Calculator!E23,tbSkills!DH3:DI6,2,FALSE)+IF(AND(Calculator!B8=TRUE,Backdoors!BI7=TRUE),VLOOKUP(Calculator!E23,tbSkills!DH3:DJ6,3,FALSE),0),0))&gt;=0,1+(Backdoors!AL2*(IF((Backdoors!AI12+IF(AD97&gt;=0.45,VLOOKUP(Calculator!E23,tbSkills!DH3:DI6,2,FALSE)+IF(AND(Calculator!B8=TRUE,Backdoors!BI7=TRUE),VLOOKUP(Calculator!E23,tbSkills!DH3:DJ6,3,FALSE),0),0))&gt;=100,100,(Backdoors!AI12+IF(AD97&gt;=0.45,VLOOKUP(Calculator!E23,tbSkills!DH3:DI6,2,FALSE)+IF(AND(Calculator!B8=TRUE,Backdoors!BI7=TRUE),VLOOKUP(Calculator!E23,tbSkills!DH3:DJ6,3,FALSE),0),0)))/100)),(1-(0.25*((-Backdoors!AI12-IF(AD97&gt;=0.45,VLOOKUP(Calculator!E23,tbSkills!DH3:DI6,2,FALSE)+IF(AND(Calculator!B8=TRUE,Backdoors!BI7=TRUE),VLOOKUP(Calculator!E23,tbSkills!DH3:DJ6,3,FALSE),0),0))/100)))),1),"")</f>
        <v>1</v>
      </c>
      <c r="AG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D97)*AF97)*(VLOOKUP(A97,tbMoveset!A2:C112,3,FALSE)/100)*IF(VLOOKUP(A97,tbMoveset!A2:B112,2,FALSE)="Projectile",Backdoors!N10,Backdoors!N9),0),"")</f>
        <v>5</v>
      </c>
      <c r="AH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D97&gt;=0.45,VLOOKUP(Calculator!E23,tbSkills!DH3:DI6,2,FALSE)+IF(AND(Calculator!B8=TRUE,Backdoors!BI7=TRUE),VLOOKUP(Calculator!E23,tbSkills!DH3:DJ6,3,FALSE),0),0))&gt;=100,100,(Backdoors!AI12+IF(AD97&gt;=0.45,VLOOKUP(Calculator!E23,tbSkills!DH3:DI6,2,FALSE)+IF(AND(Calculator!B8=TRUE,Backdoors!BI7=TRUE),VLOOKUP(Calculator!E23,tbSkills!DH3:DJ6,3,FALSE),0),0)))/100)),1))*IF(VLOOKUP(A97,tbMoveset!A2:K112,11,FALSE)=TRUE,Backdoors!AC5,1))*AE97,0),"")</f>
        <v>0</v>
      </c>
      <c r="AI97" s="49">
        <f>VLOOKUP(A97,tbMoveset!A2:G112,7,FALSE)*IFERROR(IF(Backdoors!AI12&gt;=0,1+(IF(Calculator!E40&gt;0,VLOOKUP(Calculator!E40,tbSkills!AI3:AJ5,2,FALSE),Backdoors!AL4)*(IF((Backdoors!AI12+IF(AD97&gt;=0.45,VLOOKUP(Calculator!E23,tbSkills!DH3:DI6,2,FALSE)+IF(AND(Calculator!B8=TRUE,Backdoors!BI7=TRUE),VLOOKUP(Calculator!E23,tbSkills!DH3:DJ6,3,FALSE),0),0))&gt;=100,100,(Backdoors!AI12+IF(AD97&gt;=0.45,VLOOKUP(Calculator!E23,tbSkills!DH3:DI6,2,FALSE)+IF(AND(Calculator!B8=TRUE,Backdoors!BI7=TRUE),VLOOKUP(Calculator!E23,tbSkills!DH3:DJ6,3,FALSE),0),0)))/100)),1),1)</f>
        <v>0.7</v>
      </c>
      <c r="AJ97" s="87">
        <f t="shared" si="55"/>
        <v>5</v>
      </c>
      <c r="AK97" s="91">
        <f>IFERROR(IF(VLOOKUP(A97,tbMoveset!A2:B112,2,FALSE)="Sever",Backdoors!AY8/100,IF(VLOOKUP(A97,tbMoveset!A2:B112,2,FALSE)="Blunt",Backdoors!AZ8/100,Backdoors!BA8/100)),"")</f>
        <v>0.45</v>
      </c>
      <c r="AL97" s="49">
        <f>IFERROR(IF(VLOOKUP(tbMoveset!A97,tbMoveset!A2:H112,8,FALSE)="Other",IF(VLOOKUP(tbMoveset!A97,tbMoveset!A2:I112,9,FALSE)="Fire",Backdoors!BB8,IF(VLOOKUP(tbMoveset!A97,tbMoveset!A2:I112,9,FALSE)="Water",Backdoors!BC8,IF(VLOOKUP(tbMoveset!A97,tbMoveset!A2:I112,9,FALSE)="Thunder",Backdoors!BD8,IF(VLOOKUP(tbMoveset!A97,tbMoveset!A2:I112,9,FALSE)="Ice",Backdoors!BE8,IF(VLOOKUP(tbMoveset!A97,tbMoveset!A2:I112,9,FALSE)="Dragon",Backdoors!BF8,Backdoors!BG8)))))/100,Backdoors!BG8/100),"")</f>
        <v>0</v>
      </c>
      <c r="AM97" s="49">
        <f>IFERROR(IF(VLOOKUP(A97,tbMoveset!A2:J112,10,FALSE)=TRUE,IF((Backdoors!AI12+IF(AK97&gt;=0.45,VLOOKUP(Calculator!E23,tbSkills!DH3:DI6,2,FALSE)+IF(AND(Calculator!B8=TRUE,Backdoors!BI8=TRUE),VLOOKUP(Calculator!E23,tbSkills!DH3:DJ6,3,FALSE),0),0))&gt;=0,1+(Backdoors!AL2*(IF((Backdoors!AI12+IF(AK97&gt;=0.45,VLOOKUP(Calculator!E23,tbSkills!DH3:DI6,2,FALSE)+IF(AND(Calculator!B8=TRUE,Backdoors!BI8=TRUE),VLOOKUP(Calculator!E23,tbSkills!DH3:DJ6,3,FALSE),0),0))&gt;=100,100,(Backdoors!AI12+IF(AK97&gt;=0.45,VLOOKUP(Calculator!E23,tbSkills!DH3:DI6,2,FALSE)+IF(AND(Calculator!B8=TRUE,Backdoors!BI8=TRUE),VLOOKUP(Calculator!E23,tbSkills!DH3:DJ6,3,FALSE),0),0)))/100)),(1-(0.25*((-Backdoors!AI12-IF(AK97&gt;=0.45,VLOOKUP(Calculator!E23,tbSkills!DH3:DI6,2,FALSE)+IF(AND(Calculator!B8=TRUE,Backdoors!BI8=TRUE),VLOOKUP(Calculator!E23,tbSkills!DH3:DJ6,3,FALSE),0),0))/100)))),1),"")</f>
        <v>1</v>
      </c>
      <c r="AN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K97)*AM97)*(VLOOKUP(A97,tbMoveset!A2:C112,3,FALSE)/100)*IF(VLOOKUP(A97,tbMoveset!A2:B112,2,FALSE)="Projectile",Backdoors!N10,Backdoors!N9),0),"")</f>
        <v>3</v>
      </c>
      <c r="AO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K97&gt;=0.45,VLOOKUP(Calculator!E23,tbSkills!DH3:DI6,2,FALSE)+IF(AND(Calculator!B8=TRUE,Backdoors!BI8=TRUE),VLOOKUP(Calculator!E23,tbSkills!DH3:DJ6,3,FALSE),0),0))&gt;=100,100,(Backdoors!AI12+IF(AK97&gt;=0.45,VLOOKUP(Calculator!E23,tbSkills!DH3:DI6,2,FALSE)+IF(AND(Calculator!B8=TRUE,Backdoors!BI8=TRUE),VLOOKUP(Calculator!E23,tbSkills!DH3:DJ6,3,FALSE),0),0)))/100)),1))*IF(VLOOKUP(A97,tbMoveset!A2:K112,11,FALSE)=TRUE,Backdoors!AC5,1))*AL97,0),"")</f>
        <v>0</v>
      </c>
      <c r="AP97" s="49">
        <f>VLOOKUP(A97,tbMoveset!A2:G112,7,FALSE)*IFERROR(IF(Backdoors!AI12&gt;=0,1+(IF(Calculator!E40&gt;0,VLOOKUP(Calculator!E40,tbSkills!AI3:AJ5,2,FALSE),Backdoors!AL4)*(IF((Backdoors!AI12+IF(AK97&gt;=0.45,VLOOKUP(Calculator!E23,tbSkills!DH3:DI6,2,FALSE)+IF(AND(Calculator!B8=TRUE,Backdoors!BI8=TRUE),VLOOKUP(Calculator!E23,tbSkills!DH3:DJ6,3,FALSE),0),0))&gt;=100,100,(Backdoors!AI12+IF(AK97&gt;=0.45,VLOOKUP(Calculator!E23,tbSkills!DH3:DI6,2,FALSE)+IF(AND(Calculator!B8=TRUE,Backdoors!BI8=TRUE),VLOOKUP(Calculator!E23,tbSkills!DH3:DJ6,3,FALSE),0),0)))/100)),1),1)</f>
        <v>0.7</v>
      </c>
      <c r="AQ97" s="87">
        <f t="shared" si="56"/>
        <v>3</v>
      </c>
      <c r="AR97" s="86">
        <f>IFERROR(IF(VLOOKUP(A97,tbMoveset!A2:B112,2,FALSE)="Sever",Backdoors!AY9/100,IF(VLOOKUP(A97,tbMoveset!A2:B112,2,FALSE)="Blunt",Backdoors!AZ9/100,Backdoors!BA9/100)),"")</f>
        <v>0.45</v>
      </c>
      <c r="AS97" s="49">
        <f>IFERROR(IF(VLOOKUP(tbMoveset!A97,tbMoveset!A2:H112,8,FALSE)="Other",IF(VLOOKUP(tbMoveset!A97,tbMoveset!A2:I112,9,FALSE)="Fire",Backdoors!BB9,IF(VLOOKUP(tbMoveset!A97,tbMoveset!A2:I112,9,FALSE)="Water",Backdoors!BC9,IF(VLOOKUP(tbMoveset!A97,tbMoveset!A2:I112,9,FALSE)="Thunder",Backdoors!BD9,IF(VLOOKUP(tbMoveset!A97,tbMoveset!A2:I112,9,FALSE)="Ice",Backdoors!BE9,IF(VLOOKUP(tbMoveset!A97,tbMoveset!A2:I112,9,FALSE)="Dragon",Backdoors!BF9,Backdoors!BG9)))))/100,Backdoors!BG9/100),"")</f>
        <v>0</v>
      </c>
      <c r="AT97" s="49">
        <f>IFERROR(IF(VLOOKUP(A97,tbMoveset!A2:J112,10,FALSE)=TRUE,IF((Backdoors!AI12+IF(AR97&gt;=0.45,VLOOKUP(Calculator!E23,tbSkills!DH3:DI6,2,FALSE)+IF(AND(Calculator!B8=TRUE,Backdoors!BI9=TRUE),VLOOKUP(Calculator!E23,tbSkills!DH3:DJ6,3,FALSE),0),0))&gt;=0,1+(Backdoors!AL2*(IF((Backdoors!AI12+IF(AR97&gt;=0.45,VLOOKUP(Calculator!E23,tbSkills!DH3:DI6,2,FALSE)+IF(AND(Calculator!B8=TRUE,Backdoors!BI9=TRUE),VLOOKUP(Calculator!E23,tbSkills!DH3:DJ6,3,FALSE),0),0))&gt;=100,100,(Backdoors!AI12+IF(AR97&gt;=0.45,VLOOKUP(Calculator!E23,tbSkills!DH3:DI6,2,FALSE)+IF(AND(Calculator!B8=TRUE,Backdoors!BI9=TRUE),VLOOKUP(Calculator!E23,tbSkills!DH3:DJ6,3,FALSE),0),0)))/100)),(1-(0.25*((-Backdoors!AI12-IF(AR97&gt;=0.45,VLOOKUP(Calculator!E23,tbSkills!DH3:DI6,2,FALSE)+IF(AND(Calculator!B8=TRUE,Backdoors!BI9=TRUE),VLOOKUP(Calculator!E23,tbSkills!DH3:DJ6,3,FALSE),0),0))/100)))),1),"")</f>
        <v>1</v>
      </c>
      <c r="AU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R97)*AT97)*(VLOOKUP(A97,tbMoveset!A2:C112,3,FALSE)/100)*IF(VLOOKUP(A97,tbMoveset!A2:B112,2,FALSE)="Projectile",Backdoors!N10,Backdoors!N9),0),"")</f>
        <v>3</v>
      </c>
      <c r="AV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R97&gt;=0.45,VLOOKUP(Calculator!E23,tbSkills!DH3:DI6,2,FALSE)+IF(AND(Calculator!B8=TRUE,Backdoors!BI9=TRUE),VLOOKUP(Calculator!E23,tbSkills!DH3:DJ6,3,FALSE),0),0))&gt;=100,100,(Backdoors!AI12+IF(AR97&gt;=0.45,VLOOKUP(Calculator!E23,tbSkills!DH3:DI6,2,FALSE)+IF(AND(Calculator!B8=TRUE,Backdoors!BI9=TRUE),VLOOKUP(Calculator!E23,tbSkills!DH3:DJ6,3,FALSE),0),0)))/100)),1))*IF(VLOOKUP(A97,tbMoveset!A2:K112,11,FALSE)=TRUE,Backdoors!AC5,1))*AS97,0),"")</f>
        <v>0</v>
      </c>
      <c r="AW97" s="49">
        <f>VLOOKUP(A97,tbMoveset!A2:G112,7,FALSE)*IFERROR(IF(Backdoors!AI12&gt;=0,1+(IF(Calculator!E40&gt;0,VLOOKUP(Calculator!E40,tbSkills!AI3:AJ5,2,FALSE),Backdoors!AL4)*(IF((Backdoors!AI12+IF(AR97&gt;=0.45,VLOOKUP(Calculator!E23,tbSkills!DH3:DI6,2,FALSE)+IF(AND(Calculator!B8=TRUE,Backdoors!BI9=TRUE),VLOOKUP(Calculator!E23,tbSkills!DH3:DJ6,3,FALSE),0),0))&gt;=100,100,(Backdoors!AI12+IF(AR97&gt;=0.45,VLOOKUP(Calculator!E23,tbSkills!DH3:DI6,2,FALSE)+IF(AND(Calculator!B8=TRUE,Backdoors!BI9=TRUE),VLOOKUP(Calculator!E23,tbSkills!DH3:DJ6,3,FALSE),0),0)))/100)),1),1)</f>
        <v>0.7</v>
      </c>
      <c r="AX97" s="87">
        <f t="shared" si="57"/>
        <v>3</v>
      </c>
      <c r="AY97" s="86">
        <f>IFERROR(IF(VLOOKUP(A97,tbMoveset!A2:B112,2,FALSE)="Sever",Backdoors!AY10/100,IF(VLOOKUP(A97,tbMoveset!A2:B112,2,FALSE)="Blunt",Backdoors!AZ10/100,Backdoors!BA10/100)),"")</f>
        <v>0.9</v>
      </c>
      <c r="AZ97" s="49">
        <f>IFERROR(IF(VLOOKUP(tbMoveset!A97,tbMoveset!A2:H112,8,FALSE)="Other",IF(VLOOKUP(tbMoveset!A97,tbMoveset!A2:I112,9,FALSE)="Fire",Backdoors!BB10,IF(VLOOKUP(tbMoveset!A97,tbMoveset!A2:I112,9,FALSE)="Water",Backdoors!BC10,IF(VLOOKUP(tbMoveset!A97,tbMoveset!A2:I112,9,FALSE)="Thunder",Backdoors!BD10,IF(VLOOKUP(tbMoveset!A97,tbMoveset!A2:I112,9,FALSE)="Ice",Backdoors!BE10,IF(VLOOKUP(tbMoveset!A97,tbMoveset!A2:I112,9,FALSE)="Dragon",Backdoors!BF10,Backdoors!BG10)))))/100,Backdoors!BG10/100),"")</f>
        <v>0</v>
      </c>
      <c r="BA97" s="49">
        <f>IFERROR(IF(VLOOKUP(A97,tbMoveset!A2:J112,10,FALSE)=TRUE,IF((Backdoors!AI12+IF(AY97&gt;=0.45,VLOOKUP(Calculator!E23,tbSkills!DH3:DI6,2,FALSE)+IF(AND(Calculator!B8=TRUE,Backdoors!BI10=TRUE),VLOOKUP(Calculator!E23,tbSkills!DH3:DJ6,3,FALSE),0),0))&gt;=0,1+(Backdoors!AL2*(IF((Backdoors!AI12+IF(AY97&gt;=0.45,VLOOKUP(Calculator!E23,tbSkills!DH3:DI6,2,FALSE)+IF(AND(Calculator!B8=TRUE,Backdoors!BI10=TRUE),VLOOKUP(Calculator!E23,tbSkills!DH3:DJ6,3,FALSE),0),0))&gt;=100,100,(Backdoors!AI12+IF(AY97&gt;=0.45,VLOOKUP(Calculator!E23,tbSkills!DH3:DI6,2,FALSE)+IF(AND(Calculator!B8=TRUE,Backdoors!BI10=TRUE),VLOOKUP(Calculator!E23,tbSkills!DH3:DJ6,3,FALSE),0),0)))/100)),(1-(0.25*((-Backdoors!AI12-IF(AY97&gt;=0.45,VLOOKUP(Calculator!E23,tbSkills!DH3:DI6,2,FALSE)+IF(AND(Calculator!B8=TRUE,Backdoors!BI10=TRUE),VLOOKUP(Calculator!E23,tbSkills!DH3:DJ6,3,FALSE),0),0))/100)))),1),"")</f>
        <v>1</v>
      </c>
      <c r="BB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Y97)*BA97)*(VLOOKUP(A97,tbMoveset!A2:C112,3,FALSE)/100)*IF(VLOOKUP(A97,tbMoveset!A2:B112,2,FALSE)="Projectile",Backdoors!N10,Backdoors!N9),0),"")</f>
        <v>7</v>
      </c>
      <c r="BC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Y97&gt;=0.45,VLOOKUP(Calculator!E23,tbSkills!DH3:DI6,2,FALSE)+IF(AND(Calculator!B8=TRUE,Backdoors!BI10=TRUE),VLOOKUP(Calculator!E23,tbSkills!DH3:DJ6,3,FALSE),0),0))&gt;=100,100,(Backdoors!AI12+IF(AY97&gt;=0.45,VLOOKUP(Calculator!E23,tbSkills!DH3:DI6,2,FALSE)+IF(AND(Calculator!B8=TRUE,Backdoors!BI10=TRUE),VLOOKUP(Calculator!E23,tbSkills!DH3:DJ6,3,FALSE),0),0)))/100)),1))*IF(VLOOKUP(A97,tbMoveset!A2:K112,11,FALSE)=TRUE,Backdoors!AC5,1))*AZ97,0),"")</f>
        <v>0</v>
      </c>
      <c r="BD97" s="49">
        <f>VLOOKUP(A97,tbMoveset!A2:G112,7,FALSE)*IFERROR(IF(Backdoors!AI12&gt;=0,1+(IF(Calculator!E40&gt;0,VLOOKUP(Calculator!E40,tbSkills!AI3:AJ5,2,FALSE),Backdoors!AL4)*(IF((Backdoors!AI12+IF(AY97&gt;=0.45,VLOOKUP(Calculator!E23,tbSkills!DH3:DI6,2,FALSE)+IF(AND(Calculator!B8=TRUE,Backdoors!BI10=TRUE),VLOOKUP(Calculator!E23,tbSkills!DH3:DJ6,3,FALSE),0),0))&gt;=100,100,(Backdoors!AI12+IF(AY97&gt;=0.45,VLOOKUP(Calculator!E23,tbSkills!DH3:DI6,2,FALSE)+IF(AND(Calculator!B8=TRUE,Backdoors!BI10=TRUE),VLOOKUP(Calculator!E23,tbSkills!DH3:DJ6,3,FALSE),0),0)))/100)),1),1)</f>
        <v>0.7</v>
      </c>
      <c r="BE97" s="87">
        <f t="shared" si="58"/>
        <v>7</v>
      </c>
      <c r="BF97" s="86" t="str">
        <f>IFERROR(IF(VLOOKUP(A97,tbMoveset!A2:B112,2,FALSE)="Sever",Backdoors!AY11/100,IF(VLOOKUP(A97,tbMoveset!A2:B112,2,FALSE)="Blunt",Backdoors!AZ11/100,Backdoors!BA11/100)),"")</f>
        <v/>
      </c>
      <c r="BG97" s="49">
        <f>IFERROR(IF(VLOOKUP(tbMoveset!A97,tbMoveset!A2:H112,8,FALSE)="Other",IF(VLOOKUP(tbMoveset!A97,tbMoveset!A2:I112,9,FALSE)="Fire",Backdoors!BB11,IF(VLOOKUP(tbMoveset!A97,tbMoveset!A2:I112,9,FALSE)="Water",Backdoors!BC11,IF(VLOOKUP(tbMoveset!A97,tbMoveset!A2:I112,9,FALSE)="Thunder",Backdoors!BD11,IF(VLOOKUP(tbMoveset!A97,tbMoveset!A2:I112,9,FALSE)="Ice",Backdoors!BE11,IF(VLOOKUP(tbMoveset!A97,tbMoveset!A2:I112,9,FALSE)="Dragon",Backdoors!BF11,Backdoors!BG11)))))/100,Backdoors!BG11/100),"")</f>
        <v>0</v>
      </c>
      <c r="BH97" s="49">
        <f>IFERROR(IF(VLOOKUP(A97,tbMoveset!A2:J112,10,FALSE)=TRUE,IF((Backdoors!AI12+IF(BF97&gt;=0.45,VLOOKUP(Calculator!E23,tbSkills!DH3:DI6,2,FALSE)+IF(AND(Calculator!B8=TRUE,Backdoors!BI11=TRUE),VLOOKUP(Calculator!E23,tbSkills!DH3:DJ6,3,FALSE),0),0))&gt;=0,1+(Backdoors!AL2*(IF((Backdoors!AI12+IF(BF97&gt;=0.45,VLOOKUP(Calculator!E23,tbSkills!DH3:DI6,2,FALSE)+IF(AND(Calculator!B8=TRUE,Backdoors!BI11=TRUE),VLOOKUP(Calculator!E23,tbSkills!DH3:DJ6,3,FALSE),0),0))&gt;=100,100,(Backdoors!AI12+IF(BF97&gt;=0.45,VLOOKUP(Calculator!E23,tbSkills!DH3:DI6,2,FALSE)+IF(AND(Calculator!B8=TRUE,Backdoors!BI11=TRUE),VLOOKUP(Calculator!E23,tbSkills!DH3:DJ6,3,FALSE),0),0)))/100)),(1-(0.25*((-Backdoors!AI12-IF(BF97&gt;=0.45,VLOOKUP(Calculator!E23,tbSkills!DH3:DI6,2,FALSE)+IF(AND(Calculator!B8=TRUE,Backdoors!BI11=TRUE),VLOOKUP(Calculator!E23,tbSkills!DH3:DJ6,3,FALSE),0),0))/100)))),1),"")</f>
        <v>1</v>
      </c>
      <c r="BI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F97)*BH97)*(VLOOKUP(A97,tbMoveset!A2:C112,3,FALSE)/100)*IF(VLOOKUP(A97,tbMoveset!A2:B112,2,FALSE)="Projectile",Backdoors!N10,Backdoors!N9),0),"")</f>
        <v/>
      </c>
      <c r="BJ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F97&gt;=0.45,VLOOKUP(Calculator!E23,tbSkills!DH3:DI6,2,FALSE)+IF(AND(Calculator!B8=TRUE,Backdoors!BI11=TRUE),VLOOKUP(Calculator!E23,tbSkills!DH3:DJ6,3,FALSE),0),0))&gt;=100,100,(Backdoors!AI12+IF(BF97&gt;=0.45,VLOOKUP(Calculator!E23,tbSkills!DH3:DI6,2,FALSE)+IF(AND(Calculator!B8=TRUE,Backdoors!BI11=TRUE),VLOOKUP(Calculator!E23,tbSkills!DH3:DJ6,3,FALSE),0),0)))/100)),1))*IF(VLOOKUP(A97,tbMoveset!A2:K112,11,FALSE)=TRUE,Backdoors!AC5,1))*BG97,0),"")</f>
        <v>0</v>
      </c>
      <c r="BK97" s="49">
        <f>VLOOKUP(A97,tbMoveset!A2:G112,7,FALSE)*IFERROR(IF(Backdoors!AI12&gt;=0,1+(IF(Calculator!E40&gt;0,VLOOKUP(Calculator!E40,tbSkills!AI3:AJ5,2,FALSE),Backdoors!AL4)*(IF((Backdoors!AI12+IF(BF97&gt;=0.45,VLOOKUP(Calculator!E23,tbSkills!DH3:DI6,2,FALSE)+IF(AND(Calculator!B8=TRUE,Backdoors!BI11=TRUE),VLOOKUP(Calculator!E23,tbSkills!DH3:DJ6,3,FALSE),0),0))&gt;=100,100,(Backdoors!AI12+IF(BF97&gt;=0.45,VLOOKUP(Calculator!E23,tbSkills!DH3:DI6,2,FALSE)+IF(AND(Calculator!B8=TRUE,Backdoors!BI11=TRUE),VLOOKUP(Calculator!E23,tbSkills!DH3:DJ6,3,FALSE),0),0)))/100)),1),1)</f>
        <v>0.7</v>
      </c>
      <c r="BL97" s="87">
        <f t="shared" si="59"/>
        <v>0</v>
      </c>
      <c r="BM97" s="86" t="str">
        <f>IFERROR(IF(VLOOKUP(A97,tbMoveset!A2:B112,2,FALSE)="Sever",Backdoors!AY12/100,IF(VLOOKUP(A97,tbMoveset!A2:B112,2,FALSE)="Blunt",Backdoors!AZ12/100,Backdoors!BA12/100)),"")</f>
        <v/>
      </c>
      <c r="BN97" s="49">
        <f>IFERROR(IF(VLOOKUP(tbMoveset!A97,tbMoveset!A2:H112,8,FALSE)="Other",IF(VLOOKUP(tbMoveset!A97,tbMoveset!A2:I112,9,FALSE)="Fire",Backdoors!BB12,IF(VLOOKUP(tbMoveset!A97,tbMoveset!A2:I112,9,FALSE)="Water",Backdoors!BC12,IF(VLOOKUP(tbMoveset!A97,tbMoveset!A2:I112,9,FALSE)="Thunder",Backdoors!BD12,IF(VLOOKUP(tbMoveset!A97,tbMoveset!A2:I112,9,FALSE)="Ice",Backdoors!BE12,IF(VLOOKUP(tbMoveset!A97,tbMoveset!A2:I112,9,FALSE)="Dragon",Backdoors!BF12,Backdoors!BG12)))))/100,Backdoors!BG12/100),"")</f>
        <v>0</v>
      </c>
      <c r="BO97" s="49">
        <f>IFERROR(IF(VLOOKUP(A97,tbMoveset!A2:J112,10,FALSE)=TRUE,IF((Backdoors!AI12+IF(BM97&gt;=0.45,VLOOKUP(Calculator!E23,tbSkills!DH3:DI6,2,FALSE)+IF(AND(Calculator!B8=TRUE,Backdoors!BI12=TRUE),VLOOKUP(Calculator!E23,tbSkills!DH3:DJ6,3,FALSE),0),0))&gt;=0,1+(Backdoors!AL2*(IF((Backdoors!AI12+IF(BM97&gt;=0.45,VLOOKUP(Calculator!E23,tbSkills!DH3:DI6,2,FALSE)+IF(AND(Calculator!B8=TRUE,Backdoors!BI12=TRUE),VLOOKUP(Calculator!E23,tbSkills!DH3:DJ6,3,FALSE),0),0))&gt;=100,100,(Backdoors!AI12+IF(BM97&gt;=0.45,VLOOKUP(Calculator!E23,tbSkills!DH3:DI6,2,FALSE)+IF(AND(Calculator!B8=TRUE,Backdoors!BI12=TRUE),VLOOKUP(Calculator!E23,tbSkills!DH3:DJ6,3,FALSE),0),0)))/100)),(1-(0.25*((-Backdoors!AI12-IF(BM97&gt;=0.45,VLOOKUP(Calculator!E23,tbSkills!DH3:DI6,2,FALSE)+IF(AND(Calculator!B8=TRUE,Backdoors!BI12=TRUE),VLOOKUP(Calculator!E23,tbSkills!DH3:DJ6,3,FALSE),0),0))/100)))),1),"")</f>
        <v>1</v>
      </c>
      <c r="BP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M97)*BO97)*(VLOOKUP(A97,tbMoveset!A2:C112,3,FALSE)/100)*IF(VLOOKUP(A97,tbMoveset!A2:B112,2,FALSE)="Projectile",Backdoors!N10,Backdoors!N9),0),"")</f>
        <v/>
      </c>
      <c r="BQ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M97&gt;=0.45,VLOOKUP(Calculator!E23,tbSkills!DH3:DI6,2,FALSE)+IF(AND(Calculator!B8=TRUE,Backdoors!BI12=TRUE),VLOOKUP(Calculator!E23,tbSkills!DH3:DJ6,3,FALSE),0),0))&gt;=100,100,(Backdoors!AI12+IF(BM97&gt;=0.45,VLOOKUP(Calculator!E23,tbSkills!DH3:DI6,2,FALSE)+IF(AND(Calculator!B8=TRUE,Backdoors!BI12=TRUE),VLOOKUP(Calculator!E23,tbSkills!DH3:DJ6,3,FALSE),0),0)))/100)),1))*IF(VLOOKUP(A97,tbMoveset!A2:K112,11,FALSE)=TRUE,Backdoors!AC5,1))*BN97,0),"")</f>
        <v>0</v>
      </c>
      <c r="BR97" s="49">
        <f>VLOOKUP(A97,tbMoveset!A2:G112,7,FALSE)*IFERROR(IF(Backdoors!AI12&gt;=0,1+(IF(Calculator!E40&gt;0,VLOOKUP(Calculator!E40,tbSkills!AI3:AJ5,2,FALSE),Backdoors!AL4)*(IF((Backdoors!AI12+IF(BM97&gt;=0.45,VLOOKUP(Calculator!E23,tbSkills!DH3:DI6,2,FALSE)+IF(AND(Calculator!B8=TRUE,Backdoors!BI12=TRUE),VLOOKUP(Calculator!E23,tbSkills!DH3:DJ6,3,FALSE),0),0))&gt;=100,100,(Backdoors!AI12+IF(BM97&gt;=0.45,VLOOKUP(Calculator!E23,tbSkills!DH3:DI6,2,FALSE)+IF(AND(Calculator!B8=TRUE,Backdoors!BI12=TRUE),VLOOKUP(Calculator!E23,tbSkills!DH3:DJ6,3,FALSE),0),0)))/100)),1),1)</f>
        <v>0.7</v>
      </c>
      <c r="BS97" s="87">
        <f t="shared" si="60"/>
        <v>0</v>
      </c>
      <c r="BT97" s="86" t="str">
        <f>IFERROR(IF(VLOOKUP(A97,tbMoveset!A2:B112,2,FALSE)="Sever",Backdoors!AY13/100,IF(VLOOKUP(A97,tbMoveset!A2:B112,2,FALSE)="Blunt",Backdoors!AZ13/100,Backdoors!BA13/100)),"")</f>
        <v/>
      </c>
      <c r="BU97" s="49">
        <f>IFERROR(IF(VLOOKUP(tbMoveset!A97,tbMoveset!A2:H112,8,FALSE)="Other",IF(VLOOKUP(tbMoveset!A97,tbMoveset!A2:I112,9,FALSE)="Fire",Backdoors!BB13,IF(VLOOKUP(tbMoveset!A97,tbMoveset!A2:I112,9,FALSE)="Water",Backdoors!BC13,IF(VLOOKUP(tbMoveset!A97,tbMoveset!A2:I112,9,FALSE)="Thunder",Backdoors!BD13,IF(VLOOKUP(tbMoveset!A97,tbMoveset!A2:I112,9,FALSE)="Ice",Backdoors!BE13,IF(VLOOKUP(tbMoveset!A97,tbMoveset!A2:I112,9,FALSE)="Dragon",Backdoors!BF13,Backdoors!BG13)))))/100,Backdoors!BG13/100),"")</f>
        <v>0</v>
      </c>
      <c r="BV97" s="49">
        <f>IFERROR(IF(VLOOKUP(A97,tbMoveset!A2:J112,10,FALSE)=TRUE,IF((Backdoors!AI12+IF(BT97&gt;=0.45,VLOOKUP(Calculator!E23,tbSkills!DH3:DI6,2,FALSE)+IF(AND(Calculator!B8=TRUE,Backdoors!BI13=TRUE),VLOOKUP(Calculator!E23,tbSkills!DH3:DJ6,3,FALSE),0),0))&gt;=0,1+(Backdoors!AL2*(IF((Backdoors!AI12+IF(BT97&gt;=0.45,VLOOKUP(Calculator!E23,tbSkills!DH3:DI6,2,FALSE)+IF(AND(Calculator!B8=TRUE,Backdoors!BI13=TRUE),VLOOKUP(Calculator!E23,tbSkills!DH3:DJ6,3,FALSE),0),0))&gt;=100,100,(Backdoors!AI12+IF(BT97&gt;=0.45,VLOOKUP(Calculator!E23,tbSkills!DH3:DI6,2,FALSE)+IF(AND(Calculator!B8=TRUE,Backdoors!BI13=TRUE),VLOOKUP(Calculator!E23,tbSkills!DH3:DJ6,3,FALSE),0),0)))/100)),(1-(0.25*((-Backdoors!AI12-IF(BT97&gt;=0.45,VLOOKUP(Calculator!E23,tbSkills!DH3:DI6,2,FALSE)+IF(AND(Calculator!B8=TRUE,Backdoors!BI13=TRUE),VLOOKUP(Calculator!E23,tbSkills!DH3:DJ6,3,FALSE),0),0))/100)))),1),"")</f>
        <v>1</v>
      </c>
      <c r="BW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T97)*BV97)*(VLOOKUP(A97,tbMoveset!A2:C112,3,FALSE)/100)*IF(VLOOKUP(A97,tbMoveset!A2:B112,2,FALSE)="Projectile",Backdoors!N10,Backdoors!N9),0),"")</f>
        <v/>
      </c>
      <c r="BX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T97&gt;=0.45,VLOOKUP(Calculator!E23,tbSkills!DH3:DI6,2,FALSE)+IF(AND(Calculator!B8=TRUE,Backdoors!BI13=TRUE),VLOOKUP(Calculator!E23,tbSkills!DH3:DJ6,3,FALSE),0),0))&gt;=100,100,(Backdoors!AI12+IF(BT97&gt;=0.45,VLOOKUP(Calculator!E23,tbSkills!DH3:DI6,2,FALSE)+IF(AND(Calculator!B8=TRUE,Backdoors!BI13=TRUE),VLOOKUP(Calculator!E23,tbSkills!DH3:DJ6,3,FALSE),0),0)))/100)),1))*IF(VLOOKUP(A97,tbMoveset!A2:K112,11,FALSE)=TRUE,Backdoors!AC5,1))*BU97,0),"")</f>
        <v>0</v>
      </c>
      <c r="BY97" s="49">
        <f>VLOOKUP(A97,tbMoveset!A2:G112,7,FALSE)*IFERROR(IF(Backdoors!AI12&gt;=0,1+(IF(Calculator!E40&gt;0,VLOOKUP(Calculator!E40,tbSkills!AI3:AJ5,2,FALSE),Backdoors!AL4)*(IF((Backdoors!AI12+IF(BT97&gt;=0.45,VLOOKUP(Calculator!E23,tbSkills!DH3:DI6,2,FALSE)+IF(AND(Calculator!B8=TRUE,Backdoors!BI13=TRUE),VLOOKUP(Calculator!E23,tbSkills!DH3:DJ6,3,FALSE),0),0))&gt;=100,100,(Backdoors!AI12+IF(BT97&gt;=0.45,VLOOKUP(Calculator!E23,tbSkills!DH3:DI6,2,FALSE)+IF(AND(Calculator!B8=TRUE,Backdoors!BI13=TRUE),VLOOKUP(Calculator!E23,tbSkills!DH3:DJ6,3,FALSE),0),0)))/100)),1),1)</f>
        <v>0.7</v>
      </c>
      <c r="BZ97" s="87">
        <f t="shared" si="61"/>
        <v>0</v>
      </c>
      <c r="CA97" s="86" t="str">
        <f>IFERROR(IF(VLOOKUP(A97,tbMoveset!A2:B112,2,FALSE)="Sever",Backdoors!AY14/100,IF(VLOOKUP(A97,tbMoveset!A2:B112,2,FALSE)="Blunt",Backdoors!AZ14/100,Backdoors!BA14/100)),"")</f>
        <v/>
      </c>
      <c r="CB97" s="49">
        <f>IFERROR(IF(VLOOKUP(tbMoveset!A97,tbMoveset!A2:H112,8,FALSE)="Other",IF(VLOOKUP(tbMoveset!A97,tbMoveset!A2:I112,9,FALSE)="Fire",Backdoors!BB14,IF(VLOOKUP(tbMoveset!A97,tbMoveset!A2:I112,9,FALSE)="Water",Backdoors!BC14,IF(VLOOKUP(tbMoveset!A97,tbMoveset!A2:I112,9,FALSE)="Thunder",Backdoors!BD14,IF(VLOOKUP(tbMoveset!A97,tbMoveset!A2:I112,9,FALSE)="Ice",Backdoors!BE14,IF(VLOOKUP(tbMoveset!A97,tbMoveset!A2:I112,9,FALSE)="Dragon",Backdoors!BF14,Backdoors!BG14)))))/100,Backdoors!BG14/100),"")</f>
        <v>0</v>
      </c>
      <c r="CC97" s="49">
        <f>IFERROR(IF(VLOOKUP(A97,tbMoveset!A2:J112,10,FALSE)=TRUE,IF((Backdoors!AI12+IF(CA97&gt;=0.45,VLOOKUP(Calculator!E23,tbSkills!DH3:DI6,2,FALSE)+IF(AND(Calculator!B8=TRUE,Backdoors!BI14=TRUE),VLOOKUP(Calculator!E23,tbSkills!DH3:DJ6,3,FALSE),0),0))&gt;=0,1+(Backdoors!AL2*(IF((Backdoors!AI12+IF(CA97&gt;=0.45,VLOOKUP(Calculator!E23,tbSkills!DH3:DI6,2,FALSE)+IF(AND(Calculator!B8=TRUE,Backdoors!BI14=TRUE),VLOOKUP(Calculator!E23,tbSkills!DH3:DJ6,3,FALSE),0),0))&gt;=100,100,(Backdoors!AI12+IF(CA97&gt;=0.45,VLOOKUP(Calculator!E23,tbSkills!DH3:DI6,2,FALSE)+IF(AND(Calculator!B8=TRUE,Backdoors!BI14=TRUE),VLOOKUP(Calculator!E23,tbSkills!DH3:DJ6,3,FALSE),0),0)))/100)),(1-(0.25*((-Backdoors!AI12-IF(CA97&gt;=0.45,VLOOKUP(Calculator!E23,tbSkills!DH3:DI6,2,FALSE)+IF(AND(Calculator!B8=TRUE,Backdoors!BI14=TRUE),VLOOKUP(Calculator!E23,tbSkills!DH3:DJ6,3,FALSE),0),0))/100)))),1),"")</f>
        <v>1</v>
      </c>
      <c r="CD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A97)*CC97)*(VLOOKUP(A97,tbMoveset!A2:C112,3,FALSE)/100)*IF(VLOOKUP(A97,tbMoveset!A2:B112,2,FALSE)="Projectile",Backdoors!N10,Backdoors!N9),0),"")</f>
        <v/>
      </c>
      <c r="CE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A97&gt;=0.45,VLOOKUP(Calculator!E23,tbSkills!DH3:DI6,2,FALSE)+IF(AND(Calculator!B8=TRUE,Backdoors!BI14=TRUE),VLOOKUP(Calculator!E23,tbSkills!DH3:DJ6,3,FALSE),0),0))&gt;=100,100,(Backdoors!AI12+IF(CA97&gt;=0.45,VLOOKUP(Calculator!E23,tbSkills!DH3:DI6,2,FALSE)+IF(AND(Calculator!B8=TRUE,Backdoors!BI14=TRUE),VLOOKUP(Calculator!E23,tbSkills!DH3:DJ6,3,FALSE),0),0)))/100)),1))*IF(VLOOKUP(A97,tbMoveset!A2:K112,11,FALSE)=TRUE,Backdoors!AC5,1))*CB97,0),"")</f>
        <v>0</v>
      </c>
      <c r="CF97" s="49">
        <f>VLOOKUP(A97,tbMoveset!A2:G112,7,FALSE)*IFERROR(IF(Backdoors!AI12&gt;=0,1+(IF(Calculator!E40&gt;0,VLOOKUP(Calculator!E40,tbSkills!AI3:AJ5,2,FALSE),Backdoors!AL4)*(IF((Backdoors!AI12+IF(CA97&gt;=0.45,VLOOKUP(Calculator!E23,tbSkills!DH3:DI6,2,FALSE)+IF(AND(Calculator!B8=TRUE,Backdoors!BI14=TRUE),VLOOKUP(Calculator!E23,tbSkills!DH3:DJ6,3,FALSE),0),0))&gt;=100,100,(Backdoors!AI12+IF(CA97&gt;=0.45,VLOOKUP(Calculator!E23,tbSkills!DH3:DI6,2,FALSE)+IF(AND(Calculator!B8=TRUE,Backdoors!BI14=TRUE),VLOOKUP(Calculator!E23,tbSkills!DH3:DJ6,3,FALSE),0),0)))/100)),1),1)</f>
        <v>0.7</v>
      </c>
      <c r="CG97" s="87">
        <f t="shared" si="62"/>
        <v>0</v>
      </c>
      <c r="CH97" s="86" t="str">
        <f>IFERROR(IF(VLOOKUP(A97,tbMoveset!A2:B112,2,FALSE)="Sever",Backdoors!AY15/100,IF(VLOOKUP(A97,tbMoveset!A2:B112,2,FALSE)="Blunt",Backdoors!AZ15/100,Backdoors!BA15/100)),"")</f>
        <v/>
      </c>
      <c r="CI97" s="49">
        <f>IFERROR(IF(VLOOKUP(tbMoveset!A97,tbMoveset!A2:H112,8,FALSE)="Other",IF(VLOOKUP(tbMoveset!A97,tbMoveset!A2:I112,9,FALSE)="Fire",Backdoors!BB15,IF(VLOOKUP(tbMoveset!A97,tbMoveset!A2:I112,9,FALSE)="Water",Backdoors!BC15,IF(VLOOKUP(tbMoveset!A97,tbMoveset!A2:I112,9,FALSE)="Thunder",Backdoors!BD15,IF(VLOOKUP(tbMoveset!A97,tbMoveset!A2:I112,9,FALSE)="Ice",Backdoors!BE15,IF(VLOOKUP(tbMoveset!A97,tbMoveset!A2:I112,9,FALSE)="Dragon",Backdoors!BF15,Backdoors!BG15)))))/100,Backdoors!BG15/100),"")</f>
        <v>0</v>
      </c>
      <c r="CJ97" s="49">
        <f>IFERROR(IF(VLOOKUP(A97,tbMoveset!A2:J112,10,FALSE)=TRUE,IF((Backdoors!AI12+IF(CH97&gt;=0.45,VLOOKUP(Calculator!E23,tbSkills!DH3:DI6,2,FALSE)+IF(AND(Calculator!B8=TRUE,Backdoors!BI15=TRUE),VLOOKUP(Calculator!E23,tbSkills!DH3:DJ6,3,FALSE),0),0))&gt;=0,1+(Backdoors!AL2*(IF((Backdoors!AI12+IF(CH97&gt;=0.45,VLOOKUP(Calculator!E23,tbSkills!DH3:DI6,2,FALSE)+IF(AND(Calculator!B8=TRUE,Backdoors!BI15=TRUE),VLOOKUP(Calculator!E23,tbSkills!DH3:DJ6,3,FALSE),0),0))&gt;=100,100,(Backdoors!AI12+IF(CH97&gt;=0.45,VLOOKUP(Calculator!E23,tbSkills!DH3:DI6,2,FALSE)+IF(AND(Calculator!B8=TRUE,Backdoors!BI15=TRUE),VLOOKUP(Calculator!E23,tbSkills!DH3:DJ6,3,FALSE),0),0)))/100)),(1-(0.25*((-Backdoors!AI12-IF(CH97&gt;=0.45,VLOOKUP(Calculator!E23,tbSkills!DH3:DI6,2,FALSE)+IF(AND(Calculator!B8=TRUE,Backdoors!BI15=TRUE),VLOOKUP(Calculator!E23,tbSkills!DH3:DJ6,3,FALSE),0),0))/100)))),1),"")</f>
        <v>1</v>
      </c>
      <c r="CK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H97)*CJ97)*(VLOOKUP(A97,tbMoveset!A2:C112,3,FALSE)/100)*IF(VLOOKUP(A97,tbMoveset!A2:B112,2,FALSE)="Projectile",Backdoors!N10,Backdoors!N9),0),"")</f>
        <v/>
      </c>
      <c r="CL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H97&gt;=0.45,VLOOKUP(Calculator!E23,tbSkills!DH3:DI6,2,FALSE)+IF(AND(Calculator!B8=TRUE,Backdoors!BI15=TRUE),VLOOKUP(Calculator!E23,tbSkills!DH3:DJ6,3,FALSE),0),0))&gt;=100,100,(Backdoors!AI12+IF(CH97&gt;=0.45,VLOOKUP(Calculator!E23,tbSkills!DH3:DI6,2,FALSE)+IF(AND(Calculator!B8=TRUE,Backdoors!BI15=TRUE),VLOOKUP(Calculator!E23,tbSkills!DH3:DJ6,3,FALSE),0),0)))/100)),1))*IF(VLOOKUP(A97,tbMoveset!A2:K112,11,FALSE)=TRUE,Backdoors!AC5,1))*CI97,0),"")</f>
        <v>0</v>
      </c>
      <c r="CM97" s="49">
        <f>VLOOKUP(A97,tbMoveset!A2:G112,7,FALSE)*IFERROR(IF(Backdoors!AI12&gt;=0,1+(IF(Calculator!E40&gt;0,VLOOKUP(Calculator!E40,tbSkills!AI3:AJ5,2,FALSE),Backdoors!AL4)*(IF((Backdoors!AI12+IF(CH97&gt;=0.45,VLOOKUP(Calculator!E23,tbSkills!DH3:DI6,2,FALSE)+IF(AND(Calculator!B8=TRUE,Backdoors!BI15=TRUE),VLOOKUP(Calculator!E23,tbSkills!DH3:DJ6,3,FALSE),0),0))&gt;=100,100,(Backdoors!AI12+IF(CH97&gt;=0.45,VLOOKUP(Calculator!E23,tbSkills!DH3:DI6,2,FALSE)+IF(AND(Calculator!B8=TRUE,Backdoors!BI15=TRUE),VLOOKUP(Calculator!E23,tbSkills!DH3:DJ6,3,FALSE),0),0)))/100)),1),1)</f>
        <v>0.7</v>
      </c>
      <c r="CN97" s="87">
        <f t="shared" si="63"/>
        <v>0</v>
      </c>
      <c r="CO97" s="86" t="str">
        <f>IFERROR(IF(VLOOKUP(A97,tbMoveset!A2:B112,2,FALSE)="Sever",Backdoors!AY16/100,IF(VLOOKUP(A97,tbMoveset!A2:B112,2,FALSE)="Blunt",Backdoors!AZ16/100,Backdoors!BA16/100)),"")</f>
        <v/>
      </c>
      <c r="CP97" s="49">
        <f>IFERROR(IF(VLOOKUP(tbMoveset!A97,tbMoveset!A2:H112,8,FALSE)="Other",IF(VLOOKUP(tbMoveset!A97,tbMoveset!A2:I112,9,FALSE)="Fire",Backdoors!BB16,IF(VLOOKUP(tbMoveset!A97,tbMoveset!A2:I112,9,FALSE)="Water",Backdoors!BC16,IF(VLOOKUP(tbMoveset!A97,tbMoveset!A2:I112,9,FALSE)="Thunder",Backdoors!BD16,IF(VLOOKUP(tbMoveset!A97,tbMoveset!A2:I112,9,FALSE)="Ice",Backdoors!BE16,IF(VLOOKUP(tbMoveset!A97,tbMoveset!A2:I112,9,FALSE)="Dragon",Backdoors!BF16,Backdoors!BG16)))))/100,Backdoors!BG16/100),"")</f>
        <v>0</v>
      </c>
      <c r="CQ97" s="49">
        <f>IFERROR(IF(VLOOKUP(A97,tbMoveset!A2:J112,10,FALSE)=TRUE,IF((Backdoors!AI12+IF(CO97&gt;=0.45,VLOOKUP(Calculator!E23,tbSkills!DH3:DI6,2,FALSE)+IF(AND(Calculator!B8=TRUE,Backdoors!BI16=TRUE),VLOOKUP(Calculator!E23,tbSkills!DH3:DJ6,3,FALSE),0),0))&gt;=0,1+(Backdoors!AL2*(IF((Backdoors!AI12+IF(CO97&gt;=0.45,VLOOKUP(Calculator!E23,tbSkills!DH3:DI6,2,FALSE)+IF(AND(Calculator!B8=TRUE,Backdoors!BI16=TRUE),VLOOKUP(Calculator!E23,tbSkills!DH3:DJ6,3,FALSE),0),0))&gt;=100,100,(Backdoors!AI12+IF(CO97&gt;=0.45,VLOOKUP(Calculator!E23,tbSkills!DH3:DI6,2,FALSE)+IF(AND(Calculator!B8=TRUE,Backdoors!BI16=TRUE),VLOOKUP(Calculator!E23,tbSkills!DH3:DJ6,3,FALSE),0),0)))/100)),(1-(0.25*((-Backdoors!AI12-IF(CO97&gt;=0.45,VLOOKUP(Calculator!E23,tbSkills!DH3:DI6,2,FALSE)+IF(AND(Calculator!B8=TRUE,Backdoors!BI16=TRUE),VLOOKUP(Calculator!E23,tbSkills!DH3:DJ6,3,FALSE),0),0))/100)))),1),"")</f>
        <v>1</v>
      </c>
      <c r="CR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O97)*CQ97)*(VLOOKUP(A97,tbMoveset!A2:C112,3,FALSE)/100)*IF(VLOOKUP(A97,tbMoveset!A2:B112,2,FALSE)="Projectile",Backdoors!N10,Backdoors!N9),0),"")</f>
        <v/>
      </c>
      <c r="CS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O97&gt;=0.45,VLOOKUP(Calculator!E23,tbSkills!DH3:DI6,2,FALSE)+IF(AND(Calculator!B8=TRUE,Backdoors!BI16=TRUE),VLOOKUP(Calculator!E23,tbSkills!DH3:DJ6,3,FALSE),0),0))&gt;=100,100,(Backdoors!AI12+IF(CO97&gt;=0.45,VLOOKUP(Calculator!E23,tbSkills!DH3:DI6,2,FALSE)+IF(AND(Calculator!B8=TRUE,Backdoors!BI16=TRUE),VLOOKUP(Calculator!E23,tbSkills!DH3:DJ6,3,FALSE),0),0)))/100)),1))*IF(VLOOKUP(A97,tbMoveset!A2:K112,11,FALSE)=TRUE,Backdoors!AC5,1))*CP97,0),"")</f>
        <v>0</v>
      </c>
      <c r="CT97" s="49">
        <f>VLOOKUP(A97,tbMoveset!A2:G112,7,FALSE)*IFERROR(IF(Backdoors!AI12&gt;=0,1+(IF(Calculator!E40&gt;0,VLOOKUP(Calculator!E40,tbSkills!AI3:AJ5,2,FALSE),Backdoors!AL4)*(IF((Backdoors!AI12+IF(CO97&gt;=0.45,VLOOKUP(Calculator!E23,tbSkills!DH3:DI6,2,FALSE)+IF(AND(Calculator!B8=TRUE,Backdoors!BI16=TRUE),VLOOKUP(Calculator!E23,tbSkills!DH3:DJ6,3,FALSE),0),0))&gt;=100,100,(Backdoors!AI12+IF(CO97&gt;=0.45,VLOOKUP(Calculator!E23,tbSkills!DH3:DI6,2,FALSE)+IF(AND(Calculator!B8=TRUE,Backdoors!BI16=TRUE),VLOOKUP(Calculator!E23,tbSkills!DH3:DJ6,3,FALSE),0),0)))/100)),1),1)</f>
        <v>0.7</v>
      </c>
      <c r="CU97" s="87">
        <f t="shared" si="64"/>
        <v>0</v>
      </c>
      <c r="CV97" s="86" t="str">
        <f>IFERROR(IF(VLOOKUP(A97,tbMoveset!A2:B112,2,FALSE)="Sever",Backdoors!AY17/100,IF(VLOOKUP(A97,tbMoveset!A2:B112,2,FALSE)="Blunt",Backdoors!AZ17/100,Backdoors!BA17/100)),"")</f>
        <v/>
      </c>
      <c r="CW97" s="49">
        <f>IFERROR(IF(VLOOKUP(tbMoveset!A97,tbMoveset!A2:H112,8,FALSE)="Other",IF(VLOOKUP(tbMoveset!A97,tbMoveset!A2:I112,9,FALSE)="Fire",Backdoors!BB17,IF(VLOOKUP(tbMoveset!A97,tbMoveset!A2:I112,9,FALSE)="Water",Backdoors!BC17,IF(VLOOKUP(tbMoveset!A97,tbMoveset!A2:I112,9,FALSE)="Thunder",Backdoors!BD17,IF(VLOOKUP(tbMoveset!A97,tbMoveset!A2:I112,9,FALSE)="Ice",Backdoors!BE17,IF(VLOOKUP(tbMoveset!A97,tbMoveset!A2:I112,9,FALSE)="Dragon",Backdoors!BF17,Backdoors!BG17)))))/100,Backdoors!BG17/100),"")</f>
        <v>0</v>
      </c>
      <c r="CX97" s="49">
        <f>IFERROR(IF(VLOOKUP(A97,tbMoveset!A2:J112,10,FALSE)=TRUE,IF((Backdoors!AI12+IF(CV97&gt;=0.45,VLOOKUP(Calculator!E23,tbSkills!DH3:DI6,2,FALSE)+IF(AND(Calculator!B8=TRUE,Backdoors!BI17=TRUE),VLOOKUP(Calculator!E23,tbSkills!DH3:DJ6,3,FALSE),0),0))&gt;=0,1+(Backdoors!AL2*(IF((Backdoors!AI12+IF(CV97&gt;=0.45,VLOOKUP(Calculator!E23,tbSkills!DH3:DI6,2,FALSE)+IF(AND(Calculator!B8=TRUE,Backdoors!BI17=TRUE),VLOOKUP(Calculator!E23,tbSkills!DH3:DJ6,3,FALSE),0),0))&gt;=100,100,(Backdoors!AI12+IF(CV97&gt;=0.45,VLOOKUP(Calculator!E23,tbSkills!DH3:DI6,2,FALSE)+IF(AND(Calculator!B8=TRUE,Backdoors!BI17=TRUE),VLOOKUP(Calculator!E23,tbSkills!DH3:DJ6,3,FALSE),0),0)))/100)),(1-(0.25*((-Backdoors!AI12-IF(CV97&gt;=0.45,VLOOKUP(Calculator!E23,tbSkills!DH3:DI6,2,FALSE)+IF(AND(Calculator!B8=TRUE,Backdoors!BI17=TRUE),VLOOKUP(Calculator!E23,tbSkills!DH3:DJ6,3,FALSE),0),0))/100)))),1),"")</f>
        <v>1</v>
      </c>
      <c r="CY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V97)*CX97)*(VLOOKUP(A97,tbMoveset!A2:C112,3,FALSE)/100)*IF(VLOOKUP(A97,tbMoveset!A2:B112,2,FALSE)="Projectile",Backdoors!N10,Backdoors!N9),0),"")</f>
        <v/>
      </c>
      <c r="CZ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V97&gt;=0.45,VLOOKUP(Calculator!E23,tbSkills!DH3:DI6,2,FALSE)+IF(AND(Calculator!B8=TRUE,Backdoors!BI17=TRUE),VLOOKUP(Calculator!E23,tbSkills!DH3:DJ6,3,FALSE),0),0))&gt;=100,100,(Backdoors!AI12+IF(CV97&gt;=0.45,VLOOKUP(Calculator!E23,tbSkills!DH3:DI6,2,FALSE)+IF(AND(Calculator!B8=TRUE,Backdoors!BI17=TRUE),VLOOKUP(Calculator!E23,tbSkills!DH3:DJ6,3,FALSE),0),0)))/100)),1))*IF(VLOOKUP(A97,tbMoveset!A2:K112,11,FALSE)=TRUE,Backdoors!AC5,1))*CW97,0),"")</f>
        <v>0</v>
      </c>
      <c r="DA97" s="49">
        <f>VLOOKUP(A97,tbMoveset!A2:G112,7,FALSE)*IFERROR(IF(Backdoors!AI12&gt;=0,1+(IF(Calculator!E40&gt;0,VLOOKUP(Calculator!E40,tbSkills!AI3:AJ5,2,FALSE),Backdoors!AL4)*(IF((Backdoors!AI12+IF(CV97&gt;=0.45,VLOOKUP(Calculator!E23,tbSkills!DH3:DI6,2,FALSE)+IF(AND(Calculator!B8=TRUE,Backdoors!BI17=TRUE),VLOOKUP(Calculator!E23,tbSkills!DH3:DJ6,3,FALSE),0),0))&gt;=100,100,(Backdoors!AI12+IF(CV97&gt;=0.45,VLOOKUP(Calculator!E23,tbSkills!DH3:DI6,2,FALSE)+IF(AND(Calculator!B8=TRUE,Backdoors!BI17=TRUE),VLOOKUP(Calculator!E23,tbSkills!DH3:DJ6,3,FALSE),0),0)))/100)),1),1)</f>
        <v>0.7</v>
      </c>
      <c r="DB97" s="87">
        <f t="shared" si="65"/>
        <v>0</v>
      </c>
      <c r="DC97" s="86" t="str">
        <f>IFERROR(IF(VLOOKUP(A97,tbMoveset!A2:B112,2,FALSE)="Sever",Backdoors!AY18/100,IF(VLOOKUP(A97,tbMoveset!A2:B112,2,FALSE)="Blunt",Backdoors!AZ18/100,Backdoors!BA18/100)),"")</f>
        <v/>
      </c>
      <c r="DD97" s="49">
        <f>IFERROR(IF(VLOOKUP(tbMoveset!A97,tbMoveset!A2:H112,8,FALSE)="Other",IF(VLOOKUP(tbMoveset!A97,tbMoveset!A2:I112,9,FALSE)="Fire",Backdoors!BB18,IF(VLOOKUP(tbMoveset!A97,tbMoveset!A2:I112,9,FALSE)="Water",Backdoors!BC18,IF(VLOOKUP(tbMoveset!A97,tbMoveset!A2:I112,9,FALSE)="Thunder",Backdoors!BD18,IF(VLOOKUP(tbMoveset!A97,tbMoveset!A2:I112,9,FALSE)="Ice",Backdoors!BE18,IF(VLOOKUP(tbMoveset!A97,tbMoveset!A2:I112,9,FALSE)="Dragon",Backdoors!BF18,Backdoors!BG18)))))/100,Backdoors!BG18/100),"")</f>
        <v>0</v>
      </c>
      <c r="DE97" s="49">
        <f>IFERROR(IF(VLOOKUP(A97,tbMoveset!A2:J112,10,FALSE)=TRUE,IF((Backdoors!AI12+IF(DC97&gt;=0.45,VLOOKUP(Calculator!E23,tbSkills!DH3:DI6,2,FALSE)+IF(AND(Calculator!B8=TRUE,Backdoors!BI18=TRUE),VLOOKUP(Calculator!E23,tbSkills!DH3:DJ6,3,FALSE),0),0))&gt;=0,1+(Backdoors!AL2*(IF((Backdoors!AI12+IF(DC97&gt;=0.45,VLOOKUP(Calculator!E23,tbSkills!DH3:DI6,2,FALSE)+IF(AND(Calculator!B8=TRUE,Backdoors!BI18=TRUE),VLOOKUP(Calculator!E23,tbSkills!DH3:DJ6,3,FALSE),0),0))&gt;=100,100,(Backdoors!AI12+IF(DC97&gt;=0.45,VLOOKUP(Calculator!E23,tbSkills!DH3:DI6,2,FALSE)+IF(AND(Calculator!B8=TRUE,Backdoors!BI18=TRUE),VLOOKUP(Calculator!E23,tbSkills!DH3:DJ6,3,FALSE),0),0)))/100)),(1-(0.25*((-Backdoors!AI12-IF(DC97&gt;=0.45,VLOOKUP(Calculator!E23,tbSkills!DH3:DI6,2,FALSE)+IF(AND(Calculator!B8=TRUE,Backdoors!BI18=TRUE),VLOOKUP(Calculator!E23,tbSkills!DH3:DJ6,3,FALSE),0),0))/100)))),1),"")</f>
        <v>1</v>
      </c>
      <c r="DF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C97)*DE97)*(VLOOKUP(A97,tbMoveset!A2:C112,3,FALSE)/100)*IF(VLOOKUP(A97,tbMoveset!A2:B112,2,FALSE)="Projectile",Backdoors!N10,Backdoors!N9),0),"")</f>
        <v/>
      </c>
      <c r="DG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C97&gt;=0.45,VLOOKUP(Calculator!E23,tbSkills!DH3:DI6,2,FALSE)+IF(AND(Calculator!B8=TRUE,Backdoors!BI18=TRUE),VLOOKUP(Calculator!E23,tbSkills!DH3:DJ6,3,FALSE),0),0))&gt;=100,100,(Backdoors!AI12+IF(DC97&gt;=0.45,VLOOKUP(Calculator!E23,tbSkills!DH3:DI6,2,FALSE)+IF(AND(Calculator!B8=TRUE,Backdoors!BI18=TRUE),VLOOKUP(Calculator!E23,tbSkills!DH3:DJ6,3,FALSE),0),0)))/100)),1))*IF(VLOOKUP(A97,tbMoveset!A2:K112,11,FALSE)=TRUE,Backdoors!AC5,1))*DD97,0),"")</f>
        <v>0</v>
      </c>
      <c r="DH97" s="49">
        <f>VLOOKUP(A97,tbMoveset!A2:G112,7,FALSE)*IFERROR(IF(Backdoors!AI12&gt;=0,1+(IF(Calculator!E40&gt;0,VLOOKUP(Calculator!E40,tbSkills!AI3:AJ5,2,FALSE),Backdoors!AL4)*(IF((Backdoors!AI12+IF(DC97&gt;=0.45,VLOOKUP(Calculator!E23,tbSkills!DH3:DI6,2,FALSE)+IF(AND(Calculator!B8=TRUE,Backdoors!BI18=TRUE),VLOOKUP(Calculator!E23,tbSkills!DH3:DJ6,3,FALSE),0),0))&gt;=100,100,(Backdoors!AI12+IF(DC97&gt;=0.45,VLOOKUP(Calculator!E23,tbSkills!DH3:DI6,2,FALSE)+IF(AND(Calculator!B8=TRUE,Backdoors!BI18=TRUE),VLOOKUP(Calculator!E23,tbSkills!DH3:DJ6,3,FALSE),0),0)))/100)),1),1)</f>
        <v>0.7</v>
      </c>
      <c r="DI97" s="87">
        <f t="shared" si="66"/>
        <v>0</v>
      </c>
      <c r="DJ97" s="86" t="str">
        <f>IFERROR(IF(VLOOKUP(A97,tbMoveset!A2:B112,2,FALSE)="Sever",Backdoors!AY19/100,IF(VLOOKUP(A97,tbMoveset!A2:B112,2,FALSE)="Blunt",Backdoors!AZ19/100,Backdoors!BA19/100)),"")</f>
        <v/>
      </c>
      <c r="DK97" s="49">
        <f>IFERROR(IF(VLOOKUP(tbMoveset!A97,tbMoveset!A2:H112,8,FALSE)="Other",IF(VLOOKUP(tbMoveset!A97,tbMoveset!A2:I112,9,FALSE)="Fire",Backdoors!BB19,IF(VLOOKUP(tbMoveset!A97,tbMoveset!A2:I112,9,FALSE)="Water",Backdoors!BC19,IF(VLOOKUP(tbMoveset!A97,tbMoveset!A2:I112,9,FALSE)="Thunder",Backdoors!BD19,IF(VLOOKUP(tbMoveset!A97,tbMoveset!A2:I112,9,FALSE)="Ice",Backdoors!BE19,IF(VLOOKUP(tbMoveset!A97,tbMoveset!A2:I112,9,FALSE)="Dragon",Backdoors!BF19,Backdoors!BG19)))))/100,Backdoors!BG19/100),"")</f>
        <v>0</v>
      </c>
      <c r="DL97" s="49">
        <f>IFERROR(IF(VLOOKUP(A97,tbMoveset!A2:J112,10,FALSE)=TRUE,IF((Backdoors!AI12+IF(DJ97&gt;=0.45,VLOOKUP(Calculator!E23,tbSkills!DH3:DI6,2,FALSE)+IF(AND(Calculator!B8=TRUE,Backdoors!BI19=TRUE),VLOOKUP(Calculator!E23,tbSkills!DH3:DJ6,3,FALSE),0),0))&gt;=0,1+(Backdoors!AL2*(IF((Backdoors!AI12+IF(DJ97&gt;=0.45,VLOOKUP(Calculator!E23,tbSkills!DH3:DI6,2,FALSE)+IF(AND(Calculator!B8=TRUE,Backdoors!BI19=TRUE),VLOOKUP(Calculator!E23,tbSkills!DH3:DJ6,3,FALSE),0),0))&gt;=100,100,(Backdoors!AI12+IF(DJ97&gt;=0.45,VLOOKUP(Calculator!E23,tbSkills!DH3:DI6,2,FALSE)+IF(AND(Calculator!B8=TRUE,Backdoors!BI19=TRUE),VLOOKUP(Calculator!E23,tbSkills!DH3:DJ6,3,FALSE),0),0)))/100)),(1-(0.25*((-Backdoors!AI12-IF(DJ97&gt;=0.45,VLOOKUP(Calculator!E23,tbSkills!DH3:DI6,2,FALSE)+IF(AND(Calculator!B8=TRUE,Backdoors!BI19=TRUE),VLOOKUP(Calculator!E23,tbSkills!DH3:DJ6,3,FALSE),0),0))/100)))),1),"")</f>
        <v>1</v>
      </c>
      <c r="DM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J97)*DL97)*(VLOOKUP(A97,tbMoveset!A2:C112,3,FALSE)/100)*IF(VLOOKUP(A97,tbMoveset!A2:B112,2,FALSE)="Projectile",Backdoors!N10,Backdoors!N9),0),"")</f>
        <v/>
      </c>
      <c r="DN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J97&gt;=0.45,VLOOKUP(Calculator!E23,tbSkills!DH3:DI6,2,FALSE)+IF(AND(Calculator!B8=TRUE,Backdoors!BI19=TRUE),VLOOKUP(Calculator!E23,tbSkills!DH3:DJ6,3,FALSE),0),0))&gt;=100,100,(Backdoors!AI12+IF(DJ97&gt;=0.45,VLOOKUP(Calculator!E23,tbSkills!DH3:DI6,2,FALSE)+IF(AND(Calculator!B8=TRUE,Backdoors!BI19=TRUE),VLOOKUP(Calculator!E23,tbSkills!DH3:DJ6,3,FALSE),0),0)))/100)),1))*IF(VLOOKUP(A97,tbMoveset!A2:K112,11,FALSE)=TRUE,Backdoors!AC5,1))*DK97,0),"")</f>
        <v>0</v>
      </c>
      <c r="DO97" s="49">
        <f>VLOOKUP(A97,tbMoveset!A2:G112,7,FALSE)*IFERROR(IF(Backdoors!AI12&gt;=0,1+(IF(Calculator!E40&gt;0,VLOOKUP(Calculator!E40,tbSkills!AI3:AJ5,2,FALSE),Backdoors!AL4)*(IF((Backdoors!AI12+IF(DJ97&gt;=0.45,VLOOKUP(Calculator!E23,tbSkills!DH3:DI6,2,FALSE)+IF(AND(Calculator!B8=TRUE,Backdoors!BI19=TRUE),VLOOKUP(Calculator!E23,tbSkills!DH3:DJ6,3,FALSE),0),0))&gt;=100,100,(Backdoors!AI12+IF(DJ97&gt;=0.45,VLOOKUP(Calculator!E23,tbSkills!DH3:DI6,2,FALSE)+IF(AND(Calculator!B8=TRUE,Backdoors!BI19=TRUE),VLOOKUP(Calculator!E23,tbSkills!DH3:DJ6,3,FALSE),0),0)))/100)),1),1)</f>
        <v>0.7</v>
      </c>
      <c r="DP97" s="87">
        <f t="shared" si="67"/>
        <v>0</v>
      </c>
      <c r="DQ97" s="86" t="str">
        <f>IFERROR(IF(VLOOKUP(A97,tbMoveset!A2:B112,2,FALSE)="Sever",Backdoors!AY20/100,IF(VLOOKUP(A97,tbMoveset!A2:B112,2,FALSE)="Blunt",Backdoors!AZ20/100,Backdoors!BA20/100)),"")</f>
        <v/>
      </c>
      <c r="DR97" s="49">
        <f>IFERROR(IF(VLOOKUP(tbMoveset!A97,tbMoveset!A2:H112,8,FALSE)="Other",IF(VLOOKUP(tbMoveset!A97,tbMoveset!A2:I112,9,FALSE)="Fire",Backdoors!BB20,IF(VLOOKUP(tbMoveset!A97,tbMoveset!A2:I112,9,FALSE)="Water",Backdoors!BC20,IF(VLOOKUP(tbMoveset!A97,tbMoveset!A2:I112,9,FALSE)="Thunder",Backdoors!BD20,IF(VLOOKUP(tbMoveset!A97,tbMoveset!A2:I112,9,FALSE)="Ice",Backdoors!BE20,IF(VLOOKUP(tbMoveset!A97,tbMoveset!A2:I112,9,FALSE)="Dragon",Backdoors!BF20,Backdoors!BG20)))))/100,Backdoors!BG20/100),"")</f>
        <v>0</v>
      </c>
      <c r="DS97" s="49">
        <f>IFERROR(IF(VLOOKUP(A97,tbMoveset!A2:J112,10,FALSE)=TRUE,IF((Backdoors!AI12+IF(DQ97&gt;=0.45,VLOOKUP(Calculator!E23,tbSkills!DH3:DI6,2,FALSE)+IF(AND(Calculator!B8=TRUE,Backdoors!BI20=TRUE),VLOOKUP(Calculator!E23,tbSkills!DH3:DJ6,3,FALSE),0),0))&gt;=0,1+(Backdoors!AL2*(IF((Backdoors!AI12+IF(DQ97&gt;=0.45,VLOOKUP(Calculator!E23,tbSkills!DH3:DI6,2,FALSE)+IF(AND(Calculator!B8=TRUE,Backdoors!BI20=TRUE),VLOOKUP(Calculator!E23,tbSkills!DH3:DJ6,3,FALSE),0),0))&gt;=100,100,(Backdoors!AI12+IF(DQ97&gt;=0.45,VLOOKUP(Calculator!E23,tbSkills!DH3:DI6,2,FALSE)+IF(AND(Calculator!B8=TRUE,Backdoors!BI20=TRUE),VLOOKUP(Calculator!E23,tbSkills!DH3:DJ6,3,FALSE),0),0)))/100)),(1-(0.25*((-Backdoors!AI12-IF(DQ97&gt;=0.45,VLOOKUP(Calculator!E23,tbSkills!DH3:DI6,2,FALSE)+IF(AND(Calculator!B8=TRUE,Backdoors!BI20=TRUE),VLOOKUP(Calculator!E23,tbSkills!DH3:DJ6,3,FALSE),0),0))/100)))),1),"")</f>
        <v>1</v>
      </c>
      <c r="DT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Q97)*DS97)*(VLOOKUP(A97,tbMoveset!A2:C112,3,FALSE)/100)*IF(VLOOKUP(A97,tbMoveset!A2:B112,2,FALSE)="Projectile",Backdoors!N10,Backdoors!N9),0),"")</f>
        <v/>
      </c>
      <c r="DU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Q97&gt;=0.45,VLOOKUP(Calculator!E23,tbSkills!DH3:DI6,2,FALSE)+IF(AND(Calculator!B8=TRUE,Backdoors!BI20=TRUE),VLOOKUP(Calculator!E23,tbSkills!DH3:DJ6,3,FALSE),0),0))&gt;=100,100,(Backdoors!AI12+IF(DQ97&gt;=0.45,VLOOKUP(Calculator!E23,tbSkills!DH3:DI6,2,FALSE)+IF(AND(Calculator!B8=TRUE,Backdoors!BI20=TRUE),VLOOKUP(Calculator!E23,tbSkills!DH3:DJ6,3,FALSE),0),0)))/100)),1))*IF(VLOOKUP(A97,tbMoveset!A2:K112,11,FALSE)=TRUE,Backdoors!AC5,1))*DR97,0),"")</f>
        <v>0</v>
      </c>
      <c r="DV97" s="49">
        <f>VLOOKUP(A97,tbMoveset!A2:G112,7,FALSE)*IFERROR(IF(Backdoors!AI12&gt;=0,1+(IF(Calculator!E40&gt;0,VLOOKUP(Calculator!E40,tbSkills!AI3:AJ5,2,FALSE),Backdoors!AL4)*(IF((Backdoors!AI12+IF(DQ97&gt;=0.45,VLOOKUP(Calculator!E23,tbSkills!DH3:DI6,2,FALSE)+IF(AND(Calculator!B8=TRUE,Backdoors!BI20=TRUE),VLOOKUP(Calculator!E23,tbSkills!DH3:DJ6,3,FALSE),0),0))&gt;=100,100,(Backdoors!AI12+IF(DQ97&gt;=0.45,VLOOKUP(Calculator!E23,tbSkills!DH3:DI6,2,FALSE)+IF(AND(Calculator!B8=TRUE,Backdoors!BI20=TRUE),VLOOKUP(Calculator!E23,tbSkills!DH3:DJ6,3,FALSE),0),0)))/100)),1),1)</f>
        <v>0.7</v>
      </c>
      <c r="DW97" s="87">
        <f t="shared" si="68"/>
        <v>0</v>
      </c>
      <c r="DX97" s="86" t="str">
        <f>IFERROR(IF(VLOOKUP(A97,tbMoveset!A2:B112,2,FALSE)="Sever",Backdoors!AY21/100,IF(VLOOKUP(A97,tbMoveset!A2:B112,2,FALSE)="Blunt",Backdoors!AZ21/100,Backdoors!BA21/100)),"")</f>
        <v/>
      </c>
      <c r="DY97" s="49">
        <f>IFERROR(IF(VLOOKUP(tbMoveset!A97,tbMoveset!A2:H112,8,FALSE)="Other",IF(VLOOKUP(tbMoveset!A97,tbMoveset!A2:I112,9,FALSE)="Fire",Backdoors!BB21,IF(VLOOKUP(tbMoveset!A97,tbMoveset!A2:I112,9,FALSE)="Water",Backdoors!BC21,IF(VLOOKUP(tbMoveset!A97,tbMoveset!A2:I112,9,FALSE)="Thunder",Backdoors!BD21,IF(VLOOKUP(tbMoveset!A97,tbMoveset!A2:I112,9,FALSE)="Ice",Backdoors!BE21,IF(VLOOKUP(tbMoveset!A97,tbMoveset!A2:I112,9,FALSE)="Dragon",Backdoors!BF21,Backdoors!BG21)))))/100,Backdoors!BG21/100),"")</f>
        <v>0</v>
      </c>
      <c r="DZ97" s="49">
        <f>IFERROR(IF(VLOOKUP(A97,tbMoveset!A2:J112,10,FALSE)=TRUE,IF((Backdoors!AI12+IF(DX97&gt;=0.45,VLOOKUP(Calculator!E23,tbSkills!DH3:DI6,2,FALSE)+IF(AND(Calculator!B8=TRUE,Backdoors!BI21=TRUE),VLOOKUP(Calculator!E23,tbSkills!DH3:DJ6,3,FALSE),0),0))&gt;=0,1+(Backdoors!AL2*(IF((Backdoors!AI12+IF(DX97&gt;=0.45,VLOOKUP(Calculator!E23,tbSkills!DH3:DI6,2,FALSE)+IF(AND(Calculator!B8=TRUE,Backdoors!BI21=TRUE),VLOOKUP(Calculator!E23,tbSkills!DH3:DJ6,3,FALSE),0),0))&gt;=100,100,(Backdoors!AI12+IF(DX97&gt;=0.45,VLOOKUP(Calculator!E23,tbSkills!DH3:DI6,2,FALSE)+IF(AND(Calculator!B8=TRUE,Backdoors!BI21=TRUE),VLOOKUP(Calculator!E23,tbSkills!DH3:DJ6,3,FALSE),0),0)))/100)),(1-(0.25*((-Backdoors!AI12-IF(DX97&gt;=0.45,VLOOKUP(Calculator!E23,tbSkills!DH3:DI6,2,FALSE)+IF(AND(Calculator!B8=TRUE,Backdoors!BI21=TRUE),VLOOKUP(Calculator!E23,tbSkills!DH3:DJ6,3,FALSE),0),0))/100)))),1),"")</f>
        <v>1</v>
      </c>
      <c r="EA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X97)*DZ97)*(VLOOKUP(A97,tbMoveset!A2:C112,3,FALSE)/100)*IF(VLOOKUP(A97,tbMoveset!A2:B112,2,FALSE)="Projectile",Backdoors!N10,Backdoors!N9),0),"")</f>
        <v/>
      </c>
      <c r="EB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X97&gt;=0.45,VLOOKUP(Calculator!E23,tbSkills!DH3:DI6,2,FALSE)+IF(AND(Calculator!B8=TRUE,Backdoors!BI21=TRUE),VLOOKUP(Calculator!E23,tbSkills!DH3:DJ6,3,FALSE),0),0))&gt;=100,100,(Backdoors!AI12+IF(DX97&gt;=0.45,VLOOKUP(Calculator!E23,tbSkills!DH3:DI6,2,FALSE)+IF(AND(Calculator!B8=TRUE,Backdoors!BI21=TRUE),VLOOKUP(Calculator!E23,tbSkills!DH3:DJ6,3,FALSE),0),0)))/100)),1))*IF(VLOOKUP(A97,tbMoveset!A2:K112,11,FALSE)=TRUE,Backdoors!AC5,1))*DY97,0),"")</f>
        <v>0</v>
      </c>
      <c r="EC97" s="49">
        <f>VLOOKUP(A97,tbMoveset!A2:G112,7,FALSE)*IFERROR(IF(Backdoors!AI12&gt;=0,1+(IF(Calculator!E40&gt;0,VLOOKUP(Calculator!E40,tbSkills!AI3:AJ5,2,FALSE),Backdoors!AL4)*(IF((Backdoors!AI12+IF(DX97&gt;=0.45,VLOOKUP(Calculator!E23,tbSkills!DH3:DI6,2,FALSE)+IF(AND(Calculator!B8=TRUE,Backdoors!BI21=TRUE),VLOOKUP(Calculator!E23,tbSkills!DH3:DJ6,3,FALSE),0),0))&gt;=100,100,(Backdoors!AI12+IF(DX97&gt;=0.45,VLOOKUP(Calculator!E23,tbSkills!DH3:DI6,2,FALSE)+IF(AND(Calculator!B8=TRUE,Backdoors!BI21=TRUE),VLOOKUP(Calculator!E23,tbSkills!DH3:DJ6,3,FALSE),0),0)))/100)),1),1)</f>
        <v>0.7</v>
      </c>
      <c r="ED97" s="87">
        <f t="shared" si="69"/>
        <v>0</v>
      </c>
      <c r="EE97" s="86" t="str">
        <f>IFERROR(IF(VLOOKUP(A97,tbMoveset!A2:B112,2,FALSE)="Sever",Backdoors!AY22/100,IF(VLOOKUP(A97,tbMoveset!A2:B112,2,FALSE)="Blunt",Backdoors!AZ22/100,Backdoors!BA22/100)),"")</f>
        <v/>
      </c>
      <c r="EF97" s="49">
        <f>IFERROR(IF(VLOOKUP(tbMoveset!A97,tbMoveset!A2:H112,8,FALSE)="Other",IF(VLOOKUP(tbMoveset!A97,tbMoveset!A2:I112,9,FALSE)="Fire",Backdoors!BB22,IF(VLOOKUP(tbMoveset!A97,tbMoveset!A2:I112,9,FALSE)="Water",Backdoors!BC22,IF(VLOOKUP(tbMoveset!A97,tbMoveset!A2:I112,9,FALSE)="Thunder",Backdoors!BD22,IF(VLOOKUP(tbMoveset!A97,tbMoveset!A2:I112,9,FALSE)="Ice",Backdoors!BE22,IF(VLOOKUP(tbMoveset!A97,tbMoveset!A2:I112,9,FALSE)="Dragon",Backdoors!BF22,Backdoors!BG22)))))/100,Backdoors!BG22/100),"")</f>
        <v>0</v>
      </c>
      <c r="EG97" s="49">
        <f>IFERROR(IF(VLOOKUP(A97,tbMoveset!A2:J112,10,FALSE)=TRUE,IF((Backdoors!AI12+IF(EE97&gt;=0.45,VLOOKUP(Calculator!E23,tbSkills!DH3:DI6,2,FALSE)+IF(AND(Calculator!B8=TRUE,Backdoors!BI22=TRUE),VLOOKUP(Calculator!E23,tbSkills!DH3:DJ6,3,FALSE),0),0))&gt;=0,1+(Backdoors!AL2*(IF((Backdoors!AI12+IF(EE97&gt;=0.45,VLOOKUP(Calculator!E23,tbSkills!DH3:DI6,2,FALSE)+IF(AND(Calculator!B8=TRUE,Backdoors!BI22=TRUE),VLOOKUP(Calculator!E23,tbSkills!DH3:DJ6,3,FALSE),0),0))&gt;=100,100,(Backdoors!AI12+IF(EE97&gt;=0.45,VLOOKUP(Calculator!E23,tbSkills!DH3:DI6,2,FALSE)+IF(AND(Calculator!B8=TRUE,Backdoors!BI22=TRUE),VLOOKUP(Calculator!E23,tbSkills!DH3:DJ6,3,FALSE),0),0)))/100)),(1-(0.25*((-Backdoors!AI12-IF(EE97&gt;=0.45,VLOOKUP(Calculator!E23,tbSkills!DH3:DI6,2,FALSE)+IF(AND(Calculator!B8=TRUE,Backdoors!BI22=TRUE),VLOOKUP(Calculator!E23,tbSkills!DH3:DJ6,3,FALSE),0),0))/100)))),1),"")</f>
        <v>1</v>
      </c>
      <c r="EH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E97)*EG97)*(VLOOKUP(A97,tbMoveset!A2:C112,3,FALSE)/100)*IF(VLOOKUP(A97,tbMoveset!A2:B112,2,FALSE)="Projectile",Backdoors!N10,Backdoors!N9),0),"")</f>
        <v/>
      </c>
      <c r="EI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E97&gt;=0.45,VLOOKUP(Calculator!E23,tbSkills!DH3:DI6,2,FALSE)+IF(AND(Calculator!B8=TRUE,Backdoors!BI22=TRUE),VLOOKUP(Calculator!E23,tbSkills!DH3:DJ6,3,FALSE),0),0))&gt;=100,100,(Backdoors!AI12+IF(EE97&gt;=0.45,VLOOKUP(Calculator!E23,tbSkills!DH3:DI6,2,FALSE)+IF(AND(Calculator!B8=TRUE,Backdoors!BI22=TRUE),VLOOKUP(Calculator!E23,tbSkills!DH3:DJ6,3,FALSE),0),0)))/100)),1))*IF(VLOOKUP(A97,tbMoveset!A2:K112,11,FALSE)=TRUE,Backdoors!AC5,1))*EF97,0),"")</f>
        <v>0</v>
      </c>
      <c r="EJ97" s="49">
        <f>VLOOKUP(A97,tbMoveset!A2:G112,7,FALSE)*IFERROR(IF(Backdoors!AI12&gt;=0,1+(IF(Calculator!E40&gt;0,VLOOKUP(Calculator!E40,tbSkills!AI3:AJ5,2,FALSE),Backdoors!AL4)*(IF((Backdoors!AI12+IF(EE97&gt;=0.45,VLOOKUP(Calculator!E23,tbSkills!DH3:DI6,2,FALSE)+IF(AND(Calculator!B8=TRUE,Backdoors!BI22=TRUE),VLOOKUP(Calculator!E23,tbSkills!DH3:DJ6,3,FALSE),0),0))&gt;=100,100,(Backdoors!AI12+IF(EE97&gt;=0.45,VLOOKUP(Calculator!E23,tbSkills!DH3:DI6,2,FALSE)+IF(AND(Calculator!B8=TRUE,Backdoors!BI22=TRUE),VLOOKUP(Calculator!E23,tbSkills!DH3:DJ6,3,FALSE),0),0)))/100)),1),1)</f>
        <v>0.7</v>
      </c>
      <c r="EK97" s="87">
        <f t="shared" si="70"/>
        <v>0</v>
      </c>
      <c r="EL97" s="86" t="str">
        <f>IFERROR(IF(VLOOKUP(A97,tbMoveset!A2:B112,2,FALSE)="Sever",Backdoors!AY23/100,IF(VLOOKUP(A97,tbMoveset!A2:B112,2,FALSE)="Blunt",Backdoors!AZ23/100,Backdoors!BA23/100)),"")</f>
        <v/>
      </c>
      <c r="EM97" s="49">
        <f>IFERROR(IF(VLOOKUP(tbMoveset!A97,tbMoveset!A2:H112,8,FALSE)="Other",IF(VLOOKUP(tbMoveset!A97,tbMoveset!A2:I112,9,FALSE)="Fire",Backdoors!BB23,IF(VLOOKUP(tbMoveset!A97,tbMoveset!A2:I112,9,FALSE)="Water",Backdoors!BC23,IF(VLOOKUP(tbMoveset!A97,tbMoveset!A2:I112,9,FALSE)="Thunder",Backdoors!BD23,IF(VLOOKUP(tbMoveset!A97,tbMoveset!A2:I112,9,FALSE)="Ice",Backdoors!BE23,IF(VLOOKUP(tbMoveset!A97,tbMoveset!A2:I112,9,FALSE)="Dragon",Backdoors!BF23,Backdoors!BG23)))))/100,Backdoors!BG23/100),"")</f>
        <v>0</v>
      </c>
      <c r="EN97" s="49">
        <f>IFERROR(IF(VLOOKUP(A97,tbMoveset!A2:J112,10,FALSE)=TRUE,IF((Backdoors!AI12+IF(EL97&gt;=0.45,VLOOKUP(Calculator!E23,tbSkills!DH3:DI6,2,FALSE)+IF(AND(Calculator!B8=TRUE,Backdoors!BI23=TRUE),VLOOKUP(Calculator!E23,tbSkills!DH3:DJ6,3,FALSE),0),0))&gt;=0,1+(Backdoors!AL2*(IF((Backdoors!AI12+IF(EL97&gt;=0.45,VLOOKUP(Calculator!E23,tbSkills!DH3:DI6,2,FALSE)+IF(AND(Calculator!B8=TRUE,Backdoors!BI23=TRUE),VLOOKUP(Calculator!E23,tbSkills!DH3:DJ6,3,FALSE),0),0))&gt;=100,100,(Backdoors!AI12+IF(EL97&gt;=0.45,VLOOKUP(Calculator!E23,tbSkills!DH3:DI6,2,FALSE)+IF(AND(Calculator!B8=TRUE,Backdoors!BI23=TRUE),VLOOKUP(Calculator!E23,tbSkills!DH3:DJ6,3,FALSE),0),0)))/100)),(1-(0.25*((-Backdoors!AI12-IF(EL97&gt;=0.45,VLOOKUP(Calculator!E23,tbSkills!DH3:DI6,2,FALSE)+IF(AND(Calculator!B8=TRUE,Backdoors!BI23=TRUE),VLOOKUP(Calculator!E23,tbSkills!DH3:DJ6,3,FALSE),0),0))/100)))),1),"")</f>
        <v>1</v>
      </c>
      <c r="EO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L97)*EN97)*(VLOOKUP(A97,tbMoveset!A2:C112,3,FALSE)/100)*IF(VLOOKUP(A97,tbMoveset!A2:B112,2,FALSE)="Projectile",Backdoors!N10,Backdoors!N9),0),"")</f>
        <v/>
      </c>
      <c r="EP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L97&gt;=0.45,VLOOKUP(Calculator!E23,tbSkills!DH3:DI6,2,FALSE)+IF(AND(Calculator!B8=TRUE,Backdoors!BI23=TRUE),VLOOKUP(Calculator!E23,tbSkills!DH3:DJ6,3,FALSE),0),0))&gt;=100,100,(Backdoors!AI12+IF(EL97&gt;=0.45,VLOOKUP(Calculator!E23,tbSkills!DH3:DI6,2,FALSE)+IF(AND(Calculator!B8=TRUE,Backdoors!BI23=TRUE),VLOOKUP(Calculator!E23,tbSkills!DH3:DJ6,3,FALSE),0),0)))/100)),1))*IF(VLOOKUP(A97,tbMoveset!A2:K112,11,FALSE)=TRUE,Backdoors!AC5,1))*EM97,0),"")</f>
        <v>0</v>
      </c>
      <c r="EQ97" s="49">
        <f>VLOOKUP(A97,tbMoveset!A2:G112,7,FALSE)*IFERROR(IF(Backdoors!AI12&gt;=0,1+(IF(Calculator!E40&gt;0,VLOOKUP(Calculator!E40,tbSkills!AI3:AJ5,2,FALSE),Backdoors!AL4)*(IF((Backdoors!AI12+IF(EL97&gt;=0.45,VLOOKUP(Calculator!E23,tbSkills!DH3:DI6,2,FALSE)+IF(AND(Calculator!B8=TRUE,Backdoors!BI23=TRUE),VLOOKUP(Calculator!E23,tbSkills!DH3:DJ6,3,FALSE),0),0))&gt;=100,100,(Backdoors!AI12+IF(EL97&gt;=0.45,VLOOKUP(Calculator!E23,tbSkills!DH3:DI6,2,FALSE)+IF(AND(Calculator!B8=TRUE,Backdoors!BI23=TRUE),VLOOKUP(Calculator!E23,tbSkills!DH3:DJ6,3,FALSE),0),0)))/100)),1),1)</f>
        <v>0.7</v>
      </c>
      <c r="ER97" s="87">
        <f t="shared" si="71"/>
        <v>0</v>
      </c>
      <c r="ES97" s="86" t="str">
        <f>IFERROR(IF(VLOOKUP(A97,tbMoveset!A2:B112,2,FALSE)="Sever",Backdoors!AY24/100,IF(VLOOKUP(A97,tbMoveset!A2:B112,2,FALSE)="Blunt",Backdoors!AZ24/100,Backdoors!BA24/100)),"")</f>
        <v/>
      </c>
      <c r="ET97" s="49">
        <f>IFERROR(IF(VLOOKUP(tbMoveset!A97,tbMoveset!A2:H112,8,FALSE)="Other",IF(VLOOKUP(tbMoveset!A97,tbMoveset!A2:I112,9,FALSE)="Fire",Backdoors!BB24,IF(VLOOKUP(tbMoveset!A97,tbMoveset!A2:I112,9,FALSE)="Water",Backdoors!BC24,IF(VLOOKUP(tbMoveset!A97,tbMoveset!A2:I112,9,FALSE)="Thunder",Backdoors!BD24,IF(VLOOKUP(tbMoveset!A97,tbMoveset!A2:I112,9,FALSE)="Ice",Backdoors!BE24,IF(VLOOKUP(tbMoveset!A97,tbMoveset!A2:I112,9,FALSE)="Dragon",Backdoors!BF24,Backdoors!BG24)))))/100,Backdoors!BG24/100),"")</f>
        <v>0</v>
      </c>
      <c r="EU97" s="49">
        <f>IFERROR(IF(VLOOKUP(A97,tbMoveset!A2:J112,10,FALSE)=TRUE,IF((Backdoors!AI12+IF(ES97&gt;=0.45,VLOOKUP(Calculator!E23,tbSkills!DH3:DI6,2,FALSE)+IF(AND(Calculator!B8=TRUE,Backdoors!BI24=TRUE),VLOOKUP(Calculator!E23,tbSkills!DH3:DJ6,3,FALSE),0),0))&gt;=0,1+(Backdoors!AL2*(IF((Backdoors!AI12+IF(ES97&gt;=0.45,VLOOKUP(Calculator!E23,tbSkills!DH3:DI6,2,FALSE)+IF(AND(Calculator!B8=TRUE,Backdoors!BI24=TRUE),VLOOKUP(Calculator!E23,tbSkills!DH3:DJ6,3,FALSE),0),0))&gt;=100,100,(Backdoors!AI12+IF(ES97&gt;=0.45,VLOOKUP(Calculator!E23,tbSkills!DH3:DI6,2,FALSE)+IF(AND(Calculator!B8=TRUE,Backdoors!BI24=TRUE),VLOOKUP(Calculator!E23,tbSkills!DH3:DJ6,3,FALSE),0),0)))/100)),(1-(0.25*((-Backdoors!AI12-IF(ES97&gt;=0.45,VLOOKUP(Calculator!E23,tbSkills!DH3:DI6,2,FALSE)+IF(AND(Calculator!B8=TRUE,Backdoors!BI24=TRUE),VLOOKUP(Calculator!E23,tbSkills!DH3:DJ6,3,FALSE),0),0))/100)))),1),"")</f>
        <v>1</v>
      </c>
      <c r="EV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S97)*EU97)*(VLOOKUP(A97,tbMoveset!A2:C112,3,FALSE)/100)*IF(VLOOKUP(A97,tbMoveset!A2:B112,2,FALSE)="Projectile",Backdoors!N10,Backdoors!N9),0),"")</f>
        <v/>
      </c>
      <c r="EW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S97&gt;=0.45,VLOOKUP(Calculator!E23,tbSkills!DH3:DI6,2,FALSE)+IF(AND(Calculator!B8=TRUE,Backdoors!BI24=TRUE),VLOOKUP(Calculator!E23,tbSkills!DH3:DJ6,3,FALSE),0),0))&gt;=100,100,(Backdoors!AI12+IF(ES97&gt;=0.45,VLOOKUP(Calculator!E23,tbSkills!DH3:DI6,2,FALSE)+IF(AND(Calculator!B8=TRUE,Backdoors!BI24=TRUE),VLOOKUP(Calculator!E23,tbSkills!DH3:DJ6,3,FALSE),0),0)))/100)),1))*IF(VLOOKUP(A97,tbMoveset!A2:K112,11,FALSE)=TRUE,Backdoors!AC5,1))*ET97,0),"")</f>
        <v>0</v>
      </c>
      <c r="EX97" s="49">
        <f>VLOOKUP(A97,tbMoveset!A2:G112,7,FALSE)*IFERROR(IF(Backdoors!AI12&gt;=0,1+(IF(Calculator!E40&gt;0,VLOOKUP(Calculator!E40,tbSkills!AI3:AJ5,2,FALSE),Backdoors!AL4)*(IF((Backdoors!AI12+IF(ES97&gt;=0.45,VLOOKUP(Calculator!E23,tbSkills!DH3:DI6,2,FALSE)+IF(AND(Calculator!B8=TRUE,Backdoors!BI24=TRUE),VLOOKUP(Calculator!E23,tbSkills!DH3:DJ6,3,FALSE),0),0))&gt;=100,100,(Backdoors!AI12+IF(ES97&gt;=0.45,VLOOKUP(Calculator!E23,tbSkills!DH3:DI6,2,FALSE)+IF(AND(Calculator!B8=TRUE,Backdoors!BI24=TRUE),VLOOKUP(Calculator!E23,tbSkills!DH3:DJ6,3,FALSE),0),0)))/100)),1),1)</f>
        <v>0.7</v>
      </c>
      <c r="EY97" s="87">
        <f t="shared" si="72"/>
        <v>0</v>
      </c>
      <c r="EZ97" s="86" t="str">
        <f>IFERROR(IF(VLOOKUP(A97,tbMoveset!A2:B112,2,FALSE)="Sever",Backdoors!AY25/100,IF(VLOOKUP(A97,tbMoveset!A2:B112,2,FALSE)="Blunt",Backdoors!AZ25/100,Backdoors!BA25/100)),"")</f>
        <v/>
      </c>
      <c r="FA97" s="49">
        <f>IFERROR(IF(VLOOKUP(tbMoveset!A97,tbMoveset!A2:H112,8,FALSE)="Other",IF(VLOOKUP(tbMoveset!A97,tbMoveset!A2:I112,9,FALSE)="Fire",Backdoors!BB25,IF(VLOOKUP(tbMoveset!A97,tbMoveset!A2:I112,9,FALSE)="Water",Backdoors!BC25,IF(VLOOKUP(tbMoveset!A97,tbMoveset!A2:I112,9,FALSE)="Thunder",Backdoors!BD25,IF(VLOOKUP(tbMoveset!A97,tbMoveset!A2:I112,9,FALSE)="Ice",Backdoors!BE25,IF(VLOOKUP(tbMoveset!A97,tbMoveset!A2:I112,9,FALSE)="Dragon",Backdoors!BF25,Backdoors!BG25)))))/100,Backdoors!BG25/100),"")</f>
        <v>0</v>
      </c>
      <c r="FB97" s="49">
        <f>IFERROR(IF(VLOOKUP(A97,tbMoveset!A2:J112,10,FALSE)=TRUE,IF((Backdoors!AI12+IF(EZ97&gt;=0.45,VLOOKUP(Calculator!E23,tbSkills!DH3:DI6,2,FALSE)+IF(AND(Calculator!B8=TRUE,Backdoors!BI25=TRUE),VLOOKUP(Calculator!E23,tbSkills!DH3:DJ6,3,FALSE),0),0))&gt;=0,1+(Backdoors!AL2*(IF((Backdoors!AI12+IF(EZ97&gt;=0.45,VLOOKUP(Calculator!E23,tbSkills!DH3:DI6,2,FALSE)+IF(AND(Calculator!B8=TRUE,Backdoors!BI25=TRUE),VLOOKUP(Calculator!E23,tbSkills!DH3:DJ6,3,FALSE),0),0))&gt;=100,100,(Backdoors!AI12+IF(EZ97&gt;=0.45,VLOOKUP(Calculator!E23,tbSkills!DH3:DI6,2,FALSE)+IF(AND(Calculator!B8=TRUE,Backdoors!BI25=TRUE),VLOOKUP(Calculator!E23,tbSkills!DH3:DJ6,3,FALSE),0),0)))/100)),(1-(0.25*((-Backdoors!AI12-IF(EZ97&gt;=0.45,VLOOKUP(Calculator!E23,tbSkills!DH3:DI6,2,FALSE)+IF(AND(Calculator!B8=TRUE,Backdoors!BI25=TRUE),VLOOKUP(Calculator!E23,tbSkills!DH3:DJ6,3,FALSE),0),0))/100)))),1),"")</f>
        <v>1</v>
      </c>
      <c r="FC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Z97)*FB97)*(VLOOKUP(A97,tbMoveset!A2:C112,3,FALSE)/100)*IF(VLOOKUP(A97,tbMoveset!A2:B112,2,FALSE)="Projectile",Backdoors!N10,Backdoors!N9),0),"")</f>
        <v/>
      </c>
      <c r="FD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Z97&gt;=0.45,VLOOKUP(Calculator!E23,tbSkills!DH3:DI6,2,FALSE)+IF(AND(Calculator!B8=TRUE,Backdoors!BI25=TRUE),VLOOKUP(Calculator!E23,tbSkills!DH3:DJ6,3,FALSE),0),0))&gt;=100,100,(Backdoors!AI12+IF(EZ97&gt;=0.45,VLOOKUP(Calculator!E23,tbSkills!DH3:DI6,2,FALSE)+IF(AND(Calculator!B8=TRUE,Backdoors!BI25=TRUE),VLOOKUP(Calculator!E23,tbSkills!DH3:DJ6,3,FALSE),0),0)))/100)),1))*IF(VLOOKUP(A97,tbMoveset!A2:K112,11,FALSE)=TRUE,Backdoors!AC5,1))*FA97,0),"")</f>
        <v>0</v>
      </c>
      <c r="FE97" s="49">
        <f>VLOOKUP(A97,tbMoveset!A2:G112,7,FALSE)*IFERROR(IF(Backdoors!AI12&gt;=0,1+(IF(Calculator!E40&gt;0,VLOOKUP(Calculator!E40,tbSkills!AI3:AJ5,2,FALSE),Backdoors!AL4)*(IF((Backdoors!AI12+IF(EZ97&gt;=0.45,VLOOKUP(Calculator!E23,tbSkills!DH3:DI6,2,FALSE)+IF(AND(Calculator!B8=TRUE,Backdoors!BI25=TRUE),VLOOKUP(Calculator!E23,tbSkills!DH3:DJ6,3,FALSE),0),0))&gt;=100,100,(Backdoors!AI12+IF(EZ97&gt;=0.45,VLOOKUP(Calculator!E23,tbSkills!DH3:DI6,2,FALSE)+IF(AND(Calculator!B8=TRUE,Backdoors!BI25=TRUE),VLOOKUP(Calculator!E23,tbSkills!DH3:DJ6,3,FALSE),0),0)))/100)),1),1)</f>
        <v>0.7</v>
      </c>
      <c r="FF97" s="87">
        <f t="shared" si="73"/>
        <v>0</v>
      </c>
      <c r="FG97" s="86" t="str">
        <f>IFERROR(IF(VLOOKUP(A97,tbMoveset!A2:B112,2,FALSE)="Sever",Backdoors!AY26/100,IF(VLOOKUP(A97,tbMoveset!A2:B112,2,FALSE)="Blunt",Backdoors!AZ26/100,Backdoors!BA26/100)),"")</f>
        <v/>
      </c>
      <c r="FH97" s="49">
        <f>IFERROR(IF(VLOOKUP(tbMoveset!A97,tbMoveset!A2:H112,8,FALSE)="Other",IF(VLOOKUP(tbMoveset!A97,tbMoveset!A2:I112,9,FALSE)="Fire",Backdoors!BB26,IF(VLOOKUP(tbMoveset!A97,tbMoveset!A2:I112,9,FALSE)="Water",Backdoors!BC26,IF(VLOOKUP(tbMoveset!A97,tbMoveset!A2:I112,9,FALSE)="Thunder",Backdoors!BD26,IF(VLOOKUP(tbMoveset!A97,tbMoveset!A2:I112,9,FALSE)="Ice",Backdoors!BE26,IF(VLOOKUP(tbMoveset!A97,tbMoveset!A2:I112,9,FALSE)="Dragon",Backdoors!BF26,Backdoors!BG26)))))/100,Backdoors!BG26/100),"")</f>
        <v>0</v>
      </c>
      <c r="FI97" s="49">
        <f>IFERROR(IF(VLOOKUP(A97,tbMoveset!A2:J112,10,FALSE)=TRUE,IF((Backdoors!AI12+IF(FG97&gt;=0.45,VLOOKUP(Calculator!E23,tbSkills!DH3:DI6,2,FALSE)+IF(AND(Calculator!B8=TRUE,Backdoors!BI26=TRUE),VLOOKUP(Calculator!E23,tbSkills!DH3:DJ6,3,FALSE),0),0))&gt;=0,1+(Backdoors!AL2*(IF((Backdoors!AI12+IF(FG97&gt;=0.45,VLOOKUP(Calculator!E23,tbSkills!DH3:DI6,2,FALSE)+IF(AND(Calculator!B8=TRUE,Backdoors!BI26=TRUE),VLOOKUP(Calculator!E23,tbSkills!DH3:DJ6,3,FALSE),0),0))&gt;=100,100,(Backdoors!AI12+IF(FG97&gt;=0.45,VLOOKUP(Calculator!E23,tbSkills!DH3:DI6,2,FALSE)+IF(AND(Calculator!B8=TRUE,Backdoors!BI26=TRUE),VLOOKUP(Calculator!E23,tbSkills!DH3:DJ6,3,FALSE),0),0)))/100)),(1-(0.25*((-Backdoors!AI12-IF(FG97&gt;=0.45,VLOOKUP(Calculator!E23,tbSkills!DH3:DI6,2,FALSE)+IF(AND(Calculator!B8=TRUE,Backdoors!BI26=TRUE),VLOOKUP(Calculator!E23,tbSkills!DH3:DJ6,3,FALSE),0),0))/100)))),1),"")</f>
        <v>1</v>
      </c>
      <c r="FJ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FG97)*FI97)*(VLOOKUP(A97,tbMoveset!A2:C112,3,FALSE)/100)*IF(VLOOKUP(A97,tbMoveset!A2:B112,2,FALSE)="Projectile",Backdoors!N10,Backdoors!N9),0),"")</f>
        <v/>
      </c>
      <c r="FK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FG97&gt;=0.45,VLOOKUP(Calculator!E23,tbSkills!DH3:DI6,2,FALSE)+IF(AND(Calculator!B8=TRUE,Backdoors!BI26=TRUE),VLOOKUP(Calculator!E23,tbSkills!DH3:DJ6,3,FALSE),0),0))&gt;=100,100,(Backdoors!AI12+IF(FG97&gt;=0.45,VLOOKUP(Calculator!E23,tbSkills!DH3:DI6,2,FALSE)+IF(AND(Calculator!B8=TRUE,Backdoors!BI26=TRUE),VLOOKUP(Calculator!E23,tbSkills!DH3:DJ6,3,FALSE),0),0)))/100)),1))*IF(VLOOKUP(A97,tbMoveset!A2:K112,11,FALSE)=TRUE,Backdoors!AC5,1))*FH97,0),"")</f>
        <v>0</v>
      </c>
      <c r="FL97" s="49">
        <f>VLOOKUP(A97,tbMoveset!A2:G112,7,FALSE)*IFERROR(IF(Backdoors!AI12&gt;=0,1+(IF(Calculator!E40&gt;0,VLOOKUP(Calculator!E40,tbSkills!AI3:AJ5,2,FALSE),Backdoors!AL4)*(IF((Backdoors!AI12+IF(FG97&gt;=0.45,VLOOKUP(Calculator!E23,tbSkills!DH3:DI6,2,FALSE)+IF(AND(Calculator!B8=TRUE,Backdoors!BI26=TRUE),VLOOKUP(Calculator!E23,tbSkills!DH3:DJ6,3,FALSE),0),0))&gt;=100,100,(Backdoors!AI12+IF(FG97&gt;=0.45,VLOOKUP(Calculator!E23,tbSkills!DH3:DI6,2,FALSE)+IF(AND(Calculator!B8=TRUE,Backdoors!BI26=TRUE),VLOOKUP(Calculator!E23,tbSkills!DH3:DJ6,3,FALSE),0),0)))/100)),1),1)</f>
        <v>0.7</v>
      </c>
      <c r="FM97" s="87">
        <f t="shared" si="74"/>
        <v>0</v>
      </c>
      <c r="FN97" s="86" t="str">
        <f>IFERROR(IF(VLOOKUP(A97,tbMoveset!A2:B112,2,FALSE)="Sever",Backdoors!AY27/100,IF(VLOOKUP(A97,tbMoveset!A2:B112,2,FALSE)="Blunt",Backdoors!AZ27/100,Backdoors!BA27/100)),"")</f>
        <v/>
      </c>
      <c r="FO97" s="49">
        <f>IFERROR(IF(VLOOKUP(tbMoveset!A97,tbMoveset!A2:H112,8,FALSE)="Other",IF(VLOOKUP(tbMoveset!A97,tbMoveset!A2:I112,9,FALSE)="Fire",Backdoors!BB27,IF(VLOOKUP(tbMoveset!A97,tbMoveset!A2:I112,9,FALSE)="Water",Backdoors!BC27,IF(VLOOKUP(tbMoveset!A97,tbMoveset!A2:I112,9,FALSE)="Thunder",Backdoors!BD27,IF(VLOOKUP(tbMoveset!A97,tbMoveset!A2:I112,9,FALSE)="Ice",Backdoors!BE27,IF(VLOOKUP(tbMoveset!A97,tbMoveset!A2:I112,9,FALSE)="Dragon",Backdoors!BF27,Backdoors!BG27)))))/100,Backdoors!BG27/100),"")</f>
        <v>0</v>
      </c>
      <c r="FP97" s="49">
        <f>IFERROR(IF(VLOOKUP(A97,tbMoveset!A2:J112,10,FALSE)=TRUE,IF((Backdoors!AI12+IF(FN97&gt;=0.45,VLOOKUP(Calculator!E23,tbSkills!DH3:DI6,2,FALSE)+IF(AND(Calculator!B8=TRUE,Backdoors!BI27=TRUE),VLOOKUP(Calculator!E23,tbSkills!DH3:DJ6,3,FALSE),0),0))&gt;=0,1+(Backdoors!AL2*(IF((Backdoors!AI12+IF(FN97&gt;=0.45,VLOOKUP(Calculator!E23,tbSkills!DH3:DI6,2,FALSE)+IF(AND(Calculator!B8=TRUE,Backdoors!BI27=TRUE),VLOOKUP(Calculator!E23,tbSkills!DH3:DJ6,3,FALSE),0),0))&gt;=100,100,(Backdoors!AI12+IF(FN97&gt;=0.45,VLOOKUP(Calculator!E23,tbSkills!DH3:DI6,2,FALSE)+IF(AND(Calculator!B8=TRUE,Backdoors!BI27=TRUE),VLOOKUP(Calculator!E23,tbSkills!DH3:DJ6,3,FALSE),0),0)))/100)),(1-(0.25*((-Backdoors!AI12-IF(FN97&gt;=0.45,VLOOKUP(Calculator!E23,tbSkills!DH3:DI6,2,FALSE)+IF(AND(Calculator!B8=TRUE,Backdoors!BI27=TRUE),VLOOKUP(Calculator!E23,tbSkills!DH3:DJ6,3,FALSE),0),0))/100)))),1),"")</f>
        <v>1</v>
      </c>
      <c r="FQ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FN97)*FP97)*(VLOOKUP(A97,tbMoveset!A2:C112,3,FALSE)/100)*IF(VLOOKUP(A97,tbMoveset!A2:B112,2,FALSE)="Projectile",Backdoors!N10,Backdoors!N9),0),"")</f>
        <v/>
      </c>
      <c r="FR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FN97&gt;=0.45,VLOOKUP(Calculator!E23,tbSkills!DH3:DI6,2,FALSE)+IF(AND(Calculator!B8=TRUE,Backdoors!BI27=TRUE),VLOOKUP(Calculator!E23,tbSkills!DH3:DJ6,3,FALSE),0),0))&gt;=100,100,(Backdoors!AI12+IF(FN97&gt;=0.45,VLOOKUP(Calculator!E23,tbSkills!DH3:DI6,2,FALSE)+IF(AND(Calculator!B8=TRUE,Backdoors!BI27=TRUE),VLOOKUP(Calculator!E23,tbSkills!DH3:DJ6,3,FALSE),0),0)))/100)),1))*IF(VLOOKUP(A97,tbMoveset!A2:K112,11,FALSE)=TRUE,Backdoors!AC5,1))*FO97,0),"")</f>
        <v>0</v>
      </c>
      <c r="FS97" s="49">
        <f>VLOOKUP(A97,tbMoveset!A2:G112,7,FALSE)*IFERROR(IF(Backdoors!AI12&gt;=0,1+(IF(Calculator!E40&gt;0,VLOOKUP(Calculator!E40,tbSkills!AI3:AJ5,2,FALSE),Backdoors!AL4)*(IF((Backdoors!AI12+IF(FN97&gt;=0.45,VLOOKUP(Calculator!E23,tbSkills!DH3:DI6,2,FALSE)+IF(AND(Calculator!B8=TRUE,Backdoors!BI27=TRUE),VLOOKUP(Calculator!E23,tbSkills!DH3:DJ6,3,FALSE),0),0))&gt;=100,100,(Backdoors!AI12+IF(FN97&gt;=0.45,VLOOKUP(Calculator!E23,tbSkills!DH3:DI6,2,FALSE)+IF(AND(Calculator!B8=TRUE,Backdoors!BI27=TRUE),VLOOKUP(Calculator!E23,tbSkills!DH3:DJ6,3,FALSE),0),0)))/100)),1),1)</f>
        <v>0.7</v>
      </c>
      <c r="FT97" s="87">
        <f t="shared" si="75"/>
        <v>0</v>
      </c>
      <c r="FU97" s="86" t="str">
        <f>IFERROR(IF(VLOOKUP(A97,tbMoveset!A2:B112,2,FALSE)="Sever",Backdoors!AY28/100,IF(VLOOKUP(A97,tbMoveset!A2:B112,2,FALSE)="Blunt",Backdoors!AZ28/100,Backdoors!BA28/100)),"")</f>
        <v/>
      </c>
      <c r="FV97" s="49">
        <f>IFERROR(IF(VLOOKUP(tbMoveset!A97,tbMoveset!A2:H112,8,FALSE)="Other",IF(VLOOKUP(tbMoveset!A97,tbMoveset!A2:I112,9,FALSE)="Fire",Backdoors!BB28,IF(VLOOKUP(tbMoveset!A97,tbMoveset!A2:I112,9,FALSE)="Water",Backdoors!BC28,IF(VLOOKUP(tbMoveset!A97,tbMoveset!A2:I112,9,FALSE)="Thunder",Backdoors!BD28,IF(VLOOKUP(tbMoveset!A97,tbMoveset!A2:I112,9,FALSE)="Ice",Backdoors!BE28,IF(VLOOKUP(tbMoveset!A97,tbMoveset!A2:I112,9,FALSE)="Dragon",Backdoors!BF28,Backdoors!BG28)))))/100,Backdoors!BG28/100),"")</f>
        <v>0</v>
      </c>
      <c r="FW97" s="49">
        <f>IFERROR(IF(VLOOKUP(A97,tbMoveset!A2:J112,10,FALSE)=TRUE,IF((Backdoors!AI12+IF(FU97&gt;=0.45,VLOOKUP(Calculator!E23,tbSkills!DH3:DI6,2,FALSE)+IF(AND(Calculator!B8=TRUE,Backdoors!BI28=TRUE),VLOOKUP(Calculator!E23,tbSkills!DH3:DJ6,3,FALSE),0),0))&gt;=0,1+(Backdoors!AL2*(IF((Backdoors!AI12+IF(FU97&gt;=0.45,VLOOKUP(Calculator!E23,tbSkills!DH3:DI6,2,FALSE)+IF(AND(Calculator!B8=TRUE,Backdoors!BI28=TRUE),VLOOKUP(Calculator!E23,tbSkills!DH3:DJ6,3,FALSE),0),0))&gt;=100,100,(Backdoors!AI12+IF(FU97&gt;=0.45,VLOOKUP(Calculator!E23,tbSkills!DH3:DI6,2,FALSE)+IF(AND(Calculator!B8=TRUE,Backdoors!BI28=TRUE),VLOOKUP(Calculator!E23,tbSkills!DH3:DJ6,3,FALSE),0),0)))/100)),(1-(0.25*((-Backdoors!AI12-IF(FU97&gt;=0.45,VLOOKUP(Calculator!E23,tbSkills!DH3:DI6,2,FALSE)+IF(AND(Calculator!B8=TRUE,Backdoors!BI28=TRUE),VLOOKUP(Calculator!E23,tbSkills!DH3:DJ6,3,FALSE),0),0))/100)))),1),"")</f>
        <v>1</v>
      </c>
      <c r="FX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FU97)*FW97)*(VLOOKUP(A97,tbMoveset!A2:C112,3,FALSE)/100)*IF(VLOOKUP(A97,tbMoveset!A2:B112,2,FALSE)="Projectile",Backdoors!N10,Backdoors!N9),0),"")</f>
        <v/>
      </c>
      <c r="FY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FU97&gt;=0.45,VLOOKUP(Calculator!E23,tbSkills!DH3:DI6,2,FALSE)+IF(AND(Calculator!B8=TRUE,Backdoors!BI28=TRUE),VLOOKUP(Calculator!E23,tbSkills!DH3:DJ6,3,FALSE),0),0))&gt;=100,100,(Backdoors!AI12+IF(FU97&gt;=0.45,VLOOKUP(Calculator!E23,tbSkills!DH3:DI6,2,FALSE)+IF(AND(Calculator!B8=TRUE,Backdoors!BI28=TRUE),VLOOKUP(Calculator!E23,tbSkills!DH3:DJ6,3,FALSE),0),0)))/100)),1))*IF(VLOOKUP(A97,tbMoveset!A2:K112,11,FALSE)=TRUE,Backdoors!AC5,1))*FV97,0),"")</f>
        <v>0</v>
      </c>
      <c r="FZ97" s="49">
        <f>VLOOKUP(A97,tbMoveset!A2:G112,7,FALSE)*IFERROR(IF(Backdoors!AI12&gt;=0,1+(IF(Calculator!E40&gt;0,VLOOKUP(Calculator!E40,tbSkills!AI3:AJ5,2,FALSE),Backdoors!AL4)*(IF((Backdoors!AI12+IF(FU97&gt;=0.45,VLOOKUP(Calculator!E23,tbSkills!DH3:DI6,2,FALSE)+IF(AND(Calculator!B8=TRUE,Backdoors!BI28=TRUE),VLOOKUP(Calculator!E23,tbSkills!DH3:DJ6,3,FALSE),0),0))&gt;=100,100,(Backdoors!AI12+IF(FU97&gt;=0.45,VLOOKUP(Calculator!E23,tbSkills!DH3:DI6,2,FALSE)+IF(AND(Calculator!B8=TRUE,Backdoors!BI28=TRUE),VLOOKUP(Calculator!E23,tbSkills!DH3:DJ6,3,FALSE),0),0)))/100)),1),1)</f>
        <v>0.7</v>
      </c>
      <c r="GA97" s="87">
        <f t="shared" si="76"/>
        <v>0</v>
      </c>
      <c r="GB97" s="86" t="str">
        <f>IFERROR(IF(VLOOKUP(A97,tbMoveset!A2:B112,2,FALSE)="Sever",Backdoors!AY29/100,IF(VLOOKUP(A97,tbMoveset!A2:B112,2,FALSE)="Blunt",Backdoors!AZ29/100,Backdoors!BA29/100)),"")</f>
        <v/>
      </c>
      <c r="GC97" s="49">
        <f>IFERROR(IF(VLOOKUP(tbMoveset!A97,tbMoveset!A2:H112,8,FALSE)="Other",IF(VLOOKUP(tbMoveset!A97,tbMoveset!A2:I112,9,FALSE)="Fire",Backdoors!BB29,IF(VLOOKUP(tbMoveset!A97,tbMoveset!A2:I112,9,FALSE)="Water",Backdoors!BC29,IF(VLOOKUP(tbMoveset!A97,tbMoveset!A2:I112,9,FALSE)="Thunder",Backdoors!BD29,IF(VLOOKUP(tbMoveset!A97,tbMoveset!A2:I112,9,FALSE)="Ice",Backdoors!BE29,IF(VLOOKUP(tbMoveset!A97,tbMoveset!A2:I112,9,FALSE)="Dragon",Backdoors!BF29,Backdoors!BG29)))))/100,Backdoors!BG29/100),"")</f>
        <v>0</v>
      </c>
      <c r="GD97" s="49">
        <f>IFERROR(IF(VLOOKUP(A97,tbMoveset!A2:J112,10,FALSE)=TRUE,IF((Backdoors!AI12+IF(GB97&gt;=0.45,VLOOKUP(Calculator!E23,tbSkills!DH3:DI6,2,FALSE)+IF(AND(Calculator!B8=TRUE,Backdoors!BI29=TRUE),VLOOKUP(Calculator!E23,tbSkills!DH3:DJ6,3,FALSE),0),0))&gt;=0,1+(Backdoors!AL2*(IF((Backdoors!AI12+IF(GB97&gt;=0.45,VLOOKUP(Calculator!E23,tbSkills!DH3:DI6,2,FALSE)+IF(AND(Calculator!B8=TRUE,Backdoors!BI29=TRUE),VLOOKUP(Calculator!E23,tbSkills!DH3:DJ6,3,FALSE),0),0))&gt;=100,100,(Backdoors!AI12+IF(GB97&gt;=0.45,VLOOKUP(Calculator!E23,tbSkills!DH3:DI6,2,FALSE)+IF(AND(Calculator!B8=TRUE,Backdoors!BI29=TRUE),VLOOKUP(Calculator!E23,tbSkills!DH3:DJ6,3,FALSE),0),0)))/100)),(1-(0.25*((-Backdoors!AI12-IF(GB97&gt;=0.45,VLOOKUP(Calculator!E23,tbSkills!DH3:DI6,2,FALSE)+IF(AND(Calculator!B8=TRUE,Backdoors!BI29=TRUE),VLOOKUP(Calculator!E23,tbSkills!DH3:DJ6,3,FALSE),0),0))/100)))),1),"")</f>
        <v>1</v>
      </c>
      <c r="GE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B97)*GD97)*(VLOOKUP(A97,tbMoveset!A2:C112,3,FALSE)/100)*IF(VLOOKUP(A97,tbMoveset!A2:B112,2,FALSE)="Projectile",Backdoors!N10,Backdoors!N9),0),"")</f>
        <v/>
      </c>
      <c r="GF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B97&gt;=0.45,VLOOKUP(Calculator!E23,tbSkills!DH3:DI6,2,FALSE)+IF(AND(Calculator!B8=TRUE,Backdoors!BI29=TRUE),VLOOKUP(Calculator!E23,tbSkills!DH3:DJ6,3,FALSE),0),0))&gt;=100,100,(Backdoors!AI12+IF(GB97&gt;=0.45,VLOOKUP(Calculator!E23,tbSkills!DH3:DI6,2,FALSE)+IF(AND(Calculator!B8=TRUE,Backdoors!BI29=TRUE),VLOOKUP(Calculator!E23,tbSkills!DH3:DJ6,3,FALSE),0),0)))/100)),1))*IF(VLOOKUP(A97,tbMoveset!A2:K112,11,FALSE)=TRUE,Backdoors!AC5,1))*GC97,0),"")</f>
        <v>0</v>
      </c>
      <c r="GG97" s="49">
        <f>VLOOKUP(A97,tbMoveset!A2:G112,7,FALSE)*IFERROR(IF(Backdoors!AI12&gt;=0,1+(IF(Calculator!E40&gt;0,VLOOKUP(Calculator!E40,tbSkills!AI3:AJ5,2,FALSE),Backdoors!AL4)*(IF((Backdoors!AI12+IF(GB97&gt;=0.45,VLOOKUP(Calculator!E23,tbSkills!DH3:DI6,2,FALSE)+IF(AND(Calculator!B8=TRUE,Backdoors!BI29=TRUE),VLOOKUP(Calculator!E23,tbSkills!DH3:DJ6,3,FALSE),0),0))&gt;=100,100,(Backdoors!AI12+IF(GB97&gt;=0.45,VLOOKUP(Calculator!E23,tbSkills!DH3:DI6,2,FALSE)+IF(AND(Calculator!B8=TRUE,Backdoors!BI29=TRUE),VLOOKUP(Calculator!E23,tbSkills!DH3:DJ6,3,FALSE),0),0)))/100)),1),1)</f>
        <v>0.7</v>
      </c>
      <c r="GH97" s="87">
        <f t="shared" si="77"/>
        <v>0</v>
      </c>
      <c r="GI97" s="86" t="str">
        <f>IFERROR(IF(VLOOKUP(A97,tbMoveset!A2:B112,2,FALSE)="Sever",Backdoors!AY30/100,IF(VLOOKUP(A97,tbMoveset!A2:B112,2,FALSE)="Blunt",Backdoors!AZ30/100,Backdoors!BA30/100)),"")</f>
        <v/>
      </c>
      <c r="GJ97" s="49">
        <f>IFERROR(IF(VLOOKUP(tbMoveset!A97,tbMoveset!A2:H112,8,FALSE)="Other",IF(VLOOKUP(tbMoveset!A97,tbMoveset!A2:I112,9,FALSE)="Fire",Backdoors!BB30,IF(VLOOKUP(tbMoveset!A97,tbMoveset!A2:I112,9,FALSE)="Water",Backdoors!BC30,IF(VLOOKUP(tbMoveset!A97,tbMoveset!A2:I112,9,FALSE)="Thunder",Backdoors!BD30,IF(VLOOKUP(tbMoveset!A97,tbMoveset!A2:I112,9,FALSE)="Ice",Backdoors!BE30,IF(VLOOKUP(tbMoveset!A97,tbMoveset!A2:I112,9,FALSE)="Dragon",Backdoors!BF30,Backdoors!BG30)))))/100,Backdoors!BG30/100),"")</f>
        <v>0</v>
      </c>
      <c r="GK97" s="49">
        <f>IFERROR(IF(VLOOKUP(A97,tbMoveset!A2:J112,10,FALSE)=TRUE,IF((Backdoors!AI12+IF(GI97&gt;=0.45,VLOOKUP(Calculator!E23,tbSkills!DH3:DI6,2,FALSE)+IF(AND(Calculator!B8=TRUE,Backdoors!BI30=TRUE),VLOOKUP(Calculator!E23,tbSkills!DH3:DJ6,3,FALSE),0),0))&gt;=0,1+(Backdoors!AL2*(IF((Backdoors!AI12+IF(GI97&gt;=0.45,VLOOKUP(Calculator!E23,tbSkills!DH3:DI6,2,FALSE)+IF(AND(Calculator!B8=TRUE,Backdoors!BI30=TRUE),VLOOKUP(Calculator!E23,tbSkills!DH3:DJ6,3,FALSE),0),0))&gt;=100,100,(Backdoors!AI12+IF(GI97&gt;=0.45,VLOOKUP(Calculator!E23,tbSkills!DH3:DI6,2,FALSE)+IF(AND(Calculator!B8=TRUE,Backdoors!BI30=TRUE),VLOOKUP(Calculator!E23,tbSkills!DH3:DJ6,3,FALSE),0),0)))/100)),(1-(0.25*((-Backdoors!AI12-IF(GI97&gt;=0.45,VLOOKUP(Calculator!E23,tbSkills!DH3:DI6,2,FALSE)+IF(AND(Calculator!B8=TRUE,Backdoors!BI30=TRUE),VLOOKUP(Calculator!E23,tbSkills!DH3:DJ6,3,FALSE),0),0))/100)))),1),"")</f>
        <v>1</v>
      </c>
      <c r="GL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I97)*GK97)*(VLOOKUP(A97,tbMoveset!A2:C112,3,FALSE)/100)*IF(VLOOKUP(A97,tbMoveset!A2:B112,2,FALSE)="Projectile",Backdoors!N10,Backdoors!N9),0),"")</f>
        <v/>
      </c>
      <c r="GM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I97&gt;=0.45,VLOOKUP(Calculator!E23,tbSkills!DH3:DI6,2,FALSE)+IF(AND(Calculator!B8=TRUE,Backdoors!BI30=TRUE),VLOOKUP(Calculator!E23,tbSkills!DH3:DJ6,3,FALSE),0),0))&gt;=100,100,(Backdoors!AI12+IF(GI97&gt;=0.45,VLOOKUP(Calculator!E23,tbSkills!DH3:DI6,2,FALSE)+IF(AND(Calculator!B8=TRUE,Backdoors!BI30=TRUE),VLOOKUP(Calculator!E23,tbSkills!DH3:DJ6,3,FALSE),0),0)))/100)),1))*IF(VLOOKUP(A97,tbMoveset!A2:K112,11,FALSE)=TRUE,Backdoors!AC5,1))*GJ97,0),"")</f>
        <v>0</v>
      </c>
      <c r="GN97" s="49">
        <f>VLOOKUP(A97,tbMoveset!A2:G112,7,FALSE)*IFERROR(IF(Backdoors!AI12&gt;=0,1+(IF(Calculator!E40&gt;0,VLOOKUP(Calculator!E40,tbSkills!AI3:AJ5,2,FALSE),Backdoors!AL4)*(IF((Backdoors!AI12+IF(GI97&gt;=0.45,VLOOKUP(Calculator!E23,tbSkills!DH3:DI6,2,FALSE)+IF(AND(Calculator!B8=TRUE,Backdoors!BI30=TRUE),VLOOKUP(Calculator!E23,tbSkills!DH3:DJ6,3,FALSE),0),0))&gt;=100,100,(Backdoors!AI12+IF(GI97&gt;=0.45,VLOOKUP(Calculator!E23,tbSkills!DH3:DI6,2,FALSE)+IF(AND(Calculator!B8=TRUE,Backdoors!BI30=TRUE),VLOOKUP(Calculator!E23,tbSkills!DH3:DJ6,3,FALSE),0),0)))/100)),1),1)</f>
        <v>0.7</v>
      </c>
      <c r="GO97" s="87">
        <f t="shared" si="78"/>
        <v>0</v>
      </c>
      <c r="GP97" s="86" t="str">
        <f>IFERROR(IF(VLOOKUP(A97,tbMoveset!A2:B112,2,FALSE)="Sever",Backdoors!AY31/100,IF(VLOOKUP(A97,tbMoveset!A2:B112,2,FALSE)="Blunt",Backdoors!AZ31/100,Backdoors!BA31/100)),"")</f>
        <v/>
      </c>
      <c r="GQ97" s="49">
        <f>IFERROR(IF(VLOOKUP(tbMoveset!A97,tbMoveset!A2:H112,8,FALSE)="Other",IF(VLOOKUP(tbMoveset!A97,tbMoveset!A2:I112,9,FALSE)="Fire",Backdoors!BB31,IF(VLOOKUP(tbMoveset!A97,tbMoveset!A2:I112,9,FALSE)="Water",Backdoors!BC31,IF(VLOOKUP(tbMoveset!A97,tbMoveset!A2:I112,9,FALSE)="Thunder",Backdoors!BD31,IF(VLOOKUP(tbMoveset!A97,tbMoveset!A2:I112,9,FALSE)="Ice",Backdoors!BE31,IF(VLOOKUP(tbMoveset!A97,tbMoveset!A2:I112,9,FALSE)="Dragon",Backdoors!BF31,Backdoors!BG31)))))/100,Backdoors!BG31/100),"")</f>
        <v>0</v>
      </c>
      <c r="GR97" s="49">
        <f>IFERROR(IF(VLOOKUP(A97,tbMoveset!A2:J112,10,FALSE)=TRUE,IF((Backdoors!AI12+IF(GP97&gt;=0.45,VLOOKUP(Calculator!E23,tbSkills!DH3:DI6,2,FALSE)+IF(AND(Calculator!B8=TRUE,Backdoors!BI31=TRUE),VLOOKUP(Calculator!E23,tbSkills!DH3:DJ6,3,FALSE),0),0))&gt;=0,1+(Backdoors!AL2*(IF((Backdoors!AI12+IF(GP97&gt;=0.45,VLOOKUP(Calculator!E23,tbSkills!DH3:DI6,2,FALSE)+IF(AND(Calculator!B8=TRUE,Backdoors!BI31=TRUE),VLOOKUP(Calculator!E23,tbSkills!DH3:DJ6,3,FALSE),0),0))&gt;=100,100,(Backdoors!AI12+IF(GP97&gt;=0.45,VLOOKUP(Calculator!E23,tbSkills!DH3:DI6,2,FALSE)+IF(AND(Calculator!B8=TRUE,Backdoors!BI31=TRUE),VLOOKUP(Calculator!E23,tbSkills!DH3:DJ6,3,FALSE),0),0)))/100)),(1-(0.25*((-Backdoors!AI12-IF(GP97&gt;=0.45,VLOOKUP(Calculator!E23,tbSkills!DH3:DI6,2,FALSE)+IF(AND(Calculator!B8=TRUE,Backdoors!BI31=TRUE),VLOOKUP(Calculator!E23,tbSkills!DH3:DJ6,3,FALSE),0),0))/100)))),1),"")</f>
        <v>1</v>
      </c>
      <c r="GS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P97)*GR97)*(VLOOKUP(A97,tbMoveset!A2:C112,3,FALSE)/100)*IF(VLOOKUP(A97,tbMoveset!A2:B112,2,FALSE)="Projectile",Backdoors!N10,Backdoors!N9),0),"")</f>
        <v/>
      </c>
      <c r="GT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P97&gt;=0.45,VLOOKUP(Calculator!E23,tbSkills!DH3:DI6,2,FALSE)+IF(AND(Calculator!B8=TRUE,Backdoors!BI31=TRUE),VLOOKUP(Calculator!E23,tbSkills!DH3:DJ6,3,FALSE),0),0))&gt;=100,100,(Backdoors!AI12+IF(GP97&gt;=0.45,VLOOKUP(Calculator!E23,tbSkills!DH3:DI6,2,FALSE)+IF(AND(Calculator!B8=TRUE,Backdoors!BI31=TRUE),VLOOKUP(Calculator!E23,tbSkills!DH3:DJ6,3,FALSE),0),0)))/100)),1))*IF(VLOOKUP(A97,tbMoveset!A2:K112,11,FALSE)=TRUE,Backdoors!AC5,1))*GQ97,0),"")</f>
        <v>0</v>
      </c>
      <c r="GU97" s="49">
        <f>VLOOKUP(A97,tbMoveset!A2:G112,7,FALSE)*IFERROR(IF(Backdoors!AI12&gt;=0,1+(IF(Calculator!E40&gt;0,VLOOKUP(Calculator!E40,tbSkills!AI3:AJ5,2,FALSE),Backdoors!AL4)*(IF((Backdoors!AI12+IF(GP97&gt;=0.45,VLOOKUP(Calculator!E23,tbSkills!DH3:DI6,2,FALSE)+IF(AND(Calculator!B8=TRUE,Backdoors!BI31=TRUE),VLOOKUP(Calculator!E23,tbSkills!DH3:DJ6,3,FALSE),0),0))&gt;=100,100,(Backdoors!AI12+IF(GP97&gt;=0.45,VLOOKUP(Calculator!E23,tbSkills!DH3:DI6,2,FALSE)+IF(AND(Calculator!B8=TRUE,Backdoors!BI31=TRUE),VLOOKUP(Calculator!E23,tbSkills!DH3:DJ6,3,FALSE),0),0)))/100)),1),1)</f>
        <v>0.7</v>
      </c>
      <c r="GV97" s="87">
        <f t="shared" si="79"/>
        <v>0</v>
      </c>
      <c r="GW97" s="86" t="str">
        <f>IFERROR(IF(VLOOKUP(A97,tbMoveset!A2:B112,2,FALSE)="Sever",Backdoors!AY32/100,IF(VLOOKUP(A97,tbMoveset!A2:B112,2,FALSE)="Blunt",Backdoors!AZ32/100,Backdoors!BA32/100)),"")</f>
        <v/>
      </c>
      <c r="GX97" s="49">
        <f>IFERROR(IF(VLOOKUP(tbMoveset!A97,tbMoveset!A2:H112,8,FALSE)="Other",IF(VLOOKUP(tbMoveset!A97,tbMoveset!A2:I112,9,FALSE)="Fire",Backdoors!BB32,IF(VLOOKUP(tbMoveset!A97,tbMoveset!A2:I112,9,FALSE)="Water",Backdoors!BC32,IF(VLOOKUP(tbMoveset!A97,tbMoveset!A2:I112,9,FALSE)="Thunder",Backdoors!BD32,IF(VLOOKUP(tbMoveset!A97,tbMoveset!A2:I112,9,FALSE)="Ice",Backdoors!BE32,IF(VLOOKUP(tbMoveset!A97,tbMoveset!A2:I112,9,FALSE)="Dragon",Backdoors!BF32,Backdoors!BG32)))))/100,Backdoors!BG32/100),"")</f>
        <v>0</v>
      </c>
      <c r="GY97" s="49">
        <f>IFERROR(IF(VLOOKUP(A97,tbMoveset!A2:J112,10,FALSE)=TRUE,IF((Backdoors!AI12+IF(GW97&gt;=0.45,VLOOKUP(Calculator!E23,tbSkills!DH3:DI6,2,FALSE)+IF(AND(Calculator!B8=TRUE,Backdoors!BI32=TRUE),VLOOKUP(Calculator!E23,tbSkills!DH3:DJ6,3,FALSE),0),0))&gt;=0,1+(Backdoors!AL2*(IF((Backdoors!AI12+IF(GW97&gt;=0.45,VLOOKUP(Calculator!E23,tbSkills!DH3:DI6,2,FALSE)+IF(AND(Calculator!B8=TRUE,Backdoors!BI32=TRUE),VLOOKUP(Calculator!E23,tbSkills!DH3:DJ6,3,FALSE),0),0))&gt;=100,100,(Backdoors!AI12+IF(GW97&gt;=0.45,VLOOKUP(Calculator!E23,tbSkills!DH3:DI6,2,FALSE)+IF(AND(Calculator!B8=TRUE,Backdoors!BI32=TRUE),VLOOKUP(Calculator!E23,tbSkills!DH3:DJ6,3,FALSE),0),0)))/100)),(1-(0.25*((-Backdoors!AI12-IF(GW97&gt;=0.45,VLOOKUP(Calculator!E23,tbSkills!DH3:DI6,2,FALSE)+IF(AND(Calculator!B8=TRUE,Backdoors!BI32=TRUE),VLOOKUP(Calculator!E23,tbSkills!DH3:DJ6,3,FALSE),0),0))/100)))),1),"")</f>
        <v>1</v>
      </c>
      <c r="GZ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W97)*GY97)*(VLOOKUP(A97,tbMoveset!A2:C112,3,FALSE)/100)*IF(VLOOKUP(A97,tbMoveset!A2:B112,2,FALSE)="Projectile",Backdoors!N10,Backdoors!N9),0),"")</f>
        <v/>
      </c>
      <c r="HA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W97&gt;=0.45,VLOOKUP(Calculator!E23,tbSkills!DH3:DI6,2,FALSE)+IF(AND(Calculator!B8=TRUE,Backdoors!BI32=TRUE),VLOOKUP(Calculator!E23,tbSkills!DH3:DJ6,3,FALSE),0),0))&gt;=100,100,(Backdoors!AI12+IF(GW97&gt;=0.45,VLOOKUP(Calculator!E23,tbSkills!DH3:DI6,2,FALSE)+IF(AND(Calculator!B8=TRUE,Backdoors!BI32=TRUE),VLOOKUP(Calculator!E23,tbSkills!DH3:DJ6,3,FALSE),0),0)))/100)),1))*IF(VLOOKUP(A97,tbMoveset!A2:K112,11,FALSE)=TRUE,Backdoors!AC5,1))*GX97,0),"")</f>
        <v>0</v>
      </c>
      <c r="HB97" s="49">
        <f>VLOOKUP(A97,tbMoveset!A2:G112,7,FALSE)*IFERROR(IF(Backdoors!AI12&gt;=0,1+(IF(Calculator!E40&gt;0,VLOOKUP(Calculator!E40,tbSkills!AI3:AJ5,2,FALSE),Backdoors!AL4)*(IF((Backdoors!AI12+IF(GW97&gt;=0.45,VLOOKUP(Calculator!E23,tbSkills!DH3:DI6,2,FALSE)+IF(AND(Calculator!B8=TRUE,Backdoors!BI32=TRUE),VLOOKUP(Calculator!E23,tbSkills!DH3:DJ6,3,FALSE),0),0))&gt;=100,100,(Backdoors!AI12+IF(GW97&gt;=0.45,VLOOKUP(Calculator!E23,tbSkills!DH3:DI6,2,FALSE)+IF(AND(Calculator!B8=TRUE,Backdoors!BI32=TRUE),VLOOKUP(Calculator!E23,tbSkills!DH3:DJ6,3,FALSE),0),0)))/100)),1),1)</f>
        <v>0.7</v>
      </c>
      <c r="HC97" s="87">
        <f t="shared" si="80"/>
        <v>0</v>
      </c>
      <c r="HD97" s="86" t="str">
        <f>IFERROR(IF(VLOOKUP(A97,tbMoveset!A2:B112,2,FALSE)="Sever",Backdoors!AY33/100,IF(VLOOKUP(A97,tbMoveset!A2:B112,2,FALSE)="Blunt",Backdoors!AZ33/100,Backdoors!BA33/100)),"")</f>
        <v/>
      </c>
      <c r="HE97" s="49">
        <f>IFERROR(IF(VLOOKUP(tbMoveset!A97,tbMoveset!A2:H112,8,FALSE)="Other",IF(VLOOKUP(tbMoveset!A97,tbMoveset!A2:I112,9,FALSE)="Fire",Backdoors!BB33,IF(VLOOKUP(tbMoveset!A97,tbMoveset!A2:I112,9,FALSE)="Water",Backdoors!BC33,IF(VLOOKUP(tbMoveset!A97,tbMoveset!A2:I112,9,FALSE)="Thunder",Backdoors!BD33,IF(VLOOKUP(tbMoveset!A97,tbMoveset!A2:I112,9,FALSE)="Ice",Backdoors!BE33,IF(VLOOKUP(tbMoveset!A97,tbMoveset!A2:I112,9,FALSE)="Dragon",Backdoors!BF33,Backdoors!BG33)))))/100,Backdoors!BG33/100),"")</f>
        <v>0</v>
      </c>
      <c r="HF97" s="49">
        <f>IFERROR(IF(VLOOKUP(A97,tbMoveset!A2:J112,10,FALSE)=TRUE,IF((Backdoors!AI12+IF(HD97&gt;=0.45,VLOOKUP(Calculator!E23,tbSkills!DH3:DI6,2,FALSE)+IF(AND(Calculator!B8=TRUE,Backdoors!BI33=TRUE),VLOOKUP(Calculator!E23,tbSkills!DH3:DJ6,3,FALSE),0),0))&gt;=0,1+(Backdoors!AL2*(IF((Backdoors!AI12+IF(HD97&gt;=0.45,VLOOKUP(Calculator!E23,tbSkills!DH3:DI6,2,FALSE)+IF(AND(Calculator!B8=TRUE,Backdoors!BI33=TRUE),VLOOKUP(Calculator!E23,tbSkills!DH3:DJ6,3,FALSE),0),0))&gt;=100,100,(Backdoors!AI12+IF(HD97&gt;=0.45,VLOOKUP(Calculator!E23,tbSkills!DH3:DI6,2,FALSE)+IF(AND(Calculator!B8=TRUE,Backdoors!BI33=TRUE),VLOOKUP(Calculator!E23,tbSkills!DH3:DJ6,3,FALSE),0),0)))/100)),(1-(0.25*((-Backdoors!AI12-IF(HD97&gt;=0.45,VLOOKUP(Calculator!E23,tbSkills!DH3:DI6,2,FALSE)+IF(AND(Calculator!B8=TRUE,Backdoors!BI33=TRUE),VLOOKUP(Calculator!E23,tbSkills!DH3:DJ6,3,FALSE),0),0))/100)))),1),"")</f>
        <v>1</v>
      </c>
      <c r="HG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D97)*HF97)*(VLOOKUP(A97,tbMoveset!A2:C112,3,FALSE)/100)*IF(VLOOKUP(A97,tbMoveset!A2:B112,2,FALSE)="Projectile",Backdoors!N10,Backdoors!N9),0),"")</f>
        <v/>
      </c>
      <c r="HH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D97&gt;=0.45,VLOOKUP(Calculator!E23,tbSkills!DH3:DI6,2,FALSE)+IF(AND(Calculator!B8=TRUE,Backdoors!BI33=TRUE),VLOOKUP(Calculator!E23,tbSkills!DH3:DJ6,3,FALSE),0),0))&gt;=100,100,(Backdoors!AI12+IF(HD97&gt;=0.45,VLOOKUP(Calculator!E23,tbSkills!DH3:DI6,2,FALSE)+IF(AND(Calculator!B8=TRUE,Backdoors!BI33=TRUE),VLOOKUP(Calculator!E23,tbSkills!DH3:DJ6,3,FALSE),0),0)))/100)),1))*IF(VLOOKUP(A97,tbMoveset!A2:K112,11,FALSE)=TRUE,Backdoors!AC5,1))*HE97,0),"")</f>
        <v>0</v>
      </c>
      <c r="HI97" s="49">
        <f>VLOOKUP(A97,tbMoveset!A2:G112,7,FALSE)*IFERROR(IF(Backdoors!AI12&gt;=0,1+(IF(Calculator!E40&gt;0,VLOOKUP(Calculator!E40,tbSkills!AI3:AJ5,2,FALSE),Backdoors!AL4)*(IF((Backdoors!AI12+IF(HD97&gt;=0.45,VLOOKUP(Calculator!E23,tbSkills!DH3:DI6,2,FALSE)+IF(AND(Calculator!B8=TRUE,Backdoors!BI33=TRUE),VLOOKUP(Calculator!E23,tbSkills!DH3:DJ6,3,FALSE),0),0))&gt;=100,100,(Backdoors!AI12+IF(HD97&gt;=0.45,VLOOKUP(Calculator!E23,tbSkills!DH3:DI6,2,FALSE)+IF(AND(Calculator!B8=TRUE,Backdoors!BI33=TRUE),VLOOKUP(Calculator!E23,tbSkills!DH3:DJ6,3,FALSE),0),0)))/100)),1),1)</f>
        <v>0.7</v>
      </c>
      <c r="HJ97" s="87">
        <f t="shared" si="81"/>
        <v>0</v>
      </c>
      <c r="HK97" s="86" t="str">
        <f>IFERROR(IF(VLOOKUP(A97,tbMoveset!A2:B112,2,FALSE)="Sever",Backdoors!AY34/100,IF(VLOOKUP(A97,tbMoveset!A2:B112,2,FALSE)="Blunt",Backdoors!AZ34/100,Backdoors!BA34/100)),"")</f>
        <v/>
      </c>
      <c r="HL97" s="49">
        <f>IFERROR(IF(VLOOKUP(tbMoveset!A97,tbMoveset!A2:H112,8,FALSE)="Other",IF(VLOOKUP(tbMoveset!A97,tbMoveset!A2:I112,9,FALSE)="Fire",Backdoors!BB34,IF(VLOOKUP(tbMoveset!A97,tbMoveset!A2:I112,9,FALSE)="Water",Backdoors!BC34,IF(VLOOKUP(tbMoveset!A97,tbMoveset!A2:I112,9,FALSE)="Thunder",Backdoors!BD34,IF(VLOOKUP(tbMoveset!A97,tbMoveset!A2:I112,9,FALSE)="Ice",Backdoors!BE34,IF(VLOOKUP(tbMoveset!A97,tbMoveset!A2:I112,9,FALSE)="Dragon",Backdoors!BF34,Backdoors!BG34)))))/100,Backdoors!BG34/100),"")</f>
        <v>0</v>
      </c>
      <c r="HM97" s="49">
        <f>IFERROR(IF(VLOOKUP(A97,tbMoveset!A2:J112,10,FALSE)=TRUE,IF((Backdoors!AI12+IF(HK97&gt;=0.45,VLOOKUP(Calculator!E23,tbSkills!DH3:DI6,2,FALSE)+IF(AND(Calculator!B8=TRUE,Backdoors!BI34=TRUE),VLOOKUP(Calculator!E23,tbSkills!DH3:DJ6,3,FALSE),0),0))&gt;=0,1+(Backdoors!AL2*(IF((Backdoors!AI12+IF(HK97&gt;=0.45,VLOOKUP(Calculator!E23,tbSkills!DH3:DI6,2,FALSE)+IF(AND(Calculator!B8=TRUE,Backdoors!BI34=TRUE),VLOOKUP(Calculator!E23,tbSkills!DH3:DJ6,3,FALSE),0),0))&gt;=100,100,(Backdoors!AI12+IF(HK97&gt;=0.45,VLOOKUP(Calculator!E23,tbSkills!DH3:DI6,2,FALSE)+IF(AND(Calculator!B8=TRUE,Backdoors!BI34=TRUE),VLOOKUP(Calculator!E23,tbSkills!DH3:DJ6,3,FALSE),0),0)))/100)),(1-(0.25*((-Backdoors!AI12-IF(HK97&gt;=0.45,VLOOKUP(Calculator!E23,tbSkills!DH3:DI6,2,FALSE)+IF(AND(Calculator!B8=TRUE,Backdoors!BI34=TRUE),VLOOKUP(Calculator!E23,tbSkills!DH3:DJ6,3,FALSE),0),0))/100)))),1),"")</f>
        <v>1</v>
      </c>
      <c r="HN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K97)*HM97)*(VLOOKUP(A97,tbMoveset!A2:C112,3,FALSE)/100)*IF(VLOOKUP(A97,tbMoveset!A2:B112,2,FALSE)="Projectile",Backdoors!N10,Backdoors!N9),0),"")</f>
        <v/>
      </c>
      <c r="HO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K97&gt;=0.45,VLOOKUP(Calculator!E23,tbSkills!DH3:DI6,2,FALSE)+IF(AND(Calculator!B8=TRUE,Backdoors!BI34=TRUE),VLOOKUP(Calculator!E23,tbSkills!DH3:DJ6,3,FALSE),0),0))&gt;=100,100,(Backdoors!AI12+IF(HK97&gt;=0.45,VLOOKUP(Calculator!E23,tbSkills!DH3:DI6,2,FALSE)+IF(AND(Calculator!B8=TRUE,Backdoors!BI34=TRUE),VLOOKUP(Calculator!E23,tbSkills!DH3:DJ6,3,FALSE),0),0)))/100)),1))*IF(VLOOKUP(A97,tbMoveset!A2:K112,11,FALSE)=TRUE,Backdoors!AC5,1))*HL97,0),"")</f>
        <v>0</v>
      </c>
      <c r="HP97" s="49">
        <f>VLOOKUP(A97,tbMoveset!A2:G112,7,FALSE)*IFERROR(IF(Backdoors!AI12&gt;=0,1+(IF(Calculator!E40&gt;0,VLOOKUP(Calculator!E40,tbSkills!AI3:AJ5,2,FALSE),Backdoors!AL4)*(IF((Backdoors!AI12+IF(HK97&gt;=0.45,VLOOKUP(Calculator!E23,tbSkills!DH3:DI6,2,FALSE)+IF(AND(Calculator!B8=TRUE,Backdoors!BI34=TRUE),VLOOKUP(Calculator!E23,tbSkills!DH3:DJ6,3,FALSE),0),0))&gt;=100,100,(Backdoors!AI12+IF(HK97&gt;=0.45,VLOOKUP(Calculator!E23,tbSkills!DH3:DI6,2,FALSE)+IF(AND(Calculator!B8=TRUE,Backdoors!BI34=TRUE),VLOOKUP(Calculator!E23,tbSkills!DH3:DJ6,3,FALSE),0),0)))/100)),1),1)</f>
        <v>0.7</v>
      </c>
      <c r="HQ97" s="87">
        <f t="shared" si="82"/>
        <v>0</v>
      </c>
      <c r="HR97" s="86" t="str">
        <f>IFERROR(IF(VLOOKUP(A97,tbMoveset!A2:B112,2,FALSE)="Sever",Backdoors!AY35/100,IF(VLOOKUP(A97,tbMoveset!A2:B112,2,FALSE)="Blunt",Backdoors!AZ35/100,Backdoors!BA35/100)),"")</f>
        <v/>
      </c>
      <c r="HS97" s="49">
        <f>IFERROR(IF(VLOOKUP(tbMoveset!A97,tbMoveset!A2:H112,8,FALSE)="Other",IF(VLOOKUP(tbMoveset!A97,tbMoveset!A2:I112,9,FALSE)="Fire",Backdoors!BB35,IF(VLOOKUP(tbMoveset!A97,tbMoveset!A2:I112,9,FALSE)="Water",Backdoors!BC35,IF(VLOOKUP(tbMoveset!A97,tbMoveset!A2:I112,9,FALSE)="Thunder",Backdoors!BD35,IF(VLOOKUP(tbMoveset!A97,tbMoveset!A2:I112,9,FALSE)="Ice",Backdoors!BE35,IF(VLOOKUP(tbMoveset!A97,tbMoveset!A2:I112,9,FALSE)="Dragon",Backdoors!BF35,Backdoors!BG35)))))/100,Backdoors!BG35/100),"")</f>
        <v>0</v>
      </c>
      <c r="HT97" s="49">
        <f>IFERROR(IF(VLOOKUP(A97,tbMoveset!A2:J112,10,FALSE)=TRUE,IF((Backdoors!AI12+IF(HR97&gt;=0.45,VLOOKUP(Calculator!E23,tbSkills!DH3:DI6,2,FALSE)+IF(AND(Calculator!B8=TRUE,Backdoors!BI35=TRUE),VLOOKUP(Calculator!E23,tbSkills!DH3:DJ6,3,FALSE),0),0))&gt;=0,1+(Backdoors!AL2*(IF((Backdoors!AI12+IF(HR97&gt;=0.45,VLOOKUP(Calculator!E23,tbSkills!DH3:DI6,2,FALSE)+IF(AND(Calculator!B8=TRUE,Backdoors!BI35=TRUE),VLOOKUP(Calculator!E23,tbSkills!DH3:DJ6,3,FALSE),0),0))&gt;=100,100,(Backdoors!AI12+IF(HR97&gt;=0.45,VLOOKUP(Calculator!E23,tbSkills!DH3:DI6,2,FALSE)+IF(AND(Calculator!B8=TRUE,Backdoors!BI35=TRUE),VLOOKUP(Calculator!E23,tbSkills!DH3:DJ6,3,FALSE),0),0)))/100)),(1-(0.25*((-Backdoors!AI12-IF(HR97&gt;=0.45,VLOOKUP(Calculator!E23,tbSkills!DH3:DI6,2,FALSE)+IF(AND(Calculator!B8=TRUE,Backdoors!BI35=TRUE),VLOOKUP(Calculator!E23,tbSkills!DH3:DJ6,3,FALSE),0),0))/100)))),1),"")</f>
        <v>1</v>
      </c>
      <c r="HU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R97)*HT97)*(VLOOKUP(A97,tbMoveset!A2:C112,3,FALSE)/100)*IF(VLOOKUP(A97,tbMoveset!A2:B112,2,FALSE)="Projectile",Backdoors!N10,Backdoors!N9),0),"")</f>
        <v/>
      </c>
      <c r="HV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R97&gt;=0.45,VLOOKUP(Calculator!E23,tbSkills!DH3:DI6,2,FALSE)+IF(AND(Calculator!B8=TRUE,Backdoors!BI35=TRUE),VLOOKUP(Calculator!E23,tbSkills!DH3:DJ6,3,FALSE),0),0))&gt;=100,100,(Backdoors!AI12+IF(HR97&gt;=0.45,VLOOKUP(Calculator!E23,tbSkills!DH3:DI6,2,FALSE)+IF(AND(Calculator!B8=TRUE,Backdoors!BI35=TRUE),VLOOKUP(Calculator!E23,tbSkills!DH3:DJ6,3,FALSE),0),0)))/100)),1))*IF(VLOOKUP(A97,tbMoveset!A2:K112,11,FALSE)=TRUE,Backdoors!AC5,1))*HS97,0),"")</f>
        <v>0</v>
      </c>
      <c r="HW97" s="49">
        <f>VLOOKUP(A97,tbMoveset!A2:G112,7,FALSE)*IFERROR(IF(Backdoors!AI12&gt;=0,1+(IF(Calculator!E40&gt;0,VLOOKUP(Calculator!E40,tbSkills!AI3:AJ5,2,FALSE),Backdoors!AL4)*(IF((Backdoors!AI12+IF(HR97&gt;=0.45,VLOOKUP(Calculator!E23,tbSkills!DH3:DI6,2,FALSE)+IF(AND(Calculator!B8=TRUE,Backdoors!BI35=TRUE),VLOOKUP(Calculator!E23,tbSkills!DH3:DJ6,3,FALSE),0),0))&gt;=100,100,(Backdoors!AI12+IF(HR97&gt;=0.45,VLOOKUP(Calculator!E23,tbSkills!DH3:DI6,2,FALSE)+IF(AND(Calculator!B8=TRUE,Backdoors!BI35=TRUE),VLOOKUP(Calculator!E23,tbSkills!DH3:DJ6,3,FALSE),0),0)))/100)),1),1)</f>
        <v>0.7</v>
      </c>
      <c r="HX97" s="87">
        <f t="shared" si="83"/>
        <v>0</v>
      </c>
      <c r="HY97" s="86" t="str">
        <f>IFERROR(IF(VLOOKUP(A97,tbMoveset!A2:B112,2,FALSE)="Sever",Backdoors!AY36/100,IF(VLOOKUP(A97,tbMoveset!A2:B112,2,FALSE)="Blunt",Backdoors!AZ36/100,Backdoors!BA36/100)),"")</f>
        <v/>
      </c>
      <c r="HZ97" s="49">
        <f>IFERROR(IF(VLOOKUP(tbMoveset!A97,tbMoveset!A2:H112,8,FALSE)="Other",IF(VLOOKUP(tbMoveset!A97,tbMoveset!A2:I112,9,FALSE)="Fire",Backdoors!BB36,IF(VLOOKUP(tbMoveset!A97,tbMoveset!A2:I112,9,FALSE)="Water",Backdoors!BC36,IF(VLOOKUP(tbMoveset!A97,tbMoveset!A2:I112,9,FALSE)="Thunder",Backdoors!BD36,IF(VLOOKUP(tbMoveset!A97,tbMoveset!A2:I112,9,FALSE)="Ice",Backdoors!BE36,IF(VLOOKUP(tbMoveset!A97,tbMoveset!A2:I112,9,FALSE)="Dragon",Backdoors!BF36,Backdoors!BG36)))))/100,Backdoors!BG36/100),"")</f>
        <v>0</v>
      </c>
      <c r="IA97" s="49">
        <f>IFERROR(IF(VLOOKUP(A97,tbMoveset!A2:J112,10,FALSE)=TRUE,IF((Backdoors!AI12+IF(HY97&gt;=0.45,VLOOKUP(Calculator!E23,tbSkills!DH3:DI6,2,FALSE)+IF(AND(Calculator!B8=TRUE,Backdoors!BI36=TRUE),VLOOKUP(Calculator!E23,tbSkills!DH3:DJ6,3,FALSE),0),0))&gt;=0,1+(Backdoors!AL2*(IF((Backdoors!AI12+IF(HY97&gt;=0.45,VLOOKUP(Calculator!E23,tbSkills!DH3:DI6,2,FALSE)+IF(AND(Calculator!B8=TRUE,Backdoors!BI36=TRUE),VLOOKUP(Calculator!E23,tbSkills!DH3:DJ6,3,FALSE),0),0))&gt;=100,100,(Backdoors!AI12+IF(HY97&gt;=0.45,VLOOKUP(Calculator!E23,tbSkills!DH3:DI6,2,FALSE)+IF(AND(Calculator!B8=TRUE,Backdoors!BI36=TRUE),VLOOKUP(Calculator!E23,tbSkills!DH3:DJ6,3,FALSE),0),0)))/100)),(1-(0.25*((-Backdoors!AI12-IF(HY97&gt;=0.45,VLOOKUP(Calculator!E23,tbSkills!DH3:DI6,2,FALSE)+IF(AND(Calculator!B8=TRUE,Backdoors!BI36=TRUE),VLOOKUP(Calculator!E23,tbSkills!DH3:DJ6,3,FALSE),0),0))/100)))),1),"")</f>
        <v>1</v>
      </c>
      <c r="IB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Y97)*IA97)*(VLOOKUP(A97,tbMoveset!A2:C112,3,FALSE)/100)*IF(VLOOKUP(A97,tbMoveset!A2:B112,2,FALSE)="Projectile",Backdoors!N10,Backdoors!N9),0),"")</f>
        <v/>
      </c>
      <c r="IC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Y97&gt;=0.45,VLOOKUP(Calculator!E23,tbSkills!DH3:DI6,2,FALSE)+IF(AND(Calculator!B8=TRUE,Backdoors!BI36=TRUE),VLOOKUP(Calculator!E23,tbSkills!DH3:DJ6,3,FALSE),0),0))&gt;=100,100,(Backdoors!AI12+IF(HY97&gt;=0.45,VLOOKUP(Calculator!E23,tbSkills!DH3:DI6,2,FALSE)+IF(AND(Calculator!B8=TRUE,Backdoors!BI36=TRUE),VLOOKUP(Calculator!E23,tbSkills!DH3:DJ6,3,FALSE),0),0)))/100)),1))*IF(VLOOKUP(A97,tbMoveset!A2:K112,11,FALSE)=TRUE,Backdoors!AC5,1))*HZ97,0),"")</f>
        <v>0</v>
      </c>
      <c r="ID97" s="49">
        <f>VLOOKUP(A97,tbMoveset!A2:G112,7,FALSE)*IFERROR(IF(Backdoors!AI12&gt;=0,1+(IF(Calculator!E40&gt;0,VLOOKUP(Calculator!E40,tbSkills!AI3:AJ5,2,FALSE),Backdoors!AL4)*(IF((Backdoors!AI12+IF(HY97&gt;=0.45,VLOOKUP(Calculator!E23,tbSkills!DH3:DI6,2,FALSE)+IF(AND(Calculator!B8=TRUE,Backdoors!BI36=TRUE),VLOOKUP(Calculator!E23,tbSkills!DH3:DJ6,3,FALSE),0),0))&gt;=100,100,(Backdoors!AI12+IF(HY97&gt;=0.45,VLOOKUP(Calculator!E23,tbSkills!DH3:DI6,2,FALSE)+IF(AND(Calculator!B8=TRUE,Backdoors!BI36=TRUE),VLOOKUP(Calculator!E23,tbSkills!DH3:DJ6,3,FALSE),0),0)))/100)),1),1)</f>
        <v>0.7</v>
      </c>
      <c r="IE97" s="87">
        <f t="shared" si="84"/>
        <v>0</v>
      </c>
      <c r="IF97" s="86" t="str">
        <f>IFERROR(IF(VLOOKUP(A97,tbMoveset!A2:B112,2,FALSE)="Sever",Backdoors!AY37/100,IF(VLOOKUP(A97,tbMoveset!A2:B112,2,FALSE)="Blunt",Backdoors!AZ37/100,Backdoors!BA37/100)),"")</f>
        <v/>
      </c>
      <c r="IG97" s="49">
        <f>IFERROR(IF(VLOOKUP(tbMoveset!A97,tbMoveset!A2:H112,8,FALSE)="Other",IF(VLOOKUP(tbMoveset!A97,tbMoveset!A2:I112,9,FALSE)="Fire",Backdoors!BB37,IF(VLOOKUP(tbMoveset!A97,tbMoveset!A2:I112,9,FALSE)="Water",Backdoors!BC37,IF(VLOOKUP(tbMoveset!A97,tbMoveset!A2:I112,9,FALSE)="Thunder",Backdoors!BD37,IF(VLOOKUP(tbMoveset!A97,tbMoveset!A2:I112,9,FALSE)="Ice",Backdoors!BE37,IF(VLOOKUP(tbMoveset!A97,tbMoveset!A2:I112,9,FALSE)="Dragon",Backdoors!BF37,Backdoors!BG37)))))/100,Backdoors!BG37/100),"")</f>
        <v>0</v>
      </c>
      <c r="IH97" s="49">
        <f>IFERROR(IF(VLOOKUP(A97,tbMoveset!A2:J112,10,FALSE)=TRUE,IF((Backdoors!AI12+IF(IF97&gt;=0.45,VLOOKUP(Calculator!E23,tbSkills!DH3:DI6,2,FALSE)+IF(AND(Calculator!B8=TRUE,Backdoors!BI37=TRUE),VLOOKUP(Calculator!E23,tbSkills!DH3:DJ6,3,FALSE),0),0))&gt;=0,1+(Backdoors!AL2*(IF((Backdoors!AI12+IF(IF97&gt;=0.45,VLOOKUP(Calculator!E23,tbSkills!DH3:DI6,2,FALSE)+IF(AND(Calculator!B8=TRUE,Backdoors!BI37=TRUE),VLOOKUP(Calculator!E23,tbSkills!DH3:DJ6,3,FALSE),0),0))&gt;=100,100,(Backdoors!AI12+IF(IF97&gt;=0.45,VLOOKUP(Calculator!E23,tbSkills!DH3:DI6,2,FALSE)+IF(AND(Calculator!B8=TRUE,Backdoors!BI37=TRUE),VLOOKUP(Calculator!E23,tbSkills!DH3:DJ6,3,FALSE),0),0)))/100)),(1-(0.25*((-Backdoors!AI12-IF(IF97&gt;=0.45,VLOOKUP(Calculator!E23,tbSkills!DH3:DI6,2,FALSE)+IF(AND(Calculator!B8=TRUE,Backdoors!BI37=TRUE),VLOOKUP(Calculator!E23,tbSkills!DH3:DJ6,3,FALSE),0),0))/100)))),1),"")</f>
        <v>1</v>
      </c>
      <c r="II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F97)*IH97)*(VLOOKUP(A97,tbMoveset!A2:C112,3,FALSE)/100)*IF(VLOOKUP(A97,tbMoveset!A2:B112,2,FALSE)="Projectile",Backdoors!N10,Backdoors!N9),0),"")</f>
        <v/>
      </c>
      <c r="IJ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IF97&gt;=0.45,VLOOKUP(Calculator!E23,tbSkills!DH3:DI6,2,FALSE)+IF(AND(Calculator!B8=TRUE,Backdoors!BI37=TRUE),VLOOKUP(Calculator!E23,tbSkills!DH3:DJ6,3,FALSE),0),0))&gt;=100,100,(Backdoors!AI12+IF(IF97&gt;=0.45,VLOOKUP(Calculator!E23,tbSkills!DH3:DI6,2,FALSE)+IF(AND(Calculator!B8=TRUE,Backdoors!BI37=TRUE),VLOOKUP(Calculator!E23,tbSkills!DH3:DJ6,3,FALSE),0),0)))/100)),1))*IF(VLOOKUP(A97,tbMoveset!A2:K112,11,FALSE)=TRUE,Backdoors!AC5,1))*IG97,0),"")</f>
        <v>0</v>
      </c>
      <c r="IK97" s="49">
        <f>VLOOKUP(A97,tbMoveset!A2:G112,7,FALSE)*IFERROR(IF(Backdoors!AI12&gt;=0,1+(IF(Calculator!E40&gt;0,VLOOKUP(Calculator!E40,tbSkills!AI3:AJ5,2,FALSE),Backdoors!AL4)*(IF((Backdoors!AI12+IF(IF97&gt;=0.45,VLOOKUP(Calculator!E23,tbSkills!DH3:DI6,2,FALSE)+IF(AND(Calculator!B8=TRUE,Backdoors!BI37=TRUE),VLOOKUP(Calculator!E23,tbSkills!DH3:DJ6,3,FALSE),0),0))&gt;=100,100,(Backdoors!AI12+IF(IF97&gt;=0.45,VLOOKUP(Calculator!E23,tbSkills!DH3:DI6,2,FALSE)+IF(AND(Calculator!B8=TRUE,Backdoors!BI37=TRUE),VLOOKUP(Calculator!E23,tbSkills!DH3:DJ6,3,FALSE),0),0)))/100)),1),1)</f>
        <v>0.7</v>
      </c>
      <c r="IL97" s="87">
        <f t="shared" si="85"/>
        <v>0</v>
      </c>
      <c r="IM97" s="86" t="str">
        <f>IFERROR(IF(VLOOKUP(A97,tbMoveset!A2:B112,2,FALSE)="Sever",Backdoors!AY38/100,IF(VLOOKUP(A97,tbMoveset!A2:B112,2,FALSE)="Blunt",Backdoors!AZ38/100,Backdoors!BA38/100)),"")</f>
        <v/>
      </c>
      <c r="IN97" s="49">
        <f>IFERROR(IF(VLOOKUP(tbMoveset!A97,tbMoveset!A2:H112,8,FALSE)="Other",IF(VLOOKUP(tbMoveset!A97,tbMoveset!A2:I112,9,FALSE)="Fire",Backdoors!BB38,IF(VLOOKUP(tbMoveset!A97,tbMoveset!A2:I112,9,FALSE)="Water",Backdoors!BC38,IF(VLOOKUP(tbMoveset!A97,tbMoveset!A2:I112,9,FALSE)="Thunder",Backdoors!BD38,IF(VLOOKUP(tbMoveset!A97,tbMoveset!A2:I112,9,FALSE)="Ice",Backdoors!BE38,IF(VLOOKUP(tbMoveset!A97,tbMoveset!A2:I112,9,FALSE)="Dragon",Backdoors!BF38,Backdoors!BG38)))))/100,Backdoors!BG38/100),"")</f>
        <v>0</v>
      </c>
      <c r="IO97" s="49">
        <f>IFERROR(IF(VLOOKUP(A97,tbMoveset!A2:J112,10,FALSE)=TRUE,IF((Backdoors!AI12+IF(IM97&gt;=0.45,VLOOKUP(Calculator!E23,tbSkills!DH3:DI6,2,FALSE)+IF(AND(Calculator!B8=TRUE,Backdoors!BI38=TRUE),VLOOKUP(Calculator!E23,tbSkills!DH3:DJ6,3,FALSE),0),0))&gt;=0,1+(Backdoors!AL2*(IF((Backdoors!AI12+IF(IM97&gt;=0.45,VLOOKUP(Calculator!E23,tbSkills!DH3:DI6,2,FALSE)+IF(AND(Calculator!B8=TRUE,Backdoors!BI38=TRUE),VLOOKUP(Calculator!E23,tbSkills!DH3:DJ6,3,FALSE),0),0))&gt;=100,100,(Backdoors!AI12+IF(IM97&gt;=0.45,VLOOKUP(Calculator!E23,tbSkills!DH3:DI6,2,FALSE)+IF(AND(Calculator!B8=TRUE,Backdoors!BI38=TRUE),VLOOKUP(Calculator!E23,tbSkills!DH3:DJ6,3,FALSE),0),0)))/100)),(1-(0.25*((-Backdoors!AI12-IF(IM97&gt;=0.45,VLOOKUP(Calculator!E23,tbSkills!DH3:DI6,2,FALSE)+IF(AND(Calculator!B8=TRUE,Backdoors!BI38=TRUE),VLOOKUP(Calculator!E23,tbSkills!DH3:DJ6,3,FALSE),0),0))/100)))),1),"")</f>
        <v>1</v>
      </c>
      <c r="IP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M97)*IO97)*(VLOOKUP(A97,tbMoveset!A2:C112,3,FALSE)/100)*IF(VLOOKUP(A97,tbMoveset!A2:B112,2,FALSE)="Projectile",Backdoors!N10,Backdoors!N9),0),"")</f>
        <v/>
      </c>
      <c r="IQ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IM97&gt;=0.45,VLOOKUP(Calculator!E23,tbSkills!DH3:DI6,2,FALSE)+IF(AND(Calculator!B8=TRUE,Backdoors!BI38=TRUE),VLOOKUP(Calculator!E23,tbSkills!DH3:DJ6,3,FALSE),0),0))&gt;=100,100,(Backdoors!AI12+IF(IM97&gt;=0.45,VLOOKUP(Calculator!E23,tbSkills!DH3:DI6,2,FALSE)+IF(AND(Calculator!B8=TRUE,Backdoors!BI38=TRUE),VLOOKUP(Calculator!E23,tbSkills!DH3:DJ6,3,FALSE),0),0)))/100)),1))*IF(VLOOKUP(A97,tbMoveset!A2:K112,11,FALSE)=TRUE,Backdoors!AC5,1))*IN97,0),"")</f>
        <v>0</v>
      </c>
      <c r="IR97" s="49">
        <f>VLOOKUP(A97,tbMoveset!A2:G112,7,FALSE)*IFERROR(IF(Backdoors!AI12&gt;=0,1+(IF(Calculator!E40&gt;0,VLOOKUP(Calculator!E40,tbSkills!AI3:AJ5,2,FALSE),Backdoors!AL4)*(IF((Backdoors!AI12+IF(IM97&gt;=0.45,VLOOKUP(Calculator!E23,tbSkills!DH3:DI6,2,FALSE)+IF(AND(Calculator!B8=TRUE,Backdoors!BI38=TRUE),VLOOKUP(Calculator!E23,tbSkills!DH3:DJ6,3,FALSE),0),0))&gt;=100,100,(Backdoors!AI12+IF(IM97&gt;=0.45,VLOOKUP(Calculator!E23,tbSkills!DH3:DI6,2,FALSE)+IF(AND(Calculator!B8=TRUE,Backdoors!BI38=TRUE),VLOOKUP(Calculator!E23,tbSkills!DH3:DJ6,3,FALSE),0),0)))/100)),1),1)</f>
        <v>0.7</v>
      </c>
      <c r="IS97" s="87">
        <f t="shared" si="86"/>
        <v>0</v>
      </c>
      <c r="IT97" s="86" t="str">
        <f>IFERROR(IF(VLOOKUP(A97,tbMoveset!A2:B112,2,FALSE)="Sever",Backdoors!AY39/100,IF(VLOOKUP(A97,tbMoveset!A2:B112,2,FALSE)="Blunt",Backdoors!AZ39/100,Backdoors!BA39/100)),"")</f>
        <v/>
      </c>
      <c r="IU97" s="49">
        <f>IFERROR(IF(VLOOKUP(tbMoveset!A97,tbMoveset!A2:H112,8,FALSE)="Other",IF(VLOOKUP(tbMoveset!A97,tbMoveset!A2:I112,9,FALSE)="Fire",Backdoors!BB39,IF(VLOOKUP(tbMoveset!A97,tbMoveset!A2:I112,9,FALSE)="Water",Backdoors!BC39,IF(VLOOKUP(tbMoveset!A97,tbMoveset!A2:I112,9,FALSE)="Thunder",Backdoors!BD39,IF(VLOOKUP(tbMoveset!A97,tbMoveset!A2:I112,9,FALSE)="Ice",Backdoors!BE39,IF(VLOOKUP(tbMoveset!A97,tbMoveset!A2:I112,9,FALSE)="Dragon",Backdoors!BF39,Backdoors!BG39)))))/100,Backdoors!BG39/100),"")</f>
        <v>0</v>
      </c>
      <c r="IV97" s="49">
        <f>IFERROR(IF(VLOOKUP(A97,tbMoveset!A2:J112,10,FALSE)=TRUE,IF((Backdoors!AI12+IF(IT97&gt;=0.45,VLOOKUP(Calculator!E23,tbSkills!DH3:DI6,2,FALSE)+IF(AND(Calculator!B8=TRUE,Backdoors!BI39=TRUE),VLOOKUP(Calculator!E23,tbSkills!DH3:DJ6,3,FALSE),0),0))&gt;=0,1+(Backdoors!AL2*(IF((Backdoors!AI12+IF(IT97&gt;=0.45,VLOOKUP(Calculator!E23,tbSkills!DH3:DI6,2,FALSE)+IF(AND(Calculator!B8=TRUE,Backdoors!BI39=TRUE),VLOOKUP(Calculator!E23,tbSkills!DH3:DJ6,3,FALSE),0),0))&gt;=100,100,(Backdoors!AI12+IF(IT97&gt;=0.45,VLOOKUP(Calculator!E23,tbSkills!DH3:DI6,2,FALSE)+IF(AND(Calculator!B8=TRUE,Backdoors!BI39=TRUE),VLOOKUP(Calculator!E23,tbSkills!DH3:DJ6,3,FALSE),0),0)))/100)),(1-(0.25*((-Backdoors!AI12-IF(IT97&gt;=0.45,VLOOKUP(Calculator!E23,tbSkills!DH3:DI6,2,FALSE)+IF(AND(Calculator!B8=TRUE,Backdoors!BI39=TRUE),VLOOKUP(Calculator!E23,tbSkills!DH3:DJ6,3,FALSE),0),0))/100)))),1),"")</f>
        <v>1</v>
      </c>
      <c r="IW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T97)*IV97)*(VLOOKUP(A97,tbMoveset!A2:C112,3,FALSE)/100)*IF(VLOOKUP(A97,tbMoveset!A2:B112,2,FALSE)="Projectile",Backdoors!N10,Backdoors!N9),0),"")</f>
        <v/>
      </c>
      <c r="IX97" s="49">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40&gt;0,VLOOKUP(Calculator!E40,tbSkills!AC3:AD5,2,FALSE),Backdoors!AL3)*(IF((Backdoors!AI12+IF(IT97&gt;=0.45,VLOOKUP(Calculator!E23,tbSkills!DH3:DI6,2,FALSE)+IF(AND(Calculator!B8=TRUE,Backdoors!BI39=TRUE),VLOOKUP(Calculator!E23,tbSkills!DH3:DJ6,3,FALSE),0),0))&gt;=100,100,(Backdoors!AI12+IF(IT97&gt;=0.45,VLOOKUP(Calculator!E23,tbSkills!DH3:DI6,2,FALSE)+IF(AND(Calculator!B8=TRUE,Backdoors!BI39=TRUE),VLOOKUP(Calculator!E23,tbSkills!DH3:DJ6,3,FALSE),0),0)))/100)),1))*IF(VLOOKUP(A97,tbMoveset!A2:K112,11,FALSE)=TRUE,Backdoors!AC5,1))*IU97,0),"")</f>
        <v>0</v>
      </c>
      <c r="IY97" s="49">
        <f>VLOOKUP(A97,tbMoveset!A2:G112,7,FALSE)*IFERROR(IF(Backdoors!AI12&gt;=0,1+(IF(Calculator!E40&gt;0,VLOOKUP(Calculator!E40,tbSkills!AI3:AJ5,2,FALSE),Backdoors!AL4)*(IF((Backdoors!AI12+IF(IT97&gt;=0.45,VLOOKUP(Calculator!E23,tbSkills!DH3:DI6,2,FALSE)+IF(AND(Calculator!B8=TRUE,Backdoors!BI39=TRUE),VLOOKUP(Calculator!E23,tbSkills!DH3:DJ6,3,FALSE),0),0))&gt;=100,100,(Backdoors!AI12+IF(IT97&gt;=0.45,VLOOKUP(Calculator!E23,tbSkills!DH3:DI6,2,FALSE)+IF(AND(Calculator!B8=TRUE,Backdoors!BI39=TRUE),VLOOKUP(Calculator!E23,tbSkills!DH3:DJ6,3,FALSE),0),0)))/100)),1),1)</f>
        <v>0.7</v>
      </c>
      <c r="IZ97" s="87">
        <f t="shared" si="87"/>
        <v>0</v>
      </c>
      <c r="JA97" s="86" t="str">
        <f>IFERROR(IF(VLOOKUP(A97,tbMoveset!A2:B112,2,FALSE)="Sever",Backdoors!AY40/100,IF(VLOOKUP(A97,tbMoveset!A2:B112,2,FALSE)="Blunt",Backdoors!AZ40/100,Backdoors!BA40/100)),"")</f>
        <v/>
      </c>
      <c r="JB97" s="49">
        <f>IFERROR(IF(VLOOKUP(tbMoveset!A97,tbMoveset!A2:H112,8,FALSE)="Other",IF(VLOOKUP(tbMoveset!A97,tbMoveset!A2:I112,9,FALSE)="Fire",Backdoors!BB40,IF(VLOOKUP(tbMoveset!A97,tbMoveset!A2:I112,9,FALSE)="Water",Backdoors!BC40,IF(VLOOKUP(tbMoveset!A97,tbMoveset!A2:I112,9,FALSE)="Thunder",Backdoors!BD40,IF(VLOOKUP(tbMoveset!A97,tbMoveset!A2:I112,9,FALSE)="Ice",Backdoors!BE40,IF(VLOOKUP(tbMoveset!A97,tbMoveset!A2:I112,9,FALSE)="Dragon",Backdoors!BF40,Backdoors!BG40)))))/100,Backdoors!BG40/100),"")</f>
        <v>0</v>
      </c>
      <c r="JC97" s="49">
        <f>IFERROR(IF(VLOOKUP(A97,tbMoveset!A2:J112,10,FALSE)=TRUE,IF((Backdoors!AI12+IF(JA97&gt;=0.45,VLOOKUP(Calculator!E23,tbSkills!DH3:DI6,2,FALSE)+IF(AND(Calculator!B8=TRUE,Backdoors!BI40=TRUE),VLOOKUP(Calculator!E23,tbSkills!DH3:DJ6,3,FALSE),0),0))&gt;=0,1+(Backdoors!AL2*(IF((Backdoors!AI12+IF(JA97&gt;=0.45,VLOOKUP(Calculator!E23,tbSkills!DH3:DI6,2,FALSE)+IF(AND(Calculator!B8=TRUE,Backdoors!BI40=TRUE),VLOOKUP(Calculator!E23,tbSkills!DH3:DJ6,3,FALSE),0),0))&gt;=100,100,(Backdoors!AI12+IF(JA97&gt;=0.45,VLOOKUP(Calculator!E23,tbSkills!DH3:DI6,2,FALSE)+IF(AND(Calculator!B8=TRUE,Backdoors!BI40=TRUE),VLOOKUP(Calculator!E23,tbSkills!DH3:DJ6,3,FALSE),0),0)))/100)),(1-(0.25*((-Backdoors!AI12-IF(JA97&gt;=0.45,VLOOKUP(Calculator!E23,tbSkills!DH3:DI6,2,FALSE)+IF(AND(Calculator!B8=TRUE,Backdoors!BI40=TRUE),VLOOKUP(Calculator!E23,tbSkills!DH3:DJ6,3,FALSE),0),0))/100)))),1),"")</f>
        <v>1</v>
      </c>
      <c r="JD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A97)*JC97)*(VLOOKUP(A97,tbMoveset!A2:C112,3,FALSE)/100)*IF(VLOOKUP(A97,tbMoveset!A2:B112,2,FALSE)="Projectile",Backdoors!N10,Backdoors!N9),0),"")</f>
        <v/>
      </c>
      <c r="JE97" s="49">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42&gt;0,VLOOKUP(Calculator!E42,tbSkills!AC3:AD5,2,FALSE),Backdoors!AL3)*(IF((Backdoors!AI12+IF(JA97&gt;=0.45,VLOOKUP(Calculator!E23,tbSkills!DH3:DI6,2,FALSE)+IF(AND(Calculator!B8=TRUE,Backdoors!BI40=TRUE),VLOOKUP(Calculator!E23,tbSkills!DH3:DJ6,3,FALSE),0),0))&gt;=100,100,(Backdoors!AI12+IF(JA97&gt;=0.45,VLOOKUP(Calculator!E23,tbSkills!DH3:DI6,2,FALSE)+IF(AND(Calculator!B8=TRUE,Backdoors!BI40=TRUE),VLOOKUP(Calculator!E23,tbSkills!DH3:DJ6,3,FALSE),0),0)))/100)),1))*IF(VLOOKUP(A97,tbMoveset!A2:K112,11,FALSE)=TRUE,Backdoors!AC5,1))*JB97,0),"")</f>
        <v>0</v>
      </c>
      <c r="JF97" s="49">
        <f>VLOOKUP(A97,tbMoveset!A2:G112,7,FALSE)*IFERROR(IF(Backdoors!AI12&gt;=0,1+(IF(Calculator!E40&gt;0,VLOOKUP(Calculator!E40,tbSkills!AI3:AJ5,2,FALSE),Backdoors!AL4)*(IF((Backdoors!AI12+IF(JA97&gt;=0.45,VLOOKUP(Calculator!E23,tbSkills!DH3:DI6,2,FALSE)+IF(AND(Calculator!B8=TRUE,Backdoors!BI40=TRUE),VLOOKUP(Calculator!E23,tbSkills!DH3:DJ6,3,FALSE),0),0))&gt;=100,100,(Backdoors!AI12+IF(JA97&gt;=0.45,VLOOKUP(Calculator!E23,tbSkills!DH3:DI6,2,FALSE)+IF(AND(Calculator!B8=TRUE,Backdoors!BI40=TRUE),VLOOKUP(Calculator!E23,tbSkills!DH3:DJ6,3,FALSE),0),0)))/100)),1),1)</f>
        <v>0.7</v>
      </c>
      <c r="JG97" s="87">
        <f t="shared" si="88"/>
        <v>0</v>
      </c>
      <c r="JH97" s="86" t="str">
        <f>IFERROR(IF(VLOOKUP(A97,tbMoveset!A2:B112,2,FALSE)="Sever",Backdoors!AY41/100,IF(VLOOKUP(A97,tbMoveset!A2:B112,2,FALSE)="Blunt",Backdoors!AZ41/100,Backdoors!BA41/100)),"")</f>
        <v/>
      </c>
      <c r="JI97" s="49">
        <f>IFERROR(IF(VLOOKUP(tbMoveset!A97,tbMoveset!A2:H112,8,FALSE)="Other",IF(VLOOKUP(tbMoveset!A97,tbMoveset!A2:I112,9,FALSE)="Fire",Backdoors!BB41,IF(VLOOKUP(tbMoveset!A97,tbMoveset!A2:I112,9,FALSE)="Water",Backdoors!BC41,IF(VLOOKUP(tbMoveset!A97,tbMoveset!A2:I112,9,FALSE)="Thunder",Backdoors!BD41,IF(VLOOKUP(tbMoveset!A97,tbMoveset!A2:I112,9,FALSE)="Ice",Backdoors!BE41,IF(VLOOKUP(tbMoveset!A97,tbMoveset!A2:I112,9,FALSE)="Dragon",Backdoors!BF41,Backdoors!BG41)))))/100,Backdoors!BG41/100),"")</f>
        <v>0</v>
      </c>
      <c r="JJ97" s="49">
        <f>IFERROR(IF(VLOOKUP(A97,tbMoveset!A2:J112,10,FALSE)=TRUE,IF((Backdoors!AI12+IF(JH97&gt;=0.45,VLOOKUP(Calculator!E23,tbSkills!DH3:DI6,2,FALSE)+IF(AND(Calculator!B8=TRUE,Backdoors!BI41=TRUE),VLOOKUP(Calculator!E23,tbSkills!DH3:DJ6,3,FALSE),0),0))&gt;=0,1+(Backdoors!AL2*(IF((Backdoors!AI12+IF(JH97&gt;=0.45,VLOOKUP(Calculator!E23,tbSkills!DH3:DI6,2,FALSE)+IF(AND(Calculator!B8=TRUE,Backdoors!BI41=TRUE),VLOOKUP(Calculator!E23,tbSkills!DH3:DJ6,3,FALSE),0),0))&gt;=100,100,(Backdoors!AI12+IF(JH97&gt;=0.45,VLOOKUP(Calculator!E23,tbSkills!DH3:DI6,2,FALSE)+IF(AND(Calculator!B8=TRUE,Backdoors!BI41=TRUE),VLOOKUP(Calculator!E23,tbSkills!DH3:DJ6,3,FALSE),0),0)))/100)),(1-(0.25*((-Backdoors!AI12-IF(JH97&gt;=0.45,VLOOKUP(Calculator!E23,tbSkills!DH3:DI6,2,FALSE)+IF(AND(Calculator!B8=TRUE,Backdoors!BI41=TRUE),VLOOKUP(Calculator!E23,tbSkills!DH3:DJ6,3,FALSE),0),0))/100)))),1),"")</f>
        <v>1</v>
      </c>
      <c r="JK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H97)*JJ97)*(VLOOKUP(A97,tbMoveset!A2:C112,3,FALSE)/100)*IF(VLOOKUP(A97,tbMoveset!A2:B112,2,FALSE)="Projectile",Backdoors!N10,Backdoors!N9),0),"")</f>
        <v/>
      </c>
      <c r="JL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43&gt;0,VLOOKUP(Calculator!E43,tbSkills!AC3:AD5,2,FALSE),Backdoors!AL3)*(IF((Backdoors!AI12+IF(JH97&gt;=0.45,VLOOKUP(Calculator!E23,tbSkills!DH3:DI6,2,FALSE)+IF(AND(Calculator!B8=TRUE,Backdoors!BI41=TRUE),VLOOKUP(Calculator!E23,tbSkills!DH3:DJ6,3,FALSE),0),0))&gt;=100,100,(Backdoors!AI12+IF(JH97&gt;=0.45,VLOOKUP(Calculator!E23,tbSkills!DH3:DI6,2,FALSE)+IF(AND(Calculator!B8=TRUE,Backdoors!BI41=TRUE),VLOOKUP(Calculator!E23,tbSkills!DH3:DJ6,3,FALSE),0),0)))/100)),1))*IF(VLOOKUP(A97,tbMoveset!A2:K112,11,FALSE)=TRUE,Backdoors!AC5,1))*JI97,0),"")</f>
        <v/>
      </c>
      <c r="JM97" s="49">
        <f>VLOOKUP(A97,tbMoveset!A2:G112,7,FALSE)*IFERROR(IF(Backdoors!AI12&gt;=0,1+(IF(Calculator!E40&gt;0,VLOOKUP(Calculator!E40,tbSkills!AI3:AJ5,2,FALSE),Backdoors!AL4)*(IF((Backdoors!AI12+IF(JH97&gt;=0.45,VLOOKUP(Calculator!E23,tbSkills!DH3:DI6,2,FALSE)+IF(AND(Calculator!B8=TRUE,Backdoors!BI41=TRUE),VLOOKUP(Calculator!E23,tbSkills!DH3:DJ6,3,FALSE),0),0))&gt;=100,100,(Backdoors!AI12+IF(JH97&gt;=0.45,VLOOKUP(Calculator!E23,tbSkills!DH3:DI6,2,FALSE)+IF(AND(Calculator!B8=TRUE,Backdoors!BI41=TRUE),VLOOKUP(Calculator!E23,tbSkills!DH3:DJ6,3,FALSE),0),0)))/100)),1),1)</f>
        <v>0.7</v>
      </c>
      <c r="JN97" s="87">
        <f t="shared" si="89"/>
        <v>0</v>
      </c>
      <c r="JO97" s="86" t="str">
        <f>IFERROR(IF(VLOOKUP(A97,tbMoveset!A2:B112,2,FALSE)="Sever",Backdoors!AY42/100,IF(VLOOKUP(A97,tbMoveset!A2:B112,2,FALSE)="Blunt",Backdoors!AZ42/100,Backdoors!BA42/100)),"")</f>
        <v/>
      </c>
      <c r="JP97" s="49">
        <f>IFERROR(IF(VLOOKUP(tbMoveset!A97,tbMoveset!A2:H112,8,FALSE)="Other",IF(VLOOKUP(tbMoveset!A97,tbMoveset!A2:I112,9,FALSE)="Fire",Backdoors!BB42,IF(VLOOKUP(tbMoveset!A97,tbMoveset!A2:I112,9,FALSE)="Water",Backdoors!BC42,IF(VLOOKUP(tbMoveset!A97,tbMoveset!A2:I112,9,FALSE)="Thunder",Backdoors!BD42,IF(VLOOKUP(tbMoveset!A97,tbMoveset!A2:I112,9,FALSE)="Ice",Backdoors!BE42,IF(VLOOKUP(tbMoveset!A97,tbMoveset!A2:I112,9,FALSE)="Dragon",Backdoors!BF42,Backdoors!BG42)))))/100,Backdoors!BG42/100),"")</f>
        <v>0</v>
      </c>
      <c r="JQ97" s="49">
        <f>IFERROR(IF(VLOOKUP(A97,tbMoveset!A2:J112,10,FALSE)=TRUE,IF((Backdoors!AI12+IF(JO97&gt;=0.45,VLOOKUP(Calculator!E23,tbSkills!DH3:DI6,2,FALSE)+IF(AND(Calculator!B8=TRUE,Backdoors!BI42=TRUE),VLOOKUP(Calculator!E23,tbSkills!DH3:DJ6,3,FALSE),0),0))&gt;=0,1+(Backdoors!AL2*(IF((Backdoors!AI12+IF(JO97&gt;=0.45,VLOOKUP(Calculator!E23,tbSkills!DH3:DI6,2,FALSE)+IF(AND(Calculator!B8=TRUE,Backdoors!BI42=TRUE),VLOOKUP(Calculator!E23,tbSkills!DH3:DJ6,3,FALSE),0),0))&gt;=100,100,(Backdoors!AI12+IF(JO97&gt;=0.45,VLOOKUP(Calculator!E23,tbSkills!DH3:DI6,2,FALSE)+IF(AND(Calculator!B8=TRUE,Backdoors!BI42=TRUE),VLOOKUP(Calculator!E23,tbSkills!DH3:DJ6,3,FALSE),0),0)))/100)),(1-(0.25*((-Backdoors!AI12-IF(JO97&gt;=0.45,VLOOKUP(Calculator!E23,tbSkills!DH3:DI6,2,FALSE)+IF(AND(Calculator!B8=TRUE,Backdoors!BI42=TRUE),VLOOKUP(Calculator!E23,tbSkills!DH3:DJ6,3,FALSE),0),0))/100)))),1),"")</f>
        <v>1</v>
      </c>
      <c r="JR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O97)*JQ97)*(VLOOKUP(A97,tbMoveset!A2:C112,3,FALSE)/100)*IF(VLOOKUP(A97,tbMoveset!A2:B112,2,FALSE)="Projectile",Backdoors!N10,Backdoors!N9),0),"")</f>
        <v/>
      </c>
      <c r="JS97" s="49">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45&gt;0,VLOOKUP(Calculator!E45,tbSkills!AC3:AD5,2,FALSE),Backdoors!AL3)*(IF((Backdoors!AI12+IF(JO97&gt;=0.45,VLOOKUP(Calculator!E23,tbSkills!DH3:DI6,2,FALSE)+IF(AND(Calculator!B8=TRUE,Backdoors!BI42=TRUE),VLOOKUP(Calculator!E23,tbSkills!DH3:DJ6,3,FALSE),0),0))&gt;=100,100,(Backdoors!AI12+IF(JO97&gt;=0.45,VLOOKUP(Calculator!E23,tbSkills!DH3:DI6,2,FALSE)+IF(AND(Calculator!B8=TRUE,Backdoors!BI42=TRUE),VLOOKUP(Calculator!E23,tbSkills!DH3:DJ6,3,FALSE),0),0)))/100)),1))*IF(VLOOKUP(A97,tbMoveset!A2:K112,11,FALSE)=TRUE,Backdoors!AC5,1))*JP97,0),"")</f>
        <v>0</v>
      </c>
      <c r="JT97" s="49">
        <f>VLOOKUP(A97,tbMoveset!A2:G112,7,FALSE)*IFERROR(IF(Backdoors!AI12&gt;=0,1+(IF(Calculator!E40&gt;0,VLOOKUP(Calculator!E40,tbSkills!AI3:AJ5,2,FALSE),Backdoors!AL4)*(IF((Backdoors!AI12+IF(JO97&gt;=0.45,VLOOKUP(Calculator!E23,tbSkills!DH3:DI6,2,FALSE)+IF(AND(Calculator!B8=TRUE,Backdoors!BI42=TRUE),VLOOKUP(Calculator!E23,tbSkills!DH3:DJ6,3,FALSE),0),0))&gt;=100,100,(Backdoors!AI12+IF(JO97&gt;=0.45,VLOOKUP(Calculator!E23,tbSkills!DH3:DI6,2,FALSE)+IF(AND(Calculator!B8=TRUE,Backdoors!BI42=TRUE),VLOOKUP(Calculator!E23,tbSkills!DH3:DJ6,3,FALSE),0),0)))/100)),1),1)</f>
        <v>0.7</v>
      </c>
      <c r="JU97" s="87">
        <f t="shared" si="90"/>
        <v>0</v>
      </c>
      <c r="JV97" s="86" t="str">
        <f>IFERROR(IF(VLOOKUP(A97,tbMoveset!A2:B112,2,FALSE)="Sever",Backdoors!AY43/100,IF(VLOOKUP(A97,tbMoveset!A2:B112,2,FALSE)="Blunt",Backdoors!AZ43/100,Backdoors!BA43/100)),"")</f>
        <v/>
      </c>
      <c r="JW97" s="49">
        <f>IFERROR(IF(VLOOKUP(tbMoveset!A97,tbMoveset!A2:H112,8,FALSE)="Other",IF(VLOOKUP(tbMoveset!A97,tbMoveset!A2:I112,9,FALSE)="Fire",Backdoors!BB43,IF(VLOOKUP(tbMoveset!A97,tbMoveset!A2:I112,9,FALSE)="Water",Backdoors!BC43,IF(VLOOKUP(tbMoveset!A97,tbMoveset!A2:I112,9,FALSE)="Thunder",Backdoors!BD43,IF(VLOOKUP(tbMoveset!A97,tbMoveset!A2:I112,9,FALSE)="Ice",Backdoors!BE43,IF(VLOOKUP(tbMoveset!A97,tbMoveset!A2:I112,9,FALSE)="Dragon",Backdoors!BF43,Backdoors!BG43)))))/100,Backdoors!BG43/100),"")</f>
        <v>0</v>
      </c>
      <c r="JX97" s="49">
        <f>IFERROR(IF(VLOOKUP(A97,tbMoveset!A2:J112,10,FALSE)=TRUE,IF((Backdoors!AI12+IF(JV97&gt;=0.45,VLOOKUP(Calculator!E23,tbSkills!DH3:DI6,2,FALSE)+IF(AND(Calculator!B8=TRUE,Backdoors!BI43=TRUE),VLOOKUP(Calculator!E23,tbSkills!DH3:DJ6,3,FALSE),0),0))&gt;=0,1+(Backdoors!AL2*(IF((Backdoors!AI12+IF(JV97&gt;=0.45,VLOOKUP(Calculator!E23,tbSkills!DH3:DI6,2,FALSE)+IF(AND(Calculator!B8=TRUE,Backdoors!BI43=TRUE),VLOOKUP(Calculator!E23,tbSkills!DH3:DJ6,3,FALSE),0),0))&gt;=100,100,(Backdoors!AI12+IF(JV97&gt;=0.45,VLOOKUP(Calculator!E23,tbSkills!DH3:DI6,2,FALSE)+IF(AND(Calculator!B8=TRUE,Backdoors!BI43=TRUE),VLOOKUP(Calculator!E23,tbSkills!DH3:DJ6,3,FALSE),0),0)))/100)),(1-(0.25*((-Backdoors!AI12-IF(JV97&gt;=0.45,VLOOKUP(Calculator!E23,tbSkills!DH3:DI6,2,FALSE)+IF(AND(Calculator!B8=TRUE,Backdoors!BI43=TRUE),VLOOKUP(Calculator!E23,tbSkills!DH3:DJ6,3,FALSE),0),0))/100)))),1),"")</f>
        <v>1</v>
      </c>
      <c r="JY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V97)*JX97)*(VLOOKUP(A97,tbMoveset!A2:C112,3,FALSE)/100)*IF(VLOOKUP(A97,tbMoveset!A2:B112,2,FALSE)="Projectile",Backdoors!N10,Backdoors!N9),0),"")</f>
        <v/>
      </c>
      <c r="JZ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46&gt;0,VLOOKUP(Calculator!E46,tbSkills!AC3:AD5,2,FALSE),Backdoors!AL3)*(IF((Backdoors!AI12+IF(JV97&gt;=0.45,VLOOKUP(Calculator!E23,tbSkills!DH3:DI6,2,FALSE)+IF(AND(Calculator!B8=TRUE,Backdoors!BI43=TRUE),VLOOKUP(Calculator!E23,tbSkills!DH3:DJ6,3,FALSE),0),0))&gt;=100,100,(Backdoors!AI12+IF(JV97&gt;=0.45,VLOOKUP(Calculator!E23,tbSkills!DH3:DI6,2,FALSE)+IF(AND(Calculator!B8=TRUE,Backdoors!BI43=TRUE),VLOOKUP(Calculator!E23,tbSkills!DH3:DJ6,3,FALSE),0),0)))/100)),1))*IF(VLOOKUP(A97,tbMoveset!A2:K112,11,FALSE)=TRUE,Backdoors!AC5,1))*JW97,0),"")</f>
        <v/>
      </c>
      <c r="KA97" s="49">
        <f>VLOOKUP(A97,tbMoveset!A2:G112,7,FALSE)*IFERROR(IF(Backdoors!AI12&gt;=0,1+(IF(Calculator!E40&gt;0,VLOOKUP(Calculator!E40,tbSkills!AI3:AJ5,2,FALSE),Backdoors!AL4)*(IF((Backdoors!AI12+IF(JV97&gt;=0.45,VLOOKUP(Calculator!E23,tbSkills!DH3:DI6,2,FALSE)+IF(AND(Calculator!B8=TRUE,Backdoors!BI43=TRUE),VLOOKUP(Calculator!E23,tbSkills!DH3:DJ6,3,FALSE),0),0))&gt;=100,100,(Backdoors!AI12+IF(JV97&gt;=0.45,VLOOKUP(Calculator!E23,tbSkills!DH3:DI6,2,FALSE)+IF(AND(Calculator!B8=TRUE,Backdoors!BI43=TRUE),VLOOKUP(Calculator!E23,tbSkills!DH3:DJ6,3,FALSE),0),0)))/100)),1),1)</f>
        <v>0.7</v>
      </c>
      <c r="KB97" s="87">
        <f t="shared" si="91"/>
        <v>0</v>
      </c>
      <c r="KC97" s="86" t="str">
        <f>IFERROR(IF(VLOOKUP(A97,tbMoveset!A2:B112,2,FALSE)="Sever",Backdoors!AY44/100,IF(VLOOKUP(A97,tbMoveset!A2:B112,2,FALSE)="Blunt",Backdoors!AZ44/100,Backdoors!BA44/100)),"")</f>
        <v/>
      </c>
      <c r="KD97" s="49">
        <f>IFERROR(IF(VLOOKUP(tbMoveset!A97,tbMoveset!A2:H112,8,FALSE)="Other",IF(VLOOKUP(tbMoveset!A97,tbMoveset!A2:I112,9,FALSE)="Fire",Backdoors!BB44,IF(VLOOKUP(tbMoveset!A97,tbMoveset!A2:I112,9,FALSE)="Water",Backdoors!BC44,IF(VLOOKUP(tbMoveset!A97,tbMoveset!A2:I112,9,FALSE)="Thunder",Backdoors!BD44,IF(VLOOKUP(tbMoveset!A97,tbMoveset!A2:I112,9,FALSE)="Ice",Backdoors!BE44,IF(VLOOKUP(tbMoveset!A97,tbMoveset!A2:I112,9,FALSE)="Dragon",Backdoors!BF44,Backdoors!BG44)))))/100,Backdoors!BG44/100),"")</f>
        <v>0</v>
      </c>
      <c r="KE97" s="49">
        <f>IFERROR(IF(VLOOKUP(A97,tbMoveset!A2:J112,10,FALSE)=TRUE,IF((Backdoors!AI12+IF(KC97&gt;=0.45,VLOOKUP(Calculator!E23,tbSkills!DH3:DI6,2,FALSE)+IF(AND(Calculator!B8=TRUE,Backdoors!BI44=TRUE),VLOOKUP(Calculator!E23,tbSkills!DH3:DJ6,3,FALSE),0),0))&gt;=0,1+(Backdoors!AL2*(IF((Backdoors!AI12+IF(KC97&gt;=0.45,VLOOKUP(Calculator!E23,tbSkills!DH3:DI6,2,FALSE)+IF(AND(Calculator!B8=TRUE,Backdoors!BI44=TRUE),VLOOKUP(Calculator!E23,tbSkills!DH3:DJ6,3,FALSE),0),0))&gt;=100,100,(Backdoors!AI12+IF(KC97&gt;=0.45,VLOOKUP(Calculator!E23,tbSkills!DH3:DI6,2,FALSE)+IF(AND(Calculator!B8=TRUE,Backdoors!BI44=TRUE),VLOOKUP(Calculator!E23,tbSkills!DH3:DJ6,3,FALSE),0),0)))/100)),(1-(0.25*((-Backdoors!AI12-IF(KC97&gt;=0.45,VLOOKUP(Calculator!E23,tbSkills!DH3:DI6,2,FALSE)+IF(AND(Calculator!B8=TRUE,Backdoors!BI44=TRUE),VLOOKUP(Calculator!E23,tbSkills!DH3:DJ6,3,FALSE),0),0))/100)))),1),"")</f>
        <v>1</v>
      </c>
      <c r="KF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KC97)*KE97)*(VLOOKUP(A97,tbMoveset!A2:C112,3,FALSE)/100)*IF(VLOOKUP(A97,tbMoveset!A2:B112,2,FALSE)="Projectile",Backdoors!N10,Backdoors!N9),0),"")</f>
        <v/>
      </c>
      <c r="KG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REF!&gt;0,VLOOKUP(Calculator!#REF!,tbSkills!AC3:AD5,2,FALSE),Backdoors!AL3)*(IF((Backdoors!AI12+IF(KC97&gt;=0.45,VLOOKUP(Calculator!E23,tbSkills!DH3:DI6,2,FALSE)+IF(AND(Calculator!B8=TRUE,Backdoors!BI44=TRUE),VLOOKUP(Calculator!E23,tbSkills!DH3:DJ6,3,FALSE),0),0))&gt;=100,100,(Backdoors!AI12+IF(KC97&gt;=0.45,VLOOKUP(Calculator!E23,tbSkills!DH3:DI6,2,FALSE)+IF(AND(Calculator!B8=TRUE,Backdoors!BI44=TRUE),VLOOKUP(Calculator!E23,tbSkills!DH3:DJ6,3,FALSE),0),0)))/100)),1))*IF(VLOOKUP(A97,tbMoveset!A2:K112,11,FALSE)=TRUE,Backdoors!AC5,1))*KD97,0),"")</f>
        <v/>
      </c>
      <c r="KH97" s="49">
        <f>VLOOKUP(A97,tbMoveset!A2:G112,7,FALSE)*IFERROR(IF(Backdoors!AI12&gt;=0,1+(IF(Calculator!E40&gt;0,VLOOKUP(Calculator!E40,tbSkills!AI3:AJ5,2,FALSE),Backdoors!AL4)*(IF((Backdoors!AI12+IF(KC97&gt;=0.45,VLOOKUP(Calculator!E23,tbSkills!DH3:DI6,2,FALSE)+IF(AND(Calculator!B8=TRUE,Backdoors!BI44=TRUE),VLOOKUP(Calculator!E23,tbSkills!DH3:DJ6,3,FALSE),0),0))&gt;=100,100,(Backdoors!AI12+IF(KC97&gt;=0.45,VLOOKUP(Calculator!E23,tbSkills!DH3:DI6,2,FALSE)+IF(AND(Calculator!B8=TRUE,Backdoors!BI44=TRUE),VLOOKUP(Calculator!E23,tbSkills!DH3:DJ6,3,FALSE),0),0)))/100)),1),1)</f>
        <v>0.7</v>
      </c>
      <c r="KI97" s="87">
        <f t="shared" si="92"/>
        <v>0</v>
      </c>
      <c r="KJ97" s="86" t="str">
        <f>IFERROR(IF(VLOOKUP(A97,tbMoveset!A2:B112,2,FALSE)="Sever",Backdoors!AY45/100,IF(VLOOKUP(A97,tbMoveset!A2:B112,2,FALSE)="Blunt",Backdoors!AZ45/100,Backdoors!BA45/100)),"")</f>
        <v/>
      </c>
      <c r="KK97" s="49">
        <f>IFERROR(IF(VLOOKUP(tbMoveset!A97,tbMoveset!A2:H112,8,FALSE)="Other",IF(VLOOKUP(tbMoveset!A97,tbMoveset!A2:I112,9,FALSE)="Fire",Backdoors!BB45,IF(VLOOKUP(tbMoveset!A97,tbMoveset!A2:I112,9,FALSE)="Water",Backdoors!BC45,IF(VLOOKUP(tbMoveset!A97,tbMoveset!A2:I112,9,FALSE)="Thunder",Backdoors!BD45,IF(VLOOKUP(tbMoveset!A97,tbMoveset!A2:I112,9,FALSE)="Ice",Backdoors!BE45,IF(VLOOKUP(tbMoveset!A97,tbMoveset!A2:I112,9,FALSE)="Dragon",Backdoors!BF45,Backdoors!BG45)))))/100,Backdoors!BG45/100),"")</f>
        <v>0</v>
      </c>
      <c r="KL97" s="49">
        <f>IFERROR(IF(VLOOKUP(A97,tbMoveset!A2:J112,10,FALSE)=TRUE,IF((Backdoors!AI12+IF(KJ97&gt;=0.45,VLOOKUP(Calculator!E23,tbSkills!DH3:DI6,2,FALSE)+IF(AND(Calculator!B8=TRUE,Backdoors!BI45=TRUE),VLOOKUP(Calculator!E23,tbSkills!DH3:DJ6,3,FALSE),0),0))&gt;=0,1+(Backdoors!AL2*(IF((Backdoors!AI12+IF(KJ97&gt;=0.45,VLOOKUP(Calculator!E23,tbSkills!DH3:DI6,2,FALSE)+IF(AND(Calculator!B8=TRUE,Backdoors!BI45=TRUE),VLOOKUP(Calculator!E23,tbSkills!DH3:DJ6,3,FALSE),0),0))&gt;=100,100,(Backdoors!AI12+IF(KJ97&gt;=0.45,VLOOKUP(Calculator!E23,tbSkills!DH3:DI6,2,FALSE)+IF(AND(Calculator!B8=TRUE,Backdoors!BI45=TRUE),VLOOKUP(Calculator!E23,tbSkills!DH3:DJ6,3,FALSE),0),0)))/100)),(1-(0.25*((-Backdoors!AI12-IF(KJ97&gt;=0.45,VLOOKUP(Calculator!E23,tbSkills!DH3:DI6,2,FALSE)+IF(AND(Calculator!B8=TRUE,Backdoors!BI45=TRUE),VLOOKUP(Calculator!E23,tbSkills!DH3:DJ6,3,FALSE),0),0))/100)))),1),"")</f>
        <v>1</v>
      </c>
      <c r="KM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KJ97)*KL97)*(VLOOKUP(A97,tbMoveset!A2:C112,3,FALSE)/100)*IF(VLOOKUP(A97,tbMoveset!A2:B112,2,FALSE)="Projectile",Backdoors!N10,Backdoors!N9),0),"")</f>
        <v/>
      </c>
      <c r="KN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REF!&gt;0,VLOOKUP(Calculator!#REF!,tbSkills!AC3:AD5,2,FALSE),Backdoors!AL3)*(IF((Backdoors!AI12+IF(KJ97&gt;=0.45,VLOOKUP(Calculator!E23,tbSkills!DH3:DI6,2,FALSE)+IF(AND(Calculator!B8=TRUE,Backdoors!BI45=TRUE),VLOOKUP(Calculator!E23,tbSkills!DH3:DJ6,3,FALSE),0),0))&gt;=100,100,(Backdoors!AI12+IF(KJ97&gt;=0.45,VLOOKUP(Calculator!E23,tbSkills!DH3:DI6,2,FALSE)+IF(AND(Calculator!B8=TRUE,Backdoors!BI45=TRUE),VLOOKUP(Calculator!E23,tbSkills!DH3:DJ6,3,FALSE),0),0)))/100)),1))*IF(VLOOKUP(A97,tbMoveset!A2:K112,11,FALSE)=TRUE,Backdoors!AC5,1))*KK97,0),"")</f>
        <v/>
      </c>
      <c r="KO97" s="49">
        <f>VLOOKUP(A97,tbMoveset!A2:G112,7,FALSE)*IFERROR(IF(Backdoors!AI12&gt;=0,1+(IF(Calculator!E40&gt;0,VLOOKUP(Calculator!E40,tbSkills!AI3:AJ5,2,FALSE),Backdoors!AL4)*(IF((Backdoors!AI12+IF(KJ97&gt;=0.45,VLOOKUP(Calculator!E23,tbSkills!DH3:DI6,2,FALSE)+IF(AND(Calculator!B8=TRUE,Backdoors!BI45=TRUE),VLOOKUP(Calculator!E23,tbSkills!DH3:DJ6,3,FALSE),0),0))&gt;=100,100,(Backdoors!AI12+IF(KJ97&gt;=0.45,VLOOKUP(Calculator!E23,tbSkills!DH3:DI6,2,FALSE)+IF(AND(Calculator!B8=TRUE,Backdoors!BI45=TRUE),VLOOKUP(Calculator!E23,tbSkills!DH3:DJ6,3,FALSE),0),0)))/100)),1),1)</f>
        <v>0.7</v>
      </c>
      <c r="KP97" s="87">
        <f t="shared" si="93"/>
        <v>0</v>
      </c>
      <c r="KQ97" s="86" t="str">
        <f>IFERROR(IF(VLOOKUP(A97,tbMoveset!A2:B112,2,FALSE)="Sever",Backdoors!AY46/100,IF(VLOOKUP(A97,tbMoveset!A2:B112,2,FALSE)="Blunt",Backdoors!AZ46/100,Backdoors!BA46/100)),"")</f>
        <v/>
      </c>
      <c r="KR97" s="49">
        <f>IFERROR(IF(VLOOKUP(tbMoveset!A97,tbMoveset!A2:H112,8,FALSE)="Other",IF(VLOOKUP(tbMoveset!A97,tbMoveset!A2:I112,9,FALSE)="Fire",Backdoors!BB46,IF(VLOOKUP(tbMoveset!A97,tbMoveset!A2:I112,9,FALSE)="Water",Backdoors!BC46,IF(VLOOKUP(tbMoveset!A97,tbMoveset!A2:I112,9,FALSE)="Thunder",Backdoors!BD46,IF(VLOOKUP(tbMoveset!A97,tbMoveset!A2:I112,9,FALSE)="Ice",Backdoors!BE46,IF(VLOOKUP(tbMoveset!A97,tbMoveset!A2:I112,9,FALSE)="Dragon",Backdoors!BF46,Backdoors!BG46)))))/100,Backdoors!BG46/100),"")</f>
        <v>0</v>
      </c>
      <c r="KS97" s="49">
        <f>IFERROR(IF(VLOOKUP(A97,tbMoveset!A2:J112,10,FALSE)=TRUE,IF((Backdoors!AI12+IF(KQ97&gt;=0.45,VLOOKUP(Calculator!E23,tbSkills!DH3:DI6,2,FALSE)+IF(AND(Calculator!B8=TRUE,Backdoors!BI46=TRUE),VLOOKUP(Calculator!E23,tbSkills!DH3:DJ6,3,FALSE),0),0))&gt;=0,1+(Backdoors!AL2*(IF((Backdoors!AI12+IF(KQ97&gt;=0.45,VLOOKUP(Calculator!E23,tbSkills!DH3:DI6,2,FALSE)+IF(AND(Calculator!B8=TRUE,Backdoors!BI46=TRUE),VLOOKUP(Calculator!E23,tbSkills!DH3:DJ6,3,FALSE),0),0))&gt;=100,100,(Backdoors!AI12+IF(KQ97&gt;=0.45,VLOOKUP(Calculator!E23,tbSkills!DH3:DI6,2,FALSE)+IF(AND(Calculator!B8=TRUE,Backdoors!BI46=TRUE),VLOOKUP(Calculator!E23,tbSkills!DH3:DJ6,3,FALSE),0),0)))/100)),(1-(0.25*((-Backdoors!AI12-IF(KQ97&gt;=0.45,VLOOKUP(Calculator!E23,tbSkills!DH3:DI6,2,FALSE)+IF(AND(Calculator!B8=TRUE,Backdoors!BI46=TRUE),VLOOKUP(Calculator!E23,tbSkills!DH3:DJ6,3,FALSE),0),0))/100)))),1),"")</f>
        <v>1</v>
      </c>
      <c r="KT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KQ97)*KS97)*(VLOOKUP(A97,tbMoveset!A2:C112,3,FALSE)/100)*IF(VLOOKUP(A97,tbMoveset!A2:B112,2,FALSE)="Projectile",Backdoors!N10,Backdoors!N9),0),"")</f>
        <v/>
      </c>
      <c r="KU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REF!&gt;0,VLOOKUP(Calculator!#REF!,tbSkills!AC3:AD5,2,FALSE),Backdoors!AL3)*(IF((Backdoors!AI12+IF(KQ97&gt;=0.45,VLOOKUP(Calculator!E23,tbSkills!DH3:DI6,2,FALSE)+IF(AND(Calculator!B8=TRUE,Backdoors!BI46=TRUE),VLOOKUP(Calculator!E23,tbSkills!DH3:DJ6,3,FALSE),0),0))&gt;=100,100,(Backdoors!AI12+IF(KQ97&gt;=0.45,VLOOKUP(Calculator!E23,tbSkills!DH3:DI6,2,FALSE)+IF(AND(Calculator!B8=TRUE,Backdoors!BI46=TRUE),VLOOKUP(Calculator!E23,tbSkills!DH3:DJ6,3,FALSE),0),0)))/100)),1))*IF(VLOOKUP(A97,tbMoveset!A2:K112,11,FALSE)=TRUE,Backdoors!AC5,1))*KR97,0),"")</f>
        <v/>
      </c>
      <c r="KV97" s="49">
        <f>VLOOKUP(A97,tbMoveset!A2:G112,7,FALSE)*IFERROR(IF(Backdoors!AI12&gt;=0,1+(IF(Calculator!E40&gt;0,VLOOKUP(Calculator!E40,tbSkills!AI3:AJ5,2,FALSE),Backdoors!AL4)*(IF((Backdoors!AI12+IF(KQ97&gt;=0.45,VLOOKUP(Calculator!E23,tbSkills!DH3:DI6,2,FALSE)+IF(AND(Calculator!B8=TRUE,Backdoors!BI46=TRUE),VLOOKUP(Calculator!E23,tbSkills!DH3:DJ6,3,FALSE),0),0))&gt;=100,100,(Backdoors!AI12+IF(KQ97&gt;=0.45,VLOOKUP(Calculator!E23,tbSkills!DH3:DI6,2,FALSE)+IF(AND(Calculator!B8=TRUE,Backdoors!BI46=TRUE),VLOOKUP(Calculator!E23,tbSkills!DH3:DJ6,3,FALSE),0),0)))/100)),1),1)</f>
        <v>0.7</v>
      </c>
      <c r="KW97" s="87">
        <f t="shared" si="94"/>
        <v>0</v>
      </c>
    </row>
    <row r="98" spans="1:309" x14ac:dyDescent="0.25">
      <c r="A98" s="95" t="str">
        <f>tbMoveset!A98</f>
        <v>[Clutching] Weapon Attack (R4 Repeated)</v>
      </c>
      <c r="B98" s="86">
        <f>IFERROR(IF(VLOOKUP(A98,tbMoveset!A2:B112,2,FALSE)="Sever",Backdoors!AY3/100,IF(VLOOKUP(A98,tbMoveset!A2:B112,2,FALSE)="Blunt",Backdoors!AZ3/100,Backdoors!BA3/100)),"")</f>
        <v>0.8</v>
      </c>
      <c r="C98" s="49">
        <f>IFERROR(IF(VLOOKUP(tbMoveset!A98,tbMoveset!A2:H112,8,FALSE)="Other",IF(VLOOKUP(tbMoveset!A98,tbMoveset!A2:I112,9,FALSE)="Fire",Backdoors!BB3,IF(VLOOKUP(tbMoveset!A98,tbMoveset!A2:I112,9,FALSE)="Water",Backdoors!BC3,IF(VLOOKUP(tbMoveset!A98,tbMoveset!A2:I112,9,FALSE)="Thunder",Backdoors!BD3,IF(VLOOKUP(tbMoveset!A98,tbMoveset!A2:I112,9,FALSE)="Ice",Backdoors!BE3,IF(VLOOKUP(tbMoveset!A98,tbMoveset!A2:I112,9,FALSE)="Dragon",Backdoors!BF3,Backdoors!BG3)))))/100,Backdoors!BG3/100),"")</f>
        <v>0</v>
      </c>
      <c r="D98" s="49">
        <f>IFERROR(IF(VLOOKUP(A98,tbMoveset!A2:J112,10,FALSE)=TRUE,IF((Backdoors!AI12+IF(B98&gt;=0.45,VLOOKUP(Calculator!E23,tbSkills!DH3:DI6,2,FALSE)+IF(AND(Calculator!B8=TRUE,Backdoors!BI3=TRUE),VLOOKUP(Calculator!E23,tbSkills!DH3:DJ6,3,FALSE),0),0))&gt;=0,1+(Backdoors!AL2*(IF((Backdoors!AI12+IF(B98&gt;=0.45,VLOOKUP(Calculator!E23,tbSkills!DH3:DI6,2,FALSE)+IF(AND(Calculator!B8=TRUE,Backdoors!BI3=TRUE),VLOOKUP(Calculator!E23,tbSkills!DH3:DJ6,3,FALSE),0),0))&gt;=100,100,(Backdoors!AI12+IF(B98&gt;=0.45,VLOOKUP(Calculator!E23,tbSkills!DH3:DI6,2,FALSE)+IF(AND(Calculator!B8=TRUE,Backdoors!BI3=TRUE),VLOOKUP(Calculator!E23,tbSkills!DH3:DJ6,3,FALSE),0),0)))/100)),(1-(0.25*((-Backdoors!AI12-IF(B98&gt;=0.45,VLOOKUP(Calculator!E23,tbSkills!DH3:DI6,2,FALSE)+IF(AND(Calculator!B8=TRUE,Backdoors!BI3=TRUE),VLOOKUP(Calculator!E23,tbSkills!DH3:DJ6,3,FALSE),0),0))/100)))),1),"")</f>
        <v>1</v>
      </c>
      <c r="E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98)*D98)*(VLOOKUP(A98,tbMoveset!A2:C112,3,FALSE)/100)*IF(VLOOKUP(A98,tbMoveset!A2:B112,2,FALSE)="Projectile",Backdoors!N10,Backdoors!N9),0),"")</f>
        <v>6</v>
      </c>
      <c r="F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98&gt;=0.45,VLOOKUP(Calculator!E23,tbSkills!DH3:DI6,2,FALSE)+IF(AND(Calculator!B8=TRUE,Backdoors!BI3=TRUE),VLOOKUP(Calculator!E23,tbSkills!DH3:DJ6,3,FALSE),0),0))&gt;=100,100,(Backdoors!AI12+IF(B98&gt;=0.45,VLOOKUP(Calculator!E23,tbSkills!DH3:DI6,2,FALSE)+IF(AND(Calculator!B8=TRUE,Backdoors!BI3=TRUE),VLOOKUP(Calculator!E23,tbSkills!DH3:DJ6,3,FALSE),0),0)))/100)),1))*IF(VLOOKUP(A98,tbMoveset!A2:K112,11,FALSE)=TRUE,Backdoors!AC5,1))*C98,0),"")</f>
        <v>0</v>
      </c>
      <c r="G98">
        <f>VLOOKUP(A98,tbMoveset!A2:G112,7,FALSE)*IFERROR(IF(Backdoors!AI12&gt;=0,1+(IF(Calculator!E40&gt;0,VLOOKUP(Calculator!E40,tbSkills!AI3:AJ5,2,FALSE),Backdoors!AL4)*(IF((Backdoors!AI12+IF(B98&gt;=0.45,VLOOKUP(Calculator!E23,tbSkills!DH3:DI6,2,FALSE)+IF(AND(Calculator!B8=TRUE,Backdoors!BI3=TRUE),VLOOKUP(Calculator!E23,tbSkills!DH3:DJ6,3,FALSE),0),0))&gt;=100,100,(Backdoors!AI12+IF(B98&gt;=0.45,VLOOKUP(Calculator!E23,tbSkills!DH3:DI6,2,FALSE)+IF(AND(Calculator!B8=TRUE,Backdoors!BI3=TRUE),VLOOKUP(Calculator!E23,tbSkills!DH3:DJ6,3,FALSE),0),0)))/100)),1),1)</f>
        <v>0.7</v>
      </c>
      <c r="H98" s="87">
        <f t="shared" si="51"/>
        <v>6</v>
      </c>
      <c r="I98" s="86">
        <f>IFERROR(IF(VLOOKUP(A98,tbMoveset!A2:B112,2,FALSE)="Sever",Backdoors!AY4/100,IF(VLOOKUP(A98,tbMoveset!A2:B112,2,FALSE)="Blunt",Backdoors!AZ4/100,Backdoors!BA4/100)),"")</f>
        <v>0.65</v>
      </c>
      <c r="J98" s="49">
        <f>IFERROR(IF(VLOOKUP(tbMoveset!A98,tbMoveset!A2:H112,8,FALSE)="Other",IF(VLOOKUP(tbMoveset!A98,tbMoveset!A2:I112,9,FALSE)="Fire",Backdoors!BB4,IF(VLOOKUP(tbMoveset!A98,tbMoveset!A2:I112,9,FALSE)="Water",Backdoors!BC4,IF(VLOOKUP(tbMoveset!A98,tbMoveset!A2:I112,9,FALSE)="Thunder",Backdoors!BD4,IF(VLOOKUP(tbMoveset!A98,tbMoveset!A2:I112,9,FALSE)="Ice",Backdoors!BE4,IF(VLOOKUP(tbMoveset!A98,tbMoveset!A2:I112,9,FALSE)="Dragon",Backdoors!BF4,Backdoors!BG4)))))/100,Backdoors!BG4/100),"")</f>
        <v>0</v>
      </c>
      <c r="K98" s="49">
        <f>IFERROR(IF(VLOOKUP(A98,tbMoveset!A2:J112,10,FALSE)=TRUE,IF((Backdoors!AI12+IF(I98&gt;=0.45,VLOOKUP(Calculator!E23,tbSkills!DH3:DI6,2,FALSE)+IF(AND(Calculator!B8=TRUE,Backdoors!BI4=TRUE),VLOOKUP(Calculator!E23,tbSkills!DH3:DJ6,3,FALSE),0),0))&gt;=0,1+(Backdoors!AL2*(IF((Backdoors!AI12+IF(I98&gt;=0.45,VLOOKUP(Calculator!E23,tbSkills!DH3:DI6,2,FALSE)+IF(AND(Calculator!B8=TRUE,Backdoors!BI4=TRUE),VLOOKUP(Calculator!E23,tbSkills!DH3:DJ6,3,FALSE),0),0))&gt;=100,100,(Backdoors!AI12+IF(I98&gt;=0.45,VLOOKUP(Calculator!E23,tbSkills!DH3:DI6,2,FALSE)+IF(AND(Calculator!B8=TRUE,Backdoors!BI4=TRUE),VLOOKUP(Calculator!E23,tbSkills!DH3:DJ6,3,FALSE),0),0)))/100)),(1-(0.25*((-Backdoors!AI12-IF(I98&gt;=0.45,VLOOKUP(Calculator!E23,tbSkills!DH3:DI6,2,FALSE)+IF(AND(Calculator!B8=TRUE,Backdoors!BI4=TRUE),VLOOKUP(Calculator!E23,tbSkills!DH3:DJ6,3,FALSE),0),0))/100)))),1),"")</f>
        <v>1</v>
      </c>
      <c r="L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98)*K98)*(VLOOKUP(A98,tbMoveset!A2:C112,3,FALSE)/100)*IF(VLOOKUP(A98,tbMoveset!A2:B112,2,FALSE)="Projectile",Backdoors!N10,Backdoors!N9),0),"")</f>
        <v>5</v>
      </c>
      <c r="M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I98&gt;=0.45,VLOOKUP(Calculator!E23,tbSkills!DH3:DI6,2,FALSE)+IF(AND(Calculator!B8=TRUE,Backdoors!BI4=TRUE),VLOOKUP(Calculator!E23,tbSkills!DH3:DJ6,3,FALSE),0),0))&gt;=100,100,(Backdoors!AI12+IF(I98&gt;=0.45,VLOOKUP(Calculator!E23,tbSkills!DH3:DI6,2,FALSE)+IF(AND(Calculator!B8=TRUE,Backdoors!BI4=TRUE),VLOOKUP(Calculator!E23,tbSkills!DH3:DJ6,3,FALSE),0),0)))/100)),1))*IF(VLOOKUP(A98,tbMoveset!A2:K112,11,FALSE)=TRUE,Backdoors!AC5,1))*J98,0),"")</f>
        <v>0</v>
      </c>
      <c r="N98" s="49">
        <f>VLOOKUP(A98,tbMoveset!A2:G112,7,FALSE)*IFERROR(IF(Backdoors!AI12&gt;=0,1+(IF(Calculator!E40&gt;0,VLOOKUP(Calculator!E40,tbSkills!AI3:AJ5,2,FALSE),Backdoors!AL4)*(IF((Backdoors!AI12+IF(I98&gt;=0.45,VLOOKUP(Calculator!E23,tbSkills!DH3:DI6,2,FALSE)+IF(AND(Calculator!B8=TRUE,Backdoors!BI4=TRUE),VLOOKUP(Calculator!E23,tbSkills!DH3:DJ6,3,FALSE),0),0))&gt;=100,100,(Backdoors!AI12+IF(I98&gt;=0.45,VLOOKUP(Calculator!E23,tbSkills!DH3:DI6,2,FALSE)+IF(AND(Calculator!B8=TRUE,Backdoors!BI4=TRUE),VLOOKUP(Calculator!E23,tbSkills!DH3:DJ6,3,FALSE),0),0)))/100)),1),1)</f>
        <v>0.7</v>
      </c>
      <c r="O98" s="87">
        <f t="shared" si="52"/>
        <v>5</v>
      </c>
      <c r="P98" s="86">
        <f>IFERROR(IF(VLOOKUP(A98,tbMoveset!A2:B112,2,FALSE)="Sever",Backdoors!AY5/100,IF(VLOOKUP(A98,tbMoveset!A2:B112,2,FALSE)="Blunt",Backdoors!AZ5/100,Backdoors!BA5/100)),"")</f>
        <v>0.5</v>
      </c>
      <c r="Q98" s="49">
        <f>IFERROR(IF(VLOOKUP(tbMoveset!A98,tbMoveset!A2:H112,8,FALSE)="Other",IF(VLOOKUP(tbMoveset!A98,tbMoveset!A2:I112,9,FALSE)="Fire",Backdoors!BB5,IF(VLOOKUP(tbMoveset!A98,tbMoveset!A2:I112,9,FALSE)="Water",Backdoors!BC5,IF(VLOOKUP(tbMoveset!A98,tbMoveset!A2:I112,9,FALSE)="Thunder",Backdoors!BD5,IF(VLOOKUP(tbMoveset!A98,tbMoveset!A2:I112,9,FALSE)="Ice",Backdoors!BE5,IF(VLOOKUP(tbMoveset!A98,tbMoveset!A2:I112,9,FALSE)="Dragon",Backdoors!BF5,Backdoors!BG5)))))/100,Backdoors!BG5/100),"")</f>
        <v>0</v>
      </c>
      <c r="R98" s="49">
        <f>IFERROR(IF(VLOOKUP(A98,tbMoveset!A2:J112,10,FALSE)=TRUE,IF((Backdoors!AI12+IF(P98&gt;=0.45,VLOOKUP(Calculator!E23,tbSkills!DH3:DI6,2,FALSE)+IF(AND(Calculator!B8=TRUE,Backdoors!BI5=TRUE),VLOOKUP(Calculator!E23,tbSkills!DH3:DJ6,3,FALSE),0),0))&gt;=0,1+(Backdoors!AL2*(IF((Backdoors!AI12+IF(P98&gt;=0.45,VLOOKUP(Calculator!E23,tbSkills!DH3:DI6,2,FALSE)+IF(AND(Calculator!B8=TRUE,Backdoors!BI5=TRUE),VLOOKUP(Calculator!E23,tbSkills!DH3:DJ6,3,FALSE),0),0))&gt;=100,100,(Backdoors!AI12+IF(P98&gt;=0.45,VLOOKUP(Calculator!E23,tbSkills!DH3:DI6,2,FALSE)+IF(AND(Calculator!B8=TRUE,Backdoors!BI5=TRUE),VLOOKUP(Calculator!E23,tbSkills!DH3:DJ6,3,FALSE),0),0)))/100)),(1-(0.25*((-Backdoors!AI12-IF(P98&gt;=0.45,VLOOKUP(Calculator!E23,tbSkills!DH3:DI6,2,FALSE)+IF(AND(Calculator!B8=TRUE,Backdoors!BI5=TRUE),VLOOKUP(Calculator!E23,tbSkills!DH3:DJ6,3,FALSE),0),0))/100)))),1),"")</f>
        <v>1</v>
      </c>
      <c r="S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P98)*R98)*(VLOOKUP(A98,tbMoveset!A2:C112,3,FALSE)/100)*IF(VLOOKUP(A98,tbMoveset!A2:B112,2,FALSE)="Projectile",Backdoors!N10,Backdoors!N9),0),"")</f>
        <v>4</v>
      </c>
      <c r="T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P98&gt;=0.45,VLOOKUP(Calculator!E23,tbSkills!DH3:DI6,2,FALSE)+IF(AND(Calculator!B8=TRUE,Backdoors!BI5=TRUE),VLOOKUP(Calculator!E23,tbSkills!DH3:DJ6,3,FALSE),0),0))&gt;=100,100,(Backdoors!AI12+IF(P98&gt;=0.45,VLOOKUP(Calculator!E23,tbSkills!DH3:DI6,2,FALSE)+IF(AND(Calculator!B8=TRUE,Backdoors!BI5=TRUE),VLOOKUP(Calculator!E23,tbSkills!DH3:DJ6,3,FALSE),0),0)))/100)),1))*IF(VLOOKUP(A98,tbMoveset!A2:K112,11,FALSE)=TRUE,Backdoors!AC5,1))*Q98,0),"")</f>
        <v>0</v>
      </c>
      <c r="U98" s="49">
        <f>VLOOKUP(A98,tbMoveset!A2:G112,7,FALSE)*IFERROR(IF(Backdoors!AI12&gt;=0,1+(IF(Calculator!E40&gt;0,VLOOKUP(Calculator!E40,tbSkills!AI3:AJ5,2,FALSE),Backdoors!AL4)*(IF((Backdoors!AI12+IF(P98&gt;=0.45,VLOOKUP(Calculator!E23,tbSkills!DH3:DI6,2,FALSE)+IF(AND(Calculator!B8=TRUE,Backdoors!BI5=TRUE),VLOOKUP(Calculator!E23,tbSkills!DH3:DJ6,3,FALSE),0),0))&gt;=100,100,(Backdoors!AI12+IF(P98&gt;=0.45,VLOOKUP(Calculator!E23,tbSkills!DH3:DI6,2,FALSE)+IF(AND(Calculator!B8=TRUE,Backdoors!BI5=TRUE),VLOOKUP(Calculator!E23,tbSkills!DH3:DJ6,3,FALSE),0),0)))/100)),1),1)</f>
        <v>0.7</v>
      </c>
      <c r="V98" s="87">
        <f t="shared" si="53"/>
        <v>4</v>
      </c>
      <c r="W98" s="86">
        <f>IFERROR(IF(VLOOKUP(A98,tbMoveset!A2:B112,2,FALSE)="Sever",Backdoors!AY6/100,IF(VLOOKUP(A98,tbMoveset!A2:B112,2,FALSE)="Blunt",Backdoors!AZ6/100,Backdoors!BA6/100)),"")</f>
        <v>0.45</v>
      </c>
      <c r="X98" s="49">
        <f>IFERROR(IF(VLOOKUP(tbMoveset!A98,tbMoveset!A2:H112,8,FALSE)="Other",IF(VLOOKUP(tbMoveset!A98,tbMoveset!A2:I112,9,FALSE)="Fire",Backdoors!BB6,IF(VLOOKUP(tbMoveset!A98,tbMoveset!A2:I112,9,FALSE)="Water",Backdoors!BC6,IF(VLOOKUP(tbMoveset!A98,tbMoveset!A2:I112,9,FALSE)="Thunder",Backdoors!BD6,IF(VLOOKUP(tbMoveset!A98,tbMoveset!A2:I112,9,FALSE)="Ice",Backdoors!BE6,IF(VLOOKUP(tbMoveset!A98,tbMoveset!A2:I112,9,FALSE)="Dragon",Backdoors!BF6,Backdoors!BG6)))))/100,Backdoors!BG6/100),"")</f>
        <v>0</v>
      </c>
      <c r="Y98" s="49">
        <f>IFERROR(IF(VLOOKUP(A98,tbMoveset!A2:J112,10,FALSE)=TRUE,IF((Backdoors!AI12+IF(W98&gt;=0.45,VLOOKUP(Calculator!E23,tbSkills!DH3:DI6,2,FALSE)+IF(AND(Calculator!B8=TRUE,Backdoors!BI6=TRUE),VLOOKUP(Calculator!E23,tbSkills!DH3:DJ6,3,FALSE),0),0))&gt;=0,1+(Backdoors!AL2*(IF((Backdoors!AI12+IF(W98&gt;=0.45,VLOOKUP(Calculator!E23,tbSkills!DH3:DI6,2,FALSE)+IF(AND(Calculator!B8=TRUE,Backdoors!BI6=TRUE),VLOOKUP(Calculator!E23,tbSkills!DH3:DJ6,3,FALSE),0),0))&gt;=100,100,(Backdoors!AI12+IF(W98&gt;=0.45,VLOOKUP(Calculator!E23,tbSkills!DH3:DI6,2,FALSE)+IF(AND(Calculator!B8=TRUE,Backdoors!BI6=TRUE),VLOOKUP(Calculator!E23,tbSkills!DH3:DJ6,3,FALSE),0),0)))/100)),(1-(0.25*((-Backdoors!AI12-IF(W98&gt;=0.45,VLOOKUP(Calculator!E23,tbSkills!DH3:DI6,2,FALSE)+IF(AND(Calculator!B8=TRUE,Backdoors!BI6=TRUE),VLOOKUP(Calculator!E23,tbSkills!DH3:DJ6,3,FALSE),0),0))/100)))),1),"")</f>
        <v>1</v>
      </c>
      <c r="Z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W98)*Y98)*(VLOOKUP(A98,tbMoveset!A2:C112,3,FALSE)/100)*IF(VLOOKUP(A98,tbMoveset!A2:B112,2,FALSE)="Projectile",Backdoors!N10,Backdoors!N9),0),"")</f>
        <v>3</v>
      </c>
      <c r="AA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W98&gt;=0.45,VLOOKUP(Calculator!E23,tbSkills!DH3:DI6,2,FALSE)+IF(AND(Calculator!B8=TRUE,Backdoors!BI6=TRUE),VLOOKUP(Calculator!E23,tbSkills!DH3:DJ6,3,FALSE),0),0))&gt;=100,100,(Backdoors!AI12+IF(W98&gt;=0.45,VLOOKUP(Calculator!E23,tbSkills!DH3:DI6,2,FALSE)+IF(AND(Calculator!B8=TRUE,Backdoors!BI6=TRUE),VLOOKUP(Calculator!E23,tbSkills!DH3:DJ6,3,FALSE),0),0)))/100)),1))*IF(VLOOKUP(A98,tbMoveset!A2:K112,11,FALSE)=TRUE,Backdoors!AC5,1))*X98,0),"")</f>
        <v>0</v>
      </c>
      <c r="AB98" s="49">
        <f>VLOOKUP(A98,tbMoveset!A2:G112,7,FALSE)*IFERROR(IF(Backdoors!AI12&gt;=0,1+(IF(Calculator!E40&gt;0,VLOOKUP(Calculator!E40,tbSkills!AI3:AJ5,2,FALSE),Backdoors!AL4)*(IF((Backdoors!AI12+IF(W98&gt;=0.45,VLOOKUP(Calculator!E23,tbSkills!DH3:DI6,2,FALSE)+IF(AND(Calculator!B8=TRUE,Backdoors!BI6=TRUE),VLOOKUP(Calculator!E23,tbSkills!DH3:DJ6,3,FALSE),0),0))&gt;=100,100,(Backdoors!AI12+IF(W98&gt;=0.45,VLOOKUP(Calculator!E23,tbSkills!DH3:DI6,2,FALSE)+IF(AND(Calculator!B8=TRUE,Backdoors!BI6=TRUE),VLOOKUP(Calculator!E23,tbSkills!DH3:DJ6,3,FALSE),0),0)))/100)),1),1)</f>
        <v>0.7</v>
      </c>
      <c r="AC98" s="87">
        <f t="shared" si="54"/>
        <v>3</v>
      </c>
      <c r="AD98" s="86">
        <f>IFERROR(IF(VLOOKUP(A98,tbMoveset!A2:B112,2,FALSE)="Sever",Backdoors!AY7/100,IF(VLOOKUP(A98,tbMoveset!A2:B112,2,FALSE)="Blunt",Backdoors!AZ7/100,Backdoors!BA7/100)),"")</f>
        <v>0.65</v>
      </c>
      <c r="AE98" s="49">
        <f>IFERROR(IF(VLOOKUP(tbMoveset!A98,tbMoveset!A2:H112,8,FALSE)="Other",IF(VLOOKUP(tbMoveset!A98,tbMoveset!A2:I112,9,FALSE)="Fire",Backdoors!BB7,IF(VLOOKUP(tbMoveset!A98,tbMoveset!A2:I112,9,FALSE)="Water",Backdoors!BC7,IF(VLOOKUP(tbMoveset!A98,tbMoveset!A2:I112,9,FALSE)="Thunder",Backdoors!BD7,IF(VLOOKUP(tbMoveset!A98,tbMoveset!A2:I112,9,FALSE)="Ice",Backdoors!BE7,IF(VLOOKUP(tbMoveset!A98,tbMoveset!A2:I112,9,FALSE)="Dragon",Backdoors!BF7,Backdoors!BG7)))))/100,Backdoors!BG7/100),"")</f>
        <v>0</v>
      </c>
      <c r="AF98" s="49">
        <f>IFERROR(IF(VLOOKUP(A98,tbMoveset!A2:J112,10,FALSE)=TRUE,IF((Backdoors!AI12+IF(AD98&gt;=0.45,VLOOKUP(Calculator!E23,tbSkills!DH3:DI6,2,FALSE)+IF(AND(Calculator!B8=TRUE,Backdoors!BI7=TRUE),VLOOKUP(Calculator!E23,tbSkills!DH3:DJ6,3,FALSE),0),0))&gt;=0,1+(Backdoors!AL2*(IF((Backdoors!AI12+IF(AD98&gt;=0.45,VLOOKUP(Calculator!E23,tbSkills!DH3:DI6,2,FALSE)+IF(AND(Calculator!B8=TRUE,Backdoors!BI7=TRUE),VLOOKUP(Calculator!E23,tbSkills!DH3:DJ6,3,FALSE),0),0))&gt;=100,100,(Backdoors!AI12+IF(AD98&gt;=0.45,VLOOKUP(Calculator!E23,tbSkills!DH3:DI6,2,FALSE)+IF(AND(Calculator!B8=TRUE,Backdoors!BI7=TRUE),VLOOKUP(Calculator!E23,tbSkills!DH3:DJ6,3,FALSE),0),0)))/100)),(1-(0.25*((-Backdoors!AI12-IF(AD98&gt;=0.45,VLOOKUP(Calculator!E23,tbSkills!DH3:DI6,2,FALSE)+IF(AND(Calculator!B8=TRUE,Backdoors!BI7=TRUE),VLOOKUP(Calculator!E23,tbSkills!DH3:DJ6,3,FALSE),0),0))/100)))),1),"")</f>
        <v>1</v>
      </c>
      <c r="AG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D98)*AF98)*(VLOOKUP(A98,tbMoveset!A2:C112,3,FALSE)/100)*IF(VLOOKUP(A98,tbMoveset!A2:B112,2,FALSE)="Projectile",Backdoors!N10,Backdoors!N9),0),"")</f>
        <v>5</v>
      </c>
      <c r="AH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D98&gt;=0.45,VLOOKUP(Calculator!E23,tbSkills!DH3:DI6,2,FALSE)+IF(AND(Calculator!B8=TRUE,Backdoors!BI7=TRUE),VLOOKUP(Calculator!E23,tbSkills!DH3:DJ6,3,FALSE),0),0))&gt;=100,100,(Backdoors!AI12+IF(AD98&gt;=0.45,VLOOKUP(Calculator!E23,tbSkills!DH3:DI6,2,FALSE)+IF(AND(Calculator!B8=TRUE,Backdoors!BI7=TRUE),VLOOKUP(Calculator!E23,tbSkills!DH3:DJ6,3,FALSE),0),0)))/100)),1))*IF(VLOOKUP(A98,tbMoveset!A2:K112,11,FALSE)=TRUE,Backdoors!AC5,1))*AE98,0),"")</f>
        <v>0</v>
      </c>
      <c r="AI98" s="49">
        <f>VLOOKUP(A98,tbMoveset!A2:G112,7,FALSE)*IFERROR(IF(Backdoors!AI12&gt;=0,1+(IF(Calculator!E40&gt;0,VLOOKUP(Calculator!E40,tbSkills!AI3:AJ5,2,FALSE),Backdoors!AL4)*(IF((Backdoors!AI12+IF(AD98&gt;=0.45,VLOOKUP(Calculator!E23,tbSkills!DH3:DI6,2,FALSE)+IF(AND(Calculator!B8=TRUE,Backdoors!BI7=TRUE),VLOOKUP(Calculator!E23,tbSkills!DH3:DJ6,3,FALSE),0),0))&gt;=100,100,(Backdoors!AI12+IF(AD98&gt;=0.45,VLOOKUP(Calculator!E23,tbSkills!DH3:DI6,2,FALSE)+IF(AND(Calculator!B8=TRUE,Backdoors!BI7=TRUE),VLOOKUP(Calculator!E23,tbSkills!DH3:DJ6,3,FALSE),0),0)))/100)),1),1)</f>
        <v>0.7</v>
      </c>
      <c r="AJ98" s="87">
        <f t="shared" si="55"/>
        <v>5</v>
      </c>
      <c r="AK98" s="91">
        <f>IFERROR(IF(VLOOKUP(A98,tbMoveset!A2:B112,2,FALSE)="Sever",Backdoors!AY8/100,IF(VLOOKUP(A98,tbMoveset!A2:B112,2,FALSE)="Blunt",Backdoors!AZ8/100,Backdoors!BA8/100)),"")</f>
        <v>0.45</v>
      </c>
      <c r="AL98" s="49">
        <f>IFERROR(IF(VLOOKUP(tbMoveset!A98,tbMoveset!A2:H112,8,FALSE)="Other",IF(VLOOKUP(tbMoveset!A98,tbMoveset!A2:I112,9,FALSE)="Fire",Backdoors!BB8,IF(VLOOKUP(tbMoveset!A98,tbMoveset!A2:I112,9,FALSE)="Water",Backdoors!BC8,IF(VLOOKUP(tbMoveset!A98,tbMoveset!A2:I112,9,FALSE)="Thunder",Backdoors!BD8,IF(VLOOKUP(tbMoveset!A98,tbMoveset!A2:I112,9,FALSE)="Ice",Backdoors!BE8,IF(VLOOKUP(tbMoveset!A98,tbMoveset!A2:I112,9,FALSE)="Dragon",Backdoors!BF8,Backdoors!BG8)))))/100,Backdoors!BG8/100),"")</f>
        <v>0</v>
      </c>
      <c r="AM98" s="49">
        <f>IFERROR(IF(VLOOKUP(A98,tbMoveset!A2:J112,10,FALSE)=TRUE,IF((Backdoors!AI12+IF(AK98&gt;=0.45,VLOOKUP(Calculator!E23,tbSkills!DH3:DI6,2,FALSE)+IF(AND(Calculator!B8=TRUE,Backdoors!BI8=TRUE),VLOOKUP(Calculator!E23,tbSkills!DH3:DJ6,3,FALSE),0),0))&gt;=0,1+(Backdoors!AL2*(IF((Backdoors!AI12+IF(AK98&gt;=0.45,VLOOKUP(Calculator!E23,tbSkills!DH3:DI6,2,FALSE)+IF(AND(Calculator!B8=TRUE,Backdoors!BI8=TRUE),VLOOKUP(Calculator!E23,tbSkills!DH3:DJ6,3,FALSE),0),0))&gt;=100,100,(Backdoors!AI12+IF(AK98&gt;=0.45,VLOOKUP(Calculator!E23,tbSkills!DH3:DI6,2,FALSE)+IF(AND(Calculator!B8=TRUE,Backdoors!BI8=TRUE),VLOOKUP(Calculator!E23,tbSkills!DH3:DJ6,3,FALSE),0),0)))/100)),(1-(0.25*((-Backdoors!AI12-IF(AK98&gt;=0.45,VLOOKUP(Calculator!E23,tbSkills!DH3:DI6,2,FALSE)+IF(AND(Calculator!B8=TRUE,Backdoors!BI8=TRUE),VLOOKUP(Calculator!E23,tbSkills!DH3:DJ6,3,FALSE),0),0))/100)))),1),"")</f>
        <v>1</v>
      </c>
      <c r="AN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K98)*AM98)*(VLOOKUP(A98,tbMoveset!A2:C112,3,FALSE)/100)*IF(VLOOKUP(A98,tbMoveset!A2:B112,2,FALSE)="Projectile",Backdoors!N10,Backdoors!N9),0),"")</f>
        <v>3</v>
      </c>
      <c r="AO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K98&gt;=0.45,VLOOKUP(Calculator!E23,tbSkills!DH3:DI6,2,FALSE)+IF(AND(Calculator!B8=TRUE,Backdoors!BI8=TRUE),VLOOKUP(Calculator!E23,tbSkills!DH3:DJ6,3,FALSE),0),0))&gt;=100,100,(Backdoors!AI12+IF(AK98&gt;=0.45,VLOOKUP(Calculator!E23,tbSkills!DH3:DI6,2,FALSE)+IF(AND(Calculator!B8=TRUE,Backdoors!BI8=TRUE),VLOOKUP(Calculator!E23,tbSkills!DH3:DJ6,3,FALSE),0),0)))/100)),1))*IF(VLOOKUP(A98,tbMoveset!A2:K112,11,FALSE)=TRUE,Backdoors!AC5,1))*AL98,0),"")</f>
        <v>0</v>
      </c>
      <c r="AP98" s="49">
        <f>VLOOKUP(A98,tbMoveset!A2:G112,7,FALSE)*IFERROR(IF(Backdoors!AI12&gt;=0,1+(IF(Calculator!E40&gt;0,VLOOKUP(Calculator!E40,tbSkills!AI3:AJ5,2,FALSE),Backdoors!AL4)*(IF((Backdoors!AI12+IF(AK98&gt;=0.45,VLOOKUP(Calculator!E23,tbSkills!DH3:DI6,2,FALSE)+IF(AND(Calculator!B8=TRUE,Backdoors!BI8=TRUE),VLOOKUP(Calculator!E23,tbSkills!DH3:DJ6,3,FALSE),0),0))&gt;=100,100,(Backdoors!AI12+IF(AK98&gt;=0.45,VLOOKUP(Calculator!E23,tbSkills!DH3:DI6,2,FALSE)+IF(AND(Calculator!B8=TRUE,Backdoors!BI8=TRUE),VLOOKUP(Calculator!E23,tbSkills!DH3:DJ6,3,FALSE),0),0)))/100)),1),1)</f>
        <v>0.7</v>
      </c>
      <c r="AQ98" s="87">
        <f t="shared" si="56"/>
        <v>3</v>
      </c>
      <c r="AR98" s="86">
        <f>IFERROR(IF(VLOOKUP(A98,tbMoveset!A2:B112,2,FALSE)="Sever",Backdoors!AY9/100,IF(VLOOKUP(A98,tbMoveset!A2:B112,2,FALSE)="Blunt",Backdoors!AZ9/100,Backdoors!BA9/100)),"")</f>
        <v>0.45</v>
      </c>
      <c r="AS98" s="49">
        <f>IFERROR(IF(VLOOKUP(tbMoveset!A98,tbMoveset!A2:H112,8,FALSE)="Other",IF(VLOOKUP(tbMoveset!A98,tbMoveset!A2:I112,9,FALSE)="Fire",Backdoors!BB9,IF(VLOOKUP(tbMoveset!A98,tbMoveset!A2:I112,9,FALSE)="Water",Backdoors!BC9,IF(VLOOKUP(tbMoveset!A98,tbMoveset!A2:I112,9,FALSE)="Thunder",Backdoors!BD9,IF(VLOOKUP(tbMoveset!A98,tbMoveset!A2:I112,9,FALSE)="Ice",Backdoors!BE9,IF(VLOOKUP(tbMoveset!A98,tbMoveset!A2:I112,9,FALSE)="Dragon",Backdoors!BF9,Backdoors!BG9)))))/100,Backdoors!BG9/100),"")</f>
        <v>0</v>
      </c>
      <c r="AT98" s="49">
        <f>IFERROR(IF(VLOOKUP(A98,tbMoveset!A2:J112,10,FALSE)=TRUE,IF((Backdoors!AI12+IF(AR98&gt;=0.45,VLOOKUP(Calculator!E23,tbSkills!DH3:DI6,2,FALSE)+IF(AND(Calculator!B8=TRUE,Backdoors!BI9=TRUE),VLOOKUP(Calculator!E23,tbSkills!DH3:DJ6,3,FALSE),0),0))&gt;=0,1+(Backdoors!AL2*(IF((Backdoors!AI12+IF(AR98&gt;=0.45,VLOOKUP(Calculator!E23,tbSkills!DH3:DI6,2,FALSE)+IF(AND(Calculator!B8=TRUE,Backdoors!BI9=TRUE),VLOOKUP(Calculator!E23,tbSkills!DH3:DJ6,3,FALSE),0),0))&gt;=100,100,(Backdoors!AI12+IF(AR98&gt;=0.45,VLOOKUP(Calculator!E23,tbSkills!DH3:DI6,2,FALSE)+IF(AND(Calculator!B8=TRUE,Backdoors!BI9=TRUE),VLOOKUP(Calculator!E23,tbSkills!DH3:DJ6,3,FALSE),0),0)))/100)),(1-(0.25*((-Backdoors!AI12-IF(AR98&gt;=0.45,VLOOKUP(Calculator!E23,tbSkills!DH3:DI6,2,FALSE)+IF(AND(Calculator!B8=TRUE,Backdoors!BI9=TRUE),VLOOKUP(Calculator!E23,tbSkills!DH3:DJ6,3,FALSE),0),0))/100)))),1),"")</f>
        <v>1</v>
      </c>
      <c r="AU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R98)*AT98)*(VLOOKUP(A98,tbMoveset!A2:C112,3,FALSE)/100)*IF(VLOOKUP(A98,tbMoveset!A2:B112,2,FALSE)="Projectile",Backdoors!N10,Backdoors!N9),0),"")</f>
        <v>3</v>
      </c>
      <c r="AV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R98&gt;=0.45,VLOOKUP(Calculator!E23,tbSkills!DH3:DI6,2,FALSE)+IF(AND(Calculator!B8=TRUE,Backdoors!BI9=TRUE),VLOOKUP(Calculator!E23,tbSkills!DH3:DJ6,3,FALSE),0),0))&gt;=100,100,(Backdoors!AI12+IF(AR98&gt;=0.45,VLOOKUP(Calculator!E23,tbSkills!DH3:DI6,2,FALSE)+IF(AND(Calculator!B8=TRUE,Backdoors!BI9=TRUE),VLOOKUP(Calculator!E23,tbSkills!DH3:DJ6,3,FALSE),0),0)))/100)),1))*IF(VLOOKUP(A98,tbMoveset!A2:K112,11,FALSE)=TRUE,Backdoors!AC5,1))*AS98,0),"")</f>
        <v>0</v>
      </c>
      <c r="AW98" s="49">
        <f>VLOOKUP(A98,tbMoveset!A2:G112,7,FALSE)*IFERROR(IF(Backdoors!AI12&gt;=0,1+(IF(Calculator!E40&gt;0,VLOOKUP(Calculator!E40,tbSkills!AI3:AJ5,2,FALSE),Backdoors!AL4)*(IF((Backdoors!AI12+IF(AR98&gt;=0.45,VLOOKUP(Calculator!E23,tbSkills!DH3:DI6,2,FALSE)+IF(AND(Calculator!B8=TRUE,Backdoors!BI9=TRUE),VLOOKUP(Calculator!E23,tbSkills!DH3:DJ6,3,FALSE),0),0))&gt;=100,100,(Backdoors!AI12+IF(AR98&gt;=0.45,VLOOKUP(Calculator!E23,tbSkills!DH3:DI6,2,FALSE)+IF(AND(Calculator!B8=TRUE,Backdoors!BI9=TRUE),VLOOKUP(Calculator!E23,tbSkills!DH3:DJ6,3,FALSE),0),0)))/100)),1),1)</f>
        <v>0.7</v>
      </c>
      <c r="AX98" s="87">
        <f t="shared" si="57"/>
        <v>3</v>
      </c>
      <c r="AY98" s="86">
        <f>IFERROR(IF(VLOOKUP(A98,tbMoveset!A2:B112,2,FALSE)="Sever",Backdoors!AY10/100,IF(VLOOKUP(A98,tbMoveset!A2:B112,2,FALSE)="Blunt",Backdoors!AZ10/100,Backdoors!BA10/100)),"")</f>
        <v>0.9</v>
      </c>
      <c r="AZ98" s="49">
        <f>IFERROR(IF(VLOOKUP(tbMoveset!A98,tbMoveset!A2:H112,8,FALSE)="Other",IF(VLOOKUP(tbMoveset!A98,tbMoveset!A2:I112,9,FALSE)="Fire",Backdoors!BB10,IF(VLOOKUP(tbMoveset!A98,tbMoveset!A2:I112,9,FALSE)="Water",Backdoors!BC10,IF(VLOOKUP(tbMoveset!A98,tbMoveset!A2:I112,9,FALSE)="Thunder",Backdoors!BD10,IF(VLOOKUP(tbMoveset!A98,tbMoveset!A2:I112,9,FALSE)="Ice",Backdoors!BE10,IF(VLOOKUP(tbMoveset!A98,tbMoveset!A2:I112,9,FALSE)="Dragon",Backdoors!BF10,Backdoors!BG10)))))/100,Backdoors!BG10/100),"")</f>
        <v>0</v>
      </c>
      <c r="BA98" s="49">
        <f>IFERROR(IF(VLOOKUP(A98,tbMoveset!A2:J112,10,FALSE)=TRUE,IF((Backdoors!AI12+IF(AY98&gt;=0.45,VLOOKUP(Calculator!E23,tbSkills!DH3:DI6,2,FALSE)+IF(AND(Calculator!B8=TRUE,Backdoors!BI10=TRUE),VLOOKUP(Calculator!E23,tbSkills!DH3:DJ6,3,FALSE),0),0))&gt;=0,1+(Backdoors!AL2*(IF((Backdoors!AI12+IF(AY98&gt;=0.45,VLOOKUP(Calculator!E23,tbSkills!DH3:DI6,2,FALSE)+IF(AND(Calculator!B8=TRUE,Backdoors!BI10=TRUE),VLOOKUP(Calculator!E23,tbSkills!DH3:DJ6,3,FALSE),0),0))&gt;=100,100,(Backdoors!AI12+IF(AY98&gt;=0.45,VLOOKUP(Calculator!E23,tbSkills!DH3:DI6,2,FALSE)+IF(AND(Calculator!B8=TRUE,Backdoors!BI10=TRUE),VLOOKUP(Calculator!E23,tbSkills!DH3:DJ6,3,FALSE),0),0)))/100)),(1-(0.25*((-Backdoors!AI12-IF(AY98&gt;=0.45,VLOOKUP(Calculator!E23,tbSkills!DH3:DI6,2,FALSE)+IF(AND(Calculator!B8=TRUE,Backdoors!BI10=TRUE),VLOOKUP(Calculator!E23,tbSkills!DH3:DJ6,3,FALSE),0),0))/100)))),1),"")</f>
        <v>1</v>
      </c>
      <c r="BB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Y98)*BA98)*(VLOOKUP(A98,tbMoveset!A2:C112,3,FALSE)/100)*IF(VLOOKUP(A98,tbMoveset!A2:B112,2,FALSE)="Projectile",Backdoors!N10,Backdoors!N9),0),"")</f>
        <v>7</v>
      </c>
      <c r="BC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Y98&gt;=0.45,VLOOKUP(Calculator!E23,tbSkills!DH3:DI6,2,FALSE)+IF(AND(Calculator!B8=TRUE,Backdoors!BI10=TRUE),VLOOKUP(Calculator!E23,tbSkills!DH3:DJ6,3,FALSE),0),0))&gt;=100,100,(Backdoors!AI12+IF(AY98&gt;=0.45,VLOOKUP(Calculator!E23,tbSkills!DH3:DI6,2,FALSE)+IF(AND(Calculator!B8=TRUE,Backdoors!BI10=TRUE),VLOOKUP(Calculator!E23,tbSkills!DH3:DJ6,3,FALSE),0),0)))/100)),1))*IF(VLOOKUP(A98,tbMoveset!A2:K112,11,FALSE)=TRUE,Backdoors!AC5,1))*AZ98,0),"")</f>
        <v>0</v>
      </c>
      <c r="BD98" s="49">
        <f>VLOOKUP(A98,tbMoveset!A2:G112,7,FALSE)*IFERROR(IF(Backdoors!AI12&gt;=0,1+(IF(Calculator!E40&gt;0,VLOOKUP(Calculator!E40,tbSkills!AI3:AJ5,2,FALSE),Backdoors!AL4)*(IF((Backdoors!AI12+IF(AY98&gt;=0.45,VLOOKUP(Calculator!E23,tbSkills!DH3:DI6,2,FALSE)+IF(AND(Calculator!B8=TRUE,Backdoors!BI10=TRUE),VLOOKUP(Calculator!E23,tbSkills!DH3:DJ6,3,FALSE),0),0))&gt;=100,100,(Backdoors!AI12+IF(AY98&gt;=0.45,VLOOKUP(Calculator!E23,tbSkills!DH3:DI6,2,FALSE)+IF(AND(Calculator!B8=TRUE,Backdoors!BI10=TRUE),VLOOKUP(Calculator!E23,tbSkills!DH3:DJ6,3,FALSE),0),0)))/100)),1),1)</f>
        <v>0.7</v>
      </c>
      <c r="BE98" s="87">
        <f t="shared" si="58"/>
        <v>7</v>
      </c>
      <c r="BF98" s="86" t="str">
        <f>IFERROR(IF(VLOOKUP(A98,tbMoveset!A2:B112,2,FALSE)="Sever",Backdoors!AY11/100,IF(VLOOKUP(A98,tbMoveset!A2:B112,2,FALSE)="Blunt",Backdoors!AZ11/100,Backdoors!BA11/100)),"")</f>
        <v/>
      </c>
      <c r="BG98" s="49">
        <f>IFERROR(IF(VLOOKUP(tbMoveset!A98,tbMoveset!A2:H112,8,FALSE)="Other",IF(VLOOKUP(tbMoveset!A98,tbMoveset!A2:I112,9,FALSE)="Fire",Backdoors!BB11,IF(VLOOKUP(tbMoveset!A98,tbMoveset!A2:I112,9,FALSE)="Water",Backdoors!BC11,IF(VLOOKUP(tbMoveset!A98,tbMoveset!A2:I112,9,FALSE)="Thunder",Backdoors!BD11,IF(VLOOKUP(tbMoveset!A98,tbMoveset!A2:I112,9,FALSE)="Ice",Backdoors!BE11,IF(VLOOKUP(tbMoveset!A98,tbMoveset!A2:I112,9,FALSE)="Dragon",Backdoors!BF11,Backdoors!BG11)))))/100,Backdoors!BG11/100),"")</f>
        <v>0</v>
      </c>
      <c r="BH98" s="49">
        <f>IFERROR(IF(VLOOKUP(A98,tbMoveset!A2:J112,10,FALSE)=TRUE,IF((Backdoors!AI12+IF(BF98&gt;=0.45,VLOOKUP(Calculator!E23,tbSkills!DH3:DI6,2,FALSE)+IF(AND(Calculator!B8=TRUE,Backdoors!BI11=TRUE),VLOOKUP(Calculator!E23,tbSkills!DH3:DJ6,3,FALSE),0),0))&gt;=0,1+(Backdoors!AL2*(IF((Backdoors!AI12+IF(BF98&gt;=0.45,VLOOKUP(Calculator!E23,tbSkills!DH3:DI6,2,FALSE)+IF(AND(Calculator!B8=TRUE,Backdoors!BI11=TRUE),VLOOKUP(Calculator!E23,tbSkills!DH3:DJ6,3,FALSE),0),0))&gt;=100,100,(Backdoors!AI12+IF(BF98&gt;=0.45,VLOOKUP(Calculator!E23,tbSkills!DH3:DI6,2,FALSE)+IF(AND(Calculator!B8=TRUE,Backdoors!BI11=TRUE),VLOOKUP(Calculator!E23,tbSkills!DH3:DJ6,3,FALSE),0),0)))/100)),(1-(0.25*((-Backdoors!AI12-IF(BF98&gt;=0.45,VLOOKUP(Calculator!E23,tbSkills!DH3:DI6,2,FALSE)+IF(AND(Calculator!B8=TRUE,Backdoors!BI11=TRUE),VLOOKUP(Calculator!E23,tbSkills!DH3:DJ6,3,FALSE),0),0))/100)))),1),"")</f>
        <v>1</v>
      </c>
      <c r="BI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F98)*BH98)*(VLOOKUP(A98,tbMoveset!A2:C112,3,FALSE)/100)*IF(VLOOKUP(A98,tbMoveset!A2:B112,2,FALSE)="Projectile",Backdoors!N10,Backdoors!N9),0),"")</f>
        <v/>
      </c>
      <c r="BJ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F98&gt;=0.45,VLOOKUP(Calculator!E23,tbSkills!DH3:DI6,2,FALSE)+IF(AND(Calculator!B8=TRUE,Backdoors!BI11=TRUE),VLOOKUP(Calculator!E23,tbSkills!DH3:DJ6,3,FALSE),0),0))&gt;=100,100,(Backdoors!AI12+IF(BF98&gt;=0.45,VLOOKUP(Calculator!E23,tbSkills!DH3:DI6,2,FALSE)+IF(AND(Calculator!B8=TRUE,Backdoors!BI11=TRUE),VLOOKUP(Calculator!E23,tbSkills!DH3:DJ6,3,FALSE),0),0)))/100)),1))*IF(VLOOKUP(A98,tbMoveset!A2:K112,11,FALSE)=TRUE,Backdoors!AC5,1))*BG98,0),"")</f>
        <v>0</v>
      </c>
      <c r="BK98" s="49">
        <f>VLOOKUP(A98,tbMoveset!A2:G112,7,FALSE)*IFERROR(IF(Backdoors!AI12&gt;=0,1+(IF(Calculator!E40&gt;0,VLOOKUP(Calculator!E40,tbSkills!AI3:AJ5,2,FALSE),Backdoors!AL4)*(IF((Backdoors!AI12+IF(BF98&gt;=0.45,VLOOKUP(Calculator!E23,tbSkills!DH3:DI6,2,FALSE)+IF(AND(Calculator!B8=TRUE,Backdoors!BI11=TRUE),VLOOKUP(Calculator!E23,tbSkills!DH3:DJ6,3,FALSE),0),0))&gt;=100,100,(Backdoors!AI12+IF(BF98&gt;=0.45,VLOOKUP(Calculator!E23,tbSkills!DH3:DI6,2,FALSE)+IF(AND(Calculator!B8=TRUE,Backdoors!BI11=TRUE),VLOOKUP(Calculator!E23,tbSkills!DH3:DJ6,3,FALSE),0),0)))/100)),1),1)</f>
        <v>0.7</v>
      </c>
      <c r="BL98" s="87">
        <f t="shared" si="59"/>
        <v>0</v>
      </c>
      <c r="BM98" s="86" t="str">
        <f>IFERROR(IF(VLOOKUP(A98,tbMoveset!A2:B112,2,FALSE)="Sever",Backdoors!AY12/100,IF(VLOOKUP(A98,tbMoveset!A2:B112,2,FALSE)="Blunt",Backdoors!AZ12/100,Backdoors!BA12/100)),"")</f>
        <v/>
      </c>
      <c r="BN98" s="49">
        <f>IFERROR(IF(VLOOKUP(tbMoveset!A98,tbMoveset!A2:H112,8,FALSE)="Other",IF(VLOOKUP(tbMoveset!A98,tbMoveset!A2:I112,9,FALSE)="Fire",Backdoors!BB12,IF(VLOOKUP(tbMoveset!A98,tbMoveset!A2:I112,9,FALSE)="Water",Backdoors!BC12,IF(VLOOKUP(tbMoveset!A98,tbMoveset!A2:I112,9,FALSE)="Thunder",Backdoors!BD12,IF(VLOOKUP(tbMoveset!A98,tbMoveset!A2:I112,9,FALSE)="Ice",Backdoors!BE12,IF(VLOOKUP(tbMoveset!A98,tbMoveset!A2:I112,9,FALSE)="Dragon",Backdoors!BF12,Backdoors!BG12)))))/100,Backdoors!BG12/100),"")</f>
        <v>0</v>
      </c>
      <c r="BO98" s="49">
        <f>IFERROR(IF(VLOOKUP(A98,tbMoveset!A2:J112,10,FALSE)=TRUE,IF((Backdoors!AI12+IF(BM98&gt;=0.45,VLOOKUP(Calculator!E23,tbSkills!DH3:DI6,2,FALSE)+IF(AND(Calculator!B8=TRUE,Backdoors!BI12=TRUE),VLOOKUP(Calculator!E23,tbSkills!DH3:DJ6,3,FALSE),0),0))&gt;=0,1+(Backdoors!AL2*(IF((Backdoors!AI12+IF(BM98&gt;=0.45,VLOOKUP(Calculator!E23,tbSkills!DH3:DI6,2,FALSE)+IF(AND(Calculator!B8=TRUE,Backdoors!BI12=TRUE),VLOOKUP(Calculator!E23,tbSkills!DH3:DJ6,3,FALSE),0),0))&gt;=100,100,(Backdoors!AI12+IF(BM98&gt;=0.45,VLOOKUP(Calculator!E23,tbSkills!DH3:DI6,2,FALSE)+IF(AND(Calculator!B8=TRUE,Backdoors!BI12=TRUE),VLOOKUP(Calculator!E23,tbSkills!DH3:DJ6,3,FALSE),0),0)))/100)),(1-(0.25*((-Backdoors!AI12-IF(BM98&gt;=0.45,VLOOKUP(Calculator!E23,tbSkills!DH3:DI6,2,FALSE)+IF(AND(Calculator!B8=TRUE,Backdoors!BI12=TRUE),VLOOKUP(Calculator!E23,tbSkills!DH3:DJ6,3,FALSE),0),0))/100)))),1),"")</f>
        <v>1</v>
      </c>
      <c r="BP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M98)*BO98)*(VLOOKUP(A98,tbMoveset!A2:C112,3,FALSE)/100)*IF(VLOOKUP(A98,tbMoveset!A2:B112,2,FALSE)="Projectile",Backdoors!N10,Backdoors!N9),0),"")</f>
        <v/>
      </c>
      <c r="BQ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M98&gt;=0.45,VLOOKUP(Calculator!E23,tbSkills!DH3:DI6,2,FALSE)+IF(AND(Calculator!B8=TRUE,Backdoors!BI12=TRUE),VLOOKUP(Calculator!E23,tbSkills!DH3:DJ6,3,FALSE),0),0))&gt;=100,100,(Backdoors!AI12+IF(BM98&gt;=0.45,VLOOKUP(Calculator!E23,tbSkills!DH3:DI6,2,FALSE)+IF(AND(Calculator!B8=TRUE,Backdoors!BI12=TRUE),VLOOKUP(Calculator!E23,tbSkills!DH3:DJ6,3,FALSE),0),0)))/100)),1))*IF(VLOOKUP(A98,tbMoveset!A2:K112,11,FALSE)=TRUE,Backdoors!AC5,1))*BN98,0),"")</f>
        <v>0</v>
      </c>
      <c r="BR98" s="49">
        <f>VLOOKUP(A98,tbMoveset!A2:G112,7,FALSE)*IFERROR(IF(Backdoors!AI12&gt;=0,1+(IF(Calculator!E40&gt;0,VLOOKUP(Calculator!E40,tbSkills!AI3:AJ5,2,FALSE),Backdoors!AL4)*(IF((Backdoors!AI12+IF(BM98&gt;=0.45,VLOOKUP(Calculator!E23,tbSkills!DH3:DI6,2,FALSE)+IF(AND(Calculator!B8=TRUE,Backdoors!BI12=TRUE),VLOOKUP(Calculator!E23,tbSkills!DH3:DJ6,3,FALSE),0),0))&gt;=100,100,(Backdoors!AI12+IF(BM98&gt;=0.45,VLOOKUP(Calculator!E23,tbSkills!DH3:DI6,2,FALSE)+IF(AND(Calculator!B8=TRUE,Backdoors!BI12=TRUE),VLOOKUP(Calculator!E23,tbSkills!DH3:DJ6,3,FALSE),0),0)))/100)),1),1)</f>
        <v>0.7</v>
      </c>
      <c r="BS98" s="87">
        <f t="shared" si="60"/>
        <v>0</v>
      </c>
      <c r="BT98" s="86" t="str">
        <f>IFERROR(IF(VLOOKUP(A98,tbMoveset!A2:B112,2,FALSE)="Sever",Backdoors!AY13/100,IF(VLOOKUP(A98,tbMoveset!A2:B112,2,FALSE)="Blunt",Backdoors!AZ13/100,Backdoors!BA13/100)),"")</f>
        <v/>
      </c>
      <c r="BU98" s="49">
        <f>IFERROR(IF(VLOOKUP(tbMoveset!A98,tbMoveset!A2:H112,8,FALSE)="Other",IF(VLOOKUP(tbMoveset!A98,tbMoveset!A2:I112,9,FALSE)="Fire",Backdoors!BB13,IF(VLOOKUP(tbMoveset!A98,tbMoveset!A2:I112,9,FALSE)="Water",Backdoors!BC13,IF(VLOOKUP(tbMoveset!A98,tbMoveset!A2:I112,9,FALSE)="Thunder",Backdoors!BD13,IF(VLOOKUP(tbMoveset!A98,tbMoveset!A2:I112,9,FALSE)="Ice",Backdoors!BE13,IF(VLOOKUP(tbMoveset!A98,tbMoveset!A2:I112,9,FALSE)="Dragon",Backdoors!BF13,Backdoors!BG13)))))/100,Backdoors!BG13/100),"")</f>
        <v>0</v>
      </c>
      <c r="BV98" s="49">
        <f>IFERROR(IF(VLOOKUP(A98,tbMoveset!A2:J112,10,FALSE)=TRUE,IF((Backdoors!AI12+IF(BT98&gt;=0.45,VLOOKUP(Calculator!E23,tbSkills!DH3:DI6,2,FALSE)+IF(AND(Calculator!B8=TRUE,Backdoors!BI13=TRUE),VLOOKUP(Calculator!E23,tbSkills!DH3:DJ6,3,FALSE),0),0))&gt;=0,1+(Backdoors!AL2*(IF((Backdoors!AI12+IF(BT98&gt;=0.45,VLOOKUP(Calculator!E23,tbSkills!DH3:DI6,2,FALSE)+IF(AND(Calculator!B8=TRUE,Backdoors!BI13=TRUE),VLOOKUP(Calculator!E23,tbSkills!DH3:DJ6,3,FALSE),0),0))&gt;=100,100,(Backdoors!AI12+IF(BT98&gt;=0.45,VLOOKUP(Calculator!E23,tbSkills!DH3:DI6,2,FALSE)+IF(AND(Calculator!B8=TRUE,Backdoors!BI13=TRUE),VLOOKUP(Calculator!E23,tbSkills!DH3:DJ6,3,FALSE),0),0)))/100)),(1-(0.25*((-Backdoors!AI12-IF(BT98&gt;=0.45,VLOOKUP(Calculator!E23,tbSkills!DH3:DI6,2,FALSE)+IF(AND(Calculator!B8=TRUE,Backdoors!BI13=TRUE),VLOOKUP(Calculator!E23,tbSkills!DH3:DJ6,3,FALSE),0),0))/100)))),1),"")</f>
        <v>1</v>
      </c>
      <c r="BW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T98)*BV98)*(VLOOKUP(A98,tbMoveset!A2:C112,3,FALSE)/100)*IF(VLOOKUP(A98,tbMoveset!A2:B112,2,FALSE)="Projectile",Backdoors!N10,Backdoors!N9),0),"")</f>
        <v/>
      </c>
      <c r="BX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T98&gt;=0.45,VLOOKUP(Calculator!E23,tbSkills!DH3:DI6,2,FALSE)+IF(AND(Calculator!B8=TRUE,Backdoors!BI13=TRUE),VLOOKUP(Calculator!E23,tbSkills!DH3:DJ6,3,FALSE),0),0))&gt;=100,100,(Backdoors!AI12+IF(BT98&gt;=0.45,VLOOKUP(Calculator!E23,tbSkills!DH3:DI6,2,FALSE)+IF(AND(Calculator!B8=TRUE,Backdoors!BI13=TRUE),VLOOKUP(Calculator!E23,tbSkills!DH3:DJ6,3,FALSE),0),0)))/100)),1))*IF(VLOOKUP(A98,tbMoveset!A2:K112,11,FALSE)=TRUE,Backdoors!AC5,1))*BU98,0),"")</f>
        <v>0</v>
      </c>
      <c r="BY98" s="49">
        <f>VLOOKUP(A98,tbMoveset!A2:G112,7,FALSE)*IFERROR(IF(Backdoors!AI12&gt;=0,1+(IF(Calculator!E40&gt;0,VLOOKUP(Calculator!E40,tbSkills!AI3:AJ5,2,FALSE),Backdoors!AL4)*(IF((Backdoors!AI12+IF(BT98&gt;=0.45,VLOOKUP(Calculator!E23,tbSkills!DH3:DI6,2,FALSE)+IF(AND(Calculator!B8=TRUE,Backdoors!BI13=TRUE),VLOOKUP(Calculator!E23,tbSkills!DH3:DJ6,3,FALSE),0),0))&gt;=100,100,(Backdoors!AI12+IF(BT98&gt;=0.45,VLOOKUP(Calculator!E23,tbSkills!DH3:DI6,2,FALSE)+IF(AND(Calculator!B8=TRUE,Backdoors!BI13=TRUE),VLOOKUP(Calculator!E23,tbSkills!DH3:DJ6,3,FALSE),0),0)))/100)),1),1)</f>
        <v>0.7</v>
      </c>
      <c r="BZ98" s="87">
        <f t="shared" si="61"/>
        <v>0</v>
      </c>
      <c r="CA98" s="86" t="str">
        <f>IFERROR(IF(VLOOKUP(A98,tbMoveset!A2:B112,2,FALSE)="Sever",Backdoors!AY14/100,IF(VLOOKUP(A98,tbMoveset!A2:B112,2,FALSE)="Blunt",Backdoors!AZ14/100,Backdoors!BA14/100)),"")</f>
        <v/>
      </c>
      <c r="CB98" s="49">
        <f>IFERROR(IF(VLOOKUP(tbMoveset!A98,tbMoveset!A2:H112,8,FALSE)="Other",IF(VLOOKUP(tbMoveset!A98,tbMoveset!A2:I112,9,FALSE)="Fire",Backdoors!BB14,IF(VLOOKUP(tbMoveset!A98,tbMoveset!A2:I112,9,FALSE)="Water",Backdoors!BC14,IF(VLOOKUP(tbMoveset!A98,tbMoveset!A2:I112,9,FALSE)="Thunder",Backdoors!BD14,IF(VLOOKUP(tbMoveset!A98,tbMoveset!A2:I112,9,FALSE)="Ice",Backdoors!BE14,IF(VLOOKUP(tbMoveset!A98,tbMoveset!A2:I112,9,FALSE)="Dragon",Backdoors!BF14,Backdoors!BG14)))))/100,Backdoors!BG14/100),"")</f>
        <v>0</v>
      </c>
      <c r="CC98" s="49">
        <f>IFERROR(IF(VLOOKUP(A98,tbMoveset!A2:J112,10,FALSE)=TRUE,IF((Backdoors!AI12+IF(CA98&gt;=0.45,VLOOKUP(Calculator!E23,tbSkills!DH3:DI6,2,FALSE)+IF(AND(Calculator!B8=TRUE,Backdoors!BI14=TRUE),VLOOKUP(Calculator!E23,tbSkills!DH3:DJ6,3,FALSE),0),0))&gt;=0,1+(Backdoors!AL2*(IF((Backdoors!AI12+IF(CA98&gt;=0.45,VLOOKUP(Calculator!E23,tbSkills!DH3:DI6,2,FALSE)+IF(AND(Calculator!B8=TRUE,Backdoors!BI14=TRUE),VLOOKUP(Calculator!E23,tbSkills!DH3:DJ6,3,FALSE),0),0))&gt;=100,100,(Backdoors!AI12+IF(CA98&gt;=0.45,VLOOKUP(Calculator!E23,tbSkills!DH3:DI6,2,FALSE)+IF(AND(Calculator!B8=TRUE,Backdoors!BI14=TRUE),VLOOKUP(Calculator!E23,tbSkills!DH3:DJ6,3,FALSE),0),0)))/100)),(1-(0.25*((-Backdoors!AI12-IF(CA98&gt;=0.45,VLOOKUP(Calculator!E23,tbSkills!DH3:DI6,2,FALSE)+IF(AND(Calculator!B8=TRUE,Backdoors!BI14=TRUE),VLOOKUP(Calculator!E23,tbSkills!DH3:DJ6,3,FALSE),0),0))/100)))),1),"")</f>
        <v>1</v>
      </c>
      <c r="CD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A98)*CC98)*(VLOOKUP(A98,tbMoveset!A2:C112,3,FALSE)/100)*IF(VLOOKUP(A98,tbMoveset!A2:B112,2,FALSE)="Projectile",Backdoors!N10,Backdoors!N9),0),"")</f>
        <v/>
      </c>
      <c r="CE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A98&gt;=0.45,VLOOKUP(Calculator!E23,tbSkills!DH3:DI6,2,FALSE)+IF(AND(Calculator!B8=TRUE,Backdoors!BI14=TRUE),VLOOKUP(Calculator!E23,tbSkills!DH3:DJ6,3,FALSE),0),0))&gt;=100,100,(Backdoors!AI12+IF(CA98&gt;=0.45,VLOOKUP(Calculator!E23,tbSkills!DH3:DI6,2,FALSE)+IF(AND(Calculator!B8=TRUE,Backdoors!BI14=TRUE),VLOOKUP(Calculator!E23,tbSkills!DH3:DJ6,3,FALSE),0),0)))/100)),1))*IF(VLOOKUP(A98,tbMoveset!A2:K112,11,FALSE)=TRUE,Backdoors!AC5,1))*CB98,0),"")</f>
        <v>0</v>
      </c>
      <c r="CF98" s="49">
        <f>VLOOKUP(A98,tbMoveset!A2:G112,7,FALSE)*IFERROR(IF(Backdoors!AI12&gt;=0,1+(IF(Calculator!E40&gt;0,VLOOKUP(Calculator!E40,tbSkills!AI3:AJ5,2,FALSE),Backdoors!AL4)*(IF((Backdoors!AI12+IF(CA98&gt;=0.45,VLOOKUP(Calculator!E23,tbSkills!DH3:DI6,2,FALSE)+IF(AND(Calculator!B8=TRUE,Backdoors!BI14=TRUE),VLOOKUP(Calculator!E23,tbSkills!DH3:DJ6,3,FALSE),0),0))&gt;=100,100,(Backdoors!AI12+IF(CA98&gt;=0.45,VLOOKUP(Calculator!E23,tbSkills!DH3:DI6,2,FALSE)+IF(AND(Calculator!B8=TRUE,Backdoors!BI14=TRUE),VLOOKUP(Calculator!E23,tbSkills!DH3:DJ6,3,FALSE),0),0)))/100)),1),1)</f>
        <v>0.7</v>
      </c>
      <c r="CG98" s="87">
        <f t="shared" si="62"/>
        <v>0</v>
      </c>
      <c r="CH98" s="86" t="str">
        <f>IFERROR(IF(VLOOKUP(A98,tbMoveset!A2:B112,2,FALSE)="Sever",Backdoors!AY15/100,IF(VLOOKUP(A98,tbMoveset!A2:B112,2,FALSE)="Blunt",Backdoors!AZ15/100,Backdoors!BA15/100)),"")</f>
        <v/>
      </c>
      <c r="CI98" s="49">
        <f>IFERROR(IF(VLOOKUP(tbMoveset!A98,tbMoveset!A2:H112,8,FALSE)="Other",IF(VLOOKUP(tbMoveset!A98,tbMoveset!A2:I112,9,FALSE)="Fire",Backdoors!BB15,IF(VLOOKUP(tbMoveset!A98,tbMoveset!A2:I112,9,FALSE)="Water",Backdoors!BC15,IF(VLOOKUP(tbMoveset!A98,tbMoveset!A2:I112,9,FALSE)="Thunder",Backdoors!BD15,IF(VLOOKUP(tbMoveset!A98,tbMoveset!A2:I112,9,FALSE)="Ice",Backdoors!BE15,IF(VLOOKUP(tbMoveset!A98,tbMoveset!A2:I112,9,FALSE)="Dragon",Backdoors!BF15,Backdoors!BG15)))))/100,Backdoors!BG15/100),"")</f>
        <v>0</v>
      </c>
      <c r="CJ98" s="49">
        <f>IFERROR(IF(VLOOKUP(A98,tbMoveset!A2:J112,10,FALSE)=TRUE,IF((Backdoors!AI12+IF(CH98&gt;=0.45,VLOOKUP(Calculator!E23,tbSkills!DH3:DI6,2,FALSE)+IF(AND(Calculator!B8=TRUE,Backdoors!BI15=TRUE),VLOOKUP(Calculator!E23,tbSkills!DH3:DJ6,3,FALSE),0),0))&gt;=0,1+(Backdoors!AL2*(IF((Backdoors!AI12+IF(CH98&gt;=0.45,VLOOKUP(Calculator!E23,tbSkills!DH3:DI6,2,FALSE)+IF(AND(Calculator!B8=TRUE,Backdoors!BI15=TRUE),VLOOKUP(Calculator!E23,tbSkills!DH3:DJ6,3,FALSE),0),0))&gt;=100,100,(Backdoors!AI12+IF(CH98&gt;=0.45,VLOOKUP(Calculator!E23,tbSkills!DH3:DI6,2,FALSE)+IF(AND(Calculator!B8=TRUE,Backdoors!BI15=TRUE),VLOOKUP(Calculator!E23,tbSkills!DH3:DJ6,3,FALSE),0),0)))/100)),(1-(0.25*((-Backdoors!AI12-IF(CH98&gt;=0.45,VLOOKUP(Calculator!E23,tbSkills!DH3:DI6,2,FALSE)+IF(AND(Calculator!B8=TRUE,Backdoors!BI15=TRUE),VLOOKUP(Calculator!E23,tbSkills!DH3:DJ6,3,FALSE),0),0))/100)))),1),"")</f>
        <v>1</v>
      </c>
      <c r="CK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H98)*CJ98)*(VLOOKUP(A98,tbMoveset!A2:C112,3,FALSE)/100)*IF(VLOOKUP(A98,tbMoveset!A2:B112,2,FALSE)="Projectile",Backdoors!N10,Backdoors!N9),0),"")</f>
        <v/>
      </c>
      <c r="CL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H98&gt;=0.45,VLOOKUP(Calculator!E23,tbSkills!DH3:DI6,2,FALSE)+IF(AND(Calculator!B8=TRUE,Backdoors!BI15=TRUE),VLOOKUP(Calculator!E23,tbSkills!DH3:DJ6,3,FALSE),0),0))&gt;=100,100,(Backdoors!AI12+IF(CH98&gt;=0.45,VLOOKUP(Calculator!E23,tbSkills!DH3:DI6,2,FALSE)+IF(AND(Calculator!B8=TRUE,Backdoors!BI15=TRUE),VLOOKUP(Calculator!E23,tbSkills!DH3:DJ6,3,FALSE),0),0)))/100)),1))*IF(VLOOKUP(A98,tbMoveset!A2:K112,11,FALSE)=TRUE,Backdoors!AC5,1))*CI98,0),"")</f>
        <v>0</v>
      </c>
      <c r="CM98" s="49">
        <f>VLOOKUP(A98,tbMoveset!A2:G112,7,FALSE)*IFERROR(IF(Backdoors!AI12&gt;=0,1+(IF(Calculator!E40&gt;0,VLOOKUP(Calculator!E40,tbSkills!AI3:AJ5,2,FALSE),Backdoors!AL4)*(IF((Backdoors!AI12+IF(CH98&gt;=0.45,VLOOKUP(Calculator!E23,tbSkills!DH3:DI6,2,FALSE)+IF(AND(Calculator!B8=TRUE,Backdoors!BI15=TRUE),VLOOKUP(Calculator!E23,tbSkills!DH3:DJ6,3,FALSE),0),0))&gt;=100,100,(Backdoors!AI12+IF(CH98&gt;=0.45,VLOOKUP(Calculator!E23,tbSkills!DH3:DI6,2,FALSE)+IF(AND(Calculator!B8=TRUE,Backdoors!BI15=TRUE),VLOOKUP(Calculator!E23,tbSkills!DH3:DJ6,3,FALSE),0),0)))/100)),1),1)</f>
        <v>0.7</v>
      </c>
      <c r="CN98" s="87">
        <f t="shared" si="63"/>
        <v>0</v>
      </c>
      <c r="CO98" s="86" t="str">
        <f>IFERROR(IF(VLOOKUP(A98,tbMoveset!A2:B112,2,FALSE)="Sever",Backdoors!AY16/100,IF(VLOOKUP(A98,tbMoveset!A2:B112,2,FALSE)="Blunt",Backdoors!AZ16/100,Backdoors!BA16/100)),"")</f>
        <v/>
      </c>
      <c r="CP98" s="49">
        <f>IFERROR(IF(VLOOKUP(tbMoveset!A98,tbMoveset!A2:H112,8,FALSE)="Other",IF(VLOOKUP(tbMoveset!A98,tbMoveset!A2:I112,9,FALSE)="Fire",Backdoors!BB16,IF(VLOOKUP(tbMoveset!A98,tbMoveset!A2:I112,9,FALSE)="Water",Backdoors!BC16,IF(VLOOKUP(tbMoveset!A98,tbMoveset!A2:I112,9,FALSE)="Thunder",Backdoors!BD16,IF(VLOOKUP(tbMoveset!A98,tbMoveset!A2:I112,9,FALSE)="Ice",Backdoors!BE16,IF(VLOOKUP(tbMoveset!A98,tbMoveset!A2:I112,9,FALSE)="Dragon",Backdoors!BF16,Backdoors!BG16)))))/100,Backdoors!BG16/100),"")</f>
        <v>0</v>
      </c>
      <c r="CQ98" s="49">
        <f>IFERROR(IF(VLOOKUP(A98,tbMoveset!A2:J112,10,FALSE)=TRUE,IF((Backdoors!AI12+IF(CO98&gt;=0.45,VLOOKUP(Calculator!E23,tbSkills!DH3:DI6,2,FALSE)+IF(AND(Calculator!B8=TRUE,Backdoors!BI16=TRUE),VLOOKUP(Calculator!E23,tbSkills!DH3:DJ6,3,FALSE),0),0))&gt;=0,1+(Backdoors!AL2*(IF((Backdoors!AI12+IF(CO98&gt;=0.45,VLOOKUP(Calculator!E23,tbSkills!DH3:DI6,2,FALSE)+IF(AND(Calculator!B8=TRUE,Backdoors!BI16=TRUE),VLOOKUP(Calculator!E23,tbSkills!DH3:DJ6,3,FALSE),0),0))&gt;=100,100,(Backdoors!AI12+IF(CO98&gt;=0.45,VLOOKUP(Calculator!E23,tbSkills!DH3:DI6,2,FALSE)+IF(AND(Calculator!B8=TRUE,Backdoors!BI16=TRUE),VLOOKUP(Calculator!E23,tbSkills!DH3:DJ6,3,FALSE),0),0)))/100)),(1-(0.25*((-Backdoors!AI12-IF(CO98&gt;=0.45,VLOOKUP(Calculator!E23,tbSkills!DH3:DI6,2,FALSE)+IF(AND(Calculator!B8=TRUE,Backdoors!BI16=TRUE),VLOOKUP(Calculator!E23,tbSkills!DH3:DJ6,3,FALSE),0),0))/100)))),1),"")</f>
        <v>1</v>
      </c>
      <c r="CR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O98)*CQ98)*(VLOOKUP(A98,tbMoveset!A2:C112,3,FALSE)/100)*IF(VLOOKUP(A98,tbMoveset!A2:B112,2,FALSE)="Projectile",Backdoors!N10,Backdoors!N9),0),"")</f>
        <v/>
      </c>
      <c r="CS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O98&gt;=0.45,VLOOKUP(Calculator!E23,tbSkills!DH3:DI6,2,FALSE)+IF(AND(Calculator!B8=TRUE,Backdoors!BI16=TRUE),VLOOKUP(Calculator!E23,tbSkills!DH3:DJ6,3,FALSE),0),0))&gt;=100,100,(Backdoors!AI12+IF(CO98&gt;=0.45,VLOOKUP(Calculator!E23,tbSkills!DH3:DI6,2,FALSE)+IF(AND(Calculator!B8=TRUE,Backdoors!BI16=TRUE),VLOOKUP(Calculator!E23,tbSkills!DH3:DJ6,3,FALSE),0),0)))/100)),1))*IF(VLOOKUP(A98,tbMoveset!A2:K112,11,FALSE)=TRUE,Backdoors!AC5,1))*CP98,0),"")</f>
        <v>0</v>
      </c>
      <c r="CT98" s="49">
        <f>VLOOKUP(A98,tbMoveset!A2:G112,7,FALSE)*IFERROR(IF(Backdoors!AI12&gt;=0,1+(IF(Calculator!E40&gt;0,VLOOKUP(Calculator!E40,tbSkills!AI3:AJ5,2,FALSE),Backdoors!AL4)*(IF((Backdoors!AI12+IF(CO98&gt;=0.45,VLOOKUP(Calculator!E23,tbSkills!DH3:DI6,2,FALSE)+IF(AND(Calculator!B8=TRUE,Backdoors!BI16=TRUE),VLOOKUP(Calculator!E23,tbSkills!DH3:DJ6,3,FALSE),0),0))&gt;=100,100,(Backdoors!AI12+IF(CO98&gt;=0.45,VLOOKUP(Calculator!E23,tbSkills!DH3:DI6,2,FALSE)+IF(AND(Calculator!B8=TRUE,Backdoors!BI16=TRUE),VLOOKUP(Calculator!E23,tbSkills!DH3:DJ6,3,FALSE),0),0)))/100)),1),1)</f>
        <v>0.7</v>
      </c>
      <c r="CU98" s="87">
        <f t="shared" si="64"/>
        <v>0</v>
      </c>
      <c r="CV98" s="86" t="str">
        <f>IFERROR(IF(VLOOKUP(A98,tbMoveset!A2:B112,2,FALSE)="Sever",Backdoors!AY17/100,IF(VLOOKUP(A98,tbMoveset!A2:B112,2,FALSE)="Blunt",Backdoors!AZ17/100,Backdoors!BA17/100)),"")</f>
        <v/>
      </c>
      <c r="CW98" s="49">
        <f>IFERROR(IF(VLOOKUP(tbMoveset!A98,tbMoveset!A2:H112,8,FALSE)="Other",IF(VLOOKUP(tbMoveset!A98,tbMoveset!A2:I112,9,FALSE)="Fire",Backdoors!BB17,IF(VLOOKUP(tbMoveset!A98,tbMoveset!A2:I112,9,FALSE)="Water",Backdoors!BC17,IF(VLOOKUP(tbMoveset!A98,tbMoveset!A2:I112,9,FALSE)="Thunder",Backdoors!BD17,IF(VLOOKUP(tbMoveset!A98,tbMoveset!A2:I112,9,FALSE)="Ice",Backdoors!BE17,IF(VLOOKUP(tbMoveset!A98,tbMoveset!A2:I112,9,FALSE)="Dragon",Backdoors!BF17,Backdoors!BG17)))))/100,Backdoors!BG17/100),"")</f>
        <v>0</v>
      </c>
      <c r="CX98" s="49">
        <f>IFERROR(IF(VLOOKUP(A98,tbMoveset!A2:J112,10,FALSE)=TRUE,IF((Backdoors!AI12+IF(CV98&gt;=0.45,VLOOKUP(Calculator!E23,tbSkills!DH3:DI6,2,FALSE)+IF(AND(Calculator!B8=TRUE,Backdoors!BI17=TRUE),VLOOKUP(Calculator!E23,tbSkills!DH3:DJ6,3,FALSE),0),0))&gt;=0,1+(Backdoors!AL2*(IF((Backdoors!AI12+IF(CV98&gt;=0.45,VLOOKUP(Calculator!E23,tbSkills!DH3:DI6,2,FALSE)+IF(AND(Calculator!B8=TRUE,Backdoors!BI17=TRUE),VLOOKUP(Calculator!E23,tbSkills!DH3:DJ6,3,FALSE),0),0))&gt;=100,100,(Backdoors!AI12+IF(CV98&gt;=0.45,VLOOKUP(Calculator!E23,tbSkills!DH3:DI6,2,FALSE)+IF(AND(Calculator!B8=TRUE,Backdoors!BI17=TRUE),VLOOKUP(Calculator!E23,tbSkills!DH3:DJ6,3,FALSE),0),0)))/100)),(1-(0.25*((-Backdoors!AI12-IF(CV98&gt;=0.45,VLOOKUP(Calculator!E23,tbSkills!DH3:DI6,2,FALSE)+IF(AND(Calculator!B8=TRUE,Backdoors!BI17=TRUE),VLOOKUP(Calculator!E23,tbSkills!DH3:DJ6,3,FALSE),0),0))/100)))),1),"")</f>
        <v>1</v>
      </c>
      <c r="CY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V98)*CX98)*(VLOOKUP(A98,tbMoveset!A2:C112,3,FALSE)/100)*IF(VLOOKUP(A98,tbMoveset!A2:B112,2,FALSE)="Projectile",Backdoors!N10,Backdoors!N9),0),"")</f>
        <v/>
      </c>
      <c r="CZ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V98&gt;=0.45,VLOOKUP(Calculator!E23,tbSkills!DH3:DI6,2,FALSE)+IF(AND(Calculator!B8=TRUE,Backdoors!BI17=TRUE),VLOOKUP(Calculator!E23,tbSkills!DH3:DJ6,3,FALSE),0),0))&gt;=100,100,(Backdoors!AI12+IF(CV98&gt;=0.45,VLOOKUP(Calculator!E23,tbSkills!DH3:DI6,2,FALSE)+IF(AND(Calculator!B8=TRUE,Backdoors!BI17=TRUE),VLOOKUP(Calculator!E23,tbSkills!DH3:DJ6,3,FALSE),0),0)))/100)),1))*IF(VLOOKUP(A98,tbMoveset!A2:K112,11,FALSE)=TRUE,Backdoors!AC5,1))*CW98,0),"")</f>
        <v>0</v>
      </c>
      <c r="DA98" s="49">
        <f>VLOOKUP(A98,tbMoveset!A2:G112,7,FALSE)*IFERROR(IF(Backdoors!AI12&gt;=0,1+(IF(Calculator!E40&gt;0,VLOOKUP(Calculator!E40,tbSkills!AI3:AJ5,2,FALSE),Backdoors!AL4)*(IF((Backdoors!AI12+IF(CV98&gt;=0.45,VLOOKUP(Calculator!E23,tbSkills!DH3:DI6,2,FALSE)+IF(AND(Calculator!B8=TRUE,Backdoors!BI17=TRUE),VLOOKUP(Calculator!E23,tbSkills!DH3:DJ6,3,FALSE),0),0))&gt;=100,100,(Backdoors!AI12+IF(CV98&gt;=0.45,VLOOKUP(Calculator!E23,tbSkills!DH3:DI6,2,FALSE)+IF(AND(Calculator!B8=TRUE,Backdoors!BI17=TRUE),VLOOKUP(Calculator!E23,tbSkills!DH3:DJ6,3,FALSE),0),0)))/100)),1),1)</f>
        <v>0.7</v>
      </c>
      <c r="DB98" s="87">
        <f t="shared" si="65"/>
        <v>0</v>
      </c>
      <c r="DC98" s="86" t="str">
        <f>IFERROR(IF(VLOOKUP(A98,tbMoveset!A2:B112,2,FALSE)="Sever",Backdoors!AY18/100,IF(VLOOKUP(A98,tbMoveset!A2:B112,2,FALSE)="Blunt",Backdoors!AZ18/100,Backdoors!BA18/100)),"")</f>
        <v/>
      </c>
      <c r="DD98" s="49">
        <f>IFERROR(IF(VLOOKUP(tbMoveset!A98,tbMoveset!A2:H112,8,FALSE)="Other",IF(VLOOKUP(tbMoveset!A98,tbMoveset!A2:I112,9,FALSE)="Fire",Backdoors!BB18,IF(VLOOKUP(tbMoveset!A98,tbMoveset!A2:I112,9,FALSE)="Water",Backdoors!BC18,IF(VLOOKUP(tbMoveset!A98,tbMoveset!A2:I112,9,FALSE)="Thunder",Backdoors!BD18,IF(VLOOKUP(tbMoveset!A98,tbMoveset!A2:I112,9,FALSE)="Ice",Backdoors!BE18,IF(VLOOKUP(tbMoveset!A98,tbMoveset!A2:I112,9,FALSE)="Dragon",Backdoors!BF18,Backdoors!BG18)))))/100,Backdoors!BG18/100),"")</f>
        <v>0</v>
      </c>
      <c r="DE98" s="49">
        <f>IFERROR(IF(VLOOKUP(A98,tbMoveset!A2:J112,10,FALSE)=TRUE,IF((Backdoors!AI12+IF(DC98&gt;=0.45,VLOOKUP(Calculator!E23,tbSkills!DH3:DI6,2,FALSE)+IF(AND(Calculator!B8=TRUE,Backdoors!BI18=TRUE),VLOOKUP(Calculator!E23,tbSkills!DH3:DJ6,3,FALSE),0),0))&gt;=0,1+(Backdoors!AL2*(IF((Backdoors!AI12+IF(DC98&gt;=0.45,VLOOKUP(Calculator!E23,tbSkills!DH3:DI6,2,FALSE)+IF(AND(Calculator!B8=TRUE,Backdoors!BI18=TRUE),VLOOKUP(Calculator!E23,tbSkills!DH3:DJ6,3,FALSE),0),0))&gt;=100,100,(Backdoors!AI12+IF(DC98&gt;=0.45,VLOOKUP(Calculator!E23,tbSkills!DH3:DI6,2,FALSE)+IF(AND(Calculator!B8=TRUE,Backdoors!BI18=TRUE),VLOOKUP(Calculator!E23,tbSkills!DH3:DJ6,3,FALSE),0),0)))/100)),(1-(0.25*((-Backdoors!AI12-IF(DC98&gt;=0.45,VLOOKUP(Calculator!E23,tbSkills!DH3:DI6,2,FALSE)+IF(AND(Calculator!B8=TRUE,Backdoors!BI18=TRUE),VLOOKUP(Calculator!E23,tbSkills!DH3:DJ6,3,FALSE),0),0))/100)))),1),"")</f>
        <v>1</v>
      </c>
      <c r="DF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C98)*DE98)*(VLOOKUP(A98,tbMoveset!A2:C112,3,FALSE)/100)*IF(VLOOKUP(A98,tbMoveset!A2:B112,2,FALSE)="Projectile",Backdoors!N10,Backdoors!N9),0),"")</f>
        <v/>
      </c>
      <c r="DG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C98&gt;=0.45,VLOOKUP(Calculator!E23,tbSkills!DH3:DI6,2,FALSE)+IF(AND(Calculator!B8=TRUE,Backdoors!BI18=TRUE),VLOOKUP(Calculator!E23,tbSkills!DH3:DJ6,3,FALSE),0),0))&gt;=100,100,(Backdoors!AI12+IF(DC98&gt;=0.45,VLOOKUP(Calculator!E23,tbSkills!DH3:DI6,2,FALSE)+IF(AND(Calculator!B8=TRUE,Backdoors!BI18=TRUE),VLOOKUP(Calculator!E23,tbSkills!DH3:DJ6,3,FALSE),0),0)))/100)),1))*IF(VLOOKUP(A98,tbMoveset!A2:K112,11,FALSE)=TRUE,Backdoors!AC5,1))*DD98,0),"")</f>
        <v>0</v>
      </c>
      <c r="DH98" s="49">
        <f>VLOOKUP(A98,tbMoveset!A2:G112,7,FALSE)*IFERROR(IF(Backdoors!AI12&gt;=0,1+(IF(Calculator!E40&gt;0,VLOOKUP(Calculator!E40,tbSkills!AI3:AJ5,2,FALSE),Backdoors!AL4)*(IF((Backdoors!AI12+IF(DC98&gt;=0.45,VLOOKUP(Calculator!E23,tbSkills!DH3:DI6,2,FALSE)+IF(AND(Calculator!B8=TRUE,Backdoors!BI18=TRUE),VLOOKUP(Calculator!E23,tbSkills!DH3:DJ6,3,FALSE),0),0))&gt;=100,100,(Backdoors!AI12+IF(DC98&gt;=0.45,VLOOKUP(Calculator!E23,tbSkills!DH3:DI6,2,FALSE)+IF(AND(Calculator!B8=TRUE,Backdoors!BI18=TRUE),VLOOKUP(Calculator!E23,tbSkills!DH3:DJ6,3,FALSE),0),0)))/100)),1),1)</f>
        <v>0.7</v>
      </c>
      <c r="DI98" s="87">
        <f t="shared" si="66"/>
        <v>0</v>
      </c>
      <c r="DJ98" s="86" t="str">
        <f>IFERROR(IF(VLOOKUP(A98,tbMoveset!A2:B112,2,FALSE)="Sever",Backdoors!AY19/100,IF(VLOOKUP(A98,tbMoveset!A2:B112,2,FALSE)="Blunt",Backdoors!AZ19/100,Backdoors!BA19/100)),"")</f>
        <v/>
      </c>
      <c r="DK98" s="49">
        <f>IFERROR(IF(VLOOKUP(tbMoveset!A98,tbMoveset!A2:H112,8,FALSE)="Other",IF(VLOOKUP(tbMoveset!A98,tbMoveset!A2:I112,9,FALSE)="Fire",Backdoors!BB19,IF(VLOOKUP(tbMoveset!A98,tbMoveset!A2:I112,9,FALSE)="Water",Backdoors!BC19,IF(VLOOKUP(tbMoveset!A98,tbMoveset!A2:I112,9,FALSE)="Thunder",Backdoors!BD19,IF(VLOOKUP(tbMoveset!A98,tbMoveset!A2:I112,9,FALSE)="Ice",Backdoors!BE19,IF(VLOOKUP(tbMoveset!A98,tbMoveset!A2:I112,9,FALSE)="Dragon",Backdoors!BF19,Backdoors!BG19)))))/100,Backdoors!BG19/100),"")</f>
        <v>0</v>
      </c>
      <c r="DL98" s="49">
        <f>IFERROR(IF(VLOOKUP(A98,tbMoveset!A2:J112,10,FALSE)=TRUE,IF((Backdoors!AI12+IF(DJ98&gt;=0.45,VLOOKUP(Calculator!E23,tbSkills!DH3:DI6,2,FALSE)+IF(AND(Calculator!B8=TRUE,Backdoors!BI19=TRUE),VLOOKUP(Calculator!E23,tbSkills!DH3:DJ6,3,FALSE),0),0))&gt;=0,1+(Backdoors!AL2*(IF((Backdoors!AI12+IF(DJ98&gt;=0.45,VLOOKUP(Calculator!E23,tbSkills!DH3:DI6,2,FALSE)+IF(AND(Calculator!B8=TRUE,Backdoors!BI19=TRUE),VLOOKUP(Calculator!E23,tbSkills!DH3:DJ6,3,FALSE),0),0))&gt;=100,100,(Backdoors!AI12+IF(DJ98&gt;=0.45,VLOOKUP(Calculator!E23,tbSkills!DH3:DI6,2,FALSE)+IF(AND(Calculator!B8=TRUE,Backdoors!BI19=TRUE),VLOOKUP(Calculator!E23,tbSkills!DH3:DJ6,3,FALSE),0),0)))/100)),(1-(0.25*((-Backdoors!AI12-IF(DJ98&gt;=0.45,VLOOKUP(Calculator!E23,tbSkills!DH3:DI6,2,FALSE)+IF(AND(Calculator!B8=TRUE,Backdoors!BI19=TRUE),VLOOKUP(Calculator!E23,tbSkills!DH3:DJ6,3,FALSE),0),0))/100)))),1),"")</f>
        <v>1</v>
      </c>
      <c r="DM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J98)*DL98)*(VLOOKUP(A98,tbMoveset!A2:C112,3,FALSE)/100)*IF(VLOOKUP(A98,tbMoveset!A2:B112,2,FALSE)="Projectile",Backdoors!N10,Backdoors!N9),0),"")</f>
        <v/>
      </c>
      <c r="DN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J98&gt;=0.45,VLOOKUP(Calculator!E23,tbSkills!DH3:DI6,2,FALSE)+IF(AND(Calculator!B8=TRUE,Backdoors!BI19=TRUE),VLOOKUP(Calculator!E23,tbSkills!DH3:DJ6,3,FALSE),0),0))&gt;=100,100,(Backdoors!AI12+IF(DJ98&gt;=0.45,VLOOKUP(Calculator!E23,tbSkills!DH3:DI6,2,FALSE)+IF(AND(Calculator!B8=TRUE,Backdoors!BI19=TRUE),VLOOKUP(Calculator!E23,tbSkills!DH3:DJ6,3,FALSE),0),0)))/100)),1))*IF(VLOOKUP(A98,tbMoveset!A2:K112,11,FALSE)=TRUE,Backdoors!AC5,1))*DK98,0),"")</f>
        <v>0</v>
      </c>
      <c r="DO98" s="49">
        <f>VLOOKUP(A98,tbMoveset!A2:G112,7,FALSE)*IFERROR(IF(Backdoors!AI12&gt;=0,1+(IF(Calculator!E40&gt;0,VLOOKUP(Calculator!E40,tbSkills!AI3:AJ5,2,FALSE),Backdoors!AL4)*(IF((Backdoors!AI12+IF(DJ98&gt;=0.45,VLOOKUP(Calculator!E23,tbSkills!DH3:DI6,2,FALSE)+IF(AND(Calculator!B8=TRUE,Backdoors!BI19=TRUE),VLOOKUP(Calculator!E23,tbSkills!DH3:DJ6,3,FALSE),0),0))&gt;=100,100,(Backdoors!AI12+IF(DJ98&gt;=0.45,VLOOKUP(Calculator!E23,tbSkills!DH3:DI6,2,FALSE)+IF(AND(Calculator!B8=TRUE,Backdoors!BI19=TRUE),VLOOKUP(Calculator!E23,tbSkills!DH3:DJ6,3,FALSE),0),0)))/100)),1),1)</f>
        <v>0.7</v>
      </c>
      <c r="DP98" s="87">
        <f t="shared" si="67"/>
        <v>0</v>
      </c>
      <c r="DQ98" s="86" t="str">
        <f>IFERROR(IF(VLOOKUP(A98,tbMoveset!A2:B112,2,FALSE)="Sever",Backdoors!AY20/100,IF(VLOOKUP(A98,tbMoveset!A2:B112,2,FALSE)="Blunt",Backdoors!AZ20/100,Backdoors!BA20/100)),"")</f>
        <v/>
      </c>
      <c r="DR98" s="49">
        <f>IFERROR(IF(VLOOKUP(tbMoveset!A98,tbMoveset!A2:H112,8,FALSE)="Other",IF(VLOOKUP(tbMoveset!A98,tbMoveset!A2:I112,9,FALSE)="Fire",Backdoors!BB20,IF(VLOOKUP(tbMoveset!A98,tbMoveset!A2:I112,9,FALSE)="Water",Backdoors!BC20,IF(VLOOKUP(tbMoveset!A98,tbMoveset!A2:I112,9,FALSE)="Thunder",Backdoors!BD20,IF(VLOOKUP(tbMoveset!A98,tbMoveset!A2:I112,9,FALSE)="Ice",Backdoors!BE20,IF(VLOOKUP(tbMoveset!A98,tbMoveset!A2:I112,9,FALSE)="Dragon",Backdoors!BF20,Backdoors!BG20)))))/100,Backdoors!BG20/100),"")</f>
        <v>0</v>
      </c>
      <c r="DS98" s="49">
        <f>IFERROR(IF(VLOOKUP(A98,tbMoveset!A2:J112,10,FALSE)=TRUE,IF((Backdoors!AI12+IF(DQ98&gt;=0.45,VLOOKUP(Calculator!E23,tbSkills!DH3:DI6,2,FALSE)+IF(AND(Calculator!B8=TRUE,Backdoors!BI20=TRUE),VLOOKUP(Calculator!E23,tbSkills!DH3:DJ6,3,FALSE),0),0))&gt;=0,1+(Backdoors!AL2*(IF((Backdoors!AI12+IF(DQ98&gt;=0.45,VLOOKUP(Calculator!E23,tbSkills!DH3:DI6,2,FALSE)+IF(AND(Calculator!B8=TRUE,Backdoors!BI20=TRUE),VLOOKUP(Calculator!E23,tbSkills!DH3:DJ6,3,FALSE),0),0))&gt;=100,100,(Backdoors!AI12+IF(DQ98&gt;=0.45,VLOOKUP(Calculator!E23,tbSkills!DH3:DI6,2,FALSE)+IF(AND(Calculator!B8=TRUE,Backdoors!BI20=TRUE),VLOOKUP(Calculator!E23,tbSkills!DH3:DJ6,3,FALSE),0),0)))/100)),(1-(0.25*((-Backdoors!AI12-IF(DQ98&gt;=0.45,VLOOKUP(Calculator!E23,tbSkills!DH3:DI6,2,FALSE)+IF(AND(Calculator!B8=TRUE,Backdoors!BI20=TRUE),VLOOKUP(Calculator!E23,tbSkills!DH3:DJ6,3,FALSE),0),0))/100)))),1),"")</f>
        <v>1</v>
      </c>
      <c r="DT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Q98)*DS98)*(VLOOKUP(A98,tbMoveset!A2:C112,3,FALSE)/100)*IF(VLOOKUP(A98,tbMoveset!A2:B112,2,FALSE)="Projectile",Backdoors!N10,Backdoors!N9),0),"")</f>
        <v/>
      </c>
      <c r="DU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Q98&gt;=0.45,VLOOKUP(Calculator!E23,tbSkills!DH3:DI6,2,FALSE)+IF(AND(Calculator!B8=TRUE,Backdoors!BI20=TRUE),VLOOKUP(Calculator!E23,tbSkills!DH3:DJ6,3,FALSE),0),0))&gt;=100,100,(Backdoors!AI12+IF(DQ98&gt;=0.45,VLOOKUP(Calculator!E23,tbSkills!DH3:DI6,2,FALSE)+IF(AND(Calculator!B8=TRUE,Backdoors!BI20=TRUE),VLOOKUP(Calculator!E23,tbSkills!DH3:DJ6,3,FALSE),0),0)))/100)),1))*IF(VLOOKUP(A98,tbMoveset!A2:K112,11,FALSE)=TRUE,Backdoors!AC5,1))*DR98,0),"")</f>
        <v>0</v>
      </c>
      <c r="DV98" s="49">
        <f>VLOOKUP(A98,tbMoveset!A2:G112,7,FALSE)*IFERROR(IF(Backdoors!AI12&gt;=0,1+(IF(Calculator!E40&gt;0,VLOOKUP(Calculator!E40,tbSkills!AI3:AJ5,2,FALSE),Backdoors!AL4)*(IF((Backdoors!AI12+IF(DQ98&gt;=0.45,VLOOKUP(Calculator!E23,tbSkills!DH3:DI6,2,FALSE)+IF(AND(Calculator!B8=TRUE,Backdoors!BI20=TRUE),VLOOKUP(Calculator!E23,tbSkills!DH3:DJ6,3,FALSE),0),0))&gt;=100,100,(Backdoors!AI12+IF(DQ98&gt;=0.45,VLOOKUP(Calculator!E23,tbSkills!DH3:DI6,2,FALSE)+IF(AND(Calculator!B8=TRUE,Backdoors!BI20=TRUE),VLOOKUP(Calculator!E23,tbSkills!DH3:DJ6,3,FALSE),0),0)))/100)),1),1)</f>
        <v>0.7</v>
      </c>
      <c r="DW98" s="87">
        <f t="shared" si="68"/>
        <v>0</v>
      </c>
      <c r="DX98" s="86" t="str">
        <f>IFERROR(IF(VLOOKUP(A98,tbMoveset!A2:B112,2,FALSE)="Sever",Backdoors!AY21/100,IF(VLOOKUP(A98,tbMoveset!A2:B112,2,FALSE)="Blunt",Backdoors!AZ21/100,Backdoors!BA21/100)),"")</f>
        <v/>
      </c>
      <c r="DY98" s="49">
        <f>IFERROR(IF(VLOOKUP(tbMoveset!A98,tbMoveset!A2:H112,8,FALSE)="Other",IF(VLOOKUP(tbMoveset!A98,tbMoveset!A2:I112,9,FALSE)="Fire",Backdoors!BB21,IF(VLOOKUP(tbMoveset!A98,tbMoveset!A2:I112,9,FALSE)="Water",Backdoors!BC21,IF(VLOOKUP(tbMoveset!A98,tbMoveset!A2:I112,9,FALSE)="Thunder",Backdoors!BD21,IF(VLOOKUP(tbMoveset!A98,tbMoveset!A2:I112,9,FALSE)="Ice",Backdoors!BE21,IF(VLOOKUP(tbMoveset!A98,tbMoveset!A2:I112,9,FALSE)="Dragon",Backdoors!BF21,Backdoors!BG21)))))/100,Backdoors!BG21/100),"")</f>
        <v>0</v>
      </c>
      <c r="DZ98" s="49">
        <f>IFERROR(IF(VLOOKUP(A98,tbMoveset!A2:J112,10,FALSE)=TRUE,IF((Backdoors!AI12+IF(DX98&gt;=0.45,VLOOKUP(Calculator!E23,tbSkills!DH3:DI6,2,FALSE)+IF(AND(Calculator!B8=TRUE,Backdoors!BI21=TRUE),VLOOKUP(Calculator!E23,tbSkills!DH3:DJ6,3,FALSE),0),0))&gt;=0,1+(Backdoors!AL2*(IF((Backdoors!AI12+IF(DX98&gt;=0.45,VLOOKUP(Calculator!E23,tbSkills!DH3:DI6,2,FALSE)+IF(AND(Calculator!B8=TRUE,Backdoors!BI21=TRUE),VLOOKUP(Calculator!E23,tbSkills!DH3:DJ6,3,FALSE),0),0))&gt;=100,100,(Backdoors!AI12+IF(DX98&gt;=0.45,VLOOKUP(Calculator!E23,tbSkills!DH3:DI6,2,FALSE)+IF(AND(Calculator!B8=TRUE,Backdoors!BI21=TRUE),VLOOKUP(Calculator!E23,tbSkills!DH3:DJ6,3,FALSE),0),0)))/100)),(1-(0.25*((-Backdoors!AI12-IF(DX98&gt;=0.45,VLOOKUP(Calculator!E23,tbSkills!DH3:DI6,2,FALSE)+IF(AND(Calculator!B8=TRUE,Backdoors!BI21=TRUE),VLOOKUP(Calculator!E23,tbSkills!DH3:DJ6,3,FALSE),0),0))/100)))),1),"")</f>
        <v>1</v>
      </c>
      <c r="EA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X98)*DZ98)*(VLOOKUP(A98,tbMoveset!A2:C112,3,FALSE)/100)*IF(VLOOKUP(A98,tbMoveset!A2:B112,2,FALSE)="Projectile",Backdoors!N10,Backdoors!N9),0),"")</f>
        <v/>
      </c>
      <c r="EB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X98&gt;=0.45,VLOOKUP(Calculator!E23,tbSkills!DH3:DI6,2,FALSE)+IF(AND(Calculator!B8=TRUE,Backdoors!BI21=TRUE),VLOOKUP(Calculator!E23,tbSkills!DH3:DJ6,3,FALSE),0),0))&gt;=100,100,(Backdoors!AI12+IF(DX98&gt;=0.45,VLOOKUP(Calculator!E23,tbSkills!DH3:DI6,2,FALSE)+IF(AND(Calculator!B8=TRUE,Backdoors!BI21=TRUE),VLOOKUP(Calculator!E23,tbSkills!DH3:DJ6,3,FALSE),0),0)))/100)),1))*IF(VLOOKUP(A98,tbMoveset!A2:K112,11,FALSE)=TRUE,Backdoors!AC5,1))*DY98,0),"")</f>
        <v>0</v>
      </c>
      <c r="EC98" s="49">
        <f>VLOOKUP(A98,tbMoveset!A2:G112,7,FALSE)*IFERROR(IF(Backdoors!AI12&gt;=0,1+(IF(Calculator!E40&gt;0,VLOOKUP(Calculator!E40,tbSkills!AI3:AJ5,2,FALSE),Backdoors!AL4)*(IF((Backdoors!AI12+IF(DX98&gt;=0.45,VLOOKUP(Calculator!E23,tbSkills!DH3:DI6,2,FALSE)+IF(AND(Calculator!B8=TRUE,Backdoors!BI21=TRUE),VLOOKUP(Calculator!E23,tbSkills!DH3:DJ6,3,FALSE),0),0))&gt;=100,100,(Backdoors!AI12+IF(DX98&gt;=0.45,VLOOKUP(Calculator!E23,tbSkills!DH3:DI6,2,FALSE)+IF(AND(Calculator!B8=TRUE,Backdoors!BI21=TRUE),VLOOKUP(Calculator!E23,tbSkills!DH3:DJ6,3,FALSE),0),0)))/100)),1),1)</f>
        <v>0.7</v>
      </c>
      <c r="ED98" s="87">
        <f t="shared" si="69"/>
        <v>0</v>
      </c>
      <c r="EE98" s="86" t="str">
        <f>IFERROR(IF(VLOOKUP(A98,tbMoveset!A2:B112,2,FALSE)="Sever",Backdoors!AY22/100,IF(VLOOKUP(A98,tbMoveset!A2:B112,2,FALSE)="Blunt",Backdoors!AZ22/100,Backdoors!BA22/100)),"")</f>
        <v/>
      </c>
      <c r="EF98" s="49">
        <f>IFERROR(IF(VLOOKUP(tbMoveset!A98,tbMoveset!A2:H112,8,FALSE)="Other",IF(VLOOKUP(tbMoveset!A98,tbMoveset!A2:I112,9,FALSE)="Fire",Backdoors!BB22,IF(VLOOKUP(tbMoveset!A98,tbMoveset!A2:I112,9,FALSE)="Water",Backdoors!BC22,IF(VLOOKUP(tbMoveset!A98,tbMoveset!A2:I112,9,FALSE)="Thunder",Backdoors!BD22,IF(VLOOKUP(tbMoveset!A98,tbMoveset!A2:I112,9,FALSE)="Ice",Backdoors!BE22,IF(VLOOKUP(tbMoveset!A98,tbMoveset!A2:I112,9,FALSE)="Dragon",Backdoors!BF22,Backdoors!BG22)))))/100,Backdoors!BG22/100),"")</f>
        <v>0</v>
      </c>
      <c r="EG98" s="49">
        <f>IFERROR(IF(VLOOKUP(A98,tbMoveset!A2:J112,10,FALSE)=TRUE,IF((Backdoors!AI12+IF(EE98&gt;=0.45,VLOOKUP(Calculator!E23,tbSkills!DH3:DI6,2,FALSE)+IF(AND(Calculator!B8=TRUE,Backdoors!BI22=TRUE),VLOOKUP(Calculator!E23,tbSkills!DH3:DJ6,3,FALSE),0),0))&gt;=0,1+(Backdoors!AL2*(IF((Backdoors!AI12+IF(EE98&gt;=0.45,VLOOKUP(Calculator!E23,tbSkills!DH3:DI6,2,FALSE)+IF(AND(Calculator!B8=TRUE,Backdoors!BI22=TRUE),VLOOKUP(Calculator!E23,tbSkills!DH3:DJ6,3,FALSE),0),0))&gt;=100,100,(Backdoors!AI12+IF(EE98&gt;=0.45,VLOOKUP(Calculator!E23,tbSkills!DH3:DI6,2,FALSE)+IF(AND(Calculator!B8=TRUE,Backdoors!BI22=TRUE),VLOOKUP(Calculator!E23,tbSkills!DH3:DJ6,3,FALSE),0),0)))/100)),(1-(0.25*((-Backdoors!AI12-IF(EE98&gt;=0.45,VLOOKUP(Calculator!E23,tbSkills!DH3:DI6,2,FALSE)+IF(AND(Calculator!B8=TRUE,Backdoors!BI22=TRUE),VLOOKUP(Calculator!E23,tbSkills!DH3:DJ6,3,FALSE),0),0))/100)))),1),"")</f>
        <v>1</v>
      </c>
      <c r="EH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E98)*EG98)*(VLOOKUP(A98,tbMoveset!A2:C112,3,FALSE)/100)*IF(VLOOKUP(A98,tbMoveset!A2:B112,2,FALSE)="Projectile",Backdoors!N10,Backdoors!N9),0),"")</f>
        <v/>
      </c>
      <c r="EI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E98&gt;=0.45,VLOOKUP(Calculator!E23,tbSkills!DH3:DI6,2,FALSE)+IF(AND(Calculator!B8=TRUE,Backdoors!BI22=TRUE),VLOOKUP(Calculator!E23,tbSkills!DH3:DJ6,3,FALSE),0),0))&gt;=100,100,(Backdoors!AI12+IF(EE98&gt;=0.45,VLOOKUP(Calculator!E23,tbSkills!DH3:DI6,2,FALSE)+IF(AND(Calculator!B8=TRUE,Backdoors!BI22=TRUE),VLOOKUP(Calculator!E23,tbSkills!DH3:DJ6,3,FALSE),0),0)))/100)),1))*IF(VLOOKUP(A98,tbMoveset!A2:K112,11,FALSE)=TRUE,Backdoors!AC5,1))*EF98,0),"")</f>
        <v>0</v>
      </c>
      <c r="EJ98" s="49">
        <f>VLOOKUP(A98,tbMoveset!A2:G112,7,FALSE)*IFERROR(IF(Backdoors!AI12&gt;=0,1+(IF(Calculator!E40&gt;0,VLOOKUP(Calculator!E40,tbSkills!AI3:AJ5,2,FALSE),Backdoors!AL4)*(IF((Backdoors!AI12+IF(EE98&gt;=0.45,VLOOKUP(Calculator!E23,tbSkills!DH3:DI6,2,FALSE)+IF(AND(Calculator!B8=TRUE,Backdoors!BI22=TRUE),VLOOKUP(Calculator!E23,tbSkills!DH3:DJ6,3,FALSE),0),0))&gt;=100,100,(Backdoors!AI12+IF(EE98&gt;=0.45,VLOOKUP(Calculator!E23,tbSkills!DH3:DI6,2,FALSE)+IF(AND(Calculator!B8=TRUE,Backdoors!BI22=TRUE),VLOOKUP(Calculator!E23,tbSkills!DH3:DJ6,3,FALSE),0),0)))/100)),1),1)</f>
        <v>0.7</v>
      </c>
      <c r="EK98" s="87">
        <f t="shared" si="70"/>
        <v>0</v>
      </c>
      <c r="EL98" s="86" t="str">
        <f>IFERROR(IF(VLOOKUP(A98,tbMoveset!A2:B112,2,FALSE)="Sever",Backdoors!AY23/100,IF(VLOOKUP(A98,tbMoveset!A2:B112,2,FALSE)="Blunt",Backdoors!AZ23/100,Backdoors!BA23/100)),"")</f>
        <v/>
      </c>
      <c r="EM98" s="49">
        <f>IFERROR(IF(VLOOKUP(tbMoveset!A98,tbMoveset!A2:H112,8,FALSE)="Other",IF(VLOOKUP(tbMoveset!A98,tbMoveset!A2:I112,9,FALSE)="Fire",Backdoors!BB23,IF(VLOOKUP(tbMoveset!A98,tbMoveset!A2:I112,9,FALSE)="Water",Backdoors!BC23,IF(VLOOKUP(tbMoveset!A98,tbMoveset!A2:I112,9,FALSE)="Thunder",Backdoors!BD23,IF(VLOOKUP(tbMoveset!A98,tbMoveset!A2:I112,9,FALSE)="Ice",Backdoors!BE23,IF(VLOOKUP(tbMoveset!A98,tbMoveset!A2:I112,9,FALSE)="Dragon",Backdoors!BF23,Backdoors!BG23)))))/100,Backdoors!BG23/100),"")</f>
        <v>0</v>
      </c>
      <c r="EN98" s="49">
        <f>IFERROR(IF(VLOOKUP(A98,tbMoveset!A2:J112,10,FALSE)=TRUE,IF((Backdoors!AI12+IF(EL98&gt;=0.45,VLOOKUP(Calculator!E23,tbSkills!DH3:DI6,2,FALSE)+IF(AND(Calculator!B8=TRUE,Backdoors!BI23=TRUE),VLOOKUP(Calculator!E23,tbSkills!DH3:DJ6,3,FALSE),0),0))&gt;=0,1+(Backdoors!AL2*(IF((Backdoors!AI12+IF(EL98&gt;=0.45,VLOOKUP(Calculator!E23,tbSkills!DH3:DI6,2,FALSE)+IF(AND(Calculator!B8=TRUE,Backdoors!BI23=TRUE),VLOOKUP(Calculator!E23,tbSkills!DH3:DJ6,3,FALSE),0),0))&gt;=100,100,(Backdoors!AI12+IF(EL98&gt;=0.45,VLOOKUP(Calculator!E23,tbSkills!DH3:DI6,2,FALSE)+IF(AND(Calculator!B8=TRUE,Backdoors!BI23=TRUE),VLOOKUP(Calculator!E23,tbSkills!DH3:DJ6,3,FALSE),0),0)))/100)),(1-(0.25*((-Backdoors!AI12-IF(EL98&gt;=0.45,VLOOKUP(Calculator!E23,tbSkills!DH3:DI6,2,FALSE)+IF(AND(Calculator!B8=TRUE,Backdoors!BI23=TRUE),VLOOKUP(Calculator!E23,tbSkills!DH3:DJ6,3,FALSE),0),0))/100)))),1),"")</f>
        <v>1</v>
      </c>
      <c r="EO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L98)*EN98)*(VLOOKUP(A98,tbMoveset!A2:C112,3,FALSE)/100)*IF(VLOOKUP(A98,tbMoveset!A2:B112,2,FALSE)="Projectile",Backdoors!N10,Backdoors!N9),0),"")</f>
        <v/>
      </c>
      <c r="EP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L98&gt;=0.45,VLOOKUP(Calculator!E23,tbSkills!DH3:DI6,2,FALSE)+IF(AND(Calculator!B8=TRUE,Backdoors!BI23=TRUE),VLOOKUP(Calculator!E23,tbSkills!DH3:DJ6,3,FALSE),0),0))&gt;=100,100,(Backdoors!AI12+IF(EL98&gt;=0.45,VLOOKUP(Calculator!E23,tbSkills!DH3:DI6,2,FALSE)+IF(AND(Calculator!B8=TRUE,Backdoors!BI23=TRUE),VLOOKUP(Calculator!E23,tbSkills!DH3:DJ6,3,FALSE),0),0)))/100)),1))*IF(VLOOKUP(A98,tbMoveset!A2:K112,11,FALSE)=TRUE,Backdoors!AC5,1))*EM98,0),"")</f>
        <v>0</v>
      </c>
      <c r="EQ98" s="49">
        <f>VLOOKUP(A98,tbMoveset!A2:G112,7,FALSE)*IFERROR(IF(Backdoors!AI12&gt;=0,1+(IF(Calculator!E40&gt;0,VLOOKUP(Calculator!E40,tbSkills!AI3:AJ5,2,FALSE),Backdoors!AL4)*(IF((Backdoors!AI12+IF(EL98&gt;=0.45,VLOOKUP(Calculator!E23,tbSkills!DH3:DI6,2,FALSE)+IF(AND(Calculator!B8=TRUE,Backdoors!BI23=TRUE),VLOOKUP(Calculator!E23,tbSkills!DH3:DJ6,3,FALSE),0),0))&gt;=100,100,(Backdoors!AI12+IF(EL98&gt;=0.45,VLOOKUP(Calculator!E23,tbSkills!DH3:DI6,2,FALSE)+IF(AND(Calculator!B8=TRUE,Backdoors!BI23=TRUE),VLOOKUP(Calculator!E23,tbSkills!DH3:DJ6,3,FALSE),0),0)))/100)),1),1)</f>
        <v>0.7</v>
      </c>
      <c r="ER98" s="87">
        <f t="shared" si="71"/>
        <v>0</v>
      </c>
      <c r="ES98" s="86" t="str">
        <f>IFERROR(IF(VLOOKUP(A98,tbMoveset!A2:B112,2,FALSE)="Sever",Backdoors!AY24/100,IF(VLOOKUP(A98,tbMoveset!A2:B112,2,FALSE)="Blunt",Backdoors!AZ24/100,Backdoors!BA24/100)),"")</f>
        <v/>
      </c>
      <c r="ET98" s="49">
        <f>IFERROR(IF(VLOOKUP(tbMoveset!A98,tbMoveset!A2:H112,8,FALSE)="Other",IF(VLOOKUP(tbMoveset!A98,tbMoveset!A2:I112,9,FALSE)="Fire",Backdoors!BB24,IF(VLOOKUP(tbMoveset!A98,tbMoveset!A2:I112,9,FALSE)="Water",Backdoors!BC24,IF(VLOOKUP(tbMoveset!A98,tbMoveset!A2:I112,9,FALSE)="Thunder",Backdoors!BD24,IF(VLOOKUP(tbMoveset!A98,tbMoveset!A2:I112,9,FALSE)="Ice",Backdoors!BE24,IF(VLOOKUP(tbMoveset!A98,tbMoveset!A2:I112,9,FALSE)="Dragon",Backdoors!BF24,Backdoors!BG24)))))/100,Backdoors!BG24/100),"")</f>
        <v>0</v>
      </c>
      <c r="EU98" s="49">
        <f>IFERROR(IF(VLOOKUP(A98,tbMoveset!A2:J112,10,FALSE)=TRUE,IF((Backdoors!AI12+IF(ES98&gt;=0.45,VLOOKUP(Calculator!E23,tbSkills!DH3:DI6,2,FALSE)+IF(AND(Calculator!B8=TRUE,Backdoors!BI24=TRUE),VLOOKUP(Calculator!E23,tbSkills!DH3:DJ6,3,FALSE),0),0))&gt;=0,1+(Backdoors!AL2*(IF((Backdoors!AI12+IF(ES98&gt;=0.45,VLOOKUP(Calculator!E23,tbSkills!DH3:DI6,2,FALSE)+IF(AND(Calculator!B8=TRUE,Backdoors!BI24=TRUE),VLOOKUP(Calculator!E23,tbSkills!DH3:DJ6,3,FALSE),0),0))&gt;=100,100,(Backdoors!AI12+IF(ES98&gt;=0.45,VLOOKUP(Calculator!E23,tbSkills!DH3:DI6,2,FALSE)+IF(AND(Calculator!B8=TRUE,Backdoors!BI24=TRUE),VLOOKUP(Calculator!E23,tbSkills!DH3:DJ6,3,FALSE),0),0)))/100)),(1-(0.25*((-Backdoors!AI12-IF(ES98&gt;=0.45,VLOOKUP(Calculator!E23,tbSkills!DH3:DI6,2,FALSE)+IF(AND(Calculator!B8=TRUE,Backdoors!BI24=TRUE),VLOOKUP(Calculator!E23,tbSkills!DH3:DJ6,3,FALSE),0),0))/100)))),1),"")</f>
        <v>1</v>
      </c>
      <c r="EV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S98)*EU98)*(VLOOKUP(A98,tbMoveset!A2:C112,3,FALSE)/100)*IF(VLOOKUP(A98,tbMoveset!A2:B112,2,FALSE)="Projectile",Backdoors!N10,Backdoors!N9),0),"")</f>
        <v/>
      </c>
      <c r="EW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S98&gt;=0.45,VLOOKUP(Calculator!E23,tbSkills!DH3:DI6,2,FALSE)+IF(AND(Calculator!B8=TRUE,Backdoors!BI24=TRUE),VLOOKUP(Calculator!E23,tbSkills!DH3:DJ6,3,FALSE),0),0))&gt;=100,100,(Backdoors!AI12+IF(ES98&gt;=0.45,VLOOKUP(Calculator!E23,tbSkills!DH3:DI6,2,FALSE)+IF(AND(Calculator!B8=TRUE,Backdoors!BI24=TRUE),VLOOKUP(Calculator!E23,tbSkills!DH3:DJ6,3,FALSE),0),0)))/100)),1))*IF(VLOOKUP(A98,tbMoveset!A2:K112,11,FALSE)=TRUE,Backdoors!AC5,1))*ET98,0),"")</f>
        <v>0</v>
      </c>
      <c r="EX98" s="49">
        <f>VLOOKUP(A98,tbMoveset!A2:G112,7,FALSE)*IFERROR(IF(Backdoors!AI12&gt;=0,1+(IF(Calculator!E40&gt;0,VLOOKUP(Calculator!E40,tbSkills!AI3:AJ5,2,FALSE),Backdoors!AL4)*(IF((Backdoors!AI12+IF(ES98&gt;=0.45,VLOOKUP(Calculator!E23,tbSkills!DH3:DI6,2,FALSE)+IF(AND(Calculator!B8=TRUE,Backdoors!BI24=TRUE),VLOOKUP(Calculator!E23,tbSkills!DH3:DJ6,3,FALSE),0),0))&gt;=100,100,(Backdoors!AI12+IF(ES98&gt;=0.45,VLOOKUP(Calculator!E23,tbSkills!DH3:DI6,2,FALSE)+IF(AND(Calculator!B8=TRUE,Backdoors!BI24=TRUE),VLOOKUP(Calculator!E23,tbSkills!DH3:DJ6,3,FALSE),0),0)))/100)),1),1)</f>
        <v>0.7</v>
      </c>
      <c r="EY98" s="87">
        <f t="shared" si="72"/>
        <v>0</v>
      </c>
      <c r="EZ98" s="86" t="str">
        <f>IFERROR(IF(VLOOKUP(A98,tbMoveset!A2:B112,2,FALSE)="Sever",Backdoors!AY25/100,IF(VLOOKUP(A98,tbMoveset!A2:B112,2,FALSE)="Blunt",Backdoors!AZ25/100,Backdoors!BA25/100)),"")</f>
        <v/>
      </c>
      <c r="FA98" s="49">
        <f>IFERROR(IF(VLOOKUP(tbMoveset!A98,tbMoveset!A2:H112,8,FALSE)="Other",IF(VLOOKUP(tbMoveset!A98,tbMoveset!A2:I112,9,FALSE)="Fire",Backdoors!BB25,IF(VLOOKUP(tbMoveset!A98,tbMoveset!A2:I112,9,FALSE)="Water",Backdoors!BC25,IF(VLOOKUP(tbMoveset!A98,tbMoveset!A2:I112,9,FALSE)="Thunder",Backdoors!BD25,IF(VLOOKUP(tbMoveset!A98,tbMoveset!A2:I112,9,FALSE)="Ice",Backdoors!BE25,IF(VLOOKUP(tbMoveset!A98,tbMoveset!A2:I112,9,FALSE)="Dragon",Backdoors!BF25,Backdoors!BG25)))))/100,Backdoors!BG25/100),"")</f>
        <v>0</v>
      </c>
      <c r="FB98" s="49">
        <f>IFERROR(IF(VLOOKUP(A98,tbMoveset!A2:J112,10,FALSE)=TRUE,IF((Backdoors!AI12+IF(EZ98&gt;=0.45,VLOOKUP(Calculator!E23,tbSkills!DH3:DI6,2,FALSE)+IF(AND(Calculator!B8=TRUE,Backdoors!BI25=TRUE),VLOOKUP(Calculator!E23,tbSkills!DH3:DJ6,3,FALSE),0),0))&gt;=0,1+(Backdoors!AL2*(IF((Backdoors!AI12+IF(EZ98&gt;=0.45,VLOOKUP(Calculator!E23,tbSkills!DH3:DI6,2,FALSE)+IF(AND(Calculator!B8=TRUE,Backdoors!BI25=TRUE),VLOOKUP(Calculator!E23,tbSkills!DH3:DJ6,3,FALSE),0),0))&gt;=100,100,(Backdoors!AI12+IF(EZ98&gt;=0.45,VLOOKUP(Calculator!E23,tbSkills!DH3:DI6,2,FALSE)+IF(AND(Calculator!B8=TRUE,Backdoors!BI25=TRUE),VLOOKUP(Calculator!E23,tbSkills!DH3:DJ6,3,FALSE),0),0)))/100)),(1-(0.25*((-Backdoors!AI12-IF(EZ98&gt;=0.45,VLOOKUP(Calculator!E23,tbSkills!DH3:DI6,2,FALSE)+IF(AND(Calculator!B8=TRUE,Backdoors!BI25=TRUE),VLOOKUP(Calculator!E23,tbSkills!DH3:DJ6,3,FALSE),0),0))/100)))),1),"")</f>
        <v>1</v>
      </c>
      <c r="FC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Z98)*FB98)*(VLOOKUP(A98,tbMoveset!A2:C112,3,FALSE)/100)*IF(VLOOKUP(A98,tbMoveset!A2:B112,2,FALSE)="Projectile",Backdoors!N10,Backdoors!N9),0),"")</f>
        <v/>
      </c>
      <c r="FD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Z98&gt;=0.45,VLOOKUP(Calculator!E23,tbSkills!DH3:DI6,2,FALSE)+IF(AND(Calculator!B8=TRUE,Backdoors!BI25=TRUE),VLOOKUP(Calculator!E23,tbSkills!DH3:DJ6,3,FALSE),0),0))&gt;=100,100,(Backdoors!AI12+IF(EZ98&gt;=0.45,VLOOKUP(Calculator!E23,tbSkills!DH3:DI6,2,FALSE)+IF(AND(Calculator!B8=TRUE,Backdoors!BI25=TRUE),VLOOKUP(Calculator!E23,tbSkills!DH3:DJ6,3,FALSE),0),0)))/100)),1))*IF(VLOOKUP(A98,tbMoveset!A2:K112,11,FALSE)=TRUE,Backdoors!AC5,1))*FA98,0),"")</f>
        <v>0</v>
      </c>
      <c r="FE98" s="49">
        <f>VLOOKUP(A98,tbMoveset!A2:G112,7,FALSE)*IFERROR(IF(Backdoors!AI12&gt;=0,1+(IF(Calculator!E40&gt;0,VLOOKUP(Calculator!E40,tbSkills!AI3:AJ5,2,FALSE),Backdoors!AL4)*(IF((Backdoors!AI12+IF(EZ98&gt;=0.45,VLOOKUP(Calculator!E23,tbSkills!DH3:DI6,2,FALSE)+IF(AND(Calculator!B8=TRUE,Backdoors!BI25=TRUE),VLOOKUP(Calculator!E23,tbSkills!DH3:DJ6,3,FALSE),0),0))&gt;=100,100,(Backdoors!AI12+IF(EZ98&gt;=0.45,VLOOKUP(Calculator!E23,tbSkills!DH3:DI6,2,FALSE)+IF(AND(Calculator!B8=TRUE,Backdoors!BI25=TRUE),VLOOKUP(Calculator!E23,tbSkills!DH3:DJ6,3,FALSE),0),0)))/100)),1),1)</f>
        <v>0.7</v>
      </c>
      <c r="FF98" s="87">
        <f t="shared" si="73"/>
        <v>0</v>
      </c>
      <c r="FG98" s="86" t="str">
        <f>IFERROR(IF(VLOOKUP(A98,tbMoveset!A2:B112,2,FALSE)="Sever",Backdoors!AY26/100,IF(VLOOKUP(A98,tbMoveset!A2:B112,2,FALSE)="Blunt",Backdoors!AZ26/100,Backdoors!BA26/100)),"")</f>
        <v/>
      </c>
      <c r="FH98" s="49">
        <f>IFERROR(IF(VLOOKUP(tbMoveset!A98,tbMoveset!A2:H112,8,FALSE)="Other",IF(VLOOKUP(tbMoveset!A98,tbMoveset!A2:I112,9,FALSE)="Fire",Backdoors!BB26,IF(VLOOKUP(tbMoveset!A98,tbMoveset!A2:I112,9,FALSE)="Water",Backdoors!BC26,IF(VLOOKUP(tbMoveset!A98,tbMoveset!A2:I112,9,FALSE)="Thunder",Backdoors!BD26,IF(VLOOKUP(tbMoveset!A98,tbMoveset!A2:I112,9,FALSE)="Ice",Backdoors!BE26,IF(VLOOKUP(tbMoveset!A98,tbMoveset!A2:I112,9,FALSE)="Dragon",Backdoors!BF26,Backdoors!BG26)))))/100,Backdoors!BG26/100),"")</f>
        <v>0</v>
      </c>
      <c r="FI98" s="49">
        <f>IFERROR(IF(VLOOKUP(A98,tbMoveset!A2:J112,10,FALSE)=TRUE,IF((Backdoors!AI12+IF(FG98&gt;=0.45,VLOOKUP(Calculator!E23,tbSkills!DH3:DI6,2,FALSE)+IF(AND(Calculator!B8=TRUE,Backdoors!BI26=TRUE),VLOOKUP(Calculator!E23,tbSkills!DH3:DJ6,3,FALSE),0),0))&gt;=0,1+(Backdoors!AL2*(IF((Backdoors!AI12+IF(FG98&gt;=0.45,VLOOKUP(Calculator!E23,tbSkills!DH3:DI6,2,FALSE)+IF(AND(Calculator!B8=TRUE,Backdoors!BI26=TRUE),VLOOKUP(Calculator!E23,tbSkills!DH3:DJ6,3,FALSE),0),0))&gt;=100,100,(Backdoors!AI12+IF(FG98&gt;=0.45,VLOOKUP(Calculator!E23,tbSkills!DH3:DI6,2,FALSE)+IF(AND(Calculator!B8=TRUE,Backdoors!BI26=TRUE),VLOOKUP(Calculator!E23,tbSkills!DH3:DJ6,3,FALSE),0),0)))/100)),(1-(0.25*((-Backdoors!AI12-IF(FG98&gt;=0.45,VLOOKUP(Calculator!E23,tbSkills!DH3:DI6,2,FALSE)+IF(AND(Calculator!B8=TRUE,Backdoors!BI26=TRUE),VLOOKUP(Calculator!E23,tbSkills!DH3:DJ6,3,FALSE),0),0))/100)))),1),"")</f>
        <v>1</v>
      </c>
      <c r="FJ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FG98)*FI98)*(VLOOKUP(A98,tbMoveset!A2:C112,3,FALSE)/100)*IF(VLOOKUP(A98,tbMoveset!A2:B112,2,FALSE)="Projectile",Backdoors!N10,Backdoors!N9),0),"")</f>
        <v/>
      </c>
      <c r="FK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FG98&gt;=0.45,VLOOKUP(Calculator!E23,tbSkills!DH3:DI6,2,FALSE)+IF(AND(Calculator!B8=TRUE,Backdoors!BI26=TRUE),VLOOKUP(Calculator!E23,tbSkills!DH3:DJ6,3,FALSE),0),0))&gt;=100,100,(Backdoors!AI12+IF(FG98&gt;=0.45,VLOOKUP(Calculator!E23,tbSkills!DH3:DI6,2,FALSE)+IF(AND(Calculator!B8=TRUE,Backdoors!BI26=TRUE),VLOOKUP(Calculator!E23,tbSkills!DH3:DJ6,3,FALSE),0),0)))/100)),1))*IF(VLOOKUP(A98,tbMoveset!A2:K112,11,FALSE)=TRUE,Backdoors!AC5,1))*FH98,0),"")</f>
        <v>0</v>
      </c>
      <c r="FL98" s="49">
        <f>VLOOKUP(A98,tbMoveset!A2:G112,7,FALSE)*IFERROR(IF(Backdoors!AI12&gt;=0,1+(IF(Calculator!E40&gt;0,VLOOKUP(Calculator!E40,tbSkills!AI3:AJ5,2,FALSE),Backdoors!AL4)*(IF((Backdoors!AI12+IF(FG98&gt;=0.45,VLOOKUP(Calculator!E23,tbSkills!DH3:DI6,2,FALSE)+IF(AND(Calculator!B8=TRUE,Backdoors!BI26=TRUE),VLOOKUP(Calculator!E23,tbSkills!DH3:DJ6,3,FALSE),0),0))&gt;=100,100,(Backdoors!AI12+IF(FG98&gt;=0.45,VLOOKUP(Calculator!E23,tbSkills!DH3:DI6,2,FALSE)+IF(AND(Calculator!B8=TRUE,Backdoors!BI26=TRUE),VLOOKUP(Calculator!E23,tbSkills!DH3:DJ6,3,FALSE),0),0)))/100)),1),1)</f>
        <v>0.7</v>
      </c>
      <c r="FM98" s="87">
        <f t="shared" si="74"/>
        <v>0</v>
      </c>
      <c r="FN98" s="86" t="str">
        <f>IFERROR(IF(VLOOKUP(A98,tbMoveset!A2:B112,2,FALSE)="Sever",Backdoors!AY27/100,IF(VLOOKUP(A98,tbMoveset!A2:B112,2,FALSE)="Blunt",Backdoors!AZ27/100,Backdoors!BA27/100)),"")</f>
        <v/>
      </c>
      <c r="FO98" s="49">
        <f>IFERROR(IF(VLOOKUP(tbMoveset!A98,tbMoveset!A2:H112,8,FALSE)="Other",IF(VLOOKUP(tbMoveset!A98,tbMoveset!A2:I112,9,FALSE)="Fire",Backdoors!BB27,IF(VLOOKUP(tbMoveset!A98,tbMoveset!A2:I112,9,FALSE)="Water",Backdoors!BC27,IF(VLOOKUP(tbMoveset!A98,tbMoveset!A2:I112,9,FALSE)="Thunder",Backdoors!BD27,IF(VLOOKUP(tbMoveset!A98,tbMoveset!A2:I112,9,FALSE)="Ice",Backdoors!BE27,IF(VLOOKUP(tbMoveset!A98,tbMoveset!A2:I112,9,FALSE)="Dragon",Backdoors!BF27,Backdoors!BG27)))))/100,Backdoors!BG27/100),"")</f>
        <v>0</v>
      </c>
      <c r="FP98" s="49">
        <f>IFERROR(IF(VLOOKUP(A98,tbMoveset!A2:J112,10,FALSE)=TRUE,IF((Backdoors!AI12+IF(FN98&gt;=0.45,VLOOKUP(Calculator!E23,tbSkills!DH3:DI6,2,FALSE)+IF(AND(Calculator!B8=TRUE,Backdoors!BI27=TRUE),VLOOKUP(Calculator!E23,tbSkills!DH3:DJ6,3,FALSE),0),0))&gt;=0,1+(Backdoors!AL2*(IF((Backdoors!AI12+IF(FN98&gt;=0.45,VLOOKUP(Calculator!E23,tbSkills!DH3:DI6,2,FALSE)+IF(AND(Calculator!B8=TRUE,Backdoors!BI27=TRUE),VLOOKUP(Calculator!E23,tbSkills!DH3:DJ6,3,FALSE),0),0))&gt;=100,100,(Backdoors!AI12+IF(FN98&gt;=0.45,VLOOKUP(Calculator!E23,tbSkills!DH3:DI6,2,FALSE)+IF(AND(Calculator!B8=TRUE,Backdoors!BI27=TRUE),VLOOKUP(Calculator!E23,tbSkills!DH3:DJ6,3,FALSE),0),0)))/100)),(1-(0.25*((-Backdoors!AI12-IF(FN98&gt;=0.45,VLOOKUP(Calculator!E23,tbSkills!DH3:DI6,2,FALSE)+IF(AND(Calculator!B8=TRUE,Backdoors!BI27=TRUE),VLOOKUP(Calculator!E23,tbSkills!DH3:DJ6,3,FALSE),0),0))/100)))),1),"")</f>
        <v>1</v>
      </c>
      <c r="FQ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FN98)*FP98)*(VLOOKUP(A98,tbMoveset!A2:C112,3,FALSE)/100)*IF(VLOOKUP(A98,tbMoveset!A2:B112,2,FALSE)="Projectile",Backdoors!N10,Backdoors!N9),0),"")</f>
        <v/>
      </c>
      <c r="FR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FN98&gt;=0.45,VLOOKUP(Calculator!E23,tbSkills!DH3:DI6,2,FALSE)+IF(AND(Calculator!B8=TRUE,Backdoors!BI27=TRUE),VLOOKUP(Calculator!E23,tbSkills!DH3:DJ6,3,FALSE),0),0))&gt;=100,100,(Backdoors!AI12+IF(FN98&gt;=0.45,VLOOKUP(Calculator!E23,tbSkills!DH3:DI6,2,FALSE)+IF(AND(Calculator!B8=TRUE,Backdoors!BI27=TRUE),VLOOKUP(Calculator!E23,tbSkills!DH3:DJ6,3,FALSE),0),0)))/100)),1))*IF(VLOOKUP(A98,tbMoveset!A2:K112,11,FALSE)=TRUE,Backdoors!AC5,1))*FO98,0),"")</f>
        <v>0</v>
      </c>
      <c r="FS98" s="49">
        <f>VLOOKUP(A98,tbMoveset!A2:G112,7,FALSE)*IFERROR(IF(Backdoors!AI12&gt;=0,1+(IF(Calculator!E40&gt;0,VLOOKUP(Calculator!E40,tbSkills!AI3:AJ5,2,FALSE),Backdoors!AL4)*(IF((Backdoors!AI12+IF(FN98&gt;=0.45,VLOOKUP(Calculator!E23,tbSkills!DH3:DI6,2,FALSE)+IF(AND(Calculator!B8=TRUE,Backdoors!BI27=TRUE),VLOOKUP(Calculator!E23,tbSkills!DH3:DJ6,3,FALSE),0),0))&gt;=100,100,(Backdoors!AI12+IF(FN98&gt;=0.45,VLOOKUP(Calculator!E23,tbSkills!DH3:DI6,2,FALSE)+IF(AND(Calculator!B8=TRUE,Backdoors!BI27=TRUE),VLOOKUP(Calculator!E23,tbSkills!DH3:DJ6,3,FALSE),0),0)))/100)),1),1)</f>
        <v>0.7</v>
      </c>
      <c r="FT98" s="87">
        <f t="shared" si="75"/>
        <v>0</v>
      </c>
      <c r="FU98" s="86" t="str">
        <f>IFERROR(IF(VLOOKUP(A98,tbMoveset!A2:B112,2,FALSE)="Sever",Backdoors!AY28/100,IF(VLOOKUP(A98,tbMoveset!A2:B112,2,FALSE)="Blunt",Backdoors!AZ28/100,Backdoors!BA28/100)),"")</f>
        <v/>
      </c>
      <c r="FV98" s="49">
        <f>IFERROR(IF(VLOOKUP(tbMoveset!A98,tbMoveset!A2:H112,8,FALSE)="Other",IF(VLOOKUP(tbMoveset!A98,tbMoveset!A2:I112,9,FALSE)="Fire",Backdoors!BB28,IF(VLOOKUP(tbMoveset!A98,tbMoveset!A2:I112,9,FALSE)="Water",Backdoors!BC28,IF(VLOOKUP(tbMoveset!A98,tbMoveset!A2:I112,9,FALSE)="Thunder",Backdoors!BD28,IF(VLOOKUP(tbMoveset!A98,tbMoveset!A2:I112,9,FALSE)="Ice",Backdoors!BE28,IF(VLOOKUP(tbMoveset!A98,tbMoveset!A2:I112,9,FALSE)="Dragon",Backdoors!BF28,Backdoors!BG28)))))/100,Backdoors!BG28/100),"")</f>
        <v>0</v>
      </c>
      <c r="FW98" s="49">
        <f>IFERROR(IF(VLOOKUP(A98,tbMoveset!A2:J112,10,FALSE)=TRUE,IF((Backdoors!AI12+IF(FU98&gt;=0.45,VLOOKUP(Calculator!E23,tbSkills!DH3:DI6,2,FALSE)+IF(AND(Calculator!B8=TRUE,Backdoors!BI28=TRUE),VLOOKUP(Calculator!E23,tbSkills!DH3:DJ6,3,FALSE),0),0))&gt;=0,1+(Backdoors!AL2*(IF((Backdoors!AI12+IF(FU98&gt;=0.45,VLOOKUP(Calculator!E23,tbSkills!DH3:DI6,2,FALSE)+IF(AND(Calculator!B8=TRUE,Backdoors!BI28=TRUE),VLOOKUP(Calculator!E23,tbSkills!DH3:DJ6,3,FALSE),0),0))&gt;=100,100,(Backdoors!AI12+IF(FU98&gt;=0.45,VLOOKUP(Calculator!E23,tbSkills!DH3:DI6,2,FALSE)+IF(AND(Calculator!B8=TRUE,Backdoors!BI28=TRUE),VLOOKUP(Calculator!E23,tbSkills!DH3:DJ6,3,FALSE),0),0)))/100)),(1-(0.25*((-Backdoors!AI12-IF(FU98&gt;=0.45,VLOOKUP(Calculator!E23,tbSkills!DH3:DI6,2,FALSE)+IF(AND(Calculator!B8=TRUE,Backdoors!BI28=TRUE),VLOOKUP(Calculator!E23,tbSkills!DH3:DJ6,3,FALSE),0),0))/100)))),1),"")</f>
        <v>1</v>
      </c>
      <c r="FX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FU98)*FW98)*(VLOOKUP(A98,tbMoveset!A2:C112,3,FALSE)/100)*IF(VLOOKUP(A98,tbMoveset!A2:B112,2,FALSE)="Projectile",Backdoors!N10,Backdoors!N9),0),"")</f>
        <v/>
      </c>
      <c r="FY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FU98&gt;=0.45,VLOOKUP(Calculator!E23,tbSkills!DH3:DI6,2,FALSE)+IF(AND(Calculator!B8=TRUE,Backdoors!BI28=TRUE),VLOOKUP(Calculator!E23,tbSkills!DH3:DJ6,3,FALSE),0),0))&gt;=100,100,(Backdoors!AI12+IF(FU98&gt;=0.45,VLOOKUP(Calculator!E23,tbSkills!DH3:DI6,2,FALSE)+IF(AND(Calculator!B8=TRUE,Backdoors!BI28=TRUE),VLOOKUP(Calculator!E23,tbSkills!DH3:DJ6,3,FALSE),0),0)))/100)),1))*IF(VLOOKUP(A98,tbMoveset!A2:K112,11,FALSE)=TRUE,Backdoors!AC5,1))*FV98,0),"")</f>
        <v>0</v>
      </c>
      <c r="FZ98" s="49">
        <f>VLOOKUP(A98,tbMoveset!A2:G112,7,FALSE)*IFERROR(IF(Backdoors!AI12&gt;=0,1+(IF(Calculator!E40&gt;0,VLOOKUP(Calculator!E40,tbSkills!AI3:AJ5,2,FALSE),Backdoors!AL4)*(IF((Backdoors!AI12+IF(FU98&gt;=0.45,VLOOKUP(Calculator!E23,tbSkills!DH3:DI6,2,FALSE)+IF(AND(Calculator!B8=TRUE,Backdoors!BI28=TRUE),VLOOKUP(Calculator!E23,tbSkills!DH3:DJ6,3,FALSE),0),0))&gt;=100,100,(Backdoors!AI12+IF(FU98&gt;=0.45,VLOOKUP(Calculator!E23,tbSkills!DH3:DI6,2,FALSE)+IF(AND(Calculator!B8=TRUE,Backdoors!BI28=TRUE),VLOOKUP(Calculator!E23,tbSkills!DH3:DJ6,3,FALSE),0),0)))/100)),1),1)</f>
        <v>0.7</v>
      </c>
      <c r="GA98" s="87">
        <f t="shared" si="76"/>
        <v>0</v>
      </c>
      <c r="GB98" s="86" t="str">
        <f>IFERROR(IF(VLOOKUP(A98,tbMoveset!A2:B112,2,FALSE)="Sever",Backdoors!AY29/100,IF(VLOOKUP(A98,tbMoveset!A2:B112,2,FALSE)="Blunt",Backdoors!AZ29/100,Backdoors!BA29/100)),"")</f>
        <v/>
      </c>
      <c r="GC98" s="49">
        <f>IFERROR(IF(VLOOKUP(tbMoveset!A98,tbMoveset!A2:H112,8,FALSE)="Other",IF(VLOOKUP(tbMoveset!A98,tbMoveset!A2:I112,9,FALSE)="Fire",Backdoors!BB29,IF(VLOOKUP(tbMoveset!A98,tbMoveset!A2:I112,9,FALSE)="Water",Backdoors!BC29,IF(VLOOKUP(tbMoveset!A98,tbMoveset!A2:I112,9,FALSE)="Thunder",Backdoors!BD29,IF(VLOOKUP(tbMoveset!A98,tbMoveset!A2:I112,9,FALSE)="Ice",Backdoors!BE29,IF(VLOOKUP(tbMoveset!A98,tbMoveset!A2:I112,9,FALSE)="Dragon",Backdoors!BF29,Backdoors!BG29)))))/100,Backdoors!BG29/100),"")</f>
        <v>0</v>
      </c>
      <c r="GD98" s="49">
        <f>IFERROR(IF(VLOOKUP(A98,tbMoveset!A2:J112,10,FALSE)=TRUE,IF((Backdoors!AI12+IF(GB98&gt;=0.45,VLOOKUP(Calculator!E23,tbSkills!DH3:DI6,2,FALSE)+IF(AND(Calculator!B8=TRUE,Backdoors!BI29=TRUE),VLOOKUP(Calculator!E23,tbSkills!DH3:DJ6,3,FALSE),0),0))&gt;=0,1+(Backdoors!AL2*(IF((Backdoors!AI12+IF(GB98&gt;=0.45,VLOOKUP(Calculator!E23,tbSkills!DH3:DI6,2,FALSE)+IF(AND(Calculator!B8=TRUE,Backdoors!BI29=TRUE),VLOOKUP(Calculator!E23,tbSkills!DH3:DJ6,3,FALSE),0),0))&gt;=100,100,(Backdoors!AI12+IF(GB98&gt;=0.45,VLOOKUP(Calculator!E23,tbSkills!DH3:DI6,2,FALSE)+IF(AND(Calculator!B8=TRUE,Backdoors!BI29=TRUE),VLOOKUP(Calculator!E23,tbSkills!DH3:DJ6,3,FALSE),0),0)))/100)),(1-(0.25*((-Backdoors!AI12-IF(GB98&gt;=0.45,VLOOKUP(Calculator!E23,tbSkills!DH3:DI6,2,FALSE)+IF(AND(Calculator!B8=TRUE,Backdoors!BI29=TRUE),VLOOKUP(Calculator!E23,tbSkills!DH3:DJ6,3,FALSE),0),0))/100)))),1),"")</f>
        <v>1</v>
      </c>
      <c r="GE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B98)*GD98)*(VLOOKUP(A98,tbMoveset!A2:C112,3,FALSE)/100)*IF(VLOOKUP(A98,tbMoveset!A2:B112,2,FALSE)="Projectile",Backdoors!N10,Backdoors!N9),0),"")</f>
        <v/>
      </c>
      <c r="GF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B98&gt;=0.45,VLOOKUP(Calculator!E23,tbSkills!DH3:DI6,2,FALSE)+IF(AND(Calculator!B8=TRUE,Backdoors!BI29=TRUE),VLOOKUP(Calculator!E23,tbSkills!DH3:DJ6,3,FALSE),0),0))&gt;=100,100,(Backdoors!AI12+IF(GB98&gt;=0.45,VLOOKUP(Calculator!E23,tbSkills!DH3:DI6,2,FALSE)+IF(AND(Calculator!B8=TRUE,Backdoors!BI29=TRUE),VLOOKUP(Calculator!E23,tbSkills!DH3:DJ6,3,FALSE),0),0)))/100)),1))*IF(VLOOKUP(A98,tbMoveset!A2:K112,11,FALSE)=TRUE,Backdoors!AC5,1))*GC98,0),"")</f>
        <v>0</v>
      </c>
      <c r="GG98" s="49">
        <f>VLOOKUP(A98,tbMoveset!A2:G112,7,FALSE)*IFERROR(IF(Backdoors!AI12&gt;=0,1+(IF(Calculator!E40&gt;0,VLOOKUP(Calculator!E40,tbSkills!AI3:AJ5,2,FALSE),Backdoors!AL4)*(IF((Backdoors!AI12+IF(GB98&gt;=0.45,VLOOKUP(Calculator!E23,tbSkills!DH3:DI6,2,FALSE)+IF(AND(Calculator!B8=TRUE,Backdoors!BI29=TRUE),VLOOKUP(Calculator!E23,tbSkills!DH3:DJ6,3,FALSE),0),0))&gt;=100,100,(Backdoors!AI12+IF(GB98&gt;=0.45,VLOOKUP(Calculator!E23,tbSkills!DH3:DI6,2,FALSE)+IF(AND(Calculator!B8=TRUE,Backdoors!BI29=TRUE),VLOOKUP(Calculator!E23,tbSkills!DH3:DJ6,3,FALSE),0),0)))/100)),1),1)</f>
        <v>0.7</v>
      </c>
      <c r="GH98" s="87">
        <f t="shared" si="77"/>
        <v>0</v>
      </c>
      <c r="GI98" s="86" t="str">
        <f>IFERROR(IF(VLOOKUP(A98,tbMoveset!A2:B112,2,FALSE)="Sever",Backdoors!AY30/100,IF(VLOOKUP(A98,tbMoveset!A2:B112,2,FALSE)="Blunt",Backdoors!AZ30/100,Backdoors!BA30/100)),"")</f>
        <v/>
      </c>
      <c r="GJ98" s="49">
        <f>IFERROR(IF(VLOOKUP(tbMoveset!A98,tbMoveset!A2:H112,8,FALSE)="Other",IF(VLOOKUP(tbMoveset!A98,tbMoveset!A2:I112,9,FALSE)="Fire",Backdoors!BB30,IF(VLOOKUP(tbMoveset!A98,tbMoveset!A2:I112,9,FALSE)="Water",Backdoors!BC30,IF(VLOOKUP(tbMoveset!A98,tbMoveset!A2:I112,9,FALSE)="Thunder",Backdoors!BD30,IF(VLOOKUP(tbMoveset!A98,tbMoveset!A2:I112,9,FALSE)="Ice",Backdoors!BE30,IF(VLOOKUP(tbMoveset!A98,tbMoveset!A2:I112,9,FALSE)="Dragon",Backdoors!BF30,Backdoors!BG30)))))/100,Backdoors!BG30/100),"")</f>
        <v>0</v>
      </c>
      <c r="GK98" s="49">
        <f>IFERROR(IF(VLOOKUP(A98,tbMoveset!A2:J112,10,FALSE)=TRUE,IF((Backdoors!AI12+IF(GI98&gt;=0.45,VLOOKUP(Calculator!E23,tbSkills!DH3:DI6,2,FALSE)+IF(AND(Calculator!B8=TRUE,Backdoors!BI30=TRUE),VLOOKUP(Calculator!E23,tbSkills!DH3:DJ6,3,FALSE),0),0))&gt;=0,1+(Backdoors!AL2*(IF((Backdoors!AI12+IF(GI98&gt;=0.45,VLOOKUP(Calculator!E23,tbSkills!DH3:DI6,2,FALSE)+IF(AND(Calculator!B8=TRUE,Backdoors!BI30=TRUE),VLOOKUP(Calculator!E23,tbSkills!DH3:DJ6,3,FALSE),0),0))&gt;=100,100,(Backdoors!AI12+IF(GI98&gt;=0.45,VLOOKUP(Calculator!E23,tbSkills!DH3:DI6,2,FALSE)+IF(AND(Calculator!B8=TRUE,Backdoors!BI30=TRUE),VLOOKUP(Calculator!E23,tbSkills!DH3:DJ6,3,FALSE),0),0)))/100)),(1-(0.25*((-Backdoors!AI12-IF(GI98&gt;=0.45,VLOOKUP(Calculator!E23,tbSkills!DH3:DI6,2,FALSE)+IF(AND(Calculator!B8=TRUE,Backdoors!BI30=TRUE),VLOOKUP(Calculator!E23,tbSkills!DH3:DJ6,3,FALSE),0),0))/100)))),1),"")</f>
        <v>1</v>
      </c>
      <c r="GL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I98)*GK98)*(VLOOKUP(A98,tbMoveset!A2:C112,3,FALSE)/100)*IF(VLOOKUP(A98,tbMoveset!A2:B112,2,FALSE)="Projectile",Backdoors!N10,Backdoors!N9),0),"")</f>
        <v/>
      </c>
      <c r="GM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I98&gt;=0.45,VLOOKUP(Calculator!E23,tbSkills!DH3:DI6,2,FALSE)+IF(AND(Calculator!B8=TRUE,Backdoors!BI30=TRUE),VLOOKUP(Calculator!E23,tbSkills!DH3:DJ6,3,FALSE),0),0))&gt;=100,100,(Backdoors!AI12+IF(GI98&gt;=0.45,VLOOKUP(Calculator!E23,tbSkills!DH3:DI6,2,FALSE)+IF(AND(Calculator!B8=TRUE,Backdoors!BI30=TRUE),VLOOKUP(Calculator!E23,tbSkills!DH3:DJ6,3,FALSE),0),0)))/100)),1))*IF(VLOOKUP(A98,tbMoveset!A2:K112,11,FALSE)=TRUE,Backdoors!AC5,1))*GJ98,0),"")</f>
        <v>0</v>
      </c>
      <c r="GN98" s="49">
        <f>VLOOKUP(A98,tbMoveset!A2:G112,7,FALSE)*IFERROR(IF(Backdoors!AI12&gt;=0,1+(IF(Calculator!E40&gt;0,VLOOKUP(Calculator!E40,tbSkills!AI3:AJ5,2,FALSE),Backdoors!AL4)*(IF((Backdoors!AI12+IF(GI98&gt;=0.45,VLOOKUP(Calculator!E23,tbSkills!DH3:DI6,2,FALSE)+IF(AND(Calculator!B8=TRUE,Backdoors!BI30=TRUE),VLOOKUP(Calculator!E23,tbSkills!DH3:DJ6,3,FALSE),0),0))&gt;=100,100,(Backdoors!AI12+IF(GI98&gt;=0.45,VLOOKUP(Calculator!E23,tbSkills!DH3:DI6,2,FALSE)+IF(AND(Calculator!B8=TRUE,Backdoors!BI30=TRUE),VLOOKUP(Calculator!E23,tbSkills!DH3:DJ6,3,FALSE),0),0)))/100)),1),1)</f>
        <v>0.7</v>
      </c>
      <c r="GO98" s="87">
        <f t="shared" si="78"/>
        <v>0</v>
      </c>
      <c r="GP98" s="86" t="str">
        <f>IFERROR(IF(VLOOKUP(A98,tbMoveset!A2:B112,2,FALSE)="Sever",Backdoors!AY31/100,IF(VLOOKUP(A98,tbMoveset!A2:B112,2,FALSE)="Blunt",Backdoors!AZ31/100,Backdoors!BA31/100)),"")</f>
        <v/>
      </c>
      <c r="GQ98" s="49">
        <f>IFERROR(IF(VLOOKUP(tbMoveset!A98,tbMoveset!A2:H112,8,FALSE)="Other",IF(VLOOKUP(tbMoveset!A98,tbMoveset!A2:I112,9,FALSE)="Fire",Backdoors!BB31,IF(VLOOKUP(tbMoveset!A98,tbMoveset!A2:I112,9,FALSE)="Water",Backdoors!BC31,IF(VLOOKUP(tbMoveset!A98,tbMoveset!A2:I112,9,FALSE)="Thunder",Backdoors!BD31,IF(VLOOKUP(tbMoveset!A98,tbMoveset!A2:I112,9,FALSE)="Ice",Backdoors!BE31,IF(VLOOKUP(tbMoveset!A98,tbMoveset!A2:I112,9,FALSE)="Dragon",Backdoors!BF31,Backdoors!BG31)))))/100,Backdoors!BG31/100),"")</f>
        <v>0</v>
      </c>
      <c r="GR98" s="49">
        <f>IFERROR(IF(VLOOKUP(A98,tbMoveset!A2:J112,10,FALSE)=TRUE,IF((Backdoors!AI12+IF(GP98&gt;=0.45,VLOOKUP(Calculator!E23,tbSkills!DH3:DI6,2,FALSE)+IF(AND(Calculator!B8=TRUE,Backdoors!BI31=TRUE),VLOOKUP(Calculator!E23,tbSkills!DH3:DJ6,3,FALSE),0),0))&gt;=0,1+(Backdoors!AL2*(IF((Backdoors!AI12+IF(GP98&gt;=0.45,VLOOKUP(Calculator!E23,tbSkills!DH3:DI6,2,FALSE)+IF(AND(Calculator!B8=TRUE,Backdoors!BI31=TRUE),VLOOKUP(Calculator!E23,tbSkills!DH3:DJ6,3,FALSE),0),0))&gt;=100,100,(Backdoors!AI12+IF(GP98&gt;=0.45,VLOOKUP(Calculator!E23,tbSkills!DH3:DI6,2,FALSE)+IF(AND(Calculator!B8=TRUE,Backdoors!BI31=TRUE),VLOOKUP(Calculator!E23,tbSkills!DH3:DJ6,3,FALSE),0),0)))/100)),(1-(0.25*((-Backdoors!AI12-IF(GP98&gt;=0.45,VLOOKUP(Calculator!E23,tbSkills!DH3:DI6,2,FALSE)+IF(AND(Calculator!B8=TRUE,Backdoors!BI31=TRUE),VLOOKUP(Calculator!E23,tbSkills!DH3:DJ6,3,FALSE),0),0))/100)))),1),"")</f>
        <v>1</v>
      </c>
      <c r="GS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P98)*GR98)*(VLOOKUP(A98,tbMoveset!A2:C112,3,FALSE)/100)*IF(VLOOKUP(A98,tbMoveset!A2:B112,2,FALSE)="Projectile",Backdoors!N10,Backdoors!N9),0),"")</f>
        <v/>
      </c>
      <c r="GT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P98&gt;=0.45,VLOOKUP(Calculator!E23,tbSkills!DH3:DI6,2,FALSE)+IF(AND(Calculator!B8=TRUE,Backdoors!BI31=TRUE),VLOOKUP(Calculator!E23,tbSkills!DH3:DJ6,3,FALSE),0),0))&gt;=100,100,(Backdoors!AI12+IF(GP98&gt;=0.45,VLOOKUP(Calculator!E23,tbSkills!DH3:DI6,2,FALSE)+IF(AND(Calculator!B8=TRUE,Backdoors!BI31=TRUE),VLOOKUP(Calculator!E23,tbSkills!DH3:DJ6,3,FALSE),0),0)))/100)),1))*IF(VLOOKUP(A98,tbMoveset!A2:K112,11,FALSE)=TRUE,Backdoors!AC5,1))*GQ98,0),"")</f>
        <v>0</v>
      </c>
      <c r="GU98" s="49">
        <f>VLOOKUP(A98,tbMoveset!A2:G112,7,FALSE)*IFERROR(IF(Backdoors!AI12&gt;=0,1+(IF(Calculator!E40&gt;0,VLOOKUP(Calculator!E40,tbSkills!AI3:AJ5,2,FALSE),Backdoors!AL4)*(IF((Backdoors!AI12+IF(GP98&gt;=0.45,VLOOKUP(Calculator!E23,tbSkills!DH3:DI6,2,FALSE)+IF(AND(Calculator!B8=TRUE,Backdoors!BI31=TRUE),VLOOKUP(Calculator!E23,tbSkills!DH3:DJ6,3,FALSE),0),0))&gt;=100,100,(Backdoors!AI12+IF(GP98&gt;=0.45,VLOOKUP(Calculator!E23,tbSkills!DH3:DI6,2,FALSE)+IF(AND(Calculator!B8=TRUE,Backdoors!BI31=TRUE),VLOOKUP(Calculator!E23,tbSkills!DH3:DJ6,3,FALSE),0),0)))/100)),1),1)</f>
        <v>0.7</v>
      </c>
      <c r="GV98" s="87">
        <f t="shared" si="79"/>
        <v>0</v>
      </c>
      <c r="GW98" s="86" t="str">
        <f>IFERROR(IF(VLOOKUP(A98,tbMoveset!A2:B112,2,FALSE)="Sever",Backdoors!AY32/100,IF(VLOOKUP(A98,tbMoveset!A2:B112,2,FALSE)="Blunt",Backdoors!AZ32/100,Backdoors!BA32/100)),"")</f>
        <v/>
      </c>
      <c r="GX98" s="49">
        <f>IFERROR(IF(VLOOKUP(tbMoveset!A98,tbMoveset!A2:H112,8,FALSE)="Other",IF(VLOOKUP(tbMoveset!A98,tbMoveset!A2:I112,9,FALSE)="Fire",Backdoors!BB32,IF(VLOOKUP(tbMoveset!A98,tbMoveset!A2:I112,9,FALSE)="Water",Backdoors!BC32,IF(VLOOKUP(tbMoveset!A98,tbMoveset!A2:I112,9,FALSE)="Thunder",Backdoors!BD32,IF(VLOOKUP(tbMoveset!A98,tbMoveset!A2:I112,9,FALSE)="Ice",Backdoors!BE32,IF(VLOOKUP(tbMoveset!A98,tbMoveset!A2:I112,9,FALSE)="Dragon",Backdoors!BF32,Backdoors!BG32)))))/100,Backdoors!BG32/100),"")</f>
        <v>0</v>
      </c>
      <c r="GY98" s="49">
        <f>IFERROR(IF(VLOOKUP(A98,tbMoveset!A2:J112,10,FALSE)=TRUE,IF((Backdoors!AI12+IF(GW98&gt;=0.45,VLOOKUP(Calculator!E23,tbSkills!DH3:DI6,2,FALSE)+IF(AND(Calculator!B8=TRUE,Backdoors!BI32=TRUE),VLOOKUP(Calculator!E23,tbSkills!DH3:DJ6,3,FALSE),0),0))&gt;=0,1+(Backdoors!AL2*(IF((Backdoors!AI12+IF(GW98&gt;=0.45,VLOOKUP(Calculator!E23,tbSkills!DH3:DI6,2,FALSE)+IF(AND(Calculator!B8=TRUE,Backdoors!BI32=TRUE),VLOOKUP(Calculator!E23,tbSkills!DH3:DJ6,3,FALSE),0),0))&gt;=100,100,(Backdoors!AI12+IF(GW98&gt;=0.45,VLOOKUP(Calculator!E23,tbSkills!DH3:DI6,2,FALSE)+IF(AND(Calculator!B8=TRUE,Backdoors!BI32=TRUE),VLOOKUP(Calculator!E23,tbSkills!DH3:DJ6,3,FALSE),0),0)))/100)),(1-(0.25*((-Backdoors!AI12-IF(GW98&gt;=0.45,VLOOKUP(Calculator!E23,tbSkills!DH3:DI6,2,FALSE)+IF(AND(Calculator!B8=TRUE,Backdoors!BI32=TRUE),VLOOKUP(Calculator!E23,tbSkills!DH3:DJ6,3,FALSE),0),0))/100)))),1),"")</f>
        <v>1</v>
      </c>
      <c r="GZ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W98)*GY98)*(VLOOKUP(A98,tbMoveset!A2:C112,3,FALSE)/100)*IF(VLOOKUP(A98,tbMoveset!A2:B112,2,FALSE)="Projectile",Backdoors!N10,Backdoors!N9),0),"")</f>
        <v/>
      </c>
      <c r="HA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W98&gt;=0.45,VLOOKUP(Calculator!E23,tbSkills!DH3:DI6,2,FALSE)+IF(AND(Calculator!B8=TRUE,Backdoors!BI32=TRUE),VLOOKUP(Calculator!E23,tbSkills!DH3:DJ6,3,FALSE),0),0))&gt;=100,100,(Backdoors!AI12+IF(GW98&gt;=0.45,VLOOKUP(Calculator!E23,tbSkills!DH3:DI6,2,FALSE)+IF(AND(Calculator!B8=TRUE,Backdoors!BI32=TRUE),VLOOKUP(Calculator!E23,tbSkills!DH3:DJ6,3,FALSE),0),0)))/100)),1))*IF(VLOOKUP(A98,tbMoveset!A2:K112,11,FALSE)=TRUE,Backdoors!AC5,1))*GX98,0),"")</f>
        <v>0</v>
      </c>
      <c r="HB98" s="49">
        <f>VLOOKUP(A98,tbMoveset!A2:G112,7,FALSE)*IFERROR(IF(Backdoors!AI12&gt;=0,1+(IF(Calculator!E40&gt;0,VLOOKUP(Calculator!E40,tbSkills!AI3:AJ5,2,FALSE),Backdoors!AL4)*(IF((Backdoors!AI12+IF(GW98&gt;=0.45,VLOOKUP(Calculator!E23,tbSkills!DH3:DI6,2,FALSE)+IF(AND(Calculator!B8=TRUE,Backdoors!BI32=TRUE),VLOOKUP(Calculator!E23,tbSkills!DH3:DJ6,3,FALSE),0),0))&gt;=100,100,(Backdoors!AI12+IF(GW98&gt;=0.45,VLOOKUP(Calculator!E23,tbSkills!DH3:DI6,2,FALSE)+IF(AND(Calculator!B8=TRUE,Backdoors!BI32=TRUE),VLOOKUP(Calculator!E23,tbSkills!DH3:DJ6,3,FALSE),0),0)))/100)),1),1)</f>
        <v>0.7</v>
      </c>
      <c r="HC98" s="87">
        <f t="shared" si="80"/>
        <v>0</v>
      </c>
      <c r="HD98" s="86" t="str">
        <f>IFERROR(IF(VLOOKUP(A98,tbMoveset!A2:B112,2,FALSE)="Sever",Backdoors!AY33/100,IF(VLOOKUP(A98,tbMoveset!A2:B112,2,FALSE)="Blunt",Backdoors!AZ33/100,Backdoors!BA33/100)),"")</f>
        <v/>
      </c>
      <c r="HE98" s="49">
        <f>IFERROR(IF(VLOOKUP(tbMoveset!A98,tbMoveset!A2:H112,8,FALSE)="Other",IF(VLOOKUP(tbMoveset!A98,tbMoveset!A2:I112,9,FALSE)="Fire",Backdoors!BB33,IF(VLOOKUP(tbMoveset!A98,tbMoveset!A2:I112,9,FALSE)="Water",Backdoors!BC33,IF(VLOOKUP(tbMoveset!A98,tbMoveset!A2:I112,9,FALSE)="Thunder",Backdoors!BD33,IF(VLOOKUP(tbMoveset!A98,tbMoveset!A2:I112,9,FALSE)="Ice",Backdoors!BE33,IF(VLOOKUP(tbMoveset!A98,tbMoveset!A2:I112,9,FALSE)="Dragon",Backdoors!BF33,Backdoors!BG33)))))/100,Backdoors!BG33/100),"")</f>
        <v>0</v>
      </c>
      <c r="HF98" s="49">
        <f>IFERROR(IF(VLOOKUP(A98,tbMoveset!A2:J112,10,FALSE)=TRUE,IF((Backdoors!AI12+IF(HD98&gt;=0.45,VLOOKUP(Calculator!E23,tbSkills!DH3:DI6,2,FALSE)+IF(AND(Calculator!B8=TRUE,Backdoors!BI33=TRUE),VLOOKUP(Calculator!E23,tbSkills!DH3:DJ6,3,FALSE),0),0))&gt;=0,1+(Backdoors!AL2*(IF((Backdoors!AI12+IF(HD98&gt;=0.45,VLOOKUP(Calculator!E23,tbSkills!DH3:DI6,2,FALSE)+IF(AND(Calculator!B8=TRUE,Backdoors!BI33=TRUE),VLOOKUP(Calculator!E23,tbSkills!DH3:DJ6,3,FALSE),0),0))&gt;=100,100,(Backdoors!AI12+IF(HD98&gt;=0.45,VLOOKUP(Calculator!E23,tbSkills!DH3:DI6,2,FALSE)+IF(AND(Calculator!B8=TRUE,Backdoors!BI33=TRUE),VLOOKUP(Calculator!E23,tbSkills!DH3:DJ6,3,FALSE),0),0)))/100)),(1-(0.25*((-Backdoors!AI12-IF(HD98&gt;=0.45,VLOOKUP(Calculator!E23,tbSkills!DH3:DI6,2,FALSE)+IF(AND(Calculator!B8=TRUE,Backdoors!BI33=TRUE),VLOOKUP(Calculator!E23,tbSkills!DH3:DJ6,3,FALSE),0),0))/100)))),1),"")</f>
        <v>1</v>
      </c>
      <c r="HG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D98)*HF98)*(VLOOKUP(A98,tbMoveset!A2:C112,3,FALSE)/100)*IF(VLOOKUP(A98,tbMoveset!A2:B112,2,FALSE)="Projectile",Backdoors!N10,Backdoors!N9),0),"")</f>
        <v/>
      </c>
      <c r="HH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D98&gt;=0.45,VLOOKUP(Calculator!E23,tbSkills!DH3:DI6,2,FALSE)+IF(AND(Calculator!B8=TRUE,Backdoors!BI33=TRUE),VLOOKUP(Calculator!E23,tbSkills!DH3:DJ6,3,FALSE),0),0))&gt;=100,100,(Backdoors!AI12+IF(HD98&gt;=0.45,VLOOKUP(Calculator!E23,tbSkills!DH3:DI6,2,FALSE)+IF(AND(Calculator!B8=TRUE,Backdoors!BI33=TRUE),VLOOKUP(Calculator!E23,tbSkills!DH3:DJ6,3,FALSE),0),0)))/100)),1))*IF(VLOOKUP(A98,tbMoveset!A2:K112,11,FALSE)=TRUE,Backdoors!AC5,1))*HE98,0),"")</f>
        <v>0</v>
      </c>
      <c r="HI98" s="49">
        <f>VLOOKUP(A98,tbMoveset!A2:G112,7,FALSE)*IFERROR(IF(Backdoors!AI12&gt;=0,1+(IF(Calculator!E40&gt;0,VLOOKUP(Calculator!E40,tbSkills!AI3:AJ5,2,FALSE),Backdoors!AL4)*(IF((Backdoors!AI12+IF(HD98&gt;=0.45,VLOOKUP(Calculator!E23,tbSkills!DH3:DI6,2,FALSE)+IF(AND(Calculator!B8=TRUE,Backdoors!BI33=TRUE),VLOOKUP(Calculator!E23,tbSkills!DH3:DJ6,3,FALSE),0),0))&gt;=100,100,(Backdoors!AI12+IF(HD98&gt;=0.45,VLOOKUP(Calculator!E23,tbSkills!DH3:DI6,2,FALSE)+IF(AND(Calculator!B8=TRUE,Backdoors!BI33=TRUE),VLOOKUP(Calculator!E23,tbSkills!DH3:DJ6,3,FALSE),0),0)))/100)),1),1)</f>
        <v>0.7</v>
      </c>
      <c r="HJ98" s="87">
        <f t="shared" si="81"/>
        <v>0</v>
      </c>
      <c r="HK98" s="86" t="str">
        <f>IFERROR(IF(VLOOKUP(A98,tbMoveset!A2:B112,2,FALSE)="Sever",Backdoors!AY34/100,IF(VLOOKUP(A98,tbMoveset!A2:B112,2,FALSE)="Blunt",Backdoors!AZ34/100,Backdoors!BA34/100)),"")</f>
        <v/>
      </c>
      <c r="HL98" s="49">
        <f>IFERROR(IF(VLOOKUP(tbMoveset!A98,tbMoveset!A2:H112,8,FALSE)="Other",IF(VLOOKUP(tbMoveset!A98,tbMoveset!A2:I112,9,FALSE)="Fire",Backdoors!BB34,IF(VLOOKUP(tbMoveset!A98,tbMoveset!A2:I112,9,FALSE)="Water",Backdoors!BC34,IF(VLOOKUP(tbMoveset!A98,tbMoveset!A2:I112,9,FALSE)="Thunder",Backdoors!BD34,IF(VLOOKUP(tbMoveset!A98,tbMoveset!A2:I112,9,FALSE)="Ice",Backdoors!BE34,IF(VLOOKUP(tbMoveset!A98,tbMoveset!A2:I112,9,FALSE)="Dragon",Backdoors!BF34,Backdoors!BG34)))))/100,Backdoors!BG34/100),"")</f>
        <v>0</v>
      </c>
      <c r="HM98" s="49">
        <f>IFERROR(IF(VLOOKUP(A98,tbMoveset!A2:J112,10,FALSE)=TRUE,IF((Backdoors!AI12+IF(HK98&gt;=0.45,VLOOKUP(Calculator!E23,tbSkills!DH3:DI6,2,FALSE)+IF(AND(Calculator!B8=TRUE,Backdoors!BI34=TRUE),VLOOKUP(Calculator!E23,tbSkills!DH3:DJ6,3,FALSE),0),0))&gt;=0,1+(Backdoors!AL2*(IF((Backdoors!AI12+IF(HK98&gt;=0.45,VLOOKUP(Calculator!E23,tbSkills!DH3:DI6,2,FALSE)+IF(AND(Calculator!B8=TRUE,Backdoors!BI34=TRUE),VLOOKUP(Calculator!E23,tbSkills!DH3:DJ6,3,FALSE),0),0))&gt;=100,100,(Backdoors!AI12+IF(HK98&gt;=0.45,VLOOKUP(Calculator!E23,tbSkills!DH3:DI6,2,FALSE)+IF(AND(Calculator!B8=TRUE,Backdoors!BI34=TRUE),VLOOKUP(Calculator!E23,tbSkills!DH3:DJ6,3,FALSE),0),0)))/100)),(1-(0.25*((-Backdoors!AI12-IF(HK98&gt;=0.45,VLOOKUP(Calculator!E23,tbSkills!DH3:DI6,2,FALSE)+IF(AND(Calculator!B8=TRUE,Backdoors!BI34=TRUE),VLOOKUP(Calculator!E23,tbSkills!DH3:DJ6,3,FALSE),0),0))/100)))),1),"")</f>
        <v>1</v>
      </c>
      <c r="HN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K98)*HM98)*(VLOOKUP(A98,tbMoveset!A2:C112,3,FALSE)/100)*IF(VLOOKUP(A98,tbMoveset!A2:B112,2,FALSE)="Projectile",Backdoors!N10,Backdoors!N9),0),"")</f>
        <v/>
      </c>
      <c r="HO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K98&gt;=0.45,VLOOKUP(Calculator!E23,tbSkills!DH3:DI6,2,FALSE)+IF(AND(Calculator!B8=TRUE,Backdoors!BI34=TRUE),VLOOKUP(Calculator!E23,tbSkills!DH3:DJ6,3,FALSE),0),0))&gt;=100,100,(Backdoors!AI12+IF(HK98&gt;=0.45,VLOOKUP(Calculator!E23,tbSkills!DH3:DI6,2,FALSE)+IF(AND(Calculator!B8=TRUE,Backdoors!BI34=TRUE),VLOOKUP(Calculator!E23,tbSkills!DH3:DJ6,3,FALSE),0),0)))/100)),1))*IF(VLOOKUP(A98,tbMoveset!A2:K112,11,FALSE)=TRUE,Backdoors!AC5,1))*HL98,0),"")</f>
        <v>0</v>
      </c>
      <c r="HP98" s="49">
        <f>VLOOKUP(A98,tbMoveset!A2:G112,7,FALSE)*IFERROR(IF(Backdoors!AI12&gt;=0,1+(IF(Calculator!E40&gt;0,VLOOKUP(Calculator!E40,tbSkills!AI3:AJ5,2,FALSE),Backdoors!AL4)*(IF((Backdoors!AI12+IF(HK98&gt;=0.45,VLOOKUP(Calculator!E23,tbSkills!DH3:DI6,2,FALSE)+IF(AND(Calculator!B8=TRUE,Backdoors!BI34=TRUE),VLOOKUP(Calculator!E23,tbSkills!DH3:DJ6,3,FALSE),0),0))&gt;=100,100,(Backdoors!AI12+IF(HK98&gt;=0.45,VLOOKUP(Calculator!E23,tbSkills!DH3:DI6,2,FALSE)+IF(AND(Calculator!B8=TRUE,Backdoors!BI34=TRUE),VLOOKUP(Calculator!E23,tbSkills!DH3:DJ6,3,FALSE),0),0)))/100)),1),1)</f>
        <v>0.7</v>
      </c>
      <c r="HQ98" s="87">
        <f t="shared" si="82"/>
        <v>0</v>
      </c>
      <c r="HR98" s="86" t="str">
        <f>IFERROR(IF(VLOOKUP(A98,tbMoveset!A2:B112,2,FALSE)="Sever",Backdoors!AY35/100,IF(VLOOKUP(A98,tbMoveset!A2:B112,2,FALSE)="Blunt",Backdoors!AZ35/100,Backdoors!BA35/100)),"")</f>
        <v/>
      </c>
      <c r="HS98" s="49">
        <f>IFERROR(IF(VLOOKUP(tbMoveset!A98,tbMoveset!A2:H112,8,FALSE)="Other",IF(VLOOKUP(tbMoveset!A98,tbMoveset!A2:I112,9,FALSE)="Fire",Backdoors!BB35,IF(VLOOKUP(tbMoveset!A98,tbMoveset!A2:I112,9,FALSE)="Water",Backdoors!BC35,IF(VLOOKUP(tbMoveset!A98,tbMoveset!A2:I112,9,FALSE)="Thunder",Backdoors!BD35,IF(VLOOKUP(tbMoveset!A98,tbMoveset!A2:I112,9,FALSE)="Ice",Backdoors!BE35,IF(VLOOKUP(tbMoveset!A98,tbMoveset!A2:I112,9,FALSE)="Dragon",Backdoors!BF35,Backdoors!BG35)))))/100,Backdoors!BG35/100),"")</f>
        <v>0</v>
      </c>
      <c r="HT98" s="49">
        <f>IFERROR(IF(VLOOKUP(A98,tbMoveset!A2:J112,10,FALSE)=TRUE,IF((Backdoors!AI12+IF(HR98&gt;=0.45,VLOOKUP(Calculator!E23,tbSkills!DH3:DI6,2,FALSE)+IF(AND(Calculator!B8=TRUE,Backdoors!BI35=TRUE),VLOOKUP(Calculator!E23,tbSkills!DH3:DJ6,3,FALSE),0),0))&gt;=0,1+(Backdoors!AL2*(IF((Backdoors!AI12+IF(HR98&gt;=0.45,VLOOKUP(Calculator!E23,tbSkills!DH3:DI6,2,FALSE)+IF(AND(Calculator!B8=TRUE,Backdoors!BI35=TRUE),VLOOKUP(Calculator!E23,tbSkills!DH3:DJ6,3,FALSE),0),0))&gt;=100,100,(Backdoors!AI12+IF(HR98&gt;=0.45,VLOOKUP(Calculator!E23,tbSkills!DH3:DI6,2,FALSE)+IF(AND(Calculator!B8=TRUE,Backdoors!BI35=TRUE),VLOOKUP(Calculator!E23,tbSkills!DH3:DJ6,3,FALSE),0),0)))/100)),(1-(0.25*((-Backdoors!AI12-IF(HR98&gt;=0.45,VLOOKUP(Calculator!E23,tbSkills!DH3:DI6,2,FALSE)+IF(AND(Calculator!B8=TRUE,Backdoors!BI35=TRUE),VLOOKUP(Calculator!E23,tbSkills!DH3:DJ6,3,FALSE),0),0))/100)))),1),"")</f>
        <v>1</v>
      </c>
      <c r="HU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R98)*HT98)*(VLOOKUP(A98,tbMoveset!A2:C112,3,FALSE)/100)*IF(VLOOKUP(A98,tbMoveset!A2:B112,2,FALSE)="Projectile",Backdoors!N10,Backdoors!N9),0),"")</f>
        <v/>
      </c>
      <c r="HV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R98&gt;=0.45,VLOOKUP(Calculator!E23,tbSkills!DH3:DI6,2,FALSE)+IF(AND(Calculator!B8=TRUE,Backdoors!BI35=TRUE),VLOOKUP(Calculator!E23,tbSkills!DH3:DJ6,3,FALSE),0),0))&gt;=100,100,(Backdoors!AI12+IF(HR98&gt;=0.45,VLOOKUP(Calculator!E23,tbSkills!DH3:DI6,2,FALSE)+IF(AND(Calculator!B8=TRUE,Backdoors!BI35=TRUE),VLOOKUP(Calculator!E23,tbSkills!DH3:DJ6,3,FALSE),0),0)))/100)),1))*IF(VLOOKUP(A98,tbMoveset!A2:K112,11,FALSE)=TRUE,Backdoors!AC5,1))*HS98,0),"")</f>
        <v>0</v>
      </c>
      <c r="HW98" s="49">
        <f>VLOOKUP(A98,tbMoveset!A2:G112,7,FALSE)*IFERROR(IF(Backdoors!AI12&gt;=0,1+(IF(Calculator!E40&gt;0,VLOOKUP(Calculator!E40,tbSkills!AI3:AJ5,2,FALSE),Backdoors!AL4)*(IF((Backdoors!AI12+IF(HR98&gt;=0.45,VLOOKUP(Calculator!E23,tbSkills!DH3:DI6,2,FALSE)+IF(AND(Calculator!B8=TRUE,Backdoors!BI35=TRUE),VLOOKUP(Calculator!E23,tbSkills!DH3:DJ6,3,FALSE),0),0))&gt;=100,100,(Backdoors!AI12+IF(HR98&gt;=0.45,VLOOKUP(Calculator!E23,tbSkills!DH3:DI6,2,FALSE)+IF(AND(Calculator!B8=TRUE,Backdoors!BI35=TRUE),VLOOKUP(Calculator!E23,tbSkills!DH3:DJ6,3,FALSE),0),0)))/100)),1),1)</f>
        <v>0.7</v>
      </c>
      <c r="HX98" s="87">
        <f t="shared" si="83"/>
        <v>0</v>
      </c>
      <c r="HY98" s="86" t="str">
        <f>IFERROR(IF(VLOOKUP(A98,tbMoveset!A2:B112,2,FALSE)="Sever",Backdoors!AY36/100,IF(VLOOKUP(A98,tbMoveset!A2:B112,2,FALSE)="Blunt",Backdoors!AZ36/100,Backdoors!BA36/100)),"")</f>
        <v/>
      </c>
      <c r="HZ98" s="49">
        <f>IFERROR(IF(VLOOKUP(tbMoveset!A98,tbMoveset!A2:H112,8,FALSE)="Other",IF(VLOOKUP(tbMoveset!A98,tbMoveset!A2:I112,9,FALSE)="Fire",Backdoors!BB36,IF(VLOOKUP(tbMoveset!A98,tbMoveset!A2:I112,9,FALSE)="Water",Backdoors!BC36,IF(VLOOKUP(tbMoveset!A98,tbMoveset!A2:I112,9,FALSE)="Thunder",Backdoors!BD36,IF(VLOOKUP(tbMoveset!A98,tbMoveset!A2:I112,9,FALSE)="Ice",Backdoors!BE36,IF(VLOOKUP(tbMoveset!A98,tbMoveset!A2:I112,9,FALSE)="Dragon",Backdoors!BF36,Backdoors!BG36)))))/100,Backdoors!BG36/100),"")</f>
        <v>0</v>
      </c>
      <c r="IA98" s="49">
        <f>IFERROR(IF(VLOOKUP(A98,tbMoveset!A2:J112,10,FALSE)=TRUE,IF((Backdoors!AI12+IF(HY98&gt;=0.45,VLOOKUP(Calculator!E23,tbSkills!DH3:DI6,2,FALSE)+IF(AND(Calculator!B8=TRUE,Backdoors!BI36=TRUE),VLOOKUP(Calculator!E23,tbSkills!DH3:DJ6,3,FALSE),0),0))&gt;=0,1+(Backdoors!AL2*(IF((Backdoors!AI12+IF(HY98&gt;=0.45,VLOOKUP(Calculator!E23,tbSkills!DH3:DI6,2,FALSE)+IF(AND(Calculator!B8=TRUE,Backdoors!BI36=TRUE),VLOOKUP(Calculator!E23,tbSkills!DH3:DJ6,3,FALSE),0),0))&gt;=100,100,(Backdoors!AI12+IF(HY98&gt;=0.45,VLOOKUP(Calculator!E23,tbSkills!DH3:DI6,2,FALSE)+IF(AND(Calculator!B8=TRUE,Backdoors!BI36=TRUE),VLOOKUP(Calculator!E23,tbSkills!DH3:DJ6,3,FALSE),0),0)))/100)),(1-(0.25*((-Backdoors!AI12-IF(HY98&gt;=0.45,VLOOKUP(Calculator!E23,tbSkills!DH3:DI6,2,FALSE)+IF(AND(Calculator!B8=TRUE,Backdoors!BI36=TRUE),VLOOKUP(Calculator!E23,tbSkills!DH3:DJ6,3,FALSE),0),0))/100)))),1),"")</f>
        <v>1</v>
      </c>
      <c r="IB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Y98)*IA98)*(VLOOKUP(A98,tbMoveset!A2:C112,3,FALSE)/100)*IF(VLOOKUP(A98,tbMoveset!A2:B112,2,FALSE)="Projectile",Backdoors!N10,Backdoors!N9),0),"")</f>
        <v/>
      </c>
      <c r="IC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Y98&gt;=0.45,VLOOKUP(Calculator!E23,tbSkills!DH3:DI6,2,FALSE)+IF(AND(Calculator!B8=TRUE,Backdoors!BI36=TRUE),VLOOKUP(Calculator!E23,tbSkills!DH3:DJ6,3,FALSE),0),0))&gt;=100,100,(Backdoors!AI12+IF(HY98&gt;=0.45,VLOOKUP(Calculator!E23,tbSkills!DH3:DI6,2,FALSE)+IF(AND(Calculator!B8=TRUE,Backdoors!BI36=TRUE),VLOOKUP(Calculator!E23,tbSkills!DH3:DJ6,3,FALSE),0),0)))/100)),1))*IF(VLOOKUP(A98,tbMoveset!A2:K112,11,FALSE)=TRUE,Backdoors!AC5,1))*HZ98,0),"")</f>
        <v>0</v>
      </c>
      <c r="ID98" s="49">
        <f>VLOOKUP(A98,tbMoveset!A2:G112,7,FALSE)*IFERROR(IF(Backdoors!AI12&gt;=0,1+(IF(Calculator!E40&gt;0,VLOOKUP(Calculator!E40,tbSkills!AI3:AJ5,2,FALSE),Backdoors!AL4)*(IF((Backdoors!AI12+IF(HY98&gt;=0.45,VLOOKUP(Calculator!E23,tbSkills!DH3:DI6,2,FALSE)+IF(AND(Calculator!B8=TRUE,Backdoors!BI36=TRUE),VLOOKUP(Calculator!E23,tbSkills!DH3:DJ6,3,FALSE),0),0))&gt;=100,100,(Backdoors!AI12+IF(HY98&gt;=0.45,VLOOKUP(Calculator!E23,tbSkills!DH3:DI6,2,FALSE)+IF(AND(Calculator!B8=TRUE,Backdoors!BI36=TRUE),VLOOKUP(Calculator!E23,tbSkills!DH3:DJ6,3,FALSE),0),0)))/100)),1),1)</f>
        <v>0.7</v>
      </c>
      <c r="IE98" s="87">
        <f t="shared" si="84"/>
        <v>0</v>
      </c>
      <c r="IF98" s="86" t="str">
        <f>IFERROR(IF(VLOOKUP(A98,tbMoveset!A2:B112,2,FALSE)="Sever",Backdoors!AY37/100,IF(VLOOKUP(A98,tbMoveset!A2:B112,2,FALSE)="Blunt",Backdoors!AZ37/100,Backdoors!BA37/100)),"")</f>
        <v/>
      </c>
      <c r="IG98" s="49">
        <f>IFERROR(IF(VLOOKUP(tbMoveset!A98,tbMoveset!A2:H112,8,FALSE)="Other",IF(VLOOKUP(tbMoveset!A98,tbMoveset!A2:I112,9,FALSE)="Fire",Backdoors!BB37,IF(VLOOKUP(tbMoveset!A98,tbMoveset!A2:I112,9,FALSE)="Water",Backdoors!BC37,IF(VLOOKUP(tbMoveset!A98,tbMoveset!A2:I112,9,FALSE)="Thunder",Backdoors!BD37,IF(VLOOKUP(tbMoveset!A98,tbMoveset!A2:I112,9,FALSE)="Ice",Backdoors!BE37,IF(VLOOKUP(tbMoveset!A98,tbMoveset!A2:I112,9,FALSE)="Dragon",Backdoors!BF37,Backdoors!BG37)))))/100,Backdoors!BG37/100),"")</f>
        <v>0</v>
      </c>
      <c r="IH98" s="49">
        <f>IFERROR(IF(VLOOKUP(A98,tbMoveset!A2:J112,10,FALSE)=TRUE,IF((Backdoors!AI12+IF(IF98&gt;=0.45,VLOOKUP(Calculator!E23,tbSkills!DH3:DI6,2,FALSE)+IF(AND(Calculator!B8=TRUE,Backdoors!BI37=TRUE),VLOOKUP(Calculator!E23,tbSkills!DH3:DJ6,3,FALSE),0),0))&gt;=0,1+(Backdoors!AL2*(IF((Backdoors!AI12+IF(IF98&gt;=0.45,VLOOKUP(Calculator!E23,tbSkills!DH3:DI6,2,FALSE)+IF(AND(Calculator!B8=TRUE,Backdoors!BI37=TRUE),VLOOKUP(Calculator!E23,tbSkills!DH3:DJ6,3,FALSE),0),0))&gt;=100,100,(Backdoors!AI12+IF(IF98&gt;=0.45,VLOOKUP(Calculator!E23,tbSkills!DH3:DI6,2,FALSE)+IF(AND(Calculator!B8=TRUE,Backdoors!BI37=TRUE),VLOOKUP(Calculator!E23,tbSkills!DH3:DJ6,3,FALSE),0),0)))/100)),(1-(0.25*((-Backdoors!AI12-IF(IF98&gt;=0.45,VLOOKUP(Calculator!E23,tbSkills!DH3:DI6,2,FALSE)+IF(AND(Calculator!B8=TRUE,Backdoors!BI37=TRUE),VLOOKUP(Calculator!E23,tbSkills!DH3:DJ6,3,FALSE),0),0))/100)))),1),"")</f>
        <v>1</v>
      </c>
      <c r="II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F98)*IH98)*(VLOOKUP(A98,tbMoveset!A2:C112,3,FALSE)/100)*IF(VLOOKUP(A98,tbMoveset!A2:B112,2,FALSE)="Projectile",Backdoors!N10,Backdoors!N9),0),"")</f>
        <v/>
      </c>
      <c r="IJ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IF98&gt;=0.45,VLOOKUP(Calculator!E23,tbSkills!DH3:DI6,2,FALSE)+IF(AND(Calculator!B8=TRUE,Backdoors!BI37=TRUE),VLOOKUP(Calculator!E23,tbSkills!DH3:DJ6,3,FALSE),0),0))&gt;=100,100,(Backdoors!AI12+IF(IF98&gt;=0.45,VLOOKUP(Calculator!E23,tbSkills!DH3:DI6,2,FALSE)+IF(AND(Calculator!B8=TRUE,Backdoors!BI37=TRUE),VLOOKUP(Calculator!E23,tbSkills!DH3:DJ6,3,FALSE),0),0)))/100)),1))*IF(VLOOKUP(A98,tbMoveset!A2:K112,11,FALSE)=TRUE,Backdoors!AC5,1))*IG98,0),"")</f>
        <v>0</v>
      </c>
      <c r="IK98" s="49">
        <f>VLOOKUP(A98,tbMoveset!A2:G112,7,FALSE)*IFERROR(IF(Backdoors!AI12&gt;=0,1+(IF(Calculator!E40&gt;0,VLOOKUP(Calculator!E40,tbSkills!AI3:AJ5,2,FALSE),Backdoors!AL4)*(IF((Backdoors!AI12+IF(IF98&gt;=0.45,VLOOKUP(Calculator!E23,tbSkills!DH3:DI6,2,FALSE)+IF(AND(Calculator!B8=TRUE,Backdoors!BI37=TRUE),VLOOKUP(Calculator!E23,tbSkills!DH3:DJ6,3,FALSE),0),0))&gt;=100,100,(Backdoors!AI12+IF(IF98&gt;=0.45,VLOOKUP(Calculator!E23,tbSkills!DH3:DI6,2,FALSE)+IF(AND(Calculator!B8=TRUE,Backdoors!BI37=TRUE),VLOOKUP(Calculator!E23,tbSkills!DH3:DJ6,3,FALSE),0),0)))/100)),1),1)</f>
        <v>0.7</v>
      </c>
      <c r="IL98" s="87">
        <f t="shared" si="85"/>
        <v>0</v>
      </c>
      <c r="IM98" s="86" t="str">
        <f>IFERROR(IF(VLOOKUP(A98,tbMoveset!A2:B112,2,FALSE)="Sever",Backdoors!AY38/100,IF(VLOOKUP(A98,tbMoveset!A2:B112,2,FALSE)="Blunt",Backdoors!AZ38/100,Backdoors!BA38/100)),"")</f>
        <v/>
      </c>
      <c r="IN98" s="49">
        <f>IFERROR(IF(VLOOKUP(tbMoveset!A98,tbMoveset!A2:H112,8,FALSE)="Other",IF(VLOOKUP(tbMoveset!A98,tbMoveset!A2:I112,9,FALSE)="Fire",Backdoors!BB38,IF(VLOOKUP(tbMoveset!A98,tbMoveset!A2:I112,9,FALSE)="Water",Backdoors!BC38,IF(VLOOKUP(tbMoveset!A98,tbMoveset!A2:I112,9,FALSE)="Thunder",Backdoors!BD38,IF(VLOOKUP(tbMoveset!A98,tbMoveset!A2:I112,9,FALSE)="Ice",Backdoors!BE38,IF(VLOOKUP(tbMoveset!A98,tbMoveset!A2:I112,9,FALSE)="Dragon",Backdoors!BF38,Backdoors!BG38)))))/100,Backdoors!BG38/100),"")</f>
        <v>0</v>
      </c>
      <c r="IO98" s="49">
        <f>IFERROR(IF(VLOOKUP(A98,tbMoveset!A2:J112,10,FALSE)=TRUE,IF((Backdoors!AI12+IF(IM98&gt;=0.45,VLOOKUP(Calculator!E23,tbSkills!DH3:DI6,2,FALSE)+IF(AND(Calculator!B8=TRUE,Backdoors!BI38=TRUE),VLOOKUP(Calculator!E23,tbSkills!DH3:DJ6,3,FALSE),0),0))&gt;=0,1+(Backdoors!AL2*(IF((Backdoors!AI12+IF(IM98&gt;=0.45,VLOOKUP(Calculator!E23,tbSkills!DH3:DI6,2,FALSE)+IF(AND(Calculator!B8=TRUE,Backdoors!BI38=TRUE),VLOOKUP(Calculator!E23,tbSkills!DH3:DJ6,3,FALSE),0),0))&gt;=100,100,(Backdoors!AI12+IF(IM98&gt;=0.45,VLOOKUP(Calculator!E23,tbSkills!DH3:DI6,2,FALSE)+IF(AND(Calculator!B8=TRUE,Backdoors!BI38=TRUE),VLOOKUP(Calculator!E23,tbSkills!DH3:DJ6,3,FALSE),0),0)))/100)),(1-(0.25*((-Backdoors!AI12-IF(IM98&gt;=0.45,VLOOKUP(Calculator!E23,tbSkills!DH3:DI6,2,FALSE)+IF(AND(Calculator!B8=TRUE,Backdoors!BI38=TRUE),VLOOKUP(Calculator!E23,tbSkills!DH3:DJ6,3,FALSE),0),0))/100)))),1),"")</f>
        <v>1</v>
      </c>
      <c r="IP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M98)*IO98)*(VLOOKUP(A98,tbMoveset!A2:C112,3,FALSE)/100)*IF(VLOOKUP(A98,tbMoveset!A2:B112,2,FALSE)="Projectile",Backdoors!N10,Backdoors!N9),0),"")</f>
        <v/>
      </c>
      <c r="IQ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IM98&gt;=0.45,VLOOKUP(Calculator!E23,tbSkills!DH3:DI6,2,FALSE)+IF(AND(Calculator!B8=TRUE,Backdoors!BI38=TRUE),VLOOKUP(Calculator!E23,tbSkills!DH3:DJ6,3,FALSE),0),0))&gt;=100,100,(Backdoors!AI12+IF(IM98&gt;=0.45,VLOOKUP(Calculator!E23,tbSkills!DH3:DI6,2,FALSE)+IF(AND(Calculator!B8=TRUE,Backdoors!BI38=TRUE),VLOOKUP(Calculator!E23,tbSkills!DH3:DJ6,3,FALSE),0),0)))/100)),1))*IF(VLOOKUP(A98,tbMoveset!A2:K112,11,FALSE)=TRUE,Backdoors!AC5,1))*IN98,0),"")</f>
        <v>0</v>
      </c>
      <c r="IR98" s="49">
        <f>VLOOKUP(A98,tbMoveset!A2:G112,7,FALSE)*IFERROR(IF(Backdoors!AI12&gt;=0,1+(IF(Calculator!E40&gt;0,VLOOKUP(Calculator!E40,tbSkills!AI3:AJ5,2,FALSE),Backdoors!AL4)*(IF((Backdoors!AI12+IF(IM98&gt;=0.45,VLOOKUP(Calculator!E23,tbSkills!DH3:DI6,2,FALSE)+IF(AND(Calculator!B8=TRUE,Backdoors!BI38=TRUE),VLOOKUP(Calculator!E23,tbSkills!DH3:DJ6,3,FALSE),0),0))&gt;=100,100,(Backdoors!AI12+IF(IM98&gt;=0.45,VLOOKUP(Calculator!E23,tbSkills!DH3:DI6,2,FALSE)+IF(AND(Calculator!B8=TRUE,Backdoors!BI38=TRUE),VLOOKUP(Calculator!E23,tbSkills!DH3:DJ6,3,FALSE),0),0)))/100)),1),1)</f>
        <v>0.7</v>
      </c>
      <c r="IS98" s="87">
        <f t="shared" si="86"/>
        <v>0</v>
      </c>
      <c r="IT98" s="86" t="str">
        <f>IFERROR(IF(VLOOKUP(A98,tbMoveset!A2:B112,2,FALSE)="Sever",Backdoors!AY39/100,IF(VLOOKUP(A98,tbMoveset!A2:B112,2,FALSE)="Blunt",Backdoors!AZ39/100,Backdoors!BA39/100)),"")</f>
        <v/>
      </c>
      <c r="IU98" s="49">
        <f>IFERROR(IF(VLOOKUP(tbMoveset!A98,tbMoveset!A2:H112,8,FALSE)="Other",IF(VLOOKUP(tbMoveset!A98,tbMoveset!A2:I112,9,FALSE)="Fire",Backdoors!BB39,IF(VLOOKUP(tbMoveset!A98,tbMoveset!A2:I112,9,FALSE)="Water",Backdoors!BC39,IF(VLOOKUP(tbMoveset!A98,tbMoveset!A2:I112,9,FALSE)="Thunder",Backdoors!BD39,IF(VLOOKUP(tbMoveset!A98,tbMoveset!A2:I112,9,FALSE)="Ice",Backdoors!BE39,IF(VLOOKUP(tbMoveset!A98,tbMoveset!A2:I112,9,FALSE)="Dragon",Backdoors!BF39,Backdoors!BG39)))))/100,Backdoors!BG39/100),"")</f>
        <v>0</v>
      </c>
      <c r="IV98" s="49">
        <f>IFERROR(IF(VLOOKUP(A98,tbMoveset!A2:J112,10,FALSE)=TRUE,IF((Backdoors!AI12+IF(IT98&gt;=0.45,VLOOKUP(Calculator!E23,tbSkills!DH3:DI6,2,FALSE)+IF(AND(Calculator!B8=TRUE,Backdoors!BI39=TRUE),VLOOKUP(Calculator!E23,tbSkills!DH3:DJ6,3,FALSE),0),0))&gt;=0,1+(Backdoors!AL2*(IF((Backdoors!AI12+IF(IT98&gt;=0.45,VLOOKUP(Calculator!E23,tbSkills!DH3:DI6,2,FALSE)+IF(AND(Calculator!B8=TRUE,Backdoors!BI39=TRUE),VLOOKUP(Calculator!E23,tbSkills!DH3:DJ6,3,FALSE),0),0))&gt;=100,100,(Backdoors!AI12+IF(IT98&gt;=0.45,VLOOKUP(Calculator!E23,tbSkills!DH3:DI6,2,FALSE)+IF(AND(Calculator!B8=TRUE,Backdoors!BI39=TRUE),VLOOKUP(Calculator!E23,tbSkills!DH3:DJ6,3,FALSE),0),0)))/100)),(1-(0.25*((-Backdoors!AI12-IF(IT98&gt;=0.45,VLOOKUP(Calculator!E23,tbSkills!DH3:DI6,2,FALSE)+IF(AND(Calculator!B8=TRUE,Backdoors!BI39=TRUE),VLOOKUP(Calculator!E23,tbSkills!DH3:DJ6,3,FALSE),0),0))/100)))),1),"")</f>
        <v>1</v>
      </c>
      <c r="IW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T98)*IV98)*(VLOOKUP(A98,tbMoveset!A2:C112,3,FALSE)/100)*IF(VLOOKUP(A98,tbMoveset!A2:B112,2,FALSE)="Projectile",Backdoors!N10,Backdoors!N9),0),"")</f>
        <v/>
      </c>
      <c r="IX98" s="49">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40&gt;0,VLOOKUP(Calculator!E40,tbSkills!AC3:AD5,2,FALSE),Backdoors!AL3)*(IF((Backdoors!AI12+IF(IT98&gt;=0.45,VLOOKUP(Calculator!E23,tbSkills!DH3:DI6,2,FALSE)+IF(AND(Calculator!B8=TRUE,Backdoors!BI39=TRUE),VLOOKUP(Calculator!E23,tbSkills!DH3:DJ6,3,FALSE),0),0))&gt;=100,100,(Backdoors!AI12+IF(IT98&gt;=0.45,VLOOKUP(Calculator!E23,tbSkills!DH3:DI6,2,FALSE)+IF(AND(Calculator!B8=TRUE,Backdoors!BI39=TRUE),VLOOKUP(Calculator!E23,tbSkills!DH3:DJ6,3,FALSE),0),0)))/100)),1))*IF(VLOOKUP(A98,tbMoveset!A2:K112,11,FALSE)=TRUE,Backdoors!AC5,1))*IU98,0),"")</f>
        <v>0</v>
      </c>
      <c r="IY98" s="49">
        <f>VLOOKUP(A98,tbMoveset!A2:G112,7,FALSE)*IFERROR(IF(Backdoors!AI12&gt;=0,1+(IF(Calculator!E40&gt;0,VLOOKUP(Calculator!E40,tbSkills!AI3:AJ5,2,FALSE),Backdoors!AL4)*(IF((Backdoors!AI12+IF(IT98&gt;=0.45,VLOOKUP(Calculator!E23,tbSkills!DH3:DI6,2,FALSE)+IF(AND(Calculator!B8=TRUE,Backdoors!BI39=TRUE),VLOOKUP(Calculator!E23,tbSkills!DH3:DJ6,3,FALSE),0),0))&gt;=100,100,(Backdoors!AI12+IF(IT98&gt;=0.45,VLOOKUP(Calculator!E23,tbSkills!DH3:DI6,2,FALSE)+IF(AND(Calculator!B8=TRUE,Backdoors!BI39=TRUE),VLOOKUP(Calculator!E23,tbSkills!DH3:DJ6,3,FALSE),0),0)))/100)),1),1)</f>
        <v>0.7</v>
      </c>
      <c r="IZ98" s="87">
        <f t="shared" si="87"/>
        <v>0</v>
      </c>
      <c r="JA98" s="86" t="str">
        <f>IFERROR(IF(VLOOKUP(A98,tbMoveset!A2:B112,2,FALSE)="Sever",Backdoors!AY40/100,IF(VLOOKUP(A98,tbMoveset!A2:B112,2,FALSE)="Blunt",Backdoors!AZ40/100,Backdoors!BA40/100)),"")</f>
        <v/>
      </c>
      <c r="JB98" s="49">
        <f>IFERROR(IF(VLOOKUP(tbMoveset!A98,tbMoveset!A2:H112,8,FALSE)="Other",IF(VLOOKUP(tbMoveset!A98,tbMoveset!A2:I112,9,FALSE)="Fire",Backdoors!BB40,IF(VLOOKUP(tbMoveset!A98,tbMoveset!A2:I112,9,FALSE)="Water",Backdoors!BC40,IF(VLOOKUP(tbMoveset!A98,tbMoveset!A2:I112,9,FALSE)="Thunder",Backdoors!BD40,IF(VLOOKUP(tbMoveset!A98,tbMoveset!A2:I112,9,FALSE)="Ice",Backdoors!BE40,IF(VLOOKUP(tbMoveset!A98,tbMoveset!A2:I112,9,FALSE)="Dragon",Backdoors!BF40,Backdoors!BG40)))))/100,Backdoors!BG40/100),"")</f>
        <v>0</v>
      </c>
      <c r="JC98" s="49">
        <f>IFERROR(IF(VLOOKUP(A98,tbMoveset!A2:J112,10,FALSE)=TRUE,IF((Backdoors!AI12+IF(JA98&gt;=0.45,VLOOKUP(Calculator!E23,tbSkills!DH3:DI6,2,FALSE)+IF(AND(Calculator!B8=TRUE,Backdoors!BI40=TRUE),VLOOKUP(Calculator!E23,tbSkills!DH3:DJ6,3,FALSE),0),0))&gt;=0,1+(Backdoors!AL2*(IF((Backdoors!AI12+IF(JA98&gt;=0.45,VLOOKUP(Calculator!E23,tbSkills!DH3:DI6,2,FALSE)+IF(AND(Calculator!B8=TRUE,Backdoors!BI40=TRUE),VLOOKUP(Calculator!E23,tbSkills!DH3:DJ6,3,FALSE),0),0))&gt;=100,100,(Backdoors!AI12+IF(JA98&gt;=0.45,VLOOKUP(Calculator!E23,tbSkills!DH3:DI6,2,FALSE)+IF(AND(Calculator!B8=TRUE,Backdoors!BI40=TRUE),VLOOKUP(Calculator!E23,tbSkills!DH3:DJ6,3,FALSE),0),0)))/100)),(1-(0.25*((-Backdoors!AI12-IF(JA98&gt;=0.45,VLOOKUP(Calculator!E23,tbSkills!DH3:DI6,2,FALSE)+IF(AND(Calculator!B8=TRUE,Backdoors!BI40=TRUE),VLOOKUP(Calculator!E23,tbSkills!DH3:DJ6,3,FALSE),0),0))/100)))),1),"")</f>
        <v>1</v>
      </c>
      <c r="JD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A98)*JC98)*(VLOOKUP(A98,tbMoveset!A2:C112,3,FALSE)/100)*IF(VLOOKUP(A98,tbMoveset!A2:B112,2,FALSE)="Projectile",Backdoors!N10,Backdoors!N9),0),"")</f>
        <v/>
      </c>
      <c r="JE98" s="49">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42&gt;0,VLOOKUP(Calculator!E42,tbSkills!AC3:AD5,2,FALSE),Backdoors!AL3)*(IF((Backdoors!AI12+IF(JA98&gt;=0.45,VLOOKUP(Calculator!E23,tbSkills!DH3:DI6,2,FALSE)+IF(AND(Calculator!B8=TRUE,Backdoors!BI40=TRUE),VLOOKUP(Calculator!E23,tbSkills!DH3:DJ6,3,FALSE),0),0))&gt;=100,100,(Backdoors!AI12+IF(JA98&gt;=0.45,VLOOKUP(Calculator!E23,tbSkills!DH3:DI6,2,FALSE)+IF(AND(Calculator!B8=TRUE,Backdoors!BI40=TRUE),VLOOKUP(Calculator!E23,tbSkills!DH3:DJ6,3,FALSE),0),0)))/100)),1))*IF(VLOOKUP(A98,tbMoveset!A2:K112,11,FALSE)=TRUE,Backdoors!AC5,1))*JB98,0),"")</f>
        <v>0</v>
      </c>
      <c r="JF98" s="49">
        <f>VLOOKUP(A98,tbMoveset!A2:G112,7,FALSE)*IFERROR(IF(Backdoors!AI12&gt;=0,1+(IF(Calculator!E40&gt;0,VLOOKUP(Calculator!E40,tbSkills!AI3:AJ5,2,FALSE),Backdoors!AL4)*(IF((Backdoors!AI12+IF(JA98&gt;=0.45,VLOOKUP(Calculator!E23,tbSkills!DH3:DI6,2,FALSE)+IF(AND(Calculator!B8=TRUE,Backdoors!BI40=TRUE),VLOOKUP(Calculator!E23,tbSkills!DH3:DJ6,3,FALSE),0),0))&gt;=100,100,(Backdoors!AI12+IF(JA98&gt;=0.45,VLOOKUP(Calculator!E23,tbSkills!DH3:DI6,2,FALSE)+IF(AND(Calculator!B8=TRUE,Backdoors!BI40=TRUE),VLOOKUP(Calculator!E23,tbSkills!DH3:DJ6,3,FALSE),0),0)))/100)),1),1)</f>
        <v>0.7</v>
      </c>
      <c r="JG98" s="87">
        <f t="shared" si="88"/>
        <v>0</v>
      </c>
      <c r="JH98" s="86" t="str">
        <f>IFERROR(IF(VLOOKUP(A98,tbMoveset!A2:B112,2,FALSE)="Sever",Backdoors!AY41/100,IF(VLOOKUP(A98,tbMoveset!A2:B112,2,FALSE)="Blunt",Backdoors!AZ41/100,Backdoors!BA41/100)),"")</f>
        <v/>
      </c>
      <c r="JI98" s="49">
        <f>IFERROR(IF(VLOOKUP(tbMoveset!A98,tbMoveset!A2:H112,8,FALSE)="Other",IF(VLOOKUP(tbMoveset!A98,tbMoveset!A2:I112,9,FALSE)="Fire",Backdoors!BB41,IF(VLOOKUP(tbMoveset!A98,tbMoveset!A2:I112,9,FALSE)="Water",Backdoors!BC41,IF(VLOOKUP(tbMoveset!A98,tbMoveset!A2:I112,9,FALSE)="Thunder",Backdoors!BD41,IF(VLOOKUP(tbMoveset!A98,tbMoveset!A2:I112,9,FALSE)="Ice",Backdoors!BE41,IF(VLOOKUP(tbMoveset!A98,tbMoveset!A2:I112,9,FALSE)="Dragon",Backdoors!BF41,Backdoors!BG41)))))/100,Backdoors!BG41/100),"")</f>
        <v>0</v>
      </c>
      <c r="JJ98" s="49">
        <f>IFERROR(IF(VLOOKUP(A98,tbMoveset!A2:J112,10,FALSE)=TRUE,IF((Backdoors!AI12+IF(JH98&gt;=0.45,VLOOKUP(Calculator!E23,tbSkills!DH3:DI6,2,FALSE)+IF(AND(Calculator!B8=TRUE,Backdoors!BI41=TRUE),VLOOKUP(Calculator!E23,tbSkills!DH3:DJ6,3,FALSE),0),0))&gt;=0,1+(Backdoors!AL2*(IF((Backdoors!AI12+IF(JH98&gt;=0.45,VLOOKUP(Calculator!E23,tbSkills!DH3:DI6,2,FALSE)+IF(AND(Calculator!B8=TRUE,Backdoors!BI41=TRUE),VLOOKUP(Calculator!E23,tbSkills!DH3:DJ6,3,FALSE),0),0))&gt;=100,100,(Backdoors!AI12+IF(JH98&gt;=0.45,VLOOKUP(Calculator!E23,tbSkills!DH3:DI6,2,FALSE)+IF(AND(Calculator!B8=TRUE,Backdoors!BI41=TRUE),VLOOKUP(Calculator!E23,tbSkills!DH3:DJ6,3,FALSE),0),0)))/100)),(1-(0.25*((-Backdoors!AI12-IF(JH98&gt;=0.45,VLOOKUP(Calculator!E23,tbSkills!DH3:DI6,2,FALSE)+IF(AND(Calculator!B8=TRUE,Backdoors!BI41=TRUE),VLOOKUP(Calculator!E23,tbSkills!DH3:DJ6,3,FALSE),0),0))/100)))),1),"")</f>
        <v>1</v>
      </c>
      <c r="JK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H98)*JJ98)*(VLOOKUP(A98,tbMoveset!A2:C112,3,FALSE)/100)*IF(VLOOKUP(A98,tbMoveset!A2:B112,2,FALSE)="Projectile",Backdoors!N10,Backdoors!N9),0),"")</f>
        <v/>
      </c>
      <c r="JL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43&gt;0,VLOOKUP(Calculator!E43,tbSkills!AC3:AD5,2,FALSE),Backdoors!AL3)*(IF((Backdoors!AI12+IF(JH98&gt;=0.45,VLOOKUP(Calculator!E23,tbSkills!DH3:DI6,2,FALSE)+IF(AND(Calculator!B8=TRUE,Backdoors!BI41=TRUE),VLOOKUP(Calculator!E23,tbSkills!DH3:DJ6,3,FALSE),0),0))&gt;=100,100,(Backdoors!AI12+IF(JH98&gt;=0.45,VLOOKUP(Calculator!E23,tbSkills!DH3:DI6,2,FALSE)+IF(AND(Calculator!B8=TRUE,Backdoors!BI41=TRUE),VLOOKUP(Calculator!E23,tbSkills!DH3:DJ6,3,FALSE),0),0)))/100)),1))*IF(VLOOKUP(A98,tbMoveset!A2:K112,11,FALSE)=TRUE,Backdoors!AC5,1))*JI98,0),"")</f>
        <v/>
      </c>
      <c r="JM98" s="49">
        <f>VLOOKUP(A98,tbMoveset!A2:G112,7,FALSE)*IFERROR(IF(Backdoors!AI12&gt;=0,1+(IF(Calculator!E40&gt;0,VLOOKUP(Calculator!E40,tbSkills!AI3:AJ5,2,FALSE),Backdoors!AL4)*(IF((Backdoors!AI12+IF(JH98&gt;=0.45,VLOOKUP(Calculator!E23,tbSkills!DH3:DI6,2,FALSE)+IF(AND(Calculator!B8=TRUE,Backdoors!BI41=TRUE),VLOOKUP(Calculator!E23,tbSkills!DH3:DJ6,3,FALSE),0),0))&gt;=100,100,(Backdoors!AI12+IF(JH98&gt;=0.45,VLOOKUP(Calculator!E23,tbSkills!DH3:DI6,2,FALSE)+IF(AND(Calculator!B8=TRUE,Backdoors!BI41=TRUE),VLOOKUP(Calculator!E23,tbSkills!DH3:DJ6,3,FALSE),0),0)))/100)),1),1)</f>
        <v>0.7</v>
      </c>
      <c r="JN98" s="87">
        <f t="shared" si="89"/>
        <v>0</v>
      </c>
      <c r="JO98" s="86" t="str">
        <f>IFERROR(IF(VLOOKUP(A98,tbMoveset!A2:B112,2,FALSE)="Sever",Backdoors!AY42/100,IF(VLOOKUP(A98,tbMoveset!A2:B112,2,FALSE)="Blunt",Backdoors!AZ42/100,Backdoors!BA42/100)),"")</f>
        <v/>
      </c>
      <c r="JP98" s="49">
        <f>IFERROR(IF(VLOOKUP(tbMoveset!A98,tbMoveset!A2:H112,8,FALSE)="Other",IF(VLOOKUP(tbMoveset!A98,tbMoveset!A2:I112,9,FALSE)="Fire",Backdoors!BB42,IF(VLOOKUP(tbMoveset!A98,tbMoveset!A2:I112,9,FALSE)="Water",Backdoors!BC42,IF(VLOOKUP(tbMoveset!A98,tbMoveset!A2:I112,9,FALSE)="Thunder",Backdoors!BD42,IF(VLOOKUP(tbMoveset!A98,tbMoveset!A2:I112,9,FALSE)="Ice",Backdoors!BE42,IF(VLOOKUP(tbMoveset!A98,tbMoveset!A2:I112,9,FALSE)="Dragon",Backdoors!BF42,Backdoors!BG42)))))/100,Backdoors!BG42/100),"")</f>
        <v>0</v>
      </c>
      <c r="JQ98" s="49">
        <f>IFERROR(IF(VLOOKUP(A98,tbMoveset!A2:J112,10,FALSE)=TRUE,IF((Backdoors!AI12+IF(JO98&gt;=0.45,VLOOKUP(Calculator!E23,tbSkills!DH3:DI6,2,FALSE)+IF(AND(Calculator!B8=TRUE,Backdoors!BI42=TRUE),VLOOKUP(Calculator!E23,tbSkills!DH3:DJ6,3,FALSE),0),0))&gt;=0,1+(Backdoors!AL2*(IF((Backdoors!AI12+IF(JO98&gt;=0.45,VLOOKUP(Calculator!E23,tbSkills!DH3:DI6,2,FALSE)+IF(AND(Calculator!B8=TRUE,Backdoors!BI42=TRUE),VLOOKUP(Calculator!E23,tbSkills!DH3:DJ6,3,FALSE),0),0))&gt;=100,100,(Backdoors!AI12+IF(JO98&gt;=0.45,VLOOKUP(Calculator!E23,tbSkills!DH3:DI6,2,FALSE)+IF(AND(Calculator!B8=TRUE,Backdoors!BI42=TRUE),VLOOKUP(Calculator!E23,tbSkills!DH3:DJ6,3,FALSE),0),0)))/100)),(1-(0.25*((-Backdoors!AI12-IF(JO98&gt;=0.45,VLOOKUP(Calculator!E23,tbSkills!DH3:DI6,2,FALSE)+IF(AND(Calculator!B8=TRUE,Backdoors!BI42=TRUE),VLOOKUP(Calculator!E23,tbSkills!DH3:DJ6,3,FALSE),0),0))/100)))),1),"")</f>
        <v>1</v>
      </c>
      <c r="JR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O98)*JQ98)*(VLOOKUP(A98,tbMoveset!A2:C112,3,FALSE)/100)*IF(VLOOKUP(A98,tbMoveset!A2:B112,2,FALSE)="Projectile",Backdoors!N10,Backdoors!N9),0),"")</f>
        <v/>
      </c>
      <c r="JS98" s="49">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45&gt;0,VLOOKUP(Calculator!E45,tbSkills!AC3:AD5,2,FALSE),Backdoors!AL3)*(IF((Backdoors!AI12+IF(JO98&gt;=0.45,VLOOKUP(Calculator!E23,tbSkills!DH3:DI6,2,FALSE)+IF(AND(Calculator!B8=TRUE,Backdoors!BI42=TRUE),VLOOKUP(Calculator!E23,tbSkills!DH3:DJ6,3,FALSE),0),0))&gt;=100,100,(Backdoors!AI12+IF(JO98&gt;=0.45,VLOOKUP(Calculator!E23,tbSkills!DH3:DI6,2,FALSE)+IF(AND(Calculator!B8=TRUE,Backdoors!BI42=TRUE),VLOOKUP(Calculator!E23,tbSkills!DH3:DJ6,3,FALSE),0),0)))/100)),1))*IF(VLOOKUP(A98,tbMoveset!A2:K112,11,FALSE)=TRUE,Backdoors!AC5,1))*JP98,0),"")</f>
        <v>0</v>
      </c>
      <c r="JT98" s="49">
        <f>VLOOKUP(A98,tbMoveset!A2:G112,7,FALSE)*IFERROR(IF(Backdoors!AI12&gt;=0,1+(IF(Calculator!E40&gt;0,VLOOKUP(Calculator!E40,tbSkills!AI3:AJ5,2,FALSE),Backdoors!AL4)*(IF((Backdoors!AI12+IF(JO98&gt;=0.45,VLOOKUP(Calculator!E23,tbSkills!DH3:DI6,2,FALSE)+IF(AND(Calculator!B8=TRUE,Backdoors!BI42=TRUE),VLOOKUP(Calculator!E23,tbSkills!DH3:DJ6,3,FALSE),0),0))&gt;=100,100,(Backdoors!AI12+IF(JO98&gt;=0.45,VLOOKUP(Calculator!E23,tbSkills!DH3:DI6,2,FALSE)+IF(AND(Calculator!B8=TRUE,Backdoors!BI42=TRUE),VLOOKUP(Calculator!E23,tbSkills!DH3:DJ6,3,FALSE),0),0)))/100)),1),1)</f>
        <v>0.7</v>
      </c>
      <c r="JU98" s="87">
        <f t="shared" si="90"/>
        <v>0</v>
      </c>
      <c r="JV98" s="86" t="str">
        <f>IFERROR(IF(VLOOKUP(A98,tbMoveset!A2:B112,2,FALSE)="Sever",Backdoors!AY43/100,IF(VLOOKUP(A98,tbMoveset!A2:B112,2,FALSE)="Blunt",Backdoors!AZ43/100,Backdoors!BA43/100)),"")</f>
        <v/>
      </c>
      <c r="JW98" s="49">
        <f>IFERROR(IF(VLOOKUP(tbMoveset!A98,tbMoveset!A2:H112,8,FALSE)="Other",IF(VLOOKUP(tbMoveset!A98,tbMoveset!A2:I112,9,FALSE)="Fire",Backdoors!BB43,IF(VLOOKUP(tbMoveset!A98,tbMoveset!A2:I112,9,FALSE)="Water",Backdoors!BC43,IF(VLOOKUP(tbMoveset!A98,tbMoveset!A2:I112,9,FALSE)="Thunder",Backdoors!BD43,IF(VLOOKUP(tbMoveset!A98,tbMoveset!A2:I112,9,FALSE)="Ice",Backdoors!BE43,IF(VLOOKUP(tbMoveset!A98,tbMoveset!A2:I112,9,FALSE)="Dragon",Backdoors!BF43,Backdoors!BG43)))))/100,Backdoors!BG43/100),"")</f>
        <v>0</v>
      </c>
      <c r="JX98" s="49">
        <f>IFERROR(IF(VLOOKUP(A98,tbMoveset!A2:J112,10,FALSE)=TRUE,IF((Backdoors!AI12+IF(JV98&gt;=0.45,VLOOKUP(Calculator!E23,tbSkills!DH3:DI6,2,FALSE)+IF(AND(Calculator!B8=TRUE,Backdoors!BI43=TRUE),VLOOKUP(Calculator!E23,tbSkills!DH3:DJ6,3,FALSE),0),0))&gt;=0,1+(Backdoors!AL2*(IF((Backdoors!AI12+IF(JV98&gt;=0.45,VLOOKUP(Calculator!E23,tbSkills!DH3:DI6,2,FALSE)+IF(AND(Calculator!B8=TRUE,Backdoors!BI43=TRUE),VLOOKUP(Calculator!E23,tbSkills!DH3:DJ6,3,FALSE),0),0))&gt;=100,100,(Backdoors!AI12+IF(JV98&gt;=0.45,VLOOKUP(Calculator!E23,tbSkills!DH3:DI6,2,FALSE)+IF(AND(Calculator!B8=TRUE,Backdoors!BI43=TRUE),VLOOKUP(Calculator!E23,tbSkills!DH3:DJ6,3,FALSE),0),0)))/100)),(1-(0.25*((-Backdoors!AI12-IF(JV98&gt;=0.45,VLOOKUP(Calculator!E23,tbSkills!DH3:DI6,2,FALSE)+IF(AND(Calculator!B8=TRUE,Backdoors!BI43=TRUE),VLOOKUP(Calculator!E23,tbSkills!DH3:DJ6,3,FALSE),0),0))/100)))),1),"")</f>
        <v>1</v>
      </c>
      <c r="JY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V98)*JX98)*(VLOOKUP(A98,tbMoveset!A2:C112,3,FALSE)/100)*IF(VLOOKUP(A98,tbMoveset!A2:B112,2,FALSE)="Projectile",Backdoors!N10,Backdoors!N9),0),"")</f>
        <v/>
      </c>
      <c r="JZ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46&gt;0,VLOOKUP(Calculator!E46,tbSkills!AC3:AD5,2,FALSE),Backdoors!AL3)*(IF((Backdoors!AI12+IF(JV98&gt;=0.45,VLOOKUP(Calculator!E23,tbSkills!DH3:DI6,2,FALSE)+IF(AND(Calculator!B8=TRUE,Backdoors!BI43=TRUE),VLOOKUP(Calculator!E23,tbSkills!DH3:DJ6,3,FALSE),0),0))&gt;=100,100,(Backdoors!AI12+IF(JV98&gt;=0.45,VLOOKUP(Calculator!E23,tbSkills!DH3:DI6,2,FALSE)+IF(AND(Calculator!B8=TRUE,Backdoors!BI43=TRUE),VLOOKUP(Calculator!E23,tbSkills!DH3:DJ6,3,FALSE),0),0)))/100)),1))*IF(VLOOKUP(A98,tbMoveset!A2:K112,11,FALSE)=TRUE,Backdoors!AC5,1))*JW98,0),"")</f>
        <v/>
      </c>
      <c r="KA98" s="49">
        <f>VLOOKUP(A98,tbMoveset!A2:G112,7,FALSE)*IFERROR(IF(Backdoors!AI12&gt;=0,1+(IF(Calculator!E40&gt;0,VLOOKUP(Calculator!E40,tbSkills!AI3:AJ5,2,FALSE),Backdoors!AL4)*(IF((Backdoors!AI12+IF(JV98&gt;=0.45,VLOOKUP(Calculator!E23,tbSkills!DH3:DI6,2,FALSE)+IF(AND(Calculator!B8=TRUE,Backdoors!BI43=TRUE),VLOOKUP(Calculator!E23,tbSkills!DH3:DJ6,3,FALSE),0),0))&gt;=100,100,(Backdoors!AI12+IF(JV98&gt;=0.45,VLOOKUP(Calculator!E23,tbSkills!DH3:DI6,2,FALSE)+IF(AND(Calculator!B8=TRUE,Backdoors!BI43=TRUE),VLOOKUP(Calculator!E23,tbSkills!DH3:DJ6,3,FALSE),0),0)))/100)),1),1)</f>
        <v>0.7</v>
      </c>
      <c r="KB98" s="87">
        <f t="shared" si="91"/>
        <v>0</v>
      </c>
      <c r="KC98" s="86" t="str">
        <f>IFERROR(IF(VLOOKUP(A98,tbMoveset!A2:B112,2,FALSE)="Sever",Backdoors!AY44/100,IF(VLOOKUP(A98,tbMoveset!A2:B112,2,FALSE)="Blunt",Backdoors!AZ44/100,Backdoors!BA44/100)),"")</f>
        <v/>
      </c>
      <c r="KD98" s="49">
        <f>IFERROR(IF(VLOOKUP(tbMoveset!A98,tbMoveset!A2:H112,8,FALSE)="Other",IF(VLOOKUP(tbMoveset!A98,tbMoveset!A2:I112,9,FALSE)="Fire",Backdoors!BB44,IF(VLOOKUP(tbMoveset!A98,tbMoveset!A2:I112,9,FALSE)="Water",Backdoors!BC44,IF(VLOOKUP(tbMoveset!A98,tbMoveset!A2:I112,9,FALSE)="Thunder",Backdoors!BD44,IF(VLOOKUP(tbMoveset!A98,tbMoveset!A2:I112,9,FALSE)="Ice",Backdoors!BE44,IF(VLOOKUP(tbMoveset!A98,tbMoveset!A2:I112,9,FALSE)="Dragon",Backdoors!BF44,Backdoors!BG44)))))/100,Backdoors!BG44/100),"")</f>
        <v>0</v>
      </c>
      <c r="KE98" s="49">
        <f>IFERROR(IF(VLOOKUP(A98,tbMoveset!A2:J112,10,FALSE)=TRUE,IF((Backdoors!AI12+IF(KC98&gt;=0.45,VLOOKUP(Calculator!E23,tbSkills!DH3:DI6,2,FALSE)+IF(AND(Calculator!B8=TRUE,Backdoors!BI44=TRUE),VLOOKUP(Calculator!E23,tbSkills!DH3:DJ6,3,FALSE),0),0))&gt;=0,1+(Backdoors!AL2*(IF((Backdoors!AI12+IF(KC98&gt;=0.45,VLOOKUP(Calculator!E23,tbSkills!DH3:DI6,2,FALSE)+IF(AND(Calculator!B8=TRUE,Backdoors!BI44=TRUE),VLOOKUP(Calculator!E23,tbSkills!DH3:DJ6,3,FALSE),0),0))&gt;=100,100,(Backdoors!AI12+IF(KC98&gt;=0.45,VLOOKUP(Calculator!E23,tbSkills!DH3:DI6,2,FALSE)+IF(AND(Calculator!B8=TRUE,Backdoors!BI44=TRUE),VLOOKUP(Calculator!E23,tbSkills!DH3:DJ6,3,FALSE),0),0)))/100)),(1-(0.25*((-Backdoors!AI12-IF(KC98&gt;=0.45,VLOOKUP(Calculator!E23,tbSkills!DH3:DI6,2,FALSE)+IF(AND(Calculator!B8=TRUE,Backdoors!BI44=TRUE),VLOOKUP(Calculator!E23,tbSkills!DH3:DJ6,3,FALSE),0),0))/100)))),1),"")</f>
        <v>1</v>
      </c>
      <c r="KF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KC98)*KE98)*(VLOOKUP(A98,tbMoveset!A2:C112,3,FALSE)/100)*IF(VLOOKUP(A98,tbMoveset!A2:B112,2,FALSE)="Projectile",Backdoors!N10,Backdoors!N9),0),"")</f>
        <v/>
      </c>
      <c r="KG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REF!&gt;0,VLOOKUP(Calculator!#REF!,tbSkills!AC3:AD5,2,FALSE),Backdoors!AL3)*(IF((Backdoors!AI12+IF(KC98&gt;=0.45,VLOOKUP(Calculator!E23,tbSkills!DH3:DI6,2,FALSE)+IF(AND(Calculator!B8=TRUE,Backdoors!BI44=TRUE),VLOOKUP(Calculator!E23,tbSkills!DH3:DJ6,3,FALSE),0),0))&gt;=100,100,(Backdoors!AI12+IF(KC98&gt;=0.45,VLOOKUP(Calculator!E23,tbSkills!DH3:DI6,2,FALSE)+IF(AND(Calculator!B8=TRUE,Backdoors!BI44=TRUE),VLOOKUP(Calculator!E23,tbSkills!DH3:DJ6,3,FALSE),0),0)))/100)),1))*IF(VLOOKUP(A98,tbMoveset!A2:K112,11,FALSE)=TRUE,Backdoors!AC5,1))*KD98,0),"")</f>
        <v/>
      </c>
      <c r="KH98" s="49">
        <f>VLOOKUP(A98,tbMoveset!A2:G112,7,FALSE)*IFERROR(IF(Backdoors!AI12&gt;=0,1+(IF(Calculator!E40&gt;0,VLOOKUP(Calculator!E40,tbSkills!AI3:AJ5,2,FALSE),Backdoors!AL4)*(IF((Backdoors!AI12+IF(KC98&gt;=0.45,VLOOKUP(Calculator!E23,tbSkills!DH3:DI6,2,FALSE)+IF(AND(Calculator!B8=TRUE,Backdoors!BI44=TRUE),VLOOKUP(Calculator!E23,tbSkills!DH3:DJ6,3,FALSE),0),0))&gt;=100,100,(Backdoors!AI12+IF(KC98&gt;=0.45,VLOOKUP(Calculator!E23,tbSkills!DH3:DI6,2,FALSE)+IF(AND(Calculator!B8=TRUE,Backdoors!BI44=TRUE),VLOOKUP(Calculator!E23,tbSkills!DH3:DJ6,3,FALSE),0),0)))/100)),1),1)</f>
        <v>0.7</v>
      </c>
      <c r="KI98" s="87">
        <f t="shared" si="92"/>
        <v>0</v>
      </c>
      <c r="KJ98" s="86" t="str">
        <f>IFERROR(IF(VLOOKUP(A98,tbMoveset!A2:B112,2,FALSE)="Sever",Backdoors!AY45/100,IF(VLOOKUP(A98,tbMoveset!A2:B112,2,FALSE)="Blunt",Backdoors!AZ45/100,Backdoors!BA45/100)),"")</f>
        <v/>
      </c>
      <c r="KK98" s="49">
        <f>IFERROR(IF(VLOOKUP(tbMoveset!A98,tbMoveset!A2:H112,8,FALSE)="Other",IF(VLOOKUP(tbMoveset!A98,tbMoveset!A2:I112,9,FALSE)="Fire",Backdoors!BB45,IF(VLOOKUP(tbMoveset!A98,tbMoveset!A2:I112,9,FALSE)="Water",Backdoors!BC45,IF(VLOOKUP(tbMoveset!A98,tbMoveset!A2:I112,9,FALSE)="Thunder",Backdoors!BD45,IF(VLOOKUP(tbMoveset!A98,tbMoveset!A2:I112,9,FALSE)="Ice",Backdoors!BE45,IF(VLOOKUP(tbMoveset!A98,tbMoveset!A2:I112,9,FALSE)="Dragon",Backdoors!BF45,Backdoors!BG45)))))/100,Backdoors!BG45/100),"")</f>
        <v>0</v>
      </c>
      <c r="KL98" s="49">
        <f>IFERROR(IF(VLOOKUP(A98,tbMoveset!A2:J112,10,FALSE)=TRUE,IF((Backdoors!AI12+IF(KJ98&gt;=0.45,VLOOKUP(Calculator!E23,tbSkills!DH3:DI6,2,FALSE)+IF(AND(Calculator!B8=TRUE,Backdoors!BI45=TRUE),VLOOKUP(Calculator!E23,tbSkills!DH3:DJ6,3,FALSE),0),0))&gt;=0,1+(Backdoors!AL2*(IF((Backdoors!AI12+IF(KJ98&gt;=0.45,VLOOKUP(Calculator!E23,tbSkills!DH3:DI6,2,FALSE)+IF(AND(Calculator!B8=TRUE,Backdoors!BI45=TRUE),VLOOKUP(Calculator!E23,tbSkills!DH3:DJ6,3,FALSE),0),0))&gt;=100,100,(Backdoors!AI12+IF(KJ98&gt;=0.45,VLOOKUP(Calculator!E23,tbSkills!DH3:DI6,2,FALSE)+IF(AND(Calculator!B8=TRUE,Backdoors!BI45=TRUE),VLOOKUP(Calculator!E23,tbSkills!DH3:DJ6,3,FALSE),0),0)))/100)),(1-(0.25*((-Backdoors!AI12-IF(KJ98&gt;=0.45,VLOOKUP(Calculator!E23,tbSkills!DH3:DI6,2,FALSE)+IF(AND(Calculator!B8=TRUE,Backdoors!BI45=TRUE),VLOOKUP(Calculator!E23,tbSkills!DH3:DJ6,3,FALSE),0),0))/100)))),1),"")</f>
        <v>1</v>
      </c>
      <c r="KM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KJ98)*KL98)*(VLOOKUP(A98,tbMoveset!A2:C112,3,FALSE)/100)*IF(VLOOKUP(A98,tbMoveset!A2:B112,2,FALSE)="Projectile",Backdoors!N10,Backdoors!N9),0),"")</f>
        <v/>
      </c>
      <c r="KN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REF!&gt;0,VLOOKUP(Calculator!#REF!,tbSkills!AC3:AD5,2,FALSE),Backdoors!AL3)*(IF((Backdoors!AI12+IF(KJ98&gt;=0.45,VLOOKUP(Calculator!E23,tbSkills!DH3:DI6,2,FALSE)+IF(AND(Calculator!B8=TRUE,Backdoors!BI45=TRUE),VLOOKUP(Calculator!E23,tbSkills!DH3:DJ6,3,FALSE),0),0))&gt;=100,100,(Backdoors!AI12+IF(KJ98&gt;=0.45,VLOOKUP(Calculator!E23,tbSkills!DH3:DI6,2,FALSE)+IF(AND(Calculator!B8=TRUE,Backdoors!BI45=TRUE),VLOOKUP(Calculator!E23,tbSkills!DH3:DJ6,3,FALSE),0),0)))/100)),1))*IF(VLOOKUP(A98,tbMoveset!A2:K112,11,FALSE)=TRUE,Backdoors!AC5,1))*KK98,0),"")</f>
        <v/>
      </c>
      <c r="KO98" s="49">
        <f>VLOOKUP(A98,tbMoveset!A2:G112,7,FALSE)*IFERROR(IF(Backdoors!AI12&gt;=0,1+(IF(Calculator!E40&gt;0,VLOOKUP(Calculator!E40,tbSkills!AI3:AJ5,2,FALSE),Backdoors!AL4)*(IF((Backdoors!AI12+IF(KJ98&gt;=0.45,VLOOKUP(Calculator!E23,tbSkills!DH3:DI6,2,FALSE)+IF(AND(Calculator!B8=TRUE,Backdoors!BI45=TRUE),VLOOKUP(Calculator!E23,tbSkills!DH3:DJ6,3,FALSE),0),0))&gt;=100,100,(Backdoors!AI12+IF(KJ98&gt;=0.45,VLOOKUP(Calculator!E23,tbSkills!DH3:DI6,2,FALSE)+IF(AND(Calculator!B8=TRUE,Backdoors!BI45=TRUE),VLOOKUP(Calculator!E23,tbSkills!DH3:DJ6,3,FALSE),0),0)))/100)),1),1)</f>
        <v>0.7</v>
      </c>
      <c r="KP98" s="87">
        <f t="shared" si="93"/>
        <v>0</v>
      </c>
      <c r="KQ98" s="86" t="str">
        <f>IFERROR(IF(VLOOKUP(A98,tbMoveset!A2:B112,2,FALSE)="Sever",Backdoors!AY46/100,IF(VLOOKUP(A98,tbMoveset!A2:B112,2,FALSE)="Blunt",Backdoors!AZ46/100,Backdoors!BA46/100)),"")</f>
        <v/>
      </c>
      <c r="KR98" s="49">
        <f>IFERROR(IF(VLOOKUP(tbMoveset!A98,tbMoveset!A2:H112,8,FALSE)="Other",IF(VLOOKUP(tbMoveset!A98,tbMoveset!A2:I112,9,FALSE)="Fire",Backdoors!BB46,IF(VLOOKUP(tbMoveset!A98,tbMoveset!A2:I112,9,FALSE)="Water",Backdoors!BC46,IF(VLOOKUP(tbMoveset!A98,tbMoveset!A2:I112,9,FALSE)="Thunder",Backdoors!BD46,IF(VLOOKUP(tbMoveset!A98,tbMoveset!A2:I112,9,FALSE)="Ice",Backdoors!BE46,IF(VLOOKUP(tbMoveset!A98,tbMoveset!A2:I112,9,FALSE)="Dragon",Backdoors!BF46,Backdoors!BG46)))))/100,Backdoors!BG46/100),"")</f>
        <v>0</v>
      </c>
      <c r="KS98" s="49">
        <f>IFERROR(IF(VLOOKUP(A98,tbMoveset!A2:J112,10,FALSE)=TRUE,IF((Backdoors!AI12+IF(KQ98&gt;=0.45,VLOOKUP(Calculator!E23,tbSkills!DH3:DI6,2,FALSE)+IF(AND(Calculator!B8=TRUE,Backdoors!BI46=TRUE),VLOOKUP(Calculator!E23,tbSkills!DH3:DJ6,3,FALSE),0),0))&gt;=0,1+(Backdoors!AL2*(IF((Backdoors!AI12+IF(KQ98&gt;=0.45,VLOOKUP(Calculator!E23,tbSkills!DH3:DI6,2,FALSE)+IF(AND(Calculator!B8=TRUE,Backdoors!BI46=TRUE),VLOOKUP(Calculator!E23,tbSkills!DH3:DJ6,3,FALSE),0),0))&gt;=100,100,(Backdoors!AI12+IF(KQ98&gt;=0.45,VLOOKUP(Calculator!E23,tbSkills!DH3:DI6,2,FALSE)+IF(AND(Calculator!B8=TRUE,Backdoors!BI46=TRUE),VLOOKUP(Calculator!E23,tbSkills!DH3:DJ6,3,FALSE),0),0)))/100)),(1-(0.25*((-Backdoors!AI12-IF(KQ98&gt;=0.45,VLOOKUP(Calculator!E23,tbSkills!DH3:DI6,2,FALSE)+IF(AND(Calculator!B8=TRUE,Backdoors!BI46=TRUE),VLOOKUP(Calculator!E23,tbSkills!DH3:DJ6,3,FALSE),0),0))/100)))),1),"")</f>
        <v>1</v>
      </c>
      <c r="KT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KQ98)*KS98)*(VLOOKUP(A98,tbMoveset!A2:C112,3,FALSE)/100)*IF(VLOOKUP(A98,tbMoveset!A2:B112,2,FALSE)="Projectile",Backdoors!N10,Backdoors!N9),0),"")</f>
        <v/>
      </c>
      <c r="KU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REF!&gt;0,VLOOKUP(Calculator!#REF!,tbSkills!AC3:AD5,2,FALSE),Backdoors!AL3)*(IF((Backdoors!AI12+IF(KQ98&gt;=0.45,VLOOKUP(Calculator!E23,tbSkills!DH3:DI6,2,FALSE)+IF(AND(Calculator!B8=TRUE,Backdoors!BI46=TRUE),VLOOKUP(Calculator!E23,tbSkills!DH3:DJ6,3,FALSE),0),0))&gt;=100,100,(Backdoors!AI12+IF(KQ98&gt;=0.45,VLOOKUP(Calculator!E23,tbSkills!DH3:DI6,2,FALSE)+IF(AND(Calculator!B8=TRUE,Backdoors!BI46=TRUE),VLOOKUP(Calculator!E23,tbSkills!DH3:DJ6,3,FALSE),0),0)))/100)),1))*IF(VLOOKUP(A98,tbMoveset!A2:K112,11,FALSE)=TRUE,Backdoors!AC5,1))*KR98,0),"")</f>
        <v/>
      </c>
      <c r="KV98" s="49">
        <f>VLOOKUP(A98,tbMoveset!A2:G112,7,FALSE)*IFERROR(IF(Backdoors!AI12&gt;=0,1+(IF(Calculator!E40&gt;0,VLOOKUP(Calculator!E40,tbSkills!AI3:AJ5,2,FALSE),Backdoors!AL4)*(IF((Backdoors!AI12+IF(KQ98&gt;=0.45,VLOOKUP(Calculator!E23,tbSkills!DH3:DI6,2,FALSE)+IF(AND(Calculator!B8=TRUE,Backdoors!BI46=TRUE),VLOOKUP(Calculator!E23,tbSkills!DH3:DJ6,3,FALSE),0),0))&gt;=100,100,(Backdoors!AI12+IF(KQ98&gt;=0.45,VLOOKUP(Calculator!E23,tbSkills!DH3:DI6,2,FALSE)+IF(AND(Calculator!B8=TRUE,Backdoors!BI46=TRUE),VLOOKUP(Calculator!E23,tbSkills!DH3:DJ6,3,FALSE),0),0)))/100)),1),1)</f>
        <v>0.7</v>
      </c>
      <c r="KW98" s="87">
        <f t="shared" si="94"/>
        <v>0</v>
      </c>
    </row>
    <row r="99" spans="1:309" x14ac:dyDescent="0.25">
      <c r="A99" s="95" t="str">
        <f>tbMoveset!A99</f>
        <v>[Clutching] Spinning Rising Slash (L)</v>
      </c>
      <c r="B99" s="86">
        <f>IFERROR(IF(VLOOKUP(A99,tbMoveset!A2:B112,2,FALSE)="Sever",Backdoors!AY3/100,IF(VLOOKUP(A99,tbMoveset!A2:B112,2,FALSE)="Blunt",Backdoors!AZ3/100,Backdoors!BA3/100)),"")</f>
        <v>0.8</v>
      </c>
      <c r="C99" s="49">
        <f>IFERROR(IF(VLOOKUP(tbMoveset!A99,tbMoveset!A2:H112,8,FALSE)="Other",IF(VLOOKUP(tbMoveset!A99,tbMoveset!A2:I112,9,FALSE)="Fire",Backdoors!BB3,IF(VLOOKUP(tbMoveset!A99,tbMoveset!A2:I112,9,FALSE)="Water",Backdoors!BC3,IF(VLOOKUP(tbMoveset!A99,tbMoveset!A2:I112,9,FALSE)="Thunder",Backdoors!BD3,IF(VLOOKUP(tbMoveset!A99,tbMoveset!A2:I112,9,FALSE)="Ice",Backdoors!BE3,IF(VLOOKUP(tbMoveset!A99,tbMoveset!A2:I112,9,FALSE)="Dragon",Backdoors!BF3,Backdoors!BG3)))))/100,Backdoors!BG3/100),"")</f>
        <v>0</v>
      </c>
      <c r="D99" s="49">
        <f>IFERROR(IF(VLOOKUP(A99,tbMoveset!A2:J112,10,FALSE)=TRUE,IF((Backdoors!AI12+IF(B99&gt;=0.45,VLOOKUP(Calculator!E23,tbSkills!DH3:DI6,2,FALSE)+IF(AND(Calculator!B8=TRUE,Backdoors!BI3=TRUE),VLOOKUP(Calculator!E23,tbSkills!DH3:DJ6,3,FALSE),0),0))&gt;=0,1+(Backdoors!AL2*(IF((Backdoors!AI12+IF(B99&gt;=0.45,VLOOKUP(Calculator!E23,tbSkills!DH3:DI6,2,FALSE)+IF(AND(Calculator!B8=TRUE,Backdoors!BI3=TRUE),VLOOKUP(Calculator!E23,tbSkills!DH3:DJ6,3,FALSE),0),0))&gt;=100,100,(Backdoors!AI12+IF(B99&gt;=0.45,VLOOKUP(Calculator!E23,tbSkills!DH3:DI6,2,FALSE)+IF(AND(Calculator!B8=TRUE,Backdoors!BI3=TRUE),VLOOKUP(Calculator!E23,tbSkills!DH3:DJ6,3,FALSE),0),0)))/100)),(1-(0.25*((-Backdoors!AI12-IF(B99&gt;=0.45,VLOOKUP(Calculator!E23,tbSkills!DH3:DI6,2,FALSE)+IF(AND(Calculator!B8=TRUE,Backdoors!BI3=TRUE),VLOOKUP(Calculator!E23,tbSkills!DH3:DJ6,3,FALSE),0),0))/100)))),1),"")</f>
        <v>1</v>
      </c>
      <c r="E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99)*D99)*(VLOOKUP(A99,tbMoveset!A2:C112,3,FALSE)/100)*IF(VLOOKUP(A99,tbMoveset!A2:B112,2,FALSE)="Projectile",Backdoors!N10,Backdoors!N9),0),"")</f>
        <v>15</v>
      </c>
      <c r="F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99&gt;=0.45,VLOOKUP(Calculator!E23,tbSkills!DH3:DI6,2,FALSE)+IF(AND(Calculator!B8=TRUE,Backdoors!BI3=TRUE),VLOOKUP(Calculator!E23,tbSkills!DH3:DJ6,3,FALSE),0),0))&gt;=100,100,(Backdoors!AI12+IF(B99&gt;=0.45,VLOOKUP(Calculator!E23,tbSkills!DH3:DI6,2,FALSE)+IF(AND(Calculator!B8=TRUE,Backdoors!BI3=TRUE),VLOOKUP(Calculator!E23,tbSkills!DH3:DJ6,3,FALSE),0),0)))/100)),1))*IF(VLOOKUP(A99,tbMoveset!A2:K112,11,FALSE)=TRUE,Backdoors!AC5,1))*C99,0),"")</f>
        <v>0</v>
      </c>
      <c r="G99">
        <f>VLOOKUP(A99,tbMoveset!A2:G112,7,FALSE)*IFERROR(IF(Backdoors!AI12&gt;=0,1+(IF(Calculator!E40&gt;0,VLOOKUP(Calculator!E40,tbSkills!AI3:AJ5,2,FALSE),Backdoors!AL4)*(IF((Backdoors!AI12+IF(B99&gt;=0.45,VLOOKUP(Calculator!E23,tbSkills!DH3:DI6,2,FALSE)+IF(AND(Calculator!B8=TRUE,Backdoors!BI3=TRUE),VLOOKUP(Calculator!E23,tbSkills!DH3:DJ6,3,FALSE),0),0))&gt;=100,100,(Backdoors!AI12+IF(B99&gt;=0.45,VLOOKUP(Calculator!E23,tbSkills!DH3:DI6,2,FALSE)+IF(AND(Calculator!B8=TRUE,Backdoors!BI3=TRUE),VLOOKUP(Calculator!E23,tbSkills!DH3:DJ6,3,FALSE),0),0)))/100)),1),1)</f>
        <v>1</v>
      </c>
      <c r="H99" s="87">
        <f t="shared" ref="H99:H112" si="95">SUM(E99:F99)</f>
        <v>15</v>
      </c>
      <c r="I99" s="86">
        <f>IFERROR(IF(VLOOKUP(A99,tbMoveset!A2:B112,2,FALSE)="Sever",Backdoors!AY4/100,IF(VLOOKUP(A99,tbMoveset!A2:B112,2,FALSE)="Blunt",Backdoors!AZ4/100,Backdoors!BA4/100)),"")</f>
        <v>0.65</v>
      </c>
      <c r="J99" s="49">
        <f>IFERROR(IF(VLOOKUP(tbMoveset!A99,tbMoveset!A2:H112,8,FALSE)="Other",IF(VLOOKUP(tbMoveset!A99,tbMoveset!A2:I112,9,FALSE)="Fire",Backdoors!BB4,IF(VLOOKUP(tbMoveset!A99,tbMoveset!A2:I112,9,FALSE)="Water",Backdoors!BC4,IF(VLOOKUP(tbMoveset!A99,tbMoveset!A2:I112,9,FALSE)="Thunder",Backdoors!BD4,IF(VLOOKUP(tbMoveset!A99,tbMoveset!A2:I112,9,FALSE)="Ice",Backdoors!BE4,IF(VLOOKUP(tbMoveset!A99,tbMoveset!A2:I112,9,FALSE)="Dragon",Backdoors!BF4,Backdoors!BG4)))))/100,Backdoors!BG4/100),"")</f>
        <v>0</v>
      </c>
      <c r="K99" s="49">
        <f>IFERROR(IF(VLOOKUP(A99,tbMoveset!A2:J112,10,FALSE)=TRUE,IF((Backdoors!AI12+IF(I99&gt;=0.45,VLOOKUP(Calculator!E23,tbSkills!DH3:DI6,2,FALSE)+IF(AND(Calculator!B8=TRUE,Backdoors!BI4=TRUE),VLOOKUP(Calculator!E23,tbSkills!DH3:DJ6,3,FALSE),0),0))&gt;=0,1+(Backdoors!AL2*(IF((Backdoors!AI12+IF(I99&gt;=0.45,VLOOKUP(Calculator!E23,tbSkills!DH3:DI6,2,FALSE)+IF(AND(Calculator!B8=TRUE,Backdoors!BI4=TRUE),VLOOKUP(Calculator!E23,tbSkills!DH3:DJ6,3,FALSE),0),0))&gt;=100,100,(Backdoors!AI12+IF(I99&gt;=0.45,VLOOKUP(Calculator!E23,tbSkills!DH3:DI6,2,FALSE)+IF(AND(Calculator!B8=TRUE,Backdoors!BI4=TRUE),VLOOKUP(Calculator!E23,tbSkills!DH3:DJ6,3,FALSE),0),0)))/100)),(1-(0.25*((-Backdoors!AI12-IF(I99&gt;=0.45,VLOOKUP(Calculator!E23,tbSkills!DH3:DI6,2,FALSE)+IF(AND(Calculator!B8=TRUE,Backdoors!BI4=TRUE),VLOOKUP(Calculator!E23,tbSkills!DH3:DJ6,3,FALSE),0),0))/100)))),1),"")</f>
        <v>1</v>
      </c>
      <c r="L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99)*K99)*(VLOOKUP(A99,tbMoveset!A2:C112,3,FALSE)/100)*IF(VLOOKUP(A99,tbMoveset!A2:B112,2,FALSE)="Projectile",Backdoors!N10,Backdoors!N9),0),"")</f>
        <v>13</v>
      </c>
      <c r="M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I99&gt;=0.45,VLOOKUP(Calculator!E23,tbSkills!DH3:DI6,2,FALSE)+IF(AND(Calculator!B8=TRUE,Backdoors!BI4=TRUE),VLOOKUP(Calculator!E23,tbSkills!DH3:DJ6,3,FALSE),0),0))&gt;=100,100,(Backdoors!AI12+IF(I99&gt;=0.45,VLOOKUP(Calculator!E23,tbSkills!DH3:DI6,2,FALSE)+IF(AND(Calculator!B8=TRUE,Backdoors!BI4=TRUE),VLOOKUP(Calculator!E23,tbSkills!DH3:DJ6,3,FALSE),0),0)))/100)),1))*IF(VLOOKUP(A99,tbMoveset!A2:K112,11,FALSE)=TRUE,Backdoors!AC5,1))*J99,0),"")</f>
        <v>0</v>
      </c>
      <c r="N99" s="49">
        <f>VLOOKUP(A99,tbMoveset!A2:G112,7,FALSE)*IFERROR(IF(Backdoors!AI12&gt;=0,1+(IF(Calculator!E40&gt;0,VLOOKUP(Calculator!E40,tbSkills!AI3:AJ5,2,FALSE),Backdoors!AL4)*(IF((Backdoors!AI12+IF(I99&gt;=0.45,VLOOKUP(Calculator!E23,tbSkills!DH3:DI6,2,FALSE)+IF(AND(Calculator!B8=TRUE,Backdoors!BI4=TRUE),VLOOKUP(Calculator!E23,tbSkills!DH3:DJ6,3,FALSE),0),0))&gt;=100,100,(Backdoors!AI12+IF(I99&gt;=0.45,VLOOKUP(Calculator!E23,tbSkills!DH3:DI6,2,FALSE)+IF(AND(Calculator!B8=TRUE,Backdoors!BI4=TRUE),VLOOKUP(Calculator!E23,tbSkills!DH3:DJ6,3,FALSE),0),0)))/100)),1),1)</f>
        <v>1</v>
      </c>
      <c r="O99" s="87">
        <f t="shared" ref="O99:O112" si="96">SUM(L99:M99)</f>
        <v>13</v>
      </c>
      <c r="P99" s="86">
        <f>IFERROR(IF(VLOOKUP(A99,tbMoveset!A2:B112,2,FALSE)="Sever",Backdoors!AY5/100,IF(VLOOKUP(A99,tbMoveset!A2:B112,2,FALSE)="Blunt",Backdoors!AZ5/100,Backdoors!BA5/100)),"")</f>
        <v>0.5</v>
      </c>
      <c r="Q99" s="49">
        <f>IFERROR(IF(VLOOKUP(tbMoveset!A99,tbMoveset!A2:H112,8,FALSE)="Other",IF(VLOOKUP(tbMoveset!A99,tbMoveset!A2:I112,9,FALSE)="Fire",Backdoors!BB5,IF(VLOOKUP(tbMoveset!A99,tbMoveset!A2:I112,9,FALSE)="Water",Backdoors!BC5,IF(VLOOKUP(tbMoveset!A99,tbMoveset!A2:I112,9,FALSE)="Thunder",Backdoors!BD5,IF(VLOOKUP(tbMoveset!A99,tbMoveset!A2:I112,9,FALSE)="Ice",Backdoors!BE5,IF(VLOOKUP(tbMoveset!A99,tbMoveset!A2:I112,9,FALSE)="Dragon",Backdoors!BF5,Backdoors!BG5)))))/100,Backdoors!BG5/100),"")</f>
        <v>0</v>
      </c>
      <c r="R99" s="49">
        <f>IFERROR(IF(VLOOKUP(A99,tbMoveset!A2:J112,10,FALSE)=TRUE,IF((Backdoors!AI12+IF(P99&gt;=0.45,VLOOKUP(Calculator!E23,tbSkills!DH3:DI6,2,FALSE)+IF(AND(Calculator!B8=TRUE,Backdoors!BI5=TRUE),VLOOKUP(Calculator!E23,tbSkills!DH3:DJ6,3,FALSE),0),0))&gt;=0,1+(Backdoors!AL2*(IF((Backdoors!AI12+IF(P99&gt;=0.45,VLOOKUP(Calculator!E23,tbSkills!DH3:DI6,2,FALSE)+IF(AND(Calculator!B8=TRUE,Backdoors!BI5=TRUE),VLOOKUP(Calculator!E23,tbSkills!DH3:DJ6,3,FALSE),0),0))&gt;=100,100,(Backdoors!AI12+IF(P99&gt;=0.45,VLOOKUP(Calculator!E23,tbSkills!DH3:DI6,2,FALSE)+IF(AND(Calculator!B8=TRUE,Backdoors!BI5=TRUE),VLOOKUP(Calculator!E23,tbSkills!DH3:DJ6,3,FALSE),0),0)))/100)),(1-(0.25*((-Backdoors!AI12-IF(P99&gt;=0.45,VLOOKUP(Calculator!E23,tbSkills!DH3:DI6,2,FALSE)+IF(AND(Calculator!B8=TRUE,Backdoors!BI5=TRUE),VLOOKUP(Calculator!E23,tbSkills!DH3:DJ6,3,FALSE),0),0))/100)))),1),"")</f>
        <v>1</v>
      </c>
      <c r="S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P99)*R99)*(VLOOKUP(A99,tbMoveset!A2:C112,3,FALSE)/100)*IF(VLOOKUP(A99,tbMoveset!A2:B112,2,FALSE)="Projectile",Backdoors!N10,Backdoors!N9),0),"")</f>
        <v>10</v>
      </c>
      <c r="T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P99&gt;=0.45,VLOOKUP(Calculator!E23,tbSkills!DH3:DI6,2,FALSE)+IF(AND(Calculator!B8=TRUE,Backdoors!BI5=TRUE),VLOOKUP(Calculator!E23,tbSkills!DH3:DJ6,3,FALSE),0),0))&gt;=100,100,(Backdoors!AI12+IF(P99&gt;=0.45,VLOOKUP(Calculator!E23,tbSkills!DH3:DI6,2,FALSE)+IF(AND(Calculator!B8=TRUE,Backdoors!BI5=TRUE),VLOOKUP(Calculator!E23,tbSkills!DH3:DJ6,3,FALSE),0),0)))/100)),1))*IF(VLOOKUP(A99,tbMoveset!A2:K112,11,FALSE)=TRUE,Backdoors!AC5,1))*Q99,0),"")</f>
        <v>0</v>
      </c>
      <c r="U99" s="49">
        <f>VLOOKUP(A99,tbMoveset!A2:G112,7,FALSE)*IFERROR(IF(Backdoors!AI12&gt;=0,1+(IF(Calculator!E40&gt;0,VLOOKUP(Calculator!E40,tbSkills!AI3:AJ5,2,FALSE),Backdoors!AL4)*(IF((Backdoors!AI12+IF(P99&gt;=0.45,VLOOKUP(Calculator!E23,tbSkills!DH3:DI6,2,FALSE)+IF(AND(Calculator!B8=TRUE,Backdoors!BI5=TRUE),VLOOKUP(Calculator!E23,tbSkills!DH3:DJ6,3,FALSE),0),0))&gt;=100,100,(Backdoors!AI12+IF(P99&gt;=0.45,VLOOKUP(Calculator!E23,tbSkills!DH3:DI6,2,FALSE)+IF(AND(Calculator!B8=TRUE,Backdoors!BI5=TRUE),VLOOKUP(Calculator!E23,tbSkills!DH3:DJ6,3,FALSE),0),0)))/100)),1),1)</f>
        <v>1</v>
      </c>
      <c r="V99" s="87">
        <f t="shared" si="53"/>
        <v>10</v>
      </c>
      <c r="W99" s="86">
        <f>IFERROR(IF(VLOOKUP(A99,tbMoveset!A2:B112,2,FALSE)="Sever",Backdoors!AY6/100,IF(VLOOKUP(A99,tbMoveset!A2:B112,2,FALSE)="Blunt",Backdoors!AZ6/100,Backdoors!BA6/100)),"")</f>
        <v>0.45</v>
      </c>
      <c r="X99" s="49">
        <f>IFERROR(IF(VLOOKUP(tbMoveset!A99,tbMoveset!A2:H112,8,FALSE)="Other",IF(VLOOKUP(tbMoveset!A99,tbMoveset!A2:I112,9,FALSE)="Fire",Backdoors!BB6,IF(VLOOKUP(tbMoveset!A99,tbMoveset!A2:I112,9,FALSE)="Water",Backdoors!BC6,IF(VLOOKUP(tbMoveset!A99,tbMoveset!A2:I112,9,FALSE)="Thunder",Backdoors!BD6,IF(VLOOKUP(tbMoveset!A99,tbMoveset!A2:I112,9,FALSE)="Ice",Backdoors!BE6,IF(VLOOKUP(tbMoveset!A99,tbMoveset!A2:I112,9,FALSE)="Dragon",Backdoors!BF6,Backdoors!BG6)))))/100,Backdoors!BG6/100),"")</f>
        <v>0</v>
      </c>
      <c r="Y99" s="49">
        <f>IFERROR(IF(VLOOKUP(A99,tbMoveset!A2:J112,10,FALSE)=TRUE,IF((Backdoors!AI12+IF(W99&gt;=0.45,VLOOKUP(Calculator!E23,tbSkills!DH3:DI6,2,FALSE)+IF(AND(Calculator!B8=TRUE,Backdoors!BI6=TRUE),VLOOKUP(Calculator!E23,tbSkills!DH3:DJ6,3,FALSE),0),0))&gt;=0,1+(Backdoors!AL2*(IF((Backdoors!AI12+IF(W99&gt;=0.45,VLOOKUP(Calculator!E23,tbSkills!DH3:DI6,2,FALSE)+IF(AND(Calculator!B8=TRUE,Backdoors!BI6=TRUE),VLOOKUP(Calculator!E23,tbSkills!DH3:DJ6,3,FALSE),0),0))&gt;=100,100,(Backdoors!AI12+IF(W99&gt;=0.45,VLOOKUP(Calculator!E23,tbSkills!DH3:DI6,2,FALSE)+IF(AND(Calculator!B8=TRUE,Backdoors!BI6=TRUE),VLOOKUP(Calculator!E23,tbSkills!DH3:DJ6,3,FALSE),0),0)))/100)),(1-(0.25*((-Backdoors!AI12-IF(W99&gt;=0.45,VLOOKUP(Calculator!E23,tbSkills!DH3:DI6,2,FALSE)+IF(AND(Calculator!B8=TRUE,Backdoors!BI6=TRUE),VLOOKUP(Calculator!E23,tbSkills!DH3:DJ6,3,FALSE),0),0))/100)))),1),"")</f>
        <v>1</v>
      </c>
      <c r="Z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W99)*Y99)*(VLOOKUP(A99,tbMoveset!A2:C112,3,FALSE)/100)*IF(VLOOKUP(A99,tbMoveset!A2:B112,2,FALSE)="Projectile",Backdoors!N10,Backdoors!N9),0),"")</f>
        <v>9</v>
      </c>
      <c r="AA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W99&gt;=0.45,VLOOKUP(Calculator!E23,tbSkills!DH3:DI6,2,FALSE)+IF(AND(Calculator!B8=TRUE,Backdoors!BI6=TRUE),VLOOKUP(Calculator!E23,tbSkills!DH3:DJ6,3,FALSE),0),0))&gt;=100,100,(Backdoors!AI12+IF(W99&gt;=0.45,VLOOKUP(Calculator!E23,tbSkills!DH3:DI6,2,FALSE)+IF(AND(Calculator!B8=TRUE,Backdoors!BI6=TRUE),VLOOKUP(Calculator!E23,tbSkills!DH3:DJ6,3,FALSE),0),0)))/100)),1))*IF(VLOOKUP(A99,tbMoveset!A2:K112,11,FALSE)=TRUE,Backdoors!AC5,1))*X99,0),"")</f>
        <v>0</v>
      </c>
      <c r="AB99" s="49">
        <f>VLOOKUP(A99,tbMoveset!A2:G112,7,FALSE)*IFERROR(IF(Backdoors!AI12&gt;=0,1+(IF(Calculator!E40&gt;0,VLOOKUP(Calculator!E40,tbSkills!AI3:AJ5,2,FALSE),Backdoors!AL4)*(IF((Backdoors!AI12+IF(W99&gt;=0.45,VLOOKUP(Calculator!E23,tbSkills!DH3:DI6,2,FALSE)+IF(AND(Calculator!B8=TRUE,Backdoors!BI6=TRUE),VLOOKUP(Calculator!E23,tbSkills!DH3:DJ6,3,FALSE),0),0))&gt;=100,100,(Backdoors!AI12+IF(W99&gt;=0.45,VLOOKUP(Calculator!E23,tbSkills!DH3:DI6,2,FALSE)+IF(AND(Calculator!B8=TRUE,Backdoors!BI6=TRUE),VLOOKUP(Calculator!E23,tbSkills!DH3:DJ6,3,FALSE),0),0)))/100)),1),1)</f>
        <v>1</v>
      </c>
      <c r="AC99" s="87">
        <f t="shared" si="54"/>
        <v>9</v>
      </c>
      <c r="AD99" s="86">
        <f>IFERROR(IF(VLOOKUP(A99,tbMoveset!A2:B112,2,FALSE)="Sever",Backdoors!AY7/100,IF(VLOOKUP(A99,tbMoveset!A2:B112,2,FALSE)="Blunt",Backdoors!AZ7/100,Backdoors!BA7/100)),"")</f>
        <v>0.65</v>
      </c>
      <c r="AE99" s="49">
        <f>IFERROR(IF(VLOOKUP(tbMoveset!A99,tbMoveset!A2:H112,8,FALSE)="Other",IF(VLOOKUP(tbMoveset!A99,tbMoveset!A2:I112,9,FALSE)="Fire",Backdoors!BB7,IF(VLOOKUP(tbMoveset!A99,tbMoveset!A2:I112,9,FALSE)="Water",Backdoors!BC7,IF(VLOOKUP(tbMoveset!A99,tbMoveset!A2:I112,9,FALSE)="Thunder",Backdoors!BD7,IF(VLOOKUP(tbMoveset!A99,tbMoveset!A2:I112,9,FALSE)="Ice",Backdoors!BE7,IF(VLOOKUP(tbMoveset!A99,tbMoveset!A2:I112,9,FALSE)="Dragon",Backdoors!BF7,Backdoors!BG7)))))/100,Backdoors!BG7/100),"")</f>
        <v>0</v>
      </c>
      <c r="AF99" s="49">
        <f>IFERROR(IF(VLOOKUP(A99,tbMoveset!A2:J112,10,FALSE)=TRUE,IF((Backdoors!AI12+IF(AD99&gt;=0.45,VLOOKUP(Calculator!E23,tbSkills!DH3:DI6,2,FALSE)+IF(AND(Calculator!B8=TRUE,Backdoors!BI7=TRUE),VLOOKUP(Calculator!E23,tbSkills!DH3:DJ6,3,FALSE),0),0))&gt;=0,1+(Backdoors!AL2*(IF((Backdoors!AI12+IF(AD99&gt;=0.45,VLOOKUP(Calculator!E23,tbSkills!DH3:DI6,2,FALSE)+IF(AND(Calculator!B8=TRUE,Backdoors!BI7=TRUE),VLOOKUP(Calculator!E23,tbSkills!DH3:DJ6,3,FALSE),0),0))&gt;=100,100,(Backdoors!AI12+IF(AD99&gt;=0.45,VLOOKUP(Calculator!E23,tbSkills!DH3:DI6,2,FALSE)+IF(AND(Calculator!B8=TRUE,Backdoors!BI7=TRUE),VLOOKUP(Calculator!E23,tbSkills!DH3:DJ6,3,FALSE),0),0)))/100)),(1-(0.25*((-Backdoors!AI12-IF(AD99&gt;=0.45,VLOOKUP(Calculator!E23,tbSkills!DH3:DI6,2,FALSE)+IF(AND(Calculator!B8=TRUE,Backdoors!BI7=TRUE),VLOOKUP(Calculator!E23,tbSkills!DH3:DJ6,3,FALSE),0),0))/100)))),1),"")</f>
        <v>1</v>
      </c>
      <c r="AG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D99)*AF99)*(VLOOKUP(A99,tbMoveset!A2:C112,3,FALSE)/100)*IF(VLOOKUP(A99,tbMoveset!A2:B112,2,FALSE)="Projectile",Backdoors!N10,Backdoors!N9),0),"")</f>
        <v>13</v>
      </c>
      <c r="AH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D99&gt;=0.45,VLOOKUP(Calculator!E23,tbSkills!DH3:DI6,2,FALSE)+IF(AND(Calculator!B8=TRUE,Backdoors!BI7=TRUE),VLOOKUP(Calculator!E23,tbSkills!DH3:DJ6,3,FALSE),0),0))&gt;=100,100,(Backdoors!AI12+IF(AD99&gt;=0.45,VLOOKUP(Calculator!E23,tbSkills!DH3:DI6,2,FALSE)+IF(AND(Calculator!B8=TRUE,Backdoors!BI7=TRUE),VLOOKUP(Calculator!E23,tbSkills!DH3:DJ6,3,FALSE),0),0)))/100)),1))*IF(VLOOKUP(A99,tbMoveset!A2:K112,11,FALSE)=TRUE,Backdoors!AC5,1))*AE99,0),"")</f>
        <v>0</v>
      </c>
      <c r="AI99" s="49">
        <f>VLOOKUP(A99,tbMoveset!A2:G112,7,FALSE)*IFERROR(IF(Backdoors!AI12&gt;=0,1+(IF(Calculator!E40&gt;0,VLOOKUP(Calculator!E40,tbSkills!AI3:AJ5,2,FALSE),Backdoors!AL4)*(IF((Backdoors!AI12+IF(AD99&gt;=0.45,VLOOKUP(Calculator!E23,tbSkills!DH3:DI6,2,FALSE)+IF(AND(Calculator!B8=TRUE,Backdoors!BI7=TRUE),VLOOKUP(Calculator!E23,tbSkills!DH3:DJ6,3,FALSE),0),0))&gt;=100,100,(Backdoors!AI12+IF(AD99&gt;=0.45,VLOOKUP(Calculator!E23,tbSkills!DH3:DI6,2,FALSE)+IF(AND(Calculator!B8=TRUE,Backdoors!BI7=TRUE),VLOOKUP(Calculator!E23,tbSkills!DH3:DJ6,3,FALSE),0),0)))/100)),1),1)</f>
        <v>1</v>
      </c>
      <c r="AJ99" s="87">
        <f t="shared" si="55"/>
        <v>13</v>
      </c>
      <c r="AK99" s="91">
        <f>IFERROR(IF(VLOOKUP(A99,tbMoveset!A2:B112,2,FALSE)="Sever",Backdoors!AY8/100,IF(VLOOKUP(A99,tbMoveset!A2:B112,2,FALSE)="Blunt",Backdoors!AZ8/100,Backdoors!BA8/100)),"")</f>
        <v>0.45</v>
      </c>
      <c r="AL99" s="49">
        <f>IFERROR(IF(VLOOKUP(tbMoveset!A99,tbMoveset!A2:H112,8,FALSE)="Other",IF(VLOOKUP(tbMoveset!A99,tbMoveset!A2:I112,9,FALSE)="Fire",Backdoors!BB8,IF(VLOOKUP(tbMoveset!A99,tbMoveset!A2:I112,9,FALSE)="Water",Backdoors!BC8,IF(VLOOKUP(tbMoveset!A99,tbMoveset!A2:I112,9,FALSE)="Thunder",Backdoors!BD8,IF(VLOOKUP(tbMoveset!A99,tbMoveset!A2:I112,9,FALSE)="Ice",Backdoors!BE8,IF(VLOOKUP(tbMoveset!A99,tbMoveset!A2:I112,9,FALSE)="Dragon",Backdoors!BF8,Backdoors!BG8)))))/100,Backdoors!BG8/100),"")</f>
        <v>0</v>
      </c>
      <c r="AM99" s="49">
        <f>IFERROR(IF(VLOOKUP(A99,tbMoveset!A2:J112,10,FALSE)=TRUE,IF((Backdoors!AI12+IF(AK99&gt;=0.45,VLOOKUP(Calculator!E23,tbSkills!DH3:DI6,2,FALSE)+IF(AND(Calculator!B8=TRUE,Backdoors!BI8=TRUE),VLOOKUP(Calculator!E23,tbSkills!DH3:DJ6,3,FALSE),0),0))&gt;=0,1+(Backdoors!AL2*(IF((Backdoors!AI12+IF(AK99&gt;=0.45,VLOOKUP(Calculator!E23,tbSkills!DH3:DI6,2,FALSE)+IF(AND(Calculator!B8=TRUE,Backdoors!BI8=TRUE),VLOOKUP(Calculator!E23,tbSkills!DH3:DJ6,3,FALSE),0),0))&gt;=100,100,(Backdoors!AI12+IF(AK99&gt;=0.45,VLOOKUP(Calculator!E23,tbSkills!DH3:DI6,2,FALSE)+IF(AND(Calculator!B8=TRUE,Backdoors!BI8=TRUE),VLOOKUP(Calculator!E23,tbSkills!DH3:DJ6,3,FALSE),0),0)))/100)),(1-(0.25*((-Backdoors!AI12-IF(AK99&gt;=0.45,VLOOKUP(Calculator!E23,tbSkills!DH3:DI6,2,FALSE)+IF(AND(Calculator!B8=TRUE,Backdoors!BI8=TRUE),VLOOKUP(Calculator!E23,tbSkills!DH3:DJ6,3,FALSE),0),0))/100)))),1),"")</f>
        <v>1</v>
      </c>
      <c r="AN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K99)*AM99)*(VLOOKUP(A99,tbMoveset!A2:C112,3,FALSE)/100)*IF(VLOOKUP(A99,tbMoveset!A2:B112,2,FALSE)="Projectile",Backdoors!N10,Backdoors!N9),0),"")</f>
        <v>9</v>
      </c>
      <c r="AO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K99&gt;=0.45,VLOOKUP(Calculator!E23,tbSkills!DH3:DI6,2,FALSE)+IF(AND(Calculator!B8=TRUE,Backdoors!BI8=TRUE),VLOOKUP(Calculator!E23,tbSkills!DH3:DJ6,3,FALSE),0),0))&gt;=100,100,(Backdoors!AI12+IF(AK99&gt;=0.45,VLOOKUP(Calculator!E23,tbSkills!DH3:DI6,2,FALSE)+IF(AND(Calculator!B8=TRUE,Backdoors!BI8=TRUE),VLOOKUP(Calculator!E23,tbSkills!DH3:DJ6,3,FALSE),0),0)))/100)),1))*IF(VLOOKUP(A99,tbMoveset!A2:K112,11,FALSE)=TRUE,Backdoors!AC5,1))*AL99,0),"")</f>
        <v>0</v>
      </c>
      <c r="AP99" s="49">
        <f>VLOOKUP(A99,tbMoveset!A2:G112,7,FALSE)*IFERROR(IF(Backdoors!AI12&gt;=0,1+(IF(Calculator!E40&gt;0,VLOOKUP(Calculator!E40,tbSkills!AI3:AJ5,2,FALSE),Backdoors!AL4)*(IF((Backdoors!AI12+IF(AK99&gt;=0.45,VLOOKUP(Calculator!E23,tbSkills!DH3:DI6,2,FALSE)+IF(AND(Calculator!B8=TRUE,Backdoors!BI8=TRUE),VLOOKUP(Calculator!E23,tbSkills!DH3:DJ6,3,FALSE),0),0))&gt;=100,100,(Backdoors!AI12+IF(AK99&gt;=0.45,VLOOKUP(Calculator!E23,tbSkills!DH3:DI6,2,FALSE)+IF(AND(Calculator!B8=TRUE,Backdoors!BI8=TRUE),VLOOKUP(Calculator!E23,tbSkills!DH3:DJ6,3,FALSE),0),0)))/100)),1),1)</f>
        <v>1</v>
      </c>
      <c r="AQ99" s="87">
        <f t="shared" si="56"/>
        <v>9</v>
      </c>
      <c r="AR99" s="86">
        <f>IFERROR(IF(VLOOKUP(A99,tbMoveset!A2:B112,2,FALSE)="Sever",Backdoors!AY9/100,IF(VLOOKUP(A99,tbMoveset!A2:B112,2,FALSE)="Blunt",Backdoors!AZ9/100,Backdoors!BA9/100)),"")</f>
        <v>0.45</v>
      </c>
      <c r="AS99" s="49">
        <f>IFERROR(IF(VLOOKUP(tbMoveset!A99,tbMoveset!A2:H112,8,FALSE)="Other",IF(VLOOKUP(tbMoveset!A99,tbMoveset!A2:I112,9,FALSE)="Fire",Backdoors!BB9,IF(VLOOKUP(tbMoveset!A99,tbMoveset!A2:I112,9,FALSE)="Water",Backdoors!BC9,IF(VLOOKUP(tbMoveset!A99,tbMoveset!A2:I112,9,FALSE)="Thunder",Backdoors!BD9,IF(VLOOKUP(tbMoveset!A99,tbMoveset!A2:I112,9,FALSE)="Ice",Backdoors!BE9,IF(VLOOKUP(tbMoveset!A99,tbMoveset!A2:I112,9,FALSE)="Dragon",Backdoors!BF9,Backdoors!BG9)))))/100,Backdoors!BG9/100),"")</f>
        <v>0</v>
      </c>
      <c r="AT99" s="49">
        <f>IFERROR(IF(VLOOKUP(A99,tbMoveset!A2:J112,10,FALSE)=TRUE,IF((Backdoors!AI12+IF(AR99&gt;=0.45,VLOOKUP(Calculator!E23,tbSkills!DH3:DI6,2,FALSE)+IF(AND(Calculator!B8=TRUE,Backdoors!BI9=TRUE),VLOOKUP(Calculator!E23,tbSkills!DH3:DJ6,3,FALSE),0),0))&gt;=0,1+(Backdoors!AL2*(IF((Backdoors!AI12+IF(AR99&gt;=0.45,VLOOKUP(Calculator!E23,tbSkills!DH3:DI6,2,FALSE)+IF(AND(Calculator!B8=TRUE,Backdoors!BI9=TRUE),VLOOKUP(Calculator!E23,tbSkills!DH3:DJ6,3,FALSE),0),0))&gt;=100,100,(Backdoors!AI12+IF(AR99&gt;=0.45,VLOOKUP(Calculator!E23,tbSkills!DH3:DI6,2,FALSE)+IF(AND(Calculator!B8=TRUE,Backdoors!BI9=TRUE),VLOOKUP(Calculator!E23,tbSkills!DH3:DJ6,3,FALSE),0),0)))/100)),(1-(0.25*((-Backdoors!AI12-IF(AR99&gt;=0.45,VLOOKUP(Calculator!E23,tbSkills!DH3:DI6,2,FALSE)+IF(AND(Calculator!B8=TRUE,Backdoors!BI9=TRUE),VLOOKUP(Calculator!E23,tbSkills!DH3:DJ6,3,FALSE),0),0))/100)))),1),"")</f>
        <v>1</v>
      </c>
      <c r="AU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R99)*AT99)*(VLOOKUP(A99,tbMoveset!A2:C112,3,FALSE)/100)*IF(VLOOKUP(A99,tbMoveset!A2:B112,2,FALSE)="Projectile",Backdoors!N10,Backdoors!N9),0),"")</f>
        <v>9</v>
      </c>
      <c r="AV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R99&gt;=0.45,VLOOKUP(Calculator!E23,tbSkills!DH3:DI6,2,FALSE)+IF(AND(Calculator!B8=TRUE,Backdoors!BI9=TRUE),VLOOKUP(Calculator!E23,tbSkills!DH3:DJ6,3,FALSE),0),0))&gt;=100,100,(Backdoors!AI12+IF(AR99&gt;=0.45,VLOOKUP(Calculator!E23,tbSkills!DH3:DI6,2,FALSE)+IF(AND(Calculator!B8=TRUE,Backdoors!BI9=TRUE),VLOOKUP(Calculator!E23,tbSkills!DH3:DJ6,3,FALSE),0),0)))/100)),1))*IF(VLOOKUP(A99,tbMoveset!A2:K112,11,FALSE)=TRUE,Backdoors!AC5,1))*AS99,0),"")</f>
        <v>0</v>
      </c>
      <c r="AW99" s="49">
        <f>VLOOKUP(A99,tbMoveset!A2:G112,7,FALSE)*IFERROR(IF(Backdoors!AI12&gt;=0,1+(IF(Calculator!E40&gt;0,VLOOKUP(Calculator!E40,tbSkills!AI3:AJ5,2,FALSE),Backdoors!AL4)*(IF((Backdoors!AI12+IF(AR99&gt;=0.45,VLOOKUP(Calculator!E23,tbSkills!DH3:DI6,2,FALSE)+IF(AND(Calculator!B8=TRUE,Backdoors!BI9=TRUE),VLOOKUP(Calculator!E23,tbSkills!DH3:DJ6,3,FALSE),0),0))&gt;=100,100,(Backdoors!AI12+IF(AR99&gt;=0.45,VLOOKUP(Calculator!E23,tbSkills!DH3:DI6,2,FALSE)+IF(AND(Calculator!B8=TRUE,Backdoors!BI9=TRUE),VLOOKUP(Calculator!E23,tbSkills!DH3:DJ6,3,FALSE),0),0)))/100)),1),1)</f>
        <v>1</v>
      </c>
      <c r="AX99" s="87">
        <f t="shared" si="57"/>
        <v>9</v>
      </c>
      <c r="AY99" s="86">
        <f>IFERROR(IF(VLOOKUP(A99,tbMoveset!A2:B112,2,FALSE)="Sever",Backdoors!AY10/100,IF(VLOOKUP(A99,tbMoveset!A2:B112,2,FALSE)="Blunt",Backdoors!AZ10/100,Backdoors!BA10/100)),"")</f>
        <v>0.9</v>
      </c>
      <c r="AZ99" s="49">
        <f>IFERROR(IF(VLOOKUP(tbMoveset!A99,tbMoveset!A2:H112,8,FALSE)="Other",IF(VLOOKUP(tbMoveset!A99,tbMoveset!A2:I112,9,FALSE)="Fire",Backdoors!BB10,IF(VLOOKUP(tbMoveset!A99,tbMoveset!A2:I112,9,FALSE)="Water",Backdoors!BC10,IF(VLOOKUP(tbMoveset!A99,tbMoveset!A2:I112,9,FALSE)="Thunder",Backdoors!BD10,IF(VLOOKUP(tbMoveset!A99,tbMoveset!A2:I112,9,FALSE)="Ice",Backdoors!BE10,IF(VLOOKUP(tbMoveset!A99,tbMoveset!A2:I112,9,FALSE)="Dragon",Backdoors!BF10,Backdoors!BG10)))))/100,Backdoors!BG10/100),"")</f>
        <v>0</v>
      </c>
      <c r="BA99" s="49">
        <f>IFERROR(IF(VLOOKUP(A99,tbMoveset!A2:J112,10,FALSE)=TRUE,IF((Backdoors!AI12+IF(AY99&gt;=0.45,VLOOKUP(Calculator!E23,tbSkills!DH3:DI6,2,FALSE)+IF(AND(Calculator!B8=TRUE,Backdoors!BI10=TRUE),VLOOKUP(Calculator!E23,tbSkills!DH3:DJ6,3,FALSE),0),0))&gt;=0,1+(Backdoors!AL2*(IF((Backdoors!AI12+IF(AY99&gt;=0.45,VLOOKUP(Calculator!E23,tbSkills!DH3:DI6,2,FALSE)+IF(AND(Calculator!B8=TRUE,Backdoors!BI10=TRUE),VLOOKUP(Calculator!E23,tbSkills!DH3:DJ6,3,FALSE),0),0))&gt;=100,100,(Backdoors!AI12+IF(AY99&gt;=0.45,VLOOKUP(Calculator!E23,tbSkills!DH3:DI6,2,FALSE)+IF(AND(Calculator!B8=TRUE,Backdoors!BI10=TRUE),VLOOKUP(Calculator!E23,tbSkills!DH3:DJ6,3,FALSE),0),0)))/100)),(1-(0.25*((-Backdoors!AI12-IF(AY99&gt;=0.45,VLOOKUP(Calculator!E23,tbSkills!DH3:DI6,2,FALSE)+IF(AND(Calculator!B8=TRUE,Backdoors!BI10=TRUE),VLOOKUP(Calculator!E23,tbSkills!DH3:DJ6,3,FALSE),0),0))/100)))),1),"")</f>
        <v>1</v>
      </c>
      <c r="BB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Y99)*BA99)*(VLOOKUP(A99,tbMoveset!A2:C112,3,FALSE)/100)*IF(VLOOKUP(A99,tbMoveset!A2:B112,2,FALSE)="Projectile",Backdoors!N10,Backdoors!N9),0),"")</f>
        <v>17</v>
      </c>
      <c r="BC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Y99&gt;=0.45,VLOOKUP(Calculator!E23,tbSkills!DH3:DI6,2,FALSE)+IF(AND(Calculator!B8=TRUE,Backdoors!BI10=TRUE),VLOOKUP(Calculator!E23,tbSkills!DH3:DJ6,3,FALSE),0),0))&gt;=100,100,(Backdoors!AI12+IF(AY99&gt;=0.45,VLOOKUP(Calculator!E23,tbSkills!DH3:DI6,2,FALSE)+IF(AND(Calculator!B8=TRUE,Backdoors!BI10=TRUE),VLOOKUP(Calculator!E23,tbSkills!DH3:DJ6,3,FALSE),0),0)))/100)),1))*IF(VLOOKUP(A99,tbMoveset!A2:K112,11,FALSE)=TRUE,Backdoors!AC5,1))*AZ99,0),"")</f>
        <v>0</v>
      </c>
      <c r="BD99" s="49">
        <f>VLOOKUP(A99,tbMoveset!A2:G112,7,FALSE)*IFERROR(IF(Backdoors!AI12&gt;=0,1+(IF(Calculator!E40&gt;0,VLOOKUP(Calculator!E40,tbSkills!AI3:AJ5,2,FALSE),Backdoors!AL4)*(IF((Backdoors!AI12+IF(AY99&gt;=0.45,VLOOKUP(Calculator!E23,tbSkills!DH3:DI6,2,FALSE)+IF(AND(Calculator!B8=TRUE,Backdoors!BI10=TRUE),VLOOKUP(Calculator!E23,tbSkills!DH3:DJ6,3,FALSE),0),0))&gt;=100,100,(Backdoors!AI12+IF(AY99&gt;=0.45,VLOOKUP(Calculator!E23,tbSkills!DH3:DI6,2,FALSE)+IF(AND(Calculator!B8=TRUE,Backdoors!BI10=TRUE),VLOOKUP(Calculator!E23,tbSkills!DH3:DJ6,3,FALSE),0),0)))/100)),1),1)</f>
        <v>1</v>
      </c>
      <c r="BE99" s="87">
        <f t="shared" si="58"/>
        <v>17</v>
      </c>
      <c r="BF99" s="86" t="str">
        <f>IFERROR(IF(VLOOKUP(A99,tbMoveset!A2:B112,2,FALSE)="Sever",Backdoors!AY11/100,IF(VLOOKUP(A99,tbMoveset!A2:B112,2,FALSE)="Blunt",Backdoors!AZ11/100,Backdoors!BA11/100)),"")</f>
        <v/>
      </c>
      <c r="BG99" s="49">
        <f>IFERROR(IF(VLOOKUP(tbMoveset!A99,tbMoveset!A2:H112,8,FALSE)="Other",IF(VLOOKUP(tbMoveset!A99,tbMoveset!A2:I112,9,FALSE)="Fire",Backdoors!BB11,IF(VLOOKUP(tbMoveset!A99,tbMoveset!A2:I112,9,FALSE)="Water",Backdoors!BC11,IF(VLOOKUP(tbMoveset!A99,tbMoveset!A2:I112,9,FALSE)="Thunder",Backdoors!BD11,IF(VLOOKUP(tbMoveset!A99,tbMoveset!A2:I112,9,FALSE)="Ice",Backdoors!BE11,IF(VLOOKUP(tbMoveset!A99,tbMoveset!A2:I112,9,FALSE)="Dragon",Backdoors!BF11,Backdoors!BG11)))))/100,Backdoors!BG11/100),"")</f>
        <v>0</v>
      </c>
      <c r="BH99" s="49">
        <f>IFERROR(IF(VLOOKUP(A99,tbMoveset!A2:J112,10,FALSE)=TRUE,IF((Backdoors!AI12+IF(BF99&gt;=0.45,VLOOKUP(Calculator!E23,tbSkills!DH3:DI6,2,FALSE)+IF(AND(Calculator!B8=TRUE,Backdoors!BI11=TRUE),VLOOKUP(Calculator!E23,tbSkills!DH3:DJ6,3,FALSE),0),0))&gt;=0,1+(Backdoors!AL2*(IF((Backdoors!AI12+IF(BF99&gt;=0.45,VLOOKUP(Calculator!E23,tbSkills!DH3:DI6,2,FALSE)+IF(AND(Calculator!B8=TRUE,Backdoors!BI11=TRUE),VLOOKUP(Calculator!E23,tbSkills!DH3:DJ6,3,FALSE),0),0))&gt;=100,100,(Backdoors!AI12+IF(BF99&gt;=0.45,VLOOKUP(Calculator!E23,tbSkills!DH3:DI6,2,FALSE)+IF(AND(Calculator!B8=TRUE,Backdoors!BI11=TRUE),VLOOKUP(Calculator!E23,tbSkills!DH3:DJ6,3,FALSE),0),0)))/100)),(1-(0.25*((-Backdoors!AI12-IF(BF99&gt;=0.45,VLOOKUP(Calculator!E23,tbSkills!DH3:DI6,2,FALSE)+IF(AND(Calculator!B8=TRUE,Backdoors!BI11=TRUE),VLOOKUP(Calculator!E23,tbSkills!DH3:DJ6,3,FALSE),0),0))/100)))),1),"")</f>
        <v>1</v>
      </c>
      <c r="BI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F99)*BH99)*(VLOOKUP(A99,tbMoveset!A2:C112,3,FALSE)/100)*IF(VLOOKUP(A99,tbMoveset!A2:B112,2,FALSE)="Projectile",Backdoors!N10,Backdoors!N9),0),"")</f>
        <v/>
      </c>
      <c r="BJ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F99&gt;=0.45,VLOOKUP(Calculator!E23,tbSkills!DH3:DI6,2,FALSE)+IF(AND(Calculator!B8=TRUE,Backdoors!BI11=TRUE),VLOOKUP(Calculator!E23,tbSkills!DH3:DJ6,3,FALSE),0),0))&gt;=100,100,(Backdoors!AI12+IF(BF99&gt;=0.45,VLOOKUP(Calculator!E23,tbSkills!DH3:DI6,2,FALSE)+IF(AND(Calculator!B8=TRUE,Backdoors!BI11=TRUE),VLOOKUP(Calculator!E23,tbSkills!DH3:DJ6,3,FALSE),0),0)))/100)),1))*IF(VLOOKUP(A99,tbMoveset!A2:K112,11,FALSE)=TRUE,Backdoors!AC5,1))*BG99,0),"")</f>
        <v>0</v>
      </c>
      <c r="BK99" s="49">
        <f>VLOOKUP(A99,tbMoveset!A2:G112,7,FALSE)*IFERROR(IF(Backdoors!AI12&gt;=0,1+(IF(Calculator!E40&gt;0,VLOOKUP(Calculator!E40,tbSkills!AI3:AJ5,2,FALSE),Backdoors!AL4)*(IF((Backdoors!AI12+IF(BF99&gt;=0.45,VLOOKUP(Calculator!E23,tbSkills!DH3:DI6,2,FALSE)+IF(AND(Calculator!B8=TRUE,Backdoors!BI11=TRUE),VLOOKUP(Calculator!E23,tbSkills!DH3:DJ6,3,FALSE),0),0))&gt;=100,100,(Backdoors!AI12+IF(BF99&gt;=0.45,VLOOKUP(Calculator!E23,tbSkills!DH3:DI6,2,FALSE)+IF(AND(Calculator!B8=TRUE,Backdoors!BI11=TRUE),VLOOKUP(Calculator!E23,tbSkills!DH3:DJ6,3,FALSE),0),0)))/100)),1),1)</f>
        <v>1</v>
      </c>
      <c r="BL99" s="87">
        <f t="shared" si="59"/>
        <v>0</v>
      </c>
      <c r="BM99" s="86" t="str">
        <f>IFERROR(IF(VLOOKUP(A99,tbMoveset!A2:B112,2,FALSE)="Sever",Backdoors!AY12/100,IF(VLOOKUP(A99,tbMoveset!A2:B112,2,FALSE)="Blunt",Backdoors!AZ12/100,Backdoors!BA12/100)),"")</f>
        <v/>
      </c>
      <c r="BN99" s="49">
        <f>IFERROR(IF(VLOOKUP(tbMoveset!A99,tbMoveset!A2:H112,8,FALSE)="Other",IF(VLOOKUP(tbMoveset!A99,tbMoveset!A2:I112,9,FALSE)="Fire",Backdoors!BB12,IF(VLOOKUP(tbMoveset!A99,tbMoveset!A2:I112,9,FALSE)="Water",Backdoors!BC12,IF(VLOOKUP(tbMoveset!A99,tbMoveset!A2:I112,9,FALSE)="Thunder",Backdoors!BD12,IF(VLOOKUP(tbMoveset!A99,tbMoveset!A2:I112,9,FALSE)="Ice",Backdoors!BE12,IF(VLOOKUP(tbMoveset!A99,tbMoveset!A2:I112,9,FALSE)="Dragon",Backdoors!BF12,Backdoors!BG12)))))/100,Backdoors!BG12/100),"")</f>
        <v>0</v>
      </c>
      <c r="BO99" s="49">
        <f>IFERROR(IF(VLOOKUP(A99,tbMoveset!A2:J112,10,FALSE)=TRUE,IF((Backdoors!AI12+IF(BM99&gt;=0.45,VLOOKUP(Calculator!E23,tbSkills!DH3:DI6,2,FALSE)+IF(AND(Calculator!B8=TRUE,Backdoors!BI12=TRUE),VLOOKUP(Calculator!E23,tbSkills!DH3:DJ6,3,FALSE),0),0))&gt;=0,1+(Backdoors!AL2*(IF((Backdoors!AI12+IF(BM99&gt;=0.45,VLOOKUP(Calculator!E23,tbSkills!DH3:DI6,2,FALSE)+IF(AND(Calculator!B8=TRUE,Backdoors!BI12=TRUE),VLOOKUP(Calculator!E23,tbSkills!DH3:DJ6,3,FALSE),0),0))&gt;=100,100,(Backdoors!AI12+IF(BM99&gt;=0.45,VLOOKUP(Calculator!E23,tbSkills!DH3:DI6,2,FALSE)+IF(AND(Calculator!B8=TRUE,Backdoors!BI12=TRUE),VLOOKUP(Calculator!E23,tbSkills!DH3:DJ6,3,FALSE),0),0)))/100)),(1-(0.25*((-Backdoors!AI12-IF(BM99&gt;=0.45,VLOOKUP(Calculator!E23,tbSkills!DH3:DI6,2,FALSE)+IF(AND(Calculator!B8=TRUE,Backdoors!BI12=TRUE),VLOOKUP(Calculator!E23,tbSkills!DH3:DJ6,3,FALSE),0),0))/100)))),1),"")</f>
        <v>1</v>
      </c>
      <c r="BP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M99)*BO99)*(VLOOKUP(A99,tbMoveset!A2:C112,3,FALSE)/100)*IF(VLOOKUP(A99,tbMoveset!A2:B112,2,FALSE)="Projectile",Backdoors!N10,Backdoors!N9),0),"")</f>
        <v/>
      </c>
      <c r="BQ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M99&gt;=0.45,VLOOKUP(Calculator!E23,tbSkills!DH3:DI6,2,FALSE)+IF(AND(Calculator!B8=TRUE,Backdoors!BI12=TRUE),VLOOKUP(Calculator!E23,tbSkills!DH3:DJ6,3,FALSE),0),0))&gt;=100,100,(Backdoors!AI12+IF(BM99&gt;=0.45,VLOOKUP(Calculator!E23,tbSkills!DH3:DI6,2,FALSE)+IF(AND(Calculator!B8=TRUE,Backdoors!BI12=TRUE),VLOOKUP(Calculator!E23,tbSkills!DH3:DJ6,3,FALSE),0),0)))/100)),1))*IF(VLOOKUP(A99,tbMoveset!A2:K112,11,FALSE)=TRUE,Backdoors!AC5,1))*BN99,0),"")</f>
        <v>0</v>
      </c>
      <c r="BR99" s="49">
        <f>VLOOKUP(A99,tbMoveset!A2:G112,7,FALSE)*IFERROR(IF(Backdoors!AI12&gt;=0,1+(IF(Calculator!E40&gt;0,VLOOKUP(Calculator!E40,tbSkills!AI3:AJ5,2,FALSE),Backdoors!AL4)*(IF((Backdoors!AI12+IF(BM99&gt;=0.45,VLOOKUP(Calculator!E23,tbSkills!DH3:DI6,2,FALSE)+IF(AND(Calculator!B8=TRUE,Backdoors!BI12=TRUE),VLOOKUP(Calculator!E23,tbSkills!DH3:DJ6,3,FALSE),0),0))&gt;=100,100,(Backdoors!AI12+IF(BM99&gt;=0.45,VLOOKUP(Calculator!E23,tbSkills!DH3:DI6,2,FALSE)+IF(AND(Calculator!B8=TRUE,Backdoors!BI12=TRUE),VLOOKUP(Calculator!E23,tbSkills!DH3:DJ6,3,FALSE),0),0)))/100)),1),1)</f>
        <v>1</v>
      </c>
      <c r="BS99" s="87">
        <f t="shared" si="60"/>
        <v>0</v>
      </c>
      <c r="BT99" s="86" t="str">
        <f>IFERROR(IF(VLOOKUP(A99,tbMoveset!A2:B112,2,FALSE)="Sever",Backdoors!AY13/100,IF(VLOOKUP(A99,tbMoveset!A2:B112,2,FALSE)="Blunt",Backdoors!AZ13/100,Backdoors!BA13/100)),"")</f>
        <v/>
      </c>
      <c r="BU99" s="49">
        <f>IFERROR(IF(VLOOKUP(tbMoveset!A99,tbMoveset!A2:H112,8,FALSE)="Other",IF(VLOOKUP(tbMoveset!A99,tbMoveset!A2:I112,9,FALSE)="Fire",Backdoors!BB13,IF(VLOOKUP(tbMoveset!A99,tbMoveset!A2:I112,9,FALSE)="Water",Backdoors!BC13,IF(VLOOKUP(tbMoveset!A99,tbMoveset!A2:I112,9,FALSE)="Thunder",Backdoors!BD13,IF(VLOOKUP(tbMoveset!A99,tbMoveset!A2:I112,9,FALSE)="Ice",Backdoors!BE13,IF(VLOOKUP(tbMoveset!A99,tbMoveset!A2:I112,9,FALSE)="Dragon",Backdoors!BF13,Backdoors!BG13)))))/100,Backdoors!BG13/100),"")</f>
        <v>0</v>
      </c>
      <c r="BV99" s="49">
        <f>IFERROR(IF(VLOOKUP(A99,tbMoveset!A2:J112,10,FALSE)=TRUE,IF((Backdoors!AI12+IF(BT99&gt;=0.45,VLOOKUP(Calculator!E23,tbSkills!DH3:DI6,2,FALSE)+IF(AND(Calculator!B8=TRUE,Backdoors!BI13=TRUE),VLOOKUP(Calculator!E23,tbSkills!DH3:DJ6,3,FALSE),0),0))&gt;=0,1+(Backdoors!AL2*(IF((Backdoors!AI12+IF(BT99&gt;=0.45,VLOOKUP(Calculator!E23,tbSkills!DH3:DI6,2,FALSE)+IF(AND(Calculator!B8=TRUE,Backdoors!BI13=TRUE),VLOOKUP(Calculator!E23,tbSkills!DH3:DJ6,3,FALSE),0),0))&gt;=100,100,(Backdoors!AI12+IF(BT99&gt;=0.45,VLOOKUP(Calculator!E23,tbSkills!DH3:DI6,2,FALSE)+IF(AND(Calculator!B8=TRUE,Backdoors!BI13=TRUE),VLOOKUP(Calculator!E23,tbSkills!DH3:DJ6,3,FALSE),0),0)))/100)),(1-(0.25*((-Backdoors!AI12-IF(BT99&gt;=0.45,VLOOKUP(Calculator!E23,tbSkills!DH3:DI6,2,FALSE)+IF(AND(Calculator!B8=TRUE,Backdoors!BI13=TRUE),VLOOKUP(Calculator!E23,tbSkills!DH3:DJ6,3,FALSE),0),0))/100)))),1),"")</f>
        <v>1</v>
      </c>
      <c r="BW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T99)*BV99)*(VLOOKUP(A99,tbMoveset!A2:C112,3,FALSE)/100)*IF(VLOOKUP(A99,tbMoveset!A2:B112,2,FALSE)="Projectile",Backdoors!N10,Backdoors!N9),0),"")</f>
        <v/>
      </c>
      <c r="BX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T99&gt;=0.45,VLOOKUP(Calculator!E23,tbSkills!DH3:DI6,2,FALSE)+IF(AND(Calculator!B8=TRUE,Backdoors!BI13=TRUE),VLOOKUP(Calculator!E23,tbSkills!DH3:DJ6,3,FALSE),0),0))&gt;=100,100,(Backdoors!AI12+IF(BT99&gt;=0.45,VLOOKUP(Calculator!E23,tbSkills!DH3:DI6,2,FALSE)+IF(AND(Calculator!B8=TRUE,Backdoors!BI13=TRUE),VLOOKUP(Calculator!E23,tbSkills!DH3:DJ6,3,FALSE),0),0)))/100)),1))*IF(VLOOKUP(A99,tbMoveset!A2:K112,11,FALSE)=TRUE,Backdoors!AC5,1))*BU99,0),"")</f>
        <v>0</v>
      </c>
      <c r="BY99" s="49">
        <f>VLOOKUP(A99,tbMoveset!A2:G112,7,FALSE)*IFERROR(IF(Backdoors!AI12&gt;=0,1+(IF(Calculator!E40&gt;0,VLOOKUP(Calculator!E40,tbSkills!AI3:AJ5,2,FALSE),Backdoors!AL4)*(IF((Backdoors!AI12+IF(BT99&gt;=0.45,VLOOKUP(Calculator!E23,tbSkills!DH3:DI6,2,FALSE)+IF(AND(Calculator!B8=TRUE,Backdoors!BI13=TRUE),VLOOKUP(Calculator!E23,tbSkills!DH3:DJ6,3,FALSE),0),0))&gt;=100,100,(Backdoors!AI12+IF(BT99&gt;=0.45,VLOOKUP(Calculator!E23,tbSkills!DH3:DI6,2,FALSE)+IF(AND(Calculator!B8=TRUE,Backdoors!BI13=TRUE),VLOOKUP(Calculator!E23,tbSkills!DH3:DJ6,3,FALSE),0),0)))/100)),1),1)</f>
        <v>1</v>
      </c>
      <c r="BZ99" s="87">
        <f t="shared" si="61"/>
        <v>0</v>
      </c>
      <c r="CA99" s="86" t="str">
        <f>IFERROR(IF(VLOOKUP(A99,tbMoveset!A2:B112,2,FALSE)="Sever",Backdoors!AY14/100,IF(VLOOKUP(A99,tbMoveset!A2:B112,2,FALSE)="Blunt",Backdoors!AZ14/100,Backdoors!BA14/100)),"")</f>
        <v/>
      </c>
      <c r="CB99" s="49">
        <f>IFERROR(IF(VLOOKUP(tbMoveset!A99,tbMoveset!A2:H112,8,FALSE)="Other",IF(VLOOKUP(tbMoveset!A99,tbMoveset!A2:I112,9,FALSE)="Fire",Backdoors!BB14,IF(VLOOKUP(tbMoveset!A99,tbMoveset!A2:I112,9,FALSE)="Water",Backdoors!BC14,IF(VLOOKUP(tbMoveset!A99,tbMoveset!A2:I112,9,FALSE)="Thunder",Backdoors!BD14,IF(VLOOKUP(tbMoveset!A99,tbMoveset!A2:I112,9,FALSE)="Ice",Backdoors!BE14,IF(VLOOKUP(tbMoveset!A99,tbMoveset!A2:I112,9,FALSE)="Dragon",Backdoors!BF14,Backdoors!BG14)))))/100,Backdoors!BG14/100),"")</f>
        <v>0</v>
      </c>
      <c r="CC99" s="49">
        <f>IFERROR(IF(VLOOKUP(A99,tbMoveset!A2:J112,10,FALSE)=TRUE,IF((Backdoors!AI12+IF(CA99&gt;=0.45,VLOOKUP(Calculator!E23,tbSkills!DH3:DI6,2,FALSE)+IF(AND(Calculator!B8=TRUE,Backdoors!BI14=TRUE),VLOOKUP(Calculator!E23,tbSkills!DH3:DJ6,3,FALSE),0),0))&gt;=0,1+(Backdoors!AL2*(IF((Backdoors!AI12+IF(CA99&gt;=0.45,VLOOKUP(Calculator!E23,tbSkills!DH3:DI6,2,FALSE)+IF(AND(Calculator!B8=TRUE,Backdoors!BI14=TRUE),VLOOKUP(Calculator!E23,tbSkills!DH3:DJ6,3,FALSE),0),0))&gt;=100,100,(Backdoors!AI12+IF(CA99&gt;=0.45,VLOOKUP(Calculator!E23,tbSkills!DH3:DI6,2,FALSE)+IF(AND(Calculator!B8=TRUE,Backdoors!BI14=TRUE),VLOOKUP(Calculator!E23,tbSkills!DH3:DJ6,3,FALSE),0),0)))/100)),(1-(0.25*((-Backdoors!AI12-IF(CA99&gt;=0.45,VLOOKUP(Calculator!E23,tbSkills!DH3:DI6,2,FALSE)+IF(AND(Calculator!B8=TRUE,Backdoors!BI14=TRUE),VLOOKUP(Calculator!E23,tbSkills!DH3:DJ6,3,FALSE),0),0))/100)))),1),"")</f>
        <v>1</v>
      </c>
      <c r="CD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A99)*CC99)*(VLOOKUP(A99,tbMoveset!A2:C112,3,FALSE)/100)*IF(VLOOKUP(A99,tbMoveset!A2:B112,2,FALSE)="Projectile",Backdoors!N10,Backdoors!N9),0),"")</f>
        <v/>
      </c>
      <c r="CE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A99&gt;=0.45,VLOOKUP(Calculator!E23,tbSkills!DH3:DI6,2,FALSE)+IF(AND(Calculator!B8=TRUE,Backdoors!BI14=TRUE),VLOOKUP(Calculator!E23,tbSkills!DH3:DJ6,3,FALSE),0),0))&gt;=100,100,(Backdoors!AI12+IF(CA99&gt;=0.45,VLOOKUP(Calculator!E23,tbSkills!DH3:DI6,2,FALSE)+IF(AND(Calculator!B8=TRUE,Backdoors!BI14=TRUE),VLOOKUP(Calculator!E23,tbSkills!DH3:DJ6,3,FALSE),0),0)))/100)),1))*IF(VLOOKUP(A99,tbMoveset!A2:K112,11,FALSE)=TRUE,Backdoors!AC5,1))*CB99,0),"")</f>
        <v>0</v>
      </c>
      <c r="CF99" s="49">
        <f>VLOOKUP(A99,tbMoveset!A2:G112,7,FALSE)*IFERROR(IF(Backdoors!AI12&gt;=0,1+(IF(Calculator!E40&gt;0,VLOOKUP(Calculator!E40,tbSkills!AI3:AJ5,2,FALSE),Backdoors!AL4)*(IF((Backdoors!AI12+IF(CA99&gt;=0.45,VLOOKUP(Calculator!E23,tbSkills!DH3:DI6,2,FALSE)+IF(AND(Calculator!B8=TRUE,Backdoors!BI14=TRUE),VLOOKUP(Calculator!E23,tbSkills!DH3:DJ6,3,FALSE),0),0))&gt;=100,100,(Backdoors!AI12+IF(CA99&gt;=0.45,VLOOKUP(Calculator!E23,tbSkills!DH3:DI6,2,FALSE)+IF(AND(Calculator!B8=TRUE,Backdoors!BI14=TRUE),VLOOKUP(Calculator!E23,tbSkills!DH3:DJ6,3,FALSE),0),0)))/100)),1),1)</f>
        <v>1</v>
      </c>
      <c r="CG99" s="87">
        <f t="shared" si="62"/>
        <v>0</v>
      </c>
      <c r="CH99" s="86" t="str">
        <f>IFERROR(IF(VLOOKUP(A99,tbMoveset!A2:B112,2,FALSE)="Sever",Backdoors!AY15/100,IF(VLOOKUP(A99,tbMoveset!A2:B112,2,FALSE)="Blunt",Backdoors!AZ15/100,Backdoors!BA15/100)),"")</f>
        <v/>
      </c>
      <c r="CI99" s="49">
        <f>IFERROR(IF(VLOOKUP(tbMoveset!A99,tbMoveset!A2:H112,8,FALSE)="Other",IF(VLOOKUP(tbMoveset!A99,tbMoveset!A2:I112,9,FALSE)="Fire",Backdoors!BB15,IF(VLOOKUP(tbMoveset!A99,tbMoveset!A2:I112,9,FALSE)="Water",Backdoors!BC15,IF(VLOOKUP(tbMoveset!A99,tbMoveset!A2:I112,9,FALSE)="Thunder",Backdoors!BD15,IF(VLOOKUP(tbMoveset!A99,tbMoveset!A2:I112,9,FALSE)="Ice",Backdoors!BE15,IF(VLOOKUP(tbMoveset!A99,tbMoveset!A2:I112,9,FALSE)="Dragon",Backdoors!BF15,Backdoors!BG15)))))/100,Backdoors!BG15/100),"")</f>
        <v>0</v>
      </c>
      <c r="CJ99" s="49">
        <f>IFERROR(IF(VLOOKUP(A99,tbMoveset!A2:J112,10,FALSE)=TRUE,IF((Backdoors!AI12+IF(CH99&gt;=0.45,VLOOKUP(Calculator!E23,tbSkills!DH3:DI6,2,FALSE)+IF(AND(Calculator!B8=TRUE,Backdoors!BI15=TRUE),VLOOKUP(Calculator!E23,tbSkills!DH3:DJ6,3,FALSE),0),0))&gt;=0,1+(Backdoors!AL2*(IF((Backdoors!AI12+IF(CH99&gt;=0.45,VLOOKUP(Calculator!E23,tbSkills!DH3:DI6,2,FALSE)+IF(AND(Calculator!B8=TRUE,Backdoors!BI15=TRUE),VLOOKUP(Calculator!E23,tbSkills!DH3:DJ6,3,FALSE),0),0))&gt;=100,100,(Backdoors!AI12+IF(CH99&gt;=0.45,VLOOKUP(Calculator!E23,tbSkills!DH3:DI6,2,FALSE)+IF(AND(Calculator!B8=TRUE,Backdoors!BI15=TRUE),VLOOKUP(Calculator!E23,tbSkills!DH3:DJ6,3,FALSE),0),0)))/100)),(1-(0.25*((-Backdoors!AI12-IF(CH99&gt;=0.45,VLOOKUP(Calculator!E23,tbSkills!DH3:DI6,2,FALSE)+IF(AND(Calculator!B8=TRUE,Backdoors!BI15=TRUE),VLOOKUP(Calculator!E23,tbSkills!DH3:DJ6,3,FALSE),0),0))/100)))),1),"")</f>
        <v>1</v>
      </c>
      <c r="CK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H99)*CJ99)*(VLOOKUP(A99,tbMoveset!A2:C112,3,FALSE)/100)*IF(VLOOKUP(A99,tbMoveset!A2:B112,2,FALSE)="Projectile",Backdoors!N10,Backdoors!N9),0),"")</f>
        <v/>
      </c>
      <c r="CL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H99&gt;=0.45,VLOOKUP(Calculator!E23,tbSkills!DH3:DI6,2,FALSE)+IF(AND(Calculator!B8=TRUE,Backdoors!BI15=TRUE),VLOOKUP(Calculator!E23,tbSkills!DH3:DJ6,3,FALSE),0),0))&gt;=100,100,(Backdoors!AI12+IF(CH99&gt;=0.45,VLOOKUP(Calculator!E23,tbSkills!DH3:DI6,2,FALSE)+IF(AND(Calculator!B8=TRUE,Backdoors!BI15=TRUE),VLOOKUP(Calculator!E23,tbSkills!DH3:DJ6,3,FALSE),0),0)))/100)),1))*IF(VLOOKUP(A99,tbMoveset!A2:K112,11,FALSE)=TRUE,Backdoors!AC5,1))*CI99,0),"")</f>
        <v>0</v>
      </c>
      <c r="CM99" s="49">
        <f>VLOOKUP(A99,tbMoveset!A2:G112,7,FALSE)*IFERROR(IF(Backdoors!AI12&gt;=0,1+(IF(Calculator!E40&gt;0,VLOOKUP(Calculator!E40,tbSkills!AI3:AJ5,2,FALSE),Backdoors!AL4)*(IF((Backdoors!AI12+IF(CH99&gt;=0.45,VLOOKUP(Calculator!E23,tbSkills!DH3:DI6,2,FALSE)+IF(AND(Calculator!B8=TRUE,Backdoors!BI15=TRUE),VLOOKUP(Calculator!E23,tbSkills!DH3:DJ6,3,FALSE),0),0))&gt;=100,100,(Backdoors!AI12+IF(CH99&gt;=0.45,VLOOKUP(Calculator!E23,tbSkills!DH3:DI6,2,FALSE)+IF(AND(Calculator!B8=TRUE,Backdoors!BI15=TRUE),VLOOKUP(Calculator!E23,tbSkills!DH3:DJ6,3,FALSE),0),0)))/100)),1),1)</f>
        <v>1</v>
      </c>
      <c r="CN99" s="87">
        <f t="shared" si="63"/>
        <v>0</v>
      </c>
      <c r="CO99" s="86" t="str">
        <f>IFERROR(IF(VLOOKUP(A99,tbMoveset!A2:B112,2,FALSE)="Sever",Backdoors!AY16/100,IF(VLOOKUP(A99,tbMoveset!A2:B112,2,FALSE)="Blunt",Backdoors!AZ16/100,Backdoors!BA16/100)),"")</f>
        <v/>
      </c>
      <c r="CP99" s="49">
        <f>IFERROR(IF(VLOOKUP(tbMoveset!A99,tbMoveset!A2:H112,8,FALSE)="Other",IF(VLOOKUP(tbMoveset!A99,tbMoveset!A2:I112,9,FALSE)="Fire",Backdoors!BB16,IF(VLOOKUP(tbMoveset!A99,tbMoveset!A2:I112,9,FALSE)="Water",Backdoors!BC16,IF(VLOOKUP(tbMoveset!A99,tbMoveset!A2:I112,9,FALSE)="Thunder",Backdoors!BD16,IF(VLOOKUP(tbMoveset!A99,tbMoveset!A2:I112,9,FALSE)="Ice",Backdoors!BE16,IF(VLOOKUP(tbMoveset!A99,tbMoveset!A2:I112,9,FALSE)="Dragon",Backdoors!BF16,Backdoors!BG16)))))/100,Backdoors!BG16/100),"")</f>
        <v>0</v>
      </c>
      <c r="CQ99" s="49">
        <f>IFERROR(IF(VLOOKUP(A99,tbMoveset!A2:J112,10,FALSE)=TRUE,IF((Backdoors!AI12+IF(CO99&gt;=0.45,VLOOKUP(Calculator!E23,tbSkills!DH3:DI6,2,FALSE)+IF(AND(Calculator!B8=TRUE,Backdoors!BI16=TRUE),VLOOKUP(Calculator!E23,tbSkills!DH3:DJ6,3,FALSE),0),0))&gt;=0,1+(Backdoors!AL2*(IF((Backdoors!AI12+IF(CO99&gt;=0.45,VLOOKUP(Calculator!E23,tbSkills!DH3:DI6,2,FALSE)+IF(AND(Calculator!B8=TRUE,Backdoors!BI16=TRUE),VLOOKUP(Calculator!E23,tbSkills!DH3:DJ6,3,FALSE),0),0))&gt;=100,100,(Backdoors!AI12+IF(CO99&gt;=0.45,VLOOKUP(Calculator!E23,tbSkills!DH3:DI6,2,FALSE)+IF(AND(Calculator!B8=TRUE,Backdoors!BI16=TRUE),VLOOKUP(Calculator!E23,tbSkills!DH3:DJ6,3,FALSE),0),0)))/100)),(1-(0.25*((-Backdoors!AI12-IF(CO99&gt;=0.45,VLOOKUP(Calculator!E23,tbSkills!DH3:DI6,2,FALSE)+IF(AND(Calculator!B8=TRUE,Backdoors!BI16=TRUE),VLOOKUP(Calculator!E23,tbSkills!DH3:DJ6,3,FALSE),0),0))/100)))),1),"")</f>
        <v>1</v>
      </c>
      <c r="CR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O99)*CQ99)*(VLOOKUP(A99,tbMoveset!A2:C112,3,FALSE)/100)*IF(VLOOKUP(A99,tbMoveset!A2:B112,2,FALSE)="Projectile",Backdoors!N10,Backdoors!N9),0),"")</f>
        <v/>
      </c>
      <c r="CS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O99&gt;=0.45,VLOOKUP(Calculator!E23,tbSkills!DH3:DI6,2,FALSE)+IF(AND(Calculator!B8=TRUE,Backdoors!BI16=TRUE),VLOOKUP(Calculator!E23,tbSkills!DH3:DJ6,3,FALSE),0),0))&gt;=100,100,(Backdoors!AI12+IF(CO99&gt;=0.45,VLOOKUP(Calculator!E23,tbSkills!DH3:DI6,2,FALSE)+IF(AND(Calculator!B8=TRUE,Backdoors!BI16=TRUE),VLOOKUP(Calculator!E23,tbSkills!DH3:DJ6,3,FALSE),0),0)))/100)),1))*IF(VLOOKUP(A99,tbMoveset!A2:K112,11,FALSE)=TRUE,Backdoors!AC5,1))*CP99,0),"")</f>
        <v>0</v>
      </c>
      <c r="CT99" s="49">
        <f>VLOOKUP(A99,tbMoveset!A2:G112,7,FALSE)*IFERROR(IF(Backdoors!AI12&gt;=0,1+(IF(Calculator!E40&gt;0,VLOOKUP(Calculator!E40,tbSkills!AI3:AJ5,2,FALSE),Backdoors!AL4)*(IF((Backdoors!AI12+IF(CO99&gt;=0.45,VLOOKUP(Calculator!E23,tbSkills!DH3:DI6,2,FALSE)+IF(AND(Calculator!B8=TRUE,Backdoors!BI16=TRUE),VLOOKUP(Calculator!E23,tbSkills!DH3:DJ6,3,FALSE),0),0))&gt;=100,100,(Backdoors!AI12+IF(CO99&gt;=0.45,VLOOKUP(Calculator!E23,tbSkills!DH3:DI6,2,FALSE)+IF(AND(Calculator!B8=TRUE,Backdoors!BI16=TRUE),VLOOKUP(Calculator!E23,tbSkills!DH3:DJ6,3,FALSE),0),0)))/100)),1),1)</f>
        <v>1</v>
      </c>
      <c r="CU99" s="87">
        <f t="shared" si="64"/>
        <v>0</v>
      </c>
      <c r="CV99" s="86" t="str">
        <f>IFERROR(IF(VLOOKUP(A99,tbMoveset!A2:B112,2,FALSE)="Sever",Backdoors!AY17/100,IF(VLOOKUP(A99,tbMoveset!A2:B112,2,FALSE)="Blunt",Backdoors!AZ17/100,Backdoors!BA17/100)),"")</f>
        <v/>
      </c>
      <c r="CW99" s="49">
        <f>IFERROR(IF(VLOOKUP(tbMoveset!A99,tbMoveset!A2:H112,8,FALSE)="Other",IF(VLOOKUP(tbMoveset!A99,tbMoveset!A2:I112,9,FALSE)="Fire",Backdoors!BB17,IF(VLOOKUP(tbMoveset!A99,tbMoveset!A2:I112,9,FALSE)="Water",Backdoors!BC17,IF(VLOOKUP(tbMoveset!A99,tbMoveset!A2:I112,9,FALSE)="Thunder",Backdoors!BD17,IF(VLOOKUP(tbMoveset!A99,tbMoveset!A2:I112,9,FALSE)="Ice",Backdoors!BE17,IF(VLOOKUP(tbMoveset!A99,tbMoveset!A2:I112,9,FALSE)="Dragon",Backdoors!BF17,Backdoors!BG17)))))/100,Backdoors!BG17/100),"")</f>
        <v>0</v>
      </c>
      <c r="CX99" s="49">
        <f>IFERROR(IF(VLOOKUP(A99,tbMoveset!A2:J112,10,FALSE)=TRUE,IF((Backdoors!AI12+IF(CV99&gt;=0.45,VLOOKUP(Calculator!E23,tbSkills!DH3:DI6,2,FALSE)+IF(AND(Calculator!B8=TRUE,Backdoors!BI17=TRUE),VLOOKUP(Calculator!E23,tbSkills!DH3:DJ6,3,FALSE),0),0))&gt;=0,1+(Backdoors!AL2*(IF((Backdoors!AI12+IF(CV99&gt;=0.45,VLOOKUP(Calculator!E23,tbSkills!DH3:DI6,2,FALSE)+IF(AND(Calculator!B8=TRUE,Backdoors!BI17=TRUE),VLOOKUP(Calculator!E23,tbSkills!DH3:DJ6,3,FALSE),0),0))&gt;=100,100,(Backdoors!AI12+IF(CV99&gt;=0.45,VLOOKUP(Calculator!E23,tbSkills!DH3:DI6,2,FALSE)+IF(AND(Calculator!B8=TRUE,Backdoors!BI17=TRUE),VLOOKUP(Calculator!E23,tbSkills!DH3:DJ6,3,FALSE),0),0)))/100)),(1-(0.25*((-Backdoors!AI12-IF(CV99&gt;=0.45,VLOOKUP(Calculator!E23,tbSkills!DH3:DI6,2,FALSE)+IF(AND(Calculator!B8=TRUE,Backdoors!BI17=TRUE),VLOOKUP(Calculator!E23,tbSkills!DH3:DJ6,3,FALSE),0),0))/100)))),1),"")</f>
        <v>1</v>
      </c>
      <c r="CY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V99)*CX99)*(VLOOKUP(A99,tbMoveset!A2:C112,3,FALSE)/100)*IF(VLOOKUP(A99,tbMoveset!A2:B112,2,FALSE)="Projectile",Backdoors!N10,Backdoors!N9),0),"")</f>
        <v/>
      </c>
      <c r="CZ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V99&gt;=0.45,VLOOKUP(Calculator!E23,tbSkills!DH3:DI6,2,FALSE)+IF(AND(Calculator!B8=TRUE,Backdoors!BI17=TRUE),VLOOKUP(Calculator!E23,tbSkills!DH3:DJ6,3,FALSE),0),0))&gt;=100,100,(Backdoors!AI12+IF(CV99&gt;=0.45,VLOOKUP(Calculator!E23,tbSkills!DH3:DI6,2,FALSE)+IF(AND(Calculator!B8=TRUE,Backdoors!BI17=TRUE),VLOOKUP(Calculator!E23,tbSkills!DH3:DJ6,3,FALSE),0),0)))/100)),1))*IF(VLOOKUP(A99,tbMoveset!A2:K112,11,FALSE)=TRUE,Backdoors!AC5,1))*CW99,0),"")</f>
        <v>0</v>
      </c>
      <c r="DA99" s="49">
        <f>VLOOKUP(A99,tbMoveset!A2:G112,7,FALSE)*IFERROR(IF(Backdoors!AI12&gt;=0,1+(IF(Calculator!E40&gt;0,VLOOKUP(Calculator!E40,tbSkills!AI3:AJ5,2,FALSE),Backdoors!AL4)*(IF((Backdoors!AI12+IF(CV99&gt;=0.45,VLOOKUP(Calculator!E23,tbSkills!DH3:DI6,2,FALSE)+IF(AND(Calculator!B8=TRUE,Backdoors!BI17=TRUE),VLOOKUP(Calculator!E23,tbSkills!DH3:DJ6,3,FALSE),0),0))&gt;=100,100,(Backdoors!AI12+IF(CV99&gt;=0.45,VLOOKUP(Calculator!E23,tbSkills!DH3:DI6,2,FALSE)+IF(AND(Calculator!B8=TRUE,Backdoors!BI17=TRUE),VLOOKUP(Calculator!E23,tbSkills!DH3:DJ6,3,FALSE),0),0)))/100)),1),1)</f>
        <v>1</v>
      </c>
      <c r="DB99" s="87">
        <f t="shared" si="65"/>
        <v>0</v>
      </c>
      <c r="DC99" s="86" t="str">
        <f>IFERROR(IF(VLOOKUP(A99,tbMoveset!A2:B112,2,FALSE)="Sever",Backdoors!AY18/100,IF(VLOOKUP(A99,tbMoveset!A2:B112,2,FALSE)="Blunt",Backdoors!AZ18/100,Backdoors!BA18/100)),"")</f>
        <v/>
      </c>
      <c r="DD99" s="49">
        <f>IFERROR(IF(VLOOKUP(tbMoveset!A99,tbMoveset!A2:H112,8,FALSE)="Other",IF(VLOOKUP(tbMoveset!A99,tbMoveset!A2:I112,9,FALSE)="Fire",Backdoors!BB18,IF(VLOOKUP(tbMoveset!A99,tbMoveset!A2:I112,9,FALSE)="Water",Backdoors!BC18,IF(VLOOKUP(tbMoveset!A99,tbMoveset!A2:I112,9,FALSE)="Thunder",Backdoors!BD18,IF(VLOOKUP(tbMoveset!A99,tbMoveset!A2:I112,9,FALSE)="Ice",Backdoors!BE18,IF(VLOOKUP(tbMoveset!A99,tbMoveset!A2:I112,9,FALSE)="Dragon",Backdoors!BF18,Backdoors!BG18)))))/100,Backdoors!BG18/100),"")</f>
        <v>0</v>
      </c>
      <c r="DE99" s="49">
        <f>IFERROR(IF(VLOOKUP(A99,tbMoveset!A2:J112,10,FALSE)=TRUE,IF((Backdoors!AI12+IF(DC99&gt;=0.45,VLOOKUP(Calculator!E23,tbSkills!DH3:DI6,2,FALSE)+IF(AND(Calculator!B8=TRUE,Backdoors!BI18=TRUE),VLOOKUP(Calculator!E23,tbSkills!DH3:DJ6,3,FALSE),0),0))&gt;=0,1+(Backdoors!AL2*(IF((Backdoors!AI12+IF(DC99&gt;=0.45,VLOOKUP(Calculator!E23,tbSkills!DH3:DI6,2,FALSE)+IF(AND(Calculator!B8=TRUE,Backdoors!BI18=TRUE),VLOOKUP(Calculator!E23,tbSkills!DH3:DJ6,3,FALSE),0),0))&gt;=100,100,(Backdoors!AI12+IF(DC99&gt;=0.45,VLOOKUP(Calculator!E23,tbSkills!DH3:DI6,2,FALSE)+IF(AND(Calculator!B8=TRUE,Backdoors!BI18=TRUE),VLOOKUP(Calculator!E23,tbSkills!DH3:DJ6,3,FALSE),0),0)))/100)),(1-(0.25*((-Backdoors!AI12-IF(DC99&gt;=0.45,VLOOKUP(Calculator!E23,tbSkills!DH3:DI6,2,FALSE)+IF(AND(Calculator!B8=TRUE,Backdoors!BI18=TRUE),VLOOKUP(Calculator!E23,tbSkills!DH3:DJ6,3,FALSE),0),0))/100)))),1),"")</f>
        <v>1</v>
      </c>
      <c r="DF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C99)*DE99)*(VLOOKUP(A99,tbMoveset!A2:C112,3,FALSE)/100)*IF(VLOOKUP(A99,tbMoveset!A2:B112,2,FALSE)="Projectile",Backdoors!N10,Backdoors!N9),0),"")</f>
        <v/>
      </c>
      <c r="DG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C99&gt;=0.45,VLOOKUP(Calculator!E23,tbSkills!DH3:DI6,2,FALSE)+IF(AND(Calculator!B8=TRUE,Backdoors!BI18=TRUE),VLOOKUP(Calculator!E23,tbSkills!DH3:DJ6,3,FALSE),0),0))&gt;=100,100,(Backdoors!AI12+IF(DC99&gt;=0.45,VLOOKUP(Calculator!E23,tbSkills!DH3:DI6,2,FALSE)+IF(AND(Calculator!B8=TRUE,Backdoors!BI18=TRUE),VLOOKUP(Calculator!E23,tbSkills!DH3:DJ6,3,FALSE),0),0)))/100)),1))*IF(VLOOKUP(A99,tbMoveset!A2:K112,11,FALSE)=TRUE,Backdoors!AC5,1))*DD99,0),"")</f>
        <v>0</v>
      </c>
      <c r="DH99" s="49">
        <f>VLOOKUP(A99,tbMoveset!A2:G112,7,FALSE)*IFERROR(IF(Backdoors!AI12&gt;=0,1+(IF(Calculator!E40&gt;0,VLOOKUP(Calculator!E40,tbSkills!AI3:AJ5,2,FALSE),Backdoors!AL4)*(IF((Backdoors!AI12+IF(DC99&gt;=0.45,VLOOKUP(Calculator!E23,tbSkills!DH3:DI6,2,FALSE)+IF(AND(Calculator!B8=TRUE,Backdoors!BI18=TRUE),VLOOKUP(Calculator!E23,tbSkills!DH3:DJ6,3,FALSE),0),0))&gt;=100,100,(Backdoors!AI12+IF(DC99&gt;=0.45,VLOOKUP(Calculator!E23,tbSkills!DH3:DI6,2,FALSE)+IF(AND(Calculator!B8=TRUE,Backdoors!BI18=TRUE),VLOOKUP(Calculator!E23,tbSkills!DH3:DJ6,3,FALSE),0),0)))/100)),1),1)</f>
        <v>1</v>
      </c>
      <c r="DI99" s="87">
        <f t="shared" si="66"/>
        <v>0</v>
      </c>
      <c r="DJ99" s="86" t="str">
        <f>IFERROR(IF(VLOOKUP(A99,tbMoveset!A2:B112,2,FALSE)="Sever",Backdoors!AY19/100,IF(VLOOKUP(A99,tbMoveset!A2:B112,2,FALSE)="Blunt",Backdoors!AZ19/100,Backdoors!BA19/100)),"")</f>
        <v/>
      </c>
      <c r="DK99" s="49">
        <f>IFERROR(IF(VLOOKUP(tbMoveset!A99,tbMoveset!A2:H112,8,FALSE)="Other",IF(VLOOKUP(tbMoveset!A99,tbMoveset!A2:I112,9,FALSE)="Fire",Backdoors!BB19,IF(VLOOKUP(tbMoveset!A99,tbMoveset!A2:I112,9,FALSE)="Water",Backdoors!BC19,IF(VLOOKUP(tbMoveset!A99,tbMoveset!A2:I112,9,FALSE)="Thunder",Backdoors!BD19,IF(VLOOKUP(tbMoveset!A99,tbMoveset!A2:I112,9,FALSE)="Ice",Backdoors!BE19,IF(VLOOKUP(tbMoveset!A99,tbMoveset!A2:I112,9,FALSE)="Dragon",Backdoors!BF19,Backdoors!BG19)))))/100,Backdoors!BG19/100),"")</f>
        <v>0</v>
      </c>
      <c r="DL99" s="49">
        <f>IFERROR(IF(VLOOKUP(A99,tbMoveset!A2:J112,10,FALSE)=TRUE,IF((Backdoors!AI12+IF(DJ99&gt;=0.45,VLOOKUP(Calculator!E23,tbSkills!DH3:DI6,2,FALSE)+IF(AND(Calculator!B8=TRUE,Backdoors!BI19=TRUE),VLOOKUP(Calculator!E23,tbSkills!DH3:DJ6,3,FALSE),0),0))&gt;=0,1+(Backdoors!AL2*(IF((Backdoors!AI12+IF(DJ99&gt;=0.45,VLOOKUP(Calculator!E23,tbSkills!DH3:DI6,2,FALSE)+IF(AND(Calculator!B8=TRUE,Backdoors!BI19=TRUE),VLOOKUP(Calculator!E23,tbSkills!DH3:DJ6,3,FALSE),0),0))&gt;=100,100,(Backdoors!AI12+IF(DJ99&gt;=0.45,VLOOKUP(Calculator!E23,tbSkills!DH3:DI6,2,FALSE)+IF(AND(Calculator!B8=TRUE,Backdoors!BI19=TRUE),VLOOKUP(Calculator!E23,tbSkills!DH3:DJ6,3,FALSE),0),0)))/100)),(1-(0.25*((-Backdoors!AI12-IF(DJ99&gt;=0.45,VLOOKUP(Calculator!E23,tbSkills!DH3:DI6,2,FALSE)+IF(AND(Calculator!B8=TRUE,Backdoors!BI19=TRUE),VLOOKUP(Calculator!E23,tbSkills!DH3:DJ6,3,FALSE),0),0))/100)))),1),"")</f>
        <v>1</v>
      </c>
      <c r="DM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J99)*DL99)*(VLOOKUP(A99,tbMoveset!A2:C112,3,FALSE)/100)*IF(VLOOKUP(A99,tbMoveset!A2:B112,2,FALSE)="Projectile",Backdoors!N10,Backdoors!N9),0),"")</f>
        <v/>
      </c>
      <c r="DN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J99&gt;=0.45,VLOOKUP(Calculator!E23,tbSkills!DH3:DI6,2,FALSE)+IF(AND(Calculator!B8=TRUE,Backdoors!BI19=TRUE),VLOOKUP(Calculator!E23,tbSkills!DH3:DJ6,3,FALSE),0),0))&gt;=100,100,(Backdoors!AI12+IF(DJ99&gt;=0.45,VLOOKUP(Calculator!E23,tbSkills!DH3:DI6,2,FALSE)+IF(AND(Calculator!B8=TRUE,Backdoors!BI19=TRUE),VLOOKUP(Calculator!E23,tbSkills!DH3:DJ6,3,FALSE),0),0)))/100)),1))*IF(VLOOKUP(A99,tbMoveset!A2:K112,11,FALSE)=TRUE,Backdoors!AC5,1))*DK99,0),"")</f>
        <v>0</v>
      </c>
      <c r="DO99" s="49">
        <f>VLOOKUP(A99,tbMoveset!A2:G112,7,FALSE)*IFERROR(IF(Backdoors!AI12&gt;=0,1+(IF(Calculator!E40&gt;0,VLOOKUP(Calculator!E40,tbSkills!AI3:AJ5,2,FALSE),Backdoors!AL4)*(IF((Backdoors!AI12+IF(DJ99&gt;=0.45,VLOOKUP(Calculator!E23,tbSkills!DH3:DI6,2,FALSE)+IF(AND(Calculator!B8=TRUE,Backdoors!BI19=TRUE),VLOOKUP(Calculator!E23,tbSkills!DH3:DJ6,3,FALSE),0),0))&gt;=100,100,(Backdoors!AI12+IF(DJ99&gt;=0.45,VLOOKUP(Calculator!E23,tbSkills!DH3:DI6,2,FALSE)+IF(AND(Calculator!B8=TRUE,Backdoors!BI19=TRUE),VLOOKUP(Calculator!E23,tbSkills!DH3:DJ6,3,FALSE),0),0)))/100)),1),1)</f>
        <v>1</v>
      </c>
      <c r="DP99" s="87">
        <f t="shared" si="67"/>
        <v>0</v>
      </c>
      <c r="DQ99" s="86" t="str">
        <f>IFERROR(IF(VLOOKUP(A99,tbMoveset!A2:B112,2,FALSE)="Sever",Backdoors!AY20/100,IF(VLOOKUP(A99,tbMoveset!A2:B112,2,FALSE)="Blunt",Backdoors!AZ20/100,Backdoors!BA20/100)),"")</f>
        <v/>
      </c>
      <c r="DR99" s="49">
        <f>IFERROR(IF(VLOOKUP(tbMoveset!A99,tbMoveset!A2:H112,8,FALSE)="Other",IF(VLOOKUP(tbMoveset!A99,tbMoveset!A2:I112,9,FALSE)="Fire",Backdoors!BB20,IF(VLOOKUP(tbMoveset!A99,tbMoveset!A2:I112,9,FALSE)="Water",Backdoors!BC20,IF(VLOOKUP(tbMoveset!A99,tbMoveset!A2:I112,9,FALSE)="Thunder",Backdoors!BD20,IF(VLOOKUP(tbMoveset!A99,tbMoveset!A2:I112,9,FALSE)="Ice",Backdoors!BE20,IF(VLOOKUP(tbMoveset!A99,tbMoveset!A2:I112,9,FALSE)="Dragon",Backdoors!BF20,Backdoors!BG20)))))/100,Backdoors!BG20/100),"")</f>
        <v>0</v>
      </c>
      <c r="DS99" s="49">
        <f>IFERROR(IF(VLOOKUP(A99,tbMoveset!A2:J112,10,FALSE)=TRUE,IF((Backdoors!AI12+IF(DQ99&gt;=0.45,VLOOKUP(Calculator!E23,tbSkills!DH3:DI6,2,FALSE)+IF(AND(Calculator!B8=TRUE,Backdoors!BI20=TRUE),VLOOKUP(Calculator!E23,tbSkills!DH3:DJ6,3,FALSE),0),0))&gt;=0,1+(Backdoors!AL2*(IF((Backdoors!AI12+IF(DQ99&gt;=0.45,VLOOKUP(Calculator!E23,tbSkills!DH3:DI6,2,FALSE)+IF(AND(Calculator!B8=TRUE,Backdoors!BI20=TRUE),VLOOKUP(Calculator!E23,tbSkills!DH3:DJ6,3,FALSE),0),0))&gt;=100,100,(Backdoors!AI12+IF(DQ99&gt;=0.45,VLOOKUP(Calculator!E23,tbSkills!DH3:DI6,2,FALSE)+IF(AND(Calculator!B8=TRUE,Backdoors!BI20=TRUE),VLOOKUP(Calculator!E23,tbSkills!DH3:DJ6,3,FALSE),0),0)))/100)),(1-(0.25*((-Backdoors!AI12-IF(DQ99&gt;=0.45,VLOOKUP(Calculator!E23,tbSkills!DH3:DI6,2,FALSE)+IF(AND(Calculator!B8=TRUE,Backdoors!BI20=TRUE),VLOOKUP(Calculator!E23,tbSkills!DH3:DJ6,3,FALSE),0),0))/100)))),1),"")</f>
        <v>1</v>
      </c>
      <c r="DT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Q99)*DS99)*(VLOOKUP(A99,tbMoveset!A2:C112,3,FALSE)/100)*IF(VLOOKUP(A99,tbMoveset!A2:B112,2,FALSE)="Projectile",Backdoors!N10,Backdoors!N9),0),"")</f>
        <v/>
      </c>
      <c r="DU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Q99&gt;=0.45,VLOOKUP(Calculator!E23,tbSkills!DH3:DI6,2,FALSE)+IF(AND(Calculator!B8=TRUE,Backdoors!BI20=TRUE),VLOOKUP(Calculator!E23,tbSkills!DH3:DJ6,3,FALSE),0),0))&gt;=100,100,(Backdoors!AI12+IF(DQ99&gt;=0.45,VLOOKUP(Calculator!E23,tbSkills!DH3:DI6,2,FALSE)+IF(AND(Calculator!B8=TRUE,Backdoors!BI20=TRUE),VLOOKUP(Calculator!E23,tbSkills!DH3:DJ6,3,FALSE),0),0)))/100)),1))*IF(VLOOKUP(A99,tbMoveset!A2:K112,11,FALSE)=TRUE,Backdoors!AC5,1))*DR99,0),"")</f>
        <v>0</v>
      </c>
      <c r="DV99" s="49">
        <f>VLOOKUP(A99,tbMoveset!A2:G112,7,FALSE)*IFERROR(IF(Backdoors!AI12&gt;=0,1+(IF(Calculator!E40&gt;0,VLOOKUP(Calculator!E40,tbSkills!AI3:AJ5,2,FALSE),Backdoors!AL4)*(IF((Backdoors!AI12+IF(DQ99&gt;=0.45,VLOOKUP(Calculator!E23,tbSkills!DH3:DI6,2,FALSE)+IF(AND(Calculator!B8=TRUE,Backdoors!BI20=TRUE),VLOOKUP(Calculator!E23,tbSkills!DH3:DJ6,3,FALSE),0),0))&gt;=100,100,(Backdoors!AI12+IF(DQ99&gt;=0.45,VLOOKUP(Calculator!E23,tbSkills!DH3:DI6,2,FALSE)+IF(AND(Calculator!B8=TRUE,Backdoors!BI20=TRUE),VLOOKUP(Calculator!E23,tbSkills!DH3:DJ6,3,FALSE),0),0)))/100)),1),1)</f>
        <v>1</v>
      </c>
      <c r="DW99" s="87">
        <f t="shared" si="68"/>
        <v>0</v>
      </c>
      <c r="DX99" s="86" t="str">
        <f>IFERROR(IF(VLOOKUP(A99,tbMoveset!A2:B112,2,FALSE)="Sever",Backdoors!AY21/100,IF(VLOOKUP(A99,tbMoveset!A2:B112,2,FALSE)="Blunt",Backdoors!AZ21/100,Backdoors!BA21/100)),"")</f>
        <v/>
      </c>
      <c r="DY99" s="49">
        <f>IFERROR(IF(VLOOKUP(tbMoveset!A99,tbMoveset!A2:H112,8,FALSE)="Other",IF(VLOOKUP(tbMoveset!A99,tbMoveset!A2:I112,9,FALSE)="Fire",Backdoors!BB21,IF(VLOOKUP(tbMoveset!A99,tbMoveset!A2:I112,9,FALSE)="Water",Backdoors!BC21,IF(VLOOKUP(tbMoveset!A99,tbMoveset!A2:I112,9,FALSE)="Thunder",Backdoors!BD21,IF(VLOOKUP(tbMoveset!A99,tbMoveset!A2:I112,9,FALSE)="Ice",Backdoors!BE21,IF(VLOOKUP(tbMoveset!A99,tbMoveset!A2:I112,9,FALSE)="Dragon",Backdoors!BF21,Backdoors!BG21)))))/100,Backdoors!BG21/100),"")</f>
        <v>0</v>
      </c>
      <c r="DZ99" s="49">
        <f>IFERROR(IF(VLOOKUP(A99,tbMoveset!A2:J112,10,FALSE)=TRUE,IF((Backdoors!AI12+IF(DX99&gt;=0.45,VLOOKUP(Calculator!E23,tbSkills!DH3:DI6,2,FALSE)+IF(AND(Calculator!B8=TRUE,Backdoors!BI21=TRUE),VLOOKUP(Calculator!E23,tbSkills!DH3:DJ6,3,FALSE),0),0))&gt;=0,1+(Backdoors!AL2*(IF((Backdoors!AI12+IF(DX99&gt;=0.45,VLOOKUP(Calculator!E23,tbSkills!DH3:DI6,2,FALSE)+IF(AND(Calculator!B8=TRUE,Backdoors!BI21=TRUE),VLOOKUP(Calculator!E23,tbSkills!DH3:DJ6,3,FALSE),0),0))&gt;=100,100,(Backdoors!AI12+IF(DX99&gt;=0.45,VLOOKUP(Calculator!E23,tbSkills!DH3:DI6,2,FALSE)+IF(AND(Calculator!B8=TRUE,Backdoors!BI21=TRUE),VLOOKUP(Calculator!E23,tbSkills!DH3:DJ6,3,FALSE),0),0)))/100)),(1-(0.25*((-Backdoors!AI12-IF(DX99&gt;=0.45,VLOOKUP(Calculator!E23,tbSkills!DH3:DI6,2,FALSE)+IF(AND(Calculator!B8=TRUE,Backdoors!BI21=TRUE),VLOOKUP(Calculator!E23,tbSkills!DH3:DJ6,3,FALSE),0),0))/100)))),1),"")</f>
        <v>1</v>
      </c>
      <c r="EA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X99)*DZ99)*(VLOOKUP(A99,tbMoveset!A2:C112,3,FALSE)/100)*IF(VLOOKUP(A99,tbMoveset!A2:B112,2,FALSE)="Projectile",Backdoors!N10,Backdoors!N9),0),"")</f>
        <v/>
      </c>
      <c r="EB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X99&gt;=0.45,VLOOKUP(Calculator!E23,tbSkills!DH3:DI6,2,FALSE)+IF(AND(Calculator!B8=TRUE,Backdoors!BI21=TRUE),VLOOKUP(Calculator!E23,tbSkills!DH3:DJ6,3,FALSE),0),0))&gt;=100,100,(Backdoors!AI12+IF(DX99&gt;=0.45,VLOOKUP(Calculator!E23,tbSkills!DH3:DI6,2,FALSE)+IF(AND(Calculator!B8=TRUE,Backdoors!BI21=TRUE),VLOOKUP(Calculator!E23,tbSkills!DH3:DJ6,3,FALSE),0),0)))/100)),1))*IF(VLOOKUP(A99,tbMoveset!A2:K112,11,FALSE)=TRUE,Backdoors!AC5,1))*DY99,0),"")</f>
        <v>0</v>
      </c>
      <c r="EC99" s="49">
        <f>VLOOKUP(A99,tbMoveset!A2:G112,7,FALSE)*IFERROR(IF(Backdoors!AI12&gt;=0,1+(IF(Calculator!E40&gt;0,VLOOKUP(Calculator!E40,tbSkills!AI3:AJ5,2,FALSE),Backdoors!AL4)*(IF((Backdoors!AI12+IF(DX99&gt;=0.45,VLOOKUP(Calculator!E23,tbSkills!DH3:DI6,2,FALSE)+IF(AND(Calculator!B8=TRUE,Backdoors!BI21=TRUE),VLOOKUP(Calculator!E23,tbSkills!DH3:DJ6,3,FALSE),0),0))&gt;=100,100,(Backdoors!AI12+IF(DX99&gt;=0.45,VLOOKUP(Calculator!E23,tbSkills!DH3:DI6,2,FALSE)+IF(AND(Calculator!B8=TRUE,Backdoors!BI21=TRUE),VLOOKUP(Calculator!E23,tbSkills!DH3:DJ6,3,FALSE),0),0)))/100)),1),1)</f>
        <v>1</v>
      </c>
      <c r="ED99" s="87">
        <f t="shared" si="69"/>
        <v>0</v>
      </c>
      <c r="EE99" s="86" t="str">
        <f>IFERROR(IF(VLOOKUP(A99,tbMoveset!A2:B112,2,FALSE)="Sever",Backdoors!AY22/100,IF(VLOOKUP(A99,tbMoveset!A2:B112,2,FALSE)="Blunt",Backdoors!AZ22/100,Backdoors!BA22/100)),"")</f>
        <v/>
      </c>
      <c r="EF99" s="49">
        <f>IFERROR(IF(VLOOKUP(tbMoveset!A99,tbMoveset!A2:H112,8,FALSE)="Other",IF(VLOOKUP(tbMoveset!A99,tbMoveset!A2:I112,9,FALSE)="Fire",Backdoors!BB22,IF(VLOOKUP(tbMoveset!A99,tbMoveset!A2:I112,9,FALSE)="Water",Backdoors!BC22,IF(VLOOKUP(tbMoveset!A99,tbMoveset!A2:I112,9,FALSE)="Thunder",Backdoors!BD22,IF(VLOOKUP(tbMoveset!A99,tbMoveset!A2:I112,9,FALSE)="Ice",Backdoors!BE22,IF(VLOOKUP(tbMoveset!A99,tbMoveset!A2:I112,9,FALSE)="Dragon",Backdoors!BF22,Backdoors!BG22)))))/100,Backdoors!BG22/100),"")</f>
        <v>0</v>
      </c>
      <c r="EG99" s="49">
        <f>IFERROR(IF(VLOOKUP(A99,tbMoveset!A2:J112,10,FALSE)=TRUE,IF((Backdoors!AI12+IF(EE99&gt;=0.45,VLOOKUP(Calculator!E23,tbSkills!DH3:DI6,2,FALSE)+IF(AND(Calculator!B8=TRUE,Backdoors!BI22=TRUE),VLOOKUP(Calculator!E23,tbSkills!DH3:DJ6,3,FALSE),0),0))&gt;=0,1+(Backdoors!AL2*(IF((Backdoors!AI12+IF(EE99&gt;=0.45,VLOOKUP(Calculator!E23,tbSkills!DH3:DI6,2,FALSE)+IF(AND(Calculator!B8=TRUE,Backdoors!BI22=TRUE),VLOOKUP(Calculator!E23,tbSkills!DH3:DJ6,3,FALSE),0),0))&gt;=100,100,(Backdoors!AI12+IF(EE99&gt;=0.45,VLOOKUP(Calculator!E23,tbSkills!DH3:DI6,2,FALSE)+IF(AND(Calculator!B8=TRUE,Backdoors!BI22=TRUE),VLOOKUP(Calculator!E23,tbSkills!DH3:DJ6,3,FALSE),0),0)))/100)),(1-(0.25*((-Backdoors!AI12-IF(EE99&gt;=0.45,VLOOKUP(Calculator!E23,tbSkills!DH3:DI6,2,FALSE)+IF(AND(Calculator!B8=TRUE,Backdoors!BI22=TRUE),VLOOKUP(Calculator!E23,tbSkills!DH3:DJ6,3,FALSE),0),0))/100)))),1),"")</f>
        <v>1</v>
      </c>
      <c r="EH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E99)*EG99)*(VLOOKUP(A99,tbMoveset!A2:C112,3,FALSE)/100)*IF(VLOOKUP(A99,tbMoveset!A2:B112,2,FALSE)="Projectile",Backdoors!N10,Backdoors!N9),0),"")</f>
        <v/>
      </c>
      <c r="EI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E99&gt;=0.45,VLOOKUP(Calculator!E23,tbSkills!DH3:DI6,2,FALSE)+IF(AND(Calculator!B8=TRUE,Backdoors!BI22=TRUE),VLOOKUP(Calculator!E23,tbSkills!DH3:DJ6,3,FALSE),0),0))&gt;=100,100,(Backdoors!AI12+IF(EE99&gt;=0.45,VLOOKUP(Calculator!E23,tbSkills!DH3:DI6,2,FALSE)+IF(AND(Calculator!B8=TRUE,Backdoors!BI22=TRUE),VLOOKUP(Calculator!E23,tbSkills!DH3:DJ6,3,FALSE),0),0)))/100)),1))*IF(VLOOKUP(A99,tbMoveset!A2:K112,11,FALSE)=TRUE,Backdoors!AC5,1))*EF99,0),"")</f>
        <v>0</v>
      </c>
      <c r="EJ99" s="49">
        <f>VLOOKUP(A99,tbMoveset!A2:G112,7,FALSE)*IFERROR(IF(Backdoors!AI12&gt;=0,1+(IF(Calculator!E40&gt;0,VLOOKUP(Calculator!E40,tbSkills!AI3:AJ5,2,FALSE),Backdoors!AL4)*(IF((Backdoors!AI12+IF(EE99&gt;=0.45,VLOOKUP(Calculator!E23,tbSkills!DH3:DI6,2,FALSE)+IF(AND(Calculator!B8=TRUE,Backdoors!BI22=TRUE),VLOOKUP(Calculator!E23,tbSkills!DH3:DJ6,3,FALSE),0),0))&gt;=100,100,(Backdoors!AI12+IF(EE99&gt;=0.45,VLOOKUP(Calculator!E23,tbSkills!DH3:DI6,2,FALSE)+IF(AND(Calculator!B8=TRUE,Backdoors!BI22=TRUE),VLOOKUP(Calculator!E23,tbSkills!DH3:DJ6,3,FALSE),0),0)))/100)),1),1)</f>
        <v>1</v>
      </c>
      <c r="EK99" s="87">
        <f t="shared" si="70"/>
        <v>0</v>
      </c>
      <c r="EL99" s="86" t="str">
        <f>IFERROR(IF(VLOOKUP(A99,tbMoveset!A2:B112,2,FALSE)="Sever",Backdoors!AY23/100,IF(VLOOKUP(A99,tbMoveset!A2:B112,2,FALSE)="Blunt",Backdoors!AZ23/100,Backdoors!BA23/100)),"")</f>
        <v/>
      </c>
      <c r="EM99" s="49">
        <f>IFERROR(IF(VLOOKUP(tbMoveset!A99,tbMoveset!A2:H112,8,FALSE)="Other",IF(VLOOKUP(tbMoveset!A99,tbMoveset!A2:I112,9,FALSE)="Fire",Backdoors!BB23,IF(VLOOKUP(tbMoveset!A99,tbMoveset!A2:I112,9,FALSE)="Water",Backdoors!BC23,IF(VLOOKUP(tbMoveset!A99,tbMoveset!A2:I112,9,FALSE)="Thunder",Backdoors!BD23,IF(VLOOKUP(tbMoveset!A99,tbMoveset!A2:I112,9,FALSE)="Ice",Backdoors!BE23,IF(VLOOKUP(tbMoveset!A99,tbMoveset!A2:I112,9,FALSE)="Dragon",Backdoors!BF23,Backdoors!BG23)))))/100,Backdoors!BG23/100),"")</f>
        <v>0</v>
      </c>
      <c r="EN99" s="49">
        <f>IFERROR(IF(VLOOKUP(A99,tbMoveset!A2:J112,10,FALSE)=TRUE,IF((Backdoors!AI12+IF(EL99&gt;=0.45,VLOOKUP(Calculator!E23,tbSkills!DH3:DI6,2,FALSE)+IF(AND(Calculator!B8=TRUE,Backdoors!BI23=TRUE),VLOOKUP(Calculator!E23,tbSkills!DH3:DJ6,3,FALSE),0),0))&gt;=0,1+(Backdoors!AL2*(IF((Backdoors!AI12+IF(EL99&gt;=0.45,VLOOKUP(Calculator!E23,tbSkills!DH3:DI6,2,FALSE)+IF(AND(Calculator!B8=TRUE,Backdoors!BI23=TRUE),VLOOKUP(Calculator!E23,tbSkills!DH3:DJ6,3,FALSE),0),0))&gt;=100,100,(Backdoors!AI12+IF(EL99&gt;=0.45,VLOOKUP(Calculator!E23,tbSkills!DH3:DI6,2,FALSE)+IF(AND(Calculator!B8=TRUE,Backdoors!BI23=TRUE),VLOOKUP(Calculator!E23,tbSkills!DH3:DJ6,3,FALSE),0),0)))/100)),(1-(0.25*((-Backdoors!AI12-IF(EL99&gt;=0.45,VLOOKUP(Calculator!E23,tbSkills!DH3:DI6,2,FALSE)+IF(AND(Calculator!B8=TRUE,Backdoors!BI23=TRUE),VLOOKUP(Calculator!E23,tbSkills!DH3:DJ6,3,FALSE),0),0))/100)))),1),"")</f>
        <v>1</v>
      </c>
      <c r="EO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L99)*EN99)*(VLOOKUP(A99,tbMoveset!A2:C112,3,FALSE)/100)*IF(VLOOKUP(A99,tbMoveset!A2:B112,2,FALSE)="Projectile",Backdoors!N10,Backdoors!N9),0),"")</f>
        <v/>
      </c>
      <c r="EP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L99&gt;=0.45,VLOOKUP(Calculator!E23,tbSkills!DH3:DI6,2,FALSE)+IF(AND(Calculator!B8=TRUE,Backdoors!BI23=TRUE),VLOOKUP(Calculator!E23,tbSkills!DH3:DJ6,3,FALSE),0),0))&gt;=100,100,(Backdoors!AI12+IF(EL99&gt;=0.45,VLOOKUP(Calculator!E23,tbSkills!DH3:DI6,2,FALSE)+IF(AND(Calculator!B8=TRUE,Backdoors!BI23=TRUE),VLOOKUP(Calculator!E23,tbSkills!DH3:DJ6,3,FALSE),0),0)))/100)),1))*IF(VLOOKUP(A99,tbMoveset!A2:K112,11,FALSE)=TRUE,Backdoors!AC5,1))*EM99,0),"")</f>
        <v>0</v>
      </c>
      <c r="EQ99" s="49">
        <f>VLOOKUP(A99,tbMoveset!A2:G112,7,FALSE)*IFERROR(IF(Backdoors!AI12&gt;=0,1+(IF(Calculator!E40&gt;0,VLOOKUP(Calculator!E40,tbSkills!AI3:AJ5,2,FALSE),Backdoors!AL4)*(IF((Backdoors!AI12+IF(EL99&gt;=0.45,VLOOKUP(Calculator!E23,tbSkills!DH3:DI6,2,FALSE)+IF(AND(Calculator!B8=TRUE,Backdoors!BI23=TRUE),VLOOKUP(Calculator!E23,tbSkills!DH3:DJ6,3,FALSE),0),0))&gt;=100,100,(Backdoors!AI12+IF(EL99&gt;=0.45,VLOOKUP(Calculator!E23,tbSkills!DH3:DI6,2,FALSE)+IF(AND(Calculator!B8=TRUE,Backdoors!BI23=TRUE),VLOOKUP(Calculator!E23,tbSkills!DH3:DJ6,3,FALSE),0),0)))/100)),1),1)</f>
        <v>1</v>
      </c>
      <c r="ER99" s="87">
        <f t="shared" si="71"/>
        <v>0</v>
      </c>
      <c r="ES99" s="86" t="str">
        <f>IFERROR(IF(VLOOKUP(A99,tbMoveset!A2:B112,2,FALSE)="Sever",Backdoors!AY24/100,IF(VLOOKUP(A99,tbMoveset!A2:B112,2,FALSE)="Blunt",Backdoors!AZ24/100,Backdoors!BA24/100)),"")</f>
        <v/>
      </c>
      <c r="ET99" s="49">
        <f>IFERROR(IF(VLOOKUP(tbMoveset!A99,tbMoveset!A2:H112,8,FALSE)="Other",IF(VLOOKUP(tbMoveset!A99,tbMoveset!A2:I112,9,FALSE)="Fire",Backdoors!BB24,IF(VLOOKUP(tbMoveset!A99,tbMoveset!A2:I112,9,FALSE)="Water",Backdoors!BC24,IF(VLOOKUP(tbMoveset!A99,tbMoveset!A2:I112,9,FALSE)="Thunder",Backdoors!BD24,IF(VLOOKUP(tbMoveset!A99,tbMoveset!A2:I112,9,FALSE)="Ice",Backdoors!BE24,IF(VLOOKUP(tbMoveset!A99,tbMoveset!A2:I112,9,FALSE)="Dragon",Backdoors!BF24,Backdoors!BG24)))))/100,Backdoors!BG24/100),"")</f>
        <v>0</v>
      </c>
      <c r="EU99" s="49">
        <f>IFERROR(IF(VLOOKUP(A99,tbMoveset!A2:J112,10,FALSE)=TRUE,IF((Backdoors!AI12+IF(ES99&gt;=0.45,VLOOKUP(Calculator!E23,tbSkills!DH3:DI6,2,FALSE)+IF(AND(Calculator!B8=TRUE,Backdoors!BI24=TRUE),VLOOKUP(Calculator!E23,tbSkills!DH3:DJ6,3,FALSE),0),0))&gt;=0,1+(Backdoors!AL2*(IF((Backdoors!AI12+IF(ES99&gt;=0.45,VLOOKUP(Calculator!E23,tbSkills!DH3:DI6,2,FALSE)+IF(AND(Calculator!B8=TRUE,Backdoors!BI24=TRUE),VLOOKUP(Calculator!E23,tbSkills!DH3:DJ6,3,FALSE),0),0))&gt;=100,100,(Backdoors!AI12+IF(ES99&gt;=0.45,VLOOKUP(Calculator!E23,tbSkills!DH3:DI6,2,FALSE)+IF(AND(Calculator!B8=TRUE,Backdoors!BI24=TRUE),VLOOKUP(Calculator!E23,tbSkills!DH3:DJ6,3,FALSE),0),0)))/100)),(1-(0.25*((-Backdoors!AI12-IF(ES99&gt;=0.45,VLOOKUP(Calculator!E23,tbSkills!DH3:DI6,2,FALSE)+IF(AND(Calculator!B8=TRUE,Backdoors!BI24=TRUE),VLOOKUP(Calculator!E23,tbSkills!DH3:DJ6,3,FALSE),0),0))/100)))),1),"")</f>
        <v>1</v>
      </c>
      <c r="EV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S99)*EU99)*(VLOOKUP(A99,tbMoveset!A2:C112,3,FALSE)/100)*IF(VLOOKUP(A99,tbMoveset!A2:B112,2,FALSE)="Projectile",Backdoors!N10,Backdoors!N9),0),"")</f>
        <v/>
      </c>
      <c r="EW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S99&gt;=0.45,VLOOKUP(Calculator!E23,tbSkills!DH3:DI6,2,FALSE)+IF(AND(Calculator!B8=TRUE,Backdoors!BI24=TRUE),VLOOKUP(Calculator!E23,tbSkills!DH3:DJ6,3,FALSE),0),0))&gt;=100,100,(Backdoors!AI12+IF(ES99&gt;=0.45,VLOOKUP(Calculator!E23,tbSkills!DH3:DI6,2,FALSE)+IF(AND(Calculator!B8=TRUE,Backdoors!BI24=TRUE),VLOOKUP(Calculator!E23,tbSkills!DH3:DJ6,3,FALSE),0),0)))/100)),1))*IF(VLOOKUP(A99,tbMoveset!A2:K112,11,FALSE)=TRUE,Backdoors!AC5,1))*ET99,0),"")</f>
        <v>0</v>
      </c>
      <c r="EX99" s="49">
        <f>VLOOKUP(A99,tbMoveset!A2:G112,7,FALSE)*IFERROR(IF(Backdoors!AI12&gt;=0,1+(IF(Calculator!E40&gt;0,VLOOKUP(Calculator!E40,tbSkills!AI3:AJ5,2,FALSE),Backdoors!AL4)*(IF((Backdoors!AI12+IF(ES99&gt;=0.45,VLOOKUP(Calculator!E23,tbSkills!DH3:DI6,2,FALSE)+IF(AND(Calculator!B8=TRUE,Backdoors!BI24=TRUE),VLOOKUP(Calculator!E23,tbSkills!DH3:DJ6,3,FALSE),0),0))&gt;=100,100,(Backdoors!AI12+IF(ES99&gt;=0.45,VLOOKUP(Calculator!E23,tbSkills!DH3:DI6,2,FALSE)+IF(AND(Calculator!B8=TRUE,Backdoors!BI24=TRUE),VLOOKUP(Calculator!E23,tbSkills!DH3:DJ6,3,FALSE),0),0)))/100)),1),1)</f>
        <v>1</v>
      </c>
      <c r="EY99" s="87">
        <f t="shared" si="72"/>
        <v>0</v>
      </c>
      <c r="EZ99" s="86" t="str">
        <f>IFERROR(IF(VLOOKUP(A99,tbMoveset!A2:B112,2,FALSE)="Sever",Backdoors!AY25/100,IF(VLOOKUP(A99,tbMoveset!A2:B112,2,FALSE)="Blunt",Backdoors!AZ25/100,Backdoors!BA25/100)),"")</f>
        <v/>
      </c>
      <c r="FA99" s="49">
        <f>IFERROR(IF(VLOOKUP(tbMoveset!A99,tbMoveset!A2:H112,8,FALSE)="Other",IF(VLOOKUP(tbMoveset!A99,tbMoveset!A2:I112,9,FALSE)="Fire",Backdoors!BB25,IF(VLOOKUP(tbMoveset!A99,tbMoveset!A2:I112,9,FALSE)="Water",Backdoors!BC25,IF(VLOOKUP(tbMoveset!A99,tbMoveset!A2:I112,9,FALSE)="Thunder",Backdoors!BD25,IF(VLOOKUP(tbMoveset!A99,tbMoveset!A2:I112,9,FALSE)="Ice",Backdoors!BE25,IF(VLOOKUP(tbMoveset!A99,tbMoveset!A2:I112,9,FALSE)="Dragon",Backdoors!BF25,Backdoors!BG25)))))/100,Backdoors!BG25/100),"")</f>
        <v>0</v>
      </c>
      <c r="FB99" s="49">
        <f>IFERROR(IF(VLOOKUP(A99,tbMoveset!A2:J112,10,FALSE)=TRUE,IF((Backdoors!AI12+IF(EZ99&gt;=0.45,VLOOKUP(Calculator!E23,tbSkills!DH3:DI6,2,FALSE)+IF(AND(Calculator!B8=TRUE,Backdoors!BI25=TRUE),VLOOKUP(Calculator!E23,tbSkills!DH3:DJ6,3,FALSE),0),0))&gt;=0,1+(Backdoors!AL2*(IF((Backdoors!AI12+IF(EZ99&gt;=0.45,VLOOKUP(Calculator!E23,tbSkills!DH3:DI6,2,FALSE)+IF(AND(Calculator!B8=TRUE,Backdoors!BI25=TRUE),VLOOKUP(Calculator!E23,tbSkills!DH3:DJ6,3,FALSE),0),0))&gt;=100,100,(Backdoors!AI12+IF(EZ99&gt;=0.45,VLOOKUP(Calculator!E23,tbSkills!DH3:DI6,2,FALSE)+IF(AND(Calculator!B8=TRUE,Backdoors!BI25=TRUE),VLOOKUP(Calculator!E23,tbSkills!DH3:DJ6,3,FALSE),0),0)))/100)),(1-(0.25*((-Backdoors!AI12-IF(EZ99&gt;=0.45,VLOOKUP(Calculator!E23,tbSkills!DH3:DI6,2,FALSE)+IF(AND(Calculator!B8=TRUE,Backdoors!BI25=TRUE),VLOOKUP(Calculator!E23,tbSkills!DH3:DJ6,3,FALSE),0),0))/100)))),1),"")</f>
        <v>1</v>
      </c>
      <c r="FC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Z99)*FB99)*(VLOOKUP(A99,tbMoveset!A2:C112,3,FALSE)/100)*IF(VLOOKUP(A99,tbMoveset!A2:B112,2,FALSE)="Projectile",Backdoors!N10,Backdoors!N9),0),"")</f>
        <v/>
      </c>
      <c r="FD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Z99&gt;=0.45,VLOOKUP(Calculator!E23,tbSkills!DH3:DI6,2,FALSE)+IF(AND(Calculator!B8=TRUE,Backdoors!BI25=TRUE),VLOOKUP(Calculator!E23,tbSkills!DH3:DJ6,3,FALSE),0),0))&gt;=100,100,(Backdoors!AI12+IF(EZ99&gt;=0.45,VLOOKUP(Calculator!E23,tbSkills!DH3:DI6,2,FALSE)+IF(AND(Calculator!B8=TRUE,Backdoors!BI25=TRUE),VLOOKUP(Calculator!E23,tbSkills!DH3:DJ6,3,FALSE),0),0)))/100)),1))*IF(VLOOKUP(A99,tbMoveset!A2:K112,11,FALSE)=TRUE,Backdoors!AC5,1))*FA99,0),"")</f>
        <v>0</v>
      </c>
      <c r="FE99" s="49">
        <f>VLOOKUP(A99,tbMoveset!A2:G112,7,FALSE)*IFERROR(IF(Backdoors!AI12&gt;=0,1+(IF(Calculator!E40&gt;0,VLOOKUP(Calculator!E40,tbSkills!AI3:AJ5,2,FALSE),Backdoors!AL4)*(IF((Backdoors!AI12+IF(EZ99&gt;=0.45,VLOOKUP(Calculator!E23,tbSkills!DH3:DI6,2,FALSE)+IF(AND(Calculator!B8=TRUE,Backdoors!BI25=TRUE),VLOOKUP(Calculator!E23,tbSkills!DH3:DJ6,3,FALSE),0),0))&gt;=100,100,(Backdoors!AI12+IF(EZ99&gt;=0.45,VLOOKUP(Calculator!E23,tbSkills!DH3:DI6,2,FALSE)+IF(AND(Calculator!B8=TRUE,Backdoors!BI25=TRUE),VLOOKUP(Calculator!E23,tbSkills!DH3:DJ6,3,FALSE),0),0)))/100)),1),1)</f>
        <v>1</v>
      </c>
      <c r="FF99" s="87">
        <f t="shared" si="73"/>
        <v>0</v>
      </c>
      <c r="FG99" s="86" t="str">
        <f>IFERROR(IF(VLOOKUP(A99,tbMoveset!A2:B112,2,FALSE)="Sever",Backdoors!AY26/100,IF(VLOOKUP(A99,tbMoveset!A2:B112,2,FALSE)="Blunt",Backdoors!AZ26/100,Backdoors!BA26/100)),"")</f>
        <v/>
      </c>
      <c r="FH99" s="49">
        <f>IFERROR(IF(VLOOKUP(tbMoveset!A99,tbMoveset!A2:H112,8,FALSE)="Other",IF(VLOOKUP(tbMoveset!A99,tbMoveset!A2:I112,9,FALSE)="Fire",Backdoors!BB26,IF(VLOOKUP(tbMoveset!A99,tbMoveset!A2:I112,9,FALSE)="Water",Backdoors!BC26,IF(VLOOKUP(tbMoveset!A99,tbMoveset!A2:I112,9,FALSE)="Thunder",Backdoors!BD26,IF(VLOOKUP(tbMoveset!A99,tbMoveset!A2:I112,9,FALSE)="Ice",Backdoors!BE26,IF(VLOOKUP(tbMoveset!A99,tbMoveset!A2:I112,9,FALSE)="Dragon",Backdoors!BF26,Backdoors!BG26)))))/100,Backdoors!BG26/100),"")</f>
        <v>0</v>
      </c>
      <c r="FI99" s="49">
        <f>IFERROR(IF(VLOOKUP(A99,tbMoveset!A2:J112,10,FALSE)=TRUE,IF((Backdoors!AI12+IF(FG99&gt;=0.45,VLOOKUP(Calculator!E23,tbSkills!DH3:DI6,2,FALSE)+IF(AND(Calculator!B8=TRUE,Backdoors!BI26=TRUE),VLOOKUP(Calculator!E23,tbSkills!DH3:DJ6,3,FALSE),0),0))&gt;=0,1+(Backdoors!AL2*(IF((Backdoors!AI12+IF(FG99&gt;=0.45,VLOOKUP(Calculator!E23,tbSkills!DH3:DI6,2,FALSE)+IF(AND(Calculator!B8=TRUE,Backdoors!BI26=TRUE),VLOOKUP(Calculator!E23,tbSkills!DH3:DJ6,3,FALSE),0),0))&gt;=100,100,(Backdoors!AI12+IF(FG99&gt;=0.45,VLOOKUP(Calculator!E23,tbSkills!DH3:DI6,2,FALSE)+IF(AND(Calculator!B8=TRUE,Backdoors!BI26=TRUE),VLOOKUP(Calculator!E23,tbSkills!DH3:DJ6,3,FALSE),0),0)))/100)),(1-(0.25*((-Backdoors!AI12-IF(FG99&gt;=0.45,VLOOKUP(Calculator!E23,tbSkills!DH3:DI6,2,FALSE)+IF(AND(Calculator!B8=TRUE,Backdoors!BI26=TRUE),VLOOKUP(Calculator!E23,tbSkills!DH3:DJ6,3,FALSE),0),0))/100)))),1),"")</f>
        <v>1</v>
      </c>
      <c r="FJ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FG99)*FI99)*(VLOOKUP(A99,tbMoveset!A2:C112,3,FALSE)/100)*IF(VLOOKUP(A99,tbMoveset!A2:B112,2,FALSE)="Projectile",Backdoors!N10,Backdoors!N9),0),"")</f>
        <v/>
      </c>
      <c r="FK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FG99&gt;=0.45,VLOOKUP(Calculator!E23,tbSkills!DH3:DI6,2,FALSE)+IF(AND(Calculator!B8=TRUE,Backdoors!BI26=TRUE),VLOOKUP(Calculator!E23,tbSkills!DH3:DJ6,3,FALSE),0),0))&gt;=100,100,(Backdoors!AI12+IF(FG99&gt;=0.45,VLOOKUP(Calculator!E23,tbSkills!DH3:DI6,2,FALSE)+IF(AND(Calculator!B8=TRUE,Backdoors!BI26=TRUE),VLOOKUP(Calculator!E23,tbSkills!DH3:DJ6,3,FALSE),0),0)))/100)),1))*IF(VLOOKUP(A99,tbMoveset!A2:K112,11,FALSE)=TRUE,Backdoors!AC5,1))*FH99,0),"")</f>
        <v>0</v>
      </c>
      <c r="FL99" s="49">
        <f>VLOOKUP(A99,tbMoveset!A2:G112,7,FALSE)*IFERROR(IF(Backdoors!AI12&gt;=0,1+(IF(Calculator!E40&gt;0,VLOOKUP(Calculator!E40,tbSkills!AI3:AJ5,2,FALSE),Backdoors!AL4)*(IF((Backdoors!AI12+IF(FG99&gt;=0.45,VLOOKUP(Calculator!E23,tbSkills!DH3:DI6,2,FALSE)+IF(AND(Calculator!B8=TRUE,Backdoors!BI26=TRUE),VLOOKUP(Calculator!E23,tbSkills!DH3:DJ6,3,FALSE),0),0))&gt;=100,100,(Backdoors!AI12+IF(FG99&gt;=0.45,VLOOKUP(Calculator!E23,tbSkills!DH3:DI6,2,FALSE)+IF(AND(Calculator!B8=TRUE,Backdoors!BI26=TRUE),VLOOKUP(Calculator!E23,tbSkills!DH3:DJ6,3,FALSE),0),0)))/100)),1),1)</f>
        <v>1</v>
      </c>
      <c r="FM99" s="87">
        <f t="shared" si="74"/>
        <v>0</v>
      </c>
      <c r="FN99" s="86" t="str">
        <f>IFERROR(IF(VLOOKUP(A99,tbMoveset!A2:B112,2,FALSE)="Sever",Backdoors!AY27/100,IF(VLOOKUP(A99,tbMoveset!A2:B112,2,FALSE)="Blunt",Backdoors!AZ27/100,Backdoors!BA27/100)),"")</f>
        <v/>
      </c>
      <c r="FO99" s="49">
        <f>IFERROR(IF(VLOOKUP(tbMoveset!A99,tbMoveset!A2:H112,8,FALSE)="Other",IF(VLOOKUP(tbMoveset!A99,tbMoveset!A2:I112,9,FALSE)="Fire",Backdoors!BB27,IF(VLOOKUP(tbMoveset!A99,tbMoveset!A2:I112,9,FALSE)="Water",Backdoors!BC27,IF(VLOOKUP(tbMoveset!A99,tbMoveset!A2:I112,9,FALSE)="Thunder",Backdoors!BD27,IF(VLOOKUP(tbMoveset!A99,tbMoveset!A2:I112,9,FALSE)="Ice",Backdoors!BE27,IF(VLOOKUP(tbMoveset!A99,tbMoveset!A2:I112,9,FALSE)="Dragon",Backdoors!BF27,Backdoors!BG27)))))/100,Backdoors!BG27/100),"")</f>
        <v>0</v>
      </c>
      <c r="FP99" s="49">
        <f>IFERROR(IF(VLOOKUP(A99,tbMoveset!A2:J112,10,FALSE)=TRUE,IF((Backdoors!AI12+IF(FN99&gt;=0.45,VLOOKUP(Calculator!E23,tbSkills!DH3:DI6,2,FALSE)+IF(AND(Calculator!B8=TRUE,Backdoors!BI27=TRUE),VLOOKUP(Calculator!E23,tbSkills!DH3:DJ6,3,FALSE),0),0))&gt;=0,1+(Backdoors!AL2*(IF((Backdoors!AI12+IF(FN99&gt;=0.45,VLOOKUP(Calculator!E23,tbSkills!DH3:DI6,2,FALSE)+IF(AND(Calculator!B8=TRUE,Backdoors!BI27=TRUE),VLOOKUP(Calculator!E23,tbSkills!DH3:DJ6,3,FALSE),0),0))&gt;=100,100,(Backdoors!AI12+IF(FN99&gt;=0.45,VLOOKUP(Calculator!E23,tbSkills!DH3:DI6,2,FALSE)+IF(AND(Calculator!B8=TRUE,Backdoors!BI27=TRUE),VLOOKUP(Calculator!E23,tbSkills!DH3:DJ6,3,FALSE),0),0)))/100)),(1-(0.25*((-Backdoors!AI12-IF(FN99&gt;=0.45,VLOOKUP(Calculator!E23,tbSkills!DH3:DI6,2,FALSE)+IF(AND(Calculator!B8=TRUE,Backdoors!BI27=TRUE),VLOOKUP(Calculator!E23,tbSkills!DH3:DJ6,3,FALSE),0),0))/100)))),1),"")</f>
        <v>1</v>
      </c>
      <c r="FQ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FN99)*FP99)*(VLOOKUP(A99,tbMoveset!A2:C112,3,FALSE)/100)*IF(VLOOKUP(A99,tbMoveset!A2:B112,2,FALSE)="Projectile",Backdoors!N10,Backdoors!N9),0),"")</f>
        <v/>
      </c>
      <c r="FR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FN99&gt;=0.45,VLOOKUP(Calculator!E23,tbSkills!DH3:DI6,2,FALSE)+IF(AND(Calculator!B8=TRUE,Backdoors!BI27=TRUE),VLOOKUP(Calculator!E23,tbSkills!DH3:DJ6,3,FALSE),0),0))&gt;=100,100,(Backdoors!AI12+IF(FN99&gt;=0.45,VLOOKUP(Calculator!E23,tbSkills!DH3:DI6,2,FALSE)+IF(AND(Calculator!B8=TRUE,Backdoors!BI27=TRUE),VLOOKUP(Calculator!E23,tbSkills!DH3:DJ6,3,FALSE),0),0)))/100)),1))*IF(VLOOKUP(A99,tbMoveset!A2:K112,11,FALSE)=TRUE,Backdoors!AC5,1))*FO99,0),"")</f>
        <v>0</v>
      </c>
      <c r="FS99" s="49">
        <f>VLOOKUP(A99,tbMoveset!A2:G112,7,FALSE)*IFERROR(IF(Backdoors!AI12&gt;=0,1+(IF(Calculator!E40&gt;0,VLOOKUP(Calculator!E40,tbSkills!AI3:AJ5,2,FALSE),Backdoors!AL4)*(IF((Backdoors!AI12+IF(FN99&gt;=0.45,VLOOKUP(Calculator!E23,tbSkills!DH3:DI6,2,FALSE)+IF(AND(Calculator!B8=TRUE,Backdoors!BI27=TRUE),VLOOKUP(Calculator!E23,tbSkills!DH3:DJ6,3,FALSE),0),0))&gt;=100,100,(Backdoors!AI12+IF(FN99&gt;=0.45,VLOOKUP(Calculator!E23,tbSkills!DH3:DI6,2,FALSE)+IF(AND(Calculator!B8=TRUE,Backdoors!BI27=TRUE),VLOOKUP(Calculator!E23,tbSkills!DH3:DJ6,3,FALSE),0),0)))/100)),1),1)</f>
        <v>1</v>
      </c>
      <c r="FT99" s="87">
        <f t="shared" si="75"/>
        <v>0</v>
      </c>
      <c r="FU99" s="86" t="str">
        <f>IFERROR(IF(VLOOKUP(A99,tbMoveset!A2:B112,2,FALSE)="Sever",Backdoors!AY28/100,IF(VLOOKUP(A99,tbMoveset!A2:B112,2,FALSE)="Blunt",Backdoors!AZ28/100,Backdoors!BA28/100)),"")</f>
        <v/>
      </c>
      <c r="FV99" s="49">
        <f>IFERROR(IF(VLOOKUP(tbMoveset!A99,tbMoveset!A2:H112,8,FALSE)="Other",IF(VLOOKUP(tbMoveset!A99,tbMoveset!A2:I112,9,FALSE)="Fire",Backdoors!BB28,IF(VLOOKUP(tbMoveset!A99,tbMoveset!A2:I112,9,FALSE)="Water",Backdoors!BC28,IF(VLOOKUP(tbMoveset!A99,tbMoveset!A2:I112,9,FALSE)="Thunder",Backdoors!BD28,IF(VLOOKUP(tbMoveset!A99,tbMoveset!A2:I112,9,FALSE)="Ice",Backdoors!BE28,IF(VLOOKUP(tbMoveset!A99,tbMoveset!A2:I112,9,FALSE)="Dragon",Backdoors!BF28,Backdoors!BG28)))))/100,Backdoors!BG28/100),"")</f>
        <v>0</v>
      </c>
      <c r="FW99" s="49">
        <f>IFERROR(IF(VLOOKUP(A99,tbMoveset!A2:J112,10,FALSE)=TRUE,IF((Backdoors!AI12+IF(FU99&gt;=0.45,VLOOKUP(Calculator!E23,tbSkills!DH3:DI6,2,FALSE)+IF(AND(Calculator!B8=TRUE,Backdoors!BI28=TRUE),VLOOKUP(Calculator!E23,tbSkills!DH3:DJ6,3,FALSE),0),0))&gt;=0,1+(Backdoors!AL2*(IF((Backdoors!AI12+IF(FU99&gt;=0.45,VLOOKUP(Calculator!E23,tbSkills!DH3:DI6,2,FALSE)+IF(AND(Calculator!B8=TRUE,Backdoors!BI28=TRUE),VLOOKUP(Calculator!E23,tbSkills!DH3:DJ6,3,FALSE),0),0))&gt;=100,100,(Backdoors!AI12+IF(FU99&gt;=0.45,VLOOKUP(Calculator!E23,tbSkills!DH3:DI6,2,FALSE)+IF(AND(Calculator!B8=TRUE,Backdoors!BI28=TRUE),VLOOKUP(Calculator!E23,tbSkills!DH3:DJ6,3,FALSE),0),0)))/100)),(1-(0.25*((-Backdoors!AI12-IF(FU99&gt;=0.45,VLOOKUP(Calculator!E23,tbSkills!DH3:DI6,2,FALSE)+IF(AND(Calculator!B8=TRUE,Backdoors!BI28=TRUE),VLOOKUP(Calculator!E23,tbSkills!DH3:DJ6,3,FALSE),0),0))/100)))),1),"")</f>
        <v>1</v>
      </c>
      <c r="FX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FU99)*FW99)*(VLOOKUP(A99,tbMoveset!A2:C112,3,FALSE)/100)*IF(VLOOKUP(A99,tbMoveset!A2:B112,2,FALSE)="Projectile",Backdoors!N10,Backdoors!N9),0),"")</f>
        <v/>
      </c>
      <c r="FY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FU99&gt;=0.45,VLOOKUP(Calculator!E23,tbSkills!DH3:DI6,2,FALSE)+IF(AND(Calculator!B8=TRUE,Backdoors!BI28=TRUE),VLOOKUP(Calculator!E23,tbSkills!DH3:DJ6,3,FALSE),0),0))&gt;=100,100,(Backdoors!AI12+IF(FU99&gt;=0.45,VLOOKUP(Calculator!E23,tbSkills!DH3:DI6,2,FALSE)+IF(AND(Calculator!B8=TRUE,Backdoors!BI28=TRUE),VLOOKUP(Calculator!E23,tbSkills!DH3:DJ6,3,FALSE),0),0)))/100)),1))*IF(VLOOKUP(A99,tbMoveset!A2:K112,11,FALSE)=TRUE,Backdoors!AC5,1))*FV99,0),"")</f>
        <v>0</v>
      </c>
      <c r="FZ99" s="49">
        <f>VLOOKUP(A99,tbMoveset!A2:G112,7,FALSE)*IFERROR(IF(Backdoors!AI12&gt;=0,1+(IF(Calculator!E40&gt;0,VLOOKUP(Calculator!E40,tbSkills!AI3:AJ5,2,FALSE),Backdoors!AL4)*(IF((Backdoors!AI12+IF(FU99&gt;=0.45,VLOOKUP(Calculator!E23,tbSkills!DH3:DI6,2,FALSE)+IF(AND(Calculator!B8=TRUE,Backdoors!BI28=TRUE),VLOOKUP(Calculator!E23,tbSkills!DH3:DJ6,3,FALSE),0),0))&gt;=100,100,(Backdoors!AI12+IF(FU99&gt;=0.45,VLOOKUP(Calculator!E23,tbSkills!DH3:DI6,2,FALSE)+IF(AND(Calculator!B8=TRUE,Backdoors!BI28=TRUE),VLOOKUP(Calculator!E23,tbSkills!DH3:DJ6,3,FALSE),0),0)))/100)),1),1)</f>
        <v>1</v>
      </c>
      <c r="GA99" s="87">
        <f t="shared" si="76"/>
        <v>0</v>
      </c>
      <c r="GB99" s="86" t="str">
        <f>IFERROR(IF(VLOOKUP(A99,tbMoveset!A2:B112,2,FALSE)="Sever",Backdoors!AY29/100,IF(VLOOKUP(A99,tbMoveset!A2:B112,2,FALSE)="Blunt",Backdoors!AZ29/100,Backdoors!BA29/100)),"")</f>
        <v/>
      </c>
      <c r="GC99" s="49">
        <f>IFERROR(IF(VLOOKUP(tbMoveset!A99,tbMoveset!A2:H112,8,FALSE)="Other",IF(VLOOKUP(tbMoveset!A99,tbMoveset!A2:I112,9,FALSE)="Fire",Backdoors!BB29,IF(VLOOKUP(tbMoveset!A99,tbMoveset!A2:I112,9,FALSE)="Water",Backdoors!BC29,IF(VLOOKUP(tbMoveset!A99,tbMoveset!A2:I112,9,FALSE)="Thunder",Backdoors!BD29,IF(VLOOKUP(tbMoveset!A99,tbMoveset!A2:I112,9,FALSE)="Ice",Backdoors!BE29,IF(VLOOKUP(tbMoveset!A99,tbMoveset!A2:I112,9,FALSE)="Dragon",Backdoors!BF29,Backdoors!BG29)))))/100,Backdoors!BG29/100),"")</f>
        <v>0</v>
      </c>
      <c r="GD99" s="49">
        <f>IFERROR(IF(VLOOKUP(A99,tbMoveset!A2:J112,10,FALSE)=TRUE,IF((Backdoors!AI12+IF(GB99&gt;=0.45,VLOOKUP(Calculator!E23,tbSkills!DH3:DI6,2,FALSE)+IF(AND(Calculator!B8=TRUE,Backdoors!BI29=TRUE),VLOOKUP(Calculator!E23,tbSkills!DH3:DJ6,3,FALSE),0),0))&gt;=0,1+(Backdoors!AL2*(IF((Backdoors!AI12+IF(GB99&gt;=0.45,VLOOKUP(Calculator!E23,tbSkills!DH3:DI6,2,FALSE)+IF(AND(Calculator!B8=TRUE,Backdoors!BI29=TRUE),VLOOKUP(Calculator!E23,tbSkills!DH3:DJ6,3,FALSE),0),0))&gt;=100,100,(Backdoors!AI12+IF(GB99&gt;=0.45,VLOOKUP(Calculator!E23,tbSkills!DH3:DI6,2,FALSE)+IF(AND(Calculator!B8=TRUE,Backdoors!BI29=TRUE),VLOOKUP(Calculator!E23,tbSkills!DH3:DJ6,3,FALSE),0),0)))/100)),(1-(0.25*((-Backdoors!AI12-IF(GB99&gt;=0.45,VLOOKUP(Calculator!E23,tbSkills!DH3:DI6,2,FALSE)+IF(AND(Calculator!B8=TRUE,Backdoors!BI29=TRUE),VLOOKUP(Calculator!E23,tbSkills!DH3:DJ6,3,FALSE),0),0))/100)))),1),"")</f>
        <v>1</v>
      </c>
      <c r="GE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B99)*GD99)*(VLOOKUP(A99,tbMoveset!A2:C112,3,FALSE)/100)*IF(VLOOKUP(A99,tbMoveset!A2:B112,2,FALSE)="Projectile",Backdoors!N10,Backdoors!N9),0),"")</f>
        <v/>
      </c>
      <c r="GF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B99&gt;=0.45,VLOOKUP(Calculator!E23,tbSkills!DH3:DI6,2,FALSE)+IF(AND(Calculator!B8=TRUE,Backdoors!BI29=TRUE),VLOOKUP(Calculator!E23,tbSkills!DH3:DJ6,3,FALSE),0),0))&gt;=100,100,(Backdoors!AI12+IF(GB99&gt;=0.45,VLOOKUP(Calculator!E23,tbSkills!DH3:DI6,2,FALSE)+IF(AND(Calculator!B8=TRUE,Backdoors!BI29=TRUE),VLOOKUP(Calculator!E23,tbSkills!DH3:DJ6,3,FALSE),0),0)))/100)),1))*IF(VLOOKUP(A99,tbMoveset!A2:K112,11,FALSE)=TRUE,Backdoors!AC5,1))*GC99,0),"")</f>
        <v>0</v>
      </c>
      <c r="GG99" s="49">
        <f>VLOOKUP(A99,tbMoveset!A2:G112,7,FALSE)*IFERROR(IF(Backdoors!AI12&gt;=0,1+(IF(Calculator!E40&gt;0,VLOOKUP(Calculator!E40,tbSkills!AI3:AJ5,2,FALSE),Backdoors!AL4)*(IF((Backdoors!AI12+IF(GB99&gt;=0.45,VLOOKUP(Calculator!E23,tbSkills!DH3:DI6,2,FALSE)+IF(AND(Calculator!B8=TRUE,Backdoors!BI29=TRUE),VLOOKUP(Calculator!E23,tbSkills!DH3:DJ6,3,FALSE),0),0))&gt;=100,100,(Backdoors!AI12+IF(GB99&gt;=0.45,VLOOKUP(Calculator!E23,tbSkills!DH3:DI6,2,FALSE)+IF(AND(Calculator!B8=TRUE,Backdoors!BI29=TRUE),VLOOKUP(Calculator!E23,tbSkills!DH3:DJ6,3,FALSE),0),0)))/100)),1),1)</f>
        <v>1</v>
      </c>
      <c r="GH99" s="87">
        <f t="shared" si="77"/>
        <v>0</v>
      </c>
      <c r="GI99" s="86" t="str">
        <f>IFERROR(IF(VLOOKUP(A99,tbMoveset!A2:B112,2,FALSE)="Sever",Backdoors!AY30/100,IF(VLOOKUP(A99,tbMoveset!A2:B112,2,FALSE)="Blunt",Backdoors!AZ30/100,Backdoors!BA30/100)),"")</f>
        <v/>
      </c>
      <c r="GJ99" s="49">
        <f>IFERROR(IF(VLOOKUP(tbMoveset!A99,tbMoveset!A2:H112,8,FALSE)="Other",IF(VLOOKUP(tbMoveset!A99,tbMoveset!A2:I112,9,FALSE)="Fire",Backdoors!BB30,IF(VLOOKUP(tbMoveset!A99,tbMoveset!A2:I112,9,FALSE)="Water",Backdoors!BC30,IF(VLOOKUP(tbMoveset!A99,tbMoveset!A2:I112,9,FALSE)="Thunder",Backdoors!BD30,IF(VLOOKUP(tbMoveset!A99,tbMoveset!A2:I112,9,FALSE)="Ice",Backdoors!BE30,IF(VLOOKUP(tbMoveset!A99,tbMoveset!A2:I112,9,FALSE)="Dragon",Backdoors!BF30,Backdoors!BG30)))))/100,Backdoors!BG30/100),"")</f>
        <v>0</v>
      </c>
      <c r="GK99" s="49">
        <f>IFERROR(IF(VLOOKUP(A99,tbMoveset!A2:J112,10,FALSE)=TRUE,IF((Backdoors!AI12+IF(GI99&gt;=0.45,VLOOKUP(Calculator!E23,tbSkills!DH3:DI6,2,FALSE)+IF(AND(Calculator!B8=TRUE,Backdoors!BI30=TRUE),VLOOKUP(Calculator!E23,tbSkills!DH3:DJ6,3,FALSE),0),0))&gt;=0,1+(Backdoors!AL2*(IF((Backdoors!AI12+IF(GI99&gt;=0.45,VLOOKUP(Calculator!E23,tbSkills!DH3:DI6,2,FALSE)+IF(AND(Calculator!B8=TRUE,Backdoors!BI30=TRUE),VLOOKUP(Calculator!E23,tbSkills!DH3:DJ6,3,FALSE),0),0))&gt;=100,100,(Backdoors!AI12+IF(GI99&gt;=0.45,VLOOKUP(Calculator!E23,tbSkills!DH3:DI6,2,FALSE)+IF(AND(Calculator!B8=TRUE,Backdoors!BI30=TRUE),VLOOKUP(Calculator!E23,tbSkills!DH3:DJ6,3,FALSE),0),0)))/100)),(1-(0.25*((-Backdoors!AI12-IF(GI99&gt;=0.45,VLOOKUP(Calculator!E23,tbSkills!DH3:DI6,2,FALSE)+IF(AND(Calculator!B8=TRUE,Backdoors!BI30=TRUE),VLOOKUP(Calculator!E23,tbSkills!DH3:DJ6,3,FALSE),0),0))/100)))),1),"")</f>
        <v>1</v>
      </c>
      <c r="GL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I99)*GK99)*(VLOOKUP(A99,tbMoveset!A2:C112,3,FALSE)/100)*IF(VLOOKUP(A99,tbMoveset!A2:B112,2,FALSE)="Projectile",Backdoors!N10,Backdoors!N9),0),"")</f>
        <v/>
      </c>
      <c r="GM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I99&gt;=0.45,VLOOKUP(Calculator!E23,tbSkills!DH3:DI6,2,FALSE)+IF(AND(Calculator!B8=TRUE,Backdoors!BI30=TRUE),VLOOKUP(Calculator!E23,tbSkills!DH3:DJ6,3,FALSE),0),0))&gt;=100,100,(Backdoors!AI12+IF(GI99&gt;=0.45,VLOOKUP(Calculator!E23,tbSkills!DH3:DI6,2,FALSE)+IF(AND(Calculator!B8=TRUE,Backdoors!BI30=TRUE),VLOOKUP(Calculator!E23,tbSkills!DH3:DJ6,3,FALSE),0),0)))/100)),1))*IF(VLOOKUP(A99,tbMoveset!A2:K112,11,FALSE)=TRUE,Backdoors!AC5,1))*GJ99,0),"")</f>
        <v>0</v>
      </c>
      <c r="GN99" s="49">
        <f>VLOOKUP(A99,tbMoveset!A2:G112,7,FALSE)*IFERROR(IF(Backdoors!AI12&gt;=0,1+(IF(Calculator!E40&gt;0,VLOOKUP(Calculator!E40,tbSkills!AI3:AJ5,2,FALSE),Backdoors!AL4)*(IF((Backdoors!AI12+IF(GI99&gt;=0.45,VLOOKUP(Calculator!E23,tbSkills!DH3:DI6,2,FALSE)+IF(AND(Calculator!B8=TRUE,Backdoors!BI30=TRUE),VLOOKUP(Calculator!E23,tbSkills!DH3:DJ6,3,FALSE),0),0))&gt;=100,100,(Backdoors!AI12+IF(GI99&gt;=0.45,VLOOKUP(Calculator!E23,tbSkills!DH3:DI6,2,FALSE)+IF(AND(Calculator!B8=TRUE,Backdoors!BI30=TRUE),VLOOKUP(Calculator!E23,tbSkills!DH3:DJ6,3,FALSE),0),0)))/100)),1),1)</f>
        <v>1</v>
      </c>
      <c r="GO99" s="87">
        <f t="shared" si="78"/>
        <v>0</v>
      </c>
      <c r="GP99" s="86" t="str">
        <f>IFERROR(IF(VLOOKUP(A99,tbMoveset!A2:B112,2,FALSE)="Sever",Backdoors!AY31/100,IF(VLOOKUP(A99,tbMoveset!A2:B112,2,FALSE)="Blunt",Backdoors!AZ31/100,Backdoors!BA31/100)),"")</f>
        <v/>
      </c>
      <c r="GQ99" s="49">
        <f>IFERROR(IF(VLOOKUP(tbMoveset!A99,tbMoveset!A2:H112,8,FALSE)="Other",IF(VLOOKUP(tbMoveset!A99,tbMoveset!A2:I112,9,FALSE)="Fire",Backdoors!BB31,IF(VLOOKUP(tbMoveset!A99,tbMoveset!A2:I112,9,FALSE)="Water",Backdoors!BC31,IF(VLOOKUP(tbMoveset!A99,tbMoveset!A2:I112,9,FALSE)="Thunder",Backdoors!BD31,IF(VLOOKUP(tbMoveset!A99,tbMoveset!A2:I112,9,FALSE)="Ice",Backdoors!BE31,IF(VLOOKUP(tbMoveset!A99,tbMoveset!A2:I112,9,FALSE)="Dragon",Backdoors!BF31,Backdoors!BG31)))))/100,Backdoors!BG31/100),"")</f>
        <v>0</v>
      </c>
      <c r="GR99" s="49">
        <f>IFERROR(IF(VLOOKUP(A99,tbMoveset!A2:J112,10,FALSE)=TRUE,IF((Backdoors!AI12+IF(GP99&gt;=0.45,VLOOKUP(Calculator!E23,tbSkills!DH3:DI6,2,FALSE)+IF(AND(Calculator!B8=TRUE,Backdoors!BI31=TRUE),VLOOKUP(Calculator!E23,tbSkills!DH3:DJ6,3,FALSE),0),0))&gt;=0,1+(Backdoors!AL2*(IF((Backdoors!AI12+IF(GP99&gt;=0.45,VLOOKUP(Calculator!E23,tbSkills!DH3:DI6,2,FALSE)+IF(AND(Calculator!B8=TRUE,Backdoors!BI31=TRUE),VLOOKUP(Calculator!E23,tbSkills!DH3:DJ6,3,FALSE),0),0))&gt;=100,100,(Backdoors!AI12+IF(GP99&gt;=0.45,VLOOKUP(Calculator!E23,tbSkills!DH3:DI6,2,FALSE)+IF(AND(Calculator!B8=TRUE,Backdoors!BI31=TRUE),VLOOKUP(Calculator!E23,tbSkills!DH3:DJ6,3,FALSE),0),0)))/100)),(1-(0.25*((-Backdoors!AI12-IF(GP99&gt;=0.45,VLOOKUP(Calculator!E23,tbSkills!DH3:DI6,2,FALSE)+IF(AND(Calculator!B8=TRUE,Backdoors!BI31=TRUE),VLOOKUP(Calculator!E23,tbSkills!DH3:DJ6,3,FALSE),0),0))/100)))),1),"")</f>
        <v>1</v>
      </c>
      <c r="GS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P99)*GR99)*(VLOOKUP(A99,tbMoveset!A2:C112,3,FALSE)/100)*IF(VLOOKUP(A99,tbMoveset!A2:B112,2,FALSE)="Projectile",Backdoors!N10,Backdoors!N9),0),"")</f>
        <v/>
      </c>
      <c r="GT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P99&gt;=0.45,VLOOKUP(Calculator!E23,tbSkills!DH3:DI6,2,FALSE)+IF(AND(Calculator!B8=TRUE,Backdoors!BI31=TRUE),VLOOKUP(Calculator!E23,tbSkills!DH3:DJ6,3,FALSE),0),0))&gt;=100,100,(Backdoors!AI12+IF(GP99&gt;=0.45,VLOOKUP(Calculator!E23,tbSkills!DH3:DI6,2,FALSE)+IF(AND(Calculator!B8=TRUE,Backdoors!BI31=TRUE),VLOOKUP(Calculator!E23,tbSkills!DH3:DJ6,3,FALSE),0),0)))/100)),1))*IF(VLOOKUP(A99,tbMoveset!A2:K112,11,FALSE)=TRUE,Backdoors!AC5,1))*GQ99,0),"")</f>
        <v>0</v>
      </c>
      <c r="GU99" s="49">
        <f>VLOOKUP(A99,tbMoveset!A2:G112,7,FALSE)*IFERROR(IF(Backdoors!AI12&gt;=0,1+(IF(Calculator!E40&gt;0,VLOOKUP(Calculator!E40,tbSkills!AI3:AJ5,2,FALSE),Backdoors!AL4)*(IF((Backdoors!AI12+IF(GP99&gt;=0.45,VLOOKUP(Calculator!E23,tbSkills!DH3:DI6,2,FALSE)+IF(AND(Calculator!B8=TRUE,Backdoors!BI31=TRUE),VLOOKUP(Calculator!E23,tbSkills!DH3:DJ6,3,FALSE),0),0))&gt;=100,100,(Backdoors!AI12+IF(GP99&gt;=0.45,VLOOKUP(Calculator!E23,tbSkills!DH3:DI6,2,FALSE)+IF(AND(Calculator!B8=TRUE,Backdoors!BI31=TRUE),VLOOKUP(Calculator!E23,tbSkills!DH3:DJ6,3,FALSE),0),0)))/100)),1),1)</f>
        <v>1</v>
      </c>
      <c r="GV99" s="87">
        <f t="shared" si="79"/>
        <v>0</v>
      </c>
      <c r="GW99" s="86" t="str">
        <f>IFERROR(IF(VLOOKUP(A99,tbMoveset!A2:B112,2,FALSE)="Sever",Backdoors!AY32/100,IF(VLOOKUP(A99,tbMoveset!A2:B112,2,FALSE)="Blunt",Backdoors!AZ32/100,Backdoors!BA32/100)),"")</f>
        <v/>
      </c>
      <c r="GX99" s="49">
        <f>IFERROR(IF(VLOOKUP(tbMoveset!A99,tbMoveset!A2:H112,8,FALSE)="Other",IF(VLOOKUP(tbMoveset!A99,tbMoveset!A2:I112,9,FALSE)="Fire",Backdoors!BB32,IF(VLOOKUP(tbMoveset!A99,tbMoveset!A2:I112,9,FALSE)="Water",Backdoors!BC32,IF(VLOOKUP(tbMoveset!A99,tbMoveset!A2:I112,9,FALSE)="Thunder",Backdoors!BD32,IF(VLOOKUP(tbMoveset!A99,tbMoveset!A2:I112,9,FALSE)="Ice",Backdoors!BE32,IF(VLOOKUP(tbMoveset!A99,tbMoveset!A2:I112,9,FALSE)="Dragon",Backdoors!BF32,Backdoors!BG32)))))/100,Backdoors!BG32/100),"")</f>
        <v>0</v>
      </c>
      <c r="GY99" s="49">
        <f>IFERROR(IF(VLOOKUP(A99,tbMoveset!A2:J112,10,FALSE)=TRUE,IF((Backdoors!AI12+IF(GW99&gt;=0.45,VLOOKUP(Calculator!E23,tbSkills!DH3:DI6,2,FALSE)+IF(AND(Calculator!B8=TRUE,Backdoors!BI32=TRUE),VLOOKUP(Calculator!E23,tbSkills!DH3:DJ6,3,FALSE),0),0))&gt;=0,1+(Backdoors!AL2*(IF((Backdoors!AI12+IF(GW99&gt;=0.45,VLOOKUP(Calculator!E23,tbSkills!DH3:DI6,2,FALSE)+IF(AND(Calculator!B8=TRUE,Backdoors!BI32=TRUE),VLOOKUP(Calculator!E23,tbSkills!DH3:DJ6,3,FALSE),0),0))&gt;=100,100,(Backdoors!AI12+IF(GW99&gt;=0.45,VLOOKUP(Calculator!E23,tbSkills!DH3:DI6,2,FALSE)+IF(AND(Calculator!B8=TRUE,Backdoors!BI32=TRUE),VLOOKUP(Calculator!E23,tbSkills!DH3:DJ6,3,FALSE),0),0)))/100)),(1-(0.25*((-Backdoors!AI12-IF(GW99&gt;=0.45,VLOOKUP(Calculator!E23,tbSkills!DH3:DI6,2,FALSE)+IF(AND(Calculator!B8=TRUE,Backdoors!BI32=TRUE),VLOOKUP(Calculator!E23,tbSkills!DH3:DJ6,3,FALSE),0),0))/100)))),1),"")</f>
        <v>1</v>
      </c>
      <c r="GZ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W99)*GY99)*(VLOOKUP(A99,tbMoveset!A2:C112,3,FALSE)/100)*IF(VLOOKUP(A99,tbMoveset!A2:B112,2,FALSE)="Projectile",Backdoors!N10,Backdoors!N9),0),"")</f>
        <v/>
      </c>
      <c r="HA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W99&gt;=0.45,VLOOKUP(Calculator!E23,tbSkills!DH3:DI6,2,FALSE)+IF(AND(Calculator!B8=TRUE,Backdoors!BI32=TRUE),VLOOKUP(Calculator!E23,tbSkills!DH3:DJ6,3,FALSE),0),0))&gt;=100,100,(Backdoors!AI12+IF(GW99&gt;=0.45,VLOOKUP(Calculator!E23,tbSkills!DH3:DI6,2,FALSE)+IF(AND(Calculator!B8=TRUE,Backdoors!BI32=TRUE),VLOOKUP(Calculator!E23,tbSkills!DH3:DJ6,3,FALSE),0),0)))/100)),1))*IF(VLOOKUP(A99,tbMoveset!A2:K112,11,FALSE)=TRUE,Backdoors!AC5,1))*GX99,0),"")</f>
        <v>0</v>
      </c>
      <c r="HB99" s="49">
        <f>VLOOKUP(A99,tbMoveset!A2:G112,7,FALSE)*IFERROR(IF(Backdoors!AI12&gt;=0,1+(IF(Calculator!E40&gt;0,VLOOKUP(Calculator!E40,tbSkills!AI3:AJ5,2,FALSE),Backdoors!AL4)*(IF((Backdoors!AI12+IF(GW99&gt;=0.45,VLOOKUP(Calculator!E23,tbSkills!DH3:DI6,2,FALSE)+IF(AND(Calculator!B8=TRUE,Backdoors!BI32=TRUE),VLOOKUP(Calculator!E23,tbSkills!DH3:DJ6,3,FALSE),0),0))&gt;=100,100,(Backdoors!AI12+IF(GW99&gt;=0.45,VLOOKUP(Calculator!E23,tbSkills!DH3:DI6,2,FALSE)+IF(AND(Calculator!B8=TRUE,Backdoors!BI32=TRUE),VLOOKUP(Calculator!E23,tbSkills!DH3:DJ6,3,FALSE),0),0)))/100)),1),1)</f>
        <v>1</v>
      </c>
      <c r="HC99" s="87">
        <f t="shared" si="80"/>
        <v>0</v>
      </c>
      <c r="HD99" s="86" t="str">
        <f>IFERROR(IF(VLOOKUP(A99,tbMoveset!A2:B112,2,FALSE)="Sever",Backdoors!AY33/100,IF(VLOOKUP(A99,tbMoveset!A2:B112,2,FALSE)="Blunt",Backdoors!AZ33/100,Backdoors!BA33/100)),"")</f>
        <v/>
      </c>
      <c r="HE99" s="49">
        <f>IFERROR(IF(VLOOKUP(tbMoveset!A99,tbMoveset!A2:H112,8,FALSE)="Other",IF(VLOOKUP(tbMoveset!A99,tbMoveset!A2:I112,9,FALSE)="Fire",Backdoors!BB33,IF(VLOOKUP(tbMoveset!A99,tbMoveset!A2:I112,9,FALSE)="Water",Backdoors!BC33,IF(VLOOKUP(tbMoveset!A99,tbMoveset!A2:I112,9,FALSE)="Thunder",Backdoors!BD33,IF(VLOOKUP(tbMoveset!A99,tbMoveset!A2:I112,9,FALSE)="Ice",Backdoors!BE33,IF(VLOOKUP(tbMoveset!A99,tbMoveset!A2:I112,9,FALSE)="Dragon",Backdoors!BF33,Backdoors!BG33)))))/100,Backdoors!BG33/100),"")</f>
        <v>0</v>
      </c>
      <c r="HF99" s="49">
        <f>IFERROR(IF(VLOOKUP(A99,tbMoveset!A2:J112,10,FALSE)=TRUE,IF((Backdoors!AI12+IF(HD99&gt;=0.45,VLOOKUP(Calculator!E23,tbSkills!DH3:DI6,2,FALSE)+IF(AND(Calculator!B8=TRUE,Backdoors!BI33=TRUE),VLOOKUP(Calculator!E23,tbSkills!DH3:DJ6,3,FALSE),0),0))&gt;=0,1+(Backdoors!AL2*(IF((Backdoors!AI12+IF(HD99&gt;=0.45,VLOOKUP(Calculator!E23,tbSkills!DH3:DI6,2,FALSE)+IF(AND(Calculator!B8=TRUE,Backdoors!BI33=TRUE),VLOOKUP(Calculator!E23,tbSkills!DH3:DJ6,3,FALSE),0),0))&gt;=100,100,(Backdoors!AI12+IF(HD99&gt;=0.45,VLOOKUP(Calculator!E23,tbSkills!DH3:DI6,2,FALSE)+IF(AND(Calculator!B8=TRUE,Backdoors!BI33=TRUE),VLOOKUP(Calculator!E23,tbSkills!DH3:DJ6,3,FALSE),0),0)))/100)),(1-(0.25*((-Backdoors!AI12-IF(HD99&gt;=0.45,VLOOKUP(Calculator!E23,tbSkills!DH3:DI6,2,FALSE)+IF(AND(Calculator!B8=TRUE,Backdoors!BI33=TRUE),VLOOKUP(Calculator!E23,tbSkills!DH3:DJ6,3,FALSE),0),0))/100)))),1),"")</f>
        <v>1</v>
      </c>
      <c r="HG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D99)*HF99)*(VLOOKUP(A99,tbMoveset!A2:C112,3,FALSE)/100)*IF(VLOOKUP(A99,tbMoveset!A2:B112,2,FALSE)="Projectile",Backdoors!N10,Backdoors!N9),0),"")</f>
        <v/>
      </c>
      <c r="HH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D99&gt;=0.45,VLOOKUP(Calculator!E23,tbSkills!DH3:DI6,2,FALSE)+IF(AND(Calculator!B8=TRUE,Backdoors!BI33=TRUE),VLOOKUP(Calculator!E23,tbSkills!DH3:DJ6,3,FALSE),0),0))&gt;=100,100,(Backdoors!AI12+IF(HD99&gt;=0.45,VLOOKUP(Calculator!E23,tbSkills!DH3:DI6,2,FALSE)+IF(AND(Calculator!B8=TRUE,Backdoors!BI33=TRUE),VLOOKUP(Calculator!E23,tbSkills!DH3:DJ6,3,FALSE),0),0)))/100)),1))*IF(VLOOKUP(A99,tbMoveset!A2:K112,11,FALSE)=TRUE,Backdoors!AC5,1))*HE99,0),"")</f>
        <v>0</v>
      </c>
      <c r="HI99" s="49">
        <f>VLOOKUP(A99,tbMoveset!A2:G112,7,FALSE)*IFERROR(IF(Backdoors!AI12&gt;=0,1+(IF(Calculator!E40&gt;0,VLOOKUP(Calculator!E40,tbSkills!AI3:AJ5,2,FALSE),Backdoors!AL4)*(IF((Backdoors!AI12+IF(HD99&gt;=0.45,VLOOKUP(Calculator!E23,tbSkills!DH3:DI6,2,FALSE)+IF(AND(Calculator!B8=TRUE,Backdoors!BI33=TRUE),VLOOKUP(Calculator!E23,tbSkills!DH3:DJ6,3,FALSE),0),0))&gt;=100,100,(Backdoors!AI12+IF(HD99&gt;=0.45,VLOOKUP(Calculator!E23,tbSkills!DH3:DI6,2,FALSE)+IF(AND(Calculator!B8=TRUE,Backdoors!BI33=TRUE),VLOOKUP(Calculator!E23,tbSkills!DH3:DJ6,3,FALSE),0),0)))/100)),1),1)</f>
        <v>1</v>
      </c>
      <c r="HJ99" s="87">
        <f t="shared" si="81"/>
        <v>0</v>
      </c>
      <c r="HK99" s="86" t="str">
        <f>IFERROR(IF(VLOOKUP(A99,tbMoveset!A2:B112,2,FALSE)="Sever",Backdoors!AY34/100,IF(VLOOKUP(A99,tbMoveset!A2:B112,2,FALSE)="Blunt",Backdoors!AZ34/100,Backdoors!BA34/100)),"")</f>
        <v/>
      </c>
      <c r="HL99" s="49">
        <f>IFERROR(IF(VLOOKUP(tbMoveset!A99,tbMoveset!A2:H112,8,FALSE)="Other",IF(VLOOKUP(tbMoveset!A99,tbMoveset!A2:I112,9,FALSE)="Fire",Backdoors!BB34,IF(VLOOKUP(tbMoveset!A99,tbMoveset!A2:I112,9,FALSE)="Water",Backdoors!BC34,IF(VLOOKUP(tbMoveset!A99,tbMoveset!A2:I112,9,FALSE)="Thunder",Backdoors!BD34,IF(VLOOKUP(tbMoveset!A99,tbMoveset!A2:I112,9,FALSE)="Ice",Backdoors!BE34,IF(VLOOKUP(tbMoveset!A99,tbMoveset!A2:I112,9,FALSE)="Dragon",Backdoors!BF34,Backdoors!BG34)))))/100,Backdoors!BG34/100),"")</f>
        <v>0</v>
      </c>
      <c r="HM99" s="49">
        <f>IFERROR(IF(VLOOKUP(A99,tbMoveset!A2:J112,10,FALSE)=TRUE,IF((Backdoors!AI12+IF(HK99&gt;=0.45,VLOOKUP(Calculator!E23,tbSkills!DH3:DI6,2,FALSE)+IF(AND(Calculator!B8=TRUE,Backdoors!BI34=TRUE),VLOOKUP(Calculator!E23,tbSkills!DH3:DJ6,3,FALSE),0),0))&gt;=0,1+(Backdoors!AL2*(IF((Backdoors!AI12+IF(HK99&gt;=0.45,VLOOKUP(Calculator!E23,tbSkills!DH3:DI6,2,FALSE)+IF(AND(Calculator!B8=TRUE,Backdoors!BI34=TRUE),VLOOKUP(Calculator!E23,tbSkills!DH3:DJ6,3,FALSE),0),0))&gt;=100,100,(Backdoors!AI12+IF(HK99&gt;=0.45,VLOOKUP(Calculator!E23,tbSkills!DH3:DI6,2,FALSE)+IF(AND(Calculator!B8=TRUE,Backdoors!BI34=TRUE),VLOOKUP(Calculator!E23,tbSkills!DH3:DJ6,3,FALSE),0),0)))/100)),(1-(0.25*((-Backdoors!AI12-IF(HK99&gt;=0.45,VLOOKUP(Calculator!E23,tbSkills!DH3:DI6,2,FALSE)+IF(AND(Calculator!B8=TRUE,Backdoors!BI34=TRUE),VLOOKUP(Calculator!E23,tbSkills!DH3:DJ6,3,FALSE),0),0))/100)))),1),"")</f>
        <v>1</v>
      </c>
      <c r="HN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K99)*HM99)*(VLOOKUP(A99,tbMoveset!A2:C112,3,FALSE)/100)*IF(VLOOKUP(A99,tbMoveset!A2:B112,2,FALSE)="Projectile",Backdoors!N10,Backdoors!N9),0),"")</f>
        <v/>
      </c>
      <c r="HO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K99&gt;=0.45,VLOOKUP(Calculator!E23,tbSkills!DH3:DI6,2,FALSE)+IF(AND(Calculator!B8=TRUE,Backdoors!BI34=TRUE),VLOOKUP(Calculator!E23,tbSkills!DH3:DJ6,3,FALSE),0),0))&gt;=100,100,(Backdoors!AI12+IF(HK99&gt;=0.45,VLOOKUP(Calculator!E23,tbSkills!DH3:DI6,2,FALSE)+IF(AND(Calculator!B8=TRUE,Backdoors!BI34=TRUE),VLOOKUP(Calculator!E23,tbSkills!DH3:DJ6,3,FALSE),0),0)))/100)),1))*IF(VLOOKUP(A99,tbMoveset!A2:K112,11,FALSE)=TRUE,Backdoors!AC5,1))*HL99,0),"")</f>
        <v>0</v>
      </c>
      <c r="HP99" s="49">
        <f>VLOOKUP(A99,tbMoveset!A2:G112,7,FALSE)*IFERROR(IF(Backdoors!AI12&gt;=0,1+(IF(Calculator!E40&gt;0,VLOOKUP(Calculator!E40,tbSkills!AI3:AJ5,2,FALSE),Backdoors!AL4)*(IF((Backdoors!AI12+IF(HK99&gt;=0.45,VLOOKUP(Calculator!E23,tbSkills!DH3:DI6,2,FALSE)+IF(AND(Calculator!B8=TRUE,Backdoors!BI34=TRUE),VLOOKUP(Calculator!E23,tbSkills!DH3:DJ6,3,FALSE),0),0))&gt;=100,100,(Backdoors!AI12+IF(HK99&gt;=0.45,VLOOKUP(Calculator!E23,tbSkills!DH3:DI6,2,FALSE)+IF(AND(Calculator!B8=TRUE,Backdoors!BI34=TRUE),VLOOKUP(Calculator!E23,tbSkills!DH3:DJ6,3,FALSE),0),0)))/100)),1),1)</f>
        <v>1</v>
      </c>
      <c r="HQ99" s="87">
        <f t="shared" si="82"/>
        <v>0</v>
      </c>
      <c r="HR99" s="86" t="str">
        <f>IFERROR(IF(VLOOKUP(A99,tbMoveset!A2:B112,2,FALSE)="Sever",Backdoors!AY35/100,IF(VLOOKUP(A99,tbMoveset!A2:B112,2,FALSE)="Blunt",Backdoors!AZ35/100,Backdoors!BA35/100)),"")</f>
        <v/>
      </c>
      <c r="HS99" s="49">
        <f>IFERROR(IF(VLOOKUP(tbMoveset!A99,tbMoveset!A2:H112,8,FALSE)="Other",IF(VLOOKUP(tbMoveset!A99,tbMoveset!A2:I112,9,FALSE)="Fire",Backdoors!BB35,IF(VLOOKUP(tbMoveset!A99,tbMoveset!A2:I112,9,FALSE)="Water",Backdoors!BC35,IF(VLOOKUP(tbMoveset!A99,tbMoveset!A2:I112,9,FALSE)="Thunder",Backdoors!BD35,IF(VLOOKUP(tbMoveset!A99,tbMoveset!A2:I112,9,FALSE)="Ice",Backdoors!BE35,IF(VLOOKUP(tbMoveset!A99,tbMoveset!A2:I112,9,FALSE)="Dragon",Backdoors!BF35,Backdoors!BG35)))))/100,Backdoors!BG35/100),"")</f>
        <v>0</v>
      </c>
      <c r="HT99" s="49">
        <f>IFERROR(IF(VLOOKUP(A99,tbMoveset!A2:J112,10,FALSE)=TRUE,IF((Backdoors!AI12+IF(HR99&gt;=0.45,VLOOKUP(Calculator!E23,tbSkills!DH3:DI6,2,FALSE)+IF(AND(Calculator!B8=TRUE,Backdoors!BI35=TRUE),VLOOKUP(Calculator!E23,tbSkills!DH3:DJ6,3,FALSE),0),0))&gt;=0,1+(Backdoors!AL2*(IF((Backdoors!AI12+IF(HR99&gt;=0.45,VLOOKUP(Calculator!E23,tbSkills!DH3:DI6,2,FALSE)+IF(AND(Calculator!B8=TRUE,Backdoors!BI35=TRUE),VLOOKUP(Calculator!E23,tbSkills!DH3:DJ6,3,FALSE),0),0))&gt;=100,100,(Backdoors!AI12+IF(HR99&gt;=0.45,VLOOKUP(Calculator!E23,tbSkills!DH3:DI6,2,FALSE)+IF(AND(Calculator!B8=TRUE,Backdoors!BI35=TRUE),VLOOKUP(Calculator!E23,tbSkills!DH3:DJ6,3,FALSE),0),0)))/100)),(1-(0.25*((-Backdoors!AI12-IF(HR99&gt;=0.45,VLOOKUP(Calculator!E23,tbSkills!DH3:DI6,2,FALSE)+IF(AND(Calculator!B8=TRUE,Backdoors!BI35=TRUE),VLOOKUP(Calculator!E23,tbSkills!DH3:DJ6,3,FALSE),0),0))/100)))),1),"")</f>
        <v>1</v>
      </c>
      <c r="HU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R99)*HT99)*(VLOOKUP(A99,tbMoveset!A2:C112,3,FALSE)/100)*IF(VLOOKUP(A99,tbMoveset!A2:B112,2,FALSE)="Projectile",Backdoors!N10,Backdoors!N9),0),"")</f>
        <v/>
      </c>
      <c r="HV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R99&gt;=0.45,VLOOKUP(Calculator!E23,tbSkills!DH3:DI6,2,FALSE)+IF(AND(Calculator!B8=TRUE,Backdoors!BI35=TRUE),VLOOKUP(Calculator!E23,tbSkills!DH3:DJ6,3,FALSE),0),0))&gt;=100,100,(Backdoors!AI12+IF(HR99&gt;=0.45,VLOOKUP(Calculator!E23,tbSkills!DH3:DI6,2,FALSE)+IF(AND(Calculator!B8=TRUE,Backdoors!BI35=TRUE),VLOOKUP(Calculator!E23,tbSkills!DH3:DJ6,3,FALSE),0),0)))/100)),1))*IF(VLOOKUP(A99,tbMoveset!A2:K112,11,FALSE)=TRUE,Backdoors!AC5,1))*HS99,0),"")</f>
        <v>0</v>
      </c>
      <c r="HW99" s="49">
        <f>VLOOKUP(A99,tbMoveset!A2:G112,7,FALSE)*IFERROR(IF(Backdoors!AI12&gt;=0,1+(IF(Calculator!E40&gt;0,VLOOKUP(Calculator!E40,tbSkills!AI3:AJ5,2,FALSE),Backdoors!AL4)*(IF((Backdoors!AI12+IF(HR99&gt;=0.45,VLOOKUP(Calculator!E23,tbSkills!DH3:DI6,2,FALSE)+IF(AND(Calculator!B8=TRUE,Backdoors!BI35=TRUE),VLOOKUP(Calculator!E23,tbSkills!DH3:DJ6,3,FALSE),0),0))&gt;=100,100,(Backdoors!AI12+IF(HR99&gt;=0.45,VLOOKUP(Calculator!E23,tbSkills!DH3:DI6,2,FALSE)+IF(AND(Calculator!B8=TRUE,Backdoors!BI35=TRUE),VLOOKUP(Calculator!E23,tbSkills!DH3:DJ6,3,FALSE),0),0)))/100)),1),1)</f>
        <v>1</v>
      </c>
      <c r="HX99" s="87">
        <f t="shared" si="83"/>
        <v>0</v>
      </c>
      <c r="HY99" s="86" t="str">
        <f>IFERROR(IF(VLOOKUP(A99,tbMoveset!A2:B112,2,FALSE)="Sever",Backdoors!AY36/100,IF(VLOOKUP(A99,tbMoveset!A2:B112,2,FALSE)="Blunt",Backdoors!AZ36/100,Backdoors!BA36/100)),"")</f>
        <v/>
      </c>
      <c r="HZ99" s="49">
        <f>IFERROR(IF(VLOOKUP(tbMoveset!A99,tbMoveset!A2:H112,8,FALSE)="Other",IF(VLOOKUP(tbMoveset!A99,tbMoveset!A2:I112,9,FALSE)="Fire",Backdoors!BB36,IF(VLOOKUP(tbMoveset!A99,tbMoveset!A2:I112,9,FALSE)="Water",Backdoors!BC36,IF(VLOOKUP(tbMoveset!A99,tbMoveset!A2:I112,9,FALSE)="Thunder",Backdoors!BD36,IF(VLOOKUP(tbMoveset!A99,tbMoveset!A2:I112,9,FALSE)="Ice",Backdoors!BE36,IF(VLOOKUP(tbMoveset!A99,tbMoveset!A2:I112,9,FALSE)="Dragon",Backdoors!BF36,Backdoors!BG36)))))/100,Backdoors!BG36/100),"")</f>
        <v>0</v>
      </c>
      <c r="IA99" s="49">
        <f>IFERROR(IF(VLOOKUP(A99,tbMoveset!A2:J112,10,FALSE)=TRUE,IF((Backdoors!AI12+IF(HY99&gt;=0.45,VLOOKUP(Calculator!E23,tbSkills!DH3:DI6,2,FALSE)+IF(AND(Calculator!B8=TRUE,Backdoors!BI36=TRUE),VLOOKUP(Calculator!E23,tbSkills!DH3:DJ6,3,FALSE),0),0))&gt;=0,1+(Backdoors!AL2*(IF((Backdoors!AI12+IF(HY99&gt;=0.45,VLOOKUP(Calculator!E23,tbSkills!DH3:DI6,2,FALSE)+IF(AND(Calculator!B8=TRUE,Backdoors!BI36=TRUE),VLOOKUP(Calculator!E23,tbSkills!DH3:DJ6,3,FALSE),0),0))&gt;=100,100,(Backdoors!AI12+IF(HY99&gt;=0.45,VLOOKUP(Calculator!E23,tbSkills!DH3:DI6,2,FALSE)+IF(AND(Calculator!B8=TRUE,Backdoors!BI36=TRUE),VLOOKUP(Calculator!E23,tbSkills!DH3:DJ6,3,FALSE),0),0)))/100)),(1-(0.25*((-Backdoors!AI12-IF(HY99&gt;=0.45,VLOOKUP(Calculator!E23,tbSkills!DH3:DI6,2,FALSE)+IF(AND(Calculator!B8=TRUE,Backdoors!BI36=TRUE),VLOOKUP(Calculator!E23,tbSkills!DH3:DJ6,3,FALSE),0),0))/100)))),1),"")</f>
        <v>1</v>
      </c>
      <c r="IB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Y99)*IA99)*(VLOOKUP(A99,tbMoveset!A2:C112,3,FALSE)/100)*IF(VLOOKUP(A99,tbMoveset!A2:B112,2,FALSE)="Projectile",Backdoors!N10,Backdoors!N9),0),"")</f>
        <v/>
      </c>
      <c r="IC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Y99&gt;=0.45,VLOOKUP(Calculator!E23,tbSkills!DH3:DI6,2,FALSE)+IF(AND(Calculator!B8=TRUE,Backdoors!BI36=TRUE),VLOOKUP(Calculator!E23,tbSkills!DH3:DJ6,3,FALSE),0),0))&gt;=100,100,(Backdoors!AI12+IF(HY99&gt;=0.45,VLOOKUP(Calculator!E23,tbSkills!DH3:DI6,2,FALSE)+IF(AND(Calculator!B8=TRUE,Backdoors!BI36=TRUE),VLOOKUP(Calculator!E23,tbSkills!DH3:DJ6,3,FALSE),0),0)))/100)),1))*IF(VLOOKUP(A99,tbMoveset!A2:K112,11,FALSE)=TRUE,Backdoors!AC5,1))*HZ99,0),"")</f>
        <v>0</v>
      </c>
      <c r="ID99" s="49">
        <f>VLOOKUP(A99,tbMoveset!A2:G112,7,FALSE)*IFERROR(IF(Backdoors!AI12&gt;=0,1+(IF(Calculator!E40&gt;0,VLOOKUP(Calculator!E40,tbSkills!AI3:AJ5,2,FALSE),Backdoors!AL4)*(IF((Backdoors!AI12+IF(HY99&gt;=0.45,VLOOKUP(Calculator!E23,tbSkills!DH3:DI6,2,FALSE)+IF(AND(Calculator!B8=TRUE,Backdoors!BI36=TRUE),VLOOKUP(Calculator!E23,tbSkills!DH3:DJ6,3,FALSE),0),0))&gt;=100,100,(Backdoors!AI12+IF(HY99&gt;=0.45,VLOOKUP(Calculator!E23,tbSkills!DH3:DI6,2,FALSE)+IF(AND(Calculator!B8=TRUE,Backdoors!BI36=TRUE),VLOOKUP(Calculator!E23,tbSkills!DH3:DJ6,3,FALSE),0),0)))/100)),1),1)</f>
        <v>1</v>
      </c>
      <c r="IE99" s="87">
        <f t="shared" si="84"/>
        <v>0</v>
      </c>
      <c r="IF99" s="86" t="str">
        <f>IFERROR(IF(VLOOKUP(A99,tbMoveset!A2:B112,2,FALSE)="Sever",Backdoors!AY37/100,IF(VLOOKUP(A99,tbMoveset!A2:B112,2,FALSE)="Blunt",Backdoors!AZ37/100,Backdoors!BA37/100)),"")</f>
        <v/>
      </c>
      <c r="IG99" s="49">
        <f>IFERROR(IF(VLOOKUP(tbMoveset!A99,tbMoveset!A2:H112,8,FALSE)="Other",IF(VLOOKUP(tbMoveset!A99,tbMoveset!A2:I112,9,FALSE)="Fire",Backdoors!BB37,IF(VLOOKUP(tbMoveset!A99,tbMoveset!A2:I112,9,FALSE)="Water",Backdoors!BC37,IF(VLOOKUP(tbMoveset!A99,tbMoveset!A2:I112,9,FALSE)="Thunder",Backdoors!BD37,IF(VLOOKUP(tbMoveset!A99,tbMoveset!A2:I112,9,FALSE)="Ice",Backdoors!BE37,IF(VLOOKUP(tbMoveset!A99,tbMoveset!A2:I112,9,FALSE)="Dragon",Backdoors!BF37,Backdoors!BG37)))))/100,Backdoors!BG37/100),"")</f>
        <v>0</v>
      </c>
      <c r="IH99" s="49">
        <f>IFERROR(IF(VLOOKUP(A99,tbMoveset!A2:J112,10,FALSE)=TRUE,IF((Backdoors!AI12+IF(IF99&gt;=0.45,VLOOKUP(Calculator!E23,tbSkills!DH3:DI6,2,FALSE)+IF(AND(Calculator!B8=TRUE,Backdoors!BI37=TRUE),VLOOKUP(Calculator!E23,tbSkills!DH3:DJ6,3,FALSE),0),0))&gt;=0,1+(Backdoors!AL2*(IF((Backdoors!AI12+IF(IF99&gt;=0.45,VLOOKUP(Calculator!E23,tbSkills!DH3:DI6,2,FALSE)+IF(AND(Calculator!B8=TRUE,Backdoors!BI37=TRUE),VLOOKUP(Calculator!E23,tbSkills!DH3:DJ6,3,FALSE),0),0))&gt;=100,100,(Backdoors!AI12+IF(IF99&gt;=0.45,VLOOKUP(Calculator!E23,tbSkills!DH3:DI6,2,FALSE)+IF(AND(Calculator!B8=TRUE,Backdoors!BI37=TRUE),VLOOKUP(Calculator!E23,tbSkills!DH3:DJ6,3,FALSE),0),0)))/100)),(1-(0.25*((-Backdoors!AI12-IF(IF99&gt;=0.45,VLOOKUP(Calculator!E23,tbSkills!DH3:DI6,2,FALSE)+IF(AND(Calculator!B8=TRUE,Backdoors!BI37=TRUE),VLOOKUP(Calculator!E23,tbSkills!DH3:DJ6,3,FALSE),0),0))/100)))),1),"")</f>
        <v>1</v>
      </c>
      <c r="II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F99)*IH99)*(VLOOKUP(A99,tbMoveset!A2:C112,3,FALSE)/100)*IF(VLOOKUP(A99,tbMoveset!A2:B112,2,FALSE)="Projectile",Backdoors!N10,Backdoors!N9),0),"")</f>
        <v/>
      </c>
      <c r="IJ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IF99&gt;=0.45,VLOOKUP(Calculator!E23,tbSkills!DH3:DI6,2,FALSE)+IF(AND(Calculator!B8=TRUE,Backdoors!BI37=TRUE),VLOOKUP(Calculator!E23,tbSkills!DH3:DJ6,3,FALSE),0),0))&gt;=100,100,(Backdoors!AI12+IF(IF99&gt;=0.45,VLOOKUP(Calculator!E23,tbSkills!DH3:DI6,2,FALSE)+IF(AND(Calculator!B8=TRUE,Backdoors!BI37=TRUE),VLOOKUP(Calculator!E23,tbSkills!DH3:DJ6,3,FALSE),0),0)))/100)),1))*IF(VLOOKUP(A99,tbMoveset!A2:K112,11,FALSE)=TRUE,Backdoors!AC5,1))*IG99,0),"")</f>
        <v>0</v>
      </c>
      <c r="IK99" s="49">
        <f>VLOOKUP(A99,tbMoveset!A2:G112,7,FALSE)*IFERROR(IF(Backdoors!AI12&gt;=0,1+(IF(Calculator!E40&gt;0,VLOOKUP(Calculator!E40,tbSkills!AI3:AJ5,2,FALSE),Backdoors!AL4)*(IF((Backdoors!AI12+IF(IF99&gt;=0.45,VLOOKUP(Calculator!E23,tbSkills!DH3:DI6,2,FALSE)+IF(AND(Calculator!B8=TRUE,Backdoors!BI37=TRUE),VLOOKUP(Calculator!E23,tbSkills!DH3:DJ6,3,FALSE),0),0))&gt;=100,100,(Backdoors!AI12+IF(IF99&gt;=0.45,VLOOKUP(Calculator!E23,tbSkills!DH3:DI6,2,FALSE)+IF(AND(Calculator!B8=TRUE,Backdoors!BI37=TRUE),VLOOKUP(Calculator!E23,tbSkills!DH3:DJ6,3,FALSE),0),0)))/100)),1),1)</f>
        <v>1</v>
      </c>
      <c r="IL99" s="87">
        <f t="shared" si="85"/>
        <v>0</v>
      </c>
      <c r="IM99" s="86" t="str">
        <f>IFERROR(IF(VLOOKUP(A99,tbMoveset!A2:B112,2,FALSE)="Sever",Backdoors!AY38/100,IF(VLOOKUP(A99,tbMoveset!A2:B112,2,FALSE)="Blunt",Backdoors!AZ38/100,Backdoors!BA38/100)),"")</f>
        <v/>
      </c>
      <c r="IN99" s="49">
        <f>IFERROR(IF(VLOOKUP(tbMoveset!A99,tbMoveset!A2:H112,8,FALSE)="Other",IF(VLOOKUP(tbMoveset!A99,tbMoveset!A2:I112,9,FALSE)="Fire",Backdoors!BB38,IF(VLOOKUP(tbMoveset!A99,tbMoveset!A2:I112,9,FALSE)="Water",Backdoors!BC38,IF(VLOOKUP(tbMoveset!A99,tbMoveset!A2:I112,9,FALSE)="Thunder",Backdoors!BD38,IF(VLOOKUP(tbMoveset!A99,tbMoveset!A2:I112,9,FALSE)="Ice",Backdoors!BE38,IF(VLOOKUP(tbMoveset!A99,tbMoveset!A2:I112,9,FALSE)="Dragon",Backdoors!BF38,Backdoors!BG38)))))/100,Backdoors!BG38/100),"")</f>
        <v>0</v>
      </c>
      <c r="IO99" s="49">
        <f>IFERROR(IF(VLOOKUP(A99,tbMoveset!A2:J112,10,FALSE)=TRUE,IF((Backdoors!AI12+IF(IM99&gt;=0.45,VLOOKUP(Calculator!E23,tbSkills!DH3:DI6,2,FALSE)+IF(AND(Calculator!B8=TRUE,Backdoors!BI38=TRUE),VLOOKUP(Calculator!E23,tbSkills!DH3:DJ6,3,FALSE),0),0))&gt;=0,1+(Backdoors!AL2*(IF((Backdoors!AI12+IF(IM99&gt;=0.45,VLOOKUP(Calculator!E23,tbSkills!DH3:DI6,2,FALSE)+IF(AND(Calculator!B8=TRUE,Backdoors!BI38=TRUE),VLOOKUP(Calculator!E23,tbSkills!DH3:DJ6,3,FALSE),0),0))&gt;=100,100,(Backdoors!AI12+IF(IM99&gt;=0.45,VLOOKUP(Calculator!E23,tbSkills!DH3:DI6,2,FALSE)+IF(AND(Calculator!B8=TRUE,Backdoors!BI38=TRUE),VLOOKUP(Calculator!E23,tbSkills!DH3:DJ6,3,FALSE),0),0)))/100)),(1-(0.25*((-Backdoors!AI12-IF(IM99&gt;=0.45,VLOOKUP(Calculator!E23,tbSkills!DH3:DI6,2,FALSE)+IF(AND(Calculator!B8=TRUE,Backdoors!BI38=TRUE),VLOOKUP(Calculator!E23,tbSkills!DH3:DJ6,3,FALSE),0),0))/100)))),1),"")</f>
        <v>1</v>
      </c>
      <c r="IP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M99)*IO99)*(VLOOKUP(A99,tbMoveset!A2:C112,3,FALSE)/100)*IF(VLOOKUP(A99,tbMoveset!A2:B112,2,FALSE)="Projectile",Backdoors!N10,Backdoors!N9),0),"")</f>
        <v/>
      </c>
      <c r="IQ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IM99&gt;=0.45,VLOOKUP(Calculator!E23,tbSkills!DH3:DI6,2,FALSE)+IF(AND(Calculator!B8=TRUE,Backdoors!BI38=TRUE),VLOOKUP(Calculator!E23,tbSkills!DH3:DJ6,3,FALSE),0),0))&gt;=100,100,(Backdoors!AI12+IF(IM99&gt;=0.45,VLOOKUP(Calculator!E23,tbSkills!DH3:DI6,2,FALSE)+IF(AND(Calculator!B8=TRUE,Backdoors!BI38=TRUE),VLOOKUP(Calculator!E23,tbSkills!DH3:DJ6,3,FALSE),0),0)))/100)),1))*IF(VLOOKUP(A99,tbMoveset!A2:K112,11,FALSE)=TRUE,Backdoors!AC5,1))*IN99,0),"")</f>
        <v>0</v>
      </c>
      <c r="IR99" s="49">
        <f>VLOOKUP(A99,tbMoveset!A2:G112,7,FALSE)*IFERROR(IF(Backdoors!AI12&gt;=0,1+(IF(Calculator!E40&gt;0,VLOOKUP(Calculator!E40,tbSkills!AI3:AJ5,2,FALSE),Backdoors!AL4)*(IF((Backdoors!AI12+IF(IM99&gt;=0.45,VLOOKUP(Calculator!E23,tbSkills!DH3:DI6,2,FALSE)+IF(AND(Calculator!B8=TRUE,Backdoors!BI38=TRUE),VLOOKUP(Calculator!E23,tbSkills!DH3:DJ6,3,FALSE),0),0))&gt;=100,100,(Backdoors!AI12+IF(IM99&gt;=0.45,VLOOKUP(Calculator!E23,tbSkills!DH3:DI6,2,FALSE)+IF(AND(Calculator!B8=TRUE,Backdoors!BI38=TRUE),VLOOKUP(Calculator!E23,tbSkills!DH3:DJ6,3,FALSE),0),0)))/100)),1),1)</f>
        <v>1</v>
      </c>
      <c r="IS99" s="87">
        <f t="shared" si="86"/>
        <v>0</v>
      </c>
      <c r="IT99" s="86" t="str">
        <f>IFERROR(IF(VLOOKUP(A99,tbMoveset!A2:B112,2,FALSE)="Sever",Backdoors!AY39/100,IF(VLOOKUP(A99,tbMoveset!A2:B112,2,FALSE)="Blunt",Backdoors!AZ39/100,Backdoors!BA39/100)),"")</f>
        <v/>
      </c>
      <c r="IU99" s="49">
        <f>IFERROR(IF(VLOOKUP(tbMoveset!A99,tbMoveset!A2:H112,8,FALSE)="Other",IF(VLOOKUP(tbMoveset!A99,tbMoveset!A2:I112,9,FALSE)="Fire",Backdoors!BB39,IF(VLOOKUP(tbMoveset!A99,tbMoveset!A2:I112,9,FALSE)="Water",Backdoors!BC39,IF(VLOOKUP(tbMoveset!A99,tbMoveset!A2:I112,9,FALSE)="Thunder",Backdoors!BD39,IF(VLOOKUP(tbMoveset!A99,tbMoveset!A2:I112,9,FALSE)="Ice",Backdoors!BE39,IF(VLOOKUP(tbMoveset!A99,tbMoveset!A2:I112,9,FALSE)="Dragon",Backdoors!BF39,Backdoors!BG39)))))/100,Backdoors!BG39/100),"")</f>
        <v>0</v>
      </c>
      <c r="IV99" s="49">
        <f>IFERROR(IF(VLOOKUP(A99,tbMoveset!A2:J112,10,FALSE)=TRUE,IF((Backdoors!AI12+IF(IT99&gt;=0.45,VLOOKUP(Calculator!E23,tbSkills!DH3:DI6,2,FALSE)+IF(AND(Calculator!B8=TRUE,Backdoors!BI39=TRUE),VLOOKUP(Calculator!E23,tbSkills!DH3:DJ6,3,FALSE),0),0))&gt;=0,1+(Backdoors!AL2*(IF((Backdoors!AI12+IF(IT99&gt;=0.45,VLOOKUP(Calculator!E23,tbSkills!DH3:DI6,2,FALSE)+IF(AND(Calculator!B8=TRUE,Backdoors!BI39=TRUE),VLOOKUP(Calculator!E23,tbSkills!DH3:DJ6,3,FALSE),0),0))&gt;=100,100,(Backdoors!AI12+IF(IT99&gt;=0.45,VLOOKUP(Calculator!E23,tbSkills!DH3:DI6,2,FALSE)+IF(AND(Calculator!B8=TRUE,Backdoors!BI39=TRUE),VLOOKUP(Calculator!E23,tbSkills!DH3:DJ6,3,FALSE),0),0)))/100)),(1-(0.25*((-Backdoors!AI12-IF(IT99&gt;=0.45,VLOOKUP(Calculator!E23,tbSkills!DH3:DI6,2,FALSE)+IF(AND(Calculator!B8=TRUE,Backdoors!BI39=TRUE),VLOOKUP(Calculator!E23,tbSkills!DH3:DJ6,3,FALSE),0),0))/100)))),1),"")</f>
        <v>1</v>
      </c>
      <c r="IW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T99)*IV99)*(VLOOKUP(A99,tbMoveset!A2:C112,3,FALSE)/100)*IF(VLOOKUP(A99,tbMoveset!A2:B112,2,FALSE)="Projectile",Backdoors!N10,Backdoors!N9),0),"")</f>
        <v/>
      </c>
      <c r="IX99" s="49">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40&gt;0,VLOOKUP(Calculator!E40,tbSkills!AC3:AD5,2,FALSE),Backdoors!AL3)*(IF((Backdoors!AI12+IF(IT99&gt;=0.45,VLOOKUP(Calculator!E23,tbSkills!DH3:DI6,2,FALSE)+IF(AND(Calculator!B8=TRUE,Backdoors!BI39=TRUE),VLOOKUP(Calculator!E23,tbSkills!DH3:DJ6,3,FALSE),0),0))&gt;=100,100,(Backdoors!AI12+IF(IT99&gt;=0.45,VLOOKUP(Calculator!E23,tbSkills!DH3:DI6,2,FALSE)+IF(AND(Calculator!B8=TRUE,Backdoors!BI39=TRUE),VLOOKUP(Calculator!E23,tbSkills!DH3:DJ6,3,FALSE),0),0)))/100)),1))*IF(VLOOKUP(A99,tbMoveset!A2:K112,11,FALSE)=TRUE,Backdoors!AC5,1))*IU99,0),"")</f>
        <v>0</v>
      </c>
      <c r="IY99" s="49">
        <f>VLOOKUP(A99,tbMoveset!A2:G112,7,FALSE)*IFERROR(IF(Backdoors!AI12&gt;=0,1+(IF(Calculator!E40&gt;0,VLOOKUP(Calculator!E40,tbSkills!AI3:AJ5,2,FALSE),Backdoors!AL4)*(IF((Backdoors!AI12+IF(IT99&gt;=0.45,VLOOKUP(Calculator!E23,tbSkills!DH3:DI6,2,FALSE)+IF(AND(Calculator!B8=TRUE,Backdoors!BI39=TRUE),VLOOKUP(Calculator!E23,tbSkills!DH3:DJ6,3,FALSE),0),0))&gt;=100,100,(Backdoors!AI12+IF(IT99&gt;=0.45,VLOOKUP(Calculator!E23,tbSkills!DH3:DI6,2,FALSE)+IF(AND(Calculator!B8=TRUE,Backdoors!BI39=TRUE),VLOOKUP(Calculator!E23,tbSkills!DH3:DJ6,3,FALSE),0),0)))/100)),1),1)</f>
        <v>1</v>
      </c>
      <c r="IZ99" s="87">
        <f t="shared" si="87"/>
        <v>0</v>
      </c>
      <c r="JA99" s="86" t="str">
        <f>IFERROR(IF(VLOOKUP(A99,tbMoveset!A2:B112,2,FALSE)="Sever",Backdoors!AY40/100,IF(VLOOKUP(A99,tbMoveset!A2:B112,2,FALSE)="Blunt",Backdoors!AZ40/100,Backdoors!BA40/100)),"")</f>
        <v/>
      </c>
      <c r="JB99" s="49">
        <f>IFERROR(IF(VLOOKUP(tbMoveset!A99,tbMoveset!A2:H112,8,FALSE)="Other",IF(VLOOKUP(tbMoveset!A99,tbMoveset!A2:I112,9,FALSE)="Fire",Backdoors!BB40,IF(VLOOKUP(tbMoveset!A99,tbMoveset!A2:I112,9,FALSE)="Water",Backdoors!BC40,IF(VLOOKUP(tbMoveset!A99,tbMoveset!A2:I112,9,FALSE)="Thunder",Backdoors!BD40,IF(VLOOKUP(tbMoveset!A99,tbMoveset!A2:I112,9,FALSE)="Ice",Backdoors!BE40,IF(VLOOKUP(tbMoveset!A99,tbMoveset!A2:I112,9,FALSE)="Dragon",Backdoors!BF40,Backdoors!BG40)))))/100,Backdoors!BG40/100),"")</f>
        <v>0</v>
      </c>
      <c r="JC99" s="49">
        <f>IFERROR(IF(VLOOKUP(A99,tbMoveset!A2:J112,10,FALSE)=TRUE,IF((Backdoors!AI12+IF(JA99&gt;=0.45,VLOOKUP(Calculator!E23,tbSkills!DH3:DI6,2,FALSE)+IF(AND(Calculator!B8=TRUE,Backdoors!BI40=TRUE),VLOOKUP(Calculator!E23,tbSkills!DH3:DJ6,3,FALSE),0),0))&gt;=0,1+(Backdoors!AL2*(IF((Backdoors!AI12+IF(JA99&gt;=0.45,VLOOKUP(Calculator!E23,tbSkills!DH3:DI6,2,FALSE)+IF(AND(Calculator!B8=TRUE,Backdoors!BI40=TRUE),VLOOKUP(Calculator!E23,tbSkills!DH3:DJ6,3,FALSE),0),0))&gt;=100,100,(Backdoors!AI12+IF(JA99&gt;=0.45,VLOOKUP(Calculator!E23,tbSkills!DH3:DI6,2,FALSE)+IF(AND(Calculator!B8=TRUE,Backdoors!BI40=TRUE),VLOOKUP(Calculator!E23,tbSkills!DH3:DJ6,3,FALSE),0),0)))/100)),(1-(0.25*((-Backdoors!AI12-IF(JA99&gt;=0.45,VLOOKUP(Calculator!E23,tbSkills!DH3:DI6,2,FALSE)+IF(AND(Calculator!B8=TRUE,Backdoors!BI40=TRUE),VLOOKUP(Calculator!E23,tbSkills!DH3:DJ6,3,FALSE),0),0))/100)))),1),"")</f>
        <v>1</v>
      </c>
      <c r="JD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A99)*JC99)*(VLOOKUP(A99,tbMoveset!A2:C112,3,FALSE)/100)*IF(VLOOKUP(A99,tbMoveset!A2:B112,2,FALSE)="Projectile",Backdoors!N10,Backdoors!N9),0),"")</f>
        <v/>
      </c>
      <c r="JE99" s="49">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42&gt;0,VLOOKUP(Calculator!E42,tbSkills!AC3:AD5,2,FALSE),Backdoors!AL3)*(IF((Backdoors!AI12+IF(JA99&gt;=0.45,VLOOKUP(Calculator!E23,tbSkills!DH3:DI6,2,FALSE)+IF(AND(Calculator!B8=TRUE,Backdoors!BI40=TRUE),VLOOKUP(Calculator!E23,tbSkills!DH3:DJ6,3,FALSE),0),0))&gt;=100,100,(Backdoors!AI12+IF(JA99&gt;=0.45,VLOOKUP(Calculator!E23,tbSkills!DH3:DI6,2,FALSE)+IF(AND(Calculator!B8=TRUE,Backdoors!BI40=TRUE),VLOOKUP(Calculator!E23,tbSkills!DH3:DJ6,3,FALSE),0),0)))/100)),1))*IF(VLOOKUP(A99,tbMoveset!A2:K112,11,FALSE)=TRUE,Backdoors!AC5,1))*JB99,0),"")</f>
        <v>0</v>
      </c>
      <c r="JF99" s="49">
        <f>VLOOKUP(A99,tbMoveset!A2:G112,7,FALSE)*IFERROR(IF(Backdoors!AI12&gt;=0,1+(IF(Calculator!E40&gt;0,VLOOKUP(Calculator!E40,tbSkills!AI3:AJ5,2,FALSE),Backdoors!AL4)*(IF((Backdoors!AI12+IF(JA99&gt;=0.45,VLOOKUP(Calculator!E23,tbSkills!DH3:DI6,2,FALSE)+IF(AND(Calculator!B8=TRUE,Backdoors!BI40=TRUE),VLOOKUP(Calculator!E23,tbSkills!DH3:DJ6,3,FALSE),0),0))&gt;=100,100,(Backdoors!AI12+IF(JA99&gt;=0.45,VLOOKUP(Calculator!E23,tbSkills!DH3:DI6,2,FALSE)+IF(AND(Calculator!B8=TRUE,Backdoors!BI40=TRUE),VLOOKUP(Calculator!E23,tbSkills!DH3:DJ6,3,FALSE),0),0)))/100)),1),1)</f>
        <v>1</v>
      </c>
      <c r="JG99" s="87">
        <f t="shared" si="88"/>
        <v>0</v>
      </c>
      <c r="JH99" s="86" t="str">
        <f>IFERROR(IF(VLOOKUP(A99,tbMoveset!A2:B112,2,FALSE)="Sever",Backdoors!AY41/100,IF(VLOOKUP(A99,tbMoveset!A2:B112,2,FALSE)="Blunt",Backdoors!AZ41/100,Backdoors!BA41/100)),"")</f>
        <v/>
      </c>
      <c r="JI99" s="49">
        <f>IFERROR(IF(VLOOKUP(tbMoveset!A99,tbMoveset!A2:H112,8,FALSE)="Other",IF(VLOOKUP(tbMoveset!A99,tbMoveset!A2:I112,9,FALSE)="Fire",Backdoors!BB41,IF(VLOOKUP(tbMoveset!A99,tbMoveset!A2:I112,9,FALSE)="Water",Backdoors!BC41,IF(VLOOKUP(tbMoveset!A99,tbMoveset!A2:I112,9,FALSE)="Thunder",Backdoors!BD41,IF(VLOOKUP(tbMoveset!A99,tbMoveset!A2:I112,9,FALSE)="Ice",Backdoors!BE41,IF(VLOOKUP(tbMoveset!A99,tbMoveset!A2:I112,9,FALSE)="Dragon",Backdoors!BF41,Backdoors!BG41)))))/100,Backdoors!BG41/100),"")</f>
        <v>0</v>
      </c>
      <c r="JJ99" s="49">
        <f>IFERROR(IF(VLOOKUP(A99,tbMoveset!A2:J112,10,FALSE)=TRUE,IF((Backdoors!AI12+IF(JH99&gt;=0.45,VLOOKUP(Calculator!E23,tbSkills!DH3:DI6,2,FALSE)+IF(AND(Calculator!B8=TRUE,Backdoors!BI41=TRUE),VLOOKUP(Calculator!E23,tbSkills!DH3:DJ6,3,FALSE),0),0))&gt;=0,1+(Backdoors!AL2*(IF((Backdoors!AI12+IF(JH99&gt;=0.45,VLOOKUP(Calculator!E23,tbSkills!DH3:DI6,2,FALSE)+IF(AND(Calculator!B8=TRUE,Backdoors!BI41=TRUE),VLOOKUP(Calculator!E23,tbSkills!DH3:DJ6,3,FALSE),0),0))&gt;=100,100,(Backdoors!AI12+IF(JH99&gt;=0.45,VLOOKUP(Calculator!E23,tbSkills!DH3:DI6,2,FALSE)+IF(AND(Calculator!B8=TRUE,Backdoors!BI41=TRUE),VLOOKUP(Calculator!E23,tbSkills!DH3:DJ6,3,FALSE),0),0)))/100)),(1-(0.25*((-Backdoors!AI12-IF(JH99&gt;=0.45,VLOOKUP(Calculator!E23,tbSkills!DH3:DI6,2,FALSE)+IF(AND(Calculator!B8=TRUE,Backdoors!BI41=TRUE),VLOOKUP(Calculator!E23,tbSkills!DH3:DJ6,3,FALSE),0),0))/100)))),1),"")</f>
        <v>1</v>
      </c>
      <c r="JK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H99)*JJ99)*(VLOOKUP(A99,tbMoveset!A2:C112,3,FALSE)/100)*IF(VLOOKUP(A99,tbMoveset!A2:B112,2,FALSE)="Projectile",Backdoors!N10,Backdoors!N9),0),"")</f>
        <v/>
      </c>
      <c r="JL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43&gt;0,VLOOKUP(Calculator!E43,tbSkills!AC3:AD5,2,FALSE),Backdoors!AL3)*(IF((Backdoors!AI12+IF(JH99&gt;=0.45,VLOOKUP(Calculator!E23,tbSkills!DH3:DI6,2,FALSE)+IF(AND(Calculator!B8=TRUE,Backdoors!BI41=TRUE),VLOOKUP(Calculator!E23,tbSkills!DH3:DJ6,3,FALSE),0),0))&gt;=100,100,(Backdoors!AI12+IF(JH99&gt;=0.45,VLOOKUP(Calculator!E23,tbSkills!DH3:DI6,2,FALSE)+IF(AND(Calculator!B8=TRUE,Backdoors!BI41=TRUE),VLOOKUP(Calculator!E23,tbSkills!DH3:DJ6,3,FALSE),0),0)))/100)),1))*IF(VLOOKUP(A99,tbMoveset!A2:K112,11,FALSE)=TRUE,Backdoors!AC5,1))*JI99,0),"")</f>
        <v/>
      </c>
      <c r="JM99" s="49">
        <f>VLOOKUP(A99,tbMoveset!A2:G112,7,FALSE)*IFERROR(IF(Backdoors!AI12&gt;=0,1+(IF(Calculator!E40&gt;0,VLOOKUP(Calculator!E40,tbSkills!AI3:AJ5,2,FALSE),Backdoors!AL4)*(IF((Backdoors!AI12+IF(JH99&gt;=0.45,VLOOKUP(Calculator!E23,tbSkills!DH3:DI6,2,FALSE)+IF(AND(Calculator!B8=TRUE,Backdoors!BI41=TRUE),VLOOKUP(Calculator!E23,tbSkills!DH3:DJ6,3,FALSE),0),0))&gt;=100,100,(Backdoors!AI12+IF(JH99&gt;=0.45,VLOOKUP(Calculator!E23,tbSkills!DH3:DI6,2,FALSE)+IF(AND(Calculator!B8=TRUE,Backdoors!BI41=TRUE),VLOOKUP(Calculator!E23,tbSkills!DH3:DJ6,3,FALSE),0),0)))/100)),1),1)</f>
        <v>1</v>
      </c>
      <c r="JN99" s="87">
        <f t="shared" si="89"/>
        <v>0</v>
      </c>
      <c r="JO99" s="86" t="str">
        <f>IFERROR(IF(VLOOKUP(A99,tbMoveset!A2:B112,2,FALSE)="Sever",Backdoors!AY42/100,IF(VLOOKUP(A99,tbMoveset!A2:B112,2,FALSE)="Blunt",Backdoors!AZ42/100,Backdoors!BA42/100)),"")</f>
        <v/>
      </c>
      <c r="JP99" s="49">
        <f>IFERROR(IF(VLOOKUP(tbMoveset!A99,tbMoveset!A2:H112,8,FALSE)="Other",IF(VLOOKUP(tbMoveset!A99,tbMoveset!A2:I112,9,FALSE)="Fire",Backdoors!BB42,IF(VLOOKUP(tbMoveset!A99,tbMoveset!A2:I112,9,FALSE)="Water",Backdoors!BC42,IF(VLOOKUP(tbMoveset!A99,tbMoveset!A2:I112,9,FALSE)="Thunder",Backdoors!BD42,IF(VLOOKUP(tbMoveset!A99,tbMoveset!A2:I112,9,FALSE)="Ice",Backdoors!BE42,IF(VLOOKUP(tbMoveset!A99,tbMoveset!A2:I112,9,FALSE)="Dragon",Backdoors!BF42,Backdoors!BG42)))))/100,Backdoors!BG42/100),"")</f>
        <v>0</v>
      </c>
      <c r="JQ99" s="49">
        <f>IFERROR(IF(VLOOKUP(A99,tbMoveset!A2:J112,10,FALSE)=TRUE,IF((Backdoors!AI12+IF(JO99&gt;=0.45,VLOOKUP(Calculator!E23,tbSkills!DH3:DI6,2,FALSE)+IF(AND(Calculator!B8=TRUE,Backdoors!BI42=TRUE),VLOOKUP(Calculator!E23,tbSkills!DH3:DJ6,3,FALSE),0),0))&gt;=0,1+(Backdoors!AL2*(IF((Backdoors!AI12+IF(JO99&gt;=0.45,VLOOKUP(Calculator!E23,tbSkills!DH3:DI6,2,FALSE)+IF(AND(Calculator!B8=TRUE,Backdoors!BI42=TRUE),VLOOKUP(Calculator!E23,tbSkills!DH3:DJ6,3,FALSE),0),0))&gt;=100,100,(Backdoors!AI12+IF(JO99&gt;=0.45,VLOOKUP(Calculator!E23,tbSkills!DH3:DI6,2,FALSE)+IF(AND(Calculator!B8=TRUE,Backdoors!BI42=TRUE),VLOOKUP(Calculator!E23,tbSkills!DH3:DJ6,3,FALSE),0),0)))/100)),(1-(0.25*((-Backdoors!AI12-IF(JO99&gt;=0.45,VLOOKUP(Calculator!E23,tbSkills!DH3:DI6,2,FALSE)+IF(AND(Calculator!B8=TRUE,Backdoors!BI42=TRUE),VLOOKUP(Calculator!E23,tbSkills!DH3:DJ6,3,FALSE),0),0))/100)))),1),"")</f>
        <v>1</v>
      </c>
      <c r="JR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O99)*JQ99)*(VLOOKUP(A99,tbMoveset!A2:C112,3,FALSE)/100)*IF(VLOOKUP(A99,tbMoveset!A2:B112,2,FALSE)="Projectile",Backdoors!N10,Backdoors!N9),0),"")</f>
        <v/>
      </c>
      <c r="JS99" s="49">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45&gt;0,VLOOKUP(Calculator!E45,tbSkills!AC3:AD5,2,FALSE),Backdoors!AL3)*(IF((Backdoors!AI12+IF(JO99&gt;=0.45,VLOOKUP(Calculator!E23,tbSkills!DH3:DI6,2,FALSE)+IF(AND(Calculator!B8=TRUE,Backdoors!BI42=TRUE),VLOOKUP(Calculator!E23,tbSkills!DH3:DJ6,3,FALSE),0),0))&gt;=100,100,(Backdoors!AI12+IF(JO99&gt;=0.45,VLOOKUP(Calculator!E23,tbSkills!DH3:DI6,2,FALSE)+IF(AND(Calculator!B8=TRUE,Backdoors!BI42=TRUE),VLOOKUP(Calculator!E23,tbSkills!DH3:DJ6,3,FALSE),0),0)))/100)),1))*IF(VLOOKUP(A99,tbMoveset!A2:K112,11,FALSE)=TRUE,Backdoors!AC5,1))*JP99,0),"")</f>
        <v>0</v>
      </c>
      <c r="JT99" s="49">
        <f>VLOOKUP(A99,tbMoveset!A2:G112,7,FALSE)*IFERROR(IF(Backdoors!AI12&gt;=0,1+(IF(Calculator!E40&gt;0,VLOOKUP(Calculator!E40,tbSkills!AI3:AJ5,2,FALSE),Backdoors!AL4)*(IF((Backdoors!AI12+IF(JO99&gt;=0.45,VLOOKUP(Calculator!E23,tbSkills!DH3:DI6,2,FALSE)+IF(AND(Calculator!B8=TRUE,Backdoors!BI42=TRUE),VLOOKUP(Calculator!E23,tbSkills!DH3:DJ6,3,FALSE),0),0))&gt;=100,100,(Backdoors!AI12+IF(JO99&gt;=0.45,VLOOKUP(Calculator!E23,tbSkills!DH3:DI6,2,FALSE)+IF(AND(Calculator!B8=TRUE,Backdoors!BI42=TRUE),VLOOKUP(Calculator!E23,tbSkills!DH3:DJ6,3,FALSE),0),0)))/100)),1),1)</f>
        <v>1</v>
      </c>
      <c r="JU99" s="87">
        <f t="shared" si="90"/>
        <v>0</v>
      </c>
      <c r="JV99" s="86" t="str">
        <f>IFERROR(IF(VLOOKUP(A99,tbMoveset!A2:B112,2,FALSE)="Sever",Backdoors!AY43/100,IF(VLOOKUP(A99,tbMoveset!A2:B112,2,FALSE)="Blunt",Backdoors!AZ43/100,Backdoors!BA43/100)),"")</f>
        <v/>
      </c>
      <c r="JW99" s="49">
        <f>IFERROR(IF(VLOOKUP(tbMoveset!A99,tbMoveset!A2:H112,8,FALSE)="Other",IF(VLOOKUP(tbMoveset!A99,tbMoveset!A2:I112,9,FALSE)="Fire",Backdoors!BB43,IF(VLOOKUP(tbMoveset!A99,tbMoveset!A2:I112,9,FALSE)="Water",Backdoors!BC43,IF(VLOOKUP(tbMoveset!A99,tbMoveset!A2:I112,9,FALSE)="Thunder",Backdoors!BD43,IF(VLOOKUP(tbMoveset!A99,tbMoveset!A2:I112,9,FALSE)="Ice",Backdoors!BE43,IF(VLOOKUP(tbMoveset!A99,tbMoveset!A2:I112,9,FALSE)="Dragon",Backdoors!BF43,Backdoors!BG43)))))/100,Backdoors!BG43/100),"")</f>
        <v>0</v>
      </c>
      <c r="JX99" s="49">
        <f>IFERROR(IF(VLOOKUP(A99,tbMoveset!A2:J112,10,FALSE)=TRUE,IF((Backdoors!AI12+IF(JV99&gt;=0.45,VLOOKUP(Calculator!E23,tbSkills!DH3:DI6,2,FALSE)+IF(AND(Calculator!B8=TRUE,Backdoors!BI43=TRUE),VLOOKUP(Calculator!E23,tbSkills!DH3:DJ6,3,FALSE),0),0))&gt;=0,1+(Backdoors!AL2*(IF((Backdoors!AI12+IF(JV99&gt;=0.45,VLOOKUP(Calculator!E23,tbSkills!DH3:DI6,2,FALSE)+IF(AND(Calculator!B8=TRUE,Backdoors!BI43=TRUE),VLOOKUP(Calculator!E23,tbSkills!DH3:DJ6,3,FALSE),0),0))&gt;=100,100,(Backdoors!AI12+IF(JV99&gt;=0.45,VLOOKUP(Calculator!E23,tbSkills!DH3:DI6,2,FALSE)+IF(AND(Calculator!B8=TRUE,Backdoors!BI43=TRUE),VLOOKUP(Calculator!E23,tbSkills!DH3:DJ6,3,FALSE),0),0)))/100)),(1-(0.25*((-Backdoors!AI12-IF(JV99&gt;=0.45,VLOOKUP(Calculator!E23,tbSkills!DH3:DI6,2,FALSE)+IF(AND(Calculator!B8=TRUE,Backdoors!BI43=TRUE),VLOOKUP(Calculator!E23,tbSkills!DH3:DJ6,3,FALSE),0),0))/100)))),1),"")</f>
        <v>1</v>
      </c>
      <c r="JY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V99)*JX99)*(VLOOKUP(A99,tbMoveset!A2:C112,3,FALSE)/100)*IF(VLOOKUP(A99,tbMoveset!A2:B112,2,FALSE)="Projectile",Backdoors!N10,Backdoors!N9),0),"")</f>
        <v/>
      </c>
      <c r="JZ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46&gt;0,VLOOKUP(Calculator!E46,tbSkills!AC3:AD5,2,FALSE),Backdoors!AL3)*(IF((Backdoors!AI12+IF(JV99&gt;=0.45,VLOOKUP(Calculator!E23,tbSkills!DH3:DI6,2,FALSE)+IF(AND(Calculator!B8=TRUE,Backdoors!BI43=TRUE),VLOOKUP(Calculator!E23,tbSkills!DH3:DJ6,3,FALSE),0),0))&gt;=100,100,(Backdoors!AI12+IF(JV99&gt;=0.45,VLOOKUP(Calculator!E23,tbSkills!DH3:DI6,2,FALSE)+IF(AND(Calculator!B8=TRUE,Backdoors!BI43=TRUE),VLOOKUP(Calculator!E23,tbSkills!DH3:DJ6,3,FALSE),0),0)))/100)),1))*IF(VLOOKUP(A99,tbMoveset!A2:K112,11,FALSE)=TRUE,Backdoors!AC5,1))*JW99,0),"")</f>
        <v/>
      </c>
      <c r="KA99" s="49">
        <f>VLOOKUP(A99,tbMoveset!A2:G112,7,FALSE)*IFERROR(IF(Backdoors!AI12&gt;=0,1+(IF(Calculator!E40&gt;0,VLOOKUP(Calculator!E40,tbSkills!AI3:AJ5,2,FALSE),Backdoors!AL4)*(IF((Backdoors!AI12+IF(JV99&gt;=0.45,VLOOKUP(Calculator!E23,tbSkills!DH3:DI6,2,FALSE)+IF(AND(Calculator!B8=TRUE,Backdoors!BI43=TRUE),VLOOKUP(Calculator!E23,tbSkills!DH3:DJ6,3,FALSE),0),0))&gt;=100,100,(Backdoors!AI12+IF(JV99&gt;=0.45,VLOOKUP(Calculator!E23,tbSkills!DH3:DI6,2,FALSE)+IF(AND(Calculator!B8=TRUE,Backdoors!BI43=TRUE),VLOOKUP(Calculator!E23,tbSkills!DH3:DJ6,3,FALSE),0),0)))/100)),1),1)</f>
        <v>1</v>
      </c>
      <c r="KB99" s="87">
        <f t="shared" si="91"/>
        <v>0</v>
      </c>
      <c r="KC99" s="86" t="str">
        <f>IFERROR(IF(VLOOKUP(A99,tbMoveset!A2:B112,2,FALSE)="Sever",Backdoors!AY44/100,IF(VLOOKUP(A99,tbMoveset!A2:B112,2,FALSE)="Blunt",Backdoors!AZ44/100,Backdoors!BA44/100)),"")</f>
        <v/>
      </c>
      <c r="KD99" s="49">
        <f>IFERROR(IF(VLOOKUP(tbMoveset!A99,tbMoveset!A2:H112,8,FALSE)="Other",IF(VLOOKUP(tbMoveset!A99,tbMoveset!A2:I112,9,FALSE)="Fire",Backdoors!BB44,IF(VLOOKUP(tbMoveset!A99,tbMoveset!A2:I112,9,FALSE)="Water",Backdoors!BC44,IF(VLOOKUP(tbMoveset!A99,tbMoveset!A2:I112,9,FALSE)="Thunder",Backdoors!BD44,IF(VLOOKUP(tbMoveset!A99,tbMoveset!A2:I112,9,FALSE)="Ice",Backdoors!BE44,IF(VLOOKUP(tbMoveset!A99,tbMoveset!A2:I112,9,FALSE)="Dragon",Backdoors!BF44,Backdoors!BG44)))))/100,Backdoors!BG44/100),"")</f>
        <v>0</v>
      </c>
      <c r="KE99" s="49">
        <f>IFERROR(IF(VLOOKUP(A99,tbMoveset!A2:J112,10,FALSE)=TRUE,IF((Backdoors!AI12+IF(KC99&gt;=0.45,VLOOKUP(Calculator!E23,tbSkills!DH3:DI6,2,FALSE)+IF(AND(Calculator!B8=TRUE,Backdoors!BI44=TRUE),VLOOKUP(Calculator!E23,tbSkills!DH3:DJ6,3,FALSE),0),0))&gt;=0,1+(Backdoors!AL2*(IF((Backdoors!AI12+IF(KC99&gt;=0.45,VLOOKUP(Calculator!E23,tbSkills!DH3:DI6,2,FALSE)+IF(AND(Calculator!B8=TRUE,Backdoors!BI44=TRUE),VLOOKUP(Calculator!E23,tbSkills!DH3:DJ6,3,FALSE),0),0))&gt;=100,100,(Backdoors!AI12+IF(KC99&gt;=0.45,VLOOKUP(Calculator!E23,tbSkills!DH3:DI6,2,FALSE)+IF(AND(Calculator!B8=TRUE,Backdoors!BI44=TRUE),VLOOKUP(Calculator!E23,tbSkills!DH3:DJ6,3,FALSE),0),0)))/100)),(1-(0.25*((-Backdoors!AI12-IF(KC99&gt;=0.45,VLOOKUP(Calculator!E23,tbSkills!DH3:DI6,2,FALSE)+IF(AND(Calculator!B8=TRUE,Backdoors!BI44=TRUE),VLOOKUP(Calculator!E23,tbSkills!DH3:DJ6,3,FALSE),0),0))/100)))),1),"")</f>
        <v>1</v>
      </c>
      <c r="KF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KC99)*KE99)*(VLOOKUP(A99,tbMoveset!A2:C112,3,FALSE)/100)*IF(VLOOKUP(A99,tbMoveset!A2:B112,2,FALSE)="Projectile",Backdoors!N10,Backdoors!N9),0),"")</f>
        <v/>
      </c>
      <c r="KG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REF!&gt;0,VLOOKUP(Calculator!#REF!,tbSkills!AC3:AD5,2,FALSE),Backdoors!AL3)*(IF((Backdoors!AI12+IF(KC99&gt;=0.45,VLOOKUP(Calculator!E23,tbSkills!DH3:DI6,2,FALSE)+IF(AND(Calculator!B8=TRUE,Backdoors!BI44=TRUE),VLOOKUP(Calculator!E23,tbSkills!DH3:DJ6,3,FALSE),0),0))&gt;=100,100,(Backdoors!AI12+IF(KC99&gt;=0.45,VLOOKUP(Calculator!E23,tbSkills!DH3:DI6,2,FALSE)+IF(AND(Calculator!B8=TRUE,Backdoors!BI44=TRUE),VLOOKUP(Calculator!E23,tbSkills!DH3:DJ6,3,FALSE),0),0)))/100)),1))*IF(VLOOKUP(A99,tbMoveset!A2:K112,11,FALSE)=TRUE,Backdoors!AC5,1))*KD99,0),"")</f>
        <v/>
      </c>
      <c r="KH99" s="49">
        <f>VLOOKUP(A99,tbMoveset!A2:G112,7,FALSE)*IFERROR(IF(Backdoors!AI12&gt;=0,1+(IF(Calculator!E40&gt;0,VLOOKUP(Calculator!E40,tbSkills!AI3:AJ5,2,FALSE),Backdoors!AL4)*(IF((Backdoors!AI12+IF(KC99&gt;=0.45,VLOOKUP(Calculator!E23,tbSkills!DH3:DI6,2,FALSE)+IF(AND(Calculator!B8=TRUE,Backdoors!BI44=TRUE),VLOOKUP(Calculator!E23,tbSkills!DH3:DJ6,3,FALSE),0),0))&gt;=100,100,(Backdoors!AI12+IF(KC99&gt;=0.45,VLOOKUP(Calculator!E23,tbSkills!DH3:DI6,2,FALSE)+IF(AND(Calculator!B8=TRUE,Backdoors!BI44=TRUE),VLOOKUP(Calculator!E23,tbSkills!DH3:DJ6,3,FALSE),0),0)))/100)),1),1)</f>
        <v>1</v>
      </c>
      <c r="KI99" s="87">
        <f t="shared" si="92"/>
        <v>0</v>
      </c>
      <c r="KJ99" s="86" t="str">
        <f>IFERROR(IF(VLOOKUP(A99,tbMoveset!A2:B112,2,FALSE)="Sever",Backdoors!AY45/100,IF(VLOOKUP(A99,tbMoveset!A2:B112,2,FALSE)="Blunt",Backdoors!AZ45/100,Backdoors!BA45/100)),"")</f>
        <v/>
      </c>
      <c r="KK99" s="49">
        <f>IFERROR(IF(VLOOKUP(tbMoveset!A99,tbMoveset!A2:H112,8,FALSE)="Other",IF(VLOOKUP(tbMoveset!A99,tbMoveset!A2:I112,9,FALSE)="Fire",Backdoors!BB45,IF(VLOOKUP(tbMoveset!A99,tbMoveset!A2:I112,9,FALSE)="Water",Backdoors!BC45,IF(VLOOKUP(tbMoveset!A99,tbMoveset!A2:I112,9,FALSE)="Thunder",Backdoors!BD45,IF(VLOOKUP(tbMoveset!A99,tbMoveset!A2:I112,9,FALSE)="Ice",Backdoors!BE45,IF(VLOOKUP(tbMoveset!A99,tbMoveset!A2:I112,9,FALSE)="Dragon",Backdoors!BF45,Backdoors!BG45)))))/100,Backdoors!BG45/100),"")</f>
        <v>0</v>
      </c>
      <c r="KL99" s="49">
        <f>IFERROR(IF(VLOOKUP(A99,tbMoveset!A2:J112,10,FALSE)=TRUE,IF((Backdoors!AI12+IF(KJ99&gt;=0.45,VLOOKUP(Calculator!E23,tbSkills!DH3:DI6,2,FALSE)+IF(AND(Calculator!B8=TRUE,Backdoors!BI45=TRUE),VLOOKUP(Calculator!E23,tbSkills!DH3:DJ6,3,FALSE),0),0))&gt;=0,1+(Backdoors!AL2*(IF((Backdoors!AI12+IF(KJ99&gt;=0.45,VLOOKUP(Calculator!E23,tbSkills!DH3:DI6,2,FALSE)+IF(AND(Calculator!B8=TRUE,Backdoors!BI45=TRUE),VLOOKUP(Calculator!E23,tbSkills!DH3:DJ6,3,FALSE),0),0))&gt;=100,100,(Backdoors!AI12+IF(KJ99&gt;=0.45,VLOOKUP(Calculator!E23,tbSkills!DH3:DI6,2,FALSE)+IF(AND(Calculator!B8=TRUE,Backdoors!BI45=TRUE),VLOOKUP(Calculator!E23,tbSkills!DH3:DJ6,3,FALSE),0),0)))/100)),(1-(0.25*((-Backdoors!AI12-IF(KJ99&gt;=0.45,VLOOKUP(Calculator!E23,tbSkills!DH3:DI6,2,FALSE)+IF(AND(Calculator!B8=TRUE,Backdoors!BI45=TRUE),VLOOKUP(Calculator!E23,tbSkills!DH3:DJ6,3,FALSE),0),0))/100)))),1),"")</f>
        <v>1</v>
      </c>
      <c r="KM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KJ99)*KL99)*(VLOOKUP(A99,tbMoveset!A2:C112,3,FALSE)/100)*IF(VLOOKUP(A99,tbMoveset!A2:B112,2,FALSE)="Projectile",Backdoors!N10,Backdoors!N9),0),"")</f>
        <v/>
      </c>
      <c r="KN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REF!&gt;0,VLOOKUP(Calculator!#REF!,tbSkills!AC3:AD5,2,FALSE),Backdoors!AL3)*(IF((Backdoors!AI12+IF(KJ99&gt;=0.45,VLOOKUP(Calculator!E23,tbSkills!DH3:DI6,2,FALSE)+IF(AND(Calculator!B8=TRUE,Backdoors!BI45=TRUE),VLOOKUP(Calculator!E23,tbSkills!DH3:DJ6,3,FALSE),0),0))&gt;=100,100,(Backdoors!AI12+IF(KJ99&gt;=0.45,VLOOKUP(Calculator!E23,tbSkills!DH3:DI6,2,FALSE)+IF(AND(Calculator!B8=TRUE,Backdoors!BI45=TRUE),VLOOKUP(Calculator!E23,tbSkills!DH3:DJ6,3,FALSE),0),0)))/100)),1))*IF(VLOOKUP(A99,tbMoveset!A2:K112,11,FALSE)=TRUE,Backdoors!AC5,1))*KK99,0),"")</f>
        <v/>
      </c>
      <c r="KO99" s="49">
        <f>VLOOKUP(A99,tbMoveset!A2:G112,7,FALSE)*IFERROR(IF(Backdoors!AI12&gt;=0,1+(IF(Calculator!E40&gt;0,VLOOKUP(Calculator!E40,tbSkills!AI3:AJ5,2,FALSE),Backdoors!AL4)*(IF((Backdoors!AI12+IF(KJ99&gt;=0.45,VLOOKUP(Calculator!E23,tbSkills!DH3:DI6,2,FALSE)+IF(AND(Calculator!B8=TRUE,Backdoors!BI45=TRUE),VLOOKUP(Calculator!E23,tbSkills!DH3:DJ6,3,FALSE),0),0))&gt;=100,100,(Backdoors!AI12+IF(KJ99&gt;=0.45,VLOOKUP(Calculator!E23,tbSkills!DH3:DI6,2,FALSE)+IF(AND(Calculator!B8=TRUE,Backdoors!BI45=TRUE),VLOOKUP(Calculator!E23,tbSkills!DH3:DJ6,3,FALSE),0),0)))/100)),1),1)</f>
        <v>1</v>
      </c>
      <c r="KP99" s="87">
        <f t="shared" si="93"/>
        <v>0</v>
      </c>
      <c r="KQ99" s="86" t="str">
        <f>IFERROR(IF(VLOOKUP(A99,tbMoveset!A2:B112,2,FALSE)="Sever",Backdoors!AY46/100,IF(VLOOKUP(A99,tbMoveset!A2:B112,2,FALSE)="Blunt",Backdoors!AZ46/100,Backdoors!BA46/100)),"")</f>
        <v/>
      </c>
      <c r="KR99" s="49">
        <f>IFERROR(IF(VLOOKUP(tbMoveset!A99,tbMoveset!A2:H112,8,FALSE)="Other",IF(VLOOKUP(tbMoveset!A99,tbMoveset!A2:I112,9,FALSE)="Fire",Backdoors!BB46,IF(VLOOKUP(tbMoveset!A99,tbMoveset!A2:I112,9,FALSE)="Water",Backdoors!BC46,IF(VLOOKUP(tbMoveset!A99,tbMoveset!A2:I112,9,FALSE)="Thunder",Backdoors!BD46,IF(VLOOKUP(tbMoveset!A99,tbMoveset!A2:I112,9,FALSE)="Ice",Backdoors!BE46,IF(VLOOKUP(tbMoveset!A99,tbMoveset!A2:I112,9,FALSE)="Dragon",Backdoors!BF46,Backdoors!BG46)))))/100,Backdoors!BG46/100),"")</f>
        <v>0</v>
      </c>
      <c r="KS99" s="49">
        <f>IFERROR(IF(VLOOKUP(A99,tbMoveset!A2:J112,10,FALSE)=TRUE,IF((Backdoors!AI12+IF(KQ99&gt;=0.45,VLOOKUP(Calculator!E23,tbSkills!DH3:DI6,2,FALSE)+IF(AND(Calculator!B8=TRUE,Backdoors!BI46=TRUE),VLOOKUP(Calculator!E23,tbSkills!DH3:DJ6,3,FALSE),0),0))&gt;=0,1+(Backdoors!AL2*(IF((Backdoors!AI12+IF(KQ99&gt;=0.45,VLOOKUP(Calculator!E23,tbSkills!DH3:DI6,2,FALSE)+IF(AND(Calculator!B8=TRUE,Backdoors!BI46=TRUE),VLOOKUP(Calculator!E23,tbSkills!DH3:DJ6,3,FALSE),0),0))&gt;=100,100,(Backdoors!AI12+IF(KQ99&gt;=0.45,VLOOKUP(Calculator!E23,tbSkills!DH3:DI6,2,FALSE)+IF(AND(Calculator!B8=TRUE,Backdoors!BI46=TRUE),VLOOKUP(Calculator!E23,tbSkills!DH3:DJ6,3,FALSE),0),0)))/100)),(1-(0.25*((-Backdoors!AI12-IF(KQ99&gt;=0.45,VLOOKUP(Calculator!E23,tbSkills!DH3:DI6,2,FALSE)+IF(AND(Calculator!B8=TRUE,Backdoors!BI46=TRUE),VLOOKUP(Calculator!E23,tbSkills!DH3:DJ6,3,FALSE),0),0))/100)))),1),"")</f>
        <v>1</v>
      </c>
      <c r="KT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KQ99)*KS99)*(VLOOKUP(A99,tbMoveset!A2:C112,3,FALSE)/100)*IF(VLOOKUP(A99,tbMoveset!A2:B112,2,FALSE)="Projectile",Backdoors!N10,Backdoors!N9),0),"")</f>
        <v/>
      </c>
      <c r="KU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REF!&gt;0,VLOOKUP(Calculator!#REF!,tbSkills!AC3:AD5,2,FALSE),Backdoors!AL3)*(IF((Backdoors!AI12+IF(KQ99&gt;=0.45,VLOOKUP(Calculator!E23,tbSkills!DH3:DI6,2,FALSE)+IF(AND(Calculator!B8=TRUE,Backdoors!BI46=TRUE),VLOOKUP(Calculator!E23,tbSkills!DH3:DJ6,3,FALSE),0),0))&gt;=100,100,(Backdoors!AI12+IF(KQ99&gt;=0.45,VLOOKUP(Calculator!E23,tbSkills!DH3:DI6,2,FALSE)+IF(AND(Calculator!B8=TRUE,Backdoors!BI46=TRUE),VLOOKUP(Calculator!E23,tbSkills!DH3:DJ6,3,FALSE),0),0)))/100)),1))*IF(VLOOKUP(A99,tbMoveset!A2:K112,11,FALSE)=TRUE,Backdoors!AC5,1))*KR99,0),"")</f>
        <v/>
      </c>
      <c r="KV99" s="49">
        <f>VLOOKUP(A99,tbMoveset!A2:G112,7,FALSE)*IFERROR(IF(Backdoors!AI12&gt;=0,1+(IF(Calculator!E40&gt;0,VLOOKUP(Calculator!E40,tbSkills!AI3:AJ5,2,FALSE),Backdoors!AL4)*(IF((Backdoors!AI12+IF(KQ99&gt;=0.45,VLOOKUP(Calculator!E23,tbSkills!DH3:DI6,2,FALSE)+IF(AND(Calculator!B8=TRUE,Backdoors!BI46=TRUE),VLOOKUP(Calculator!E23,tbSkills!DH3:DJ6,3,FALSE),0),0))&gt;=100,100,(Backdoors!AI12+IF(KQ99&gt;=0.45,VLOOKUP(Calculator!E23,tbSkills!DH3:DI6,2,FALSE)+IF(AND(Calculator!B8=TRUE,Backdoors!BI46=TRUE),VLOOKUP(Calculator!E23,tbSkills!DH3:DJ6,3,FALSE),0),0)))/100)),1),1)</f>
        <v>1</v>
      </c>
      <c r="KW99" s="87">
        <f t="shared" si="94"/>
        <v>0</v>
      </c>
    </row>
    <row r="100" spans="1:309" x14ac:dyDescent="0.25">
      <c r="A100" s="95" t="str">
        <f>tbMoveset!A100</f>
        <v>[Clutching] Spinning Rising Slash (R)</v>
      </c>
      <c r="B100" s="86">
        <f>IFERROR(IF(VLOOKUP(A100,tbMoveset!A2:B112,2,FALSE)="Sever",Backdoors!AY3/100,IF(VLOOKUP(A100,tbMoveset!A2:B112,2,FALSE)="Blunt",Backdoors!AZ3/100,Backdoors!BA3/100)),"")</f>
        <v>0.8</v>
      </c>
      <c r="C100" s="49">
        <f>IFERROR(IF(VLOOKUP(tbMoveset!A100,tbMoveset!A2:H112,8,FALSE)="Other",IF(VLOOKUP(tbMoveset!A100,tbMoveset!A2:I112,9,FALSE)="Fire",Backdoors!BB3,IF(VLOOKUP(tbMoveset!A100,tbMoveset!A2:I112,9,FALSE)="Water",Backdoors!BC3,IF(VLOOKUP(tbMoveset!A100,tbMoveset!A2:I112,9,FALSE)="Thunder",Backdoors!BD3,IF(VLOOKUP(tbMoveset!A100,tbMoveset!A2:I112,9,FALSE)="Ice",Backdoors!BE3,IF(VLOOKUP(tbMoveset!A100,tbMoveset!A2:I112,9,FALSE)="Dragon",Backdoors!BF3,Backdoors!BG3)))))/100,Backdoors!BG3/100),"")</f>
        <v>0</v>
      </c>
      <c r="D100" s="49">
        <f>IFERROR(IF(VLOOKUP(A100,tbMoveset!A2:J112,10,FALSE)=TRUE,IF((Backdoors!AI12+IF(B100&gt;=0.45,VLOOKUP(Calculator!E23,tbSkills!DH3:DI6,2,FALSE)+IF(AND(Calculator!B8=TRUE,Backdoors!BI3=TRUE),VLOOKUP(Calculator!E23,tbSkills!DH3:DJ6,3,FALSE),0),0))&gt;=0,1+(Backdoors!AL2*(IF((Backdoors!AI12+IF(B100&gt;=0.45,VLOOKUP(Calculator!E23,tbSkills!DH3:DI6,2,FALSE)+IF(AND(Calculator!B8=TRUE,Backdoors!BI3=TRUE),VLOOKUP(Calculator!E23,tbSkills!DH3:DJ6,3,FALSE),0),0))&gt;=100,100,(Backdoors!AI12+IF(B100&gt;=0.45,VLOOKUP(Calculator!E23,tbSkills!DH3:DI6,2,FALSE)+IF(AND(Calculator!B8=TRUE,Backdoors!BI3=TRUE),VLOOKUP(Calculator!E23,tbSkills!DH3:DJ6,3,FALSE),0),0)))/100)),(1-(0.25*((-Backdoors!AI12-IF(B100&gt;=0.45,VLOOKUP(Calculator!E23,tbSkills!DH3:DI6,2,FALSE)+IF(AND(Calculator!B8=TRUE,Backdoors!BI3=TRUE),VLOOKUP(Calculator!E23,tbSkills!DH3:DJ6,3,FALSE),0),0))/100)))),1),"")</f>
        <v>1</v>
      </c>
      <c r="E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100)*D100)*(VLOOKUP(A100,tbMoveset!A2:C112,3,FALSE)/100)*IF(VLOOKUP(A100,tbMoveset!A2:B112,2,FALSE)="Projectile",Backdoors!N10,Backdoors!N9),0),"")</f>
        <v>15</v>
      </c>
      <c r="F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100&gt;=0.45,VLOOKUP(Calculator!E23,tbSkills!DH3:DI6,2,FALSE)+IF(AND(Calculator!B8=TRUE,Backdoors!BI3=TRUE),VLOOKUP(Calculator!E23,tbSkills!DH3:DJ6,3,FALSE),0),0))&gt;=100,100,(Backdoors!AI12+IF(B100&gt;=0.45,VLOOKUP(Calculator!E23,tbSkills!DH3:DI6,2,FALSE)+IF(AND(Calculator!B8=TRUE,Backdoors!BI3=TRUE),VLOOKUP(Calculator!E23,tbSkills!DH3:DJ6,3,FALSE),0),0)))/100)),1))*IF(VLOOKUP(A100,tbMoveset!A2:K112,11,FALSE)=TRUE,Backdoors!AC5,1))*C100,0),"")</f>
        <v>0</v>
      </c>
      <c r="G100">
        <f>VLOOKUP(A100,tbMoveset!A2:G112,7,FALSE)*IFERROR(IF(Backdoors!AI12&gt;=0,1+(IF(Calculator!E40&gt;0,VLOOKUP(Calculator!E40,tbSkills!AI3:AJ5,2,FALSE),Backdoors!AL4)*(IF((Backdoors!AI12+IF(B100&gt;=0.45,VLOOKUP(Calculator!E23,tbSkills!DH3:DI6,2,FALSE)+IF(AND(Calculator!B8=TRUE,Backdoors!BI3=TRUE),VLOOKUP(Calculator!E23,tbSkills!DH3:DJ6,3,FALSE),0),0))&gt;=100,100,(Backdoors!AI12+IF(B100&gt;=0.45,VLOOKUP(Calculator!E23,tbSkills!DH3:DI6,2,FALSE)+IF(AND(Calculator!B8=TRUE,Backdoors!BI3=TRUE),VLOOKUP(Calculator!E23,tbSkills!DH3:DJ6,3,FALSE),0),0)))/100)),1),1)</f>
        <v>1</v>
      </c>
      <c r="H100" s="87">
        <f t="shared" si="95"/>
        <v>15</v>
      </c>
      <c r="I100" s="86">
        <f>IFERROR(IF(VLOOKUP(A100,tbMoveset!A2:B112,2,FALSE)="Sever",Backdoors!AY4/100,IF(VLOOKUP(A100,tbMoveset!A2:B112,2,FALSE)="Blunt",Backdoors!AZ4/100,Backdoors!BA4/100)),"")</f>
        <v>0.65</v>
      </c>
      <c r="J100" s="49">
        <f>IFERROR(IF(VLOOKUP(tbMoveset!A100,tbMoveset!A2:H112,8,FALSE)="Other",IF(VLOOKUP(tbMoveset!A100,tbMoveset!A2:I112,9,FALSE)="Fire",Backdoors!BB4,IF(VLOOKUP(tbMoveset!A100,tbMoveset!A2:I112,9,FALSE)="Water",Backdoors!BC4,IF(VLOOKUP(tbMoveset!A100,tbMoveset!A2:I112,9,FALSE)="Thunder",Backdoors!BD4,IF(VLOOKUP(tbMoveset!A100,tbMoveset!A2:I112,9,FALSE)="Ice",Backdoors!BE4,IF(VLOOKUP(tbMoveset!A100,tbMoveset!A2:I112,9,FALSE)="Dragon",Backdoors!BF4,Backdoors!BG4)))))/100,Backdoors!BG4/100),"")</f>
        <v>0</v>
      </c>
      <c r="K100" s="49">
        <f>IFERROR(IF(VLOOKUP(A100,tbMoveset!A2:J112,10,FALSE)=TRUE,IF((Backdoors!AI12+IF(I100&gt;=0.45,VLOOKUP(Calculator!E23,tbSkills!DH3:DI6,2,FALSE)+IF(AND(Calculator!B8=TRUE,Backdoors!BI4=TRUE),VLOOKUP(Calculator!E23,tbSkills!DH3:DJ6,3,FALSE),0),0))&gt;=0,1+(Backdoors!AL2*(IF((Backdoors!AI12+IF(I100&gt;=0.45,VLOOKUP(Calculator!E23,tbSkills!DH3:DI6,2,FALSE)+IF(AND(Calculator!B8=TRUE,Backdoors!BI4=TRUE),VLOOKUP(Calculator!E23,tbSkills!DH3:DJ6,3,FALSE),0),0))&gt;=100,100,(Backdoors!AI12+IF(I100&gt;=0.45,VLOOKUP(Calculator!E23,tbSkills!DH3:DI6,2,FALSE)+IF(AND(Calculator!B8=TRUE,Backdoors!BI4=TRUE),VLOOKUP(Calculator!E23,tbSkills!DH3:DJ6,3,FALSE),0),0)))/100)),(1-(0.25*((-Backdoors!AI12-IF(I100&gt;=0.45,VLOOKUP(Calculator!E23,tbSkills!DH3:DI6,2,FALSE)+IF(AND(Calculator!B8=TRUE,Backdoors!BI4=TRUE),VLOOKUP(Calculator!E23,tbSkills!DH3:DJ6,3,FALSE),0),0))/100)))),1),"")</f>
        <v>1</v>
      </c>
      <c r="L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100)*K100)*(VLOOKUP(A100,tbMoveset!A2:C112,3,FALSE)/100)*IF(VLOOKUP(A100,tbMoveset!A2:B112,2,FALSE)="Projectile",Backdoors!N10,Backdoors!N9),0),"")</f>
        <v>13</v>
      </c>
      <c r="M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I100&gt;=0.45,VLOOKUP(Calculator!E23,tbSkills!DH3:DI6,2,FALSE)+IF(AND(Calculator!B8=TRUE,Backdoors!BI4=TRUE),VLOOKUP(Calculator!E23,tbSkills!DH3:DJ6,3,FALSE),0),0))&gt;=100,100,(Backdoors!AI12+IF(I100&gt;=0.45,VLOOKUP(Calculator!E23,tbSkills!DH3:DI6,2,FALSE)+IF(AND(Calculator!B8=TRUE,Backdoors!BI4=TRUE),VLOOKUP(Calculator!E23,tbSkills!DH3:DJ6,3,FALSE),0),0)))/100)),1))*IF(VLOOKUP(A100,tbMoveset!A2:K112,11,FALSE)=TRUE,Backdoors!AC5,1))*J100,0),"")</f>
        <v>0</v>
      </c>
      <c r="N100" s="49">
        <f>VLOOKUP(A100,tbMoveset!A2:G112,7,FALSE)*IFERROR(IF(Backdoors!AI12&gt;=0,1+(IF(Calculator!E40&gt;0,VLOOKUP(Calculator!E40,tbSkills!AI3:AJ5,2,FALSE),Backdoors!AL4)*(IF((Backdoors!AI12+IF(I100&gt;=0.45,VLOOKUP(Calculator!E23,tbSkills!DH3:DI6,2,FALSE)+IF(AND(Calculator!B8=TRUE,Backdoors!BI4=TRUE),VLOOKUP(Calculator!E23,tbSkills!DH3:DJ6,3,FALSE),0),0))&gt;=100,100,(Backdoors!AI12+IF(I100&gt;=0.45,VLOOKUP(Calculator!E23,tbSkills!DH3:DI6,2,FALSE)+IF(AND(Calculator!B8=TRUE,Backdoors!BI4=TRUE),VLOOKUP(Calculator!E23,tbSkills!DH3:DJ6,3,FALSE),0),0)))/100)),1),1)</f>
        <v>1</v>
      </c>
      <c r="O100" s="87">
        <f t="shared" si="96"/>
        <v>13</v>
      </c>
      <c r="P100" s="86">
        <f>IFERROR(IF(VLOOKUP(A100,tbMoveset!A2:B112,2,FALSE)="Sever",Backdoors!AY5/100,IF(VLOOKUP(A100,tbMoveset!A2:B112,2,FALSE)="Blunt",Backdoors!AZ5/100,Backdoors!BA5/100)),"")</f>
        <v>0.5</v>
      </c>
      <c r="Q100" s="49">
        <f>IFERROR(IF(VLOOKUP(tbMoveset!A100,tbMoveset!A2:H112,8,FALSE)="Other",IF(VLOOKUP(tbMoveset!A100,tbMoveset!A2:I112,9,FALSE)="Fire",Backdoors!BB5,IF(VLOOKUP(tbMoveset!A100,tbMoveset!A2:I112,9,FALSE)="Water",Backdoors!BC5,IF(VLOOKUP(tbMoveset!A100,tbMoveset!A2:I112,9,FALSE)="Thunder",Backdoors!BD5,IF(VLOOKUP(tbMoveset!A100,tbMoveset!A2:I112,9,FALSE)="Ice",Backdoors!BE5,IF(VLOOKUP(tbMoveset!A100,tbMoveset!A2:I112,9,FALSE)="Dragon",Backdoors!BF5,Backdoors!BG5)))))/100,Backdoors!BG5/100),"")</f>
        <v>0</v>
      </c>
      <c r="R100" s="49">
        <f>IFERROR(IF(VLOOKUP(A100,tbMoveset!A2:J112,10,FALSE)=TRUE,IF((Backdoors!AI12+IF(P100&gt;=0.45,VLOOKUP(Calculator!E23,tbSkills!DH3:DI6,2,FALSE)+IF(AND(Calculator!B8=TRUE,Backdoors!BI5=TRUE),VLOOKUP(Calculator!E23,tbSkills!DH3:DJ6,3,FALSE),0),0))&gt;=0,1+(Backdoors!AL2*(IF((Backdoors!AI12+IF(P100&gt;=0.45,VLOOKUP(Calculator!E23,tbSkills!DH3:DI6,2,FALSE)+IF(AND(Calculator!B8=TRUE,Backdoors!BI5=TRUE),VLOOKUP(Calculator!E23,tbSkills!DH3:DJ6,3,FALSE),0),0))&gt;=100,100,(Backdoors!AI12+IF(P100&gt;=0.45,VLOOKUP(Calculator!E23,tbSkills!DH3:DI6,2,FALSE)+IF(AND(Calculator!B8=TRUE,Backdoors!BI5=TRUE),VLOOKUP(Calculator!E23,tbSkills!DH3:DJ6,3,FALSE),0),0)))/100)),(1-(0.25*((-Backdoors!AI12-IF(P100&gt;=0.45,VLOOKUP(Calculator!E23,tbSkills!DH3:DI6,2,FALSE)+IF(AND(Calculator!B8=TRUE,Backdoors!BI5=TRUE),VLOOKUP(Calculator!E23,tbSkills!DH3:DJ6,3,FALSE),0),0))/100)))),1),"")</f>
        <v>1</v>
      </c>
      <c r="S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P100)*R100)*(VLOOKUP(A100,tbMoveset!A2:C112,3,FALSE)/100)*IF(VLOOKUP(A100,tbMoveset!A2:B112,2,FALSE)="Projectile",Backdoors!N10,Backdoors!N9),0),"")</f>
        <v>10</v>
      </c>
      <c r="T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P100&gt;=0.45,VLOOKUP(Calculator!E23,tbSkills!DH3:DI6,2,FALSE)+IF(AND(Calculator!B8=TRUE,Backdoors!BI5=TRUE),VLOOKUP(Calculator!E23,tbSkills!DH3:DJ6,3,FALSE),0),0))&gt;=100,100,(Backdoors!AI12+IF(P100&gt;=0.45,VLOOKUP(Calculator!E23,tbSkills!DH3:DI6,2,FALSE)+IF(AND(Calculator!B8=TRUE,Backdoors!BI5=TRUE),VLOOKUP(Calculator!E23,tbSkills!DH3:DJ6,3,FALSE),0),0)))/100)),1))*IF(VLOOKUP(A100,tbMoveset!A2:K112,11,FALSE)=TRUE,Backdoors!AC5,1))*Q100,0),"")</f>
        <v>0</v>
      </c>
      <c r="U100" s="49">
        <f>VLOOKUP(A100,tbMoveset!A2:G112,7,FALSE)*IFERROR(IF(Backdoors!AI12&gt;=0,1+(IF(Calculator!E40&gt;0,VLOOKUP(Calculator!E40,tbSkills!AI3:AJ5,2,FALSE),Backdoors!AL4)*(IF((Backdoors!AI12+IF(P100&gt;=0.45,VLOOKUP(Calculator!E23,tbSkills!DH3:DI6,2,FALSE)+IF(AND(Calculator!B8=TRUE,Backdoors!BI5=TRUE),VLOOKUP(Calculator!E23,tbSkills!DH3:DJ6,3,FALSE),0),0))&gt;=100,100,(Backdoors!AI12+IF(P100&gt;=0.45,VLOOKUP(Calculator!E23,tbSkills!DH3:DI6,2,FALSE)+IF(AND(Calculator!B8=TRUE,Backdoors!BI5=TRUE),VLOOKUP(Calculator!E23,tbSkills!DH3:DJ6,3,FALSE),0),0)))/100)),1),1)</f>
        <v>1</v>
      </c>
      <c r="V100" s="87">
        <f t="shared" si="53"/>
        <v>10</v>
      </c>
      <c r="W100" s="86">
        <f>IFERROR(IF(VLOOKUP(A100,tbMoveset!A2:B112,2,FALSE)="Sever",Backdoors!AY6/100,IF(VLOOKUP(A100,tbMoveset!A2:B112,2,FALSE)="Blunt",Backdoors!AZ6/100,Backdoors!BA6/100)),"")</f>
        <v>0.45</v>
      </c>
      <c r="X100" s="49">
        <f>IFERROR(IF(VLOOKUP(tbMoveset!A100,tbMoveset!A2:H112,8,FALSE)="Other",IF(VLOOKUP(tbMoveset!A100,tbMoveset!A2:I112,9,FALSE)="Fire",Backdoors!BB6,IF(VLOOKUP(tbMoveset!A100,tbMoveset!A2:I112,9,FALSE)="Water",Backdoors!BC6,IF(VLOOKUP(tbMoveset!A100,tbMoveset!A2:I112,9,FALSE)="Thunder",Backdoors!BD6,IF(VLOOKUP(tbMoveset!A100,tbMoveset!A2:I112,9,FALSE)="Ice",Backdoors!BE6,IF(VLOOKUP(tbMoveset!A100,tbMoveset!A2:I112,9,FALSE)="Dragon",Backdoors!BF6,Backdoors!BG6)))))/100,Backdoors!BG6/100),"")</f>
        <v>0</v>
      </c>
      <c r="Y100" s="49">
        <f>IFERROR(IF(VLOOKUP(A100,tbMoveset!A2:J112,10,FALSE)=TRUE,IF((Backdoors!AI12+IF(W100&gt;=0.45,VLOOKUP(Calculator!E23,tbSkills!DH3:DI6,2,FALSE)+IF(AND(Calculator!B8=TRUE,Backdoors!BI6=TRUE),VLOOKUP(Calculator!E23,tbSkills!DH3:DJ6,3,FALSE),0),0))&gt;=0,1+(Backdoors!AL2*(IF((Backdoors!AI12+IF(W100&gt;=0.45,VLOOKUP(Calculator!E23,tbSkills!DH3:DI6,2,FALSE)+IF(AND(Calculator!B8=TRUE,Backdoors!BI6=TRUE),VLOOKUP(Calculator!E23,tbSkills!DH3:DJ6,3,FALSE),0),0))&gt;=100,100,(Backdoors!AI12+IF(W100&gt;=0.45,VLOOKUP(Calculator!E23,tbSkills!DH3:DI6,2,FALSE)+IF(AND(Calculator!B8=TRUE,Backdoors!BI6=TRUE),VLOOKUP(Calculator!E23,tbSkills!DH3:DJ6,3,FALSE),0),0)))/100)),(1-(0.25*((-Backdoors!AI12-IF(W100&gt;=0.45,VLOOKUP(Calculator!E23,tbSkills!DH3:DI6,2,FALSE)+IF(AND(Calculator!B8=TRUE,Backdoors!BI6=TRUE),VLOOKUP(Calculator!E23,tbSkills!DH3:DJ6,3,FALSE),0),0))/100)))),1),"")</f>
        <v>1</v>
      </c>
      <c r="Z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W100)*Y100)*(VLOOKUP(A100,tbMoveset!A2:C112,3,FALSE)/100)*IF(VLOOKUP(A100,tbMoveset!A2:B112,2,FALSE)="Projectile",Backdoors!N10,Backdoors!N9),0),"")</f>
        <v>9</v>
      </c>
      <c r="AA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W100&gt;=0.45,VLOOKUP(Calculator!E23,tbSkills!DH3:DI6,2,FALSE)+IF(AND(Calculator!B8=TRUE,Backdoors!BI6=TRUE),VLOOKUP(Calculator!E23,tbSkills!DH3:DJ6,3,FALSE),0),0))&gt;=100,100,(Backdoors!AI12+IF(W100&gt;=0.45,VLOOKUP(Calculator!E23,tbSkills!DH3:DI6,2,FALSE)+IF(AND(Calculator!B8=TRUE,Backdoors!BI6=TRUE),VLOOKUP(Calculator!E23,tbSkills!DH3:DJ6,3,FALSE),0),0)))/100)),1))*IF(VLOOKUP(A100,tbMoveset!A2:K112,11,FALSE)=TRUE,Backdoors!AC5,1))*X100,0),"")</f>
        <v>0</v>
      </c>
      <c r="AB100" s="49">
        <f>VLOOKUP(A100,tbMoveset!A2:G112,7,FALSE)*IFERROR(IF(Backdoors!AI12&gt;=0,1+(IF(Calculator!E40&gt;0,VLOOKUP(Calculator!E40,tbSkills!AI3:AJ5,2,FALSE),Backdoors!AL4)*(IF((Backdoors!AI12+IF(W100&gt;=0.45,VLOOKUP(Calculator!E23,tbSkills!DH3:DI6,2,FALSE)+IF(AND(Calculator!B8=TRUE,Backdoors!BI6=TRUE),VLOOKUP(Calculator!E23,tbSkills!DH3:DJ6,3,FALSE),0),0))&gt;=100,100,(Backdoors!AI12+IF(W100&gt;=0.45,VLOOKUP(Calculator!E23,tbSkills!DH3:DI6,2,FALSE)+IF(AND(Calculator!B8=TRUE,Backdoors!BI6=TRUE),VLOOKUP(Calculator!E23,tbSkills!DH3:DJ6,3,FALSE),0),0)))/100)),1),1)</f>
        <v>1</v>
      </c>
      <c r="AC100" s="87">
        <f t="shared" si="54"/>
        <v>9</v>
      </c>
      <c r="AD100" s="86">
        <f>IFERROR(IF(VLOOKUP(A100,tbMoveset!A2:B112,2,FALSE)="Sever",Backdoors!AY7/100,IF(VLOOKUP(A100,tbMoveset!A2:B112,2,FALSE)="Blunt",Backdoors!AZ7/100,Backdoors!BA7/100)),"")</f>
        <v>0.65</v>
      </c>
      <c r="AE100" s="49">
        <f>IFERROR(IF(VLOOKUP(tbMoveset!A100,tbMoveset!A2:H112,8,FALSE)="Other",IF(VLOOKUP(tbMoveset!A100,tbMoveset!A2:I112,9,FALSE)="Fire",Backdoors!BB7,IF(VLOOKUP(tbMoveset!A100,tbMoveset!A2:I112,9,FALSE)="Water",Backdoors!BC7,IF(VLOOKUP(tbMoveset!A100,tbMoveset!A2:I112,9,FALSE)="Thunder",Backdoors!BD7,IF(VLOOKUP(tbMoveset!A100,tbMoveset!A2:I112,9,FALSE)="Ice",Backdoors!BE7,IF(VLOOKUP(tbMoveset!A100,tbMoveset!A2:I112,9,FALSE)="Dragon",Backdoors!BF7,Backdoors!BG7)))))/100,Backdoors!BG7/100),"")</f>
        <v>0</v>
      </c>
      <c r="AF100" s="49">
        <f>IFERROR(IF(VLOOKUP(A100,tbMoveset!A2:J112,10,FALSE)=TRUE,IF((Backdoors!AI12+IF(AD100&gt;=0.45,VLOOKUP(Calculator!E23,tbSkills!DH3:DI6,2,FALSE)+IF(AND(Calculator!B8=TRUE,Backdoors!BI7=TRUE),VLOOKUP(Calculator!E23,tbSkills!DH3:DJ6,3,FALSE),0),0))&gt;=0,1+(Backdoors!AL2*(IF((Backdoors!AI12+IF(AD100&gt;=0.45,VLOOKUP(Calculator!E23,tbSkills!DH3:DI6,2,FALSE)+IF(AND(Calculator!B8=TRUE,Backdoors!BI7=TRUE),VLOOKUP(Calculator!E23,tbSkills!DH3:DJ6,3,FALSE),0),0))&gt;=100,100,(Backdoors!AI12+IF(AD100&gt;=0.45,VLOOKUP(Calculator!E23,tbSkills!DH3:DI6,2,FALSE)+IF(AND(Calculator!B8=TRUE,Backdoors!BI7=TRUE),VLOOKUP(Calculator!E23,tbSkills!DH3:DJ6,3,FALSE),0),0)))/100)),(1-(0.25*((-Backdoors!AI12-IF(AD100&gt;=0.45,VLOOKUP(Calculator!E23,tbSkills!DH3:DI6,2,FALSE)+IF(AND(Calculator!B8=TRUE,Backdoors!BI7=TRUE),VLOOKUP(Calculator!E23,tbSkills!DH3:DJ6,3,FALSE),0),0))/100)))),1),"")</f>
        <v>1</v>
      </c>
      <c r="AG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D100)*AF100)*(VLOOKUP(A100,tbMoveset!A2:C112,3,FALSE)/100)*IF(VLOOKUP(A100,tbMoveset!A2:B112,2,FALSE)="Projectile",Backdoors!N10,Backdoors!N9),0),"")</f>
        <v>13</v>
      </c>
      <c r="AH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D100&gt;=0.45,VLOOKUP(Calculator!E23,tbSkills!DH3:DI6,2,FALSE)+IF(AND(Calculator!B8=TRUE,Backdoors!BI7=TRUE),VLOOKUP(Calculator!E23,tbSkills!DH3:DJ6,3,FALSE),0),0))&gt;=100,100,(Backdoors!AI12+IF(AD100&gt;=0.45,VLOOKUP(Calculator!E23,tbSkills!DH3:DI6,2,FALSE)+IF(AND(Calculator!B8=TRUE,Backdoors!BI7=TRUE),VLOOKUP(Calculator!E23,tbSkills!DH3:DJ6,3,FALSE),0),0)))/100)),1))*IF(VLOOKUP(A100,tbMoveset!A2:K112,11,FALSE)=TRUE,Backdoors!AC5,1))*AE100,0),"")</f>
        <v>0</v>
      </c>
      <c r="AI100" s="49">
        <f>VLOOKUP(A100,tbMoveset!A2:G112,7,FALSE)*IFERROR(IF(Backdoors!AI12&gt;=0,1+(IF(Calculator!E40&gt;0,VLOOKUP(Calculator!E40,tbSkills!AI3:AJ5,2,FALSE),Backdoors!AL4)*(IF((Backdoors!AI12+IF(AD100&gt;=0.45,VLOOKUP(Calculator!E23,tbSkills!DH3:DI6,2,FALSE)+IF(AND(Calculator!B8=TRUE,Backdoors!BI7=TRUE),VLOOKUP(Calculator!E23,tbSkills!DH3:DJ6,3,FALSE),0),0))&gt;=100,100,(Backdoors!AI12+IF(AD100&gt;=0.45,VLOOKUP(Calculator!E23,tbSkills!DH3:DI6,2,FALSE)+IF(AND(Calculator!B8=TRUE,Backdoors!BI7=TRUE),VLOOKUP(Calculator!E23,tbSkills!DH3:DJ6,3,FALSE),0),0)))/100)),1),1)</f>
        <v>1</v>
      </c>
      <c r="AJ100" s="87">
        <f t="shared" si="55"/>
        <v>13</v>
      </c>
      <c r="AK100" s="91">
        <f>IFERROR(IF(VLOOKUP(A100,tbMoveset!A2:B112,2,FALSE)="Sever",Backdoors!AY8/100,IF(VLOOKUP(A100,tbMoveset!A2:B112,2,FALSE)="Blunt",Backdoors!AZ8/100,Backdoors!BA8/100)),"")</f>
        <v>0.45</v>
      </c>
      <c r="AL100" s="49">
        <f>IFERROR(IF(VLOOKUP(tbMoveset!A100,tbMoveset!A2:H112,8,FALSE)="Other",IF(VLOOKUP(tbMoveset!A100,tbMoveset!A2:I112,9,FALSE)="Fire",Backdoors!BB8,IF(VLOOKUP(tbMoveset!A100,tbMoveset!A2:I112,9,FALSE)="Water",Backdoors!BC8,IF(VLOOKUP(tbMoveset!A100,tbMoveset!A2:I112,9,FALSE)="Thunder",Backdoors!BD8,IF(VLOOKUP(tbMoveset!A100,tbMoveset!A2:I112,9,FALSE)="Ice",Backdoors!BE8,IF(VLOOKUP(tbMoveset!A100,tbMoveset!A2:I112,9,FALSE)="Dragon",Backdoors!BF8,Backdoors!BG8)))))/100,Backdoors!BG8/100),"")</f>
        <v>0</v>
      </c>
      <c r="AM100" s="49">
        <f>IFERROR(IF(VLOOKUP(A100,tbMoveset!A2:J112,10,FALSE)=TRUE,IF((Backdoors!AI12+IF(AK100&gt;=0.45,VLOOKUP(Calculator!E23,tbSkills!DH3:DI6,2,FALSE)+IF(AND(Calculator!B8=TRUE,Backdoors!BI8=TRUE),VLOOKUP(Calculator!E23,tbSkills!DH3:DJ6,3,FALSE),0),0))&gt;=0,1+(Backdoors!AL2*(IF((Backdoors!AI12+IF(AK100&gt;=0.45,VLOOKUP(Calculator!E23,tbSkills!DH3:DI6,2,FALSE)+IF(AND(Calculator!B8=TRUE,Backdoors!BI8=TRUE),VLOOKUP(Calculator!E23,tbSkills!DH3:DJ6,3,FALSE),0),0))&gt;=100,100,(Backdoors!AI12+IF(AK100&gt;=0.45,VLOOKUP(Calculator!E23,tbSkills!DH3:DI6,2,FALSE)+IF(AND(Calculator!B8=TRUE,Backdoors!BI8=TRUE),VLOOKUP(Calculator!E23,tbSkills!DH3:DJ6,3,FALSE),0),0)))/100)),(1-(0.25*((-Backdoors!AI12-IF(AK100&gt;=0.45,VLOOKUP(Calculator!E23,tbSkills!DH3:DI6,2,FALSE)+IF(AND(Calculator!B8=TRUE,Backdoors!BI8=TRUE),VLOOKUP(Calculator!E23,tbSkills!DH3:DJ6,3,FALSE),0),0))/100)))),1),"")</f>
        <v>1</v>
      </c>
      <c r="AN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K100)*AM100)*(VLOOKUP(A100,tbMoveset!A2:C112,3,FALSE)/100)*IF(VLOOKUP(A100,tbMoveset!A2:B112,2,FALSE)="Projectile",Backdoors!N10,Backdoors!N9),0),"")</f>
        <v>9</v>
      </c>
      <c r="AO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K100&gt;=0.45,VLOOKUP(Calculator!E23,tbSkills!DH3:DI6,2,FALSE)+IF(AND(Calculator!B8=TRUE,Backdoors!BI8=TRUE),VLOOKUP(Calculator!E23,tbSkills!DH3:DJ6,3,FALSE),0),0))&gt;=100,100,(Backdoors!AI12+IF(AK100&gt;=0.45,VLOOKUP(Calculator!E23,tbSkills!DH3:DI6,2,FALSE)+IF(AND(Calculator!B8=TRUE,Backdoors!BI8=TRUE),VLOOKUP(Calculator!E23,tbSkills!DH3:DJ6,3,FALSE),0),0)))/100)),1))*IF(VLOOKUP(A100,tbMoveset!A2:K112,11,FALSE)=TRUE,Backdoors!AC5,1))*AL100,0),"")</f>
        <v>0</v>
      </c>
      <c r="AP100" s="49">
        <f>VLOOKUP(A100,tbMoveset!A2:G112,7,FALSE)*IFERROR(IF(Backdoors!AI12&gt;=0,1+(IF(Calculator!E40&gt;0,VLOOKUP(Calculator!E40,tbSkills!AI3:AJ5,2,FALSE),Backdoors!AL4)*(IF((Backdoors!AI12+IF(AK100&gt;=0.45,VLOOKUP(Calculator!E23,tbSkills!DH3:DI6,2,FALSE)+IF(AND(Calculator!B8=TRUE,Backdoors!BI8=TRUE),VLOOKUP(Calculator!E23,tbSkills!DH3:DJ6,3,FALSE),0),0))&gt;=100,100,(Backdoors!AI12+IF(AK100&gt;=0.45,VLOOKUP(Calculator!E23,tbSkills!DH3:DI6,2,FALSE)+IF(AND(Calculator!B8=TRUE,Backdoors!BI8=TRUE),VLOOKUP(Calculator!E23,tbSkills!DH3:DJ6,3,FALSE),0),0)))/100)),1),1)</f>
        <v>1</v>
      </c>
      <c r="AQ100" s="87">
        <f t="shared" si="56"/>
        <v>9</v>
      </c>
      <c r="AR100" s="86">
        <f>IFERROR(IF(VLOOKUP(A100,tbMoveset!A2:B112,2,FALSE)="Sever",Backdoors!AY9/100,IF(VLOOKUP(A100,tbMoveset!A2:B112,2,FALSE)="Blunt",Backdoors!AZ9/100,Backdoors!BA9/100)),"")</f>
        <v>0.45</v>
      </c>
      <c r="AS100" s="49">
        <f>IFERROR(IF(VLOOKUP(tbMoveset!A100,tbMoveset!A2:H112,8,FALSE)="Other",IF(VLOOKUP(tbMoveset!A100,tbMoveset!A2:I112,9,FALSE)="Fire",Backdoors!BB9,IF(VLOOKUP(tbMoveset!A100,tbMoveset!A2:I112,9,FALSE)="Water",Backdoors!BC9,IF(VLOOKUP(tbMoveset!A100,tbMoveset!A2:I112,9,FALSE)="Thunder",Backdoors!BD9,IF(VLOOKUP(tbMoveset!A100,tbMoveset!A2:I112,9,FALSE)="Ice",Backdoors!BE9,IF(VLOOKUP(tbMoveset!A100,tbMoveset!A2:I112,9,FALSE)="Dragon",Backdoors!BF9,Backdoors!BG9)))))/100,Backdoors!BG9/100),"")</f>
        <v>0</v>
      </c>
      <c r="AT100" s="49">
        <f>IFERROR(IF(VLOOKUP(A100,tbMoveset!A2:J112,10,FALSE)=TRUE,IF((Backdoors!AI12+IF(AR100&gt;=0.45,VLOOKUP(Calculator!E23,tbSkills!DH3:DI6,2,FALSE)+IF(AND(Calculator!B8=TRUE,Backdoors!BI9=TRUE),VLOOKUP(Calculator!E23,tbSkills!DH3:DJ6,3,FALSE),0),0))&gt;=0,1+(Backdoors!AL2*(IF((Backdoors!AI12+IF(AR100&gt;=0.45,VLOOKUP(Calculator!E23,tbSkills!DH3:DI6,2,FALSE)+IF(AND(Calculator!B8=TRUE,Backdoors!BI9=TRUE),VLOOKUP(Calculator!E23,tbSkills!DH3:DJ6,3,FALSE),0),0))&gt;=100,100,(Backdoors!AI12+IF(AR100&gt;=0.45,VLOOKUP(Calculator!E23,tbSkills!DH3:DI6,2,FALSE)+IF(AND(Calculator!B8=TRUE,Backdoors!BI9=TRUE),VLOOKUP(Calculator!E23,tbSkills!DH3:DJ6,3,FALSE),0),0)))/100)),(1-(0.25*((-Backdoors!AI12-IF(AR100&gt;=0.45,VLOOKUP(Calculator!E23,tbSkills!DH3:DI6,2,FALSE)+IF(AND(Calculator!B8=TRUE,Backdoors!BI9=TRUE),VLOOKUP(Calculator!E23,tbSkills!DH3:DJ6,3,FALSE),0),0))/100)))),1),"")</f>
        <v>1</v>
      </c>
      <c r="AU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R100)*AT100)*(VLOOKUP(A100,tbMoveset!A2:C112,3,FALSE)/100)*IF(VLOOKUP(A100,tbMoveset!A2:B112,2,FALSE)="Projectile",Backdoors!N10,Backdoors!N9),0),"")</f>
        <v>9</v>
      </c>
      <c r="AV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R100&gt;=0.45,VLOOKUP(Calculator!E23,tbSkills!DH3:DI6,2,FALSE)+IF(AND(Calculator!B8=TRUE,Backdoors!BI9=TRUE),VLOOKUP(Calculator!E23,tbSkills!DH3:DJ6,3,FALSE),0),0))&gt;=100,100,(Backdoors!AI12+IF(AR100&gt;=0.45,VLOOKUP(Calculator!E23,tbSkills!DH3:DI6,2,FALSE)+IF(AND(Calculator!B8=TRUE,Backdoors!BI9=TRUE),VLOOKUP(Calculator!E23,tbSkills!DH3:DJ6,3,FALSE),0),0)))/100)),1))*IF(VLOOKUP(A100,tbMoveset!A2:K112,11,FALSE)=TRUE,Backdoors!AC5,1))*AS100,0),"")</f>
        <v>0</v>
      </c>
      <c r="AW100" s="49">
        <f>VLOOKUP(A100,tbMoveset!A2:G112,7,FALSE)*IFERROR(IF(Backdoors!AI12&gt;=0,1+(IF(Calculator!E40&gt;0,VLOOKUP(Calculator!E40,tbSkills!AI3:AJ5,2,FALSE),Backdoors!AL4)*(IF((Backdoors!AI12+IF(AR100&gt;=0.45,VLOOKUP(Calculator!E23,tbSkills!DH3:DI6,2,FALSE)+IF(AND(Calculator!B8=TRUE,Backdoors!BI9=TRUE),VLOOKUP(Calculator!E23,tbSkills!DH3:DJ6,3,FALSE),0),0))&gt;=100,100,(Backdoors!AI12+IF(AR100&gt;=0.45,VLOOKUP(Calculator!E23,tbSkills!DH3:DI6,2,FALSE)+IF(AND(Calculator!B8=TRUE,Backdoors!BI9=TRUE),VLOOKUP(Calculator!E23,tbSkills!DH3:DJ6,3,FALSE),0),0)))/100)),1),1)</f>
        <v>1</v>
      </c>
      <c r="AX100" s="87">
        <f t="shared" si="57"/>
        <v>9</v>
      </c>
      <c r="AY100" s="86">
        <f>IFERROR(IF(VLOOKUP(A100,tbMoveset!A2:B112,2,FALSE)="Sever",Backdoors!AY10/100,IF(VLOOKUP(A100,tbMoveset!A2:B112,2,FALSE)="Blunt",Backdoors!AZ10/100,Backdoors!BA10/100)),"")</f>
        <v>0.9</v>
      </c>
      <c r="AZ100" s="49">
        <f>IFERROR(IF(VLOOKUP(tbMoveset!A100,tbMoveset!A2:H112,8,FALSE)="Other",IF(VLOOKUP(tbMoveset!A100,tbMoveset!A2:I112,9,FALSE)="Fire",Backdoors!BB10,IF(VLOOKUP(tbMoveset!A100,tbMoveset!A2:I112,9,FALSE)="Water",Backdoors!BC10,IF(VLOOKUP(tbMoveset!A100,tbMoveset!A2:I112,9,FALSE)="Thunder",Backdoors!BD10,IF(VLOOKUP(tbMoveset!A100,tbMoveset!A2:I112,9,FALSE)="Ice",Backdoors!BE10,IF(VLOOKUP(tbMoveset!A100,tbMoveset!A2:I112,9,FALSE)="Dragon",Backdoors!BF10,Backdoors!BG10)))))/100,Backdoors!BG10/100),"")</f>
        <v>0</v>
      </c>
      <c r="BA100" s="49">
        <f>IFERROR(IF(VLOOKUP(A100,tbMoveset!A2:J112,10,FALSE)=TRUE,IF((Backdoors!AI12+IF(AY100&gt;=0.45,VLOOKUP(Calculator!E23,tbSkills!DH3:DI6,2,FALSE)+IF(AND(Calculator!B8=TRUE,Backdoors!BI10=TRUE),VLOOKUP(Calculator!E23,tbSkills!DH3:DJ6,3,FALSE),0),0))&gt;=0,1+(Backdoors!AL2*(IF((Backdoors!AI12+IF(AY100&gt;=0.45,VLOOKUP(Calculator!E23,tbSkills!DH3:DI6,2,FALSE)+IF(AND(Calculator!B8=TRUE,Backdoors!BI10=TRUE),VLOOKUP(Calculator!E23,tbSkills!DH3:DJ6,3,FALSE),0),0))&gt;=100,100,(Backdoors!AI12+IF(AY100&gt;=0.45,VLOOKUP(Calculator!E23,tbSkills!DH3:DI6,2,FALSE)+IF(AND(Calculator!B8=TRUE,Backdoors!BI10=TRUE),VLOOKUP(Calculator!E23,tbSkills!DH3:DJ6,3,FALSE),0),0)))/100)),(1-(0.25*((-Backdoors!AI12-IF(AY100&gt;=0.45,VLOOKUP(Calculator!E23,tbSkills!DH3:DI6,2,FALSE)+IF(AND(Calculator!B8=TRUE,Backdoors!BI10=TRUE),VLOOKUP(Calculator!E23,tbSkills!DH3:DJ6,3,FALSE),0),0))/100)))),1),"")</f>
        <v>1</v>
      </c>
      <c r="BB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Y100)*BA100)*(VLOOKUP(A100,tbMoveset!A2:C112,3,FALSE)/100)*IF(VLOOKUP(A100,tbMoveset!A2:B112,2,FALSE)="Projectile",Backdoors!N10,Backdoors!N9),0),"")</f>
        <v>17</v>
      </c>
      <c r="BC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Y100&gt;=0.45,VLOOKUP(Calculator!E23,tbSkills!DH3:DI6,2,FALSE)+IF(AND(Calculator!B8=TRUE,Backdoors!BI10=TRUE),VLOOKUP(Calculator!E23,tbSkills!DH3:DJ6,3,FALSE),0),0))&gt;=100,100,(Backdoors!AI12+IF(AY100&gt;=0.45,VLOOKUP(Calculator!E23,tbSkills!DH3:DI6,2,FALSE)+IF(AND(Calculator!B8=TRUE,Backdoors!BI10=TRUE),VLOOKUP(Calculator!E23,tbSkills!DH3:DJ6,3,FALSE),0),0)))/100)),1))*IF(VLOOKUP(A100,tbMoveset!A2:K112,11,FALSE)=TRUE,Backdoors!AC5,1))*AZ100,0),"")</f>
        <v>0</v>
      </c>
      <c r="BD100" s="49">
        <f>VLOOKUP(A100,tbMoveset!A2:G112,7,FALSE)*IFERROR(IF(Backdoors!AI12&gt;=0,1+(IF(Calculator!E40&gt;0,VLOOKUP(Calculator!E40,tbSkills!AI3:AJ5,2,FALSE),Backdoors!AL4)*(IF((Backdoors!AI12+IF(AY100&gt;=0.45,VLOOKUP(Calculator!E23,tbSkills!DH3:DI6,2,FALSE)+IF(AND(Calculator!B8=TRUE,Backdoors!BI10=TRUE),VLOOKUP(Calculator!E23,tbSkills!DH3:DJ6,3,FALSE),0),0))&gt;=100,100,(Backdoors!AI12+IF(AY100&gt;=0.45,VLOOKUP(Calculator!E23,tbSkills!DH3:DI6,2,FALSE)+IF(AND(Calculator!B8=TRUE,Backdoors!BI10=TRUE),VLOOKUP(Calculator!E23,tbSkills!DH3:DJ6,3,FALSE),0),0)))/100)),1),1)</f>
        <v>1</v>
      </c>
      <c r="BE100" s="87">
        <f t="shared" si="58"/>
        <v>17</v>
      </c>
      <c r="BF100" s="86" t="str">
        <f>IFERROR(IF(VLOOKUP(A100,tbMoveset!A2:B112,2,FALSE)="Sever",Backdoors!AY11/100,IF(VLOOKUP(A100,tbMoveset!A2:B112,2,FALSE)="Blunt",Backdoors!AZ11/100,Backdoors!BA11/100)),"")</f>
        <v/>
      </c>
      <c r="BG100" s="49">
        <f>IFERROR(IF(VLOOKUP(tbMoveset!A100,tbMoveset!A2:H112,8,FALSE)="Other",IF(VLOOKUP(tbMoveset!A100,tbMoveset!A2:I112,9,FALSE)="Fire",Backdoors!BB11,IF(VLOOKUP(tbMoveset!A100,tbMoveset!A2:I112,9,FALSE)="Water",Backdoors!BC11,IF(VLOOKUP(tbMoveset!A100,tbMoveset!A2:I112,9,FALSE)="Thunder",Backdoors!BD11,IF(VLOOKUP(tbMoveset!A100,tbMoveset!A2:I112,9,FALSE)="Ice",Backdoors!BE11,IF(VLOOKUP(tbMoveset!A100,tbMoveset!A2:I112,9,FALSE)="Dragon",Backdoors!BF11,Backdoors!BG11)))))/100,Backdoors!BG11/100),"")</f>
        <v>0</v>
      </c>
      <c r="BH100" s="49">
        <f>IFERROR(IF(VLOOKUP(A100,tbMoveset!A2:J112,10,FALSE)=TRUE,IF((Backdoors!AI12+IF(BF100&gt;=0.45,VLOOKUP(Calculator!E23,tbSkills!DH3:DI6,2,FALSE)+IF(AND(Calculator!B8=TRUE,Backdoors!BI11=TRUE),VLOOKUP(Calculator!E23,tbSkills!DH3:DJ6,3,FALSE),0),0))&gt;=0,1+(Backdoors!AL2*(IF((Backdoors!AI12+IF(BF100&gt;=0.45,VLOOKUP(Calculator!E23,tbSkills!DH3:DI6,2,FALSE)+IF(AND(Calculator!B8=TRUE,Backdoors!BI11=TRUE),VLOOKUP(Calculator!E23,tbSkills!DH3:DJ6,3,FALSE),0),0))&gt;=100,100,(Backdoors!AI12+IF(BF100&gt;=0.45,VLOOKUP(Calculator!E23,tbSkills!DH3:DI6,2,FALSE)+IF(AND(Calculator!B8=TRUE,Backdoors!BI11=TRUE),VLOOKUP(Calculator!E23,tbSkills!DH3:DJ6,3,FALSE),0),0)))/100)),(1-(0.25*((-Backdoors!AI12-IF(BF100&gt;=0.45,VLOOKUP(Calculator!E23,tbSkills!DH3:DI6,2,FALSE)+IF(AND(Calculator!B8=TRUE,Backdoors!BI11=TRUE),VLOOKUP(Calculator!E23,tbSkills!DH3:DJ6,3,FALSE),0),0))/100)))),1),"")</f>
        <v>1</v>
      </c>
      <c r="BI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F100)*BH100)*(VLOOKUP(A100,tbMoveset!A2:C112,3,FALSE)/100)*IF(VLOOKUP(A100,tbMoveset!A2:B112,2,FALSE)="Projectile",Backdoors!N10,Backdoors!N9),0),"")</f>
        <v/>
      </c>
      <c r="BJ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F100&gt;=0.45,VLOOKUP(Calculator!E23,tbSkills!DH3:DI6,2,FALSE)+IF(AND(Calculator!B8=TRUE,Backdoors!BI11=TRUE),VLOOKUP(Calculator!E23,tbSkills!DH3:DJ6,3,FALSE),0),0))&gt;=100,100,(Backdoors!AI12+IF(BF100&gt;=0.45,VLOOKUP(Calculator!E23,tbSkills!DH3:DI6,2,FALSE)+IF(AND(Calculator!B8=TRUE,Backdoors!BI11=TRUE),VLOOKUP(Calculator!E23,tbSkills!DH3:DJ6,3,FALSE),0),0)))/100)),1))*IF(VLOOKUP(A100,tbMoveset!A2:K112,11,FALSE)=TRUE,Backdoors!AC5,1))*BG100,0),"")</f>
        <v>0</v>
      </c>
      <c r="BK100" s="49">
        <f>VLOOKUP(A100,tbMoveset!A2:G112,7,FALSE)*IFERROR(IF(Backdoors!AI12&gt;=0,1+(IF(Calculator!E40&gt;0,VLOOKUP(Calculator!E40,tbSkills!AI3:AJ5,2,FALSE),Backdoors!AL4)*(IF((Backdoors!AI12+IF(BF100&gt;=0.45,VLOOKUP(Calculator!E23,tbSkills!DH3:DI6,2,FALSE)+IF(AND(Calculator!B8=TRUE,Backdoors!BI11=TRUE),VLOOKUP(Calculator!E23,tbSkills!DH3:DJ6,3,FALSE),0),0))&gt;=100,100,(Backdoors!AI12+IF(BF100&gt;=0.45,VLOOKUP(Calculator!E23,tbSkills!DH3:DI6,2,FALSE)+IF(AND(Calculator!B8=TRUE,Backdoors!BI11=TRUE),VLOOKUP(Calculator!E23,tbSkills!DH3:DJ6,3,FALSE),0),0)))/100)),1),1)</f>
        <v>1</v>
      </c>
      <c r="BL100" s="87">
        <f t="shared" si="59"/>
        <v>0</v>
      </c>
      <c r="BM100" s="86" t="str">
        <f>IFERROR(IF(VLOOKUP(A100,tbMoveset!A2:B112,2,FALSE)="Sever",Backdoors!AY12/100,IF(VLOOKUP(A100,tbMoveset!A2:B112,2,FALSE)="Blunt",Backdoors!AZ12/100,Backdoors!BA12/100)),"")</f>
        <v/>
      </c>
      <c r="BN100" s="49">
        <f>IFERROR(IF(VLOOKUP(tbMoveset!A100,tbMoveset!A2:H112,8,FALSE)="Other",IF(VLOOKUP(tbMoveset!A100,tbMoveset!A2:I112,9,FALSE)="Fire",Backdoors!BB12,IF(VLOOKUP(tbMoveset!A100,tbMoveset!A2:I112,9,FALSE)="Water",Backdoors!BC12,IF(VLOOKUP(tbMoveset!A100,tbMoveset!A2:I112,9,FALSE)="Thunder",Backdoors!BD12,IF(VLOOKUP(tbMoveset!A100,tbMoveset!A2:I112,9,FALSE)="Ice",Backdoors!BE12,IF(VLOOKUP(tbMoveset!A100,tbMoveset!A2:I112,9,FALSE)="Dragon",Backdoors!BF12,Backdoors!BG12)))))/100,Backdoors!BG12/100),"")</f>
        <v>0</v>
      </c>
      <c r="BO100" s="49">
        <f>IFERROR(IF(VLOOKUP(A100,tbMoveset!A2:J112,10,FALSE)=TRUE,IF((Backdoors!AI12+IF(BM100&gt;=0.45,VLOOKUP(Calculator!E23,tbSkills!DH3:DI6,2,FALSE)+IF(AND(Calculator!B8=TRUE,Backdoors!BI12=TRUE),VLOOKUP(Calculator!E23,tbSkills!DH3:DJ6,3,FALSE),0),0))&gt;=0,1+(Backdoors!AL2*(IF((Backdoors!AI12+IF(BM100&gt;=0.45,VLOOKUP(Calculator!E23,tbSkills!DH3:DI6,2,FALSE)+IF(AND(Calculator!B8=TRUE,Backdoors!BI12=TRUE),VLOOKUP(Calculator!E23,tbSkills!DH3:DJ6,3,FALSE),0),0))&gt;=100,100,(Backdoors!AI12+IF(BM100&gt;=0.45,VLOOKUP(Calculator!E23,tbSkills!DH3:DI6,2,FALSE)+IF(AND(Calculator!B8=TRUE,Backdoors!BI12=TRUE),VLOOKUP(Calculator!E23,tbSkills!DH3:DJ6,3,FALSE),0),0)))/100)),(1-(0.25*((-Backdoors!AI12-IF(BM100&gt;=0.45,VLOOKUP(Calculator!E23,tbSkills!DH3:DI6,2,FALSE)+IF(AND(Calculator!B8=TRUE,Backdoors!BI12=TRUE),VLOOKUP(Calculator!E23,tbSkills!DH3:DJ6,3,FALSE),0),0))/100)))),1),"")</f>
        <v>1</v>
      </c>
      <c r="BP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M100)*BO100)*(VLOOKUP(A100,tbMoveset!A2:C112,3,FALSE)/100)*IF(VLOOKUP(A100,tbMoveset!A2:B112,2,FALSE)="Projectile",Backdoors!N10,Backdoors!N9),0),"")</f>
        <v/>
      </c>
      <c r="BQ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M100&gt;=0.45,VLOOKUP(Calculator!E23,tbSkills!DH3:DI6,2,FALSE)+IF(AND(Calculator!B8=TRUE,Backdoors!BI12=TRUE),VLOOKUP(Calculator!E23,tbSkills!DH3:DJ6,3,FALSE),0),0))&gt;=100,100,(Backdoors!AI12+IF(BM100&gt;=0.45,VLOOKUP(Calculator!E23,tbSkills!DH3:DI6,2,FALSE)+IF(AND(Calculator!B8=TRUE,Backdoors!BI12=TRUE),VLOOKUP(Calculator!E23,tbSkills!DH3:DJ6,3,FALSE),0),0)))/100)),1))*IF(VLOOKUP(A100,tbMoveset!A2:K112,11,FALSE)=TRUE,Backdoors!AC5,1))*BN100,0),"")</f>
        <v>0</v>
      </c>
      <c r="BR100" s="49">
        <f>VLOOKUP(A100,tbMoveset!A2:G112,7,FALSE)*IFERROR(IF(Backdoors!AI12&gt;=0,1+(IF(Calculator!E40&gt;0,VLOOKUP(Calculator!E40,tbSkills!AI3:AJ5,2,FALSE),Backdoors!AL4)*(IF((Backdoors!AI12+IF(BM100&gt;=0.45,VLOOKUP(Calculator!E23,tbSkills!DH3:DI6,2,FALSE)+IF(AND(Calculator!B8=TRUE,Backdoors!BI12=TRUE),VLOOKUP(Calculator!E23,tbSkills!DH3:DJ6,3,FALSE),0),0))&gt;=100,100,(Backdoors!AI12+IF(BM100&gt;=0.45,VLOOKUP(Calculator!E23,tbSkills!DH3:DI6,2,FALSE)+IF(AND(Calculator!B8=TRUE,Backdoors!BI12=TRUE),VLOOKUP(Calculator!E23,tbSkills!DH3:DJ6,3,FALSE),0),0)))/100)),1),1)</f>
        <v>1</v>
      </c>
      <c r="BS100" s="87">
        <f t="shared" si="60"/>
        <v>0</v>
      </c>
      <c r="BT100" s="86" t="str">
        <f>IFERROR(IF(VLOOKUP(A100,tbMoveset!A2:B112,2,FALSE)="Sever",Backdoors!AY13/100,IF(VLOOKUP(A100,tbMoveset!A2:B112,2,FALSE)="Blunt",Backdoors!AZ13/100,Backdoors!BA13/100)),"")</f>
        <v/>
      </c>
      <c r="BU100" s="49">
        <f>IFERROR(IF(VLOOKUP(tbMoveset!A100,tbMoveset!A2:H112,8,FALSE)="Other",IF(VLOOKUP(tbMoveset!A100,tbMoveset!A2:I112,9,FALSE)="Fire",Backdoors!BB13,IF(VLOOKUP(tbMoveset!A100,tbMoveset!A2:I112,9,FALSE)="Water",Backdoors!BC13,IF(VLOOKUP(tbMoveset!A100,tbMoveset!A2:I112,9,FALSE)="Thunder",Backdoors!BD13,IF(VLOOKUP(tbMoveset!A100,tbMoveset!A2:I112,9,FALSE)="Ice",Backdoors!BE13,IF(VLOOKUP(tbMoveset!A100,tbMoveset!A2:I112,9,FALSE)="Dragon",Backdoors!BF13,Backdoors!BG13)))))/100,Backdoors!BG13/100),"")</f>
        <v>0</v>
      </c>
      <c r="BV100" s="49">
        <f>IFERROR(IF(VLOOKUP(A100,tbMoveset!A2:J112,10,FALSE)=TRUE,IF((Backdoors!AI12+IF(BT100&gt;=0.45,VLOOKUP(Calculator!E23,tbSkills!DH3:DI6,2,FALSE)+IF(AND(Calculator!B8=TRUE,Backdoors!BI13=TRUE),VLOOKUP(Calculator!E23,tbSkills!DH3:DJ6,3,FALSE),0),0))&gt;=0,1+(Backdoors!AL2*(IF((Backdoors!AI12+IF(BT100&gt;=0.45,VLOOKUP(Calculator!E23,tbSkills!DH3:DI6,2,FALSE)+IF(AND(Calculator!B8=TRUE,Backdoors!BI13=TRUE),VLOOKUP(Calculator!E23,tbSkills!DH3:DJ6,3,FALSE),0),0))&gt;=100,100,(Backdoors!AI12+IF(BT100&gt;=0.45,VLOOKUP(Calculator!E23,tbSkills!DH3:DI6,2,FALSE)+IF(AND(Calculator!B8=TRUE,Backdoors!BI13=TRUE),VLOOKUP(Calculator!E23,tbSkills!DH3:DJ6,3,FALSE),0),0)))/100)),(1-(0.25*((-Backdoors!AI12-IF(BT100&gt;=0.45,VLOOKUP(Calculator!E23,tbSkills!DH3:DI6,2,FALSE)+IF(AND(Calculator!B8=TRUE,Backdoors!BI13=TRUE),VLOOKUP(Calculator!E23,tbSkills!DH3:DJ6,3,FALSE),0),0))/100)))),1),"")</f>
        <v>1</v>
      </c>
      <c r="BW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T100)*BV100)*(VLOOKUP(A100,tbMoveset!A2:C112,3,FALSE)/100)*IF(VLOOKUP(A100,tbMoveset!A2:B112,2,FALSE)="Projectile",Backdoors!N10,Backdoors!N9),0),"")</f>
        <v/>
      </c>
      <c r="BX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T100&gt;=0.45,VLOOKUP(Calculator!E23,tbSkills!DH3:DI6,2,FALSE)+IF(AND(Calculator!B8=TRUE,Backdoors!BI13=TRUE),VLOOKUP(Calculator!E23,tbSkills!DH3:DJ6,3,FALSE),0),0))&gt;=100,100,(Backdoors!AI12+IF(BT100&gt;=0.45,VLOOKUP(Calculator!E23,tbSkills!DH3:DI6,2,FALSE)+IF(AND(Calculator!B8=TRUE,Backdoors!BI13=TRUE),VLOOKUP(Calculator!E23,tbSkills!DH3:DJ6,3,FALSE),0),0)))/100)),1))*IF(VLOOKUP(A100,tbMoveset!A2:K112,11,FALSE)=TRUE,Backdoors!AC5,1))*BU100,0),"")</f>
        <v>0</v>
      </c>
      <c r="BY100" s="49">
        <f>VLOOKUP(A100,tbMoveset!A2:G112,7,FALSE)*IFERROR(IF(Backdoors!AI12&gt;=0,1+(IF(Calculator!E40&gt;0,VLOOKUP(Calculator!E40,tbSkills!AI3:AJ5,2,FALSE),Backdoors!AL4)*(IF((Backdoors!AI12+IF(BT100&gt;=0.45,VLOOKUP(Calculator!E23,tbSkills!DH3:DI6,2,FALSE)+IF(AND(Calculator!B8=TRUE,Backdoors!BI13=TRUE),VLOOKUP(Calculator!E23,tbSkills!DH3:DJ6,3,FALSE),0),0))&gt;=100,100,(Backdoors!AI12+IF(BT100&gt;=0.45,VLOOKUP(Calculator!E23,tbSkills!DH3:DI6,2,FALSE)+IF(AND(Calculator!B8=TRUE,Backdoors!BI13=TRUE),VLOOKUP(Calculator!E23,tbSkills!DH3:DJ6,3,FALSE),0),0)))/100)),1),1)</f>
        <v>1</v>
      </c>
      <c r="BZ100" s="87">
        <f t="shared" si="61"/>
        <v>0</v>
      </c>
      <c r="CA100" s="86" t="str">
        <f>IFERROR(IF(VLOOKUP(A100,tbMoveset!A2:B112,2,FALSE)="Sever",Backdoors!AY14/100,IF(VLOOKUP(A100,tbMoveset!A2:B112,2,FALSE)="Blunt",Backdoors!AZ14/100,Backdoors!BA14/100)),"")</f>
        <v/>
      </c>
      <c r="CB100" s="49">
        <f>IFERROR(IF(VLOOKUP(tbMoveset!A100,tbMoveset!A2:H112,8,FALSE)="Other",IF(VLOOKUP(tbMoveset!A100,tbMoveset!A2:I112,9,FALSE)="Fire",Backdoors!BB14,IF(VLOOKUP(tbMoveset!A100,tbMoveset!A2:I112,9,FALSE)="Water",Backdoors!BC14,IF(VLOOKUP(tbMoveset!A100,tbMoveset!A2:I112,9,FALSE)="Thunder",Backdoors!BD14,IF(VLOOKUP(tbMoveset!A100,tbMoveset!A2:I112,9,FALSE)="Ice",Backdoors!BE14,IF(VLOOKUP(tbMoveset!A100,tbMoveset!A2:I112,9,FALSE)="Dragon",Backdoors!BF14,Backdoors!BG14)))))/100,Backdoors!BG14/100),"")</f>
        <v>0</v>
      </c>
      <c r="CC100" s="49">
        <f>IFERROR(IF(VLOOKUP(A100,tbMoveset!A2:J112,10,FALSE)=TRUE,IF((Backdoors!AI12+IF(CA100&gt;=0.45,VLOOKUP(Calculator!E23,tbSkills!DH3:DI6,2,FALSE)+IF(AND(Calculator!B8=TRUE,Backdoors!BI14=TRUE),VLOOKUP(Calculator!E23,tbSkills!DH3:DJ6,3,FALSE),0),0))&gt;=0,1+(Backdoors!AL2*(IF((Backdoors!AI12+IF(CA100&gt;=0.45,VLOOKUP(Calculator!E23,tbSkills!DH3:DI6,2,FALSE)+IF(AND(Calculator!B8=TRUE,Backdoors!BI14=TRUE),VLOOKUP(Calculator!E23,tbSkills!DH3:DJ6,3,FALSE),0),0))&gt;=100,100,(Backdoors!AI12+IF(CA100&gt;=0.45,VLOOKUP(Calculator!E23,tbSkills!DH3:DI6,2,FALSE)+IF(AND(Calculator!B8=TRUE,Backdoors!BI14=TRUE),VLOOKUP(Calculator!E23,tbSkills!DH3:DJ6,3,FALSE),0),0)))/100)),(1-(0.25*((-Backdoors!AI12-IF(CA100&gt;=0.45,VLOOKUP(Calculator!E23,tbSkills!DH3:DI6,2,FALSE)+IF(AND(Calculator!B8=TRUE,Backdoors!BI14=TRUE),VLOOKUP(Calculator!E23,tbSkills!DH3:DJ6,3,FALSE),0),0))/100)))),1),"")</f>
        <v>1</v>
      </c>
      <c r="CD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A100)*CC100)*(VLOOKUP(A100,tbMoveset!A2:C112,3,FALSE)/100)*IF(VLOOKUP(A100,tbMoveset!A2:B112,2,FALSE)="Projectile",Backdoors!N10,Backdoors!N9),0),"")</f>
        <v/>
      </c>
      <c r="CE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A100&gt;=0.45,VLOOKUP(Calculator!E23,tbSkills!DH3:DI6,2,FALSE)+IF(AND(Calculator!B8=TRUE,Backdoors!BI14=TRUE),VLOOKUP(Calculator!E23,tbSkills!DH3:DJ6,3,FALSE),0),0))&gt;=100,100,(Backdoors!AI12+IF(CA100&gt;=0.45,VLOOKUP(Calculator!E23,tbSkills!DH3:DI6,2,FALSE)+IF(AND(Calculator!B8=TRUE,Backdoors!BI14=TRUE),VLOOKUP(Calculator!E23,tbSkills!DH3:DJ6,3,FALSE),0),0)))/100)),1))*IF(VLOOKUP(A100,tbMoveset!A2:K112,11,FALSE)=TRUE,Backdoors!AC5,1))*CB100,0),"")</f>
        <v>0</v>
      </c>
      <c r="CF100" s="49">
        <f>VLOOKUP(A100,tbMoveset!A2:G112,7,FALSE)*IFERROR(IF(Backdoors!AI12&gt;=0,1+(IF(Calculator!E40&gt;0,VLOOKUP(Calculator!E40,tbSkills!AI3:AJ5,2,FALSE),Backdoors!AL4)*(IF((Backdoors!AI12+IF(CA100&gt;=0.45,VLOOKUP(Calculator!E23,tbSkills!DH3:DI6,2,FALSE)+IF(AND(Calculator!B8=TRUE,Backdoors!BI14=TRUE),VLOOKUP(Calculator!E23,tbSkills!DH3:DJ6,3,FALSE),0),0))&gt;=100,100,(Backdoors!AI12+IF(CA100&gt;=0.45,VLOOKUP(Calculator!E23,tbSkills!DH3:DI6,2,FALSE)+IF(AND(Calculator!B8=TRUE,Backdoors!BI14=TRUE),VLOOKUP(Calculator!E23,tbSkills!DH3:DJ6,3,FALSE),0),0)))/100)),1),1)</f>
        <v>1</v>
      </c>
      <c r="CG100" s="87">
        <f t="shared" si="62"/>
        <v>0</v>
      </c>
      <c r="CH100" s="86" t="str">
        <f>IFERROR(IF(VLOOKUP(A100,tbMoveset!A2:B112,2,FALSE)="Sever",Backdoors!AY15/100,IF(VLOOKUP(A100,tbMoveset!A2:B112,2,FALSE)="Blunt",Backdoors!AZ15/100,Backdoors!BA15/100)),"")</f>
        <v/>
      </c>
      <c r="CI100" s="49">
        <f>IFERROR(IF(VLOOKUP(tbMoveset!A100,tbMoveset!A2:H112,8,FALSE)="Other",IF(VLOOKUP(tbMoveset!A100,tbMoveset!A2:I112,9,FALSE)="Fire",Backdoors!BB15,IF(VLOOKUP(tbMoveset!A100,tbMoveset!A2:I112,9,FALSE)="Water",Backdoors!BC15,IF(VLOOKUP(tbMoveset!A100,tbMoveset!A2:I112,9,FALSE)="Thunder",Backdoors!BD15,IF(VLOOKUP(tbMoveset!A100,tbMoveset!A2:I112,9,FALSE)="Ice",Backdoors!BE15,IF(VLOOKUP(tbMoveset!A100,tbMoveset!A2:I112,9,FALSE)="Dragon",Backdoors!BF15,Backdoors!BG15)))))/100,Backdoors!BG15/100),"")</f>
        <v>0</v>
      </c>
      <c r="CJ100" s="49">
        <f>IFERROR(IF(VLOOKUP(A100,tbMoveset!A2:J112,10,FALSE)=TRUE,IF((Backdoors!AI12+IF(CH100&gt;=0.45,VLOOKUP(Calculator!E23,tbSkills!DH3:DI6,2,FALSE)+IF(AND(Calculator!B8=TRUE,Backdoors!BI15=TRUE),VLOOKUP(Calculator!E23,tbSkills!DH3:DJ6,3,FALSE),0),0))&gt;=0,1+(Backdoors!AL2*(IF((Backdoors!AI12+IF(CH100&gt;=0.45,VLOOKUP(Calculator!E23,tbSkills!DH3:DI6,2,FALSE)+IF(AND(Calculator!B8=TRUE,Backdoors!BI15=TRUE),VLOOKUP(Calculator!E23,tbSkills!DH3:DJ6,3,FALSE),0),0))&gt;=100,100,(Backdoors!AI12+IF(CH100&gt;=0.45,VLOOKUP(Calculator!E23,tbSkills!DH3:DI6,2,FALSE)+IF(AND(Calculator!B8=TRUE,Backdoors!BI15=TRUE),VLOOKUP(Calculator!E23,tbSkills!DH3:DJ6,3,FALSE),0),0)))/100)),(1-(0.25*((-Backdoors!AI12-IF(CH100&gt;=0.45,VLOOKUP(Calculator!E23,tbSkills!DH3:DI6,2,FALSE)+IF(AND(Calculator!B8=TRUE,Backdoors!BI15=TRUE),VLOOKUP(Calculator!E23,tbSkills!DH3:DJ6,3,FALSE),0),0))/100)))),1),"")</f>
        <v>1</v>
      </c>
      <c r="CK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H100)*CJ100)*(VLOOKUP(A100,tbMoveset!A2:C112,3,FALSE)/100)*IF(VLOOKUP(A100,tbMoveset!A2:B112,2,FALSE)="Projectile",Backdoors!N10,Backdoors!N9),0),"")</f>
        <v/>
      </c>
      <c r="CL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H100&gt;=0.45,VLOOKUP(Calculator!E23,tbSkills!DH3:DI6,2,FALSE)+IF(AND(Calculator!B8=TRUE,Backdoors!BI15=TRUE),VLOOKUP(Calculator!E23,tbSkills!DH3:DJ6,3,FALSE),0),0))&gt;=100,100,(Backdoors!AI12+IF(CH100&gt;=0.45,VLOOKUP(Calculator!E23,tbSkills!DH3:DI6,2,FALSE)+IF(AND(Calculator!B8=TRUE,Backdoors!BI15=TRUE),VLOOKUP(Calculator!E23,tbSkills!DH3:DJ6,3,FALSE),0),0)))/100)),1))*IF(VLOOKUP(A100,tbMoveset!A2:K112,11,FALSE)=TRUE,Backdoors!AC5,1))*CI100,0),"")</f>
        <v>0</v>
      </c>
      <c r="CM100" s="49">
        <f>VLOOKUP(A100,tbMoveset!A2:G112,7,FALSE)*IFERROR(IF(Backdoors!AI12&gt;=0,1+(IF(Calculator!E40&gt;0,VLOOKUP(Calculator!E40,tbSkills!AI3:AJ5,2,FALSE),Backdoors!AL4)*(IF((Backdoors!AI12+IF(CH100&gt;=0.45,VLOOKUP(Calculator!E23,tbSkills!DH3:DI6,2,FALSE)+IF(AND(Calculator!B8=TRUE,Backdoors!BI15=TRUE),VLOOKUP(Calculator!E23,tbSkills!DH3:DJ6,3,FALSE),0),0))&gt;=100,100,(Backdoors!AI12+IF(CH100&gt;=0.45,VLOOKUP(Calculator!E23,tbSkills!DH3:DI6,2,FALSE)+IF(AND(Calculator!B8=TRUE,Backdoors!BI15=TRUE),VLOOKUP(Calculator!E23,tbSkills!DH3:DJ6,3,FALSE),0),0)))/100)),1),1)</f>
        <v>1</v>
      </c>
      <c r="CN100" s="87">
        <f t="shared" si="63"/>
        <v>0</v>
      </c>
      <c r="CO100" s="86" t="str">
        <f>IFERROR(IF(VLOOKUP(A100,tbMoveset!A2:B112,2,FALSE)="Sever",Backdoors!AY16/100,IF(VLOOKUP(A100,tbMoveset!A2:B112,2,FALSE)="Blunt",Backdoors!AZ16/100,Backdoors!BA16/100)),"")</f>
        <v/>
      </c>
      <c r="CP100" s="49">
        <f>IFERROR(IF(VLOOKUP(tbMoveset!A100,tbMoveset!A2:H112,8,FALSE)="Other",IF(VLOOKUP(tbMoveset!A100,tbMoveset!A2:I112,9,FALSE)="Fire",Backdoors!BB16,IF(VLOOKUP(tbMoveset!A100,tbMoveset!A2:I112,9,FALSE)="Water",Backdoors!BC16,IF(VLOOKUP(tbMoveset!A100,tbMoveset!A2:I112,9,FALSE)="Thunder",Backdoors!BD16,IF(VLOOKUP(tbMoveset!A100,tbMoveset!A2:I112,9,FALSE)="Ice",Backdoors!BE16,IF(VLOOKUP(tbMoveset!A100,tbMoveset!A2:I112,9,FALSE)="Dragon",Backdoors!BF16,Backdoors!BG16)))))/100,Backdoors!BG16/100),"")</f>
        <v>0</v>
      </c>
      <c r="CQ100" s="49">
        <f>IFERROR(IF(VLOOKUP(A100,tbMoveset!A2:J112,10,FALSE)=TRUE,IF((Backdoors!AI12+IF(CO100&gt;=0.45,VLOOKUP(Calculator!E23,tbSkills!DH3:DI6,2,FALSE)+IF(AND(Calculator!B8=TRUE,Backdoors!BI16=TRUE),VLOOKUP(Calculator!E23,tbSkills!DH3:DJ6,3,FALSE),0),0))&gt;=0,1+(Backdoors!AL2*(IF((Backdoors!AI12+IF(CO100&gt;=0.45,VLOOKUP(Calculator!E23,tbSkills!DH3:DI6,2,FALSE)+IF(AND(Calculator!B8=TRUE,Backdoors!BI16=TRUE),VLOOKUP(Calculator!E23,tbSkills!DH3:DJ6,3,FALSE),0),0))&gt;=100,100,(Backdoors!AI12+IF(CO100&gt;=0.45,VLOOKUP(Calculator!E23,tbSkills!DH3:DI6,2,FALSE)+IF(AND(Calculator!B8=TRUE,Backdoors!BI16=TRUE),VLOOKUP(Calculator!E23,tbSkills!DH3:DJ6,3,FALSE),0),0)))/100)),(1-(0.25*((-Backdoors!AI12-IF(CO100&gt;=0.45,VLOOKUP(Calculator!E23,tbSkills!DH3:DI6,2,FALSE)+IF(AND(Calculator!B8=TRUE,Backdoors!BI16=TRUE),VLOOKUP(Calculator!E23,tbSkills!DH3:DJ6,3,FALSE),0),0))/100)))),1),"")</f>
        <v>1</v>
      </c>
      <c r="CR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O100)*CQ100)*(VLOOKUP(A100,tbMoveset!A2:C112,3,FALSE)/100)*IF(VLOOKUP(A100,tbMoveset!A2:B112,2,FALSE)="Projectile",Backdoors!N10,Backdoors!N9),0),"")</f>
        <v/>
      </c>
      <c r="CS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O100&gt;=0.45,VLOOKUP(Calculator!E23,tbSkills!DH3:DI6,2,FALSE)+IF(AND(Calculator!B8=TRUE,Backdoors!BI16=TRUE),VLOOKUP(Calculator!E23,tbSkills!DH3:DJ6,3,FALSE),0),0))&gt;=100,100,(Backdoors!AI12+IF(CO100&gt;=0.45,VLOOKUP(Calculator!E23,tbSkills!DH3:DI6,2,FALSE)+IF(AND(Calculator!B8=TRUE,Backdoors!BI16=TRUE),VLOOKUP(Calculator!E23,tbSkills!DH3:DJ6,3,FALSE),0),0)))/100)),1))*IF(VLOOKUP(A100,tbMoveset!A2:K112,11,FALSE)=TRUE,Backdoors!AC5,1))*CP100,0),"")</f>
        <v>0</v>
      </c>
      <c r="CT100" s="49">
        <f>VLOOKUP(A100,tbMoveset!A2:G112,7,FALSE)*IFERROR(IF(Backdoors!AI12&gt;=0,1+(IF(Calculator!E40&gt;0,VLOOKUP(Calculator!E40,tbSkills!AI3:AJ5,2,FALSE),Backdoors!AL4)*(IF((Backdoors!AI12+IF(CO100&gt;=0.45,VLOOKUP(Calculator!E23,tbSkills!DH3:DI6,2,FALSE)+IF(AND(Calculator!B8=TRUE,Backdoors!BI16=TRUE),VLOOKUP(Calculator!E23,tbSkills!DH3:DJ6,3,FALSE),0),0))&gt;=100,100,(Backdoors!AI12+IF(CO100&gt;=0.45,VLOOKUP(Calculator!E23,tbSkills!DH3:DI6,2,FALSE)+IF(AND(Calculator!B8=TRUE,Backdoors!BI16=TRUE),VLOOKUP(Calculator!E23,tbSkills!DH3:DJ6,3,FALSE),0),0)))/100)),1),1)</f>
        <v>1</v>
      </c>
      <c r="CU100" s="87">
        <f t="shared" si="64"/>
        <v>0</v>
      </c>
      <c r="CV100" s="86" t="str">
        <f>IFERROR(IF(VLOOKUP(A100,tbMoveset!A2:B112,2,FALSE)="Sever",Backdoors!AY17/100,IF(VLOOKUP(A100,tbMoveset!A2:B112,2,FALSE)="Blunt",Backdoors!AZ17/100,Backdoors!BA17/100)),"")</f>
        <v/>
      </c>
      <c r="CW100" s="49">
        <f>IFERROR(IF(VLOOKUP(tbMoveset!A100,tbMoveset!A2:H112,8,FALSE)="Other",IF(VLOOKUP(tbMoveset!A100,tbMoveset!A2:I112,9,FALSE)="Fire",Backdoors!BB17,IF(VLOOKUP(tbMoveset!A100,tbMoveset!A2:I112,9,FALSE)="Water",Backdoors!BC17,IF(VLOOKUP(tbMoveset!A100,tbMoveset!A2:I112,9,FALSE)="Thunder",Backdoors!BD17,IF(VLOOKUP(tbMoveset!A100,tbMoveset!A2:I112,9,FALSE)="Ice",Backdoors!BE17,IF(VLOOKUP(tbMoveset!A100,tbMoveset!A2:I112,9,FALSE)="Dragon",Backdoors!BF17,Backdoors!BG17)))))/100,Backdoors!BG17/100),"")</f>
        <v>0</v>
      </c>
      <c r="CX100" s="49">
        <f>IFERROR(IF(VLOOKUP(A100,tbMoveset!A2:J112,10,FALSE)=TRUE,IF((Backdoors!AI12+IF(CV100&gt;=0.45,VLOOKUP(Calculator!E23,tbSkills!DH3:DI6,2,FALSE)+IF(AND(Calculator!B8=TRUE,Backdoors!BI17=TRUE),VLOOKUP(Calculator!E23,tbSkills!DH3:DJ6,3,FALSE),0),0))&gt;=0,1+(Backdoors!AL2*(IF((Backdoors!AI12+IF(CV100&gt;=0.45,VLOOKUP(Calculator!E23,tbSkills!DH3:DI6,2,FALSE)+IF(AND(Calculator!B8=TRUE,Backdoors!BI17=TRUE),VLOOKUP(Calculator!E23,tbSkills!DH3:DJ6,3,FALSE),0),0))&gt;=100,100,(Backdoors!AI12+IF(CV100&gt;=0.45,VLOOKUP(Calculator!E23,tbSkills!DH3:DI6,2,FALSE)+IF(AND(Calculator!B8=TRUE,Backdoors!BI17=TRUE),VLOOKUP(Calculator!E23,tbSkills!DH3:DJ6,3,FALSE),0),0)))/100)),(1-(0.25*((-Backdoors!AI12-IF(CV100&gt;=0.45,VLOOKUP(Calculator!E23,tbSkills!DH3:DI6,2,FALSE)+IF(AND(Calculator!B8=TRUE,Backdoors!BI17=TRUE),VLOOKUP(Calculator!E23,tbSkills!DH3:DJ6,3,FALSE),0),0))/100)))),1),"")</f>
        <v>1</v>
      </c>
      <c r="CY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V100)*CX100)*(VLOOKUP(A100,tbMoveset!A2:C112,3,FALSE)/100)*IF(VLOOKUP(A100,tbMoveset!A2:B112,2,FALSE)="Projectile",Backdoors!N10,Backdoors!N9),0),"")</f>
        <v/>
      </c>
      <c r="CZ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V100&gt;=0.45,VLOOKUP(Calculator!E23,tbSkills!DH3:DI6,2,FALSE)+IF(AND(Calculator!B8=TRUE,Backdoors!BI17=TRUE),VLOOKUP(Calculator!E23,tbSkills!DH3:DJ6,3,FALSE),0),0))&gt;=100,100,(Backdoors!AI12+IF(CV100&gt;=0.45,VLOOKUP(Calculator!E23,tbSkills!DH3:DI6,2,FALSE)+IF(AND(Calculator!B8=TRUE,Backdoors!BI17=TRUE),VLOOKUP(Calculator!E23,tbSkills!DH3:DJ6,3,FALSE),0),0)))/100)),1))*IF(VLOOKUP(A100,tbMoveset!A2:K112,11,FALSE)=TRUE,Backdoors!AC5,1))*CW100,0),"")</f>
        <v>0</v>
      </c>
      <c r="DA100" s="49">
        <f>VLOOKUP(A100,tbMoveset!A2:G112,7,FALSE)*IFERROR(IF(Backdoors!AI12&gt;=0,1+(IF(Calculator!E40&gt;0,VLOOKUP(Calculator!E40,tbSkills!AI3:AJ5,2,FALSE),Backdoors!AL4)*(IF((Backdoors!AI12+IF(CV100&gt;=0.45,VLOOKUP(Calculator!E23,tbSkills!DH3:DI6,2,FALSE)+IF(AND(Calculator!B8=TRUE,Backdoors!BI17=TRUE),VLOOKUP(Calculator!E23,tbSkills!DH3:DJ6,3,FALSE),0),0))&gt;=100,100,(Backdoors!AI12+IF(CV100&gt;=0.45,VLOOKUP(Calculator!E23,tbSkills!DH3:DI6,2,FALSE)+IF(AND(Calculator!B8=TRUE,Backdoors!BI17=TRUE),VLOOKUP(Calculator!E23,tbSkills!DH3:DJ6,3,FALSE),0),0)))/100)),1),1)</f>
        <v>1</v>
      </c>
      <c r="DB100" s="87">
        <f t="shared" si="65"/>
        <v>0</v>
      </c>
      <c r="DC100" s="86" t="str">
        <f>IFERROR(IF(VLOOKUP(A100,tbMoveset!A2:B112,2,FALSE)="Sever",Backdoors!AY18/100,IF(VLOOKUP(A100,tbMoveset!A2:B112,2,FALSE)="Blunt",Backdoors!AZ18/100,Backdoors!BA18/100)),"")</f>
        <v/>
      </c>
      <c r="DD100" s="49">
        <f>IFERROR(IF(VLOOKUP(tbMoveset!A100,tbMoveset!A2:H112,8,FALSE)="Other",IF(VLOOKUP(tbMoveset!A100,tbMoveset!A2:I112,9,FALSE)="Fire",Backdoors!BB18,IF(VLOOKUP(tbMoveset!A100,tbMoveset!A2:I112,9,FALSE)="Water",Backdoors!BC18,IF(VLOOKUP(tbMoveset!A100,tbMoveset!A2:I112,9,FALSE)="Thunder",Backdoors!BD18,IF(VLOOKUP(tbMoveset!A100,tbMoveset!A2:I112,9,FALSE)="Ice",Backdoors!BE18,IF(VLOOKUP(tbMoveset!A100,tbMoveset!A2:I112,9,FALSE)="Dragon",Backdoors!BF18,Backdoors!BG18)))))/100,Backdoors!BG18/100),"")</f>
        <v>0</v>
      </c>
      <c r="DE100" s="49">
        <f>IFERROR(IF(VLOOKUP(A100,tbMoveset!A2:J112,10,FALSE)=TRUE,IF((Backdoors!AI12+IF(DC100&gt;=0.45,VLOOKUP(Calculator!E23,tbSkills!DH3:DI6,2,FALSE)+IF(AND(Calculator!B8=TRUE,Backdoors!BI18=TRUE),VLOOKUP(Calculator!E23,tbSkills!DH3:DJ6,3,FALSE),0),0))&gt;=0,1+(Backdoors!AL2*(IF((Backdoors!AI12+IF(DC100&gt;=0.45,VLOOKUP(Calculator!E23,tbSkills!DH3:DI6,2,FALSE)+IF(AND(Calculator!B8=TRUE,Backdoors!BI18=TRUE),VLOOKUP(Calculator!E23,tbSkills!DH3:DJ6,3,FALSE),0),0))&gt;=100,100,(Backdoors!AI12+IF(DC100&gt;=0.45,VLOOKUP(Calculator!E23,tbSkills!DH3:DI6,2,FALSE)+IF(AND(Calculator!B8=TRUE,Backdoors!BI18=TRUE),VLOOKUP(Calculator!E23,tbSkills!DH3:DJ6,3,FALSE),0),0)))/100)),(1-(0.25*((-Backdoors!AI12-IF(DC100&gt;=0.45,VLOOKUP(Calculator!E23,tbSkills!DH3:DI6,2,FALSE)+IF(AND(Calculator!B8=TRUE,Backdoors!BI18=TRUE),VLOOKUP(Calculator!E23,tbSkills!DH3:DJ6,3,FALSE),0),0))/100)))),1),"")</f>
        <v>1</v>
      </c>
      <c r="DF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C100)*DE100)*(VLOOKUP(A100,tbMoveset!A2:C112,3,FALSE)/100)*IF(VLOOKUP(A100,tbMoveset!A2:B112,2,FALSE)="Projectile",Backdoors!N10,Backdoors!N9),0),"")</f>
        <v/>
      </c>
      <c r="DG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C100&gt;=0.45,VLOOKUP(Calculator!E23,tbSkills!DH3:DI6,2,FALSE)+IF(AND(Calculator!B8=TRUE,Backdoors!BI18=TRUE),VLOOKUP(Calculator!E23,tbSkills!DH3:DJ6,3,FALSE),0),0))&gt;=100,100,(Backdoors!AI12+IF(DC100&gt;=0.45,VLOOKUP(Calculator!E23,tbSkills!DH3:DI6,2,FALSE)+IF(AND(Calculator!B8=TRUE,Backdoors!BI18=TRUE),VLOOKUP(Calculator!E23,tbSkills!DH3:DJ6,3,FALSE),0),0)))/100)),1))*IF(VLOOKUP(A100,tbMoveset!A2:K112,11,FALSE)=TRUE,Backdoors!AC5,1))*DD100,0),"")</f>
        <v>0</v>
      </c>
      <c r="DH100" s="49">
        <f>VLOOKUP(A100,tbMoveset!A2:G112,7,FALSE)*IFERROR(IF(Backdoors!AI12&gt;=0,1+(IF(Calculator!E40&gt;0,VLOOKUP(Calculator!E40,tbSkills!AI3:AJ5,2,FALSE),Backdoors!AL4)*(IF((Backdoors!AI12+IF(DC100&gt;=0.45,VLOOKUP(Calculator!E23,tbSkills!DH3:DI6,2,FALSE)+IF(AND(Calculator!B8=TRUE,Backdoors!BI18=TRUE),VLOOKUP(Calculator!E23,tbSkills!DH3:DJ6,3,FALSE),0),0))&gt;=100,100,(Backdoors!AI12+IF(DC100&gt;=0.45,VLOOKUP(Calculator!E23,tbSkills!DH3:DI6,2,FALSE)+IF(AND(Calculator!B8=TRUE,Backdoors!BI18=TRUE),VLOOKUP(Calculator!E23,tbSkills!DH3:DJ6,3,FALSE),0),0)))/100)),1),1)</f>
        <v>1</v>
      </c>
      <c r="DI100" s="87">
        <f t="shared" si="66"/>
        <v>0</v>
      </c>
      <c r="DJ100" s="86" t="str">
        <f>IFERROR(IF(VLOOKUP(A100,tbMoveset!A2:B112,2,FALSE)="Sever",Backdoors!AY19/100,IF(VLOOKUP(A100,tbMoveset!A2:B112,2,FALSE)="Blunt",Backdoors!AZ19/100,Backdoors!BA19/100)),"")</f>
        <v/>
      </c>
      <c r="DK100" s="49">
        <f>IFERROR(IF(VLOOKUP(tbMoveset!A100,tbMoveset!A2:H112,8,FALSE)="Other",IF(VLOOKUP(tbMoveset!A100,tbMoveset!A2:I112,9,FALSE)="Fire",Backdoors!BB19,IF(VLOOKUP(tbMoveset!A100,tbMoveset!A2:I112,9,FALSE)="Water",Backdoors!BC19,IF(VLOOKUP(tbMoveset!A100,tbMoveset!A2:I112,9,FALSE)="Thunder",Backdoors!BD19,IF(VLOOKUP(tbMoveset!A100,tbMoveset!A2:I112,9,FALSE)="Ice",Backdoors!BE19,IF(VLOOKUP(tbMoveset!A100,tbMoveset!A2:I112,9,FALSE)="Dragon",Backdoors!BF19,Backdoors!BG19)))))/100,Backdoors!BG19/100),"")</f>
        <v>0</v>
      </c>
      <c r="DL100" s="49">
        <f>IFERROR(IF(VLOOKUP(A100,tbMoveset!A2:J112,10,FALSE)=TRUE,IF((Backdoors!AI12+IF(DJ100&gt;=0.45,VLOOKUP(Calculator!E23,tbSkills!DH3:DI6,2,FALSE)+IF(AND(Calculator!B8=TRUE,Backdoors!BI19=TRUE),VLOOKUP(Calculator!E23,tbSkills!DH3:DJ6,3,FALSE),0),0))&gt;=0,1+(Backdoors!AL2*(IF((Backdoors!AI12+IF(DJ100&gt;=0.45,VLOOKUP(Calculator!E23,tbSkills!DH3:DI6,2,FALSE)+IF(AND(Calculator!B8=TRUE,Backdoors!BI19=TRUE),VLOOKUP(Calculator!E23,tbSkills!DH3:DJ6,3,FALSE),0),0))&gt;=100,100,(Backdoors!AI12+IF(DJ100&gt;=0.45,VLOOKUP(Calculator!E23,tbSkills!DH3:DI6,2,FALSE)+IF(AND(Calculator!B8=TRUE,Backdoors!BI19=TRUE),VLOOKUP(Calculator!E23,tbSkills!DH3:DJ6,3,FALSE),0),0)))/100)),(1-(0.25*((-Backdoors!AI12-IF(DJ100&gt;=0.45,VLOOKUP(Calculator!E23,tbSkills!DH3:DI6,2,FALSE)+IF(AND(Calculator!B8=TRUE,Backdoors!BI19=TRUE),VLOOKUP(Calculator!E23,tbSkills!DH3:DJ6,3,FALSE),0),0))/100)))),1),"")</f>
        <v>1</v>
      </c>
      <c r="DM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J100)*DL100)*(VLOOKUP(A100,tbMoveset!A2:C112,3,FALSE)/100)*IF(VLOOKUP(A100,tbMoveset!A2:B112,2,FALSE)="Projectile",Backdoors!N10,Backdoors!N9),0),"")</f>
        <v/>
      </c>
      <c r="DN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J100&gt;=0.45,VLOOKUP(Calculator!E23,tbSkills!DH3:DI6,2,FALSE)+IF(AND(Calculator!B8=TRUE,Backdoors!BI19=TRUE),VLOOKUP(Calculator!E23,tbSkills!DH3:DJ6,3,FALSE),0),0))&gt;=100,100,(Backdoors!AI12+IF(DJ100&gt;=0.45,VLOOKUP(Calculator!E23,tbSkills!DH3:DI6,2,FALSE)+IF(AND(Calculator!B8=TRUE,Backdoors!BI19=TRUE),VLOOKUP(Calculator!E23,tbSkills!DH3:DJ6,3,FALSE),0),0)))/100)),1))*IF(VLOOKUP(A100,tbMoveset!A2:K112,11,FALSE)=TRUE,Backdoors!AC5,1))*DK100,0),"")</f>
        <v>0</v>
      </c>
      <c r="DO100" s="49">
        <f>VLOOKUP(A100,tbMoveset!A2:G112,7,FALSE)*IFERROR(IF(Backdoors!AI12&gt;=0,1+(IF(Calculator!E40&gt;0,VLOOKUP(Calculator!E40,tbSkills!AI3:AJ5,2,FALSE),Backdoors!AL4)*(IF((Backdoors!AI12+IF(DJ100&gt;=0.45,VLOOKUP(Calculator!E23,tbSkills!DH3:DI6,2,FALSE)+IF(AND(Calculator!B8=TRUE,Backdoors!BI19=TRUE),VLOOKUP(Calculator!E23,tbSkills!DH3:DJ6,3,FALSE),0),0))&gt;=100,100,(Backdoors!AI12+IF(DJ100&gt;=0.45,VLOOKUP(Calculator!E23,tbSkills!DH3:DI6,2,FALSE)+IF(AND(Calculator!B8=TRUE,Backdoors!BI19=TRUE),VLOOKUP(Calculator!E23,tbSkills!DH3:DJ6,3,FALSE),0),0)))/100)),1),1)</f>
        <v>1</v>
      </c>
      <c r="DP100" s="87">
        <f t="shared" si="67"/>
        <v>0</v>
      </c>
      <c r="DQ100" s="86" t="str">
        <f>IFERROR(IF(VLOOKUP(A100,tbMoveset!A2:B112,2,FALSE)="Sever",Backdoors!AY20/100,IF(VLOOKUP(A100,tbMoveset!A2:B112,2,FALSE)="Blunt",Backdoors!AZ20/100,Backdoors!BA20/100)),"")</f>
        <v/>
      </c>
      <c r="DR100" s="49">
        <f>IFERROR(IF(VLOOKUP(tbMoveset!A100,tbMoveset!A2:H112,8,FALSE)="Other",IF(VLOOKUP(tbMoveset!A100,tbMoveset!A2:I112,9,FALSE)="Fire",Backdoors!BB20,IF(VLOOKUP(tbMoveset!A100,tbMoveset!A2:I112,9,FALSE)="Water",Backdoors!BC20,IF(VLOOKUP(tbMoveset!A100,tbMoveset!A2:I112,9,FALSE)="Thunder",Backdoors!BD20,IF(VLOOKUP(tbMoveset!A100,tbMoveset!A2:I112,9,FALSE)="Ice",Backdoors!BE20,IF(VLOOKUP(tbMoveset!A100,tbMoveset!A2:I112,9,FALSE)="Dragon",Backdoors!BF20,Backdoors!BG20)))))/100,Backdoors!BG20/100),"")</f>
        <v>0</v>
      </c>
      <c r="DS100" s="49">
        <f>IFERROR(IF(VLOOKUP(A100,tbMoveset!A2:J112,10,FALSE)=TRUE,IF((Backdoors!AI12+IF(DQ100&gt;=0.45,VLOOKUP(Calculator!E23,tbSkills!DH3:DI6,2,FALSE)+IF(AND(Calculator!B8=TRUE,Backdoors!BI20=TRUE),VLOOKUP(Calculator!E23,tbSkills!DH3:DJ6,3,FALSE),0),0))&gt;=0,1+(Backdoors!AL2*(IF((Backdoors!AI12+IF(DQ100&gt;=0.45,VLOOKUP(Calculator!E23,tbSkills!DH3:DI6,2,FALSE)+IF(AND(Calculator!B8=TRUE,Backdoors!BI20=TRUE),VLOOKUP(Calculator!E23,tbSkills!DH3:DJ6,3,FALSE),0),0))&gt;=100,100,(Backdoors!AI12+IF(DQ100&gt;=0.45,VLOOKUP(Calculator!E23,tbSkills!DH3:DI6,2,FALSE)+IF(AND(Calculator!B8=TRUE,Backdoors!BI20=TRUE),VLOOKUP(Calculator!E23,tbSkills!DH3:DJ6,3,FALSE),0),0)))/100)),(1-(0.25*((-Backdoors!AI12-IF(DQ100&gt;=0.45,VLOOKUP(Calculator!E23,tbSkills!DH3:DI6,2,FALSE)+IF(AND(Calculator!B8=TRUE,Backdoors!BI20=TRUE),VLOOKUP(Calculator!E23,tbSkills!DH3:DJ6,3,FALSE),0),0))/100)))),1),"")</f>
        <v>1</v>
      </c>
      <c r="DT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Q100)*DS100)*(VLOOKUP(A100,tbMoveset!A2:C112,3,FALSE)/100)*IF(VLOOKUP(A100,tbMoveset!A2:B112,2,FALSE)="Projectile",Backdoors!N10,Backdoors!N9),0),"")</f>
        <v/>
      </c>
      <c r="DU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Q100&gt;=0.45,VLOOKUP(Calculator!E23,tbSkills!DH3:DI6,2,FALSE)+IF(AND(Calculator!B8=TRUE,Backdoors!BI20=TRUE),VLOOKUP(Calculator!E23,tbSkills!DH3:DJ6,3,FALSE),0),0))&gt;=100,100,(Backdoors!AI12+IF(DQ100&gt;=0.45,VLOOKUP(Calculator!E23,tbSkills!DH3:DI6,2,FALSE)+IF(AND(Calculator!B8=TRUE,Backdoors!BI20=TRUE),VLOOKUP(Calculator!E23,tbSkills!DH3:DJ6,3,FALSE),0),0)))/100)),1))*IF(VLOOKUP(A100,tbMoveset!A2:K112,11,FALSE)=TRUE,Backdoors!AC5,1))*DR100,0),"")</f>
        <v>0</v>
      </c>
      <c r="DV100" s="49">
        <f>VLOOKUP(A100,tbMoveset!A2:G112,7,FALSE)*IFERROR(IF(Backdoors!AI12&gt;=0,1+(IF(Calculator!E40&gt;0,VLOOKUP(Calculator!E40,tbSkills!AI3:AJ5,2,FALSE),Backdoors!AL4)*(IF((Backdoors!AI12+IF(DQ100&gt;=0.45,VLOOKUP(Calculator!E23,tbSkills!DH3:DI6,2,FALSE)+IF(AND(Calculator!B8=TRUE,Backdoors!BI20=TRUE),VLOOKUP(Calculator!E23,tbSkills!DH3:DJ6,3,FALSE),0),0))&gt;=100,100,(Backdoors!AI12+IF(DQ100&gt;=0.45,VLOOKUP(Calculator!E23,tbSkills!DH3:DI6,2,FALSE)+IF(AND(Calculator!B8=TRUE,Backdoors!BI20=TRUE),VLOOKUP(Calculator!E23,tbSkills!DH3:DJ6,3,FALSE),0),0)))/100)),1),1)</f>
        <v>1</v>
      </c>
      <c r="DW100" s="87">
        <f t="shared" si="68"/>
        <v>0</v>
      </c>
      <c r="DX100" s="86" t="str">
        <f>IFERROR(IF(VLOOKUP(A100,tbMoveset!A2:B112,2,FALSE)="Sever",Backdoors!AY21/100,IF(VLOOKUP(A100,tbMoveset!A2:B112,2,FALSE)="Blunt",Backdoors!AZ21/100,Backdoors!BA21/100)),"")</f>
        <v/>
      </c>
      <c r="DY100" s="49">
        <f>IFERROR(IF(VLOOKUP(tbMoveset!A100,tbMoveset!A2:H112,8,FALSE)="Other",IF(VLOOKUP(tbMoveset!A100,tbMoveset!A2:I112,9,FALSE)="Fire",Backdoors!BB21,IF(VLOOKUP(tbMoveset!A100,tbMoveset!A2:I112,9,FALSE)="Water",Backdoors!BC21,IF(VLOOKUP(tbMoveset!A100,tbMoveset!A2:I112,9,FALSE)="Thunder",Backdoors!BD21,IF(VLOOKUP(tbMoveset!A100,tbMoveset!A2:I112,9,FALSE)="Ice",Backdoors!BE21,IF(VLOOKUP(tbMoveset!A100,tbMoveset!A2:I112,9,FALSE)="Dragon",Backdoors!BF21,Backdoors!BG21)))))/100,Backdoors!BG21/100),"")</f>
        <v>0</v>
      </c>
      <c r="DZ100" s="49">
        <f>IFERROR(IF(VLOOKUP(A100,tbMoveset!A2:J112,10,FALSE)=TRUE,IF((Backdoors!AI12+IF(DX100&gt;=0.45,VLOOKUP(Calculator!E23,tbSkills!DH3:DI6,2,FALSE)+IF(AND(Calculator!B8=TRUE,Backdoors!BI21=TRUE),VLOOKUP(Calculator!E23,tbSkills!DH3:DJ6,3,FALSE),0),0))&gt;=0,1+(Backdoors!AL2*(IF((Backdoors!AI12+IF(DX100&gt;=0.45,VLOOKUP(Calculator!E23,tbSkills!DH3:DI6,2,FALSE)+IF(AND(Calculator!B8=TRUE,Backdoors!BI21=TRUE),VLOOKUP(Calculator!E23,tbSkills!DH3:DJ6,3,FALSE),0),0))&gt;=100,100,(Backdoors!AI12+IF(DX100&gt;=0.45,VLOOKUP(Calculator!E23,tbSkills!DH3:DI6,2,FALSE)+IF(AND(Calculator!B8=TRUE,Backdoors!BI21=TRUE),VLOOKUP(Calculator!E23,tbSkills!DH3:DJ6,3,FALSE),0),0)))/100)),(1-(0.25*((-Backdoors!AI12-IF(DX100&gt;=0.45,VLOOKUP(Calculator!E23,tbSkills!DH3:DI6,2,FALSE)+IF(AND(Calculator!B8=TRUE,Backdoors!BI21=TRUE),VLOOKUP(Calculator!E23,tbSkills!DH3:DJ6,3,FALSE),0),0))/100)))),1),"")</f>
        <v>1</v>
      </c>
      <c r="EA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X100)*DZ100)*(VLOOKUP(A100,tbMoveset!A2:C112,3,FALSE)/100)*IF(VLOOKUP(A100,tbMoveset!A2:B112,2,FALSE)="Projectile",Backdoors!N10,Backdoors!N9),0),"")</f>
        <v/>
      </c>
      <c r="EB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X100&gt;=0.45,VLOOKUP(Calculator!E23,tbSkills!DH3:DI6,2,FALSE)+IF(AND(Calculator!B8=TRUE,Backdoors!BI21=TRUE),VLOOKUP(Calculator!E23,tbSkills!DH3:DJ6,3,FALSE),0),0))&gt;=100,100,(Backdoors!AI12+IF(DX100&gt;=0.45,VLOOKUP(Calculator!E23,tbSkills!DH3:DI6,2,FALSE)+IF(AND(Calculator!B8=TRUE,Backdoors!BI21=TRUE),VLOOKUP(Calculator!E23,tbSkills!DH3:DJ6,3,FALSE),0),0)))/100)),1))*IF(VLOOKUP(A100,tbMoveset!A2:K112,11,FALSE)=TRUE,Backdoors!AC5,1))*DY100,0),"")</f>
        <v>0</v>
      </c>
      <c r="EC100" s="49">
        <f>VLOOKUP(A100,tbMoveset!A2:G112,7,FALSE)*IFERROR(IF(Backdoors!AI12&gt;=0,1+(IF(Calculator!E40&gt;0,VLOOKUP(Calculator!E40,tbSkills!AI3:AJ5,2,FALSE),Backdoors!AL4)*(IF((Backdoors!AI12+IF(DX100&gt;=0.45,VLOOKUP(Calculator!E23,tbSkills!DH3:DI6,2,FALSE)+IF(AND(Calculator!B8=TRUE,Backdoors!BI21=TRUE),VLOOKUP(Calculator!E23,tbSkills!DH3:DJ6,3,FALSE),0),0))&gt;=100,100,(Backdoors!AI12+IF(DX100&gt;=0.45,VLOOKUP(Calculator!E23,tbSkills!DH3:DI6,2,FALSE)+IF(AND(Calculator!B8=TRUE,Backdoors!BI21=TRUE),VLOOKUP(Calculator!E23,tbSkills!DH3:DJ6,3,FALSE),0),0)))/100)),1),1)</f>
        <v>1</v>
      </c>
      <c r="ED100" s="87">
        <f t="shared" si="69"/>
        <v>0</v>
      </c>
      <c r="EE100" s="86" t="str">
        <f>IFERROR(IF(VLOOKUP(A100,tbMoveset!A2:B112,2,FALSE)="Sever",Backdoors!AY22/100,IF(VLOOKUP(A100,tbMoveset!A2:B112,2,FALSE)="Blunt",Backdoors!AZ22/100,Backdoors!BA22/100)),"")</f>
        <v/>
      </c>
      <c r="EF100" s="49">
        <f>IFERROR(IF(VLOOKUP(tbMoveset!A100,tbMoveset!A2:H112,8,FALSE)="Other",IF(VLOOKUP(tbMoveset!A100,tbMoveset!A2:I112,9,FALSE)="Fire",Backdoors!BB22,IF(VLOOKUP(tbMoveset!A100,tbMoveset!A2:I112,9,FALSE)="Water",Backdoors!BC22,IF(VLOOKUP(tbMoveset!A100,tbMoveset!A2:I112,9,FALSE)="Thunder",Backdoors!BD22,IF(VLOOKUP(tbMoveset!A100,tbMoveset!A2:I112,9,FALSE)="Ice",Backdoors!BE22,IF(VLOOKUP(tbMoveset!A100,tbMoveset!A2:I112,9,FALSE)="Dragon",Backdoors!BF22,Backdoors!BG22)))))/100,Backdoors!BG22/100),"")</f>
        <v>0</v>
      </c>
      <c r="EG100" s="49">
        <f>IFERROR(IF(VLOOKUP(A100,tbMoveset!A2:J112,10,FALSE)=TRUE,IF((Backdoors!AI12+IF(EE100&gt;=0.45,VLOOKUP(Calculator!E23,tbSkills!DH3:DI6,2,FALSE)+IF(AND(Calculator!B8=TRUE,Backdoors!BI22=TRUE),VLOOKUP(Calculator!E23,tbSkills!DH3:DJ6,3,FALSE),0),0))&gt;=0,1+(Backdoors!AL2*(IF((Backdoors!AI12+IF(EE100&gt;=0.45,VLOOKUP(Calculator!E23,tbSkills!DH3:DI6,2,FALSE)+IF(AND(Calculator!B8=TRUE,Backdoors!BI22=TRUE),VLOOKUP(Calculator!E23,tbSkills!DH3:DJ6,3,FALSE),0),0))&gt;=100,100,(Backdoors!AI12+IF(EE100&gt;=0.45,VLOOKUP(Calculator!E23,tbSkills!DH3:DI6,2,FALSE)+IF(AND(Calculator!B8=TRUE,Backdoors!BI22=TRUE),VLOOKUP(Calculator!E23,tbSkills!DH3:DJ6,3,FALSE),0),0)))/100)),(1-(0.25*((-Backdoors!AI12-IF(EE100&gt;=0.45,VLOOKUP(Calculator!E23,tbSkills!DH3:DI6,2,FALSE)+IF(AND(Calculator!B8=TRUE,Backdoors!BI22=TRUE),VLOOKUP(Calculator!E23,tbSkills!DH3:DJ6,3,FALSE),0),0))/100)))),1),"")</f>
        <v>1</v>
      </c>
      <c r="EH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E100)*EG100)*(VLOOKUP(A100,tbMoveset!A2:C112,3,FALSE)/100)*IF(VLOOKUP(A100,tbMoveset!A2:B112,2,FALSE)="Projectile",Backdoors!N10,Backdoors!N9),0),"")</f>
        <v/>
      </c>
      <c r="EI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E100&gt;=0.45,VLOOKUP(Calculator!E23,tbSkills!DH3:DI6,2,FALSE)+IF(AND(Calculator!B8=TRUE,Backdoors!BI22=TRUE),VLOOKUP(Calculator!E23,tbSkills!DH3:DJ6,3,FALSE),0),0))&gt;=100,100,(Backdoors!AI12+IF(EE100&gt;=0.45,VLOOKUP(Calculator!E23,tbSkills!DH3:DI6,2,FALSE)+IF(AND(Calculator!B8=TRUE,Backdoors!BI22=TRUE),VLOOKUP(Calculator!E23,tbSkills!DH3:DJ6,3,FALSE),0),0)))/100)),1))*IF(VLOOKUP(A100,tbMoveset!A2:K112,11,FALSE)=TRUE,Backdoors!AC5,1))*EF100,0),"")</f>
        <v>0</v>
      </c>
      <c r="EJ100" s="49">
        <f>VLOOKUP(A100,tbMoveset!A2:G112,7,FALSE)*IFERROR(IF(Backdoors!AI12&gt;=0,1+(IF(Calculator!E40&gt;0,VLOOKUP(Calculator!E40,tbSkills!AI3:AJ5,2,FALSE),Backdoors!AL4)*(IF((Backdoors!AI12+IF(EE100&gt;=0.45,VLOOKUP(Calculator!E23,tbSkills!DH3:DI6,2,FALSE)+IF(AND(Calculator!B8=TRUE,Backdoors!BI22=TRUE),VLOOKUP(Calculator!E23,tbSkills!DH3:DJ6,3,FALSE),0),0))&gt;=100,100,(Backdoors!AI12+IF(EE100&gt;=0.45,VLOOKUP(Calculator!E23,tbSkills!DH3:DI6,2,FALSE)+IF(AND(Calculator!B8=TRUE,Backdoors!BI22=TRUE),VLOOKUP(Calculator!E23,tbSkills!DH3:DJ6,3,FALSE),0),0)))/100)),1),1)</f>
        <v>1</v>
      </c>
      <c r="EK100" s="87">
        <f t="shared" si="70"/>
        <v>0</v>
      </c>
      <c r="EL100" s="86" t="str">
        <f>IFERROR(IF(VLOOKUP(A100,tbMoveset!A2:B112,2,FALSE)="Sever",Backdoors!AY23/100,IF(VLOOKUP(A100,tbMoveset!A2:B112,2,FALSE)="Blunt",Backdoors!AZ23/100,Backdoors!BA23/100)),"")</f>
        <v/>
      </c>
      <c r="EM100" s="49">
        <f>IFERROR(IF(VLOOKUP(tbMoveset!A100,tbMoveset!A2:H112,8,FALSE)="Other",IF(VLOOKUP(tbMoveset!A100,tbMoveset!A2:I112,9,FALSE)="Fire",Backdoors!BB23,IF(VLOOKUP(tbMoveset!A100,tbMoveset!A2:I112,9,FALSE)="Water",Backdoors!BC23,IF(VLOOKUP(tbMoveset!A100,tbMoveset!A2:I112,9,FALSE)="Thunder",Backdoors!BD23,IF(VLOOKUP(tbMoveset!A100,tbMoveset!A2:I112,9,FALSE)="Ice",Backdoors!BE23,IF(VLOOKUP(tbMoveset!A100,tbMoveset!A2:I112,9,FALSE)="Dragon",Backdoors!BF23,Backdoors!BG23)))))/100,Backdoors!BG23/100),"")</f>
        <v>0</v>
      </c>
      <c r="EN100" s="49">
        <f>IFERROR(IF(VLOOKUP(A100,tbMoveset!A2:J112,10,FALSE)=TRUE,IF((Backdoors!AI12+IF(EL100&gt;=0.45,VLOOKUP(Calculator!E23,tbSkills!DH3:DI6,2,FALSE)+IF(AND(Calculator!B8=TRUE,Backdoors!BI23=TRUE),VLOOKUP(Calculator!E23,tbSkills!DH3:DJ6,3,FALSE),0),0))&gt;=0,1+(Backdoors!AL2*(IF((Backdoors!AI12+IF(EL100&gt;=0.45,VLOOKUP(Calculator!E23,tbSkills!DH3:DI6,2,FALSE)+IF(AND(Calculator!B8=TRUE,Backdoors!BI23=TRUE),VLOOKUP(Calculator!E23,tbSkills!DH3:DJ6,3,FALSE),0),0))&gt;=100,100,(Backdoors!AI12+IF(EL100&gt;=0.45,VLOOKUP(Calculator!E23,tbSkills!DH3:DI6,2,FALSE)+IF(AND(Calculator!B8=TRUE,Backdoors!BI23=TRUE),VLOOKUP(Calculator!E23,tbSkills!DH3:DJ6,3,FALSE),0),0)))/100)),(1-(0.25*((-Backdoors!AI12-IF(EL100&gt;=0.45,VLOOKUP(Calculator!E23,tbSkills!DH3:DI6,2,FALSE)+IF(AND(Calculator!B8=TRUE,Backdoors!BI23=TRUE),VLOOKUP(Calculator!E23,tbSkills!DH3:DJ6,3,FALSE),0),0))/100)))),1),"")</f>
        <v>1</v>
      </c>
      <c r="EO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L100)*EN100)*(VLOOKUP(A100,tbMoveset!A2:C112,3,FALSE)/100)*IF(VLOOKUP(A100,tbMoveset!A2:B112,2,FALSE)="Projectile",Backdoors!N10,Backdoors!N9),0),"")</f>
        <v/>
      </c>
      <c r="EP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L100&gt;=0.45,VLOOKUP(Calculator!E23,tbSkills!DH3:DI6,2,FALSE)+IF(AND(Calculator!B8=TRUE,Backdoors!BI23=TRUE),VLOOKUP(Calculator!E23,tbSkills!DH3:DJ6,3,FALSE),0),0))&gt;=100,100,(Backdoors!AI12+IF(EL100&gt;=0.45,VLOOKUP(Calculator!E23,tbSkills!DH3:DI6,2,FALSE)+IF(AND(Calculator!B8=TRUE,Backdoors!BI23=TRUE),VLOOKUP(Calculator!E23,tbSkills!DH3:DJ6,3,FALSE),0),0)))/100)),1))*IF(VLOOKUP(A100,tbMoveset!A2:K112,11,FALSE)=TRUE,Backdoors!AC5,1))*EM100,0),"")</f>
        <v>0</v>
      </c>
      <c r="EQ100" s="49">
        <f>VLOOKUP(A100,tbMoveset!A2:G112,7,FALSE)*IFERROR(IF(Backdoors!AI12&gt;=0,1+(IF(Calculator!E40&gt;0,VLOOKUP(Calculator!E40,tbSkills!AI3:AJ5,2,FALSE),Backdoors!AL4)*(IF((Backdoors!AI12+IF(EL100&gt;=0.45,VLOOKUP(Calculator!E23,tbSkills!DH3:DI6,2,FALSE)+IF(AND(Calculator!B8=TRUE,Backdoors!BI23=TRUE),VLOOKUP(Calculator!E23,tbSkills!DH3:DJ6,3,FALSE),0),0))&gt;=100,100,(Backdoors!AI12+IF(EL100&gt;=0.45,VLOOKUP(Calculator!E23,tbSkills!DH3:DI6,2,FALSE)+IF(AND(Calculator!B8=TRUE,Backdoors!BI23=TRUE),VLOOKUP(Calculator!E23,tbSkills!DH3:DJ6,3,FALSE),0),0)))/100)),1),1)</f>
        <v>1</v>
      </c>
      <c r="ER100" s="87">
        <f t="shared" si="71"/>
        <v>0</v>
      </c>
      <c r="ES100" s="86" t="str">
        <f>IFERROR(IF(VLOOKUP(A100,tbMoveset!A2:B112,2,FALSE)="Sever",Backdoors!AY24/100,IF(VLOOKUP(A100,tbMoveset!A2:B112,2,FALSE)="Blunt",Backdoors!AZ24/100,Backdoors!BA24/100)),"")</f>
        <v/>
      </c>
      <c r="ET100" s="49">
        <f>IFERROR(IF(VLOOKUP(tbMoveset!A100,tbMoveset!A2:H112,8,FALSE)="Other",IF(VLOOKUP(tbMoveset!A100,tbMoveset!A2:I112,9,FALSE)="Fire",Backdoors!BB24,IF(VLOOKUP(tbMoveset!A100,tbMoveset!A2:I112,9,FALSE)="Water",Backdoors!BC24,IF(VLOOKUP(tbMoveset!A100,tbMoveset!A2:I112,9,FALSE)="Thunder",Backdoors!BD24,IF(VLOOKUP(tbMoveset!A100,tbMoveset!A2:I112,9,FALSE)="Ice",Backdoors!BE24,IF(VLOOKUP(tbMoveset!A100,tbMoveset!A2:I112,9,FALSE)="Dragon",Backdoors!BF24,Backdoors!BG24)))))/100,Backdoors!BG24/100),"")</f>
        <v>0</v>
      </c>
      <c r="EU100" s="49">
        <f>IFERROR(IF(VLOOKUP(A100,tbMoveset!A2:J112,10,FALSE)=TRUE,IF((Backdoors!AI12+IF(ES100&gt;=0.45,VLOOKUP(Calculator!E23,tbSkills!DH3:DI6,2,FALSE)+IF(AND(Calculator!B8=TRUE,Backdoors!BI24=TRUE),VLOOKUP(Calculator!E23,tbSkills!DH3:DJ6,3,FALSE),0),0))&gt;=0,1+(Backdoors!AL2*(IF((Backdoors!AI12+IF(ES100&gt;=0.45,VLOOKUP(Calculator!E23,tbSkills!DH3:DI6,2,FALSE)+IF(AND(Calculator!B8=TRUE,Backdoors!BI24=TRUE),VLOOKUP(Calculator!E23,tbSkills!DH3:DJ6,3,FALSE),0),0))&gt;=100,100,(Backdoors!AI12+IF(ES100&gt;=0.45,VLOOKUP(Calculator!E23,tbSkills!DH3:DI6,2,FALSE)+IF(AND(Calculator!B8=TRUE,Backdoors!BI24=TRUE),VLOOKUP(Calculator!E23,tbSkills!DH3:DJ6,3,FALSE),0),0)))/100)),(1-(0.25*((-Backdoors!AI12-IF(ES100&gt;=0.45,VLOOKUP(Calculator!E23,tbSkills!DH3:DI6,2,FALSE)+IF(AND(Calculator!B8=TRUE,Backdoors!BI24=TRUE),VLOOKUP(Calculator!E23,tbSkills!DH3:DJ6,3,FALSE),0),0))/100)))),1),"")</f>
        <v>1</v>
      </c>
      <c r="EV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S100)*EU100)*(VLOOKUP(A100,tbMoveset!A2:C112,3,FALSE)/100)*IF(VLOOKUP(A100,tbMoveset!A2:B112,2,FALSE)="Projectile",Backdoors!N10,Backdoors!N9),0),"")</f>
        <v/>
      </c>
      <c r="EW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S100&gt;=0.45,VLOOKUP(Calculator!E23,tbSkills!DH3:DI6,2,FALSE)+IF(AND(Calculator!B8=TRUE,Backdoors!BI24=TRUE),VLOOKUP(Calculator!E23,tbSkills!DH3:DJ6,3,FALSE),0),0))&gt;=100,100,(Backdoors!AI12+IF(ES100&gt;=0.45,VLOOKUP(Calculator!E23,tbSkills!DH3:DI6,2,FALSE)+IF(AND(Calculator!B8=TRUE,Backdoors!BI24=TRUE),VLOOKUP(Calculator!E23,tbSkills!DH3:DJ6,3,FALSE),0),0)))/100)),1))*IF(VLOOKUP(A100,tbMoveset!A2:K112,11,FALSE)=TRUE,Backdoors!AC5,1))*ET100,0),"")</f>
        <v>0</v>
      </c>
      <c r="EX100" s="49">
        <f>VLOOKUP(A100,tbMoveset!A2:G112,7,FALSE)*IFERROR(IF(Backdoors!AI12&gt;=0,1+(IF(Calculator!E40&gt;0,VLOOKUP(Calculator!E40,tbSkills!AI3:AJ5,2,FALSE),Backdoors!AL4)*(IF((Backdoors!AI12+IF(ES100&gt;=0.45,VLOOKUP(Calculator!E23,tbSkills!DH3:DI6,2,FALSE)+IF(AND(Calculator!B8=TRUE,Backdoors!BI24=TRUE),VLOOKUP(Calculator!E23,tbSkills!DH3:DJ6,3,FALSE),0),0))&gt;=100,100,(Backdoors!AI12+IF(ES100&gt;=0.45,VLOOKUP(Calculator!E23,tbSkills!DH3:DI6,2,FALSE)+IF(AND(Calculator!B8=TRUE,Backdoors!BI24=TRUE),VLOOKUP(Calculator!E23,tbSkills!DH3:DJ6,3,FALSE),0),0)))/100)),1),1)</f>
        <v>1</v>
      </c>
      <c r="EY100" s="87">
        <f t="shared" si="72"/>
        <v>0</v>
      </c>
      <c r="EZ100" s="86" t="str">
        <f>IFERROR(IF(VLOOKUP(A100,tbMoveset!A2:B112,2,FALSE)="Sever",Backdoors!AY25/100,IF(VLOOKUP(A100,tbMoveset!A2:B112,2,FALSE)="Blunt",Backdoors!AZ25/100,Backdoors!BA25/100)),"")</f>
        <v/>
      </c>
      <c r="FA100" s="49">
        <f>IFERROR(IF(VLOOKUP(tbMoveset!A100,tbMoveset!A2:H112,8,FALSE)="Other",IF(VLOOKUP(tbMoveset!A100,tbMoveset!A2:I112,9,FALSE)="Fire",Backdoors!BB25,IF(VLOOKUP(tbMoveset!A100,tbMoveset!A2:I112,9,FALSE)="Water",Backdoors!BC25,IF(VLOOKUP(tbMoveset!A100,tbMoveset!A2:I112,9,FALSE)="Thunder",Backdoors!BD25,IF(VLOOKUP(tbMoveset!A100,tbMoveset!A2:I112,9,FALSE)="Ice",Backdoors!BE25,IF(VLOOKUP(tbMoveset!A100,tbMoveset!A2:I112,9,FALSE)="Dragon",Backdoors!BF25,Backdoors!BG25)))))/100,Backdoors!BG25/100),"")</f>
        <v>0</v>
      </c>
      <c r="FB100" s="49">
        <f>IFERROR(IF(VLOOKUP(A100,tbMoveset!A2:J112,10,FALSE)=TRUE,IF((Backdoors!AI12+IF(EZ100&gt;=0.45,VLOOKUP(Calculator!E23,tbSkills!DH3:DI6,2,FALSE)+IF(AND(Calculator!B8=TRUE,Backdoors!BI25=TRUE),VLOOKUP(Calculator!E23,tbSkills!DH3:DJ6,3,FALSE),0),0))&gt;=0,1+(Backdoors!AL2*(IF((Backdoors!AI12+IF(EZ100&gt;=0.45,VLOOKUP(Calculator!E23,tbSkills!DH3:DI6,2,FALSE)+IF(AND(Calculator!B8=TRUE,Backdoors!BI25=TRUE),VLOOKUP(Calculator!E23,tbSkills!DH3:DJ6,3,FALSE),0),0))&gt;=100,100,(Backdoors!AI12+IF(EZ100&gt;=0.45,VLOOKUP(Calculator!E23,tbSkills!DH3:DI6,2,FALSE)+IF(AND(Calculator!B8=TRUE,Backdoors!BI25=TRUE),VLOOKUP(Calculator!E23,tbSkills!DH3:DJ6,3,FALSE),0),0)))/100)),(1-(0.25*((-Backdoors!AI12-IF(EZ100&gt;=0.45,VLOOKUP(Calculator!E23,tbSkills!DH3:DI6,2,FALSE)+IF(AND(Calculator!B8=TRUE,Backdoors!BI25=TRUE),VLOOKUP(Calculator!E23,tbSkills!DH3:DJ6,3,FALSE),0),0))/100)))),1),"")</f>
        <v>1</v>
      </c>
      <c r="FC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Z100)*FB100)*(VLOOKUP(A100,tbMoveset!A2:C112,3,FALSE)/100)*IF(VLOOKUP(A100,tbMoveset!A2:B112,2,FALSE)="Projectile",Backdoors!N10,Backdoors!N9),0),"")</f>
        <v/>
      </c>
      <c r="FD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Z100&gt;=0.45,VLOOKUP(Calculator!E23,tbSkills!DH3:DI6,2,FALSE)+IF(AND(Calculator!B8=TRUE,Backdoors!BI25=TRUE),VLOOKUP(Calculator!E23,tbSkills!DH3:DJ6,3,FALSE),0),0))&gt;=100,100,(Backdoors!AI12+IF(EZ100&gt;=0.45,VLOOKUP(Calculator!E23,tbSkills!DH3:DI6,2,FALSE)+IF(AND(Calculator!B8=TRUE,Backdoors!BI25=TRUE),VLOOKUP(Calculator!E23,tbSkills!DH3:DJ6,3,FALSE),0),0)))/100)),1))*IF(VLOOKUP(A100,tbMoveset!A2:K112,11,FALSE)=TRUE,Backdoors!AC5,1))*FA100,0),"")</f>
        <v>0</v>
      </c>
      <c r="FE100" s="49">
        <f>VLOOKUP(A100,tbMoveset!A2:G112,7,FALSE)*IFERROR(IF(Backdoors!AI12&gt;=0,1+(IF(Calculator!E40&gt;0,VLOOKUP(Calculator!E40,tbSkills!AI3:AJ5,2,FALSE),Backdoors!AL4)*(IF((Backdoors!AI12+IF(EZ100&gt;=0.45,VLOOKUP(Calculator!E23,tbSkills!DH3:DI6,2,FALSE)+IF(AND(Calculator!B8=TRUE,Backdoors!BI25=TRUE),VLOOKUP(Calculator!E23,tbSkills!DH3:DJ6,3,FALSE),0),0))&gt;=100,100,(Backdoors!AI12+IF(EZ100&gt;=0.45,VLOOKUP(Calculator!E23,tbSkills!DH3:DI6,2,FALSE)+IF(AND(Calculator!B8=TRUE,Backdoors!BI25=TRUE),VLOOKUP(Calculator!E23,tbSkills!DH3:DJ6,3,FALSE),0),0)))/100)),1),1)</f>
        <v>1</v>
      </c>
      <c r="FF100" s="87">
        <f t="shared" si="73"/>
        <v>0</v>
      </c>
      <c r="FG100" s="86" t="str">
        <f>IFERROR(IF(VLOOKUP(A100,tbMoveset!A2:B112,2,FALSE)="Sever",Backdoors!AY26/100,IF(VLOOKUP(A100,tbMoveset!A2:B112,2,FALSE)="Blunt",Backdoors!AZ26/100,Backdoors!BA26/100)),"")</f>
        <v/>
      </c>
      <c r="FH100" s="49">
        <f>IFERROR(IF(VLOOKUP(tbMoveset!A100,tbMoveset!A2:H112,8,FALSE)="Other",IF(VLOOKUP(tbMoveset!A100,tbMoveset!A2:I112,9,FALSE)="Fire",Backdoors!BB26,IF(VLOOKUP(tbMoveset!A100,tbMoveset!A2:I112,9,FALSE)="Water",Backdoors!BC26,IF(VLOOKUP(tbMoveset!A100,tbMoveset!A2:I112,9,FALSE)="Thunder",Backdoors!BD26,IF(VLOOKUP(tbMoveset!A100,tbMoveset!A2:I112,9,FALSE)="Ice",Backdoors!BE26,IF(VLOOKUP(tbMoveset!A100,tbMoveset!A2:I112,9,FALSE)="Dragon",Backdoors!BF26,Backdoors!BG26)))))/100,Backdoors!BG26/100),"")</f>
        <v>0</v>
      </c>
      <c r="FI100" s="49">
        <f>IFERROR(IF(VLOOKUP(A100,tbMoveset!A2:J112,10,FALSE)=TRUE,IF((Backdoors!AI12+IF(FG100&gt;=0.45,VLOOKUP(Calculator!E23,tbSkills!DH3:DI6,2,FALSE)+IF(AND(Calculator!B8=TRUE,Backdoors!BI26=TRUE),VLOOKUP(Calculator!E23,tbSkills!DH3:DJ6,3,FALSE),0),0))&gt;=0,1+(Backdoors!AL2*(IF((Backdoors!AI12+IF(FG100&gt;=0.45,VLOOKUP(Calculator!E23,tbSkills!DH3:DI6,2,FALSE)+IF(AND(Calculator!B8=TRUE,Backdoors!BI26=TRUE),VLOOKUP(Calculator!E23,tbSkills!DH3:DJ6,3,FALSE),0),0))&gt;=100,100,(Backdoors!AI12+IF(FG100&gt;=0.45,VLOOKUP(Calculator!E23,tbSkills!DH3:DI6,2,FALSE)+IF(AND(Calculator!B8=TRUE,Backdoors!BI26=TRUE),VLOOKUP(Calculator!E23,tbSkills!DH3:DJ6,3,FALSE),0),0)))/100)),(1-(0.25*((-Backdoors!AI12-IF(FG100&gt;=0.45,VLOOKUP(Calculator!E23,tbSkills!DH3:DI6,2,FALSE)+IF(AND(Calculator!B8=TRUE,Backdoors!BI26=TRUE),VLOOKUP(Calculator!E23,tbSkills!DH3:DJ6,3,FALSE),0),0))/100)))),1),"")</f>
        <v>1</v>
      </c>
      <c r="FJ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FG100)*FI100)*(VLOOKUP(A100,tbMoveset!A2:C112,3,FALSE)/100)*IF(VLOOKUP(A100,tbMoveset!A2:B112,2,FALSE)="Projectile",Backdoors!N10,Backdoors!N9),0),"")</f>
        <v/>
      </c>
      <c r="FK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FG100&gt;=0.45,VLOOKUP(Calculator!E23,tbSkills!DH3:DI6,2,FALSE)+IF(AND(Calculator!B8=TRUE,Backdoors!BI26=TRUE),VLOOKUP(Calculator!E23,tbSkills!DH3:DJ6,3,FALSE),0),0))&gt;=100,100,(Backdoors!AI12+IF(FG100&gt;=0.45,VLOOKUP(Calculator!E23,tbSkills!DH3:DI6,2,FALSE)+IF(AND(Calculator!B8=TRUE,Backdoors!BI26=TRUE),VLOOKUP(Calculator!E23,tbSkills!DH3:DJ6,3,FALSE),0),0)))/100)),1))*IF(VLOOKUP(A100,tbMoveset!A2:K112,11,FALSE)=TRUE,Backdoors!AC5,1))*FH100,0),"")</f>
        <v>0</v>
      </c>
      <c r="FL100" s="49">
        <f>VLOOKUP(A100,tbMoveset!A2:G112,7,FALSE)*IFERROR(IF(Backdoors!AI12&gt;=0,1+(IF(Calculator!E40&gt;0,VLOOKUP(Calculator!E40,tbSkills!AI3:AJ5,2,FALSE),Backdoors!AL4)*(IF((Backdoors!AI12+IF(FG100&gt;=0.45,VLOOKUP(Calculator!E23,tbSkills!DH3:DI6,2,FALSE)+IF(AND(Calculator!B8=TRUE,Backdoors!BI26=TRUE),VLOOKUP(Calculator!E23,tbSkills!DH3:DJ6,3,FALSE),0),0))&gt;=100,100,(Backdoors!AI12+IF(FG100&gt;=0.45,VLOOKUP(Calculator!E23,tbSkills!DH3:DI6,2,FALSE)+IF(AND(Calculator!B8=TRUE,Backdoors!BI26=TRUE),VLOOKUP(Calculator!E23,tbSkills!DH3:DJ6,3,FALSE),0),0)))/100)),1),1)</f>
        <v>1</v>
      </c>
      <c r="FM100" s="87">
        <f t="shared" si="74"/>
        <v>0</v>
      </c>
      <c r="FN100" s="86" t="str">
        <f>IFERROR(IF(VLOOKUP(A100,tbMoveset!A2:B112,2,FALSE)="Sever",Backdoors!AY27/100,IF(VLOOKUP(A100,tbMoveset!A2:B112,2,FALSE)="Blunt",Backdoors!AZ27/100,Backdoors!BA27/100)),"")</f>
        <v/>
      </c>
      <c r="FO100" s="49">
        <f>IFERROR(IF(VLOOKUP(tbMoveset!A100,tbMoveset!A2:H112,8,FALSE)="Other",IF(VLOOKUP(tbMoveset!A100,tbMoveset!A2:I112,9,FALSE)="Fire",Backdoors!BB27,IF(VLOOKUP(tbMoveset!A100,tbMoveset!A2:I112,9,FALSE)="Water",Backdoors!BC27,IF(VLOOKUP(tbMoveset!A100,tbMoveset!A2:I112,9,FALSE)="Thunder",Backdoors!BD27,IF(VLOOKUP(tbMoveset!A100,tbMoveset!A2:I112,9,FALSE)="Ice",Backdoors!BE27,IF(VLOOKUP(tbMoveset!A100,tbMoveset!A2:I112,9,FALSE)="Dragon",Backdoors!BF27,Backdoors!BG27)))))/100,Backdoors!BG27/100),"")</f>
        <v>0</v>
      </c>
      <c r="FP100" s="49">
        <f>IFERROR(IF(VLOOKUP(A100,tbMoveset!A2:J112,10,FALSE)=TRUE,IF((Backdoors!AI12+IF(FN100&gt;=0.45,VLOOKUP(Calculator!E23,tbSkills!DH3:DI6,2,FALSE)+IF(AND(Calculator!B8=TRUE,Backdoors!BI27=TRUE),VLOOKUP(Calculator!E23,tbSkills!DH3:DJ6,3,FALSE),0),0))&gt;=0,1+(Backdoors!AL2*(IF((Backdoors!AI12+IF(FN100&gt;=0.45,VLOOKUP(Calculator!E23,tbSkills!DH3:DI6,2,FALSE)+IF(AND(Calculator!B8=TRUE,Backdoors!BI27=TRUE),VLOOKUP(Calculator!E23,tbSkills!DH3:DJ6,3,FALSE),0),0))&gt;=100,100,(Backdoors!AI12+IF(FN100&gt;=0.45,VLOOKUP(Calculator!E23,tbSkills!DH3:DI6,2,FALSE)+IF(AND(Calculator!B8=TRUE,Backdoors!BI27=TRUE),VLOOKUP(Calculator!E23,tbSkills!DH3:DJ6,3,FALSE),0),0)))/100)),(1-(0.25*((-Backdoors!AI12-IF(FN100&gt;=0.45,VLOOKUP(Calculator!E23,tbSkills!DH3:DI6,2,FALSE)+IF(AND(Calculator!B8=TRUE,Backdoors!BI27=TRUE),VLOOKUP(Calculator!E23,tbSkills!DH3:DJ6,3,FALSE),0),0))/100)))),1),"")</f>
        <v>1</v>
      </c>
      <c r="FQ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FN100)*FP100)*(VLOOKUP(A100,tbMoveset!A2:C112,3,FALSE)/100)*IF(VLOOKUP(A100,tbMoveset!A2:B112,2,FALSE)="Projectile",Backdoors!N10,Backdoors!N9),0),"")</f>
        <v/>
      </c>
      <c r="FR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FN100&gt;=0.45,VLOOKUP(Calculator!E23,tbSkills!DH3:DI6,2,FALSE)+IF(AND(Calculator!B8=TRUE,Backdoors!BI27=TRUE),VLOOKUP(Calculator!E23,tbSkills!DH3:DJ6,3,FALSE),0),0))&gt;=100,100,(Backdoors!AI12+IF(FN100&gt;=0.45,VLOOKUP(Calculator!E23,tbSkills!DH3:DI6,2,FALSE)+IF(AND(Calculator!B8=TRUE,Backdoors!BI27=TRUE),VLOOKUP(Calculator!E23,tbSkills!DH3:DJ6,3,FALSE),0),0)))/100)),1))*IF(VLOOKUP(A100,tbMoveset!A2:K112,11,FALSE)=TRUE,Backdoors!AC5,1))*FO100,0),"")</f>
        <v>0</v>
      </c>
      <c r="FS100" s="49">
        <f>VLOOKUP(A100,tbMoveset!A2:G112,7,FALSE)*IFERROR(IF(Backdoors!AI12&gt;=0,1+(IF(Calculator!E40&gt;0,VLOOKUP(Calculator!E40,tbSkills!AI3:AJ5,2,FALSE),Backdoors!AL4)*(IF((Backdoors!AI12+IF(FN100&gt;=0.45,VLOOKUP(Calculator!E23,tbSkills!DH3:DI6,2,FALSE)+IF(AND(Calculator!B8=TRUE,Backdoors!BI27=TRUE),VLOOKUP(Calculator!E23,tbSkills!DH3:DJ6,3,FALSE),0),0))&gt;=100,100,(Backdoors!AI12+IF(FN100&gt;=0.45,VLOOKUP(Calculator!E23,tbSkills!DH3:DI6,2,FALSE)+IF(AND(Calculator!B8=TRUE,Backdoors!BI27=TRUE),VLOOKUP(Calculator!E23,tbSkills!DH3:DJ6,3,FALSE),0),0)))/100)),1),1)</f>
        <v>1</v>
      </c>
      <c r="FT100" s="87">
        <f t="shared" si="75"/>
        <v>0</v>
      </c>
      <c r="FU100" s="86" t="str">
        <f>IFERROR(IF(VLOOKUP(A100,tbMoveset!A2:B112,2,FALSE)="Sever",Backdoors!AY28/100,IF(VLOOKUP(A100,tbMoveset!A2:B112,2,FALSE)="Blunt",Backdoors!AZ28/100,Backdoors!BA28/100)),"")</f>
        <v/>
      </c>
      <c r="FV100" s="49">
        <f>IFERROR(IF(VLOOKUP(tbMoveset!A100,tbMoveset!A2:H112,8,FALSE)="Other",IF(VLOOKUP(tbMoveset!A100,tbMoveset!A2:I112,9,FALSE)="Fire",Backdoors!BB28,IF(VLOOKUP(tbMoveset!A100,tbMoveset!A2:I112,9,FALSE)="Water",Backdoors!BC28,IF(VLOOKUP(tbMoveset!A100,tbMoveset!A2:I112,9,FALSE)="Thunder",Backdoors!BD28,IF(VLOOKUP(tbMoveset!A100,tbMoveset!A2:I112,9,FALSE)="Ice",Backdoors!BE28,IF(VLOOKUP(tbMoveset!A100,tbMoveset!A2:I112,9,FALSE)="Dragon",Backdoors!BF28,Backdoors!BG28)))))/100,Backdoors!BG28/100),"")</f>
        <v>0</v>
      </c>
      <c r="FW100" s="49">
        <f>IFERROR(IF(VLOOKUP(A100,tbMoveset!A2:J112,10,FALSE)=TRUE,IF((Backdoors!AI12+IF(FU100&gt;=0.45,VLOOKUP(Calculator!E23,tbSkills!DH3:DI6,2,FALSE)+IF(AND(Calculator!B8=TRUE,Backdoors!BI28=TRUE),VLOOKUP(Calculator!E23,tbSkills!DH3:DJ6,3,FALSE),0),0))&gt;=0,1+(Backdoors!AL2*(IF((Backdoors!AI12+IF(FU100&gt;=0.45,VLOOKUP(Calculator!E23,tbSkills!DH3:DI6,2,FALSE)+IF(AND(Calculator!B8=TRUE,Backdoors!BI28=TRUE),VLOOKUP(Calculator!E23,tbSkills!DH3:DJ6,3,FALSE),0),0))&gt;=100,100,(Backdoors!AI12+IF(FU100&gt;=0.45,VLOOKUP(Calculator!E23,tbSkills!DH3:DI6,2,FALSE)+IF(AND(Calculator!B8=TRUE,Backdoors!BI28=TRUE),VLOOKUP(Calculator!E23,tbSkills!DH3:DJ6,3,FALSE),0),0)))/100)),(1-(0.25*((-Backdoors!AI12-IF(FU100&gt;=0.45,VLOOKUP(Calculator!E23,tbSkills!DH3:DI6,2,FALSE)+IF(AND(Calculator!B8=TRUE,Backdoors!BI28=TRUE),VLOOKUP(Calculator!E23,tbSkills!DH3:DJ6,3,FALSE),0),0))/100)))),1),"")</f>
        <v>1</v>
      </c>
      <c r="FX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FU100)*FW100)*(VLOOKUP(A100,tbMoveset!A2:C112,3,FALSE)/100)*IF(VLOOKUP(A100,tbMoveset!A2:B112,2,FALSE)="Projectile",Backdoors!N10,Backdoors!N9),0),"")</f>
        <v/>
      </c>
      <c r="FY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FU100&gt;=0.45,VLOOKUP(Calculator!E23,tbSkills!DH3:DI6,2,FALSE)+IF(AND(Calculator!B8=TRUE,Backdoors!BI28=TRUE),VLOOKUP(Calculator!E23,tbSkills!DH3:DJ6,3,FALSE),0),0))&gt;=100,100,(Backdoors!AI12+IF(FU100&gt;=0.45,VLOOKUP(Calculator!E23,tbSkills!DH3:DI6,2,FALSE)+IF(AND(Calculator!B8=TRUE,Backdoors!BI28=TRUE),VLOOKUP(Calculator!E23,tbSkills!DH3:DJ6,3,FALSE),0),0)))/100)),1))*IF(VLOOKUP(A100,tbMoveset!A2:K112,11,FALSE)=TRUE,Backdoors!AC5,1))*FV100,0),"")</f>
        <v>0</v>
      </c>
      <c r="FZ100" s="49">
        <f>VLOOKUP(A100,tbMoveset!A2:G112,7,FALSE)*IFERROR(IF(Backdoors!AI12&gt;=0,1+(IF(Calculator!E40&gt;0,VLOOKUP(Calculator!E40,tbSkills!AI3:AJ5,2,FALSE),Backdoors!AL4)*(IF((Backdoors!AI12+IF(FU100&gt;=0.45,VLOOKUP(Calculator!E23,tbSkills!DH3:DI6,2,FALSE)+IF(AND(Calculator!B8=TRUE,Backdoors!BI28=TRUE),VLOOKUP(Calculator!E23,tbSkills!DH3:DJ6,3,FALSE),0),0))&gt;=100,100,(Backdoors!AI12+IF(FU100&gt;=0.45,VLOOKUP(Calculator!E23,tbSkills!DH3:DI6,2,FALSE)+IF(AND(Calculator!B8=TRUE,Backdoors!BI28=TRUE),VLOOKUP(Calculator!E23,tbSkills!DH3:DJ6,3,FALSE),0),0)))/100)),1),1)</f>
        <v>1</v>
      </c>
      <c r="GA100" s="87">
        <f t="shared" si="76"/>
        <v>0</v>
      </c>
      <c r="GB100" s="86" t="str">
        <f>IFERROR(IF(VLOOKUP(A100,tbMoveset!A2:B112,2,FALSE)="Sever",Backdoors!AY29/100,IF(VLOOKUP(A100,tbMoveset!A2:B112,2,FALSE)="Blunt",Backdoors!AZ29/100,Backdoors!BA29/100)),"")</f>
        <v/>
      </c>
      <c r="GC100" s="49">
        <f>IFERROR(IF(VLOOKUP(tbMoveset!A100,tbMoveset!A2:H112,8,FALSE)="Other",IF(VLOOKUP(tbMoveset!A100,tbMoveset!A2:I112,9,FALSE)="Fire",Backdoors!BB29,IF(VLOOKUP(tbMoveset!A100,tbMoveset!A2:I112,9,FALSE)="Water",Backdoors!BC29,IF(VLOOKUP(tbMoveset!A100,tbMoveset!A2:I112,9,FALSE)="Thunder",Backdoors!BD29,IF(VLOOKUP(tbMoveset!A100,tbMoveset!A2:I112,9,FALSE)="Ice",Backdoors!BE29,IF(VLOOKUP(tbMoveset!A100,tbMoveset!A2:I112,9,FALSE)="Dragon",Backdoors!BF29,Backdoors!BG29)))))/100,Backdoors!BG29/100),"")</f>
        <v>0</v>
      </c>
      <c r="GD100" s="49">
        <f>IFERROR(IF(VLOOKUP(A100,tbMoveset!A2:J112,10,FALSE)=TRUE,IF((Backdoors!AI12+IF(GB100&gt;=0.45,VLOOKUP(Calculator!E23,tbSkills!DH3:DI6,2,FALSE)+IF(AND(Calculator!B8=TRUE,Backdoors!BI29=TRUE),VLOOKUP(Calculator!E23,tbSkills!DH3:DJ6,3,FALSE),0),0))&gt;=0,1+(Backdoors!AL2*(IF((Backdoors!AI12+IF(GB100&gt;=0.45,VLOOKUP(Calculator!E23,tbSkills!DH3:DI6,2,FALSE)+IF(AND(Calculator!B8=TRUE,Backdoors!BI29=TRUE),VLOOKUP(Calculator!E23,tbSkills!DH3:DJ6,3,FALSE),0),0))&gt;=100,100,(Backdoors!AI12+IF(GB100&gt;=0.45,VLOOKUP(Calculator!E23,tbSkills!DH3:DI6,2,FALSE)+IF(AND(Calculator!B8=TRUE,Backdoors!BI29=TRUE),VLOOKUP(Calculator!E23,tbSkills!DH3:DJ6,3,FALSE),0),0)))/100)),(1-(0.25*((-Backdoors!AI12-IF(GB100&gt;=0.45,VLOOKUP(Calculator!E23,tbSkills!DH3:DI6,2,FALSE)+IF(AND(Calculator!B8=TRUE,Backdoors!BI29=TRUE),VLOOKUP(Calculator!E23,tbSkills!DH3:DJ6,3,FALSE),0),0))/100)))),1),"")</f>
        <v>1</v>
      </c>
      <c r="GE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B100)*GD100)*(VLOOKUP(A100,tbMoveset!A2:C112,3,FALSE)/100)*IF(VLOOKUP(A100,tbMoveset!A2:B112,2,FALSE)="Projectile",Backdoors!N10,Backdoors!N9),0),"")</f>
        <v/>
      </c>
      <c r="GF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B100&gt;=0.45,VLOOKUP(Calculator!E23,tbSkills!DH3:DI6,2,FALSE)+IF(AND(Calculator!B8=TRUE,Backdoors!BI29=TRUE),VLOOKUP(Calculator!E23,tbSkills!DH3:DJ6,3,FALSE),0),0))&gt;=100,100,(Backdoors!AI12+IF(GB100&gt;=0.45,VLOOKUP(Calculator!E23,tbSkills!DH3:DI6,2,FALSE)+IF(AND(Calculator!B8=TRUE,Backdoors!BI29=TRUE),VLOOKUP(Calculator!E23,tbSkills!DH3:DJ6,3,FALSE),0),0)))/100)),1))*IF(VLOOKUP(A100,tbMoveset!A2:K112,11,FALSE)=TRUE,Backdoors!AC5,1))*GC100,0),"")</f>
        <v>0</v>
      </c>
      <c r="GG100" s="49">
        <f>VLOOKUP(A100,tbMoveset!A2:G112,7,FALSE)*IFERROR(IF(Backdoors!AI12&gt;=0,1+(IF(Calculator!E40&gt;0,VLOOKUP(Calculator!E40,tbSkills!AI3:AJ5,2,FALSE),Backdoors!AL4)*(IF((Backdoors!AI12+IF(GB100&gt;=0.45,VLOOKUP(Calculator!E23,tbSkills!DH3:DI6,2,FALSE)+IF(AND(Calculator!B8=TRUE,Backdoors!BI29=TRUE),VLOOKUP(Calculator!E23,tbSkills!DH3:DJ6,3,FALSE),0),0))&gt;=100,100,(Backdoors!AI12+IF(GB100&gt;=0.45,VLOOKUP(Calculator!E23,tbSkills!DH3:DI6,2,FALSE)+IF(AND(Calculator!B8=TRUE,Backdoors!BI29=TRUE),VLOOKUP(Calculator!E23,tbSkills!DH3:DJ6,3,FALSE),0),0)))/100)),1),1)</f>
        <v>1</v>
      </c>
      <c r="GH100" s="87">
        <f t="shared" si="77"/>
        <v>0</v>
      </c>
      <c r="GI100" s="86" t="str">
        <f>IFERROR(IF(VLOOKUP(A100,tbMoveset!A2:B112,2,FALSE)="Sever",Backdoors!AY30/100,IF(VLOOKUP(A100,tbMoveset!A2:B112,2,FALSE)="Blunt",Backdoors!AZ30/100,Backdoors!BA30/100)),"")</f>
        <v/>
      </c>
      <c r="GJ100" s="49">
        <f>IFERROR(IF(VLOOKUP(tbMoveset!A100,tbMoveset!A2:H112,8,FALSE)="Other",IF(VLOOKUP(tbMoveset!A100,tbMoveset!A2:I112,9,FALSE)="Fire",Backdoors!BB30,IF(VLOOKUP(tbMoveset!A100,tbMoveset!A2:I112,9,FALSE)="Water",Backdoors!BC30,IF(VLOOKUP(tbMoveset!A100,tbMoveset!A2:I112,9,FALSE)="Thunder",Backdoors!BD30,IF(VLOOKUP(tbMoveset!A100,tbMoveset!A2:I112,9,FALSE)="Ice",Backdoors!BE30,IF(VLOOKUP(tbMoveset!A100,tbMoveset!A2:I112,9,FALSE)="Dragon",Backdoors!BF30,Backdoors!BG30)))))/100,Backdoors!BG30/100),"")</f>
        <v>0</v>
      </c>
      <c r="GK100" s="49">
        <f>IFERROR(IF(VLOOKUP(A100,tbMoveset!A2:J112,10,FALSE)=TRUE,IF((Backdoors!AI12+IF(GI100&gt;=0.45,VLOOKUP(Calculator!E23,tbSkills!DH3:DI6,2,FALSE)+IF(AND(Calculator!B8=TRUE,Backdoors!BI30=TRUE),VLOOKUP(Calculator!E23,tbSkills!DH3:DJ6,3,FALSE),0),0))&gt;=0,1+(Backdoors!AL2*(IF((Backdoors!AI12+IF(GI100&gt;=0.45,VLOOKUP(Calculator!E23,tbSkills!DH3:DI6,2,FALSE)+IF(AND(Calculator!B8=TRUE,Backdoors!BI30=TRUE),VLOOKUP(Calculator!E23,tbSkills!DH3:DJ6,3,FALSE),0),0))&gt;=100,100,(Backdoors!AI12+IF(GI100&gt;=0.45,VLOOKUP(Calculator!E23,tbSkills!DH3:DI6,2,FALSE)+IF(AND(Calculator!B8=TRUE,Backdoors!BI30=TRUE),VLOOKUP(Calculator!E23,tbSkills!DH3:DJ6,3,FALSE),0),0)))/100)),(1-(0.25*((-Backdoors!AI12-IF(GI100&gt;=0.45,VLOOKUP(Calculator!E23,tbSkills!DH3:DI6,2,FALSE)+IF(AND(Calculator!B8=TRUE,Backdoors!BI30=TRUE),VLOOKUP(Calculator!E23,tbSkills!DH3:DJ6,3,FALSE),0),0))/100)))),1),"")</f>
        <v>1</v>
      </c>
      <c r="GL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I100)*GK100)*(VLOOKUP(A100,tbMoveset!A2:C112,3,FALSE)/100)*IF(VLOOKUP(A100,tbMoveset!A2:B112,2,FALSE)="Projectile",Backdoors!N10,Backdoors!N9),0),"")</f>
        <v/>
      </c>
      <c r="GM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I100&gt;=0.45,VLOOKUP(Calculator!E23,tbSkills!DH3:DI6,2,FALSE)+IF(AND(Calculator!B8=TRUE,Backdoors!BI30=TRUE),VLOOKUP(Calculator!E23,tbSkills!DH3:DJ6,3,FALSE),0),0))&gt;=100,100,(Backdoors!AI12+IF(GI100&gt;=0.45,VLOOKUP(Calculator!E23,tbSkills!DH3:DI6,2,FALSE)+IF(AND(Calculator!B8=TRUE,Backdoors!BI30=TRUE),VLOOKUP(Calculator!E23,tbSkills!DH3:DJ6,3,FALSE),0),0)))/100)),1))*IF(VLOOKUP(A100,tbMoveset!A2:K112,11,FALSE)=TRUE,Backdoors!AC5,1))*GJ100,0),"")</f>
        <v>0</v>
      </c>
      <c r="GN100" s="49">
        <f>VLOOKUP(A100,tbMoveset!A2:G112,7,FALSE)*IFERROR(IF(Backdoors!AI12&gt;=0,1+(IF(Calculator!E40&gt;0,VLOOKUP(Calculator!E40,tbSkills!AI3:AJ5,2,FALSE),Backdoors!AL4)*(IF((Backdoors!AI12+IF(GI100&gt;=0.45,VLOOKUP(Calculator!E23,tbSkills!DH3:DI6,2,FALSE)+IF(AND(Calculator!B8=TRUE,Backdoors!BI30=TRUE),VLOOKUP(Calculator!E23,tbSkills!DH3:DJ6,3,FALSE),0),0))&gt;=100,100,(Backdoors!AI12+IF(GI100&gt;=0.45,VLOOKUP(Calculator!E23,tbSkills!DH3:DI6,2,FALSE)+IF(AND(Calculator!B8=TRUE,Backdoors!BI30=TRUE),VLOOKUP(Calculator!E23,tbSkills!DH3:DJ6,3,FALSE),0),0)))/100)),1),1)</f>
        <v>1</v>
      </c>
      <c r="GO100" s="87">
        <f t="shared" si="78"/>
        <v>0</v>
      </c>
      <c r="GP100" s="86" t="str">
        <f>IFERROR(IF(VLOOKUP(A100,tbMoveset!A2:B112,2,FALSE)="Sever",Backdoors!AY31/100,IF(VLOOKUP(A100,tbMoveset!A2:B112,2,FALSE)="Blunt",Backdoors!AZ31/100,Backdoors!BA31/100)),"")</f>
        <v/>
      </c>
      <c r="GQ100" s="49">
        <f>IFERROR(IF(VLOOKUP(tbMoveset!A100,tbMoveset!A2:H112,8,FALSE)="Other",IF(VLOOKUP(tbMoveset!A100,tbMoveset!A2:I112,9,FALSE)="Fire",Backdoors!BB31,IF(VLOOKUP(tbMoveset!A100,tbMoveset!A2:I112,9,FALSE)="Water",Backdoors!BC31,IF(VLOOKUP(tbMoveset!A100,tbMoveset!A2:I112,9,FALSE)="Thunder",Backdoors!BD31,IF(VLOOKUP(tbMoveset!A100,tbMoveset!A2:I112,9,FALSE)="Ice",Backdoors!BE31,IF(VLOOKUP(tbMoveset!A100,tbMoveset!A2:I112,9,FALSE)="Dragon",Backdoors!BF31,Backdoors!BG31)))))/100,Backdoors!BG31/100),"")</f>
        <v>0</v>
      </c>
      <c r="GR100" s="49">
        <f>IFERROR(IF(VLOOKUP(A100,tbMoveset!A2:J112,10,FALSE)=TRUE,IF((Backdoors!AI12+IF(GP100&gt;=0.45,VLOOKUP(Calculator!E23,tbSkills!DH3:DI6,2,FALSE)+IF(AND(Calculator!B8=TRUE,Backdoors!BI31=TRUE),VLOOKUP(Calculator!E23,tbSkills!DH3:DJ6,3,FALSE),0),0))&gt;=0,1+(Backdoors!AL2*(IF((Backdoors!AI12+IF(GP100&gt;=0.45,VLOOKUP(Calculator!E23,tbSkills!DH3:DI6,2,FALSE)+IF(AND(Calculator!B8=TRUE,Backdoors!BI31=TRUE),VLOOKUP(Calculator!E23,tbSkills!DH3:DJ6,3,FALSE),0),0))&gt;=100,100,(Backdoors!AI12+IF(GP100&gt;=0.45,VLOOKUP(Calculator!E23,tbSkills!DH3:DI6,2,FALSE)+IF(AND(Calculator!B8=TRUE,Backdoors!BI31=TRUE),VLOOKUP(Calculator!E23,tbSkills!DH3:DJ6,3,FALSE),0),0)))/100)),(1-(0.25*((-Backdoors!AI12-IF(GP100&gt;=0.45,VLOOKUP(Calculator!E23,tbSkills!DH3:DI6,2,FALSE)+IF(AND(Calculator!B8=TRUE,Backdoors!BI31=TRUE),VLOOKUP(Calculator!E23,tbSkills!DH3:DJ6,3,FALSE),0),0))/100)))),1),"")</f>
        <v>1</v>
      </c>
      <c r="GS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P100)*GR100)*(VLOOKUP(A100,tbMoveset!A2:C112,3,FALSE)/100)*IF(VLOOKUP(A100,tbMoveset!A2:B112,2,FALSE)="Projectile",Backdoors!N10,Backdoors!N9),0),"")</f>
        <v/>
      </c>
      <c r="GT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P100&gt;=0.45,VLOOKUP(Calculator!E23,tbSkills!DH3:DI6,2,FALSE)+IF(AND(Calculator!B8=TRUE,Backdoors!BI31=TRUE),VLOOKUP(Calculator!E23,tbSkills!DH3:DJ6,3,FALSE),0),0))&gt;=100,100,(Backdoors!AI12+IF(GP100&gt;=0.45,VLOOKUP(Calculator!E23,tbSkills!DH3:DI6,2,FALSE)+IF(AND(Calculator!B8=TRUE,Backdoors!BI31=TRUE),VLOOKUP(Calculator!E23,tbSkills!DH3:DJ6,3,FALSE),0),0)))/100)),1))*IF(VLOOKUP(A100,tbMoveset!A2:K112,11,FALSE)=TRUE,Backdoors!AC5,1))*GQ100,0),"")</f>
        <v>0</v>
      </c>
      <c r="GU100" s="49">
        <f>VLOOKUP(A100,tbMoveset!A2:G112,7,FALSE)*IFERROR(IF(Backdoors!AI12&gt;=0,1+(IF(Calculator!E40&gt;0,VLOOKUP(Calculator!E40,tbSkills!AI3:AJ5,2,FALSE),Backdoors!AL4)*(IF((Backdoors!AI12+IF(GP100&gt;=0.45,VLOOKUP(Calculator!E23,tbSkills!DH3:DI6,2,FALSE)+IF(AND(Calculator!B8=TRUE,Backdoors!BI31=TRUE),VLOOKUP(Calculator!E23,tbSkills!DH3:DJ6,3,FALSE),0),0))&gt;=100,100,(Backdoors!AI12+IF(GP100&gt;=0.45,VLOOKUP(Calculator!E23,tbSkills!DH3:DI6,2,FALSE)+IF(AND(Calculator!B8=TRUE,Backdoors!BI31=TRUE),VLOOKUP(Calculator!E23,tbSkills!DH3:DJ6,3,FALSE),0),0)))/100)),1),1)</f>
        <v>1</v>
      </c>
      <c r="GV100" s="87">
        <f t="shared" si="79"/>
        <v>0</v>
      </c>
      <c r="GW100" s="86" t="str">
        <f>IFERROR(IF(VLOOKUP(A100,tbMoveset!A2:B112,2,FALSE)="Sever",Backdoors!AY32/100,IF(VLOOKUP(A100,tbMoveset!A2:B112,2,FALSE)="Blunt",Backdoors!AZ32/100,Backdoors!BA32/100)),"")</f>
        <v/>
      </c>
      <c r="GX100" s="49">
        <f>IFERROR(IF(VLOOKUP(tbMoveset!A100,tbMoveset!A2:H112,8,FALSE)="Other",IF(VLOOKUP(tbMoveset!A100,tbMoveset!A2:I112,9,FALSE)="Fire",Backdoors!BB32,IF(VLOOKUP(tbMoveset!A100,tbMoveset!A2:I112,9,FALSE)="Water",Backdoors!BC32,IF(VLOOKUP(tbMoveset!A100,tbMoveset!A2:I112,9,FALSE)="Thunder",Backdoors!BD32,IF(VLOOKUP(tbMoveset!A100,tbMoveset!A2:I112,9,FALSE)="Ice",Backdoors!BE32,IF(VLOOKUP(tbMoveset!A100,tbMoveset!A2:I112,9,FALSE)="Dragon",Backdoors!BF32,Backdoors!BG32)))))/100,Backdoors!BG32/100),"")</f>
        <v>0</v>
      </c>
      <c r="GY100" s="49">
        <f>IFERROR(IF(VLOOKUP(A100,tbMoveset!A2:J112,10,FALSE)=TRUE,IF((Backdoors!AI12+IF(GW100&gt;=0.45,VLOOKUP(Calculator!E23,tbSkills!DH3:DI6,2,FALSE)+IF(AND(Calculator!B8=TRUE,Backdoors!BI32=TRUE),VLOOKUP(Calculator!E23,tbSkills!DH3:DJ6,3,FALSE),0),0))&gt;=0,1+(Backdoors!AL2*(IF((Backdoors!AI12+IF(GW100&gt;=0.45,VLOOKUP(Calculator!E23,tbSkills!DH3:DI6,2,FALSE)+IF(AND(Calculator!B8=TRUE,Backdoors!BI32=TRUE),VLOOKUP(Calculator!E23,tbSkills!DH3:DJ6,3,FALSE),0),0))&gt;=100,100,(Backdoors!AI12+IF(GW100&gt;=0.45,VLOOKUP(Calculator!E23,tbSkills!DH3:DI6,2,FALSE)+IF(AND(Calculator!B8=TRUE,Backdoors!BI32=TRUE),VLOOKUP(Calculator!E23,tbSkills!DH3:DJ6,3,FALSE),0),0)))/100)),(1-(0.25*((-Backdoors!AI12-IF(GW100&gt;=0.45,VLOOKUP(Calculator!E23,tbSkills!DH3:DI6,2,FALSE)+IF(AND(Calculator!B8=TRUE,Backdoors!BI32=TRUE),VLOOKUP(Calculator!E23,tbSkills!DH3:DJ6,3,FALSE),0),0))/100)))),1),"")</f>
        <v>1</v>
      </c>
      <c r="GZ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W100)*GY100)*(VLOOKUP(A100,tbMoveset!A2:C112,3,FALSE)/100)*IF(VLOOKUP(A100,tbMoveset!A2:B112,2,FALSE)="Projectile",Backdoors!N10,Backdoors!N9),0),"")</f>
        <v/>
      </c>
      <c r="HA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W100&gt;=0.45,VLOOKUP(Calculator!E23,tbSkills!DH3:DI6,2,FALSE)+IF(AND(Calculator!B8=TRUE,Backdoors!BI32=TRUE),VLOOKUP(Calculator!E23,tbSkills!DH3:DJ6,3,FALSE),0),0))&gt;=100,100,(Backdoors!AI12+IF(GW100&gt;=0.45,VLOOKUP(Calculator!E23,tbSkills!DH3:DI6,2,FALSE)+IF(AND(Calculator!B8=TRUE,Backdoors!BI32=TRUE),VLOOKUP(Calculator!E23,tbSkills!DH3:DJ6,3,FALSE),0),0)))/100)),1))*IF(VLOOKUP(A100,tbMoveset!A2:K112,11,FALSE)=TRUE,Backdoors!AC5,1))*GX100,0),"")</f>
        <v>0</v>
      </c>
      <c r="HB100" s="49">
        <f>VLOOKUP(A100,tbMoveset!A2:G112,7,FALSE)*IFERROR(IF(Backdoors!AI12&gt;=0,1+(IF(Calculator!E40&gt;0,VLOOKUP(Calculator!E40,tbSkills!AI3:AJ5,2,FALSE),Backdoors!AL4)*(IF((Backdoors!AI12+IF(GW100&gt;=0.45,VLOOKUP(Calculator!E23,tbSkills!DH3:DI6,2,FALSE)+IF(AND(Calculator!B8=TRUE,Backdoors!BI32=TRUE),VLOOKUP(Calculator!E23,tbSkills!DH3:DJ6,3,FALSE),0),0))&gt;=100,100,(Backdoors!AI12+IF(GW100&gt;=0.45,VLOOKUP(Calculator!E23,tbSkills!DH3:DI6,2,FALSE)+IF(AND(Calculator!B8=TRUE,Backdoors!BI32=TRUE),VLOOKUP(Calculator!E23,tbSkills!DH3:DJ6,3,FALSE),0),0)))/100)),1),1)</f>
        <v>1</v>
      </c>
      <c r="HC100" s="87">
        <f t="shared" si="80"/>
        <v>0</v>
      </c>
      <c r="HD100" s="86" t="str">
        <f>IFERROR(IF(VLOOKUP(A100,tbMoveset!A2:B112,2,FALSE)="Sever",Backdoors!AY33/100,IF(VLOOKUP(A100,tbMoveset!A2:B112,2,FALSE)="Blunt",Backdoors!AZ33/100,Backdoors!BA33/100)),"")</f>
        <v/>
      </c>
      <c r="HE100" s="49">
        <f>IFERROR(IF(VLOOKUP(tbMoveset!A100,tbMoveset!A2:H112,8,FALSE)="Other",IF(VLOOKUP(tbMoveset!A100,tbMoveset!A2:I112,9,FALSE)="Fire",Backdoors!BB33,IF(VLOOKUP(tbMoveset!A100,tbMoveset!A2:I112,9,FALSE)="Water",Backdoors!BC33,IF(VLOOKUP(tbMoveset!A100,tbMoveset!A2:I112,9,FALSE)="Thunder",Backdoors!BD33,IF(VLOOKUP(tbMoveset!A100,tbMoveset!A2:I112,9,FALSE)="Ice",Backdoors!BE33,IF(VLOOKUP(tbMoveset!A100,tbMoveset!A2:I112,9,FALSE)="Dragon",Backdoors!BF33,Backdoors!BG33)))))/100,Backdoors!BG33/100),"")</f>
        <v>0</v>
      </c>
      <c r="HF100" s="49">
        <f>IFERROR(IF(VLOOKUP(A100,tbMoveset!A2:J112,10,FALSE)=TRUE,IF((Backdoors!AI12+IF(HD100&gt;=0.45,VLOOKUP(Calculator!E23,tbSkills!DH3:DI6,2,FALSE)+IF(AND(Calculator!B8=TRUE,Backdoors!BI33=TRUE),VLOOKUP(Calculator!E23,tbSkills!DH3:DJ6,3,FALSE),0),0))&gt;=0,1+(Backdoors!AL2*(IF((Backdoors!AI12+IF(HD100&gt;=0.45,VLOOKUP(Calculator!E23,tbSkills!DH3:DI6,2,FALSE)+IF(AND(Calculator!B8=TRUE,Backdoors!BI33=TRUE),VLOOKUP(Calculator!E23,tbSkills!DH3:DJ6,3,FALSE),0),0))&gt;=100,100,(Backdoors!AI12+IF(HD100&gt;=0.45,VLOOKUP(Calculator!E23,tbSkills!DH3:DI6,2,FALSE)+IF(AND(Calculator!B8=TRUE,Backdoors!BI33=TRUE),VLOOKUP(Calculator!E23,tbSkills!DH3:DJ6,3,FALSE),0),0)))/100)),(1-(0.25*((-Backdoors!AI12-IF(HD100&gt;=0.45,VLOOKUP(Calculator!E23,tbSkills!DH3:DI6,2,FALSE)+IF(AND(Calculator!B8=TRUE,Backdoors!BI33=TRUE),VLOOKUP(Calculator!E23,tbSkills!DH3:DJ6,3,FALSE),0),0))/100)))),1),"")</f>
        <v>1</v>
      </c>
      <c r="HG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D100)*HF100)*(VLOOKUP(A100,tbMoveset!A2:C112,3,FALSE)/100)*IF(VLOOKUP(A100,tbMoveset!A2:B112,2,FALSE)="Projectile",Backdoors!N10,Backdoors!N9),0),"")</f>
        <v/>
      </c>
      <c r="HH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D100&gt;=0.45,VLOOKUP(Calculator!E23,tbSkills!DH3:DI6,2,FALSE)+IF(AND(Calculator!B8=TRUE,Backdoors!BI33=TRUE),VLOOKUP(Calculator!E23,tbSkills!DH3:DJ6,3,FALSE),0),0))&gt;=100,100,(Backdoors!AI12+IF(HD100&gt;=0.45,VLOOKUP(Calculator!E23,tbSkills!DH3:DI6,2,FALSE)+IF(AND(Calculator!B8=TRUE,Backdoors!BI33=TRUE),VLOOKUP(Calculator!E23,tbSkills!DH3:DJ6,3,FALSE),0),0)))/100)),1))*IF(VLOOKUP(A100,tbMoveset!A2:K112,11,FALSE)=TRUE,Backdoors!AC5,1))*HE100,0),"")</f>
        <v>0</v>
      </c>
      <c r="HI100" s="49">
        <f>VLOOKUP(A100,tbMoveset!A2:G112,7,FALSE)*IFERROR(IF(Backdoors!AI12&gt;=0,1+(IF(Calculator!E40&gt;0,VLOOKUP(Calculator!E40,tbSkills!AI3:AJ5,2,FALSE),Backdoors!AL4)*(IF((Backdoors!AI12+IF(HD100&gt;=0.45,VLOOKUP(Calculator!E23,tbSkills!DH3:DI6,2,FALSE)+IF(AND(Calculator!B8=TRUE,Backdoors!BI33=TRUE),VLOOKUP(Calculator!E23,tbSkills!DH3:DJ6,3,FALSE),0),0))&gt;=100,100,(Backdoors!AI12+IF(HD100&gt;=0.45,VLOOKUP(Calculator!E23,tbSkills!DH3:DI6,2,FALSE)+IF(AND(Calculator!B8=TRUE,Backdoors!BI33=TRUE),VLOOKUP(Calculator!E23,tbSkills!DH3:DJ6,3,FALSE),0),0)))/100)),1),1)</f>
        <v>1</v>
      </c>
      <c r="HJ100" s="87">
        <f t="shared" si="81"/>
        <v>0</v>
      </c>
      <c r="HK100" s="86" t="str">
        <f>IFERROR(IF(VLOOKUP(A100,tbMoveset!A2:B112,2,FALSE)="Sever",Backdoors!AY34/100,IF(VLOOKUP(A100,tbMoveset!A2:B112,2,FALSE)="Blunt",Backdoors!AZ34/100,Backdoors!BA34/100)),"")</f>
        <v/>
      </c>
      <c r="HL100" s="49">
        <f>IFERROR(IF(VLOOKUP(tbMoveset!A100,tbMoveset!A2:H112,8,FALSE)="Other",IF(VLOOKUP(tbMoveset!A100,tbMoveset!A2:I112,9,FALSE)="Fire",Backdoors!BB34,IF(VLOOKUP(tbMoveset!A100,tbMoveset!A2:I112,9,FALSE)="Water",Backdoors!BC34,IF(VLOOKUP(tbMoveset!A100,tbMoveset!A2:I112,9,FALSE)="Thunder",Backdoors!BD34,IF(VLOOKUP(tbMoveset!A100,tbMoveset!A2:I112,9,FALSE)="Ice",Backdoors!BE34,IF(VLOOKUP(tbMoveset!A100,tbMoveset!A2:I112,9,FALSE)="Dragon",Backdoors!BF34,Backdoors!BG34)))))/100,Backdoors!BG34/100),"")</f>
        <v>0</v>
      </c>
      <c r="HM100" s="49">
        <f>IFERROR(IF(VLOOKUP(A100,tbMoveset!A2:J112,10,FALSE)=TRUE,IF((Backdoors!AI12+IF(HK100&gt;=0.45,VLOOKUP(Calculator!E23,tbSkills!DH3:DI6,2,FALSE)+IF(AND(Calculator!B8=TRUE,Backdoors!BI34=TRUE),VLOOKUP(Calculator!E23,tbSkills!DH3:DJ6,3,FALSE),0),0))&gt;=0,1+(Backdoors!AL2*(IF((Backdoors!AI12+IF(HK100&gt;=0.45,VLOOKUP(Calculator!E23,tbSkills!DH3:DI6,2,FALSE)+IF(AND(Calculator!B8=TRUE,Backdoors!BI34=TRUE),VLOOKUP(Calculator!E23,tbSkills!DH3:DJ6,3,FALSE),0),0))&gt;=100,100,(Backdoors!AI12+IF(HK100&gt;=0.45,VLOOKUP(Calculator!E23,tbSkills!DH3:DI6,2,FALSE)+IF(AND(Calculator!B8=TRUE,Backdoors!BI34=TRUE),VLOOKUP(Calculator!E23,tbSkills!DH3:DJ6,3,FALSE),0),0)))/100)),(1-(0.25*((-Backdoors!AI12-IF(HK100&gt;=0.45,VLOOKUP(Calculator!E23,tbSkills!DH3:DI6,2,FALSE)+IF(AND(Calculator!B8=TRUE,Backdoors!BI34=TRUE),VLOOKUP(Calculator!E23,tbSkills!DH3:DJ6,3,FALSE),0),0))/100)))),1),"")</f>
        <v>1</v>
      </c>
      <c r="HN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K100)*HM100)*(VLOOKUP(A100,tbMoveset!A2:C112,3,FALSE)/100)*IF(VLOOKUP(A100,tbMoveset!A2:B112,2,FALSE)="Projectile",Backdoors!N10,Backdoors!N9),0),"")</f>
        <v/>
      </c>
      <c r="HO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K100&gt;=0.45,VLOOKUP(Calculator!E23,tbSkills!DH3:DI6,2,FALSE)+IF(AND(Calculator!B8=TRUE,Backdoors!BI34=TRUE),VLOOKUP(Calculator!E23,tbSkills!DH3:DJ6,3,FALSE),0),0))&gt;=100,100,(Backdoors!AI12+IF(HK100&gt;=0.45,VLOOKUP(Calculator!E23,tbSkills!DH3:DI6,2,FALSE)+IF(AND(Calculator!B8=TRUE,Backdoors!BI34=TRUE),VLOOKUP(Calculator!E23,tbSkills!DH3:DJ6,3,FALSE),0),0)))/100)),1))*IF(VLOOKUP(A100,tbMoveset!A2:K112,11,FALSE)=TRUE,Backdoors!AC5,1))*HL100,0),"")</f>
        <v>0</v>
      </c>
      <c r="HP100" s="49">
        <f>VLOOKUP(A100,tbMoveset!A2:G112,7,FALSE)*IFERROR(IF(Backdoors!AI12&gt;=0,1+(IF(Calculator!E40&gt;0,VLOOKUP(Calculator!E40,tbSkills!AI3:AJ5,2,FALSE),Backdoors!AL4)*(IF((Backdoors!AI12+IF(HK100&gt;=0.45,VLOOKUP(Calculator!E23,tbSkills!DH3:DI6,2,FALSE)+IF(AND(Calculator!B8=TRUE,Backdoors!BI34=TRUE),VLOOKUP(Calculator!E23,tbSkills!DH3:DJ6,3,FALSE),0),0))&gt;=100,100,(Backdoors!AI12+IF(HK100&gt;=0.45,VLOOKUP(Calculator!E23,tbSkills!DH3:DI6,2,FALSE)+IF(AND(Calculator!B8=TRUE,Backdoors!BI34=TRUE),VLOOKUP(Calculator!E23,tbSkills!DH3:DJ6,3,FALSE),0),0)))/100)),1),1)</f>
        <v>1</v>
      </c>
      <c r="HQ100" s="87">
        <f t="shared" si="82"/>
        <v>0</v>
      </c>
      <c r="HR100" s="86" t="str">
        <f>IFERROR(IF(VLOOKUP(A100,tbMoveset!A2:B112,2,FALSE)="Sever",Backdoors!AY35/100,IF(VLOOKUP(A100,tbMoveset!A2:B112,2,FALSE)="Blunt",Backdoors!AZ35/100,Backdoors!BA35/100)),"")</f>
        <v/>
      </c>
      <c r="HS100" s="49">
        <f>IFERROR(IF(VLOOKUP(tbMoveset!A100,tbMoveset!A2:H112,8,FALSE)="Other",IF(VLOOKUP(tbMoveset!A100,tbMoveset!A2:I112,9,FALSE)="Fire",Backdoors!BB35,IF(VLOOKUP(tbMoveset!A100,tbMoveset!A2:I112,9,FALSE)="Water",Backdoors!BC35,IF(VLOOKUP(tbMoveset!A100,tbMoveset!A2:I112,9,FALSE)="Thunder",Backdoors!BD35,IF(VLOOKUP(tbMoveset!A100,tbMoveset!A2:I112,9,FALSE)="Ice",Backdoors!BE35,IF(VLOOKUP(tbMoveset!A100,tbMoveset!A2:I112,9,FALSE)="Dragon",Backdoors!BF35,Backdoors!BG35)))))/100,Backdoors!BG35/100),"")</f>
        <v>0</v>
      </c>
      <c r="HT100" s="49">
        <f>IFERROR(IF(VLOOKUP(A100,tbMoveset!A2:J112,10,FALSE)=TRUE,IF((Backdoors!AI12+IF(HR100&gt;=0.45,VLOOKUP(Calculator!E23,tbSkills!DH3:DI6,2,FALSE)+IF(AND(Calculator!B8=TRUE,Backdoors!BI35=TRUE),VLOOKUP(Calculator!E23,tbSkills!DH3:DJ6,3,FALSE),0),0))&gt;=0,1+(Backdoors!AL2*(IF((Backdoors!AI12+IF(HR100&gt;=0.45,VLOOKUP(Calculator!E23,tbSkills!DH3:DI6,2,FALSE)+IF(AND(Calculator!B8=TRUE,Backdoors!BI35=TRUE),VLOOKUP(Calculator!E23,tbSkills!DH3:DJ6,3,FALSE),0),0))&gt;=100,100,(Backdoors!AI12+IF(HR100&gt;=0.45,VLOOKUP(Calculator!E23,tbSkills!DH3:DI6,2,FALSE)+IF(AND(Calculator!B8=TRUE,Backdoors!BI35=TRUE),VLOOKUP(Calculator!E23,tbSkills!DH3:DJ6,3,FALSE),0),0)))/100)),(1-(0.25*((-Backdoors!AI12-IF(HR100&gt;=0.45,VLOOKUP(Calculator!E23,tbSkills!DH3:DI6,2,FALSE)+IF(AND(Calculator!B8=TRUE,Backdoors!BI35=TRUE),VLOOKUP(Calculator!E23,tbSkills!DH3:DJ6,3,FALSE),0),0))/100)))),1),"")</f>
        <v>1</v>
      </c>
      <c r="HU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R100)*HT100)*(VLOOKUP(A100,tbMoveset!A2:C112,3,FALSE)/100)*IF(VLOOKUP(A100,tbMoveset!A2:B112,2,FALSE)="Projectile",Backdoors!N10,Backdoors!N9),0),"")</f>
        <v/>
      </c>
      <c r="HV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R100&gt;=0.45,VLOOKUP(Calculator!E23,tbSkills!DH3:DI6,2,FALSE)+IF(AND(Calculator!B8=TRUE,Backdoors!BI35=TRUE),VLOOKUP(Calculator!E23,tbSkills!DH3:DJ6,3,FALSE),0),0))&gt;=100,100,(Backdoors!AI12+IF(HR100&gt;=0.45,VLOOKUP(Calculator!E23,tbSkills!DH3:DI6,2,FALSE)+IF(AND(Calculator!B8=TRUE,Backdoors!BI35=TRUE),VLOOKUP(Calculator!E23,tbSkills!DH3:DJ6,3,FALSE),0),0)))/100)),1))*IF(VLOOKUP(A100,tbMoveset!A2:K112,11,FALSE)=TRUE,Backdoors!AC5,1))*HS100,0),"")</f>
        <v>0</v>
      </c>
      <c r="HW100" s="49">
        <f>VLOOKUP(A100,tbMoveset!A2:G112,7,FALSE)*IFERROR(IF(Backdoors!AI12&gt;=0,1+(IF(Calculator!E40&gt;0,VLOOKUP(Calculator!E40,tbSkills!AI3:AJ5,2,FALSE),Backdoors!AL4)*(IF((Backdoors!AI12+IF(HR100&gt;=0.45,VLOOKUP(Calculator!E23,tbSkills!DH3:DI6,2,FALSE)+IF(AND(Calculator!B8=TRUE,Backdoors!BI35=TRUE),VLOOKUP(Calculator!E23,tbSkills!DH3:DJ6,3,FALSE),0),0))&gt;=100,100,(Backdoors!AI12+IF(HR100&gt;=0.45,VLOOKUP(Calculator!E23,tbSkills!DH3:DI6,2,FALSE)+IF(AND(Calculator!B8=TRUE,Backdoors!BI35=TRUE),VLOOKUP(Calculator!E23,tbSkills!DH3:DJ6,3,FALSE),0),0)))/100)),1),1)</f>
        <v>1</v>
      </c>
      <c r="HX100" s="87">
        <f t="shared" si="83"/>
        <v>0</v>
      </c>
      <c r="HY100" s="86" t="str">
        <f>IFERROR(IF(VLOOKUP(A100,tbMoveset!A2:B112,2,FALSE)="Sever",Backdoors!AY36/100,IF(VLOOKUP(A100,tbMoveset!A2:B112,2,FALSE)="Blunt",Backdoors!AZ36/100,Backdoors!BA36/100)),"")</f>
        <v/>
      </c>
      <c r="HZ100" s="49">
        <f>IFERROR(IF(VLOOKUP(tbMoveset!A100,tbMoveset!A2:H112,8,FALSE)="Other",IF(VLOOKUP(tbMoveset!A100,tbMoveset!A2:I112,9,FALSE)="Fire",Backdoors!BB36,IF(VLOOKUP(tbMoveset!A100,tbMoveset!A2:I112,9,FALSE)="Water",Backdoors!BC36,IF(VLOOKUP(tbMoveset!A100,tbMoveset!A2:I112,9,FALSE)="Thunder",Backdoors!BD36,IF(VLOOKUP(tbMoveset!A100,tbMoveset!A2:I112,9,FALSE)="Ice",Backdoors!BE36,IF(VLOOKUP(tbMoveset!A100,tbMoveset!A2:I112,9,FALSE)="Dragon",Backdoors!BF36,Backdoors!BG36)))))/100,Backdoors!BG36/100),"")</f>
        <v>0</v>
      </c>
      <c r="IA100" s="49">
        <f>IFERROR(IF(VLOOKUP(A100,tbMoveset!A2:J112,10,FALSE)=TRUE,IF((Backdoors!AI12+IF(HY100&gt;=0.45,VLOOKUP(Calculator!E23,tbSkills!DH3:DI6,2,FALSE)+IF(AND(Calculator!B8=TRUE,Backdoors!BI36=TRUE),VLOOKUP(Calculator!E23,tbSkills!DH3:DJ6,3,FALSE),0),0))&gt;=0,1+(Backdoors!AL2*(IF((Backdoors!AI12+IF(HY100&gt;=0.45,VLOOKUP(Calculator!E23,tbSkills!DH3:DI6,2,FALSE)+IF(AND(Calculator!B8=TRUE,Backdoors!BI36=TRUE),VLOOKUP(Calculator!E23,tbSkills!DH3:DJ6,3,FALSE),0),0))&gt;=100,100,(Backdoors!AI12+IF(HY100&gt;=0.45,VLOOKUP(Calculator!E23,tbSkills!DH3:DI6,2,FALSE)+IF(AND(Calculator!B8=TRUE,Backdoors!BI36=TRUE),VLOOKUP(Calculator!E23,tbSkills!DH3:DJ6,3,FALSE),0),0)))/100)),(1-(0.25*((-Backdoors!AI12-IF(HY100&gt;=0.45,VLOOKUP(Calculator!E23,tbSkills!DH3:DI6,2,FALSE)+IF(AND(Calculator!B8=TRUE,Backdoors!BI36=TRUE),VLOOKUP(Calculator!E23,tbSkills!DH3:DJ6,3,FALSE),0),0))/100)))),1),"")</f>
        <v>1</v>
      </c>
      <c r="IB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Y100)*IA100)*(VLOOKUP(A100,tbMoveset!A2:C112,3,FALSE)/100)*IF(VLOOKUP(A100,tbMoveset!A2:B112,2,FALSE)="Projectile",Backdoors!N10,Backdoors!N9),0),"")</f>
        <v/>
      </c>
      <c r="IC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Y100&gt;=0.45,VLOOKUP(Calculator!E23,tbSkills!DH3:DI6,2,FALSE)+IF(AND(Calculator!B8=TRUE,Backdoors!BI36=TRUE),VLOOKUP(Calculator!E23,tbSkills!DH3:DJ6,3,FALSE),0),0))&gt;=100,100,(Backdoors!AI12+IF(HY100&gt;=0.45,VLOOKUP(Calculator!E23,tbSkills!DH3:DI6,2,FALSE)+IF(AND(Calculator!B8=TRUE,Backdoors!BI36=TRUE),VLOOKUP(Calculator!E23,tbSkills!DH3:DJ6,3,FALSE),0),0)))/100)),1))*IF(VLOOKUP(A100,tbMoveset!A2:K112,11,FALSE)=TRUE,Backdoors!AC5,1))*HZ100,0),"")</f>
        <v>0</v>
      </c>
      <c r="ID100" s="49">
        <f>VLOOKUP(A100,tbMoveset!A2:G112,7,FALSE)*IFERROR(IF(Backdoors!AI12&gt;=0,1+(IF(Calculator!E40&gt;0,VLOOKUP(Calculator!E40,tbSkills!AI3:AJ5,2,FALSE),Backdoors!AL4)*(IF((Backdoors!AI12+IF(HY100&gt;=0.45,VLOOKUP(Calculator!E23,tbSkills!DH3:DI6,2,FALSE)+IF(AND(Calculator!B8=TRUE,Backdoors!BI36=TRUE),VLOOKUP(Calculator!E23,tbSkills!DH3:DJ6,3,FALSE),0),0))&gt;=100,100,(Backdoors!AI12+IF(HY100&gt;=0.45,VLOOKUP(Calculator!E23,tbSkills!DH3:DI6,2,FALSE)+IF(AND(Calculator!B8=TRUE,Backdoors!BI36=TRUE),VLOOKUP(Calculator!E23,tbSkills!DH3:DJ6,3,FALSE),0),0)))/100)),1),1)</f>
        <v>1</v>
      </c>
      <c r="IE100" s="87">
        <f t="shared" si="84"/>
        <v>0</v>
      </c>
      <c r="IF100" s="86" t="str">
        <f>IFERROR(IF(VLOOKUP(A100,tbMoveset!A2:B112,2,FALSE)="Sever",Backdoors!AY37/100,IF(VLOOKUP(A100,tbMoveset!A2:B112,2,FALSE)="Blunt",Backdoors!AZ37/100,Backdoors!BA37/100)),"")</f>
        <v/>
      </c>
      <c r="IG100" s="49">
        <f>IFERROR(IF(VLOOKUP(tbMoveset!A100,tbMoveset!A2:H112,8,FALSE)="Other",IF(VLOOKUP(tbMoveset!A100,tbMoveset!A2:I112,9,FALSE)="Fire",Backdoors!BB37,IF(VLOOKUP(tbMoveset!A100,tbMoveset!A2:I112,9,FALSE)="Water",Backdoors!BC37,IF(VLOOKUP(tbMoveset!A100,tbMoveset!A2:I112,9,FALSE)="Thunder",Backdoors!BD37,IF(VLOOKUP(tbMoveset!A100,tbMoveset!A2:I112,9,FALSE)="Ice",Backdoors!BE37,IF(VLOOKUP(tbMoveset!A100,tbMoveset!A2:I112,9,FALSE)="Dragon",Backdoors!BF37,Backdoors!BG37)))))/100,Backdoors!BG37/100),"")</f>
        <v>0</v>
      </c>
      <c r="IH100" s="49">
        <f>IFERROR(IF(VLOOKUP(A100,tbMoveset!A2:J112,10,FALSE)=TRUE,IF((Backdoors!AI12+IF(IF100&gt;=0.45,VLOOKUP(Calculator!E23,tbSkills!DH3:DI6,2,FALSE)+IF(AND(Calculator!B8=TRUE,Backdoors!BI37=TRUE),VLOOKUP(Calculator!E23,tbSkills!DH3:DJ6,3,FALSE),0),0))&gt;=0,1+(Backdoors!AL2*(IF((Backdoors!AI12+IF(IF100&gt;=0.45,VLOOKUP(Calculator!E23,tbSkills!DH3:DI6,2,FALSE)+IF(AND(Calculator!B8=TRUE,Backdoors!BI37=TRUE),VLOOKUP(Calculator!E23,tbSkills!DH3:DJ6,3,FALSE),0),0))&gt;=100,100,(Backdoors!AI12+IF(IF100&gt;=0.45,VLOOKUP(Calculator!E23,tbSkills!DH3:DI6,2,FALSE)+IF(AND(Calculator!B8=TRUE,Backdoors!BI37=TRUE),VLOOKUP(Calculator!E23,tbSkills!DH3:DJ6,3,FALSE),0),0)))/100)),(1-(0.25*((-Backdoors!AI12-IF(IF100&gt;=0.45,VLOOKUP(Calculator!E23,tbSkills!DH3:DI6,2,FALSE)+IF(AND(Calculator!B8=TRUE,Backdoors!BI37=TRUE),VLOOKUP(Calculator!E23,tbSkills!DH3:DJ6,3,FALSE),0),0))/100)))),1),"")</f>
        <v>1</v>
      </c>
      <c r="II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F100)*IH100)*(VLOOKUP(A100,tbMoveset!A2:C112,3,FALSE)/100)*IF(VLOOKUP(A100,tbMoveset!A2:B112,2,FALSE)="Projectile",Backdoors!N10,Backdoors!N9),0),"")</f>
        <v/>
      </c>
      <c r="IJ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IF100&gt;=0.45,VLOOKUP(Calculator!E23,tbSkills!DH3:DI6,2,FALSE)+IF(AND(Calculator!B8=TRUE,Backdoors!BI37=TRUE),VLOOKUP(Calculator!E23,tbSkills!DH3:DJ6,3,FALSE),0),0))&gt;=100,100,(Backdoors!AI12+IF(IF100&gt;=0.45,VLOOKUP(Calculator!E23,tbSkills!DH3:DI6,2,FALSE)+IF(AND(Calculator!B8=TRUE,Backdoors!BI37=TRUE),VLOOKUP(Calculator!E23,tbSkills!DH3:DJ6,3,FALSE),0),0)))/100)),1))*IF(VLOOKUP(A100,tbMoveset!A2:K112,11,FALSE)=TRUE,Backdoors!AC5,1))*IG100,0),"")</f>
        <v>0</v>
      </c>
      <c r="IK100" s="49">
        <f>VLOOKUP(A100,tbMoveset!A2:G112,7,FALSE)*IFERROR(IF(Backdoors!AI12&gt;=0,1+(IF(Calculator!E40&gt;0,VLOOKUP(Calculator!E40,tbSkills!AI3:AJ5,2,FALSE),Backdoors!AL4)*(IF((Backdoors!AI12+IF(IF100&gt;=0.45,VLOOKUP(Calculator!E23,tbSkills!DH3:DI6,2,FALSE)+IF(AND(Calculator!B8=TRUE,Backdoors!BI37=TRUE),VLOOKUP(Calculator!E23,tbSkills!DH3:DJ6,3,FALSE),0),0))&gt;=100,100,(Backdoors!AI12+IF(IF100&gt;=0.45,VLOOKUP(Calculator!E23,tbSkills!DH3:DI6,2,FALSE)+IF(AND(Calculator!B8=TRUE,Backdoors!BI37=TRUE),VLOOKUP(Calculator!E23,tbSkills!DH3:DJ6,3,FALSE),0),0)))/100)),1),1)</f>
        <v>1</v>
      </c>
      <c r="IL100" s="87">
        <f t="shared" si="85"/>
        <v>0</v>
      </c>
      <c r="IM100" s="86" t="str">
        <f>IFERROR(IF(VLOOKUP(A100,tbMoveset!A2:B112,2,FALSE)="Sever",Backdoors!AY38/100,IF(VLOOKUP(A100,tbMoveset!A2:B112,2,FALSE)="Blunt",Backdoors!AZ38/100,Backdoors!BA38/100)),"")</f>
        <v/>
      </c>
      <c r="IN100" s="49">
        <f>IFERROR(IF(VLOOKUP(tbMoveset!A100,tbMoveset!A2:H112,8,FALSE)="Other",IF(VLOOKUP(tbMoveset!A100,tbMoveset!A2:I112,9,FALSE)="Fire",Backdoors!BB38,IF(VLOOKUP(tbMoveset!A100,tbMoveset!A2:I112,9,FALSE)="Water",Backdoors!BC38,IF(VLOOKUP(tbMoveset!A100,tbMoveset!A2:I112,9,FALSE)="Thunder",Backdoors!BD38,IF(VLOOKUP(tbMoveset!A100,tbMoveset!A2:I112,9,FALSE)="Ice",Backdoors!BE38,IF(VLOOKUP(tbMoveset!A100,tbMoveset!A2:I112,9,FALSE)="Dragon",Backdoors!BF38,Backdoors!BG38)))))/100,Backdoors!BG38/100),"")</f>
        <v>0</v>
      </c>
      <c r="IO100" s="49">
        <f>IFERROR(IF(VLOOKUP(A100,tbMoveset!A2:J112,10,FALSE)=TRUE,IF((Backdoors!AI12+IF(IM100&gt;=0.45,VLOOKUP(Calculator!E23,tbSkills!DH3:DI6,2,FALSE)+IF(AND(Calculator!B8=TRUE,Backdoors!BI38=TRUE),VLOOKUP(Calculator!E23,tbSkills!DH3:DJ6,3,FALSE),0),0))&gt;=0,1+(Backdoors!AL2*(IF((Backdoors!AI12+IF(IM100&gt;=0.45,VLOOKUP(Calculator!E23,tbSkills!DH3:DI6,2,FALSE)+IF(AND(Calculator!B8=TRUE,Backdoors!BI38=TRUE),VLOOKUP(Calculator!E23,tbSkills!DH3:DJ6,3,FALSE),0),0))&gt;=100,100,(Backdoors!AI12+IF(IM100&gt;=0.45,VLOOKUP(Calculator!E23,tbSkills!DH3:DI6,2,FALSE)+IF(AND(Calculator!B8=TRUE,Backdoors!BI38=TRUE),VLOOKUP(Calculator!E23,tbSkills!DH3:DJ6,3,FALSE),0),0)))/100)),(1-(0.25*((-Backdoors!AI12-IF(IM100&gt;=0.45,VLOOKUP(Calculator!E23,tbSkills!DH3:DI6,2,FALSE)+IF(AND(Calculator!B8=TRUE,Backdoors!BI38=TRUE),VLOOKUP(Calculator!E23,tbSkills!DH3:DJ6,3,FALSE),0),0))/100)))),1),"")</f>
        <v>1</v>
      </c>
      <c r="IP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M100)*IO100)*(VLOOKUP(A100,tbMoveset!A2:C112,3,FALSE)/100)*IF(VLOOKUP(A100,tbMoveset!A2:B112,2,FALSE)="Projectile",Backdoors!N10,Backdoors!N9),0),"")</f>
        <v/>
      </c>
      <c r="IQ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IM100&gt;=0.45,VLOOKUP(Calculator!E23,tbSkills!DH3:DI6,2,FALSE)+IF(AND(Calculator!B8=TRUE,Backdoors!BI38=TRUE),VLOOKUP(Calculator!E23,tbSkills!DH3:DJ6,3,FALSE),0),0))&gt;=100,100,(Backdoors!AI12+IF(IM100&gt;=0.45,VLOOKUP(Calculator!E23,tbSkills!DH3:DI6,2,FALSE)+IF(AND(Calculator!B8=TRUE,Backdoors!BI38=TRUE),VLOOKUP(Calculator!E23,tbSkills!DH3:DJ6,3,FALSE),0),0)))/100)),1))*IF(VLOOKUP(A100,tbMoveset!A2:K112,11,FALSE)=TRUE,Backdoors!AC5,1))*IN100,0),"")</f>
        <v>0</v>
      </c>
      <c r="IR100" s="49">
        <f>VLOOKUP(A100,tbMoveset!A2:G112,7,FALSE)*IFERROR(IF(Backdoors!AI12&gt;=0,1+(IF(Calculator!E40&gt;0,VLOOKUP(Calculator!E40,tbSkills!AI3:AJ5,2,FALSE),Backdoors!AL4)*(IF((Backdoors!AI12+IF(IM100&gt;=0.45,VLOOKUP(Calculator!E23,tbSkills!DH3:DI6,2,FALSE)+IF(AND(Calculator!B8=TRUE,Backdoors!BI38=TRUE),VLOOKUP(Calculator!E23,tbSkills!DH3:DJ6,3,FALSE),0),0))&gt;=100,100,(Backdoors!AI12+IF(IM100&gt;=0.45,VLOOKUP(Calculator!E23,tbSkills!DH3:DI6,2,FALSE)+IF(AND(Calculator!B8=TRUE,Backdoors!BI38=TRUE),VLOOKUP(Calculator!E23,tbSkills!DH3:DJ6,3,FALSE),0),0)))/100)),1),1)</f>
        <v>1</v>
      </c>
      <c r="IS100" s="87">
        <f t="shared" si="86"/>
        <v>0</v>
      </c>
      <c r="IT100" s="86" t="str">
        <f>IFERROR(IF(VLOOKUP(A100,tbMoveset!A2:B112,2,FALSE)="Sever",Backdoors!AY39/100,IF(VLOOKUP(A100,tbMoveset!A2:B112,2,FALSE)="Blunt",Backdoors!AZ39/100,Backdoors!BA39/100)),"")</f>
        <v/>
      </c>
      <c r="IU100" s="49">
        <f>IFERROR(IF(VLOOKUP(tbMoveset!A100,tbMoveset!A2:H112,8,FALSE)="Other",IF(VLOOKUP(tbMoveset!A100,tbMoveset!A2:I112,9,FALSE)="Fire",Backdoors!BB39,IF(VLOOKUP(tbMoveset!A100,tbMoveset!A2:I112,9,FALSE)="Water",Backdoors!BC39,IF(VLOOKUP(tbMoveset!A100,tbMoveset!A2:I112,9,FALSE)="Thunder",Backdoors!BD39,IF(VLOOKUP(tbMoveset!A100,tbMoveset!A2:I112,9,FALSE)="Ice",Backdoors!BE39,IF(VLOOKUP(tbMoveset!A100,tbMoveset!A2:I112,9,FALSE)="Dragon",Backdoors!BF39,Backdoors!BG39)))))/100,Backdoors!BG39/100),"")</f>
        <v>0</v>
      </c>
      <c r="IV100" s="49">
        <f>IFERROR(IF(VLOOKUP(A100,tbMoveset!A2:J112,10,FALSE)=TRUE,IF((Backdoors!AI12+IF(IT100&gt;=0.45,VLOOKUP(Calculator!E23,tbSkills!DH3:DI6,2,FALSE)+IF(AND(Calculator!B8=TRUE,Backdoors!BI39=TRUE),VLOOKUP(Calculator!E23,tbSkills!DH3:DJ6,3,FALSE),0),0))&gt;=0,1+(Backdoors!AL2*(IF((Backdoors!AI12+IF(IT100&gt;=0.45,VLOOKUP(Calculator!E23,tbSkills!DH3:DI6,2,FALSE)+IF(AND(Calculator!B8=TRUE,Backdoors!BI39=TRUE),VLOOKUP(Calculator!E23,tbSkills!DH3:DJ6,3,FALSE),0),0))&gt;=100,100,(Backdoors!AI12+IF(IT100&gt;=0.45,VLOOKUP(Calculator!E23,tbSkills!DH3:DI6,2,FALSE)+IF(AND(Calculator!B8=TRUE,Backdoors!BI39=TRUE),VLOOKUP(Calculator!E23,tbSkills!DH3:DJ6,3,FALSE),0),0)))/100)),(1-(0.25*((-Backdoors!AI12-IF(IT100&gt;=0.45,VLOOKUP(Calculator!E23,tbSkills!DH3:DI6,2,FALSE)+IF(AND(Calculator!B8=TRUE,Backdoors!BI39=TRUE),VLOOKUP(Calculator!E23,tbSkills!DH3:DJ6,3,FALSE),0),0))/100)))),1),"")</f>
        <v>1</v>
      </c>
      <c r="IW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T100)*IV100)*(VLOOKUP(A100,tbMoveset!A2:C112,3,FALSE)/100)*IF(VLOOKUP(A100,tbMoveset!A2:B112,2,FALSE)="Projectile",Backdoors!N10,Backdoors!N9),0),"")</f>
        <v/>
      </c>
      <c r="IX100" s="49">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40&gt;0,VLOOKUP(Calculator!E40,tbSkills!AC3:AD5,2,FALSE),Backdoors!AL3)*(IF((Backdoors!AI12+IF(IT100&gt;=0.45,VLOOKUP(Calculator!E23,tbSkills!DH3:DI6,2,FALSE)+IF(AND(Calculator!B8=TRUE,Backdoors!BI39=TRUE),VLOOKUP(Calculator!E23,tbSkills!DH3:DJ6,3,FALSE),0),0))&gt;=100,100,(Backdoors!AI12+IF(IT100&gt;=0.45,VLOOKUP(Calculator!E23,tbSkills!DH3:DI6,2,FALSE)+IF(AND(Calculator!B8=TRUE,Backdoors!BI39=TRUE),VLOOKUP(Calculator!E23,tbSkills!DH3:DJ6,3,FALSE),0),0)))/100)),1))*IF(VLOOKUP(A100,tbMoveset!A2:K112,11,FALSE)=TRUE,Backdoors!AC5,1))*IU100,0),"")</f>
        <v>0</v>
      </c>
      <c r="IY100" s="49">
        <f>VLOOKUP(A100,tbMoveset!A2:G112,7,FALSE)*IFERROR(IF(Backdoors!AI12&gt;=0,1+(IF(Calculator!E40&gt;0,VLOOKUP(Calculator!E40,tbSkills!AI3:AJ5,2,FALSE),Backdoors!AL4)*(IF((Backdoors!AI12+IF(IT100&gt;=0.45,VLOOKUP(Calculator!E23,tbSkills!DH3:DI6,2,FALSE)+IF(AND(Calculator!B8=TRUE,Backdoors!BI39=TRUE),VLOOKUP(Calculator!E23,tbSkills!DH3:DJ6,3,FALSE),0),0))&gt;=100,100,(Backdoors!AI12+IF(IT100&gt;=0.45,VLOOKUP(Calculator!E23,tbSkills!DH3:DI6,2,FALSE)+IF(AND(Calculator!B8=TRUE,Backdoors!BI39=TRUE),VLOOKUP(Calculator!E23,tbSkills!DH3:DJ6,3,FALSE),0),0)))/100)),1),1)</f>
        <v>1</v>
      </c>
      <c r="IZ100" s="87">
        <f t="shared" si="87"/>
        <v>0</v>
      </c>
      <c r="JA100" s="86" t="str">
        <f>IFERROR(IF(VLOOKUP(A100,tbMoveset!A2:B112,2,FALSE)="Sever",Backdoors!AY40/100,IF(VLOOKUP(A100,tbMoveset!A2:B112,2,FALSE)="Blunt",Backdoors!AZ40/100,Backdoors!BA40/100)),"")</f>
        <v/>
      </c>
      <c r="JB100" s="49">
        <f>IFERROR(IF(VLOOKUP(tbMoveset!A100,tbMoveset!A2:H112,8,FALSE)="Other",IF(VLOOKUP(tbMoveset!A100,tbMoveset!A2:I112,9,FALSE)="Fire",Backdoors!BB40,IF(VLOOKUP(tbMoveset!A100,tbMoveset!A2:I112,9,FALSE)="Water",Backdoors!BC40,IF(VLOOKUP(tbMoveset!A100,tbMoveset!A2:I112,9,FALSE)="Thunder",Backdoors!BD40,IF(VLOOKUP(tbMoveset!A100,tbMoveset!A2:I112,9,FALSE)="Ice",Backdoors!BE40,IF(VLOOKUP(tbMoveset!A100,tbMoveset!A2:I112,9,FALSE)="Dragon",Backdoors!BF40,Backdoors!BG40)))))/100,Backdoors!BG40/100),"")</f>
        <v>0</v>
      </c>
      <c r="JC100" s="49">
        <f>IFERROR(IF(VLOOKUP(A100,tbMoveset!A2:J112,10,FALSE)=TRUE,IF((Backdoors!AI12+IF(JA100&gt;=0.45,VLOOKUP(Calculator!E23,tbSkills!DH3:DI6,2,FALSE)+IF(AND(Calculator!B8=TRUE,Backdoors!BI40=TRUE),VLOOKUP(Calculator!E23,tbSkills!DH3:DJ6,3,FALSE),0),0))&gt;=0,1+(Backdoors!AL2*(IF((Backdoors!AI12+IF(JA100&gt;=0.45,VLOOKUP(Calculator!E23,tbSkills!DH3:DI6,2,FALSE)+IF(AND(Calculator!B8=TRUE,Backdoors!BI40=TRUE),VLOOKUP(Calculator!E23,tbSkills!DH3:DJ6,3,FALSE),0),0))&gt;=100,100,(Backdoors!AI12+IF(JA100&gt;=0.45,VLOOKUP(Calculator!E23,tbSkills!DH3:DI6,2,FALSE)+IF(AND(Calculator!B8=TRUE,Backdoors!BI40=TRUE),VLOOKUP(Calculator!E23,tbSkills!DH3:DJ6,3,FALSE),0),0)))/100)),(1-(0.25*((-Backdoors!AI12-IF(JA100&gt;=0.45,VLOOKUP(Calculator!E23,tbSkills!DH3:DI6,2,FALSE)+IF(AND(Calculator!B8=TRUE,Backdoors!BI40=TRUE),VLOOKUP(Calculator!E23,tbSkills!DH3:DJ6,3,FALSE),0),0))/100)))),1),"")</f>
        <v>1</v>
      </c>
      <c r="JD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A100)*JC100)*(VLOOKUP(A100,tbMoveset!A2:C112,3,FALSE)/100)*IF(VLOOKUP(A100,tbMoveset!A2:B112,2,FALSE)="Projectile",Backdoors!N10,Backdoors!N9),0),"")</f>
        <v/>
      </c>
      <c r="JE100" s="49">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42&gt;0,VLOOKUP(Calculator!E42,tbSkills!AC3:AD5,2,FALSE),Backdoors!AL3)*(IF((Backdoors!AI12+IF(JA100&gt;=0.45,VLOOKUP(Calculator!E23,tbSkills!DH3:DI6,2,FALSE)+IF(AND(Calculator!B8=TRUE,Backdoors!BI40=TRUE),VLOOKUP(Calculator!E23,tbSkills!DH3:DJ6,3,FALSE),0),0))&gt;=100,100,(Backdoors!AI12+IF(JA100&gt;=0.45,VLOOKUP(Calculator!E23,tbSkills!DH3:DI6,2,FALSE)+IF(AND(Calculator!B8=TRUE,Backdoors!BI40=TRUE),VLOOKUP(Calculator!E23,tbSkills!DH3:DJ6,3,FALSE),0),0)))/100)),1))*IF(VLOOKUP(A100,tbMoveset!A2:K112,11,FALSE)=TRUE,Backdoors!AC5,1))*JB100,0),"")</f>
        <v>0</v>
      </c>
      <c r="JF100" s="49">
        <f>VLOOKUP(A100,tbMoveset!A2:G112,7,FALSE)*IFERROR(IF(Backdoors!AI12&gt;=0,1+(IF(Calculator!E40&gt;0,VLOOKUP(Calculator!E40,tbSkills!AI3:AJ5,2,FALSE),Backdoors!AL4)*(IF((Backdoors!AI12+IF(JA100&gt;=0.45,VLOOKUP(Calculator!E23,tbSkills!DH3:DI6,2,FALSE)+IF(AND(Calculator!B8=TRUE,Backdoors!BI40=TRUE),VLOOKUP(Calculator!E23,tbSkills!DH3:DJ6,3,FALSE),0),0))&gt;=100,100,(Backdoors!AI12+IF(JA100&gt;=0.45,VLOOKUP(Calculator!E23,tbSkills!DH3:DI6,2,FALSE)+IF(AND(Calculator!B8=TRUE,Backdoors!BI40=TRUE),VLOOKUP(Calculator!E23,tbSkills!DH3:DJ6,3,FALSE),0),0)))/100)),1),1)</f>
        <v>1</v>
      </c>
      <c r="JG100" s="87">
        <f t="shared" si="88"/>
        <v>0</v>
      </c>
      <c r="JH100" s="86" t="str">
        <f>IFERROR(IF(VLOOKUP(A100,tbMoveset!A2:B112,2,FALSE)="Sever",Backdoors!AY41/100,IF(VLOOKUP(A100,tbMoveset!A2:B112,2,FALSE)="Blunt",Backdoors!AZ41/100,Backdoors!BA41/100)),"")</f>
        <v/>
      </c>
      <c r="JI100" s="49">
        <f>IFERROR(IF(VLOOKUP(tbMoveset!A100,tbMoveset!A2:H112,8,FALSE)="Other",IF(VLOOKUP(tbMoveset!A100,tbMoveset!A2:I112,9,FALSE)="Fire",Backdoors!BB41,IF(VLOOKUP(tbMoveset!A100,tbMoveset!A2:I112,9,FALSE)="Water",Backdoors!BC41,IF(VLOOKUP(tbMoveset!A100,tbMoveset!A2:I112,9,FALSE)="Thunder",Backdoors!BD41,IF(VLOOKUP(tbMoveset!A100,tbMoveset!A2:I112,9,FALSE)="Ice",Backdoors!BE41,IF(VLOOKUP(tbMoveset!A100,tbMoveset!A2:I112,9,FALSE)="Dragon",Backdoors!BF41,Backdoors!BG41)))))/100,Backdoors!BG41/100),"")</f>
        <v>0</v>
      </c>
      <c r="JJ100" s="49">
        <f>IFERROR(IF(VLOOKUP(A100,tbMoveset!A2:J112,10,FALSE)=TRUE,IF((Backdoors!AI12+IF(JH100&gt;=0.45,VLOOKUP(Calculator!E23,tbSkills!DH3:DI6,2,FALSE)+IF(AND(Calculator!B8=TRUE,Backdoors!BI41=TRUE),VLOOKUP(Calculator!E23,tbSkills!DH3:DJ6,3,FALSE),0),0))&gt;=0,1+(Backdoors!AL2*(IF((Backdoors!AI12+IF(JH100&gt;=0.45,VLOOKUP(Calculator!E23,tbSkills!DH3:DI6,2,FALSE)+IF(AND(Calculator!B8=TRUE,Backdoors!BI41=TRUE),VLOOKUP(Calculator!E23,tbSkills!DH3:DJ6,3,FALSE),0),0))&gt;=100,100,(Backdoors!AI12+IF(JH100&gt;=0.45,VLOOKUP(Calculator!E23,tbSkills!DH3:DI6,2,FALSE)+IF(AND(Calculator!B8=TRUE,Backdoors!BI41=TRUE),VLOOKUP(Calculator!E23,tbSkills!DH3:DJ6,3,FALSE),0),0)))/100)),(1-(0.25*((-Backdoors!AI12-IF(JH100&gt;=0.45,VLOOKUP(Calculator!E23,tbSkills!DH3:DI6,2,FALSE)+IF(AND(Calculator!B8=TRUE,Backdoors!BI41=TRUE),VLOOKUP(Calculator!E23,tbSkills!DH3:DJ6,3,FALSE),0),0))/100)))),1),"")</f>
        <v>1</v>
      </c>
      <c r="JK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H100)*JJ100)*(VLOOKUP(A100,tbMoveset!A2:C112,3,FALSE)/100)*IF(VLOOKUP(A100,tbMoveset!A2:B112,2,FALSE)="Projectile",Backdoors!N10,Backdoors!N9),0),"")</f>
        <v/>
      </c>
      <c r="JL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43&gt;0,VLOOKUP(Calculator!E43,tbSkills!AC3:AD5,2,FALSE),Backdoors!AL3)*(IF((Backdoors!AI12+IF(JH100&gt;=0.45,VLOOKUP(Calculator!E23,tbSkills!DH3:DI6,2,FALSE)+IF(AND(Calculator!B8=TRUE,Backdoors!BI41=TRUE),VLOOKUP(Calculator!E23,tbSkills!DH3:DJ6,3,FALSE),0),0))&gt;=100,100,(Backdoors!AI12+IF(JH100&gt;=0.45,VLOOKUP(Calculator!E23,tbSkills!DH3:DI6,2,FALSE)+IF(AND(Calculator!B8=TRUE,Backdoors!BI41=TRUE),VLOOKUP(Calculator!E23,tbSkills!DH3:DJ6,3,FALSE),0),0)))/100)),1))*IF(VLOOKUP(A100,tbMoveset!A2:K112,11,FALSE)=TRUE,Backdoors!AC5,1))*JI100,0),"")</f>
        <v/>
      </c>
      <c r="JM100" s="49">
        <f>VLOOKUP(A100,tbMoveset!A2:G112,7,FALSE)*IFERROR(IF(Backdoors!AI12&gt;=0,1+(IF(Calculator!E40&gt;0,VLOOKUP(Calculator!E40,tbSkills!AI3:AJ5,2,FALSE),Backdoors!AL4)*(IF((Backdoors!AI12+IF(JH100&gt;=0.45,VLOOKUP(Calculator!E23,tbSkills!DH3:DI6,2,FALSE)+IF(AND(Calculator!B8=TRUE,Backdoors!BI41=TRUE),VLOOKUP(Calculator!E23,tbSkills!DH3:DJ6,3,FALSE),0),0))&gt;=100,100,(Backdoors!AI12+IF(JH100&gt;=0.45,VLOOKUP(Calculator!E23,tbSkills!DH3:DI6,2,FALSE)+IF(AND(Calculator!B8=TRUE,Backdoors!BI41=TRUE),VLOOKUP(Calculator!E23,tbSkills!DH3:DJ6,3,FALSE),0),0)))/100)),1),1)</f>
        <v>1</v>
      </c>
      <c r="JN100" s="87">
        <f t="shared" si="89"/>
        <v>0</v>
      </c>
      <c r="JO100" s="86" t="str">
        <f>IFERROR(IF(VLOOKUP(A100,tbMoveset!A2:B112,2,FALSE)="Sever",Backdoors!AY42/100,IF(VLOOKUP(A100,tbMoveset!A2:B112,2,FALSE)="Blunt",Backdoors!AZ42/100,Backdoors!BA42/100)),"")</f>
        <v/>
      </c>
      <c r="JP100" s="49">
        <f>IFERROR(IF(VLOOKUP(tbMoveset!A100,tbMoveset!A2:H112,8,FALSE)="Other",IF(VLOOKUP(tbMoveset!A100,tbMoveset!A2:I112,9,FALSE)="Fire",Backdoors!BB42,IF(VLOOKUP(tbMoveset!A100,tbMoveset!A2:I112,9,FALSE)="Water",Backdoors!BC42,IF(VLOOKUP(tbMoveset!A100,tbMoveset!A2:I112,9,FALSE)="Thunder",Backdoors!BD42,IF(VLOOKUP(tbMoveset!A100,tbMoveset!A2:I112,9,FALSE)="Ice",Backdoors!BE42,IF(VLOOKUP(tbMoveset!A100,tbMoveset!A2:I112,9,FALSE)="Dragon",Backdoors!BF42,Backdoors!BG42)))))/100,Backdoors!BG42/100),"")</f>
        <v>0</v>
      </c>
      <c r="JQ100" s="49">
        <f>IFERROR(IF(VLOOKUP(A100,tbMoveset!A2:J112,10,FALSE)=TRUE,IF((Backdoors!AI12+IF(JO100&gt;=0.45,VLOOKUP(Calculator!E23,tbSkills!DH3:DI6,2,FALSE)+IF(AND(Calculator!B8=TRUE,Backdoors!BI42=TRUE),VLOOKUP(Calculator!E23,tbSkills!DH3:DJ6,3,FALSE),0),0))&gt;=0,1+(Backdoors!AL2*(IF((Backdoors!AI12+IF(JO100&gt;=0.45,VLOOKUP(Calculator!E23,tbSkills!DH3:DI6,2,FALSE)+IF(AND(Calculator!B8=TRUE,Backdoors!BI42=TRUE),VLOOKUP(Calculator!E23,tbSkills!DH3:DJ6,3,FALSE),0),0))&gt;=100,100,(Backdoors!AI12+IF(JO100&gt;=0.45,VLOOKUP(Calculator!E23,tbSkills!DH3:DI6,2,FALSE)+IF(AND(Calculator!B8=TRUE,Backdoors!BI42=TRUE),VLOOKUP(Calculator!E23,tbSkills!DH3:DJ6,3,FALSE),0),0)))/100)),(1-(0.25*((-Backdoors!AI12-IF(JO100&gt;=0.45,VLOOKUP(Calculator!E23,tbSkills!DH3:DI6,2,FALSE)+IF(AND(Calculator!B8=TRUE,Backdoors!BI42=TRUE),VLOOKUP(Calculator!E23,tbSkills!DH3:DJ6,3,FALSE),0),0))/100)))),1),"")</f>
        <v>1</v>
      </c>
      <c r="JR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O100)*JQ100)*(VLOOKUP(A100,tbMoveset!A2:C112,3,FALSE)/100)*IF(VLOOKUP(A100,tbMoveset!A2:B112,2,FALSE)="Projectile",Backdoors!N10,Backdoors!N9),0),"")</f>
        <v/>
      </c>
      <c r="JS100" s="49">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45&gt;0,VLOOKUP(Calculator!E45,tbSkills!AC3:AD5,2,FALSE),Backdoors!AL3)*(IF((Backdoors!AI12+IF(JO100&gt;=0.45,VLOOKUP(Calculator!E23,tbSkills!DH3:DI6,2,FALSE)+IF(AND(Calculator!B8=TRUE,Backdoors!BI42=TRUE),VLOOKUP(Calculator!E23,tbSkills!DH3:DJ6,3,FALSE),0),0))&gt;=100,100,(Backdoors!AI12+IF(JO100&gt;=0.45,VLOOKUP(Calculator!E23,tbSkills!DH3:DI6,2,FALSE)+IF(AND(Calculator!B8=TRUE,Backdoors!BI42=TRUE),VLOOKUP(Calculator!E23,tbSkills!DH3:DJ6,3,FALSE),0),0)))/100)),1))*IF(VLOOKUP(A100,tbMoveset!A2:K112,11,FALSE)=TRUE,Backdoors!AC5,1))*JP100,0),"")</f>
        <v>0</v>
      </c>
      <c r="JT100" s="49">
        <f>VLOOKUP(A100,tbMoveset!A2:G112,7,FALSE)*IFERROR(IF(Backdoors!AI12&gt;=0,1+(IF(Calculator!E40&gt;0,VLOOKUP(Calculator!E40,tbSkills!AI3:AJ5,2,FALSE),Backdoors!AL4)*(IF((Backdoors!AI12+IF(JO100&gt;=0.45,VLOOKUP(Calculator!E23,tbSkills!DH3:DI6,2,FALSE)+IF(AND(Calculator!B8=TRUE,Backdoors!BI42=TRUE),VLOOKUP(Calculator!E23,tbSkills!DH3:DJ6,3,FALSE),0),0))&gt;=100,100,(Backdoors!AI12+IF(JO100&gt;=0.45,VLOOKUP(Calculator!E23,tbSkills!DH3:DI6,2,FALSE)+IF(AND(Calculator!B8=TRUE,Backdoors!BI42=TRUE),VLOOKUP(Calculator!E23,tbSkills!DH3:DJ6,3,FALSE),0),0)))/100)),1),1)</f>
        <v>1</v>
      </c>
      <c r="JU100" s="87">
        <f t="shared" si="90"/>
        <v>0</v>
      </c>
      <c r="JV100" s="86" t="str">
        <f>IFERROR(IF(VLOOKUP(A100,tbMoveset!A2:B112,2,FALSE)="Sever",Backdoors!AY43/100,IF(VLOOKUP(A100,tbMoveset!A2:B112,2,FALSE)="Blunt",Backdoors!AZ43/100,Backdoors!BA43/100)),"")</f>
        <v/>
      </c>
      <c r="JW100" s="49">
        <f>IFERROR(IF(VLOOKUP(tbMoveset!A100,tbMoveset!A2:H112,8,FALSE)="Other",IF(VLOOKUP(tbMoveset!A100,tbMoveset!A2:I112,9,FALSE)="Fire",Backdoors!BB43,IF(VLOOKUP(tbMoveset!A100,tbMoveset!A2:I112,9,FALSE)="Water",Backdoors!BC43,IF(VLOOKUP(tbMoveset!A100,tbMoveset!A2:I112,9,FALSE)="Thunder",Backdoors!BD43,IF(VLOOKUP(tbMoveset!A100,tbMoveset!A2:I112,9,FALSE)="Ice",Backdoors!BE43,IF(VLOOKUP(tbMoveset!A100,tbMoveset!A2:I112,9,FALSE)="Dragon",Backdoors!BF43,Backdoors!BG43)))))/100,Backdoors!BG43/100),"")</f>
        <v>0</v>
      </c>
      <c r="JX100" s="49">
        <f>IFERROR(IF(VLOOKUP(A100,tbMoveset!A2:J112,10,FALSE)=TRUE,IF((Backdoors!AI12+IF(JV100&gt;=0.45,VLOOKUP(Calculator!E23,tbSkills!DH3:DI6,2,FALSE)+IF(AND(Calculator!B8=TRUE,Backdoors!BI43=TRUE),VLOOKUP(Calculator!E23,tbSkills!DH3:DJ6,3,FALSE),0),0))&gt;=0,1+(Backdoors!AL2*(IF((Backdoors!AI12+IF(JV100&gt;=0.45,VLOOKUP(Calculator!E23,tbSkills!DH3:DI6,2,FALSE)+IF(AND(Calculator!B8=TRUE,Backdoors!BI43=TRUE),VLOOKUP(Calculator!E23,tbSkills!DH3:DJ6,3,FALSE),0),0))&gt;=100,100,(Backdoors!AI12+IF(JV100&gt;=0.45,VLOOKUP(Calculator!E23,tbSkills!DH3:DI6,2,FALSE)+IF(AND(Calculator!B8=TRUE,Backdoors!BI43=TRUE),VLOOKUP(Calculator!E23,tbSkills!DH3:DJ6,3,FALSE),0),0)))/100)),(1-(0.25*((-Backdoors!AI12-IF(JV100&gt;=0.45,VLOOKUP(Calculator!E23,tbSkills!DH3:DI6,2,FALSE)+IF(AND(Calculator!B8=TRUE,Backdoors!BI43=TRUE),VLOOKUP(Calculator!E23,tbSkills!DH3:DJ6,3,FALSE),0),0))/100)))),1),"")</f>
        <v>1</v>
      </c>
      <c r="JY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V100)*JX100)*(VLOOKUP(A100,tbMoveset!A2:C112,3,FALSE)/100)*IF(VLOOKUP(A100,tbMoveset!A2:B112,2,FALSE)="Projectile",Backdoors!N10,Backdoors!N9),0),"")</f>
        <v/>
      </c>
      <c r="JZ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46&gt;0,VLOOKUP(Calculator!E46,tbSkills!AC3:AD5,2,FALSE),Backdoors!AL3)*(IF((Backdoors!AI12+IF(JV100&gt;=0.45,VLOOKUP(Calculator!E23,tbSkills!DH3:DI6,2,FALSE)+IF(AND(Calculator!B8=TRUE,Backdoors!BI43=TRUE),VLOOKUP(Calculator!E23,tbSkills!DH3:DJ6,3,FALSE),0),0))&gt;=100,100,(Backdoors!AI12+IF(JV100&gt;=0.45,VLOOKUP(Calculator!E23,tbSkills!DH3:DI6,2,FALSE)+IF(AND(Calculator!B8=TRUE,Backdoors!BI43=TRUE),VLOOKUP(Calculator!E23,tbSkills!DH3:DJ6,3,FALSE),0),0)))/100)),1))*IF(VLOOKUP(A100,tbMoveset!A2:K112,11,FALSE)=TRUE,Backdoors!AC5,1))*JW100,0),"")</f>
        <v/>
      </c>
      <c r="KA100" s="49">
        <f>VLOOKUP(A100,tbMoveset!A2:G112,7,FALSE)*IFERROR(IF(Backdoors!AI12&gt;=0,1+(IF(Calculator!E40&gt;0,VLOOKUP(Calculator!E40,tbSkills!AI3:AJ5,2,FALSE),Backdoors!AL4)*(IF((Backdoors!AI12+IF(JV100&gt;=0.45,VLOOKUP(Calculator!E23,tbSkills!DH3:DI6,2,FALSE)+IF(AND(Calculator!B8=TRUE,Backdoors!BI43=TRUE),VLOOKUP(Calculator!E23,tbSkills!DH3:DJ6,3,FALSE),0),0))&gt;=100,100,(Backdoors!AI12+IF(JV100&gt;=0.45,VLOOKUP(Calculator!E23,tbSkills!DH3:DI6,2,FALSE)+IF(AND(Calculator!B8=TRUE,Backdoors!BI43=TRUE),VLOOKUP(Calculator!E23,tbSkills!DH3:DJ6,3,FALSE),0),0)))/100)),1),1)</f>
        <v>1</v>
      </c>
      <c r="KB100" s="87">
        <f t="shared" si="91"/>
        <v>0</v>
      </c>
      <c r="KC100" s="86" t="str">
        <f>IFERROR(IF(VLOOKUP(A100,tbMoveset!A2:B112,2,FALSE)="Sever",Backdoors!AY44/100,IF(VLOOKUP(A100,tbMoveset!A2:B112,2,FALSE)="Blunt",Backdoors!AZ44/100,Backdoors!BA44/100)),"")</f>
        <v/>
      </c>
      <c r="KD100" s="49">
        <f>IFERROR(IF(VLOOKUP(tbMoveset!A100,tbMoveset!A2:H112,8,FALSE)="Other",IF(VLOOKUP(tbMoveset!A100,tbMoveset!A2:I112,9,FALSE)="Fire",Backdoors!BB44,IF(VLOOKUP(tbMoveset!A100,tbMoveset!A2:I112,9,FALSE)="Water",Backdoors!BC44,IF(VLOOKUP(tbMoveset!A100,tbMoveset!A2:I112,9,FALSE)="Thunder",Backdoors!BD44,IF(VLOOKUP(tbMoveset!A100,tbMoveset!A2:I112,9,FALSE)="Ice",Backdoors!BE44,IF(VLOOKUP(tbMoveset!A100,tbMoveset!A2:I112,9,FALSE)="Dragon",Backdoors!BF44,Backdoors!BG44)))))/100,Backdoors!BG44/100),"")</f>
        <v>0</v>
      </c>
      <c r="KE100" s="49">
        <f>IFERROR(IF(VLOOKUP(A100,tbMoveset!A2:J112,10,FALSE)=TRUE,IF((Backdoors!AI12+IF(KC100&gt;=0.45,VLOOKUP(Calculator!E23,tbSkills!DH3:DI6,2,FALSE)+IF(AND(Calculator!B8=TRUE,Backdoors!BI44=TRUE),VLOOKUP(Calculator!E23,tbSkills!DH3:DJ6,3,FALSE),0),0))&gt;=0,1+(Backdoors!AL2*(IF((Backdoors!AI12+IF(KC100&gt;=0.45,VLOOKUP(Calculator!E23,tbSkills!DH3:DI6,2,FALSE)+IF(AND(Calculator!B8=TRUE,Backdoors!BI44=TRUE),VLOOKUP(Calculator!E23,tbSkills!DH3:DJ6,3,FALSE),0),0))&gt;=100,100,(Backdoors!AI12+IF(KC100&gt;=0.45,VLOOKUP(Calculator!E23,tbSkills!DH3:DI6,2,FALSE)+IF(AND(Calculator!B8=TRUE,Backdoors!BI44=TRUE),VLOOKUP(Calculator!E23,tbSkills!DH3:DJ6,3,FALSE),0),0)))/100)),(1-(0.25*((-Backdoors!AI12-IF(KC100&gt;=0.45,VLOOKUP(Calculator!E23,tbSkills!DH3:DI6,2,FALSE)+IF(AND(Calculator!B8=TRUE,Backdoors!BI44=TRUE),VLOOKUP(Calculator!E23,tbSkills!DH3:DJ6,3,FALSE),0),0))/100)))),1),"")</f>
        <v>1</v>
      </c>
      <c r="KF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KC100)*KE100)*(VLOOKUP(A100,tbMoveset!A2:C112,3,FALSE)/100)*IF(VLOOKUP(A100,tbMoveset!A2:B112,2,FALSE)="Projectile",Backdoors!N10,Backdoors!N9),0),"")</f>
        <v/>
      </c>
      <c r="KG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REF!&gt;0,VLOOKUP(Calculator!#REF!,tbSkills!AC3:AD5,2,FALSE),Backdoors!AL3)*(IF((Backdoors!AI12+IF(KC100&gt;=0.45,VLOOKUP(Calculator!E23,tbSkills!DH3:DI6,2,FALSE)+IF(AND(Calculator!B8=TRUE,Backdoors!BI44=TRUE),VLOOKUP(Calculator!E23,tbSkills!DH3:DJ6,3,FALSE),0),0))&gt;=100,100,(Backdoors!AI12+IF(KC100&gt;=0.45,VLOOKUP(Calculator!E23,tbSkills!DH3:DI6,2,FALSE)+IF(AND(Calculator!B8=TRUE,Backdoors!BI44=TRUE),VLOOKUP(Calculator!E23,tbSkills!DH3:DJ6,3,FALSE),0),0)))/100)),1))*IF(VLOOKUP(A100,tbMoveset!A2:K112,11,FALSE)=TRUE,Backdoors!AC5,1))*KD100,0),"")</f>
        <v/>
      </c>
      <c r="KH100" s="49">
        <f>VLOOKUP(A100,tbMoveset!A2:G112,7,FALSE)*IFERROR(IF(Backdoors!AI12&gt;=0,1+(IF(Calculator!E40&gt;0,VLOOKUP(Calculator!E40,tbSkills!AI3:AJ5,2,FALSE),Backdoors!AL4)*(IF((Backdoors!AI12+IF(KC100&gt;=0.45,VLOOKUP(Calculator!E23,tbSkills!DH3:DI6,2,FALSE)+IF(AND(Calculator!B8=TRUE,Backdoors!BI44=TRUE),VLOOKUP(Calculator!E23,tbSkills!DH3:DJ6,3,FALSE),0),0))&gt;=100,100,(Backdoors!AI12+IF(KC100&gt;=0.45,VLOOKUP(Calculator!E23,tbSkills!DH3:DI6,2,FALSE)+IF(AND(Calculator!B8=TRUE,Backdoors!BI44=TRUE),VLOOKUP(Calculator!E23,tbSkills!DH3:DJ6,3,FALSE),0),0)))/100)),1),1)</f>
        <v>1</v>
      </c>
      <c r="KI100" s="87">
        <f t="shared" si="92"/>
        <v>0</v>
      </c>
      <c r="KJ100" s="86" t="str">
        <f>IFERROR(IF(VLOOKUP(A100,tbMoveset!A2:B112,2,FALSE)="Sever",Backdoors!AY45/100,IF(VLOOKUP(A100,tbMoveset!A2:B112,2,FALSE)="Blunt",Backdoors!AZ45/100,Backdoors!BA45/100)),"")</f>
        <v/>
      </c>
      <c r="KK100" s="49">
        <f>IFERROR(IF(VLOOKUP(tbMoveset!A100,tbMoveset!A2:H112,8,FALSE)="Other",IF(VLOOKUP(tbMoveset!A100,tbMoveset!A2:I112,9,FALSE)="Fire",Backdoors!BB45,IF(VLOOKUP(tbMoveset!A100,tbMoveset!A2:I112,9,FALSE)="Water",Backdoors!BC45,IF(VLOOKUP(tbMoveset!A100,tbMoveset!A2:I112,9,FALSE)="Thunder",Backdoors!BD45,IF(VLOOKUP(tbMoveset!A100,tbMoveset!A2:I112,9,FALSE)="Ice",Backdoors!BE45,IF(VLOOKUP(tbMoveset!A100,tbMoveset!A2:I112,9,FALSE)="Dragon",Backdoors!BF45,Backdoors!BG45)))))/100,Backdoors!BG45/100),"")</f>
        <v>0</v>
      </c>
      <c r="KL100" s="49">
        <f>IFERROR(IF(VLOOKUP(A100,tbMoveset!A2:J112,10,FALSE)=TRUE,IF((Backdoors!AI12+IF(KJ100&gt;=0.45,VLOOKUP(Calculator!E23,tbSkills!DH3:DI6,2,FALSE)+IF(AND(Calculator!B8=TRUE,Backdoors!BI45=TRUE),VLOOKUP(Calculator!E23,tbSkills!DH3:DJ6,3,FALSE),0),0))&gt;=0,1+(Backdoors!AL2*(IF((Backdoors!AI12+IF(KJ100&gt;=0.45,VLOOKUP(Calculator!E23,tbSkills!DH3:DI6,2,FALSE)+IF(AND(Calculator!B8=TRUE,Backdoors!BI45=TRUE),VLOOKUP(Calculator!E23,tbSkills!DH3:DJ6,3,FALSE),0),0))&gt;=100,100,(Backdoors!AI12+IF(KJ100&gt;=0.45,VLOOKUP(Calculator!E23,tbSkills!DH3:DI6,2,FALSE)+IF(AND(Calculator!B8=TRUE,Backdoors!BI45=TRUE),VLOOKUP(Calculator!E23,tbSkills!DH3:DJ6,3,FALSE),0),0)))/100)),(1-(0.25*((-Backdoors!AI12-IF(KJ100&gt;=0.45,VLOOKUP(Calculator!E23,tbSkills!DH3:DI6,2,FALSE)+IF(AND(Calculator!B8=TRUE,Backdoors!BI45=TRUE),VLOOKUP(Calculator!E23,tbSkills!DH3:DJ6,3,FALSE),0),0))/100)))),1),"")</f>
        <v>1</v>
      </c>
      <c r="KM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KJ100)*KL100)*(VLOOKUP(A100,tbMoveset!A2:C112,3,FALSE)/100)*IF(VLOOKUP(A100,tbMoveset!A2:B112,2,FALSE)="Projectile",Backdoors!N10,Backdoors!N9),0),"")</f>
        <v/>
      </c>
      <c r="KN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REF!&gt;0,VLOOKUP(Calculator!#REF!,tbSkills!AC3:AD5,2,FALSE),Backdoors!AL3)*(IF((Backdoors!AI12+IF(KJ100&gt;=0.45,VLOOKUP(Calculator!E23,tbSkills!DH3:DI6,2,FALSE)+IF(AND(Calculator!B8=TRUE,Backdoors!BI45=TRUE),VLOOKUP(Calculator!E23,tbSkills!DH3:DJ6,3,FALSE),0),0))&gt;=100,100,(Backdoors!AI12+IF(KJ100&gt;=0.45,VLOOKUP(Calculator!E23,tbSkills!DH3:DI6,2,FALSE)+IF(AND(Calculator!B8=TRUE,Backdoors!BI45=TRUE),VLOOKUP(Calculator!E23,tbSkills!DH3:DJ6,3,FALSE),0),0)))/100)),1))*IF(VLOOKUP(A100,tbMoveset!A2:K112,11,FALSE)=TRUE,Backdoors!AC5,1))*KK100,0),"")</f>
        <v/>
      </c>
      <c r="KO100" s="49">
        <f>VLOOKUP(A100,tbMoveset!A2:G112,7,FALSE)*IFERROR(IF(Backdoors!AI12&gt;=0,1+(IF(Calculator!E40&gt;0,VLOOKUP(Calculator!E40,tbSkills!AI3:AJ5,2,FALSE),Backdoors!AL4)*(IF((Backdoors!AI12+IF(KJ100&gt;=0.45,VLOOKUP(Calculator!E23,tbSkills!DH3:DI6,2,FALSE)+IF(AND(Calculator!B8=TRUE,Backdoors!BI45=TRUE),VLOOKUP(Calculator!E23,tbSkills!DH3:DJ6,3,FALSE),0),0))&gt;=100,100,(Backdoors!AI12+IF(KJ100&gt;=0.45,VLOOKUP(Calculator!E23,tbSkills!DH3:DI6,2,FALSE)+IF(AND(Calculator!B8=TRUE,Backdoors!BI45=TRUE),VLOOKUP(Calculator!E23,tbSkills!DH3:DJ6,3,FALSE),0),0)))/100)),1),1)</f>
        <v>1</v>
      </c>
      <c r="KP100" s="87">
        <f t="shared" si="93"/>
        <v>0</v>
      </c>
      <c r="KQ100" s="86" t="str">
        <f>IFERROR(IF(VLOOKUP(A100,tbMoveset!A2:B112,2,FALSE)="Sever",Backdoors!AY46/100,IF(VLOOKUP(A100,tbMoveset!A2:B112,2,FALSE)="Blunt",Backdoors!AZ46/100,Backdoors!BA46/100)),"")</f>
        <v/>
      </c>
      <c r="KR100" s="49">
        <f>IFERROR(IF(VLOOKUP(tbMoveset!A100,tbMoveset!A2:H112,8,FALSE)="Other",IF(VLOOKUP(tbMoveset!A100,tbMoveset!A2:I112,9,FALSE)="Fire",Backdoors!BB46,IF(VLOOKUP(tbMoveset!A100,tbMoveset!A2:I112,9,FALSE)="Water",Backdoors!BC46,IF(VLOOKUP(tbMoveset!A100,tbMoveset!A2:I112,9,FALSE)="Thunder",Backdoors!BD46,IF(VLOOKUP(tbMoveset!A100,tbMoveset!A2:I112,9,FALSE)="Ice",Backdoors!BE46,IF(VLOOKUP(tbMoveset!A100,tbMoveset!A2:I112,9,FALSE)="Dragon",Backdoors!BF46,Backdoors!BG46)))))/100,Backdoors!BG46/100),"")</f>
        <v>0</v>
      </c>
      <c r="KS100" s="49">
        <f>IFERROR(IF(VLOOKUP(A100,tbMoveset!A2:J112,10,FALSE)=TRUE,IF((Backdoors!AI12+IF(KQ100&gt;=0.45,VLOOKUP(Calculator!E23,tbSkills!DH3:DI6,2,FALSE)+IF(AND(Calculator!B8=TRUE,Backdoors!BI46=TRUE),VLOOKUP(Calculator!E23,tbSkills!DH3:DJ6,3,FALSE),0),0))&gt;=0,1+(Backdoors!AL2*(IF((Backdoors!AI12+IF(KQ100&gt;=0.45,VLOOKUP(Calculator!E23,tbSkills!DH3:DI6,2,FALSE)+IF(AND(Calculator!B8=TRUE,Backdoors!BI46=TRUE),VLOOKUP(Calculator!E23,tbSkills!DH3:DJ6,3,FALSE),0),0))&gt;=100,100,(Backdoors!AI12+IF(KQ100&gt;=0.45,VLOOKUP(Calculator!E23,tbSkills!DH3:DI6,2,FALSE)+IF(AND(Calculator!B8=TRUE,Backdoors!BI46=TRUE),VLOOKUP(Calculator!E23,tbSkills!DH3:DJ6,3,FALSE),0),0)))/100)),(1-(0.25*((-Backdoors!AI12-IF(KQ100&gt;=0.45,VLOOKUP(Calculator!E23,tbSkills!DH3:DI6,2,FALSE)+IF(AND(Calculator!B8=TRUE,Backdoors!BI46=TRUE),VLOOKUP(Calculator!E23,tbSkills!DH3:DJ6,3,FALSE),0),0))/100)))),1),"")</f>
        <v>1</v>
      </c>
      <c r="KT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KQ100)*KS100)*(VLOOKUP(A100,tbMoveset!A2:C112,3,FALSE)/100)*IF(VLOOKUP(A100,tbMoveset!A2:B112,2,FALSE)="Projectile",Backdoors!N10,Backdoors!N9),0),"")</f>
        <v/>
      </c>
      <c r="KU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REF!&gt;0,VLOOKUP(Calculator!#REF!,tbSkills!AC3:AD5,2,FALSE),Backdoors!AL3)*(IF((Backdoors!AI12+IF(KQ100&gt;=0.45,VLOOKUP(Calculator!E23,tbSkills!DH3:DI6,2,FALSE)+IF(AND(Calculator!B8=TRUE,Backdoors!BI46=TRUE),VLOOKUP(Calculator!E23,tbSkills!DH3:DJ6,3,FALSE),0),0))&gt;=100,100,(Backdoors!AI12+IF(KQ100&gt;=0.45,VLOOKUP(Calculator!E23,tbSkills!DH3:DI6,2,FALSE)+IF(AND(Calculator!B8=TRUE,Backdoors!BI46=TRUE),VLOOKUP(Calculator!E23,tbSkills!DH3:DJ6,3,FALSE),0),0)))/100)),1))*IF(VLOOKUP(A100,tbMoveset!A2:K112,11,FALSE)=TRUE,Backdoors!AC5,1))*KR100,0),"")</f>
        <v/>
      </c>
      <c r="KV100" s="49">
        <f>VLOOKUP(A100,tbMoveset!A2:G112,7,FALSE)*IFERROR(IF(Backdoors!AI12&gt;=0,1+(IF(Calculator!E40&gt;0,VLOOKUP(Calculator!E40,tbSkills!AI3:AJ5,2,FALSE),Backdoors!AL4)*(IF((Backdoors!AI12+IF(KQ100&gt;=0.45,VLOOKUP(Calculator!E23,tbSkills!DH3:DI6,2,FALSE)+IF(AND(Calculator!B8=TRUE,Backdoors!BI46=TRUE),VLOOKUP(Calculator!E23,tbSkills!DH3:DJ6,3,FALSE),0),0))&gt;=100,100,(Backdoors!AI12+IF(KQ100&gt;=0.45,VLOOKUP(Calculator!E23,tbSkills!DH3:DI6,2,FALSE)+IF(AND(Calculator!B8=TRUE,Backdoors!BI46=TRUE),VLOOKUP(Calculator!E23,tbSkills!DH3:DJ6,3,FALSE),0),0)))/100)),1),1)</f>
        <v>1</v>
      </c>
      <c r="KW100" s="87">
        <f t="shared" si="94"/>
        <v>0</v>
      </c>
    </row>
    <row r="101" spans="1:309" x14ac:dyDescent="0.25">
      <c r="A101" s="95" t="str">
        <f>tbMoveset!A101</f>
        <v>[Mounting] Demon Flurry (L1)</v>
      </c>
      <c r="B101" s="86">
        <f>IFERROR(IF(VLOOKUP(A101,tbMoveset!A2:B112,2,FALSE)="Sever",Backdoors!AY3/100,IF(VLOOKUP(A101,tbMoveset!A2:B112,2,FALSE)="Blunt",Backdoors!AZ3/100,Backdoors!BA3/100)),"")</f>
        <v>0.8</v>
      </c>
      <c r="C101" s="49">
        <f>IFERROR(IF(VLOOKUP(tbMoveset!A101,tbMoveset!A2:H112,8,FALSE)="Other",IF(VLOOKUP(tbMoveset!A101,tbMoveset!A2:I112,9,FALSE)="Fire",Backdoors!BB3,IF(VLOOKUP(tbMoveset!A101,tbMoveset!A2:I112,9,FALSE)="Water",Backdoors!BC3,IF(VLOOKUP(tbMoveset!A101,tbMoveset!A2:I112,9,FALSE)="Thunder",Backdoors!BD3,IF(VLOOKUP(tbMoveset!A101,tbMoveset!A2:I112,9,FALSE)="Ice",Backdoors!BE3,IF(VLOOKUP(tbMoveset!A101,tbMoveset!A2:I112,9,FALSE)="Dragon",Backdoors!BF3,Backdoors!BG3)))))/100,Backdoors!BG3/100),"")</f>
        <v>0</v>
      </c>
      <c r="D101" s="49">
        <f>IFERROR(IF(VLOOKUP(A101,tbMoveset!A2:J112,10,FALSE)=TRUE,IF((Backdoors!AI12+IF(B101&gt;=0.45,VLOOKUP(Calculator!E23,tbSkills!DH3:DI6,2,FALSE)+IF(AND(Calculator!B8=TRUE,Backdoors!BI3=TRUE),VLOOKUP(Calculator!E23,tbSkills!DH3:DJ6,3,FALSE),0),0))&gt;=0,1+(Backdoors!AL2*(IF((Backdoors!AI12+IF(B101&gt;=0.45,VLOOKUP(Calculator!E23,tbSkills!DH3:DI6,2,FALSE)+IF(AND(Calculator!B8=TRUE,Backdoors!BI3=TRUE),VLOOKUP(Calculator!E23,tbSkills!DH3:DJ6,3,FALSE),0),0))&gt;=100,100,(Backdoors!AI12+IF(B101&gt;=0.45,VLOOKUP(Calculator!E23,tbSkills!DH3:DI6,2,FALSE)+IF(AND(Calculator!B8=TRUE,Backdoors!BI3=TRUE),VLOOKUP(Calculator!E23,tbSkills!DH3:DJ6,3,FALSE),0),0)))/100)),(1-(0.25*((-Backdoors!AI12-IF(B101&gt;=0.45,VLOOKUP(Calculator!E23,tbSkills!DH3:DI6,2,FALSE)+IF(AND(Calculator!B8=TRUE,Backdoors!BI3=TRUE),VLOOKUP(Calculator!E23,tbSkills!DH3:DJ6,3,FALSE),0),0))/100)))),1),"")</f>
        <v>1</v>
      </c>
      <c r="E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101)*D101)*(VLOOKUP(A101,tbMoveset!A2:C112,3,FALSE)/100)*IF(VLOOKUP(A101,tbMoveset!A2:B112,2,FALSE)="Projectile",Backdoors!N10,Backdoors!N9),0),"")</f>
        <v>12</v>
      </c>
      <c r="F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101&gt;=0.45,VLOOKUP(Calculator!E23,tbSkills!DH3:DI6,2,FALSE)+IF(AND(Calculator!B8=TRUE,Backdoors!BI3=TRUE),VLOOKUP(Calculator!E23,tbSkills!DH3:DJ6,3,FALSE),0),0))&gt;=100,100,(Backdoors!AI12+IF(B101&gt;=0.45,VLOOKUP(Calculator!E23,tbSkills!DH3:DI6,2,FALSE)+IF(AND(Calculator!B8=TRUE,Backdoors!BI3=TRUE),VLOOKUP(Calculator!E23,tbSkills!DH3:DJ6,3,FALSE),0),0)))/100)),1))*IF(VLOOKUP(A101,tbMoveset!A2:K112,11,FALSE)=TRUE,Backdoors!AC5,1))*C101,0),"")</f>
        <v>0</v>
      </c>
      <c r="G101">
        <f>VLOOKUP(A101,tbMoveset!A2:G112,7,FALSE)*IFERROR(IF(Backdoors!AI12&gt;=0,1+(IF(Calculator!E40&gt;0,VLOOKUP(Calculator!E40,tbSkills!AI3:AJ5,2,FALSE),Backdoors!AL4)*(IF((Backdoors!AI12+IF(B101&gt;=0.45,VLOOKUP(Calculator!E23,tbSkills!DH3:DI6,2,FALSE)+IF(AND(Calculator!B8=TRUE,Backdoors!BI3=TRUE),VLOOKUP(Calculator!E23,tbSkills!DH3:DJ6,3,FALSE),0),0))&gt;=100,100,(Backdoors!AI12+IF(B101&gt;=0.45,VLOOKUP(Calculator!E23,tbSkills!DH3:DI6,2,FALSE)+IF(AND(Calculator!B8=TRUE,Backdoors!BI3=TRUE),VLOOKUP(Calculator!E23,tbSkills!DH3:DJ6,3,FALSE),0),0)))/100)),1),1)</f>
        <v>1</v>
      </c>
      <c r="H101" s="87">
        <f t="shared" si="95"/>
        <v>12</v>
      </c>
      <c r="I101" s="86">
        <f>IFERROR(IF(VLOOKUP(A101,tbMoveset!A2:B112,2,FALSE)="Sever",Backdoors!AY4/100,IF(VLOOKUP(A101,tbMoveset!A2:B112,2,FALSE)="Blunt",Backdoors!AZ4/100,Backdoors!BA4/100)),"")</f>
        <v>0.65</v>
      </c>
      <c r="J101" s="49">
        <f>IFERROR(IF(VLOOKUP(tbMoveset!A101,tbMoveset!A2:H112,8,FALSE)="Other",IF(VLOOKUP(tbMoveset!A101,tbMoveset!A2:I112,9,FALSE)="Fire",Backdoors!BB4,IF(VLOOKUP(tbMoveset!A101,tbMoveset!A2:I112,9,FALSE)="Water",Backdoors!BC4,IF(VLOOKUP(tbMoveset!A101,tbMoveset!A2:I112,9,FALSE)="Thunder",Backdoors!BD4,IF(VLOOKUP(tbMoveset!A101,tbMoveset!A2:I112,9,FALSE)="Ice",Backdoors!BE4,IF(VLOOKUP(tbMoveset!A101,tbMoveset!A2:I112,9,FALSE)="Dragon",Backdoors!BF4,Backdoors!BG4)))))/100,Backdoors!BG4/100),"")</f>
        <v>0</v>
      </c>
      <c r="K101" s="49">
        <f>IFERROR(IF(VLOOKUP(A101,tbMoveset!A2:J112,10,FALSE)=TRUE,IF((Backdoors!AI12+IF(I101&gt;=0.45,VLOOKUP(Calculator!E23,tbSkills!DH3:DI6,2,FALSE)+IF(AND(Calculator!B8=TRUE,Backdoors!BI4=TRUE),VLOOKUP(Calculator!E23,tbSkills!DH3:DJ6,3,FALSE),0),0))&gt;=0,1+(Backdoors!AL2*(IF((Backdoors!AI12+IF(I101&gt;=0.45,VLOOKUP(Calculator!E23,tbSkills!DH3:DI6,2,FALSE)+IF(AND(Calculator!B8=TRUE,Backdoors!BI4=TRUE),VLOOKUP(Calculator!E23,tbSkills!DH3:DJ6,3,FALSE),0),0))&gt;=100,100,(Backdoors!AI12+IF(I101&gt;=0.45,VLOOKUP(Calculator!E23,tbSkills!DH3:DI6,2,FALSE)+IF(AND(Calculator!B8=TRUE,Backdoors!BI4=TRUE),VLOOKUP(Calculator!E23,tbSkills!DH3:DJ6,3,FALSE),0),0)))/100)),(1-(0.25*((-Backdoors!AI12-IF(I101&gt;=0.45,VLOOKUP(Calculator!E23,tbSkills!DH3:DI6,2,FALSE)+IF(AND(Calculator!B8=TRUE,Backdoors!BI4=TRUE),VLOOKUP(Calculator!E23,tbSkills!DH3:DJ6,3,FALSE),0),0))/100)))),1),"")</f>
        <v>1</v>
      </c>
      <c r="L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101)*K101)*(VLOOKUP(A101,tbMoveset!A2:C112,3,FALSE)/100)*IF(VLOOKUP(A101,tbMoveset!A2:B112,2,FALSE)="Projectile",Backdoors!N10,Backdoors!N9),0),"")</f>
        <v>10</v>
      </c>
      <c r="M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I101&gt;=0.45,VLOOKUP(Calculator!E23,tbSkills!DH3:DI6,2,FALSE)+IF(AND(Calculator!B8=TRUE,Backdoors!BI4=TRUE),VLOOKUP(Calculator!E23,tbSkills!DH3:DJ6,3,FALSE),0),0))&gt;=100,100,(Backdoors!AI12+IF(I101&gt;=0.45,VLOOKUP(Calculator!E23,tbSkills!DH3:DI6,2,FALSE)+IF(AND(Calculator!B8=TRUE,Backdoors!BI4=TRUE),VLOOKUP(Calculator!E23,tbSkills!DH3:DJ6,3,FALSE),0),0)))/100)),1))*IF(VLOOKUP(A101,tbMoveset!A2:K112,11,FALSE)=TRUE,Backdoors!AC5,1))*J101,0),"")</f>
        <v>0</v>
      </c>
      <c r="N101" s="49">
        <f>VLOOKUP(A101,tbMoveset!A2:G112,7,FALSE)*IFERROR(IF(Backdoors!AI12&gt;=0,1+(IF(Calculator!E40&gt;0,VLOOKUP(Calculator!E40,tbSkills!AI3:AJ5,2,FALSE),Backdoors!AL4)*(IF((Backdoors!AI12+IF(I101&gt;=0.45,VLOOKUP(Calculator!E23,tbSkills!DH3:DI6,2,FALSE)+IF(AND(Calculator!B8=TRUE,Backdoors!BI4=TRUE),VLOOKUP(Calculator!E23,tbSkills!DH3:DJ6,3,FALSE),0),0))&gt;=100,100,(Backdoors!AI12+IF(I101&gt;=0.45,VLOOKUP(Calculator!E23,tbSkills!DH3:DI6,2,FALSE)+IF(AND(Calculator!B8=TRUE,Backdoors!BI4=TRUE),VLOOKUP(Calculator!E23,tbSkills!DH3:DJ6,3,FALSE),0),0)))/100)),1),1)</f>
        <v>1</v>
      </c>
      <c r="O101" s="87">
        <f t="shared" si="96"/>
        <v>10</v>
      </c>
      <c r="P101" s="86">
        <f>IFERROR(IF(VLOOKUP(A101,tbMoveset!A2:B112,2,FALSE)="Sever",Backdoors!AY5/100,IF(VLOOKUP(A101,tbMoveset!A2:B112,2,FALSE)="Blunt",Backdoors!AZ5/100,Backdoors!BA5/100)),"")</f>
        <v>0.5</v>
      </c>
      <c r="Q101" s="49">
        <f>IFERROR(IF(VLOOKUP(tbMoveset!A101,tbMoveset!A2:H112,8,FALSE)="Other",IF(VLOOKUP(tbMoveset!A101,tbMoveset!A2:I112,9,FALSE)="Fire",Backdoors!BB5,IF(VLOOKUP(tbMoveset!A101,tbMoveset!A2:I112,9,FALSE)="Water",Backdoors!BC5,IF(VLOOKUP(tbMoveset!A101,tbMoveset!A2:I112,9,FALSE)="Thunder",Backdoors!BD5,IF(VLOOKUP(tbMoveset!A101,tbMoveset!A2:I112,9,FALSE)="Ice",Backdoors!BE5,IF(VLOOKUP(tbMoveset!A101,tbMoveset!A2:I112,9,FALSE)="Dragon",Backdoors!BF5,Backdoors!BG5)))))/100,Backdoors!BG5/100),"")</f>
        <v>0</v>
      </c>
      <c r="R101" s="49">
        <f>IFERROR(IF(VLOOKUP(A101,tbMoveset!A2:J112,10,FALSE)=TRUE,IF((Backdoors!AI12+IF(P101&gt;=0.45,VLOOKUP(Calculator!E23,tbSkills!DH3:DI6,2,FALSE)+IF(AND(Calculator!B8=TRUE,Backdoors!BI5=TRUE),VLOOKUP(Calculator!E23,tbSkills!DH3:DJ6,3,FALSE),0),0))&gt;=0,1+(Backdoors!AL2*(IF((Backdoors!AI12+IF(P101&gt;=0.45,VLOOKUP(Calculator!E23,tbSkills!DH3:DI6,2,FALSE)+IF(AND(Calculator!B8=TRUE,Backdoors!BI5=TRUE),VLOOKUP(Calculator!E23,tbSkills!DH3:DJ6,3,FALSE),0),0))&gt;=100,100,(Backdoors!AI12+IF(P101&gt;=0.45,VLOOKUP(Calculator!E23,tbSkills!DH3:DI6,2,FALSE)+IF(AND(Calculator!B8=TRUE,Backdoors!BI5=TRUE),VLOOKUP(Calculator!E23,tbSkills!DH3:DJ6,3,FALSE),0),0)))/100)),(1-(0.25*((-Backdoors!AI12-IF(P101&gt;=0.45,VLOOKUP(Calculator!E23,tbSkills!DH3:DI6,2,FALSE)+IF(AND(Calculator!B8=TRUE,Backdoors!BI5=TRUE),VLOOKUP(Calculator!E23,tbSkills!DH3:DJ6,3,FALSE),0),0))/100)))),1),"")</f>
        <v>1</v>
      </c>
      <c r="S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P101)*R101)*(VLOOKUP(A101,tbMoveset!A2:C112,3,FALSE)/100)*IF(VLOOKUP(A101,tbMoveset!A2:B112,2,FALSE)="Projectile",Backdoors!N10,Backdoors!N9),0),"")</f>
        <v>8</v>
      </c>
      <c r="T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P101&gt;=0.45,VLOOKUP(Calculator!E23,tbSkills!DH3:DI6,2,FALSE)+IF(AND(Calculator!B8=TRUE,Backdoors!BI5=TRUE),VLOOKUP(Calculator!E23,tbSkills!DH3:DJ6,3,FALSE),0),0))&gt;=100,100,(Backdoors!AI12+IF(P101&gt;=0.45,VLOOKUP(Calculator!E23,tbSkills!DH3:DI6,2,FALSE)+IF(AND(Calculator!B8=TRUE,Backdoors!BI5=TRUE),VLOOKUP(Calculator!E23,tbSkills!DH3:DJ6,3,FALSE),0),0)))/100)),1))*IF(VLOOKUP(A101,tbMoveset!A2:K112,11,FALSE)=TRUE,Backdoors!AC5,1))*Q101,0),"")</f>
        <v>0</v>
      </c>
      <c r="U101" s="49">
        <f>VLOOKUP(A101,tbMoveset!A2:G112,7,FALSE)*IFERROR(IF(Backdoors!AI12&gt;=0,1+(IF(Calculator!E40&gt;0,VLOOKUP(Calculator!E40,tbSkills!AI3:AJ5,2,FALSE),Backdoors!AL4)*(IF((Backdoors!AI12+IF(P101&gt;=0.45,VLOOKUP(Calculator!E23,tbSkills!DH3:DI6,2,FALSE)+IF(AND(Calculator!B8=TRUE,Backdoors!BI5=TRUE),VLOOKUP(Calculator!E23,tbSkills!DH3:DJ6,3,FALSE),0),0))&gt;=100,100,(Backdoors!AI12+IF(P101&gt;=0.45,VLOOKUP(Calculator!E23,tbSkills!DH3:DI6,2,FALSE)+IF(AND(Calculator!B8=TRUE,Backdoors!BI5=TRUE),VLOOKUP(Calculator!E23,tbSkills!DH3:DJ6,3,FALSE),0),0)))/100)),1),1)</f>
        <v>1</v>
      </c>
      <c r="V101" s="87">
        <f t="shared" si="53"/>
        <v>8</v>
      </c>
      <c r="W101" s="86">
        <f>IFERROR(IF(VLOOKUP(A101,tbMoveset!A2:B112,2,FALSE)="Sever",Backdoors!AY6/100,IF(VLOOKUP(A101,tbMoveset!A2:B112,2,FALSE)="Blunt",Backdoors!AZ6/100,Backdoors!BA6/100)),"")</f>
        <v>0.45</v>
      </c>
      <c r="X101" s="49">
        <f>IFERROR(IF(VLOOKUP(tbMoveset!A101,tbMoveset!A2:H112,8,FALSE)="Other",IF(VLOOKUP(tbMoveset!A101,tbMoveset!A2:I112,9,FALSE)="Fire",Backdoors!BB6,IF(VLOOKUP(tbMoveset!A101,tbMoveset!A2:I112,9,FALSE)="Water",Backdoors!BC6,IF(VLOOKUP(tbMoveset!A101,tbMoveset!A2:I112,9,FALSE)="Thunder",Backdoors!BD6,IF(VLOOKUP(tbMoveset!A101,tbMoveset!A2:I112,9,FALSE)="Ice",Backdoors!BE6,IF(VLOOKUP(tbMoveset!A101,tbMoveset!A2:I112,9,FALSE)="Dragon",Backdoors!BF6,Backdoors!BG6)))))/100,Backdoors!BG6/100),"")</f>
        <v>0</v>
      </c>
      <c r="Y101" s="49">
        <f>IFERROR(IF(VLOOKUP(A101,tbMoveset!A2:J112,10,FALSE)=TRUE,IF((Backdoors!AI12+IF(W101&gt;=0.45,VLOOKUP(Calculator!E23,tbSkills!DH3:DI6,2,FALSE)+IF(AND(Calculator!B8=TRUE,Backdoors!BI6=TRUE),VLOOKUP(Calculator!E23,tbSkills!DH3:DJ6,3,FALSE),0),0))&gt;=0,1+(Backdoors!AL2*(IF((Backdoors!AI12+IF(W101&gt;=0.45,VLOOKUP(Calculator!E23,tbSkills!DH3:DI6,2,FALSE)+IF(AND(Calculator!B8=TRUE,Backdoors!BI6=TRUE),VLOOKUP(Calculator!E23,tbSkills!DH3:DJ6,3,FALSE),0),0))&gt;=100,100,(Backdoors!AI12+IF(W101&gt;=0.45,VLOOKUP(Calculator!E23,tbSkills!DH3:DI6,2,FALSE)+IF(AND(Calculator!B8=TRUE,Backdoors!BI6=TRUE),VLOOKUP(Calculator!E23,tbSkills!DH3:DJ6,3,FALSE),0),0)))/100)),(1-(0.25*((-Backdoors!AI12-IF(W101&gt;=0.45,VLOOKUP(Calculator!E23,tbSkills!DH3:DI6,2,FALSE)+IF(AND(Calculator!B8=TRUE,Backdoors!BI6=TRUE),VLOOKUP(Calculator!E23,tbSkills!DH3:DJ6,3,FALSE),0),0))/100)))),1),"")</f>
        <v>1</v>
      </c>
      <c r="Z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W101)*Y101)*(VLOOKUP(A101,tbMoveset!A2:C112,3,FALSE)/100)*IF(VLOOKUP(A101,tbMoveset!A2:B112,2,FALSE)="Projectile",Backdoors!N10,Backdoors!N9),0),"")</f>
        <v>7</v>
      </c>
      <c r="AA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W101&gt;=0.45,VLOOKUP(Calculator!E23,tbSkills!DH3:DI6,2,FALSE)+IF(AND(Calculator!B8=TRUE,Backdoors!BI6=TRUE),VLOOKUP(Calculator!E23,tbSkills!DH3:DJ6,3,FALSE),0),0))&gt;=100,100,(Backdoors!AI12+IF(W101&gt;=0.45,VLOOKUP(Calculator!E23,tbSkills!DH3:DI6,2,FALSE)+IF(AND(Calculator!B8=TRUE,Backdoors!BI6=TRUE),VLOOKUP(Calculator!E23,tbSkills!DH3:DJ6,3,FALSE),0),0)))/100)),1))*IF(VLOOKUP(A101,tbMoveset!A2:K112,11,FALSE)=TRUE,Backdoors!AC5,1))*X101,0),"")</f>
        <v>0</v>
      </c>
      <c r="AB101" s="49">
        <f>VLOOKUP(A101,tbMoveset!A2:G112,7,FALSE)*IFERROR(IF(Backdoors!AI12&gt;=0,1+(IF(Calculator!E40&gt;0,VLOOKUP(Calculator!E40,tbSkills!AI3:AJ5,2,FALSE),Backdoors!AL4)*(IF((Backdoors!AI12+IF(W101&gt;=0.45,VLOOKUP(Calculator!E23,tbSkills!DH3:DI6,2,FALSE)+IF(AND(Calculator!B8=TRUE,Backdoors!BI6=TRUE),VLOOKUP(Calculator!E23,tbSkills!DH3:DJ6,3,FALSE),0),0))&gt;=100,100,(Backdoors!AI12+IF(W101&gt;=0.45,VLOOKUP(Calculator!E23,tbSkills!DH3:DI6,2,FALSE)+IF(AND(Calculator!B8=TRUE,Backdoors!BI6=TRUE),VLOOKUP(Calculator!E23,tbSkills!DH3:DJ6,3,FALSE),0),0)))/100)),1),1)</f>
        <v>1</v>
      </c>
      <c r="AC101" s="87">
        <f t="shared" si="54"/>
        <v>7</v>
      </c>
      <c r="AD101" s="86">
        <f>IFERROR(IF(VLOOKUP(A101,tbMoveset!A2:B112,2,FALSE)="Sever",Backdoors!AY7/100,IF(VLOOKUP(A101,tbMoveset!A2:B112,2,FALSE)="Blunt",Backdoors!AZ7/100,Backdoors!BA7/100)),"")</f>
        <v>0.65</v>
      </c>
      <c r="AE101" s="49">
        <f>IFERROR(IF(VLOOKUP(tbMoveset!A101,tbMoveset!A2:H112,8,FALSE)="Other",IF(VLOOKUP(tbMoveset!A101,tbMoveset!A2:I112,9,FALSE)="Fire",Backdoors!BB7,IF(VLOOKUP(tbMoveset!A101,tbMoveset!A2:I112,9,FALSE)="Water",Backdoors!BC7,IF(VLOOKUP(tbMoveset!A101,tbMoveset!A2:I112,9,FALSE)="Thunder",Backdoors!BD7,IF(VLOOKUP(tbMoveset!A101,tbMoveset!A2:I112,9,FALSE)="Ice",Backdoors!BE7,IF(VLOOKUP(tbMoveset!A101,tbMoveset!A2:I112,9,FALSE)="Dragon",Backdoors!BF7,Backdoors!BG7)))))/100,Backdoors!BG7/100),"")</f>
        <v>0</v>
      </c>
      <c r="AF101" s="49">
        <f>IFERROR(IF(VLOOKUP(A101,tbMoveset!A2:J112,10,FALSE)=TRUE,IF((Backdoors!AI12+IF(AD101&gt;=0.45,VLOOKUP(Calculator!E23,tbSkills!DH3:DI6,2,FALSE)+IF(AND(Calculator!B8=TRUE,Backdoors!BI7=TRUE),VLOOKUP(Calculator!E23,tbSkills!DH3:DJ6,3,FALSE),0),0))&gt;=0,1+(Backdoors!AL2*(IF((Backdoors!AI12+IF(AD101&gt;=0.45,VLOOKUP(Calculator!E23,tbSkills!DH3:DI6,2,FALSE)+IF(AND(Calculator!B8=TRUE,Backdoors!BI7=TRUE),VLOOKUP(Calculator!E23,tbSkills!DH3:DJ6,3,FALSE),0),0))&gt;=100,100,(Backdoors!AI12+IF(AD101&gt;=0.45,VLOOKUP(Calculator!E23,tbSkills!DH3:DI6,2,FALSE)+IF(AND(Calculator!B8=TRUE,Backdoors!BI7=TRUE),VLOOKUP(Calculator!E23,tbSkills!DH3:DJ6,3,FALSE),0),0)))/100)),(1-(0.25*((-Backdoors!AI12-IF(AD101&gt;=0.45,VLOOKUP(Calculator!E23,tbSkills!DH3:DI6,2,FALSE)+IF(AND(Calculator!B8=TRUE,Backdoors!BI7=TRUE),VLOOKUP(Calculator!E23,tbSkills!DH3:DJ6,3,FALSE),0),0))/100)))),1),"")</f>
        <v>1</v>
      </c>
      <c r="AG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D101)*AF101)*(VLOOKUP(A101,tbMoveset!A2:C112,3,FALSE)/100)*IF(VLOOKUP(A101,tbMoveset!A2:B112,2,FALSE)="Projectile",Backdoors!N10,Backdoors!N9),0),"")</f>
        <v>10</v>
      </c>
      <c r="AH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D101&gt;=0.45,VLOOKUP(Calculator!E23,tbSkills!DH3:DI6,2,FALSE)+IF(AND(Calculator!B8=TRUE,Backdoors!BI7=TRUE),VLOOKUP(Calculator!E23,tbSkills!DH3:DJ6,3,FALSE),0),0))&gt;=100,100,(Backdoors!AI12+IF(AD101&gt;=0.45,VLOOKUP(Calculator!E23,tbSkills!DH3:DI6,2,FALSE)+IF(AND(Calculator!B8=TRUE,Backdoors!BI7=TRUE),VLOOKUP(Calculator!E23,tbSkills!DH3:DJ6,3,FALSE),0),0)))/100)),1))*IF(VLOOKUP(A101,tbMoveset!A2:K112,11,FALSE)=TRUE,Backdoors!AC5,1))*AE101,0),"")</f>
        <v>0</v>
      </c>
      <c r="AI101" s="49">
        <f>VLOOKUP(A101,tbMoveset!A2:G112,7,FALSE)*IFERROR(IF(Backdoors!AI12&gt;=0,1+(IF(Calculator!E40&gt;0,VLOOKUP(Calculator!E40,tbSkills!AI3:AJ5,2,FALSE),Backdoors!AL4)*(IF((Backdoors!AI12+IF(AD101&gt;=0.45,VLOOKUP(Calculator!E23,tbSkills!DH3:DI6,2,FALSE)+IF(AND(Calculator!B8=TRUE,Backdoors!BI7=TRUE),VLOOKUP(Calculator!E23,tbSkills!DH3:DJ6,3,FALSE),0),0))&gt;=100,100,(Backdoors!AI12+IF(AD101&gt;=0.45,VLOOKUP(Calculator!E23,tbSkills!DH3:DI6,2,FALSE)+IF(AND(Calculator!B8=TRUE,Backdoors!BI7=TRUE),VLOOKUP(Calculator!E23,tbSkills!DH3:DJ6,3,FALSE),0),0)))/100)),1),1)</f>
        <v>1</v>
      </c>
      <c r="AJ101" s="87">
        <f t="shared" si="55"/>
        <v>10</v>
      </c>
      <c r="AK101" s="91">
        <f>IFERROR(IF(VLOOKUP(A101,tbMoveset!A2:B112,2,FALSE)="Sever",Backdoors!AY8/100,IF(VLOOKUP(A101,tbMoveset!A2:B112,2,FALSE)="Blunt",Backdoors!AZ8/100,Backdoors!BA8/100)),"")</f>
        <v>0.45</v>
      </c>
      <c r="AL101" s="49">
        <f>IFERROR(IF(VLOOKUP(tbMoveset!A101,tbMoveset!A2:H112,8,FALSE)="Other",IF(VLOOKUP(tbMoveset!A101,tbMoveset!A2:I112,9,FALSE)="Fire",Backdoors!BB8,IF(VLOOKUP(tbMoveset!A101,tbMoveset!A2:I112,9,FALSE)="Water",Backdoors!BC8,IF(VLOOKUP(tbMoveset!A101,tbMoveset!A2:I112,9,FALSE)="Thunder",Backdoors!BD8,IF(VLOOKUP(tbMoveset!A101,tbMoveset!A2:I112,9,FALSE)="Ice",Backdoors!BE8,IF(VLOOKUP(tbMoveset!A101,tbMoveset!A2:I112,9,FALSE)="Dragon",Backdoors!BF8,Backdoors!BG8)))))/100,Backdoors!BG8/100),"")</f>
        <v>0</v>
      </c>
      <c r="AM101" s="49">
        <f>IFERROR(IF(VLOOKUP(A101,tbMoveset!A2:J112,10,FALSE)=TRUE,IF((Backdoors!AI12+IF(AK101&gt;=0.45,VLOOKUP(Calculator!E23,tbSkills!DH3:DI6,2,FALSE)+IF(AND(Calculator!B8=TRUE,Backdoors!BI8=TRUE),VLOOKUP(Calculator!E23,tbSkills!DH3:DJ6,3,FALSE),0),0))&gt;=0,1+(Backdoors!AL2*(IF((Backdoors!AI12+IF(AK101&gt;=0.45,VLOOKUP(Calculator!E23,tbSkills!DH3:DI6,2,FALSE)+IF(AND(Calculator!B8=TRUE,Backdoors!BI8=TRUE),VLOOKUP(Calculator!E23,tbSkills!DH3:DJ6,3,FALSE),0),0))&gt;=100,100,(Backdoors!AI12+IF(AK101&gt;=0.45,VLOOKUP(Calculator!E23,tbSkills!DH3:DI6,2,FALSE)+IF(AND(Calculator!B8=TRUE,Backdoors!BI8=TRUE),VLOOKUP(Calculator!E23,tbSkills!DH3:DJ6,3,FALSE),0),0)))/100)),(1-(0.25*((-Backdoors!AI12-IF(AK101&gt;=0.45,VLOOKUP(Calculator!E23,tbSkills!DH3:DI6,2,FALSE)+IF(AND(Calculator!B8=TRUE,Backdoors!BI8=TRUE),VLOOKUP(Calculator!E23,tbSkills!DH3:DJ6,3,FALSE),0),0))/100)))),1),"")</f>
        <v>1</v>
      </c>
      <c r="AN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K101)*AM101)*(VLOOKUP(A101,tbMoveset!A2:C112,3,FALSE)/100)*IF(VLOOKUP(A101,tbMoveset!A2:B112,2,FALSE)="Projectile",Backdoors!N10,Backdoors!N9),0),"")</f>
        <v>7</v>
      </c>
      <c r="AO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K101&gt;=0.45,VLOOKUP(Calculator!E23,tbSkills!DH3:DI6,2,FALSE)+IF(AND(Calculator!B8=TRUE,Backdoors!BI8=TRUE),VLOOKUP(Calculator!E23,tbSkills!DH3:DJ6,3,FALSE),0),0))&gt;=100,100,(Backdoors!AI12+IF(AK101&gt;=0.45,VLOOKUP(Calculator!E23,tbSkills!DH3:DI6,2,FALSE)+IF(AND(Calculator!B8=TRUE,Backdoors!BI8=TRUE),VLOOKUP(Calculator!E23,tbSkills!DH3:DJ6,3,FALSE),0),0)))/100)),1))*IF(VLOOKUP(A101,tbMoveset!A2:K112,11,FALSE)=TRUE,Backdoors!AC5,1))*AL101,0),"")</f>
        <v>0</v>
      </c>
      <c r="AP101" s="49">
        <f>VLOOKUP(A101,tbMoveset!A2:G112,7,FALSE)*IFERROR(IF(Backdoors!AI12&gt;=0,1+(IF(Calculator!E40&gt;0,VLOOKUP(Calculator!E40,tbSkills!AI3:AJ5,2,FALSE),Backdoors!AL4)*(IF((Backdoors!AI12+IF(AK101&gt;=0.45,VLOOKUP(Calculator!E23,tbSkills!DH3:DI6,2,FALSE)+IF(AND(Calculator!B8=TRUE,Backdoors!BI8=TRUE),VLOOKUP(Calculator!E23,tbSkills!DH3:DJ6,3,FALSE),0),0))&gt;=100,100,(Backdoors!AI12+IF(AK101&gt;=0.45,VLOOKUP(Calculator!E23,tbSkills!DH3:DI6,2,FALSE)+IF(AND(Calculator!B8=TRUE,Backdoors!BI8=TRUE),VLOOKUP(Calculator!E23,tbSkills!DH3:DJ6,3,FALSE),0),0)))/100)),1),1)</f>
        <v>1</v>
      </c>
      <c r="AQ101" s="87">
        <f t="shared" si="56"/>
        <v>7</v>
      </c>
      <c r="AR101" s="86">
        <f>IFERROR(IF(VLOOKUP(A101,tbMoveset!A2:B112,2,FALSE)="Sever",Backdoors!AY9/100,IF(VLOOKUP(A101,tbMoveset!A2:B112,2,FALSE)="Blunt",Backdoors!AZ9/100,Backdoors!BA9/100)),"")</f>
        <v>0.45</v>
      </c>
      <c r="AS101" s="49">
        <f>IFERROR(IF(VLOOKUP(tbMoveset!A101,tbMoveset!A2:H112,8,FALSE)="Other",IF(VLOOKUP(tbMoveset!A101,tbMoveset!A2:I112,9,FALSE)="Fire",Backdoors!BB9,IF(VLOOKUP(tbMoveset!A101,tbMoveset!A2:I112,9,FALSE)="Water",Backdoors!BC9,IF(VLOOKUP(tbMoveset!A101,tbMoveset!A2:I112,9,FALSE)="Thunder",Backdoors!BD9,IF(VLOOKUP(tbMoveset!A101,tbMoveset!A2:I112,9,FALSE)="Ice",Backdoors!BE9,IF(VLOOKUP(tbMoveset!A101,tbMoveset!A2:I112,9,FALSE)="Dragon",Backdoors!BF9,Backdoors!BG9)))))/100,Backdoors!BG9/100),"")</f>
        <v>0</v>
      </c>
      <c r="AT101" s="49">
        <f>IFERROR(IF(VLOOKUP(A101,tbMoveset!A2:J112,10,FALSE)=TRUE,IF((Backdoors!AI12+IF(AR101&gt;=0.45,VLOOKUP(Calculator!E23,tbSkills!DH3:DI6,2,FALSE)+IF(AND(Calculator!B8=TRUE,Backdoors!BI9=TRUE),VLOOKUP(Calculator!E23,tbSkills!DH3:DJ6,3,FALSE),0),0))&gt;=0,1+(Backdoors!AL2*(IF((Backdoors!AI12+IF(AR101&gt;=0.45,VLOOKUP(Calculator!E23,tbSkills!DH3:DI6,2,FALSE)+IF(AND(Calculator!B8=TRUE,Backdoors!BI9=TRUE),VLOOKUP(Calculator!E23,tbSkills!DH3:DJ6,3,FALSE),0),0))&gt;=100,100,(Backdoors!AI12+IF(AR101&gt;=0.45,VLOOKUP(Calculator!E23,tbSkills!DH3:DI6,2,FALSE)+IF(AND(Calculator!B8=TRUE,Backdoors!BI9=TRUE),VLOOKUP(Calculator!E23,tbSkills!DH3:DJ6,3,FALSE),0),0)))/100)),(1-(0.25*((-Backdoors!AI12-IF(AR101&gt;=0.45,VLOOKUP(Calculator!E23,tbSkills!DH3:DI6,2,FALSE)+IF(AND(Calculator!B8=TRUE,Backdoors!BI9=TRUE),VLOOKUP(Calculator!E23,tbSkills!DH3:DJ6,3,FALSE),0),0))/100)))),1),"")</f>
        <v>1</v>
      </c>
      <c r="AU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R101)*AT101)*(VLOOKUP(A101,tbMoveset!A2:C112,3,FALSE)/100)*IF(VLOOKUP(A101,tbMoveset!A2:B112,2,FALSE)="Projectile",Backdoors!N10,Backdoors!N9),0),"")</f>
        <v>7</v>
      </c>
      <c r="AV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R101&gt;=0.45,VLOOKUP(Calculator!E23,tbSkills!DH3:DI6,2,FALSE)+IF(AND(Calculator!B8=TRUE,Backdoors!BI9=TRUE),VLOOKUP(Calculator!E23,tbSkills!DH3:DJ6,3,FALSE),0),0))&gt;=100,100,(Backdoors!AI12+IF(AR101&gt;=0.45,VLOOKUP(Calculator!E23,tbSkills!DH3:DI6,2,FALSE)+IF(AND(Calculator!B8=TRUE,Backdoors!BI9=TRUE),VLOOKUP(Calculator!E23,tbSkills!DH3:DJ6,3,FALSE),0),0)))/100)),1))*IF(VLOOKUP(A101,tbMoveset!A2:K112,11,FALSE)=TRUE,Backdoors!AC5,1))*AS101,0),"")</f>
        <v>0</v>
      </c>
      <c r="AW101" s="49">
        <f>VLOOKUP(A101,tbMoveset!A2:G112,7,FALSE)*IFERROR(IF(Backdoors!AI12&gt;=0,1+(IF(Calculator!E40&gt;0,VLOOKUP(Calculator!E40,tbSkills!AI3:AJ5,2,FALSE),Backdoors!AL4)*(IF((Backdoors!AI12+IF(AR101&gt;=0.45,VLOOKUP(Calculator!E23,tbSkills!DH3:DI6,2,FALSE)+IF(AND(Calculator!B8=TRUE,Backdoors!BI9=TRUE),VLOOKUP(Calculator!E23,tbSkills!DH3:DJ6,3,FALSE),0),0))&gt;=100,100,(Backdoors!AI12+IF(AR101&gt;=0.45,VLOOKUP(Calculator!E23,tbSkills!DH3:DI6,2,FALSE)+IF(AND(Calculator!B8=TRUE,Backdoors!BI9=TRUE),VLOOKUP(Calculator!E23,tbSkills!DH3:DJ6,3,FALSE),0),0)))/100)),1),1)</f>
        <v>1</v>
      </c>
      <c r="AX101" s="87">
        <f t="shared" si="57"/>
        <v>7</v>
      </c>
      <c r="AY101" s="86">
        <f>IFERROR(IF(VLOOKUP(A101,tbMoveset!A2:B112,2,FALSE)="Sever",Backdoors!AY10/100,IF(VLOOKUP(A101,tbMoveset!A2:B112,2,FALSE)="Blunt",Backdoors!AZ10/100,Backdoors!BA10/100)),"")</f>
        <v>0.9</v>
      </c>
      <c r="AZ101" s="49">
        <f>IFERROR(IF(VLOOKUP(tbMoveset!A101,tbMoveset!A2:H112,8,FALSE)="Other",IF(VLOOKUP(tbMoveset!A101,tbMoveset!A2:I112,9,FALSE)="Fire",Backdoors!BB10,IF(VLOOKUP(tbMoveset!A101,tbMoveset!A2:I112,9,FALSE)="Water",Backdoors!BC10,IF(VLOOKUP(tbMoveset!A101,tbMoveset!A2:I112,9,FALSE)="Thunder",Backdoors!BD10,IF(VLOOKUP(tbMoveset!A101,tbMoveset!A2:I112,9,FALSE)="Ice",Backdoors!BE10,IF(VLOOKUP(tbMoveset!A101,tbMoveset!A2:I112,9,FALSE)="Dragon",Backdoors!BF10,Backdoors!BG10)))))/100,Backdoors!BG10/100),"")</f>
        <v>0</v>
      </c>
      <c r="BA101" s="49">
        <f>IFERROR(IF(VLOOKUP(A101,tbMoveset!A2:J112,10,FALSE)=TRUE,IF((Backdoors!AI12+IF(AY101&gt;=0.45,VLOOKUP(Calculator!E23,tbSkills!DH3:DI6,2,FALSE)+IF(AND(Calculator!B8=TRUE,Backdoors!BI10=TRUE),VLOOKUP(Calculator!E23,tbSkills!DH3:DJ6,3,FALSE),0),0))&gt;=0,1+(Backdoors!AL2*(IF((Backdoors!AI12+IF(AY101&gt;=0.45,VLOOKUP(Calculator!E23,tbSkills!DH3:DI6,2,FALSE)+IF(AND(Calculator!B8=TRUE,Backdoors!BI10=TRUE),VLOOKUP(Calculator!E23,tbSkills!DH3:DJ6,3,FALSE),0),0))&gt;=100,100,(Backdoors!AI12+IF(AY101&gt;=0.45,VLOOKUP(Calculator!E23,tbSkills!DH3:DI6,2,FALSE)+IF(AND(Calculator!B8=TRUE,Backdoors!BI10=TRUE),VLOOKUP(Calculator!E23,tbSkills!DH3:DJ6,3,FALSE),0),0)))/100)),(1-(0.25*((-Backdoors!AI12-IF(AY101&gt;=0.45,VLOOKUP(Calculator!E23,tbSkills!DH3:DI6,2,FALSE)+IF(AND(Calculator!B8=TRUE,Backdoors!BI10=TRUE),VLOOKUP(Calculator!E23,tbSkills!DH3:DJ6,3,FALSE),0),0))/100)))),1),"")</f>
        <v>1</v>
      </c>
      <c r="BB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Y101)*BA101)*(VLOOKUP(A101,tbMoveset!A2:C112,3,FALSE)/100)*IF(VLOOKUP(A101,tbMoveset!A2:B112,2,FALSE)="Projectile",Backdoors!N10,Backdoors!N9),0),"")</f>
        <v>14</v>
      </c>
      <c r="BC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Y101&gt;=0.45,VLOOKUP(Calculator!E23,tbSkills!DH3:DI6,2,FALSE)+IF(AND(Calculator!B8=TRUE,Backdoors!BI10=TRUE),VLOOKUP(Calculator!E23,tbSkills!DH3:DJ6,3,FALSE),0),0))&gt;=100,100,(Backdoors!AI12+IF(AY101&gt;=0.45,VLOOKUP(Calculator!E23,tbSkills!DH3:DI6,2,FALSE)+IF(AND(Calculator!B8=TRUE,Backdoors!BI10=TRUE),VLOOKUP(Calculator!E23,tbSkills!DH3:DJ6,3,FALSE),0),0)))/100)),1))*IF(VLOOKUP(A101,tbMoveset!A2:K112,11,FALSE)=TRUE,Backdoors!AC5,1))*AZ101,0),"")</f>
        <v>0</v>
      </c>
      <c r="BD101" s="49">
        <f>VLOOKUP(A101,tbMoveset!A2:G112,7,FALSE)*IFERROR(IF(Backdoors!AI12&gt;=0,1+(IF(Calculator!E40&gt;0,VLOOKUP(Calculator!E40,tbSkills!AI3:AJ5,2,FALSE),Backdoors!AL4)*(IF((Backdoors!AI12+IF(AY101&gt;=0.45,VLOOKUP(Calculator!E23,tbSkills!DH3:DI6,2,FALSE)+IF(AND(Calculator!B8=TRUE,Backdoors!BI10=TRUE),VLOOKUP(Calculator!E23,tbSkills!DH3:DJ6,3,FALSE),0),0))&gt;=100,100,(Backdoors!AI12+IF(AY101&gt;=0.45,VLOOKUP(Calculator!E23,tbSkills!DH3:DI6,2,FALSE)+IF(AND(Calculator!B8=TRUE,Backdoors!BI10=TRUE),VLOOKUP(Calculator!E23,tbSkills!DH3:DJ6,3,FALSE),0),0)))/100)),1),1)</f>
        <v>1</v>
      </c>
      <c r="BE101" s="87">
        <f t="shared" si="58"/>
        <v>14</v>
      </c>
      <c r="BF101" s="86" t="str">
        <f>IFERROR(IF(VLOOKUP(A101,tbMoveset!A2:B112,2,FALSE)="Sever",Backdoors!AY11/100,IF(VLOOKUP(A101,tbMoveset!A2:B112,2,FALSE)="Blunt",Backdoors!AZ11/100,Backdoors!BA11/100)),"")</f>
        <v/>
      </c>
      <c r="BG101" s="49">
        <f>IFERROR(IF(VLOOKUP(tbMoveset!A101,tbMoveset!A2:H112,8,FALSE)="Other",IF(VLOOKUP(tbMoveset!A101,tbMoveset!A2:I112,9,FALSE)="Fire",Backdoors!BB11,IF(VLOOKUP(tbMoveset!A101,tbMoveset!A2:I112,9,FALSE)="Water",Backdoors!BC11,IF(VLOOKUP(tbMoveset!A101,tbMoveset!A2:I112,9,FALSE)="Thunder",Backdoors!BD11,IF(VLOOKUP(tbMoveset!A101,tbMoveset!A2:I112,9,FALSE)="Ice",Backdoors!BE11,IF(VLOOKUP(tbMoveset!A101,tbMoveset!A2:I112,9,FALSE)="Dragon",Backdoors!BF11,Backdoors!BG11)))))/100,Backdoors!BG11/100),"")</f>
        <v>0</v>
      </c>
      <c r="BH101" s="49">
        <f>IFERROR(IF(VLOOKUP(A101,tbMoveset!A2:J112,10,FALSE)=TRUE,IF((Backdoors!AI12+IF(BF101&gt;=0.45,VLOOKUP(Calculator!E23,tbSkills!DH3:DI6,2,FALSE)+IF(AND(Calculator!B8=TRUE,Backdoors!BI11=TRUE),VLOOKUP(Calculator!E23,tbSkills!DH3:DJ6,3,FALSE),0),0))&gt;=0,1+(Backdoors!AL2*(IF((Backdoors!AI12+IF(BF101&gt;=0.45,VLOOKUP(Calculator!E23,tbSkills!DH3:DI6,2,FALSE)+IF(AND(Calculator!B8=TRUE,Backdoors!BI11=TRUE),VLOOKUP(Calculator!E23,tbSkills!DH3:DJ6,3,FALSE),0),0))&gt;=100,100,(Backdoors!AI12+IF(BF101&gt;=0.45,VLOOKUP(Calculator!E23,tbSkills!DH3:DI6,2,FALSE)+IF(AND(Calculator!B8=TRUE,Backdoors!BI11=TRUE),VLOOKUP(Calculator!E23,tbSkills!DH3:DJ6,3,FALSE),0),0)))/100)),(1-(0.25*((-Backdoors!AI12-IF(BF101&gt;=0.45,VLOOKUP(Calculator!E23,tbSkills!DH3:DI6,2,FALSE)+IF(AND(Calculator!B8=TRUE,Backdoors!BI11=TRUE),VLOOKUP(Calculator!E23,tbSkills!DH3:DJ6,3,FALSE),0),0))/100)))),1),"")</f>
        <v>1</v>
      </c>
      <c r="BI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F101)*BH101)*(VLOOKUP(A101,tbMoveset!A2:C112,3,FALSE)/100)*IF(VLOOKUP(A101,tbMoveset!A2:B112,2,FALSE)="Projectile",Backdoors!N10,Backdoors!N9),0),"")</f>
        <v/>
      </c>
      <c r="BJ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F101&gt;=0.45,VLOOKUP(Calculator!E23,tbSkills!DH3:DI6,2,FALSE)+IF(AND(Calculator!B8=TRUE,Backdoors!BI11=TRUE),VLOOKUP(Calculator!E23,tbSkills!DH3:DJ6,3,FALSE),0),0))&gt;=100,100,(Backdoors!AI12+IF(BF101&gt;=0.45,VLOOKUP(Calculator!E23,tbSkills!DH3:DI6,2,FALSE)+IF(AND(Calculator!B8=TRUE,Backdoors!BI11=TRUE),VLOOKUP(Calculator!E23,tbSkills!DH3:DJ6,3,FALSE),0),0)))/100)),1))*IF(VLOOKUP(A101,tbMoveset!A2:K112,11,FALSE)=TRUE,Backdoors!AC5,1))*BG101,0),"")</f>
        <v>0</v>
      </c>
      <c r="BK101" s="49">
        <f>VLOOKUP(A101,tbMoveset!A2:G112,7,FALSE)*IFERROR(IF(Backdoors!AI12&gt;=0,1+(IF(Calculator!E40&gt;0,VLOOKUP(Calculator!E40,tbSkills!AI3:AJ5,2,FALSE),Backdoors!AL4)*(IF((Backdoors!AI12+IF(BF101&gt;=0.45,VLOOKUP(Calculator!E23,tbSkills!DH3:DI6,2,FALSE)+IF(AND(Calculator!B8=TRUE,Backdoors!BI11=TRUE),VLOOKUP(Calculator!E23,tbSkills!DH3:DJ6,3,FALSE),0),0))&gt;=100,100,(Backdoors!AI12+IF(BF101&gt;=0.45,VLOOKUP(Calculator!E23,tbSkills!DH3:DI6,2,FALSE)+IF(AND(Calculator!B8=TRUE,Backdoors!BI11=TRUE),VLOOKUP(Calculator!E23,tbSkills!DH3:DJ6,3,FALSE),0),0)))/100)),1),1)</f>
        <v>1</v>
      </c>
      <c r="BL101" s="87">
        <f t="shared" si="59"/>
        <v>0</v>
      </c>
      <c r="BM101" s="86" t="str">
        <f>IFERROR(IF(VLOOKUP(A101,tbMoveset!A2:B112,2,FALSE)="Sever",Backdoors!AY12/100,IF(VLOOKUP(A101,tbMoveset!A2:B112,2,FALSE)="Blunt",Backdoors!AZ12/100,Backdoors!BA12/100)),"")</f>
        <v/>
      </c>
      <c r="BN101" s="49">
        <f>IFERROR(IF(VLOOKUP(tbMoveset!A101,tbMoveset!A2:H112,8,FALSE)="Other",IF(VLOOKUP(tbMoveset!A101,tbMoveset!A2:I112,9,FALSE)="Fire",Backdoors!BB12,IF(VLOOKUP(tbMoveset!A101,tbMoveset!A2:I112,9,FALSE)="Water",Backdoors!BC12,IF(VLOOKUP(tbMoveset!A101,tbMoveset!A2:I112,9,FALSE)="Thunder",Backdoors!BD12,IF(VLOOKUP(tbMoveset!A101,tbMoveset!A2:I112,9,FALSE)="Ice",Backdoors!BE12,IF(VLOOKUP(tbMoveset!A101,tbMoveset!A2:I112,9,FALSE)="Dragon",Backdoors!BF12,Backdoors!BG12)))))/100,Backdoors!BG12/100),"")</f>
        <v>0</v>
      </c>
      <c r="BO101" s="49">
        <f>IFERROR(IF(VLOOKUP(A101,tbMoveset!A2:J112,10,FALSE)=TRUE,IF((Backdoors!AI12+IF(BM101&gt;=0.45,VLOOKUP(Calculator!E23,tbSkills!DH3:DI6,2,FALSE)+IF(AND(Calculator!B8=TRUE,Backdoors!BI12=TRUE),VLOOKUP(Calculator!E23,tbSkills!DH3:DJ6,3,FALSE),0),0))&gt;=0,1+(Backdoors!AL2*(IF((Backdoors!AI12+IF(BM101&gt;=0.45,VLOOKUP(Calculator!E23,tbSkills!DH3:DI6,2,FALSE)+IF(AND(Calculator!B8=TRUE,Backdoors!BI12=TRUE),VLOOKUP(Calculator!E23,tbSkills!DH3:DJ6,3,FALSE),0),0))&gt;=100,100,(Backdoors!AI12+IF(BM101&gt;=0.45,VLOOKUP(Calculator!E23,tbSkills!DH3:DI6,2,FALSE)+IF(AND(Calculator!B8=TRUE,Backdoors!BI12=TRUE),VLOOKUP(Calculator!E23,tbSkills!DH3:DJ6,3,FALSE),0),0)))/100)),(1-(0.25*((-Backdoors!AI12-IF(BM101&gt;=0.45,VLOOKUP(Calculator!E23,tbSkills!DH3:DI6,2,FALSE)+IF(AND(Calculator!B8=TRUE,Backdoors!BI12=TRUE),VLOOKUP(Calculator!E23,tbSkills!DH3:DJ6,3,FALSE),0),0))/100)))),1),"")</f>
        <v>1</v>
      </c>
      <c r="BP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M101)*BO101)*(VLOOKUP(A101,tbMoveset!A2:C112,3,FALSE)/100)*IF(VLOOKUP(A101,tbMoveset!A2:B112,2,FALSE)="Projectile",Backdoors!N10,Backdoors!N9),0),"")</f>
        <v/>
      </c>
      <c r="BQ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M101&gt;=0.45,VLOOKUP(Calculator!E23,tbSkills!DH3:DI6,2,FALSE)+IF(AND(Calculator!B8=TRUE,Backdoors!BI12=TRUE),VLOOKUP(Calculator!E23,tbSkills!DH3:DJ6,3,FALSE),0),0))&gt;=100,100,(Backdoors!AI12+IF(BM101&gt;=0.45,VLOOKUP(Calculator!E23,tbSkills!DH3:DI6,2,FALSE)+IF(AND(Calculator!B8=TRUE,Backdoors!BI12=TRUE),VLOOKUP(Calculator!E23,tbSkills!DH3:DJ6,3,FALSE),0),0)))/100)),1))*IF(VLOOKUP(A101,tbMoveset!A2:K112,11,FALSE)=TRUE,Backdoors!AC5,1))*BN101,0),"")</f>
        <v>0</v>
      </c>
      <c r="BR101" s="49">
        <f>VLOOKUP(A101,tbMoveset!A2:G112,7,FALSE)*IFERROR(IF(Backdoors!AI12&gt;=0,1+(IF(Calculator!E40&gt;0,VLOOKUP(Calculator!E40,tbSkills!AI3:AJ5,2,FALSE),Backdoors!AL4)*(IF((Backdoors!AI12+IF(BM101&gt;=0.45,VLOOKUP(Calculator!E23,tbSkills!DH3:DI6,2,FALSE)+IF(AND(Calculator!B8=TRUE,Backdoors!BI12=TRUE),VLOOKUP(Calculator!E23,tbSkills!DH3:DJ6,3,FALSE),0),0))&gt;=100,100,(Backdoors!AI12+IF(BM101&gt;=0.45,VLOOKUP(Calculator!E23,tbSkills!DH3:DI6,2,FALSE)+IF(AND(Calculator!B8=TRUE,Backdoors!BI12=TRUE),VLOOKUP(Calculator!E23,tbSkills!DH3:DJ6,3,FALSE),0),0)))/100)),1),1)</f>
        <v>1</v>
      </c>
      <c r="BS101" s="87">
        <f t="shared" si="60"/>
        <v>0</v>
      </c>
      <c r="BT101" s="86" t="str">
        <f>IFERROR(IF(VLOOKUP(A101,tbMoveset!A2:B112,2,FALSE)="Sever",Backdoors!AY13/100,IF(VLOOKUP(A101,tbMoveset!A2:B112,2,FALSE)="Blunt",Backdoors!AZ13/100,Backdoors!BA13/100)),"")</f>
        <v/>
      </c>
      <c r="BU101" s="49">
        <f>IFERROR(IF(VLOOKUP(tbMoveset!A101,tbMoveset!A2:H112,8,FALSE)="Other",IF(VLOOKUP(tbMoveset!A101,tbMoveset!A2:I112,9,FALSE)="Fire",Backdoors!BB13,IF(VLOOKUP(tbMoveset!A101,tbMoveset!A2:I112,9,FALSE)="Water",Backdoors!BC13,IF(VLOOKUP(tbMoveset!A101,tbMoveset!A2:I112,9,FALSE)="Thunder",Backdoors!BD13,IF(VLOOKUP(tbMoveset!A101,tbMoveset!A2:I112,9,FALSE)="Ice",Backdoors!BE13,IF(VLOOKUP(tbMoveset!A101,tbMoveset!A2:I112,9,FALSE)="Dragon",Backdoors!BF13,Backdoors!BG13)))))/100,Backdoors!BG13/100),"")</f>
        <v>0</v>
      </c>
      <c r="BV101" s="49">
        <f>IFERROR(IF(VLOOKUP(A101,tbMoveset!A2:J112,10,FALSE)=TRUE,IF((Backdoors!AI12+IF(BT101&gt;=0.45,VLOOKUP(Calculator!E23,tbSkills!DH3:DI6,2,FALSE)+IF(AND(Calculator!B8=TRUE,Backdoors!BI13=TRUE),VLOOKUP(Calculator!E23,tbSkills!DH3:DJ6,3,FALSE),0),0))&gt;=0,1+(Backdoors!AL2*(IF((Backdoors!AI12+IF(BT101&gt;=0.45,VLOOKUP(Calculator!E23,tbSkills!DH3:DI6,2,FALSE)+IF(AND(Calculator!B8=TRUE,Backdoors!BI13=TRUE),VLOOKUP(Calculator!E23,tbSkills!DH3:DJ6,3,FALSE),0),0))&gt;=100,100,(Backdoors!AI12+IF(BT101&gt;=0.45,VLOOKUP(Calculator!E23,tbSkills!DH3:DI6,2,FALSE)+IF(AND(Calculator!B8=TRUE,Backdoors!BI13=TRUE),VLOOKUP(Calculator!E23,tbSkills!DH3:DJ6,3,FALSE),0),0)))/100)),(1-(0.25*((-Backdoors!AI12-IF(BT101&gt;=0.45,VLOOKUP(Calculator!E23,tbSkills!DH3:DI6,2,FALSE)+IF(AND(Calculator!B8=TRUE,Backdoors!BI13=TRUE),VLOOKUP(Calculator!E23,tbSkills!DH3:DJ6,3,FALSE),0),0))/100)))),1),"")</f>
        <v>1</v>
      </c>
      <c r="BW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T101)*BV101)*(VLOOKUP(A101,tbMoveset!A2:C112,3,FALSE)/100)*IF(VLOOKUP(A101,tbMoveset!A2:B112,2,FALSE)="Projectile",Backdoors!N10,Backdoors!N9),0),"")</f>
        <v/>
      </c>
      <c r="BX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T101&gt;=0.45,VLOOKUP(Calculator!E23,tbSkills!DH3:DI6,2,FALSE)+IF(AND(Calculator!B8=TRUE,Backdoors!BI13=TRUE),VLOOKUP(Calculator!E23,tbSkills!DH3:DJ6,3,FALSE),0),0))&gt;=100,100,(Backdoors!AI12+IF(BT101&gt;=0.45,VLOOKUP(Calculator!E23,tbSkills!DH3:DI6,2,FALSE)+IF(AND(Calculator!B8=TRUE,Backdoors!BI13=TRUE),VLOOKUP(Calculator!E23,tbSkills!DH3:DJ6,3,FALSE),0),0)))/100)),1))*IF(VLOOKUP(A101,tbMoveset!A2:K112,11,FALSE)=TRUE,Backdoors!AC5,1))*BU101,0),"")</f>
        <v>0</v>
      </c>
      <c r="BY101" s="49">
        <f>VLOOKUP(A101,tbMoveset!A2:G112,7,FALSE)*IFERROR(IF(Backdoors!AI12&gt;=0,1+(IF(Calculator!E40&gt;0,VLOOKUP(Calculator!E40,tbSkills!AI3:AJ5,2,FALSE),Backdoors!AL4)*(IF((Backdoors!AI12+IF(BT101&gt;=0.45,VLOOKUP(Calculator!E23,tbSkills!DH3:DI6,2,FALSE)+IF(AND(Calculator!B8=TRUE,Backdoors!BI13=TRUE),VLOOKUP(Calculator!E23,tbSkills!DH3:DJ6,3,FALSE),0),0))&gt;=100,100,(Backdoors!AI12+IF(BT101&gt;=0.45,VLOOKUP(Calculator!E23,tbSkills!DH3:DI6,2,FALSE)+IF(AND(Calculator!B8=TRUE,Backdoors!BI13=TRUE),VLOOKUP(Calculator!E23,tbSkills!DH3:DJ6,3,FALSE),0),0)))/100)),1),1)</f>
        <v>1</v>
      </c>
      <c r="BZ101" s="87">
        <f t="shared" si="61"/>
        <v>0</v>
      </c>
      <c r="CA101" s="86" t="str">
        <f>IFERROR(IF(VLOOKUP(A101,tbMoveset!A2:B112,2,FALSE)="Sever",Backdoors!AY14/100,IF(VLOOKUP(A101,tbMoveset!A2:B112,2,FALSE)="Blunt",Backdoors!AZ14/100,Backdoors!BA14/100)),"")</f>
        <v/>
      </c>
      <c r="CB101" s="49">
        <f>IFERROR(IF(VLOOKUP(tbMoveset!A101,tbMoveset!A2:H112,8,FALSE)="Other",IF(VLOOKUP(tbMoveset!A101,tbMoveset!A2:I112,9,FALSE)="Fire",Backdoors!BB14,IF(VLOOKUP(tbMoveset!A101,tbMoveset!A2:I112,9,FALSE)="Water",Backdoors!BC14,IF(VLOOKUP(tbMoveset!A101,tbMoveset!A2:I112,9,FALSE)="Thunder",Backdoors!BD14,IF(VLOOKUP(tbMoveset!A101,tbMoveset!A2:I112,9,FALSE)="Ice",Backdoors!BE14,IF(VLOOKUP(tbMoveset!A101,tbMoveset!A2:I112,9,FALSE)="Dragon",Backdoors!BF14,Backdoors!BG14)))))/100,Backdoors!BG14/100),"")</f>
        <v>0</v>
      </c>
      <c r="CC101" s="49">
        <f>IFERROR(IF(VLOOKUP(A101,tbMoveset!A2:J112,10,FALSE)=TRUE,IF((Backdoors!AI12+IF(CA101&gt;=0.45,VLOOKUP(Calculator!E23,tbSkills!DH3:DI6,2,FALSE)+IF(AND(Calculator!B8=TRUE,Backdoors!BI14=TRUE),VLOOKUP(Calculator!E23,tbSkills!DH3:DJ6,3,FALSE),0),0))&gt;=0,1+(Backdoors!AL2*(IF((Backdoors!AI12+IF(CA101&gt;=0.45,VLOOKUP(Calculator!E23,tbSkills!DH3:DI6,2,FALSE)+IF(AND(Calculator!B8=TRUE,Backdoors!BI14=TRUE),VLOOKUP(Calculator!E23,tbSkills!DH3:DJ6,3,FALSE),0),0))&gt;=100,100,(Backdoors!AI12+IF(CA101&gt;=0.45,VLOOKUP(Calculator!E23,tbSkills!DH3:DI6,2,FALSE)+IF(AND(Calculator!B8=TRUE,Backdoors!BI14=TRUE),VLOOKUP(Calculator!E23,tbSkills!DH3:DJ6,3,FALSE),0),0)))/100)),(1-(0.25*((-Backdoors!AI12-IF(CA101&gt;=0.45,VLOOKUP(Calculator!E23,tbSkills!DH3:DI6,2,FALSE)+IF(AND(Calculator!B8=TRUE,Backdoors!BI14=TRUE),VLOOKUP(Calculator!E23,tbSkills!DH3:DJ6,3,FALSE),0),0))/100)))),1),"")</f>
        <v>1</v>
      </c>
      <c r="CD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A101)*CC101)*(VLOOKUP(A101,tbMoveset!A2:C112,3,FALSE)/100)*IF(VLOOKUP(A101,tbMoveset!A2:B112,2,FALSE)="Projectile",Backdoors!N10,Backdoors!N9),0),"")</f>
        <v/>
      </c>
      <c r="CE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A101&gt;=0.45,VLOOKUP(Calculator!E23,tbSkills!DH3:DI6,2,FALSE)+IF(AND(Calculator!B8=TRUE,Backdoors!BI14=TRUE),VLOOKUP(Calculator!E23,tbSkills!DH3:DJ6,3,FALSE),0),0))&gt;=100,100,(Backdoors!AI12+IF(CA101&gt;=0.45,VLOOKUP(Calculator!E23,tbSkills!DH3:DI6,2,FALSE)+IF(AND(Calculator!B8=TRUE,Backdoors!BI14=TRUE),VLOOKUP(Calculator!E23,tbSkills!DH3:DJ6,3,FALSE),0),0)))/100)),1))*IF(VLOOKUP(A101,tbMoveset!A2:K112,11,FALSE)=TRUE,Backdoors!AC5,1))*CB101,0),"")</f>
        <v>0</v>
      </c>
      <c r="CF101" s="49">
        <f>VLOOKUP(A101,tbMoveset!A2:G112,7,FALSE)*IFERROR(IF(Backdoors!AI12&gt;=0,1+(IF(Calculator!E40&gt;0,VLOOKUP(Calculator!E40,tbSkills!AI3:AJ5,2,FALSE),Backdoors!AL4)*(IF((Backdoors!AI12+IF(CA101&gt;=0.45,VLOOKUP(Calculator!E23,tbSkills!DH3:DI6,2,FALSE)+IF(AND(Calculator!B8=TRUE,Backdoors!BI14=TRUE),VLOOKUP(Calculator!E23,tbSkills!DH3:DJ6,3,FALSE),0),0))&gt;=100,100,(Backdoors!AI12+IF(CA101&gt;=0.45,VLOOKUP(Calculator!E23,tbSkills!DH3:DI6,2,FALSE)+IF(AND(Calculator!B8=TRUE,Backdoors!BI14=TRUE),VLOOKUP(Calculator!E23,tbSkills!DH3:DJ6,3,FALSE),0),0)))/100)),1),1)</f>
        <v>1</v>
      </c>
      <c r="CG101" s="87">
        <f t="shared" si="62"/>
        <v>0</v>
      </c>
      <c r="CH101" s="86" t="str">
        <f>IFERROR(IF(VLOOKUP(A101,tbMoveset!A2:B112,2,FALSE)="Sever",Backdoors!AY15/100,IF(VLOOKUP(A101,tbMoveset!A2:B112,2,FALSE)="Blunt",Backdoors!AZ15/100,Backdoors!BA15/100)),"")</f>
        <v/>
      </c>
      <c r="CI101" s="49">
        <f>IFERROR(IF(VLOOKUP(tbMoveset!A101,tbMoveset!A2:H112,8,FALSE)="Other",IF(VLOOKUP(tbMoveset!A101,tbMoveset!A2:I112,9,FALSE)="Fire",Backdoors!BB15,IF(VLOOKUP(tbMoveset!A101,tbMoveset!A2:I112,9,FALSE)="Water",Backdoors!BC15,IF(VLOOKUP(tbMoveset!A101,tbMoveset!A2:I112,9,FALSE)="Thunder",Backdoors!BD15,IF(VLOOKUP(tbMoveset!A101,tbMoveset!A2:I112,9,FALSE)="Ice",Backdoors!BE15,IF(VLOOKUP(tbMoveset!A101,tbMoveset!A2:I112,9,FALSE)="Dragon",Backdoors!BF15,Backdoors!BG15)))))/100,Backdoors!BG15/100),"")</f>
        <v>0</v>
      </c>
      <c r="CJ101" s="49">
        <f>IFERROR(IF(VLOOKUP(A101,tbMoveset!A2:J112,10,FALSE)=TRUE,IF((Backdoors!AI12+IF(CH101&gt;=0.45,VLOOKUP(Calculator!E23,tbSkills!DH3:DI6,2,FALSE)+IF(AND(Calculator!B8=TRUE,Backdoors!BI15=TRUE),VLOOKUP(Calculator!E23,tbSkills!DH3:DJ6,3,FALSE),0),0))&gt;=0,1+(Backdoors!AL2*(IF((Backdoors!AI12+IF(CH101&gt;=0.45,VLOOKUP(Calculator!E23,tbSkills!DH3:DI6,2,FALSE)+IF(AND(Calculator!B8=TRUE,Backdoors!BI15=TRUE),VLOOKUP(Calculator!E23,tbSkills!DH3:DJ6,3,FALSE),0),0))&gt;=100,100,(Backdoors!AI12+IF(CH101&gt;=0.45,VLOOKUP(Calculator!E23,tbSkills!DH3:DI6,2,FALSE)+IF(AND(Calculator!B8=TRUE,Backdoors!BI15=TRUE),VLOOKUP(Calculator!E23,tbSkills!DH3:DJ6,3,FALSE),0),0)))/100)),(1-(0.25*((-Backdoors!AI12-IF(CH101&gt;=0.45,VLOOKUP(Calculator!E23,tbSkills!DH3:DI6,2,FALSE)+IF(AND(Calculator!B8=TRUE,Backdoors!BI15=TRUE),VLOOKUP(Calculator!E23,tbSkills!DH3:DJ6,3,FALSE),0),0))/100)))),1),"")</f>
        <v>1</v>
      </c>
      <c r="CK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H101)*CJ101)*(VLOOKUP(A101,tbMoveset!A2:C112,3,FALSE)/100)*IF(VLOOKUP(A101,tbMoveset!A2:B112,2,FALSE)="Projectile",Backdoors!N10,Backdoors!N9),0),"")</f>
        <v/>
      </c>
      <c r="CL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H101&gt;=0.45,VLOOKUP(Calculator!E23,tbSkills!DH3:DI6,2,FALSE)+IF(AND(Calculator!B8=TRUE,Backdoors!BI15=TRUE),VLOOKUP(Calculator!E23,tbSkills!DH3:DJ6,3,FALSE),0),0))&gt;=100,100,(Backdoors!AI12+IF(CH101&gt;=0.45,VLOOKUP(Calculator!E23,tbSkills!DH3:DI6,2,FALSE)+IF(AND(Calculator!B8=TRUE,Backdoors!BI15=TRUE),VLOOKUP(Calculator!E23,tbSkills!DH3:DJ6,3,FALSE),0),0)))/100)),1))*IF(VLOOKUP(A101,tbMoveset!A2:K112,11,FALSE)=TRUE,Backdoors!AC5,1))*CI101,0),"")</f>
        <v>0</v>
      </c>
      <c r="CM101" s="49">
        <f>VLOOKUP(A101,tbMoveset!A2:G112,7,FALSE)*IFERROR(IF(Backdoors!AI12&gt;=0,1+(IF(Calculator!E40&gt;0,VLOOKUP(Calculator!E40,tbSkills!AI3:AJ5,2,FALSE),Backdoors!AL4)*(IF((Backdoors!AI12+IF(CH101&gt;=0.45,VLOOKUP(Calculator!E23,tbSkills!DH3:DI6,2,FALSE)+IF(AND(Calculator!B8=TRUE,Backdoors!BI15=TRUE),VLOOKUP(Calculator!E23,tbSkills!DH3:DJ6,3,FALSE),0),0))&gt;=100,100,(Backdoors!AI12+IF(CH101&gt;=0.45,VLOOKUP(Calculator!E23,tbSkills!DH3:DI6,2,FALSE)+IF(AND(Calculator!B8=TRUE,Backdoors!BI15=TRUE),VLOOKUP(Calculator!E23,tbSkills!DH3:DJ6,3,FALSE),0),0)))/100)),1),1)</f>
        <v>1</v>
      </c>
      <c r="CN101" s="87">
        <f t="shared" si="63"/>
        <v>0</v>
      </c>
      <c r="CO101" s="86" t="str">
        <f>IFERROR(IF(VLOOKUP(A101,tbMoveset!A2:B112,2,FALSE)="Sever",Backdoors!AY16/100,IF(VLOOKUP(A101,tbMoveset!A2:B112,2,FALSE)="Blunt",Backdoors!AZ16/100,Backdoors!BA16/100)),"")</f>
        <v/>
      </c>
      <c r="CP101" s="49">
        <f>IFERROR(IF(VLOOKUP(tbMoveset!A101,tbMoveset!A2:H112,8,FALSE)="Other",IF(VLOOKUP(tbMoveset!A101,tbMoveset!A2:I112,9,FALSE)="Fire",Backdoors!BB16,IF(VLOOKUP(tbMoveset!A101,tbMoveset!A2:I112,9,FALSE)="Water",Backdoors!BC16,IF(VLOOKUP(tbMoveset!A101,tbMoveset!A2:I112,9,FALSE)="Thunder",Backdoors!BD16,IF(VLOOKUP(tbMoveset!A101,tbMoveset!A2:I112,9,FALSE)="Ice",Backdoors!BE16,IF(VLOOKUP(tbMoveset!A101,tbMoveset!A2:I112,9,FALSE)="Dragon",Backdoors!BF16,Backdoors!BG16)))))/100,Backdoors!BG16/100),"")</f>
        <v>0</v>
      </c>
      <c r="CQ101" s="49">
        <f>IFERROR(IF(VLOOKUP(A101,tbMoveset!A2:J112,10,FALSE)=TRUE,IF((Backdoors!AI12+IF(CO101&gt;=0.45,VLOOKUP(Calculator!E23,tbSkills!DH3:DI6,2,FALSE)+IF(AND(Calculator!B8=TRUE,Backdoors!BI16=TRUE),VLOOKUP(Calculator!E23,tbSkills!DH3:DJ6,3,FALSE),0),0))&gt;=0,1+(Backdoors!AL2*(IF((Backdoors!AI12+IF(CO101&gt;=0.45,VLOOKUP(Calculator!E23,tbSkills!DH3:DI6,2,FALSE)+IF(AND(Calculator!B8=TRUE,Backdoors!BI16=TRUE),VLOOKUP(Calculator!E23,tbSkills!DH3:DJ6,3,FALSE),0),0))&gt;=100,100,(Backdoors!AI12+IF(CO101&gt;=0.45,VLOOKUP(Calculator!E23,tbSkills!DH3:DI6,2,FALSE)+IF(AND(Calculator!B8=TRUE,Backdoors!BI16=TRUE),VLOOKUP(Calculator!E23,tbSkills!DH3:DJ6,3,FALSE),0),0)))/100)),(1-(0.25*((-Backdoors!AI12-IF(CO101&gt;=0.45,VLOOKUP(Calculator!E23,tbSkills!DH3:DI6,2,FALSE)+IF(AND(Calculator!B8=TRUE,Backdoors!BI16=TRUE),VLOOKUP(Calculator!E23,tbSkills!DH3:DJ6,3,FALSE),0),0))/100)))),1),"")</f>
        <v>1</v>
      </c>
      <c r="CR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O101)*CQ101)*(VLOOKUP(A101,tbMoveset!A2:C112,3,FALSE)/100)*IF(VLOOKUP(A101,tbMoveset!A2:B112,2,FALSE)="Projectile",Backdoors!N10,Backdoors!N9),0),"")</f>
        <v/>
      </c>
      <c r="CS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O101&gt;=0.45,VLOOKUP(Calculator!E23,tbSkills!DH3:DI6,2,FALSE)+IF(AND(Calculator!B8=TRUE,Backdoors!BI16=TRUE),VLOOKUP(Calculator!E23,tbSkills!DH3:DJ6,3,FALSE),0),0))&gt;=100,100,(Backdoors!AI12+IF(CO101&gt;=0.45,VLOOKUP(Calculator!E23,tbSkills!DH3:DI6,2,FALSE)+IF(AND(Calculator!B8=TRUE,Backdoors!BI16=TRUE),VLOOKUP(Calculator!E23,tbSkills!DH3:DJ6,3,FALSE),0),0)))/100)),1))*IF(VLOOKUP(A101,tbMoveset!A2:K112,11,FALSE)=TRUE,Backdoors!AC5,1))*CP101,0),"")</f>
        <v>0</v>
      </c>
      <c r="CT101" s="49">
        <f>VLOOKUP(A101,tbMoveset!A2:G112,7,FALSE)*IFERROR(IF(Backdoors!AI12&gt;=0,1+(IF(Calculator!E40&gt;0,VLOOKUP(Calculator!E40,tbSkills!AI3:AJ5,2,FALSE),Backdoors!AL4)*(IF((Backdoors!AI12+IF(CO101&gt;=0.45,VLOOKUP(Calculator!E23,tbSkills!DH3:DI6,2,FALSE)+IF(AND(Calculator!B8=TRUE,Backdoors!BI16=TRUE),VLOOKUP(Calculator!E23,tbSkills!DH3:DJ6,3,FALSE),0),0))&gt;=100,100,(Backdoors!AI12+IF(CO101&gt;=0.45,VLOOKUP(Calculator!E23,tbSkills!DH3:DI6,2,FALSE)+IF(AND(Calculator!B8=TRUE,Backdoors!BI16=TRUE),VLOOKUP(Calculator!E23,tbSkills!DH3:DJ6,3,FALSE),0),0)))/100)),1),1)</f>
        <v>1</v>
      </c>
      <c r="CU101" s="87">
        <f t="shared" si="64"/>
        <v>0</v>
      </c>
      <c r="CV101" s="86" t="str">
        <f>IFERROR(IF(VLOOKUP(A101,tbMoveset!A2:B112,2,FALSE)="Sever",Backdoors!AY17/100,IF(VLOOKUP(A101,tbMoveset!A2:B112,2,FALSE)="Blunt",Backdoors!AZ17/100,Backdoors!BA17/100)),"")</f>
        <v/>
      </c>
      <c r="CW101" s="49">
        <f>IFERROR(IF(VLOOKUP(tbMoveset!A101,tbMoveset!A2:H112,8,FALSE)="Other",IF(VLOOKUP(tbMoveset!A101,tbMoveset!A2:I112,9,FALSE)="Fire",Backdoors!BB17,IF(VLOOKUP(tbMoveset!A101,tbMoveset!A2:I112,9,FALSE)="Water",Backdoors!BC17,IF(VLOOKUP(tbMoveset!A101,tbMoveset!A2:I112,9,FALSE)="Thunder",Backdoors!BD17,IF(VLOOKUP(tbMoveset!A101,tbMoveset!A2:I112,9,FALSE)="Ice",Backdoors!BE17,IF(VLOOKUP(tbMoveset!A101,tbMoveset!A2:I112,9,FALSE)="Dragon",Backdoors!BF17,Backdoors!BG17)))))/100,Backdoors!BG17/100),"")</f>
        <v>0</v>
      </c>
      <c r="CX101" s="49">
        <f>IFERROR(IF(VLOOKUP(A101,tbMoveset!A2:J112,10,FALSE)=TRUE,IF((Backdoors!AI12+IF(CV101&gt;=0.45,VLOOKUP(Calculator!E23,tbSkills!DH3:DI6,2,FALSE)+IF(AND(Calculator!B8=TRUE,Backdoors!BI17=TRUE),VLOOKUP(Calculator!E23,tbSkills!DH3:DJ6,3,FALSE),0),0))&gt;=0,1+(Backdoors!AL2*(IF((Backdoors!AI12+IF(CV101&gt;=0.45,VLOOKUP(Calculator!E23,tbSkills!DH3:DI6,2,FALSE)+IF(AND(Calculator!B8=TRUE,Backdoors!BI17=TRUE),VLOOKUP(Calculator!E23,tbSkills!DH3:DJ6,3,FALSE),0),0))&gt;=100,100,(Backdoors!AI12+IF(CV101&gt;=0.45,VLOOKUP(Calculator!E23,tbSkills!DH3:DI6,2,FALSE)+IF(AND(Calculator!B8=TRUE,Backdoors!BI17=TRUE),VLOOKUP(Calculator!E23,tbSkills!DH3:DJ6,3,FALSE),0),0)))/100)),(1-(0.25*((-Backdoors!AI12-IF(CV101&gt;=0.45,VLOOKUP(Calculator!E23,tbSkills!DH3:DI6,2,FALSE)+IF(AND(Calculator!B8=TRUE,Backdoors!BI17=TRUE),VLOOKUP(Calculator!E23,tbSkills!DH3:DJ6,3,FALSE),0),0))/100)))),1),"")</f>
        <v>1</v>
      </c>
      <c r="CY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V101)*CX101)*(VLOOKUP(A101,tbMoveset!A2:C112,3,FALSE)/100)*IF(VLOOKUP(A101,tbMoveset!A2:B112,2,FALSE)="Projectile",Backdoors!N10,Backdoors!N9),0),"")</f>
        <v/>
      </c>
      <c r="CZ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V101&gt;=0.45,VLOOKUP(Calculator!E23,tbSkills!DH3:DI6,2,FALSE)+IF(AND(Calculator!B8=TRUE,Backdoors!BI17=TRUE),VLOOKUP(Calculator!E23,tbSkills!DH3:DJ6,3,FALSE),0),0))&gt;=100,100,(Backdoors!AI12+IF(CV101&gt;=0.45,VLOOKUP(Calculator!E23,tbSkills!DH3:DI6,2,FALSE)+IF(AND(Calculator!B8=TRUE,Backdoors!BI17=TRUE),VLOOKUP(Calculator!E23,tbSkills!DH3:DJ6,3,FALSE),0),0)))/100)),1))*IF(VLOOKUP(A101,tbMoveset!A2:K112,11,FALSE)=TRUE,Backdoors!AC5,1))*CW101,0),"")</f>
        <v>0</v>
      </c>
      <c r="DA101" s="49">
        <f>VLOOKUP(A101,tbMoveset!A2:G112,7,FALSE)*IFERROR(IF(Backdoors!AI12&gt;=0,1+(IF(Calculator!E40&gt;0,VLOOKUP(Calculator!E40,tbSkills!AI3:AJ5,2,FALSE),Backdoors!AL4)*(IF((Backdoors!AI12+IF(CV101&gt;=0.45,VLOOKUP(Calculator!E23,tbSkills!DH3:DI6,2,FALSE)+IF(AND(Calculator!B8=TRUE,Backdoors!BI17=TRUE),VLOOKUP(Calculator!E23,tbSkills!DH3:DJ6,3,FALSE),0),0))&gt;=100,100,(Backdoors!AI12+IF(CV101&gt;=0.45,VLOOKUP(Calculator!E23,tbSkills!DH3:DI6,2,FALSE)+IF(AND(Calculator!B8=TRUE,Backdoors!BI17=TRUE),VLOOKUP(Calculator!E23,tbSkills!DH3:DJ6,3,FALSE),0),0)))/100)),1),1)</f>
        <v>1</v>
      </c>
      <c r="DB101" s="87">
        <f t="shared" si="65"/>
        <v>0</v>
      </c>
      <c r="DC101" s="86" t="str">
        <f>IFERROR(IF(VLOOKUP(A101,tbMoveset!A2:B112,2,FALSE)="Sever",Backdoors!AY18/100,IF(VLOOKUP(A101,tbMoveset!A2:B112,2,FALSE)="Blunt",Backdoors!AZ18/100,Backdoors!BA18/100)),"")</f>
        <v/>
      </c>
      <c r="DD101" s="49">
        <f>IFERROR(IF(VLOOKUP(tbMoveset!A101,tbMoveset!A2:H112,8,FALSE)="Other",IF(VLOOKUP(tbMoveset!A101,tbMoveset!A2:I112,9,FALSE)="Fire",Backdoors!BB18,IF(VLOOKUP(tbMoveset!A101,tbMoveset!A2:I112,9,FALSE)="Water",Backdoors!BC18,IF(VLOOKUP(tbMoveset!A101,tbMoveset!A2:I112,9,FALSE)="Thunder",Backdoors!BD18,IF(VLOOKUP(tbMoveset!A101,tbMoveset!A2:I112,9,FALSE)="Ice",Backdoors!BE18,IF(VLOOKUP(tbMoveset!A101,tbMoveset!A2:I112,9,FALSE)="Dragon",Backdoors!BF18,Backdoors!BG18)))))/100,Backdoors!BG18/100),"")</f>
        <v>0</v>
      </c>
      <c r="DE101" s="49">
        <f>IFERROR(IF(VLOOKUP(A101,tbMoveset!A2:J112,10,FALSE)=TRUE,IF((Backdoors!AI12+IF(DC101&gt;=0.45,VLOOKUP(Calculator!E23,tbSkills!DH3:DI6,2,FALSE)+IF(AND(Calculator!B8=TRUE,Backdoors!BI18=TRUE),VLOOKUP(Calculator!E23,tbSkills!DH3:DJ6,3,FALSE),0),0))&gt;=0,1+(Backdoors!AL2*(IF((Backdoors!AI12+IF(DC101&gt;=0.45,VLOOKUP(Calculator!E23,tbSkills!DH3:DI6,2,FALSE)+IF(AND(Calculator!B8=TRUE,Backdoors!BI18=TRUE),VLOOKUP(Calculator!E23,tbSkills!DH3:DJ6,3,FALSE),0),0))&gt;=100,100,(Backdoors!AI12+IF(DC101&gt;=0.45,VLOOKUP(Calculator!E23,tbSkills!DH3:DI6,2,FALSE)+IF(AND(Calculator!B8=TRUE,Backdoors!BI18=TRUE),VLOOKUP(Calculator!E23,tbSkills!DH3:DJ6,3,FALSE),0),0)))/100)),(1-(0.25*((-Backdoors!AI12-IF(DC101&gt;=0.45,VLOOKUP(Calculator!E23,tbSkills!DH3:DI6,2,FALSE)+IF(AND(Calculator!B8=TRUE,Backdoors!BI18=TRUE),VLOOKUP(Calculator!E23,tbSkills!DH3:DJ6,3,FALSE),0),0))/100)))),1),"")</f>
        <v>1</v>
      </c>
      <c r="DF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C101)*DE101)*(VLOOKUP(A101,tbMoveset!A2:C112,3,FALSE)/100)*IF(VLOOKUP(A101,tbMoveset!A2:B112,2,FALSE)="Projectile",Backdoors!N10,Backdoors!N9),0),"")</f>
        <v/>
      </c>
      <c r="DG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C101&gt;=0.45,VLOOKUP(Calculator!E23,tbSkills!DH3:DI6,2,FALSE)+IF(AND(Calculator!B8=TRUE,Backdoors!BI18=TRUE),VLOOKUP(Calculator!E23,tbSkills!DH3:DJ6,3,FALSE),0),0))&gt;=100,100,(Backdoors!AI12+IF(DC101&gt;=0.45,VLOOKUP(Calculator!E23,tbSkills!DH3:DI6,2,FALSE)+IF(AND(Calculator!B8=TRUE,Backdoors!BI18=TRUE),VLOOKUP(Calculator!E23,tbSkills!DH3:DJ6,3,FALSE),0),0)))/100)),1))*IF(VLOOKUP(A101,tbMoveset!A2:K112,11,FALSE)=TRUE,Backdoors!AC5,1))*DD101,0),"")</f>
        <v>0</v>
      </c>
      <c r="DH101" s="49">
        <f>VLOOKUP(A101,tbMoveset!A2:G112,7,FALSE)*IFERROR(IF(Backdoors!AI12&gt;=0,1+(IF(Calculator!E40&gt;0,VLOOKUP(Calculator!E40,tbSkills!AI3:AJ5,2,FALSE),Backdoors!AL4)*(IF((Backdoors!AI12+IF(DC101&gt;=0.45,VLOOKUP(Calculator!E23,tbSkills!DH3:DI6,2,FALSE)+IF(AND(Calculator!B8=TRUE,Backdoors!BI18=TRUE),VLOOKUP(Calculator!E23,tbSkills!DH3:DJ6,3,FALSE),0),0))&gt;=100,100,(Backdoors!AI12+IF(DC101&gt;=0.45,VLOOKUP(Calculator!E23,tbSkills!DH3:DI6,2,FALSE)+IF(AND(Calculator!B8=TRUE,Backdoors!BI18=TRUE),VLOOKUP(Calculator!E23,tbSkills!DH3:DJ6,3,FALSE),0),0)))/100)),1),1)</f>
        <v>1</v>
      </c>
      <c r="DI101" s="87">
        <f t="shared" si="66"/>
        <v>0</v>
      </c>
      <c r="DJ101" s="86" t="str">
        <f>IFERROR(IF(VLOOKUP(A101,tbMoveset!A2:B112,2,FALSE)="Sever",Backdoors!AY19/100,IF(VLOOKUP(A101,tbMoveset!A2:B112,2,FALSE)="Blunt",Backdoors!AZ19/100,Backdoors!BA19/100)),"")</f>
        <v/>
      </c>
      <c r="DK101" s="49">
        <f>IFERROR(IF(VLOOKUP(tbMoveset!A101,tbMoveset!A2:H112,8,FALSE)="Other",IF(VLOOKUP(tbMoveset!A101,tbMoveset!A2:I112,9,FALSE)="Fire",Backdoors!BB19,IF(VLOOKUP(tbMoveset!A101,tbMoveset!A2:I112,9,FALSE)="Water",Backdoors!BC19,IF(VLOOKUP(tbMoveset!A101,tbMoveset!A2:I112,9,FALSE)="Thunder",Backdoors!BD19,IF(VLOOKUP(tbMoveset!A101,tbMoveset!A2:I112,9,FALSE)="Ice",Backdoors!BE19,IF(VLOOKUP(tbMoveset!A101,tbMoveset!A2:I112,9,FALSE)="Dragon",Backdoors!BF19,Backdoors!BG19)))))/100,Backdoors!BG19/100),"")</f>
        <v>0</v>
      </c>
      <c r="DL101" s="49">
        <f>IFERROR(IF(VLOOKUP(A101,tbMoveset!A2:J112,10,FALSE)=TRUE,IF((Backdoors!AI12+IF(DJ101&gt;=0.45,VLOOKUP(Calculator!E23,tbSkills!DH3:DI6,2,FALSE)+IF(AND(Calculator!B8=TRUE,Backdoors!BI19=TRUE),VLOOKUP(Calculator!E23,tbSkills!DH3:DJ6,3,FALSE),0),0))&gt;=0,1+(Backdoors!AL2*(IF((Backdoors!AI12+IF(DJ101&gt;=0.45,VLOOKUP(Calculator!E23,tbSkills!DH3:DI6,2,FALSE)+IF(AND(Calculator!B8=TRUE,Backdoors!BI19=TRUE),VLOOKUP(Calculator!E23,tbSkills!DH3:DJ6,3,FALSE),0),0))&gt;=100,100,(Backdoors!AI12+IF(DJ101&gt;=0.45,VLOOKUP(Calculator!E23,tbSkills!DH3:DI6,2,FALSE)+IF(AND(Calculator!B8=TRUE,Backdoors!BI19=TRUE),VLOOKUP(Calculator!E23,tbSkills!DH3:DJ6,3,FALSE),0),0)))/100)),(1-(0.25*((-Backdoors!AI12-IF(DJ101&gt;=0.45,VLOOKUP(Calculator!E23,tbSkills!DH3:DI6,2,FALSE)+IF(AND(Calculator!B8=TRUE,Backdoors!BI19=TRUE),VLOOKUP(Calculator!E23,tbSkills!DH3:DJ6,3,FALSE),0),0))/100)))),1),"")</f>
        <v>1</v>
      </c>
      <c r="DM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J101)*DL101)*(VLOOKUP(A101,tbMoveset!A2:C112,3,FALSE)/100)*IF(VLOOKUP(A101,tbMoveset!A2:B112,2,FALSE)="Projectile",Backdoors!N10,Backdoors!N9),0),"")</f>
        <v/>
      </c>
      <c r="DN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J101&gt;=0.45,VLOOKUP(Calculator!E23,tbSkills!DH3:DI6,2,FALSE)+IF(AND(Calculator!B8=TRUE,Backdoors!BI19=TRUE),VLOOKUP(Calculator!E23,tbSkills!DH3:DJ6,3,FALSE),0),0))&gt;=100,100,(Backdoors!AI12+IF(DJ101&gt;=0.45,VLOOKUP(Calculator!E23,tbSkills!DH3:DI6,2,FALSE)+IF(AND(Calculator!B8=TRUE,Backdoors!BI19=TRUE),VLOOKUP(Calculator!E23,tbSkills!DH3:DJ6,3,FALSE),0),0)))/100)),1))*IF(VLOOKUP(A101,tbMoveset!A2:K112,11,FALSE)=TRUE,Backdoors!AC5,1))*DK101,0),"")</f>
        <v>0</v>
      </c>
      <c r="DO101" s="49">
        <f>VLOOKUP(A101,tbMoveset!A2:G112,7,FALSE)*IFERROR(IF(Backdoors!AI12&gt;=0,1+(IF(Calculator!E40&gt;0,VLOOKUP(Calculator!E40,tbSkills!AI3:AJ5,2,FALSE),Backdoors!AL4)*(IF((Backdoors!AI12+IF(DJ101&gt;=0.45,VLOOKUP(Calculator!E23,tbSkills!DH3:DI6,2,FALSE)+IF(AND(Calculator!B8=TRUE,Backdoors!BI19=TRUE),VLOOKUP(Calculator!E23,tbSkills!DH3:DJ6,3,FALSE),0),0))&gt;=100,100,(Backdoors!AI12+IF(DJ101&gt;=0.45,VLOOKUP(Calculator!E23,tbSkills!DH3:DI6,2,FALSE)+IF(AND(Calculator!B8=TRUE,Backdoors!BI19=TRUE),VLOOKUP(Calculator!E23,tbSkills!DH3:DJ6,3,FALSE),0),0)))/100)),1),1)</f>
        <v>1</v>
      </c>
      <c r="DP101" s="87">
        <f t="shared" si="67"/>
        <v>0</v>
      </c>
      <c r="DQ101" s="86" t="str">
        <f>IFERROR(IF(VLOOKUP(A101,tbMoveset!A2:B112,2,FALSE)="Sever",Backdoors!AY20/100,IF(VLOOKUP(A101,tbMoveset!A2:B112,2,FALSE)="Blunt",Backdoors!AZ20/100,Backdoors!BA20/100)),"")</f>
        <v/>
      </c>
      <c r="DR101" s="49">
        <f>IFERROR(IF(VLOOKUP(tbMoveset!A101,tbMoveset!A2:H112,8,FALSE)="Other",IF(VLOOKUP(tbMoveset!A101,tbMoveset!A2:I112,9,FALSE)="Fire",Backdoors!BB20,IF(VLOOKUP(tbMoveset!A101,tbMoveset!A2:I112,9,FALSE)="Water",Backdoors!BC20,IF(VLOOKUP(tbMoveset!A101,tbMoveset!A2:I112,9,FALSE)="Thunder",Backdoors!BD20,IF(VLOOKUP(tbMoveset!A101,tbMoveset!A2:I112,9,FALSE)="Ice",Backdoors!BE20,IF(VLOOKUP(tbMoveset!A101,tbMoveset!A2:I112,9,FALSE)="Dragon",Backdoors!BF20,Backdoors!BG20)))))/100,Backdoors!BG20/100),"")</f>
        <v>0</v>
      </c>
      <c r="DS101" s="49">
        <f>IFERROR(IF(VLOOKUP(A101,tbMoveset!A2:J112,10,FALSE)=TRUE,IF((Backdoors!AI12+IF(DQ101&gt;=0.45,VLOOKUP(Calculator!E23,tbSkills!DH3:DI6,2,FALSE)+IF(AND(Calculator!B8=TRUE,Backdoors!BI20=TRUE),VLOOKUP(Calculator!E23,tbSkills!DH3:DJ6,3,FALSE),0),0))&gt;=0,1+(Backdoors!AL2*(IF((Backdoors!AI12+IF(DQ101&gt;=0.45,VLOOKUP(Calculator!E23,tbSkills!DH3:DI6,2,FALSE)+IF(AND(Calculator!B8=TRUE,Backdoors!BI20=TRUE),VLOOKUP(Calculator!E23,tbSkills!DH3:DJ6,3,FALSE),0),0))&gt;=100,100,(Backdoors!AI12+IF(DQ101&gt;=0.45,VLOOKUP(Calculator!E23,tbSkills!DH3:DI6,2,FALSE)+IF(AND(Calculator!B8=TRUE,Backdoors!BI20=TRUE),VLOOKUP(Calculator!E23,tbSkills!DH3:DJ6,3,FALSE),0),0)))/100)),(1-(0.25*((-Backdoors!AI12-IF(DQ101&gt;=0.45,VLOOKUP(Calculator!E23,tbSkills!DH3:DI6,2,FALSE)+IF(AND(Calculator!B8=TRUE,Backdoors!BI20=TRUE),VLOOKUP(Calculator!E23,tbSkills!DH3:DJ6,3,FALSE),0),0))/100)))),1),"")</f>
        <v>1</v>
      </c>
      <c r="DT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Q101)*DS101)*(VLOOKUP(A101,tbMoveset!A2:C112,3,FALSE)/100)*IF(VLOOKUP(A101,tbMoveset!A2:B112,2,FALSE)="Projectile",Backdoors!N10,Backdoors!N9),0),"")</f>
        <v/>
      </c>
      <c r="DU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Q101&gt;=0.45,VLOOKUP(Calculator!E23,tbSkills!DH3:DI6,2,FALSE)+IF(AND(Calculator!B8=TRUE,Backdoors!BI20=TRUE),VLOOKUP(Calculator!E23,tbSkills!DH3:DJ6,3,FALSE),0),0))&gt;=100,100,(Backdoors!AI12+IF(DQ101&gt;=0.45,VLOOKUP(Calculator!E23,tbSkills!DH3:DI6,2,FALSE)+IF(AND(Calculator!B8=TRUE,Backdoors!BI20=TRUE),VLOOKUP(Calculator!E23,tbSkills!DH3:DJ6,3,FALSE),0),0)))/100)),1))*IF(VLOOKUP(A101,tbMoveset!A2:K112,11,FALSE)=TRUE,Backdoors!AC5,1))*DR101,0),"")</f>
        <v>0</v>
      </c>
      <c r="DV101" s="49">
        <f>VLOOKUP(A101,tbMoveset!A2:G112,7,FALSE)*IFERROR(IF(Backdoors!AI12&gt;=0,1+(IF(Calculator!E40&gt;0,VLOOKUP(Calculator!E40,tbSkills!AI3:AJ5,2,FALSE),Backdoors!AL4)*(IF((Backdoors!AI12+IF(DQ101&gt;=0.45,VLOOKUP(Calculator!E23,tbSkills!DH3:DI6,2,FALSE)+IF(AND(Calculator!B8=TRUE,Backdoors!BI20=TRUE),VLOOKUP(Calculator!E23,tbSkills!DH3:DJ6,3,FALSE),0),0))&gt;=100,100,(Backdoors!AI12+IF(DQ101&gt;=0.45,VLOOKUP(Calculator!E23,tbSkills!DH3:DI6,2,FALSE)+IF(AND(Calculator!B8=TRUE,Backdoors!BI20=TRUE),VLOOKUP(Calculator!E23,tbSkills!DH3:DJ6,3,FALSE),0),0)))/100)),1),1)</f>
        <v>1</v>
      </c>
      <c r="DW101" s="87">
        <f t="shared" si="68"/>
        <v>0</v>
      </c>
      <c r="DX101" s="86" t="str">
        <f>IFERROR(IF(VLOOKUP(A101,tbMoveset!A2:B112,2,FALSE)="Sever",Backdoors!AY21/100,IF(VLOOKUP(A101,tbMoveset!A2:B112,2,FALSE)="Blunt",Backdoors!AZ21/100,Backdoors!BA21/100)),"")</f>
        <v/>
      </c>
      <c r="DY101" s="49">
        <f>IFERROR(IF(VLOOKUP(tbMoveset!A101,tbMoveset!A2:H112,8,FALSE)="Other",IF(VLOOKUP(tbMoveset!A101,tbMoveset!A2:I112,9,FALSE)="Fire",Backdoors!BB21,IF(VLOOKUP(tbMoveset!A101,tbMoveset!A2:I112,9,FALSE)="Water",Backdoors!BC21,IF(VLOOKUP(tbMoveset!A101,tbMoveset!A2:I112,9,FALSE)="Thunder",Backdoors!BD21,IF(VLOOKUP(tbMoveset!A101,tbMoveset!A2:I112,9,FALSE)="Ice",Backdoors!BE21,IF(VLOOKUP(tbMoveset!A101,tbMoveset!A2:I112,9,FALSE)="Dragon",Backdoors!BF21,Backdoors!BG21)))))/100,Backdoors!BG21/100),"")</f>
        <v>0</v>
      </c>
      <c r="DZ101" s="49">
        <f>IFERROR(IF(VLOOKUP(A101,tbMoveset!A2:J112,10,FALSE)=TRUE,IF((Backdoors!AI12+IF(DX101&gt;=0.45,VLOOKUP(Calculator!E23,tbSkills!DH3:DI6,2,FALSE)+IF(AND(Calculator!B8=TRUE,Backdoors!BI21=TRUE),VLOOKUP(Calculator!E23,tbSkills!DH3:DJ6,3,FALSE),0),0))&gt;=0,1+(Backdoors!AL2*(IF((Backdoors!AI12+IF(DX101&gt;=0.45,VLOOKUP(Calculator!E23,tbSkills!DH3:DI6,2,FALSE)+IF(AND(Calculator!B8=TRUE,Backdoors!BI21=TRUE),VLOOKUP(Calculator!E23,tbSkills!DH3:DJ6,3,FALSE),0),0))&gt;=100,100,(Backdoors!AI12+IF(DX101&gt;=0.45,VLOOKUP(Calculator!E23,tbSkills!DH3:DI6,2,FALSE)+IF(AND(Calculator!B8=TRUE,Backdoors!BI21=TRUE),VLOOKUP(Calculator!E23,tbSkills!DH3:DJ6,3,FALSE),0),0)))/100)),(1-(0.25*((-Backdoors!AI12-IF(DX101&gt;=0.45,VLOOKUP(Calculator!E23,tbSkills!DH3:DI6,2,FALSE)+IF(AND(Calculator!B8=TRUE,Backdoors!BI21=TRUE),VLOOKUP(Calculator!E23,tbSkills!DH3:DJ6,3,FALSE),0),0))/100)))),1),"")</f>
        <v>1</v>
      </c>
      <c r="EA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X101)*DZ101)*(VLOOKUP(A101,tbMoveset!A2:C112,3,FALSE)/100)*IF(VLOOKUP(A101,tbMoveset!A2:B112,2,FALSE)="Projectile",Backdoors!N10,Backdoors!N9),0),"")</f>
        <v/>
      </c>
      <c r="EB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X101&gt;=0.45,VLOOKUP(Calculator!E23,tbSkills!DH3:DI6,2,FALSE)+IF(AND(Calculator!B8=TRUE,Backdoors!BI21=TRUE),VLOOKUP(Calculator!E23,tbSkills!DH3:DJ6,3,FALSE),0),0))&gt;=100,100,(Backdoors!AI12+IF(DX101&gt;=0.45,VLOOKUP(Calculator!E23,tbSkills!DH3:DI6,2,FALSE)+IF(AND(Calculator!B8=TRUE,Backdoors!BI21=TRUE),VLOOKUP(Calculator!E23,tbSkills!DH3:DJ6,3,FALSE),0),0)))/100)),1))*IF(VLOOKUP(A101,tbMoveset!A2:K112,11,FALSE)=TRUE,Backdoors!AC5,1))*DY101,0),"")</f>
        <v>0</v>
      </c>
      <c r="EC101" s="49">
        <f>VLOOKUP(A101,tbMoveset!A2:G112,7,FALSE)*IFERROR(IF(Backdoors!AI12&gt;=0,1+(IF(Calculator!E40&gt;0,VLOOKUP(Calculator!E40,tbSkills!AI3:AJ5,2,FALSE),Backdoors!AL4)*(IF((Backdoors!AI12+IF(DX101&gt;=0.45,VLOOKUP(Calculator!E23,tbSkills!DH3:DI6,2,FALSE)+IF(AND(Calculator!B8=TRUE,Backdoors!BI21=TRUE),VLOOKUP(Calculator!E23,tbSkills!DH3:DJ6,3,FALSE),0),0))&gt;=100,100,(Backdoors!AI12+IF(DX101&gt;=0.45,VLOOKUP(Calculator!E23,tbSkills!DH3:DI6,2,FALSE)+IF(AND(Calculator!B8=TRUE,Backdoors!BI21=TRUE),VLOOKUP(Calculator!E23,tbSkills!DH3:DJ6,3,FALSE),0),0)))/100)),1),1)</f>
        <v>1</v>
      </c>
      <c r="ED101" s="87">
        <f t="shared" si="69"/>
        <v>0</v>
      </c>
      <c r="EE101" s="86" t="str">
        <f>IFERROR(IF(VLOOKUP(A101,tbMoveset!A2:B112,2,FALSE)="Sever",Backdoors!AY22/100,IF(VLOOKUP(A101,tbMoveset!A2:B112,2,FALSE)="Blunt",Backdoors!AZ22/100,Backdoors!BA22/100)),"")</f>
        <v/>
      </c>
      <c r="EF101" s="49">
        <f>IFERROR(IF(VLOOKUP(tbMoveset!A101,tbMoveset!A2:H112,8,FALSE)="Other",IF(VLOOKUP(tbMoveset!A101,tbMoveset!A2:I112,9,FALSE)="Fire",Backdoors!BB22,IF(VLOOKUP(tbMoveset!A101,tbMoveset!A2:I112,9,FALSE)="Water",Backdoors!BC22,IF(VLOOKUP(tbMoveset!A101,tbMoveset!A2:I112,9,FALSE)="Thunder",Backdoors!BD22,IF(VLOOKUP(tbMoveset!A101,tbMoveset!A2:I112,9,FALSE)="Ice",Backdoors!BE22,IF(VLOOKUP(tbMoveset!A101,tbMoveset!A2:I112,9,FALSE)="Dragon",Backdoors!BF22,Backdoors!BG22)))))/100,Backdoors!BG22/100),"")</f>
        <v>0</v>
      </c>
      <c r="EG101" s="49">
        <f>IFERROR(IF(VLOOKUP(A101,tbMoveset!A2:J112,10,FALSE)=TRUE,IF((Backdoors!AI12+IF(EE101&gt;=0.45,VLOOKUP(Calculator!E23,tbSkills!DH3:DI6,2,FALSE)+IF(AND(Calculator!B8=TRUE,Backdoors!BI22=TRUE),VLOOKUP(Calculator!E23,tbSkills!DH3:DJ6,3,FALSE),0),0))&gt;=0,1+(Backdoors!AL2*(IF((Backdoors!AI12+IF(EE101&gt;=0.45,VLOOKUP(Calculator!E23,tbSkills!DH3:DI6,2,FALSE)+IF(AND(Calculator!B8=TRUE,Backdoors!BI22=TRUE),VLOOKUP(Calculator!E23,tbSkills!DH3:DJ6,3,FALSE),0),0))&gt;=100,100,(Backdoors!AI12+IF(EE101&gt;=0.45,VLOOKUP(Calculator!E23,tbSkills!DH3:DI6,2,FALSE)+IF(AND(Calculator!B8=TRUE,Backdoors!BI22=TRUE),VLOOKUP(Calculator!E23,tbSkills!DH3:DJ6,3,FALSE),0),0)))/100)),(1-(0.25*((-Backdoors!AI12-IF(EE101&gt;=0.45,VLOOKUP(Calculator!E23,tbSkills!DH3:DI6,2,FALSE)+IF(AND(Calculator!B8=TRUE,Backdoors!BI22=TRUE),VLOOKUP(Calculator!E23,tbSkills!DH3:DJ6,3,FALSE),0),0))/100)))),1),"")</f>
        <v>1</v>
      </c>
      <c r="EH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E101)*EG101)*(VLOOKUP(A101,tbMoveset!A2:C112,3,FALSE)/100)*IF(VLOOKUP(A101,tbMoveset!A2:B112,2,FALSE)="Projectile",Backdoors!N10,Backdoors!N9),0),"")</f>
        <v/>
      </c>
      <c r="EI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E101&gt;=0.45,VLOOKUP(Calculator!E23,tbSkills!DH3:DI6,2,FALSE)+IF(AND(Calculator!B8=TRUE,Backdoors!BI22=TRUE),VLOOKUP(Calculator!E23,tbSkills!DH3:DJ6,3,FALSE),0),0))&gt;=100,100,(Backdoors!AI12+IF(EE101&gt;=0.45,VLOOKUP(Calculator!E23,tbSkills!DH3:DI6,2,FALSE)+IF(AND(Calculator!B8=TRUE,Backdoors!BI22=TRUE),VLOOKUP(Calculator!E23,tbSkills!DH3:DJ6,3,FALSE),0),0)))/100)),1))*IF(VLOOKUP(A101,tbMoveset!A2:K112,11,FALSE)=TRUE,Backdoors!AC5,1))*EF101,0),"")</f>
        <v>0</v>
      </c>
      <c r="EJ101" s="49">
        <f>VLOOKUP(A101,tbMoveset!A2:G112,7,FALSE)*IFERROR(IF(Backdoors!AI12&gt;=0,1+(IF(Calculator!E40&gt;0,VLOOKUP(Calculator!E40,tbSkills!AI3:AJ5,2,FALSE),Backdoors!AL4)*(IF((Backdoors!AI12+IF(EE101&gt;=0.45,VLOOKUP(Calculator!E23,tbSkills!DH3:DI6,2,FALSE)+IF(AND(Calculator!B8=TRUE,Backdoors!BI22=TRUE),VLOOKUP(Calculator!E23,tbSkills!DH3:DJ6,3,FALSE),0),0))&gt;=100,100,(Backdoors!AI12+IF(EE101&gt;=0.45,VLOOKUP(Calculator!E23,tbSkills!DH3:DI6,2,FALSE)+IF(AND(Calculator!B8=TRUE,Backdoors!BI22=TRUE),VLOOKUP(Calculator!E23,tbSkills!DH3:DJ6,3,FALSE),0),0)))/100)),1),1)</f>
        <v>1</v>
      </c>
      <c r="EK101" s="87">
        <f t="shared" si="70"/>
        <v>0</v>
      </c>
      <c r="EL101" s="86" t="str">
        <f>IFERROR(IF(VLOOKUP(A101,tbMoveset!A2:B112,2,FALSE)="Sever",Backdoors!AY23/100,IF(VLOOKUP(A101,tbMoveset!A2:B112,2,FALSE)="Blunt",Backdoors!AZ23/100,Backdoors!BA23/100)),"")</f>
        <v/>
      </c>
      <c r="EM101" s="49">
        <f>IFERROR(IF(VLOOKUP(tbMoveset!A101,tbMoveset!A2:H112,8,FALSE)="Other",IF(VLOOKUP(tbMoveset!A101,tbMoveset!A2:I112,9,FALSE)="Fire",Backdoors!BB23,IF(VLOOKUP(tbMoveset!A101,tbMoveset!A2:I112,9,FALSE)="Water",Backdoors!BC23,IF(VLOOKUP(tbMoveset!A101,tbMoveset!A2:I112,9,FALSE)="Thunder",Backdoors!BD23,IF(VLOOKUP(tbMoveset!A101,tbMoveset!A2:I112,9,FALSE)="Ice",Backdoors!BE23,IF(VLOOKUP(tbMoveset!A101,tbMoveset!A2:I112,9,FALSE)="Dragon",Backdoors!BF23,Backdoors!BG23)))))/100,Backdoors!BG23/100),"")</f>
        <v>0</v>
      </c>
      <c r="EN101" s="49">
        <f>IFERROR(IF(VLOOKUP(A101,tbMoveset!A2:J112,10,FALSE)=TRUE,IF((Backdoors!AI12+IF(EL101&gt;=0.45,VLOOKUP(Calculator!E23,tbSkills!DH3:DI6,2,FALSE)+IF(AND(Calculator!B8=TRUE,Backdoors!BI23=TRUE),VLOOKUP(Calculator!E23,tbSkills!DH3:DJ6,3,FALSE),0),0))&gt;=0,1+(Backdoors!AL2*(IF((Backdoors!AI12+IF(EL101&gt;=0.45,VLOOKUP(Calculator!E23,tbSkills!DH3:DI6,2,FALSE)+IF(AND(Calculator!B8=TRUE,Backdoors!BI23=TRUE),VLOOKUP(Calculator!E23,tbSkills!DH3:DJ6,3,FALSE),0),0))&gt;=100,100,(Backdoors!AI12+IF(EL101&gt;=0.45,VLOOKUP(Calculator!E23,tbSkills!DH3:DI6,2,FALSE)+IF(AND(Calculator!B8=TRUE,Backdoors!BI23=TRUE),VLOOKUP(Calculator!E23,tbSkills!DH3:DJ6,3,FALSE),0),0)))/100)),(1-(0.25*((-Backdoors!AI12-IF(EL101&gt;=0.45,VLOOKUP(Calculator!E23,tbSkills!DH3:DI6,2,FALSE)+IF(AND(Calculator!B8=TRUE,Backdoors!BI23=TRUE),VLOOKUP(Calculator!E23,tbSkills!DH3:DJ6,3,FALSE),0),0))/100)))),1),"")</f>
        <v>1</v>
      </c>
      <c r="EO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L101)*EN101)*(VLOOKUP(A101,tbMoveset!A2:C112,3,FALSE)/100)*IF(VLOOKUP(A101,tbMoveset!A2:B112,2,FALSE)="Projectile",Backdoors!N10,Backdoors!N9),0),"")</f>
        <v/>
      </c>
      <c r="EP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L101&gt;=0.45,VLOOKUP(Calculator!E23,tbSkills!DH3:DI6,2,FALSE)+IF(AND(Calculator!B8=TRUE,Backdoors!BI23=TRUE),VLOOKUP(Calculator!E23,tbSkills!DH3:DJ6,3,FALSE),0),0))&gt;=100,100,(Backdoors!AI12+IF(EL101&gt;=0.45,VLOOKUP(Calculator!E23,tbSkills!DH3:DI6,2,FALSE)+IF(AND(Calculator!B8=TRUE,Backdoors!BI23=TRUE),VLOOKUP(Calculator!E23,tbSkills!DH3:DJ6,3,FALSE),0),0)))/100)),1))*IF(VLOOKUP(A101,tbMoveset!A2:K112,11,FALSE)=TRUE,Backdoors!AC5,1))*EM101,0),"")</f>
        <v>0</v>
      </c>
      <c r="EQ101" s="49">
        <f>VLOOKUP(A101,tbMoveset!A2:G112,7,FALSE)*IFERROR(IF(Backdoors!AI12&gt;=0,1+(IF(Calculator!E40&gt;0,VLOOKUP(Calculator!E40,tbSkills!AI3:AJ5,2,FALSE),Backdoors!AL4)*(IF((Backdoors!AI12+IF(EL101&gt;=0.45,VLOOKUP(Calculator!E23,tbSkills!DH3:DI6,2,FALSE)+IF(AND(Calculator!B8=TRUE,Backdoors!BI23=TRUE),VLOOKUP(Calculator!E23,tbSkills!DH3:DJ6,3,FALSE),0),0))&gt;=100,100,(Backdoors!AI12+IF(EL101&gt;=0.45,VLOOKUP(Calculator!E23,tbSkills!DH3:DI6,2,FALSE)+IF(AND(Calculator!B8=TRUE,Backdoors!BI23=TRUE),VLOOKUP(Calculator!E23,tbSkills!DH3:DJ6,3,FALSE),0),0)))/100)),1),1)</f>
        <v>1</v>
      </c>
      <c r="ER101" s="87">
        <f t="shared" si="71"/>
        <v>0</v>
      </c>
      <c r="ES101" s="86" t="str">
        <f>IFERROR(IF(VLOOKUP(A101,tbMoveset!A2:B112,2,FALSE)="Sever",Backdoors!AY24/100,IF(VLOOKUP(A101,tbMoveset!A2:B112,2,FALSE)="Blunt",Backdoors!AZ24/100,Backdoors!BA24/100)),"")</f>
        <v/>
      </c>
      <c r="ET101" s="49">
        <f>IFERROR(IF(VLOOKUP(tbMoveset!A101,tbMoveset!A2:H112,8,FALSE)="Other",IF(VLOOKUP(tbMoveset!A101,tbMoveset!A2:I112,9,FALSE)="Fire",Backdoors!BB24,IF(VLOOKUP(tbMoveset!A101,tbMoveset!A2:I112,9,FALSE)="Water",Backdoors!BC24,IF(VLOOKUP(tbMoveset!A101,tbMoveset!A2:I112,9,FALSE)="Thunder",Backdoors!BD24,IF(VLOOKUP(tbMoveset!A101,tbMoveset!A2:I112,9,FALSE)="Ice",Backdoors!BE24,IF(VLOOKUP(tbMoveset!A101,tbMoveset!A2:I112,9,FALSE)="Dragon",Backdoors!BF24,Backdoors!BG24)))))/100,Backdoors!BG24/100),"")</f>
        <v>0</v>
      </c>
      <c r="EU101" s="49">
        <f>IFERROR(IF(VLOOKUP(A101,tbMoveset!A2:J112,10,FALSE)=TRUE,IF((Backdoors!AI12+IF(ES101&gt;=0.45,VLOOKUP(Calculator!E23,tbSkills!DH3:DI6,2,FALSE)+IF(AND(Calculator!B8=TRUE,Backdoors!BI24=TRUE),VLOOKUP(Calculator!E23,tbSkills!DH3:DJ6,3,FALSE),0),0))&gt;=0,1+(Backdoors!AL2*(IF((Backdoors!AI12+IF(ES101&gt;=0.45,VLOOKUP(Calculator!E23,tbSkills!DH3:DI6,2,FALSE)+IF(AND(Calculator!B8=TRUE,Backdoors!BI24=TRUE),VLOOKUP(Calculator!E23,tbSkills!DH3:DJ6,3,FALSE),0),0))&gt;=100,100,(Backdoors!AI12+IF(ES101&gt;=0.45,VLOOKUP(Calculator!E23,tbSkills!DH3:DI6,2,FALSE)+IF(AND(Calculator!B8=TRUE,Backdoors!BI24=TRUE),VLOOKUP(Calculator!E23,tbSkills!DH3:DJ6,3,FALSE),0),0)))/100)),(1-(0.25*((-Backdoors!AI12-IF(ES101&gt;=0.45,VLOOKUP(Calculator!E23,tbSkills!DH3:DI6,2,FALSE)+IF(AND(Calculator!B8=TRUE,Backdoors!BI24=TRUE),VLOOKUP(Calculator!E23,tbSkills!DH3:DJ6,3,FALSE),0),0))/100)))),1),"")</f>
        <v>1</v>
      </c>
      <c r="EV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S101)*EU101)*(VLOOKUP(A101,tbMoveset!A2:C112,3,FALSE)/100)*IF(VLOOKUP(A101,tbMoveset!A2:B112,2,FALSE)="Projectile",Backdoors!N10,Backdoors!N9),0),"")</f>
        <v/>
      </c>
      <c r="EW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S101&gt;=0.45,VLOOKUP(Calculator!E23,tbSkills!DH3:DI6,2,FALSE)+IF(AND(Calculator!B8=TRUE,Backdoors!BI24=TRUE),VLOOKUP(Calculator!E23,tbSkills!DH3:DJ6,3,FALSE),0),0))&gt;=100,100,(Backdoors!AI12+IF(ES101&gt;=0.45,VLOOKUP(Calculator!E23,tbSkills!DH3:DI6,2,FALSE)+IF(AND(Calculator!B8=TRUE,Backdoors!BI24=TRUE),VLOOKUP(Calculator!E23,tbSkills!DH3:DJ6,3,FALSE),0),0)))/100)),1))*IF(VLOOKUP(A101,tbMoveset!A2:K112,11,FALSE)=TRUE,Backdoors!AC5,1))*ET101,0),"")</f>
        <v>0</v>
      </c>
      <c r="EX101" s="49">
        <f>VLOOKUP(A101,tbMoveset!A2:G112,7,FALSE)*IFERROR(IF(Backdoors!AI12&gt;=0,1+(IF(Calculator!E40&gt;0,VLOOKUP(Calculator!E40,tbSkills!AI3:AJ5,2,FALSE),Backdoors!AL4)*(IF((Backdoors!AI12+IF(ES101&gt;=0.45,VLOOKUP(Calculator!E23,tbSkills!DH3:DI6,2,FALSE)+IF(AND(Calculator!B8=TRUE,Backdoors!BI24=TRUE),VLOOKUP(Calculator!E23,tbSkills!DH3:DJ6,3,FALSE),0),0))&gt;=100,100,(Backdoors!AI12+IF(ES101&gt;=0.45,VLOOKUP(Calculator!E23,tbSkills!DH3:DI6,2,FALSE)+IF(AND(Calculator!B8=TRUE,Backdoors!BI24=TRUE),VLOOKUP(Calculator!E23,tbSkills!DH3:DJ6,3,FALSE),0),0)))/100)),1),1)</f>
        <v>1</v>
      </c>
      <c r="EY101" s="87">
        <f t="shared" si="72"/>
        <v>0</v>
      </c>
      <c r="EZ101" s="86" t="str">
        <f>IFERROR(IF(VLOOKUP(A101,tbMoveset!A2:B112,2,FALSE)="Sever",Backdoors!AY25/100,IF(VLOOKUP(A101,tbMoveset!A2:B112,2,FALSE)="Blunt",Backdoors!AZ25/100,Backdoors!BA25/100)),"")</f>
        <v/>
      </c>
      <c r="FA101" s="49">
        <f>IFERROR(IF(VLOOKUP(tbMoveset!A101,tbMoveset!A2:H112,8,FALSE)="Other",IF(VLOOKUP(tbMoveset!A101,tbMoveset!A2:I112,9,FALSE)="Fire",Backdoors!BB25,IF(VLOOKUP(tbMoveset!A101,tbMoveset!A2:I112,9,FALSE)="Water",Backdoors!BC25,IF(VLOOKUP(tbMoveset!A101,tbMoveset!A2:I112,9,FALSE)="Thunder",Backdoors!BD25,IF(VLOOKUP(tbMoveset!A101,tbMoveset!A2:I112,9,FALSE)="Ice",Backdoors!BE25,IF(VLOOKUP(tbMoveset!A101,tbMoveset!A2:I112,9,FALSE)="Dragon",Backdoors!BF25,Backdoors!BG25)))))/100,Backdoors!BG25/100),"")</f>
        <v>0</v>
      </c>
      <c r="FB101" s="49">
        <f>IFERROR(IF(VLOOKUP(A101,tbMoveset!A2:J112,10,FALSE)=TRUE,IF((Backdoors!AI12+IF(EZ101&gt;=0.45,VLOOKUP(Calculator!E23,tbSkills!DH3:DI6,2,FALSE)+IF(AND(Calculator!B8=TRUE,Backdoors!BI25=TRUE),VLOOKUP(Calculator!E23,tbSkills!DH3:DJ6,3,FALSE),0),0))&gt;=0,1+(Backdoors!AL2*(IF((Backdoors!AI12+IF(EZ101&gt;=0.45,VLOOKUP(Calculator!E23,tbSkills!DH3:DI6,2,FALSE)+IF(AND(Calculator!B8=TRUE,Backdoors!BI25=TRUE),VLOOKUP(Calculator!E23,tbSkills!DH3:DJ6,3,FALSE),0),0))&gt;=100,100,(Backdoors!AI12+IF(EZ101&gt;=0.45,VLOOKUP(Calculator!E23,tbSkills!DH3:DI6,2,FALSE)+IF(AND(Calculator!B8=TRUE,Backdoors!BI25=TRUE),VLOOKUP(Calculator!E23,tbSkills!DH3:DJ6,3,FALSE),0),0)))/100)),(1-(0.25*((-Backdoors!AI12-IF(EZ101&gt;=0.45,VLOOKUP(Calculator!E23,tbSkills!DH3:DI6,2,FALSE)+IF(AND(Calculator!B8=TRUE,Backdoors!BI25=TRUE),VLOOKUP(Calculator!E23,tbSkills!DH3:DJ6,3,FALSE),0),0))/100)))),1),"")</f>
        <v>1</v>
      </c>
      <c r="FC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Z101)*FB101)*(VLOOKUP(A101,tbMoveset!A2:C112,3,FALSE)/100)*IF(VLOOKUP(A101,tbMoveset!A2:B112,2,FALSE)="Projectile",Backdoors!N10,Backdoors!N9),0),"")</f>
        <v/>
      </c>
      <c r="FD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Z101&gt;=0.45,VLOOKUP(Calculator!E23,tbSkills!DH3:DI6,2,FALSE)+IF(AND(Calculator!B8=TRUE,Backdoors!BI25=TRUE),VLOOKUP(Calculator!E23,tbSkills!DH3:DJ6,3,FALSE),0),0))&gt;=100,100,(Backdoors!AI12+IF(EZ101&gt;=0.45,VLOOKUP(Calculator!E23,tbSkills!DH3:DI6,2,FALSE)+IF(AND(Calculator!B8=TRUE,Backdoors!BI25=TRUE),VLOOKUP(Calculator!E23,tbSkills!DH3:DJ6,3,FALSE),0),0)))/100)),1))*IF(VLOOKUP(A101,tbMoveset!A2:K112,11,FALSE)=TRUE,Backdoors!AC5,1))*FA101,0),"")</f>
        <v>0</v>
      </c>
      <c r="FE101" s="49">
        <f>VLOOKUP(A101,tbMoveset!A2:G112,7,FALSE)*IFERROR(IF(Backdoors!AI12&gt;=0,1+(IF(Calculator!E40&gt;0,VLOOKUP(Calculator!E40,tbSkills!AI3:AJ5,2,FALSE),Backdoors!AL4)*(IF((Backdoors!AI12+IF(EZ101&gt;=0.45,VLOOKUP(Calculator!E23,tbSkills!DH3:DI6,2,FALSE)+IF(AND(Calculator!B8=TRUE,Backdoors!BI25=TRUE),VLOOKUP(Calculator!E23,tbSkills!DH3:DJ6,3,FALSE),0),0))&gt;=100,100,(Backdoors!AI12+IF(EZ101&gt;=0.45,VLOOKUP(Calculator!E23,tbSkills!DH3:DI6,2,FALSE)+IF(AND(Calculator!B8=TRUE,Backdoors!BI25=TRUE),VLOOKUP(Calculator!E23,tbSkills!DH3:DJ6,3,FALSE),0),0)))/100)),1),1)</f>
        <v>1</v>
      </c>
      <c r="FF101" s="87">
        <f t="shared" si="73"/>
        <v>0</v>
      </c>
      <c r="FG101" s="86" t="str">
        <f>IFERROR(IF(VLOOKUP(A101,tbMoveset!A2:B112,2,FALSE)="Sever",Backdoors!AY26/100,IF(VLOOKUP(A101,tbMoveset!A2:B112,2,FALSE)="Blunt",Backdoors!AZ26/100,Backdoors!BA26/100)),"")</f>
        <v/>
      </c>
      <c r="FH101" s="49">
        <f>IFERROR(IF(VLOOKUP(tbMoveset!A101,tbMoveset!A2:H112,8,FALSE)="Other",IF(VLOOKUP(tbMoveset!A101,tbMoveset!A2:I112,9,FALSE)="Fire",Backdoors!BB26,IF(VLOOKUP(tbMoveset!A101,tbMoveset!A2:I112,9,FALSE)="Water",Backdoors!BC26,IF(VLOOKUP(tbMoveset!A101,tbMoveset!A2:I112,9,FALSE)="Thunder",Backdoors!BD26,IF(VLOOKUP(tbMoveset!A101,tbMoveset!A2:I112,9,FALSE)="Ice",Backdoors!BE26,IF(VLOOKUP(tbMoveset!A101,tbMoveset!A2:I112,9,FALSE)="Dragon",Backdoors!BF26,Backdoors!BG26)))))/100,Backdoors!BG26/100),"")</f>
        <v>0</v>
      </c>
      <c r="FI101" s="49">
        <f>IFERROR(IF(VLOOKUP(A101,tbMoveset!A2:J112,10,FALSE)=TRUE,IF((Backdoors!AI12+IF(FG101&gt;=0.45,VLOOKUP(Calculator!E23,tbSkills!DH3:DI6,2,FALSE)+IF(AND(Calculator!B8=TRUE,Backdoors!BI26=TRUE),VLOOKUP(Calculator!E23,tbSkills!DH3:DJ6,3,FALSE),0),0))&gt;=0,1+(Backdoors!AL2*(IF((Backdoors!AI12+IF(FG101&gt;=0.45,VLOOKUP(Calculator!E23,tbSkills!DH3:DI6,2,FALSE)+IF(AND(Calculator!B8=TRUE,Backdoors!BI26=TRUE),VLOOKUP(Calculator!E23,tbSkills!DH3:DJ6,3,FALSE),0),0))&gt;=100,100,(Backdoors!AI12+IF(FG101&gt;=0.45,VLOOKUP(Calculator!E23,tbSkills!DH3:DI6,2,FALSE)+IF(AND(Calculator!B8=TRUE,Backdoors!BI26=TRUE),VLOOKUP(Calculator!E23,tbSkills!DH3:DJ6,3,FALSE),0),0)))/100)),(1-(0.25*((-Backdoors!AI12-IF(FG101&gt;=0.45,VLOOKUP(Calculator!E23,tbSkills!DH3:DI6,2,FALSE)+IF(AND(Calculator!B8=TRUE,Backdoors!BI26=TRUE),VLOOKUP(Calculator!E23,tbSkills!DH3:DJ6,3,FALSE),0),0))/100)))),1),"")</f>
        <v>1</v>
      </c>
      <c r="FJ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FG101)*FI101)*(VLOOKUP(A101,tbMoveset!A2:C112,3,FALSE)/100)*IF(VLOOKUP(A101,tbMoveset!A2:B112,2,FALSE)="Projectile",Backdoors!N10,Backdoors!N9),0),"")</f>
        <v/>
      </c>
      <c r="FK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FG101&gt;=0.45,VLOOKUP(Calculator!E23,tbSkills!DH3:DI6,2,FALSE)+IF(AND(Calculator!B8=TRUE,Backdoors!BI26=TRUE),VLOOKUP(Calculator!E23,tbSkills!DH3:DJ6,3,FALSE),0),0))&gt;=100,100,(Backdoors!AI12+IF(FG101&gt;=0.45,VLOOKUP(Calculator!E23,tbSkills!DH3:DI6,2,FALSE)+IF(AND(Calculator!B8=TRUE,Backdoors!BI26=TRUE),VLOOKUP(Calculator!E23,tbSkills!DH3:DJ6,3,FALSE),0),0)))/100)),1))*IF(VLOOKUP(A101,tbMoveset!A2:K112,11,FALSE)=TRUE,Backdoors!AC5,1))*FH101,0),"")</f>
        <v>0</v>
      </c>
      <c r="FL101" s="49">
        <f>VLOOKUP(A101,tbMoveset!A2:G112,7,FALSE)*IFERROR(IF(Backdoors!AI12&gt;=0,1+(IF(Calculator!E40&gt;0,VLOOKUP(Calculator!E40,tbSkills!AI3:AJ5,2,FALSE),Backdoors!AL4)*(IF((Backdoors!AI12+IF(FG101&gt;=0.45,VLOOKUP(Calculator!E23,tbSkills!DH3:DI6,2,FALSE)+IF(AND(Calculator!B8=TRUE,Backdoors!BI26=TRUE),VLOOKUP(Calculator!E23,tbSkills!DH3:DJ6,3,FALSE),0),0))&gt;=100,100,(Backdoors!AI12+IF(FG101&gt;=0.45,VLOOKUP(Calculator!E23,tbSkills!DH3:DI6,2,FALSE)+IF(AND(Calculator!B8=TRUE,Backdoors!BI26=TRUE),VLOOKUP(Calculator!E23,tbSkills!DH3:DJ6,3,FALSE),0),0)))/100)),1),1)</f>
        <v>1</v>
      </c>
      <c r="FM101" s="87">
        <f t="shared" si="74"/>
        <v>0</v>
      </c>
      <c r="FN101" s="86" t="str">
        <f>IFERROR(IF(VLOOKUP(A101,tbMoveset!A2:B112,2,FALSE)="Sever",Backdoors!AY27/100,IF(VLOOKUP(A101,tbMoveset!A2:B112,2,FALSE)="Blunt",Backdoors!AZ27/100,Backdoors!BA27/100)),"")</f>
        <v/>
      </c>
      <c r="FO101" s="49">
        <f>IFERROR(IF(VLOOKUP(tbMoveset!A101,tbMoveset!A2:H112,8,FALSE)="Other",IF(VLOOKUP(tbMoveset!A101,tbMoveset!A2:I112,9,FALSE)="Fire",Backdoors!BB27,IF(VLOOKUP(tbMoveset!A101,tbMoveset!A2:I112,9,FALSE)="Water",Backdoors!BC27,IF(VLOOKUP(tbMoveset!A101,tbMoveset!A2:I112,9,FALSE)="Thunder",Backdoors!BD27,IF(VLOOKUP(tbMoveset!A101,tbMoveset!A2:I112,9,FALSE)="Ice",Backdoors!BE27,IF(VLOOKUP(tbMoveset!A101,tbMoveset!A2:I112,9,FALSE)="Dragon",Backdoors!BF27,Backdoors!BG27)))))/100,Backdoors!BG27/100),"")</f>
        <v>0</v>
      </c>
      <c r="FP101" s="49">
        <f>IFERROR(IF(VLOOKUP(A101,tbMoveset!A2:J112,10,FALSE)=TRUE,IF((Backdoors!AI12+IF(FN101&gt;=0.45,VLOOKUP(Calculator!E23,tbSkills!DH3:DI6,2,FALSE)+IF(AND(Calculator!B8=TRUE,Backdoors!BI27=TRUE),VLOOKUP(Calculator!E23,tbSkills!DH3:DJ6,3,FALSE),0),0))&gt;=0,1+(Backdoors!AL2*(IF((Backdoors!AI12+IF(FN101&gt;=0.45,VLOOKUP(Calculator!E23,tbSkills!DH3:DI6,2,FALSE)+IF(AND(Calculator!B8=TRUE,Backdoors!BI27=TRUE),VLOOKUP(Calculator!E23,tbSkills!DH3:DJ6,3,FALSE),0),0))&gt;=100,100,(Backdoors!AI12+IF(FN101&gt;=0.45,VLOOKUP(Calculator!E23,tbSkills!DH3:DI6,2,FALSE)+IF(AND(Calculator!B8=TRUE,Backdoors!BI27=TRUE),VLOOKUP(Calculator!E23,tbSkills!DH3:DJ6,3,FALSE),0),0)))/100)),(1-(0.25*((-Backdoors!AI12-IF(FN101&gt;=0.45,VLOOKUP(Calculator!E23,tbSkills!DH3:DI6,2,FALSE)+IF(AND(Calculator!B8=TRUE,Backdoors!BI27=TRUE),VLOOKUP(Calculator!E23,tbSkills!DH3:DJ6,3,FALSE),0),0))/100)))),1),"")</f>
        <v>1</v>
      </c>
      <c r="FQ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FN101)*FP101)*(VLOOKUP(A101,tbMoveset!A2:C112,3,FALSE)/100)*IF(VLOOKUP(A101,tbMoveset!A2:B112,2,FALSE)="Projectile",Backdoors!N10,Backdoors!N9),0),"")</f>
        <v/>
      </c>
      <c r="FR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FN101&gt;=0.45,VLOOKUP(Calculator!E23,tbSkills!DH3:DI6,2,FALSE)+IF(AND(Calculator!B8=TRUE,Backdoors!BI27=TRUE),VLOOKUP(Calculator!E23,tbSkills!DH3:DJ6,3,FALSE),0),0))&gt;=100,100,(Backdoors!AI12+IF(FN101&gt;=0.45,VLOOKUP(Calculator!E23,tbSkills!DH3:DI6,2,FALSE)+IF(AND(Calculator!B8=TRUE,Backdoors!BI27=TRUE),VLOOKUP(Calculator!E23,tbSkills!DH3:DJ6,3,FALSE),0),0)))/100)),1))*IF(VLOOKUP(A101,tbMoveset!A2:K112,11,FALSE)=TRUE,Backdoors!AC5,1))*FO101,0),"")</f>
        <v>0</v>
      </c>
      <c r="FS101" s="49">
        <f>VLOOKUP(A101,tbMoveset!A2:G112,7,FALSE)*IFERROR(IF(Backdoors!AI12&gt;=0,1+(IF(Calculator!E40&gt;0,VLOOKUP(Calculator!E40,tbSkills!AI3:AJ5,2,FALSE),Backdoors!AL4)*(IF((Backdoors!AI12+IF(FN101&gt;=0.45,VLOOKUP(Calculator!E23,tbSkills!DH3:DI6,2,FALSE)+IF(AND(Calculator!B8=TRUE,Backdoors!BI27=TRUE),VLOOKUP(Calculator!E23,tbSkills!DH3:DJ6,3,FALSE),0),0))&gt;=100,100,(Backdoors!AI12+IF(FN101&gt;=0.45,VLOOKUP(Calculator!E23,tbSkills!DH3:DI6,2,FALSE)+IF(AND(Calculator!B8=TRUE,Backdoors!BI27=TRUE),VLOOKUP(Calculator!E23,tbSkills!DH3:DJ6,3,FALSE),0),0)))/100)),1),1)</f>
        <v>1</v>
      </c>
      <c r="FT101" s="87">
        <f t="shared" si="75"/>
        <v>0</v>
      </c>
      <c r="FU101" s="86" t="str">
        <f>IFERROR(IF(VLOOKUP(A101,tbMoveset!A2:B112,2,FALSE)="Sever",Backdoors!AY28/100,IF(VLOOKUP(A101,tbMoveset!A2:B112,2,FALSE)="Blunt",Backdoors!AZ28/100,Backdoors!BA28/100)),"")</f>
        <v/>
      </c>
      <c r="FV101" s="49">
        <f>IFERROR(IF(VLOOKUP(tbMoveset!A101,tbMoveset!A2:H112,8,FALSE)="Other",IF(VLOOKUP(tbMoveset!A101,tbMoveset!A2:I112,9,FALSE)="Fire",Backdoors!BB28,IF(VLOOKUP(tbMoveset!A101,tbMoveset!A2:I112,9,FALSE)="Water",Backdoors!BC28,IF(VLOOKUP(tbMoveset!A101,tbMoveset!A2:I112,9,FALSE)="Thunder",Backdoors!BD28,IF(VLOOKUP(tbMoveset!A101,tbMoveset!A2:I112,9,FALSE)="Ice",Backdoors!BE28,IF(VLOOKUP(tbMoveset!A101,tbMoveset!A2:I112,9,FALSE)="Dragon",Backdoors!BF28,Backdoors!BG28)))))/100,Backdoors!BG28/100),"")</f>
        <v>0</v>
      </c>
      <c r="FW101" s="49">
        <f>IFERROR(IF(VLOOKUP(A101,tbMoveset!A2:J112,10,FALSE)=TRUE,IF((Backdoors!AI12+IF(FU101&gt;=0.45,VLOOKUP(Calculator!E23,tbSkills!DH3:DI6,2,FALSE)+IF(AND(Calculator!B8=TRUE,Backdoors!BI28=TRUE),VLOOKUP(Calculator!E23,tbSkills!DH3:DJ6,3,FALSE),0),0))&gt;=0,1+(Backdoors!AL2*(IF((Backdoors!AI12+IF(FU101&gt;=0.45,VLOOKUP(Calculator!E23,tbSkills!DH3:DI6,2,FALSE)+IF(AND(Calculator!B8=TRUE,Backdoors!BI28=TRUE),VLOOKUP(Calculator!E23,tbSkills!DH3:DJ6,3,FALSE),0),0))&gt;=100,100,(Backdoors!AI12+IF(FU101&gt;=0.45,VLOOKUP(Calculator!E23,tbSkills!DH3:DI6,2,FALSE)+IF(AND(Calculator!B8=TRUE,Backdoors!BI28=TRUE),VLOOKUP(Calculator!E23,tbSkills!DH3:DJ6,3,FALSE),0),0)))/100)),(1-(0.25*((-Backdoors!AI12-IF(FU101&gt;=0.45,VLOOKUP(Calculator!E23,tbSkills!DH3:DI6,2,FALSE)+IF(AND(Calculator!B8=TRUE,Backdoors!BI28=TRUE),VLOOKUP(Calculator!E23,tbSkills!DH3:DJ6,3,FALSE),0),0))/100)))),1),"")</f>
        <v>1</v>
      </c>
      <c r="FX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FU101)*FW101)*(VLOOKUP(A101,tbMoveset!A2:C112,3,FALSE)/100)*IF(VLOOKUP(A101,tbMoveset!A2:B112,2,FALSE)="Projectile",Backdoors!N10,Backdoors!N9),0),"")</f>
        <v/>
      </c>
      <c r="FY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FU101&gt;=0.45,VLOOKUP(Calculator!E23,tbSkills!DH3:DI6,2,FALSE)+IF(AND(Calculator!B8=TRUE,Backdoors!BI28=TRUE),VLOOKUP(Calculator!E23,tbSkills!DH3:DJ6,3,FALSE),0),0))&gt;=100,100,(Backdoors!AI12+IF(FU101&gt;=0.45,VLOOKUP(Calculator!E23,tbSkills!DH3:DI6,2,FALSE)+IF(AND(Calculator!B8=TRUE,Backdoors!BI28=TRUE),VLOOKUP(Calculator!E23,tbSkills!DH3:DJ6,3,FALSE),0),0)))/100)),1))*IF(VLOOKUP(A101,tbMoveset!A2:K112,11,FALSE)=TRUE,Backdoors!AC5,1))*FV101,0),"")</f>
        <v>0</v>
      </c>
      <c r="FZ101" s="49">
        <f>VLOOKUP(A101,tbMoveset!A2:G112,7,FALSE)*IFERROR(IF(Backdoors!AI12&gt;=0,1+(IF(Calculator!E40&gt;0,VLOOKUP(Calculator!E40,tbSkills!AI3:AJ5,2,FALSE),Backdoors!AL4)*(IF((Backdoors!AI12+IF(FU101&gt;=0.45,VLOOKUP(Calculator!E23,tbSkills!DH3:DI6,2,FALSE)+IF(AND(Calculator!B8=TRUE,Backdoors!BI28=TRUE),VLOOKUP(Calculator!E23,tbSkills!DH3:DJ6,3,FALSE),0),0))&gt;=100,100,(Backdoors!AI12+IF(FU101&gt;=0.45,VLOOKUP(Calculator!E23,tbSkills!DH3:DI6,2,FALSE)+IF(AND(Calculator!B8=TRUE,Backdoors!BI28=TRUE),VLOOKUP(Calculator!E23,tbSkills!DH3:DJ6,3,FALSE),0),0)))/100)),1),1)</f>
        <v>1</v>
      </c>
      <c r="GA101" s="87">
        <f t="shared" si="76"/>
        <v>0</v>
      </c>
      <c r="GB101" s="86" t="str">
        <f>IFERROR(IF(VLOOKUP(A101,tbMoveset!A2:B112,2,FALSE)="Sever",Backdoors!AY29/100,IF(VLOOKUP(A101,tbMoveset!A2:B112,2,FALSE)="Blunt",Backdoors!AZ29/100,Backdoors!BA29/100)),"")</f>
        <v/>
      </c>
      <c r="GC101" s="49">
        <f>IFERROR(IF(VLOOKUP(tbMoveset!A101,tbMoveset!A2:H112,8,FALSE)="Other",IF(VLOOKUP(tbMoveset!A101,tbMoveset!A2:I112,9,FALSE)="Fire",Backdoors!BB29,IF(VLOOKUP(tbMoveset!A101,tbMoveset!A2:I112,9,FALSE)="Water",Backdoors!BC29,IF(VLOOKUP(tbMoveset!A101,tbMoveset!A2:I112,9,FALSE)="Thunder",Backdoors!BD29,IF(VLOOKUP(tbMoveset!A101,tbMoveset!A2:I112,9,FALSE)="Ice",Backdoors!BE29,IF(VLOOKUP(tbMoveset!A101,tbMoveset!A2:I112,9,FALSE)="Dragon",Backdoors!BF29,Backdoors!BG29)))))/100,Backdoors!BG29/100),"")</f>
        <v>0</v>
      </c>
      <c r="GD101" s="49">
        <f>IFERROR(IF(VLOOKUP(A101,tbMoveset!A2:J112,10,FALSE)=TRUE,IF((Backdoors!AI12+IF(GB101&gt;=0.45,VLOOKUP(Calculator!E23,tbSkills!DH3:DI6,2,FALSE)+IF(AND(Calculator!B8=TRUE,Backdoors!BI29=TRUE),VLOOKUP(Calculator!E23,tbSkills!DH3:DJ6,3,FALSE),0),0))&gt;=0,1+(Backdoors!AL2*(IF((Backdoors!AI12+IF(GB101&gt;=0.45,VLOOKUP(Calculator!E23,tbSkills!DH3:DI6,2,FALSE)+IF(AND(Calculator!B8=TRUE,Backdoors!BI29=TRUE),VLOOKUP(Calculator!E23,tbSkills!DH3:DJ6,3,FALSE),0),0))&gt;=100,100,(Backdoors!AI12+IF(GB101&gt;=0.45,VLOOKUP(Calculator!E23,tbSkills!DH3:DI6,2,FALSE)+IF(AND(Calculator!B8=TRUE,Backdoors!BI29=TRUE),VLOOKUP(Calculator!E23,tbSkills!DH3:DJ6,3,FALSE),0),0)))/100)),(1-(0.25*((-Backdoors!AI12-IF(GB101&gt;=0.45,VLOOKUP(Calculator!E23,tbSkills!DH3:DI6,2,FALSE)+IF(AND(Calculator!B8=TRUE,Backdoors!BI29=TRUE),VLOOKUP(Calculator!E23,tbSkills!DH3:DJ6,3,FALSE),0),0))/100)))),1),"")</f>
        <v>1</v>
      </c>
      <c r="GE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B101)*GD101)*(VLOOKUP(A101,tbMoveset!A2:C112,3,FALSE)/100)*IF(VLOOKUP(A101,tbMoveset!A2:B112,2,FALSE)="Projectile",Backdoors!N10,Backdoors!N9),0),"")</f>
        <v/>
      </c>
      <c r="GF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B101&gt;=0.45,VLOOKUP(Calculator!E23,tbSkills!DH3:DI6,2,FALSE)+IF(AND(Calculator!B8=TRUE,Backdoors!BI29=TRUE),VLOOKUP(Calculator!E23,tbSkills!DH3:DJ6,3,FALSE),0),0))&gt;=100,100,(Backdoors!AI12+IF(GB101&gt;=0.45,VLOOKUP(Calculator!E23,tbSkills!DH3:DI6,2,FALSE)+IF(AND(Calculator!B8=TRUE,Backdoors!BI29=TRUE),VLOOKUP(Calculator!E23,tbSkills!DH3:DJ6,3,FALSE),0),0)))/100)),1))*IF(VLOOKUP(A101,tbMoveset!A2:K112,11,FALSE)=TRUE,Backdoors!AC5,1))*GC101,0),"")</f>
        <v>0</v>
      </c>
      <c r="GG101" s="49">
        <f>VLOOKUP(A101,tbMoveset!A2:G112,7,FALSE)*IFERROR(IF(Backdoors!AI12&gt;=0,1+(IF(Calculator!E40&gt;0,VLOOKUP(Calculator!E40,tbSkills!AI3:AJ5,2,FALSE),Backdoors!AL4)*(IF((Backdoors!AI12+IF(GB101&gt;=0.45,VLOOKUP(Calculator!E23,tbSkills!DH3:DI6,2,FALSE)+IF(AND(Calculator!B8=TRUE,Backdoors!BI29=TRUE),VLOOKUP(Calculator!E23,tbSkills!DH3:DJ6,3,FALSE),0),0))&gt;=100,100,(Backdoors!AI12+IF(GB101&gt;=0.45,VLOOKUP(Calculator!E23,tbSkills!DH3:DI6,2,FALSE)+IF(AND(Calculator!B8=TRUE,Backdoors!BI29=TRUE),VLOOKUP(Calculator!E23,tbSkills!DH3:DJ6,3,FALSE),0),0)))/100)),1),1)</f>
        <v>1</v>
      </c>
      <c r="GH101" s="87">
        <f t="shared" si="77"/>
        <v>0</v>
      </c>
      <c r="GI101" s="86" t="str">
        <f>IFERROR(IF(VLOOKUP(A101,tbMoveset!A2:B112,2,FALSE)="Sever",Backdoors!AY30/100,IF(VLOOKUP(A101,tbMoveset!A2:B112,2,FALSE)="Blunt",Backdoors!AZ30/100,Backdoors!BA30/100)),"")</f>
        <v/>
      </c>
      <c r="GJ101" s="49">
        <f>IFERROR(IF(VLOOKUP(tbMoveset!A101,tbMoveset!A2:H112,8,FALSE)="Other",IF(VLOOKUP(tbMoveset!A101,tbMoveset!A2:I112,9,FALSE)="Fire",Backdoors!BB30,IF(VLOOKUP(tbMoveset!A101,tbMoveset!A2:I112,9,FALSE)="Water",Backdoors!BC30,IF(VLOOKUP(tbMoveset!A101,tbMoveset!A2:I112,9,FALSE)="Thunder",Backdoors!BD30,IF(VLOOKUP(tbMoveset!A101,tbMoveset!A2:I112,9,FALSE)="Ice",Backdoors!BE30,IF(VLOOKUP(tbMoveset!A101,tbMoveset!A2:I112,9,FALSE)="Dragon",Backdoors!BF30,Backdoors!BG30)))))/100,Backdoors!BG30/100),"")</f>
        <v>0</v>
      </c>
      <c r="GK101" s="49">
        <f>IFERROR(IF(VLOOKUP(A101,tbMoveset!A2:J112,10,FALSE)=TRUE,IF((Backdoors!AI12+IF(GI101&gt;=0.45,VLOOKUP(Calculator!E23,tbSkills!DH3:DI6,2,FALSE)+IF(AND(Calculator!B8=TRUE,Backdoors!BI30=TRUE),VLOOKUP(Calculator!E23,tbSkills!DH3:DJ6,3,FALSE),0),0))&gt;=0,1+(Backdoors!AL2*(IF((Backdoors!AI12+IF(GI101&gt;=0.45,VLOOKUP(Calculator!E23,tbSkills!DH3:DI6,2,FALSE)+IF(AND(Calculator!B8=TRUE,Backdoors!BI30=TRUE),VLOOKUP(Calculator!E23,tbSkills!DH3:DJ6,3,FALSE),0),0))&gt;=100,100,(Backdoors!AI12+IF(GI101&gt;=0.45,VLOOKUP(Calculator!E23,tbSkills!DH3:DI6,2,FALSE)+IF(AND(Calculator!B8=TRUE,Backdoors!BI30=TRUE),VLOOKUP(Calculator!E23,tbSkills!DH3:DJ6,3,FALSE),0),0)))/100)),(1-(0.25*((-Backdoors!AI12-IF(GI101&gt;=0.45,VLOOKUP(Calculator!E23,tbSkills!DH3:DI6,2,FALSE)+IF(AND(Calculator!B8=TRUE,Backdoors!BI30=TRUE),VLOOKUP(Calculator!E23,tbSkills!DH3:DJ6,3,FALSE),0),0))/100)))),1),"")</f>
        <v>1</v>
      </c>
      <c r="GL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I101)*GK101)*(VLOOKUP(A101,tbMoveset!A2:C112,3,FALSE)/100)*IF(VLOOKUP(A101,tbMoveset!A2:B112,2,FALSE)="Projectile",Backdoors!N10,Backdoors!N9),0),"")</f>
        <v/>
      </c>
      <c r="GM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I101&gt;=0.45,VLOOKUP(Calculator!E23,tbSkills!DH3:DI6,2,FALSE)+IF(AND(Calculator!B8=TRUE,Backdoors!BI30=TRUE),VLOOKUP(Calculator!E23,tbSkills!DH3:DJ6,3,FALSE),0),0))&gt;=100,100,(Backdoors!AI12+IF(GI101&gt;=0.45,VLOOKUP(Calculator!E23,tbSkills!DH3:DI6,2,FALSE)+IF(AND(Calculator!B8=TRUE,Backdoors!BI30=TRUE),VLOOKUP(Calculator!E23,tbSkills!DH3:DJ6,3,FALSE),0),0)))/100)),1))*IF(VLOOKUP(A101,tbMoveset!A2:K112,11,FALSE)=TRUE,Backdoors!AC5,1))*GJ101,0),"")</f>
        <v>0</v>
      </c>
      <c r="GN101" s="49">
        <f>VLOOKUP(A101,tbMoveset!A2:G112,7,FALSE)*IFERROR(IF(Backdoors!AI12&gt;=0,1+(IF(Calculator!E40&gt;0,VLOOKUP(Calculator!E40,tbSkills!AI3:AJ5,2,FALSE),Backdoors!AL4)*(IF((Backdoors!AI12+IF(GI101&gt;=0.45,VLOOKUP(Calculator!E23,tbSkills!DH3:DI6,2,FALSE)+IF(AND(Calculator!B8=TRUE,Backdoors!BI30=TRUE),VLOOKUP(Calculator!E23,tbSkills!DH3:DJ6,3,FALSE),0),0))&gt;=100,100,(Backdoors!AI12+IF(GI101&gt;=0.45,VLOOKUP(Calculator!E23,tbSkills!DH3:DI6,2,FALSE)+IF(AND(Calculator!B8=TRUE,Backdoors!BI30=TRUE),VLOOKUP(Calculator!E23,tbSkills!DH3:DJ6,3,FALSE),0),0)))/100)),1),1)</f>
        <v>1</v>
      </c>
      <c r="GO101" s="87">
        <f t="shared" si="78"/>
        <v>0</v>
      </c>
      <c r="GP101" s="86" t="str">
        <f>IFERROR(IF(VLOOKUP(A101,tbMoveset!A2:B112,2,FALSE)="Sever",Backdoors!AY31/100,IF(VLOOKUP(A101,tbMoveset!A2:B112,2,FALSE)="Blunt",Backdoors!AZ31/100,Backdoors!BA31/100)),"")</f>
        <v/>
      </c>
      <c r="GQ101" s="49">
        <f>IFERROR(IF(VLOOKUP(tbMoveset!A101,tbMoveset!A2:H112,8,FALSE)="Other",IF(VLOOKUP(tbMoveset!A101,tbMoveset!A2:I112,9,FALSE)="Fire",Backdoors!BB31,IF(VLOOKUP(tbMoveset!A101,tbMoveset!A2:I112,9,FALSE)="Water",Backdoors!BC31,IF(VLOOKUP(tbMoveset!A101,tbMoveset!A2:I112,9,FALSE)="Thunder",Backdoors!BD31,IF(VLOOKUP(tbMoveset!A101,tbMoveset!A2:I112,9,FALSE)="Ice",Backdoors!BE31,IF(VLOOKUP(tbMoveset!A101,tbMoveset!A2:I112,9,FALSE)="Dragon",Backdoors!BF31,Backdoors!BG31)))))/100,Backdoors!BG31/100),"")</f>
        <v>0</v>
      </c>
      <c r="GR101" s="49">
        <f>IFERROR(IF(VLOOKUP(A101,tbMoveset!A2:J112,10,FALSE)=TRUE,IF((Backdoors!AI12+IF(GP101&gt;=0.45,VLOOKUP(Calculator!E23,tbSkills!DH3:DI6,2,FALSE)+IF(AND(Calculator!B8=TRUE,Backdoors!BI31=TRUE),VLOOKUP(Calculator!E23,tbSkills!DH3:DJ6,3,FALSE),0),0))&gt;=0,1+(Backdoors!AL2*(IF((Backdoors!AI12+IF(GP101&gt;=0.45,VLOOKUP(Calculator!E23,tbSkills!DH3:DI6,2,FALSE)+IF(AND(Calculator!B8=TRUE,Backdoors!BI31=TRUE),VLOOKUP(Calculator!E23,tbSkills!DH3:DJ6,3,FALSE),0),0))&gt;=100,100,(Backdoors!AI12+IF(GP101&gt;=0.45,VLOOKUP(Calculator!E23,tbSkills!DH3:DI6,2,FALSE)+IF(AND(Calculator!B8=TRUE,Backdoors!BI31=TRUE),VLOOKUP(Calculator!E23,tbSkills!DH3:DJ6,3,FALSE),0),0)))/100)),(1-(0.25*((-Backdoors!AI12-IF(GP101&gt;=0.45,VLOOKUP(Calculator!E23,tbSkills!DH3:DI6,2,FALSE)+IF(AND(Calculator!B8=TRUE,Backdoors!BI31=TRUE),VLOOKUP(Calculator!E23,tbSkills!DH3:DJ6,3,FALSE),0),0))/100)))),1),"")</f>
        <v>1</v>
      </c>
      <c r="GS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P101)*GR101)*(VLOOKUP(A101,tbMoveset!A2:C112,3,FALSE)/100)*IF(VLOOKUP(A101,tbMoveset!A2:B112,2,FALSE)="Projectile",Backdoors!N10,Backdoors!N9),0),"")</f>
        <v/>
      </c>
      <c r="GT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P101&gt;=0.45,VLOOKUP(Calculator!E23,tbSkills!DH3:DI6,2,FALSE)+IF(AND(Calculator!B8=TRUE,Backdoors!BI31=TRUE),VLOOKUP(Calculator!E23,tbSkills!DH3:DJ6,3,FALSE),0),0))&gt;=100,100,(Backdoors!AI12+IF(GP101&gt;=0.45,VLOOKUP(Calculator!E23,tbSkills!DH3:DI6,2,FALSE)+IF(AND(Calculator!B8=TRUE,Backdoors!BI31=TRUE),VLOOKUP(Calculator!E23,tbSkills!DH3:DJ6,3,FALSE),0),0)))/100)),1))*IF(VLOOKUP(A101,tbMoveset!A2:K112,11,FALSE)=TRUE,Backdoors!AC5,1))*GQ101,0),"")</f>
        <v>0</v>
      </c>
      <c r="GU101" s="49">
        <f>VLOOKUP(A101,tbMoveset!A2:G112,7,FALSE)*IFERROR(IF(Backdoors!AI12&gt;=0,1+(IF(Calculator!E40&gt;0,VLOOKUP(Calculator!E40,tbSkills!AI3:AJ5,2,FALSE),Backdoors!AL4)*(IF((Backdoors!AI12+IF(GP101&gt;=0.45,VLOOKUP(Calculator!E23,tbSkills!DH3:DI6,2,FALSE)+IF(AND(Calculator!B8=TRUE,Backdoors!BI31=TRUE),VLOOKUP(Calculator!E23,tbSkills!DH3:DJ6,3,FALSE),0),0))&gt;=100,100,(Backdoors!AI12+IF(GP101&gt;=0.45,VLOOKUP(Calculator!E23,tbSkills!DH3:DI6,2,FALSE)+IF(AND(Calculator!B8=TRUE,Backdoors!BI31=TRUE),VLOOKUP(Calculator!E23,tbSkills!DH3:DJ6,3,FALSE),0),0)))/100)),1),1)</f>
        <v>1</v>
      </c>
      <c r="GV101" s="87">
        <f t="shared" si="79"/>
        <v>0</v>
      </c>
      <c r="GW101" s="86" t="str">
        <f>IFERROR(IF(VLOOKUP(A101,tbMoveset!A2:B112,2,FALSE)="Sever",Backdoors!AY32/100,IF(VLOOKUP(A101,tbMoveset!A2:B112,2,FALSE)="Blunt",Backdoors!AZ32/100,Backdoors!BA32/100)),"")</f>
        <v/>
      </c>
      <c r="GX101" s="49">
        <f>IFERROR(IF(VLOOKUP(tbMoveset!A101,tbMoveset!A2:H112,8,FALSE)="Other",IF(VLOOKUP(tbMoveset!A101,tbMoveset!A2:I112,9,FALSE)="Fire",Backdoors!BB32,IF(VLOOKUP(tbMoveset!A101,tbMoveset!A2:I112,9,FALSE)="Water",Backdoors!BC32,IF(VLOOKUP(tbMoveset!A101,tbMoveset!A2:I112,9,FALSE)="Thunder",Backdoors!BD32,IF(VLOOKUP(tbMoveset!A101,tbMoveset!A2:I112,9,FALSE)="Ice",Backdoors!BE32,IF(VLOOKUP(tbMoveset!A101,tbMoveset!A2:I112,9,FALSE)="Dragon",Backdoors!BF32,Backdoors!BG32)))))/100,Backdoors!BG32/100),"")</f>
        <v>0</v>
      </c>
      <c r="GY101" s="49">
        <f>IFERROR(IF(VLOOKUP(A101,tbMoveset!A2:J112,10,FALSE)=TRUE,IF((Backdoors!AI12+IF(GW101&gt;=0.45,VLOOKUP(Calculator!E23,tbSkills!DH3:DI6,2,FALSE)+IF(AND(Calculator!B8=TRUE,Backdoors!BI32=TRUE),VLOOKUP(Calculator!E23,tbSkills!DH3:DJ6,3,FALSE),0),0))&gt;=0,1+(Backdoors!AL2*(IF((Backdoors!AI12+IF(GW101&gt;=0.45,VLOOKUP(Calculator!E23,tbSkills!DH3:DI6,2,FALSE)+IF(AND(Calculator!B8=TRUE,Backdoors!BI32=TRUE),VLOOKUP(Calculator!E23,tbSkills!DH3:DJ6,3,FALSE),0),0))&gt;=100,100,(Backdoors!AI12+IF(GW101&gt;=0.45,VLOOKUP(Calculator!E23,tbSkills!DH3:DI6,2,FALSE)+IF(AND(Calculator!B8=TRUE,Backdoors!BI32=TRUE),VLOOKUP(Calculator!E23,tbSkills!DH3:DJ6,3,FALSE),0),0)))/100)),(1-(0.25*((-Backdoors!AI12-IF(GW101&gt;=0.45,VLOOKUP(Calculator!E23,tbSkills!DH3:DI6,2,FALSE)+IF(AND(Calculator!B8=TRUE,Backdoors!BI32=TRUE),VLOOKUP(Calculator!E23,tbSkills!DH3:DJ6,3,FALSE),0),0))/100)))),1),"")</f>
        <v>1</v>
      </c>
      <c r="GZ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W101)*GY101)*(VLOOKUP(A101,tbMoveset!A2:C112,3,FALSE)/100)*IF(VLOOKUP(A101,tbMoveset!A2:B112,2,FALSE)="Projectile",Backdoors!N10,Backdoors!N9),0),"")</f>
        <v/>
      </c>
      <c r="HA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W101&gt;=0.45,VLOOKUP(Calculator!E23,tbSkills!DH3:DI6,2,FALSE)+IF(AND(Calculator!B8=TRUE,Backdoors!BI32=TRUE),VLOOKUP(Calculator!E23,tbSkills!DH3:DJ6,3,FALSE),0),0))&gt;=100,100,(Backdoors!AI12+IF(GW101&gt;=0.45,VLOOKUP(Calculator!E23,tbSkills!DH3:DI6,2,FALSE)+IF(AND(Calculator!B8=TRUE,Backdoors!BI32=TRUE),VLOOKUP(Calculator!E23,tbSkills!DH3:DJ6,3,FALSE),0),0)))/100)),1))*IF(VLOOKUP(A101,tbMoveset!A2:K112,11,FALSE)=TRUE,Backdoors!AC5,1))*GX101,0),"")</f>
        <v>0</v>
      </c>
      <c r="HB101" s="49">
        <f>VLOOKUP(A101,tbMoveset!A2:G112,7,FALSE)*IFERROR(IF(Backdoors!AI12&gt;=0,1+(IF(Calculator!E40&gt;0,VLOOKUP(Calculator!E40,tbSkills!AI3:AJ5,2,FALSE),Backdoors!AL4)*(IF((Backdoors!AI12+IF(GW101&gt;=0.45,VLOOKUP(Calculator!E23,tbSkills!DH3:DI6,2,FALSE)+IF(AND(Calculator!B8=TRUE,Backdoors!BI32=TRUE),VLOOKUP(Calculator!E23,tbSkills!DH3:DJ6,3,FALSE),0),0))&gt;=100,100,(Backdoors!AI12+IF(GW101&gt;=0.45,VLOOKUP(Calculator!E23,tbSkills!DH3:DI6,2,FALSE)+IF(AND(Calculator!B8=TRUE,Backdoors!BI32=TRUE),VLOOKUP(Calculator!E23,tbSkills!DH3:DJ6,3,FALSE),0),0)))/100)),1),1)</f>
        <v>1</v>
      </c>
      <c r="HC101" s="87">
        <f t="shared" si="80"/>
        <v>0</v>
      </c>
      <c r="HD101" s="86" t="str">
        <f>IFERROR(IF(VLOOKUP(A101,tbMoveset!A2:B112,2,FALSE)="Sever",Backdoors!AY33/100,IF(VLOOKUP(A101,tbMoveset!A2:B112,2,FALSE)="Blunt",Backdoors!AZ33/100,Backdoors!BA33/100)),"")</f>
        <v/>
      </c>
      <c r="HE101" s="49">
        <f>IFERROR(IF(VLOOKUP(tbMoveset!A101,tbMoveset!A2:H112,8,FALSE)="Other",IF(VLOOKUP(tbMoveset!A101,tbMoveset!A2:I112,9,FALSE)="Fire",Backdoors!BB33,IF(VLOOKUP(tbMoveset!A101,tbMoveset!A2:I112,9,FALSE)="Water",Backdoors!BC33,IF(VLOOKUP(tbMoveset!A101,tbMoveset!A2:I112,9,FALSE)="Thunder",Backdoors!BD33,IF(VLOOKUP(tbMoveset!A101,tbMoveset!A2:I112,9,FALSE)="Ice",Backdoors!BE33,IF(VLOOKUP(tbMoveset!A101,tbMoveset!A2:I112,9,FALSE)="Dragon",Backdoors!BF33,Backdoors!BG33)))))/100,Backdoors!BG33/100),"")</f>
        <v>0</v>
      </c>
      <c r="HF101" s="49">
        <f>IFERROR(IF(VLOOKUP(A101,tbMoveset!A2:J112,10,FALSE)=TRUE,IF((Backdoors!AI12+IF(HD101&gt;=0.45,VLOOKUP(Calculator!E23,tbSkills!DH3:DI6,2,FALSE)+IF(AND(Calculator!B8=TRUE,Backdoors!BI33=TRUE),VLOOKUP(Calculator!E23,tbSkills!DH3:DJ6,3,FALSE),0),0))&gt;=0,1+(Backdoors!AL2*(IF((Backdoors!AI12+IF(HD101&gt;=0.45,VLOOKUP(Calculator!E23,tbSkills!DH3:DI6,2,FALSE)+IF(AND(Calculator!B8=TRUE,Backdoors!BI33=TRUE),VLOOKUP(Calculator!E23,tbSkills!DH3:DJ6,3,FALSE),0),0))&gt;=100,100,(Backdoors!AI12+IF(HD101&gt;=0.45,VLOOKUP(Calculator!E23,tbSkills!DH3:DI6,2,FALSE)+IF(AND(Calculator!B8=TRUE,Backdoors!BI33=TRUE),VLOOKUP(Calculator!E23,tbSkills!DH3:DJ6,3,FALSE),0),0)))/100)),(1-(0.25*((-Backdoors!AI12-IF(HD101&gt;=0.45,VLOOKUP(Calculator!E23,tbSkills!DH3:DI6,2,FALSE)+IF(AND(Calculator!B8=TRUE,Backdoors!BI33=TRUE),VLOOKUP(Calculator!E23,tbSkills!DH3:DJ6,3,FALSE),0),0))/100)))),1),"")</f>
        <v>1</v>
      </c>
      <c r="HG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D101)*HF101)*(VLOOKUP(A101,tbMoveset!A2:C112,3,FALSE)/100)*IF(VLOOKUP(A101,tbMoveset!A2:B112,2,FALSE)="Projectile",Backdoors!N10,Backdoors!N9),0),"")</f>
        <v/>
      </c>
      <c r="HH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D101&gt;=0.45,VLOOKUP(Calculator!E23,tbSkills!DH3:DI6,2,FALSE)+IF(AND(Calculator!B8=TRUE,Backdoors!BI33=TRUE),VLOOKUP(Calculator!E23,tbSkills!DH3:DJ6,3,FALSE),0),0))&gt;=100,100,(Backdoors!AI12+IF(HD101&gt;=0.45,VLOOKUP(Calculator!E23,tbSkills!DH3:DI6,2,FALSE)+IF(AND(Calculator!B8=TRUE,Backdoors!BI33=TRUE),VLOOKUP(Calculator!E23,tbSkills!DH3:DJ6,3,FALSE),0),0)))/100)),1))*IF(VLOOKUP(A101,tbMoveset!A2:K112,11,FALSE)=TRUE,Backdoors!AC5,1))*HE101,0),"")</f>
        <v>0</v>
      </c>
      <c r="HI101" s="49">
        <f>VLOOKUP(A101,tbMoveset!A2:G112,7,FALSE)*IFERROR(IF(Backdoors!AI12&gt;=0,1+(IF(Calculator!E40&gt;0,VLOOKUP(Calculator!E40,tbSkills!AI3:AJ5,2,FALSE),Backdoors!AL4)*(IF((Backdoors!AI12+IF(HD101&gt;=0.45,VLOOKUP(Calculator!E23,tbSkills!DH3:DI6,2,FALSE)+IF(AND(Calculator!B8=TRUE,Backdoors!BI33=TRUE),VLOOKUP(Calculator!E23,tbSkills!DH3:DJ6,3,FALSE),0),0))&gt;=100,100,(Backdoors!AI12+IF(HD101&gt;=0.45,VLOOKUP(Calculator!E23,tbSkills!DH3:DI6,2,FALSE)+IF(AND(Calculator!B8=TRUE,Backdoors!BI33=TRUE),VLOOKUP(Calculator!E23,tbSkills!DH3:DJ6,3,FALSE),0),0)))/100)),1),1)</f>
        <v>1</v>
      </c>
      <c r="HJ101" s="87">
        <f t="shared" si="81"/>
        <v>0</v>
      </c>
      <c r="HK101" s="86" t="str">
        <f>IFERROR(IF(VLOOKUP(A101,tbMoveset!A2:B112,2,FALSE)="Sever",Backdoors!AY34/100,IF(VLOOKUP(A101,tbMoveset!A2:B112,2,FALSE)="Blunt",Backdoors!AZ34/100,Backdoors!BA34/100)),"")</f>
        <v/>
      </c>
      <c r="HL101" s="49">
        <f>IFERROR(IF(VLOOKUP(tbMoveset!A101,tbMoveset!A2:H112,8,FALSE)="Other",IF(VLOOKUP(tbMoveset!A101,tbMoveset!A2:I112,9,FALSE)="Fire",Backdoors!BB34,IF(VLOOKUP(tbMoveset!A101,tbMoveset!A2:I112,9,FALSE)="Water",Backdoors!BC34,IF(VLOOKUP(tbMoveset!A101,tbMoveset!A2:I112,9,FALSE)="Thunder",Backdoors!BD34,IF(VLOOKUP(tbMoveset!A101,tbMoveset!A2:I112,9,FALSE)="Ice",Backdoors!BE34,IF(VLOOKUP(tbMoveset!A101,tbMoveset!A2:I112,9,FALSE)="Dragon",Backdoors!BF34,Backdoors!BG34)))))/100,Backdoors!BG34/100),"")</f>
        <v>0</v>
      </c>
      <c r="HM101" s="49">
        <f>IFERROR(IF(VLOOKUP(A101,tbMoveset!A2:J112,10,FALSE)=TRUE,IF((Backdoors!AI12+IF(HK101&gt;=0.45,VLOOKUP(Calculator!E23,tbSkills!DH3:DI6,2,FALSE)+IF(AND(Calculator!B8=TRUE,Backdoors!BI34=TRUE),VLOOKUP(Calculator!E23,tbSkills!DH3:DJ6,3,FALSE),0),0))&gt;=0,1+(Backdoors!AL2*(IF((Backdoors!AI12+IF(HK101&gt;=0.45,VLOOKUP(Calculator!E23,tbSkills!DH3:DI6,2,FALSE)+IF(AND(Calculator!B8=TRUE,Backdoors!BI34=TRUE),VLOOKUP(Calculator!E23,tbSkills!DH3:DJ6,3,FALSE),0),0))&gt;=100,100,(Backdoors!AI12+IF(HK101&gt;=0.45,VLOOKUP(Calculator!E23,tbSkills!DH3:DI6,2,FALSE)+IF(AND(Calculator!B8=TRUE,Backdoors!BI34=TRUE),VLOOKUP(Calculator!E23,tbSkills!DH3:DJ6,3,FALSE),0),0)))/100)),(1-(0.25*((-Backdoors!AI12-IF(HK101&gt;=0.45,VLOOKUP(Calculator!E23,tbSkills!DH3:DI6,2,FALSE)+IF(AND(Calculator!B8=TRUE,Backdoors!BI34=TRUE),VLOOKUP(Calculator!E23,tbSkills!DH3:DJ6,3,FALSE),0),0))/100)))),1),"")</f>
        <v>1</v>
      </c>
      <c r="HN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K101)*HM101)*(VLOOKUP(A101,tbMoveset!A2:C112,3,FALSE)/100)*IF(VLOOKUP(A101,tbMoveset!A2:B112,2,FALSE)="Projectile",Backdoors!N10,Backdoors!N9),0),"")</f>
        <v/>
      </c>
      <c r="HO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K101&gt;=0.45,VLOOKUP(Calculator!E23,tbSkills!DH3:DI6,2,FALSE)+IF(AND(Calculator!B8=TRUE,Backdoors!BI34=TRUE),VLOOKUP(Calculator!E23,tbSkills!DH3:DJ6,3,FALSE),0),0))&gt;=100,100,(Backdoors!AI12+IF(HK101&gt;=0.45,VLOOKUP(Calculator!E23,tbSkills!DH3:DI6,2,FALSE)+IF(AND(Calculator!B8=TRUE,Backdoors!BI34=TRUE),VLOOKUP(Calculator!E23,tbSkills!DH3:DJ6,3,FALSE),0),0)))/100)),1))*IF(VLOOKUP(A101,tbMoveset!A2:K112,11,FALSE)=TRUE,Backdoors!AC5,1))*HL101,0),"")</f>
        <v>0</v>
      </c>
      <c r="HP101" s="49">
        <f>VLOOKUP(A101,tbMoveset!A2:G112,7,FALSE)*IFERROR(IF(Backdoors!AI12&gt;=0,1+(IF(Calculator!E40&gt;0,VLOOKUP(Calculator!E40,tbSkills!AI3:AJ5,2,FALSE),Backdoors!AL4)*(IF((Backdoors!AI12+IF(HK101&gt;=0.45,VLOOKUP(Calculator!E23,tbSkills!DH3:DI6,2,FALSE)+IF(AND(Calculator!B8=TRUE,Backdoors!BI34=TRUE),VLOOKUP(Calculator!E23,tbSkills!DH3:DJ6,3,FALSE),0),0))&gt;=100,100,(Backdoors!AI12+IF(HK101&gt;=0.45,VLOOKUP(Calculator!E23,tbSkills!DH3:DI6,2,FALSE)+IF(AND(Calculator!B8=TRUE,Backdoors!BI34=TRUE),VLOOKUP(Calculator!E23,tbSkills!DH3:DJ6,3,FALSE),0),0)))/100)),1),1)</f>
        <v>1</v>
      </c>
      <c r="HQ101" s="87">
        <f t="shared" si="82"/>
        <v>0</v>
      </c>
      <c r="HR101" s="86" t="str">
        <f>IFERROR(IF(VLOOKUP(A101,tbMoveset!A2:B112,2,FALSE)="Sever",Backdoors!AY35/100,IF(VLOOKUP(A101,tbMoveset!A2:B112,2,FALSE)="Blunt",Backdoors!AZ35/100,Backdoors!BA35/100)),"")</f>
        <v/>
      </c>
      <c r="HS101" s="49">
        <f>IFERROR(IF(VLOOKUP(tbMoveset!A101,tbMoveset!A2:H112,8,FALSE)="Other",IF(VLOOKUP(tbMoveset!A101,tbMoveset!A2:I112,9,FALSE)="Fire",Backdoors!BB35,IF(VLOOKUP(tbMoveset!A101,tbMoveset!A2:I112,9,FALSE)="Water",Backdoors!BC35,IF(VLOOKUP(tbMoveset!A101,tbMoveset!A2:I112,9,FALSE)="Thunder",Backdoors!BD35,IF(VLOOKUP(tbMoveset!A101,tbMoveset!A2:I112,9,FALSE)="Ice",Backdoors!BE35,IF(VLOOKUP(tbMoveset!A101,tbMoveset!A2:I112,9,FALSE)="Dragon",Backdoors!BF35,Backdoors!BG35)))))/100,Backdoors!BG35/100),"")</f>
        <v>0</v>
      </c>
      <c r="HT101" s="49">
        <f>IFERROR(IF(VLOOKUP(A101,tbMoveset!A2:J112,10,FALSE)=TRUE,IF((Backdoors!AI12+IF(HR101&gt;=0.45,VLOOKUP(Calculator!E23,tbSkills!DH3:DI6,2,FALSE)+IF(AND(Calculator!B8=TRUE,Backdoors!BI35=TRUE),VLOOKUP(Calculator!E23,tbSkills!DH3:DJ6,3,FALSE),0),0))&gt;=0,1+(Backdoors!AL2*(IF((Backdoors!AI12+IF(HR101&gt;=0.45,VLOOKUP(Calculator!E23,tbSkills!DH3:DI6,2,FALSE)+IF(AND(Calculator!B8=TRUE,Backdoors!BI35=TRUE),VLOOKUP(Calculator!E23,tbSkills!DH3:DJ6,3,FALSE),0),0))&gt;=100,100,(Backdoors!AI12+IF(HR101&gt;=0.45,VLOOKUP(Calculator!E23,tbSkills!DH3:DI6,2,FALSE)+IF(AND(Calculator!B8=TRUE,Backdoors!BI35=TRUE),VLOOKUP(Calculator!E23,tbSkills!DH3:DJ6,3,FALSE),0),0)))/100)),(1-(0.25*((-Backdoors!AI12-IF(HR101&gt;=0.45,VLOOKUP(Calculator!E23,tbSkills!DH3:DI6,2,FALSE)+IF(AND(Calculator!B8=TRUE,Backdoors!BI35=TRUE),VLOOKUP(Calculator!E23,tbSkills!DH3:DJ6,3,FALSE),0),0))/100)))),1),"")</f>
        <v>1</v>
      </c>
      <c r="HU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R101)*HT101)*(VLOOKUP(A101,tbMoveset!A2:C112,3,FALSE)/100)*IF(VLOOKUP(A101,tbMoveset!A2:B112,2,FALSE)="Projectile",Backdoors!N10,Backdoors!N9),0),"")</f>
        <v/>
      </c>
      <c r="HV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R101&gt;=0.45,VLOOKUP(Calculator!E23,tbSkills!DH3:DI6,2,FALSE)+IF(AND(Calculator!B8=TRUE,Backdoors!BI35=TRUE),VLOOKUP(Calculator!E23,tbSkills!DH3:DJ6,3,FALSE),0),0))&gt;=100,100,(Backdoors!AI12+IF(HR101&gt;=0.45,VLOOKUP(Calculator!E23,tbSkills!DH3:DI6,2,FALSE)+IF(AND(Calculator!B8=TRUE,Backdoors!BI35=TRUE),VLOOKUP(Calculator!E23,tbSkills!DH3:DJ6,3,FALSE),0),0)))/100)),1))*IF(VLOOKUP(A101,tbMoveset!A2:K112,11,FALSE)=TRUE,Backdoors!AC5,1))*HS101,0),"")</f>
        <v>0</v>
      </c>
      <c r="HW101" s="49">
        <f>VLOOKUP(A101,tbMoveset!A2:G112,7,FALSE)*IFERROR(IF(Backdoors!AI12&gt;=0,1+(IF(Calculator!E40&gt;0,VLOOKUP(Calculator!E40,tbSkills!AI3:AJ5,2,FALSE),Backdoors!AL4)*(IF((Backdoors!AI12+IF(HR101&gt;=0.45,VLOOKUP(Calculator!E23,tbSkills!DH3:DI6,2,FALSE)+IF(AND(Calculator!B8=TRUE,Backdoors!BI35=TRUE),VLOOKUP(Calculator!E23,tbSkills!DH3:DJ6,3,FALSE),0),0))&gt;=100,100,(Backdoors!AI12+IF(HR101&gt;=0.45,VLOOKUP(Calculator!E23,tbSkills!DH3:DI6,2,FALSE)+IF(AND(Calculator!B8=TRUE,Backdoors!BI35=TRUE),VLOOKUP(Calculator!E23,tbSkills!DH3:DJ6,3,FALSE),0),0)))/100)),1),1)</f>
        <v>1</v>
      </c>
      <c r="HX101" s="87">
        <f t="shared" si="83"/>
        <v>0</v>
      </c>
      <c r="HY101" s="86" t="str">
        <f>IFERROR(IF(VLOOKUP(A101,tbMoveset!A2:B112,2,FALSE)="Sever",Backdoors!AY36/100,IF(VLOOKUP(A101,tbMoveset!A2:B112,2,FALSE)="Blunt",Backdoors!AZ36/100,Backdoors!BA36/100)),"")</f>
        <v/>
      </c>
      <c r="HZ101" s="49">
        <f>IFERROR(IF(VLOOKUP(tbMoveset!A101,tbMoveset!A2:H112,8,FALSE)="Other",IF(VLOOKUP(tbMoveset!A101,tbMoveset!A2:I112,9,FALSE)="Fire",Backdoors!BB36,IF(VLOOKUP(tbMoveset!A101,tbMoveset!A2:I112,9,FALSE)="Water",Backdoors!BC36,IF(VLOOKUP(tbMoveset!A101,tbMoveset!A2:I112,9,FALSE)="Thunder",Backdoors!BD36,IF(VLOOKUP(tbMoveset!A101,tbMoveset!A2:I112,9,FALSE)="Ice",Backdoors!BE36,IF(VLOOKUP(tbMoveset!A101,tbMoveset!A2:I112,9,FALSE)="Dragon",Backdoors!BF36,Backdoors!BG36)))))/100,Backdoors!BG36/100),"")</f>
        <v>0</v>
      </c>
      <c r="IA101" s="49">
        <f>IFERROR(IF(VLOOKUP(A101,tbMoveset!A2:J112,10,FALSE)=TRUE,IF((Backdoors!AI12+IF(HY101&gt;=0.45,VLOOKUP(Calculator!E23,tbSkills!DH3:DI6,2,FALSE)+IF(AND(Calculator!B8=TRUE,Backdoors!BI36=TRUE),VLOOKUP(Calculator!E23,tbSkills!DH3:DJ6,3,FALSE),0),0))&gt;=0,1+(Backdoors!AL2*(IF((Backdoors!AI12+IF(HY101&gt;=0.45,VLOOKUP(Calculator!E23,tbSkills!DH3:DI6,2,FALSE)+IF(AND(Calculator!B8=TRUE,Backdoors!BI36=TRUE),VLOOKUP(Calculator!E23,tbSkills!DH3:DJ6,3,FALSE),0),0))&gt;=100,100,(Backdoors!AI12+IF(HY101&gt;=0.45,VLOOKUP(Calculator!E23,tbSkills!DH3:DI6,2,FALSE)+IF(AND(Calculator!B8=TRUE,Backdoors!BI36=TRUE),VLOOKUP(Calculator!E23,tbSkills!DH3:DJ6,3,FALSE),0),0)))/100)),(1-(0.25*((-Backdoors!AI12-IF(HY101&gt;=0.45,VLOOKUP(Calculator!E23,tbSkills!DH3:DI6,2,FALSE)+IF(AND(Calculator!B8=TRUE,Backdoors!BI36=TRUE),VLOOKUP(Calculator!E23,tbSkills!DH3:DJ6,3,FALSE),0),0))/100)))),1),"")</f>
        <v>1</v>
      </c>
      <c r="IB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Y101)*IA101)*(VLOOKUP(A101,tbMoveset!A2:C112,3,FALSE)/100)*IF(VLOOKUP(A101,tbMoveset!A2:B112,2,FALSE)="Projectile",Backdoors!N10,Backdoors!N9),0),"")</f>
        <v/>
      </c>
      <c r="IC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Y101&gt;=0.45,VLOOKUP(Calculator!E23,tbSkills!DH3:DI6,2,FALSE)+IF(AND(Calculator!B8=TRUE,Backdoors!BI36=TRUE),VLOOKUP(Calculator!E23,tbSkills!DH3:DJ6,3,FALSE),0),0))&gt;=100,100,(Backdoors!AI12+IF(HY101&gt;=0.45,VLOOKUP(Calculator!E23,tbSkills!DH3:DI6,2,FALSE)+IF(AND(Calculator!B8=TRUE,Backdoors!BI36=TRUE),VLOOKUP(Calculator!E23,tbSkills!DH3:DJ6,3,FALSE),0),0)))/100)),1))*IF(VLOOKUP(A101,tbMoveset!A2:K112,11,FALSE)=TRUE,Backdoors!AC5,1))*HZ101,0),"")</f>
        <v>0</v>
      </c>
      <c r="ID101" s="49">
        <f>VLOOKUP(A101,tbMoveset!A2:G112,7,FALSE)*IFERROR(IF(Backdoors!AI12&gt;=0,1+(IF(Calculator!E40&gt;0,VLOOKUP(Calculator!E40,tbSkills!AI3:AJ5,2,FALSE),Backdoors!AL4)*(IF((Backdoors!AI12+IF(HY101&gt;=0.45,VLOOKUP(Calculator!E23,tbSkills!DH3:DI6,2,FALSE)+IF(AND(Calculator!B8=TRUE,Backdoors!BI36=TRUE),VLOOKUP(Calculator!E23,tbSkills!DH3:DJ6,3,FALSE),0),0))&gt;=100,100,(Backdoors!AI12+IF(HY101&gt;=0.45,VLOOKUP(Calculator!E23,tbSkills!DH3:DI6,2,FALSE)+IF(AND(Calculator!B8=TRUE,Backdoors!BI36=TRUE),VLOOKUP(Calculator!E23,tbSkills!DH3:DJ6,3,FALSE),0),0)))/100)),1),1)</f>
        <v>1</v>
      </c>
      <c r="IE101" s="87">
        <f t="shared" si="84"/>
        <v>0</v>
      </c>
      <c r="IF101" s="86" t="str">
        <f>IFERROR(IF(VLOOKUP(A101,tbMoveset!A2:B112,2,FALSE)="Sever",Backdoors!AY37/100,IF(VLOOKUP(A101,tbMoveset!A2:B112,2,FALSE)="Blunt",Backdoors!AZ37/100,Backdoors!BA37/100)),"")</f>
        <v/>
      </c>
      <c r="IG101" s="49">
        <f>IFERROR(IF(VLOOKUP(tbMoveset!A101,tbMoveset!A2:H112,8,FALSE)="Other",IF(VLOOKUP(tbMoveset!A101,tbMoveset!A2:I112,9,FALSE)="Fire",Backdoors!BB37,IF(VLOOKUP(tbMoveset!A101,tbMoveset!A2:I112,9,FALSE)="Water",Backdoors!BC37,IF(VLOOKUP(tbMoveset!A101,tbMoveset!A2:I112,9,FALSE)="Thunder",Backdoors!BD37,IF(VLOOKUP(tbMoveset!A101,tbMoveset!A2:I112,9,FALSE)="Ice",Backdoors!BE37,IF(VLOOKUP(tbMoveset!A101,tbMoveset!A2:I112,9,FALSE)="Dragon",Backdoors!BF37,Backdoors!BG37)))))/100,Backdoors!BG37/100),"")</f>
        <v>0</v>
      </c>
      <c r="IH101" s="49">
        <f>IFERROR(IF(VLOOKUP(A101,tbMoveset!A2:J112,10,FALSE)=TRUE,IF((Backdoors!AI12+IF(IF101&gt;=0.45,VLOOKUP(Calculator!E23,tbSkills!DH3:DI6,2,FALSE)+IF(AND(Calculator!B8=TRUE,Backdoors!BI37=TRUE),VLOOKUP(Calculator!E23,tbSkills!DH3:DJ6,3,FALSE),0),0))&gt;=0,1+(Backdoors!AL2*(IF((Backdoors!AI12+IF(IF101&gt;=0.45,VLOOKUP(Calculator!E23,tbSkills!DH3:DI6,2,FALSE)+IF(AND(Calculator!B8=TRUE,Backdoors!BI37=TRUE),VLOOKUP(Calculator!E23,tbSkills!DH3:DJ6,3,FALSE),0),0))&gt;=100,100,(Backdoors!AI12+IF(IF101&gt;=0.45,VLOOKUP(Calculator!E23,tbSkills!DH3:DI6,2,FALSE)+IF(AND(Calculator!B8=TRUE,Backdoors!BI37=TRUE),VLOOKUP(Calculator!E23,tbSkills!DH3:DJ6,3,FALSE),0),0)))/100)),(1-(0.25*((-Backdoors!AI12-IF(IF101&gt;=0.45,VLOOKUP(Calculator!E23,tbSkills!DH3:DI6,2,FALSE)+IF(AND(Calculator!B8=TRUE,Backdoors!BI37=TRUE),VLOOKUP(Calculator!E23,tbSkills!DH3:DJ6,3,FALSE),0),0))/100)))),1),"")</f>
        <v>1</v>
      </c>
      <c r="II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F101)*IH101)*(VLOOKUP(A101,tbMoveset!A2:C112,3,FALSE)/100)*IF(VLOOKUP(A101,tbMoveset!A2:B112,2,FALSE)="Projectile",Backdoors!N10,Backdoors!N9),0),"")</f>
        <v/>
      </c>
      <c r="IJ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IF101&gt;=0.45,VLOOKUP(Calculator!E23,tbSkills!DH3:DI6,2,FALSE)+IF(AND(Calculator!B8=TRUE,Backdoors!BI37=TRUE),VLOOKUP(Calculator!E23,tbSkills!DH3:DJ6,3,FALSE),0),0))&gt;=100,100,(Backdoors!AI12+IF(IF101&gt;=0.45,VLOOKUP(Calculator!E23,tbSkills!DH3:DI6,2,FALSE)+IF(AND(Calculator!B8=TRUE,Backdoors!BI37=TRUE),VLOOKUP(Calculator!E23,tbSkills!DH3:DJ6,3,FALSE),0),0)))/100)),1))*IF(VLOOKUP(A101,tbMoveset!A2:K112,11,FALSE)=TRUE,Backdoors!AC5,1))*IG101,0),"")</f>
        <v>0</v>
      </c>
      <c r="IK101" s="49">
        <f>VLOOKUP(A101,tbMoveset!A2:G112,7,FALSE)*IFERROR(IF(Backdoors!AI12&gt;=0,1+(IF(Calculator!E40&gt;0,VLOOKUP(Calculator!E40,tbSkills!AI3:AJ5,2,FALSE),Backdoors!AL4)*(IF((Backdoors!AI12+IF(IF101&gt;=0.45,VLOOKUP(Calculator!E23,tbSkills!DH3:DI6,2,FALSE)+IF(AND(Calculator!B8=TRUE,Backdoors!BI37=TRUE),VLOOKUP(Calculator!E23,tbSkills!DH3:DJ6,3,FALSE),0),0))&gt;=100,100,(Backdoors!AI12+IF(IF101&gt;=0.45,VLOOKUP(Calculator!E23,tbSkills!DH3:DI6,2,FALSE)+IF(AND(Calculator!B8=TRUE,Backdoors!BI37=TRUE),VLOOKUP(Calculator!E23,tbSkills!DH3:DJ6,3,FALSE),0),0)))/100)),1),1)</f>
        <v>1</v>
      </c>
      <c r="IL101" s="87">
        <f t="shared" si="85"/>
        <v>0</v>
      </c>
      <c r="IM101" s="86" t="str">
        <f>IFERROR(IF(VLOOKUP(A101,tbMoveset!A2:B112,2,FALSE)="Sever",Backdoors!AY38/100,IF(VLOOKUP(A101,tbMoveset!A2:B112,2,FALSE)="Blunt",Backdoors!AZ38/100,Backdoors!BA38/100)),"")</f>
        <v/>
      </c>
      <c r="IN101" s="49">
        <f>IFERROR(IF(VLOOKUP(tbMoveset!A101,tbMoveset!A2:H112,8,FALSE)="Other",IF(VLOOKUP(tbMoveset!A101,tbMoveset!A2:I112,9,FALSE)="Fire",Backdoors!BB38,IF(VLOOKUP(tbMoveset!A101,tbMoveset!A2:I112,9,FALSE)="Water",Backdoors!BC38,IF(VLOOKUP(tbMoveset!A101,tbMoveset!A2:I112,9,FALSE)="Thunder",Backdoors!BD38,IF(VLOOKUP(tbMoveset!A101,tbMoveset!A2:I112,9,FALSE)="Ice",Backdoors!BE38,IF(VLOOKUP(tbMoveset!A101,tbMoveset!A2:I112,9,FALSE)="Dragon",Backdoors!BF38,Backdoors!BG38)))))/100,Backdoors!BG38/100),"")</f>
        <v>0</v>
      </c>
      <c r="IO101" s="49">
        <f>IFERROR(IF(VLOOKUP(A101,tbMoveset!A2:J112,10,FALSE)=TRUE,IF((Backdoors!AI12+IF(IM101&gt;=0.45,VLOOKUP(Calculator!E23,tbSkills!DH3:DI6,2,FALSE)+IF(AND(Calculator!B8=TRUE,Backdoors!BI38=TRUE),VLOOKUP(Calculator!E23,tbSkills!DH3:DJ6,3,FALSE),0),0))&gt;=0,1+(Backdoors!AL2*(IF((Backdoors!AI12+IF(IM101&gt;=0.45,VLOOKUP(Calculator!E23,tbSkills!DH3:DI6,2,FALSE)+IF(AND(Calculator!B8=TRUE,Backdoors!BI38=TRUE),VLOOKUP(Calculator!E23,tbSkills!DH3:DJ6,3,FALSE),0),0))&gt;=100,100,(Backdoors!AI12+IF(IM101&gt;=0.45,VLOOKUP(Calculator!E23,tbSkills!DH3:DI6,2,FALSE)+IF(AND(Calculator!B8=TRUE,Backdoors!BI38=TRUE),VLOOKUP(Calculator!E23,tbSkills!DH3:DJ6,3,FALSE),0),0)))/100)),(1-(0.25*((-Backdoors!AI12-IF(IM101&gt;=0.45,VLOOKUP(Calculator!E23,tbSkills!DH3:DI6,2,FALSE)+IF(AND(Calculator!B8=TRUE,Backdoors!BI38=TRUE),VLOOKUP(Calculator!E23,tbSkills!DH3:DJ6,3,FALSE),0),0))/100)))),1),"")</f>
        <v>1</v>
      </c>
      <c r="IP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M101)*IO101)*(VLOOKUP(A101,tbMoveset!A2:C112,3,FALSE)/100)*IF(VLOOKUP(A101,tbMoveset!A2:B112,2,FALSE)="Projectile",Backdoors!N10,Backdoors!N9),0),"")</f>
        <v/>
      </c>
      <c r="IQ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IM101&gt;=0.45,VLOOKUP(Calculator!E23,tbSkills!DH3:DI6,2,FALSE)+IF(AND(Calculator!B8=TRUE,Backdoors!BI38=TRUE),VLOOKUP(Calculator!E23,tbSkills!DH3:DJ6,3,FALSE),0),0))&gt;=100,100,(Backdoors!AI12+IF(IM101&gt;=0.45,VLOOKUP(Calculator!E23,tbSkills!DH3:DI6,2,FALSE)+IF(AND(Calculator!B8=TRUE,Backdoors!BI38=TRUE),VLOOKUP(Calculator!E23,tbSkills!DH3:DJ6,3,FALSE),0),0)))/100)),1))*IF(VLOOKUP(A101,tbMoveset!A2:K112,11,FALSE)=TRUE,Backdoors!AC5,1))*IN101,0),"")</f>
        <v>0</v>
      </c>
      <c r="IR101" s="49">
        <f>VLOOKUP(A101,tbMoveset!A2:G112,7,FALSE)*IFERROR(IF(Backdoors!AI12&gt;=0,1+(IF(Calculator!E40&gt;0,VLOOKUP(Calculator!E40,tbSkills!AI3:AJ5,2,FALSE),Backdoors!AL4)*(IF((Backdoors!AI12+IF(IM101&gt;=0.45,VLOOKUP(Calculator!E23,tbSkills!DH3:DI6,2,FALSE)+IF(AND(Calculator!B8=TRUE,Backdoors!BI38=TRUE),VLOOKUP(Calculator!E23,tbSkills!DH3:DJ6,3,FALSE),0),0))&gt;=100,100,(Backdoors!AI12+IF(IM101&gt;=0.45,VLOOKUP(Calculator!E23,tbSkills!DH3:DI6,2,FALSE)+IF(AND(Calculator!B8=TRUE,Backdoors!BI38=TRUE),VLOOKUP(Calculator!E23,tbSkills!DH3:DJ6,3,FALSE),0),0)))/100)),1),1)</f>
        <v>1</v>
      </c>
      <c r="IS101" s="87">
        <f t="shared" si="86"/>
        <v>0</v>
      </c>
      <c r="IT101" s="86" t="str">
        <f>IFERROR(IF(VLOOKUP(A101,tbMoveset!A2:B112,2,FALSE)="Sever",Backdoors!AY39/100,IF(VLOOKUP(A101,tbMoveset!A2:B112,2,FALSE)="Blunt",Backdoors!AZ39/100,Backdoors!BA39/100)),"")</f>
        <v/>
      </c>
      <c r="IU101" s="49">
        <f>IFERROR(IF(VLOOKUP(tbMoveset!A101,tbMoveset!A2:H112,8,FALSE)="Other",IF(VLOOKUP(tbMoveset!A101,tbMoveset!A2:I112,9,FALSE)="Fire",Backdoors!BB39,IF(VLOOKUP(tbMoveset!A101,tbMoveset!A2:I112,9,FALSE)="Water",Backdoors!BC39,IF(VLOOKUP(tbMoveset!A101,tbMoveset!A2:I112,9,FALSE)="Thunder",Backdoors!BD39,IF(VLOOKUP(tbMoveset!A101,tbMoveset!A2:I112,9,FALSE)="Ice",Backdoors!BE39,IF(VLOOKUP(tbMoveset!A101,tbMoveset!A2:I112,9,FALSE)="Dragon",Backdoors!BF39,Backdoors!BG39)))))/100,Backdoors!BG39/100),"")</f>
        <v>0</v>
      </c>
      <c r="IV101" s="49">
        <f>IFERROR(IF(VLOOKUP(A101,tbMoveset!A2:J112,10,FALSE)=TRUE,IF((Backdoors!AI12+IF(IT101&gt;=0.45,VLOOKUP(Calculator!E23,tbSkills!DH3:DI6,2,FALSE)+IF(AND(Calculator!B8=TRUE,Backdoors!BI39=TRUE),VLOOKUP(Calculator!E23,tbSkills!DH3:DJ6,3,FALSE),0),0))&gt;=0,1+(Backdoors!AL2*(IF((Backdoors!AI12+IF(IT101&gt;=0.45,VLOOKUP(Calculator!E23,tbSkills!DH3:DI6,2,FALSE)+IF(AND(Calculator!B8=TRUE,Backdoors!BI39=TRUE),VLOOKUP(Calculator!E23,tbSkills!DH3:DJ6,3,FALSE),0),0))&gt;=100,100,(Backdoors!AI12+IF(IT101&gt;=0.45,VLOOKUP(Calculator!E23,tbSkills!DH3:DI6,2,FALSE)+IF(AND(Calculator!B8=TRUE,Backdoors!BI39=TRUE),VLOOKUP(Calculator!E23,tbSkills!DH3:DJ6,3,FALSE),0),0)))/100)),(1-(0.25*((-Backdoors!AI12-IF(IT101&gt;=0.45,VLOOKUP(Calculator!E23,tbSkills!DH3:DI6,2,FALSE)+IF(AND(Calculator!B8=TRUE,Backdoors!BI39=TRUE),VLOOKUP(Calculator!E23,tbSkills!DH3:DJ6,3,FALSE),0),0))/100)))),1),"")</f>
        <v>1</v>
      </c>
      <c r="IW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T101)*IV101)*(VLOOKUP(A101,tbMoveset!A2:C112,3,FALSE)/100)*IF(VLOOKUP(A101,tbMoveset!A2:B112,2,FALSE)="Projectile",Backdoors!N10,Backdoors!N9),0),"")</f>
        <v/>
      </c>
      <c r="IX101" s="49">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40&gt;0,VLOOKUP(Calculator!E40,tbSkills!AC3:AD5,2,FALSE),Backdoors!AL3)*(IF((Backdoors!AI12+IF(IT101&gt;=0.45,VLOOKUP(Calculator!E23,tbSkills!DH3:DI6,2,FALSE)+IF(AND(Calculator!B8=TRUE,Backdoors!BI39=TRUE),VLOOKUP(Calculator!E23,tbSkills!DH3:DJ6,3,FALSE),0),0))&gt;=100,100,(Backdoors!AI12+IF(IT101&gt;=0.45,VLOOKUP(Calculator!E23,tbSkills!DH3:DI6,2,FALSE)+IF(AND(Calculator!B8=TRUE,Backdoors!BI39=TRUE),VLOOKUP(Calculator!E23,tbSkills!DH3:DJ6,3,FALSE),0),0)))/100)),1))*IF(VLOOKUP(A101,tbMoveset!A2:K112,11,FALSE)=TRUE,Backdoors!AC5,1))*IU101,0),"")</f>
        <v>0</v>
      </c>
      <c r="IY101" s="49">
        <f>VLOOKUP(A101,tbMoveset!A2:G112,7,FALSE)*IFERROR(IF(Backdoors!AI12&gt;=0,1+(IF(Calculator!E40&gt;0,VLOOKUP(Calculator!E40,tbSkills!AI3:AJ5,2,FALSE),Backdoors!AL4)*(IF((Backdoors!AI12+IF(IT101&gt;=0.45,VLOOKUP(Calculator!E23,tbSkills!DH3:DI6,2,FALSE)+IF(AND(Calculator!B8=TRUE,Backdoors!BI39=TRUE),VLOOKUP(Calculator!E23,tbSkills!DH3:DJ6,3,FALSE),0),0))&gt;=100,100,(Backdoors!AI12+IF(IT101&gt;=0.45,VLOOKUP(Calculator!E23,tbSkills!DH3:DI6,2,FALSE)+IF(AND(Calculator!B8=TRUE,Backdoors!BI39=TRUE),VLOOKUP(Calculator!E23,tbSkills!DH3:DJ6,3,FALSE),0),0)))/100)),1),1)</f>
        <v>1</v>
      </c>
      <c r="IZ101" s="87">
        <f t="shared" si="87"/>
        <v>0</v>
      </c>
      <c r="JA101" s="86" t="str">
        <f>IFERROR(IF(VLOOKUP(A101,tbMoveset!A2:B112,2,FALSE)="Sever",Backdoors!AY40/100,IF(VLOOKUP(A101,tbMoveset!A2:B112,2,FALSE)="Blunt",Backdoors!AZ40/100,Backdoors!BA40/100)),"")</f>
        <v/>
      </c>
      <c r="JB101" s="49">
        <f>IFERROR(IF(VLOOKUP(tbMoveset!A101,tbMoveset!A2:H112,8,FALSE)="Other",IF(VLOOKUP(tbMoveset!A101,tbMoveset!A2:I112,9,FALSE)="Fire",Backdoors!BB40,IF(VLOOKUP(tbMoveset!A101,tbMoveset!A2:I112,9,FALSE)="Water",Backdoors!BC40,IF(VLOOKUP(tbMoveset!A101,tbMoveset!A2:I112,9,FALSE)="Thunder",Backdoors!BD40,IF(VLOOKUP(tbMoveset!A101,tbMoveset!A2:I112,9,FALSE)="Ice",Backdoors!BE40,IF(VLOOKUP(tbMoveset!A101,tbMoveset!A2:I112,9,FALSE)="Dragon",Backdoors!BF40,Backdoors!BG40)))))/100,Backdoors!BG40/100),"")</f>
        <v>0</v>
      </c>
      <c r="JC101" s="49">
        <f>IFERROR(IF(VLOOKUP(A101,tbMoveset!A2:J112,10,FALSE)=TRUE,IF((Backdoors!AI12+IF(JA101&gt;=0.45,VLOOKUP(Calculator!E23,tbSkills!DH3:DI6,2,FALSE)+IF(AND(Calculator!B8=TRUE,Backdoors!BI40=TRUE),VLOOKUP(Calculator!E23,tbSkills!DH3:DJ6,3,FALSE),0),0))&gt;=0,1+(Backdoors!AL2*(IF((Backdoors!AI12+IF(JA101&gt;=0.45,VLOOKUP(Calculator!E23,tbSkills!DH3:DI6,2,FALSE)+IF(AND(Calculator!B8=TRUE,Backdoors!BI40=TRUE),VLOOKUP(Calculator!E23,tbSkills!DH3:DJ6,3,FALSE),0),0))&gt;=100,100,(Backdoors!AI12+IF(JA101&gt;=0.45,VLOOKUP(Calculator!E23,tbSkills!DH3:DI6,2,FALSE)+IF(AND(Calculator!B8=TRUE,Backdoors!BI40=TRUE),VLOOKUP(Calculator!E23,tbSkills!DH3:DJ6,3,FALSE),0),0)))/100)),(1-(0.25*((-Backdoors!AI12-IF(JA101&gt;=0.45,VLOOKUP(Calculator!E23,tbSkills!DH3:DI6,2,FALSE)+IF(AND(Calculator!B8=TRUE,Backdoors!BI40=TRUE),VLOOKUP(Calculator!E23,tbSkills!DH3:DJ6,3,FALSE),0),0))/100)))),1),"")</f>
        <v>1</v>
      </c>
      <c r="JD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A101)*JC101)*(VLOOKUP(A101,tbMoveset!A2:C112,3,FALSE)/100)*IF(VLOOKUP(A101,tbMoveset!A2:B112,2,FALSE)="Projectile",Backdoors!N10,Backdoors!N9),0),"")</f>
        <v/>
      </c>
      <c r="JE101" s="49">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42&gt;0,VLOOKUP(Calculator!E42,tbSkills!AC3:AD5,2,FALSE),Backdoors!AL3)*(IF((Backdoors!AI12+IF(JA101&gt;=0.45,VLOOKUP(Calculator!E23,tbSkills!DH3:DI6,2,FALSE)+IF(AND(Calculator!B8=TRUE,Backdoors!BI40=TRUE),VLOOKUP(Calculator!E23,tbSkills!DH3:DJ6,3,FALSE),0),0))&gt;=100,100,(Backdoors!AI12+IF(JA101&gt;=0.45,VLOOKUP(Calculator!E23,tbSkills!DH3:DI6,2,FALSE)+IF(AND(Calculator!B8=TRUE,Backdoors!BI40=TRUE),VLOOKUP(Calculator!E23,tbSkills!DH3:DJ6,3,FALSE),0),0)))/100)),1))*IF(VLOOKUP(A101,tbMoveset!A2:K112,11,FALSE)=TRUE,Backdoors!AC5,1))*JB101,0),"")</f>
        <v>0</v>
      </c>
      <c r="JF101" s="49">
        <f>VLOOKUP(A101,tbMoveset!A2:G112,7,FALSE)*IFERROR(IF(Backdoors!AI12&gt;=0,1+(IF(Calculator!E40&gt;0,VLOOKUP(Calculator!E40,tbSkills!AI3:AJ5,2,FALSE),Backdoors!AL4)*(IF((Backdoors!AI12+IF(JA101&gt;=0.45,VLOOKUP(Calculator!E23,tbSkills!DH3:DI6,2,FALSE)+IF(AND(Calculator!B8=TRUE,Backdoors!BI40=TRUE),VLOOKUP(Calculator!E23,tbSkills!DH3:DJ6,3,FALSE),0),0))&gt;=100,100,(Backdoors!AI12+IF(JA101&gt;=0.45,VLOOKUP(Calculator!E23,tbSkills!DH3:DI6,2,FALSE)+IF(AND(Calculator!B8=TRUE,Backdoors!BI40=TRUE),VLOOKUP(Calculator!E23,tbSkills!DH3:DJ6,3,FALSE),0),0)))/100)),1),1)</f>
        <v>1</v>
      </c>
      <c r="JG101" s="87">
        <f t="shared" si="88"/>
        <v>0</v>
      </c>
      <c r="JH101" s="86" t="str">
        <f>IFERROR(IF(VLOOKUP(A101,tbMoveset!A2:B112,2,FALSE)="Sever",Backdoors!AY41/100,IF(VLOOKUP(A101,tbMoveset!A2:B112,2,FALSE)="Blunt",Backdoors!AZ41/100,Backdoors!BA41/100)),"")</f>
        <v/>
      </c>
      <c r="JI101" s="49">
        <f>IFERROR(IF(VLOOKUP(tbMoveset!A101,tbMoveset!A2:H112,8,FALSE)="Other",IF(VLOOKUP(tbMoveset!A101,tbMoveset!A2:I112,9,FALSE)="Fire",Backdoors!BB41,IF(VLOOKUP(tbMoveset!A101,tbMoveset!A2:I112,9,FALSE)="Water",Backdoors!BC41,IF(VLOOKUP(tbMoveset!A101,tbMoveset!A2:I112,9,FALSE)="Thunder",Backdoors!BD41,IF(VLOOKUP(tbMoveset!A101,tbMoveset!A2:I112,9,FALSE)="Ice",Backdoors!BE41,IF(VLOOKUP(tbMoveset!A101,tbMoveset!A2:I112,9,FALSE)="Dragon",Backdoors!BF41,Backdoors!BG41)))))/100,Backdoors!BG41/100),"")</f>
        <v>0</v>
      </c>
      <c r="JJ101" s="49">
        <f>IFERROR(IF(VLOOKUP(A101,tbMoveset!A2:J112,10,FALSE)=TRUE,IF((Backdoors!AI12+IF(JH101&gt;=0.45,VLOOKUP(Calculator!E23,tbSkills!DH3:DI6,2,FALSE)+IF(AND(Calculator!B8=TRUE,Backdoors!BI41=TRUE),VLOOKUP(Calculator!E23,tbSkills!DH3:DJ6,3,FALSE),0),0))&gt;=0,1+(Backdoors!AL2*(IF((Backdoors!AI12+IF(JH101&gt;=0.45,VLOOKUP(Calculator!E23,tbSkills!DH3:DI6,2,FALSE)+IF(AND(Calculator!B8=TRUE,Backdoors!BI41=TRUE),VLOOKUP(Calculator!E23,tbSkills!DH3:DJ6,3,FALSE),0),0))&gt;=100,100,(Backdoors!AI12+IF(JH101&gt;=0.45,VLOOKUP(Calculator!E23,tbSkills!DH3:DI6,2,FALSE)+IF(AND(Calculator!B8=TRUE,Backdoors!BI41=TRUE),VLOOKUP(Calculator!E23,tbSkills!DH3:DJ6,3,FALSE),0),0)))/100)),(1-(0.25*((-Backdoors!AI12-IF(JH101&gt;=0.45,VLOOKUP(Calculator!E23,tbSkills!DH3:DI6,2,FALSE)+IF(AND(Calculator!B8=TRUE,Backdoors!BI41=TRUE),VLOOKUP(Calculator!E23,tbSkills!DH3:DJ6,3,FALSE),0),0))/100)))),1),"")</f>
        <v>1</v>
      </c>
      <c r="JK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H101)*JJ101)*(VLOOKUP(A101,tbMoveset!A2:C112,3,FALSE)/100)*IF(VLOOKUP(A101,tbMoveset!A2:B112,2,FALSE)="Projectile",Backdoors!N10,Backdoors!N9),0),"")</f>
        <v/>
      </c>
      <c r="JL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43&gt;0,VLOOKUP(Calculator!E43,tbSkills!AC3:AD5,2,FALSE),Backdoors!AL3)*(IF((Backdoors!AI12+IF(JH101&gt;=0.45,VLOOKUP(Calculator!E23,tbSkills!DH3:DI6,2,FALSE)+IF(AND(Calculator!B8=TRUE,Backdoors!BI41=TRUE),VLOOKUP(Calculator!E23,tbSkills!DH3:DJ6,3,FALSE),0),0))&gt;=100,100,(Backdoors!AI12+IF(JH101&gt;=0.45,VLOOKUP(Calculator!E23,tbSkills!DH3:DI6,2,FALSE)+IF(AND(Calculator!B8=TRUE,Backdoors!BI41=TRUE),VLOOKUP(Calculator!E23,tbSkills!DH3:DJ6,3,FALSE),0),0)))/100)),1))*IF(VLOOKUP(A101,tbMoveset!A2:K112,11,FALSE)=TRUE,Backdoors!AC5,1))*JI101,0),"")</f>
        <v/>
      </c>
      <c r="JM101" s="49">
        <f>VLOOKUP(A101,tbMoveset!A2:G112,7,FALSE)*IFERROR(IF(Backdoors!AI12&gt;=0,1+(IF(Calculator!E40&gt;0,VLOOKUP(Calculator!E40,tbSkills!AI3:AJ5,2,FALSE),Backdoors!AL4)*(IF((Backdoors!AI12+IF(JH101&gt;=0.45,VLOOKUP(Calculator!E23,tbSkills!DH3:DI6,2,FALSE)+IF(AND(Calculator!B8=TRUE,Backdoors!BI41=TRUE),VLOOKUP(Calculator!E23,tbSkills!DH3:DJ6,3,FALSE),0),0))&gt;=100,100,(Backdoors!AI12+IF(JH101&gt;=0.45,VLOOKUP(Calculator!E23,tbSkills!DH3:DI6,2,FALSE)+IF(AND(Calculator!B8=TRUE,Backdoors!BI41=TRUE),VLOOKUP(Calculator!E23,tbSkills!DH3:DJ6,3,FALSE),0),0)))/100)),1),1)</f>
        <v>1</v>
      </c>
      <c r="JN101" s="87">
        <f t="shared" si="89"/>
        <v>0</v>
      </c>
      <c r="JO101" s="86" t="str">
        <f>IFERROR(IF(VLOOKUP(A101,tbMoveset!A2:B112,2,FALSE)="Sever",Backdoors!AY42/100,IF(VLOOKUP(A101,tbMoveset!A2:B112,2,FALSE)="Blunt",Backdoors!AZ42/100,Backdoors!BA42/100)),"")</f>
        <v/>
      </c>
      <c r="JP101" s="49">
        <f>IFERROR(IF(VLOOKUP(tbMoveset!A101,tbMoveset!A2:H112,8,FALSE)="Other",IF(VLOOKUP(tbMoveset!A101,tbMoveset!A2:I112,9,FALSE)="Fire",Backdoors!BB42,IF(VLOOKUP(tbMoveset!A101,tbMoveset!A2:I112,9,FALSE)="Water",Backdoors!BC42,IF(VLOOKUP(tbMoveset!A101,tbMoveset!A2:I112,9,FALSE)="Thunder",Backdoors!BD42,IF(VLOOKUP(tbMoveset!A101,tbMoveset!A2:I112,9,FALSE)="Ice",Backdoors!BE42,IF(VLOOKUP(tbMoveset!A101,tbMoveset!A2:I112,9,FALSE)="Dragon",Backdoors!BF42,Backdoors!BG42)))))/100,Backdoors!BG42/100),"")</f>
        <v>0</v>
      </c>
      <c r="JQ101" s="49">
        <f>IFERROR(IF(VLOOKUP(A101,tbMoveset!A2:J112,10,FALSE)=TRUE,IF((Backdoors!AI12+IF(JO101&gt;=0.45,VLOOKUP(Calculator!E23,tbSkills!DH3:DI6,2,FALSE)+IF(AND(Calculator!B8=TRUE,Backdoors!BI42=TRUE),VLOOKUP(Calculator!E23,tbSkills!DH3:DJ6,3,FALSE),0),0))&gt;=0,1+(Backdoors!AL2*(IF((Backdoors!AI12+IF(JO101&gt;=0.45,VLOOKUP(Calculator!E23,tbSkills!DH3:DI6,2,FALSE)+IF(AND(Calculator!B8=TRUE,Backdoors!BI42=TRUE),VLOOKUP(Calculator!E23,tbSkills!DH3:DJ6,3,FALSE),0),0))&gt;=100,100,(Backdoors!AI12+IF(JO101&gt;=0.45,VLOOKUP(Calculator!E23,tbSkills!DH3:DI6,2,FALSE)+IF(AND(Calculator!B8=TRUE,Backdoors!BI42=TRUE),VLOOKUP(Calculator!E23,tbSkills!DH3:DJ6,3,FALSE),0),0)))/100)),(1-(0.25*((-Backdoors!AI12-IF(JO101&gt;=0.45,VLOOKUP(Calculator!E23,tbSkills!DH3:DI6,2,FALSE)+IF(AND(Calculator!B8=TRUE,Backdoors!BI42=TRUE),VLOOKUP(Calculator!E23,tbSkills!DH3:DJ6,3,FALSE),0),0))/100)))),1),"")</f>
        <v>1</v>
      </c>
      <c r="JR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O101)*JQ101)*(VLOOKUP(A101,tbMoveset!A2:C112,3,FALSE)/100)*IF(VLOOKUP(A101,tbMoveset!A2:B112,2,FALSE)="Projectile",Backdoors!N10,Backdoors!N9),0),"")</f>
        <v/>
      </c>
      <c r="JS101" s="49">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45&gt;0,VLOOKUP(Calculator!E45,tbSkills!AC3:AD5,2,FALSE),Backdoors!AL3)*(IF((Backdoors!AI12+IF(JO101&gt;=0.45,VLOOKUP(Calculator!E23,tbSkills!DH3:DI6,2,FALSE)+IF(AND(Calculator!B8=TRUE,Backdoors!BI42=TRUE),VLOOKUP(Calculator!E23,tbSkills!DH3:DJ6,3,FALSE),0),0))&gt;=100,100,(Backdoors!AI12+IF(JO101&gt;=0.45,VLOOKUP(Calculator!E23,tbSkills!DH3:DI6,2,FALSE)+IF(AND(Calculator!B8=TRUE,Backdoors!BI42=TRUE),VLOOKUP(Calculator!E23,tbSkills!DH3:DJ6,3,FALSE),0),0)))/100)),1))*IF(VLOOKUP(A101,tbMoveset!A2:K112,11,FALSE)=TRUE,Backdoors!AC5,1))*JP101,0),"")</f>
        <v>0</v>
      </c>
      <c r="JT101" s="49">
        <f>VLOOKUP(A101,tbMoveset!A2:G112,7,FALSE)*IFERROR(IF(Backdoors!AI12&gt;=0,1+(IF(Calculator!E40&gt;0,VLOOKUP(Calculator!E40,tbSkills!AI3:AJ5,2,FALSE),Backdoors!AL4)*(IF((Backdoors!AI12+IF(JO101&gt;=0.45,VLOOKUP(Calculator!E23,tbSkills!DH3:DI6,2,FALSE)+IF(AND(Calculator!B8=TRUE,Backdoors!BI42=TRUE),VLOOKUP(Calculator!E23,tbSkills!DH3:DJ6,3,FALSE),0),0))&gt;=100,100,(Backdoors!AI12+IF(JO101&gt;=0.45,VLOOKUP(Calculator!E23,tbSkills!DH3:DI6,2,FALSE)+IF(AND(Calculator!B8=TRUE,Backdoors!BI42=TRUE),VLOOKUP(Calculator!E23,tbSkills!DH3:DJ6,3,FALSE),0),0)))/100)),1),1)</f>
        <v>1</v>
      </c>
      <c r="JU101" s="87">
        <f t="shared" si="90"/>
        <v>0</v>
      </c>
      <c r="JV101" s="86" t="str">
        <f>IFERROR(IF(VLOOKUP(A101,tbMoveset!A2:B112,2,FALSE)="Sever",Backdoors!AY43/100,IF(VLOOKUP(A101,tbMoveset!A2:B112,2,FALSE)="Blunt",Backdoors!AZ43/100,Backdoors!BA43/100)),"")</f>
        <v/>
      </c>
      <c r="JW101" s="49">
        <f>IFERROR(IF(VLOOKUP(tbMoveset!A101,tbMoveset!A2:H112,8,FALSE)="Other",IF(VLOOKUP(tbMoveset!A101,tbMoveset!A2:I112,9,FALSE)="Fire",Backdoors!BB43,IF(VLOOKUP(tbMoveset!A101,tbMoveset!A2:I112,9,FALSE)="Water",Backdoors!BC43,IF(VLOOKUP(tbMoveset!A101,tbMoveset!A2:I112,9,FALSE)="Thunder",Backdoors!BD43,IF(VLOOKUP(tbMoveset!A101,tbMoveset!A2:I112,9,FALSE)="Ice",Backdoors!BE43,IF(VLOOKUP(tbMoveset!A101,tbMoveset!A2:I112,9,FALSE)="Dragon",Backdoors!BF43,Backdoors!BG43)))))/100,Backdoors!BG43/100),"")</f>
        <v>0</v>
      </c>
      <c r="JX101" s="49">
        <f>IFERROR(IF(VLOOKUP(A101,tbMoveset!A2:J112,10,FALSE)=TRUE,IF((Backdoors!AI12+IF(JV101&gt;=0.45,VLOOKUP(Calculator!E23,tbSkills!DH3:DI6,2,FALSE)+IF(AND(Calculator!B8=TRUE,Backdoors!BI43=TRUE),VLOOKUP(Calculator!E23,tbSkills!DH3:DJ6,3,FALSE),0),0))&gt;=0,1+(Backdoors!AL2*(IF((Backdoors!AI12+IF(JV101&gt;=0.45,VLOOKUP(Calculator!E23,tbSkills!DH3:DI6,2,FALSE)+IF(AND(Calculator!B8=TRUE,Backdoors!BI43=TRUE),VLOOKUP(Calculator!E23,tbSkills!DH3:DJ6,3,FALSE),0),0))&gt;=100,100,(Backdoors!AI12+IF(JV101&gt;=0.45,VLOOKUP(Calculator!E23,tbSkills!DH3:DI6,2,FALSE)+IF(AND(Calculator!B8=TRUE,Backdoors!BI43=TRUE),VLOOKUP(Calculator!E23,tbSkills!DH3:DJ6,3,FALSE),0),0)))/100)),(1-(0.25*((-Backdoors!AI12-IF(JV101&gt;=0.45,VLOOKUP(Calculator!E23,tbSkills!DH3:DI6,2,FALSE)+IF(AND(Calculator!B8=TRUE,Backdoors!BI43=TRUE),VLOOKUP(Calculator!E23,tbSkills!DH3:DJ6,3,FALSE),0),0))/100)))),1),"")</f>
        <v>1</v>
      </c>
      <c r="JY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V101)*JX101)*(VLOOKUP(A101,tbMoveset!A2:C112,3,FALSE)/100)*IF(VLOOKUP(A101,tbMoveset!A2:B112,2,FALSE)="Projectile",Backdoors!N10,Backdoors!N9),0),"")</f>
        <v/>
      </c>
      <c r="JZ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46&gt;0,VLOOKUP(Calculator!E46,tbSkills!AC3:AD5,2,FALSE),Backdoors!AL3)*(IF((Backdoors!AI12+IF(JV101&gt;=0.45,VLOOKUP(Calculator!E23,tbSkills!DH3:DI6,2,FALSE)+IF(AND(Calculator!B8=TRUE,Backdoors!BI43=TRUE),VLOOKUP(Calculator!E23,tbSkills!DH3:DJ6,3,FALSE),0),0))&gt;=100,100,(Backdoors!AI12+IF(JV101&gt;=0.45,VLOOKUP(Calculator!E23,tbSkills!DH3:DI6,2,FALSE)+IF(AND(Calculator!B8=TRUE,Backdoors!BI43=TRUE),VLOOKUP(Calculator!E23,tbSkills!DH3:DJ6,3,FALSE),0),0)))/100)),1))*IF(VLOOKUP(A101,tbMoveset!A2:K112,11,FALSE)=TRUE,Backdoors!AC5,1))*JW101,0),"")</f>
        <v/>
      </c>
      <c r="KA101" s="49">
        <f>VLOOKUP(A101,tbMoveset!A2:G112,7,FALSE)*IFERROR(IF(Backdoors!AI12&gt;=0,1+(IF(Calculator!E40&gt;0,VLOOKUP(Calculator!E40,tbSkills!AI3:AJ5,2,FALSE),Backdoors!AL4)*(IF((Backdoors!AI12+IF(JV101&gt;=0.45,VLOOKUP(Calculator!E23,tbSkills!DH3:DI6,2,FALSE)+IF(AND(Calculator!B8=TRUE,Backdoors!BI43=TRUE),VLOOKUP(Calculator!E23,tbSkills!DH3:DJ6,3,FALSE),0),0))&gt;=100,100,(Backdoors!AI12+IF(JV101&gt;=0.45,VLOOKUP(Calculator!E23,tbSkills!DH3:DI6,2,FALSE)+IF(AND(Calculator!B8=TRUE,Backdoors!BI43=TRUE),VLOOKUP(Calculator!E23,tbSkills!DH3:DJ6,3,FALSE),0),0)))/100)),1),1)</f>
        <v>1</v>
      </c>
      <c r="KB101" s="87">
        <f t="shared" si="91"/>
        <v>0</v>
      </c>
      <c r="KC101" s="86" t="str">
        <f>IFERROR(IF(VLOOKUP(A101,tbMoveset!A2:B112,2,FALSE)="Sever",Backdoors!AY44/100,IF(VLOOKUP(A101,tbMoveset!A2:B112,2,FALSE)="Blunt",Backdoors!AZ44/100,Backdoors!BA44/100)),"")</f>
        <v/>
      </c>
      <c r="KD101" s="49">
        <f>IFERROR(IF(VLOOKUP(tbMoveset!A101,tbMoveset!A2:H112,8,FALSE)="Other",IF(VLOOKUP(tbMoveset!A101,tbMoveset!A2:I112,9,FALSE)="Fire",Backdoors!BB44,IF(VLOOKUP(tbMoveset!A101,tbMoveset!A2:I112,9,FALSE)="Water",Backdoors!BC44,IF(VLOOKUP(tbMoveset!A101,tbMoveset!A2:I112,9,FALSE)="Thunder",Backdoors!BD44,IF(VLOOKUP(tbMoveset!A101,tbMoveset!A2:I112,9,FALSE)="Ice",Backdoors!BE44,IF(VLOOKUP(tbMoveset!A101,tbMoveset!A2:I112,9,FALSE)="Dragon",Backdoors!BF44,Backdoors!BG44)))))/100,Backdoors!BG44/100),"")</f>
        <v>0</v>
      </c>
      <c r="KE101" s="49">
        <f>IFERROR(IF(VLOOKUP(A101,tbMoveset!A2:J112,10,FALSE)=TRUE,IF((Backdoors!AI12+IF(KC101&gt;=0.45,VLOOKUP(Calculator!E23,tbSkills!DH3:DI6,2,FALSE)+IF(AND(Calculator!B8=TRUE,Backdoors!BI44=TRUE),VLOOKUP(Calculator!E23,tbSkills!DH3:DJ6,3,FALSE),0),0))&gt;=0,1+(Backdoors!AL2*(IF((Backdoors!AI12+IF(KC101&gt;=0.45,VLOOKUP(Calculator!E23,tbSkills!DH3:DI6,2,FALSE)+IF(AND(Calculator!B8=TRUE,Backdoors!BI44=TRUE),VLOOKUP(Calculator!E23,tbSkills!DH3:DJ6,3,FALSE),0),0))&gt;=100,100,(Backdoors!AI12+IF(KC101&gt;=0.45,VLOOKUP(Calculator!E23,tbSkills!DH3:DI6,2,FALSE)+IF(AND(Calculator!B8=TRUE,Backdoors!BI44=TRUE),VLOOKUP(Calculator!E23,tbSkills!DH3:DJ6,3,FALSE),0),0)))/100)),(1-(0.25*((-Backdoors!AI12-IF(KC101&gt;=0.45,VLOOKUP(Calculator!E23,tbSkills!DH3:DI6,2,FALSE)+IF(AND(Calculator!B8=TRUE,Backdoors!BI44=TRUE),VLOOKUP(Calculator!E23,tbSkills!DH3:DJ6,3,FALSE),0),0))/100)))),1),"")</f>
        <v>1</v>
      </c>
      <c r="KF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KC101)*KE101)*(VLOOKUP(A101,tbMoveset!A2:C112,3,FALSE)/100)*IF(VLOOKUP(A101,tbMoveset!A2:B112,2,FALSE)="Projectile",Backdoors!N10,Backdoors!N9),0),"")</f>
        <v/>
      </c>
      <c r="KG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REF!&gt;0,VLOOKUP(Calculator!#REF!,tbSkills!AC3:AD5,2,FALSE),Backdoors!AL3)*(IF((Backdoors!AI12+IF(KC101&gt;=0.45,VLOOKUP(Calculator!E23,tbSkills!DH3:DI6,2,FALSE)+IF(AND(Calculator!B8=TRUE,Backdoors!BI44=TRUE),VLOOKUP(Calculator!E23,tbSkills!DH3:DJ6,3,FALSE),0),0))&gt;=100,100,(Backdoors!AI12+IF(KC101&gt;=0.45,VLOOKUP(Calculator!E23,tbSkills!DH3:DI6,2,FALSE)+IF(AND(Calculator!B8=TRUE,Backdoors!BI44=TRUE),VLOOKUP(Calculator!E23,tbSkills!DH3:DJ6,3,FALSE),0),0)))/100)),1))*IF(VLOOKUP(A101,tbMoveset!A2:K112,11,FALSE)=TRUE,Backdoors!AC5,1))*KD101,0),"")</f>
        <v/>
      </c>
      <c r="KH101" s="49">
        <f>VLOOKUP(A101,tbMoveset!A2:G112,7,FALSE)*IFERROR(IF(Backdoors!AI12&gt;=0,1+(IF(Calculator!E40&gt;0,VLOOKUP(Calculator!E40,tbSkills!AI3:AJ5,2,FALSE),Backdoors!AL4)*(IF((Backdoors!AI12+IF(KC101&gt;=0.45,VLOOKUP(Calculator!E23,tbSkills!DH3:DI6,2,FALSE)+IF(AND(Calculator!B8=TRUE,Backdoors!BI44=TRUE),VLOOKUP(Calculator!E23,tbSkills!DH3:DJ6,3,FALSE),0),0))&gt;=100,100,(Backdoors!AI12+IF(KC101&gt;=0.45,VLOOKUP(Calculator!E23,tbSkills!DH3:DI6,2,FALSE)+IF(AND(Calculator!B8=TRUE,Backdoors!BI44=TRUE),VLOOKUP(Calculator!E23,tbSkills!DH3:DJ6,3,FALSE),0),0)))/100)),1),1)</f>
        <v>1</v>
      </c>
      <c r="KI101" s="87">
        <f t="shared" si="92"/>
        <v>0</v>
      </c>
      <c r="KJ101" s="86" t="str">
        <f>IFERROR(IF(VLOOKUP(A101,tbMoveset!A2:B112,2,FALSE)="Sever",Backdoors!AY45/100,IF(VLOOKUP(A101,tbMoveset!A2:B112,2,FALSE)="Blunt",Backdoors!AZ45/100,Backdoors!BA45/100)),"")</f>
        <v/>
      </c>
      <c r="KK101" s="49">
        <f>IFERROR(IF(VLOOKUP(tbMoveset!A101,tbMoveset!A2:H112,8,FALSE)="Other",IF(VLOOKUP(tbMoveset!A101,tbMoveset!A2:I112,9,FALSE)="Fire",Backdoors!BB45,IF(VLOOKUP(tbMoveset!A101,tbMoveset!A2:I112,9,FALSE)="Water",Backdoors!BC45,IF(VLOOKUP(tbMoveset!A101,tbMoveset!A2:I112,9,FALSE)="Thunder",Backdoors!BD45,IF(VLOOKUP(tbMoveset!A101,tbMoveset!A2:I112,9,FALSE)="Ice",Backdoors!BE45,IF(VLOOKUP(tbMoveset!A101,tbMoveset!A2:I112,9,FALSE)="Dragon",Backdoors!BF45,Backdoors!BG45)))))/100,Backdoors!BG45/100),"")</f>
        <v>0</v>
      </c>
      <c r="KL101" s="49">
        <f>IFERROR(IF(VLOOKUP(A101,tbMoveset!A2:J112,10,FALSE)=TRUE,IF((Backdoors!AI12+IF(KJ101&gt;=0.45,VLOOKUP(Calculator!E23,tbSkills!DH3:DI6,2,FALSE)+IF(AND(Calculator!B8=TRUE,Backdoors!BI45=TRUE),VLOOKUP(Calculator!E23,tbSkills!DH3:DJ6,3,FALSE),0),0))&gt;=0,1+(Backdoors!AL2*(IF((Backdoors!AI12+IF(KJ101&gt;=0.45,VLOOKUP(Calculator!E23,tbSkills!DH3:DI6,2,FALSE)+IF(AND(Calculator!B8=TRUE,Backdoors!BI45=TRUE),VLOOKUP(Calculator!E23,tbSkills!DH3:DJ6,3,FALSE),0),0))&gt;=100,100,(Backdoors!AI12+IF(KJ101&gt;=0.45,VLOOKUP(Calculator!E23,tbSkills!DH3:DI6,2,FALSE)+IF(AND(Calculator!B8=TRUE,Backdoors!BI45=TRUE),VLOOKUP(Calculator!E23,tbSkills!DH3:DJ6,3,FALSE),0),0)))/100)),(1-(0.25*((-Backdoors!AI12-IF(KJ101&gt;=0.45,VLOOKUP(Calculator!E23,tbSkills!DH3:DI6,2,FALSE)+IF(AND(Calculator!B8=TRUE,Backdoors!BI45=TRUE),VLOOKUP(Calculator!E23,tbSkills!DH3:DJ6,3,FALSE),0),0))/100)))),1),"")</f>
        <v>1</v>
      </c>
      <c r="KM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KJ101)*KL101)*(VLOOKUP(A101,tbMoveset!A2:C112,3,FALSE)/100)*IF(VLOOKUP(A101,tbMoveset!A2:B112,2,FALSE)="Projectile",Backdoors!N10,Backdoors!N9),0),"")</f>
        <v/>
      </c>
      <c r="KN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REF!&gt;0,VLOOKUP(Calculator!#REF!,tbSkills!AC3:AD5,2,FALSE),Backdoors!AL3)*(IF((Backdoors!AI12+IF(KJ101&gt;=0.45,VLOOKUP(Calculator!E23,tbSkills!DH3:DI6,2,FALSE)+IF(AND(Calculator!B8=TRUE,Backdoors!BI45=TRUE),VLOOKUP(Calculator!E23,tbSkills!DH3:DJ6,3,FALSE),0),0))&gt;=100,100,(Backdoors!AI12+IF(KJ101&gt;=0.45,VLOOKUP(Calculator!E23,tbSkills!DH3:DI6,2,FALSE)+IF(AND(Calculator!B8=TRUE,Backdoors!BI45=TRUE),VLOOKUP(Calculator!E23,tbSkills!DH3:DJ6,3,FALSE),0),0)))/100)),1))*IF(VLOOKUP(A101,tbMoveset!A2:K112,11,FALSE)=TRUE,Backdoors!AC5,1))*KK101,0),"")</f>
        <v/>
      </c>
      <c r="KO101" s="49">
        <f>VLOOKUP(A101,tbMoveset!A2:G112,7,FALSE)*IFERROR(IF(Backdoors!AI12&gt;=0,1+(IF(Calculator!E40&gt;0,VLOOKUP(Calculator!E40,tbSkills!AI3:AJ5,2,FALSE),Backdoors!AL4)*(IF((Backdoors!AI12+IF(KJ101&gt;=0.45,VLOOKUP(Calculator!E23,tbSkills!DH3:DI6,2,FALSE)+IF(AND(Calculator!B8=TRUE,Backdoors!BI45=TRUE),VLOOKUP(Calculator!E23,tbSkills!DH3:DJ6,3,FALSE),0),0))&gt;=100,100,(Backdoors!AI12+IF(KJ101&gt;=0.45,VLOOKUP(Calculator!E23,tbSkills!DH3:DI6,2,FALSE)+IF(AND(Calculator!B8=TRUE,Backdoors!BI45=TRUE),VLOOKUP(Calculator!E23,tbSkills!DH3:DJ6,3,FALSE),0),0)))/100)),1),1)</f>
        <v>1</v>
      </c>
      <c r="KP101" s="87">
        <f t="shared" si="93"/>
        <v>0</v>
      </c>
      <c r="KQ101" s="86" t="str">
        <f>IFERROR(IF(VLOOKUP(A101,tbMoveset!A2:B112,2,FALSE)="Sever",Backdoors!AY46/100,IF(VLOOKUP(A101,tbMoveset!A2:B112,2,FALSE)="Blunt",Backdoors!AZ46/100,Backdoors!BA46/100)),"")</f>
        <v/>
      </c>
      <c r="KR101" s="49">
        <f>IFERROR(IF(VLOOKUP(tbMoveset!A101,tbMoveset!A2:H112,8,FALSE)="Other",IF(VLOOKUP(tbMoveset!A101,tbMoveset!A2:I112,9,FALSE)="Fire",Backdoors!BB46,IF(VLOOKUP(tbMoveset!A101,tbMoveset!A2:I112,9,FALSE)="Water",Backdoors!BC46,IF(VLOOKUP(tbMoveset!A101,tbMoveset!A2:I112,9,FALSE)="Thunder",Backdoors!BD46,IF(VLOOKUP(tbMoveset!A101,tbMoveset!A2:I112,9,FALSE)="Ice",Backdoors!BE46,IF(VLOOKUP(tbMoveset!A101,tbMoveset!A2:I112,9,FALSE)="Dragon",Backdoors!BF46,Backdoors!BG46)))))/100,Backdoors!BG46/100),"")</f>
        <v>0</v>
      </c>
      <c r="KS101" s="49">
        <f>IFERROR(IF(VLOOKUP(A101,tbMoveset!A2:J112,10,FALSE)=TRUE,IF((Backdoors!AI12+IF(KQ101&gt;=0.45,VLOOKUP(Calculator!E23,tbSkills!DH3:DI6,2,FALSE)+IF(AND(Calculator!B8=TRUE,Backdoors!BI46=TRUE),VLOOKUP(Calculator!E23,tbSkills!DH3:DJ6,3,FALSE),0),0))&gt;=0,1+(Backdoors!AL2*(IF((Backdoors!AI12+IF(KQ101&gt;=0.45,VLOOKUP(Calculator!E23,tbSkills!DH3:DI6,2,FALSE)+IF(AND(Calculator!B8=TRUE,Backdoors!BI46=TRUE),VLOOKUP(Calculator!E23,tbSkills!DH3:DJ6,3,FALSE),0),0))&gt;=100,100,(Backdoors!AI12+IF(KQ101&gt;=0.45,VLOOKUP(Calculator!E23,tbSkills!DH3:DI6,2,FALSE)+IF(AND(Calculator!B8=TRUE,Backdoors!BI46=TRUE),VLOOKUP(Calculator!E23,tbSkills!DH3:DJ6,3,FALSE),0),0)))/100)),(1-(0.25*((-Backdoors!AI12-IF(KQ101&gt;=0.45,VLOOKUP(Calculator!E23,tbSkills!DH3:DI6,2,FALSE)+IF(AND(Calculator!B8=TRUE,Backdoors!BI46=TRUE),VLOOKUP(Calculator!E23,tbSkills!DH3:DJ6,3,FALSE),0),0))/100)))),1),"")</f>
        <v>1</v>
      </c>
      <c r="KT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KQ101)*KS101)*(VLOOKUP(A101,tbMoveset!A2:C112,3,FALSE)/100)*IF(VLOOKUP(A101,tbMoveset!A2:B112,2,FALSE)="Projectile",Backdoors!N10,Backdoors!N9),0),"")</f>
        <v/>
      </c>
      <c r="KU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REF!&gt;0,VLOOKUP(Calculator!#REF!,tbSkills!AC3:AD5,2,FALSE),Backdoors!AL3)*(IF((Backdoors!AI12+IF(KQ101&gt;=0.45,VLOOKUP(Calculator!E23,tbSkills!DH3:DI6,2,FALSE)+IF(AND(Calculator!B8=TRUE,Backdoors!BI46=TRUE),VLOOKUP(Calculator!E23,tbSkills!DH3:DJ6,3,FALSE),0),0))&gt;=100,100,(Backdoors!AI12+IF(KQ101&gt;=0.45,VLOOKUP(Calculator!E23,tbSkills!DH3:DI6,2,FALSE)+IF(AND(Calculator!B8=TRUE,Backdoors!BI46=TRUE),VLOOKUP(Calculator!E23,tbSkills!DH3:DJ6,3,FALSE),0),0)))/100)),1))*IF(VLOOKUP(A101,tbMoveset!A2:K112,11,FALSE)=TRUE,Backdoors!AC5,1))*KR101,0),"")</f>
        <v/>
      </c>
      <c r="KV101" s="49">
        <f>VLOOKUP(A101,tbMoveset!A2:G112,7,FALSE)*IFERROR(IF(Backdoors!AI12&gt;=0,1+(IF(Calculator!E40&gt;0,VLOOKUP(Calculator!E40,tbSkills!AI3:AJ5,2,FALSE),Backdoors!AL4)*(IF((Backdoors!AI12+IF(KQ101&gt;=0.45,VLOOKUP(Calculator!E23,tbSkills!DH3:DI6,2,FALSE)+IF(AND(Calculator!B8=TRUE,Backdoors!BI46=TRUE),VLOOKUP(Calculator!E23,tbSkills!DH3:DJ6,3,FALSE),0),0))&gt;=100,100,(Backdoors!AI12+IF(KQ101&gt;=0.45,VLOOKUP(Calculator!E23,tbSkills!DH3:DI6,2,FALSE)+IF(AND(Calculator!B8=TRUE,Backdoors!BI46=TRUE),VLOOKUP(Calculator!E23,tbSkills!DH3:DJ6,3,FALSE),0),0)))/100)),1),1)</f>
        <v>1</v>
      </c>
      <c r="KW101" s="87">
        <f t="shared" si="94"/>
        <v>0</v>
      </c>
    </row>
    <row r="102" spans="1:309" x14ac:dyDescent="0.25">
      <c r="A102" s="95" t="str">
        <f>tbMoveset!A102</f>
        <v>[Mounting] Demon Flurry (R1)</v>
      </c>
      <c r="B102" s="86">
        <f>IFERROR(IF(VLOOKUP(A102,tbMoveset!A2:B112,2,FALSE)="Sever",Backdoors!AY3/100,IF(VLOOKUP(A102,tbMoveset!A2:B112,2,FALSE)="Blunt",Backdoors!AZ3/100,Backdoors!BA3/100)),"")</f>
        <v>0.8</v>
      </c>
      <c r="C102" s="49">
        <f>IFERROR(IF(VLOOKUP(tbMoveset!A102,tbMoveset!A2:H112,8,FALSE)="Other",IF(VLOOKUP(tbMoveset!A102,tbMoveset!A2:I112,9,FALSE)="Fire",Backdoors!BB3,IF(VLOOKUP(tbMoveset!A102,tbMoveset!A2:I112,9,FALSE)="Water",Backdoors!BC3,IF(VLOOKUP(tbMoveset!A102,tbMoveset!A2:I112,9,FALSE)="Thunder",Backdoors!BD3,IF(VLOOKUP(tbMoveset!A102,tbMoveset!A2:I112,9,FALSE)="Ice",Backdoors!BE3,IF(VLOOKUP(tbMoveset!A102,tbMoveset!A2:I112,9,FALSE)="Dragon",Backdoors!BF3,Backdoors!BG3)))))/100,Backdoors!BG3/100),"")</f>
        <v>0</v>
      </c>
      <c r="D102" s="49">
        <f>IFERROR(IF(VLOOKUP(A102,tbMoveset!A2:J112,10,FALSE)=TRUE,IF((Backdoors!AI12+IF(B102&gt;=0.45,VLOOKUP(Calculator!E23,tbSkills!DH3:DI6,2,FALSE)+IF(AND(Calculator!B8=TRUE,Backdoors!BI3=TRUE),VLOOKUP(Calculator!E23,tbSkills!DH3:DJ6,3,FALSE),0),0))&gt;=0,1+(Backdoors!AL2*(IF((Backdoors!AI12+IF(B102&gt;=0.45,VLOOKUP(Calculator!E23,tbSkills!DH3:DI6,2,FALSE)+IF(AND(Calculator!B8=TRUE,Backdoors!BI3=TRUE),VLOOKUP(Calculator!E23,tbSkills!DH3:DJ6,3,FALSE),0),0))&gt;=100,100,(Backdoors!AI12+IF(B102&gt;=0.45,VLOOKUP(Calculator!E23,tbSkills!DH3:DI6,2,FALSE)+IF(AND(Calculator!B8=TRUE,Backdoors!BI3=TRUE),VLOOKUP(Calculator!E23,tbSkills!DH3:DJ6,3,FALSE),0),0)))/100)),(1-(0.25*((-Backdoors!AI12-IF(B102&gt;=0.45,VLOOKUP(Calculator!E23,tbSkills!DH3:DI6,2,FALSE)+IF(AND(Calculator!B8=TRUE,Backdoors!BI3=TRUE),VLOOKUP(Calculator!E23,tbSkills!DH3:DJ6,3,FALSE),0),0))/100)))),1),"")</f>
        <v>1</v>
      </c>
      <c r="E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102)*D102)*(VLOOKUP(A102,tbMoveset!A2:C112,3,FALSE)/100)*IF(VLOOKUP(A102,tbMoveset!A2:B112,2,FALSE)="Projectile",Backdoors!N10,Backdoors!N9),0),"")</f>
        <v>12</v>
      </c>
      <c r="F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102&gt;=0.45,VLOOKUP(Calculator!E23,tbSkills!DH3:DI6,2,FALSE)+IF(AND(Calculator!B8=TRUE,Backdoors!BI3=TRUE),VLOOKUP(Calculator!E23,tbSkills!DH3:DJ6,3,FALSE),0),0))&gt;=100,100,(Backdoors!AI12+IF(B102&gt;=0.45,VLOOKUP(Calculator!E23,tbSkills!DH3:DI6,2,FALSE)+IF(AND(Calculator!B8=TRUE,Backdoors!BI3=TRUE),VLOOKUP(Calculator!E23,tbSkills!DH3:DJ6,3,FALSE),0),0)))/100)),1))*IF(VLOOKUP(A102,tbMoveset!A2:K112,11,FALSE)=TRUE,Backdoors!AC5,1))*C102,0),"")</f>
        <v>0</v>
      </c>
      <c r="G102">
        <f>VLOOKUP(A102,tbMoveset!A2:G112,7,FALSE)*IFERROR(IF(Backdoors!AI12&gt;=0,1+(IF(Calculator!E40&gt;0,VLOOKUP(Calculator!E40,tbSkills!AI3:AJ5,2,FALSE),Backdoors!AL4)*(IF((Backdoors!AI12+IF(B102&gt;=0.45,VLOOKUP(Calculator!E23,tbSkills!DH3:DI6,2,FALSE)+IF(AND(Calculator!B8=TRUE,Backdoors!BI3=TRUE),VLOOKUP(Calculator!E23,tbSkills!DH3:DJ6,3,FALSE),0),0))&gt;=100,100,(Backdoors!AI12+IF(B102&gt;=0.45,VLOOKUP(Calculator!E23,tbSkills!DH3:DI6,2,FALSE)+IF(AND(Calculator!B8=TRUE,Backdoors!BI3=TRUE),VLOOKUP(Calculator!E23,tbSkills!DH3:DJ6,3,FALSE),0),0)))/100)),1),1)</f>
        <v>1</v>
      </c>
      <c r="H102" s="87">
        <f t="shared" si="95"/>
        <v>12</v>
      </c>
      <c r="I102" s="86">
        <f>IFERROR(IF(VLOOKUP(A102,tbMoveset!A2:B112,2,FALSE)="Sever",Backdoors!AY4/100,IF(VLOOKUP(A102,tbMoveset!A2:B112,2,FALSE)="Blunt",Backdoors!AZ4/100,Backdoors!BA4/100)),"")</f>
        <v>0.65</v>
      </c>
      <c r="J102" s="49">
        <f>IFERROR(IF(VLOOKUP(tbMoveset!A102,tbMoveset!A2:H112,8,FALSE)="Other",IF(VLOOKUP(tbMoveset!A102,tbMoveset!A2:I112,9,FALSE)="Fire",Backdoors!BB4,IF(VLOOKUP(tbMoveset!A102,tbMoveset!A2:I112,9,FALSE)="Water",Backdoors!BC4,IF(VLOOKUP(tbMoveset!A102,tbMoveset!A2:I112,9,FALSE)="Thunder",Backdoors!BD4,IF(VLOOKUP(tbMoveset!A102,tbMoveset!A2:I112,9,FALSE)="Ice",Backdoors!BE4,IF(VLOOKUP(tbMoveset!A102,tbMoveset!A2:I112,9,FALSE)="Dragon",Backdoors!BF4,Backdoors!BG4)))))/100,Backdoors!BG4/100),"")</f>
        <v>0</v>
      </c>
      <c r="K102" s="49">
        <f>IFERROR(IF(VLOOKUP(A102,tbMoveset!A2:J112,10,FALSE)=TRUE,IF((Backdoors!AI12+IF(I102&gt;=0.45,VLOOKUP(Calculator!E23,tbSkills!DH3:DI6,2,FALSE)+IF(AND(Calculator!B8=TRUE,Backdoors!BI4=TRUE),VLOOKUP(Calculator!E23,tbSkills!DH3:DJ6,3,FALSE),0),0))&gt;=0,1+(Backdoors!AL2*(IF((Backdoors!AI12+IF(I102&gt;=0.45,VLOOKUP(Calculator!E23,tbSkills!DH3:DI6,2,FALSE)+IF(AND(Calculator!B8=TRUE,Backdoors!BI4=TRUE),VLOOKUP(Calculator!E23,tbSkills!DH3:DJ6,3,FALSE),0),0))&gt;=100,100,(Backdoors!AI12+IF(I102&gt;=0.45,VLOOKUP(Calculator!E23,tbSkills!DH3:DI6,2,FALSE)+IF(AND(Calculator!B8=TRUE,Backdoors!BI4=TRUE),VLOOKUP(Calculator!E23,tbSkills!DH3:DJ6,3,FALSE),0),0)))/100)),(1-(0.25*((-Backdoors!AI12-IF(I102&gt;=0.45,VLOOKUP(Calculator!E23,tbSkills!DH3:DI6,2,FALSE)+IF(AND(Calculator!B8=TRUE,Backdoors!BI4=TRUE),VLOOKUP(Calculator!E23,tbSkills!DH3:DJ6,3,FALSE),0),0))/100)))),1),"")</f>
        <v>1</v>
      </c>
      <c r="L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102)*K102)*(VLOOKUP(A102,tbMoveset!A2:C112,3,FALSE)/100)*IF(VLOOKUP(A102,tbMoveset!A2:B112,2,FALSE)="Projectile",Backdoors!N10,Backdoors!N9),0),"")</f>
        <v>10</v>
      </c>
      <c r="M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I102&gt;=0.45,VLOOKUP(Calculator!E23,tbSkills!DH3:DI6,2,FALSE)+IF(AND(Calculator!B8=TRUE,Backdoors!BI4=TRUE),VLOOKUP(Calculator!E23,tbSkills!DH3:DJ6,3,FALSE),0),0))&gt;=100,100,(Backdoors!AI12+IF(I102&gt;=0.45,VLOOKUP(Calculator!E23,tbSkills!DH3:DI6,2,FALSE)+IF(AND(Calculator!B8=TRUE,Backdoors!BI4=TRUE),VLOOKUP(Calculator!E23,tbSkills!DH3:DJ6,3,FALSE),0),0)))/100)),1))*IF(VLOOKUP(A102,tbMoveset!A2:K112,11,FALSE)=TRUE,Backdoors!AC5,1))*J102,0),"")</f>
        <v>0</v>
      </c>
      <c r="N102" s="49">
        <f>VLOOKUP(A102,tbMoveset!A2:G112,7,FALSE)*IFERROR(IF(Backdoors!AI12&gt;=0,1+(IF(Calculator!E40&gt;0,VLOOKUP(Calculator!E40,tbSkills!AI3:AJ5,2,FALSE),Backdoors!AL4)*(IF((Backdoors!AI12+IF(I102&gt;=0.45,VLOOKUP(Calculator!E23,tbSkills!DH3:DI6,2,FALSE)+IF(AND(Calculator!B8=TRUE,Backdoors!BI4=TRUE),VLOOKUP(Calculator!E23,tbSkills!DH3:DJ6,3,FALSE),0),0))&gt;=100,100,(Backdoors!AI12+IF(I102&gt;=0.45,VLOOKUP(Calculator!E23,tbSkills!DH3:DI6,2,FALSE)+IF(AND(Calculator!B8=TRUE,Backdoors!BI4=TRUE),VLOOKUP(Calculator!E23,tbSkills!DH3:DJ6,3,FALSE),0),0)))/100)),1),1)</f>
        <v>1</v>
      </c>
      <c r="O102" s="87">
        <f t="shared" si="96"/>
        <v>10</v>
      </c>
      <c r="P102" s="86">
        <f>IFERROR(IF(VLOOKUP(A102,tbMoveset!A2:B112,2,FALSE)="Sever",Backdoors!AY5/100,IF(VLOOKUP(A102,tbMoveset!A2:B112,2,FALSE)="Blunt",Backdoors!AZ5/100,Backdoors!BA5/100)),"")</f>
        <v>0.5</v>
      </c>
      <c r="Q102" s="49">
        <f>IFERROR(IF(VLOOKUP(tbMoveset!A102,tbMoveset!A2:H112,8,FALSE)="Other",IF(VLOOKUP(tbMoveset!A102,tbMoveset!A2:I112,9,FALSE)="Fire",Backdoors!BB5,IF(VLOOKUP(tbMoveset!A102,tbMoveset!A2:I112,9,FALSE)="Water",Backdoors!BC5,IF(VLOOKUP(tbMoveset!A102,tbMoveset!A2:I112,9,FALSE)="Thunder",Backdoors!BD5,IF(VLOOKUP(tbMoveset!A102,tbMoveset!A2:I112,9,FALSE)="Ice",Backdoors!BE5,IF(VLOOKUP(tbMoveset!A102,tbMoveset!A2:I112,9,FALSE)="Dragon",Backdoors!BF5,Backdoors!BG5)))))/100,Backdoors!BG5/100),"")</f>
        <v>0</v>
      </c>
      <c r="R102" s="49">
        <f>IFERROR(IF(VLOOKUP(A102,tbMoveset!A2:J112,10,FALSE)=TRUE,IF((Backdoors!AI12+IF(P102&gt;=0.45,VLOOKUP(Calculator!E23,tbSkills!DH3:DI6,2,FALSE)+IF(AND(Calculator!B8=TRUE,Backdoors!BI5=TRUE),VLOOKUP(Calculator!E23,tbSkills!DH3:DJ6,3,FALSE),0),0))&gt;=0,1+(Backdoors!AL2*(IF((Backdoors!AI12+IF(P102&gt;=0.45,VLOOKUP(Calculator!E23,tbSkills!DH3:DI6,2,FALSE)+IF(AND(Calculator!B8=TRUE,Backdoors!BI5=TRUE),VLOOKUP(Calculator!E23,tbSkills!DH3:DJ6,3,FALSE),0),0))&gt;=100,100,(Backdoors!AI12+IF(P102&gt;=0.45,VLOOKUP(Calculator!E23,tbSkills!DH3:DI6,2,FALSE)+IF(AND(Calculator!B8=TRUE,Backdoors!BI5=TRUE),VLOOKUP(Calculator!E23,tbSkills!DH3:DJ6,3,FALSE),0),0)))/100)),(1-(0.25*((-Backdoors!AI12-IF(P102&gt;=0.45,VLOOKUP(Calculator!E23,tbSkills!DH3:DI6,2,FALSE)+IF(AND(Calculator!B8=TRUE,Backdoors!BI5=TRUE),VLOOKUP(Calculator!E23,tbSkills!DH3:DJ6,3,FALSE),0),0))/100)))),1),"")</f>
        <v>1</v>
      </c>
      <c r="S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P102)*R102)*(VLOOKUP(A102,tbMoveset!A2:C112,3,FALSE)/100)*IF(VLOOKUP(A102,tbMoveset!A2:B112,2,FALSE)="Projectile",Backdoors!N10,Backdoors!N9),0),"")</f>
        <v>8</v>
      </c>
      <c r="T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P102&gt;=0.45,VLOOKUP(Calculator!E23,tbSkills!DH3:DI6,2,FALSE)+IF(AND(Calculator!B8=TRUE,Backdoors!BI5=TRUE),VLOOKUP(Calculator!E23,tbSkills!DH3:DJ6,3,FALSE),0),0))&gt;=100,100,(Backdoors!AI12+IF(P102&gt;=0.45,VLOOKUP(Calculator!E23,tbSkills!DH3:DI6,2,FALSE)+IF(AND(Calculator!B8=TRUE,Backdoors!BI5=TRUE),VLOOKUP(Calculator!E23,tbSkills!DH3:DJ6,3,FALSE),0),0)))/100)),1))*IF(VLOOKUP(A102,tbMoveset!A2:K112,11,FALSE)=TRUE,Backdoors!AC5,1))*Q102,0),"")</f>
        <v>0</v>
      </c>
      <c r="U102" s="49">
        <f>VLOOKUP(A102,tbMoveset!A2:G112,7,FALSE)*IFERROR(IF(Backdoors!AI12&gt;=0,1+(IF(Calculator!E40&gt;0,VLOOKUP(Calculator!E40,tbSkills!AI3:AJ5,2,FALSE),Backdoors!AL4)*(IF((Backdoors!AI12+IF(P102&gt;=0.45,VLOOKUP(Calculator!E23,tbSkills!DH3:DI6,2,FALSE)+IF(AND(Calculator!B8=TRUE,Backdoors!BI5=TRUE),VLOOKUP(Calculator!E23,tbSkills!DH3:DJ6,3,FALSE),0),0))&gt;=100,100,(Backdoors!AI12+IF(P102&gt;=0.45,VLOOKUP(Calculator!E23,tbSkills!DH3:DI6,2,FALSE)+IF(AND(Calculator!B8=TRUE,Backdoors!BI5=TRUE),VLOOKUP(Calculator!E23,tbSkills!DH3:DJ6,3,FALSE),0),0)))/100)),1),1)</f>
        <v>1</v>
      </c>
      <c r="V102" s="87">
        <f t="shared" si="53"/>
        <v>8</v>
      </c>
      <c r="W102" s="86">
        <f>IFERROR(IF(VLOOKUP(A102,tbMoveset!A2:B112,2,FALSE)="Sever",Backdoors!AY6/100,IF(VLOOKUP(A102,tbMoveset!A2:B112,2,FALSE)="Blunt",Backdoors!AZ6/100,Backdoors!BA6/100)),"")</f>
        <v>0.45</v>
      </c>
      <c r="X102" s="49">
        <f>IFERROR(IF(VLOOKUP(tbMoveset!A102,tbMoveset!A2:H112,8,FALSE)="Other",IF(VLOOKUP(tbMoveset!A102,tbMoveset!A2:I112,9,FALSE)="Fire",Backdoors!BB6,IF(VLOOKUP(tbMoveset!A102,tbMoveset!A2:I112,9,FALSE)="Water",Backdoors!BC6,IF(VLOOKUP(tbMoveset!A102,tbMoveset!A2:I112,9,FALSE)="Thunder",Backdoors!BD6,IF(VLOOKUP(tbMoveset!A102,tbMoveset!A2:I112,9,FALSE)="Ice",Backdoors!BE6,IF(VLOOKUP(tbMoveset!A102,tbMoveset!A2:I112,9,FALSE)="Dragon",Backdoors!BF6,Backdoors!BG6)))))/100,Backdoors!BG6/100),"")</f>
        <v>0</v>
      </c>
      <c r="Y102" s="49">
        <f>IFERROR(IF(VLOOKUP(A102,tbMoveset!A2:J112,10,FALSE)=TRUE,IF((Backdoors!AI12+IF(W102&gt;=0.45,VLOOKUP(Calculator!E23,tbSkills!DH3:DI6,2,FALSE)+IF(AND(Calculator!B8=TRUE,Backdoors!BI6=TRUE),VLOOKUP(Calculator!E23,tbSkills!DH3:DJ6,3,FALSE),0),0))&gt;=0,1+(Backdoors!AL2*(IF((Backdoors!AI12+IF(W102&gt;=0.45,VLOOKUP(Calculator!E23,tbSkills!DH3:DI6,2,FALSE)+IF(AND(Calculator!B8=TRUE,Backdoors!BI6=TRUE),VLOOKUP(Calculator!E23,tbSkills!DH3:DJ6,3,FALSE),0),0))&gt;=100,100,(Backdoors!AI12+IF(W102&gt;=0.45,VLOOKUP(Calculator!E23,tbSkills!DH3:DI6,2,FALSE)+IF(AND(Calculator!B8=TRUE,Backdoors!BI6=TRUE),VLOOKUP(Calculator!E23,tbSkills!DH3:DJ6,3,FALSE),0),0)))/100)),(1-(0.25*((-Backdoors!AI12-IF(W102&gt;=0.45,VLOOKUP(Calculator!E23,tbSkills!DH3:DI6,2,FALSE)+IF(AND(Calculator!B8=TRUE,Backdoors!BI6=TRUE),VLOOKUP(Calculator!E23,tbSkills!DH3:DJ6,3,FALSE),0),0))/100)))),1),"")</f>
        <v>1</v>
      </c>
      <c r="Z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W102)*Y102)*(VLOOKUP(A102,tbMoveset!A2:C112,3,FALSE)/100)*IF(VLOOKUP(A102,tbMoveset!A2:B112,2,FALSE)="Projectile",Backdoors!N10,Backdoors!N9),0),"")</f>
        <v>7</v>
      </c>
      <c r="AA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W102&gt;=0.45,VLOOKUP(Calculator!E23,tbSkills!DH3:DI6,2,FALSE)+IF(AND(Calculator!B8=TRUE,Backdoors!BI6=TRUE),VLOOKUP(Calculator!E23,tbSkills!DH3:DJ6,3,FALSE),0),0))&gt;=100,100,(Backdoors!AI12+IF(W102&gt;=0.45,VLOOKUP(Calculator!E23,tbSkills!DH3:DI6,2,FALSE)+IF(AND(Calculator!B8=TRUE,Backdoors!BI6=TRUE),VLOOKUP(Calculator!E23,tbSkills!DH3:DJ6,3,FALSE),0),0)))/100)),1))*IF(VLOOKUP(A102,tbMoveset!A2:K112,11,FALSE)=TRUE,Backdoors!AC5,1))*X102,0),"")</f>
        <v>0</v>
      </c>
      <c r="AB102" s="49">
        <f>VLOOKUP(A102,tbMoveset!A2:G112,7,FALSE)*IFERROR(IF(Backdoors!AI12&gt;=0,1+(IF(Calculator!E40&gt;0,VLOOKUP(Calculator!E40,tbSkills!AI3:AJ5,2,FALSE),Backdoors!AL4)*(IF((Backdoors!AI12+IF(W102&gt;=0.45,VLOOKUP(Calculator!E23,tbSkills!DH3:DI6,2,FALSE)+IF(AND(Calculator!B8=TRUE,Backdoors!BI6=TRUE),VLOOKUP(Calculator!E23,tbSkills!DH3:DJ6,3,FALSE),0),0))&gt;=100,100,(Backdoors!AI12+IF(W102&gt;=0.45,VLOOKUP(Calculator!E23,tbSkills!DH3:DI6,2,FALSE)+IF(AND(Calculator!B8=TRUE,Backdoors!BI6=TRUE),VLOOKUP(Calculator!E23,tbSkills!DH3:DJ6,3,FALSE),0),0)))/100)),1),1)</f>
        <v>1</v>
      </c>
      <c r="AC102" s="87">
        <f t="shared" si="54"/>
        <v>7</v>
      </c>
      <c r="AD102" s="86">
        <f>IFERROR(IF(VLOOKUP(A102,tbMoveset!A2:B112,2,FALSE)="Sever",Backdoors!AY7/100,IF(VLOOKUP(A102,tbMoveset!A2:B112,2,FALSE)="Blunt",Backdoors!AZ7/100,Backdoors!BA7/100)),"")</f>
        <v>0.65</v>
      </c>
      <c r="AE102" s="49">
        <f>IFERROR(IF(VLOOKUP(tbMoveset!A102,tbMoveset!A2:H112,8,FALSE)="Other",IF(VLOOKUP(tbMoveset!A102,tbMoveset!A2:I112,9,FALSE)="Fire",Backdoors!BB7,IF(VLOOKUP(tbMoveset!A102,tbMoveset!A2:I112,9,FALSE)="Water",Backdoors!BC7,IF(VLOOKUP(tbMoveset!A102,tbMoveset!A2:I112,9,FALSE)="Thunder",Backdoors!BD7,IF(VLOOKUP(tbMoveset!A102,tbMoveset!A2:I112,9,FALSE)="Ice",Backdoors!BE7,IF(VLOOKUP(tbMoveset!A102,tbMoveset!A2:I112,9,FALSE)="Dragon",Backdoors!BF7,Backdoors!BG7)))))/100,Backdoors!BG7/100),"")</f>
        <v>0</v>
      </c>
      <c r="AF102" s="49">
        <f>IFERROR(IF(VLOOKUP(A102,tbMoveset!A2:J112,10,FALSE)=TRUE,IF((Backdoors!AI12+IF(AD102&gt;=0.45,VLOOKUP(Calculator!E23,tbSkills!DH3:DI6,2,FALSE)+IF(AND(Calculator!B8=TRUE,Backdoors!BI7=TRUE),VLOOKUP(Calculator!E23,tbSkills!DH3:DJ6,3,FALSE),0),0))&gt;=0,1+(Backdoors!AL2*(IF((Backdoors!AI12+IF(AD102&gt;=0.45,VLOOKUP(Calculator!E23,tbSkills!DH3:DI6,2,FALSE)+IF(AND(Calculator!B8=TRUE,Backdoors!BI7=TRUE),VLOOKUP(Calculator!E23,tbSkills!DH3:DJ6,3,FALSE),0),0))&gt;=100,100,(Backdoors!AI12+IF(AD102&gt;=0.45,VLOOKUP(Calculator!E23,tbSkills!DH3:DI6,2,FALSE)+IF(AND(Calculator!B8=TRUE,Backdoors!BI7=TRUE),VLOOKUP(Calculator!E23,tbSkills!DH3:DJ6,3,FALSE),0),0)))/100)),(1-(0.25*((-Backdoors!AI12-IF(AD102&gt;=0.45,VLOOKUP(Calculator!E23,tbSkills!DH3:DI6,2,FALSE)+IF(AND(Calculator!B8=TRUE,Backdoors!BI7=TRUE),VLOOKUP(Calculator!E23,tbSkills!DH3:DJ6,3,FALSE),0),0))/100)))),1),"")</f>
        <v>1</v>
      </c>
      <c r="AG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D102)*AF102)*(VLOOKUP(A102,tbMoveset!A2:C112,3,FALSE)/100)*IF(VLOOKUP(A102,tbMoveset!A2:B112,2,FALSE)="Projectile",Backdoors!N10,Backdoors!N9),0),"")</f>
        <v>10</v>
      </c>
      <c r="AH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D102&gt;=0.45,VLOOKUP(Calculator!E23,tbSkills!DH3:DI6,2,FALSE)+IF(AND(Calculator!B8=TRUE,Backdoors!BI7=TRUE),VLOOKUP(Calculator!E23,tbSkills!DH3:DJ6,3,FALSE),0),0))&gt;=100,100,(Backdoors!AI12+IF(AD102&gt;=0.45,VLOOKUP(Calculator!E23,tbSkills!DH3:DI6,2,FALSE)+IF(AND(Calculator!B8=TRUE,Backdoors!BI7=TRUE),VLOOKUP(Calculator!E23,tbSkills!DH3:DJ6,3,FALSE),0),0)))/100)),1))*IF(VLOOKUP(A102,tbMoveset!A2:K112,11,FALSE)=TRUE,Backdoors!AC5,1))*AE102,0),"")</f>
        <v>0</v>
      </c>
      <c r="AI102" s="49">
        <f>VLOOKUP(A102,tbMoveset!A2:G112,7,FALSE)*IFERROR(IF(Backdoors!AI12&gt;=0,1+(IF(Calculator!E40&gt;0,VLOOKUP(Calculator!E40,tbSkills!AI3:AJ5,2,FALSE),Backdoors!AL4)*(IF((Backdoors!AI12+IF(AD102&gt;=0.45,VLOOKUP(Calculator!E23,tbSkills!DH3:DI6,2,FALSE)+IF(AND(Calculator!B8=TRUE,Backdoors!BI7=TRUE),VLOOKUP(Calculator!E23,tbSkills!DH3:DJ6,3,FALSE),0),0))&gt;=100,100,(Backdoors!AI12+IF(AD102&gt;=0.45,VLOOKUP(Calculator!E23,tbSkills!DH3:DI6,2,FALSE)+IF(AND(Calculator!B8=TRUE,Backdoors!BI7=TRUE),VLOOKUP(Calculator!E23,tbSkills!DH3:DJ6,3,FALSE),0),0)))/100)),1),1)</f>
        <v>1</v>
      </c>
      <c r="AJ102" s="87">
        <f t="shared" si="55"/>
        <v>10</v>
      </c>
      <c r="AK102" s="91">
        <f>IFERROR(IF(VLOOKUP(A102,tbMoveset!A2:B112,2,FALSE)="Sever",Backdoors!AY8/100,IF(VLOOKUP(A102,tbMoveset!A2:B112,2,FALSE)="Blunt",Backdoors!AZ8/100,Backdoors!BA8/100)),"")</f>
        <v>0.45</v>
      </c>
      <c r="AL102" s="49">
        <f>IFERROR(IF(VLOOKUP(tbMoveset!A102,tbMoveset!A2:H112,8,FALSE)="Other",IF(VLOOKUP(tbMoveset!A102,tbMoveset!A2:I112,9,FALSE)="Fire",Backdoors!BB8,IF(VLOOKUP(tbMoveset!A102,tbMoveset!A2:I112,9,FALSE)="Water",Backdoors!BC8,IF(VLOOKUP(tbMoveset!A102,tbMoveset!A2:I112,9,FALSE)="Thunder",Backdoors!BD8,IF(VLOOKUP(tbMoveset!A102,tbMoveset!A2:I112,9,FALSE)="Ice",Backdoors!BE8,IF(VLOOKUP(tbMoveset!A102,tbMoveset!A2:I112,9,FALSE)="Dragon",Backdoors!BF8,Backdoors!BG8)))))/100,Backdoors!BG8/100),"")</f>
        <v>0</v>
      </c>
      <c r="AM102" s="49">
        <f>IFERROR(IF(VLOOKUP(A102,tbMoveset!A2:J112,10,FALSE)=TRUE,IF((Backdoors!AI12+IF(AK102&gt;=0.45,VLOOKUP(Calculator!E23,tbSkills!DH3:DI6,2,FALSE)+IF(AND(Calculator!B8=TRUE,Backdoors!BI8=TRUE),VLOOKUP(Calculator!E23,tbSkills!DH3:DJ6,3,FALSE),0),0))&gt;=0,1+(Backdoors!AL2*(IF((Backdoors!AI12+IF(AK102&gt;=0.45,VLOOKUP(Calculator!E23,tbSkills!DH3:DI6,2,FALSE)+IF(AND(Calculator!B8=TRUE,Backdoors!BI8=TRUE),VLOOKUP(Calculator!E23,tbSkills!DH3:DJ6,3,FALSE),0),0))&gt;=100,100,(Backdoors!AI12+IF(AK102&gt;=0.45,VLOOKUP(Calculator!E23,tbSkills!DH3:DI6,2,FALSE)+IF(AND(Calculator!B8=TRUE,Backdoors!BI8=TRUE),VLOOKUP(Calculator!E23,tbSkills!DH3:DJ6,3,FALSE),0),0)))/100)),(1-(0.25*((-Backdoors!AI12-IF(AK102&gt;=0.45,VLOOKUP(Calculator!E23,tbSkills!DH3:DI6,2,FALSE)+IF(AND(Calculator!B8=TRUE,Backdoors!BI8=TRUE),VLOOKUP(Calculator!E23,tbSkills!DH3:DJ6,3,FALSE),0),0))/100)))),1),"")</f>
        <v>1</v>
      </c>
      <c r="AN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K102)*AM102)*(VLOOKUP(A102,tbMoveset!A2:C112,3,FALSE)/100)*IF(VLOOKUP(A102,tbMoveset!A2:B112,2,FALSE)="Projectile",Backdoors!N10,Backdoors!N9),0),"")</f>
        <v>7</v>
      </c>
      <c r="AO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K102&gt;=0.45,VLOOKUP(Calculator!E23,tbSkills!DH3:DI6,2,FALSE)+IF(AND(Calculator!B8=TRUE,Backdoors!BI8=TRUE),VLOOKUP(Calculator!E23,tbSkills!DH3:DJ6,3,FALSE),0),0))&gt;=100,100,(Backdoors!AI12+IF(AK102&gt;=0.45,VLOOKUP(Calculator!E23,tbSkills!DH3:DI6,2,FALSE)+IF(AND(Calculator!B8=TRUE,Backdoors!BI8=TRUE),VLOOKUP(Calculator!E23,tbSkills!DH3:DJ6,3,FALSE),0),0)))/100)),1))*IF(VLOOKUP(A102,tbMoveset!A2:K112,11,FALSE)=TRUE,Backdoors!AC5,1))*AL102,0),"")</f>
        <v>0</v>
      </c>
      <c r="AP102" s="49">
        <f>VLOOKUP(A102,tbMoveset!A2:G112,7,FALSE)*IFERROR(IF(Backdoors!AI12&gt;=0,1+(IF(Calculator!E40&gt;0,VLOOKUP(Calculator!E40,tbSkills!AI3:AJ5,2,FALSE),Backdoors!AL4)*(IF((Backdoors!AI12+IF(AK102&gt;=0.45,VLOOKUP(Calculator!E23,tbSkills!DH3:DI6,2,FALSE)+IF(AND(Calculator!B8=TRUE,Backdoors!BI8=TRUE),VLOOKUP(Calculator!E23,tbSkills!DH3:DJ6,3,FALSE),0),0))&gt;=100,100,(Backdoors!AI12+IF(AK102&gt;=0.45,VLOOKUP(Calculator!E23,tbSkills!DH3:DI6,2,FALSE)+IF(AND(Calculator!B8=TRUE,Backdoors!BI8=TRUE),VLOOKUP(Calculator!E23,tbSkills!DH3:DJ6,3,FALSE),0),0)))/100)),1),1)</f>
        <v>1</v>
      </c>
      <c r="AQ102" s="87">
        <f t="shared" si="56"/>
        <v>7</v>
      </c>
      <c r="AR102" s="86">
        <f>IFERROR(IF(VLOOKUP(A102,tbMoveset!A2:B112,2,FALSE)="Sever",Backdoors!AY9/100,IF(VLOOKUP(A102,tbMoveset!A2:B112,2,FALSE)="Blunt",Backdoors!AZ9/100,Backdoors!BA9/100)),"")</f>
        <v>0.45</v>
      </c>
      <c r="AS102" s="49">
        <f>IFERROR(IF(VLOOKUP(tbMoveset!A102,tbMoveset!A2:H112,8,FALSE)="Other",IF(VLOOKUP(tbMoveset!A102,tbMoveset!A2:I112,9,FALSE)="Fire",Backdoors!BB9,IF(VLOOKUP(tbMoveset!A102,tbMoveset!A2:I112,9,FALSE)="Water",Backdoors!BC9,IF(VLOOKUP(tbMoveset!A102,tbMoveset!A2:I112,9,FALSE)="Thunder",Backdoors!BD9,IF(VLOOKUP(tbMoveset!A102,tbMoveset!A2:I112,9,FALSE)="Ice",Backdoors!BE9,IF(VLOOKUP(tbMoveset!A102,tbMoveset!A2:I112,9,FALSE)="Dragon",Backdoors!BF9,Backdoors!BG9)))))/100,Backdoors!BG9/100),"")</f>
        <v>0</v>
      </c>
      <c r="AT102" s="49">
        <f>IFERROR(IF(VLOOKUP(A102,tbMoveset!A2:J112,10,FALSE)=TRUE,IF((Backdoors!AI12+IF(AR102&gt;=0.45,VLOOKUP(Calculator!E23,tbSkills!DH3:DI6,2,FALSE)+IF(AND(Calculator!B8=TRUE,Backdoors!BI9=TRUE),VLOOKUP(Calculator!E23,tbSkills!DH3:DJ6,3,FALSE),0),0))&gt;=0,1+(Backdoors!AL2*(IF((Backdoors!AI12+IF(AR102&gt;=0.45,VLOOKUP(Calculator!E23,tbSkills!DH3:DI6,2,FALSE)+IF(AND(Calculator!B8=TRUE,Backdoors!BI9=TRUE),VLOOKUP(Calculator!E23,tbSkills!DH3:DJ6,3,FALSE),0),0))&gt;=100,100,(Backdoors!AI12+IF(AR102&gt;=0.45,VLOOKUP(Calculator!E23,tbSkills!DH3:DI6,2,FALSE)+IF(AND(Calculator!B8=TRUE,Backdoors!BI9=TRUE),VLOOKUP(Calculator!E23,tbSkills!DH3:DJ6,3,FALSE),0),0)))/100)),(1-(0.25*((-Backdoors!AI12-IF(AR102&gt;=0.45,VLOOKUP(Calculator!E23,tbSkills!DH3:DI6,2,FALSE)+IF(AND(Calculator!B8=TRUE,Backdoors!BI9=TRUE),VLOOKUP(Calculator!E23,tbSkills!DH3:DJ6,3,FALSE),0),0))/100)))),1),"")</f>
        <v>1</v>
      </c>
      <c r="AU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R102)*AT102)*(VLOOKUP(A102,tbMoveset!A2:C112,3,FALSE)/100)*IF(VLOOKUP(A102,tbMoveset!A2:B112,2,FALSE)="Projectile",Backdoors!N10,Backdoors!N9),0),"")</f>
        <v>7</v>
      </c>
      <c r="AV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R102&gt;=0.45,VLOOKUP(Calculator!E23,tbSkills!DH3:DI6,2,FALSE)+IF(AND(Calculator!B8=TRUE,Backdoors!BI9=TRUE),VLOOKUP(Calculator!E23,tbSkills!DH3:DJ6,3,FALSE),0),0))&gt;=100,100,(Backdoors!AI12+IF(AR102&gt;=0.45,VLOOKUP(Calculator!E23,tbSkills!DH3:DI6,2,FALSE)+IF(AND(Calculator!B8=TRUE,Backdoors!BI9=TRUE),VLOOKUP(Calculator!E23,tbSkills!DH3:DJ6,3,FALSE),0),0)))/100)),1))*IF(VLOOKUP(A102,tbMoveset!A2:K112,11,FALSE)=TRUE,Backdoors!AC5,1))*AS102,0),"")</f>
        <v>0</v>
      </c>
      <c r="AW102" s="49">
        <f>VLOOKUP(A102,tbMoveset!A2:G112,7,FALSE)*IFERROR(IF(Backdoors!AI12&gt;=0,1+(IF(Calculator!E40&gt;0,VLOOKUP(Calculator!E40,tbSkills!AI3:AJ5,2,FALSE),Backdoors!AL4)*(IF((Backdoors!AI12+IF(AR102&gt;=0.45,VLOOKUP(Calculator!E23,tbSkills!DH3:DI6,2,FALSE)+IF(AND(Calculator!B8=TRUE,Backdoors!BI9=TRUE),VLOOKUP(Calculator!E23,tbSkills!DH3:DJ6,3,FALSE),0),0))&gt;=100,100,(Backdoors!AI12+IF(AR102&gt;=0.45,VLOOKUP(Calculator!E23,tbSkills!DH3:DI6,2,FALSE)+IF(AND(Calculator!B8=TRUE,Backdoors!BI9=TRUE),VLOOKUP(Calculator!E23,tbSkills!DH3:DJ6,3,FALSE),0),0)))/100)),1),1)</f>
        <v>1</v>
      </c>
      <c r="AX102" s="87">
        <f t="shared" si="57"/>
        <v>7</v>
      </c>
      <c r="AY102" s="86">
        <f>IFERROR(IF(VLOOKUP(A102,tbMoveset!A2:B112,2,FALSE)="Sever",Backdoors!AY10/100,IF(VLOOKUP(A102,tbMoveset!A2:B112,2,FALSE)="Blunt",Backdoors!AZ10/100,Backdoors!BA10/100)),"")</f>
        <v>0.9</v>
      </c>
      <c r="AZ102" s="49">
        <f>IFERROR(IF(VLOOKUP(tbMoveset!A102,tbMoveset!A2:H112,8,FALSE)="Other",IF(VLOOKUP(tbMoveset!A102,tbMoveset!A2:I112,9,FALSE)="Fire",Backdoors!BB10,IF(VLOOKUP(tbMoveset!A102,tbMoveset!A2:I112,9,FALSE)="Water",Backdoors!BC10,IF(VLOOKUP(tbMoveset!A102,tbMoveset!A2:I112,9,FALSE)="Thunder",Backdoors!BD10,IF(VLOOKUP(tbMoveset!A102,tbMoveset!A2:I112,9,FALSE)="Ice",Backdoors!BE10,IF(VLOOKUP(tbMoveset!A102,tbMoveset!A2:I112,9,FALSE)="Dragon",Backdoors!BF10,Backdoors!BG10)))))/100,Backdoors!BG10/100),"")</f>
        <v>0</v>
      </c>
      <c r="BA102" s="49">
        <f>IFERROR(IF(VLOOKUP(A102,tbMoveset!A2:J112,10,FALSE)=TRUE,IF((Backdoors!AI12+IF(AY102&gt;=0.45,VLOOKUP(Calculator!E23,tbSkills!DH3:DI6,2,FALSE)+IF(AND(Calculator!B8=TRUE,Backdoors!BI10=TRUE),VLOOKUP(Calculator!E23,tbSkills!DH3:DJ6,3,FALSE),0),0))&gt;=0,1+(Backdoors!AL2*(IF((Backdoors!AI12+IF(AY102&gt;=0.45,VLOOKUP(Calculator!E23,tbSkills!DH3:DI6,2,FALSE)+IF(AND(Calculator!B8=TRUE,Backdoors!BI10=TRUE),VLOOKUP(Calculator!E23,tbSkills!DH3:DJ6,3,FALSE),0),0))&gt;=100,100,(Backdoors!AI12+IF(AY102&gt;=0.45,VLOOKUP(Calculator!E23,tbSkills!DH3:DI6,2,FALSE)+IF(AND(Calculator!B8=TRUE,Backdoors!BI10=TRUE),VLOOKUP(Calculator!E23,tbSkills!DH3:DJ6,3,FALSE),0),0)))/100)),(1-(0.25*((-Backdoors!AI12-IF(AY102&gt;=0.45,VLOOKUP(Calculator!E23,tbSkills!DH3:DI6,2,FALSE)+IF(AND(Calculator!B8=TRUE,Backdoors!BI10=TRUE),VLOOKUP(Calculator!E23,tbSkills!DH3:DJ6,3,FALSE),0),0))/100)))),1),"")</f>
        <v>1</v>
      </c>
      <c r="BB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Y102)*BA102)*(VLOOKUP(A102,tbMoveset!A2:C112,3,FALSE)/100)*IF(VLOOKUP(A102,tbMoveset!A2:B112,2,FALSE)="Projectile",Backdoors!N10,Backdoors!N9),0),"")</f>
        <v>14</v>
      </c>
      <c r="BC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Y102&gt;=0.45,VLOOKUP(Calculator!E23,tbSkills!DH3:DI6,2,FALSE)+IF(AND(Calculator!B8=TRUE,Backdoors!BI10=TRUE),VLOOKUP(Calculator!E23,tbSkills!DH3:DJ6,3,FALSE),0),0))&gt;=100,100,(Backdoors!AI12+IF(AY102&gt;=0.45,VLOOKUP(Calculator!E23,tbSkills!DH3:DI6,2,FALSE)+IF(AND(Calculator!B8=TRUE,Backdoors!BI10=TRUE),VLOOKUP(Calculator!E23,tbSkills!DH3:DJ6,3,FALSE),0),0)))/100)),1))*IF(VLOOKUP(A102,tbMoveset!A2:K112,11,FALSE)=TRUE,Backdoors!AC5,1))*AZ102,0),"")</f>
        <v>0</v>
      </c>
      <c r="BD102" s="49">
        <f>VLOOKUP(A102,tbMoveset!A2:G112,7,FALSE)*IFERROR(IF(Backdoors!AI12&gt;=0,1+(IF(Calculator!E40&gt;0,VLOOKUP(Calculator!E40,tbSkills!AI3:AJ5,2,FALSE),Backdoors!AL4)*(IF((Backdoors!AI12+IF(AY102&gt;=0.45,VLOOKUP(Calculator!E23,tbSkills!DH3:DI6,2,FALSE)+IF(AND(Calculator!B8=TRUE,Backdoors!BI10=TRUE),VLOOKUP(Calculator!E23,tbSkills!DH3:DJ6,3,FALSE),0),0))&gt;=100,100,(Backdoors!AI12+IF(AY102&gt;=0.45,VLOOKUP(Calculator!E23,tbSkills!DH3:DI6,2,FALSE)+IF(AND(Calculator!B8=TRUE,Backdoors!BI10=TRUE),VLOOKUP(Calculator!E23,tbSkills!DH3:DJ6,3,FALSE),0),0)))/100)),1),1)</f>
        <v>1</v>
      </c>
      <c r="BE102" s="87">
        <f t="shared" si="58"/>
        <v>14</v>
      </c>
      <c r="BF102" s="86" t="str">
        <f>IFERROR(IF(VLOOKUP(A102,tbMoveset!A2:B112,2,FALSE)="Sever",Backdoors!AY11/100,IF(VLOOKUP(A102,tbMoveset!A2:B112,2,FALSE)="Blunt",Backdoors!AZ11/100,Backdoors!BA11/100)),"")</f>
        <v/>
      </c>
      <c r="BG102" s="49">
        <f>IFERROR(IF(VLOOKUP(tbMoveset!A102,tbMoveset!A2:H112,8,FALSE)="Other",IF(VLOOKUP(tbMoveset!A102,tbMoveset!A2:I112,9,FALSE)="Fire",Backdoors!BB11,IF(VLOOKUP(tbMoveset!A102,tbMoveset!A2:I112,9,FALSE)="Water",Backdoors!BC11,IF(VLOOKUP(tbMoveset!A102,tbMoveset!A2:I112,9,FALSE)="Thunder",Backdoors!BD11,IF(VLOOKUP(tbMoveset!A102,tbMoveset!A2:I112,9,FALSE)="Ice",Backdoors!BE11,IF(VLOOKUP(tbMoveset!A102,tbMoveset!A2:I112,9,FALSE)="Dragon",Backdoors!BF11,Backdoors!BG11)))))/100,Backdoors!BG11/100),"")</f>
        <v>0</v>
      </c>
      <c r="BH102" s="49">
        <f>IFERROR(IF(VLOOKUP(A102,tbMoveset!A2:J112,10,FALSE)=TRUE,IF((Backdoors!AI12+IF(BF102&gt;=0.45,VLOOKUP(Calculator!E23,tbSkills!DH3:DI6,2,FALSE)+IF(AND(Calculator!B8=TRUE,Backdoors!BI11=TRUE),VLOOKUP(Calculator!E23,tbSkills!DH3:DJ6,3,FALSE),0),0))&gt;=0,1+(Backdoors!AL2*(IF((Backdoors!AI12+IF(BF102&gt;=0.45,VLOOKUP(Calculator!E23,tbSkills!DH3:DI6,2,FALSE)+IF(AND(Calculator!B8=TRUE,Backdoors!BI11=TRUE),VLOOKUP(Calculator!E23,tbSkills!DH3:DJ6,3,FALSE),0),0))&gt;=100,100,(Backdoors!AI12+IF(BF102&gt;=0.45,VLOOKUP(Calculator!E23,tbSkills!DH3:DI6,2,FALSE)+IF(AND(Calculator!B8=TRUE,Backdoors!BI11=TRUE),VLOOKUP(Calculator!E23,tbSkills!DH3:DJ6,3,FALSE),0),0)))/100)),(1-(0.25*((-Backdoors!AI12-IF(BF102&gt;=0.45,VLOOKUP(Calculator!E23,tbSkills!DH3:DI6,2,FALSE)+IF(AND(Calculator!B8=TRUE,Backdoors!BI11=TRUE),VLOOKUP(Calculator!E23,tbSkills!DH3:DJ6,3,FALSE),0),0))/100)))),1),"")</f>
        <v>1</v>
      </c>
      <c r="BI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F102)*BH102)*(VLOOKUP(A102,tbMoveset!A2:C112,3,FALSE)/100)*IF(VLOOKUP(A102,tbMoveset!A2:B112,2,FALSE)="Projectile",Backdoors!N10,Backdoors!N9),0),"")</f>
        <v/>
      </c>
      <c r="BJ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F102&gt;=0.45,VLOOKUP(Calculator!E23,tbSkills!DH3:DI6,2,FALSE)+IF(AND(Calculator!B8=TRUE,Backdoors!BI11=TRUE),VLOOKUP(Calculator!E23,tbSkills!DH3:DJ6,3,FALSE),0),0))&gt;=100,100,(Backdoors!AI12+IF(BF102&gt;=0.45,VLOOKUP(Calculator!E23,tbSkills!DH3:DI6,2,FALSE)+IF(AND(Calculator!B8=TRUE,Backdoors!BI11=TRUE),VLOOKUP(Calculator!E23,tbSkills!DH3:DJ6,3,FALSE),0),0)))/100)),1))*IF(VLOOKUP(A102,tbMoveset!A2:K112,11,FALSE)=TRUE,Backdoors!AC5,1))*BG102,0),"")</f>
        <v>0</v>
      </c>
      <c r="BK102" s="49">
        <f>VLOOKUP(A102,tbMoveset!A2:G112,7,FALSE)*IFERROR(IF(Backdoors!AI12&gt;=0,1+(IF(Calculator!E40&gt;0,VLOOKUP(Calculator!E40,tbSkills!AI3:AJ5,2,FALSE),Backdoors!AL4)*(IF((Backdoors!AI12+IF(BF102&gt;=0.45,VLOOKUP(Calculator!E23,tbSkills!DH3:DI6,2,FALSE)+IF(AND(Calculator!B8=TRUE,Backdoors!BI11=TRUE),VLOOKUP(Calculator!E23,tbSkills!DH3:DJ6,3,FALSE),0),0))&gt;=100,100,(Backdoors!AI12+IF(BF102&gt;=0.45,VLOOKUP(Calculator!E23,tbSkills!DH3:DI6,2,FALSE)+IF(AND(Calculator!B8=TRUE,Backdoors!BI11=TRUE),VLOOKUP(Calculator!E23,tbSkills!DH3:DJ6,3,FALSE),0),0)))/100)),1),1)</f>
        <v>1</v>
      </c>
      <c r="BL102" s="87">
        <f t="shared" si="59"/>
        <v>0</v>
      </c>
      <c r="BM102" s="86" t="str">
        <f>IFERROR(IF(VLOOKUP(A102,tbMoveset!A2:B112,2,FALSE)="Sever",Backdoors!AY12/100,IF(VLOOKUP(A102,tbMoveset!A2:B112,2,FALSE)="Blunt",Backdoors!AZ12/100,Backdoors!BA12/100)),"")</f>
        <v/>
      </c>
      <c r="BN102" s="49">
        <f>IFERROR(IF(VLOOKUP(tbMoveset!A102,tbMoveset!A2:H112,8,FALSE)="Other",IF(VLOOKUP(tbMoveset!A102,tbMoveset!A2:I112,9,FALSE)="Fire",Backdoors!BB12,IF(VLOOKUP(tbMoveset!A102,tbMoveset!A2:I112,9,FALSE)="Water",Backdoors!BC12,IF(VLOOKUP(tbMoveset!A102,tbMoveset!A2:I112,9,FALSE)="Thunder",Backdoors!BD12,IF(VLOOKUP(tbMoveset!A102,tbMoveset!A2:I112,9,FALSE)="Ice",Backdoors!BE12,IF(VLOOKUP(tbMoveset!A102,tbMoveset!A2:I112,9,FALSE)="Dragon",Backdoors!BF12,Backdoors!BG12)))))/100,Backdoors!BG12/100),"")</f>
        <v>0</v>
      </c>
      <c r="BO102" s="49">
        <f>IFERROR(IF(VLOOKUP(A102,tbMoveset!A2:J112,10,FALSE)=TRUE,IF((Backdoors!AI12+IF(BM102&gt;=0.45,VLOOKUP(Calculator!E23,tbSkills!DH3:DI6,2,FALSE)+IF(AND(Calculator!B8=TRUE,Backdoors!BI12=TRUE),VLOOKUP(Calculator!E23,tbSkills!DH3:DJ6,3,FALSE),0),0))&gt;=0,1+(Backdoors!AL2*(IF((Backdoors!AI12+IF(BM102&gt;=0.45,VLOOKUP(Calculator!E23,tbSkills!DH3:DI6,2,FALSE)+IF(AND(Calculator!B8=TRUE,Backdoors!BI12=TRUE),VLOOKUP(Calculator!E23,tbSkills!DH3:DJ6,3,FALSE),0),0))&gt;=100,100,(Backdoors!AI12+IF(BM102&gt;=0.45,VLOOKUP(Calculator!E23,tbSkills!DH3:DI6,2,FALSE)+IF(AND(Calculator!B8=TRUE,Backdoors!BI12=TRUE),VLOOKUP(Calculator!E23,tbSkills!DH3:DJ6,3,FALSE),0),0)))/100)),(1-(0.25*((-Backdoors!AI12-IF(BM102&gt;=0.45,VLOOKUP(Calculator!E23,tbSkills!DH3:DI6,2,FALSE)+IF(AND(Calculator!B8=TRUE,Backdoors!BI12=TRUE),VLOOKUP(Calculator!E23,tbSkills!DH3:DJ6,3,FALSE),0),0))/100)))),1),"")</f>
        <v>1</v>
      </c>
      <c r="BP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M102)*BO102)*(VLOOKUP(A102,tbMoveset!A2:C112,3,FALSE)/100)*IF(VLOOKUP(A102,tbMoveset!A2:B112,2,FALSE)="Projectile",Backdoors!N10,Backdoors!N9),0),"")</f>
        <v/>
      </c>
      <c r="BQ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M102&gt;=0.45,VLOOKUP(Calculator!E23,tbSkills!DH3:DI6,2,FALSE)+IF(AND(Calculator!B8=TRUE,Backdoors!BI12=TRUE),VLOOKUP(Calculator!E23,tbSkills!DH3:DJ6,3,FALSE),0),0))&gt;=100,100,(Backdoors!AI12+IF(BM102&gt;=0.45,VLOOKUP(Calculator!E23,tbSkills!DH3:DI6,2,FALSE)+IF(AND(Calculator!B8=TRUE,Backdoors!BI12=TRUE),VLOOKUP(Calculator!E23,tbSkills!DH3:DJ6,3,FALSE),0),0)))/100)),1))*IF(VLOOKUP(A102,tbMoveset!A2:K112,11,FALSE)=TRUE,Backdoors!AC5,1))*BN102,0),"")</f>
        <v>0</v>
      </c>
      <c r="BR102" s="49">
        <f>VLOOKUP(A102,tbMoveset!A2:G112,7,FALSE)*IFERROR(IF(Backdoors!AI12&gt;=0,1+(IF(Calculator!E40&gt;0,VLOOKUP(Calculator!E40,tbSkills!AI3:AJ5,2,FALSE),Backdoors!AL4)*(IF((Backdoors!AI12+IF(BM102&gt;=0.45,VLOOKUP(Calculator!E23,tbSkills!DH3:DI6,2,FALSE)+IF(AND(Calculator!B8=TRUE,Backdoors!BI12=TRUE),VLOOKUP(Calculator!E23,tbSkills!DH3:DJ6,3,FALSE),0),0))&gt;=100,100,(Backdoors!AI12+IF(BM102&gt;=0.45,VLOOKUP(Calculator!E23,tbSkills!DH3:DI6,2,FALSE)+IF(AND(Calculator!B8=TRUE,Backdoors!BI12=TRUE),VLOOKUP(Calculator!E23,tbSkills!DH3:DJ6,3,FALSE),0),0)))/100)),1),1)</f>
        <v>1</v>
      </c>
      <c r="BS102" s="87">
        <f t="shared" si="60"/>
        <v>0</v>
      </c>
      <c r="BT102" s="86" t="str">
        <f>IFERROR(IF(VLOOKUP(A102,tbMoveset!A2:B112,2,FALSE)="Sever",Backdoors!AY13/100,IF(VLOOKUP(A102,tbMoveset!A2:B112,2,FALSE)="Blunt",Backdoors!AZ13/100,Backdoors!BA13/100)),"")</f>
        <v/>
      </c>
      <c r="BU102" s="49">
        <f>IFERROR(IF(VLOOKUP(tbMoveset!A102,tbMoveset!A2:H112,8,FALSE)="Other",IF(VLOOKUP(tbMoveset!A102,tbMoveset!A2:I112,9,FALSE)="Fire",Backdoors!BB13,IF(VLOOKUP(tbMoveset!A102,tbMoveset!A2:I112,9,FALSE)="Water",Backdoors!BC13,IF(VLOOKUP(tbMoveset!A102,tbMoveset!A2:I112,9,FALSE)="Thunder",Backdoors!BD13,IF(VLOOKUP(tbMoveset!A102,tbMoveset!A2:I112,9,FALSE)="Ice",Backdoors!BE13,IF(VLOOKUP(tbMoveset!A102,tbMoveset!A2:I112,9,FALSE)="Dragon",Backdoors!BF13,Backdoors!BG13)))))/100,Backdoors!BG13/100),"")</f>
        <v>0</v>
      </c>
      <c r="BV102" s="49">
        <f>IFERROR(IF(VLOOKUP(A102,tbMoveset!A2:J112,10,FALSE)=TRUE,IF((Backdoors!AI12+IF(BT102&gt;=0.45,VLOOKUP(Calculator!E23,tbSkills!DH3:DI6,2,FALSE)+IF(AND(Calculator!B8=TRUE,Backdoors!BI13=TRUE),VLOOKUP(Calculator!E23,tbSkills!DH3:DJ6,3,FALSE),0),0))&gt;=0,1+(Backdoors!AL2*(IF((Backdoors!AI12+IF(BT102&gt;=0.45,VLOOKUP(Calculator!E23,tbSkills!DH3:DI6,2,FALSE)+IF(AND(Calculator!B8=TRUE,Backdoors!BI13=TRUE),VLOOKUP(Calculator!E23,tbSkills!DH3:DJ6,3,FALSE),0),0))&gt;=100,100,(Backdoors!AI12+IF(BT102&gt;=0.45,VLOOKUP(Calculator!E23,tbSkills!DH3:DI6,2,FALSE)+IF(AND(Calculator!B8=TRUE,Backdoors!BI13=TRUE),VLOOKUP(Calculator!E23,tbSkills!DH3:DJ6,3,FALSE),0),0)))/100)),(1-(0.25*((-Backdoors!AI12-IF(BT102&gt;=0.45,VLOOKUP(Calculator!E23,tbSkills!DH3:DI6,2,FALSE)+IF(AND(Calculator!B8=TRUE,Backdoors!BI13=TRUE),VLOOKUP(Calculator!E23,tbSkills!DH3:DJ6,3,FALSE),0),0))/100)))),1),"")</f>
        <v>1</v>
      </c>
      <c r="BW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T102)*BV102)*(VLOOKUP(A102,tbMoveset!A2:C112,3,FALSE)/100)*IF(VLOOKUP(A102,tbMoveset!A2:B112,2,FALSE)="Projectile",Backdoors!N10,Backdoors!N9),0),"")</f>
        <v/>
      </c>
      <c r="BX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T102&gt;=0.45,VLOOKUP(Calculator!E23,tbSkills!DH3:DI6,2,FALSE)+IF(AND(Calculator!B8=TRUE,Backdoors!BI13=TRUE),VLOOKUP(Calculator!E23,tbSkills!DH3:DJ6,3,FALSE),0),0))&gt;=100,100,(Backdoors!AI12+IF(BT102&gt;=0.45,VLOOKUP(Calculator!E23,tbSkills!DH3:DI6,2,FALSE)+IF(AND(Calculator!B8=TRUE,Backdoors!BI13=TRUE),VLOOKUP(Calculator!E23,tbSkills!DH3:DJ6,3,FALSE),0),0)))/100)),1))*IF(VLOOKUP(A102,tbMoveset!A2:K112,11,FALSE)=TRUE,Backdoors!AC5,1))*BU102,0),"")</f>
        <v>0</v>
      </c>
      <c r="BY102" s="49">
        <f>VLOOKUP(A102,tbMoveset!A2:G112,7,FALSE)*IFERROR(IF(Backdoors!AI12&gt;=0,1+(IF(Calculator!E40&gt;0,VLOOKUP(Calculator!E40,tbSkills!AI3:AJ5,2,FALSE),Backdoors!AL4)*(IF((Backdoors!AI12+IF(BT102&gt;=0.45,VLOOKUP(Calculator!E23,tbSkills!DH3:DI6,2,FALSE)+IF(AND(Calculator!B8=TRUE,Backdoors!BI13=TRUE),VLOOKUP(Calculator!E23,tbSkills!DH3:DJ6,3,FALSE),0),0))&gt;=100,100,(Backdoors!AI12+IF(BT102&gt;=0.45,VLOOKUP(Calculator!E23,tbSkills!DH3:DI6,2,FALSE)+IF(AND(Calculator!B8=TRUE,Backdoors!BI13=TRUE),VLOOKUP(Calculator!E23,tbSkills!DH3:DJ6,3,FALSE),0),0)))/100)),1),1)</f>
        <v>1</v>
      </c>
      <c r="BZ102" s="87">
        <f t="shared" si="61"/>
        <v>0</v>
      </c>
      <c r="CA102" s="86" t="str">
        <f>IFERROR(IF(VLOOKUP(A102,tbMoveset!A2:B112,2,FALSE)="Sever",Backdoors!AY14/100,IF(VLOOKUP(A102,tbMoveset!A2:B112,2,FALSE)="Blunt",Backdoors!AZ14/100,Backdoors!BA14/100)),"")</f>
        <v/>
      </c>
      <c r="CB102" s="49">
        <f>IFERROR(IF(VLOOKUP(tbMoveset!A102,tbMoveset!A2:H112,8,FALSE)="Other",IF(VLOOKUP(tbMoveset!A102,tbMoveset!A2:I112,9,FALSE)="Fire",Backdoors!BB14,IF(VLOOKUP(tbMoveset!A102,tbMoveset!A2:I112,9,FALSE)="Water",Backdoors!BC14,IF(VLOOKUP(tbMoveset!A102,tbMoveset!A2:I112,9,FALSE)="Thunder",Backdoors!BD14,IF(VLOOKUP(tbMoveset!A102,tbMoveset!A2:I112,9,FALSE)="Ice",Backdoors!BE14,IF(VLOOKUP(tbMoveset!A102,tbMoveset!A2:I112,9,FALSE)="Dragon",Backdoors!BF14,Backdoors!BG14)))))/100,Backdoors!BG14/100),"")</f>
        <v>0</v>
      </c>
      <c r="CC102" s="49">
        <f>IFERROR(IF(VLOOKUP(A102,tbMoveset!A2:J112,10,FALSE)=TRUE,IF((Backdoors!AI12+IF(CA102&gt;=0.45,VLOOKUP(Calculator!E23,tbSkills!DH3:DI6,2,FALSE)+IF(AND(Calculator!B8=TRUE,Backdoors!BI14=TRUE),VLOOKUP(Calculator!E23,tbSkills!DH3:DJ6,3,FALSE),0),0))&gt;=0,1+(Backdoors!AL2*(IF((Backdoors!AI12+IF(CA102&gt;=0.45,VLOOKUP(Calculator!E23,tbSkills!DH3:DI6,2,FALSE)+IF(AND(Calculator!B8=TRUE,Backdoors!BI14=TRUE),VLOOKUP(Calculator!E23,tbSkills!DH3:DJ6,3,FALSE),0),0))&gt;=100,100,(Backdoors!AI12+IF(CA102&gt;=0.45,VLOOKUP(Calculator!E23,tbSkills!DH3:DI6,2,FALSE)+IF(AND(Calculator!B8=TRUE,Backdoors!BI14=TRUE),VLOOKUP(Calculator!E23,tbSkills!DH3:DJ6,3,FALSE),0),0)))/100)),(1-(0.25*((-Backdoors!AI12-IF(CA102&gt;=0.45,VLOOKUP(Calculator!E23,tbSkills!DH3:DI6,2,FALSE)+IF(AND(Calculator!B8=TRUE,Backdoors!BI14=TRUE),VLOOKUP(Calculator!E23,tbSkills!DH3:DJ6,3,FALSE),0),0))/100)))),1),"")</f>
        <v>1</v>
      </c>
      <c r="CD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A102)*CC102)*(VLOOKUP(A102,tbMoveset!A2:C112,3,FALSE)/100)*IF(VLOOKUP(A102,tbMoveset!A2:B112,2,FALSE)="Projectile",Backdoors!N10,Backdoors!N9),0),"")</f>
        <v/>
      </c>
      <c r="CE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A102&gt;=0.45,VLOOKUP(Calculator!E23,tbSkills!DH3:DI6,2,FALSE)+IF(AND(Calculator!B8=TRUE,Backdoors!BI14=TRUE),VLOOKUP(Calculator!E23,tbSkills!DH3:DJ6,3,FALSE),0),0))&gt;=100,100,(Backdoors!AI12+IF(CA102&gt;=0.45,VLOOKUP(Calculator!E23,tbSkills!DH3:DI6,2,FALSE)+IF(AND(Calculator!B8=TRUE,Backdoors!BI14=TRUE),VLOOKUP(Calculator!E23,tbSkills!DH3:DJ6,3,FALSE),0),0)))/100)),1))*IF(VLOOKUP(A102,tbMoveset!A2:K112,11,FALSE)=TRUE,Backdoors!AC5,1))*CB102,0),"")</f>
        <v>0</v>
      </c>
      <c r="CF102" s="49">
        <f>VLOOKUP(A102,tbMoveset!A2:G112,7,FALSE)*IFERROR(IF(Backdoors!AI12&gt;=0,1+(IF(Calculator!E40&gt;0,VLOOKUP(Calculator!E40,tbSkills!AI3:AJ5,2,FALSE),Backdoors!AL4)*(IF((Backdoors!AI12+IF(CA102&gt;=0.45,VLOOKUP(Calculator!E23,tbSkills!DH3:DI6,2,FALSE)+IF(AND(Calculator!B8=TRUE,Backdoors!BI14=TRUE),VLOOKUP(Calculator!E23,tbSkills!DH3:DJ6,3,FALSE),0),0))&gt;=100,100,(Backdoors!AI12+IF(CA102&gt;=0.45,VLOOKUP(Calculator!E23,tbSkills!DH3:DI6,2,FALSE)+IF(AND(Calculator!B8=TRUE,Backdoors!BI14=TRUE),VLOOKUP(Calculator!E23,tbSkills!DH3:DJ6,3,FALSE),0),0)))/100)),1),1)</f>
        <v>1</v>
      </c>
      <c r="CG102" s="87">
        <f t="shared" si="62"/>
        <v>0</v>
      </c>
      <c r="CH102" s="86" t="str">
        <f>IFERROR(IF(VLOOKUP(A102,tbMoveset!A2:B112,2,FALSE)="Sever",Backdoors!AY15/100,IF(VLOOKUP(A102,tbMoveset!A2:B112,2,FALSE)="Blunt",Backdoors!AZ15/100,Backdoors!BA15/100)),"")</f>
        <v/>
      </c>
      <c r="CI102" s="49">
        <f>IFERROR(IF(VLOOKUP(tbMoveset!A102,tbMoveset!A2:H112,8,FALSE)="Other",IF(VLOOKUP(tbMoveset!A102,tbMoveset!A2:I112,9,FALSE)="Fire",Backdoors!BB15,IF(VLOOKUP(tbMoveset!A102,tbMoveset!A2:I112,9,FALSE)="Water",Backdoors!BC15,IF(VLOOKUP(tbMoveset!A102,tbMoveset!A2:I112,9,FALSE)="Thunder",Backdoors!BD15,IF(VLOOKUP(tbMoveset!A102,tbMoveset!A2:I112,9,FALSE)="Ice",Backdoors!BE15,IF(VLOOKUP(tbMoveset!A102,tbMoveset!A2:I112,9,FALSE)="Dragon",Backdoors!BF15,Backdoors!BG15)))))/100,Backdoors!BG15/100),"")</f>
        <v>0</v>
      </c>
      <c r="CJ102" s="49">
        <f>IFERROR(IF(VLOOKUP(A102,tbMoveset!A2:J112,10,FALSE)=TRUE,IF((Backdoors!AI12+IF(CH102&gt;=0.45,VLOOKUP(Calculator!E23,tbSkills!DH3:DI6,2,FALSE)+IF(AND(Calculator!B8=TRUE,Backdoors!BI15=TRUE),VLOOKUP(Calculator!E23,tbSkills!DH3:DJ6,3,FALSE),0),0))&gt;=0,1+(Backdoors!AL2*(IF((Backdoors!AI12+IF(CH102&gt;=0.45,VLOOKUP(Calculator!E23,tbSkills!DH3:DI6,2,FALSE)+IF(AND(Calculator!B8=TRUE,Backdoors!BI15=TRUE),VLOOKUP(Calculator!E23,tbSkills!DH3:DJ6,3,FALSE),0),0))&gt;=100,100,(Backdoors!AI12+IF(CH102&gt;=0.45,VLOOKUP(Calculator!E23,tbSkills!DH3:DI6,2,FALSE)+IF(AND(Calculator!B8=TRUE,Backdoors!BI15=TRUE),VLOOKUP(Calculator!E23,tbSkills!DH3:DJ6,3,FALSE),0),0)))/100)),(1-(0.25*((-Backdoors!AI12-IF(CH102&gt;=0.45,VLOOKUP(Calculator!E23,tbSkills!DH3:DI6,2,FALSE)+IF(AND(Calculator!B8=TRUE,Backdoors!BI15=TRUE),VLOOKUP(Calculator!E23,tbSkills!DH3:DJ6,3,FALSE),0),0))/100)))),1),"")</f>
        <v>1</v>
      </c>
      <c r="CK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H102)*CJ102)*(VLOOKUP(A102,tbMoveset!A2:C112,3,FALSE)/100)*IF(VLOOKUP(A102,tbMoveset!A2:B112,2,FALSE)="Projectile",Backdoors!N10,Backdoors!N9),0),"")</f>
        <v/>
      </c>
      <c r="CL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H102&gt;=0.45,VLOOKUP(Calculator!E23,tbSkills!DH3:DI6,2,FALSE)+IF(AND(Calculator!B8=TRUE,Backdoors!BI15=TRUE),VLOOKUP(Calculator!E23,tbSkills!DH3:DJ6,3,FALSE),0),0))&gt;=100,100,(Backdoors!AI12+IF(CH102&gt;=0.45,VLOOKUP(Calculator!E23,tbSkills!DH3:DI6,2,FALSE)+IF(AND(Calculator!B8=TRUE,Backdoors!BI15=TRUE),VLOOKUP(Calculator!E23,tbSkills!DH3:DJ6,3,FALSE),0),0)))/100)),1))*IF(VLOOKUP(A102,tbMoveset!A2:K112,11,FALSE)=TRUE,Backdoors!AC5,1))*CI102,0),"")</f>
        <v>0</v>
      </c>
      <c r="CM102" s="49">
        <f>VLOOKUP(A102,tbMoveset!A2:G112,7,FALSE)*IFERROR(IF(Backdoors!AI12&gt;=0,1+(IF(Calculator!E40&gt;0,VLOOKUP(Calculator!E40,tbSkills!AI3:AJ5,2,FALSE),Backdoors!AL4)*(IF((Backdoors!AI12+IF(CH102&gt;=0.45,VLOOKUP(Calculator!E23,tbSkills!DH3:DI6,2,FALSE)+IF(AND(Calculator!B8=TRUE,Backdoors!BI15=TRUE),VLOOKUP(Calculator!E23,tbSkills!DH3:DJ6,3,FALSE),0),0))&gt;=100,100,(Backdoors!AI12+IF(CH102&gt;=0.45,VLOOKUP(Calculator!E23,tbSkills!DH3:DI6,2,FALSE)+IF(AND(Calculator!B8=TRUE,Backdoors!BI15=TRUE),VLOOKUP(Calculator!E23,tbSkills!DH3:DJ6,3,FALSE),0),0)))/100)),1),1)</f>
        <v>1</v>
      </c>
      <c r="CN102" s="87">
        <f t="shared" si="63"/>
        <v>0</v>
      </c>
      <c r="CO102" s="86" t="str">
        <f>IFERROR(IF(VLOOKUP(A102,tbMoveset!A2:B112,2,FALSE)="Sever",Backdoors!AY16/100,IF(VLOOKUP(A102,tbMoveset!A2:B112,2,FALSE)="Blunt",Backdoors!AZ16/100,Backdoors!BA16/100)),"")</f>
        <v/>
      </c>
      <c r="CP102" s="49">
        <f>IFERROR(IF(VLOOKUP(tbMoveset!A102,tbMoveset!A2:H112,8,FALSE)="Other",IF(VLOOKUP(tbMoveset!A102,tbMoveset!A2:I112,9,FALSE)="Fire",Backdoors!BB16,IF(VLOOKUP(tbMoveset!A102,tbMoveset!A2:I112,9,FALSE)="Water",Backdoors!BC16,IF(VLOOKUP(tbMoveset!A102,tbMoveset!A2:I112,9,FALSE)="Thunder",Backdoors!BD16,IF(VLOOKUP(tbMoveset!A102,tbMoveset!A2:I112,9,FALSE)="Ice",Backdoors!BE16,IF(VLOOKUP(tbMoveset!A102,tbMoveset!A2:I112,9,FALSE)="Dragon",Backdoors!BF16,Backdoors!BG16)))))/100,Backdoors!BG16/100),"")</f>
        <v>0</v>
      </c>
      <c r="CQ102" s="49">
        <f>IFERROR(IF(VLOOKUP(A102,tbMoveset!A2:J112,10,FALSE)=TRUE,IF((Backdoors!AI12+IF(CO102&gt;=0.45,VLOOKUP(Calculator!E23,tbSkills!DH3:DI6,2,FALSE)+IF(AND(Calculator!B8=TRUE,Backdoors!BI16=TRUE),VLOOKUP(Calculator!E23,tbSkills!DH3:DJ6,3,FALSE),0),0))&gt;=0,1+(Backdoors!AL2*(IF((Backdoors!AI12+IF(CO102&gt;=0.45,VLOOKUP(Calculator!E23,tbSkills!DH3:DI6,2,FALSE)+IF(AND(Calculator!B8=TRUE,Backdoors!BI16=TRUE),VLOOKUP(Calculator!E23,tbSkills!DH3:DJ6,3,FALSE),0),0))&gt;=100,100,(Backdoors!AI12+IF(CO102&gt;=0.45,VLOOKUP(Calculator!E23,tbSkills!DH3:DI6,2,FALSE)+IF(AND(Calculator!B8=TRUE,Backdoors!BI16=TRUE),VLOOKUP(Calculator!E23,tbSkills!DH3:DJ6,3,FALSE),0),0)))/100)),(1-(0.25*((-Backdoors!AI12-IF(CO102&gt;=0.45,VLOOKUP(Calculator!E23,tbSkills!DH3:DI6,2,FALSE)+IF(AND(Calculator!B8=TRUE,Backdoors!BI16=TRUE),VLOOKUP(Calculator!E23,tbSkills!DH3:DJ6,3,FALSE),0),0))/100)))),1),"")</f>
        <v>1</v>
      </c>
      <c r="CR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O102)*CQ102)*(VLOOKUP(A102,tbMoveset!A2:C112,3,FALSE)/100)*IF(VLOOKUP(A102,tbMoveset!A2:B112,2,FALSE)="Projectile",Backdoors!N10,Backdoors!N9),0),"")</f>
        <v/>
      </c>
      <c r="CS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O102&gt;=0.45,VLOOKUP(Calculator!E23,tbSkills!DH3:DI6,2,FALSE)+IF(AND(Calculator!B8=TRUE,Backdoors!BI16=TRUE),VLOOKUP(Calculator!E23,tbSkills!DH3:DJ6,3,FALSE),0),0))&gt;=100,100,(Backdoors!AI12+IF(CO102&gt;=0.45,VLOOKUP(Calculator!E23,tbSkills!DH3:DI6,2,FALSE)+IF(AND(Calculator!B8=TRUE,Backdoors!BI16=TRUE),VLOOKUP(Calculator!E23,tbSkills!DH3:DJ6,3,FALSE),0),0)))/100)),1))*IF(VLOOKUP(A102,tbMoveset!A2:K112,11,FALSE)=TRUE,Backdoors!AC5,1))*CP102,0),"")</f>
        <v>0</v>
      </c>
      <c r="CT102" s="49">
        <f>VLOOKUP(A102,tbMoveset!A2:G112,7,FALSE)*IFERROR(IF(Backdoors!AI12&gt;=0,1+(IF(Calculator!E40&gt;0,VLOOKUP(Calculator!E40,tbSkills!AI3:AJ5,2,FALSE),Backdoors!AL4)*(IF((Backdoors!AI12+IF(CO102&gt;=0.45,VLOOKUP(Calculator!E23,tbSkills!DH3:DI6,2,FALSE)+IF(AND(Calculator!B8=TRUE,Backdoors!BI16=TRUE),VLOOKUP(Calculator!E23,tbSkills!DH3:DJ6,3,FALSE),0),0))&gt;=100,100,(Backdoors!AI12+IF(CO102&gt;=0.45,VLOOKUP(Calculator!E23,tbSkills!DH3:DI6,2,FALSE)+IF(AND(Calculator!B8=TRUE,Backdoors!BI16=TRUE),VLOOKUP(Calculator!E23,tbSkills!DH3:DJ6,3,FALSE),0),0)))/100)),1),1)</f>
        <v>1</v>
      </c>
      <c r="CU102" s="87">
        <f t="shared" si="64"/>
        <v>0</v>
      </c>
      <c r="CV102" s="86" t="str">
        <f>IFERROR(IF(VLOOKUP(A102,tbMoveset!A2:B112,2,FALSE)="Sever",Backdoors!AY17/100,IF(VLOOKUP(A102,tbMoveset!A2:B112,2,FALSE)="Blunt",Backdoors!AZ17/100,Backdoors!BA17/100)),"")</f>
        <v/>
      </c>
      <c r="CW102" s="49">
        <f>IFERROR(IF(VLOOKUP(tbMoveset!A102,tbMoveset!A2:H112,8,FALSE)="Other",IF(VLOOKUP(tbMoveset!A102,tbMoveset!A2:I112,9,FALSE)="Fire",Backdoors!BB17,IF(VLOOKUP(tbMoveset!A102,tbMoveset!A2:I112,9,FALSE)="Water",Backdoors!BC17,IF(VLOOKUP(tbMoveset!A102,tbMoveset!A2:I112,9,FALSE)="Thunder",Backdoors!BD17,IF(VLOOKUP(tbMoveset!A102,tbMoveset!A2:I112,9,FALSE)="Ice",Backdoors!BE17,IF(VLOOKUP(tbMoveset!A102,tbMoveset!A2:I112,9,FALSE)="Dragon",Backdoors!BF17,Backdoors!BG17)))))/100,Backdoors!BG17/100),"")</f>
        <v>0</v>
      </c>
      <c r="CX102" s="49">
        <f>IFERROR(IF(VLOOKUP(A102,tbMoveset!A2:J112,10,FALSE)=TRUE,IF((Backdoors!AI12+IF(CV102&gt;=0.45,VLOOKUP(Calculator!E23,tbSkills!DH3:DI6,2,FALSE)+IF(AND(Calculator!B8=TRUE,Backdoors!BI17=TRUE),VLOOKUP(Calculator!E23,tbSkills!DH3:DJ6,3,FALSE),0),0))&gt;=0,1+(Backdoors!AL2*(IF((Backdoors!AI12+IF(CV102&gt;=0.45,VLOOKUP(Calculator!E23,tbSkills!DH3:DI6,2,FALSE)+IF(AND(Calculator!B8=TRUE,Backdoors!BI17=TRUE),VLOOKUP(Calculator!E23,tbSkills!DH3:DJ6,3,FALSE),0),0))&gt;=100,100,(Backdoors!AI12+IF(CV102&gt;=0.45,VLOOKUP(Calculator!E23,tbSkills!DH3:DI6,2,FALSE)+IF(AND(Calculator!B8=TRUE,Backdoors!BI17=TRUE),VLOOKUP(Calculator!E23,tbSkills!DH3:DJ6,3,FALSE),0),0)))/100)),(1-(0.25*((-Backdoors!AI12-IF(CV102&gt;=0.45,VLOOKUP(Calculator!E23,tbSkills!DH3:DI6,2,FALSE)+IF(AND(Calculator!B8=TRUE,Backdoors!BI17=TRUE),VLOOKUP(Calculator!E23,tbSkills!DH3:DJ6,3,FALSE),0),0))/100)))),1),"")</f>
        <v>1</v>
      </c>
      <c r="CY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V102)*CX102)*(VLOOKUP(A102,tbMoveset!A2:C112,3,FALSE)/100)*IF(VLOOKUP(A102,tbMoveset!A2:B112,2,FALSE)="Projectile",Backdoors!N10,Backdoors!N9),0),"")</f>
        <v/>
      </c>
      <c r="CZ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V102&gt;=0.45,VLOOKUP(Calculator!E23,tbSkills!DH3:DI6,2,FALSE)+IF(AND(Calculator!B8=TRUE,Backdoors!BI17=TRUE),VLOOKUP(Calculator!E23,tbSkills!DH3:DJ6,3,FALSE),0),0))&gt;=100,100,(Backdoors!AI12+IF(CV102&gt;=0.45,VLOOKUP(Calculator!E23,tbSkills!DH3:DI6,2,FALSE)+IF(AND(Calculator!B8=TRUE,Backdoors!BI17=TRUE),VLOOKUP(Calculator!E23,tbSkills!DH3:DJ6,3,FALSE),0),0)))/100)),1))*IF(VLOOKUP(A102,tbMoveset!A2:K112,11,FALSE)=TRUE,Backdoors!AC5,1))*CW102,0),"")</f>
        <v>0</v>
      </c>
      <c r="DA102" s="49">
        <f>VLOOKUP(A102,tbMoveset!A2:G112,7,FALSE)*IFERROR(IF(Backdoors!AI12&gt;=0,1+(IF(Calculator!E40&gt;0,VLOOKUP(Calculator!E40,tbSkills!AI3:AJ5,2,FALSE),Backdoors!AL4)*(IF((Backdoors!AI12+IF(CV102&gt;=0.45,VLOOKUP(Calculator!E23,tbSkills!DH3:DI6,2,FALSE)+IF(AND(Calculator!B8=TRUE,Backdoors!BI17=TRUE),VLOOKUP(Calculator!E23,tbSkills!DH3:DJ6,3,FALSE),0),0))&gt;=100,100,(Backdoors!AI12+IF(CV102&gt;=0.45,VLOOKUP(Calculator!E23,tbSkills!DH3:DI6,2,FALSE)+IF(AND(Calculator!B8=TRUE,Backdoors!BI17=TRUE),VLOOKUP(Calculator!E23,tbSkills!DH3:DJ6,3,FALSE),0),0)))/100)),1),1)</f>
        <v>1</v>
      </c>
      <c r="DB102" s="87">
        <f t="shared" si="65"/>
        <v>0</v>
      </c>
      <c r="DC102" s="86" t="str">
        <f>IFERROR(IF(VLOOKUP(A102,tbMoveset!A2:B112,2,FALSE)="Sever",Backdoors!AY18/100,IF(VLOOKUP(A102,tbMoveset!A2:B112,2,FALSE)="Blunt",Backdoors!AZ18/100,Backdoors!BA18/100)),"")</f>
        <v/>
      </c>
      <c r="DD102" s="49">
        <f>IFERROR(IF(VLOOKUP(tbMoveset!A102,tbMoveset!A2:H112,8,FALSE)="Other",IF(VLOOKUP(tbMoveset!A102,tbMoveset!A2:I112,9,FALSE)="Fire",Backdoors!BB18,IF(VLOOKUP(tbMoveset!A102,tbMoveset!A2:I112,9,FALSE)="Water",Backdoors!BC18,IF(VLOOKUP(tbMoveset!A102,tbMoveset!A2:I112,9,FALSE)="Thunder",Backdoors!BD18,IF(VLOOKUP(tbMoveset!A102,tbMoveset!A2:I112,9,FALSE)="Ice",Backdoors!BE18,IF(VLOOKUP(tbMoveset!A102,tbMoveset!A2:I112,9,FALSE)="Dragon",Backdoors!BF18,Backdoors!BG18)))))/100,Backdoors!BG18/100),"")</f>
        <v>0</v>
      </c>
      <c r="DE102" s="49">
        <f>IFERROR(IF(VLOOKUP(A102,tbMoveset!A2:J112,10,FALSE)=TRUE,IF((Backdoors!AI12+IF(DC102&gt;=0.45,VLOOKUP(Calculator!E23,tbSkills!DH3:DI6,2,FALSE)+IF(AND(Calculator!B8=TRUE,Backdoors!BI18=TRUE),VLOOKUP(Calculator!E23,tbSkills!DH3:DJ6,3,FALSE),0),0))&gt;=0,1+(Backdoors!AL2*(IF((Backdoors!AI12+IF(DC102&gt;=0.45,VLOOKUP(Calculator!E23,tbSkills!DH3:DI6,2,FALSE)+IF(AND(Calculator!B8=TRUE,Backdoors!BI18=TRUE),VLOOKUP(Calculator!E23,tbSkills!DH3:DJ6,3,FALSE),0),0))&gt;=100,100,(Backdoors!AI12+IF(DC102&gt;=0.45,VLOOKUP(Calculator!E23,tbSkills!DH3:DI6,2,FALSE)+IF(AND(Calculator!B8=TRUE,Backdoors!BI18=TRUE),VLOOKUP(Calculator!E23,tbSkills!DH3:DJ6,3,FALSE),0),0)))/100)),(1-(0.25*((-Backdoors!AI12-IF(DC102&gt;=0.45,VLOOKUP(Calculator!E23,tbSkills!DH3:DI6,2,FALSE)+IF(AND(Calculator!B8=TRUE,Backdoors!BI18=TRUE),VLOOKUP(Calculator!E23,tbSkills!DH3:DJ6,3,FALSE),0),0))/100)))),1),"")</f>
        <v>1</v>
      </c>
      <c r="DF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C102)*DE102)*(VLOOKUP(A102,tbMoveset!A2:C112,3,FALSE)/100)*IF(VLOOKUP(A102,tbMoveset!A2:B112,2,FALSE)="Projectile",Backdoors!N10,Backdoors!N9),0),"")</f>
        <v/>
      </c>
      <c r="DG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C102&gt;=0.45,VLOOKUP(Calculator!E23,tbSkills!DH3:DI6,2,FALSE)+IF(AND(Calculator!B8=TRUE,Backdoors!BI18=TRUE),VLOOKUP(Calculator!E23,tbSkills!DH3:DJ6,3,FALSE),0),0))&gt;=100,100,(Backdoors!AI12+IF(DC102&gt;=0.45,VLOOKUP(Calculator!E23,tbSkills!DH3:DI6,2,FALSE)+IF(AND(Calculator!B8=TRUE,Backdoors!BI18=TRUE),VLOOKUP(Calculator!E23,tbSkills!DH3:DJ6,3,FALSE),0),0)))/100)),1))*IF(VLOOKUP(A102,tbMoveset!A2:K112,11,FALSE)=TRUE,Backdoors!AC5,1))*DD102,0),"")</f>
        <v>0</v>
      </c>
      <c r="DH102" s="49">
        <f>VLOOKUP(A102,tbMoveset!A2:G112,7,FALSE)*IFERROR(IF(Backdoors!AI12&gt;=0,1+(IF(Calculator!E40&gt;0,VLOOKUP(Calculator!E40,tbSkills!AI3:AJ5,2,FALSE),Backdoors!AL4)*(IF((Backdoors!AI12+IF(DC102&gt;=0.45,VLOOKUP(Calculator!E23,tbSkills!DH3:DI6,2,FALSE)+IF(AND(Calculator!B8=TRUE,Backdoors!BI18=TRUE),VLOOKUP(Calculator!E23,tbSkills!DH3:DJ6,3,FALSE),0),0))&gt;=100,100,(Backdoors!AI12+IF(DC102&gt;=0.45,VLOOKUP(Calculator!E23,tbSkills!DH3:DI6,2,FALSE)+IF(AND(Calculator!B8=TRUE,Backdoors!BI18=TRUE),VLOOKUP(Calculator!E23,tbSkills!DH3:DJ6,3,FALSE),0),0)))/100)),1),1)</f>
        <v>1</v>
      </c>
      <c r="DI102" s="87">
        <f t="shared" si="66"/>
        <v>0</v>
      </c>
      <c r="DJ102" s="86" t="str">
        <f>IFERROR(IF(VLOOKUP(A102,tbMoveset!A2:B112,2,FALSE)="Sever",Backdoors!AY19/100,IF(VLOOKUP(A102,tbMoveset!A2:B112,2,FALSE)="Blunt",Backdoors!AZ19/100,Backdoors!BA19/100)),"")</f>
        <v/>
      </c>
      <c r="DK102" s="49">
        <f>IFERROR(IF(VLOOKUP(tbMoveset!A102,tbMoveset!A2:H112,8,FALSE)="Other",IF(VLOOKUP(tbMoveset!A102,tbMoveset!A2:I112,9,FALSE)="Fire",Backdoors!BB19,IF(VLOOKUP(tbMoveset!A102,tbMoveset!A2:I112,9,FALSE)="Water",Backdoors!BC19,IF(VLOOKUP(tbMoveset!A102,tbMoveset!A2:I112,9,FALSE)="Thunder",Backdoors!BD19,IF(VLOOKUP(tbMoveset!A102,tbMoveset!A2:I112,9,FALSE)="Ice",Backdoors!BE19,IF(VLOOKUP(tbMoveset!A102,tbMoveset!A2:I112,9,FALSE)="Dragon",Backdoors!BF19,Backdoors!BG19)))))/100,Backdoors!BG19/100),"")</f>
        <v>0</v>
      </c>
      <c r="DL102" s="49">
        <f>IFERROR(IF(VLOOKUP(A102,tbMoveset!A2:J112,10,FALSE)=TRUE,IF((Backdoors!AI12+IF(DJ102&gt;=0.45,VLOOKUP(Calculator!E23,tbSkills!DH3:DI6,2,FALSE)+IF(AND(Calculator!B8=TRUE,Backdoors!BI19=TRUE),VLOOKUP(Calculator!E23,tbSkills!DH3:DJ6,3,FALSE),0),0))&gt;=0,1+(Backdoors!AL2*(IF((Backdoors!AI12+IF(DJ102&gt;=0.45,VLOOKUP(Calculator!E23,tbSkills!DH3:DI6,2,FALSE)+IF(AND(Calculator!B8=TRUE,Backdoors!BI19=TRUE),VLOOKUP(Calculator!E23,tbSkills!DH3:DJ6,3,FALSE),0),0))&gt;=100,100,(Backdoors!AI12+IF(DJ102&gt;=0.45,VLOOKUP(Calculator!E23,tbSkills!DH3:DI6,2,FALSE)+IF(AND(Calculator!B8=TRUE,Backdoors!BI19=TRUE),VLOOKUP(Calculator!E23,tbSkills!DH3:DJ6,3,FALSE),0),0)))/100)),(1-(0.25*((-Backdoors!AI12-IF(DJ102&gt;=0.45,VLOOKUP(Calculator!E23,tbSkills!DH3:DI6,2,FALSE)+IF(AND(Calculator!B8=TRUE,Backdoors!BI19=TRUE),VLOOKUP(Calculator!E23,tbSkills!DH3:DJ6,3,FALSE),0),0))/100)))),1),"")</f>
        <v>1</v>
      </c>
      <c r="DM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J102)*DL102)*(VLOOKUP(A102,tbMoveset!A2:C112,3,FALSE)/100)*IF(VLOOKUP(A102,tbMoveset!A2:B112,2,FALSE)="Projectile",Backdoors!N10,Backdoors!N9),0),"")</f>
        <v/>
      </c>
      <c r="DN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J102&gt;=0.45,VLOOKUP(Calculator!E23,tbSkills!DH3:DI6,2,FALSE)+IF(AND(Calculator!B8=TRUE,Backdoors!BI19=TRUE),VLOOKUP(Calculator!E23,tbSkills!DH3:DJ6,3,FALSE),0),0))&gt;=100,100,(Backdoors!AI12+IF(DJ102&gt;=0.45,VLOOKUP(Calculator!E23,tbSkills!DH3:DI6,2,FALSE)+IF(AND(Calculator!B8=TRUE,Backdoors!BI19=TRUE),VLOOKUP(Calculator!E23,tbSkills!DH3:DJ6,3,FALSE),0),0)))/100)),1))*IF(VLOOKUP(A102,tbMoveset!A2:K112,11,FALSE)=TRUE,Backdoors!AC5,1))*DK102,0),"")</f>
        <v>0</v>
      </c>
      <c r="DO102" s="49">
        <f>VLOOKUP(A102,tbMoveset!A2:G112,7,FALSE)*IFERROR(IF(Backdoors!AI12&gt;=0,1+(IF(Calculator!E40&gt;0,VLOOKUP(Calculator!E40,tbSkills!AI3:AJ5,2,FALSE),Backdoors!AL4)*(IF((Backdoors!AI12+IF(DJ102&gt;=0.45,VLOOKUP(Calculator!E23,tbSkills!DH3:DI6,2,FALSE)+IF(AND(Calculator!B8=TRUE,Backdoors!BI19=TRUE),VLOOKUP(Calculator!E23,tbSkills!DH3:DJ6,3,FALSE),0),0))&gt;=100,100,(Backdoors!AI12+IF(DJ102&gt;=0.45,VLOOKUP(Calculator!E23,tbSkills!DH3:DI6,2,FALSE)+IF(AND(Calculator!B8=TRUE,Backdoors!BI19=TRUE),VLOOKUP(Calculator!E23,tbSkills!DH3:DJ6,3,FALSE),0),0)))/100)),1),1)</f>
        <v>1</v>
      </c>
      <c r="DP102" s="87">
        <f t="shared" si="67"/>
        <v>0</v>
      </c>
      <c r="DQ102" s="86" t="str">
        <f>IFERROR(IF(VLOOKUP(A102,tbMoveset!A2:B112,2,FALSE)="Sever",Backdoors!AY20/100,IF(VLOOKUP(A102,tbMoveset!A2:B112,2,FALSE)="Blunt",Backdoors!AZ20/100,Backdoors!BA20/100)),"")</f>
        <v/>
      </c>
      <c r="DR102" s="49">
        <f>IFERROR(IF(VLOOKUP(tbMoveset!A102,tbMoveset!A2:H112,8,FALSE)="Other",IF(VLOOKUP(tbMoveset!A102,tbMoveset!A2:I112,9,FALSE)="Fire",Backdoors!BB20,IF(VLOOKUP(tbMoveset!A102,tbMoveset!A2:I112,9,FALSE)="Water",Backdoors!BC20,IF(VLOOKUP(tbMoveset!A102,tbMoveset!A2:I112,9,FALSE)="Thunder",Backdoors!BD20,IF(VLOOKUP(tbMoveset!A102,tbMoveset!A2:I112,9,FALSE)="Ice",Backdoors!BE20,IF(VLOOKUP(tbMoveset!A102,tbMoveset!A2:I112,9,FALSE)="Dragon",Backdoors!BF20,Backdoors!BG20)))))/100,Backdoors!BG20/100),"")</f>
        <v>0</v>
      </c>
      <c r="DS102" s="49">
        <f>IFERROR(IF(VLOOKUP(A102,tbMoveset!A2:J112,10,FALSE)=TRUE,IF((Backdoors!AI12+IF(DQ102&gt;=0.45,VLOOKUP(Calculator!E23,tbSkills!DH3:DI6,2,FALSE)+IF(AND(Calculator!B8=TRUE,Backdoors!BI20=TRUE),VLOOKUP(Calculator!E23,tbSkills!DH3:DJ6,3,FALSE),0),0))&gt;=0,1+(Backdoors!AL2*(IF((Backdoors!AI12+IF(DQ102&gt;=0.45,VLOOKUP(Calculator!E23,tbSkills!DH3:DI6,2,FALSE)+IF(AND(Calculator!B8=TRUE,Backdoors!BI20=TRUE),VLOOKUP(Calculator!E23,tbSkills!DH3:DJ6,3,FALSE),0),0))&gt;=100,100,(Backdoors!AI12+IF(DQ102&gt;=0.45,VLOOKUP(Calculator!E23,tbSkills!DH3:DI6,2,FALSE)+IF(AND(Calculator!B8=TRUE,Backdoors!BI20=TRUE),VLOOKUP(Calculator!E23,tbSkills!DH3:DJ6,3,FALSE),0),0)))/100)),(1-(0.25*((-Backdoors!AI12-IF(DQ102&gt;=0.45,VLOOKUP(Calculator!E23,tbSkills!DH3:DI6,2,FALSE)+IF(AND(Calculator!B8=TRUE,Backdoors!BI20=TRUE),VLOOKUP(Calculator!E23,tbSkills!DH3:DJ6,3,FALSE),0),0))/100)))),1),"")</f>
        <v>1</v>
      </c>
      <c r="DT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Q102)*DS102)*(VLOOKUP(A102,tbMoveset!A2:C112,3,FALSE)/100)*IF(VLOOKUP(A102,tbMoveset!A2:B112,2,FALSE)="Projectile",Backdoors!N10,Backdoors!N9),0),"")</f>
        <v/>
      </c>
      <c r="DU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Q102&gt;=0.45,VLOOKUP(Calculator!E23,tbSkills!DH3:DI6,2,FALSE)+IF(AND(Calculator!B8=TRUE,Backdoors!BI20=TRUE),VLOOKUP(Calculator!E23,tbSkills!DH3:DJ6,3,FALSE),0),0))&gt;=100,100,(Backdoors!AI12+IF(DQ102&gt;=0.45,VLOOKUP(Calculator!E23,tbSkills!DH3:DI6,2,FALSE)+IF(AND(Calculator!B8=TRUE,Backdoors!BI20=TRUE),VLOOKUP(Calculator!E23,tbSkills!DH3:DJ6,3,FALSE),0),0)))/100)),1))*IF(VLOOKUP(A102,tbMoveset!A2:K112,11,FALSE)=TRUE,Backdoors!AC5,1))*DR102,0),"")</f>
        <v>0</v>
      </c>
      <c r="DV102" s="49">
        <f>VLOOKUP(A102,tbMoveset!A2:G112,7,FALSE)*IFERROR(IF(Backdoors!AI12&gt;=0,1+(IF(Calculator!E40&gt;0,VLOOKUP(Calculator!E40,tbSkills!AI3:AJ5,2,FALSE),Backdoors!AL4)*(IF((Backdoors!AI12+IF(DQ102&gt;=0.45,VLOOKUP(Calculator!E23,tbSkills!DH3:DI6,2,FALSE)+IF(AND(Calculator!B8=TRUE,Backdoors!BI20=TRUE),VLOOKUP(Calculator!E23,tbSkills!DH3:DJ6,3,FALSE),0),0))&gt;=100,100,(Backdoors!AI12+IF(DQ102&gt;=0.45,VLOOKUP(Calculator!E23,tbSkills!DH3:DI6,2,FALSE)+IF(AND(Calculator!B8=TRUE,Backdoors!BI20=TRUE),VLOOKUP(Calculator!E23,tbSkills!DH3:DJ6,3,FALSE),0),0)))/100)),1),1)</f>
        <v>1</v>
      </c>
      <c r="DW102" s="87">
        <f t="shared" si="68"/>
        <v>0</v>
      </c>
      <c r="DX102" s="86" t="str">
        <f>IFERROR(IF(VLOOKUP(A102,tbMoveset!A2:B112,2,FALSE)="Sever",Backdoors!AY21/100,IF(VLOOKUP(A102,tbMoveset!A2:B112,2,FALSE)="Blunt",Backdoors!AZ21/100,Backdoors!BA21/100)),"")</f>
        <v/>
      </c>
      <c r="DY102" s="49">
        <f>IFERROR(IF(VLOOKUP(tbMoveset!A102,tbMoveset!A2:H112,8,FALSE)="Other",IF(VLOOKUP(tbMoveset!A102,tbMoveset!A2:I112,9,FALSE)="Fire",Backdoors!BB21,IF(VLOOKUP(tbMoveset!A102,tbMoveset!A2:I112,9,FALSE)="Water",Backdoors!BC21,IF(VLOOKUP(tbMoveset!A102,tbMoveset!A2:I112,9,FALSE)="Thunder",Backdoors!BD21,IF(VLOOKUP(tbMoveset!A102,tbMoveset!A2:I112,9,FALSE)="Ice",Backdoors!BE21,IF(VLOOKUP(tbMoveset!A102,tbMoveset!A2:I112,9,FALSE)="Dragon",Backdoors!BF21,Backdoors!BG21)))))/100,Backdoors!BG21/100),"")</f>
        <v>0</v>
      </c>
      <c r="DZ102" s="49">
        <f>IFERROR(IF(VLOOKUP(A102,tbMoveset!A2:J112,10,FALSE)=TRUE,IF((Backdoors!AI12+IF(DX102&gt;=0.45,VLOOKUP(Calculator!E23,tbSkills!DH3:DI6,2,FALSE)+IF(AND(Calculator!B8=TRUE,Backdoors!BI21=TRUE),VLOOKUP(Calculator!E23,tbSkills!DH3:DJ6,3,FALSE),0),0))&gt;=0,1+(Backdoors!AL2*(IF((Backdoors!AI12+IF(DX102&gt;=0.45,VLOOKUP(Calculator!E23,tbSkills!DH3:DI6,2,FALSE)+IF(AND(Calculator!B8=TRUE,Backdoors!BI21=TRUE),VLOOKUP(Calculator!E23,tbSkills!DH3:DJ6,3,FALSE),0),0))&gt;=100,100,(Backdoors!AI12+IF(DX102&gt;=0.45,VLOOKUP(Calculator!E23,tbSkills!DH3:DI6,2,FALSE)+IF(AND(Calculator!B8=TRUE,Backdoors!BI21=TRUE),VLOOKUP(Calculator!E23,tbSkills!DH3:DJ6,3,FALSE),0),0)))/100)),(1-(0.25*((-Backdoors!AI12-IF(DX102&gt;=0.45,VLOOKUP(Calculator!E23,tbSkills!DH3:DI6,2,FALSE)+IF(AND(Calculator!B8=TRUE,Backdoors!BI21=TRUE),VLOOKUP(Calculator!E23,tbSkills!DH3:DJ6,3,FALSE),0),0))/100)))),1),"")</f>
        <v>1</v>
      </c>
      <c r="EA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X102)*DZ102)*(VLOOKUP(A102,tbMoveset!A2:C112,3,FALSE)/100)*IF(VLOOKUP(A102,tbMoveset!A2:B112,2,FALSE)="Projectile",Backdoors!N10,Backdoors!N9),0),"")</f>
        <v/>
      </c>
      <c r="EB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X102&gt;=0.45,VLOOKUP(Calculator!E23,tbSkills!DH3:DI6,2,FALSE)+IF(AND(Calculator!B8=TRUE,Backdoors!BI21=TRUE),VLOOKUP(Calculator!E23,tbSkills!DH3:DJ6,3,FALSE),0),0))&gt;=100,100,(Backdoors!AI12+IF(DX102&gt;=0.45,VLOOKUP(Calculator!E23,tbSkills!DH3:DI6,2,FALSE)+IF(AND(Calculator!B8=TRUE,Backdoors!BI21=TRUE),VLOOKUP(Calculator!E23,tbSkills!DH3:DJ6,3,FALSE),0),0)))/100)),1))*IF(VLOOKUP(A102,tbMoveset!A2:K112,11,FALSE)=TRUE,Backdoors!AC5,1))*DY102,0),"")</f>
        <v>0</v>
      </c>
      <c r="EC102" s="49">
        <f>VLOOKUP(A102,tbMoveset!A2:G112,7,FALSE)*IFERROR(IF(Backdoors!AI12&gt;=0,1+(IF(Calculator!E40&gt;0,VLOOKUP(Calculator!E40,tbSkills!AI3:AJ5,2,FALSE),Backdoors!AL4)*(IF((Backdoors!AI12+IF(DX102&gt;=0.45,VLOOKUP(Calculator!E23,tbSkills!DH3:DI6,2,FALSE)+IF(AND(Calculator!B8=TRUE,Backdoors!BI21=TRUE),VLOOKUP(Calculator!E23,tbSkills!DH3:DJ6,3,FALSE),0),0))&gt;=100,100,(Backdoors!AI12+IF(DX102&gt;=0.45,VLOOKUP(Calculator!E23,tbSkills!DH3:DI6,2,FALSE)+IF(AND(Calculator!B8=TRUE,Backdoors!BI21=TRUE),VLOOKUP(Calculator!E23,tbSkills!DH3:DJ6,3,FALSE),0),0)))/100)),1),1)</f>
        <v>1</v>
      </c>
      <c r="ED102" s="87">
        <f t="shared" si="69"/>
        <v>0</v>
      </c>
      <c r="EE102" s="86" t="str">
        <f>IFERROR(IF(VLOOKUP(A102,tbMoveset!A2:B112,2,FALSE)="Sever",Backdoors!AY22/100,IF(VLOOKUP(A102,tbMoveset!A2:B112,2,FALSE)="Blunt",Backdoors!AZ22/100,Backdoors!BA22/100)),"")</f>
        <v/>
      </c>
      <c r="EF102" s="49">
        <f>IFERROR(IF(VLOOKUP(tbMoveset!A102,tbMoveset!A2:H112,8,FALSE)="Other",IF(VLOOKUP(tbMoveset!A102,tbMoveset!A2:I112,9,FALSE)="Fire",Backdoors!BB22,IF(VLOOKUP(tbMoveset!A102,tbMoveset!A2:I112,9,FALSE)="Water",Backdoors!BC22,IF(VLOOKUP(tbMoveset!A102,tbMoveset!A2:I112,9,FALSE)="Thunder",Backdoors!BD22,IF(VLOOKUP(tbMoveset!A102,tbMoveset!A2:I112,9,FALSE)="Ice",Backdoors!BE22,IF(VLOOKUP(tbMoveset!A102,tbMoveset!A2:I112,9,FALSE)="Dragon",Backdoors!BF22,Backdoors!BG22)))))/100,Backdoors!BG22/100),"")</f>
        <v>0</v>
      </c>
      <c r="EG102" s="49">
        <f>IFERROR(IF(VLOOKUP(A102,tbMoveset!A2:J112,10,FALSE)=TRUE,IF((Backdoors!AI12+IF(EE102&gt;=0.45,VLOOKUP(Calculator!E23,tbSkills!DH3:DI6,2,FALSE)+IF(AND(Calculator!B8=TRUE,Backdoors!BI22=TRUE),VLOOKUP(Calculator!E23,tbSkills!DH3:DJ6,3,FALSE),0),0))&gt;=0,1+(Backdoors!AL2*(IF((Backdoors!AI12+IF(EE102&gt;=0.45,VLOOKUP(Calculator!E23,tbSkills!DH3:DI6,2,FALSE)+IF(AND(Calculator!B8=TRUE,Backdoors!BI22=TRUE),VLOOKUP(Calculator!E23,tbSkills!DH3:DJ6,3,FALSE),0),0))&gt;=100,100,(Backdoors!AI12+IF(EE102&gt;=0.45,VLOOKUP(Calculator!E23,tbSkills!DH3:DI6,2,FALSE)+IF(AND(Calculator!B8=TRUE,Backdoors!BI22=TRUE),VLOOKUP(Calculator!E23,tbSkills!DH3:DJ6,3,FALSE),0),0)))/100)),(1-(0.25*((-Backdoors!AI12-IF(EE102&gt;=0.45,VLOOKUP(Calculator!E23,tbSkills!DH3:DI6,2,FALSE)+IF(AND(Calculator!B8=TRUE,Backdoors!BI22=TRUE),VLOOKUP(Calculator!E23,tbSkills!DH3:DJ6,3,FALSE),0),0))/100)))),1),"")</f>
        <v>1</v>
      </c>
      <c r="EH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E102)*EG102)*(VLOOKUP(A102,tbMoveset!A2:C112,3,FALSE)/100)*IF(VLOOKUP(A102,tbMoveset!A2:B112,2,FALSE)="Projectile",Backdoors!N10,Backdoors!N9),0),"")</f>
        <v/>
      </c>
      <c r="EI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E102&gt;=0.45,VLOOKUP(Calculator!E23,tbSkills!DH3:DI6,2,FALSE)+IF(AND(Calculator!B8=TRUE,Backdoors!BI22=TRUE),VLOOKUP(Calculator!E23,tbSkills!DH3:DJ6,3,FALSE),0),0))&gt;=100,100,(Backdoors!AI12+IF(EE102&gt;=0.45,VLOOKUP(Calculator!E23,tbSkills!DH3:DI6,2,FALSE)+IF(AND(Calculator!B8=TRUE,Backdoors!BI22=TRUE),VLOOKUP(Calculator!E23,tbSkills!DH3:DJ6,3,FALSE),0),0)))/100)),1))*IF(VLOOKUP(A102,tbMoveset!A2:K112,11,FALSE)=TRUE,Backdoors!AC5,1))*EF102,0),"")</f>
        <v>0</v>
      </c>
      <c r="EJ102" s="49">
        <f>VLOOKUP(A102,tbMoveset!A2:G112,7,FALSE)*IFERROR(IF(Backdoors!AI12&gt;=0,1+(IF(Calculator!E40&gt;0,VLOOKUP(Calculator!E40,tbSkills!AI3:AJ5,2,FALSE),Backdoors!AL4)*(IF((Backdoors!AI12+IF(EE102&gt;=0.45,VLOOKUP(Calculator!E23,tbSkills!DH3:DI6,2,FALSE)+IF(AND(Calculator!B8=TRUE,Backdoors!BI22=TRUE),VLOOKUP(Calculator!E23,tbSkills!DH3:DJ6,3,FALSE),0),0))&gt;=100,100,(Backdoors!AI12+IF(EE102&gt;=0.45,VLOOKUP(Calculator!E23,tbSkills!DH3:DI6,2,FALSE)+IF(AND(Calculator!B8=TRUE,Backdoors!BI22=TRUE),VLOOKUP(Calculator!E23,tbSkills!DH3:DJ6,3,FALSE),0),0)))/100)),1),1)</f>
        <v>1</v>
      </c>
      <c r="EK102" s="87">
        <f t="shared" si="70"/>
        <v>0</v>
      </c>
      <c r="EL102" s="86" t="str">
        <f>IFERROR(IF(VLOOKUP(A102,tbMoveset!A2:B112,2,FALSE)="Sever",Backdoors!AY23/100,IF(VLOOKUP(A102,tbMoveset!A2:B112,2,FALSE)="Blunt",Backdoors!AZ23/100,Backdoors!BA23/100)),"")</f>
        <v/>
      </c>
      <c r="EM102" s="49">
        <f>IFERROR(IF(VLOOKUP(tbMoveset!A102,tbMoveset!A2:H112,8,FALSE)="Other",IF(VLOOKUP(tbMoveset!A102,tbMoveset!A2:I112,9,FALSE)="Fire",Backdoors!BB23,IF(VLOOKUP(tbMoveset!A102,tbMoveset!A2:I112,9,FALSE)="Water",Backdoors!BC23,IF(VLOOKUP(tbMoveset!A102,tbMoveset!A2:I112,9,FALSE)="Thunder",Backdoors!BD23,IF(VLOOKUP(tbMoveset!A102,tbMoveset!A2:I112,9,FALSE)="Ice",Backdoors!BE23,IF(VLOOKUP(tbMoveset!A102,tbMoveset!A2:I112,9,FALSE)="Dragon",Backdoors!BF23,Backdoors!BG23)))))/100,Backdoors!BG23/100),"")</f>
        <v>0</v>
      </c>
      <c r="EN102" s="49">
        <f>IFERROR(IF(VLOOKUP(A102,tbMoveset!A2:J112,10,FALSE)=TRUE,IF((Backdoors!AI12+IF(EL102&gt;=0.45,VLOOKUP(Calculator!E23,tbSkills!DH3:DI6,2,FALSE)+IF(AND(Calculator!B8=TRUE,Backdoors!BI23=TRUE),VLOOKUP(Calculator!E23,tbSkills!DH3:DJ6,3,FALSE),0),0))&gt;=0,1+(Backdoors!AL2*(IF((Backdoors!AI12+IF(EL102&gt;=0.45,VLOOKUP(Calculator!E23,tbSkills!DH3:DI6,2,FALSE)+IF(AND(Calculator!B8=TRUE,Backdoors!BI23=TRUE),VLOOKUP(Calculator!E23,tbSkills!DH3:DJ6,3,FALSE),0),0))&gt;=100,100,(Backdoors!AI12+IF(EL102&gt;=0.45,VLOOKUP(Calculator!E23,tbSkills!DH3:DI6,2,FALSE)+IF(AND(Calculator!B8=TRUE,Backdoors!BI23=TRUE),VLOOKUP(Calculator!E23,tbSkills!DH3:DJ6,3,FALSE),0),0)))/100)),(1-(0.25*((-Backdoors!AI12-IF(EL102&gt;=0.45,VLOOKUP(Calculator!E23,tbSkills!DH3:DI6,2,FALSE)+IF(AND(Calculator!B8=TRUE,Backdoors!BI23=TRUE),VLOOKUP(Calculator!E23,tbSkills!DH3:DJ6,3,FALSE),0),0))/100)))),1),"")</f>
        <v>1</v>
      </c>
      <c r="EO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L102)*EN102)*(VLOOKUP(A102,tbMoveset!A2:C112,3,FALSE)/100)*IF(VLOOKUP(A102,tbMoveset!A2:B112,2,FALSE)="Projectile",Backdoors!N10,Backdoors!N9),0),"")</f>
        <v/>
      </c>
      <c r="EP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L102&gt;=0.45,VLOOKUP(Calculator!E23,tbSkills!DH3:DI6,2,FALSE)+IF(AND(Calculator!B8=TRUE,Backdoors!BI23=TRUE),VLOOKUP(Calculator!E23,tbSkills!DH3:DJ6,3,FALSE),0),0))&gt;=100,100,(Backdoors!AI12+IF(EL102&gt;=0.45,VLOOKUP(Calculator!E23,tbSkills!DH3:DI6,2,FALSE)+IF(AND(Calculator!B8=TRUE,Backdoors!BI23=TRUE),VLOOKUP(Calculator!E23,tbSkills!DH3:DJ6,3,FALSE),0),0)))/100)),1))*IF(VLOOKUP(A102,tbMoveset!A2:K112,11,FALSE)=TRUE,Backdoors!AC5,1))*EM102,0),"")</f>
        <v>0</v>
      </c>
      <c r="EQ102" s="49">
        <f>VLOOKUP(A102,tbMoveset!A2:G112,7,FALSE)*IFERROR(IF(Backdoors!AI12&gt;=0,1+(IF(Calculator!E40&gt;0,VLOOKUP(Calculator!E40,tbSkills!AI3:AJ5,2,FALSE),Backdoors!AL4)*(IF((Backdoors!AI12+IF(EL102&gt;=0.45,VLOOKUP(Calculator!E23,tbSkills!DH3:DI6,2,FALSE)+IF(AND(Calculator!B8=TRUE,Backdoors!BI23=TRUE),VLOOKUP(Calculator!E23,tbSkills!DH3:DJ6,3,FALSE),0),0))&gt;=100,100,(Backdoors!AI12+IF(EL102&gt;=0.45,VLOOKUP(Calculator!E23,tbSkills!DH3:DI6,2,FALSE)+IF(AND(Calculator!B8=TRUE,Backdoors!BI23=TRUE),VLOOKUP(Calculator!E23,tbSkills!DH3:DJ6,3,FALSE),0),0)))/100)),1),1)</f>
        <v>1</v>
      </c>
      <c r="ER102" s="87">
        <f t="shared" si="71"/>
        <v>0</v>
      </c>
      <c r="ES102" s="86" t="str">
        <f>IFERROR(IF(VLOOKUP(A102,tbMoveset!A2:B112,2,FALSE)="Sever",Backdoors!AY24/100,IF(VLOOKUP(A102,tbMoveset!A2:B112,2,FALSE)="Blunt",Backdoors!AZ24/100,Backdoors!BA24/100)),"")</f>
        <v/>
      </c>
      <c r="ET102" s="49">
        <f>IFERROR(IF(VLOOKUP(tbMoveset!A102,tbMoveset!A2:H112,8,FALSE)="Other",IF(VLOOKUP(tbMoveset!A102,tbMoveset!A2:I112,9,FALSE)="Fire",Backdoors!BB24,IF(VLOOKUP(tbMoveset!A102,tbMoveset!A2:I112,9,FALSE)="Water",Backdoors!BC24,IF(VLOOKUP(tbMoveset!A102,tbMoveset!A2:I112,9,FALSE)="Thunder",Backdoors!BD24,IF(VLOOKUP(tbMoveset!A102,tbMoveset!A2:I112,9,FALSE)="Ice",Backdoors!BE24,IF(VLOOKUP(tbMoveset!A102,tbMoveset!A2:I112,9,FALSE)="Dragon",Backdoors!BF24,Backdoors!BG24)))))/100,Backdoors!BG24/100),"")</f>
        <v>0</v>
      </c>
      <c r="EU102" s="49">
        <f>IFERROR(IF(VLOOKUP(A102,tbMoveset!A2:J112,10,FALSE)=TRUE,IF((Backdoors!AI12+IF(ES102&gt;=0.45,VLOOKUP(Calculator!E23,tbSkills!DH3:DI6,2,FALSE)+IF(AND(Calculator!B8=TRUE,Backdoors!BI24=TRUE),VLOOKUP(Calculator!E23,tbSkills!DH3:DJ6,3,FALSE),0),0))&gt;=0,1+(Backdoors!AL2*(IF((Backdoors!AI12+IF(ES102&gt;=0.45,VLOOKUP(Calculator!E23,tbSkills!DH3:DI6,2,FALSE)+IF(AND(Calculator!B8=TRUE,Backdoors!BI24=TRUE),VLOOKUP(Calculator!E23,tbSkills!DH3:DJ6,3,FALSE),0),0))&gt;=100,100,(Backdoors!AI12+IF(ES102&gt;=0.45,VLOOKUP(Calculator!E23,tbSkills!DH3:DI6,2,FALSE)+IF(AND(Calculator!B8=TRUE,Backdoors!BI24=TRUE),VLOOKUP(Calculator!E23,tbSkills!DH3:DJ6,3,FALSE),0),0)))/100)),(1-(0.25*((-Backdoors!AI12-IF(ES102&gt;=0.45,VLOOKUP(Calculator!E23,tbSkills!DH3:DI6,2,FALSE)+IF(AND(Calculator!B8=TRUE,Backdoors!BI24=TRUE),VLOOKUP(Calculator!E23,tbSkills!DH3:DJ6,3,FALSE),0),0))/100)))),1),"")</f>
        <v>1</v>
      </c>
      <c r="EV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S102)*EU102)*(VLOOKUP(A102,tbMoveset!A2:C112,3,FALSE)/100)*IF(VLOOKUP(A102,tbMoveset!A2:B112,2,FALSE)="Projectile",Backdoors!N10,Backdoors!N9),0),"")</f>
        <v/>
      </c>
      <c r="EW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S102&gt;=0.45,VLOOKUP(Calculator!E23,tbSkills!DH3:DI6,2,FALSE)+IF(AND(Calculator!B8=TRUE,Backdoors!BI24=TRUE),VLOOKUP(Calculator!E23,tbSkills!DH3:DJ6,3,FALSE),0),0))&gt;=100,100,(Backdoors!AI12+IF(ES102&gt;=0.45,VLOOKUP(Calculator!E23,tbSkills!DH3:DI6,2,FALSE)+IF(AND(Calculator!B8=TRUE,Backdoors!BI24=TRUE),VLOOKUP(Calculator!E23,tbSkills!DH3:DJ6,3,FALSE),0),0)))/100)),1))*IF(VLOOKUP(A102,tbMoveset!A2:K112,11,FALSE)=TRUE,Backdoors!AC5,1))*ET102,0),"")</f>
        <v>0</v>
      </c>
      <c r="EX102" s="49">
        <f>VLOOKUP(A102,tbMoveset!A2:G112,7,FALSE)*IFERROR(IF(Backdoors!AI12&gt;=0,1+(IF(Calculator!E40&gt;0,VLOOKUP(Calculator!E40,tbSkills!AI3:AJ5,2,FALSE),Backdoors!AL4)*(IF((Backdoors!AI12+IF(ES102&gt;=0.45,VLOOKUP(Calculator!E23,tbSkills!DH3:DI6,2,FALSE)+IF(AND(Calculator!B8=TRUE,Backdoors!BI24=TRUE),VLOOKUP(Calculator!E23,tbSkills!DH3:DJ6,3,FALSE),0),0))&gt;=100,100,(Backdoors!AI12+IF(ES102&gt;=0.45,VLOOKUP(Calculator!E23,tbSkills!DH3:DI6,2,FALSE)+IF(AND(Calculator!B8=TRUE,Backdoors!BI24=TRUE),VLOOKUP(Calculator!E23,tbSkills!DH3:DJ6,3,FALSE),0),0)))/100)),1),1)</f>
        <v>1</v>
      </c>
      <c r="EY102" s="87">
        <f t="shared" si="72"/>
        <v>0</v>
      </c>
      <c r="EZ102" s="86" t="str">
        <f>IFERROR(IF(VLOOKUP(A102,tbMoveset!A2:B112,2,FALSE)="Sever",Backdoors!AY25/100,IF(VLOOKUP(A102,tbMoveset!A2:B112,2,FALSE)="Blunt",Backdoors!AZ25/100,Backdoors!BA25/100)),"")</f>
        <v/>
      </c>
      <c r="FA102" s="49">
        <f>IFERROR(IF(VLOOKUP(tbMoveset!A102,tbMoveset!A2:H112,8,FALSE)="Other",IF(VLOOKUP(tbMoveset!A102,tbMoveset!A2:I112,9,FALSE)="Fire",Backdoors!BB25,IF(VLOOKUP(tbMoveset!A102,tbMoveset!A2:I112,9,FALSE)="Water",Backdoors!BC25,IF(VLOOKUP(tbMoveset!A102,tbMoveset!A2:I112,9,FALSE)="Thunder",Backdoors!BD25,IF(VLOOKUP(tbMoveset!A102,tbMoveset!A2:I112,9,FALSE)="Ice",Backdoors!BE25,IF(VLOOKUP(tbMoveset!A102,tbMoveset!A2:I112,9,FALSE)="Dragon",Backdoors!BF25,Backdoors!BG25)))))/100,Backdoors!BG25/100),"")</f>
        <v>0</v>
      </c>
      <c r="FB102" s="49">
        <f>IFERROR(IF(VLOOKUP(A102,tbMoveset!A2:J112,10,FALSE)=TRUE,IF((Backdoors!AI12+IF(EZ102&gt;=0.45,VLOOKUP(Calculator!E23,tbSkills!DH3:DI6,2,FALSE)+IF(AND(Calculator!B8=TRUE,Backdoors!BI25=TRUE),VLOOKUP(Calculator!E23,tbSkills!DH3:DJ6,3,FALSE),0),0))&gt;=0,1+(Backdoors!AL2*(IF((Backdoors!AI12+IF(EZ102&gt;=0.45,VLOOKUP(Calculator!E23,tbSkills!DH3:DI6,2,FALSE)+IF(AND(Calculator!B8=TRUE,Backdoors!BI25=TRUE),VLOOKUP(Calculator!E23,tbSkills!DH3:DJ6,3,FALSE),0),0))&gt;=100,100,(Backdoors!AI12+IF(EZ102&gt;=0.45,VLOOKUP(Calculator!E23,tbSkills!DH3:DI6,2,FALSE)+IF(AND(Calculator!B8=TRUE,Backdoors!BI25=TRUE),VLOOKUP(Calculator!E23,tbSkills!DH3:DJ6,3,FALSE),0),0)))/100)),(1-(0.25*((-Backdoors!AI12-IF(EZ102&gt;=0.45,VLOOKUP(Calculator!E23,tbSkills!DH3:DI6,2,FALSE)+IF(AND(Calculator!B8=TRUE,Backdoors!BI25=TRUE),VLOOKUP(Calculator!E23,tbSkills!DH3:DJ6,3,FALSE),0),0))/100)))),1),"")</f>
        <v>1</v>
      </c>
      <c r="FC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Z102)*FB102)*(VLOOKUP(A102,tbMoveset!A2:C112,3,FALSE)/100)*IF(VLOOKUP(A102,tbMoveset!A2:B112,2,FALSE)="Projectile",Backdoors!N10,Backdoors!N9),0),"")</f>
        <v/>
      </c>
      <c r="FD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Z102&gt;=0.45,VLOOKUP(Calculator!E23,tbSkills!DH3:DI6,2,FALSE)+IF(AND(Calculator!B8=TRUE,Backdoors!BI25=TRUE),VLOOKUP(Calculator!E23,tbSkills!DH3:DJ6,3,FALSE),0),0))&gt;=100,100,(Backdoors!AI12+IF(EZ102&gt;=0.45,VLOOKUP(Calculator!E23,tbSkills!DH3:DI6,2,FALSE)+IF(AND(Calculator!B8=TRUE,Backdoors!BI25=TRUE),VLOOKUP(Calculator!E23,tbSkills!DH3:DJ6,3,FALSE),0),0)))/100)),1))*IF(VLOOKUP(A102,tbMoveset!A2:K112,11,FALSE)=TRUE,Backdoors!AC5,1))*FA102,0),"")</f>
        <v>0</v>
      </c>
      <c r="FE102" s="49">
        <f>VLOOKUP(A102,tbMoveset!A2:G112,7,FALSE)*IFERROR(IF(Backdoors!AI12&gt;=0,1+(IF(Calculator!E40&gt;0,VLOOKUP(Calculator!E40,tbSkills!AI3:AJ5,2,FALSE),Backdoors!AL4)*(IF((Backdoors!AI12+IF(EZ102&gt;=0.45,VLOOKUP(Calculator!E23,tbSkills!DH3:DI6,2,FALSE)+IF(AND(Calculator!B8=TRUE,Backdoors!BI25=TRUE),VLOOKUP(Calculator!E23,tbSkills!DH3:DJ6,3,FALSE),0),0))&gt;=100,100,(Backdoors!AI12+IF(EZ102&gt;=0.45,VLOOKUP(Calculator!E23,tbSkills!DH3:DI6,2,FALSE)+IF(AND(Calculator!B8=TRUE,Backdoors!BI25=TRUE),VLOOKUP(Calculator!E23,tbSkills!DH3:DJ6,3,FALSE),0),0)))/100)),1),1)</f>
        <v>1</v>
      </c>
      <c r="FF102" s="87">
        <f t="shared" si="73"/>
        <v>0</v>
      </c>
      <c r="FG102" s="86" t="str">
        <f>IFERROR(IF(VLOOKUP(A102,tbMoveset!A2:B112,2,FALSE)="Sever",Backdoors!AY26/100,IF(VLOOKUP(A102,tbMoveset!A2:B112,2,FALSE)="Blunt",Backdoors!AZ26/100,Backdoors!BA26/100)),"")</f>
        <v/>
      </c>
      <c r="FH102" s="49">
        <f>IFERROR(IF(VLOOKUP(tbMoveset!A102,tbMoveset!A2:H112,8,FALSE)="Other",IF(VLOOKUP(tbMoveset!A102,tbMoveset!A2:I112,9,FALSE)="Fire",Backdoors!BB26,IF(VLOOKUP(tbMoveset!A102,tbMoveset!A2:I112,9,FALSE)="Water",Backdoors!BC26,IF(VLOOKUP(tbMoveset!A102,tbMoveset!A2:I112,9,FALSE)="Thunder",Backdoors!BD26,IF(VLOOKUP(tbMoveset!A102,tbMoveset!A2:I112,9,FALSE)="Ice",Backdoors!BE26,IF(VLOOKUP(tbMoveset!A102,tbMoveset!A2:I112,9,FALSE)="Dragon",Backdoors!BF26,Backdoors!BG26)))))/100,Backdoors!BG26/100),"")</f>
        <v>0</v>
      </c>
      <c r="FI102" s="49">
        <f>IFERROR(IF(VLOOKUP(A102,tbMoveset!A2:J112,10,FALSE)=TRUE,IF((Backdoors!AI12+IF(FG102&gt;=0.45,VLOOKUP(Calculator!E23,tbSkills!DH3:DI6,2,FALSE)+IF(AND(Calculator!B8=TRUE,Backdoors!BI26=TRUE),VLOOKUP(Calculator!E23,tbSkills!DH3:DJ6,3,FALSE),0),0))&gt;=0,1+(Backdoors!AL2*(IF((Backdoors!AI12+IF(FG102&gt;=0.45,VLOOKUP(Calculator!E23,tbSkills!DH3:DI6,2,FALSE)+IF(AND(Calculator!B8=TRUE,Backdoors!BI26=TRUE),VLOOKUP(Calculator!E23,tbSkills!DH3:DJ6,3,FALSE),0),0))&gt;=100,100,(Backdoors!AI12+IF(FG102&gt;=0.45,VLOOKUP(Calculator!E23,tbSkills!DH3:DI6,2,FALSE)+IF(AND(Calculator!B8=TRUE,Backdoors!BI26=TRUE),VLOOKUP(Calculator!E23,tbSkills!DH3:DJ6,3,FALSE),0),0)))/100)),(1-(0.25*((-Backdoors!AI12-IF(FG102&gt;=0.45,VLOOKUP(Calculator!E23,tbSkills!DH3:DI6,2,FALSE)+IF(AND(Calculator!B8=TRUE,Backdoors!BI26=TRUE),VLOOKUP(Calculator!E23,tbSkills!DH3:DJ6,3,FALSE),0),0))/100)))),1),"")</f>
        <v>1</v>
      </c>
      <c r="FJ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FG102)*FI102)*(VLOOKUP(A102,tbMoveset!A2:C112,3,FALSE)/100)*IF(VLOOKUP(A102,tbMoveset!A2:B112,2,FALSE)="Projectile",Backdoors!N10,Backdoors!N9),0),"")</f>
        <v/>
      </c>
      <c r="FK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FG102&gt;=0.45,VLOOKUP(Calculator!E23,tbSkills!DH3:DI6,2,FALSE)+IF(AND(Calculator!B8=TRUE,Backdoors!BI26=TRUE),VLOOKUP(Calculator!E23,tbSkills!DH3:DJ6,3,FALSE),0),0))&gt;=100,100,(Backdoors!AI12+IF(FG102&gt;=0.45,VLOOKUP(Calculator!E23,tbSkills!DH3:DI6,2,FALSE)+IF(AND(Calculator!B8=TRUE,Backdoors!BI26=TRUE),VLOOKUP(Calculator!E23,tbSkills!DH3:DJ6,3,FALSE),0),0)))/100)),1))*IF(VLOOKUP(A102,tbMoveset!A2:K112,11,FALSE)=TRUE,Backdoors!AC5,1))*FH102,0),"")</f>
        <v>0</v>
      </c>
      <c r="FL102" s="49">
        <f>VLOOKUP(A102,tbMoveset!A2:G112,7,FALSE)*IFERROR(IF(Backdoors!AI12&gt;=0,1+(IF(Calculator!E40&gt;0,VLOOKUP(Calculator!E40,tbSkills!AI3:AJ5,2,FALSE),Backdoors!AL4)*(IF((Backdoors!AI12+IF(FG102&gt;=0.45,VLOOKUP(Calculator!E23,tbSkills!DH3:DI6,2,FALSE)+IF(AND(Calculator!B8=TRUE,Backdoors!BI26=TRUE),VLOOKUP(Calculator!E23,tbSkills!DH3:DJ6,3,FALSE),0),0))&gt;=100,100,(Backdoors!AI12+IF(FG102&gt;=0.45,VLOOKUP(Calculator!E23,tbSkills!DH3:DI6,2,FALSE)+IF(AND(Calculator!B8=TRUE,Backdoors!BI26=TRUE),VLOOKUP(Calculator!E23,tbSkills!DH3:DJ6,3,FALSE),0),0)))/100)),1),1)</f>
        <v>1</v>
      </c>
      <c r="FM102" s="87">
        <f t="shared" si="74"/>
        <v>0</v>
      </c>
      <c r="FN102" s="86" t="str">
        <f>IFERROR(IF(VLOOKUP(A102,tbMoveset!A2:B112,2,FALSE)="Sever",Backdoors!AY27/100,IF(VLOOKUP(A102,tbMoveset!A2:B112,2,FALSE)="Blunt",Backdoors!AZ27/100,Backdoors!BA27/100)),"")</f>
        <v/>
      </c>
      <c r="FO102" s="49">
        <f>IFERROR(IF(VLOOKUP(tbMoveset!A102,tbMoveset!A2:H112,8,FALSE)="Other",IF(VLOOKUP(tbMoveset!A102,tbMoveset!A2:I112,9,FALSE)="Fire",Backdoors!BB27,IF(VLOOKUP(tbMoveset!A102,tbMoveset!A2:I112,9,FALSE)="Water",Backdoors!BC27,IF(VLOOKUP(tbMoveset!A102,tbMoveset!A2:I112,9,FALSE)="Thunder",Backdoors!BD27,IF(VLOOKUP(tbMoveset!A102,tbMoveset!A2:I112,9,FALSE)="Ice",Backdoors!BE27,IF(VLOOKUP(tbMoveset!A102,tbMoveset!A2:I112,9,FALSE)="Dragon",Backdoors!BF27,Backdoors!BG27)))))/100,Backdoors!BG27/100),"")</f>
        <v>0</v>
      </c>
      <c r="FP102" s="49">
        <f>IFERROR(IF(VLOOKUP(A102,tbMoveset!A2:J112,10,FALSE)=TRUE,IF((Backdoors!AI12+IF(FN102&gt;=0.45,VLOOKUP(Calculator!E23,tbSkills!DH3:DI6,2,FALSE)+IF(AND(Calculator!B8=TRUE,Backdoors!BI27=TRUE),VLOOKUP(Calculator!E23,tbSkills!DH3:DJ6,3,FALSE),0),0))&gt;=0,1+(Backdoors!AL2*(IF((Backdoors!AI12+IF(FN102&gt;=0.45,VLOOKUP(Calculator!E23,tbSkills!DH3:DI6,2,FALSE)+IF(AND(Calculator!B8=TRUE,Backdoors!BI27=TRUE),VLOOKUP(Calculator!E23,tbSkills!DH3:DJ6,3,FALSE),0),0))&gt;=100,100,(Backdoors!AI12+IF(FN102&gt;=0.45,VLOOKUP(Calculator!E23,tbSkills!DH3:DI6,2,FALSE)+IF(AND(Calculator!B8=TRUE,Backdoors!BI27=TRUE),VLOOKUP(Calculator!E23,tbSkills!DH3:DJ6,3,FALSE),0),0)))/100)),(1-(0.25*((-Backdoors!AI12-IF(FN102&gt;=0.45,VLOOKUP(Calculator!E23,tbSkills!DH3:DI6,2,FALSE)+IF(AND(Calculator!B8=TRUE,Backdoors!BI27=TRUE),VLOOKUP(Calculator!E23,tbSkills!DH3:DJ6,3,FALSE),0),0))/100)))),1),"")</f>
        <v>1</v>
      </c>
      <c r="FQ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FN102)*FP102)*(VLOOKUP(A102,tbMoveset!A2:C112,3,FALSE)/100)*IF(VLOOKUP(A102,tbMoveset!A2:B112,2,FALSE)="Projectile",Backdoors!N10,Backdoors!N9),0),"")</f>
        <v/>
      </c>
      <c r="FR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FN102&gt;=0.45,VLOOKUP(Calculator!E23,tbSkills!DH3:DI6,2,FALSE)+IF(AND(Calculator!B8=TRUE,Backdoors!BI27=TRUE),VLOOKUP(Calculator!E23,tbSkills!DH3:DJ6,3,FALSE),0),0))&gt;=100,100,(Backdoors!AI12+IF(FN102&gt;=0.45,VLOOKUP(Calculator!E23,tbSkills!DH3:DI6,2,FALSE)+IF(AND(Calculator!B8=TRUE,Backdoors!BI27=TRUE),VLOOKUP(Calculator!E23,tbSkills!DH3:DJ6,3,FALSE),0),0)))/100)),1))*IF(VLOOKUP(A102,tbMoveset!A2:K112,11,FALSE)=TRUE,Backdoors!AC5,1))*FO102,0),"")</f>
        <v>0</v>
      </c>
      <c r="FS102" s="49">
        <f>VLOOKUP(A102,tbMoveset!A2:G112,7,FALSE)*IFERROR(IF(Backdoors!AI12&gt;=0,1+(IF(Calculator!E40&gt;0,VLOOKUP(Calculator!E40,tbSkills!AI3:AJ5,2,FALSE),Backdoors!AL4)*(IF((Backdoors!AI12+IF(FN102&gt;=0.45,VLOOKUP(Calculator!E23,tbSkills!DH3:DI6,2,FALSE)+IF(AND(Calculator!B8=TRUE,Backdoors!BI27=TRUE),VLOOKUP(Calculator!E23,tbSkills!DH3:DJ6,3,FALSE),0),0))&gt;=100,100,(Backdoors!AI12+IF(FN102&gt;=0.45,VLOOKUP(Calculator!E23,tbSkills!DH3:DI6,2,FALSE)+IF(AND(Calculator!B8=TRUE,Backdoors!BI27=TRUE),VLOOKUP(Calculator!E23,tbSkills!DH3:DJ6,3,FALSE),0),0)))/100)),1),1)</f>
        <v>1</v>
      </c>
      <c r="FT102" s="87">
        <f t="shared" si="75"/>
        <v>0</v>
      </c>
      <c r="FU102" s="86" t="str">
        <f>IFERROR(IF(VLOOKUP(A102,tbMoveset!A2:B112,2,FALSE)="Sever",Backdoors!AY28/100,IF(VLOOKUP(A102,tbMoveset!A2:B112,2,FALSE)="Blunt",Backdoors!AZ28/100,Backdoors!BA28/100)),"")</f>
        <v/>
      </c>
      <c r="FV102" s="49">
        <f>IFERROR(IF(VLOOKUP(tbMoveset!A102,tbMoveset!A2:H112,8,FALSE)="Other",IF(VLOOKUP(tbMoveset!A102,tbMoveset!A2:I112,9,FALSE)="Fire",Backdoors!BB28,IF(VLOOKUP(tbMoveset!A102,tbMoveset!A2:I112,9,FALSE)="Water",Backdoors!BC28,IF(VLOOKUP(tbMoveset!A102,tbMoveset!A2:I112,9,FALSE)="Thunder",Backdoors!BD28,IF(VLOOKUP(tbMoveset!A102,tbMoveset!A2:I112,9,FALSE)="Ice",Backdoors!BE28,IF(VLOOKUP(tbMoveset!A102,tbMoveset!A2:I112,9,FALSE)="Dragon",Backdoors!BF28,Backdoors!BG28)))))/100,Backdoors!BG28/100),"")</f>
        <v>0</v>
      </c>
      <c r="FW102" s="49">
        <f>IFERROR(IF(VLOOKUP(A102,tbMoveset!A2:J112,10,FALSE)=TRUE,IF((Backdoors!AI12+IF(FU102&gt;=0.45,VLOOKUP(Calculator!E23,tbSkills!DH3:DI6,2,FALSE)+IF(AND(Calculator!B8=TRUE,Backdoors!BI28=TRUE),VLOOKUP(Calculator!E23,tbSkills!DH3:DJ6,3,FALSE),0),0))&gt;=0,1+(Backdoors!AL2*(IF((Backdoors!AI12+IF(FU102&gt;=0.45,VLOOKUP(Calculator!E23,tbSkills!DH3:DI6,2,FALSE)+IF(AND(Calculator!B8=TRUE,Backdoors!BI28=TRUE),VLOOKUP(Calculator!E23,tbSkills!DH3:DJ6,3,FALSE),0),0))&gt;=100,100,(Backdoors!AI12+IF(FU102&gt;=0.45,VLOOKUP(Calculator!E23,tbSkills!DH3:DI6,2,FALSE)+IF(AND(Calculator!B8=TRUE,Backdoors!BI28=TRUE),VLOOKUP(Calculator!E23,tbSkills!DH3:DJ6,3,FALSE),0),0)))/100)),(1-(0.25*((-Backdoors!AI12-IF(FU102&gt;=0.45,VLOOKUP(Calculator!E23,tbSkills!DH3:DI6,2,FALSE)+IF(AND(Calculator!B8=TRUE,Backdoors!BI28=TRUE),VLOOKUP(Calculator!E23,tbSkills!DH3:DJ6,3,FALSE),0),0))/100)))),1),"")</f>
        <v>1</v>
      </c>
      <c r="FX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FU102)*FW102)*(VLOOKUP(A102,tbMoveset!A2:C112,3,FALSE)/100)*IF(VLOOKUP(A102,tbMoveset!A2:B112,2,FALSE)="Projectile",Backdoors!N10,Backdoors!N9),0),"")</f>
        <v/>
      </c>
      <c r="FY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FU102&gt;=0.45,VLOOKUP(Calculator!E23,tbSkills!DH3:DI6,2,FALSE)+IF(AND(Calculator!B8=TRUE,Backdoors!BI28=TRUE),VLOOKUP(Calculator!E23,tbSkills!DH3:DJ6,3,FALSE),0),0))&gt;=100,100,(Backdoors!AI12+IF(FU102&gt;=0.45,VLOOKUP(Calculator!E23,tbSkills!DH3:DI6,2,FALSE)+IF(AND(Calculator!B8=TRUE,Backdoors!BI28=TRUE),VLOOKUP(Calculator!E23,tbSkills!DH3:DJ6,3,FALSE),0),0)))/100)),1))*IF(VLOOKUP(A102,tbMoveset!A2:K112,11,FALSE)=TRUE,Backdoors!AC5,1))*FV102,0),"")</f>
        <v>0</v>
      </c>
      <c r="FZ102" s="49">
        <f>VLOOKUP(A102,tbMoveset!A2:G112,7,FALSE)*IFERROR(IF(Backdoors!AI12&gt;=0,1+(IF(Calculator!E40&gt;0,VLOOKUP(Calculator!E40,tbSkills!AI3:AJ5,2,FALSE),Backdoors!AL4)*(IF((Backdoors!AI12+IF(FU102&gt;=0.45,VLOOKUP(Calculator!E23,tbSkills!DH3:DI6,2,FALSE)+IF(AND(Calculator!B8=TRUE,Backdoors!BI28=TRUE),VLOOKUP(Calculator!E23,tbSkills!DH3:DJ6,3,FALSE),0),0))&gt;=100,100,(Backdoors!AI12+IF(FU102&gt;=0.45,VLOOKUP(Calculator!E23,tbSkills!DH3:DI6,2,FALSE)+IF(AND(Calculator!B8=TRUE,Backdoors!BI28=TRUE),VLOOKUP(Calculator!E23,tbSkills!DH3:DJ6,3,FALSE),0),0)))/100)),1),1)</f>
        <v>1</v>
      </c>
      <c r="GA102" s="87">
        <f t="shared" si="76"/>
        <v>0</v>
      </c>
      <c r="GB102" s="86" t="str">
        <f>IFERROR(IF(VLOOKUP(A102,tbMoveset!A2:B112,2,FALSE)="Sever",Backdoors!AY29/100,IF(VLOOKUP(A102,tbMoveset!A2:B112,2,FALSE)="Blunt",Backdoors!AZ29/100,Backdoors!BA29/100)),"")</f>
        <v/>
      </c>
      <c r="GC102" s="49">
        <f>IFERROR(IF(VLOOKUP(tbMoveset!A102,tbMoveset!A2:H112,8,FALSE)="Other",IF(VLOOKUP(tbMoveset!A102,tbMoveset!A2:I112,9,FALSE)="Fire",Backdoors!BB29,IF(VLOOKUP(tbMoveset!A102,tbMoveset!A2:I112,9,FALSE)="Water",Backdoors!BC29,IF(VLOOKUP(tbMoveset!A102,tbMoveset!A2:I112,9,FALSE)="Thunder",Backdoors!BD29,IF(VLOOKUP(tbMoveset!A102,tbMoveset!A2:I112,9,FALSE)="Ice",Backdoors!BE29,IF(VLOOKUP(tbMoveset!A102,tbMoveset!A2:I112,9,FALSE)="Dragon",Backdoors!BF29,Backdoors!BG29)))))/100,Backdoors!BG29/100),"")</f>
        <v>0</v>
      </c>
      <c r="GD102" s="49">
        <f>IFERROR(IF(VLOOKUP(A102,tbMoveset!A2:J112,10,FALSE)=TRUE,IF((Backdoors!AI12+IF(GB102&gt;=0.45,VLOOKUP(Calculator!E23,tbSkills!DH3:DI6,2,FALSE)+IF(AND(Calculator!B8=TRUE,Backdoors!BI29=TRUE),VLOOKUP(Calculator!E23,tbSkills!DH3:DJ6,3,FALSE),0),0))&gt;=0,1+(Backdoors!AL2*(IF((Backdoors!AI12+IF(GB102&gt;=0.45,VLOOKUP(Calculator!E23,tbSkills!DH3:DI6,2,FALSE)+IF(AND(Calculator!B8=TRUE,Backdoors!BI29=TRUE),VLOOKUP(Calculator!E23,tbSkills!DH3:DJ6,3,FALSE),0),0))&gt;=100,100,(Backdoors!AI12+IF(GB102&gt;=0.45,VLOOKUP(Calculator!E23,tbSkills!DH3:DI6,2,FALSE)+IF(AND(Calculator!B8=TRUE,Backdoors!BI29=TRUE),VLOOKUP(Calculator!E23,tbSkills!DH3:DJ6,3,FALSE),0),0)))/100)),(1-(0.25*((-Backdoors!AI12-IF(GB102&gt;=0.45,VLOOKUP(Calculator!E23,tbSkills!DH3:DI6,2,FALSE)+IF(AND(Calculator!B8=TRUE,Backdoors!BI29=TRUE),VLOOKUP(Calculator!E23,tbSkills!DH3:DJ6,3,FALSE),0),0))/100)))),1),"")</f>
        <v>1</v>
      </c>
      <c r="GE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B102)*GD102)*(VLOOKUP(A102,tbMoveset!A2:C112,3,FALSE)/100)*IF(VLOOKUP(A102,tbMoveset!A2:B112,2,FALSE)="Projectile",Backdoors!N10,Backdoors!N9),0),"")</f>
        <v/>
      </c>
      <c r="GF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B102&gt;=0.45,VLOOKUP(Calculator!E23,tbSkills!DH3:DI6,2,FALSE)+IF(AND(Calculator!B8=TRUE,Backdoors!BI29=TRUE),VLOOKUP(Calculator!E23,tbSkills!DH3:DJ6,3,FALSE),0),0))&gt;=100,100,(Backdoors!AI12+IF(GB102&gt;=0.45,VLOOKUP(Calculator!E23,tbSkills!DH3:DI6,2,FALSE)+IF(AND(Calculator!B8=TRUE,Backdoors!BI29=TRUE),VLOOKUP(Calculator!E23,tbSkills!DH3:DJ6,3,FALSE),0),0)))/100)),1))*IF(VLOOKUP(A102,tbMoveset!A2:K112,11,FALSE)=TRUE,Backdoors!AC5,1))*GC102,0),"")</f>
        <v>0</v>
      </c>
      <c r="GG102" s="49">
        <f>VLOOKUP(A102,tbMoveset!A2:G112,7,FALSE)*IFERROR(IF(Backdoors!AI12&gt;=0,1+(IF(Calculator!E40&gt;0,VLOOKUP(Calculator!E40,tbSkills!AI3:AJ5,2,FALSE),Backdoors!AL4)*(IF((Backdoors!AI12+IF(GB102&gt;=0.45,VLOOKUP(Calculator!E23,tbSkills!DH3:DI6,2,FALSE)+IF(AND(Calculator!B8=TRUE,Backdoors!BI29=TRUE),VLOOKUP(Calculator!E23,tbSkills!DH3:DJ6,3,FALSE),0),0))&gt;=100,100,(Backdoors!AI12+IF(GB102&gt;=0.45,VLOOKUP(Calculator!E23,tbSkills!DH3:DI6,2,FALSE)+IF(AND(Calculator!B8=TRUE,Backdoors!BI29=TRUE),VLOOKUP(Calculator!E23,tbSkills!DH3:DJ6,3,FALSE),0),0)))/100)),1),1)</f>
        <v>1</v>
      </c>
      <c r="GH102" s="87">
        <f t="shared" si="77"/>
        <v>0</v>
      </c>
      <c r="GI102" s="86" t="str">
        <f>IFERROR(IF(VLOOKUP(A102,tbMoveset!A2:B112,2,FALSE)="Sever",Backdoors!AY30/100,IF(VLOOKUP(A102,tbMoveset!A2:B112,2,FALSE)="Blunt",Backdoors!AZ30/100,Backdoors!BA30/100)),"")</f>
        <v/>
      </c>
      <c r="GJ102" s="49">
        <f>IFERROR(IF(VLOOKUP(tbMoveset!A102,tbMoveset!A2:H112,8,FALSE)="Other",IF(VLOOKUP(tbMoveset!A102,tbMoveset!A2:I112,9,FALSE)="Fire",Backdoors!BB30,IF(VLOOKUP(tbMoveset!A102,tbMoveset!A2:I112,9,FALSE)="Water",Backdoors!BC30,IF(VLOOKUP(tbMoveset!A102,tbMoveset!A2:I112,9,FALSE)="Thunder",Backdoors!BD30,IF(VLOOKUP(tbMoveset!A102,tbMoveset!A2:I112,9,FALSE)="Ice",Backdoors!BE30,IF(VLOOKUP(tbMoveset!A102,tbMoveset!A2:I112,9,FALSE)="Dragon",Backdoors!BF30,Backdoors!BG30)))))/100,Backdoors!BG30/100),"")</f>
        <v>0</v>
      </c>
      <c r="GK102" s="49">
        <f>IFERROR(IF(VLOOKUP(A102,tbMoveset!A2:J112,10,FALSE)=TRUE,IF((Backdoors!AI12+IF(GI102&gt;=0.45,VLOOKUP(Calculator!E23,tbSkills!DH3:DI6,2,FALSE)+IF(AND(Calculator!B8=TRUE,Backdoors!BI30=TRUE),VLOOKUP(Calculator!E23,tbSkills!DH3:DJ6,3,FALSE),0),0))&gt;=0,1+(Backdoors!AL2*(IF((Backdoors!AI12+IF(GI102&gt;=0.45,VLOOKUP(Calculator!E23,tbSkills!DH3:DI6,2,FALSE)+IF(AND(Calculator!B8=TRUE,Backdoors!BI30=TRUE),VLOOKUP(Calculator!E23,tbSkills!DH3:DJ6,3,FALSE),0),0))&gt;=100,100,(Backdoors!AI12+IF(GI102&gt;=0.45,VLOOKUP(Calculator!E23,tbSkills!DH3:DI6,2,FALSE)+IF(AND(Calculator!B8=TRUE,Backdoors!BI30=TRUE),VLOOKUP(Calculator!E23,tbSkills!DH3:DJ6,3,FALSE),0),0)))/100)),(1-(0.25*((-Backdoors!AI12-IF(GI102&gt;=0.45,VLOOKUP(Calculator!E23,tbSkills!DH3:DI6,2,FALSE)+IF(AND(Calculator!B8=TRUE,Backdoors!BI30=TRUE),VLOOKUP(Calculator!E23,tbSkills!DH3:DJ6,3,FALSE),0),0))/100)))),1),"")</f>
        <v>1</v>
      </c>
      <c r="GL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I102)*GK102)*(VLOOKUP(A102,tbMoveset!A2:C112,3,FALSE)/100)*IF(VLOOKUP(A102,tbMoveset!A2:B112,2,FALSE)="Projectile",Backdoors!N10,Backdoors!N9),0),"")</f>
        <v/>
      </c>
      <c r="GM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I102&gt;=0.45,VLOOKUP(Calculator!E23,tbSkills!DH3:DI6,2,FALSE)+IF(AND(Calculator!B8=TRUE,Backdoors!BI30=TRUE),VLOOKUP(Calculator!E23,tbSkills!DH3:DJ6,3,FALSE),0),0))&gt;=100,100,(Backdoors!AI12+IF(GI102&gt;=0.45,VLOOKUP(Calculator!E23,tbSkills!DH3:DI6,2,FALSE)+IF(AND(Calculator!B8=TRUE,Backdoors!BI30=TRUE),VLOOKUP(Calculator!E23,tbSkills!DH3:DJ6,3,FALSE),0),0)))/100)),1))*IF(VLOOKUP(A102,tbMoveset!A2:K112,11,FALSE)=TRUE,Backdoors!AC5,1))*GJ102,0),"")</f>
        <v>0</v>
      </c>
      <c r="GN102" s="49">
        <f>VLOOKUP(A102,tbMoveset!A2:G112,7,FALSE)*IFERROR(IF(Backdoors!AI12&gt;=0,1+(IF(Calculator!E40&gt;0,VLOOKUP(Calculator!E40,tbSkills!AI3:AJ5,2,FALSE),Backdoors!AL4)*(IF((Backdoors!AI12+IF(GI102&gt;=0.45,VLOOKUP(Calculator!E23,tbSkills!DH3:DI6,2,FALSE)+IF(AND(Calculator!B8=TRUE,Backdoors!BI30=TRUE),VLOOKUP(Calculator!E23,tbSkills!DH3:DJ6,3,FALSE),0),0))&gt;=100,100,(Backdoors!AI12+IF(GI102&gt;=0.45,VLOOKUP(Calculator!E23,tbSkills!DH3:DI6,2,FALSE)+IF(AND(Calculator!B8=TRUE,Backdoors!BI30=TRUE),VLOOKUP(Calculator!E23,tbSkills!DH3:DJ6,3,FALSE),0),0)))/100)),1),1)</f>
        <v>1</v>
      </c>
      <c r="GO102" s="87">
        <f t="shared" si="78"/>
        <v>0</v>
      </c>
      <c r="GP102" s="86" t="str">
        <f>IFERROR(IF(VLOOKUP(A102,tbMoveset!A2:B112,2,FALSE)="Sever",Backdoors!AY31/100,IF(VLOOKUP(A102,tbMoveset!A2:B112,2,FALSE)="Blunt",Backdoors!AZ31/100,Backdoors!BA31/100)),"")</f>
        <v/>
      </c>
      <c r="GQ102" s="49">
        <f>IFERROR(IF(VLOOKUP(tbMoveset!A102,tbMoveset!A2:H112,8,FALSE)="Other",IF(VLOOKUP(tbMoveset!A102,tbMoveset!A2:I112,9,FALSE)="Fire",Backdoors!BB31,IF(VLOOKUP(tbMoveset!A102,tbMoveset!A2:I112,9,FALSE)="Water",Backdoors!BC31,IF(VLOOKUP(tbMoveset!A102,tbMoveset!A2:I112,9,FALSE)="Thunder",Backdoors!BD31,IF(VLOOKUP(tbMoveset!A102,tbMoveset!A2:I112,9,FALSE)="Ice",Backdoors!BE31,IF(VLOOKUP(tbMoveset!A102,tbMoveset!A2:I112,9,FALSE)="Dragon",Backdoors!BF31,Backdoors!BG31)))))/100,Backdoors!BG31/100),"")</f>
        <v>0</v>
      </c>
      <c r="GR102" s="49">
        <f>IFERROR(IF(VLOOKUP(A102,tbMoveset!A2:J112,10,FALSE)=TRUE,IF((Backdoors!AI12+IF(GP102&gt;=0.45,VLOOKUP(Calculator!E23,tbSkills!DH3:DI6,2,FALSE)+IF(AND(Calculator!B8=TRUE,Backdoors!BI31=TRUE),VLOOKUP(Calculator!E23,tbSkills!DH3:DJ6,3,FALSE),0),0))&gt;=0,1+(Backdoors!AL2*(IF((Backdoors!AI12+IF(GP102&gt;=0.45,VLOOKUP(Calculator!E23,tbSkills!DH3:DI6,2,FALSE)+IF(AND(Calculator!B8=TRUE,Backdoors!BI31=TRUE),VLOOKUP(Calculator!E23,tbSkills!DH3:DJ6,3,FALSE),0),0))&gt;=100,100,(Backdoors!AI12+IF(GP102&gt;=0.45,VLOOKUP(Calculator!E23,tbSkills!DH3:DI6,2,FALSE)+IF(AND(Calculator!B8=TRUE,Backdoors!BI31=TRUE),VLOOKUP(Calculator!E23,tbSkills!DH3:DJ6,3,FALSE),0),0)))/100)),(1-(0.25*((-Backdoors!AI12-IF(GP102&gt;=0.45,VLOOKUP(Calculator!E23,tbSkills!DH3:DI6,2,FALSE)+IF(AND(Calculator!B8=TRUE,Backdoors!BI31=TRUE),VLOOKUP(Calculator!E23,tbSkills!DH3:DJ6,3,FALSE),0),0))/100)))),1),"")</f>
        <v>1</v>
      </c>
      <c r="GS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P102)*GR102)*(VLOOKUP(A102,tbMoveset!A2:C112,3,FALSE)/100)*IF(VLOOKUP(A102,tbMoveset!A2:B112,2,FALSE)="Projectile",Backdoors!N10,Backdoors!N9),0),"")</f>
        <v/>
      </c>
      <c r="GT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P102&gt;=0.45,VLOOKUP(Calculator!E23,tbSkills!DH3:DI6,2,FALSE)+IF(AND(Calculator!B8=TRUE,Backdoors!BI31=TRUE),VLOOKUP(Calculator!E23,tbSkills!DH3:DJ6,3,FALSE),0),0))&gt;=100,100,(Backdoors!AI12+IF(GP102&gt;=0.45,VLOOKUP(Calculator!E23,tbSkills!DH3:DI6,2,FALSE)+IF(AND(Calculator!B8=TRUE,Backdoors!BI31=TRUE),VLOOKUP(Calculator!E23,tbSkills!DH3:DJ6,3,FALSE),0),0)))/100)),1))*IF(VLOOKUP(A102,tbMoveset!A2:K112,11,FALSE)=TRUE,Backdoors!AC5,1))*GQ102,0),"")</f>
        <v>0</v>
      </c>
      <c r="GU102" s="49">
        <f>VLOOKUP(A102,tbMoveset!A2:G112,7,FALSE)*IFERROR(IF(Backdoors!AI12&gt;=0,1+(IF(Calculator!E40&gt;0,VLOOKUP(Calculator!E40,tbSkills!AI3:AJ5,2,FALSE),Backdoors!AL4)*(IF((Backdoors!AI12+IF(GP102&gt;=0.45,VLOOKUP(Calculator!E23,tbSkills!DH3:DI6,2,FALSE)+IF(AND(Calculator!B8=TRUE,Backdoors!BI31=TRUE),VLOOKUP(Calculator!E23,tbSkills!DH3:DJ6,3,FALSE),0),0))&gt;=100,100,(Backdoors!AI12+IF(GP102&gt;=0.45,VLOOKUP(Calculator!E23,tbSkills!DH3:DI6,2,FALSE)+IF(AND(Calculator!B8=TRUE,Backdoors!BI31=TRUE),VLOOKUP(Calculator!E23,tbSkills!DH3:DJ6,3,FALSE),0),0)))/100)),1),1)</f>
        <v>1</v>
      </c>
      <c r="GV102" s="87">
        <f t="shared" si="79"/>
        <v>0</v>
      </c>
      <c r="GW102" s="86" t="str">
        <f>IFERROR(IF(VLOOKUP(A102,tbMoveset!A2:B112,2,FALSE)="Sever",Backdoors!AY32/100,IF(VLOOKUP(A102,tbMoveset!A2:B112,2,FALSE)="Blunt",Backdoors!AZ32/100,Backdoors!BA32/100)),"")</f>
        <v/>
      </c>
      <c r="GX102" s="49">
        <f>IFERROR(IF(VLOOKUP(tbMoveset!A102,tbMoveset!A2:H112,8,FALSE)="Other",IF(VLOOKUP(tbMoveset!A102,tbMoveset!A2:I112,9,FALSE)="Fire",Backdoors!BB32,IF(VLOOKUP(tbMoveset!A102,tbMoveset!A2:I112,9,FALSE)="Water",Backdoors!BC32,IF(VLOOKUP(tbMoveset!A102,tbMoveset!A2:I112,9,FALSE)="Thunder",Backdoors!BD32,IF(VLOOKUP(tbMoveset!A102,tbMoveset!A2:I112,9,FALSE)="Ice",Backdoors!BE32,IF(VLOOKUP(tbMoveset!A102,tbMoveset!A2:I112,9,FALSE)="Dragon",Backdoors!BF32,Backdoors!BG32)))))/100,Backdoors!BG32/100),"")</f>
        <v>0</v>
      </c>
      <c r="GY102" s="49">
        <f>IFERROR(IF(VLOOKUP(A102,tbMoveset!A2:J112,10,FALSE)=TRUE,IF((Backdoors!AI12+IF(GW102&gt;=0.45,VLOOKUP(Calculator!E23,tbSkills!DH3:DI6,2,FALSE)+IF(AND(Calculator!B8=TRUE,Backdoors!BI32=TRUE),VLOOKUP(Calculator!E23,tbSkills!DH3:DJ6,3,FALSE),0),0))&gt;=0,1+(Backdoors!AL2*(IF((Backdoors!AI12+IF(GW102&gt;=0.45,VLOOKUP(Calculator!E23,tbSkills!DH3:DI6,2,FALSE)+IF(AND(Calculator!B8=TRUE,Backdoors!BI32=TRUE),VLOOKUP(Calculator!E23,tbSkills!DH3:DJ6,3,FALSE),0),0))&gt;=100,100,(Backdoors!AI12+IF(GW102&gt;=0.45,VLOOKUP(Calculator!E23,tbSkills!DH3:DI6,2,FALSE)+IF(AND(Calculator!B8=TRUE,Backdoors!BI32=TRUE),VLOOKUP(Calculator!E23,tbSkills!DH3:DJ6,3,FALSE),0),0)))/100)),(1-(0.25*((-Backdoors!AI12-IF(GW102&gt;=0.45,VLOOKUP(Calculator!E23,tbSkills!DH3:DI6,2,FALSE)+IF(AND(Calculator!B8=TRUE,Backdoors!BI32=TRUE),VLOOKUP(Calculator!E23,tbSkills!DH3:DJ6,3,FALSE),0),0))/100)))),1),"")</f>
        <v>1</v>
      </c>
      <c r="GZ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W102)*GY102)*(VLOOKUP(A102,tbMoveset!A2:C112,3,FALSE)/100)*IF(VLOOKUP(A102,tbMoveset!A2:B112,2,FALSE)="Projectile",Backdoors!N10,Backdoors!N9),0),"")</f>
        <v/>
      </c>
      <c r="HA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W102&gt;=0.45,VLOOKUP(Calculator!E23,tbSkills!DH3:DI6,2,FALSE)+IF(AND(Calculator!B8=TRUE,Backdoors!BI32=TRUE),VLOOKUP(Calculator!E23,tbSkills!DH3:DJ6,3,FALSE),0),0))&gt;=100,100,(Backdoors!AI12+IF(GW102&gt;=0.45,VLOOKUP(Calculator!E23,tbSkills!DH3:DI6,2,FALSE)+IF(AND(Calculator!B8=TRUE,Backdoors!BI32=TRUE),VLOOKUP(Calculator!E23,tbSkills!DH3:DJ6,3,FALSE),0),0)))/100)),1))*IF(VLOOKUP(A102,tbMoveset!A2:K112,11,FALSE)=TRUE,Backdoors!AC5,1))*GX102,0),"")</f>
        <v>0</v>
      </c>
      <c r="HB102" s="49">
        <f>VLOOKUP(A102,tbMoveset!A2:G112,7,FALSE)*IFERROR(IF(Backdoors!AI12&gt;=0,1+(IF(Calculator!E40&gt;0,VLOOKUP(Calculator!E40,tbSkills!AI3:AJ5,2,FALSE),Backdoors!AL4)*(IF((Backdoors!AI12+IF(GW102&gt;=0.45,VLOOKUP(Calculator!E23,tbSkills!DH3:DI6,2,FALSE)+IF(AND(Calculator!B8=TRUE,Backdoors!BI32=TRUE),VLOOKUP(Calculator!E23,tbSkills!DH3:DJ6,3,FALSE),0),0))&gt;=100,100,(Backdoors!AI12+IF(GW102&gt;=0.45,VLOOKUP(Calculator!E23,tbSkills!DH3:DI6,2,FALSE)+IF(AND(Calculator!B8=TRUE,Backdoors!BI32=TRUE),VLOOKUP(Calculator!E23,tbSkills!DH3:DJ6,3,FALSE),0),0)))/100)),1),1)</f>
        <v>1</v>
      </c>
      <c r="HC102" s="87">
        <f t="shared" si="80"/>
        <v>0</v>
      </c>
      <c r="HD102" s="86" t="str">
        <f>IFERROR(IF(VLOOKUP(A102,tbMoveset!A2:B112,2,FALSE)="Sever",Backdoors!AY33/100,IF(VLOOKUP(A102,tbMoveset!A2:B112,2,FALSE)="Blunt",Backdoors!AZ33/100,Backdoors!BA33/100)),"")</f>
        <v/>
      </c>
      <c r="HE102" s="49">
        <f>IFERROR(IF(VLOOKUP(tbMoveset!A102,tbMoveset!A2:H112,8,FALSE)="Other",IF(VLOOKUP(tbMoveset!A102,tbMoveset!A2:I112,9,FALSE)="Fire",Backdoors!BB33,IF(VLOOKUP(tbMoveset!A102,tbMoveset!A2:I112,9,FALSE)="Water",Backdoors!BC33,IF(VLOOKUP(tbMoveset!A102,tbMoveset!A2:I112,9,FALSE)="Thunder",Backdoors!BD33,IF(VLOOKUP(tbMoveset!A102,tbMoveset!A2:I112,9,FALSE)="Ice",Backdoors!BE33,IF(VLOOKUP(tbMoveset!A102,tbMoveset!A2:I112,9,FALSE)="Dragon",Backdoors!BF33,Backdoors!BG33)))))/100,Backdoors!BG33/100),"")</f>
        <v>0</v>
      </c>
      <c r="HF102" s="49">
        <f>IFERROR(IF(VLOOKUP(A102,tbMoveset!A2:J112,10,FALSE)=TRUE,IF((Backdoors!AI12+IF(HD102&gt;=0.45,VLOOKUP(Calculator!E23,tbSkills!DH3:DI6,2,FALSE)+IF(AND(Calculator!B8=TRUE,Backdoors!BI33=TRUE),VLOOKUP(Calculator!E23,tbSkills!DH3:DJ6,3,FALSE),0),0))&gt;=0,1+(Backdoors!AL2*(IF((Backdoors!AI12+IF(HD102&gt;=0.45,VLOOKUP(Calculator!E23,tbSkills!DH3:DI6,2,FALSE)+IF(AND(Calculator!B8=TRUE,Backdoors!BI33=TRUE),VLOOKUP(Calculator!E23,tbSkills!DH3:DJ6,3,FALSE),0),0))&gt;=100,100,(Backdoors!AI12+IF(HD102&gt;=0.45,VLOOKUP(Calculator!E23,tbSkills!DH3:DI6,2,FALSE)+IF(AND(Calculator!B8=TRUE,Backdoors!BI33=TRUE),VLOOKUP(Calculator!E23,tbSkills!DH3:DJ6,3,FALSE),0),0)))/100)),(1-(0.25*((-Backdoors!AI12-IF(HD102&gt;=0.45,VLOOKUP(Calculator!E23,tbSkills!DH3:DI6,2,FALSE)+IF(AND(Calculator!B8=TRUE,Backdoors!BI33=TRUE),VLOOKUP(Calculator!E23,tbSkills!DH3:DJ6,3,FALSE),0),0))/100)))),1),"")</f>
        <v>1</v>
      </c>
      <c r="HG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D102)*HF102)*(VLOOKUP(A102,tbMoveset!A2:C112,3,FALSE)/100)*IF(VLOOKUP(A102,tbMoveset!A2:B112,2,FALSE)="Projectile",Backdoors!N10,Backdoors!N9),0),"")</f>
        <v/>
      </c>
      <c r="HH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D102&gt;=0.45,VLOOKUP(Calculator!E23,tbSkills!DH3:DI6,2,FALSE)+IF(AND(Calculator!B8=TRUE,Backdoors!BI33=TRUE),VLOOKUP(Calculator!E23,tbSkills!DH3:DJ6,3,FALSE),0),0))&gt;=100,100,(Backdoors!AI12+IF(HD102&gt;=0.45,VLOOKUP(Calculator!E23,tbSkills!DH3:DI6,2,FALSE)+IF(AND(Calculator!B8=TRUE,Backdoors!BI33=TRUE),VLOOKUP(Calculator!E23,tbSkills!DH3:DJ6,3,FALSE),0),0)))/100)),1))*IF(VLOOKUP(A102,tbMoveset!A2:K112,11,FALSE)=TRUE,Backdoors!AC5,1))*HE102,0),"")</f>
        <v>0</v>
      </c>
      <c r="HI102" s="49">
        <f>VLOOKUP(A102,tbMoveset!A2:G112,7,FALSE)*IFERROR(IF(Backdoors!AI12&gt;=0,1+(IF(Calculator!E40&gt;0,VLOOKUP(Calculator!E40,tbSkills!AI3:AJ5,2,FALSE),Backdoors!AL4)*(IF((Backdoors!AI12+IF(HD102&gt;=0.45,VLOOKUP(Calculator!E23,tbSkills!DH3:DI6,2,FALSE)+IF(AND(Calculator!B8=TRUE,Backdoors!BI33=TRUE),VLOOKUP(Calculator!E23,tbSkills!DH3:DJ6,3,FALSE),0),0))&gt;=100,100,(Backdoors!AI12+IF(HD102&gt;=0.45,VLOOKUP(Calculator!E23,tbSkills!DH3:DI6,2,FALSE)+IF(AND(Calculator!B8=TRUE,Backdoors!BI33=TRUE),VLOOKUP(Calculator!E23,tbSkills!DH3:DJ6,3,FALSE),0),0)))/100)),1),1)</f>
        <v>1</v>
      </c>
      <c r="HJ102" s="87">
        <f t="shared" si="81"/>
        <v>0</v>
      </c>
      <c r="HK102" s="86" t="str">
        <f>IFERROR(IF(VLOOKUP(A102,tbMoveset!A2:B112,2,FALSE)="Sever",Backdoors!AY34/100,IF(VLOOKUP(A102,tbMoveset!A2:B112,2,FALSE)="Blunt",Backdoors!AZ34/100,Backdoors!BA34/100)),"")</f>
        <v/>
      </c>
      <c r="HL102" s="49">
        <f>IFERROR(IF(VLOOKUP(tbMoveset!A102,tbMoveset!A2:H112,8,FALSE)="Other",IF(VLOOKUP(tbMoveset!A102,tbMoveset!A2:I112,9,FALSE)="Fire",Backdoors!BB34,IF(VLOOKUP(tbMoveset!A102,tbMoveset!A2:I112,9,FALSE)="Water",Backdoors!BC34,IF(VLOOKUP(tbMoveset!A102,tbMoveset!A2:I112,9,FALSE)="Thunder",Backdoors!BD34,IF(VLOOKUP(tbMoveset!A102,tbMoveset!A2:I112,9,FALSE)="Ice",Backdoors!BE34,IF(VLOOKUP(tbMoveset!A102,tbMoveset!A2:I112,9,FALSE)="Dragon",Backdoors!BF34,Backdoors!BG34)))))/100,Backdoors!BG34/100),"")</f>
        <v>0</v>
      </c>
      <c r="HM102" s="49">
        <f>IFERROR(IF(VLOOKUP(A102,tbMoveset!A2:J112,10,FALSE)=TRUE,IF((Backdoors!AI12+IF(HK102&gt;=0.45,VLOOKUP(Calculator!E23,tbSkills!DH3:DI6,2,FALSE)+IF(AND(Calculator!B8=TRUE,Backdoors!BI34=TRUE),VLOOKUP(Calculator!E23,tbSkills!DH3:DJ6,3,FALSE),0),0))&gt;=0,1+(Backdoors!AL2*(IF((Backdoors!AI12+IF(HK102&gt;=0.45,VLOOKUP(Calculator!E23,tbSkills!DH3:DI6,2,FALSE)+IF(AND(Calculator!B8=TRUE,Backdoors!BI34=TRUE),VLOOKUP(Calculator!E23,tbSkills!DH3:DJ6,3,FALSE),0),0))&gt;=100,100,(Backdoors!AI12+IF(HK102&gt;=0.45,VLOOKUP(Calculator!E23,tbSkills!DH3:DI6,2,FALSE)+IF(AND(Calculator!B8=TRUE,Backdoors!BI34=TRUE),VLOOKUP(Calculator!E23,tbSkills!DH3:DJ6,3,FALSE),0),0)))/100)),(1-(0.25*((-Backdoors!AI12-IF(HK102&gt;=0.45,VLOOKUP(Calculator!E23,tbSkills!DH3:DI6,2,FALSE)+IF(AND(Calculator!B8=TRUE,Backdoors!BI34=TRUE),VLOOKUP(Calculator!E23,tbSkills!DH3:DJ6,3,FALSE),0),0))/100)))),1),"")</f>
        <v>1</v>
      </c>
      <c r="HN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K102)*HM102)*(VLOOKUP(A102,tbMoveset!A2:C112,3,FALSE)/100)*IF(VLOOKUP(A102,tbMoveset!A2:B112,2,FALSE)="Projectile",Backdoors!N10,Backdoors!N9),0),"")</f>
        <v/>
      </c>
      <c r="HO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K102&gt;=0.45,VLOOKUP(Calculator!E23,tbSkills!DH3:DI6,2,FALSE)+IF(AND(Calculator!B8=TRUE,Backdoors!BI34=TRUE),VLOOKUP(Calculator!E23,tbSkills!DH3:DJ6,3,FALSE),0),0))&gt;=100,100,(Backdoors!AI12+IF(HK102&gt;=0.45,VLOOKUP(Calculator!E23,tbSkills!DH3:DI6,2,FALSE)+IF(AND(Calculator!B8=TRUE,Backdoors!BI34=TRUE),VLOOKUP(Calculator!E23,tbSkills!DH3:DJ6,3,FALSE),0),0)))/100)),1))*IF(VLOOKUP(A102,tbMoveset!A2:K112,11,FALSE)=TRUE,Backdoors!AC5,1))*HL102,0),"")</f>
        <v>0</v>
      </c>
      <c r="HP102" s="49">
        <f>VLOOKUP(A102,tbMoveset!A2:G112,7,FALSE)*IFERROR(IF(Backdoors!AI12&gt;=0,1+(IF(Calculator!E40&gt;0,VLOOKUP(Calculator!E40,tbSkills!AI3:AJ5,2,FALSE),Backdoors!AL4)*(IF((Backdoors!AI12+IF(HK102&gt;=0.45,VLOOKUP(Calculator!E23,tbSkills!DH3:DI6,2,FALSE)+IF(AND(Calculator!B8=TRUE,Backdoors!BI34=TRUE),VLOOKUP(Calculator!E23,tbSkills!DH3:DJ6,3,FALSE),0),0))&gt;=100,100,(Backdoors!AI12+IF(HK102&gt;=0.45,VLOOKUP(Calculator!E23,tbSkills!DH3:DI6,2,FALSE)+IF(AND(Calculator!B8=TRUE,Backdoors!BI34=TRUE),VLOOKUP(Calculator!E23,tbSkills!DH3:DJ6,3,FALSE),0),0)))/100)),1),1)</f>
        <v>1</v>
      </c>
      <c r="HQ102" s="87">
        <f t="shared" si="82"/>
        <v>0</v>
      </c>
      <c r="HR102" s="86" t="str">
        <f>IFERROR(IF(VLOOKUP(A102,tbMoveset!A2:B112,2,FALSE)="Sever",Backdoors!AY35/100,IF(VLOOKUP(A102,tbMoveset!A2:B112,2,FALSE)="Blunt",Backdoors!AZ35/100,Backdoors!BA35/100)),"")</f>
        <v/>
      </c>
      <c r="HS102" s="49">
        <f>IFERROR(IF(VLOOKUP(tbMoveset!A102,tbMoveset!A2:H112,8,FALSE)="Other",IF(VLOOKUP(tbMoveset!A102,tbMoveset!A2:I112,9,FALSE)="Fire",Backdoors!BB35,IF(VLOOKUP(tbMoveset!A102,tbMoveset!A2:I112,9,FALSE)="Water",Backdoors!BC35,IF(VLOOKUP(tbMoveset!A102,tbMoveset!A2:I112,9,FALSE)="Thunder",Backdoors!BD35,IF(VLOOKUP(tbMoveset!A102,tbMoveset!A2:I112,9,FALSE)="Ice",Backdoors!BE35,IF(VLOOKUP(tbMoveset!A102,tbMoveset!A2:I112,9,FALSE)="Dragon",Backdoors!BF35,Backdoors!BG35)))))/100,Backdoors!BG35/100),"")</f>
        <v>0</v>
      </c>
      <c r="HT102" s="49">
        <f>IFERROR(IF(VLOOKUP(A102,tbMoveset!A2:J112,10,FALSE)=TRUE,IF((Backdoors!AI12+IF(HR102&gt;=0.45,VLOOKUP(Calculator!E23,tbSkills!DH3:DI6,2,FALSE)+IF(AND(Calculator!B8=TRUE,Backdoors!BI35=TRUE),VLOOKUP(Calculator!E23,tbSkills!DH3:DJ6,3,FALSE),0),0))&gt;=0,1+(Backdoors!AL2*(IF((Backdoors!AI12+IF(HR102&gt;=0.45,VLOOKUP(Calculator!E23,tbSkills!DH3:DI6,2,FALSE)+IF(AND(Calculator!B8=TRUE,Backdoors!BI35=TRUE),VLOOKUP(Calculator!E23,tbSkills!DH3:DJ6,3,FALSE),0),0))&gt;=100,100,(Backdoors!AI12+IF(HR102&gt;=0.45,VLOOKUP(Calculator!E23,tbSkills!DH3:DI6,2,FALSE)+IF(AND(Calculator!B8=TRUE,Backdoors!BI35=TRUE),VLOOKUP(Calculator!E23,tbSkills!DH3:DJ6,3,FALSE),0),0)))/100)),(1-(0.25*((-Backdoors!AI12-IF(HR102&gt;=0.45,VLOOKUP(Calculator!E23,tbSkills!DH3:DI6,2,FALSE)+IF(AND(Calculator!B8=TRUE,Backdoors!BI35=TRUE),VLOOKUP(Calculator!E23,tbSkills!DH3:DJ6,3,FALSE),0),0))/100)))),1),"")</f>
        <v>1</v>
      </c>
      <c r="HU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R102)*HT102)*(VLOOKUP(A102,tbMoveset!A2:C112,3,FALSE)/100)*IF(VLOOKUP(A102,tbMoveset!A2:B112,2,FALSE)="Projectile",Backdoors!N10,Backdoors!N9),0),"")</f>
        <v/>
      </c>
      <c r="HV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R102&gt;=0.45,VLOOKUP(Calculator!E23,tbSkills!DH3:DI6,2,FALSE)+IF(AND(Calculator!B8=TRUE,Backdoors!BI35=TRUE),VLOOKUP(Calculator!E23,tbSkills!DH3:DJ6,3,FALSE),0),0))&gt;=100,100,(Backdoors!AI12+IF(HR102&gt;=0.45,VLOOKUP(Calculator!E23,tbSkills!DH3:DI6,2,FALSE)+IF(AND(Calculator!B8=TRUE,Backdoors!BI35=TRUE),VLOOKUP(Calculator!E23,tbSkills!DH3:DJ6,3,FALSE),0),0)))/100)),1))*IF(VLOOKUP(A102,tbMoveset!A2:K112,11,FALSE)=TRUE,Backdoors!AC5,1))*HS102,0),"")</f>
        <v>0</v>
      </c>
      <c r="HW102" s="49">
        <f>VLOOKUP(A102,tbMoveset!A2:G112,7,FALSE)*IFERROR(IF(Backdoors!AI12&gt;=0,1+(IF(Calculator!E40&gt;0,VLOOKUP(Calculator!E40,tbSkills!AI3:AJ5,2,FALSE),Backdoors!AL4)*(IF((Backdoors!AI12+IF(HR102&gt;=0.45,VLOOKUP(Calculator!E23,tbSkills!DH3:DI6,2,FALSE)+IF(AND(Calculator!B8=TRUE,Backdoors!BI35=TRUE),VLOOKUP(Calculator!E23,tbSkills!DH3:DJ6,3,FALSE),0),0))&gt;=100,100,(Backdoors!AI12+IF(HR102&gt;=0.45,VLOOKUP(Calculator!E23,tbSkills!DH3:DI6,2,FALSE)+IF(AND(Calculator!B8=TRUE,Backdoors!BI35=TRUE),VLOOKUP(Calculator!E23,tbSkills!DH3:DJ6,3,FALSE),0),0)))/100)),1),1)</f>
        <v>1</v>
      </c>
      <c r="HX102" s="87">
        <f t="shared" si="83"/>
        <v>0</v>
      </c>
      <c r="HY102" s="86" t="str">
        <f>IFERROR(IF(VLOOKUP(A102,tbMoveset!A2:B112,2,FALSE)="Sever",Backdoors!AY36/100,IF(VLOOKUP(A102,tbMoveset!A2:B112,2,FALSE)="Blunt",Backdoors!AZ36/100,Backdoors!BA36/100)),"")</f>
        <v/>
      </c>
      <c r="HZ102" s="49">
        <f>IFERROR(IF(VLOOKUP(tbMoveset!A102,tbMoveset!A2:H112,8,FALSE)="Other",IF(VLOOKUP(tbMoveset!A102,tbMoveset!A2:I112,9,FALSE)="Fire",Backdoors!BB36,IF(VLOOKUP(tbMoveset!A102,tbMoveset!A2:I112,9,FALSE)="Water",Backdoors!BC36,IF(VLOOKUP(tbMoveset!A102,tbMoveset!A2:I112,9,FALSE)="Thunder",Backdoors!BD36,IF(VLOOKUP(tbMoveset!A102,tbMoveset!A2:I112,9,FALSE)="Ice",Backdoors!BE36,IF(VLOOKUP(tbMoveset!A102,tbMoveset!A2:I112,9,FALSE)="Dragon",Backdoors!BF36,Backdoors!BG36)))))/100,Backdoors!BG36/100),"")</f>
        <v>0</v>
      </c>
      <c r="IA102" s="49">
        <f>IFERROR(IF(VLOOKUP(A102,tbMoveset!A2:J112,10,FALSE)=TRUE,IF((Backdoors!AI12+IF(HY102&gt;=0.45,VLOOKUP(Calculator!E23,tbSkills!DH3:DI6,2,FALSE)+IF(AND(Calculator!B8=TRUE,Backdoors!BI36=TRUE),VLOOKUP(Calculator!E23,tbSkills!DH3:DJ6,3,FALSE),0),0))&gt;=0,1+(Backdoors!AL2*(IF((Backdoors!AI12+IF(HY102&gt;=0.45,VLOOKUP(Calculator!E23,tbSkills!DH3:DI6,2,FALSE)+IF(AND(Calculator!B8=TRUE,Backdoors!BI36=TRUE),VLOOKUP(Calculator!E23,tbSkills!DH3:DJ6,3,FALSE),0),0))&gt;=100,100,(Backdoors!AI12+IF(HY102&gt;=0.45,VLOOKUP(Calculator!E23,tbSkills!DH3:DI6,2,FALSE)+IF(AND(Calculator!B8=TRUE,Backdoors!BI36=TRUE),VLOOKUP(Calculator!E23,tbSkills!DH3:DJ6,3,FALSE),0),0)))/100)),(1-(0.25*((-Backdoors!AI12-IF(HY102&gt;=0.45,VLOOKUP(Calculator!E23,tbSkills!DH3:DI6,2,FALSE)+IF(AND(Calculator!B8=TRUE,Backdoors!BI36=TRUE),VLOOKUP(Calculator!E23,tbSkills!DH3:DJ6,3,FALSE),0),0))/100)))),1),"")</f>
        <v>1</v>
      </c>
      <c r="IB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Y102)*IA102)*(VLOOKUP(A102,tbMoveset!A2:C112,3,FALSE)/100)*IF(VLOOKUP(A102,tbMoveset!A2:B112,2,FALSE)="Projectile",Backdoors!N10,Backdoors!N9),0),"")</f>
        <v/>
      </c>
      <c r="IC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Y102&gt;=0.45,VLOOKUP(Calculator!E23,tbSkills!DH3:DI6,2,FALSE)+IF(AND(Calculator!B8=TRUE,Backdoors!BI36=TRUE),VLOOKUP(Calculator!E23,tbSkills!DH3:DJ6,3,FALSE),0),0))&gt;=100,100,(Backdoors!AI12+IF(HY102&gt;=0.45,VLOOKUP(Calculator!E23,tbSkills!DH3:DI6,2,FALSE)+IF(AND(Calculator!B8=TRUE,Backdoors!BI36=TRUE),VLOOKUP(Calculator!E23,tbSkills!DH3:DJ6,3,FALSE),0),0)))/100)),1))*IF(VLOOKUP(A102,tbMoveset!A2:K112,11,FALSE)=TRUE,Backdoors!AC5,1))*HZ102,0),"")</f>
        <v>0</v>
      </c>
      <c r="ID102" s="49">
        <f>VLOOKUP(A102,tbMoveset!A2:G112,7,FALSE)*IFERROR(IF(Backdoors!AI12&gt;=0,1+(IF(Calculator!E40&gt;0,VLOOKUP(Calculator!E40,tbSkills!AI3:AJ5,2,FALSE),Backdoors!AL4)*(IF((Backdoors!AI12+IF(HY102&gt;=0.45,VLOOKUP(Calculator!E23,tbSkills!DH3:DI6,2,FALSE)+IF(AND(Calculator!B8=TRUE,Backdoors!BI36=TRUE),VLOOKUP(Calculator!E23,tbSkills!DH3:DJ6,3,FALSE),0),0))&gt;=100,100,(Backdoors!AI12+IF(HY102&gt;=0.45,VLOOKUP(Calculator!E23,tbSkills!DH3:DI6,2,FALSE)+IF(AND(Calculator!B8=TRUE,Backdoors!BI36=TRUE),VLOOKUP(Calculator!E23,tbSkills!DH3:DJ6,3,FALSE),0),0)))/100)),1),1)</f>
        <v>1</v>
      </c>
      <c r="IE102" s="87">
        <f t="shared" si="84"/>
        <v>0</v>
      </c>
      <c r="IF102" s="86" t="str">
        <f>IFERROR(IF(VLOOKUP(A102,tbMoveset!A2:B112,2,FALSE)="Sever",Backdoors!AY37/100,IF(VLOOKUP(A102,tbMoveset!A2:B112,2,FALSE)="Blunt",Backdoors!AZ37/100,Backdoors!BA37/100)),"")</f>
        <v/>
      </c>
      <c r="IG102" s="49">
        <f>IFERROR(IF(VLOOKUP(tbMoveset!A102,tbMoveset!A2:H112,8,FALSE)="Other",IF(VLOOKUP(tbMoveset!A102,tbMoveset!A2:I112,9,FALSE)="Fire",Backdoors!BB37,IF(VLOOKUP(tbMoveset!A102,tbMoveset!A2:I112,9,FALSE)="Water",Backdoors!BC37,IF(VLOOKUP(tbMoveset!A102,tbMoveset!A2:I112,9,FALSE)="Thunder",Backdoors!BD37,IF(VLOOKUP(tbMoveset!A102,tbMoveset!A2:I112,9,FALSE)="Ice",Backdoors!BE37,IF(VLOOKUP(tbMoveset!A102,tbMoveset!A2:I112,9,FALSE)="Dragon",Backdoors!BF37,Backdoors!BG37)))))/100,Backdoors!BG37/100),"")</f>
        <v>0</v>
      </c>
      <c r="IH102" s="49">
        <f>IFERROR(IF(VLOOKUP(A102,tbMoveset!A2:J112,10,FALSE)=TRUE,IF((Backdoors!AI12+IF(IF102&gt;=0.45,VLOOKUP(Calculator!E23,tbSkills!DH3:DI6,2,FALSE)+IF(AND(Calculator!B8=TRUE,Backdoors!BI37=TRUE),VLOOKUP(Calculator!E23,tbSkills!DH3:DJ6,3,FALSE),0),0))&gt;=0,1+(Backdoors!AL2*(IF((Backdoors!AI12+IF(IF102&gt;=0.45,VLOOKUP(Calculator!E23,tbSkills!DH3:DI6,2,FALSE)+IF(AND(Calculator!B8=TRUE,Backdoors!BI37=TRUE),VLOOKUP(Calculator!E23,tbSkills!DH3:DJ6,3,FALSE),0),0))&gt;=100,100,(Backdoors!AI12+IF(IF102&gt;=0.45,VLOOKUP(Calculator!E23,tbSkills!DH3:DI6,2,FALSE)+IF(AND(Calculator!B8=TRUE,Backdoors!BI37=TRUE),VLOOKUP(Calculator!E23,tbSkills!DH3:DJ6,3,FALSE),0),0)))/100)),(1-(0.25*((-Backdoors!AI12-IF(IF102&gt;=0.45,VLOOKUP(Calculator!E23,tbSkills!DH3:DI6,2,FALSE)+IF(AND(Calculator!B8=TRUE,Backdoors!BI37=TRUE),VLOOKUP(Calculator!E23,tbSkills!DH3:DJ6,3,FALSE),0),0))/100)))),1),"")</f>
        <v>1</v>
      </c>
      <c r="II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F102)*IH102)*(VLOOKUP(A102,tbMoveset!A2:C112,3,FALSE)/100)*IF(VLOOKUP(A102,tbMoveset!A2:B112,2,FALSE)="Projectile",Backdoors!N10,Backdoors!N9),0),"")</f>
        <v/>
      </c>
      <c r="IJ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IF102&gt;=0.45,VLOOKUP(Calculator!E23,tbSkills!DH3:DI6,2,FALSE)+IF(AND(Calculator!B8=TRUE,Backdoors!BI37=TRUE),VLOOKUP(Calculator!E23,tbSkills!DH3:DJ6,3,FALSE),0),0))&gt;=100,100,(Backdoors!AI12+IF(IF102&gt;=0.45,VLOOKUP(Calculator!E23,tbSkills!DH3:DI6,2,FALSE)+IF(AND(Calculator!B8=TRUE,Backdoors!BI37=TRUE),VLOOKUP(Calculator!E23,tbSkills!DH3:DJ6,3,FALSE),0),0)))/100)),1))*IF(VLOOKUP(A102,tbMoveset!A2:K112,11,FALSE)=TRUE,Backdoors!AC5,1))*IG102,0),"")</f>
        <v>0</v>
      </c>
      <c r="IK102" s="49">
        <f>VLOOKUP(A102,tbMoveset!A2:G112,7,FALSE)*IFERROR(IF(Backdoors!AI12&gt;=0,1+(IF(Calculator!E40&gt;0,VLOOKUP(Calculator!E40,tbSkills!AI3:AJ5,2,FALSE),Backdoors!AL4)*(IF((Backdoors!AI12+IF(IF102&gt;=0.45,VLOOKUP(Calculator!E23,tbSkills!DH3:DI6,2,FALSE)+IF(AND(Calculator!B8=TRUE,Backdoors!BI37=TRUE),VLOOKUP(Calculator!E23,tbSkills!DH3:DJ6,3,FALSE),0),0))&gt;=100,100,(Backdoors!AI12+IF(IF102&gt;=0.45,VLOOKUP(Calculator!E23,tbSkills!DH3:DI6,2,FALSE)+IF(AND(Calculator!B8=TRUE,Backdoors!BI37=TRUE),VLOOKUP(Calculator!E23,tbSkills!DH3:DJ6,3,FALSE),0),0)))/100)),1),1)</f>
        <v>1</v>
      </c>
      <c r="IL102" s="87">
        <f t="shared" si="85"/>
        <v>0</v>
      </c>
      <c r="IM102" s="86" t="str">
        <f>IFERROR(IF(VLOOKUP(A102,tbMoveset!A2:B112,2,FALSE)="Sever",Backdoors!AY38/100,IF(VLOOKUP(A102,tbMoveset!A2:B112,2,FALSE)="Blunt",Backdoors!AZ38/100,Backdoors!BA38/100)),"")</f>
        <v/>
      </c>
      <c r="IN102" s="49">
        <f>IFERROR(IF(VLOOKUP(tbMoveset!A102,tbMoveset!A2:H112,8,FALSE)="Other",IF(VLOOKUP(tbMoveset!A102,tbMoveset!A2:I112,9,FALSE)="Fire",Backdoors!BB38,IF(VLOOKUP(tbMoveset!A102,tbMoveset!A2:I112,9,FALSE)="Water",Backdoors!BC38,IF(VLOOKUP(tbMoveset!A102,tbMoveset!A2:I112,9,FALSE)="Thunder",Backdoors!BD38,IF(VLOOKUP(tbMoveset!A102,tbMoveset!A2:I112,9,FALSE)="Ice",Backdoors!BE38,IF(VLOOKUP(tbMoveset!A102,tbMoveset!A2:I112,9,FALSE)="Dragon",Backdoors!BF38,Backdoors!BG38)))))/100,Backdoors!BG38/100),"")</f>
        <v>0</v>
      </c>
      <c r="IO102" s="49">
        <f>IFERROR(IF(VLOOKUP(A102,tbMoveset!A2:J112,10,FALSE)=TRUE,IF((Backdoors!AI12+IF(IM102&gt;=0.45,VLOOKUP(Calculator!E23,tbSkills!DH3:DI6,2,FALSE)+IF(AND(Calculator!B8=TRUE,Backdoors!BI38=TRUE),VLOOKUP(Calculator!E23,tbSkills!DH3:DJ6,3,FALSE),0),0))&gt;=0,1+(Backdoors!AL2*(IF((Backdoors!AI12+IF(IM102&gt;=0.45,VLOOKUP(Calculator!E23,tbSkills!DH3:DI6,2,FALSE)+IF(AND(Calculator!B8=TRUE,Backdoors!BI38=TRUE),VLOOKUP(Calculator!E23,tbSkills!DH3:DJ6,3,FALSE),0),0))&gt;=100,100,(Backdoors!AI12+IF(IM102&gt;=0.45,VLOOKUP(Calculator!E23,tbSkills!DH3:DI6,2,FALSE)+IF(AND(Calculator!B8=TRUE,Backdoors!BI38=TRUE),VLOOKUP(Calculator!E23,tbSkills!DH3:DJ6,3,FALSE),0),0)))/100)),(1-(0.25*((-Backdoors!AI12-IF(IM102&gt;=0.45,VLOOKUP(Calculator!E23,tbSkills!DH3:DI6,2,FALSE)+IF(AND(Calculator!B8=TRUE,Backdoors!BI38=TRUE),VLOOKUP(Calculator!E23,tbSkills!DH3:DJ6,3,FALSE),0),0))/100)))),1),"")</f>
        <v>1</v>
      </c>
      <c r="IP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M102)*IO102)*(VLOOKUP(A102,tbMoveset!A2:C112,3,FALSE)/100)*IF(VLOOKUP(A102,tbMoveset!A2:B112,2,FALSE)="Projectile",Backdoors!N10,Backdoors!N9),0),"")</f>
        <v/>
      </c>
      <c r="IQ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IM102&gt;=0.45,VLOOKUP(Calculator!E23,tbSkills!DH3:DI6,2,FALSE)+IF(AND(Calculator!B8=TRUE,Backdoors!BI38=TRUE),VLOOKUP(Calculator!E23,tbSkills!DH3:DJ6,3,FALSE),0),0))&gt;=100,100,(Backdoors!AI12+IF(IM102&gt;=0.45,VLOOKUP(Calculator!E23,tbSkills!DH3:DI6,2,FALSE)+IF(AND(Calculator!B8=TRUE,Backdoors!BI38=TRUE),VLOOKUP(Calculator!E23,tbSkills!DH3:DJ6,3,FALSE),0),0)))/100)),1))*IF(VLOOKUP(A102,tbMoveset!A2:K112,11,FALSE)=TRUE,Backdoors!AC5,1))*IN102,0),"")</f>
        <v>0</v>
      </c>
      <c r="IR102" s="49">
        <f>VLOOKUP(A102,tbMoveset!A2:G112,7,FALSE)*IFERROR(IF(Backdoors!AI12&gt;=0,1+(IF(Calculator!E40&gt;0,VLOOKUP(Calculator!E40,tbSkills!AI3:AJ5,2,FALSE),Backdoors!AL4)*(IF((Backdoors!AI12+IF(IM102&gt;=0.45,VLOOKUP(Calculator!E23,tbSkills!DH3:DI6,2,FALSE)+IF(AND(Calculator!B8=TRUE,Backdoors!BI38=TRUE),VLOOKUP(Calculator!E23,tbSkills!DH3:DJ6,3,FALSE),0),0))&gt;=100,100,(Backdoors!AI12+IF(IM102&gt;=0.45,VLOOKUP(Calculator!E23,tbSkills!DH3:DI6,2,FALSE)+IF(AND(Calculator!B8=TRUE,Backdoors!BI38=TRUE),VLOOKUP(Calculator!E23,tbSkills!DH3:DJ6,3,FALSE),0),0)))/100)),1),1)</f>
        <v>1</v>
      </c>
      <c r="IS102" s="87">
        <f t="shared" si="86"/>
        <v>0</v>
      </c>
      <c r="IT102" s="86" t="str">
        <f>IFERROR(IF(VLOOKUP(A102,tbMoveset!A2:B112,2,FALSE)="Sever",Backdoors!AY39/100,IF(VLOOKUP(A102,tbMoveset!A2:B112,2,FALSE)="Blunt",Backdoors!AZ39/100,Backdoors!BA39/100)),"")</f>
        <v/>
      </c>
      <c r="IU102" s="49">
        <f>IFERROR(IF(VLOOKUP(tbMoveset!A102,tbMoveset!A2:H112,8,FALSE)="Other",IF(VLOOKUP(tbMoveset!A102,tbMoveset!A2:I112,9,FALSE)="Fire",Backdoors!BB39,IF(VLOOKUP(tbMoveset!A102,tbMoveset!A2:I112,9,FALSE)="Water",Backdoors!BC39,IF(VLOOKUP(tbMoveset!A102,tbMoveset!A2:I112,9,FALSE)="Thunder",Backdoors!BD39,IF(VLOOKUP(tbMoveset!A102,tbMoveset!A2:I112,9,FALSE)="Ice",Backdoors!BE39,IF(VLOOKUP(tbMoveset!A102,tbMoveset!A2:I112,9,FALSE)="Dragon",Backdoors!BF39,Backdoors!BG39)))))/100,Backdoors!BG39/100),"")</f>
        <v>0</v>
      </c>
      <c r="IV102" s="49">
        <f>IFERROR(IF(VLOOKUP(A102,tbMoveset!A2:J112,10,FALSE)=TRUE,IF((Backdoors!AI12+IF(IT102&gt;=0.45,VLOOKUP(Calculator!E23,tbSkills!DH3:DI6,2,FALSE)+IF(AND(Calculator!B8=TRUE,Backdoors!BI39=TRUE),VLOOKUP(Calculator!E23,tbSkills!DH3:DJ6,3,FALSE),0),0))&gt;=0,1+(Backdoors!AL2*(IF((Backdoors!AI12+IF(IT102&gt;=0.45,VLOOKUP(Calculator!E23,tbSkills!DH3:DI6,2,FALSE)+IF(AND(Calculator!B8=TRUE,Backdoors!BI39=TRUE),VLOOKUP(Calculator!E23,tbSkills!DH3:DJ6,3,FALSE),0),0))&gt;=100,100,(Backdoors!AI12+IF(IT102&gt;=0.45,VLOOKUP(Calculator!E23,tbSkills!DH3:DI6,2,FALSE)+IF(AND(Calculator!B8=TRUE,Backdoors!BI39=TRUE),VLOOKUP(Calculator!E23,tbSkills!DH3:DJ6,3,FALSE),0),0)))/100)),(1-(0.25*((-Backdoors!AI12-IF(IT102&gt;=0.45,VLOOKUP(Calculator!E23,tbSkills!DH3:DI6,2,FALSE)+IF(AND(Calculator!B8=TRUE,Backdoors!BI39=TRUE),VLOOKUP(Calculator!E23,tbSkills!DH3:DJ6,3,FALSE),0),0))/100)))),1),"")</f>
        <v>1</v>
      </c>
      <c r="IW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T102)*IV102)*(VLOOKUP(A102,tbMoveset!A2:C112,3,FALSE)/100)*IF(VLOOKUP(A102,tbMoveset!A2:B112,2,FALSE)="Projectile",Backdoors!N10,Backdoors!N9),0),"")</f>
        <v/>
      </c>
      <c r="IX102" s="49">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40&gt;0,VLOOKUP(Calculator!E40,tbSkills!AC3:AD5,2,FALSE),Backdoors!AL3)*(IF((Backdoors!AI12+IF(IT102&gt;=0.45,VLOOKUP(Calculator!E23,tbSkills!DH3:DI6,2,FALSE)+IF(AND(Calculator!B8=TRUE,Backdoors!BI39=TRUE),VLOOKUP(Calculator!E23,tbSkills!DH3:DJ6,3,FALSE),0),0))&gt;=100,100,(Backdoors!AI12+IF(IT102&gt;=0.45,VLOOKUP(Calculator!E23,tbSkills!DH3:DI6,2,FALSE)+IF(AND(Calculator!B8=TRUE,Backdoors!BI39=TRUE),VLOOKUP(Calculator!E23,tbSkills!DH3:DJ6,3,FALSE),0),0)))/100)),1))*IF(VLOOKUP(A102,tbMoveset!A2:K112,11,FALSE)=TRUE,Backdoors!AC5,1))*IU102,0),"")</f>
        <v>0</v>
      </c>
      <c r="IY102" s="49">
        <f>VLOOKUP(A102,tbMoveset!A2:G112,7,FALSE)*IFERROR(IF(Backdoors!AI12&gt;=0,1+(IF(Calculator!E40&gt;0,VLOOKUP(Calculator!E40,tbSkills!AI3:AJ5,2,FALSE),Backdoors!AL4)*(IF((Backdoors!AI12+IF(IT102&gt;=0.45,VLOOKUP(Calculator!E23,tbSkills!DH3:DI6,2,FALSE)+IF(AND(Calculator!B8=TRUE,Backdoors!BI39=TRUE),VLOOKUP(Calculator!E23,tbSkills!DH3:DJ6,3,FALSE),0),0))&gt;=100,100,(Backdoors!AI12+IF(IT102&gt;=0.45,VLOOKUP(Calculator!E23,tbSkills!DH3:DI6,2,FALSE)+IF(AND(Calculator!B8=TRUE,Backdoors!BI39=TRUE),VLOOKUP(Calculator!E23,tbSkills!DH3:DJ6,3,FALSE),0),0)))/100)),1),1)</f>
        <v>1</v>
      </c>
      <c r="IZ102" s="87">
        <f t="shared" si="87"/>
        <v>0</v>
      </c>
      <c r="JA102" s="86" t="str">
        <f>IFERROR(IF(VLOOKUP(A102,tbMoveset!A2:B112,2,FALSE)="Sever",Backdoors!AY40/100,IF(VLOOKUP(A102,tbMoveset!A2:B112,2,FALSE)="Blunt",Backdoors!AZ40/100,Backdoors!BA40/100)),"")</f>
        <v/>
      </c>
      <c r="JB102" s="49">
        <f>IFERROR(IF(VLOOKUP(tbMoveset!A102,tbMoveset!A2:H112,8,FALSE)="Other",IF(VLOOKUP(tbMoveset!A102,tbMoveset!A2:I112,9,FALSE)="Fire",Backdoors!BB40,IF(VLOOKUP(tbMoveset!A102,tbMoveset!A2:I112,9,FALSE)="Water",Backdoors!BC40,IF(VLOOKUP(tbMoveset!A102,tbMoveset!A2:I112,9,FALSE)="Thunder",Backdoors!BD40,IF(VLOOKUP(tbMoveset!A102,tbMoveset!A2:I112,9,FALSE)="Ice",Backdoors!BE40,IF(VLOOKUP(tbMoveset!A102,tbMoveset!A2:I112,9,FALSE)="Dragon",Backdoors!BF40,Backdoors!BG40)))))/100,Backdoors!BG40/100),"")</f>
        <v>0</v>
      </c>
      <c r="JC102" s="49">
        <f>IFERROR(IF(VLOOKUP(A102,tbMoveset!A2:J112,10,FALSE)=TRUE,IF((Backdoors!AI12+IF(JA102&gt;=0.45,VLOOKUP(Calculator!E23,tbSkills!DH3:DI6,2,FALSE)+IF(AND(Calculator!B8=TRUE,Backdoors!BI40=TRUE),VLOOKUP(Calculator!E23,tbSkills!DH3:DJ6,3,FALSE),0),0))&gt;=0,1+(Backdoors!AL2*(IF((Backdoors!AI12+IF(JA102&gt;=0.45,VLOOKUP(Calculator!E23,tbSkills!DH3:DI6,2,FALSE)+IF(AND(Calculator!B8=TRUE,Backdoors!BI40=TRUE),VLOOKUP(Calculator!E23,tbSkills!DH3:DJ6,3,FALSE),0),0))&gt;=100,100,(Backdoors!AI12+IF(JA102&gt;=0.45,VLOOKUP(Calculator!E23,tbSkills!DH3:DI6,2,FALSE)+IF(AND(Calculator!B8=TRUE,Backdoors!BI40=TRUE),VLOOKUP(Calculator!E23,tbSkills!DH3:DJ6,3,FALSE),0),0)))/100)),(1-(0.25*((-Backdoors!AI12-IF(JA102&gt;=0.45,VLOOKUP(Calculator!E23,tbSkills!DH3:DI6,2,FALSE)+IF(AND(Calculator!B8=TRUE,Backdoors!BI40=TRUE),VLOOKUP(Calculator!E23,tbSkills!DH3:DJ6,3,FALSE),0),0))/100)))),1),"")</f>
        <v>1</v>
      </c>
      <c r="JD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A102)*JC102)*(VLOOKUP(A102,tbMoveset!A2:C112,3,FALSE)/100)*IF(VLOOKUP(A102,tbMoveset!A2:B112,2,FALSE)="Projectile",Backdoors!N10,Backdoors!N9),0),"")</f>
        <v/>
      </c>
      <c r="JE102" s="49">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42&gt;0,VLOOKUP(Calculator!E42,tbSkills!AC3:AD5,2,FALSE),Backdoors!AL3)*(IF((Backdoors!AI12+IF(JA102&gt;=0.45,VLOOKUP(Calculator!E23,tbSkills!DH3:DI6,2,FALSE)+IF(AND(Calculator!B8=TRUE,Backdoors!BI40=TRUE),VLOOKUP(Calculator!E23,tbSkills!DH3:DJ6,3,FALSE),0),0))&gt;=100,100,(Backdoors!AI12+IF(JA102&gt;=0.45,VLOOKUP(Calculator!E23,tbSkills!DH3:DI6,2,FALSE)+IF(AND(Calculator!B8=TRUE,Backdoors!BI40=TRUE),VLOOKUP(Calculator!E23,tbSkills!DH3:DJ6,3,FALSE),0),0)))/100)),1))*IF(VLOOKUP(A102,tbMoveset!A2:K112,11,FALSE)=TRUE,Backdoors!AC5,1))*JB102,0),"")</f>
        <v>0</v>
      </c>
      <c r="JF102" s="49">
        <f>VLOOKUP(A102,tbMoveset!A2:G112,7,FALSE)*IFERROR(IF(Backdoors!AI12&gt;=0,1+(IF(Calculator!E40&gt;0,VLOOKUP(Calculator!E40,tbSkills!AI3:AJ5,2,FALSE),Backdoors!AL4)*(IF((Backdoors!AI12+IF(JA102&gt;=0.45,VLOOKUP(Calculator!E23,tbSkills!DH3:DI6,2,FALSE)+IF(AND(Calculator!B8=TRUE,Backdoors!BI40=TRUE),VLOOKUP(Calculator!E23,tbSkills!DH3:DJ6,3,FALSE),0),0))&gt;=100,100,(Backdoors!AI12+IF(JA102&gt;=0.45,VLOOKUP(Calculator!E23,tbSkills!DH3:DI6,2,FALSE)+IF(AND(Calculator!B8=TRUE,Backdoors!BI40=TRUE),VLOOKUP(Calculator!E23,tbSkills!DH3:DJ6,3,FALSE),0),0)))/100)),1),1)</f>
        <v>1</v>
      </c>
      <c r="JG102" s="87">
        <f t="shared" si="88"/>
        <v>0</v>
      </c>
      <c r="JH102" s="86" t="str">
        <f>IFERROR(IF(VLOOKUP(A102,tbMoveset!A2:B112,2,FALSE)="Sever",Backdoors!AY41/100,IF(VLOOKUP(A102,tbMoveset!A2:B112,2,FALSE)="Blunt",Backdoors!AZ41/100,Backdoors!BA41/100)),"")</f>
        <v/>
      </c>
      <c r="JI102" s="49">
        <f>IFERROR(IF(VLOOKUP(tbMoveset!A102,tbMoveset!A2:H112,8,FALSE)="Other",IF(VLOOKUP(tbMoveset!A102,tbMoveset!A2:I112,9,FALSE)="Fire",Backdoors!BB41,IF(VLOOKUP(tbMoveset!A102,tbMoveset!A2:I112,9,FALSE)="Water",Backdoors!BC41,IF(VLOOKUP(tbMoveset!A102,tbMoveset!A2:I112,9,FALSE)="Thunder",Backdoors!BD41,IF(VLOOKUP(tbMoveset!A102,tbMoveset!A2:I112,9,FALSE)="Ice",Backdoors!BE41,IF(VLOOKUP(tbMoveset!A102,tbMoveset!A2:I112,9,FALSE)="Dragon",Backdoors!BF41,Backdoors!BG41)))))/100,Backdoors!BG41/100),"")</f>
        <v>0</v>
      </c>
      <c r="JJ102" s="49">
        <f>IFERROR(IF(VLOOKUP(A102,tbMoveset!A2:J112,10,FALSE)=TRUE,IF((Backdoors!AI12+IF(JH102&gt;=0.45,VLOOKUP(Calculator!E23,tbSkills!DH3:DI6,2,FALSE)+IF(AND(Calculator!B8=TRUE,Backdoors!BI41=TRUE),VLOOKUP(Calculator!E23,tbSkills!DH3:DJ6,3,FALSE),0),0))&gt;=0,1+(Backdoors!AL2*(IF((Backdoors!AI12+IF(JH102&gt;=0.45,VLOOKUP(Calculator!E23,tbSkills!DH3:DI6,2,FALSE)+IF(AND(Calculator!B8=TRUE,Backdoors!BI41=TRUE),VLOOKUP(Calculator!E23,tbSkills!DH3:DJ6,3,FALSE),0),0))&gt;=100,100,(Backdoors!AI12+IF(JH102&gt;=0.45,VLOOKUP(Calculator!E23,tbSkills!DH3:DI6,2,FALSE)+IF(AND(Calculator!B8=TRUE,Backdoors!BI41=TRUE),VLOOKUP(Calculator!E23,tbSkills!DH3:DJ6,3,FALSE),0),0)))/100)),(1-(0.25*((-Backdoors!AI12-IF(JH102&gt;=0.45,VLOOKUP(Calculator!E23,tbSkills!DH3:DI6,2,FALSE)+IF(AND(Calculator!B8=TRUE,Backdoors!BI41=TRUE),VLOOKUP(Calculator!E23,tbSkills!DH3:DJ6,3,FALSE),0),0))/100)))),1),"")</f>
        <v>1</v>
      </c>
      <c r="JK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H102)*JJ102)*(VLOOKUP(A102,tbMoveset!A2:C112,3,FALSE)/100)*IF(VLOOKUP(A102,tbMoveset!A2:B112,2,FALSE)="Projectile",Backdoors!N10,Backdoors!N9),0),"")</f>
        <v/>
      </c>
      <c r="JL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43&gt;0,VLOOKUP(Calculator!E43,tbSkills!AC3:AD5,2,FALSE),Backdoors!AL3)*(IF((Backdoors!AI12+IF(JH102&gt;=0.45,VLOOKUP(Calculator!E23,tbSkills!DH3:DI6,2,FALSE)+IF(AND(Calculator!B8=TRUE,Backdoors!BI41=TRUE),VLOOKUP(Calculator!E23,tbSkills!DH3:DJ6,3,FALSE),0),0))&gt;=100,100,(Backdoors!AI12+IF(JH102&gt;=0.45,VLOOKUP(Calculator!E23,tbSkills!DH3:DI6,2,FALSE)+IF(AND(Calculator!B8=TRUE,Backdoors!BI41=TRUE),VLOOKUP(Calculator!E23,tbSkills!DH3:DJ6,3,FALSE),0),0)))/100)),1))*IF(VLOOKUP(A102,tbMoveset!A2:K112,11,FALSE)=TRUE,Backdoors!AC5,1))*JI102,0),"")</f>
        <v/>
      </c>
      <c r="JM102" s="49">
        <f>VLOOKUP(A102,tbMoveset!A2:G112,7,FALSE)*IFERROR(IF(Backdoors!AI12&gt;=0,1+(IF(Calculator!E40&gt;0,VLOOKUP(Calculator!E40,tbSkills!AI3:AJ5,2,FALSE),Backdoors!AL4)*(IF((Backdoors!AI12+IF(JH102&gt;=0.45,VLOOKUP(Calculator!E23,tbSkills!DH3:DI6,2,FALSE)+IF(AND(Calculator!B8=TRUE,Backdoors!BI41=TRUE),VLOOKUP(Calculator!E23,tbSkills!DH3:DJ6,3,FALSE),0),0))&gt;=100,100,(Backdoors!AI12+IF(JH102&gt;=0.45,VLOOKUP(Calculator!E23,tbSkills!DH3:DI6,2,FALSE)+IF(AND(Calculator!B8=TRUE,Backdoors!BI41=TRUE),VLOOKUP(Calculator!E23,tbSkills!DH3:DJ6,3,FALSE),0),0)))/100)),1),1)</f>
        <v>1</v>
      </c>
      <c r="JN102" s="87">
        <f t="shared" si="89"/>
        <v>0</v>
      </c>
      <c r="JO102" s="86" t="str">
        <f>IFERROR(IF(VLOOKUP(A102,tbMoveset!A2:B112,2,FALSE)="Sever",Backdoors!AY42/100,IF(VLOOKUP(A102,tbMoveset!A2:B112,2,FALSE)="Blunt",Backdoors!AZ42/100,Backdoors!BA42/100)),"")</f>
        <v/>
      </c>
      <c r="JP102" s="49">
        <f>IFERROR(IF(VLOOKUP(tbMoveset!A102,tbMoveset!A2:H112,8,FALSE)="Other",IF(VLOOKUP(tbMoveset!A102,tbMoveset!A2:I112,9,FALSE)="Fire",Backdoors!BB42,IF(VLOOKUP(tbMoveset!A102,tbMoveset!A2:I112,9,FALSE)="Water",Backdoors!BC42,IF(VLOOKUP(tbMoveset!A102,tbMoveset!A2:I112,9,FALSE)="Thunder",Backdoors!BD42,IF(VLOOKUP(tbMoveset!A102,tbMoveset!A2:I112,9,FALSE)="Ice",Backdoors!BE42,IF(VLOOKUP(tbMoveset!A102,tbMoveset!A2:I112,9,FALSE)="Dragon",Backdoors!BF42,Backdoors!BG42)))))/100,Backdoors!BG42/100),"")</f>
        <v>0</v>
      </c>
      <c r="JQ102" s="49">
        <f>IFERROR(IF(VLOOKUP(A102,tbMoveset!A2:J112,10,FALSE)=TRUE,IF((Backdoors!AI12+IF(JO102&gt;=0.45,VLOOKUP(Calculator!E23,tbSkills!DH3:DI6,2,FALSE)+IF(AND(Calculator!B8=TRUE,Backdoors!BI42=TRUE),VLOOKUP(Calculator!E23,tbSkills!DH3:DJ6,3,FALSE),0),0))&gt;=0,1+(Backdoors!AL2*(IF((Backdoors!AI12+IF(JO102&gt;=0.45,VLOOKUP(Calculator!E23,tbSkills!DH3:DI6,2,FALSE)+IF(AND(Calculator!B8=TRUE,Backdoors!BI42=TRUE),VLOOKUP(Calculator!E23,tbSkills!DH3:DJ6,3,FALSE),0),0))&gt;=100,100,(Backdoors!AI12+IF(JO102&gt;=0.45,VLOOKUP(Calculator!E23,tbSkills!DH3:DI6,2,FALSE)+IF(AND(Calculator!B8=TRUE,Backdoors!BI42=TRUE),VLOOKUP(Calculator!E23,tbSkills!DH3:DJ6,3,FALSE),0),0)))/100)),(1-(0.25*((-Backdoors!AI12-IF(JO102&gt;=0.45,VLOOKUP(Calculator!E23,tbSkills!DH3:DI6,2,FALSE)+IF(AND(Calculator!B8=TRUE,Backdoors!BI42=TRUE),VLOOKUP(Calculator!E23,tbSkills!DH3:DJ6,3,FALSE),0),0))/100)))),1),"")</f>
        <v>1</v>
      </c>
      <c r="JR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O102)*JQ102)*(VLOOKUP(A102,tbMoveset!A2:C112,3,FALSE)/100)*IF(VLOOKUP(A102,tbMoveset!A2:B112,2,FALSE)="Projectile",Backdoors!N10,Backdoors!N9),0),"")</f>
        <v/>
      </c>
      <c r="JS102" s="49">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45&gt;0,VLOOKUP(Calculator!E45,tbSkills!AC3:AD5,2,FALSE),Backdoors!AL3)*(IF((Backdoors!AI12+IF(JO102&gt;=0.45,VLOOKUP(Calculator!E23,tbSkills!DH3:DI6,2,FALSE)+IF(AND(Calculator!B8=TRUE,Backdoors!BI42=TRUE),VLOOKUP(Calculator!E23,tbSkills!DH3:DJ6,3,FALSE),0),0))&gt;=100,100,(Backdoors!AI12+IF(JO102&gt;=0.45,VLOOKUP(Calculator!E23,tbSkills!DH3:DI6,2,FALSE)+IF(AND(Calculator!B8=TRUE,Backdoors!BI42=TRUE),VLOOKUP(Calculator!E23,tbSkills!DH3:DJ6,3,FALSE),0),0)))/100)),1))*IF(VLOOKUP(A102,tbMoveset!A2:K112,11,FALSE)=TRUE,Backdoors!AC5,1))*JP102,0),"")</f>
        <v>0</v>
      </c>
      <c r="JT102" s="49">
        <f>VLOOKUP(A102,tbMoveset!A2:G112,7,FALSE)*IFERROR(IF(Backdoors!AI12&gt;=0,1+(IF(Calculator!E40&gt;0,VLOOKUP(Calculator!E40,tbSkills!AI3:AJ5,2,FALSE),Backdoors!AL4)*(IF((Backdoors!AI12+IF(JO102&gt;=0.45,VLOOKUP(Calculator!E23,tbSkills!DH3:DI6,2,FALSE)+IF(AND(Calculator!B8=TRUE,Backdoors!BI42=TRUE),VLOOKUP(Calculator!E23,tbSkills!DH3:DJ6,3,FALSE),0),0))&gt;=100,100,(Backdoors!AI12+IF(JO102&gt;=0.45,VLOOKUP(Calculator!E23,tbSkills!DH3:DI6,2,FALSE)+IF(AND(Calculator!B8=TRUE,Backdoors!BI42=TRUE),VLOOKUP(Calculator!E23,tbSkills!DH3:DJ6,3,FALSE),0),0)))/100)),1),1)</f>
        <v>1</v>
      </c>
      <c r="JU102" s="87">
        <f t="shared" si="90"/>
        <v>0</v>
      </c>
      <c r="JV102" s="86" t="str">
        <f>IFERROR(IF(VLOOKUP(A102,tbMoveset!A2:B112,2,FALSE)="Sever",Backdoors!AY43/100,IF(VLOOKUP(A102,tbMoveset!A2:B112,2,FALSE)="Blunt",Backdoors!AZ43/100,Backdoors!BA43/100)),"")</f>
        <v/>
      </c>
      <c r="JW102" s="49">
        <f>IFERROR(IF(VLOOKUP(tbMoveset!A102,tbMoveset!A2:H112,8,FALSE)="Other",IF(VLOOKUP(tbMoveset!A102,tbMoveset!A2:I112,9,FALSE)="Fire",Backdoors!BB43,IF(VLOOKUP(tbMoveset!A102,tbMoveset!A2:I112,9,FALSE)="Water",Backdoors!BC43,IF(VLOOKUP(tbMoveset!A102,tbMoveset!A2:I112,9,FALSE)="Thunder",Backdoors!BD43,IF(VLOOKUP(tbMoveset!A102,tbMoveset!A2:I112,9,FALSE)="Ice",Backdoors!BE43,IF(VLOOKUP(tbMoveset!A102,tbMoveset!A2:I112,9,FALSE)="Dragon",Backdoors!BF43,Backdoors!BG43)))))/100,Backdoors!BG43/100),"")</f>
        <v>0</v>
      </c>
      <c r="JX102" s="49">
        <f>IFERROR(IF(VLOOKUP(A102,tbMoveset!A2:J112,10,FALSE)=TRUE,IF((Backdoors!AI12+IF(JV102&gt;=0.45,VLOOKUP(Calculator!E23,tbSkills!DH3:DI6,2,FALSE)+IF(AND(Calculator!B8=TRUE,Backdoors!BI43=TRUE),VLOOKUP(Calculator!E23,tbSkills!DH3:DJ6,3,FALSE),0),0))&gt;=0,1+(Backdoors!AL2*(IF((Backdoors!AI12+IF(JV102&gt;=0.45,VLOOKUP(Calculator!E23,tbSkills!DH3:DI6,2,FALSE)+IF(AND(Calculator!B8=TRUE,Backdoors!BI43=TRUE),VLOOKUP(Calculator!E23,tbSkills!DH3:DJ6,3,FALSE),0),0))&gt;=100,100,(Backdoors!AI12+IF(JV102&gt;=0.45,VLOOKUP(Calculator!E23,tbSkills!DH3:DI6,2,FALSE)+IF(AND(Calculator!B8=TRUE,Backdoors!BI43=TRUE),VLOOKUP(Calculator!E23,tbSkills!DH3:DJ6,3,FALSE),0),0)))/100)),(1-(0.25*((-Backdoors!AI12-IF(JV102&gt;=0.45,VLOOKUP(Calculator!E23,tbSkills!DH3:DI6,2,FALSE)+IF(AND(Calculator!B8=TRUE,Backdoors!BI43=TRUE),VLOOKUP(Calculator!E23,tbSkills!DH3:DJ6,3,FALSE),0),0))/100)))),1),"")</f>
        <v>1</v>
      </c>
      <c r="JY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V102)*JX102)*(VLOOKUP(A102,tbMoveset!A2:C112,3,FALSE)/100)*IF(VLOOKUP(A102,tbMoveset!A2:B112,2,FALSE)="Projectile",Backdoors!N10,Backdoors!N9),0),"")</f>
        <v/>
      </c>
      <c r="JZ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46&gt;0,VLOOKUP(Calculator!E46,tbSkills!AC3:AD5,2,FALSE),Backdoors!AL3)*(IF((Backdoors!AI12+IF(JV102&gt;=0.45,VLOOKUP(Calculator!E23,tbSkills!DH3:DI6,2,FALSE)+IF(AND(Calculator!B8=TRUE,Backdoors!BI43=TRUE),VLOOKUP(Calculator!E23,tbSkills!DH3:DJ6,3,FALSE),0),0))&gt;=100,100,(Backdoors!AI12+IF(JV102&gt;=0.45,VLOOKUP(Calculator!E23,tbSkills!DH3:DI6,2,FALSE)+IF(AND(Calculator!B8=TRUE,Backdoors!BI43=TRUE),VLOOKUP(Calculator!E23,tbSkills!DH3:DJ6,3,FALSE),0),0)))/100)),1))*IF(VLOOKUP(A102,tbMoveset!A2:K112,11,FALSE)=TRUE,Backdoors!AC5,1))*JW102,0),"")</f>
        <v/>
      </c>
      <c r="KA102" s="49">
        <f>VLOOKUP(A102,tbMoveset!A2:G112,7,FALSE)*IFERROR(IF(Backdoors!AI12&gt;=0,1+(IF(Calculator!E40&gt;0,VLOOKUP(Calculator!E40,tbSkills!AI3:AJ5,2,FALSE),Backdoors!AL4)*(IF((Backdoors!AI12+IF(JV102&gt;=0.45,VLOOKUP(Calculator!E23,tbSkills!DH3:DI6,2,FALSE)+IF(AND(Calculator!B8=TRUE,Backdoors!BI43=TRUE),VLOOKUP(Calculator!E23,tbSkills!DH3:DJ6,3,FALSE),0),0))&gt;=100,100,(Backdoors!AI12+IF(JV102&gt;=0.45,VLOOKUP(Calculator!E23,tbSkills!DH3:DI6,2,FALSE)+IF(AND(Calculator!B8=TRUE,Backdoors!BI43=TRUE),VLOOKUP(Calculator!E23,tbSkills!DH3:DJ6,3,FALSE),0),0)))/100)),1),1)</f>
        <v>1</v>
      </c>
      <c r="KB102" s="87">
        <f t="shared" si="91"/>
        <v>0</v>
      </c>
      <c r="KC102" s="86" t="str">
        <f>IFERROR(IF(VLOOKUP(A102,tbMoveset!A2:B112,2,FALSE)="Sever",Backdoors!AY44/100,IF(VLOOKUP(A102,tbMoveset!A2:B112,2,FALSE)="Blunt",Backdoors!AZ44/100,Backdoors!BA44/100)),"")</f>
        <v/>
      </c>
      <c r="KD102" s="49">
        <f>IFERROR(IF(VLOOKUP(tbMoveset!A102,tbMoveset!A2:H112,8,FALSE)="Other",IF(VLOOKUP(tbMoveset!A102,tbMoveset!A2:I112,9,FALSE)="Fire",Backdoors!BB44,IF(VLOOKUP(tbMoveset!A102,tbMoveset!A2:I112,9,FALSE)="Water",Backdoors!BC44,IF(VLOOKUP(tbMoveset!A102,tbMoveset!A2:I112,9,FALSE)="Thunder",Backdoors!BD44,IF(VLOOKUP(tbMoveset!A102,tbMoveset!A2:I112,9,FALSE)="Ice",Backdoors!BE44,IF(VLOOKUP(tbMoveset!A102,tbMoveset!A2:I112,9,FALSE)="Dragon",Backdoors!BF44,Backdoors!BG44)))))/100,Backdoors!BG44/100),"")</f>
        <v>0</v>
      </c>
      <c r="KE102" s="49">
        <f>IFERROR(IF(VLOOKUP(A102,tbMoveset!A2:J112,10,FALSE)=TRUE,IF((Backdoors!AI12+IF(KC102&gt;=0.45,VLOOKUP(Calculator!E23,tbSkills!DH3:DI6,2,FALSE)+IF(AND(Calculator!B8=TRUE,Backdoors!BI44=TRUE),VLOOKUP(Calculator!E23,tbSkills!DH3:DJ6,3,FALSE),0),0))&gt;=0,1+(Backdoors!AL2*(IF((Backdoors!AI12+IF(KC102&gt;=0.45,VLOOKUP(Calculator!E23,tbSkills!DH3:DI6,2,FALSE)+IF(AND(Calculator!B8=TRUE,Backdoors!BI44=TRUE),VLOOKUP(Calculator!E23,tbSkills!DH3:DJ6,3,FALSE),0),0))&gt;=100,100,(Backdoors!AI12+IF(KC102&gt;=0.45,VLOOKUP(Calculator!E23,tbSkills!DH3:DI6,2,FALSE)+IF(AND(Calculator!B8=TRUE,Backdoors!BI44=TRUE),VLOOKUP(Calculator!E23,tbSkills!DH3:DJ6,3,FALSE),0),0)))/100)),(1-(0.25*((-Backdoors!AI12-IF(KC102&gt;=0.45,VLOOKUP(Calculator!E23,tbSkills!DH3:DI6,2,FALSE)+IF(AND(Calculator!B8=TRUE,Backdoors!BI44=TRUE),VLOOKUP(Calculator!E23,tbSkills!DH3:DJ6,3,FALSE),0),0))/100)))),1),"")</f>
        <v>1</v>
      </c>
      <c r="KF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KC102)*KE102)*(VLOOKUP(A102,tbMoveset!A2:C112,3,FALSE)/100)*IF(VLOOKUP(A102,tbMoveset!A2:B112,2,FALSE)="Projectile",Backdoors!N10,Backdoors!N9),0),"")</f>
        <v/>
      </c>
      <c r="KG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REF!&gt;0,VLOOKUP(Calculator!#REF!,tbSkills!AC3:AD5,2,FALSE),Backdoors!AL3)*(IF((Backdoors!AI12+IF(KC102&gt;=0.45,VLOOKUP(Calculator!E23,tbSkills!DH3:DI6,2,FALSE)+IF(AND(Calculator!B8=TRUE,Backdoors!BI44=TRUE),VLOOKUP(Calculator!E23,tbSkills!DH3:DJ6,3,FALSE),0),0))&gt;=100,100,(Backdoors!AI12+IF(KC102&gt;=0.45,VLOOKUP(Calculator!E23,tbSkills!DH3:DI6,2,FALSE)+IF(AND(Calculator!B8=TRUE,Backdoors!BI44=TRUE),VLOOKUP(Calculator!E23,tbSkills!DH3:DJ6,3,FALSE),0),0)))/100)),1))*IF(VLOOKUP(A102,tbMoveset!A2:K112,11,FALSE)=TRUE,Backdoors!AC5,1))*KD102,0),"")</f>
        <v/>
      </c>
      <c r="KH102" s="49">
        <f>VLOOKUP(A102,tbMoveset!A2:G112,7,FALSE)*IFERROR(IF(Backdoors!AI12&gt;=0,1+(IF(Calculator!E40&gt;0,VLOOKUP(Calculator!E40,tbSkills!AI3:AJ5,2,FALSE),Backdoors!AL4)*(IF((Backdoors!AI12+IF(KC102&gt;=0.45,VLOOKUP(Calculator!E23,tbSkills!DH3:DI6,2,FALSE)+IF(AND(Calculator!B8=TRUE,Backdoors!BI44=TRUE),VLOOKUP(Calculator!E23,tbSkills!DH3:DJ6,3,FALSE),0),0))&gt;=100,100,(Backdoors!AI12+IF(KC102&gt;=0.45,VLOOKUP(Calculator!E23,tbSkills!DH3:DI6,2,FALSE)+IF(AND(Calculator!B8=TRUE,Backdoors!BI44=TRUE),VLOOKUP(Calculator!E23,tbSkills!DH3:DJ6,3,FALSE),0),0)))/100)),1),1)</f>
        <v>1</v>
      </c>
      <c r="KI102" s="87">
        <f t="shared" si="92"/>
        <v>0</v>
      </c>
      <c r="KJ102" s="86" t="str">
        <f>IFERROR(IF(VLOOKUP(A102,tbMoveset!A2:B112,2,FALSE)="Sever",Backdoors!AY45/100,IF(VLOOKUP(A102,tbMoveset!A2:B112,2,FALSE)="Blunt",Backdoors!AZ45/100,Backdoors!BA45/100)),"")</f>
        <v/>
      </c>
      <c r="KK102" s="49">
        <f>IFERROR(IF(VLOOKUP(tbMoveset!A102,tbMoveset!A2:H112,8,FALSE)="Other",IF(VLOOKUP(tbMoveset!A102,tbMoveset!A2:I112,9,FALSE)="Fire",Backdoors!BB45,IF(VLOOKUP(tbMoveset!A102,tbMoveset!A2:I112,9,FALSE)="Water",Backdoors!BC45,IF(VLOOKUP(tbMoveset!A102,tbMoveset!A2:I112,9,FALSE)="Thunder",Backdoors!BD45,IF(VLOOKUP(tbMoveset!A102,tbMoveset!A2:I112,9,FALSE)="Ice",Backdoors!BE45,IF(VLOOKUP(tbMoveset!A102,tbMoveset!A2:I112,9,FALSE)="Dragon",Backdoors!BF45,Backdoors!BG45)))))/100,Backdoors!BG45/100),"")</f>
        <v>0</v>
      </c>
      <c r="KL102" s="49">
        <f>IFERROR(IF(VLOOKUP(A102,tbMoveset!A2:J112,10,FALSE)=TRUE,IF((Backdoors!AI12+IF(KJ102&gt;=0.45,VLOOKUP(Calculator!E23,tbSkills!DH3:DI6,2,FALSE)+IF(AND(Calculator!B8=TRUE,Backdoors!BI45=TRUE),VLOOKUP(Calculator!E23,tbSkills!DH3:DJ6,3,FALSE),0),0))&gt;=0,1+(Backdoors!AL2*(IF((Backdoors!AI12+IF(KJ102&gt;=0.45,VLOOKUP(Calculator!E23,tbSkills!DH3:DI6,2,FALSE)+IF(AND(Calculator!B8=TRUE,Backdoors!BI45=TRUE),VLOOKUP(Calculator!E23,tbSkills!DH3:DJ6,3,FALSE),0),0))&gt;=100,100,(Backdoors!AI12+IF(KJ102&gt;=0.45,VLOOKUP(Calculator!E23,tbSkills!DH3:DI6,2,FALSE)+IF(AND(Calculator!B8=TRUE,Backdoors!BI45=TRUE),VLOOKUP(Calculator!E23,tbSkills!DH3:DJ6,3,FALSE),0),0)))/100)),(1-(0.25*((-Backdoors!AI12-IF(KJ102&gt;=0.45,VLOOKUP(Calculator!E23,tbSkills!DH3:DI6,2,FALSE)+IF(AND(Calculator!B8=TRUE,Backdoors!BI45=TRUE),VLOOKUP(Calculator!E23,tbSkills!DH3:DJ6,3,FALSE),0),0))/100)))),1),"")</f>
        <v>1</v>
      </c>
      <c r="KM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KJ102)*KL102)*(VLOOKUP(A102,tbMoveset!A2:C112,3,FALSE)/100)*IF(VLOOKUP(A102,tbMoveset!A2:B112,2,FALSE)="Projectile",Backdoors!N10,Backdoors!N9),0),"")</f>
        <v/>
      </c>
      <c r="KN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REF!&gt;0,VLOOKUP(Calculator!#REF!,tbSkills!AC3:AD5,2,FALSE),Backdoors!AL3)*(IF((Backdoors!AI12+IF(KJ102&gt;=0.45,VLOOKUP(Calculator!E23,tbSkills!DH3:DI6,2,FALSE)+IF(AND(Calculator!B8=TRUE,Backdoors!BI45=TRUE),VLOOKUP(Calculator!E23,tbSkills!DH3:DJ6,3,FALSE),0),0))&gt;=100,100,(Backdoors!AI12+IF(KJ102&gt;=0.45,VLOOKUP(Calculator!E23,tbSkills!DH3:DI6,2,FALSE)+IF(AND(Calculator!B8=TRUE,Backdoors!BI45=TRUE),VLOOKUP(Calculator!E23,tbSkills!DH3:DJ6,3,FALSE),0),0)))/100)),1))*IF(VLOOKUP(A102,tbMoveset!A2:K112,11,FALSE)=TRUE,Backdoors!AC5,1))*KK102,0),"")</f>
        <v/>
      </c>
      <c r="KO102" s="49">
        <f>VLOOKUP(A102,tbMoveset!A2:G112,7,FALSE)*IFERROR(IF(Backdoors!AI12&gt;=0,1+(IF(Calculator!E40&gt;0,VLOOKUP(Calculator!E40,tbSkills!AI3:AJ5,2,FALSE),Backdoors!AL4)*(IF((Backdoors!AI12+IF(KJ102&gt;=0.45,VLOOKUP(Calculator!E23,tbSkills!DH3:DI6,2,FALSE)+IF(AND(Calculator!B8=TRUE,Backdoors!BI45=TRUE),VLOOKUP(Calculator!E23,tbSkills!DH3:DJ6,3,FALSE),0),0))&gt;=100,100,(Backdoors!AI12+IF(KJ102&gt;=0.45,VLOOKUP(Calculator!E23,tbSkills!DH3:DI6,2,FALSE)+IF(AND(Calculator!B8=TRUE,Backdoors!BI45=TRUE),VLOOKUP(Calculator!E23,tbSkills!DH3:DJ6,3,FALSE),0),0)))/100)),1),1)</f>
        <v>1</v>
      </c>
      <c r="KP102" s="87">
        <f t="shared" si="93"/>
        <v>0</v>
      </c>
      <c r="KQ102" s="86" t="str">
        <f>IFERROR(IF(VLOOKUP(A102,tbMoveset!A2:B112,2,FALSE)="Sever",Backdoors!AY46/100,IF(VLOOKUP(A102,tbMoveset!A2:B112,2,FALSE)="Blunt",Backdoors!AZ46/100,Backdoors!BA46/100)),"")</f>
        <v/>
      </c>
      <c r="KR102" s="49">
        <f>IFERROR(IF(VLOOKUP(tbMoveset!A102,tbMoveset!A2:H112,8,FALSE)="Other",IF(VLOOKUP(tbMoveset!A102,tbMoveset!A2:I112,9,FALSE)="Fire",Backdoors!BB46,IF(VLOOKUP(tbMoveset!A102,tbMoveset!A2:I112,9,FALSE)="Water",Backdoors!BC46,IF(VLOOKUP(tbMoveset!A102,tbMoveset!A2:I112,9,FALSE)="Thunder",Backdoors!BD46,IF(VLOOKUP(tbMoveset!A102,tbMoveset!A2:I112,9,FALSE)="Ice",Backdoors!BE46,IF(VLOOKUP(tbMoveset!A102,tbMoveset!A2:I112,9,FALSE)="Dragon",Backdoors!BF46,Backdoors!BG46)))))/100,Backdoors!BG46/100),"")</f>
        <v>0</v>
      </c>
      <c r="KS102" s="49">
        <f>IFERROR(IF(VLOOKUP(A102,tbMoveset!A2:J112,10,FALSE)=TRUE,IF((Backdoors!AI12+IF(KQ102&gt;=0.45,VLOOKUP(Calculator!E23,tbSkills!DH3:DI6,2,FALSE)+IF(AND(Calculator!B8=TRUE,Backdoors!BI46=TRUE),VLOOKUP(Calculator!E23,tbSkills!DH3:DJ6,3,FALSE),0),0))&gt;=0,1+(Backdoors!AL2*(IF((Backdoors!AI12+IF(KQ102&gt;=0.45,VLOOKUP(Calculator!E23,tbSkills!DH3:DI6,2,FALSE)+IF(AND(Calculator!B8=TRUE,Backdoors!BI46=TRUE),VLOOKUP(Calculator!E23,tbSkills!DH3:DJ6,3,FALSE),0),0))&gt;=100,100,(Backdoors!AI12+IF(KQ102&gt;=0.45,VLOOKUP(Calculator!E23,tbSkills!DH3:DI6,2,FALSE)+IF(AND(Calculator!B8=TRUE,Backdoors!BI46=TRUE),VLOOKUP(Calculator!E23,tbSkills!DH3:DJ6,3,FALSE),0),0)))/100)),(1-(0.25*((-Backdoors!AI12-IF(KQ102&gt;=0.45,VLOOKUP(Calculator!E23,tbSkills!DH3:DI6,2,FALSE)+IF(AND(Calculator!B8=TRUE,Backdoors!BI46=TRUE),VLOOKUP(Calculator!E23,tbSkills!DH3:DJ6,3,FALSE),0),0))/100)))),1),"")</f>
        <v>1</v>
      </c>
      <c r="KT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KQ102)*KS102)*(VLOOKUP(A102,tbMoveset!A2:C112,3,FALSE)/100)*IF(VLOOKUP(A102,tbMoveset!A2:B112,2,FALSE)="Projectile",Backdoors!N10,Backdoors!N9),0),"")</f>
        <v/>
      </c>
      <c r="KU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REF!&gt;0,VLOOKUP(Calculator!#REF!,tbSkills!AC3:AD5,2,FALSE),Backdoors!AL3)*(IF((Backdoors!AI12+IF(KQ102&gt;=0.45,VLOOKUP(Calculator!E23,tbSkills!DH3:DI6,2,FALSE)+IF(AND(Calculator!B8=TRUE,Backdoors!BI46=TRUE),VLOOKUP(Calculator!E23,tbSkills!DH3:DJ6,3,FALSE),0),0))&gt;=100,100,(Backdoors!AI12+IF(KQ102&gt;=0.45,VLOOKUP(Calculator!E23,tbSkills!DH3:DI6,2,FALSE)+IF(AND(Calculator!B8=TRUE,Backdoors!BI46=TRUE),VLOOKUP(Calculator!E23,tbSkills!DH3:DJ6,3,FALSE),0),0)))/100)),1))*IF(VLOOKUP(A102,tbMoveset!A2:K112,11,FALSE)=TRUE,Backdoors!AC5,1))*KR102,0),"")</f>
        <v/>
      </c>
      <c r="KV102" s="49">
        <f>VLOOKUP(A102,tbMoveset!A2:G112,7,FALSE)*IFERROR(IF(Backdoors!AI12&gt;=0,1+(IF(Calculator!E40&gt;0,VLOOKUP(Calculator!E40,tbSkills!AI3:AJ5,2,FALSE),Backdoors!AL4)*(IF((Backdoors!AI12+IF(KQ102&gt;=0.45,VLOOKUP(Calculator!E23,tbSkills!DH3:DI6,2,FALSE)+IF(AND(Calculator!B8=TRUE,Backdoors!BI46=TRUE),VLOOKUP(Calculator!E23,tbSkills!DH3:DJ6,3,FALSE),0),0))&gt;=100,100,(Backdoors!AI12+IF(KQ102&gt;=0.45,VLOOKUP(Calculator!E23,tbSkills!DH3:DI6,2,FALSE)+IF(AND(Calculator!B8=TRUE,Backdoors!BI46=TRUE),VLOOKUP(Calculator!E23,tbSkills!DH3:DJ6,3,FALSE),0),0)))/100)),1),1)</f>
        <v>1</v>
      </c>
      <c r="KW102" s="87">
        <f t="shared" si="94"/>
        <v>0</v>
      </c>
    </row>
    <row r="103" spans="1:309" x14ac:dyDescent="0.25">
      <c r="A103" s="95" t="str">
        <f>tbMoveset!A103</f>
        <v>[Mounting] Demon Flurry (R2)</v>
      </c>
      <c r="B103" s="86">
        <f>IFERROR(IF(VLOOKUP(A103,tbMoveset!A2:B112,2,FALSE)="Sever",Backdoors!AY3/100,IF(VLOOKUP(A103,tbMoveset!A2:B112,2,FALSE)="Blunt",Backdoors!AZ3/100,Backdoors!BA3/100)),"")</f>
        <v>0.8</v>
      </c>
      <c r="C103" s="49">
        <f>IFERROR(IF(VLOOKUP(tbMoveset!A103,tbMoveset!A2:H112,8,FALSE)="Other",IF(VLOOKUP(tbMoveset!A103,tbMoveset!A2:I112,9,FALSE)="Fire",Backdoors!BB3,IF(VLOOKUP(tbMoveset!A103,tbMoveset!A2:I112,9,FALSE)="Water",Backdoors!BC3,IF(VLOOKUP(tbMoveset!A103,tbMoveset!A2:I112,9,FALSE)="Thunder",Backdoors!BD3,IF(VLOOKUP(tbMoveset!A103,tbMoveset!A2:I112,9,FALSE)="Ice",Backdoors!BE3,IF(VLOOKUP(tbMoveset!A103,tbMoveset!A2:I112,9,FALSE)="Dragon",Backdoors!BF3,Backdoors!BG3)))))/100,Backdoors!BG3/100),"")</f>
        <v>0</v>
      </c>
      <c r="D103" s="49">
        <f>IFERROR(IF(VLOOKUP(A103,tbMoveset!A2:J112,10,FALSE)=TRUE,IF((Backdoors!AI12+IF(B103&gt;=0.45,VLOOKUP(Calculator!E23,tbSkills!DH3:DI6,2,FALSE)+IF(AND(Calculator!B8=TRUE,Backdoors!BI3=TRUE),VLOOKUP(Calculator!E23,tbSkills!DH3:DJ6,3,FALSE),0),0))&gt;=0,1+(Backdoors!AL2*(IF((Backdoors!AI12+IF(B103&gt;=0.45,VLOOKUP(Calculator!E23,tbSkills!DH3:DI6,2,FALSE)+IF(AND(Calculator!B8=TRUE,Backdoors!BI3=TRUE),VLOOKUP(Calculator!E23,tbSkills!DH3:DJ6,3,FALSE),0),0))&gt;=100,100,(Backdoors!AI12+IF(B103&gt;=0.45,VLOOKUP(Calculator!E23,tbSkills!DH3:DI6,2,FALSE)+IF(AND(Calculator!B8=TRUE,Backdoors!BI3=TRUE),VLOOKUP(Calculator!E23,tbSkills!DH3:DJ6,3,FALSE),0),0)))/100)),(1-(0.25*((-Backdoors!AI12-IF(B103&gt;=0.45,VLOOKUP(Calculator!E23,tbSkills!DH3:DI6,2,FALSE)+IF(AND(Calculator!B8=TRUE,Backdoors!BI3=TRUE),VLOOKUP(Calculator!E23,tbSkills!DH3:DJ6,3,FALSE),0),0))/100)))),1),"")</f>
        <v>1</v>
      </c>
      <c r="E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103)*D103)*(VLOOKUP(A103,tbMoveset!A2:C112,3,FALSE)/100)*IF(VLOOKUP(A103,tbMoveset!A2:B112,2,FALSE)="Projectile",Backdoors!N10,Backdoors!N9),0),"")</f>
        <v>7</v>
      </c>
      <c r="F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103&gt;=0.45,VLOOKUP(Calculator!E23,tbSkills!DH3:DI6,2,FALSE)+IF(AND(Calculator!B8=TRUE,Backdoors!BI3=TRUE),VLOOKUP(Calculator!E23,tbSkills!DH3:DJ6,3,FALSE),0),0))&gt;=100,100,(Backdoors!AI12+IF(B103&gt;=0.45,VLOOKUP(Calculator!E23,tbSkills!DH3:DI6,2,FALSE)+IF(AND(Calculator!B8=TRUE,Backdoors!BI3=TRUE),VLOOKUP(Calculator!E23,tbSkills!DH3:DJ6,3,FALSE),0),0)))/100)),1))*IF(VLOOKUP(A103,tbMoveset!A2:K112,11,FALSE)=TRUE,Backdoors!AC5,1))*C103,0),"")</f>
        <v>0</v>
      </c>
      <c r="G103">
        <f>VLOOKUP(A103,tbMoveset!A2:G112,7,FALSE)*IFERROR(IF(Backdoors!AI12&gt;=0,1+(IF(Calculator!E40&gt;0,VLOOKUP(Calculator!E40,tbSkills!AI3:AJ5,2,FALSE),Backdoors!AL4)*(IF((Backdoors!AI12+IF(B103&gt;=0.45,VLOOKUP(Calculator!E23,tbSkills!DH3:DI6,2,FALSE)+IF(AND(Calculator!B8=TRUE,Backdoors!BI3=TRUE),VLOOKUP(Calculator!E23,tbSkills!DH3:DJ6,3,FALSE),0),0))&gt;=100,100,(Backdoors!AI12+IF(B103&gt;=0.45,VLOOKUP(Calculator!E23,tbSkills!DH3:DI6,2,FALSE)+IF(AND(Calculator!B8=TRUE,Backdoors!BI3=TRUE),VLOOKUP(Calculator!E23,tbSkills!DH3:DJ6,3,FALSE),0),0)))/100)),1),1)</f>
        <v>0.4</v>
      </c>
      <c r="H103" s="87">
        <f t="shared" si="95"/>
        <v>7</v>
      </c>
      <c r="I103" s="86">
        <f>IFERROR(IF(VLOOKUP(A103,tbMoveset!A2:B112,2,FALSE)="Sever",Backdoors!AY4/100,IF(VLOOKUP(A103,tbMoveset!A2:B112,2,FALSE)="Blunt",Backdoors!AZ4/100,Backdoors!BA4/100)),"")</f>
        <v>0.65</v>
      </c>
      <c r="J103" s="49">
        <f>IFERROR(IF(VLOOKUP(tbMoveset!A103,tbMoveset!A2:H112,8,FALSE)="Other",IF(VLOOKUP(tbMoveset!A103,tbMoveset!A2:I112,9,FALSE)="Fire",Backdoors!BB4,IF(VLOOKUP(tbMoveset!A103,tbMoveset!A2:I112,9,FALSE)="Water",Backdoors!BC4,IF(VLOOKUP(tbMoveset!A103,tbMoveset!A2:I112,9,FALSE)="Thunder",Backdoors!BD4,IF(VLOOKUP(tbMoveset!A103,tbMoveset!A2:I112,9,FALSE)="Ice",Backdoors!BE4,IF(VLOOKUP(tbMoveset!A103,tbMoveset!A2:I112,9,FALSE)="Dragon",Backdoors!BF4,Backdoors!BG4)))))/100,Backdoors!BG4/100),"")</f>
        <v>0</v>
      </c>
      <c r="K103" s="49">
        <f>IFERROR(IF(VLOOKUP(A103,tbMoveset!A2:J112,10,FALSE)=TRUE,IF((Backdoors!AI12+IF(I103&gt;=0.45,VLOOKUP(Calculator!E23,tbSkills!DH3:DI6,2,FALSE)+IF(AND(Calculator!B8=TRUE,Backdoors!BI4=TRUE),VLOOKUP(Calculator!E23,tbSkills!DH3:DJ6,3,FALSE),0),0))&gt;=0,1+(Backdoors!AL2*(IF((Backdoors!AI12+IF(I103&gt;=0.45,VLOOKUP(Calculator!E23,tbSkills!DH3:DI6,2,FALSE)+IF(AND(Calculator!B8=TRUE,Backdoors!BI4=TRUE),VLOOKUP(Calculator!E23,tbSkills!DH3:DJ6,3,FALSE),0),0))&gt;=100,100,(Backdoors!AI12+IF(I103&gt;=0.45,VLOOKUP(Calculator!E23,tbSkills!DH3:DI6,2,FALSE)+IF(AND(Calculator!B8=TRUE,Backdoors!BI4=TRUE),VLOOKUP(Calculator!E23,tbSkills!DH3:DJ6,3,FALSE),0),0)))/100)),(1-(0.25*((-Backdoors!AI12-IF(I103&gt;=0.45,VLOOKUP(Calculator!E23,tbSkills!DH3:DI6,2,FALSE)+IF(AND(Calculator!B8=TRUE,Backdoors!BI4=TRUE),VLOOKUP(Calculator!E23,tbSkills!DH3:DJ6,3,FALSE),0),0))/100)))),1),"")</f>
        <v>1</v>
      </c>
      <c r="L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103)*K103)*(VLOOKUP(A103,tbMoveset!A2:C112,3,FALSE)/100)*IF(VLOOKUP(A103,tbMoveset!A2:B112,2,FALSE)="Projectile",Backdoors!N10,Backdoors!N9),0),"")</f>
        <v>5</v>
      </c>
      <c r="M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I103&gt;=0.45,VLOOKUP(Calculator!E23,tbSkills!DH3:DI6,2,FALSE)+IF(AND(Calculator!B8=TRUE,Backdoors!BI4=TRUE),VLOOKUP(Calculator!E23,tbSkills!DH3:DJ6,3,FALSE),0),0))&gt;=100,100,(Backdoors!AI12+IF(I103&gt;=0.45,VLOOKUP(Calculator!E23,tbSkills!DH3:DI6,2,FALSE)+IF(AND(Calculator!B8=TRUE,Backdoors!BI4=TRUE),VLOOKUP(Calculator!E23,tbSkills!DH3:DJ6,3,FALSE),0),0)))/100)),1))*IF(VLOOKUP(A103,tbMoveset!A2:K112,11,FALSE)=TRUE,Backdoors!AC5,1))*J103,0),"")</f>
        <v>0</v>
      </c>
      <c r="N103" s="49">
        <f>VLOOKUP(A103,tbMoveset!A2:G112,7,FALSE)*IFERROR(IF(Backdoors!AI12&gt;=0,1+(IF(Calculator!E40&gt;0,VLOOKUP(Calculator!E40,tbSkills!AI3:AJ5,2,FALSE),Backdoors!AL4)*(IF((Backdoors!AI12+IF(I103&gt;=0.45,VLOOKUP(Calculator!E23,tbSkills!DH3:DI6,2,FALSE)+IF(AND(Calculator!B8=TRUE,Backdoors!BI4=TRUE),VLOOKUP(Calculator!E23,tbSkills!DH3:DJ6,3,FALSE),0),0))&gt;=100,100,(Backdoors!AI12+IF(I103&gt;=0.45,VLOOKUP(Calculator!E23,tbSkills!DH3:DI6,2,FALSE)+IF(AND(Calculator!B8=TRUE,Backdoors!BI4=TRUE),VLOOKUP(Calculator!E23,tbSkills!DH3:DJ6,3,FALSE),0),0)))/100)),1),1)</f>
        <v>0.4</v>
      </c>
      <c r="O103" s="87">
        <f t="shared" si="96"/>
        <v>5</v>
      </c>
      <c r="P103" s="86">
        <f>IFERROR(IF(VLOOKUP(A103,tbMoveset!A2:B112,2,FALSE)="Sever",Backdoors!AY5/100,IF(VLOOKUP(A103,tbMoveset!A2:B112,2,FALSE)="Blunt",Backdoors!AZ5/100,Backdoors!BA5/100)),"")</f>
        <v>0.5</v>
      </c>
      <c r="Q103" s="49">
        <f>IFERROR(IF(VLOOKUP(tbMoveset!A103,tbMoveset!A2:H112,8,FALSE)="Other",IF(VLOOKUP(tbMoveset!A103,tbMoveset!A2:I112,9,FALSE)="Fire",Backdoors!BB5,IF(VLOOKUP(tbMoveset!A103,tbMoveset!A2:I112,9,FALSE)="Water",Backdoors!BC5,IF(VLOOKUP(tbMoveset!A103,tbMoveset!A2:I112,9,FALSE)="Thunder",Backdoors!BD5,IF(VLOOKUP(tbMoveset!A103,tbMoveset!A2:I112,9,FALSE)="Ice",Backdoors!BE5,IF(VLOOKUP(tbMoveset!A103,tbMoveset!A2:I112,9,FALSE)="Dragon",Backdoors!BF5,Backdoors!BG5)))))/100,Backdoors!BG5/100),"")</f>
        <v>0</v>
      </c>
      <c r="R103" s="49">
        <f>IFERROR(IF(VLOOKUP(A103,tbMoveset!A2:J112,10,FALSE)=TRUE,IF((Backdoors!AI12+IF(P103&gt;=0.45,VLOOKUP(Calculator!E23,tbSkills!DH3:DI6,2,FALSE)+IF(AND(Calculator!B8=TRUE,Backdoors!BI5=TRUE),VLOOKUP(Calculator!E23,tbSkills!DH3:DJ6,3,FALSE),0),0))&gt;=0,1+(Backdoors!AL2*(IF((Backdoors!AI12+IF(P103&gt;=0.45,VLOOKUP(Calculator!E23,tbSkills!DH3:DI6,2,FALSE)+IF(AND(Calculator!B8=TRUE,Backdoors!BI5=TRUE),VLOOKUP(Calculator!E23,tbSkills!DH3:DJ6,3,FALSE),0),0))&gt;=100,100,(Backdoors!AI12+IF(P103&gt;=0.45,VLOOKUP(Calculator!E23,tbSkills!DH3:DI6,2,FALSE)+IF(AND(Calculator!B8=TRUE,Backdoors!BI5=TRUE),VLOOKUP(Calculator!E23,tbSkills!DH3:DJ6,3,FALSE),0),0)))/100)),(1-(0.25*((-Backdoors!AI12-IF(P103&gt;=0.45,VLOOKUP(Calculator!E23,tbSkills!DH3:DI6,2,FALSE)+IF(AND(Calculator!B8=TRUE,Backdoors!BI5=TRUE),VLOOKUP(Calculator!E23,tbSkills!DH3:DJ6,3,FALSE),0),0))/100)))),1),"")</f>
        <v>1</v>
      </c>
      <c r="S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P103)*R103)*(VLOOKUP(A103,tbMoveset!A2:C112,3,FALSE)/100)*IF(VLOOKUP(A103,tbMoveset!A2:B112,2,FALSE)="Projectile",Backdoors!N10,Backdoors!N9),0),"")</f>
        <v>4</v>
      </c>
      <c r="T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P103&gt;=0.45,VLOOKUP(Calculator!E23,tbSkills!DH3:DI6,2,FALSE)+IF(AND(Calculator!B8=TRUE,Backdoors!BI5=TRUE),VLOOKUP(Calculator!E23,tbSkills!DH3:DJ6,3,FALSE),0),0))&gt;=100,100,(Backdoors!AI12+IF(P103&gt;=0.45,VLOOKUP(Calculator!E23,tbSkills!DH3:DI6,2,FALSE)+IF(AND(Calculator!B8=TRUE,Backdoors!BI5=TRUE),VLOOKUP(Calculator!E23,tbSkills!DH3:DJ6,3,FALSE),0),0)))/100)),1))*IF(VLOOKUP(A103,tbMoveset!A2:K112,11,FALSE)=TRUE,Backdoors!AC5,1))*Q103,0),"")</f>
        <v>0</v>
      </c>
      <c r="U103" s="49">
        <f>VLOOKUP(A103,tbMoveset!A2:G112,7,FALSE)*IFERROR(IF(Backdoors!AI12&gt;=0,1+(IF(Calculator!E40&gt;0,VLOOKUP(Calculator!E40,tbSkills!AI3:AJ5,2,FALSE),Backdoors!AL4)*(IF((Backdoors!AI12+IF(P103&gt;=0.45,VLOOKUP(Calculator!E23,tbSkills!DH3:DI6,2,FALSE)+IF(AND(Calculator!B8=TRUE,Backdoors!BI5=TRUE),VLOOKUP(Calculator!E23,tbSkills!DH3:DJ6,3,FALSE),0),0))&gt;=100,100,(Backdoors!AI12+IF(P103&gt;=0.45,VLOOKUP(Calculator!E23,tbSkills!DH3:DI6,2,FALSE)+IF(AND(Calculator!B8=TRUE,Backdoors!BI5=TRUE),VLOOKUP(Calculator!E23,tbSkills!DH3:DJ6,3,FALSE),0),0)))/100)),1),1)</f>
        <v>0.4</v>
      </c>
      <c r="V103" s="87">
        <f t="shared" si="53"/>
        <v>4</v>
      </c>
      <c r="W103" s="86">
        <f>IFERROR(IF(VLOOKUP(A103,tbMoveset!A2:B112,2,FALSE)="Sever",Backdoors!AY6/100,IF(VLOOKUP(A103,tbMoveset!A2:B112,2,FALSE)="Blunt",Backdoors!AZ6/100,Backdoors!BA6/100)),"")</f>
        <v>0.45</v>
      </c>
      <c r="X103" s="49">
        <f>IFERROR(IF(VLOOKUP(tbMoveset!A103,tbMoveset!A2:H112,8,FALSE)="Other",IF(VLOOKUP(tbMoveset!A103,tbMoveset!A2:I112,9,FALSE)="Fire",Backdoors!BB6,IF(VLOOKUP(tbMoveset!A103,tbMoveset!A2:I112,9,FALSE)="Water",Backdoors!BC6,IF(VLOOKUP(tbMoveset!A103,tbMoveset!A2:I112,9,FALSE)="Thunder",Backdoors!BD6,IF(VLOOKUP(tbMoveset!A103,tbMoveset!A2:I112,9,FALSE)="Ice",Backdoors!BE6,IF(VLOOKUP(tbMoveset!A103,tbMoveset!A2:I112,9,FALSE)="Dragon",Backdoors!BF6,Backdoors!BG6)))))/100,Backdoors!BG6/100),"")</f>
        <v>0</v>
      </c>
      <c r="Y103" s="49">
        <f>IFERROR(IF(VLOOKUP(A103,tbMoveset!A2:J112,10,FALSE)=TRUE,IF((Backdoors!AI12+IF(W103&gt;=0.45,VLOOKUP(Calculator!E23,tbSkills!DH3:DI6,2,FALSE)+IF(AND(Calculator!B8=TRUE,Backdoors!BI6=TRUE),VLOOKUP(Calculator!E23,tbSkills!DH3:DJ6,3,FALSE),0),0))&gt;=0,1+(Backdoors!AL2*(IF((Backdoors!AI12+IF(W103&gt;=0.45,VLOOKUP(Calculator!E23,tbSkills!DH3:DI6,2,FALSE)+IF(AND(Calculator!B8=TRUE,Backdoors!BI6=TRUE),VLOOKUP(Calculator!E23,tbSkills!DH3:DJ6,3,FALSE),0),0))&gt;=100,100,(Backdoors!AI12+IF(W103&gt;=0.45,VLOOKUP(Calculator!E23,tbSkills!DH3:DI6,2,FALSE)+IF(AND(Calculator!B8=TRUE,Backdoors!BI6=TRUE),VLOOKUP(Calculator!E23,tbSkills!DH3:DJ6,3,FALSE),0),0)))/100)),(1-(0.25*((-Backdoors!AI12-IF(W103&gt;=0.45,VLOOKUP(Calculator!E23,tbSkills!DH3:DI6,2,FALSE)+IF(AND(Calculator!B8=TRUE,Backdoors!BI6=TRUE),VLOOKUP(Calculator!E23,tbSkills!DH3:DJ6,3,FALSE),0),0))/100)))),1),"")</f>
        <v>1</v>
      </c>
      <c r="Z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W103)*Y103)*(VLOOKUP(A103,tbMoveset!A2:C112,3,FALSE)/100)*IF(VLOOKUP(A103,tbMoveset!A2:B112,2,FALSE)="Projectile",Backdoors!N10,Backdoors!N9),0),"")</f>
        <v>4</v>
      </c>
      <c r="AA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W103&gt;=0.45,VLOOKUP(Calculator!E23,tbSkills!DH3:DI6,2,FALSE)+IF(AND(Calculator!B8=TRUE,Backdoors!BI6=TRUE),VLOOKUP(Calculator!E23,tbSkills!DH3:DJ6,3,FALSE),0),0))&gt;=100,100,(Backdoors!AI12+IF(W103&gt;=0.45,VLOOKUP(Calculator!E23,tbSkills!DH3:DI6,2,FALSE)+IF(AND(Calculator!B8=TRUE,Backdoors!BI6=TRUE),VLOOKUP(Calculator!E23,tbSkills!DH3:DJ6,3,FALSE),0),0)))/100)),1))*IF(VLOOKUP(A103,tbMoveset!A2:K112,11,FALSE)=TRUE,Backdoors!AC5,1))*X103,0),"")</f>
        <v>0</v>
      </c>
      <c r="AB103" s="49">
        <f>VLOOKUP(A103,tbMoveset!A2:G112,7,FALSE)*IFERROR(IF(Backdoors!AI12&gt;=0,1+(IF(Calculator!E40&gt;0,VLOOKUP(Calculator!E40,tbSkills!AI3:AJ5,2,FALSE),Backdoors!AL4)*(IF((Backdoors!AI12+IF(W103&gt;=0.45,VLOOKUP(Calculator!E23,tbSkills!DH3:DI6,2,FALSE)+IF(AND(Calculator!B8=TRUE,Backdoors!BI6=TRUE),VLOOKUP(Calculator!E23,tbSkills!DH3:DJ6,3,FALSE),0),0))&gt;=100,100,(Backdoors!AI12+IF(W103&gt;=0.45,VLOOKUP(Calculator!E23,tbSkills!DH3:DI6,2,FALSE)+IF(AND(Calculator!B8=TRUE,Backdoors!BI6=TRUE),VLOOKUP(Calculator!E23,tbSkills!DH3:DJ6,3,FALSE),0),0)))/100)),1),1)</f>
        <v>0.4</v>
      </c>
      <c r="AC103" s="87">
        <f t="shared" si="54"/>
        <v>4</v>
      </c>
      <c r="AD103" s="86">
        <f>IFERROR(IF(VLOOKUP(A103,tbMoveset!A2:B112,2,FALSE)="Sever",Backdoors!AY7/100,IF(VLOOKUP(A103,tbMoveset!A2:B112,2,FALSE)="Blunt",Backdoors!AZ7/100,Backdoors!BA7/100)),"")</f>
        <v>0.65</v>
      </c>
      <c r="AE103" s="49">
        <f>IFERROR(IF(VLOOKUP(tbMoveset!A103,tbMoveset!A2:H112,8,FALSE)="Other",IF(VLOOKUP(tbMoveset!A103,tbMoveset!A2:I112,9,FALSE)="Fire",Backdoors!BB7,IF(VLOOKUP(tbMoveset!A103,tbMoveset!A2:I112,9,FALSE)="Water",Backdoors!BC7,IF(VLOOKUP(tbMoveset!A103,tbMoveset!A2:I112,9,FALSE)="Thunder",Backdoors!BD7,IF(VLOOKUP(tbMoveset!A103,tbMoveset!A2:I112,9,FALSE)="Ice",Backdoors!BE7,IF(VLOOKUP(tbMoveset!A103,tbMoveset!A2:I112,9,FALSE)="Dragon",Backdoors!BF7,Backdoors!BG7)))))/100,Backdoors!BG7/100),"")</f>
        <v>0</v>
      </c>
      <c r="AF103" s="49">
        <f>IFERROR(IF(VLOOKUP(A103,tbMoveset!A2:J112,10,FALSE)=TRUE,IF((Backdoors!AI12+IF(AD103&gt;=0.45,VLOOKUP(Calculator!E23,tbSkills!DH3:DI6,2,FALSE)+IF(AND(Calculator!B8=TRUE,Backdoors!BI7=TRUE),VLOOKUP(Calculator!E23,tbSkills!DH3:DJ6,3,FALSE),0),0))&gt;=0,1+(Backdoors!AL2*(IF((Backdoors!AI12+IF(AD103&gt;=0.45,VLOOKUP(Calculator!E23,tbSkills!DH3:DI6,2,FALSE)+IF(AND(Calculator!B8=TRUE,Backdoors!BI7=TRUE),VLOOKUP(Calculator!E23,tbSkills!DH3:DJ6,3,FALSE),0),0))&gt;=100,100,(Backdoors!AI12+IF(AD103&gt;=0.45,VLOOKUP(Calculator!E23,tbSkills!DH3:DI6,2,FALSE)+IF(AND(Calculator!B8=TRUE,Backdoors!BI7=TRUE),VLOOKUP(Calculator!E23,tbSkills!DH3:DJ6,3,FALSE),0),0)))/100)),(1-(0.25*((-Backdoors!AI12-IF(AD103&gt;=0.45,VLOOKUP(Calculator!E23,tbSkills!DH3:DI6,2,FALSE)+IF(AND(Calculator!B8=TRUE,Backdoors!BI7=TRUE),VLOOKUP(Calculator!E23,tbSkills!DH3:DJ6,3,FALSE),0),0))/100)))),1),"")</f>
        <v>1</v>
      </c>
      <c r="AG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D103)*AF103)*(VLOOKUP(A103,tbMoveset!A2:C112,3,FALSE)/100)*IF(VLOOKUP(A103,tbMoveset!A2:B112,2,FALSE)="Projectile",Backdoors!N10,Backdoors!N9),0),"")</f>
        <v>5</v>
      </c>
      <c r="AH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D103&gt;=0.45,VLOOKUP(Calculator!E23,tbSkills!DH3:DI6,2,FALSE)+IF(AND(Calculator!B8=TRUE,Backdoors!BI7=TRUE),VLOOKUP(Calculator!E23,tbSkills!DH3:DJ6,3,FALSE),0),0))&gt;=100,100,(Backdoors!AI12+IF(AD103&gt;=0.45,VLOOKUP(Calculator!E23,tbSkills!DH3:DI6,2,FALSE)+IF(AND(Calculator!B8=TRUE,Backdoors!BI7=TRUE),VLOOKUP(Calculator!E23,tbSkills!DH3:DJ6,3,FALSE),0),0)))/100)),1))*IF(VLOOKUP(A103,tbMoveset!A2:K112,11,FALSE)=TRUE,Backdoors!AC5,1))*AE103,0),"")</f>
        <v>0</v>
      </c>
      <c r="AI103" s="49">
        <f>VLOOKUP(A103,tbMoveset!A2:G112,7,FALSE)*IFERROR(IF(Backdoors!AI12&gt;=0,1+(IF(Calculator!E40&gt;0,VLOOKUP(Calculator!E40,tbSkills!AI3:AJ5,2,FALSE),Backdoors!AL4)*(IF((Backdoors!AI12+IF(AD103&gt;=0.45,VLOOKUP(Calculator!E23,tbSkills!DH3:DI6,2,FALSE)+IF(AND(Calculator!B8=TRUE,Backdoors!BI7=TRUE),VLOOKUP(Calculator!E23,tbSkills!DH3:DJ6,3,FALSE),0),0))&gt;=100,100,(Backdoors!AI12+IF(AD103&gt;=0.45,VLOOKUP(Calculator!E23,tbSkills!DH3:DI6,2,FALSE)+IF(AND(Calculator!B8=TRUE,Backdoors!BI7=TRUE),VLOOKUP(Calculator!E23,tbSkills!DH3:DJ6,3,FALSE),0),0)))/100)),1),1)</f>
        <v>0.4</v>
      </c>
      <c r="AJ103" s="87">
        <f t="shared" si="55"/>
        <v>5</v>
      </c>
      <c r="AK103" s="91">
        <f>IFERROR(IF(VLOOKUP(A103,tbMoveset!A2:B112,2,FALSE)="Sever",Backdoors!AY8/100,IF(VLOOKUP(A103,tbMoveset!A2:B112,2,FALSE)="Blunt",Backdoors!AZ8/100,Backdoors!BA8/100)),"")</f>
        <v>0.45</v>
      </c>
      <c r="AL103" s="49">
        <f>IFERROR(IF(VLOOKUP(tbMoveset!A103,tbMoveset!A2:H112,8,FALSE)="Other",IF(VLOOKUP(tbMoveset!A103,tbMoveset!A2:I112,9,FALSE)="Fire",Backdoors!BB8,IF(VLOOKUP(tbMoveset!A103,tbMoveset!A2:I112,9,FALSE)="Water",Backdoors!BC8,IF(VLOOKUP(tbMoveset!A103,tbMoveset!A2:I112,9,FALSE)="Thunder",Backdoors!BD8,IF(VLOOKUP(tbMoveset!A103,tbMoveset!A2:I112,9,FALSE)="Ice",Backdoors!BE8,IF(VLOOKUP(tbMoveset!A103,tbMoveset!A2:I112,9,FALSE)="Dragon",Backdoors!BF8,Backdoors!BG8)))))/100,Backdoors!BG8/100),"")</f>
        <v>0</v>
      </c>
      <c r="AM103" s="49">
        <f>IFERROR(IF(VLOOKUP(A103,tbMoveset!A2:J112,10,FALSE)=TRUE,IF((Backdoors!AI12+IF(AK103&gt;=0.45,VLOOKUP(Calculator!E23,tbSkills!DH3:DI6,2,FALSE)+IF(AND(Calculator!B8=TRUE,Backdoors!BI8=TRUE),VLOOKUP(Calculator!E23,tbSkills!DH3:DJ6,3,FALSE),0),0))&gt;=0,1+(Backdoors!AL2*(IF((Backdoors!AI12+IF(AK103&gt;=0.45,VLOOKUP(Calculator!E23,tbSkills!DH3:DI6,2,FALSE)+IF(AND(Calculator!B8=TRUE,Backdoors!BI8=TRUE),VLOOKUP(Calculator!E23,tbSkills!DH3:DJ6,3,FALSE),0),0))&gt;=100,100,(Backdoors!AI12+IF(AK103&gt;=0.45,VLOOKUP(Calculator!E23,tbSkills!DH3:DI6,2,FALSE)+IF(AND(Calculator!B8=TRUE,Backdoors!BI8=TRUE),VLOOKUP(Calculator!E23,tbSkills!DH3:DJ6,3,FALSE),0),0)))/100)),(1-(0.25*((-Backdoors!AI12-IF(AK103&gt;=0.45,VLOOKUP(Calculator!E23,tbSkills!DH3:DI6,2,FALSE)+IF(AND(Calculator!B8=TRUE,Backdoors!BI8=TRUE),VLOOKUP(Calculator!E23,tbSkills!DH3:DJ6,3,FALSE),0),0))/100)))),1),"")</f>
        <v>1</v>
      </c>
      <c r="AN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K103)*AM103)*(VLOOKUP(A103,tbMoveset!A2:C112,3,FALSE)/100)*IF(VLOOKUP(A103,tbMoveset!A2:B112,2,FALSE)="Projectile",Backdoors!N10,Backdoors!N9),0),"")</f>
        <v>4</v>
      </c>
      <c r="AO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K103&gt;=0.45,VLOOKUP(Calculator!E23,tbSkills!DH3:DI6,2,FALSE)+IF(AND(Calculator!B8=TRUE,Backdoors!BI8=TRUE),VLOOKUP(Calculator!E23,tbSkills!DH3:DJ6,3,FALSE),0),0))&gt;=100,100,(Backdoors!AI12+IF(AK103&gt;=0.45,VLOOKUP(Calculator!E23,tbSkills!DH3:DI6,2,FALSE)+IF(AND(Calculator!B8=TRUE,Backdoors!BI8=TRUE),VLOOKUP(Calculator!E23,tbSkills!DH3:DJ6,3,FALSE),0),0)))/100)),1))*IF(VLOOKUP(A103,tbMoveset!A2:K112,11,FALSE)=TRUE,Backdoors!AC5,1))*AL103,0),"")</f>
        <v>0</v>
      </c>
      <c r="AP103" s="49">
        <f>VLOOKUP(A103,tbMoveset!A2:G112,7,FALSE)*IFERROR(IF(Backdoors!AI12&gt;=0,1+(IF(Calculator!E40&gt;0,VLOOKUP(Calculator!E40,tbSkills!AI3:AJ5,2,FALSE),Backdoors!AL4)*(IF((Backdoors!AI12+IF(AK103&gt;=0.45,VLOOKUP(Calculator!E23,tbSkills!DH3:DI6,2,FALSE)+IF(AND(Calculator!B8=TRUE,Backdoors!BI8=TRUE),VLOOKUP(Calculator!E23,tbSkills!DH3:DJ6,3,FALSE),0),0))&gt;=100,100,(Backdoors!AI12+IF(AK103&gt;=0.45,VLOOKUP(Calculator!E23,tbSkills!DH3:DI6,2,FALSE)+IF(AND(Calculator!B8=TRUE,Backdoors!BI8=TRUE),VLOOKUP(Calculator!E23,tbSkills!DH3:DJ6,3,FALSE),0),0)))/100)),1),1)</f>
        <v>0.4</v>
      </c>
      <c r="AQ103" s="87">
        <f t="shared" si="56"/>
        <v>4</v>
      </c>
      <c r="AR103" s="86">
        <f>IFERROR(IF(VLOOKUP(A103,tbMoveset!A2:B112,2,FALSE)="Sever",Backdoors!AY9/100,IF(VLOOKUP(A103,tbMoveset!A2:B112,2,FALSE)="Blunt",Backdoors!AZ9/100,Backdoors!BA9/100)),"")</f>
        <v>0.45</v>
      </c>
      <c r="AS103" s="49">
        <f>IFERROR(IF(VLOOKUP(tbMoveset!A103,tbMoveset!A2:H112,8,FALSE)="Other",IF(VLOOKUP(tbMoveset!A103,tbMoveset!A2:I112,9,FALSE)="Fire",Backdoors!BB9,IF(VLOOKUP(tbMoveset!A103,tbMoveset!A2:I112,9,FALSE)="Water",Backdoors!BC9,IF(VLOOKUP(tbMoveset!A103,tbMoveset!A2:I112,9,FALSE)="Thunder",Backdoors!BD9,IF(VLOOKUP(tbMoveset!A103,tbMoveset!A2:I112,9,FALSE)="Ice",Backdoors!BE9,IF(VLOOKUP(tbMoveset!A103,tbMoveset!A2:I112,9,FALSE)="Dragon",Backdoors!BF9,Backdoors!BG9)))))/100,Backdoors!BG9/100),"")</f>
        <v>0</v>
      </c>
      <c r="AT103" s="49">
        <f>IFERROR(IF(VLOOKUP(A103,tbMoveset!A2:J112,10,FALSE)=TRUE,IF((Backdoors!AI12+IF(AR103&gt;=0.45,VLOOKUP(Calculator!E23,tbSkills!DH3:DI6,2,FALSE)+IF(AND(Calculator!B8=TRUE,Backdoors!BI9=TRUE),VLOOKUP(Calculator!E23,tbSkills!DH3:DJ6,3,FALSE),0),0))&gt;=0,1+(Backdoors!AL2*(IF((Backdoors!AI12+IF(AR103&gt;=0.45,VLOOKUP(Calculator!E23,tbSkills!DH3:DI6,2,FALSE)+IF(AND(Calculator!B8=TRUE,Backdoors!BI9=TRUE),VLOOKUP(Calculator!E23,tbSkills!DH3:DJ6,3,FALSE),0),0))&gt;=100,100,(Backdoors!AI12+IF(AR103&gt;=0.45,VLOOKUP(Calculator!E23,tbSkills!DH3:DI6,2,FALSE)+IF(AND(Calculator!B8=TRUE,Backdoors!BI9=TRUE),VLOOKUP(Calculator!E23,tbSkills!DH3:DJ6,3,FALSE),0),0)))/100)),(1-(0.25*((-Backdoors!AI12-IF(AR103&gt;=0.45,VLOOKUP(Calculator!E23,tbSkills!DH3:DI6,2,FALSE)+IF(AND(Calculator!B8=TRUE,Backdoors!BI9=TRUE),VLOOKUP(Calculator!E23,tbSkills!DH3:DJ6,3,FALSE),0),0))/100)))),1),"")</f>
        <v>1</v>
      </c>
      <c r="AU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R103)*AT103)*(VLOOKUP(A103,tbMoveset!A2:C112,3,FALSE)/100)*IF(VLOOKUP(A103,tbMoveset!A2:B112,2,FALSE)="Projectile",Backdoors!N10,Backdoors!N9),0),"")</f>
        <v>4</v>
      </c>
      <c r="AV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R103&gt;=0.45,VLOOKUP(Calculator!E23,tbSkills!DH3:DI6,2,FALSE)+IF(AND(Calculator!B8=TRUE,Backdoors!BI9=TRUE),VLOOKUP(Calculator!E23,tbSkills!DH3:DJ6,3,FALSE),0),0))&gt;=100,100,(Backdoors!AI12+IF(AR103&gt;=0.45,VLOOKUP(Calculator!E23,tbSkills!DH3:DI6,2,FALSE)+IF(AND(Calculator!B8=TRUE,Backdoors!BI9=TRUE),VLOOKUP(Calculator!E23,tbSkills!DH3:DJ6,3,FALSE),0),0)))/100)),1))*IF(VLOOKUP(A103,tbMoveset!A2:K112,11,FALSE)=TRUE,Backdoors!AC5,1))*AS103,0),"")</f>
        <v>0</v>
      </c>
      <c r="AW103" s="49">
        <f>VLOOKUP(A103,tbMoveset!A2:G112,7,FALSE)*IFERROR(IF(Backdoors!AI12&gt;=0,1+(IF(Calculator!E40&gt;0,VLOOKUP(Calculator!E40,tbSkills!AI3:AJ5,2,FALSE),Backdoors!AL4)*(IF((Backdoors!AI12+IF(AR103&gt;=0.45,VLOOKUP(Calculator!E23,tbSkills!DH3:DI6,2,FALSE)+IF(AND(Calculator!B8=TRUE,Backdoors!BI9=TRUE),VLOOKUP(Calculator!E23,tbSkills!DH3:DJ6,3,FALSE),0),0))&gt;=100,100,(Backdoors!AI12+IF(AR103&gt;=0.45,VLOOKUP(Calculator!E23,tbSkills!DH3:DI6,2,FALSE)+IF(AND(Calculator!B8=TRUE,Backdoors!BI9=TRUE),VLOOKUP(Calculator!E23,tbSkills!DH3:DJ6,3,FALSE),0),0)))/100)),1),1)</f>
        <v>0.4</v>
      </c>
      <c r="AX103" s="87">
        <f t="shared" si="57"/>
        <v>4</v>
      </c>
      <c r="AY103" s="86">
        <f>IFERROR(IF(VLOOKUP(A103,tbMoveset!A2:B112,2,FALSE)="Sever",Backdoors!AY10/100,IF(VLOOKUP(A103,tbMoveset!A2:B112,2,FALSE)="Blunt",Backdoors!AZ10/100,Backdoors!BA10/100)),"")</f>
        <v>0.9</v>
      </c>
      <c r="AZ103" s="49">
        <f>IFERROR(IF(VLOOKUP(tbMoveset!A103,tbMoveset!A2:H112,8,FALSE)="Other",IF(VLOOKUP(tbMoveset!A103,tbMoveset!A2:I112,9,FALSE)="Fire",Backdoors!BB10,IF(VLOOKUP(tbMoveset!A103,tbMoveset!A2:I112,9,FALSE)="Water",Backdoors!BC10,IF(VLOOKUP(tbMoveset!A103,tbMoveset!A2:I112,9,FALSE)="Thunder",Backdoors!BD10,IF(VLOOKUP(tbMoveset!A103,tbMoveset!A2:I112,9,FALSE)="Ice",Backdoors!BE10,IF(VLOOKUP(tbMoveset!A103,tbMoveset!A2:I112,9,FALSE)="Dragon",Backdoors!BF10,Backdoors!BG10)))))/100,Backdoors!BG10/100),"")</f>
        <v>0</v>
      </c>
      <c r="BA103" s="49">
        <f>IFERROR(IF(VLOOKUP(A103,tbMoveset!A2:J112,10,FALSE)=TRUE,IF((Backdoors!AI12+IF(AY103&gt;=0.45,VLOOKUP(Calculator!E23,tbSkills!DH3:DI6,2,FALSE)+IF(AND(Calculator!B8=TRUE,Backdoors!BI10=TRUE),VLOOKUP(Calculator!E23,tbSkills!DH3:DJ6,3,FALSE),0),0))&gt;=0,1+(Backdoors!AL2*(IF((Backdoors!AI12+IF(AY103&gt;=0.45,VLOOKUP(Calculator!E23,tbSkills!DH3:DI6,2,FALSE)+IF(AND(Calculator!B8=TRUE,Backdoors!BI10=TRUE),VLOOKUP(Calculator!E23,tbSkills!DH3:DJ6,3,FALSE),0),0))&gt;=100,100,(Backdoors!AI12+IF(AY103&gt;=0.45,VLOOKUP(Calculator!E23,tbSkills!DH3:DI6,2,FALSE)+IF(AND(Calculator!B8=TRUE,Backdoors!BI10=TRUE),VLOOKUP(Calculator!E23,tbSkills!DH3:DJ6,3,FALSE),0),0)))/100)),(1-(0.25*((-Backdoors!AI12-IF(AY103&gt;=0.45,VLOOKUP(Calculator!E23,tbSkills!DH3:DI6,2,FALSE)+IF(AND(Calculator!B8=TRUE,Backdoors!BI10=TRUE),VLOOKUP(Calculator!E23,tbSkills!DH3:DJ6,3,FALSE),0),0))/100)))),1),"")</f>
        <v>1</v>
      </c>
      <c r="BB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Y103)*BA103)*(VLOOKUP(A103,tbMoveset!A2:C112,3,FALSE)/100)*IF(VLOOKUP(A103,tbMoveset!A2:B112,2,FALSE)="Projectile",Backdoors!N10,Backdoors!N9),0),"")</f>
        <v>8</v>
      </c>
      <c r="BC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Y103&gt;=0.45,VLOOKUP(Calculator!E23,tbSkills!DH3:DI6,2,FALSE)+IF(AND(Calculator!B8=TRUE,Backdoors!BI10=TRUE),VLOOKUP(Calculator!E23,tbSkills!DH3:DJ6,3,FALSE),0),0))&gt;=100,100,(Backdoors!AI12+IF(AY103&gt;=0.45,VLOOKUP(Calculator!E23,tbSkills!DH3:DI6,2,FALSE)+IF(AND(Calculator!B8=TRUE,Backdoors!BI10=TRUE),VLOOKUP(Calculator!E23,tbSkills!DH3:DJ6,3,FALSE),0),0)))/100)),1))*IF(VLOOKUP(A103,tbMoveset!A2:K112,11,FALSE)=TRUE,Backdoors!AC5,1))*AZ103,0),"")</f>
        <v>0</v>
      </c>
      <c r="BD103" s="49">
        <f>VLOOKUP(A103,tbMoveset!A2:G112,7,FALSE)*IFERROR(IF(Backdoors!AI12&gt;=0,1+(IF(Calculator!E40&gt;0,VLOOKUP(Calculator!E40,tbSkills!AI3:AJ5,2,FALSE),Backdoors!AL4)*(IF((Backdoors!AI12+IF(AY103&gt;=0.45,VLOOKUP(Calculator!E23,tbSkills!DH3:DI6,2,FALSE)+IF(AND(Calculator!B8=TRUE,Backdoors!BI10=TRUE),VLOOKUP(Calculator!E23,tbSkills!DH3:DJ6,3,FALSE),0),0))&gt;=100,100,(Backdoors!AI12+IF(AY103&gt;=0.45,VLOOKUP(Calculator!E23,tbSkills!DH3:DI6,2,FALSE)+IF(AND(Calculator!B8=TRUE,Backdoors!BI10=TRUE),VLOOKUP(Calculator!E23,tbSkills!DH3:DJ6,3,FALSE),0),0)))/100)),1),1)</f>
        <v>0.4</v>
      </c>
      <c r="BE103" s="87">
        <f t="shared" si="58"/>
        <v>8</v>
      </c>
      <c r="BF103" s="86" t="str">
        <f>IFERROR(IF(VLOOKUP(A103,tbMoveset!A2:B112,2,FALSE)="Sever",Backdoors!AY11/100,IF(VLOOKUP(A103,tbMoveset!A2:B112,2,FALSE)="Blunt",Backdoors!AZ11/100,Backdoors!BA11/100)),"")</f>
        <v/>
      </c>
      <c r="BG103" s="49">
        <f>IFERROR(IF(VLOOKUP(tbMoveset!A103,tbMoveset!A2:H112,8,FALSE)="Other",IF(VLOOKUP(tbMoveset!A103,tbMoveset!A2:I112,9,FALSE)="Fire",Backdoors!BB11,IF(VLOOKUP(tbMoveset!A103,tbMoveset!A2:I112,9,FALSE)="Water",Backdoors!BC11,IF(VLOOKUP(tbMoveset!A103,tbMoveset!A2:I112,9,FALSE)="Thunder",Backdoors!BD11,IF(VLOOKUP(tbMoveset!A103,tbMoveset!A2:I112,9,FALSE)="Ice",Backdoors!BE11,IF(VLOOKUP(tbMoveset!A103,tbMoveset!A2:I112,9,FALSE)="Dragon",Backdoors!BF11,Backdoors!BG11)))))/100,Backdoors!BG11/100),"")</f>
        <v>0</v>
      </c>
      <c r="BH103" s="49">
        <f>IFERROR(IF(VLOOKUP(A103,tbMoveset!A2:J112,10,FALSE)=TRUE,IF((Backdoors!AI12+IF(BF103&gt;=0.45,VLOOKUP(Calculator!E23,tbSkills!DH3:DI6,2,FALSE)+IF(AND(Calculator!B8=TRUE,Backdoors!BI11=TRUE),VLOOKUP(Calculator!E23,tbSkills!DH3:DJ6,3,FALSE),0),0))&gt;=0,1+(Backdoors!AL2*(IF((Backdoors!AI12+IF(BF103&gt;=0.45,VLOOKUP(Calculator!E23,tbSkills!DH3:DI6,2,FALSE)+IF(AND(Calculator!B8=TRUE,Backdoors!BI11=TRUE),VLOOKUP(Calculator!E23,tbSkills!DH3:DJ6,3,FALSE),0),0))&gt;=100,100,(Backdoors!AI12+IF(BF103&gt;=0.45,VLOOKUP(Calculator!E23,tbSkills!DH3:DI6,2,FALSE)+IF(AND(Calculator!B8=TRUE,Backdoors!BI11=TRUE),VLOOKUP(Calculator!E23,tbSkills!DH3:DJ6,3,FALSE),0),0)))/100)),(1-(0.25*((-Backdoors!AI12-IF(BF103&gt;=0.45,VLOOKUP(Calculator!E23,tbSkills!DH3:DI6,2,FALSE)+IF(AND(Calculator!B8=TRUE,Backdoors!BI11=TRUE),VLOOKUP(Calculator!E23,tbSkills!DH3:DJ6,3,FALSE),0),0))/100)))),1),"")</f>
        <v>1</v>
      </c>
      <c r="BI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F103)*BH103)*(VLOOKUP(A103,tbMoveset!A2:C112,3,FALSE)/100)*IF(VLOOKUP(A103,tbMoveset!A2:B112,2,FALSE)="Projectile",Backdoors!N10,Backdoors!N9),0),"")</f>
        <v/>
      </c>
      <c r="BJ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F103&gt;=0.45,VLOOKUP(Calculator!E23,tbSkills!DH3:DI6,2,FALSE)+IF(AND(Calculator!B8=TRUE,Backdoors!BI11=TRUE),VLOOKUP(Calculator!E23,tbSkills!DH3:DJ6,3,FALSE),0),0))&gt;=100,100,(Backdoors!AI12+IF(BF103&gt;=0.45,VLOOKUP(Calculator!E23,tbSkills!DH3:DI6,2,FALSE)+IF(AND(Calculator!B8=TRUE,Backdoors!BI11=TRUE),VLOOKUP(Calculator!E23,tbSkills!DH3:DJ6,3,FALSE),0),0)))/100)),1))*IF(VLOOKUP(A103,tbMoveset!A2:K112,11,FALSE)=TRUE,Backdoors!AC5,1))*BG103,0),"")</f>
        <v>0</v>
      </c>
      <c r="BK103" s="49">
        <f>VLOOKUP(A103,tbMoveset!A2:G112,7,FALSE)*IFERROR(IF(Backdoors!AI12&gt;=0,1+(IF(Calculator!E40&gt;0,VLOOKUP(Calculator!E40,tbSkills!AI3:AJ5,2,FALSE),Backdoors!AL4)*(IF((Backdoors!AI12+IF(BF103&gt;=0.45,VLOOKUP(Calculator!E23,tbSkills!DH3:DI6,2,FALSE)+IF(AND(Calculator!B8=TRUE,Backdoors!BI11=TRUE),VLOOKUP(Calculator!E23,tbSkills!DH3:DJ6,3,FALSE),0),0))&gt;=100,100,(Backdoors!AI12+IF(BF103&gt;=0.45,VLOOKUP(Calculator!E23,tbSkills!DH3:DI6,2,FALSE)+IF(AND(Calculator!B8=TRUE,Backdoors!BI11=TRUE),VLOOKUP(Calculator!E23,tbSkills!DH3:DJ6,3,FALSE),0),0)))/100)),1),1)</f>
        <v>0.4</v>
      </c>
      <c r="BL103" s="87">
        <f t="shared" si="59"/>
        <v>0</v>
      </c>
      <c r="BM103" s="86" t="str">
        <f>IFERROR(IF(VLOOKUP(A103,tbMoveset!A2:B112,2,FALSE)="Sever",Backdoors!AY12/100,IF(VLOOKUP(A103,tbMoveset!A2:B112,2,FALSE)="Blunt",Backdoors!AZ12/100,Backdoors!BA12/100)),"")</f>
        <v/>
      </c>
      <c r="BN103" s="49">
        <f>IFERROR(IF(VLOOKUP(tbMoveset!A103,tbMoveset!A2:H112,8,FALSE)="Other",IF(VLOOKUP(tbMoveset!A103,tbMoveset!A2:I112,9,FALSE)="Fire",Backdoors!BB12,IF(VLOOKUP(tbMoveset!A103,tbMoveset!A2:I112,9,FALSE)="Water",Backdoors!BC12,IF(VLOOKUP(tbMoveset!A103,tbMoveset!A2:I112,9,FALSE)="Thunder",Backdoors!BD12,IF(VLOOKUP(tbMoveset!A103,tbMoveset!A2:I112,9,FALSE)="Ice",Backdoors!BE12,IF(VLOOKUP(tbMoveset!A103,tbMoveset!A2:I112,9,FALSE)="Dragon",Backdoors!BF12,Backdoors!BG12)))))/100,Backdoors!BG12/100),"")</f>
        <v>0</v>
      </c>
      <c r="BO103" s="49">
        <f>IFERROR(IF(VLOOKUP(A103,tbMoveset!A2:J112,10,FALSE)=TRUE,IF((Backdoors!AI12+IF(BM103&gt;=0.45,VLOOKUP(Calculator!E23,tbSkills!DH3:DI6,2,FALSE)+IF(AND(Calculator!B8=TRUE,Backdoors!BI12=TRUE),VLOOKUP(Calculator!E23,tbSkills!DH3:DJ6,3,FALSE),0),0))&gt;=0,1+(Backdoors!AL2*(IF((Backdoors!AI12+IF(BM103&gt;=0.45,VLOOKUP(Calculator!E23,tbSkills!DH3:DI6,2,FALSE)+IF(AND(Calculator!B8=TRUE,Backdoors!BI12=TRUE),VLOOKUP(Calculator!E23,tbSkills!DH3:DJ6,3,FALSE),0),0))&gt;=100,100,(Backdoors!AI12+IF(BM103&gt;=0.45,VLOOKUP(Calculator!E23,tbSkills!DH3:DI6,2,FALSE)+IF(AND(Calculator!B8=TRUE,Backdoors!BI12=TRUE),VLOOKUP(Calculator!E23,tbSkills!DH3:DJ6,3,FALSE),0),0)))/100)),(1-(0.25*((-Backdoors!AI12-IF(BM103&gt;=0.45,VLOOKUP(Calculator!E23,tbSkills!DH3:DI6,2,FALSE)+IF(AND(Calculator!B8=TRUE,Backdoors!BI12=TRUE),VLOOKUP(Calculator!E23,tbSkills!DH3:DJ6,3,FALSE),0),0))/100)))),1),"")</f>
        <v>1</v>
      </c>
      <c r="BP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M103)*BO103)*(VLOOKUP(A103,tbMoveset!A2:C112,3,FALSE)/100)*IF(VLOOKUP(A103,tbMoveset!A2:B112,2,FALSE)="Projectile",Backdoors!N10,Backdoors!N9),0),"")</f>
        <v/>
      </c>
      <c r="BQ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M103&gt;=0.45,VLOOKUP(Calculator!E23,tbSkills!DH3:DI6,2,FALSE)+IF(AND(Calculator!B8=TRUE,Backdoors!BI12=TRUE),VLOOKUP(Calculator!E23,tbSkills!DH3:DJ6,3,FALSE),0),0))&gt;=100,100,(Backdoors!AI12+IF(BM103&gt;=0.45,VLOOKUP(Calculator!E23,tbSkills!DH3:DI6,2,FALSE)+IF(AND(Calculator!B8=TRUE,Backdoors!BI12=TRUE),VLOOKUP(Calculator!E23,tbSkills!DH3:DJ6,3,FALSE),0),0)))/100)),1))*IF(VLOOKUP(A103,tbMoveset!A2:K112,11,FALSE)=TRUE,Backdoors!AC5,1))*BN103,0),"")</f>
        <v>0</v>
      </c>
      <c r="BR103" s="49">
        <f>VLOOKUP(A103,tbMoveset!A2:G112,7,FALSE)*IFERROR(IF(Backdoors!AI12&gt;=0,1+(IF(Calculator!E40&gt;0,VLOOKUP(Calculator!E40,tbSkills!AI3:AJ5,2,FALSE),Backdoors!AL4)*(IF((Backdoors!AI12+IF(BM103&gt;=0.45,VLOOKUP(Calculator!E23,tbSkills!DH3:DI6,2,FALSE)+IF(AND(Calculator!B8=TRUE,Backdoors!BI12=TRUE),VLOOKUP(Calculator!E23,tbSkills!DH3:DJ6,3,FALSE),0),0))&gt;=100,100,(Backdoors!AI12+IF(BM103&gt;=0.45,VLOOKUP(Calculator!E23,tbSkills!DH3:DI6,2,FALSE)+IF(AND(Calculator!B8=TRUE,Backdoors!BI12=TRUE),VLOOKUP(Calculator!E23,tbSkills!DH3:DJ6,3,FALSE),0),0)))/100)),1),1)</f>
        <v>0.4</v>
      </c>
      <c r="BS103" s="87">
        <f t="shared" si="60"/>
        <v>0</v>
      </c>
      <c r="BT103" s="86" t="str">
        <f>IFERROR(IF(VLOOKUP(A103,tbMoveset!A2:B112,2,FALSE)="Sever",Backdoors!AY13/100,IF(VLOOKUP(A103,tbMoveset!A2:B112,2,FALSE)="Blunt",Backdoors!AZ13/100,Backdoors!BA13/100)),"")</f>
        <v/>
      </c>
      <c r="BU103" s="49">
        <f>IFERROR(IF(VLOOKUP(tbMoveset!A103,tbMoveset!A2:H112,8,FALSE)="Other",IF(VLOOKUP(tbMoveset!A103,tbMoveset!A2:I112,9,FALSE)="Fire",Backdoors!BB13,IF(VLOOKUP(tbMoveset!A103,tbMoveset!A2:I112,9,FALSE)="Water",Backdoors!BC13,IF(VLOOKUP(tbMoveset!A103,tbMoveset!A2:I112,9,FALSE)="Thunder",Backdoors!BD13,IF(VLOOKUP(tbMoveset!A103,tbMoveset!A2:I112,9,FALSE)="Ice",Backdoors!BE13,IF(VLOOKUP(tbMoveset!A103,tbMoveset!A2:I112,9,FALSE)="Dragon",Backdoors!BF13,Backdoors!BG13)))))/100,Backdoors!BG13/100),"")</f>
        <v>0</v>
      </c>
      <c r="BV103" s="49">
        <f>IFERROR(IF(VLOOKUP(A103,tbMoveset!A2:J112,10,FALSE)=TRUE,IF((Backdoors!AI12+IF(BT103&gt;=0.45,VLOOKUP(Calculator!E23,tbSkills!DH3:DI6,2,FALSE)+IF(AND(Calculator!B8=TRUE,Backdoors!BI13=TRUE),VLOOKUP(Calculator!E23,tbSkills!DH3:DJ6,3,FALSE),0),0))&gt;=0,1+(Backdoors!AL2*(IF((Backdoors!AI12+IF(BT103&gt;=0.45,VLOOKUP(Calculator!E23,tbSkills!DH3:DI6,2,FALSE)+IF(AND(Calculator!B8=TRUE,Backdoors!BI13=TRUE),VLOOKUP(Calculator!E23,tbSkills!DH3:DJ6,3,FALSE),0),0))&gt;=100,100,(Backdoors!AI12+IF(BT103&gt;=0.45,VLOOKUP(Calculator!E23,tbSkills!DH3:DI6,2,FALSE)+IF(AND(Calculator!B8=TRUE,Backdoors!BI13=TRUE),VLOOKUP(Calculator!E23,tbSkills!DH3:DJ6,3,FALSE),0),0)))/100)),(1-(0.25*((-Backdoors!AI12-IF(BT103&gt;=0.45,VLOOKUP(Calculator!E23,tbSkills!DH3:DI6,2,FALSE)+IF(AND(Calculator!B8=TRUE,Backdoors!BI13=TRUE),VLOOKUP(Calculator!E23,tbSkills!DH3:DJ6,3,FALSE),0),0))/100)))),1),"")</f>
        <v>1</v>
      </c>
      <c r="BW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T103)*BV103)*(VLOOKUP(A103,tbMoveset!A2:C112,3,FALSE)/100)*IF(VLOOKUP(A103,tbMoveset!A2:B112,2,FALSE)="Projectile",Backdoors!N10,Backdoors!N9),0),"")</f>
        <v/>
      </c>
      <c r="BX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T103&gt;=0.45,VLOOKUP(Calculator!E23,tbSkills!DH3:DI6,2,FALSE)+IF(AND(Calculator!B8=TRUE,Backdoors!BI13=TRUE),VLOOKUP(Calculator!E23,tbSkills!DH3:DJ6,3,FALSE),0),0))&gt;=100,100,(Backdoors!AI12+IF(BT103&gt;=0.45,VLOOKUP(Calculator!E23,tbSkills!DH3:DI6,2,FALSE)+IF(AND(Calculator!B8=TRUE,Backdoors!BI13=TRUE),VLOOKUP(Calculator!E23,tbSkills!DH3:DJ6,3,FALSE),0),0)))/100)),1))*IF(VLOOKUP(A103,tbMoveset!A2:K112,11,FALSE)=TRUE,Backdoors!AC5,1))*BU103,0),"")</f>
        <v>0</v>
      </c>
      <c r="BY103" s="49">
        <f>VLOOKUP(A103,tbMoveset!A2:G112,7,FALSE)*IFERROR(IF(Backdoors!AI12&gt;=0,1+(IF(Calculator!E40&gt;0,VLOOKUP(Calculator!E40,tbSkills!AI3:AJ5,2,FALSE),Backdoors!AL4)*(IF((Backdoors!AI12+IF(BT103&gt;=0.45,VLOOKUP(Calculator!E23,tbSkills!DH3:DI6,2,FALSE)+IF(AND(Calculator!B8=TRUE,Backdoors!BI13=TRUE),VLOOKUP(Calculator!E23,tbSkills!DH3:DJ6,3,FALSE),0),0))&gt;=100,100,(Backdoors!AI12+IF(BT103&gt;=0.45,VLOOKUP(Calculator!E23,tbSkills!DH3:DI6,2,FALSE)+IF(AND(Calculator!B8=TRUE,Backdoors!BI13=TRUE),VLOOKUP(Calculator!E23,tbSkills!DH3:DJ6,3,FALSE),0),0)))/100)),1),1)</f>
        <v>0.4</v>
      </c>
      <c r="BZ103" s="87">
        <f t="shared" si="61"/>
        <v>0</v>
      </c>
      <c r="CA103" s="86" t="str">
        <f>IFERROR(IF(VLOOKUP(A103,tbMoveset!A2:B112,2,FALSE)="Sever",Backdoors!AY14/100,IF(VLOOKUP(A103,tbMoveset!A2:B112,2,FALSE)="Blunt",Backdoors!AZ14/100,Backdoors!BA14/100)),"")</f>
        <v/>
      </c>
      <c r="CB103" s="49">
        <f>IFERROR(IF(VLOOKUP(tbMoveset!A103,tbMoveset!A2:H112,8,FALSE)="Other",IF(VLOOKUP(tbMoveset!A103,tbMoveset!A2:I112,9,FALSE)="Fire",Backdoors!BB14,IF(VLOOKUP(tbMoveset!A103,tbMoveset!A2:I112,9,FALSE)="Water",Backdoors!BC14,IF(VLOOKUP(tbMoveset!A103,tbMoveset!A2:I112,9,FALSE)="Thunder",Backdoors!BD14,IF(VLOOKUP(tbMoveset!A103,tbMoveset!A2:I112,9,FALSE)="Ice",Backdoors!BE14,IF(VLOOKUP(tbMoveset!A103,tbMoveset!A2:I112,9,FALSE)="Dragon",Backdoors!BF14,Backdoors!BG14)))))/100,Backdoors!BG14/100),"")</f>
        <v>0</v>
      </c>
      <c r="CC103" s="49">
        <f>IFERROR(IF(VLOOKUP(A103,tbMoveset!A2:J112,10,FALSE)=TRUE,IF((Backdoors!AI12+IF(CA103&gt;=0.45,VLOOKUP(Calculator!E23,tbSkills!DH3:DI6,2,FALSE)+IF(AND(Calculator!B8=TRUE,Backdoors!BI14=TRUE),VLOOKUP(Calculator!E23,tbSkills!DH3:DJ6,3,FALSE),0),0))&gt;=0,1+(Backdoors!AL2*(IF((Backdoors!AI12+IF(CA103&gt;=0.45,VLOOKUP(Calculator!E23,tbSkills!DH3:DI6,2,FALSE)+IF(AND(Calculator!B8=TRUE,Backdoors!BI14=TRUE),VLOOKUP(Calculator!E23,tbSkills!DH3:DJ6,3,FALSE),0),0))&gt;=100,100,(Backdoors!AI12+IF(CA103&gt;=0.45,VLOOKUP(Calculator!E23,tbSkills!DH3:DI6,2,FALSE)+IF(AND(Calculator!B8=TRUE,Backdoors!BI14=TRUE),VLOOKUP(Calculator!E23,tbSkills!DH3:DJ6,3,FALSE),0),0)))/100)),(1-(0.25*((-Backdoors!AI12-IF(CA103&gt;=0.45,VLOOKUP(Calculator!E23,tbSkills!DH3:DI6,2,FALSE)+IF(AND(Calculator!B8=TRUE,Backdoors!BI14=TRUE),VLOOKUP(Calculator!E23,tbSkills!DH3:DJ6,3,FALSE),0),0))/100)))),1),"")</f>
        <v>1</v>
      </c>
      <c r="CD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A103)*CC103)*(VLOOKUP(A103,tbMoveset!A2:C112,3,FALSE)/100)*IF(VLOOKUP(A103,tbMoveset!A2:B112,2,FALSE)="Projectile",Backdoors!N10,Backdoors!N9),0),"")</f>
        <v/>
      </c>
      <c r="CE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A103&gt;=0.45,VLOOKUP(Calculator!E23,tbSkills!DH3:DI6,2,FALSE)+IF(AND(Calculator!B8=TRUE,Backdoors!BI14=TRUE),VLOOKUP(Calculator!E23,tbSkills!DH3:DJ6,3,FALSE),0),0))&gt;=100,100,(Backdoors!AI12+IF(CA103&gt;=0.45,VLOOKUP(Calculator!E23,tbSkills!DH3:DI6,2,FALSE)+IF(AND(Calculator!B8=TRUE,Backdoors!BI14=TRUE),VLOOKUP(Calculator!E23,tbSkills!DH3:DJ6,3,FALSE),0),0)))/100)),1))*IF(VLOOKUP(A103,tbMoveset!A2:K112,11,FALSE)=TRUE,Backdoors!AC5,1))*CB103,0),"")</f>
        <v>0</v>
      </c>
      <c r="CF103" s="49">
        <f>VLOOKUP(A103,tbMoveset!A2:G112,7,FALSE)*IFERROR(IF(Backdoors!AI12&gt;=0,1+(IF(Calculator!E40&gt;0,VLOOKUP(Calculator!E40,tbSkills!AI3:AJ5,2,FALSE),Backdoors!AL4)*(IF((Backdoors!AI12+IF(CA103&gt;=0.45,VLOOKUP(Calculator!E23,tbSkills!DH3:DI6,2,FALSE)+IF(AND(Calculator!B8=TRUE,Backdoors!BI14=TRUE),VLOOKUP(Calculator!E23,tbSkills!DH3:DJ6,3,FALSE),0),0))&gt;=100,100,(Backdoors!AI12+IF(CA103&gt;=0.45,VLOOKUP(Calculator!E23,tbSkills!DH3:DI6,2,FALSE)+IF(AND(Calculator!B8=TRUE,Backdoors!BI14=TRUE),VLOOKUP(Calculator!E23,tbSkills!DH3:DJ6,3,FALSE),0),0)))/100)),1),1)</f>
        <v>0.4</v>
      </c>
      <c r="CG103" s="87">
        <f t="shared" si="62"/>
        <v>0</v>
      </c>
      <c r="CH103" s="86" t="str">
        <f>IFERROR(IF(VLOOKUP(A103,tbMoveset!A2:B112,2,FALSE)="Sever",Backdoors!AY15/100,IF(VLOOKUP(A103,tbMoveset!A2:B112,2,FALSE)="Blunt",Backdoors!AZ15/100,Backdoors!BA15/100)),"")</f>
        <v/>
      </c>
      <c r="CI103" s="49">
        <f>IFERROR(IF(VLOOKUP(tbMoveset!A103,tbMoveset!A2:H112,8,FALSE)="Other",IF(VLOOKUP(tbMoveset!A103,tbMoveset!A2:I112,9,FALSE)="Fire",Backdoors!BB15,IF(VLOOKUP(tbMoveset!A103,tbMoveset!A2:I112,9,FALSE)="Water",Backdoors!BC15,IF(VLOOKUP(tbMoveset!A103,tbMoveset!A2:I112,9,FALSE)="Thunder",Backdoors!BD15,IF(VLOOKUP(tbMoveset!A103,tbMoveset!A2:I112,9,FALSE)="Ice",Backdoors!BE15,IF(VLOOKUP(tbMoveset!A103,tbMoveset!A2:I112,9,FALSE)="Dragon",Backdoors!BF15,Backdoors!BG15)))))/100,Backdoors!BG15/100),"")</f>
        <v>0</v>
      </c>
      <c r="CJ103" s="49">
        <f>IFERROR(IF(VLOOKUP(A103,tbMoveset!A2:J112,10,FALSE)=TRUE,IF((Backdoors!AI12+IF(CH103&gt;=0.45,VLOOKUP(Calculator!E23,tbSkills!DH3:DI6,2,FALSE)+IF(AND(Calculator!B8=TRUE,Backdoors!BI15=TRUE),VLOOKUP(Calculator!E23,tbSkills!DH3:DJ6,3,FALSE),0),0))&gt;=0,1+(Backdoors!AL2*(IF((Backdoors!AI12+IF(CH103&gt;=0.45,VLOOKUP(Calculator!E23,tbSkills!DH3:DI6,2,FALSE)+IF(AND(Calculator!B8=TRUE,Backdoors!BI15=TRUE),VLOOKUP(Calculator!E23,tbSkills!DH3:DJ6,3,FALSE),0),0))&gt;=100,100,(Backdoors!AI12+IF(CH103&gt;=0.45,VLOOKUP(Calculator!E23,tbSkills!DH3:DI6,2,FALSE)+IF(AND(Calculator!B8=TRUE,Backdoors!BI15=TRUE),VLOOKUP(Calculator!E23,tbSkills!DH3:DJ6,3,FALSE),0),0)))/100)),(1-(0.25*((-Backdoors!AI12-IF(CH103&gt;=0.45,VLOOKUP(Calculator!E23,tbSkills!DH3:DI6,2,FALSE)+IF(AND(Calculator!B8=TRUE,Backdoors!BI15=TRUE),VLOOKUP(Calculator!E23,tbSkills!DH3:DJ6,3,FALSE),0),0))/100)))),1),"")</f>
        <v>1</v>
      </c>
      <c r="CK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H103)*CJ103)*(VLOOKUP(A103,tbMoveset!A2:C112,3,FALSE)/100)*IF(VLOOKUP(A103,tbMoveset!A2:B112,2,FALSE)="Projectile",Backdoors!N10,Backdoors!N9),0),"")</f>
        <v/>
      </c>
      <c r="CL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H103&gt;=0.45,VLOOKUP(Calculator!E23,tbSkills!DH3:DI6,2,FALSE)+IF(AND(Calculator!B8=TRUE,Backdoors!BI15=TRUE),VLOOKUP(Calculator!E23,tbSkills!DH3:DJ6,3,FALSE),0),0))&gt;=100,100,(Backdoors!AI12+IF(CH103&gt;=0.45,VLOOKUP(Calculator!E23,tbSkills!DH3:DI6,2,FALSE)+IF(AND(Calculator!B8=TRUE,Backdoors!BI15=TRUE),VLOOKUP(Calculator!E23,tbSkills!DH3:DJ6,3,FALSE),0),0)))/100)),1))*IF(VLOOKUP(A103,tbMoveset!A2:K112,11,FALSE)=TRUE,Backdoors!AC5,1))*CI103,0),"")</f>
        <v>0</v>
      </c>
      <c r="CM103" s="49">
        <f>VLOOKUP(A103,tbMoveset!A2:G112,7,FALSE)*IFERROR(IF(Backdoors!AI12&gt;=0,1+(IF(Calculator!E40&gt;0,VLOOKUP(Calculator!E40,tbSkills!AI3:AJ5,2,FALSE),Backdoors!AL4)*(IF((Backdoors!AI12+IF(CH103&gt;=0.45,VLOOKUP(Calculator!E23,tbSkills!DH3:DI6,2,FALSE)+IF(AND(Calculator!B8=TRUE,Backdoors!BI15=TRUE),VLOOKUP(Calculator!E23,tbSkills!DH3:DJ6,3,FALSE),0),0))&gt;=100,100,(Backdoors!AI12+IF(CH103&gt;=0.45,VLOOKUP(Calculator!E23,tbSkills!DH3:DI6,2,FALSE)+IF(AND(Calculator!B8=TRUE,Backdoors!BI15=TRUE),VLOOKUP(Calculator!E23,tbSkills!DH3:DJ6,3,FALSE),0),0)))/100)),1),1)</f>
        <v>0.4</v>
      </c>
      <c r="CN103" s="87">
        <f t="shared" si="63"/>
        <v>0</v>
      </c>
      <c r="CO103" s="86" t="str">
        <f>IFERROR(IF(VLOOKUP(A103,tbMoveset!A2:B112,2,FALSE)="Sever",Backdoors!AY16/100,IF(VLOOKUP(A103,tbMoveset!A2:B112,2,FALSE)="Blunt",Backdoors!AZ16/100,Backdoors!BA16/100)),"")</f>
        <v/>
      </c>
      <c r="CP103" s="49">
        <f>IFERROR(IF(VLOOKUP(tbMoveset!A103,tbMoveset!A2:H112,8,FALSE)="Other",IF(VLOOKUP(tbMoveset!A103,tbMoveset!A2:I112,9,FALSE)="Fire",Backdoors!BB16,IF(VLOOKUP(tbMoveset!A103,tbMoveset!A2:I112,9,FALSE)="Water",Backdoors!BC16,IF(VLOOKUP(tbMoveset!A103,tbMoveset!A2:I112,9,FALSE)="Thunder",Backdoors!BD16,IF(VLOOKUP(tbMoveset!A103,tbMoveset!A2:I112,9,FALSE)="Ice",Backdoors!BE16,IF(VLOOKUP(tbMoveset!A103,tbMoveset!A2:I112,9,FALSE)="Dragon",Backdoors!BF16,Backdoors!BG16)))))/100,Backdoors!BG16/100),"")</f>
        <v>0</v>
      </c>
      <c r="CQ103" s="49">
        <f>IFERROR(IF(VLOOKUP(A103,tbMoveset!A2:J112,10,FALSE)=TRUE,IF((Backdoors!AI12+IF(CO103&gt;=0.45,VLOOKUP(Calculator!E23,tbSkills!DH3:DI6,2,FALSE)+IF(AND(Calculator!B8=TRUE,Backdoors!BI16=TRUE),VLOOKUP(Calculator!E23,tbSkills!DH3:DJ6,3,FALSE),0),0))&gt;=0,1+(Backdoors!AL2*(IF((Backdoors!AI12+IF(CO103&gt;=0.45,VLOOKUP(Calculator!E23,tbSkills!DH3:DI6,2,FALSE)+IF(AND(Calculator!B8=TRUE,Backdoors!BI16=TRUE),VLOOKUP(Calculator!E23,tbSkills!DH3:DJ6,3,FALSE),0),0))&gt;=100,100,(Backdoors!AI12+IF(CO103&gt;=0.45,VLOOKUP(Calculator!E23,tbSkills!DH3:DI6,2,FALSE)+IF(AND(Calculator!B8=TRUE,Backdoors!BI16=TRUE),VLOOKUP(Calculator!E23,tbSkills!DH3:DJ6,3,FALSE),0),0)))/100)),(1-(0.25*((-Backdoors!AI12-IF(CO103&gt;=0.45,VLOOKUP(Calculator!E23,tbSkills!DH3:DI6,2,FALSE)+IF(AND(Calculator!B8=TRUE,Backdoors!BI16=TRUE),VLOOKUP(Calculator!E23,tbSkills!DH3:DJ6,3,FALSE),0),0))/100)))),1),"")</f>
        <v>1</v>
      </c>
      <c r="CR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O103)*CQ103)*(VLOOKUP(A103,tbMoveset!A2:C112,3,FALSE)/100)*IF(VLOOKUP(A103,tbMoveset!A2:B112,2,FALSE)="Projectile",Backdoors!N10,Backdoors!N9),0),"")</f>
        <v/>
      </c>
      <c r="CS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O103&gt;=0.45,VLOOKUP(Calculator!E23,tbSkills!DH3:DI6,2,FALSE)+IF(AND(Calculator!B8=TRUE,Backdoors!BI16=TRUE),VLOOKUP(Calculator!E23,tbSkills!DH3:DJ6,3,FALSE),0),0))&gt;=100,100,(Backdoors!AI12+IF(CO103&gt;=0.45,VLOOKUP(Calculator!E23,tbSkills!DH3:DI6,2,FALSE)+IF(AND(Calculator!B8=TRUE,Backdoors!BI16=TRUE),VLOOKUP(Calculator!E23,tbSkills!DH3:DJ6,3,FALSE),0),0)))/100)),1))*IF(VLOOKUP(A103,tbMoveset!A2:K112,11,FALSE)=TRUE,Backdoors!AC5,1))*CP103,0),"")</f>
        <v>0</v>
      </c>
      <c r="CT103" s="49">
        <f>VLOOKUP(A103,tbMoveset!A2:G112,7,FALSE)*IFERROR(IF(Backdoors!AI12&gt;=0,1+(IF(Calculator!E40&gt;0,VLOOKUP(Calculator!E40,tbSkills!AI3:AJ5,2,FALSE),Backdoors!AL4)*(IF((Backdoors!AI12+IF(CO103&gt;=0.45,VLOOKUP(Calculator!E23,tbSkills!DH3:DI6,2,FALSE)+IF(AND(Calculator!B8=TRUE,Backdoors!BI16=TRUE),VLOOKUP(Calculator!E23,tbSkills!DH3:DJ6,3,FALSE),0),0))&gt;=100,100,(Backdoors!AI12+IF(CO103&gt;=0.45,VLOOKUP(Calculator!E23,tbSkills!DH3:DI6,2,FALSE)+IF(AND(Calculator!B8=TRUE,Backdoors!BI16=TRUE),VLOOKUP(Calculator!E23,tbSkills!DH3:DJ6,3,FALSE),0),0)))/100)),1),1)</f>
        <v>0.4</v>
      </c>
      <c r="CU103" s="87">
        <f t="shared" si="64"/>
        <v>0</v>
      </c>
      <c r="CV103" s="86" t="str">
        <f>IFERROR(IF(VLOOKUP(A103,tbMoveset!A2:B112,2,FALSE)="Sever",Backdoors!AY17/100,IF(VLOOKUP(A103,tbMoveset!A2:B112,2,FALSE)="Blunt",Backdoors!AZ17/100,Backdoors!BA17/100)),"")</f>
        <v/>
      </c>
      <c r="CW103" s="49">
        <f>IFERROR(IF(VLOOKUP(tbMoveset!A103,tbMoveset!A2:H112,8,FALSE)="Other",IF(VLOOKUP(tbMoveset!A103,tbMoveset!A2:I112,9,FALSE)="Fire",Backdoors!BB17,IF(VLOOKUP(tbMoveset!A103,tbMoveset!A2:I112,9,FALSE)="Water",Backdoors!BC17,IF(VLOOKUP(tbMoveset!A103,tbMoveset!A2:I112,9,FALSE)="Thunder",Backdoors!BD17,IF(VLOOKUP(tbMoveset!A103,tbMoveset!A2:I112,9,FALSE)="Ice",Backdoors!BE17,IF(VLOOKUP(tbMoveset!A103,tbMoveset!A2:I112,9,FALSE)="Dragon",Backdoors!BF17,Backdoors!BG17)))))/100,Backdoors!BG17/100),"")</f>
        <v>0</v>
      </c>
      <c r="CX103" s="49">
        <f>IFERROR(IF(VLOOKUP(A103,tbMoveset!A2:J112,10,FALSE)=TRUE,IF((Backdoors!AI12+IF(CV103&gt;=0.45,VLOOKUP(Calculator!E23,tbSkills!DH3:DI6,2,FALSE)+IF(AND(Calculator!B8=TRUE,Backdoors!BI17=TRUE),VLOOKUP(Calculator!E23,tbSkills!DH3:DJ6,3,FALSE),0),0))&gt;=0,1+(Backdoors!AL2*(IF((Backdoors!AI12+IF(CV103&gt;=0.45,VLOOKUP(Calculator!E23,tbSkills!DH3:DI6,2,FALSE)+IF(AND(Calculator!B8=TRUE,Backdoors!BI17=TRUE),VLOOKUP(Calculator!E23,tbSkills!DH3:DJ6,3,FALSE),0),0))&gt;=100,100,(Backdoors!AI12+IF(CV103&gt;=0.45,VLOOKUP(Calculator!E23,tbSkills!DH3:DI6,2,FALSE)+IF(AND(Calculator!B8=TRUE,Backdoors!BI17=TRUE),VLOOKUP(Calculator!E23,tbSkills!DH3:DJ6,3,FALSE),0),0)))/100)),(1-(0.25*((-Backdoors!AI12-IF(CV103&gt;=0.45,VLOOKUP(Calculator!E23,tbSkills!DH3:DI6,2,FALSE)+IF(AND(Calculator!B8=TRUE,Backdoors!BI17=TRUE),VLOOKUP(Calculator!E23,tbSkills!DH3:DJ6,3,FALSE),0),0))/100)))),1),"")</f>
        <v>1</v>
      </c>
      <c r="CY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V103)*CX103)*(VLOOKUP(A103,tbMoveset!A2:C112,3,FALSE)/100)*IF(VLOOKUP(A103,tbMoveset!A2:B112,2,FALSE)="Projectile",Backdoors!N10,Backdoors!N9),0),"")</f>
        <v/>
      </c>
      <c r="CZ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V103&gt;=0.45,VLOOKUP(Calculator!E23,tbSkills!DH3:DI6,2,FALSE)+IF(AND(Calculator!B8=TRUE,Backdoors!BI17=TRUE),VLOOKUP(Calculator!E23,tbSkills!DH3:DJ6,3,FALSE),0),0))&gt;=100,100,(Backdoors!AI12+IF(CV103&gt;=0.45,VLOOKUP(Calculator!E23,tbSkills!DH3:DI6,2,FALSE)+IF(AND(Calculator!B8=TRUE,Backdoors!BI17=TRUE),VLOOKUP(Calculator!E23,tbSkills!DH3:DJ6,3,FALSE),0),0)))/100)),1))*IF(VLOOKUP(A103,tbMoveset!A2:K112,11,FALSE)=TRUE,Backdoors!AC5,1))*CW103,0),"")</f>
        <v>0</v>
      </c>
      <c r="DA103" s="49">
        <f>VLOOKUP(A103,tbMoveset!A2:G112,7,FALSE)*IFERROR(IF(Backdoors!AI12&gt;=0,1+(IF(Calculator!E40&gt;0,VLOOKUP(Calculator!E40,tbSkills!AI3:AJ5,2,FALSE),Backdoors!AL4)*(IF((Backdoors!AI12+IF(CV103&gt;=0.45,VLOOKUP(Calculator!E23,tbSkills!DH3:DI6,2,FALSE)+IF(AND(Calculator!B8=TRUE,Backdoors!BI17=TRUE),VLOOKUP(Calculator!E23,tbSkills!DH3:DJ6,3,FALSE),0),0))&gt;=100,100,(Backdoors!AI12+IF(CV103&gt;=0.45,VLOOKUP(Calculator!E23,tbSkills!DH3:DI6,2,FALSE)+IF(AND(Calculator!B8=TRUE,Backdoors!BI17=TRUE),VLOOKUP(Calculator!E23,tbSkills!DH3:DJ6,3,FALSE),0),0)))/100)),1),1)</f>
        <v>0.4</v>
      </c>
      <c r="DB103" s="87">
        <f t="shared" si="65"/>
        <v>0</v>
      </c>
      <c r="DC103" s="86" t="str">
        <f>IFERROR(IF(VLOOKUP(A103,tbMoveset!A2:B112,2,FALSE)="Sever",Backdoors!AY18/100,IF(VLOOKUP(A103,tbMoveset!A2:B112,2,FALSE)="Blunt",Backdoors!AZ18/100,Backdoors!BA18/100)),"")</f>
        <v/>
      </c>
      <c r="DD103" s="49">
        <f>IFERROR(IF(VLOOKUP(tbMoveset!A103,tbMoveset!A2:H112,8,FALSE)="Other",IF(VLOOKUP(tbMoveset!A103,tbMoveset!A2:I112,9,FALSE)="Fire",Backdoors!BB18,IF(VLOOKUP(tbMoveset!A103,tbMoveset!A2:I112,9,FALSE)="Water",Backdoors!BC18,IF(VLOOKUP(tbMoveset!A103,tbMoveset!A2:I112,9,FALSE)="Thunder",Backdoors!BD18,IF(VLOOKUP(tbMoveset!A103,tbMoveset!A2:I112,9,FALSE)="Ice",Backdoors!BE18,IF(VLOOKUP(tbMoveset!A103,tbMoveset!A2:I112,9,FALSE)="Dragon",Backdoors!BF18,Backdoors!BG18)))))/100,Backdoors!BG18/100),"")</f>
        <v>0</v>
      </c>
      <c r="DE103" s="49">
        <f>IFERROR(IF(VLOOKUP(A103,tbMoveset!A2:J112,10,FALSE)=TRUE,IF((Backdoors!AI12+IF(DC103&gt;=0.45,VLOOKUP(Calculator!E23,tbSkills!DH3:DI6,2,FALSE)+IF(AND(Calculator!B8=TRUE,Backdoors!BI18=TRUE),VLOOKUP(Calculator!E23,tbSkills!DH3:DJ6,3,FALSE),0),0))&gt;=0,1+(Backdoors!AL2*(IF((Backdoors!AI12+IF(DC103&gt;=0.45,VLOOKUP(Calculator!E23,tbSkills!DH3:DI6,2,FALSE)+IF(AND(Calculator!B8=TRUE,Backdoors!BI18=TRUE),VLOOKUP(Calculator!E23,tbSkills!DH3:DJ6,3,FALSE),0),0))&gt;=100,100,(Backdoors!AI12+IF(DC103&gt;=0.45,VLOOKUP(Calculator!E23,tbSkills!DH3:DI6,2,FALSE)+IF(AND(Calculator!B8=TRUE,Backdoors!BI18=TRUE),VLOOKUP(Calculator!E23,tbSkills!DH3:DJ6,3,FALSE),0),0)))/100)),(1-(0.25*((-Backdoors!AI12-IF(DC103&gt;=0.45,VLOOKUP(Calculator!E23,tbSkills!DH3:DI6,2,FALSE)+IF(AND(Calculator!B8=TRUE,Backdoors!BI18=TRUE),VLOOKUP(Calculator!E23,tbSkills!DH3:DJ6,3,FALSE),0),0))/100)))),1),"")</f>
        <v>1</v>
      </c>
      <c r="DF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C103)*DE103)*(VLOOKUP(A103,tbMoveset!A2:C112,3,FALSE)/100)*IF(VLOOKUP(A103,tbMoveset!A2:B112,2,FALSE)="Projectile",Backdoors!N10,Backdoors!N9),0),"")</f>
        <v/>
      </c>
      <c r="DG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C103&gt;=0.45,VLOOKUP(Calculator!E23,tbSkills!DH3:DI6,2,FALSE)+IF(AND(Calculator!B8=TRUE,Backdoors!BI18=TRUE),VLOOKUP(Calculator!E23,tbSkills!DH3:DJ6,3,FALSE),0),0))&gt;=100,100,(Backdoors!AI12+IF(DC103&gt;=0.45,VLOOKUP(Calculator!E23,tbSkills!DH3:DI6,2,FALSE)+IF(AND(Calculator!B8=TRUE,Backdoors!BI18=TRUE),VLOOKUP(Calculator!E23,tbSkills!DH3:DJ6,3,FALSE),0),0)))/100)),1))*IF(VLOOKUP(A103,tbMoveset!A2:K112,11,FALSE)=TRUE,Backdoors!AC5,1))*DD103,0),"")</f>
        <v>0</v>
      </c>
      <c r="DH103" s="49">
        <f>VLOOKUP(A103,tbMoveset!A2:G112,7,FALSE)*IFERROR(IF(Backdoors!AI12&gt;=0,1+(IF(Calculator!E40&gt;0,VLOOKUP(Calculator!E40,tbSkills!AI3:AJ5,2,FALSE),Backdoors!AL4)*(IF((Backdoors!AI12+IF(DC103&gt;=0.45,VLOOKUP(Calculator!E23,tbSkills!DH3:DI6,2,FALSE)+IF(AND(Calculator!B8=TRUE,Backdoors!BI18=TRUE),VLOOKUP(Calculator!E23,tbSkills!DH3:DJ6,3,FALSE),0),0))&gt;=100,100,(Backdoors!AI12+IF(DC103&gt;=0.45,VLOOKUP(Calculator!E23,tbSkills!DH3:DI6,2,FALSE)+IF(AND(Calculator!B8=TRUE,Backdoors!BI18=TRUE),VLOOKUP(Calculator!E23,tbSkills!DH3:DJ6,3,FALSE),0),0)))/100)),1),1)</f>
        <v>0.4</v>
      </c>
      <c r="DI103" s="87">
        <f t="shared" si="66"/>
        <v>0</v>
      </c>
      <c r="DJ103" s="86" t="str">
        <f>IFERROR(IF(VLOOKUP(A103,tbMoveset!A2:B112,2,FALSE)="Sever",Backdoors!AY19/100,IF(VLOOKUP(A103,tbMoveset!A2:B112,2,FALSE)="Blunt",Backdoors!AZ19/100,Backdoors!BA19/100)),"")</f>
        <v/>
      </c>
      <c r="DK103" s="49">
        <f>IFERROR(IF(VLOOKUP(tbMoveset!A103,tbMoveset!A2:H112,8,FALSE)="Other",IF(VLOOKUP(tbMoveset!A103,tbMoveset!A2:I112,9,FALSE)="Fire",Backdoors!BB19,IF(VLOOKUP(tbMoveset!A103,tbMoveset!A2:I112,9,FALSE)="Water",Backdoors!BC19,IF(VLOOKUP(tbMoveset!A103,tbMoveset!A2:I112,9,FALSE)="Thunder",Backdoors!BD19,IF(VLOOKUP(tbMoveset!A103,tbMoveset!A2:I112,9,FALSE)="Ice",Backdoors!BE19,IF(VLOOKUP(tbMoveset!A103,tbMoveset!A2:I112,9,FALSE)="Dragon",Backdoors!BF19,Backdoors!BG19)))))/100,Backdoors!BG19/100),"")</f>
        <v>0</v>
      </c>
      <c r="DL103" s="49">
        <f>IFERROR(IF(VLOOKUP(A103,tbMoveset!A2:J112,10,FALSE)=TRUE,IF((Backdoors!AI12+IF(DJ103&gt;=0.45,VLOOKUP(Calculator!E23,tbSkills!DH3:DI6,2,FALSE)+IF(AND(Calculator!B8=TRUE,Backdoors!BI19=TRUE),VLOOKUP(Calculator!E23,tbSkills!DH3:DJ6,3,FALSE),0),0))&gt;=0,1+(Backdoors!AL2*(IF((Backdoors!AI12+IF(DJ103&gt;=0.45,VLOOKUP(Calculator!E23,tbSkills!DH3:DI6,2,FALSE)+IF(AND(Calculator!B8=TRUE,Backdoors!BI19=TRUE),VLOOKUP(Calculator!E23,tbSkills!DH3:DJ6,3,FALSE),0),0))&gt;=100,100,(Backdoors!AI12+IF(DJ103&gt;=0.45,VLOOKUP(Calculator!E23,tbSkills!DH3:DI6,2,FALSE)+IF(AND(Calculator!B8=TRUE,Backdoors!BI19=TRUE),VLOOKUP(Calculator!E23,tbSkills!DH3:DJ6,3,FALSE),0),0)))/100)),(1-(0.25*((-Backdoors!AI12-IF(DJ103&gt;=0.45,VLOOKUP(Calculator!E23,tbSkills!DH3:DI6,2,FALSE)+IF(AND(Calculator!B8=TRUE,Backdoors!BI19=TRUE),VLOOKUP(Calculator!E23,tbSkills!DH3:DJ6,3,FALSE),0),0))/100)))),1),"")</f>
        <v>1</v>
      </c>
      <c r="DM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J103)*DL103)*(VLOOKUP(A103,tbMoveset!A2:C112,3,FALSE)/100)*IF(VLOOKUP(A103,tbMoveset!A2:B112,2,FALSE)="Projectile",Backdoors!N10,Backdoors!N9),0),"")</f>
        <v/>
      </c>
      <c r="DN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J103&gt;=0.45,VLOOKUP(Calculator!E23,tbSkills!DH3:DI6,2,FALSE)+IF(AND(Calculator!B8=TRUE,Backdoors!BI19=TRUE),VLOOKUP(Calculator!E23,tbSkills!DH3:DJ6,3,FALSE),0),0))&gt;=100,100,(Backdoors!AI12+IF(DJ103&gt;=0.45,VLOOKUP(Calculator!E23,tbSkills!DH3:DI6,2,FALSE)+IF(AND(Calculator!B8=TRUE,Backdoors!BI19=TRUE),VLOOKUP(Calculator!E23,tbSkills!DH3:DJ6,3,FALSE),0),0)))/100)),1))*IF(VLOOKUP(A103,tbMoveset!A2:K112,11,FALSE)=TRUE,Backdoors!AC5,1))*DK103,0),"")</f>
        <v>0</v>
      </c>
      <c r="DO103" s="49">
        <f>VLOOKUP(A103,tbMoveset!A2:G112,7,FALSE)*IFERROR(IF(Backdoors!AI12&gt;=0,1+(IF(Calculator!E40&gt;0,VLOOKUP(Calculator!E40,tbSkills!AI3:AJ5,2,FALSE),Backdoors!AL4)*(IF((Backdoors!AI12+IF(DJ103&gt;=0.45,VLOOKUP(Calculator!E23,tbSkills!DH3:DI6,2,FALSE)+IF(AND(Calculator!B8=TRUE,Backdoors!BI19=TRUE),VLOOKUP(Calculator!E23,tbSkills!DH3:DJ6,3,FALSE),0),0))&gt;=100,100,(Backdoors!AI12+IF(DJ103&gt;=0.45,VLOOKUP(Calculator!E23,tbSkills!DH3:DI6,2,FALSE)+IF(AND(Calculator!B8=TRUE,Backdoors!BI19=TRUE),VLOOKUP(Calculator!E23,tbSkills!DH3:DJ6,3,FALSE),0),0)))/100)),1),1)</f>
        <v>0.4</v>
      </c>
      <c r="DP103" s="87">
        <f t="shared" si="67"/>
        <v>0</v>
      </c>
      <c r="DQ103" s="86" t="str">
        <f>IFERROR(IF(VLOOKUP(A103,tbMoveset!A2:B112,2,FALSE)="Sever",Backdoors!AY20/100,IF(VLOOKUP(A103,tbMoveset!A2:B112,2,FALSE)="Blunt",Backdoors!AZ20/100,Backdoors!BA20/100)),"")</f>
        <v/>
      </c>
      <c r="DR103" s="49">
        <f>IFERROR(IF(VLOOKUP(tbMoveset!A103,tbMoveset!A2:H112,8,FALSE)="Other",IF(VLOOKUP(tbMoveset!A103,tbMoveset!A2:I112,9,FALSE)="Fire",Backdoors!BB20,IF(VLOOKUP(tbMoveset!A103,tbMoveset!A2:I112,9,FALSE)="Water",Backdoors!BC20,IF(VLOOKUP(tbMoveset!A103,tbMoveset!A2:I112,9,FALSE)="Thunder",Backdoors!BD20,IF(VLOOKUP(tbMoveset!A103,tbMoveset!A2:I112,9,FALSE)="Ice",Backdoors!BE20,IF(VLOOKUP(tbMoveset!A103,tbMoveset!A2:I112,9,FALSE)="Dragon",Backdoors!BF20,Backdoors!BG20)))))/100,Backdoors!BG20/100),"")</f>
        <v>0</v>
      </c>
      <c r="DS103" s="49">
        <f>IFERROR(IF(VLOOKUP(A103,tbMoveset!A2:J112,10,FALSE)=TRUE,IF((Backdoors!AI12+IF(DQ103&gt;=0.45,VLOOKUP(Calculator!E23,tbSkills!DH3:DI6,2,FALSE)+IF(AND(Calculator!B8=TRUE,Backdoors!BI20=TRUE),VLOOKUP(Calculator!E23,tbSkills!DH3:DJ6,3,FALSE),0),0))&gt;=0,1+(Backdoors!AL2*(IF((Backdoors!AI12+IF(DQ103&gt;=0.45,VLOOKUP(Calculator!E23,tbSkills!DH3:DI6,2,FALSE)+IF(AND(Calculator!B8=TRUE,Backdoors!BI20=TRUE),VLOOKUP(Calculator!E23,tbSkills!DH3:DJ6,3,FALSE),0),0))&gt;=100,100,(Backdoors!AI12+IF(DQ103&gt;=0.45,VLOOKUP(Calculator!E23,tbSkills!DH3:DI6,2,FALSE)+IF(AND(Calculator!B8=TRUE,Backdoors!BI20=TRUE),VLOOKUP(Calculator!E23,tbSkills!DH3:DJ6,3,FALSE),0),0)))/100)),(1-(0.25*((-Backdoors!AI12-IF(DQ103&gt;=0.45,VLOOKUP(Calculator!E23,tbSkills!DH3:DI6,2,FALSE)+IF(AND(Calculator!B8=TRUE,Backdoors!BI20=TRUE),VLOOKUP(Calculator!E23,tbSkills!DH3:DJ6,3,FALSE),0),0))/100)))),1),"")</f>
        <v>1</v>
      </c>
      <c r="DT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Q103)*DS103)*(VLOOKUP(A103,tbMoveset!A2:C112,3,FALSE)/100)*IF(VLOOKUP(A103,tbMoveset!A2:B112,2,FALSE)="Projectile",Backdoors!N10,Backdoors!N9),0),"")</f>
        <v/>
      </c>
      <c r="DU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Q103&gt;=0.45,VLOOKUP(Calculator!E23,tbSkills!DH3:DI6,2,FALSE)+IF(AND(Calculator!B8=TRUE,Backdoors!BI20=TRUE),VLOOKUP(Calculator!E23,tbSkills!DH3:DJ6,3,FALSE),0),0))&gt;=100,100,(Backdoors!AI12+IF(DQ103&gt;=0.45,VLOOKUP(Calculator!E23,tbSkills!DH3:DI6,2,FALSE)+IF(AND(Calculator!B8=TRUE,Backdoors!BI20=TRUE),VLOOKUP(Calculator!E23,tbSkills!DH3:DJ6,3,FALSE),0),0)))/100)),1))*IF(VLOOKUP(A103,tbMoveset!A2:K112,11,FALSE)=TRUE,Backdoors!AC5,1))*DR103,0),"")</f>
        <v>0</v>
      </c>
      <c r="DV103" s="49">
        <f>VLOOKUP(A103,tbMoveset!A2:G112,7,FALSE)*IFERROR(IF(Backdoors!AI12&gt;=0,1+(IF(Calculator!E40&gt;0,VLOOKUP(Calculator!E40,tbSkills!AI3:AJ5,2,FALSE),Backdoors!AL4)*(IF((Backdoors!AI12+IF(DQ103&gt;=0.45,VLOOKUP(Calculator!E23,tbSkills!DH3:DI6,2,FALSE)+IF(AND(Calculator!B8=TRUE,Backdoors!BI20=TRUE),VLOOKUP(Calculator!E23,tbSkills!DH3:DJ6,3,FALSE),0),0))&gt;=100,100,(Backdoors!AI12+IF(DQ103&gt;=0.45,VLOOKUP(Calculator!E23,tbSkills!DH3:DI6,2,FALSE)+IF(AND(Calculator!B8=TRUE,Backdoors!BI20=TRUE),VLOOKUP(Calculator!E23,tbSkills!DH3:DJ6,3,FALSE),0),0)))/100)),1),1)</f>
        <v>0.4</v>
      </c>
      <c r="DW103" s="87">
        <f t="shared" si="68"/>
        <v>0</v>
      </c>
      <c r="DX103" s="86" t="str">
        <f>IFERROR(IF(VLOOKUP(A103,tbMoveset!A2:B112,2,FALSE)="Sever",Backdoors!AY21/100,IF(VLOOKUP(A103,tbMoveset!A2:B112,2,FALSE)="Blunt",Backdoors!AZ21/100,Backdoors!BA21/100)),"")</f>
        <v/>
      </c>
      <c r="DY103" s="49">
        <f>IFERROR(IF(VLOOKUP(tbMoveset!A103,tbMoveset!A2:H112,8,FALSE)="Other",IF(VLOOKUP(tbMoveset!A103,tbMoveset!A2:I112,9,FALSE)="Fire",Backdoors!BB21,IF(VLOOKUP(tbMoveset!A103,tbMoveset!A2:I112,9,FALSE)="Water",Backdoors!BC21,IF(VLOOKUP(tbMoveset!A103,tbMoveset!A2:I112,9,FALSE)="Thunder",Backdoors!BD21,IF(VLOOKUP(tbMoveset!A103,tbMoveset!A2:I112,9,FALSE)="Ice",Backdoors!BE21,IF(VLOOKUP(tbMoveset!A103,tbMoveset!A2:I112,9,FALSE)="Dragon",Backdoors!BF21,Backdoors!BG21)))))/100,Backdoors!BG21/100),"")</f>
        <v>0</v>
      </c>
      <c r="DZ103" s="49">
        <f>IFERROR(IF(VLOOKUP(A103,tbMoveset!A2:J112,10,FALSE)=TRUE,IF((Backdoors!AI12+IF(DX103&gt;=0.45,VLOOKUP(Calculator!E23,tbSkills!DH3:DI6,2,FALSE)+IF(AND(Calculator!B8=TRUE,Backdoors!BI21=TRUE),VLOOKUP(Calculator!E23,tbSkills!DH3:DJ6,3,FALSE),0),0))&gt;=0,1+(Backdoors!AL2*(IF((Backdoors!AI12+IF(DX103&gt;=0.45,VLOOKUP(Calculator!E23,tbSkills!DH3:DI6,2,FALSE)+IF(AND(Calculator!B8=TRUE,Backdoors!BI21=TRUE),VLOOKUP(Calculator!E23,tbSkills!DH3:DJ6,3,FALSE),0),0))&gt;=100,100,(Backdoors!AI12+IF(DX103&gt;=0.45,VLOOKUP(Calculator!E23,tbSkills!DH3:DI6,2,FALSE)+IF(AND(Calculator!B8=TRUE,Backdoors!BI21=TRUE),VLOOKUP(Calculator!E23,tbSkills!DH3:DJ6,3,FALSE),0),0)))/100)),(1-(0.25*((-Backdoors!AI12-IF(DX103&gt;=0.45,VLOOKUP(Calculator!E23,tbSkills!DH3:DI6,2,FALSE)+IF(AND(Calculator!B8=TRUE,Backdoors!BI21=TRUE),VLOOKUP(Calculator!E23,tbSkills!DH3:DJ6,3,FALSE),0),0))/100)))),1),"")</f>
        <v>1</v>
      </c>
      <c r="EA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X103)*DZ103)*(VLOOKUP(A103,tbMoveset!A2:C112,3,FALSE)/100)*IF(VLOOKUP(A103,tbMoveset!A2:B112,2,FALSE)="Projectile",Backdoors!N10,Backdoors!N9),0),"")</f>
        <v/>
      </c>
      <c r="EB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X103&gt;=0.45,VLOOKUP(Calculator!E23,tbSkills!DH3:DI6,2,FALSE)+IF(AND(Calculator!B8=TRUE,Backdoors!BI21=TRUE),VLOOKUP(Calculator!E23,tbSkills!DH3:DJ6,3,FALSE),0),0))&gt;=100,100,(Backdoors!AI12+IF(DX103&gt;=0.45,VLOOKUP(Calculator!E23,tbSkills!DH3:DI6,2,FALSE)+IF(AND(Calculator!B8=TRUE,Backdoors!BI21=TRUE),VLOOKUP(Calculator!E23,tbSkills!DH3:DJ6,3,FALSE),0),0)))/100)),1))*IF(VLOOKUP(A103,tbMoveset!A2:K112,11,FALSE)=TRUE,Backdoors!AC5,1))*DY103,0),"")</f>
        <v>0</v>
      </c>
      <c r="EC103" s="49">
        <f>VLOOKUP(A103,tbMoveset!A2:G112,7,FALSE)*IFERROR(IF(Backdoors!AI12&gt;=0,1+(IF(Calculator!E40&gt;0,VLOOKUP(Calculator!E40,tbSkills!AI3:AJ5,2,FALSE),Backdoors!AL4)*(IF((Backdoors!AI12+IF(DX103&gt;=0.45,VLOOKUP(Calculator!E23,tbSkills!DH3:DI6,2,FALSE)+IF(AND(Calculator!B8=TRUE,Backdoors!BI21=TRUE),VLOOKUP(Calculator!E23,tbSkills!DH3:DJ6,3,FALSE),0),0))&gt;=100,100,(Backdoors!AI12+IF(DX103&gt;=0.45,VLOOKUP(Calculator!E23,tbSkills!DH3:DI6,2,FALSE)+IF(AND(Calculator!B8=TRUE,Backdoors!BI21=TRUE),VLOOKUP(Calculator!E23,tbSkills!DH3:DJ6,3,FALSE),0),0)))/100)),1),1)</f>
        <v>0.4</v>
      </c>
      <c r="ED103" s="87">
        <f t="shared" si="69"/>
        <v>0</v>
      </c>
      <c r="EE103" s="86" t="str">
        <f>IFERROR(IF(VLOOKUP(A103,tbMoveset!A2:B112,2,FALSE)="Sever",Backdoors!AY22/100,IF(VLOOKUP(A103,tbMoveset!A2:B112,2,FALSE)="Blunt",Backdoors!AZ22/100,Backdoors!BA22/100)),"")</f>
        <v/>
      </c>
      <c r="EF103" s="49">
        <f>IFERROR(IF(VLOOKUP(tbMoveset!A103,tbMoveset!A2:H112,8,FALSE)="Other",IF(VLOOKUP(tbMoveset!A103,tbMoveset!A2:I112,9,FALSE)="Fire",Backdoors!BB22,IF(VLOOKUP(tbMoveset!A103,tbMoveset!A2:I112,9,FALSE)="Water",Backdoors!BC22,IF(VLOOKUP(tbMoveset!A103,tbMoveset!A2:I112,9,FALSE)="Thunder",Backdoors!BD22,IF(VLOOKUP(tbMoveset!A103,tbMoveset!A2:I112,9,FALSE)="Ice",Backdoors!BE22,IF(VLOOKUP(tbMoveset!A103,tbMoveset!A2:I112,9,FALSE)="Dragon",Backdoors!BF22,Backdoors!BG22)))))/100,Backdoors!BG22/100),"")</f>
        <v>0</v>
      </c>
      <c r="EG103" s="49">
        <f>IFERROR(IF(VLOOKUP(A103,tbMoveset!A2:J112,10,FALSE)=TRUE,IF((Backdoors!AI12+IF(EE103&gt;=0.45,VLOOKUP(Calculator!E23,tbSkills!DH3:DI6,2,FALSE)+IF(AND(Calculator!B8=TRUE,Backdoors!BI22=TRUE),VLOOKUP(Calculator!E23,tbSkills!DH3:DJ6,3,FALSE),0),0))&gt;=0,1+(Backdoors!AL2*(IF((Backdoors!AI12+IF(EE103&gt;=0.45,VLOOKUP(Calculator!E23,tbSkills!DH3:DI6,2,FALSE)+IF(AND(Calculator!B8=TRUE,Backdoors!BI22=TRUE),VLOOKUP(Calculator!E23,tbSkills!DH3:DJ6,3,FALSE),0),0))&gt;=100,100,(Backdoors!AI12+IF(EE103&gt;=0.45,VLOOKUP(Calculator!E23,tbSkills!DH3:DI6,2,FALSE)+IF(AND(Calculator!B8=TRUE,Backdoors!BI22=TRUE),VLOOKUP(Calculator!E23,tbSkills!DH3:DJ6,3,FALSE),0),0)))/100)),(1-(0.25*((-Backdoors!AI12-IF(EE103&gt;=0.45,VLOOKUP(Calculator!E23,tbSkills!DH3:DI6,2,FALSE)+IF(AND(Calculator!B8=TRUE,Backdoors!BI22=TRUE),VLOOKUP(Calculator!E23,tbSkills!DH3:DJ6,3,FALSE),0),0))/100)))),1),"")</f>
        <v>1</v>
      </c>
      <c r="EH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E103)*EG103)*(VLOOKUP(A103,tbMoveset!A2:C112,3,FALSE)/100)*IF(VLOOKUP(A103,tbMoveset!A2:B112,2,FALSE)="Projectile",Backdoors!N10,Backdoors!N9),0),"")</f>
        <v/>
      </c>
      <c r="EI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E103&gt;=0.45,VLOOKUP(Calculator!E23,tbSkills!DH3:DI6,2,FALSE)+IF(AND(Calculator!B8=TRUE,Backdoors!BI22=TRUE),VLOOKUP(Calculator!E23,tbSkills!DH3:DJ6,3,FALSE),0),0))&gt;=100,100,(Backdoors!AI12+IF(EE103&gt;=0.45,VLOOKUP(Calculator!E23,tbSkills!DH3:DI6,2,FALSE)+IF(AND(Calculator!B8=TRUE,Backdoors!BI22=TRUE),VLOOKUP(Calculator!E23,tbSkills!DH3:DJ6,3,FALSE),0),0)))/100)),1))*IF(VLOOKUP(A103,tbMoveset!A2:K112,11,FALSE)=TRUE,Backdoors!AC5,1))*EF103,0),"")</f>
        <v>0</v>
      </c>
      <c r="EJ103" s="49">
        <f>VLOOKUP(A103,tbMoveset!A2:G112,7,FALSE)*IFERROR(IF(Backdoors!AI12&gt;=0,1+(IF(Calculator!E40&gt;0,VLOOKUP(Calculator!E40,tbSkills!AI3:AJ5,2,FALSE),Backdoors!AL4)*(IF((Backdoors!AI12+IF(EE103&gt;=0.45,VLOOKUP(Calculator!E23,tbSkills!DH3:DI6,2,FALSE)+IF(AND(Calculator!B8=TRUE,Backdoors!BI22=TRUE),VLOOKUP(Calculator!E23,tbSkills!DH3:DJ6,3,FALSE),0),0))&gt;=100,100,(Backdoors!AI12+IF(EE103&gt;=0.45,VLOOKUP(Calculator!E23,tbSkills!DH3:DI6,2,FALSE)+IF(AND(Calculator!B8=TRUE,Backdoors!BI22=TRUE),VLOOKUP(Calculator!E23,tbSkills!DH3:DJ6,3,FALSE),0),0)))/100)),1),1)</f>
        <v>0.4</v>
      </c>
      <c r="EK103" s="87">
        <f t="shared" si="70"/>
        <v>0</v>
      </c>
      <c r="EL103" s="86" t="str">
        <f>IFERROR(IF(VLOOKUP(A103,tbMoveset!A2:B112,2,FALSE)="Sever",Backdoors!AY23/100,IF(VLOOKUP(A103,tbMoveset!A2:B112,2,FALSE)="Blunt",Backdoors!AZ23/100,Backdoors!BA23/100)),"")</f>
        <v/>
      </c>
      <c r="EM103" s="49">
        <f>IFERROR(IF(VLOOKUP(tbMoveset!A103,tbMoveset!A2:H112,8,FALSE)="Other",IF(VLOOKUP(tbMoveset!A103,tbMoveset!A2:I112,9,FALSE)="Fire",Backdoors!BB23,IF(VLOOKUP(tbMoveset!A103,tbMoveset!A2:I112,9,FALSE)="Water",Backdoors!BC23,IF(VLOOKUP(tbMoveset!A103,tbMoveset!A2:I112,9,FALSE)="Thunder",Backdoors!BD23,IF(VLOOKUP(tbMoveset!A103,tbMoveset!A2:I112,9,FALSE)="Ice",Backdoors!BE23,IF(VLOOKUP(tbMoveset!A103,tbMoveset!A2:I112,9,FALSE)="Dragon",Backdoors!BF23,Backdoors!BG23)))))/100,Backdoors!BG23/100),"")</f>
        <v>0</v>
      </c>
      <c r="EN103" s="49">
        <f>IFERROR(IF(VLOOKUP(A103,tbMoveset!A2:J112,10,FALSE)=TRUE,IF((Backdoors!AI12+IF(EL103&gt;=0.45,VLOOKUP(Calculator!E23,tbSkills!DH3:DI6,2,FALSE)+IF(AND(Calculator!B8=TRUE,Backdoors!BI23=TRUE),VLOOKUP(Calculator!E23,tbSkills!DH3:DJ6,3,FALSE),0),0))&gt;=0,1+(Backdoors!AL2*(IF((Backdoors!AI12+IF(EL103&gt;=0.45,VLOOKUP(Calculator!E23,tbSkills!DH3:DI6,2,FALSE)+IF(AND(Calculator!B8=TRUE,Backdoors!BI23=TRUE),VLOOKUP(Calculator!E23,tbSkills!DH3:DJ6,3,FALSE),0),0))&gt;=100,100,(Backdoors!AI12+IF(EL103&gt;=0.45,VLOOKUP(Calculator!E23,tbSkills!DH3:DI6,2,FALSE)+IF(AND(Calculator!B8=TRUE,Backdoors!BI23=TRUE),VLOOKUP(Calculator!E23,tbSkills!DH3:DJ6,3,FALSE),0),0)))/100)),(1-(0.25*((-Backdoors!AI12-IF(EL103&gt;=0.45,VLOOKUP(Calculator!E23,tbSkills!DH3:DI6,2,FALSE)+IF(AND(Calculator!B8=TRUE,Backdoors!BI23=TRUE),VLOOKUP(Calculator!E23,tbSkills!DH3:DJ6,3,FALSE),0),0))/100)))),1),"")</f>
        <v>1</v>
      </c>
      <c r="EO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L103)*EN103)*(VLOOKUP(A103,tbMoveset!A2:C112,3,FALSE)/100)*IF(VLOOKUP(A103,tbMoveset!A2:B112,2,FALSE)="Projectile",Backdoors!N10,Backdoors!N9),0),"")</f>
        <v/>
      </c>
      <c r="EP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L103&gt;=0.45,VLOOKUP(Calculator!E23,tbSkills!DH3:DI6,2,FALSE)+IF(AND(Calculator!B8=TRUE,Backdoors!BI23=TRUE),VLOOKUP(Calculator!E23,tbSkills!DH3:DJ6,3,FALSE),0),0))&gt;=100,100,(Backdoors!AI12+IF(EL103&gt;=0.45,VLOOKUP(Calculator!E23,tbSkills!DH3:DI6,2,FALSE)+IF(AND(Calculator!B8=TRUE,Backdoors!BI23=TRUE),VLOOKUP(Calculator!E23,tbSkills!DH3:DJ6,3,FALSE),0),0)))/100)),1))*IF(VLOOKUP(A103,tbMoveset!A2:K112,11,FALSE)=TRUE,Backdoors!AC5,1))*EM103,0),"")</f>
        <v>0</v>
      </c>
      <c r="EQ103" s="49">
        <f>VLOOKUP(A103,tbMoveset!A2:G112,7,FALSE)*IFERROR(IF(Backdoors!AI12&gt;=0,1+(IF(Calculator!E40&gt;0,VLOOKUP(Calculator!E40,tbSkills!AI3:AJ5,2,FALSE),Backdoors!AL4)*(IF((Backdoors!AI12+IF(EL103&gt;=0.45,VLOOKUP(Calculator!E23,tbSkills!DH3:DI6,2,FALSE)+IF(AND(Calculator!B8=TRUE,Backdoors!BI23=TRUE),VLOOKUP(Calculator!E23,tbSkills!DH3:DJ6,3,FALSE),0),0))&gt;=100,100,(Backdoors!AI12+IF(EL103&gt;=0.45,VLOOKUP(Calculator!E23,tbSkills!DH3:DI6,2,FALSE)+IF(AND(Calculator!B8=TRUE,Backdoors!BI23=TRUE),VLOOKUP(Calculator!E23,tbSkills!DH3:DJ6,3,FALSE),0),0)))/100)),1),1)</f>
        <v>0.4</v>
      </c>
      <c r="ER103" s="87">
        <f t="shared" si="71"/>
        <v>0</v>
      </c>
      <c r="ES103" s="86" t="str">
        <f>IFERROR(IF(VLOOKUP(A103,tbMoveset!A2:B112,2,FALSE)="Sever",Backdoors!AY24/100,IF(VLOOKUP(A103,tbMoveset!A2:B112,2,FALSE)="Blunt",Backdoors!AZ24/100,Backdoors!BA24/100)),"")</f>
        <v/>
      </c>
      <c r="ET103" s="49">
        <f>IFERROR(IF(VLOOKUP(tbMoveset!A103,tbMoveset!A2:H112,8,FALSE)="Other",IF(VLOOKUP(tbMoveset!A103,tbMoveset!A2:I112,9,FALSE)="Fire",Backdoors!BB24,IF(VLOOKUP(tbMoveset!A103,tbMoveset!A2:I112,9,FALSE)="Water",Backdoors!BC24,IF(VLOOKUP(tbMoveset!A103,tbMoveset!A2:I112,9,FALSE)="Thunder",Backdoors!BD24,IF(VLOOKUP(tbMoveset!A103,tbMoveset!A2:I112,9,FALSE)="Ice",Backdoors!BE24,IF(VLOOKUP(tbMoveset!A103,tbMoveset!A2:I112,9,FALSE)="Dragon",Backdoors!BF24,Backdoors!BG24)))))/100,Backdoors!BG24/100),"")</f>
        <v>0</v>
      </c>
      <c r="EU103" s="49">
        <f>IFERROR(IF(VLOOKUP(A103,tbMoveset!A2:J112,10,FALSE)=TRUE,IF((Backdoors!AI12+IF(ES103&gt;=0.45,VLOOKUP(Calculator!E23,tbSkills!DH3:DI6,2,FALSE)+IF(AND(Calculator!B8=TRUE,Backdoors!BI24=TRUE),VLOOKUP(Calculator!E23,tbSkills!DH3:DJ6,3,FALSE),0),0))&gt;=0,1+(Backdoors!AL2*(IF((Backdoors!AI12+IF(ES103&gt;=0.45,VLOOKUP(Calculator!E23,tbSkills!DH3:DI6,2,FALSE)+IF(AND(Calculator!B8=TRUE,Backdoors!BI24=TRUE),VLOOKUP(Calculator!E23,tbSkills!DH3:DJ6,3,FALSE),0),0))&gt;=100,100,(Backdoors!AI12+IF(ES103&gt;=0.45,VLOOKUP(Calculator!E23,tbSkills!DH3:DI6,2,FALSE)+IF(AND(Calculator!B8=TRUE,Backdoors!BI24=TRUE),VLOOKUP(Calculator!E23,tbSkills!DH3:DJ6,3,FALSE),0),0)))/100)),(1-(0.25*((-Backdoors!AI12-IF(ES103&gt;=0.45,VLOOKUP(Calculator!E23,tbSkills!DH3:DI6,2,FALSE)+IF(AND(Calculator!B8=TRUE,Backdoors!BI24=TRUE),VLOOKUP(Calculator!E23,tbSkills!DH3:DJ6,3,FALSE),0),0))/100)))),1),"")</f>
        <v>1</v>
      </c>
      <c r="EV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S103)*EU103)*(VLOOKUP(A103,tbMoveset!A2:C112,3,FALSE)/100)*IF(VLOOKUP(A103,tbMoveset!A2:B112,2,FALSE)="Projectile",Backdoors!N10,Backdoors!N9),0),"")</f>
        <v/>
      </c>
      <c r="EW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S103&gt;=0.45,VLOOKUP(Calculator!E23,tbSkills!DH3:DI6,2,FALSE)+IF(AND(Calculator!B8=TRUE,Backdoors!BI24=TRUE),VLOOKUP(Calculator!E23,tbSkills!DH3:DJ6,3,FALSE),0),0))&gt;=100,100,(Backdoors!AI12+IF(ES103&gt;=0.45,VLOOKUP(Calculator!E23,tbSkills!DH3:DI6,2,FALSE)+IF(AND(Calculator!B8=TRUE,Backdoors!BI24=TRUE),VLOOKUP(Calculator!E23,tbSkills!DH3:DJ6,3,FALSE),0),0)))/100)),1))*IF(VLOOKUP(A103,tbMoveset!A2:K112,11,FALSE)=TRUE,Backdoors!AC5,1))*ET103,0),"")</f>
        <v>0</v>
      </c>
      <c r="EX103" s="49">
        <f>VLOOKUP(A103,tbMoveset!A2:G112,7,FALSE)*IFERROR(IF(Backdoors!AI12&gt;=0,1+(IF(Calculator!E40&gt;0,VLOOKUP(Calculator!E40,tbSkills!AI3:AJ5,2,FALSE),Backdoors!AL4)*(IF((Backdoors!AI12+IF(ES103&gt;=0.45,VLOOKUP(Calculator!E23,tbSkills!DH3:DI6,2,FALSE)+IF(AND(Calculator!B8=TRUE,Backdoors!BI24=TRUE),VLOOKUP(Calculator!E23,tbSkills!DH3:DJ6,3,FALSE),0),0))&gt;=100,100,(Backdoors!AI12+IF(ES103&gt;=0.45,VLOOKUP(Calculator!E23,tbSkills!DH3:DI6,2,FALSE)+IF(AND(Calculator!B8=TRUE,Backdoors!BI24=TRUE),VLOOKUP(Calculator!E23,tbSkills!DH3:DJ6,3,FALSE),0),0)))/100)),1),1)</f>
        <v>0.4</v>
      </c>
      <c r="EY103" s="87">
        <f t="shared" si="72"/>
        <v>0</v>
      </c>
      <c r="EZ103" s="86" t="str">
        <f>IFERROR(IF(VLOOKUP(A103,tbMoveset!A2:B112,2,FALSE)="Sever",Backdoors!AY25/100,IF(VLOOKUP(A103,tbMoveset!A2:B112,2,FALSE)="Blunt",Backdoors!AZ25/100,Backdoors!BA25/100)),"")</f>
        <v/>
      </c>
      <c r="FA103" s="49">
        <f>IFERROR(IF(VLOOKUP(tbMoveset!A103,tbMoveset!A2:H112,8,FALSE)="Other",IF(VLOOKUP(tbMoveset!A103,tbMoveset!A2:I112,9,FALSE)="Fire",Backdoors!BB25,IF(VLOOKUP(tbMoveset!A103,tbMoveset!A2:I112,9,FALSE)="Water",Backdoors!BC25,IF(VLOOKUP(tbMoveset!A103,tbMoveset!A2:I112,9,FALSE)="Thunder",Backdoors!BD25,IF(VLOOKUP(tbMoveset!A103,tbMoveset!A2:I112,9,FALSE)="Ice",Backdoors!BE25,IF(VLOOKUP(tbMoveset!A103,tbMoveset!A2:I112,9,FALSE)="Dragon",Backdoors!BF25,Backdoors!BG25)))))/100,Backdoors!BG25/100),"")</f>
        <v>0</v>
      </c>
      <c r="FB103" s="49">
        <f>IFERROR(IF(VLOOKUP(A103,tbMoveset!A2:J112,10,FALSE)=TRUE,IF((Backdoors!AI12+IF(EZ103&gt;=0.45,VLOOKUP(Calculator!E23,tbSkills!DH3:DI6,2,FALSE)+IF(AND(Calculator!B8=TRUE,Backdoors!BI25=TRUE),VLOOKUP(Calculator!E23,tbSkills!DH3:DJ6,3,FALSE),0),0))&gt;=0,1+(Backdoors!AL2*(IF((Backdoors!AI12+IF(EZ103&gt;=0.45,VLOOKUP(Calculator!E23,tbSkills!DH3:DI6,2,FALSE)+IF(AND(Calculator!B8=TRUE,Backdoors!BI25=TRUE),VLOOKUP(Calculator!E23,tbSkills!DH3:DJ6,3,FALSE),0),0))&gt;=100,100,(Backdoors!AI12+IF(EZ103&gt;=0.45,VLOOKUP(Calculator!E23,tbSkills!DH3:DI6,2,FALSE)+IF(AND(Calculator!B8=TRUE,Backdoors!BI25=TRUE),VLOOKUP(Calculator!E23,tbSkills!DH3:DJ6,3,FALSE),0),0)))/100)),(1-(0.25*((-Backdoors!AI12-IF(EZ103&gt;=0.45,VLOOKUP(Calculator!E23,tbSkills!DH3:DI6,2,FALSE)+IF(AND(Calculator!B8=TRUE,Backdoors!BI25=TRUE),VLOOKUP(Calculator!E23,tbSkills!DH3:DJ6,3,FALSE),0),0))/100)))),1),"")</f>
        <v>1</v>
      </c>
      <c r="FC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Z103)*FB103)*(VLOOKUP(A103,tbMoveset!A2:C112,3,FALSE)/100)*IF(VLOOKUP(A103,tbMoveset!A2:B112,2,FALSE)="Projectile",Backdoors!N10,Backdoors!N9),0),"")</f>
        <v/>
      </c>
      <c r="FD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Z103&gt;=0.45,VLOOKUP(Calculator!E23,tbSkills!DH3:DI6,2,FALSE)+IF(AND(Calculator!B8=TRUE,Backdoors!BI25=TRUE),VLOOKUP(Calculator!E23,tbSkills!DH3:DJ6,3,FALSE),0),0))&gt;=100,100,(Backdoors!AI12+IF(EZ103&gt;=0.45,VLOOKUP(Calculator!E23,tbSkills!DH3:DI6,2,FALSE)+IF(AND(Calculator!B8=TRUE,Backdoors!BI25=TRUE),VLOOKUP(Calculator!E23,tbSkills!DH3:DJ6,3,FALSE),0),0)))/100)),1))*IF(VLOOKUP(A103,tbMoveset!A2:K112,11,FALSE)=TRUE,Backdoors!AC5,1))*FA103,0),"")</f>
        <v>0</v>
      </c>
      <c r="FE103" s="49">
        <f>VLOOKUP(A103,tbMoveset!A2:G112,7,FALSE)*IFERROR(IF(Backdoors!AI12&gt;=0,1+(IF(Calculator!E40&gt;0,VLOOKUP(Calculator!E40,tbSkills!AI3:AJ5,2,FALSE),Backdoors!AL4)*(IF((Backdoors!AI12+IF(EZ103&gt;=0.45,VLOOKUP(Calculator!E23,tbSkills!DH3:DI6,2,FALSE)+IF(AND(Calculator!B8=TRUE,Backdoors!BI25=TRUE),VLOOKUP(Calculator!E23,tbSkills!DH3:DJ6,3,FALSE),0),0))&gt;=100,100,(Backdoors!AI12+IF(EZ103&gt;=0.45,VLOOKUP(Calculator!E23,tbSkills!DH3:DI6,2,FALSE)+IF(AND(Calculator!B8=TRUE,Backdoors!BI25=TRUE),VLOOKUP(Calculator!E23,tbSkills!DH3:DJ6,3,FALSE),0),0)))/100)),1),1)</f>
        <v>0.4</v>
      </c>
      <c r="FF103" s="87">
        <f t="shared" si="73"/>
        <v>0</v>
      </c>
      <c r="FG103" s="86" t="str">
        <f>IFERROR(IF(VLOOKUP(A103,tbMoveset!A2:B112,2,FALSE)="Sever",Backdoors!AY26/100,IF(VLOOKUP(A103,tbMoveset!A2:B112,2,FALSE)="Blunt",Backdoors!AZ26/100,Backdoors!BA26/100)),"")</f>
        <v/>
      </c>
      <c r="FH103" s="49">
        <f>IFERROR(IF(VLOOKUP(tbMoveset!A103,tbMoveset!A2:H112,8,FALSE)="Other",IF(VLOOKUP(tbMoveset!A103,tbMoveset!A2:I112,9,FALSE)="Fire",Backdoors!BB26,IF(VLOOKUP(tbMoveset!A103,tbMoveset!A2:I112,9,FALSE)="Water",Backdoors!BC26,IF(VLOOKUP(tbMoveset!A103,tbMoveset!A2:I112,9,FALSE)="Thunder",Backdoors!BD26,IF(VLOOKUP(tbMoveset!A103,tbMoveset!A2:I112,9,FALSE)="Ice",Backdoors!BE26,IF(VLOOKUP(tbMoveset!A103,tbMoveset!A2:I112,9,FALSE)="Dragon",Backdoors!BF26,Backdoors!BG26)))))/100,Backdoors!BG26/100),"")</f>
        <v>0</v>
      </c>
      <c r="FI103" s="49">
        <f>IFERROR(IF(VLOOKUP(A103,tbMoveset!A2:J112,10,FALSE)=TRUE,IF((Backdoors!AI12+IF(FG103&gt;=0.45,VLOOKUP(Calculator!E23,tbSkills!DH3:DI6,2,FALSE)+IF(AND(Calculator!B8=TRUE,Backdoors!BI26=TRUE),VLOOKUP(Calculator!E23,tbSkills!DH3:DJ6,3,FALSE),0),0))&gt;=0,1+(Backdoors!AL2*(IF((Backdoors!AI12+IF(FG103&gt;=0.45,VLOOKUP(Calculator!E23,tbSkills!DH3:DI6,2,FALSE)+IF(AND(Calculator!B8=TRUE,Backdoors!BI26=TRUE),VLOOKUP(Calculator!E23,tbSkills!DH3:DJ6,3,FALSE),0),0))&gt;=100,100,(Backdoors!AI12+IF(FG103&gt;=0.45,VLOOKUP(Calculator!E23,tbSkills!DH3:DI6,2,FALSE)+IF(AND(Calculator!B8=TRUE,Backdoors!BI26=TRUE),VLOOKUP(Calculator!E23,tbSkills!DH3:DJ6,3,FALSE),0),0)))/100)),(1-(0.25*((-Backdoors!AI12-IF(FG103&gt;=0.45,VLOOKUP(Calculator!E23,tbSkills!DH3:DI6,2,FALSE)+IF(AND(Calculator!B8=TRUE,Backdoors!BI26=TRUE),VLOOKUP(Calculator!E23,tbSkills!DH3:DJ6,3,FALSE),0),0))/100)))),1),"")</f>
        <v>1</v>
      </c>
      <c r="FJ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FG103)*FI103)*(VLOOKUP(A103,tbMoveset!A2:C112,3,FALSE)/100)*IF(VLOOKUP(A103,tbMoveset!A2:B112,2,FALSE)="Projectile",Backdoors!N10,Backdoors!N9),0),"")</f>
        <v/>
      </c>
      <c r="FK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FG103&gt;=0.45,VLOOKUP(Calculator!E23,tbSkills!DH3:DI6,2,FALSE)+IF(AND(Calculator!B8=TRUE,Backdoors!BI26=TRUE),VLOOKUP(Calculator!E23,tbSkills!DH3:DJ6,3,FALSE),0),0))&gt;=100,100,(Backdoors!AI12+IF(FG103&gt;=0.45,VLOOKUP(Calculator!E23,tbSkills!DH3:DI6,2,FALSE)+IF(AND(Calculator!B8=TRUE,Backdoors!BI26=TRUE),VLOOKUP(Calculator!E23,tbSkills!DH3:DJ6,3,FALSE),0),0)))/100)),1))*IF(VLOOKUP(A103,tbMoveset!A2:K112,11,FALSE)=TRUE,Backdoors!AC5,1))*FH103,0),"")</f>
        <v>0</v>
      </c>
      <c r="FL103" s="49">
        <f>VLOOKUP(A103,tbMoveset!A2:G112,7,FALSE)*IFERROR(IF(Backdoors!AI12&gt;=0,1+(IF(Calculator!E40&gt;0,VLOOKUP(Calculator!E40,tbSkills!AI3:AJ5,2,FALSE),Backdoors!AL4)*(IF((Backdoors!AI12+IF(FG103&gt;=0.45,VLOOKUP(Calculator!E23,tbSkills!DH3:DI6,2,FALSE)+IF(AND(Calculator!B8=TRUE,Backdoors!BI26=TRUE),VLOOKUP(Calculator!E23,tbSkills!DH3:DJ6,3,FALSE),0),0))&gt;=100,100,(Backdoors!AI12+IF(FG103&gt;=0.45,VLOOKUP(Calculator!E23,tbSkills!DH3:DI6,2,FALSE)+IF(AND(Calculator!B8=TRUE,Backdoors!BI26=TRUE),VLOOKUP(Calculator!E23,tbSkills!DH3:DJ6,3,FALSE),0),0)))/100)),1),1)</f>
        <v>0.4</v>
      </c>
      <c r="FM103" s="87">
        <f t="shared" si="74"/>
        <v>0</v>
      </c>
      <c r="FN103" s="86" t="str">
        <f>IFERROR(IF(VLOOKUP(A103,tbMoveset!A2:B112,2,FALSE)="Sever",Backdoors!AY27/100,IF(VLOOKUP(A103,tbMoveset!A2:B112,2,FALSE)="Blunt",Backdoors!AZ27/100,Backdoors!BA27/100)),"")</f>
        <v/>
      </c>
      <c r="FO103" s="49">
        <f>IFERROR(IF(VLOOKUP(tbMoveset!A103,tbMoveset!A2:H112,8,FALSE)="Other",IF(VLOOKUP(tbMoveset!A103,tbMoveset!A2:I112,9,FALSE)="Fire",Backdoors!BB27,IF(VLOOKUP(tbMoveset!A103,tbMoveset!A2:I112,9,FALSE)="Water",Backdoors!BC27,IF(VLOOKUP(tbMoveset!A103,tbMoveset!A2:I112,9,FALSE)="Thunder",Backdoors!BD27,IF(VLOOKUP(tbMoveset!A103,tbMoveset!A2:I112,9,FALSE)="Ice",Backdoors!BE27,IF(VLOOKUP(tbMoveset!A103,tbMoveset!A2:I112,9,FALSE)="Dragon",Backdoors!BF27,Backdoors!BG27)))))/100,Backdoors!BG27/100),"")</f>
        <v>0</v>
      </c>
      <c r="FP103" s="49">
        <f>IFERROR(IF(VLOOKUP(A103,tbMoveset!A2:J112,10,FALSE)=TRUE,IF((Backdoors!AI12+IF(FN103&gt;=0.45,VLOOKUP(Calculator!E23,tbSkills!DH3:DI6,2,FALSE)+IF(AND(Calculator!B8=TRUE,Backdoors!BI27=TRUE),VLOOKUP(Calculator!E23,tbSkills!DH3:DJ6,3,FALSE),0),0))&gt;=0,1+(Backdoors!AL2*(IF((Backdoors!AI12+IF(FN103&gt;=0.45,VLOOKUP(Calculator!E23,tbSkills!DH3:DI6,2,FALSE)+IF(AND(Calculator!B8=TRUE,Backdoors!BI27=TRUE),VLOOKUP(Calculator!E23,tbSkills!DH3:DJ6,3,FALSE),0),0))&gt;=100,100,(Backdoors!AI12+IF(FN103&gt;=0.45,VLOOKUP(Calculator!E23,tbSkills!DH3:DI6,2,FALSE)+IF(AND(Calculator!B8=TRUE,Backdoors!BI27=TRUE),VLOOKUP(Calculator!E23,tbSkills!DH3:DJ6,3,FALSE),0),0)))/100)),(1-(0.25*((-Backdoors!AI12-IF(FN103&gt;=0.45,VLOOKUP(Calculator!E23,tbSkills!DH3:DI6,2,FALSE)+IF(AND(Calculator!B8=TRUE,Backdoors!BI27=TRUE),VLOOKUP(Calculator!E23,tbSkills!DH3:DJ6,3,FALSE),0),0))/100)))),1),"")</f>
        <v>1</v>
      </c>
      <c r="FQ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FN103)*FP103)*(VLOOKUP(A103,tbMoveset!A2:C112,3,FALSE)/100)*IF(VLOOKUP(A103,tbMoveset!A2:B112,2,FALSE)="Projectile",Backdoors!N10,Backdoors!N9),0),"")</f>
        <v/>
      </c>
      <c r="FR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FN103&gt;=0.45,VLOOKUP(Calculator!E23,tbSkills!DH3:DI6,2,FALSE)+IF(AND(Calculator!B8=TRUE,Backdoors!BI27=TRUE),VLOOKUP(Calculator!E23,tbSkills!DH3:DJ6,3,FALSE),0),0))&gt;=100,100,(Backdoors!AI12+IF(FN103&gt;=0.45,VLOOKUP(Calculator!E23,tbSkills!DH3:DI6,2,FALSE)+IF(AND(Calculator!B8=TRUE,Backdoors!BI27=TRUE),VLOOKUP(Calculator!E23,tbSkills!DH3:DJ6,3,FALSE),0),0)))/100)),1))*IF(VLOOKUP(A103,tbMoveset!A2:K112,11,FALSE)=TRUE,Backdoors!AC5,1))*FO103,0),"")</f>
        <v>0</v>
      </c>
      <c r="FS103" s="49">
        <f>VLOOKUP(A103,tbMoveset!A2:G112,7,FALSE)*IFERROR(IF(Backdoors!AI12&gt;=0,1+(IF(Calculator!E40&gt;0,VLOOKUP(Calculator!E40,tbSkills!AI3:AJ5,2,FALSE),Backdoors!AL4)*(IF((Backdoors!AI12+IF(FN103&gt;=0.45,VLOOKUP(Calculator!E23,tbSkills!DH3:DI6,2,FALSE)+IF(AND(Calculator!B8=TRUE,Backdoors!BI27=TRUE),VLOOKUP(Calculator!E23,tbSkills!DH3:DJ6,3,FALSE),0),0))&gt;=100,100,(Backdoors!AI12+IF(FN103&gt;=0.45,VLOOKUP(Calculator!E23,tbSkills!DH3:DI6,2,FALSE)+IF(AND(Calculator!B8=TRUE,Backdoors!BI27=TRUE),VLOOKUP(Calculator!E23,tbSkills!DH3:DJ6,3,FALSE),0),0)))/100)),1),1)</f>
        <v>0.4</v>
      </c>
      <c r="FT103" s="87">
        <f t="shared" si="75"/>
        <v>0</v>
      </c>
      <c r="FU103" s="86" t="str">
        <f>IFERROR(IF(VLOOKUP(A103,tbMoveset!A2:B112,2,FALSE)="Sever",Backdoors!AY28/100,IF(VLOOKUP(A103,tbMoveset!A2:B112,2,FALSE)="Blunt",Backdoors!AZ28/100,Backdoors!BA28/100)),"")</f>
        <v/>
      </c>
      <c r="FV103" s="49">
        <f>IFERROR(IF(VLOOKUP(tbMoveset!A103,tbMoveset!A2:H112,8,FALSE)="Other",IF(VLOOKUP(tbMoveset!A103,tbMoveset!A2:I112,9,FALSE)="Fire",Backdoors!BB28,IF(VLOOKUP(tbMoveset!A103,tbMoveset!A2:I112,9,FALSE)="Water",Backdoors!BC28,IF(VLOOKUP(tbMoveset!A103,tbMoveset!A2:I112,9,FALSE)="Thunder",Backdoors!BD28,IF(VLOOKUP(tbMoveset!A103,tbMoveset!A2:I112,9,FALSE)="Ice",Backdoors!BE28,IF(VLOOKUP(tbMoveset!A103,tbMoveset!A2:I112,9,FALSE)="Dragon",Backdoors!BF28,Backdoors!BG28)))))/100,Backdoors!BG28/100),"")</f>
        <v>0</v>
      </c>
      <c r="FW103" s="49">
        <f>IFERROR(IF(VLOOKUP(A103,tbMoveset!A2:J112,10,FALSE)=TRUE,IF((Backdoors!AI12+IF(FU103&gt;=0.45,VLOOKUP(Calculator!E23,tbSkills!DH3:DI6,2,FALSE)+IF(AND(Calculator!B8=TRUE,Backdoors!BI28=TRUE),VLOOKUP(Calculator!E23,tbSkills!DH3:DJ6,3,FALSE),0),0))&gt;=0,1+(Backdoors!AL2*(IF((Backdoors!AI12+IF(FU103&gt;=0.45,VLOOKUP(Calculator!E23,tbSkills!DH3:DI6,2,FALSE)+IF(AND(Calculator!B8=TRUE,Backdoors!BI28=TRUE),VLOOKUP(Calculator!E23,tbSkills!DH3:DJ6,3,FALSE),0),0))&gt;=100,100,(Backdoors!AI12+IF(FU103&gt;=0.45,VLOOKUP(Calculator!E23,tbSkills!DH3:DI6,2,FALSE)+IF(AND(Calculator!B8=TRUE,Backdoors!BI28=TRUE),VLOOKUP(Calculator!E23,tbSkills!DH3:DJ6,3,FALSE),0),0)))/100)),(1-(0.25*((-Backdoors!AI12-IF(FU103&gt;=0.45,VLOOKUP(Calculator!E23,tbSkills!DH3:DI6,2,FALSE)+IF(AND(Calculator!B8=TRUE,Backdoors!BI28=TRUE),VLOOKUP(Calculator!E23,tbSkills!DH3:DJ6,3,FALSE),0),0))/100)))),1),"")</f>
        <v>1</v>
      </c>
      <c r="FX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FU103)*FW103)*(VLOOKUP(A103,tbMoveset!A2:C112,3,FALSE)/100)*IF(VLOOKUP(A103,tbMoveset!A2:B112,2,FALSE)="Projectile",Backdoors!N10,Backdoors!N9),0),"")</f>
        <v/>
      </c>
      <c r="FY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FU103&gt;=0.45,VLOOKUP(Calculator!E23,tbSkills!DH3:DI6,2,FALSE)+IF(AND(Calculator!B8=TRUE,Backdoors!BI28=TRUE),VLOOKUP(Calculator!E23,tbSkills!DH3:DJ6,3,FALSE),0),0))&gt;=100,100,(Backdoors!AI12+IF(FU103&gt;=0.45,VLOOKUP(Calculator!E23,tbSkills!DH3:DI6,2,FALSE)+IF(AND(Calculator!B8=TRUE,Backdoors!BI28=TRUE),VLOOKUP(Calculator!E23,tbSkills!DH3:DJ6,3,FALSE),0),0)))/100)),1))*IF(VLOOKUP(A103,tbMoveset!A2:K112,11,FALSE)=TRUE,Backdoors!AC5,1))*FV103,0),"")</f>
        <v>0</v>
      </c>
      <c r="FZ103" s="49">
        <f>VLOOKUP(A103,tbMoveset!A2:G112,7,FALSE)*IFERROR(IF(Backdoors!AI12&gt;=0,1+(IF(Calculator!E40&gt;0,VLOOKUP(Calculator!E40,tbSkills!AI3:AJ5,2,FALSE),Backdoors!AL4)*(IF((Backdoors!AI12+IF(FU103&gt;=0.45,VLOOKUP(Calculator!E23,tbSkills!DH3:DI6,2,FALSE)+IF(AND(Calculator!B8=TRUE,Backdoors!BI28=TRUE),VLOOKUP(Calculator!E23,tbSkills!DH3:DJ6,3,FALSE),0),0))&gt;=100,100,(Backdoors!AI12+IF(FU103&gt;=0.45,VLOOKUP(Calculator!E23,tbSkills!DH3:DI6,2,FALSE)+IF(AND(Calculator!B8=TRUE,Backdoors!BI28=TRUE),VLOOKUP(Calculator!E23,tbSkills!DH3:DJ6,3,FALSE),0),0)))/100)),1),1)</f>
        <v>0.4</v>
      </c>
      <c r="GA103" s="87">
        <f t="shared" si="76"/>
        <v>0</v>
      </c>
      <c r="GB103" s="86" t="str">
        <f>IFERROR(IF(VLOOKUP(A103,tbMoveset!A2:B112,2,FALSE)="Sever",Backdoors!AY29/100,IF(VLOOKUP(A103,tbMoveset!A2:B112,2,FALSE)="Blunt",Backdoors!AZ29/100,Backdoors!BA29/100)),"")</f>
        <v/>
      </c>
      <c r="GC103" s="49">
        <f>IFERROR(IF(VLOOKUP(tbMoveset!A103,tbMoveset!A2:H112,8,FALSE)="Other",IF(VLOOKUP(tbMoveset!A103,tbMoveset!A2:I112,9,FALSE)="Fire",Backdoors!BB29,IF(VLOOKUP(tbMoveset!A103,tbMoveset!A2:I112,9,FALSE)="Water",Backdoors!BC29,IF(VLOOKUP(tbMoveset!A103,tbMoveset!A2:I112,9,FALSE)="Thunder",Backdoors!BD29,IF(VLOOKUP(tbMoveset!A103,tbMoveset!A2:I112,9,FALSE)="Ice",Backdoors!BE29,IF(VLOOKUP(tbMoveset!A103,tbMoveset!A2:I112,9,FALSE)="Dragon",Backdoors!BF29,Backdoors!BG29)))))/100,Backdoors!BG29/100),"")</f>
        <v>0</v>
      </c>
      <c r="GD103" s="49">
        <f>IFERROR(IF(VLOOKUP(A103,tbMoveset!A2:J112,10,FALSE)=TRUE,IF((Backdoors!AI12+IF(GB103&gt;=0.45,VLOOKUP(Calculator!E23,tbSkills!DH3:DI6,2,FALSE)+IF(AND(Calculator!B8=TRUE,Backdoors!BI29=TRUE),VLOOKUP(Calculator!E23,tbSkills!DH3:DJ6,3,FALSE),0),0))&gt;=0,1+(Backdoors!AL2*(IF((Backdoors!AI12+IF(GB103&gt;=0.45,VLOOKUP(Calculator!E23,tbSkills!DH3:DI6,2,FALSE)+IF(AND(Calculator!B8=TRUE,Backdoors!BI29=TRUE),VLOOKUP(Calculator!E23,tbSkills!DH3:DJ6,3,FALSE),0),0))&gt;=100,100,(Backdoors!AI12+IF(GB103&gt;=0.45,VLOOKUP(Calculator!E23,tbSkills!DH3:DI6,2,FALSE)+IF(AND(Calculator!B8=TRUE,Backdoors!BI29=TRUE),VLOOKUP(Calculator!E23,tbSkills!DH3:DJ6,3,FALSE),0),0)))/100)),(1-(0.25*((-Backdoors!AI12-IF(GB103&gt;=0.45,VLOOKUP(Calculator!E23,tbSkills!DH3:DI6,2,FALSE)+IF(AND(Calculator!B8=TRUE,Backdoors!BI29=TRUE),VLOOKUP(Calculator!E23,tbSkills!DH3:DJ6,3,FALSE),0),0))/100)))),1),"")</f>
        <v>1</v>
      </c>
      <c r="GE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B103)*GD103)*(VLOOKUP(A103,tbMoveset!A2:C112,3,FALSE)/100)*IF(VLOOKUP(A103,tbMoveset!A2:B112,2,FALSE)="Projectile",Backdoors!N10,Backdoors!N9),0),"")</f>
        <v/>
      </c>
      <c r="GF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B103&gt;=0.45,VLOOKUP(Calculator!E23,tbSkills!DH3:DI6,2,FALSE)+IF(AND(Calculator!B8=TRUE,Backdoors!BI29=TRUE),VLOOKUP(Calculator!E23,tbSkills!DH3:DJ6,3,FALSE),0),0))&gt;=100,100,(Backdoors!AI12+IF(GB103&gt;=0.45,VLOOKUP(Calculator!E23,tbSkills!DH3:DI6,2,FALSE)+IF(AND(Calculator!B8=TRUE,Backdoors!BI29=TRUE),VLOOKUP(Calculator!E23,tbSkills!DH3:DJ6,3,FALSE),0),0)))/100)),1))*IF(VLOOKUP(A103,tbMoveset!A2:K112,11,FALSE)=TRUE,Backdoors!AC5,1))*GC103,0),"")</f>
        <v>0</v>
      </c>
      <c r="GG103" s="49">
        <f>VLOOKUP(A103,tbMoveset!A2:G112,7,FALSE)*IFERROR(IF(Backdoors!AI12&gt;=0,1+(IF(Calculator!E40&gt;0,VLOOKUP(Calculator!E40,tbSkills!AI3:AJ5,2,FALSE),Backdoors!AL4)*(IF((Backdoors!AI12+IF(GB103&gt;=0.45,VLOOKUP(Calculator!E23,tbSkills!DH3:DI6,2,FALSE)+IF(AND(Calculator!B8=TRUE,Backdoors!BI29=TRUE),VLOOKUP(Calculator!E23,tbSkills!DH3:DJ6,3,FALSE),0),0))&gt;=100,100,(Backdoors!AI12+IF(GB103&gt;=0.45,VLOOKUP(Calculator!E23,tbSkills!DH3:DI6,2,FALSE)+IF(AND(Calculator!B8=TRUE,Backdoors!BI29=TRUE),VLOOKUP(Calculator!E23,tbSkills!DH3:DJ6,3,FALSE),0),0)))/100)),1),1)</f>
        <v>0.4</v>
      </c>
      <c r="GH103" s="87">
        <f t="shared" si="77"/>
        <v>0</v>
      </c>
      <c r="GI103" s="86" t="str">
        <f>IFERROR(IF(VLOOKUP(A103,tbMoveset!A2:B112,2,FALSE)="Sever",Backdoors!AY30/100,IF(VLOOKUP(A103,tbMoveset!A2:B112,2,FALSE)="Blunt",Backdoors!AZ30/100,Backdoors!BA30/100)),"")</f>
        <v/>
      </c>
      <c r="GJ103" s="49">
        <f>IFERROR(IF(VLOOKUP(tbMoveset!A103,tbMoveset!A2:H112,8,FALSE)="Other",IF(VLOOKUP(tbMoveset!A103,tbMoveset!A2:I112,9,FALSE)="Fire",Backdoors!BB30,IF(VLOOKUP(tbMoveset!A103,tbMoveset!A2:I112,9,FALSE)="Water",Backdoors!BC30,IF(VLOOKUP(tbMoveset!A103,tbMoveset!A2:I112,9,FALSE)="Thunder",Backdoors!BD30,IF(VLOOKUP(tbMoveset!A103,tbMoveset!A2:I112,9,FALSE)="Ice",Backdoors!BE30,IF(VLOOKUP(tbMoveset!A103,tbMoveset!A2:I112,9,FALSE)="Dragon",Backdoors!BF30,Backdoors!BG30)))))/100,Backdoors!BG30/100),"")</f>
        <v>0</v>
      </c>
      <c r="GK103" s="49">
        <f>IFERROR(IF(VLOOKUP(A103,tbMoveset!A2:J112,10,FALSE)=TRUE,IF((Backdoors!AI12+IF(GI103&gt;=0.45,VLOOKUP(Calculator!E23,tbSkills!DH3:DI6,2,FALSE)+IF(AND(Calculator!B8=TRUE,Backdoors!BI30=TRUE),VLOOKUP(Calculator!E23,tbSkills!DH3:DJ6,3,FALSE),0),0))&gt;=0,1+(Backdoors!AL2*(IF((Backdoors!AI12+IF(GI103&gt;=0.45,VLOOKUP(Calculator!E23,tbSkills!DH3:DI6,2,FALSE)+IF(AND(Calculator!B8=TRUE,Backdoors!BI30=TRUE),VLOOKUP(Calculator!E23,tbSkills!DH3:DJ6,3,FALSE),0),0))&gt;=100,100,(Backdoors!AI12+IF(GI103&gt;=0.45,VLOOKUP(Calculator!E23,tbSkills!DH3:DI6,2,FALSE)+IF(AND(Calculator!B8=TRUE,Backdoors!BI30=TRUE),VLOOKUP(Calculator!E23,tbSkills!DH3:DJ6,3,FALSE),0),0)))/100)),(1-(0.25*((-Backdoors!AI12-IF(GI103&gt;=0.45,VLOOKUP(Calculator!E23,tbSkills!DH3:DI6,2,FALSE)+IF(AND(Calculator!B8=TRUE,Backdoors!BI30=TRUE),VLOOKUP(Calculator!E23,tbSkills!DH3:DJ6,3,FALSE),0),0))/100)))),1),"")</f>
        <v>1</v>
      </c>
      <c r="GL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I103)*GK103)*(VLOOKUP(A103,tbMoveset!A2:C112,3,FALSE)/100)*IF(VLOOKUP(A103,tbMoveset!A2:B112,2,FALSE)="Projectile",Backdoors!N10,Backdoors!N9),0),"")</f>
        <v/>
      </c>
      <c r="GM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I103&gt;=0.45,VLOOKUP(Calculator!E23,tbSkills!DH3:DI6,2,FALSE)+IF(AND(Calculator!B8=TRUE,Backdoors!BI30=TRUE),VLOOKUP(Calculator!E23,tbSkills!DH3:DJ6,3,FALSE),0),0))&gt;=100,100,(Backdoors!AI12+IF(GI103&gt;=0.45,VLOOKUP(Calculator!E23,tbSkills!DH3:DI6,2,FALSE)+IF(AND(Calculator!B8=TRUE,Backdoors!BI30=TRUE),VLOOKUP(Calculator!E23,tbSkills!DH3:DJ6,3,FALSE),0),0)))/100)),1))*IF(VLOOKUP(A103,tbMoveset!A2:K112,11,FALSE)=TRUE,Backdoors!AC5,1))*GJ103,0),"")</f>
        <v>0</v>
      </c>
      <c r="GN103" s="49">
        <f>VLOOKUP(A103,tbMoveset!A2:G112,7,FALSE)*IFERROR(IF(Backdoors!AI12&gt;=0,1+(IF(Calculator!E40&gt;0,VLOOKUP(Calculator!E40,tbSkills!AI3:AJ5,2,FALSE),Backdoors!AL4)*(IF((Backdoors!AI12+IF(GI103&gt;=0.45,VLOOKUP(Calculator!E23,tbSkills!DH3:DI6,2,FALSE)+IF(AND(Calculator!B8=TRUE,Backdoors!BI30=TRUE),VLOOKUP(Calculator!E23,tbSkills!DH3:DJ6,3,FALSE),0),0))&gt;=100,100,(Backdoors!AI12+IF(GI103&gt;=0.45,VLOOKUP(Calculator!E23,tbSkills!DH3:DI6,2,FALSE)+IF(AND(Calculator!B8=TRUE,Backdoors!BI30=TRUE),VLOOKUP(Calculator!E23,tbSkills!DH3:DJ6,3,FALSE),0),0)))/100)),1),1)</f>
        <v>0.4</v>
      </c>
      <c r="GO103" s="87">
        <f t="shared" si="78"/>
        <v>0</v>
      </c>
      <c r="GP103" s="86" t="str">
        <f>IFERROR(IF(VLOOKUP(A103,tbMoveset!A2:B112,2,FALSE)="Sever",Backdoors!AY31/100,IF(VLOOKUP(A103,tbMoveset!A2:B112,2,FALSE)="Blunt",Backdoors!AZ31/100,Backdoors!BA31/100)),"")</f>
        <v/>
      </c>
      <c r="GQ103" s="49">
        <f>IFERROR(IF(VLOOKUP(tbMoveset!A103,tbMoveset!A2:H112,8,FALSE)="Other",IF(VLOOKUP(tbMoveset!A103,tbMoveset!A2:I112,9,FALSE)="Fire",Backdoors!BB31,IF(VLOOKUP(tbMoveset!A103,tbMoveset!A2:I112,9,FALSE)="Water",Backdoors!BC31,IF(VLOOKUP(tbMoveset!A103,tbMoveset!A2:I112,9,FALSE)="Thunder",Backdoors!BD31,IF(VLOOKUP(tbMoveset!A103,tbMoveset!A2:I112,9,FALSE)="Ice",Backdoors!BE31,IF(VLOOKUP(tbMoveset!A103,tbMoveset!A2:I112,9,FALSE)="Dragon",Backdoors!BF31,Backdoors!BG31)))))/100,Backdoors!BG31/100),"")</f>
        <v>0</v>
      </c>
      <c r="GR103" s="49">
        <f>IFERROR(IF(VLOOKUP(A103,tbMoveset!A2:J112,10,FALSE)=TRUE,IF((Backdoors!AI12+IF(GP103&gt;=0.45,VLOOKUP(Calculator!E23,tbSkills!DH3:DI6,2,FALSE)+IF(AND(Calculator!B8=TRUE,Backdoors!BI31=TRUE),VLOOKUP(Calculator!E23,tbSkills!DH3:DJ6,3,FALSE),0),0))&gt;=0,1+(Backdoors!AL2*(IF((Backdoors!AI12+IF(GP103&gt;=0.45,VLOOKUP(Calculator!E23,tbSkills!DH3:DI6,2,FALSE)+IF(AND(Calculator!B8=TRUE,Backdoors!BI31=TRUE),VLOOKUP(Calculator!E23,tbSkills!DH3:DJ6,3,FALSE),0),0))&gt;=100,100,(Backdoors!AI12+IF(GP103&gt;=0.45,VLOOKUP(Calculator!E23,tbSkills!DH3:DI6,2,FALSE)+IF(AND(Calculator!B8=TRUE,Backdoors!BI31=TRUE),VLOOKUP(Calculator!E23,tbSkills!DH3:DJ6,3,FALSE),0),0)))/100)),(1-(0.25*((-Backdoors!AI12-IF(GP103&gt;=0.45,VLOOKUP(Calculator!E23,tbSkills!DH3:DI6,2,FALSE)+IF(AND(Calculator!B8=TRUE,Backdoors!BI31=TRUE),VLOOKUP(Calculator!E23,tbSkills!DH3:DJ6,3,FALSE),0),0))/100)))),1),"")</f>
        <v>1</v>
      </c>
      <c r="GS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P103)*GR103)*(VLOOKUP(A103,tbMoveset!A2:C112,3,FALSE)/100)*IF(VLOOKUP(A103,tbMoveset!A2:B112,2,FALSE)="Projectile",Backdoors!N10,Backdoors!N9),0),"")</f>
        <v/>
      </c>
      <c r="GT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P103&gt;=0.45,VLOOKUP(Calculator!E23,tbSkills!DH3:DI6,2,FALSE)+IF(AND(Calculator!B8=TRUE,Backdoors!BI31=TRUE),VLOOKUP(Calculator!E23,tbSkills!DH3:DJ6,3,FALSE),0),0))&gt;=100,100,(Backdoors!AI12+IF(GP103&gt;=0.45,VLOOKUP(Calculator!E23,tbSkills!DH3:DI6,2,FALSE)+IF(AND(Calculator!B8=TRUE,Backdoors!BI31=TRUE),VLOOKUP(Calculator!E23,tbSkills!DH3:DJ6,3,FALSE),0),0)))/100)),1))*IF(VLOOKUP(A103,tbMoveset!A2:K112,11,FALSE)=TRUE,Backdoors!AC5,1))*GQ103,0),"")</f>
        <v>0</v>
      </c>
      <c r="GU103" s="49">
        <f>VLOOKUP(A103,tbMoveset!A2:G112,7,FALSE)*IFERROR(IF(Backdoors!AI12&gt;=0,1+(IF(Calculator!E40&gt;0,VLOOKUP(Calculator!E40,tbSkills!AI3:AJ5,2,FALSE),Backdoors!AL4)*(IF((Backdoors!AI12+IF(GP103&gt;=0.45,VLOOKUP(Calculator!E23,tbSkills!DH3:DI6,2,FALSE)+IF(AND(Calculator!B8=TRUE,Backdoors!BI31=TRUE),VLOOKUP(Calculator!E23,tbSkills!DH3:DJ6,3,FALSE),0),0))&gt;=100,100,(Backdoors!AI12+IF(GP103&gt;=0.45,VLOOKUP(Calculator!E23,tbSkills!DH3:DI6,2,FALSE)+IF(AND(Calculator!B8=TRUE,Backdoors!BI31=TRUE),VLOOKUP(Calculator!E23,tbSkills!DH3:DJ6,3,FALSE),0),0)))/100)),1),1)</f>
        <v>0.4</v>
      </c>
      <c r="GV103" s="87">
        <f t="shared" si="79"/>
        <v>0</v>
      </c>
      <c r="GW103" s="86" t="str">
        <f>IFERROR(IF(VLOOKUP(A103,tbMoveset!A2:B112,2,FALSE)="Sever",Backdoors!AY32/100,IF(VLOOKUP(A103,tbMoveset!A2:B112,2,FALSE)="Blunt",Backdoors!AZ32/100,Backdoors!BA32/100)),"")</f>
        <v/>
      </c>
      <c r="GX103" s="49">
        <f>IFERROR(IF(VLOOKUP(tbMoveset!A103,tbMoveset!A2:H112,8,FALSE)="Other",IF(VLOOKUP(tbMoveset!A103,tbMoveset!A2:I112,9,FALSE)="Fire",Backdoors!BB32,IF(VLOOKUP(tbMoveset!A103,tbMoveset!A2:I112,9,FALSE)="Water",Backdoors!BC32,IF(VLOOKUP(tbMoveset!A103,tbMoveset!A2:I112,9,FALSE)="Thunder",Backdoors!BD32,IF(VLOOKUP(tbMoveset!A103,tbMoveset!A2:I112,9,FALSE)="Ice",Backdoors!BE32,IF(VLOOKUP(tbMoveset!A103,tbMoveset!A2:I112,9,FALSE)="Dragon",Backdoors!BF32,Backdoors!BG32)))))/100,Backdoors!BG32/100),"")</f>
        <v>0</v>
      </c>
      <c r="GY103" s="49">
        <f>IFERROR(IF(VLOOKUP(A103,tbMoveset!A2:J112,10,FALSE)=TRUE,IF((Backdoors!AI12+IF(GW103&gt;=0.45,VLOOKUP(Calculator!E23,tbSkills!DH3:DI6,2,FALSE)+IF(AND(Calculator!B8=TRUE,Backdoors!BI32=TRUE),VLOOKUP(Calculator!E23,tbSkills!DH3:DJ6,3,FALSE),0),0))&gt;=0,1+(Backdoors!AL2*(IF((Backdoors!AI12+IF(GW103&gt;=0.45,VLOOKUP(Calculator!E23,tbSkills!DH3:DI6,2,FALSE)+IF(AND(Calculator!B8=TRUE,Backdoors!BI32=TRUE),VLOOKUP(Calculator!E23,tbSkills!DH3:DJ6,3,FALSE),0),0))&gt;=100,100,(Backdoors!AI12+IF(GW103&gt;=0.45,VLOOKUP(Calculator!E23,tbSkills!DH3:DI6,2,FALSE)+IF(AND(Calculator!B8=TRUE,Backdoors!BI32=TRUE),VLOOKUP(Calculator!E23,tbSkills!DH3:DJ6,3,FALSE),0),0)))/100)),(1-(0.25*((-Backdoors!AI12-IF(GW103&gt;=0.45,VLOOKUP(Calculator!E23,tbSkills!DH3:DI6,2,FALSE)+IF(AND(Calculator!B8=TRUE,Backdoors!BI32=TRUE),VLOOKUP(Calculator!E23,tbSkills!DH3:DJ6,3,FALSE),0),0))/100)))),1),"")</f>
        <v>1</v>
      </c>
      <c r="GZ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W103)*GY103)*(VLOOKUP(A103,tbMoveset!A2:C112,3,FALSE)/100)*IF(VLOOKUP(A103,tbMoveset!A2:B112,2,FALSE)="Projectile",Backdoors!N10,Backdoors!N9),0),"")</f>
        <v/>
      </c>
      <c r="HA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W103&gt;=0.45,VLOOKUP(Calculator!E23,tbSkills!DH3:DI6,2,FALSE)+IF(AND(Calculator!B8=TRUE,Backdoors!BI32=TRUE),VLOOKUP(Calculator!E23,tbSkills!DH3:DJ6,3,FALSE),0),0))&gt;=100,100,(Backdoors!AI12+IF(GW103&gt;=0.45,VLOOKUP(Calculator!E23,tbSkills!DH3:DI6,2,FALSE)+IF(AND(Calculator!B8=TRUE,Backdoors!BI32=TRUE),VLOOKUP(Calculator!E23,tbSkills!DH3:DJ6,3,FALSE),0),0)))/100)),1))*IF(VLOOKUP(A103,tbMoveset!A2:K112,11,FALSE)=TRUE,Backdoors!AC5,1))*GX103,0),"")</f>
        <v>0</v>
      </c>
      <c r="HB103" s="49">
        <f>VLOOKUP(A103,tbMoveset!A2:G112,7,FALSE)*IFERROR(IF(Backdoors!AI12&gt;=0,1+(IF(Calculator!E40&gt;0,VLOOKUP(Calculator!E40,tbSkills!AI3:AJ5,2,FALSE),Backdoors!AL4)*(IF((Backdoors!AI12+IF(GW103&gt;=0.45,VLOOKUP(Calculator!E23,tbSkills!DH3:DI6,2,FALSE)+IF(AND(Calculator!B8=TRUE,Backdoors!BI32=TRUE),VLOOKUP(Calculator!E23,tbSkills!DH3:DJ6,3,FALSE),0),0))&gt;=100,100,(Backdoors!AI12+IF(GW103&gt;=0.45,VLOOKUP(Calculator!E23,tbSkills!DH3:DI6,2,FALSE)+IF(AND(Calculator!B8=TRUE,Backdoors!BI32=TRUE),VLOOKUP(Calculator!E23,tbSkills!DH3:DJ6,3,FALSE),0),0)))/100)),1),1)</f>
        <v>0.4</v>
      </c>
      <c r="HC103" s="87">
        <f t="shared" si="80"/>
        <v>0</v>
      </c>
      <c r="HD103" s="86" t="str">
        <f>IFERROR(IF(VLOOKUP(A103,tbMoveset!A2:B112,2,FALSE)="Sever",Backdoors!AY33/100,IF(VLOOKUP(A103,tbMoveset!A2:B112,2,FALSE)="Blunt",Backdoors!AZ33/100,Backdoors!BA33/100)),"")</f>
        <v/>
      </c>
      <c r="HE103" s="49">
        <f>IFERROR(IF(VLOOKUP(tbMoveset!A103,tbMoveset!A2:H112,8,FALSE)="Other",IF(VLOOKUP(tbMoveset!A103,tbMoveset!A2:I112,9,FALSE)="Fire",Backdoors!BB33,IF(VLOOKUP(tbMoveset!A103,tbMoveset!A2:I112,9,FALSE)="Water",Backdoors!BC33,IF(VLOOKUP(tbMoveset!A103,tbMoveset!A2:I112,9,FALSE)="Thunder",Backdoors!BD33,IF(VLOOKUP(tbMoveset!A103,tbMoveset!A2:I112,9,FALSE)="Ice",Backdoors!BE33,IF(VLOOKUP(tbMoveset!A103,tbMoveset!A2:I112,9,FALSE)="Dragon",Backdoors!BF33,Backdoors!BG33)))))/100,Backdoors!BG33/100),"")</f>
        <v>0</v>
      </c>
      <c r="HF103" s="49">
        <f>IFERROR(IF(VLOOKUP(A103,tbMoveset!A2:J112,10,FALSE)=TRUE,IF((Backdoors!AI12+IF(HD103&gt;=0.45,VLOOKUP(Calculator!E23,tbSkills!DH3:DI6,2,FALSE)+IF(AND(Calculator!B8=TRUE,Backdoors!BI33=TRUE),VLOOKUP(Calculator!E23,tbSkills!DH3:DJ6,3,FALSE),0),0))&gt;=0,1+(Backdoors!AL2*(IF((Backdoors!AI12+IF(HD103&gt;=0.45,VLOOKUP(Calculator!E23,tbSkills!DH3:DI6,2,FALSE)+IF(AND(Calculator!B8=TRUE,Backdoors!BI33=TRUE),VLOOKUP(Calculator!E23,tbSkills!DH3:DJ6,3,FALSE),0),0))&gt;=100,100,(Backdoors!AI12+IF(HD103&gt;=0.45,VLOOKUP(Calculator!E23,tbSkills!DH3:DI6,2,FALSE)+IF(AND(Calculator!B8=TRUE,Backdoors!BI33=TRUE),VLOOKUP(Calculator!E23,tbSkills!DH3:DJ6,3,FALSE),0),0)))/100)),(1-(0.25*((-Backdoors!AI12-IF(HD103&gt;=0.45,VLOOKUP(Calculator!E23,tbSkills!DH3:DI6,2,FALSE)+IF(AND(Calculator!B8=TRUE,Backdoors!BI33=TRUE),VLOOKUP(Calculator!E23,tbSkills!DH3:DJ6,3,FALSE),0),0))/100)))),1),"")</f>
        <v>1</v>
      </c>
      <c r="HG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D103)*HF103)*(VLOOKUP(A103,tbMoveset!A2:C112,3,FALSE)/100)*IF(VLOOKUP(A103,tbMoveset!A2:B112,2,FALSE)="Projectile",Backdoors!N10,Backdoors!N9),0),"")</f>
        <v/>
      </c>
      <c r="HH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D103&gt;=0.45,VLOOKUP(Calculator!E23,tbSkills!DH3:DI6,2,FALSE)+IF(AND(Calculator!B8=TRUE,Backdoors!BI33=TRUE),VLOOKUP(Calculator!E23,tbSkills!DH3:DJ6,3,FALSE),0),0))&gt;=100,100,(Backdoors!AI12+IF(HD103&gt;=0.45,VLOOKUP(Calculator!E23,tbSkills!DH3:DI6,2,FALSE)+IF(AND(Calculator!B8=TRUE,Backdoors!BI33=TRUE),VLOOKUP(Calculator!E23,tbSkills!DH3:DJ6,3,FALSE),0),0)))/100)),1))*IF(VLOOKUP(A103,tbMoveset!A2:K112,11,FALSE)=TRUE,Backdoors!AC5,1))*HE103,0),"")</f>
        <v>0</v>
      </c>
      <c r="HI103" s="49">
        <f>VLOOKUP(A103,tbMoveset!A2:G112,7,FALSE)*IFERROR(IF(Backdoors!AI12&gt;=0,1+(IF(Calculator!E40&gt;0,VLOOKUP(Calculator!E40,tbSkills!AI3:AJ5,2,FALSE),Backdoors!AL4)*(IF((Backdoors!AI12+IF(HD103&gt;=0.45,VLOOKUP(Calculator!E23,tbSkills!DH3:DI6,2,FALSE)+IF(AND(Calculator!B8=TRUE,Backdoors!BI33=TRUE),VLOOKUP(Calculator!E23,tbSkills!DH3:DJ6,3,FALSE),0),0))&gt;=100,100,(Backdoors!AI12+IF(HD103&gt;=0.45,VLOOKUP(Calculator!E23,tbSkills!DH3:DI6,2,FALSE)+IF(AND(Calculator!B8=TRUE,Backdoors!BI33=TRUE),VLOOKUP(Calculator!E23,tbSkills!DH3:DJ6,3,FALSE),0),0)))/100)),1),1)</f>
        <v>0.4</v>
      </c>
      <c r="HJ103" s="87">
        <f t="shared" si="81"/>
        <v>0</v>
      </c>
      <c r="HK103" s="86" t="str">
        <f>IFERROR(IF(VLOOKUP(A103,tbMoveset!A2:B112,2,FALSE)="Sever",Backdoors!AY34/100,IF(VLOOKUP(A103,tbMoveset!A2:B112,2,FALSE)="Blunt",Backdoors!AZ34/100,Backdoors!BA34/100)),"")</f>
        <v/>
      </c>
      <c r="HL103" s="49">
        <f>IFERROR(IF(VLOOKUP(tbMoveset!A103,tbMoveset!A2:H112,8,FALSE)="Other",IF(VLOOKUP(tbMoveset!A103,tbMoveset!A2:I112,9,FALSE)="Fire",Backdoors!BB34,IF(VLOOKUP(tbMoveset!A103,tbMoveset!A2:I112,9,FALSE)="Water",Backdoors!BC34,IF(VLOOKUP(tbMoveset!A103,tbMoveset!A2:I112,9,FALSE)="Thunder",Backdoors!BD34,IF(VLOOKUP(tbMoveset!A103,tbMoveset!A2:I112,9,FALSE)="Ice",Backdoors!BE34,IF(VLOOKUP(tbMoveset!A103,tbMoveset!A2:I112,9,FALSE)="Dragon",Backdoors!BF34,Backdoors!BG34)))))/100,Backdoors!BG34/100),"")</f>
        <v>0</v>
      </c>
      <c r="HM103" s="49">
        <f>IFERROR(IF(VLOOKUP(A103,tbMoveset!A2:J112,10,FALSE)=TRUE,IF((Backdoors!AI12+IF(HK103&gt;=0.45,VLOOKUP(Calculator!E23,tbSkills!DH3:DI6,2,FALSE)+IF(AND(Calculator!B8=TRUE,Backdoors!BI34=TRUE),VLOOKUP(Calculator!E23,tbSkills!DH3:DJ6,3,FALSE),0),0))&gt;=0,1+(Backdoors!AL2*(IF((Backdoors!AI12+IF(HK103&gt;=0.45,VLOOKUP(Calculator!E23,tbSkills!DH3:DI6,2,FALSE)+IF(AND(Calculator!B8=TRUE,Backdoors!BI34=TRUE),VLOOKUP(Calculator!E23,tbSkills!DH3:DJ6,3,FALSE),0),0))&gt;=100,100,(Backdoors!AI12+IF(HK103&gt;=0.45,VLOOKUP(Calculator!E23,tbSkills!DH3:DI6,2,FALSE)+IF(AND(Calculator!B8=TRUE,Backdoors!BI34=TRUE),VLOOKUP(Calculator!E23,tbSkills!DH3:DJ6,3,FALSE),0),0)))/100)),(1-(0.25*((-Backdoors!AI12-IF(HK103&gt;=0.45,VLOOKUP(Calculator!E23,tbSkills!DH3:DI6,2,FALSE)+IF(AND(Calculator!B8=TRUE,Backdoors!BI34=TRUE),VLOOKUP(Calculator!E23,tbSkills!DH3:DJ6,3,FALSE),0),0))/100)))),1),"")</f>
        <v>1</v>
      </c>
      <c r="HN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K103)*HM103)*(VLOOKUP(A103,tbMoveset!A2:C112,3,FALSE)/100)*IF(VLOOKUP(A103,tbMoveset!A2:B112,2,FALSE)="Projectile",Backdoors!N10,Backdoors!N9),0),"")</f>
        <v/>
      </c>
      <c r="HO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K103&gt;=0.45,VLOOKUP(Calculator!E23,tbSkills!DH3:DI6,2,FALSE)+IF(AND(Calculator!B8=TRUE,Backdoors!BI34=TRUE),VLOOKUP(Calculator!E23,tbSkills!DH3:DJ6,3,FALSE),0),0))&gt;=100,100,(Backdoors!AI12+IF(HK103&gt;=0.45,VLOOKUP(Calculator!E23,tbSkills!DH3:DI6,2,FALSE)+IF(AND(Calculator!B8=TRUE,Backdoors!BI34=TRUE),VLOOKUP(Calculator!E23,tbSkills!DH3:DJ6,3,FALSE),0),0)))/100)),1))*IF(VLOOKUP(A103,tbMoveset!A2:K112,11,FALSE)=TRUE,Backdoors!AC5,1))*HL103,0),"")</f>
        <v>0</v>
      </c>
      <c r="HP103" s="49">
        <f>VLOOKUP(A103,tbMoveset!A2:G112,7,FALSE)*IFERROR(IF(Backdoors!AI12&gt;=0,1+(IF(Calculator!E40&gt;0,VLOOKUP(Calculator!E40,tbSkills!AI3:AJ5,2,FALSE),Backdoors!AL4)*(IF((Backdoors!AI12+IF(HK103&gt;=0.45,VLOOKUP(Calculator!E23,tbSkills!DH3:DI6,2,FALSE)+IF(AND(Calculator!B8=TRUE,Backdoors!BI34=TRUE),VLOOKUP(Calculator!E23,tbSkills!DH3:DJ6,3,FALSE),0),0))&gt;=100,100,(Backdoors!AI12+IF(HK103&gt;=0.45,VLOOKUP(Calculator!E23,tbSkills!DH3:DI6,2,FALSE)+IF(AND(Calculator!B8=TRUE,Backdoors!BI34=TRUE),VLOOKUP(Calculator!E23,tbSkills!DH3:DJ6,3,FALSE),0),0)))/100)),1),1)</f>
        <v>0.4</v>
      </c>
      <c r="HQ103" s="87">
        <f t="shared" si="82"/>
        <v>0</v>
      </c>
      <c r="HR103" s="86" t="str">
        <f>IFERROR(IF(VLOOKUP(A103,tbMoveset!A2:B112,2,FALSE)="Sever",Backdoors!AY35/100,IF(VLOOKUP(A103,tbMoveset!A2:B112,2,FALSE)="Blunt",Backdoors!AZ35/100,Backdoors!BA35/100)),"")</f>
        <v/>
      </c>
      <c r="HS103" s="49">
        <f>IFERROR(IF(VLOOKUP(tbMoveset!A103,tbMoveset!A2:H112,8,FALSE)="Other",IF(VLOOKUP(tbMoveset!A103,tbMoveset!A2:I112,9,FALSE)="Fire",Backdoors!BB35,IF(VLOOKUP(tbMoveset!A103,tbMoveset!A2:I112,9,FALSE)="Water",Backdoors!BC35,IF(VLOOKUP(tbMoveset!A103,tbMoveset!A2:I112,9,FALSE)="Thunder",Backdoors!BD35,IF(VLOOKUP(tbMoveset!A103,tbMoveset!A2:I112,9,FALSE)="Ice",Backdoors!BE35,IF(VLOOKUP(tbMoveset!A103,tbMoveset!A2:I112,9,FALSE)="Dragon",Backdoors!BF35,Backdoors!BG35)))))/100,Backdoors!BG35/100),"")</f>
        <v>0</v>
      </c>
      <c r="HT103" s="49">
        <f>IFERROR(IF(VLOOKUP(A103,tbMoveset!A2:J112,10,FALSE)=TRUE,IF((Backdoors!AI12+IF(HR103&gt;=0.45,VLOOKUP(Calculator!E23,tbSkills!DH3:DI6,2,FALSE)+IF(AND(Calculator!B8=TRUE,Backdoors!BI35=TRUE),VLOOKUP(Calculator!E23,tbSkills!DH3:DJ6,3,FALSE),0),0))&gt;=0,1+(Backdoors!AL2*(IF((Backdoors!AI12+IF(HR103&gt;=0.45,VLOOKUP(Calculator!E23,tbSkills!DH3:DI6,2,FALSE)+IF(AND(Calculator!B8=TRUE,Backdoors!BI35=TRUE),VLOOKUP(Calculator!E23,tbSkills!DH3:DJ6,3,FALSE),0),0))&gt;=100,100,(Backdoors!AI12+IF(HR103&gt;=0.45,VLOOKUP(Calculator!E23,tbSkills!DH3:DI6,2,FALSE)+IF(AND(Calculator!B8=TRUE,Backdoors!BI35=TRUE),VLOOKUP(Calculator!E23,tbSkills!DH3:DJ6,3,FALSE),0),0)))/100)),(1-(0.25*((-Backdoors!AI12-IF(HR103&gt;=0.45,VLOOKUP(Calculator!E23,tbSkills!DH3:DI6,2,FALSE)+IF(AND(Calculator!B8=TRUE,Backdoors!BI35=TRUE),VLOOKUP(Calculator!E23,tbSkills!DH3:DJ6,3,FALSE),0),0))/100)))),1),"")</f>
        <v>1</v>
      </c>
      <c r="HU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R103)*HT103)*(VLOOKUP(A103,tbMoveset!A2:C112,3,FALSE)/100)*IF(VLOOKUP(A103,tbMoveset!A2:B112,2,FALSE)="Projectile",Backdoors!N10,Backdoors!N9),0),"")</f>
        <v/>
      </c>
      <c r="HV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R103&gt;=0.45,VLOOKUP(Calculator!E23,tbSkills!DH3:DI6,2,FALSE)+IF(AND(Calculator!B8=TRUE,Backdoors!BI35=TRUE),VLOOKUP(Calculator!E23,tbSkills!DH3:DJ6,3,FALSE),0),0))&gt;=100,100,(Backdoors!AI12+IF(HR103&gt;=0.45,VLOOKUP(Calculator!E23,tbSkills!DH3:DI6,2,FALSE)+IF(AND(Calculator!B8=TRUE,Backdoors!BI35=TRUE),VLOOKUP(Calculator!E23,tbSkills!DH3:DJ6,3,FALSE),0),0)))/100)),1))*IF(VLOOKUP(A103,tbMoveset!A2:K112,11,FALSE)=TRUE,Backdoors!AC5,1))*HS103,0),"")</f>
        <v>0</v>
      </c>
      <c r="HW103" s="49">
        <f>VLOOKUP(A103,tbMoveset!A2:G112,7,FALSE)*IFERROR(IF(Backdoors!AI12&gt;=0,1+(IF(Calculator!E40&gt;0,VLOOKUP(Calculator!E40,tbSkills!AI3:AJ5,2,FALSE),Backdoors!AL4)*(IF((Backdoors!AI12+IF(HR103&gt;=0.45,VLOOKUP(Calculator!E23,tbSkills!DH3:DI6,2,FALSE)+IF(AND(Calculator!B8=TRUE,Backdoors!BI35=TRUE),VLOOKUP(Calculator!E23,tbSkills!DH3:DJ6,3,FALSE),0),0))&gt;=100,100,(Backdoors!AI12+IF(HR103&gt;=0.45,VLOOKUP(Calculator!E23,tbSkills!DH3:DI6,2,FALSE)+IF(AND(Calculator!B8=TRUE,Backdoors!BI35=TRUE),VLOOKUP(Calculator!E23,tbSkills!DH3:DJ6,3,FALSE),0),0)))/100)),1),1)</f>
        <v>0.4</v>
      </c>
      <c r="HX103" s="87">
        <f t="shared" si="83"/>
        <v>0</v>
      </c>
      <c r="HY103" s="86" t="str">
        <f>IFERROR(IF(VLOOKUP(A103,tbMoveset!A2:B112,2,FALSE)="Sever",Backdoors!AY36/100,IF(VLOOKUP(A103,tbMoveset!A2:B112,2,FALSE)="Blunt",Backdoors!AZ36/100,Backdoors!BA36/100)),"")</f>
        <v/>
      </c>
      <c r="HZ103" s="49">
        <f>IFERROR(IF(VLOOKUP(tbMoveset!A103,tbMoveset!A2:H112,8,FALSE)="Other",IF(VLOOKUP(tbMoveset!A103,tbMoveset!A2:I112,9,FALSE)="Fire",Backdoors!BB36,IF(VLOOKUP(tbMoveset!A103,tbMoveset!A2:I112,9,FALSE)="Water",Backdoors!BC36,IF(VLOOKUP(tbMoveset!A103,tbMoveset!A2:I112,9,FALSE)="Thunder",Backdoors!BD36,IF(VLOOKUP(tbMoveset!A103,tbMoveset!A2:I112,9,FALSE)="Ice",Backdoors!BE36,IF(VLOOKUP(tbMoveset!A103,tbMoveset!A2:I112,9,FALSE)="Dragon",Backdoors!BF36,Backdoors!BG36)))))/100,Backdoors!BG36/100),"")</f>
        <v>0</v>
      </c>
      <c r="IA103" s="49">
        <f>IFERROR(IF(VLOOKUP(A103,tbMoveset!A2:J112,10,FALSE)=TRUE,IF((Backdoors!AI12+IF(HY103&gt;=0.45,VLOOKUP(Calculator!E23,tbSkills!DH3:DI6,2,FALSE)+IF(AND(Calculator!B8=TRUE,Backdoors!BI36=TRUE),VLOOKUP(Calculator!E23,tbSkills!DH3:DJ6,3,FALSE),0),0))&gt;=0,1+(Backdoors!AL2*(IF((Backdoors!AI12+IF(HY103&gt;=0.45,VLOOKUP(Calculator!E23,tbSkills!DH3:DI6,2,FALSE)+IF(AND(Calculator!B8=TRUE,Backdoors!BI36=TRUE),VLOOKUP(Calculator!E23,tbSkills!DH3:DJ6,3,FALSE),0),0))&gt;=100,100,(Backdoors!AI12+IF(HY103&gt;=0.45,VLOOKUP(Calculator!E23,tbSkills!DH3:DI6,2,FALSE)+IF(AND(Calculator!B8=TRUE,Backdoors!BI36=TRUE),VLOOKUP(Calculator!E23,tbSkills!DH3:DJ6,3,FALSE),0),0)))/100)),(1-(0.25*((-Backdoors!AI12-IF(HY103&gt;=0.45,VLOOKUP(Calculator!E23,tbSkills!DH3:DI6,2,FALSE)+IF(AND(Calculator!B8=TRUE,Backdoors!BI36=TRUE),VLOOKUP(Calculator!E23,tbSkills!DH3:DJ6,3,FALSE),0),0))/100)))),1),"")</f>
        <v>1</v>
      </c>
      <c r="IB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Y103)*IA103)*(VLOOKUP(A103,tbMoveset!A2:C112,3,FALSE)/100)*IF(VLOOKUP(A103,tbMoveset!A2:B112,2,FALSE)="Projectile",Backdoors!N10,Backdoors!N9),0),"")</f>
        <v/>
      </c>
      <c r="IC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Y103&gt;=0.45,VLOOKUP(Calculator!E23,tbSkills!DH3:DI6,2,FALSE)+IF(AND(Calculator!B8=TRUE,Backdoors!BI36=TRUE),VLOOKUP(Calculator!E23,tbSkills!DH3:DJ6,3,FALSE),0),0))&gt;=100,100,(Backdoors!AI12+IF(HY103&gt;=0.45,VLOOKUP(Calculator!E23,tbSkills!DH3:DI6,2,FALSE)+IF(AND(Calculator!B8=TRUE,Backdoors!BI36=TRUE),VLOOKUP(Calculator!E23,tbSkills!DH3:DJ6,3,FALSE),0),0)))/100)),1))*IF(VLOOKUP(A103,tbMoveset!A2:K112,11,FALSE)=TRUE,Backdoors!AC5,1))*HZ103,0),"")</f>
        <v>0</v>
      </c>
      <c r="ID103" s="49">
        <f>VLOOKUP(A103,tbMoveset!A2:G112,7,FALSE)*IFERROR(IF(Backdoors!AI12&gt;=0,1+(IF(Calculator!E40&gt;0,VLOOKUP(Calculator!E40,tbSkills!AI3:AJ5,2,FALSE),Backdoors!AL4)*(IF((Backdoors!AI12+IF(HY103&gt;=0.45,VLOOKUP(Calculator!E23,tbSkills!DH3:DI6,2,FALSE)+IF(AND(Calculator!B8=TRUE,Backdoors!BI36=TRUE),VLOOKUP(Calculator!E23,tbSkills!DH3:DJ6,3,FALSE),0),0))&gt;=100,100,(Backdoors!AI12+IF(HY103&gt;=0.45,VLOOKUP(Calculator!E23,tbSkills!DH3:DI6,2,FALSE)+IF(AND(Calculator!B8=TRUE,Backdoors!BI36=TRUE),VLOOKUP(Calculator!E23,tbSkills!DH3:DJ6,3,FALSE),0),0)))/100)),1),1)</f>
        <v>0.4</v>
      </c>
      <c r="IE103" s="87">
        <f t="shared" si="84"/>
        <v>0</v>
      </c>
      <c r="IF103" s="86" t="str">
        <f>IFERROR(IF(VLOOKUP(A103,tbMoveset!A2:B112,2,FALSE)="Sever",Backdoors!AY37/100,IF(VLOOKUP(A103,tbMoveset!A2:B112,2,FALSE)="Blunt",Backdoors!AZ37/100,Backdoors!BA37/100)),"")</f>
        <v/>
      </c>
      <c r="IG103" s="49">
        <f>IFERROR(IF(VLOOKUP(tbMoveset!A103,tbMoveset!A2:H112,8,FALSE)="Other",IF(VLOOKUP(tbMoveset!A103,tbMoveset!A2:I112,9,FALSE)="Fire",Backdoors!BB37,IF(VLOOKUP(tbMoveset!A103,tbMoveset!A2:I112,9,FALSE)="Water",Backdoors!BC37,IF(VLOOKUP(tbMoveset!A103,tbMoveset!A2:I112,9,FALSE)="Thunder",Backdoors!BD37,IF(VLOOKUP(tbMoveset!A103,tbMoveset!A2:I112,9,FALSE)="Ice",Backdoors!BE37,IF(VLOOKUP(tbMoveset!A103,tbMoveset!A2:I112,9,FALSE)="Dragon",Backdoors!BF37,Backdoors!BG37)))))/100,Backdoors!BG37/100),"")</f>
        <v>0</v>
      </c>
      <c r="IH103" s="49">
        <f>IFERROR(IF(VLOOKUP(A103,tbMoveset!A2:J112,10,FALSE)=TRUE,IF((Backdoors!AI12+IF(IF103&gt;=0.45,VLOOKUP(Calculator!E23,tbSkills!DH3:DI6,2,FALSE)+IF(AND(Calculator!B8=TRUE,Backdoors!BI37=TRUE),VLOOKUP(Calculator!E23,tbSkills!DH3:DJ6,3,FALSE),0),0))&gt;=0,1+(Backdoors!AL2*(IF((Backdoors!AI12+IF(IF103&gt;=0.45,VLOOKUP(Calculator!E23,tbSkills!DH3:DI6,2,FALSE)+IF(AND(Calculator!B8=TRUE,Backdoors!BI37=TRUE),VLOOKUP(Calculator!E23,tbSkills!DH3:DJ6,3,FALSE),0),0))&gt;=100,100,(Backdoors!AI12+IF(IF103&gt;=0.45,VLOOKUP(Calculator!E23,tbSkills!DH3:DI6,2,FALSE)+IF(AND(Calculator!B8=TRUE,Backdoors!BI37=TRUE),VLOOKUP(Calculator!E23,tbSkills!DH3:DJ6,3,FALSE),0),0)))/100)),(1-(0.25*((-Backdoors!AI12-IF(IF103&gt;=0.45,VLOOKUP(Calculator!E23,tbSkills!DH3:DI6,2,FALSE)+IF(AND(Calculator!B8=TRUE,Backdoors!BI37=TRUE),VLOOKUP(Calculator!E23,tbSkills!DH3:DJ6,3,FALSE),0),0))/100)))),1),"")</f>
        <v>1</v>
      </c>
      <c r="II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F103)*IH103)*(VLOOKUP(A103,tbMoveset!A2:C112,3,FALSE)/100)*IF(VLOOKUP(A103,tbMoveset!A2:B112,2,FALSE)="Projectile",Backdoors!N10,Backdoors!N9),0),"")</f>
        <v/>
      </c>
      <c r="IJ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IF103&gt;=0.45,VLOOKUP(Calculator!E23,tbSkills!DH3:DI6,2,FALSE)+IF(AND(Calculator!B8=TRUE,Backdoors!BI37=TRUE),VLOOKUP(Calculator!E23,tbSkills!DH3:DJ6,3,FALSE),0),0))&gt;=100,100,(Backdoors!AI12+IF(IF103&gt;=0.45,VLOOKUP(Calculator!E23,tbSkills!DH3:DI6,2,FALSE)+IF(AND(Calculator!B8=TRUE,Backdoors!BI37=TRUE),VLOOKUP(Calculator!E23,tbSkills!DH3:DJ6,3,FALSE),0),0)))/100)),1))*IF(VLOOKUP(A103,tbMoveset!A2:K112,11,FALSE)=TRUE,Backdoors!AC5,1))*IG103,0),"")</f>
        <v>0</v>
      </c>
      <c r="IK103" s="49">
        <f>VLOOKUP(A103,tbMoveset!A2:G112,7,FALSE)*IFERROR(IF(Backdoors!AI12&gt;=0,1+(IF(Calculator!E40&gt;0,VLOOKUP(Calculator!E40,tbSkills!AI3:AJ5,2,FALSE),Backdoors!AL4)*(IF((Backdoors!AI12+IF(IF103&gt;=0.45,VLOOKUP(Calculator!E23,tbSkills!DH3:DI6,2,FALSE)+IF(AND(Calculator!B8=TRUE,Backdoors!BI37=TRUE),VLOOKUP(Calculator!E23,tbSkills!DH3:DJ6,3,FALSE),0),0))&gt;=100,100,(Backdoors!AI12+IF(IF103&gt;=0.45,VLOOKUP(Calculator!E23,tbSkills!DH3:DI6,2,FALSE)+IF(AND(Calculator!B8=TRUE,Backdoors!BI37=TRUE),VLOOKUP(Calculator!E23,tbSkills!DH3:DJ6,3,FALSE),0),0)))/100)),1),1)</f>
        <v>0.4</v>
      </c>
      <c r="IL103" s="87">
        <f t="shared" si="85"/>
        <v>0</v>
      </c>
      <c r="IM103" s="86" t="str">
        <f>IFERROR(IF(VLOOKUP(A103,tbMoveset!A2:B112,2,FALSE)="Sever",Backdoors!AY38/100,IF(VLOOKUP(A103,tbMoveset!A2:B112,2,FALSE)="Blunt",Backdoors!AZ38/100,Backdoors!BA38/100)),"")</f>
        <v/>
      </c>
      <c r="IN103" s="49">
        <f>IFERROR(IF(VLOOKUP(tbMoveset!A103,tbMoveset!A2:H112,8,FALSE)="Other",IF(VLOOKUP(tbMoveset!A103,tbMoveset!A2:I112,9,FALSE)="Fire",Backdoors!BB38,IF(VLOOKUP(tbMoveset!A103,tbMoveset!A2:I112,9,FALSE)="Water",Backdoors!BC38,IF(VLOOKUP(tbMoveset!A103,tbMoveset!A2:I112,9,FALSE)="Thunder",Backdoors!BD38,IF(VLOOKUP(tbMoveset!A103,tbMoveset!A2:I112,9,FALSE)="Ice",Backdoors!BE38,IF(VLOOKUP(tbMoveset!A103,tbMoveset!A2:I112,9,FALSE)="Dragon",Backdoors!BF38,Backdoors!BG38)))))/100,Backdoors!BG38/100),"")</f>
        <v>0</v>
      </c>
      <c r="IO103" s="49">
        <f>IFERROR(IF(VLOOKUP(A103,tbMoveset!A2:J112,10,FALSE)=TRUE,IF((Backdoors!AI12+IF(IM103&gt;=0.45,VLOOKUP(Calculator!E23,tbSkills!DH3:DI6,2,FALSE)+IF(AND(Calculator!B8=TRUE,Backdoors!BI38=TRUE),VLOOKUP(Calculator!E23,tbSkills!DH3:DJ6,3,FALSE),0),0))&gt;=0,1+(Backdoors!AL2*(IF((Backdoors!AI12+IF(IM103&gt;=0.45,VLOOKUP(Calculator!E23,tbSkills!DH3:DI6,2,FALSE)+IF(AND(Calculator!B8=TRUE,Backdoors!BI38=TRUE),VLOOKUP(Calculator!E23,tbSkills!DH3:DJ6,3,FALSE),0),0))&gt;=100,100,(Backdoors!AI12+IF(IM103&gt;=0.45,VLOOKUP(Calculator!E23,tbSkills!DH3:DI6,2,FALSE)+IF(AND(Calculator!B8=TRUE,Backdoors!BI38=TRUE),VLOOKUP(Calculator!E23,tbSkills!DH3:DJ6,3,FALSE),0),0)))/100)),(1-(0.25*((-Backdoors!AI12-IF(IM103&gt;=0.45,VLOOKUP(Calculator!E23,tbSkills!DH3:DI6,2,FALSE)+IF(AND(Calculator!B8=TRUE,Backdoors!BI38=TRUE),VLOOKUP(Calculator!E23,tbSkills!DH3:DJ6,3,FALSE),0),0))/100)))),1),"")</f>
        <v>1</v>
      </c>
      <c r="IP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M103)*IO103)*(VLOOKUP(A103,tbMoveset!A2:C112,3,FALSE)/100)*IF(VLOOKUP(A103,tbMoveset!A2:B112,2,FALSE)="Projectile",Backdoors!N10,Backdoors!N9),0),"")</f>
        <v/>
      </c>
      <c r="IQ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IM103&gt;=0.45,VLOOKUP(Calculator!E23,tbSkills!DH3:DI6,2,FALSE)+IF(AND(Calculator!B8=TRUE,Backdoors!BI38=TRUE),VLOOKUP(Calculator!E23,tbSkills!DH3:DJ6,3,FALSE),0),0))&gt;=100,100,(Backdoors!AI12+IF(IM103&gt;=0.45,VLOOKUP(Calculator!E23,tbSkills!DH3:DI6,2,FALSE)+IF(AND(Calculator!B8=TRUE,Backdoors!BI38=TRUE),VLOOKUP(Calculator!E23,tbSkills!DH3:DJ6,3,FALSE),0),0)))/100)),1))*IF(VLOOKUP(A103,tbMoveset!A2:K112,11,FALSE)=TRUE,Backdoors!AC5,1))*IN103,0),"")</f>
        <v>0</v>
      </c>
      <c r="IR103" s="49">
        <f>VLOOKUP(A103,tbMoveset!A2:G112,7,FALSE)*IFERROR(IF(Backdoors!AI12&gt;=0,1+(IF(Calculator!E40&gt;0,VLOOKUP(Calculator!E40,tbSkills!AI3:AJ5,2,FALSE),Backdoors!AL4)*(IF((Backdoors!AI12+IF(IM103&gt;=0.45,VLOOKUP(Calculator!E23,tbSkills!DH3:DI6,2,FALSE)+IF(AND(Calculator!B8=TRUE,Backdoors!BI38=TRUE),VLOOKUP(Calculator!E23,tbSkills!DH3:DJ6,3,FALSE),0),0))&gt;=100,100,(Backdoors!AI12+IF(IM103&gt;=0.45,VLOOKUP(Calculator!E23,tbSkills!DH3:DI6,2,FALSE)+IF(AND(Calculator!B8=TRUE,Backdoors!BI38=TRUE),VLOOKUP(Calculator!E23,tbSkills!DH3:DJ6,3,FALSE),0),0)))/100)),1),1)</f>
        <v>0.4</v>
      </c>
      <c r="IS103" s="87">
        <f t="shared" si="86"/>
        <v>0</v>
      </c>
      <c r="IT103" s="86" t="str">
        <f>IFERROR(IF(VLOOKUP(A103,tbMoveset!A2:B112,2,FALSE)="Sever",Backdoors!AY39/100,IF(VLOOKUP(A103,tbMoveset!A2:B112,2,FALSE)="Blunt",Backdoors!AZ39/100,Backdoors!BA39/100)),"")</f>
        <v/>
      </c>
      <c r="IU103" s="49">
        <f>IFERROR(IF(VLOOKUP(tbMoveset!A103,tbMoveset!A2:H112,8,FALSE)="Other",IF(VLOOKUP(tbMoveset!A103,tbMoveset!A2:I112,9,FALSE)="Fire",Backdoors!BB39,IF(VLOOKUP(tbMoveset!A103,tbMoveset!A2:I112,9,FALSE)="Water",Backdoors!BC39,IF(VLOOKUP(tbMoveset!A103,tbMoveset!A2:I112,9,FALSE)="Thunder",Backdoors!BD39,IF(VLOOKUP(tbMoveset!A103,tbMoveset!A2:I112,9,FALSE)="Ice",Backdoors!BE39,IF(VLOOKUP(tbMoveset!A103,tbMoveset!A2:I112,9,FALSE)="Dragon",Backdoors!BF39,Backdoors!BG39)))))/100,Backdoors!BG39/100),"")</f>
        <v>0</v>
      </c>
      <c r="IV103" s="49">
        <f>IFERROR(IF(VLOOKUP(A103,tbMoveset!A2:J112,10,FALSE)=TRUE,IF((Backdoors!AI12+IF(IT103&gt;=0.45,VLOOKUP(Calculator!E23,tbSkills!DH3:DI6,2,FALSE)+IF(AND(Calculator!B8=TRUE,Backdoors!BI39=TRUE),VLOOKUP(Calculator!E23,tbSkills!DH3:DJ6,3,FALSE),0),0))&gt;=0,1+(Backdoors!AL2*(IF((Backdoors!AI12+IF(IT103&gt;=0.45,VLOOKUP(Calculator!E23,tbSkills!DH3:DI6,2,FALSE)+IF(AND(Calculator!B8=TRUE,Backdoors!BI39=TRUE),VLOOKUP(Calculator!E23,tbSkills!DH3:DJ6,3,FALSE),0),0))&gt;=100,100,(Backdoors!AI12+IF(IT103&gt;=0.45,VLOOKUP(Calculator!E23,tbSkills!DH3:DI6,2,FALSE)+IF(AND(Calculator!B8=TRUE,Backdoors!BI39=TRUE),VLOOKUP(Calculator!E23,tbSkills!DH3:DJ6,3,FALSE),0),0)))/100)),(1-(0.25*((-Backdoors!AI12-IF(IT103&gt;=0.45,VLOOKUP(Calculator!E23,tbSkills!DH3:DI6,2,FALSE)+IF(AND(Calculator!B8=TRUE,Backdoors!BI39=TRUE),VLOOKUP(Calculator!E23,tbSkills!DH3:DJ6,3,FALSE),0),0))/100)))),1),"")</f>
        <v>1</v>
      </c>
      <c r="IW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T103)*IV103)*(VLOOKUP(A103,tbMoveset!A2:C112,3,FALSE)/100)*IF(VLOOKUP(A103,tbMoveset!A2:B112,2,FALSE)="Projectile",Backdoors!N10,Backdoors!N9),0),"")</f>
        <v/>
      </c>
      <c r="IX103" s="49">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40&gt;0,VLOOKUP(Calculator!E40,tbSkills!AC3:AD5,2,FALSE),Backdoors!AL3)*(IF((Backdoors!AI12+IF(IT103&gt;=0.45,VLOOKUP(Calculator!E23,tbSkills!DH3:DI6,2,FALSE)+IF(AND(Calculator!B8=TRUE,Backdoors!BI39=TRUE),VLOOKUP(Calculator!E23,tbSkills!DH3:DJ6,3,FALSE),0),0))&gt;=100,100,(Backdoors!AI12+IF(IT103&gt;=0.45,VLOOKUP(Calculator!E23,tbSkills!DH3:DI6,2,FALSE)+IF(AND(Calculator!B8=TRUE,Backdoors!BI39=TRUE),VLOOKUP(Calculator!E23,tbSkills!DH3:DJ6,3,FALSE),0),0)))/100)),1))*IF(VLOOKUP(A103,tbMoveset!A2:K112,11,FALSE)=TRUE,Backdoors!AC5,1))*IU103,0),"")</f>
        <v>0</v>
      </c>
      <c r="IY103" s="49">
        <f>VLOOKUP(A103,tbMoveset!A2:G112,7,FALSE)*IFERROR(IF(Backdoors!AI12&gt;=0,1+(IF(Calculator!E40&gt;0,VLOOKUP(Calculator!E40,tbSkills!AI3:AJ5,2,FALSE),Backdoors!AL4)*(IF((Backdoors!AI12+IF(IT103&gt;=0.45,VLOOKUP(Calculator!E23,tbSkills!DH3:DI6,2,FALSE)+IF(AND(Calculator!B8=TRUE,Backdoors!BI39=TRUE),VLOOKUP(Calculator!E23,tbSkills!DH3:DJ6,3,FALSE),0),0))&gt;=100,100,(Backdoors!AI12+IF(IT103&gt;=0.45,VLOOKUP(Calculator!E23,tbSkills!DH3:DI6,2,FALSE)+IF(AND(Calculator!B8=TRUE,Backdoors!BI39=TRUE),VLOOKUP(Calculator!E23,tbSkills!DH3:DJ6,3,FALSE),0),0)))/100)),1),1)</f>
        <v>0.4</v>
      </c>
      <c r="IZ103" s="87">
        <f t="shared" si="87"/>
        <v>0</v>
      </c>
      <c r="JA103" s="86" t="str">
        <f>IFERROR(IF(VLOOKUP(A103,tbMoveset!A2:B112,2,FALSE)="Sever",Backdoors!AY40/100,IF(VLOOKUP(A103,tbMoveset!A2:B112,2,FALSE)="Blunt",Backdoors!AZ40/100,Backdoors!BA40/100)),"")</f>
        <v/>
      </c>
      <c r="JB103" s="49">
        <f>IFERROR(IF(VLOOKUP(tbMoveset!A103,tbMoveset!A2:H112,8,FALSE)="Other",IF(VLOOKUP(tbMoveset!A103,tbMoveset!A2:I112,9,FALSE)="Fire",Backdoors!BB40,IF(VLOOKUP(tbMoveset!A103,tbMoveset!A2:I112,9,FALSE)="Water",Backdoors!BC40,IF(VLOOKUP(tbMoveset!A103,tbMoveset!A2:I112,9,FALSE)="Thunder",Backdoors!BD40,IF(VLOOKUP(tbMoveset!A103,tbMoveset!A2:I112,9,FALSE)="Ice",Backdoors!BE40,IF(VLOOKUP(tbMoveset!A103,tbMoveset!A2:I112,9,FALSE)="Dragon",Backdoors!BF40,Backdoors!BG40)))))/100,Backdoors!BG40/100),"")</f>
        <v>0</v>
      </c>
      <c r="JC103" s="49">
        <f>IFERROR(IF(VLOOKUP(A103,tbMoveset!A2:J112,10,FALSE)=TRUE,IF((Backdoors!AI12+IF(JA103&gt;=0.45,VLOOKUP(Calculator!E23,tbSkills!DH3:DI6,2,FALSE)+IF(AND(Calculator!B8=TRUE,Backdoors!BI40=TRUE),VLOOKUP(Calculator!E23,tbSkills!DH3:DJ6,3,FALSE),0),0))&gt;=0,1+(Backdoors!AL2*(IF((Backdoors!AI12+IF(JA103&gt;=0.45,VLOOKUP(Calculator!E23,tbSkills!DH3:DI6,2,FALSE)+IF(AND(Calculator!B8=TRUE,Backdoors!BI40=TRUE),VLOOKUP(Calculator!E23,tbSkills!DH3:DJ6,3,FALSE),0),0))&gt;=100,100,(Backdoors!AI12+IF(JA103&gt;=0.45,VLOOKUP(Calculator!E23,tbSkills!DH3:DI6,2,FALSE)+IF(AND(Calculator!B8=TRUE,Backdoors!BI40=TRUE),VLOOKUP(Calculator!E23,tbSkills!DH3:DJ6,3,FALSE),0),0)))/100)),(1-(0.25*((-Backdoors!AI12-IF(JA103&gt;=0.45,VLOOKUP(Calculator!E23,tbSkills!DH3:DI6,2,FALSE)+IF(AND(Calculator!B8=TRUE,Backdoors!BI40=TRUE),VLOOKUP(Calculator!E23,tbSkills!DH3:DJ6,3,FALSE),0),0))/100)))),1),"")</f>
        <v>1</v>
      </c>
      <c r="JD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A103)*JC103)*(VLOOKUP(A103,tbMoveset!A2:C112,3,FALSE)/100)*IF(VLOOKUP(A103,tbMoveset!A2:B112,2,FALSE)="Projectile",Backdoors!N10,Backdoors!N9),0),"")</f>
        <v/>
      </c>
      <c r="JE103" s="49">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42&gt;0,VLOOKUP(Calculator!E42,tbSkills!AC3:AD5,2,FALSE),Backdoors!AL3)*(IF((Backdoors!AI12+IF(JA103&gt;=0.45,VLOOKUP(Calculator!E23,tbSkills!DH3:DI6,2,FALSE)+IF(AND(Calculator!B8=TRUE,Backdoors!BI40=TRUE),VLOOKUP(Calculator!E23,tbSkills!DH3:DJ6,3,FALSE),0),0))&gt;=100,100,(Backdoors!AI12+IF(JA103&gt;=0.45,VLOOKUP(Calculator!E23,tbSkills!DH3:DI6,2,FALSE)+IF(AND(Calculator!B8=TRUE,Backdoors!BI40=TRUE),VLOOKUP(Calculator!E23,tbSkills!DH3:DJ6,3,FALSE),0),0)))/100)),1))*IF(VLOOKUP(A103,tbMoveset!A2:K112,11,FALSE)=TRUE,Backdoors!AC5,1))*JB103,0),"")</f>
        <v>0</v>
      </c>
      <c r="JF103" s="49">
        <f>VLOOKUP(A103,tbMoveset!A2:G112,7,FALSE)*IFERROR(IF(Backdoors!AI12&gt;=0,1+(IF(Calculator!E40&gt;0,VLOOKUP(Calculator!E40,tbSkills!AI3:AJ5,2,FALSE),Backdoors!AL4)*(IF((Backdoors!AI12+IF(JA103&gt;=0.45,VLOOKUP(Calculator!E23,tbSkills!DH3:DI6,2,FALSE)+IF(AND(Calculator!B8=TRUE,Backdoors!BI40=TRUE),VLOOKUP(Calculator!E23,tbSkills!DH3:DJ6,3,FALSE),0),0))&gt;=100,100,(Backdoors!AI12+IF(JA103&gt;=0.45,VLOOKUP(Calculator!E23,tbSkills!DH3:DI6,2,FALSE)+IF(AND(Calculator!B8=TRUE,Backdoors!BI40=TRUE),VLOOKUP(Calculator!E23,tbSkills!DH3:DJ6,3,FALSE),0),0)))/100)),1),1)</f>
        <v>0.4</v>
      </c>
      <c r="JG103" s="87">
        <f t="shared" si="88"/>
        <v>0</v>
      </c>
      <c r="JH103" s="86" t="str">
        <f>IFERROR(IF(VLOOKUP(A103,tbMoveset!A2:B112,2,FALSE)="Sever",Backdoors!AY41/100,IF(VLOOKUP(A103,tbMoveset!A2:B112,2,FALSE)="Blunt",Backdoors!AZ41/100,Backdoors!BA41/100)),"")</f>
        <v/>
      </c>
      <c r="JI103" s="49">
        <f>IFERROR(IF(VLOOKUP(tbMoveset!A103,tbMoveset!A2:H112,8,FALSE)="Other",IF(VLOOKUP(tbMoveset!A103,tbMoveset!A2:I112,9,FALSE)="Fire",Backdoors!BB41,IF(VLOOKUP(tbMoveset!A103,tbMoveset!A2:I112,9,FALSE)="Water",Backdoors!BC41,IF(VLOOKUP(tbMoveset!A103,tbMoveset!A2:I112,9,FALSE)="Thunder",Backdoors!BD41,IF(VLOOKUP(tbMoveset!A103,tbMoveset!A2:I112,9,FALSE)="Ice",Backdoors!BE41,IF(VLOOKUP(tbMoveset!A103,tbMoveset!A2:I112,9,FALSE)="Dragon",Backdoors!BF41,Backdoors!BG41)))))/100,Backdoors!BG41/100),"")</f>
        <v>0</v>
      </c>
      <c r="JJ103" s="49">
        <f>IFERROR(IF(VLOOKUP(A103,tbMoveset!A2:J112,10,FALSE)=TRUE,IF((Backdoors!AI12+IF(JH103&gt;=0.45,VLOOKUP(Calculator!E23,tbSkills!DH3:DI6,2,FALSE)+IF(AND(Calculator!B8=TRUE,Backdoors!BI41=TRUE),VLOOKUP(Calculator!E23,tbSkills!DH3:DJ6,3,FALSE),0),0))&gt;=0,1+(Backdoors!AL2*(IF((Backdoors!AI12+IF(JH103&gt;=0.45,VLOOKUP(Calculator!E23,tbSkills!DH3:DI6,2,FALSE)+IF(AND(Calculator!B8=TRUE,Backdoors!BI41=TRUE),VLOOKUP(Calculator!E23,tbSkills!DH3:DJ6,3,FALSE),0),0))&gt;=100,100,(Backdoors!AI12+IF(JH103&gt;=0.45,VLOOKUP(Calculator!E23,tbSkills!DH3:DI6,2,FALSE)+IF(AND(Calculator!B8=TRUE,Backdoors!BI41=TRUE),VLOOKUP(Calculator!E23,tbSkills!DH3:DJ6,3,FALSE),0),0)))/100)),(1-(0.25*((-Backdoors!AI12-IF(JH103&gt;=0.45,VLOOKUP(Calculator!E23,tbSkills!DH3:DI6,2,FALSE)+IF(AND(Calculator!B8=TRUE,Backdoors!BI41=TRUE),VLOOKUP(Calculator!E23,tbSkills!DH3:DJ6,3,FALSE),0),0))/100)))),1),"")</f>
        <v>1</v>
      </c>
      <c r="JK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H103)*JJ103)*(VLOOKUP(A103,tbMoveset!A2:C112,3,FALSE)/100)*IF(VLOOKUP(A103,tbMoveset!A2:B112,2,FALSE)="Projectile",Backdoors!N10,Backdoors!N9),0),"")</f>
        <v/>
      </c>
      <c r="JL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43&gt;0,VLOOKUP(Calculator!E43,tbSkills!AC3:AD5,2,FALSE),Backdoors!AL3)*(IF((Backdoors!AI12+IF(JH103&gt;=0.45,VLOOKUP(Calculator!E23,tbSkills!DH3:DI6,2,FALSE)+IF(AND(Calculator!B8=TRUE,Backdoors!BI41=TRUE),VLOOKUP(Calculator!E23,tbSkills!DH3:DJ6,3,FALSE),0),0))&gt;=100,100,(Backdoors!AI12+IF(JH103&gt;=0.45,VLOOKUP(Calculator!E23,tbSkills!DH3:DI6,2,FALSE)+IF(AND(Calculator!B8=TRUE,Backdoors!BI41=TRUE),VLOOKUP(Calculator!E23,tbSkills!DH3:DJ6,3,FALSE),0),0)))/100)),1))*IF(VLOOKUP(A103,tbMoveset!A2:K112,11,FALSE)=TRUE,Backdoors!AC5,1))*JI103,0),"")</f>
        <v/>
      </c>
      <c r="JM103" s="49">
        <f>VLOOKUP(A103,tbMoveset!A2:G112,7,FALSE)*IFERROR(IF(Backdoors!AI12&gt;=0,1+(IF(Calculator!E40&gt;0,VLOOKUP(Calculator!E40,tbSkills!AI3:AJ5,2,FALSE),Backdoors!AL4)*(IF((Backdoors!AI12+IF(JH103&gt;=0.45,VLOOKUP(Calculator!E23,tbSkills!DH3:DI6,2,FALSE)+IF(AND(Calculator!B8=TRUE,Backdoors!BI41=TRUE),VLOOKUP(Calculator!E23,tbSkills!DH3:DJ6,3,FALSE),0),0))&gt;=100,100,(Backdoors!AI12+IF(JH103&gt;=0.45,VLOOKUP(Calculator!E23,tbSkills!DH3:DI6,2,FALSE)+IF(AND(Calculator!B8=TRUE,Backdoors!BI41=TRUE),VLOOKUP(Calculator!E23,tbSkills!DH3:DJ6,3,FALSE),0),0)))/100)),1),1)</f>
        <v>0.4</v>
      </c>
      <c r="JN103" s="87">
        <f t="shared" si="89"/>
        <v>0</v>
      </c>
      <c r="JO103" s="86" t="str">
        <f>IFERROR(IF(VLOOKUP(A103,tbMoveset!A2:B112,2,FALSE)="Sever",Backdoors!AY42/100,IF(VLOOKUP(A103,tbMoveset!A2:B112,2,FALSE)="Blunt",Backdoors!AZ42/100,Backdoors!BA42/100)),"")</f>
        <v/>
      </c>
      <c r="JP103" s="49">
        <f>IFERROR(IF(VLOOKUP(tbMoveset!A103,tbMoveset!A2:H112,8,FALSE)="Other",IF(VLOOKUP(tbMoveset!A103,tbMoveset!A2:I112,9,FALSE)="Fire",Backdoors!BB42,IF(VLOOKUP(tbMoveset!A103,tbMoveset!A2:I112,9,FALSE)="Water",Backdoors!BC42,IF(VLOOKUP(tbMoveset!A103,tbMoveset!A2:I112,9,FALSE)="Thunder",Backdoors!BD42,IF(VLOOKUP(tbMoveset!A103,tbMoveset!A2:I112,9,FALSE)="Ice",Backdoors!BE42,IF(VLOOKUP(tbMoveset!A103,tbMoveset!A2:I112,9,FALSE)="Dragon",Backdoors!BF42,Backdoors!BG42)))))/100,Backdoors!BG42/100),"")</f>
        <v>0</v>
      </c>
      <c r="JQ103" s="49">
        <f>IFERROR(IF(VLOOKUP(A103,tbMoveset!A2:J112,10,FALSE)=TRUE,IF((Backdoors!AI12+IF(JO103&gt;=0.45,VLOOKUP(Calculator!E23,tbSkills!DH3:DI6,2,FALSE)+IF(AND(Calculator!B8=TRUE,Backdoors!BI42=TRUE),VLOOKUP(Calculator!E23,tbSkills!DH3:DJ6,3,FALSE),0),0))&gt;=0,1+(Backdoors!AL2*(IF((Backdoors!AI12+IF(JO103&gt;=0.45,VLOOKUP(Calculator!E23,tbSkills!DH3:DI6,2,FALSE)+IF(AND(Calculator!B8=TRUE,Backdoors!BI42=TRUE),VLOOKUP(Calculator!E23,tbSkills!DH3:DJ6,3,FALSE),0),0))&gt;=100,100,(Backdoors!AI12+IF(JO103&gt;=0.45,VLOOKUP(Calculator!E23,tbSkills!DH3:DI6,2,FALSE)+IF(AND(Calculator!B8=TRUE,Backdoors!BI42=TRUE),VLOOKUP(Calculator!E23,tbSkills!DH3:DJ6,3,FALSE),0),0)))/100)),(1-(0.25*((-Backdoors!AI12-IF(JO103&gt;=0.45,VLOOKUP(Calculator!E23,tbSkills!DH3:DI6,2,FALSE)+IF(AND(Calculator!B8=TRUE,Backdoors!BI42=TRUE),VLOOKUP(Calculator!E23,tbSkills!DH3:DJ6,3,FALSE),0),0))/100)))),1),"")</f>
        <v>1</v>
      </c>
      <c r="JR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O103)*JQ103)*(VLOOKUP(A103,tbMoveset!A2:C112,3,FALSE)/100)*IF(VLOOKUP(A103,tbMoveset!A2:B112,2,FALSE)="Projectile",Backdoors!N10,Backdoors!N9),0),"")</f>
        <v/>
      </c>
      <c r="JS103" s="49">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45&gt;0,VLOOKUP(Calculator!E45,tbSkills!AC3:AD5,2,FALSE),Backdoors!AL3)*(IF((Backdoors!AI12+IF(JO103&gt;=0.45,VLOOKUP(Calculator!E23,tbSkills!DH3:DI6,2,FALSE)+IF(AND(Calculator!B8=TRUE,Backdoors!BI42=TRUE),VLOOKUP(Calculator!E23,tbSkills!DH3:DJ6,3,FALSE),0),0))&gt;=100,100,(Backdoors!AI12+IF(JO103&gt;=0.45,VLOOKUP(Calculator!E23,tbSkills!DH3:DI6,2,FALSE)+IF(AND(Calculator!B8=TRUE,Backdoors!BI42=TRUE),VLOOKUP(Calculator!E23,tbSkills!DH3:DJ6,3,FALSE),0),0)))/100)),1))*IF(VLOOKUP(A103,tbMoveset!A2:K112,11,FALSE)=TRUE,Backdoors!AC5,1))*JP103,0),"")</f>
        <v>0</v>
      </c>
      <c r="JT103" s="49">
        <f>VLOOKUP(A103,tbMoveset!A2:G112,7,FALSE)*IFERROR(IF(Backdoors!AI12&gt;=0,1+(IF(Calculator!E40&gt;0,VLOOKUP(Calculator!E40,tbSkills!AI3:AJ5,2,FALSE),Backdoors!AL4)*(IF((Backdoors!AI12+IF(JO103&gt;=0.45,VLOOKUP(Calculator!E23,tbSkills!DH3:DI6,2,FALSE)+IF(AND(Calculator!B8=TRUE,Backdoors!BI42=TRUE),VLOOKUP(Calculator!E23,tbSkills!DH3:DJ6,3,FALSE),0),0))&gt;=100,100,(Backdoors!AI12+IF(JO103&gt;=0.45,VLOOKUP(Calculator!E23,tbSkills!DH3:DI6,2,FALSE)+IF(AND(Calculator!B8=TRUE,Backdoors!BI42=TRUE),VLOOKUP(Calculator!E23,tbSkills!DH3:DJ6,3,FALSE),0),0)))/100)),1),1)</f>
        <v>0.4</v>
      </c>
      <c r="JU103" s="87">
        <f t="shared" si="90"/>
        <v>0</v>
      </c>
      <c r="JV103" s="86" t="str">
        <f>IFERROR(IF(VLOOKUP(A103,tbMoveset!A2:B112,2,FALSE)="Sever",Backdoors!AY43/100,IF(VLOOKUP(A103,tbMoveset!A2:B112,2,FALSE)="Blunt",Backdoors!AZ43/100,Backdoors!BA43/100)),"")</f>
        <v/>
      </c>
      <c r="JW103" s="49">
        <f>IFERROR(IF(VLOOKUP(tbMoveset!A103,tbMoveset!A2:H112,8,FALSE)="Other",IF(VLOOKUP(tbMoveset!A103,tbMoveset!A2:I112,9,FALSE)="Fire",Backdoors!BB43,IF(VLOOKUP(tbMoveset!A103,tbMoveset!A2:I112,9,FALSE)="Water",Backdoors!BC43,IF(VLOOKUP(tbMoveset!A103,tbMoveset!A2:I112,9,FALSE)="Thunder",Backdoors!BD43,IF(VLOOKUP(tbMoveset!A103,tbMoveset!A2:I112,9,FALSE)="Ice",Backdoors!BE43,IF(VLOOKUP(tbMoveset!A103,tbMoveset!A2:I112,9,FALSE)="Dragon",Backdoors!BF43,Backdoors!BG43)))))/100,Backdoors!BG43/100),"")</f>
        <v>0</v>
      </c>
      <c r="JX103" s="49">
        <f>IFERROR(IF(VLOOKUP(A103,tbMoveset!A2:J112,10,FALSE)=TRUE,IF((Backdoors!AI12+IF(JV103&gt;=0.45,VLOOKUP(Calculator!E23,tbSkills!DH3:DI6,2,FALSE)+IF(AND(Calculator!B8=TRUE,Backdoors!BI43=TRUE),VLOOKUP(Calculator!E23,tbSkills!DH3:DJ6,3,FALSE),0),0))&gt;=0,1+(Backdoors!AL2*(IF((Backdoors!AI12+IF(JV103&gt;=0.45,VLOOKUP(Calculator!E23,tbSkills!DH3:DI6,2,FALSE)+IF(AND(Calculator!B8=TRUE,Backdoors!BI43=TRUE),VLOOKUP(Calculator!E23,tbSkills!DH3:DJ6,3,FALSE),0),0))&gt;=100,100,(Backdoors!AI12+IF(JV103&gt;=0.45,VLOOKUP(Calculator!E23,tbSkills!DH3:DI6,2,FALSE)+IF(AND(Calculator!B8=TRUE,Backdoors!BI43=TRUE),VLOOKUP(Calculator!E23,tbSkills!DH3:DJ6,3,FALSE),0),0)))/100)),(1-(0.25*((-Backdoors!AI12-IF(JV103&gt;=0.45,VLOOKUP(Calculator!E23,tbSkills!DH3:DI6,2,FALSE)+IF(AND(Calculator!B8=TRUE,Backdoors!BI43=TRUE),VLOOKUP(Calculator!E23,tbSkills!DH3:DJ6,3,FALSE),0),0))/100)))),1),"")</f>
        <v>1</v>
      </c>
      <c r="JY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V103)*JX103)*(VLOOKUP(A103,tbMoveset!A2:C112,3,FALSE)/100)*IF(VLOOKUP(A103,tbMoveset!A2:B112,2,FALSE)="Projectile",Backdoors!N10,Backdoors!N9),0),"")</f>
        <v/>
      </c>
      <c r="JZ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46&gt;0,VLOOKUP(Calculator!E46,tbSkills!AC3:AD5,2,FALSE),Backdoors!AL3)*(IF((Backdoors!AI12+IF(JV103&gt;=0.45,VLOOKUP(Calculator!E23,tbSkills!DH3:DI6,2,FALSE)+IF(AND(Calculator!B8=TRUE,Backdoors!BI43=TRUE),VLOOKUP(Calculator!E23,tbSkills!DH3:DJ6,3,FALSE),0),0))&gt;=100,100,(Backdoors!AI12+IF(JV103&gt;=0.45,VLOOKUP(Calculator!E23,tbSkills!DH3:DI6,2,FALSE)+IF(AND(Calculator!B8=TRUE,Backdoors!BI43=TRUE),VLOOKUP(Calculator!E23,tbSkills!DH3:DJ6,3,FALSE),0),0)))/100)),1))*IF(VLOOKUP(A103,tbMoveset!A2:K112,11,FALSE)=TRUE,Backdoors!AC5,1))*JW103,0),"")</f>
        <v/>
      </c>
      <c r="KA103" s="49">
        <f>VLOOKUP(A103,tbMoveset!A2:G112,7,FALSE)*IFERROR(IF(Backdoors!AI12&gt;=0,1+(IF(Calculator!E40&gt;0,VLOOKUP(Calculator!E40,tbSkills!AI3:AJ5,2,FALSE),Backdoors!AL4)*(IF((Backdoors!AI12+IF(JV103&gt;=0.45,VLOOKUP(Calculator!E23,tbSkills!DH3:DI6,2,FALSE)+IF(AND(Calculator!B8=TRUE,Backdoors!BI43=TRUE),VLOOKUP(Calculator!E23,tbSkills!DH3:DJ6,3,FALSE),0),0))&gt;=100,100,(Backdoors!AI12+IF(JV103&gt;=0.45,VLOOKUP(Calculator!E23,tbSkills!DH3:DI6,2,FALSE)+IF(AND(Calculator!B8=TRUE,Backdoors!BI43=TRUE),VLOOKUP(Calculator!E23,tbSkills!DH3:DJ6,3,FALSE),0),0)))/100)),1),1)</f>
        <v>0.4</v>
      </c>
      <c r="KB103" s="87">
        <f t="shared" si="91"/>
        <v>0</v>
      </c>
      <c r="KC103" s="86" t="str">
        <f>IFERROR(IF(VLOOKUP(A103,tbMoveset!A2:B112,2,FALSE)="Sever",Backdoors!AY44/100,IF(VLOOKUP(A103,tbMoveset!A2:B112,2,FALSE)="Blunt",Backdoors!AZ44/100,Backdoors!BA44/100)),"")</f>
        <v/>
      </c>
      <c r="KD103" s="49">
        <f>IFERROR(IF(VLOOKUP(tbMoveset!A103,tbMoveset!A2:H112,8,FALSE)="Other",IF(VLOOKUP(tbMoveset!A103,tbMoveset!A2:I112,9,FALSE)="Fire",Backdoors!BB44,IF(VLOOKUP(tbMoveset!A103,tbMoveset!A2:I112,9,FALSE)="Water",Backdoors!BC44,IF(VLOOKUP(tbMoveset!A103,tbMoveset!A2:I112,9,FALSE)="Thunder",Backdoors!BD44,IF(VLOOKUP(tbMoveset!A103,tbMoveset!A2:I112,9,FALSE)="Ice",Backdoors!BE44,IF(VLOOKUP(tbMoveset!A103,tbMoveset!A2:I112,9,FALSE)="Dragon",Backdoors!BF44,Backdoors!BG44)))))/100,Backdoors!BG44/100),"")</f>
        <v>0</v>
      </c>
      <c r="KE103" s="49">
        <f>IFERROR(IF(VLOOKUP(A103,tbMoveset!A2:J112,10,FALSE)=TRUE,IF((Backdoors!AI12+IF(KC103&gt;=0.45,VLOOKUP(Calculator!E23,tbSkills!DH3:DI6,2,FALSE)+IF(AND(Calculator!B8=TRUE,Backdoors!BI44=TRUE),VLOOKUP(Calculator!E23,tbSkills!DH3:DJ6,3,FALSE),0),0))&gt;=0,1+(Backdoors!AL2*(IF((Backdoors!AI12+IF(KC103&gt;=0.45,VLOOKUP(Calculator!E23,tbSkills!DH3:DI6,2,FALSE)+IF(AND(Calculator!B8=TRUE,Backdoors!BI44=TRUE),VLOOKUP(Calculator!E23,tbSkills!DH3:DJ6,3,FALSE),0),0))&gt;=100,100,(Backdoors!AI12+IF(KC103&gt;=0.45,VLOOKUP(Calculator!E23,tbSkills!DH3:DI6,2,FALSE)+IF(AND(Calculator!B8=TRUE,Backdoors!BI44=TRUE),VLOOKUP(Calculator!E23,tbSkills!DH3:DJ6,3,FALSE),0),0)))/100)),(1-(0.25*((-Backdoors!AI12-IF(KC103&gt;=0.45,VLOOKUP(Calculator!E23,tbSkills!DH3:DI6,2,FALSE)+IF(AND(Calculator!B8=TRUE,Backdoors!BI44=TRUE),VLOOKUP(Calculator!E23,tbSkills!DH3:DJ6,3,FALSE),0),0))/100)))),1),"")</f>
        <v>1</v>
      </c>
      <c r="KF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KC103)*KE103)*(VLOOKUP(A103,tbMoveset!A2:C112,3,FALSE)/100)*IF(VLOOKUP(A103,tbMoveset!A2:B112,2,FALSE)="Projectile",Backdoors!N10,Backdoors!N9),0),"")</f>
        <v/>
      </c>
      <c r="KG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REF!&gt;0,VLOOKUP(Calculator!#REF!,tbSkills!AC3:AD5,2,FALSE),Backdoors!AL3)*(IF((Backdoors!AI12+IF(KC103&gt;=0.45,VLOOKUP(Calculator!E23,tbSkills!DH3:DI6,2,FALSE)+IF(AND(Calculator!B8=TRUE,Backdoors!BI44=TRUE),VLOOKUP(Calculator!E23,tbSkills!DH3:DJ6,3,FALSE),0),0))&gt;=100,100,(Backdoors!AI12+IF(KC103&gt;=0.45,VLOOKUP(Calculator!E23,tbSkills!DH3:DI6,2,FALSE)+IF(AND(Calculator!B8=TRUE,Backdoors!BI44=TRUE),VLOOKUP(Calculator!E23,tbSkills!DH3:DJ6,3,FALSE),0),0)))/100)),1))*IF(VLOOKUP(A103,tbMoveset!A2:K112,11,FALSE)=TRUE,Backdoors!AC5,1))*KD103,0),"")</f>
        <v/>
      </c>
      <c r="KH103" s="49">
        <f>VLOOKUP(A103,tbMoveset!A2:G112,7,FALSE)*IFERROR(IF(Backdoors!AI12&gt;=0,1+(IF(Calculator!E40&gt;0,VLOOKUP(Calculator!E40,tbSkills!AI3:AJ5,2,FALSE),Backdoors!AL4)*(IF((Backdoors!AI12+IF(KC103&gt;=0.45,VLOOKUP(Calculator!E23,tbSkills!DH3:DI6,2,FALSE)+IF(AND(Calculator!B8=TRUE,Backdoors!BI44=TRUE),VLOOKUP(Calculator!E23,tbSkills!DH3:DJ6,3,FALSE),0),0))&gt;=100,100,(Backdoors!AI12+IF(KC103&gt;=0.45,VLOOKUP(Calculator!E23,tbSkills!DH3:DI6,2,FALSE)+IF(AND(Calculator!B8=TRUE,Backdoors!BI44=TRUE),VLOOKUP(Calculator!E23,tbSkills!DH3:DJ6,3,FALSE),0),0)))/100)),1),1)</f>
        <v>0.4</v>
      </c>
      <c r="KI103" s="87">
        <f t="shared" si="92"/>
        <v>0</v>
      </c>
      <c r="KJ103" s="86" t="str">
        <f>IFERROR(IF(VLOOKUP(A103,tbMoveset!A2:B112,2,FALSE)="Sever",Backdoors!AY45/100,IF(VLOOKUP(A103,tbMoveset!A2:B112,2,FALSE)="Blunt",Backdoors!AZ45/100,Backdoors!BA45/100)),"")</f>
        <v/>
      </c>
      <c r="KK103" s="49">
        <f>IFERROR(IF(VLOOKUP(tbMoveset!A103,tbMoveset!A2:H112,8,FALSE)="Other",IF(VLOOKUP(tbMoveset!A103,tbMoveset!A2:I112,9,FALSE)="Fire",Backdoors!BB45,IF(VLOOKUP(tbMoveset!A103,tbMoveset!A2:I112,9,FALSE)="Water",Backdoors!BC45,IF(VLOOKUP(tbMoveset!A103,tbMoveset!A2:I112,9,FALSE)="Thunder",Backdoors!BD45,IF(VLOOKUP(tbMoveset!A103,tbMoveset!A2:I112,9,FALSE)="Ice",Backdoors!BE45,IF(VLOOKUP(tbMoveset!A103,tbMoveset!A2:I112,9,FALSE)="Dragon",Backdoors!BF45,Backdoors!BG45)))))/100,Backdoors!BG45/100),"")</f>
        <v>0</v>
      </c>
      <c r="KL103" s="49">
        <f>IFERROR(IF(VLOOKUP(A103,tbMoveset!A2:J112,10,FALSE)=TRUE,IF((Backdoors!AI12+IF(KJ103&gt;=0.45,VLOOKUP(Calculator!E23,tbSkills!DH3:DI6,2,FALSE)+IF(AND(Calculator!B8=TRUE,Backdoors!BI45=TRUE),VLOOKUP(Calculator!E23,tbSkills!DH3:DJ6,3,FALSE),0),0))&gt;=0,1+(Backdoors!AL2*(IF((Backdoors!AI12+IF(KJ103&gt;=0.45,VLOOKUP(Calculator!E23,tbSkills!DH3:DI6,2,FALSE)+IF(AND(Calculator!B8=TRUE,Backdoors!BI45=TRUE),VLOOKUP(Calculator!E23,tbSkills!DH3:DJ6,3,FALSE),0),0))&gt;=100,100,(Backdoors!AI12+IF(KJ103&gt;=0.45,VLOOKUP(Calculator!E23,tbSkills!DH3:DI6,2,FALSE)+IF(AND(Calculator!B8=TRUE,Backdoors!BI45=TRUE),VLOOKUP(Calculator!E23,tbSkills!DH3:DJ6,3,FALSE),0),0)))/100)),(1-(0.25*((-Backdoors!AI12-IF(KJ103&gt;=0.45,VLOOKUP(Calculator!E23,tbSkills!DH3:DI6,2,FALSE)+IF(AND(Calculator!B8=TRUE,Backdoors!BI45=TRUE),VLOOKUP(Calculator!E23,tbSkills!DH3:DJ6,3,FALSE),0),0))/100)))),1),"")</f>
        <v>1</v>
      </c>
      <c r="KM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KJ103)*KL103)*(VLOOKUP(A103,tbMoveset!A2:C112,3,FALSE)/100)*IF(VLOOKUP(A103,tbMoveset!A2:B112,2,FALSE)="Projectile",Backdoors!N10,Backdoors!N9),0),"")</f>
        <v/>
      </c>
      <c r="KN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REF!&gt;0,VLOOKUP(Calculator!#REF!,tbSkills!AC3:AD5,2,FALSE),Backdoors!AL3)*(IF((Backdoors!AI12+IF(KJ103&gt;=0.45,VLOOKUP(Calculator!E23,tbSkills!DH3:DI6,2,FALSE)+IF(AND(Calculator!B8=TRUE,Backdoors!BI45=TRUE),VLOOKUP(Calculator!E23,tbSkills!DH3:DJ6,3,FALSE),0),0))&gt;=100,100,(Backdoors!AI12+IF(KJ103&gt;=0.45,VLOOKUP(Calculator!E23,tbSkills!DH3:DI6,2,FALSE)+IF(AND(Calculator!B8=TRUE,Backdoors!BI45=TRUE),VLOOKUP(Calculator!E23,tbSkills!DH3:DJ6,3,FALSE),0),0)))/100)),1))*IF(VLOOKUP(A103,tbMoveset!A2:K112,11,FALSE)=TRUE,Backdoors!AC5,1))*KK103,0),"")</f>
        <v/>
      </c>
      <c r="KO103" s="49">
        <f>VLOOKUP(A103,tbMoveset!A2:G112,7,FALSE)*IFERROR(IF(Backdoors!AI12&gt;=0,1+(IF(Calculator!E40&gt;0,VLOOKUP(Calculator!E40,tbSkills!AI3:AJ5,2,FALSE),Backdoors!AL4)*(IF((Backdoors!AI12+IF(KJ103&gt;=0.45,VLOOKUP(Calculator!E23,tbSkills!DH3:DI6,2,FALSE)+IF(AND(Calculator!B8=TRUE,Backdoors!BI45=TRUE),VLOOKUP(Calculator!E23,tbSkills!DH3:DJ6,3,FALSE),0),0))&gt;=100,100,(Backdoors!AI12+IF(KJ103&gt;=0.45,VLOOKUP(Calculator!E23,tbSkills!DH3:DI6,2,FALSE)+IF(AND(Calculator!B8=TRUE,Backdoors!BI45=TRUE),VLOOKUP(Calculator!E23,tbSkills!DH3:DJ6,3,FALSE),0),0)))/100)),1),1)</f>
        <v>0.4</v>
      </c>
      <c r="KP103" s="87">
        <f t="shared" si="93"/>
        <v>0</v>
      </c>
      <c r="KQ103" s="86" t="str">
        <f>IFERROR(IF(VLOOKUP(A103,tbMoveset!A2:B112,2,FALSE)="Sever",Backdoors!AY46/100,IF(VLOOKUP(A103,tbMoveset!A2:B112,2,FALSE)="Blunt",Backdoors!AZ46/100,Backdoors!BA46/100)),"")</f>
        <v/>
      </c>
      <c r="KR103" s="49">
        <f>IFERROR(IF(VLOOKUP(tbMoveset!A103,tbMoveset!A2:H112,8,FALSE)="Other",IF(VLOOKUP(tbMoveset!A103,tbMoveset!A2:I112,9,FALSE)="Fire",Backdoors!BB46,IF(VLOOKUP(tbMoveset!A103,tbMoveset!A2:I112,9,FALSE)="Water",Backdoors!BC46,IF(VLOOKUP(tbMoveset!A103,tbMoveset!A2:I112,9,FALSE)="Thunder",Backdoors!BD46,IF(VLOOKUP(tbMoveset!A103,tbMoveset!A2:I112,9,FALSE)="Ice",Backdoors!BE46,IF(VLOOKUP(tbMoveset!A103,tbMoveset!A2:I112,9,FALSE)="Dragon",Backdoors!BF46,Backdoors!BG46)))))/100,Backdoors!BG46/100),"")</f>
        <v>0</v>
      </c>
      <c r="KS103" s="49">
        <f>IFERROR(IF(VLOOKUP(A103,tbMoveset!A2:J112,10,FALSE)=TRUE,IF((Backdoors!AI12+IF(KQ103&gt;=0.45,VLOOKUP(Calculator!E23,tbSkills!DH3:DI6,2,FALSE)+IF(AND(Calculator!B8=TRUE,Backdoors!BI46=TRUE),VLOOKUP(Calculator!E23,tbSkills!DH3:DJ6,3,FALSE),0),0))&gt;=0,1+(Backdoors!AL2*(IF((Backdoors!AI12+IF(KQ103&gt;=0.45,VLOOKUP(Calculator!E23,tbSkills!DH3:DI6,2,FALSE)+IF(AND(Calculator!B8=TRUE,Backdoors!BI46=TRUE),VLOOKUP(Calculator!E23,tbSkills!DH3:DJ6,3,FALSE),0),0))&gt;=100,100,(Backdoors!AI12+IF(KQ103&gt;=0.45,VLOOKUP(Calculator!E23,tbSkills!DH3:DI6,2,FALSE)+IF(AND(Calculator!B8=TRUE,Backdoors!BI46=TRUE),VLOOKUP(Calculator!E23,tbSkills!DH3:DJ6,3,FALSE),0),0)))/100)),(1-(0.25*((-Backdoors!AI12-IF(KQ103&gt;=0.45,VLOOKUP(Calculator!E23,tbSkills!DH3:DI6,2,FALSE)+IF(AND(Calculator!B8=TRUE,Backdoors!BI46=TRUE),VLOOKUP(Calculator!E23,tbSkills!DH3:DJ6,3,FALSE),0),0))/100)))),1),"")</f>
        <v>1</v>
      </c>
      <c r="KT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KQ103)*KS103)*(VLOOKUP(A103,tbMoveset!A2:C112,3,FALSE)/100)*IF(VLOOKUP(A103,tbMoveset!A2:B112,2,FALSE)="Projectile",Backdoors!N10,Backdoors!N9),0),"")</f>
        <v/>
      </c>
      <c r="KU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REF!&gt;0,VLOOKUP(Calculator!#REF!,tbSkills!AC3:AD5,2,FALSE),Backdoors!AL3)*(IF((Backdoors!AI12+IF(KQ103&gt;=0.45,VLOOKUP(Calculator!E23,tbSkills!DH3:DI6,2,FALSE)+IF(AND(Calculator!B8=TRUE,Backdoors!BI46=TRUE),VLOOKUP(Calculator!E23,tbSkills!DH3:DJ6,3,FALSE),0),0))&gt;=100,100,(Backdoors!AI12+IF(KQ103&gt;=0.45,VLOOKUP(Calculator!E23,tbSkills!DH3:DI6,2,FALSE)+IF(AND(Calculator!B8=TRUE,Backdoors!BI46=TRUE),VLOOKUP(Calculator!E23,tbSkills!DH3:DJ6,3,FALSE),0),0)))/100)),1))*IF(VLOOKUP(A103,tbMoveset!A2:K112,11,FALSE)=TRUE,Backdoors!AC5,1))*KR103,0),"")</f>
        <v/>
      </c>
      <c r="KV103" s="49">
        <f>VLOOKUP(A103,tbMoveset!A2:G112,7,FALSE)*IFERROR(IF(Backdoors!AI12&gt;=0,1+(IF(Calculator!E40&gt;0,VLOOKUP(Calculator!E40,tbSkills!AI3:AJ5,2,FALSE),Backdoors!AL4)*(IF((Backdoors!AI12+IF(KQ103&gt;=0.45,VLOOKUP(Calculator!E23,tbSkills!DH3:DI6,2,FALSE)+IF(AND(Calculator!B8=TRUE,Backdoors!BI46=TRUE),VLOOKUP(Calculator!E23,tbSkills!DH3:DJ6,3,FALSE),0),0))&gt;=100,100,(Backdoors!AI12+IF(KQ103&gt;=0.45,VLOOKUP(Calculator!E23,tbSkills!DH3:DI6,2,FALSE)+IF(AND(Calculator!B8=TRUE,Backdoors!BI46=TRUE),VLOOKUP(Calculator!E23,tbSkills!DH3:DJ6,3,FALSE),0),0)))/100)),1),1)</f>
        <v>0.4</v>
      </c>
      <c r="KW103" s="87">
        <f t="shared" si="94"/>
        <v>0</v>
      </c>
    </row>
    <row r="104" spans="1:309" x14ac:dyDescent="0.25">
      <c r="A104" s="95" t="str">
        <f>tbMoveset!A104</f>
        <v>[Mounting] Demon Flurry (L2)</v>
      </c>
      <c r="B104" s="86">
        <f>IFERROR(IF(VLOOKUP(A104,tbMoveset!A2:B112,2,FALSE)="Sever",Backdoors!AY3/100,IF(VLOOKUP(A104,tbMoveset!A2:B112,2,FALSE)="Blunt",Backdoors!AZ3/100,Backdoors!BA3/100)),"")</f>
        <v>0.8</v>
      </c>
      <c r="C104" s="49">
        <f>IFERROR(IF(VLOOKUP(tbMoveset!A104,tbMoveset!A2:H112,8,FALSE)="Other",IF(VLOOKUP(tbMoveset!A104,tbMoveset!A2:I112,9,FALSE)="Fire",Backdoors!BB3,IF(VLOOKUP(tbMoveset!A104,tbMoveset!A2:I112,9,FALSE)="Water",Backdoors!BC3,IF(VLOOKUP(tbMoveset!A104,tbMoveset!A2:I112,9,FALSE)="Thunder",Backdoors!BD3,IF(VLOOKUP(tbMoveset!A104,tbMoveset!A2:I112,9,FALSE)="Ice",Backdoors!BE3,IF(VLOOKUP(tbMoveset!A104,tbMoveset!A2:I112,9,FALSE)="Dragon",Backdoors!BF3,Backdoors!BG3)))))/100,Backdoors!BG3/100),"")</f>
        <v>0</v>
      </c>
      <c r="D104" s="49">
        <f>IFERROR(IF(VLOOKUP(A104,tbMoveset!A2:J112,10,FALSE)=TRUE,IF((Backdoors!AI12+IF(B104&gt;=0.45,VLOOKUP(Calculator!E23,tbSkills!DH3:DI6,2,FALSE)+IF(AND(Calculator!B8=TRUE,Backdoors!BI3=TRUE),VLOOKUP(Calculator!E23,tbSkills!DH3:DJ6,3,FALSE),0),0))&gt;=0,1+(Backdoors!AL2*(IF((Backdoors!AI12+IF(B104&gt;=0.45,VLOOKUP(Calculator!E23,tbSkills!DH3:DI6,2,FALSE)+IF(AND(Calculator!B8=TRUE,Backdoors!BI3=TRUE),VLOOKUP(Calculator!E23,tbSkills!DH3:DJ6,3,FALSE),0),0))&gt;=100,100,(Backdoors!AI12+IF(B104&gt;=0.45,VLOOKUP(Calculator!E23,tbSkills!DH3:DI6,2,FALSE)+IF(AND(Calculator!B8=TRUE,Backdoors!BI3=TRUE),VLOOKUP(Calculator!E23,tbSkills!DH3:DJ6,3,FALSE),0),0)))/100)),(1-(0.25*((-Backdoors!AI12-IF(B104&gt;=0.45,VLOOKUP(Calculator!E23,tbSkills!DH3:DI6,2,FALSE)+IF(AND(Calculator!B8=TRUE,Backdoors!BI3=TRUE),VLOOKUP(Calculator!E23,tbSkills!DH3:DJ6,3,FALSE),0),0))/100)))),1),"")</f>
        <v>1</v>
      </c>
      <c r="E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104)*D104)*(VLOOKUP(A104,tbMoveset!A2:C112,3,FALSE)/100)*IF(VLOOKUP(A104,tbMoveset!A2:B112,2,FALSE)="Projectile",Backdoors!N10,Backdoors!N9),0),"")</f>
        <v>7</v>
      </c>
      <c r="F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104&gt;=0.45,VLOOKUP(Calculator!E23,tbSkills!DH3:DI6,2,FALSE)+IF(AND(Calculator!B8=TRUE,Backdoors!BI3=TRUE),VLOOKUP(Calculator!E23,tbSkills!DH3:DJ6,3,FALSE),0),0))&gt;=100,100,(Backdoors!AI12+IF(B104&gt;=0.45,VLOOKUP(Calculator!E23,tbSkills!DH3:DI6,2,FALSE)+IF(AND(Calculator!B8=TRUE,Backdoors!BI3=TRUE),VLOOKUP(Calculator!E23,tbSkills!DH3:DJ6,3,FALSE),0),0)))/100)),1))*IF(VLOOKUP(A104,tbMoveset!A2:K112,11,FALSE)=TRUE,Backdoors!AC5,1))*C104,0),"")</f>
        <v>0</v>
      </c>
      <c r="G104">
        <f>VLOOKUP(A104,tbMoveset!A2:G112,7,FALSE)*IFERROR(IF(Backdoors!AI12&gt;=0,1+(IF(Calculator!E40&gt;0,VLOOKUP(Calculator!E40,tbSkills!AI3:AJ5,2,FALSE),Backdoors!AL4)*(IF((Backdoors!AI12+IF(B104&gt;=0.45,VLOOKUP(Calculator!E23,tbSkills!DH3:DI6,2,FALSE)+IF(AND(Calculator!B8=TRUE,Backdoors!BI3=TRUE),VLOOKUP(Calculator!E23,tbSkills!DH3:DJ6,3,FALSE),0),0))&gt;=100,100,(Backdoors!AI12+IF(B104&gt;=0.45,VLOOKUP(Calculator!E23,tbSkills!DH3:DI6,2,FALSE)+IF(AND(Calculator!B8=TRUE,Backdoors!BI3=TRUE),VLOOKUP(Calculator!E23,tbSkills!DH3:DJ6,3,FALSE),0),0)))/100)),1),1)</f>
        <v>0.4</v>
      </c>
      <c r="H104" s="87">
        <f t="shared" si="95"/>
        <v>7</v>
      </c>
      <c r="I104" s="86">
        <f>IFERROR(IF(VLOOKUP(A104,tbMoveset!A2:B112,2,FALSE)="Sever",Backdoors!AY4/100,IF(VLOOKUP(A104,tbMoveset!A2:B112,2,FALSE)="Blunt",Backdoors!AZ4/100,Backdoors!BA4/100)),"")</f>
        <v>0.65</v>
      </c>
      <c r="J104" s="49">
        <f>IFERROR(IF(VLOOKUP(tbMoveset!A104,tbMoveset!A2:H112,8,FALSE)="Other",IF(VLOOKUP(tbMoveset!A104,tbMoveset!A2:I112,9,FALSE)="Fire",Backdoors!BB4,IF(VLOOKUP(tbMoveset!A104,tbMoveset!A2:I112,9,FALSE)="Water",Backdoors!BC4,IF(VLOOKUP(tbMoveset!A104,tbMoveset!A2:I112,9,FALSE)="Thunder",Backdoors!BD4,IF(VLOOKUP(tbMoveset!A104,tbMoveset!A2:I112,9,FALSE)="Ice",Backdoors!BE4,IF(VLOOKUP(tbMoveset!A104,tbMoveset!A2:I112,9,FALSE)="Dragon",Backdoors!BF4,Backdoors!BG4)))))/100,Backdoors!BG4/100),"")</f>
        <v>0</v>
      </c>
      <c r="K104" s="49">
        <f>IFERROR(IF(VLOOKUP(A104,tbMoveset!A2:J112,10,FALSE)=TRUE,IF((Backdoors!AI12+IF(I104&gt;=0.45,VLOOKUP(Calculator!E23,tbSkills!DH3:DI6,2,FALSE)+IF(AND(Calculator!B8=TRUE,Backdoors!BI4=TRUE),VLOOKUP(Calculator!E23,tbSkills!DH3:DJ6,3,FALSE),0),0))&gt;=0,1+(Backdoors!AL2*(IF((Backdoors!AI12+IF(I104&gt;=0.45,VLOOKUP(Calculator!E23,tbSkills!DH3:DI6,2,FALSE)+IF(AND(Calculator!B8=TRUE,Backdoors!BI4=TRUE),VLOOKUP(Calculator!E23,tbSkills!DH3:DJ6,3,FALSE),0),0))&gt;=100,100,(Backdoors!AI12+IF(I104&gt;=0.45,VLOOKUP(Calculator!E23,tbSkills!DH3:DI6,2,FALSE)+IF(AND(Calculator!B8=TRUE,Backdoors!BI4=TRUE),VLOOKUP(Calculator!E23,tbSkills!DH3:DJ6,3,FALSE),0),0)))/100)),(1-(0.25*((-Backdoors!AI12-IF(I104&gt;=0.45,VLOOKUP(Calculator!E23,tbSkills!DH3:DI6,2,FALSE)+IF(AND(Calculator!B8=TRUE,Backdoors!BI4=TRUE),VLOOKUP(Calculator!E23,tbSkills!DH3:DJ6,3,FALSE),0),0))/100)))),1),"")</f>
        <v>1</v>
      </c>
      <c r="L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104)*K104)*(VLOOKUP(A104,tbMoveset!A2:C112,3,FALSE)/100)*IF(VLOOKUP(A104,tbMoveset!A2:B112,2,FALSE)="Projectile",Backdoors!N10,Backdoors!N9),0),"")</f>
        <v>5</v>
      </c>
      <c r="M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I104&gt;=0.45,VLOOKUP(Calculator!E23,tbSkills!DH3:DI6,2,FALSE)+IF(AND(Calculator!B8=TRUE,Backdoors!BI4=TRUE),VLOOKUP(Calculator!E23,tbSkills!DH3:DJ6,3,FALSE),0),0))&gt;=100,100,(Backdoors!AI12+IF(I104&gt;=0.45,VLOOKUP(Calculator!E23,tbSkills!DH3:DI6,2,FALSE)+IF(AND(Calculator!B8=TRUE,Backdoors!BI4=TRUE),VLOOKUP(Calculator!E23,tbSkills!DH3:DJ6,3,FALSE),0),0)))/100)),1))*IF(VLOOKUP(A104,tbMoveset!A2:K112,11,FALSE)=TRUE,Backdoors!AC5,1))*J104,0),"")</f>
        <v>0</v>
      </c>
      <c r="N104" s="49">
        <f>VLOOKUP(A104,tbMoveset!A2:G112,7,FALSE)*IFERROR(IF(Backdoors!AI12&gt;=0,1+(IF(Calculator!E40&gt;0,VLOOKUP(Calculator!E40,tbSkills!AI3:AJ5,2,FALSE),Backdoors!AL4)*(IF((Backdoors!AI12+IF(I104&gt;=0.45,VLOOKUP(Calculator!E23,tbSkills!DH3:DI6,2,FALSE)+IF(AND(Calculator!B8=TRUE,Backdoors!BI4=TRUE),VLOOKUP(Calculator!E23,tbSkills!DH3:DJ6,3,FALSE),0),0))&gt;=100,100,(Backdoors!AI12+IF(I104&gt;=0.45,VLOOKUP(Calculator!E23,tbSkills!DH3:DI6,2,FALSE)+IF(AND(Calculator!B8=TRUE,Backdoors!BI4=TRUE),VLOOKUP(Calculator!E23,tbSkills!DH3:DJ6,3,FALSE),0),0)))/100)),1),1)</f>
        <v>0.4</v>
      </c>
      <c r="O104" s="87">
        <f t="shared" si="96"/>
        <v>5</v>
      </c>
      <c r="P104" s="86">
        <f>IFERROR(IF(VLOOKUP(A104,tbMoveset!A2:B112,2,FALSE)="Sever",Backdoors!AY5/100,IF(VLOOKUP(A104,tbMoveset!A2:B112,2,FALSE)="Blunt",Backdoors!AZ5/100,Backdoors!BA5/100)),"")</f>
        <v>0.5</v>
      </c>
      <c r="Q104" s="49">
        <f>IFERROR(IF(VLOOKUP(tbMoveset!A104,tbMoveset!A2:H112,8,FALSE)="Other",IF(VLOOKUP(tbMoveset!A104,tbMoveset!A2:I112,9,FALSE)="Fire",Backdoors!BB5,IF(VLOOKUP(tbMoveset!A104,tbMoveset!A2:I112,9,FALSE)="Water",Backdoors!BC5,IF(VLOOKUP(tbMoveset!A104,tbMoveset!A2:I112,9,FALSE)="Thunder",Backdoors!BD5,IF(VLOOKUP(tbMoveset!A104,tbMoveset!A2:I112,9,FALSE)="Ice",Backdoors!BE5,IF(VLOOKUP(tbMoveset!A104,tbMoveset!A2:I112,9,FALSE)="Dragon",Backdoors!BF5,Backdoors!BG5)))))/100,Backdoors!BG5/100),"")</f>
        <v>0</v>
      </c>
      <c r="R104" s="49">
        <f>IFERROR(IF(VLOOKUP(A104,tbMoveset!A2:J112,10,FALSE)=TRUE,IF((Backdoors!AI12+IF(P104&gt;=0.45,VLOOKUP(Calculator!E23,tbSkills!DH3:DI6,2,FALSE)+IF(AND(Calculator!B8=TRUE,Backdoors!BI5=TRUE),VLOOKUP(Calculator!E23,tbSkills!DH3:DJ6,3,FALSE),0),0))&gt;=0,1+(Backdoors!AL2*(IF((Backdoors!AI12+IF(P104&gt;=0.45,VLOOKUP(Calculator!E23,tbSkills!DH3:DI6,2,FALSE)+IF(AND(Calculator!B8=TRUE,Backdoors!BI5=TRUE),VLOOKUP(Calculator!E23,tbSkills!DH3:DJ6,3,FALSE),0),0))&gt;=100,100,(Backdoors!AI12+IF(P104&gt;=0.45,VLOOKUP(Calculator!E23,tbSkills!DH3:DI6,2,FALSE)+IF(AND(Calculator!B8=TRUE,Backdoors!BI5=TRUE),VLOOKUP(Calculator!E23,tbSkills!DH3:DJ6,3,FALSE),0),0)))/100)),(1-(0.25*((-Backdoors!AI12-IF(P104&gt;=0.45,VLOOKUP(Calculator!E23,tbSkills!DH3:DI6,2,FALSE)+IF(AND(Calculator!B8=TRUE,Backdoors!BI5=TRUE),VLOOKUP(Calculator!E23,tbSkills!DH3:DJ6,3,FALSE),0),0))/100)))),1),"")</f>
        <v>1</v>
      </c>
      <c r="S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P104)*R104)*(VLOOKUP(A104,tbMoveset!A2:C112,3,FALSE)/100)*IF(VLOOKUP(A104,tbMoveset!A2:B112,2,FALSE)="Projectile",Backdoors!N10,Backdoors!N9),0),"")</f>
        <v>4</v>
      </c>
      <c r="T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P104&gt;=0.45,VLOOKUP(Calculator!E23,tbSkills!DH3:DI6,2,FALSE)+IF(AND(Calculator!B8=TRUE,Backdoors!BI5=TRUE),VLOOKUP(Calculator!E23,tbSkills!DH3:DJ6,3,FALSE),0),0))&gt;=100,100,(Backdoors!AI12+IF(P104&gt;=0.45,VLOOKUP(Calculator!E23,tbSkills!DH3:DI6,2,FALSE)+IF(AND(Calculator!B8=TRUE,Backdoors!BI5=TRUE),VLOOKUP(Calculator!E23,tbSkills!DH3:DJ6,3,FALSE),0),0)))/100)),1))*IF(VLOOKUP(A104,tbMoveset!A2:K112,11,FALSE)=TRUE,Backdoors!AC5,1))*Q104,0),"")</f>
        <v>0</v>
      </c>
      <c r="U104" s="49">
        <f>VLOOKUP(A104,tbMoveset!A2:G112,7,FALSE)*IFERROR(IF(Backdoors!AI12&gt;=0,1+(IF(Calculator!E40&gt;0,VLOOKUP(Calculator!E40,tbSkills!AI3:AJ5,2,FALSE),Backdoors!AL4)*(IF((Backdoors!AI12+IF(P104&gt;=0.45,VLOOKUP(Calculator!E23,tbSkills!DH3:DI6,2,FALSE)+IF(AND(Calculator!B8=TRUE,Backdoors!BI5=TRUE),VLOOKUP(Calculator!E23,tbSkills!DH3:DJ6,3,FALSE),0),0))&gt;=100,100,(Backdoors!AI12+IF(P104&gt;=0.45,VLOOKUP(Calculator!E23,tbSkills!DH3:DI6,2,FALSE)+IF(AND(Calculator!B8=TRUE,Backdoors!BI5=TRUE),VLOOKUP(Calculator!E23,tbSkills!DH3:DJ6,3,FALSE),0),0)))/100)),1),1)</f>
        <v>0.4</v>
      </c>
      <c r="V104" s="87">
        <f t="shared" si="53"/>
        <v>4</v>
      </c>
      <c r="W104" s="86">
        <f>IFERROR(IF(VLOOKUP(A104,tbMoveset!A2:B112,2,FALSE)="Sever",Backdoors!AY6/100,IF(VLOOKUP(A104,tbMoveset!A2:B112,2,FALSE)="Blunt",Backdoors!AZ6/100,Backdoors!BA6/100)),"")</f>
        <v>0.45</v>
      </c>
      <c r="X104" s="49">
        <f>IFERROR(IF(VLOOKUP(tbMoveset!A104,tbMoveset!A2:H112,8,FALSE)="Other",IF(VLOOKUP(tbMoveset!A104,tbMoveset!A2:I112,9,FALSE)="Fire",Backdoors!BB6,IF(VLOOKUP(tbMoveset!A104,tbMoveset!A2:I112,9,FALSE)="Water",Backdoors!BC6,IF(VLOOKUP(tbMoveset!A104,tbMoveset!A2:I112,9,FALSE)="Thunder",Backdoors!BD6,IF(VLOOKUP(tbMoveset!A104,tbMoveset!A2:I112,9,FALSE)="Ice",Backdoors!BE6,IF(VLOOKUP(tbMoveset!A104,tbMoveset!A2:I112,9,FALSE)="Dragon",Backdoors!BF6,Backdoors!BG6)))))/100,Backdoors!BG6/100),"")</f>
        <v>0</v>
      </c>
      <c r="Y104" s="49">
        <f>IFERROR(IF(VLOOKUP(A104,tbMoveset!A2:J112,10,FALSE)=TRUE,IF((Backdoors!AI12+IF(W104&gt;=0.45,VLOOKUP(Calculator!E23,tbSkills!DH3:DI6,2,FALSE)+IF(AND(Calculator!B8=TRUE,Backdoors!BI6=TRUE),VLOOKUP(Calculator!E23,tbSkills!DH3:DJ6,3,FALSE),0),0))&gt;=0,1+(Backdoors!AL2*(IF((Backdoors!AI12+IF(W104&gt;=0.45,VLOOKUP(Calculator!E23,tbSkills!DH3:DI6,2,FALSE)+IF(AND(Calculator!B8=TRUE,Backdoors!BI6=TRUE),VLOOKUP(Calculator!E23,tbSkills!DH3:DJ6,3,FALSE),0),0))&gt;=100,100,(Backdoors!AI12+IF(W104&gt;=0.45,VLOOKUP(Calculator!E23,tbSkills!DH3:DI6,2,FALSE)+IF(AND(Calculator!B8=TRUE,Backdoors!BI6=TRUE),VLOOKUP(Calculator!E23,tbSkills!DH3:DJ6,3,FALSE),0),0)))/100)),(1-(0.25*((-Backdoors!AI12-IF(W104&gt;=0.45,VLOOKUP(Calculator!E23,tbSkills!DH3:DI6,2,FALSE)+IF(AND(Calculator!B8=TRUE,Backdoors!BI6=TRUE),VLOOKUP(Calculator!E23,tbSkills!DH3:DJ6,3,FALSE),0),0))/100)))),1),"")</f>
        <v>1</v>
      </c>
      <c r="Z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W104)*Y104)*(VLOOKUP(A104,tbMoveset!A2:C112,3,FALSE)/100)*IF(VLOOKUP(A104,tbMoveset!A2:B112,2,FALSE)="Projectile",Backdoors!N10,Backdoors!N9),0),"")</f>
        <v>4</v>
      </c>
      <c r="AA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W104&gt;=0.45,VLOOKUP(Calculator!E23,tbSkills!DH3:DI6,2,FALSE)+IF(AND(Calculator!B8=TRUE,Backdoors!BI6=TRUE),VLOOKUP(Calculator!E23,tbSkills!DH3:DJ6,3,FALSE),0),0))&gt;=100,100,(Backdoors!AI12+IF(W104&gt;=0.45,VLOOKUP(Calculator!E23,tbSkills!DH3:DI6,2,FALSE)+IF(AND(Calculator!B8=TRUE,Backdoors!BI6=TRUE),VLOOKUP(Calculator!E23,tbSkills!DH3:DJ6,3,FALSE),0),0)))/100)),1))*IF(VLOOKUP(A104,tbMoveset!A2:K112,11,FALSE)=TRUE,Backdoors!AC5,1))*X104,0),"")</f>
        <v>0</v>
      </c>
      <c r="AB104" s="49">
        <f>VLOOKUP(A104,tbMoveset!A2:G112,7,FALSE)*IFERROR(IF(Backdoors!AI12&gt;=0,1+(IF(Calculator!E40&gt;0,VLOOKUP(Calculator!E40,tbSkills!AI3:AJ5,2,FALSE),Backdoors!AL4)*(IF((Backdoors!AI12+IF(W104&gt;=0.45,VLOOKUP(Calculator!E23,tbSkills!DH3:DI6,2,FALSE)+IF(AND(Calculator!B8=TRUE,Backdoors!BI6=TRUE),VLOOKUP(Calculator!E23,tbSkills!DH3:DJ6,3,FALSE),0),0))&gt;=100,100,(Backdoors!AI12+IF(W104&gt;=0.45,VLOOKUP(Calculator!E23,tbSkills!DH3:DI6,2,FALSE)+IF(AND(Calculator!B8=TRUE,Backdoors!BI6=TRUE),VLOOKUP(Calculator!E23,tbSkills!DH3:DJ6,3,FALSE),0),0)))/100)),1),1)</f>
        <v>0.4</v>
      </c>
      <c r="AC104" s="87">
        <f t="shared" si="54"/>
        <v>4</v>
      </c>
      <c r="AD104" s="86">
        <f>IFERROR(IF(VLOOKUP(A104,tbMoveset!A2:B112,2,FALSE)="Sever",Backdoors!AY7/100,IF(VLOOKUP(A104,tbMoveset!A2:B112,2,FALSE)="Blunt",Backdoors!AZ7/100,Backdoors!BA7/100)),"")</f>
        <v>0.65</v>
      </c>
      <c r="AE104" s="49">
        <f>IFERROR(IF(VLOOKUP(tbMoveset!A104,tbMoveset!A2:H112,8,FALSE)="Other",IF(VLOOKUP(tbMoveset!A104,tbMoveset!A2:I112,9,FALSE)="Fire",Backdoors!BB7,IF(VLOOKUP(tbMoveset!A104,tbMoveset!A2:I112,9,FALSE)="Water",Backdoors!BC7,IF(VLOOKUP(tbMoveset!A104,tbMoveset!A2:I112,9,FALSE)="Thunder",Backdoors!BD7,IF(VLOOKUP(tbMoveset!A104,tbMoveset!A2:I112,9,FALSE)="Ice",Backdoors!BE7,IF(VLOOKUP(tbMoveset!A104,tbMoveset!A2:I112,9,FALSE)="Dragon",Backdoors!BF7,Backdoors!BG7)))))/100,Backdoors!BG7/100),"")</f>
        <v>0</v>
      </c>
      <c r="AF104" s="49">
        <f>IFERROR(IF(VLOOKUP(A104,tbMoveset!A2:J112,10,FALSE)=TRUE,IF((Backdoors!AI12+IF(AD104&gt;=0.45,VLOOKUP(Calculator!E23,tbSkills!DH3:DI6,2,FALSE)+IF(AND(Calculator!B8=TRUE,Backdoors!BI7=TRUE),VLOOKUP(Calculator!E23,tbSkills!DH3:DJ6,3,FALSE),0),0))&gt;=0,1+(Backdoors!AL2*(IF((Backdoors!AI12+IF(AD104&gt;=0.45,VLOOKUP(Calculator!E23,tbSkills!DH3:DI6,2,FALSE)+IF(AND(Calculator!B8=TRUE,Backdoors!BI7=TRUE),VLOOKUP(Calculator!E23,tbSkills!DH3:DJ6,3,FALSE),0),0))&gt;=100,100,(Backdoors!AI12+IF(AD104&gt;=0.45,VLOOKUP(Calculator!E23,tbSkills!DH3:DI6,2,FALSE)+IF(AND(Calculator!B8=TRUE,Backdoors!BI7=TRUE),VLOOKUP(Calculator!E23,tbSkills!DH3:DJ6,3,FALSE),0),0)))/100)),(1-(0.25*((-Backdoors!AI12-IF(AD104&gt;=0.45,VLOOKUP(Calculator!E23,tbSkills!DH3:DI6,2,FALSE)+IF(AND(Calculator!B8=TRUE,Backdoors!BI7=TRUE),VLOOKUP(Calculator!E23,tbSkills!DH3:DJ6,3,FALSE),0),0))/100)))),1),"")</f>
        <v>1</v>
      </c>
      <c r="AG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D104)*AF104)*(VLOOKUP(A104,tbMoveset!A2:C112,3,FALSE)/100)*IF(VLOOKUP(A104,tbMoveset!A2:B112,2,FALSE)="Projectile",Backdoors!N10,Backdoors!N9),0),"")</f>
        <v>5</v>
      </c>
      <c r="AH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D104&gt;=0.45,VLOOKUP(Calculator!E23,tbSkills!DH3:DI6,2,FALSE)+IF(AND(Calculator!B8=TRUE,Backdoors!BI7=TRUE),VLOOKUP(Calculator!E23,tbSkills!DH3:DJ6,3,FALSE),0),0))&gt;=100,100,(Backdoors!AI12+IF(AD104&gt;=0.45,VLOOKUP(Calculator!E23,tbSkills!DH3:DI6,2,FALSE)+IF(AND(Calculator!B8=TRUE,Backdoors!BI7=TRUE),VLOOKUP(Calculator!E23,tbSkills!DH3:DJ6,3,FALSE),0),0)))/100)),1))*IF(VLOOKUP(A104,tbMoveset!A2:K112,11,FALSE)=TRUE,Backdoors!AC5,1))*AE104,0),"")</f>
        <v>0</v>
      </c>
      <c r="AI104" s="49">
        <f>VLOOKUP(A104,tbMoveset!A2:G112,7,FALSE)*IFERROR(IF(Backdoors!AI12&gt;=0,1+(IF(Calculator!E40&gt;0,VLOOKUP(Calculator!E40,tbSkills!AI3:AJ5,2,FALSE),Backdoors!AL4)*(IF((Backdoors!AI12+IF(AD104&gt;=0.45,VLOOKUP(Calculator!E23,tbSkills!DH3:DI6,2,FALSE)+IF(AND(Calculator!B8=TRUE,Backdoors!BI7=TRUE),VLOOKUP(Calculator!E23,tbSkills!DH3:DJ6,3,FALSE),0),0))&gt;=100,100,(Backdoors!AI12+IF(AD104&gt;=0.45,VLOOKUP(Calculator!E23,tbSkills!DH3:DI6,2,FALSE)+IF(AND(Calculator!B8=TRUE,Backdoors!BI7=TRUE),VLOOKUP(Calculator!E23,tbSkills!DH3:DJ6,3,FALSE),0),0)))/100)),1),1)</f>
        <v>0.4</v>
      </c>
      <c r="AJ104" s="87">
        <f t="shared" si="55"/>
        <v>5</v>
      </c>
      <c r="AK104" s="91">
        <f>IFERROR(IF(VLOOKUP(A104,tbMoveset!A2:B112,2,FALSE)="Sever",Backdoors!AY8/100,IF(VLOOKUP(A104,tbMoveset!A2:B112,2,FALSE)="Blunt",Backdoors!AZ8/100,Backdoors!BA8/100)),"")</f>
        <v>0.45</v>
      </c>
      <c r="AL104" s="49">
        <f>IFERROR(IF(VLOOKUP(tbMoveset!A104,tbMoveset!A2:H112,8,FALSE)="Other",IF(VLOOKUP(tbMoveset!A104,tbMoveset!A2:I112,9,FALSE)="Fire",Backdoors!BB8,IF(VLOOKUP(tbMoveset!A104,tbMoveset!A2:I112,9,FALSE)="Water",Backdoors!BC8,IF(VLOOKUP(tbMoveset!A104,tbMoveset!A2:I112,9,FALSE)="Thunder",Backdoors!BD8,IF(VLOOKUP(tbMoveset!A104,tbMoveset!A2:I112,9,FALSE)="Ice",Backdoors!BE8,IF(VLOOKUP(tbMoveset!A104,tbMoveset!A2:I112,9,FALSE)="Dragon",Backdoors!BF8,Backdoors!BG8)))))/100,Backdoors!BG8/100),"")</f>
        <v>0</v>
      </c>
      <c r="AM104" s="49">
        <f>IFERROR(IF(VLOOKUP(A104,tbMoveset!A2:J112,10,FALSE)=TRUE,IF((Backdoors!AI12+IF(AK104&gt;=0.45,VLOOKUP(Calculator!E23,tbSkills!DH3:DI6,2,FALSE)+IF(AND(Calculator!B8=TRUE,Backdoors!BI8=TRUE),VLOOKUP(Calculator!E23,tbSkills!DH3:DJ6,3,FALSE),0),0))&gt;=0,1+(Backdoors!AL2*(IF((Backdoors!AI12+IF(AK104&gt;=0.45,VLOOKUP(Calculator!E23,tbSkills!DH3:DI6,2,FALSE)+IF(AND(Calculator!B8=TRUE,Backdoors!BI8=TRUE),VLOOKUP(Calculator!E23,tbSkills!DH3:DJ6,3,FALSE),0),0))&gt;=100,100,(Backdoors!AI12+IF(AK104&gt;=0.45,VLOOKUP(Calculator!E23,tbSkills!DH3:DI6,2,FALSE)+IF(AND(Calculator!B8=TRUE,Backdoors!BI8=TRUE),VLOOKUP(Calculator!E23,tbSkills!DH3:DJ6,3,FALSE),0),0)))/100)),(1-(0.25*((-Backdoors!AI12-IF(AK104&gt;=0.45,VLOOKUP(Calculator!E23,tbSkills!DH3:DI6,2,FALSE)+IF(AND(Calculator!B8=TRUE,Backdoors!BI8=TRUE),VLOOKUP(Calculator!E23,tbSkills!DH3:DJ6,3,FALSE),0),0))/100)))),1),"")</f>
        <v>1</v>
      </c>
      <c r="AN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K104)*AM104)*(VLOOKUP(A104,tbMoveset!A2:C112,3,FALSE)/100)*IF(VLOOKUP(A104,tbMoveset!A2:B112,2,FALSE)="Projectile",Backdoors!N10,Backdoors!N9),0),"")</f>
        <v>4</v>
      </c>
      <c r="AO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K104&gt;=0.45,VLOOKUP(Calculator!E23,tbSkills!DH3:DI6,2,FALSE)+IF(AND(Calculator!B8=TRUE,Backdoors!BI8=TRUE),VLOOKUP(Calculator!E23,tbSkills!DH3:DJ6,3,FALSE),0),0))&gt;=100,100,(Backdoors!AI12+IF(AK104&gt;=0.45,VLOOKUP(Calculator!E23,tbSkills!DH3:DI6,2,FALSE)+IF(AND(Calculator!B8=TRUE,Backdoors!BI8=TRUE),VLOOKUP(Calculator!E23,tbSkills!DH3:DJ6,3,FALSE),0),0)))/100)),1))*IF(VLOOKUP(A104,tbMoveset!A2:K112,11,FALSE)=TRUE,Backdoors!AC5,1))*AL104,0),"")</f>
        <v>0</v>
      </c>
      <c r="AP104" s="49">
        <f>VLOOKUP(A104,tbMoveset!A2:G112,7,FALSE)*IFERROR(IF(Backdoors!AI12&gt;=0,1+(IF(Calculator!E40&gt;0,VLOOKUP(Calculator!E40,tbSkills!AI3:AJ5,2,FALSE),Backdoors!AL4)*(IF((Backdoors!AI12+IF(AK104&gt;=0.45,VLOOKUP(Calculator!E23,tbSkills!DH3:DI6,2,FALSE)+IF(AND(Calculator!B8=TRUE,Backdoors!BI8=TRUE),VLOOKUP(Calculator!E23,tbSkills!DH3:DJ6,3,FALSE),0),0))&gt;=100,100,(Backdoors!AI12+IF(AK104&gt;=0.45,VLOOKUP(Calculator!E23,tbSkills!DH3:DI6,2,FALSE)+IF(AND(Calculator!B8=TRUE,Backdoors!BI8=TRUE),VLOOKUP(Calculator!E23,tbSkills!DH3:DJ6,3,FALSE),0),0)))/100)),1),1)</f>
        <v>0.4</v>
      </c>
      <c r="AQ104" s="87">
        <f t="shared" si="56"/>
        <v>4</v>
      </c>
      <c r="AR104" s="86">
        <f>IFERROR(IF(VLOOKUP(A104,tbMoveset!A2:B112,2,FALSE)="Sever",Backdoors!AY9/100,IF(VLOOKUP(A104,tbMoveset!A2:B112,2,FALSE)="Blunt",Backdoors!AZ9/100,Backdoors!BA9/100)),"")</f>
        <v>0.45</v>
      </c>
      <c r="AS104" s="49">
        <f>IFERROR(IF(VLOOKUP(tbMoveset!A104,tbMoveset!A2:H112,8,FALSE)="Other",IF(VLOOKUP(tbMoveset!A104,tbMoveset!A2:I112,9,FALSE)="Fire",Backdoors!BB9,IF(VLOOKUP(tbMoveset!A104,tbMoveset!A2:I112,9,FALSE)="Water",Backdoors!BC9,IF(VLOOKUP(tbMoveset!A104,tbMoveset!A2:I112,9,FALSE)="Thunder",Backdoors!BD9,IF(VLOOKUP(tbMoveset!A104,tbMoveset!A2:I112,9,FALSE)="Ice",Backdoors!BE9,IF(VLOOKUP(tbMoveset!A104,tbMoveset!A2:I112,9,FALSE)="Dragon",Backdoors!BF9,Backdoors!BG9)))))/100,Backdoors!BG9/100),"")</f>
        <v>0</v>
      </c>
      <c r="AT104" s="49">
        <f>IFERROR(IF(VLOOKUP(A104,tbMoveset!A2:J112,10,FALSE)=TRUE,IF((Backdoors!AI12+IF(AR104&gt;=0.45,VLOOKUP(Calculator!E23,tbSkills!DH3:DI6,2,FALSE)+IF(AND(Calculator!B8=TRUE,Backdoors!BI9=TRUE),VLOOKUP(Calculator!E23,tbSkills!DH3:DJ6,3,FALSE),0),0))&gt;=0,1+(Backdoors!AL2*(IF((Backdoors!AI12+IF(AR104&gt;=0.45,VLOOKUP(Calculator!E23,tbSkills!DH3:DI6,2,FALSE)+IF(AND(Calculator!B8=TRUE,Backdoors!BI9=TRUE),VLOOKUP(Calculator!E23,tbSkills!DH3:DJ6,3,FALSE),0),0))&gt;=100,100,(Backdoors!AI12+IF(AR104&gt;=0.45,VLOOKUP(Calculator!E23,tbSkills!DH3:DI6,2,FALSE)+IF(AND(Calculator!B8=TRUE,Backdoors!BI9=TRUE),VLOOKUP(Calculator!E23,tbSkills!DH3:DJ6,3,FALSE),0),0)))/100)),(1-(0.25*((-Backdoors!AI12-IF(AR104&gt;=0.45,VLOOKUP(Calculator!E23,tbSkills!DH3:DI6,2,FALSE)+IF(AND(Calculator!B8=TRUE,Backdoors!BI9=TRUE),VLOOKUP(Calculator!E23,tbSkills!DH3:DJ6,3,FALSE),0),0))/100)))),1),"")</f>
        <v>1</v>
      </c>
      <c r="AU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R104)*AT104)*(VLOOKUP(A104,tbMoveset!A2:C112,3,FALSE)/100)*IF(VLOOKUP(A104,tbMoveset!A2:B112,2,FALSE)="Projectile",Backdoors!N10,Backdoors!N9),0),"")</f>
        <v>4</v>
      </c>
      <c r="AV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R104&gt;=0.45,VLOOKUP(Calculator!E23,tbSkills!DH3:DI6,2,FALSE)+IF(AND(Calculator!B8=TRUE,Backdoors!BI9=TRUE),VLOOKUP(Calculator!E23,tbSkills!DH3:DJ6,3,FALSE),0),0))&gt;=100,100,(Backdoors!AI12+IF(AR104&gt;=0.45,VLOOKUP(Calculator!E23,tbSkills!DH3:DI6,2,FALSE)+IF(AND(Calculator!B8=TRUE,Backdoors!BI9=TRUE),VLOOKUP(Calculator!E23,tbSkills!DH3:DJ6,3,FALSE),0),0)))/100)),1))*IF(VLOOKUP(A104,tbMoveset!A2:K112,11,FALSE)=TRUE,Backdoors!AC5,1))*AS104,0),"")</f>
        <v>0</v>
      </c>
      <c r="AW104" s="49">
        <f>VLOOKUP(A104,tbMoveset!A2:G112,7,FALSE)*IFERROR(IF(Backdoors!AI12&gt;=0,1+(IF(Calculator!E40&gt;0,VLOOKUP(Calculator!E40,tbSkills!AI3:AJ5,2,FALSE),Backdoors!AL4)*(IF((Backdoors!AI12+IF(AR104&gt;=0.45,VLOOKUP(Calculator!E23,tbSkills!DH3:DI6,2,FALSE)+IF(AND(Calculator!B8=TRUE,Backdoors!BI9=TRUE),VLOOKUP(Calculator!E23,tbSkills!DH3:DJ6,3,FALSE),0),0))&gt;=100,100,(Backdoors!AI12+IF(AR104&gt;=0.45,VLOOKUP(Calculator!E23,tbSkills!DH3:DI6,2,FALSE)+IF(AND(Calculator!B8=TRUE,Backdoors!BI9=TRUE),VLOOKUP(Calculator!E23,tbSkills!DH3:DJ6,3,FALSE),0),0)))/100)),1),1)</f>
        <v>0.4</v>
      </c>
      <c r="AX104" s="87">
        <f t="shared" si="57"/>
        <v>4</v>
      </c>
      <c r="AY104" s="86">
        <f>IFERROR(IF(VLOOKUP(A104,tbMoveset!A2:B112,2,FALSE)="Sever",Backdoors!AY10/100,IF(VLOOKUP(A104,tbMoveset!A2:B112,2,FALSE)="Blunt",Backdoors!AZ10/100,Backdoors!BA10/100)),"")</f>
        <v>0.9</v>
      </c>
      <c r="AZ104" s="49">
        <f>IFERROR(IF(VLOOKUP(tbMoveset!A104,tbMoveset!A2:H112,8,FALSE)="Other",IF(VLOOKUP(tbMoveset!A104,tbMoveset!A2:I112,9,FALSE)="Fire",Backdoors!BB10,IF(VLOOKUP(tbMoveset!A104,tbMoveset!A2:I112,9,FALSE)="Water",Backdoors!BC10,IF(VLOOKUP(tbMoveset!A104,tbMoveset!A2:I112,9,FALSE)="Thunder",Backdoors!BD10,IF(VLOOKUP(tbMoveset!A104,tbMoveset!A2:I112,9,FALSE)="Ice",Backdoors!BE10,IF(VLOOKUP(tbMoveset!A104,tbMoveset!A2:I112,9,FALSE)="Dragon",Backdoors!BF10,Backdoors!BG10)))))/100,Backdoors!BG10/100),"")</f>
        <v>0</v>
      </c>
      <c r="BA104" s="49">
        <f>IFERROR(IF(VLOOKUP(A104,tbMoveset!A2:J112,10,FALSE)=TRUE,IF((Backdoors!AI12+IF(AY104&gt;=0.45,VLOOKUP(Calculator!E23,tbSkills!DH3:DI6,2,FALSE)+IF(AND(Calculator!B8=TRUE,Backdoors!BI10=TRUE),VLOOKUP(Calculator!E23,tbSkills!DH3:DJ6,3,FALSE),0),0))&gt;=0,1+(Backdoors!AL2*(IF((Backdoors!AI12+IF(AY104&gt;=0.45,VLOOKUP(Calculator!E23,tbSkills!DH3:DI6,2,FALSE)+IF(AND(Calculator!B8=TRUE,Backdoors!BI10=TRUE),VLOOKUP(Calculator!E23,tbSkills!DH3:DJ6,3,FALSE),0),0))&gt;=100,100,(Backdoors!AI12+IF(AY104&gt;=0.45,VLOOKUP(Calculator!E23,tbSkills!DH3:DI6,2,FALSE)+IF(AND(Calculator!B8=TRUE,Backdoors!BI10=TRUE),VLOOKUP(Calculator!E23,tbSkills!DH3:DJ6,3,FALSE),0),0)))/100)),(1-(0.25*((-Backdoors!AI12-IF(AY104&gt;=0.45,VLOOKUP(Calculator!E23,tbSkills!DH3:DI6,2,FALSE)+IF(AND(Calculator!B8=TRUE,Backdoors!BI10=TRUE),VLOOKUP(Calculator!E23,tbSkills!DH3:DJ6,3,FALSE),0),0))/100)))),1),"")</f>
        <v>1</v>
      </c>
      <c r="BB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Y104)*BA104)*(VLOOKUP(A104,tbMoveset!A2:C112,3,FALSE)/100)*IF(VLOOKUP(A104,tbMoveset!A2:B112,2,FALSE)="Projectile",Backdoors!N10,Backdoors!N9),0),"")</f>
        <v>8</v>
      </c>
      <c r="BC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Y104&gt;=0.45,VLOOKUP(Calculator!E23,tbSkills!DH3:DI6,2,FALSE)+IF(AND(Calculator!B8=TRUE,Backdoors!BI10=TRUE),VLOOKUP(Calculator!E23,tbSkills!DH3:DJ6,3,FALSE),0),0))&gt;=100,100,(Backdoors!AI12+IF(AY104&gt;=0.45,VLOOKUP(Calculator!E23,tbSkills!DH3:DI6,2,FALSE)+IF(AND(Calculator!B8=TRUE,Backdoors!BI10=TRUE),VLOOKUP(Calculator!E23,tbSkills!DH3:DJ6,3,FALSE),0),0)))/100)),1))*IF(VLOOKUP(A104,tbMoveset!A2:K112,11,FALSE)=TRUE,Backdoors!AC5,1))*AZ104,0),"")</f>
        <v>0</v>
      </c>
      <c r="BD104" s="49">
        <f>VLOOKUP(A104,tbMoveset!A2:G112,7,FALSE)*IFERROR(IF(Backdoors!AI12&gt;=0,1+(IF(Calculator!E40&gt;0,VLOOKUP(Calculator!E40,tbSkills!AI3:AJ5,2,FALSE),Backdoors!AL4)*(IF((Backdoors!AI12+IF(AY104&gt;=0.45,VLOOKUP(Calculator!E23,tbSkills!DH3:DI6,2,FALSE)+IF(AND(Calculator!B8=TRUE,Backdoors!BI10=TRUE),VLOOKUP(Calculator!E23,tbSkills!DH3:DJ6,3,FALSE),0),0))&gt;=100,100,(Backdoors!AI12+IF(AY104&gt;=0.45,VLOOKUP(Calculator!E23,tbSkills!DH3:DI6,2,FALSE)+IF(AND(Calculator!B8=TRUE,Backdoors!BI10=TRUE),VLOOKUP(Calculator!E23,tbSkills!DH3:DJ6,3,FALSE),0),0)))/100)),1),1)</f>
        <v>0.4</v>
      </c>
      <c r="BE104" s="87">
        <f t="shared" si="58"/>
        <v>8</v>
      </c>
      <c r="BF104" s="86" t="str">
        <f>IFERROR(IF(VLOOKUP(A104,tbMoveset!A2:B112,2,FALSE)="Sever",Backdoors!AY11/100,IF(VLOOKUP(A104,tbMoveset!A2:B112,2,FALSE)="Blunt",Backdoors!AZ11/100,Backdoors!BA11/100)),"")</f>
        <v/>
      </c>
      <c r="BG104" s="49">
        <f>IFERROR(IF(VLOOKUP(tbMoveset!A104,tbMoveset!A2:H112,8,FALSE)="Other",IF(VLOOKUP(tbMoveset!A104,tbMoveset!A2:I112,9,FALSE)="Fire",Backdoors!BB11,IF(VLOOKUP(tbMoveset!A104,tbMoveset!A2:I112,9,FALSE)="Water",Backdoors!BC11,IF(VLOOKUP(tbMoveset!A104,tbMoveset!A2:I112,9,FALSE)="Thunder",Backdoors!BD11,IF(VLOOKUP(tbMoveset!A104,tbMoveset!A2:I112,9,FALSE)="Ice",Backdoors!BE11,IF(VLOOKUP(tbMoveset!A104,tbMoveset!A2:I112,9,FALSE)="Dragon",Backdoors!BF11,Backdoors!BG11)))))/100,Backdoors!BG11/100),"")</f>
        <v>0</v>
      </c>
      <c r="BH104" s="49">
        <f>IFERROR(IF(VLOOKUP(A104,tbMoveset!A2:J112,10,FALSE)=TRUE,IF((Backdoors!AI12+IF(BF104&gt;=0.45,VLOOKUP(Calculator!E23,tbSkills!DH3:DI6,2,FALSE)+IF(AND(Calculator!B8=TRUE,Backdoors!BI11=TRUE),VLOOKUP(Calculator!E23,tbSkills!DH3:DJ6,3,FALSE),0),0))&gt;=0,1+(Backdoors!AL2*(IF((Backdoors!AI12+IF(BF104&gt;=0.45,VLOOKUP(Calculator!E23,tbSkills!DH3:DI6,2,FALSE)+IF(AND(Calculator!B8=TRUE,Backdoors!BI11=TRUE),VLOOKUP(Calculator!E23,tbSkills!DH3:DJ6,3,FALSE),0),0))&gt;=100,100,(Backdoors!AI12+IF(BF104&gt;=0.45,VLOOKUP(Calculator!E23,tbSkills!DH3:DI6,2,FALSE)+IF(AND(Calculator!B8=TRUE,Backdoors!BI11=TRUE),VLOOKUP(Calculator!E23,tbSkills!DH3:DJ6,3,FALSE),0),0)))/100)),(1-(0.25*((-Backdoors!AI12-IF(BF104&gt;=0.45,VLOOKUP(Calculator!E23,tbSkills!DH3:DI6,2,FALSE)+IF(AND(Calculator!B8=TRUE,Backdoors!BI11=TRUE),VLOOKUP(Calculator!E23,tbSkills!DH3:DJ6,3,FALSE),0),0))/100)))),1),"")</f>
        <v>1</v>
      </c>
      <c r="BI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F104)*BH104)*(VLOOKUP(A104,tbMoveset!A2:C112,3,FALSE)/100)*IF(VLOOKUP(A104,tbMoveset!A2:B112,2,FALSE)="Projectile",Backdoors!N10,Backdoors!N9),0),"")</f>
        <v/>
      </c>
      <c r="BJ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F104&gt;=0.45,VLOOKUP(Calculator!E23,tbSkills!DH3:DI6,2,FALSE)+IF(AND(Calculator!B8=TRUE,Backdoors!BI11=TRUE),VLOOKUP(Calculator!E23,tbSkills!DH3:DJ6,3,FALSE),0),0))&gt;=100,100,(Backdoors!AI12+IF(BF104&gt;=0.45,VLOOKUP(Calculator!E23,tbSkills!DH3:DI6,2,FALSE)+IF(AND(Calculator!B8=TRUE,Backdoors!BI11=TRUE),VLOOKUP(Calculator!E23,tbSkills!DH3:DJ6,3,FALSE),0),0)))/100)),1))*IF(VLOOKUP(A104,tbMoveset!A2:K112,11,FALSE)=TRUE,Backdoors!AC5,1))*BG104,0),"")</f>
        <v>0</v>
      </c>
      <c r="BK104" s="49">
        <f>VLOOKUP(A104,tbMoveset!A2:G112,7,FALSE)*IFERROR(IF(Backdoors!AI12&gt;=0,1+(IF(Calculator!E40&gt;0,VLOOKUP(Calculator!E40,tbSkills!AI3:AJ5,2,FALSE),Backdoors!AL4)*(IF((Backdoors!AI12+IF(BF104&gt;=0.45,VLOOKUP(Calculator!E23,tbSkills!DH3:DI6,2,FALSE)+IF(AND(Calculator!B8=TRUE,Backdoors!BI11=TRUE),VLOOKUP(Calculator!E23,tbSkills!DH3:DJ6,3,FALSE),0),0))&gt;=100,100,(Backdoors!AI12+IF(BF104&gt;=0.45,VLOOKUP(Calculator!E23,tbSkills!DH3:DI6,2,FALSE)+IF(AND(Calculator!B8=TRUE,Backdoors!BI11=TRUE),VLOOKUP(Calculator!E23,tbSkills!DH3:DJ6,3,FALSE),0),0)))/100)),1),1)</f>
        <v>0.4</v>
      </c>
      <c r="BL104" s="87">
        <f t="shared" si="59"/>
        <v>0</v>
      </c>
      <c r="BM104" s="86" t="str">
        <f>IFERROR(IF(VLOOKUP(A104,tbMoveset!A2:B112,2,FALSE)="Sever",Backdoors!AY12/100,IF(VLOOKUP(A104,tbMoveset!A2:B112,2,FALSE)="Blunt",Backdoors!AZ12/100,Backdoors!BA12/100)),"")</f>
        <v/>
      </c>
      <c r="BN104" s="49">
        <f>IFERROR(IF(VLOOKUP(tbMoveset!A104,tbMoveset!A2:H112,8,FALSE)="Other",IF(VLOOKUP(tbMoveset!A104,tbMoveset!A2:I112,9,FALSE)="Fire",Backdoors!BB12,IF(VLOOKUP(tbMoveset!A104,tbMoveset!A2:I112,9,FALSE)="Water",Backdoors!BC12,IF(VLOOKUP(tbMoveset!A104,tbMoveset!A2:I112,9,FALSE)="Thunder",Backdoors!BD12,IF(VLOOKUP(tbMoveset!A104,tbMoveset!A2:I112,9,FALSE)="Ice",Backdoors!BE12,IF(VLOOKUP(tbMoveset!A104,tbMoveset!A2:I112,9,FALSE)="Dragon",Backdoors!BF12,Backdoors!BG12)))))/100,Backdoors!BG12/100),"")</f>
        <v>0</v>
      </c>
      <c r="BO104" s="49">
        <f>IFERROR(IF(VLOOKUP(A104,tbMoveset!A2:J112,10,FALSE)=TRUE,IF((Backdoors!AI12+IF(BM104&gt;=0.45,VLOOKUP(Calculator!E23,tbSkills!DH3:DI6,2,FALSE)+IF(AND(Calculator!B8=TRUE,Backdoors!BI12=TRUE),VLOOKUP(Calculator!E23,tbSkills!DH3:DJ6,3,FALSE),0),0))&gt;=0,1+(Backdoors!AL2*(IF((Backdoors!AI12+IF(BM104&gt;=0.45,VLOOKUP(Calculator!E23,tbSkills!DH3:DI6,2,FALSE)+IF(AND(Calculator!B8=TRUE,Backdoors!BI12=TRUE),VLOOKUP(Calculator!E23,tbSkills!DH3:DJ6,3,FALSE),0),0))&gt;=100,100,(Backdoors!AI12+IF(BM104&gt;=0.45,VLOOKUP(Calculator!E23,tbSkills!DH3:DI6,2,FALSE)+IF(AND(Calculator!B8=TRUE,Backdoors!BI12=TRUE),VLOOKUP(Calculator!E23,tbSkills!DH3:DJ6,3,FALSE),0),0)))/100)),(1-(0.25*((-Backdoors!AI12-IF(BM104&gt;=0.45,VLOOKUP(Calculator!E23,tbSkills!DH3:DI6,2,FALSE)+IF(AND(Calculator!B8=TRUE,Backdoors!BI12=TRUE),VLOOKUP(Calculator!E23,tbSkills!DH3:DJ6,3,FALSE),0),0))/100)))),1),"")</f>
        <v>1</v>
      </c>
      <c r="BP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M104)*BO104)*(VLOOKUP(A104,tbMoveset!A2:C112,3,FALSE)/100)*IF(VLOOKUP(A104,tbMoveset!A2:B112,2,FALSE)="Projectile",Backdoors!N10,Backdoors!N9),0),"")</f>
        <v/>
      </c>
      <c r="BQ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M104&gt;=0.45,VLOOKUP(Calculator!E23,tbSkills!DH3:DI6,2,FALSE)+IF(AND(Calculator!B8=TRUE,Backdoors!BI12=TRUE),VLOOKUP(Calculator!E23,tbSkills!DH3:DJ6,3,FALSE),0),0))&gt;=100,100,(Backdoors!AI12+IF(BM104&gt;=0.45,VLOOKUP(Calculator!E23,tbSkills!DH3:DI6,2,FALSE)+IF(AND(Calculator!B8=TRUE,Backdoors!BI12=TRUE),VLOOKUP(Calculator!E23,tbSkills!DH3:DJ6,3,FALSE),0),0)))/100)),1))*IF(VLOOKUP(A104,tbMoveset!A2:K112,11,FALSE)=TRUE,Backdoors!AC5,1))*BN104,0),"")</f>
        <v>0</v>
      </c>
      <c r="BR104" s="49">
        <f>VLOOKUP(A104,tbMoveset!A2:G112,7,FALSE)*IFERROR(IF(Backdoors!AI12&gt;=0,1+(IF(Calculator!E40&gt;0,VLOOKUP(Calculator!E40,tbSkills!AI3:AJ5,2,FALSE),Backdoors!AL4)*(IF((Backdoors!AI12+IF(BM104&gt;=0.45,VLOOKUP(Calculator!E23,tbSkills!DH3:DI6,2,FALSE)+IF(AND(Calculator!B8=TRUE,Backdoors!BI12=TRUE),VLOOKUP(Calculator!E23,tbSkills!DH3:DJ6,3,FALSE),0),0))&gt;=100,100,(Backdoors!AI12+IF(BM104&gt;=0.45,VLOOKUP(Calculator!E23,tbSkills!DH3:DI6,2,FALSE)+IF(AND(Calculator!B8=TRUE,Backdoors!BI12=TRUE),VLOOKUP(Calculator!E23,tbSkills!DH3:DJ6,3,FALSE),0),0)))/100)),1),1)</f>
        <v>0.4</v>
      </c>
      <c r="BS104" s="87">
        <f t="shared" si="60"/>
        <v>0</v>
      </c>
      <c r="BT104" s="86" t="str">
        <f>IFERROR(IF(VLOOKUP(A104,tbMoveset!A2:B112,2,FALSE)="Sever",Backdoors!AY13/100,IF(VLOOKUP(A104,tbMoveset!A2:B112,2,FALSE)="Blunt",Backdoors!AZ13/100,Backdoors!BA13/100)),"")</f>
        <v/>
      </c>
      <c r="BU104" s="49">
        <f>IFERROR(IF(VLOOKUP(tbMoveset!A104,tbMoveset!A2:H112,8,FALSE)="Other",IF(VLOOKUP(tbMoveset!A104,tbMoveset!A2:I112,9,FALSE)="Fire",Backdoors!BB13,IF(VLOOKUP(tbMoveset!A104,tbMoveset!A2:I112,9,FALSE)="Water",Backdoors!BC13,IF(VLOOKUP(tbMoveset!A104,tbMoveset!A2:I112,9,FALSE)="Thunder",Backdoors!BD13,IF(VLOOKUP(tbMoveset!A104,tbMoveset!A2:I112,9,FALSE)="Ice",Backdoors!BE13,IF(VLOOKUP(tbMoveset!A104,tbMoveset!A2:I112,9,FALSE)="Dragon",Backdoors!BF13,Backdoors!BG13)))))/100,Backdoors!BG13/100),"")</f>
        <v>0</v>
      </c>
      <c r="BV104" s="49">
        <f>IFERROR(IF(VLOOKUP(A104,tbMoveset!A2:J112,10,FALSE)=TRUE,IF((Backdoors!AI12+IF(BT104&gt;=0.45,VLOOKUP(Calculator!E23,tbSkills!DH3:DI6,2,FALSE)+IF(AND(Calculator!B8=TRUE,Backdoors!BI13=TRUE),VLOOKUP(Calculator!E23,tbSkills!DH3:DJ6,3,FALSE),0),0))&gt;=0,1+(Backdoors!AL2*(IF((Backdoors!AI12+IF(BT104&gt;=0.45,VLOOKUP(Calculator!E23,tbSkills!DH3:DI6,2,FALSE)+IF(AND(Calculator!B8=TRUE,Backdoors!BI13=TRUE),VLOOKUP(Calculator!E23,tbSkills!DH3:DJ6,3,FALSE),0),0))&gt;=100,100,(Backdoors!AI12+IF(BT104&gt;=0.45,VLOOKUP(Calculator!E23,tbSkills!DH3:DI6,2,FALSE)+IF(AND(Calculator!B8=TRUE,Backdoors!BI13=TRUE),VLOOKUP(Calculator!E23,tbSkills!DH3:DJ6,3,FALSE),0),0)))/100)),(1-(0.25*((-Backdoors!AI12-IF(BT104&gt;=0.45,VLOOKUP(Calculator!E23,tbSkills!DH3:DI6,2,FALSE)+IF(AND(Calculator!B8=TRUE,Backdoors!BI13=TRUE),VLOOKUP(Calculator!E23,tbSkills!DH3:DJ6,3,FALSE),0),0))/100)))),1),"")</f>
        <v>1</v>
      </c>
      <c r="BW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T104)*BV104)*(VLOOKUP(A104,tbMoveset!A2:C112,3,FALSE)/100)*IF(VLOOKUP(A104,tbMoveset!A2:B112,2,FALSE)="Projectile",Backdoors!N10,Backdoors!N9),0),"")</f>
        <v/>
      </c>
      <c r="BX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T104&gt;=0.45,VLOOKUP(Calculator!E23,tbSkills!DH3:DI6,2,FALSE)+IF(AND(Calculator!B8=TRUE,Backdoors!BI13=TRUE),VLOOKUP(Calculator!E23,tbSkills!DH3:DJ6,3,FALSE),0),0))&gt;=100,100,(Backdoors!AI12+IF(BT104&gt;=0.45,VLOOKUP(Calculator!E23,tbSkills!DH3:DI6,2,FALSE)+IF(AND(Calculator!B8=TRUE,Backdoors!BI13=TRUE),VLOOKUP(Calculator!E23,tbSkills!DH3:DJ6,3,FALSE),0),0)))/100)),1))*IF(VLOOKUP(A104,tbMoveset!A2:K112,11,FALSE)=TRUE,Backdoors!AC5,1))*BU104,0),"")</f>
        <v>0</v>
      </c>
      <c r="BY104" s="49">
        <f>VLOOKUP(A104,tbMoveset!A2:G112,7,FALSE)*IFERROR(IF(Backdoors!AI12&gt;=0,1+(IF(Calculator!E40&gt;0,VLOOKUP(Calculator!E40,tbSkills!AI3:AJ5,2,FALSE),Backdoors!AL4)*(IF((Backdoors!AI12+IF(BT104&gt;=0.45,VLOOKUP(Calculator!E23,tbSkills!DH3:DI6,2,FALSE)+IF(AND(Calculator!B8=TRUE,Backdoors!BI13=TRUE),VLOOKUP(Calculator!E23,tbSkills!DH3:DJ6,3,FALSE),0),0))&gt;=100,100,(Backdoors!AI12+IF(BT104&gt;=0.45,VLOOKUP(Calculator!E23,tbSkills!DH3:DI6,2,FALSE)+IF(AND(Calculator!B8=TRUE,Backdoors!BI13=TRUE),VLOOKUP(Calculator!E23,tbSkills!DH3:DJ6,3,FALSE),0),0)))/100)),1),1)</f>
        <v>0.4</v>
      </c>
      <c r="BZ104" s="87">
        <f t="shared" si="61"/>
        <v>0</v>
      </c>
      <c r="CA104" s="86" t="str">
        <f>IFERROR(IF(VLOOKUP(A104,tbMoveset!A2:B112,2,FALSE)="Sever",Backdoors!AY14/100,IF(VLOOKUP(A104,tbMoveset!A2:B112,2,FALSE)="Blunt",Backdoors!AZ14/100,Backdoors!BA14/100)),"")</f>
        <v/>
      </c>
      <c r="CB104" s="49">
        <f>IFERROR(IF(VLOOKUP(tbMoveset!A104,tbMoveset!A2:H112,8,FALSE)="Other",IF(VLOOKUP(tbMoveset!A104,tbMoveset!A2:I112,9,FALSE)="Fire",Backdoors!BB14,IF(VLOOKUP(tbMoveset!A104,tbMoveset!A2:I112,9,FALSE)="Water",Backdoors!BC14,IF(VLOOKUP(tbMoveset!A104,tbMoveset!A2:I112,9,FALSE)="Thunder",Backdoors!BD14,IF(VLOOKUP(tbMoveset!A104,tbMoveset!A2:I112,9,FALSE)="Ice",Backdoors!BE14,IF(VLOOKUP(tbMoveset!A104,tbMoveset!A2:I112,9,FALSE)="Dragon",Backdoors!BF14,Backdoors!BG14)))))/100,Backdoors!BG14/100),"")</f>
        <v>0</v>
      </c>
      <c r="CC104" s="49">
        <f>IFERROR(IF(VLOOKUP(A104,tbMoveset!A2:J112,10,FALSE)=TRUE,IF((Backdoors!AI12+IF(CA104&gt;=0.45,VLOOKUP(Calculator!E23,tbSkills!DH3:DI6,2,FALSE)+IF(AND(Calculator!B8=TRUE,Backdoors!BI14=TRUE),VLOOKUP(Calculator!E23,tbSkills!DH3:DJ6,3,FALSE),0),0))&gt;=0,1+(Backdoors!AL2*(IF((Backdoors!AI12+IF(CA104&gt;=0.45,VLOOKUP(Calculator!E23,tbSkills!DH3:DI6,2,FALSE)+IF(AND(Calculator!B8=TRUE,Backdoors!BI14=TRUE),VLOOKUP(Calculator!E23,tbSkills!DH3:DJ6,3,FALSE),0),0))&gt;=100,100,(Backdoors!AI12+IF(CA104&gt;=0.45,VLOOKUP(Calculator!E23,tbSkills!DH3:DI6,2,FALSE)+IF(AND(Calculator!B8=TRUE,Backdoors!BI14=TRUE),VLOOKUP(Calculator!E23,tbSkills!DH3:DJ6,3,FALSE),0),0)))/100)),(1-(0.25*((-Backdoors!AI12-IF(CA104&gt;=0.45,VLOOKUP(Calculator!E23,tbSkills!DH3:DI6,2,FALSE)+IF(AND(Calculator!B8=TRUE,Backdoors!BI14=TRUE),VLOOKUP(Calculator!E23,tbSkills!DH3:DJ6,3,FALSE),0),0))/100)))),1),"")</f>
        <v>1</v>
      </c>
      <c r="CD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A104)*CC104)*(VLOOKUP(A104,tbMoveset!A2:C112,3,FALSE)/100)*IF(VLOOKUP(A104,tbMoveset!A2:B112,2,FALSE)="Projectile",Backdoors!N10,Backdoors!N9),0),"")</f>
        <v/>
      </c>
      <c r="CE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A104&gt;=0.45,VLOOKUP(Calculator!E23,tbSkills!DH3:DI6,2,FALSE)+IF(AND(Calculator!B8=TRUE,Backdoors!BI14=TRUE),VLOOKUP(Calculator!E23,tbSkills!DH3:DJ6,3,FALSE),0),0))&gt;=100,100,(Backdoors!AI12+IF(CA104&gt;=0.45,VLOOKUP(Calculator!E23,tbSkills!DH3:DI6,2,FALSE)+IF(AND(Calculator!B8=TRUE,Backdoors!BI14=TRUE),VLOOKUP(Calculator!E23,tbSkills!DH3:DJ6,3,FALSE),0),0)))/100)),1))*IF(VLOOKUP(A104,tbMoveset!A2:K112,11,FALSE)=TRUE,Backdoors!AC5,1))*CB104,0),"")</f>
        <v>0</v>
      </c>
      <c r="CF104" s="49">
        <f>VLOOKUP(A104,tbMoveset!A2:G112,7,FALSE)*IFERROR(IF(Backdoors!AI12&gt;=0,1+(IF(Calculator!E40&gt;0,VLOOKUP(Calculator!E40,tbSkills!AI3:AJ5,2,FALSE),Backdoors!AL4)*(IF((Backdoors!AI12+IF(CA104&gt;=0.45,VLOOKUP(Calculator!E23,tbSkills!DH3:DI6,2,FALSE)+IF(AND(Calculator!B8=TRUE,Backdoors!BI14=TRUE),VLOOKUP(Calculator!E23,tbSkills!DH3:DJ6,3,FALSE),0),0))&gt;=100,100,(Backdoors!AI12+IF(CA104&gt;=0.45,VLOOKUP(Calculator!E23,tbSkills!DH3:DI6,2,FALSE)+IF(AND(Calculator!B8=TRUE,Backdoors!BI14=TRUE),VLOOKUP(Calculator!E23,tbSkills!DH3:DJ6,3,FALSE),0),0)))/100)),1),1)</f>
        <v>0.4</v>
      </c>
      <c r="CG104" s="87">
        <f t="shared" si="62"/>
        <v>0</v>
      </c>
      <c r="CH104" s="86" t="str">
        <f>IFERROR(IF(VLOOKUP(A104,tbMoveset!A2:B112,2,FALSE)="Sever",Backdoors!AY15/100,IF(VLOOKUP(A104,tbMoveset!A2:B112,2,FALSE)="Blunt",Backdoors!AZ15/100,Backdoors!BA15/100)),"")</f>
        <v/>
      </c>
      <c r="CI104" s="49">
        <f>IFERROR(IF(VLOOKUP(tbMoveset!A104,tbMoveset!A2:H112,8,FALSE)="Other",IF(VLOOKUP(tbMoveset!A104,tbMoveset!A2:I112,9,FALSE)="Fire",Backdoors!BB15,IF(VLOOKUP(tbMoveset!A104,tbMoveset!A2:I112,9,FALSE)="Water",Backdoors!BC15,IF(VLOOKUP(tbMoveset!A104,tbMoveset!A2:I112,9,FALSE)="Thunder",Backdoors!BD15,IF(VLOOKUP(tbMoveset!A104,tbMoveset!A2:I112,9,FALSE)="Ice",Backdoors!BE15,IF(VLOOKUP(tbMoveset!A104,tbMoveset!A2:I112,9,FALSE)="Dragon",Backdoors!BF15,Backdoors!BG15)))))/100,Backdoors!BG15/100),"")</f>
        <v>0</v>
      </c>
      <c r="CJ104" s="49">
        <f>IFERROR(IF(VLOOKUP(A104,tbMoveset!A2:J112,10,FALSE)=TRUE,IF((Backdoors!AI12+IF(CH104&gt;=0.45,VLOOKUP(Calculator!E23,tbSkills!DH3:DI6,2,FALSE)+IF(AND(Calculator!B8=TRUE,Backdoors!BI15=TRUE),VLOOKUP(Calculator!E23,tbSkills!DH3:DJ6,3,FALSE),0),0))&gt;=0,1+(Backdoors!AL2*(IF((Backdoors!AI12+IF(CH104&gt;=0.45,VLOOKUP(Calculator!E23,tbSkills!DH3:DI6,2,FALSE)+IF(AND(Calculator!B8=TRUE,Backdoors!BI15=TRUE),VLOOKUP(Calculator!E23,tbSkills!DH3:DJ6,3,FALSE),0),0))&gt;=100,100,(Backdoors!AI12+IF(CH104&gt;=0.45,VLOOKUP(Calculator!E23,tbSkills!DH3:DI6,2,FALSE)+IF(AND(Calculator!B8=TRUE,Backdoors!BI15=TRUE),VLOOKUP(Calculator!E23,tbSkills!DH3:DJ6,3,FALSE),0),0)))/100)),(1-(0.25*((-Backdoors!AI12-IF(CH104&gt;=0.45,VLOOKUP(Calculator!E23,tbSkills!DH3:DI6,2,FALSE)+IF(AND(Calculator!B8=TRUE,Backdoors!BI15=TRUE),VLOOKUP(Calculator!E23,tbSkills!DH3:DJ6,3,FALSE),0),0))/100)))),1),"")</f>
        <v>1</v>
      </c>
      <c r="CK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H104)*CJ104)*(VLOOKUP(A104,tbMoveset!A2:C112,3,FALSE)/100)*IF(VLOOKUP(A104,tbMoveset!A2:B112,2,FALSE)="Projectile",Backdoors!N10,Backdoors!N9),0),"")</f>
        <v/>
      </c>
      <c r="CL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H104&gt;=0.45,VLOOKUP(Calculator!E23,tbSkills!DH3:DI6,2,FALSE)+IF(AND(Calculator!B8=TRUE,Backdoors!BI15=TRUE),VLOOKUP(Calculator!E23,tbSkills!DH3:DJ6,3,FALSE),0),0))&gt;=100,100,(Backdoors!AI12+IF(CH104&gt;=0.45,VLOOKUP(Calculator!E23,tbSkills!DH3:DI6,2,FALSE)+IF(AND(Calculator!B8=TRUE,Backdoors!BI15=TRUE),VLOOKUP(Calculator!E23,tbSkills!DH3:DJ6,3,FALSE),0),0)))/100)),1))*IF(VLOOKUP(A104,tbMoveset!A2:K112,11,FALSE)=TRUE,Backdoors!AC5,1))*CI104,0),"")</f>
        <v>0</v>
      </c>
      <c r="CM104" s="49">
        <f>VLOOKUP(A104,tbMoveset!A2:G112,7,FALSE)*IFERROR(IF(Backdoors!AI12&gt;=0,1+(IF(Calculator!E40&gt;0,VLOOKUP(Calculator!E40,tbSkills!AI3:AJ5,2,FALSE),Backdoors!AL4)*(IF((Backdoors!AI12+IF(CH104&gt;=0.45,VLOOKUP(Calculator!E23,tbSkills!DH3:DI6,2,FALSE)+IF(AND(Calculator!B8=TRUE,Backdoors!BI15=TRUE),VLOOKUP(Calculator!E23,tbSkills!DH3:DJ6,3,FALSE),0),0))&gt;=100,100,(Backdoors!AI12+IF(CH104&gt;=0.45,VLOOKUP(Calculator!E23,tbSkills!DH3:DI6,2,FALSE)+IF(AND(Calculator!B8=TRUE,Backdoors!BI15=TRUE),VLOOKUP(Calculator!E23,tbSkills!DH3:DJ6,3,FALSE),0),0)))/100)),1),1)</f>
        <v>0.4</v>
      </c>
      <c r="CN104" s="87">
        <f t="shared" si="63"/>
        <v>0</v>
      </c>
      <c r="CO104" s="86" t="str">
        <f>IFERROR(IF(VLOOKUP(A104,tbMoveset!A2:B112,2,FALSE)="Sever",Backdoors!AY16/100,IF(VLOOKUP(A104,tbMoveset!A2:B112,2,FALSE)="Blunt",Backdoors!AZ16/100,Backdoors!BA16/100)),"")</f>
        <v/>
      </c>
      <c r="CP104" s="49">
        <f>IFERROR(IF(VLOOKUP(tbMoveset!A104,tbMoveset!A2:H112,8,FALSE)="Other",IF(VLOOKUP(tbMoveset!A104,tbMoveset!A2:I112,9,FALSE)="Fire",Backdoors!BB16,IF(VLOOKUP(tbMoveset!A104,tbMoveset!A2:I112,9,FALSE)="Water",Backdoors!BC16,IF(VLOOKUP(tbMoveset!A104,tbMoveset!A2:I112,9,FALSE)="Thunder",Backdoors!BD16,IF(VLOOKUP(tbMoveset!A104,tbMoveset!A2:I112,9,FALSE)="Ice",Backdoors!BE16,IF(VLOOKUP(tbMoveset!A104,tbMoveset!A2:I112,9,FALSE)="Dragon",Backdoors!BF16,Backdoors!BG16)))))/100,Backdoors!BG16/100),"")</f>
        <v>0</v>
      </c>
      <c r="CQ104" s="49">
        <f>IFERROR(IF(VLOOKUP(A104,tbMoveset!A2:J112,10,FALSE)=TRUE,IF((Backdoors!AI12+IF(CO104&gt;=0.45,VLOOKUP(Calculator!E23,tbSkills!DH3:DI6,2,FALSE)+IF(AND(Calculator!B8=TRUE,Backdoors!BI16=TRUE),VLOOKUP(Calculator!E23,tbSkills!DH3:DJ6,3,FALSE),0),0))&gt;=0,1+(Backdoors!AL2*(IF((Backdoors!AI12+IF(CO104&gt;=0.45,VLOOKUP(Calculator!E23,tbSkills!DH3:DI6,2,FALSE)+IF(AND(Calculator!B8=TRUE,Backdoors!BI16=TRUE),VLOOKUP(Calculator!E23,tbSkills!DH3:DJ6,3,FALSE),0),0))&gt;=100,100,(Backdoors!AI12+IF(CO104&gt;=0.45,VLOOKUP(Calculator!E23,tbSkills!DH3:DI6,2,FALSE)+IF(AND(Calculator!B8=TRUE,Backdoors!BI16=TRUE),VLOOKUP(Calculator!E23,tbSkills!DH3:DJ6,3,FALSE),0),0)))/100)),(1-(0.25*((-Backdoors!AI12-IF(CO104&gt;=0.45,VLOOKUP(Calculator!E23,tbSkills!DH3:DI6,2,FALSE)+IF(AND(Calculator!B8=TRUE,Backdoors!BI16=TRUE),VLOOKUP(Calculator!E23,tbSkills!DH3:DJ6,3,FALSE),0),0))/100)))),1),"")</f>
        <v>1</v>
      </c>
      <c r="CR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O104)*CQ104)*(VLOOKUP(A104,tbMoveset!A2:C112,3,FALSE)/100)*IF(VLOOKUP(A104,tbMoveset!A2:B112,2,FALSE)="Projectile",Backdoors!N10,Backdoors!N9),0),"")</f>
        <v/>
      </c>
      <c r="CS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O104&gt;=0.45,VLOOKUP(Calculator!E23,tbSkills!DH3:DI6,2,FALSE)+IF(AND(Calculator!B8=TRUE,Backdoors!BI16=TRUE),VLOOKUP(Calculator!E23,tbSkills!DH3:DJ6,3,FALSE),0),0))&gt;=100,100,(Backdoors!AI12+IF(CO104&gt;=0.45,VLOOKUP(Calculator!E23,tbSkills!DH3:DI6,2,FALSE)+IF(AND(Calculator!B8=TRUE,Backdoors!BI16=TRUE),VLOOKUP(Calculator!E23,tbSkills!DH3:DJ6,3,FALSE),0),0)))/100)),1))*IF(VLOOKUP(A104,tbMoveset!A2:K112,11,FALSE)=TRUE,Backdoors!AC5,1))*CP104,0),"")</f>
        <v>0</v>
      </c>
      <c r="CT104" s="49">
        <f>VLOOKUP(A104,tbMoveset!A2:G112,7,FALSE)*IFERROR(IF(Backdoors!AI12&gt;=0,1+(IF(Calculator!E40&gt;0,VLOOKUP(Calculator!E40,tbSkills!AI3:AJ5,2,FALSE),Backdoors!AL4)*(IF((Backdoors!AI12+IF(CO104&gt;=0.45,VLOOKUP(Calculator!E23,tbSkills!DH3:DI6,2,FALSE)+IF(AND(Calculator!B8=TRUE,Backdoors!BI16=TRUE),VLOOKUP(Calculator!E23,tbSkills!DH3:DJ6,3,FALSE),0),0))&gt;=100,100,(Backdoors!AI12+IF(CO104&gt;=0.45,VLOOKUP(Calculator!E23,tbSkills!DH3:DI6,2,FALSE)+IF(AND(Calculator!B8=TRUE,Backdoors!BI16=TRUE),VLOOKUP(Calculator!E23,tbSkills!DH3:DJ6,3,FALSE),0),0)))/100)),1),1)</f>
        <v>0.4</v>
      </c>
      <c r="CU104" s="87">
        <f t="shared" si="64"/>
        <v>0</v>
      </c>
      <c r="CV104" s="86" t="str">
        <f>IFERROR(IF(VLOOKUP(A104,tbMoveset!A2:B112,2,FALSE)="Sever",Backdoors!AY17/100,IF(VLOOKUP(A104,tbMoveset!A2:B112,2,FALSE)="Blunt",Backdoors!AZ17/100,Backdoors!BA17/100)),"")</f>
        <v/>
      </c>
      <c r="CW104" s="49">
        <f>IFERROR(IF(VLOOKUP(tbMoveset!A104,tbMoveset!A2:H112,8,FALSE)="Other",IF(VLOOKUP(tbMoveset!A104,tbMoveset!A2:I112,9,FALSE)="Fire",Backdoors!BB17,IF(VLOOKUP(tbMoveset!A104,tbMoveset!A2:I112,9,FALSE)="Water",Backdoors!BC17,IF(VLOOKUP(tbMoveset!A104,tbMoveset!A2:I112,9,FALSE)="Thunder",Backdoors!BD17,IF(VLOOKUP(tbMoveset!A104,tbMoveset!A2:I112,9,FALSE)="Ice",Backdoors!BE17,IF(VLOOKUP(tbMoveset!A104,tbMoveset!A2:I112,9,FALSE)="Dragon",Backdoors!BF17,Backdoors!BG17)))))/100,Backdoors!BG17/100),"")</f>
        <v>0</v>
      </c>
      <c r="CX104" s="49">
        <f>IFERROR(IF(VLOOKUP(A104,tbMoveset!A2:J112,10,FALSE)=TRUE,IF((Backdoors!AI12+IF(CV104&gt;=0.45,VLOOKUP(Calculator!E23,tbSkills!DH3:DI6,2,FALSE)+IF(AND(Calculator!B8=TRUE,Backdoors!BI17=TRUE),VLOOKUP(Calculator!E23,tbSkills!DH3:DJ6,3,FALSE),0),0))&gt;=0,1+(Backdoors!AL2*(IF((Backdoors!AI12+IF(CV104&gt;=0.45,VLOOKUP(Calculator!E23,tbSkills!DH3:DI6,2,FALSE)+IF(AND(Calculator!B8=TRUE,Backdoors!BI17=TRUE),VLOOKUP(Calculator!E23,tbSkills!DH3:DJ6,3,FALSE),0),0))&gt;=100,100,(Backdoors!AI12+IF(CV104&gt;=0.45,VLOOKUP(Calculator!E23,tbSkills!DH3:DI6,2,FALSE)+IF(AND(Calculator!B8=TRUE,Backdoors!BI17=TRUE),VLOOKUP(Calculator!E23,tbSkills!DH3:DJ6,3,FALSE),0),0)))/100)),(1-(0.25*((-Backdoors!AI12-IF(CV104&gt;=0.45,VLOOKUP(Calculator!E23,tbSkills!DH3:DI6,2,FALSE)+IF(AND(Calculator!B8=TRUE,Backdoors!BI17=TRUE),VLOOKUP(Calculator!E23,tbSkills!DH3:DJ6,3,FALSE),0),0))/100)))),1),"")</f>
        <v>1</v>
      </c>
      <c r="CY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V104)*CX104)*(VLOOKUP(A104,tbMoveset!A2:C112,3,FALSE)/100)*IF(VLOOKUP(A104,tbMoveset!A2:B112,2,FALSE)="Projectile",Backdoors!N10,Backdoors!N9),0),"")</f>
        <v/>
      </c>
      <c r="CZ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V104&gt;=0.45,VLOOKUP(Calculator!E23,tbSkills!DH3:DI6,2,FALSE)+IF(AND(Calculator!B8=TRUE,Backdoors!BI17=TRUE),VLOOKUP(Calculator!E23,tbSkills!DH3:DJ6,3,FALSE),0),0))&gt;=100,100,(Backdoors!AI12+IF(CV104&gt;=0.45,VLOOKUP(Calculator!E23,tbSkills!DH3:DI6,2,FALSE)+IF(AND(Calculator!B8=TRUE,Backdoors!BI17=TRUE),VLOOKUP(Calculator!E23,tbSkills!DH3:DJ6,3,FALSE),0),0)))/100)),1))*IF(VLOOKUP(A104,tbMoveset!A2:K112,11,FALSE)=TRUE,Backdoors!AC5,1))*CW104,0),"")</f>
        <v>0</v>
      </c>
      <c r="DA104" s="49">
        <f>VLOOKUP(A104,tbMoveset!A2:G112,7,FALSE)*IFERROR(IF(Backdoors!AI12&gt;=0,1+(IF(Calculator!E40&gt;0,VLOOKUP(Calculator!E40,tbSkills!AI3:AJ5,2,FALSE),Backdoors!AL4)*(IF((Backdoors!AI12+IF(CV104&gt;=0.45,VLOOKUP(Calculator!E23,tbSkills!DH3:DI6,2,FALSE)+IF(AND(Calculator!B8=TRUE,Backdoors!BI17=TRUE),VLOOKUP(Calculator!E23,tbSkills!DH3:DJ6,3,FALSE),0),0))&gt;=100,100,(Backdoors!AI12+IF(CV104&gt;=0.45,VLOOKUP(Calculator!E23,tbSkills!DH3:DI6,2,FALSE)+IF(AND(Calculator!B8=TRUE,Backdoors!BI17=TRUE),VLOOKUP(Calculator!E23,tbSkills!DH3:DJ6,3,FALSE),0),0)))/100)),1),1)</f>
        <v>0.4</v>
      </c>
      <c r="DB104" s="87">
        <f t="shared" si="65"/>
        <v>0</v>
      </c>
      <c r="DC104" s="86" t="str">
        <f>IFERROR(IF(VLOOKUP(A104,tbMoveset!A2:B112,2,FALSE)="Sever",Backdoors!AY18/100,IF(VLOOKUP(A104,tbMoveset!A2:B112,2,FALSE)="Blunt",Backdoors!AZ18/100,Backdoors!BA18/100)),"")</f>
        <v/>
      </c>
      <c r="DD104" s="49">
        <f>IFERROR(IF(VLOOKUP(tbMoveset!A104,tbMoveset!A2:H112,8,FALSE)="Other",IF(VLOOKUP(tbMoveset!A104,tbMoveset!A2:I112,9,FALSE)="Fire",Backdoors!BB18,IF(VLOOKUP(tbMoveset!A104,tbMoveset!A2:I112,9,FALSE)="Water",Backdoors!BC18,IF(VLOOKUP(tbMoveset!A104,tbMoveset!A2:I112,9,FALSE)="Thunder",Backdoors!BD18,IF(VLOOKUP(tbMoveset!A104,tbMoveset!A2:I112,9,FALSE)="Ice",Backdoors!BE18,IF(VLOOKUP(tbMoveset!A104,tbMoveset!A2:I112,9,FALSE)="Dragon",Backdoors!BF18,Backdoors!BG18)))))/100,Backdoors!BG18/100),"")</f>
        <v>0</v>
      </c>
      <c r="DE104" s="49">
        <f>IFERROR(IF(VLOOKUP(A104,tbMoveset!A2:J112,10,FALSE)=TRUE,IF((Backdoors!AI12+IF(DC104&gt;=0.45,VLOOKUP(Calculator!E23,tbSkills!DH3:DI6,2,FALSE)+IF(AND(Calculator!B8=TRUE,Backdoors!BI18=TRUE),VLOOKUP(Calculator!E23,tbSkills!DH3:DJ6,3,FALSE),0),0))&gt;=0,1+(Backdoors!AL2*(IF((Backdoors!AI12+IF(DC104&gt;=0.45,VLOOKUP(Calculator!E23,tbSkills!DH3:DI6,2,FALSE)+IF(AND(Calculator!B8=TRUE,Backdoors!BI18=TRUE),VLOOKUP(Calculator!E23,tbSkills!DH3:DJ6,3,FALSE),0),0))&gt;=100,100,(Backdoors!AI12+IF(DC104&gt;=0.45,VLOOKUP(Calculator!E23,tbSkills!DH3:DI6,2,FALSE)+IF(AND(Calculator!B8=TRUE,Backdoors!BI18=TRUE),VLOOKUP(Calculator!E23,tbSkills!DH3:DJ6,3,FALSE),0),0)))/100)),(1-(0.25*((-Backdoors!AI12-IF(DC104&gt;=0.45,VLOOKUP(Calculator!E23,tbSkills!DH3:DI6,2,FALSE)+IF(AND(Calculator!B8=TRUE,Backdoors!BI18=TRUE),VLOOKUP(Calculator!E23,tbSkills!DH3:DJ6,3,FALSE),0),0))/100)))),1),"")</f>
        <v>1</v>
      </c>
      <c r="DF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C104)*DE104)*(VLOOKUP(A104,tbMoveset!A2:C112,3,FALSE)/100)*IF(VLOOKUP(A104,tbMoveset!A2:B112,2,FALSE)="Projectile",Backdoors!N10,Backdoors!N9),0),"")</f>
        <v/>
      </c>
      <c r="DG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C104&gt;=0.45,VLOOKUP(Calculator!E23,tbSkills!DH3:DI6,2,FALSE)+IF(AND(Calculator!B8=TRUE,Backdoors!BI18=TRUE),VLOOKUP(Calculator!E23,tbSkills!DH3:DJ6,3,FALSE),0),0))&gt;=100,100,(Backdoors!AI12+IF(DC104&gt;=0.45,VLOOKUP(Calculator!E23,tbSkills!DH3:DI6,2,FALSE)+IF(AND(Calculator!B8=TRUE,Backdoors!BI18=TRUE),VLOOKUP(Calculator!E23,tbSkills!DH3:DJ6,3,FALSE),0),0)))/100)),1))*IF(VLOOKUP(A104,tbMoveset!A2:K112,11,FALSE)=TRUE,Backdoors!AC5,1))*DD104,0),"")</f>
        <v>0</v>
      </c>
      <c r="DH104" s="49">
        <f>VLOOKUP(A104,tbMoveset!A2:G112,7,FALSE)*IFERROR(IF(Backdoors!AI12&gt;=0,1+(IF(Calculator!E40&gt;0,VLOOKUP(Calculator!E40,tbSkills!AI3:AJ5,2,FALSE),Backdoors!AL4)*(IF((Backdoors!AI12+IF(DC104&gt;=0.45,VLOOKUP(Calculator!E23,tbSkills!DH3:DI6,2,FALSE)+IF(AND(Calculator!B8=TRUE,Backdoors!BI18=TRUE),VLOOKUP(Calculator!E23,tbSkills!DH3:DJ6,3,FALSE),0),0))&gt;=100,100,(Backdoors!AI12+IF(DC104&gt;=0.45,VLOOKUP(Calculator!E23,tbSkills!DH3:DI6,2,FALSE)+IF(AND(Calculator!B8=TRUE,Backdoors!BI18=TRUE),VLOOKUP(Calculator!E23,tbSkills!DH3:DJ6,3,FALSE),0),0)))/100)),1),1)</f>
        <v>0.4</v>
      </c>
      <c r="DI104" s="87">
        <f t="shared" si="66"/>
        <v>0</v>
      </c>
      <c r="DJ104" s="86" t="str">
        <f>IFERROR(IF(VLOOKUP(A104,tbMoveset!A2:B112,2,FALSE)="Sever",Backdoors!AY19/100,IF(VLOOKUP(A104,tbMoveset!A2:B112,2,FALSE)="Blunt",Backdoors!AZ19/100,Backdoors!BA19/100)),"")</f>
        <v/>
      </c>
      <c r="DK104" s="49">
        <f>IFERROR(IF(VLOOKUP(tbMoveset!A104,tbMoveset!A2:H112,8,FALSE)="Other",IF(VLOOKUP(tbMoveset!A104,tbMoveset!A2:I112,9,FALSE)="Fire",Backdoors!BB19,IF(VLOOKUP(tbMoveset!A104,tbMoveset!A2:I112,9,FALSE)="Water",Backdoors!BC19,IF(VLOOKUP(tbMoveset!A104,tbMoveset!A2:I112,9,FALSE)="Thunder",Backdoors!BD19,IF(VLOOKUP(tbMoveset!A104,tbMoveset!A2:I112,9,FALSE)="Ice",Backdoors!BE19,IF(VLOOKUP(tbMoveset!A104,tbMoveset!A2:I112,9,FALSE)="Dragon",Backdoors!BF19,Backdoors!BG19)))))/100,Backdoors!BG19/100),"")</f>
        <v>0</v>
      </c>
      <c r="DL104" s="49">
        <f>IFERROR(IF(VLOOKUP(A104,tbMoveset!A2:J112,10,FALSE)=TRUE,IF((Backdoors!AI12+IF(DJ104&gt;=0.45,VLOOKUP(Calculator!E23,tbSkills!DH3:DI6,2,FALSE)+IF(AND(Calculator!B8=TRUE,Backdoors!BI19=TRUE),VLOOKUP(Calculator!E23,tbSkills!DH3:DJ6,3,FALSE),0),0))&gt;=0,1+(Backdoors!AL2*(IF((Backdoors!AI12+IF(DJ104&gt;=0.45,VLOOKUP(Calculator!E23,tbSkills!DH3:DI6,2,FALSE)+IF(AND(Calculator!B8=TRUE,Backdoors!BI19=TRUE),VLOOKUP(Calculator!E23,tbSkills!DH3:DJ6,3,FALSE),0),0))&gt;=100,100,(Backdoors!AI12+IF(DJ104&gt;=0.45,VLOOKUP(Calculator!E23,tbSkills!DH3:DI6,2,FALSE)+IF(AND(Calculator!B8=TRUE,Backdoors!BI19=TRUE),VLOOKUP(Calculator!E23,tbSkills!DH3:DJ6,3,FALSE),0),0)))/100)),(1-(0.25*((-Backdoors!AI12-IF(DJ104&gt;=0.45,VLOOKUP(Calculator!E23,tbSkills!DH3:DI6,2,FALSE)+IF(AND(Calculator!B8=TRUE,Backdoors!BI19=TRUE),VLOOKUP(Calculator!E23,tbSkills!DH3:DJ6,3,FALSE),0),0))/100)))),1),"")</f>
        <v>1</v>
      </c>
      <c r="DM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J104)*DL104)*(VLOOKUP(A104,tbMoveset!A2:C112,3,FALSE)/100)*IF(VLOOKUP(A104,tbMoveset!A2:B112,2,FALSE)="Projectile",Backdoors!N10,Backdoors!N9),0),"")</f>
        <v/>
      </c>
      <c r="DN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J104&gt;=0.45,VLOOKUP(Calculator!E23,tbSkills!DH3:DI6,2,FALSE)+IF(AND(Calculator!B8=TRUE,Backdoors!BI19=TRUE),VLOOKUP(Calculator!E23,tbSkills!DH3:DJ6,3,FALSE),0),0))&gt;=100,100,(Backdoors!AI12+IF(DJ104&gt;=0.45,VLOOKUP(Calculator!E23,tbSkills!DH3:DI6,2,FALSE)+IF(AND(Calculator!B8=TRUE,Backdoors!BI19=TRUE),VLOOKUP(Calculator!E23,tbSkills!DH3:DJ6,3,FALSE),0),0)))/100)),1))*IF(VLOOKUP(A104,tbMoveset!A2:K112,11,FALSE)=TRUE,Backdoors!AC5,1))*DK104,0),"")</f>
        <v>0</v>
      </c>
      <c r="DO104" s="49">
        <f>VLOOKUP(A104,tbMoveset!A2:G112,7,FALSE)*IFERROR(IF(Backdoors!AI12&gt;=0,1+(IF(Calculator!E40&gt;0,VLOOKUP(Calculator!E40,tbSkills!AI3:AJ5,2,FALSE),Backdoors!AL4)*(IF((Backdoors!AI12+IF(DJ104&gt;=0.45,VLOOKUP(Calculator!E23,tbSkills!DH3:DI6,2,FALSE)+IF(AND(Calculator!B8=TRUE,Backdoors!BI19=TRUE),VLOOKUP(Calculator!E23,tbSkills!DH3:DJ6,3,FALSE),0),0))&gt;=100,100,(Backdoors!AI12+IF(DJ104&gt;=0.45,VLOOKUP(Calculator!E23,tbSkills!DH3:DI6,2,FALSE)+IF(AND(Calculator!B8=TRUE,Backdoors!BI19=TRUE),VLOOKUP(Calculator!E23,tbSkills!DH3:DJ6,3,FALSE),0),0)))/100)),1),1)</f>
        <v>0.4</v>
      </c>
      <c r="DP104" s="87">
        <f t="shared" si="67"/>
        <v>0</v>
      </c>
      <c r="DQ104" s="86" t="str">
        <f>IFERROR(IF(VLOOKUP(A104,tbMoveset!A2:B112,2,FALSE)="Sever",Backdoors!AY20/100,IF(VLOOKUP(A104,tbMoveset!A2:B112,2,FALSE)="Blunt",Backdoors!AZ20/100,Backdoors!BA20/100)),"")</f>
        <v/>
      </c>
      <c r="DR104" s="49">
        <f>IFERROR(IF(VLOOKUP(tbMoveset!A104,tbMoveset!A2:H112,8,FALSE)="Other",IF(VLOOKUP(tbMoveset!A104,tbMoveset!A2:I112,9,FALSE)="Fire",Backdoors!BB20,IF(VLOOKUP(tbMoveset!A104,tbMoveset!A2:I112,9,FALSE)="Water",Backdoors!BC20,IF(VLOOKUP(tbMoveset!A104,tbMoveset!A2:I112,9,FALSE)="Thunder",Backdoors!BD20,IF(VLOOKUP(tbMoveset!A104,tbMoveset!A2:I112,9,FALSE)="Ice",Backdoors!BE20,IF(VLOOKUP(tbMoveset!A104,tbMoveset!A2:I112,9,FALSE)="Dragon",Backdoors!BF20,Backdoors!BG20)))))/100,Backdoors!BG20/100),"")</f>
        <v>0</v>
      </c>
      <c r="DS104" s="49">
        <f>IFERROR(IF(VLOOKUP(A104,tbMoveset!A2:J112,10,FALSE)=TRUE,IF((Backdoors!AI12+IF(DQ104&gt;=0.45,VLOOKUP(Calculator!E23,tbSkills!DH3:DI6,2,FALSE)+IF(AND(Calculator!B8=TRUE,Backdoors!BI20=TRUE),VLOOKUP(Calculator!E23,tbSkills!DH3:DJ6,3,FALSE),0),0))&gt;=0,1+(Backdoors!AL2*(IF((Backdoors!AI12+IF(DQ104&gt;=0.45,VLOOKUP(Calculator!E23,tbSkills!DH3:DI6,2,FALSE)+IF(AND(Calculator!B8=TRUE,Backdoors!BI20=TRUE),VLOOKUP(Calculator!E23,tbSkills!DH3:DJ6,3,FALSE),0),0))&gt;=100,100,(Backdoors!AI12+IF(DQ104&gt;=0.45,VLOOKUP(Calculator!E23,tbSkills!DH3:DI6,2,FALSE)+IF(AND(Calculator!B8=TRUE,Backdoors!BI20=TRUE),VLOOKUP(Calculator!E23,tbSkills!DH3:DJ6,3,FALSE),0),0)))/100)),(1-(0.25*((-Backdoors!AI12-IF(DQ104&gt;=0.45,VLOOKUP(Calculator!E23,tbSkills!DH3:DI6,2,FALSE)+IF(AND(Calculator!B8=TRUE,Backdoors!BI20=TRUE),VLOOKUP(Calculator!E23,tbSkills!DH3:DJ6,3,FALSE),0),0))/100)))),1),"")</f>
        <v>1</v>
      </c>
      <c r="DT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Q104)*DS104)*(VLOOKUP(A104,tbMoveset!A2:C112,3,FALSE)/100)*IF(VLOOKUP(A104,tbMoveset!A2:B112,2,FALSE)="Projectile",Backdoors!N10,Backdoors!N9),0),"")</f>
        <v/>
      </c>
      <c r="DU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Q104&gt;=0.45,VLOOKUP(Calculator!E23,tbSkills!DH3:DI6,2,FALSE)+IF(AND(Calculator!B8=TRUE,Backdoors!BI20=TRUE),VLOOKUP(Calculator!E23,tbSkills!DH3:DJ6,3,FALSE),0),0))&gt;=100,100,(Backdoors!AI12+IF(DQ104&gt;=0.45,VLOOKUP(Calculator!E23,tbSkills!DH3:DI6,2,FALSE)+IF(AND(Calculator!B8=TRUE,Backdoors!BI20=TRUE),VLOOKUP(Calculator!E23,tbSkills!DH3:DJ6,3,FALSE),0),0)))/100)),1))*IF(VLOOKUP(A104,tbMoveset!A2:K112,11,FALSE)=TRUE,Backdoors!AC5,1))*DR104,0),"")</f>
        <v>0</v>
      </c>
      <c r="DV104" s="49">
        <f>VLOOKUP(A104,tbMoveset!A2:G112,7,FALSE)*IFERROR(IF(Backdoors!AI12&gt;=0,1+(IF(Calculator!E40&gt;0,VLOOKUP(Calculator!E40,tbSkills!AI3:AJ5,2,FALSE),Backdoors!AL4)*(IF((Backdoors!AI12+IF(DQ104&gt;=0.45,VLOOKUP(Calculator!E23,tbSkills!DH3:DI6,2,FALSE)+IF(AND(Calculator!B8=TRUE,Backdoors!BI20=TRUE),VLOOKUP(Calculator!E23,tbSkills!DH3:DJ6,3,FALSE),0),0))&gt;=100,100,(Backdoors!AI12+IF(DQ104&gt;=0.45,VLOOKUP(Calculator!E23,tbSkills!DH3:DI6,2,FALSE)+IF(AND(Calculator!B8=TRUE,Backdoors!BI20=TRUE),VLOOKUP(Calculator!E23,tbSkills!DH3:DJ6,3,FALSE),0),0)))/100)),1),1)</f>
        <v>0.4</v>
      </c>
      <c r="DW104" s="87">
        <f t="shared" si="68"/>
        <v>0</v>
      </c>
      <c r="DX104" s="86" t="str">
        <f>IFERROR(IF(VLOOKUP(A104,tbMoveset!A2:B112,2,FALSE)="Sever",Backdoors!AY21/100,IF(VLOOKUP(A104,tbMoveset!A2:B112,2,FALSE)="Blunt",Backdoors!AZ21/100,Backdoors!BA21/100)),"")</f>
        <v/>
      </c>
      <c r="DY104" s="49">
        <f>IFERROR(IF(VLOOKUP(tbMoveset!A104,tbMoveset!A2:H112,8,FALSE)="Other",IF(VLOOKUP(tbMoveset!A104,tbMoveset!A2:I112,9,FALSE)="Fire",Backdoors!BB21,IF(VLOOKUP(tbMoveset!A104,tbMoveset!A2:I112,9,FALSE)="Water",Backdoors!BC21,IF(VLOOKUP(tbMoveset!A104,tbMoveset!A2:I112,9,FALSE)="Thunder",Backdoors!BD21,IF(VLOOKUP(tbMoveset!A104,tbMoveset!A2:I112,9,FALSE)="Ice",Backdoors!BE21,IF(VLOOKUP(tbMoveset!A104,tbMoveset!A2:I112,9,FALSE)="Dragon",Backdoors!BF21,Backdoors!BG21)))))/100,Backdoors!BG21/100),"")</f>
        <v>0</v>
      </c>
      <c r="DZ104" s="49">
        <f>IFERROR(IF(VLOOKUP(A104,tbMoveset!A2:J112,10,FALSE)=TRUE,IF((Backdoors!AI12+IF(DX104&gt;=0.45,VLOOKUP(Calculator!E23,tbSkills!DH3:DI6,2,FALSE)+IF(AND(Calculator!B8=TRUE,Backdoors!BI21=TRUE),VLOOKUP(Calculator!E23,tbSkills!DH3:DJ6,3,FALSE),0),0))&gt;=0,1+(Backdoors!AL2*(IF((Backdoors!AI12+IF(DX104&gt;=0.45,VLOOKUP(Calculator!E23,tbSkills!DH3:DI6,2,FALSE)+IF(AND(Calculator!B8=TRUE,Backdoors!BI21=TRUE),VLOOKUP(Calculator!E23,tbSkills!DH3:DJ6,3,FALSE),0),0))&gt;=100,100,(Backdoors!AI12+IF(DX104&gt;=0.45,VLOOKUP(Calculator!E23,tbSkills!DH3:DI6,2,FALSE)+IF(AND(Calculator!B8=TRUE,Backdoors!BI21=TRUE),VLOOKUP(Calculator!E23,tbSkills!DH3:DJ6,3,FALSE),0),0)))/100)),(1-(0.25*((-Backdoors!AI12-IF(DX104&gt;=0.45,VLOOKUP(Calculator!E23,tbSkills!DH3:DI6,2,FALSE)+IF(AND(Calculator!B8=TRUE,Backdoors!BI21=TRUE),VLOOKUP(Calculator!E23,tbSkills!DH3:DJ6,3,FALSE),0),0))/100)))),1),"")</f>
        <v>1</v>
      </c>
      <c r="EA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X104)*DZ104)*(VLOOKUP(A104,tbMoveset!A2:C112,3,FALSE)/100)*IF(VLOOKUP(A104,tbMoveset!A2:B112,2,FALSE)="Projectile",Backdoors!N10,Backdoors!N9),0),"")</f>
        <v/>
      </c>
      <c r="EB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X104&gt;=0.45,VLOOKUP(Calculator!E23,tbSkills!DH3:DI6,2,FALSE)+IF(AND(Calculator!B8=TRUE,Backdoors!BI21=TRUE),VLOOKUP(Calculator!E23,tbSkills!DH3:DJ6,3,FALSE),0),0))&gt;=100,100,(Backdoors!AI12+IF(DX104&gt;=0.45,VLOOKUP(Calculator!E23,tbSkills!DH3:DI6,2,FALSE)+IF(AND(Calculator!B8=TRUE,Backdoors!BI21=TRUE),VLOOKUP(Calculator!E23,tbSkills!DH3:DJ6,3,FALSE),0),0)))/100)),1))*IF(VLOOKUP(A104,tbMoveset!A2:K112,11,FALSE)=TRUE,Backdoors!AC5,1))*DY104,0),"")</f>
        <v>0</v>
      </c>
      <c r="EC104" s="49">
        <f>VLOOKUP(A104,tbMoveset!A2:G112,7,FALSE)*IFERROR(IF(Backdoors!AI12&gt;=0,1+(IF(Calculator!E40&gt;0,VLOOKUP(Calculator!E40,tbSkills!AI3:AJ5,2,FALSE),Backdoors!AL4)*(IF((Backdoors!AI12+IF(DX104&gt;=0.45,VLOOKUP(Calculator!E23,tbSkills!DH3:DI6,2,FALSE)+IF(AND(Calculator!B8=TRUE,Backdoors!BI21=TRUE),VLOOKUP(Calculator!E23,tbSkills!DH3:DJ6,3,FALSE),0),0))&gt;=100,100,(Backdoors!AI12+IF(DX104&gt;=0.45,VLOOKUP(Calculator!E23,tbSkills!DH3:DI6,2,FALSE)+IF(AND(Calculator!B8=TRUE,Backdoors!BI21=TRUE),VLOOKUP(Calculator!E23,tbSkills!DH3:DJ6,3,FALSE),0),0)))/100)),1),1)</f>
        <v>0.4</v>
      </c>
      <c r="ED104" s="87">
        <f t="shared" si="69"/>
        <v>0</v>
      </c>
      <c r="EE104" s="86" t="str">
        <f>IFERROR(IF(VLOOKUP(A104,tbMoveset!A2:B112,2,FALSE)="Sever",Backdoors!AY22/100,IF(VLOOKUP(A104,tbMoveset!A2:B112,2,FALSE)="Blunt",Backdoors!AZ22/100,Backdoors!BA22/100)),"")</f>
        <v/>
      </c>
      <c r="EF104" s="49">
        <f>IFERROR(IF(VLOOKUP(tbMoveset!A104,tbMoveset!A2:H112,8,FALSE)="Other",IF(VLOOKUP(tbMoveset!A104,tbMoveset!A2:I112,9,FALSE)="Fire",Backdoors!BB22,IF(VLOOKUP(tbMoveset!A104,tbMoveset!A2:I112,9,FALSE)="Water",Backdoors!BC22,IF(VLOOKUP(tbMoveset!A104,tbMoveset!A2:I112,9,FALSE)="Thunder",Backdoors!BD22,IF(VLOOKUP(tbMoveset!A104,tbMoveset!A2:I112,9,FALSE)="Ice",Backdoors!BE22,IF(VLOOKUP(tbMoveset!A104,tbMoveset!A2:I112,9,FALSE)="Dragon",Backdoors!BF22,Backdoors!BG22)))))/100,Backdoors!BG22/100),"")</f>
        <v>0</v>
      </c>
      <c r="EG104" s="49">
        <f>IFERROR(IF(VLOOKUP(A104,tbMoveset!A2:J112,10,FALSE)=TRUE,IF((Backdoors!AI12+IF(EE104&gt;=0.45,VLOOKUP(Calculator!E23,tbSkills!DH3:DI6,2,FALSE)+IF(AND(Calculator!B8=TRUE,Backdoors!BI22=TRUE),VLOOKUP(Calculator!E23,tbSkills!DH3:DJ6,3,FALSE),0),0))&gt;=0,1+(Backdoors!AL2*(IF((Backdoors!AI12+IF(EE104&gt;=0.45,VLOOKUP(Calculator!E23,tbSkills!DH3:DI6,2,FALSE)+IF(AND(Calculator!B8=TRUE,Backdoors!BI22=TRUE),VLOOKUP(Calculator!E23,tbSkills!DH3:DJ6,3,FALSE),0),0))&gt;=100,100,(Backdoors!AI12+IF(EE104&gt;=0.45,VLOOKUP(Calculator!E23,tbSkills!DH3:DI6,2,FALSE)+IF(AND(Calculator!B8=TRUE,Backdoors!BI22=TRUE),VLOOKUP(Calculator!E23,tbSkills!DH3:DJ6,3,FALSE),0),0)))/100)),(1-(0.25*((-Backdoors!AI12-IF(EE104&gt;=0.45,VLOOKUP(Calculator!E23,tbSkills!DH3:DI6,2,FALSE)+IF(AND(Calculator!B8=TRUE,Backdoors!BI22=TRUE),VLOOKUP(Calculator!E23,tbSkills!DH3:DJ6,3,FALSE),0),0))/100)))),1),"")</f>
        <v>1</v>
      </c>
      <c r="EH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E104)*EG104)*(VLOOKUP(A104,tbMoveset!A2:C112,3,FALSE)/100)*IF(VLOOKUP(A104,tbMoveset!A2:B112,2,FALSE)="Projectile",Backdoors!N10,Backdoors!N9),0),"")</f>
        <v/>
      </c>
      <c r="EI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E104&gt;=0.45,VLOOKUP(Calculator!E23,tbSkills!DH3:DI6,2,FALSE)+IF(AND(Calculator!B8=TRUE,Backdoors!BI22=TRUE),VLOOKUP(Calculator!E23,tbSkills!DH3:DJ6,3,FALSE),0),0))&gt;=100,100,(Backdoors!AI12+IF(EE104&gt;=0.45,VLOOKUP(Calculator!E23,tbSkills!DH3:DI6,2,FALSE)+IF(AND(Calculator!B8=TRUE,Backdoors!BI22=TRUE),VLOOKUP(Calculator!E23,tbSkills!DH3:DJ6,3,FALSE),0),0)))/100)),1))*IF(VLOOKUP(A104,tbMoveset!A2:K112,11,FALSE)=TRUE,Backdoors!AC5,1))*EF104,0),"")</f>
        <v>0</v>
      </c>
      <c r="EJ104" s="49">
        <f>VLOOKUP(A104,tbMoveset!A2:G112,7,FALSE)*IFERROR(IF(Backdoors!AI12&gt;=0,1+(IF(Calculator!E40&gt;0,VLOOKUP(Calculator!E40,tbSkills!AI3:AJ5,2,FALSE),Backdoors!AL4)*(IF((Backdoors!AI12+IF(EE104&gt;=0.45,VLOOKUP(Calculator!E23,tbSkills!DH3:DI6,2,FALSE)+IF(AND(Calculator!B8=TRUE,Backdoors!BI22=TRUE),VLOOKUP(Calculator!E23,tbSkills!DH3:DJ6,3,FALSE),0),0))&gt;=100,100,(Backdoors!AI12+IF(EE104&gt;=0.45,VLOOKUP(Calculator!E23,tbSkills!DH3:DI6,2,FALSE)+IF(AND(Calculator!B8=TRUE,Backdoors!BI22=TRUE),VLOOKUP(Calculator!E23,tbSkills!DH3:DJ6,3,FALSE),0),0)))/100)),1),1)</f>
        <v>0.4</v>
      </c>
      <c r="EK104" s="87">
        <f t="shared" si="70"/>
        <v>0</v>
      </c>
      <c r="EL104" s="86" t="str">
        <f>IFERROR(IF(VLOOKUP(A104,tbMoveset!A2:B112,2,FALSE)="Sever",Backdoors!AY23/100,IF(VLOOKUP(A104,tbMoveset!A2:B112,2,FALSE)="Blunt",Backdoors!AZ23/100,Backdoors!BA23/100)),"")</f>
        <v/>
      </c>
      <c r="EM104" s="49">
        <f>IFERROR(IF(VLOOKUP(tbMoveset!A104,tbMoveset!A2:H112,8,FALSE)="Other",IF(VLOOKUP(tbMoveset!A104,tbMoveset!A2:I112,9,FALSE)="Fire",Backdoors!BB23,IF(VLOOKUP(tbMoveset!A104,tbMoveset!A2:I112,9,FALSE)="Water",Backdoors!BC23,IF(VLOOKUP(tbMoveset!A104,tbMoveset!A2:I112,9,FALSE)="Thunder",Backdoors!BD23,IF(VLOOKUP(tbMoveset!A104,tbMoveset!A2:I112,9,FALSE)="Ice",Backdoors!BE23,IF(VLOOKUP(tbMoveset!A104,tbMoveset!A2:I112,9,FALSE)="Dragon",Backdoors!BF23,Backdoors!BG23)))))/100,Backdoors!BG23/100),"")</f>
        <v>0</v>
      </c>
      <c r="EN104" s="49">
        <f>IFERROR(IF(VLOOKUP(A104,tbMoveset!A2:J112,10,FALSE)=TRUE,IF((Backdoors!AI12+IF(EL104&gt;=0.45,VLOOKUP(Calculator!E23,tbSkills!DH3:DI6,2,FALSE)+IF(AND(Calculator!B8=TRUE,Backdoors!BI23=TRUE),VLOOKUP(Calculator!E23,tbSkills!DH3:DJ6,3,FALSE),0),0))&gt;=0,1+(Backdoors!AL2*(IF((Backdoors!AI12+IF(EL104&gt;=0.45,VLOOKUP(Calculator!E23,tbSkills!DH3:DI6,2,FALSE)+IF(AND(Calculator!B8=TRUE,Backdoors!BI23=TRUE),VLOOKUP(Calculator!E23,tbSkills!DH3:DJ6,3,FALSE),0),0))&gt;=100,100,(Backdoors!AI12+IF(EL104&gt;=0.45,VLOOKUP(Calculator!E23,tbSkills!DH3:DI6,2,FALSE)+IF(AND(Calculator!B8=TRUE,Backdoors!BI23=TRUE),VLOOKUP(Calculator!E23,tbSkills!DH3:DJ6,3,FALSE),0),0)))/100)),(1-(0.25*((-Backdoors!AI12-IF(EL104&gt;=0.45,VLOOKUP(Calculator!E23,tbSkills!DH3:DI6,2,FALSE)+IF(AND(Calculator!B8=TRUE,Backdoors!BI23=TRUE),VLOOKUP(Calculator!E23,tbSkills!DH3:DJ6,3,FALSE),0),0))/100)))),1),"")</f>
        <v>1</v>
      </c>
      <c r="EO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L104)*EN104)*(VLOOKUP(A104,tbMoveset!A2:C112,3,FALSE)/100)*IF(VLOOKUP(A104,tbMoveset!A2:B112,2,FALSE)="Projectile",Backdoors!N10,Backdoors!N9),0),"")</f>
        <v/>
      </c>
      <c r="EP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L104&gt;=0.45,VLOOKUP(Calculator!E23,tbSkills!DH3:DI6,2,FALSE)+IF(AND(Calculator!B8=TRUE,Backdoors!BI23=TRUE),VLOOKUP(Calculator!E23,tbSkills!DH3:DJ6,3,FALSE),0),0))&gt;=100,100,(Backdoors!AI12+IF(EL104&gt;=0.45,VLOOKUP(Calculator!E23,tbSkills!DH3:DI6,2,FALSE)+IF(AND(Calculator!B8=TRUE,Backdoors!BI23=TRUE),VLOOKUP(Calculator!E23,tbSkills!DH3:DJ6,3,FALSE),0),0)))/100)),1))*IF(VLOOKUP(A104,tbMoveset!A2:K112,11,FALSE)=TRUE,Backdoors!AC5,1))*EM104,0),"")</f>
        <v>0</v>
      </c>
      <c r="EQ104" s="49">
        <f>VLOOKUP(A104,tbMoveset!A2:G112,7,FALSE)*IFERROR(IF(Backdoors!AI12&gt;=0,1+(IF(Calculator!E40&gt;0,VLOOKUP(Calculator!E40,tbSkills!AI3:AJ5,2,FALSE),Backdoors!AL4)*(IF((Backdoors!AI12+IF(EL104&gt;=0.45,VLOOKUP(Calculator!E23,tbSkills!DH3:DI6,2,FALSE)+IF(AND(Calculator!B8=TRUE,Backdoors!BI23=TRUE),VLOOKUP(Calculator!E23,tbSkills!DH3:DJ6,3,FALSE),0),0))&gt;=100,100,(Backdoors!AI12+IF(EL104&gt;=0.45,VLOOKUP(Calculator!E23,tbSkills!DH3:DI6,2,FALSE)+IF(AND(Calculator!B8=TRUE,Backdoors!BI23=TRUE),VLOOKUP(Calculator!E23,tbSkills!DH3:DJ6,3,FALSE),0),0)))/100)),1),1)</f>
        <v>0.4</v>
      </c>
      <c r="ER104" s="87">
        <f t="shared" si="71"/>
        <v>0</v>
      </c>
      <c r="ES104" s="86" t="str">
        <f>IFERROR(IF(VLOOKUP(A104,tbMoveset!A2:B112,2,FALSE)="Sever",Backdoors!AY24/100,IF(VLOOKUP(A104,tbMoveset!A2:B112,2,FALSE)="Blunt",Backdoors!AZ24/100,Backdoors!BA24/100)),"")</f>
        <v/>
      </c>
      <c r="ET104" s="49">
        <f>IFERROR(IF(VLOOKUP(tbMoveset!A104,tbMoveset!A2:H112,8,FALSE)="Other",IF(VLOOKUP(tbMoveset!A104,tbMoveset!A2:I112,9,FALSE)="Fire",Backdoors!BB24,IF(VLOOKUP(tbMoveset!A104,tbMoveset!A2:I112,9,FALSE)="Water",Backdoors!BC24,IF(VLOOKUP(tbMoveset!A104,tbMoveset!A2:I112,9,FALSE)="Thunder",Backdoors!BD24,IF(VLOOKUP(tbMoveset!A104,tbMoveset!A2:I112,9,FALSE)="Ice",Backdoors!BE24,IF(VLOOKUP(tbMoveset!A104,tbMoveset!A2:I112,9,FALSE)="Dragon",Backdoors!BF24,Backdoors!BG24)))))/100,Backdoors!BG24/100),"")</f>
        <v>0</v>
      </c>
      <c r="EU104" s="49">
        <f>IFERROR(IF(VLOOKUP(A104,tbMoveset!A2:J112,10,FALSE)=TRUE,IF((Backdoors!AI12+IF(ES104&gt;=0.45,VLOOKUP(Calculator!E23,tbSkills!DH3:DI6,2,FALSE)+IF(AND(Calculator!B8=TRUE,Backdoors!BI24=TRUE),VLOOKUP(Calculator!E23,tbSkills!DH3:DJ6,3,FALSE),0),0))&gt;=0,1+(Backdoors!AL2*(IF((Backdoors!AI12+IF(ES104&gt;=0.45,VLOOKUP(Calculator!E23,tbSkills!DH3:DI6,2,FALSE)+IF(AND(Calculator!B8=TRUE,Backdoors!BI24=TRUE),VLOOKUP(Calculator!E23,tbSkills!DH3:DJ6,3,FALSE),0),0))&gt;=100,100,(Backdoors!AI12+IF(ES104&gt;=0.45,VLOOKUP(Calculator!E23,tbSkills!DH3:DI6,2,FALSE)+IF(AND(Calculator!B8=TRUE,Backdoors!BI24=TRUE),VLOOKUP(Calculator!E23,tbSkills!DH3:DJ6,3,FALSE),0),0)))/100)),(1-(0.25*((-Backdoors!AI12-IF(ES104&gt;=0.45,VLOOKUP(Calculator!E23,tbSkills!DH3:DI6,2,FALSE)+IF(AND(Calculator!B8=TRUE,Backdoors!BI24=TRUE),VLOOKUP(Calculator!E23,tbSkills!DH3:DJ6,3,FALSE),0),0))/100)))),1),"")</f>
        <v>1</v>
      </c>
      <c r="EV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S104)*EU104)*(VLOOKUP(A104,tbMoveset!A2:C112,3,FALSE)/100)*IF(VLOOKUP(A104,tbMoveset!A2:B112,2,FALSE)="Projectile",Backdoors!N10,Backdoors!N9),0),"")</f>
        <v/>
      </c>
      <c r="EW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S104&gt;=0.45,VLOOKUP(Calculator!E23,tbSkills!DH3:DI6,2,FALSE)+IF(AND(Calculator!B8=TRUE,Backdoors!BI24=TRUE),VLOOKUP(Calculator!E23,tbSkills!DH3:DJ6,3,FALSE),0),0))&gt;=100,100,(Backdoors!AI12+IF(ES104&gt;=0.45,VLOOKUP(Calculator!E23,tbSkills!DH3:DI6,2,FALSE)+IF(AND(Calculator!B8=TRUE,Backdoors!BI24=TRUE),VLOOKUP(Calculator!E23,tbSkills!DH3:DJ6,3,FALSE),0),0)))/100)),1))*IF(VLOOKUP(A104,tbMoveset!A2:K112,11,FALSE)=TRUE,Backdoors!AC5,1))*ET104,0),"")</f>
        <v>0</v>
      </c>
      <c r="EX104" s="49">
        <f>VLOOKUP(A104,tbMoveset!A2:G112,7,FALSE)*IFERROR(IF(Backdoors!AI12&gt;=0,1+(IF(Calculator!E40&gt;0,VLOOKUP(Calculator!E40,tbSkills!AI3:AJ5,2,FALSE),Backdoors!AL4)*(IF((Backdoors!AI12+IF(ES104&gt;=0.45,VLOOKUP(Calculator!E23,tbSkills!DH3:DI6,2,FALSE)+IF(AND(Calculator!B8=TRUE,Backdoors!BI24=TRUE),VLOOKUP(Calculator!E23,tbSkills!DH3:DJ6,3,FALSE),0),0))&gt;=100,100,(Backdoors!AI12+IF(ES104&gt;=0.45,VLOOKUP(Calculator!E23,tbSkills!DH3:DI6,2,FALSE)+IF(AND(Calculator!B8=TRUE,Backdoors!BI24=TRUE),VLOOKUP(Calculator!E23,tbSkills!DH3:DJ6,3,FALSE),0),0)))/100)),1),1)</f>
        <v>0.4</v>
      </c>
      <c r="EY104" s="87">
        <f t="shared" si="72"/>
        <v>0</v>
      </c>
      <c r="EZ104" s="86" t="str">
        <f>IFERROR(IF(VLOOKUP(A104,tbMoveset!A2:B112,2,FALSE)="Sever",Backdoors!AY25/100,IF(VLOOKUP(A104,tbMoveset!A2:B112,2,FALSE)="Blunt",Backdoors!AZ25/100,Backdoors!BA25/100)),"")</f>
        <v/>
      </c>
      <c r="FA104" s="49">
        <f>IFERROR(IF(VLOOKUP(tbMoveset!A104,tbMoveset!A2:H112,8,FALSE)="Other",IF(VLOOKUP(tbMoveset!A104,tbMoveset!A2:I112,9,FALSE)="Fire",Backdoors!BB25,IF(VLOOKUP(tbMoveset!A104,tbMoveset!A2:I112,9,FALSE)="Water",Backdoors!BC25,IF(VLOOKUP(tbMoveset!A104,tbMoveset!A2:I112,9,FALSE)="Thunder",Backdoors!BD25,IF(VLOOKUP(tbMoveset!A104,tbMoveset!A2:I112,9,FALSE)="Ice",Backdoors!BE25,IF(VLOOKUP(tbMoveset!A104,tbMoveset!A2:I112,9,FALSE)="Dragon",Backdoors!BF25,Backdoors!BG25)))))/100,Backdoors!BG25/100),"")</f>
        <v>0</v>
      </c>
      <c r="FB104" s="49">
        <f>IFERROR(IF(VLOOKUP(A104,tbMoveset!A2:J112,10,FALSE)=TRUE,IF((Backdoors!AI12+IF(EZ104&gt;=0.45,VLOOKUP(Calculator!E23,tbSkills!DH3:DI6,2,FALSE)+IF(AND(Calculator!B8=TRUE,Backdoors!BI25=TRUE),VLOOKUP(Calculator!E23,tbSkills!DH3:DJ6,3,FALSE),0),0))&gt;=0,1+(Backdoors!AL2*(IF((Backdoors!AI12+IF(EZ104&gt;=0.45,VLOOKUP(Calculator!E23,tbSkills!DH3:DI6,2,FALSE)+IF(AND(Calculator!B8=TRUE,Backdoors!BI25=TRUE),VLOOKUP(Calculator!E23,tbSkills!DH3:DJ6,3,FALSE),0),0))&gt;=100,100,(Backdoors!AI12+IF(EZ104&gt;=0.45,VLOOKUP(Calculator!E23,tbSkills!DH3:DI6,2,FALSE)+IF(AND(Calculator!B8=TRUE,Backdoors!BI25=TRUE),VLOOKUP(Calculator!E23,tbSkills!DH3:DJ6,3,FALSE),0),0)))/100)),(1-(0.25*((-Backdoors!AI12-IF(EZ104&gt;=0.45,VLOOKUP(Calculator!E23,tbSkills!DH3:DI6,2,FALSE)+IF(AND(Calculator!B8=TRUE,Backdoors!BI25=TRUE),VLOOKUP(Calculator!E23,tbSkills!DH3:DJ6,3,FALSE),0),0))/100)))),1),"")</f>
        <v>1</v>
      </c>
      <c r="FC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Z104)*FB104)*(VLOOKUP(A104,tbMoveset!A2:C112,3,FALSE)/100)*IF(VLOOKUP(A104,tbMoveset!A2:B112,2,FALSE)="Projectile",Backdoors!N10,Backdoors!N9),0),"")</f>
        <v/>
      </c>
      <c r="FD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Z104&gt;=0.45,VLOOKUP(Calculator!E23,tbSkills!DH3:DI6,2,FALSE)+IF(AND(Calculator!B8=TRUE,Backdoors!BI25=TRUE),VLOOKUP(Calculator!E23,tbSkills!DH3:DJ6,3,FALSE),0),0))&gt;=100,100,(Backdoors!AI12+IF(EZ104&gt;=0.45,VLOOKUP(Calculator!E23,tbSkills!DH3:DI6,2,FALSE)+IF(AND(Calculator!B8=TRUE,Backdoors!BI25=TRUE),VLOOKUP(Calculator!E23,tbSkills!DH3:DJ6,3,FALSE),0),0)))/100)),1))*IF(VLOOKUP(A104,tbMoveset!A2:K112,11,FALSE)=TRUE,Backdoors!AC5,1))*FA104,0),"")</f>
        <v>0</v>
      </c>
      <c r="FE104" s="49">
        <f>VLOOKUP(A104,tbMoveset!A2:G112,7,FALSE)*IFERROR(IF(Backdoors!AI12&gt;=0,1+(IF(Calculator!E40&gt;0,VLOOKUP(Calculator!E40,tbSkills!AI3:AJ5,2,FALSE),Backdoors!AL4)*(IF((Backdoors!AI12+IF(EZ104&gt;=0.45,VLOOKUP(Calculator!E23,tbSkills!DH3:DI6,2,FALSE)+IF(AND(Calculator!B8=TRUE,Backdoors!BI25=TRUE),VLOOKUP(Calculator!E23,tbSkills!DH3:DJ6,3,FALSE),0),0))&gt;=100,100,(Backdoors!AI12+IF(EZ104&gt;=0.45,VLOOKUP(Calculator!E23,tbSkills!DH3:DI6,2,FALSE)+IF(AND(Calculator!B8=TRUE,Backdoors!BI25=TRUE),VLOOKUP(Calculator!E23,tbSkills!DH3:DJ6,3,FALSE),0),0)))/100)),1),1)</f>
        <v>0.4</v>
      </c>
      <c r="FF104" s="87">
        <f t="shared" si="73"/>
        <v>0</v>
      </c>
      <c r="FG104" s="86" t="str">
        <f>IFERROR(IF(VLOOKUP(A104,tbMoveset!A2:B112,2,FALSE)="Sever",Backdoors!AY26/100,IF(VLOOKUP(A104,tbMoveset!A2:B112,2,FALSE)="Blunt",Backdoors!AZ26/100,Backdoors!BA26/100)),"")</f>
        <v/>
      </c>
      <c r="FH104" s="49">
        <f>IFERROR(IF(VLOOKUP(tbMoveset!A104,tbMoveset!A2:H112,8,FALSE)="Other",IF(VLOOKUP(tbMoveset!A104,tbMoveset!A2:I112,9,FALSE)="Fire",Backdoors!BB26,IF(VLOOKUP(tbMoveset!A104,tbMoveset!A2:I112,9,FALSE)="Water",Backdoors!BC26,IF(VLOOKUP(tbMoveset!A104,tbMoveset!A2:I112,9,FALSE)="Thunder",Backdoors!BD26,IF(VLOOKUP(tbMoveset!A104,tbMoveset!A2:I112,9,FALSE)="Ice",Backdoors!BE26,IF(VLOOKUP(tbMoveset!A104,tbMoveset!A2:I112,9,FALSE)="Dragon",Backdoors!BF26,Backdoors!BG26)))))/100,Backdoors!BG26/100),"")</f>
        <v>0</v>
      </c>
      <c r="FI104" s="49">
        <f>IFERROR(IF(VLOOKUP(A104,tbMoveset!A2:J112,10,FALSE)=TRUE,IF((Backdoors!AI12+IF(FG104&gt;=0.45,VLOOKUP(Calculator!E23,tbSkills!DH3:DI6,2,FALSE)+IF(AND(Calculator!B8=TRUE,Backdoors!BI26=TRUE),VLOOKUP(Calculator!E23,tbSkills!DH3:DJ6,3,FALSE),0),0))&gt;=0,1+(Backdoors!AL2*(IF((Backdoors!AI12+IF(FG104&gt;=0.45,VLOOKUP(Calculator!E23,tbSkills!DH3:DI6,2,FALSE)+IF(AND(Calculator!B8=TRUE,Backdoors!BI26=TRUE),VLOOKUP(Calculator!E23,tbSkills!DH3:DJ6,3,FALSE),0),0))&gt;=100,100,(Backdoors!AI12+IF(FG104&gt;=0.45,VLOOKUP(Calculator!E23,tbSkills!DH3:DI6,2,FALSE)+IF(AND(Calculator!B8=TRUE,Backdoors!BI26=TRUE),VLOOKUP(Calculator!E23,tbSkills!DH3:DJ6,3,FALSE),0),0)))/100)),(1-(0.25*((-Backdoors!AI12-IF(FG104&gt;=0.45,VLOOKUP(Calculator!E23,tbSkills!DH3:DI6,2,FALSE)+IF(AND(Calculator!B8=TRUE,Backdoors!BI26=TRUE),VLOOKUP(Calculator!E23,tbSkills!DH3:DJ6,3,FALSE),0),0))/100)))),1),"")</f>
        <v>1</v>
      </c>
      <c r="FJ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FG104)*FI104)*(VLOOKUP(A104,tbMoveset!A2:C112,3,FALSE)/100)*IF(VLOOKUP(A104,tbMoveset!A2:B112,2,FALSE)="Projectile",Backdoors!N10,Backdoors!N9),0),"")</f>
        <v/>
      </c>
      <c r="FK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FG104&gt;=0.45,VLOOKUP(Calculator!E23,tbSkills!DH3:DI6,2,FALSE)+IF(AND(Calculator!B8=TRUE,Backdoors!BI26=TRUE),VLOOKUP(Calculator!E23,tbSkills!DH3:DJ6,3,FALSE),0),0))&gt;=100,100,(Backdoors!AI12+IF(FG104&gt;=0.45,VLOOKUP(Calculator!E23,tbSkills!DH3:DI6,2,FALSE)+IF(AND(Calculator!B8=TRUE,Backdoors!BI26=TRUE),VLOOKUP(Calculator!E23,tbSkills!DH3:DJ6,3,FALSE),0),0)))/100)),1))*IF(VLOOKUP(A104,tbMoveset!A2:K112,11,FALSE)=TRUE,Backdoors!AC5,1))*FH104,0),"")</f>
        <v>0</v>
      </c>
      <c r="FL104" s="49">
        <f>VLOOKUP(A104,tbMoveset!A2:G112,7,FALSE)*IFERROR(IF(Backdoors!AI12&gt;=0,1+(IF(Calculator!E40&gt;0,VLOOKUP(Calculator!E40,tbSkills!AI3:AJ5,2,FALSE),Backdoors!AL4)*(IF((Backdoors!AI12+IF(FG104&gt;=0.45,VLOOKUP(Calculator!E23,tbSkills!DH3:DI6,2,FALSE)+IF(AND(Calculator!B8=TRUE,Backdoors!BI26=TRUE),VLOOKUP(Calculator!E23,tbSkills!DH3:DJ6,3,FALSE),0),0))&gt;=100,100,(Backdoors!AI12+IF(FG104&gt;=0.45,VLOOKUP(Calculator!E23,tbSkills!DH3:DI6,2,FALSE)+IF(AND(Calculator!B8=TRUE,Backdoors!BI26=TRUE),VLOOKUP(Calculator!E23,tbSkills!DH3:DJ6,3,FALSE),0),0)))/100)),1),1)</f>
        <v>0.4</v>
      </c>
      <c r="FM104" s="87">
        <f t="shared" si="74"/>
        <v>0</v>
      </c>
      <c r="FN104" s="86" t="str">
        <f>IFERROR(IF(VLOOKUP(A104,tbMoveset!A2:B112,2,FALSE)="Sever",Backdoors!AY27/100,IF(VLOOKUP(A104,tbMoveset!A2:B112,2,FALSE)="Blunt",Backdoors!AZ27/100,Backdoors!BA27/100)),"")</f>
        <v/>
      </c>
      <c r="FO104" s="49">
        <f>IFERROR(IF(VLOOKUP(tbMoveset!A104,tbMoveset!A2:H112,8,FALSE)="Other",IF(VLOOKUP(tbMoveset!A104,tbMoveset!A2:I112,9,FALSE)="Fire",Backdoors!BB27,IF(VLOOKUP(tbMoveset!A104,tbMoveset!A2:I112,9,FALSE)="Water",Backdoors!BC27,IF(VLOOKUP(tbMoveset!A104,tbMoveset!A2:I112,9,FALSE)="Thunder",Backdoors!BD27,IF(VLOOKUP(tbMoveset!A104,tbMoveset!A2:I112,9,FALSE)="Ice",Backdoors!BE27,IF(VLOOKUP(tbMoveset!A104,tbMoveset!A2:I112,9,FALSE)="Dragon",Backdoors!BF27,Backdoors!BG27)))))/100,Backdoors!BG27/100),"")</f>
        <v>0</v>
      </c>
      <c r="FP104" s="49">
        <f>IFERROR(IF(VLOOKUP(A104,tbMoveset!A2:J112,10,FALSE)=TRUE,IF((Backdoors!AI12+IF(FN104&gt;=0.45,VLOOKUP(Calculator!E23,tbSkills!DH3:DI6,2,FALSE)+IF(AND(Calculator!B8=TRUE,Backdoors!BI27=TRUE),VLOOKUP(Calculator!E23,tbSkills!DH3:DJ6,3,FALSE),0),0))&gt;=0,1+(Backdoors!AL2*(IF((Backdoors!AI12+IF(FN104&gt;=0.45,VLOOKUP(Calculator!E23,tbSkills!DH3:DI6,2,FALSE)+IF(AND(Calculator!B8=TRUE,Backdoors!BI27=TRUE),VLOOKUP(Calculator!E23,tbSkills!DH3:DJ6,3,FALSE),0),0))&gt;=100,100,(Backdoors!AI12+IF(FN104&gt;=0.45,VLOOKUP(Calculator!E23,tbSkills!DH3:DI6,2,FALSE)+IF(AND(Calculator!B8=TRUE,Backdoors!BI27=TRUE),VLOOKUP(Calculator!E23,tbSkills!DH3:DJ6,3,FALSE),0),0)))/100)),(1-(0.25*((-Backdoors!AI12-IF(FN104&gt;=0.45,VLOOKUP(Calculator!E23,tbSkills!DH3:DI6,2,FALSE)+IF(AND(Calculator!B8=TRUE,Backdoors!BI27=TRUE),VLOOKUP(Calculator!E23,tbSkills!DH3:DJ6,3,FALSE),0),0))/100)))),1),"")</f>
        <v>1</v>
      </c>
      <c r="FQ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FN104)*FP104)*(VLOOKUP(A104,tbMoveset!A2:C112,3,FALSE)/100)*IF(VLOOKUP(A104,tbMoveset!A2:B112,2,FALSE)="Projectile",Backdoors!N10,Backdoors!N9),0),"")</f>
        <v/>
      </c>
      <c r="FR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FN104&gt;=0.45,VLOOKUP(Calculator!E23,tbSkills!DH3:DI6,2,FALSE)+IF(AND(Calculator!B8=TRUE,Backdoors!BI27=TRUE),VLOOKUP(Calculator!E23,tbSkills!DH3:DJ6,3,FALSE),0),0))&gt;=100,100,(Backdoors!AI12+IF(FN104&gt;=0.45,VLOOKUP(Calculator!E23,tbSkills!DH3:DI6,2,FALSE)+IF(AND(Calculator!B8=TRUE,Backdoors!BI27=TRUE),VLOOKUP(Calculator!E23,tbSkills!DH3:DJ6,3,FALSE),0),0)))/100)),1))*IF(VLOOKUP(A104,tbMoveset!A2:K112,11,FALSE)=TRUE,Backdoors!AC5,1))*FO104,0),"")</f>
        <v>0</v>
      </c>
      <c r="FS104" s="49">
        <f>VLOOKUP(A104,tbMoveset!A2:G112,7,FALSE)*IFERROR(IF(Backdoors!AI12&gt;=0,1+(IF(Calculator!E40&gt;0,VLOOKUP(Calculator!E40,tbSkills!AI3:AJ5,2,FALSE),Backdoors!AL4)*(IF((Backdoors!AI12+IF(FN104&gt;=0.45,VLOOKUP(Calculator!E23,tbSkills!DH3:DI6,2,FALSE)+IF(AND(Calculator!B8=TRUE,Backdoors!BI27=TRUE),VLOOKUP(Calculator!E23,tbSkills!DH3:DJ6,3,FALSE),0),0))&gt;=100,100,(Backdoors!AI12+IF(FN104&gt;=0.45,VLOOKUP(Calculator!E23,tbSkills!DH3:DI6,2,FALSE)+IF(AND(Calculator!B8=TRUE,Backdoors!BI27=TRUE),VLOOKUP(Calculator!E23,tbSkills!DH3:DJ6,3,FALSE),0),0)))/100)),1),1)</f>
        <v>0.4</v>
      </c>
      <c r="FT104" s="87">
        <f t="shared" si="75"/>
        <v>0</v>
      </c>
      <c r="FU104" s="86" t="str">
        <f>IFERROR(IF(VLOOKUP(A104,tbMoveset!A2:B112,2,FALSE)="Sever",Backdoors!AY28/100,IF(VLOOKUP(A104,tbMoveset!A2:B112,2,FALSE)="Blunt",Backdoors!AZ28/100,Backdoors!BA28/100)),"")</f>
        <v/>
      </c>
      <c r="FV104" s="49">
        <f>IFERROR(IF(VLOOKUP(tbMoveset!A104,tbMoveset!A2:H112,8,FALSE)="Other",IF(VLOOKUP(tbMoveset!A104,tbMoveset!A2:I112,9,FALSE)="Fire",Backdoors!BB28,IF(VLOOKUP(tbMoveset!A104,tbMoveset!A2:I112,9,FALSE)="Water",Backdoors!BC28,IF(VLOOKUP(tbMoveset!A104,tbMoveset!A2:I112,9,FALSE)="Thunder",Backdoors!BD28,IF(VLOOKUP(tbMoveset!A104,tbMoveset!A2:I112,9,FALSE)="Ice",Backdoors!BE28,IF(VLOOKUP(tbMoveset!A104,tbMoveset!A2:I112,9,FALSE)="Dragon",Backdoors!BF28,Backdoors!BG28)))))/100,Backdoors!BG28/100),"")</f>
        <v>0</v>
      </c>
      <c r="FW104" s="49">
        <f>IFERROR(IF(VLOOKUP(A104,tbMoveset!A2:J112,10,FALSE)=TRUE,IF((Backdoors!AI12+IF(FU104&gt;=0.45,VLOOKUP(Calculator!E23,tbSkills!DH3:DI6,2,FALSE)+IF(AND(Calculator!B8=TRUE,Backdoors!BI28=TRUE),VLOOKUP(Calculator!E23,tbSkills!DH3:DJ6,3,FALSE),0),0))&gt;=0,1+(Backdoors!AL2*(IF((Backdoors!AI12+IF(FU104&gt;=0.45,VLOOKUP(Calculator!E23,tbSkills!DH3:DI6,2,FALSE)+IF(AND(Calculator!B8=TRUE,Backdoors!BI28=TRUE),VLOOKUP(Calculator!E23,tbSkills!DH3:DJ6,3,FALSE),0),0))&gt;=100,100,(Backdoors!AI12+IF(FU104&gt;=0.45,VLOOKUP(Calculator!E23,tbSkills!DH3:DI6,2,FALSE)+IF(AND(Calculator!B8=TRUE,Backdoors!BI28=TRUE),VLOOKUP(Calculator!E23,tbSkills!DH3:DJ6,3,FALSE),0),0)))/100)),(1-(0.25*((-Backdoors!AI12-IF(FU104&gt;=0.45,VLOOKUP(Calculator!E23,tbSkills!DH3:DI6,2,FALSE)+IF(AND(Calculator!B8=TRUE,Backdoors!BI28=TRUE),VLOOKUP(Calculator!E23,tbSkills!DH3:DJ6,3,FALSE),0),0))/100)))),1),"")</f>
        <v>1</v>
      </c>
      <c r="FX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FU104)*FW104)*(VLOOKUP(A104,tbMoveset!A2:C112,3,FALSE)/100)*IF(VLOOKUP(A104,tbMoveset!A2:B112,2,FALSE)="Projectile",Backdoors!N10,Backdoors!N9),0),"")</f>
        <v/>
      </c>
      <c r="FY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FU104&gt;=0.45,VLOOKUP(Calculator!E23,tbSkills!DH3:DI6,2,FALSE)+IF(AND(Calculator!B8=TRUE,Backdoors!BI28=TRUE),VLOOKUP(Calculator!E23,tbSkills!DH3:DJ6,3,FALSE),0),0))&gt;=100,100,(Backdoors!AI12+IF(FU104&gt;=0.45,VLOOKUP(Calculator!E23,tbSkills!DH3:DI6,2,FALSE)+IF(AND(Calculator!B8=TRUE,Backdoors!BI28=TRUE),VLOOKUP(Calculator!E23,tbSkills!DH3:DJ6,3,FALSE),0),0)))/100)),1))*IF(VLOOKUP(A104,tbMoveset!A2:K112,11,FALSE)=TRUE,Backdoors!AC5,1))*FV104,0),"")</f>
        <v>0</v>
      </c>
      <c r="FZ104" s="49">
        <f>VLOOKUP(A104,tbMoveset!A2:G112,7,FALSE)*IFERROR(IF(Backdoors!AI12&gt;=0,1+(IF(Calculator!E40&gt;0,VLOOKUP(Calculator!E40,tbSkills!AI3:AJ5,2,FALSE),Backdoors!AL4)*(IF((Backdoors!AI12+IF(FU104&gt;=0.45,VLOOKUP(Calculator!E23,tbSkills!DH3:DI6,2,FALSE)+IF(AND(Calculator!B8=TRUE,Backdoors!BI28=TRUE),VLOOKUP(Calculator!E23,tbSkills!DH3:DJ6,3,FALSE),0),0))&gt;=100,100,(Backdoors!AI12+IF(FU104&gt;=0.45,VLOOKUP(Calculator!E23,tbSkills!DH3:DI6,2,FALSE)+IF(AND(Calculator!B8=TRUE,Backdoors!BI28=TRUE),VLOOKUP(Calculator!E23,tbSkills!DH3:DJ6,3,FALSE),0),0)))/100)),1),1)</f>
        <v>0.4</v>
      </c>
      <c r="GA104" s="87">
        <f t="shared" si="76"/>
        <v>0</v>
      </c>
      <c r="GB104" s="86" t="str">
        <f>IFERROR(IF(VLOOKUP(A104,tbMoveset!A2:B112,2,FALSE)="Sever",Backdoors!AY29/100,IF(VLOOKUP(A104,tbMoveset!A2:B112,2,FALSE)="Blunt",Backdoors!AZ29/100,Backdoors!BA29/100)),"")</f>
        <v/>
      </c>
      <c r="GC104" s="49">
        <f>IFERROR(IF(VLOOKUP(tbMoveset!A104,tbMoveset!A2:H112,8,FALSE)="Other",IF(VLOOKUP(tbMoveset!A104,tbMoveset!A2:I112,9,FALSE)="Fire",Backdoors!BB29,IF(VLOOKUP(tbMoveset!A104,tbMoveset!A2:I112,9,FALSE)="Water",Backdoors!BC29,IF(VLOOKUP(tbMoveset!A104,tbMoveset!A2:I112,9,FALSE)="Thunder",Backdoors!BD29,IF(VLOOKUP(tbMoveset!A104,tbMoveset!A2:I112,9,FALSE)="Ice",Backdoors!BE29,IF(VLOOKUP(tbMoveset!A104,tbMoveset!A2:I112,9,FALSE)="Dragon",Backdoors!BF29,Backdoors!BG29)))))/100,Backdoors!BG29/100),"")</f>
        <v>0</v>
      </c>
      <c r="GD104" s="49">
        <f>IFERROR(IF(VLOOKUP(A104,tbMoveset!A2:J112,10,FALSE)=TRUE,IF((Backdoors!AI12+IF(GB104&gt;=0.45,VLOOKUP(Calculator!E23,tbSkills!DH3:DI6,2,FALSE)+IF(AND(Calculator!B8=TRUE,Backdoors!BI29=TRUE),VLOOKUP(Calculator!E23,tbSkills!DH3:DJ6,3,FALSE),0),0))&gt;=0,1+(Backdoors!AL2*(IF((Backdoors!AI12+IF(GB104&gt;=0.45,VLOOKUP(Calculator!E23,tbSkills!DH3:DI6,2,FALSE)+IF(AND(Calculator!B8=TRUE,Backdoors!BI29=TRUE),VLOOKUP(Calculator!E23,tbSkills!DH3:DJ6,3,FALSE),0),0))&gt;=100,100,(Backdoors!AI12+IF(GB104&gt;=0.45,VLOOKUP(Calculator!E23,tbSkills!DH3:DI6,2,FALSE)+IF(AND(Calculator!B8=TRUE,Backdoors!BI29=TRUE),VLOOKUP(Calculator!E23,tbSkills!DH3:DJ6,3,FALSE),0),0)))/100)),(1-(0.25*((-Backdoors!AI12-IF(GB104&gt;=0.45,VLOOKUP(Calculator!E23,tbSkills!DH3:DI6,2,FALSE)+IF(AND(Calculator!B8=TRUE,Backdoors!BI29=TRUE),VLOOKUP(Calculator!E23,tbSkills!DH3:DJ6,3,FALSE),0),0))/100)))),1),"")</f>
        <v>1</v>
      </c>
      <c r="GE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B104)*GD104)*(VLOOKUP(A104,tbMoveset!A2:C112,3,FALSE)/100)*IF(VLOOKUP(A104,tbMoveset!A2:B112,2,FALSE)="Projectile",Backdoors!N10,Backdoors!N9),0),"")</f>
        <v/>
      </c>
      <c r="GF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B104&gt;=0.45,VLOOKUP(Calculator!E23,tbSkills!DH3:DI6,2,FALSE)+IF(AND(Calculator!B8=TRUE,Backdoors!BI29=TRUE),VLOOKUP(Calculator!E23,tbSkills!DH3:DJ6,3,FALSE),0),0))&gt;=100,100,(Backdoors!AI12+IF(GB104&gt;=0.45,VLOOKUP(Calculator!E23,tbSkills!DH3:DI6,2,FALSE)+IF(AND(Calculator!B8=TRUE,Backdoors!BI29=TRUE),VLOOKUP(Calculator!E23,tbSkills!DH3:DJ6,3,FALSE),0),0)))/100)),1))*IF(VLOOKUP(A104,tbMoveset!A2:K112,11,FALSE)=TRUE,Backdoors!AC5,1))*GC104,0),"")</f>
        <v>0</v>
      </c>
      <c r="GG104" s="49">
        <f>VLOOKUP(A104,tbMoveset!A2:G112,7,FALSE)*IFERROR(IF(Backdoors!AI12&gt;=0,1+(IF(Calculator!E40&gt;0,VLOOKUP(Calculator!E40,tbSkills!AI3:AJ5,2,FALSE),Backdoors!AL4)*(IF((Backdoors!AI12+IF(GB104&gt;=0.45,VLOOKUP(Calculator!E23,tbSkills!DH3:DI6,2,FALSE)+IF(AND(Calculator!B8=TRUE,Backdoors!BI29=TRUE),VLOOKUP(Calculator!E23,tbSkills!DH3:DJ6,3,FALSE),0),0))&gt;=100,100,(Backdoors!AI12+IF(GB104&gt;=0.45,VLOOKUP(Calculator!E23,tbSkills!DH3:DI6,2,FALSE)+IF(AND(Calculator!B8=TRUE,Backdoors!BI29=TRUE),VLOOKUP(Calculator!E23,tbSkills!DH3:DJ6,3,FALSE),0),0)))/100)),1),1)</f>
        <v>0.4</v>
      </c>
      <c r="GH104" s="87">
        <f t="shared" si="77"/>
        <v>0</v>
      </c>
      <c r="GI104" s="86" t="str">
        <f>IFERROR(IF(VLOOKUP(A104,tbMoveset!A2:B112,2,FALSE)="Sever",Backdoors!AY30/100,IF(VLOOKUP(A104,tbMoveset!A2:B112,2,FALSE)="Blunt",Backdoors!AZ30/100,Backdoors!BA30/100)),"")</f>
        <v/>
      </c>
      <c r="GJ104" s="49">
        <f>IFERROR(IF(VLOOKUP(tbMoveset!A104,tbMoveset!A2:H112,8,FALSE)="Other",IF(VLOOKUP(tbMoveset!A104,tbMoveset!A2:I112,9,FALSE)="Fire",Backdoors!BB30,IF(VLOOKUP(tbMoveset!A104,tbMoveset!A2:I112,9,FALSE)="Water",Backdoors!BC30,IF(VLOOKUP(tbMoveset!A104,tbMoveset!A2:I112,9,FALSE)="Thunder",Backdoors!BD30,IF(VLOOKUP(tbMoveset!A104,tbMoveset!A2:I112,9,FALSE)="Ice",Backdoors!BE30,IF(VLOOKUP(tbMoveset!A104,tbMoveset!A2:I112,9,FALSE)="Dragon",Backdoors!BF30,Backdoors!BG30)))))/100,Backdoors!BG30/100),"")</f>
        <v>0</v>
      </c>
      <c r="GK104" s="49">
        <f>IFERROR(IF(VLOOKUP(A104,tbMoveset!A2:J112,10,FALSE)=TRUE,IF((Backdoors!AI12+IF(GI104&gt;=0.45,VLOOKUP(Calculator!E23,tbSkills!DH3:DI6,2,FALSE)+IF(AND(Calculator!B8=TRUE,Backdoors!BI30=TRUE),VLOOKUP(Calculator!E23,tbSkills!DH3:DJ6,3,FALSE),0),0))&gt;=0,1+(Backdoors!AL2*(IF((Backdoors!AI12+IF(GI104&gt;=0.45,VLOOKUP(Calculator!E23,tbSkills!DH3:DI6,2,FALSE)+IF(AND(Calculator!B8=TRUE,Backdoors!BI30=TRUE),VLOOKUP(Calculator!E23,tbSkills!DH3:DJ6,3,FALSE),0),0))&gt;=100,100,(Backdoors!AI12+IF(GI104&gt;=0.45,VLOOKUP(Calculator!E23,tbSkills!DH3:DI6,2,FALSE)+IF(AND(Calculator!B8=TRUE,Backdoors!BI30=TRUE),VLOOKUP(Calculator!E23,tbSkills!DH3:DJ6,3,FALSE),0),0)))/100)),(1-(0.25*((-Backdoors!AI12-IF(GI104&gt;=0.45,VLOOKUP(Calculator!E23,tbSkills!DH3:DI6,2,FALSE)+IF(AND(Calculator!B8=TRUE,Backdoors!BI30=TRUE),VLOOKUP(Calculator!E23,tbSkills!DH3:DJ6,3,FALSE),0),0))/100)))),1),"")</f>
        <v>1</v>
      </c>
      <c r="GL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I104)*GK104)*(VLOOKUP(A104,tbMoveset!A2:C112,3,FALSE)/100)*IF(VLOOKUP(A104,tbMoveset!A2:B112,2,FALSE)="Projectile",Backdoors!N10,Backdoors!N9),0),"")</f>
        <v/>
      </c>
      <c r="GM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I104&gt;=0.45,VLOOKUP(Calculator!E23,tbSkills!DH3:DI6,2,FALSE)+IF(AND(Calculator!B8=TRUE,Backdoors!BI30=TRUE),VLOOKUP(Calculator!E23,tbSkills!DH3:DJ6,3,FALSE),0),0))&gt;=100,100,(Backdoors!AI12+IF(GI104&gt;=0.45,VLOOKUP(Calculator!E23,tbSkills!DH3:DI6,2,FALSE)+IF(AND(Calculator!B8=TRUE,Backdoors!BI30=TRUE),VLOOKUP(Calculator!E23,tbSkills!DH3:DJ6,3,FALSE),0),0)))/100)),1))*IF(VLOOKUP(A104,tbMoveset!A2:K112,11,FALSE)=TRUE,Backdoors!AC5,1))*GJ104,0),"")</f>
        <v>0</v>
      </c>
      <c r="GN104" s="49">
        <f>VLOOKUP(A104,tbMoveset!A2:G112,7,FALSE)*IFERROR(IF(Backdoors!AI12&gt;=0,1+(IF(Calculator!E40&gt;0,VLOOKUP(Calculator!E40,tbSkills!AI3:AJ5,2,FALSE),Backdoors!AL4)*(IF((Backdoors!AI12+IF(GI104&gt;=0.45,VLOOKUP(Calculator!E23,tbSkills!DH3:DI6,2,FALSE)+IF(AND(Calculator!B8=TRUE,Backdoors!BI30=TRUE),VLOOKUP(Calculator!E23,tbSkills!DH3:DJ6,3,FALSE),0),0))&gt;=100,100,(Backdoors!AI12+IF(GI104&gt;=0.45,VLOOKUP(Calculator!E23,tbSkills!DH3:DI6,2,FALSE)+IF(AND(Calculator!B8=TRUE,Backdoors!BI30=TRUE),VLOOKUP(Calculator!E23,tbSkills!DH3:DJ6,3,FALSE),0),0)))/100)),1),1)</f>
        <v>0.4</v>
      </c>
      <c r="GO104" s="87">
        <f t="shared" si="78"/>
        <v>0</v>
      </c>
      <c r="GP104" s="86" t="str">
        <f>IFERROR(IF(VLOOKUP(A104,tbMoveset!A2:B112,2,FALSE)="Sever",Backdoors!AY31/100,IF(VLOOKUP(A104,tbMoveset!A2:B112,2,FALSE)="Blunt",Backdoors!AZ31/100,Backdoors!BA31/100)),"")</f>
        <v/>
      </c>
      <c r="GQ104" s="49">
        <f>IFERROR(IF(VLOOKUP(tbMoveset!A104,tbMoveset!A2:H112,8,FALSE)="Other",IF(VLOOKUP(tbMoveset!A104,tbMoveset!A2:I112,9,FALSE)="Fire",Backdoors!BB31,IF(VLOOKUP(tbMoveset!A104,tbMoveset!A2:I112,9,FALSE)="Water",Backdoors!BC31,IF(VLOOKUP(tbMoveset!A104,tbMoveset!A2:I112,9,FALSE)="Thunder",Backdoors!BD31,IF(VLOOKUP(tbMoveset!A104,tbMoveset!A2:I112,9,FALSE)="Ice",Backdoors!BE31,IF(VLOOKUP(tbMoveset!A104,tbMoveset!A2:I112,9,FALSE)="Dragon",Backdoors!BF31,Backdoors!BG31)))))/100,Backdoors!BG31/100),"")</f>
        <v>0</v>
      </c>
      <c r="GR104" s="49">
        <f>IFERROR(IF(VLOOKUP(A104,tbMoveset!A2:J112,10,FALSE)=TRUE,IF((Backdoors!AI12+IF(GP104&gt;=0.45,VLOOKUP(Calculator!E23,tbSkills!DH3:DI6,2,FALSE)+IF(AND(Calculator!B8=TRUE,Backdoors!BI31=TRUE),VLOOKUP(Calculator!E23,tbSkills!DH3:DJ6,3,FALSE),0),0))&gt;=0,1+(Backdoors!AL2*(IF((Backdoors!AI12+IF(GP104&gt;=0.45,VLOOKUP(Calculator!E23,tbSkills!DH3:DI6,2,FALSE)+IF(AND(Calculator!B8=TRUE,Backdoors!BI31=TRUE),VLOOKUP(Calculator!E23,tbSkills!DH3:DJ6,3,FALSE),0),0))&gt;=100,100,(Backdoors!AI12+IF(GP104&gt;=0.45,VLOOKUP(Calculator!E23,tbSkills!DH3:DI6,2,FALSE)+IF(AND(Calculator!B8=TRUE,Backdoors!BI31=TRUE),VLOOKUP(Calculator!E23,tbSkills!DH3:DJ6,3,FALSE),0),0)))/100)),(1-(0.25*((-Backdoors!AI12-IF(GP104&gt;=0.45,VLOOKUP(Calculator!E23,tbSkills!DH3:DI6,2,FALSE)+IF(AND(Calculator!B8=TRUE,Backdoors!BI31=TRUE),VLOOKUP(Calculator!E23,tbSkills!DH3:DJ6,3,FALSE),0),0))/100)))),1),"")</f>
        <v>1</v>
      </c>
      <c r="GS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P104)*GR104)*(VLOOKUP(A104,tbMoveset!A2:C112,3,FALSE)/100)*IF(VLOOKUP(A104,tbMoveset!A2:B112,2,FALSE)="Projectile",Backdoors!N10,Backdoors!N9),0),"")</f>
        <v/>
      </c>
      <c r="GT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P104&gt;=0.45,VLOOKUP(Calculator!E23,tbSkills!DH3:DI6,2,FALSE)+IF(AND(Calculator!B8=TRUE,Backdoors!BI31=TRUE),VLOOKUP(Calculator!E23,tbSkills!DH3:DJ6,3,FALSE),0),0))&gt;=100,100,(Backdoors!AI12+IF(GP104&gt;=0.45,VLOOKUP(Calculator!E23,tbSkills!DH3:DI6,2,FALSE)+IF(AND(Calculator!B8=TRUE,Backdoors!BI31=TRUE),VLOOKUP(Calculator!E23,tbSkills!DH3:DJ6,3,FALSE),0),0)))/100)),1))*IF(VLOOKUP(A104,tbMoveset!A2:K112,11,FALSE)=TRUE,Backdoors!AC5,1))*GQ104,0),"")</f>
        <v>0</v>
      </c>
      <c r="GU104" s="49">
        <f>VLOOKUP(A104,tbMoveset!A2:G112,7,FALSE)*IFERROR(IF(Backdoors!AI12&gt;=0,1+(IF(Calculator!E40&gt;0,VLOOKUP(Calculator!E40,tbSkills!AI3:AJ5,2,FALSE),Backdoors!AL4)*(IF((Backdoors!AI12+IF(GP104&gt;=0.45,VLOOKUP(Calculator!E23,tbSkills!DH3:DI6,2,FALSE)+IF(AND(Calculator!B8=TRUE,Backdoors!BI31=TRUE),VLOOKUP(Calculator!E23,tbSkills!DH3:DJ6,3,FALSE),0),0))&gt;=100,100,(Backdoors!AI12+IF(GP104&gt;=0.45,VLOOKUP(Calculator!E23,tbSkills!DH3:DI6,2,FALSE)+IF(AND(Calculator!B8=TRUE,Backdoors!BI31=TRUE),VLOOKUP(Calculator!E23,tbSkills!DH3:DJ6,3,FALSE),0),0)))/100)),1),1)</f>
        <v>0.4</v>
      </c>
      <c r="GV104" s="87">
        <f t="shared" si="79"/>
        <v>0</v>
      </c>
      <c r="GW104" s="86" t="str">
        <f>IFERROR(IF(VLOOKUP(A104,tbMoveset!A2:B112,2,FALSE)="Sever",Backdoors!AY32/100,IF(VLOOKUP(A104,tbMoveset!A2:B112,2,FALSE)="Blunt",Backdoors!AZ32/100,Backdoors!BA32/100)),"")</f>
        <v/>
      </c>
      <c r="GX104" s="49">
        <f>IFERROR(IF(VLOOKUP(tbMoveset!A104,tbMoveset!A2:H112,8,FALSE)="Other",IF(VLOOKUP(tbMoveset!A104,tbMoveset!A2:I112,9,FALSE)="Fire",Backdoors!BB32,IF(VLOOKUP(tbMoveset!A104,tbMoveset!A2:I112,9,FALSE)="Water",Backdoors!BC32,IF(VLOOKUP(tbMoveset!A104,tbMoveset!A2:I112,9,FALSE)="Thunder",Backdoors!BD32,IF(VLOOKUP(tbMoveset!A104,tbMoveset!A2:I112,9,FALSE)="Ice",Backdoors!BE32,IF(VLOOKUP(tbMoveset!A104,tbMoveset!A2:I112,9,FALSE)="Dragon",Backdoors!BF32,Backdoors!BG32)))))/100,Backdoors!BG32/100),"")</f>
        <v>0</v>
      </c>
      <c r="GY104" s="49">
        <f>IFERROR(IF(VLOOKUP(A104,tbMoveset!A2:J112,10,FALSE)=TRUE,IF((Backdoors!AI12+IF(GW104&gt;=0.45,VLOOKUP(Calculator!E23,tbSkills!DH3:DI6,2,FALSE)+IF(AND(Calculator!B8=TRUE,Backdoors!BI32=TRUE),VLOOKUP(Calculator!E23,tbSkills!DH3:DJ6,3,FALSE),0),0))&gt;=0,1+(Backdoors!AL2*(IF((Backdoors!AI12+IF(GW104&gt;=0.45,VLOOKUP(Calculator!E23,tbSkills!DH3:DI6,2,FALSE)+IF(AND(Calculator!B8=TRUE,Backdoors!BI32=TRUE),VLOOKUP(Calculator!E23,tbSkills!DH3:DJ6,3,FALSE),0),0))&gt;=100,100,(Backdoors!AI12+IF(GW104&gt;=0.45,VLOOKUP(Calculator!E23,tbSkills!DH3:DI6,2,FALSE)+IF(AND(Calculator!B8=TRUE,Backdoors!BI32=TRUE),VLOOKUP(Calculator!E23,tbSkills!DH3:DJ6,3,FALSE),0),0)))/100)),(1-(0.25*((-Backdoors!AI12-IF(GW104&gt;=0.45,VLOOKUP(Calculator!E23,tbSkills!DH3:DI6,2,FALSE)+IF(AND(Calculator!B8=TRUE,Backdoors!BI32=TRUE),VLOOKUP(Calculator!E23,tbSkills!DH3:DJ6,3,FALSE),0),0))/100)))),1),"")</f>
        <v>1</v>
      </c>
      <c r="GZ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W104)*GY104)*(VLOOKUP(A104,tbMoveset!A2:C112,3,FALSE)/100)*IF(VLOOKUP(A104,tbMoveset!A2:B112,2,FALSE)="Projectile",Backdoors!N10,Backdoors!N9),0),"")</f>
        <v/>
      </c>
      <c r="HA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W104&gt;=0.45,VLOOKUP(Calculator!E23,tbSkills!DH3:DI6,2,FALSE)+IF(AND(Calculator!B8=TRUE,Backdoors!BI32=TRUE),VLOOKUP(Calculator!E23,tbSkills!DH3:DJ6,3,FALSE),0),0))&gt;=100,100,(Backdoors!AI12+IF(GW104&gt;=0.45,VLOOKUP(Calculator!E23,tbSkills!DH3:DI6,2,FALSE)+IF(AND(Calculator!B8=TRUE,Backdoors!BI32=TRUE),VLOOKUP(Calculator!E23,tbSkills!DH3:DJ6,3,FALSE),0),0)))/100)),1))*IF(VLOOKUP(A104,tbMoveset!A2:K112,11,FALSE)=TRUE,Backdoors!AC5,1))*GX104,0),"")</f>
        <v>0</v>
      </c>
      <c r="HB104" s="49">
        <f>VLOOKUP(A104,tbMoveset!A2:G112,7,FALSE)*IFERROR(IF(Backdoors!AI12&gt;=0,1+(IF(Calculator!E40&gt;0,VLOOKUP(Calculator!E40,tbSkills!AI3:AJ5,2,FALSE),Backdoors!AL4)*(IF((Backdoors!AI12+IF(GW104&gt;=0.45,VLOOKUP(Calculator!E23,tbSkills!DH3:DI6,2,FALSE)+IF(AND(Calculator!B8=TRUE,Backdoors!BI32=TRUE),VLOOKUP(Calculator!E23,tbSkills!DH3:DJ6,3,FALSE),0),0))&gt;=100,100,(Backdoors!AI12+IF(GW104&gt;=0.45,VLOOKUP(Calculator!E23,tbSkills!DH3:DI6,2,FALSE)+IF(AND(Calculator!B8=TRUE,Backdoors!BI32=TRUE),VLOOKUP(Calculator!E23,tbSkills!DH3:DJ6,3,FALSE),0),0)))/100)),1),1)</f>
        <v>0.4</v>
      </c>
      <c r="HC104" s="87">
        <f t="shared" si="80"/>
        <v>0</v>
      </c>
      <c r="HD104" s="86" t="str">
        <f>IFERROR(IF(VLOOKUP(A104,tbMoveset!A2:B112,2,FALSE)="Sever",Backdoors!AY33/100,IF(VLOOKUP(A104,tbMoveset!A2:B112,2,FALSE)="Blunt",Backdoors!AZ33/100,Backdoors!BA33/100)),"")</f>
        <v/>
      </c>
      <c r="HE104" s="49">
        <f>IFERROR(IF(VLOOKUP(tbMoveset!A104,tbMoveset!A2:H112,8,FALSE)="Other",IF(VLOOKUP(tbMoveset!A104,tbMoveset!A2:I112,9,FALSE)="Fire",Backdoors!BB33,IF(VLOOKUP(tbMoveset!A104,tbMoveset!A2:I112,9,FALSE)="Water",Backdoors!BC33,IF(VLOOKUP(tbMoveset!A104,tbMoveset!A2:I112,9,FALSE)="Thunder",Backdoors!BD33,IF(VLOOKUP(tbMoveset!A104,tbMoveset!A2:I112,9,FALSE)="Ice",Backdoors!BE33,IF(VLOOKUP(tbMoveset!A104,tbMoveset!A2:I112,9,FALSE)="Dragon",Backdoors!BF33,Backdoors!BG33)))))/100,Backdoors!BG33/100),"")</f>
        <v>0</v>
      </c>
      <c r="HF104" s="49">
        <f>IFERROR(IF(VLOOKUP(A104,tbMoveset!A2:J112,10,FALSE)=TRUE,IF((Backdoors!AI12+IF(HD104&gt;=0.45,VLOOKUP(Calculator!E23,tbSkills!DH3:DI6,2,FALSE)+IF(AND(Calculator!B8=TRUE,Backdoors!BI33=TRUE),VLOOKUP(Calculator!E23,tbSkills!DH3:DJ6,3,FALSE),0),0))&gt;=0,1+(Backdoors!AL2*(IF((Backdoors!AI12+IF(HD104&gt;=0.45,VLOOKUP(Calculator!E23,tbSkills!DH3:DI6,2,FALSE)+IF(AND(Calculator!B8=TRUE,Backdoors!BI33=TRUE),VLOOKUP(Calculator!E23,tbSkills!DH3:DJ6,3,FALSE),0),0))&gt;=100,100,(Backdoors!AI12+IF(HD104&gt;=0.45,VLOOKUP(Calculator!E23,tbSkills!DH3:DI6,2,FALSE)+IF(AND(Calculator!B8=TRUE,Backdoors!BI33=TRUE),VLOOKUP(Calculator!E23,tbSkills!DH3:DJ6,3,FALSE),0),0)))/100)),(1-(0.25*((-Backdoors!AI12-IF(HD104&gt;=0.45,VLOOKUP(Calculator!E23,tbSkills!DH3:DI6,2,FALSE)+IF(AND(Calculator!B8=TRUE,Backdoors!BI33=TRUE),VLOOKUP(Calculator!E23,tbSkills!DH3:DJ6,3,FALSE),0),0))/100)))),1),"")</f>
        <v>1</v>
      </c>
      <c r="HG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D104)*HF104)*(VLOOKUP(A104,tbMoveset!A2:C112,3,FALSE)/100)*IF(VLOOKUP(A104,tbMoveset!A2:B112,2,FALSE)="Projectile",Backdoors!N10,Backdoors!N9),0),"")</f>
        <v/>
      </c>
      <c r="HH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D104&gt;=0.45,VLOOKUP(Calculator!E23,tbSkills!DH3:DI6,2,FALSE)+IF(AND(Calculator!B8=TRUE,Backdoors!BI33=TRUE),VLOOKUP(Calculator!E23,tbSkills!DH3:DJ6,3,FALSE),0),0))&gt;=100,100,(Backdoors!AI12+IF(HD104&gt;=0.45,VLOOKUP(Calculator!E23,tbSkills!DH3:DI6,2,FALSE)+IF(AND(Calculator!B8=TRUE,Backdoors!BI33=TRUE),VLOOKUP(Calculator!E23,tbSkills!DH3:DJ6,3,FALSE),0),0)))/100)),1))*IF(VLOOKUP(A104,tbMoveset!A2:K112,11,FALSE)=TRUE,Backdoors!AC5,1))*HE104,0),"")</f>
        <v>0</v>
      </c>
      <c r="HI104" s="49">
        <f>VLOOKUP(A104,tbMoveset!A2:G112,7,FALSE)*IFERROR(IF(Backdoors!AI12&gt;=0,1+(IF(Calculator!E40&gt;0,VLOOKUP(Calculator!E40,tbSkills!AI3:AJ5,2,FALSE),Backdoors!AL4)*(IF((Backdoors!AI12+IF(HD104&gt;=0.45,VLOOKUP(Calculator!E23,tbSkills!DH3:DI6,2,FALSE)+IF(AND(Calculator!B8=TRUE,Backdoors!BI33=TRUE),VLOOKUP(Calculator!E23,tbSkills!DH3:DJ6,3,FALSE),0),0))&gt;=100,100,(Backdoors!AI12+IF(HD104&gt;=0.45,VLOOKUP(Calculator!E23,tbSkills!DH3:DI6,2,FALSE)+IF(AND(Calculator!B8=TRUE,Backdoors!BI33=TRUE),VLOOKUP(Calculator!E23,tbSkills!DH3:DJ6,3,FALSE),0),0)))/100)),1),1)</f>
        <v>0.4</v>
      </c>
      <c r="HJ104" s="87">
        <f t="shared" si="81"/>
        <v>0</v>
      </c>
      <c r="HK104" s="86" t="str">
        <f>IFERROR(IF(VLOOKUP(A104,tbMoveset!A2:B112,2,FALSE)="Sever",Backdoors!AY34/100,IF(VLOOKUP(A104,tbMoveset!A2:B112,2,FALSE)="Blunt",Backdoors!AZ34/100,Backdoors!BA34/100)),"")</f>
        <v/>
      </c>
      <c r="HL104" s="49">
        <f>IFERROR(IF(VLOOKUP(tbMoveset!A104,tbMoveset!A2:H112,8,FALSE)="Other",IF(VLOOKUP(tbMoveset!A104,tbMoveset!A2:I112,9,FALSE)="Fire",Backdoors!BB34,IF(VLOOKUP(tbMoveset!A104,tbMoveset!A2:I112,9,FALSE)="Water",Backdoors!BC34,IF(VLOOKUP(tbMoveset!A104,tbMoveset!A2:I112,9,FALSE)="Thunder",Backdoors!BD34,IF(VLOOKUP(tbMoveset!A104,tbMoveset!A2:I112,9,FALSE)="Ice",Backdoors!BE34,IF(VLOOKUP(tbMoveset!A104,tbMoveset!A2:I112,9,FALSE)="Dragon",Backdoors!BF34,Backdoors!BG34)))))/100,Backdoors!BG34/100),"")</f>
        <v>0</v>
      </c>
      <c r="HM104" s="49">
        <f>IFERROR(IF(VLOOKUP(A104,tbMoveset!A2:J112,10,FALSE)=TRUE,IF((Backdoors!AI12+IF(HK104&gt;=0.45,VLOOKUP(Calculator!E23,tbSkills!DH3:DI6,2,FALSE)+IF(AND(Calculator!B8=TRUE,Backdoors!BI34=TRUE),VLOOKUP(Calculator!E23,tbSkills!DH3:DJ6,3,FALSE),0),0))&gt;=0,1+(Backdoors!AL2*(IF((Backdoors!AI12+IF(HK104&gt;=0.45,VLOOKUP(Calculator!E23,tbSkills!DH3:DI6,2,FALSE)+IF(AND(Calculator!B8=TRUE,Backdoors!BI34=TRUE),VLOOKUP(Calculator!E23,tbSkills!DH3:DJ6,3,FALSE),0),0))&gt;=100,100,(Backdoors!AI12+IF(HK104&gt;=0.45,VLOOKUP(Calculator!E23,tbSkills!DH3:DI6,2,FALSE)+IF(AND(Calculator!B8=TRUE,Backdoors!BI34=TRUE),VLOOKUP(Calculator!E23,tbSkills!DH3:DJ6,3,FALSE),0),0)))/100)),(1-(0.25*((-Backdoors!AI12-IF(HK104&gt;=0.45,VLOOKUP(Calculator!E23,tbSkills!DH3:DI6,2,FALSE)+IF(AND(Calculator!B8=TRUE,Backdoors!BI34=TRUE),VLOOKUP(Calculator!E23,tbSkills!DH3:DJ6,3,FALSE),0),0))/100)))),1),"")</f>
        <v>1</v>
      </c>
      <c r="HN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K104)*HM104)*(VLOOKUP(A104,tbMoveset!A2:C112,3,FALSE)/100)*IF(VLOOKUP(A104,tbMoveset!A2:B112,2,FALSE)="Projectile",Backdoors!N10,Backdoors!N9),0),"")</f>
        <v/>
      </c>
      <c r="HO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K104&gt;=0.45,VLOOKUP(Calculator!E23,tbSkills!DH3:DI6,2,FALSE)+IF(AND(Calculator!B8=TRUE,Backdoors!BI34=TRUE),VLOOKUP(Calculator!E23,tbSkills!DH3:DJ6,3,FALSE),0),0))&gt;=100,100,(Backdoors!AI12+IF(HK104&gt;=0.45,VLOOKUP(Calculator!E23,tbSkills!DH3:DI6,2,FALSE)+IF(AND(Calculator!B8=TRUE,Backdoors!BI34=TRUE),VLOOKUP(Calculator!E23,tbSkills!DH3:DJ6,3,FALSE),0),0)))/100)),1))*IF(VLOOKUP(A104,tbMoveset!A2:K112,11,FALSE)=TRUE,Backdoors!AC5,1))*HL104,0),"")</f>
        <v>0</v>
      </c>
      <c r="HP104" s="49">
        <f>VLOOKUP(A104,tbMoveset!A2:G112,7,FALSE)*IFERROR(IF(Backdoors!AI12&gt;=0,1+(IF(Calculator!E40&gt;0,VLOOKUP(Calculator!E40,tbSkills!AI3:AJ5,2,FALSE),Backdoors!AL4)*(IF((Backdoors!AI12+IF(HK104&gt;=0.45,VLOOKUP(Calculator!E23,tbSkills!DH3:DI6,2,FALSE)+IF(AND(Calculator!B8=TRUE,Backdoors!BI34=TRUE),VLOOKUP(Calculator!E23,tbSkills!DH3:DJ6,3,FALSE),0),0))&gt;=100,100,(Backdoors!AI12+IF(HK104&gt;=0.45,VLOOKUP(Calculator!E23,tbSkills!DH3:DI6,2,FALSE)+IF(AND(Calculator!B8=TRUE,Backdoors!BI34=TRUE),VLOOKUP(Calculator!E23,tbSkills!DH3:DJ6,3,FALSE),0),0)))/100)),1),1)</f>
        <v>0.4</v>
      </c>
      <c r="HQ104" s="87">
        <f t="shared" si="82"/>
        <v>0</v>
      </c>
      <c r="HR104" s="86" t="str">
        <f>IFERROR(IF(VLOOKUP(A104,tbMoveset!A2:B112,2,FALSE)="Sever",Backdoors!AY35/100,IF(VLOOKUP(A104,tbMoveset!A2:B112,2,FALSE)="Blunt",Backdoors!AZ35/100,Backdoors!BA35/100)),"")</f>
        <v/>
      </c>
      <c r="HS104" s="49">
        <f>IFERROR(IF(VLOOKUP(tbMoveset!A104,tbMoveset!A2:H112,8,FALSE)="Other",IF(VLOOKUP(tbMoveset!A104,tbMoveset!A2:I112,9,FALSE)="Fire",Backdoors!BB35,IF(VLOOKUP(tbMoveset!A104,tbMoveset!A2:I112,9,FALSE)="Water",Backdoors!BC35,IF(VLOOKUP(tbMoveset!A104,tbMoveset!A2:I112,9,FALSE)="Thunder",Backdoors!BD35,IF(VLOOKUP(tbMoveset!A104,tbMoveset!A2:I112,9,FALSE)="Ice",Backdoors!BE35,IF(VLOOKUP(tbMoveset!A104,tbMoveset!A2:I112,9,FALSE)="Dragon",Backdoors!BF35,Backdoors!BG35)))))/100,Backdoors!BG35/100),"")</f>
        <v>0</v>
      </c>
      <c r="HT104" s="49">
        <f>IFERROR(IF(VLOOKUP(A104,tbMoveset!A2:J112,10,FALSE)=TRUE,IF((Backdoors!AI12+IF(HR104&gt;=0.45,VLOOKUP(Calculator!E23,tbSkills!DH3:DI6,2,FALSE)+IF(AND(Calculator!B8=TRUE,Backdoors!BI35=TRUE),VLOOKUP(Calculator!E23,tbSkills!DH3:DJ6,3,FALSE),0),0))&gt;=0,1+(Backdoors!AL2*(IF((Backdoors!AI12+IF(HR104&gt;=0.45,VLOOKUP(Calculator!E23,tbSkills!DH3:DI6,2,FALSE)+IF(AND(Calculator!B8=TRUE,Backdoors!BI35=TRUE),VLOOKUP(Calculator!E23,tbSkills!DH3:DJ6,3,FALSE),0),0))&gt;=100,100,(Backdoors!AI12+IF(HR104&gt;=0.45,VLOOKUP(Calculator!E23,tbSkills!DH3:DI6,2,FALSE)+IF(AND(Calculator!B8=TRUE,Backdoors!BI35=TRUE),VLOOKUP(Calculator!E23,tbSkills!DH3:DJ6,3,FALSE),0),0)))/100)),(1-(0.25*((-Backdoors!AI12-IF(HR104&gt;=0.45,VLOOKUP(Calculator!E23,tbSkills!DH3:DI6,2,FALSE)+IF(AND(Calculator!B8=TRUE,Backdoors!BI35=TRUE),VLOOKUP(Calculator!E23,tbSkills!DH3:DJ6,3,FALSE),0),0))/100)))),1),"")</f>
        <v>1</v>
      </c>
      <c r="HU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R104)*HT104)*(VLOOKUP(A104,tbMoveset!A2:C112,3,FALSE)/100)*IF(VLOOKUP(A104,tbMoveset!A2:B112,2,FALSE)="Projectile",Backdoors!N10,Backdoors!N9),0),"")</f>
        <v/>
      </c>
      <c r="HV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R104&gt;=0.45,VLOOKUP(Calculator!E23,tbSkills!DH3:DI6,2,FALSE)+IF(AND(Calculator!B8=TRUE,Backdoors!BI35=TRUE),VLOOKUP(Calculator!E23,tbSkills!DH3:DJ6,3,FALSE),0),0))&gt;=100,100,(Backdoors!AI12+IF(HR104&gt;=0.45,VLOOKUP(Calculator!E23,tbSkills!DH3:DI6,2,FALSE)+IF(AND(Calculator!B8=TRUE,Backdoors!BI35=TRUE),VLOOKUP(Calculator!E23,tbSkills!DH3:DJ6,3,FALSE),0),0)))/100)),1))*IF(VLOOKUP(A104,tbMoveset!A2:K112,11,FALSE)=TRUE,Backdoors!AC5,1))*HS104,0),"")</f>
        <v>0</v>
      </c>
      <c r="HW104" s="49">
        <f>VLOOKUP(A104,tbMoveset!A2:G112,7,FALSE)*IFERROR(IF(Backdoors!AI12&gt;=0,1+(IF(Calculator!E40&gt;0,VLOOKUP(Calculator!E40,tbSkills!AI3:AJ5,2,FALSE),Backdoors!AL4)*(IF((Backdoors!AI12+IF(HR104&gt;=0.45,VLOOKUP(Calculator!E23,tbSkills!DH3:DI6,2,FALSE)+IF(AND(Calculator!B8=TRUE,Backdoors!BI35=TRUE),VLOOKUP(Calculator!E23,tbSkills!DH3:DJ6,3,FALSE),0),0))&gt;=100,100,(Backdoors!AI12+IF(HR104&gt;=0.45,VLOOKUP(Calculator!E23,tbSkills!DH3:DI6,2,FALSE)+IF(AND(Calculator!B8=TRUE,Backdoors!BI35=TRUE),VLOOKUP(Calculator!E23,tbSkills!DH3:DJ6,3,FALSE),0),0)))/100)),1),1)</f>
        <v>0.4</v>
      </c>
      <c r="HX104" s="87">
        <f t="shared" si="83"/>
        <v>0</v>
      </c>
      <c r="HY104" s="86" t="str">
        <f>IFERROR(IF(VLOOKUP(A104,tbMoveset!A2:B112,2,FALSE)="Sever",Backdoors!AY36/100,IF(VLOOKUP(A104,tbMoveset!A2:B112,2,FALSE)="Blunt",Backdoors!AZ36/100,Backdoors!BA36/100)),"")</f>
        <v/>
      </c>
      <c r="HZ104" s="49">
        <f>IFERROR(IF(VLOOKUP(tbMoveset!A104,tbMoveset!A2:H112,8,FALSE)="Other",IF(VLOOKUP(tbMoveset!A104,tbMoveset!A2:I112,9,FALSE)="Fire",Backdoors!BB36,IF(VLOOKUP(tbMoveset!A104,tbMoveset!A2:I112,9,FALSE)="Water",Backdoors!BC36,IF(VLOOKUP(tbMoveset!A104,tbMoveset!A2:I112,9,FALSE)="Thunder",Backdoors!BD36,IF(VLOOKUP(tbMoveset!A104,tbMoveset!A2:I112,9,FALSE)="Ice",Backdoors!BE36,IF(VLOOKUP(tbMoveset!A104,tbMoveset!A2:I112,9,FALSE)="Dragon",Backdoors!BF36,Backdoors!BG36)))))/100,Backdoors!BG36/100),"")</f>
        <v>0</v>
      </c>
      <c r="IA104" s="49">
        <f>IFERROR(IF(VLOOKUP(A104,tbMoveset!A2:J112,10,FALSE)=TRUE,IF((Backdoors!AI12+IF(HY104&gt;=0.45,VLOOKUP(Calculator!E23,tbSkills!DH3:DI6,2,FALSE)+IF(AND(Calculator!B8=TRUE,Backdoors!BI36=TRUE),VLOOKUP(Calculator!E23,tbSkills!DH3:DJ6,3,FALSE),0),0))&gt;=0,1+(Backdoors!AL2*(IF((Backdoors!AI12+IF(HY104&gt;=0.45,VLOOKUP(Calculator!E23,tbSkills!DH3:DI6,2,FALSE)+IF(AND(Calculator!B8=TRUE,Backdoors!BI36=TRUE),VLOOKUP(Calculator!E23,tbSkills!DH3:DJ6,3,FALSE),0),0))&gt;=100,100,(Backdoors!AI12+IF(HY104&gt;=0.45,VLOOKUP(Calculator!E23,tbSkills!DH3:DI6,2,FALSE)+IF(AND(Calculator!B8=TRUE,Backdoors!BI36=TRUE),VLOOKUP(Calculator!E23,tbSkills!DH3:DJ6,3,FALSE),0),0)))/100)),(1-(0.25*((-Backdoors!AI12-IF(HY104&gt;=0.45,VLOOKUP(Calculator!E23,tbSkills!DH3:DI6,2,FALSE)+IF(AND(Calculator!B8=TRUE,Backdoors!BI36=TRUE),VLOOKUP(Calculator!E23,tbSkills!DH3:DJ6,3,FALSE),0),0))/100)))),1),"")</f>
        <v>1</v>
      </c>
      <c r="IB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Y104)*IA104)*(VLOOKUP(A104,tbMoveset!A2:C112,3,FALSE)/100)*IF(VLOOKUP(A104,tbMoveset!A2:B112,2,FALSE)="Projectile",Backdoors!N10,Backdoors!N9),0),"")</f>
        <v/>
      </c>
      <c r="IC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Y104&gt;=0.45,VLOOKUP(Calculator!E23,tbSkills!DH3:DI6,2,FALSE)+IF(AND(Calculator!B8=TRUE,Backdoors!BI36=TRUE),VLOOKUP(Calculator!E23,tbSkills!DH3:DJ6,3,FALSE),0),0))&gt;=100,100,(Backdoors!AI12+IF(HY104&gt;=0.45,VLOOKUP(Calculator!E23,tbSkills!DH3:DI6,2,FALSE)+IF(AND(Calculator!B8=TRUE,Backdoors!BI36=TRUE),VLOOKUP(Calculator!E23,tbSkills!DH3:DJ6,3,FALSE),0),0)))/100)),1))*IF(VLOOKUP(A104,tbMoveset!A2:K112,11,FALSE)=TRUE,Backdoors!AC5,1))*HZ104,0),"")</f>
        <v>0</v>
      </c>
      <c r="ID104" s="49">
        <f>VLOOKUP(A104,tbMoveset!A2:G112,7,FALSE)*IFERROR(IF(Backdoors!AI12&gt;=0,1+(IF(Calculator!E40&gt;0,VLOOKUP(Calculator!E40,tbSkills!AI3:AJ5,2,FALSE),Backdoors!AL4)*(IF((Backdoors!AI12+IF(HY104&gt;=0.45,VLOOKUP(Calculator!E23,tbSkills!DH3:DI6,2,FALSE)+IF(AND(Calculator!B8=TRUE,Backdoors!BI36=TRUE),VLOOKUP(Calculator!E23,tbSkills!DH3:DJ6,3,FALSE),0),0))&gt;=100,100,(Backdoors!AI12+IF(HY104&gt;=0.45,VLOOKUP(Calculator!E23,tbSkills!DH3:DI6,2,FALSE)+IF(AND(Calculator!B8=TRUE,Backdoors!BI36=TRUE),VLOOKUP(Calculator!E23,tbSkills!DH3:DJ6,3,FALSE),0),0)))/100)),1),1)</f>
        <v>0.4</v>
      </c>
      <c r="IE104" s="87">
        <f t="shared" si="84"/>
        <v>0</v>
      </c>
      <c r="IF104" s="86" t="str">
        <f>IFERROR(IF(VLOOKUP(A104,tbMoveset!A2:B112,2,FALSE)="Sever",Backdoors!AY37/100,IF(VLOOKUP(A104,tbMoveset!A2:B112,2,FALSE)="Blunt",Backdoors!AZ37/100,Backdoors!BA37/100)),"")</f>
        <v/>
      </c>
      <c r="IG104" s="49">
        <f>IFERROR(IF(VLOOKUP(tbMoveset!A104,tbMoveset!A2:H112,8,FALSE)="Other",IF(VLOOKUP(tbMoveset!A104,tbMoveset!A2:I112,9,FALSE)="Fire",Backdoors!BB37,IF(VLOOKUP(tbMoveset!A104,tbMoveset!A2:I112,9,FALSE)="Water",Backdoors!BC37,IF(VLOOKUP(tbMoveset!A104,tbMoveset!A2:I112,9,FALSE)="Thunder",Backdoors!BD37,IF(VLOOKUP(tbMoveset!A104,tbMoveset!A2:I112,9,FALSE)="Ice",Backdoors!BE37,IF(VLOOKUP(tbMoveset!A104,tbMoveset!A2:I112,9,FALSE)="Dragon",Backdoors!BF37,Backdoors!BG37)))))/100,Backdoors!BG37/100),"")</f>
        <v>0</v>
      </c>
      <c r="IH104" s="49">
        <f>IFERROR(IF(VLOOKUP(A104,tbMoveset!A2:J112,10,FALSE)=TRUE,IF((Backdoors!AI12+IF(IF104&gt;=0.45,VLOOKUP(Calculator!E23,tbSkills!DH3:DI6,2,FALSE)+IF(AND(Calculator!B8=TRUE,Backdoors!BI37=TRUE),VLOOKUP(Calculator!E23,tbSkills!DH3:DJ6,3,FALSE),0),0))&gt;=0,1+(Backdoors!AL2*(IF((Backdoors!AI12+IF(IF104&gt;=0.45,VLOOKUP(Calculator!E23,tbSkills!DH3:DI6,2,FALSE)+IF(AND(Calculator!B8=TRUE,Backdoors!BI37=TRUE),VLOOKUP(Calculator!E23,tbSkills!DH3:DJ6,3,FALSE),0),0))&gt;=100,100,(Backdoors!AI12+IF(IF104&gt;=0.45,VLOOKUP(Calculator!E23,tbSkills!DH3:DI6,2,FALSE)+IF(AND(Calculator!B8=TRUE,Backdoors!BI37=TRUE),VLOOKUP(Calculator!E23,tbSkills!DH3:DJ6,3,FALSE),0),0)))/100)),(1-(0.25*((-Backdoors!AI12-IF(IF104&gt;=0.45,VLOOKUP(Calculator!E23,tbSkills!DH3:DI6,2,FALSE)+IF(AND(Calculator!B8=TRUE,Backdoors!BI37=TRUE),VLOOKUP(Calculator!E23,tbSkills!DH3:DJ6,3,FALSE),0),0))/100)))),1),"")</f>
        <v>1</v>
      </c>
      <c r="II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F104)*IH104)*(VLOOKUP(A104,tbMoveset!A2:C112,3,FALSE)/100)*IF(VLOOKUP(A104,tbMoveset!A2:B112,2,FALSE)="Projectile",Backdoors!N10,Backdoors!N9),0),"")</f>
        <v/>
      </c>
      <c r="IJ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IF104&gt;=0.45,VLOOKUP(Calculator!E23,tbSkills!DH3:DI6,2,FALSE)+IF(AND(Calculator!B8=TRUE,Backdoors!BI37=TRUE),VLOOKUP(Calculator!E23,tbSkills!DH3:DJ6,3,FALSE),0),0))&gt;=100,100,(Backdoors!AI12+IF(IF104&gt;=0.45,VLOOKUP(Calculator!E23,tbSkills!DH3:DI6,2,FALSE)+IF(AND(Calculator!B8=TRUE,Backdoors!BI37=TRUE),VLOOKUP(Calculator!E23,tbSkills!DH3:DJ6,3,FALSE),0),0)))/100)),1))*IF(VLOOKUP(A104,tbMoveset!A2:K112,11,FALSE)=TRUE,Backdoors!AC5,1))*IG104,0),"")</f>
        <v>0</v>
      </c>
      <c r="IK104" s="49">
        <f>VLOOKUP(A104,tbMoveset!A2:G112,7,FALSE)*IFERROR(IF(Backdoors!AI12&gt;=0,1+(IF(Calculator!E40&gt;0,VLOOKUP(Calculator!E40,tbSkills!AI3:AJ5,2,FALSE),Backdoors!AL4)*(IF((Backdoors!AI12+IF(IF104&gt;=0.45,VLOOKUP(Calculator!E23,tbSkills!DH3:DI6,2,FALSE)+IF(AND(Calculator!B8=TRUE,Backdoors!BI37=TRUE),VLOOKUP(Calculator!E23,tbSkills!DH3:DJ6,3,FALSE),0),0))&gt;=100,100,(Backdoors!AI12+IF(IF104&gt;=0.45,VLOOKUP(Calculator!E23,tbSkills!DH3:DI6,2,FALSE)+IF(AND(Calculator!B8=TRUE,Backdoors!BI37=TRUE),VLOOKUP(Calculator!E23,tbSkills!DH3:DJ6,3,FALSE),0),0)))/100)),1),1)</f>
        <v>0.4</v>
      </c>
      <c r="IL104" s="87">
        <f t="shared" si="85"/>
        <v>0</v>
      </c>
      <c r="IM104" s="86" t="str">
        <f>IFERROR(IF(VLOOKUP(A104,tbMoveset!A2:B112,2,FALSE)="Sever",Backdoors!AY38/100,IF(VLOOKUP(A104,tbMoveset!A2:B112,2,FALSE)="Blunt",Backdoors!AZ38/100,Backdoors!BA38/100)),"")</f>
        <v/>
      </c>
      <c r="IN104" s="49">
        <f>IFERROR(IF(VLOOKUP(tbMoveset!A104,tbMoveset!A2:H112,8,FALSE)="Other",IF(VLOOKUP(tbMoveset!A104,tbMoveset!A2:I112,9,FALSE)="Fire",Backdoors!BB38,IF(VLOOKUP(tbMoveset!A104,tbMoveset!A2:I112,9,FALSE)="Water",Backdoors!BC38,IF(VLOOKUP(tbMoveset!A104,tbMoveset!A2:I112,9,FALSE)="Thunder",Backdoors!BD38,IF(VLOOKUP(tbMoveset!A104,tbMoveset!A2:I112,9,FALSE)="Ice",Backdoors!BE38,IF(VLOOKUP(tbMoveset!A104,tbMoveset!A2:I112,9,FALSE)="Dragon",Backdoors!BF38,Backdoors!BG38)))))/100,Backdoors!BG38/100),"")</f>
        <v>0</v>
      </c>
      <c r="IO104" s="49">
        <f>IFERROR(IF(VLOOKUP(A104,tbMoveset!A2:J112,10,FALSE)=TRUE,IF((Backdoors!AI12+IF(IM104&gt;=0.45,VLOOKUP(Calculator!E23,tbSkills!DH3:DI6,2,FALSE)+IF(AND(Calculator!B8=TRUE,Backdoors!BI38=TRUE),VLOOKUP(Calculator!E23,tbSkills!DH3:DJ6,3,FALSE),0),0))&gt;=0,1+(Backdoors!AL2*(IF((Backdoors!AI12+IF(IM104&gt;=0.45,VLOOKUP(Calculator!E23,tbSkills!DH3:DI6,2,FALSE)+IF(AND(Calculator!B8=TRUE,Backdoors!BI38=TRUE),VLOOKUP(Calculator!E23,tbSkills!DH3:DJ6,3,FALSE),0),0))&gt;=100,100,(Backdoors!AI12+IF(IM104&gt;=0.45,VLOOKUP(Calculator!E23,tbSkills!DH3:DI6,2,FALSE)+IF(AND(Calculator!B8=TRUE,Backdoors!BI38=TRUE),VLOOKUP(Calculator!E23,tbSkills!DH3:DJ6,3,FALSE),0),0)))/100)),(1-(0.25*((-Backdoors!AI12-IF(IM104&gt;=0.45,VLOOKUP(Calculator!E23,tbSkills!DH3:DI6,2,FALSE)+IF(AND(Calculator!B8=TRUE,Backdoors!BI38=TRUE),VLOOKUP(Calculator!E23,tbSkills!DH3:DJ6,3,FALSE),0),0))/100)))),1),"")</f>
        <v>1</v>
      </c>
      <c r="IP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M104)*IO104)*(VLOOKUP(A104,tbMoveset!A2:C112,3,FALSE)/100)*IF(VLOOKUP(A104,tbMoveset!A2:B112,2,FALSE)="Projectile",Backdoors!N10,Backdoors!N9),0),"")</f>
        <v/>
      </c>
      <c r="IQ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IM104&gt;=0.45,VLOOKUP(Calculator!E23,tbSkills!DH3:DI6,2,FALSE)+IF(AND(Calculator!B8=TRUE,Backdoors!BI38=TRUE),VLOOKUP(Calculator!E23,tbSkills!DH3:DJ6,3,FALSE),0),0))&gt;=100,100,(Backdoors!AI12+IF(IM104&gt;=0.45,VLOOKUP(Calculator!E23,tbSkills!DH3:DI6,2,FALSE)+IF(AND(Calculator!B8=TRUE,Backdoors!BI38=TRUE),VLOOKUP(Calculator!E23,tbSkills!DH3:DJ6,3,FALSE),0),0)))/100)),1))*IF(VLOOKUP(A104,tbMoveset!A2:K112,11,FALSE)=TRUE,Backdoors!AC5,1))*IN104,0),"")</f>
        <v>0</v>
      </c>
      <c r="IR104" s="49">
        <f>VLOOKUP(A104,tbMoveset!A2:G112,7,FALSE)*IFERROR(IF(Backdoors!AI12&gt;=0,1+(IF(Calculator!E40&gt;0,VLOOKUP(Calculator!E40,tbSkills!AI3:AJ5,2,FALSE),Backdoors!AL4)*(IF((Backdoors!AI12+IF(IM104&gt;=0.45,VLOOKUP(Calculator!E23,tbSkills!DH3:DI6,2,FALSE)+IF(AND(Calculator!B8=TRUE,Backdoors!BI38=TRUE),VLOOKUP(Calculator!E23,tbSkills!DH3:DJ6,3,FALSE),0),0))&gt;=100,100,(Backdoors!AI12+IF(IM104&gt;=0.45,VLOOKUP(Calculator!E23,tbSkills!DH3:DI6,2,FALSE)+IF(AND(Calculator!B8=TRUE,Backdoors!BI38=TRUE),VLOOKUP(Calculator!E23,tbSkills!DH3:DJ6,3,FALSE),0),0)))/100)),1),1)</f>
        <v>0.4</v>
      </c>
      <c r="IS104" s="87">
        <f t="shared" si="86"/>
        <v>0</v>
      </c>
      <c r="IT104" s="86" t="str">
        <f>IFERROR(IF(VLOOKUP(A104,tbMoveset!A2:B112,2,FALSE)="Sever",Backdoors!AY39/100,IF(VLOOKUP(A104,tbMoveset!A2:B112,2,FALSE)="Blunt",Backdoors!AZ39/100,Backdoors!BA39/100)),"")</f>
        <v/>
      </c>
      <c r="IU104" s="49">
        <f>IFERROR(IF(VLOOKUP(tbMoveset!A104,tbMoveset!A2:H112,8,FALSE)="Other",IF(VLOOKUP(tbMoveset!A104,tbMoveset!A2:I112,9,FALSE)="Fire",Backdoors!BB39,IF(VLOOKUP(tbMoveset!A104,tbMoveset!A2:I112,9,FALSE)="Water",Backdoors!BC39,IF(VLOOKUP(tbMoveset!A104,tbMoveset!A2:I112,9,FALSE)="Thunder",Backdoors!BD39,IF(VLOOKUP(tbMoveset!A104,tbMoveset!A2:I112,9,FALSE)="Ice",Backdoors!BE39,IF(VLOOKUP(tbMoveset!A104,tbMoveset!A2:I112,9,FALSE)="Dragon",Backdoors!BF39,Backdoors!BG39)))))/100,Backdoors!BG39/100),"")</f>
        <v>0</v>
      </c>
      <c r="IV104" s="49">
        <f>IFERROR(IF(VLOOKUP(A104,tbMoveset!A2:J112,10,FALSE)=TRUE,IF((Backdoors!AI12+IF(IT104&gt;=0.45,VLOOKUP(Calculator!E23,tbSkills!DH3:DI6,2,FALSE)+IF(AND(Calculator!B8=TRUE,Backdoors!BI39=TRUE),VLOOKUP(Calculator!E23,tbSkills!DH3:DJ6,3,FALSE),0),0))&gt;=0,1+(Backdoors!AL2*(IF((Backdoors!AI12+IF(IT104&gt;=0.45,VLOOKUP(Calculator!E23,tbSkills!DH3:DI6,2,FALSE)+IF(AND(Calculator!B8=TRUE,Backdoors!BI39=TRUE),VLOOKUP(Calculator!E23,tbSkills!DH3:DJ6,3,FALSE),0),0))&gt;=100,100,(Backdoors!AI12+IF(IT104&gt;=0.45,VLOOKUP(Calculator!E23,tbSkills!DH3:DI6,2,FALSE)+IF(AND(Calculator!B8=TRUE,Backdoors!BI39=TRUE),VLOOKUP(Calculator!E23,tbSkills!DH3:DJ6,3,FALSE),0),0)))/100)),(1-(0.25*((-Backdoors!AI12-IF(IT104&gt;=0.45,VLOOKUP(Calculator!E23,tbSkills!DH3:DI6,2,FALSE)+IF(AND(Calculator!B8=TRUE,Backdoors!BI39=TRUE),VLOOKUP(Calculator!E23,tbSkills!DH3:DJ6,3,FALSE),0),0))/100)))),1),"")</f>
        <v>1</v>
      </c>
      <c r="IW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T104)*IV104)*(VLOOKUP(A104,tbMoveset!A2:C112,3,FALSE)/100)*IF(VLOOKUP(A104,tbMoveset!A2:B112,2,FALSE)="Projectile",Backdoors!N10,Backdoors!N9),0),"")</f>
        <v/>
      </c>
      <c r="IX104" s="49">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40&gt;0,VLOOKUP(Calculator!E40,tbSkills!AC3:AD5,2,FALSE),Backdoors!AL3)*(IF((Backdoors!AI12+IF(IT104&gt;=0.45,VLOOKUP(Calculator!E23,tbSkills!DH3:DI6,2,FALSE)+IF(AND(Calculator!B8=TRUE,Backdoors!BI39=TRUE),VLOOKUP(Calculator!E23,tbSkills!DH3:DJ6,3,FALSE),0),0))&gt;=100,100,(Backdoors!AI12+IF(IT104&gt;=0.45,VLOOKUP(Calculator!E23,tbSkills!DH3:DI6,2,FALSE)+IF(AND(Calculator!B8=TRUE,Backdoors!BI39=TRUE),VLOOKUP(Calculator!E23,tbSkills!DH3:DJ6,3,FALSE),0),0)))/100)),1))*IF(VLOOKUP(A104,tbMoveset!A2:K112,11,FALSE)=TRUE,Backdoors!AC5,1))*IU104,0),"")</f>
        <v>0</v>
      </c>
      <c r="IY104" s="49">
        <f>VLOOKUP(A104,tbMoveset!A2:G112,7,FALSE)*IFERROR(IF(Backdoors!AI12&gt;=0,1+(IF(Calculator!E40&gt;0,VLOOKUP(Calculator!E40,tbSkills!AI3:AJ5,2,FALSE),Backdoors!AL4)*(IF((Backdoors!AI12+IF(IT104&gt;=0.45,VLOOKUP(Calculator!E23,tbSkills!DH3:DI6,2,FALSE)+IF(AND(Calculator!B8=TRUE,Backdoors!BI39=TRUE),VLOOKUP(Calculator!E23,tbSkills!DH3:DJ6,3,FALSE),0),0))&gt;=100,100,(Backdoors!AI12+IF(IT104&gt;=0.45,VLOOKUP(Calculator!E23,tbSkills!DH3:DI6,2,FALSE)+IF(AND(Calculator!B8=TRUE,Backdoors!BI39=TRUE),VLOOKUP(Calculator!E23,tbSkills!DH3:DJ6,3,FALSE),0),0)))/100)),1),1)</f>
        <v>0.4</v>
      </c>
      <c r="IZ104" s="87">
        <f t="shared" si="87"/>
        <v>0</v>
      </c>
      <c r="JA104" s="86" t="str">
        <f>IFERROR(IF(VLOOKUP(A104,tbMoveset!A2:B112,2,FALSE)="Sever",Backdoors!AY40/100,IF(VLOOKUP(A104,tbMoveset!A2:B112,2,FALSE)="Blunt",Backdoors!AZ40/100,Backdoors!BA40/100)),"")</f>
        <v/>
      </c>
      <c r="JB104" s="49">
        <f>IFERROR(IF(VLOOKUP(tbMoveset!A104,tbMoveset!A2:H112,8,FALSE)="Other",IF(VLOOKUP(tbMoveset!A104,tbMoveset!A2:I112,9,FALSE)="Fire",Backdoors!BB40,IF(VLOOKUP(tbMoveset!A104,tbMoveset!A2:I112,9,FALSE)="Water",Backdoors!BC40,IF(VLOOKUP(tbMoveset!A104,tbMoveset!A2:I112,9,FALSE)="Thunder",Backdoors!BD40,IF(VLOOKUP(tbMoveset!A104,tbMoveset!A2:I112,9,FALSE)="Ice",Backdoors!BE40,IF(VLOOKUP(tbMoveset!A104,tbMoveset!A2:I112,9,FALSE)="Dragon",Backdoors!BF40,Backdoors!BG40)))))/100,Backdoors!BG40/100),"")</f>
        <v>0</v>
      </c>
      <c r="JC104" s="49">
        <f>IFERROR(IF(VLOOKUP(A104,tbMoveset!A2:J112,10,FALSE)=TRUE,IF((Backdoors!AI12+IF(JA104&gt;=0.45,VLOOKUP(Calculator!E23,tbSkills!DH3:DI6,2,FALSE)+IF(AND(Calculator!B8=TRUE,Backdoors!BI40=TRUE),VLOOKUP(Calculator!E23,tbSkills!DH3:DJ6,3,FALSE),0),0))&gt;=0,1+(Backdoors!AL2*(IF((Backdoors!AI12+IF(JA104&gt;=0.45,VLOOKUP(Calculator!E23,tbSkills!DH3:DI6,2,FALSE)+IF(AND(Calculator!B8=TRUE,Backdoors!BI40=TRUE),VLOOKUP(Calculator!E23,tbSkills!DH3:DJ6,3,FALSE),0),0))&gt;=100,100,(Backdoors!AI12+IF(JA104&gt;=0.45,VLOOKUP(Calculator!E23,tbSkills!DH3:DI6,2,FALSE)+IF(AND(Calculator!B8=TRUE,Backdoors!BI40=TRUE),VLOOKUP(Calculator!E23,tbSkills!DH3:DJ6,3,FALSE),0),0)))/100)),(1-(0.25*((-Backdoors!AI12-IF(JA104&gt;=0.45,VLOOKUP(Calculator!E23,tbSkills!DH3:DI6,2,FALSE)+IF(AND(Calculator!B8=TRUE,Backdoors!BI40=TRUE),VLOOKUP(Calculator!E23,tbSkills!DH3:DJ6,3,FALSE),0),0))/100)))),1),"")</f>
        <v>1</v>
      </c>
      <c r="JD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A104)*JC104)*(VLOOKUP(A104,tbMoveset!A2:C112,3,FALSE)/100)*IF(VLOOKUP(A104,tbMoveset!A2:B112,2,FALSE)="Projectile",Backdoors!N10,Backdoors!N9),0),"")</f>
        <v/>
      </c>
      <c r="JE104" s="49">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42&gt;0,VLOOKUP(Calculator!E42,tbSkills!AC3:AD5,2,FALSE),Backdoors!AL3)*(IF((Backdoors!AI12+IF(JA104&gt;=0.45,VLOOKUP(Calculator!E23,tbSkills!DH3:DI6,2,FALSE)+IF(AND(Calculator!B8=TRUE,Backdoors!BI40=TRUE),VLOOKUP(Calculator!E23,tbSkills!DH3:DJ6,3,FALSE),0),0))&gt;=100,100,(Backdoors!AI12+IF(JA104&gt;=0.45,VLOOKUP(Calculator!E23,tbSkills!DH3:DI6,2,FALSE)+IF(AND(Calculator!B8=TRUE,Backdoors!BI40=TRUE),VLOOKUP(Calculator!E23,tbSkills!DH3:DJ6,3,FALSE),0),0)))/100)),1))*IF(VLOOKUP(A104,tbMoveset!A2:K112,11,FALSE)=TRUE,Backdoors!AC5,1))*JB104,0),"")</f>
        <v>0</v>
      </c>
      <c r="JF104" s="49">
        <f>VLOOKUP(A104,tbMoveset!A2:G112,7,FALSE)*IFERROR(IF(Backdoors!AI12&gt;=0,1+(IF(Calculator!E40&gt;0,VLOOKUP(Calculator!E40,tbSkills!AI3:AJ5,2,FALSE),Backdoors!AL4)*(IF((Backdoors!AI12+IF(JA104&gt;=0.45,VLOOKUP(Calculator!E23,tbSkills!DH3:DI6,2,FALSE)+IF(AND(Calculator!B8=TRUE,Backdoors!BI40=TRUE),VLOOKUP(Calculator!E23,tbSkills!DH3:DJ6,3,FALSE),0),0))&gt;=100,100,(Backdoors!AI12+IF(JA104&gt;=0.45,VLOOKUP(Calculator!E23,tbSkills!DH3:DI6,2,FALSE)+IF(AND(Calculator!B8=TRUE,Backdoors!BI40=TRUE),VLOOKUP(Calculator!E23,tbSkills!DH3:DJ6,3,FALSE),0),0)))/100)),1),1)</f>
        <v>0.4</v>
      </c>
      <c r="JG104" s="87">
        <f t="shared" si="88"/>
        <v>0</v>
      </c>
      <c r="JH104" s="86" t="str">
        <f>IFERROR(IF(VLOOKUP(A104,tbMoveset!A2:B112,2,FALSE)="Sever",Backdoors!AY41/100,IF(VLOOKUP(A104,tbMoveset!A2:B112,2,FALSE)="Blunt",Backdoors!AZ41/100,Backdoors!BA41/100)),"")</f>
        <v/>
      </c>
      <c r="JI104" s="49">
        <f>IFERROR(IF(VLOOKUP(tbMoveset!A104,tbMoveset!A2:H112,8,FALSE)="Other",IF(VLOOKUP(tbMoveset!A104,tbMoveset!A2:I112,9,FALSE)="Fire",Backdoors!BB41,IF(VLOOKUP(tbMoveset!A104,tbMoveset!A2:I112,9,FALSE)="Water",Backdoors!BC41,IF(VLOOKUP(tbMoveset!A104,tbMoveset!A2:I112,9,FALSE)="Thunder",Backdoors!BD41,IF(VLOOKUP(tbMoveset!A104,tbMoveset!A2:I112,9,FALSE)="Ice",Backdoors!BE41,IF(VLOOKUP(tbMoveset!A104,tbMoveset!A2:I112,9,FALSE)="Dragon",Backdoors!BF41,Backdoors!BG41)))))/100,Backdoors!BG41/100),"")</f>
        <v>0</v>
      </c>
      <c r="JJ104" s="49">
        <f>IFERROR(IF(VLOOKUP(A104,tbMoveset!A2:J112,10,FALSE)=TRUE,IF((Backdoors!AI12+IF(JH104&gt;=0.45,VLOOKUP(Calculator!E23,tbSkills!DH3:DI6,2,FALSE)+IF(AND(Calculator!B8=TRUE,Backdoors!BI41=TRUE),VLOOKUP(Calculator!E23,tbSkills!DH3:DJ6,3,FALSE),0),0))&gt;=0,1+(Backdoors!AL2*(IF((Backdoors!AI12+IF(JH104&gt;=0.45,VLOOKUP(Calculator!E23,tbSkills!DH3:DI6,2,FALSE)+IF(AND(Calculator!B8=TRUE,Backdoors!BI41=TRUE),VLOOKUP(Calculator!E23,tbSkills!DH3:DJ6,3,FALSE),0),0))&gt;=100,100,(Backdoors!AI12+IF(JH104&gt;=0.45,VLOOKUP(Calculator!E23,tbSkills!DH3:DI6,2,FALSE)+IF(AND(Calculator!B8=TRUE,Backdoors!BI41=TRUE),VLOOKUP(Calculator!E23,tbSkills!DH3:DJ6,3,FALSE),0),0)))/100)),(1-(0.25*((-Backdoors!AI12-IF(JH104&gt;=0.45,VLOOKUP(Calculator!E23,tbSkills!DH3:DI6,2,FALSE)+IF(AND(Calculator!B8=TRUE,Backdoors!BI41=TRUE),VLOOKUP(Calculator!E23,tbSkills!DH3:DJ6,3,FALSE),0),0))/100)))),1),"")</f>
        <v>1</v>
      </c>
      <c r="JK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H104)*JJ104)*(VLOOKUP(A104,tbMoveset!A2:C112,3,FALSE)/100)*IF(VLOOKUP(A104,tbMoveset!A2:B112,2,FALSE)="Projectile",Backdoors!N10,Backdoors!N9),0),"")</f>
        <v/>
      </c>
      <c r="JL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43&gt;0,VLOOKUP(Calculator!E43,tbSkills!AC3:AD5,2,FALSE),Backdoors!AL3)*(IF((Backdoors!AI12+IF(JH104&gt;=0.45,VLOOKUP(Calculator!E23,tbSkills!DH3:DI6,2,FALSE)+IF(AND(Calculator!B8=TRUE,Backdoors!BI41=TRUE),VLOOKUP(Calculator!E23,tbSkills!DH3:DJ6,3,FALSE),0),0))&gt;=100,100,(Backdoors!AI12+IF(JH104&gt;=0.45,VLOOKUP(Calculator!E23,tbSkills!DH3:DI6,2,FALSE)+IF(AND(Calculator!B8=TRUE,Backdoors!BI41=TRUE),VLOOKUP(Calculator!E23,tbSkills!DH3:DJ6,3,FALSE),0),0)))/100)),1))*IF(VLOOKUP(A104,tbMoveset!A2:K112,11,FALSE)=TRUE,Backdoors!AC5,1))*JI104,0),"")</f>
        <v/>
      </c>
      <c r="JM104" s="49">
        <f>VLOOKUP(A104,tbMoveset!A2:G112,7,FALSE)*IFERROR(IF(Backdoors!AI12&gt;=0,1+(IF(Calculator!E40&gt;0,VLOOKUP(Calculator!E40,tbSkills!AI3:AJ5,2,FALSE),Backdoors!AL4)*(IF((Backdoors!AI12+IF(JH104&gt;=0.45,VLOOKUP(Calculator!E23,tbSkills!DH3:DI6,2,FALSE)+IF(AND(Calculator!B8=TRUE,Backdoors!BI41=TRUE),VLOOKUP(Calculator!E23,tbSkills!DH3:DJ6,3,FALSE),0),0))&gt;=100,100,(Backdoors!AI12+IF(JH104&gt;=0.45,VLOOKUP(Calculator!E23,tbSkills!DH3:DI6,2,FALSE)+IF(AND(Calculator!B8=TRUE,Backdoors!BI41=TRUE),VLOOKUP(Calculator!E23,tbSkills!DH3:DJ6,3,FALSE),0),0)))/100)),1),1)</f>
        <v>0.4</v>
      </c>
      <c r="JN104" s="87">
        <f t="shared" si="89"/>
        <v>0</v>
      </c>
      <c r="JO104" s="86" t="str">
        <f>IFERROR(IF(VLOOKUP(A104,tbMoveset!A2:B112,2,FALSE)="Sever",Backdoors!AY42/100,IF(VLOOKUP(A104,tbMoveset!A2:B112,2,FALSE)="Blunt",Backdoors!AZ42/100,Backdoors!BA42/100)),"")</f>
        <v/>
      </c>
      <c r="JP104" s="49">
        <f>IFERROR(IF(VLOOKUP(tbMoveset!A104,tbMoveset!A2:H112,8,FALSE)="Other",IF(VLOOKUP(tbMoveset!A104,tbMoveset!A2:I112,9,FALSE)="Fire",Backdoors!BB42,IF(VLOOKUP(tbMoveset!A104,tbMoveset!A2:I112,9,FALSE)="Water",Backdoors!BC42,IF(VLOOKUP(tbMoveset!A104,tbMoveset!A2:I112,9,FALSE)="Thunder",Backdoors!BD42,IF(VLOOKUP(tbMoveset!A104,tbMoveset!A2:I112,9,FALSE)="Ice",Backdoors!BE42,IF(VLOOKUP(tbMoveset!A104,tbMoveset!A2:I112,9,FALSE)="Dragon",Backdoors!BF42,Backdoors!BG42)))))/100,Backdoors!BG42/100),"")</f>
        <v>0</v>
      </c>
      <c r="JQ104" s="49">
        <f>IFERROR(IF(VLOOKUP(A104,tbMoveset!A2:J112,10,FALSE)=TRUE,IF((Backdoors!AI12+IF(JO104&gt;=0.45,VLOOKUP(Calculator!E23,tbSkills!DH3:DI6,2,FALSE)+IF(AND(Calculator!B8=TRUE,Backdoors!BI42=TRUE),VLOOKUP(Calculator!E23,tbSkills!DH3:DJ6,3,FALSE),0),0))&gt;=0,1+(Backdoors!AL2*(IF((Backdoors!AI12+IF(JO104&gt;=0.45,VLOOKUP(Calculator!E23,tbSkills!DH3:DI6,2,FALSE)+IF(AND(Calculator!B8=TRUE,Backdoors!BI42=TRUE),VLOOKUP(Calculator!E23,tbSkills!DH3:DJ6,3,FALSE),0),0))&gt;=100,100,(Backdoors!AI12+IF(JO104&gt;=0.45,VLOOKUP(Calculator!E23,tbSkills!DH3:DI6,2,FALSE)+IF(AND(Calculator!B8=TRUE,Backdoors!BI42=TRUE),VLOOKUP(Calculator!E23,tbSkills!DH3:DJ6,3,FALSE),0),0)))/100)),(1-(0.25*((-Backdoors!AI12-IF(JO104&gt;=0.45,VLOOKUP(Calculator!E23,tbSkills!DH3:DI6,2,FALSE)+IF(AND(Calculator!B8=TRUE,Backdoors!BI42=TRUE),VLOOKUP(Calculator!E23,tbSkills!DH3:DJ6,3,FALSE),0),0))/100)))),1),"")</f>
        <v>1</v>
      </c>
      <c r="JR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O104)*JQ104)*(VLOOKUP(A104,tbMoveset!A2:C112,3,FALSE)/100)*IF(VLOOKUP(A104,tbMoveset!A2:B112,2,FALSE)="Projectile",Backdoors!N10,Backdoors!N9),0),"")</f>
        <v/>
      </c>
      <c r="JS104" s="49">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45&gt;0,VLOOKUP(Calculator!E45,tbSkills!AC3:AD5,2,FALSE),Backdoors!AL3)*(IF((Backdoors!AI12+IF(JO104&gt;=0.45,VLOOKUP(Calculator!E23,tbSkills!DH3:DI6,2,FALSE)+IF(AND(Calculator!B8=TRUE,Backdoors!BI42=TRUE),VLOOKUP(Calculator!E23,tbSkills!DH3:DJ6,3,FALSE),0),0))&gt;=100,100,(Backdoors!AI12+IF(JO104&gt;=0.45,VLOOKUP(Calculator!E23,tbSkills!DH3:DI6,2,FALSE)+IF(AND(Calculator!B8=TRUE,Backdoors!BI42=TRUE),VLOOKUP(Calculator!E23,tbSkills!DH3:DJ6,3,FALSE),0),0)))/100)),1))*IF(VLOOKUP(A104,tbMoveset!A2:K112,11,FALSE)=TRUE,Backdoors!AC5,1))*JP104,0),"")</f>
        <v>0</v>
      </c>
      <c r="JT104" s="49">
        <f>VLOOKUP(A104,tbMoveset!A2:G112,7,FALSE)*IFERROR(IF(Backdoors!AI12&gt;=0,1+(IF(Calculator!E40&gt;0,VLOOKUP(Calculator!E40,tbSkills!AI3:AJ5,2,FALSE),Backdoors!AL4)*(IF((Backdoors!AI12+IF(JO104&gt;=0.45,VLOOKUP(Calculator!E23,tbSkills!DH3:DI6,2,FALSE)+IF(AND(Calculator!B8=TRUE,Backdoors!BI42=TRUE),VLOOKUP(Calculator!E23,tbSkills!DH3:DJ6,3,FALSE),0),0))&gt;=100,100,(Backdoors!AI12+IF(JO104&gt;=0.45,VLOOKUP(Calculator!E23,tbSkills!DH3:DI6,2,FALSE)+IF(AND(Calculator!B8=TRUE,Backdoors!BI42=TRUE),VLOOKUP(Calculator!E23,tbSkills!DH3:DJ6,3,FALSE),0),0)))/100)),1),1)</f>
        <v>0.4</v>
      </c>
      <c r="JU104" s="87">
        <f t="shared" si="90"/>
        <v>0</v>
      </c>
      <c r="JV104" s="86" t="str">
        <f>IFERROR(IF(VLOOKUP(A104,tbMoveset!A2:B112,2,FALSE)="Sever",Backdoors!AY43/100,IF(VLOOKUP(A104,tbMoveset!A2:B112,2,FALSE)="Blunt",Backdoors!AZ43/100,Backdoors!BA43/100)),"")</f>
        <v/>
      </c>
      <c r="JW104" s="49">
        <f>IFERROR(IF(VLOOKUP(tbMoveset!A104,tbMoveset!A2:H112,8,FALSE)="Other",IF(VLOOKUP(tbMoveset!A104,tbMoveset!A2:I112,9,FALSE)="Fire",Backdoors!BB43,IF(VLOOKUP(tbMoveset!A104,tbMoveset!A2:I112,9,FALSE)="Water",Backdoors!BC43,IF(VLOOKUP(tbMoveset!A104,tbMoveset!A2:I112,9,FALSE)="Thunder",Backdoors!BD43,IF(VLOOKUP(tbMoveset!A104,tbMoveset!A2:I112,9,FALSE)="Ice",Backdoors!BE43,IF(VLOOKUP(tbMoveset!A104,tbMoveset!A2:I112,9,FALSE)="Dragon",Backdoors!BF43,Backdoors!BG43)))))/100,Backdoors!BG43/100),"")</f>
        <v>0</v>
      </c>
      <c r="JX104" s="49">
        <f>IFERROR(IF(VLOOKUP(A104,tbMoveset!A2:J112,10,FALSE)=TRUE,IF((Backdoors!AI12+IF(JV104&gt;=0.45,VLOOKUP(Calculator!E23,tbSkills!DH3:DI6,2,FALSE)+IF(AND(Calculator!B8=TRUE,Backdoors!BI43=TRUE),VLOOKUP(Calculator!E23,tbSkills!DH3:DJ6,3,FALSE),0),0))&gt;=0,1+(Backdoors!AL2*(IF((Backdoors!AI12+IF(JV104&gt;=0.45,VLOOKUP(Calculator!E23,tbSkills!DH3:DI6,2,FALSE)+IF(AND(Calculator!B8=TRUE,Backdoors!BI43=TRUE),VLOOKUP(Calculator!E23,tbSkills!DH3:DJ6,3,FALSE),0),0))&gt;=100,100,(Backdoors!AI12+IF(JV104&gt;=0.45,VLOOKUP(Calculator!E23,tbSkills!DH3:DI6,2,FALSE)+IF(AND(Calculator!B8=TRUE,Backdoors!BI43=TRUE),VLOOKUP(Calculator!E23,tbSkills!DH3:DJ6,3,FALSE),0),0)))/100)),(1-(0.25*((-Backdoors!AI12-IF(JV104&gt;=0.45,VLOOKUP(Calculator!E23,tbSkills!DH3:DI6,2,FALSE)+IF(AND(Calculator!B8=TRUE,Backdoors!BI43=TRUE),VLOOKUP(Calculator!E23,tbSkills!DH3:DJ6,3,FALSE),0),0))/100)))),1),"")</f>
        <v>1</v>
      </c>
      <c r="JY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V104)*JX104)*(VLOOKUP(A104,tbMoveset!A2:C112,3,FALSE)/100)*IF(VLOOKUP(A104,tbMoveset!A2:B112,2,FALSE)="Projectile",Backdoors!N10,Backdoors!N9),0),"")</f>
        <v/>
      </c>
      <c r="JZ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46&gt;0,VLOOKUP(Calculator!E46,tbSkills!AC3:AD5,2,FALSE),Backdoors!AL3)*(IF((Backdoors!AI12+IF(JV104&gt;=0.45,VLOOKUP(Calculator!E23,tbSkills!DH3:DI6,2,FALSE)+IF(AND(Calculator!B8=TRUE,Backdoors!BI43=TRUE),VLOOKUP(Calculator!E23,tbSkills!DH3:DJ6,3,FALSE),0),0))&gt;=100,100,(Backdoors!AI12+IF(JV104&gt;=0.45,VLOOKUP(Calculator!E23,tbSkills!DH3:DI6,2,FALSE)+IF(AND(Calculator!B8=TRUE,Backdoors!BI43=TRUE),VLOOKUP(Calculator!E23,tbSkills!DH3:DJ6,3,FALSE),0),0)))/100)),1))*IF(VLOOKUP(A104,tbMoveset!A2:K112,11,FALSE)=TRUE,Backdoors!AC5,1))*JW104,0),"")</f>
        <v/>
      </c>
      <c r="KA104" s="49">
        <f>VLOOKUP(A104,tbMoveset!A2:G112,7,FALSE)*IFERROR(IF(Backdoors!AI12&gt;=0,1+(IF(Calculator!E40&gt;0,VLOOKUP(Calculator!E40,tbSkills!AI3:AJ5,2,FALSE),Backdoors!AL4)*(IF((Backdoors!AI12+IF(JV104&gt;=0.45,VLOOKUP(Calculator!E23,tbSkills!DH3:DI6,2,FALSE)+IF(AND(Calculator!B8=TRUE,Backdoors!BI43=TRUE),VLOOKUP(Calculator!E23,tbSkills!DH3:DJ6,3,FALSE),0),0))&gt;=100,100,(Backdoors!AI12+IF(JV104&gt;=0.45,VLOOKUP(Calculator!E23,tbSkills!DH3:DI6,2,FALSE)+IF(AND(Calculator!B8=TRUE,Backdoors!BI43=TRUE),VLOOKUP(Calculator!E23,tbSkills!DH3:DJ6,3,FALSE),0),0)))/100)),1),1)</f>
        <v>0.4</v>
      </c>
      <c r="KB104" s="87">
        <f t="shared" si="91"/>
        <v>0</v>
      </c>
      <c r="KC104" s="86" t="str">
        <f>IFERROR(IF(VLOOKUP(A104,tbMoveset!A2:B112,2,FALSE)="Sever",Backdoors!AY44/100,IF(VLOOKUP(A104,tbMoveset!A2:B112,2,FALSE)="Blunt",Backdoors!AZ44/100,Backdoors!BA44/100)),"")</f>
        <v/>
      </c>
      <c r="KD104" s="49">
        <f>IFERROR(IF(VLOOKUP(tbMoveset!A104,tbMoveset!A2:H112,8,FALSE)="Other",IF(VLOOKUP(tbMoveset!A104,tbMoveset!A2:I112,9,FALSE)="Fire",Backdoors!BB44,IF(VLOOKUP(tbMoveset!A104,tbMoveset!A2:I112,9,FALSE)="Water",Backdoors!BC44,IF(VLOOKUP(tbMoveset!A104,tbMoveset!A2:I112,9,FALSE)="Thunder",Backdoors!BD44,IF(VLOOKUP(tbMoveset!A104,tbMoveset!A2:I112,9,FALSE)="Ice",Backdoors!BE44,IF(VLOOKUP(tbMoveset!A104,tbMoveset!A2:I112,9,FALSE)="Dragon",Backdoors!BF44,Backdoors!BG44)))))/100,Backdoors!BG44/100),"")</f>
        <v>0</v>
      </c>
      <c r="KE104" s="49">
        <f>IFERROR(IF(VLOOKUP(A104,tbMoveset!A2:J112,10,FALSE)=TRUE,IF((Backdoors!AI12+IF(KC104&gt;=0.45,VLOOKUP(Calculator!E23,tbSkills!DH3:DI6,2,FALSE)+IF(AND(Calculator!B8=TRUE,Backdoors!BI44=TRUE),VLOOKUP(Calculator!E23,tbSkills!DH3:DJ6,3,FALSE),0),0))&gt;=0,1+(Backdoors!AL2*(IF((Backdoors!AI12+IF(KC104&gt;=0.45,VLOOKUP(Calculator!E23,tbSkills!DH3:DI6,2,FALSE)+IF(AND(Calculator!B8=TRUE,Backdoors!BI44=TRUE),VLOOKUP(Calculator!E23,tbSkills!DH3:DJ6,3,FALSE),0),0))&gt;=100,100,(Backdoors!AI12+IF(KC104&gt;=0.45,VLOOKUP(Calculator!E23,tbSkills!DH3:DI6,2,FALSE)+IF(AND(Calculator!B8=TRUE,Backdoors!BI44=TRUE),VLOOKUP(Calculator!E23,tbSkills!DH3:DJ6,3,FALSE),0),0)))/100)),(1-(0.25*((-Backdoors!AI12-IF(KC104&gt;=0.45,VLOOKUP(Calculator!E23,tbSkills!DH3:DI6,2,FALSE)+IF(AND(Calculator!B8=TRUE,Backdoors!BI44=TRUE),VLOOKUP(Calculator!E23,tbSkills!DH3:DJ6,3,FALSE),0),0))/100)))),1),"")</f>
        <v>1</v>
      </c>
      <c r="KF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KC104)*KE104)*(VLOOKUP(A104,tbMoveset!A2:C112,3,FALSE)/100)*IF(VLOOKUP(A104,tbMoveset!A2:B112,2,FALSE)="Projectile",Backdoors!N10,Backdoors!N9),0),"")</f>
        <v/>
      </c>
      <c r="KG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REF!&gt;0,VLOOKUP(Calculator!#REF!,tbSkills!AC3:AD5,2,FALSE),Backdoors!AL3)*(IF((Backdoors!AI12+IF(KC104&gt;=0.45,VLOOKUP(Calculator!E23,tbSkills!DH3:DI6,2,FALSE)+IF(AND(Calculator!B8=TRUE,Backdoors!BI44=TRUE),VLOOKUP(Calculator!E23,tbSkills!DH3:DJ6,3,FALSE),0),0))&gt;=100,100,(Backdoors!AI12+IF(KC104&gt;=0.45,VLOOKUP(Calculator!E23,tbSkills!DH3:DI6,2,FALSE)+IF(AND(Calculator!B8=TRUE,Backdoors!BI44=TRUE),VLOOKUP(Calculator!E23,tbSkills!DH3:DJ6,3,FALSE),0),0)))/100)),1))*IF(VLOOKUP(A104,tbMoveset!A2:K112,11,FALSE)=TRUE,Backdoors!AC5,1))*KD104,0),"")</f>
        <v/>
      </c>
      <c r="KH104" s="49">
        <f>VLOOKUP(A104,tbMoveset!A2:G112,7,FALSE)*IFERROR(IF(Backdoors!AI12&gt;=0,1+(IF(Calculator!E40&gt;0,VLOOKUP(Calculator!E40,tbSkills!AI3:AJ5,2,FALSE),Backdoors!AL4)*(IF((Backdoors!AI12+IF(KC104&gt;=0.45,VLOOKUP(Calculator!E23,tbSkills!DH3:DI6,2,FALSE)+IF(AND(Calculator!B8=TRUE,Backdoors!BI44=TRUE),VLOOKUP(Calculator!E23,tbSkills!DH3:DJ6,3,FALSE),0),0))&gt;=100,100,(Backdoors!AI12+IF(KC104&gt;=0.45,VLOOKUP(Calculator!E23,tbSkills!DH3:DI6,2,FALSE)+IF(AND(Calculator!B8=TRUE,Backdoors!BI44=TRUE),VLOOKUP(Calculator!E23,tbSkills!DH3:DJ6,3,FALSE),0),0)))/100)),1),1)</f>
        <v>0.4</v>
      </c>
      <c r="KI104" s="87">
        <f t="shared" si="92"/>
        <v>0</v>
      </c>
      <c r="KJ104" s="86" t="str">
        <f>IFERROR(IF(VLOOKUP(A104,tbMoveset!A2:B112,2,FALSE)="Sever",Backdoors!AY45/100,IF(VLOOKUP(A104,tbMoveset!A2:B112,2,FALSE)="Blunt",Backdoors!AZ45/100,Backdoors!BA45/100)),"")</f>
        <v/>
      </c>
      <c r="KK104" s="49">
        <f>IFERROR(IF(VLOOKUP(tbMoveset!A104,tbMoveset!A2:H112,8,FALSE)="Other",IF(VLOOKUP(tbMoveset!A104,tbMoveset!A2:I112,9,FALSE)="Fire",Backdoors!BB45,IF(VLOOKUP(tbMoveset!A104,tbMoveset!A2:I112,9,FALSE)="Water",Backdoors!BC45,IF(VLOOKUP(tbMoveset!A104,tbMoveset!A2:I112,9,FALSE)="Thunder",Backdoors!BD45,IF(VLOOKUP(tbMoveset!A104,tbMoveset!A2:I112,9,FALSE)="Ice",Backdoors!BE45,IF(VLOOKUP(tbMoveset!A104,tbMoveset!A2:I112,9,FALSE)="Dragon",Backdoors!BF45,Backdoors!BG45)))))/100,Backdoors!BG45/100),"")</f>
        <v>0</v>
      </c>
      <c r="KL104" s="49">
        <f>IFERROR(IF(VLOOKUP(A104,tbMoveset!A2:J112,10,FALSE)=TRUE,IF((Backdoors!AI12+IF(KJ104&gt;=0.45,VLOOKUP(Calculator!E23,tbSkills!DH3:DI6,2,FALSE)+IF(AND(Calculator!B8=TRUE,Backdoors!BI45=TRUE),VLOOKUP(Calculator!E23,tbSkills!DH3:DJ6,3,FALSE),0),0))&gt;=0,1+(Backdoors!AL2*(IF((Backdoors!AI12+IF(KJ104&gt;=0.45,VLOOKUP(Calculator!E23,tbSkills!DH3:DI6,2,FALSE)+IF(AND(Calculator!B8=TRUE,Backdoors!BI45=TRUE),VLOOKUP(Calculator!E23,tbSkills!DH3:DJ6,3,FALSE),0),0))&gt;=100,100,(Backdoors!AI12+IF(KJ104&gt;=0.45,VLOOKUP(Calculator!E23,tbSkills!DH3:DI6,2,FALSE)+IF(AND(Calculator!B8=TRUE,Backdoors!BI45=TRUE),VLOOKUP(Calculator!E23,tbSkills!DH3:DJ6,3,FALSE),0),0)))/100)),(1-(0.25*((-Backdoors!AI12-IF(KJ104&gt;=0.45,VLOOKUP(Calculator!E23,tbSkills!DH3:DI6,2,FALSE)+IF(AND(Calculator!B8=TRUE,Backdoors!BI45=TRUE),VLOOKUP(Calculator!E23,tbSkills!DH3:DJ6,3,FALSE),0),0))/100)))),1),"")</f>
        <v>1</v>
      </c>
      <c r="KM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KJ104)*KL104)*(VLOOKUP(A104,tbMoveset!A2:C112,3,FALSE)/100)*IF(VLOOKUP(A104,tbMoveset!A2:B112,2,FALSE)="Projectile",Backdoors!N10,Backdoors!N9),0),"")</f>
        <v/>
      </c>
      <c r="KN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REF!&gt;0,VLOOKUP(Calculator!#REF!,tbSkills!AC3:AD5,2,FALSE),Backdoors!AL3)*(IF((Backdoors!AI12+IF(KJ104&gt;=0.45,VLOOKUP(Calculator!E23,tbSkills!DH3:DI6,2,FALSE)+IF(AND(Calculator!B8=TRUE,Backdoors!BI45=TRUE),VLOOKUP(Calculator!E23,tbSkills!DH3:DJ6,3,FALSE),0),0))&gt;=100,100,(Backdoors!AI12+IF(KJ104&gt;=0.45,VLOOKUP(Calculator!E23,tbSkills!DH3:DI6,2,FALSE)+IF(AND(Calculator!B8=TRUE,Backdoors!BI45=TRUE),VLOOKUP(Calculator!E23,tbSkills!DH3:DJ6,3,FALSE),0),0)))/100)),1))*IF(VLOOKUP(A104,tbMoveset!A2:K112,11,FALSE)=TRUE,Backdoors!AC5,1))*KK104,0),"")</f>
        <v/>
      </c>
      <c r="KO104" s="49">
        <f>VLOOKUP(A104,tbMoveset!A2:G112,7,FALSE)*IFERROR(IF(Backdoors!AI12&gt;=0,1+(IF(Calculator!E40&gt;0,VLOOKUP(Calculator!E40,tbSkills!AI3:AJ5,2,FALSE),Backdoors!AL4)*(IF((Backdoors!AI12+IF(KJ104&gt;=0.45,VLOOKUP(Calculator!E23,tbSkills!DH3:DI6,2,FALSE)+IF(AND(Calculator!B8=TRUE,Backdoors!BI45=TRUE),VLOOKUP(Calculator!E23,tbSkills!DH3:DJ6,3,FALSE),0),0))&gt;=100,100,(Backdoors!AI12+IF(KJ104&gt;=0.45,VLOOKUP(Calculator!E23,tbSkills!DH3:DI6,2,FALSE)+IF(AND(Calculator!B8=TRUE,Backdoors!BI45=TRUE),VLOOKUP(Calculator!E23,tbSkills!DH3:DJ6,3,FALSE),0),0)))/100)),1),1)</f>
        <v>0.4</v>
      </c>
      <c r="KP104" s="87">
        <f t="shared" si="93"/>
        <v>0</v>
      </c>
      <c r="KQ104" s="86" t="str">
        <f>IFERROR(IF(VLOOKUP(A104,tbMoveset!A2:B112,2,FALSE)="Sever",Backdoors!AY46/100,IF(VLOOKUP(A104,tbMoveset!A2:B112,2,FALSE)="Blunt",Backdoors!AZ46/100,Backdoors!BA46/100)),"")</f>
        <v/>
      </c>
      <c r="KR104" s="49">
        <f>IFERROR(IF(VLOOKUP(tbMoveset!A104,tbMoveset!A2:H112,8,FALSE)="Other",IF(VLOOKUP(tbMoveset!A104,tbMoveset!A2:I112,9,FALSE)="Fire",Backdoors!BB46,IF(VLOOKUP(tbMoveset!A104,tbMoveset!A2:I112,9,FALSE)="Water",Backdoors!BC46,IF(VLOOKUP(tbMoveset!A104,tbMoveset!A2:I112,9,FALSE)="Thunder",Backdoors!BD46,IF(VLOOKUP(tbMoveset!A104,tbMoveset!A2:I112,9,FALSE)="Ice",Backdoors!BE46,IF(VLOOKUP(tbMoveset!A104,tbMoveset!A2:I112,9,FALSE)="Dragon",Backdoors!BF46,Backdoors!BG46)))))/100,Backdoors!BG46/100),"")</f>
        <v>0</v>
      </c>
      <c r="KS104" s="49">
        <f>IFERROR(IF(VLOOKUP(A104,tbMoveset!A2:J112,10,FALSE)=TRUE,IF((Backdoors!AI12+IF(KQ104&gt;=0.45,VLOOKUP(Calculator!E23,tbSkills!DH3:DI6,2,FALSE)+IF(AND(Calculator!B8=TRUE,Backdoors!BI46=TRUE),VLOOKUP(Calculator!E23,tbSkills!DH3:DJ6,3,FALSE),0),0))&gt;=0,1+(Backdoors!AL2*(IF((Backdoors!AI12+IF(KQ104&gt;=0.45,VLOOKUP(Calculator!E23,tbSkills!DH3:DI6,2,FALSE)+IF(AND(Calculator!B8=TRUE,Backdoors!BI46=TRUE),VLOOKUP(Calculator!E23,tbSkills!DH3:DJ6,3,FALSE),0),0))&gt;=100,100,(Backdoors!AI12+IF(KQ104&gt;=0.45,VLOOKUP(Calculator!E23,tbSkills!DH3:DI6,2,FALSE)+IF(AND(Calculator!B8=TRUE,Backdoors!BI46=TRUE),VLOOKUP(Calculator!E23,tbSkills!DH3:DJ6,3,FALSE),0),0)))/100)),(1-(0.25*((-Backdoors!AI12-IF(KQ104&gt;=0.45,VLOOKUP(Calculator!E23,tbSkills!DH3:DI6,2,FALSE)+IF(AND(Calculator!B8=TRUE,Backdoors!BI46=TRUE),VLOOKUP(Calculator!E23,tbSkills!DH3:DJ6,3,FALSE),0),0))/100)))),1),"")</f>
        <v>1</v>
      </c>
      <c r="KT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KQ104)*KS104)*(VLOOKUP(A104,tbMoveset!A2:C112,3,FALSE)/100)*IF(VLOOKUP(A104,tbMoveset!A2:B112,2,FALSE)="Projectile",Backdoors!N10,Backdoors!N9),0),"")</f>
        <v/>
      </c>
      <c r="KU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REF!&gt;0,VLOOKUP(Calculator!#REF!,tbSkills!AC3:AD5,2,FALSE),Backdoors!AL3)*(IF((Backdoors!AI12+IF(KQ104&gt;=0.45,VLOOKUP(Calculator!E23,tbSkills!DH3:DI6,2,FALSE)+IF(AND(Calculator!B8=TRUE,Backdoors!BI46=TRUE),VLOOKUP(Calculator!E23,tbSkills!DH3:DJ6,3,FALSE),0),0))&gt;=100,100,(Backdoors!AI12+IF(KQ104&gt;=0.45,VLOOKUP(Calculator!E23,tbSkills!DH3:DI6,2,FALSE)+IF(AND(Calculator!B8=TRUE,Backdoors!BI46=TRUE),VLOOKUP(Calculator!E23,tbSkills!DH3:DJ6,3,FALSE),0),0)))/100)),1))*IF(VLOOKUP(A104,tbMoveset!A2:K112,11,FALSE)=TRUE,Backdoors!AC5,1))*KR104,0),"")</f>
        <v/>
      </c>
      <c r="KV104" s="49">
        <f>VLOOKUP(A104,tbMoveset!A2:G112,7,FALSE)*IFERROR(IF(Backdoors!AI12&gt;=0,1+(IF(Calculator!E40&gt;0,VLOOKUP(Calculator!E40,tbSkills!AI3:AJ5,2,FALSE),Backdoors!AL4)*(IF((Backdoors!AI12+IF(KQ104&gt;=0.45,VLOOKUP(Calculator!E23,tbSkills!DH3:DI6,2,FALSE)+IF(AND(Calculator!B8=TRUE,Backdoors!BI46=TRUE),VLOOKUP(Calculator!E23,tbSkills!DH3:DJ6,3,FALSE),0),0))&gt;=100,100,(Backdoors!AI12+IF(KQ104&gt;=0.45,VLOOKUP(Calculator!E23,tbSkills!DH3:DI6,2,FALSE)+IF(AND(Calculator!B8=TRUE,Backdoors!BI46=TRUE),VLOOKUP(Calculator!E23,tbSkills!DH3:DJ6,3,FALSE),0),0)))/100)),1),1)</f>
        <v>0.4</v>
      </c>
      <c r="KW104" s="87">
        <f t="shared" si="94"/>
        <v>0</v>
      </c>
    </row>
    <row r="105" spans="1:309" x14ac:dyDescent="0.25">
      <c r="A105" s="95" t="str">
        <f>tbMoveset!A105</f>
        <v>[Mounting] Demon Flurry (R3)</v>
      </c>
      <c r="B105" s="86">
        <f>IFERROR(IF(VLOOKUP(A105,tbMoveset!A2:B112,2,FALSE)="Sever",Backdoors!AY3/100,IF(VLOOKUP(A105,tbMoveset!A2:B112,2,FALSE)="Blunt",Backdoors!AZ3/100,Backdoors!BA3/100)),"")</f>
        <v>0.8</v>
      </c>
      <c r="C105" s="49">
        <f>IFERROR(IF(VLOOKUP(tbMoveset!A105,tbMoveset!A2:H112,8,FALSE)="Other",IF(VLOOKUP(tbMoveset!A105,tbMoveset!A2:I112,9,FALSE)="Fire",Backdoors!BB3,IF(VLOOKUP(tbMoveset!A105,tbMoveset!A2:I112,9,FALSE)="Water",Backdoors!BC3,IF(VLOOKUP(tbMoveset!A105,tbMoveset!A2:I112,9,FALSE)="Thunder",Backdoors!BD3,IF(VLOOKUP(tbMoveset!A105,tbMoveset!A2:I112,9,FALSE)="Ice",Backdoors!BE3,IF(VLOOKUP(tbMoveset!A105,tbMoveset!A2:I112,9,FALSE)="Dragon",Backdoors!BF3,Backdoors!BG3)))))/100,Backdoors!BG3/100),"")</f>
        <v>0</v>
      </c>
      <c r="D105" s="49">
        <f>IFERROR(IF(VLOOKUP(A105,tbMoveset!A2:J112,10,FALSE)=TRUE,IF((Backdoors!AI12+IF(B105&gt;=0.45,VLOOKUP(Calculator!E23,tbSkills!DH3:DI6,2,FALSE)+IF(AND(Calculator!B8=TRUE,Backdoors!BI3=TRUE),VLOOKUP(Calculator!E23,tbSkills!DH3:DJ6,3,FALSE),0),0))&gt;=0,1+(Backdoors!AL2*(IF((Backdoors!AI12+IF(B105&gt;=0.45,VLOOKUP(Calculator!E23,tbSkills!DH3:DI6,2,FALSE)+IF(AND(Calculator!B8=TRUE,Backdoors!BI3=TRUE),VLOOKUP(Calculator!E23,tbSkills!DH3:DJ6,3,FALSE),0),0))&gt;=100,100,(Backdoors!AI12+IF(B105&gt;=0.45,VLOOKUP(Calculator!E23,tbSkills!DH3:DI6,2,FALSE)+IF(AND(Calculator!B8=TRUE,Backdoors!BI3=TRUE),VLOOKUP(Calculator!E23,tbSkills!DH3:DJ6,3,FALSE),0),0)))/100)),(1-(0.25*((-Backdoors!AI12-IF(B105&gt;=0.45,VLOOKUP(Calculator!E23,tbSkills!DH3:DI6,2,FALSE)+IF(AND(Calculator!B8=TRUE,Backdoors!BI3=TRUE),VLOOKUP(Calculator!E23,tbSkills!DH3:DJ6,3,FALSE),0),0))/100)))),1),"")</f>
        <v>1</v>
      </c>
      <c r="E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105)*D105)*(VLOOKUP(A105,tbMoveset!A2:C112,3,FALSE)/100)*IF(VLOOKUP(A105,tbMoveset!A2:B112,2,FALSE)="Projectile",Backdoors!N10,Backdoors!N9),0),"")</f>
        <v>5</v>
      </c>
      <c r="F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105&gt;=0.45,VLOOKUP(Calculator!E23,tbSkills!DH3:DI6,2,FALSE)+IF(AND(Calculator!B8=TRUE,Backdoors!BI3=TRUE),VLOOKUP(Calculator!E23,tbSkills!DH3:DJ6,3,FALSE),0),0))&gt;=100,100,(Backdoors!AI12+IF(B105&gt;=0.45,VLOOKUP(Calculator!E23,tbSkills!DH3:DI6,2,FALSE)+IF(AND(Calculator!B8=TRUE,Backdoors!BI3=TRUE),VLOOKUP(Calculator!E23,tbSkills!DH3:DJ6,3,FALSE),0),0)))/100)),1))*IF(VLOOKUP(A105,tbMoveset!A2:K112,11,FALSE)=TRUE,Backdoors!AC5,1))*C105,0),"")</f>
        <v>0</v>
      </c>
      <c r="G105">
        <f>VLOOKUP(A105,tbMoveset!A2:G112,7,FALSE)*IFERROR(IF(Backdoors!AI12&gt;=0,1+(IF(Calculator!E40&gt;0,VLOOKUP(Calculator!E40,tbSkills!AI3:AJ5,2,FALSE),Backdoors!AL4)*(IF((Backdoors!AI12+IF(B105&gt;=0.45,VLOOKUP(Calculator!E23,tbSkills!DH3:DI6,2,FALSE)+IF(AND(Calculator!B8=TRUE,Backdoors!BI3=TRUE),VLOOKUP(Calculator!E23,tbSkills!DH3:DJ6,3,FALSE),0),0))&gt;=100,100,(Backdoors!AI12+IF(B105&gt;=0.45,VLOOKUP(Calculator!E23,tbSkills!DH3:DI6,2,FALSE)+IF(AND(Calculator!B8=TRUE,Backdoors!BI3=TRUE),VLOOKUP(Calculator!E23,tbSkills!DH3:DJ6,3,FALSE),0),0)))/100)),1),1)</f>
        <v>0.4</v>
      </c>
      <c r="H105" s="87">
        <f t="shared" si="95"/>
        <v>5</v>
      </c>
      <c r="I105" s="86">
        <f>IFERROR(IF(VLOOKUP(A105,tbMoveset!A2:B112,2,FALSE)="Sever",Backdoors!AY4/100,IF(VLOOKUP(A105,tbMoveset!A2:B112,2,FALSE)="Blunt",Backdoors!AZ4/100,Backdoors!BA4/100)),"")</f>
        <v>0.65</v>
      </c>
      <c r="J105" s="49">
        <f>IFERROR(IF(VLOOKUP(tbMoveset!A105,tbMoveset!A2:H112,8,FALSE)="Other",IF(VLOOKUP(tbMoveset!A105,tbMoveset!A2:I112,9,FALSE)="Fire",Backdoors!BB4,IF(VLOOKUP(tbMoveset!A105,tbMoveset!A2:I112,9,FALSE)="Water",Backdoors!BC4,IF(VLOOKUP(tbMoveset!A105,tbMoveset!A2:I112,9,FALSE)="Thunder",Backdoors!BD4,IF(VLOOKUP(tbMoveset!A105,tbMoveset!A2:I112,9,FALSE)="Ice",Backdoors!BE4,IF(VLOOKUP(tbMoveset!A105,tbMoveset!A2:I112,9,FALSE)="Dragon",Backdoors!BF4,Backdoors!BG4)))))/100,Backdoors!BG4/100),"")</f>
        <v>0</v>
      </c>
      <c r="K105" s="49">
        <f>IFERROR(IF(VLOOKUP(A105,tbMoveset!A2:J112,10,FALSE)=TRUE,IF((Backdoors!AI12+IF(I105&gt;=0.45,VLOOKUP(Calculator!E23,tbSkills!DH3:DI6,2,FALSE)+IF(AND(Calculator!B8=TRUE,Backdoors!BI4=TRUE),VLOOKUP(Calculator!E23,tbSkills!DH3:DJ6,3,FALSE),0),0))&gt;=0,1+(Backdoors!AL2*(IF((Backdoors!AI12+IF(I105&gt;=0.45,VLOOKUP(Calculator!E23,tbSkills!DH3:DI6,2,FALSE)+IF(AND(Calculator!B8=TRUE,Backdoors!BI4=TRUE),VLOOKUP(Calculator!E23,tbSkills!DH3:DJ6,3,FALSE),0),0))&gt;=100,100,(Backdoors!AI12+IF(I105&gt;=0.45,VLOOKUP(Calculator!E23,tbSkills!DH3:DI6,2,FALSE)+IF(AND(Calculator!B8=TRUE,Backdoors!BI4=TRUE),VLOOKUP(Calculator!E23,tbSkills!DH3:DJ6,3,FALSE),0),0)))/100)),(1-(0.25*((-Backdoors!AI12-IF(I105&gt;=0.45,VLOOKUP(Calculator!E23,tbSkills!DH3:DI6,2,FALSE)+IF(AND(Calculator!B8=TRUE,Backdoors!BI4=TRUE),VLOOKUP(Calculator!E23,tbSkills!DH3:DJ6,3,FALSE),0),0))/100)))),1),"")</f>
        <v>1</v>
      </c>
      <c r="L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105)*K105)*(VLOOKUP(A105,tbMoveset!A2:C112,3,FALSE)/100)*IF(VLOOKUP(A105,tbMoveset!A2:B112,2,FALSE)="Projectile",Backdoors!N10,Backdoors!N9),0),"")</f>
        <v>4</v>
      </c>
      <c r="M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I105&gt;=0.45,VLOOKUP(Calculator!E23,tbSkills!DH3:DI6,2,FALSE)+IF(AND(Calculator!B8=TRUE,Backdoors!BI4=TRUE),VLOOKUP(Calculator!E23,tbSkills!DH3:DJ6,3,FALSE),0),0))&gt;=100,100,(Backdoors!AI12+IF(I105&gt;=0.45,VLOOKUP(Calculator!E23,tbSkills!DH3:DI6,2,FALSE)+IF(AND(Calculator!B8=TRUE,Backdoors!BI4=TRUE),VLOOKUP(Calculator!E23,tbSkills!DH3:DJ6,3,FALSE),0),0)))/100)),1))*IF(VLOOKUP(A105,tbMoveset!A2:K112,11,FALSE)=TRUE,Backdoors!AC5,1))*J105,0),"")</f>
        <v>0</v>
      </c>
      <c r="N105" s="49">
        <f>VLOOKUP(A105,tbMoveset!A2:G112,7,FALSE)*IFERROR(IF(Backdoors!AI12&gt;=0,1+(IF(Calculator!E40&gt;0,VLOOKUP(Calculator!E40,tbSkills!AI3:AJ5,2,FALSE),Backdoors!AL4)*(IF((Backdoors!AI12+IF(I105&gt;=0.45,VLOOKUP(Calculator!E23,tbSkills!DH3:DI6,2,FALSE)+IF(AND(Calculator!B8=TRUE,Backdoors!BI4=TRUE),VLOOKUP(Calculator!E23,tbSkills!DH3:DJ6,3,FALSE),0),0))&gt;=100,100,(Backdoors!AI12+IF(I105&gt;=0.45,VLOOKUP(Calculator!E23,tbSkills!DH3:DI6,2,FALSE)+IF(AND(Calculator!B8=TRUE,Backdoors!BI4=TRUE),VLOOKUP(Calculator!E23,tbSkills!DH3:DJ6,3,FALSE),0),0)))/100)),1),1)</f>
        <v>0.4</v>
      </c>
      <c r="O105" s="87">
        <f t="shared" si="96"/>
        <v>4</v>
      </c>
      <c r="P105" s="86">
        <f>IFERROR(IF(VLOOKUP(A105,tbMoveset!A2:B112,2,FALSE)="Sever",Backdoors!AY5/100,IF(VLOOKUP(A105,tbMoveset!A2:B112,2,FALSE)="Blunt",Backdoors!AZ5/100,Backdoors!BA5/100)),"")</f>
        <v>0.5</v>
      </c>
      <c r="Q105" s="49">
        <f>IFERROR(IF(VLOOKUP(tbMoveset!A105,tbMoveset!A2:H112,8,FALSE)="Other",IF(VLOOKUP(tbMoveset!A105,tbMoveset!A2:I112,9,FALSE)="Fire",Backdoors!BB5,IF(VLOOKUP(tbMoveset!A105,tbMoveset!A2:I112,9,FALSE)="Water",Backdoors!BC5,IF(VLOOKUP(tbMoveset!A105,tbMoveset!A2:I112,9,FALSE)="Thunder",Backdoors!BD5,IF(VLOOKUP(tbMoveset!A105,tbMoveset!A2:I112,9,FALSE)="Ice",Backdoors!BE5,IF(VLOOKUP(tbMoveset!A105,tbMoveset!A2:I112,9,FALSE)="Dragon",Backdoors!BF5,Backdoors!BG5)))))/100,Backdoors!BG5/100),"")</f>
        <v>0</v>
      </c>
      <c r="R105" s="49">
        <f>IFERROR(IF(VLOOKUP(A105,tbMoveset!A2:J112,10,FALSE)=TRUE,IF((Backdoors!AI12+IF(P105&gt;=0.45,VLOOKUP(Calculator!E23,tbSkills!DH3:DI6,2,FALSE)+IF(AND(Calculator!B8=TRUE,Backdoors!BI5=TRUE),VLOOKUP(Calculator!E23,tbSkills!DH3:DJ6,3,FALSE),0),0))&gt;=0,1+(Backdoors!AL2*(IF((Backdoors!AI12+IF(P105&gt;=0.45,VLOOKUP(Calculator!E23,tbSkills!DH3:DI6,2,FALSE)+IF(AND(Calculator!B8=TRUE,Backdoors!BI5=TRUE),VLOOKUP(Calculator!E23,tbSkills!DH3:DJ6,3,FALSE),0),0))&gt;=100,100,(Backdoors!AI12+IF(P105&gt;=0.45,VLOOKUP(Calculator!E23,tbSkills!DH3:DI6,2,FALSE)+IF(AND(Calculator!B8=TRUE,Backdoors!BI5=TRUE),VLOOKUP(Calculator!E23,tbSkills!DH3:DJ6,3,FALSE),0),0)))/100)),(1-(0.25*((-Backdoors!AI12-IF(P105&gt;=0.45,VLOOKUP(Calculator!E23,tbSkills!DH3:DI6,2,FALSE)+IF(AND(Calculator!B8=TRUE,Backdoors!BI5=TRUE),VLOOKUP(Calculator!E23,tbSkills!DH3:DJ6,3,FALSE),0),0))/100)))),1),"")</f>
        <v>1</v>
      </c>
      <c r="S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P105)*R105)*(VLOOKUP(A105,tbMoveset!A2:C112,3,FALSE)/100)*IF(VLOOKUP(A105,tbMoveset!A2:B112,2,FALSE)="Projectile",Backdoors!N10,Backdoors!N9),0),"")</f>
        <v>3</v>
      </c>
      <c r="T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P105&gt;=0.45,VLOOKUP(Calculator!E23,tbSkills!DH3:DI6,2,FALSE)+IF(AND(Calculator!B8=TRUE,Backdoors!BI5=TRUE),VLOOKUP(Calculator!E23,tbSkills!DH3:DJ6,3,FALSE),0),0))&gt;=100,100,(Backdoors!AI12+IF(P105&gt;=0.45,VLOOKUP(Calculator!E23,tbSkills!DH3:DI6,2,FALSE)+IF(AND(Calculator!B8=TRUE,Backdoors!BI5=TRUE),VLOOKUP(Calculator!E23,tbSkills!DH3:DJ6,3,FALSE),0),0)))/100)),1))*IF(VLOOKUP(A105,tbMoveset!A2:K112,11,FALSE)=TRUE,Backdoors!AC5,1))*Q105,0),"")</f>
        <v>0</v>
      </c>
      <c r="U105" s="49">
        <f>VLOOKUP(A105,tbMoveset!A2:G112,7,FALSE)*IFERROR(IF(Backdoors!AI12&gt;=0,1+(IF(Calculator!E40&gt;0,VLOOKUP(Calculator!E40,tbSkills!AI3:AJ5,2,FALSE),Backdoors!AL4)*(IF((Backdoors!AI12+IF(P105&gt;=0.45,VLOOKUP(Calculator!E23,tbSkills!DH3:DI6,2,FALSE)+IF(AND(Calculator!B8=TRUE,Backdoors!BI5=TRUE),VLOOKUP(Calculator!E23,tbSkills!DH3:DJ6,3,FALSE),0),0))&gt;=100,100,(Backdoors!AI12+IF(P105&gt;=0.45,VLOOKUP(Calculator!E23,tbSkills!DH3:DI6,2,FALSE)+IF(AND(Calculator!B8=TRUE,Backdoors!BI5=TRUE),VLOOKUP(Calculator!E23,tbSkills!DH3:DJ6,3,FALSE),0),0)))/100)),1),1)</f>
        <v>0.4</v>
      </c>
      <c r="V105" s="87">
        <f t="shared" si="53"/>
        <v>3</v>
      </c>
      <c r="W105" s="86">
        <f>IFERROR(IF(VLOOKUP(A105,tbMoveset!A2:B112,2,FALSE)="Sever",Backdoors!AY6/100,IF(VLOOKUP(A105,tbMoveset!A2:B112,2,FALSE)="Blunt",Backdoors!AZ6/100,Backdoors!BA6/100)),"")</f>
        <v>0.45</v>
      </c>
      <c r="X105" s="49">
        <f>IFERROR(IF(VLOOKUP(tbMoveset!A105,tbMoveset!A2:H112,8,FALSE)="Other",IF(VLOOKUP(tbMoveset!A105,tbMoveset!A2:I112,9,FALSE)="Fire",Backdoors!BB6,IF(VLOOKUP(tbMoveset!A105,tbMoveset!A2:I112,9,FALSE)="Water",Backdoors!BC6,IF(VLOOKUP(tbMoveset!A105,tbMoveset!A2:I112,9,FALSE)="Thunder",Backdoors!BD6,IF(VLOOKUP(tbMoveset!A105,tbMoveset!A2:I112,9,FALSE)="Ice",Backdoors!BE6,IF(VLOOKUP(tbMoveset!A105,tbMoveset!A2:I112,9,FALSE)="Dragon",Backdoors!BF6,Backdoors!BG6)))))/100,Backdoors!BG6/100),"")</f>
        <v>0</v>
      </c>
      <c r="Y105" s="49">
        <f>IFERROR(IF(VLOOKUP(A105,tbMoveset!A2:J112,10,FALSE)=TRUE,IF((Backdoors!AI12+IF(W105&gt;=0.45,VLOOKUP(Calculator!E23,tbSkills!DH3:DI6,2,FALSE)+IF(AND(Calculator!B8=TRUE,Backdoors!BI6=TRUE),VLOOKUP(Calculator!E23,tbSkills!DH3:DJ6,3,FALSE),0),0))&gt;=0,1+(Backdoors!AL2*(IF((Backdoors!AI12+IF(W105&gt;=0.45,VLOOKUP(Calculator!E23,tbSkills!DH3:DI6,2,FALSE)+IF(AND(Calculator!B8=TRUE,Backdoors!BI6=TRUE),VLOOKUP(Calculator!E23,tbSkills!DH3:DJ6,3,FALSE),0),0))&gt;=100,100,(Backdoors!AI12+IF(W105&gt;=0.45,VLOOKUP(Calculator!E23,tbSkills!DH3:DI6,2,FALSE)+IF(AND(Calculator!B8=TRUE,Backdoors!BI6=TRUE),VLOOKUP(Calculator!E23,tbSkills!DH3:DJ6,3,FALSE),0),0)))/100)),(1-(0.25*((-Backdoors!AI12-IF(W105&gt;=0.45,VLOOKUP(Calculator!E23,tbSkills!DH3:DI6,2,FALSE)+IF(AND(Calculator!B8=TRUE,Backdoors!BI6=TRUE),VLOOKUP(Calculator!E23,tbSkills!DH3:DJ6,3,FALSE),0),0))/100)))),1),"")</f>
        <v>1</v>
      </c>
      <c r="Z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W105)*Y105)*(VLOOKUP(A105,tbMoveset!A2:C112,3,FALSE)/100)*IF(VLOOKUP(A105,tbMoveset!A2:B112,2,FALSE)="Projectile",Backdoors!N10,Backdoors!N9),0),"")</f>
        <v>3</v>
      </c>
      <c r="AA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W105&gt;=0.45,VLOOKUP(Calculator!E23,tbSkills!DH3:DI6,2,FALSE)+IF(AND(Calculator!B8=TRUE,Backdoors!BI6=TRUE),VLOOKUP(Calculator!E23,tbSkills!DH3:DJ6,3,FALSE),0),0))&gt;=100,100,(Backdoors!AI12+IF(W105&gt;=0.45,VLOOKUP(Calculator!E23,tbSkills!DH3:DI6,2,FALSE)+IF(AND(Calculator!B8=TRUE,Backdoors!BI6=TRUE),VLOOKUP(Calculator!E23,tbSkills!DH3:DJ6,3,FALSE),0),0)))/100)),1))*IF(VLOOKUP(A105,tbMoveset!A2:K112,11,FALSE)=TRUE,Backdoors!AC5,1))*X105,0),"")</f>
        <v>0</v>
      </c>
      <c r="AB105" s="49">
        <f>VLOOKUP(A105,tbMoveset!A2:G112,7,FALSE)*IFERROR(IF(Backdoors!AI12&gt;=0,1+(IF(Calculator!E40&gt;0,VLOOKUP(Calculator!E40,tbSkills!AI3:AJ5,2,FALSE),Backdoors!AL4)*(IF((Backdoors!AI12+IF(W105&gt;=0.45,VLOOKUP(Calculator!E23,tbSkills!DH3:DI6,2,FALSE)+IF(AND(Calculator!B8=TRUE,Backdoors!BI6=TRUE),VLOOKUP(Calculator!E23,tbSkills!DH3:DJ6,3,FALSE),0),0))&gt;=100,100,(Backdoors!AI12+IF(W105&gt;=0.45,VLOOKUP(Calculator!E23,tbSkills!DH3:DI6,2,FALSE)+IF(AND(Calculator!B8=TRUE,Backdoors!BI6=TRUE),VLOOKUP(Calculator!E23,tbSkills!DH3:DJ6,3,FALSE),0),0)))/100)),1),1)</f>
        <v>0.4</v>
      </c>
      <c r="AC105" s="87">
        <f t="shared" si="54"/>
        <v>3</v>
      </c>
      <c r="AD105" s="86">
        <f>IFERROR(IF(VLOOKUP(A105,tbMoveset!A2:B112,2,FALSE)="Sever",Backdoors!AY7/100,IF(VLOOKUP(A105,tbMoveset!A2:B112,2,FALSE)="Blunt",Backdoors!AZ7/100,Backdoors!BA7/100)),"")</f>
        <v>0.65</v>
      </c>
      <c r="AE105" s="49">
        <f>IFERROR(IF(VLOOKUP(tbMoveset!A105,tbMoveset!A2:H112,8,FALSE)="Other",IF(VLOOKUP(tbMoveset!A105,tbMoveset!A2:I112,9,FALSE)="Fire",Backdoors!BB7,IF(VLOOKUP(tbMoveset!A105,tbMoveset!A2:I112,9,FALSE)="Water",Backdoors!BC7,IF(VLOOKUP(tbMoveset!A105,tbMoveset!A2:I112,9,FALSE)="Thunder",Backdoors!BD7,IF(VLOOKUP(tbMoveset!A105,tbMoveset!A2:I112,9,FALSE)="Ice",Backdoors!BE7,IF(VLOOKUP(tbMoveset!A105,tbMoveset!A2:I112,9,FALSE)="Dragon",Backdoors!BF7,Backdoors!BG7)))))/100,Backdoors!BG7/100),"")</f>
        <v>0</v>
      </c>
      <c r="AF105" s="49">
        <f>IFERROR(IF(VLOOKUP(A105,tbMoveset!A2:J112,10,FALSE)=TRUE,IF((Backdoors!AI12+IF(AD105&gt;=0.45,VLOOKUP(Calculator!E23,tbSkills!DH3:DI6,2,FALSE)+IF(AND(Calculator!B8=TRUE,Backdoors!BI7=TRUE),VLOOKUP(Calculator!E23,tbSkills!DH3:DJ6,3,FALSE),0),0))&gt;=0,1+(Backdoors!AL2*(IF((Backdoors!AI12+IF(AD105&gt;=0.45,VLOOKUP(Calculator!E23,tbSkills!DH3:DI6,2,FALSE)+IF(AND(Calculator!B8=TRUE,Backdoors!BI7=TRUE),VLOOKUP(Calculator!E23,tbSkills!DH3:DJ6,3,FALSE),0),0))&gt;=100,100,(Backdoors!AI12+IF(AD105&gt;=0.45,VLOOKUP(Calculator!E23,tbSkills!DH3:DI6,2,FALSE)+IF(AND(Calculator!B8=TRUE,Backdoors!BI7=TRUE),VLOOKUP(Calculator!E23,tbSkills!DH3:DJ6,3,FALSE),0),0)))/100)),(1-(0.25*((-Backdoors!AI12-IF(AD105&gt;=0.45,VLOOKUP(Calculator!E23,tbSkills!DH3:DI6,2,FALSE)+IF(AND(Calculator!B8=TRUE,Backdoors!BI7=TRUE),VLOOKUP(Calculator!E23,tbSkills!DH3:DJ6,3,FALSE),0),0))/100)))),1),"")</f>
        <v>1</v>
      </c>
      <c r="AG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D105)*AF105)*(VLOOKUP(A105,tbMoveset!A2:C112,3,FALSE)/100)*IF(VLOOKUP(A105,tbMoveset!A2:B112,2,FALSE)="Projectile",Backdoors!N10,Backdoors!N9),0),"")</f>
        <v>4</v>
      </c>
      <c r="AH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D105&gt;=0.45,VLOOKUP(Calculator!E23,tbSkills!DH3:DI6,2,FALSE)+IF(AND(Calculator!B8=TRUE,Backdoors!BI7=TRUE),VLOOKUP(Calculator!E23,tbSkills!DH3:DJ6,3,FALSE),0),0))&gt;=100,100,(Backdoors!AI12+IF(AD105&gt;=0.45,VLOOKUP(Calculator!E23,tbSkills!DH3:DI6,2,FALSE)+IF(AND(Calculator!B8=TRUE,Backdoors!BI7=TRUE),VLOOKUP(Calculator!E23,tbSkills!DH3:DJ6,3,FALSE),0),0)))/100)),1))*IF(VLOOKUP(A105,tbMoveset!A2:K112,11,FALSE)=TRUE,Backdoors!AC5,1))*AE105,0),"")</f>
        <v>0</v>
      </c>
      <c r="AI105" s="49">
        <f>VLOOKUP(A105,tbMoveset!A2:G112,7,FALSE)*IFERROR(IF(Backdoors!AI12&gt;=0,1+(IF(Calculator!E40&gt;0,VLOOKUP(Calculator!E40,tbSkills!AI3:AJ5,2,FALSE),Backdoors!AL4)*(IF((Backdoors!AI12+IF(AD105&gt;=0.45,VLOOKUP(Calculator!E23,tbSkills!DH3:DI6,2,FALSE)+IF(AND(Calculator!B8=TRUE,Backdoors!BI7=TRUE),VLOOKUP(Calculator!E23,tbSkills!DH3:DJ6,3,FALSE),0),0))&gt;=100,100,(Backdoors!AI12+IF(AD105&gt;=0.45,VLOOKUP(Calculator!E23,tbSkills!DH3:DI6,2,FALSE)+IF(AND(Calculator!B8=TRUE,Backdoors!BI7=TRUE),VLOOKUP(Calculator!E23,tbSkills!DH3:DJ6,3,FALSE),0),0)))/100)),1),1)</f>
        <v>0.4</v>
      </c>
      <c r="AJ105" s="87">
        <f t="shared" si="55"/>
        <v>4</v>
      </c>
      <c r="AK105" s="91">
        <f>IFERROR(IF(VLOOKUP(A105,tbMoveset!A2:B112,2,FALSE)="Sever",Backdoors!AY8/100,IF(VLOOKUP(A105,tbMoveset!A2:B112,2,FALSE)="Blunt",Backdoors!AZ8/100,Backdoors!BA8/100)),"")</f>
        <v>0.45</v>
      </c>
      <c r="AL105" s="49">
        <f>IFERROR(IF(VLOOKUP(tbMoveset!A105,tbMoveset!A2:H112,8,FALSE)="Other",IF(VLOOKUP(tbMoveset!A105,tbMoveset!A2:I112,9,FALSE)="Fire",Backdoors!BB8,IF(VLOOKUP(tbMoveset!A105,tbMoveset!A2:I112,9,FALSE)="Water",Backdoors!BC8,IF(VLOOKUP(tbMoveset!A105,tbMoveset!A2:I112,9,FALSE)="Thunder",Backdoors!BD8,IF(VLOOKUP(tbMoveset!A105,tbMoveset!A2:I112,9,FALSE)="Ice",Backdoors!BE8,IF(VLOOKUP(tbMoveset!A105,tbMoveset!A2:I112,9,FALSE)="Dragon",Backdoors!BF8,Backdoors!BG8)))))/100,Backdoors!BG8/100),"")</f>
        <v>0</v>
      </c>
      <c r="AM105" s="49">
        <f>IFERROR(IF(VLOOKUP(A105,tbMoveset!A2:J112,10,FALSE)=TRUE,IF((Backdoors!AI12+IF(AK105&gt;=0.45,VLOOKUP(Calculator!E23,tbSkills!DH3:DI6,2,FALSE)+IF(AND(Calculator!B8=TRUE,Backdoors!BI8=TRUE),VLOOKUP(Calculator!E23,tbSkills!DH3:DJ6,3,FALSE),0),0))&gt;=0,1+(Backdoors!AL2*(IF((Backdoors!AI12+IF(AK105&gt;=0.45,VLOOKUP(Calculator!E23,tbSkills!DH3:DI6,2,FALSE)+IF(AND(Calculator!B8=TRUE,Backdoors!BI8=TRUE),VLOOKUP(Calculator!E23,tbSkills!DH3:DJ6,3,FALSE),0),0))&gt;=100,100,(Backdoors!AI12+IF(AK105&gt;=0.45,VLOOKUP(Calculator!E23,tbSkills!DH3:DI6,2,FALSE)+IF(AND(Calculator!B8=TRUE,Backdoors!BI8=TRUE),VLOOKUP(Calculator!E23,tbSkills!DH3:DJ6,3,FALSE),0),0)))/100)),(1-(0.25*((-Backdoors!AI12-IF(AK105&gt;=0.45,VLOOKUP(Calculator!E23,tbSkills!DH3:DI6,2,FALSE)+IF(AND(Calculator!B8=TRUE,Backdoors!BI8=TRUE),VLOOKUP(Calculator!E23,tbSkills!DH3:DJ6,3,FALSE),0),0))/100)))),1),"")</f>
        <v>1</v>
      </c>
      <c r="AN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K105)*AM105)*(VLOOKUP(A105,tbMoveset!A2:C112,3,FALSE)/100)*IF(VLOOKUP(A105,tbMoveset!A2:B112,2,FALSE)="Projectile",Backdoors!N10,Backdoors!N9),0),"")</f>
        <v>3</v>
      </c>
      <c r="AO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K105&gt;=0.45,VLOOKUP(Calculator!E23,tbSkills!DH3:DI6,2,FALSE)+IF(AND(Calculator!B8=TRUE,Backdoors!BI8=TRUE),VLOOKUP(Calculator!E23,tbSkills!DH3:DJ6,3,FALSE),0),0))&gt;=100,100,(Backdoors!AI12+IF(AK105&gt;=0.45,VLOOKUP(Calculator!E23,tbSkills!DH3:DI6,2,FALSE)+IF(AND(Calculator!B8=TRUE,Backdoors!BI8=TRUE),VLOOKUP(Calculator!E23,tbSkills!DH3:DJ6,3,FALSE),0),0)))/100)),1))*IF(VLOOKUP(A105,tbMoveset!A2:K112,11,FALSE)=TRUE,Backdoors!AC5,1))*AL105,0),"")</f>
        <v>0</v>
      </c>
      <c r="AP105" s="49">
        <f>VLOOKUP(A105,tbMoveset!A2:G112,7,FALSE)*IFERROR(IF(Backdoors!AI12&gt;=0,1+(IF(Calculator!E40&gt;0,VLOOKUP(Calculator!E40,tbSkills!AI3:AJ5,2,FALSE),Backdoors!AL4)*(IF((Backdoors!AI12+IF(AK105&gt;=0.45,VLOOKUP(Calculator!E23,tbSkills!DH3:DI6,2,FALSE)+IF(AND(Calculator!B8=TRUE,Backdoors!BI8=TRUE),VLOOKUP(Calculator!E23,tbSkills!DH3:DJ6,3,FALSE),0),0))&gt;=100,100,(Backdoors!AI12+IF(AK105&gt;=0.45,VLOOKUP(Calculator!E23,tbSkills!DH3:DI6,2,FALSE)+IF(AND(Calculator!B8=TRUE,Backdoors!BI8=TRUE),VLOOKUP(Calculator!E23,tbSkills!DH3:DJ6,3,FALSE),0),0)))/100)),1),1)</f>
        <v>0.4</v>
      </c>
      <c r="AQ105" s="87">
        <f t="shared" si="56"/>
        <v>3</v>
      </c>
      <c r="AR105" s="86">
        <f>IFERROR(IF(VLOOKUP(A105,tbMoveset!A2:B112,2,FALSE)="Sever",Backdoors!AY9/100,IF(VLOOKUP(A105,tbMoveset!A2:B112,2,FALSE)="Blunt",Backdoors!AZ9/100,Backdoors!BA9/100)),"")</f>
        <v>0.45</v>
      </c>
      <c r="AS105" s="49">
        <f>IFERROR(IF(VLOOKUP(tbMoveset!A105,tbMoveset!A2:H112,8,FALSE)="Other",IF(VLOOKUP(tbMoveset!A105,tbMoveset!A2:I112,9,FALSE)="Fire",Backdoors!BB9,IF(VLOOKUP(tbMoveset!A105,tbMoveset!A2:I112,9,FALSE)="Water",Backdoors!BC9,IF(VLOOKUP(tbMoveset!A105,tbMoveset!A2:I112,9,FALSE)="Thunder",Backdoors!BD9,IF(VLOOKUP(tbMoveset!A105,tbMoveset!A2:I112,9,FALSE)="Ice",Backdoors!BE9,IF(VLOOKUP(tbMoveset!A105,tbMoveset!A2:I112,9,FALSE)="Dragon",Backdoors!BF9,Backdoors!BG9)))))/100,Backdoors!BG9/100),"")</f>
        <v>0</v>
      </c>
      <c r="AT105" s="49">
        <f>IFERROR(IF(VLOOKUP(A105,tbMoveset!A2:J112,10,FALSE)=TRUE,IF((Backdoors!AI12+IF(AR105&gt;=0.45,VLOOKUP(Calculator!E23,tbSkills!DH3:DI6,2,FALSE)+IF(AND(Calculator!B8=TRUE,Backdoors!BI9=TRUE),VLOOKUP(Calculator!E23,tbSkills!DH3:DJ6,3,FALSE),0),0))&gt;=0,1+(Backdoors!AL2*(IF((Backdoors!AI12+IF(AR105&gt;=0.45,VLOOKUP(Calculator!E23,tbSkills!DH3:DI6,2,FALSE)+IF(AND(Calculator!B8=TRUE,Backdoors!BI9=TRUE),VLOOKUP(Calculator!E23,tbSkills!DH3:DJ6,3,FALSE),0),0))&gt;=100,100,(Backdoors!AI12+IF(AR105&gt;=0.45,VLOOKUP(Calculator!E23,tbSkills!DH3:DI6,2,FALSE)+IF(AND(Calculator!B8=TRUE,Backdoors!BI9=TRUE),VLOOKUP(Calculator!E23,tbSkills!DH3:DJ6,3,FALSE),0),0)))/100)),(1-(0.25*((-Backdoors!AI12-IF(AR105&gt;=0.45,VLOOKUP(Calculator!E23,tbSkills!DH3:DI6,2,FALSE)+IF(AND(Calculator!B8=TRUE,Backdoors!BI9=TRUE),VLOOKUP(Calculator!E23,tbSkills!DH3:DJ6,3,FALSE),0),0))/100)))),1),"")</f>
        <v>1</v>
      </c>
      <c r="AU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R105)*AT105)*(VLOOKUP(A105,tbMoveset!A2:C112,3,FALSE)/100)*IF(VLOOKUP(A105,tbMoveset!A2:B112,2,FALSE)="Projectile",Backdoors!N10,Backdoors!N9),0),"")</f>
        <v>3</v>
      </c>
      <c r="AV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R105&gt;=0.45,VLOOKUP(Calculator!E23,tbSkills!DH3:DI6,2,FALSE)+IF(AND(Calculator!B8=TRUE,Backdoors!BI9=TRUE),VLOOKUP(Calculator!E23,tbSkills!DH3:DJ6,3,FALSE),0),0))&gt;=100,100,(Backdoors!AI12+IF(AR105&gt;=0.45,VLOOKUP(Calculator!E23,tbSkills!DH3:DI6,2,FALSE)+IF(AND(Calculator!B8=TRUE,Backdoors!BI9=TRUE),VLOOKUP(Calculator!E23,tbSkills!DH3:DJ6,3,FALSE),0),0)))/100)),1))*IF(VLOOKUP(A105,tbMoveset!A2:K112,11,FALSE)=TRUE,Backdoors!AC5,1))*AS105,0),"")</f>
        <v>0</v>
      </c>
      <c r="AW105" s="49">
        <f>VLOOKUP(A105,tbMoveset!A2:G112,7,FALSE)*IFERROR(IF(Backdoors!AI12&gt;=0,1+(IF(Calculator!E40&gt;0,VLOOKUP(Calculator!E40,tbSkills!AI3:AJ5,2,FALSE),Backdoors!AL4)*(IF((Backdoors!AI12+IF(AR105&gt;=0.45,VLOOKUP(Calculator!E23,tbSkills!DH3:DI6,2,FALSE)+IF(AND(Calculator!B8=TRUE,Backdoors!BI9=TRUE),VLOOKUP(Calculator!E23,tbSkills!DH3:DJ6,3,FALSE),0),0))&gt;=100,100,(Backdoors!AI12+IF(AR105&gt;=0.45,VLOOKUP(Calculator!E23,tbSkills!DH3:DI6,2,FALSE)+IF(AND(Calculator!B8=TRUE,Backdoors!BI9=TRUE),VLOOKUP(Calculator!E23,tbSkills!DH3:DJ6,3,FALSE),0),0)))/100)),1),1)</f>
        <v>0.4</v>
      </c>
      <c r="AX105" s="87">
        <f t="shared" si="57"/>
        <v>3</v>
      </c>
      <c r="AY105" s="86">
        <f>IFERROR(IF(VLOOKUP(A105,tbMoveset!A2:B112,2,FALSE)="Sever",Backdoors!AY10/100,IF(VLOOKUP(A105,tbMoveset!A2:B112,2,FALSE)="Blunt",Backdoors!AZ10/100,Backdoors!BA10/100)),"")</f>
        <v>0.9</v>
      </c>
      <c r="AZ105" s="49">
        <f>IFERROR(IF(VLOOKUP(tbMoveset!A105,tbMoveset!A2:H112,8,FALSE)="Other",IF(VLOOKUP(tbMoveset!A105,tbMoveset!A2:I112,9,FALSE)="Fire",Backdoors!BB10,IF(VLOOKUP(tbMoveset!A105,tbMoveset!A2:I112,9,FALSE)="Water",Backdoors!BC10,IF(VLOOKUP(tbMoveset!A105,tbMoveset!A2:I112,9,FALSE)="Thunder",Backdoors!BD10,IF(VLOOKUP(tbMoveset!A105,tbMoveset!A2:I112,9,FALSE)="Ice",Backdoors!BE10,IF(VLOOKUP(tbMoveset!A105,tbMoveset!A2:I112,9,FALSE)="Dragon",Backdoors!BF10,Backdoors!BG10)))))/100,Backdoors!BG10/100),"")</f>
        <v>0</v>
      </c>
      <c r="BA105" s="49">
        <f>IFERROR(IF(VLOOKUP(A105,tbMoveset!A2:J112,10,FALSE)=TRUE,IF((Backdoors!AI12+IF(AY105&gt;=0.45,VLOOKUP(Calculator!E23,tbSkills!DH3:DI6,2,FALSE)+IF(AND(Calculator!B8=TRUE,Backdoors!BI10=TRUE),VLOOKUP(Calculator!E23,tbSkills!DH3:DJ6,3,FALSE),0),0))&gt;=0,1+(Backdoors!AL2*(IF((Backdoors!AI12+IF(AY105&gt;=0.45,VLOOKUP(Calculator!E23,tbSkills!DH3:DI6,2,FALSE)+IF(AND(Calculator!B8=TRUE,Backdoors!BI10=TRUE),VLOOKUP(Calculator!E23,tbSkills!DH3:DJ6,3,FALSE),0),0))&gt;=100,100,(Backdoors!AI12+IF(AY105&gt;=0.45,VLOOKUP(Calculator!E23,tbSkills!DH3:DI6,2,FALSE)+IF(AND(Calculator!B8=TRUE,Backdoors!BI10=TRUE),VLOOKUP(Calculator!E23,tbSkills!DH3:DJ6,3,FALSE),0),0)))/100)),(1-(0.25*((-Backdoors!AI12-IF(AY105&gt;=0.45,VLOOKUP(Calculator!E23,tbSkills!DH3:DI6,2,FALSE)+IF(AND(Calculator!B8=TRUE,Backdoors!BI10=TRUE),VLOOKUP(Calculator!E23,tbSkills!DH3:DJ6,3,FALSE),0),0))/100)))),1),"")</f>
        <v>1</v>
      </c>
      <c r="BB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Y105)*BA105)*(VLOOKUP(A105,tbMoveset!A2:C112,3,FALSE)/100)*IF(VLOOKUP(A105,tbMoveset!A2:B112,2,FALSE)="Projectile",Backdoors!N10,Backdoors!N9),0),"")</f>
        <v>6</v>
      </c>
      <c r="BC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Y105&gt;=0.45,VLOOKUP(Calculator!E23,tbSkills!DH3:DI6,2,FALSE)+IF(AND(Calculator!B8=TRUE,Backdoors!BI10=TRUE),VLOOKUP(Calculator!E23,tbSkills!DH3:DJ6,3,FALSE),0),0))&gt;=100,100,(Backdoors!AI12+IF(AY105&gt;=0.45,VLOOKUP(Calculator!E23,tbSkills!DH3:DI6,2,FALSE)+IF(AND(Calculator!B8=TRUE,Backdoors!BI10=TRUE),VLOOKUP(Calculator!E23,tbSkills!DH3:DJ6,3,FALSE),0),0)))/100)),1))*IF(VLOOKUP(A105,tbMoveset!A2:K112,11,FALSE)=TRUE,Backdoors!AC5,1))*AZ105,0),"")</f>
        <v>0</v>
      </c>
      <c r="BD105" s="49">
        <f>VLOOKUP(A105,tbMoveset!A2:G112,7,FALSE)*IFERROR(IF(Backdoors!AI12&gt;=0,1+(IF(Calculator!E40&gt;0,VLOOKUP(Calculator!E40,tbSkills!AI3:AJ5,2,FALSE),Backdoors!AL4)*(IF((Backdoors!AI12+IF(AY105&gt;=0.45,VLOOKUP(Calculator!E23,tbSkills!DH3:DI6,2,FALSE)+IF(AND(Calculator!B8=TRUE,Backdoors!BI10=TRUE),VLOOKUP(Calculator!E23,tbSkills!DH3:DJ6,3,FALSE),0),0))&gt;=100,100,(Backdoors!AI12+IF(AY105&gt;=0.45,VLOOKUP(Calculator!E23,tbSkills!DH3:DI6,2,FALSE)+IF(AND(Calculator!B8=TRUE,Backdoors!BI10=TRUE),VLOOKUP(Calculator!E23,tbSkills!DH3:DJ6,3,FALSE),0),0)))/100)),1),1)</f>
        <v>0.4</v>
      </c>
      <c r="BE105" s="87">
        <f t="shared" si="58"/>
        <v>6</v>
      </c>
      <c r="BF105" s="86" t="str">
        <f>IFERROR(IF(VLOOKUP(A105,tbMoveset!A2:B112,2,FALSE)="Sever",Backdoors!AY11/100,IF(VLOOKUP(A105,tbMoveset!A2:B112,2,FALSE)="Blunt",Backdoors!AZ11/100,Backdoors!BA11/100)),"")</f>
        <v/>
      </c>
      <c r="BG105" s="49">
        <f>IFERROR(IF(VLOOKUP(tbMoveset!A105,tbMoveset!A2:H112,8,FALSE)="Other",IF(VLOOKUP(tbMoveset!A105,tbMoveset!A2:I112,9,FALSE)="Fire",Backdoors!BB11,IF(VLOOKUP(tbMoveset!A105,tbMoveset!A2:I112,9,FALSE)="Water",Backdoors!BC11,IF(VLOOKUP(tbMoveset!A105,tbMoveset!A2:I112,9,FALSE)="Thunder",Backdoors!BD11,IF(VLOOKUP(tbMoveset!A105,tbMoveset!A2:I112,9,FALSE)="Ice",Backdoors!BE11,IF(VLOOKUP(tbMoveset!A105,tbMoveset!A2:I112,9,FALSE)="Dragon",Backdoors!BF11,Backdoors!BG11)))))/100,Backdoors!BG11/100),"")</f>
        <v>0</v>
      </c>
      <c r="BH105" s="49">
        <f>IFERROR(IF(VLOOKUP(A105,tbMoveset!A2:J112,10,FALSE)=TRUE,IF((Backdoors!AI12+IF(BF105&gt;=0.45,VLOOKUP(Calculator!E23,tbSkills!DH3:DI6,2,FALSE)+IF(AND(Calculator!B8=TRUE,Backdoors!BI11=TRUE),VLOOKUP(Calculator!E23,tbSkills!DH3:DJ6,3,FALSE),0),0))&gt;=0,1+(Backdoors!AL2*(IF((Backdoors!AI12+IF(BF105&gt;=0.45,VLOOKUP(Calculator!E23,tbSkills!DH3:DI6,2,FALSE)+IF(AND(Calculator!B8=TRUE,Backdoors!BI11=TRUE),VLOOKUP(Calculator!E23,tbSkills!DH3:DJ6,3,FALSE),0),0))&gt;=100,100,(Backdoors!AI12+IF(BF105&gt;=0.45,VLOOKUP(Calculator!E23,tbSkills!DH3:DI6,2,FALSE)+IF(AND(Calculator!B8=TRUE,Backdoors!BI11=TRUE),VLOOKUP(Calculator!E23,tbSkills!DH3:DJ6,3,FALSE),0),0)))/100)),(1-(0.25*((-Backdoors!AI12-IF(BF105&gt;=0.45,VLOOKUP(Calculator!E23,tbSkills!DH3:DI6,2,FALSE)+IF(AND(Calculator!B8=TRUE,Backdoors!BI11=TRUE),VLOOKUP(Calculator!E23,tbSkills!DH3:DJ6,3,FALSE),0),0))/100)))),1),"")</f>
        <v>1</v>
      </c>
      <c r="BI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F105)*BH105)*(VLOOKUP(A105,tbMoveset!A2:C112,3,FALSE)/100)*IF(VLOOKUP(A105,tbMoveset!A2:B112,2,FALSE)="Projectile",Backdoors!N10,Backdoors!N9),0),"")</f>
        <v/>
      </c>
      <c r="BJ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F105&gt;=0.45,VLOOKUP(Calculator!E23,tbSkills!DH3:DI6,2,FALSE)+IF(AND(Calculator!B8=TRUE,Backdoors!BI11=TRUE),VLOOKUP(Calculator!E23,tbSkills!DH3:DJ6,3,FALSE),0),0))&gt;=100,100,(Backdoors!AI12+IF(BF105&gt;=0.45,VLOOKUP(Calculator!E23,tbSkills!DH3:DI6,2,FALSE)+IF(AND(Calculator!B8=TRUE,Backdoors!BI11=TRUE),VLOOKUP(Calculator!E23,tbSkills!DH3:DJ6,3,FALSE),0),0)))/100)),1))*IF(VLOOKUP(A105,tbMoveset!A2:K112,11,FALSE)=TRUE,Backdoors!AC5,1))*BG105,0),"")</f>
        <v>0</v>
      </c>
      <c r="BK105" s="49">
        <f>VLOOKUP(A105,tbMoveset!A2:G112,7,FALSE)*IFERROR(IF(Backdoors!AI12&gt;=0,1+(IF(Calculator!E40&gt;0,VLOOKUP(Calculator!E40,tbSkills!AI3:AJ5,2,FALSE),Backdoors!AL4)*(IF((Backdoors!AI12+IF(BF105&gt;=0.45,VLOOKUP(Calculator!E23,tbSkills!DH3:DI6,2,FALSE)+IF(AND(Calculator!B8=TRUE,Backdoors!BI11=TRUE),VLOOKUP(Calculator!E23,tbSkills!DH3:DJ6,3,FALSE),0),0))&gt;=100,100,(Backdoors!AI12+IF(BF105&gt;=0.45,VLOOKUP(Calculator!E23,tbSkills!DH3:DI6,2,FALSE)+IF(AND(Calculator!B8=TRUE,Backdoors!BI11=TRUE),VLOOKUP(Calculator!E23,tbSkills!DH3:DJ6,3,FALSE),0),0)))/100)),1),1)</f>
        <v>0.4</v>
      </c>
      <c r="BL105" s="87">
        <f t="shared" si="59"/>
        <v>0</v>
      </c>
      <c r="BM105" s="86" t="str">
        <f>IFERROR(IF(VLOOKUP(A105,tbMoveset!A2:B112,2,FALSE)="Sever",Backdoors!AY12/100,IF(VLOOKUP(A105,tbMoveset!A2:B112,2,FALSE)="Blunt",Backdoors!AZ12/100,Backdoors!BA12/100)),"")</f>
        <v/>
      </c>
      <c r="BN105" s="49">
        <f>IFERROR(IF(VLOOKUP(tbMoveset!A105,tbMoveset!A2:H112,8,FALSE)="Other",IF(VLOOKUP(tbMoveset!A105,tbMoveset!A2:I112,9,FALSE)="Fire",Backdoors!BB12,IF(VLOOKUP(tbMoveset!A105,tbMoveset!A2:I112,9,FALSE)="Water",Backdoors!BC12,IF(VLOOKUP(tbMoveset!A105,tbMoveset!A2:I112,9,FALSE)="Thunder",Backdoors!BD12,IF(VLOOKUP(tbMoveset!A105,tbMoveset!A2:I112,9,FALSE)="Ice",Backdoors!BE12,IF(VLOOKUP(tbMoveset!A105,tbMoveset!A2:I112,9,FALSE)="Dragon",Backdoors!BF12,Backdoors!BG12)))))/100,Backdoors!BG12/100),"")</f>
        <v>0</v>
      </c>
      <c r="BO105" s="49">
        <f>IFERROR(IF(VLOOKUP(A105,tbMoveset!A2:J112,10,FALSE)=TRUE,IF((Backdoors!AI12+IF(BM105&gt;=0.45,VLOOKUP(Calculator!E23,tbSkills!DH3:DI6,2,FALSE)+IF(AND(Calculator!B8=TRUE,Backdoors!BI12=TRUE),VLOOKUP(Calculator!E23,tbSkills!DH3:DJ6,3,FALSE),0),0))&gt;=0,1+(Backdoors!AL2*(IF((Backdoors!AI12+IF(BM105&gt;=0.45,VLOOKUP(Calculator!E23,tbSkills!DH3:DI6,2,FALSE)+IF(AND(Calculator!B8=TRUE,Backdoors!BI12=TRUE),VLOOKUP(Calculator!E23,tbSkills!DH3:DJ6,3,FALSE),0),0))&gt;=100,100,(Backdoors!AI12+IF(BM105&gt;=0.45,VLOOKUP(Calculator!E23,tbSkills!DH3:DI6,2,FALSE)+IF(AND(Calculator!B8=TRUE,Backdoors!BI12=TRUE),VLOOKUP(Calculator!E23,tbSkills!DH3:DJ6,3,FALSE),0),0)))/100)),(1-(0.25*((-Backdoors!AI12-IF(BM105&gt;=0.45,VLOOKUP(Calculator!E23,tbSkills!DH3:DI6,2,FALSE)+IF(AND(Calculator!B8=TRUE,Backdoors!BI12=TRUE),VLOOKUP(Calculator!E23,tbSkills!DH3:DJ6,3,FALSE),0),0))/100)))),1),"")</f>
        <v>1</v>
      </c>
      <c r="BP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M105)*BO105)*(VLOOKUP(A105,tbMoveset!A2:C112,3,FALSE)/100)*IF(VLOOKUP(A105,tbMoveset!A2:B112,2,FALSE)="Projectile",Backdoors!N10,Backdoors!N9),0),"")</f>
        <v/>
      </c>
      <c r="BQ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M105&gt;=0.45,VLOOKUP(Calculator!E23,tbSkills!DH3:DI6,2,FALSE)+IF(AND(Calculator!B8=TRUE,Backdoors!BI12=TRUE),VLOOKUP(Calculator!E23,tbSkills!DH3:DJ6,3,FALSE),0),0))&gt;=100,100,(Backdoors!AI12+IF(BM105&gt;=0.45,VLOOKUP(Calculator!E23,tbSkills!DH3:DI6,2,FALSE)+IF(AND(Calculator!B8=TRUE,Backdoors!BI12=TRUE),VLOOKUP(Calculator!E23,tbSkills!DH3:DJ6,3,FALSE),0),0)))/100)),1))*IF(VLOOKUP(A105,tbMoveset!A2:K112,11,FALSE)=TRUE,Backdoors!AC5,1))*BN105,0),"")</f>
        <v>0</v>
      </c>
      <c r="BR105" s="49">
        <f>VLOOKUP(A105,tbMoveset!A2:G112,7,FALSE)*IFERROR(IF(Backdoors!AI12&gt;=0,1+(IF(Calculator!E40&gt;0,VLOOKUP(Calculator!E40,tbSkills!AI3:AJ5,2,FALSE),Backdoors!AL4)*(IF((Backdoors!AI12+IF(BM105&gt;=0.45,VLOOKUP(Calculator!E23,tbSkills!DH3:DI6,2,FALSE)+IF(AND(Calculator!B8=TRUE,Backdoors!BI12=TRUE),VLOOKUP(Calculator!E23,tbSkills!DH3:DJ6,3,FALSE),0),0))&gt;=100,100,(Backdoors!AI12+IF(BM105&gt;=0.45,VLOOKUP(Calculator!E23,tbSkills!DH3:DI6,2,FALSE)+IF(AND(Calculator!B8=TRUE,Backdoors!BI12=TRUE),VLOOKUP(Calculator!E23,tbSkills!DH3:DJ6,3,FALSE),0),0)))/100)),1),1)</f>
        <v>0.4</v>
      </c>
      <c r="BS105" s="87">
        <f t="shared" si="60"/>
        <v>0</v>
      </c>
      <c r="BT105" s="86" t="str">
        <f>IFERROR(IF(VLOOKUP(A105,tbMoveset!A2:B112,2,FALSE)="Sever",Backdoors!AY13/100,IF(VLOOKUP(A105,tbMoveset!A2:B112,2,FALSE)="Blunt",Backdoors!AZ13/100,Backdoors!BA13/100)),"")</f>
        <v/>
      </c>
      <c r="BU105" s="49">
        <f>IFERROR(IF(VLOOKUP(tbMoveset!A105,tbMoveset!A2:H112,8,FALSE)="Other",IF(VLOOKUP(tbMoveset!A105,tbMoveset!A2:I112,9,FALSE)="Fire",Backdoors!BB13,IF(VLOOKUP(tbMoveset!A105,tbMoveset!A2:I112,9,FALSE)="Water",Backdoors!BC13,IF(VLOOKUP(tbMoveset!A105,tbMoveset!A2:I112,9,FALSE)="Thunder",Backdoors!BD13,IF(VLOOKUP(tbMoveset!A105,tbMoveset!A2:I112,9,FALSE)="Ice",Backdoors!BE13,IF(VLOOKUP(tbMoveset!A105,tbMoveset!A2:I112,9,FALSE)="Dragon",Backdoors!BF13,Backdoors!BG13)))))/100,Backdoors!BG13/100),"")</f>
        <v>0</v>
      </c>
      <c r="BV105" s="49">
        <f>IFERROR(IF(VLOOKUP(A105,tbMoveset!A2:J112,10,FALSE)=TRUE,IF((Backdoors!AI12+IF(BT105&gt;=0.45,VLOOKUP(Calculator!E23,tbSkills!DH3:DI6,2,FALSE)+IF(AND(Calculator!B8=TRUE,Backdoors!BI13=TRUE),VLOOKUP(Calculator!E23,tbSkills!DH3:DJ6,3,FALSE),0),0))&gt;=0,1+(Backdoors!AL2*(IF((Backdoors!AI12+IF(BT105&gt;=0.45,VLOOKUP(Calculator!E23,tbSkills!DH3:DI6,2,FALSE)+IF(AND(Calculator!B8=TRUE,Backdoors!BI13=TRUE),VLOOKUP(Calculator!E23,tbSkills!DH3:DJ6,3,FALSE),0),0))&gt;=100,100,(Backdoors!AI12+IF(BT105&gt;=0.45,VLOOKUP(Calculator!E23,tbSkills!DH3:DI6,2,FALSE)+IF(AND(Calculator!B8=TRUE,Backdoors!BI13=TRUE),VLOOKUP(Calculator!E23,tbSkills!DH3:DJ6,3,FALSE),0),0)))/100)),(1-(0.25*((-Backdoors!AI12-IF(BT105&gt;=0.45,VLOOKUP(Calculator!E23,tbSkills!DH3:DI6,2,FALSE)+IF(AND(Calculator!B8=TRUE,Backdoors!BI13=TRUE),VLOOKUP(Calculator!E23,tbSkills!DH3:DJ6,3,FALSE),0),0))/100)))),1),"")</f>
        <v>1</v>
      </c>
      <c r="BW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T105)*BV105)*(VLOOKUP(A105,tbMoveset!A2:C112,3,FALSE)/100)*IF(VLOOKUP(A105,tbMoveset!A2:B112,2,FALSE)="Projectile",Backdoors!N10,Backdoors!N9),0),"")</f>
        <v/>
      </c>
      <c r="BX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T105&gt;=0.45,VLOOKUP(Calculator!E23,tbSkills!DH3:DI6,2,FALSE)+IF(AND(Calculator!B8=TRUE,Backdoors!BI13=TRUE),VLOOKUP(Calculator!E23,tbSkills!DH3:DJ6,3,FALSE),0),0))&gt;=100,100,(Backdoors!AI12+IF(BT105&gt;=0.45,VLOOKUP(Calculator!E23,tbSkills!DH3:DI6,2,FALSE)+IF(AND(Calculator!B8=TRUE,Backdoors!BI13=TRUE),VLOOKUP(Calculator!E23,tbSkills!DH3:DJ6,3,FALSE),0),0)))/100)),1))*IF(VLOOKUP(A105,tbMoveset!A2:K112,11,FALSE)=TRUE,Backdoors!AC5,1))*BU105,0),"")</f>
        <v>0</v>
      </c>
      <c r="BY105" s="49">
        <f>VLOOKUP(A105,tbMoveset!A2:G112,7,FALSE)*IFERROR(IF(Backdoors!AI12&gt;=0,1+(IF(Calculator!E40&gt;0,VLOOKUP(Calculator!E40,tbSkills!AI3:AJ5,2,FALSE),Backdoors!AL4)*(IF((Backdoors!AI12+IF(BT105&gt;=0.45,VLOOKUP(Calculator!E23,tbSkills!DH3:DI6,2,FALSE)+IF(AND(Calculator!B8=TRUE,Backdoors!BI13=TRUE),VLOOKUP(Calculator!E23,tbSkills!DH3:DJ6,3,FALSE),0),0))&gt;=100,100,(Backdoors!AI12+IF(BT105&gt;=0.45,VLOOKUP(Calculator!E23,tbSkills!DH3:DI6,2,FALSE)+IF(AND(Calculator!B8=TRUE,Backdoors!BI13=TRUE),VLOOKUP(Calculator!E23,tbSkills!DH3:DJ6,3,FALSE),0),0)))/100)),1),1)</f>
        <v>0.4</v>
      </c>
      <c r="BZ105" s="87">
        <f t="shared" si="61"/>
        <v>0</v>
      </c>
      <c r="CA105" s="86" t="str">
        <f>IFERROR(IF(VLOOKUP(A105,tbMoveset!A2:B112,2,FALSE)="Sever",Backdoors!AY14/100,IF(VLOOKUP(A105,tbMoveset!A2:B112,2,FALSE)="Blunt",Backdoors!AZ14/100,Backdoors!BA14/100)),"")</f>
        <v/>
      </c>
      <c r="CB105" s="49">
        <f>IFERROR(IF(VLOOKUP(tbMoveset!A105,tbMoveset!A2:H112,8,FALSE)="Other",IF(VLOOKUP(tbMoveset!A105,tbMoveset!A2:I112,9,FALSE)="Fire",Backdoors!BB14,IF(VLOOKUP(tbMoveset!A105,tbMoveset!A2:I112,9,FALSE)="Water",Backdoors!BC14,IF(VLOOKUP(tbMoveset!A105,tbMoveset!A2:I112,9,FALSE)="Thunder",Backdoors!BD14,IF(VLOOKUP(tbMoveset!A105,tbMoveset!A2:I112,9,FALSE)="Ice",Backdoors!BE14,IF(VLOOKUP(tbMoveset!A105,tbMoveset!A2:I112,9,FALSE)="Dragon",Backdoors!BF14,Backdoors!BG14)))))/100,Backdoors!BG14/100),"")</f>
        <v>0</v>
      </c>
      <c r="CC105" s="49">
        <f>IFERROR(IF(VLOOKUP(A105,tbMoveset!A2:J112,10,FALSE)=TRUE,IF((Backdoors!AI12+IF(CA105&gt;=0.45,VLOOKUP(Calculator!E23,tbSkills!DH3:DI6,2,FALSE)+IF(AND(Calculator!B8=TRUE,Backdoors!BI14=TRUE),VLOOKUP(Calculator!E23,tbSkills!DH3:DJ6,3,FALSE),0),0))&gt;=0,1+(Backdoors!AL2*(IF((Backdoors!AI12+IF(CA105&gt;=0.45,VLOOKUP(Calculator!E23,tbSkills!DH3:DI6,2,FALSE)+IF(AND(Calculator!B8=TRUE,Backdoors!BI14=TRUE),VLOOKUP(Calculator!E23,tbSkills!DH3:DJ6,3,FALSE),0),0))&gt;=100,100,(Backdoors!AI12+IF(CA105&gt;=0.45,VLOOKUP(Calculator!E23,tbSkills!DH3:DI6,2,FALSE)+IF(AND(Calculator!B8=TRUE,Backdoors!BI14=TRUE),VLOOKUP(Calculator!E23,tbSkills!DH3:DJ6,3,FALSE),0),0)))/100)),(1-(0.25*((-Backdoors!AI12-IF(CA105&gt;=0.45,VLOOKUP(Calculator!E23,tbSkills!DH3:DI6,2,FALSE)+IF(AND(Calculator!B8=TRUE,Backdoors!BI14=TRUE),VLOOKUP(Calculator!E23,tbSkills!DH3:DJ6,3,FALSE),0),0))/100)))),1),"")</f>
        <v>1</v>
      </c>
      <c r="CD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A105)*CC105)*(VLOOKUP(A105,tbMoveset!A2:C112,3,FALSE)/100)*IF(VLOOKUP(A105,tbMoveset!A2:B112,2,FALSE)="Projectile",Backdoors!N10,Backdoors!N9),0),"")</f>
        <v/>
      </c>
      <c r="CE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A105&gt;=0.45,VLOOKUP(Calculator!E23,tbSkills!DH3:DI6,2,FALSE)+IF(AND(Calculator!B8=TRUE,Backdoors!BI14=TRUE),VLOOKUP(Calculator!E23,tbSkills!DH3:DJ6,3,FALSE),0),0))&gt;=100,100,(Backdoors!AI12+IF(CA105&gt;=0.45,VLOOKUP(Calculator!E23,tbSkills!DH3:DI6,2,FALSE)+IF(AND(Calculator!B8=TRUE,Backdoors!BI14=TRUE),VLOOKUP(Calculator!E23,tbSkills!DH3:DJ6,3,FALSE),0),0)))/100)),1))*IF(VLOOKUP(A105,tbMoveset!A2:K112,11,FALSE)=TRUE,Backdoors!AC5,1))*CB105,0),"")</f>
        <v>0</v>
      </c>
      <c r="CF105" s="49">
        <f>VLOOKUP(A105,tbMoveset!A2:G112,7,FALSE)*IFERROR(IF(Backdoors!AI12&gt;=0,1+(IF(Calculator!E40&gt;0,VLOOKUP(Calculator!E40,tbSkills!AI3:AJ5,2,FALSE),Backdoors!AL4)*(IF((Backdoors!AI12+IF(CA105&gt;=0.45,VLOOKUP(Calculator!E23,tbSkills!DH3:DI6,2,FALSE)+IF(AND(Calculator!B8=TRUE,Backdoors!BI14=TRUE),VLOOKUP(Calculator!E23,tbSkills!DH3:DJ6,3,FALSE),0),0))&gt;=100,100,(Backdoors!AI12+IF(CA105&gt;=0.45,VLOOKUP(Calculator!E23,tbSkills!DH3:DI6,2,FALSE)+IF(AND(Calculator!B8=TRUE,Backdoors!BI14=TRUE),VLOOKUP(Calculator!E23,tbSkills!DH3:DJ6,3,FALSE),0),0)))/100)),1),1)</f>
        <v>0.4</v>
      </c>
      <c r="CG105" s="87">
        <f t="shared" si="62"/>
        <v>0</v>
      </c>
      <c r="CH105" s="86" t="str">
        <f>IFERROR(IF(VLOOKUP(A105,tbMoveset!A2:B112,2,FALSE)="Sever",Backdoors!AY15/100,IF(VLOOKUP(A105,tbMoveset!A2:B112,2,FALSE)="Blunt",Backdoors!AZ15/100,Backdoors!BA15/100)),"")</f>
        <v/>
      </c>
      <c r="CI105" s="49">
        <f>IFERROR(IF(VLOOKUP(tbMoveset!A105,tbMoveset!A2:H112,8,FALSE)="Other",IF(VLOOKUP(tbMoveset!A105,tbMoveset!A2:I112,9,FALSE)="Fire",Backdoors!BB15,IF(VLOOKUP(tbMoveset!A105,tbMoveset!A2:I112,9,FALSE)="Water",Backdoors!BC15,IF(VLOOKUP(tbMoveset!A105,tbMoveset!A2:I112,9,FALSE)="Thunder",Backdoors!BD15,IF(VLOOKUP(tbMoveset!A105,tbMoveset!A2:I112,9,FALSE)="Ice",Backdoors!BE15,IF(VLOOKUP(tbMoveset!A105,tbMoveset!A2:I112,9,FALSE)="Dragon",Backdoors!BF15,Backdoors!BG15)))))/100,Backdoors!BG15/100),"")</f>
        <v>0</v>
      </c>
      <c r="CJ105" s="49">
        <f>IFERROR(IF(VLOOKUP(A105,tbMoveset!A2:J112,10,FALSE)=TRUE,IF((Backdoors!AI12+IF(CH105&gt;=0.45,VLOOKUP(Calculator!E23,tbSkills!DH3:DI6,2,FALSE)+IF(AND(Calculator!B8=TRUE,Backdoors!BI15=TRUE),VLOOKUP(Calculator!E23,tbSkills!DH3:DJ6,3,FALSE),0),0))&gt;=0,1+(Backdoors!AL2*(IF((Backdoors!AI12+IF(CH105&gt;=0.45,VLOOKUP(Calculator!E23,tbSkills!DH3:DI6,2,FALSE)+IF(AND(Calculator!B8=TRUE,Backdoors!BI15=TRUE),VLOOKUP(Calculator!E23,tbSkills!DH3:DJ6,3,FALSE),0),0))&gt;=100,100,(Backdoors!AI12+IF(CH105&gt;=0.45,VLOOKUP(Calculator!E23,tbSkills!DH3:DI6,2,FALSE)+IF(AND(Calculator!B8=TRUE,Backdoors!BI15=TRUE),VLOOKUP(Calculator!E23,tbSkills!DH3:DJ6,3,FALSE),0),0)))/100)),(1-(0.25*((-Backdoors!AI12-IF(CH105&gt;=0.45,VLOOKUP(Calculator!E23,tbSkills!DH3:DI6,2,FALSE)+IF(AND(Calculator!B8=TRUE,Backdoors!BI15=TRUE),VLOOKUP(Calculator!E23,tbSkills!DH3:DJ6,3,FALSE),0),0))/100)))),1),"")</f>
        <v>1</v>
      </c>
      <c r="CK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H105)*CJ105)*(VLOOKUP(A105,tbMoveset!A2:C112,3,FALSE)/100)*IF(VLOOKUP(A105,tbMoveset!A2:B112,2,FALSE)="Projectile",Backdoors!N10,Backdoors!N9),0),"")</f>
        <v/>
      </c>
      <c r="CL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H105&gt;=0.45,VLOOKUP(Calculator!E23,tbSkills!DH3:DI6,2,FALSE)+IF(AND(Calculator!B8=TRUE,Backdoors!BI15=TRUE),VLOOKUP(Calculator!E23,tbSkills!DH3:DJ6,3,FALSE),0),0))&gt;=100,100,(Backdoors!AI12+IF(CH105&gt;=0.45,VLOOKUP(Calculator!E23,tbSkills!DH3:DI6,2,FALSE)+IF(AND(Calculator!B8=TRUE,Backdoors!BI15=TRUE),VLOOKUP(Calculator!E23,tbSkills!DH3:DJ6,3,FALSE),0),0)))/100)),1))*IF(VLOOKUP(A105,tbMoveset!A2:K112,11,FALSE)=TRUE,Backdoors!AC5,1))*CI105,0),"")</f>
        <v>0</v>
      </c>
      <c r="CM105" s="49">
        <f>VLOOKUP(A105,tbMoveset!A2:G112,7,FALSE)*IFERROR(IF(Backdoors!AI12&gt;=0,1+(IF(Calculator!E40&gt;0,VLOOKUP(Calculator!E40,tbSkills!AI3:AJ5,2,FALSE),Backdoors!AL4)*(IF((Backdoors!AI12+IF(CH105&gt;=0.45,VLOOKUP(Calculator!E23,tbSkills!DH3:DI6,2,FALSE)+IF(AND(Calculator!B8=TRUE,Backdoors!BI15=TRUE),VLOOKUP(Calculator!E23,tbSkills!DH3:DJ6,3,FALSE),0),0))&gt;=100,100,(Backdoors!AI12+IF(CH105&gt;=0.45,VLOOKUP(Calculator!E23,tbSkills!DH3:DI6,2,FALSE)+IF(AND(Calculator!B8=TRUE,Backdoors!BI15=TRUE),VLOOKUP(Calculator!E23,tbSkills!DH3:DJ6,3,FALSE),0),0)))/100)),1),1)</f>
        <v>0.4</v>
      </c>
      <c r="CN105" s="87">
        <f t="shared" si="63"/>
        <v>0</v>
      </c>
      <c r="CO105" s="86" t="str">
        <f>IFERROR(IF(VLOOKUP(A105,tbMoveset!A2:B112,2,FALSE)="Sever",Backdoors!AY16/100,IF(VLOOKUP(A105,tbMoveset!A2:B112,2,FALSE)="Blunt",Backdoors!AZ16/100,Backdoors!BA16/100)),"")</f>
        <v/>
      </c>
      <c r="CP105" s="49">
        <f>IFERROR(IF(VLOOKUP(tbMoveset!A105,tbMoveset!A2:H112,8,FALSE)="Other",IF(VLOOKUP(tbMoveset!A105,tbMoveset!A2:I112,9,FALSE)="Fire",Backdoors!BB16,IF(VLOOKUP(tbMoveset!A105,tbMoveset!A2:I112,9,FALSE)="Water",Backdoors!BC16,IF(VLOOKUP(tbMoveset!A105,tbMoveset!A2:I112,9,FALSE)="Thunder",Backdoors!BD16,IF(VLOOKUP(tbMoveset!A105,tbMoveset!A2:I112,9,FALSE)="Ice",Backdoors!BE16,IF(VLOOKUP(tbMoveset!A105,tbMoveset!A2:I112,9,FALSE)="Dragon",Backdoors!BF16,Backdoors!BG16)))))/100,Backdoors!BG16/100),"")</f>
        <v>0</v>
      </c>
      <c r="CQ105" s="49">
        <f>IFERROR(IF(VLOOKUP(A105,tbMoveset!A2:J112,10,FALSE)=TRUE,IF((Backdoors!AI12+IF(CO105&gt;=0.45,VLOOKUP(Calculator!E23,tbSkills!DH3:DI6,2,FALSE)+IF(AND(Calculator!B8=TRUE,Backdoors!BI16=TRUE),VLOOKUP(Calculator!E23,tbSkills!DH3:DJ6,3,FALSE),0),0))&gt;=0,1+(Backdoors!AL2*(IF((Backdoors!AI12+IF(CO105&gt;=0.45,VLOOKUP(Calculator!E23,tbSkills!DH3:DI6,2,FALSE)+IF(AND(Calculator!B8=TRUE,Backdoors!BI16=TRUE),VLOOKUP(Calculator!E23,tbSkills!DH3:DJ6,3,FALSE),0),0))&gt;=100,100,(Backdoors!AI12+IF(CO105&gt;=0.45,VLOOKUP(Calculator!E23,tbSkills!DH3:DI6,2,FALSE)+IF(AND(Calculator!B8=TRUE,Backdoors!BI16=TRUE),VLOOKUP(Calculator!E23,tbSkills!DH3:DJ6,3,FALSE),0),0)))/100)),(1-(0.25*((-Backdoors!AI12-IF(CO105&gt;=0.45,VLOOKUP(Calculator!E23,tbSkills!DH3:DI6,2,FALSE)+IF(AND(Calculator!B8=TRUE,Backdoors!BI16=TRUE),VLOOKUP(Calculator!E23,tbSkills!DH3:DJ6,3,FALSE),0),0))/100)))),1),"")</f>
        <v>1</v>
      </c>
      <c r="CR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O105)*CQ105)*(VLOOKUP(A105,tbMoveset!A2:C112,3,FALSE)/100)*IF(VLOOKUP(A105,tbMoveset!A2:B112,2,FALSE)="Projectile",Backdoors!N10,Backdoors!N9),0),"")</f>
        <v/>
      </c>
      <c r="CS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O105&gt;=0.45,VLOOKUP(Calculator!E23,tbSkills!DH3:DI6,2,FALSE)+IF(AND(Calculator!B8=TRUE,Backdoors!BI16=TRUE),VLOOKUP(Calculator!E23,tbSkills!DH3:DJ6,3,FALSE),0),0))&gt;=100,100,(Backdoors!AI12+IF(CO105&gt;=0.45,VLOOKUP(Calculator!E23,tbSkills!DH3:DI6,2,FALSE)+IF(AND(Calculator!B8=TRUE,Backdoors!BI16=TRUE),VLOOKUP(Calculator!E23,tbSkills!DH3:DJ6,3,FALSE),0),0)))/100)),1))*IF(VLOOKUP(A105,tbMoveset!A2:K112,11,FALSE)=TRUE,Backdoors!AC5,1))*CP105,0),"")</f>
        <v>0</v>
      </c>
      <c r="CT105" s="49">
        <f>VLOOKUP(A105,tbMoveset!A2:G112,7,FALSE)*IFERROR(IF(Backdoors!AI12&gt;=0,1+(IF(Calculator!E40&gt;0,VLOOKUP(Calculator!E40,tbSkills!AI3:AJ5,2,FALSE),Backdoors!AL4)*(IF((Backdoors!AI12+IF(CO105&gt;=0.45,VLOOKUP(Calculator!E23,tbSkills!DH3:DI6,2,FALSE)+IF(AND(Calculator!B8=TRUE,Backdoors!BI16=TRUE),VLOOKUP(Calculator!E23,tbSkills!DH3:DJ6,3,FALSE),0),0))&gt;=100,100,(Backdoors!AI12+IF(CO105&gt;=0.45,VLOOKUP(Calculator!E23,tbSkills!DH3:DI6,2,FALSE)+IF(AND(Calculator!B8=TRUE,Backdoors!BI16=TRUE),VLOOKUP(Calculator!E23,tbSkills!DH3:DJ6,3,FALSE),0),0)))/100)),1),1)</f>
        <v>0.4</v>
      </c>
      <c r="CU105" s="87">
        <f t="shared" si="64"/>
        <v>0</v>
      </c>
      <c r="CV105" s="86" t="str">
        <f>IFERROR(IF(VLOOKUP(A105,tbMoveset!A2:B112,2,FALSE)="Sever",Backdoors!AY17/100,IF(VLOOKUP(A105,tbMoveset!A2:B112,2,FALSE)="Blunt",Backdoors!AZ17/100,Backdoors!BA17/100)),"")</f>
        <v/>
      </c>
      <c r="CW105" s="49">
        <f>IFERROR(IF(VLOOKUP(tbMoveset!A105,tbMoveset!A2:H112,8,FALSE)="Other",IF(VLOOKUP(tbMoveset!A105,tbMoveset!A2:I112,9,FALSE)="Fire",Backdoors!BB17,IF(VLOOKUP(tbMoveset!A105,tbMoveset!A2:I112,9,FALSE)="Water",Backdoors!BC17,IF(VLOOKUP(tbMoveset!A105,tbMoveset!A2:I112,9,FALSE)="Thunder",Backdoors!BD17,IF(VLOOKUP(tbMoveset!A105,tbMoveset!A2:I112,9,FALSE)="Ice",Backdoors!BE17,IF(VLOOKUP(tbMoveset!A105,tbMoveset!A2:I112,9,FALSE)="Dragon",Backdoors!BF17,Backdoors!BG17)))))/100,Backdoors!BG17/100),"")</f>
        <v>0</v>
      </c>
      <c r="CX105" s="49">
        <f>IFERROR(IF(VLOOKUP(A105,tbMoveset!A2:J112,10,FALSE)=TRUE,IF((Backdoors!AI12+IF(CV105&gt;=0.45,VLOOKUP(Calculator!E23,tbSkills!DH3:DI6,2,FALSE)+IF(AND(Calculator!B8=TRUE,Backdoors!BI17=TRUE),VLOOKUP(Calculator!E23,tbSkills!DH3:DJ6,3,FALSE),0),0))&gt;=0,1+(Backdoors!AL2*(IF((Backdoors!AI12+IF(CV105&gt;=0.45,VLOOKUP(Calculator!E23,tbSkills!DH3:DI6,2,FALSE)+IF(AND(Calculator!B8=TRUE,Backdoors!BI17=TRUE),VLOOKUP(Calculator!E23,tbSkills!DH3:DJ6,3,FALSE),0),0))&gt;=100,100,(Backdoors!AI12+IF(CV105&gt;=0.45,VLOOKUP(Calculator!E23,tbSkills!DH3:DI6,2,FALSE)+IF(AND(Calculator!B8=TRUE,Backdoors!BI17=TRUE),VLOOKUP(Calculator!E23,tbSkills!DH3:DJ6,3,FALSE),0),0)))/100)),(1-(0.25*((-Backdoors!AI12-IF(CV105&gt;=0.45,VLOOKUP(Calculator!E23,tbSkills!DH3:DI6,2,FALSE)+IF(AND(Calculator!B8=TRUE,Backdoors!BI17=TRUE),VLOOKUP(Calculator!E23,tbSkills!DH3:DJ6,3,FALSE),0),0))/100)))),1),"")</f>
        <v>1</v>
      </c>
      <c r="CY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V105)*CX105)*(VLOOKUP(A105,tbMoveset!A2:C112,3,FALSE)/100)*IF(VLOOKUP(A105,tbMoveset!A2:B112,2,FALSE)="Projectile",Backdoors!N10,Backdoors!N9),0),"")</f>
        <v/>
      </c>
      <c r="CZ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V105&gt;=0.45,VLOOKUP(Calculator!E23,tbSkills!DH3:DI6,2,FALSE)+IF(AND(Calculator!B8=TRUE,Backdoors!BI17=TRUE),VLOOKUP(Calculator!E23,tbSkills!DH3:DJ6,3,FALSE),0),0))&gt;=100,100,(Backdoors!AI12+IF(CV105&gt;=0.45,VLOOKUP(Calculator!E23,tbSkills!DH3:DI6,2,FALSE)+IF(AND(Calculator!B8=TRUE,Backdoors!BI17=TRUE),VLOOKUP(Calculator!E23,tbSkills!DH3:DJ6,3,FALSE),0),0)))/100)),1))*IF(VLOOKUP(A105,tbMoveset!A2:K112,11,FALSE)=TRUE,Backdoors!AC5,1))*CW105,0),"")</f>
        <v>0</v>
      </c>
      <c r="DA105" s="49">
        <f>VLOOKUP(A105,tbMoveset!A2:G112,7,FALSE)*IFERROR(IF(Backdoors!AI12&gt;=0,1+(IF(Calculator!E40&gt;0,VLOOKUP(Calculator!E40,tbSkills!AI3:AJ5,2,FALSE),Backdoors!AL4)*(IF((Backdoors!AI12+IF(CV105&gt;=0.45,VLOOKUP(Calculator!E23,tbSkills!DH3:DI6,2,FALSE)+IF(AND(Calculator!B8=TRUE,Backdoors!BI17=TRUE),VLOOKUP(Calculator!E23,tbSkills!DH3:DJ6,3,FALSE),0),0))&gt;=100,100,(Backdoors!AI12+IF(CV105&gt;=0.45,VLOOKUP(Calculator!E23,tbSkills!DH3:DI6,2,FALSE)+IF(AND(Calculator!B8=TRUE,Backdoors!BI17=TRUE),VLOOKUP(Calculator!E23,tbSkills!DH3:DJ6,3,FALSE),0),0)))/100)),1),1)</f>
        <v>0.4</v>
      </c>
      <c r="DB105" s="87">
        <f t="shared" si="65"/>
        <v>0</v>
      </c>
      <c r="DC105" s="86" t="str">
        <f>IFERROR(IF(VLOOKUP(A105,tbMoveset!A2:B112,2,FALSE)="Sever",Backdoors!AY18/100,IF(VLOOKUP(A105,tbMoveset!A2:B112,2,FALSE)="Blunt",Backdoors!AZ18/100,Backdoors!BA18/100)),"")</f>
        <v/>
      </c>
      <c r="DD105" s="49">
        <f>IFERROR(IF(VLOOKUP(tbMoveset!A105,tbMoveset!A2:H112,8,FALSE)="Other",IF(VLOOKUP(tbMoveset!A105,tbMoveset!A2:I112,9,FALSE)="Fire",Backdoors!BB18,IF(VLOOKUP(tbMoveset!A105,tbMoveset!A2:I112,9,FALSE)="Water",Backdoors!BC18,IF(VLOOKUP(tbMoveset!A105,tbMoveset!A2:I112,9,FALSE)="Thunder",Backdoors!BD18,IF(VLOOKUP(tbMoveset!A105,tbMoveset!A2:I112,9,FALSE)="Ice",Backdoors!BE18,IF(VLOOKUP(tbMoveset!A105,tbMoveset!A2:I112,9,FALSE)="Dragon",Backdoors!BF18,Backdoors!BG18)))))/100,Backdoors!BG18/100),"")</f>
        <v>0</v>
      </c>
      <c r="DE105" s="49">
        <f>IFERROR(IF(VLOOKUP(A105,tbMoveset!A2:J112,10,FALSE)=TRUE,IF((Backdoors!AI12+IF(DC105&gt;=0.45,VLOOKUP(Calculator!E23,tbSkills!DH3:DI6,2,FALSE)+IF(AND(Calculator!B8=TRUE,Backdoors!BI18=TRUE),VLOOKUP(Calculator!E23,tbSkills!DH3:DJ6,3,FALSE),0),0))&gt;=0,1+(Backdoors!AL2*(IF((Backdoors!AI12+IF(DC105&gt;=0.45,VLOOKUP(Calculator!E23,tbSkills!DH3:DI6,2,FALSE)+IF(AND(Calculator!B8=TRUE,Backdoors!BI18=TRUE),VLOOKUP(Calculator!E23,tbSkills!DH3:DJ6,3,FALSE),0),0))&gt;=100,100,(Backdoors!AI12+IF(DC105&gt;=0.45,VLOOKUP(Calculator!E23,tbSkills!DH3:DI6,2,FALSE)+IF(AND(Calculator!B8=TRUE,Backdoors!BI18=TRUE),VLOOKUP(Calculator!E23,tbSkills!DH3:DJ6,3,FALSE),0),0)))/100)),(1-(0.25*((-Backdoors!AI12-IF(DC105&gt;=0.45,VLOOKUP(Calculator!E23,tbSkills!DH3:DI6,2,FALSE)+IF(AND(Calculator!B8=TRUE,Backdoors!BI18=TRUE),VLOOKUP(Calculator!E23,tbSkills!DH3:DJ6,3,FALSE),0),0))/100)))),1),"")</f>
        <v>1</v>
      </c>
      <c r="DF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C105)*DE105)*(VLOOKUP(A105,tbMoveset!A2:C112,3,FALSE)/100)*IF(VLOOKUP(A105,tbMoveset!A2:B112,2,FALSE)="Projectile",Backdoors!N10,Backdoors!N9),0),"")</f>
        <v/>
      </c>
      <c r="DG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C105&gt;=0.45,VLOOKUP(Calculator!E23,tbSkills!DH3:DI6,2,FALSE)+IF(AND(Calculator!B8=TRUE,Backdoors!BI18=TRUE),VLOOKUP(Calculator!E23,tbSkills!DH3:DJ6,3,FALSE),0),0))&gt;=100,100,(Backdoors!AI12+IF(DC105&gt;=0.45,VLOOKUP(Calculator!E23,tbSkills!DH3:DI6,2,FALSE)+IF(AND(Calculator!B8=TRUE,Backdoors!BI18=TRUE),VLOOKUP(Calculator!E23,tbSkills!DH3:DJ6,3,FALSE),0),0)))/100)),1))*IF(VLOOKUP(A105,tbMoveset!A2:K112,11,FALSE)=TRUE,Backdoors!AC5,1))*DD105,0),"")</f>
        <v>0</v>
      </c>
      <c r="DH105" s="49">
        <f>VLOOKUP(A105,tbMoveset!A2:G112,7,FALSE)*IFERROR(IF(Backdoors!AI12&gt;=0,1+(IF(Calculator!E40&gt;0,VLOOKUP(Calculator!E40,tbSkills!AI3:AJ5,2,FALSE),Backdoors!AL4)*(IF((Backdoors!AI12+IF(DC105&gt;=0.45,VLOOKUP(Calculator!E23,tbSkills!DH3:DI6,2,FALSE)+IF(AND(Calculator!B8=TRUE,Backdoors!BI18=TRUE),VLOOKUP(Calculator!E23,tbSkills!DH3:DJ6,3,FALSE),0),0))&gt;=100,100,(Backdoors!AI12+IF(DC105&gt;=0.45,VLOOKUP(Calculator!E23,tbSkills!DH3:DI6,2,FALSE)+IF(AND(Calculator!B8=TRUE,Backdoors!BI18=TRUE),VLOOKUP(Calculator!E23,tbSkills!DH3:DJ6,3,FALSE),0),0)))/100)),1),1)</f>
        <v>0.4</v>
      </c>
      <c r="DI105" s="87">
        <f t="shared" si="66"/>
        <v>0</v>
      </c>
      <c r="DJ105" s="86" t="str">
        <f>IFERROR(IF(VLOOKUP(A105,tbMoveset!A2:B112,2,FALSE)="Sever",Backdoors!AY19/100,IF(VLOOKUP(A105,tbMoveset!A2:B112,2,FALSE)="Blunt",Backdoors!AZ19/100,Backdoors!BA19/100)),"")</f>
        <v/>
      </c>
      <c r="DK105" s="49">
        <f>IFERROR(IF(VLOOKUP(tbMoveset!A105,tbMoveset!A2:H112,8,FALSE)="Other",IF(VLOOKUP(tbMoveset!A105,tbMoveset!A2:I112,9,FALSE)="Fire",Backdoors!BB19,IF(VLOOKUP(tbMoveset!A105,tbMoveset!A2:I112,9,FALSE)="Water",Backdoors!BC19,IF(VLOOKUP(tbMoveset!A105,tbMoveset!A2:I112,9,FALSE)="Thunder",Backdoors!BD19,IF(VLOOKUP(tbMoveset!A105,tbMoveset!A2:I112,9,FALSE)="Ice",Backdoors!BE19,IF(VLOOKUP(tbMoveset!A105,tbMoveset!A2:I112,9,FALSE)="Dragon",Backdoors!BF19,Backdoors!BG19)))))/100,Backdoors!BG19/100),"")</f>
        <v>0</v>
      </c>
      <c r="DL105" s="49">
        <f>IFERROR(IF(VLOOKUP(A105,tbMoveset!A2:J112,10,FALSE)=TRUE,IF((Backdoors!AI12+IF(DJ105&gt;=0.45,VLOOKUP(Calculator!E23,tbSkills!DH3:DI6,2,FALSE)+IF(AND(Calculator!B8=TRUE,Backdoors!BI19=TRUE),VLOOKUP(Calculator!E23,tbSkills!DH3:DJ6,3,FALSE),0),0))&gt;=0,1+(Backdoors!AL2*(IF((Backdoors!AI12+IF(DJ105&gt;=0.45,VLOOKUP(Calculator!E23,tbSkills!DH3:DI6,2,FALSE)+IF(AND(Calculator!B8=TRUE,Backdoors!BI19=TRUE),VLOOKUP(Calculator!E23,tbSkills!DH3:DJ6,3,FALSE),0),0))&gt;=100,100,(Backdoors!AI12+IF(DJ105&gt;=0.45,VLOOKUP(Calculator!E23,tbSkills!DH3:DI6,2,FALSE)+IF(AND(Calculator!B8=TRUE,Backdoors!BI19=TRUE),VLOOKUP(Calculator!E23,tbSkills!DH3:DJ6,3,FALSE),0),0)))/100)),(1-(0.25*((-Backdoors!AI12-IF(DJ105&gt;=0.45,VLOOKUP(Calculator!E23,tbSkills!DH3:DI6,2,FALSE)+IF(AND(Calculator!B8=TRUE,Backdoors!BI19=TRUE),VLOOKUP(Calculator!E23,tbSkills!DH3:DJ6,3,FALSE),0),0))/100)))),1),"")</f>
        <v>1</v>
      </c>
      <c r="DM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J105)*DL105)*(VLOOKUP(A105,tbMoveset!A2:C112,3,FALSE)/100)*IF(VLOOKUP(A105,tbMoveset!A2:B112,2,FALSE)="Projectile",Backdoors!N10,Backdoors!N9),0),"")</f>
        <v/>
      </c>
      <c r="DN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J105&gt;=0.45,VLOOKUP(Calculator!E23,tbSkills!DH3:DI6,2,FALSE)+IF(AND(Calculator!B8=TRUE,Backdoors!BI19=TRUE),VLOOKUP(Calculator!E23,tbSkills!DH3:DJ6,3,FALSE),0),0))&gt;=100,100,(Backdoors!AI12+IF(DJ105&gt;=0.45,VLOOKUP(Calculator!E23,tbSkills!DH3:DI6,2,FALSE)+IF(AND(Calculator!B8=TRUE,Backdoors!BI19=TRUE),VLOOKUP(Calculator!E23,tbSkills!DH3:DJ6,3,FALSE),0),0)))/100)),1))*IF(VLOOKUP(A105,tbMoveset!A2:K112,11,FALSE)=TRUE,Backdoors!AC5,1))*DK105,0),"")</f>
        <v>0</v>
      </c>
      <c r="DO105" s="49">
        <f>VLOOKUP(A105,tbMoveset!A2:G112,7,FALSE)*IFERROR(IF(Backdoors!AI12&gt;=0,1+(IF(Calculator!E40&gt;0,VLOOKUP(Calculator!E40,tbSkills!AI3:AJ5,2,FALSE),Backdoors!AL4)*(IF((Backdoors!AI12+IF(DJ105&gt;=0.45,VLOOKUP(Calculator!E23,tbSkills!DH3:DI6,2,FALSE)+IF(AND(Calculator!B8=TRUE,Backdoors!BI19=TRUE),VLOOKUP(Calculator!E23,tbSkills!DH3:DJ6,3,FALSE),0),0))&gt;=100,100,(Backdoors!AI12+IF(DJ105&gt;=0.45,VLOOKUP(Calculator!E23,tbSkills!DH3:DI6,2,FALSE)+IF(AND(Calculator!B8=TRUE,Backdoors!BI19=TRUE),VLOOKUP(Calculator!E23,tbSkills!DH3:DJ6,3,FALSE),0),0)))/100)),1),1)</f>
        <v>0.4</v>
      </c>
      <c r="DP105" s="87">
        <f t="shared" si="67"/>
        <v>0</v>
      </c>
      <c r="DQ105" s="86" t="str">
        <f>IFERROR(IF(VLOOKUP(A105,tbMoveset!A2:B112,2,FALSE)="Sever",Backdoors!AY20/100,IF(VLOOKUP(A105,tbMoveset!A2:B112,2,FALSE)="Blunt",Backdoors!AZ20/100,Backdoors!BA20/100)),"")</f>
        <v/>
      </c>
      <c r="DR105" s="49">
        <f>IFERROR(IF(VLOOKUP(tbMoveset!A105,tbMoveset!A2:H112,8,FALSE)="Other",IF(VLOOKUP(tbMoveset!A105,tbMoveset!A2:I112,9,FALSE)="Fire",Backdoors!BB20,IF(VLOOKUP(tbMoveset!A105,tbMoveset!A2:I112,9,FALSE)="Water",Backdoors!BC20,IF(VLOOKUP(tbMoveset!A105,tbMoveset!A2:I112,9,FALSE)="Thunder",Backdoors!BD20,IF(VLOOKUP(tbMoveset!A105,tbMoveset!A2:I112,9,FALSE)="Ice",Backdoors!BE20,IF(VLOOKUP(tbMoveset!A105,tbMoveset!A2:I112,9,FALSE)="Dragon",Backdoors!BF20,Backdoors!BG20)))))/100,Backdoors!BG20/100),"")</f>
        <v>0</v>
      </c>
      <c r="DS105" s="49">
        <f>IFERROR(IF(VLOOKUP(A105,tbMoveset!A2:J112,10,FALSE)=TRUE,IF((Backdoors!AI12+IF(DQ105&gt;=0.45,VLOOKUP(Calculator!E23,tbSkills!DH3:DI6,2,FALSE)+IF(AND(Calculator!B8=TRUE,Backdoors!BI20=TRUE),VLOOKUP(Calculator!E23,tbSkills!DH3:DJ6,3,FALSE),0),0))&gt;=0,1+(Backdoors!AL2*(IF((Backdoors!AI12+IF(DQ105&gt;=0.45,VLOOKUP(Calculator!E23,tbSkills!DH3:DI6,2,FALSE)+IF(AND(Calculator!B8=TRUE,Backdoors!BI20=TRUE),VLOOKUP(Calculator!E23,tbSkills!DH3:DJ6,3,FALSE),0),0))&gt;=100,100,(Backdoors!AI12+IF(DQ105&gt;=0.45,VLOOKUP(Calculator!E23,tbSkills!DH3:DI6,2,FALSE)+IF(AND(Calculator!B8=TRUE,Backdoors!BI20=TRUE),VLOOKUP(Calculator!E23,tbSkills!DH3:DJ6,3,FALSE),0),0)))/100)),(1-(0.25*((-Backdoors!AI12-IF(DQ105&gt;=0.45,VLOOKUP(Calculator!E23,tbSkills!DH3:DI6,2,FALSE)+IF(AND(Calculator!B8=TRUE,Backdoors!BI20=TRUE),VLOOKUP(Calculator!E23,tbSkills!DH3:DJ6,3,FALSE),0),0))/100)))),1),"")</f>
        <v>1</v>
      </c>
      <c r="DT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Q105)*DS105)*(VLOOKUP(A105,tbMoveset!A2:C112,3,FALSE)/100)*IF(VLOOKUP(A105,tbMoveset!A2:B112,2,FALSE)="Projectile",Backdoors!N10,Backdoors!N9),0),"")</f>
        <v/>
      </c>
      <c r="DU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Q105&gt;=0.45,VLOOKUP(Calculator!E23,tbSkills!DH3:DI6,2,FALSE)+IF(AND(Calculator!B8=TRUE,Backdoors!BI20=TRUE),VLOOKUP(Calculator!E23,tbSkills!DH3:DJ6,3,FALSE),0),0))&gt;=100,100,(Backdoors!AI12+IF(DQ105&gt;=0.45,VLOOKUP(Calculator!E23,tbSkills!DH3:DI6,2,FALSE)+IF(AND(Calculator!B8=TRUE,Backdoors!BI20=TRUE),VLOOKUP(Calculator!E23,tbSkills!DH3:DJ6,3,FALSE),0),0)))/100)),1))*IF(VLOOKUP(A105,tbMoveset!A2:K112,11,FALSE)=TRUE,Backdoors!AC5,1))*DR105,0),"")</f>
        <v>0</v>
      </c>
      <c r="DV105" s="49">
        <f>VLOOKUP(A105,tbMoveset!A2:G112,7,FALSE)*IFERROR(IF(Backdoors!AI12&gt;=0,1+(IF(Calculator!E40&gt;0,VLOOKUP(Calculator!E40,tbSkills!AI3:AJ5,2,FALSE),Backdoors!AL4)*(IF((Backdoors!AI12+IF(DQ105&gt;=0.45,VLOOKUP(Calculator!E23,tbSkills!DH3:DI6,2,FALSE)+IF(AND(Calculator!B8=TRUE,Backdoors!BI20=TRUE),VLOOKUP(Calculator!E23,tbSkills!DH3:DJ6,3,FALSE),0),0))&gt;=100,100,(Backdoors!AI12+IF(DQ105&gt;=0.45,VLOOKUP(Calculator!E23,tbSkills!DH3:DI6,2,FALSE)+IF(AND(Calculator!B8=TRUE,Backdoors!BI20=TRUE),VLOOKUP(Calculator!E23,tbSkills!DH3:DJ6,3,FALSE),0),0)))/100)),1),1)</f>
        <v>0.4</v>
      </c>
      <c r="DW105" s="87">
        <f t="shared" si="68"/>
        <v>0</v>
      </c>
      <c r="DX105" s="86" t="str">
        <f>IFERROR(IF(VLOOKUP(A105,tbMoveset!A2:B112,2,FALSE)="Sever",Backdoors!AY21/100,IF(VLOOKUP(A105,tbMoveset!A2:B112,2,FALSE)="Blunt",Backdoors!AZ21/100,Backdoors!BA21/100)),"")</f>
        <v/>
      </c>
      <c r="DY105" s="49">
        <f>IFERROR(IF(VLOOKUP(tbMoveset!A105,tbMoveset!A2:H112,8,FALSE)="Other",IF(VLOOKUP(tbMoveset!A105,tbMoveset!A2:I112,9,FALSE)="Fire",Backdoors!BB21,IF(VLOOKUP(tbMoveset!A105,tbMoveset!A2:I112,9,FALSE)="Water",Backdoors!BC21,IF(VLOOKUP(tbMoveset!A105,tbMoveset!A2:I112,9,FALSE)="Thunder",Backdoors!BD21,IF(VLOOKUP(tbMoveset!A105,tbMoveset!A2:I112,9,FALSE)="Ice",Backdoors!BE21,IF(VLOOKUP(tbMoveset!A105,tbMoveset!A2:I112,9,FALSE)="Dragon",Backdoors!BF21,Backdoors!BG21)))))/100,Backdoors!BG21/100),"")</f>
        <v>0</v>
      </c>
      <c r="DZ105" s="49">
        <f>IFERROR(IF(VLOOKUP(A105,tbMoveset!A2:J112,10,FALSE)=TRUE,IF((Backdoors!AI12+IF(DX105&gt;=0.45,VLOOKUP(Calculator!E23,tbSkills!DH3:DI6,2,FALSE)+IF(AND(Calculator!B8=TRUE,Backdoors!BI21=TRUE),VLOOKUP(Calculator!E23,tbSkills!DH3:DJ6,3,FALSE),0),0))&gt;=0,1+(Backdoors!AL2*(IF((Backdoors!AI12+IF(DX105&gt;=0.45,VLOOKUP(Calculator!E23,tbSkills!DH3:DI6,2,FALSE)+IF(AND(Calculator!B8=TRUE,Backdoors!BI21=TRUE),VLOOKUP(Calculator!E23,tbSkills!DH3:DJ6,3,FALSE),0),0))&gt;=100,100,(Backdoors!AI12+IF(DX105&gt;=0.45,VLOOKUP(Calculator!E23,tbSkills!DH3:DI6,2,FALSE)+IF(AND(Calculator!B8=TRUE,Backdoors!BI21=TRUE),VLOOKUP(Calculator!E23,tbSkills!DH3:DJ6,3,FALSE),0),0)))/100)),(1-(0.25*((-Backdoors!AI12-IF(DX105&gt;=0.45,VLOOKUP(Calculator!E23,tbSkills!DH3:DI6,2,FALSE)+IF(AND(Calculator!B8=TRUE,Backdoors!BI21=TRUE),VLOOKUP(Calculator!E23,tbSkills!DH3:DJ6,3,FALSE),0),0))/100)))),1),"")</f>
        <v>1</v>
      </c>
      <c r="EA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X105)*DZ105)*(VLOOKUP(A105,tbMoveset!A2:C112,3,FALSE)/100)*IF(VLOOKUP(A105,tbMoveset!A2:B112,2,FALSE)="Projectile",Backdoors!N10,Backdoors!N9),0),"")</f>
        <v/>
      </c>
      <c r="EB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X105&gt;=0.45,VLOOKUP(Calculator!E23,tbSkills!DH3:DI6,2,FALSE)+IF(AND(Calculator!B8=TRUE,Backdoors!BI21=TRUE),VLOOKUP(Calculator!E23,tbSkills!DH3:DJ6,3,FALSE),0),0))&gt;=100,100,(Backdoors!AI12+IF(DX105&gt;=0.45,VLOOKUP(Calculator!E23,tbSkills!DH3:DI6,2,FALSE)+IF(AND(Calculator!B8=TRUE,Backdoors!BI21=TRUE),VLOOKUP(Calculator!E23,tbSkills!DH3:DJ6,3,FALSE),0),0)))/100)),1))*IF(VLOOKUP(A105,tbMoveset!A2:K112,11,FALSE)=TRUE,Backdoors!AC5,1))*DY105,0),"")</f>
        <v>0</v>
      </c>
      <c r="EC105" s="49">
        <f>VLOOKUP(A105,tbMoveset!A2:G112,7,FALSE)*IFERROR(IF(Backdoors!AI12&gt;=0,1+(IF(Calculator!E40&gt;0,VLOOKUP(Calculator!E40,tbSkills!AI3:AJ5,2,FALSE),Backdoors!AL4)*(IF((Backdoors!AI12+IF(DX105&gt;=0.45,VLOOKUP(Calculator!E23,tbSkills!DH3:DI6,2,FALSE)+IF(AND(Calculator!B8=TRUE,Backdoors!BI21=TRUE),VLOOKUP(Calculator!E23,tbSkills!DH3:DJ6,3,FALSE),0),0))&gt;=100,100,(Backdoors!AI12+IF(DX105&gt;=0.45,VLOOKUP(Calculator!E23,tbSkills!DH3:DI6,2,FALSE)+IF(AND(Calculator!B8=TRUE,Backdoors!BI21=TRUE),VLOOKUP(Calculator!E23,tbSkills!DH3:DJ6,3,FALSE),0),0)))/100)),1),1)</f>
        <v>0.4</v>
      </c>
      <c r="ED105" s="87">
        <f t="shared" si="69"/>
        <v>0</v>
      </c>
      <c r="EE105" s="86" t="str">
        <f>IFERROR(IF(VLOOKUP(A105,tbMoveset!A2:B112,2,FALSE)="Sever",Backdoors!AY22/100,IF(VLOOKUP(A105,tbMoveset!A2:B112,2,FALSE)="Blunt",Backdoors!AZ22/100,Backdoors!BA22/100)),"")</f>
        <v/>
      </c>
      <c r="EF105" s="49">
        <f>IFERROR(IF(VLOOKUP(tbMoveset!A105,tbMoveset!A2:H112,8,FALSE)="Other",IF(VLOOKUP(tbMoveset!A105,tbMoveset!A2:I112,9,FALSE)="Fire",Backdoors!BB22,IF(VLOOKUP(tbMoveset!A105,tbMoveset!A2:I112,9,FALSE)="Water",Backdoors!BC22,IF(VLOOKUP(tbMoveset!A105,tbMoveset!A2:I112,9,FALSE)="Thunder",Backdoors!BD22,IF(VLOOKUP(tbMoveset!A105,tbMoveset!A2:I112,9,FALSE)="Ice",Backdoors!BE22,IF(VLOOKUP(tbMoveset!A105,tbMoveset!A2:I112,9,FALSE)="Dragon",Backdoors!BF22,Backdoors!BG22)))))/100,Backdoors!BG22/100),"")</f>
        <v>0</v>
      </c>
      <c r="EG105" s="49">
        <f>IFERROR(IF(VLOOKUP(A105,tbMoveset!A2:J112,10,FALSE)=TRUE,IF((Backdoors!AI12+IF(EE105&gt;=0.45,VLOOKUP(Calculator!E23,tbSkills!DH3:DI6,2,FALSE)+IF(AND(Calculator!B8=TRUE,Backdoors!BI22=TRUE),VLOOKUP(Calculator!E23,tbSkills!DH3:DJ6,3,FALSE),0),0))&gt;=0,1+(Backdoors!AL2*(IF((Backdoors!AI12+IF(EE105&gt;=0.45,VLOOKUP(Calculator!E23,tbSkills!DH3:DI6,2,FALSE)+IF(AND(Calculator!B8=TRUE,Backdoors!BI22=TRUE),VLOOKUP(Calculator!E23,tbSkills!DH3:DJ6,3,FALSE),0),0))&gt;=100,100,(Backdoors!AI12+IF(EE105&gt;=0.45,VLOOKUP(Calculator!E23,tbSkills!DH3:DI6,2,FALSE)+IF(AND(Calculator!B8=TRUE,Backdoors!BI22=TRUE),VLOOKUP(Calculator!E23,tbSkills!DH3:DJ6,3,FALSE),0),0)))/100)),(1-(0.25*((-Backdoors!AI12-IF(EE105&gt;=0.45,VLOOKUP(Calculator!E23,tbSkills!DH3:DI6,2,FALSE)+IF(AND(Calculator!B8=TRUE,Backdoors!BI22=TRUE),VLOOKUP(Calculator!E23,tbSkills!DH3:DJ6,3,FALSE),0),0))/100)))),1),"")</f>
        <v>1</v>
      </c>
      <c r="EH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E105)*EG105)*(VLOOKUP(A105,tbMoveset!A2:C112,3,FALSE)/100)*IF(VLOOKUP(A105,tbMoveset!A2:B112,2,FALSE)="Projectile",Backdoors!N10,Backdoors!N9),0),"")</f>
        <v/>
      </c>
      <c r="EI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E105&gt;=0.45,VLOOKUP(Calculator!E23,tbSkills!DH3:DI6,2,FALSE)+IF(AND(Calculator!B8=TRUE,Backdoors!BI22=TRUE),VLOOKUP(Calculator!E23,tbSkills!DH3:DJ6,3,FALSE),0),0))&gt;=100,100,(Backdoors!AI12+IF(EE105&gt;=0.45,VLOOKUP(Calculator!E23,tbSkills!DH3:DI6,2,FALSE)+IF(AND(Calculator!B8=TRUE,Backdoors!BI22=TRUE),VLOOKUP(Calculator!E23,tbSkills!DH3:DJ6,3,FALSE),0),0)))/100)),1))*IF(VLOOKUP(A105,tbMoveset!A2:K112,11,FALSE)=TRUE,Backdoors!AC5,1))*EF105,0),"")</f>
        <v>0</v>
      </c>
      <c r="EJ105" s="49">
        <f>VLOOKUP(A105,tbMoveset!A2:G112,7,FALSE)*IFERROR(IF(Backdoors!AI12&gt;=0,1+(IF(Calculator!E40&gt;0,VLOOKUP(Calculator!E40,tbSkills!AI3:AJ5,2,FALSE),Backdoors!AL4)*(IF((Backdoors!AI12+IF(EE105&gt;=0.45,VLOOKUP(Calculator!E23,tbSkills!DH3:DI6,2,FALSE)+IF(AND(Calculator!B8=TRUE,Backdoors!BI22=TRUE),VLOOKUP(Calculator!E23,tbSkills!DH3:DJ6,3,FALSE),0),0))&gt;=100,100,(Backdoors!AI12+IF(EE105&gt;=0.45,VLOOKUP(Calculator!E23,tbSkills!DH3:DI6,2,FALSE)+IF(AND(Calculator!B8=TRUE,Backdoors!BI22=TRUE),VLOOKUP(Calculator!E23,tbSkills!DH3:DJ6,3,FALSE),0),0)))/100)),1),1)</f>
        <v>0.4</v>
      </c>
      <c r="EK105" s="87">
        <f t="shared" si="70"/>
        <v>0</v>
      </c>
      <c r="EL105" s="86" t="str">
        <f>IFERROR(IF(VLOOKUP(A105,tbMoveset!A2:B112,2,FALSE)="Sever",Backdoors!AY23/100,IF(VLOOKUP(A105,tbMoveset!A2:B112,2,FALSE)="Blunt",Backdoors!AZ23/100,Backdoors!BA23/100)),"")</f>
        <v/>
      </c>
      <c r="EM105" s="49">
        <f>IFERROR(IF(VLOOKUP(tbMoveset!A105,tbMoveset!A2:H112,8,FALSE)="Other",IF(VLOOKUP(tbMoveset!A105,tbMoveset!A2:I112,9,FALSE)="Fire",Backdoors!BB23,IF(VLOOKUP(tbMoveset!A105,tbMoveset!A2:I112,9,FALSE)="Water",Backdoors!BC23,IF(VLOOKUP(tbMoveset!A105,tbMoveset!A2:I112,9,FALSE)="Thunder",Backdoors!BD23,IF(VLOOKUP(tbMoveset!A105,tbMoveset!A2:I112,9,FALSE)="Ice",Backdoors!BE23,IF(VLOOKUP(tbMoveset!A105,tbMoveset!A2:I112,9,FALSE)="Dragon",Backdoors!BF23,Backdoors!BG23)))))/100,Backdoors!BG23/100),"")</f>
        <v>0</v>
      </c>
      <c r="EN105" s="49">
        <f>IFERROR(IF(VLOOKUP(A105,tbMoveset!A2:J112,10,FALSE)=TRUE,IF((Backdoors!AI12+IF(EL105&gt;=0.45,VLOOKUP(Calculator!E23,tbSkills!DH3:DI6,2,FALSE)+IF(AND(Calculator!B8=TRUE,Backdoors!BI23=TRUE),VLOOKUP(Calculator!E23,tbSkills!DH3:DJ6,3,FALSE),0),0))&gt;=0,1+(Backdoors!AL2*(IF((Backdoors!AI12+IF(EL105&gt;=0.45,VLOOKUP(Calculator!E23,tbSkills!DH3:DI6,2,FALSE)+IF(AND(Calculator!B8=TRUE,Backdoors!BI23=TRUE),VLOOKUP(Calculator!E23,tbSkills!DH3:DJ6,3,FALSE),0),0))&gt;=100,100,(Backdoors!AI12+IF(EL105&gt;=0.45,VLOOKUP(Calculator!E23,tbSkills!DH3:DI6,2,FALSE)+IF(AND(Calculator!B8=TRUE,Backdoors!BI23=TRUE),VLOOKUP(Calculator!E23,tbSkills!DH3:DJ6,3,FALSE),0),0)))/100)),(1-(0.25*((-Backdoors!AI12-IF(EL105&gt;=0.45,VLOOKUP(Calculator!E23,tbSkills!DH3:DI6,2,FALSE)+IF(AND(Calculator!B8=TRUE,Backdoors!BI23=TRUE),VLOOKUP(Calculator!E23,tbSkills!DH3:DJ6,3,FALSE),0),0))/100)))),1),"")</f>
        <v>1</v>
      </c>
      <c r="EO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L105)*EN105)*(VLOOKUP(A105,tbMoveset!A2:C112,3,FALSE)/100)*IF(VLOOKUP(A105,tbMoveset!A2:B112,2,FALSE)="Projectile",Backdoors!N10,Backdoors!N9),0),"")</f>
        <v/>
      </c>
      <c r="EP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L105&gt;=0.45,VLOOKUP(Calculator!E23,tbSkills!DH3:DI6,2,FALSE)+IF(AND(Calculator!B8=TRUE,Backdoors!BI23=TRUE),VLOOKUP(Calculator!E23,tbSkills!DH3:DJ6,3,FALSE),0),0))&gt;=100,100,(Backdoors!AI12+IF(EL105&gt;=0.45,VLOOKUP(Calculator!E23,tbSkills!DH3:DI6,2,FALSE)+IF(AND(Calculator!B8=TRUE,Backdoors!BI23=TRUE),VLOOKUP(Calculator!E23,tbSkills!DH3:DJ6,3,FALSE),0),0)))/100)),1))*IF(VLOOKUP(A105,tbMoveset!A2:K112,11,FALSE)=TRUE,Backdoors!AC5,1))*EM105,0),"")</f>
        <v>0</v>
      </c>
      <c r="EQ105" s="49">
        <f>VLOOKUP(A105,tbMoveset!A2:G112,7,FALSE)*IFERROR(IF(Backdoors!AI12&gt;=0,1+(IF(Calculator!E40&gt;0,VLOOKUP(Calculator!E40,tbSkills!AI3:AJ5,2,FALSE),Backdoors!AL4)*(IF((Backdoors!AI12+IF(EL105&gt;=0.45,VLOOKUP(Calculator!E23,tbSkills!DH3:DI6,2,FALSE)+IF(AND(Calculator!B8=TRUE,Backdoors!BI23=TRUE),VLOOKUP(Calculator!E23,tbSkills!DH3:DJ6,3,FALSE),0),0))&gt;=100,100,(Backdoors!AI12+IF(EL105&gt;=0.45,VLOOKUP(Calculator!E23,tbSkills!DH3:DI6,2,FALSE)+IF(AND(Calculator!B8=TRUE,Backdoors!BI23=TRUE),VLOOKUP(Calculator!E23,tbSkills!DH3:DJ6,3,FALSE),0),0)))/100)),1),1)</f>
        <v>0.4</v>
      </c>
      <c r="ER105" s="87">
        <f t="shared" si="71"/>
        <v>0</v>
      </c>
      <c r="ES105" s="86" t="str">
        <f>IFERROR(IF(VLOOKUP(A105,tbMoveset!A2:B112,2,FALSE)="Sever",Backdoors!AY24/100,IF(VLOOKUP(A105,tbMoveset!A2:B112,2,FALSE)="Blunt",Backdoors!AZ24/100,Backdoors!BA24/100)),"")</f>
        <v/>
      </c>
      <c r="ET105" s="49">
        <f>IFERROR(IF(VLOOKUP(tbMoveset!A105,tbMoveset!A2:H112,8,FALSE)="Other",IF(VLOOKUP(tbMoveset!A105,tbMoveset!A2:I112,9,FALSE)="Fire",Backdoors!BB24,IF(VLOOKUP(tbMoveset!A105,tbMoveset!A2:I112,9,FALSE)="Water",Backdoors!BC24,IF(VLOOKUP(tbMoveset!A105,tbMoveset!A2:I112,9,FALSE)="Thunder",Backdoors!BD24,IF(VLOOKUP(tbMoveset!A105,tbMoveset!A2:I112,9,FALSE)="Ice",Backdoors!BE24,IF(VLOOKUP(tbMoveset!A105,tbMoveset!A2:I112,9,FALSE)="Dragon",Backdoors!BF24,Backdoors!BG24)))))/100,Backdoors!BG24/100),"")</f>
        <v>0</v>
      </c>
      <c r="EU105" s="49">
        <f>IFERROR(IF(VLOOKUP(A105,tbMoveset!A2:J112,10,FALSE)=TRUE,IF((Backdoors!AI12+IF(ES105&gt;=0.45,VLOOKUP(Calculator!E23,tbSkills!DH3:DI6,2,FALSE)+IF(AND(Calculator!B8=TRUE,Backdoors!BI24=TRUE),VLOOKUP(Calculator!E23,tbSkills!DH3:DJ6,3,FALSE),0),0))&gt;=0,1+(Backdoors!AL2*(IF((Backdoors!AI12+IF(ES105&gt;=0.45,VLOOKUP(Calculator!E23,tbSkills!DH3:DI6,2,FALSE)+IF(AND(Calculator!B8=TRUE,Backdoors!BI24=TRUE),VLOOKUP(Calculator!E23,tbSkills!DH3:DJ6,3,FALSE),0),0))&gt;=100,100,(Backdoors!AI12+IF(ES105&gt;=0.45,VLOOKUP(Calculator!E23,tbSkills!DH3:DI6,2,FALSE)+IF(AND(Calculator!B8=TRUE,Backdoors!BI24=TRUE),VLOOKUP(Calculator!E23,tbSkills!DH3:DJ6,3,FALSE),0),0)))/100)),(1-(0.25*((-Backdoors!AI12-IF(ES105&gt;=0.45,VLOOKUP(Calculator!E23,tbSkills!DH3:DI6,2,FALSE)+IF(AND(Calculator!B8=TRUE,Backdoors!BI24=TRUE),VLOOKUP(Calculator!E23,tbSkills!DH3:DJ6,3,FALSE),0),0))/100)))),1),"")</f>
        <v>1</v>
      </c>
      <c r="EV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S105)*EU105)*(VLOOKUP(A105,tbMoveset!A2:C112,3,FALSE)/100)*IF(VLOOKUP(A105,tbMoveset!A2:B112,2,FALSE)="Projectile",Backdoors!N10,Backdoors!N9),0),"")</f>
        <v/>
      </c>
      <c r="EW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S105&gt;=0.45,VLOOKUP(Calculator!E23,tbSkills!DH3:DI6,2,FALSE)+IF(AND(Calculator!B8=TRUE,Backdoors!BI24=TRUE),VLOOKUP(Calculator!E23,tbSkills!DH3:DJ6,3,FALSE),0),0))&gt;=100,100,(Backdoors!AI12+IF(ES105&gt;=0.45,VLOOKUP(Calculator!E23,tbSkills!DH3:DI6,2,FALSE)+IF(AND(Calculator!B8=TRUE,Backdoors!BI24=TRUE),VLOOKUP(Calculator!E23,tbSkills!DH3:DJ6,3,FALSE),0),0)))/100)),1))*IF(VLOOKUP(A105,tbMoveset!A2:K112,11,FALSE)=TRUE,Backdoors!AC5,1))*ET105,0),"")</f>
        <v>0</v>
      </c>
      <c r="EX105" s="49">
        <f>VLOOKUP(A105,tbMoveset!A2:G112,7,FALSE)*IFERROR(IF(Backdoors!AI12&gt;=0,1+(IF(Calculator!E40&gt;0,VLOOKUP(Calculator!E40,tbSkills!AI3:AJ5,2,FALSE),Backdoors!AL4)*(IF((Backdoors!AI12+IF(ES105&gt;=0.45,VLOOKUP(Calculator!E23,tbSkills!DH3:DI6,2,FALSE)+IF(AND(Calculator!B8=TRUE,Backdoors!BI24=TRUE),VLOOKUP(Calculator!E23,tbSkills!DH3:DJ6,3,FALSE),0),0))&gt;=100,100,(Backdoors!AI12+IF(ES105&gt;=0.45,VLOOKUP(Calculator!E23,tbSkills!DH3:DI6,2,FALSE)+IF(AND(Calculator!B8=TRUE,Backdoors!BI24=TRUE),VLOOKUP(Calculator!E23,tbSkills!DH3:DJ6,3,FALSE),0),0)))/100)),1),1)</f>
        <v>0.4</v>
      </c>
      <c r="EY105" s="87">
        <f t="shared" si="72"/>
        <v>0</v>
      </c>
      <c r="EZ105" s="86" t="str">
        <f>IFERROR(IF(VLOOKUP(A105,tbMoveset!A2:B112,2,FALSE)="Sever",Backdoors!AY25/100,IF(VLOOKUP(A105,tbMoveset!A2:B112,2,FALSE)="Blunt",Backdoors!AZ25/100,Backdoors!BA25/100)),"")</f>
        <v/>
      </c>
      <c r="FA105" s="49">
        <f>IFERROR(IF(VLOOKUP(tbMoveset!A105,tbMoveset!A2:H112,8,FALSE)="Other",IF(VLOOKUP(tbMoveset!A105,tbMoveset!A2:I112,9,FALSE)="Fire",Backdoors!BB25,IF(VLOOKUP(tbMoveset!A105,tbMoveset!A2:I112,9,FALSE)="Water",Backdoors!BC25,IF(VLOOKUP(tbMoveset!A105,tbMoveset!A2:I112,9,FALSE)="Thunder",Backdoors!BD25,IF(VLOOKUP(tbMoveset!A105,tbMoveset!A2:I112,9,FALSE)="Ice",Backdoors!BE25,IF(VLOOKUP(tbMoveset!A105,tbMoveset!A2:I112,9,FALSE)="Dragon",Backdoors!BF25,Backdoors!BG25)))))/100,Backdoors!BG25/100),"")</f>
        <v>0</v>
      </c>
      <c r="FB105" s="49">
        <f>IFERROR(IF(VLOOKUP(A105,tbMoveset!A2:J112,10,FALSE)=TRUE,IF((Backdoors!AI12+IF(EZ105&gt;=0.45,VLOOKUP(Calculator!E23,tbSkills!DH3:DI6,2,FALSE)+IF(AND(Calculator!B8=TRUE,Backdoors!BI25=TRUE),VLOOKUP(Calculator!E23,tbSkills!DH3:DJ6,3,FALSE),0),0))&gt;=0,1+(Backdoors!AL2*(IF((Backdoors!AI12+IF(EZ105&gt;=0.45,VLOOKUP(Calculator!E23,tbSkills!DH3:DI6,2,FALSE)+IF(AND(Calculator!B8=TRUE,Backdoors!BI25=TRUE),VLOOKUP(Calculator!E23,tbSkills!DH3:DJ6,3,FALSE),0),0))&gt;=100,100,(Backdoors!AI12+IF(EZ105&gt;=0.45,VLOOKUP(Calculator!E23,tbSkills!DH3:DI6,2,FALSE)+IF(AND(Calculator!B8=TRUE,Backdoors!BI25=TRUE),VLOOKUP(Calculator!E23,tbSkills!DH3:DJ6,3,FALSE),0),0)))/100)),(1-(0.25*((-Backdoors!AI12-IF(EZ105&gt;=0.45,VLOOKUP(Calculator!E23,tbSkills!DH3:DI6,2,FALSE)+IF(AND(Calculator!B8=TRUE,Backdoors!BI25=TRUE),VLOOKUP(Calculator!E23,tbSkills!DH3:DJ6,3,FALSE),0),0))/100)))),1),"")</f>
        <v>1</v>
      </c>
      <c r="FC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Z105)*FB105)*(VLOOKUP(A105,tbMoveset!A2:C112,3,FALSE)/100)*IF(VLOOKUP(A105,tbMoveset!A2:B112,2,FALSE)="Projectile",Backdoors!N10,Backdoors!N9),0),"")</f>
        <v/>
      </c>
      <c r="FD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Z105&gt;=0.45,VLOOKUP(Calculator!E23,tbSkills!DH3:DI6,2,FALSE)+IF(AND(Calculator!B8=TRUE,Backdoors!BI25=TRUE),VLOOKUP(Calculator!E23,tbSkills!DH3:DJ6,3,FALSE),0),0))&gt;=100,100,(Backdoors!AI12+IF(EZ105&gt;=0.45,VLOOKUP(Calculator!E23,tbSkills!DH3:DI6,2,FALSE)+IF(AND(Calculator!B8=TRUE,Backdoors!BI25=TRUE),VLOOKUP(Calculator!E23,tbSkills!DH3:DJ6,3,FALSE),0),0)))/100)),1))*IF(VLOOKUP(A105,tbMoveset!A2:K112,11,FALSE)=TRUE,Backdoors!AC5,1))*FA105,0),"")</f>
        <v>0</v>
      </c>
      <c r="FE105" s="49">
        <f>VLOOKUP(A105,tbMoveset!A2:G112,7,FALSE)*IFERROR(IF(Backdoors!AI12&gt;=0,1+(IF(Calculator!E40&gt;0,VLOOKUP(Calculator!E40,tbSkills!AI3:AJ5,2,FALSE),Backdoors!AL4)*(IF((Backdoors!AI12+IF(EZ105&gt;=0.45,VLOOKUP(Calculator!E23,tbSkills!DH3:DI6,2,FALSE)+IF(AND(Calculator!B8=TRUE,Backdoors!BI25=TRUE),VLOOKUP(Calculator!E23,tbSkills!DH3:DJ6,3,FALSE),0),0))&gt;=100,100,(Backdoors!AI12+IF(EZ105&gt;=0.45,VLOOKUP(Calculator!E23,tbSkills!DH3:DI6,2,FALSE)+IF(AND(Calculator!B8=TRUE,Backdoors!BI25=TRUE),VLOOKUP(Calculator!E23,tbSkills!DH3:DJ6,3,FALSE),0),0)))/100)),1),1)</f>
        <v>0.4</v>
      </c>
      <c r="FF105" s="87">
        <f t="shared" si="73"/>
        <v>0</v>
      </c>
      <c r="FG105" s="86" t="str">
        <f>IFERROR(IF(VLOOKUP(A105,tbMoveset!A2:B112,2,FALSE)="Sever",Backdoors!AY26/100,IF(VLOOKUP(A105,tbMoveset!A2:B112,2,FALSE)="Blunt",Backdoors!AZ26/100,Backdoors!BA26/100)),"")</f>
        <v/>
      </c>
      <c r="FH105" s="49">
        <f>IFERROR(IF(VLOOKUP(tbMoveset!A105,tbMoveset!A2:H112,8,FALSE)="Other",IF(VLOOKUP(tbMoveset!A105,tbMoveset!A2:I112,9,FALSE)="Fire",Backdoors!BB26,IF(VLOOKUP(tbMoveset!A105,tbMoveset!A2:I112,9,FALSE)="Water",Backdoors!BC26,IF(VLOOKUP(tbMoveset!A105,tbMoveset!A2:I112,9,FALSE)="Thunder",Backdoors!BD26,IF(VLOOKUP(tbMoveset!A105,tbMoveset!A2:I112,9,FALSE)="Ice",Backdoors!BE26,IF(VLOOKUP(tbMoveset!A105,tbMoveset!A2:I112,9,FALSE)="Dragon",Backdoors!BF26,Backdoors!BG26)))))/100,Backdoors!BG26/100),"")</f>
        <v>0</v>
      </c>
      <c r="FI105" s="49">
        <f>IFERROR(IF(VLOOKUP(A105,tbMoveset!A2:J112,10,FALSE)=TRUE,IF((Backdoors!AI12+IF(FG105&gt;=0.45,VLOOKUP(Calculator!E23,tbSkills!DH3:DI6,2,FALSE)+IF(AND(Calculator!B8=TRUE,Backdoors!BI26=TRUE),VLOOKUP(Calculator!E23,tbSkills!DH3:DJ6,3,FALSE),0),0))&gt;=0,1+(Backdoors!AL2*(IF((Backdoors!AI12+IF(FG105&gt;=0.45,VLOOKUP(Calculator!E23,tbSkills!DH3:DI6,2,FALSE)+IF(AND(Calculator!B8=TRUE,Backdoors!BI26=TRUE),VLOOKUP(Calculator!E23,tbSkills!DH3:DJ6,3,FALSE),0),0))&gt;=100,100,(Backdoors!AI12+IF(FG105&gt;=0.45,VLOOKUP(Calculator!E23,tbSkills!DH3:DI6,2,FALSE)+IF(AND(Calculator!B8=TRUE,Backdoors!BI26=TRUE),VLOOKUP(Calculator!E23,tbSkills!DH3:DJ6,3,FALSE),0),0)))/100)),(1-(0.25*((-Backdoors!AI12-IF(FG105&gt;=0.45,VLOOKUP(Calculator!E23,tbSkills!DH3:DI6,2,FALSE)+IF(AND(Calculator!B8=TRUE,Backdoors!BI26=TRUE),VLOOKUP(Calculator!E23,tbSkills!DH3:DJ6,3,FALSE),0),0))/100)))),1),"")</f>
        <v>1</v>
      </c>
      <c r="FJ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FG105)*FI105)*(VLOOKUP(A105,tbMoveset!A2:C112,3,FALSE)/100)*IF(VLOOKUP(A105,tbMoveset!A2:B112,2,FALSE)="Projectile",Backdoors!N10,Backdoors!N9),0),"")</f>
        <v/>
      </c>
      <c r="FK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FG105&gt;=0.45,VLOOKUP(Calculator!E23,tbSkills!DH3:DI6,2,FALSE)+IF(AND(Calculator!B8=TRUE,Backdoors!BI26=TRUE),VLOOKUP(Calculator!E23,tbSkills!DH3:DJ6,3,FALSE),0),0))&gt;=100,100,(Backdoors!AI12+IF(FG105&gt;=0.45,VLOOKUP(Calculator!E23,tbSkills!DH3:DI6,2,FALSE)+IF(AND(Calculator!B8=TRUE,Backdoors!BI26=TRUE),VLOOKUP(Calculator!E23,tbSkills!DH3:DJ6,3,FALSE),0),0)))/100)),1))*IF(VLOOKUP(A105,tbMoveset!A2:K112,11,FALSE)=TRUE,Backdoors!AC5,1))*FH105,0),"")</f>
        <v>0</v>
      </c>
      <c r="FL105" s="49">
        <f>VLOOKUP(A105,tbMoveset!A2:G112,7,FALSE)*IFERROR(IF(Backdoors!AI12&gt;=0,1+(IF(Calculator!E40&gt;0,VLOOKUP(Calculator!E40,tbSkills!AI3:AJ5,2,FALSE),Backdoors!AL4)*(IF((Backdoors!AI12+IF(FG105&gt;=0.45,VLOOKUP(Calculator!E23,tbSkills!DH3:DI6,2,FALSE)+IF(AND(Calculator!B8=TRUE,Backdoors!BI26=TRUE),VLOOKUP(Calculator!E23,tbSkills!DH3:DJ6,3,FALSE),0),0))&gt;=100,100,(Backdoors!AI12+IF(FG105&gt;=0.45,VLOOKUP(Calculator!E23,tbSkills!DH3:DI6,2,FALSE)+IF(AND(Calculator!B8=TRUE,Backdoors!BI26=TRUE),VLOOKUP(Calculator!E23,tbSkills!DH3:DJ6,3,FALSE),0),0)))/100)),1),1)</f>
        <v>0.4</v>
      </c>
      <c r="FM105" s="87">
        <f t="shared" si="74"/>
        <v>0</v>
      </c>
      <c r="FN105" s="86" t="str">
        <f>IFERROR(IF(VLOOKUP(A105,tbMoveset!A2:B112,2,FALSE)="Sever",Backdoors!AY27/100,IF(VLOOKUP(A105,tbMoveset!A2:B112,2,FALSE)="Blunt",Backdoors!AZ27/100,Backdoors!BA27/100)),"")</f>
        <v/>
      </c>
      <c r="FO105" s="49">
        <f>IFERROR(IF(VLOOKUP(tbMoveset!A105,tbMoveset!A2:H112,8,FALSE)="Other",IF(VLOOKUP(tbMoveset!A105,tbMoveset!A2:I112,9,FALSE)="Fire",Backdoors!BB27,IF(VLOOKUP(tbMoveset!A105,tbMoveset!A2:I112,9,FALSE)="Water",Backdoors!BC27,IF(VLOOKUP(tbMoveset!A105,tbMoveset!A2:I112,9,FALSE)="Thunder",Backdoors!BD27,IF(VLOOKUP(tbMoveset!A105,tbMoveset!A2:I112,9,FALSE)="Ice",Backdoors!BE27,IF(VLOOKUP(tbMoveset!A105,tbMoveset!A2:I112,9,FALSE)="Dragon",Backdoors!BF27,Backdoors!BG27)))))/100,Backdoors!BG27/100),"")</f>
        <v>0</v>
      </c>
      <c r="FP105" s="49">
        <f>IFERROR(IF(VLOOKUP(A105,tbMoveset!A2:J112,10,FALSE)=TRUE,IF((Backdoors!AI12+IF(FN105&gt;=0.45,VLOOKUP(Calculator!E23,tbSkills!DH3:DI6,2,FALSE)+IF(AND(Calculator!B8=TRUE,Backdoors!BI27=TRUE),VLOOKUP(Calculator!E23,tbSkills!DH3:DJ6,3,FALSE),0),0))&gt;=0,1+(Backdoors!AL2*(IF((Backdoors!AI12+IF(FN105&gt;=0.45,VLOOKUP(Calculator!E23,tbSkills!DH3:DI6,2,FALSE)+IF(AND(Calculator!B8=TRUE,Backdoors!BI27=TRUE),VLOOKUP(Calculator!E23,tbSkills!DH3:DJ6,3,FALSE),0),0))&gt;=100,100,(Backdoors!AI12+IF(FN105&gt;=0.45,VLOOKUP(Calculator!E23,tbSkills!DH3:DI6,2,FALSE)+IF(AND(Calculator!B8=TRUE,Backdoors!BI27=TRUE),VLOOKUP(Calculator!E23,tbSkills!DH3:DJ6,3,FALSE),0),0)))/100)),(1-(0.25*((-Backdoors!AI12-IF(FN105&gt;=0.45,VLOOKUP(Calculator!E23,tbSkills!DH3:DI6,2,FALSE)+IF(AND(Calculator!B8=TRUE,Backdoors!BI27=TRUE),VLOOKUP(Calculator!E23,tbSkills!DH3:DJ6,3,FALSE),0),0))/100)))),1),"")</f>
        <v>1</v>
      </c>
      <c r="FQ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FN105)*FP105)*(VLOOKUP(A105,tbMoveset!A2:C112,3,FALSE)/100)*IF(VLOOKUP(A105,tbMoveset!A2:B112,2,FALSE)="Projectile",Backdoors!N10,Backdoors!N9),0),"")</f>
        <v/>
      </c>
      <c r="FR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FN105&gt;=0.45,VLOOKUP(Calculator!E23,tbSkills!DH3:DI6,2,FALSE)+IF(AND(Calculator!B8=TRUE,Backdoors!BI27=TRUE),VLOOKUP(Calculator!E23,tbSkills!DH3:DJ6,3,FALSE),0),0))&gt;=100,100,(Backdoors!AI12+IF(FN105&gt;=0.45,VLOOKUP(Calculator!E23,tbSkills!DH3:DI6,2,FALSE)+IF(AND(Calculator!B8=TRUE,Backdoors!BI27=TRUE),VLOOKUP(Calculator!E23,tbSkills!DH3:DJ6,3,FALSE),0),0)))/100)),1))*IF(VLOOKUP(A105,tbMoveset!A2:K112,11,FALSE)=TRUE,Backdoors!AC5,1))*FO105,0),"")</f>
        <v>0</v>
      </c>
      <c r="FS105" s="49">
        <f>VLOOKUP(A105,tbMoveset!A2:G112,7,FALSE)*IFERROR(IF(Backdoors!AI12&gt;=0,1+(IF(Calculator!E40&gt;0,VLOOKUP(Calculator!E40,tbSkills!AI3:AJ5,2,FALSE),Backdoors!AL4)*(IF((Backdoors!AI12+IF(FN105&gt;=0.45,VLOOKUP(Calculator!E23,tbSkills!DH3:DI6,2,FALSE)+IF(AND(Calculator!B8=TRUE,Backdoors!BI27=TRUE),VLOOKUP(Calculator!E23,tbSkills!DH3:DJ6,3,FALSE),0),0))&gt;=100,100,(Backdoors!AI12+IF(FN105&gt;=0.45,VLOOKUP(Calculator!E23,tbSkills!DH3:DI6,2,FALSE)+IF(AND(Calculator!B8=TRUE,Backdoors!BI27=TRUE),VLOOKUP(Calculator!E23,tbSkills!DH3:DJ6,3,FALSE),0),0)))/100)),1),1)</f>
        <v>0.4</v>
      </c>
      <c r="FT105" s="87">
        <f t="shared" si="75"/>
        <v>0</v>
      </c>
      <c r="FU105" s="86" t="str">
        <f>IFERROR(IF(VLOOKUP(A105,tbMoveset!A2:B112,2,FALSE)="Sever",Backdoors!AY28/100,IF(VLOOKUP(A105,tbMoveset!A2:B112,2,FALSE)="Blunt",Backdoors!AZ28/100,Backdoors!BA28/100)),"")</f>
        <v/>
      </c>
      <c r="FV105" s="49">
        <f>IFERROR(IF(VLOOKUP(tbMoveset!A105,tbMoveset!A2:H112,8,FALSE)="Other",IF(VLOOKUP(tbMoveset!A105,tbMoveset!A2:I112,9,FALSE)="Fire",Backdoors!BB28,IF(VLOOKUP(tbMoveset!A105,tbMoveset!A2:I112,9,FALSE)="Water",Backdoors!BC28,IF(VLOOKUP(tbMoveset!A105,tbMoveset!A2:I112,9,FALSE)="Thunder",Backdoors!BD28,IF(VLOOKUP(tbMoveset!A105,tbMoveset!A2:I112,9,FALSE)="Ice",Backdoors!BE28,IF(VLOOKUP(tbMoveset!A105,tbMoveset!A2:I112,9,FALSE)="Dragon",Backdoors!BF28,Backdoors!BG28)))))/100,Backdoors!BG28/100),"")</f>
        <v>0</v>
      </c>
      <c r="FW105" s="49">
        <f>IFERROR(IF(VLOOKUP(A105,tbMoveset!A2:J112,10,FALSE)=TRUE,IF((Backdoors!AI12+IF(FU105&gt;=0.45,VLOOKUP(Calculator!E23,tbSkills!DH3:DI6,2,FALSE)+IF(AND(Calculator!B8=TRUE,Backdoors!BI28=TRUE),VLOOKUP(Calculator!E23,tbSkills!DH3:DJ6,3,FALSE),0),0))&gt;=0,1+(Backdoors!AL2*(IF((Backdoors!AI12+IF(FU105&gt;=0.45,VLOOKUP(Calculator!E23,tbSkills!DH3:DI6,2,FALSE)+IF(AND(Calculator!B8=TRUE,Backdoors!BI28=TRUE),VLOOKUP(Calculator!E23,tbSkills!DH3:DJ6,3,FALSE),0),0))&gt;=100,100,(Backdoors!AI12+IF(FU105&gt;=0.45,VLOOKUP(Calculator!E23,tbSkills!DH3:DI6,2,FALSE)+IF(AND(Calculator!B8=TRUE,Backdoors!BI28=TRUE),VLOOKUP(Calculator!E23,tbSkills!DH3:DJ6,3,FALSE),0),0)))/100)),(1-(0.25*((-Backdoors!AI12-IF(FU105&gt;=0.45,VLOOKUP(Calculator!E23,tbSkills!DH3:DI6,2,FALSE)+IF(AND(Calculator!B8=TRUE,Backdoors!BI28=TRUE),VLOOKUP(Calculator!E23,tbSkills!DH3:DJ6,3,FALSE),0),0))/100)))),1),"")</f>
        <v>1</v>
      </c>
      <c r="FX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FU105)*FW105)*(VLOOKUP(A105,tbMoveset!A2:C112,3,FALSE)/100)*IF(VLOOKUP(A105,tbMoveset!A2:B112,2,FALSE)="Projectile",Backdoors!N10,Backdoors!N9),0),"")</f>
        <v/>
      </c>
      <c r="FY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FU105&gt;=0.45,VLOOKUP(Calculator!E23,tbSkills!DH3:DI6,2,FALSE)+IF(AND(Calculator!B8=TRUE,Backdoors!BI28=TRUE),VLOOKUP(Calculator!E23,tbSkills!DH3:DJ6,3,FALSE),0),0))&gt;=100,100,(Backdoors!AI12+IF(FU105&gt;=0.45,VLOOKUP(Calculator!E23,tbSkills!DH3:DI6,2,FALSE)+IF(AND(Calculator!B8=TRUE,Backdoors!BI28=TRUE),VLOOKUP(Calculator!E23,tbSkills!DH3:DJ6,3,FALSE),0),0)))/100)),1))*IF(VLOOKUP(A105,tbMoveset!A2:K112,11,FALSE)=TRUE,Backdoors!AC5,1))*FV105,0),"")</f>
        <v>0</v>
      </c>
      <c r="FZ105" s="49">
        <f>VLOOKUP(A105,tbMoveset!A2:G112,7,FALSE)*IFERROR(IF(Backdoors!AI12&gt;=0,1+(IF(Calculator!E40&gt;0,VLOOKUP(Calculator!E40,tbSkills!AI3:AJ5,2,FALSE),Backdoors!AL4)*(IF((Backdoors!AI12+IF(FU105&gt;=0.45,VLOOKUP(Calculator!E23,tbSkills!DH3:DI6,2,FALSE)+IF(AND(Calculator!B8=TRUE,Backdoors!BI28=TRUE),VLOOKUP(Calculator!E23,tbSkills!DH3:DJ6,3,FALSE),0),0))&gt;=100,100,(Backdoors!AI12+IF(FU105&gt;=0.45,VLOOKUP(Calculator!E23,tbSkills!DH3:DI6,2,FALSE)+IF(AND(Calculator!B8=TRUE,Backdoors!BI28=TRUE),VLOOKUP(Calculator!E23,tbSkills!DH3:DJ6,3,FALSE),0),0)))/100)),1),1)</f>
        <v>0.4</v>
      </c>
      <c r="GA105" s="87">
        <f t="shared" si="76"/>
        <v>0</v>
      </c>
      <c r="GB105" s="86" t="str">
        <f>IFERROR(IF(VLOOKUP(A105,tbMoveset!A2:B112,2,FALSE)="Sever",Backdoors!AY29/100,IF(VLOOKUP(A105,tbMoveset!A2:B112,2,FALSE)="Blunt",Backdoors!AZ29/100,Backdoors!BA29/100)),"")</f>
        <v/>
      </c>
      <c r="GC105" s="49">
        <f>IFERROR(IF(VLOOKUP(tbMoveset!A105,tbMoveset!A2:H112,8,FALSE)="Other",IF(VLOOKUP(tbMoveset!A105,tbMoveset!A2:I112,9,FALSE)="Fire",Backdoors!BB29,IF(VLOOKUP(tbMoveset!A105,tbMoveset!A2:I112,9,FALSE)="Water",Backdoors!BC29,IF(VLOOKUP(tbMoveset!A105,tbMoveset!A2:I112,9,FALSE)="Thunder",Backdoors!BD29,IF(VLOOKUP(tbMoveset!A105,tbMoveset!A2:I112,9,FALSE)="Ice",Backdoors!BE29,IF(VLOOKUP(tbMoveset!A105,tbMoveset!A2:I112,9,FALSE)="Dragon",Backdoors!BF29,Backdoors!BG29)))))/100,Backdoors!BG29/100),"")</f>
        <v>0</v>
      </c>
      <c r="GD105" s="49">
        <f>IFERROR(IF(VLOOKUP(A105,tbMoveset!A2:J112,10,FALSE)=TRUE,IF((Backdoors!AI12+IF(GB105&gt;=0.45,VLOOKUP(Calculator!E23,tbSkills!DH3:DI6,2,FALSE)+IF(AND(Calculator!B8=TRUE,Backdoors!BI29=TRUE),VLOOKUP(Calculator!E23,tbSkills!DH3:DJ6,3,FALSE),0),0))&gt;=0,1+(Backdoors!AL2*(IF((Backdoors!AI12+IF(GB105&gt;=0.45,VLOOKUP(Calculator!E23,tbSkills!DH3:DI6,2,FALSE)+IF(AND(Calculator!B8=TRUE,Backdoors!BI29=TRUE),VLOOKUP(Calculator!E23,tbSkills!DH3:DJ6,3,FALSE),0),0))&gt;=100,100,(Backdoors!AI12+IF(GB105&gt;=0.45,VLOOKUP(Calculator!E23,tbSkills!DH3:DI6,2,FALSE)+IF(AND(Calculator!B8=TRUE,Backdoors!BI29=TRUE),VLOOKUP(Calculator!E23,tbSkills!DH3:DJ6,3,FALSE),0),0)))/100)),(1-(0.25*((-Backdoors!AI12-IF(GB105&gt;=0.45,VLOOKUP(Calculator!E23,tbSkills!DH3:DI6,2,FALSE)+IF(AND(Calculator!B8=TRUE,Backdoors!BI29=TRUE),VLOOKUP(Calculator!E23,tbSkills!DH3:DJ6,3,FALSE),0),0))/100)))),1),"")</f>
        <v>1</v>
      </c>
      <c r="GE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B105)*GD105)*(VLOOKUP(A105,tbMoveset!A2:C112,3,FALSE)/100)*IF(VLOOKUP(A105,tbMoveset!A2:B112,2,FALSE)="Projectile",Backdoors!N10,Backdoors!N9),0),"")</f>
        <v/>
      </c>
      <c r="GF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B105&gt;=0.45,VLOOKUP(Calculator!E23,tbSkills!DH3:DI6,2,FALSE)+IF(AND(Calculator!B8=TRUE,Backdoors!BI29=TRUE),VLOOKUP(Calculator!E23,tbSkills!DH3:DJ6,3,FALSE),0),0))&gt;=100,100,(Backdoors!AI12+IF(GB105&gt;=0.45,VLOOKUP(Calculator!E23,tbSkills!DH3:DI6,2,FALSE)+IF(AND(Calculator!B8=TRUE,Backdoors!BI29=TRUE),VLOOKUP(Calculator!E23,tbSkills!DH3:DJ6,3,FALSE),0),0)))/100)),1))*IF(VLOOKUP(A105,tbMoveset!A2:K112,11,FALSE)=TRUE,Backdoors!AC5,1))*GC105,0),"")</f>
        <v>0</v>
      </c>
      <c r="GG105" s="49">
        <f>VLOOKUP(A105,tbMoveset!A2:G112,7,FALSE)*IFERROR(IF(Backdoors!AI12&gt;=0,1+(IF(Calculator!E40&gt;0,VLOOKUP(Calculator!E40,tbSkills!AI3:AJ5,2,FALSE),Backdoors!AL4)*(IF((Backdoors!AI12+IF(GB105&gt;=0.45,VLOOKUP(Calculator!E23,tbSkills!DH3:DI6,2,FALSE)+IF(AND(Calculator!B8=TRUE,Backdoors!BI29=TRUE),VLOOKUP(Calculator!E23,tbSkills!DH3:DJ6,3,FALSE),0),0))&gt;=100,100,(Backdoors!AI12+IF(GB105&gt;=0.45,VLOOKUP(Calculator!E23,tbSkills!DH3:DI6,2,FALSE)+IF(AND(Calculator!B8=TRUE,Backdoors!BI29=TRUE),VLOOKUP(Calculator!E23,tbSkills!DH3:DJ6,3,FALSE),0),0)))/100)),1),1)</f>
        <v>0.4</v>
      </c>
      <c r="GH105" s="87">
        <f t="shared" si="77"/>
        <v>0</v>
      </c>
      <c r="GI105" s="86" t="str">
        <f>IFERROR(IF(VLOOKUP(A105,tbMoveset!A2:B112,2,FALSE)="Sever",Backdoors!AY30/100,IF(VLOOKUP(A105,tbMoveset!A2:B112,2,FALSE)="Blunt",Backdoors!AZ30/100,Backdoors!BA30/100)),"")</f>
        <v/>
      </c>
      <c r="GJ105" s="49">
        <f>IFERROR(IF(VLOOKUP(tbMoveset!A105,tbMoveset!A2:H112,8,FALSE)="Other",IF(VLOOKUP(tbMoveset!A105,tbMoveset!A2:I112,9,FALSE)="Fire",Backdoors!BB30,IF(VLOOKUP(tbMoveset!A105,tbMoveset!A2:I112,9,FALSE)="Water",Backdoors!BC30,IF(VLOOKUP(tbMoveset!A105,tbMoveset!A2:I112,9,FALSE)="Thunder",Backdoors!BD30,IF(VLOOKUP(tbMoveset!A105,tbMoveset!A2:I112,9,FALSE)="Ice",Backdoors!BE30,IF(VLOOKUP(tbMoveset!A105,tbMoveset!A2:I112,9,FALSE)="Dragon",Backdoors!BF30,Backdoors!BG30)))))/100,Backdoors!BG30/100),"")</f>
        <v>0</v>
      </c>
      <c r="GK105" s="49">
        <f>IFERROR(IF(VLOOKUP(A105,tbMoveset!A2:J112,10,FALSE)=TRUE,IF((Backdoors!AI12+IF(GI105&gt;=0.45,VLOOKUP(Calculator!E23,tbSkills!DH3:DI6,2,FALSE)+IF(AND(Calculator!B8=TRUE,Backdoors!BI30=TRUE),VLOOKUP(Calculator!E23,tbSkills!DH3:DJ6,3,FALSE),0),0))&gt;=0,1+(Backdoors!AL2*(IF((Backdoors!AI12+IF(GI105&gt;=0.45,VLOOKUP(Calculator!E23,tbSkills!DH3:DI6,2,FALSE)+IF(AND(Calculator!B8=TRUE,Backdoors!BI30=TRUE),VLOOKUP(Calculator!E23,tbSkills!DH3:DJ6,3,FALSE),0),0))&gt;=100,100,(Backdoors!AI12+IF(GI105&gt;=0.45,VLOOKUP(Calculator!E23,tbSkills!DH3:DI6,2,FALSE)+IF(AND(Calculator!B8=TRUE,Backdoors!BI30=TRUE),VLOOKUP(Calculator!E23,tbSkills!DH3:DJ6,3,FALSE),0),0)))/100)),(1-(0.25*((-Backdoors!AI12-IF(GI105&gt;=0.45,VLOOKUP(Calculator!E23,tbSkills!DH3:DI6,2,FALSE)+IF(AND(Calculator!B8=TRUE,Backdoors!BI30=TRUE),VLOOKUP(Calculator!E23,tbSkills!DH3:DJ6,3,FALSE),0),0))/100)))),1),"")</f>
        <v>1</v>
      </c>
      <c r="GL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I105)*GK105)*(VLOOKUP(A105,tbMoveset!A2:C112,3,FALSE)/100)*IF(VLOOKUP(A105,tbMoveset!A2:B112,2,FALSE)="Projectile",Backdoors!N10,Backdoors!N9),0),"")</f>
        <v/>
      </c>
      <c r="GM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I105&gt;=0.45,VLOOKUP(Calculator!E23,tbSkills!DH3:DI6,2,FALSE)+IF(AND(Calculator!B8=TRUE,Backdoors!BI30=TRUE),VLOOKUP(Calculator!E23,tbSkills!DH3:DJ6,3,FALSE),0),0))&gt;=100,100,(Backdoors!AI12+IF(GI105&gt;=0.45,VLOOKUP(Calculator!E23,tbSkills!DH3:DI6,2,FALSE)+IF(AND(Calculator!B8=TRUE,Backdoors!BI30=TRUE),VLOOKUP(Calculator!E23,tbSkills!DH3:DJ6,3,FALSE),0),0)))/100)),1))*IF(VLOOKUP(A105,tbMoveset!A2:K112,11,FALSE)=TRUE,Backdoors!AC5,1))*GJ105,0),"")</f>
        <v>0</v>
      </c>
      <c r="GN105" s="49">
        <f>VLOOKUP(A105,tbMoveset!A2:G112,7,FALSE)*IFERROR(IF(Backdoors!AI12&gt;=0,1+(IF(Calculator!E40&gt;0,VLOOKUP(Calculator!E40,tbSkills!AI3:AJ5,2,FALSE),Backdoors!AL4)*(IF((Backdoors!AI12+IF(GI105&gt;=0.45,VLOOKUP(Calculator!E23,tbSkills!DH3:DI6,2,FALSE)+IF(AND(Calculator!B8=TRUE,Backdoors!BI30=TRUE),VLOOKUP(Calculator!E23,tbSkills!DH3:DJ6,3,FALSE),0),0))&gt;=100,100,(Backdoors!AI12+IF(GI105&gt;=0.45,VLOOKUP(Calculator!E23,tbSkills!DH3:DI6,2,FALSE)+IF(AND(Calculator!B8=TRUE,Backdoors!BI30=TRUE),VLOOKUP(Calculator!E23,tbSkills!DH3:DJ6,3,FALSE),0),0)))/100)),1),1)</f>
        <v>0.4</v>
      </c>
      <c r="GO105" s="87">
        <f t="shared" si="78"/>
        <v>0</v>
      </c>
      <c r="GP105" s="86" t="str">
        <f>IFERROR(IF(VLOOKUP(A105,tbMoveset!A2:B112,2,FALSE)="Sever",Backdoors!AY31/100,IF(VLOOKUP(A105,tbMoveset!A2:B112,2,FALSE)="Blunt",Backdoors!AZ31/100,Backdoors!BA31/100)),"")</f>
        <v/>
      </c>
      <c r="GQ105" s="49">
        <f>IFERROR(IF(VLOOKUP(tbMoveset!A105,tbMoveset!A2:H112,8,FALSE)="Other",IF(VLOOKUP(tbMoveset!A105,tbMoveset!A2:I112,9,FALSE)="Fire",Backdoors!BB31,IF(VLOOKUP(tbMoveset!A105,tbMoveset!A2:I112,9,FALSE)="Water",Backdoors!BC31,IF(VLOOKUP(tbMoveset!A105,tbMoveset!A2:I112,9,FALSE)="Thunder",Backdoors!BD31,IF(VLOOKUP(tbMoveset!A105,tbMoveset!A2:I112,9,FALSE)="Ice",Backdoors!BE31,IF(VLOOKUP(tbMoveset!A105,tbMoveset!A2:I112,9,FALSE)="Dragon",Backdoors!BF31,Backdoors!BG31)))))/100,Backdoors!BG31/100),"")</f>
        <v>0</v>
      </c>
      <c r="GR105" s="49">
        <f>IFERROR(IF(VLOOKUP(A105,tbMoveset!A2:J112,10,FALSE)=TRUE,IF((Backdoors!AI12+IF(GP105&gt;=0.45,VLOOKUP(Calculator!E23,tbSkills!DH3:DI6,2,FALSE)+IF(AND(Calculator!B8=TRUE,Backdoors!BI31=TRUE),VLOOKUP(Calculator!E23,tbSkills!DH3:DJ6,3,FALSE),0),0))&gt;=0,1+(Backdoors!AL2*(IF((Backdoors!AI12+IF(GP105&gt;=0.45,VLOOKUP(Calculator!E23,tbSkills!DH3:DI6,2,FALSE)+IF(AND(Calculator!B8=TRUE,Backdoors!BI31=TRUE),VLOOKUP(Calculator!E23,tbSkills!DH3:DJ6,3,FALSE),0),0))&gt;=100,100,(Backdoors!AI12+IF(GP105&gt;=0.45,VLOOKUP(Calculator!E23,tbSkills!DH3:DI6,2,FALSE)+IF(AND(Calculator!B8=TRUE,Backdoors!BI31=TRUE),VLOOKUP(Calculator!E23,tbSkills!DH3:DJ6,3,FALSE),0),0)))/100)),(1-(0.25*((-Backdoors!AI12-IF(GP105&gt;=0.45,VLOOKUP(Calculator!E23,tbSkills!DH3:DI6,2,FALSE)+IF(AND(Calculator!B8=TRUE,Backdoors!BI31=TRUE),VLOOKUP(Calculator!E23,tbSkills!DH3:DJ6,3,FALSE),0),0))/100)))),1),"")</f>
        <v>1</v>
      </c>
      <c r="GS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P105)*GR105)*(VLOOKUP(A105,tbMoveset!A2:C112,3,FALSE)/100)*IF(VLOOKUP(A105,tbMoveset!A2:B112,2,FALSE)="Projectile",Backdoors!N10,Backdoors!N9),0),"")</f>
        <v/>
      </c>
      <c r="GT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P105&gt;=0.45,VLOOKUP(Calculator!E23,tbSkills!DH3:DI6,2,FALSE)+IF(AND(Calculator!B8=TRUE,Backdoors!BI31=TRUE),VLOOKUP(Calculator!E23,tbSkills!DH3:DJ6,3,FALSE),0),0))&gt;=100,100,(Backdoors!AI12+IF(GP105&gt;=0.45,VLOOKUP(Calculator!E23,tbSkills!DH3:DI6,2,FALSE)+IF(AND(Calculator!B8=TRUE,Backdoors!BI31=TRUE),VLOOKUP(Calculator!E23,tbSkills!DH3:DJ6,3,FALSE),0),0)))/100)),1))*IF(VLOOKUP(A105,tbMoveset!A2:K112,11,FALSE)=TRUE,Backdoors!AC5,1))*GQ105,0),"")</f>
        <v>0</v>
      </c>
      <c r="GU105" s="49">
        <f>VLOOKUP(A105,tbMoveset!A2:G112,7,FALSE)*IFERROR(IF(Backdoors!AI12&gt;=0,1+(IF(Calculator!E40&gt;0,VLOOKUP(Calculator!E40,tbSkills!AI3:AJ5,2,FALSE),Backdoors!AL4)*(IF((Backdoors!AI12+IF(GP105&gt;=0.45,VLOOKUP(Calculator!E23,tbSkills!DH3:DI6,2,FALSE)+IF(AND(Calculator!B8=TRUE,Backdoors!BI31=TRUE),VLOOKUP(Calculator!E23,tbSkills!DH3:DJ6,3,FALSE),0),0))&gt;=100,100,(Backdoors!AI12+IF(GP105&gt;=0.45,VLOOKUP(Calculator!E23,tbSkills!DH3:DI6,2,FALSE)+IF(AND(Calculator!B8=TRUE,Backdoors!BI31=TRUE),VLOOKUP(Calculator!E23,tbSkills!DH3:DJ6,3,FALSE),0),0)))/100)),1),1)</f>
        <v>0.4</v>
      </c>
      <c r="GV105" s="87">
        <f t="shared" si="79"/>
        <v>0</v>
      </c>
      <c r="GW105" s="86" t="str">
        <f>IFERROR(IF(VLOOKUP(A105,tbMoveset!A2:B112,2,FALSE)="Sever",Backdoors!AY32/100,IF(VLOOKUP(A105,tbMoveset!A2:B112,2,FALSE)="Blunt",Backdoors!AZ32/100,Backdoors!BA32/100)),"")</f>
        <v/>
      </c>
      <c r="GX105" s="49">
        <f>IFERROR(IF(VLOOKUP(tbMoveset!A105,tbMoveset!A2:H112,8,FALSE)="Other",IF(VLOOKUP(tbMoveset!A105,tbMoveset!A2:I112,9,FALSE)="Fire",Backdoors!BB32,IF(VLOOKUP(tbMoveset!A105,tbMoveset!A2:I112,9,FALSE)="Water",Backdoors!BC32,IF(VLOOKUP(tbMoveset!A105,tbMoveset!A2:I112,9,FALSE)="Thunder",Backdoors!BD32,IF(VLOOKUP(tbMoveset!A105,tbMoveset!A2:I112,9,FALSE)="Ice",Backdoors!BE32,IF(VLOOKUP(tbMoveset!A105,tbMoveset!A2:I112,9,FALSE)="Dragon",Backdoors!BF32,Backdoors!BG32)))))/100,Backdoors!BG32/100),"")</f>
        <v>0</v>
      </c>
      <c r="GY105" s="49">
        <f>IFERROR(IF(VLOOKUP(A105,tbMoveset!A2:J112,10,FALSE)=TRUE,IF((Backdoors!AI12+IF(GW105&gt;=0.45,VLOOKUP(Calculator!E23,tbSkills!DH3:DI6,2,FALSE)+IF(AND(Calculator!B8=TRUE,Backdoors!BI32=TRUE),VLOOKUP(Calculator!E23,tbSkills!DH3:DJ6,3,FALSE),0),0))&gt;=0,1+(Backdoors!AL2*(IF((Backdoors!AI12+IF(GW105&gt;=0.45,VLOOKUP(Calculator!E23,tbSkills!DH3:DI6,2,FALSE)+IF(AND(Calculator!B8=TRUE,Backdoors!BI32=TRUE),VLOOKUP(Calculator!E23,tbSkills!DH3:DJ6,3,FALSE),0),0))&gt;=100,100,(Backdoors!AI12+IF(GW105&gt;=0.45,VLOOKUP(Calculator!E23,tbSkills!DH3:DI6,2,FALSE)+IF(AND(Calculator!B8=TRUE,Backdoors!BI32=TRUE),VLOOKUP(Calculator!E23,tbSkills!DH3:DJ6,3,FALSE),0),0)))/100)),(1-(0.25*((-Backdoors!AI12-IF(GW105&gt;=0.45,VLOOKUP(Calculator!E23,tbSkills!DH3:DI6,2,FALSE)+IF(AND(Calculator!B8=TRUE,Backdoors!BI32=TRUE),VLOOKUP(Calculator!E23,tbSkills!DH3:DJ6,3,FALSE),0),0))/100)))),1),"")</f>
        <v>1</v>
      </c>
      <c r="GZ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W105)*GY105)*(VLOOKUP(A105,tbMoveset!A2:C112,3,FALSE)/100)*IF(VLOOKUP(A105,tbMoveset!A2:B112,2,FALSE)="Projectile",Backdoors!N10,Backdoors!N9),0),"")</f>
        <v/>
      </c>
      <c r="HA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W105&gt;=0.45,VLOOKUP(Calculator!E23,tbSkills!DH3:DI6,2,FALSE)+IF(AND(Calculator!B8=TRUE,Backdoors!BI32=TRUE),VLOOKUP(Calculator!E23,tbSkills!DH3:DJ6,3,FALSE),0),0))&gt;=100,100,(Backdoors!AI12+IF(GW105&gt;=0.45,VLOOKUP(Calculator!E23,tbSkills!DH3:DI6,2,FALSE)+IF(AND(Calculator!B8=TRUE,Backdoors!BI32=TRUE),VLOOKUP(Calculator!E23,tbSkills!DH3:DJ6,3,FALSE),0),0)))/100)),1))*IF(VLOOKUP(A105,tbMoveset!A2:K112,11,FALSE)=TRUE,Backdoors!AC5,1))*GX105,0),"")</f>
        <v>0</v>
      </c>
      <c r="HB105" s="49">
        <f>VLOOKUP(A105,tbMoveset!A2:G112,7,FALSE)*IFERROR(IF(Backdoors!AI12&gt;=0,1+(IF(Calculator!E40&gt;0,VLOOKUP(Calculator!E40,tbSkills!AI3:AJ5,2,FALSE),Backdoors!AL4)*(IF((Backdoors!AI12+IF(GW105&gt;=0.45,VLOOKUP(Calculator!E23,tbSkills!DH3:DI6,2,FALSE)+IF(AND(Calculator!B8=TRUE,Backdoors!BI32=TRUE),VLOOKUP(Calculator!E23,tbSkills!DH3:DJ6,3,FALSE),0),0))&gt;=100,100,(Backdoors!AI12+IF(GW105&gt;=0.45,VLOOKUP(Calculator!E23,tbSkills!DH3:DI6,2,FALSE)+IF(AND(Calculator!B8=TRUE,Backdoors!BI32=TRUE),VLOOKUP(Calculator!E23,tbSkills!DH3:DJ6,3,FALSE),0),0)))/100)),1),1)</f>
        <v>0.4</v>
      </c>
      <c r="HC105" s="87">
        <f t="shared" si="80"/>
        <v>0</v>
      </c>
      <c r="HD105" s="86" t="str">
        <f>IFERROR(IF(VLOOKUP(A105,tbMoveset!A2:B112,2,FALSE)="Sever",Backdoors!AY33/100,IF(VLOOKUP(A105,tbMoveset!A2:B112,2,FALSE)="Blunt",Backdoors!AZ33/100,Backdoors!BA33/100)),"")</f>
        <v/>
      </c>
      <c r="HE105" s="49">
        <f>IFERROR(IF(VLOOKUP(tbMoveset!A105,tbMoveset!A2:H112,8,FALSE)="Other",IF(VLOOKUP(tbMoveset!A105,tbMoveset!A2:I112,9,FALSE)="Fire",Backdoors!BB33,IF(VLOOKUP(tbMoveset!A105,tbMoveset!A2:I112,9,FALSE)="Water",Backdoors!BC33,IF(VLOOKUP(tbMoveset!A105,tbMoveset!A2:I112,9,FALSE)="Thunder",Backdoors!BD33,IF(VLOOKUP(tbMoveset!A105,tbMoveset!A2:I112,9,FALSE)="Ice",Backdoors!BE33,IF(VLOOKUP(tbMoveset!A105,tbMoveset!A2:I112,9,FALSE)="Dragon",Backdoors!BF33,Backdoors!BG33)))))/100,Backdoors!BG33/100),"")</f>
        <v>0</v>
      </c>
      <c r="HF105" s="49">
        <f>IFERROR(IF(VLOOKUP(A105,tbMoveset!A2:J112,10,FALSE)=TRUE,IF((Backdoors!AI12+IF(HD105&gt;=0.45,VLOOKUP(Calculator!E23,tbSkills!DH3:DI6,2,FALSE)+IF(AND(Calculator!B8=TRUE,Backdoors!BI33=TRUE),VLOOKUP(Calculator!E23,tbSkills!DH3:DJ6,3,FALSE),0),0))&gt;=0,1+(Backdoors!AL2*(IF((Backdoors!AI12+IF(HD105&gt;=0.45,VLOOKUP(Calculator!E23,tbSkills!DH3:DI6,2,FALSE)+IF(AND(Calculator!B8=TRUE,Backdoors!BI33=TRUE),VLOOKUP(Calculator!E23,tbSkills!DH3:DJ6,3,FALSE),0),0))&gt;=100,100,(Backdoors!AI12+IF(HD105&gt;=0.45,VLOOKUP(Calculator!E23,tbSkills!DH3:DI6,2,FALSE)+IF(AND(Calculator!B8=TRUE,Backdoors!BI33=TRUE),VLOOKUP(Calculator!E23,tbSkills!DH3:DJ6,3,FALSE),0),0)))/100)),(1-(0.25*((-Backdoors!AI12-IF(HD105&gt;=0.45,VLOOKUP(Calculator!E23,tbSkills!DH3:DI6,2,FALSE)+IF(AND(Calculator!B8=TRUE,Backdoors!BI33=TRUE),VLOOKUP(Calculator!E23,tbSkills!DH3:DJ6,3,FALSE),0),0))/100)))),1),"")</f>
        <v>1</v>
      </c>
      <c r="HG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D105)*HF105)*(VLOOKUP(A105,tbMoveset!A2:C112,3,FALSE)/100)*IF(VLOOKUP(A105,tbMoveset!A2:B112,2,FALSE)="Projectile",Backdoors!N10,Backdoors!N9),0),"")</f>
        <v/>
      </c>
      <c r="HH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D105&gt;=0.45,VLOOKUP(Calculator!E23,tbSkills!DH3:DI6,2,FALSE)+IF(AND(Calculator!B8=TRUE,Backdoors!BI33=TRUE),VLOOKUP(Calculator!E23,tbSkills!DH3:DJ6,3,FALSE),0),0))&gt;=100,100,(Backdoors!AI12+IF(HD105&gt;=0.45,VLOOKUP(Calculator!E23,tbSkills!DH3:DI6,2,FALSE)+IF(AND(Calculator!B8=TRUE,Backdoors!BI33=TRUE),VLOOKUP(Calculator!E23,tbSkills!DH3:DJ6,3,FALSE),0),0)))/100)),1))*IF(VLOOKUP(A105,tbMoveset!A2:K112,11,FALSE)=TRUE,Backdoors!AC5,1))*HE105,0),"")</f>
        <v>0</v>
      </c>
      <c r="HI105" s="49">
        <f>VLOOKUP(A105,tbMoveset!A2:G112,7,FALSE)*IFERROR(IF(Backdoors!AI12&gt;=0,1+(IF(Calculator!E40&gt;0,VLOOKUP(Calculator!E40,tbSkills!AI3:AJ5,2,FALSE),Backdoors!AL4)*(IF((Backdoors!AI12+IF(HD105&gt;=0.45,VLOOKUP(Calculator!E23,tbSkills!DH3:DI6,2,FALSE)+IF(AND(Calculator!B8=TRUE,Backdoors!BI33=TRUE),VLOOKUP(Calculator!E23,tbSkills!DH3:DJ6,3,FALSE),0),0))&gt;=100,100,(Backdoors!AI12+IF(HD105&gt;=0.45,VLOOKUP(Calculator!E23,tbSkills!DH3:DI6,2,FALSE)+IF(AND(Calculator!B8=TRUE,Backdoors!BI33=TRUE),VLOOKUP(Calculator!E23,tbSkills!DH3:DJ6,3,FALSE),0),0)))/100)),1),1)</f>
        <v>0.4</v>
      </c>
      <c r="HJ105" s="87">
        <f t="shared" si="81"/>
        <v>0</v>
      </c>
      <c r="HK105" s="86" t="str">
        <f>IFERROR(IF(VLOOKUP(A105,tbMoveset!A2:B112,2,FALSE)="Sever",Backdoors!AY34/100,IF(VLOOKUP(A105,tbMoveset!A2:B112,2,FALSE)="Blunt",Backdoors!AZ34/100,Backdoors!BA34/100)),"")</f>
        <v/>
      </c>
      <c r="HL105" s="49">
        <f>IFERROR(IF(VLOOKUP(tbMoveset!A105,tbMoveset!A2:H112,8,FALSE)="Other",IF(VLOOKUP(tbMoveset!A105,tbMoveset!A2:I112,9,FALSE)="Fire",Backdoors!BB34,IF(VLOOKUP(tbMoveset!A105,tbMoveset!A2:I112,9,FALSE)="Water",Backdoors!BC34,IF(VLOOKUP(tbMoveset!A105,tbMoveset!A2:I112,9,FALSE)="Thunder",Backdoors!BD34,IF(VLOOKUP(tbMoveset!A105,tbMoveset!A2:I112,9,FALSE)="Ice",Backdoors!BE34,IF(VLOOKUP(tbMoveset!A105,tbMoveset!A2:I112,9,FALSE)="Dragon",Backdoors!BF34,Backdoors!BG34)))))/100,Backdoors!BG34/100),"")</f>
        <v>0</v>
      </c>
      <c r="HM105" s="49">
        <f>IFERROR(IF(VLOOKUP(A105,tbMoveset!A2:J112,10,FALSE)=TRUE,IF((Backdoors!AI12+IF(HK105&gt;=0.45,VLOOKUP(Calculator!E23,tbSkills!DH3:DI6,2,FALSE)+IF(AND(Calculator!B8=TRUE,Backdoors!BI34=TRUE),VLOOKUP(Calculator!E23,tbSkills!DH3:DJ6,3,FALSE),0),0))&gt;=0,1+(Backdoors!AL2*(IF((Backdoors!AI12+IF(HK105&gt;=0.45,VLOOKUP(Calculator!E23,tbSkills!DH3:DI6,2,FALSE)+IF(AND(Calculator!B8=TRUE,Backdoors!BI34=TRUE),VLOOKUP(Calculator!E23,tbSkills!DH3:DJ6,3,FALSE),0),0))&gt;=100,100,(Backdoors!AI12+IF(HK105&gt;=0.45,VLOOKUP(Calculator!E23,tbSkills!DH3:DI6,2,FALSE)+IF(AND(Calculator!B8=TRUE,Backdoors!BI34=TRUE),VLOOKUP(Calculator!E23,tbSkills!DH3:DJ6,3,FALSE),0),0)))/100)),(1-(0.25*((-Backdoors!AI12-IF(HK105&gt;=0.45,VLOOKUP(Calculator!E23,tbSkills!DH3:DI6,2,FALSE)+IF(AND(Calculator!B8=TRUE,Backdoors!BI34=TRUE),VLOOKUP(Calculator!E23,tbSkills!DH3:DJ6,3,FALSE),0),0))/100)))),1),"")</f>
        <v>1</v>
      </c>
      <c r="HN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K105)*HM105)*(VLOOKUP(A105,tbMoveset!A2:C112,3,FALSE)/100)*IF(VLOOKUP(A105,tbMoveset!A2:B112,2,FALSE)="Projectile",Backdoors!N10,Backdoors!N9),0),"")</f>
        <v/>
      </c>
      <c r="HO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K105&gt;=0.45,VLOOKUP(Calculator!E23,tbSkills!DH3:DI6,2,FALSE)+IF(AND(Calculator!B8=TRUE,Backdoors!BI34=TRUE),VLOOKUP(Calculator!E23,tbSkills!DH3:DJ6,3,FALSE),0),0))&gt;=100,100,(Backdoors!AI12+IF(HK105&gt;=0.45,VLOOKUP(Calculator!E23,tbSkills!DH3:DI6,2,FALSE)+IF(AND(Calculator!B8=TRUE,Backdoors!BI34=TRUE),VLOOKUP(Calculator!E23,tbSkills!DH3:DJ6,3,FALSE),0),0)))/100)),1))*IF(VLOOKUP(A105,tbMoveset!A2:K112,11,FALSE)=TRUE,Backdoors!AC5,1))*HL105,0),"")</f>
        <v>0</v>
      </c>
      <c r="HP105" s="49">
        <f>VLOOKUP(A105,tbMoveset!A2:G112,7,FALSE)*IFERROR(IF(Backdoors!AI12&gt;=0,1+(IF(Calculator!E40&gt;0,VLOOKUP(Calculator!E40,tbSkills!AI3:AJ5,2,FALSE),Backdoors!AL4)*(IF((Backdoors!AI12+IF(HK105&gt;=0.45,VLOOKUP(Calculator!E23,tbSkills!DH3:DI6,2,FALSE)+IF(AND(Calculator!B8=TRUE,Backdoors!BI34=TRUE),VLOOKUP(Calculator!E23,tbSkills!DH3:DJ6,3,FALSE),0),0))&gt;=100,100,(Backdoors!AI12+IF(HK105&gt;=0.45,VLOOKUP(Calculator!E23,tbSkills!DH3:DI6,2,FALSE)+IF(AND(Calculator!B8=TRUE,Backdoors!BI34=TRUE),VLOOKUP(Calculator!E23,tbSkills!DH3:DJ6,3,FALSE),0),0)))/100)),1),1)</f>
        <v>0.4</v>
      </c>
      <c r="HQ105" s="87">
        <f t="shared" si="82"/>
        <v>0</v>
      </c>
      <c r="HR105" s="86" t="str">
        <f>IFERROR(IF(VLOOKUP(A105,tbMoveset!A2:B112,2,FALSE)="Sever",Backdoors!AY35/100,IF(VLOOKUP(A105,tbMoveset!A2:B112,2,FALSE)="Blunt",Backdoors!AZ35/100,Backdoors!BA35/100)),"")</f>
        <v/>
      </c>
      <c r="HS105" s="49">
        <f>IFERROR(IF(VLOOKUP(tbMoveset!A105,tbMoveset!A2:H112,8,FALSE)="Other",IF(VLOOKUP(tbMoveset!A105,tbMoveset!A2:I112,9,FALSE)="Fire",Backdoors!BB35,IF(VLOOKUP(tbMoveset!A105,tbMoveset!A2:I112,9,FALSE)="Water",Backdoors!BC35,IF(VLOOKUP(tbMoveset!A105,tbMoveset!A2:I112,9,FALSE)="Thunder",Backdoors!BD35,IF(VLOOKUP(tbMoveset!A105,tbMoveset!A2:I112,9,FALSE)="Ice",Backdoors!BE35,IF(VLOOKUP(tbMoveset!A105,tbMoveset!A2:I112,9,FALSE)="Dragon",Backdoors!BF35,Backdoors!BG35)))))/100,Backdoors!BG35/100),"")</f>
        <v>0</v>
      </c>
      <c r="HT105" s="49">
        <f>IFERROR(IF(VLOOKUP(A105,tbMoveset!A2:J112,10,FALSE)=TRUE,IF((Backdoors!AI12+IF(HR105&gt;=0.45,VLOOKUP(Calculator!E23,tbSkills!DH3:DI6,2,FALSE)+IF(AND(Calculator!B8=TRUE,Backdoors!BI35=TRUE),VLOOKUP(Calculator!E23,tbSkills!DH3:DJ6,3,FALSE),0),0))&gt;=0,1+(Backdoors!AL2*(IF((Backdoors!AI12+IF(HR105&gt;=0.45,VLOOKUP(Calculator!E23,tbSkills!DH3:DI6,2,FALSE)+IF(AND(Calculator!B8=TRUE,Backdoors!BI35=TRUE),VLOOKUP(Calculator!E23,tbSkills!DH3:DJ6,3,FALSE),0),0))&gt;=100,100,(Backdoors!AI12+IF(HR105&gt;=0.45,VLOOKUP(Calculator!E23,tbSkills!DH3:DI6,2,FALSE)+IF(AND(Calculator!B8=TRUE,Backdoors!BI35=TRUE),VLOOKUP(Calculator!E23,tbSkills!DH3:DJ6,3,FALSE),0),0)))/100)),(1-(0.25*((-Backdoors!AI12-IF(HR105&gt;=0.45,VLOOKUP(Calculator!E23,tbSkills!DH3:DI6,2,FALSE)+IF(AND(Calculator!B8=TRUE,Backdoors!BI35=TRUE),VLOOKUP(Calculator!E23,tbSkills!DH3:DJ6,3,FALSE),0),0))/100)))),1),"")</f>
        <v>1</v>
      </c>
      <c r="HU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R105)*HT105)*(VLOOKUP(A105,tbMoveset!A2:C112,3,FALSE)/100)*IF(VLOOKUP(A105,tbMoveset!A2:B112,2,FALSE)="Projectile",Backdoors!N10,Backdoors!N9),0),"")</f>
        <v/>
      </c>
      <c r="HV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R105&gt;=0.45,VLOOKUP(Calculator!E23,tbSkills!DH3:DI6,2,FALSE)+IF(AND(Calculator!B8=TRUE,Backdoors!BI35=TRUE),VLOOKUP(Calculator!E23,tbSkills!DH3:DJ6,3,FALSE),0),0))&gt;=100,100,(Backdoors!AI12+IF(HR105&gt;=0.45,VLOOKUP(Calculator!E23,tbSkills!DH3:DI6,2,FALSE)+IF(AND(Calculator!B8=TRUE,Backdoors!BI35=TRUE),VLOOKUP(Calculator!E23,tbSkills!DH3:DJ6,3,FALSE),0),0)))/100)),1))*IF(VLOOKUP(A105,tbMoveset!A2:K112,11,FALSE)=TRUE,Backdoors!AC5,1))*HS105,0),"")</f>
        <v>0</v>
      </c>
      <c r="HW105" s="49">
        <f>VLOOKUP(A105,tbMoveset!A2:G112,7,FALSE)*IFERROR(IF(Backdoors!AI12&gt;=0,1+(IF(Calculator!E40&gt;0,VLOOKUP(Calculator!E40,tbSkills!AI3:AJ5,2,FALSE),Backdoors!AL4)*(IF((Backdoors!AI12+IF(HR105&gt;=0.45,VLOOKUP(Calculator!E23,tbSkills!DH3:DI6,2,FALSE)+IF(AND(Calculator!B8=TRUE,Backdoors!BI35=TRUE),VLOOKUP(Calculator!E23,tbSkills!DH3:DJ6,3,FALSE),0),0))&gt;=100,100,(Backdoors!AI12+IF(HR105&gt;=0.45,VLOOKUP(Calculator!E23,tbSkills!DH3:DI6,2,FALSE)+IF(AND(Calculator!B8=TRUE,Backdoors!BI35=TRUE),VLOOKUP(Calculator!E23,tbSkills!DH3:DJ6,3,FALSE),0),0)))/100)),1),1)</f>
        <v>0.4</v>
      </c>
      <c r="HX105" s="87">
        <f t="shared" si="83"/>
        <v>0</v>
      </c>
      <c r="HY105" s="86" t="str">
        <f>IFERROR(IF(VLOOKUP(A105,tbMoveset!A2:B112,2,FALSE)="Sever",Backdoors!AY36/100,IF(VLOOKUP(A105,tbMoveset!A2:B112,2,FALSE)="Blunt",Backdoors!AZ36/100,Backdoors!BA36/100)),"")</f>
        <v/>
      </c>
      <c r="HZ105" s="49">
        <f>IFERROR(IF(VLOOKUP(tbMoveset!A105,tbMoveset!A2:H112,8,FALSE)="Other",IF(VLOOKUP(tbMoveset!A105,tbMoveset!A2:I112,9,FALSE)="Fire",Backdoors!BB36,IF(VLOOKUP(tbMoveset!A105,tbMoveset!A2:I112,9,FALSE)="Water",Backdoors!BC36,IF(VLOOKUP(tbMoveset!A105,tbMoveset!A2:I112,9,FALSE)="Thunder",Backdoors!BD36,IF(VLOOKUP(tbMoveset!A105,tbMoveset!A2:I112,9,FALSE)="Ice",Backdoors!BE36,IF(VLOOKUP(tbMoveset!A105,tbMoveset!A2:I112,9,FALSE)="Dragon",Backdoors!BF36,Backdoors!BG36)))))/100,Backdoors!BG36/100),"")</f>
        <v>0</v>
      </c>
      <c r="IA105" s="49">
        <f>IFERROR(IF(VLOOKUP(A105,tbMoveset!A2:J112,10,FALSE)=TRUE,IF((Backdoors!AI12+IF(HY105&gt;=0.45,VLOOKUP(Calculator!E23,tbSkills!DH3:DI6,2,FALSE)+IF(AND(Calculator!B8=TRUE,Backdoors!BI36=TRUE),VLOOKUP(Calculator!E23,tbSkills!DH3:DJ6,3,FALSE),0),0))&gt;=0,1+(Backdoors!AL2*(IF((Backdoors!AI12+IF(HY105&gt;=0.45,VLOOKUP(Calculator!E23,tbSkills!DH3:DI6,2,FALSE)+IF(AND(Calculator!B8=TRUE,Backdoors!BI36=TRUE),VLOOKUP(Calculator!E23,tbSkills!DH3:DJ6,3,FALSE),0),0))&gt;=100,100,(Backdoors!AI12+IF(HY105&gt;=0.45,VLOOKUP(Calculator!E23,tbSkills!DH3:DI6,2,FALSE)+IF(AND(Calculator!B8=TRUE,Backdoors!BI36=TRUE),VLOOKUP(Calculator!E23,tbSkills!DH3:DJ6,3,FALSE),0),0)))/100)),(1-(0.25*((-Backdoors!AI12-IF(HY105&gt;=0.45,VLOOKUP(Calculator!E23,tbSkills!DH3:DI6,2,FALSE)+IF(AND(Calculator!B8=TRUE,Backdoors!BI36=TRUE),VLOOKUP(Calculator!E23,tbSkills!DH3:DJ6,3,FALSE),0),0))/100)))),1),"")</f>
        <v>1</v>
      </c>
      <c r="IB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Y105)*IA105)*(VLOOKUP(A105,tbMoveset!A2:C112,3,FALSE)/100)*IF(VLOOKUP(A105,tbMoveset!A2:B112,2,FALSE)="Projectile",Backdoors!N10,Backdoors!N9),0),"")</f>
        <v/>
      </c>
      <c r="IC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Y105&gt;=0.45,VLOOKUP(Calculator!E23,tbSkills!DH3:DI6,2,FALSE)+IF(AND(Calculator!B8=TRUE,Backdoors!BI36=TRUE),VLOOKUP(Calculator!E23,tbSkills!DH3:DJ6,3,FALSE),0),0))&gt;=100,100,(Backdoors!AI12+IF(HY105&gt;=0.45,VLOOKUP(Calculator!E23,tbSkills!DH3:DI6,2,FALSE)+IF(AND(Calculator!B8=TRUE,Backdoors!BI36=TRUE),VLOOKUP(Calculator!E23,tbSkills!DH3:DJ6,3,FALSE),0),0)))/100)),1))*IF(VLOOKUP(A105,tbMoveset!A2:K112,11,FALSE)=TRUE,Backdoors!AC5,1))*HZ105,0),"")</f>
        <v>0</v>
      </c>
      <c r="ID105" s="49">
        <f>VLOOKUP(A105,tbMoveset!A2:G112,7,FALSE)*IFERROR(IF(Backdoors!AI12&gt;=0,1+(IF(Calculator!E40&gt;0,VLOOKUP(Calculator!E40,tbSkills!AI3:AJ5,2,FALSE),Backdoors!AL4)*(IF((Backdoors!AI12+IF(HY105&gt;=0.45,VLOOKUP(Calculator!E23,tbSkills!DH3:DI6,2,FALSE)+IF(AND(Calculator!B8=TRUE,Backdoors!BI36=TRUE),VLOOKUP(Calculator!E23,tbSkills!DH3:DJ6,3,FALSE),0),0))&gt;=100,100,(Backdoors!AI12+IF(HY105&gt;=0.45,VLOOKUP(Calculator!E23,tbSkills!DH3:DI6,2,FALSE)+IF(AND(Calculator!B8=TRUE,Backdoors!BI36=TRUE),VLOOKUP(Calculator!E23,tbSkills!DH3:DJ6,3,FALSE),0),0)))/100)),1),1)</f>
        <v>0.4</v>
      </c>
      <c r="IE105" s="87">
        <f t="shared" si="84"/>
        <v>0</v>
      </c>
      <c r="IF105" s="86" t="str">
        <f>IFERROR(IF(VLOOKUP(A105,tbMoveset!A2:B112,2,FALSE)="Sever",Backdoors!AY37/100,IF(VLOOKUP(A105,tbMoveset!A2:B112,2,FALSE)="Blunt",Backdoors!AZ37/100,Backdoors!BA37/100)),"")</f>
        <v/>
      </c>
      <c r="IG105" s="49">
        <f>IFERROR(IF(VLOOKUP(tbMoveset!A105,tbMoveset!A2:H112,8,FALSE)="Other",IF(VLOOKUP(tbMoveset!A105,tbMoveset!A2:I112,9,FALSE)="Fire",Backdoors!BB37,IF(VLOOKUP(tbMoveset!A105,tbMoveset!A2:I112,9,FALSE)="Water",Backdoors!BC37,IF(VLOOKUP(tbMoveset!A105,tbMoveset!A2:I112,9,FALSE)="Thunder",Backdoors!BD37,IF(VLOOKUP(tbMoveset!A105,tbMoveset!A2:I112,9,FALSE)="Ice",Backdoors!BE37,IF(VLOOKUP(tbMoveset!A105,tbMoveset!A2:I112,9,FALSE)="Dragon",Backdoors!BF37,Backdoors!BG37)))))/100,Backdoors!BG37/100),"")</f>
        <v>0</v>
      </c>
      <c r="IH105" s="49">
        <f>IFERROR(IF(VLOOKUP(A105,tbMoveset!A2:J112,10,FALSE)=TRUE,IF((Backdoors!AI12+IF(IF105&gt;=0.45,VLOOKUP(Calculator!E23,tbSkills!DH3:DI6,2,FALSE)+IF(AND(Calculator!B8=TRUE,Backdoors!BI37=TRUE),VLOOKUP(Calculator!E23,tbSkills!DH3:DJ6,3,FALSE),0),0))&gt;=0,1+(Backdoors!AL2*(IF((Backdoors!AI12+IF(IF105&gt;=0.45,VLOOKUP(Calculator!E23,tbSkills!DH3:DI6,2,FALSE)+IF(AND(Calculator!B8=TRUE,Backdoors!BI37=TRUE),VLOOKUP(Calculator!E23,tbSkills!DH3:DJ6,3,FALSE),0),0))&gt;=100,100,(Backdoors!AI12+IF(IF105&gt;=0.45,VLOOKUP(Calculator!E23,tbSkills!DH3:DI6,2,FALSE)+IF(AND(Calculator!B8=TRUE,Backdoors!BI37=TRUE),VLOOKUP(Calculator!E23,tbSkills!DH3:DJ6,3,FALSE),0),0)))/100)),(1-(0.25*((-Backdoors!AI12-IF(IF105&gt;=0.45,VLOOKUP(Calculator!E23,tbSkills!DH3:DI6,2,FALSE)+IF(AND(Calculator!B8=TRUE,Backdoors!BI37=TRUE),VLOOKUP(Calculator!E23,tbSkills!DH3:DJ6,3,FALSE),0),0))/100)))),1),"")</f>
        <v>1</v>
      </c>
      <c r="II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F105)*IH105)*(VLOOKUP(A105,tbMoveset!A2:C112,3,FALSE)/100)*IF(VLOOKUP(A105,tbMoveset!A2:B112,2,FALSE)="Projectile",Backdoors!N10,Backdoors!N9),0),"")</f>
        <v/>
      </c>
      <c r="IJ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IF105&gt;=0.45,VLOOKUP(Calculator!E23,tbSkills!DH3:DI6,2,FALSE)+IF(AND(Calculator!B8=TRUE,Backdoors!BI37=TRUE),VLOOKUP(Calculator!E23,tbSkills!DH3:DJ6,3,FALSE),0),0))&gt;=100,100,(Backdoors!AI12+IF(IF105&gt;=0.45,VLOOKUP(Calculator!E23,tbSkills!DH3:DI6,2,FALSE)+IF(AND(Calculator!B8=TRUE,Backdoors!BI37=TRUE),VLOOKUP(Calculator!E23,tbSkills!DH3:DJ6,3,FALSE),0),0)))/100)),1))*IF(VLOOKUP(A105,tbMoveset!A2:K112,11,FALSE)=TRUE,Backdoors!AC5,1))*IG105,0),"")</f>
        <v>0</v>
      </c>
      <c r="IK105" s="49">
        <f>VLOOKUP(A105,tbMoveset!A2:G112,7,FALSE)*IFERROR(IF(Backdoors!AI12&gt;=0,1+(IF(Calculator!E40&gt;0,VLOOKUP(Calculator!E40,tbSkills!AI3:AJ5,2,FALSE),Backdoors!AL4)*(IF((Backdoors!AI12+IF(IF105&gt;=0.45,VLOOKUP(Calculator!E23,tbSkills!DH3:DI6,2,FALSE)+IF(AND(Calculator!B8=TRUE,Backdoors!BI37=TRUE),VLOOKUP(Calculator!E23,tbSkills!DH3:DJ6,3,FALSE),0),0))&gt;=100,100,(Backdoors!AI12+IF(IF105&gt;=0.45,VLOOKUP(Calculator!E23,tbSkills!DH3:DI6,2,FALSE)+IF(AND(Calculator!B8=TRUE,Backdoors!BI37=TRUE),VLOOKUP(Calculator!E23,tbSkills!DH3:DJ6,3,FALSE),0),0)))/100)),1),1)</f>
        <v>0.4</v>
      </c>
      <c r="IL105" s="87">
        <f t="shared" si="85"/>
        <v>0</v>
      </c>
      <c r="IM105" s="86" t="str">
        <f>IFERROR(IF(VLOOKUP(A105,tbMoveset!A2:B112,2,FALSE)="Sever",Backdoors!AY38/100,IF(VLOOKUP(A105,tbMoveset!A2:B112,2,FALSE)="Blunt",Backdoors!AZ38/100,Backdoors!BA38/100)),"")</f>
        <v/>
      </c>
      <c r="IN105" s="49">
        <f>IFERROR(IF(VLOOKUP(tbMoveset!A105,tbMoveset!A2:H112,8,FALSE)="Other",IF(VLOOKUP(tbMoveset!A105,tbMoveset!A2:I112,9,FALSE)="Fire",Backdoors!BB38,IF(VLOOKUP(tbMoveset!A105,tbMoveset!A2:I112,9,FALSE)="Water",Backdoors!BC38,IF(VLOOKUP(tbMoveset!A105,tbMoveset!A2:I112,9,FALSE)="Thunder",Backdoors!BD38,IF(VLOOKUP(tbMoveset!A105,tbMoveset!A2:I112,9,FALSE)="Ice",Backdoors!BE38,IF(VLOOKUP(tbMoveset!A105,tbMoveset!A2:I112,9,FALSE)="Dragon",Backdoors!BF38,Backdoors!BG38)))))/100,Backdoors!BG38/100),"")</f>
        <v>0</v>
      </c>
      <c r="IO105" s="49">
        <f>IFERROR(IF(VLOOKUP(A105,tbMoveset!A2:J112,10,FALSE)=TRUE,IF((Backdoors!AI12+IF(IM105&gt;=0.45,VLOOKUP(Calculator!E23,tbSkills!DH3:DI6,2,FALSE)+IF(AND(Calculator!B8=TRUE,Backdoors!BI38=TRUE),VLOOKUP(Calculator!E23,tbSkills!DH3:DJ6,3,FALSE),0),0))&gt;=0,1+(Backdoors!AL2*(IF((Backdoors!AI12+IF(IM105&gt;=0.45,VLOOKUP(Calculator!E23,tbSkills!DH3:DI6,2,FALSE)+IF(AND(Calculator!B8=TRUE,Backdoors!BI38=TRUE),VLOOKUP(Calculator!E23,tbSkills!DH3:DJ6,3,FALSE),0),0))&gt;=100,100,(Backdoors!AI12+IF(IM105&gt;=0.45,VLOOKUP(Calculator!E23,tbSkills!DH3:DI6,2,FALSE)+IF(AND(Calculator!B8=TRUE,Backdoors!BI38=TRUE),VLOOKUP(Calculator!E23,tbSkills!DH3:DJ6,3,FALSE),0),0)))/100)),(1-(0.25*((-Backdoors!AI12-IF(IM105&gt;=0.45,VLOOKUP(Calculator!E23,tbSkills!DH3:DI6,2,FALSE)+IF(AND(Calculator!B8=TRUE,Backdoors!BI38=TRUE),VLOOKUP(Calculator!E23,tbSkills!DH3:DJ6,3,FALSE),0),0))/100)))),1),"")</f>
        <v>1</v>
      </c>
      <c r="IP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M105)*IO105)*(VLOOKUP(A105,tbMoveset!A2:C112,3,FALSE)/100)*IF(VLOOKUP(A105,tbMoveset!A2:B112,2,FALSE)="Projectile",Backdoors!N10,Backdoors!N9),0),"")</f>
        <v/>
      </c>
      <c r="IQ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IM105&gt;=0.45,VLOOKUP(Calculator!E23,tbSkills!DH3:DI6,2,FALSE)+IF(AND(Calculator!B8=TRUE,Backdoors!BI38=TRUE),VLOOKUP(Calculator!E23,tbSkills!DH3:DJ6,3,FALSE),0),0))&gt;=100,100,(Backdoors!AI12+IF(IM105&gt;=0.45,VLOOKUP(Calculator!E23,tbSkills!DH3:DI6,2,FALSE)+IF(AND(Calculator!B8=TRUE,Backdoors!BI38=TRUE),VLOOKUP(Calculator!E23,tbSkills!DH3:DJ6,3,FALSE),0),0)))/100)),1))*IF(VLOOKUP(A105,tbMoveset!A2:K112,11,FALSE)=TRUE,Backdoors!AC5,1))*IN105,0),"")</f>
        <v>0</v>
      </c>
      <c r="IR105" s="49">
        <f>VLOOKUP(A105,tbMoveset!A2:G112,7,FALSE)*IFERROR(IF(Backdoors!AI12&gt;=0,1+(IF(Calculator!E40&gt;0,VLOOKUP(Calculator!E40,tbSkills!AI3:AJ5,2,FALSE),Backdoors!AL4)*(IF((Backdoors!AI12+IF(IM105&gt;=0.45,VLOOKUP(Calculator!E23,tbSkills!DH3:DI6,2,FALSE)+IF(AND(Calculator!B8=TRUE,Backdoors!BI38=TRUE),VLOOKUP(Calculator!E23,tbSkills!DH3:DJ6,3,FALSE),0),0))&gt;=100,100,(Backdoors!AI12+IF(IM105&gt;=0.45,VLOOKUP(Calculator!E23,tbSkills!DH3:DI6,2,FALSE)+IF(AND(Calculator!B8=TRUE,Backdoors!BI38=TRUE),VLOOKUP(Calculator!E23,tbSkills!DH3:DJ6,3,FALSE),0),0)))/100)),1),1)</f>
        <v>0.4</v>
      </c>
      <c r="IS105" s="87">
        <f t="shared" si="86"/>
        <v>0</v>
      </c>
      <c r="IT105" s="86" t="str">
        <f>IFERROR(IF(VLOOKUP(A105,tbMoveset!A2:B112,2,FALSE)="Sever",Backdoors!AY39/100,IF(VLOOKUP(A105,tbMoveset!A2:B112,2,FALSE)="Blunt",Backdoors!AZ39/100,Backdoors!BA39/100)),"")</f>
        <v/>
      </c>
      <c r="IU105" s="49">
        <f>IFERROR(IF(VLOOKUP(tbMoveset!A105,tbMoveset!A2:H112,8,FALSE)="Other",IF(VLOOKUP(tbMoveset!A105,tbMoveset!A2:I112,9,FALSE)="Fire",Backdoors!BB39,IF(VLOOKUP(tbMoveset!A105,tbMoveset!A2:I112,9,FALSE)="Water",Backdoors!BC39,IF(VLOOKUP(tbMoveset!A105,tbMoveset!A2:I112,9,FALSE)="Thunder",Backdoors!BD39,IF(VLOOKUP(tbMoveset!A105,tbMoveset!A2:I112,9,FALSE)="Ice",Backdoors!BE39,IF(VLOOKUP(tbMoveset!A105,tbMoveset!A2:I112,9,FALSE)="Dragon",Backdoors!BF39,Backdoors!BG39)))))/100,Backdoors!BG39/100),"")</f>
        <v>0</v>
      </c>
      <c r="IV105" s="49">
        <f>IFERROR(IF(VLOOKUP(A105,tbMoveset!A2:J112,10,FALSE)=TRUE,IF((Backdoors!AI12+IF(IT105&gt;=0.45,VLOOKUP(Calculator!E23,tbSkills!DH3:DI6,2,FALSE)+IF(AND(Calculator!B8=TRUE,Backdoors!BI39=TRUE),VLOOKUP(Calculator!E23,tbSkills!DH3:DJ6,3,FALSE),0),0))&gt;=0,1+(Backdoors!AL2*(IF((Backdoors!AI12+IF(IT105&gt;=0.45,VLOOKUP(Calculator!E23,tbSkills!DH3:DI6,2,FALSE)+IF(AND(Calculator!B8=TRUE,Backdoors!BI39=TRUE),VLOOKUP(Calculator!E23,tbSkills!DH3:DJ6,3,FALSE),0),0))&gt;=100,100,(Backdoors!AI12+IF(IT105&gt;=0.45,VLOOKUP(Calculator!E23,tbSkills!DH3:DI6,2,FALSE)+IF(AND(Calculator!B8=TRUE,Backdoors!BI39=TRUE),VLOOKUP(Calculator!E23,tbSkills!DH3:DJ6,3,FALSE),0),0)))/100)),(1-(0.25*((-Backdoors!AI12-IF(IT105&gt;=0.45,VLOOKUP(Calculator!E23,tbSkills!DH3:DI6,2,FALSE)+IF(AND(Calculator!B8=TRUE,Backdoors!BI39=TRUE),VLOOKUP(Calculator!E23,tbSkills!DH3:DJ6,3,FALSE),0),0))/100)))),1),"")</f>
        <v>1</v>
      </c>
      <c r="IW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T105)*IV105)*(VLOOKUP(A105,tbMoveset!A2:C112,3,FALSE)/100)*IF(VLOOKUP(A105,tbMoveset!A2:B112,2,FALSE)="Projectile",Backdoors!N10,Backdoors!N9),0),"")</f>
        <v/>
      </c>
      <c r="IX105" s="49">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40&gt;0,VLOOKUP(Calculator!E40,tbSkills!AC3:AD5,2,FALSE),Backdoors!AL3)*(IF((Backdoors!AI12+IF(IT105&gt;=0.45,VLOOKUP(Calculator!E23,tbSkills!DH3:DI6,2,FALSE)+IF(AND(Calculator!B8=TRUE,Backdoors!BI39=TRUE),VLOOKUP(Calculator!E23,tbSkills!DH3:DJ6,3,FALSE),0),0))&gt;=100,100,(Backdoors!AI12+IF(IT105&gt;=0.45,VLOOKUP(Calculator!E23,tbSkills!DH3:DI6,2,FALSE)+IF(AND(Calculator!B8=TRUE,Backdoors!BI39=TRUE),VLOOKUP(Calculator!E23,tbSkills!DH3:DJ6,3,FALSE),0),0)))/100)),1))*IF(VLOOKUP(A105,tbMoveset!A2:K112,11,FALSE)=TRUE,Backdoors!AC5,1))*IU105,0),"")</f>
        <v>0</v>
      </c>
      <c r="IY105" s="49">
        <f>VLOOKUP(A105,tbMoveset!A2:G112,7,FALSE)*IFERROR(IF(Backdoors!AI12&gt;=0,1+(IF(Calculator!E40&gt;0,VLOOKUP(Calculator!E40,tbSkills!AI3:AJ5,2,FALSE),Backdoors!AL4)*(IF((Backdoors!AI12+IF(IT105&gt;=0.45,VLOOKUP(Calculator!E23,tbSkills!DH3:DI6,2,FALSE)+IF(AND(Calculator!B8=TRUE,Backdoors!BI39=TRUE),VLOOKUP(Calculator!E23,tbSkills!DH3:DJ6,3,FALSE),0),0))&gt;=100,100,(Backdoors!AI12+IF(IT105&gt;=0.45,VLOOKUP(Calculator!E23,tbSkills!DH3:DI6,2,FALSE)+IF(AND(Calculator!B8=TRUE,Backdoors!BI39=TRUE),VLOOKUP(Calculator!E23,tbSkills!DH3:DJ6,3,FALSE),0),0)))/100)),1),1)</f>
        <v>0.4</v>
      </c>
      <c r="IZ105" s="87">
        <f t="shared" si="87"/>
        <v>0</v>
      </c>
      <c r="JA105" s="86" t="str">
        <f>IFERROR(IF(VLOOKUP(A105,tbMoveset!A2:B112,2,FALSE)="Sever",Backdoors!AY40/100,IF(VLOOKUP(A105,tbMoveset!A2:B112,2,FALSE)="Blunt",Backdoors!AZ40/100,Backdoors!BA40/100)),"")</f>
        <v/>
      </c>
      <c r="JB105" s="49">
        <f>IFERROR(IF(VLOOKUP(tbMoveset!A105,tbMoveset!A2:H112,8,FALSE)="Other",IF(VLOOKUP(tbMoveset!A105,tbMoveset!A2:I112,9,FALSE)="Fire",Backdoors!BB40,IF(VLOOKUP(tbMoveset!A105,tbMoveset!A2:I112,9,FALSE)="Water",Backdoors!BC40,IF(VLOOKUP(tbMoveset!A105,tbMoveset!A2:I112,9,FALSE)="Thunder",Backdoors!BD40,IF(VLOOKUP(tbMoveset!A105,tbMoveset!A2:I112,9,FALSE)="Ice",Backdoors!BE40,IF(VLOOKUP(tbMoveset!A105,tbMoveset!A2:I112,9,FALSE)="Dragon",Backdoors!BF40,Backdoors!BG40)))))/100,Backdoors!BG40/100),"")</f>
        <v>0</v>
      </c>
      <c r="JC105" s="49">
        <f>IFERROR(IF(VLOOKUP(A105,tbMoveset!A2:J112,10,FALSE)=TRUE,IF((Backdoors!AI12+IF(JA105&gt;=0.45,VLOOKUP(Calculator!E23,tbSkills!DH3:DI6,2,FALSE)+IF(AND(Calculator!B8=TRUE,Backdoors!BI40=TRUE),VLOOKUP(Calculator!E23,tbSkills!DH3:DJ6,3,FALSE),0),0))&gt;=0,1+(Backdoors!AL2*(IF((Backdoors!AI12+IF(JA105&gt;=0.45,VLOOKUP(Calculator!E23,tbSkills!DH3:DI6,2,FALSE)+IF(AND(Calculator!B8=TRUE,Backdoors!BI40=TRUE),VLOOKUP(Calculator!E23,tbSkills!DH3:DJ6,3,FALSE),0),0))&gt;=100,100,(Backdoors!AI12+IF(JA105&gt;=0.45,VLOOKUP(Calculator!E23,tbSkills!DH3:DI6,2,FALSE)+IF(AND(Calculator!B8=TRUE,Backdoors!BI40=TRUE),VLOOKUP(Calculator!E23,tbSkills!DH3:DJ6,3,FALSE),0),0)))/100)),(1-(0.25*((-Backdoors!AI12-IF(JA105&gt;=0.45,VLOOKUP(Calculator!E23,tbSkills!DH3:DI6,2,FALSE)+IF(AND(Calculator!B8=TRUE,Backdoors!BI40=TRUE),VLOOKUP(Calculator!E23,tbSkills!DH3:DJ6,3,FALSE),0),0))/100)))),1),"")</f>
        <v>1</v>
      </c>
      <c r="JD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A105)*JC105)*(VLOOKUP(A105,tbMoveset!A2:C112,3,FALSE)/100)*IF(VLOOKUP(A105,tbMoveset!A2:B112,2,FALSE)="Projectile",Backdoors!N10,Backdoors!N9),0),"")</f>
        <v/>
      </c>
      <c r="JE105" s="49">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42&gt;0,VLOOKUP(Calculator!E42,tbSkills!AC3:AD5,2,FALSE),Backdoors!AL3)*(IF((Backdoors!AI12+IF(JA105&gt;=0.45,VLOOKUP(Calculator!E23,tbSkills!DH3:DI6,2,FALSE)+IF(AND(Calculator!B8=TRUE,Backdoors!BI40=TRUE),VLOOKUP(Calculator!E23,tbSkills!DH3:DJ6,3,FALSE),0),0))&gt;=100,100,(Backdoors!AI12+IF(JA105&gt;=0.45,VLOOKUP(Calculator!E23,tbSkills!DH3:DI6,2,FALSE)+IF(AND(Calculator!B8=TRUE,Backdoors!BI40=TRUE),VLOOKUP(Calculator!E23,tbSkills!DH3:DJ6,3,FALSE),0),0)))/100)),1))*IF(VLOOKUP(A105,tbMoveset!A2:K112,11,FALSE)=TRUE,Backdoors!AC5,1))*JB105,0),"")</f>
        <v>0</v>
      </c>
      <c r="JF105" s="49">
        <f>VLOOKUP(A105,tbMoveset!A2:G112,7,FALSE)*IFERROR(IF(Backdoors!AI12&gt;=0,1+(IF(Calculator!E40&gt;0,VLOOKUP(Calculator!E40,tbSkills!AI3:AJ5,2,FALSE),Backdoors!AL4)*(IF((Backdoors!AI12+IF(JA105&gt;=0.45,VLOOKUP(Calculator!E23,tbSkills!DH3:DI6,2,FALSE)+IF(AND(Calculator!B8=TRUE,Backdoors!BI40=TRUE),VLOOKUP(Calculator!E23,tbSkills!DH3:DJ6,3,FALSE),0),0))&gt;=100,100,(Backdoors!AI12+IF(JA105&gt;=0.45,VLOOKUP(Calculator!E23,tbSkills!DH3:DI6,2,FALSE)+IF(AND(Calculator!B8=TRUE,Backdoors!BI40=TRUE),VLOOKUP(Calculator!E23,tbSkills!DH3:DJ6,3,FALSE),0),0)))/100)),1),1)</f>
        <v>0.4</v>
      </c>
      <c r="JG105" s="87">
        <f t="shared" si="88"/>
        <v>0</v>
      </c>
      <c r="JH105" s="86" t="str">
        <f>IFERROR(IF(VLOOKUP(A105,tbMoveset!A2:B112,2,FALSE)="Sever",Backdoors!AY41/100,IF(VLOOKUP(A105,tbMoveset!A2:B112,2,FALSE)="Blunt",Backdoors!AZ41/100,Backdoors!BA41/100)),"")</f>
        <v/>
      </c>
      <c r="JI105" s="49">
        <f>IFERROR(IF(VLOOKUP(tbMoveset!A105,tbMoveset!A2:H112,8,FALSE)="Other",IF(VLOOKUP(tbMoveset!A105,tbMoveset!A2:I112,9,FALSE)="Fire",Backdoors!BB41,IF(VLOOKUP(tbMoveset!A105,tbMoveset!A2:I112,9,FALSE)="Water",Backdoors!BC41,IF(VLOOKUP(tbMoveset!A105,tbMoveset!A2:I112,9,FALSE)="Thunder",Backdoors!BD41,IF(VLOOKUP(tbMoveset!A105,tbMoveset!A2:I112,9,FALSE)="Ice",Backdoors!BE41,IF(VLOOKUP(tbMoveset!A105,tbMoveset!A2:I112,9,FALSE)="Dragon",Backdoors!BF41,Backdoors!BG41)))))/100,Backdoors!BG41/100),"")</f>
        <v>0</v>
      </c>
      <c r="JJ105" s="49">
        <f>IFERROR(IF(VLOOKUP(A105,tbMoveset!A2:J112,10,FALSE)=TRUE,IF((Backdoors!AI12+IF(JH105&gt;=0.45,VLOOKUP(Calculator!E23,tbSkills!DH3:DI6,2,FALSE)+IF(AND(Calculator!B8=TRUE,Backdoors!BI41=TRUE),VLOOKUP(Calculator!E23,tbSkills!DH3:DJ6,3,FALSE),0),0))&gt;=0,1+(Backdoors!AL2*(IF((Backdoors!AI12+IF(JH105&gt;=0.45,VLOOKUP(Calculator!E23,tbSkills!DH3:DI6,2,FALSE)+IF(AND(Calculator!B8=TRUE,Backdoors!BI41=TRUE),VLOOKUP(Calculator!E23,tbSkills!DH3:DJ6,3,FALSE),0),0))&gt;=100,100,(Backdoors!AI12+IF(JH105&gt;=0.45,VLOOKUP(Calculator!E23,tbSkills!DH3:DI6,2,FALSE)+IF(AND(Calculator!B8=TRUE,Backdoors!BI41=TRUE),VLOOKUP(Calculator!E23,tbSkills!DH3:DJ6,3,FALSE),0),0)))/100)),(1-(0.25*((-Backdoors!AI12-IF(JH105&gt;=0.45,VLOOKUP(Calculator!E23,tbSkills!DH3:DI6,2,FALSE)+IF(AND(Calculator!B8=TRUE,Backdoors!BI41=TRUE),VLOOKUP(Calculator!E23,tbSkills!DH3:DJ6,3,FALSE),0),0))/100)))),1),"")</f>
        <v>1</v>
      </c>
      <c r="JK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H105)*JJ105)*(VLOOKUP(A105,tbMoveset!A2:C112,3,FALSE)/100)*IF(VLOOKUP(A105,tbMoveset!A2:B112,2,FALSE)="Projectile",Backdoors!N10,Backdoors!N9),0),"")</f>
        <v/>
      </c>
      <c r="JL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43&gt;0,VLOOKUP(Calculator!E43,tbSkills!AC3:AD5,2,FALSE),Backdoors!AL3)*(IF((Backdoors!AI12+IF(JH105&gt;=0.45,VLOOKUP(Calculator!E23,tbSkills!DH3:DI6,2,FALSE)+IF(AND(Calculator!B8=TRUE,Backdoors!BI41=TRUE),VLOOKUP(Calculator!E23,tbSkills!DH3:DJ6,3,FALSE),0),0))&gt;=100,100,(Backdoors!AI12+IF(JH105&gt;=0.45,VLOOKUP(Calculator!E23,tbSkills!DH3:DI6,2,FALSE)+IF(AND(Calculator!B8=TRUE,Backdoors!BI41=TRUE),VLOOKUP(Calculator!E23,tbSkills!DH3:DJ6,3,FALSE),0),0)))/100)),1))*IF(VLOOKUP(A105,tbMoveset!A2:K112,11,FALSE)=TRUE,Backdoors!AC5,1))*JI105,0),"")</f>
        <v/>
      </c>
      <c r="JM105" s="49">
        <f>VLOOKUP(A105,tbMoveset!A2:G112,7,FALSE)*IFERROR(IF(Backdoors!AI12&gt;=0,1+(IF(Calculator!E40&gt;0,VLOOKUP(Calculator!E40,tbSkills!AI3:AJ5,2,FALSE),Backdoors!AL4)*(IF((Backdoors!AI12+IF(JH105&gt;=0.45,VLOOKUP(Calculator!E23,tbSkills!DH3:DI6,2,FALSE)+IF(AND(Calculator!B8=TRUE,Backdoors!BI41=TRUE),VLOOKUP(Calculator!E23,tbSkills!DH3:DJ6,3,FALSE),0),0))&gt;=100,100,(Backdoors!AI12+IF(JH105&gt;=0.45,VLOOKUP(Calculator!E23,tbSkills!DH3:DI6,2,FALSE)+IF(AND(Calculator!B8=TRUE,Backdoors!BI41=TRUE),VLOOKUP(Calculator!E23,tbSkills!DH3:DJ6,3,FALSE),0),0)))/100)),1),1)</f>
        <v>0.4</v>
      </c>
      <c r="JN105" s="87">
        <f t="shared" si="89"/>
        <v>0</v>
      </c>
      <c r="JO105" s="86" t="str">
        <f>IFERROR(IF(VLOOKUP(A105,tbMoveset!A2:B112,2,FALSE)="Sever",Backdoors!AY42/100,IF(VLOOKUP(A105,tbMoveset!A2:B112,2,FALSE)="Blunt",Backdoors!AZ42/100,Backdoors!BA42/100)),"")</f>
        <v/>
      </c>
      <c r="JP105" s="49">
        <f>IFERROR(IF(VLOOKUP(tbMoveset!A105,tbMoveset!A2:H112,8,FALSE)="Other",IF(VLOOKUP(tbMoveset!A105,tbMoveset!A2:I112,9,FALSE)="Fire",Backdoors!BB42,IF(VLOOKUP(tbMoveset!A105,tbMoveset!A2:I112,9,FALSE)="Water",Backdoors!BC42,IF(VLOOKUP(tbMoveset!A105,tbMoveset!A2:I112,9,FALSE)="Thunder",Backdoors!BD42,IF(VLOOKUP(tbMoveset!A105,tbMoveset!A2:I112,9,FALSE)="Ice",Backdoors!BE42,IF(VLOOKUP(tbMoveset!A105,tbMoveset!A2:I112,9,FALSE)="Dragon",Backdoors!BF42,Backdoors!BG42)))))/100,Backdoors!BG42/100),"")</f>
        <v>0</v>
      </c>
      <c r="JQ105" s="49">
        <f>IFERROR(IF(VLOOKUP(A105,tbMoveset!A2:J112,10,FALSE)=TRUE,IF((Backdoors!AI12+IF(JO105&gt;=0.45,VLOOKUP(Calculator!E23,tbSkills!DH3:DI6,2,FALSE)+IF(AND(Calculator!B8=TRUE,Backdoors!BI42=TRUE),VLOOKUP(Calculator!E23,tbSkills!DH3:DJ6,3,FALSE),0),0))&gt;=0,1+(Backdoors!AL2*(IF((Backdoors!AI12+IF(JO105&gt;=0.45,VLOOKUP(Calculator!E23,tbSkills!DH3:DI6,2,FALSE)+IF(AND(Calculator!B8=TRUE,Backdoors!BI42=TRUE),VLOOKUP(Calculator!E23,tbSkills!DH3:DJ6,3,FALSE),0),0))&gt;=100,100,(Backdoors!AI12+IF(JO105&gt;=0.45,VLOOKUP(Calculator!E23,tbSkills!DH3:DI6,2,FALSE)+IF(AND(Calculator!B8=TRUE,Backdoors!BI42=TRUE),VLOOKUP(Calculator!E23,tbSkills!DH3:DJ6,3,FALSE),0),0)))/100)),(1-(0.25*((-Backdoors!AI12-IF(JO105&gt;=0.45,VLOOKUP(Calculator!E23,tbSkills!DH3:DI6,2,FALSE)+IF(AND(Calculator!B8=TRUE,Backdoors!BI42=TRUE),VLOOKUP(Calculator!E23,tbSkills!DH3:DJ6,3,FALSE),0),0))/100)))),1),"")</f>
        <v>1</v>
      </c>
      <c r="JR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O105)*JQ105)*(VLOOKUP(A105,tbMoveset!A2:C112,3,FALSE)/100)*IF(VLOOKUP(A105,tbMoveset!A2:B112,2,FALSE)="Projectile",Backdoors!N10,Backdoors!N9),0),"")</f>
        <v/>
      </c>
      <c r="JS105" s="49">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45&gt;0,VLOOKUP(Calculator!E45,tbSkills!AC3:AD5,2,FALSE),Backdoors!AL3)*(IF((Backdoors!AI12+IF(JO105&gt;=0.45,VLOOKUP(Calculator!E23,tbSkills!DH3:DI6,2,FALSE)+IF(AND(Calculator!B8=TRUE,Backdoors!BI42=TRUE),VLOOKUP(Calculator!E23,tbSkills!DH3:DJ6,3,FALSE),0),0))&gt;=100,100,(Backdoors!AI12+IF(JO105&gt;=0.45,VLOOKUP(Calculator!E23,tbSkills!DH3:DI6,2,FALSE)+IF(AND(Calculator!B8=TRUE,Backdoors!BI42=TRUE),VLOOKUP(Calculator!E23,tbSkills!DH3:DJ6,3,FALSE),0),0)))/100)),1))*IF(VLOOKUP(A105,tbMoveset!A2:K112,11,FALSE)=TRUE,Backdoors!AC5,1))*JP105,0),"")</f>
        <v>0</v>
      </c>
      <c r="JT105" s="49">
        <f>VLOOKUP(A105,tbMoveset!A2:G112,7,FALSE)*IFERROR(IF(Backdoors!AI12&gt;=0,1+(IF(Calculator!E40&gt;0,VLOOKUP(Calculator!E40,tbSkills!AI3:AJ5,2,FALSE),Backdoors!AL4)*(IF((Backdoors!AI12+IF(JO105&gt;=0.45,VLOOKUP(Calculator!E23,tbSkills!DH3:DI6,2,FALSE)+IF(AND(Calculator!B8=TRUE,Backdoors!BI42=TRUE),VLOOKUP(Calculator!E23,tbSkills!DH3:DJ6,3,FALSE),0),0))&gt;=100,100,(Backdoors!AI12+IF(JO105&gt;=0.45,VLOOKUP(Calculator!E23,tbSkills!DH3:DI6,2,FALSE)+IF(AND(Calculator!B8=TRUE,Backdoors!BI42=TRUE),VLOOKUP(Calculator!E23,tbSkills!DH3:DJ6,3,FALSE),0),0)))/100)),1),1)</f>
        <v>0.4</v>
      </c>
      <c r="JU105" s="87">
        <f t="shared" si="90"/>
        <v>0</v>
      </c>
      <c r="JV105" s="86" t="str">
        <f>IFERROR(IF(VLOOKUP(A105,tbMoveset!A2:B112,2,FALSE)="Sever",Backdoors!AY43/100,IF(VLOOKUP(A105,tbMoveset!A2:B112,2,FALSE)="Blunt",Backdoors!AZ43/100,Backdoors!BA43/100)),"")</f>
        <v/>
      </c>
      <c r="JW105" s="49">
        <f>IFERROR(IF(VLOOKUP(tbMoveset!A105,tbMoveset!A2:H112,8,FALSE)="Other",IF(VLOOKUP(tbMoveset!A105,tbMoveset!A2:I112,9,FALSE)="Fire",Backdoors!BB43,IF(VLOOKUP(tbMoveset!A105,tbMoveset!A2:I112,9,FALSE)="Water",Backdoors!BC43,IF(VLOOKUP(tbMoveset!A105,tbMoveset!A2:I112,9,FALSE)="Thunder",Backdoors!BD43,IF(VLOOKUP(tbMoveset!A105,tbMoveset!A2:I112,9,FALSE)="Ice",Backdoors!BE43,IF(VLOOKUP(tbMoveset!A105,tbMoveset!A2:I112,9,FALSE)="Dragon",Backdoors!BF43,Backdoors!BG43)))))/100,Backdoors!BG43/100),"")</f>
        <v>0</v>
      </c>
      <c r="JX105" s="49">
        <f>IFERROR(IF(VLOOKUP(A105,tbMoveset!A2:J112,10,FALSE)=TRUE,IF((Backdoors!AI12+IF(JV105&gt;=0.45,VLOOKUP(Calculator!E23,tbSkills!DH3:DI6,2,FALSE)+IF(AND(Calculator!B8=TRUE,Backdoors!BI43=TRUE),VLOOKUP(Calculator!E23,tbSkills!DH3:DJ6,3,FALSE),0),0))&gt;=0,1+(Backdoors!AL2*(IF((Backdoors!AI12+IF(JV105&gt;=0.45,VLOOKUP(Calculator!E23,tbSkills!DH3:DI6,2,FALSE)+IF(AND(Calculator!B8=TRUE,Backdoors!BI43=TRUE),VLOOKUP(Calculator!E23,tbSkills!DH3:DJ6,3,FALSE),0),0))&gt;=100,100,(Backdoors!AI12+IF(JV105&gt;=0.45,VLOOKUP(Calculator!E23,tbSkills!DH3:DI6,2,FALSE)+IF(AND(Calculator!B8=TRUE,Backdoors!BI43=TRUE),VLOOKUP(Calculator!E23,tbSkills!DH3:DJ6,3,FALSE),0),0)))/100)),(1-(0.25*((-Backdoors!AI12-IF(JV105&gt;=0.45,VLOOKUP(Calculator!E23,tbSkills!DH3:DI6,2,FALSE)+IF(AND(Calculator!B8=TRUE,Backdoors!BI43=TRUE),VLOOKUP(Calculator!E23,tbSkills!DH3:DJ6,3,FALSE),0),0))/100)))),1),"")</f>
        <v>1</v>
      </c>
      <c r="JY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V105)*JX105)*(VLOOKUP(A105,tbMoveset!A2:C112,3,FALSE)/100)*IF(VLOOKUP(A105,tbMoveset!A2:B112,2,FALSE)="Projectile",Backdoors!N10,Backdoors!N9),0),"")</f>
        <v/>
      </c>
      <c r="JZ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46&gt;0,VLOOKUP(Calculator!E46,tbSkills!AC3:AD5,2,FALSE),Backdoors!AL3)*(IF((Backdoors!AI12+IF(JV105&gt;=0.45,VLOOKUP(Calculator!E23,tbSkills!DH3:DI6,2,FALSE)+IF(AND(Calculator!B8=TRUE,Backdoors!BI43=TRUE),VLOOKUP(Calculator!E23,tbSkills!DH3:DJ6,3,FALSE),0),0))&gt;=100,100,(Backdoors!AI12+IF(JV105&gt;=0.45,VLOOKUP(Calculator!E23,tbSkills!DH3:DI6,2,FALSE)+IF(AND(Calculator!B8=TRUE,Backdoors!BI43=TRUE),VLOOKUP(Calculator!E23,tbSkills!DH3:DJ6,3,FALSE),0),0)))/100)),1))*IF(VLOOKUP(A105,tbMoveset!A2:K112,11,FALSE)=TRUE,Backdoors!AC5,1))*JW105,0),"")</f>
        <v/>
      </c>
      <c r="KA105" s="49">
        <f>VLOOKUP(A105,tbMoveset!A2:G112,7,FALSE)*IFERROR(IF(Backdoors!AI12&gt;=0,1+(IF(Calculator!E40&gt;0,VLOOKUP(Calculator!E40,tbSkills!AI3:AJ5,2,FALSE),Backdoors!AL4)*(IF((Backdoors!AI12+IF(JV105&gt;=0.45,VLOOKUP(Calculator!E23,tbSkills!DH3:DI6,2,FALSE)+IF(AND(Calculator!B8=TRUE,Backdoors!BI43=TRUE),VLOOKUP(Calculator!E23,tbSkills!DH3:DJ6,3,FALSE),0),0))&gt;=100,100,(Backdoors!AI12+IF(JV105&gt;=0.45,VLOOKUP(Calculator!E23,tbSkills!DH3:DI6,2,FALSE)+IF(AND(Calculator!B8=TRUE,Backdoors!BI43=TRUE),VLOOKUP(Calculator!E23,tbSkills!DH3:DJ6,3,FALSE),0),0)))/100)),1),1)</f>
        <v>0.4</v>
      </c>
      <c r="KB105" s="87">
        <f t="shared" si="91"/>
        <v>0</v>
      </c>
      <c r="KC105" s="86" t="str">
        <f>IFERROR(IF(VLOOKUP(A105,tbMoveset!A2:B112,2,FALSE)="Sever",Backdoors!AY44/100,IF(VLOOKUP(A105,tbMoveset!A2:B112,2,FALSE)="Blunt",Backdoors!AZ44/100,Backdoors!BA44/100)),"")</f>
        <v/>
      </c>
      <c r="KD105" s="49">
        <f>IFERROR(IF(VLOOKUP(tbMoveset!A105,tbMoveset!A2:H112,8,FALSE)="Other",IF(VLOOKUP(tbMoveset!A105,tbMoveset!A2:I112,9,FALSE)="Fire",Backdoors!BB44,IF(VLOOKUP(tbMoveset!A105,tbMoveset!A2:I112,9,FALSE)="Water",Backdoors!BC44,IF(VLOOKUP(tbMoveset!A105,tbMoveset!A2:I112,9,FALSE)="Thunder",Backdoors!BD44,IF(VLOOKUP(tbMoveset!A105,tbMoveset!A2:I112,9,FALSE)="Ice",Backdoors!BE44,IF(VLOOKUP(tbMoveset!A105,tbMoveset!A2:I112,9,FALSE)="Dragon",Backdoors!BF44,Backdoors!BG44)))))/100,Backdoors!BG44/100),"")</f>
        <v>0</v>
      </c>
      <c r="KE105" s="49">
        <f>IFERROR(IF(VLOOKUP(A105,tbMoveset!A2:J112,10,FALSE)=TRUE,IF((Backdoors!AI12+IF(KC105&gt;=0.45,VLOOKUP(Calculator!E23,tbSkills!DH3:DI6,2,FALSE)+IF(AND(Calculator!B8=TRUE,Backdoors!BI44=TRUE),VLOOKUP(Calculator!E23,tbSkills!DH3:DJ6,3,FALSE),0),0))&gt;=0,1+(Backdoors!AL2*(IF((Backdoors!AI12+IF(KC105&gt;=0.45,VLOOKUP(Calculator!E23,tbSkills!DH3:DI6,2,FALSE)+IF(AND(Calculator!B8=TRUE,Backdoors!BI44=TRUE),VLOOKUP(Calculator!E23,tbSkills!DH3:DJ6,3,FALSE),0),0))&gt;=100,100,(Backdoors!AI12+IF(KC105&gt;=0.45,VLOOKUP(Calculator!E23,tbSkills!DH3:DI6,2,FALSE)+IF(AND(Calculator!B8=TRUE,Backdoors!BI44=TRUE),VLOOKUP(Calculator!E23,tbSkills!DH3:DJ6,3,FALSE),0),0)))/100)),(1-(0.25*((-Backdoors!AI12-IF(KC105&gt;=0.45,VLOOKUP(Calculator!E23,tbSkills!DH3:DI6,2,FALSE)+IF(AND(Calculator!B8=TRUE,Backdoors!BI44=TRUE),VLOOKUP(Calculator!E23,tbSkills!DH3:DJ6,3,FALSE),0),0))/100)))),1),"")</f>
        <v>1</v>
      </c>
      <c r="KF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KC105)*KE105)*(VLOOKUP(A105,tbMoveset!A2:C112,3,FALSE)/100)*IF(VLOOKUP(A105,tbMoveset!A2:B112,2,FALSE)="Projectile",Backdoors!N10,Backdoors!N9),0),"")</f>
        <v/>
      </c>
      <c r="KG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REF!&gt;0,VLOOKUP(Calculator!#REF!,tbSkills!AC3:AD5,2,FALSE),Backdoors!AL3)*(IF((Backdoors!AI12+IF(KC105&gt;=0.45,VLOOKUP(Calculator!E23,tbSkills!DH3:DI6,2,FALSE)+IF(AND(Calculator!B8=TRUE,Backdoors!BI44=TRUE),VLOOKUP(Calculator!E23,tbSkills!DH3:DJ6,3,FALSE),0),0))&gt;=100,100,(Backdoors!AI12+IF(KC105&gt;=0.45,VLOOKUP(Calculator!E23,tbSkills!DH3:DI6,2,FALSE)+IF(AND(Calculator!B8=TRUE,Backdoors!BI44=TRUE),VLOOKUP(Calculator!E23,tbSkills!DH3:DJ6,3,FALSE),0),0)))/100)),1))*IF(VLOOKUP(A105,tbMoveset!A2:K112,11,FALSE)=TRUE,Backdoors!AC5,1))*KD105,0),"")</f>
        <v/>
      </c>
      <c r="KH105" s="49">
        <f>VLOOKUP(A105,tbMoveset!A2:G112,7,FALSE)*IFERROR(IF(Backdoors!AI12&gt;=0,1+(IF(Calculator!E40&gt;0,VLOOKUP(Calculator!E40,tbSkills!AI3:AJ5,2,FALSE),Backdoors!AL4)*(IF((Backdoors!AI12+IF(KC105&gt;=0.45,VLOOKUP(Calculator!E23,tbSkills!DH3:DI6,2,FALSE)+IF(AND(Calculator!B8=TRUE,Backdoors!BI44=TRUE),VLOOKUP(Calculator!E23,tbSkills!DH3:DJ6,3,FALSE),0),0))&gt;=100,100,(Backdoors!AI12+IF(KC105&gt;=0.45,VLOOKUP(Calculator!E23,tbSkills!DH3:DI6,2,FALSE)+IF(AND(Calculator!B8=TRUE,Backdoors!BI44=TRUE),VLOOKUP(Calculator!E23,tbSkills!DH3:DJ6,3,FALSE),0),0)))/100)),1),1)</f>
        <v>0.4</v>
      </c>
      <c r="KI105" s="87">
        <f t="shared" si="92"/>
        <v>0</v>
      </c>
      <c r="KJ105" s="86" t="str">
        <f>IFERROR(IF(VLOOKUP(A105,tbMoveset!A2:B112,2,FALSE)="Sever",Backdoors!AY45/100,IF(VLOOKUP(A105,tbMoveset!A2:B112,2,FALSE)="Blunt",Backdoors!AZ45/100,Backdoors!BA45/100)),"")</f>
        <v/>
      </c>
      <c r="KK105" s="49">
        <f>IFERROR(IF(VLOOKUP(tbMoveset!A105,tbMoveset!A2:H112,8,FALSE)="Other",IF(VLOOKUP(tbMoveset!A105,tbMoveset!A2:I112,9,FALSE)="Fire",Backdoors!BB45,IF(VLOOKUP(tbMoveset!A105,tbMoveset!A2:I112,9,FALSE)="Water",Backdoors!BC45,IF(VLOOKUP(tbMoveset!A105,tbMoveset!A2:I112,9,FALSE)="Thunder",Backdoors!BD45,IF(VLOOKUP(tbMoveset!A105,tbMoveset!A2:I112,9,FALSE)="Ice",Backdoors!BE45,IF(VLOOKUP(tbMoveset!A105,tbMoveset!A2:I112,9,FALSE)="Dragon",Backdoors!BF45,Backdoors!BG45)))))/100,Backdoors!BG45/100),"")</f>
        <v>0</v>
      </c>
      <c r="KL105" s="49">
        <f>IFERROR(IF(VLOOKUP(A105,tbMoveset!A2:J112,10,FALSE)=TRUE,IF((Backdoors!AI12+IF(KJ105&gt;=0.45,VLOOKUP(Calculator!E23,tbSkills!DH3:DI6,2,FALSE)+IF(AND(Calculator!B8=TRUE,Backdoors!BI45=TRUE),VLOOKUP(Calculator!E23,tbSkills!DH3:DJ6,3,FALSE),0),0))&gt;=0,1+(Backdoors!AL2*(IF((Backdoors!AI12+IF(KJ105&gt;=0.45,VLOOKUP(Calculator!E23,tbSkills!DH3:DI6,2,FALSE)+IF(AND(Calculator!B8=TRUE,Backdoors!BI45=TRUE),VLOOKUP(Calculator!E23,tbSkills!DH3:DJ6,3,FALSE),0),0))&gt;=100,100,(Backdoors!AI12+IF(KJ105&gt;=0.45,VLOOKUP(Calculator!E23,tbSkills!DH3:DI6,2,FALSE)+IF(AND(Calculator!B8=TRUE,Backdoors!BI45=TRUE),VLOOKUP(Calculator!E23,tbSkills!DH3:DJ6,3,FALSE),0),0)))/100)),(1-(0.25*((-Backdoors!AI12-IF(KJ105&gt;=0.45,VLOOKUP(Calculator!E23,tbSkills!DH3:DI6,2,FALSE)+IF(AND(Calculator!B8=TRUE,Backdoors!BI45=TRUE),VLOOKUP(Calculator!E23,tbSkills!DH3:DJ6,3,FALSE),0),0))/100)))),1),"")</f>
        <v>1</v>
      </c>
      <c r="KM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KJ105)*KL105)*(VLOOKUP(A105,tbMoveset!A2:C112,3,FALSE)/100)*IF(VLOOKUP(A105,tbMoveset!A2:B112,2,FALSE)="Projectile",Backdoors!N10,Backdoors!N9),0),"")</f>
        <v/>
      </c>
      <c r="KN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REF!&gt;0,VLOOKUP(Calculator!#REF!,tbSkills!AC3:AD5,2,FALSE),Backdoors!AL3)*(IF((Backdoors!AI12+IF(KJ105&gt;=0.45,VLOOKUP(Calculator!E23,tbSkills!DH3:DI6,2,FALSE)+IF(AND(Calculator!B8=TRUE,Backdoors!BI45=TRUE),VLOOKUP(Calculator!E23,tbSkills!DH3:DJ6,3,FALSE),0),0))&gt;=100,100,(Backdoors!AI12+IF(KJ105&gt;=0.45,VLOOKUP(Calculator!E23,tbSkills!DH3:DI6,2,FALSE)+IF(AND(Calculator!B8=TRUE,Backdoors!BI45=TRUE),VLOOKUP(Calculator!E23,tbSkills!DH3:DJ6,3,FALSE),0),0)))/100)),1))*IF(VLOOKUP(A105,tbMoveset!A2:K112,11,FALSE)=TRUE,Backdoors!AC5,1))*KK105,0),"")</f>
        <v/>
      </c>
      <c r="KO105" s="49">
        <f>VLOOKUP(A105,tbMoveset!A2:G112,7,FALSE)*IFERROR(IF(Backdoors!AI12&gt;=0,1+(IF(Calculator!E40&gt;0,VLOOKUP(Calculator!E40,tbSkills!AI3:AJ5,2,FALSE),Backdoors!AL4)*(IF((Backdoors!AI12+IF(KJ105&gt;=0.45,VLOOKUP(Calculator!E23,tbSkills!DH3:DI6,2,FALSE)+IF(AND(Calculator!B8=TRUE,Backdoors!BI45=TRUE),VLOOKUP(Calculator!E23,tbSkills!DH3:DJ6,3,FALSE),0),0))&gt;=100,100,(Backdoors!AI12+IF(KJ105&gt;=0.45,VLOOKUP(Calculator!E23,tbSkills!DH3:DI6,2,FALSE)+IF(AND(Calculator!B8=TRUE,Backdoors!BI45=TRUE),VLOOKUP(Calculator!E23,tbSkills!DH3:DJ6,3,FALSE),0),0)))/100)),1),1)</f>
        <v>0.4</v>
      </c>
      <c r="KP105" s="87">
        <f t="shared" si="93"/>
        <v>0</v>
      </c>
      <c r="KQ105" s="86" t="str">
        <f>IFERROR(IF(VLOOKUP(A105,tbMoveset!A2:B112,2,FALSE)="Sever",Backdoors!AY46/100,IF(VLOOKUP(A105,tbMoveset!A2:B112,2,FALSE)="Blunt",Backdoors!AZ46/100,Backdoors!BA46/100)),"")</f>
        <v/>
      </c>
      <c r="KR105" s="49">
        <f>IFERROR(IF(VLOOKUP(tbMoveset!A105,tbMoveset!A2:H112,8,FALSE)="Other",IF(VLOOKUP(tbMoveset!A105,tbMoveset!A2:I112,9,FALSE)="Fire",Backdoors!BB46,IF(VLOOKUP(tbMoveset!A105,tbMoveset!A2:I112,9,FALSE)="Water",Backdoors!BC46,IF(VLOOKUP(tbMoveset!A105,tbMoveset!A2:I112,9,FALSE)="Thunder",Backdoors!BD46,IF(VLOOKUP(tbMoveset!A105,tbMoveset!A2:I112,9,FALSE)="Ice",Backdoors!BE46,IF(VLOOKUP(tbMoveset!A105,tbMoveset!A2:I112,9,FALSE)="Dragon",Backdoors!BF46,Backdoors!BG46)))))/100,Backdoors!BG46/100),"")</f>
        <v>0</v>
      </c>
      <c r="KS105" s="49">
        <f>IFERROR(IF(VLOOKUP(A105,tbMoveset!A2:J112,10,FALSE)=TRUE,IF((Backdoors!AI12+IF(KQ105&gt;=0.45,VLOOKUP(Calculator!E23,tbSkills!DH3:DI6,2,FALSE)+IF(AND(Calculator!B8=TRUE,Backdoors!BI46=TRUE),VLOOKUP(Calculator!E23,tbSkills!DH3:DJ6,3,FALSE),0),0))&gt;=0,1+(Backdoors!AL2*(IF((Backdoors!AI12+IF(KQ105&gt;=0.45,VLOOKUP(Calculator!E23,tbSkills!DH3:DI6,2,FALSE)+IF(AND(Calculator!B8=TRUE,Backdoors!BI46=TRUE),VLOOKUP(Calculator!E23,tbSkills!DH3:DJ6,3,FALSE),0),0))&gt;=100,100,(Backdoors!AI12+IF(KQ105&gt;=0.45,VLOOKUP(Calculator!E23,tbSkills!DH3:DI6,2,FALSE)+IF(AND(Calculator!B8=TRUE,Backdoors!BI46=TRUE),VLOOKUP(Calculator!E23,tbSkills!DH3:DJ6,3,FALSE),0),0)))/100)),(1-(0.25*((-Backdoors!AI12-IF(KQ105&gt;=0.45,VLOOKUP(Calculator!E23,tbSkills!DH3:DI6,2,FALSE)+IF(AND(Calculator!B8=TRUE,Backdoors!BI46=TRUE),VLOOKUP(Calculator!E23,tbSkills!DH3:DJ6,3,FALSE),0),0))/100)))),1),"")</f>
        <v>1</v>
      </c>
      <c r="KT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KQ105)*KS105)*(VLOOKUP(A105,tbMoveset!A2:C112,3,FALSE)/100)*IF(VLOOKUP(A105,tbMoveset!A2:B112,2,FALSE)="Projectile",Backdoors!N10,Backdoors!N9),0),"")</f>
        <v/>
      </c>
      <c r="KU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REF!&gt;0,VLOOKUP(Calculator!#REF!,tbSkills!AC3:AD5,2,FALSE),Backdoors!AL3)*(IF((Backdoors!AI12+IF(KQ105&gt;=0.45,VLOOKUP(Calculator!E23,tbSkills!DH3:DI6,2,FALSE)+IF(AND(Calculator!B8=TRUE,Backdoors!BI46=TRUE),VLOOKUP(Calculator!E23,tbSkills!DH3:DJ6,3,FALSE),0),0))&gt;=100,100,(Backdoors!AI12+IF(KQ105&gt;=0.45,VLOOKUP(Calculator!E23,tbSkills!DH3:DI6,2,FALSE)+IF(AND(Calculator!B8=TRUE,Backdoors!BI46=TRUE),VLOOKUP(Calculator!E23,tbSkills!DH3:DJ6,3,FALSE),0),0)))/100)),1))*IF(VLOOKUP(A105,tbMoveset!A2:K112,11,FALSE)=TRUE,Backdoors!AC5,1))*KR105,0),"")</f>
        <v/>
      </c>
      <c r="KV105" s="49">
        <f>VLOOKUP(A105,tbMoveset!A2:G112,7,FALSE)*IFERROR(IF(Backdoors!AI12&gt;=0,1+(IF(Calculator!E40&gt;0,VLOOKUP(Calculator!E40,tbSkills!AI3:AJ5,2,FALSE),Backdoors!AL4)*(IF((Backdoors!AI12+IF(KQ105&gt;=0.45,VLOOKUP(Calculator!E23,tbSkills!DH3:DI6,2,FALSE)+IF(AND(Calculator!B8=TRUE,Backdoors!BI46=TRUE),VLOOKUP(Calculator!E23,tbSkills!DH3:DJ6,3,FALSE),0),0))&gt;=100,100,(Backdoors!AI12+IF(KQ105&gt;=0.45,VLOOKUP(Calculator!E23,tbSkills!DH3:DI6,2,FALSE)+IF(AND(Calculator!B8=TRUE,Backdoors!BI46=TRUE),VLOOKUP(Calculator!E23,tbSkills!DH3:DJ6,3,FALSE),0),0)))/100)),1),1)</f>
        <v>0.4</v>
      </c>
      <c r="KW105" s="87">
        <f t="shared" si="94"/>
        <v>0</v>
      </c>
    </row>
    <row r="106" spans="1:309" x14ac:dyDescent="0.25">
      <c r="A106" s="95" t="str">
        <f>tbMoveset!A106</f>
        <v>[Mounting] Demon Flurry (L3)</v>
      </c>
      <c r="B106" s="86">
        <f>IFERROR(IF(VLOOKUP(A106,tbMoveset!A2:B112,2,FALSE)="Sever",Backdoors!AY3/100,IF(VLOOKUP(A106,tbMoveset!A2:B112,2,FALSE)="Blunt",Backdoors!AZ3/100,Backdoors!BA3/100)),"")</f>
        <v>0.8</v>
      </c>
      <c r="C106" s="49">
        <f>IFERROR(IF(VLOOKUP(tbMoveset!A106,tbMoveset!A2:H112,8,FALSE)="Other",IF(VLOOKUP(tbMoveset!A106,tbMoveset!A2:I112,9,FALSE)="Fire",Backdoors!BB3,IF(VLOOKUP(tbMoveset!A106,tbMoveset!A2:I112,9,FALSE)="Water",Backdoors!BC3,IF(VLOOKUP(tbMoveset!A106,tbMoveset!A2:I112,9,FALSE)="Thunder",Backdoors!BD3,IF(VLOOKUP(tbMoveset!A106,tbMoveset!A2:I112,9,FALSE)="Ice",Backdoors!BE3,IF(VLOOKUP(tbMoveset!A106,tbMoveset!A2:I112,9,FALSE)="Dragon",Backdoors!BF3,Backdoors!BG3)))))/100,Backdoors!BG3/100),"")</f>
        <v>0</v>
      </c>
      <c r="D106" s="49">
        <f>IFERROR(IF(VLOOKUP(A106,tbMoveset!A2:J112,10,FALSE)=TRUE,IF((Backdoors!AI12+IF(B106&gt;=0.45,VLOOKUP(Calculator!E23,tbSkills!DH3:DI6,2,FALSE)+IF(AND(Calculator!B8=TRUE,Backdoors!BI3=TRUE),VLOOKUP(Calculator!E23,tbSkills!DH3:DJ6,3,FALSE),0),0))&gt;=0,1+(Backdoors!AL2*(IF((Backdoors!AI12+IF(B106&gt;=0.45,VLOOKUP(Calculator!E23,tbSkills!DH3:DI6,2,FALSE)+IF(AND(Calculator!B8=TRUE,Backdoors!BI3=TRUE),VLOOKUP(Calculator!E23,tbSkills!DH3:DJ6,3,FALSE),0),0))&gt;=100,100,(Backdoors!AI12+IF(B106&gt;=0.45,VLOOKUP(Calculator!E23,tbSkills!DH3:DI6,2,FALSE)+IF(AND(Calculator!B8=TRUE,Backdoors!BI3=TRUE),VLOOKUP(Calculator!E23,tbSkills!DH3:DJ6,3,FALSE),0),0)))/100)),(1-(0.25*((-Backdoors!AI12-IF(B106&gt;=0.45,VLOOKUP(Calculator!E23,tbSkills!DH3:DI6,2,FALSE)+IF(AND(Calculator!B8=TRUE,Backdoors!BI3=TRUE),VLOOKUP(Calculator!E23,tbSkills!DH3:DJ6,3,FALSE),0),0))/100)))),1),"")</f>
        <v>1</v>
      </c>
      <c r="E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106)*D106)*(VLOOKUP(A106,tbMoveset!A2:C112,3,FALSE)/100)*IF(VLOOKUP(A106,tbMoveset!A2:B112,2,FALSE)="Projectile",Backdoors!N10,Backdoors!N9),0),"")</f>
        <v>8</v>
      </c>
      <c r="F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106&gt;=0.45,VLOOKUP(Calculator!E23,tbSkills!DH3:DI6,2,FALSE)+IF(AND(Calculator!B8=TRUE,Backdoors!BI3=TRUE),VLOOKUP(Calculator!E23,tbSkills!DH3:DJ6,3,FALSE),0),0))&gt;=100,100,(Backdoors!AI12+IF(B106&gt;=0.45,VLOOKUP(Calculator!E23,tbSkills!DH3:DI6,2,FALSE)+IF(AND(Calculator!B8=TRUE,Backdoors!BI3=TRUE),VLOOKUP(Calculator!E23,tbSkills!DH3:DJ6,3,FALSE),0),0)))/100)),1))*IF(VLOOKUP(A106,tbMoveset!A2:K112,11,FALSE)=TRUE,Backdoors!AC5,1))*C106,0),"")</f>
        <v>0</v>
      </c>
      <c r="G106">
        <f>VLOOKUP(A106,tbMoveset!A2:G112,7,FALSE)*IFERROR(IF(Backdoors!AI12&gt;=0,1+(IF(Calculator!E40&gt;0,VLOOKUP(Calculator!E40,tbSkills!AI3:AJ5,2,FALSE),Backdoors!AL4)*(IF((Backdoors!AI12+IF(B106&gt;=0.45,VLOOKUP(Calculator!E23,tbSkills!DH3:DI6,2,FALSE)+IF(AND(Calculator!B8=TRUE,Backdoors!BI3=TRUE),VLOOKUP(Calculator!E23,tbSkills!DH3:DJ6,3,FALSE),0),0))&gt;=100,100,(Backdoors!AI12+IF(B106&gt;=0.45,VLOOKUP(Calculator!E23,tbSkills!DH3:DI6,2,FALSE)+IF(AND(Calculator!B8=TRUE,Backdoors!BI3=TRUE),VLOOKUP(Calculator!E23,tbSkills!DH3:DJ6,3,FALSE),0),0)))/100)),1),1)</f>
        <v>0.4</v>
      </c>
      <c r="H106" s="87">
        <f t="shared" si="95"/>
        <v>8</v>
      </c>
      <c r="I106" s="86">
        <f>IFERROR(IF(VLOOKUP(A106,tbMoveset!A2:B112,2,FALSE)="Sever",Backdoors!AY4/100,IF(VLOOKUP(A106,tbMoveset!A2:B112,2,FALSE)="Blunt",Backdoors!AZ4/100,Backdoors!BA4/100)),"")</f>
        <v>0.65</v>
      </c>
      <c r="J106" s="49">
        <f>IFERROR(IF(VLOOKUP(tbMoveset!A106,tbMoveset!A2:H112,8,FALSE)="Other",IF(VLOOKUP(tbMoveset!A106,tbMoveset!A2:I112,9,FALSE)="Fire",Backdoors!BB4,IF(VLOOKUP(tbMoveset!A106,tbMoveset!A2:I112,9,FALSE)="Water",Backdoors!BC4,IF(VLOOKUP(tbMoveset!A106,tbMoveset!A2:I112,9,FALSE)="Thunder",Backdoors!BD4,IF(VLOOKUP(tbMoveset!A106,tbMoveset!A2:I112,9,FALSE)="Ice",Backdoors!BE4,IF(VLOOKUP(tbMoveset!A106,tbMoveset!A2:I112,9,FALSE)="Dragon",Backdoors!BF4,Backdoors!BG4)))))/100,Backdoors!BG4/100),"")</f>
        <v>0</v>
      </c>
      <c r="K106" s="49">
        <f>IFERROR(IF(VLOOKUP(A106,tbMoveset!A2:J112,10,FALSE)=TRUE,IF((Backdoors!AI12+IF(I106&gt;=0.45,VLOOKUP(Calculator!E23,tbSkills!DH3:DI6,2,FALSE)+IF(AND(Calculator!B8=TRUE,Backdoors!BI4=TRUE),VLOOKUP(Calculator!E23,tbSkills!DH3:DJ6,3,FALSE),0),0))&gt;=0,1+(Backdoors!AL2*(IF((Backdoors!AI12+IF(I106&gt;=0.45,VLOOKUP(Calculator!E23,tbSkills!DH3:DI6,2,FALSE)+IF(AND(Calculator!B8=TRUE,Backdoors!BI4=TRUE),VLOOKUP(Calculator!E23,tbSkills!DH3:DJ6,3,FALSE),0),0))&gt;=100,100,(Backdoors!AI12+IF(I106&gt;=0.45,VLOOKUP(Calculator!E23,tbSkills!DH3:DI6,2,FALSE)+IF(AND(Calculator!B8=TRUE,Backdoors!BI4=TRUE),VLOOKUP(Calculator!E23,tbSkills!DH3:DJ6,3,FALSE),0),0)))/100)),(1-(0.25*((-Backdoors!AI12-IF(I106&gt;=0.45,VLOOKUP(Calculator!E23,tbSkills!DH3:DI6,2,FALSE)+IF(AND(Calculator!B8=TRUE,Backdoors!BI4=TRUE),VLOOKUP(Calculator!E23,tbSkills!DH3:DJ6,3,FALSE),0),0))/100)))),1),"")</f>
        <v>1</v>
      </c>
      <c r="L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106)*K106)*(VLOOKUP(A106,tbMoveset!A2:C112,3,FALSE)/100)*IF(VLOOKUP(A106,tbMoveset!A2:B112,2,FALSE)="Projectile",Backdoors!N10,Backdoors!N9),0),"")</f>
        <v>7</v>
      </c>
      <c r="M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I106&gt;=0.45,VLOOKUP(Calculator!E23,tbSkills!DH3:DI6,2,FALSE)+IF(AND(Calculator!B8=TRUE,Backdoors!BI4=TRUE),VLOOKUP(Calculator!E23,tbSkills!DH3:DJ6,3,FALSE),0),0))&gt;=100,100,(Backdoors!AI12+IF(I106&gt;=0.45,VLOOKUP(Calculator!E23,tbSkills!DH3:DI6,2,FALSE)+IF(AND(Calculator!B8=TRUE,Backdoors!BI4=TRUE),VLOOKUP(Calculator!E23,tbSkills!DH3:DJ6,3,FALSE),0),0)))/100)),1))*IF(VLOOKUP(A106,tbMoveset!A2:K112,11,FALSE)=TRUE,Backdoors!AC5,1))*J106,0),"")</f>
        <v>0</v>
      </c>
      <c r="N106" s="49">
        <f>VLOOKUP(A106,tbMoveset!A2:G112,7,FALSE)*IFERROR(IF(Backdoors!AI12&gt;=0,1+(IF(Calculator!E40&gt;0,VLOOKUP(Calculator!E40,tbSkills!AI3:AJ5,2,FALSE),Backdoors!AL4)*(IF((Backdoors!AI12+IF(I106&gt;=0.45,VLOOKUP(Calculator!E23,tbSkills!DH3:DI6,2,FALSE)+IF(AND(Calculator!B8=TRUE,Backdoors!BI4=TRUE),VLOOKUP(Calculator!E23,tbSkills!DH3:DJ6,3,FALSE),0),0))&gt;=100,100,(Backdoors!AI12+IF(I106&gt;=0.45,VLOOKUP(Calculator!E23,tbSkills!DH3:DI6,2,FALSE)+IF(AND(Calculator!B8=TRUE,Backdoors!BI4=TRUE),VLOOKUP(Calculator!E23,tbSkills!DH3:DJ6,3,FALSE),0),0)))/100)),1),1)</f>
        <v>0.4</v>
      </c>
      <c r="O106" s="87">
        <f t="shared" si="96"/>
        <v>7</v>
      </c>
      <c r="P106" s="86">
        <f>IFERROR(IF(VLOOKUP(A106,tbMoveset!A2:B112,2,FALSE)="Sever",Backdoors!AY5/100,IF(VLOOKUP(A106,tbMoveset!A2:B112,2,FALSE)="Blunt",Backdoors!AZ5/100,Backdoors!BA5/100)),"")</f>
        <v>0.5</v>
      </c>
      <c r="Q106" s="49">
        <f>IFERROR(IF(VLOOKUP(tbMoveset!A106,tbMoveset!A2:H112,8,FALSE)="Other",IF(VLOOKUP(tbMoveset!A106,tbMoveset!A2:I112,9,FALSE)="Fire",Backdoors!BB5,IF(VLOOKUP(tbMoveset!A106,tbMoveset!A2:I112,9,FALSE)="Water",Backdoors!BC5,IF(VLOOKUP(tbMoveset!A106,tbMoveset!A2:I112,9,FALSE)="Thunder",Backdoors!BD5,IF(VLOOKUP(tbMoveset!A106,tbMoveset!A2:I112,9,FALSE)="Ice",Backdoors!BE5,IF(VLOOKUP(tbMoveset!A106,tbMoveset!A2:I112,9,FALSE)="Dragon",Backdoors!BF5,Backdoors!BG5)))))/100,Backdoors!BG5/100),"")</f>
        <v>0</v>
      </c>
      <c r="R106" s="49">
        <f>IFERROR(IF(VLOOKUP(A106,tbMoveset!A2:J112,10,FALSE)=TRUE,IF((Backdoors!AI12+IF(P106&gt;=0.45,VLOOKUP(Calculator!E23,tbSkills!DH3:DI6,2,FALSE)+IF(AND(Calculator!B8=TRUE,Backdoors!BI5=TRUE),VLOOKUP(Calculator!E23,tbSkills!DH3:DJ6,3,FALSE),0),0))&gt;=0,1+(Backdoors!AL2*(IF((Backdoors!AI12+IF(P106&gt;=0.45,VLOOKUP(Calculator!E23,tbSkills!DH3:DI6,2,FALSE)+IF(AND(Calculator!B8=TRUE,Backdoors!BI5=TRUE),VLOOKUP(Calculator!E23,tbSkills!DH3:DJ6,3,FALSE),0),0))&gt;=100,100,(Backdoors!AI12+IF(P106&gt;=0.45,VLOOKUP(Calculator!E23,tbSkills!DH3:DI6,2,FALSE)+IF(AND(Calculator!B8=TRUE,Backdoors!BI5=TRUE),VLOOKUP(Calculator!E23,tbSkills!DH3:DJ6,3,FALSE),0),0)))/100)),(1-(0.25*((-Backdoors!AI12-IF(P106&gt;=0.45,VLOOKUP(Calculator!E23,tbSkills!DH3:DI6,2,FALSE)+IF(AND(Calculator!B8=TRUE,Backdoors!BI5=TRUE),VLOOKUP(Calculator!E23,tbSkills!DH3:DJ6,3,FALSE),0),0))/100)))),1),"")</f>
        <v>1</v>
      </c>
      <c r="S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P106)*R106)*(VLOOKUP(A106,tbMoveset!A2:C112,3,FALSE)/100)*IF(VLOOKUP(A106,tbMoveset!A2:B112,2,FALSE)="Projectile",Backdoors!N10,Backdoors!N9),0),"")</f>
        <v>5</v>
      </c>
      <c r="T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P106&gt;=0.45,VLOOKUP(Calculator!E23,tbSkills!DH3:DI6,2,FALSE)+IF(AND(Calculator!B8=TRUE,Backdoors!BI5=TRUE),VLOOKUP(Calculator!E23,tbSkills!DH3:DJ6,3,FALSE),0),0))&gt;=100,100,(Backdoors!AI12+IF(P106&gt;=0.45,VLOOKUP(Calculator!E23,tbSkills!DH3:DI6,2,FALSE)+IF(AND(Calculator!B8=TRUE,Backdoors!BI5=TRUE),VLOOKUP(Calculator!E23,tbSkills!DH3:DJ6,3,FALSE),0),0)))/100)),1))*IF(VLOOKUP(A106,tbMoveset!A2:K112,11,FALSE)=TRUE,Backdoors!AC5,1))*Q106,0),"")</f>
        <v>0</v>
      </c>
      <c r="U106" s="49">
        <f>VLOOKUP(A106,tbMoveset!A2:G112,7,FALSE)*IFERROR(IF(Backdoors!AI12&gt;=0,1+(IF(Calculator!E40&gt;0,VLOOKUP(Calculator!E40,tbSkills!AI3:AJ5,2,FALSE),Backdoors!AL4)*(IF((Backdoors!AI12+IF(P106&gt;=0.45,VLOOKUP(Calculator!E23,tbSkills!DH3:DI6,2,FALSE)+IF(AND(Calculator!B8=TRUE,Backdoors!BI5=TRUE),VLOOKUP(Calculator!E23,tbSkills!DH3:DJ6,3,FALSE),0),0))&gt;=100,100,(Backdoors!AI12+IF(P106&gt;=0.45,VLOOKUP(Calculator!E23,tbSkills!DH3:DI6,2,FALSE)+IF(AND(Calculator!B8=TRUE,Backdoors!BI5=TRUE),VLOOKUP(Calculator!E23,tbSkills!DH3:DJ6,3,FALSE),0),0)))/100)),1),1)</f>
        <v>0.4</v>
      </c>
      <c r="V106" s="87">
        <f t="shared" si="53"/>
        <v>5</v>
      </c>
      <c r="W106" s="86">
        <f>IFERROR(IF(VLOOKUP(A106,tbMoveset!A2:B112,2,FALSE)="Sever",Backdoors!AY6/100,IF(VLOOKUP(A106,tbMoveset!A2:B112,2,FALSE)="Blunt",Backdoors!AZ6/100,Backdoors!BA6/100)),"")</f>
        <v>0.45</v>
      </c>
      <c r="X106" s="49">
        <f>IFERROR(IF(VLOOKUP(tbMoveset!A106,tbMoveset!A2:H112,8,FALSE)="Other",IF(VLOOKUP(tbMoveset!A106,tbMoveset!A2:I112,9,FALSE)="Fire",Backdoors!BB6,IF(VLOOKUP(tbMoveset!A106,tbMoveset!A2:I112,9,FALSE)="Water",Backdoors!BC6,IF(VLOOKUP(tbMoveset!A106,tbMoveset!A2:I112,9,FALSE)="Thunder",Backdoors!BD6,IF(VLOOKUP(tbMoveset!A106,tbMoveset!A2:I112,9,FALSE)="Ice",Backdoors!BE6,IF(VLOOKUP(tbMoveset!A106,tbMoveset!A2:I112,9,FALSE)="Dragon",Backdoors!BF6,Backdoors!BG6)))))/100,Backdoors!BG6/100),"")</f>
        <v>0</v>
      </c>
      <c r="Y106" s="49">
        <f>IFERROR(IF(VLOOKUP(A106,tbMoveset!A2:J112,10,FALSE)=TRUE,IF((Backdoors!AI12+IF(W106&gt;=0.45,VLOOKUP(Calculator!E23,tbSkills!DH3:DI6,2,FALSE)+IF(AND(Calculator!B8=TRUE,Backdoors!BI6=TRUE),VLOOKUP(Calculator!E23,tbSkills!DH3:DJ6,3,FALSE),0),0))&gt;=0,1+(Backdoors!AL2*(IF((Backdoors!AI12+IF(W106&gt;=0.45,VLOOKUP(Calculator!E23,tbSkills!DH3:DI6,2,FALSE)+IF(AND(Calculator!B8=TRUE,Backdoors!BI6=TRUE),VLOOKUP(Calculator!E23,tbSkills!DH3:DJ6,3,FALSE),0),0))&gt;=100,100,(Backdoors!AI12+IF(W106&gt;=0.45,VLOOKUP(Calculator!E23,tbSkills!DH3:DI6,2,FALSE)+IF(AND(Calculator!B8=TRUE,Backdoors!BI6=TRUE),VLOOKUP(Calculator!E23,tbSkills!DH3:DJ6,3,FALSE),0),0)))/100)),(1-(0.25*((-Backdoors!AI12-IF(W106&gt;=0.45,VLOOKUP(Calculator!E23,tbSkills!DH3:DI6,2,FALSE)+IF(AND(Calculator!B8=TRUE,Backdoors!BI6=TRUE),VLOOKUP(Calculator!E23,tbSkills!DH3:DJ6,3,FALSE),0),0))/100)))),1),"")</f>
        <v>1</v>
      </c>
      <c r="Z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W106)*Y106)*(VLOOKUP(A106,tbMoveset!A2:C112,3,FALSE)/100)*IF(VLOOKUP(A106,tbMoveset!A2:B112,2,FALSE)="Projectile",Backdoors!N10,Backdoors!N9),0),"")</f>
        <v>5</v>
      </c>
      <c r="AA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W106&gt;=0.45,VLOOKUP(Calculator!E23,tbSkills!DH3:DI6,2,FALSE)+IF(AND(Calculator!B8=TRUE,Backdoors!BI6=TRUE),VLOOKUP(Calculator!E23,tbSkills!DH3:DJ6,3,FALSE),0),0))&gt;=100,100,(Backdoors!AI12+IF(W106&gt;=0.45,VLOOKUP(Calculator!E23,tbSkills!DH3:DI6,2,FALSE)+IF(AND(Calculator!B8=TRUE,Backdoors!BI6=TRUE),VLOOKUP(Calculator!E23,tbSkills!DH3:DJ6,3,FALSE),0),0)))/100)),1))*IF(VLOOKUP(A106,tbMoveset!A2:K112,11,FALSE)=TRUE,Backdoors!AC5,1))*X106,0),"")</f>
        <v>0</v>
      </c>
      <c r="AB106" s="49">
        <f>VLOOKUP(A106,tbMoveset!A2:G112,7,FALSE)*IFERROR(IF(Backdoors!AI12&gt;=0,1+(IF(Calculator!E40&gt;0,VLOOKUP(Calculator!E40,tbSkills!AI3:AJ5,2,FALSE),Backdoors!AL4)*(IF((Backdoors!AI12+IF(W106&gt;=0.45,VLOOKUP(Calculator!E23,tbSkills!DH3:DI6,2,FALSE)+IF(AND(Calculator!B8=TRUE,Backdoors!BI6=TRUE),VLOOKUP(Calculator!E23,tbSkills!DH3:DJ6,3,FALSE),0),0))&gt;=100,100,(Backdoors!AI12+IF(W106&gt;=0.45,VLOOKUP(Calculator!E23,tbSkills!DH3:DI6,2,FALSE)+IF(AND(Calculator!B8=TRUE,Backdoors!BI6=TRUE),VLOOKUP(Calculator!E23,tbSkills!DH3:DJ6,3,FALSE),0),0)))/100)),1),1)</f>
        <v>0.4</v>
      </c>
      <c r="AC106" s="87">
        <f t="shared" si="54"/>
        <v>5</v>
      </c>
      <c r="AD106" s="86">
        <f>IFERROR(IF(VLOOKUP(A106,tbMoveset!A2:B112,2,FALSE)="Sever",Backdoors!AY7/100,IF(VLOOKUP(A106,tbMoveset!A2:B112,2,FALSE)="Blunt",Backdoors!AZ7/100,Backdoors!BA7/100)),"")</f>
        <v>0.65</v>
      </c>
      <c r="AE106" s="49">
        <f>IFERROR(IF(VLOOKUP(tbMoveset!A106,tbMoveset!A2:H112,8,FALSE)="Other",IF(VLOOKUP(tbMoveset!A106,tbMoveset!A2:I112,9,FALSE)="Fire",Backdoors!BB7,IF(VLOOKUP(tbMoveset!A106,tbMoveset!A2:I112,9,FALSE)="Water",Backdoors!BC7,IF(VLOOKUP(tbMoveset!A106,tbMoveset!A2:I112,9,FALSE)="Thunder",Backdoors!BD7,IF(VLOOKUP(tbMoveset!A106,tbMoveset!A2:I112,9,FALSE)="Ice",Backdoors!BE7,IF(VLOOKUP(tbMoveset!A106,tbMoveset!A2:I112,9,FALSE)="Dragon",Backdoors!BF7,Backdoors!BG7)))))/100,Backdoors!BG7/100),"")</f>
        <v>0</v>
      </c>
      <c r="AF106" s="49">
        <f>IFERROR(IF(VLOOKUP(A106,tbMoveset!A2:J112,10,FALSE)=TRUE,IF((Backdoors!AI12+IF(AD106&gt;=0.45,VLOOKUP(Calculator!E23,tbSkills!DH3:DI6,2,FALSE)+IF(AND(Calculator!B8=TRUE,Backdoors!BI7=TRUE),VLOOKUP(Calculator!E23,tbSkills!DH3:DJ6,3,FALSE),0),0))&gt;=0,1+(Backdoors!AL2*(IF((Backdoors!AI12+IF(AD106&gt;=0.45,VLOOKUP(Calculator!E23,tbSkills!DH3:DI6,2,FALSE)+IF(AND(Calculator!B8=TRUE,Backdoors!BI7=TRUE),VLOOKUP(Calculator!E23,tbSkills!DH3:DJ6,3,FALSE),0),0))&gt;=100,100,(Backdoors!AI12+IF(AD106&gt;=0.45,VLOOKUP(Calculator!E23,tbSkills!DH3:DI6,2,FALSE)+IF(AND(Calculator!B8=TRUE,Backdoors!BI7=TRUE),VLOOKUP(Calculator!E23,tbSkills!DH3:DJ6,3,FALSE),0),0)))/100)),(1-(0.25*((-Backdoors!AI12-IF(AD106&gt;=0.45,VLOOKUP(Calculator!E23,tbSkills!DH3:DI6,2,FALSE)+IF(AND(Calculator!B8=TRUE,Backdoors!BI7=TRUE),VLOOKUP(Calculator!E23,tbSkills!DH3:DJ6,3,FALSE),0),0))/100)))),1),"")</f>
        <v>1</v>
      </c>
      <c r="AG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D106)*AF106)*(VLOOKUP(A106,tbMoveset!A2:C112,3,FALSE)/100)*IF(VLOOKUP(A106,tbMoveset!A2:B112,2,FALSE)="Projectile",Backdoors!N10,Backdoors!N9),0),"")</f>
        <v>7</v>
      </c>
      <c r="AH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D106&gt;=0.45,VLOOKUP(Calculator!E23,tbSkills!DH3:DI6,2,FALSE)+IF(AND(Calculator!B8=TRUE,Backdoors!BI7=TRUE),VLOOKUP(Calculator!E23,tbSkills!DH3:DJ6,3,FALSE),0),0))&gt;=100,100,(Backdoors!AI12+IF(AD106&gt;=0.45,VLOOKUP(Calculator!E23,tbSkills!DH3:DI6,2,FALSE)+IF(AND(Calculator!B8=TRUE,Backdoors!BI7=TRUE),VLOOKUP(Calculator!E23,tbSkills!DH3:DJ6,3,FALSE),0),0)))/100)),1))*IF(VLOOKUP(A106,tbMoveset!A2:K112,11,FALSE)=TRUE,Backdoors!AC5,1))*AE106,0),"")</f>
        <v>0</v>
      </c>
      <c r="AI106" s="49">
        <f>VLOOKUP(A106,tbMoveset!A2:G112,7,FALSE)*IFERROR(IF(Backdoors!AI12&gt;=0,1+(IF(Calculator!E40&gt;0,VLOOKUP(Calculator!E40,tbSkills!AI3:AJ5,2,FALSE),Backdoors!AL4)*(IF((Backdoors!AI12+IF(AD106&gt;=0.45,VLOOKUP(Calculator!E23,tbSkills!DH3:DI6,2,FALSE)+IF(AND(Calculator!B8=TRUE,Backdoors!BI7=TRUE),VLOOKUP(Calculator!E23,tbSkills!DH3:DJ6,3,FALSE),0),0))&gt;=100,100,(Backdoors!AI12+IF(AD106&gt;=0.45,VLOOKUP(Calculator!E23,tbSkills!DH3:DI6,2,FALSE)+IF(AND(Calculator!B8=TRUE,Backdoors!BI7=TRUE),VLOOKUP(Calculator!E23,tbSkills!DH3:DJ6,3,FALSE),0),0)))/100)),1),1)</f>
        <v>0.4</v>
      </c>
      <c r="AJ106" s="87">
        <f t="shared" si="55"/>
        <v>7</v>
      </c>
      <c r="AK106" s="91">
        <f>IFERROR(IF(VLOOKUP(A106,tbMoveset!A2:B112,2,FALSE)="Sever",Backdoors!AY8/100,IF(VLOOKUP(A106,tbMoveset!A2:B112,2,FALSE)="Blunt",Backdoors!AZ8/100,Backdoors!BA8/100)),"")</f>
        <v>0.45</v>
      </c>
      <c r="AL106" s="49">
        <f>IFERROR(IF(VLOOKUP(tbMoveset!A106,tbMoveset!A2:H112,8,FALSE)="Other",IF(VLOOKUP(tbMoveset!A106,tbMoveset!A2:I112,9,FALSE)="Fire",Backdoors!BB8,IF(VLOOKUP(tbMoveset!A106,tbMoveset!A2:I112,9,FALSE)="Water",Backdoors!BC8,IF(VLOOKUP(tbMoveset!A106,tbMoveset!A2:I112,9,FALSE)="Thunder",Backdoors!BD8,IF(VLOOKUP(tbMoveset!A106,tbMoveset!A2:I112,9,FALSE)="Ice",Backdoors!BE8,IF(VLOOKUP(tbMoveset!A106,tbMoveset!A2:I112,9,FALSE)="Dragon",Backdoors!BF8,Backdoors!BG8)))))/100,Backdoors!BG8/100),"")</f>
        <v>0</v>
      </c>
      <c r="AM106" s="49">
        <f>IFERROR(IF(VLOOKUP(A106,tbMoveset!A2:J112,10,FALSE)=TRUE,IF((Backdoors!AI12+IF(AK106&gt;=0.45,VLOOKUP(Calculator!E23,tbSkills!DH3:DI6,2,FALSE)+IF(AND(Calculator!B8=TRUE,Backdoors!BI8=TRUE),VLOOKUP(Calculator!E23,tbSkills!DH3:DJ6,3,FALSE),0),0))&gt;=0,1+(Backdoors!AL2*(IF((Backdoors!AI12+IF(AK106&gt;=0.45,VLOOKUP(Calculator!E23,tbSkills!DH3:DI6,2,FALSE)+IF(AND(Calculator!B8=TRUE,Backdoors!BI8=TRUE),VLOOKUP(Calculator!E23,tbSkills!DH3:DJ6,3,FALSE),0),0))&gt;=100,100,(Backdoors!AI12+IF(AK106&gt;=0.45,VLOOKUP(Calculator!E23,tbSkills!DH3:DI6,2,FALSE)+IF(AND(Calculator!B8=TRUE,Backdoors!BI8=TRUE),VLOOKUP(Calculator!E23,tbSkills!DH3:DJ6,3,FALSE),0),0)))/100)),(1-(0.25*((-Backdoors!AI12-IF(AK106&gt;=0.45,VLOOKUP(Calculator!E23,tbSkills!DH3:DI6,2,FALSE)+IF(AND(Calculator!B8=TRUE,Backdoors!BI8=TRUE),VLOOKUP(Calculator!E23,tbSkills!DH3:DJ6,3,FALSE),0),0))/100)))),1),"")</f>
        <v>1</v>
      </c>
      <c r="AN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K106)*AM106)*(VLOOKUP(A106,tbMoveset!A2:C112,3,FALSE)/100)*IF(VLOOKUP(A106,tbMoveset!A2:B112,2,FALSE)="Projectile",Backdoors!N10,Backdoors!N9),0),"")</f>
        <v>5</v>
      </c>
      <c r="AO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K106&gt;=0.45,VLOOKUP(Calculator!E23,tbSkills!DH3:DI6,2,FALSE)+IF(AND(Calculator!B8=TRUE,Backdoors!BI8=TRUE),VLOOKUP(Calculator!E23,tbSkills!DH3:DJ6,3,FALSE),0),0))&gt;=100,100,(Backdoors!AI12+IF(AK106&gt;=0.45,VLOOKUP(Calculator!E23,tbSkills!DH3:DI6,2,FALSE)+IF(AND(Calculator!B8=TRUE,Backdoors!BI8=TRUE),VLOOKUP(Calculator!E23,tbSkills!DH3:DJ6,3,FALSE),0),0)))/100)),1))*IF(VLOOKUP(A106,tbMoveset!A2:K112,11,FALSE)=TRUE,Backdoors!AC5,1))*AL106,0),"")</f>
        <v>0</v>
      </c>
      <c r="AP106" s="49">
        <f>VLOOKUP(A106,tbMoveset!A2:G112,7,FALSE)*IFERROR(IF(Backdoors!AI12&gt;=0,1+(IF(Calculator!E40&gt;0,VLOOKUP(Calculator!E40,tbSkills!AI3:AJ5,2,FALSE),Backdoors!AL4)*(IF((Backdoors!AI12+IF(AK106&gt;=0.45,VLOOKUP(Calculator!E23,tbSkills!DH3:DI6,2,FALSE)+IF(AND(Calculator!B8=TRUE,Backdoors!BI8=TRUE),VLOOKUP(Calculator!E23,tbSkills!DH3:DJ6,3,FALSE),0),0))&gt;=100,100,(Backdoors!AI12+IF(AK106&gt;=0.45,VLOOKUP(Calculator!E23,tbSkills!DH3:DI6,2,FALSE)+IF(AND(Calculator!B8=TRUE,Backdoors!BI8=TRUE),VLOOKUP(Calculator!E23,tbSkills!DH3:DJ6,3,FALSE),0),0)))/100)),1),1)</f>
        <v>0.4</v>
      </c>
      <c r="AQ106" s="87">
        <f t="shared" si="56"/>
        <v>5</v>
      </c>
      <c r="AR106" s="86">
        <f>IFERROR(IF(VLOOKUP(A106,tbMoveset!A2:B112,2,FALSE)="Sever",Backdoors!AY9/100,IF(VLOOKUP(A106,tbMoveset!A2:B112,2,FALSE)="Blunt",Backdoors!AZ9/100,Backdoors!BA9/100)),"")</f>
        <v>0.45</v>
      </c>
      <c r="AS106" s="49">
        <f>IFERROR(IF(VLOOKUP(tbMoveset!A106,tbMoveset!A2:H112,8,FALSE)="Other",IF(VLOOKUP(tbMoveset!A106,tbMoveset!A2:I112,9,FALSE)="Fire",Backdoors!BB9,IF(VLOOKUP(tbMoveset!A106,tbMoveset!A2:I112,9,FALSE)="Water",Backdoors!BC9,IF(VLOOKUP(tbMoveset!A106,tbMoveset!A2:I112,9,FALSE)="Thunder",Backdoors!BD9,IF(VLOOKUP(tbMoveset!A106,tbMoveset!A2:I112,9,FALSE)="Ice",Backdoors!BE9,IF(VLOOKUP(tbMoveset!A106,tbMoveset!A2:I112,9,FALSE)="Dragon",Backdoors!BF9,Backdoors!BG9)))))/100,Backdoors!BG9/100),"")</f>
        <v>0</v>
      </c>
      <c r="AT106" s="49">
        <f>IFERROR(IF(VLOOKUP(A106,tbMoveset!A2:J112,10,FALSE)=TRUE,IF((Backdoors!AI12+IF(AR106&gt;=0.45,VLOOKUP(Calculator!E23,tbSkills!DH3:DI6,2,FALSE)+IF(AND(Calculator!B8=TRUE,Backdoors!BI9=TRUE),VLOOKUP(Calculator!E23,tbSkills!DH3:DJ6,3,FALSE),0),0))&gt;=0,1+(Backdoors!AL2*(IF((Backdoors!AI12+IF(AR106&gt;=0.45,VLOOKUP(Calculator!E23,tbSkills!DH3:DI6,2,FALSE)+IF(AND(Calculator!B8=TRUE,Backdoors!BI9=TRUE),VLOOKUP(Calculator!E23,tbSkills!DH3:DJ6,3,FALSE),0),0))&gt;=100,100,(Backdoors!AI12+IF(AR106&gt;=0.45,VLOOKUP(Calculator!E23,tbSkills!DH3:DI6,2,FALSE)+IF(AND(Calculator!B8=TRUE,Backdoors!BI9=TRUE),VLOOKUP(Calculator!E23,tbSkills!DH3:DJ6,3,FALSE),0),0)))/100)),(1-(0.25*((-Backdoors!AI12-IF(AR106&gt;=0.45,VLOOKUP(Calculator!E23,tbSkills!DH3:DI6,2,FALSE)+IF(AND(Calculator!B8=TRUE,Backdoors!BI9=TRUE),VLOOKUP(Calculator!E23,tbSkills!DH3:DJ6,3,FALSE),0),0))/100)))),1),"")</f>
        <v>1</v>
      </c>
      <c r="AU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R106)*AT106)*(VLOOKUP(A106,tbMoveset!A2:C112,3,FALSE)/100)*IF(VLOOKUP(A106,tbMoveset!A2:B112,2,FALSE)="Projectile",Backdoors!N10,Backdoors!N9),0),"")</f>
        <v>5</v>
      </c>
      <c r="AV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R106&gt;=0.45,VLOOKUP(Calculator!E23,tbSkills!DH3:DI6,2,FALSE)+IF(AND(Calculator!B8=TRUE,Backdoors!BI9=TRUE),VLOOKUP(Calculator!E23,tbSkills!DH3:DJ6,3,FALSE),0),0))&gt;=100,100,(Backdoors!AI12+IF(AR106&gt;=0.45,VLOOKUP(Calculator!E23,tbSkills!DH3:DI6,2,FALSE)+IF(AND(Calculator!B8=TRUE,Backdoors!BI9=TRUE),VLOOKUP(Calculator!E23,tbSkills!DH3:DJ6,3,FALSE),0),0)))/100)),1))*IF(VLOOKUP(A106,tbMoveset!A2:K112,11,FALSE)=TRUE,Backdoors!AC5,1))*AS106,0),"")</f>
        <v>0</v>
      </c>
      <c r="AW106" s="49">
        <f>VLOOKUP(A106,tbMoveset!A2:G112,7,FALSE)*IFERROR(IF(Backdoors!AI12&gt;=0,1+(IF(Calculator!E40&gt;0,VLOOKUP(Calculator!E40,tbSkills!AI3:AJ5,2,FALSE),Backdoors!AL4)*(IF((Backdoors!AI12+IF(AR106&gt;=0.45,VLOOKUP(Calculator!E23,tbSkills!DH3:DI6,2,FALSE)+IF(AND(Calculator!B8=TRUE,Backdoors!BI9=TRUE),VLOOKUP(Calculator!E23,tbSkills!DH3:DJ6,3,FALSE),0),0))&gt;=100,100,(Backdoors!AI12+IF(AR106&gt;=0.45,VLOOKUP(Calculator!E23,tbSkills!DH3:DI6,2,FALSE)+IF(AND(Calculator!B8=TRUE,Backdoors!BI9=TRUE),VLOOKUP(Calculator!E23,tbSkills!DH3:DJ6,3,FALSE),0),0)))/100)),1),1)</f>
        <v>0.4</v>
      </c>
      <c r="AX106" s="87">
        <f t="shared" si="57"/>
        <v>5</v>
      </c>
      <c r="AY106" s="86">
        <f>IFERROR(IF(VLOOKUP(A106,tbMoveset!A2:B112,2,FALSE)="Sever",Backdoors!AY10/100,IF(VLOOKUP(A106,tbMoveset!A2:B112,2,FALSE)="Blunt",Backdoors!AZ10/100,Backdoors!BA10/100)),"")</f>
        <v>0.9</v>
      </c>
      <c r="AZ106" s="49">
        <f>IFERROR(IF(VLOOKUP(tbMoveset!A106,tbMoveset!A2:H112,8,FALSE)="Other",IF(VLOOKUP(tbMoveset!A106,tbMoveset!A2:I112,9,FALSE)="Fire",Backdoors!BB10,IF(VLOOKUP(tbMoveset!A106,tbMoveset!A2:I112,9,FALSE)="Water",Backdoors!BC10,IF(VLOOKUP(tbMoveset!A106,tbMoveset!A2:I112,9,FALSE)="Thunder",Backdoors!BD10,IF(VLOOKUP(tbMoveset!A106,tbMoveset!A2:I112,9,FALSE)="Ice",Backdoors!BE10,IF(VLOOKUP(tbMoveset!A106,tbMoveset!A2:I112,9,FALSE)="Dragon",Backdoors!BF10,Backdoors!BG10)))))/100,Backdoors!BG10/100),"")</f>
        <v>0</v>
      </c>
      <c r="BA106" s="49">
        <f>IFERROR(IF(VLOOKUP(A106,tbMoveset!A2:J112,10,FALSE)=TRUE,IF((Backdoors!AI12+IF(AY106&gt;=0.45,VLOOKUP(Calculator!E23,tbSkills!DH3:DI6,2,FALSE)+IF(AND(Calculator!B8=TRUE,Backdoors!BI10=TRUE),VLOOKUP(Calculator!E23,tbSkills!DH3:DJ6,3,FALSE),0),0))&gt;=0,1+(Backdoors!AL2*(IF((Backdoors!AI12+IF(AY106&gt;=0.45,VLOOKUP(Calculator!E23,tbSkills!DH3:DI6,2,FALSE)+IF(AND(Calculator!B8=TRUE,Backdoors!BI10=TRUE),VLOOKUP(Calculator!E23,tbSkills!DH3:DJ6,3,FALSE),0),0))&gt;=100,100,(Backdoors!AI12+IF(AY106&gt;=0.45,VLOOKUP(Calculator!E23,tbSkills!DH3:DI6,2,FALSE)+IF(AND(Calculator!B8=TRUE,Backdoors!BI10=TRUE),VLOOKUP(Calculator!E23,tbSkills!DH3:DJ6,3,FALSE),0),0)))/100)),(1-(0.25*((-Backdoors!AI12-IF(AY106&gt;=0.45,VLOOKUP(Calculator!E23,tbSkills!DH3:DI6,2,FALSE)+IF(AND(Calculator!B8=TRUE,Backdoors!BI10=TRUE),VLOOKUP(Calculator!E23,tbSkills!DH3:DJ6,3,FALSE),0),0))/100)))),1),"")</f>
        <v>1</v>
      </c>
      <c r="BB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Y106)*BA106)*(VLOOKUP(A106,tbMoveset!A2:C112,3,FALSE)/100)*IF(VLOOKUP(A106,tbMoveset!A2:B112,2,FALSE)="Projectile",Backdoors!N10,Backdoors!N9),0),"")</f>
        <v>9</v>
      </c>
      <c r="BC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Y106&gt;=0.45,VLOOKUP(Calculator!E23,tbSkills!DH3:DI6,2,FALSE)+IF(AND(Calculator!B8=TRUE,Backdoors!BI10=TRUE),VLOOKUP(Calculator!E23,tbSkills!DH3:DJ6,3,FALSE),0),0))&gt;=100,100,(Backdoors!AI12+IF(AY106&gt;=0.45,VLOOKUP(Calculator!E23,tbSkills!DH3:DI6,2,FALSE)+IF(AND(Calculator!B8=TRUE,Backdoors!BI10=TRUE),VLOOKUP(Calculator!E23,tbSkills!DH3:DJ6,3,FALSE),0),0)))/100)),1))*IF(VLOOKUP(A106,tbMoveset!A2:K112,11,FALSE)=TRUE,Backdoors!AC5,1))*AZ106,0),"")</f>
        <v>0</v>
      </c>
      <c r="BD106" s="49">
        <f>VLOOKUP(A106,tbMoveset!A2:G112,7,FALSE)*IFERROR(IF(Backdoors!AI12&gt;=0,1+(IF(Calculator!E40&gt;0,VLOOKUP(Calculator!E40,tbSkills!AI3:AJ5,2,FALSE),Backdoors!AL4)*(IF((Backdoors!AI12+IF(AY106&gt;=0.45,VLOOKUP(Calculator!E23,tbSkills!DH3:DI6,2,FALSE)+IF(AND(Calculator!B8=TRUE,Backdoors!BI10=TRUE),VLOOKUP(Calculator!E23,tbSkills!DH3:DJ6,3,FALSE),0),0))&gt;=100,100,(Backdoors!AI12+IF(AY106&gt;=0.45,VLOOKUP(Calculator!E23,tbSkills!DH3:DI6,2,FALSE)+IF(AND(Calculator!B8=TRUE,Backdoors!BI10=TRUE),VLOOKUP(Calculator!E23,tbSkills!DH3:DJ6,3,FALSE),0),0)))/100)),1),1)</f>
        <v>0.4</v>
      </c>
      <c r="BE106" s="87">
        <f t="shared" si="58"/>
        <v>9</v>
      </c>
      <c r="BF106" s="86" t="str">
        <f>IFERROR(IF(VLOOKUP(A106,tbMoveset!A2:B112,2,FALSE)="Sever",Backdoors!AY11/100,IF(VLOOKUP(A106,tbMoveset!A2:B112,2,FALSE)="Blunt",Backdoors!AZ11/100,Backdoors!BA11/100)),"")</f>
        <v/>
      </c>
      <c r="BG106" s="49">
        <f>IFERROR(IF(VLOOKUP(tbMoveset!A106,tbMoveset!A2:H112,8,FALSE)="Other",IF(VLOOKUP(tbMoveset!A106,tbMoveset!A2:I112,9,FALSE)="Fire",Backdoors!BB11,IF(VLOOKUP(tbMoveset!A106,tbMoveset!A2:I112,9,FALSE)="Water",Backdoors!BC11,IF(VLOOKUP(tbMoveset!A106,tbMoveset!A2:I112,9,FALSE)="Thunder",Backdoors!BD11,IF(VLOOKUP(tbMoveset!A106,tbMoveset!A2:I112,9,FALSE)="Ice",Backdoors!BE11,IF(VLOOKUP(tbMoveset!A106,tbMoveset!A2:I112,9,FALSE)="Dragon",Backdoors!BF11,Backdoors!BG11)))))/100,Backdoors!BG11/100),"")</f>
        <v>0</v>
      </c>
      <c r="BH106" s="49">
        <f>IFERROR(IF(VLOOKUP(A106,tbMoveset!A2:J112,10,FALSE)=TRUE,IF((Backdoors!AI12+IF(BF106&gt;=0.45,VLOOKUP(Calculator!E23,tbSkills!DH3:DI6,2,FALSE)+IF(AND(Calculator!B8=TRUE,Backdoors!BI11=TRUE),VLOOKUP(Calculator!E23,tbSkills!DH3:DJ6,3,FALSE),0),0))&gt;=0,1+(Backdoors!AL2*(IF((Backdoors!AI12+IF(BF106&gt;=0.45,VLOOKUP(Calculator!E23,tbSkills!DH3:DI6,2,FALSE)+IF(AND(Calculator!B8=TRUE,Backdoors!BI11=TRUE),VLOOKUP(Calculator!E23,tbSkills!DH3:DJ6,3,FALSE),0),0))&gt;=100,100,(Backdoors!AI12+IF(BF106&gt;=0.45,VLOOKUP(Calculator!E23,tbSkills!DH3:DI6,2,FALSE)+IF(AND(Calculator!B8=TRUE,Backdoors!BI11=TRUE),VLOOKUP(Calculator!E23,tbSkills!DH3:DJ6,3,FALSE),0),0)))/100)),(1-(0.25*((-Backdoors!AI12-IF(BF106&gt;=0.45,VLOOKUP(Calculator!E23,tbSkills!DH3:DI6,2,FALSE)+IF(AND(Calculator!B8=TRUE,Backdoors!BI11=TRUE),VLOOKUP(Calculator!E23,tbSkills!DH3:DJ6,3,FALSE),0),0))/100)))),1),"")</f>
        <v>1</v>
      </c>
      <c r="BI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F106)*BH106)*(VLOOKUP(A106,tbMoveset!A2:C112,3,FALSE)/100)*IF(VLOOKUP(A106,tbMoveset!A2:B112,2,FALSE)="Projectile",Backdoors!N10,Backdoors!N9),0),"")</f>
        <v/>
      </c>
      <c r="BJ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F106&gt;=0.45,VLOOKUP(Calculator!E23,tbSkills!DH3:DI6,2,FALSE)+IF(AND(Calculator!B8=TRUE,Backdoors!BI11=TRUE),VLOOKUP(Calculator!E23,tbSkills!DH3:DJ6,3,FALSE),0),0))&gt;=100,100,(Backdoors!AI12+IF(BF106&gt;=0.45,VLOOKUP(Calculator!E23,tbSkills!DH3:DI6,2,FALSE)+IF(AND(Calculator!B8=TRUE,Backdoors!BI11=TRUE),VLOOKUP(Calculator!E23,tbSkills!DH3:DJ6,3,FALSE),0),0)))/100)),1))*IF(VLOOKUP(A106,tbMoveset!A2:K112,11,FALSE)=TRUE,Backdoors!AC5,1))*BG106,0),"")</f>
        <v>0</v>
      </c>
      <c r="BK106" s="49">
        <f>VLOOKUP(A106,tbMoveset!A2:G112,7,FALSE)*IFERROR(IF(Backdoors!AI12&gt;=0,1+(IF(Calculator!E40&gt;0,VLOOKUP(Calculator!E40,tbSkills!AI3:AJ5,2,FALSE),Backdoors!AL4)*(IF((Backdoors!AI12+IF(BF106&gt;=0.45,VLOOKUP(Calculator!E23,tbSkills!DH3:DI6,2,FALSE)+IF(AND(Calculator!B8=TRUE,Backdoors!BI11=TRUE),VLOOKUP(Calculator!E23,tbSkills!DH3:DJ6,3,FALSE),0),0))&gt;=100,100,(Backdoors!AI12+IF(BF106&gt;=0.45,VLOOKUP(Calculator!E23,tbSkills!DH3:DI6,2,FALSE)+IF(AND(Calculator!B8=TRUE,Backdoors!BI11=TRUE),VLOOKUP(Calculator!E23,tbSkills!DH3:DJ6,3,FALSE),0),0)))/100)),1),1)</f>
        <v>0.4</v>
      </c>
      <c r="BL106" s="87">
        <f t="shared" si="59"/>
        <v>0</v>
      </c>
      <c r="BM106" s="86" t="str">
        <f>IFERROR(IF(VLOOKUP(A106,tbMoveset!A2:B112,2,FALSE)="Sever",Backdoors!AY12/100,IF(VLOOKUP(A106,tbMoveset!A2:B112,2,FALSE)="Blunt",Backdoors!AZ12/100,Backdoors!BA12/100)),"")</f>
        <v/>
      </c>
      <c r="BN106" s="49">
        <f>IFERROR(IF(VLOOKUP(tbMoveset!A106,tbMoveset!A2:H112,8,FALSE)="Other",IF(VLOOKUP(tbMoveset!A106,tbMoveset!A2:I112,9,FALSE)="Fire",Backdoors!BB12,IF(VLOOKUP(tbMoveset!A106,tbMoveset!A2:I112,9,FALSE)="Water",Backdoors!BC12,IF(VLOOKUP(tbMoveset!A106,tbMoveset!A2:I112,9,FALSE)="Thunder",Backdoors!BD12,IF(VLOOKUP(tbMoveset!A106,tbMoveset!A2:I112,9,FALSE)="Ice",Backdoors!BE12,IF(VLOOKUP(tbMoveset!A106,tbMoveset!A2:I112,9,FALSE)="Dragon",Backdoors!BF12,Backdoors!BG12)))))/100,Backdoors!BG12/100),"")</f>
        <v>0</v>
      </c>
      <c r="BO106" s="49">
        <f>IFERROR(IF(VLOOKUP(A106,tbMoveset!A2:J112,10,FALSE)=TRUE,IF((Backdoors!AI12+IF(BM106&gt;=0.45,VLOOKUP(Calculator!E23,tbSkills!DH3:DI6,2,FALSE)+IF(AND(Calculator!B8=TRUE,Backdoors!BI12=TRUE),VLOOKUP(Calculator!E23,tbSkills!DH3:DJ6,3,FALSE),0),0))&gt;=0,1+(Backdoors!AL2*(IF((Backdoors!AI12+IF(BM106&gt;=0.45,VLOOKUP(Calculator!E23,tbSkills!DH3:DI6,2,FALSE)+IF(AND(Calculator!B8=TRUE,Backdoors!BI12=TRUE),VLOOKUP(Calculator!E23,tbSkills!DH3:DJ6,3,FALSE),0),0))&gt;=100,100,(Backdoors!AI12+IF(BM106&gt;=0.45,VLOOKUP(Calculator!E23,tbSkills!DH3:DI6,2,FALSE)+IF(AND(Calculator!B8=TRUE,Backdoors!BI12=TRUE),VLOOKUP(Calculator!E23,tbSkills!DH3:DJ6,3,FALSE),0),0)))/100)),(1-(0.25*((-Backdoors!AI12-IF(BM106&gt;=0.45,VLOOKUP(Calculator!E23,tbSkills!DH3:DI6,2,FALSE)+IF(AND(Calculator!B8=TRUE,Backdoors!BI12=TRUE),VLOOKUP(Calculator!E23,tbSkills!DH3:DJ6,3,FALSE),0),0))/100)))),1),"")</f>
        <v>1</v>
      </c>
      <c r="BP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M106)*BO106)*(VLOOKUP(A106,tbMoveset!A2:C112,3,FALSE)/100)*IF(VLOOKUP(A106,tbMoveset!A2:B112,2,FALSE)="Projectile",Backdoors!N10,Backdoors!N9),0),"")</f>
        <v/>
      </c>
      <c r="BQ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M106&gt;=0.45,VLOOKUP(Calculator!E23,tbSkills!DH3:DI6,2,FALSE)+IF(AND(Calculator!B8=TRUE,Backdoors!BI12=TRUE),VLOOKUP(Calculator!E23,tbSkills!DH3:DJ6,3,FALSE),0),0))&gt;=100,100,(Backdoors!AI12+IF(BM106&gt;=0.45,VLOOKUP(Calculator!E23,tbSkills!DH3:DI6,2,FALSE)+IF(AND(Calculator!B8=TRUE,Backdoors!BI12=TRUE),VLOOKUP(Calculator!E23,tbSkills!DH3:DJ6,3,FALSE),0),0)))/100)),1))*IF(VLOOKUP(A106,tbMoveset!A2:K112,11,FALSE)=TRUE,Backdoors!AC5,1))*BN106,0),"")</f>
        <v>0</v>
      </c>
      <c r="BR106" s="49">
        <f>VLOOKUP(A106,tbMoveset!A2:G112,7,FALSE)*IFERROR(IF(Backdoors!AI12&gt;=0,1+(IF(Calculator!E40&gt;0,VLOOKUP(Calculator!E40,tbSkills!AI3:AJ5,2,FALSE),Backdoors!AL4)*(IF((Backdoors!AI12+IF(BM106&gt;=0.45,VLOOKUP(Calculator!E23,tbSkills!DH3:DI6,2,FALSE)+IF(AND(Calculator!B8=TRUE,Backdoors!BI12=TRUE),VLOOKUP(Calculator!E23,tbSkills!DH3:DJ6,3,FALSE),0),0))&gt;=100,100,(Backdoors!AI12+IF(BM106&gt;=0.45,VLOOKUP(Calculator!E23,tbSkills!DH3:DI6,2,FALSE)+IF(AND(Calculator!B8=TRUE,Backdoors!BI12=TRUE),VLOOKUP(Calculator!E23,tbSkills!DH3:DJ6,3,FALSE),0),0)))/100)),1),1)</f>
        <v>0.4</v>
      </c>
      <c r="BS106" s="87">
        <f t="shared" si="60"/>
        <v>0</v>
      </c>
      <c r="BT106" s="86" t="str">
        <f>IFERROR(IF(VLOOKUP(A106,tbMoveset!A2:B112,2,FALSE)="Sever",Backdoors!AY13/100,IF(VLOOKUP(A106,tbMoveset!A2:B112,2,FALSE)="Blunt",Backdoors!AZ13/100,Backdoors!BA13/100)),"")</f>
        <v/>
      </c>
      <c r="BU106" s="49">
        <f>IFERROR(IF(VLOOKUP(tbMoveset!A106,tbMoveset!A2:H112,8,FALSE)="Other",IF(VLOOKUP(tbMoveset!A106,tbMoveset!A2:I112,9,FALSE)="Fire",Backdoors!BB13,IF(VLOOKUP(tbMoveset!A106,tbMoveset!A2:I112,9,FALSE)="Water",Backdoors!BC13,IF(VLOOKUP(tbMoveset!A106,tbMoveset!A2:I112,9,FALSE)="Thunder",Backdoors!BD13,IF(VLOOKUP(tbMoveset!A106,tbMoveset!A2:I112,9,FALSE)="Ice",Backdoors!BE13,IF(VLOOKUP(tbMoveset!A106,tbMoveset!A2:I112,9,FALSE)="Dragon",Backdoors!BF13,Backdoors!BG13)))))/100,Backdoors!BG13/100),"")</f>
        <v>0</v>
      </c>
      <c r="BV106" s="49">
        <f>IFERROR(IF(VLOOKUP(A106,tbMoveset!A2:J112,10,FALSE)=TRUE,IF((Backdoors!AI12+IF(BT106&gt;=0.45,VLOOKUP(Calculator!E23,tbSkills!DH3:DI6,2,FALSE)+IF(AND(Calculator!B8=TRUE,Backdoors!BI13=TRUE),VLOOKUP(Calculator!E23,tbSkills!DH3:DJ6,3,FALSE),0),0))&gt;=0,1+(Backdoors!AL2*(IF((Backdoors!AI12+IF(BT106&gt;=0.45,VLOOKUP(Calculator!E23,tbSkills!DH3:DI6,2,FALSE)+IF(AND(Calculator!B8=TRUE,Backdoors!BI13=TRUE),VLOOKUP(Calculator!E23,tbSkills!DH3:DJ6,3,FALSE),0),0))&gt;=100,100,(Backdoors!AI12+IF(BT106&gt;=0.45,VLOOKUP(Calculator!E23,tbSkills!DH3:DI6,2,FALSE)+IF(AND(Calculator!B8=TRUE,Backdoors!BI13=TRUE),VLOOKUP(Calculator!E23,tbSkills!DH3:DJ6,3,FALSE),0),0)))/100)),(1-(0.25*((-Backdoors!AI12-IF(BT106&gt;=0.45,VLOOKUP(Calculator!E23,tbSkills!DH3:DI6,2,FALSE)+IF(AND(Calculator!B8=TRUE,Backdoors!BI13=TRUE),VLOOKUP(Calculator!E23,tbSkills!DH3:DJ6,3,FALSE),0),0))/100)))),1),"")</f>
        <v>1</v>
      </c>
      <c r="BW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T106)*BV106)*(VLOOKUP(A106,tbMoveset!A2:C112,3,FALSE)/100)*IF(VLOOKUP(A106,tbMoveset!A2:B112,2,FALSE)="Projectile",Backdoors!N10,Backdoors!N9),0),"")</f>
        <v/>
      </c>
      <c r="BX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T106&gt;=0.45,VLOOKUP(Calculator!E23,tbSkills!DH3:DI6,2,FALSE)+IF(AND(Calculator!B8=TRUE,Backdoors!BI13=TRUE),VLOOKUP(Calculator!E23,tbSkills!DH3:DJ6,3,FALSE),0),0))&gt;=100,100,(Backdoors!AI12+IF(BT106&gt;=0.45,VLOOKUP(Calculator!E23,tbSkills!DH3:DI6,2,FALSE)+IF(AND(Calculator!B8=TRUE,Backdoors!BI13=TRUE),VLOOKUP(Calculator!E23,tbSkills!DH3:DJ6,3,FALSE),0),0)))/100)),1))*IF(VLOOKUP(A106,tbMoveset!A2:K112,11,FALSE)=TRUE,Backdoors!AC5,1))*BU106,0),"")</f>
        <v>0</v>
      </c>
      <c r="BY106" s="49">
        <f>VLOOKUP(A106,tbMoveset!A2:G112,7,FALSE)*IFERROR(IF(Backdoors!AI12&gt;=0,1+(IF(Calculator!E40&gt;0,VLOOKUP(Calculator!E40,tbSkills!AI3:AJ5,2,FALSE),Backdoors!AL4)*(IF((Backdoors!AI12+IF(BT106&gt;=0.45,VLOOKUP(Calculator!E23,tbSkills!DH3:DI6,2,FALSE)+IF(AND(Calculator!B8=TRUE,Backdoors!BI13=TRUE),VLOOKUP(Calculator!E23,tbSkills!DH3:DJ6,3,FALSE),0),0))&gt;=100,100,(Backdoors!AI12+IF(BT106&gt;=0.45,VLOOKUP(Calculator!E23,tbSkills!DH3:DI6,2,FALSE)+IF(AND(Calculator!B8=TRUE,Backdoors!BI13=TRUE),VLOOKUP(Calculator!E23,tbSkills!DH3:DJ6,3,FALSE),0),0)))/100)),1),1)</f>
        <v>0.4</v>
      </c>
      <c r="BZ106" s="87">
        <f t="shared" si="61"/>
        <v>0</v>
      </c>
      <c r="CA106" s="86" t="str">
        <f>IFERROR(IF(VLOOKUP(A106,tbMoveset!A2:B112,2,FALSE)="Sever",Backdoors!AY14/100,IF(VLOOKUP(A106,tbMoveset!A2:B112,2,FALSE)="Blunt",Backdoors!AZ14/100,Backdoors!BA14/100)),"")</f>
        <v/>
      </c>
      <c r="CB106" s="49">
        <f>IFERROR(IF(VLOOKUP(tbMoveset!A106,tbMoveset!A2:H112,8,FALSE)="Other",IF(VLOOKUP(tbMoveset!A106,tbMoveset!A2:I112,9,FALSE)="Fire",Backdoors!BB14,IF(VLOOKUP(tbMoveset!A106,tbMoveset!A2:I112,9,FALSE)="Water",Backdoors!BC14,IF(VLOOKUP(tbMoveset!A106,tbMoveset!A2:I112,9,FALSE)="Thunder",Backdoors!BD14,IF(VLOOKUP(tbMoveset!A106,tbMoveset!A2:I112,9,FALSE)="Ice",Backdoors!BE14,IF(VLOOKUP(tbMoveset!A106,tbMoveset!A2:I112,9,FALSE)="Dragon",Backdoors!BF14,Backdoors!BG14)))))/100,Backdoors!BG14/100),"")</f>
        <v>0</v>
      </c>
      <c r="CC106" s="49">
        <f>IFERROR(IF(VLOOKUP(A106,tbMoveset!A2:J112,10,FALSE)=TRUE,IF((Backdoors!AI12+IF(CA106&gt;=0.45,VLOOKUP(Calculator!E23,tbSkills!DH3:DI6,2,FALSE)+IF(AND(Calculator!B8=TRUE,Backdoors!BI14=TRUE),VLOOKUP(Calculator!E23,tbSkills!DH3:DJ6,3,FALSE),0),0))&gt;=0,1+(Backdoors!AL2*(IF((Backdoors!AI12+IF(CA106&gt;=0.45,VLOOKUP(Calculator!E23,tbSkills!DH3:DI6,2,FALSE)+IF(AND(Calculator!B8=TRUE,Backdoors!BI14=TRUE),VLOOKUP(Calculator!E23,tbSkills!DH3:DJ6,3,FALSE),0),0))&gt;=100,100,(Backdoors!AI12+IF(CA106&gt;=0.45,VLOOKUP(Calculator!E23,tbSkills!DH3:DI6,2,FALSE)+IF(AND(Calculator!B8=TRUE,Backdoors!BI14=TRUE),VLOOKUP(Calculator!E23,tbSkills!DH3:DJ6,3,FALSE),0),0)))/100)),(1-(0.25*((-Backdoors!AI12-IF(CA106&gt;=0.45,VLOOKUP(Calculator!E23,tbSkills!DH3:DI6,2,FALSE)+IF(AND(Calculator!B8=TRUE,Backdoors!BI14=TRUE),VLOOKUP(Calculator!E23,tbSkills!DH3:DJ6,3,FALSE),0),0))/100)))),1),"")</f>
        <v>1</v>
      </c>
      <c r="CD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A106)*CC106)*(VLOOKUP(A106,tbMoveset!A2:C112,3,FALSE)/100)*IF(VLOOKUP(A106,tbMoveset!A2:B112,2,FALSE)="Projectile",Backdoors!N10,Backdoors!N9),0),"")</f>
        <v/>
      </c>
      <c r="CE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A106&gt;=0.45,VLOOKUP(Calculator!E23,tbSkills!DH3:DI6,2,FALSE)+IF(AND(Calculator!B8=TRUE,Backdoors!BI14=TRUE),VLOOKUP(Calculator!E23,tbSkills!DH3:DJ6,3,FALSE),0),0))&gt;=100,100,(Backdoors!AI12+IF(CA106&gt;=0.45,VLOOKUP(Calculator!E23,tbSkills!DH3:DI6,2,FALSE)+IF(AND(Calculator!B8=TRUE,Backdoors!BI14=TRUE),VLOOKUP(Calculator!E23,tbSkills!DH3:DJ6,3,FALSE),0),0)))/100)),1))*IF(VLOOKUP(A106,tbMoveset!A2:K112,11,FALSE)=TRUE,Backdoors!AC5,1))*CB106,0),"")</f>
        <v>0</v>
      </c>
      <c r="CF106" s="49">
        <f>VLOOKUP(A106,tbMoveset!A2:G112,7,FALSE)*IFERROR(IF(Backdoors!AI12&gt;=0,1+(IF(Calculator!E40&gt;0,VLOOKUP(Calculator!E40,tbSkills!AI3:AJ5,2,FALSE),Backdoors!AL4)*(IF((Backdoors!AI12+IF(CA106&gt;=0.45,VLOOKUP(Calculator!E23,tbSkills!DH3:DI6,2,FALSE)+IF(AND(Calculator!B8=TRUE,Backdoors!BI14=TRUE),VLOOKUP(Calculator!E23,tbSkills!DH3:DJ6,3,FALSE),0),0))&gt;=100,100,(Backdoors!AI12+IF(CA106&gt;=0.45,VLOOKUP(Calculator!E23,tbSkills!DH3:DI6,2,FALSE)+IF(AND(Calculator!B8=TRUE,Backdoors!BI14=TRUE),VLOOKUP(Calculator!E23,tbSkills!DH3:DJ6,3,FALSE),0),0)))/100)),1),1)</f>
        <v>0.4</v>
      </c>
      <c r="CG106" s="87">
        <f t="shared" si="62"/>
        <v>0</v>
      </c>
      <c r="CH106" s="86" t="str">
        <f>IFERROR(IF(VLOOKUP(A106,tbMoveset!A2:B112,2,FALSE)="Sever",Backdoors!AY15/100,IF(VLOOKUP(A106,tbMoveset!A2:B112,2,FALSE)="Blunt",Backdoors!AZ15/100,Backdoors!BA15/100)),"")</f>
        <v/>
      </c>
      <c r="CI106" s="49">
        <f>IFERROR(IF(VLOOKUP(tbMoveset!A106,tbMoveset!A2:H112,8,FALSE)="Other",IF(VLOOKUP(tbMoveset!A106,tbMoveset!A2:I112,9,FALSE)="Fire",Backdoors!BB15,IF(VLOOKUP(tbMoveset!A106,tbMoveset!A2:I112,9,FALSE)="Water",Backdoors!BC15,IF(VLOOKUP(tbMoveset!A106,tbMoveset!A2:I112,9,FALSE)="Thunder",Backdoors!BD15,IF(VLOOKUP(tbMoveset!A106,tbMoveset!A2:I112,9,FALSE)="Ice",Backdoors!BE15,IF(VLOOKUP(tbMoveset!A106,tbMoveset!A2:I112,9,FALSE)="Dragon",Backdoors!BF15,Backdoors!BG15)))))/100,Backdoors!BG15/100),"")</f>
        <v>0</v>
      </c>
      <c r="CJ106" s="49">
        <f>IFERROR(IF(VLOOKUP(A106,tbMoveset!A2:J112,10,FALSE)=TRUE,IF((Backdoors!AI12+IF(CH106&gt;=0.45,VLOOKUP(Calculator!E23,tbSkills!DH3:DI6,2,FALSE)+IF(AND(Calculator!B8=TRUE,Backdoors!BI15=TRUE),VLOOKUP(Calculator!E23,tbSkills!DH3:DJ6,3,FALSE),0),0))&gt;=0,1+(Backdoors!AL2*(IF((Backdoors!AI12+IF(CH106&gt;=0.45,VLOOKUP(Calculator!E23,tbSkills!DH3:DI6,2,FALSE)+IF(AND(Calculator!B8=TRUE,Backdoors!BI15=TRUE),VLOOKUP(Calculator!E23,tbSkills!DH3:DJ6,3,FALSE),0),0))&gt;=100,100,(Backdoors!AI12+IF(CH106&gt;=0.45,VLOOKUP(Calculator!E23,tbSkills!DH3:DI6,2,FALSE)+IF(AND(Calculator!B8=TRUE,Backdoors!BI15=TRUE),VLOOKUP(Calculator!E23,tbSkills!DH3:DJ6,3,FALSE),0),0)))/100)),(1-(0.25*((-Backdoors!AI12-IF(CH106&gt;=0.45,VLOOKUP(Calculator!E23,tbSkills!DH3:DI6,2,FALSE)+IF(AND(Calculator!B8=TRUE,Backdoors!BI15=TRUE),VLOOKUP(Calculator!E23,tbSkills!DH3:DJ6,3,FALSE),0),0))/100)))),1),"")</f>
        <v>1</v>
      </c>
      <c r="CK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H106)*CJ106)*(VLOOKUP(A106,tbMoveset!A2:C112,3,FALSE)/100)*IF(VLOOKUP(A106,tbMoveset!A2:B112,2,FALSE)="Projectile",Backdoors!N10,Backdoors!N9),0),"")</f>
        <v/>
      </c>
      <c r="CL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H106&gt;=0.45,VLOOKUP(Calculator!E23,tbSkills!DH3:DI6,2,FALSE)+IF(AND(Calculator!B8=TRUE,Backdoors!BI15=TRUE),VLOOKUP(Calculator!E23,tbSkills!DH3:DJ6,3,FALSE),0),0))&gt;=100,100,(Backdoors!AI12+IF(CH106&gt;=0.45,VLOOKUP(Calculator!E23,tbSkills!DH3:DI6,2,FALSE)+IF(AND(Calculator!B8=TRUE,Backdoors!BI15=TRUE),VLOOKUP(Calculator!E23,tbSkills!DH3:DJ6,3,FALSE),0),0)))/100)),1))*IF(VLOOKUP(A106,tbMoveset!A2:K112,11,FALSE)=TRUE,Backdoors!AC5,1))*CI106,0),"")</f>
        <v>0</v>
      </c>
      <c r="CM106" s="49">
        <f>VLOOKUP(A106,tbMoveset!A2:G112,7,FALSE)*IFERROR(IF(Backdoors!AI12&gt;=0,1+(IF(Calculator!E40&gt;0,VLOOKUP(Calculator!E40,tbSkills!AI3:AJ5,2,FALSE),Backdoors!AL4)*(IF((Backdoors!AI12+IF(CH106&gt;=0.45,VLOOKUP(Calculator!E23,tbSkills!DH3:DI6,2,FALSE)+IF(AND(Calculator!B8=TRUE,Backdoors!BI15=TRUE),VLOOKUP(Calculator!E23,tbSkills!DH3:DJ6,3,FALSE),0),0))&gt;=100,100,(Backdoors!AI12+IF(CH106&gt;=0.45,VLOOKUP(Calculator!E23,tbSkills!DH3:DI6,2,FALSE)+IF(AND(Calculator!B8=TRUE,Backdoors!BI15=TRUE),VLOOKUP(Calculator!E23,tbSkills!DH3:DJ6,3,FALSE),0),0)))/100)),1),1)</f>
        <v>0.4</v>
      </c>
      <c r="CN106" s="87">
        <f t="shared" si="63"/>
        <v>0</v>
      </c>
      <c r="CO106" s="86" t="str">
        <f>IFERROR(IF(VLOOKUP(A106,tbMoveset!A2:B112,2,FALSE)="Sever",Backdoors!AY16/100,IF(VLOOKUP(A106,tbMoveset!A2:B112,2,FALSE)="Blunt",Backdoors!AZ16/100,Backdoors!BA16/100)),"")</f>
        <v/>
      </c>
      <c r="CP106" s="49">
        <f>IFERROR(IF(VLOOKUP(tbMoveset!A106,tbMoveset!A2:H112,8,FALSE)="Other",IF(VLOOKUP(tbMoveset!A106,tbMoveset!A2:I112,9,FALSE)="Fire",Backdoors!BB16,IF(VLOOKUP(tbMoveset!A106,tbMoveset!A2:I112,9,FALSE)="Water",Backdoors!BC16,IF(VLOOKUP(tbMoveset!A106,tbMoveset!A2:I112,9,FALSE)="Thunder",Backdoors!BD16,IF(VLOOKUP(tbMoveset!A106,tbMoveset!A2:I112,9,FALSE)="Ice",Backdoors!BE16,IF(VLOOKUP(tbMoveset!A106,tbMoveset!A2:I112,9,FALSE)="Dragon",Backdoors!BF16,Backdoors!BG16)))))/100,Backdoors!BG16/100),"")</f>
        <v>0</v>
      </c>
      <c r="CQ106" s="49">
        <f>IFERROR(IF(VLOOKUP(A106,tbMoveset!A2:J112,10,FALSE)=TRUE,IF((Backdoors!AI12+IF(CO106&gt;=0.45,VLOOKUP(Calculator!E23,tbSkills!DH3:DI6,2,FALSE)+IF(AND(Calculator!B8=TRUE,Backdoors!BI16=TRUE),VLOOKUP(Calculator!E23,tbSkills!DH3:DJ6,3,FALSE),0),0))&gt;=0,1+(Backdoors!AL2*(IF((Backdoors!AI12+IF(CO106&gt;=0.45,VLOOKUP(Calculator!E23,tbSkills!DH3:DI6,2,FALSE)+IF(AND(Calculator!B8=TRUE,Backdoors!BI16=TRUE),VLOOKUP(Calculator!E23,tbSkills!DH3:DJ6,3,FALSE),0),0))&gt;=100,100,(Backdoors!AI12+IF(CO106&gt;=0.45,VLOOKUP(Calculator!E23,tbSkills!DH3:DI6,2,FALSE)+IF(AND(Calculator!B8=TRUE,Backdoors!BI16=TRUE),VLOOKUP(Calculator!E23,tbSkills!DH3:DJ6,3,FALSE),0),0)))/100)),(1-(0.25*((-Backdoors!AI12-IF(CO106&gt;=0.45,VLOOKUP(Calculator!E23,tbSkills!DH3:DI6,2,FALSE)+IF(AND(Calculator!B8=TRUE,Backdoors!BI16=TRUE),VLOOKUP(Calculator!E23,tbSkills!DH3:DJ6,3,FALSE),0),0))/100)))),1),"")</f>
        <v>1</v>
      </c>
      <c r="CR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O106)*CQ106)*(VLOOKUP(A106,tbMoveset!A2:C112,3,FALSE)/100)*IF(VLOOKUP(A106,tbMoveset!A2:B112,2,FALSE)="Projectile",Backdoors!N10,Backdoors!N9),0),"")</f>
        <v/>
      </c>
      <c r="CS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O106&gt;=0.45,VLOOKUP(Calculator!E23,tbSkills!DH3:DI6,2,FALSE)+IF(AND(Calculator!B8=TRUE,Backdoors!BI16=TRUE),VLOOKUP(Calculator!E23,tbSkills!DH3:DJ6,3,FALSE),0),0))&gt;=100,100,(Backdoors!AI12+IF(CO106&gt;=0.45,VLOOKUP(Calculator!E23,tbSkills!DH3:DI6,2,FALSE)+IF(AND(Calculator!B8=TRUE,Backdoors!BI16=TRUE),VLOOKUP(Calculator!E23,tbSkills!DH3:DJ6,3,FALSE),0),0)))/100)),1))*IF(VLOOKUP(A106,tbMoveset!A2:K112,11,FALSE)=TRUE,Backdoors!AC5,1))*CP106,0),"")</f>
        <v>0</v>
      </c>
      <c r="CT106" s="49">
        <f>VLOOKUP(A106,tbMoveset!A2:G112,7,FALSE)*IFERROR(IF(Backdoors!AI12&gt;=0,1+(IF(Calculator!E40&gt;0,VLOOKUP(Calculator!E40,tbSkills!AI3:AJ5,2,FALSE),Backdoors!AL4)*(IF((Backdoors!AI12+IF(CO106&gt;=0.45,VLOOKUP(Calculator!E23,tbSkills!DH3:DI6,2,FALSE)+IF(AND(Calculator!B8=TRUE,Backdoors!BI16=TRUE),VLOOKUP(Calculator!E23,tbSkills!DH3:DJ6,3,FALSE),0),0))&gt;=100,100,(Backdoors!AI12+IF(CO106&gt;=0.45,VLOOKUP(Calculator!E23,tbSkills!DH3:DI6,2,FALSE)+IF(AND(Calculator!B8=TRUE,Backdoors!BI16=TRUE),VLOOKUP(Calculator!E23,tbSkills!DH3:DJ6,3,FALSE),0),0)))/100)),1),1)</f>
        <v>0.4</v>
      </c>
      <c r="CU106" s="87">
        <f t="shared" si="64"/>
        <v>0</v>
      </c>
      <c r="CV106" s="86" t="str">
        <f>IFERROR(IF(VLOOKUP(A106,tbMoveset!A2:B112,2,FALSE)="Sever",Backdoors!AY17/100,IF(VLOOKUP(A106,tbMoveset!A2:B112,2,FALSE)="Blunt",Backdoors!AZ17/100,Backdoors!BA17/100)),"")</f>
        <v/>
      </c>
      <c r="CW106" s="49">
        <f>IFERROR(IF(VLOOKUP(tbMoveset!A106,tbMoveset!A2:H112,8,FALSE)="Other",IF(VLOOKUP(tbMoveset!A106,tbMoveset!A2:I112,9,FALSE)="Fire",Backdoors!BB17,IF(VLOOKUP(tbMoveset!A106,tbMoveset!A2:I112,9,FALSE)="Water",Backdoors!BC17,IF(VLOOKUP(tbMoveset!A106,tbMoveset!A2:I112,9,FALSE)="Thunder",Backdoors!BD17,IF(VLOOKUP(tbMoveset!A106,tbMoveset!A2:I112,9,FALSE)="Ice",Backdoors!BE17,IF(VLOOKUP(tbMoveset!A106,tbMoveset!A2:I112,9,FALSE)="Dragon",Backdoors!BF17,Backdoors!BG17)))))/100,Backdoors!BG17/100),"")</f>
        <v>0</v>
      </c>
      <c r="CX106" s="49">
        <f>IFERROR(IF(VLOOKUP(A106,tbMoveset!A2:J112,10,FALSE)=TRUE,IF((Backdoors!AI12+IF(CV106&gt;=0.45,VLOOKUP(Calculator!E23,tbSkills!DH3:DI6,2,FALSE)+IF(AND(Calculator!B8=TRUE,Backdoors!BI17=TRUE),VLOOKUP(Calculator!E23,tbSkills!DH3:DJ6,3,FALSE),0),0))&gt;=0,1+(Backdoors!AL2*(IF((Backdoors!AI12+IF(CV106&gt;=0.45,VLOOKUP(Calculator!E23,tbSkills!DH3:DI6,2,FALSE)+IF(AND(Calculator!B8=TRUE,Backdoors!BI17=TRUE),VLOOKUP(Calculator!E23,tbSkills!DH3:DJ6,3,FALSE),0),0))&gt;=100,100,(Backdoors!AI12+IF(CV106&gt;=0.45,VLOOKUP(Calculator!E23,tbSkills!DH3:DI6,2,FALSE)+IF(AND(Calculator!B8=TRUE,Backdoors!BI17=TRUE),VLOOKUP(Calculator!E23,tbSkills!DH3:DJ6,3,FALSE),0),0)))/100)),(1-(0.25*((-Backdoors!AI12-IF(CV106&gt;=0.45,VLOOKUP(Calculator!E23,tbSkills!DH3:DI6,2,FALSE)+IF(AND(Calculator!B8=TRUE,Backdoors!BI17=TRUE),VLOOKUP(Calculator!E23,tbSkills!DH3:DJ6,3,FALSE),0),0))/100)))),1),"")</f>
        <v>1</v>
      </c>
      <c r="CY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V106)*CX106)*(VLOOKUP(A106,tbMoveset!A2:C112,3,FALSE)/100)*IF(VLOOKUP(A106,tbMoveset!A2:B112,2,FALSE)="Projectile",Backdoors!N10,Backdoors!N9),0),"")</f>
        <v/>
      </c>
      <c r="CZ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V106&gt;=0.45,VLOOKUP(Calculator!E23,tbSkills!DH3:DI6,2,FALSE)+IF(AND(Calculator!B8=TRUE,Backdoors!BI17=TRUE),VLOOKUP(Calculator!E23,tbSkills!DH3:DJ6,3,FALSE),0),0))&gt;=100,100,(Backdoors!AI12+IF(CV106&gt;=0.45,VLOOKUP(Calculator!E23,tbSkills!DH3:DI6,2,FALSE)+IF(AND(Calculator!B8=TRUE,Backdoors!BI17=TRUE),VLOOKUP(Calculator!E23,tbSkills!DH3:DJ6,3,FALSE),0),0)))/100)),1))*IF(VLOOKUP(A106,tbMoveset!A2:K112,11,FALSE)=TRUE,Backdoors!AC5,1))*CW106,0),"")</f>
        <v>0</v>
      </c>
      <c r="DA106" s="49">
        <f>VLOOKUP(A106,tbMoveset!A2:G112,7,FALSE)*IFERROR(IF(Backdoors!AI12&gt;=0,1+(IF(Calculator!E40&gt;0,VLOOKUP(Calculator!E40,tbSkills!AI3:AJ5,2,FALSE),Backdoors!AL4)*(IF((Backdoors!AI12+IF(CV106&gt;=0.45,VLOOKUP(Calculator!E23,tbSkills!DH3:DI6,2,FALSE)+IF(AND(Calculator!B8=TRUE,Backdoors!BI17=TRUE),VLOOKUP(Calculator!E23,tbSkills!DH3:DJ6,3,FALSE),0),0))&gt;=100,100,(Backdoors!AI12+IF(CV106&gt;=0.45,VLOOKUP(Calculator!E23,tbSkills!DH3:DI6,2,FALSE)+IF(AND(Calculator!B8=TRUE,Backdoors!BI17=TRUE),VLOOKUP(Calculator!E23,tbSkills!DH3:DJ6,3,FALSE),0),0)))/100)),1),1)</f>
        <v>0.4</v>
      </c>
      <c r="DB106" s="87">
        <f t="shared" si="65"/>
        <v>0</v>
      </c>
      <c r="DC106" s="86" t="str">
        <f>IFERROR(IF(VLOOKUP(A106,tbMoveset!A2:B112,2,FALSE)="Sever",Backdoors!AY18/100,IF(VLOOKUP(A106,tbMoveset!A2:B112,2,FALSE)="Blunt",Backdoors!AZ18/100,Backdoors!BA18/100)),"")</f>
        <v/>
      </c>
      <c r="DD106" s="49">
        <f>IFERROR(IF(VLOOKUP(tbMoveset!A106,tbMoveset!A2:H112,8,FALSE)="Other",IF(VLOOKUP(tbMoveset!A106,tbMoveset!A2:I112,9,FALSE)="Fire",Backdoors!BB18,IF(VLOOKUP(tbMoveset!A106,tbMoveset!A2:I112,9,FALSE)="Water",Backdoors!BC18,IF(VLOOKUP(tbMoveset!A106,tbMoveset!A2:I112,9,FALSE)="Thunder",Backdoors!BD18,IF(VLOOKUP(tbMoveset!A106,tbMoveset!A2:I112,9,FALSE)="Ice",Backdoors!BE18,IF(VLOOKUP(tbMoveset!A106,tbMoveset!A2:I112,9,FALSE)="Dragon",Backdoors!BF18,Backdoors!BG18)))))/100,Backdoors!BG18/100),"")</f>
        <v>0</v>
      </c>
      <c r="DE106" s="49">
        <f>IFERROR(IF(VLOOKUP(A106,tbMoveset!A2:J112,10,FALSE)=TRUE,IF((Backdoors!AI12+IF(DC106&gt;=0.45,VLOOKUP(Calculator!E23,tbSkills!DH3:DI6,2,FALSE)+IF(AND(Calculator!B8=TRUE,Backdoors!BI18=TRUE),VLOOKUP(Calculator!E23,tbSkills!DH3:DJ6,3,FALSE),0),0))&gt;=0,1+(Backdoors!AL2*(IF((Backdoors!AI12+IF(DC106&gt;=0.45,VLOOKUP(Calculator!E23,tbSkills!DH3:DI6,2,FALSE)+IF(AND(Calculator!B8=TRUE,Backdoors!BI18=TRUE),VLOOKUP(Calculator!E23,tbSkills!DH3:DJ6,3,FALSE),0),0))&gt;=100,100,(Backdoors!AI12+IF(DC106&gt;=0.45,VLOOKUP(Calculator!E23,tbSkills!DH3:DI6,2,FALSE)+IF(AND(Calculator!B8=TRUE,Backdoors!BI18=TRUE),VLOOKUP(Calculator!E23,tbSkills!DH3:DJ6,3,FALSE),0),0)))/100)),(1-(0.25*((-Backdoors!AI12-IF(DC106&gt;=0.45,VLOOKUP(Calculator!E23,tbSkills!DH3:DI6,2,FALSE)+IF(AND(Calculator!B8=TRUE,Backdoors!BI18=TRUE),VLOOKUP(Calculator!E23,tbSkills!DH3:DJ6,3,FALSE),0),0))/100)))),1),"")</f>
        <v>1</v>
      </c>
      <c r="DF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C106)*DE106)*(VLOOKUP(A106,tbMoveset!A2:C112,3,FALSE)/100)*IF(VLOOKUP(A106,tbMoveset!A2:B112,2,FALSE)="Projectile",Backdoors!N10,Backdoors!N9),0),"")</f>
        <v/>
      </c>
      <c r="DG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C106&gt;=0.45,VLOOKUP(Calculator!E23,tbSkills!DH3:DI6,2,FALSE)+IF(AND(Calculator!B8=TRUE,Backdoors!BI18=TRUE),VLOOKUP(Calculator!E23,tbSkills!DH3:DJ6,3,FALSE),0),0))&gt;=100,100,(Backdoors!AI12+IF(DC106&gt;=0.45,VLOOKUP(Calculator!E23,tbSkills!DH3:DI6,2,FALSE)+IF(AND(Calculator!B8=TRUE,Backdoors!BI18=TRUE),VLOOKUP(Calculator!E23,tbSkills!DH3:DJ6,3,FALSE),0),0)))/100)),1))*IF(VLOOKUP(A106,tbMoveset!A2:K112,11,FALSE)=TRUE,Backdoors!AC5,1))*DD106,0),"")</f>
        <v>0</v>
      </c>
      <c r="DH106" s="49">
        <f>VLOOKUP(A106,tbMoveset!A2:G112,7,FALSE)*IFERROR(IF(Backdoors!AI12&gt;=0,1+(IF(Calculator!E40&gt;0,VLOOKUP(Calculator!E40,tbSkills!AI3:AJ5,2,FALSE),Backdoors!AL4)*(IF((Backdoors!AI12+IF(DC106&gt;=0.45,VLOOKUP(Calculator!E23,tbSkills!DH3:DI6,2,FALSE)+IF(AND(Calculator!B8=TRUE,Backdoors!BI18=TRUE),VLOOKUP(Calculator!E23,tbSkills!DH3:DJ6,3,FALSE),0),0))&gt;=100,100,(Backdoors!AI12+IF(DC106&gt;=0.45,VLOOKUP(Calculator!E23,tbSkills!DH3:DI6,2,FALSE)+IF(AND(Calculator!B8=TRUE,Backdoors!BI18=TRUE),VLOOKUP(Calculator!E23,tbSkills!DH3:DJ6,3,FALSE),0),0)))/100)),1),1)</f>
        <v>0.4</v>
      </c>
      <c r="DI106" s="87">
        <f t="shared" si="66"/>
        <v>0</v>
      </c>
      <c r="DJ106" s="86" t="str">
        <f>IFERROR(IF(VLOOKUP(A106,tbMoveset!A2:B112,2,FALSE)="Sever",Backdoors!AY19/100,IF(VLOOKUP(A106,tbMoveset!A2:B112,2,FALSE)="Blunt",Backdoors!AZ19/100,Backdoors!BA19/100)),"")</f>
        <v/>
      </c>
      <c r="DK106" s="49">
        <f>IFERROR(IF(VLOOKUP(tbMoveset!A106,tbMoveset!A2:H112,8,FALSE)="Other",IF(VLOOKUP(tbMoveset!A106,tbMoveset!A2:I112,9,FALSE)="Fire",Backdoors!BB19,IF(VLOOKUP(tbMoveset!A106,tbMoveset!A2:I112,9,FALSE)="Water",Backdoors!BC19,IF(VLOOKUP(tbMoveset!A106,tbMoveset!A2:I112,9,FALSE)="Thunder",Backdoors!BD19,IF(VLOOKUP(tbMoveset!A106,tbMoveset!A2:I112,9,FALSE)="Ice",Backdoors!BE19,IF(VLOOKUP(tbMoveset!A106,tbMoveset!A2:I112,9,FALSE)="Dragon",Backdoors!BF19,Backdoors!BG19)))))/100,Backdoors!BG19/100),"")</f>
        <v>0</v>
      </c>
      <c r="DL106" s="49">
        <f>IFERROR(IF(VLOOKUP(A106,tbMoveset!A2:J112,10,FALSE)=TRUE,IF((Backdoors!AI12+IF(DJ106&gt;=0.45,VLOOKUP(Calculator!E23,tbSkills!DH3:DI6,2,FALSE)+IF(AND(Calculator!B8=TRUE,Backdoors!BI19=TRUE),VLOOKUP(Calculator!E23,tbSkills!DH3:DJ6,3,FALSE),0),0))&gt;=0,1+(Backdoors!AL2*(IF((Backdoors!AI12+IF(DJ106&gt;=0.45,VLOOKUP(Calculator!E23,tbSkills!DH3:DI6,2,FALSE)+IF(AND(Calculator!B8=TRUE,Backdoors!BI19=TRUE),VLOOKUP(Calculator!E23,tbSkills!DH3:DJ6,3,FALSE),0),0))&gt;=100,100,(Backdoors!AI12+IF(DJ106&gt;=0.45,VLOOKUP(Calculator!E23,tbSkills!DH3:DI6,2,FALSE)+IF(AND(Calculator!B8=TRUE,Backdoors!BI19=TRUE),VLOOKUP(Calculator!E23,tbSkills!DH3:DJ6,3,FALSE),0),0)))/100)),(1-(0.25*((-Backdoors!AI12-IF(DJ106&gt;=0.45,VLOOKUP(Calculator!E23,tbSkills!DH3:DI6,2,FALSE)+IF(AND(Calculator!B8=TRUE,Backdoors!BI19=TRUE),VLOOKUP(Calculator!E23,tbSkills!DH3:DJ6,3,FALSE),0),0))/100)))),1),"")</f>
        <v>1</v>
      </c>
      <c r="DM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J106)*DL106)*(VLOOKUP(A106,tbMoveset!A2:C112,3,FALSE)/100)*IF(VLOOKUP(A106,tbMoveset!A2:B112,2,FALSE)="Projectile",Backdoors!N10,Backdoors!N9),0),"")</f>
        <v/>
      </c>
      <c r="DN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J106&gt;=0.45,VLOOKUP(Calculator!E23,tbSkills!DH3:DI6,2,FALSE)+IF(AND(Calculator!B8=TRUE,Backdoors!BI19=TRUE),VLOOKUP(Calculator!E23,tbSkills!DH3:DJ6,3,FALSE),0),0))&gt;=100,100,(Backdoors!AI12+IF(DJ106&gt;=0.45,VLOOKUP(Calculator!E23,tbSkills!DH3:DI6,2,FALSE)+IF(AND(Calculator!B8=TRUE,Backdoors!BI19=TRUE),VLOOKUP(Calculator!E23,tbSkills!DH3:DJ6,3,FALSE),0),0)))/100)),1))*IF(VLOOKUP(A106,tbMoveset!A2:K112,11,FALSE)=TRUE,Backdoors!AC5,1))*DK106,0),"")</f>
        <v>0</v>
      </c>
      <c r="DO106" s="49">
        <f>VLOOKUP(A106,tbMoveset!A2:G112,7,FALSE)*IFERROR(IF(Backdoors!AI12&gt;=0,1+(IF(Calculator!E40&gt;0,VLOOKUP(Calculator!E40,tbSkills!AI3:AJ5,2,FALSE),Backdoors!AL4)*(IF((Backdoors!AI12+IF(DJ106&gt;=0.45,VLOOKUP(Calculator!E23,tbSkills!DH3:DI6,2,FALSE)+IF(AND(Calculator!B8=TRUE,Backdoors!BI19=TRUE),VLOOKUP(Calculator!E23,tbSkills!DH3:DJ6,3,FALSE),0),0))&gt;=100,100,(Backdoors!AI12+IF(DJ106&gt;=0.45,VLOOKUP(Calculator!E23,tbSkills!DH3:DI6,2,FALSE)+IF(AND(Calculator!B8=TRUE,Backdoors!BI19=TRUE),VLOOKUP(Calculator!E23,tbSkills!DH3:DJ6,3,FALSE),0),0)))/100)),1),1)</f>
        <v>0.4</v>
      </c>
      <c r="DP106" s="87">
        <f t="shared" si="67"/>
        <v>0</v>
      </c>
      <c r="DQ106" s="86" t="str">
        <f>IFERROR(IF(VLOOKUP(A106,tbMoveset!A2:B112,2,FALSE)="Sever",Backdoors!AY20/100,IF(VLOOKUP(A106,tbMoveset!A2:B112,2,FALSE)="Blunt",Backdoors!AZ20/100,Backdoors!BA20/100)),"")</f>
        <v/>
      </c>
      <c r="DR106" s="49">
        <f>IFERROR(IF(VLOOKUP(tbMoveset!A106,tbMoveset!A2:H112,8,FALSE)="Other",IF(VLOOKUP(tbMoveset!A106,tbMoveset!A2:I112,9,FALSE)="Fire",Backdoors!BB20,IF(VLOOKUP(tbMoveset!A106,tbMoveset!A2:I112,9,FALSE)="Water",Backdoors!BC20,IF(VLOOKUP(tbMoveset!A106,tbMoveset!A2:I112,9,FALSE)="Thunder",Backdoors!BD20,IF(VLOOKUP(tbMoveset!A106,tbMoveset!A2:I112,9,FALSE)="Ice",Backdoors!BE20,IF(VLOOKUP(tbMoveset!A106,tbMoveset!A2:I112,9,FALSE)="Dragon",Backdoors!BF20,Backdoors!BG20)))))/100,Backdoors!BG20/100),"")</f>
        <v>0</v>
      </c>
      <c r="DS106" s="49">
        <f>IFERROR(IF(VLOOKUP(A106,tbMoveset!A2:J112,10,FALSE)=TRUE,IF((Backdoors!AI12+IF(DQ106&gt;=0.45,VLOOKUP(Calculator!E23,tbSkills!DH3:DI6,2,FALSE)+IF(AND(Calculator!B8=TRUE,Backdoors!BI20=TRUE),VLOOKUP(Calculator!E23,tbSkills!DH3:DJ6,3,FALSE),0),0))&gt;=0,1+(Backdoors!AL2*(IF((Backdoors!AI12+IF(DQ106&gt;=0.45,VLOOKUP(Calculator!E23,tbSkills!DH3:DI6,2,FALSE)+IF(AND(Calculator!B8=TRUE,Backdoors!BI20=TRUE),VLOOKUP(Calculator!E23,tbSkills!DH3:DJ6,3,FALSE),0),0))&gt;=100,100,(Backdoors!AI12+IF(DQ106&gt;=0.45,VLOOKUP(Calculator!E23,tbSkills!DH3:DI6,2,FALSE)+IF(AND(Calculator!B8=TRUE,Backdoors!BI20=TRUE),VLOOKUP(Calculator!E23,tbSkills!DH3:DJ6,3,FALSE),0),0)))/100)),(1-(0.25*((-Backdoors!AI12-IF(DQ106&gt;=0.45,VLOOKUP(Calculator!E23,tbSkills!DH3:DI6,2,FALSE)+IF(AND(Calculator!B8=TRUE,Backdoors!BI20=TRUE),VLOOKUP(Calculator!E23,tbSkills!DH3:DJ6,3,FALSE),0),0))/100)))),1),"")</f>
        <v>1</v>
      </c>
      <c r="DT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Q106)*DS106)*(VLOOKUP(A106,tbMoveset!A2:C112,3,FALSE)/100)*IF(VLOOKUP(A106,tbMoveset!A2:B112,2,FALSE)="Projectile",Backdoors!N10,Backdoors!N9),0),"")</f>
        <v/>
      </c>
      <c r="DU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Q106&gt;=0.45,VLOOKUP(Calculator!E23,tbSkills!DH3:DI6,2,FALSE)+IF(AND(Calculator!B8=TRUE,Backdoors!BI20=TRUE),VLOOKUP(Calculator!E23,tbSkills!DH3:DJ6,3,FALSE),0),0))&gt;=100,100,(Backdoors!AI12+IF(DQ106&gt;=0.45,VLOOKUP(Calculator!E23,tbSkills!DH3:DI6,2,FALSE)+IF(AND(Calculator!B8=TRUE,Backdoors!BI20=TRUE),VLOOKUP(Calculator!E23,tbSkills!DH3:DJ6,3,FALSE),0),0)))/100)),1))*IF(VLOOKUP(A106,tbMoveset!A2:K112,11,FALSE)=TRUE,Backdoors!AC5,1))*DR106,0),"")</f>
        <v>0</v>
      </c>
      <c r="DV106" s="49">
        <f>VLOOKUP(A106,tbMoveset!A2:G112,7,FALSE)*IFERROR(IF(Backdoors!AI12&gt;=0,1+(IF(Calculator!E40&gt;0,VLOOKUP(Calculator!E40,tbSkills!AI3:AJ5,2,FALSE),Backdoors!AL4)*(IF((Backdoors!AI12+IF(DQ106&gt;=0.45,VLOOKUP(Calculator!E23,tbSkills!DH3:DI6,2,FALSE)+IF(AND(Calculator!B8=TRUE,Backdoors!BI20=TRUE),VLOOKUP(Calculator!E23,tbSkills!DH3:DJ6,3,FALSE),0),0))&gt;=100,100,(Backdoors!AI12+IF(DQ106&gt;=0.45,VLOOKUP(Calculator!E23,tbSkills!DH3:DI6,2,FALSE)+IF(AND(Calculator!B8=TRUE,Backdoors!BI20=TRUE),VLOOKUP(Calculator!E23,tbSkills!DH3:DJ6,3,FALSE),0),0)))/100)),1),1)</f>
        <v>0.4</v>
      </c>
      <c r="DW106" s="87">
        <f t="shared" si="68"/>
        <v>0</v>
      </c>
      <c r="DX106" s="86" t="str">
        <f>IFERROR(IF(VLOOKUP(A106,tbMoveset!A2:B112,2,FALSE)="Sever",Backdoors!AY21/100,IF(VLOOKUP(A106,tbMoveset!A2:B112,2,FALSE)="Blunt",Backdoors!AZ21/100,Backdoors!BA21/100)),"")</f>
        <v/>
      </c>
      <c r="DY106" s="49">
        <f>IFERROR(IF(VLOOKUP(tbMoveset!A106,tbMoveset!A2:H112,8,FALSE)="Other",IF(VLOOKUP(tbMoveset!A106,tbMoveset!A2:I112,9,FALSE)="Fire",Backdoors!BB21,IF(VLOOKUP(tbMoveset!A106,tbMoveset!A2:I112,9,FALSE)="Water",Backdoors!BC21,IF(VLOOKUP(tbMoveset!A106,tbMoveset!A2:I112,9,FALSE)="Thunder",Backdoors!BD21,IF(VLOOKUP(tbMoveset!A106,tbMoveset!A2:I112,9,FALSE)="Ice",Backdoors!BE21,IF(VLOOKUP(tbMoveset!A106,tbMoveset!A2:I112,9,FALSE)="Dragon",Backdoors!BF21,Backdoors!BG21)))))/100,Backdoors!BG21/100),"")</f>
        <v>0</v>
      </c>
      <c r="DZ106" s="49">
        <f>IFERROR(IF(VLOOKUP(A106,tbMoveset!A2:J112,10,FALSE)=TRUE,IF((Backdoors!AI12+IF(DX106&gt;=0.45,VLOOKUP(Calculator!E23,tbSkills!DH3:DI6,2,FALSE)+IF(AND(Calculator!B8=TRUE,Backdoors!BI21=TRUE),VLOOKUP(Calculator!E23,tbSkills!DH3:DJ6,3,FALSE),0),0))&gt;=0,1+(Backdoors!AL2*(IF((Backdoors!AI12+IF(DX106&gt;=0.45,VLOOKUP(Calculator!E23,tbSkills!DH3:DI6,2,FALSE)+IF(AND(Calculator!B8=TRUE,Backdoors!BI21=TRUE),VLOOKUP(Calculator!E23,tbSkills!DH3:DJ6,3,FALSE),0),0))&gt;=100,100,(Backdoors!AI12+IF(DX106&gt;=0.45,VLOOKUP(Calculator!E23,tbSkills!DH3:DI6,2,FALSE)+IF(AND(Calculator!B8=TRUE,Backdoors!BI21=TRUE),VLOOKUP(Calculator!E23,tbSkills!DH3:DJ6,3,FALSE),0),0)))/100)),(1-(0.25*((-Backdoors!AI12-IF(DX106&gt;=0.45,VLOOKUP(Calculator!E23,tbSkills!DH3:DI6,2,FALSE)+IF(AND(Calculator!B8=TRUE,Backdoors!BI21=TRUE),VLOOKUP(Calculator!E23,tbSkills!DH3:DJ6,3,FALSE),0),0))/100)))),1),"")</f>
        <v>1</v>
      </c>
      <c r="EA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X106)*DZ106)*(VLOOKUP(A106,tbMoveset!A2:C112,3,FALSE)/100)*IF(VLOOKUP(A106,tbMoveset!A2:B112,2,FALSE)="Projectile",Backdoors!N10,Backdoors!N9),0),"")</f>
        <v/>
      </c>
      <c r="EB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X106&gt;=0.45,VLOOKUP(Calculator!E23,tbSkills!DH3:DI6,2,FALSE)+IF(AND(Calculator!B8=TRUE,Backdoors!BI21=TRUE),VLOOKUP(Calculator!E23,tbSkills!DH3:DJ6,3,FALSE),0),0))&gt;=100,100,(Backdoors!AI12+IF(DX106&gt;=0.45,VLOOKUP(Calculator!E23,tbSkills!DH3:DI6,2,FALSE)+IF(AND(Calculator!B8=TRUE,Backdoors!BI21=TRUE),VLOOKUP(Calculator!E23,tbSkills!DH3:DJ6,3,FALSE),0),0)))/100)),1))*IF(VLOOKUP(A106,tbMoveset!A2:K112,11,FALSE)=TRUE,Backdoors!AC5,1))*DY106,0),"")</f>
        <v>0</v>
      </c>
      <c r="EC106" s="49">
        <f>VLOOKUP(A106,tbMoveset!A2:G112,7,FALSE)*IFERROR(IF(Backdoors!AI12&gt;=0,1+(IF(Calculator!E40&gt;0,VLOOKUP(Calculator!E40,tbSkills!AI3:AJ5,2,FALSE),Backdoors!AL4)*(IF((Backdoors!AI12+IF(DX106&gt;=0.45,VLOOKUP(Calculator!E23,tbSkills!DH3:DI6,2,FALSE)+IF(AND(Calculator!B8=TRUE,Backdoors!BI21=TRUE),VLOOKUP(Calculator!E23,tbSkills!DH3:DJ6,3,FALSE),0),0))&gt;=100,100,(Backdoors!AI12+IF(DX106&gt;=0.45,VLOOKUP(Calculator!E23,tbSkills!DH3:DI6,2,FALSE)+IF(AND(Calculator!B8=TRUE,Backdoors!BI21=TRUE),VLOOKUP(Calculator!E23,tbSkills!DH3:DJ6,3,FALSE),0),0)))/100)),1),1)</f>
        <v>0.4</v>
      </c>
      <c r="ED106" s="87">
        <f t="shared" si="69"/>
        <v>0</v>
      </c>
      <c r="EE106" s="86" t="str">
        <f>IFERROR(IF(VLOOKUP(A106,tbMoveset!A2:B112,2,FALSE)="Sever",Backdoors!AY22/100,IF(VLOOKUP(A106,tbMoveset!A2:B112,2,FALSE)="Blunt",Backdoors!AZ22/100,Backdoors!BA22/100)),"")</f>
        <v/>
      </c>
      <c r="EF106" s="49">
        <f>IFERROR(IF(VLOOKUP(tbMoveset!A106,tbMoveset!A2:H112,8,FALSE)="Other",IF(VLOOKUP(tbMoveset!A106,tbMoveset!A2:I112,9,FALSE)="Fire",Backdoors!BB22,IF(VLOOKUP(tbMoveset!A106,tbMoveset!A2:I112,9,FALSE)="Water",Backdoors!BC22,IF(VLOOKUP(tbMoveset!A106,tbMoveset!A2:I112,9,FALSE)="Thunder",Backdoors!BD22,IF(VLOOKUP(tbMoveset!A106,tbMoveset!A2:I112,9,FALSE)="Ice",Backdoors!BE22,IF(VLOOKUP(tbMoveset!A106,tbMoveset!A2:I112,9,FALSE)="Dragon",Backdoors!BF22,Backdoors!BG22)))))/100,Backdoors!BG22/100),"")</f>
        <v>0</v>
      </c>
      <c r="EG106" s="49">
        <f>IFERROR(IF(VLOOKUP(A106,tbMoveset!A2:J112,10,FALSE)=TRUE,IF((Backdoors!AI12+IF(EE106&gt;=0.45,VLOOKUP(Calculator!E23,tbSkills!DH3:DI6,2,FALSE)+IF(AND(Calculator!B8=TRUE,Backdoors!BI22=TRUE),VLOOKUP(Calculator!E23,tbSkills!DH3:DJ6,3,FALSE),0),0))&gt;=0,1+(Backdoors!AL2*(IF((Backdoors!AI12+IF(EE106&gt;=0.45,VLOOKUP(Calculator!E23,tbSkills!DH3:DI6,2,FALSE)+IF(AND(Calculator!B8=TRUE,Backdoors!BI22=TRUE),VLOOKUP(Calculator!E23,tbSkills!DH3:DJ6,3,FALSE),0),0))&gt;=100,100,(Backdoors!AI12+IF(EE106&gt;=0.45,VLOOKUP(Calculator!E23,tbSkills!DH3:DI6,2,FALSE)+IF(AND(Calculator!B8=TRUE,Backdoors!BI22=TRUE),VLOOKUP(Calculator!E23,tbSkills!DH3:DJ6,3,FALSE),0),0)))/100)),(1-(0.25*((-Backdoors!AI12-IF(EE106&gt;=0.45,VLOOKUP(Calculator!E23,tbSkills!DH3:DI6,2,FALSE)+IF(AND(Calculator!B8=TRUE,Backdoors!BI22=TRUE),VLOOKUP(Calculator!E23,tbSkills!DH3:DJ6,3,FALSE),0),0))/100)))),1),"")</f>
        <v>1</v>
      </c>
      <c r="EH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E106)*EG106)*(VLOOKUP(A106,tbMoveset!A2:C112,3,FALSE)/100)*IF(VLOOKUP(A106,tbMoveset!A2:B112,2,FALSE)="Projectile",Backdoors!N10,Backdoors!N9),0),"")</f>
        <v/>
      </c>
      <c r="EI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E106&gt;=0.45,VLOOKUP(Calculator!E23,tbSkills!DH3:DI6,2,FALSE)+IF(AND(Calculator!B8=TRUE,Backdoors!BI22=TRUE),VLOOKUP(Calculator!E23,tbSkills!DH3:DJ6,3,FALSE),0),0))&gt;=100,100,(Backdoors!AI12+IF(EE106&gt;=0.45,VLOOKUP(Calculator!E23,tbSkills!DH3:DI6,2,FALSE)+IF(AND(Calculator!B8=TRUE,Backdoors!BI22=TRUE),VLOOKUP(Calculator!E23,tbSkills!DH3:DJ6,3,FALSE),0),0)))/100)),1))*IF(VLOOKUP(A106,tbMoveset!A2:K112,11,FALSE)=TRUE,Backdoors!AC5,1))*EF106,0),"")</f>
        <v>0</v>
      </c>
      <c r="EJ106" s="49">
        <f>VLOOKUP(A106,tbMoveset!A2:G112,7,FALSE)*IFERROR(IF(Backdoors!AI12&gt;=0,1+(IF(Calculator!E40&gt;0,VLOOKUP(Calculator!E40,tbSkills!AI3:AJ5,2,FALSE),Backdoors!AL4)*(IF((Backdoors!AI12+IF(EE106&gt;=0.45,VLOOKUP(Calculator!E23,tbSkills!DH3:DI6,2,FALSE)+IF(AND(Calculator!B8=TRUE,Backdoors!BI22=TRUE),VLOOKUP(Calculator!E23,tbSkills!DH3:DJ6,3,FALSE),0),0))&gt;=100,100,(Backdoors!AI12+IF(EE106&gt;=0.45,VLOOKUP(Calculator!E23,tbSkills!DH3:DI6,2,FALSE)+IF(AND(Calculator!B8=TRUE,Backdoors!BI22=TRUE),VLOOKUP(Calculator!E23,tbSkills!DH3:DJ6,3,FALSE),0),0)))/100)),1),1)</f>
        <v>0.4</v>
      </c>
      <c r="EK106" s="87">
        <f t="shared" si="70"/>
        <v>0</v>
      </c>
      <c r="EL106" s="86" t="str">
        <f>IFERROR(IF(VLOOKUP(A106,tbMoveset!A2:B112,2,FALSE)="Sever",Backdoors!AY23/100,IF(VLOOKUP(A106,tbMoveset!A2:B112,2,FALSE)="Blunt",Backdoors!AZ23/100,Backdoors!BA23/100)),"")</f>
        <v/>
      </c>
      <c r="EM106" s="49">
        <f>IFERROR(IF(VLOOKUP(tbMoveset!A106,tbMoveset!A2:H112,8,FALSE)="Other",IF(VLOOKUP(tbMoveset!A106,tbMoveset!A2:I112,9,FALSE)="Fire",Backdoors!BB23,IF(VLOOKUP(tbMoveset!A106,tbMoveset!A2:I112,9,FALSE)="Water",Backdoors!BC23,IF(VLOOKUP(tbMoveset!A106,tbMoveset!A2:I112,9,FALSE)="Thunder",Backdoors!BD23,IF(VLOOKUP(tbMoveset!A106,tbMoveset!A2:I112,9,FALSE)="Ice",Backdoors!BE23,IF(VLOOKUP(tbMoveset!A106,tbMoveset!A2:I112,9,FALSE)="Dragon",Backdoors!BF23,Backdoors!BG23)))))/100,Backdoors!BG23/100),"")</f>
        <v>0</v>
      </c>
      <c r="EN106" s="49">
        <f>IFERROR(IF(VLOOKUP(A106,tbMoveset!A2:J112,10,FALSE)=TRUE,IF((Backdoors!AI12+IF(EL106&gt;=0.45,VLOOKUP(Calculator!E23,tbSkills!DH3:DI6,2,FALSE)+IF(AND(Calculator!B8=TRUE,Backdoors!BI23=TRUE),VLOOKUP(Calculator!E23,tbSkills!DH3:DJ6,3,FALSE),0),0))&gt;=0,1+(Backdoors!AL2*(IF((Backdoors!AI12+IF(EL106&gt;=0.45,VLOOKUP(Calculator!E23,tbSkills!DH3:DI6,2,FALSE)+IF(AND(Calculator!B8=TRUE,Backdoors!BI23=TRUE),VLOOKUP(Calculator!E23,tbSkills!DH3:DJ6,3,FALSE),0),0))&gt;=100,100,(Backdoors!AI12+IF(EL106&gt;=0.45,VLOOKUP(Calculator!E23,tbSkills!DH3:DI6,2,FALSE)+IF(AND(Calculator!B8=TRUE,Backdoors!BI23=TRUE),VLOOKUP(Calculator!E23,tbSkills!DH3:DJ6,3,FALSE),0),0)))/100)),(1-(0.25*((-Backdoors!AI12-IF(EL106&gt;=0.45,VLOOKUP(Calculator!E23,tbSkills!DH3:DI6,2,FALSE)+IF(AND(Calculator!B8=TRUE,Backdoors!BI23=TRUE),VLOOKUP(Calculator!E23,tbSkills!DH3:DJ6,3,FALSE),0),0))/100)))),1),"")</f>
        <v>1</v>
      </c>
      <c r="EO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L106)*EN106)*(VLOOKUP(A106,tbMoveset!A2:C112,3,FALSE)/100)*IF(VLOOKUP(A106,tbMoveset!A2:B112,2,FALSE)="Projectile",Backdoors!N10,Backdoors!N9),0),"")</f>
        <v/>
      </c>
      <c r="EP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L106&gt;=0.45,VLOOKUP(Calculator!E23,tbSkills!DH3:DI6,2,FALSE)+IF(AND(Calculator!B8=TRUE,Backdoors!BI23=TRUE),VLOOKUP(Calculator!E23,tbSkills!DH3:DJ6,3,FALSE),0),0))&gt;=100,100,(Backdoors!AI12+IF(EL106&gt;=0.45,VLOOKUP(Calculator!E23,tbSkills!DH3:DI6,2,FALSE)+IF(AND(Calculator!B8=TRUE,Backdoors!BI23=TRUE),VLOOKUP(Calculator!E23,tbSkills!DH3:DJ6,3,FALSE),0),0)))/100)),1))*IF(VLOOKUP(A106,tbMoveset!A2:K112,11,FALSE)=TRUE,Backdoors!AC5,1))*EM106,0),"")</f>
        <v>0</v>
      </c>
      <c r="EQ106" s="49">
        <f>VLOOKUP(A106,tbMoveset!A2:G112,7,FALSE)*IFERROR(IF(Backdoors!AI12&gt;=0,1+(IF(Calculator!E40&gt;0,VLOOKUP(Calculator!E40,tbSkills!AI3:AJ5,2,FALSE),Backdoors!AL4)*(IF((Backdoors!AI12+IF(EL106&gt;=0.45,VLOOKUP(Calculator!E23,tbSkills!DH3:DI6,2,FALSE)+IF(AND(Calculator!B8=TRUE,Backdoors!BI23=TRUE),VLOOKUP(Calculator!E23,tbSkills!DH3:DJ6,3,FALSE),0),0))&gt;=100,100,(Backdoors!AI12+IF(EL106&gt;=0.45,VLOOKUP(Calculator!E23,tbSkills!DH3:DI6,2,FALSE)+IF(AND(Calculator!B8=TRUE,Backdoors!BI23=TRUE),VLOOKUP(Calculator!E23,tbSkills!DH3:DJ6,3,FALSE),0),0)))/100)),1),1)</f>
        <v>0.4</v>
      </c>
      <c r="ER106" s="87">
        <f t="shared" si="71"/>
        <v>0</v>
      </c>
      <c r="ES106" s="86" t="str">
        <f>IFERROR(IF(VLOOKUP(A106,tbMoveset!A2:B112,2,FALSE)="Sever",Backdoors!AY24/100,IF(VLOOKUP(A106,tbMoveset!A2:B112,2,FALSE)="Blunt",Backdoors!AZ24/100,Backdoors!BA24/100)),"")</f>
        <v/>
      </c>
      <c r="ET106" s="49">
        <f>IFERROR(IF(VLOOKUP(tbMoveset!A106,tbMoveset!A2:H112,8,FALSE)="Other",IF(VLOOKUP(tbMoveset!A106,tbMoveset!A2:I112,9,FALSE)="Fire",Backdoors!BB24,IF(VLOOKUP(tbMoveset!A106,tbMoveset!A2:I112,9,FALSE)="Water",Backdoors!BC24,IF(VLOOKUP(tbMoveset!A106,tbMoveset!A2:I112,9,FALSE)="Thunder",Backdoors!BD24,IF(VLOOKUP(tbMoveset!A106,tbMoveset!A2:I112,9,FALSE)="Ice",Backdoors!BE24,IF(VLOOKUP(tbMoveset!A106,tbMoveset!A2:I112,9,FALSE)="Dragon",Backdoors!BF24,Backdoors!BG24)))))/100,Backdoors!BG24/100),"")</f>
        <v>0</v>
      </c>
      <c r="EU106" s="49">
        <f>IFERROR(IF(VLOOKUP(A106,tbMoveset!A2:J112,10,FALSE)=TRUE,IF((Backdoors!AI12+IF(ES106&gt;=0.45,VLOOKUP(Calculator!E23,tbSkills!DH3:DI6,2,FALSE)+IF(AND(Calculator!B8=TRUE,Backdoors!BI24=TRUE),VLOOKUP(Calculator!E23,tbSkills!DH3:DJ6,3,FALSE),0),0))&gt;=0,1+(Backdoors!AL2*(IF((Backdoors!AI12+IF(ES106&gt;=0.45,VLOOKUP(Calculator!E23,tbSkills!DH3:DI6,2,FALSE)+IF(AND(Calculator!B8=TRUE,Backdoors!BI24=TRUE),VLOOKUP(Calculator!E23,tbSkills!DH3:DJ6,3,FALSE),0),0))&gt;=100,100,(Backdoors!AI12+IF(ES106&gt;=0.45,VLOOKUP(Calculator!E23,tbSkills!DH3:DI6,2,FALSE)+IF(AND(Calculator!B8=TRUE,Backdoors!BI24=TRUE),VLOOKUP(Calculator!E23,tbSkills!DH3:DJ6,3,FALSE),0),0)))/100)),(1-(0.25*((-Backdoors!AI12-IF(ES106&gt;=0.45,VLOOKUP(Calculator!E23,tbSkills!DH3:DI6,2,FALSE)+IF(AND(Calculator!B8=TRUE,Backdoors!BI24=TRUE),VLOOKUP(Calculator!E23,tbSkills!DH3:DJ6,3,FALSE),0),0))/100)))),1),"")</f>
        <v>1</v>
      </c>
      <c r="EV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S106)*EU106)*(VLOOKUP(A106,tbMoveset!A2:C112,3,FALSE)/100)*IF(VLOOKUP(A106,tbMoveset!A2:B112,2,FALSE)="Projectile",Backdoors!N10,Backdoors!N9),0),"")</f>
        <v/>
      </c>
      <c r="EW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S106&gt;=0.45,VLOOKUP(Calculator!E23,tbSkills!DH3:DI6,2,FALSE)+IF(AND(Calculator!B8=TRUE,Backdoors!BI24=TRUE),VLOOKUP(Calculator!E23,tbSkills!DH3:DJ6,3,FALSE),0),0))&gt;=100,100,(Backdoors!AI12+IF(ES106&gt;=0.45,VLOOKUP(Calculator!E23,tbSkills!DH3:DI6,2,FALSE)+IF(AND(Calculator!B8=TRUE,Backdoors!BI24=TRUE),VLOOKUP(Calculator!E23,tbSkills!DH3:DJ6,3,FALSE),0),0)))/100)),1))*IF(VLOOKUP(A106,tbMoveset!A2:K112,11,FALSE)=TRUE,Backdoors!AC5,1))*ET106,0),"")</f>
        <v>0</v>
      </c>
      <c r="EX106" s="49">
        <f>VLOOKUP(A106,tbMoveset!A2:G112,7,FALSE)*IFERROR(IF(Backdoors!AI12&gt;=0,1+(IF(Calculator!E40&gt;0,VLOOKUP(Calculator!E40,tbSkills!AI3:AJ5,2,FALSE),Backdoors!AL4)*(IF((Backdoors!AI12+IF(ES106&gt;=0.45,VLOOKUP(Calculator!E23,tbSkills!DH3:DI6,2,FALSE)+IF(AND(Calculator!B8=TRUE,Backdoors!BI24=TRUE),VLOOKUP(Calculator!E23,tbSkills!DH3:DJ6,3,FALSE),0),0))&gt;=100,100,(Backdoors!AI12+IF(ES106&gt;=0.45,VLOOKUP(Calculator!E23,tbSkills!DH3:DI6,2,FALSE)+IF(AND(Calculator!B8=TRUE,Backdoors!BI24=TRUE),VLOOKUP(Calculator!E23,tbSkills!DH3:DJ6,3,FALSE),0),0)))/100)),1),1)</f>
        <v>0.4</v>
      </c>
      <c r="EY106" s="87">
        <f t="shared" si="72"/>
        <v>0</v>
      </c>
      <c r="EZ106" s="86" t="str">
        <f>IFERROR(IF(VLOOKUP(A106,tbMoveset!A2:B112,2,FALSE)="Sever",Backdoors!AY25/100,IF(VLOOKUP(A106,tbMoveset!A2:B112,2,FALSE)="Blunt",Backdoors!AZ25/100,Backdoors!BA25/100)),"")</f>
        <v/>
      </c>
      <c r="FA106" s="49">
        <f>IFERROR(IF(VLOOKUP(tbMoveset!A106,tbMoveset!A2:H112,8,FALSE)="Other",IF(VLOOKUP(tbMoveset!A106,tbMoveset!A2:I112,9,FALSE)="Fire",Backdoors!BB25,IF(VLOOKUP(tbMoveset!A106,tbMoveset!A2:I112,9,FALSE)="Water",Backdoors!BC25,IF(VLOOKUP(tbMoveset!A106,tbMoveset!A2:I112,9,FALSE)="Thunder",Backdoors!BD25,IF(VLOOKUP(tbMoveset!A106,tbMoveset!A2:I112,9,FALSE)="Ice",Backdoors!BE25,IF(VLOOKUP(tbMoveset!A106,tbMoveset!A2:I112,9,FALSE)="Dragon",Backdoors!BF25,Backdoors!BG25)))))/100,Backdoors!BG25/100),"")</f>
        <v>0</v>
      </c>
      <c r="FB106" s="49">
        <f>IFERROR(IF(VLOOKUP(A106,tbMoveset!A2:J112,10,FALSE)=TRUE,IF((Backdoors!AI12+IF(EZ106&gt;=0.45,VLOOKUP(Calculator!E23,tbSkills!DH3:DI6,2,FALSE)+IF(AND(Calculator!B8=TRUE,Backdoors!BI25=TRUE),VLOOKUP(Calculator!E23,tbSkills!DH3:DJ6,3,FALSE),0),0))&gt;=0,1+(Backdoors!AL2*(IF((Backdoors!AI12+IF(EZ106&gt;=0.45,VLOOKUP(Calculator!E23,tbSkills!DH3:DI6,2,FALSE)+IF(AND(Calculator!B8=TRUE,Backdoors!BI25=TRUE),VLOOKUP(Calculator!E23,tbSkills!DH3:DJ6,3,FALSE),0),0))&gt;=100,100,(Backdoors!AI12+IF(EZ106&gt;=0.45,VLOOKUP(Calculator!E23,tbSkills!DH3:DI6,2,FALSE)+IF(AND(Calculator!B8=TRUE,Backdoors!BI25=TRUE),VLOOKUP(Calculator!E23,tbSkills!DH3:DJ6,3,FALSE),0),0)))/100)),(1-(0.25*((-Backdoors!AI12-IF(EZ106&gt;=0.45,VLOOKUP(Calculator!E23,tbSkills!DH3:DI6,2,FALSE)+IF(AND(Calculator!B8=TRUE,Backdoors!BI25=TRUE),VLOOKUP(Calculator!E23,tbSkills!DH3:DJ6,3,FALSE),0),0))/100)))),1),"")</f>
        <v>1</v>
      </c>
      <c r="FC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Z106)*FB106)*(VLOOKUP(A106,tbMoveset!A2:C112,3,FALSE)/100)*IF(VLOOKUP(A106,tbMoveset!A2:B112,2,FALSE)="Projectile",Backdoors!N10,Backdoors!N9),0),"")</f>
        <v/>
      </c>
      <c r="FD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Z106&gt;=0.45,VLOOKUP(Calculator!E23,tbSkills!DH3:DI6,2,FALSE)+IF(AND(Calculator!B8=TRUE,Backdoors!BI25=TRUE),VLOOKUP(Calculator!E23,tbSkills!DH3:DJ6,3,FALSE),0),0))&gt;=100,100,(Backdoors!AI12+IF(EZ106&gt;=0.45,VLOOKUP(Calculator!E23,tbSkills!DH3:DI6,2,FALSE)+IF(AND(Calculator!B8=TRUE,Backdoors!BI25=TRUE),VLOOKUP(Calculator!E23,tbSkills!DH3:DJ6,3,FALSE),0),0)))/100)),1))*IF(VLOOKUP(A106,tbMoveset!A2:K112,11,FALSE)=TRUE,Backdoors!AC5,1))*FA106,0),"")</f>
        <v>0</v>
      </c>
      <c r="FE106" s="49">
        <f>VLOOKUP(A106,tbMoveset!A2:G112,7,FALSE)*IFERROR(IF(Backdoors!AI12&gt;=0,1+(IF(Calculator!E40&gt;0,VLOOKUP(Calculator!E40,tbSkills!AI3:AJ5,2,FALSE),Backdoors!AL4)*(IF((Backdoors!AI12+IF(EZ106&gt;=0.45,VLOOKUP(Calculator!E23,tbSkills!DH3:DI6,2,FALSE)+IF(AND(Calculator!B8=TRUE,Backdoors!BI25=TRUE),VLOOKUP(Calculator!E23,tbSkills!DH3:DJ6,3,FALSE),0),0))&gt;=100,100,(Backdoors!AI12+IF(EZ106&gt;=0.45,VLOOKUP(Calculator!E23,tbSkills!DH3:DI6,2,FALSE)+IF(AND(Calculator!B8=TRUE,Backdoors!BI25=TRUE),VLOOKUP(Calculator!E23,tbSkills!DH3:DJ6,3,FALSE),0),0)))/100)),1),1)</f>
        <v>0.4</v>
      </c>
      <c r="FF106" s="87">
        <f t="shared" si="73"/>
        <v>0</v>
      </c>
      <c r="FG106" s="86" t="str">
        <f>IFERROR(IF(VLOOKUP(A106,tbMoveset!A2:B112,2,FALSE)="Sever",Backdoors!AY26/100,IF(VLOOKUP(A106,tbMoveset!A2:B112,2,FALSE)="Blunt",Backdoors!AZ26/100,Backdoors!BA26/100)),"")</f>
        <v/>
      </c>
      <c r="FH106" s="49">
        <f>IFERROR(IF(VLOOKUP(tbMoveset!A106,tbMoveset!A2:H112,8,FALSE)="Other",IF(VLOOKUP(tbMoveset!A106,tbMoveset!A2:I112,9,FALSE)="Fire",Backdoors!BB26,IF(VLOOKUP(tbMoveset!A106,tbMoveset!A2:I112,9,FALSE)="Water",Backdoors!BC26,IF(VLOOKUP(tbMoveset!A106,tbMoveset!A2:I112,9,FALSE)="Thunder",Backdoors!BD26,IF(VLOOKUP(tbMoveset!A106,tbMoveset!A2:I112,9,FALSE)="Ice",Backdoors!BE26,IF(VLOOKUP(tbMoveset!A106,tbMoveset!A2:I112,9,FALSE)="Dragon",Backdoors!BF26,Backdoors!BG26)))))/100,Backdoors!BG26/100),"")</f>
        <v>0</v>
      </c>
      <c r="FI106" s="49">
        <f>IFERROR(IF(VLOOKUP(A106,tbMoveset!A2:J112,10,FALSE)=TRUE,IF((Backdoors!AI12+IF(FG106&gt;=0.45,VLOOKUP(Calculator!E23,tbSkills!DH3:DI6,2,FALSE)+IF(AND(Calculator!B8=TRUE,Backdoors!BI26=TRUE),VLOOKUP(Calculator!E23,tbSkills!DH3:DJ6,3,FALSE),0),0))&gt;=0,1+(Backdoors!AL2*(IF((Backdoors!AI12+IF(FG106&gt;=0.45,VLOOKUP(Calculator!E23,tbSkills!DH3:DI6,2,FALSE)+IF(AND(Calculator!B8=TRUE,Backdoors!BI26=TRUE),VLOOKUP(Calculator!E23,tbSkills!DH3:DJ6,3,FALSE),0),0))&gt;=100,100,(Backdoors!AI12+IF(FG106&gt;=0.45,VLOOKUP(Calculator!E23,tbSkills!DH3:DI6,2,FALSE)+IF(AND(Calculator!B8=TRUE,Backdoors!BI26=TRUE),VLOOKUP(Calculator!E23,tbSkills!DH3:DJ6,3,FALSE),0),0)))/100)),(1-(0.25*((-Backdoors!AI12-IF(FG106&gt;=0.45,VLOOKUP(Calculator!E23,tbSkills!DH3:DI6,2,FALSE)+IF(AND(Calculator!B8=TRUE,Backdoors!BI26=TRUE),VLOOKUP(Calculator!E23,tbSkills!DH3:DJ6,3,FALSE),0),0))/100)))),1),"")</f>
        <v>1</v>
      </c>
      <c r="FJ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FG106)*FI106)*(VLOOKUP(A106,tbMoveset!A2:C112,3,FALSE)/100)*IF(VLOOKUP(A106,tbMoveset!A2:B112,2,FALSE)="Projectile",Backdoors!N10,Backdoors!N9),0),"")</f>
        <v/>
      </c>
      <c r="FK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FG106&gt;=0.45,VLOOKUP(Calculator!E23,tbSkills!DH3:DI6,2,FALSE)+IF(AND(Calculator!B8=TRUE,Backdoors!BI26=TRUE),VLOOKUP(Calculator!E23,tbSkills!DH3:DJ6,3,FALSE),0),0))&gt;=100,100,(Backdoors!AI12+IF(FG106&gt;=0.45,VLOOKUP(Calculator!E23,tbSkills!DH3:DI6,2,FALSE)+IF(AND(Calculator!B8=TRUE,Backdoors!BI26=TRUE),VLOOKUP(Calculator!E23,tbSkills!DH3:DJ6,3,FALSE),0),0)))/100)),1))*IF(VLOOKUP(A106,tbMoveset!A2:K112,11,FALSE)=TRUE,Backdoors!AC5,1))*FH106,0),"")</f>
        <v>0</v>
      </c>
      <c r="FL106" s="49">
        <f>VLOOKUP(A106,tbMoveset!A2:G112,7,FALSE)*IFERROR(IF(Backdoors!AI12&gt;=0,1+(IF(Calculator!E40&gt;0,VLOOKUP(Calculator!E40,tbSkills!AI3:AJ5,2,FALSE),Backdoors!AL4)*(IF((Backdoors!AI12+IF(FG106&gt;=0.45,VLOOKUP(Calculator!E23,tbSkills!DH3:DI6,2,FALSE)+IF(AND(Calculator!B8=TRUE,Backdoors!BI26=TRUE),VLOOKUP(Calculator!E23,tbSkills!DH3:DJ6,3,FALSE),0),0))&gt;=100,100,(Backdoors!AI12+IF(FG106&gt;=0.45,VLOOKUP(Calculator!E23,tbSkills!DH3:DI6,2,FALSE)+IF(AND(Calculator!B8=TRUE,Backdoors!BI26=TRUE),VLOOKUP(Calculator!E23,tbSkills!DH3:DJ6,3,FALSE),0),0)))/100)),1),1)</f>
        <v>0.4</v>
      </c>
      <c r="FM106" s="87">
        <f t="shared" si="74"/>
        <v>0</v>
      </c>
      <c r="FN106" s="86" t="str">
        <f>IFERROR(IF(VLOOKUP(A106,tbMoveset!A2:B112,2,FALSE)="Sever",Backdoors!AY27/100,IF(VLOOKUP(A106,tbMoveset!A2:B112,2,FALSE)="Blunt",Backdoors!AZ27/100,Backdoors!BA27/100)),"")</f>
        <v/>
      </c>
      <c r="FO106" s="49">
        <f>IFERROR(IF(VLOOKUP(tbMoveset!A106,tbMoveset!A2:H112,8,FALSE)="Other",IF(VLOOKUP(tbMoveset!A106,tbMoveset!A2:I112,9,FALSE)="Fire",Backdoors!BB27,IF(VLOOKUP(tbMoveset!A106,tbMoveset!A2:I112,9,FALSE)="Water",Backdoors!BC27,IF(VLOOKUP(tbMoveset!A106,tbMoveset!A2:I112,9,FALSE)="Thunder",Backdoors!BD27,IF(VLOOKUP(tbMoveset!A106,tbMoveset!A2:I112,9,FALSE)="Ice",Backdoors!BE27,IF(VLOOKUP(tbMoveset!A106,tbMoveset!A2:I112,9,FALSE)="Dragon",Backdoors!BF27,Backdoors!BG27)))))/100,Backdoors!BG27/100),"")</f>
        <v>0</v>
      </c>
      <c r="FP106" s="49">
        <f>IFERROR(IF(VLOOKUP(A106,tbMoveset!A2:J112,10,FALSE)=TRUE,IF((Backdoors!AI12+IF(FN106&gt;=0.45,VLOOKUP(Calculator!E23,tbSkills!DH3:DI6,2,FALSE)+IF(AND(Calculator!B8=TRUE,Backdoors!BI27=TRUE),VLOOKUP(Calculator!E23,tbSkills!DH3:DJ6,3,FALSE),0),0))&gt;=0,1+(Backdoors!AL2*(IF((Backdoors!AI12+IF(FN106&gt;=0.45,VLOOKUP(Calculator!E23,tbSkills!DH3:DI6,2,FALSE)+IF(AND(Calculator!B8=TRUE,Backdoors!BI27=TRUE),VLOOKUP(Calculator!E23,tbSkills!DH3:DJ6,3,FALSE),0),0))&gt;=100,100,(Backdoors!AI12+IF(FN106&gt;=0.45,VLOOKUP(Calculator!E23,tbSkills!DH3:DI6,2,FALSE)+IF(AND(Calculator!B8=TRUE,Backdoors!BI27=TRUE),VLOOKUP(Calculator!E23,tbSkills!DH3:DJ6,3,FALSE),0),0)))/100)),(1-(0.25*((-Backdoors!AI12-IF(FN106&gt;=0.45,VLOOKUP(Calculator!E23,tbSkills!DH3:DI6,2,FALSE)+IF(AND(Calculator!B8=TRUE,Backdoors!BI27=TRUE),VLOOKUP(Calculator!E23,tbSkills!DH3:DJ6,3,FALSE),0),0))/100)))),1),"")</f>
        <v>1</v>
      </c>
      <c r="FQ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FN106)*FP106)*(VLOOKUP(A106,tbMoveset!A2:C112,3,FALSE)/100)*IF(VLOOKUP(A106,tbMoveset!A2:B112,2,FALSE)="Projectile",Backdoors!N10,Backdoors!N9),0),"")</f>
        <v/>
      </c>
      <c r="FR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FN106&gt;=0.45,VLOOKUP(Calculator!E23,tbSkills!DH3:DI6,2,FALSE)+IF(AND(Calculator!B8=TRUE,Backdoors!BI27=TRUE),VLOOKUP(Calculator!E23,tbSkills!DH3:DJ6,3,FALSE),0),0))&gt;=100,100,(Backdoors!AI12+IF(FN106&gt;=0.45,VLOOKUP(Calculator!E23,tbSkills!DH3:DI6,2,FALSE)+IF(AND(Calculator!B8=TRUE,Backdoors!BI27=TRUE),VLOOKUP(Calculator!E23,tbSkills!DH3:DJ6,3,FALSE),0),0)))/100)),1))*IF(VLOOKUP(A106,tbMoveset!A2:K112,11,FALSE)=TRUE,Backdoors!AC5,1))*FO106,0),"")</f>
        <v>0</v>
      </c>
      <c r="FS106" s="49">
        <f>VLOOKUP(A106,tbMoveset!A2:G112,7,FALSE)*IFERROR(IF(Backdoors!AI12&gt;=0,1+(IF(Calculator!E40&gt;0,VLOOKUP(Calculator!E40,tbSkills!AI3:AJ5,2,FALSE),Backdoors!AL4)*(IF((Backdoors!AI12+IF(FN106&gt;=0.45,VLOOKUP(Calculator!E23,tbSkills!DH3:DI6,2,FALSE)+IF(AND(Calculator!B8=TRUE,Backdoors!BI27=TRUE),VLOOKUP(Calculator!E23,tbSkills!DH3:DJ6,3,FALSE),0),0))&gt;=100,100,(Backdoors!AI12+IF(FN106&gt;=0.45,VLOOKUP(Calculator!E23,tbSkills!DH3:DI6,2,FALSE)+IF(AND(Calculator!B8=TRUE,Backdoors!BI27=TRUE),VLOOKUP(Calculator!E23,tbSkills!DH3:DJ6,3,FALSE),0),0)))/100)),1),1)</f>
        <v>0.4</v>
      </c>
      <c r="FT106" s="87">
        <f t="shared" si="75"/>
        <v>0</v>
      </c>
      <c r="FU106" s="86" t="str">
        <f>IFERROR(IF(VLOOKUP(A106,tbMoveset!A2:B112,2,FALSE)="Sever",Backdoors!AY28/100,IF(VLOOKUP(A106,tbMoveset!A2:B112,2,FALSE)="Blunt",Backdoors!AZ28/100,Backdoors!BA28/100)),"")</f>
        <v/>
      </c>
      <c r="FV106" s="49">
        <f>IFERROR(IF(VLOOKUP(tbMoveset!A106,tbMoveset!A2:H112,8,FALSE)="Other",IF(VLOOKUP(tbMoveset!A106,tbMoveset!A2:I112,9,FALSE)="Fire",Backdoors!BB28,IF(VLOOKUP(tbMoveset!A106,tbMoveset!A2:I112,9,FALSE)="Water",Backdoors!BC28,IF(VLOOKUP(tbMoveset!A106,tbMoveset!A2:I112,9,FALSE)="Thunder",Backdoors!BD28,IF(VLOOKUP(tbMoveset!A106,tbMoveset!A2:I112,9,FALSE)="Ice",Backdoors!BE28,IF(VLOOKUP(tbMoveset!A106,tbMoveset!A2:I112,9,FALSE)="Dragon",Backdoors!BF28,Backdoors!BG28)))))/100,Backdoors!BG28/100),"")</f>
        <v>0</v>
      </c>
      <c r="FW106" s="49">
        <f>IFERROR(IF(VLOOKUP(A106,tbMoveset!A2:J112,10,FALSE)=TRUE,IF((Backdoors!AI12+IF(FU106&gt;=0.45,VLOOKUP(Calculator!E23,tbSkills!DH3:DI6,2,FALSE)+IF(AND(Calculator!B8=TRUE,Backdoors!BI28=TRUE),VLOOKUP(Calculator!E23,tbSkills!DH3:DJ6,3,FALSE),0),0))&gt;=0,1+(Backdoors!AL2*(IF((Backdoors!AI12+IF(FU106&gt;=0.45,VLOOKUP(Calculator!E23,tbSkills!DH3:DI6,2,FALSE)+IF(AND(Calculator!B8=TRUE,Backdoors!BI28=TRUE),VLOOKUP(Calculator!E23,tbSkills!DH3:DJ6,3,FALSE),0),0))&gt;=100,100,(Backdoors!AI12+IF(FU106&gt;=0.45,VLOOKUP(Calculator!E23,tbSkills!DH3:DI6,2,FALSE)+IF(AND(Calculator!B8=TRUE,Backdoors!BI28=TRUE),VLOOKUP(Calculator!E23,tbSkills!DH3:DJ6,3,FALSE),0),0)))/100)),(1-(0.25*((-Backdoors!AI12-IF(FU106&gt;=0.45,VLOOKUP(Calculator!E23,tbSkills!DH3:DI6,2,FALSE)+IF(AND(Calculator!B8=TRUE,Backdoors!BI28=TRUE),VLOOKUP(Calculator!E23,tbSkills!DH3:DJ6,3,FALSE),0),0))/100)))),1),"")</f>
        <v>1</v>
      </c>
      <c r="FX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FU106)*FW106)*(VLOOKUP(A106,tbMoveset!A2:C112,3,FALSE)/100)*IF(VLOOKUP(A106,tbMoveset!A2:B112,2,FALSE)="Projectile",Backdoors!N10,Backdoors!N9),0),"")</f>
        <v/>
      </c>
      <c r="FY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FU106&gt;=0.45,VLOOKUP(Calculator!E23,tbSkills!DH3:DI6,2,FALSE)+IF(AND(Calculator!B8=TRUE,Backdoors!BI28=TRUE),VLOOKUP(Calculator!E23,tbSkills!DH3:DJ6,3,FALSE),0),0))&gt;=100,100,(Backdoors!AI12+IF(FU106&gt;=0.45,VLOOKUP(Calculator!E23,tbSkills!DH3:DI6,2,FALSE)+IF(AND(Calculator!B8=TRUE,Backdoors!BI28=TRUE),VLOOKUP(Calculator!E23,tbSkills!DH3:DJ6,3,FALSE),0),0)))/100)),1))*IF(VLOOKUP(A106,tbMoveset!A2:K112,11,FALSE)=TRUE,Backdoors!AC5,1))*FV106,0),"")</f>
        <v>0</v>
      </c>
      <c r="FZ106" s="49">
        <f>VLOOKUP(A106,tbMoveset!A2:G112,7,FALSE)*IFERROR(IF(Backdoors!AI12&gt;=0,1+(IF(Calculator!E40&gt;0,VLOOKUP(Calculator!E40,tbSkills!AI3:AJ5,2,FALSE),Backdoors!AL4)*(IF((Backdoors!AI12+IF(FU106&gt;=0.45,VLOOKUP(Calculator!E23,tbSkills!DH3:DI6,2,FALSE)+IF(AND(Calculator!B8=TRUE,Backdoors!BI28=TRUE),VLOOKUP(Calculator!E23,tbSkills!DH3:DJ6,3,FALSE),0),0))&gt;=100,100,(Backdoors!AI12+IF(FU106&gt;=0.45,VLOOKUP(Calculator!E23,tbSkills!DH3:DI6,2,FALSE)+IF(AND(Calculator!B8=TRUE,Backdoors!BI28=TRUE),VLOOKUP(Calculator!E23,tbSkills!DH3:DJ6,3,FALSE),0),0)))/100)),1),1)</f>
        <v>0.4</v>
      </c>
      <c r="GA106" s="87">
        <f t="shared" si="76"/>
        <v>0</v>
      </c>
      <c r="GB106" s="86" t="str">
        <f>IFERROR(IF(VLOOKUP(A106,tbMoveset!A2:B112,2,FALSE)="Sever",Backdoors!AY29/100,IF(VLOOKUP(A106,tbMoveset!A2:B112,2,FALSE)="Blunt",Backdoors!AZ29/100,Backdoors!BA29/100)),"")</f>
        <v/>
      </c>
      <c r="GC106" s="49">
        <f>IFERROR(IF(VLOOKUP(tbMoveset!A106,tbMoveset!A2:H112,8,FALSE)="Other",IF(VLOOKUP(tbMoveset!A106,tbMoveset!A2:I112,9,FALSE)="Fire",Backdoors!BB29,IF(VLOOKUP(tbMoveset!A106,tbMoveset!A2:I112,9,FALSE)="Water",Backdoors!BC29,IF(VLOOKUP(tbMoveset!A106,tbMoveset!A2:I112,9,FALSE)="Thunder",Backdoors!BD29,IF(VLOOKUP(tbMoveset!A106,tbMoveset!A2:I112,9,FALSE)="Ice",Backdoors!BE29,IF(VLOOKUP(tbMoveset!A106,tbMoveset!A2:I112,9,FALSE)="Dragon",Backdoors!BF29,Backdoors!BG29)))))/100,Backdoors!BG29/100),"")</f>
        <v>0</v>
      </c>
      <c r="GD106" s="49">
        <f>IFERROR(IF(VLOOKUP(A106,tbMoveset!A2:J112,10,FALSE)=TRUE,IF((Backdoors!AI12+IF(GB106&gt;=0.45,VLOOKUP(Calculator!E23,tbSkills!DH3:DI6,2,FALSE)+IF(AND(Calculator!B8=TRUE,Backdoors!BI29=TRUE),VLOOKUP(Calculator!E23,tbSkills!DH3:DJ6,3,FALSE),0),0))&gt;=0,1+(Backdoors!AL2*(IF((Backdoors!AI12+IF(GB106&gt;=0.45,VLOOKUP(Calculator!E23,tbSkills!DH3:DI6,2,FALSE)+IF(AND(Calculator!B8=TRUE,Backdoors!BI29=TRUE),VLOOKUP(Calculator!E23,tbSkills!DH3:DJ6,3,FALSE),0),0))&gt;=100,100,(Backdoors!AI12+IF(GB106&gt;=0.45,VLOOKUP(Calculator!E23,tbSkills!DH3:DI6,2,FALSE)+IF(AND(Calculator!B8=TRUE,Backdoors!BI29=TRUE),VLOOKUP(Calculator!E23,tbSkills!DH3:DJ6,3,FALSE),0),0)))/100)),(1-(0.25*((-Backdoors!AI12-IF(GB106&gt;=0.45,VLOOKUP(Calculator!E23,tbSkills!DH3:DI6,2,FALSE)+IF(AND(Calculator!B8=TRUE,Backdoors!BI29=TRUE),VLOOKUP(Calculator!E23,tbSkills!DH3:DJ6,3,FALSE),0),0))/100)))),1),"")</f>
        <v>1</v>
      </c>
      <c r="GE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B106)*GD106)*(VLOOKUP(A106,tbMoveset!A2:C112,3,FALSE)/100)*IF(VLOOKUP(A106,tbMoveset!A2:B112,2,FALSE)="Projectile",Backdoors!N10,Backdoors!N9),0),"")</f>
        <v/>
      </c>
      <c r="GF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B106&gt;=0.45,VLOOKUP(Calculator!E23,tbSkills!DH3:DI6,2,FALSE)+IF(AND(Calculator!B8=TRUE,Backdoors!BI29=TRUE),VLOOKUP(Calculator!E23,tbSkills!DH3:DJ6,3,FALSE),0),0))&gt;=100,100,(Backdoors!AI12+IF(GB106&gt;=0.45,VLOOKUP(Calculator!E23,tbSkills!DH3:DI6,2,FALSE)+IF(AND(Calculator!B8=TRUE,Backdoors!BI29=TRUE),VLOOKUP(Calculator!E23,tbSkills!DH3:DJ6,3,FALSE),0),0)))/100)),1))*IF(VLOOKUP(A106,tbMoveset!A2:K112,11,FALSE)=TRUE,Backdoors!AC5,1))*GC106,0),"")</f>
        <v>0</v>
      </c>
      <c r="GG106" s="49">
        <f>VLOOKUP(A106,tbMoveset!A2:G112,7,FALSE)*IFERROR(IF(Backdoors!AI12&gt;=0,1+(IF(Calculator!E40&gt;0,VLOOKUP(Calculator!E40,tbSkills!AI3:AJ5,2,FALSE),Backdoors!AL4)*(IF((Backdoors!AI12+IF(GB106&gt;=0.45,VLOOKUP(Calculator!E23,tbSkills!DH3:DI6,2,FALSE)+IF(AND(Calculator!B8=TRUE,Backdoors!BI29=TRUE),VLOOKUP(Calculator!E23,tbSkills!DH3:DJ6,3,FALSE),0),0))&gt;=100,100,(Backdoors!AI12+IF(GB106&gt;=0.45,VLOOKUP(Calculator!E23,tbSkills!DH3:DI6,2,FALSE)+IF(AND(Calculator!B8=TRUE,Backdoors!BI29=TRUE),VLOOKUP(Calculator!E23,tbSkills!DH3:DJ6,3,FALSE),0),0)))/100)),1),1)</f>
        <v>0.4</v>
      </c>
      <c r="GH106" s="87">
        <f t="shared" si="77"/>
        <v>0</v>
      </c>
      <c r="GI106" s="86" t="str">
        <f>IFERROR(IF(VLOOKUP(A106,tbMoveset!A2:B112,2,FALSE)="Sever",Backdoors!AY30/100,IF(VLOOKUP(A106,tbMoveset!A2:B112,2,FALSE)="Blunt",Backdoors!AZ30/100,Backdoors!BA30/100)),"")</f>
        <v/>
      </c>
      <c r="GJ106" s="49">
        <f>IFERROR(IF(VLOOKUP(tbMoveset!A106,tbMoveset!A2:H112,8,FALSE)="Other",IF(VLOOKUP(tbMoveset!A106,tbMoveset!A2:I112,9,FALSE)="Fire",Backdoors!BB30,IF(VLOOKUP(tbMoveset!A106,tbMoveset!A2:I112,9,FALSE)="Water",Backdoors!BC30,IF(VLOOKUP(tbMoveset!A106,tbMoveset!A2:I112,9,FALSE)="Thunder",Backdoors!BD30,IF(VLOOKUP(tbMoveset!A106,tbMoveset!A2:I112,9,FALSE)="Ice",Backdoors!BE30,IF(VLOOKUP(tbMoveset!A106,tbMoveset!A2:I112,9,FALSE)="Dragon",Backdoors!BF30,Backdoors!BG30)))))/100,Backdoors!BG30/100),"")</f>
        <v>0</v>
      </c>
      <c r="GK106" s="49">
        <f>IFERROR(IF(VLOOKUP(A106,tbMoveset!A2:J112,10,FALSE)=TRUE,IF((Backdoors!AI12+IF(GI106&gt;=0.45,VLOOKUP(Calculator!E23,tbSkills!DH3:DI6,2,FALSE)+IF(AND(Calculator!B8=TRUE,Backdoors!BI30=TRUE),VLOOKUP(Calculator!E23,tbSkills!DH3:DJ6,3,FALSE),0),0))&gt;=0,1+(Backdoors!AL2*(IF((Backdoors!AI12+IF(GI106&gt;=0.45,VLOOKUP(Calculator!E23,tbSkills!DH3:DI6,2,FALSE)+IF(AND(Calculator!B8=TRUE,Backdoors!BI30=TRUE),VLOOKUP(Calculator!E23,tbSkills!DH3:DJ6,3,FALSE),0),0))&gt;=100,100,(Backdoors!AI12+IF(GI106&gt;=0.45,VLOOKUP(Calculator!E23,tbSkills!DH3:DI6,2,FALSE)+IF(AND(Calculator!B8=TRUE,Backdoors!BI30=TRUE),VLOOKUP(Calculator!E23,tbSkills!DH3:DJ6,3,FALSE),0),0)))/100)),(1-(0.25*((-Backdoors!AI12-IF(GI106&gt;=0.45,VLOOKUP(Calculator!E23,tbSkills!DH3:DI6,2,FALSE)+IF(AND(Calculator!B8=TRUE,Backdoors!BI30=TRUE),VLOOKUP(Calculator!E23,tbSkills!DH3:DJ6,3,FALSE),0),0))/100)))),1),"")</f>
        <v>1</v>
      </c>
      <c r="GL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I106)*GK106)*(VLOOKUP(A106,tbMoveset!A2:C112,3,FALSE)/100)*IF(VLOOKUP(A106,tbMoveset!A2:B112,2,FALSE)="Projectile",Backdoors!N10,Backdoors!N9),0),"")</f>
        <v/>
      </c>
      <c r="GM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I106&gt;=0.45,VLOOKUP(Calculator!E23,tbSkills!DH3:DI6,2,FALSE)+IF(AND(Calculator!B8=TRUE,Backdoors!BI30=TRUE),VLOOKUP(Calculator!E23,tbSkills!DH3:DJ6,3,FALSE),0),0))&gt;=100,100,(Backdoors!AI12+IF(GI106&gt;=0.45,VLOOKUP(Calculator!E23,tbSkills!DH3:DI6,2,FALSE)+IF(AND(Calculator!B8=TRUE,Backdoors!BI30=TRUE),VLOOKUP(Calculator!E23,tbSkills!DH3:DJ6,3,FALSE),0),0)))/100)),1))*IF(VLOOKUP(A106,tbMoveset!A2:K112,11,FALSE)=TRUE,Backdoors!AC5,1))*GJ106,0),"")</f>
        <v>0</v>
      </c>
      <c r="GN106" s="49">
        <f>VLOOKUP(A106,tbMoveset!A2:G112,7,FALSE)*IFERROR(IF(Backdoors!AI12&gt;=0,1+(IF(Calculator!E40&gt;0,VLOOKUP(Calculator!E40,tbSkills!AI3:AJ5,2,FALSE),Backdoors!AL4)*(IF((Backdoors!AI12+IF(GI106&gt;=0.45,VLOOKUP(Calculator!E23,tbSkills!DH3:DI6,2,FALSE)+IF(AND(Calculator!B8=TRUE,Backdoors!BI30=TRUE),VLOOKUP(Calculator!E23,tbSkills!DH3:DJ6,3,FALSE),0),0))&gt;=100,100,(Backdoors!AI12+IF(GI106&gt;=0.45,VLOOKUP(Calculator!E23,tbSkills!DH3:DI6,2,FALSE)+IF(AND(Calculator!B8=TRUE,Backdoors!BI30=TRUE),VLOOKUP(Calculator!E23,tbSkills!DH3:DJ6,3,FALSE),0),0)))/100)),1),1)</f>
        <v>0.4</v>
      </c>
      <c r="GO106" s="87">
        <f t="shared" si="78"/>
        <v>0</v>
      </c>
      <c r="GP106" s="86" t="str">
        <f>IFERROR(IF(VLOOKUP(A106,tbMoveset!A2:B112,2,FALSE)="Sever",Backdoors!AY31/100,IF(VLOOKUP(A106,tbMoveset!A2:B112,2,FALSE)="Blunt",Backdoors!AZ31/100,Backdoors!BA31/100)),"")</f>
        <v/>
      </c>
      <c r="GQ106" s="49">
        <f>IFERROR(IF(VLOOKUP(tbMoveset!A106,tbMoveset!A2:H112,8,FALSE)="Other",IF(VLOOKUP(tbMoveset!A106,tbMoveset!A2:I112,9,FALSE)="Fire",Backdoors!BB31,IF(VLOOKUP(tbMoveset!A106,tbMoveset!A2:I112,9,FALSE)="Water",Backdoors!BC31,IF(VLOOKUP(tbMoveset!A106,tbMoveset!A2:I112,9,FALSE)="Thunder",Backdoors!BD31,IF(VLOOKUP(tbMoveset!A106,tbMoveset!A2:I112,9,FALSE)="Ice",Backdoors!BE31,IF(VLOOKUP(tbMoveset!A106,tbMoveset!A2:I112,9,FALSE)="Dragon",Backdoors!BF31,Backdoors!BG31)))))/100,Backdoors!BG31/100),"")</f>
        <v>0</v>
      </c>
      <c r="GR106" s="49">
        <f>IFERROR(IF(VLOOKUP(A106,tbMoveset!A2:J112,10,FALSE)=TRUE,IF((Backdoors!AI12+IF(GP106&gt;=0.45,VLOOKUP(Calculator!E23,tbSkills!DH3:DI6,2,FALSE)+IF(AND(Calculator!B8=TRUE,Backdoors!BI31=TRUE),VLOOKUP(Calculator!E23,tbSkills!DH3:DJ6,3,FALSE),0),0))&gt;=0,1+(Backdoors!AL2*(IF((Backdoors!AI12+IF(GP106&gt;=0.45,VLOOKUP(Calculator!E23,tbSkills!DH3:DI6,2,FALSE)+IF(AND(Calculator!B8=TRUE,Backdoors!BI31=TRUE),VLOOKUP(Calculator!E23,tbSkills!DH3:DJ6,3,FALSE),0),0))&gt;=100,100,(Backdoors!AI12+IF(GP106&gt;=0.45,VLOOKUP(Calculator!E23,tbSkills!DH3:DI6,2,FALSE)+IF(AND(Calculator!B8=TRUE,Backdoors!BI31=TRUE),VLOOKUP(Calculator!E23,tbSkills!DH3:DJ6,3,FALSE),0),0)))/100)),(1-(0.25*((-Backdoors!AI12-IF(GP106&gt;=0.45,VLOOKUP(Calculator!E23,tbSkills!DH3:DI6,2,FALSE)+IF(AND(Calculator!B8=TRUE,Backdoors!BI31=TRUE),VLOOKUP(Calculator!E23,tbSkills!DH3:DJ6,3,FALSE),0),0))/100)))),1),"")</f>
        <v>1</v>
      </c>
      <c r="GS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P106)*GR106)*(VLOOKUP(A106,tbMoveset!A2:C112,3,FALSE)/100)*IF(VLOOKUP(A106,tbMoveset!A2:B112,2,FALSE)="Projectile",Backdoors!N10,Backdoors!N9),0),"")</f>
        <v/>
      </c>
      <c r="GT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P106&gt;=0.45,VLOOKUP(Calculator!E23,tbSkills!DH3:DI6,2,FALSE)+IF(AND(Calculator!B8=TRUE,Backdoors!BI31=TRUE),VLOOKUP(Calculator!E23,tbSkills!DH3:DJ6,3,FALSE),0),0))&gt;=100,100,(Backdoors!AI12+IF(GP106&gt;=0.45,VLOOKUP(Calculator!E23,tbSkills!DH3:DI6,2,FALSE)+IF(AND(Calculator!B8=TRUE,Backdoors!BI31=TRUE),VLOOKUP(Calculator!E23,tbSkills!DH3:DJ6,3,FALSE),0),0)))/100)),1))*IF(VLOOKUP(A106,tbMoveset!A2:K112,11,FALSE)=TRUE,Backdoors!AC5,1))*GQ106,0),"")</f>
        <v>0</v>
      </c>
      <c r="GU106" s="49">
        <f>VLOOKUP(A106,tbMoveset!A2:G112,7,FALSE)*IFERROR(IF(Backdoors!AI12&gt;=0,1+(IF(Calculator!E40&gt;0,VLOOKUP(Calculator!E40,tbSkills!AI3:AJ5,2,FALSE),Backdoors!AL4)*(IF((Backdoors!AI12+IF(GP106&gt;=0.45,VLOOKUP(Calculator!E23,tbSkills!DH3:DI6,2,FALSE)+IF(AND(Calculator!B8=TRUE,Backdoors!BI31=TRUE),VLOOKUP(Calculator!E23,tbSkills!DH3:DJ6,3,FALSE),0),0))&gt;=100,100,(Backdoors!AI12+IF(GP106&gt;=0.45,VLOOKUP(Calculator!E23,tbSkills!DH3:DI6,2,FALSE)+IF(AND(Calculator!B8=TRUE,Backdoors!BI31=TRUE),VLOOKUP(Calculator!E23,tbSkills!DH3:DJ6,3,FALSE),0),0)))/100)),1),1)</f>
        <v>0.4</v>
      </c>
      <c r="GV106" s="87">
        <f t="shared" si="79"/>
        <v>0</v>
      </c>
      <c r="GW106" s="86" t="str">
        <f>IFERROR(IF(VLOOKUP(A106,tbMoveset!A2:B112,2,FALSE)="Sever",Backdoors!AY32/100,IF(VLOOKUP(A106,tbMoveset!A2:B112,2,FALSE)="Blunt",Backdoors!AZ32/100,Backdoors!BA32/100)),"")</f>
        <v/>
      </c>
      <c r="GX106" s="49">
        <f>IFERROR(IF(VLOOKUP(tbMoveset!A106,tbMoveset!A2:H112,8,FALSE)="Other",IF(VLOOKUP(tbMoveset!A106,tbMoveset!A2:I112,9,FALSE)="Fire",Backdoors!BB32,IF(VLOOKUP(tbMoveset!A106,tbMoveset!A2:I112,9,FALSE)="Water",Backdoors!BC32,IF(VLOOKUP(tbMoveset!A106,tbMoveset!A2:I112,9,FALSE)="Thunder",Backdoors!BD32,IF(VLOOKUP(tbMoveset!A106,tbMoveset!A2:I112,9,FALSE)="Ice",Backdoors!BE32,IF(VLOOKUP(tbMoveset!A106,tbMoveset!A2:I112,9,FALSE)="Dragon",Backdoors!BF32,Backdoors!BG32)))))/100,Backdoors!BG32/100),"")</f>
        <v>0</v>
      </c>
      <c r="GY106" s="49">
        <f>IFERROR(IF(VLOOKUP(A106,tbMoveset!A2:J112,10,FALSE)=TRUE,IF((Backdoors!AI12+IF(GW106&gt;=0.45,VLOOKUP(Calculator!E23,tbSkills!DH3:DI6,2,FALSE)+IF(AND(Calculator!B8=TRUE,Backdoors!BI32=TRUE),VLOOKUP(Calculator!E23,tbSkills!DH3:DJ6,3,FALSE),0),0))&gt;=0,1+(Backdoors!AL2*(IF((Backdoors!AI12+IF(GW106&gt;=0.45,VLOOKUP(Calculator!E23,tbSkills!DH3:DI6,2,FALSE)+IF(AND(Calculator!B8=TRUE,Backdoors!BI32=TRUE),VLOOKUP(Calculator!E23,tbSkills!DH3:DJ6,3,FALSE),0),0))&gt;=100,100,(Backdoors!AI12+IF(GW106&gt;=0.45,VLOOKUP(Calculator!E23,tbSkills!DH3:DI6,2,FALSE)+IF(AND(Calculator!B8=TRUE,Backdoors!BI32=TRUE),VLOOKUP(Calculator!E23,tbSkills!DH3:DJ6,3,FALSE),0),0)))/100)),(1-(0.25*((-Backdoors!AI12-IF(GW106&gt;=0.45,VLOOKUP(Calculator!E23,tbSkills!DH3:DI6,2,FALSE)+IF(AND(Calculator!B8=TRUE,Backdoors!BI32=TRUE),VLOOKUP(Calculator!E23,tbSkills!DH3:DJ6,3,FALSE),0),0))/100)))),1),"")</f>
        <v>1</v>
      </c>
      <c r="GZ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W106)*GY106)*(VLOOKUP(A106,tbMoveset!A2:C112,3,FALSE)/100)*IF(VLOOKUP(A106,tbMoveset!A2:B112,2,FALSE)="Projectile",Backdoors!N10,Backdoors!N9),0),"")</f>
        <v/>
      </c>
      <c r="HA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W106&gt;=0.45,VLOOKUP(Calculator!E23,tbSkills!DH3:DI6,2,FALSE)+IF(AND(Calculator!B8=TRUE,Backdoors!BI32=TRUE),VLOOKUP(Calculator!E23,tbSkills!DH3:DJ6,3,FALSE),0),0))&gt;=100,100,(Backdoors!AI12+IF(GW106&gt;=0.45,VLOOKUP(Calculator!E23,tbSkills!DH3:DI6,2,FALSE)+IF(AND(Calculator!B8=TRUE,Backdoors!BI32=TRUE),VLOOKUP(Calculator!E23,tbSkills!DH3:DJ6,3,FALSE),0),0)))/100)),1))*IF(VLOOKUP(A106,tbMoveset!A2:K112,11,FALSE)=TRUE,Backdoors!AC5,1))*GX106,0),"")</f>
        <v>0</v>
      </c>
      <c r="HB106" s="49">
        <f>VLOOKUP(A106,tbMoveset!A2:G112,7,FALSE)*IFERROR(IF(Backdoors!AI12&gt;=0,1+(IF(Calculator!E40&gt;0,VLOOKUP(Calculator!E40,tbSkills!AI3:AJ5,2,FALSE),Backdoors!AL4)*(IF((Backdoors!AI12+IF(GW106&gt;=0.45,VLOOKUP(Calculator!E23,tbSkills!DH3:DI6,2,FALSE)+IF(AND(Calculator!B8=TRUE,Backdoors!BI32=TRUE),VLOOKUP(Calculator!E23,tbSkills!DH3:DJ6,3,FALSE),0),0))&gt;=100,100,(Backdoors!AI12+IF(GW106&gt;=0.45,VLOOKUP(Calculator!E23,tbSkills!DH3:DI6,2,FALSE)+IF(AND(Calculator!B8=TRUE,Backdoors!BI32=TRUE),VLOOKUP(Calculator!E23,tbSkills!DH3:DJ6,3,FALSE),0),0)))/100)),1),1)</f>
        <v>0.4</v>
      </c>
      <c r="HC106" s="87">
        <f t="shared" si="80"/>
        <v>0</v>
      </c>
      <c r="HD106" s="86" t="str">
        <f>IFERROR(IF(VLOOKUP(A106,tbMoveset!A2:B112,2,FALSE)="Sever",Backdoors!AY33/100,IF(VLOOKUP(A106,tbMoveset!A2:B112,2,FALSE)="Blunt",Backdoors!AZ33/100,Backdoors!BA33/100)),"")</f>
        <v/>
      </c>
      <c r="HE106" s="49">
        <f>IFERROR(IF(VLOOKUP(tbMoveset!A106,tbMoveset!A2:H112,8,FALSE)="Other",IF(VLOOKUP(tbMoveset!A106,tbMoveset!A2:I112,9,FALSE)="Fire",Backdoors!BB33,IF(VLOOKUP(tbMoveset!A106,tbMoveset!A2:I112,9,FALSE)="Water",Backdoors!BC33,IF(VLOOKUP(tbMoveset!A106,tbMoveset!A2:I112,9,FALSE)="Thunder",Backdoors!BD33,IF(VLOOKUP(tbMoveset!A106,tbMoveset!A2:I112,9,FALSE)="Ice",Backdoors!BE33,IF(VLOOKUP(tbMoveset!A106,tbMoveset!A2:I112,9,FALSE)="Dragon",Backdoors!BF33,Backdoors!BG33)))))/100,Backdoors!BG33/100),"")</f>
        <v>0</v>
      </c>
      <c r="HF106" s="49">
        <f>IFERROR(IF(VLOOKUP(A106,tbMoveset!A2:J112,10,FALSE)=TRUE,IF((Backdoors!AI12+IF(HD106&gt;=0.45,VLOOKUP(Calculator!E23,tbSkills!DH3:DI6,2,FALSE)+IF(AND(Calculator!B8=TRUE,Backdoors!BI33=TRUE),VLOOKUP(Calculator!E23,tbSkills!DH3:DJ6,3,FALSE),0),0))&gt;=0,1+(Backdoors!AL2*(IF((Backdoors!AI12+IF(HD106&gt;=0.45,VLOOKUP(Calculator!E23,tbSkills!DH3:DI6,2,FALSE)+IF(AND(Calculator!B8=TRUE,Backdoors!BI33=TRUE),VLOOKUP(Calculator!E23,tbSkills!DH3:DJ6,3,FALSE),0),0))&gt;=100,100,(Backdoors!AI12+IF(HD106&gt;=0.45,VLOOKUP(Calculator!E23,tbSkills!DH3:DI6,2,FALSE)+IF(AND(Calculator!B8=TRUE,Backdoors!BI33=TRUE),VLOOKUP(Calculator!E23,tbSkills!DH3:DJ6,3,FALSE),0),0)))/100)),(1-(0.25*((-Backdoors!AI12-IF(HD106&gt;=0.45,VLOOKUP(Calculator!E23,tbSkills!DH3:DI6,2,FALSE)+IF(AND(Calculator!B8=TRUE,Backdoors!BI33=TRUE),VLOOKUP(Calculator!E23,tbSkills!DH3:DJ6,3,FALSE),0),0))/100)))),1),"")</f>
        <v>1</v>
      </c>
      <c r="HG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D106)*HF106)*(VLOOKUP(A106,tbMoveset!A2:C112,3,FALSE)/100)*IF(VLOOKUP(A106,tbMoveset!A2:B112,2,FALSE)="Projectile",Backdoors!N10,Backdoors!N9),0),"")</f>
        <v/>
      </c>
      <c r="HH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D106&gt;=0.45,VLOOKUP(Calculator!E23,tbSkills!DH3:DI6,2,FALSE)+IF(AND(Calculator!B8=TRUE,Backdoors!BI33=TRUE),VLOOKUP(Calculator!E23,tbSkills!DH3:DJ6,3,FALSE),0),0))&gt;=100,100,(Backdoors!AI12+IF(HD106&gt;=0.45,VLOOKUP(Calculator!E23,tbSkills!DH3:DI6,2,FALSE)+IF(AND(Calculator!B8=TRUE,Backdoors!BI33=TRUE),VLOOKUP(Calculator!E23,tbSkills!DH3:DJ6,3,FALSE),0),0)))/100)),1))*IF(VLOOKUP(A106,tbMoveset!A2:K112,11,FALSE)=TRUE,Backdoors!AC5,1))*HE106,0),"")</f>
        <v>0</v>
      </c>
      <c r="HI106" s="49">
        <f>VLOOKUP(A106,tbMoveset!A2:G112,7,FALSE)*IFERROR(IF(Backdoors!AI12&gt;=0,1+(IF(Calculator!E40&gt;0,VLOOKUP(Calculator!E40,tbSkills!AI3:AJ5,2,FALSE),Backdoors!AL4)*(IF((Backdoors!AI12+IF(HD106&gt;=0.45,VLOOKUP(Calculator!E23,tbSkills!DH3:DI6,2,FALSE)+IF(AND(Calculator!B8=TRUE,Backdoors!BI33=TRUE),VLOOKUP(Calculator!E23,tbSkills!DH3:DJ6,3,FALSE),0),0))&gt;=100,100,(Backdoors!AI12+IF(HD106&gt;=0.45,VLOOKUP(Calculator!E23,tbSkills!DH3:DI6,2,FALSE)+IF(AND(Calculator!B8=TRUE,Backdoors!BI33=TRUE),VLOOKUP(Calculator!E23,tbSkills!DH3:DJ6,3,FALSE),0),0)))/100)),1),1)</f>
        <v>0.4</v>
      </c>
      <c r="HJ106" s="87">
        <f t="shared" si="81"/>
        <v>0</v>
      </c>
      <c r="HK106" s="86" t="str">
        <f>IFERROR(IF(VLOOKUP(A106,tbMoveset!A2:B112,2,FALSE)="Sever",Backdoors!AY34/100,IF(VLOOKUP(A106,tbMoveset!A2:B112,2,FALSE)="Blunt",Backdoors!AZ34/100,Backdoors!BA34/100)),"")</f>
        <v/>
      </c>
      <c r="HL106" s="49">
        <f>IFERROR(IF(VLOOKUP(tbMoveset!A106,tbMoveset!A2:H112,8,FALSE)="Other",IF(VLOOKUP(tbMoveset!A106,tbMoveset!A2:I112,9,FALSE)="Fire",Backdoors!BB34,IF(VLOOKUP(tbMoveset!A106,tbMoveset!A2:I112,9,FALSE)="Water",Backdoors!BC34,IF(VLOOKUP(tbMoveset!A106,tbMoveset!A2:I112,9,FALSE)="Thunder",Backdoors!BD34,IF(VLOOKUP(tbMoveset!A106,tbMoveset!A2:I112,9,FALSE)="Ice",Backdoors!BE34,IF(VLOOKUP(tbMoveset!A106,tbMoveset!A2:I112,9,FALSE)="Dragon",Backdoors!BF34,Backdoors!BG34)))))/100,Backdoors!BG34/100),"")</f>
        <v>0</v>
      </c>
      <c r="HM106" s="49">
        <f>IFERROR(IF(VLOOKUP(A106,tbMoveset!A2:J112,10,FALSE)=TRUE,IF((Backdoors!AI12+IF(HK106&gt;=0.45,VLOOKUP(Calculator!E23,tbSkills!DH3:DI6,2,FALSE)+IF(AND(Calculator!B8=TRUE,Backdoors!BI34=TRUE),VLOOKUP(Calculator!E23,tbSkills!DH3:DJ6,3,FALSE),0),0))&gt;=0,1+(Backdoors!AL2*(IF((Backdoors!AI12+IF(HK106&gt;=0.45,VLOOKUP(Calculator!E23,tbSkills!DH3:DI6,2,FALSE)+IF(AND(Calculator!B8=TRUE,Backdoors!BI34=TRUE),VLOOKUP(Calculator!E23,tbSkills!DH3:DJ6,3,FALSE),0),0))&gt;=100,100,(Backdoors!AI12+IF(HK106&gt;=0.45,VLOOKUP(Calculator!E23,tbSkills!DH3:DI6,2,FALSE)+IF(AND(Calculator!B8=TRUE,Backdoors!BI34=TRUE),VLOOKUP(Calculator!E23,tbSkills!DH3:DJ6,3,FALSE),0),0)))/100)),(1-(0.25*((-Backdoors!AI12-IF(HK106&gt;=0.45,VLOOKUP(Calculator!E23,tbSkills!DH3:DI6,2,FALSE)+IF(AND(Calculator!B8=TRUE,Backdoors!BI34=TRUE),VLOOKUP(Calculator!E23,tbSkills!DH3:DJ6,3,FALSE),0),0))/100)))),1),"")</f>
        <v>1</v>
      </c>
      <c r="HN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K106)*HM106)*(VLOOKUP(A106,tbMoveset!A2:C112,3,FALSE)/100)*IF(VLOOKUP(A106,tbMoveset!A2:B112,2,FALSE)="Projectile",Backdoors!N10,Backdoors!N9),0),"")</f>
        <v/>
      </c>
      <c r="HO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K106&gt;=0.45,VLOOKUP(Calculator!E23,tbSkills!DH3:DI6,2,FALSE)+IF(AND(Calculator!B8=TRUE,Backdoors!BI34=TRUE),VLOOKUP(Calculator!E23,tbSkills!DH3:DJ6,3,FALSE),0),0))&gt;=100,100,(Backdoors!AI12+IF(HK106&gt;=0.45,VLOOKUP(Calculator!E23,tbSkills!DH3:DI6,2,FALSE)+IF(AND(Calculator!B8=TRUE,Backdoors!BI34=TRUE),VLOOKUP(Calculator!E23,tbSkills!DH3:DJ6,3,FALSE),0),0)))/100)),1))*IF(VLOOKUP(A106,tbMoveset!A2:K112,11,FALSE)=TRUE,Backdoors!AC5,1))*HL106,0),"")</f>
        <v>0</v>
      </c>
      <c r="HP106" s="49">
        <f>VLOOKUP(A106,tbMoveset!A2:G112,7,FALSE)*IFERROR(IF(Backdoors!AI12&gt;=0,1+(IF(Calculator!E40&gt;0,VLOOKUP(Calculator!E40,tbSkills!AI3:AJ5,2,FALSE),Backdoors!AL4)*(IF((Backdoors!AI12+IF(HK106&gt;=0.45,VLOOKUP(Calculator!E23,tbSkills!DH3:DI6,2,FALSE)+IF(AND(Calculator!B8=TRUE,Backdoors!BI34=TRUE),VLOOKUP(Calculator!E23,tbSkills!DH3:DJ6,3,FALSE),0),0))&gt;=100,100,(Backdoors!AI12+IF(HK106&gt;=0.45,VLOOKUP(Calculator!E23,tbSkills!DH3:DI6,2,FALSE)+IF(AND(Calculator!B8=TRUE,Backdoors!BI34=TRUE),VLOOKUP(Calculator!E23,tbSkills!DH3:DJ6,3,FALSE),0),0)))/100)),1),1)</f>
        <v>0.4</v>
      </c>
      <c r="HQ106" s="87">
        <f t="shared" si="82"/>
        <v>0</v>
      </c>
      <c r="HR106" s="86" t="str">
        <f>IFERROR(IF(VLOOKUP(A106,tbMoveset!A2:B112,2,FALSE)="Sever",Backdoors!AY35/100,IF(VLOOKUP(A106,tbMoveset!A2:B112,2,FALSE)="Blunt",Backdoors!AZ35/100,Backdoors!BA35/100)),"")</f>
        <v/>
      </c>
      <c r="HS106" s="49">
        <f>IFERROR(IF(VLOOKUP(tbMoveset!A106,tbMoveset!A2:H112,8,FALSE)="Other",IF(VLOOKUP(tbMoveset!A106,tbMoveset!A2:I112,9,FALSE)="Fire",Backdoors!BB35,IF(VLOOKUP(tbMoveset!A106,tbMoveset!A2:I112,9,FALSE)="Water",Backdoors!BC35,IF(VLOOKUP(tbMoveset!A106,tbMoveset!A2:I112,9,FALSE)="Thunder",Backdoors!BD35,IF(VLOOKUP(tbMoveset!A106,tbMoveset!A2:I112,9,FALSE)="Ice",Backdoors!BE35,IF(VLOOKUP(tbMoveset!A106,tbMoveset!A2:I112,9,FALSE)="Dragon",Backdoors!BF35,Backdoors!BG35)))))/100,Backdoors!BG35/100),"")</f>
        <v>0</v>
      </c>
      <c r="HT106" s="49">
        <f>IFERROR(IF(VLOOKUP(A106,tbMoveset!A2:J112,10,FALSE)=TRUE,IF((Backdoors!AI12+IF(HR106&gt;=0.45,VLOOKUP(Calculator!E23,tbSkills!DH3:DI6,2,FALSE)+IF(AND(Calculator!B8=TRUE,Backdoors!BI35=TRUE),VLOOKUP(Calculator!E23,tbSkills!DH3:DJ6,3,FALSE),0),0))&gt;=0,1+(Backdoors!AL2*(IF((Backdoors!AI12+IF(HR106&gt;=0.45,VLOOKUP(Calculator!E23,tbSkills!DH3:DI6,2,FALSE)+IF(AND(Calculator!B8=TRUE,Backdoors!BI35=TRUE),VLOOKUP(Calculator!E23,tbSkills!DH3:DJ6,3,FALSE),0),0))&gt;=100,100,(Backdoors!AI12+IF(HR106&gt;=0.45,VLOOKUP(Calculator!E23,tbSkills!DH3:DI6,2,FALSE)+IF(AND(Calculator!B8=TRUE,Backdoors!BI35=TRUE),VLOOKUP(Calculator!E23,tbSkills!DH3:DJ6,3,FALSE),0),0)))/100)),(1-(0.25*((-Backdoors!AI12-IF(HR106&gt;=0.45,VLOOKUP(Calculator!E23,tbSkills!DH3:DI6,2,FALSE)+IF(AND(Calculator!B8=TRUE,Backdoors!BI35=TRUE),VLOOKUP(Calculator!E23,tbSkills!DH3:DJ6,3,FALSE),0),0))/100)))),1),"")</f>
        <v>1</v>
      </c>
      <c r="HU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R106)*HT106)*(VLOOKUP(A106,tbMoveset!A2:C112,3,FALSE)/100)*IF(VLOOKUP(A106,tbMoveset!A2:B112,2,FALSE)="Projectile",Backdoors!N10,Backdoors!N9),0),"")</f>
        <v/>
      </c>
      <c r="HV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R106&gt;=0.45,VLOOKUP(Calculator!E23,tbSkills!DH3:DI6,2,FALSE)+IF(AND(Calculator!B8=TRUE,Backdoors!BI35=TRUE),VLOOKUP(Calculator!E23,tbSkills!DH3:DJ6,3,FALSE),0),0))&gt;=100,100,(Backdoors!AI12+IF(HR106&gt;=0.45,VLOOKUP(Calculator!E23,tbSkills!DH3:DI6,2,FALSE)+IF(AND(Calculator!B8=TRUE,Backdoors!BI35=TRUE),VLOOKUP(Calculator!E23,tbSkills!DH3:DJ6,3,FALSE),0),0)))/100)),1))*IF(VLOOKUP(A106,tbMoveset!A2:K112,11,FALSE)=TRUE,Backdoors!AC5,1))*HS106,0),"")</f>
        <v>0</v>
      </c>
      <c r="HW106" s="49">
        <f>VLOOKUP(A106,tbMoveset!A2:G112,7,FALSE)*IFERROR(IF(Backdoors!AI12&gt;=0,1+(IF(Calculator!E40&gt;0,VLOOKUP(Calculator!E40,tbSkills!AI3:AJ5,2,FALSE),Backdoors!AL4)*(IF((Backdoors!AI12+IF(HR106&gt;=0.45,VLOOKUP(Calculator!E23,tbSkills!DH3:DI6,2,FALSE)+IF(AND(Calculator!B8=TRUE,Backdoors!BI35=TRUE),VLOOKUP(Calculator!E23,tbSkills!DH3:DJ6,3,FALSE),0),0))&gt;=100,100,(Backdoors!AI12+IF(HR106&gt;=0.45,VLOOKUP(Calculator!E23,tbSkills!DH3:DI6,2,FALSE)+IF(AND(Calculator!B8=TRUE,Backdoors!BI35=TRUE),VLOOKUP(Calculator!E23,tbSkills!DH3:DJ6,3,FALSE),0),0)))/100)),1),1)</f>
        <v>0.4</v>
      </c>
      <c r="HX106" s="87">
        <f t="shared" si="83"/>
        <v>0</v>
      </c>
      <c r="HY106" s="86" t="str">
        <f>IFERROR(IF(VLOOKUP(A106,tbMoveset!A2:B112,2,FALSE)="Sever",Backdoors!AY36/100,IF(VLOOKUP(A106,tbMoveset!A2:B112,2,FALSE)="Blunt",Backdoors!AZ36/100,Backdoors!BA36/100)),"")</f>
        <v/>
      </c>
      <c r="HZ106" s="49">
        <f>IFERROR(IF(VLOOKUP(tbMoveset!A106,tbMoveset!A2:H112,8,FALSE)="Other",IF(VLOOKUP(tbMoveset!A106,tbMoveset!A2:I112,9,FALSE)="Fire",Backdoors!BB36,IF(VLOOKUP(tbMoveset!A106,tbMoveset!A2:I112,9,FALSE)="Water",Backdoors!BC36,IF(VLOOKUP(tbMoveset!A106,tbMoveset!A2:I112,9,FALSE)="Thunder",Backdoors!BD36,IF(VLOOKUP(tbMoveset!A106,tbMoveset!A2:I112,9,FALSE)="Ice",Backdoors!BE36,IF(VLOOKUP(tbMoveset!A106,tbMoveset!A2:I112,9,FALSE)="Dragon",Backdoors!BF36,Backdoors!BG36)))))/100,Backdoors!BG36/100),"")</f>
        <v>0</v>
      </c>
      <c r="IA106" s="49">
        <f>IFERROR(IF(VLOOKUP(A106,tbMoveset!A2:J112,10,FALSE)=TRUE,IF((Backdoors!AI12+IF(HY106&gt;=0.45,VLOOKUP(Calculator!E23,tbSkills!DH3:DI6,2,FALSE)+IF(AND(Calculator!B8=TRUE,Backdoors!BI36=TRUE),VLOOKUP(Calculator!E23,tbSkills!DH3:DJ6,3,FALSE),0),0))&gt;=0,1+(Backdoors!AL2*(IF((Backdoors!AI12+IF(HY106&gt;=0.45,VLOOKUP(Calculator!E23,tbSkills!DH3:DI6,2,FALSE)+IF(AND(Calculator!B8=TRUE,Backdoors!BI36=TRUE),VLOOKUP(Calculator!E23,tbSkills!DH3:DJ6,3,FALSE),0),0))&gt;=100,100,(Backdoors!AI12+IF(HY106&gt;=0.45,VLOOKUP(Calculator!E23,tbSkills!DH3:DI6,2,FALSE)+IF(AND(Calculator!B8=TRUE,Backdoors!BI36=TRUE),VLOOKUP(Calculator!E23,tbSkills!DH3:DJ6,3,FALSE),0),0)))/100)),(1-(0.25*((-Backdoors!AI12-IF(HY106&gt;=0.45,VLOOKUP(Calculator!E23,tbSkills!DH3:DI6,2,FALSE)+IF(AND(Calculator!B8=TRUE,Backdoors!BI36=TRUE),VLOOKUP(Calculator!E23,tbSkills!DH3:DJ6,3,FALSE),0),0))/100)))),1),"")</f>
        <v>1</v>
      </c>
      <c r="IB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Y106)*IA106)*(VLOOKUP(A106,tbMoveset!A2:C112,3,FALSE)/100)*IF(VLOOKUP(A106,tbMoveset!A2:B112,2,FALSE)="Projectile",Backdoors!N10,Backdoors!N9),0),"")</f>
        <v/>
      </c>
      <c r="IC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Y106&gt;=0.45,VLOOKUP(Calculator!E23,tbSkills!DH3:DI6,2,FALSE)+IF(AND(Calculator!B8=TRUE,Backdoors!BI36=TRUE),VLOOKUP(Calculator!E23,tbSkills!DH3:DJ6,3,FALSE),0),0))&gt;=100,100,(Backdoors!AI12+IF(HY106&gt;=0.45,VLOOKUP(Calculator!E23,tbSkills!DH3:DI6,2,FALSE)+IF(AND(Calculator!B8=TRUE,Backdoors!BI36=TRUE),VLOOKUP(Calculator!E23,tbSkills!DH3:DJ6,3,FALSE),0),0)))/100)),1))*IF(VLOOKUP(A106,tbMoveset!A2:K112,11,FALSE)=TRUE,Backdoors!AC5,1))*HZ106,0),"")</f>
        <v>0</v>
      </c>
      <c r="ID106" s="49">
        <f>VLOOKUP(A106,tbMoveset!A2:G112,7,FALSE)*IFERROR(IF(Backdoors!AI12&gt;=0,1+(IF(Calculator!E40&gt;0,VLOOKUP(Calculator!E40,tbSkills!AI3:AJ5,2,FALSE),Backdoors!AL4)*(IF((Backdoors!AI12+IF(HY106&gt;=0.45,VLOOKUP(Calculator!E23,tbSkills!DH3:DI6,2,FALSE)+IF(AND(Calculator!B8=TRUE,Backdoors!BI36=TRUE),VLOOKUP(Calculator!E23,tbSkills!DH3:DJ6,3,FALSE),0),0))&gt;=100,100,(Backdoors!AI12+IF(HY106&gt;=0.45,VLOOKUP(Calculator!E23,tbSkills!DH3:DI6,2,FALSE)+IF(AND(Calculator!B8=TRUE,Backdoors!BI36=TRUE),VLOOKUP(Calculator!E23,tbSkills!DH3:DJ6,3,FALSE),0),0)))/100)),1),1)</f>
        <v>0.4</v>
      </c>
      <c r="IE106" s="87">
        <f t="shared" si="84"/>
        <v>0</v>
      </c>
      <c r="IF106" s="86" t="str">
        <f>IFERROR(IF(VLOOKUP(A106,tbMoveset!A2:B112,2,FALSE)="Sever",Backdoors!AY37/100,IF(VLOOKUP(A106,tbMoveset!A2:B112,2,FALSE)="Blunt",Backdoors!AZ37/100,Backdoors!BA37/100)),"")</f>
        <v/>
      </c>
      <c r="IG106" s="49">
        <f>IFERROR(IF(VLOOKUP(tbMoveset!A106,tbMoveset!A2:H112,8,FALSE)="Other",IF(VLOOKUP(tbMoveset!A106,tbMoveset!A2:I112,9,FALSE)="Fire",Backdoors!BB37,IF(VLOOKUP(tbMoveset!A106,tbMoveset!A2:I112,9,FALSE)="Water",Backdoors!BC37,IF(VLOOKUP(tbMoveset!A106,tbMoveset!A2:I112,9,FALSE)="Thunder",Backdoors!BD37,IF(VLOOKUP(tbMoveset!A106,tbMoveset!A2:I112,9,FALSE)="Ice",Backdoors!BE37,IF(VLOOKUP(tbMoveset!A106,tbMoveset!A2:I112,9,FALSE)="Dragon",Backdoors!BF37,Backdoors!BG37)))))/100,Backdoors!BG37/100),"")</f>
        <v>0</v>
      </c>
      <c r="IH106" s="49">
        <f>IFERROR(IF(VLOOKUP(A106,tbMoveset!A2:J112,10,FALSE)=TRUE,IF((Backdoors!AI12+IF(IF106&gt;=0.45,VLOOKUP(Calculator!E23,tbSkills!DH3:DI6,2,FALSE)+IF(AND(Calculator!B8=TRUE,Backdoors!BI37=TRUE),VLOOKUP(Calculator!E23,tbSkills!DH3:DJ6,3,FALSE),0),0))&gt;=0,1+(Backdoors!AL2*(IF((Backdoors!AI12+IF(IF106&gt;=0.45,VLOOKUP(Calculator!E23,tbSkills!DH3:DI6,2,FALSE)+IF(AND(Calculator!B8=TRUE,Backdoors!BI37=TRUE),VLOOKUP(Calculator!E23,tbSkills!DH3:DJ6,3,FALSE),0),0))&gt;=100,100,(Backdoors!AI12+IF(IF106&gt;=0.45,VLOOKUP(Calculator!E23,tbSkills!DH3:DI6,2,FALSE)+IF(AND(Calculator!B8=TRUE,Backdoors!BI37=TRUE),VLOOKUP(Calculator!E23,tbSkills!DH3:DJ6,3,FALSE),0),0)))/100)),(1-(0.25*((-Backdoors!AI12-IF(IF106&gt;=0.45,VLOOKUP(Calculator!E23,tbSkills!DH3:DI6,2,FALSE)+IF(AND(Calculator!B8=TRUE,Backdoors!BI37=TRUE),VLOOKUP(Calculator!E23,tbSkills!DH3:DJ6,3,FALSE),0),0))/100)))),1),"")</f>
        <v>1</v>
      </c>
      <c r="II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F106)*IH106)*(VLOOKUP(A106,tbMoveset!A2:C112,3,FALSE)/100)*IF(VLOOKUP(A106,tbMoveset!A2:B112,2,FALSE)="Projectile",Backdoors!N10,Backdoors!N9),0),"")</f>
        <v/>
      </c>
      <c r="IJ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IF106&gt;=0.45,VLOOKUP(Calculator!E23,tbSkills!DH3:DI6,2,FALSE)+IF(AND(Calculator!B8=TRUE,Backdoors!BI37=TRUE),VLOOKUP(Calculator!E23,tbSkills!DH3:DJ6,3,FALSE),0),0))&gt;=100,100,(Backdoors!AI12+IF(IF106&gt;=0.45,VLOOKUP(Calculator!E23,tbSkills!DH3:DI6,2,FALSE)+IF(AND(Calculator!B8=TRUE,Backdoors!BI37=TRUE),VLOOKUP(Calculator!E23,tbSkills!DH3:DJ6,3,FALSE),0),0)))/100)),1))*IF(VLOOKUP(A106,tbMoveset!A2:K112,11,FALSE)=TRUE,Backdoors!AC5,1))*IG106,0),"")</f>
        <v>0</v>
      </c>
      <c r="IK106" s="49">
        <f>VLOOKUP(A106,tbMoveset!A2:G112,7,FALSE)*IFERROR(IF(Backdoors!AI12&gt;=0,1+(IF(Calculator!E40&gt;0,VLOOKUP(Calculator!E40,tbSkills!AI3:AJ5,2,FALSE),Backdoors!AL4)*(IF((Backdoors!AI12+IF(IF106&gt;=0.45,VLOOKUP(Calculator!E23,tbSkills!DH3:DI6,2,FALSE)+IF(AND(Calculator!B8=TRUE,Backdoors!BI37=TRUE),VLOOKUP(Calculator!E23,tbSkills!DH3:DJ6,3,FALSE),0),0))&gt;=100,100,(Backdoors!AI12+IF(IF106&gt;=0.45,VLOOKUP(Calculator!E23,tbSkills!DH3:DI6,2,FALSE)+IF(AND(Calculator!B8=TRUE,Backdoors!BI37=TRUE),VLOOKUP(Calculator!E23,tbSkills!DH3:DJ6,3,FALSE),0),0)))/100)),1),1)</f>
        <v>0.4</v>
      </c>
      <c r="IL106" s="87">
        <f t="shared" si="85"/>
        <v>0</v>
      </c>
      <c r="IM106" s="86" t="str">
        <f>IFERROR(IF(VLOOKUP(A106,tbMoveset!A2:B112,2,FALSE)="Sever",Backdoors!AY38/100,IF(VLOOKUP(A106,tbMoveset!A2:B112,2,FALSE)="Blunt",Backdoors!AZ38/100,Backdoors!BA38/100)),"")</f>
        <v/>
      </c>
      <c r="IN106" s="49">
        <f>IFERROR(IF(VLOOKUP(tbMoveset!A106,tbMoveset!A2:H112,8,FALSE)="Other",IF(VLOOKUP(tbMoveset!A106,tbMoveset!A2:I112,9,FALSE)="Fire",Backdoors!BB38,IF(VLOOKUP(tbMoveset!A106,tbMoveset!A2:I112,9,FALSE)="Water",Backdoors!BC38,IF(VLOOKUP(tbMoveset!A106,tbMoveset!A2:I112,9,FALSE)="Thunder",Backdoors!BD38,IF(VLOOKUP(tbMoveset!A106,tbMoveset!A2:I112,9,FALSE)="Ice",Backdoors!BE38,IF(VLOOKUP(tbMoveset!A106,tbMoveset!A2:I112,9,FALSE)="Dragon",Backdoors!BF38,Backdoors!BG38)))))/100,Backdoors!BG38/100),"")</f>
        <v>0</v>
      </c>
      <c r="IO106" s="49">
        <f>IFERROR(IF(VLOOKUP(A106,tbMoveset!A2:J112,10,FALSE)=TRUE,IF((Backdoors!AI12+IF(IM106&gt;=0.45,VLOOKUP(Calculator!E23,tbSkills!DH3:DI6,2,FALSE)+IF(AND(Calculator!B8=TRUE,Backdoors!BI38=TRUE),VLOOKUP(Calculator!E23,tbSkills!DH3:DJ6,3,FALSE),0),0))&gt;=0,1+(Backdoors!AL2*(IF((Backdoors!AI12+IF(IM106&gt;=0.45,VLOOKUP(Calculator!E23,tbSkills!DH3:DI6,2,FALSE)+IF(AND(Calculator!B8=TRUE,Backdoors!BI38=TRUE),VLOOKUP(Calculator!E23,tbSkills!DH3:DJ6,3,FALSE),0),0))&gt;=100,100,(Backdoors!AI12+IF(IM106&gt;=0.45,VLOOKUP(Calculator!E23,tbSkills!DH3:DI6,2,FALSE)+IF(AND(Calculator!B8=TRUE,Backdoors!BI38=TRUE),VLOOKUP(Calculator!E23,tbSkills!DH3:DJ6,3,FALSE),0),0)))/100)),(1-(0.25*((-Backdoors!AI12-IF(IM106&gt;=0.45,VLOOKUP(Calculator!E23,tbSkills!DH3:DI6,2,FALSE)+IF(AND(Calculator!B8=TRUE,Backdoors!BI38=TRUE),VLOOKUP(Calculator!E23,tbSkills!DH3:DJ6,3,FALSE),0),0))/100)))),1),"")</f>
        <v>1</v>
      </c>
      <c r="IP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M106)*IO106)*(VLOOKUP(A106,tbMoveset!A2:C112,3,FALSE)/100)*IF(VLOOKUP(A106,tbMoveset!A2:B112,2,FALSE)="Projectile",Backdoors!N10,Backdoors!N9),0),"")</f>
        <v/>
      </c>
      <c r="IQ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IM106&gt;=0.45,VLOOKUP(Calculator!E23,tbSkills!DH3:DI6,2,FALSE)+IF(AND(Calculator!B8=TRUE,Backdoors!BI38=TRUE),VLOOKUP(Calculator!E23,tbSkills!DH3:DJ6,3,FALSE),0),0))&gt;=100,100,(Backdoors!AI12+IF(IM106&gt;=0.45,VLOOKUP(Calculator!E23,tbSkills!DH3:DI6,2,FALSE)+IF(AND(Calculator!B8=TRUE,Backdoors!BI38=TRUE),VLOOKUP(Calculator!E23,tbSkills!DH3:DJ6,3,FALSE),0),0)))/100)),1))*IF(VLOOKUP(A106,tbMoveset!A2:K112,11,FALSE)=TRUE,Backdoors!AC5,1))*IN106,0),"")</f>
        <v>0</v>
      </c>
      <c r="IR106" s="49">
        <f>VLOOKUP(A106,tbMoveset!A2:G112,7,FALSE)*IFERROR(IF(Backdoors!AI12&gt;=0,1+(IF(Calculator!E40&gt;0,VLOOKUP(Calculator!E40,tbSkills!AI3:AJ5,2,FALSE),Backdoors!AL4)*(IF((Backdoors!AI12+IF(IM106&gt;=0.45,VLOOKUP(Calculator!E23,tbSkills!DH3:DI6,2,FALSE)+IF(AND(Calculator!B8=TRUE,Backdoors!BI38=TRUE),VLOOKUP(Calculator!E23,tbSkills!DH3:DJ6,3,FALSE),0),0))&gt;=100,100,(Backdoors!AI12+IF(IM106&gt;=0.45,VLOOKUP(Calculator!E23,tbSkills!DH3:DI6,2,FALSE)+IF(AND(Calculator!B8=TRUE,Backdoors!BI38=TRUE),VLOOKUP(Calculator!E23,tbSkills!DH3:DJ6,3,FALSE),0),0)))/100)),1),1)</f>
        <v>0.4</v>
      </c>
      <c r="IS106" s="87">
        <f t="shared" si="86"/>
        <v>0</v>
      </c>
      <c r="IT106" s="86" t="str">
        <f>IFERROR(IF(VLOOKUP(A106,tbMoveset!A2:B112,2,FALSE)="Sever",Backdoors!AY39/100,IF(VLOOKUP(A106,tbMoveset!A2:B112,2,FALSE)="Blunt",Backdoors!AZ39/100,Backdoors!BA39/100)),"")</f>
        <v/>
      </c>
      <c r="IU106" s="49">
        <f>IFERROR(IF(VLOOKUP(tbMoveset!A106,tbMoveset!A2:H112,8,FALSE)="Other",IF(VLOOKUP(tbMoveset!A106,tbMoveset!A2:I112,9,FALSE)="Fire",Backdoors!BB39,IF(VLOOKUP(tbMoveset!A106,tbMoveset!A2:I112,9,FALSE)="Water",Backdoors!BC39,IF(VLOOKUP(tbMoveset!A106,tbMoveset!A2:I112,9,FALSE)="Thunder",Backdoors!BD39,IF(VLOOKUP(tbMoveset!A106,tbMoveset!A2:I112,9,FALSE)="Ice",Backdoors!BE39,IF(VLOOKUP(tbMoveset!A106,tbMoveset!A2:I112,9,FALSE)="Dragon",Backdoors!BF39,Backdoors!BG39)))))/100,Backdoors!BG39/100),"")</f>
        <v>0</v>
      </c>
      <c r="IV106" s="49">
        <f>IFERROR(IF(VLOOKUP(A106,tbMoveset!A2:J112,10,FALSE)=TRUE,IF((Backdoors!AI12+IF(IT106&gt;=0.45,VLOOKUP(Calculator!E23,tbSkills!DH3:DI6,2,FALSE)+IF(AND(Calculator!B8=TRUE,Backdoors!BI39=TRUE),VLOOKUP(Calculator!E23,tbSkills!DH3:DJ6,3,FALSE),0),0))&gt;=0,1+(Backdoors!AL2*(IF((Backdoors!AI12+IF(IT106&gt;=0.45,VLOOKUP(Calculator!E23,tbSkills!DH3:DI6,2,FALSE)+IF(AND(Calculator!B8=TRUE,Backdoors!BI39=TRUE),VLOOKUP(Calculator!E23,tbSkills!DH3:DJ6,3,FALSE),0),0))&gt;=100,100,(Backdoors!AI12+IF(IT106&gt;=0.45,VLOOKUP(Calculator!E23,tbSkills!DH3:DI6,2,FALSE)+IF(AND(Calculator!B8=TRUE,Backdoors!BI39=TRUE),VLOOKUP(Calculator!E23,tbSkills!DH3:DJ6,3,FALSE),0),0)))/100)),(1-(0.25*((-Backdoors!AI12-IF(IT106&gt;=0.45,VLOOKUP(Calculator!E23,tbSkills!DH3:DI6,2,FALSE)+IF(AND(Calculator!B8=TRUE,Backdoors!BI39=TRUE),VLOOKUP(Calculator!E23,tbSkills!DH3:DJ6,3,FALSE),0),0))/100)))),1),"")</f>
        <v>1</v>
      </c>
      <c r="IW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T106)*IV106)*(VLOOKUP(A106,tbMoveset!A2:C112,3,FALSE)/100)*IF(VLOOKUP(A106,tbMoveset!A2:B112,2,FALSE)="Projectile",Backdoors!N10,Backdoors!N9),0),"")</f>
        <v/>
      </c>
      <c r="IX106" s="49">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40&gt;0,VLOOKUP(Calculator!E40,tbSkills!AC3:AD5,2,FALSE),Backdoors!AL3)*(IF((Backdoors!AI12+IF(IT106&gt;=0.45,VLOOKUP(Calculator!E23,tbSkills!DH3:DI6,2,FALSE)+IF(AND(Calculator!B8=TRUE,Backdoors!BI39=TRUE),VLOOKUP(Calculator!E23,tbSkills!DH3:DJ6,3,FALSE),0),0))&gt;=100,100,(Backdoors!AI12+IF(IT106&gt;=0.45,VLOOKUP(Calculator!E23,tbSkills!DH3:DI6,2,FALSE)+IF(AND(Calculator!B8=TRUE,Backdoors!BI39=TRUE),VLOOKUP(Calculator!E23,tbSkills!DH3:DJ6,3,FALSE),0),0)))/100)),1))*IF(VLOOKUP(A106,tbMoveset!A2:K112,11,FALSE)=TRUE,Backdoors!AC5,1))*IU106,0),"")</f>
        <v>0</v>
      </c>
      <c r="IY106" s="49">
        <f>VLOOKUP(A106,tbMoveset!A2:G112,7,FALSE)*IFERROR(IF(Backdoors!AI12&gt;=0,1+(IF(Calculator!E40&gt;0,VLOOKUP(Calculator!E40,tbSkills!AI3:AJ5,2,FALSE),Backdoors!AL4)*(IF((Backdoors!AI12+IF(IT106&gt;=0.45,VLOOKUP(Calculator!E23,tbSkills!DH3:DI6,2,FALSE)+IF(AND(Calculator!B8=TRUE,Backdoors!BI39=TRUE),VLOOKUP(Calculator!E23,tbSkills!DH3:DJ6,3,FALSE),0),0))&gt;=100,100,(Backdoors!AI12+IF(IT106&gt;=0.45,VLOOKUP(Calculator!E23,tbSkills!DH3:DI6,2,FALSE)+IF(AND(Calculator!B8=TRUE,Backdoors!BI39=TRUE),VLOOKUP(Calculator!E23,tbSkills!DH3:DJ6,3,FALSE),0),0)))/100)),1),1)</f>
        <v>0.4</v>
      </c>
      <c r="IZ106" s="87">
        <f t="shared" si="87"/>
        <v>0</v>
      </c>
      <c r="JA106" s="86" t="str">
        <f>IFERROR(IF(VLOOKUP(A106,tbMoveset!A2:B112,2,FALSE)="Sever",Backdoors!AY40/100,IF(VLOOKUP(A106,tbMoveset!A2:B112,2,FALSE)="Blunt",Backdoors!AZ40/100,Backdoors!BA40/100)),"")</f>
        <v/>
      </c>
      <c r="JB106" s="49">
        <f>IFERROR(IF(VLOOKUP(tbMoveset!A106,tbMoveset!A2:H112,8,FALSE)="Other",IF(VLOOKUP(tbMoveset!A106,tbMoveset!A2:I112,9,FALSE)="Fire",Backdoors!BB40,IF(VLOOKUP(tbMoveset!A106,tbMoveset!A2:I112,9,FALSE)="Water",Backdoors!BC40,IF(VLOOKUP(tbMoveset!A106,tbMoveset!A2:I112,9,FALSE)="Thunder",Backdoors!BD40,IF(VLOOKUP(tbMoveset!A106,tbMoveset!A2:I112,9,FALSE)="Ice",Backdoors!BE40,IF(VLOOKUP(tbMoveset!A106,tbMoveset!A2:I112,9,FALSE)="Dragon",Backdoors!BF40,Backdoors!BG40)))))/100,Backdoors!BG40/100),"")</f>
        <v>0</v>
      </c>
      <c r="JC106" s="49">
        <f>IFERROR(IF(VLOOKUP(A106,tbMoveset!A2:J112,10,FALSE)=TRUE,IF((Backdoors!AI12+IF(JA106&gt;=0.45,VLOOKUP(Calculator!E23,tbSkills!DH3:DI6,2,FALSE)+IF(AND(Calculator!B8=TRUE,Backdoors!BI40=TRUE),VLOOKUP(Calculator!E23,tbSkills!DH3:DJ6,3,FALSE),0),0))&gt;=0,1+(Backdoors!AL2*(IF((Backdoors!AI12+IF(JA106&gt;=0.45,VLOOKUP(Calculator!E23,tbSkills!DH3:DI6,2,FALSE)+IF(AND(Calculator!B8=TRUE,Backdoors!BI40=TRUE),VLOOKUP(Calculator!E23,tbSkills!DH3:DJ6,3,FALSE),0),0))&gt;=100,100,(Backdoors!AI12+IF(JA106&gt;=0.45,VLOOKUP(Calculator!E23,tbSkills!DH3:DI6,2,FALSE)+IF(AND(Calculator!B8=TRUE,Backdoors!BI40=TRUE),VLOOKUP(Calculator!E23,tbSkills!DH3:DJ6,3,FALSE),0),0)))/100)),(1-(0.25*((-Backdoors!AI12-IF(JA106&gt;=0.45,VLOOKUP(Calculator!E23,tbSkills!DH3:DI6,2,FALSE)+IF(AND(Calculator!B8=TRUE,Backdoors!BI40=TRUE),VLOOKUP(Calculator!E23,tbSkills!DH3:DJ6,3,FALSE),0),0))/100)))),1),"")</f>
        <v>1</v>
      </c>
      <c r="JD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A106)*JC106)*(VLOOKUP(A106,tbMoveset!A2:C112,3,FALSE)/100)*IF(VLOOKUP(A106,tbMoveset!A2:B112,2,FALSE)="Projectile",Backdoors!N10,Backdoors!N9),0),"")</f>
        <v/>
      </c>
      <c r="JE106" s="49">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42&gt;0,VLOOKUP(Calculator!E42,tbSkills!AC3:AD5,2,FALSE),Backdoors!AL3)*(IF((Backdoors!AI12+IF(JA106&gt;=0.45,VLOOKUP(Calculator!E23,tbSkills!DH3:DI6,2,FALSE)+IF(AND(Calculator!B8=TRUE,Backdoors!BI40=TRUE),VLOOKUP(Calculator!E23,tbSkills!DH3:DJ6,3,FALSE),0),0))&gt;=100,100,(Backdoors!AI12+IF(JA106&gt;=0.45,VLOOKUP(Calculator!E23,tbSkills!DH3:DI6,2,FALSE)+IF(AND(Calculator!B8=TRUE,Backdoors!BI40=TRUE),VLOOKUP(Calculator!E23,tbSkills!DH3:DJ6,3,FALSE),0),0)))/100)),1))*IF(VLOOKUP(A106,tbMoveset!A2:K112,11,FALSE)=TRUE,Backdoors!AC5,1))*JB106,0),"")</f>
        <v>0</v>
      </c>
      <c r="JF106" s="49">
        <f>VLOOKUP(A106,tbMoveset!A2:G112,7,FALSE)*IFERROR(IF(Backdoors!AI12&gt;=0,1+(IF(Calculator!E40&gt;0,VLOOKUP(Calculator!E40,tbSkills!AI3:AJ5,2,FALSE),Backdoors!AL4)*(IF((Backdoors!AI12+IF(JA106&gt;=0.45,VLOOKUP(Calculator!E23,tbSkills!DH3:DI6,2,FALSE)+IF(AND(Calculator!B8=TRUE,Backdoors!BI40=TRUE),VLOOKUP(Calculator!E23,tbSkills!DH3:DJ6,3,FALSE),0),0))&gt;=100,100,(Backdoors!AI12+IF(JA106&gt;=0.45,VLOOKUP(Calculator!E23,tbSkills!DH3:DI6,2,FALSE)+IF(AND(Calculator!B8=TRUE,Backdoors!BI40=TRUE),VLOOKUP(Calculator!E23,tbSkills!DH3:DJ6,3,FALSE),0),0)))/100)),1),1)</f>
        <v>0.4</v>
      </c>
      <c r="JG106" s="87">
        <f t="shared" si="88"/>
        <v>0</v>
      </c>
      <c r="JH106" s="86" t="str">
        <f>IFERROR(IF(VLOOKUP(A106,tbMoveset!A2:B112,2,FALSE)="Sever",Backdoors!AY41/100,IF(VLOOKUP(A106,tbMoveset!A2:B112,2,FALSE)="Blunt",Backdoors!AZ41/100,Backdoors!BA41/100)),"")</f>
        <v/>
      </c>
      <c r="JI106" s="49">
        <f>IFERROR(IF(VLOOKUP(tbMoveset!A106,tbMoveset!A2:H112,8,FALSE)="Other",IF(VLOOKUP(tbMoveset!A106,tbMoveset!A2:I112,9,FALSE)="Fire",Backdoors!BB41,IF(VLOOKUP(tbMoveset!A106,tbMoveset!A2:I112,9,FALSE)="Water",Backdoors!BC41,IF(VLOOKUP(tbMoveset!A106,tbMoveset!A2:I112,9,FALSE)="Thunder",Backdoors!BD41,IF(VLOOKUP(tbMoveset!A106,tbMoveset!A2:I112,9,FALSE)="Ice",Backdoors!BE41,IF(VLOOKUP(tbMoveset!A106,tbMoveset!A2:I112,9,FALSE)="Dragon",Backdoors!BF41,Backdoors!BG41)))))/100,Backdoors!BG41/100),"")</f>
        <v>0</v>
      </c>
      <c r="JJ106" s="49">
        <f>IFERROR(IF(VLOOKUP(A106,tbMoveset!A2:J112,10,FALSE)=TRUE,IF((Backdoors!AI12+IF(JH106&gt;=0.45,VLOOKUP(Calculator!E23,tbSkills!DH3:DI6,2,FALSE)+IF(AND(Calculator!B8=TRUE,Backdoors!BI41=TRUE),VLOOKUP(Calculator!E23,tbSkills!DH3:DJ6,3,FALSE),0),0))&gt;=0,1+(Backdoors!AL2*(IF((Backdoors!AI12+IF(JH106&gt;=0.45,VLOOKUP(Calculator!E23,tbSkills!DH3:DI6,2,FALSE)+IF(AND(Calculator!B8=TRUE,Backdoors!BI41=TRUE),VLOOKUP(Calculator!E23,tbSkills!DH3:DJ6,3,FALSE),0),0))&gt;=100,100,(Backdoors!AI12+IF(JH106&gt;=0.45,VLOOKUP(Calculator!E23,tbSkills!DH3:DI6,2,FALSE)+IF(AND(Calculator!B8=TRUE,Backdoors!BI41=TRUE),VLOOKUP(Calculator!E23,tbSkills!DH3:DJ6,3,FALSE),0),0)))/100)),(1-(0.25*((-Backdoors!AI12-IF(JH106&gt;=0.45,VLOOKUP(Calculator!E23,tbSkills!DH3:DI6,2,FALSE)+IF(AND(Calculator!B8=TRUE,Backdoors!BI41=TRUE),VLOOKUP(Calculator!E23,tbSkills!DH3:DJ6,3,FALSE),0),0))/100)))),1),"")</f>
        <v>1</v>
      </c>
      <c r="JK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H106)*JJ106)*(VLOOKUP(A106,tbMoveset!A2:C112,3,FALSE)/100)*IF(VLOOKUP(A106,tbMoveset!A2:B112,2,FALSE)="Projectile",Backdoors!N10,Backdoors!N9),0),"")</f>
        <v/>
      </c>
      <c r="JL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43&gt;0,VLOOKUP(Calculator!E43,tbSkills!AC3:AD5,2,FALSE),Backdoors!AL3)*(IF((Backdoors!AI12+IF(JH106&gt;=0.45,VLOOKUP(Calculator!E23,tbSkills!DH3:DI6,2,FALSE)+IF(AND(Calculator!B8=TRUE,Backdoors!BI41=TRUE),VLOOKUP(Calculator!E23,tbSkills!DH3:DJ6,3,FALSE),0),0))&gt;=100,100,(Backdoors!AI12+IF(JH106&gt;=0.45,VLOOKUP(Calculator!E23,tbSkills!DH3:DI6,2,FALSE)+IF(AND(Calculator!B8=TRUE,Backdoors!BI41=TRUE),VLOOKUP(Calculator!E23,tbSkills!DH3:DJ6,3,FALSE),0),0)))/100)),1))*IF(VLOOKUP(A106,tbMoveset!A2:K112,11,FALSE)=TRUE,Backdoors!AC5,1))*JI106,0),"")</f>
        <v/>
      </c>
      <c r="JM106" s="49">
        <f>VLOOKUP(A106,tbMoveset!A2:G112,7,FALSE)*IFERROR(IF(Backdoors!AI12&gt;=0,1+(IF(Calculator!E40&gt;0,VLOOKUP(Calculator!E40,tbSkills!AI3:AJ5,2,FALSE),Backdoors!AL4)*(IF((Backdoors!AI12+IF(JH106&gt;=0.45,VLOOKUP(Calculator!E23,tbSkills!DH3:DI6,2,FALSE)+IF(AND(Calculator!B8=TRUE,Backdoors!BI41=TRUE),VLOOKUP(Calculator!E23,tbSkills!DH3:DJ6,3,FALSE),0),0))&gt;=100,100,(Backdoors!AI12+IF(JH106&gt;=0.45,VLOOKUP(Calculator!E23,tbSkills!DH3:DI6,2,FALSE)+IF(AND(Calculator!B8=TRUE,Backdoors!BI41=TRUE),VLOOKUP(Calculator!E23,tbSkills!DH3:DJ6,3,FALSE),0),0)))/100)),1),1)</f>
        <v>0.4</v>
      </c>
      <c r="JN106" s="87">
        <f t="shared" si="89"/>
        <v>0</v>
      </c>
      <c r="JO106" s="86" t="str">
        <f>IFERROR(IF(VLOOKUP(A106,tbMoveset!A2:B112,2,FALSE)="Sever",Backdoors!AY42/100,IF(VLOOKUP(A106,tbMoveset!A2:B112,2,FALSE)="Blunt",Backdoors!AZ42/100,Backdoors!BA42/100)),"")</f>
        <v/>
      </c>
      <c r="JP106" s="49">
        <f>IFERROR(IF(VLOOKUP(tbMoveset!A106,tbMoveset!A2:H112,8,FALSE)="Other",IF(VLOOKUP(tbMoveset!A106,tbMoveset!A2:I112,9,FALSE)="Fire",Backdoors!BB42,IF(VLOOKUP(tbMoveset!A106,tbMoveset!A2:I112,9,FALSE)="Water",Backdoors!BC42,IF(VLOOKUP(tbMoveset!A106,tbMoveset!A2:I112,9,FALSE)="Thunder",Backdoors!BD42,IF(VLOOKUP(tbMoveset!A106,tbMoveset!A2:I112,9,FALSE)="Ice",Backdoors!BE42,IF(VLOOKUP(tbMoveset!A106,tbMoveset!A2:I112,9,FALSE)="Dragon",Backdoors!BF42,Backdoors!BG42)))))/100,Backdoors!BG42/100),"")</f>
        <v>0</v>
      </c>
      <c r="JQ106" s="49">
        <f>IFERROR(IF(VLOOKUP(A106,tbMoveset!A2:J112,10,FALSE)=TRUE,IF((Backdoors!AI12+IF(JO106&gt;=0.45,VLOOKUP(Calculator!E23,tbSkills!DH3:DI6,2,FALSE)+IF(AND(Calculator!B8=TRUE,Backdoors!BI42=TRUE),VLOOKUP(Calculator!E23,tbSkills!DH3:DJ6,3,FALSE),0),0))&gt;=0,1+(Backdoors!AL2*(IF((Backdoors!AI12+IF(JO106&gt;=0.45,VLOOKUP(Calculator!E23,tbSkills!DH3:DI6,2,FALSE)+IF(AND(Calculator!B8=TRUE,Backdoors!BI42=TRUE),VLOOKUP(Calculator!E23,tbSkills!DH3:DJ6,3,FALSE),0),0))&gt;=100,100,(Backdoors!AI12+IF(JO106&gt;=0.45,VLOOKUP(Calculator!E23,tbSkills!DH3:DI6,2,FALSE)+IF(AND(Calculator!B8=TRUE,Backdoors!BI42=TRUE),VLOOKUP(Calculator!E23,tbSkills!DH3:DJ6,3,FALSE),0),0)))/100)),(1-(0.25*((-Backdoors!AI12-IF(JO106&gt;=0.45,VLOOKUP(Calculator!E23,tbSkills!DH3:DI6,2,FALSE)+IF(AND(Calculator!B8=TRUE,Backdoors!BI42=TRUE),VLOOKUP(Calculator!E23,tbSkills!DH3:DJ6,3,FALSE),0),0))/100)))),1),"")</f>
        <v>1</v>
      </c>
      <c r="JR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O106)*JQ106)*(VLOOKUP(A106,tbMoveset!A2:C112,3,FALSE)/100)*IF(VLOOKUP(A106,tbMoveset!A2:B112,2,FALSE)="Projectile",Backdoors!N10,Backdoors!N9),0),"")</f>
        <v/>
      </c>
      <c r="JS106" s="49">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45&gt;0,VLOOKUP(Calculator!E45,tbSkills!AC3:AD5,2,FALSE),Backdoors!AL3)*(IF((Backdoors!AI12+IF(JO106&gt;=0.45,VLOOKUP(Calculator!E23,tbSkills!DH3:DI6,2,FALSE)+IF(AND(Calculator!B8=TRUE,Backdoors!BI42=TRUE),VLOOKUP(Calculator!E23,tbSkills!DH3:DJ6,3,FALSE),0),0))&gt;=100,100,(Backdoors!AI12+IF(JO106&gt;=0.45,VLOOKUP(Calculator!E23,tbSkills!DH3:DI6,2,FALSE)+IF(AND(Calculator!B8=TRUE,Backdoors!BI42=TRUE),VLOOKUP(Calculator!E23,tbSkills!DH3:DJ6,3,FALSE),0),0)))/100)),1))*IF(VLOOKUP(A106,tbMoveset!A2:K112,11,FALSE)=TRUE,Backdoors!AC5,1))*JP106,0),"")</f>
        <v>0</v>
      </c>
      <c r="JT106" s="49">
        <f>VLOOKUP(A106,tbMoveset!A2:G112,7,FALSE)*IFERROR(IF(Backdoors!AI12&gt;=0,1+(IF(Calculator!E40&gt;0,VLOOKUP(Calculator!E40,tbSkills!AI3:AJ5,2,FALSE),Backdoors!AL4)*(IF((Backdoors!AI12+IF(JO106&gt;=0.45,VLOOKUP(Calculator!E23,tbSkills!DH3:DI6,2,FALSE)+IF(AND(Calculator!B8=TRUE,Backdoors!BI42=TRUE),VLOOKUP(Calculator!E23,tbSkills!DH3:DJ6,3,FALSE),0),0))&gt;=100,100,(Backdoors!AI12+IF(JO106&gt;=0.45,VLOOKUP(Calculator!E23,tbSkills!DH3:DI6,2,FALSE)+IF(AND(Calculator!B8=TRUE,Backdoors!BI42=TRUE),VLOOKUP(Calculator!E23,tbSkills!DH3:DJ6,3,FALSE),0),0)))/100)),1),1)</f>
        <v>0.4</v>
      </c>
      <c r="JU106" s="87">
        <f t="shared" si="90"/>
        <v>0</v>
      </c>
      <c r="JV106" s="86" t="str">
        <f>IFERROR(IF(VLOOKUP(A106,tbMoveset!A2:B112,2,FALSE)="Sever",Backdoors!AY43/100,IF(VLOOKUP(A106,tbMoveset!A2:B112,2,FALSE)="Blunt",Backdoors!AZ43/100,Backdoors!BA43/100)),"")</f>
        <v/>
      </c>
      <c r="JW106" s="49">
        <f>IFERROR(IF(VLOOKUP(tbMoveset!A106,tbMoveset!A2:H112,8,FALSE)="Other",IF(VLOOKUP(tbMoveset!A106,tbMoveset!A2:I112,9,FALSE)="Fire",Backdoors!BB43,IF(VLOOKUP(tbMoveset!A106,tbMoveset!A2:I112,9,FALSE)="Water",Backdoors!BC43,IF(VLOOKUP(tbMoveset!A106,tbMoveset!A2:I112,9,FALSE)="Thunder",Backdoors!BD43,IF(VLOOKUP(tbMoveset!A106,tbMoveset!A2:I112,9,FALSE)="Ice",Backdoors!BE43,IF(VLOOKUP(tbMoveset!A106,tbMoveset!A2:I112,9,FALSE)="Dragon",Backdoors!BF43,Backdoors!BG43)))))/100,Backdoors!BG43/100),"")</f>
        <v>0</v>
      </c>
      <c r="JX106" s="49">
        <f>IFERROR(IF(VLOOKUP(A106,tbMoveset!A2:J112,10,FALSE)=TRUE,IF((Backdoors!AI12+IF(JV106&gt;=0.45,VLOOKUP(Calculator!E23,tbSkills!DH3:DI6,2,FALSE)+IF(AND(Calculator!B8=TRUE,Backdoors!BI43=TRUE),VLOOKUP(Calculator!E23,tbSkills!DH3:DJ6,3,FALSE),0),0))&gt;=0,1+(Backdoors!AL2*(IF((Backdoors!AI12+IF(JV106&gt;=0.45,VLOOKUP(Calculator!E23,tbSkills!DH3:DI6,2,FALSE)+IF(AND(Calculator!B8=TRUE,Backdoors!BI43=TRUE),VLOOKUP(Calculator!E23,tbSkills!DH3:DJ6,3,FALSE),0),0))&gt;=100,100,(Backdoors!AI12+IF(JV106&gt;=0.45,VLOOKUP(Calculator!E23,tbSkills!DH3:DI6,2,FALSE)+IF(AND(Calculator!B8=TRUE,Backdoors!BI43=TRUE),VLOOKUP(Calculator!E23,tbSkills!DH3:DJ6,3,FALSE),0),0)))/100)),(1-(0.25*((-Backdoors!AI12-IF(JV106&gt;=0.45,VLOOKUP(Calculator!E23,tbSkills!DH3:DI6,2,FALSE)+IF(AND(Calculator!B8=TRUE,Backdoors!BI43=TRUE),VLOOKUP(Calculator!E23,tbSkills!DH3:DJ6,3,FALSE),0),0))/100)))),1),"")</f>
        <v>1</v>
      </c>
      <c r="JY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V106)*JX106)*(VLOOKUP(A106,tbMoveset!A2:C112,3,FALSE)/100)*IF(VLOOKUP(A106,tbMoveset!A2:B112,2,FALSE)="Projectile",Backdoors!N10,Backdoors!N9),0),"")</f>
        <v/>
      </c>
      <c r="JZ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46&gt;0,VLOOKUP(Calculator!E46,tbSkills!AC3:AD5,2,FALSE),Backdoors!AL3)*(IF((Backdoors!AI12+IF(JV106&gt;=0.45,VLOOKUP(Calculator!E23,tbSkills!DH3:DI6,2,FALSE)+IF(AND(Calculator!B8=TRUE,Backdoors!BI43=TRUE),VLOOKUP(Calculator!E23,tbSkills!DH3:DJ6,3,FALSE),0),0))&gt;=100,100,(Backdoors!AI12+IF(JV106&gt;=0.45,VLOOKUP(Calculator!E23,tbSkills!DH3:DI6,2,FALSE)+IF(AND(Calculator!B8=TRUE,Backdoors!BI43=TRUE),VLOOKUP(Calculator!E23,tbSkills!DH3:DJ6,3,FALSE),0),0)))/100)),1))*IF(VLOOKUP(A106,tbMoveset!A2:K112,11,FALSE)=TRUE,Backdoors!AC5,1))*JW106,0),"")</f>
        <v/>
      </c>
      <c r="KA106" s="49">
        <f>VLOOKUP(A106,tbMoveset!A2:G112,7,FALSE)*IFERROR(IF(Backdoors!AI12&gt;=0,1+(IF(Calculator!E40&gt;0,VLOOKUP(Calculator!E40,tbSkills!AI3:AJ5,2,FALSE),Backdoors!AL4)*(IF((Backdoors!AI12+IF(JV106&gt;=0.45,VLOOKUP(Calculator!E23,tbSkills!DH3:DI6,2,FALSE)+IF(AND(Calculator!B8=TRUE,Backdoors!BI43=TRUE),VLOOKUP(Calculator!E23,tbSkills!DH3:DJ6,3,FALSE),0),0))&gt;=100,100,(Backdoors!AI12+IF(JV106&gt;=0.45,VLOOKUP(Calculator!E23,tbSkills!DH3:DI6,2,FALSE)+IF(AND(Calculator!B8=TRUE,Backdoors!BI43=TRUE),VLOOKUP(Calculator!E23,tbSkills!DH3:DJ6,3,FALSE),0),0)))/100)),1),1)</f>
        <v>0.4</v>
      </c>
      <c r="KB106" s="87">
        <f t="shared" si="91"/>
        <v>0</v>
      </c>
      <c r="KC106" s="86" t="str">
        <f>IFERROR(IF(VLOOKUP(A106,tbMoveset!A2:B112,2,FALSE)="Sever",Backdoors!AY44/100,IF(VLOOKUP(A106,tbMoveset!A2:B112,2,FALSE)="Blunt",Backdoors!AZ44/100,Backdoors!BA44/100)),"")</f>
        <v/>
      </c>
      <c r="KD106" s="49">
        <f>IFERROR(IF(VLOOKUP(tbMoveset!A106,tbMoveset!A2:H112,8,FALSE)="Other",IF(VLOOKUP(tbMoveset!A106,tbMoveset!A2:I112,9,FALSE)="Fire",Backdoors!BB44,IF(VLOOKUP(tbMoveset!A106,tbMoveset!A2:I112,9,FALSE)="Water",Backdoors!BC44,IF(VLOOKUP(tbMoveset!A106,tbMoveset!A2:I112,9,FALSE)="Thunder",Backdoors!BD44,IF(VLOOKUP(tbMoveset!A106,tbMoveset!A2:I112,9,FALSE)="Ice",Backdoors!BE44,IF(VLOOKUP(tbMoveset!A106,tbMoveset!A2:I112,9,FALSE)="Dragon",Backdoors!BF44,Backdoors!BG44)))))/100,Backdoors!BG44/100),"")</f>
        <v>0</v>
      </c>
      <c r="KE106" s="49">
        <f>IFERROR(IF(VLOOKUP(A106,tbMoveset!A2:J112,10,FALSE)=TRUE,IF((Backdoors!AI12+IF(KC106&gt;=0.45,VLOOKUP(Calculator!E23,tbSkills!DH3:DI6,2,FALSE)+IF(AND(Calculator!B8=TRUE,Backdoors!BI44=TRUE),VLOOKUP(Calculator!E23,tbSkills!DH3:DJ6,3,FALSE),0),0))&gt;=0,1+(Backdoors!AL2*(IF((Backdoors!AI12+IF(KC106&gt;=0.45,VLOOKUP(Calculator!E23,tbSkills!DH3:DI6,2,FALSE)+IF(AND(Calculator!B8=TRUE,Backdoors!BI44=TRUE),VLOOKUP(Calculator!E23,tbSkills!DH3:DJ6,3,FALSE),0),0))&gt;=100,100,(Backdoors!AI12+IF(KC106&gt;=0.45,VLOOKUP(Calculator!E23,tbSkills!DH3:DI6,2,FALSE)+IF(AND(Calculator!B8=TRUE,Backdoors!BI44=TRUE),VLOOKUP(Calculator!E23,tbSkills!DH3:DJ6,3,FALSE),0),0)))/100)),(1-(0.25*((-Backdoors!AI12-IF(KC106&gt;=0.45,VLOOKUP(Calculator!E23,tbSkills!DH3:DI6,2,FALSE)+IF(AND(Calculator!B8=TRUE,Backdoors!BI44=TRUE),VLOOKUP(Calculator!E23,tbSkills!DH3:DJ6,3,FALSE),0),0))/100)))),1),"")</f>
        <v>1</v>
      </c>
      <c r="KF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KC106)*KE106)*(VLOOKUP(A106,tbMoveset!A2:C112,3,FALSE)/100)*IF(VLOOKUP(A106,tbMoveset!A2:B112,2,FALSE)="Projectile",Backdoors!N10,Backdoors!N9),0),"")</f>
        <v/>
      </c>
      <c r="KG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REF!&gt;0,VLOOKUP(Calculator!#REF!,tbSkills!AC3:AD5,2,FALSE),Backdoors!AL3)*(IF((Backdoors!AI12+IF(KC106&gt;=0.45,VLOOKUP(Calculator!E23,tbSkills!DH3:DI6,2,FALSE)+IF(AND(Calculator!B8=TRUE,Backdoors!BI44=TRUE),VLOOKUP(Calculator!E23,tbSkills!DH3:DJ6,3,FALSE),0),0))&gt;=100,100,(Backdoors!AI12+IF(KC106&gt;=0.45,VLOOKUP(Calculator!E23,tbSkills!DH3:DI6,2,FALSE)+IF(AND(Calculator!B8=TRUE,Backdoors!BI44=TRUE),VLOOKUP(Calculator!E23,tbSkills!DH3:DJ6,3,FALSE),0),0)))/100)),1))*IF(VLOOKUP(A106,tbMoveset!A2:K112,11,FALSE)=TRUE,Backdoors!AC5,1))*KD106,0),"")</f>
        <v/>
      </c>
      <c r="KH106" s="49">
        <f>VLOOKUP(A106,tbMoveset!A2:G112,7,FALSE)*IFERROR(IF(Backdoors!AI12&gt;=0,1+(IF(Calculator!E40&gt;0,VLOOKUP(Calculator!E40,tbSkills!AI3:AJ5,2,FALSE),Backdoors!AL4)*(IF((Backdoors!AI12+IF(KC106&gt;=0.45,VLOOKUP(Calculator!E23,tbSkills!DH3:DI6,2,FALSE)+IF(AND(Calculator!B8=TRUE,Backdoors!BI44=TRUE),VLOOKUP(Calculator!E23,tbSkills!DH3:DJ6,3,FALSE),0),0))&gt;=100,100,(Backdoors!AI12+IF(KC106&gt;=0.45,VLOOKUP(Calculator!E23,tbSkills!DH3:DI6,2,FALSE)+IF(AND(Calculator!B8=TRUE,Backdoors!BI44=TRUE),VLOOKUP(Calculator!E23,tbSkills!DH3:DJ6,3,FALSE),0),0)))/100)),1),1)</f>
        <v>0.4</v>
      </c>
      <c r="KI106" s="87">
        <f t="shared" si="92"/>
        <v>0</v>
      </c>
      <c r="KJ106" s="86" t="str">
        <f>IFERROR(IF(VLOOKUP(A106,tbMoveset!A2:B112,2,FALSE)="Sever",Backdoors!AY45/100,IF(VLOOKUP(A106,tbMoveset!A2:B112,2,FALSE)="Blunt",Backdoors!AZ45/100,Backdoors!BA45/100)),"")</f>
        <v/>
      </c>
      <c r="KK106" s="49">
        <f>IFERROR(IF(VLOOKUP(tbMoveset!A106,tbMoveset!A2:H112,8,FALSE)="Other",IF(VLOOKUP(tbMoveset!A106,tbMoveset!A2:I112,9,FALSE)="Fire",Backdoors!BB45,IF(VLOOKUP(tbMoveset!A106,tbMoveset!A2:I112,9,FALSE)="Water",Backdoors!BC45,IF(VLOOKUP(tbMoveset!A106,tbMoveset!A2:I112,9,FALSE)="Thunder",Backdoors!BD45,IF(VLOOKUP(tbMoveset!A106,tbMoveset!A2:I112,9,FALSE)="Ice",Backdoors!BE45,IF(VLOOKUP(tbMoveset!A106,tbMoveset!A2:I112,9,FALSE)="Dragon",Backdoors!BF45,Backdoors!BG45)))))/100,Backdoors!BG45/100),"")</f>
        <v>0</v>
      </c>
      <c r="KL106" s="49">
        <f>IFERROR(IF(VLOOKUP(A106,tbMoveset!A2:J112,10,FALSE)=TRUE,IF((Backdoors!AI12+IF(KJ106&gt;=0.45,VLOOKUP(Calculator!E23,tbSkills!DH3:DI6,2,FALSE)+IF(AND(Calculator!B8=TRUE,Backdoors!BI45=TRUE),VLOOKUP(Calculator!E23,tbSkills!DH3:DJ6,3,FALSE),0),0))&gt;=0,1+(Backdoors!AL2*(IF((Backdoors!AI12+IF(KJ106&gt;=0.45,VLOOKUP(Calculator!E23,tbSkills!DH3:DI6,2,FALSE)+IF(AND(Calculator!B8=TRUE,Backdoors!BI45=TRUE),VLOOKUP(Calculator!E23,tbSkills!DH3:DJ6,3,FALSE),0),0))&gt;=100,100,(Backdoors!AI12+IF(KJ106&gt;=0.45,VLOOKUP(Calculator!E23,tbSkills!DH3:DI6,2,FALSE)+IF(AND(Calculator!B8=TRUE,Backdoors!BI45=TRUE),VLOOKUP(Calculator!E23,tbSkills!DH3:DJ6,3,FALSE),0),0)))/100)),(1-(0.25*((-Backdoors!AI12-IF(KJ106&gt;=0.45,VLOOKUP(Calculator!E23,tbSkills!DH3:DI6,2,FALSE)+IF(AND(Calculator!B8=TRUE,Backdoors!BI45=TRUE),VLOOKUP(Calculator!E23,tbSkills!DH3:DJ6,3,FALSE),0),0))/100)))),1),"")</f>
        <v>1</v>
      </c>
      <c r="KM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KJ106)*KL106)*(VLOOKUP(A106,tbMoveset!A2:C112,3,FALSE)/100)*IF(VLOOKUP(A106,tbMoveset!A2:B112,2,FALSE)="Projectile",Backdoors!N10,Backdoors!N9),0),"")</f>
        <v/>
      </c>
      <c r="KN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REF!&gt;0,VLOOKUP(Calculator!#REF!,tbSkills!AC3:AD5,2,FALSE),Backdoors!AL3)*(IF((Backdoors!AI12+IF(KJ106&gt;=0.45,VLOOKUP(Calculator!E23,tbSkills!DH3:DI6,2,FALSE)+IF(AND(Calculator!B8=TRUE,Backdoors!BI45=TRUE),VLOOKUP(Calculator!E23,tbSkills!DH3:DJ6,3,FALSE),0),0))&gt;=100,100,(Backdoors!AI12+IF(KJ106&gt;=0.45,VLOOKUP(Calculator!E23,tbSkills!DH3:DI6,2,FALSE)+IF(AND(Calculator!B8=TRUE,Backdoors!BI45=TRUE),VLOOKUP(Calculator!E23,tbSkills!DH3:DJ6,3,FALSE),0),0)))/100)),1))*IF(VLOOKUP(A106,tbMoveset!A2:K112,11,FALSE)=TRUE,Backdoors!AC5,1))*KK106,0),"")</f>
        <v/>
      </c>
      <c r="KO106" s="49">
        <f>VLOOKUP(A106,tbMoveset!A2:G112,7,FALSE)*IFERROR(IF(Backdoors!AI12&gt;=0,1+(IF(Calculator!E40&gt;0,VLOOKUP(Calculator!E40,tbSkills!AI3:AJ5,2,FALSE),Backdoors!AL4)*(IF((Backdoors!AI12+IF(KJ106&gt;=0.45,VLOOKUP(Calculator!E23,tbSkills!DH3:DI6,2,FALSE)+IF(AND(Calculator!B8=TRUE,Backdoors!BI45=TRUE),VLOOKUP(Calculator!E23,tbSkills!DH3:DJ6,3,FALSE),0),0))&gt;=100,100,(Backdoors!AI12+IF(KJ106&gt;=0.45,VLOOKUP(Calculator!E23,tbSkills!DH3:DI6,2,FALSE)+IF(AND(Calculator!B8=TRUE,Backdoors!BI45=TRUE),VLOOKUP(Calculator!E23,tbSkills!DH3:DJ6,3,FALSE),0),0)))/100)),1),1)</f>
        <v>0.4</v>
      </c>
      <c r="KP106" s="87">
        <f t="shared" si="93"/>
        <v>0</v>
      </c>
      <c r="KQ106" s="86" t="str">
        <f>IFERROR(IF(VLOOKUP(A106,tbMoveset!A2:B112,2,FALSE)="Sever",Backdoors!AY46/100,IF(VLOOKUP(A106,tbMoveset!A2:B112,2,FALSE)="Blunt",Backdoors!AZ46/100,Backdoors!BA46/100)),"")</f>
        <v/>
      </c>
      <c r="KR106" s="49">
        <f>IFERROR(IF(VLOOKUP(tbMoveset!A106,tbMoveset!A2:H112,8,FALSE)="Other",IF(VLOOKUP(tbMoveset!A106,tbMoveset!A2:I112,9,FALSE)="Fire",Backdoors!BB46,IF(VLOOKUP(tbMoveset!A106,tbMoveset!A2:I112,9,FALSE)="Water",Backdoors!BC46,IF(VLOOKUP(tbMoveset!A106,tbMoveset!A2:I112,9,FALSE)="Thunder",Backdoors!BD46,IF(VLOOKUP(tbMoveset!A106,tbMoveset!A2:I112,9,FALSE)="Ice",Backdoors!BE46,IF(VLOOKUP(tbMoveset!A106,tbMoveset!A2:I112,9,FALSE)="Dragon",Backdoors!BF46,Backdoors!BG46)))))/100,Backdoors!BG46/100),"")</f>
        <v>0</v>
      </c>
      <c r="KS106" s="49">
        <f>IFERROR(IF(VLOOKUP(A106,tbMoveset!A2:J112,10,FALSE)=TRUE,IF((Backdoors!AI12+IF(KQ106&gt;=0.45,VLOOKUP(Calculator!E23,tbSkills!DH3:DI6,2,FALSE)+IF(AND(Calculator!B8=TRUE,Backdoors!BI46=TRUE),VLOOKUP(Calculator!E23,tbSkills!DH3:DJ6,3,FALSE),0),0))&gt;=0,1+(Backdoors!AL2*(IF((Backdoors!AI12+IF(KQ106&gt;=0.45,VLOOKUP(Calculator!E23,tbSkills!DH3:DI6,2,FALSE)+IF(AND(Calculator!B8=TRUE,Backdoors!BI46=TRUE),VLOOKUP(Calculator!E23,tbSkills!DH3:DJ6,3,FALSE),0),0))&gt;=100,100,(Backdoors!AI12+IF(KQ106&gt;=0.45,VLOOKUP(Calculator!E23,tbSkills!DH3:DI6,2,FALSE)+IF(AND(Calculator!B8=TRUE,Backdoors!BI46=TRUE),VLOOKUP(Calculator!E23,tbSkills!DH3:DJ6,3,FALSE),0),0)))/100)),(1-(0.25*((-Backdoors!AI12-IF(KQ106&gt;=0.45,VLOOKUP(Calculator!E23,tbSkills!DH3:DI6,2,FALSE)+IF(AND(Calculator!B8=TRUE,Backdoors!BI46=TRUE),VLOOKUP(Calculator!E23,tbSkills!DH3:DJ6,3,FALSE),0),0))/100)))),1),"")</f>
        <v>1</v>
      </c>
      <c r="KT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KQ106)*KS106)*(VLOOKUP(A106,tbMoveset!A2:C112,3,FALSE)/100)*IF(VLOOKUP(A106,tbMoveset!A2:B112,2,FALSE)="Projectile",Backdoors!N10,Backdoors!N9),0),"")</f>
        <v/>
      </c>
      <c r="KU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REF!&gt;0,VLOOKUP(Calculator!#REF!,tbSkills!AC3:AD5,2,FALSE),Backdoors!AL3)*(IF((Backdoors!AI12+IF(KQ106&gt;=0.45,VLOOKUP(Calculator!E23,tbSkills!DH3:DI6,2,FALSE)+IF(AND(Calculator!B8=TRUE,Backdoors!BI46=TRUE),VLOOKUP(Calculator!E23,tbSkills!DH3:DJ6,3,FALSE),0),0))&gt;=100,100,(Backdoors!AI12+IF(KQ106&gt;=0.45,VLOOKUP(Calculator!E23,tbSkills!DH3:DI6,2,FALSE)+IF(AND(Calculator!B8=TRUE,Backdoors!BI46=TRUE),VLOOKUP(Calculator!E23,tbSkills!DH3:DJ6,3,FALSE),0),0)))/100)),1))*IF(VLOOKUP(A106,tbMoveset!A2:K112,11,FALSE)=TRUE,Backdoors!AC5,1))*KR106,0),"")</f>
        <v/>
      </c>
      <c r="KV106" s="49">
        <f>VLOOKUP(A106,tbMoveset!A2:G112,7,FALSE)*IFERROR(IF(Backdoors!AI12&gt;=0,1+(IF(Calculator!E40&gt;0,VLOOKUP(Calculator!E40,tbSkills!AI3:AJ5,2,FALSE),Backdoors!AL4)*(IF((Backdoors!AI12+IF(KQ106&gt;=0.45,VLOOKUP(Calculator!E23,tbSkills!DH3:DI6,2,FALSE)+IF(AND(Calculator!B8=TRUE,Backdoors!BI46=TRUE),VLOOKUP(Calculator!E23,tbSkills!DH3:DJ6,3,FALSE),0),0))&gt;=100,100,(Backdoors!AI12+IF(KQ106&gt;=0.45,VLOOKUP(Calculator!E23,tbSkills!DH3:DI6,2,FALSE)+IF(AND(Calculator!B8=TRUE,Backdoors!BI46=TRUE),VLOOKUP(Calculator!E23,tbSkills!DH3:DJ6,3,FALSE),0),0)))/100)),1),1)</f>
        <v>0.4</v>
      </c>
      <c r="KW106" s="87">
        <f t="shared" si="94"/>
        <v>0</v>
      </c>
    </row>
    <row r="107" spans="1:309" x14ac:dyDescent="0.25">
      <c r="A107" s="95" t="str">
        <f>tbMoveset!A107</f>
        <v>[Mounting] Demon Flurry (R4)</v>
      </c>
      <c r="B107" s="86">
        <f>IFERROR(IF(VLOOKUP(A107,tbMoveset!A2:B112,2,FALSE)="Sever",Backdoors!AY3/100,IF(VLOOKUP(A107,tbMoveset!A2:B112,2,FALSE)="Blunt",Backdoors!AZ3/100,Backdoors!BA3/100)),"")</f>
        <v>0.8</v>
      </c>
      <c r="C107" s="49">
        <f>IFERROR(IF(VLOOKUP(tbMoveset!A107,tbMoveset!A2:H112,8,FALSE)="Other",IF(VLOOKUP(tbMoveset!A107,tbMoveset!A2:I112,9,FALSE)="Fire",Backdoors!BB3,IF(VLOOKUP(tbMoveset!A107,tbMoveset!A2:I112,9,FALSE)="Water",Backdoors!BC3,IF(VLOOKUP(tbMoveset!A107,tbMoveset!A2:I112,9,FALSE)="Thunder",Backdoors!BD3,IF(VLOOKUP(tbMoveset!A107,tbMoveset!A2:I112,9,FALSE)="Ice",Backdoors!BE3,IF(VLOOKUP(tbMoveset!A107,tbMoveset!A2:I112,9,FALSE)="Dragon",Backdoors!BF3,Backdoors!BG3)))))/100,Backdoors!BG3/100),"")</f>
        <v>0</v>
      </c>
      <c r="D107" s="49">
        <f>IFERROR(IF(VLOOKUP(A107,tbMoveset!A2:J112,10,FALSE)=TRUE,IF((Backdoors!AI12+IF(B107&gt;=0.45,VLOOKUP(Calculator!E23,tbSkills!DH3:DI6,2,FALSE)+IF(AND(Calculator!B8=TRUE,Backdoors!BI3=TRUE),VLOOKUP(Calculator!E23,tbSkills!DH3:DJ6,3,FALSE),0),0))&gt;=0,1+(Backdoors!AL2*(IF((Backdoors!AI12+IF(B107&gt;=0.45,VLOOKUP(Calculator!E23,tbSkills!DH3:DI6,2,FALSE)+IF(AND(Calculator!B8=TRUE,Backdoors!BI3=TRUE),VLOOKUP(Calculator!E23,tbSkills!DH3:DJ6,3,FALSE),0),0))&gt;=100,100,(Backdoors!AI12+IF(B107&gt;=0.45,VLOOKUP(Calculator!E23,tbSkills!DH3:DI6,2,FALSE)+IF(AND(Calculator!B8=TRUE,Backdoors!BI3=TRUE),VLOOKUP(Calculator!E23,tbSkills!DH3:DJ6,3,FALSE),0),0)))/100)),(1-(0.25*((-Backdoors!AI12-IF(B107&gt;=0.45,VLOOKUP(Calculator!E23,tbSkills!DH3:DI6,2,FALSE)+IF(AND(Calculator!B8=TRUE,Backdoors!BI3=TRUE),VLOOKUP(Calculator!E23,tbSkills!DH3:DJ6,3,FALSE),0),0))/100)))),1),"")</f>
        <v>1</v>
      </c>
      <c r="E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107)*D107)*(VLOOKUP(A107,tbMoveset!A2:C112,3,FALSE)/100)*IF(VLOOKUP(A107,tbMoveset!A2:B112,2,FALSE)="Projectile",Backdoors!N10,Backdoors!N9),0),"")</f>
        <v>8</v>
      </c>
      <c r="F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107&gt;=0.45,VLOOKUP(Calculator!E23,tbSkills!DH3:DI6,2,FALSE)+IF(AND(Calculator!B8=TRUE,Backdoors!BI3=TRUE),VLOOKUP(Calculator!E23,tbSkills!DH3:DJ6,3,FALSE),0),0))&gt;=100,100,(Backdoors!AI12+IF(B107&gt;=0.45,VLOOKUP(Calculator!E23,tbSkills!DH3:DI6,2,FALSE)+IF(AND(Calculator!B8=TRUE,Backdoors!BI3=TRUE),VLOOKUP(Calculator!E23,tbSkills!DH3:DJ6,3,FALSE),0),0)))/100)),1))*IF(VLOOKUP(A107,tbMoveset!A2:K112,11,FALSE)=TRUE,Backdoors!AC5,1))*C107,0),"")</f>
        <v>0</v>
      </c>
      <c r="G107">
        <f>VLOOKUP(A107,tbMoveset!A2:G112,7,FALSE)*IFERROR(IF(Backdoors!AI12&gt;=0,1+(IF(Calculator!E40&gt;0,VLOOKUP(Calculator!E40,tbSkills!AI3:AJ5,2,FALSE),Backdoors!AL4)*(IF((Backdoors!AI12+IF(B107&gt;=0.45,VLOOKUP(Calculator!E23,tbSkills!DH3:DI6,2,FALSE)+IF(AND(Calculator!B8=TRUE,Backdoors!BI3=TRUE),VLOOKUP(Calculator!E23,tbSkills!DH3:DJ6,3,FALSE),0),0))&gt;=100,100,(Backdoors!AI12+IF(B107&gt;=0.45,VLOOKUP(Calculator!E23,tbSkills!DH3:DI6,2,FALSE)+IF(AND(Calculator!B8=TRUE,Backdoors!BI3=TRUE),VLOOKUP(Calculator!E23,tbSkills!DH3:DJ6,3,FALSE),0),0)))/100)),1),1)</f>
        <v>0.4</v>
      </c>
      <c r="H107" s="87">
        <f t="shared" si="95"/>
        <v>8</v>
      </c>
      <c r="I107" s="86">
        <f>IFERROR(IF(VLOOKUP(A107,tbMoveset!A2:B112,2,FALSE)="Sever",Backdoors!AY4/100,IF(VLOOKUP(A107,tbMoveset!A2:B112,2,FALSE)="Blunt",Backdoors!AZ4/100,Backdoors!BA4/100)),"")</f>
        <v>0.65</v>
      </c>
      <c r="J107" s="49">
        <f>IFERROR(IF(VLOOKUP(tbMoveset!A107,tbMoveset!A2:H112,8,FALSE)="Other",IF(VLOOKUP(tbMoveset!A107,tbMoveset!A2:I112,9,FALSE)="Fire",Backdoors!BB4,IF(VLOOKUP(tbMoveset!A107,tbMoveset!A2:I112,9,FALSE)="Water",Backdoors!BC4,IF(VLOOKUP(tbMoveset!A107,tbMoveset!A2:I112,9,FALSE)="Thunder",Backdoors!BD4,IF(VLOOKUP(tbMoveset!A107,tbMoveset!A2:I112,9,FALSE)="Ice",Backdoors!BE4,IF(VLOOKUP(tbMoveset!A107,tbMoveset!A2:I112,9,FALSE)="Dragon",Backdoors!BF4,Backdoors!BG4)))))/100,Backdoors!BG4/100),"")</f>
        <v>0</v>
      </c>
      <c r="K107" s="49">
        <f>IFERROR(IF(VLOOKUP(A107,tbMoveset!A2:J112,10,FALSE)=TRUE,IF((Backdoors!AI12+IF(I107&gt;=0.45,VLOOKUP(Calculator!E23,tbSkills!DH3:DI6,2,FALSE)+IF(AND(Calculator!B8=TRUE,Backdoors!BI4=TRUE),VLOOKUP(Calculator!E23,tbSkills!DH3:DJ6,3,FALSE),0),0))&gt;=0,1+(Backdoors!AL2*(IF((Backdoors!AI12+IF(I107&gt;=0.45,VLOOKUP(Calculator!E23,tbSkills!DH3:DI6,2,FALSE)+IF(AND(Calculator!B8=TRUE,Backdoors!BI4=TRUE),VLOOKUP(Calculator!E23,tbSkills!DH3:DJ6,3,FALSE),0),0))&gt;=100,100,(Backdoors!AI12+IF(I107&gt;=0.45,VLOOKUP(Calculator!E23,tbSkills!DH3:DI6,2,FALSE)+IF(AND(Calculator!B8=TRUE,Backdoors!BI4=TRUE),VLOOKUP(Calculator!E23,tbSkills!DH3:DJ6,3,FALSE),0),0)))/100)),(1-(0.25*((-Backdoors!AI12-IF(I107&gt;=0.45,VLOOKUP(Calculator!E23,tbSkills!DH3:DI6,2,FALSE)+IF(AND(Calculator!B8=TRUE,Backdoors!BI4=TRUE),VLOOKUP(Calculator!E23,tbSkills!DH3:DJ6,3,FALSE),0),0))/100)))),1),"")</f>
        <v>1</v>
      </c>
      <c r="L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107)*K107)*(VLOOKUP(A107,tbMoveset!A2:C112,3,FALSE)/100)*IF(VLOOKUP(A107,tbMoveset!A2:B112,2,FALSE)="Projectile",Backdoors!N10,Backdoors!N9),0),"")</f>
        <v>7</v>
      </c>
      <c r="M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I107&gt;=0.45,VLOOKUP(Calculator!E23,tbSkills!DH3:DI6,2,FALSE)+IF(AND(Calculator!B8=TRUE,Backdoors!BI4=TRUE),VLOOKUP(Calculator!E23,tbSkills!DH3:DJ6,3,FALSE),0),0))&gt;=100,100,(Backdoors!AI12+IF(I107&gt;=0.45,VLOOKUP(Calculator!E23,tbSkills!DH3:DI6,2,FALSE)+IF(AND(Calculator!B8=TRUE,Backdoors!BI4=TRUE),VLOOKUP(Calculator!E23,tbSkills!DH3:DJ6,3,FALSE),0),0)))/100)),1))*IF(VLOOKUP(A107,tbMoveset!A2:K112,11,FALSE)=TRUE,Backdoors!AC5,1))*J107,0),"")</f>
        <v>0</v>
      </c>
      <c r="N107" s="49">
        <f>VLOOKUP(A107,tbMoveset!A2:G112,7,FALSE)*IFERROR(IF(Backdoors!AI12&gt;=0,1+(IF(Calculator!E40&gt;0,VLOOKUP(Calculator!E40,tbSkills!AI3:AJ5,2,FALSE),Backdoors!AL4)*(IF((Backdoors!AI12+IF(I107&gt;=0.45,VLOOKUP(Calculator!E23,tbSkills!DH3:DI6,2,FALSE)+IF(AND(Calculator!B8=TRUE,Backdoors!BI4=TRUE),VLOOKUP(Calculator!E23,tbSkills!DH3:DJ6,3,FALSE),0),0))&gt;=100,100,(Backdoors!AI12+IF(I107&gt;=0.45,VLOOKUP(Calculator!E23,tbSkills!DH3:DI6,2,FALSE)+IF(AND(Calculator!B8=TRUE,Backdoors!BI4=TRUE),VLOOKUP(Calculator!E23,tbSkills!DH3:DJ6,3,FALSE),0),0)))/100)),1),1)</f>
        <v>0.4</v>
      </c>
      <c r="O107" s="87">
        <f t="shared" si="96"/>
        <v>7</v>
      </c>
      <c r="P107" s="86">
        <f>IFERROR(IF(VLOOKUP(A107,tbMoveset!A2:B112,2,FALSE)="Sever",Backdoors!AY5/100,IF(VLOOKUP(A107,tbMoveset!A2:B112,2,FALSE)="Blunt",Backdoors!AZ5/100,Backdoors!BA5/100)),"")</f>
        <v>0.5</v>
      </c>
      <c r="Q107" s="49">
        <f>IFERROR(IF(VLOOKUP(tbMoveset!A107,tbMoveset!A2:H112,8,FALSE)="Other",IF(VLOOKUP(tbMoveset!A107,tbMoveset!A2:I112,9,FALSE)="Fire",Backdoors!BB5,IF(VLOOKUP(tbMoveset!A107,tbMoveset!A2:I112,9,FALSE)="Water",Backdoors!BC5,IF(VLOOKUP(tbMoveset!A107,tbMoveset!A2:I112,9,FALSE)="Thunder",Backdoors!BD5,IF(VLOOKUP(tbMoveset!A107,tbMoveset!A2:I112,9,FALSE)="Ice",Backdoors!BE5,IF(VLOOKUP(tbMoveset!A107,tbMoveset!A2:I112,9,FALSE)="Dragon",Backdoors!BF5,Backdoors!BG5)))))/100,Backdoors!BG5/100),"")</f>
        <v>0</v>
      </c>
      <c r="R107" s="49">
        <f>IFERROR(IF(VLOOKUP(A107,tbMoveset!A2:J112,10,FALSE)=TRUE,IF((Backdoors!AI12+IF(P107&gt;=0.45,VLOOKUP(Calculator!E23,tbSkills!DH3:DI6,2,FALSE)+IF(AND(Calculator!B8=TRUE,Backdoors!BI5=TRUE),VLOOKUP(Calculator!E23,tbSkills!DH3:DJ6,3,FALSE),0),0))&gt;=0,1+(Backdoors!AL2*(IF((Backdoors!AI12+IF(P107&gt;=0.45,VLOOKUP(Calculator!E23,tbSkills!DH3:DI6,2,FALSE)+IF(AND(Calculator!B8=TRUE,Backdoors!BI5=TRUE),VLOOKUP(Calculator!E23,tbSkills!DH3:DJ6,3,FALSE),0),0))&gt;=100,100,(Backdoors!AI12+IF(P107&gt;=0.45,VLOOKUP(Calculator!E23,tbSkills!DH3:DI6,2,FALSE)+IF(AND(Calculator!B8=TRUE,Backdoors!BI5=TRUE),VLOOKUP(Calculator!E23,tbSkills!DH3:DJ6,3,FALSE),0),0)))/100)),(1-(0.25*((-Backdoors!AI12-IF(P107&gt;=0.45,VLOOKUP(Calculator!E23,tbSkills!DH3:DI6,2,FALSE)+IF(AND(Calculator!B8=TRUE,Backdoors!BI5=TRUE),VLOOKUP(Calculator!E23,tbSkills!DH3:DJ6,3,FALSE),0),0))/100)))),1),"")</f>
        <v>1</v>
      </c>
      <c r="S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P107)*R107)*(VLOOKUP(A107,tbMoveset!A2:C112,3,FALSE)/100)*IF(VLOOKUP(A107,tbMoveset!A2:B112,2,FALSE)="Projectile",Backdoors!N10,Backdoors!N9),0),"")</f>
        <v>5</v>
      </c>
      <c r="T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P107&gt;=0.45,VLOOKUP(Calculator!E23,tbSkills!DH3:DI6,2,FALSE)+IF(AND(Calculator!B8=TRUE,Backdoors!BI5=TRUE),VLOOKUP(Calculator!E23,tbSkills!DH3:DJ6,3,FALSE),0),0))&gt;=100,100,(Backdoors!AI12+IF(P107&gt;=0.45,VLOOKUP(Calculator!E23,tbSkills!DH3:DI6,2,FALSE)+IF(AND(Calculator!B8=TRUE,Backdoors!BI5=TRUE),VLOOKUP(Calculator!E23,tbSkills!DH3:DJ6,3,FALSE),0),0)))/100)),1))*IF(VLOOKUP(A107,tbMoveset!A2:K112,11,FALSE)=TRUE,Backdoors!AC5,1))*Q107,0),"")</f>
        <v>0</v>
      </c>
      <c r="U107" s="49">
        <f>VLOOKUP(A107,tbMoveset!A2:G112,7,FALSE)*IFERROR(IF(Backdoors!AI12&gt;=0,1+(IF(Calculator!E40&gt;0,VLOOKUP(Calculator!E40,tbSkills!AI3:AJ5,2,FALSE),Backdoors!AL4)*(IF((Backdoors!AI12+IF(P107&gt;=0.45,VLOOKUP(Calculator!E23,tbSkills!DH3:DI6,2,FALSE)+IF(AND(Calculator!B8=TRUE,Backdoors!BI5=TRUE),VLOOKUP(Calculator!E23,tbSkills!DH3:DJ6,3,FALSE),0),0))&gt;=100,100,(Backdoors!AI12+IF(P107&gt;=0.45,VLOOKUP(Calculator!E23,tbSkills!DH3:DI6,2,FALSE)+IF(AND(Calculator!B8=TRUE,Backdoors!BI5=TRUE),VLOOKUP(Calculator!E23,tbSkills!DH3:DJ6,3,FALSE),0),0)))/100)),1),1)</f>
        <v>0.4</v>
      </c>
      <c r="V107" s="87">
        <f t="shared" si="53"/>
        <v>5</v>
      </c>
      <c r="W107" s="86">
        <f>IFERROR(IF(VLOOKUP(A107,tbMoveset!A2:B112,2,FALSE)="Sever",Backdoors!AY6/100,IF(VLOOKUP(A107,tbMoveset!A2:B112,2,FALSE)="Blunt",Backdoors!AZ6/100,Backdoors!BA6/100)),"")</f>
        <v>0.45</v>
      </c>
      <c r="X107" s="49">
        <f>IFERROR(IF(VLOOKUP(tbMoveset!A107,tbMoveset!A2:H112,8,FALSE)="Other",IF(VLOOKUP(tbMoveset!A107,tbMoveset!A2:I112,9,FALSE)="Fire",Backdoors!BB6,IF(VLOOKUP(tbMoveset!A107,tbMoveset!A2:I112,9,FALSE)="Water",Backdoors!BC6,IF(VLOOKUP(tbMoveset!A107,tbMoveset!A2:I112,9,FALSE)="Thunder",Backdoors!BD6,IF(VLOOKUP(tbMoveset!A107,tbMoveset!A2:I112,9,FALSE)="Ice",Backdoors!BE6,IF(VLOOKUP(tbMoveset!A107,tbMoveset!A2:I112,9,FALSE)="Dragon",Backdoors!BF6,Backdoors!BG6)))))/100,Backdoors!BG6/100),"")</f>
        <v>0</v>
      </c>
      <c r="Y107" s="49">
        <f>IFERROR(IF(VLOOKUP(A107,tbMoveset!A2:J112,10,FALSE)=TRUE,IF((Backdoors!AI12+IF(W107&gt;=0.45,VLOOKUP(Calculator!E23,tbSkills!DH3:DI6,2,FALSE)+IF(AND(Calculator!B8=TRUE,Backdoors!BI6=TRUE),VLOOKUP(Calculator!E23,tbSkills!DH3:DJ6,3,FALSE),0),0))&gt;=0,1+(Backdoors!AL2*(IF((Backdoors!AI12+IF(W107&gt;=0.45,VLOOKUP(Calculator!E23,tbSkills!DH3:DI6,2,FALSE)+IF(AND(Calculator!B8=TRUE,Backdoors!BI6=TRUE),VLOOKUP(Calculator!E23,tbSkills!DH3:DJ6,3,FALSE),0),0))&gt;=100,100,(Backdoors!AI12+IF(W107&gt;=0.45,VLOOKUP(Calculator!E23,tbSkills!DH3:DI6,2,FALSE)+IF(AND(Calculator!B8=TRUE,Backdoors!BI6=TRUE),VLOOKUP(Calculator!E23,tbSkills!DH3:DJ6,3,FALSE),0),0)))/100)),(1-(0.25*((-Backdoors!AI12-IF(W107&gt;=0.45,VLOOKUP(Calculator!E23,tbSkills!DH3:DI6,2,FALSE)+IF(AND(Calculator!B8=TRUE,Backdoors!BI6=TRUE),VLOOKUP(Calculator!E23,tbSkills!DH3:DJ6,3,FALSE),0),0))/100)))),1),"")</f>
        <v>1</v>
      </c>
      <c r="Z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W107)*Y107)*(VLOOKUP(A107,tbMoveset!A2:C112,3,FALSE)/100)*IF(VLOOKUP(A107,tbMoveset!A2:B112,2,FALSE)="Projectile",Backdoors!N10,Backdoors!N9),0),"")</f>
        <v>5</v>
      </c>
      <c r="AA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W107&gt;=0.45,VLOOKUP(Calculator!E23,tbSkills!DH3:DI6,2,FALSE)+IF(AND(Calculator!B8=TRUE,Backdoors!BI6=TRUE),VLOOKUP(Calculator!E23,tbSkills!DH3:DJ6,3,FALSE),0),0))&gt;=100,100,(Backdoors!AI12+IF(W107&gt;=0.45,VLOOKUP(Calculator!E23,tbSkills!DH3:DI6,2,FALSE)+IF(AND(Calculator!B8=TRUE,Backdoors!BI6=TRUE),VLOOKUP(Calculator!E23,tbSkills!DH3:DJ6,3,FALSE),0),0)))/100)),1))*IF(VLOOKUP(A107,tbMoveset!A2:K112,11,FALSE)=TRUE,Backdoors!AC5,1))*X107,0),"")</f>
        <v>0</v>
      </c>
      <c r="AB107" s="49">
        <f>VLOOKUP(A107,tbMoveset!A2:G112,7,FALSE)*IFERROR(IF(Backdoors!AI12&gt;=0,1+(IF(Calculator!E40&gt;0,VLOOKUP(Calculator!E40,tbSkills!AI3:AJ5,2,FALSE),Backdoors!AL4)*(IF((Backdoors!AI12+IF(W107&gt;=0.45,VLOOKUP(Calculator!E23,tbSkills!DH3:DI6,2,FALSE)+IF(AND(Calculator!B8=TRUE,Backdoors!BI6=TRUE),VLOOKUP(Calculator!E23,tbSkills!DH3:DJ6,3,FALSE),0),0))&gt;=100,100,(Backdoors!AI12+IF(W107&gt;=0.45,VLOOKUP(Calculator!E23,tbSkills!DH3:DI6,2,FALSE)+IF(AND(Calculator!B8=TRUE,Backdoors!BI6=TRUE),VLOOKUP(Calculator!E23,tbSkills!DH3:DJ6,3,FALSE),0),0)))/100)),1),1)</f>
        <v>0.4</v>
      </c>
      <c r="AC107" s="87">
        <f t="shared" si="54"/>
        <v>5</v>
      </c>
      <c r="AD107" s="86">
        <f>IFERROR(IF(VLOOKUP(A107,tbMoveset!A2:B112,2,FALSE)="Sever",Backdoors!AY7/100,IF(VLOOKUP(A107,tbMoveset!A2:B112,2,FALSE)="Blunt",Backdoors!AZ7/100,Backdoors!BA7/100)),"")</f>
        <v>0.65</v>
      </c>
      <c r="AE107" s="49">
        <f>IFERROR(IF(VLOOKUP(tbMoveset!A107,tbMoveset!A2:H112,8,FALSE)="Other",IF(VLOOKUP(tbMoveset!A107,tbMoveset!A2:I112,9,FALSE)="Fire",Backdoors!BB7,IF(VLOOKUP(tbMoveset!A107,tbMoveset!A2:I112,9,FALSE)="Water",Backdoors!BC7,IF(VLOOKUP(tbMoveset!A107,tbMoveset!A2:I112,9,FALSE)="Thunder",Backdoors!BD7,IF(VLOOKUP(tbMoveset!A107,tbMoveset!A2:I112,9,FALSE)="Ice",Backdoors!BE7,IF(VLOOKUP(tbMoveset!A107,tbMoveset!A2:I112,9,FALSE)="Dragon",Backdoors!BF7,Backdoors!BG7)))))/100,Backdoors!BG7/100),"")</f>
        <v>0</v>
      </c>
      <c r="AF107" s="49">
        <f>IFERROR(IF(VLOOKUP(A107,tbMoveset!A2:J112,10,FALSE)=TRUE,IF((Backdoors!AI12+IF(AD107&gt;=0.45,VLOOKUP(Calculator!E23,tbSkills!DH3:DI6,2,FALSE)+IF(AND(Calculator!B8=TRUE,Backdoors!BI7=TRUE),VLOOKUP(Calculator!E23,tbSkills!DH3:DJ6,3,FALSE),0),0))&gt;=0,1+(Backdoors!AL2*(IF((Backdoors!AI12+IF(AD107&gt;=0.45,VLOOKUP(Calculator!E23,tbSkills!DH3:DI6,2,FALSE)+IF(AND(Calculator!B8=TRUE,Backdoors!BI7=TRUE),VLOOKUP(Calculator!E23,tbSkills!DH3:DJ6,3,FALSE),0),0))&gt;=100,100,(Backdoors!AI12+IF(AD107&gt;=0.45,VLOOKUP(Calculator!E23,tbSkills!DH3:DI6,2,FALSE)+IF(AND(Calculator!B8=TRUE,Backdoors!BI7=TRUE),VLOOKUP(Calculator!E23,tbSkills!DH3:DJ6,3,FALSE),0),0)))/100)),(1-(0.25*((-Backdoors!AI12-IF(AD107&gt;=0.45,VLOOKUP(Calculator!E23,tbSkills!DH3:DI6,2,FALSE)+IF(AND(Calculator!B8=TRUE,Backdoors!BI7=TRUE),VLOOKUP(Calculator!E23,tbSkills!DH3:DJ6,3,FALSE),0),0))/100)))),1),"")</f>
        <v>1</v>
      </c>
      <c r="AG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D107)*AF107)*(VLOOKUP(A107,tbMoveset!A2:C112,3,FALSE)/100)*IF(VLOOKUP(A107,tbMoveset!A2:B112,2,FALSE)="Projectile",Backdoors!N10,Backdoors!N9),0),"")</f>
        <v>7</v>
      </c>
      <c r="AH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D107&gt;=0.45,VLOOKUP(Calculator!E23,tbSkills!DH3:DI6,2,FALSE)+IF(AND(Calculator!B8=TRUE,Backdoors!BI7=TRUE),VLOOKUP(Calculator!E23,tbSkills!DH3:DJ6,3,FALSE),0),0))&gt;=100,100,(Backdoors!AI12+IF(AD107&gt;=0.45,VLOOKUP(Calculator!E23,tbSkills!DH3:DI6,2,FALSE)+IF(AND(Calculator!B8=TRUE,Backdoors!BI7=TRUE),VLOOKUP(Calculator!E23,tbSkills!DH3:DJ6,3,FALSE),0),0)))/100)),1))*IF(VLOOKUP(A107,tbMoveset!A2:K112,11,FALSE)=TRUE,Backdoors!AC5,1))*AE107,0),"")</f>
        <v>0</v>
      </c>
      <c r="AI107" s="49">
        <f>VLOOKUP(A107,tbMoveset!A2:G112,7,FALSE)*IFERROR(IF(Backdoors!AI12&gt;=0,1+(IF(Calculator!E40&gt;0,VLOOKUP(Calculator!E40,tbSkills!AI3:AJ5,2,FALSE),Backdoors!AL4)*(IF((Backdoors!AI12+IF(AD107&gt;=0.45,VLOOKUP(Calculator!E23,tbSkills!DH3:DI6,2,FALSE)+IF(AND(Calculator!B8=TRUE,Backdoors!BI7=TRUE),VLOOKUP(Calculator!E23,tbSkills!DH3:DJ6,3,FALSE),0),0))&gt;=100,100,(Backdoors!AI12+IF(AD107&gt;=0.45,VLOOKUP(Calculator!E23,tbSkills!DH3:DI6,2,FALSE)+IF(AND(Calculator!B8=TRUE,Backdoors!BI7=TRUE),VLOOKUP(Calculator!E23,tbSkills!DH3:DJ6,3,FALSE),0),0)))/100)),1),1)</f>
        <v>0.4</v>
      </c>
      <c r="AJ107" s="87">
        <f t="shared" si="55"/>
        <v>7</v>
      </c>
      <c r="AK107" s="91">
        <f>IFERROR(IF(VLOOKUP(A107,tbMoveset!A2:B112,2,FALSE)="Sever",Backdoors!AY8/100,IF(VLOOKUP(A107,tbMoveset!A2:B112,2,FALSE)="Blunt",Backdoors!AZ8/100,Backdoors!BA8/100)),"")</f>
        <v>0.45</v>
      </c>
      <c r="AL107" s="49">
        <f>IFERROR(IF(VLOOKUP(tbMoveset!A107,tbMoveset!A2:H112,8,FALSE)="Other",IF(VLOOKUP(tbMoveset!A107,tbMoveset!A2:I112,9,FALSE)="Fire",Backdoors!BB8,IF(VLOOKUP(tbMoveset!A107,tbMoveset!A2:I112,9,FALSE)="Water",Backdoors!BC8,IF(VLOOKUP(tbMoveset!A107,tbMoveset!A2:I112,9,FALSE)="Thunder",Backdoors!BD8,IF(VLOOKUP(tbMoveset!A107,tbMoveset!A2:I112,9,FALSE)="Ice",Backdoors!BE8,IF(VLOOKUP(tbMoveset!A107,tbMoveset!A2:I112,9,FALSE)="Dragon",Backdoors!BF8,Backdoors!BG8)))))/100,Backdoors!BG8/100),"")</f>
        <v>0</v>
      </c>
      <c r="AM107" s="49">
        <f>IFERROR(IF(VLOOKUP(A107,tbMoveset!A2:J112,10,FALSE)=TRUE,IF((Backdoors!AI12+IF(AK107&gt;=0.45,VLOOKUP(Calculator!E23,tbSkills!DH3:DI6,2,FALSE)+IF(AND(Calculator!B8=TRUE,Backdoors!BI8=TRUE),VLOOKUP(Calculator!E23,tbSkills!DH3:DJ6,3,FALSE),0),0))&gt;=0,1+(Backdoors!AL2*(IF((Backdoors!AI12+IF(AK107&gt;=0.45,VLOOKUP(Calculator!E23,tbSkills!DH3:DI6,2,FALSE)+IF(AND(Calculator!B8=TRUE,Backdoors!BI8=TRUE),VLOOKUP(Calculator!E23,tbSkills!DH3:DJ6,3,FALSE),0),0))&gt;=100,100,(Backdoors!AI12+IF(AK107&gt;=0.45,VLOOKUP(Calculator!E23,tbSkills!DH3:DI6,2,FALSE)+IF(AND(Calculator!B8=TRUE,Backdoors!BI8=TRUE),VLOOKUP(Calculator!E23,tbSkills!DH3:DJ6,3,FALSE),0),0)))/100)),(1-(0.25*((-Backdoors!AI12-IF(AK107&gt;=0.45,VLOOKUP(Calculator!E23,tbSkills!DH3:DI6,2,FALSE)+IF(AND(Calculator!B8=TRUE,Backdoors!BI8=TRUE),VLOOKUP(Calculator!E23,tbSkills!DH3:DJ6,3,FALSE),0),0))/100)))),1),"")</f>
        <v>1</v>
      </c>
      <c r="AN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K107)*AM107)*(VLOOKUP(A107,tbMoveset!A2:C112,3,FALSE)/100)*IF(VLOOKUP(A107,tbMoveset!A2:B112,2,FALSE)="Projectile",Backdoors!N10,Backdoors!N9),0),"")</f>
        <v>5</v>
      </c>
      <c r="AO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K107&gt;=0.45,VLOOKUP(Calculator!E23,tbSkills!DH3:DI6,2,FALSE)+IF(AND(Calculator!B8=TRUE,Backdoors!BI8=TRUE),VLOOKUP(Calculator!E23,tbSkills!DH3:DJ6,3,FALSE),0),0))&gt;=100,100,(Backdoors!AI12+IF(AK107&gt;=0.45,VLOOKUP(Calculator!E23,tbSkills!DH3:DI6,2,FALSE)+IF(AND(Calculator!B8=TRUE,Backdoors!BI8=TRUE),VLOOKUP(Calculator!E23,tbSkills!DH3:DJ6,3,FALSE),0),0)))/100)),1))*IF(VLOOKUP(A107,tbMoveset!A2:K112,11,FALSE)=TRUE,Backdoors!AC5,1))*AL107,0),"")</f>
        <v>0</v>
      </c>
      <c r="AP107" s="49">
        <f>VLOOKUP(A107,tbMoveset!A2:G112,7,FALSE)*IFERROR(IF(Backdoors!AI12&gt;=0,1+(IF(Calculator!E40&gt;0,VLOOKUP(Calculator!E40,tbSkills!AI3:AJ5,2,FALSE),Backdoors!AL4)*(IF((Backdoors!AI12+IF(AK107&gt;=0.45,VLOOKUP(Calculator!E23,tbSkills!DH3:DI6,2,FALSE)+IF(AND(Calculator!B8=TRUE,Backdoors!BI8=TRUE),VLOOKUP(Calculator!E23,tbSkills!DH3:DJ6,3,FALSE),0),0))&gt;=100,100,(Backdoors!AI12+IF(AK107&gt;=0.45,VLOOKUP(Calculator!E23,tbSkills!DH3:DI6,2,FALSE)+IF(AND(Calculator!B8=TRUE,Backdoors!BI8=TRUE),VLOOKUP(Calculator!E23,tbSkills!DH3:DJ6,3,FALSE),0),0)))/100)),1),1)</f>
        <v>0.4</v>
      </c>
      <c r="AQ107" s="87">
        <f t="shared" si="56"/>
        <v>5</v>
      </c>
      <c r="AR107" s="86">
        <f>IFERROR(IF(VLOOKUP(A107,tbMoveset!A2:B112,2,FALSE)="Sever",Backdoors!AY9/100,IF(VLOOKUP(A107,tbMoveset!A2:B112,2,FALSE)="Blunt",Backdoors!AZ9/100,Backdoors!BA9/100)),"")</f>
        <v>0.45</v>
      </c>
      <c r="AS107" s="49">
        <f>IFERROR(IF(VLOOKUP(tbMoveset!A107,tbMoveset!A2:H112,8,FALSE)="Other",IF(VLOOKUP(tbMoveset!A107,tbMoveset!A2:I112,9,FALSE)="Fire",Backdoors!BB9,IF(VLOOKUP(tbMoveset!A107,tbMoveset!A2:I112,9,FALSE)="Water",Backdoors!BC9,IF(VLOOKUP(tbMoveset!A107,tbMoveset!A2:I112,9,FALSE)="Thunder",Backdoors!BD9,IF(VLOOKUP(tbMoveset!A107,tbMoveset!A2:I112,9,FALSE)="Ice",Backdoors!BE9,IF(VLOOKUP(tbMoveset!A107,tbMoveset!A2:I112,9,FALSE)="Dragon",Backdoors!BF9,Backdoors!BG9)))))/100,Backdoors!BG9/100),"")</f>
        <v>0</v>
      </c>
      <c r="AT107" s="49">
        <f>IFERROR(IF(VLOOKUP(A107,tbMoveset!A2:J112,10,FALSE)=TRUE,IF((Backdoors!AI12+IF(AR107&gt;=0.45,VLOOKUP(Calculator!E23,tbSkills!DH3:DI6,2,FALSE)+IF(AND(Calculator!B8=TRUE,Backdoors!BI9=TRUE),VLOOKUP(Calculator!E23,tbSkills!DH3:DJ6,3,FALSE),0),0))&gt;=0,1+(Backdoors!AL2*(IF((Backdoors!AI12+IF(AR107&gt;=0.45,VLOOKUP(Calculator!E23,tbSkills!DH3:DI6,2,FALSE)+IF(AND(Calculator!B8=TRUE,Backdoors!BI9=TRUE),VLOOKUP(Calculator!E23,tbSkills!DH3:DJ6,3,FALSE),0),0))&gt;=100,100,(Backdoors!AI12+IF(AR107&gt;=0.45,VLOOKUP(Calculator!E23,tbSkills!DH3:DI6,2,FALSE)+IF(AND(Calculator!B8=TRUE,Backdoors!BI9=TRUE),VLOOKUP(Calculator!E23,tbSkills!DH3:DJ6,3,FALSE),0),0)))/100)),(1-(0.25*((-Backdoors!AI12-IF(AR107&gt;=0.45,VLOOKUP(Calculator!E23,tbSkills!DH3:DI6,2,FALSE)+IF(AND(Calculator!B8=TRUE,Backdoors!BI9=TRUE),VLOOKUP(Calculator!E23,tbSkills!DH3:DJ6,3,FALSE),0),0))/100)))),1),"")</f>
        <v>1</v>
      </c>
      <c r="AU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R107)*AT107)*(VLOOKUP(A107,tbMoveset!A2:C112,3,FALSE)/100)*IF(VLOOKUP(A107,tbMoveset!A2:B112,2,FALSE)="Projectile",Backdoors!N10,Backdoors!N9),0),"")</f>
        <v>5</v>
      </c>
      <c r="AV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R107&gt;=0.45,VLOOKUP(Calculator!E23,tbSkills!DH3:DI6,2,FALSE)+IF(AND(Calculator!B8=TRUE,Backdoors!BI9=TRUE),VLOOKUP(Calculator!E23,tbSkills!DH3:DJ6,3,FALSE),0),0))&gt;=100,100,(Backdoors!AI12+IF(AR107&gt;=0.45,VLOOKUP(Calculator!E23,tbSkills!DH3:DI6,2,FALSE)+IF(AND(Calculator!B8=TRUE,Backdoors!BI9=TRUE),VLOOKUP(Calculator!E23,tbSkills!DH3:DJ6,3,FALSE),0),0)))/100)),1))*IF(VLOOKUP(A107,tbMoveset!A2:K112,11,FALSE)=TRUE,Backdoors!AC5,1))*AS107,0),"")</f>
        <v>0</v>
      </c>
      <c r="AW107" s="49">
        <f>VLOOKUP(A107,tbMoveset!A2:G112,7,FALSE)*IFERROR(IF(Backdoors!AI12&gt;=0,1+(IF(Calculator!E40&gt;0,VLOOKUP(Calculator!E40,tbSkills!AI3:AJ5,2,FALSE),Backdoors!AL4)*(IF((Backdoors!AI12+IF(AR107&gt;=0.45,VLOOKUP(Calculator!E23,tbSkills!DH3:DI6,2,FALSE)+IF(AND(Calculator!B8=TRUE,Backdoors!BI9=TRUE),VLOOKUP(Calculator!E23,tbSkills!DH3:DJ6,3,FALSE),0),0))&gt;=100,100,(Backdoors!AI12+IF(AR107&gt;=0.45,VLOOKUP(Calculator!E23,tbSkills!DH3:DI6,2,FALSE)+IF(AND(Calculator!B8=TRUE,Backdoors!BI9=TRUE),VLOOKUP(Calculator!E23,tbSkills!DH3:DJ6,3,FALSE),0),0)))/100)),1),1)</f>
        <v>0.4</v>
      </c>
      <c r="AX107" s="87">
        <f t="shared" si="57"/>
        <v>5</v>
      </c>
      <c r="AY107" s="86">
        <f>IFERROR(IF(VLOOKUP(A107,tbMoveset!A2:B112,2,FALSE)="Sever",Backdoors!AY10/100,IF(VLOOKUP(A107,tbMoveset!A2:B112,2,FALSE)="Blunt",Backdoors!AZ10/100,Backdoors!BA10/100)),"")</f>
        <v>0.9</v>
      </c>
      <c r="AZ107" s="49">
        <f>IFERROR(IF(VLOOKUP(tbMoveset!A107,tbMoveset!A2:H112,8,FALSE)="Other",IF(VLOOKUP(tbMoveset!A107,tbMoveset!A2:I112,9,FALSE)="Fire",Backdoors!BB10,IF(VLOOKUP(tbMoveset!A107,tbMoveset!A2:I112,9,FALSE)="Water",Backdoors!BC10,IF(VLOOKUP(tbMoveset!A107,tbMoveset!A2:I112,9,FALSE)="Thunder",Backdoors!BD10,IF(VLOOKUP(tbMoveset!A107,tbMoveset!A2:I112,9,FALSE)="Ice",Backdoors!BE10,IF(VLOOKUP(tbMoveset!A107,tbMoveset!A2:I112,9,FALSE)="Dragon",Backdoors!BF10,Backdoors!BG10)))))/100,Backdoors!BG10/100),"")</f>
        <v>0</v>
      </c>
      <c r="BA107" s="49">
        <f>IFERROR(IF(VLOOKUP(A107,tbMoveset!A2:J112,10,FALSE)=TRUE,IF((Backdoors!AI12+IF(AY107&gt;=0.45,VLOOKUP(Calculator!E23,tbSkills!DH3:DI6,2,FALSE)+IF(AND(Calculator!B8=TRUE,Backdoors!BI10=TRUE),VLOOKUP(Calculator!E23,tbSkills!DH3:DJ6,3,FALSE),0),0))&gt;=0,1+(Backdoors!AL2*(IF((Backdoors!AI12+IF(AY107&gt;=0.45,VLOOKUP(Calculator!E23,tbSkills!DH3:DI6,2,FALSE)+IF(AND(Calculator!B8=TRUE,Backdoors!BI10=TRUE),VLOOKUP(Calculator!E23,tbSkills!DH3:DJ6,3,FALSE),0),0))&gt;=100,100,(Backdoors!AI12+IF(AY107&gt;=0.45,VLOOKUP(Calculator!E23,tbSkills!DH3:DI6,2,FALSE)+IF(AND(Calculator!B8=TRUE,Backdoors!BI10=TRUE),VLOOKUP(Calculator!E23,tbSkills!DH3:DJ6,3,FALSE),0),0)))/100)),(1-(0.25*((-Backdoors!AI12-IF(AY107&gt;=0.45,VLOOKUP(Calculator!E23,tbSkills!DH3:DI6,2,FALSE)+IF(AND(Calculator!B8=TRUE,Backdoors!BI10=TRUE),VLOOKUP(Calculator!E23,tbSkills!DH3:DJ6,3,FALSE),0),0))/100)))),1),"")</f>
        <v>1</v>
      </c>
      <c r="BB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Y107)*BA107)*(VLOOKUP(A107,tbMoveset!A2:C112,3,FALSE)/100)*IF(VLOOKUP(A107,tbMoveset!A2:B112,2,FALSE)="Projectile",Backdoors!N10,Backdoors!N9),0),"")</f>
        <v>9</v>
      </c>
      <c r="BC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Y107&gt;=0.45,VLOOKUP(Calculator!E23,tbSkills!DH3:DI6,2,FALSE)+IF(AND(Calculator!B8=TRUE,Backdoors!BI10=TRUE),VLOOKUP(Calculator!E23,tbSkills!DH3:DJ6,3,FALSE),0),0))&gt;=100,100,(Backdoors!AI12+IF(AY107&gt;=0.45,VLOOKUP(Calculator!E23,tbSkills!DH3:DI6,2,FALSE)+IF(AND(Calculator!B8=TRUE,Backdoors!BI10=TRUE),VLOOKUP(Calculator!E23,tbSkills!DH3:DJ6,3,FALSE),0),0)))/100)),1))*IF(VLOOKUP(A107,tbMoveset!A2:K112,11,FALSE)=TRUE,Backdoors!AC5,1))*AZ107,0),"")</f>
        <v>0</v>
      </c>
      <c r="BD107" s="49">
        <f>VLOOKUP(A107,tbMoveset!A2:G112,7,FALSE)*IFERROR(IF(Backdoors!AI12&gt;=0,1+(IF(Calculator!E40&gt;0,VLOOKUP(Calculator!E40,tbSkills!AI3:AJ5,2,FALSE),Backdoors!AL4)*(IF((Backdoors!AI12+IF(AY107&gt;=0.45,VLOOKUP(Calculator!E23,tbSkills!DH3:DI6,2,FALSE)+IF(AND(Calculator!B8=TRUE,Backdoors!BI10=TRUE),VLOOKUP(Calculator!E23,tbSkills!DH3:DJ6,3,FALSE),0),0))&gt;=100,100,(Backdoors!AI12+IF(AY107&gt;=0.45,VLOOKUP(Calculator!E23,tbSkills!DH3:DI6,2,FALSE)+IF(AND(Calculator!B8=TRUE,Backdoors!BI10=TRUE),VLOOKUP(Calculator!E23,tbSkills!DH3:DJ6,3,FALSE),0),0)))/100)),1),1)</f>
        <v>0.4</v>
      </c>
      <c r="BE107" s="87">
        <f t="shared" si="58"/>
        <v>9</v>
      </c>
      <c r="BF107" s="86" t="str">
        <f>IFERROR(IF(VLOOKUP(A107,tbMoveset!A2:B112,2,FALSE)="Sever",Backdoors!AY11/100,IF(VLOOKUP(A107,tbMoveset!A2:B112,2,FALSE)="Blunt",Backdoors!AZ11/100,Backdoors!BA11/100)),"")</f>
        <v/>
      </c>
      <c r="BG107" s="49">
        <f>IFERROR(IF(VLOOKUP(tbMoveset!A107,tbMoveset!A2:H112,8,FALSE)="Other",IF(VLOOKUP(tbMoveset!A107,tbMoveset!A2:I112,9,FALSE)="Fire",Backdoors!BB11,IF(VLOOKUP(tbMoveset!A107,tbMoveset!A2:I112,9,FALSE)="Water",Backdoors!BC11,IF(VLOOKUP(tbMoveset!A107,tbMoveset!A2:I112,9,FALSE)="Thunder",Backdoors!BD11,IF(VLOOKUP(tbMoveset!A107,tbMoveset!A2:I112,9,FALSE)="Ice",Backdoors!BE11,IF(VLOOKUP(tbMoveset!A107,tbMoveset!A2:I112,9,FALSE)="Dragon",Backdoors!BF11,Backdoors!BG11)))))/100,Backdoors!BG11/100),"")</f>
        <v>0</v>
      </c>
      <c r="BH107" s="49">
        <f>IFERROR(IF(VLOOKUP(A107,tbMoveset!A2:J112,10,FALSE)=TRUE,IF((Backdoors!AI12+IF(BF107&gt;=0.45,VLOOKUP(Calculator!E23,tbSkills!DH3:DI6,2,FALSE)+IF(AND(Calculator!B8=TRUE,Backdoors!BI11=TRUE),VLOOKUP(Calculator!E23,tbSkills!DH3:DJ6,3,FALSE),0),0))&gt;=0,1+(Backdoors!AL2*(IF((Backdoors!AI12+IF(BF107&gt;=0.45,VLOOKUP(Calculator!E23,tbSkills!DH3:DI6,2,FALSE)+IF(AND(Calculator!B8=TRUE,Backdoors!BI11=TRUE),VLOOKUP(Calculator!E23,tbSkills!DH3:DJ6,3,FALSE),0),0))&gt;=100,100,(Backdoors!AI12+IF(BF107&gt;=0.45,VLOOKUP(Calculator!E23,tbSkills!DH3:DI6,2,FALSE)+IF(AND(Calculator!B8=TRUE,Backdoors!BI11=TRUE),VLOOKUP(Calculator!E23,tbSkills!DH3:DJ6,3,FALSE),0),0)))/100)),(1-(0.25*((-Backdoors!AI12-IF(BF107&gt;=0.45,VLOOKUP(Calculator!E23,tbSkills!DH3:DI6,2,FALSE)+IF(AND(Calculator!B8=TRUE,Backdoors!BI11=TRUE),VLOOKUP(Calculator!E23,tbSkills!DH3:DJ6,3,FALSE),0),0))/100)))),1),"")</f>
        <v>1</v>
      </c>
      <c r="BI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F107)*BH107)*(VLOOKUP(A107,tbMoveset!A2:C112,3,FALSE)/100)*IF(VLOOKUP(A107,tbMoveset!A2:B112,2,FALSE)="Projectile",Backdoors!N10,Backdoors!N9),0),"")</f>
        <v/>
      </c>
      <c r="BJ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F107&gt;=0.45,VLOOKUP(Calculator!E23,tbSkills!DH3:DI6,2,FALSE)+IF(AND(Calculator!B8=TRUE,Backdoors!BI11=TRUE),VLOOKUP(Calculator!E23,tbSkills!DH3:DJ6,3,FALSE),0),0))&gt;=100,100,(Backdoors!AI12+IF(BF107&gt;=0.45,VLOOKUP(Calculator!E23,tbSkills!DH3:DI6,2,FALSE)+IF(AND(Calculator!B8=TRUE,Backdoors!BI11=TRUE),VLOOKUP(Calculator!E23,tbSkills!DH3:DJ6,3,FALSE),0),0)))/100)),1))*IF(VLOOKUP(A107,tbMoveset!A2:K112,11,FALSE)=TRUE,Backdoors!AC5,1))*BG107,0),"")</f>
        <v>0</v>
      </c>
      <c r="BK107" s="49">
        <f>VLOOKUP(A107,tbMoveset!A2:G112,7,FALSE)*IFERROR(IF(Backdoors!AI12&gt;=0,1+(IF(Calculator!E40&gt;0,VLOOKUP(Calculator!E40,tbSkills!AI3:AJ5,2,FALSE),Backdoors!AL4)*(IF((Backdoors!AI12+IF(BF107&gt;=0.45,VLOOKUP(Calculator!E23,tbSkills!DH3:DI6,2,FALSE)+IF(AND(Calculator!B8=TRUE,Backdoors!BI11=TRUE),VLOOKUP(Calculator!E23,tbSkills!DH3:DJ6,3,FALSE),0),0))&gt;=100,100,(Backdoors!AI12+IF(BF107&gt;=0.45,VLOOKUP(Calculator!E23,tbSkills!DH3:DI6,2,FALSE)+IF(AND(Calculator!B8=TRUE,Backdoors!BI11=TRUE),VLOOKUP(Calculator!E23,tbSkills!DH3:DJ6,3,FALSE),0),0)))/100)),1),1)</f>
        <v>0.4</v>
      </c>
      <c r="BL107" s="87">
        <f t="shared" si="59"/>
        <v>0</v>
      </c>
      <c r="BM107" s="86" t="str">
        <f>IFERROR(IF(VLOOKUP(A107,tbMoveset!A2:B112,2,FALSE)="Sever",Backdoors!AY12/100,IF(VLOOKUP(A107,tbMoveset!A2:B112,2,FALSE)="Blunt",Backdoors!AZ12/100,Backdoors!BA12/100)),"")</f>
        <v/>
      </c>
      <c r="BN107" s="49">
        <f>IFERROR(IF(VLOOKUP(tbMoveset!A107,tbMoveset!A2:H112,8,FALSE)="Other",IF(VLOOKUP(tbMoveset!A107,tbMoveset!A2:I112,9,FALSE)="Fire",Backdoors!BB12,IF(VLOOKUP(tbMoveset!A107,tbMoveset!A2:I112,9,FALSE)="Water",Backdoors!BC12,IF(VLOOKUP(tbMoveset!A107,tbMoveset!A2:I112,9,FALSE)="Thunder",Backdoors!BD12,IF(VLOOKUP(tbMoveset!A107,tbMoveset!A2:I112,9,FALSE)="Ice",Backdoors!BE12,IF(VLOOKUP(tbMoveset!A107,tbMoveset!A2:I112,9,FALSE)="Dragon",Backdoors!BF12,Backdoors!BG12)))))/100,Backdoors!BG12/100),"")</f>
        <v>0</v>
      </c>
      <c r="BO107" s="49">
        <f>IFERROR(IF(VLOOKUP(A107,tbMoveset!A2:J112,10,FALSE)=TRUE,IF((Backdoors!AI12+IF(BM107&gt;=0.45,VLOOKUP(Calculator!E23,tbSkills!DH3:DI6,2,FALSE)+IF(AND(Calculator!B8=TRUE,Backdoors!BI12=TRUE),VLOOKUP(Calculator!E23,tbSkills!DH3:DJ6,3,FALSE),0),0))&gt;=0,1+(Backdoors!AL2*(IF((Backdoors!AI12+IF(BM107&gt;=0.45,VLOOKUP(Calculator!E23,tbSkills!DH3:DI6,2,FALSE)+IF(AND(Calculator!B8=TRUE,Backdoors!BI12=TRUE),VLOOKUP(Calculator!E23,tbSkills!DH3:DJ6,3,FALSE),0),0))&gt;=100,100,(Backdoors!AI12+IF(BM107&gt;=0.45,VLOOKUP(Calculator!E23,tbSkills!DH3:DI6,2,FALSE)+IF(AND(Calculator!B8=TRUE,Backdoors!BI12=TRUE),VLOOKUP(Calculator!E23,tbSkills!DH3:DJ6,3,FALSE),0),0)))/100)),(1-(0.25*((-Backdoors!AI12-IF(BM107&gt;=0.45,VLOOKUP(Calculator!E23,tbSkills!DH3:DI6,2,FALSE)+IF(AND(Calculator!B8=TRUE,Backdoors!BI12=TRUE),VLOOKUP(Calculator!E23,tbSkills!DH3:DJ6,3,FALSE),0),0))/100)))),1),"")</f>
        <v>1</v>
      </c>
      <c r="BP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M107)*BO107)*(VLOOKUP(A107,tbMoveset!A2:C112,3,FALSE)/100)*IF(VLOOKUP(A107,tbMoveset!A2:B112,2,FALSE)="Projectile",Backdoors!N10,Backdoors!N9),0),"")</f>
        <v/>
      </c>
      <c r="BQ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M107&gt;=0.45,VLOOKUP(Calculator!E23,tbSkills!DH3:DI6,2,FALSE)+IF(AND(Calculator!B8=TRUE,Backdoors!BI12=TRUE),VLOOKUP(Calculator!E23,tbSkills!DH3:DJ6,3,FALSE),0),0))&gt;=100,100,(Backdoors!AI12+IF(BM107&gt;=0.45,VLOOKUP(Calculator!E23,tbSkills!DH3:DI6,2,FALSE)+IF(AND(Calculator!B8=TRUE,Backdoors!BI12=TRUE),VLOOKUP(Calculator!E23,tbSkills!DH3:DJ6,3,FALSE),0),0)))/100)),1))*IF(VLOOKUP(A107,tbMoveset!A2:K112,11,FALSE)=TRUE,Backdoors!AC5,1))*BN107,0),"")</f>
        <v>0</v>
      </c>
      <c r="BR107" s="49">
        <f>VLOOKUP(A107,tbMoveset!A2:G112,7,FALSE)*IFERROR(IF(Backdoors!AI12&gt;=0,1+(IF(Calculator!E40&gt;0,VLOOKUP(Calculator!E40,tbSkills!AI3:AJ5,2,FALSE),Backdoors!AL4)*(IF((Backdoors!AI12+IF(BM107&gt;=0.45,VLOOKUP(Calculator!E23,tbSkills!DH3:DI6,2,FALSE)+IF(AND(Calculator!B8=TRUE,Backdoors!BI12=TRUE),VLOOKUP(Calculator!E23,tbSkills!DH3:DJ6,3,FALSE),0),0))&gt;=100,100,(Backdoors!AI12+IF(BM107&gt;=0.45,VLOOKUP(Calculator!E23,tbSkills!DH3:DI6,2,FALSE)+IF(AND(Calculator!B8=TRUE,Backdoors!BI12=TRUE),VLOOKUP(Calculator!E23,tbSkills!DH3:DJ6,3,FALSE),0),0)))/100)),1),1)</f>
        <v>0.4</v>
      </c>
      <c r="BS107" s="87">
        <f t="shared" si="60"/>
        <v>0</v>
      </c>
      <c r="BT107" s="86" t="str">
        <f>IFERROR(IF(VLOOKUP(A107,tbMoveset!A2:B112,2,FALSE)="Sever",Backdoors!AY13/100,IF(VLOOKUP(A107,tbMoveset!A2:B112,2,FALSE)="Blunt",Backdoors!AZ13/100,Backdoors!BA13/100)),"")</f>
        <v/>
      </c>
      <c r="BU107" s="49">
        <f>IFERROR(IF(VLOOKUP(tbMoveset!A107,tbMoveset!A2:H112,8,FALSE)="Other",IF(VLOOKUP(tbMoveset!A107,tbMoveset!A2:I112,9,FALSE)="Fire",Backdoors!BB13,IF(VLOOKUP(tbMoveset!A107,tbMoveset!A2:I112,9,FALSE)="Water",Backdoors!BC13,IF(VLOOKUP(tbMoveset!A107,tbMoveset!A2:I112,9,FALSE)="Thunder",Backdoors!BD13,IF(VLOOKUP(tbMoveset!A107,tbMoveset!A2:I112,9,FALSE)="Ice",Backdoors!BE13,IF(VLOOKUP(tbMoveset!A107,tbMoveset!A2:I112,9,FALSE)="Dragon",Backdoors!BF13,Backdoors!BG13)))))/100,Backdoors!BG13/100),"")</f>
        <v>0</v>
      </c>
      <c r="BV107" s="49">
        <f>IFERROR(IF(VLOOKUP(A107,tbMoveset!A2:J112,10,FALSE)=TRUE,IF((Backdoors!AI12+IF(BT107&gt;=0.45,VLOOKUP(Calculator!E23,tbSkills!DH3:DI6,2,FALSE)+IF(AND(Calculator!B8=TRUE,Backdoors!BI13=TRUE),VLOOKUP(Calculator!E23,tbSkills!DH3:DJ6,3,FALSE),0),0))&gt;=0,1+(Backdoors!AL2*(IF((Backdoors!AI12+IF(BT107&gt;=0.45,VLOOKUP(Calculator!E23,tbSkills!DH3:DI6,2,FALSE)+IF(AND(Calculator!B8=TRUE,Backdoors!BI13=TRUE),VLOOKUP(Calculator!E23,tbSkills!DH3:DJ6,3,FALSE),0),0))&gt;=100,100,(Backdoors!AI12+IF(BT107&gt;=0.45,VLOOKUP(Calculator!E23,tbSkills!DH3:DI6,2,FALSE)+IF(AND(Calculator!B8=TRUE,Backdoors!BI13=TRUE),VLOOKUP(Calculator!E23,tbSkills!DH3:DJ6,3,FALSE),0),0)))/100)),(1-(0.25*((-Backdoors!AI12-IF(BT107&gt;=0.45,VLOOKUP(Calculator!E23,tbSkills!DH3:DI6,2,FALSE)+IF(AND(Calculator!B8=TRUE,Backdoors!BI13=TRUE),VLOOKUP(Calculator!E23,tbSkills!DH3:DJ6,3,FALSE),0),0))/100)))),1),"")</f>
        <v>1</v>
      </c>
      <c r="BW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T107)*BV107)*(VLOOKUP(A107,tbMoveset!A2:C112,3,FALSE)/100)*IF(VLOOKUP(A107,tbMoveset!A2:B112,2,FALSE)="Projectile",Backdoors!N10,Backdoors!N9),0),"")</f>
        <v/>
      </c>
      <c r="BX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T107&gt;=0.45,VLOOKUP(Calculator!E23,tbSkills!DH3:DI6,2,FALSE)+IF(AND(Calculator!B8=TRUE,Backdoors!BI13=TRUE),VLOOKUP(Calculator!E23,tbSkills!DH3:DJ6,3,FALSE),0),0))&gt;=100,100,(Backdoors!AI12+IF(BT107&gt;=0.45,VLOOKUP(Calculator!E23,tbSkills!DH3:DI6,2,FALSE)+IF(AND(Calculator!B8=TRUE,Backdoors!BI13=TRUE),VLOOKUP(Calculator!E23,tbSkills!DH3:DJ6,3,FALSE),0),0)))/100)),1))*IF(VLOOKUP(A107,tbMoveset!A2:K112,11,FALSE)=TRUE,Backdoors!AC5,1))*BU107,0),"")</f>
        <v>0</v>
      </c>
      <c r="BY107" s="49">
        <f>VLOOKUP(A107,tbMoveset!A2:G112,7,FALSE)*IFERROR(IF(Backdoors!AI12&gt;=0,1+(IF(Calculator!E40&gt;0,VLOOKUP(Calculator!E40,tbSkills!AI3:AJ5,2,FALSE),Backdoors!AL4)*(IF((Backdoors!AI12+IF(BT107&gt;=0.45,VLOOKUP(Calculator!E23,tbSkills!DH3:DI6,2,FALSE)+IF(AND(Calculator!B8=TRUE,Backdoors!BI13=TRUE),VLOOKUP(Calculator!E23,tbSkills!DH3:DJ6,3,FALSE),0),0))&gt;=100,100,(Backdoors!AI12+IF(BT107&gt;=0.45,VLOOKUP(Calculator!E23,tbSkills!DH3:DI6,2,FALSE)+IF(AND(Calculator!B8=TRUE,Backdoors!BI13=TRUE),VLOOKUP(Calculator!E23,tbSkills!DH3:DJ6,3,FALSE),0),0)))/100)),1),1)</f>
        <v>0.4</v>
      </c>
      <c r="BZ107" s="87">
        <f t="shared" si="61"/>
        <v>0</v>
      </c>
      <c r="CA107" s="86" t="str">
        <f>IFERROR(IF(VLOOKUP(A107,tbMoveset!A2:B112,2,FALSE)="Sever",Backdoors!AY14/100,IF(VLOOKUP(A107,tbMoveset!A2:B112,2,FALSE)="Blunt",Backdoors!AZ14/100,Backdoors!BA14/100)),"")</f>
        <v/>
      </c>
      <c r="CB107" s="49">
        <f>IFERROR(IF(VLOOKUP(tbMoveset!A107,tbMoveset!A2:H112,8,FALSE)="Other",IF(VLOOKUP(tbMoveset!A107,tbMoveset!A2:I112,9,FALSE)="Fire",Backdoors!BB14,IF(VLOOKUP(tbMoveset!A107,tbMoveset!A2:I112,9,FALSE)="Water",Backdoors!BC14,IF(VLOOKUP(tbMoveset!A107,tbMoveset!A2:I112,9,FALSE)="Thunder",Backdoors!BD14,IF(VLOOKUP(tbMoveset!A107,tbMoveset!A2:I112,9,FALSE)="Ice",Backdoors!BE14,IF(VLOOKUP(tbMoveset!A107,tbMoveset!A2:I112,9,FALSE)="Dragon",Backdoors!BF14,Backdoors!BG14)))))/100,Backdoors!BG14/100),"")</f>
        <v>0</v>
      </c>
      <c r="CC107" s="49">
        <f>IFERROR(IF(VLOOKUP(A107,tbMoveset!A2:J112,10,FALSE)=TRUE,IF((Backdoors!AI12+IF(CA107&gt;=0.45,VLOOKUP(Calculator!E23,tbSkills!DH3:DI6,2,FALSE)+IF(AND(Calculator!B8=TRUE,Backdoors!BI14=TRUE),VLOOKUP(Calculator!E23,tbSkills!DH3:DJ6,3,FALSE),0),0))&gt;=0,1+(Backdoors!AL2*(IF((Backdoors!AI12+IF(CA107&gt;=0.45,VLOOKUP(Calculator!E23,tbSkills!DH3:DI6,2,FALSE)+IF(AND(Calculator!B8=TRUE,Backdoors!BI14=TRUE),VLOOKUP(Calculator!E23,tbSkills!DH3:DJ6,3,FALSE),0),0))&gt;=100,100,(Backdoors!AI12+IF(CA107&gt;=0.45,VLOOKUP(Calculator!E23,tbSkills!DH3:DI6,2,FALSE)+IF(AND(Calculator!B8=TRUE,Backdoors!BI14=TRUE),VLOOKUP(Calculator!E23,tbSkills!DH3:DJ6,3,FALSE),0),0)))/100)),(1-(0.25*((-Backdoors!AI12-IF(CA107&gt;=0.45,VLOOKUP(Calculator!E23,tbSkills!DH3:DI6,2,FALSE)+IF(AND(Calculator!B8=TRUE,Backdoors!BI14=TRUE),VLOOKUP(Calculator!E23,tbSkills!DH3:DJ6,3,FALSE),0),0))/100)))),1),"")</f>
        <v>1</v>
      </c>
      <c r="CD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A107)*CC107)*(VLOOKUP(A107,tbMoveset!A2:C112,3,FALSE)/100)*IF(VLOOKUP(A107,tbMoveset!A2:B112,2,FALSE)="Projectile",Backdoors!N10,Backdoors!N9),0),"")</f>
        <v/>
      </c>
      <c r="CE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A107&gt;=0.45,VLOOKUP(Calculator!E23,tbSkills!DH3:DI6,2,FALSE)+IF(AND(Calculator!B8=TRUE,Backdoors!BI14=TRUE),VLOOKUP(Calculator!E23,tbSkills!DH3:DJ6,3,FALSE),0),0))&gt;=100,100,(Backdoors!AI12+IF(CA107&gt;=0.45,VLOOKUP(Calculator!E23,tbSkills!DH3:DI6,2,FALSE)+IF(AND(Calculator!B8=TRUE,Backdoors!BI14=TRUE),VLOOKUP(Calculator!E23,tbSkills!DH3:DJ6,3,FALSE),0),0)))/100)),1))*IF(VLOOKUP(A107,tbMoveset!A2:K112,11,FALSE)=TRUE,Backdoors!AC5,1))*CB107,0),"")</f>
        <v>0</v>
      </c>
      <c r="CF107" s="49">
        <f>VLOOKUP(A107,tbMoveset!A2:G112,7,FALSE)*IFERROR(IF(Backdoors!AI12&gt;=0,1+(IF(Calculator!E40&gt;0,VLOOKUP(Calculator!E40,tbSkills!AI3:AJ5,2,FALSE),Backdoors!AL4)*(IF((Backdoors!AI12+IF(CA107&gt;=0.45,VLOOKUP(Calculator!E23,tbSkills!DH3:DI6,2,FALSE)+IF(AND(Calculator!B8=TRUE,Backdoors!BI14=TRUE),VLOOKUP(Calculator!E23,tbSkills!DH3:DJ6,3,FALSE),0),0))&gt;=100,100,(Backdoors!AI12+IF(CA107&gt;=0.45,VLOOKUP(Calculator!E23,tbSkills!DH3:DI6,2,FALSE)+IF(AND(Calculator!B8=TRUE,Backdoors!BI14=TRUE),VLOOKUP(Calculator!E23,tbSkills!DH3:DJ6,3,FALSE),0),0)))/100)),1),1)</f>
        <v>0.4</v>
      </c>
      <c r="CG107" s="87">
        <f t="shared" si="62"/>
        <v>0</v>
      </c>
      <c r="CH107" s="86" t="str">
        <f>IFERROR(IF(VLOOKUP(A107,tbMoveset!A2:B112,2,FALSE)="Sever",Backdoors!AY15/100,IF(VLOOKUP(A107,tbMoveset!A2:B112,2,FALSE)="Blunt",Backdoors!AZ15/100,Backdoors!BA15/100)),"")</f>
        <v/>
      </c>
      <c r="CI107" s="49">
        <f>IFERROR(IF(VLOOKUP(tbMoveset!A107,tbMoveset!A2:H112,8,FALSE)="Other",IF(VLOOKUP(tbMoveset!A107,tbMoveset!A2:I112,9,FALSE)="Fire",Backdoors!BB15,IF(VLOOKUP(tbMoveset!A107,tbMoveset!A2:I112,9,FALSE)="Water",Backdoors!BC15,IF(VLOOKUP(tbMoveset!A107,tbMoveset!A2:I112,9,FALSE)="Thunder",Backdoors!BD15,IF(VLOOKUP(tbMoveset!A107,tbMoveset!A2:I112,9,FALSE)="Ice",Backdoors!BE15,IF(VLOOKUP(tbMoveset!A107,tbMoveset!A2:I112,9,FALSE)="Dragon",Backdoors!BF15,Backdoors!BG15)))))/100,Backdoors!BG15/100),"")</f>
        <v>0</v>
      </c>
      <c r="CJ107" s="49">
        <f>IFERROR(IF(VLOOKUP(A107,tbMoveset!A2:J112,10,FALSE)=TRUE,IF((Backdoors!AI12+IF(CH107&gt;=0.45,VLOOKUP(Calculator!E23,tbSkills!DH3:DI6,2,FALSE)+IF(AND(Calculator!B8=TRUE,Backdoors!BI15=TRUE),VLOOKUP(Calculator!E23,tbSkills!DH3:DJ6,3,FALSE),0),0))&gt;=0,1+(Backdoors!AL2*(IF((Backdoors!AI12+IF(CH107&gt;=0.45,VLOOKUP(Calculator!E23,tbSkills!DH3:DI6,2,FALSE)+IF(AND(Calculator!B8=TRUE,Backdoors!BI15=TRUE),VLOOKUP(Calculator!E23,tbSkills!DH3:DJ6,3,FALSE),0),0))&gt;=100,100,(Backdoors!AI12+IF(CH107&gt;=0.45,VLOOKUP(Calculator!E23,tbSkills!DH3:DI6,2,FALSE)+IF(AND(Calculator!B8=TRUE,Backdoors!BI15=TRUE),VLOOKUP(Calculator!E23,tbSkills!DH3:DJ6,3,FALSE),0),0)))/100)),(1-(0.25*((-Backdoors!AI12-IF(CH107&gt;=0.45,VLOOKUP(Calculator!E23,tbSkills!DH3:DI6,2,FALSE)+IF(AND(Calculator!B8=TRUE,Backdoors!BI15=TRUE),VLOOKUP(Calculator!E23,tbSkills!DH3:DJ6,3,FALSE),0),0))/100)))),1),"")</f>
        <v>1</v>
      </c>
      <c r="CK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H107)*CJ107)*(VLOOKUP(A107,tbMoveset!A2:C112,3,FALSE)/100)*IF(VLOOKUP(A107,tbMoveset!A2:B112,2,FALSE)="Projectile",Backdoors!N10,Backdoors!N9),0),"")</f>
        <v/>
      </c>
      <c r="CL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H107&gt;=0.45,VLOOKUP(Calculator!E23,tbSkills!DH3:DI6,2,FALSE)+IF(AND(Calculator!B8=TRUE,Backdoors!BI15=TRUE),VLOOKUP(Calculator!E23,tbSkills!DH3:DJ6,3,FALSE),0),0))&gt;=100,100,(Backdoors!AI12+IF(CH107&gt;=0.45,VLOOKUP(Calculator!E23,tbSkills!DH3:DI6,2,FALSE)+IF(AND(Calculator!B8=TRUE,Backdoors!BI15=TRUE),VLOOKUP(Calculator!E23,tbSkills!DH3:DJ6,3,FALSE),0),0)))/100)),1))*IF(VLOOKUP(A107,tbMoveset!A2:K112,11,FALSE)=TRUE,Backdoors!AC5,1))*CI107,0),"")</f>
        <v>0</v>
      </c>
      <c r="CM107" s="49">
        <f>VLOOKUP(A107,tbMoveset!A2:G112,7,FALSE)*IFERROR(IF(Backdoors!AI12&gt;=0,1+(IF(Calculator!E40&gt;0,VLOOKUP(Calculator!E40,tbSkills!AI3:AJ5,2,FALSE),Backdoors!AL4)*(IF((Backdoors!AI12+IF(CH107&gt;=0.45,VLOOKUP(Calculator!E23,tbSkills!DH3:DI6,2,FALSE)+IF(AND(Calculator!B8=TRUE,Backdoors!BI15=TRUE),VLOOKUP(Calculator!E23,tbSkills!DH3:DJ6,3,FALSE),0),0))&gt;=100,100,(Backdoors!AI12+IF(CH107&gt;=0.45,VLOOKUP(Calculator!E23,tbSkills!DH3:DI6,2,FALSE)+IF(AND(Calculator!B8=TRUE,Backdoors!BI15=TRUE),VLOOKUP(Calculator!E23,tbSkills!DH3:DJ6,3,FALSE),0),0)))/100)),1),1)</f>
        <v>0.4</v>
      </c>
      <c r="CN107" s="87">
        <f t="shared" si="63"/>
        <v>0</v>
      </c>
      <c r="CO107" s="86" t="str">
        <f>IFERROR(IF(VLOOKUP(A107,tbMoveset!A2:B112,2,FALSE)="Sever",Backdoors!AY16/100,IF(VLOOKUP(A107,tbMoveset!A2:B112,2,FALSE)="Blunt",Backdoors!AZ16/100,Backdoors!BA16/100)),"")</f>
        <v/>
      </c>
      <c r="CP107" s="49">
        <f>IFERROR(IF(VLOOKUP(tbMoveset!A107,tbMoveset!A2:H112,8,FALSE)="Other",IF(VLOOKUP(tbMoveset!A107,tbMoveset!A2:I112,9,FALSE)="Fire",Backdoors!BB16,IF(VLOOKUP(tbMoveset!A107,tbMoveset!A2:I112,9,FALSE)="Water",Backdoors!BC16,IF(VLOOKUP(tbMoveset!A107,tbMoveset!A2:I112,9,FALSE)="Thunder",Backdoors!BD16,IF(VLOOKUP(tbMoveset!A107,tbMoveset!A2:I112,9,FALSE)="Ice",Backdoors!BE16,IF(VLOOKUP(tbMoveset!A107,tbMoveset!A2:I112,9,FALSE)="Dragon",Backdoors!BF16,Backdoors!BG16)))))/100,Backdoors!BG16/100),"")</f>
        <v>0</v>
      </c>
      <c r="CQ107" s="49">
        <f>IFERROR(IF(VLOOKUP(A107,tbMoveset!A2:J112,10,FALSE)=TRUE,IF((Backdoors!AI12+IF(CO107&gt;=0.45,VLOOKUP(Calculator!E23,tbSkills!DH3:DI6,2,FALSE)+IF(AND(Calculator!B8=TRUE,Backdoors!BI16=TRUE),VLOOKUP(Calculator!E23,tbSkills!DH3:DJ6,3,FALSE),0),0))&gt;=0,1+(Backdoors!AL2*(IF((Backdoors!AI12+IF(CO107&gt;=0.45,VLOOKUP(Calculator!E23,tbSkills!DH3:DI6,2,FALSE)+IF(AND(Calculator!B8=TRUE,Backdoors!BI16=TRUE),VLOOKUP(Calculator!E23,tbSkills!DH3:DJ6,3,FALSE),0),0))&gt;=100,100,(Backdoors!AI12+IF(CO107&gt;=0.45,VLOOKUP(Calculator!E23,tbSkills!DH3:DI6,2,FALSE)+IF(AND(Calculator!B8=TRUE,Backdoors!BI16=TRUE),VLOOKUP(Calculator!E23,tbSkills!DH3:DJ6,3,FALSE),0),0)))/100)),(1-(0.25*((-Backdoors!AI12-IF(CO107&gt;=0.45,VLOOKUP(Calculator!E23,tbSkills!DH3:DI6,2,FALSE)+IF(AND(Calculator!B8=TRUE,Backdoors!BI16=TRUE),VLOOKUP(Calculator!E23,tbSkills!DH3:DJ6,3,FALSE),0),0))/100)))),1),"")</f>
        <v>1</v>
      </c>
      <c r="CR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O107)*CQ107)*(VLOOKUP(A107,tbMoveset!A2:C112,3,FALSE)/100)*IF(VLOOKUP(A107,tbMoveset!A2:B112,2,FALSE)="Projectile",Backdoors!N10,Backdoors!N9),0),"")</f>
        <v/>
      </c>
      <c r="CS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O107&gt;=0.45,VLOOKUP(Calculator!E23,tbSkills!DH3:DI6,2,FALSE)+IF(AND(Calculator!B8=TRUE,Backdoors!BI16=TRUE),VLOOKUP(Calculator!E23,tbSkills!DH3:DJ6,3,FALSE),0),0))&gt;=100,100,(Backdoors!AI12+IF(CO107&gt;=0.45,VLOOKUP(Calculator!E23,tbSkills!DH3:DI6,2,FALSE)+IF(AND(Calculator!B8=TRUE,Backdoors!BI16=TRUE),VLOOKUP(Calculator!E23,tbSkills!DH3:DJ6,3,FALSE),0),0)))/100)),1))*IF(VLOOKUP(A107,tbMoveset!A2:K112,11,FALSE)=TRUE,Backdoors!AC5,1))*CP107,0),"")</f>
        <v>0</v>
      </c>
      <c r="CT107" s="49">
        <f>VLOOKUP(A107,tbMoveset!A2:G112,7,FALSE)*IFERROR(IF(Backdoors!AI12&gt;=0,1+(IF(Calculator!E40&gt;0,VLOOKUP(Calculator!E40,tbSkills!AI3:AJ5,2,FALSE),Backdoors!AL4)*(IF((Backdoors!AI12+IF(CO107&gt;=0.45,VLOOKUP(Calculator!E23,tbSkills!DH3:DI6,2,FALSE)+IF(AND(Calculator!B8=TRUE,Backdoors!BI16=TRUE),VLOOKUP(Calculator!E23,tbSkills!DH3:DJ6,3,FALSE),0),0))&gt;=100,100,(Backdoors!AI12+IF(CO107&gt;=0.45,VLOOKUP(Calculator!E23,tbSkills!DH3:DI6,2,FALSE)+IF(AND(Calculator!B8=TRUE,Backdoors!BI16=TRUE),VLOOKUP(Calculator!E23,tbSkills!DH3:DJ6,3,FALSE),0),0)))/100)),1),1)</f>
        <v>0.4</v>
      </c>
      <c r="CU107" s="87">
        <f t="shared" si="64"/>
        <v>0</v>
      </c>
      <c r="CV107" s="86" t="str">
        <f>IFERROR(IF(VLOOKUP(A107,tbMoveset!A2:B112,2,FALSE)="Sever",Backdoors!AY17/100,IF(VLOOKUP(A107,tbMoveset!A2:B112,2,FALSE)="Blunt",Backdoors!AZ17/100,Backdoors!BA17/100)),"")</f>
        <v/>
      </c>
      <c r="CW107" s="49">
        <f>IFERROR(IF(VLOOKUP(tbMoveset!A107,tbMoveset!A2:H112,8,FALSE)="Other",IF(VLOOKUP(tbMoveset!A107,tbMoveset!A2:I112,9,FALSE)="Fire",Backdoors!BB17,IF(VLOOKUP(tbMoveset!A107,tbMoveset!A2:I112,9,FALSE)="Water",Backdoors!BC17,IF(VLOOKUP(tbMoveset!A107,tbMoveset!A2:I112,9,FALSE)="Thunder",Backdoors!BD17,IF(VLOOKUP(tbMoveset!A107,tbMoveset!A2:I112,9,FALSE)="Ice",Backdoors!BE17,IF(VLOOKUP(tbMoveset!A107,tbMoveset!A2:I112,9,FALSE)="Dragon",Backdoors!BF17,Backdoors!BG17)))))/100,Backdoors!BG17/100),"")</f>
        <v>0</v>
      </c>
      <c r="CX107" s="49">
        <f>IFERROR(IF(VLOOKUP(A107,tbMoveset!A2:J112,10,FALSE)=TRUE,IF((Backdoors!AI12+IF(CV107&gt;=0.45,VLOOKUP(Calculator!E23,tbSkills!DH3:DI6,2,FALSE)+IF(AND(Calculator!B8=TRUE,Backdoors!BI17=TRUE),VLOOKUP(Calculator!E23,tbSkills!DH3:DJ6,3,FALSE),0),0))&gt;=0,1+(Backdoors!AL2*(IF((Backdoors!AI12+IF(CV107&gt;=0.45,VLOOKUP(Calculator!E23,tbSkills!DH3:DI6,2,FALSE)+IF(AND(Calculator!B8=TRUE,Backdoors!BI17=TRUE),VLOOKUP(Calculator!E23,tbSkills!DH3:DJ6,3,FALSE),0),0))&gt;=100,100,(Backdoors!AI12+IF(CV107&gt;=0.45,VLOOKUP(Calculator!E23,tbSkills!DH3:DI6,2,FALSE)+IF(AND(Calculator!B8=TRUE,Backdoors!BI17=TRUE),VLOOKUP(Calculator!E23,tbSkills!DH3:DJ6,3,FALSE),0),0)))/100)),(1-(0.25*((-Backdoors!AI12-IF(CV107&gt;=0.45,VLOOKUP(Calculator!E23,tbSkills!DH3:DI6,2,FALSE)+IF(AND(Calculator!B8=TRUE,Backdoors!BI17=TRUE),VLOOKUP(Calculator!E23,tbSkills!DH3:DJ6,3,FALSE),0),0))/100)))),1),"")</f>
        <v>1</v>
      </c>
      <c r="CY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V107)*CX107)*(VLOOKUP(A107,tbMoveset!A2:C112,3,FALSE)/100)*IF(VLOOKUP(A107,tbMoveset!A2:B112,2,FALSE)="Projectile",Backdoors!N10,Backdoors!N9),0),"")</f>
        <v/>
      </c>
      <c r="CZ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V107&gt;=0.45,VLOOKUP(Calculator!E23,tbSkills!DH3:DI6,2,FALSE)+IF(AND(Calculator!B8=TRUE,Backdoors!BI17=TRUE),VLOOKUP(Calculator!E23,tbSkills!DH3:DJ6,3,FALSE),0),0))&gt;=100,100,(Backdoors!AI12+IF(CV107&gt;=0.45,VLOOKUP(Calculator!E23,tbSkills!DH3:DI6,2,FALSE)+IF(AND(Calculator!B8=TRUE,Backdoors!BI17=TRUE),VLOOKUP(Calculator!E23,tbSkills!DH3:DJ6,3,FALSE),0),0)))/100)),1))*IF(VLOOKUP(A107,tbMoveset!A2:K112,11,FALSE)=TRUE,Backdoors!AC5,1))*CW107,0),"")</f>
        <v>0</v>
      </c>
      <c r="DA107" s="49">
        <f>VLOOKUP(A107,tbMoveset!A2:G112,7,FALSE)*IFERROR(IF(Backdoors!AI12&gt;=0,1+(IF(Calculator!E40&gt;0,VLOOKUP(Calculator!E40,tbSkills!AI3:AJ5,2,FALSE),Backdoors!AL4)*(IF((Backdoors!AI12+IF(CV107&gt;=0.45,VLOOKUP(Calculator!E23,tbSkills!DH3:DI6,2,FALSE)+IF(AND(Calculator!B8=TRUE,Backdoors!BI17=TRUE),VLOOKUP(Calculator!E23,tbSkills!DH3:DJ6,3,FALSE),0),0))&gt;=100,100,(Backdoors!AI12+IF(CV107&gt;=0.45,VLOOKUP(Calculator!E23,tbSkills!DH3:DI6,2,FALSE)+IF(AND(Calculator!B8=TRUE,Backdoors!BI17=TRUE),VLOOKUP(Calculator!E23,tbSkills!DH3:DJ6,3,FALSE),0),0)))/100)),1),1)</f>
        <v>0.4</v>
      </c>
      <c r="DB107" s="87">
        <f t="shared" si="65"/>
        <v>0</v>
      </c>
      <c r="DC107" s="86" t="str">
        <f>IFERROR(IF(VLOOKUP(A107,tbMoveset!A2:B112,2,FALSE)="Sever",Backdoors!AY18/100,IF(VLOOKUP(A107,tbMoveset!A2:B112,2,FALSE)="Blunt",Backdoors!AZ18/100,Backdoors!BA18/100)),"")</f>
        <v/>
      </c>
      <c r="DD107" s="49">
        <f>IFERROR(IF(VLOOKUP(tbMoveset!A107,tbMoveset!A2:H112,8,FALSE)="Other",IF(VLOOKUP(tbMoveset!A107,tbMoveset!A2:I112,9,FALSE)="Fire",Backdoors!BB18,IF(VLOOKUP(tbMoveset!A107,tbMoveset!A2:I112,9,FALSE)="Water",Backdoors!BC18,IF(VLOOKUP(tbMoveset!A107,tbMoveset!A2:I112,9,FALSE)="Thunder",Backdoors!BD18,IF(VLOOKUP(tbMoveset!A107,tbMoveset!A2:I112,9,FALSE)="Ice",Backdoors!BE18,IF(VLOOKUP(tbMoveset!A107,tbMoveset!A2:I112,9,FALSE)="Dragon",Backdoors!BF18,Backdoors!BG18)))))/100,Backdoors!BG18/100),"")</f>
        <v>0</v>
      </c>
      <c r="DE107" s="49">
        <f>IFERROR(IF(VLOOKUP(A107,tbMoveset!A2:J112,10,FALSE)=TRUE,IF((Backdoors!AI12+IF(DC107&gt;=0.45,VLOOKUP(Calculator!E23,tbSkills!DH3:DI6,2,FALSE)+IF(AND(Calculator!B8=TRUE,Backdoors!BI18=TRUE),VLOOKUP(Calculator!E23,tbSkills!DH3:DJ6,3,FALSE),0),0))&gt;=0,1+(Backdoors!AL2*(IF((Backdoors!AI12+IF(DC107&gt;=0.45,VLOOKUP(Calculator!E23,tbSkills!DH3:DI6,2,FALSE)+IF(AND(Calculator!B8=TRUE,Backdoors!BI18=TRUE),VLOOKUP(Calculator!E23,tbSkills!DH3:DJ6,3,FALSE),0),0))&gt;=100,100,(Backdoors!AI12+IF(DC107&gt;=0.45,VLOOKUP(Calculator!E23,tbSkills!DH3:DI6,2,FALSE)+IF(AND(Calculator!B8=TRUE,Backdoors!BI18=TRUE),VLOOKUP(Calculator!E23,tbSkills!DH3:DJ6,3,FALSE),0),0)))/100)),(1-(0.25*((-Backdoors!AI12-IF(DC107&gt;=0.45,VLOOKUP(Calculator!E23,tbSkills!DH3:DI6,2,FALSE)+IF(AND(Calculator!B8=TRUE,Backdoors!BI18=TRUE),VLOOKUP(Calculator!E23,tbSkills!DH3:DJ6,3,FALSE),0),0))/100)))),1),"")</f>
        <v>1</v>
      </c>
      <c r="DF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C107)*DE107)*(VLOOKUP(A107,tbMoveset!A2:C112,3,FALSE)/100)*IF(VLOOKUP(A107,tbMoveset!A2:B112,2,FALSE)="Projectile",Backdoors!N10,Backdoors!N9),0),"")</f>
        <v/>
      </c>
      <c r="DG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C107&gt;=0.45,VLOOKUP(Calculator!E23,tbSkills!DH3:DI6,2,FALSE)+IF(AND(Calculator!B8=TRUE,Backdoors!BI18=TRUE),VLOOKUP(Calculator!E23,tbSkills!DH3:DJ6,3,FALSE),0),0))&gt;=100,100,(Backdoors!AI12+IF(DC107&gt;=0.45,VLOOKUP(Calculator!E23,tbSkills!DH3:DI6,2,FALSE)+IF(AND(Calculator!B8=TRUE,Backdoors!BI18=TRUE),VLOOKUP(Calculator!E23,tbSkills!DH3:DJ6,3,FALSE),0),0)))/100)),1))*IF(VLOOKUP(A107,tbMoveset!A2:K112,11,FALSE)=TRUE,Backdoors!AC5,1))*DD107,0),"")</f>
        <v>0</v>
      </c>
      <c r="DH107" s="49">
        <f>VLOOKUP(A107,tbMoveset!A2:G112,7,FALSE)*IFERROR(IF(Backdoors!AI12&gt;=0,1+(IF(Calculator!E40&gt;0,VLOOKUP(Calculator!E40,tbSkills!AI3:AJ5,2,FALSE),Backdoors!AL4)*(IF((Backdoors!AI12+IF(DC107&gt;=0.45,VLOOKUP(Calculator!E23,tbSkills!DH3:DI6,2,FALSE)+IF(AND(Calculator!B8=TRUE,Backdoors!BI18=TRUE),VLOOKUP(Calculator!E23,tbSkills!DH3:DJ6,3,FALSE),0),0))&gt;=100,100,(Backdoors!AI12+IF(DC107&gt;=0.45,VLOOKUP(Calculator!E23,tbSkills!DH3:DI6,2,FALSE)+IF(AND(Calculator!B8=TRUE,Backdoors!BI18=TRUE),VLOOKUP(Calculator!E23,tbSkills!DH3:DJ6,3,FALSE),0),0)))/100)),1),1)</f>
        <v>0.4</v>
      </c>
      <c r="DI107" s="87">
        <f t="shared" si="66"/>
        <v>0</v>
      </c>
      <c r="DJ107" s="86" t="str">
        <f>IFERROR(IF(VLOOKUP(A107,tbMoveset!A2:B112,2,FALSE)="Sever",Backdoors!AY19/100,IF(VLOOKUP(A107,tbMoveset!A2:B112,2,FALSE)="Blunt",Backdoors!AZ19/100,Backdoors!BA19/100)),"")</f>
        <v/>
      </c>
      <c r="DK107" s="49">
        <f>IFERROR(IF(VLOOKUP(tbMoveset!A107,tbMoveset!A2:H112,8,FALSE)="Other",IF(VLOOKUP(tbMoveset!A107,tbMoveset!A2:I112,9,FALSE)="Fire",Backdoors!BB19,IF(VLOOKUP(tbMoveset!A107,tbMoveset!A2:I112,9,FALSE)="Water",Backdoors!BC19,IF(VLOOKUP(tbMoveset!A107,tbMoveset!A2:I112,9,FALSE)="Thunder",Backdoors!BD19,IF(VLOOKUP(tbMoveset!A107,tbMoveset!A2:I112,9,FALSE)="Ice",Backdoors!BE19,IF(VLOOKUP(tbMoveset!A107,tbMoveset!A2:I112,9,FALSE)="Dragon",Backdoors!BF19,Backdoors!BG19)))))/100,Backdoors!BG19/100),"")</f>
        <v>0</v>
      </c>
      <c r="DL107" s="49">
        <f>IFERROR(IF(VLOOKUP(A107,tbMoveset!A2:J112,10,FALSE)=TRUE,IF((Backdoors!AI12+IF(DJ107&gt;=0.45,VLOOKUP(Calculator!E23,tbSkills!DH3:DI6,2,FALSE)+IF(AND(Calculator!B8=TRUE,Backdoors!BI19=TRUE),VLOOKUP(Calculator!E23,tbSkills!DH3:DJ6,3,FALSE),0),0))&gt;=0,1+(Backdoors!AL2*(IF((Backdoors!AI12+IF(DJ107&gt;=0.45,VLOOKUP(Calculator!E23,tbSkills!DH3:DI6,2,FALSE)+IF(AND(Calculator!B8=TRUE,Backdoors!BI19=TRUE),VLOOKUP(Calculator!E23,tbSkills!DH3:DJ6,3,FALSE),0),0))&gt;=100,100,(Backdoors!AI12+IF(DJ107&gt;=0.45,VLOOKUP(Calculator!E23,tbSkills!DH3:DI6,2,FALSE)+IF(AND(Calculator!B8=TRUE,Backdoors!BI19=TRUE),VLOOKUP(Calculator!E23,tbSkills!DH3:DJ6,3,FALSE),0),0)))/100)),(1-(0.25*((-Backdoors!AI12-IF(DJ107&gt;=0.45,VLOOKUP(Calculator!E23,tbSkills!DH3:DI6,2,FALSE)+IF(AND(Calculator!B8=TRUE,Backdoors!BI19=TRUE),VLOOKUP(Calculator!E23,tbSkills!DH3:DJ6,3,FALSE),0),0))/100)))),1),"")</f>
        <v>1</v>
      </c>
      <c r="DM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J107)*DL107)*(VLOOKUP(A107,tbMoveset!A2:C112,3,FALSE)/100)*IF(VLOOKUP(A107,tbMoveset!A2:B112,2,FALSE)="Projectile",Backdoors!N10,Backdoors!N9),0),"")</f>
        <v/>
      </c>
      <c r="DN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J107&gt;=0.45,VLOOKUP(Calculator!E23,tbSkills!DH3:DI6,2,FALSE)+IF(AND(Calculator!B8=TRUE,Backdoors!BI19=TRUE),VLOOKUP(Calculator!E23,tbSkills!DH3:DJ6,3,FALSE),0),0))&gt;=100,100,(Backdoors!AI12+IF(DJ107&gt;=0.45,VLOOKUP(Calculator!E23,tbSkills!DH3:DI6,2,FALSE)+IF(AND(Calculator!B8=TRUE,Backdoors!BI19=TRUE),VLOOKUP(Calculator!E23,tbSkills!DH3:DJ6,3,FALSE),0),0)))/100)),1))*IF(VLOOKUP(A107,tbMoveset!A2:K112,11,FALSE)=TRUE,Backdoors!AC5,1))*DK107,0),"")</f>
        <v>0</v>
      </c>
      <c r="DO107" s="49">
        <f>VLOOKUP(A107,tbMoveset!A2:G112,7,FALSE)*IFERROR(IF(Backdoors!AI12&gt;=0,1+(IF(Calculator!E40&gt;0,VLOOKUP(Calculator!E40,tbSkills!AI3:AJ5,2,FALSE),Backdoors!AL4)*(IF((Backdoors!AI12+IF(DJ107&gt;=0.45,VLOOKUP(Calculator!E23,tbSkills!DH3:DI6,2,FALSE)+IF(AND(Calculator!B8=TRUE,Backdoors!BI19=TRUE),VLOOKUP(Calculator!E23,tbSkills!DH3:DJ6,3,FALSE),0),0))&gt;=100,100,(Backdoors!AI12+IF(DJ107&gt;=0.45,VLOOKUP(Calculator!E23,tbSkills!DH3:DI6,2,FALSE)+IF(AND(Calculator!B8=TRUE,Backdoors!BI19=TRUE),VLOOKUP(Calculator!E23,tbSkills!DH3:DJ6,3,FALSE),0),0)))/100)),1),1)</f>
        <v>0.4</v>
      </c>
      <c r="DP107" s="87">
        <f t="shared" si="67"/>
        <v>0</v>
      </c>
      <c r="DQ107" s="86" t="str">
        <f>IFERROR(IF(VLOOKUP(A107,tbMoveset!A2:B112,2,FALSE)="Sever",Backdoors!AY20/100,IF(VLOOKUP(A107,tbMoveset!A2:B112,2,FALSE)="Blunt",Backdoors!AZ20/100,Backdoors!BA20/100)),"")</f>
        <v/>
      </c>
      <c r="DR107" s="49">
        <f>IFERROR(IF(VLOOKUP(tbMoveset!A107,tbMoveset!A2:H112,8,FALSE)="Other",IF(VLOOKUP(tbMoveset!A107,tbMoveset!A2:I112,9,FALSE)="Fire",Backdoors!BB20,IF(VLOOKUP(tbMoveset!A107,tbMoveset!A2:I112,9,FALSE)="Water",Backdoors!BC20,IF(VLOOKUP(tbMoveset!A107,tbMoveset!A2:I112,9,FALSE)="Thunder",Backdoors!BD20,IF(VLOOKUP(tbMoveset!A107,tbMoveset!A2:I112,9,FALSE)="Ice",Backdoors!BE20,IF(VLOOKUP(tbMoveset!A107,tbMoveset!A2:I112,9,FALSE)="Dragon",Backdoors!BF20,Backdoors!BG20)))))/100,Backdoors!BG20/100),"")</f>
        <v>0</v>
      </c>
      <c r="DS107" s="49">
        <f>IFERROR(IF(VLOOKUP(A107,tbMoveset!A2:J112,10,FALSE)=TRUE,IF((Backdoors!AI12+IF(DQ107&gt;=0.45,VLOOKUP(Calculator!E23,tbSkills!DH3:DI6,2,FALSE)+IF(AND(Calculator!B8=TRUE,Backdoors!BI20=TRUE),VLOOKUP(Calculator!E23,tbSkills!DH3:DJ6,3,FALSE),0),0))&gt;=0,1+(Backdoors!AL2*(IF((Backdoors!AI12+IF(DQ107&gt;=0.45,VLOOKUP(Calculator!E23,tbSkills!DH3:DI6,2,FALSE)+IF(AND(Calculator!B8=TRUE,Backdoors!BI20=TRUE),VLOOKUP(Calculator!E23,tbSkills!DH3:DJ6,3,FALSE),0),0))&gt;=100,100,(Backdoors!AI12+IF(DQ107&gt;=0.45,VLOOKUP(Calculator!E23,tbSkills!DH3:DI6,2,FALSE)+IF(AND(Calculator!B8=TRUE,Backdoors!BI20=TRUE),VLOOKUP(Calculator!E23,tbSkills!DH3:DJ6,3,FALSE),0),0)))/100)),(1-(0.25*((-Backdoors!AI12-IF(DQ107&gt;=0.45,VLOOKUP(Calculator!E23,tbSkills!DH3:DI6,2,FALSE)+IF(AND(Calculator!B8=TRUE,Backdoors!BI20=TRUE),VLOOKUP(Calculator!E23,tbSkills!DH3:DJ6,3,FALSE),0),0))/100)))),1),"")</f>
        <v>1</v>
      </c>
      <c r="DT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Q107)*DS107)*(VLOOKUP(A107,tbMoveset!A2:C112,3,FALSE)/100)*IF(VLOOKUP(A107,tbMoveset!A2:B112,2,FALSE)="Projectile",Backdoors!N10,Backdoors!N9),0),"")</f>
        <v/>
      </c>
      <c r="DU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Q107&gt;=0.45,VLOOKUP(Calculator!E23,tbSkills!DH3:DI6,2,FALSE)+IF(AND(Calculator!B8=TRUE,Backdoors!BI20=TRUE),VLOOKUP(Calculator!E23,tbSkills!DH3:DJ6,3,FALSE),0),0))&gt;=100,100,(Backdoors!AI12+IF(DQ107&gt;=0.45,VLOOKUP(Calculator!E23,tbSkills!DH3:DI6,2,FALSE)+IF(AND(Calculator!B8=TRUE,Backdoors!BI20=TRUE),VLOOKUP(Calculator!E23,tbSkills!DH3:DJ6,3,FALSE),0),0)))/100)),1))*IF(VLOOKUP(A107,tbMoveset!A2:K112,11,FALSE)=TRUE,Backdoors!AC5,1))*DR107,0),"")</f>
        <v>0</v>
      </c>
      <c r="DV107" s="49">
        <f>VLOOKUP(A107,tbMoveset!A2:G112,7,FALSE)*IFERROR(IF(Backdoors!AI12&gt;=0,1+(IF(Calculator!E40&gt;0,VLOOKUP(Calculator!E40,tbSkills!AI3:AJ5,2,FALSE),Backdoors!AL4)*(IF((Backdoors!AI12+IF(DQ107&gt;=0.45,VLOOKUP(Calculator!E23,tbSkills!DH3:DI6,2,FALSE)+IF(AND(Calculator!B8=TRUE,Backdoors!BI20=TRUE),VLOOKUP(Calculator!E23,tbSkills!DH3:DJ6,3,FALSE),0),0))&gt;=100,100,(Backdoors!AI12+IF(DQ107&gt;=0.45,VLOOKUP(Calculator!E23,tbSkills!DH3:DI6,2,FALSE)+IF(AND(Calculator!B8=TRUE,Backdoors!BI20=TRUE),VLOOKUP(Calculator!E23,tbSkills!DH3:DJ6,3,FALSE),0),0)))/100)),1),1)</f>
        <v>0.4</v>
      </c>
      <c r="DW107" s="87">
        <f t="shared" si="68"/>
        <v>0</v>
      </c>
      <c r="DX107" s="86" t="str">
        <f>IFERROR(IF(VLOOKUP(A107,tbMoveset!A2:B112,2,FALSE)="Sever",Backdoors!AY21/100,IF(VLOOKUP(A107,tbMoveset!A2:B112,2,FALSE)="Blunt",Backdoors!AZ21/100,Backdoors!BA21/100)),"")</f>
        <v/>
      </c>
      <c r="DY107" s="49">
        <f>IFERROR(IF(VLOOKUP(tbMoveset!A107,tbMoveset!A2:H112,8,FALSE)="Other",IF(VLOOKUP(tbMoveset!A107,tbMoveset!A2:I112,9,FALSE)="Fire",Backdoors!BB21,IF(VLOOKUP(tbMoveset!A107,tbMoveset!A2:I112,9,FALSE)="Water",Backdoors!BC21,IF(VLOOKUP(tbMoveset!A107,tbMoveset!A2:I112,9,FALSE)="Thunder",Backdoors!BD21,IF(VLOOKUP(tbMoveset!A107,tbMoveset!A2:I112,9,FALSE)="Ice",Backdoors!BE21,IF(VLOOKUP(tbMoveset!A107,tbMoveset!A2:I112,9,FALSE)="Dragon",Backdoors!BF21,Backdoors!BG21)))))/100,Backdoors!BG21/100),"")</f>
        <v>0</v>
      </c>
      <c r="DZ107" s="49">
        <f>IFERROR(IF(VLOOKUP(A107,tbMoveset!A2:J112,10,FALSE)=TRUE,IF((Backdoors!AI12+IF(DX107&gt;=0.45,VLOOKUP(Calculator!E23,tbSkills!DH3:DI6,2,FALSE)+IF(AND(Calculator!B8=TRUE,Backdoors!BI21=TRUE),VLOOKUP(Calculator!E23,tbSkills!DH3:DJ6,3,FALSE),0),0))&gt;=0,1+(Backdoors!AL2*(IF((Backdoors!AI12+IF(DX107&gt;=0.45,VLOOKUP(Calculator!E23,tbSkills!DH3:DI6,2,FALSE)+IF(AND(Calculator!B8=TRUE,Backdoors!BI21=TRUE),VLOOKUP(Calculator!E23,tbSkills!DH3:DJ6,3,FALSE),0),0))&gt;=100,100,(Backdoors!AI12+IF(DX107&gt;=0.45,VLOOKUP(Calculator!E23,tbSkills!DH3:DI6,2,FALSE)+IF(AND(Calculator!B8=TRUE,Backdoors!BI21=TRUE),VLOOKUP(Calculator!E23,tbSkills!DH3:DJ6,3,FALSE),0),0)))/100)),(1-(0.25*((-Backdoors!AI12-IF(DX107&gt;=0.45,VLOOKUP(Calculator!E23,tbSkills!DH3:DI6,2,FALSE)+IF(AND(Calculator!B8=TRUE,Backdoors!BI21=TRUE),VLOOKUP(Calculator!E23,tbSkills!DH3:DJ6,3,FALSE),0),0))/100)))),1),"")</f>
        <v>1</v>
      </c>
      <c r="EA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X107)*DZ107)*(VLOOKUP(A107,tbMoveset!A2:C112,3,FALSE)/100)*IF(VLOOKUP(A107,tbMoveset!A2:B112,2,FALSE)="Projectile",Backdoors!N10,Backdoors!N9),0),"")</f>
        <v/>
      </c>
      <c r="EB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X107&gt;=0.45,VLOOKUP(Calculator!E23,tbSkills!DH3:DI6,2,FALSE)+IF(AND(Calculator!B8=TRUE,Backdoors!BI21=TRUE),VLOOKUP(Calculator!E23,tbSkills!DH3:DJ6,3,FALSE),0),0))&gt;=100,100,(Backdoors!AI12+IF(DX107&gt;=0.45,VLOOKUP(Calculator!E23,tbSkills!DH3:DI6,2,FALSE)+IF(AND(Calculator!B8=TRUE,Backdoors!BI21=TRUE),VLOOKUP(Calculator!E23,tbSkills!DH3:DJ6,3,FALSE),0),0)))/100)),1))*IF(VLOOKUP(A107,tbMoveset!A2:K112,11,FALSE)=TRUE,Backdoors!AC5,1))*DY107,0),"")</f>
        <v>0</v>
      </c>
      <c r="EC107" s="49">
        <f>VLOOKUP(A107,tbMoveset!A2:G112,7,FALSE)*IFERROR(IF(Backdoors!AI12&gt;=0,1+(IF(Calculator!E40&gt;0,VLOOKUP(Calculator!E40,tbSkills!AI3:AJ5,2,FALSE),Backdoors!AL4)*(IF((Backdoors!AI12+IF(DX107&gt;=0.45,VLOOKUP(Calculator!E23,tbSkills!DH3:DI6,2,FALSE)+IF(AND(Calculator!B8=TRUE,Backdoors!BI21=TRUE),VLOOKUP(Calculator!E23,tbSkills!DH3:DJ6,3,FALSE),0),0))&gt;=100,100,(Backdoors!AI12+IF(DX107&gt;=0.45,VLOOKUP(Calculator!E23,tbSkills!DH3:DI6,2,FALSE)+IF(AND(Calculator!B8=TRUE,Backdoors!BI21=TRUE),VLOOKUP(Calculator!E23,tbSkills!DH3:DJ6,3,FALSE),0),0)))/100)),1),1)</f>
        <v>0.4</v>
      </c>
      <c r="ED107" s="87">
        <f t="shared" si="69"/>
        <v>0</v>
      </c>
      <c r="EE107" s="86" t="str">
        <f>IFERROR(IF(VLOOKUP(A107,tbMoveset!A2:B112,2,FALSE)="Sever",Backdoors!AY22/100,IF(VLOOKUP(A107,tbMoveset!A2:B112,2,FALSE)="Blunt",Backdoors!AZ22/100,Backdoors!BA22/100)),"")</f>
        <v/>
      </c>
      <c r="EF107" s="49">
        <f>IFERROR(IF(VLOOKUP(tbMoveset!A107,tbMoveset!A2:H112,8,FALSE)="Other",IF(VLOOKUP(tbMoveset!A107,tbMoveset!A2:I112,9,FALSE)="Fire",Backdoors!BB22,IF(VLOOKUP(tbMoveset!A107,tbMoveset!A2:I112,9,FALSE)="Water",Backdoors!BC22,IF(VLOOKUP(tbMoveset!A107,tbMoveset!A2:I112,9,FALSE)="Thunder",Backdoors!BD22,IF(VLOOKUP(tbMoveset!A107,tbMoveset!A2:I112,9,FALSE)="Ice",Backdoors!BE22,IF(VLOOKUP(tbMoveset!A107,tbMoveset!A2:I112,9,FALSE)="Dragon",Backdoors!BF22,Backdoors!BG22)))))/100,Backdoors!BG22/100),"")</f>
        <v>0</v>
      </c>
      <c r="EG107" s="49">
        <f>IFERROR(IF(VLOOKUP(A107,tbMoveset!A2:J112,10,FALSE)=TRUE,IF((Backdoors!AI12+IF(EE107&gt;=0.45,VLOOKUP(Calculator!E23,tbSkills!DH3:DI6,2,FALSE)+IF(AND(Calculator!B8=TRUE,Backdoors!BI22=TRUE),VLOOKUP(Calculator!E23,tbSkills!DH3:DJ6,3,FALSE),0),0))&gt;=0,1+(Backdoors!AL2*(IF((Backdoors!AI12+IF(EE107&gt;=0.45,VLOOKUP(Calculator!E23,tbSkills!DH3:DI6,2,FALSE)+IF(AND(Calculator!B8=TRUE,Backdoors!BI22=TRUE),VLOOKUP(Calculator!E23,tbSkills!DH3:DJ6,3,FALSE),0),0))&gt;=100,100,(Backdoors!AI12+IF(EE107&gt;=0.45,VLOOKUP(Calculator!E23,tbSkills!DH3:DI6,2,FALSE)+IF(AND(Calculator!B8=TRUE,Backdoors!BI22=TRUE),VLOOKUP(Calculator!E23,tbSkills!DH3:DJ6,3,FALSE),0),0)))/100)),(1-(0.25*((-Backdoors!AI12-IF(EE107&gt;=0.45,VLOOKUP(Calculator!E23,tbSkills!DH3:DI6,2,FALSE)+IF(AND(Calculator!B8=TRUE,Backdoors!BI22=TRUE),VLOOKUP(Calculator!E23,tbSkills!DH3:DJ6,3,FALSE),0),0))/100)))),1),"")</f>
        <v>1</v>
      </c>
      <c r="EH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E107)*EG107)*(VLOOKUP(A107,tbMoveset!A2:C112,3,FALSE)/100)*IF(VLOOKUP(A107,tbMoveset!A2:B112,2,FALSE)="Projectile",Backdoors!N10,Backdoors!N9),0),"")</f>
        <v/>
      </c>
      <c r="EI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E107&gt;=0.45,VLOOKUP(Calculator!E23,tbSkills!DH3:DI6,2,FALSE)+IF(AND(Calculator!B8=TRUE,Backdoors!BI22=TRUE),VLOOKUP(Calculator!E23,tbSkills!DH3:DJ6,3,FALSE),0),0))&gt;=100,100,(Backdoors!AI12+IF(EE107&gt;=0.45,VLOOKUP(Calculator!E23,tbSkills!DH3:DI6,2,FALSE)+IF(AND(Calculator!B8=TRUE,Backdoors!BI22=TRUE),VLOOKUP(Calculator!E23,tbSkills!DH3:DJ6,3,FALSE),0),0)))/100)),1))*IF(VLOOKUP(A107,tbMoveset!A2:K112,11,FALSE)=TRUE,Backdoors!AC5,1))*EF107,0),"")</f>
        <v>0</v>
      </c>
      <c r="EJ107" s="49">
        <f>VLOOKUP(A107,tbMoveset!A2:G112,7,FALSE)*IFERROR(IF(Backdoors!AI12&gt;=0,1+(IF(Calculator!E40&gt;0,VLOOKUP(Calculator!E40,tbSkills!AI3:AJ5,2,FALSE),Backdoors!AL4)*(IF((Backdoors!AI12+IF(EE107&gt;=0.45,VLOOKUP(Calculator!E23,tbSkills!DH3:DI6,2,FALSE)+IF(AND(Calculator!B8=TRUE,Backdoors!BI22=TRUE),VLOOKUP(Calculator!E23,tbSkills!DH3:DJ6,3,FALSE),0),0))&gt;=100,100,(Backdoors!AI12+IF(EE107&gt;=0.45,VLOOKUP(Calculator!E23,tbSkills!DH3:DI6,2,FALSE)+IF(AND(Calculator!B8=TRUE,Backdoors!BI22=TRUE),VLOOKUP(Calculator!E23,tbSkills!DH3:DJ6,3,FALSE),0),0)))/100)),1),1)</f>
        <v>0.4</v>
      </c>
      <c r="EK107" s="87">
        <f t="shared" si="70"/>
        <v>0</v>
      </c>
      <c r="EL107" s="86" t="str">
        <f>IFERROR(IF(VLOOKUP(A107,tbMoveset!A2:B112,2,FALSE)="Sever",Backdoors!AY23/100,IF(VLOOKUP(A107,tbMoveset!A2:B112,2,FALSE)="Blunt",Backdoors!AZ23/100,Backdoors!BA23/100)),"")</f>
        <v/>
      </c>
      <c r="EM107" s="49">
        <f>IFERROR(IF(VLOOKUP(tbMoveset!A107,tbMoveset!A2:H112,8,FALSE)="Other",IF(VLOOKUP(tbMoveset!A107,tbMoveset!A2:I112,9,FALSE)="Fire",Backdoors!BB23,IF(VLOOKUP(tbMoveset!A107,tbMoveset!A2:I112,9,FALSE)="Water",Backdoors!BC23,IF(VLOOKUP(tbMoveset!A107,tbMoveset!A2:I112,9,FALSE)="Thunder",Backdoors!BD23,IF(VLOOKUP(tbMoveset!A107,tbMoveset!A2:I112,9,FALSE)="Ice",Backdoors!BE23,IF(VLOOKUP(tbMoveset!A107,tbMoveset!A2:I112,9,FALSE)="Dragon",Backdoors!BF23,Backdoors!BG23)))))/100,Backdoors!BG23/100),"")</f>
        <v>0</v>
      </c>
      <c r="EN107" s="49">
        <f>IFERROR(IF(VLOOKUP(A107,tbMoveset!A2:J112,10,FALSE)=TRUE,IF((Backdoors!AI12+IF(EL107&gt;=0.45,VLOOKUP(Calculator!E23,tbSkills!DH3:DI6,2,FALSE)+IF(AND(Calculator!B8=TRUE,Backdoors!BI23=TRUE),VLOOKUP(Calculator!E23,tbSkills!DH3:DJ6,3,FALSE),0),0))&gt;=0,1+(Backdoors!AL2*(IF((Backdoors!AI12+IF(EL107&gt;=0.45,VLOOKUP(Calculator!E23,tbSkills!DH3:DI6,2,FALSE)+IF(AND(Calculator!B8=TRUE,Backdoors!BI23=TRUE),VLOOKUP(Calculator!E23,tbSkills!DH3:DJ6,3,FALSE),0),0))&gt;=100,100,(Backdoors!AI12+IF(EL107&gt;=0.45,VLOOKUP(Calculator!E23,tbSkills!DH3:DI6,2,FALSE)+IF(AND(Calculator!B8=TRUE,Backdoors!BI23=TRUE),VLOOKUP(Calculator!E23,tbSkills!DH3:DJ6,3,FALSE),0),0)))/100)),(1-(0.25*((-Backdoors!AI12-IF(EL107&gt;=0.45,VLOOKUP(Calculator!E23,tbSkills!DH3:DI6,2,FALSE)+IF(AND(Calculator!B8=TRUE,Backdoors!BI23=TRUE),VLOOKUP(Calculator!E23,tbSkills!DH3:DJ6,3,FALSE),0),0))/100)))),1),"")</f>
        <v>1</v>
      </c>
      <c r="EO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L107)*EN107)*(VLOOKUP(A107,tbMoveset!A2:C112,3,FALSE)/100)*IF(VLOOKUP(A107,tbMoveset!A2:B112,2,FALSE)="Projectile",Backdoors!N10,Backdoors!N9),0),"")</f>
        <v/>
      </c>
      <c r="EP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L107&gt;=0.45,VLOOKUP(Calculator!E23,tbSkills!DH3:DI6,2,FALSE)+IF(AND(Calculator!B8=TRUE,Backdoors!BI23=TRUE),VLOOKUP(Calculator!E23,tbSkills!DH3:DJ6,3,FALSE),0),0))&gt;=100,100,(Backdoors!AI12+IF(EL107&gt;=0.45,VLOOKUP(Calculator!E23,tbSkills!DH3:DI6,2,FALSE)+IF(AND(Calculator!B8=TRUE,Backdoors!BI23=TRUE),VLOOKUP(Calculator!E23,tbSkills!DH3:DJ6,3,FALSE),0),0)))/100)),1))*IF(VLOOKUP(A107,tbMoveset!A2:K112,11,FALSE)=TRUE,Backdoors!AC5,1))*EM107,0),"")</f>
        <v>0</v>
      </c>
      <c r="EQ107" s="49">
        <f>VLOOKUP(A107,tbMoveset!A2:G112,7,FALSE)*IFERROR(IF(Backdoors!AI12&gt;=0,1+(IF(Calculator!E40&gt;0,VLOOKUP(Calculator!E40,tbSkills!AI3:AJ5,2,FALSE),Backdoors!AL4)*(IF((Backdoors!AI12+IF(EL107&gt;=0.45,VLOOKUP(Calculator!E23,tbSkills!DH3:DI6,2,FALSE)+IF(AND(Calculator!B8=TRUE,Backdoors!BI23=TRUE),VLOOKUP(Calculator!E23,tbSkills!DH3:DJ6,3,FALSE),0),0))&gt;=100,100,(Backdoors!AI12+IF(EL107&gt;=0.45,VLOOKUP(Calculator!E23,tbSkills!DH3:DI6,2,FALSE)+IF(AND(Calculator!B8=TRUE,Backdoors!BI23=TRUE),VLOOKUP(Calculator!E23,tbSkills!DH3:DJ6,3,FALSE),0),0)))/100)),1),1)</f>
        <v>0.4</v>
      </c>
      <c r="ER107" s="87">
        <f t="shared" si="71"/>
        <v>0</v>
      </c>
      <c r="ES107" s="86" t="str">
        <f>IFERROR(IF(VLOOKUP(A107,tbMoveset!A2:B112,2,FALSE)="Sever",Backdoors!AY24/100,IF(VLOOKUP(A107,tbMoveset!A2:B112,2,FALSE)="Blunt",Backdoors!AZ24/100,Backdoors!BA24/100)),"")</f>
        <v/>
      </c>
      <c r="ET107" s="49">
        <f>IFERROR(IF(VLOOKUP(tbMoveset!A107,tbMoveset!A2:H112,8,FALSE)="Other",IF(VLOOKUP(tbMoveset!A107,tbMoveset!A2:I112,9,FALSE)="Fire",Backdoors!BB24,IF(VLOOKUP(tbMoveset!A107,tbMoveset!A2:I112,9,FALSE)="Water",Backdoors!BC24,IF(VLOOKUP(tbMoveset!A107,tbMoveset!A2:I112,9,FALSE)="Thunder",Backdoors!BD24,IF(VLOOKUP(tbMoveset!A107,tbMoveset!A2:I112,9,FALSE)="Ice",Backdoors!BE24,IF(VLOOKUP(tbMoveset!A107,tbMoveset!A2:I112,9,FALSE)="Dragon",Backdoors!BF24,Backdoors!BG24)))))/100,Backdoors!BG24/100),"")</f>
        <v>0</v>
      </c>
      <c r="EU107" s="49">
        <f>IFERROR(IF(VLOOKUP(A107,tbMoveset!A2:J112,10,FALSE)=TRUE,IF((Backdoors!AI12+IF(ES107&gt;=0.45,VLOOKUP(Calculator!E23,tbSkills!DH3:DI6,2,FALSE)+IF(AND(Calculator!B8=TRUE,Backdoors!BI24=TRUE),VLOOKUP(Calculator!E23,tbSkills!DH3:DJ6,3,FALSE),0),0))&gt;=0,1+(Backdoors!AL2*(IF((Backdoors!AI12+IF(ES107&gt;=0.45,VLOOKUP(Calculator!E23,tbSkills!DH3:DI6,2,FALSE)+IF(AND(Calculator!B8=TRUE,Backdoors!BI24=TRUE),VLOOKUP(Calculator!E23,tbSkills!DH3:DJ6,3,FALSE),0),0))&gt;=100,100,(Backdoors!AI12+IF(ES107&gt;=0.45,VLOOKUP(Calculator!E23,tbSkills!DH3:DI6,2,FALSE)+IF(AND(Calculator!B8=TRUE,Backdoors!BI24=TRUE),VLOOKUP(Calculator!E23,tbSkills!DH3:DJ6,3,FALSE),0),0)))/100)),(1-(0.25*((-Backdoors!AI12-IF(ES107&gt;=0.45,VLOOKUP(Calculator!E23,tbSkills!DH3:DI6,2,FALSE)+IF(AND(Calculator!B8=TRUE,Backdoors!BI24=TRUE),VLOOKUP(Calculator!E23,tbSkills!DH3:DJ6,3,FALSE),0),0))/100)))),1),"")</f>
        <v>1</v>
      </c>
      <c r="EV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S107)*EU107)*(VLOOKUP(A107,tbMoveset!A2:C112,3,FALSE)/100)*IF(VLOOKUP(A107,tbMoveset!A2:B112,2,FALSE)="Projectile",Backdoors!N10,Backdoors!N9),0),"")</f>
        <v/>
      </c>
      <c r="EW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S107&gt;=0.45,VLOOKUP(Calculator!E23,tbSkills!DH3:DI6,2,FALSE)+IF(AND(Calculator!B8=TRUE,Backdoors!BI24=TRUE),VLOOKUP(Calculator!E23,tbSkills!DH3:DJ6,3,FALSE),0),0))&gt;=100,100,(Backdoors!AI12+IF(ES107&gt;=0.45,VLOOKUP(Calculator!E23,tbSkills!DH3:DI6,2,FALSE)+IF(AND(Calculator!B8=TRUE,Backdoors!BI24=TRUE),VLOOKUP(Calculator!E23,tbSkills!DH3:DJ6,3,FALSE),0),0)))/100)),1))*IF(VLOOKUP(A107,tbMoveset!A2:K112,11,FALSE)=TRUE,Backdoors!AC5,1))*ET107,0),"")</f>
        <v>0</v>
      </c>
      <c r="EX107" s="49">
        <f>VLOOKUP(A107,tbMoveset!A2:G112,7,FALSE)*IFERROR(IF(Backdoors!AI12&gt;=0,1+(IF(Calculator!E40&gt;0,VLOOKUP(Calculator!E40,tbSkills!AI3:AJ5,2,FALSE),Backdoors!AL4)*(IF((Backdoors!AI12+IF(ES107&gt;=0.45,VLOOKUP(Calculator!E23,tbSkills!DH3:DI6,2,FALSE)+IF(AND(Calculator!B8=TRUE,Backdoors!BI24=TRUE),VLOOKUP(Calculator!E23,tbSkills!DH3:DJ6,3,FALSE),0),0))&gt;=100,100,(Backdoors!AI12+IF(ES107&gt;=0.45,VLOOKUP(Calculator!E23,tbSkills!DH3:DI6,2,FALSE)+IF(AND(Calculator!B8=TRUE,Backdoors!BI24=TRUE),VLOOKUP(Calculator!E23,tbSkills!DH3:DJ6,3,FALSE),0),0)))/100)),1),1)</f>
        <v>0.4</v>
      </c>
      <c r="EY107" s="87">
        <f t="shared" si="72"/>
        <v>0</v>
      </c>
      <c r="EZ107" s="86" t="str">
        <f>IFERROR(IF(VLOOKUP(A107,tbMoveset!A2:B112,2,FALSE)="Sever",Backdoors!AY25/100,IF(VLOOKUP(A107,tbMoveset!A2:B112,2,FALSE)="Blunt",Backdoors!AZ25/100,Backdoors!BA25/100)),"")</f>
        <v/>
      </c>
      <c r="FA107" s="49">
        <f>IFERROR(IF(VLOOKUP(tbMoveset!A107,tbMoveset!A2:H112,8,FALSE)="Other",IF(VLOOKUP(tbMoveset!A107,tbMoveset!A2:I112,9,FALSE)="Fire",Backdoors!BB25,IF(VLOOKUP(tbMoveset!A107,tbMoveset!A2:I112,9,FALSE)="Water",Backdoors!BC25,IF(VLOOKUP(tbMoveset!A107,tbMoveset!A2:I112,9,FALSE)="Thunder",Backdoors!BD25,IF(VLOOKUP(tbMoveset!A107,tbMoveset!A2:I112,9,FALSE)="Ice",Backdoors!BE25,IF(VLOOKUP(tbMoveset!A107,tbMoveset!A2:I112,9,FALSE)="Dragon",Backdoors!BF25,Backdoors!BG25)))))/100,Backdoors!BG25/100),"")</f>
        <v>0</v>
      </c>
      <c r="FB107" s="49">
        <f>IFERROR(IF(VLOOKUP(A107,tbMoveset!A2:J112,10,FALSE)=TRUE,IF((Backdoors!AI12+IF(EZ107&gt;=0.45,VLOOKUP(Calculator!E23,tbSkills!DH3:DI6,2,FALSE)+IF(AND(Calculator!B8=TRUE,Backdoors!BI25=TRUE),VLOOKUP(Calculator!E23,tbSkills!DH3:DJ6,3,FALSE),0),0))&gt;=0,1+(Backdoors!AL2*(IF((Backdoors!AI12+IF(EZ107&gt;=0.45,VLOOKUP(Calculator!E23,tbSkills!DH3:DI6,2,FALSE)+IF(AND(Calculator!B8=TRUE,Backdoors!BI25=TRUE),VLOOKUP(Calculator!E23,tbSkills!DH3:DJ6,3,FALSE),0),0))&gt;=100,100,(Backdoors!AI12+IF(EZ107&gt;=0.45,VLOOKUP(Calculator!E23,tbSkills!DH3:DI6,2,FALSE)+IF(AND(Calculator!B8=TRUE,Backdoors!BI25=TRUE),VLOOKUP(Calculator!E23,tbSkills!DH3:DJ6,3,FALSE),0),0)))/100)),(1-(0.25*((-Backdoors!AI12-IF(EZ107&gt;=0.45,VLOOKUP(Calculator!E23,tbSkills!DH3:DI6,2,FALSE)+IF(AND(Calculator!B8=TRUE,Backdoors!BI25=TRUE),VLOOKUP(Calculator!E23,tbSkills!DH3:DJ6,3,FALSE),0),0))/100)))),1),"")</f>
        <v>1</v>
      </c>
      <c r="FC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Z107)*FB107)*(VLOOKUP(A107,tbMoveset!A2:C112,3,FALSE)/100)*IF(VLOOKUP(A107,tbMoveset!A2:B112,2,FALSE)="Projectile",Backdoors!N10,Backdoors!N9),0),"")</f>
        <v/>
      </c>
      <c r="FD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Z107&gt;=0.45,VLOOKUP(Calculator!E23,tbSkills!DH3:DI6,2,FALSE)+IF(AND(Calculator!B8=TRUE,Backdoors!BI25=TRUE),VLOOKUP(Calculator!E23,tbSkills!DH3:DJ6,3,FALSE),0),0))&gt;=100,100,(Backdoors!AI12+IF(EZ107&gt;=0.45,VLOOKUP(Calculator!E23,tbSkills!DH3:DI6,2,FALSE)+IF(AND(Calculator!B8=TRUE,Backdoors!BI25=TRUE),VLOOKUP(Calculator!E23,tbSkills!DH3:DJ6,3,FALSE),0),0)))/100)),1))*IF(VLOOKUP(A107,tbMoveset!A2:K112,11,FALSE)=TRUE,Backdoors!AC5,1))*FA107,0),"")</f>
        <v>0</v>
      </c>
      <c r="FE107" s="49">
        <f>VLOOKUP(A107,tbMoveset!A2:G112,7,FALSE)*IFERROR(IF(Backdoors!AI12&gt;=0,1+(IF(Calculator!E40&gt;0,VLOOKUP(Calculator!E40,tbSkills!AI3:AJ5,2,FALSE),Backdoors!AL4)*(IF((Backdoors!AI12+IF(EZ107&gt;=0.45,VLOOKUP(Calculator!E23,tbSkills!DH3:DI6,2,FALSE)+IF(AND(Calculator!B8=TRUE,Backdoors!BI25=TRUE),VLOOKUP(Calculator!E23,tbSkills!DH3:DJ6,3,FALSE),0),0))&gt;=100,100,(Backdoors!AI12+IF(EZ107&gt;=0.45,VLOOKUP(Calculator!E23,tbSkills!DH3:DI6,2,FALSE)+IF(AND(Calculator!B8=TRUE,Backdoors!BI25=TRUE),VLOOKUP(Calculator!E23,tbSkills!DH3:DJ6,3,FALSE),0),0)))/100)),1),1)</f>
        <v>0.4</v>
      </c>
      <c r="FF107" s="87">
        <f t="shared" si="73"/>
        <v>0</v>
      </c>
      <c r="FG107" s="86" t="str">
        <f>IFERROR(IF(VLOOKUP(A107,tbMoveset!A2:B112,2,FALSE)="Sever",Backdoors!AY26/100,IF(VLOOKUP(A107,tbMoveset!A2:B112,2,FALSE)="Blunt",Backdoors!AZ26/100,Backdoors!BA26/100)),"")</f>
        <v/>
      </c>
      <c r="FH107" s="49">
        <f>IFERROR(IF(VLOOKUP(tbMoveset!A107,tbMoveset!A2:H112,8,FALSE)="Other",IF(VLOOKUP(tbMoveset!A107,tbMoveset!A2:I112,9,FALSE)="Fire",Backdoors!BB26,IF(VLOOKUP(tbMoveset!A107,tbMoveset!A2:I112,9,FALSE)="Water",Backdoors!BC26,IF(VLOOKUP(tbMoveset!A107,tbMoveset!A2:I112,9,FALSE)="Thunder",Backdoors!BD26,IF(VLOOKUP(tbMoveset!A107,tbMoveset!A2:I112,9,FALSE)="Ice",Backdoors!BE26,IF(VLOOKUP(tbMoveset!A107,tbMoveset!A2:I112,9,FALSE)="Dragon",Backdoors!BF26,Backdoors!BG26)))))/100,Backdoors!BG26/100),"")</f>
        <v>0</v>
      </c>
      <c r="FI107" s="49">
        <f>IFERROR(IF(VLOOKUP(A107,tbMoveset!A2:J112,10,FALSE)=TRUE,IF((Backdoors!AI12+IF(FG107&gt;=0.45,VLOOKUP(Calculator!E23,tbSkills!DH3:DI6,2,FALSE)+IF(AND(Calculator!B8=TRUE,Backdoors!BI26=TRUE),VLOOKUP(Calculator!E23,tbSkills!DH3:DJ6,3,FALSE),0),0))&gt;=0,1+(Backdoors!AL2*(IF((Backdoors!AI12+IF(FG107&gt;=0.45,VLOOKUP(Calculator!E23,tbSkills!DH3:DI6,2,FALSE)+IF(AND(Calculator!B8=TRUE,Backdoors!BI26=TRUE),VLOOKUP(Calculator!E23,tbSkills!DH3:DJ6,3,FALSE),0),0))&gt;=100,100,(Backdoors!AI12+IF(FG107&gt;=0.45,VLOOKUP(Calculator!E23,tbSkills!DH3:DI6,2,FALSE)+IF(AND(Calculator!B8=TRUE,Backdoors!BI26=TRUE),VLOOKUP(Calculator!E23,tbSkills!DH3:DJ6,3,FALSE),0),0)))/100)),(1-(0.25*((-Backdoors!AI12-IF(FG107&gt;=0.45,VLOOKUP(Calculator!E23,tbSkills!DH3:DI6,2,FALSE)+IF(AND(Calculator!B8=TRUE,Backdoors!BI26=TRUE),VLOOKUP(Calculator!E23,tbSkills!DH3:DJ6,3,FALSE),0),0))/100)))),1),"")</f>
        <v>1</v>
      </c>
      <c r="FJ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FG107)*FI107)*(VLOOKUP(A107,tbMoveset!A2:C112,3,FALSE)/100)*IF(VLOOKUP(A107,tbMoveset!A2:B112,2,FALSE)="Projectile",Backdoors!N10,Backdoors!N9),0),"")</f>
        <v/>
      </c>
      <c r="FK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FG107&gt;=0.45,VLOOKUP(Calculator!E23,tbSkills!DH3:DI6,2,FALSE)+IF(AND(Calculator!B8=TRUE,Backdoors!BI26=TRUE),VLOOKUP(Calculator!E23,tbSkills!DH3:DJ6,3,FALSE),0),0))&gt;=100,100,(Backdoors!AI12+IF(FG107&gt;=0.45,VLOOKUP(Calculator!E23,tbSkills!DH3:DI6,2,FALSE)+IF(AND(Calculator!B8=TRUE,Backdoors!BI26=TRUE),VLOOKUP(Calculator!E23,tbSkills!DH3:DJ6,3,FALSE),0),0)))/100)),1))*IF(VLOOKUP(A107,tbMoveset!A2:K112,11,FALSE)=TRUE,Backdoors!AC5,1))*FH107,0),"")</f>
        <v>0</v>
      </c>
      <c r="FL107" s="49">
        <f>VLOOKUP(A107,tbMoveset!A2:G112,7,FALSE)*IFERROR(IF(Backdoors!AI12&gt;=0,1+(IF(Calculator!E40&gt;0,VLOOKUP(Calculator!E40,tbSkills!AI3:AJ5,2,FALSE),Backdoors!AL4)*(IF((Backdoors!AI12+IF(FG107&gt;=0.45,VLOOKUP(Calculator!E23,tbSkills!DH3:DI6,2,FALSE)+IF(AND(Calculator!B8=TRUE,Backdoors!BI26=TRUE),VLOOKUP(Calculator!E23,tbSkills!DH3:DJ6,3,FALSE),0),0))&gt;=100,100,(Backdoors!AI12+IF(FG107&gt;=0.45,VLOOKUP(Calculator!E23,tbSkills!DH3:DI6,2,FALSE)+IF(AND(Calculator!B8=TRUE,Backdoors!BI26=TRUE),VLOOKUP(Calculator!E23,tbSkills!DH3:DJ6,3,FALSE),0),0)))/100)),1),1)</f>
        <v>0.4</v>
      </c>
      <c r="FM107" s="87">
        <f t="shared" si="74"/>
        <v>0</v>
      </c>
      <c r="FN107" s="86" t="str">
        <f>IFERROR(IF(VLOOKUP(A107,tbMoveset!A2:B112,2,FALSE)="Sever",Backdoors!AY27/100,IF(VLOOKUP(A107,tbMoveset!A2:B112,2,FALSE)="Blunt",Backdoors!AZ27/100,Backdoors!BA27/100)),"")</f>
        <v/>
      </c>
      <c r="FO107" s="49">
        <f>IFERROR(IF(VLOOKUP(tbMoveset!A107,tbMoveset!A2:H112,8,FALSE)="Other",IF(VLOOKUP(tbMoveset!A107,tbMoveset!A2:I112,9,FALSE)="Fire",Backdoors!BB27,IF(VLOOKUP(tbMoveset!A107,tbMoveset!A2:I112,9,FALSE)="Water",Backdoors!BC27,IF(VLOOKUP(tbMoveset!A107,tbMoveset!A2:I112,9,FALSE)="Thunder",Backdoors!BD27,IF(VLOOKUP(tbMoveset!A107,tbMoveset!A2:I112,9,FALSE)="Ice",Backdoors!BE27,IF(VLOOKUP(tbMoveset!A107,tbMoveset!A2:I112,9,FALSE)="Dragon",Backdoors!BF27,Backdoors!BG27)))))/100,Backdoors!BG27/100),"")</f>
        <v>0</v>
      </c>
      <c r="FP107" s="49">
        <f>IFERROR(IF(VLOOKUP(A107,tbMoveset!A2:J112,10,FALSE)=TRUE,IF((Backdoors!AI12+IF(FN107&gt;=0.45,VLOOKUP(Calculator!E23,tbSkills!DH3:DI6,2,FALSE)+IF(AND(Calculator!B8=TRUE,Backdoors!BI27=TRUE),VLOOKUP(Calculator!E23,tbSkills!DH3:DJ6,3,FALSE),0),0))&gt;=0,1+(Backdoors!AL2*(IF((Backdoors!AI12+IF(FN107&gt;=0.45,VLOOKUP(Calculator!E23,tbSkills!DH3:DI6,2,FALSE)+IF(AND(Calculator!B8=TRUE,Backdoors!BI27=TRUE),VLOOKUP(Calculator!E23,tbSkills!DH3:DJ6,3,FALSE),0),0))&gt;=100,100,(Backdoors!AI12+IF(FN107&gt;=0.45,VLOOKUP(Calculator!E23,tbSkills!DH3:DI6,2,FALSE)+IF(AND(Calculator!B8=TRUE,Backdoors!BI27=TRUE),VLOOKUP(Calculator!E23,tbSkills!DH3:DJ6,3,FALSE),0),0)))/100)),(1-(0.25*((-Backdoors!AI12-IF(FN107&gt;=0.45,VLOOKUP(Calculator!E23,tbSkills!DH3:DI6,2,FALSE)+IF(AND(Calculator!B8=TRUE,Backdoors!BI27=TRUE),VLOOKUP(Calculator!E23,tbSkills!DH3:DJ6,3,FALSE),0),0))/100)))),1),"")</f>
        <v>1</v>
      </c>
      <c r="FQ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FN107)*FP107)*(VLOOKUP(A107,tbMoveset!A2:C112,3,FALSE)/100)*IF(VLOOKUP(A107,tbMoveset!A2:B112,2,FALSE)="Projectile",Backdoors!N10,Backdoors!N9),0),"")</f>
        <v/>
      </c>
      <c r="FR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FN107&gt;=0.45,VLOOKUP(Calculator!E23,tbSkills!DH3:DI6,2,FALSE)+IF(AND(Calculator!B8=TRUE,Backdoors!BI27=TRUE),VLOOKUP(Calculator!E23,tbSkills!DH3:DJ6,3,FALSE),0),0))&gt;=100,100,(Backdoors!AI12+IF(FN107&gt;=0.45,VLOOKUP(Calculator!E23,tbSkills!DH3:DI6,2,FALSE)+IF(AND(Calculator!B8=TRUE,Backdoors!BI27=TRUE),VLOOKUP(Calculator!E23,tbSkills!DH3:DJ6,3,FALSE),0),0)))/100)),1))*IF(VLOOKUP(A107,tbMoveset!A2:K112,11,FALSE)=TRUE,Backdoors!AC5,1))*FO107,0),"")</f>
        <v>0</v>
      </c>
      <c r="FS107" s="49">
        <f>VLOOKUP(A107,tbMoveset!A2:G112,7,FALSE)*IFERROR(IF(Backdoors!AI12&gt;=0,1+(IF(Calculator!E40&gt;0,VLOOKUP(Calculator!E40,tbSkills!AI3:AJ5,2,FALSE),Backdoors!AL4)*(IF((Backdoors!AI12+IF(FN107&gt;=0.45,VLOOKUP(Calculator!E23,tbSkills!DH3:DI6,2,FALSE)+IF(AND(Calculator!B8=TRUE,Backdoors!BI27=TRUE),VLOOKUP(Calculator!E23,tbSkills!DH3:DJ6,3,FALSE),0),0))&gt;=100,100,(Backdoors!AI12+IF(FN107&gt;=0.45,VLOOKUP(Calculator!E23,tbSkills!DH3:DI6,2,FALSE)+IF(AND(Calculator!B8=TRUE,Backdoors!BI27=TRUE),VLOOKUP(Calculator!E23,tbSkills!DH3:DJ6,3,FALSE),0),0)))/100)),1),1)</f>
        <v>0.4</v>
      </c>
      <c r="FT107" s="87">
        <f t="shared" si="75"/>
        <v>0</v>
      </c>
      <c r="FU107" s="86" t="str">
        <f>IFERROR(IF(VLOOKUP(A107,tbMoveset!A2:B112,2,FALSE)="Sever",Backdoors!AY28/100,IF(VLOOKUP(A107,tbMoveset!A2:B112,2,FALSE)="Blunt",Backdoors!AZ28/100,Backdoors!BA28/100)),"")</f>
        <v/>
      </c>
      <c r="FV107" s="49">
        <f>IFERROR(IF(VLOOKUP(tbMoveset!A107,tbMoveset!A2:H112,8,FALSE)="Other",IF(VLOOKUP(tbMoveset!A107,tbMoveset!A2:I112,9,FALSE)="Fire",Backdoors!BB28,IF(VLOOKUP(tbMoveset!A107,tbMoveset!A2:I112,9,FALSE)="Water",Backdoors!BC28,IF(VLOOKUP(tbMoveset!A107,tbMoveset!A2:I112,9,FALSE)="Thunder",Backdoors!BD28,IF(VLOOKUP(tbMoveset!A107,tbMoveset!A2:I112,9,FALSE)="Ice",Backdoors!BE28,IF(VLOOKUP(tbMoveset!A107,tbMoveset!A2:I112,9,FALSE)="Dragon",Backdoors!BF28,Backdoors!BG28)))))/100,Backdoors!BG28/100),"")</f>
        <v>0</v>
      </c>
      <c r="FW107" s="49">
        <f>IFERROR(IF(VLOOKUP(A107,tbMoveset!A2:J112,10,FALSE)=TRUE,IF((Backdoors!AI12+IF(FU107&gt;=0.45,VLOOKUP(Calculator!E23,tbSkills!DH3:DI6,2,FALSE)+IF(AND(Calculator!B8=TRUE,Backdoors!BI28=TRUE),VLOOKUP(Calculator!E23,tbSkills!DH3:DJ6,3,FALSE),0),0))&gt;=0,1+(Backdoors!AL2*(IF((Backdoors!AI12+IF(FU107&gt;=0.45,VLOOKUP(Calculator!E23,tbSkills!DH3:DI6,2,FALSE)+IF(AND(Calculator!B8=TRUE,Backdoors!BI28=TRUE),VLOOKUP(Calculator!E23,tbSkills!DH3:DJ6,3,FALSE),0),0))&gt;=100,100,(Backdoors!AI12+IF(FU107&gt;=0.45,VLOOKUP(Calculator!E23,tbSkills!DH3:DI6,2,FALSE)+IF(AND(Calculator!B8=TRUE,Backdoors!BI28=TRUE),VLOOKUP(Calculator!E23,tbSkills!DH3:DJ6,3,FALSE),0),0)))/100)),(1-(0.25*((-Backdoors!AI12-IF(FU107&gt;=0.45,VLOOKUP(Calculator!E23,tbSkills!DH3:DI6,2,FALSE)+IF(AND(Calculator!B8=TRUE,Backdoors!BI28=TRUE),VLOOKUP(Calculator!E23,tbSkills!DH3:DJ6,3,FALSE),0),0))/100)))),1),"")</f>
        <v>1</v>
      </c>
      <c r="FX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FU107)*FW107)*(VLOOKUP(A107,tbMoveset!A2:C112,3,FALSE)/100)*IF(VLOOKUP(A107,tbMoveset!A2:B112,2,FALSE)="Projectile",Backdoors!N10,Backdoors!N9),0),"")</f>
        <v/>
      </c>
      <c r="FY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FU107&gt;=0.45,VLOOKUP(Calculator!E23,tbSkills!DH3:DI6,2,FALSE)+IF(AND(Calculator!B8=TRUE,Backdoors!BI28=TRUE),VLOOKUP(Calculator!E23,tbSkills!DH3:DJ6,3,FALSE),0),0))&gt;=100,100,(Backdoors!AI12+IF(FU107&gt;=0.45,VLOOKUP(Calculator!E23,tbSkills!DH3:DI6,2,FALSE)+IF(AND(Calculator!B8=TRUE,Backdoors!BI28=TRUE),VLOOKUP(Calculator!E23,tbSkills!DH3:DJ6,3,FALSE),0),0)))/100)),1))*IF(VLOOKUP(A107,tbMoveset!A2:K112,11,FALSE)=TRUE,Backdoors!AC5,1))*FV107,0),"")</f>
        <v>0</v>
      </c>
      <c r="FZ107" s="49">
        <f>VLOOKUP(A107,tbMoveset!A2:G112,7,FALSE)*IFERROR(IF(Backdoors!AI12&gt;=0,1+(IF(Calculator!E40&gt;0,VLOOKUP(Calculator!E40,tbSkills!AI3:AJ5,2,FALSE),Backdoors!AL4)*(IF((Backdoors!AI12+IF(FU107&gt;=0.45,VLOOKUP(Calculator!E23,tbSkills!DH3:DI6,2,FALSE)+IF(AND(Calculator!B8=TRUE,Backdoors!BI28=TRUE),VLOOKUP(Calculator!E23,tbSkills!DH3:DJ6,3,FALSE),0),0))&gt;=100,100,(Backdoors!AI12+IF(FU107&gt;=0.45,VLOOKUP(Calculator!E23,tbSkills!DH3:DI6,2,FALSE)+IF(AND(Calculator!B8=TRUE,Backdoors!BI28=TRUE),VLOOKUP(Calculator!E23,tbSkills!DH3:DJ6,3,FALSE),0),0)))/100)),1),1)</f>
        <v>0.4</v>
      </c>
      <c r="GA107" s="87">
        <f t="shared" si="76"/>
        <v>0</v>
      </c>
      <c r="GB107" s="86" t="str">
        <f>IFERROR(IF(VLOOKUP(A107,tbMoveset!A2:B112,2,FALSE)="Sever",Backdoors!AY29/100,IF(VLOOKUP(A107,tbMoveset!A2:B112,2,FALSE)="Blunt",Backdoors!AZ29/100,Backdoors!BA29/100)),"")</f>
        <v/>
      </c>
      <c r="GC107" s="49">
        <f>IFERROR(IF(VLOOKUP(tbMoveset!A107,tbMoveset!A2:H112,8,FALSE)="Other",IF(VLOOKUP(tbMoveset!A107,tbMoveset!A2:I112,9,FALSE)="Fire",Backdoors!BB29,IF(VLOOKUP(tbMoveset!A107,tbMoveset!A2:I112,9,FALSE)="Water",Backdoors!BC29,IF(VLOOKUP(tbMoveset!A107,tbMoveset!A2:I112,9,FALSE)="Thunder",Backdoors!BD29,IF(VLOOKUP(tbMoveset!A107,tbMoveset!A2:I112,9,FALSE)="Ice",Backdoors!BE29,IF(VLOOKUP(tbMoveset!A107,tbMoveset!A2:I112,9,FALSE)="Dragon",Backdoors!BF29,Backdoors!BG29)))))/100,Backdoors!BG29/100),"")</f>
        <v>0</v>
      </c>
      <c r="GD107" s="49">
        <f>IFERROR(IF(VLOOKUP(A107,tbMoveset!A2:J112,10,FALSE)=TRUE,IF((Backdoors!AI12+IF(GB107&gt;=0.45,VLOOKUP(Calculator!E23,tbSkills!DH3:DI6,2,FALSE)+IF(AND(Calculator!B8=TRUE,Backdoors!BI29=TRUE),VLOOKUP(Calculator!E23,tbSkills!DH3:DJ6,3,FALSE),0),0))&gt;=0,1+(Backdoors!AL2*(IF((Backdoors!AI12+IF(GB107&gt;=0.45,VLOOKUP(Calculator!E23,tbSkills!DH3:DI6,2,FALSE)+IF(AND(Calculator!B8=TRUE,Backdoors!BI29=TRUE),VLOOKUP(Calculator!E23,tbSkills!DH3:DJ6,3,FALSE),0),0))&gt;=100,100,(Backdoors!AI12+IF(GB107&gt;=0.45,VLOOKUP(Calculator!E23,tbSkills!DH3:DI6,2,FALSE)+IF(AND(Calculator!B8=TRUE,Backdoors!BI29=TRUE),VLOOKUP(Calculator!E23,tbSkills!DH3:DJ6,3,FALSE),0),0)))/100)),(1-(0.25*((-Backdoors!AI12-IF(GB107&gt;=0.45,VLOOKUP(Calculator!E23,tbSkills!DH3:DI6,2,FALSE)+IF(AND(Calculator!B8=TRUE,Backdoors!BI29=TRUE),VLOOKUP(Calculator!E23,tbSkills!DH3:DJ6,3,FALSE),0),0))/100)))),1),"")</f>
        <v>1</v>
      </c>
      <c r="GE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B107)*GD107)*(VLOOKUP(A107,tbMoveset!A2:C112,3,FALSE)/100)*IF(VLOOKUP(A107,tbMoveset!A2:B112,2,FALSE)="Projectile",Backdoors!N10,Backdoors!N9),0),"")</f>
        <v/>
      </c>
      <c r="GF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B107&gt;=0.45,VLOOKUP(Calculator!E23,tbSkills!DH3:DI6,2,FALSE)+IF(AND(Calculator!B8=TRUE,Backdoors!BI29=TRUE),VLOOKUP(Calculator!E23,tbSkills!DH3:DJ6,3,FALSE),0),0))&gt;=100,100,(Backdoors!AI12+IF(GB107&gt;=0.45,VLOOKUP(Calculator!E23,tbSkills!DH3:DI6,2,FALSE)+IF(AND(Calculator!B8=TRUE,Backdoors!BI29=TRUE),VLOOKUP(Calculator!E23,tbSkills!DH3:DJ6,3,FALSE),0),0)))/100)),1))*IF(VLOOKUP(A107,tbMoveset!A2:K112,11,FALSE)=TRUE,Backdoors!AC5,1))*GC107,0),"")</f>
        <v>0</v>
      </c>
      <c r="GG107" s="49">
        <f>VLOOKUP(A107,tbMoveset!A2:G112,7,FALSE)*IFERROR(IF(Backdoors!AI12&gt;=0,1+(IF(Calculator!E40&gt;0,VLOOKUP(Calculator!E40,tbSkills!AI3:AJ5,2,FALSE),Backdoors!AL4)*(IF((Backdoors!AI12+IF(GB107&gt;=0.45,VLOOKUP(Calculator!E23,tbSkills!DH3:DI6,2,FALSE)+IF(AND(Calculator!B8=TRUE,Backdoors!BI29=TRUE),VLOOKUP(Calculator!E23,tbSkills!DH3:DJ6,3,FALSE),0),0))&gt;=100,100,(Backdoors!AI12+IF(GB107&gt;=0.45,VLOOKUP(Calculator!E23,tbSkills!DH3:DI6,2,FALSE)+IF(AND(Calculator!B8=TRUE,Backdoors!BI29=TRUE),VLOOKUP(Calculator!E23,tbSkills!DH3:DJ6,3,FALSE),0),0)))/100)),1),1)</f>
        <v>0.4</v>
      </c>
      <c r="GH107" s="87">
        <f t="shared" si="77"/>
        <v>0</v>
      </c>
      <c r="GI107" s="86" t="str">
        <f>IFERROR(IF(VLOOKUP(A107,tbMoveset!A2:B112,2,FALSE)="Sever",Backdoors!AY30/100,IF(VLOOKUP(A107,tbMoveset!A2:B112,2,FALSE)="Blunt",Backdoors!AZ30/100,Backdoors!BA30/100)),"")</f>
        <v/>
      </c>
      <c r="GJ107" s="49">
        <f>IFERROR(IF(VLOOKUP(tbMoveset!A107,tbMoveset!A2:H112,8,FALSE)="Other",IF(VLOOKUP(tbMoveset!A107,tbMoveset!A2:I112,9,FALSE)="Fire",Backdoors!BB30,IF(VLOOKUP(tbMoveset!A107,tbMoveset!A2:I112,9,FALSE)="Water",Backdoors!BC30,IF(VLOOKUP(tbMoveset!A107,tbMoveset!A2:I112,9,FALSE)="Thunder",Backdoors!BD30,IF(VLOOKUP(tbMoveset!A107,tbMoveset!A2:I112,9,FALSE)="Ice",Backdoors!BE30,IF(VLOOKUP(tbMoveset!A107,tbMoveset!A2:I112,9,FALSE)="Dragon",Backdoors!BF30,Backdoors!BG30)))))/100,Backdoors!BG30/100),"")</f>
        <v>0</v>
      </c>
      <c r="GK107" s="49">
        <f>IFERROR(IF(VLOOKUP(A107,tbMoveset!A2:J112,10,FALSE)=TRUE,IF((Backdoors!AI12+IF(GI107&gt;=0.45,VLOOKUP(Calculator!E23,tbSkills!DH3:DI6,2,FALSE)+IF(AND(Calculator!B8=TRUE,Backdoors!BI30=TRUE),VLOOKUP(Calculator!E23,tbSkills!DH3:DJ6,3,FALSE),0),0))&gt;=0,1+(Backdoors!AL2*(IF((Backdoors!AI12+IF(GI107&gt;=0.45,VLOOKUP(Calculator!E23,tbSkills!DH3:DI6,2,FALSE)+IF(AND(Calculator!B8=TRUE,Backdoors!BI30=TRUE),VLOOKUP(Calculator!E23,tbSkills!DH3:DJ6,3,FALSE),0),0))&gt;=100,100,(Backdoors!AI12+IF(GI107&gt;=0.45,VLOOKUP(Calculator!E23,tbSkills!DH3:DI6,2,FALSE)+IF(AND(Calculator!B8=TRUE,Backdoors!BI30=TRUE),VLOOKUP(Calculator!E23,tbSkills!DH3:DJ6,3,FALSE),0),0)))/100)),(1-(0.25*((-Backdoors!AI12-IF(GI107&gt;=0.45,VLOOKUP(Calculator!E23,tbSkills!DH3:DI6,2,FALSE)+IF(AND(Calculator!B8=TRUE,Backdoors!BI30=TRUE),VLOOKUP(Calculator!E23,tbSkills!DH3:DJ6,3,FALSE),0),0))/100)))),1),"")</f>
        <v>1</v>
      </c>
      <c r="GL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I107)*GK107)*(VLOOKUP(A107,tbMoveset!A2:C112,3,FALSE)/100)*IF(VLOOKUP(A107,tbMoveset!A2:B112,2,FALSE)="Projectile",Backdoors!N10,Backdoors!N9),0),"")</f>
        <v/>
      </c>
      <c r="GM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I107&gt;=0.45,VLOOKUP(Calculator!E23,tbSkills!DH3:DI6,2,FALSE)+IF(AND(Calculator!B8=TRUE,Backdoors!BI30=TRUE),VLOOKUP(Calculator!E23,tbSkills!DH3:DJ6,3,FALSE),0),0))&gt;=100,100,(Backdoors!AI12+IF(GI107&gt;=0.45,VLOOKUP(Calculator!E23,tbSkills!DH3:DI6,2,FALSE)+IF(AND(Calculator!B8=TRUE,Backdoors!BI30=TRUE),VLOOKUP(Calculator!E23,tbSkills!DH3:DJ6,3,FALSE),0),0)))/100)),1))*IF(VLOOKUP(A107,tbMoveset!A2:K112,11,FALSE)=TRUE,Backdoors!AC5,1))*GJ107,0),"")</f>
        <v>0</v>
      </c>
      <c r="GN107" s="49">
        <f>VLOOKUP(A107,tbMoveset!A2:G112,7,FALSE)*IFERROR(IF(Backdoors!AI12&gt;=0,1+(IF(Calculator!E40&gt;0,VLOOKUP(Calculator!E40,tbSkills!AI3:AJ5,2,FALSE),Backdoors!AL4)*(IF((Backdoors!AI12+IF(GI107&gt;=0.45,VLOOKUP(Calculator!E23,tbSkills!DH3:DI6,2,FALSE)+IF(AND(Calculator!B8=TRUE,Backdoors!BI30=TRUE),VLOOKUP(Calculator!E23,tbSkills!DH3:DJ6,3,FALSE),0),0))&gt;=100,100,(Backdoors!AI12+IF(GI107&gt;=0.45,VLOOKUP(Calculator!E23,tbSkills!DH3:DI6,2,FALSE)+IF(AND(Calculator!B8=TRUE,Backdoors!BI30=TRUE),VLOOKUP(Calculator!E23,tbSkills!DH3:DJ6,3,FALSE),0),0)))/100)),1),1)</f>
        <v>0.4</v>
      </c>
      <c r="GO107" s="87">
        <f t="shared" si="78"/>
        <v>0</v>
      </c>
      <c r="GP107" s="86" t="str">
        <f>IFERROR(IF(VLOOKUP(A107,tbMoveset!A2:B112,2,FALSE)="Sever",Backdoors!AY31/100,IF(VLOOKUP(A107,tbMoveset!A2:B112,2,FALSE)="Blunt",Backdoors!AZ31/100,Backdoors!BA31/100)),"")</f>
        <v/>
      </c>
      <c r="GQ107" s="49">
        <f>IFERROR(IF(VLOOKUP(tbMoveset!A107,tbMoveset!A2:H112,8,FALSE)="Other",IF(VLOOKUP(tbMoveset!A107,tbMoveset!A2:I112,9,FALSE)="Fire",Backdoors!BB31,IF(VLOOKUP(tbMoveset!A107,tbMoveset!A2:I112,9,FALSE)="Water",Backdoors!BC31,IF(VLOOKUP(tbMoveset!A107,tbMoveset!A2:I112,9,FALSE)="Thunder",Backdoors!BD31,IF(VLOOKUP(tbMoveset!A107,tbMoveset!A2:I112,9,FALSE)="Ice",Backdoors!BE31,IF(VLOOKUP(tbMoveset!A107,tbMoveset!A2:I112,9,FALSE)="Dragon",Backdoors!BF31,Backdoors!BG31)))))/100,Backdoors!BG31/100),"")</f>
        <v>0</v>
      </c>
      <c r="GR107" s="49">
        <f>IFERROR(IF(VLOOKUP(A107,tbMoveset!A2:J112,10,FALSE)=TRUE,IF((Backdoors!AI12+IF(GP107&gt;=0.45,VLOOKUP(Calculator!E23,tbSkills!DH3:DI6,2,FALSE)+IF(AND(Calculator!B8=TRUE,Backdoors!BI31=TRUE),VLOOKUP(Calculator!E23,tbSkills!DH3:DJ6,3,FALSE),0),0))&gt;=0,1+(Backdoors!AL2*(IF((Backdoors!AI12+IF(GP107&gt;=0.45,VLOOKUP(Calculator!E23,tbSkills!DH3:DI6,2,FALSE)+IF(AND(Calculator!B8=TRUE,Backdoors!BI31=TRUE),VLOOKUP(Calculator!E23,tbSkills!DH3:DJ6,3,FALSE),0),0))&gt;=100,100,(Backdoors!AI12+IF(GP107&gt;=0.45,VLOOKUP(Calculator!E23,tbSkills!DH3:DI6,2,FALSE)+IF(AND(Calculator!B8=TRUE,Backdoors!BI31=TRUE),VLOOKUP(Calculator!E23,tbSkills!DH3:DJ6,3,FALSE),0),0)))/100)),(1-(0.25*((-Backdoors!AI12-IF(GP107&gt;=0.45,VLOOKUP(Calculator!E23,tbSkills!DH3:DI6,2,FALSE)+IF(AND(Calculator!B8=TRUE,Backdoors!BI31=TRUE),VLOOKUP(Calculator!E23,tbSkills!DH3:DJ6,3,FALSE),0),0))/100)))),1),"")</f>
        <v>1</v>
      </c>
      <c r="GS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P107)*GR107)*(VLOOKUP(A107,tbMoveset!A2:C112,3,FALSE)/100)*IF(VLOOKUP(A107,tbMoveset!A2:B112,2,FALSE)="Projectile",Backdoors!N10,Backdoors!N9),0),"")</f>
        <v/>
      </c>
      <c r="GT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P107&gt;=0.45,VLOOKUP(Calculator!E23,tbSkills!DH3:DI6,2,FALSE)+IF(AND(Calculator!B8=TRUE,Backdoors!BI31=TRUE),VLOOKUP(Calculator!E23,tbSkills!DH3:DJ6,3,FALSE),0),0))&gt;=100,100,(Backdoors!AI12+IF(GP107&gt;=0.45,VLOOKUP(Calculator!E23,tbSkills!DH3:DI6,2,FALSE)+IF(AND(Calculator!B8=TRUE,Backdoors!BI31=TRUE),VLOOKUP(Calculator!E23,tbSkills!DH3:DJ6,3,FALSE),0),0)))/100)),1))*IF(VLOOKUP(A107,tbMoveset!A2:K112,11,FALSE)=TRUE,Backdoors!AC5,1))*GQ107,0),"")</f>
        <v>0</v>
      </c>
      <c r="GU107" s="49">
        <f>VLOOKUP(A107,tbMoveset!A2:G112,7,FALSE)*IFERROR(IF(Backdoors!AI12&gt;=0,1+(IF(Calculator!E40&gt;0,VLOOKUP(Calculator!E40,tbSkills!AI3:AJ5,2,FALSE),Backdoors!AL4)*(IF((Backdoors!AI12+IF(GP107&gt;=0.45,VLOOKUP(Calculator!E23,tbSkills!DH3:DI6,2,FALSE)+IF(AND(Calculator!B8=TRUE,Backdoors!BI31=TRUE),VLOOKUP(Calculator!E23,tbSkills!DH3:DJ6,3,FALSE),0),0))&gt;=100,100,(Backdoors!AI12+IF(GP107&gt;=0.45,VLOOKUP(Calculator!E23,tbSkills!DH3:DI6,2,FALSE)+IF(AND(Calculator!B8=TRUE,Backdoors!BI31=TRUE),VLOOKUP(Calculator!E23,tbSkills!DH3:DJ6,3,FALSE),0),0)))/100)),1),1)</f>
        <v>0.4</v>
      </c>
      <c r="GV107" s="87">
        <f t="shared" si="79"/>
        <v>0</v>
      </c>
      <c r="GW107" s="86" t="str">
        <f>IFERROR(IF(VLOOKUP(A107,tbMoveset!A2:B112,2,FALSE)="Sever",Backdoors!AY32/100,IF(VLOOKUP(A107,tbMoveset!A2:B112,2,FALSE)="Blunt",Backdoors!AZ32/100,Backdoors!BA32/100)),"")</f>
        <v/>
      </c>
      <c r="GX107" s="49">
        <f>IFERROR(IF(VLOOKUP(tbMoveset!A107,tbMoveset!A2:H112,8,FALSE)="Other",IF(VLOOKUP(tbMoveset!A107,tbMoveset!A2:I112,9,FALSE)="Fire",Backdoors!BB32,IF(VLOOKUP(tbMoveset!A107,tbMoveset!A2:I112,9,FALSE)="Water",Backdoors!BC32,IF(VLOOKUP(tbMoveset!A107,tbMoveset!A2:I112,9,FALSE)="Thunder",Backdoors!BD32,IF(VLOOKUP(tbMoveset!A107,tbMoveset!A2:I112,9,FALSE)="Ice",Backdoors!BE32,IF(VLOOKUP(tbMoveset!A107,tbMoveset!A2:I112,9,FALSE)="Dragon",Backdoors!BF32,Backdoors!BG32)))))/100,Backdoors!BG32/100),"")</f>
        <v>0</v>
      </c>
      <c r="GY107" s="49">
        <f>IFERROR(IF(VLOOKUP(A107,tbMoveset!A2:J112,10,FALSE)=TRUE,IF((Backdoors!AI12+IF(GW107&gt;=0.45,VLOOKUP(Calculator!E23,tbSkills!DH3:DI6,2,FALSE)+IF(AND(Calculator!B8=TRUE,Backdoors!BI32=TRUE),VLOOKUP(Calculator!E23,tbSkills!DH3:DJ6,3,FALSE),0),0))&gt;=0,1+(Backdoors!AL2*(IF((Backdoors!AI12+IF(GW107&gt;=0.45,VLOOKUP(Calculator!E23,tbSkills!DH3:DI6,2,FALSE)+IF(AND(Calculator!B8=TRUE,Backdoors!BI32=TRUE),VLOOKUP(Calculator!E23,tbSkills!DH3:DJ6,3,FALSE),0),0))&gt;=100,100,(Backdoors!AI12+IF(GW107&gt;=0.45,VLOOKUP(Calculator!E23,tbSkills!DH3:DI6,2,FALSE)+IF(AND(Calculator!B8=TRUE,Backdoors!BI32=TRUE),VLOOKUP(Calculator!E23,tbSkills!DH3:DJ6,3,FALSE),0),0)))/100)),(1-(0.25*((-Backdoors!AI12-IF(GW107&gt;=0.45,VLOOKUP(Calculator!E23,tbSkills!DH3:DI6,2,FALSE)+IF(AND(Calculator!B8=TRUE,Backdoors!BI32=TRUE),VLOOKUP(Calculator!E23,tbSkills!DH3:DJ6,3,FALSE),0),0))/100)))),1),"")</f>
        <v>1</v>
      </c>
      <c r="GZ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W107)*GY107)*(VLOOKUP(A107,tbMoveset!A2:C112,3,FALSE)/100)*IF(VLOOKUP(A107,tbMoveset!A2:B112,2,FALSE)="Projectile",Backdoors!N10,Backdoors!N9),0),"")</f>
        <v/>
      </c>
      <c r="HA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W107&gt;=0.45,VLOOKUP(Calculator!E23,tbSkills!DH3:DI6,2,FALSE)+IF(AND(Calculator!B8=TRUE,Backdoors!BI32=TRUE),VLOOKUP(Calculator!E23,tbSkills!DH3:DJ6,3,FALSE),0),0))&gt;=100,100,(Backdoors!AI12+IF(GW107&gt;=0.45,VLOOKUP(Calculator!E23,tbSkills!DH3:DI6,2,FALSE)+IF(AND(Calculator!B8=TRUE,Backdoors!BI32=TRUE),VLOOKUP(Calculator!E23,tbSkills!DH3:DJ6,3,FALSE),0),0)))/100)),1))*IF(VLOOKUP(A107,tbMoveset!A2:K112,11,FALSE)=TRUE,Backdoors!AC5,1))*GX107,0),"")</f>
        <v>0</v>
      </c>
      <c r="HB107" s="49">
        <f>VLOOKUP(A107,tbMoveset!A2:G112,7,FALSE)*IFERROR(IF(Backdoors!AI12&gt;=0,1+(IF(Calculator!E40&gt;0,VLOOKUP(Calculator!E40,tbSkills!AI3:AJ5,2,FALSE),Backdoors!AL4)*(IF((Backdoors!AI12+IF(GW107&gt;=0.45,VLOOKUP(Calculator!E23,tbSkills!DH3:DI6,2,FALSE)+IF(AND(Calculator!B8=TRUE,Backdoors!BI32=TRUE),VLOOKUP(Calculator!E23,tbSkills!DH3:DJ6,3,FALSE),0),0))&gt;=100,100,(Backdoors!AI12+IF(GW107&gt;=0.45,VLOOKUP(Calculator!E23,tbSkills!DH3:DI6,2,FALSE)+IF(AND(Calculator!B8=TRUE,Backdoors!BI32=TRUE),VLOOKUP(Calculator!E23,tbSkills!DH3:DJ6,3,FALSE),0),0)))/100)),1),1)</f>
        <v>0.4</v>
      </c>
      <c r="HC107" s="87">
        <f t="shared" si="80"/>
        <v>0</v>
      </c>
      <c r="HD107" s="86" t="str">
        <f>IFERROR(IF(VLOOKUP(A107,tbMoveset!A2:B112,2,FALSE)="Sever",Backdoors!AY33/100,IF(VLOOKUP(A107,tbMoveset!A2:B112,2,FALSE)="Blunt",Backdoors!AZ33/100,Backdoors!BA33/100)),"")</f>
        <v/>
      </c>
      <c r="HE107" s="49">
        <f>IFERROR(IF(VLOOKUP(tbMoveset!A107,tbMoveset!A2:H112,8,FALSE)="Other",IF(VLOOKUP(tbMoveset!A107,tbMoveset!A2:I112,9,FALSE)="Fire",Backdoors!BB33,IF(VLOOKUP(tbMoveset!A107,tbMoveset!A2:I112,9,FALSE)="Water",Backdoors!BC33,IF(VLOOKUP(tbMoveset!A107,tbMoveset!A2:I112,9,FALSE)="Thunder",Backdoors!BD33,IF(VLOOKUP(tbMoveset!A107,tbMoveset!A2:I112,9,FALSE)="Ice",Backdoors!BE33,IF(VLOOKUP(tbMoveset!A107,tbMoveset!A2:I112,9,FALSE)="Dragon",Backdoors!BF33,Backdoors!BG33)))))/100,Backdoors!BG33/100),"")</f>
        <v>0</v>
      </c>
      <c r="HF107" s="49">
        <f>IFERROR(IF(VLOOKUP(A107,tbMoveset!A2:J112,10,FALSE)=TRUE,IF((Backdoors!AI12+IF(HD107&gt;=0.45,VLOOKUP(Calculator!E23,tbSkills!DH3:DI6,2,FALSE)+IF(AND(Calculator!B8=TRUE,Backdoors!BI33=TRUE),VLOOKUP(Calculator!E23,tbSkills!DH3:DJ6,3,FALSE),0),0))&gt;=0,1+(Backdoors!AL2*(IF((Backdoors!AI12+IF(HD107&gt;=0.45,VLOOKUP(Calculator!E23,tbSkills!DH3:DI6,2,FALSE)+IF(AND(Calculator!B8=TRUE,Backdoors!BI33=TRUE),VLOOKUP(Calculator!E23,tbSkills!DH3:DJ6,3,FALSE),0),0))&gt;=100,100,(Backdoors!AI12+IF(HD107&gt;=0.45,VLOOKUP(Calculator!E23,tbSkills!DH3:DI6,2,FALSE)+IF(AND(Calculator!B8=TRUE,Backdoors!BI33=TRUE),VLOOKUP(Calculator!E23,tbSkills!DH3:DJ6,3,FALSE),0),0)))/100)),(1-(0.25*((-Backdoors!AI12-IF(HD107&gt;=0.45,VLOOKUP(Calculator!E23,tbSkills!DH3:DI6,2,FALSE)+IF(AND(Calculator!B8=TRUE,Backdoors!BI33=TRUE),VLOOKUP(Calculator!E23,tbSkills!DH3:DJ6,3,FALSE),0),0))/100)))),1),"")</f>
        <v>1</v>
      </c>
      <c r="HG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D107)*HF107)*(VLOOKUP(A107,tbMoveset!A2:C112,3,FALSE)/100)*IF(VLOOKUP(A107,tbMoveset!A2:B112,2,FALSE)="Projectile",Backdoors!N10,Backdoors!N9),0),"")</f>
        <v/>
      </c>
      <c r="HH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D107&gt;=0.45,VLOOKUP(Calculator!E23,tbSkills!DH3:DI6,2,FALSE)+IF(AND(Calculator!B8=TRUE,Backdoors!BI33=TRUE),VLOOKUP(Calculator!E23,tbSkills!DH3:DJ6,3,FALSE),0),0))&gt;=100,100,(Backdoors!AI12+IF(HD107&gt;=0.45,VLOOKUP(Calculator!E23,tbSkills!DH3:DI6,2,FALSE)+IF(AND(Calculator!B8=TRUE,Backdoors!BI33=TRUE),VLOOKUP(Calculator!E23,tbSkills!DH3:DJ6,3,FALSE),0),0)))/100)),1))*IF(VLOOKUP(A107,tbMoveset!A2:K112,11,FALSE)=TRUE,Backdoors!AC5,1))*HE107,0),"")</f>
        <v>0</v>
      </c>
      <c r="HI107" s="49">
        <f>VLOOKUP(A107,tbMoveset!A2:G112,7,FALSE)*IFERROR(IF(Backdoors!AI12&gt;=0,1+(IF(Calculator!E40&gt;0,VLOOKUP(Calculator!E40,tbSkills!AI3:AJ5,2,FALSE),Backdoors!AL4)*(IF((Backdoors!AI12+IF(HD107&gt;=0.45,VLOOKUP(Calculator!E23,tbSkills!DH3:DI6,2,FALSE)+IF(AND(Calculator!B8=TRUE,Backdoors!BI33=TRUE),VLOOKUP(Calculator!E23,tbSkills!DH3:DJ6,3,FALSE),0),0))&gt;=100,100,(Backdoors!AI12+IF(HD107&gt;=0.45,VLOOKUP(Calculator!E23,tbSkills!DH3:DI6,2,FALSE)+IF(AND(Calculator!B8=TRUE,Backdoors!BI33=TRUE),VLOOKUP(Calculator!E23,tbSkills!DH3:DJ6,3,FALSE),0),0)))/100)),1),1)</f>
        <v>0.4</v>
      </c>
      <c r="HJ107" s="87">
        <f t="shared" si="81"/>
        <v>0</v>
      </c>
      <c r="HK107" s="86" t="str">
        <f>IFERROR(IF(VLOOKUP(A107,tbMoveset!A2:B112,2,FALSE)="Sever",Backdoors!AY34/100,IF(VLOOKUP(A107,tbMoveset!A2:B112,2,FALSE)="Blunt",Backdoors!AZ34/100,Backdoors!BA34/100)),"")</f>
        <v/>
      </c>
      <c r="HL107" s="49">
        <f>IFERROR(IF(VLOOKUP(tbMoveset!A107,tbMoveset!A2:H112,8,FALSE)="Other",IF(VLOOKUP(tbMoveset!A107,tbMoveset!A2:I112,9,FALSE)="Fire",Backdoors!BB34,IF(VLOOKUP(tbMoveset!A107,tbMoveset!A2:I112,9,FALSE)="Water",Backdoors!BC34,IF(VLOOKUP(tbMoveset!A107,tbMoveset!A2:I112,9,FALSE)="Thunder",Backdoors!BD34,IF(VLOOKUP(tbMoveset!A107,tbMoveset!A2:I112,9,FALSE)="Ice",Backdoors!BE34,IF(VLOOKUP(tbMoveset!A107,tbMoveset!A2:I112,9,FALSE)="Dragon",Backdoors!BF34,Backdoors!BG34)))))/100,Backdoors!BG34/100),"")</f>
        <v>0</v>
      </c>
      <c r="HM107" s="49">
        <f>IFERROR(IF(VLOOKUP(A107,tbMoveset!A2:J112,10,FALSE)=TRUE,IF((Backdoors!AI12+IF(HK107&gt;=0.45,VLOOKUP(Calculator!E23,tbSkills!DH3:DI6,2,FALSE)+IF(AND(Calculator!B8=TRUE,Backdoors!BI34=TRUE),VLOOKUP(Calculator!E23,tbSkills!DH3:DJ6,3,FALSE),0),0))&gt;=0,1+(Backdoors!AL2*(IF((Backdoors!AI12+IF(HK107&gt;=0.45,VLOOKUP(Calculator!E23,tbSkills!DH3:DI6,2,FALSE)+IF(AND(Calculator!B8=TRUE,Backdoors!BI34=TRUE),VLOOKUP(Calculator!E23,tbSkills!DH3:DJ6,3,FALSE),0),0))&gt;=100,100,(Backdoors!AI12+IF(HK107&gt;=0.45,VLOOKUP(Calculator!E23,tbSkills!DH3:DI6,2,FALSE)+IF(AND(Calculator!B8=TRUE,Backdoors!BI34=TRUE),VLOOKUP(Calculator!E23,tbSkills!DH3:DJ6,3,FALSE),0),0)))/100)),(1-(0.25*((-Backdoors!AI12-IF(HK107&gt;=0.45,VLOOKUP(Calculator!E23,tbSkills!DH3:DI6,2,FALSE)+IF(AND(Calculator!B8=TRUE,Backdoors!BI34=TRUE),VLOOKUP(Calculator!E23,tbSkills!DH3:DJ6,3,FALSE),0),0))/100)))),1),"")</f>
        <v>1</v>
      </c>
      <c r="HN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K107)*HM107)*(VLOOKUP(A107,tbMoveset!A2:C112,3,FALSE)/100)*IF(VLOOKUP(A107,tbMoveset!A2:B112,2,FALSE)="Projectile",Backdoors!N10,Backdoors!N9),0),"")</f>
        <v/>
      </c>
      <c r="HO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K107&gt;=0.45,VLOOKUP(Calculator!E23,tbSkills!DH3:DI6,2,FALSE)+IF(AND(Calculator!B8=TRUE,Backdoors!BI34=TRUE),VLOOKUP(Calculator!E23,tbSkills!DH3:DJ6,3,FALSE),0),0))&gt;=100,100,(Backdoors!AI12+IF(HK107&gt;=0.45,VLOOKUP(Calculator!E23,tbSkills!DH3:DI6,2,FALSE)+IF(AND(Calculator!B8=TRUE,Backdoors!BI34=TRUE),VLOOKUP(Calculator!E23,tbSkills!DH3:DJ6,3,FALSE),0),0)))/100)),1))*IF(VLOOKUP(A107,tbMoveset!A2:K112,11,FALSE)=TRUE,Backdoors!AC5,1))*HL107,0),"")</f>
        <v>0</v>
      </c>
      <c r="HP107" s="49">
        <f>VLOOKUP(A107,tbMoveset!A2:G112,7,FALSE)*IFERROR(IF(Backdoors!AI12&gt;=0,1+(IF(Calculator!E40&gt;0,VLOOKUP(Calculator!E40,tbSkills!AI3:AJ5,2,FALSE),Backdoors!AL4)*(IF((Backdoors!AI12+IF(HK107&gt;=0.45,VLOOKUP(Calculator!E23,tbSkills!DH3:DI6,2,FALSE)+IF(AND(Calculator!B8=TRUE,Backdoors!BI34=TRUE),VLOOKUP(Calculator!E23,tbSkills!DH3:DJ6,3,FALSE),0),0))&gt;=100,100,(Backdoors!AI12+IF(HK107&gt;=0.45,VLOOKUP(Calculator!E23,tbSkills!DH3:DI6,2,FALSE)+IF(AND(Calculator!B8=TRUE,Backdoors!BI34=TRUE),VLOOKUP(Calculator!E23,tbSkills!DH3:DJ6,3,FALSE),0),0)))/100)),1),1)</f>
        <v>0.4</v>
      </c>
      <c r="HQ107" s="87">
        <f t="shared" si="82"/>
        <v>0</v>
      </c>
      <c r="HR107" s="86" t="str">
        <f>IFERROR(IF(VLOOKUP(A107,tbMoveset!A2:B112,2,FALSE)="Sever",Backdoors!AY35/100,IF(VLOOKUP(A107,tbMoveset!A2:B112,2,FALSE)="Blunt",Backdoors!AZ35/100,Backdoors!BA35/100)),"")</f>
        <v/>
      </c>
      <c r="HS107" s="49">
        <f>IFERROR(IF(VLOOKUP(tbMoveset!A107,tbMoveset!A2:H112,8,FALSE)="Other",IF(VLOOKUP(tbMoveset!A107,tbMoveset!A2:I112,9,FALSE)="Fire",Backdoors!BB35,IF(VLOOKUP(tbMoveset!A107,tbMoveset!A2:I112,9,FALSE)="Water",Backdoors!BC35,IF(VLOOKUP(tbMoveset!A107,tbMoveset!A2:I112,9,FALSE)="Thunder",Backdoors!BD35,IF(VLOOKUP(tbMoveset!A107,tbMoveset!A2:I112,9,FALSE)="Ice",Backdoors!BE35,IF(VLOOKUP(tbMoveset!A107,tbMoveset!A2:I112,9,FALSE)="Dragon",Backdoors!BF35,Backdoors!BG35)))))/100,Backdoors!BG35/100),"")</f>
        <v>0</v>
      </c>
      <c r="HT107" s="49">
        <f>IFERROR(IF(VLOOKUP(A107,tbMoveset!A2:J112,10,FALSE)=TRUE,IF((Backdoors!AI12+IF(HR107&gt;=0.45,VLOOKUP(Calculator!E23,tbSkills!DH3:DI6,2,FALSE)+IF(AND(Calculator!B8=TRUE,Backdoors!BI35=TRUE),VLOOKUP(Calculator!E23,tbSkills!DH3:DJ6,3,FALSE),0),0))&gt;=0,1+(Backdoors!AL2*(IF((Backdoors!AI12+IF(HR107&gt;=0.45,VLOOKUP(Calculator!E23,tbSkills!DH3:DI6,2,FALSE)+IF(AND(Calculator!B8=TRUE,Backdoors!BI35=TRUE),VLOOKUP(Calculator!E23,tbSkills!DH3:DJ6,3,FALSE),0),0))&gt;=100,100,(Backdoors!AI12+IF(HR107&gt;=0.45,VLOOKUP(Calculator!E23,tbSkills!DH3:DI6,2,FALSE)+IF(AND(Calculator!B8=TRUE,Backdoors!BI35=TRUE),VLOOKUP(Calculator!E23,tbSkills!DH3:DJ6,3,FALSE),0),0)))/100)),(1-(0.25*((-Backdoors!AI12-IF(HR107&gt;=0.45,VLOOKUP(Calculator!E23,tbSkills!DH3:DI6,2,FALSE)+IF(AND(Calculator!B8=TRUE,Backdoors!BI35=TRUE),VLOOKUP(Calculator!E23,tbSkills!DH3:DJ6,3,FALSE),0),0))/100)))),1),"")</f>
        <v>1</v>
      </c>
      <c r="HU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R107)*HT107)*(VLOOKUP(A107,tbMoveset!A2:C112,3,FALSE)/100)*IF(VLOOKUP(A107,tbMoveset!A2:B112,2,FALSE)="Projectile",Backdoors!N10,Backdoors!N9),0),"")</f>
        <v/>
      </c>
      <c r="HV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R107&gt;=0.45,VLOOKUP(Calculator!E23,tbSkills!DH3:DI6,2,FALSE)+IF(AND(Calculator!B8=TRUE,Backdoors!BI35=TRUE),VLOOKUP(Calculator!E23,tbSkills!DH3:DJ6,3,FALSE),0),0))&gt;=100,100,(Backdoors!AI12+IF(HR107&gt;=0.45,VLOOKUP(Calculator!E23,tbSkills!DH3:DI6,2,FALSE)+IF(AND(Calculator!B8=TRUE,Backdoors!BI35=TRUE),VLOOKUP(Calculator!E23,tbSkills!DH3:DJ6,3,FALSE),0),0)))/100)),1))*IF(VLOOKUP(A107,tbMoveset!A2:K112,11,FALSE)=TRUE,Backdoors!AC5,1))*HS107,0),"")</f>
        <v>0</v>
      </c>
      <c r="HW107" s="49">
        <f>VLOOKUP(A107,tbMoveset!A2:G112,7,FALSE)*IFERROR(IF(Backdoors!AI12&gt;=0,1+(IF(Calculator!E40&gt;0,VLOOKUP(Calculator!E40,tbSkills!AI3:AJ5,2,FALSE),Backdoors!AL4)*(IF((Backdoors!AI12+IF(HR107&gt;=0.45,VLOOKUP(Calculator!E23,tbSkills!DH3:DI6,2,FALSE)+IF(AND(Calculator!B8=TRUE,Backdoors!BI35=TRUE),VLOOKUP(Calculator!E23,tbSkills!DH3:DJ6,3,FALSE),0),0))&gt;=100,100,(Backdoors!AI12+IF(HR107&gt;=0.45,VLOOKUP(Calculator!E23,tbSkills!DH3:DI6,2,FALSE)+IF(AND(Calculator!B8=TRUE,Backdoors!BI35=TRUE),VLOOKUP(Calculator!E23,tbSkills!DH3:DJ6,3,FALSE),0),0)))/100)),1),1)</f>
        <v>0.4</v>
      </c>
      <c r="HX107" s="87">
        <f t="shared" si="83"/>
        <v>0</v>
      </c>
      <c r="HY107" s="86" t="str">
        <f>IFERROR(IF(VLOOKUP(A107,tbMoveset!A2:B112,2,FALSE)="Sever",Backdoors!AY36/100,IF(VLOOKUP(A107,tbMoveset!A2:B112,2,FALSE)="Blunt",Backdoors!AZ36/100,Backdoors!BA36/100)),"")</f>
        <v/>
      </c>
      <c r="HZ107" s="49">
        <f>IFERROR(IF(VLOOKUP(tbMoveset!A107,tbMoveset!A2:H112,8,FALSE)="Other",IF(VLOOKUP(tbMoveset!A107,tbMoveset!A2:I112,9,FALSE)="Fire",Backdoors!BB36,IF(VLOOKUP(tbMoveset!A107,tbMoveset!A2:I112,9,FALSE)="Water",Backdoors!BC36,IF(VLOOKUP(tbMoveset!A107,tbMoveset!A2:I112,9,FALSE)="Thunder",Backdoors!BD36,IF(VLOOKUP(tbMoveset!A107,tbMoveset!A2:I112,9,FALSE)="Ice",Backdoors!BE36,IF(VLOOKUP(tbMoveset!A107,tbMoveset!A2:I112,9,FALSE)="Dragon",Backdoors!BF36,Backdoors!BG36)))))/100,Backdoors!BG36/100),"")</f>
        <v>0</v>
      </c>
      <c r="IA107" s="49">
        <f>IFERROR(IF(VLOOKUP(A107,tbMoveset!A2:J112,10,FALSE)=TRUE,IF((Backdoors!AI12+IF(HY107&gt;=0.45,VLOOKUP(Calculator!E23,tbSkills!DH3:DI6,2,FALSE)+IF(AND(Calculator!B8=TRUE,Backdoors!BI36=TRUE),VLOOKUP(Calculator!E23,tbSkills!DH3:DJ6,3,FALSE),0),0))&gt;=0,1+(Backdoors!AL2*(IF((Backdoors!AI12+IF(HY107&gt;=0.45,VLOOKUP(Calculator!E23,tbSkills!DH3:DI6,2,FALSE)+IF(AND(Calculator!B8=TRUE,Backdoors!BI36=TRUE),VLOOKUP(Calculator!E23,tbSkills!DH3:DJ6,3,FALSE),0),0))&gt;=100,100,(Backdoors!AI12+IF(HY107&gt;=0.45,VLOOKUP(Calculator!E23,tbSkills!DH3:DI6,2,FALSE)+IF(AND(Calculator!B8=TRUE,Backdoors!BI36=TRUE),VLOOKUP(Calculator!E23,tbSkills!DH3:DJ6,3,FALSE),0),0)))/100)),(1-(0.25*((-Backdoors!AI12-IF(HY107&gt;=0.45,VLOOKUP(Calculator!E23,tbSkills!DH3:DI6,2,FALSE)+IF(AND(Calculator!B8=TRUE,Backdoors!BI36=TRUE),VLOOKUP(Calculator!E23,tbSkills!DH3:DJ6,3,FALSE),0),0))/100)))),1),"")</f>
        <v>1</v>
      </c>
      <c r="IB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Y107)*IA107)*(VLOOKUP(A107,tbMoveset!A2:C112,3,FALSE)/100)*IF(VLOOKUP(A107,tbMoveset!A2:B112,2,FALSE)="Projectile",Backdoors!N10,Backdoors!N9),0),"")</f>
        <v/>
      </c>
      <c r="IC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Y107&gt;=0.45,VLOOKUP(Calculator!E23,tbSkills!DH3:DI6,2,FALSE)+IF(AND(Calculator!B8=TRUE,Backdoors!BI36=TRUE),VLOOKUP(Calculator!E23,tbSkills!DH3:DJ6,3,FALSE),0),0))&gt;=100,100,(Backdoors!AI12+IF(HY107&gt;=0.45,VLOOKUP(Calculator!E23,tbSkills!DH3:DI6,2,FALSE)+IF(AND(Calculator!B8=TRUE,Backdoors!BI36=TRUE),VLOOKUP(Calculator!E23,tbSkills!DH3:DJ6,3,FALSE),0),0)))/100)),1))*IF(VLOOKUP(A107,tbMoveset!A2:K112,11,FALSE)=TRUE,Backdoors!AC5,1))*HZ107,0),"")</f>
        <v>0</v>
      </c>
      <c r="ID107" s="49">
        <f>VLOOKUP(A107,tbMoveset!A2:G112,7,FALSE)*IFERROR(IF(Backdoors!AI12&gt;=0,1+(IF(Calculator!E40&gt;0,VLOOKUP(Calculator!E40,tbSkills!AI3:AJ5,2,FALSE),Backdoors!AL4)*(IF((Backdoors!AI12+IF(HY107&gt;=0.45,VLOOKUP(Calculator!E23,tbSkills!DH3:DI6,2,FALSE)+IF(AND(Calculator!B8=TRUE,Backdoors!BI36=TRUE),VLOOKUP(Calculator!E23,tbSkills!DH3:DJ6,3,FALSE),0),0))&gt;=100,100,(Backdoors!AI12+IF(HY107&gt;=0.45,VLOOKUP(Calculator!E23,tbSkills!DH3:DI6,2,FALSE)+IF(AND(Calculator!B8=TRUE,Backdoors!BI36=TRUE),VLOOKUP(Calculator!E23,tbSkills!DH3:DJ6,3,FALSE),0),0)))/100)),1),1)</f>
        <v>0.4</v>
      </c>
      <c r="IE107" s="87">
        <f t="shared" si="84"/>
        <v>0</v>
      </c>
      <c r="IF107" s="86" t="str">
        <f>IFERROR(IF(VLOOKUP(A107,tbMoveset!A2:B112,2,FALSE)="Sever",Backdoors!AY37/100,IF(VLOOKUP(A107,tbMoveset!A2:B112,2,FALSE)="Blunt",Backdoors!AZ37/100,Backdoors!BA37/100)),"")</f>
        <v/>
      </c>
      <c r="IG107" s="49">
        <f>IFERROR(IF(VLOOKUP(tbMoveset!A107,tbMoveset!A2:H112,8,FALSE)="Other",IF(VLOOKUP(tbMoveset!A107,tbMoveset!A2:I112,9,FALSE)="Fire",Backdoors!BB37,IF(VLOOKUP(tbMoveset!A107,tbMoveset!A2:I112,9,FALSE)="Water",Backdoors!BC37,IF(VLOOKUP(tbMoveset!A107,tbMoveset!A2:I112,9,FALSE)="Thunder",Backdoors!BD37,IF(VLOOKUP(tbMoveset!A107,tbMoveset!A2:I112,9,FALSE)="Ice",Backdoors!BE37,IF(VLOOKUP(tbMoveset!A107,tbMoveset!A2:I112,9,FALSE)="Dragon",Backdoors!BF37,Backdoors!BG37)))))/100,Backdoors!BG37/100),"")</f>
        <v>0</v>
      </c>
      <c r="IH107" s="49">
        <f>IFERROR(IF(VLOOKUP(A107,tbMoveset!A2:J112,10,FALSE)=TRUE,IF((Backdoors!AI12+IF(IF107&gt;=0.45,VLOOKUP(Calculator!E23,tbSkills!DH3:DI6,2,FALSE)+IF(AND(Calculator!B8=TRUE,Backdoors!BI37=TRUE),VLOOKUP(Calculator!E23,tbSkills!DH3:DJ6,3,FALSE),0),0))&gt;=0,1+(Backdoors!AL2*(IF((Backdoors!AI12+IF(IF107&gt;=0.45,VLOOKUP(Calculator!E23,tbSkills!DH3:DI6,2,FALSE)+IF(AND(Calculator!B8=TRUE,Backdoors!BI37=TRUE),VLOOKUP(Calculator!E23,tbSkills!DH3:DJ6,3,FALSE),0),0))&gt;=100,100,(Backdoors!AI12+IF(IF107&gt;=0.45,VLOOKUP(Calculator!E23,tbSkills!DH3:DI6,2,FALSE)+IF(AND(Calculator!B8=TRUE,Backdoors!BI37=TRUE),VLOOKUP(Calculator!E23,tbSkills!DH3:DJ6,3,FALSE),0),0)))/100)),(1-(0.25*((-Backdoors!AI12-IF(IF107&gt;=0.45,VLOOKUP(Calculator!E23,tbSkills!DH3:DI6,2,FALSE)+IF(AND(Calculator!B8=TRUE,Backdoors!BI37=TRUE),VLOOKUP(Calculator!E23,tbSkills!DH3:DJ6,3,FALSE),0),0))/100)))),1),"")</f>
        <v>1</v>
      </c>
      <c r="II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F107)*IH107)*(VLOOKUP(A107,tbMoveset!A2:C112,3,FALSE)/100)*IF(VLOOKUP(A107,tbMoveset!A2:B112,2,FALSE)="Projectile",Backdoors!N10,Backdoors!N9),0),"")</f>
        <v/>
      </c>
      <c r="IJ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IF107&gt;=0.45,VLOOKUP(Calculator!E23,tbSkills!DH3:DI6,2,FALSE)+IF(AND(Calculator!B8=TRUE,Backdoors!BI37=TRUE),VLOOKUP(Calculator!E23,tbSkills!DH3:DJ6,3,FALSE),0),0))&gt;=100,100,(Backdoors!AI12+IF(IF107&gt;=0.45,VLOOKUP(Calculator!E23,tbSkills!DH3:DI6,2,FALSE)+IF(AND(Calculator!B8=TRUE,Backdoors!BI37=TRUE),VLOOKUP(Calculator!E23,tbSkills!DH3:DJ6,3,FALSE),0),0)))/100)),1))*IF(VLOOKUP(A107,tbMoveset!A2:K112,11,FALSE)=TRUE,Backdoors!AC5,1))*IG107,0),"")</f>
        <v>0</v>
      </c>
      <c r="IK107" s="49">
        <f>VLOOKUP(A107,tbMoveset!A2:G112,7,FALSE)*IFERROR(IF(Backdoors!AI12&gt;=0,1+(IF(Calculator!E40&gt;0,VLOOKUP(Calculator!E40,tbSkills!AI3:AJ5,2,FALSE),Backdoors!AL4)*(IF((Backdoors!AI12+IF(IF107&gt;=0.45,VLOOKUP(Calculator!E23,tbSkills!DH3:DI6,2,FALSE)+IF(AND(Calculator!B8=TRUE,Backdoors!BI37=TRUE),VLOOKUP(Calculator!E23,tbSkills!DH3:DJ6,3,FALSE),0),0))&gt;=100,100,(Backdoors!AI12+IF(IF107&gt;=0.45,VLOOKUP(Calculator!E23,tbSkills!DH3:DI6,2,FALSE)+IF(AND(Calculator!B8=TRUE,Backdoors!BI37=TRUE),VLOOKUP(Calculator!E23,tbSkills!DH3:DJ6,3,FALSE),0),0)))/100)),1),1)</f>
        <v>0.4</v>
      </c>
      <c r="IL107" s="87">
        <f t="shared" si="85"/>
        <v>0</v>
      </c>
      <c r="IM107" s="86" t="str">
        <f>IFERROR(IF(VLOOKUP(A107,tbMoveset!A2:B112,2,FALSE)="Sever",Backdoors!AY38/100,IF(VLOOKUP(A107,tbMoveset!A2:B112,2,FALSE)="Blunt",Backdoors!AZ38/100,Backdoors!BA38/100)),"")</f>
        <v/>
      </c>
      <c r="IN107" s="49">
        <f>IFERROR(IF(VLOOKUP(tbMoveset!A107,tbMoveset!A2:H112,8,FALSE)="Other",IF(VLOOKUP(tbMoveset!A107,tbMoveset!A2:I112,9,FALSE)="Fire",Backdoors!BB38,IF(VLOOKUP(tbMoveset!A107,tbMoveset!A2:I112,9,FALSE)="Water",Backdoors!BC38,IF(VLOOKUP(tbMoveset!A107,tbMoveset!A2:I112,9,FALSE)="Thunder",Backdoors!BD38,IF(VLOOKUP(tbMoveset!A107,tbMoveset!A2:I112,9,FALSE)="Ice",Backdoors!BE38,IF(VLOOKUP(tbMoveset!A107,tbMoveset!A2:I112,9,FALSE)="Dragon",Backdoors!BF38,Backdoors!BG38)))))/100,Backdoors!BG38/100),"")</f>
        <v>0</v>
      </c>
      <c r="IO107" s="49">
        <f>IFERROR(IF(VLOOKUP(A107,tbMoveset!A2:J112,10,FALSE)=TRUE,IF((Backdoors!AI12+IF(IM107&gt;=0.45,VLOOKUP(Calculator!E23,tbSkills!DH3:DI6,2,FALSE)+IF(AND(Calculator!B8=TRUE,Backdoors!BI38=TRUE),VLOOKUP(Calculator!E23,tbSkills!DH3:DJ6,3,FALSE),0),0))&gt;=0,1+(Backdoors!AL2*(IF((Backdoors!AI12+IF(IM107&gt;=0.45,VLOOKUP(Calculator!E23,tbSkills!DH3:DI6,2,FALSE)+IF(AND(Calculator!B8=TRUE,Backdoors!BI38=TRUE),VLOOKUP(Calculator!E23,tbSkills!DH3:DJ6,3,FALSE),0),0))&gt;=100,100,(Backdoors!AI12+IF(IM107&gt;=0.45,VLOOKUP(Calculator!E23,tbSkills!DH3:DI6,2,FALSE)+IF(AND(Calculator!B8=TRUE,Backdoors!BI38=TRUE),VLOOKUP(Calculator!E23,tbSkills!DH3:DJ6,3,FALSE),0),0)))/100)),(1-(0.25*((-Backdoors!AI12-IF(IM107&gt;=0.45,VLOOKUP(Calculator!E23,tbSkills!DH3:DI6,2,FALSE)+IF(AND(Calculator!B8=TRUE,Backdoors!BI38=TRUE),VLOOKUP(Calculator!E23,tbSkills!DH3:DJ6,3,FALSE),0),0))/100)))),1),"")</f>
        <v>1</v>
      </c>
      <c r="IP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M107)*IO107)*(VLOOKUP(A107,tbMoveset!A2:C112,3,FALSE)/100)*IF(VLOOKUP(A107,tbMoveset!A2:B112,2,FALSE)="Projectile",Backdoors!N10,Backdoors!N9),0),"")</f>
        <v/>
      </c>
      <c r="IQ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IM107&gt;=0.45,VLOOKUP(Calculator!E23,tbSkills!DH3:DI6,2,FALSE)+IF(AND(Calculator!B8=TRUE,Backdoors!BI38=TRUE),VLOOKUP(Calculator!E23,tbSkills!DH3:DJ6,3,FALSE),0),0))&gt;=100,100,(Backdoors!AI12+IF(IM107&gt;=0.45,VLOOKUP(Calculator!E23,tbSkills!DH3:DI6,2,FALSE)+IF(AND(Calculator!B8=TRUE,Backdoors!BI38=TRUE),VLOOKUP(Calculator!E23,tbSkills!DH3:DJ6,3,FALSE),0),0)))/100)),1))*IF(VLOOKUP(A107,tbMoveset!A2:K112,11,FALSE)=TRUE,Backdoors!AC5,1))*IN107,0),"")</f>
        <v>0</v>
      </c>
      <c r="IR107" s="49">
        <f>VLOOKUP(A107,tbMoveset!A2:G112,7,FALSE)*IFERROR(IF(Backdoors!AI12&gt;=0,1+(IF(Calculator!E40&gt;0,VLOOKUP(Calculator!E40,tbSkills!AI3:AJ5,2,FALSE),Backdoors!AL4)*(IF((Backdoors!AI12+IF(IM107&gt;=0.45,VLOOKUP(Calculator!E23,tbSkills!DH3:DI6,2,FALSE)+IF(AND(Calculator!B8=TRUE,Backdoors!BI38=TRUE),VLOOKUP(Calculator!E23,tbSkills!DH3:DJ6,3,FALSE),0),0))&gt;=100,100,(Backdoors!AI12+IF(IM107&gt;=0.45,VLOOKUP(Calculator!E23,tbSkills!DH3:DI6,2,FALSE)+IF(AND(Calculator!B8=TRUE,Backdoors!BI38=TRUE),VLOOKUP(Calculator!E23,tbSkills!DH3:DJ6,3,FALSE),0),0)))/100)),1),1)</f>
        <v>0.4</v>
      </c>
      <c r="IS107" s="87">
        <f t="shared" si="86"/>
        <v>0</v>
      </c>
      <c r="IT107" s="86" t="str">
        <f>IFERROR(IF(VLOOKUP(A107,tbMoveset!A2:B112,2,FALSE)="Sever",Backdoors!AY39/100,IF(VLOOKUP(A107,tbMoveset!A2:B112,2,FALSE)="Blunt",Backdoors!AZ39/100,Backdoors!BA39/100)),"")</f>
        <v/>
      </c>
      <c r="IU107" s="49">
        <f>IFERROR(IF(VLOOKUP(tbMoveset!A107,tbMoveset!A2:H112,8,FALSE)="Other",IF(VLOOKUP(tbMoveset!A107,tbMoveset!A2:I112,9,FALSE)="Fire",Backdoors!BB39,IF(VLOOKUP(tbMoveset!A107,tbMoveset!A2:I112,9,FALSE)="Water",Backdoors!BC39,IF(VLOOKUP(tbMoveset!A107,tbMoveset!A2:I112,9,FALSE)="Thunder",Backdoors!BD39,IF(VLOOKUP(tbMoveset!A107,tbMoveset!A2:I112,9,FALSE)="Ice",Backdoors!BE39,IF(VLOOKUP(tbMoveset!A107,tbMoveset!A2:I112,9,FALSE)="Dragon",Backdoors!BF39,Backdoors!BG39)))))/100,Backdoors!BG39/100),"")</f>
        <v>0</v>
      </c>
      <c r="IV107" s="49">
        <f>IFERROR(IF(VLOOKUP(A107,tbMoveset!A2:J112,10,FALSE)=TRUE,IF((Backdoors!AI12+IF(IT107&gt;=0.45,VLOOKUP(Calculator!E23,tbSkills!DH3:DI6,2,FALSE)+IF(AND(Calculator!B8=TRUE,Backdoors!BI39=TRUE),VLOOKUP(Calculator!E23,tbSkills!DH3:DJ6,3,FALSE),0),0))&gt;=0,1+(Backdoors!AL2*(IF((Backdoors!AI12+IF(IT107&gt;=0.45,VLOOKUP(Calculator!E23,tbSkills!DH3:DI6,2,FALSE)+IF(AND(Calculator!B8=TRUE,Backdoors!BI39=TRUE),VLOOKUP(Calculator!E23,tbSkills!DH3:DJ6,3,FALSE),0),0))&gt;=100,100,(Backdoors!AI12+IF(IT107&gt;=0.45,VLOOKUP(Calculator!E23,tbSkills!DH3:DI6,2,FALSE)+IF(AND(Calculator!B8=TRUE,Backdoors!BI39=TRUE),VLOOKUP(Calculator!E23,tbSkills!DH3:DJ6,3,FALSE),0),0)))/100)),(1-(0.25*((-Backdoors!AI12-IF(IT107&gt;=0.45,VLOOKUP(Calculator!E23,tbSkills!DH3:DI6,2,FALSE)+IF(AND(Calculator!B8=TRUE,Backdoors!BI39=TRUE),VLOOKUP(Calculator!E23,tbSkills!DH3:DJ6,3,FALSE),0),0))/100)))),1),"")</f>
        <v>1</v>
      </c>
      <c r="IW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T107)*IV107)*(VLOOKUP(A107,tbMoveset!A2:C112,3,FALSE)/100)*IF(VLOOKUP(A107,tbMoveset!A2:B112,2,FALSE)="Projectile",Backdoors!N10,Backdoors!N9),0),"")</f>
        <v/>
      </c>
      <c r="IX107" s="49">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40&gt;0,VLOOKUP(Calculator!E40,tbSkills!AC3:AD5,2,FALSE),Backdoors!AL3)*(IF((Backdoors!AI12+IF(IT107&gt;=0.45,VLOOKUP(Calculator!E23,tbSkills!DH3:DI6,2,FALSE)+IF(AND(Calculator!B8=TRUE,Backdoors!BI39=TRUE),VLOOKUP(Calculator!E23,tbSkills!DH3:DJ6,3,FALSE),0),0))&gt;=100,100,(Backdoors!AI12+IF(IT107&gt;=0.45,VLOOKUP(Calculator!E23,tbSkills!DH3:DI6,2,FALSE)+IF(AND(Calculator!B8=TRUE,Backdoors!BI39=TRUE),VLOOKUP(Calculator!E23,tbSkills!DH3:DJ6,3,FALSE),0),0)))/100)),1))*IF(VLOOKUP(A107,tbMoveset!A2:K112,11,FALSE)=TRUE,Backdoors!AC5,1))*IU107,0),"")</f>
        <v>0</v>
      </c>
      <c r="IY107" s="49">
        <f>VLOOKUP(A107,tbMoveset!A2:G112,7,FALSE)*IFERROR(IF(Backdoors!AI12&gt;=0,1+(IF(Calculator!E40&gt;0,VLOOKUP(Calculator!E40,tbSkills!AI3:AJ5,2,FALSE),Backdoors!AL4)*(IF((Backdoors!AI12+IF(IT107&gt;=0.45,VLOOKUP(Calculator!E23,tbSkills!DH3:DI6,2,FALSE)+IF(AND(Calculator!B8=TRUE,Backdoors!BI39=TRUE),VLOOKUP(Calculator!E23,tbSkills!DH3:DJ6,3,FALSE),0),0))&gt;=100,100,(Backdoors!AI12+IF(IT107&gt;=0.45,VLOOKUP(Calculator!E23,tbSkills!DH3:DI6,2,FALSE)+IF(AND(Calculator!B8=TRUE,Backdoors!BI39=TRUE),VLOOKUP(Calculator!E23,tbSkills!DH3:DJ6,3,FALSE),0),0)))/100)),1),1)</f>
        <v>0.4</v>
      </c>
      <c r="IZ107" s="87">
        <f t="shared" si="87"/>
        <v>0</v>
      </c>
      <c r="JA107" s="86" t="str">
        <f>IFERROR(IF(VLOOKUP(A107,tbMoveset!A2:B112,2,FALSE)="Sever",Backdoors!AY40/100,IF(VLOOKUP(A107,tbMoveset!A2:B112,2,FALSE)="Blunt",Backdoors!AZ40/100,Backdoors!BA40/100)),"")</f>
        <v/>
      </c>
      <c r="JB107" s="49">
        <f>IFERROR(IF(VLOOKUP(tbMoveset!A107,tbMoveset!A2:H112,8,FALSE)="Other",IF(VLOOKUP(tbMoveset!A107,tbMoveset!A2:I112,9,FALSE)="Fire",Backdoors!BB40,IF(VLOOKUP(tbMoveset!A107,tbMoveset!A2:I112,9,FALSE)="Water",Backdoors!BC40,IF(VLOOKUP(tbMoveset!A107,tbMoveset!A2:I112,9,FALSE)="Thunder",Backdoors!BD40,IF(VLOOKUP(tbMoveset!A107,tbMoveset!A2:I112,9,FALSE)="Ice",Backdoors!BE40,IF(VLOOKUP(tbMoveset!A107,tbMoveset!A2:I112,9,FALSE)="Dragon",Backdoors!BF40,Backdoors!BG40)))))/100,Backdoors!BG40/100),"")</f>
        <v>0</v>
      </c>
      <c r="JC107" s="49">
        <f>IFERROR(IF(VLOOKUP(A107,tbMoveset!A2:J112,10,FALSE)=TRUE,IF((Backdoors!AI12+IF(JA107&gt;=0.45,VLOOKUP(Calculator!E23,tbSkills!DH3:DI6,2,FALSE)+IF(AND(Calculator!B8=TRUE,Backdoors!BI40=TRUE),VLOOKUP(Calculator!E23,tbSkills!DH3:DJ6,3,FALSE),0),0))&gt;=0,1+(Backdoors!AL2*(IF((Backdoors!AI12+IF(JA107&gt;=0.45,VLOOKUP(Calculator!E23,tbSkills!DH3:DI6,2,FALSE)+IF(AND(Calculator!B8=TRUE,Backdoors!BI40=TRUE),VLOOKUP(Calculator!E23,tbSkills!DH3:DJ6,3,FALSE),0),0))&gt;=100,100,(Backdoors!AI12+IF(JA107&gt;=0.45,VLOOKUP(Calculator!E23,tbSkills!DH3:DI6,2,FALSE)+IF(AND(Calculator!B8=TRUE,Backdoors!BI40=TRUE),VLOOKUP(Calculator!E23,tbSkills!DH3:DJ6,3,FALSE),0),0)))/100)),(1-(0.25*((-Backdoors!AI12-IF(JA107&gt;=0.45,VLOOKUP(Calculator!E23,tbSkills!DH3:DI6,2,FALSE)+IF(AND(Calculator!B8=TRUE,Backdoors!BI40=TRUE),VLOOKUP(Calculator!E23,tbSkills!DH3:DJ6,3,FALSE),0),0))/100)))),1),"")</f>
        <v>1</v>
      </c>
      <c r="JD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A107)*JC107)*(VLOOKUP(A107,tbMoveset!A2:C112,3,FALSE)/100)*IF(VLOOKUP(A107,tbMoveset!A2:B112,2,FALSE)="Projectile",Backdoors!N10,Backdoors!N9),0),"")</f>
        <v/>
      </c>
      <c r="JE107" s="49">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42&gt;0,VLOOKUP(Calculator!E42,tbSkills!AC3:AD5,2,FALSE),Backdoors!AL3)*(IF((Backdoors!AI12+IF(JA107&gt;=0.45,VLOOKUP(Calculator!E23,tbSkills!DH3:DI6,2,FALSE)+IF(AND(Calculator!B8=TRUE,Backdoors!BI40=TRUE),VLOOKUP(Calculator!E23,tbSkills!DH3:DJ6,3,FALSE),0),0))&gt;=100,100,(Backdoors!AI12+IF(JA107&gt;=0.45,VLOOKUP(Calculator!E23,tbSkills!DH3:DI6,2,FALSE)+IF(AND(Calculator!B8=TRUE,Backdoors!BI40=TRUE),VLOOKUP(Calculator!E23,tbSkills!DH3:DJ6,3,FALSE),0),0)))/100)),1))*IF(VLOOKUP(A107,tbMoveset!A2:K112,11,FALSE)=TRUE,Backdoors!AC5,1))*JB107,0),"")</f>
        <v>0</v>
      </c>
      <c r="JF107" s="49">
        <f>VLOOKUP(A107,tbMoveset!A2:G112,7,FALSE)*IFERROR(IF(Backdoors!AI12&gt;=0,1+(IF(Calculator!E40&gt;0,VLOOKUP(Calculator!E40,tbSkills!AI3:AJ5,2,FALSE),Backdoors!AL4)*(IF((Backdoors!AI12+IF(JA107&gt;=0.45,VLOOKUP(Calculator!E23,tbSkills!DH3:DI6,2,FALSE)+IF(AND(Calculator!B8=TRUE,Backdoors!BI40=TRUE),VLOOKUP(Calculator!E23,tbSkills!DH3:DJ6,3,FALSE),0),0))&gt;=100,100,(Backdoors!AI12+IF(JA107&gt;=0.45,VLOOKUP(Calculator!E23,tbSkills!DH3:DI6,2,FALSE)+IF(AND(Calculator!B8=TRUE,Backdoors!BI40=TRUE),VLOOKUP(Calculator!E23,tbSkills!DH3:DJ6,3,FALSE),0),0)))/100)),1),1)</f>
        <v>0.4</v>
      </c>
      <c r="JG107" s="87">
        <f t="shared" si="88"/>
        <v>0</v>
      </c>
      <c r="JH107" s="86" t="str">
        <f>IFERROR(IF(VLOOKUP(A107,tbMoveset!A2:B112,2,FALSE)="Sever",Backdoors!AY41/100,IF(VLOOKUP(A107,tbMoveset!A2:B112,2,FALSE)="Blunt",Backdoors!AZ41/100,Backdoors!BA41/100)),"")</f>
        <v/>
      </c>
      <c r="JI107" s="49">
        <f>IFERROR(IF(VLOOKUP(tbMoveset!A107,tbMoveset!A2:H112,8,FALSE)="Other",IF(VLOOKUP(tbMoveset!A107,tbMoveset!A2:I112,9,FALSE)="Fire",Backdoors!BB41,IF(VLOOKUP(tbMoveset!A107,tbMoveset!A2:I112,9,FALSE)="Water",Backdoors!BC41,IF(VLOOKUP(tbMoveset!A107,tbMoveset!A2:I112,9,FALSE)="Thunder",Backdoors!BD41,IF(VLOOKUP(tbMoveset!A107,tbMoveset!A2:I112,9,FALSE)="Ice",Backdoors!BE41,IF(VLOOKUP(tbMoveset!A107,tbMoveset!A2:I112,9,FALSE)="Dragon",Backdoors!BF41,Backdoors!BG41)))))/100,Backdoors!BG41/100),"")</f>
        <v>0</v>
      </c>
      <c r="JJ107" s="49">
        <f>IFERROR(IF(VLOOKUP(A107,tbMoveset!A2:J112,10,FALSE)=TRUE,IF((Backdoors!AI12+IF(JH107&gt;=0.45,VLOOKUP(Calculator!E23,tbSkills!DH3:DI6,2,FALSE)+IF(AND(Calculator!B8=TRUE,Backdoors!BI41=TRUE),VLOOKUP(Calculator!E23,tbSkills!DH3:DJ6,3,FALSE),0),0))&gt;=0,1+(Backdoors!AL2*(IF((Backdoors!AI12+IF(JH107&gt;=0.45,VLOOKUP(Calculator!E23,tbSkills!DH3:DI6,2,FALSE)+IF(AND(Calculator!B8=TRUE,Backdoors!BI41=TRUE),VLOOKUP(Calculator!E23,tbSkills!DH3:DJ6,3,FALSE),0),0))&gt;=100,100,(Backdoors!AI12+IF(JH107&gt;=0.45,VLOOKUP(Calculator!E23,tbSkills!DH3:DI6,2,FALSE)+IF(AND(Calculator!B8=TRUE,Backdoors!BI41=TRUE),VLOOKUP(Calculator!E23,tbSkills!DH3:DJ6,3,FALSE),0),0)))/100)),(1-(0.25*((-Backdoors!AI12-IF(JH107&gt;=0.45,VLOOKUP(Calculator!E23,tbSkills!DH3:DI6,2,FALSE)+IF(AND(Calculator!B8=TRUE,Backdoors!BI41=TRUE),VLOOKUP(Calculator!E23,tbSkills!DH3:DJ6,3,FALSE),0),0))/100)))),1),"")</f>
        <v>1</v>
      </c>
      <c r="JK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H107)*JJ107)*(VLOOKUP(A107,tbMoveset!A2:C112,3,FALSE)/100)*IF(VLOOKUP(A107,tbMoveset!A2:B112,2,FALSE)="Projectile",Backdoors!N10,Backdoors!N9),0),"")</f>
        <v/>
      </c>
      <c r="JL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43&gt;0,VLOOKUP(Calculator!E43,tbSkills!AC3:AD5,2,FALSE),Backdoors!AL3)*(IF((Backdoors!AI12+IF(JH107&gt;=0.45,VLOOKUP(Calculator!E23,tbSkills!DH3:DI6,2,FALSE)+IF(AND(Calculator!B8=TRUE,Backdoors!BI41=TRUE),VLOOKUP(Calculator!E23,tbSkills!DH3:DJ6,3,FALSE),0),0))&gt;=100,100,(Backdoors!AI12+IF(JH107&gt;=0.45,VLOOKUP(Calculator!E23,tbSkills!DH3:DI6,2,FALSE)+IF(AND(Calculator!B8=TRUE,Backdoors!BI41=TRUE),VLOOKUP(Calculator!E23,tbSkills!DH3:DJ6,3,FALSE),0),0)))/100)),1))*IF(VLOOKUP(A107,tbMoveset!A2:K112,11,FALSE)=TRUE,Backdoors!AC5,1))*JI107,0),"")</f>
        <v/>
      </c>
      <c r="JM107" s="49">
        <f>VLOOKUP(A107,tbMoveset!A2:G112,7,FALSE)*IFERROR(IF(Backdoors!AI12&gt;=0,1+(IF(Calculator!E40&gt;0,VLOOKUP(Calculator!E40,tbSkills!AI3:AJ5,2,FALSE),Backdoors!AL4)*(IF((Backdoors!AI12+IF(JH107&gt;=0.45,VLOOKUP(Calculator!E23,tbSkills!DH3:DI6,2,FALSE)+IF(AND(Calculator!B8=TRUE,Backdoors!BI41=TRUE),VLOOKUP(Calculator!E23,tbSkills!DH3:DJ6,3,FALSE),0),0))&gt;=100,100,(Backdoors!AI12+IF(JH107&gt;=0.45,VLOOKUP(Calculator!E23,tbSkills!DH3:DI6,2,FALSE)+IF(AND(Calculator!B8=TRUE,Backdoors!BI41=TRUE),VLOOKUP(Calculator!E23,tbSkills!DH3:DJ6,3,FALSE),0),0)))/100)),1),1)</f>
        <v>0.4</v>
      </c>
      <c r="JN107" s="87">
        <f t="shared" si="89"/>
        <v>0</v>
      </c>
      <c r="JO107" s="86" t="str">
        <f>IFERROR(IF(VLOOKUP(A107,tbMoveset!A2:B112,2,FALSE)="Sever",Backdoors!AY42/100,IF(VLOOKUP(A107,tbMoveset!A2:B112,2,FALSE)="Blunt",Backdoors!AZ42/100,Backdoors!BA42/100)),"")</f>
        <v/>
      </c>
      <c r="JP107" s="49">
        <f>IFERROR(IF(VLOOKUP(tbMoveset!A107,tbMoveset!A2:H112,8,FALSE)="Other",IF(VLOOKUP(tbMoveset!A107,tbMoveset!A2:I112,9,FALSE)="Fire",Backdoors!BB42,IF(VLOOKUP(tbMoveset!A107,tbMoveset!A2:I112,9,FALSE)="Water",Backdoors!BC42,IF(VLOOKUP(tbMoveset!A107,tbMoveset!A2:I112,9,FALSE)="Thunder",Backdoors!BD42,IF(VLOOKUP(tbMoveset!A107,tbMoveset!A2:I112,9,FALSE)="Ice",Backdoors!BE42,IF(VLOOKUP(tbMoveset!A107,tbMoveset!A2:I112,9,FALSE)="Dragon",Backdoors!BF42,Backdoors!BG42)))))/100,Backdoors!BG42/100),"")</f>
        <v>0</v>
      </c>
      <c r="JQ107" s="49">
        <f>IFERROR(IF(VLOOKUP(A107,tbMoveset!A2:J112,10,FALSE)=TRUE,IF((Backdoors!AI12+IF(JO107&gt;=0.45,VLOOKUP(Calculator!E23,tbSkills!DH3:DI6,2,FALSE)+IF(AND(Calculator!B8=TRUE,Backdoors!BI42=TRUE),VLOOKUP(Calculator!E23,tbSkills!DH3:DJ6,3,FALSE),0),0))&gt;=0,1+(Backdoors!AL2*(IF((Backdoors!AI12+IF(JO107&gt;=0.45,VLOOKUP(Calculator!E23,tbSkills!DH3:DI6,2,FALSE)+IF(AND(Calculator!B8=TRUE,Backdoors!BI42=TRUE),VLOOKUP(Calculator!E23,tbSkills!DH3:DJ6,3,FALSE),0),0))&gt;=100,100,(Backdoors!AI12+IF(JO107&gt;=0.45,VLOOKUP(Calculator!E23,tbSkills!DH3:DI6,2,FALSE)+IF(AND(Calculator!B8=TRUE,Backdoors!BI42=TRUE),VLOOKUP(Calculator!E23,tbSkills!DH3:DJ6,3,FALSE),0),0)))/100)),(1-(0.25*((-Backdoors!AI12-IF(JO107&gt;=0.45,VLOOKUP(Calculator!E23,tbSkills!DH3:DI6,2,FALSE)+IF(AND(Calculator!B8=TRUE,Backdoors!BI42=TRUE),VLOOKUP(Calculator!E23,tbSkills!DH3:DJ6,3,FALSE),0),0))/100)))),1),"")</f>
        <v>1</v>
      </c>
      <c r="JR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O107)*JQ107)*(VLOOKUP(A107,tbMoveset!A2:C112,3,FALSE)/100)*IF(VLOOKUP(A107,tbMoveset!A2:B112,2,FALSE)="Projectile",Backdoors!N10,Backdoors!N9),0),"")</f>
        <v/>
      </c>
      <c r="JS107" s="49">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45&gt;0,VLOOKUP(Calculator!E45,tbSkills!AC3:AD5,2,FALSE),Backdoors!AL3)*(IF((Backdoors!AI12+IF(JO107&gt;=0.45,VLOOKUP(Calculator!E23,tbSkills!DH3:DI6,2,FALSE)+IF(AND(Calculator!B8=TRUE,Backdoors!BI42=TRUE),VLOOKUP(Calculator!E23,tbSkills!DH3:DJ6,3,FALSE),0),0))&gt;=100,100,(Backdoors!AI12+IF(JO107&gt;=0.45,VLOOKUP(Calculator!E23,tbSkills!DH3:DI6,2,FALSE)+IF(AND(Calculator!B8=TRUE,Backdoors!BI42=TRUE),VLOOKUP(Calculator!E23,tbSkills!DH3:DJ6,3,FALSE),0),0)))/100)),1))*IF(VLOOKUP(A107,tbMoveset!A2:K112,11,FALSE)=TRUE,Backdoors!AC5,1))*JP107,0),"")</f>
        <v>0</v>
      </c>
      <c r="JT107" s="49">
        <f>VLOOKUP(A107,tbMoveset!A2:G112,7,FALSE)*IFERROR(IF(Backdoors!AI12&gt;=0,1+(IF(Calculator!E40&gt;0,VLOOKUP(Calculator!E40,tbSkills!AI3:AJ5,2,FALSE),Backdoors!AL4)*(IF((Backdoors!AI12+IF(JO107&gt;=0.45,VLOOKUP(Calculator!E23,tbSkills!DH3:DI6,2,FALSE)+IF(AND(Calculator!B8=TRUE,Backdoors!BI42=TRUE),VLOOKUP(Calculator!E23,tbSkills!DH3:DJ6,3,FALSE),0),0))&gt;=100,100,(Backdoors!AI12+IF(JO107&gt;=0.45,VLOOKUP(Calculator!E23,tbSkills!DH3:DI6,2,FALSE)+IF(AND(Calculator!B8=TRUE,Backdoors!BI42=TRUE),VLOOKUP(Calculator!E23,tbSkills!DH3:DJ6,3,FALSE),0),0)))/100)),1),1)</f>
        <v>0.4</v>
      </c>
      <c r="JU107" s="87">
        <f t="shared" si="90"/>
        <v>0</v>
      </c>
      <c r="JV107" s="86" t="str">
        <f>IFERROR(IF(VLOOKUP(A107,tbMoveset!A2:B112,2,FALSE)="Sever",Backdoors!AY43/100,IF(VLOOKUP(A107,tbMoveset!A2:B112,2,FALSE)="Blunt",Backdoors!AZ43/100,Backdoors!BA43/100)),"")</f>
        <v/>
      </c>
      <c r="JW107" s="49">
        <f>IFERROR(IF(VLOOKUP(tbMoveset!A107,tbMoveset!A2:H112,8,FALSE)="Other",IF(VLOOKUP(tbMoveset!A107,tbMoveset!A2:I112,9,FALSE)="Fire",Backdoors!BB43,IF(VLOOKUP(tbMoveset!A107,tbMoveset!A2:I112,9,FALSE)="Water",Backdoors!BC43,IF(VLOOKUP(tbMoveset!A107,tbMoveset!A2:I112,9,FALSE)="Thunder",Backdoors!BD43,IF(VLOOKUP(tbMoveset!A107,tbMoveset!A2:I112,9,FALSE)="Ice",Backdoors!BE43,IF(VLOOKUP(tbMoveset!A107,tbMoveset!A2:I112,9,FALSE)="Dragon",Backdoors!BF43,Backdoors!BG43)))))/100,Backdoors!BG43/100),"")</f>
        <v>0</v>
      </c>
      <c r="JX107" s="49">
        <f>IFERROR(IF(VLOOKUP(A107,tbMoveset!A2:J112,10,FALSE)=TRUE,IF((Backdoors!AI12+IF(JV107&gt;=0.45,VLOOKUP(Calculator!E23,tbSkills!DH3:DI6,2,FALSE)+IF(AND(Calculator!B8=TRUE,Backdoors!BI43=TRUE),VLOOKUP(Calculator!E23,tbSkills!DH3:DJ6,3,FALSE),0),0))&gt;=0,1+(Backdoors!AL2*(IF((Backdoors!AI12+IF(JV107&gt;=0.45,VLOOKUP(Calculator!E23,tbSkills!DH3:DI6,2,FALSE)+IF(AND(Calculator!B8=TRUE,Backdoors!BI43=TRUE),VLOOKUP(Calculator!E23,tbSkills!DH3:DJ6,3,FALSE),0),0))&gt;=100,100,(Backdoors!AI12+IF(JV107&gt;=0.45,VLOOKUP(Calculator!E23,tbSkills!DH3:DI6,2,FALSE)+IF(AND(Calculator!B8=TRUE,Backdoors!BI43=TRUE),VLOOKUP(Calculator!E23,tbSkills!DH3:DJ6,3,FALSE),0),0)))/100)),(1-(0.25*((-Backdoors!AI12-IF(JV107&gt;=0.45,VLOOKUP(Calculator!E23,tbSkills!DH3:DI6,2,FALSE)+IF(AND(Calculator!B8=TRUE,Backdoors!BI43=TRUE),VLOOKUP(Calculator!E23,tbSkills!DH3:DJ6,3,FALSE),0),0))/100)))),1),"")</f>
        <v>1</v>
      </c>
      <c r="JY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V107)*JX107)*(VLOOKUP(A107,tbMoveset!A2:C112,3,FALSE)/100)*IF(VLOOKUP(A107,tbMoveset!A2:B112,2,FALSE)="Projectile",Backdoors!N10,Backdoors!N9),0),"")</f>
        <v/>
      </c>
      <c r="JZ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46&gt;0,VLOOKUP(Calculator!E46,tbSkills!AC3:AD5,2,FALSE),Backdoors!AL3)*(IF((Backdoors!AI12+IF(JV107&gt;=0.45,VLOOKUP(Calculator!E23,tbSkills!DH3:DI6,2,FALSE)+IF(AND(Calculator!B8=TRUE,Backdoors!BI43=TRUE),VLOOKUP(Calculator!E23,tbSkills!DH3:DJ6,3,FALSE),0),0))&gt;=100,100,(Backdoors!AI12+IF(JV107&gt;=0.45,VLOOKUP(Calculator!E23,tbSkills!DH3:DI6,2,FALSE)+IF(AND(Calculator!B8=TRUE,Backdoors!BI43=TRUE),VLOOKUP(Calculator!E23,tbSkills!DH3:DJ6,3,FALSE),0),0)))/100)),1))*IF(VLOOKUP(A107,tbMoveset!A2:K112,11,FALSE)=TRUE,Backdoors!AC5,1))*JW107,0),"")</f>
        <v/>
      </c>
      <c r="KA107" s="49">
        <f>VLOOKUP(A107,tbMoveset!A2:G112,7,FALSE)*IFERROR(IF(Backdoors!AI12&gt;=0,1+(IF(Calculator!E40&gt;0,VLOOKUP(Calculator!E40,tbSkills!AI3:AJ5,2,FALSE),Backdoors!AL4)*(IF((Backdoors!AI12+IF(JV107&gt;=0.45,VLOOKUP(Calculator!E23,tbSkills!DH3:DI6,2,FALSE)+IF(AND(Calculator!B8=TRUE,Backdoors!BI43=TRUE),VLOOKUP(Calculator!E23,tbSkills!DH3:DJ6,3,FALSE),0),0))&gt;=100,100,(Backdoors!AI12+IF(JV107&gt;=0.45,VLOOKUP(Calculator!E23,tbSkills!DH3:DI6,2,FALSE)+IF(AND(Calculator!B8=TRUE,Backdoors!BI43=TRUE),VLOOKUP(Calculator!E23,tbSkills!DH3:DJ6,3,FALSE),0),0)))/100)),1),1)</f>
        <v>0.4</v>
      </c>
      <c r="KB107" s="87">
        <f t="shared" si="91"/>
        <v>0</v>
      </c>
      <c r="KC107" s="86" t="str">
        <f>IFERROR(IF(VLOOKUP(A107,tbMoveset!A2:B112,2,FALSE)="Sever",Backdoors!AY44/100,IF(VLOOKUP(A107,tbMoveset!A2:B112,2,FALSE)="Blunt",Backdoors!AZ44/100,Backdoors!BA44/100)),"")</f>
        <v/>
      </c>
      <c r="KD107" s="49">
        <f>IFERROR(IF(VLOOKUP(tbMoveset!A107,tbMoveset!A2:H112,8,FALSE)="Other",IF(VLOOKUP(tbMoveset!A107,tbMoveset!A2:I112,9,FALSE)="Fire",Backdoors!BB44,IF(VLOOKUP(tbMoveset!A107,tbMoveset!A2:I112,9,FALSE)="Water",Backdoors!BC44,IF(VLOOKUP(tbMoveset!A107,tbMoveset!A2:I112,9,FALSE)="Thunder",Backdoors!BD44,IF(VLOOKUP(tbMoveset!A107,tbMoveset!A2:I112,9,FALSE)="Ice",Backdoors!BE44,IF(VLOOKUP(tbMoveset!A107,tbMoveset!A2:I112,9,FALSE)="Dragon",Backdoors!BF44,Backdoors!BG44)))))/100,Backdoors!BG44/100),"")</f>
        <v>0</v>
      </c>
      <c r="KE107" s="49">
        <f>IFERROR(IF(VLOOKUP(A107,tbMoveset!A2:J112,10,FALSE)=TRUE,IF((Backdoors!AI12+IF(KC107&gt;=0.45,VLOOKUP(Calculator!E23,tbSkills!DH3:DI6,2,FALSE)+IF(AND(Calculator!B8=TRUE,Backdoors!BI44=TRUE),VLOOKUP(Calculator!E23,tbSkills!DH3:DJ6,3,FALSE),0),0))&gt;=0,1+(Backdoors!AL2*(IF((Backdoors!AI12+IF(KC107&gt;=0.45,VLOOKUP(Calculator!E23,tbSkills!DH3:DI6,2,FALSE)+IF(AND(Calculator!B8=TRUE,Backdoors!BI44=TRUE),VLOOKUP(Calculator!E23,tbSkills!DH3:DJ6,3,FALSE),0),0))&gt;=100,100,(Backdoors!AI12+IF(KC107&gt;=0.45,VLOOKUP(Calculator!E23,tbSkills!DH3:DI6,2,FALSE)+IF(AND(Calculator!B8=TRUE,Backdoors!BI44=TRUE),VLOOKUP(Calculator!E23,tbSkills!DH3:DJ6,3,FALSE),0),0)))/100)),(1-(0.25*((-Backdoors!AI12-IF(KC107&gt;=0.45,VLOOKUP(Calculator!E23,tbSkills!DH3:DI6,2,FALSE)+IF(AND(Calculator!B8=TRUE,Backdoors!BI44=TRUE),VLOOKUP(Calculator!E23,tbSkills!DH3:DJ6,3,FALSE),0),0))/100)))),1),"")</f>
        <v>1</v>
      </c>
      <c r="KF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KC107)*KE107)*(VLOOKUP(A107,tbMoveset!A2:C112,3,FALSE)/100)*IF(VLOOKUP(A107,tbMoveset!A2:B112,2,FALSE)="Projectile",Backdoors!N10,Backdoors!N9),0),"")</f>
        <v/>
      </c>
      <c r="KG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REF!&gt;0,VLOOKUP(Calculator!#REF!,tbSkills!AC3:AD5,2,FALSE),Backdoors!AL3)*(IF((Backdoors!AI12+IF(KC107&gt;=0.45,VLOOKUP(Calculator!E23,tbSkills!DH3:DI6,2,FALSE)+IF(AND(Calculator!B8=TRUE,Backdoors!BI44=TRUE),VLOOKUP(Calculator!E23,tbSkills!DH3:DJ6,3,FALSE),0),0))&gt;=100,100,(Backdoors!AI12+IF(KC107&gt;=0.45,VLOOKUP(Calculator!E23,tbSkills!DH3:DI6,2,FALSE)+IF(AND(Calculator!B8=TRUE,Backdoors!BI44=TRUE),VLOOKUP(Calculator!E23,tbSkills!DH3:DJ6,3,FALSE),0),0)))/100)),1))*IF(VLOOKUP(A107,tbMoveset!A2:K112,11,FALSE)=TRUE,Backdoors!AC5,1))*KD107,0),"")</f>
        <v/>
      </c>
      <c r="KH107" s="49">
        <f>VLOOKUP(A107,tbMoveset!A2:G112,7,FALSE)*IFERROR(IF(Backdoors!AI12&gt;=0,1+(IF(Calculator!E40&gt;0,VLOOKUP(Calculator!E40,tbSkills!AI3:AJ5,2,FALSE),Backdoors!AL4)*(IF((Backdoors!AI12+IF(KC107&gt;=0.45,VLOOKUP(Calculator!E23,tbSkills!DH3:DI6,2,FALSE)+IF(AND(Calculator!B8=TRUE,Backdoors!BI44=TRUE),VLOOKUP(Calculator!E23,tbSkills!DH3:DJ6,3,FALSE),0),0))&gt;=100,100,(Backdoors!AI12+IF(KC107&gt;=0.45,VLOOKUP(Calculator!E23,tbSkills!DH3:DI6,2,FALSE)+IF(AND(Calculator!B8=TRUE,Backdoors!BI44=TRUE),VLOOKUP(Calculator!E23,tbSkills!DH3:DJ6,3,FALSE),0),0)))/100)),1),1)</f>
        <v>0.4</v>
      </c>
      <c r="KI107" s="87">
        <f t="shared" si="92"/>
        <v>0</v>
      </c>
      <c r="KJ107" s="86" t="str">
        <f>IFERROR(IF(VLOOKUP(A107,tbMoveset!A2:B112,2,FALSE)="Sever",Backdoors!AY45/100,IF(VLOOKUP(A107,tbMoveset!A2:B112,2,FALSE)="Blunt",Backdoors!AZ45/100,Backdoors!BA45/100)),"")</f>
        <v/>
      </c>
      <c r="KK107" s="49">
        <f>IFERROR(IF(VLOOKUP(tbMoveset!A107,tbMoveset!A2:H112,8,FALSE)="Other",IF(VLOOKUP(tbMoveset!A107,tbMoveset!A2:I112,9,FALSE)="Fire",Backdoors!BB45,IF(VLOOKUP(tbMoveset!A107,tbMoveset!A2:I112,9,FALSE)="Water",Backdoors!BC45,IF(VLOOKUP(tbMoveset!A107,tbMoveset!A2:I112,9,FALSE)="Thunder",Backdoors!BD45,IF(VLOOKUP(tbMoveset!A107,tbMoveset!A2:I112,9,FALSE)="Ice",Backdoors!BE45,IF(VLOOKUP(tbMoveset!A107,tbMoveset!A2:I112,9,FALSE)="Dragon",Backdoors!BF45,Backdoors!BG45)))))/100,Backdoors!BG45/100),"")</f>
        <v>0</v>
      </c>
      <c r="KL107" s="49">
        <f>IFERROR(IF(VLOOKUP(A107,tbMoveset!A2:J112,10,FALSE)=TRUE,IF((Backdoors!AI12+IF(KJ107&gt;=0.45,VLOOKUP(Calculator!E23,tbSkills!DH3:DI6,2,FALSE)+IF(AND(Calculator!B8=TRUE,Backdoors!BI45=TRUE),VLOOKUP(Calculator!E23,tbSkills!DH3:DJ6,3,FALSE),0),0))&gt;=0,1+(Backdoors!AL2*(IF((Backdoors!AI12+IF(KJ107&gt;=0.45,VLOOKUP(Calculator!E23,tbSkills!DH3:DI6,2,FALSE)+IF(AND(Calculator!B8=TRUE,Backdoors!BI45=TRUE),VLOOKUP(Calculator!E23,tbSkills!DH3:DJ6,3,FALSE),0),0))&gt;=100,100,(Backdoors!AI12+IF(KJ107&gt;=0.45,VLOOKUP(Calculator!E23,tbSkills!DH3:DI6,2,FALSE)+IF(AND(Calculator!B8=TRUE,Backdoors!BI45=TRUE),VLOOKUP(Calculator!E23,tbSkills!DH3:DJ6,3,FALSE),0),0)))/100)),(1-(0.25*((-Backdoors!AI12-IF(KJ107&gt;=0.45,VLOOKUP(Calculator!E23,tbSkills!DH3:DI6,2,FALSE)+IF(AND(Calculator!B8=TRUE,Backdoors!BI45=TRUE),VLOOKUP(Calculator!E23,tbSkills!DH3:DJ6,3,FALSE),0),0))/100)))),1),"")</f>
        <v>1</v>
      </c>
      <c r="KM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KJ107)*KL107)*(VLOOKUP(A107,tbMoveset!A2:C112,3,FALSE)/100)*IF(VLOOKUP(A107,tbMoveset!A2:B112,2,FALSE)="Projectile",Backdoors!N10,Backdoors!N9),0),"")</f>
        <v/>
      </c>
      <c r="KN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REF!&gt;0,VLOOKUP(Calculator!#REF!,tbSkills!AC3:AD5,2,FALSE),Backdoors!AL3)*(IF((Backdoors!AI12+IF(KJ107&gt;=0.45,VLOOKUP(Calculator!E23,tbSkills!DH3:DI6,2,FALSE)+IF(AND(Calculator!B8=TRUE,Backdoors!BI45=TRUE),VLOOKUP(Calculator!E23,tbSkills!DH3:DJ6,3,FALSE),0),0))&gt;=100,100,(Backdoors!AI12+IF(KJ107&gt;=0.45,VLOOKUP(Calculator!E23,tbSkills!DH3:DI6,2,FALSE)+IF(AND(Calculator!B8=TRUE,Backdoors!BI45=TRUE),VLOOKUP(Calculator!E23,tbSkills!DH3:DJ6,3,FALSE),0),0)))/100)),1))*IF(VLOOKUP(A107,tbMoveset!A2:K112,11,FALSE)=TRUE,Backdoors!AC5,1))*KK107,0),"")</f>
        <v/>
      </c>
      <c r="KO107" s="49">
        <f>VLOOKUP(A107,tbMoveset!A2:G112,7,FALSE)*IFERROR(IF(Backdoors!AI12&gt;=0,1+(IF(Calculator!E40&gt;0,VLOOKUP(Calculator!E40,tbSkills!AI3:AJ5,2,FALSE),Backdoors!AL4)*(IF((Backdoors!AI12+IF(KJ107&gt;=0.45,VLOOKUP(Calculator!E23,tbSkills!DH3:DI6,2,FALSE)+IF(AND(Calculator!B8=TRUE,Backdoors!BI45=TRUE),VLOOKUP(Calculator!E23,tbSkills!DH3:DJ6,3,FALSE),0),0))&gt;=100,100,(Backdoors!AI12+IF(KJ107&gt;=0.45,VLOOKUP(Calculator!E23,tbSkills!DH3:DI6,2,FALSE)+IF(AND(Calculator!B8=TRUE,Backdoors!BI45=TRUE),VLOOKUP(Calculator!E23,tbSkills!DH3:DJ6,3,FALSE),0),0)))/100)),1),1)</f>
        <v>0.4</v>
      </c>
      <c r="KP107" s="87">
        <f t="shared" si="93"/>
        <v>0</v>
      </c>
      <c r="KQ107" s="86" t="str">
        <f>IFERROR(IF(VLOOKUP(A107,tbMoveset!A2:B112,2,FALSE)="Sever",Backdoors!AY46/100,IF(VLOOKUP(A107,tbMoveset!A2:B112,2,FALSE)="Blunt",Backdoors!AZ46/100,Backdoors!BA46/100)),"")</f>
        <v/>
      </c>
      <c r="KR107" s="49">
        <f>IFERROR(IF(VLOOKUP(tbMoveset!A107,tbMoveset!A2:H112,8,FALSE)="Other",IF(VLOOKUP(tbMoveset!A107,tbMoveset!A2:I112,9,FALSE)="Fire",Backdoors!BB46,IF(VLOOKUP(tbMoveset!A107,tbMoveset!A2:I112,9,FALSE)="Water",Backdoors!BC46,IF(VLOOKUP(tbMoveset!A107,tbMoveset!A2:I112,9,FALSE)="Thunder",Backdoors!BD46,IF(VLOOKUP(tbMoveset!A107,tbMoveset!A2:I112,9,FALSE)="Ice",Backdoors!BE46,IF(VLOOKUP(tbMoveset!A107,tbMoveset!A2:I112,9,FALSE)="Dragon",Backdoors!BF46,Backdoors!BG46)))))/100,Backdoors!BG46/100),"")</f>
        <v>0</v>
      </c>
      <c r="KS107" s="49">
        <f>IFERROR(IF(VLOOKUP(A107,tbMoveset!A2:J112,10,FALSE)=TRUE,IF((Backdoors!AI12+IF(KQ107&gt;=0.45,VLOOKUP(Calculator!E23,tbSkills!DH3:DI6,2,FALSE)+IF(AND(Calculator!B8=TRUE,Backdoors!BI46=TRUE),VLOOKUP(Calculator!E23,tbSkills!DH3:DJ6,3,FALSE),0),0))&gt;=0,1+(Backdoors!AL2*(IF((Backdoors!AI12+IF(KQ107&gt;=0.45,VLOOKUP(Calculator!E23,tbSkills!DH3:DI6,2,FALSE)+IF(AND(Calculator!B8=TRUE,Backdoors!BI46=TRUE),VLOOKUP(Calculator!E23,tbSkills!DH3:DJ6,3,FALSE),0),0))&gt;=100,100,(Backdoors!AI12+IF(KQ107&gt;=0.45,VLOOKUP(Calculator!E23,tbSkills!DH3:DI6,2,FALSE)+IF(AND(Calculator!B8=TRUE,Backdoors!BI46=TRUE),VLOOKUP(Calculator!E23,tbSkills!DH3:DJ6,3,FALSE),0),0)))/100)),(1-(0.25*((-Backdoors!AI12-IF(KQ107&gt;=0.45,VLOOKUP(Calculator!E23,tbSkills!DH3:DI6,2,FALSE)+IF(AND(Calculator!B8=TRUE,Backdoors!BI46=TRUE),VLOOKUP(Calculator!E23,tbSkills!DH3:DJ6,3,FALSE),0),0))/100)))),1),"")</f>
        <v>1</v>
      </c>
      <c r="KT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KQ107)*KS107)*(VLOOKUP(A107,tbMoveset!A2:C112,3,FALSE)/100)*IF(VLOOKUP(A107,tbMoveset!A2:B112,2,FALSE)="Projectile",Backdoors!N10,Backdoors!N9),0),"")</f>
        <v/>
      </c>
      <c r="KU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REF!&gt;0,VLOOKUP(Calculator!#REF!,tbSkills!AC3:AD5,2,FALSE),Backdoors!AL3)*(IF((Backdoors!AI12+IF(KQ107&gt;=0.45,VLOOKUP(Calculator!E23,tbSkills!DH3:DI6,2,FALSE)+IF(AND(Calculator!B8=TRUE,Backdoors!BI46=TRUE),VLOOKUP(Calculator!E23,tbSkills!DH3:DJ6,3,FALSE),0),0))&gt;=100,100,(Backdoors!AI12+IF(KQ107&gt;=0.45,VLOOKUP(Calculator!E23,tbSkills!DH3:DI6,2,FALSE)+IF(AND(Calculator!B8=TRUE,Backdoors!BI46=TRUE),VLOOKUP(Calculator!E23,tbSkills!DH3:DJ6,3,FALSE),0),0)))/100)),1))*IF(VLOOKUP(A107,tbMoveset!A2:K112,11,FALSE)=TRUE,Backdoors!AC5,1))*KR107,0),"")</f>
        <v/>
      </c>
      <c r="KV107" s="49">
        <f>VLOOKUP(A107,tbMoveset!A2:G112,7,FALSE)*IFERROR(IF(Backdoors!AI12&gt;=0,1+(IF(Calculator!E40&gt;0,VLOOKUP(Calculator!E40,tbSkills!AI3:AJ5,2,FALSE),Backdoors!AL4)*(IF((Backdoors!AI12+IF(KQ107&gt;=0.45,VLOOKUP(Calculator!E23,tbSkills!DH3:DI6,2,FALSE)+IF(AND(Calculator!B8=TRUE,Backdoors!BI46=TRUE),VLOOKUP(Calculator!E23,tbSkills!DH3:DJ6,3,FALSE),0),0))&gt;=100,100,(Backdoors!AI12+IF(KQ107&gt;=0.45,VLOOKUP(Calculator!E23,tbSkills!DH3:DI6,2,FALSE)+IF(AND(Calculator!B8=TRUE,Backdoors!BI46=TRUE),VLOOKUP(Calculator!E23,tbSkills!DH3:DJ6,3,FALSE),0),0)))/100)),1),1)</f>
        <v>0.4</v>
      </c>
      <c r="KW107" s="87">
        <f t="shared" si="94"/>
        <v>0</v>
      </c>
    </row>
    <row r="108" spans="1:309" x14ac:dyDescent="0.25">
      <c r="A108" s="95" t="str">
        <f>tbMoveset!A108</f>
        <v>[Mounting] Demon Flurry (L Repeated)</v>
      </c>
      <c r="B108" s="86">
        <f>IFERROR(IF(VLOOKUP(A108,tbMoveset!A2:B112,2,FALSE)="Sever",Backdoors!AY3/100,IF(VLOOKUP(A108,tbMoveset!A2:B112,2,FALSE)="Blunt",Backdoors!AZ3/100,Backdoors!BA3/100)),"")</f>
        <v>0.8</v>
      </c>
      <c r="C108" s="49">
        <f>IFERROR(IF(VLOOKUP(tbMoveset!A108,tbMoveset!A2:H112,8,FALSE)="Other",IF(VLOOKUP(tbMoveset!A108,tbMoveset!A2:I112,9,FALSE)="Fire",Backdoors!BB3,IF(VLOOKUP(tbMoveset!A108,tbMoveset!A2:I112,9,FALSE)="Water",Backdoors!BC3,IF(VLOOKUP(tbMoveset!A108,tbMoveset!A2:I112,9,FALSE)="Thunder",Backdoors!BD3,IF(VLOOKUP(tbMoveset!A108,tbMoveset!A2:I112,9,FALSE)="Ice",Backdoors!BE3,IF(VLOOKUP(tbMoveset!A108,tbMoveset!A2:I112,9,FALSE)="Dragon",Backdoors!BF3,Backdoors!BG3)))))/100,Backdoors!BG3/100),"")</f>
        <v>0</v>
      </c>
      <c r="D108" s="49">
        <f>IFERROR(IF(VLOOKUP(A108,tbMoveset!A2:J112,10,FALSE)=TRUE,IF((Backdoors!AI12+IF(B108&gt;=0.45,VLOOKUP(Calculator!E23,tbSkills!DH3:DI6,2,FALSE)+IF(AND(Calculator!B8=TRUE,Backdoors!BI3=TRUE),VLOOKUP(Calculator!E23,tbSkills!DH3:DJ6,3,FALSE),0),0))&gt;=0,1+(Backdoors!AL2*(IF((Backdoors!AI12+IF(B108&gt;=0.45,VLOOKUP(Calculator!E23,tbSkills!DH3:DI6,2,FALSE)+IF(AND(Calculator!B8=TRUE,Backdoors!BI3=TRUE),VLOOKUP(Calculator!E23,tbSkills!DH3:DJ6,3,FALSE),0),0))&gt;=100,100,(Backdoors!AI12+IF(B108&gt;=0.45,VLOOKUP(Calculator!E23,tbSkills!DH3:DI6,2,FALSE)+IF(AND(Calculator!B8=TRUE,Backdoors!BI3=TRUE),VLOOKUP(Calculator!E23,tbSkills!DH3:DJ6,3,FALSE),0),0)))/100)),(1-(0.25*((-Backdoors!AI12-IF(B108&gt;=0.45,VLOOKUP(Calculator!E23,tbSkills!DH3:DI6,2,FALSE)+IF(AND(Calculator!B8=TRUE,Backdoors!BI3=TRUE),VLOOKUP(Calculator!E23,tbSkills!DH3:DJ6,3,FALSE),0),0))/100)))),1),"")</f>
        <v>1</v>
      </c>
      <c r="E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108)*D108)*(VLOOKUP(A108,tbMoveset!A2:C112,3,FALSE)/100)*IF(VLOOKUP(A108,tbMoveset!A2:B112,2,FALSE)="Projectile",Backdoors!N10,Backdoors!N9),0),"")</f>
        <v>7</v>
      </c>
      <c r="F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108&gt;=0.45,VLOOKUP(Calculator!E23,tbSkills!DH3:DI6,2,FALSE)+IF(AND(Calculator!B8=TRUE,Backdoors!BI3=TRUE),VLOOKUP(Calculator!E23,tbSkills!DH3:DJ6,3,FALSE),0),0))&gt;=100,100,(Backdoors!AI12+IF(B108&gt;=0.45,VLOOKUP(Calculator!E23,tbSkills!DH3:DI6,2,FALSE)+IF(AND(Calculator!B8=TRUE,Backdoors!BI3=TRUE),VLOOKUP(Calculator!E23,tbSkills!DH3:DJ6,3,FALSE),0),0)))/100)),1))*IF(VLOOKUP(A108,tbMoveset!A2:K112,11,FALSE)=TRUE,Backdoors!AC5,1))*C108,0),"")</f>
        <v>0</v>
      </c>
      <c r="G108">
        <f>VLOOKUP(A108,tbMoveset!A2:G112,7,FALSE)*IFERROR(IF(Backdoors!AI12&gt;=0,1+(IF(Calculator!E40&gt;0,VLOOKUP(Calculator!E40,tbSkills!AI3:AJ5,2,FALSE),Backdoors!AL4)*(IF((Backdoors!AI12+IF(B108&gt;=0.45,VLOOKUP(Calculator!E23,tbSkills!DH3:DI6,2,FALSE)+IF(AND(Calculator!B8=TRUE,Backdoors!BI3=TRUE),VLOOKUP(Calculator!E23,tbSkills!DH3:DJ6,3,FALSE),0),0))&gt;=100,100,(Backdoors!AI12+IF(B108&gt;=0.45,VLOOKUP(Calculator!E23,tbSkills!DH3:DI6,2,FALSE)+IF(AND(Calculator!B8=TRUE,Backdoors!BI3=TRUE),VLOOKUP(Calculator!E23,tbSkills!DH3:DJ6,3,FALSE),0),0)))/100)),1),1)</f>
        <v>0.6</v>
      </c>
      <c r="H108" s="87">
        <f t="shared" si="95"/>
        <v>7</v>
      </c>
      <c r="I108" s="86">
        <f>IFERROR(IF(VLOOKUP(A108,tbMoveset!A2:B112,2,FALSE)="Sever",Backdoors!AY4/100,IF(VLOOKUP(A108,tbMoveset!A2:B112,2,FALSE)="Blunt",Backdoors!AZ4/100,Backdoors!BA4/100)),"")</f>
        <v>0.65</v>
      </c>
      <c r="J108" s="49">
        <f>IFERROR(IF(VLOOKUP(tbMoveset!A108,tbMoveset!A2:H112,8,FALSE)="Other",IF(VLOOKUP(tbMoveset!A108,tbMoveset!A2:I112,9,FALSE)="Fire",Backdoors!BB4,IF(VLOOKUP(tbMoveset!A108,tbMoveset!A2:I112,9,FALSE)="Water",Backdoors!BC4,IF(VLOOKUP(tbMoveset!A108,tbMoveset!A2:I112,9,FALSE)="Thunder",Backdoors!BD4,IF(VLOOKUP(tbMoveset!A108,tbMoveset!A2:I112,9,FALSE)="Ice",Backdoors!BE4,IF(VLOOKUP(tbMoveset!A108,tbMoveset!A2:I112,9,FALSE)="Dragon",Backdoors!BF4,Backdoors!BG4)))))/100,Backdoors!BG4/100),"")</f>
        <v>0</v>
      </c>
      <c r="K108" s="49">
        <f>IFERROR(IF(VLOOKUP(A108,tbMoveset!A2:J112,10,FALSE)=TRUE,IF((Backdoors!AI12+IF(I108&gt;=0.45,VLOOKUP(Calculator!E23,tbSkills!DH3:DI6,2,FALSE)+IF(AND(Calculator!B8=TRUE,Backdoors!BI4=TRUE),VLOOKUP(Calculator!E23,tbSkills!DH3:DJ6,3,FALSE),0),0))&gt;=0,1+(Backdoors!AL2*(IF((Backdoors!AI12+IF(I108&gt;=0.45,VLOOKUP(Calculator!E23,tbSkills!DH3:DI6,2,FALSE)+IF(AND(Calculator!B8=TRUE,Backdoors!BI4=TRUE),VLOOKUP(Calculator!E23,tbSkills!DH3:DJ6,3,FALSE),0),0))&gt;=100,100,(Backdoors!AI12+IF(I108&gt;=0.45,VLOOKUP(Calculator!E23,tbSkills!DH3:DI6,2,FALSE)+IF(AND(Calculator!B8=TRUE,Backdoors!BI4=TRUE),VLOOKUP(Calculator!E23,tbSkills!DH3:DJ6,3,FALSE),0),0)))/100)),(1-(0.25*((-Backdoors!AI12-IF(I108&gt;=0.45,VLOOKUP(Calculator!E23,tbSkills!DH3:DI6,2,FALSE)+IF(AND(Calculator!B8=TRUE,Backdoors!BI4=TRUE),VLOOKUP(Calculator!E23,tbSkills!DH3:DJ6,3,FALSE),0),0))/100)))),1),"")</f>
        <v>1</v>
      </c>
      <c r="L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108)*K108)*(VLOOKUP(A108,tbMoveset!A2:C112,3,FALSE)/100)*IF(VLOOKUP(A108,tbMoveset!A2:B112,2,FALSE)="Projectile",Backdoors!N10,Backdoors!N9),0),"")</f>
        <v>5</v>
      </c>
      <c r="M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I108&gt;=0.45,VLOOKUP(Calculator!E23,tbSkills!DH3:DI6,2,FALSE)+IF(AND(Calculator!B8=TRUE,Backdoors!BI4=TRUE),VLOOKUP(Calculator!E23,tbSkills!DH3:DJ6,3,FALSE),0),0))&gt;=100,100,(Backdoors!AI12+IF(I108&gt;=0.45,VLOOKUP(Calculator!E23,tbSkills!DH3:DI6,2,FALSE)+IF(AND(Calculator!B8=TRUE,Backdoors!BI4=TRUE),VLOOKUP(Calculator!E23,tbSkills!DH3:DJ6,3,FALSE),0),0)))/100)),1))*IF(VLOOKUP(A108,tbMoveset!A2:K112,11,FALSE)=TRUE,Backdoors!AC5,1))*J108,0),"")</f>
        <v>0</v>
      </c>
      <c r="N108" s="49">
        <f>VLOOKUP(A108,tbMoveset!A2:G112,7,FALSE)*IFERROR(IF(Backdoors!AI12&gt;=0,1+(IF(Calculator!E40&gt;0,VLOOKUP(Calculator!E40,tbSkills!AI3:AJ5,2,FALSE),Backdoors!AL4)*(IF((Backdoors!AI12+IF(I108&gt;=0.45,VLOOKUP(Calculator!E23,tbSkills!DH3:DI6,2,FALSE)+IF(AND(Calculator!B8=TRUE,Backdoors!BI4=TRUE),VLOOKUP(Calculator!E23,tbSkills!DH3:DJ6,3,FALSE),0),0))&gt;=100,100,(Backdoors!AI12+IF(I108&gt;=0.45,VLOOKUP(Calculator!E23,tbSkills!DH3:DI6,2,FALSE)+IF(AND(Calculator!B8=TRUE,Backdoors!BI4=TRUE),VLOOKUP(Calculator!E23,tbSkills!DH3:DJ6,3,FALSE),0),0)))/100)),1),1)</f>
        <v>0.6</v>
      </c>
      <c r="O108" s="87">
        <f t="shared" si="96"/>
        <v>5</v>
      </c>
      <c r="P108" s="86">
        <f>IFERROR(IF(VLOOKUP(A108,tbMoveset!A2:B112,2,FALSE)="Sever",Backdoors!AY5/100,IF(VLOOKUP(A108,tbMoveset!A2:B112,2,FALSE)="Blunt",Backdoors!AZ5/100,Backdoors!BA5/100)),"")</f>
        <v>0.5</v>
      </c>
      <c r="Q108" s="49">
        <f>IFERROR(IF(VLOOKUP(tbMoveset!A108,tbMoveset!A2:H112,8,FALSE)="Other",IF(VLOOKUP(tbMoveset!A108,tbMoveset!A2:I112,9,FALSE)="Fire",Backdoors!BB5,IF(VLOOKUP(tbMoveset!A108,tbMoveset!A2:I112,9,FALSE)="Water",Backdoors!BC5,IF(VLOOKUP(tbMoveset!A108,tbMoveset!A2:I112,9,FALSE)="Thunder",Backdoors!BD5,IF(VLOOKUP(tbMoveset!A108,tbMoveset!A2:I112,9,FALSE)="Ice",Backdoors!BE5,IF(VLOOKUP(tbMoveset!A108,tbMoveset!A2:I112,9,FALSE)="Dragon",Backdoors!BF5,Backdoors!BG5)))))/100,Backdoors!BG5/100),"")</f>
        <v>0</v>
      </c>
      <c r="R108" s="49">
        <f>IFERROR(IF(VLOOKUP(A108,tbMoveset!A2:J112,10,FALSE)=TRUE,IF((Backdoors!AI12+IF(P108&gt;=0.45,VLOOKUP(Calculator!E23,tbSkills!DH3:DI6,2,FALSE)+IF(AND(Calculator!B8=TRUE,Backdoors!BI5=TRUE),VLOOKUP(Calculator!E23,tbSkills!DH3:DJ6,3,FALSE),0),0))&gt;=0,1+(Backdoors!AL2*(IF((Backdoors!AI12+IF(P108&gt;=0.45,VLOOKUP(Calculator!E23,tbSkills!DH3:DI6,2,FALSE)+IF(AND(Calculator!B8=TRUE,Backdoors!BI5=TRUE),VLOOKUP(Calculator!E23,tbSkills!DH3:DJ6,3,FALSE),0),0))&gt;=100,100,(Backdoors!AI12+IF(P108&gt;=0.45,VLOOKUP(Calculator!E23,tbSkills!DH3:DI6,2,FALSE)+IF(AND(Calculator!B8=TRUE,Backdoors!BI5=TRUE),VLOOKUP(Calculator!E23,tbSkills!DH3:DJ6,3,FALSE),0),0)))/100)),(1-(0.25*((-Backdoors!AI12-IF(P108&gt;=0.45,VLOOKUP(Calculator!E23,tbSkills!DH3:DI6,2,FALSE)+IF(AND(Calculator!B8=TRUE,Backdoors!BI5=TRUE),VLOOKUP(Calculator!E23,tbSkills!DH3:DJ6,3,FALSE),0),0))/100)))),1),"")</f>
        <v>1</v>
      </c>
      <c r="S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P108)*R108)*(VLOOKUP(A108,tbMoveset!A2:C112,3,FALSE)/100)*IF(VLOOKUP(A108,tbMoveset!A2:B112,2,FALSE)="Projectile",Backdoors!N10,Backdoors!N9),0),"")</f>
        <v>4</v>
      </c>
      <c r="T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P108&gt;=0.45,VLOOKUP(Calculator!E23,tbSkills!DH3:DI6,2,FALSE)+IF(AND(Calculator!B8=TRUE,Backdoors!BI5=TRUE),VLOOKUP(Calculator!E23,tbSkills!DH3:DJ6,3,FALSE),0),0))&gt;=100,100,(Backdoors!AI12+IF(P108&gt;=0.45,VLOOKUP(Calculator!E23,tbSkills!DH3:DI6,2,FALSE)+IF(AND(Calculator!B8=TRUE,Backdoors!BI5=TRUE),VLOOKUP(Calculator!E23,tbSkills!DH3:DJ6,3,FALSE),0),0)))/100)),1))*IF(VLOOKUP(A108,tbMoveset!A2:K112,11,FALSE)=TRUE,Backdoors!AC5,1))*Q108,0),"")</f>
        <v>0</v>
      </c>
      <c r="U108" s="49">
        <f>VLOOKUP(A108,tbMoveset!A2:G112,7,FALSE)*IFERROR(IF(Backdoors!AI12&gt;=0,1+(IF(Calculator!E40&gt;0,VLOOKUP(Calculator!E40,tbSkills!AI3:AJ5,2,FALSE),Backdoors!AL4)*(IF((Backdoors!AI12+IF(P108&gt;=0.45,VLOOKUP(Calculator!E23,tbSkills!DH3:DI6,2,FALSE)+IF(AND(Calculator!B8=TRUE,Backdoors!BI5=TRUE),VLOOKUP(Calculator!E23,tbSkills!DH3:DJ6,3,FALSE),0),0))&gt;=100,100,(Backdoors!AI12+IF(P108&gt;=0.45,VLOOKUP(Calculator!E23,tbSkills!DH3:DI6,2,FALSE)+IF(AND(Calculator!B8=TRUE,Backdoors!BI5=TRUE),VLOOKUP(Calculator!E23,tbSkills!DH3:DJ6,3,FALSE),0),0)))/100)),1),1)</f>
        <v>0.6</v>
      </c>
      <c r="V108" s="87">
        <f t="shared" si="53"/>
        <v>4</v>
      </c>
      <c r="W108" s="86">
        <f>IFERROR(IF(VLOOKUP(A108,tbMoveset!A2:B112,2,FALSE)="Sever",Backdoors!AY6/100,IF(VLOOKUP(A108,tbMoveset!A2:B112,2,FALSE)="Blunt",Backdoors!AZ6/100,Backdoors!BA6/100)),"")</f>
        <v>0.45</v>
      </c>
      <c r="X108" s="49">
        <f>IFERROR(IF(VLOOKUP(tbMoveset!A108,tbMoveset!A2:H112,8,FALSE)="Other",IF(VLOOKUP(tbMoveset!A108,tbMoveset!A2:I112,9,FALSE)="Fire",Backdoors!BB6,IF(VLOOKUP(tbMoveset!A108,tbMoveset!A2:I112,9,FALSE)="Water",Backdoors!BC6,IF(VLOOKUP(tbMoveset!A108,tbMoveset!A2:I112,9,FALSE)="Thunder",Backdoors!BD6,IF(VLOOKUP(tbMoveset!A108,tbMoveset!A2:I112,9,FALSE)="Ice",Backdoors!BE6,IF(VLOOKUP(tbMoveset!A108,tbMoveset!A2:I112,9,FALSE)="Dragon",Backdoors!BF6,Backdoors!BG6)))))/100,Backdoors!BG6/100),"")</f>
        <v>0</v>
      </c>
      <c r="Y108" s="49">
        <f>IFERROR(IF(VLOOKUP(A108,tbMoveset!A2:J112,10,FALSE)=TRUE,IF((Backdoors!AI12+IF(W108&gt;=0.45,VLOOKUP(Calculator!E23,tbSkills!DH3:DI6,2,FALSE)+IF(AND(Calculator!B8=TRUE,Backdoors!BI6=TRUE),VLOOKUP(Calculator!E23,tbSkills!DH3:DJ6,3,FALSE),0),0))&gt;=0,1+(Backdoors!AL2*(IF((Backdoors!AI12+IF(W108&gt;=0.45,VLOOKUP(Calculator!E23,tbSkills!DH3:DI6,2,FALSE)+IF(AND(Calculator!B8=TRUE,Backdoors!BI6=TRUE),VLOOKUP(Calculator!E23,tbSkills!DH3:DJ6,3,FALSE),0),0))&gt;=100,100,(Backdoors!AI12+IF(W108&gt;=0.45,VLOOKUP(Calculator!E23,tbSkills!DH3:DI6,2,FALSE)+IF(AND(Calculator!B8=TRUE,Backdoors!BI6=TRUE),VLOOKUP(Calculator!E23,tbSkills!DH3:DJ6,3,FALSE),0),0)))/100)),(1-(0.25*((-Backdoors!AI12-IF(W108&gt;=0.45,VLOOKUP(Calculator!E23,tbSkills!DH3:DI6,2,FALSE)+IF(AND(Calculator!B8=TRUE,Backdoors!BI6=TRUE),VLOOKUP(Calculator!E23,tbSkills!DH3:DJ6,3,FALSE),0),0))/100)))),1),"")</f>
        <v>1</v>
      </c>
      <c r="Z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W108)*Y108)*(VLOOKUP(A108,tbMoveset!A2:C112,3,FALSE)/100)*IF(VLOOKUP(A108,tbMoveset!A2:B112,2,FALSE)="Projectile",Backdoors!N10,Backdoors!N9),0),"")</f>
        <v>4</v>
      </c>
      <c r="AA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W108&gt;=0.45,VLOOKUP(Calculator!E23,tbSkills!DH3:DI6,2,FALSE)+IF(AND(Calculator!B8=TRUE,Backdoors!BI6=TRUE),VLOOKUP(Calculator!E23,tbSkills!DH3:DJ6,3,FALSE),0),0))&gt;=100,100,(Backdoors!AI12+IF(W108&gt;=0.45,VLOOKUP(Calculator!E23,tbSkills!DH3:DI6,2,FALSE)+IF(AND(Calculator!B8=TRUE,Backdoors!BI6=TRUE),VLOOKUP(Calculator!E23,tbSkills!DH3:DJ6,3,FALSE),0),0)))/100)),1))*IF(VLOOKUP(A108,tbMoveset!A2:K112,11,FALSE)=TRUE,Backdoors!AC5,1))*X108,0),"")</f>
        <v>0</v>
      </c>
      <c r="AB108" s="49">
        <f>VLOOKUP(A108,tbMoveset!A2:G112,7,FALSE)*IFERROR(IF(Backdoors!AI12&gt;=0,1+(IF(Calculator!E40&gt;0,VLOOKUP(Calculator!E40,tbSkills!AI3:AJ5,2,FALSE),Backdoors!AL4)*(IF((Backdoors!AI12+IF(W108&gt;=0.45,VLOOKUP(Calculator!E23,tbSkills!DH3:DI6,2,FALSE)+IF(AND(Calculator!B8=TRUE,Backdoors!BI6=TRUE),VLOOKUP(Calculator!E23,tbSkills!DH3:DJ6,3,FALSE),0),0))&gt;=100,100,(Backdoors!AI12+IF(W108&gt;=0.45,VLOOKUP(Calculator!E23,tbSkills!DH3:DI6,2,FALSE)+IF(AND(Calculator!B8=TRUE,Backdoors!BI6=TRUE),VLOOKUP(Calculator!E23,tbSkills!DH3:DJ6,3,FALSE),0),0)))/100)),1),1)</f>
        <v>0.6</v>
      </c>
      <c r="AC108" s="87">
        <f t="shared" si="54"/>
        <v>4</v>
      </c>
      <c r="AD108" s="86">
        <f>IFERROR(IF(VLOOKUP(A108,tbMoveset!A2:B112,2,FALSE)="Sever",Backdoors!AY7/100,IF(VLOOKUP(A108,tbMoveset!A2:B112,2,FALSE)="Blunt",Backdoors!AZ7/100,Backdoors!BA7/100)),"")</f>
        <v>0.65</v>
      </c>
      <c r="AE108" s="49">
        <f>IFERROR(IF(VLOOKUP(tbMoveset!A108,tbMoveset!A2:H112,8,FALSE)="Other",IF(VLOOKUP(tbMoveset!A108,tbMoveset!A2:I112,9,FALSE)="Fire",Backdoors!BB7,IF(VLOOKUP(tbMoveset!A108,tbMoveset!A2:I112,9,FALSE)="Water",Backdoors!BC7,IF(VLOOKUP(tbMoveset!A108,tbMoveset!A2:I112,9,FALSE)="Thunder",Backdoors!BD7,IF(VLOOKUP(tbMoveset!A108,tbMoveset!A2:I112,9,FALSE)="Ice",Backdoors!BE7,IF(VLOOKUP(tbMoveset!A108,tbMoveset!A2:I112,9,FALSE)="Dragon",Backdoors!BF7,Backdoors!BG7)))))/100,Backdoors!BG7/100),"")</f>
        <v>0</v>
      </c>
      <c r="AF108" s="49">
        <f>IFERROR(IF(VLOOKUP(A108,tbMoveset!A2:J112,10,FALSE)=TRUE,IF((Backdoors!AI12+IF(AD108&gt;=0.45,VLOOKUP(Calculator!E23,tbSkills!DH3:DI6,2,FALSE)+IF(AND(Calculator!B8=TRUE,Backdoors!BI7=TRUE),VLOOKUP(Calculator!E23,tbSkills!DH3:DJ6,3,FALSE),0),0))&gt;=0,1+(Backdoors!AL2*(IF((Backdoors!AI12+IF(AD108&gt;=0.45,VLOOKUP(Calculator!E23,tbSkills!DH3:DI6,2,FALSE)+IF(AND(Calculator!B8=TRUE,Backdoors!BI7=TRUE),VLOOKUP(Calculator!E23,tbSkills!DH3:DJ6,3,FALSE),0),0))&gt;=100,100,(Backdoors!AI12+IF(AD108&gt;=0.45,VLOOKUP(Calculator!E23,tbSkills!DH3:DI6,2,FALSE)+IF(AND(Calculator!B8=TRUE,Backdoors!BI7=TRUE),VLOOKUP(Calculator!E23,tbSkills!DH3:DJ6,3,FALSE),0),0)))/100)),(1-(0.25*((-Backdoors!AI12-IF(AD108&gt;=0.45,VLOOKUP(Calculator!E23,tbSkills!DH3:DI6,2,FALSE)+IF(AND(Calculator!B8=TRUE,Backdoors!BI7=TRUE),VLOOKUP(Calculator!E23,tbSkills!DH3:DJ6,3,FALSE),0),0))/100)))),1),"")</f>
        <v>1</v>
      </c>
      <c r="AG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D108)*AF108)*(VLOOKUP(A108,tbMoveset!A2:C112,3,FALSE)/100)*IF(VLOOKUP(A108,tbMoveset!A2:B112,2,FALSE)="Projectile",Backdoors!N10,Backdoors!N9),0),"")</f>
        <v>5</v>
      </c>
      <c r="AH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D108&gt;=0.45,VLOOKUP(Calculator!E23,tbSkills!DH3:DI6,2,FALSE)+IF(AND(Calculator!B8=TRUE,Backdoors!BI7=TRUE),VLOOKUP(Calculator!E23,tbSkills!DH3:DJ6,3,FALSE),0),0))&gt;=100,100,(Backdoors!AI12+IF(AD108&gt;=0.45,VLOOKUP(Calculator!E23,tbSkills!DH3:DI6,2,FALSE)+IF(AND(Calculator!B8=TRUE,Backdoors!BI7=TRUE),VLOOKUP(Calculator!E23,tbSkills!DH3:DJ6,3,FALSE),0),0)))/100)),1))*IF(VLOOKUP(A108,tbMoveset!A2:K112,11,FALSE)=TRUE,Backdoors!AC5,1))*AE108,0),"")</f>
        <v>0</v>
      </c>
      <c r="AI108" s="49">
        <f>VLOOKUP(A108,tbMoveset!A2:G112,7,FALSE)*IFERROR(IF(Backdoors!AI12&gt;=0,1+(IF(Calculator!E40&gt;0,VLOOKUP(Calculator!E40,tbSkills!AI3:AJ5,2,FALSE),Backdoors!AL4)*(IF((Backdoors!AI12+IF(AD108&gt;=0.45,VLOOKUP(Calculator!E23,tbSkills!DH3:DI6,2,FALSE)+IF(AND(Calculator!B8=TRUE,Backdoors!BI7=TRUE),VLOOKUP(Calculator!E23,tbSkills!DH3:DJ6,3,FALSE),0),0))&gt;=100,100,(Backdoors!AI12+IF(AD108&gt;=0.45,VLOOKUP(Calculator!E23,tbSkills!DH3:DI6,2,FALSE)+IF(AND(Calculator!B8=TRUE,Backdoors!BI7=TRUE),VLOOKUP(Calculator!E23,tbSkills!DH3:DJ6,3,FALSE),0),0)))/100)),1),1)</f>
        <v>0.6</v>
      </c>
      <c r="AJ108" s="87">
        <f t="shared" si="55"/>
        <v>5</v>
      </c>
      <c r="AK108" s="91">
        <f>IFERROR(IF(VLOOKUP(A108,tbMoveset!A2:B112,2,FALSE)="Sever",Backdoors!AY8/100,IF(VLOOKUP(A108,tbMoveset!A2:B112,2,FALSE)="Blunt",Backdoors!AZ8/100,Backdoors!BA8/100)),"")</f>
        <v>0.45</v>
      </c>
      <c r="AL108" s="49">
        <f>IFERROR(IF(VLOOKUP(tbMoveset!A108,tbMoveset!A2:H112,8,FALSE)="Other",IF(VLOOKUP(tbMoveset!A108,tbMoveset!A2:I112,9,FALSE)="Fire",Backdoors!BB8,IF(VLOOKUP(tbMoveset!A108,tbMoveset!A2:I112,9,FALSE)="Water",Backdoors!BC8,IF(VLOOKUP(tbMoveset!A108,tbMoveset!A2:I112,9,FALSE)="Thunder",Backdoors!BD8,IF(VLOOKUP(tbMoveset!A108,tbMoveset!A2:I112,9,FALSE)="Ice",Backdoors!BE8,IF(VLOOKUP(tbMoveset!A108,tbMoveset!A2:I112,9,FALSE)="Dragon",Backdoors!BF8,Backdoors!BG8)))))/100,Backdoors!BG8/100),"")</f>
        <v>0</v>
      </c>
      <c r="AM108" s="49">
        <f>IFERROR(IF(VLOOKUP(A108,tbMoveset!A2:J112,10,FALSE)=TRUE,IF((Backdoors!AI12+IF(AK108&gt;=0.45,VLOOKUP(Calculator!E23,tbSkills!DH3:DI6,2,FALSE)+IF(AND(Calculator!B8=TRUE,Backdoors!BI8=TRUE),VLOOKUP(Calculator!E23,tbSkills!DH3:DJ6,3,FALSE),0),0))&gt;=0,1+(Backdoors!AL2*(IF((Backdoors!AI12+IF(AK108&gt;=0.45,VLOOKUP(Calculator!E23,tbSkills!DH3:DI6,2,FALSE)+IF(AND(Calculator!B8=TRUE,Backdoors!BI8=TRUE),VLOOKUP(Calculator!E23,tbSkills!DH3:DJ6,3,FALSE),0),0))&gt;=100,100,(Backdoors!AI12+IF(AK108&gt;=0.45,VLOOKUP(Calculator!E23,tbSkills!DH3:DI6,2,FALSE)+IF(AND(Calculator!B8=TRUE,Backdoors!BI8=TRUE),VLOOKUP(Calculator!E23,tbSkills!DH3:DJ6,3,FALSE),0),0)))/100)),(1-(0.25*((-Backdoors!AI12-IF(AK108&gt;=0.45,VLOOKUP(Calculator!E23,tbSkills!DH3:DI6,2,FALSE)+IF(AND(Calculator!B8=TRUE,Backdoors!BI8=TRUE),VLOOKUP(Calculator!E23,tbSkills!DH3:DJ6,3,FALSE),0),0))/100)))),1),"")</f>
        <v>1</v>
      </c>
      <c r="AN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K108)*AM108)*(VLOOKUP(A108,tbMoveset!A2:C112,3,FALSE)/100)*IF(VLOOKUP(A108,tbMoveset!A2:B112,2,FALSE)="Projectile",Backdoors!N10,Backdoors!N9),0),"")</f>
        <v>4</v>
      </c>
      <c r="AO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K108&gt;=0.45,VLOOKUP(Calculator!E23,tbSkills!DH3:DI6,2,FALSE)+IF(AND(Calculator!B8=TRUE,Backdoors!BI8=TRUE),VLOOKUP(Calculator!E23,tbSkills!DH3:DJ6,3,FALSE),0),0))&gt;=100,100,(Backdoors!AI12+IF(AK108&gt;=0.45,VLOOKUP(Calculator!E23,tbSkills!DH3:DI6,2,FALSE)+IF(AND(Calculator!B8=TRUE,Backdoors!BI8=TRUE),VLOOKUP(Calculator!E23,tbSkills!DH3:DJ6,3,FALSE),0),0)))/100)),1))*IF(VLOOKUP(A108,tbMoveset!A2:K112,11,FALSE)=TRUE,Backdoors!AC5,1))*AL108,0),"")</f>
        <v>0</v>
      </c>
      <c r="AP108" s="49">
        <f>VLOOKUP(A108,tbMoveset!A2:G112,7,FALSE)*IFERROR(IF(Backdoors!AI12&gt;=0,1+(IF(Calculator!E40&gt;0,VLOOKUP(Calculator!E40,tbSkills!AI3:AJ5,2,FALSE),Backdoors!AL4)*(IF((Backdoors!AI12+IF(AK108&gt;=0.45,VLOOKUP(Calculator!E23,tbSkills!DH3:DI6,2,FALSE)+IF(AND(Calculator!B8=TRUE,Backdoors!BI8=TRUE),VLOOKUP(Calculator!E23,tbSkills!DH3:DJ6,3,FALSE),0),0))&gt;=100,100,(Backdoors!AI12+IF(AK108&gt;=0.45,VLOOKUP(Calculator!E23,tbSkills!DH3:DI6,2,FALSE)+IF(AND(Calculator!B8=TRUE,Backdoors!BI8=TRUE),VLOOKUP(Calculator!E23,tbSkills!DH3:DJ6,3,FALSE),0),0)))/100)),1),1)</f>
        <v>0.6</v>
      </c>
      <c r="AQ108" s="87">
        <f t="shared" si="56"/>
        <v>4</v>
      </c>
      <c r="AR108" s="86">
        <f>IFERROR(IF(VLOOKUP(A108,tbMoveset!A2:B112,2,FALSE)="Sever",Backdoors!AY9/100,IF(VLOOKUP(A108,tbMoveset!A2:B112,2,FALSE)="Blunt",Backdoors!AZ9/100,Backdoors!BA9/100)),"")</f>
        <v>0.45</v>
      </c>
      <c r="AS108" s="49">
        <f>IFERROR(IF(VLOOKUP(tbMoveset!A108,tbMoveset!A2:H112,8,FALSE)="Other",IF(VLOOKUP(tbMoveset!A108,tbMoveset!A2:I112,9,FALSE)="Fire",Backdoors!BB9,IF(VLOOKUP(tbMoveset!A108,tbMoveset!A2:I112,9,FALSE)="Water",Backdoors!BC9,IF(VLOOKUP(tbMoveset!A108,tbMoveset!A2:I112,9,FALSE)="Thunder",Backdoors!BD9,IF(VLOOKUP(tbMoveset!A108,tbMoveset!A2:I112,9,FALSE)="Ice",Backdoors!BE9,IF(VLOOKUP(tbMoveset!A108,tbMoveset!A2:I112,9,FALSE)="Dragon",Backdoors!BF9,Backdoors!BG9)))))/100,Backdoors!BG9/100),"")</f>
        <v>0</v>
      </c>
      <c r="AT108" s="49">
        <f>IFERROR(IF(VLOOKUP(A108,tbMoveset!A2:J112,10,FALSE)=TRUE,IF((Backdoors!AI12+IF(AR108&gt;=0.45,VLOOKUP(Calculator!E23,tbSkills!DH3:DI6,2,FALSE)+IF(AND(Calculator!B8=TRUE,Backdoors!BI9=TRUE),VLOOKUP(Calculator!E23,tbSkills!DH3:DJ6,3,FALSE),0),0))&gt;=0,1+(Backdoors!AL2*(IF((Backdoors!AI12+IF(AR108&gt;=0.45,VLOOKUP(Calculator!E23,tbSkills!DH3:DI6,2,FALSE)+IF(AND(Calculator!B8=TRUE,Backdoors!BI9=TRUE),VLOOKUP(Calculator!E23,tbSkills!DH3:DJ6,3,FALSE),0),0))&gt;=100,100,(Backdoors!AI12+IF(AR108&gt;=0.45,VLOOKUP(Calculator!E23,tbSkills!DH3:DI6,2,FALSE)+IF(AND(Calculator!B8=TRUE,Backdoors!BI9=TRUE),VLOOKUP(Calculator!E23,tbSkills!DH3:DJ6,3,FALSE),0),0)))/100)),(1-(0.25*((-Backdoors!AI12-IF(AR108&gt;=0.45,VLOOKUP(Calculator!E23,tbSkills!DH3:DI6,2,FALSE)+IF(AND(Calculator!B8=TRUE,Backdoors!BI9=TRUE),VLOOKUP(Calculator!E23,tbSkills!DH3:DJ6,3,FALSE),0),0))/100)))),1),"")</f>
        <v>1</v>
      </c>
      <c r="AU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R108)*AT108)*(VLOOKUP(A108,tbMoveset!A2:C112,3,FALSE)/100)*IF(VLOOKUP(A108,tbMoveset!A2:B112,2,FALSE)="Projectile",Backdoors!N10,Backdoors!N9),0),"")</f>
        <v>4</v>
      </c>
      <c r="AV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R108&gt;=0.45,VLOOKUP(Calculator!E23,tbSkills!DH3:DI6,2,FALSE)+IF(AND(Calculator!B8=TRUE,Backdoors!BI9=TRUE),VLOOKUP(Calculator!E23,tbSkills!DH3:DJ6,3,FALSE),0),0))&gt;=100,100,(Backdoors!AI12+IF(AR108&gt;=0.45,VLOOKUP(Calculator!E23,tbSkills!DH3:DI6,2,FALSE)+IF(AND(Calculator!B8=TRUE,Backdoors!BI9=TRUE),VLOOKUP(Calculator!E23,tbSkills!DH3:DJ6,3,FALSE),0),0)))/100)),1))*IF(VLOOKUP(A108,tbMoveset!A2:K112,11,FALSE)=TRUE,Backdoors!AC5,1))*AS108,0),"")</f>
        <v>0</v>
      </c>
      <c r="AW108" s="49">
        <f>VLOOKUP(A108,tbMoveset!A2:G112,7,FALSE)*IFERROR(IF(Backdoors!AI12&gt;=0,1+(IF(Calculator!E40&gt;0,VLOOKUP(Calculator!E40,tbSkills!AI3:AJ5,2,FALSE),Backdoors!AL4)*(IF((Backdoors!AI12+IF(AR108&gt;=0.45,VLOOKUP(Calculator!E23,tbSkills!DH3:DI6,2,FALSE)+IF(AND(Calculator!B8=TRUE,Backdoors!BI9=TRUE),VLOOKUP(Calculator!E23,tbSkills!DH3:DJ6,3,FALSE),0),0))&gt;=100,100,(Backdoors!AI12+IF(AR108&gt;=0.45,VLOOKUP(Calculator!E23,tbSkills!DH3:DI6,2,FALSE)+IF(AND(Calculator!B8=TRUE,Backdoors!BI9=TRUE),VLOOKUP(Calculator!E23,tbSkills!DH3:DJ6,3,FALSE),0),0)))/100)),1),1)</f>
        <v>0.6</v>
      </c>
      <c r="AX108" s="87">
        <f t="shared" si="57"/>
        <v>4</v>
      </c>
      <c r="AY108" s="86">
        <f>IFERROR(IF(VLOOKUP(A108,tbMoveset!A2:B112,2,FALSE)="Sever",Backdoors!AY10/100,IF(VLOOKUP(A108,tbMoveset!A2:B112,2,FALSE)="Blunt",Backdoors!AZ10/100,Backdoors!BA10/100)),"")</f>
        <v>0.9</v>
      </c>
      <c r="AZ108" s="49">
        <f>IFERROR(IF(VLOOKUP(tbMoveset!A108,tbMoveset!A2:H112,8,FALSE)="Other",IF(VLOOKUP(tbMoveset!A108,tbMoveset!A2:I112,9,FALSE)="Fire",Backdoors!BB10,IF(VLOOKUP(tbMoveset!A108,tbMoveset!A2:I112,9,FALSE)="Water",Backdoors!BC10,IF(VLOOKUP(tbMoveset!A108,tbMoveset!A2:I112,9,FALSE)="Thunder",Backdoors!BD10,IF(VLOOKUP(tbMoveset!A108,tbMoveset!A2:I112,9,FALSE)="Ice",Backdoors!BE10,IF(VLOOKUP(tbMoveset!A108,tbMoveset!A2:I112,9,FALSE)="Dragon",Backdoors!BF10,Backdoors!BG10)))))/100,Backdoors!BG10/100),"")</f>
        <v>0</v>
      </c>
      <c r="BA108" s="49">
        <f>IFERROR(IF(VLOOKUP(A108,tbMoveset!A2:J112,10,FALSE)=TRUE,IF((Backdoors!AI12+IF(AY108&gt;=0.45,VLOOKUP(Calculator!E23,tbSkills!DH3:DI6,2,FALSE)+IF(AND(Calculator!B8=TRUE,Backdoors!BI10=TRUE),VLOOKUP(Calculator!E23,tbSkills!DH3:DJ6,3,FALSE),0),0))&gt;=0,1+(Backdoors!AL2*(IF((Backdoors!AI12+IF(AY108&gt;=0.45,VLOOKUP(Calculator!E23,tbSkills!DH3:DI6,2,FALSE)+IF(AND(Calculator!B8=TRUE,Backdoors!BI10=TRUE),VLOOKUP(Calculator!E23,tbSkills!DH3:DJ6,3,FALSE),0),0))&gt;=100,100,(Backdoors!AI12+IF(AY108&gt;=0.45,VLOOKUP(Calculator!E23,tbSkills!DH3:DI6,2,FALSE)+IF(AND(Calculator!B8=TRUE,Backdoors!BI10=TRUE),VLOOKUP(Calculator!E23,tbSkills!DH3:DJ6,3,FALSE),0),0)))/100)),(1-(0.25*((-Backdoors!AI12-IF(AY108&gt;=0.45,VLOOKUP(Calculator!E23,tbSkills!DH3:DI6,2,FALSE)+IF(AND(Calculator!B8=TRUE,Backdoors!BI10=TRUE),VLOOKUP(Calculator!E23,tbSkills!DH3:DJ6,3,FALSE),0),0))/100)))),1),"")</f>
        <v>1</v>
      </c>
      <c r="BB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Y108)*BA108)*(VLOOKUP(A108,tbMoveset!A2:C112,3,FALSE)/100)*IF(VLOOKUP(A108,tbMoveset!A2:B112,2,FALSE)="Projectile",Backdoors!N10,Backdoors!N9),0),"")</f>
        <v>8</v>
      </c>
      <c r="BC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Y108&gt;=0.45,VLOOKUP(Calculator!E23,tbSkills!DH3:DI6,2,FALSE)+IF(AND(Calculator!B8=TRUE,Backdoors!BI10=TRUE),VLOOKUP(Calculator!E23,tbSkills!DH3:DJ6,3,FALSE),0),0))&gt;=100,100,(Backdoors!AI12+IF(AY108&gt;=0.45,VLOOKUP(Calculator!E23,tbSkills!DH3:DI6,2,FALSE)+IF(AND(Calculator!B8=TRUE,Backdoors!BI10=TRUE),VLOOKUP(Calculator!E23,tbSkills!DH3:DJ6,3,FALSE),0),0)))/100)),1))*IF(VLOOKUP(A108,tbMoveset!A2:K112,11,FALSE)=TRUE,Backdoors!AC5,1))*AZ108,0),"")</f>
        <v>0</v>
      </c>
      <c r="BD108" s="49">
        <f>VLOOKUP(A108,tbMoveset!A2:G112,7,FALSE)*IFERROR(IF(Backdoors!AI12&gt;=0,1+(IF(Calculator!E40&gt;0,VLOOKUP(Calculator!E40,tbSkills!AI3:AJ5,2,FALSE),Backdoors!AL4)*(IF((Backdoors!AI12+IF(AY108&gt;=0.45,VLOOKUP(Calculator!E23,tbSkills!DH3:DI6,2,FALSE)+IF(AND(Calculator!B8=TRUE,Backdoors!BI10=TRUE),VLOOKUP(Calculator!E23,tbSkills!DH3:DJ6,3,FALSE),0),0))&gt;=100,100,(Backdoors!AI12+IF(AY108&gt;=0.45,VLOOKUP(Calculator!E23,tbSkills!DH3:DI6,2,FALSE)+IF(AND(Calculator!B8=TRUE,Backdoors!BI10=TRUE),VLOOKUP(Calculator!E23,tbSkills!DH3:DJ6,3,FALSE),0),0)))/100)),1),1)</f>
        <v>0.6</v>
      </c>
      <c r="BE108" s="87">
        <f t="shared" si="58"/>
        <v>8</v>
      </c>
      <c r="BF108" s="86" t="str">
        <f>IFERROR(IF(VLOOKUP(A108,tbMoveset!A2:B112,2,FALSE)="Sever",Backdoors!AY11/100,IF(VLOOKUP(A108,tbMoveset!A2:B112,2,FALSE)="Blunt",Backdoors!AZ11/100,Backdoors!BA11/100)),"")</f>
        <v/>
      </c>
      <c r="BG108" s="49">
        <f>IFERROR(IF(VLOOKUP(tbMoveset!A108,tbMoveset!A2:H112,8,FALSE)="Other",IF(VLOOKUP(tbMoveset!A108,tbMoveset!A2:I112,9,FALSE)="Fire",Backdoors!BB11,IF(VLOOKUP(tbMoveset!A108,tbMoveset!A2:I112,9,FALSE)="Water",Backdoors!BC11,IF(VLOOKUP(tbMoveset!A108,tbMoveset!A2:I112,9,FALSE)="Thunder",Backdoors!BD11,IF(VLOOKUP(tbMoveset!A108,tbMoveset!A2:I112,9,FALSE)="Ice",Backdoors!BE11,IF(VLOOKUP(tbMoveset!A108,tbMoveset!A2:I112,9,FALSE)="Dragon",Backdoors!BF11,Backdoors!BG11)))))/100,Backdoors!BG11/100),"")</f>
        <v>0</v>
      </c>
      <c r="BH108" s="49">
        <f>IFERROR(IF(VLOOKUP(A108,tbMoveset!A2:J112,10,FALSE)=TRUE,IF((Backdoors!AI12+IF(BF108&gt;=0.45,VLOOKUP(Calculator!E23,tbSkills!DH3:DI6,2,FALSE)+IF(AND(Calculator!B8=TRUE,Backdoors!BI11=TRUE),VLOOKUP(Calculator!E23,tbSkills!DH3:DJ6,3,FALSE),0),0))&gt;=0,1+(Backdoors!AL2*(IF((Backdoors!AI12+IF(BF108&gt;=0.45,VLOOKUP(Calculator!E23,tbSkills!DH3:DI6,2,FALSE)+IF(AND(Calculator!B8=TRUE,Backdoors!BI11=TRUE),VLOOKUP(Calculator!E23,tbSkills!DH3:DJ6,3,FALSE),0),0))&gt;=100,100,(Backdoors!AI12+IF(BF108&gt;=0.45,VLOOKUP(Calculator!E23,tbSkills!DH3:DI6,2,FALSE)+IF(AND(Calculator!B8=TRUE,Backdoors!BI11=TRUE),VLOOKUP(Calculator!E23,tbSkills!DH3:DJ6,3,FALSE),0),0)))/100)),(1-(0.25*((-Backdoors!AI12-IF(BF108&gt;=0.45,VLOOKUP(Calculator!E23,tbSkills!DH3:DI6,2,FALSE)+IF(AND(Calculator!B8=TRUE,Backdoors!BI11=TRUE),VLOOKUP(Calculator!E23,tbSkills!DH3:DJ6,3,FALSE),0),0))/100)))),1),"")</f>
        <v>1</v>
      </c>
      <c r="BI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F108)*BH108)*(VLOOKUP(A108,tbMoveset!A2:C112,3,FALSE)/100)*IF(VLOOKUP(A108,tbMoveset!A2:B112,2,FALSE)="Projectile",Backdoors!N10,Backdoors!N9),0),"")</f>
        <v/>
      </c>
      <c r="BJ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F108&gt;=0.45,VLOOKUP(Calculator!E23,tbSkills!DH3:DI6,2,FALSE)+IF(AND(Calculator!B8=TRUE,Backdoors!BI11=TRUE),VLOOKUP(Calculator!E23,tbSkills!DH3:DJ6,3,FALSE),0),0))&gt;=100,100,(Backdoors!AI12+IF(BF108&gt;=0.45,VLOOKUP(Calculator!E23,tbSkills!DH3:DI6,2,FALSE)+IF(AND(Calculator!B8=TRUE,Backdoors!BI11=TRUE),VLOOKUP(Calculator!E23,tbSkills!DH3:DJ6,3,FALSE),0),0)))/100)),1))*IF(VLOOKUP(A108,tbMoveset!A2:K112,11,FALSE)=TRUE,Backdoors!AC5,1))*BG108,0),"")</f>
        <v>0</v>
      </c>
      <c r="BK108" s="49">
        <f>VLOOKUP(A108,tbMoveset!A2:G112,7,FALSE)*IFERROR(IF(Backdoors!AI12&gt;=0,1+(IF(Calculator!E40&gt;0,VLOOKUP(Calculator!E40,tbSkills!AI3:AJ5,2,FALSE),Backdoors!AL4)*(IF((Backdoors!AI12+IF(BF108&gt;=0.45,VLOOKUP(Calculator!E23,tbSkills!DH3:DI6,2,FALSE)+IF(AND(Calculator!B8=TRUE,Backdoors!BI11=TRUE),VLOOKUP(Calculator!E23,tbSkills!DH3:DJ6,3,FALSE),0),0))&gt;=100,100,(Backdoors!AI12+IF(BF108&gt;=0.45,VLOOKUP(Calculator!E23,tbSkills!DH3:DI6,2,FALSE)+IF(AND(Calculator!B8=TRUE,Backdoors!BI11=TRUE),VLOOKUP(Calculator!E23,tbSkills!DH3:DJ6,3,FALSE),0),0)))/100)),1),1)</f>
        <v>0.6</v>
      </c>
      <c r="BL108" s="87">
        <f t="shared" si="59"/>
        <v>0</v>
      </c>
      <c r="BM108" s="86" t="str">
        <f>IFERROR(IF(VLOOKUP(A108,tbMoveset!A2:B112,2,FALSE)="Sever",Backdoors!AY12/100,IF(VLOOKUP(A108,tbMoveset!A2:B112,2,FALSE)="Blunt",Backdoors!AZ12/100,Backdoors!BA12/100)),"")</f>
        <v/>
      </c>
      <c r="BN108" s="49">
        <f>IFERROR(IF(VLOOKUP(tbMoveset!A108,tbMoveset!A2:H112,8,FALSE)="Other",IF(VLOOKUP(tbMoveset!A108,tbMoveset!A2:I112,9,FALSE)="Fire",Backdoors!BB12,IF(VLOOKUP(tbMoveset!A108,tbMoveset!A2:I112,9,FALSE)="Water",Backdoors!BC12,IF(VLOOKUP(tbMoveset!A108,tbMoveset!A2:I112,9,FALSE)="Thunder",Backdoors!BD12,IF(VLOOKUP(tbMoveset!A108,tbMoveset!A2:I112,9,FALSE)="Ice",Backdoors!BE12,IF(VLOOKUP(tbMoveset!A108,tbMoveset!A2:I112,9,FALSE)="Dragon",Backdoors!BF12,Backdoors!BG12)))))/100,Backdoors!BG12/100),"")</f>
        <v>0</v>
      </c>
      <c r="BO108" s="49">
        <f>IFERROR(IF(VLOOKUP(A108,tbMoveset!A2:J112,10,FALSE)=TRUE,IF((Backdoors!AI12+IF(BM108&gt;=0.45,VLOOKUP(Calculator!E23,tbSkills!DH3:DI6,2,FALSE)+IF(AND(Calculator!B8=TRUE,Backdoors!BI12=TRUE),VLOOKUP(Calculator!E23,tbSkills!DH3:DJ6,3,FALSE),0),0))&gt;=0,1+(Backdoors!AL2*(IF((Backdoors!AI12+IF(BM108&gt;=0.45,VLOOKUP(Calculator!E23,tbSkills!DH3:DI6,2,FALSE)+IF(AND(Calculator!B8=TRUE,Backdoors!BI12=TRUE),VLOOKUP(Calculator!E23,tbSkills!DH3:DJ6,3,FALSE),0),0))&gt;=100,100,(Backdoors!AI12+IF(BM108&gt;=0.45,VLOOKUP(Calculator!E23,tbSkills!DH3:DI6,2,FALSE)+IF(AND(Calculator!B8=TRUE,Backdoors!BI12=TRUE),VLOOKUP(Calculator!E23,tbSkills!DH3:DJ6,3,FALSE),0),0)))/100)),(1-(0.25*((-Backdoors!AI12-IF(BM108&gt;=0.45,VLOOKUP(Calculator!E23,tbSkills!DH3:DI6,2,FALSE)+IF(AND(Calculator!B8=TRUE,Backdoors!BI12=TRUE),VLOOKUP(Calculator!E23,tbSkills!DH3:DJ6,3,FALSE),0),0))/100)))),1),"")</f>
        <v>1</v>
      </c>
      <c r="BP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M108)*BO108)*(VLOOKUP(A108,tbMoveset!A2:C112,3,FALSE)/100)*IF(VLOOKUP(A108,tbMoveset!A2:B112,2,FALSE)="Projectile",Backdoors!N10,Backdoors!N9),0),"")</f>
        <v/>
      </c>
      <c r="BQ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M108&gt;=0.45,VLOOKUP(Calculator!E23,tbSkills!DH3:DI6,2,FALSE)+IF(AND(Calculator!B8=TRUE,Backdoors!BI12=TRUE),VLOOKUP(Calculator!E23,tbSkills!DH3:DJ6,3,FALSE),0),0))&gt;=100,100,(Backdoors!AI12+IF(BM108&gt;=0.45,VLOOKUP(Calculator!E23,tbSkills!DH3:DI6,2,FALSE)+IF(AND(Calculator!B8=TRUE,Backdoors!BI12=TRUE),VLOOKUP(Calculator!E23,tbSkills!DH3:DJ6,3,FALSE),0),0)))/100)),1))*IF(VLOOKUP(A108,tbMoveset!A2:K112,11,FALSE)=TRUE,Backdoors!AC5,1))*BN108,0),"")</f>
        <v>0</v>
      </c>
      <c r="BR108" s="49">
        <f>VLOOKUP(A108,tbMoveset!A2:G112,7,FALSE)*IFERROR(IF(Backdoors!AI12&gt;=0,1+(IF(Calculator!E40&gt;0,VLOOKUP(Calculator!E40,tbSkills!AI3:AJ5,2,FALSE),Backdoors!AL4)*(IF((Backdoors!AI12+IF(BM108&gt;=0.45,VLOOKUP(Calculator!E23,tbSkills!DH3:DI6,2,FALSE)+IF(AND(Calculator!B8=TRUE,Backdoors!BI12=TRUE),VLOOKUP(Calculator!E23,tbSkills!DH3:DJ6,3,FALSE),0),0))&gt;=100,100,(Backdoors!AI12+IF(BM108&gt;=0.45,VLOOKUP(Calculator!E23,tbSkills!DH3:DI6,2,FALSE)+IF(AND(Calculator!B8=TRUE,Backdoors!BI12=TRUE),VLOOKUP(Calculator!E23,tbSkills!DH3:DJ6,3,FALSE),0),0)))/100)),1),1)</f>
        <v>0.6</v>
      </c>
      <c r="BS108" s="87">
        <f t="shared" si="60"/>
        <v>0</v>
      </c>
      <c r="BT108" s="86" t="str">
        <f>IFERROR(IF(VLOOKUP(A108,tbMoveset!A2:B112,2,FALSE)="Sever",Backdoors!AY13/100,IF(VLOOKUP(A108,tbMoveset!A2:B112,2,FALSE)="Blunt",Backdoors!AZ13/100,Backdoors!BA13/100)),"")</f>
        <v/>
      </c>
      <c r="BU108" s="49">
        <f>IFERROR(IF(VLOOKUP(tbMoveset!A108,tbMoveset!A2:H112,8,FALSE)="Other",IF(VLOOKUP(tbMoveset!A108,tbMoveset!A2:I112,9,FALSE)="Fire",Backdoors!BB13,IF(VLOOKUP(tbMoveset!A108,tbMoveset!A2:I112,9,FALSE)="Water",Backdoors!BC13,IF(VLOOKUP(tbMoveset!A108,tbMoveset!A2:I112,9,FALSE)="Thunder",Backdoors!BD13,IF(VLOOKUP(tbMoveset!A108,tbMoveset!A2:I112,9,FALSE)="Ice",Backdoors!BE13,IF(VLOOKUP(tbMoveset!A108,tbMoveset!A2:I112,9,FALSE)="Dragon",Backdoors!BF13,Backdoors!BG13)))))/100,Backdoors!BG13/100),"")</f>
        <v>0</v>
      </c>
      <c r="BV108" s="49">
        <f>IFERROR(IF(VLOOKUP(A108,tbMoveset!A2:J112,10,FALSE)=TRUE,IF((Backdoors!AI12+IF(BT108&gt;=0.45,VLOOKUP(Calculator!E23,tbSkills!DH3:DI6,2,FALSE)+IF(AND(Calculator!B8=TRUE,Backdoors!BI13=TRUE),VLOOKUP(Calculator!E23,tbSkills!DH3:DJ6,3,FALSE),0),0))&gt;=0,1+(Backdoors!AL2*(IF((Backdoors!AI12+IF(BT108&gt;=0.45,VLOOKUP(Calculator!E23,tbSkills!DH3:DI6,2,FALSE)+IF(AND(Calculator!B8=TRUE,Backdoors!BI13=TRUE),VLOOKUP(Calculator!E23,tbSkills!DH3:DJ6,3,FALSE),0),0))&gt;=100,100,(Backdoors!AI12+IF(BT108&gt;=0.45,VLOOKUP(Calculator!E23,tbSkills!DH3:DI6,2,FALSE)+IF(AND(Calculator!B8=TRUE,Backdoors!BI13=TRUE),VLOOKUP(Calculator!E23,tbSkills!DH3:DJ6,3,FALSE),0),0)))/100)),(1-(0.25*((-Backdoors!AI12-IF(BT108&gt;=0.45,VLOOKUP(Calculator!E23,tbSkills!DH3:DI6,2,FALSE)+IF(AND(Calculator!B8=TRUE,Backdoors!BI13=TRUE),VLOOKUP(Calculator!E23,tbSkills!DH3:DJ6,3,FALSE),0),0))/100)))),1),"")</f>
        <v>1</v>
      </c>
      <c r="BW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T108)*BV108)*(VLOOKUP(A108,tbMoveset!A2:C112,3,FALSE)/100)*IF(VLOOKUP(A108,tbMoveset!A2:B112,2,FALSE)="Projectile",Backdoors!N10,Backdoors!N9),0),"")</f>
        <v/>
      </c>
      <c r="BX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T108&gt;=0.45,VLOOKUP(Calculator!E23,tbSkills!DH3:DI6,2,FALSE)+IF(AND(Calculator!B8=TRUE,Backdoors!BI13=TRUE),VLOOKUP(Calculator!E23,tbSkills!DH3:DJ6,3,FALSE),0),0))&gt;=100,100,(Backdoors!AI12+IF(BT108&gt;=0.45,VLOOKUP(Calculator!E23,tbSkills!DH3:DI6,2,FALSE)+IF(AND(Calculator!B8=TRUE,Backdoors!BI13=TRUE),VLOOKUP(Calculator!E23,tbSkills!DH3:DJ6,3,FALSE),0),0)))/100)),1))*IF(VLOOKUP(A108,tbMoveset!A2:K112,11,FALSE)=TRUE,Backdoors!AC5,1))*BU108,0),"")</f>
        <v>0</v>
      </c>
      <c r="BY108" s="49">
        <f>VLOOKUP(A108,tbMoveset!A2:G112,7,FALSE)*IFERROR(IF(Backdoors!AI12&gt;=0,1+(IF(Calculator!E40&gt;0,VLOOKUP(Calculator!E40,tbSkills!AI3:AJ5,2,FALSE),Backdoors!AL4)*(IF((Backdoors!AI12+IF(BT108&gt;=0.45,VLOOKUP(Calculator!E23,tbSkills!DH3:DI6,2,FALSE)+IF(AND(Calculator!B8=TRUE,Backdoors!BI13=TRUE),VLOOKUP(Calculator!E23,tbSkills!DH3:DJ6,3,FALSE),0),0))&gt;=100,100,(Backdoors!AI12+IF(BT108&gt;=0.45,VLOOKUP(Calculator!E23,tbSkills!DH3:DI6,2,FALSE)+IF(AND(Calculator!B8=TRUE,Backdoors!BI13=TRUE),VLOOKUP(Calculator!E23,tbSkills!DH3:DJ6,3,FALSE),0),0)))/100)),1),1)</f>
        <v>0.6</v>
      </c>
      <c r="BZ108" s="87">
        <f t="shared" si="61"/>
        <v>0</v>
      </c>
      <c r="CA108" s="86" t="str">
        <f>IFERROR(IF(VLOOKUP(A108,tbMoveset!A2:B112,2,FALSE)="Sever",Backdoors!AY14/100,IF(VLOOKUP(A108,tbMoveset!A2:B112,2,FALSE)="Blunt",Backdoors!AZ14/100,Backdoors!BA14/100)),"")</f>
        <v/>
      </c>
      <c r="CB108" s="49">
        <f>IFERROR(IF(VLOOKUP(tbMoveset!A108,tbMoveset!A2:H112,8,FALSE)="Other",IF(VLOOKUP(tbMoveset!A108,tbMoveset!A2:I112,9,FALSE)="Fire",Backdoors!BB14,IF(VLOOKUP(tbMoveset!A108,tbMoveset!A2:I112,9,FALSE)="Water",Backdoors!BC14,IF(VLOOKUP(tbMoveset!A108,tbMoveset!A2:I112,9,FALSE)="Thunder",Backdoors!BD14,IF(VLOOKUP(tbMoveset!A108,tbMoveset!A2:I112,9,FALSE)="Ice",Backdoors!BE14,IF(VLOOKUP(tbMoveset!A108,tbMoveset!A2:I112,9,FALSE)="Dragon",Backdoors!BF14,Backdoors!BG14)))))/100,Backdoors!BG14/100),"")</f>
        <v>0</v>
      </c>
      <c r="CC108" s="49">
        <f>IFERROR(IF(VLOOKUP(A108,tbMoveset!A2:J112,10,FALSE)=TRUE,IF((Backdoors!AI12+IF(CA108&gt;=0.45,VLOOKUP(Calculator!E23,tbSkills!DH3:DI6,2,FALSE)+IF(AND(Calculator!B8=TRUE,Backdoors!BI14=TRUE),VLOOKUP(Calculator!E23,tbSkills!DH3:DJ6,3,FALSE),0),0))&gt;=0,1+(Backdoors!AL2*(IF((Backdoors!AI12+IF(CA108&gt;=0.45,VLOOKUP(Calculator!E23,tbSkills!DH3:DI6,2,FALSE)+IF(AND(Calculator!B8=TRUE,Backdoors!BI14=TRUE),VLOOKUP(Calculator!E23,tbSkills!DH3:DJ6,3,FALSE),0),0))&gt;=100,100,(Backdoors!AI12+IF(CA108&gt;=0.45,VLOOKUP(Calculator!E23,tbSkills!DH3:DI6,2,FALSE)+IF(AND(Calculator!B8=TRUE,Backdoors!BI14=TRUE),VLOOKUP(Calculator!E23,tbSkills!DH3:DJ6,3,FALSE),0),0)))/100)),(1-(0.25*((-Backdoors!AI12-IF(CA108&gt;=0.45,VLOOKUP(Calculator!E23,tbSkills!DH3:DI6,2,FALSE)+IF(AND(Calculator!B8=TRUE,Backdoors!BI14=TRUE),VLOOKUP(Calculator!E23,tbSkills!DH3:DJ6,3,FALSE),0),0))/100)))),1),"")</f>
        <v>1</v>
      </c>
      <c r="CD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A108)*CC108)*(VLOOKUP(A108,tbMoveset!A2:C112,3,FALSE)/100)*IF(VLOOKUP(A108,tbMoveset!A2:B112,2,FALSE)="Projectile",Backdoors!N10,Backdoors!N9),0),"")</f>
        <v/>
      </c>
      <c r="CE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A108&gt;=0.45,VLOOKUP(Calculator!E23,tbSkills!DH3:DI6,2,FALSE)+IF(AND(Calculator!B8=TRUE,Backdoors!BI14=TRUE),VLOOKUP(Calculator!E23,tbSkills!DH3:DJ6,3,FALSE),0),0))&gt;=100,100,(Backdoors!AI12+IF(CA108&gt;=0.45,VLOOKUP(Calculator!E23,tbSkills!DH3:DI6,2,FALSE)+IF(AND(Calculator!B8=TRUE,Backdoors!BI14=TRUE),VLOOKUP(Calculator!E23,tbSkills!DH3:DJ6,3,FALSE),0),0)))/100)),1))*IF(VLOOKUP(A108,tbMoveset!A2:K112,11,FALSE)=TRUE,Backdoors!AC5,1))*CB108,0),"")</f>
        <v>0</v>
      </c>
      <c r="CF108" s="49">
        <f>VLOOKUP(A108,tbMoveset!A2:G112,7,FALSE)*IFERROR(IF(Backdoors!AI12&gt;=0,1+(IF(Calculator!E40&gt;0,VLOOKUP(Calculator!E40,tbSkills!AI3:AJ5,2,FALSE),Backdoors!AL4)*(IF((Backdoors!AI12+IF(CA108&gt;=0.45,VLOOKUP(Calculator!E23,tbSkills!DH3:DI6,2,FALSE)+IF(AND(Calculator!B8=TRUE,Backdoors!BI14=TRUE),VLOOKUP(Calculator!E23,tbSkills!DH3:DJ6,3,FALSE),0),0))&gt;=100,100,(Backdoors!AI12+IF(CA108&gt;=0.45,VLOOKUP(Calculator!E23,tbSkills!DH3:DI6,2,FALSE)+IF(AND(Calculator!B8=TRUE,Backdoors!BI14=TRUE),VLOOKUP(Calculator!E23,tbSkills!DH3:DJ6,3,FALSE),0),0)))/100)),1),1)</f>
        <v>0.6</v>
      </c>
      <c r="CG108" s="87">
        <f t="shared" si="62"/>
        <v>0</v>
      </c>
      <c r="CH108" s="86" t="str">
        <f>IFERROR(IF(VLOOKUP(A108,tbMoveset!A2:B112,2,FALSE)="Sever",Backdoors!AY15/100,IF(VLOOKUP(A108,tbMoveset!A2:B112,2,FALSE)="Blunt",Backdoors!AZ15/100,Backdoors!BA15/100)),"")</f>
        <v/>
      </c>
      <c r="CI108" s="49">
        <f>IFERROR(IF(VLOOKUP(tbMoveset!A108,tbMoveset!A2:H112,8,FALSE)="Other",IF(VLOOKUP(tbMoveset!A108,tbMoveset!A2:I112,9,FALSE)="Fire",Backdoors!BB15,IF(VLOOKUP(tbMoveset!A108,tbMoveset!A2:I112,9,FALSE)="Water",Backdoors!BC15,IF(VLOOKUP(tbMoveset!A108,tbMoveset!A2:I112,9,FALSE)="Thunder",Backdoors!BD15,IF(VLOOKUP(tbMoveset!A108,tbMoveset!A2:I112,9,FALSE)="Ice",Backdoors!BE15,IF(VLOOKUP(tbMoveset!A108,tbMoveset!A2:I112,9,FALSE)="Dragon",Backdoors!BF15,Backdoors!BG15)))))/100,Backdoors!BG15/100),"")</f>
        <v>0</v>
      </c>
      <c r="CJ108" s="49">
        <f>IFERROR(IF(VLOOKUP(A108,tbMoveset!A2:J112,10,FALSE)=TRUE,IF((Backdoors!AI12+IF(CH108&gt;=0.45,VLOOKUP(Calculator!E23,tbSkills!DH3:DI6,2,FALSE)+IF(AND(Calculator!B8=TRUE,Backdoors!BI15=TRUE),VLOOKUP(Calculator!E23,tbSkills!DH3:DJ6,3,FALSE),0),0))&gt;=0,1+(Backdoors!AL2*(IF((Backdoors!AI12+IF(CH108&gt;=0.45,VLOOKUP(Calculator!E23,tbSkills!DH3:DI6,2,FALSE)+IF(AND(Calculator!B8=TRUE,Backdoors!BI15=TRUE),VLOOKUP(Calculator!E23,tbSkills!DH3:DJ6,3,FALSE),0),0))&gt;=100,100,(Backdoors!AI12+IF(CH108&gt;=0.45,VLOOKUP(Calculator!E23,tbSkills!DH3:DI6,2,FALSE)+IF(AND(Calculator!B8=TRUE,Backdoors!BI15=TRUE),VLOOKUP(Calculator!E23,tbSkills!DH3:DJ6,3,FALSE),0),0)))/100)),(1-(0.25*((-Backdoors!AI12-IF(CH108&gt;=0.45,VLOOKUP(Calculator!E23,tbSkills!DH3:DI6,2,FALSE)+IF(AND(Calculator!B8=TRUE,Backdoors!BI15=TRUE),VLOOKUP(Calculator!E23,tbSkills!DH3:DJ6,3,FALSE),0),0))/100)))),1),"")</f>
        <v>1</v>
      </c>
      <c r="CK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H108)*CJ108)*(VLOOKUP(A108,tbMoveset!A2:C112,3,FALSE)/100)*IF(VLOOKUP(A108,tbMoveset!A2:B112,2,FALSE)="Projectile",Backdoors!N10,Backdoors!N9),0),"")</f>
        <v/>
      </c>
      <c r="CL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H108&gt;=0.45,VLOOKUP(Calculator!E23,tbSkills!DH3:DI6,2,FALSE)+IF(AND(Calculator!B8=TRUE,Backdoors!BI15=TRUE),VLOOKUP(Calculator!E23,tbSkills!DH3:DJ6,3,FALSE),0),0))&gt;=100,100,(Backdoors!AI12+IF(CH108&gt;=0.45,VLOOKUP(Calculator!E23,tbSkills!DH3:DI6,2,FALSE)+IF(AND(Calculator!B8=TRUE,Backdoors!BI15=TRUE),VLOOKUP(Calculator!E23,tbSkills!DH3:DJ6,3,FALSE),0),0)))/100)),1))*IF(VLOOKUP(A108,tbMoveset!A2:K112,11,FALSE)=TRUE,Backdoors!AC5,1))*CI108,0),"")</f>
        <v>0</v>
      </c>
      <c r="CM108" s="49">
        <f>VLOOKUP(A108,tbMoveset!A2:G112,7,FALSE)*IFERROR(IF(Backdoors!AI12&gt;=0,1+(IF(Calculator!E40&gt;0,VLOOKUP(Calculator!E40,tbSkills!AI3:AJ5,2,FALSE),Backdoors!AL4)*(IF((Backdoors!AI12+IF(CH108&gt;=0.45,VLOOKUP(Calculator!E23,tbSkills!DH3:DI6,2,FALSE)+IF(AND(Calculator!B8=TRUE,Backdoors!BI15=TRUE),VLOOKUP(Calculator!E23,tbSkills!DH3:DJ6,3,FALSE),0),0))&gt;=100,100,(Backdoors!AI12+IF(CH108&gt;=0.45,VLOOKUP(Calculator!E23,tbSkills!DH3:DI6,2,FALSE)+IF(AND(Calculator!B8=TRUE,Backdoors!BI15=TRUE),VLOOKUP(Calculator!E23,tbSkills!DH3:DJ6,3,FALSE),0),0)))/100)),1),1)</f>
        <v>0.6</v>
      </c>
      <c r="CN108" s="87">
        <f t="shared" si="63"/>
        <v>0</v>
      </c>
      <c r="CO108" s="86" t="str">
        <f>IFERROR(IF(VLOOKUP(A108,tbMoveset!A2:B112,2,FALSE)="Sever",Backdoors!AY16/100,IF(VLOOKUP(A108,tbMoveset!A2:B112,2,FALSE)="Blunt",Backdoors!AZ16/100,Backdoors!BA16/100)),"")</f>
        <v/>
      </c>
      <c r="CP108" s="49">
        <f>IFERROR(IF(VLOOKUP(tbMoveset!A108,tbMoveset!A2:H112,8,FALSE)="Other",IF(VLOOKUP(tbMoveset!A108,tbMoveset!A2:I112,9,FALSE)="Fire",Backdoors!BB16,IF(VLOOKUP(tbMoveset!A108,tbMoveset!A2:I112,9,FALSE)="Water",Backdoors!BC16,IF(VLOOKUP(tbMoveset!A108,tbMoveset!A2:I112,9,FALSE)="Thunder",Backdoors!BD16,IF(VLOOKUP(tbMoveset!A108,tbMoveset!A2:I112,9,FALSE)="Ice",Backdoors!BE16,IF(VLOOKUP(tbMoveset!A108,tbMoveset!A2:I112,9,FALSE)="Dragon",Backdoors!BF16,Backdoors!BG16)))))/100,Backdoors!BG16/100),"")</f>
        <v>0</v>
      </c>
      <c r="CQ108" s="49">
        <f>IFERROR(IF(VLOOKUP(A108,tbMoveset!A2:J112,10,FALSE)=TRUE,IF((Backdoors!AI12+IF(CO108&gt;=0.45,VLOOKUP(Calculator!E23,tbSkills!DH3:DI6,2,FALSE)+IF(AND(Calculator!B8=TRUE,Backdoors!BI16=TRUE),VLOOKUP(Calculator!E23,tbSkills!DH3:DJ6,3,FALSE),0),0))&gt;=0,1+(Backdoors!AL2*(IF((Backdoors!AI12+IF(CO108&gt;=0.45,VLOOKUP(Calculator!E23,tbSkills!DH3:DI6,2,FALSE)+IF(AND(Calculator!B8=TRUE,Backdoors!BI16=TRUE),VLOOKUP(Calculator!E23,tbSkills!DH3:DJ6,3,FALSE),0),0))&gt;=100,100,(Backdoors!AI12+IF(CO108&gt;=0.45,VLOOKUP(Calculator!E23,tbSkills!DH3:DI6,2,FALSE)+IF(AND(Calculator!B8=TRUE,Backdoors!BI16=TRUE),VLOOKUP(Calculator!E23,tbSkills!DH3:DJ6,3,FALSE),0),0)))/100)),(1-(0.25*((-Backdoors!AI12-IF(CO108&gt;=0.45,VLOOKUP(Calculator!E23,tbSkills!DH3:DI6,2,FALSE)+IF(AND(Calculator!B8=TRUE,Backdoors!BI16=TRUE),VLOOKUP(Calculator!E23,tbSkills!DH3:DJ6,3,FALSE),0),0))/100)))),1),"")</f>
        <v>1</v>
      </c>
      <c r="CR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O108)*CQ108)*(VLOOKUP(A108,tbMoveset!A2:C112,3,FALSE)/100)*IF(VLOOKUP(A108,tbMoveset!A2:B112,2,FALSE)="Projectile",Backdoors!N10,Backdoors!N9),0),"")</f>
        <v/>
      </c>
      <c r="CS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O108&gt;=0.45,VLOOKUP(Calculator!E23,tbSkills!DH3:DI6,2,FALSE)+IF(AND(Calculator!B8=TRUE,Backdoors!BI16=TRUE),VLOOKUP(Calculator!E23,tbSkills!DH3:DJ6,3,FALSE),0),0))&gt;=100,100,(Backdoors!AI12+IF(CO108&gt;=0.45,VLOOKUP(Calculator!E23,tbSkills!DH3:DI6,2,FALSE)+IF(AND(Calculator!B8=TRUE,Backdoors!BI16=TRUE),VLOOKUP(Calculator!E23,tbSkills!DH3:DJ6,3,FALSE),0),0)))/100)),1))*IF(VLOOKUP(A108,tbMoveset!A2:K112,11,FALSE)=TRUE,Backdoors!AC5,1))*CP108,0),"")</f>
        <v>0</v>
      </c>
      <c r="CT108" s="49">
        <f>VLOOKUP(A108,tbMoveset!A2:G112,7,FALSE)*IFERROR(IF(Backdoors!AI12&gt;=0,1+(IF(Calculator!E40&gt;0,VLOOKUP(Calculator!E40,tbSkills!AI3:AJ5,2,FALSE),Backdoors!AL4)*(IF((Backdoors!AI12+IF(CO108&gt;=0.45,VLOOKUP(Calculator!E23,tbSkills!DH3:DI6,2,FALSE)+IF(AND(Calculator!B8=TRUE,Backdoors!BI16=TRUE),VLOOKUP(Calculator!E23,tbSkills!DH3:DJ6,3,FALSE),0),0))&gt;=100,100,(Backdoors!AI12+IF(CO108&gt;=0.45,VLOOKUP(Calculator!E23,tbSkills!DH3:DI6,2,FALSE)+IF(AND(Calculator!B8=TRUE,Backdoors!BI16=TRUE),VLOOKUP(Calculator!E23,tbSkills!DH3:DJ6,3,FALSE),0),0)))/100)),1),1)</f>
        <v>0.6</v>
      </c>
      <c r="CU108" s="87">
        <f t="shared" si="64"/>
        <v>0</v>
      </c>
      <c r="CV108" s="86" t="str">
        <f>IFERROR(IF(VLOOKUP(A108,tbMoveset!A2:B112,2,FALSE)="Sever",Backdoors!AY17/100,IF(VLOOKUP(A108,tbMoveset!A2:B112,2,FALSE)="Blunt",Backdoors!AZ17/100,Backdoors!BA17/100)),"")</f>
        <v/>
      </c>
      <c r="CW108" s="49">
        <f>IFERROR(IF(VLOOKUP(tbMoveset!A108,tbMoveset!A2:H112,8,FALSE)="Other",IF(VLOOKUP(tbMoveset!A108,tbMoveset!A2:I112,9,FALSE)="Fire",Backdoors!BB17,IF(VLOOKUP(tbMoveset!A108,tbMoveset!A2:I112,9,FALSE)="Water",Backdoors!BC17,IF(VLOOKUP(tbMoveset!A108,tbMoveset!A2:I112,9,FALSE)="Thunder",Backdoors!BD17,IF(VLOOKUP(tbMoveset!A108,tbMoveset!A2:I112,9,FALSE)="Ice",Backdoors!BE17,IF(VLOOKUP(tbMoveset!A108,tbMoveset!A2:I112,9,FALSE)="Dragon",Backdoors!BF17,Backdoors!BG17)))))/100,Backdoors!BG17/100),"")</f>
        <v>0</v>
      </c>
      <c r="CX108" s="49">
        <f>IFERROR(IF(VLOOKUP(A108,tbMoveset!A2:J112,10,FALSE)=TRUE,IF((Backdoors!AI12+IF(CV108&gt;=0.45,VLOOKUP(Calculator!E23,tbSkills!DH3:DI6,2,FALSE)+IF(AND(Calculator!B8=TRUE,Backdoors!BI17=TRUE),VLOOKUP(Calculator!E23,tbSkills!DH3:DJ6,3,FALSE),0),0))&gt;=0,1+(Backdoors!AL2*(IF((Backdoors!AI12+IF(CV108&gt;=0.45,VLOOKUP(Calculator!E23,tbSkills!DH3:DI6,2,FALSE)+IF(AND(Calculator!B8=TRUE,Backdoors!BI17=TRUE),VLOOKUP(Calculator!E23,tbSkills!DH3:DJ6,3,FALSE),0),0))&gt;=100,100,(Backdoors!AI12+IF(CV108&gt;=0.45,VLOOKUP(Calculator!E23,tbSkills!DH3:DI6,2,FALSE)+IF(AND(Calculator!B8=TRUE,Backdoors!BI17=TRUE),VLOOKUP(Calculator!E23,tbSkills!DH3:DJ6,3,FALSE),0),0)))/100)),(1-(0.25*((-Backdoors!AI12-IF(CV108&gt;=0.45,VLOOKUP(Calculator!E23,tbSkills!DH3:DI6,2,FALSE)+IF(AND(Calculator!B8=TRUE,Backdoors!BI17=TRUE),VLOOKUP(Calculator!E23,tbSkills!DH3:DJ6,3,FALSE),0),0))/100)))),1),"")</f>
        <v>1</v>
      </c>
      <c r="CY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V108)*CX108)*(VLOOKUP(A108,tbMoveset!A2:C112,3,FALSE)/100)*IF(VLOOKUP(A108,tbMoveset!A2:B112,2,FALSE)="Projectile",Backdoors!N10,Backdoors!N9),0),"")</f>
        <v/>
      </c>
      <c r="CZ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V108&gt;=0.45,VLOOKUP(Calculator!E23,tbSkills!DH3:DI6,2,FALSE)+IF(AND(Calculator!B8=TRUE,Backdoors!BI17=TRUE),VLOOKUP(Calculator!E23,tbSkills!DH3:DJ6,3,FALSE),0),0))&gt;=100,100,(Backdoors!AI12+IF(CV108&gt;=0.45,VLOOKUP(Calculator!E23,tbSkills!DH3:DI6,2,FALSE)+IF(AND(Calculator!B8=TRUE,Backdoors!BI17=TRUE),VLOOKUP(Calculator!E23,tbSkills!DH3:DJ6,3,FALSE),0),0)))/100)),1))*IF(VLOOKUP(A108,tbMoveset!A2:K112,11,FALSE)=TRUE,Backdoors!AC5,1))*CW108,0),"")</f>
        <v>0</v>
      </c>
      <c r="DA108" s="49">
        <f>VLOOKUP(A108,tbMoveset!A2:G112,7,FALSE)*IFERROR(IF(Backdoors!AI12&gt;=0,1+(IF(Calculator!E40&gt;0,VLOOKUP(Calculator!E40,tbSkills!AI3:AJ5,2,FALSE),Backdoors!AL4)*(IF((Backdoors!AI12+IF(CV108&gt;=0.45,VLOOKUP(Calculator!E23,tbSkills!DH3:DI6,2,FALSE)+IF(AND(Calculator!B8=TRUE,Backdoors!BI17=TRUE),VLOOKUP(Calculator!E23,tbSkills!DH3:DJ6,3,FALSE),0),0))&gt;=100,100,(Backdoors!AI12+IF(CV108&gt;=0.45,VLOOKUP(Calculator!E23,tbSkills!DH3:DI6,2,FALSE)+IF(AND(Calculator!B8=TRUE,Backdoors!BI17=TRUE),VLOOKUP(Calculator!E23,tbSkills!DH3:DJ6,3,FALSE),0),0)))/100)),1),1)</f>
        <v>0.6</v>
      </c>
      <c r="DB108" s="87">
        <f t="shared" si="65"/>
        <v>0</v>
      </c>
      <c r="DC108" s="86" t="str">
        <f>IFERROR(IF(VLOOKUP(A108,tbMoveset!A2:B112,2,FALSE)="Sever",Backdoors!AY18/100,IF(VLOOKUP(A108,tbMoveset!A2:B112,2,FALSE)="Blunt",Backdoors!AZ18/100,Backdoors!BA18/100)),"")</f>
        <v/>
      </c>
      <c r="DD108" s="49">
        <f>IFERROR(IF(VLOOKUP(tbMoveset!A108,tbMoveset!A2:H112,8,FALSE)="Other",IF(VLOOKUP(tbMoveset!A108,tbMoveset!A2:I112,9,FALSE)="Fire",Backdoors!BB18,IF(VLOOKUP(tbMoveset!A108,tbMoveset!A2:I112,9,FALSE)="Water",Backdoors!BC18,IF(VLOOKUP(tbMoveset!A108,tbMoveset!A2:I112,9,FALSE)="Thunder",Backdoors!BD18,IF(VLOOKUP(tbMoveset!A108,tbMoveset!A2:I112,9,FALSE)="Ice",Backdoors!BE18,IF(VLOOKUP(tbMoveset!A108,tbMoveset!A2:I112,9,FALSE)="Dragon",Backdoors!BF18,Backdoors!BG18)))))/100,Backdoors!BG18/100),"")</f>
        <v>0</v>
      </c>
      <c r="DE108" s="49">
        <f>IFERROR(IF(VLOOKUP(A108,tbMoveset!A2:J112,10,FALSE)=TRUE,IF((Backdoors!AI12+IF(DC108&gt;=0.45,VLOOKUP(Calculator!E23,tbSkills!DH3:DI6,2,FALSE)+IF(AND(Calculator!B8=TRUE,Backdoors!BI18=TRUE),VLOOKUP(Calculator!E23,tbSkills!DH3:DJ6,3,FALSE),0),0))&gt;=0,1+(Backdoors!AL2*(IF((Backdoors!AI12+IF(DC108&gt;=0.45,VLOOKUP(Calculator!E23,tbSkills!DH3:DI6,2,FALSE)+IF(AND(Calculator!B8=TRUE,Backdoors!BI18=TRUE),VLOOKUP(Calculator!E23,tbSkills!DH3:DJ6,3,FALSE),0),0))&gt;=100,100,(Backdoors!AI12+IF(DC108&gt;=0.45,VLOOKUP(Calculator!E23,tbSkills!DH3:DI6,2,FALSE)+IF(AND(Calculator!B8=TRUE,Backdoors!BI18=TRUE),VLOOKUP(Calculator!E23,tbSkills!DH3:DJ6,3,FALSE),0),0)))/100)),(1-(0.25*((-Backdoors!AI12-IF(DC108&gt;=0.45,VLOOKUP(Calculator!E23,tbSkills!DH3:DI6,2,FALSE)+IF(AND(Calculator!B8=TRUE,Backdoors!BI18=TRUE),VLOOKUP(Calculator!E23,tbSkills!DH3:DJ6,3,FALSE),0),0))/100)))),1),"")</f>
        <v>1</v>
      </c>
      <c r="DF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C108)*DE108)*(VLOOKUP(A108,tbMoveset!A2:C112,3,FALSE)/100)*IF(VLOOKUP(A108,tbMoveset!A2:B112,2,FALSE)="Projectile",Backdoors!N10,Backdoors!N9),0),"")</f>
        <v/>
      </c>
      <c r="DG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C108&gt;=0.45,VLOOKUP(Calculator!E23,tbSkills!DH3:DI6,2,FALSE)+IF(AND(Calculator!B8=TRUE,Backdoors!BI18=TRUE),VLOOKUP(Calculator!E23,tbSkills!DH3:DJ6,3,FALSE),0),0))&gt;=100,100,(Backdoors!AI12+IF(DC108&gt;=0.45,VLOOKUP(Calculator!E23,tbSkills!DH3:DI6,2,FALSE)+IF(AND(Calculator!B8=TRUE,Backdoors!BI18=TRUE),VLOOKUP(Calculator!E23,tbSkills!DH3:DJ6,3,FALSE),0),0)))/100)),1))*IF(VLOOKUP(A108,tbMoveset!A2:K112,11,FALSE)=TRUE,Backdoors!AC5,1))*DD108,0),"")</f>
        <v>0</v>
      </c>
      <c r="DH108" s="49">
        <f>VLOOKUP(A108,tbMoveset!A2:G112,7,FALSE)*IFERROR(IF(Backdoors!AI12&gt;=0,1+(IF(Calculator!E40&gt;0,VLOOKUP(Calculator!E40,tbSkills!AI3:AJ5,2,FALSE),Backdoors!AL4)*(IF((Backdoors!AI12+IF(DC108&gt;=0.45,VLOOKUP(Calculator!E23,tbSkills!DH3:DI6,2,FALSE)+IF(AND(Calculator!B8=TRUE,Backdoors!BI18=TRUE),VLOOKUP(Calculator!E23,tbSkills!DH3:DJ6,3,FALSE),0),0))&gt;=100,100,(Backdoors!AI12+IF(DC108&gt;=0.45,VLOOKUP(Calculator!E23,tbSkills!DH3:DI6,2,FALSE)+IF(AND(Calculator!B8=TRUE,Backdoors!BI18=TRUE),VLOOKUP(Calculator!E23,tbSkills!DH3:DJ6,3,FALSE),0),0)))/100)),1),1)</f>
        <v>0.6</v>
      </c>
      <c r="DI108" s="87">
        <f t="shared" si="66"/>
        <v>0</v>
      </c>
      <c r="DJ108" s="86" t="str">
        <f>IFERROR(IF(VLOOKUP(A108,tbMoveset!A2:B112,2,FALSE)="Sever",Backdoors!AY19/100,IF(VLOOKUP(A108,tbMoveset!A2:B112,2,FALSE)="Blunt",Backdoors!AZ19/100,Backdoors!BA19/100)),"")</f>
        <v/>
      </c>
      <c r="DK108" s="49">
        <f>IFERROR(IF(VLOOKUP(tbMoveset!A108,tbMoveset!A2:H112,8,FALSE)="Other",IF(VLOOKUP(tbMoveset!A108,tbMoveset!A2:I112,9,FALSE)="Fire",Backdoors!BB19,IF(VLOOKUP(tbMoveset!A108,tbMoveset!A2:I112,9,FALSE)="Water",Backdoors!BC19,IF(VLOOKUP(tbMoveset!A108,tbMoveset!A2:I112,9,FALSE)="Thunder",Backdoors!BD19,IF(VLOOKUP(tbMoveset!A108,tbMoveset!A2:I112,9,FALSE)="Ice",Backdoors!BE19,IF(VLOOKUP(tbMoveset!A108,tbMoveset!A2:I112,9,FALSE)="Dragon",Backdoors!BF19,Backdoors!BG19)))))/100,Backdoors!BG19/100),"")</f>
        <v>0</v>
      </c>
      <c r="DL108" s="49">
        <f>IFERROR(IF(VLOOKUP(A108,tbMoveset!A2:J112,10,FALSE)=TRUE,IF((Backdoors!AI12+IF(DJ108&gt;=0.45,VLOOKUP(Calculator!E23,tbSkills!DH3:DI6,2,FALSE)+IF(AND(Calculator!B8=TRUE,Backdoors!BI19=TRUE),VLOOKUP(Calculator!E23,tbSkills!DH3:DJ6,3,FALSE),0),0))&gt;=0,1+(Backdoors!AL2*(IF((Backdoors!AI12+IF(DJ108&gt;=0.45,VLOOKUP(Calculator!E23,tbSkills!DH3:DI6,2,FALSE)+IF(AND(Calculator!B8=TRUE,Backdoors!BI19=TRUE),VLOOKUP(Calculator!E23,tbSkills!DH3:DJ6,3,FALSE),0),0))&gt;=100,100,(Backdoors!AI12+IF(DJ108&gt;=0.45,VLOOKUP(Calculator!E23,tbSkills!DH3:DI6,2,FALSE)+IF(AND(Calculator!B8=TRUE,Backdoors!BI19=TRUE),VLOOKUP(Calculator!E23,tbSkills!DH3:DJ6,3,FALSE),0),0)))/100)),(1-(0.25*((-Backdoors!AI12-IF(DJ108&gt;=0.45,VLOOKUP(Calculator!E23,tbSkills!DH3:DI6,2,FALSE)+IF(AND(Calculator!B8=TRUE,Backdoors!BI19=TRUE),VLOOKUP(Calculator!E23,tbSkills!DH3:DJ6,3,FALSE),0),0))/100)))),1),"")</f>
        <v>1</v>
      </c>
      <c r="DM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J108)*DL108)*(VLOOKUP(A108,tbMoveset!A2:C112,3,FALSE)/100)*IF(VLOOKUP(A108,tbMoveset!A2:B112,2,FALSE)="Projectile",Backdoors!N10,Backdoors!N9),0),"")</f>
        <v/>
      </c>
      <c r="DN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J108&gt;=0.45,VLOOKUP(Calculator!E23,tbSkills!DH3:DI6,2,FALSE)+IF(AND(Calculator!B8=TRUE,Backdoors!BI19=TRUE),VLOOKUP(Calculator!E23,tbSkills!DH3:DJ6,3,FALSE),0),0))&gt;=100,100,(Backdoors!AI12+IF(DJ108&gt;=0.45,VLOOKUP(Calculator!E23,tbSkills!DH3:DI6,2,FALSE)+IF(AND(Calculator!B8=TRUE,Backdoors!BI19=TRUE),VLOOKUP(Calculator!E23,tbSkills!DH3:DJ6,3,FALSE),0),0)))/100)),1))*IF(VLOOKUP(A108,tbMoveset!A2:K112,11,FALSE)=TRUE,Backdoors!AC5,1))*DK108,0),"")</f>
        <v>0</v>
      </c>
      <c r="DO108" s="49">
        <f>VLOOKUP(A108,tbMoveset!A2:G112,7,FALSE)*IFERROR(IF(Backdoors!AI12&gt;=0,1+(IF(Calculator!E40&gt;0,VLOOKUP(Calculator!E40,tbSkills!AI3:AJ5,2,FALSE),Backdoors!AL4)*(IF((Backdoors!AI12+IF(DJ108&gt;=0.45,VLOOKUP(Calculator!E23,tbSkills!DH3:DI6,2,FALSE)+IF(AND(Calculator!B8=TRUE,Backdoors!BI19=TRUE),VLOOKUP(Calculator!E23,tbSkills!DH3:DJ6,3,FALSE),0),0))&gt;=100,100,(Backdoors!AI12+IF(DJ108&gt;=0.45,VLOOKUP(Calculator!E23,tbSkills!DH3:DI6,2,FALSE)+IF(AND(Calculator!B8=TRUE,Backdoors!BI19=TRUE),VLOOKUP(Calculator!E23,tbSkills!DH3:DJ6,3,FALSE),0),0)))/100)),1),1)</f>
        <v>0.6</v>
      </c>
      <c r="DP108" s="87">
        <f t="shared" si="67"/>
        <v>0</v>
      </c>
      <c r="DQ108" s="86" t="str">
        <f>IFERROR(IF(VLOOKUP(A108,tbMoveset!A2:B112,2,FALSE)="Sever",Backdoors!AY20/100,IF(VLOOKUP(A108,tbMoveset!A2:B112,2,FALSE)="Blunt",Backdoors!AZ20/100,Backdoors!BA20/100)),"")</f>
        <v/>
      </c>
      <c r="DR108" s="49">
        <f>IFERROR(IF(VLOOKUP(tbMoveset!A108,tbMoveset!A2:H112,8,FALSE)="Other",IF(VLOOKUP(tbMoveset!A108,tbMoveset!A2:I112,9,FALSE)="Fire",Backdoors!BB20,IF(VLOOKUP(tbMoveset!A108,tbMoveset!A2:I112,9,FALSE)="Water",Backdoors!BC20,IF(VLOOKUP(tbMoveset!A108,tbMoveset!A2:I112,9,FALSE)="Thunder",Backdoors!BD20,IF(VLOOKUP(tbMoveset!A108,tbMoveset!A2:I112,9,FALSE)="Ice",Backdoors!BE20,IF(VLOOKUP(tbMoveset!A108,tbMoveset!A2:I112,9,FALSE)="Dragon",Backdoors!BF20,Backdoors!BG20)))))/100,Backdoors!BG20/100),"")</f>
        <v>0</v>
      </c>
      <c r="DS108" s="49">
        <f>IFERROR(IF(VLOOKUP(A108,tbMoveset!A2:J112,10,FALSE)=TRUE,IF((Backdoors!AI12+IF(DQ108&gt;=0.45,VLOOKUP(Calculator!E23,tbSkills!DH3:DI6,2,FALSE)+IF(AND(Calculator!B8=TRUE,Backdoors!BI20=TRUE),VLOOKUP(Calculator!E23,tbSkills!DH3:DJ6,3,FALSE),0),0))&gt;=0,1+(Backdoors!AL2*(IF((Backdoors!AI12+IF(DQ108&gt;=0.45,VLOOKUP(Calculator!E23,tbSkills!DH3:DI6,2,FALSE)+IF(AND(Calculator!B8=TRUE,Backdoors!BI20=TRUE),VLOOKUP(Calculator!E23,tbSkills!DH3:DJ6,3,FALSE),0),0))&gt;=100,100,(Backdoors!AI12+IF(DQ108&gt;=0.45,VLOOKUP(Calculator!E23,tbSkills!DH3:DI6,2,FALSE)+IF(AND(Calculator!B8=TRUE,Backdoors!BI20=TRUE),VLOOKUP(Calculator!E23,tbSkills!DH3:DJ6,3,FALSE),0),0)))/100)),(1-(0.25*((-Backdoors!AI12-IF(DQ108&gt;=0.45,VLOOKUP(Calculator!E23,tbSkills!DH3:DI6,2,FALSE)+IF(AND(Calculator!B8=TRUE,Backdoors!BI20=TRUE),VLOOKUP(Calculator!E23,tbSkills!DH3:DJ6,3,FALSE),0),0))/100)))),1),"")</f>
        <v>1</v>
      </c>
      <c r="DT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Q108)*DS108)*(VLOOKUP(A108,tbMoveset!A2:C112,3,FALSE)/100)*IF(VLOOKUP(A108,tbMoveset!A2:B112,2,FALSE)="Projectile",Backdoors!N10,Backdoors!N9),0),"")</f>
        <v/>
      </c>
      <c r="DU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Q108&gt;=0.45,VLOOKUP(Calculator!E23,tbSkills!DH3:DI6,2,FALSE)+IF(AND(Calculator!B8=TRUE,Backdoors!BI20=TRUE),VLOOKUP(Calculator!E23,tbSkills!DH3:DJ6,3,FALSE),0),0))&gt;=100,100,(Backdoors!AI12+IF(DQ108&gt;=0.45,VLOOKUP(Calculator!E23,tbSkills!DH3:DI6,2,FALSE)+IF(AND(Calculator!B8=TRUE,Backdoors!BI20=TRUE),VLOOKUP(Calculator!E23,tbSkills!DH3:DJ6,3,FALSE),0),0)))/100)),1))*IF(VLOOKUP(A108,tbMoveset!A2:K112,11,FALSE)=TRUE,Backdoors!AC5,1))*DR108,0),"")</f>
        <v>0</v>
      </c>
      <c r="DV108" s="49">
        <f>VLOOKUP(A108,tbMoveset!A2:G112,7,FALSE)*IFERROR(IF(Backdoors!AI12&gt;=0,1+(IF(Calculator!E40&gt;0,VLOOKUP(Calculator!E40,tbSkills!AI3:AJ5,2,FALSE),Backdoors!AL4)*(IF((Backdoors!AI12+IF(DQ108&gt;=0.45,VLOOKUP(Calculator!E23,tbSkills!DH3:DI6,2,FALSE)+IF(AND(Calculator!B8=TRUE,Backdoors!BI20=TRUE),VLOOKUP(Calculator!E23,tbSkills!DH3:DJ6,3,FALSE),0),0))&gt;=100,100,(Backdoors!AI12+IF(DQ108&gt;=0.45,VLOOKUP(Calculator!E23,tbSkills!DH3:DI6,2,FALSE)+IF(AND(Calculator!B8=TRUE,Backdoors!BI20=TRUE),VLOOKUP(Calculator!E23,tbSkills!DH3:DJ6,3,FALSE),0),0)))/100)),1),1)</f>
        <v>0.6</v>
      </c>
      <c r="DW108" s="87">
        <f t="shared" si="68"/>
        <v>0</v>
      </c>
      <c r="DX108" s="86" t="str">
        <f>IFERROR(IF(VLOOKUP(A108,tbMoveset!A2:B112,2,FALSE)="Sever",Backdoors!AY21/100,IF(VLOOKUP(A108,tbMoveset!A2:B112,2,FALSE)="Blunt",Backdoors!AZ21/100,Backdoors!BA21/100)),"")</f>
        <v/>
      </c>
      <c r="DY108" s="49">
        <f>IFERROR(IF(VLOOKUP(tbMoveset!A108,tbMoveset!A2:H112,8,FALSE)="Other",IF(VLOOKUP(tbMoveset!A108,tbMoveset!A2:I112,9,FALSE)="Fire",Backdoors!BB21,IF(VLOOKUP(tbMoveset!A108,tbMoveset!A2:I112,9,FALSE)="Water",Backdoors!BC21,IF(VLOOKUP(tbMoveset!A108,tbMoveset!A2:I112,9,FALSE)="Thunder",Backdoors!BD21,IF(VLOOKUP(tbMoveset!A108,tbMoveset!A2:I112,9,FALSE)="Ice",Backdoors!BE21,IF(VLOOKUP(tbMoveset!A108,tbMoveset!A2:I112,9,FALSE)="Dragon",Backdoors!BF21,Backdoors!BG21)))))/100,Backdoors!BG21/100),"")</f>
        <v>0</v>
      </c>
      <c r="DZ108" s="49">
        <f>IFERROR(IF(VLOOKUP(A108,tbMoveset!A2:J112,10,FALSE)=TRUE,IF((Backdoors!AI12+IF(DX108&gt;=0.45,VLOOKUP(Calculator!E23,tbSkills!DH3:DI6,2,FALSE)+IF(AND(Calculator!B8=TRUE,Backdoors!BI21=TRUE),VLOOKUP(Calculator!E23,tbSkills!DH3:DJ6,3,FALSE),0),0))&gt;=0,1+(Backdoors!AL2*(IF((Backdoors!AI12+IF(DX108&gt;=0.45,VLOOKUP(Calculator!E23,tbSkills!DH3:DI6,2,FALSE)+IF(AND(Calculator!B8=TRUE,Backdoors!BI21=TRUE),VLOOKUP(Calculator!E23,tbSkills!DH3:DJ6,3,FALSE),0),0))&gt;=100,100,(Backdoors!AI12+IF(DX108&gt;=0.45,VLOOKUP(Calculator!E23,tbSkills!DH3:DI6,2,FALSE)+IF(AND(Calculator!B8=TRUE,Backdoors!BI21=TRUE),VLOOKUP(Calculator!E23,tbSkills!DH3:DJ6,3,FALSE),0),0)))/100)),(1-(0.25*((-Backdoors!AI12-IF(DX108&gt;=0.45,VLOOKUP(Calculator!E23,tbSkills!DH3:DI6,2,FALSE)+IF(AND(Calculator!B8=TRUE,Backdoors!BI21=TRUE),VLOOKUP(Calculator!E23,tbSkills!DH3:DJ6,3,FALSE),0),0))/100)))),1),"")</f>
        <v>1</v>
      </c>
      <c r="EA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X108)*DZ108)*(VLOOKUP(A108,tbMoveset!A2:C112,3,FALSE)/100)*IF(VLOOKUP(A108,tbMoveset!A2:B112,2,FALSE)="Projectile",Backdoors!N10,Backdoors!N9),0),"")</f>
        <v/>
      </c>
      <c r="EB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X108&gt;=0.45,VLOOKUP(Calculator!E23,tbSkills!DH3:DI6,2,FALSE)+IF(AND(Calculator!B8=TRUE,Backdoors!BI21=TRUE),VLOOKUP(Calculator!E23,tbSkills!DH3:DJ6,3,FALSE),0),0))&gt;=100,100,(Backdoors!AI12+IF(DX108&gt;=0.45,VLOOKUP(Calculator!E23,tbSkills!DH3:DI6,2,FALSE)+IF(AND(Calculator!B8=TRUE,Backdoors!BI21=TRUE),VLOOKUP(Calculator!E23,tbSkills!DH3:DJ6,3,FALSE),0),0)))/100)),1))*IF(VLOOKUP(A108,tbMoveset!A2:K112,11,FALSE)=TRUE,Backdoors!AC5,1))*DY108,0),"")</f>
        <v>0</v>
      </c>
      <c r="EC108" s="49">
        <f>VLOOKUP(A108,tbMoveset!A2:G112,7,FALSE)*IFERROR(IF(Backdoors!AI12&gt;=0,1+(IF(Calculator!E40&gt;0,VLOOKUP(Calculator!E40,tbSkills!AI3:AJ5,2,FALSE),Backdoors!AL4)*(IF((Backdoors!AI12+IF(DX108&gt;=0.45,VLOOKUP(Calculator!E23,tbSkills!DH3:DI6,2,FALSE)+IF(AND(Calculator!B8=TRUE,Backdoors!BI21=TRUE),VLOOKUP(Calculator!E23,tbSkills!DH3:DJ6,3,FALSE),0),0))&gt;=100,100,(Backdoors!AI12+IF(DX108&gt;=0.45,VLOOKUP(Calculator!E23,tbSkills!DH3:DI6,2,FALSE)+IF(AND(Calculator!B8=TRUE,Backdoors!BI21=TRUE),VLOOKUP(Calculator!E23,tbSkills!DH3:DJ6,3,FALSE),0),0)))/100)),1),1)</f>
        <v>0.6</v>
      </c>
      <c r="ED108" s="87">
        <f t="shared" si="69"/>
        <v>0</v>
      </c>
      <c r="EE108" s="86" t="str">
        <f>IFERROR(IF(VLOOKUP(A108,tbMoveset!A2:B112,2,FALSE)="Sever",Backdoors!AY22/100,IF(VLOOKUP(A108,tbMoveset!A2:B112,2,FALSE)="Blunt",Backdoors!AZ22/100,Backdoors!BA22/100)),"")</f>
        <v/>
      </c>
      <c r="EF108" s="49">
        <f>IFERROR(IF(VLOOKUP(tbMoveset!A108,tbMoveset!A2:H112,8,FALSE)="Other",IF(VLOOKUP(tbMoveset!A108,tbMoveset!A2:I112,9,FALSE)="Fire",Backdoors!BB22,IF(VLOOKUP(tbMoveset!A108,tbMoveset!A2:I112,9,FALSE)="Water",Backdoors!BC22,IF(VLOOKUP(tbMoveset!A108,tbMoveset!A2:I112,9,FALSE)="Thunder",Backdoors!BD22,IF(VLOOKUP(tbMoveset!A108,tbMoveset!A2:I112,9,FALSE)="Ice",Backdoors!BE22,IF(VLOOKUP(tbMoveset!A108,tbMoveset!A2:I112,9,FALSE)="Dragon",Backdoors!BF22,Backdoors!BG22)))))/100,Backdoors!BG22/100),"")</f>
        <v>0</v>
      </c>
      <c r="EG108" s="49">
        <f>IFERROR(IF(VLOOKUP(A108,tbMoveset!A2:J112,10,FALSE)=TRUE,IF((Backdoors!AI12+IF(EE108&gt;=0.45,VLOOKUP(Calculator!E23,tbSkills!DH3:DI6,2,FALSE)+IF(AND(Calculator!B8=TRUE,Backdoors!BI22=TRUE),VLOOKUP(Calculator!E23,tbSkills!DH3:DJ6,3,FALSE),0),0))&gt;=0,1+(Backdoors!AL2*(IF((Backdoors!AI12+IF(EE108&gt;=0.45,VLOOKUP(Calculator!E23,tbSkills!DH3:DI6,2,FALSE)+IF(AND(Calculator!B8=TRUE,Backdoors!BI22=TRUE),VLOOKUP(Calculator!E23,tbSkills!DH3:DJ6,3,FALSE),0),0))&gt;=100,100,(Backdoors!AI12+IF(EE108&gt;=0.45,VLOOKUP(Calculator!E23,tbSkills!DH3:DI6,2,FALSE)+IF(AND(Calculator!B8=TRUE,Backdoors!BI22=TRUE),VLOOKUP(Calculator!E23,tbSkills!DH3:DJ6,3,FALSE),0),0)))/100)),(1-(0.25*((-Backdoors!AI12-IF(EE108&gt;=0.45,VLOOKUP(Calculator!E23,tbSkills!DH3:DI6,2,FALSE)+IF(AND(Calculator!B8=TRUE,Backdoors!BI22=TRUE),VLOOKUP(Calculator!E23,tbSkills!DH3:DJ6,3,FALSE),0),0))/100)))),1),"")</f>
        <v>1</v>
      </c>
      <c r="EH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E108)*EG108)*(VLOOKUP(A108,tbMoveset!A2:C112,3,FALSE)/100)*IF(VLOOKUP(A108,tbMoveset!A2:B112,2,FALSE)="Projectile",Backdoors!N10,Backdoors!N9),0),"")</f>
        <v/>
      </c>
      <c r="EI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E108&gt;=0.45,VLOOKUP(Calculator!E23,tbSkills!DH3:DI6,2,FALSE)+IF(AND(Calculator!B8=TRUE,Backdoors!BI22=TRUE),VLOOKUP(Calculator!E23,tbSkills!DH3:DJ6,3,FALSE),0),0))&gt;=100,100,(Backdoors!AI12+IF(EE108&gt;=0.45,VLOOKUP(Calculator!E23,tbSkills!DH3:DI6,2,FALSE)+IF(AND(Calculator!B8=TRUE,Backdoors!BI22=TRUE),VLOOKUP(Calculator!E23,tbSkills!DH3:DJ6,3,FALSE),0),0)))/100)),1))*IF(VLOOKUP(A108,tbMoveset!A2:K112,11,FALSE)=TRUE,Backdoors!AC5,1))*EF108,0),"")</f>
        <v>0</v>
      </c>
      <c r="EJ108" s="49">
        <f>VLOOKUP(A108,tbMoveset!A2:G112,7,FALSE)*IFERROR(IF(Backdoors!AI12&gt;=0,1+(IF(Calculator!E40&gt;0,VLOOKUP(Calculator!E40,tbSkills!AI3:AJ5,2,FALSE),Backdoors!AL4)*(IF((Backdoors!AI12+IF(EE108&gt;=0.45,VLOOKUP(Calculator!E23,tbSkills!DH3:DI6,2,FALSE)+IF(AND(Calculator!B8=TRUE,Backdoors!BI22=TRUE),VLOOKUP(Calculator!E23,tbSkills!DH3:DJ6,3,FALSE),0),0))&gt;=100,100,(Backdoors!AI12+IF(EE108&gt;=0.45,VLOOKUP(Calculator!E23,tbSkills!DH3:DI6,2,FALSE)+IF(AND(Calculator!B8=TRUE,Backdoors!BI22=TRUE),VLOOKUP(Calculator!E23,tbSkills!DH3:DJ6,3,FALSE),0),0)))/100)),1),1)</f>
        <v>0.6</v>
      </c>
      <c r="EK108" s="87">
        <f t="shared" si="70"/>
        <v>0</v>
      </c>
      <c r="EL108" s="86" t="str">
        <f>IFERROR(IF(VLOOKUP(A108,tbMoveset!A2:B112,2,FALSE)="Sever",Backdoors!AY23/100,IF(VLOOKUP(A108,tbMoveset!A2:B112,2,FALSE)="Blunt",Backdoors!AZ23/100,Backdoors!BA23/100)),"")</f>
        <v/>
      </c>
      <c r="EM108" s="49">
        <f>IFERROR(IF(VLOOKUP(tbMoveset!A108,tbMoveset!A2:H112,8,FALSE)="Other",IF(VLOOKUP(tbMoveset!A108,tbMoveset!A2:I112,9,FALSE)="Fire",Backdoors!BB23,IF(VLOOKUP(tbMoveset!A108,tbMoveset!A2:I112,9,FALSE)="Water",Backdoors!BC23,IF(VLOOKUP(tbMoveset!A108,tbMoveset!A2:I112,9,FALSE)="Thunder",Backdoors!BD23,IF(VLOOKUP(tbMoveset!A108,tbMoveset!A2:I112,9,FALSE)="Ice",Backdoors!BE23,IF(VLOOKUP(tbMoveset!A108,tbMoveset!A2:I112,9,FALSE)="Dragon",Backdoors!BF23,Backdoors!BG23)))))/100,Backdoors!BG23/100),"")</f>
        <v>0</v>
      </c>
      <c r="EN108" s="49">
        <f>IFERROR(IF(VLOOKUP(A108,tbMoveset!A2:J112,10,FALSE)=TRUE,IF((Backdoors!AI12+IF(EL108&gt;=0.45,VLOOKUP(Calculator!E23,tbSkills!DH3:DI6,2,FALSE)+IF(AND(Calculator!B8=TRUE,Backdoors!BI23=TRUE),VLOOKUP(Calculator!E23,tbSkills!DH3:DJ6,3,FALSE),0),0))&gt;=0,1+(Backdoors!AL2*(IF((Backdoors!AI12+IF(EL108&gt;=0.45,VLOOKUP(Calculator!E23,tbSkills!DH3:DI6,2,FALSE)+IF(AND(Calculator!B8=TRUE,Backdoors!BI23=TRUE),VLOOKUP(Calculator!E23,tbSkills!DH3:DJ6,3,FALSE),0),0))&gt;=100,100,(Backdoors!AI12+IF(EL108&gt;=0.45,VLOOKUP(Calculator!E23,tbSkills!DH3:DI6,2,FALSE)+IF(AND(Calculator!B8=TRUE,Backdoors!BI23=TRUE),VLOOKUP(Calculator!E23,tbSkills!DH3:DJ6,3,FALSE),0),0)))/100)),(1-(0.25*((-Backdoors!AI12-IF(EL108&gt;=0.45,VLOOKUP(Calculator!E23,tbSkills!DH3:DI6,2,FALSE)+IF(AND(Calculator!B8=TRUE,Backdoors!BI23=TRUE),VLOOKUP(Calculator!E23,tbSkills!DH3:DJ6,3,FALSE),0),0))/100)))),1),"")</f>
        <v>1</v>
      </c>
      <c r="EO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L108)*EN108)*(VLOOKUP(A108,tbMoveset!A2:C112,3,FALSE)/100)*IF(VLOOKUP(A108,tbMoveset!A2:B112,2,FALSE)="Projectile",Backdoors!N10,Backdoors!N9),0),"")</f>
        <v/>
      </c>
      <c r="EP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L108&gt;=0.45,VLOOKUP(Calculator!E23,tbSkills!DH3:DI6,2,FALSE)+IF(AND(Calculator!B8=TRUE,Backdoors!BI23=TRUE),VLOOKUP(Calculator!E23,tbSkills!DH3:DJ6,3,FALSE),0),0))&gt;=100,100,(Backdoors!AI12+IF(EL108&gt;=0.45,VLOOKUP(Calculator!E23,tbSkills!DH3:DI6,2,FALSE)+IF(AND(Calculator!B8=TRUE,Backdoors!BI23=TRUE),VLOOKUP(Calculator!E23,tbSkills!DH3:DJ6,3,FALSE),0),0)))/100)),1))*IF(VLOOKUP(A108,tbMoveset!A2:K112,11,FALSE)=TRUE,Backdoors!AC5,1))*EM108,0),"")</f>
        <v>0</v>
      </c>
      <c r="EQ108" s="49">
        <f>VLOOKUP(A108,tbMoveset!A2:G112,7,FALSE)*IFERROR(IF(Backdoors!AI12&gt;=0,1+(IF(Calculator!E40&gt;0,VLOOKUP(Calculator!E40,tbSkills!AI3:AJ5,2,FALSE),Backdoors!AL4)*(IF((Backdoors!AI12+IF(EL108&gt;=0.45,VLOOKUP(Calculator!E23,tbSkills!DH3:DI6,2,FALSE)+IF(AND(Calculator!B8=TRUE,Backdoors!BI23=TRUE),VLOOKUP(Calculator!E23,tbSkills!DH3:DJ6,3,FALSE),0),0))&gt;=100,100,(Backdoors!AI12+IF(EL108&gt;=0.45,VLOOKUP(Calculator!E23,tbSkills!DH3:DI6,2,FALSE)+IF(AND(Calculator!B8=TRUE,Backdoors!BI23=TRUE),VLOOKUP(Calculator!E23,tbSkills!DH3:DJ6,3,FALSE),0),0)))/100)),1),1)</f>
        <v>0.6</v>
      </c>
      <c r="ER108" s="87">
        <f t="shared" si="71"/>
        <v>0</v>
      </c>
      <c r="ES108" s="86" t="str">
        <f>IFERROR(IF(VLOOKUP(A108,tbMoveset!A2:B112,2,FALSE)="Sever",Backdoors!AY24/100,IF(VLOOKUP(A108,tbMoveset!A2:B112,2,FALSE)="Blunt",Backdoors!AZ24/100,Backdoors!BA24/100)),"")</f>
        <v/>
      </c>
      <c r="ET108" s="49">
        <f>IFERROR(IF(VLOOKUP(tbMoveset!A108,tbMoveset!A2:H112,8,FALSE)="Other",IF(VLOOKUP(tbMoveset!A108,tbMoveset!A2:I112,9,FALSE)="Fire",Backdoors!BB24,IF(VLOOKUP(tbMoveset!A108,tbMoveset!A2:I112,9,FALSE)="Water",Backdoors!BC24,IF(VLOOKUP(tbMoveset!A108,tbMoveset!A2:I112,9,FALSE)="Thunder",Backdoors!BD24,IF(VLOOKUP(tbMoveset!A108,tbMoveset!A2:I112,9,FALSE)="Ice",Backdoors!BE24,IF(VLOOKUP(tbMoveset!A108,tbMoveset!A2:I112,9,FALSE)="Dragon",Backdoors!BF24,Backdoors!BG24)))))/100,Backdoors!BG24/100),"")</f>
        <v>0</v>
      </c>
      <c r="EU108" s="49">
        <f>IFERROR(IF(VLOOKUP(A108,tbMoveset!A2:J112,10,FALSE)=TRUE,IF((Backdoors!AI12+IF(ES108&gt;=0.45,VLOOKUP(Calculator!E23,tbSkills!DH3:DI6,2,FALSE)+IF(AND(Calculator!B8=TRUE,Backdoors!BI24=TRUE),VLOOKUP(Calculator!E23,tbSkills!DH3:DJ6,3,FALSE),0),0))&gt;=0,1+(Backdoors!AL2*(IF((Backdoors!AI12+IF(ES108&gt;=0.45,VLOOKUP(Calculator!E23,tbSkills!DH3:DI6,2,FALSE)+IF(AND(Calculator!B8=TRUE,Backdoors!BI24=TRUE),VLOOKUP(Calculator!E23,tbSkills!DH3:DJ6,3,FALSE),0),0))&gt;=100,100,(Backdoors!AI12+IF(ES108&gt;=0.45,VLOOKUP(Calculator!E23,tbSkills!DH3:DI6,2,FALSE)+IF(AND(Calculator!B8=TRUE,Backdoors!BI24=TRUE),VLOOKUP(Calculator!E23,tbSkills!DH3:DJ6,3,FALSE),0),0)))/100)),(1-(0.25*((-Backdoors!AI12-IF(ES108&gt;=0.45,VLOOKUP(Calculator!E23,tbSkills!DH3:DI6,2,FALSE)+IF(AND(Calculator!B8=TRUE,Backdoors!BI24=TRUE),VLOOKUP(Calculator!E23,tbSkills!DH3:DJ6,3,FALSE),0),0))/100)))),1),"")</f>
        <v>1</v>
      </c>
      <c r="EV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S108)*EU108)*(VLOOKUP(A108,tbMoveset!A2:C112,3,FALSE)/100)*IF(VLOOKUP(A108,tbMoveset!A2:B112,2,FALSE)="Projectile",Backdoors!N10,Backdoors!N9),0),"")</f>
        <v/>
      </c>
      <c r="EW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S108&gt;=0.45,VLOOKUP(Calculator!E23,tbSkills!DH3:DI6,2,FALSE)+IF(AND(Calculator!B8=TRUE,Backdoors!BI24=TRUE),VLOOKUP(Calculator!E23,tbSkills!DH3:DJ6,3,FALSE),0),0))&gt;=100,100,(Backdoors!AI12+IF(ES108&gt;=0.45,VLOOKUP(Calculator!E23,tbSkills!DH3:DI6,2,FALSE)+IF(AND(Calculator!B8=TRUE,Backdoors!BI24=TRUE),VLOOKUP(Calculator!E23,tbSkills!DH3:DJ6,3,FALSE),0),0)))/100)),1))*IF(VLOOKUP(A108,tbMoveset!A2:K112,11,FALSE)=TRUE,Backdoors!AC5,1))*ET108,0),"")</f>
        <v>0</v>
      </c>
      <c r="EX108" s="49">
        <f>VLOOKUP(A108,tbMoveset!A2:G112,7,FALSE)*IFERROR(IF(Backdoors!AI12&gt;=0,1+(IF(Calculator!E40&gt;0,VLOOKUP(Calculator!E40,tbSkills!AI3:AJ5,2,FALSE),Backdoors!AL4)*(IF((Backdoors!AI12+IF(ES108&gt;=0.45,VLOOKUP(Calculator!E23,tbSkills!DH3:DI6,2,FALSE)+IF(AND(Calculator!B8=TRUE,Backdoors!BI24=TRUE),VLOOKUP(Calculator!E23,tbSkills!DH3:DJ6,3,FALSE),0),0))&gt;=100,100,(Backdoors!AI12+IF(ES108&gt;=0.45,VLOOKUP(Calculator!E23,tbSkills!DH3:DI6,2,FALSE)+IF(AND(Calculator!B8=TRUE,Backdoors!BI24=TRUE),VLOOKUP(Calculator!E23,tbSkills!DH3:DJ6,3,FALSE),0),0)))/100)),1),1)</f>
        <v>0.6</v>
      </c>
      <c r="EY108" s="87">
        <f t="shared" si="72"/>
        <v>0</v>
      </c>
      <c r="EZ108" s="86" t="str">
        <f>IFERROR(IF(VLOOKUP(A108,tbMoveset!A2:B112,2,FALSE)="Sever",Backdoors!AY25/100,IF(VLOOKUP(A108,tbMoveset!A2:B112,2,FALSE)="Blunt",Backdoors!AZ25/100,Backdoors!BA25/100)),"")</f>
        <v/>
      </c>
      <c r="FA108" s="49">
        <f>IFERROR(IF(VLOOKUP(tbMoveset!A108,tbMoveset!A2:H112,8,FALSE)="Other",IF(VLOOKUP(tbMoveset!A108,tbMoveset!A2:I112,9,FALSE)="Fire",Backdoors!BB25,IF(VLOOKUP(tbMoveset!A108,tbMoveset!A2:I112,9,FALSE)="Water",Backdoors!BC25,IF(VLOOKUP(tbMoveset!A108,tbMoveset!A2:I112,9,FALSE)="Thunder",Backdoors!BD25,IF(VLOOKUP(tbMoveset!A108,tbMoveset!A2:I112,9,FALSE)="Ice",Backdoors!BE25,IF(VLOOKUP(tbMoveset!A108,tbMoveset!A2:I112,9,FALSE)="Dragon",Backdoors!BF25,Backdoors!BG25)))))/100,Backdoors!BG25/100),"")</f>
        <v>0</v>
      </c>
      <c r="FB108" s="49">
        <f>IFERROR(IF(VLOOKUP(A108,tbMoveset!A2:J112,10,FALSE)=TRUE,IF((Backdoors!AI12+IF(EZ108&gt;=0.45,VLOOKUP(Calculator!E23,tbSkills!DH3:DI6,2,FALSE)+IF(AND(Calculator!B8=TRUE,Backdoors!BI25=TRUE),VLOOKUP(Calculator!E23,tbSkills!DH3:DJ6,3,FALSE),0),0))&gt;=0,1+(Backdoors!AL2*(IF((Backdoors!AI12+IF(EZ108&gt;=0.45,VLOOKUP(Calculator!E23,tbSkills!DH3:DI6,2,FALSE)+IF(AND(Calculator!B8=TRUE,Backdoors!BI25=TRUE),VLOOKUP(Calculator!E23,tbSkills!DH3:DJ6,3,FALSE),0),0))&gt;=100,100,(Backdoors!AI12+IF(EZ108&gt;=0.45,VLOOKUP(Calculator!E23,tbSkills!DH3:DI6,2,FALSE)+IF(AND(Calculator!B8=TRUE,Backdoors!BI25=TRUE),VLOOKUP(Calculator!E23,tbSkills!DH3:DJ6,3,FALSE),0),0)))/100)),(1-(0.25*((-Backdoors!AI12-IF(EZ108&gt;=0.45,VLOOKUP(Calculator!E23,tbSkills!DH3:DI6,2,FALSE)+IF(AND(Calculator!B8=TRUE,Backdoors!BI25=TRUE),VLOOKUP(Calculator!E23,tbSkills!DH3:DJ6,3,FALSE),0),0))/100)))),1),"")</f>
        <v>1</v>
      </c>
      <c r="FC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Z108)*FB108)*(VLOOKUP(A108,tbMoveset!A2:C112,3,FALSE)/100)*IF(VLOOKUP(A108,tbMoveset!A2:B112,2,FALSE)="Projectile",Backdoors!N10,Backdoors!N9),0),"")</f>
        <v/>
      </c>
      <c r="FD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Z108&gt;=0.45,VLOOKUP(Calculator!E23,tbSkills!DH3:DI6,2,FALSE)+IF(AND(Calculator!B8=TRUE,Backdoors!BI25=TRUE),VLOOKUP(Calculator!E23,tbSkills!DH3:DJ6,3,FALSE),0),0))&gt;=100,100,(Backdoors!AI12+IF(EZ108&gt;=0.45,VLOOKUP(Calculator!E23,tbSkills!DH3:DI6,2,FALSE)+IF(AND(Calculator!B8=TRUE,Backdoors!BI25=TRUE),VLOOKUP(Calculator!E23,tbSkills!DH3:DJ6,3,FALSE),0),0)))/100)),1))*IF(VLOOKUP(A108,tbMoveset!A2:K112,11,FALSE)=TRUE,Backdoors!AC5,1))*FA108,0),"")</f>
        <v>0</v>
      </c>
      <c r="FE108" s="49">
        <f>VLOOKUP(A108,tbMoveset!A2:G112,7,FALSE)*IFERROR(IF(Backdoors!AI12&gt;=0,1+(IF(Calculator!E40&gt;0,VLOOKUP(Calculator!E40,tbSkills!AI3:AJ5,2,FALSE),Backdoors!AL4)*(IF((Backdoors!AI12+IF(EZ108&gt;=0.45,VLOOKUP(Calculator!E23,tbSkills!DH3:DI6,2,FALSE)+IF(AND(Calculator!B8=TRUE,Backdoors!BI25=TRUE),VLOOKUP(Calculator!E23,tbSkills!DH3:DJ6,3,FALSE),0),0))&gt;=100,100,(Backdoors!AI12+IF(EZ108&gt;=0.45,VLOOKUP(Calculator!E23,tbSkills!DH3:DI6,2,FALSE)+IF(AND(Calculator!B8=TRUE,Backdoors!BI25=TRUE),VLOOKUP(Calculator!E23,tbSkills!DH3:DJ6,3,FALSE),0),0)))/100)),1),1)</f>
        <v>0.6</v>
      </c>
      <c r="FF108" s="87">
        <f t="shared" si="73"/>
        <v>0</v>
      </c>
      <c r="FG108" s="86" t="str">
        <f>IFERROR(IF(VLOOKUP(A108,tbMoveset!A2:B112,2,FALSE)="Sever",Backdoors!AY26/100,IF(VLOOKUP(A108,tbMoveset!A2:B112,2,FALSE)="Blunt",Backdoors!AZ26/100,Backdoors!BA26/100)),"")</f>
        <v/>
      </c>
      <c r="FH108" s="49">
        <f>IFERROR(IF(VLOOKUP(tbMoveset!A108,tbMoveset!A2:H112,8,FALSE)="Other",IF(VLOOKUP(tbMoveset!A108,tbMoveset!A2:I112,9,FALSE)="Fire",Backdoors!BB26,IF(VLOOKUP(tbMoveset!A108,tbMoveset!A2:I112,9,FALSE)="Water",Backdoors!BC26,IF(VLOOKUP(tbMoveset!A108,tbMoveset!A2:I112,9,FALSE)="Thunder",Backdoors!BD26,IF(VLOOKUP(tbMoveset!A108,tbMoveset!A2:I112,9,FALSE)="Ice",Backdoors!BE26,IF(VLOOKUP(tbMoveset!A108,tbMoveset!A2:I112,9,FALSE)="Dragon",Backdoors!BF26,Backdoors!BG26)))))/100,Backdoors!BG26/100),"")</f>
        <v>0</v>
      </c>
      <c r="FI108" s="49">
        <f>IFERROR(IF(VLOOKUP(A108,tbMoveset!A2:J112,10,FALSE)=TRUE,IF((Backdoors!AI12+IF(FG108&gt;=0.45,VLOOKUP(Calculator!E23,tbSkills!DH3:DI6,2,FALSE)+IF(AND(Calculator!B8=TRUE,Backdoors!BI26=TRUE),VLOOKUP(Calculator!E23,tbSkills!DH3:DJ6,3,FALSE),0),0))&gt;=0,1+(Backdoors!AL2*(IF((Backdoors!AI12+IF(FG108&gt;=0.45,VLOOKUP(Calculator!E23,tbSkills!DH3:DI6,2,FALSE)+IF(AND(Calculator!B8=TRUE,Backdoors!BI26=TRUE),VLOOKUP(Calculator!E23,tbSkills!DH3:DJ6,3,FALSE),0),0))&gt;=100,100,(Backdoors!AI12+IF(FG108&gt;=0.45,VLOOKUP(Calculator!E23,tbSkills!DH3:DI6,2,FALSE)+IF(AND(Calculator!B8=TRUE,Backdoors!BI26=TRUE),VLOOKUP(Calculator!E23,tbSkills!DH3:DJ6,3,FALSE),0),0)))/100)),(1-(0.25*((-Backdoors!AI12-IF(FG108&gt;=0.45,VLOOKUP(Calculator!E23,tbSkills!DH3:DI6,2,FALSE)+IF(AND(Calculator!B8=TRUE,Backdoors!BI26=TRUE),VLOOKUP(Calculator!E23,tbSkills!DH3:DJ6,3,FALSE),0),0))/100)))),1),"")</f>
        <v>1</v>
      </c>
      <c r="FJ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FG108)*FI108)*(VLOOKUP(A108,tbMoveset!A2:C112,3,FALSE)/100)*IF(VLOOKUP(A108,tbMoveset!A2:B112,2,FALSE)="Projectile",Backdoors!N10,Backdoors!N9),0),"")</f>
        <v/>
      </c>
      <c r="FK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FG108&gt;=0.45,VLOOKUP(Calculator!E23,tbSkills!DH3:DI6,2,FALSE)+IF(AND(Calculator!B8=TRUE,Backdoors!BI26=TRUE),VLOOKUP(Calculator!E23,tbSkills!DH3:DJ6,3,FALSE),0),0))&gt;=100,100,(Backdoors!AI12+IF(FG108&gt;=0.45,VLOOKUP(Calculator!E23,tbSkills!DH3:DI6,2,FALSE)+IF(AND(Calculator!B8=TRUE,Backdoors!BI26=TRUE),VLOOKUP(Calculator!E23,tbSkills!DH3:DJ6,3,FALSE),0),0)))/100)),1))*IF(VLOOKUP(A108,tbMoveset!A2:K112,11,FALSE)=TRUE,Backdoors!AC5,1))*FH108,0),"")</f>
        <v>0</v>
      </c>
      <c r="FL108" s="49">
        <f>VLOOKUP(A108,tbMoveset!A2:G112,7,FALSE)*IFERROR(IF(Backdoors!AI12&gt;=0,1+(IF(Calculator!E40&gt;0,VLOOKUP(Calculator!E40,tbSkills!AI3:AJ5,2,FALSE),Backdoors!AL4)*(IF((Backdoors!AI12+IF(FG108&gt;=0.45,VLOOKUP(Calculator!E23,tbSkills!DH3:DI6,2,FALSE)+IF(AND(Calculator!B8=TRUE,Backdoors!BI26=TRUE),VLOOKUP(Calculator!E23,tbSkills!DH3:DJ6,3,FALSE),0),0))&gt;=100,100,(Backdoors!AI12+IF(FG108&gt;=0.45,VLOOKUP(Calculator!E23,tbSkills!DH3:DI6,2,FALSE)+IF(AND(Calculator!B8=TRUE,Backdoors!BI26=TRUE),VLOOKUP(Calculator!E23,tbSkills!DH3:DJ6,3,FALSE),0),0)))/100)),1),1)</f>
        <v>0.6</v>
      </c>
      <c r="FM108" s="87">
        <f t="shared" si="74"/>
        <v>0</v>
      </c>
      <c r="FN108" s="86" t="str">
        <f>IFERROR(IF(VLOOKUP(A108,tbMoveset!A2:B112,2,FALSE)="Sever",Backdoors!AY27/100,IF(VLOOKUP(A108,tbMoveset!A2:B112,2,FALSE)="Blunt",Backdoors!AZ27/100,Backdoors!BA27/100)),"")</f>
        <v/>
      </c>
      <c r="FO108" s="49">
        <f>IFERROR(IF(VLOOKUP(tbMoveset!A108,tbMoveset!A2:H112,8,FALSE)="Other",IF(VLOOKUP(tbMoveset!A108,tbMoveset!A2:I112,9,FALSE)="Fire",Backdoors!BB27,IF(VLOOKUP(tbMoveset!A108,tbMoveset!A2:I112,9,FALSE)="Water",Backdoors!BC27,IF(VLOOKUP(tbMoveset!A108,tbMoveset!A2:I112,9,FALSE)="Thunder",Backdoors!BD27,IF(VLOOKUP(tbMoveset!A108,tbMoveset!A2:I112,9,FALSE)="Ice",Backdoors!BE27,IF(VLOOKUP(tbMoveset!A108,tbMoveset!A2:I112,9,FALSE)="Dragon",Backdoors!BF27,Backdoors!BG27)))))/100,Backdoors!BG27/100),"")</f>
        <v>0</v>
      </c>
      <c r="FP108" s="49">
        <f>IFERROR(IF(VLOOKUP(A108,tbMoveset!A2:J112,10,FALSE)=TRUE,IF((Backdoors!AI12+IF(FN108&gt;=0.45,VLOOKUP(Calculator!E23,tbSkills!DH3:DI6,2,FALSE)+IF(AND(Calculator!B8=TRUE,Backdoors!BI27=TRUE),VLOOKUP(Calculator!E23,tbSkills!DH3:DJ6,3,FALSE),0),0))&gt;=0,1+(Backdoors!AL2*(IF((Backdoors!AI12+IF(FN108&gt;=0.45,VLOOKUP(Calculator!E23,tbSkills!DH3:DI6,2,FALSE)+IF(AND(Calculator!B8=TRUE,Backdoors!BI27=TRUE),VLOOKUP(Calculator!E23,tbSkills!DH3:DJ6,3,FALSE),0),0))&gt;=100,100,(Backdoors!AI12+IF(FN108&gt;=0.45,VLOOKUP(Calculator!E23,tbSkills!DH3:DI6,2,FALSE)+IF(AND(Calculator!B8=TRUE,Backdoors!BI27=TRUE),VLOOKUP(Calculator!E23,tbSkills!DH3:DJ6,3,FALSE),0),0)))/100)),(1-(0.25*((-Backdoors!AI12-IF(FN108&gt;=0.45,VLOOKUP(Calculator!E23,tbSkills!DH3:DI6,2,FALSE)+IF(AND(Calculator!B8=TRUE,Backdoors!BI27=TRUE),VLOOKUP(Calculator!E23,tbSkills!DH3:DJ6,3,FALSE),0),0))/100)))),1),"")</f>
        <v>1</v>
      </c>
      <c r="FQ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FN108)*FP108)*(VLOOKUP(A108,tbMoveset!A2:C112,3,FALSE)/100)*IF(VLOOKUP(A108,tbMoveset!A2:B112,2,FALSE)="Projectile",Backdoors!N10,Backdoors!N9),0),"")</f>
        <v/>
      </c>
      <c r="FR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FN108&gt;=0.45,VLOOKUP(Calculator!E23,tbSkills!DH3:DI6,2,FALSE)+IF(AND(Calculator!B8=TRUE,Backdoors!BI27=TRUE),VLOOKUP(Calculator!E23,tbSkills!DH3:DJ6,3,FALSE),0),0))&gt;=100,100,(Backdoors!AI12+IF(FN108&gt;=0.45,VLOOKUP(Calculator!E23,tbSkills!DH3:DI6,2,FALSE)+IF(AND(Calculator!B8=TRUE,Backdoors!BI27=TRUE),VLOOKUP(Calculator!E23,tbSkills!DH3:DJ6,3,FALSE),0),0)))/100)),1))*IF(VLOOKUP(A108,tbMoveset!A2:K112,11,FALSE)=TRUE,Backdoors!AC5,1))*FO108,0),"")</f>
        <v>0</v>
      </c>
      <c r="FS108" s="49">
        <f>VLOOKUP(A108,tbMoveset!A2:G112,7,FALSE)*IFERROR(IF(Backdoors!AI12&gt;=0,1+(IF(Calculator!E40&gt;0,VLOOKUP(Calculator!E40,tbSkills!AI3:AJ5,2,FALSE),Backdoors!AL4)*(IF((Backdoors!AI12+IF(FN108&gt;=0.45,VLOOKUP(Calculator!E23,tbSkills!DH3:DI6,2,FALSE)+IF(AND(Calculator!B8=TRUE,Backdoors!BI27=TRUE),VLOOKUP(Calculator!E23,tbSkills!DH3:DJ6,3,FALSE),0),0))&gt;=100,100,(Backdoors!AI12+IF(FN108&gt;=0.45,VLOOKUP(Calculator!E23,tbSkills!DH3:DI6,2,FALSE)+IF(AND(Calculator!B8=TRUE,Backdoors!BI27=TRUE),VLOOKUP(Calculator!E23,tbSkills!DH3:DJ6,3,FALSE),0),0)))/100)),1),1)</f>
        <v>0.6</v>
      </c>
      <c r="FT108" s="87">
        <f t="shared" si="75"/>
        <v>0</v>
      </c>
      <c r="FU108" s="86" t="str">
        <f>IFERROR(IF(VLOOKUP(A108,tbMoveset!A2:B112,2,FALSE)="Sever",Backdoors!AY28/100,IF(VLOOKUP(A108,tbMoveset!A2:B112,2,FALSE)="Blunt",Backdoors!AZ28/100,Backdoors!BA28/100)),"")</f>
        <v/>
      </c>
      <c r="FV108" s="49">
        <f>IFERROR(IF(VLOOKUP(tbMoveset!A108,tbMoveset!A2:H112,8,FALSE)="Other",IF(VLOOKUP(tbMoveset!A108,tbMoveset!A2:I112,9,FALSE)="Fire",Backdoors!BB28,IF(VLOOKUP(tbMoveset!A108,tbMoveset!A2:I112,9,FALSE)="Water",Backdoors!BC28,IF(VLOOKUP(tbMoveset!A108,tbMoveset!A2:I112,9,FALSE)="Thunder",Backdoors!BD28,IF(VLOOKUP(tbMoveset!A108,tbMoveset!A2:I112,9,FALSE)="Ice",Backdoors!BE28,IF(VLOOKUP(tbMoveset!A108,tbMoveset!A2:I112,9,FALSE)="Dragon",Backdoors!BF28,Backdoors!BG28)))))/100,Backdoors!BG28/100),"")</f>
        <v>0</v>
      </c>
      <c r="FW108" s="49">
        <f>IFERROR(IF(VLOOKUP(A108,tbMoveset!A2:J112,10,FALSE)=TRUE,IF((Backdoors!AI12+IF(FU108&gt;=0.45,VLOOKUP(Calculator!E23,tbSkills!DH3:DI6,2,FALSE)+IF(AND(Calculator!B8=TRUE,Backdoors!BI28=TRUE),VLOOKUP(Calculator!E23,tbSkills!DH3:DJ6,3,FALSE),0),0))&gt;=0,1+(Backdoors!AL2*(IF((Backdoors!AI12+IF(FU108&gt;=0.45,VLOOKUP(Calculator!E23,tbSkills!DH3:DI6,2,FALSE)+IF(AND(Calculator!B8=TRUE,Backdoors!BI28=TRUE),VLOOKUP(Calculator!E23,tbSkills!DH3:DJ6,3,FALSE),0),0))&gt;=100,100,(Backdoors!AI12+IF(FU108&gt;=0.45,VLOOKUP(Calculator!E23,tbSkills!DH3:DI6,2,FALSE)+IF(AND(Calculator!B8=TRUE,Backdoors!BI28=TRUE),VLOOKUP(Calculator!E23,tbSkills!DH3:DJ6,3,FALSE),0),0)))/100)),(1-(0.25*((-Backdoors!AI12-IF(FU108&gt;=0.45,VLOOKUP(Calculator!E23,tbSkills!DH3:DI6,2,FALSE)+IF(AND(Calculator!B8=TRUE,Backdoors!BI28=TRUE),VLOOKUP(Calculator!E23,tbSkills!DH3:DJ6,3,FALSE),0),0))/100)))),1),"")</f>
        <v>1</v>
      </c>
      <c r="FX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FU108)*FW108)*(VLOOKUP(A108,tbMoveset!A2:C112,3,FALSE)/100)*IF(VLOOKUP(A108,tbMoveset!A2:B112,2,FALSE)="Projectile",Backdoors!N10,Backdoors!N9),0),"")</f>
        <v/>
      </c>
      <c r="FY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FU108&gt;=0.45,VLOOKUP(Calculator!E23,tbSkills!DH3:DI6,2,FALSE)+IF(AND(Calculator!B8=TRUE,Backdoors!BI28=TRUE),VLOOKUP(Calculator!E23,tbSkills!DH3:DJ6,3,FALSE),0),0))&gt;=100,100,(Backdoors!AI12+IF(FU108&gt;=0.45,VLOOKUP(Calculator!E23,tbSkills!DH3:DI6,2,FALSE)+IF(AND(Calculator!B8=TRUE,Backdoors!BI28=TRUE),VLOOKUP(Calculator!E23,tbSkills!DH3:DJ6,3,FALSE),0),0)))/100)),1))*IF(VLOOKUP(A108,tbMoveset!A2:K112,11,FALSE)=TRUE,Backdoors!AC5,1))*FV108,0),"")</f>
        <v>0</v>
      </c>
      <c r="FZ108" s="49">
        <f>VLOOKUP(A108,tbMoveset!A2:G112,7,FALSE)*IFERROR(IF(Backdoors!AI12&gt;=0,1+(IF(Calculator!E40&gt;0,VLOOKUP(Calculator!E40,tbSkills!AI3:AJ5,2,FALSE),Backdoors!AL4)*(IF((Backdoors!AI12+IF(FU108&gt;=0.45,VLOOKUP(Calculator!E23,tbSkills!DH3:DI6,2,FALSE)+IF(AND(Calculator!B8=TRUE,Backdoors!BI28=TRUE),VLOOKUP(Calculator!E23,tbSkills!DH3:DJ6,3,FALSE),0),0))&gt;=100,100,(Backdoors!AI12+IF(FU108&gt;=0.45,VLOOKUP(Calculator!E23,tbSkills!DH3:DI6,2,FALSE)+IF(AND(Calculator!B8=TRUE,Backdoors!BI28=TRUE),VLOOKUP(Calculator!E23,tbSkills!DH3:DJ6,3,FALSE),0),0)))/100)),1),1)</f>
        <v>0.6</v>
      </c>
      <c r="GA108" s="87">
        <f t="shared" si="76"/>
        <v>0</v>
      </c>
      <c r="GB108" s="86" t="str">
        <f>IFERROR(IF(VLOOKUP(A108,tbMoveset!A2:B112,2,FALSE)="Sever",Backdoors!AY29/100,IF(VLOOKUP(A108,tbMoveset!A2:B112,2,FALSE)="Blunt",Backdoors!AZ29/100,Backdoors!BA29/100)),"")</f>
        <v/>
      </c>
      <c r="GC108" s="49">
        <f>IFERROR(IF(VLOOKUP(tbMoveset!A108,tbMoveset!A2:H112,8,FALSE)="Other",IF(VLOOKUP(tbMoveset!A108,tbMoveset!A2:I112,9,FALSE)="Fire",Backdoors!BB29,IF(VLOOKUP(tbMoveset!A108,tbMoveset!A2:I112,9,FALSE)="Water",Backdoors!BC29,IF(VLOOKUP(tbMoveset!A108,tbMoveset!A2:I112,9,FALSE)="Thunder",Backdoors!BD29,IF(VLOOKUP(tbMoveset!A108,tbMoveset!A2:I112,9,FALSE)="Ice",Backdoors!BE29,IF(VLOOKUP(tbMoveset!A108,tbMoveset!A2:I112,9,FALSE)="Dragon",Backdoors!BF29,Backdoors!BG29)))))/100,Backdoors!BG29/100),"")</f>
        <v>0</v>
      </c>
      <c r="GD108" s="49">
        <f>IFERROR(IF(VLOOKUP(A108,tbMoveset!A2:J112,10,FALSE)=TRUE,IF((Backdoors!AI12+IF(GB108&gt;=0.45,VLOOKUP(Calculator!E23,tbSkills!DH3:DI6,2,FALSE)+IF(AND(Calculator!B8=TRUE,Backdoors!BI29=TRUE),VLOOKUP(Calculator!E23,tbSkills!DH3:DJ6,3,FALSE),0),0))&gt;=0,1+(Backdoors!AL2*(IF((Backdoors!AI12+IF(GB108&gt;=0.45,VLOOKUP(Calculator!E23,tbSkills!DH3:DI6,2,FALSE)+IF(AND(Calculator!B8=TRUE,Backdoors!BI29=TRUE),VLOOKUP(Calculator!E23,tbSkills!DH3:DJ6,3,FALSE),0),0))&gt;=100,100,(Backdoors!AI12+IF(GB108&gt;=0.45,VLOOKUP(Calculator!E23,tbSkills!DH3:DI6,2,FALSE)+IF(AND(Calculator!B8=TRUE,Backdoors!BI29=TRUE),VLOOKUP(Calculator!E23,tbSkills!DH3:DJ6,3,FALSE),0),0)))/100)),(1-(0.25*((-Backdoors!AI12-IF(GB108&gt;=0.45,VLOOKUP(Calculator!E23,tbSkills!DH3:DI6,2,FALSE)+IF(AND(Calculator!B8=TRUE,Backdoors!BI29=TRUE),VLOOKUP(Calculator!E23,tbSkills!DH3:DJ6,3,FALSE),0),0))/100)))),1),"")</f>
        <v>1</v>
      </c>
      <c r="GE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B108)*GD108)*(VLOOKUP(A108,tbMoveset!A2:C112,3,FALSE)/100)*IF(VLOOKUP(A108,tbMoveset!A2:B112,2,FALSE)="Projectile",Backdoors!N10,Backdoors!N9),0),"")</f>
        <v/>
      </c>
      <c r="GF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B108&gt;=0.45,VLOOKUP(Calculator!E23,tbSkills!DH3:DI6,2,FALSE)+IF(AND(Calculator!B8=TRUE,Backdoors!BI29=TRUE),VLOOKUP(Calculator!E23,tbSkills!DH3:DJ6,3,FALSE),0),0))&gt;=100,100,(Backdoors!AI12+IF(GB108&gt;=0.45,VLOOKUP(Calculator!E23,tbSkills!DH3:DI6,2,FALSE)+IF(AND(Calculator!B8=TRUE,Backdoors!BI29=TRUE),VLOOKUP(Calculator!E23,tbSkills!DH3:DJ6,3,FALSE),0),0)))/100)),1))*IF(VLOOKUP(A108,tbMoveset!A2:K112,11,FALSE)=TRUE,Backdoors!AC5,1))*GC108,0),"")</f>
        <v>0</v>
      </c>
      <c r="GG108" s="49">
        <f>VLOOKUP(A108,tbMoveset!A2:G112,7,FALSE)*IFERROR(IF(Backdoors!AI12&gt;=0,1+(IF(Calculator!E40&gt;0,VLOOKUP(Calculator!E40,tbSkills!AI3:AJ5,2,FALSE),Backdoors!AL4)*(IF((Backdoors!AI12+IF(GB108&gt;=0.45,VLOOKUP(Calculator!E23,tbSkills!DH3:DI6,2,FALSE)+IF(AND(Calculator!B8=TRUE,Backdoors!BI29=TRUE),VLOOKUP(Calculator!E23,tbSkills!DH3:DJ6,3,FALSE),0),0))&gt;=100,100,(Backdoors!AI12+IF(GB108&gt;=0.45,VLOOKUP(Calculator!E23,tbSkills!DH3:DI6,2,FALSE)+IF(AND(Calculator!B8=TRUE,Backdoors!BI29=TRUE),VLOOKUP(Calculator!E23,tbSkills!DH3:DJ6,3,FALSE),0),0)))/100)),1),1)</f>
        <v>0.6</v>
      </c>
      <c r="GH108" s="87">
        <f t="shared" si="77"/>
        <v>0</v>
      </c>
      <c r="GI108" s="86" t="str">
        <f>IFERROR(IF(VLOOKUP(A108,tbMoveset!A2:B112,2,FALSE)="Sever",Backdoors!AY30/100,IF(VLOOKUP(A108,tbMoveset!A2:B112,2,FALSE)="Blunt",Backdoors!AZ30/100,Backdoors!BA30/100)),"")</f>
        <v/>
      </c>
      <c r="GJ108" s="49">
        <f>IFERROR(IF(VLOOKUP(tbMoveset!A108,tbMoveset!A2:H112,8,FALSE)="Other",IF(VLOOKUP(tbMoveset!A108,tbMoveset!A2:I112,9,FALSE)="Fire",Backdoors!BB30,IF(VLOOKUP(tbMoveset!A108,tbMoveset!A2:I112,9,FALSE)="Water",Backdoors!BC30,IF(VLOOKUP(tbMoveset!A108,tbMoveset!A2:I112,9,FALSE)="Thunder",Backdoors!BD30,IF(VLOOKUP(tbMoveset!A108,tbMoveset!A2:I112,9,FALSE)="Ice",Backdoors!BE30,IF(VLOOKUP(tbMoveset!A108,tbMoveset!A2:I112,9,FALSE)="Dragon",Backdoors!BF30,Backdoors!BG30)))))/100,Backdoors!BG30/100),"")</f>
        <v>0</v>
      </c>
      <c r="GK108" s="49">
        <f>IFERROR(IF(VLOOKUP(A108,tbMoveset!A2:J112,10,FALSE)=TRUE,IF((Backdoors!AI12+IF(GI108&gt;=0.45,VLOOKUP(Calculator!E23,tbSkills!DH3:DI6,2,FALSE)+IF(AND(Calculator!B8=TRUE,Backdoors!BI30=TRUE),VLOOKUP(Calculator!E23,tbSkills!DH3:DJ6,3,FALSE),0),0))&gt;=0,1+(Backdoors!AL2*(IF((Backdoors!AI12+IF(GI108&gt;=0.45,VLOOKUP(Calculator!E23,tbSkills!DH3:DI6,2,FALSE)+IF(AND(Calculator!B8=TRUE,Backdoors!BI30=TRUE),VLOOKUP(Calculator!E23,tbSkills!DH3:DJ6,3,FALSE),0),0))&gt;=100,100,(Backdoors!AI12+IF(GI108&gt;=0.45,VLOOKUP(Calculator!E23,tbSkills!DH3:DI6,2,FALSE)+IF(AND(Calculator!B8=TRUE,Backdoors!BI30=TRUE),VLOOKUP(Calculator!E23,tbSkills!DH3:DJ6,3,FALSE),0),0)))/100)),(1-(0.25*((-Backdoors!AI12-IF(GI108&gt;=0.45,VLOOKUP(Calculator!E23,tbSkills!DH3:DI6,2,FALSE)+IF(AND(Calculator!B8=TRUE,Backdoors!BI30=TRUE),VLOOKUP(Calculator!E23,tbSkills!DH3:DJ6,3,FALSE),0),0))/100)))),1),"")</f>
        <v>1</v>
      </c>
      <c r="GL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I108)*GK108)*(VLOOKUP(A108,tbMoveset!A2:C112,3,FALSE)/100)*IF(VLOOKUP(A108,tbMoveset!A2:B112,2,FALSE)="Projectile",Backdoors!N10,Backdoors!N9),0),"")</f>
        <v/>
      </c>
      <c r="GM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I108&gt;=0.45,VLOOKUP(Calculator!E23,tbSkills!DH3:DI6,2,FALSE)+IF(AND(Calculator!B8=TRUE,Backdoors!BI30=TRUE),VLOOKUP(Calculator!E23,tbSkills!DH3:DJ6,3,FALSE),0),0))&gt;=100,100,(Backdoors!AI12+IF(GI108&gt;=0.45,VLOOKUP(Calculator!E23,tbSkills!DH3:DI6,2,FALSE)+IF(AND(Calculator!B8=TRUE,Backdoors!BI30=TRUE),VLOOKUP(Calculator!E23,tbSkills!DH3:DJ6,3,FALSE),0),0)))/100)),1))*IF(VLOOKUP(A108,tbMoveset!A2:K112,11,FALSE)=TRUE,Backdoors!AC5,1))*GJ108,0),"")</f>
        <v>0</v>
      </c>
      <c r="GN108" s="49">
        <f>VLOOKUP(A108,tbMoveset!A2:G112,7,FALSE)*IFERROR(IF(Backdoors!AI12&gt;=0,1+(IF(Calculator!E40&gt;0,VLOOKUP(Calculator!E40,tbSkills!AI3:AJ5,2,FALSE),Backdoors!AL4)*(IF((Backdoors!AI12+IF(GI108&gt;=0.45,VLOOKUP(Calculator!E23,tbSkills!DH3:DI6,2,FALSE)+IF(AND(Calculator!B8=TRUE,Backdoors!BI30=TRUE),VLOOKUP(Calculator!E23,tbSkills!DH3:DJ6,3,FALSE),0),0))&gt;=100,100,(Backdoors!AI12+IF(GI108&gt;=0.45,VLOOKUP(Calculator!E23,tbSkills!DH3:DI6,2,FALSE)+IF(AND(Calculator!B8=TRUE,Backdoors!BI30=TRUE),VLOOKUP(Calculator!E23,tbSkills!DH3:DJ6,3,FALSE),0),0)))/100)),1),1)</f>
        <v>0.6</v>
      </c>
      <c r="GO108" s="87">
        <f t="shared" si="78"/>
        <v>0</v>
      </c>
      <c r="GP108" s="86" t="str">
        <f>IFERROR(IF(VLOOKUP(A108,tbMoveset!A2:B112,2,FALSE)="Sever",Backdoors!AY31/100,IF(VLOOKUP(A108,tbMoveset!A2:B112,2,FALSE)="Blunt",Backdoors!AZ31/100,Backdoors!BA31/100)),"")</f>
        <v/>
      </c>
      <c r="GQ108" s="49">
        <f>IFERROR(IF(VLOOKUP(tbMoveset!A108,tbMoveset!A2:H112,8,FALSE)="Other",IF(VLOOKUP(tbMoveset!A108,tbMoveset!A2:I112,9,FALSE)="Fire",Backdoors!BB31,IF(VLOOKUP(tbMoveset!A108,tbMoveset!A2:I112,9,FALSE)="Water",Backdoors!BC31,IF(VLOOKUP(tbMoveset!A108,tbMoveset!A2:I112,9,FALSE)="Thunder",Backdoors!BD31,IF(VLOOKUP(tbMoveset!A108,tbMoveset!A2:I112,9,FALSE)="Ice",Backdoors!BE31,IF(VLOOKUP(tbMoveset!A108,tbMoveset!A2:I112,9,FALSE)="Dragon",Backdoors!BF31,Backdoors!BG31)))))/100,Backdoors!BG31/100),"")</f>
        <v>0</v>
      </c>
      <c r="GR108" s="49">
        <f>IFERROR(IF(VLOOKUP(A108,tbMoveset!A2:J112,10,FALSE)=TRUE,IF((Backdoors!AI12+IF(GP108&gt;=0.45,VLOOKUP(Calculator!E23,tbSkills!DH3:DI6,2,FALSE)+IF(AND(Calculator!B8=TRUE,Backdoors!BI31=TRUE),VLOOKUP(Calculator!E23,tbSkills!DH3:DJ6,3,FALSE),0),0))&gt;=0,1+(Backdoors!AL2*(IF((Backdoors!AI12+IF(GP108&gt;=0.45,VLOOKUP(Calculator!E23,tbSkills!DH3:DI6,2,FALSE)+IF(AND(Calculator!B8=TRUE,Backdoors!BI31=TRUE),VLOOKUP(Calculator!E23,tbSkills!DH3:DJ6,3,FALSE),0),0))&gt;=100,100,(Backdoors!AI12+IF(GP108&gt;=0.45,VLOOKUP(Calculator!E23,tbSkills!DH3:DI6,2,FALSE)+IF(AND(Calculator!B8=TRUE,Backdoors!BI31=TRUE),VLOOKUP(Calculator!E23,tbSkills!DH3:DJ6,3,FALSE),0),0)))/100)),(1-(0.25*((-Backdoors!AI12-IF(GP108&gt;=0.45,VLOOKUP(Calculator!E23,tbSkills!DH3:DI6,2,FALSE)+IF(AND(Calculator!B8=TRUE,Backdoors!BI31=TRUE),VLOOKUP(Calculator!E23,tbSkills!DH3:DJ6,3,FALSE),0),0))/100)))),1),"")</f>
        <v>1</v>
      </c>
      <c r="GS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P108)*GR108)*(VLOOKUP(A108,tbMoveset!A2:C112,3,FALSE)/100)*IF(VLOOKUP(A108,tbMoveset!A2:B112,2,FALSE)="Projectile",Backdoors!N10,Backdoors!N9),0),"")</f>
        <v/>
      </c>
      <c r="GT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P108&gt;=0.45,VLOOKUP(Calculator!E23,tbSkills!DH3:DI6,2,FALSE)+IF(AND(Calculator!B8=TRUE,Backdoors!BI31=TRUE),VLOOKUP(Calculator!E23,tbSkills!DH3:DJ6,3,FALSE),0),0))&gt;=100,100,(Backdoors!AI12+IF(GP108&gt;=0.45,VLOOKUP(Calculator!E23,tbSkills!DH3:DI6,2,FALSE)+IF(AND(Calculator!B8=TRUE,Backdoors!BI31=TRUE),VLOOKUP(Calculator!E23,tbSkills!DH3:DJ6,3,FALSE),0),0)))/100)),1))*IF(VLOOKUP(A108,tbMoveset!A2:K112,11,FALSE)=TRUE,Backdoors!AC5,1))*GQ108,0),"")</f>
        <v>0</v>
      </c>
      <c r="GU108" s="49">
        <f>VLOOKUP(A108,tbMoveset!A2:G112,7,FALSE)*IFERROR(IF(Backdoors!AI12&gt;=0,1+(IF(Calculator!E40&gt;0,VLOOKUP(Calculator!E40,tbSkills!AI3:AJ5,2,FALSE),Backdoors!AL4)*(IF((Backdoors!AI12+IF(GP108&gt;=0.45,VLOOKUP(Calculator!E23,tbSkills!DH3:DI6,2,FALSE)+IF(AND(Calculator!B8=TRUE,Backdoors!BI31=TRUE),VLOOKUP(Calculator!E23,tbSkills!DH3:DJ6,3,FALSE),0),0))&gt;=100,100,(Backdoors!AI12+IF(GP108&gt;=0.45,VLOOKUP(Calculator!E23,tbSkills!DH3:DI6,2,FALSE)+IF(AND(Calculator!B8=TRUE,Backdoors!BI31=TRUE),VLOOKUP(Calculator!E23,tbSkills!DH3:DJ6,3,FALSE),0),0)))/100)),1),1)</f>
        <v>0.6</v>
      </c>
      <c r="GV108" s="87">
        <f t="shared" si="79"/>
        <v>0</v>
      </c>
      <c r="GW108" s="86" t="str">
        <f>IFERROR(IF(VLOOKUP(A108,tbMoveset!A2:B112,2,FALSE)="Sever",Backdoors!AY32/100,IF(VLOOKUP(A108,tbMoveset!A2:B112,2,FALSE)="Blunt",Backdoors!AZ32/100,Backdoors!BA32/100)),"")</f>
        <v/>
      </c>
      <c r="GX108" s="49">
        <f>IFERROR(IF(VLOOKUP(tbMoveset!A108,tbMoveset!A2:H112,8,FALSE)="Other",IF(VLOOKUP(tbMoveset!A108,tbMoveset!A2:I112,9,FALSE)="Fire",Backdoors!BB32,IF(VLOOKUP(tbMoveset!A108,tbMoveset!A2:I112,9,FALSE)="Water",Backdoors!BC32,IF(VLOOKUP(tbMoveset!A108,tbMoveset!A2:I112,9,FALSE)="Thunder",Backdoors!BD32,IF(VLOOKUP(tbMoveset!A108,tbMoveset!A2:I112,9,FALSE)="Ice",Backdoors!BE32,IF(VLOOKUP(tbMoveset!A108,tbMoveset!A2:I112,9,FALSE)="Dragon",Backdoors!BF32,Backdoors!BG32)))))/100,Backdoors!BG32/100),"")</f>
        <v>0</v>
      </c>
      <c r="GY108" s="49">
        <f>IFERROR(IF(VLOOKUP(A108,tbMoveset!A2:J112,10,FALSE)=TRUE,IF((Backdoors!AI12+IF(GW108&gt;=0.45,VLOOKUP(Calculator!E23,tbSkills!DH3:DI6,2,FALSE)+IF(AND(Calculator!B8=TRUE,Backdoors!BI32=TRUE),VLOOKUP(Calculator!E23,tbSkills!DH3:DJ6,3,FALSE),0),0))&gt;=0,1+(Backdoors!AL2*(IF((Backdoors!AI12+IF(GW108&gt;=0.45,VLOOKUP(Calculator!E23,tbSkills!DH3:DI6,2,FALSE)+IF(AND(Calculator!B8=TRUE,Backdoors!BI32=TRUE),VLOOKUP(Calculator!E23,tbSkills!DH3:DJ6,3,FALSE),0),0))&gt;=100,100,(Backdoors!AI12+IF(GW108&gt;=0.45,VLOOKUP(Calculator!E23,tbSkills!DH3:DI6,2,FALSE)+IF(AND(Calculator!B8=TRUE,Backdoors!BI32=TRUE),VLOOKUP(Calculator!E23,tbSkills!DH3:DJ6,3,FALSE),0),0)))/100)),(1-(0.25*((-Backdoors!AI12-IF(GW108&gt;=0.45,VLOOKUP(Calculator!E23,tbSkills!DH3:DI6,2,FALSE)+IF(AND(Calculator!B8=TRUE,Backdoors!BI32=TRUE),VLOOKUP(Calculator!E23,tbSkills!DH3:DJ6,3,FALSE),0),0))/100)))),1),"")</f>
        <v>1</v>
      </c>
      <c r="GZ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W108)*GY108)*(VLOOKUP(A108,tbMoveset!A2:C112,3,FALSE)/100)*IF(VLOOKUP(A108,tbMoveset!A2:B112,2,FALSE)="Projectile",Backdoors!N10,Backdoors!N9),0),"")</f>
        <v/>
      </c>
      <c r="HA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W108&gt;=0.45,VLOOKUP(Calculator!E23,tbSkills!DH3:DI6,2,FALSE)+IF(AND(Calculator!B8=TRUE,Backdoors!BI32=TRUE),VLOOKUP(Calculator!E23,tbSkills!DH3:DJ6,3,FALSE),0),0))&gt;=100,100,(Backdoors!AI12+IF(GW108&gt;=0.45,VLOOKUP(Calculator!E23,tbSkills!DH3:DI6,2,FALSE)+IF(AND(Calculator!B8=TRUE,Backdoors!BI32=TRUE),VLOOKUP(Calculator!E23,tbSkills!DH3:DJ6,3,FALSE),0),0)))/100)),1))*IF(VLOOKUP(A108,tbMoveset!A2:K112,11,FALSE)=TRUE,Backdoors!AC5,1))*GX108,0),"")</f>
        <v>0</v>
      </c>
      <c r="HB108" s="49">
        <f>VLOOKUP(A108,tbMoveset!A2:G112,7,FALSE)*IFERROR(IF(Backdoors!AI12&gt;=0,1+(IF(Calculator!E40&gt;0,VLOOKUP(Calculator!E40,tbSkills!AI3:AJ5,2,FALSE),Backdoors!AL4)*(IF((Backdoors!AI12+IF(GW108&gt;=0.45,VLOOKUP(Calculator!E23,tbSkills!DH3:DI6,2,FALSE)+IF(AND(Calculator!B8=TRUE,Backdoors!BI32=TRUE),VLOOKUP(Calculator!E23,tbSkills!DH3:DJ6,3,FALSE),0),0))&gt;=100,100,(Backdoors!AI12+IF(GW108&gt;=0.45,VLOOKUP(Calculator!E23,tbSkills!DH3:DI6,2,FALSE)+IF(AND(Calculator!B8=TRUE,Backdoors!BI32=TRUE),VLOOKUP(Calculator!E23,tbSkills!DH3:DJ6,3,FALSE),0),0)))/100)),1),1)</f>
        <v>0.6</v>
      </c>
      <c r="HC108" s="87">
        <f t="shared" si="80"/>
        <v>0</v>
      </c>
      <c r="HD108" s="86" t="str">
        <f>IFERROR(IF(VLOOKUP(A108,tbMoveset!A2:B112,2,FALSE)="Sever",Backdoors!AY33/100,IF(VLOOKUP(A108,tbMoveset!A2:B112,2,FALSE)="Blunt",Backdoors!AZ33/100,Backdoors!BA33/100)),"")</f>
        <v/>
      </c>
      <c r="HE108" s="49">
        <f>IFERROR(IF(VLOOKUP(tbMoveset!A108,tbMoveset!A2:H112,8,FALSE)="Other",IF(VLOOKUP(tbMoveset!A108,tbMoveset!A2:I112,9,FALSE)="Fire",Backdoors!BB33,IF(VLOOKUP(tbMoveset!A108,tbMoveset!A2:I112,9,FALSE)="Water",Backdoors!BC33,IF(VLOOKUP(tbMoveset!A108,tbMoveset!A2:I112,9,FALSE)="Thunder",Backdoors!BD33,IF(VLOOKUP(tbMoveset!A108,tbMoveset!A2:I112,9,FALSE)="Ice",Backdoors!BE33,IF(VLOOKUP(tbMoveset!A108,tbMoveset!A2:I112,9,FALSE)="Dragon",Backdoors!BF33,Backdoors!BG33)))))/100,Backdoors!BG33/100),"")</f>
        <v>0</v>
      </c>
      <c r="HF108" s="49">
        <f>IFERROR(IF(VLOOKUP(A108,tbMoveset!A2:J112,10,FALSE)=TRUE,IF((Backdoors!AI12+IF(HD108&gt;=0.45,VLOOKUP(Calculator!E23,tbSkills!DH3:DI6,2,FALSE)+IF(AND(Calculator!B8=TRUE,Backdoors!BI33=TRUE),VLOOKUP(Calculator!E23,tbSkills!DH3:DJ6,3,FALSE),0),0))&gt;=0,1+(Backdoors!AL2*(IF((Backdoors!AI12+IF(HD108&gt;=0.45,VLOOKUP(Calculator!E23,tbSkills!DH3:DI6,2,FALSE)+IF(AND(Calculator!B8=TRUE,Backdoors!BI33=TRUE),VLOOKUP(Calculator!E23,tbSkills!DH3:DJ6,3,FALSE),0),0))&gt;=100,100,(Backdoors!AI12+IF(HD108&gt;=0.45,VLOOKUP(Calculator!E23,tbSkills!DH3:DI6,2,FALSE)+IF(AND(Calculator!B8=TRUE,Backdoors!BI33=TRUE),VLOOKUP(Calculator!E23,tbSkills!DH3:DJ6,3,FALSE),0),0)))/100)),(1-(0.25*((-Backdoors!AI12-IF(HD108&gt;=0.45,VLOOKUP(Calculator!E23,tbSkills!DH3:DI6,2,FALSE)+IF(AND(Calculator!B8=TRUE,Backdoors!BI33=TRUE),VLOOKUP(Calculator!E23,tbSkills!DH3:DJ6,3,FALSE),0),0))/100)))),1),"")</f>
        <v>1</v>
      </c>
      <c r="HG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D108)*HF108)*(VLOOKUP(A108,tbMoveset!A2:C112,3,FALSE)/100)*IF(VLOOKUP(A108,tbMoveset!A2:B112,2,FALSE)="Projectile",Backdoors!N10,Backdoors!N9),0),"")</f>
        <v/>
      </c>
      <c r="HH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D108&gt;=0.45,VLOOKUP(Calculator!E23,tbSkills!DH3:DI6,2,FALSE)+IF(AND(Calculator!B8=TRUE,Backdoors!BI33=TRUE),VLOOKUP(Calculator!E23,tbSkills!DH3:DJ6,3,FALSE),0),0))&gt;=100,100,(Backdoors!AI12+IF(HD108&gt;=0.45,VLOOKUP(Calculator!E23,tbSkills!DH3:DI6,2,FALSE)+IF(AND(Calculator!B8=TRUE,Backdoors!BI33=TRUE),VLOOKUP(Calculator!E23,tbSkills!DH3:DJ6,3,FALSE),0),0)))/100)),1))*IF(VLOOKUP(A108,tbMoveset!A2:K112,11,FALSE)=TRUE,Backdoors!AC5,1))*HE108,0),"")</f>
        <v>0</v>
      </c>
      <c r="HI108" s="49">
        <f>VLOOKUP(A108,tbMoveset!A2:G112,7,FALSE)*IFERROR(IF(Backdoors!AI12&gt;=0,1+(IF(Calculator!E40&gt;0,VLOOKUP(Calculator!E40,tbSkills!AI3:AJ5,2,FALSE),Backdoors!AL4)*(IF((Backdoors!AI12+IF(HD108&gt;=0.45,VLOOKUP(Calculator!E23,tbSkills!DH3:DI6,2,FALSE)+IF(AND(Calculator!B8=TRUE,Backdoors!BI33=TRUE),VLOOKUP(Calculator!E23,tbSkills!DH3:DJ6,3,FALSE),0),0))&gt;=100,100,(Backdoors!AI12+IF(HD108&gt;=0.45,VLOOKUP(Calculator!E23,tbSkills!DH3:DI6,2,FALSE)+IF(AND(Calculator!B8=TRUE,Backdoors!BI33=TRUE),VLOOKUP(Calculator!E23,tbSkills!DH3:DJ6,3,FALSE),0),0)))/100)),1),1)</f>
        <v>0.6</v>
      </c>
      <c r="HJ108" s="87">
        <f t="shared" si="81"/>
        <v>0</v>
      </c>
      <c r="HK108" s="86" t="str">
        <f>IFERROR(IF(VLOOKUP(A108,tbMoveset!A2:B112,2,FALSE)="Sever",Backdoors!AY34/100,IF(VLOOKUP(A108,tbMoveset!A2:B112,2,FALSE)="Blunt",Backdoors!AZ34/100,Backdoors!BA34/100)),"")</f>
        <v/>
      </c>
      <c r="HL108" s="49">
        <f>IFERROR(IF(VLOOKUP(tbMoveset!A108,tbMoveset!A2:H112,8,FALSE)="Other",IF(VLOOKUP(tbMoveset!A108,tbMoveset!A2:I112,9,FALSE)="Fire",Backdoors!BB34,IF(VLOOKUP(tbMoveset!A108,tbMoveset!A2:I112,9,FALSE)="Water",Backdoors!BC34,IF(VLOOKUP(tbMoveset!A108,tbMoveset!A2:I112,9,FALSE)="Thunder",Backdoors!BD34,IF(VLOOKUP(tbMoveset!A108,tbMoveset!A2:I112,9,FALSE)="Ice",Backdoors!BE34,IF(VLOOKUP(tbMoveset!A108,tbMoveset!A2:I112,9,FALSE)="Dragon",Backdoors!BF34,Backdoors!BG34)))))/100,Backdoors!BG34/100),"")</f>
        <v>0</v>
      </c>
      <c r="HM108" s="49">
        <f>IFERROR(IF(VLOOKUP(A108,tbMoveset!A2:J112,10,FALSE)=TRUE,IF((Backdoors!AI12+IF(HK108&gt;=0.45,VLOOKUP(Calculator!E23,tbSkills!DH3:DI6,2,FALSE)+IF(AND(Calculator!B8=TRUE,Backdoors!BI34=TRUE),VLOOKUP(Calculator!E23,tbSkills!DH3:DJ6,3,FALSE),0),0))&gt;=0,1+(Backdoors!AL2*(IF((Backdoors!AI12+IF(HK108&gt;=0.45,VLOOKUP(Calculator!E23,tbSkills!DH3:DI6,2,FALSE)+IF(AND(Calculator!B8=TRUE,Backdoors!BI34=TRUE),VLOOKUP(Calculator!E23,tbSkills!DH3:DJ6,3,FALSE),0),0))&gt;=100,100,(Backdoors!AI12+IF(HK108&gt;=0.45,VLOOKUP(Calculator!E23,tbSkills!DH3:DI6,2,FALSE)+IF(AND(Calculator!B8=TRUE,Backdoors!BI34=TRUE),VLOOKUP(Calculator!E23,tbSkills!DH3:DJ6,3,FALSE),0),0)))/100)),(1-(0.25*((-Backdoors!AI12-IF(HK108&gt;=0.45,VLOOKUP(Calculator!E23,tbSkills!DH3:DI6,2,FALSE)+IF(AND(Calculator!B8=TRUE,Backdoors!BI34=TRUE),VLOOKUP(Calculator!E23,tbSkills!DH3:DJ6,3,FALSE),0),0))/100)))),1),"")</f>
        <v>1</v>
      </c>
      <c r="HN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K108)*HM108)*(VLOOKUP(A108,tbMoveset!A2:C112,3,FALSE)/100)*IF(VLOOKUP(A108,tbMoveset!A2:B112,2,FALSE)="Projectile",Backdoors!N10,Backdoors!N9),0),"")</f>
        <v/>
      </c>
      <c r="HO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K108&gt;=0.45,VLOOKUP(Calculator!E23,tbSkills!DH3:DI6,2,FALSE)+IF(AND(Calculator!B8=TRUE,Backdoors!BI34=TRUE),VLOOKUP(Calculator!E23,tbSkills!DH3:DJ6,3,FALSE),0),0))&gt;=100,100,(Backdoors!AI12+IF(HK108&gt;=0.45,VLOOKUP(Calculator!E23,tbSkills!DH3:DI6,2,FALSE)+IF(AND(Calculator!B8=TRUE,Backdoors!BI34=TRUE),VLOOKUP(Calculator!E23,tbSkills!DH3:DJ6,3,FALSE),0),0)))/100)),1))*IF(VLOOKUP(A108,tbMoveset!A2:K112,11,FALSE)=TRUE,Backdoors!AC5,1))*HL108,0),"")</f>
        <v>0</v>
      </c>
      <c r="HP108" s="49">
        <f>VLOOKUP(A108,tbMoveset!A2:G112,7,FALSE)*IFERROR(IF(Backdoors!AI12&gt;=0,1+(IF(Calculator!E40&gt;0,VLOOKUP(Calculator!E40,tbSkills!AI3:AJ5,2,FALSE),Backdoors!AL4)*(IF((Backdoors!AI12+IF(HK108&gt;=0.45,VLOOKUP(Calculator!E23,tbSkills!DH3:DI6,2,FALSE)+IF(AND(Calculator!B8=TRUE,Backdoors!BI34=TRUE),VLOOKUP(Calculator!E23,tbSkills!DH3:DJ6,3,FALSE),0),0))&gt;=100,100,(Backdoors!AI12+IF(HK108&gt;=0.45,VLOOKUP(Calculator!E23,tbSkills!DH3:DI6,2,FALSE)+IF(AND(Calculator!B8=TRUE,Backdoors!BI34=TRUE),VLOOKUP(Calculator!E23,tbSkills!DH3:DJ6,3,FALSE),0),0)))/100)),1),1)</f>
        <v>0.6</v>
      </c>
      <c r="HQ108" s="87">
        <f t="shared" si="82"/>
        <v>0</v>
      </c>
      <c r="HR108" s="86" t="str">
        <f>IFERROR(IF(VLOOKUP(A108,tbMoveset!A2:B112,2,FALSE)="Sever",Backdoors!AY35/100,IF(VLOOKUP(A108,tbMoveset!A2:B112,2,FALSE)="Blunt",Backdoors!AZ35/100,Backdoors!BA35/100)),"")</f>
        <v/>
      </c>
      <c r="HS108" s="49">
        <f>IFERROR(IF(VLOOKUP(tbMoveset!A108,tbMoveset!A2:H112,8,FALSE)="Other",IF(VLOOKUP(tbMoveset!A108,tbMoveset!A2:I112,9,FALSE)="Fire",Backdoors!BB35,IF(VLOOKUP(tbMoveset!A108,tbMoveset!A2:I112,9,FALSE)="Water",Backdoors!BC35,IF(VLOOKUP(tbMoveset!A108,tbMoveset!A2:I112,9,FALSE)="Thunder",Backdoors!BD35,IF(VLOOKUP(tbMoveset!A108,tbMoveset!A2:I112,9,FALSE)="Ice",Backdoors!BE35,IF(VLOOKUP(tbMoveset!A108,tbMoveset!A2:I112,9,FALSE)="Dragon",Backdoors!BF35,Backdoors!BG35)))))/100,Backdoors!BG35/100),"")</f>
        <v>0</v>
      </c>
      <c r="HT108" s="49">
        <f>IFERROR(IF(VLOOKUP(A108,tbMoveset!A2:J112,10,FALSE)=TRUE,IF((Backdoors!AI12+IF(HR108&gt;=0.45,VLOOKUP(Calculator!E23,tbSkills!DH3:DI6,2,FALSE)+IF(AND(Calculator!B8=TRUE,Backdoors!BI35=TRUE),VLOOKUP(Calculator!E23,tbSkills!DH3:DJ6,3,FALSE),0),0))&gt;=0,1+(Backdoors!AL2*(IF((Backdoors!AI12+IF(HR108&gt;=0.45,VLOOKUP(Calculator!E23,tbSkills!DH3:DI6,2,FALSE)+IF(AND(Calculator!B8=TRUE,Backdoors!BI35=TRUE),VLOOKUP(Calculator!E23,tbSkills!DH3:DJ6,3,FALSE),0),0))&gt;=100,100,(Backdoors!AI12+IF(HR108&gt;=0.45,VLOOKUP(Calculator!E23,tbSkills!DH3:DI6,2,FALSE)+IF(AND(Calculator!B8=TRUE,Backdoors!BI35=TRUE),VLOOKUP(Calculator!E23,tbSkills!DH3:DJ6,3,FALSE),0),0)))/100)),(1-(0.25*((-Backdoors!AI12-IF(HR108&gt;=0.45,VLOOKUP(Calculator!E23,tbSkills!DH3:DI6,2,FALSE)+IF(AND(Calculator!B8=TRUE,Backdoors!BI35=TRUE),VLOOKUP(Calculator!E23,tbSkills!DH3:DJ6,3,FALSE),0),0))/100)))),1),"")</f>
        <v>1</v>
      </c>
      <c r="HU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R108)*HT108)*(VLOOKUP(A108,tbMoveset!A2:C112,3,FALSE)/100)*IF(VLOOKUP(A108,tbMoveset!A2:B112,2,FALSE)="Projectile",Backdoors!N10,Backdoors!N9),0),"")</f>
        <v/>
      </c>
      <c r="HV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R108&gt;=0.45,VLOOKUP(Calculator!E23,tbSkills!DH3:DI6,2,FALSE)+IF(AND(Calculator!B8=TRUE,Backdoors!BI35=TRUE),VLOOKUP(Calculator!E23,tbSkills!DH3:DJ6,3,FALSE),0),0))&gt;=100,100,(Backdoors!AI12+IF(HR108&gt;=0.45,VLOOKUP(Calculator!E23,tbSkills!DH3:DI6,2,FALSE)+IF(AND(Calculator!B8=TRUE,Backdoors!BI35=TRUE),VLOOKUP(Calculator!E23,tbSkills!DH3:DJ6,3,FALSE),0),0)))/100)),1))*IF(VLOOKUP(A108,tbMoveset!A2:K112,11,FALSE)=TRUE,Backdoors!AC5,1))*HS108,0),"")</f>
        <v>0</v>
      </c>
      <c r="HW108" s="49">
        <f>VLOOKUP(A108,tbMoveset!A2:G112,7,FALSE)*IFERROR(IF(Backdoors!AI12&gt;=0,1+(IF(Calculator!E40&gt;0,VLOOKUP(Calculator!E40,tbSkills!AI3:AJ5,2,FALSE),Backdoors!AL4)*(IF((Backdoors!AI12+IF(HR108&gt;=0.45,VLOOKUP(Calculator!E23,tbSkills!DH3:DI6,2,FALSE)+IF(AND(Calculator!B8=TRUE,Backdoors!BI35=TRUE),VLOOKUP(Calculator!E23,tbSkills!DH3:DJ6,3,FALSE),0),0))&gt;=100,100,(Backdoors!AI12+IF(HR108&gt;=0.45,VLOOKUP(Calculator!E23,tbSkills!DH3:DI6,2,FALSE)+IF(AND(Calculator!B8=TRUE,Backdoors!BI35=TRUE),VLOOKUP(Calculator!E23,tbSkills!DH3:DJ6,3,FALSE),0),0)))/100)),1),1)</f>
        <v>0.6</v>
      </c>
      <c r="HX108" s="87">
        <f t="shared" si="83"/>
        <v>0</v>
      </c>
      <c r="HY108" s="86" t="str">
        <f>IFERROR(IF(VLOOKUP(A108,tbMoveset!A2:B112,2,FALSE)="Sever",Backdoors!AY36/100,IF(VLOOKUP(A108,tbMoveset!A2:B112,2,FALSE)="Blunt",Backdoors!AZ36/100,Backdoors!BA36/100)),"")</f>
        <v/>
      </c>
      <c r="HZ108" s="49">
        <f>IFERROR(IF(VLOOKUP(tbMoveset!A108,tbMoveset!A2:H112,8,FALSE)="Other",IF(VLOOKUP(tbMoveset!A108,tbMoveset!A2:I112,9,FALSE)="Fire",Backdoors!BB36,IF(VLOOKUP(tbMoveset!A108,tbMoveset!A2:I112,9,FALSE)="Water",Backdoors!BC36,IF(VLOOKUP(tbMoveset!A108,tbMoveset!A2:I112,9,FALSE)="Thunder",Backdoors!BD36,IF(VLOOKUP(tbMoveset!A108,tbMoveset!A2:I112,9,FALSE)="Ice",Backdoors!BE36,IF(VLOOKUP(tbMoveset!A108,tbMoveset!A2:I112,9,FALSE)="Dragon",Backdoors!BF36,Backdoors!BG36)))))/100,Backdoors!BG36/100),"")</f>
        <v>0</v>
      </c>
      <c r="IA108" s="49">
        <f>IFERROR(IF(VLOOKUP(A108,tbMoveset!A2:J112,10,FALSE)=TRUE,IF((Backdoors!AI12+IF(HY108&gt;=0.45,VLOOKUP(Calculator!E23,tbSkills!DH3:DI6,2,FALSE)+IF(AND(Calculator!B8=TRUE,Backdoors!BI36=TRUE),VLOOKUP(Calculator!E23,tbSkills!DH3:DJ6,3,FALSE),0),0))&gt;=0,1+(Backdoors!AL2*(IF((Backdoors!AI12+IF(HY108&gt;=0.45,VLOOKUP(Calculator!E23,tbSkills!DH3:DI6,2,FALSE)+IF(AND(Calculator!B8=TRUE,Backdoors!BI36=TRUE),VLOOKUP(Calculator!E23,tbSkills!DH3:DJ6,3,FALSE),0),0))&gt;=100,100,(Backdoors!AI12+IF(HY108&gt;=0.45,VLOOKUP(Calculator!E23,tbSkills!DH3:DI6,2,FALSE)+IF(AND(Calculator!B8=TRUE,Backdoors!BI36=TRUE),VLOOKUP(Calculator!E23,tbSkills!DH3:DJ6,3,FALSE),0),0)))/100)),(1-(0.25*((-Backdoors!AI12-IF(HY108&gt;=0.45,VLOOKUP(Calculator!E23,tbSkills!DH3:DI6,2,FALSE)+IF(AND(Calculator!B8=TRUE,Backdoors!BI36=TRUE),VLOOKUP(Calculator!E23,tbSkills!DH3:DJ6,3,FALSE),0),0))/100)))),1),"")</f>
        <v>1</v>
      </c>
      <c r="IB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Y108)*IA108)*(VLOOKUP(A108,tbMoveset!A2:C112,3,FALSE)/100)*IF(VLOOKUP(A108,tbMoveset!A2:B112,2,FALSE)="Projectile",Backdoors!N10,Backdoors!N9),0),"")</f>
        <v/>
      </c>
      <c r="IC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Y108&gt;=0.45,VLOOKUP(Calculator!E23,tbSkills!DH3:DI6,2,FALSE)+IF(AND(Calculator!B8=TRUE,Backdoors!BI36=TRUE),VLOOKUP(Calculator!E23,tbSkills!DH3:DJ6,3,FALSE),0),0))&gt;=100,100,(Backdoors!AI12+IF(HY108&gt;=0.45,VLOOKUP(Calculator!E23,tbSkills!DH3:DI6,2,FALSE)+IF(AND(Calculator!B8=TRUE,Backdoors!BI36=TRUE),VLOOKUP(Calculator!E23,tbSkills!DH3:DJ6,3,FALSE),0),0)))/100)),1))*IF(VLOOKUP(A108,tbMoveset!A2:K112,11,FALSE)=TRUE,Backdoors!AC5,1))*HZ108,0),"")</f>
        <v>0</v>
      </c>
      <c r="ID108" s="49">
        <f>VLOOKUP(A108,tbMoveset!A2:G112,7,FALSE)*IFERROR(IF(Backdoors!AI12&gt;=0,1+(IF(Calculator!E40&gt;0,VLOOKUP(Calculator!E40,tbSkills!AI3:AJ5,2,FALSE),Backdoors!AL4)*(IF((Backdoors!AI12+IF(HY108&gt;=0.45,VLOOKUP(Calculator!E23,tbSkills!DH3:DI6,2,FALSE)+IF(AND(Calculator!B8=TRUE,Backdoors!BI36=TRUE),VLOOKUP(Calculator!E23,tbSkills!DH3:DJ6,3,FALSE),0),0))&gt;=100,100,(Backdoors!AI12+IF(HY108&gt;=0.45,VLOOKUP(Calculator!E23,tbSkills!DH3:DI6,2,FALSE)+IF(AND(Calculator!B8=TRUE,Backdoors!BI36=TRUE),VLOOKUP(Calculator!E23,tbSkills!DH3:DJ6,3,FALSE),0),0)))/100)),1),1)</f>
        <v>0.6</v>
      </c>
      <c r="IE108" s="87">
        <f t="shared" si="84"/>
        <v>0</v>
      </c>
      <c r="IF108" s="86" t="str">
        <f>IFERROR(IF(VLOOKUP(A108,tbMoveset!A2:B112,2,FALSE)="Sever",Backdoors!AY37/100,IF(VLOOKUP(A108,tbMoveset!A2:B112,2,FALSE)="Blunt",Backdoors!AZ37/100,Backdoors!BA37/100)),"")</f>
        <v/>
      </c>
      <c r="IG108" s="49">
        <f>IFERROR(IF(VLOOKUP(tbMoveset!A108,tbMoveset!A2:H112,8,FALSE)="Other",IF(VLOOKUP(tbMoveset!A108,tbMoveset!A2:I112,9,FALSE)="Fire",Backdoors!BB37,IF(VLOOKUP(tbMoveset!A108,tbMoveset!A2:I112,9,FALSE)="Water",Backdoors!BC37,IF(VLOOKUP(tbMoveset!A108,tbMoveset!A2:I112,9,FALSE)="Thunder",Backdoors!BD37,IF(VLOOKUP(tbMoveset!A108,tbMoveset!A2:I112,9,FALSE)="Ice",Backdoors!BE37,IF(VLOOKUP(tbMoveset!A108,tbMoveset!A2:I112,9,FALSE)="Dragon",Backdoors!BF37,Backdoors!BG37)))))/100,Backdoors!BG37/100),"")</f>
        <v>0</v>
      </c>
      <c r="IH108" s="49">
        <f>IFERROR(IF(VLOOKUP(A108,tbMoveset!A2:J112,10,FALSE)=TRUE,IF((Backdoors!AI12+IF(IF108&gt;=0.45,VLOOKUP(Calculator!E23,tbSkills!DH3:DI6,2,FALSE)+IF(AND(Calculator!B8=TRUE,Backdoors!BI37=TRUE),VLOOKUP(Calculator!E23,tbSkills!DH3:DJ6,3,FALSE),0),0))&gt;=0,1+(Backdoors!AL2*(IF((Backdoors!AI12+IF(IF108&gt;=0.45,VLOOKUP(Calculator!E23,tbSkills!DH3:DI6,2,FALSE)+IF(AND(Calculator!B8=TRUE,Backdoors!BI37=TRUE),VLOOKUP(Calculator!E23,tbSkills!DH3:DJ6,3,FALSE),0),0))&gt;=100,100,(Backdoors!AI12+IF(IF108&gt;=0.45,VLOOKUP(Calculator!E23,tbSkills!DH3:DI6,2,FALSE)+IF(AND(Calculator!B8=TRUE,Backdoors!BI37=TRUE),VLOOKUP(Calculator!E23,tbSkills!DH3:DJ6,3,FALSE),0),0)))/100)),(1-(0.25*((-Backdoors!AI12-IF(IF108&gt;=0.45,VLOOKUP(Calculator!E23,tbSkills!DH3:DI6,2,FALSE)+IF(AND(Calculator!B8=TRUE,Backdoors!BI37=TRUE),VLOOKUP(Calculator!E23,tbSkills!DH3:DJ6,3,FALSE),0),0))/100)))),1),"")</f>
        <v>1</v>
      </c>
      <c r="II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F108)*IH108)*(VLOOKUP(A108,tbMoveset!A2:C112,3,FALSE)/100)*IF(VLOOKUP(A108,tbMoveset!A2:B112,2,FALSE)="Projectile",Backdoors!N10,Backdoors!N9),0),"")</f>
        <v/>
      </c>
      <c r="IJ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IF108&gt;=0.45,VLOOKUP(Calculator!E23,tbSkills!DH3:DI6,2,FALSE)+IF(AND(Calculator!B8=TRUE,Backdoors!BI37=TRUE),VLOOKUP(Calculator!E23,tbSkills!DH3:DJ6,3,FALSE),0),0))&gt;=100,100,(Backdoors!AI12+IF(IF108&gt;=0.45,VLOOKUP(Calculator!E23,tbSkills!DH3:DI6,2,FALSE)+IF(AND(Calculator!B8=TRUE,Backdoors!BI37=TRUE),VLOOKUP(Calculator!E23,tbSkills!DH3:DJ6,3,FALSE),0),0)))/100)),1))*IF(VLOOKUP(A108,tbMoveset!A2:K112,11,FALSE)=TRUE,Backdoors!AC5,1))*IG108,0),"")</f>
        <v>0</v>
      </c>
      <c r="IK108" s="49">
        <f>VLOOKUP(A108,tbMoveset!A2:G112,7,FALSE)*IFERROR(IF(Backdoors!AI12&gt;=0,1+(IF(Calculator!E40&gt;0,VLOOKUP(Calculator!E40,tbSkills!AI3:AJ5,2,FALSE),Backdoors!AL4)*(IF((Backdoors!AI12+IF(IF108&gt;=0.45,VLOOKUP(Calculator!E23,tbSkills!DH3:DI6,2,FALSE)+IF(AND(Calculator!B8=TRUE,Backdoors!BI37=TRUE),VLOOKUP(Calculator!E23,tbSkills!DH3:DJ6,3,FALSE),0),0))&gt;=100,100,(Backdoors!AI12+IF(IF108&gt;=0.45,VLOOKUP(Calculator!E23,tbSkills!DH3:DI6,2,FALSE)+IF(AND(Calculator!B8=TRUE,Backdoors!BI37=TRUE),VLOOKUP(Calculator!E23,tbSkills!DH3:DJ6,3,FALSE),0),0)))/100)),1),1)</f>
        <v>0.6</v>
      </c>
      <c r="IL108" s="87">
        <f t="shared" si="85"/>
        <v>0</v>
      </c>
      <c r="IM108" s="86" t="str">
        <f>IFERROR(IF(VLOOKUP(A108,tbMoveset!A2:B112,2,FALSE)="Sever",Backdoors!AY38/100,IF(VLOOKUP(A108,tbMoveset!A2:B112,2,FALSE)="Blunt",Backdoors!AZ38/100,Backdoors!BA38/100)),"")</f>
        <v/>
      </c>
      <c r="IN108" s="49">
        <f>IFERROR(IF(VLOOKUP(tbMoveset!A108,tbMoveset!A2:H112,8,FALSE)="Other",IF(VLOOKUP(tbMoveset!A108,tbMoveset!A2:I112,9,FALSE)="Fire",Backdoors!BB38,IF(VLOOKUP(tbMoveset!A108,tbMoveset!A2:I112,9,FALSE)="Water",Backdoors!BC38,IF(VLOOKUP(tbMoveset!A108,tbMoveset!A2:I112,9,FALSE)="Thunder",Backdoors!BD38,IF(VLOOKUP(tbMoveset!A108,tbMoveset!A2:I112,9,FALSE)="Ice",Backdoors!BE38,IF(VLOOKUP(tbMoveset!A108,tbMoveset!A2:I112,9,FALSE)="Dragon",Backdoors!BF38,Backdoors!BG38)))))/100,Backdoors!BG38/100),"")</f>
        <v>0</v>
      </c>
      <c r="IO108" s="49">
        <f>IFERROR(IF(VLOOKUP(A108,tbMoveset!A2:J112,10,FALSE)=TRUE,IF((Backdoors!AI12+IF(IM108&gt;=0.45,VLOOKUP(Calculator!E23,tbSkills!DH3:DI6,2,FALSE)+IF(AND(Calculator!B8=TRUE,Backdoors!BI38=TRUE),VLOOKUP(Calculator!E23,tbSkills!DH3:DJ6,3,FALSE),0),0))&gt;=0,1+(Backdoors!AL2*(IF((Backdoors!AI12+IF(IM108&gt;=0.45,VLOOKUP(Calculator!E23,tbSkills!DH3:DI6,2,FALSE)+IF(AND(Calculator!B8=TRUE,Backdoors!BI38=TRUE),VLOOKUP(Calculator!E23,tbSkills!DH3:DJ6,3,FALSE),0),0))&gt;=100,100,(Backdoors!AI12+IF(IM108&gt;=0.45,VLOOKUP(Calculator!E23,tbSkills!DH3:DI6,2,FALSE)+IF(AND(Calculator!B8=TRUE,Backdoors!BI38=TRUE),VLOOKUP(Calculator!E23,tbSkills!DH3:DJ6,3,FALSE),0),0)))/100)),(1-(0.25*((-Backdoors!AI12-IF(IM108&gt;=0.45,VLOOKUP(Calculator!E23,tbSkills!DH3:DI6,2,FALSE)+IF(AND(Calculator!B8=TRUE,Backdoors!BI38=TRUE),VLOOKUP(Calculator!E23,tbSkills!DH3:DJ6,3,FALSE),0),0))/100)))),1),"")</f>
        <v>1</v>
      </c>
      <c r="IP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M108)*IO108)*(VLOOKUP(A108,tbMoveset!A2:C112,3,FALSE)/100)*IF(VLOOKUP(A108,tbMoveset!A2:B112,2,FALSE)="Projectile",Backdoors!N10,Backdoors!N9),0),"")</f>
        <v/>
      </c>
      <c r="IQ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IM108&gt;=0.45,VLOOKUP(Calculator!E23,tbSkills!DH3:DI6,2,FALSE)+IF(AND(Calculator!B8=TRUE,Backdoors!BI38=TRUE),VLOOKUP(Calculator!E23,tbSkills!DH3:DJ6,3,FALSE),0),0))&gt;=100,100,(Backdoors!AI12+IF(IM108&gt;=0.45,VLOOKUP(Calculator!E23,tbSkills!DH3:DI6,2,FALSE)+IF(AND(Calculator!B8=TRUE,Backdoors!BI38=TRUE),VLOOKUP(Calculator!E23,tbSkills!DH3:DJ6,3,FALSE),0),0)))/100)),1))*IF(VLOOKUP(A108,tbMoveset!A2:K112,11,FALSE)=TRUE,Backdoors!AC5,1))*IN108,0),"")</f>
        <v>0</v>
      </c>
      <c r="IR108" s="49">
        <f>VLOOKUP(A108,tbMoveset!A2:G112,7,FALSE)*IFERROR(IF(Backdoors!AI12&gt;=0,1+(IF(Calculator!E40&gt;0,VLOOKUP(Calculator!E40,tbSkills!AI3:AJ5,2,FALSE),Backdoors!AL4)*(IF((Backdoors!AI12+IF(IM108&gt;=0.45,VLOOKUP(Calculator!E23,tbSkills!DH3:DI6,2,FALSE)+IF(AND(Calculator!B8=TRUE,Backdoors!BI38=TRUE),VLOOKUP(Calculator!E23,tbSkills!DH3:DJ6,3,FALSE),0),0))&gt;=100,100,(Backdoors!AI12+IF(IM108&gt;=0.45,VLOOKUP(Calculator!E23,tbSkills!DH3:DI6,2,FALSE)+IF(AND(Calculator!B8=TRUE,Backdoors!BI38=TRUE),VLOOKUP(Calculator!E23,tbSkills!DH3:DJ6,3,FALSE),0),0)))/100)),1),1)</f>
        <v>0.6</v>
      </c>
      <c r="IS108" s="87">
        <f t="shared" si="86"/>
        <v>0</v>
      </c>
      <c r="IT108" s="86" t="str">
        <f>IFERROR(IF(VLOOKUP(A108,tbMoveset!A2:B112,2,FALSE)="Sever",Backdoors!AY39/100,IF(VLOOKUP(A108,tbMoveset!A2:B112,2,FALSE)="Blunt",Backdoors!AZ39/100,Backdoors!BA39/100)),"")</f>
        <v/>
      </c>
      <c r="IU108" s="49">
        <f>IFERROR(IF(VLOOKUP(tbMoveset!A108,tbMoveset!A2:H112,8,FALSE)="Other",IF(VLOOKUP(tbMoveset!A108,tbMoveset!A2:I112,9,FALSE)="Fire",Backdoors!BB39,IF(VLOOKUP(tbMoveset!A108,tbMoveset!A2:I112,9,FALSE)="Water",Backdoors!BC39,IF(VLOOKUP(tbMoveset!A108,tbMoveset!A2:I112,9,FALSE)="Thunder",Backdoors!BD39,IF(VLOOKUP(tbMoveset!A108,tbMoveset!A2:I112,9,FALSE)="Ice",Backdoors!BE39,IF(VLOOKUP(tbMoveset!A108,tbMoveset!A2:I112,9,FALSE)="Dragon",Backdoors!BF39,Backdoors!BG39)))))/100,Backdoors!BG39/100),"")</f>
        <v>0</v>
      </c>
      <c r="IV108" s="49">
        <f>IFERROR(IF(VLOOKUP(A108,tbMoveset!A2:J112,10,FALSE)=TRUE,IF((Backdoors!AI12+IF(IT108&gt;=0.45,VLOOKUP(Calculator!E23,tbSkills!DH3:DI6,2,FALSE)+IF(AND(Calculator!B8=TRUE,Backdoors!BI39=TRUE),VLOOKUP(Calculator!E23,tbSkills!DH3:DJ6,3,FALSE),0),0))&gt;=0,1+(Backdoors!AL2*(IF((Backdoors!AI12+IF(IT108&gt;=0.45,VLOOKUP(Calculator!E23,tbSkills!DH3:DI6,2,FALSE)+IF(AND(Calculator!B8=TRUE,Backdoors!BI39=TRUE),VLOOKUP(Calculator!E23,tbSkills!DH3:DJ6,3,FALSE),0),0))&gt;=100,100,(Backdoors!AI12+IF(IT108&gt;=0.45,VLOOKUP(Calculator!E23,tbSkills!DH3:DI6,2,FALSE)+IF(AND(Calculator!B8=TRUE,Backdoors!BI39=TRUE),VLOOKUP(Calculator!E23,tbSkills!DH3:DJ6,3,FALSE),0),0)))/100)),(1-(0.25*((-Backdoors!AI12-IF(IT108&gt;=0.45,VLOOKUP(Calculator!E23,tbSkills!DH3:DI6,2,FALSE)+IF(AND(Calculator!B8=TRUE,Backdoors!BI39=TRUE),VLOOKUP(Calculator!E23,tbSkills!DH3:DJ6,3,FALSE),0),0))/100)))),1),"")</f>
        <v>1</v>
      </c>
      <c r="IW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T108)*IV108)*(VLOOKUP(A108,tbMoveset!A2:C112,3,FALSE)/100)*IF(VLOOKUP(A108,tbMoveset!A2:B112,2,FALSE)="Projectile",Backdoors!N10,Backdoors!N9),0),"")</f>
        <v/>
      </c>
      <c r="IX108" s="49">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40&gt;0,VLOOKUP(Calculator!E40,tbSkills!AC3:AD5,2,FALSE),Backdoors!AL3)*(IF((Backdoors!AI12+IF(IT108&gt;=0.45,VLOOKUP(Calculator!E23,tbSkills!DH3:DI6,2,FALSE)+IF(AND(Calculator!B8=TRUE,Backdoors!BI39=TRUE),VLOOKUP(Calculator!E23,tbSkills!DH3:DJ6,3,FALSE),0),0))&gt;=100,100,(Backdoors!AI12+IF(IT108&gt;=0.45,VLOOKUP(Calculator!E23,tbSkills!DH3:DI6,2,FALSE)+IF(AND(Calculator!B8=TRUE,Backdoors!BI39=TRUE),VLOOKUP(Calculator!E23,tbSkills!DH3:DJ6,3,FALSE),0),0)))/100)),1))*IF(VLOOKUP(A108,tbMoveset!A2:K112,11,FALSE)=TRUE,Backdoors!AC5,1))*IU108,0),"")</f>
        <v>0</v>
      </c>
      <c r="IY108" s="49">
        <f>VLOOKUP(A108,tbMoveset!A2:G112,7,FALSE)*IFERROR(IF(Backdoors!AI12&gt;=0,1+(IF(Calculator!E40&gt;0,VLOOKUP(Calculator!E40,tbSkills!AI3:AJ5,2,FALSE),Backdoors!AL4)*(IF((Backdoors!AI12+IF(IT108&gt;=0.45,VLOOKUP(Calculator!E23,tbSkills!DH3:DI6,2,FALSE)+IF(AND(Calculator!B8=TRUE,Backdoors!BI39=TRUE),VLOOKUP(Calculator!E23,tbSkills!DH3:DJ6,3,FALSE),0),0))&gt;=100,100,(Backdoors!AI12+IF(IT108&gt;=0.45,VLOOKUP(Calculator!E23,tbSkills!DH3:DI6,2,FALSE)+IF(AND(Calculator!B8=TRUE,Backdoors!BI39=TRUE),VLOOKUP(Calculator!E23,tbSkills!DH3:DJ6,3,FALSE),0),0)))/100)),1),1)</f>
        <v>0.6</v>
      </c>
      <c r="IZ108" s="87">
        <f t="shared" si="87"/>
        <v>0</v>
      </c>
      <c r="JA108" s="86" t="str">
        <f>IFERROR(IF(VLOOKUP(A108,tbMoveset!A2:B112,2,FALSE)="Sever",Backdoors!AY40/100,IF(VLOOKUP(A108,tbMoveset!A2:B112,2,FALSE)="Blunt",Backdoors!AZ40/100,Backdoors!BA40/100)),"")</f>
        <v/>
      </c>
      <c r="JB108" s="49">
        <f>IFERROR(IF(VLOOKUP(tbMoveset!A108,tbMoveset!A2:H112,8,FALSE)="Other",IF(VLOOKUP(tbMoveset!A108,tbMoveset!A2:I112,9,FALSE)="Fire",Backdoors!BB40,IF(VLOOKUP(tbMoveset!A108,tbMoveset!A2:I112,9,FALSE)="Water",Backdoors!BC40,IF(VLOOKUP(tbMoveset!A108,tbMoveset!A2:I112,9,FALSE)="Thunder",Backdoors!BD40,IF(VLOOKUP(tbMoveset!A108,tbMoveset!A2:I112,9,FALSE)="Ice",Backdoors!BE40,IF(VLOOKUP(tbMoveset!A108,tbMoveset!A2:I112,9,FALSE)="Dragon",Backdoors!BF40,Backdoors!BG40)))))/100,Backdoors!BG40/100),"")</f>
        <v>0</v>
      </c>
      <c r="JC108" s="49">
        <f>IFERROR(IF(VLOOKUP(A108,tbMoveset!A2:J112,10,FALSE)=TRUE,IF((Backdoors!AI12+IF(JA108&gt;=0.45,VLOOKUP(Calculator!E23,tbSkills!DH3:DI6,2,FALSE)+IF(AND(Calculator!B8=TRUE,Backdoors!BI40=TRUE),VLOOKUP(Calculator!E23,tbSkills!DH3:DJ6,3,FALSE),0),0))&gt;=0,1+(Backdoors!AL2*(IF((Backdoors!AI12+IF(JA108&gt;=0.45,VLOOKUP(Calculator!E23,tbSkills!DH3:DI6,2,FALSE)+IF(AND(Calculator!B8=TRUE,Backdoors!BI40=TRUE),VLOOKUP(Calculator!E23,tbSkills!DH3:DJ6,3,FALSE),0),0))&gt;=100,100,(Backdoors!AI12+IF(JA108&gt;=0.45,VLOOKUP(Calculator!E23,tbSkills!DH3:DI6,2,FALSE)+IF(AND(Calculator!B8=TRUE,Backdoors!BI40=TRUE),VLOOKUP(Calculator!E23,tbSkills!DH3:DJ6,3,FALSE),0),0)))/100)),(1-(0.25*((-Backdoors!AI12-IF(JA108&gt;=0.45,VLOOKUP(Calculator!E23,tbSkills!DH3:DI6,2,FALSE)+IF(AND(Calculator!B8=TRUE,Backdoors!BI40=TRUE),VLOOKUP(Calculator!E23,tbSkills!DH3:DJ6,3,FALSE),0),0))/100)))),1),"")</f>
        <v>1</v>
      </c>
      <c r="JD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A108)*JC108)*(VLOOKUP(A108,tbMoveset!A2:C112,3,FALSE)/100)*IF(VLOOKUP(A108,tbMoveset!A2:B112,2,FALSE)="Projectile",Backdoors!N10,Backdoors!N9),0),"")</f>
        <v/>
      </c>
      <c r="JE108" s="49">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42&gt;0,VLOOKUP(Calculator!E42,tbSkills!AC3:AD5,2,FALSE),Backdoors!AL3)*(IF((Backdoors!AI12+IF(JA108&gt;=0.45,VLOOKUP(Calculator!E23,tbSkills!DH3:DI6,2,FALSE)+IF(AND(Calculator!B8=TRUE,Backdoors!BI40=TRUE),VLOOKUP(Calculator!E23,tbSkills!DH3:DJ6,3,FALSE),0),0))&gt;=100,100,(Backdoors!AI12+IF(JA108&gt;=0.45,VLOOKUP(Calculator!E23,tbSkills!DH3:DI6,2,FALSE)+IF(AND(Calculator!B8=TRUE,Backdoors!BI40=TRUE),VLOOKUP(Calculator!E23,tbSkills!DH3:DJ6,3,FALSE),0),0)))/100)),1))*IF(VLOOKUP(A108,tbMoveset!A2:K112,11,FALSE)=TRUE,Backdoors!AC5,1))*JB108,0),"")</f>
        <v>0</v>
      </c>
      <c r="JF108" s="49">
        <f>VLOOKUP(A108,tbMoveset!A2:G112,7,FALSE)*IFERROR(IF(Backdoors!AI12&gt;=0,1+(IF(Calculator!E40&gt;0,VLOOKUP(Calculator!E40,tbSkills!AI3:AJ5,2,FALSE),Backdoors!AL4)*(IF((Backdoors!AI12+IF(JA108&gt;=0.45,VLOOKUP(Calculator!E23,tbSkills!DH3:DI6,2,FALSE)+IF(AND(Calculator!B8=TRUE,Backdoors!BI40=TRUE),VLOOKUP(Calculator!E23,tbSkills!DH3:DJ6,3,FALSE),0),0))&gt;=100,100,(Backdoors!AI12+IF(JA108&gt;=0.45,VLOOKUP(Calculator!E23,tbSkills!DH3:DI6,2,FALSE)+IF(AND(Calculator!B8=TRUE,Backdoors!BI40=TRUE),VLOOKUP(Calculator!E23,tbSkills!DH3:DJ6,3,FALSE),0),0)))/100)),1),1)</f>
        <v>0.6</v>
      </c>
      <c r="JG108" s="87">
        <f t="shared" si="88"/>
        <v>0</v>
      </c>
      <c r="JH108" s="86" t="str">
        <f>IFERROR(IF(VLOOKUP(A108,tbMoveset!A2:B112,2,FALSE)="Sever",Backdoors!AY41/100,IF(VLOOKUP(A108,tbMoveset!A2:B112,2,FALSE)="Blunt",Backdoors!AZ41/100,Backdoors!BA41/100)),"")</f>
        <v/>
      </c>
      <c r="JI108" s="49">
        <f>IFERROR(IF(VLOOKUP(tbMoveset!A108,tbMoveset!A2:H112,8,FALSE)="Other",IF(VLOOKUP(tbMoveset!A108,tbMoveset!A2:I112,9,FALSE)="Fire",Backdoors!BB41,IF(VLOOKUP(tbMoveset!A108,tbMoveset!A2:I112,9,FALSE)="Water",Backdoors!BC41,IF(VLOOKUP(tbMoveset!A108,tbMoveset!A2:I112,9,FALSE)="Thunder",Backdoors!BD41,IF(VLOOKUP(tbMoveset!A108,tbMoveset!A2:I112,9,FALSE)="Ice",Backdoors!BE41,IF(VLOOKUP(tbMoveset!A108,tbMoveset!A2:I112,9,FALSE)="Dragon",Backdoors!BF41,Backdoors!BG41)))))/100,Backdoors!BG41/100),"")</f>
        <v>0</v>
      </c>
      <c r="JJ108" s="49">
        <f>IFERROR(IF(VLOOKUP(A108,tbMoveset!A2:J112,10,FALSE)=TRUE,IF((Backdoors!AI12+IF(JH108&gt;=0.45,VLOOKUP(Calculator!E23,tbSkills!DH3:DI6,2,FALSE)+IF(AND(Calculator!B8=TRUE,Backdoors!BI41=TRUE),VLOOKUP(Calculator!E23,tbSkills!DH3:DJ6,3,FALSE),0),0))&gt;=0,1+(Backdoors!AL2*(IF((Backdoors!AI12+IF(JH108&gt;=0.45,VLOOKUP(Calculator!E23,tbSkills!DH3:DI6,2,FALSE)+IF(AND(Calculator!B8=TRUE,Backdoors!BI41=TRUE),VLOOKUP(Calculator!E23,tbSkills!DH3:DJ6,3,FALSE),0),0))&gt;=100,100,(Backdoors!AI12+IF(JH108&gt;=0.45,VLOOKUP(Calculator!E23,tbSkills!DH3:DI6,2,FALSE)+IF(AND(Calculator!B8=TRUE,Backdoors!BI41=TRUE),VLOOKUP(Calculator!E23,tbSkills!DH3:DJ6,3,FALSE),0),0)))/100)),(1-(0.25*((-Backdoors!AI12-IF(JH108&gt;=0.45,VLOOKUP(Calculator!E23,tbSkills!DH3:DI6,2,FALSE)+IF(AND(Calculator!B8=TRUE,Backdoors!BI41=TRUE),VLOOKUP(Calculator!E23,tbSkills!DH3:DJ6,3,FALSE),0),0))/100)))),1),"")</f>
        <v>1</v>
      </c>
      <c r="JK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H108)*JJ108)*(VLOOKUP(A108,tbMoveset!A2:C112,3,FALSE)/100)*IF(VLOOKUP(A108,tbMoveset!A2:B112,2,FALSE)="Projectile",Backdoors!N10,Backdoors!N9),0),"")</f>
        <v/>
      </c>
      <c r="JL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43&gt;0,VLOOKUP(Calculator!E43,tbSkills!AC3:AD5,2,FALSE),Backdoors!AL3)*(IF((Backdoors!AI12+IF(JH108&gt;=0.45,VLOOKUP(Calculator!E23,tbSkills!DH3:DI6,2,FALSE)+IF(AND(Calculator!B8=TRUE,Backdoors!BI41=TRUE),VLOOKUP(Calculator!E23,tbSkills!DH3:DJ6,3,FALSE),0),0))&gt;=100,100,(Backdoors!AI12+IF(JH108&gt;=0.45,VLOOKUP(Calculator!E23,tbSkills!DH3:DI6,2,FALSE)+IF(AND(Calculator!B8=TRUE,Backdoors!BI41=TRUE),VLOOKUP(Calculator!E23,tbSkills!DH3:DJ6,3,FALSE),0),0)))/100)),1))*IF(VLOOKUP(A108,tbMoveset!A2:K112,11,FALSE)=TRUE,Backdoors!AC5,1))*JI108,0),"")</f>
        <v/>
      </c>
      <c r="JM108" s="49">
        <f>VLOOKUP(A108,tbMoveset!A2:G112,7,FALSE)*IFERROR(IF(Backdoors!AI12&gt;=0,1+(IF(Calculator!E40&gt;0,VLOOKUP(Calculator!E40,tbSkills!AI3:AJ5,2,FALSE),Backdoors!AL4)*(IF((Backdoors!AI12+IF(JH108&gt;=0.45,VLOOKUP(Calculator!E23,tbSkills!DH3:DI6,2,FALSE)+IF(AND(Calculator!B8=TRUE,Backdoors!BI41=TRUE),VLOOKUP(Calculator!E23,tbSkills!DH3:DJ6,3,FALSE),0),0))&gt;=100,100,(Backdoors!AI12+IF(JH108&gt;=0.45,VLOOKUP(Calculator!E23,tbSkills!DH3:DI6,2,FALSE)+IF(AND(Calculator!B8=TRUE,Backdoors!BI41=TRUE),VLOOKUP(Calculator!E23,tbSkills!DH3:DJ6,3,FALSE),0),0)))/100)),1),1)</f>
        <v>0.6</v>
      </c>
      <c r="JN108" s="87">
        <f t="shared" si="89"/>
        <v>0</v>
      </c>
      <c r="JO108" s="86" t="str">
        <f>IFERROR(IF(VLOOKUP(A108,tbMoveset!A2:B112,2,FALSE)="Sever",Backdoors!AY42/100,IF(VLOOKUP(A108,tbMoveset!A2:B112,2,FALSE)="Blunt",Backdoors!AZ42/100,Backdoors!BA42/100)),"")</f>
        <v/>
      </c>
      <c r="JP108" s="49">
        <f>IFERROR(IF(VLOOKUP(tbMoveset!A108,tbMoveset!A2:H112,8,FALSE)="Other",IF(VLOOKUP(tbMoveset!A108,tbMoveset!A2:I112,9,FALSE)="Fire",Backdoors!BB42,IF(VLOOKUP(tbMoveset!A108,tbMoveset!A2:I112,9,FALSE)="Water",Backdoors!BC42,IF(VLOOKUP(tbMoveset!A108,tbMoveset!A2:I112,9,FALSE)="Thunder",Backdoors!BD42,IF(VLOOKUP(tbMoveset!A108,tbMoveset!A2:I112,9,FALSE)="Ice",Backdoors!BE42,IF(VLOOKUP(tbMoveset!A108,tbMoveset!A2:I112,9,FALSE)="Dragon",Backdoors!BF42,Backdoors!BG42)))))/100,Backdoors!BG42/100),"")</f>
        <v>0</v>
      </c>
      <c r="JQ108" s="49">
        <f>IFERROR(IF(VLOOKUP(A108,tbMoveset!A2:J112,10,FALSE)=TRUE,IF((Backdoors!AI12+IF(JO108&gt;=0.45,VLOOKUP(Calculator!E23,tbSkills!DH3:DI6,2,FALSE)+IF(AND(Calculator!B8=TRUE,Backdoors!BI42=TRUE),VLOOKUP(Calculator!E23,tbSkills!DH3:DJ6,3,FALSE),0),0))&gt;=0,1+(Backdoors!AL2*(IF((Backdoors!AI12+IF(JO108&gt;=0.45,VLOOKUP(Calculator!E23,tbSkills!DH3:DI6,2,FALSE)+IF(AND(Calculator!B8=TRUE,Backdoors!BI42=TRUE),VLOOKUP(Calculator!E23,tbSkills!DH3:DJ6,3,FALSE),0),0))&gt;=100,100,(Backdoors!AI12+IF(JO108&gt;=0.45,VLOOKUP(Calculator!E23,tbSkills!DH3:DI6,2,FALSE)+IF(AND(Calculator!B8=TRUE,Backdoors!BI42=TRUE),VLOOKUP(Calculator!E23,tbSkills!DH3:DJ6,3,FALSE),0),0)))/100)),(1-(0.25*((-Backdoors!AI12-IF(JO108&gt;=0.45,VLOOKUP(Calculator!E23,tbSkills!DH3:DI6,2,FALSE)+IF(AND(Calculator!B8=TRUE,Backdoors!BI42=TRUE),VLOOKUP(Calculator!E23,tbSkills!DH3:DJ6,3,FALSE),0),0))/100)))),1),"")</f>
        <v>1</v>
      </c>
      <c r="JR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O108)*JQ108)*(VLOOKUP(A108,tbMoveset!A2:C112,3,FALSE)/100)*IF(VLOOKUP(A108,tbMoveset!A2:B112,2,FALSE)="Projectile",Backdoors!N10,Backdoors!N9),0),"")</f>
        <v/>
      </c>
      <c r="JS108" s="49">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45&gt;0,VLOOKUP(Calculator!E45,tbSkills!AC3:AD5,2,FALSE),Backdoors!AL3)*(IF((Backdoors!AI12+IF(JO108&gt;=0.45,VLOOKUP(Calculator!E23,tbSkills!DH3:DI6,2,FALSE)+IF(AND(Calculator!B8=TRUE,Backdoors!BI42=TRUE),VLOOKUP(Calculator!E23,tbSkills!DH3:DJ6,3,FALSE),0),0))&gt;=100,100,(Backdoors!AI12+IF(JO108&gt;=0.45,VLOOKUP(Calculator!E23,tbSkills!DH3:DI6,2,FALSE)+IF(AND(Calculator!B8=TRUE,Backdoors!BI42=TRUE),VLOOKUP(Calculator!E23,tbSkills!DH3:DJ6,3,FALSE),0),0)))/100)),1))*IF(VLOOKUP(A108,tbMoveset!A2:K112,11,FALSE)=TRUE,Backdoors!AC5,1))*JP108,0),"")</f>
        <v>0</v>
      </c>
      <c r="JT108" s="49">
        <f>VLOOKUP(A108,tbMoveset!A2:G112,7,FALSE)*IFERROR(IF(Backdoors!AI12&gt;=0,1+(IF(Calculator!E40&gt;0,VLOOKUP(Calculator!E40,tbSkills!AI3:AJ5,2,FALSE),Backdoors!AL4)*(IF((Backdoors!AI12+IF(JO108&gt;=0.45,VLOOKUP(Calculator!E23,tbSkills!DH3:DI6,2,FALSE)+IF(AND(Calculator!B8=TRUE,Backdoors!BI42=TRUE),VLOOKUP(Calculator!E23,tbSkills!DH3:DJ6,3,FALSE),0),0))&gt;=100,100,(Backdoors!AI12+IF(JO108&gt;=0.45,VLOOKUP(Calculator!E23,tbSkills!DH3:DI6,2,FALSE)+IF(AND(Calculator!B8=TRUE,Backdoors!BI42=TRUE),VLOOKUP(Calculator!E23,tbSkills!DH3:DJ6,3,FALSE),0),0)))/100)),1),1)</f>
        <v>0.6</v>
      </c>
      <c r="JU108" s="87">
        <f t="shared" si="90"/>
        <v>0</v>
      </c>
      <c r="JV108" s="86" t="str">
        <f>IFERROR(IF(VLOOKUP(A108,tbMoveset!A2:B112,2,FALSE)="Sever",Backdoors!AY43/100,IF(VLOOKUP(A108,tbMoveset!A2:B112,2,FALSE)="Blunt",Backdoors!AZ43/100,Backdoors!BA43/100)),"")</f>
        <v/>
      </c>
      <c r="JW108" s="49">
        <f>IFERROR(IF(VLOOKUP(tbMoveset!A108,tbMoveset!A2:H112,8,FALSE)="Other",IF(VLOOKUP(tbMoveset!A108,tbMoveset!A2:I112,9,FALSE)="Fire",Backdoors!BB43,IF(VLOOKUP(tbMoveset!A108,tbMoveset!A2:I112,9,FALSE)="Water",Backdoors!BC43,IF(VLOOKUP(tbMoveset!A108,tbMoveset!A2:I112,9,FALSE)="Thunder",Backdoors!BD43,IF(VLOOKUP(tbMoveset!A108,tbMoveset!A2:I112,9,FALSE)="Ice",Backdoors!BE43,IF(VLOOKUP(tbMoveset!A108,tbMoveset!A2:I112,9,FALSE)="Dragon",Backdoors!BF43,Backdoors!BG43)))))/100,Backdoors!BG43/100),"")</f>
        <v>0</v>
      </c>
      <c r="JX108" s="49">
        <f>IFERROR(IF(VLOOKUP(A108,tbMoveset!A2:J112,10,FALSE)=TRUE,IF((Backdoors!AI12+IF(JV108&gt;=0.45,VLOOKUP(Calculator!E23,tbSkills!DH3:DI6,2,FALSE)+IF(AND(Calculator!B8=TRUE,Backdoors!BI43=TRUE),VLOOKUP(Calculator!E23,tbSkills!DH3:DJ6,3,FALSE),0),0))&gt;=0,1+(Backdoors!AL2*(IF((Backdoors!AI12+IF(JV108&gt;=0.45,VLOOKUP(Calculator!E23,tbSkills!DH3:DI6,2,FALSE)+IF(AND(Calculator!B8=TRUE,Backdoors!BI43=TRUE),VLOOKUP(Calculator!E23,tbSkills!DH3:DJ6,3,FALSE),0),0))&gt;=100,100,(Backdoors!AI12+IF(JV108&gt;=0.45,VLOOKUP(Calculator!E23,tbSkills!DH3:DI6,2,FALSE)+IF(AND(Calculator!B8=TRUE,Backdoors!BI43=TRUE),VLOOKUP(Calculator!E23,tbSkills!DH3:DJ6,3,FALSE),0),0)))/100)),(1-(0.25*((-Backdoors!AI12-IF(JV108&gt;=0.45,VLOOKUP(Calculator!E23,tbSkills!DH3:DI6,2,FALSE)+IF(AND(Calculator!B8=TRUE,Backdoors!BI43=TRUE),VLOOKUP(Calculator!E23,tbSkills!DH3:DJ6,3,FALSE),0),0))/100)))),1),"")</f>
        <v>1</v>
      </c>
      <c r="JY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V108)*JX108)*(VLOOKUP(A108,tbMoveset!A2:C112,3,FALSE)/100)*IF(VLOOKUP(A108,tbMoveset!A2:B112,2,FALSE)="Projectile",Backdoors!N10,Backdoors!N9),0),"")</f>
        <v/>
      </c>
      <c r="JZ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46&gt;0,VLOOKUP(Calculator!E46,tbSkills!AC3:AD5,2,FALSE),Backdoors!AL3)*(IF((Backdoors!AI12+IF(JV108&gt;=0.45,VLOOKUP(Calculator!E23,tbSkills!DH3:DI6,2,FALSE)+IF(AND(Calculator!B8=TRUE,Backdoors!BI43=TRUE),VLOOKUP(Calculator!E23,tbSkills!DH3:DJ6,3,FALSE),0),0))&gt;=100,100,(Backdoors!AI12+IF(JV108&gt;=0.45,VLOOKUP(Calculator!E23,tbSkills!DH3:DI6,2,FALSE)+IF(AND(Calculator!B8=TRUE,Backdoors!BI43=TRUE),VLOOKUP(Calculator!E23,tbSkills!DH3:DJ6,3,FALSE),0),0)))/100)),1))*IF(VLOOKUP(A108,tbMoveset!A2:K112,11,FALSE)=TRUE,Backdoors!AC5,1))*JW108,0),"")</f>
        <v/>
      </c>
      <c r="KA108" s="49">
        <f>VLOOKUP(A108,tbMoveset!A2:G112,7,FALSE)*IFERROR(IF(Backdoors!AI12&gt;=0,1+(IF(Calculator!E40&gt;0,VLOOKUP(Calculator!E40,tbSkills!AI3:AJ5,2,FALSE),Backdoors!AL4)*(IF((Backdoors!AI12+IF(JV108&gt;=0.45,VLOOKUP(Calculator!E23,tbSkills!DH3:DI6,2,FALSE)+IF(AND(Calculator!B8=TRUE,Backdoors!BI43=TRUE),VLOOKUP(Calculator!E23,tbSkills!DH3:DJ6,3,FALSE),0),0))&gt;=100,100,(Backdoors!AI12+IF(JV108&gt;=0.45,VLOOKUP(Calculator!E23,tbSkills!DH3:DI6,2,FALSE)+IF(AND(Calculator!B8=TRUE,Backdoors!BI43=TRUE),VLOOKUP(Calculator!E23,tbSkills!DH3:DJ6,3,FALSE),0),0)))/100)),1),1)</f>
        <v>0.6</v>
      </c>
      <c r="KB108" s="87">
        <f t="shared" si="91"/>
        <v>0</v>
      </c>
      <c r="KC108" s="86" t="str">
        <f>IFERROR(IF(VLOOKUP(A108,tbMoveset!A2:B112,2,FALSE)="Sever",Backdoors!AY44/100,IF(VLOOKUP(A108,tbMoveset!A2:B112,2,FALSE)="Blunt",Backdoors!AZ44/100,Backdoors!BA44/100)),"")</f>
        <v/>
      </c>
      <c r="KD108" s="49">
        <f>IFERROR(IF(VLOOKUP(tbMoveset!A108,tbMoveset!A2:H112,8,FALSE)="Other",IF(VLOOKUP(tbMoveset!A108,tbMoveset!A2:I112,9,FALSE)="Fire",Backdoors!BB44,IF(VLOOKUP(tbMoveset!A108,tbMoveset!A2:I112,9,FALSE)="Water",Backdoors!BC44,IF(VLOOKUP(tbMoveset!A108,tbMoveset!A2:I112,9,FALSE)="Thunder",Backdoors!BD44,IF(VLOOKUP(tbMoveset!A108,tbMoveset!A2:I112,9,FALSE)="Ice",Backdoors!BE44,IF(VLOOKUP(tbMoveset!A108,tbMoveset!A2:I112,9,FALSE)="Dragon",Backdoors!BF44,Backdoors!BG44)))))/100,Backdoors!BG44/100),"")</f>
        <v>0</v>
      </c>
      <c r="KE108" s="49">
        <f>IFERROR(IF(VLOOKUP(A108,tbMoveset!A2:J112,10,FALSE)=TRUE,IF((Backdoors!AI12+IF(KC108&gt;=0.45,VLOOKUP(Calculator!E23,tbSkills!DH3:DI6,2,FALSE)+IF(AND(Calculator!B8=TRUE,Backdoors!BI44=TRUE),VLOOKUP(Calculator!E23,tbSkills!DH3:DJ6,3,FALSE),0),0))&gt;=0,1+(Backdoors!AL2*(IF((Backdoors!AI12+IF(KC108&gt;=0.45,VLOOKUP(Calculator!E23,tbSkills!DH3:DI6,2,FALSE)+IF(AND(Calculator!B8=TRUE,Backdoors!BI44=TRUE),VLOOKUP(Calculator!E23,tbSkills!DH3:DJ6,3,FALSE),0),0))&gt;=100,100,(Backdoors!AI12+IF(KC108&gt;=0.45,VLOOKUP(Calculator!E23,tbSkills!DH3:DI6,2,FALSE)+IF(AND(Calculator!B8=TRUE,Backdoors!BI44=TRUE),VLOOKUP(Calculator!E23,tbSkills!DH3:DJ6,3,FALSE),0),0)))/100)),(1-(0.25*((-Backdoors!AI12-IF(KC108&gt;=0.45,VLOOKUP(Calculator!E23,tbSkills!DH3:DI6,2,FALSE)+IF(AND(Calculator!B8=TRUE,Backdoors!BI44=TRUE),VLOOKUP(Calculator!E23,tbSkills!DH3:DJ6,3,FALSE),0),0))/100)))),1),"")</f>
        <v>1</v>
      </c>
      <c r="KF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KC108)*KE108)*(VLOOKUP(A108,tbMoveset!A2:C112,3,FALSE)/100)*IF(VLOOKUP(A108,tbMoveset!A2:B112,2,FALSE)="Projectile",Backdoors!N10,Backdoors!N9),0),"")</f>
        <v/>
      </c>
      <c r="KG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REF!&gt;0,VLOOKUP(Calculator!#REF!,tbSkills!AC3:AD5,2,FALSE),Backdoors!AL3)*(IF((Backdoors!AI12+IF(KC108&gt;=0.45,VLOOKUP(Calculator!E23,tbSkills!DH3:DI6,2,FALSE)+IF(AND(Calculator!B8=TRUE,Backdoors!BI44=TRUE),VLOOKUP(Calculator!E23,tbSkills!DH3:DJ6,3,FALSE),0),0))&gt;=100,100,(Backdoors!AI12+IF(KC108&gt;=0.45,VLOOKUP(Calculator!E23,tbSkills!DH3:DI6,2,FALSE)+IF(AND(Calculator!B8=TRUE,Backdoors!BI44=TRUE),VLOOKUP(Calculator!E23,tbSkills!DH3:DJ6,3,FALSE),0),0)))/100)),1))*IF(VLOOKUP(A108,tbMoveset!A2:K112,11,FALSE)=TRUE,Backdoors!AC5,1))*KD108,0),"")</f>
        <v/>
      </c>
      <c r="KH108" s="49">
        <f>VLOOKUP(A108,tbMoveset!A2:G112,7,FALSE)*IFERROR(IF(Backdoors!AI12&gt;=0,1+(IF(Calculator!E40&gt;0,VLOOKUP(Calculator!E40,tbSkills!AI3:AJ5,2,FALSE),Backdoors!AL4)*(IF((Backdoors!AI12+IF(KC108&gt;=0.45,VLOOKUP(Calculator!E23,tbSkills!DH3:DI6,2,FALSE)+IF(AND(Calculator!B8=TRUE,Backdoors!BI44=TRUE),VLOOKUP(Calculator!E23,tbSkills!DH3:DJ6,3,FALSE),0),0))&gt;=100,100,(Backdoors!AI12+IF(KC108&gt;=0.45,VLOOKUP(Calculator!E23,tbSkills!DH3:DI6,2,FALSE)+IF(AND(Calculator!B8=TRUE,Backdoors!BI44=TRUE),VLOOKUP(Calculator!E23,tbSkills!DH3:DJ6,3,FALSE),0),0)))/100)),1),1)</f>
        <v>0.6</v>
      </c>
      <c r="KI108" s="87">
        <f t="shared" si="92"/>
        <v>0</v>
      </c>
      <c r="KJ108" s="86" t="str">
        <f>IFERROR(IF(VLOOKUP(A108,tbMoveset!A2:B112,2,FALSE)="Sever",Backdoors!AY45/100,IF(VLOOKUP(A108,tbMoveset!A2:B112,2,FALSE)="Blunt",Backdoors!AZ45/100,Backdoors!BA45/100)),"")</f>
        <v/>
      </c>
      <c r="KK108" s="49">
        <f>IFERROR(IF(VLOOKUP(tbMoveset!A108,tbMoveset!A2:H112,8,FALSE)="Other",IF(VLOOKUP(tbMoveset!A108,tbMoveset!A2:I112,9,FALSE)="Fire",Backdoors!BB45,IF(VLOOKUP(tbMoveset!A108,tbMoveset!A2:I112,9,FALSE)="Water",Backdoors!BC45,IF(VLOOKUP(tbMoveset!A108,tbMoveset!A2:I112,9,FALSE)="Thunder",Backdoors!BD45,IF(VLOOKUP(tbMoveset!A108,tbMoveset!A2:I112,9,FALSE)="Ice",Backdoors!BE45,IF(VLOOKUP(tbMoveset!A108,tbMoveset!A2:I112,9,FALSE)="Dragon",Backdoors!BF45,Backdoors!BG45)))))/100,Backdoors!BG45/100),"")</f>
        <v>0</v>
      </c>
      <c r="KL108" s="49">
        <f>IFERROR(IF(VLOOKUP(A108,tbMoveset!A2:J112,10,FALSE)=TRUE,IF((Backdoors!AI12+IF(KJ108&gt;=0.45,VLOOKUP(Calculator!E23,tbSkills!DH3:DI6,2,FALSE)+IF(AND(Calculator!B8=TRUE,Backdoors!BI45=TRUE),VLOOKUP(Calculator!E23,tbSkills!DH3:DJ6,3,FALSE),0),0))&gt;=0,1+(Backdoors!AL2*(IF((Backdoors!AI12+IF(KJ108&gt;=0.45,VLOOKUP(Calculator!E23,tbSkills!DH3:DI6,2,FALSE)+IF(AND(Calculator!B8=TRUE,Backdoors!BI45=TRUE),VLOOKUP(Calculator!E23,tbSkills!DH3:DJ6,3,FALSE),0),0))&gt;=100,100,(Backdoors!AI12+IF(KJ108&gt;=0.45,VLOOKUP(Calculator!E23,tbSkills!DH3:DI6,2,FALSE)+IF(AND(Calculator!B8=TRUE,Backdoors!BI45=TRUE),VLOOKUP(Calculator!E23,tbSkills!DH3:DJ6,3,FALSE),0),0)))/100)),(1-(0.25*((-Backdoors!AI12-IF(KJ108&gt;=0.45,VLOOKUP(Calculator!E23,tbSkills!DH3:DI6,2,FALSE)+IF(AND(Calculator!B8=TRUE,Backdoors!BI45=TRUE),VLOOKUP(Calculator!E23,tbSkills!DH3:DJ6,3,FALSE),0),0))/100)))),1),"")</f>
        <v>1</v>
      </c>
      <c r="KM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KJ108)*KL108)*(VLOOKUP(A108,tbMoveset!A2:C112,3,FALSE)/100)*IF(VLOOKUP(A108,tbMoveset!A2:B112,2,FALSE)="Projectile",Backdoors!N10,Backdoors!N9),0),"")</f>
        <v/>
      </c>
      <c r="KN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REF!&gt;0,VLOOKUP(Calculator!#REF!,tbSkills!AC3:AD5,2,FALSE),Backdoors!AL3)*(IF((Backdoors!AI12+IF(KJ108&gt;=0.45,VLOOKUP(Calculator!E23,tbSkills!DH3:DI6,2,FALSE)+IF(AND(Calculator!B8=TRUE,Backdoors!BI45=TRUE),VLOOKUP(Calculator!E23,tbSkills!DH3:DJ6,3,FALSE),0),0))&gt;=100,100,(Backdoors!AI12+IF(KJ108&gt;=0.45,VLOOKUP(Calculator!E23,tbSkills!DH3:DI6,2,FALSE)+IF(AND(Calculator!B8=TRUE,Backdoors!BI45=TRUE),VLOOKUP(Calculator!E23,tbSkills!DH3:DJ6,3,FALSE),0),0)))/100)),1))*IF(VLOOKUP(A108,tbMoveset!A2:K112,11,FALSE)=TRUE,Backdoors!AC5,1))*KK108,0),"")</f>
        <v/>
      </c>
      <c r="KO108" s="49">
        <f>VLOOKUP(A108,tbMoveset!A2:G112,7,FALSE)*IFERROR(IF(Backdoors!AI12&gt;=0,1+(IF(Calculator!E40&gt;0,VLOOKUP(Calculator!E40,tbSkills!AI3:AJ5,2,FALSE),Backdoors!AL4)*(IF((Backdoors!AI12+IF(KJ108&gt;=0.45,VLOOKUP(Calculator!E23,tbSkills!DH3:DI6,2,FALSE)+IF(AND(Calculator!B8=TRUE,Backdoors!BI45=TRUE),VLOOKUP(Calculator!E23,tbSkills!DH3:DJ6,3,FALSE),0),0))&gt;=100,100,(Backdoors!AI12+IF(KJ108&gt;=0.45,VLOOKUP(Calculator!E23,tbSkills!DH3:DI6,2,FALSE)+IF(AND(Calculator!B8=TRUE,Backdoors!BI45=TRUE),VLOOKUP(Calculator!E23,tbSkills!DH3:DJ6,3,FALSE),0),0)))/100)),1),1)</f>
        <v>0.6</v>
      </c>
      <c r="KP108" s="87">
        <f t="shared" si="93"/>
        <v>0</v>
      </c>
      <c r="KQ108" s="86" t="str">
        <f>IFERROR(IF(VLOOKUP(A108,tbMoveset!A2:B112,2,FALSE)="Sever",Backdoors!AY46/100,IF(VLOOKUP(A108,tbMoveset!A2:B112,2,FALSE)="Blunt",Backdoors!AZ46/100,Backdoors!BA46/100)),"")</f>
        <v/>
      </c>
      <c r="KR108" s="49">
        <f>IFERROR(IF(VLOOKUP(tbMoveset!A108,tbMoveset!A2:H112,8,FALSE)="Other",IF(VLOOKUP(tbMoveset!A108,tbMoveset!A2:I112,9,FALSE)="Fire",Backdoors!BB46,IF(VLOOKUP(tbMoveset!A108,tbMoveset!A2:I112,9,FALSE)="Water",Backdoors!BC46,IF(VLOOKUP(tbMoveset!A108,tbMoveset!A2:I112,9,FALSE)="Thunder",Backdoors!BD46,IF(VLOOKUP(tbMoveset!A108,tbMoveset!A2:I112,9,FALSE)="Ice",Backdoors!BE46,IF(VLOOKUP(tbMoveset!A108,tbMoveset!A2:I112,9,FALSE)="Dragon",Backdoors!BF46,Backdoors!BG46)))))/100,Backdoors!BG46/100),"")</f>
        <v>0</v>
      </c>
      <c r="KS108" s="49">
        <f>IFERROR(IF(VLOOKUP(A108,tbMoveset!A2:J112,10,FALSE)=TRUE,IF((Backdoors!AI12+IF(KQ108&gt;=0.45,VLOOKUP(Calculator!E23,tbSkills!DH3:DI6,2,FALSE)+IF(AND(Calculator!B8=TRUE,Backdoors!BI46=TRUE),VLOOKUP(Calculator!E23,tbSkills!DH3:DJ6,3,FALSE),0),0))&gt;=0,1+(Backdoors!AL2*(IF((Backdoors!AI12+IF(KQ108&gt;=0.45,VLOOKUP(Calculator!E23,tbSkills!DH3:DI6,2,FALSE)+IF(AND(Calculator!B8=TRUE,Backdoors!BI46=TRUE),VLOOKUP(Calculator!E23,tbSkills!DH3:DJ6,3,FALSE),0),0))&gt;=100,100,(Backdoors!AI12+IF(KQ108&gt;=0.45,VLOOKUP(Calculator!E23,tbSkills!DH3:DI6,2,FALSE)+IF(AND(Calculator!B8=TRUE,Backdoors!BI46=TRUE),VLOOKUP(Calculator!E23,tbSkills!DH3:DJ6,3,FALSE),0),0)))/100)),(1-(0.25*((-Backdoors!AI12-IF(KQ108&gt;=0.45,VLOOKUP(Calculator!E23,tbSkills!DH3:DI6,2,FALSE)+IF(AND(Calculator!B8=TRUE,Backdoors!BI46=TRUE),VLOOKUP(Calculator!E23,tbSkills!DH3:DJ6,3,FALSE),0),0))/100)))),1),"")</f>
        <v>1</v>
      </c>
      <c r="KT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KQ108)*KS108)*(VLOOKUP(A108,tbMoveset!A2:C112,3,FALSE)/100)*IF(VLOOKUP(A108,tbMoveset!A2:B112,2,FALSE)="Projectile",Backdoors!N10,Backdoors!N9),0),"")</f>
        <v/>
      </c>
      <c r="KU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REF!&gt;0,VLOOKUP(Calculator!#REF!,tbSkills!AC3:AD5,2,FALSE),Backdoors!AL3)*(IF((Backdoors!AI12+IF(KQ108&gt;=0.45,VLOOKUP(Calculator!E23,tbSkills!DH3:DI6,2,FALSE)+IF(AND(Calculator!B8=TRUE,Backdoors!BI46=TRUE),VLOOKUP(Calculator!E23,tbSkills!DH3:DJ6,3,FALSE),0),0))&gt;=100,100,(Backdoors!AI12+IF(KQ108&gt;=0.45,VLOOKUP(Calculator!E23,tbSkills!DH3:DI6,2,FALSE)+IF(AND(Calculator!B8=TRUE,Backdoors!BI46=TRUE),VLOOKUP(Calculator!E23,tbSkills!DH3:DJ6,3,FALSE),0),0)))/100)),1))*IF(VLOOKUP(A108,tbMoveset!A2:K112,11,FALSE)=TRUE,Backdoors!AC5,1))*KR108,0),"")</f>
        <v/>
      </c>
      <c r="KV108" s="49">
        <f>VLOOKUP(A108,tbMoveset!A2:G112,7,FALSE)*IFERROR(IF(Backdoors!AI12&gt;=0,1+(IF(Calculator!E40&gt;0,VLOOKUP(Calculator!E40,tbSkills!AI3:AJ5,2,FALSE),Backdoors!AL4)*(IF((Backdoors!AI12+IF(KQ108&gt;=0.45,VLOOKUP(Calculator!E23,tbSkills!DH3:DI6,2,FALSE)+IF(AND(Calculator!B8=TRUE,Backdoors!BI46=TRUE),VLOOKUP(Calculator!E23,tbSkills!DH3:DJ6,3,FALSE),0),0))&gt;=100,100,(Backdoors!AI12+IF(KQ108&gt;=0.45,VLOOKUP(Calculator!E23,tbSkills!DH3:DI6,2,FALSE)+IF(AND(Calculator!B8=TRUE,Backdoors!BI46=TRUE),VLOOKUP(Calculator!E23,tbSkills!DH3:DJ6,3,FALSE),0),0)))/100)),1),1)</f>
        <v>0.6</v>
      </c>
      <c r="KW108" s="87">
        <f t="shared" si="94"/>
        <v>0</v>
      </c>
    </row>
    <row r="109" spans="1:309" x14ac:dyDescent="0.25">
      <c r="A109" s="95" t="str">
        <f>tbMoveset!A109</f>
        <v>[Mounting] Demon Flurry (R Repeated)</v>
      </c>
      <c r="B109" s="86">
        <f>IFERROR(IF(VLOOKUP(A109,tbMoveset!A2:B112,2,FALSE)="Sever",Backdoors!AY3/100,IF(VLOOKUP(A109,tbMoveset!A2:B112,2,FALSE)="Blunt",Backdoors!AZ3/100,Backdoors!BA3/100)),"")</f>
        <v>0.8</v>
      </c>
      <c r="C109" s="49">
        <f>IFERROR(IF(VLOOKUP(tbMoveset!A109,tbMoveset!A2:H112,8,FALSE)="Other",IF(VLOOKUP(tbMoveset!A109,tbMoveset!A2:I112,9,FALSE)="Fire",Backdoors!BB3,IF(VLOOKUP(tbMoveset!A109,tbMoveset!A2:I112,9,FALSE)="Water",Backdoors!BC3,IF(VLOOKUP(tbMoveset!A109,tbMoveset!A2:I112,9,FALSE)="Thunder",Backdoors!BD3,IF(VLOOKUP(tbMoveset!A109,tbMoveset!A2:I112,9,FALSE)="Ice",Backdoors!BE3,IF(VLOOKUP(tbMoveset!A109,tbMoveset!A2:I112,9,FALSE)="Dragon",Backdoors!BF3,Backdoors!BG3)))))/100,Backdoors!BG3/100),"")</f>
        <v>0</v>
      </c>
      <c r="D109" s="49">
        <f>IFERROR(IF(VLOOKUP(A109,tbMoveset!A2:J112,10,FALSE)=TRUE,IF((Backdoors!AI12+IF(B109&gt;=0.45,VLOOKUP(Calculator!E23,tbSkills!DH3:DI6,2,FALSE)+IF(AND(Calculator!B8=TRUE,Backdoors!BI3=TRUE),VLOOKUP(Calculator!E23,tbSkills!DH3:DJ6,3,FALSE),0),0))&gt;=0,1+(Backdoors!AL2*(IF((Backdoors!AI12+IF(B109&gt;=0.45,VLOOKUP(Calculator!E23,tbSkills!DH3:DI6,2,FALSE)+IF(AND(Calculator!B8=TRUE,Backdoors!BI3=TRUE),VLOOKUP(Calculator!E23,tbSkills!DH3:DJ6,3,FALSE),0),0))&gt;=100,100,(Backdoors!AI12+IF(B109&gt;=0.45,VLOOKUP(Calculator!E23,tbSkills!DH3:DI6,2,FALSE)+IF(AND(Calculator!B8=TRUE,Backdoors!BI3=TRUE),VLOOKUP(Calculator!E23,tbSkills!DH3:DJ6,3,FALSE),0),0)))/100)),(1-(0.25*((-Backdoors!AI12-IF(B109&gt;=0.45,VLOOKUP(Calculator!E23,tbSkills!DH3:DI6,2,FALSE)+IF(AND(Calculator!B8=TRUE,Backdoors!BI3=TRUE),VLOOKUP(Calculator!E23,tbSkills!DH3:DJ6,3,FALSE),0),0))/100)))),1),"")</f>
        <v>1</v>
      </c>
      <c r="E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109)*D109)*(VLOOKUP(A109,tbMoveset!A2:C112,3,FALSE)/100)*IF(VLOOKUP(A109,tbMoveset!A2:B112,2,FALSE)="Projectile",Backdoors!N10,Backdoors!N9),0),"")</f>
        <v>7</v>
      </c>
      <c r="F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109&gt;=0.45,VLOOKUP(Calculator!E23,tbSkills!DH3:DI6,2,FALSE)+IF(AND(Calculator!B8=TRUE,Backdoors!BI3=TRUE),VLOOKUP(Calculator!E23,tbSkills!DH3:DJ6,3,FALSE),0),0))&gt;=100,100,(Backdoors!AI12+IF(B109&gt;=0.45,VLOOKUP(Calculator!E23,tbSkills!DH3:DI6,2,FALSE)+IF(AND(Calculator!B8=TRUE,Backdoors!BI3=TRUE),VLOOKUP(Calculator!E23,tbSkills!DH3:DJ6,3,FALSE),0),0)))/100)),1))*IF(VLOOKUP(A109,tbMoveset!A2:K112,11,FALSE)=TRUE,Backdoors!AC5,1))*C109,0),"")</f>
        <v>0</v>
      </c>
      <c r="G109">
        <f>VLOOKUP(A109,tbMoveset!A2:G112,7,FALSE)*IFERROR(IF(Backdoors!AI12&gt;=0,1+(IF(Calculator!E40&gt;0,VLOOKUP(Calculator!E40,tbSkills!AI3:AJ5,2,FALSE),Backdoors!AL4)*(IF((Backdoors!AI12+IF(B109&gt;=0.45,VLOOKUP(Calculator!E23,tbSkills!DH3:DI6,2,FALSE)+IF(AND(Calculator!B8=TRUE,Backdoors!BI3=TRUE),VLOOKUP(Calculator!E23,tbSkills!DH3:DJ6,3,FALSE),0),0))&gt;=100,100,(Backdoors!AI12+IF(B109&gt;=0.45,VLOOKUP(Calculator!E23,tbSkills!DH3:DI6,2,FALSE)+IF(AND(Calculator!B8=TRUE,Backdoors!BI3=TRUE),VLOOKUP(Calculator!E23,tbSkills!DH3:DJ6,3,FALSE),0),0)))/100)),1),1)</f>
        <v>0.6</v>
      </c>
      <c r="H109" s="87">
        <f t="shared" si="95"/>
        <v>7</v>
      </c>
      <c r="I109" s="86">
        <f>IFERROR(IF(VLOOKUP(A109,tbMoveset!A2:B112,2,FALSE)="Sever",Backdoors!AY4/100,IF(VLOOKUP(A109,tbMoveset!A2:B112,2,FALSE)="Blunt",Backdoors!AZ4/100,Backdoors!BA4/100)),"")</f>
        <v>0.65</v>
      </c>
      <c r="J109" s="49">
        <f>IFERROR(IF(VLOOKUP(tbMoveset!A109,tbMoveset!A2:H112,8,FALSE)="Other",IF(VLOOKUP(tbMoveset!A109,tbMoveset!A2:I112,9,FALSE)="Fire",Backdoors!BB4,IF(VLOOKUP(tbMoveset!A109,tbMoveset!A2:I112,9,FALSE)="Water",Backdoors!BC4,IF(VLOOKUP(tbMoveset!A109,tbMoveset!A2:I112,9,FALSE)="Thunder",Backdoors!BD4,IF(VLOOKUP(tbMoveset!A109,tbMoveset!A2:I112,9,FALSE)="Ice",Backdoors!BE4,IF(VLOOKUP(tbMoveset!A109,tbMoveset!A2:I112,9,FALSE)="Dragon",Backdoors!BF4,Backdoors!BG4)))))/100,Backdoors!BG4/100),"")</f>
        <v>0</v>
      </c>
      <c r="K109" s="49">
        <f>IFERROR(IF(VLOOKUP(A109,tbMoveset!A2:J112,10,FALSE)=TRUE,IF((Backdoors!AI12+IF(I109&gt;=0.45,VLOOKUP(Calculator!E23,tbSkills!DH3:DI6,2,FALSE)+IF(AND(Calculator!B8=TRUE,Backdoors!BI4=TRUE),VLOOKUP(Calculator!E23,tbSkills!DH3:DJ6,3,FALSE),0),0))&gt;=0,1+(Backdoors!AL2*(IF((Backdoors!AI12+IF(I109&gt;=0.45,VLOOKUP(Calculator!E23,tbSkills!DH3:DI6,2,FALSE)+IF(AND(Calculator!B8=TRUE,Backdoors!BI4=TRUE),VLOOKUP(Calculator!E23,tbSkills!DH3:DJ6,3,FALSE),0),0))&gt;=100,100,(Backdoors!AI12+IF(I109&gt;=0.45,VLOOKUP(Calculator!E23,tbSkills!DH3:DI6,2,FALSE)+IF(AND(Calculator!B8=TRUE,Backdoors!BI4=TRUE),VLOOKUP(Calculator!E23,tbSkills!DH3:DJ6,3,FALSE),0),0)))/100)),(1-(0.25*((-Backdoors!AI12-IF(I109&gt;=0.45,VLOOKUP(Calculator!E23,tbSkills!DH3:DI6,2,FALSE)+IF(AND(Calculator!B8=TRUE,Backdoors!BI4=TRUE),VLOOKUP(Calculator!E23,tbSkills!DH3:DJ6,3,FALSE),0),0))/100)))),1),"")</f>
        <v>1</v>
      </c>
      <c r="L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109)*K109)*(VLOOKUP(A109,tbMoveset!A2:C112,3,FALSE)/100)*IF(VLOOKUP(A109,tbMoveset!A2:B112,2,FALSE)="Projectile",Backdoors!N10,Backdoors!N9),0),"")</f>
        <v>5</v>
      </c>
      <c r="M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I109&gt;=0.45,VLOOKUP(Calculator!E23,tbSkills!DH3:DI6,2,FALSE)+IF(AND(Calculator!B8=TRUE,Backdoors!BI4=TRUE),VLOOKUP(Calculator!E23,tbSkills!DH3:DJ6,3,FALSE),0),0))&gt;=100,100,(Backdoors!AI12+IF(I109&gt;=0.45,VLOOKUP(Calculator!E23,tbSkills!DH3:DI6,2,FALSE)+IF(AND(Calculator!B8=TRUE,Backdoors!BI4=TRUE),VLOOKUP(Calculator!E23,tbSkills!DH3:DJ6,3,FALSE),0),0)))/100)),1))*IF(VLOOKUP(A109,tbMoveset!A2:K112,11,FALSE)=TRUE,Backdoors!AC5,1))*J109,0),"")</f>
        <v>0</v>
      </c>
      <c r="N109" s="49">
        <f>VLOOKUP(A109,tbMoveset!A2:G112,7,FALSE)*IFERROR(IF(Backdoors!AI12&gt;=0,1+(IF(Calculator!E40&gt;0,VLOOKUP(Calculator!E40,tbSkills!AI3:AJ5,2,FALSE),Backdoors!AL4)*(IF((Backdoors!AI12+IF(I109&gt;=0.45,VLOOKUP(Calculator!E23,tbSkills!DH3:DI6,2,FALSE)+IF(AND(Calculator!B8=TRUE,Backdoors!BI4=TRUE),VLOOKUP(Calculator!E23,tbSkills!DH3:DJ6,3,FALSE),0),0))&gt;=100,100,(Backdoors!AI12+IF(I109&gt;=0.45,VLOOKUP(Calculator!E23,tbSkills!DH3:DI6,2,FALSE)+IF(AND(Calculator!B8=TRUE,Backdoors!BI4=TRUE),VLOOKUP(Calculator!E23,tbSkills!DH3:DJ6,3,FALSE),0),0)))/100)),1),1)</f>
        <v>0.6</v>
      </c>
      <c r="O109" s="87">
        <f t="shared" si="96"/>
        <v>5</v>
      </c>
      <c r="P109" s="86">
        <f>IFERROR(IF(VLOOKUP(A109,tbMoveset!A2:B112,2,FALSE)="Sever",Backdoors!AY5/100,IF(VLOOKUP(A109,tbMoveset!A2:B112,2,FALSE)="Blunt",Backdoors!AZ5/100,Backdoors!BA5/100)),"")</f>
        <v>0.5</v>
      </c>
      <c r="Q109" s="49">
        <f>IFERROR(IF(VLOOKUP(tbMoveset!A109,tbMoveset!A2:H112,8,FALSE)="Other",IF(VLOOKUP(tbMoveset!A109,tbMoveset!A2:I112,9,FALSE)="Fire",Backdoors!BB5,IF(VLOOKUP(tbMoveset!A109,tbMoveset!A2:I112,9,FALSE)="Water",Backdoors!BC5,IF(VLOOKUP(tbMoveset!A109,tbMoveset!A2:I112,9,FALSE)="Thunder",Backdoors!BD5,IF(VLOOKUP(tbMoveset!A109,tbMoveset!A2:I112,9,FALSE)="Ice",Backdoors!BE5,IF(VLOOKUP(tbMoveset!A109,tbMoveset!A2:I112,9,FALSE)="Dragon",Backdoors!BF5,Backdoors!BG5)))))/100,Backdoors!BG5/100),"")</f>
        <v>0</v>
      </c>
      <c r="R109" s="49">
        <f>IFERROR(IF(VLOOKUP(A109,tbMoveset!A2:J112,10,FALSE)=TRUE,IF((Backdoors!AI12+IF(P109&gt;=0.45,VLOOKUP(Calculator!E23,tbSkills!DH3:DI6,2,FALSE)+IF(AND(Calculator!B8=TRUE,Backdoors!BI5=TRUE),VLOOKUP(Calculator!E23,tbSkills!DH3:DJ6,3,FALSE),0),0))&gt;=0,1+(Backdoors!AL2*(IF((Backdoors!AI12+IF(P109&gt;=0.45,VLOOKUP(Calculator!E23,tbSkills!DH3:DI6,2,FALSE)+IF(AND(Calculator!B8=TRUE,Backdoors!BI5=TRUE),VLOOKUP(Calculator!E23,tbSkills!DH3:DJ6,3,FALSE),0),0))&gt;=100,100,(Backdoors!AI12+IF(P109&gt;=0.45,VLOOKUP(Calculator!E23,tbSkills!DH3:DI6,2,FALSE)+IF(AND(Calculator!B8=TRUE,Backdoors!BI5=TRUE),VLOOKUP(Calculator!E23,tbSkills!DH3:DJ6,3,FALSE),0),0)))/100)),(1-(0.25*((-Backdoors!AI12-IF(P109&gt;=0.45,VLOOKUP(Calculator!E23,tbSkills!DH3:DI6,2,FALSE)+IF(AND(Calculator!B8=TRUE,Backdoors!BI5=TRUE),VLOOKUP(Calculator!E23,tbSkills!DH3:DJ6,3,FALSE),0),0))/100)))),1),"")</f>
        <v>1</v>
      </c>
      <c r="S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P109)*R109)*(VLOOKUP(A109,tbMoveset!A2:C112,3,FALSE)/100)*IF(VLOOKUP(A109,tbMoveset!A2:B112,2,FALSE)="Projectile",Backdoors!N10,Backdoors!N9),0),"")</f>
        <v>4</v>
      </c>
      <c r="T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P109&gt;=0.45,VLOOKUP(Calculator!E23,tbSkills!DH3:DI6,2,FALSE)+IF(AND(Calculator!B8=TRUE,Backdoors!BI5=TRUE),VLOOKUP(Calculator!E23,tbSkills!DH3:DJ6,3,FALSE),0),0))&gt;=100,100,(Backdoors!AI12+IF(P109&gt;=0.45,VLOOKUP(Calculator!E23,tbSkills!DH3:DI6,2,FALSE)+IF(AND(Calculator!B8=TRUE,Backdoors!BI5=TRUE),VLOOKUP(Calculator!E23,tbSkills!DH3:DJ6,3,FALSE),0),0)))/100)),1))*IF(VLOOKUP(A109,tbMoveset!A2:K112,11,FALSE)=TRUE,Backdoors!AC5,1))*Q109,0),"")</f>
        <v>0</v>
      </c>
      <c r="U109" s="49">
        <f>VLOOKUP(A109,tbMoveset!A2:G112,7,FALSE)*IFERROR(IF(Backdoors!AI12&gt;=0,1+(IF(Calculator!E40&gt;0,VLOOKUP(Calculator!E40,tbSkills!AI3:AJ5,2,FALSE),Backdoors!AL4)*(IF((Backdoors!AI12+IF(P109&gt;=0.45,VLOOKUP(Calculator!E23,tbSkills!DH3:DI6,2,FALSE)+IF(AND(Calculator!B8=TRUE,Backdoors!BI5=TRUE),VLOOKUP(Calculator!E23,tbSkills!DH3:DJ6,3,FALSE),0),0))&gt;=100,100,(Backdoors!AI12+IF(P109&gt;=0.45,VLOOKUP(Calculator!E23,tbSkills!DH3:DI6,2,FALSE)+IF(AND(Calculator!B8=TRUE,Backdoors!BI5=TRUE),VLOOKUP(Calculator!E23,tbSkills!DH3:DJ6,3,FALSE),0),0)))/100)),1),1)</f>
        <v>0.6</v>
      </c>
      <c r="V109" s="87">
        <f t="shared" si="53"/>
        <v>4</v>
      </c>
      <c r="W109" s="86">
        <f>IFERROR(IF(VLOOKUP(A109,tbMoveset!A2:B112,2,FALSE)="Sever",Backdoors!AY6/100,IF(VLOOKUP(A109,tbMoveset!A2:B112,2,FALSE)="Blunt",Backdoors!AZ6/100,Backdoors!BA6/100)),"")</f>
        <v>0.45</v>
      </c>
      <c r="X109" s="49">
        <f>IFERROR(IF(VLOOKUP(tbMoveset!A109,tbMoveset!A2:H112,8,FALSE)="Other",IF(VLOOKUP(tbMoveset!A109,tbMoveset!A2:I112,9,FALSE)="Fire",Backdoors!BB6,IF(VLOOKUP(tbMoveset!A109,tbMoveset!A2:I112,9,FALSE)="Water",Backdoors!BC6,IF(VLOOKUP(tbMoveset!A109,tbMoveset!A2:I112,9,FALSE)="Thunder",Backdoors!BD6,IF(VLOOKUP(tbMoveset!A109,tbMoveset!A2:I112,9,FALSE)="Ice",Backdoors!BE6,IF(VLOOKUP(tbMoveset!A109,tbMoveset!A2:I112,9,FALSE)="Dragon",Backdoors!BF6,Backdoors!BG6)))))/100,Backdoors!BG6/100),"")</f>
        <v>0</v>
      </c>
      <c r="Y109" s="49">
        <f>IFERROR(IF(VLOOKUP(A109,tbMoveset!A2:J112,10,FALSE)=TRUE,IF((Backdoors!AI12+IF(W109&gt;=0.45,VLOOKUP(Calculator!E23,tbSkills!DH3:DI6,2,FALSE)+IF(AND(Calculator!B8=TRUE,Backdoors!BI6=TRUE),VLOOKUP(Calculator!E23,tbSkills!DH3:DJ6,3,FALSE),0),0))&gt;=0,1+(Backdoors!AL2*(IF((Backdoors!AI12+IF(W109&gt;=0.45,VLOOKUP(Calculator!E23,tbSkills!DH3:DI6,2,FALSE)+IF(AND(Calculator!B8=TRUE,Backdoors!BI6=TRUE),VLOOKUP(Calculator!E23,tbSkills!DH3:DJ6,3,FALSE),0),0))&gt;=100,100,(Backdoors!AI12+IF(W109&gt;=0.45,VLOOKUP(Calculator!E23,tbSkills!DH3:DI6,2,FALSE)+IF(AND(Calculator!B8=TRUE,Backdoors!BI6=TRUE),VLOOKUP(Calculator!E23,tbSkills!DH3:DJ6,3,FALSE),0),0)))/100)),(1-(0.25*((-Backdoors!AI12-IF(W109&gt;=0.45,VLOOKUP(Calculator!E23,tbSkills!DH3:DI6,2,FALSE)+IF(AND(Calculator!B8=TRUE,Backdoors!BI6=TRUE),VLOOKUP(Calculator!E23,tbSkills!DH3:DJ6,3,FALSE),0),0))/100)))),1),"")</f>
        <v>1</v>
      </c>
      <c r="Z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W109)*Y109)*(VLOOKUP(A109,tbMoveset!A2:C112,3,FALSE)/100)*IF(VLOOKUP(A109,tbMoveset!A2:B112,2,FALSE)="Projectile",Backdoors!N10,Backdoors!N9),0),"")</f>
        <v>4</v>
      </c>
      <c r="AA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W109&gt;=0.45,VLOOKUP(Calculator!E23,tbSkills!DH3:DI6,2,FALSE)+IF(AND(Calculator!B8=TRUE,Backdoors!BI6=TRUE),VLOOKUP(Calculator!E23,tbSkills!DH3:DJ6,3,FALSE),0),0))&gt;=100,100,(Backdoors!AI12+IF(W109&gt;=0.45,VLOOKUP(Calculator!E23,tbSkills!DH3:DI6,2,FALSE)+IF(AND(Calculator!B8=TRUE,Backdoors!BI6=TRUE),VLOOKUP(Calculator!E23,tbSkills!DH3:DJ6,3,FALSE),0),0)))/100)),1))*IF(VLOOKUP(A109,tbMoveset!A2:K112,11,FALSE)=TRUE,Backdoors!AC5,1))*X109,0),"")</f>
        <v>0</v>
      </c>
      <c r="AB109" s="49">
        <f>VLOOKUP(A109,tbMoveset!A2:G112,7,FALSE)*IFERROR(IF(Backdoors!AI12&gt;=0,1+(IF(Calculator!E40&gt;0,VLOOKUP(Calculator!E40,tbSkills!AI3:AJ5,2,FALSE),Backdoors!AL4)*(IF((Backdoors!AI12+IF(W109&gt;=0.45,VLOOKUP(Calculator!E23,tbSkills!DH3:DI6,2,FALSE)+IF(AND(Calculator!B8=TRUE,Backdoors!BI6=TRUE),VLOOKUP(Calculator!E23,tbSkills!DH3:DJ6,3,FALSE),0),0))&gt;=100,100,(Backdoors!AI12+IF(W109&gt;=0.45,VLOOKUP(Calculator!E23,tbSkills!DH3:DI6,2,FALSE)+IF(AND(Calculator!B8=TRUE,Backdoors!BI6=TRUE),VLOOKUP(Calculator!E23,tbSkills!DH3:DJ6,3,FALSE),0),0)))/100)),1),1)</f>
        <v>0.6</v>
      </c>
      <c r="AC109" s="87">
        <f t="shared" si="54"/>
        <v>4</v>
      </c>
      <c r="AD109" s="86">
        <f>IFERROR(IF(VLOOKUP(A109,tbMoveset!A2:B112,2,FALSE)="Sever",Backdoors!AY7/100,IF(VLOOKUP(A109,tbMoveset!A2:B112,2,FALSE)="Blunt",Backdoors!AZ7/100,Backdoors!BA7/100)),"")</f>
        <v>0.65</v>
      </c>
      <c r="AE109" s="49">
        <f>IFERROR(IF(VLOOKUP(tbMoveset!A109,tbMoveset!A2:H112,8,FALSE)="Other",IF(VLOOKUP(tbMoveset!A109,tbMoveset!A2:I112,9,FALSE)="Fire",Backdoors!BB7,IF(VLOOKUP(tbMoveset!A109,tbMoveset!A2:I112,9,FALSE)="Water",Backdoors!BC7,IF(VLOOKUP(tbMoveset!A109,tbMoveset!A2:I112,9,FALSE)="Thunder",Backdoors!BD7,IF(VLOOKUP(tbMoveset!A109,tbMoveset!A2:I112,9,FALSE)="Ice",Backdoors!BE7,IF(VLOOKUP(tbMoveset!A109,tbMoveset!A2:I112,9,FALSE)="Dragon",Backdoors!BF7,Backdoors!BG7)))))/100,Backdoors!BG7/100),"")</f>
        <v>0</v>
      </c>
      <c r="AF109" s="49">
        <f>IFERROR(IF(VLOOKUP(A109,tbMoveset!A2:J112,10,FALSE)=TRUE,IF((Backdoors!AI12+IF(AD109&gt;=0.45,VLOOKUP(Calculator!E23,tbSkills!DH3:DI6,2,FALSE)+IF(AND(Calculator!B8=TRUE,Backdoors!BI7=TRUE),VLOOKUP(Calculator!E23,tbSkills!DH3:DJ6,3,FALSE),0),0))&gt;=0,1+(Backdoors!AL2*(IF((Backdoors!AI12+IF(AD109&gt;=0.45,VLOOKUP(Calculator!E23,tbSkills!DH3:DI6,2,FALSE)+IF(AND(Calculator!B8=TRUE,Backdoors!BI7=TRUE),VLOOKUP(Calculator!E23,tbSkills!DH3:DJ6,3,FALSE),0),0))&gt;=100,100,(Backdoors!AI12+IF(AD109&gt;=0.45,VLOOKUP(Calculator!E23,tbSkills!DH3:DI6,2,FALSE)+IF(AND(Calculator!B8=TRUE,Backdoors!BI7=TRUE),VLOOKUP(Calculator!E23,tbSkills!DH3:DJ6,3,FALSE),0),0)))/100)),(1-(0.25*((-Backdoors!AI12-IF(AD109&gt;=0.45,VLOOKUP(Calculator!E23,tbSkills!DH3:DI6,2,FALSE)+IF(AND(Calculator!B8=TRUE,Backdoors!BI7=TRUE),VLOOKUP(Calculator!E23,tbSkills!DH3:DJ6,3,FALSE),0),0))/100)))),1),"")</f>
        <v>1</v>
      </c>
      <c r="AG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D109)*AF109)*(VLOOKUP(A109,tbMoveset!A2:C112,3,FALSE)/100)*IF(VLOOKUP(A109,tbMoveset!A2:B112,2,FALSE)="Projectile",Backdoors!N10,Backdoors!N9),0),"")</f>
        <v>5</v>
      </c>
      <c r="AH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D109&gt;=0.45,VLOOKUP(Calculator!E23,tbSkills!DH3:DI6,2,FALSE)+IF(AND(Calculator!B8=TRUE,Backdoors!BI7=TRUE),VLOOKUP(Calculator!E23,tbSkills!DH3:DJ6,3,FALSE),0),0))&gt;=100,100,(Backdoors!AI12+IF(AD109&gt;=0.45,VLOOKUP(Calculator!E23,tbSkills!DH3:DI6,2,FALSE)+IF(AND(Calculator!B8=TRUE,Backdoors!BI7=TRUE),VLOOKUP(Calculator!E23,tbSkills!DH3:DJ6,3,FALSE),0),0)))/100)),1))*IF(VLOOKUP(A109,tbMoveset!A2:K112,11,FALSE)=TRUE,Backdoors!AC5,1))*AE109,0),"")</f>
        <v>0</v>
      </c>
      <c r="AI109" s="49">
        <f>VLOOKUP(A109,tbMoveset!A2:G112,7,FALSE)*IFERROR(IF(Backdoors!AI12&gt;=0,1+(IF(Calculator!E40&gt;0,VLOOKUP(Calculator!E40,tbSkills!AI3:AJ5,2,FALSE),Backdoors!AL4)*(IF((Backdoors!AI12+IF(AD109&gt;=0.45,VLOOKUP(Calculator!E23,tbSkills!DH3:DI6,2,FALSE)+IF(AND(Calculator!B8=TRUE,Backdoors!BI7=TRUE),VLOOKUP(Calculator!E23,tbSkills!DH3:DJ6,3,FALSE),0),0))&gt;=100,100,(Backdoors!AI12+IF(AD109&gt;=0.45,VLOOKUP(Calculator!E23,tbSkills!DH3:DI6,2,FALSE)+IF(AND(Calculator!B8=TRUE,Backdoors!BI7=TRUE),VLOOKUP(Calculator!E23,tbSkills!DH3:DJ6,3,FALSE),0),0)))/100)),1),1)</f>
        <v>0.6</v>
      </c>
      <c r="AJ109" s="87">
        <f t="shared" si="55"/>
        <v>5</v>
      </c>
      <c r="AK109" s="91">
        <f>IFERROR(IF(VLOOKUP(A109,tbMoveset!A2:B112,2,FALSE)="Sever",Backdoors!AY8/100,IF(VLOOKUP(A109,tbMoveset!A2:B112,2,FALSE)="Blunt",Backdoors!AZ8/100,Backdoors!BA8/100)),"")</f>
        <v>0.45</v>
      </c>
      <c r="AL109" s="49">
        <f>IFERROR(IF(VLOOKUP(tbMoveset!A109,tbMoveset!A2:H112,8,FALSE)="Other",IF(VLOOKUP(tbMoveset!A109,tbMoveset!A2:I112,9,FALSE)="Fire",Backdoors!BB8,IF(VLOOKUP(tbMoveset!A109,tbMoveset!A2:I112,9,FALSE)="Water",Backdoors!BC8,IF(VLOOKUP(tbMoveset!A109,tbMoveset!A2:I112,9,FALSE)="Thunder",Backdoors!BD8,IF(VLOOKUP(tbMoveset!A109,tbMoveset!A2:I112,9,FALSE)="Ice",Backdoors!BE8,IF(VLOOKUP(tbMoveset!A109,tbMoveset!A2:I112,9,FALSE)="Dragon",Backdoors!BF8,Backdoors!BG8)))))/100,Backdoors!BG8/100),"")</f>
        <v>0</v>
      </c>
      <c r="AM109" s="49">
        <f>IFERROR(IF(VLOOKUP(A109,tbMoveset!A2:J112,10,FALSE)=TRUE,IF((Backdoors!AI12+IF(AK109&gt;=0.45,VLOOKUP(Calculator!E23,tbSkills!DH3:DI6,2,FALSE)+IF(AND(Calculator!B8=TRUE,Backdoors!BI8=TRUE),VLOOKUP(Calculator!E23,tbSkills!DH3:DJ6,3,FALSE),0),0))&gt;=0,1+(Backdoors!AL2*(IF((Backdoors!AI12+IF(AK109&gt;=0.45,VLOOKUP(Calculator!E23,tbSkills!DH3:DI6,2,FALSE)+IF(AND(Calculator!B8=TRUE,Backdoors!BI8=TRUE),VLOOKUP(Calculator!E23,tbSkills!DH3:DJ6,3,FALSE),0),0))&gt;=100,100,(Backdoors!AI12+IF(AK109&gt;=0.45,VLOOKUP(Calculator!E23,tbSkills!DH3:DI6,2,FALSE)+IF(AND(Calculator!B8=TRUE,Backdoors!BI8=TRUE),VLOOKUP(Calculator!E23,tbSkills!DH3:DJ6,3,FALSE),0),0)))/100)),(1-(0.25*((-Backdoors!AI12-IF(AK109&gt;=0.45,VLOOKUP(Calculator!E23,tbSkills!DH3:DI6,2,FALSE)+IF(AND(Calculator!B8=TRUE,Backdoors!BI8=TRUE),VLOOKUP(Calculator!E23,tbSkills!DH3:DJ6,3,FALSE),0),0))/100)))),1),"")</f>
        <v>1</v>
      </c>
      <c r="AN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K109)*AM109)*(VLOOKUP(A109,tbMoveset!A2:C112,3,FALSE)/100)*IF(VLOOKUP(A109,tbMoveset!A2:B112,2,FALSE)="Projectile",Backdoors!N10,Backdoors!N9),0),"")</f>
        <v>4</v>
      </c>
      <c r="AO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K109&gt;=0.45,VLOOKUP(Calculator!E23,tbSkills!DH3:DI6,2,FALSE)+IF(AND(Calculator!B8=TRUE,Backdoors!BI8=TRUE),VLOOKUP(Calculator!E23,tbSkills!DH3:DJ6,3,FALSE),0),0))&gt;=100,100,(Backdoors!AI12+IF(AK109&gt;=0.45,VLOOKUP(Calculator!E23,tbSkills!DH3:DI6,2,FALSE)+IF(AND(Calculator!B8=TRUE,Backdoors!BI8=TRUE),VLOOKUP(Calculator!E23,tbSkills!DH3:DJ6,3,FALSE),0),0)))/100)),1))*IF(VLOOKUP(A109,tbMoveset!A2:K112,11,FALSE)=TRUE,Backdoors!AC5,1))*AL109,0),"")</f>
        <v>0</v>
      </c>
      <c r="AP109" s="49">
        <f>VLOOKUP(A109,tbMoveset!A2:G112,7,FALSE)*IFERROR(IF(Backdoors!AI12&gt;=0,1+(IF(Calculator!E40&gt;0,VLOOKUP(Calculator!E40,tbSkills!AI3:AJ5,2,FALSE),Backdoors!AL4)*(IF((Backdoors!AI12+IF(AK109&gt;=0.45,VLOOKUP(Calculator!E23,tbSkills!DH3:DI6,2,FALSE)+IF(AND(Calculator!B8=TRUE,Backdoors!BI8=TRUE),VLOOKUP(Calculator!E23,tbSkills!DH3:DJ6,3,FALSE),0),0))&gt;=100,100,(Backdoors!AI12+IF(AK109&gt;=0.45,VLOOKUP(Calculator!E23,tbSkills!DH3:DI6,2,FALSE)+IF(AND(Calculator!B8=TRUE,Backdoors!BI8=TRUE),VLOOKUP(Calculator!E23,tbSkills!DH3:DJ6,3,FALSE),0),0)))/100)),1),1)</f>
        <v>0.6</v>
      </c>
      <c r="AQ109" s="87">
        <f t="shared" si="56"/>
        <v>4</v>
      </c>
      <c r="AR109" s="86">
        <f>IFERROR(IF(VLOOKUP(A109,tbMoveset!A2:B112,2,FALSE)="Sever",Backdoors!AY9/100,IF(VLOOKUP(A109,tbMoveset!A2:B112,2,FALSE)="Blunt",Backdoors!AZ9/100,Backdoors!BA9/100)),"")</f>
        <v>0.45</v>
      </c>
      <c r="AS109" s="49">
        <f>IFERROR(IF(VLOOKUP(tbMoveset!A109,tbMoveset!A2:H112,8,FALSE)="Other",IF(VLOOKUP(tbMoveset!A109,tbMoveset!A2:I112,9,FALSE)="Fire",Backdoors!BB9,IF(VLOOKUP(tbMoveset!A109,tbMoveset!A2:I112,9,FALSE)="Water",Backdoors!BC9,IF(VLOOKUP(tbMoveset!A109,tbMoveset!A2:I112,9,FALSE)="Thunder",Backdoors!BD9,IF(VLOOKUP(tbMoveset!A109,tbMoveset!A2:I112,9,FALSE)="Ice",Backdoors!BE9,IF(VLOOKUP(tbMoveset!A109,tbMoveset!A2:I112,9,FALSE)="Dragon",Backdoors!BF9,Backdoors!BG9)))))/100,Backdoors!BG9/100),"")</f>
        <v>0</v>
      </c>
      <c r="AT109" s="49">
        <f>IFERROR(IF(VLOOKUP(A109,tbMoveset!A2:J112,10,FALSE)=TRUE,IF((Backdoors!AI12+IF(AR109&gt;=0.45,VLOOKUP(Calculator!E23,tbSkills!DH3:DI6,2,FALSE)+IF(AND(Calculator!B8=TRUE,Backdoors!BI9=TRUE),VLOOKUP(Calculator!E23,tbSkills!DH3:DJ6,3,FALSE),0),0))&gt;=0,1+(Backdoors!AL2*(IF((Backdoors!AI12+IF(AR109&gt;=0.45,VLOOKUP(Calculator!E23,tbSkills!DH3:DI6,2,FALSE)+IF(AND(Calculator!B8=TRUE,Backdoors!BI9=TRUE),VLOOKUP(Calculator!E23,tbSkills!DH3:DJ6,3,FALSE),0),0))&gt;=100,100,(Backdoors!AI12+IF(AR109&gt;=0.45,VLOOKUP(Calculator!E23,tbSkills!DH3:DI6,2,FALSE)+IF(AND(Calculator!B8=TRUE,Backdoors!BI9=TRUE),VLOOKUP(Calculator!E23,tbSkills!DH3:DJ6,3,FALSE),0),0)))/100)),(1-(0.25*((-Backdoors!AI12-IF(AR109&gt;=0.45,VLOOKUP(Calculator!E23,tbSkills!DH3:DI6,2,FALSE)+IF(AND(Calculator!B8=TRUE,Backdoors!BI9=TRUE),VLOOKUP(Calculator!E23,tbSkills!DH3:DJ6,3,FALSE),0),0))/100)))),1),"")</f>
        <v>1</v>
      </c>
      <c r="AU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R109)*AT109)*(VLOOKUP(A109,tbMoveset!A2:C112,3,FALSE)/100)*IF(VLOOKUP(A109,tbMoveset!A2:B112,2,FALSE)="Projectile",Backdoors!N10,Backdoors!N9),0),"")</f>
        <v>4</v>
      </c>
      <c r="AV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R109&gt;=0.45,VLOOKUP(Calculator!E23,tbSkills!DH3:DI6,2,FALSE)+IF(AND(Calculator!B8=TRUE,Backdoors!BI9=TRUE),VLOOKUP(Calculator!E23,tbSkills!DH3:DJ6,3,FALSE),0),0))&gt;=100,100,(Backdoors!AI12+IF(AR109&gt;=0.45,VLOOKUP(Calculator!E23,tbSkills!DH3:DI6,2,FALSE)+IF(AND(Calculator!B8=TRUE,Backdoors!BI9=TRUE),VLOOKUP(Calculator!E23,tbSkills!DH3:DJ6,3,FALSE),0),0)))/100)),1))*IF(VLOOKUP(A109,tbMoveset!A2:K112,11,FALSE)=TRUE,Backdoors!AC5,1))*AS109,0),"")</f>
        <v>0</v>
      </c>
      <c r="AW109" s="49">
        <f>VLOOKUP(A109,tbMoveset!A2:G112,7,FALSE)*IFERROR(IF(Backdoors!AI12&gt;=0,1+(IF(Calculator!E40&gt;0,VLOOKUP(Calculator!E40,tbSkills!AI3:AJ5,2,FALSE),Backdoors!AL4)*(IF((Backdoors!AI12+IF(AR109&gt;=0.45,VLOOKUP(Calculator!E23,tbSkills!DH3:DI6,2,FALSE)+IF(AND(Calculator!B8=TRUE,Backdoors!BI9=TRUE),VLOOKUP(Calculator!E23,tbSkills!DH3:DJ6,3,FALSE),0),0))&gt;=100,100,(Backdoors!AI12+IF(AR109&gt;=0.45,VLOOKUP(Calculator!E23,tbSkills!DH3:DI6,2,FALSE)+IF(AND(Calculator!B8=TRUE,Backdoors!BI9=TRUE),VLOOKUP(Calculator!E23,tbSkills!DH3:DJ6,3,FALSE),0),0)))/100)),1),1)</f>
        <v>0.6</v>
      </c>
      <c r="AX109" s="87">
        <f t="shared" si="57"/>
        <v>4</v>
      </c>
      <c r="AY109" s="86">
        <f>IFERROR(IF(VLOOKUP(A109,tbMoveset!A2:B112,2,FALSE)="Sever",Backdoors!AY10/100,IF(VLOOKUP(A109,tbMoveset!A2:B112,2,FALSE)="Blunt",Backdoors!AZ10/100,Backdoors!BA10/100)),"")</f>
        <v>0.9</v>
      </c>
      <c r="AZ109" s="49">
        <f>IFERROR(IF(VLOOKUP(tbMoveset!A109,tbMoveset!A2:H112,8,FALSE)="Other",IF(VLOOKUP(tbMoveset!A109,tbMoveset!A2:I112,9,FALSE)="Fire",Backdoors!BB10,IF(VLOOKUP(tbMoveset!A109,tbMoveset!A2:I112,9,FALSE)="Water",Backdoors!BC10,IF(VLOOKUP(tbMoveset!A109,tbMoveset!A2:I112,9,FALSE)="Thunder",Backdoors!BD10,IF(VLOOKUP(tbMoveset!A109,tbMoveset!A2:I112,9,FALSE)="Ice",Backdoors!BE10,IF(VLOOKUP(tbMoveset!A109,tbMoveset!A2:I112,9,FALSE)="Dragon",Backdoors!BF10,Backdoors!BG10)))))/100,Backdoors!BG10/100),"")</f>
        <v>0</v>
      </c>
      <c r="BA109" s="49">
        <f>IFERROR(IF(VLOOKUP(A109,tbMoveset!A2:J112,10,FALSE)=TRUE,IF((Backdoors!AI12+IF(AY109&gt;=0.45,VLOOKUP(Calculator!E23,tbSkills!DH3:DI6,2,FALSE)+IF(AND(Calculator!B8=TRUE,Backdoors!BI10=TRUE),VLOOKUP(Calculator!E23,tbSkills!DH3:DJ6,3,FALSE),0),0))&gt;=0,1+(Backdoors!AL2*(IF((Backdoors!AI12+IF(AY109&gt;=0.45,VLOOKUP(Calculator!E23,tbSkills!DH3:DI6,2,FALSE)+IF(AND(Calculator!B8=TRUE,Backdoors!BI10=TRUE),VLOOKUP(Calculator!E23,tbSkills!DH3:DJ6,3,FALSE),0),0))&gt;=100,100,(Backdoors!AI12+IF(AY109&gt;=0.45,VLOOKUP(Calculator!E23,tbSkills!DH3:DI6,2,FALSE)+IF(AND(Calculator!B8=TRUE,Backdoors!BI10=TRUE),VLOOKUP(Calculator!E23,tbSkills!DH3:DJ6,3,FALSE),0),0)))/100)),(1-(0.25*((-Backdoors!AI12-IF(AY109&gt;=0.45,VLOOKUP(Calculator!E23,tbSkills!DH3:DI6,2,FALSE)+IF(AND(Calculator!B8=TRUE,Backdoors!BI10=TRUE),VLOOKUP(Calculator!E23,tbSkills!DH3:DJ6,3,FALSE),0),0))/100)))),1),"")</f>
        <v>1</v>
      </c>
      <c r="BB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Y109)*BA109)*(VLOOKUP(A109,tbMoveset!A2:C112,3,FALSE)/100)*IF(VLOOKUP(A109,tbMoveset!A2:B112,2,FALSE)="Projectile",Backdoors!N10,Backdoors!N9),0),"")</f>
        <v>8</v>
      </c>
      <c r="BC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Y109&gt;=0.45,VLOOKUP(Calculator!E23,tbSkills!DH3:DI6,2,FALSE)+IF(AND(Calculator!B8=TRUE,Backdoors!BI10=TRUE),VLOOKUP(Calculator!E23,tbSkills!DH3:DJ6,3,FALSE),0),0))&gt;=100,100,(Backdoors!AI12+IF(AY109&gt;=0.45,VLOOKUP(Calculator!E23,tbSkills!DH3:DI6,2,FALSE)+IF(AND(Calculator!B8=TRUE,Backdoors!BI10=TRUE),VLOOKUP(Calculator!E23,tbSkills!DH3:DJ6,3,FALSE),0),0)))/100)),1))*IF(VLOOKUP(A109,tbMoveset!A2:K112,11,FALSE)=TRUE,Backdoors!AC5,1))*AZ109,0),"")</f>
        <v>0</v>
      </c>
      <c r="BD109" s="49">
        <f>VLOOKUP(A109,tbMoveset!A2:G112,7,FALSE)*IFERROR(IF(Backdoors!AI12&gt;=0,1+(IF(Calculator!E40&gt;0,VLOOKUP(Calculator!E40,tbSkills!AI3:AJ5,2,FALSE),Backdoors!AL4)*(IF((Backdoors!AI12+IF(AY109&gt;=0.45,VLOOKUP(Calculator!E23,tbSkills!DH3:DI6,2,FALSE)+IF(AND(Calculator!B8=TRUE,Backdoors!BI10=TRUE),VLOOKUP(Calculator!E23,tbSkills!DH3:DJ6,3,FALSE),0),0))&gt;=100,100,(Backdoors!AI12+IF(AY109&gt;=0.45,VLOOKUP(Calculator!E23,tbSkills!DH3:DI6,2,FALSE)+IF(AND(Calculator!B8=TRUE,Backdoors!BI10=TRUE),VLOOKUP(Calculator!E23,tbSkills!DH3:DJ6,3,FALSE),0),0)))/100)),1),1)</f>
        <v>0.6</v>
      </c>
      <c r="BE109" s="87">
        <f t="shared" si="58"/>
        <v>8</v>
      </c>
      <c r="BF109" s="86" t="str">
        <f>IFERROR(IF(VLOOKUP(A109,tbMoveset!A2:B112,2,FALSE)="Sever",Backdoors!AY11/100,IF(VLOOKUP(A109,tbMoveset!A2:B112,2,FALSE)="Blunt",Backdoors!AZ11/100,Backdoors!BA11/100)),"")</f>
        <v/>
      </c>
      <c r="BG109" s="49">
        <f>IFERROR(IF(VLOOKUP(tbMoveset!A109,tbMoveset!A2:H112,8,FALSE)="Other",IF(VLOOKUP(tbMoveset!A109,tbMoveset!A2:I112,9,FALSE)="Fire",Backdoors!BB11,IF(VLOOKUP(tbMoveset!A109,tbMoveset!A2:I112,9,FALSE)="Water",Backdoors!BC11,IF(VLOOKUP(tbMoveset!A109,tbMoveset!A2:I112,9,FALSE)="Thunder",Backdoors!BD11,IF(VLOOKUP(tbMoveset!A109,tbMoveset!A2:I112,9,FALSE)="Ice",Backdoors!BE11,IF(VLOOKUP(tbMoveset!A109,tbMoveset!A2:I112,9,FALSE)="Dragon",Backdoors!BF11,Backdoors!BG11)))))/100,Backdoors!BG11/100),"")</f>
        <v>0</v>
      </c>
      <c r="BH109" s="49">
        <f>IFERROR(IF(VLOOKUP(A109,tbMoveset!A2:J112,10,FALSE)=TRUE,IF((Backdoors!AI12+IF(BF109&gt;=0.45,VLOOKUP(Calculator!E23,tbSkills!DH3:DI6,2,FALSE)+IF(AND(Calculator!B8=TRUE,Backdoors!BI11=TRUE),VLOOKUP(Calculator!E23,tbSkills!DH3:DJ6,3,FALSE),0),0))&gt;=0,1+(Backdoors!AL2*(IF((Backdoors!AI12+IF(BF109&gt;=0.45,VLOOKUP(Calculator!E23,tbSkills!DH3:DI6,2,FALSE)+IF(AND(Calculator!B8=TRUE,Backdoors!BI11=TRUE),VLOOKUP(Calculator!E23,tbSkills!DH3:DJ6,3,FALSE),0),0))&gt;=100,100,(Backdoors!AI12+IF(BF109&gt;=0.45,VLOOKUP(Calculator!E23,tbSkills!DH3:DI6,2,FALSE)+IF(AND(Calculator!B8=TRUE,Backdoors!BI11=TRUE),VLOOKUP(Calculator!E23,tbSkills!DH3:DJ6,3,FALSE),0),0)))/100)),(1-(0.25*((-Backdoors!AI12-IF(BF109&gt;=0.45,VLOOKUP(Calculator!E23,tbSkills!DH3:DI6,2,FALSE)+IF(AND(Calculator!B8=TRUE,Backdoors!BI11=TRUE),VLOOKUP(Calculator!E23,tbSkills!DH3:DJ6,3,FALSE),0),0))/100)))),1),"")</f>
        <v>1</v>
      </c>
      <c r="BI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F109)*BH109)*(VLOOKUP(A109,tbMoveset!A2:C112,3,FALSE)/100)*IF(VLOOKUP(A109,tbMoveset!A2:B112,2,FALSE)="Projectile",Backdoors!N10,Backdoors!N9),0),"")</f>
        <v/>
      </c>
      <c r="BJ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F109&gt;=0.45,VLOOKUP(Calculator!E23,tbSkills!DH3:DI6,2,FALSE)+IF(AND(Calculator!B8=TRUE,Backdoors!BI11=TRUE),VLOOKUP(Calculator!E23,tbSkills!DH3:DJ6,3,FALSE),0),0))&gt;=100,100,(Backdoors!AI12+IF(BF109&gt;=0.45,VLOOKUP(Calculator!E23,tbSkills!DH3:DI6,2,FALSE)+IF(AND(Calculator!B8=TRUE,Backdoors!BI11=TRUE),VLOOKUP(Calculator!E23,tbSkills!DH3:DJ6,3,FALSE),0),0)))/100)),1))*IF(VLOOKUP(A109,tbMoveset!A2:K112,11,FALSE)=TRUE,Backdoors!AC5,1))*BG109,0),"")</f>
        <v>0</v>
      </c>
      <c r="BK109" s="49">
        <f>VLOOKUP(A109,tbMoveset!A2:G112,7,FALSE)*IFERROR(IF(Backdoors!AI12&gt;=0,1+(IF(Calculator!E40&gt;0,VLOOKUP(Calculator!E40,tbSkills!AI3:AJ5,2,FALSE),Backdoors!AL4)*(IF((Backdoors!AI12+IF(BF109&gt;=0.45,VLOOKUP(Calculator!E23,tbSkills!DH3:DI6,2,FALSE)+IF(AND(Calculator!B8=TRUE,Backdoors!BI11=TRUE),VLOOKUP(Calculator!E23,tbSkills!DH3:DJ6,3,FALSE),0),0))&gt;=100,100,(Backdoors!AI12+IF(BF109&gt;=0.45,VLOOKUP(Calculator!E23,tbSkills!DH3:DI6,2,FALSE)+IF(AND(Calculator!B8=TRUE,Backdoors!BI11=TRUE),VLOOKUP(Calculator!E23,tbSkills!DH3:DJ6,3,FALSE),0),0)))/100)),1),1)</f>
        <v>0.6</v>
      </c>
      <c r="BL109" s="87">
        <f t="shared" si="59"/>
        <v>0</v>
      </c>
      <c r="BM109" s="86" t="str">
        <f>IFERROR(IF(VLOOKUP(A109,tbMoveset!A2:B112,2,FALSE)="Sever",Backdoors!AY12/100,IF(VLOOKUP(A109,tbMoveset!A2:B112,2,FALSE)="Blunt",Backdoors!AZ12/100,Backdoors!BA12/100)),"")</f>
        <v/>
      </c>
      <c r="BN109" s="49">
        <f>IFERROR(IF(VLOOKUP(tbMoveset!A109,tbMoveset!A2:H112,8,FALSE)="Other",IF(VLOOKUP(tbMoveset!A109,tbMoveset!A2:I112,9,FALSE)="Fire",Backdoors!BB12,IF(VLOOKUP(tbMoveset!A109,tbMoveset!A2:I112,9,FALSE)="Water",Backdoors!BC12,IF(VLOOKUP(tbMoveset!A109,tbMoveset!A2:I112,9,FALSE)="Thunder",Backdoors!BD12,IF(VLOOKUP(tbMoveset!A109,tbMoveset!A2:I112,9,FALSE)="Ice",Backdoors!BE12,IF(VLOOKUP(tbMoveset!A109,tbMoveset!A2:I112,9,FALSE)="Dragon",Backdoors!BF12,Backdoors!BG12)))))/100,Backdoors!BG12/100),"")</f>
        <v>0</v>
      </c>
      <c r="BO109" s="49">
        <f>IFERROR(IF(VLOOKUP(A109,tbMoveset!A2:J112,10,FALSE)=TRUE,IF((Backdoors!AI12+IF(BM109&gt;=0.45,VLOOKUP(Calculator!E23,tbSkills!DH3:DI6,2,FALSE)+IF(AND(Calculator!B8=TRUE,Backdoors!BI12=TRUE),VLOOKUP(Calculator!E23,tbSkills!DH3:DJ6,3,FALSE),0),0))&gt;=0,1+(Backdoors!AL2*(IF((Backdoors!AI12+IF(BM109&gt;=0.45,VLOOKUP(Calculator!E23,tbSkills!DH3:DI6,2,FALSE)+IF(AND(Calculator!B8=TRUE,Backdoors!BI12=TRUE),VLOOKUP(Calculator!E23,tbSkills!DH3:DJ6,3,FALSE),0),0))&gt;=100,100,(Backdoors!AI12+IF(BM109&gt;=0.45,VLOOKUP(Calculator!E23,tbSkills!DH3:DI6,2,FALSE)+IF(AND(Calculator!B8=TRUE,Backdoors!BI12=TRUE),VLOOKUP(Calculator!E23,tbSkills!DH3:DJ6,3,FALSE),0),0)))/100)),(1-(0.25*((-Backdoors!AI12-IF(BM109&gt;=0.45,VLOOKUP(Calculator!E23,tbSkills!DH3:DI6,2,FALSE)+IF(AND(Calculator!B8=TRUE,Backdoors!BI12=TRUE),VLOOKUP(Calculator!E23,tbSkills!DH3:DJ6,3,FALSE),0),0))/100)))),1),"")</f>
        <v>1</v>
      </c>
      <c r="BP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M109)*BO109)*(VLOOKUP(A109,tbMoveset!A2:C112,3,FALSE)/100)*IF(VLOOKUP(A109,tbMoveset!A2:B112,2,FALSE)="Projectile",Backdoors!N10,Backdoors!N9),0),"")</f>
        <v/>
      </c>
      <c r="BQ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M109&gt;=0.45,VLOOKUP(Calculator!E23,tbSkills!DH3:DI6,2,FALSE)+IF(AND(Calculator!B8=TRUE,Backdoors!BI12=TRUE),VLOOKUP(Calculator!E23,tbSkills!DH3:DJ6,3,FALSE),0),0))&gt;=100,100,(Backdoors!AI12+IF(BM109&gt;=0.45,VLOOKUP(Calculator!E23,tbSkills!DH3:DI6,2,FALSE)+IF(AND(Calculator!B8=TRUE,Backdoors!BI12=TRUE),VLOOKUP(Calculator!E23,tbSkills!DH3:DJ6,3,FALSE),0),0)))/100)),1))*IF(VLOOKUP(A109,tbMoveset!A2:K112,11,FALSE)=TRUE,Backdoors!AC5,1))*BN109,0),"")</f>
        <v>0</v>
      </c>
      <c r="BR109" s="49">
        <f>VLOOKUP(A109,tbMoveset!A2:G112,7,FALSE)*IFERROR(IF(Backdoors!AI12&gt;=0,1+(IF(Calculator!E40&gt;0,VLOOKUP(Calculator!E40,tbSkills!AI3:AJ5,2,FALSE),Backdoors!AL4)*(IF((Backdoors!AI12+IF(BM109&gt;=0.45,VLOOKUP(Calculator!E23,tbSkills!DH3:DI6,2,FALSE)+IF(AND(Calculator!B8=TRUE,Backdoors!BI12=TRUE),VLOOKUP(Calculator!E23,tbSkills!DH3:DJ6,3,FALSE),0),0))&gt;=100,100,(Backdoors!AI12+IF(BM109&gt;=0.45,VLOOKUP(Calculator!E23,tbSkills!DH3:DI6,2,FALSE)+IF(AND(Calculator!B8=TRUE,Backdoors!BI12=TRUE),VLOOKUP(Calculator!E23,tbSkills!DH3:DJ6,3,FALSE),0),0)))/100)),1),1)</f>
        <v>0.6</v>
      </c>
      <c r="BS109" s="87">
        <f t="shared" si="60"/>
        <v>0</v>
      </c>
      <c r="BT109" s="86" t="str">
        <f>IFERROR(IF(VLOOKUP(A109,tbMoveset!A2:B112,2,FALSE)="Sever",Backdoors!AY13/100,IF(VLOOKUP(A109,tbMoveset!A2:B112,2,FALSE)="Blunt",Backdoors!AZ13/100,Backdoors!BA13/100)),"")</f>
        <v/>
      </c>
      <c r="BU109" s="49">
        <f>IFERROR(IF(VLOOKUP(tbMoveset!A109,tbMoveset!A2:H112,8,FALSE)="Other",IF(VLOOKUP(tbMoveset!A109,tbMoveset!A2:I112,9,FALSE)="Fire",Backdoors!BB13,IF(VLOOKUP(tbMoveset!A109,tbMoveset!A2:I112,9,FALSE)="Water",Backdoors!BC13,IF(VLOOKUP(tbMoveset!A109,tbMoveset!A2:I112,9,FALSE)="Thunder",Backdoors!BD13,IF(VLOOKUP(tbMoveset!A109,tbMoveset!A2:I112,9,FALSE)="Ice",Backdoors!BE13,IF(VLOOKUP(tbMoveset!A109,tbMoveset!A2:I112,9,FALSE)="Dragon",Backdoors!BF13,Backdoors!BG13)))))/100,Backdoors!BG13/100),"")</f>
        <v>0</v>
      </c>
      <c r="BV109" s="49">
        <f>IFERROR(IF(VLOOKUP(A109,tbMoveset!A2:J112,10,FALSE)=TRUE,IF((Backdoors!AI12+IF(BT109&gt;=0.45,VLOOKUP(Calculator!E23,tbSkills!DH3:DI6,2,FALSE)+IF(AND(Calculator!B8=TRUE,Backdoors!BI13=TRUE),VLOOKUP(Calculator!E23,tbSkills!DH3:DJ6,3,FALSE),0),0))&gt;=0,1+(Backdoors!AL2*(IF((Backdoors!AI12+IF(BT109&gt;=0.45,VLOOKUP(Calculator!E23,tbSkills!DH3:DI6,2,FALSE)+IF(AND(Calculator!B8=TRUE,Backdoors!BI13=TRUE),VLOOKUP(Calculator!E23,tbSkills!DH3:DJ6,3,FALSE),0),0))&gt;=100,100,(Backdoors!AI12+IF(BT109&gt;=0.45,VLOOKUP(Calculator!E23,tbSkills!DH3:DI6,2,FALSE)+IF(AND(Calculator!B8=TRUE,Backdoors!BI13=TRUE),VLOOKUP(Calculator!E23,tbSkills!DH3:DJ6,3,FALSE),0),0)))/100)),(1-(0.25*((-Backdoors!AI12-IF(BT109&gt;=0.45,VLOOKUP(Calculator!E23,tbSkills!DH3:DI6,2,FALSE)+IF(AND(Calculator!B8=TRUE,Backdoors!BI13=TRUE),VLOOKUP(Calculator!E23,tbSkills!DH3:DJ6,3,FALSE),0),0))/100)))),1),"")</f>
        <v>1</v>
      </c>
      <c r="BW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T109)*BV109)*(VLOOKUP(A109,tbMoveset!A2:C112,3,FALSE)/100)*IF(VLOOKUP(A109,tbMoveset!A2:B112,2,FALSE)="Projectile",Backdoors!N10,Backdoors!N9),0),"")</f>
        <v/>
      </c>
      <c r="BX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T109&gt;=0.45,VLOOKUP(Calculator!E23,tbSkills!DH3:DI6,2,FALSE)+IF(AND(Calculator!B8=TRUE,Backdoors!BI13=TRUE),VLOOKUP(Calculator!E23,tbSkills!DH3:DJ6,3,FALSE),0),0))&gt;=100,100,(Backdoors!AI12+IF(BT109&gt;=0.45,VLOOKUP(Calculator!E23,tbSkills!DH3:DI6,2,FALSE)+IF(AND(Calculator!B8=TRUE,Backdoors!BI13=TRUE),VLOOKUP(Calculator!E23,tbSkills!DH3:DJ6,3,FALSE),0),0)))/100)),1))*IF(VLOOKUP(A109,tbMoveset!A2:K112,11,FALSE)=TRUE,Backdoors!AC5,1))*BU109,0),"")</f>
        <v>0</v>
      </c>
      <c r="BY109" s="49">
        <f>VLOOKUP(A109,tbMoveset!A2:G112,7,FALSE)*IFERROR(IF(Backdoors!AI12&gt;=0,1+(IF(Calculator!E40&gt;0,VLOOKUP(Calculator!E40,tbSkills!AI3:AJ5,2,FALSE),Backdoors!AL4)*(IF((Backdoors!AI12+IF(BT109&gt;=0.45,VLOOKUP(Calculator!E23,tbSkills!DH3:DI6,2,FALSE)+IF(AND(Calculator!B8=TRUE,Backdoors!BI13=TRUE),VLOOKUP(Calculator!E23,tbSkills!DH3:DJ6,3,FALSE),0),0))&gt;=100,100,(Backdoors!AI12+IF(BT109&gt;=0.45,VLOOKUP(Calculator!E23,tbSkills!DH3:DI6,2,FALSE)+IF(AND(Calculator!B8=TRUE,Backdoors!BI13=TRUE),VLOOKUP(Calculator!E23,tbSkills!DH3:DJ6,3,FALSE),0),0)))/100)),1),1)</f>
        <v>0.6</v>
      </c>
      <c r="BZ109" s="87">
        <f t="shared" si="61"/>
        <v>0</v>
      </c>
      <c r="CA109" s="86" t="str">
        <f>IFERROR(IF(VLOOKUP(A109,tbMoveset!A2:B112,2,FALSE)="Sever",Backdoors!AY14/100,IF(VLOOKUP(A109,tbMoveset!A2:B112,2,FALSE)="Blunt",Backdoors!AZ14/100,Backdoors!BA14/100)),"")</f>
        <v/>
      </c>
      <c r="CB109" s="49">
        <f>IFERROR(IF(VLOOKUP(tbMoveset!A109,tbMoveset!A2:H112,8,FALSE)="Other",IF(VLOOKUP(tbMoveset!A109,tbMoveset!A2:I112,9,FALSE)="Fire",Backdoors!BB14,IF(VLOOKUP(tbMoveset!A109,tbMoveset!A2:I112,9,FALSE)="Water",Backdoors!BC14,IF(VLOOKUP(tbMoveset!A109,tbMoveset!A2:I112,9,FALSE)="Thunder",Backdoors!BD14,IF(VLOOKUP(tbMoveset!A109,tbMoveset!A2:I112,9,FALSE)="Ice",Backdoors!BE14,IF(VLOOKUP(tbMoveset!A109,tbMoveset!A2:I112,9,FALSE)="Dragon",Backdoors!BF14,Backdoors!BG14)))))/100,Backdoors!BG14/100),"")</f>
        <v>0</v>
      </c>
      <c r="CC109" s="49">
        <f>IFERROR(IF(VLOOKUP(A109,tbMoveset!A2:J112,10,FALSE)=TRUE,IF((Backdoors!AI12+IF(CA109&gt;=0.45,VLOOKUP(Calculator!E23,tbSkills!DH3:DI6,2,FALSE)+IF(AND(Calculator!B8=TRUE,Backdoors!BI14=TRUE),VLOOKUP(Calculator!E23,tbSkills!DH3:DJ6,3,FALSE),0),0))&gt;=0,1+(Backdoors!AL2*(IF((Backdoors!AI12+IF(CA109&gt;=0.45,VLOOKUP(Calculator!E23,tbSkills!DH3:DI6,2,FALSE)+IF(AND(Calculator!B8=TRUE,Backdoors!BI14=TRUE),VLOOKUP(Calculator!E23,tbSkills!DH3:DJ6,3,FALSE),0),0))&gt;=100,100,(Backdoors!AI12+IF(CA109&gt;=0.45,VLOOKUP(Calculator!E23,tbSkills!DH3:DI6,2,FALSE)+IF(AND(Calculator!B8=TRUE,Backdoors!BI14=TRUE),VLOOKUP(Calculator!E23,tbSkills!DH3:DJ6,3,FALSE),0),0)))/100)),(1-(0.25*((-Backdoors!AI12-IF(CA109&gt;=0.45,VLOOKUP(Calculator!E23,tbSkills!DH3:DI6,2,FALSE)+IF(AND(Calculator!B8=TRUE,Backdoors!BI14=TRUE),VLOOKUP(Calculator!E23,tbSkills!DH3:DJ6,3,FALSE),0),0))/100)))),1),"")</f>
        <v>1</v>
      </c>
      <c r="CD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A109)*CC109)*(VLOOKUP(A109,tbMoveset!A2:C112,3,FALSE)/100)*IF(VLOOKUP(A109,tbMoveset!A2:B112,2,FALSE)="Projectile",Backdoors!N10,Backdoors!N9),0),"")</f>
        <v/>
      </c>
      <c r="CE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A109&gt;=0.45,VLOOKUP(Calculator!E23,tbSkills!DH3:DI6,2,FALSE)+IF(AND(Calculator!B8=TRUE,Backdoors!BI14=TRUE),VLOOKUP(Calculator!E23,tbSkills!DH3:DJ6,3,FALSE),0),0))&gt;=100,100,(Backdoors!AI12+IF(CA109&gt;=0.45,VLOOKUP(Calculator!E23,tbSkills!DH3:DI6,2,FALSE)+IF(AND(Calculator!B8=TRUE,Backdoors!BI14=TRUE),VLOOKUP(Calculator!E23,tbSkills!DH3:DJ6,3,FALSE),0),0)))/100)),1))*IF(VLOOKUP(A109,tbMoveset!A2:K112,11,FALSE)=TRUE,Backdoors!AC5,1))*CB109,0),"")</f>
        <v>0</v>
      </c>
      <c r="CF109" s="49">
        <f>VLOOKUP(A109,tbMoveset!A2:G112,7,FALSE)*IFERROR(IF(Backdoors!AI12&gt;=0,1+(IF(Calculator!E40&gt;0,VLOOKUP(Calculator!E40,tbSkills!AI3:AJ5,2,FALSE),Backdoors!AL4)*(IF((Backdoors!AI12+IF(CA109&gt;=0.45,VLOOKUP(Calculator!E23,tbSkills!DH3:DI6,2,FALSE)+IF(AND(Calculator!B8=TRUE,Backdoors!BI14=TRUE),VLOOKUP(Calculator!E23,tbSkills!DH3:DJ6,3,FALSE),0),0))&gt;=100,100,(Backdoors!AI12+IF(CA109&gt;=0.45,VLOOKUP(Calculator!E23,tbSkills!DH3:DI6,2,FALSE)+IF(AND(Calculator!B8=TRUE,Backdoors!BI14=TRUE),VLOOKUP(Calculator!E23,tbSkills!DH3:DJ6,3,FALSE),0),0)))/100)),1),1)</f>
        <v>0.6</v>
      </c>
      <c r="CG109" s="87">
        <f t="shared" si="62"/>
        <v>0</v>
      </c>
      <c r="CH109" s="86" t="str">
        <f>IFERROR(IF(VLOOKUP(A109,tbMoveset!A2:B112,2,FALSE)="Sever",Backdoors!AY15/100,IF(VLOOKUP(A109,tbMoveset!A2:B112,2,FALSE)="Blunt",Backdoors!AZ15/100,Backdoors!BA15/100)),"")</f>
        <v/>
      </c>
      <c r="CI109" s="49">
        <f>IFERROR(IF(VLOOKUP(tbMoveset!A109,tbMoveset!A2:H112,8,FALSE)="Other",IF(VLOOKUP(tbMoveset!A109,tbMoveset!A2:I112,9,FALSE)="Fire",Backdoors!BB15,IF(VLOOKUP(tbMoveset!A109,tbMoveset!A2:I112,9,FALSE)="Water",Backdoors!BC15,IF(VLOOKUP(tbMoveset!A109,tbMoveset!A2:I112,9,FALSE)="Thunder",Backdoors!BD15,IF(VLOOKUP(tbMoveset!A109,tbMoveset!A2:I112,9,FALSE)="Ice",Backdoors!BE15,IF(VLOOKUP(tbMoveset!A109,tbMoveset!A2:I112,9,FALSE)="Dragon",Backdoors!BF15,Backdoors!BG15)))))/100,Backdoors!BG15/100),"")</f>
        <v>0</v>
      </c>
      <c r="CJ109" s="49">
        <f>IFERROR(IF(VLOOKUP(A109,tbMoveset!A2:J112,10,FALSE)=TRUE,IF((Backdoors!AI12+IF(CH109&gt;=0.45,VLOOKUP(Calculator!E23,tbSkills!DH3:DI6,2,FALSE)+IF(AND(Calculator!B8=TRUE,Backdoors!BI15=TRUE),VLOOKUP(Calculator!E23,tbSkills!DH3:DJ6,3,FALSE),0),0))&gt;=0,1+(Backdoors!AL2*(IF((Backdoors!AI12+IF(CH109&gt;=0.45,VLOOKUP(Calculator!E23,tbSkills!DH3:DI6,2,FALSE)+IF(AND(Calculator!B8=TRUE,Backdoors!BI15=TRUE),VLOOKUP(Calculator!E23,tbSkills!DH3:DJ6,3,FALSE),0),0))&gt;=100,100,(Backdoors!AI12+IF(CH109&gt;=0.45,VLOOKUP(Calculator!E23,tbSkills!DH3:DI6,2,FALSE)+IF(AND(Calculator!B8=TRUE,Backdoors!BI15=TRUE),VLOOKUP(Calculator!E23,tbSkills!DH3:DJ6,3,FALSE),0),0)))/100)),(1-(0.25*((-Backdoors!AI12-IF(CH109&gt;=0.45,VLOOKUP(Calculator!E23,tbSkills!DH3:DI6,2,FALSE)+IF(AND(Calculator!B8=TRUE,Backdoors!BI15=TRUE),VLOOKUP(Calculator!E23,tbSkills!DH3:DJ6,3,FALSE),0),0))/100)))),1),"")</f>
        <v>1</v>
      </c>
      <c r="CK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H109)*CJ109)*(VLOOKUP(A109,tbMoveset!A2:C112,3,FALSE)/100)*IF(VLOOKUP(A109,tbMoveset!A2:B112,2,FALSE)="Projectile",Backdoors!N10,Backdoors!N9),0),"")</f>
        <v/>
      </c>
      <c r="CL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H109&gt;=0.45,VLOOKUP(Calculator!E23,tbSkills!DH3:DI6,2,FALSE)+IF(AND(Calculator!B8=TRUE,Backdoors!BI15=TRUE),VLOOKUP(Calculator!E23,tbSkills!DH3:DJ6,3,FALSE),0),0))&gt;=100,100,(Backdoors!AI12+IF(CH109&gt;=0.45,VLOOKUP(Calculator!E23,tbSkills!DH3:DI6,2,FALSE)+IF(AND(Calculator!B8=TRUE,Backdoors!BI15=TRUE),VLOOKUP(Calculator!E23,tbSkills!DH3:DJ6,3,FALSE),0),0)))/100)),1))*IF(VLOOKUP(A109,tbMoveset!A2:K112,11,FALSE)=TRUE,Backdoors!AC5,1))*CI109,0),"")</f>
        <v>0</v>
      </c>
      <c r="CM109" s="49">
        <f>VLOOKUP(A109,tbMoveset!A2:G112,7,FALSE)*IFERROR(IF(Backdoors!AI12&gt;=0,1+(IF(Calculator!E40&gt;0,VLOOKUP(Calculator!E40,tbSkills!AI3:AJ5,2,FALSE),Backdoors!AL4)*(IF((Backdoors!AI12+IF(CH109&gt;=0.45,VLOOKUP(Calculator!E23,tbSkills!DH3:DI6,2,FALSE)+IF(AND(Calculator!B8=TRUE,Backdoors!BI15=TRUE),VLOOKUP(Calculator!E23,tbSkills!DH3:DJ6,3,FALSE),0),0))&gt;=100,100,(Backdoors!AI12+IF(CH109&gt;=0.45,VLOOKUP(Calculator!E23,tbSkills!DH3:DI6,2,FALSE)+IF(AND(Calculator!B8=TRUE,Backdoors!BI15=TRUE),VLOOKUP(Calculator!E23,tbSkills!DH3:DJ6,3,FALSE),0),0)))/100)),1),1)</f>
        <v>0.6</v>
      </c>
      <c r="CN109" s="87">
        <f t="shared" si="63"/>
        <v>0</v>
      </c>
      <c r="CO109" s="86" t="str">
        <f>IFERROR(IF(VLOOKUP(A109,tbMoveset!A2:B112,2,FALSE)="Sever",Backdoors!AY16/100,IF(VLOOKUP(A109,tbMoveset!A2:B112,2,FALSE)="Blunt",Backdoors!AZ16/100,Backdoors!BA16/100)),"")</f>
        <v/>
      </c>
      <c r="CP109" s="49">
        <f>IFERROR(IF(VLOOKUP(tbMoveset!A109,tbMoveset!A2:H112,8,FALSE)="Other",IF(VLOOKUP(tbMoveset!A109,tbMoveset!A2:I112,9,FALSE)="Fire",Backdoors!BB16,IF(VLOOKUP(tbMoveset!A109,tbMoveset!A2:I112,9,FALSE)="Water",Backdoors!BC16,IF(VLOOKUP(tbMoveset!A109,tbMoveset!A2:I112,9,FALSE)="Thunder",Backdoors!BD16,IF(VLOOKUP(tbMoveset!A109,tbMoveset!A2:I112,9,FALSE)="Ice",Backdoors!BE16,IF(VLOOKUP(tbMoveset!A109,tbMoveset!A2:I112,9,FALSE)="Dragon",Backdoors!BF16,Backdoors!BG16)))))/100,Backdoors!BG16/100),"")</f>
        <v>0</v>
      </c>
      <c r="CQ109" s="49">
        <f>IFERROR(IF(VLOOKUP(A109,tbMoveset!A2:J112,10,FALSE)=TRUE,IF((Backdoors!AI12+IF(CO109&gt;=0.45,VLOOKUP(Calculator!E23,tbSkills!DH3:DI6,2,FALSE)+IF(AND(Calculator!B8=TRUE,Backdoors!BI16=TRUE),VLOOKUP(Calculator!E23,tbSkills!DH3:DJ6,3,FALSE),0),0))&gt;=0,1+(Backdoors!AL2*(IF((Backdoors!AI12+IF(CO109&gt;=0.45,VLOOKUP(Calculator!E23,tbSkills!DH3:DI6,2,FALSE)+IF(AND(Calculator!B8=TRUE,Backdoors!BI16=TRUE),VLOOKUP(Calculator!E23,tbSkills!DH3:DJ6,3,FALSE),0),0))&gt;=100,100,(Backdoors!AI12+IF(CO109&gt;=0.45,VLOOKUP(Calculator!E23,tbSkills!DH3:DI6,2,FALSE)+IF(AND(Calculator!B8=TRUE,Backdoors!BI16=TRUE),VLOOKUP(Calculator!E23,tbSkills!DH3:DJ6,3,FALSE),0),0)))/100)),(1-(0.25*((-Backdoors!AI12-IF(CO109&gt;=0.45,VLOOKUP(Calculator!E23,tbSkills!DH3:DI6,2,FALSE)+IF(AND(Calculator!B8=TRUE,Backdoors!BI16=TRUE),VLOOKUP(Calculator!E23,tbSkills!DH3:DJ6,3,FALSE),0),0))/100)))),1),"")</f>
        <v>1</v>
      </c>
      <c r="CR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O109)*CQ109)*(VLOOKUP(A109,tbMoveset!A2:C112,3,FALSE)/100)*IF(VLOOKUP(A109,tbMoveset!A2:B112,2,FALSE)="Projectile",Backdoors!N10,Backdoors!N9),0),"")</f>
        <v/>
      </c>
      <c r="CS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O109&gt;=0.45,VLOOKUP(Calculator!E23,tbSkills!DH3:DI6,2,FALSE)+IF(AND(Calculator!B8=TRUE,Backdoors!BI16=TRUE),VLOOKUP(Calculator!E23,tbSkills!DH3:DJ6,3,FALSE),0),0))&gt;=100,100,(Backdoors!AI12+IF(CO109&gt;=0.45,VLOOKUP(Calculator!E23,tbSkills!DH3:DI6,2,FALSE)+IF(AND(Calculator!B8=TRUE,Backdoors!BI16=TRUE),VLOOKUP(Calculator!E23,tbSkills!DH3:DJ6,3,FALSE),0),0)))/100)),1))*IF(VLOOKUP(A109,tbMoveset!A2:K112,11,FALSE)=TRUE,Backdoors!AC5,1))*CP109,0),"")</f>
        <v>0</v>
      </c>
      <c r="CT109" s="49">
        <f>VLOOKUP(A109,tbMoveset!A2:G112,7,FALSE)*IFERROR(IF(Backdoors!AI12&gt;=0,1+(IF(Calculator!E40&gt;0,VLOOKUP(Calculator!E40,tbSkills!AI3:AJ5,2,FALSE),Backdoors!AL4)*(IF((Backdoors!AI12+IF(CO109&gt;=0.45,VLOOKUP(Calculator!E23,tbSkills!DH3:DI6,2,FALSE)+IF(AND(Calculator!B8=TRUE,Backdoors!BI16=TRUE),VLOOKUP(Calculator!E23,tbSkills!DH3:DJ6,3,FALSE),0),0))&gt;=100,100,(Backdoors!AI12+IF(CO109&gt;=0.45,VLOOKUP(Calculator!E23,tbSkills!DH3:DI6,2,FALSE)+IF(AND(Calculator!B8=TRUE,Backdoors!BI16=TRUE),VLOOKUP(Calculator!E23,tbSkills!DH3:DJ6,3,FALSE),0),0)))/100)),1),1)</f>
        <v>0.6</v>
      </c>
      <c r="CU109" s="87">
        <f t="shared" si="64"/>
        <v>0</v>
      </c>
      <c r="CV109" s="86" t="str">
        <f>IFERROR(IF(VLOOKUP(A109,tbMoveset!A2:B112,2,FALSE)="Sever",Backdoors!AY17/100,IF(VLOOKUP(A109,tbMoveset!A2:B112,2,FALSE)="Blunt",Backdoors!AZ17/100,Backdoors!BA17/100)),"")</f>
        <v/>
      </c>
      <c r="CW109" s="49">
        <f>IFERROR(IF(VLOOKUP(tbMoveset!A109,tbMoveset!A2:H112,8,FALSE)="Other",IF(VLOOKUP(tbMoveset!A109,tbMoveset!A2:I112,9,FALSE)="Fire",Backdoors!BB17,IF(VLOOKUP(tbMoveset!A109,tbMoveset!A2:I112,9,FALSE)="Water",Backdoors!BC17,IF(VLOOKUP(tbMoveset!A109,tbMoveset!A2:I112,9,FALSE)="Thunder",Backdoors!BD17,IF(VLOOKUP(tbMoveset!A109,tbMoveset!A2:I112,9,FALSE)="Ice",Backdoors!BE17,IF(VLOOKUP(tbMoveset!A109,tbMoveset!A2:I112,9,FALSE)="Dragon",Backdoors!BF17,Backdoors!BG17)))))/100,Backdoors!BG17/100),"")</f>
        <v>0</v>
      </c>
      <c r="CX109" s="49">
        <f>IFERROR(IF(VLOOKUP(A109,tbMoveset!A2:J112,10,FALSE)=TRUE,IF((Backdoors!AI12+IF(CV109&gt;=0.45,VLOOKUP(Calculator!E23,tbSkills!DH3:DI6,2,FALSE)+IF(AND(Calculator!B8=TRUE,Backdoors!BI17=TRUE),VLOOKUP(Calculator!E23,tbSkills!DH3:DJ6,3,FALSE),0),0))&gt;=0,1+(Backdoors!AL2*(IF((Backdoors!AI12+IF(CV109&gt;=0.45,VLOOKUP(Calculator!E23,tbSkills!DH3:DI6,2,FALSE)+IF(AND(Calculator!B8=TRUE,Backdoors!BI17=TRUE),VLOOKUP(Calculator!E23,tbSkills!DH3:DJ6,3,FALSE),0),0))&gt;=100,100,(Backdoors!AI12+IF(CV109&gt;=0.45,VLOOKUP(Calculator!E23,tbSkills!DH3:DI6,2,FALSE)+IF(AND(Calculator!B8=TRUE,Backdoors!BI17=TRUE),VLOOKUP(Calculator!E23,tbSkills!DH3:DJ6,3,FALSE),0),0)))/100)),(1-(0.25*((-Backdoors!AI12-IF(CV109&gt;=0.45,VLOOKUP(Calculator!E23,tbSkills!DH3:DI6,2,FALSE)+IF(AND(Calculator!B8=TRUE,Backdoors!BI17=TRUE),VLOOKUP(Calculator!E23,tbSkills!DH3:DJ6,3,FALSE),0),0))/100)))),1),"")</f>
        <v>1</v>
      </c>
      <c r="CY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V109)*CX109)*(VLOOKUP(A109,tbMoveset!A2:C112,3,FALSE)/100)*IF(VLOOKUP(A109,tbMoveset!A2:B112,2,FALSE)="Projectile",Backdoors!N10,Backdoors!N9),0),"")</f>
        <v/>
      </c>
      <c r="CZ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V109&gt;=0.45,VLOOKUP(Calculator!E23,tbSkills!DH3:DI6,2,FALSE)+IF(AND(Calculator!B8=TRUE,Backdoors!BI17=TRUE),VLOOKUP(Calculator!E23,tbSkills!DH3:DJ6,3,FALSE),0),0))&gt;=100,100,(Backdoors!AI12+IF(CV109&gt;=0.45,VLOOKUP(Calculator!E23,tbSkills!DH3:DI6,2,FALSE)+IF(AND(Calculator!B8=TRUE,Backdoors!BI17=TRUE),VLOOKUP(Calculator!E23,tbSkills!DH3:DJ6,3,FALSE),0),0)))/100)),1))*IF(VLOOKUP(A109,tbMoveset!A2:K112,11,FALSE)=TRUE,Backdoors!AC5,1))*CW109,0),"")</f>
        <v>0</v>
      </c>
      <c r="DA109" s="49">
        <f>VLOOKUP(A109,tbMoveset!A2:G112,7,FALSE)*IFERROR(IF(Backdoors!AI12&gt;=0,1+(IF(Calculator!E40&gt;0,VLOOKUP(Calculator!E40,tbSkills!AI3:AJ5,2,FALSE),Backdoors!AL4)*(IF((Backdoors!AI12+IF(CV109&gt;=0.45,VLOOKUP(Calculator!E23,tbSkills!DH3:DI6,2,FALSE)+IF(AND(Calculator!B8=TRUE,Backdoors!BI17=TRUE),VLOOKUP(Calculator!E23,tbSkills!DH3:DJ6,3,FALSE),0),0))&gt;=100,100,(Backdoors!AI12+IF(CV109&gt;=0.45,VLOOKUP(Calculator!E23,tbSkills!DH3:DI6,2,FALSE)+IF(AND(Calculator!B8=TRUE,Backdoors!BI17=TRUE),VLOOKUP(Calculator!E23,tbSkills!DH3:DJ6,3,FALSE),0),0)))/100)),1),1)</f>
        <v>0.6</v>
      </c>
      <c r="DB109" s="87">
        <f t="shared" si="65"/>
        <v>0</v>
      </c>
      <c r="DC109" s="86" t="str">
        <f>IFERROR(IF(VLOOKUP(A109,tbMoveset!A2:B112,2,FALSE)="Sever",Backdoors!AY18/100,IF(VLOOKUP(A109,tbMoveset!A2:B112,2,FALSE)="Blunt",Backdoors!AZ18/100,Backdoors!BA18/100)),"")</f>
        <v/>
      </c>
      <c r="DD109" s="49">
        <f>IFERROR(IF(VLOOKUP(tbMoveset!A109,tbMoveset!A2:H112,8,FALSE)="Other",IF(VLOOKUP(tbMoveset!A109,tbMoveset!A2:I112,9,FALSE)="Fire",Backdoors!BB18,IF(VLOOKUP(tbMoveset!A109,tbMoveset!A2:I112,9,FALSE)="Water",Backdoors!BC18,IF(VLOOKUP(tbMoveset!A109,tbMoveset!A2:I112,9,FALSE)="Thunder",Backdoors!BD18,IF(VLOOKUP(tbMoveset!A109,tbMoveset!A2:I112,9,FALSE)="Ice",Backdoors!BE18,IF(VLOOKUP(tbMoveset!A109,tbMoveset!A2:I112,9,FALSE)="Dragon",Backdoors!BF18,Backdoors!BG18)))))/100,Backdoors!BG18/100),"")</f>
        <v>0</v>
      </c>
      <c r="DE109" s="49">
        <f>IFERROR(IF(VLOOKUP(A109,tbMoveset!A2:J112,10,FALSE)=TRUE,IF((Backdoors!AI12+IF(DC109&gt;=0.45,VLOOKUP(Calculator!E23,tbSkills!DH3:DI6,2,FALSE)+IF(AND(Calculator!B8=TRUE,Backdoors!BI18=TRUE),VLOOKUP(Calculator!E23,tbSkills!DH3:DJ6,3,FALSE),0),0))&gt;=0,1+(Backdoors!AL2*(IF((Backdoors!AI12+IF(DC109&gt;=0.45,VLOOKUP(Calculator!E23,tbSkills!DH3:DI6,2,FALSE)+IF(AND(Calculator!B8=TRUE,Backdoors!BI18=TRUE),VLOOKUP(Calculator!E23,tbSkills!DH3:DJ6,3,FALSE),0),0))&gt;=100,100,(Backdoors!AI12+IF(DC109&gt;=0.45,VLOOKUP(Calculator!E23,tbSkills!DH3:DI6,2,FALSE)+IF(AND(Calculator!B8=TRUE,Backdoors!BI18=TRUE),VLOOKUP(Calculator!E23,tbSkills!DH3:DJ6,3,FALSE),0),0)))/100)),(1-(0.25*((-Backdoors!AI12-IF(DC109&gt;=0.45,VLOOKUP(Calculator!E23,tbSkills!DH3:DI6,2,FALSE)+IF(AND(Calculator!B8=TRUE,Backdoors!BI18=TRUE),VLOOKUP(Calculator!E23,tbSkills!DH3:DJ6,3,FALSE),0),0))/100)))),1),"")</f>
        <v>1</v>
      </c>
      <c r="DF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C109)*DE109)*(VLOOKUP(A109,tbMoveset!A2:C112,3,FALSE)/100)*IF(VLOOKUP(A109,tbMoveset!A2:B112,2,FALSE)="Projectile",Backdoors!N10,Backdoors!N9),0),"")</f>
        <v/>
      </c>
      <c r="DG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C109&gt;=0.45,VLOOKUP(Calculator!E23,tbSkills!DH3:DI6,2,FALSE)+IF(AND(Calculator!B8=TRUE,Backdoors!BI18=TRUE),VLOOKUP(Calculator!E23,tbSkills!DH3:DJ6,3,FALSE),0),0))&gt;=100,100,(Backdoors!AI12+IF(DC109&gt;=0.45,VLOOKUP(Calculator!E23,tbSkills!DH3:DI6,2,FALSE)+IF(AND(Calculator!B8=TRUE,Backdoors!BI18=TRUE),VLOOKUP(Calculator!E23,tbSkills!DH3:DJ6,3,FALSE),0),0)))/100)),1))*IF(VLOOKUP(A109,tbMoveset!A2:K112,11,FALSE)=TRUE,Backdoors!AC5,1))*DD109,0),"")</f>
        <v>0</v>
      </c>
      <c r="DH109" s="49">
        <f>VLOOKUP(A109,tbMoveset!A2:G112,7,FALSE)*IFERROR(IF(Backdoors!AI12&gt;=0,1+(IF(Calculator!E40&gt;0,VLOOKUP(Calculator!E40,tbSkills!AI3:AJ5,2,FALSE),Backdoors!AL4)*(IF((Backdoors!AI12+IF(DC109&gt;=0.45,VLOOKUP(Calculator!E23,tbSkills!DH3:DI6,2,FALSE)+IF(AND(Calculator!B8=TRUE,Backdoors!BI18=TRUE),VLOOKUP(Calculator!E23,tbSkills!DH3:DJ6,3,FALSE),0),0))&gt;=100,100,(Backdoors!AI12+IF(DC109&gt;=0.45,VLOOKUP(Calculator!E23,tbSkills!DH3:DI6,2,FALSE)+IF(AND(Calculator!B8=TRUE,Backdoors!BI18=TRUE),VLOOKUP(Calculator!E23,tbSkills!DH3:DJ6,3,FALSE),0),0)))/100)),1),1)</f>
        <v>0.6</v>
      </c>
      <c r="DI109" s="87">
        <f t="shared" si="66"/>
        <v>0</v>
      </c>
      <c r="DJ109" s="86" t="str">
        <f>IFERROR(IF(VLOOKUP(A109,tbMoveset!A2:B112,2,FALSE)="Sever",Backdoors!AY19/100,IF(VLOOKUP(A109,tbMoveset!A2:B112,2,FALSE)="Blunt",Backdoors!AZ19/100,Backdoors!BA19/100)),"")</f>
        <v/>
      </c>
      <c r="DK109" s="49">
        <f>IFERROR(IF(VLOOKUP(tbMoveset!A109,tbMoveset!A2:H112,8,FALSE)="Other",IF(VLOOKUP(tbMoveset!A109,tbMoveset!A2:I112,9,FALSE)="Fire",Backdoors!BB19,IF(VLOOKUP(tbMoveset!A109,tbMoveset!A2:I112,9,FALSE)="Water",Backdoors!BC19,IF(VLOOKUP(tbMoveset!A109,tbMoveset!A2:I112,9,FALSE)="Thunder",Backdoors!BD19,IF(VLOOKUP(tbMoveset!A109,tbMoveset!A2:I112,9,FALSE)="Ice",Backdoors!BE19,IF(VLOOKUP(tbMoveset!A109,tbMoveset!A2:I112,9,FALSE)="Dragon",Backdoors!BF19,Backdoors!BG19)))))/100,Backdoors!BG19/100),"")</f>
        <v>0</v>
      </c>
      <c r="DL109" s="49">
        <f>IFERROR(IF(VLOOKUP(A109,tbMoveset!A2:J112,10,FALSE)=TRUE,IF((Backdoors!AI12+IF(DJ109&gt;=0.45,VLOOKUP(Calculator!E23,tbSkills!DH3:DI6,2,FALSE)+IF(AND(Calculator!B8=TRUE,Backdoors!BI19=TRUE),VLOOKUP(Calculator!E23,tbSkills!DH3:DJ6,3,FALSE),0),0))&gt;=0,1+(Backdoors!AL2*(IF((Backdoors!AI12+IF(DJ109&gt;=0.45,VLOOKUP(Calculator!E23,tbSkills!DH3:DI6,2,FALSE)+IF(AND(Calculator!B8=TRUE,Backdoors!BI19=TRUE),VLOOKUP(Calculator!E23,tbSkills!DH3:DJ6,3,FALSE),0),0))&gt;=100,100,(Backdoors!AI12+IF(DJ109&gt;=0.45,VLOOKUP(Calculator!E23,tbSkills!DH3:DI6,2,FALSE)+IF(AND(Calculator!B8=TRUE,Backdoors!BI19=TRUE),VLOOKUP(Calculator!E23,tbSkills!DH3:DJ6,3,FALSE),0),0)))/100)),(1-(0.25*((-Backdoors!AI12-IF(DJ109&gt;=0.45,VLOOKUP(Calculator!E23,tbSkills!DH3:DI6,2,FALSE)+IF(AND(Calculator!B8=TRUE,Backdoors!BI19=TRUE),VLOOKUP(Calculator!E23,tbSkills!DH3:DJ6,3,FALSE),0),0))/100)))),1),"")</f>
        <v>1</v>
      </c>
      <c r="DM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J109)*DL109)*(VLOOKUP(A109,tbMoveset!A2:C112,3,FALSE)/100)*IF(VLOOKUP(A109,tbMoveset!A2:B112,2,FALSE)="Projectile",Backdoors!N10,Backdoors!N9),0),"")</f>
        <v/>
      </c>
      <c r="DN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J109&gt;=0.45,VLOOKUP(Calculator!E23,tbSkills!DH3:DI6,2,FALSE)+IF(AND(Calculator!B8=TRUE,Backdoors!BI19=TRUE),VLOOKUP(Calculator!E23,tbSkills!DH3:DJ6,3,FALSE),0),0))&gt;=100,100,(Backdoors!AI12+IF(DJ109&gt;=0.45,VLOOKUP(Calculator!E23,tbSkills!DH3:DI6,2,FALSE)+IF(AND(Calculator!B8=TRUE,Backdoors!BI19=TRUE),VLOOKUP(Calculator!E23,tbSkills!DH3:DJ6,3,FALSE),0),0)))/100)),1))*IF(VLOOKUP(A109,tbMoveset!A2:K112,11,FALSE)=TRUE,Backdoors!AC5,1))*DK109,0),"")</f>
        <v>0</v>
      </c>
      <c r="DO109" s="49">
        <f>VLOOKUP(A109,tbMoveset!A2:G112,7,FALSE)*IFERROR(IF(Backdoors!AI12&gt;=0,1+(IF(Calculator!E40&gt;0,VLOOKUP(Calculator!E40,tbSkills!AI3:AJ5,2,FALSE),Backdoors!AL4)*(IF((Backdoors!AI12+IF(DJ109&gt;=0.45,VLOOKUP(Calculator!E23,tbSkills!DH3:DI6,2,FALSE)+IF(AND(Calculator!B8=TRUE,Backdoors!BI19=TRUE),VLOOKUP(Calculator!E23,tbSkills!DH3:DJ6,3,FALSE),0),0))&gt;=100,100,(Backdoors!AI12+IF(DJ109&gt;=0.45,VLOOKUP(Calculator!E23,tbSkills!DH3:DI6,2,FALSE)+IF(AND(Calculator!B8=TRUE,Backdoors!BI19=TRUE),VLOOKUP(Calculator!E23,tbSkills!DH3:DJ6,3,FALSE),0),0)))/100)),1),1)</f>
        <v>0.6</v>
      </c>
      <c r="DP109" s="87">
        <f t="shared" si="67"/>
        <v>0</v>
      </c>
      <c r="DQ109" s="86" t="str">
        <f>IFERROR(IF(VLOOKUP(A109,tbMoveset!A2:B112,2,FALSE)="Sever",Backdoors!AY20/100,IF(VLOOKUP(A109,tbMoveset!A2:B112,2,FALSE)="Blunt",Backdoors!AZ20/100,Backdoors!BA20/100)),"")</f>
        <v/>
      </c>
      <c r="DR109" s="49">
        <f>IFERROR(IF(VLOOKUP(tbMoveset!A109,tbMoveset!A2:H112,8,FALSE)="Other",IF(VLOOKUP(tbMoveset!A109,tbMoveset!A2:I112,9,FALSE)="Fire",Backdoors!BB20,IF(VLOOKUP(tbMoveset!A109,tbMoveset!A2:I112,9,FALSE)="Water",Backdoors!BC20,IF(VLOOKUP(tbMoveset!A109,tbMoveset!A2:I112,9,FALSE)="Thunder",Backdoors!BD20,IF(VLOOKUP(tbMoveset!A109,tbMoveset!A2:I112,9,FALSE)="Ice",Backdoors!BE20,IF(VLOOKUP(tbMoveset!A109,tbMoveset!A2:I112,9,FALSE)="Dragon",Backdoors!BF20,Backdoors!BG20)))))/100,Backdoors!BG20/100),"")</f>
        <v>0</v>
      </c>
      <c r="DS109" s="49">
        <f>IFERROR(IF(VLOOKUP(A109,tbMoveset!A2:J112,10,FALSE)=TRUE,IF((Backdoors!AI12+IF(DQ109&gt;=0.45,VLOOKUP(Calculator!E23,tbSkills!DH3:DI6,2,FALSE)+IF(AND(Calculator!B8=TRUE,Backdoors!BI20=TRUE),VLOOKUP(Calculator!E23,tbSkills!DH3:DJ6,3,FALSE),0),0))&gt;=0,1+(Backdoors!AL2*(IF((Backdoors!AI12+IF(DQ109&gt;=0.45,VLOOKUP(Calculator!E23,tbSkills!DH3:DI6,2,FALSE)+IF(AND(Calculator!B8=TRUE,Backdoors!BI20=TRUE),VLOOKUP(Calculator!E23,tbSkills!DH3:DJ6,3,FALSE),0),0))&gt;=100,100,(Backdoors!AI12+IF(DQ109&gt;=0.45,VLOOKUP(Calculator!E23,tbSkills!DH3:DI6,2,FALSE)+IF(AND(Calculator!B8=TRUE,Backdoors!BI20=TRUE),VLOOKUP(Calculator!E23,tbSkills!DH3:DJ6,3,FALSE),0),0)))/100)),(1-(0.25*((-Backdoors!AI12-IF(DQ109&gt;=0.45,VLOOKUP(Calculator!E23,tbSkills!DH3:DI6,2,FALSE)+IF(AND(Calculator!B8=TRUE,Backdoors!BI20=TRUE),VLOOKUP(Calculator!E23,tbSkills!DH3:DJ6,3,FALSE),0),0))/100)))),1),"")</f>
        <v>1</v>
      </c>
      <c r="DT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Q109)*DS109)*(VLOOKUP(A109,tbMoveset!A2:C112,3,FALSE)/100)*IF(VLOOKUP(A109,tbMoveset!A2:B112,2,FALSE)="Projectile",Backdoors!N10,Backdoors!N9),0),"")</f>
        <v/>
      </c>
      <c r="DU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Q109&gt;=0.45,VLOOKUP(Calculator!E23,tbSkills!DH3:DI6,2,FALSE)+IF(AND(Calculator!B8=TRUE,Backdoors!BI20=TRUE),VLOOKUP(Calculator!E23,tbSkills!DH3:DJ6,3,FALSE),0),0))&gt;=100,100,(Backdoors!AI12+IF(DQ109&gt;=0.45,VLOOKUP(Calculator!E23,tbSkills!DH3:DI6,2,FALSE)+IF(AND(Calculator!B8=TRUE,Backdoors!BI20=TRUE),VLOOKUP(Calculator!E23,tbSkills!DH3:DJ6,3,FALSE),0),0)))/100)),1))*IF(VLOOKUP(A109,tbMoveset!A2:K112,11,FALSE)=TRUE,Backdoors!AC5,1))*DR109,0),"")</f>
        <v>0</v>
      </c>
      <c r="DV109" s="49">
        <f>VLOOKUP(A109,tbMoveset!A2:G112,7,FALSE)*IFERROR(IF(Backdoors!AI12&gt;=0,1+(IF(Calculator!E40&gt;0,VLOOKUP(Calculator!E40,tbSkills!AI3:AJ5,2,FALSE),Backdoors!AL4)*(IF((Backdoors!AI12+IF(DQ109&gt;=0.45,VLOOKUP(Calculator!E23,tbSkills!DH3:DI6,2,FALSE)+IF(AND(Calculator!B8=TRUE,Backdoors!BI20=TRUE),VLOOKUP(Calculator!E23,tbSkills!DH3:DJ6,3,FALSE),0),0))&gt;=100,100,(Backdoors!AI12+IF(DQ109&gt;=0.45,VLOOKUP(Calculator!E23,tbSkills!DH3:DI6,2,FALSE)+IF(AND(Calculator!B8=TRUE,Backdoors!BI20=TRUE),VLOOKUP(Calculator!E23,tbSkills!DH3:DJ6,3,FALSE),0),0)))/100)),1),1)</f>
        <v>0.6</v>
      </c>
      <c r="DW109" s="87">
        <f t="shared" si="68"/>
        <v>0</v>
      </c>
      <c r="DX109" s="86" t="str">
        <f>IFERROR(IF(VLOOKUP(A109,tbMoveset!A2:B112,2,FALSE)="Sever",Backdoors!AY21/100,IF(VLOOKUP(A109,tbMoveset!A2:B112,2,FALSE)="Blunt",Backdoors!AZ21/100,Backdoors!BA21/100)),"")</f>
        <v/>
      </c>
      <c r="DY109" s="49">
        <f>IFERROR(IF(VLOOKUP(tbMoveset!A109,tbMoveset!A2:H112,8,FALSE)="Other",IF(VLOOKUP(tbMoveset!A109,tbMoveset!A2:I112,9,FALSE)="Fire",Backdoors!BB21,IF(VLOOKUP(tbMoveset!A109,tbMoveset!A2:I112,9,FALSE)="Water",Backdoors!BC21,IF(VLOOKUP(tbMoveset!A109,tbMoveset!A2:I112,9,FALSE)="Thunder",Backdoors!BD21,IF(VLOOKUP(tbMoveset!A109,tbMoveset!A2:I112,9,FALSE)="Ice",Backdoors!BE21,IF(VLOOKUP(tbMoveset!A109,tbMoveset!A2:I112,9,FALSE)="Dragon",Backdoors!BF21,Backdoors!BG21)))))/100,Backdoors!BG21/100),"")</f>
        <v>0</v>
      </c>
      <c r="DZ109" s="49">
        <f>IFERROR(IF(VLOOKUP(A109,tbMoveset!A2:J112,10,FALSE)=TRUE,IF((Backdoors!AI12+IF(DX109&gt;=0.45,VLOOKUP(Calculator!E23,tbSkills!DH3:DI6,2,FALSE)+IF(AND(Calculator!B8=TRUE,Backdoors!BI21=TRUE),VLOOKUP(Calculator!E23,tbSkills!DH3:DJ6,3,FALSE),0),0))&gt;=0,1+(Backdoors!AL2*(IF((Backdoors!AI12+IF(DX109&gt;=0.45,VLOOKUP(Calculator!E23,tbSkills!DH3:DI6,2,FALSE)+IF(AND(Calculator!B8=TRUE,Backdoors!BI21=TRUE),VLOOKUP(Calculator!E23,tbSkills!DH3:DJ6,3,FALSE),0),0))&gt;=100,100,(Backdoors!AI12+IF(DX109&gt;=0.45,VLOOKUP(Calculator!E23,tbSkills!DH3:DI6,2,FALSE)+IF(AND(Calculator!B8=TRUE,Backdoors!BI21=TRUE),VLOOKUP(Calculator!E23,tbSkills!DH3:DJ6,3,FALSE),0),0)))/100)),(1-(0.25*((-Backdoors!AI12-IF(DX109&gt;=0.45,VLOOKUP(Calculator!E23,tbSkills!DH3:DI6,2,FALSE)+IF(AND(Calculator!B8=TRUE,Backdoors!BI21=TRUE),VLOOKUP(Calculator!E23,tbSkills!DH3:DJ6,3,FALSE),0),0))/100)))),1),"")</f>
        <v>1</v>
      </c>
      <c r="EA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X109)*DZ109)*(VLOOKUP(A109,tbMoveset!A2:C112,3,FALSE)/100)*IF(VLOOKUP(A109,tbMoveset!A2:B112,2,FALSE)="Projectile",Backdoors!N10,Backdoors!N9),0),"")</f>
        <v/>
      </c>
      <c r="EB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X109&gt;=0.45,VLOOKUP(Calculator!E23,tbSkills!DH3:DI6,2,FALSE)+IF(AND(Calculator!B8=TRUE,Backdoors!BI21=TRUE),VLOOKUP(Calculator!E23,tbSkills!DH3:DJ6,3,FALSE),0),0))&gt;=100,100,(Backdoors!AI12+IF(DX109&gt;=0.45,VLOOKUP(Calculator!E23,tbSkills!DH3:DI6,2,FALSE)+IF(AND(Calculator!B8=TRUE,Backdoors!BI21=TRUE),VLOOKUP(Calculator!E23,tbSkills!DH3:DJ6,3,FALSE),0),0)))/100)),1))*IF(VLOOKUP(A109,tbMoveset!A2:K112,11,FALSE)=TRUE,Backdoors!AC5,1))*DY109,0),"")</f>
        <v>0</v>
      </c>
      <c r="EC109" s="49">
        <f>VLOOKUP(A109,tbMoveset!A2:G112,7,FALSE)*IFERROR(IF(Backdoors!AI12&gt;=0,1+(IF(Calculator!E40&gt;0,VLOOKUP(Calculator!E40,tbSkills!AI3:AJ5,2,FALSE),Backdoors!AL4)*(IF((Backdoors!AI12+IF(DX109&gt;=0.45,VLOOKUP(Calculator!E23,tbSkills!DH3:DI6,2,FALSE)+IF(AND(Calculator!B8=TRUE,Backdoors!BI21=TRUE),VLOOKUP(Calculator!E23,tbSkills!DH3:DJ6,3,FALSE),0),0))&gt;=100,100,(Backdoors!AI12+IF(DX109&gt;=0.45,VLOOKUP(Calculator!E23,tbSkills!DH3:DI6,2,FALSE)+IF(AND(Calculator!B8=TRUE,Backdoors!BI21=TRUE),VLOOKUP(Calculator!E23,tbSkills!DH3:DJ6,3,FALSE),0),0)))/100)),1),1)</f>
        <v>0.6</v>
      </c>
      <c r="ED109" s="87">
        <f t="shared" si="69"/>
        <v>0</v>
      </c>
      <c r="EE109" s="86" t="str">
        <f>IFERROR(IF(VLOOKUP(A109,tbMoveset!A2:B112,2,FALSE)="Sever",Backdoors!AY22/100,IF(VLOOKUP(A109,tbMoveset!A2:B112,2,FALSE)="Blunt",Backdoors!AZ22/100,Backdoors!BA22/100)),"")</f>
        <v/>
      </c>
      <c r="EF109" s="49">
        <f>IFERROR(IF(VLOOKUP(tbMoveset!A109,tbMoveset!A2:H112,8,FALSE)="Other",IF(VLOOKUP(tbMoveset!A109,tbMoveset!A2:I112,9,FALSE)="Fire",Backdoors!BB22,IF(VLOOKUP(tbMoveset!A109,tbMoveset!A2:I112,9,FALSE)="Water",Backdoors!BC22,IF(VLOOKUP(tbMoveset!A109,tbMoveset!A2:I112,9,FALSE)="Thunder",Backdoors!BD22,IF(VLOOKUP(tbMoveset!A109,tbMoveset!A2:I112,9,FALSE)="Ice",Backdoors!BE22,IF(VLOOKUP(tbMoveset!A109,tbMoveset!A2:I112,9,FALSE)="Dragon",Backdoors!BF22,Backdoors!BG22)))))/100,Backdoors!BG22/100),"")</f>
        <v>0</v>
      </c>
      <c r="EG109" s="49">
        <f>IFERROR(IF(VLOOKUP(A109,tbMoveset!A2:J112,10,FALSE)=TRUE,IF((Backdoors!AI12+IF(EE109&gt;=0.45,VLOOKUP(Calculator!E23,tbSkills!DH3:DI6,2,FALSE)+IF(AND(Calculator!B8=TRUE,Backdoors!BI22=TRUE),VLOOKUP(Calculator!E23,tbSkills!DH3:DJ6,3,FALSE),0),0))&gt;=0,1+(Backdoors!AL2*(IF((Backdoors!AI12+IF(EE109&gt;=0.45,VLOOKUP(Calculator!E23,tbSkills!DH3:DI6,2,FALSE)+IF(AND(Calculator!B8=TRUE,Backdoors!BI22=TRUE),VLOOKUP(Calculator!E23,tbSkills!DH3:DJ6,3,FALSE),0),0))&gt;=100,100,(Backdoors!AI12+IF(EE109&gt;=0.45,VLOOKUP(Calculator!E23,tbSkills!DH3:DI6,2,FALSE)+IF(AND(Calculator!B8=TRUE,Backdoors!BI22=TRUE),VLOOKUP(Calculator!E23,tbSkills!DH3:DJ6,3,FALSE),0),0)))/100)),(1-(0.25*((-Backdoors!AI12-IF(EE109&gt;=0.45,VLOOKUP(Calculator!E23,tbSkills!DH3:DI6,2,FALSE)+IF(AND(Calculator!B8=TRUE,Backdoors!BI22=TRUE),VLOOKUP(Calculator!E23,tbSkills!DH3:DJ6,3,FALSE),0),0))/100)))),1),"")</f>
        <v>1</v>
      </c>
      <c r="EH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E109)*EG109)*(VLOOKUP(A109,tbMoveset!A2:C112,3,FALSE)/100)*IF(VLOOKUP(A109,tbMoveset!A2:B112,2,FALSE)="Projectile",Backdoors!N10,Backdoors!N9),0),"")</f>
        <v/>
      </c>
      <c r="EI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E109&gt;=0.45,VLOOKUP(Calculator!E23,tbSkills!DH3:DI6,2,FALSE)+IF(AND(Calculator!B8=TRUE,Backdoors!BI22=TRUE),VLOOKUP(Calculator!E23,tbSkills!DH3:DJ6,3,FALSE),0),0))&gt;=100,100,(Backdoors!AI12+IF(EE109&gt;=0.45,VLOOKUP(Calculator!E23,tbSkills!DH3:DI6,2,FALSE)+IF(AND(Calculator!B8=TRUE,Backdoors!BI22=TRUE),VLOOKUP(Calculator!E23,tbSkills!DH3:DJ6,3,FALSE),0),0)))/100)),1))*IF(VLOOKUP(A109,tbMoveset!A2:K112,11,FALSE)=TRUE,Backdoors!AC5,1))*EF109,0),"")</f>
        <v>0</v>
      </c>
      <c r="EJ109" s="49">
        <f>VLOOKUP(A109,tbMoveset!A2:G112,7,FALSE)*IFERROR(IF(Backdoors!AI12&gt;=0,1+(IF(Calculator!E40&gt;0,VLOOKUP(Calculator!E40,tbSkills!AI3:AJ5,2,FALSE),Backdoors!AL4)*(IF((Backdoors!AI12+IF(EE109&gt;=0.45,VLOOKUP(Calculator!E23,tbSkills!DH3:DI6,2,FALSE)+IF(AND(Calculator!B8=TRUE,Backdoors!BI22=TRUE),VLOOKUP(Calculator!E23,tbSkills!DH3:DJ6,3,FALSE),0),0))&gt;=100,100,(Backdoors!AI12+IF(EE109&gt;=0.45,VLOOKUP(Calculator!E23,tbSkills!DH3:DI6,2,FALSE)+IF(AND(Calculator!B8=TRUE,Backdoors!BI22=TRUE),VLOOKUP(Calculator!E23,tbSkills!DH3:DJ6,3,FALSE),0),0)))/100)),1),1)</f>
        <v>0.6</v>
      </c>
      <c r="EK109" s="87">
        <f t="shared" si="70"/>
        <v>0</v>
      </c>
      <c r="EL109" s="86" t="str">
        <f>IFERROR(IF(VLOOKUP(A109,tbMoveset!A2:B112,2,FALSE)="Sever",Backdoors!AY23/100,IF(VLOOKUP(A109,tbMoveset!A2:B112,2,FALSE)="Blunt",Backdoors!AZ23/100,Backdoors!BA23/100)),"")</f>
        <v/>
      </c>
      <c r="EM109" s="49">
        <f>IFERROR(IF(VLOOKUP(tbMoveset!A109,tbMoveset!A2:H112,8,FALSE)="Other",IF(VLOOKUP(tbMoveset!A109,tbMoveset!A2:I112,9,FALSE)="Fire",Backdoors!BB23,IF(VLOOKUP(tbMoveset!A109,tbMoveset!A2:I112,9,FALSE)="Water",Backdoors!BC23,IF(VLOOKUP(tbMoveset!A109,tbMoveset!A2:I112,9,FALSE)="Thunder",Backdoors!BD23,IF(VLOOKUP(tbMoveset!A109,tbMoveset!A2:I112,9,FALSE)="Ice",Backdoors!BE23,IF(VLOOKUP(tbMoveset!A109,tbMoveset!A2:I112,9,FALSE)="Dragon",Backdoors!BF23,Backdoors!BG23)))))/100,Backdoors!BG23/100),"")</f>
        <v>0</v>
      </c>
      <c r="EN109" s="49">
        <f>IFERROR(IF(VLOOKUP(A109,tbMoveset!A2:J112,10,FALSE)=TRUE,IF((Backdoors!AI12+IF(EL109&gt;=0.45,VLOOKUP(Calculator!E23,tbSkills!DH3:DI6,2,FALSE)+IF(AND(Calculator!B8=TRUE,Backdoors!BI23=TRUE),VLOOKUP(Calculator!E23,tbSkills!DH3:DJ6,3,FALSE),0),0))&gt;=0,1+(Backdoors!AL2*(IF((Backdoors!AI12+IF(EL109&gt;=0.45,VLOOKUP(Calculator!E23,tbSkills!DH3:DI6,2,FALSE)+IF(AND(Calculator!B8=TRUE,Backdoors!BI23=TRUE),VLOOKUP(Calculator!E23,tbSkills!DH3:DJ6,3,FALSE),0),0))&gt;=100,100,(Backdoors!AI12+IF(EL109&gt;=0.45,VLOOKUP(Calculator!E23,tbSkills!DH3:DI6,2,FALSE)+IF(AND(Calculator!B8=TRUE,Backdoors!BI23=TRUE),VLOOKUP(Calculator!E23,tbSkills!DH3:DJ6,3,FALSE),0),0)))/100)),(1-(0.25*((-Backdoors!AI12-IF(EL109&gt;=0.45,VLOOKUP(Calculator!E23,tbSkills!DH3:DI6,2,FALSE)+IF(AND(Calculator!B8=TRUE,Backdoors!BI23=TRUE),VLOOKUP(Calculator!E23,tbSkills!DH3:DJ6,3,FALSE),0),0))/100)))),1),"")</f>
        <v>1</v>
      </c>
      <c r="EO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L109)*EN109)*(VLOOKUP(A109,tbMoveset!A2:C112,3,FALSE)/100)*IF(VLOOKUP(A109,tbMoveset!A2:B112,2,FALSE)="Projectile",Backdoors!N10,Backdoors!N9),0),"")</f>
        <v/>
      </c>
      <c r="EP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L109&gt;=0.45,VLOOKUP(Calculator!E23,tbSkills!DH3:DI6,2,FALSE)+IF(AND(Calculator!B8=TRUE,Backdoors!BI23=TRUE),VLOOKUP(Calculator!E23,tbSkills!DH3:DJ6,3,FALSE),0),0))&gt;=100,100,(Backdoors!AI12+IF(EL109&gt;=0.45,VLOOKUP(Calculator!E23,tbSkills!DH3:DI6,2,FALSE)+IF(AND(Calculator!B8=TRUE,Backdoors!BI23=TRUE),VLOOKUP(Calculator!E23,tbSkills!DH3:DJ6,3,FALSE),0),0)))/100)),1))*IF(VLOOKUP(A109,tbMoveset!A2:K112,11,FALSE)=TRUE,Backdoors!AC5,1))*EM109,0),"")</f>
        <v>0</v>
      </c>
      <c r="EQ109" s="49">
        <f>VLOOKUP(A109,tbMoveset!A2:G112,7,FALSE)*IFERROR(IF(Backdoors!AI12&gt;=0,1+(IF(Calculator!E40&gt;0,VLOOKUP(Calculator!E40,tbSkills!AI3:AJ5,2,FALSE),Backdoors!AL4)*(IF((Backdoors!AI12+IF(EL109&gt;=0.45,VLOOKUP(Calculator!E23,tbSkills!DH3:DI6,2,FALSE)+IF(AND(Calculator!B8=TRUE,Backdoors!BI23=TRUE),VLOOKUP(Calculator!E23,tbSkills!DH3:DJ6,3,FALSE),0),0))&gt;=100,100,(Backdoors!AI12+IF(EL109&gt;=0.45,VLOOKUP(Calculator!E23,tbSkills!DH3:DI6,2,FALSE)+IF(AND(Calculator!B8=TRUE,Backdoors!BI23=TRUE),VLOOKUP(Calculator!E23,tbSkills!DH3:DJ6,3,FALSE),0),0)))/100)),1),1)</f>
        <v>0.6</v>
      </c>
      <c r="ER109" s="87">
        <f t="shared" si="71"/>
        <v>0</v>
      </c>
      <c r="ES109" s="86" t="str">
        <f>IFERROR(IF(VLOOKUP(A109,tbMoveset!A2:B112,2,FALSE)="Sever",Backdoors!AY24/100,IF(VLOOKUP(A109,tbMoveset!A2:B112,2,FALSE)="Blunt",Backdoors!AZ24/100,Backdoors!BA24/100)),"")</f>
        <v/>
      </c>
      <c r="ET109" s="49">
        <f>IFERROR(IF(VLOOKUP(tbMoveset!A109,tbMoveset!A2:H112,8,FALSE)="Other",IF(VLOOKUP(tbMoveset!A109,tbMoveset!A2:I112,9,FALSE)="Fire",Backdoors!BB24,IF(VLOOKUP(tbMoveset!A109,tbMoveset!A2:I112,9,FALSE)="Water",Backdoors!BC24,IF(VLOOKUP(tbMoveset!A109,tbMoveset!A2:I112,9,FALSE)="Thunder",Backdoors!BD24,IF(VLOOKUP(tbMoveset!A109,tbMoveset!A2:I112,9,FALSE)="Ice",Backdoors!BE24,IF(VLOOKUP(tbMoveset!A109,tbMoveset!A2:I112,9,FALSE)="Dragon",Backdoors!BF24,Backdoors!BG24)))))/100,Backdoors!BG24/100),"")</f>
        <v>0</v>
      </c>
      <c r="EU109" s="49">
        <f>IFERROR(IF(VLOOKUP(A109,tbMoveset!A2:J112,10,FALSE)=TRUE,IF((Backdoors!AI12+IF(ES109&gt;=0.45,VLOOKUP(Calculator!E23,tbSkills!DH3:DI6,2,FALSE)+IF(AND(Calculator!B8=TRUE,Backdoors!BI24=TRUE),VLOOKUP(Calculator!E23,tbSkills!DH3:DJ6,3,FALSE),0),0))&gt;=0,1+(Backdoors!AL2*(IF((Backdoors!AI12+IF(ES109&gt;=0.45,VLOOKUP(Calculator!E23,tbSkills!DH3:DI6,2,FALSE)+IF(AND(Calculator!B8=TRUE,Backdoors!BI24=TRUE),VLOOKUP(Calculator!E23,tbSkills!DH3:DJ6,3,FALSE),0),0))&gt;=100,100,(Backdoors!AI12+IF(ES109&gt;=0.45,VLOOKUP(Calculator!E23,tbSkills!DH3:DI6,2,FALSE)+IF(AND(Calculator!B8=TRUE,Backdoors!BI24=TRUE),VLOOKUP(Calculator!E23,tbSkills!DH3:DJ6,3,FALSE),0),0)))/100)),(1-(0.25*((-Backdoors!AI12-IF(ES109&gt;=0.45,VLOOKUP(Calculator!E23,tbSkills!DH3:DI6,2,FALSE)+IF(AND(Calculator!B8=TRUE,Backdoors!BI24=TRUE),VLOOKUP(Calculator!E23,tbSkills!DH3:DJ6,3,FALSE),0),0))/100)))),1),"")</f>
        <v>1</v>
      </c>
      <c r="EV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S109)*EU109)*(VLOOKUP(A109,tbMoveset!A2:C112,3,FALSE)/100)*IF(VLOOKUP(A109,tbMoveset!A2:B112,2,FALSE)="Projectile",Backdoors!N10,Backdoors!N9),0),"")</f>
        <v/>
      </c>
      <c r="EW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S109&gt;=0.45,VLOOKUP(Calculator!E23,tbSkills!DH3:DI6,2,FALSE)+IF(AND(Calculator!B8=TRUE,Backdoors!BI24=TRUE),VLOOKUP(Calculator!E23,tbSkills!DH3:DJ6,3,FALSE),0),0))&gt;=100,100,(Backdoors!AI12+IF(ES109&gt;=0.45,VLOOKUP(Calculator!E23,tbSkills!DH3:DI6,2,FALSE)+IF(AND(Calculator!B8=TRUE,Backdoors!BI24=TRUE),VLOOKUP(Calculator!E23,tbSkills!DH3:DJ6,3,FALSE),0),0)))/100)),1))*IF(VLOOKUP(A109,tbMoveset!A2:K112,11,FALSE)=TRUE,Backdoors!AC5,1))*ET109,0),"")</f>
        <v>0</v>
      </c>
      <c r="EX109" s="49">
        <f>VLOOKUP(A109,tbMoveset!A2:G112,7,FALSE)*IFERROR(IF(Backdoors!AI12&gt;=0,1+(IF(Calculator!E40&gt;0,VLOOKUP(Calculator!E40,tbSkills!AI3:AJ5,2,FALSE),Backdoors!AL4)*(IF((Backdoors!AI12+IF(ES109&gt;=0.45,VLOOKUP(Calculator!E23,tbSkills!DH3:DI6,2,FALSE)+IF(AND(Calculator!B8=TRUE,Backdoors!BI24=TRUE),VLOOKUP(Calculator!E23,tbSkills!DH3:DJ6,3,FALSE),0),0))&gt;=100,100,(Backdoors!AI12+IF(ES109&gt;=0.45,VLOOKUP(Calculator!E23,tbSkills!DH3:DI6,2,FALSE)+IF(AND(Calculator!B8=TRUE,Backdoors!BI24=TRUE),VLOOKUP(Calculator!E23,tbSkills!DH3:DJ6,3,FALSE),0),0)))/100)),1),1)</f>
        <v>0.6</v>
      </c>
      <c r="EY109" s="87">
        <f t="shared" si="72"/>
        <v>0</v>
      </c>
      <c r="EZ109" s="86" t="str">
        <f>IFERROR(IF(VLOOKUP(A109,tbMoveset!A2:B112,2,FALSE)="Sever",Backdoors!AY25/100,IF(VLOOKUP(A109,tbMoveset!A2:B112,2,FALSE)="Blunt",Backdoors!AZ25/100,Backdoors!BA25/100)),"")</f>
        <v/>
      </c>
      <c r="FA109" s="49">
        <f>IFERROR(IF(VLOOKUP(tbMoveset!A109,tbMoveset!A2:H112,8,FALSE)="Other",IF(VLOOKUP(tbMoveset!A109,tbMoveset!A2:I112,9,FALSE)="Fire",Backdoors!BB25,IF(VLOOKUP(tbMoveset!A109,tbMoveset!A2:I112,9,FALSE)="Water",Backdoors!BC25,IF(VLOOKUP(tbMoveset!A109,tbMoveset!A2:I112,9,FALSE)="Thunder",Backdoors!BD25,IF(VLOOKUP(tbMoveset!A109,tbMoveset!A2:I112,9,FALSE)="Ice",Backdoors!BE25,IF(VLOOKUP(tbMoveset!A109,tbMoveset!A2:I112,9,FALSE)="Dragon",Backdoors!BF25,Backdoors!BG25)))))/100,Backdoors!BG25/100),"")</f>
        <v>0</v>
      </c>
      <c r="FB109" s="49">
        <f>IFERROR(IF(VLOOKUP(A109,tbMoveset!A2:J112,10,FALSE)=TRUE,IF((Backdoors!AI12+IF(EZ109&gt;=0.45,VLOOKUP(Calculator!E23,tbSkills!DH3:DI6,2,FALSE)+IF(AND(Calculator!B8=TRUE,Backdoors!BI25=TRUE),VLOOKUP(Calculator!E23,tbSkills!DH3:DJ6,3,FALSE),0),0))&gt;=0,1+(Backdoors!AL2*(IF((Backdoors!AI12+IF(EZ109&gt;=0.45,VLOOKUP(Calculator!E23,tbSkills!DH3:DI6,2,FALSE)+IF(AND(Calculator!B8=TRUE,Backdoors!BI25=TRUE),VLOOKUP(Calculator!E23,tbSkills!DH3:DJ6,3,FALSE),0),0))&gt;=100,100,(Backdoors!AI12+IF(EZ109&gt;=0.45,VLOOKUP(Calculator!E23,tbSkills!DH3:DI6,2,FALSE)+IF(AND(Calculator!B8=TRUE,Backdoors!BI25=TRUE),VLOOKUP(Calculator!E23,tbSkills!DH3:DJ6,3,FALSE),0),0)))/100)),(1-(0.25*((-Backdoors!AI12-IF(EZ109&gt;=0.45,VLOOKUP(Calculator!E23,tbSkills!DH3:DI6,2,FALSE)+IF(AND(Calculator!B8=TRUE,Backdoors!BI25=TRUE),VLOOKUP(Calculator!E23,tbSkills!DH3:DJ6,3,FALSE),0),0))/100)))),1),"")</f>
        <v>1</v>
      </c>
      <c r="FC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Z109)*FB109)*(VLOOKUP(A109,tbMoveset!A2:C112,3,FALSE)/100)*IF(VLOOKUP(A109,tbMoveset!A2:B112,2,FALSE)="Projectile",Backdoors!N10,Backdoors!N9),0),"")</f>
        <v/>
      </c>
      <c r="FD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Z109&gt;=0.45,VLOOKUP(Calculator!E23,tbSkills!DH3:DI6,2,FALSE)+IF(AND(Calculator!B8=TRUE,Backdoors!BI25=TRUE),VLOOKUP(Calculator!E23,tbSkills!DH3:DJ6,3,FALSE),0),0))&gt;=100,100,(Backdoors!AI12+IF(EZ109&gt;=0.45,VLOOKUP(Calculator!E23,tbSkills!DH3:DI6,2,FALSE)+IF(AND(Calculator!B8=TRUE,Backdoors!BI25=TRUE),VLOOKUP(Calculator!E23,tbSkills!DH3:DJ6,3,FALSE),0),0)))/100)),1))*IF(VLOOKUP(A109,tbMoveset!A2:K112,11,FALSE)=TRUE,Backdoors!AC5,1))*FA109,0),"")</f>
        <v>0</v>
      </c>
      <c r="FE109" s="49">
        <f>VLOOKUP(A109,tbMoveset!A2:G112,7,FALSE)*IFERROR(IF(Backdoors!AI12&gt;=0,1+(IF(Calculator!E40&gt;0,VLOOKUP(Calculator!E40,tbSkills!AI3:AJ5,2,FALSE),Backdoors!AL4)*(IF((Backdoors!AI12+IF(EZ109&gt;=0.45,VLOOKUP(Calculator!E23,tbSkills!DH3:DI6,2,FALSE)+IF(AND(Calculator!B8=TRUE,Backdoors!BI25=TRUE),VLOOKUP(Calculator!E23,tbSkills!DH3:DJ6,3,FALSE),0),0))&gt;=100,100,(Backdoors!AI12+IF(EZ109&gt;=0.45,VLOOKUP(Calculator!E23,tbSkills!DH3:DI6,2,FALSE)+IF(AND(Calculator!B8=TRUE,Backdoors!BI25=TRUE),VLOOKUP(Calculator!E23,tbSkills!DH3:DJ6,3,FALSE),0),0)))/100)),1),1)</f>
        <v>0.6</v>
      </c>
      <c r="FF109" s="87">
        <f t="shared" si="73"/>
        <v>0</v>
      </c>
      <c r="FG109" s="86" t="str">
        <f>IFERROR(IF(VLOOKUP(A109,tbMoveset!A2:B112,2,FALSE)="Sever",Backdoors!AY26/100,IF(VLOOKUP(A109,tbMoveset!A2:B112,2,FALSE)="Blunt",Backdoors!AZ26/100,Backdoors!BA26/100)),"")</f>
        <v/>
      </c>
      <c r="FH109" s="49">
        <f>IFERROR(IF(VLOOKUP(tbMoveset!A109,tbMoveset!A2:H112,8,FALSE)="Other",IF(VLOOKUP(tbMoveset!A109,tbMoveset!A2:I112,9,FALSE)="Fire",Backdoors!BB26,IF(VLOOKUP(tbMoveset!A109,tbMoveset!A2:I112,9,FALSE)="Water",Backdoors!BC26,IF(VLOOKUP(tbMoveset!A109,tbMoveset!A2:I112,9,FALSE)="Thunder",Backdoors!BD26,IF(VLOOKUP(tbMoveset!A109,tbMoveset!A2:I112,9,FALSE)="Ice",Backdoors!BE26,IF(VLOOKUP(tbMoveset!A109,tbMoveset!A2:I112,9,FALSE)="Dragon",Backdoors!BF26,Backdoors!BG26)))))/100,Backdoors!BG26/100),"")</f>
        <v>0</v>
      </c>
      <c r="FI109" s="49">
        <f>IFERROR(IF(VLOOKUP(A109,tbMoveset!A2:J112,10,FALSE)=TRUE,IF((Backdoors!AI12+IF(FG109&gt;=0.45,VLOOKUP(Calculator!E23,tbSkills!DH3:DI6,2,FALSE)+IF(AND(Calculator!B8=TRUE,Backdoors!BI26=TRUE),VLOOKUP(Calculator!E23,tbSkills!DH3:DJ6,3,FALSE),0),0))&gt;=0,1+(Backdoors!AL2*(IF((Backdoors!AI12+IF(FG109&gt;=0.45,VLOOKUP(Calculator!E23,tbSkills!DH3:DI6,2,FALSE)+IF(AND(Calculator!B8=TRUE,Backdoors!BI26=TRUE),VLOOKUP(Calculator!E23,tbSkills!DH3:DJ6,3,FALSE),0),0))&gt;=100,100,(Backdoors!AI12+IF(FG109&gt;=0.45,VLOOKUP(Calculator!E23,tbSkills!DH3:DI6,2,FALSE)+IF(AND(Calculator!B8=TRUE,Backdoors!BI26=TRUE),VLOOKUP(Calculator!E23,tbSkills!DH3:DJ6,3,FALSE),0),0)))/100)),(1-(0.25*((-Backdoors!AI12-IF(FG109&gt;=0.45,VLOOKUP(Calculator!E23,tbSkills!DH3:DI6,2,FALSE)+IF(AND(Calculator!B8=TRUE,Backdoors!BI26=TRUE),VLOOKUP(Calculator!E23,tbSkills!DH3:DJ6,3,FALSE),0),0))/100)))),1),"")</f>
        <v>1</v>
      </c>
      <c r="FJ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FG109)*FI109)*(VLOOKUP(A109,tbMoveset!A2:C112,3,FALSE)/100)*IF(VLOOKUP(A109,tbMoveset!A2:B112,2,FALSE)="Projectile",Backdoors!N10,Backdoors!N9),0),"")</f>
        <v/>
      </c>
      <c r="FK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FG109&gt;=0.45,VLOOKUP(Calculator!E23,tbSkills!DH3:DI6,2,FALSE)+IF(AND(Calculator!B8=TRUE,Backdoors!BI26=TRUE),VLOOKUP(Calculator!E23,tbSkills!DH3:DJ6,3,FALSE),0),0))&gt;=100,100,(Backdoors!AI12+IF(FG109&gt;=0.45,VLOOKUP(Calculator!E23,tbSkills!DH3:DI6,2,FALSE)+IF(AND(Calculator!B8=TRUE,Backdoors!BI26=TRUE),VLOOKUP(Calculator!E23,tbSkills!DH3:DJ6,3,FALSE),0),0)))/100)),1))*IF(VLOOKUP(A109,tbMoveset!A2:K112,11,FALSE)=TRUE,Backdoors!AC5,1))*FH109,0),"")</f>
        <v>0</v>
      </c>
      <c r="FL109" s="49">
        <f>VLOOKUP(A109,tbMoveset!A2:G112,7,FALSE)*IFERROR(IF(Backdoors!AI12&gt;=0,1+(IF(Calculator!E40&gt;0,VLOOKUP(Calculator!E40,tbSkills!AI3:AJ5,2,FALSE),Backdoors!AL4)*(IF((Backdoors!AI12+IF(FG109&gt;=0.45,VLOOKUP(Calculator!E23,tbSkills!DH3:DI6,2,FALSE)+IF(AND(Calculator!B8=TRUE,Backdoors!BI26=TRUE),VLOOKUP(Calculator!E23,tbSkills!DH3:DJ6,3,FALSE),0),0))&gt;=100,100,(Backdoors!AI12+IF(FG109&gt;=0.45,VLOOKUP(Calculator!E23,tbSkills!DH3:DI6,2,FALSE)+IF(AND(Calculator!B8=TRUE,Backdoors!BI26=TRUE),VLOOKUP(Calculator!E23,tbSkills!DH3:DJ6,3,FALSE),0),0)))/100)),1),1)</f>
        <v>0.6</v>
      </c>
      <c r="FM109" s="87">
        <f t="shared" si="74"/>
        <v>0</v>
      </c>
      <c r="FN109" s="86" t="str">
        <f>IFERROR(IF(VLOOKUP(A109,tbMoveset!A2:B112,2,FALSE)="Sever",Backdoors!AY27/100,IF(VLOOKUP(A109,tbMoveset!A2:B112,2,FALSE)="Blunt",Backdoors!AZ27/100,Backdoors!BA27/100)),"")</f>
        <v/>
      </c>
      <c r="FO109" s="49">
        <f>IFERROR(IF(VLOOKUP(tbMoveset!A109,tbMoveset!A2:H112,8,FALSE)="Other",IF(VLOOKUP(tbMoveset!A109,tbMoveset!A2:I112,9,FALSE)="Fire",Backdoors!BB27,IF(VLOOKUP(tbMoveset!A109,tbMoveset!A2:I112,9,FALSE)="Water",Backdoors!BC27,IF(VLOOKUP(tbMoveset!A109,tbMoveset!A2:I112,9,FALSE)="Thunder",Backdoors!BD27,IF(VLOOKUP(tbMoveset!A109,tbMoveset!A2:I112,9,FALSE)="Ice",Backdoors!BE27,IF(VLOOKUP(tbMoveset!A109,tbMoveset!A2:I112,9,FALSE)="Dragon",Backdoors!BF27,Backdoors!BG27)))))/100,Backdoors!BG27/100),"")</f>
        <v>0</v>
      </c>
      <c r="FP109" s="49">
        <f>IFERROR(IF(VLOOKUP(A109,tbMoveset!A2:J112,10,FALSE)=TRUE,IF((Backdoors!AI12+IF(FN109&gt;=0.45,VLOOKUP(Calculator!E23,tbSkills!DH3:DI6,2,FALSE)+IF(AND(Calculator!B8=TRUE,Backdoors!BI27=TRUE),VLOOKUP(Calculator!E23,tbSkills!DH3:DJ6,3,FALSE),0),0))&gt;=0,1+(Backdoors!AL2*(IF((Backdoors!AI12+IF(FN109&gt;=0.45,VLOOKUP(Calculator!E23,tbSkills!DH3:DI6,2,FALSE)+IF(AND(Calculator!B8=TRUE,Backdoors!BI27=TRUE),VLOOKUP(Calculator!E23,tbSkills!DH3:DJ6,3,FALSE),0),0))&gt;=100,100,(Backdoors!AI12+IF(FN109&gt;=0.45,VLOOKUP(Calculator!E23,tbSkills!DH3:DI6,2,FALSE)+IF(AND(Calculator!B8=TRUE,Backdoors!BI27=TRUE),VLOOKUP(Calculator!E23,tbSkills!DH3:DJ6,3,FALSE),0),0)))/100)),(1-(0.25*((-Backdoors!AI12-IF(FN109&gt;=0.45,VLOOKUP(Calculator!E23,tbSkills!DH3:DI6,2,FALSE)+IF(AND(Calculator!B8=TRUE,Backdoors!BI27=TRUE),VLOOKUP(Calculator!E23,tbSkills!DH3:DJ6,3,FALSE),0),0))/100)))),1),"")</f>
        <v>1</v>
      </c>
      <c r="FQ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FN109)*FP109)*(VLOOKUP(A109,tbMoveset!A2:C112,3,FALSE)/100)*IF(VLOOKUP(A109,tbMoveset!A2:B112,2,FALSE)="Projectile",Backdoors!N10,Backdoors!N9),0),"")</f>
        <v/>
      </c>
      <c r="FR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FN109&gt;=0.45,VLOOKUP(Calculator!E23,tbSkills!DH3:DI6,2,FALSE)+IF(AND(Calculator!B8=TRUE,Backdoors!BI27=TRUE),VLOOKUP(Calculator!E23,tbSkills!DH3:DJ6,3,FALSE),0),0))&gt;=100,100,(Backdoors!AI12+IF(FN109&gt;=0.45,VLOOKUP(Calculator!E23,tbSkills!DH3:DI6,2,FALSE)+IF(AND(Calculator!B8=TRUE,Backdoors!BI27=TRUE),VLOOKUP(Calculator!E23,tbSkills!DH3:DJ6,3,FALSE),0),0)))/100)),1))*IF(VLOOKUP(A109,tbMoveset!A2:K112,11,FALSE)=TRUE,Backdoors!AC5,1))*FO109,0),"")</f>
        <v>0</v>
      </c>
      <c r="FS109" s="49">
        <f>VLOOKUP(A109,tbMoveset!A2:G112,7,FALSE)*IFERROR(IF(Backdoors!AI12&gt;=0,1+(IF(Calculator!E40&gt;0,VLOOKUP(Calculator!E40,tbSkills!AI3:AJ5,2,FALSE),Backdoors!AL4)*(IF((Backdoors!AI12+IF(FN109&gt;=0.45,VLOOKUP(Calculator!E23,tbSkills!DH3:DI6,2,FALSE)+IF(AND(Calculator!B8=TRUE,Backdoors!BI27=TRUE),VLOOKUP(Calculator!E23,tbSkills!DH3:DJ6,3,FALSE),0),0))&gt;=100,100,(Backdoors!AI12+IF(FN109&gt;=0.45,VLOOKUP(Calculator!E23,tbSkills!DH3:DI6,2,FALSE)+IF(AND(Calculator!B8=TRUE,Backdoors!BI27=TRUE),VLOOKUP(Calculator!E23,tbSkills!DH3:DJ6,3,FALSE),0),0)))/100)),1),1)</f>
        <v>0.6</v>
      </c>
      <c r="FT109" s="87">
        <f t="shared" si="75"/>
        <v>0</v>
      </c>
      <c r="FU109" s="86" t="str">
        <f>IFERROR(IF(VLOOKUP(A109,tbMoveset!A2:B112,2,FALSE)="Sever",Backdoors!AY28/100,IF(VLOOKUP(A109,tbMoveset!A2:B112,2,FALSE)="Blunt",Backdoors!AZ28/100,Backdoors!BA28/100)),"")</f>
        <v/>
      </c>
      <c r="FV109" s="49">
        <f>IFERROR(IF(VLOOKUP(tbMoveset!A109,tbMoveset!A2:H112,8,FALSE)="Other",IF(VLOOKUP(tbMoveset!A109,tbMoveset!A2:I112,9,FALSE)="Fire",Backdoors!BB28,IF(VLOOKUP(tbMoveset!A109,tbMoveset!A2:I112,9,FALSE)="Water",Backdoors!BC28,IF(VLOOKUP(tbMoveset!A109,tbMoveset!A2:I112,9,FALSE)="Thunder",Backdoors!BD28,IF(VLOOKUP(tbMoveset!A109,tbMoveset!A2:I112,9,FALSE)="Ice",Backdoors!BE28,IF(VLOOKUP(tbMoveset!A109,tbMoveset!A2:I112,9,FALSE)="Dragon",Backdoors!BF28,Backdoors!BG28)))))/100,Backdoors!BG28/100),"")</f>
        <v>0</v>
      </c>
      <c r="FW109" s="49">
        <f>IFERROR(IF(VLOOKUP(A109,tbMoveset!A2:J112,10,FALSE)=TRUE,IF((Backdoors!AI12+IF(FU109&gt;=0.45,VLOOKUP(Calculator!E23,tbSkills!DH3:DI6,2,FALSE)+IF(AND(Calculator!B8=TRUE,Backdoors!BI28=TRUE),VLOOKUP(Calculator!E23,tbSkills!DH3:DJ6,3,FALSE),0),0))&gt;=0,1+(Backdoors!AL2*(IF((Backdoors!AI12+IF(FU109&gt;=0.45,VLOOKUP(Calculator!E23,tbSkills!DH3:DI6,2,FALSE)+IF(AND(Calculator!B8=TRUE,Backdoors!BI28=TRUE),VLOOKUP(Calculator!E23,tbSkills!DH3:DJ6,3,FALSE),0),0))&gt;=100,100,(Backdoors!AI12+IF(FU109&gt;=0.45,VLOOKUP(Calculator!E23,tbSkills!DH3:DI6,2,FALSE)+IF(AND(Calculator!B8=TRUE,Backdoors!BI28=TRUE),VLOOKUP(Calculator!E23,tbSkills!DH3:DJ6,3,FALSE),0),0)))/100)),(1-(0.25*((-Backdoors!AI12-IF(FU109&gt;=0.45,VLOOKUP(Calculator!E23,tbSkills!DH3:DI6,2,FALSE)+IF(AND(Calculator!B8=TRUE,Backdoors!BI28=TRUE),VLOOKUP(Calculator!E23,tbSkills!DH3:DJ6,3,FALSE),0),0))/100)))),1),"")</f>
        <v>1</v>
      </c>
      <c r="FX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FU109)*FW109)*(VLOOKUP(A109,tbMoveset!A2:C112,3,FALSE)/100)*IF(VLOOKUP(A109,tbMoveset!A2:B112,2,FALSE)="Projectile",Backdoors!N10,Backdoors!N9),0),"")</f>
        <v/>
      </c>
      <c r="FY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FU109&gt;=0.45,VLOOKUP(Calculator!E23,tbSkills!DH3:DI6,2,FALSE)+IF(AND(Calculator!B8=TRUE,Backdoors!BI28=TRUE),VLOOKUP(Calculator!E23,tbSkills!DH3:DJ6,3,FALSE),0),0))&gt;=100,100,(Backdoors!AI12+IF(FU109&gt;=0.45,VLOOKUP(Calculator!E23,tbSkills!DH3:DI6,2,FALSE)+IF(AND(Calculator!B8=TRUE,Backdoors!BI28=TRUE),VLOOKUP(Calculator!E23,tbSkills!DH3:DJ6,3,FALSE),0),0)))/100)),1))*IF(VLOOKUP(A109,tbMoveset!A2:K112,11,FALSE)=TRUE,Backdoors!AC5,1))*FV109,0),"")</f>
        <v>0</v>
      </c>
      <c r="FZ109" s="49">
        <f>VLOOKUP(A109,tbMoveset!A2:G112,7,FALSE)*IFERROR(IF(Backdoors!AI12&gt;=0,1+(IF(Calculator!E40&gt;0,VLOOKUP(Calculator!E40,tbSkills!AI3:AJ5,2,FALSE),Backdoors!AL4)*(IF((Backdoors!AI12+IF(FU109&gt;=0.45,VLOOKUP(Calculator!E23,tbSkills!DH3:DI6,2,FALSE)+IF(AND(Calculator!B8=TRUE,Backdoors!BI28=TRUE),VLOOKUP(Calculator!E23,tbSkills!DH3:DJ6,3,FALSE),0),0))&gt;=100,100,(Backdoors!AI12+IF(FU109&gt;=0.45,VLOOKUP(Calculator!E23,tbSkills!DH3:DI6,2,FALSE)+IF(AND(Calculator!B8=TRUE,Backdoors!BI28=TRUE),VLOOKUP(Calculator!E23,tbSkills!DH3:DJ6,3,FALSE),0),0)))/100)),1),1)</f>
        <v>0.6</v>
      </c>
      <c r="GA109" s="87">
        <f t="shared" si="76"/>
        <v>0</v>
      </c>
      <c r="GB109" s="86" t="str">
        <f>IFERROR(IF(VLOOKUP(A109,tbMoveset!A2:B112,2,FALSE)="Sever",Backdoors!AY29/100,IF(VLOOKUP(A109,tbMoveset!A2:B112,2,FALSE)="Blunt",Backdoors!AZ29/100,Backdoors!BA29/100)),"")</f>
        <v/>
      </c>
      <c r="GC109" s="49">
        <f>IFERROR(IF(VLOOKUP(tbMoveset!A109,tbMoveset!A2:H112,8,FALSE)="Other",IF(VLOOKUP(tbMoveset!A109,tbMoveset!A2:I112,9,FALSE)="Fire",Backdoors!BB29,IF(VLOOKUP(tbMoveset!A109,tbMoveset!A2:I112,9,FALSE)="Water",Backdoors!BC29,IF(VLOOKUP(tbMoveset!A109,tbMoveset!A2:I112,9,FALSE)="Thunder",Backdoors!BD29,IF(VLOOKUP(tbMoveset!A109,tbMoveset!A2:I112,9,FALSE)="Ice",Backdoors!BE29,IF(VLOOKUP(tbMoveset!A109,tbMoveset!A2:I112,9,FALSE)="Dragon",Backdoors!BF29,Backdoors!BG29)))))/100,Backdoors!BG29/100),"")</f>
        <v>0</v>
      </c>
      <c r="GD109" s="49">
        <f>IFERROR(IF(VLOOKUP(A109,tbMoveset!A2:J112,10,FALSE)=TRUE,IF((Backdoors!AI12+IF(GB109&gt;=0.45,VLOOKUP(Calculator!E23,tbSkills!DH3:DI6,2,FALSE)+IF(AND(Calculator!B8=TRUE,Backdoors!BI29=TRUE),VLOOKUP(Calculator!E23,tbSkills!DH3:DJ6,3,FALSE),0),0))&gt;=0,1+(Backdoors!AL2*(IF((Backdoors!AI12+IF(GB109&gt;=0.45,VLOOKUP(Calculator!E23,tbSkills!DH3:DI6,2,FALSE)+IF(AND(Calculator!B8=TRUE,Backdoors!BI29=TRUE),VLOOKUP(Calculator!E23,tbSkills!DH3:DJ6,3,FALSE),0),0))&gt;=100,100,(Backdoors!AI12+IF(GB109&gt;=0.45,VLOOKUP(Calculator!E23,tbSkills!DH3:DI6,2,FALSE)+IF(AND(Calculator!B8=TRUE,Backdoors!BI29=TRUE),VLOOKUP(Calculator!E23,tbSkills!DH3:DJ6,3,FALSE),0),0)))/100)),(1-(0.25*((-Backdoors!AI12-IF(GB109&gt;=0.45,VLOOKUP(Calculator!E23,tbSkills!DH3:DI6,2,FALSE)+IF(AND(Calculator!B8=TRUE,Backdoors!BI29=TRUE),VLOOKUP(Calculator!E23,tbSkills!DH3:DJ6,3,FALSE),0),0))/100)))),1),"")</f>
        <v>1</v>
      </c>
      <c r="GE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B109)*GD109)*(VLOOKUP(A109,tbMoveset!A2:C112,3,FALSE)/100)*IF(VLOOKUP(A109,tbMoveset!A2:B112,2,FALSE)="Projectile",Backdoors!N10,Backdoors!N9),0),"")</f>
        <v/>
      </c>
      <c r="GF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B109&gt;=0.45,VLOOKUP(Calculator!E23,tbSkills!DH3:DI6,2,FALSE)+IF(AND(Calculator!B8=TRUE,Backdoors!BI29=TRUE),VLOOKUP(Calculator!E23,tbSkills!DH3:DJ6,3,FALSE),0),0))&gt;=100,100,(Backdoors!AI12+IF(GB109&gt;=0.45,VLOOKUP(Calculator!E23,tbSkills!DH3:DI6,2,FALSE)+IF(AND(Calculator!B8=TRUE,Backdoors!BI29=TRUE),VLOOKUP(Calculator!E23,tbSkills!DH3:DJ6,3,FALSE),0),0)))/100)),1))*IF(VLOOKUP(A109,tbMoveset!A2:K112,11,FALSE)=TRUE,Backdoors!AC5,1))*GC109,0),"")</f>
        <v>0</v>
      </c>
      <c r="GG109" s="49">
        <f>VLOOKUP(A109,tbMoveset!A2:G112,7,FALSE)*IFERROR(IF(Backdoors!AI12&gt;=0,1+(IF(Calculator!E40&gt;0,VLOOKUP(Calculator!E40,tbSkills!AI3:AJ5,2,FALSE),Backdoors!AL4)*(IF((Backdoors!AI12+IF(GB109&gt;=0.45,VLOOKUP(Calculator!E23,tbSkills!DH3:DI6,2,FALSE)+IF(AND(Calculator!B8=TRUE,Backdoors!BI29=TRUE),VLOOKUP(Calculator!E23,tbSkills!DH3:DJ6,3,FALSE),0),0))&gt;=100,100,(Backdoors!AI12+IF(GB109&gt;=0.45,VLOOKUP(Calculator!E23,tbSkills!DH3:DI6,2,FALSE)+IF(AND(Calculator!B8=TRUE,Backdoors!BI29=TRUE),VLOOKUP(Calculator!E23,tbSkills!DH3:DJ6,3,FALSE),0),0)))/100)),1),1)</f>
        <v>0.6</v>
      </c>
      <c r="GH109" s="87">
        <f t="shared" si="77"/>
        <v>0</v>
      </c>
      <c r="GI109" s="86" t="str">
        <f>IFERROR(IF(VLOOKUP(A109,tbMoveset!A2:B112,2,FALSE)="Sever",Backdoors!AY30/100,IF(VLOOKUP(A109,tbMoveset!A2:B112,2,FALSE)="Blunt",Backdoors!AZ30/100,Backdoors!BA30/100)),"")</f>
        <v/>
      </c>
      <c r="GJ109" s="49">
        <f>IFERROR(IF(VLOOKUP(tbMoveset!A109,tbMoveset!A2:H112,8,FALSE)="Other",IF(VLOOKUP(tbMoveset!A109,tbMoveset!A2:I112,9,FALSE)="Fire",Backdoors!BB30,IF(VLOOKUP(tbMoveset!A109,tbMoveset!A2:I112,9,FALSE)="Water",Backdoors!BC30,IF(VLOOKUP(tbMoveset!A109,tbMoveset!A2:I112,9,FALSE)="Thunder",Backdoors!BD30,IF(VLOOKUP(tbMoveset!A109,tbMoveset!A2:I112,9,FALSE)="Ice",Backdoors!BE30,IF(VLOOKUP(tbMoveset!A109,tbMoveset!A2:I112,9,FALSE)="Dragon",Backdoors!BF30,Backdoors!BG30)))))/100,Backdoors!BG30/100),"")</f>
        <v>0</v>
      </c>
      <c r="GK109" s="49">
        <f>IFERROR(IF(VLOOKUP(A109,tbMoveset!A2:J112,10,FALSE)=TRUE,IF((Backdoors!AI12+IF(GI109&gt;=0.45,VLOOKUP(Calculator!E23,tbSkills!DH3:DI6,2,FALSE)+IF(AND(Calculator!B8=TRUE,Backdoors!BI30=TRUE),VLOOKUP(Calculator!E23,tbSkills!DH3:DJ6,3,FALSE),0),0))&gt;=0,1+(Backdoors!AL2*(IF((Backdoors!AI12+IF(GI109&gt;=0.45,VLOOKUP(Calculator!E23,tbSkills!DH3:DI6,2,FALSE)+IF(AND(Calculator!B8=TRUE,Backdoors!BI30=TRUE),VLOOKUP(Calculator!E23,tbSkills!DH3:DJ6,3,FALSE),0),0))&gt;=100,100,(Backdoors!AI12+IF(GI109&gt;=0.45,VLOOKUP(Calculator!E23,tbSkills!DH3:DI6,2,FALSE)+IF(AND(Calculator!B8=TRUE,Backdoors!BI30=TRUE),VLOOKUP(Calculator!E23,tbSkills!DH3:DJ6,3,FALSE),0),0)))/100)),(1-(0.25*((-Backdoors!AI12-IF(GI109&gt;=0.45,VLOOKUP(Calculator!E23,tbSkills!DH3:DI6,2,FALSE)+IF(AND(Calculator!B8=TRUE,Backdoors!BI30=TRUE),VLOOKUP(Calculator!E23,tbSkills!DH3:DJ6,3,FALSE),0),0))/100)))),1),"")</f>
        <v>1</v>
      </c>
      <c r="GL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I109)*GK109)*(VLOOKUP(A109,tbMoveset!A2:C112,3,FALSE)/100)*IF(VLOOKUP(A109,tbMoveset!A2:B112,2,FALSE)="Projectile",Backdoors!N10,Backdoors!N9),0),"")</f>
        <v/>
      </c>
      <c r="GM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I109&gt;=0.45,VLOOKUP(Calculator!E23,tbSkills!DH3:DI6,2,FALSE)+IF(AND(Calculator!B8=TRUE,Backdoors!BI30=TRUE),VLOOKUP(Calculator!E23,tbSkills!DH3:DJ6,3,FALSE),0),0))&gt;=100,100,(Backdoors!AI12+IF(GI109&gt;=0.45,VLOOKUP(Calculator!E23,tbSkills!DH3:DI6,2,FALSE)+IF(AND(Calculator!B8=TRUE,Backdoors!BI30=TRUE),VLOOKUP(Calculator!E23,tbSkills!DH3:DJ6,3,FALSE),0),0)))/100)),1))*IF(VLOOKUP(A109,tbMoveset!A2:K112,11,FALSE)=TRUE,Backdoors!AC5,1))*GJ109,0),"")</f>
        <v>0</v>
      </c>
      <c r="GN109" s="49">
        <f>VLOOKUP(A109,tbMoveset!A2:G112,7,FALSE)*IFERROR(IF(Backdoors!AI12&gt;=0,1+(IF(Calculator!E40&gt;0,VLOOKUP(Calculator!E40,tbSkills!AI3:AJ5,2,FALSE),Backdoors!AL4)*(IF((Backdoors!AI12+IF(GI109&gt;=0.45,VLOOKUP(Calculator!E23,tbSkills!DH3:DI6,2,FALSE)+IF(AND(Calculator!B8=TRUE,Backdoors!BI30=TRUE),VLOOKUP(Calculator!E23,tbSkills!DH3:DJ6,3,FALSE),0),0))&gt;=100,100,(Backdoors!AI12+IF(GI109&gt;=0.45,VLOOKUP(Calculator!E23,tbSkills!DH3:DI6,2,FALSE)+IF(AND(Calculator!B8=TRUE,Backdoors!BI30=TRUE),VLOOKUP(Calculator!E23,tbSkills!DH3:DJ6,3,FALSE),0),0)))/100)),1),1)</f>
        <v>0.6</v>
      </c>
      <c r="GO109" s="87">
        <f t="shared" si="78"/>
        <v>0</v>
      </c>
      <c r="GP109" s="86" t="str">
        <f>IFERROR(IF(VLOOKUP(A109,tbMoveset!A2:B112,2,FALSE)="Sever",Backdoors!AY31/100,IF(VLOOKUP(A109,tbMoveset!A2:B112,2,FALSE)="Blunt",Backdoors!AZ31/100,Backdoors!BA31/100)),"")</f>
        <v/>
      </c>
      <c r="GQ109" s="49">
        <f>IFERROR(IF(VLOOKUP(tbMoveset!A109,tbMoveset!A2:H112,8,FALSE)="Other",IF(VLOOKUP(tbMoveset!A109,tbMoveset!A2:I112,9,FALSE)="Fire",Backdoors!BB31,IF(VLOOKUP(tbMoveset!A109,tbMoveset!A2:I112,9,FALSE)="Water",Backdoors!BC31,IF(VLOOKUP(tbMoveset!A109,tbMoveset!A2:I112,9,FALSE)="Thunder",Backdoors!BD31,IF(VLOOKUP(tbMoveset!A109,tbMoveset!A2:I112,9,FALSE)="Ice",Backdoors!BE31,IF(VLOOKUP(tbMoveset!A109,tbMoveset!A2:I112,9,FALSE)="Dragon",Backdoors!BF31,Backdoors!BG31)))))/100,Backdoors!BG31/100),"")</f>
        <v>0</v>
      </c>
      <c r="GR109" s="49">
        <f>IFERROR(IF(VLOOKUP(A109,tbMoveset!A2:J112,10,FALSE)=TRUE,IF((Backdoors!AI12+IF(GP109&gt;=0.45,VLOOKUP(Calculator!E23,tbSkills!DH3:DI6,2,FALSE)+IF(AND(Calculator!B8=TRUE,Backdoors!BI31=TRUE),VLOOKUP(Calculator!E23,tbSkills!DH3:DJ6,3,FALSE),0),0))&gt;=0,1+(Backdoors!AL2*(IF((Backdoors!AI12+IF(GP109&gt;=0.45,VLOOKUP(Calculator!E23,tbSkills!DH3:DI6,2,FALSE)+IF(AND(Calculator!B8=TRUE,Backdoors!BI31=TRUE),VLOOKUP(Calculator!E23,tbSkills!DH3:DJ6,3,FALSE),0),0))&gt;=100,100,(Backdoors!AI12+IF(GP109&gt;=0.45,VLOOKUP(Calculator!E23,tbSkills!DH3:DI6,2,FALSE)+IF(AND(Calculator!B8=TRUE,Backdoors!BI31=TRUE),VLOOKUP(Calculator!E23,tbSkills!DH3:DJ6,3,FALSE),0),0)))/100)),(1-(0.25*((-Backdoors!AI12-IF(GP109&gt;=0.45,VLOOKUP(Calculator!E23,tbSkills!DH3:DI6,2,FALSE)+IF(AND(Calculator!B8=TRUE,Backdoors!BI31=TRUE),VLOOKUP(Calculator!E23,tbSkills!DH3:DJ6,3,FALSE),0),0))/100)))),1),"")</f>
        <v>1</v>
      </c>
      <c r="GS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P109)*GR109)*(VLOOKUP(A109,tbMoveset!A2:C112,3,FALSE)/100)*IF(VLOOKUP(A109,tbMoveset!A2:B112,2,FALSE)="Projectile",Backdoors!N10,Backdoors!N9),0),"")</f>
        <v/>
      </c>
      <c r="GT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P109&gt;=0.45,VLOOKUP(Calculator!E23,tbSkills!DH3:DI6,2,FALSE)+IF(AND(Calculator!B8=TRUE,Backdoors!BI31=TRUE),VLOOKUP(Calculator!E23,tbSkills!DH3:DJ6,3,FALSE),0),0))&gt;=100,100,(Backdoors!AI12+IF(GP109&gt;=0.45,VLOOKUP(Calculator!E23,tbSkills!DH3:DI6,2,FALSE)+IF(AND(Calculator!B8=TRUE,Backdoors!BI31=TRUE),VLOOKUP(Calculator!E23,tbSkills!DH3:DJ6,3,FALSE),0),0)))/100)),1))*IF(VLOOKUP(A109,tbMoveset!A2:K112,11,FALSE)=TRUE,Backdoors!AC5,1))*GQ109,0),"")</f>
        <v>0</v>
      </c>
      <c r="GU109" s="49">
        <f>VLOOKUP(A109,tbMoveset!A2:G112,7,FALSE)*IFERROR(IF(Backdoors!AI12&gt;=0,1+(IF(Calculator!E40&gt;0,VLOOKUP(Calculator!E40,tbSkills!AI3:AJ5,2,FALSE),Backdoors!AL4)*(IF((Backdoors!AI12+IF(GP109&gt;=0.45,VLOOKUP(Calculator!E23,tbSkills!DH3:DI6,2,FALSE)+IF(AND(Calculator!B8=TRUE,Backdoors!BI31=TRUE),VLOOKUP(Calculator!E23,tbSkills!DH3:DJ6,3,FALSE),0),0))&gt;=100,100,(Backdoors!AI12+IF(GP109&gt;=0.45,VLOOKUP(Calculator!E23,tbSkills!DH3:DI6,2,FALSE)+IF(AND(Calculator!B8=TRUE,Backdoors!BI31=TRUE),VLOOKUP(Calculator!E23,tbSkills!DH3:DJ6,3,FALSE),0),0)))/100)),1),1)</f>
        <v>0.6</v>
      </c>
      <c r="GV109" s="87">
        <f t="shared" si="79"/>
        <v>0</v>
      </c>
      <c r="GW109" s="86" t="str">
        <f>IFERROR(IF(VLOOKUP(A109,tbMoveset!A2:B112,2,FALSE)="Sever",Backdoors!AY32/100,IF(VLOOKUP(A109,tbMoveset!A2:B112,2,FALSE)="Blunt",Backdoors!AZ32/100,Backdoors!BA32/100)),"")</f>
        <v/>
      </c>
      <c r="GX109" s="49">
        <f>IFERROR(IF(VLOOKUP(tbMoveset!A109,tbMoveset!A2:H112,8,FALSE)="Other",IF(VLOOKUP(tbMoveset!A109,tbMoveset!A2:I112,9,FALSE)="Fire",Backdoors!BB32,IF(VLOOKUP(tbMoveset!A109,tbMoveset!A2:I112,9,FALSE)="Water",Backdoors!BC32,IF(VLOOKUP(tbMoveset!A109,tbMoveset!A2:I112,9,FALSE)="Thunder",Backdoors!BD32,IF(VLOOKUP(tbMoveset!A109,tbMoveset!A2:I112,9,FALSE)="Ice",Backdoors!BE32,IF(VLOOKUP(tbMoveset!A109,tbMoveset!A2:I112,9,FALSE)="Dragon",Backdoors!BF32,Backdoors!BG32)))))/100,Backdoors!BG32/100),"")</f>
        <v>0</v>
      </c>
      <c r="GY109" s="49">
        <f>IFERROR(IF(VLOOKUP(A109,tbMoveset!A2:J112,10,FALSE)=TRUE,IF((Backdoors!AI12+IF(GW109&gt;=0.45,VLOOKUP(Calculator!E23,tbSkills!DH3:DI6,2,FALSE)+IF(AND(Calculator!B8=TRUE,Backdoors!BI32=TRUE),VLOOKUP(Calculator!E23,tbSkills!DH3:DJ6,3,FALSE),0),0))&gt;=0,1+(Backdoors!AL2*(IF((Backdoors!AI12+IF(GW109&gt;=0.45,VLOOKUP(Calculator!E23,tbSkills!DH3:DI6,2,FALSE)+IF(AND(Calculator!B8=TRUE,Backdoors!BI32=TRUE),VLOOKUP(Calculator!E23,tbSkills!DH3:DJ6,3,FALSE),0),0))&gt;=100,100,(Backdoors!AI12+IF(GW109&gt;=0.45,VLOOKUP(Calculator!E23,tbSkills!DH3:DI6,2,FALSE)+IF(AND(Calculator!B8=TRUE,Backdoors!BI32=TRUE),VLOOKUP(Calculator!E23,tbSkills!DH3:DJ6,3,FALSE),0),0)))/100)),(1-(0.25*((-Backdoors!AI12-IF(GW109&gt;=0.45,VLOOKUP(Calculator!E23,tbSkills!DH3:DI6,2,FALSE)+IF(AND(Calculator!B8=TRUE,Backdoors!BI32=TRUE),VLOOKUP(Calculator!E23,tbSkills!DH3:DJ6,3,FALSE),0),0))/100)))),1),"")</f>
        <v>1</v>
      </c>
      <c r="GZ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W109)*GY109)*(VLOOKUP(A109,tbMoveset!A2:C112,3,FALSE)/100)*IF(VLOOKUP(A109,tbMoveset!A2:B112,2,FALSE)="Projectile",Backdoors!N10,Backdoors!N9),0),"")</f>
        <v/>
      </c>
      <c r="HA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W109&gt;=0.45,VLOOKUP(Calculator!E23,tbSkills!DH3:DI6,2,FALSE)+IF(AND(Calculator!B8=TRUE,Backdoors!BI32=TRUE),VLOOKUP(Calculator!E23,tbSkills!DH3:DJ6,3,FALSE),0),0))&gt;=100,100,(Backdoors!AI12+IF(GW109&gt;=0.45,VLOOKUP(Calculator!E23,tbSkills!DH3:DI6,2,FALSE)+IF(AND(Calculator!B8=TRUE,Backdoors!BI32=TRUE),VLOOKUP(Calculator!E23,tbSkills!DH3:DJ6,3,FALSE),0),0)))/100)),1))*IF(VLOOKUP(A109,tbMoveset!A2:K112,11,FALSE)=TRUE,Backdoors!AC5,1))*GX109,0),"")</f>
        <v>0</v>
      </c>
      <c r="HB109" s="49">
        <f>VLOOKUP(A109,tbMoveset!A2:G112,7,FALSE)*IFERROR(IF(Backdoors!AI12&gt;=0,1+(IF(Calculator!E40&gt;0,VLOOKUP(Calculator!E40,tbSkills!AI3:AJ5,2,FALSE),Backdoors!AL4)*(IF((Backdoors!AI12+IF(GW109&gt;=0.45,VLOOKUP(Calculator!E23,tbSkills!DH3:DI6,2,FALSE)+IF(AND(Calculator!B8=TRUE,Backdoors!BI32=TRUE),VLOOKUP(Calculator!E23,tbSkills!DH3:DJ6,3,FALSE),0),0))&gt;=100,100,(Backdoors!AI12+IF(GW109&gt;=0.45,VLOOKUP(Calculator!E23,tbSkills!DH3:DI6,2,FALSE)+IF(AND(Calculator!B8=TRUE,Backdoors!BI32=TRUE),VLOOKUP(Calculator!E23,tbSkills!DH3:DJ6,3,FALSE),0),0)))/100)),1),1)</f>
        <v>0.6</v>
      </c>
      <c r="HC109" s="87">
        <f t="shared" si="80"/>
        <v>0</v>
      </c>
      <c r="HD109" s="86" t="str">
        <f>IFERROR(IF(VLOOKUP(A109,tbMoveset!A2:B112,2,FALSE)="Sever",Backdoors!AY33/100,IF(VLOOKUP(A109,tbMoveset!A2:B112,2,FALSE)="Blunt",Backdoors!AZ33/100,Backdoors!BA33/100)),"")</f>
        <v/>
      </c>
      <c r="HE109" s="49">
        <f>IFERROR(IF(VLOOKUP(tbMoveset!A109,tbMoveset!A2:H112,8,FALSE)="Other",IF(VLOOKUP(tbMoveset!A109,tbMoveset!A2:I112,9,FALSE)="Fire",Backdoors!BB33,IF(VLOOKUP(tbMoveset!A109,tbMoveset!A2:I112,9,FALSE)="Water",Backdoors!BC33,IF(VLOOKUP(tbMoveset!A109,tbMoveset!A2:I112,9,FALSE)="Thunder",Backdoors!BD33,IF(VLOOKUP(tbMoveset!A109,tbMoveset!A2:I112,9,FALSE)="Ice",Backdoors!BE33,IF(VLOOKUP(tbMoveset!A109,tbMoveset!A2:I112,9,FALSE)="Dragon",Backdoors!BF33,Backdoors!BG33)))))/100,Backdoors!BG33/100),"")</f>
        <v>0</v>
      </c>
      <c r="HF109" s="49">
        <f>IFERROR(IF(VLOOKUP(A109,tbMoveset!A2:J112,10,FALSE)=TRUE,IF((Backdoors!AI12+IF(HD109&gt;=0.45,VLOOKUP(Calculator!E23,tbSkills!DH3:DI6,2,FALSE)+IF(AND(Calculator!B8=TRUE,Backdoors!BI33=TRUE),VLOOKUP(Calculator!E23,tbSkills!DH3:DJ6,3,FALSE),0),0))&gt;=0,1+(Backdoors!AL2*(IF((Backdoors!AI12+IF(HD109&gt;=0.45,VLOOKUP(Calculator!E23,tbSkills!DH3:DI6,2,FALSE)+IF(AND(Calculator!B8=TRUE,Backdoors!BI33=TRUE),VLOOKUP(Calculator!E23,tbSkills!DH3:DJ6,3,FALSE),0),0))&gt;=100,100,(Backdoors!AI12+IF(HD109&gt;=0.45,VLOOKUP(Calculator!E23,tbSkills!DH3:DI6,2,FALSE)+IF(AND(Calculator!B8=TRUE,Backdoors!BI33=TRUE),VLOOKUP(Calculator!E23,tbSkills!DH3:DJ6,3,FALSE),0),0)))/100)),(1-(0.25*((-Backdoors!AI12-IF(HD109&gt;=0.45,VLOOKUP(Calculator!E23,tbSkills!DH3:DI6,2,FALSE)+IF(AND(Calculator!B8=TRUE,Backdoors!BI33=TRUE),VLOOKUP(Calculator!E23,tbSkills!DH3:DJ6,3,FALSE),0),0))/100)))),1),"")</f>
        <v>1</v>
      </c>
      <c r="HG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D109)*HF109)*(VLOOKUP(A109,tbMoveset!A2:C112,3,FALSE)/100)*IF(VLOOKUP(A109,tbMoveset!A2:B112,2,FALSE)="Projectile",Backdoors!N10,Backdoors!N9),0),"")</f>
        <v/>
      </c>
      <c r="HH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D109&gt;=0.45,VLOOKUP(Calculator!E23,tbSkills!DH3:DI6,2,FALSE)+IF(AND(Calculator!B8=TRUE,Backdoors!BI33=TRUE),VLOOKUP(Calculator!E23,tbSkills!DH3:DJ6,3,FALSE),0),0))&gt;=100,100,(Backdoors!AI12+IF(HD109&gt;=0.45,VLOOKUP(Calculator!E23,tbSkills!DH3:DI6,2,FALSE)+IF(AND(Calculator!B8=TRUE,Backdoors!BI33=TRUE),VLOOKUP(Calculator!E23,tbSkills!DH3:DJ6,3,FALSE),0),0)))/100)),1))*IF(VLOOKUP(A109,tbMoveset!A2:K112,11,FALSE)=TRUE,Backdoors!AC5,1))*HE109,0),"")</f>
        <v>0</v>
      </c>
      <c r="HI109" s="49">
        <f>VLOOKUP(A109,tbMoveset!A2:G112,7,FALSE)*IFERROR(IF(Backdoors!AI12&gt;=0,1+(IF(Calculator!E40&gt;0,VLOOKUP(Calculator!E40,tbSkills!AI3:AJ5,2,FALSE),Backdoors!AL4)*(IF((Backdoors!AI12+IF(HD109&gt;=0.45,VLOOKUP(Calculator!E23,tbSkills!DH3:DI6,2,FALSE)+IF(AND(Calculator!B8=TRUE,Backdoors!BI33=TRUE),VLOOKUP(Calculator!E23,tbSkills!DH3:DJ6,3,FALSE),0),0))&gt;=100,100,(Backdoors!AI12+IF(HD109&gt;=0.45,VLOOKUP(Calculator!E23,tbSkills!DH3:DI6,2,FALSE)+IF(AND(Calculator!B8=TRUE,Backdoors!BI33=TRUE),VLOOKUP(Calculator!E23,tbSkills!DH3:DJ6,3,FALSE),0),0)))/100)),1),1)</f>
        <v>0.6</v>
      </c>
      <c r="HJ109" s="87">
        <f t="shared" si="81"/>
        <v>0</v>
      </c>
      <c r="HK109" s="86" t="str">
        <f>IFERROR(IF(VLOOKUP(A109,tbMoveset!A2:B112,2,FALSE)="Sever",Backdoors!AY34/100,IF(VLOOKUP(A109,tbMoveset!A2:B112,2,FALSE)="Blunt",Backdoors!AZ34/100,Backdoors!BA34/100)),"")</f>
        <v/>
      </c>
      <c r="HL109" s="49">
        <f>IFERROR(IF(VLOOKUP(tbMoveset!A109,tbMoveset!A2:H112,8,FALSE)="Other",IF(VLOOKUP(tbMoveset!A109,tbMoveset!A2:I112,9,FALSE)="Fire",Backdoors!BB34,IF(VLOOKUP(tbMoveset!A109,tbMoveset!A2:I112,9,FALSE)="Water",Backdoors!BC34,IF(VLOOKUP(tbMoveset!A109,tbMoveset!A2:I112,9,FALSE)="Thunder",Backdoors!BD34,IF(VLOOKUP(tbMoveset!A109,tbMoveset!A2:I112,9,FALSE)="Ice",Backdoors!BE34,IF(VLOOKUP(tbMoveset!A109,tbMoveset!A2:I112,9,FALSE)="Dragon",Backdoors!BF34,Backdoors!BG34)))))/100,Backdoors!BG34/100),"")</f>
        <v>0</v>
      </c>
      <c r="HM109" s="49">
        <f>IFERROR(IF(VLOOKUP(A109,tbMoveset!A2:J112,10,FALSE)=TRUE,IF((Backdoors!AI12+IF(HK109&gt;=0.45,VLOOKUP(Calculator!E23,tbSkills!DH3:DI6,2,FALSE)+IF(AND(Calculator!B8=TRUE,Backdoors!BI34=TRUE),VLOOKUP(Calculator!E23,tbSkills!DH3:DJ6,3,FALSE),0),0))&gt;=0,1+(Backdoors!AL2*(IF((Backdoors!AI12+IF(HK109&gt;=0.45,VLOOKUP(Calculator!E23,tbSkills!DH3:DI6,2,FALSE)+IF(AND(Calculator!B8=TRUE,Backdoors!BI34=TRUE),VLOOKUP(Calculator!E23,tbSkills!DH3:DJ6,3,FALSE),0),0))&gt;=100,100,(Backdoors!AI12+IF(HK109&gt;=0.45,VLOOKUP(Calculator!E23,tbSkills!DH3:DI6,2,FALSE)+IF(AND(Calculator!B8=TRUE,Backdoors!BI34=TRUE),VLOOKUP(Calculator!E23,tbSkills!DH3:DJ6,3,FALSE),0),0)))/100)),(1-(0.25*((-Backdoors!AI12-IF(HK109&gt;=0.45,VLOOKUP(Calculator!E23,tbSkills!DH3:DI6,2,FALSE)+IF(AND(Calculator!B8=TRUE,Backdoors!BI34=TRUE),VLOOKUP(Calculator!E23,tbSkills!DH3:DJ6,3,FALSE),0),0))/100)))),1),"")</f>
        <v>1</v>
      </c>
      <c r="HN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K109)*HM109)*(VLOOKUP(A109,tbMoveset!A2:C112,3,FALSE)/100)*IF(VLOOKUP(A109,tbMoveset!A2:B112,2,FALSE)="Projectile",Backdoors!N10,Backdoors!N9),0),"")</f>
        <v/>
      </c>
      <c r="HO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K109&gt;=0.45,VLOOKUP(Calculator!E23,tbSkills!DH3:DI6,2,FALSE)+IF(AND(Calculator!B8=TRUE,Backdoors!BI34=TRUE),VLOOKUP(Calculator!E23,tbSkills!DH3:DJ6,3,FALSE),0),0))&gt;=100,100,(Backdoors!AI12+IF(HK109&gt;=0.45,VLOOKUP(Calculator!E23,tbSkills!DH3:DI6,2,FALSE)+IF(AND(Calculator!B8=TRUE,Backdoors!BI34=TRUE),VLOOKUP(Calculator!E23,tbSkills!DH3:DJ6,3,FALSE),0),0)))/100)),1))*IF(VLOOKUP(A109,tbMoveset!A2:K112,11,FALSE)=TRUE,Backdoors!AC5,1))*HL109,0),"")</f>
        <v>0</v>
      </c>
      <c r="HP109" s="49">
        <f>VLOOKUP(A109,tbMoveset!A2:G112,7,FALSE)*IFERROR(IF(Backdoors!AI12&gt;=0,1+(IF(Calculator!E40&gt;0,VLOOKUP(Calculator!E40,tbSkills!AI3:AJ5,2,FALSE),Backdoors!AL4)*(IF((Backdoors!AI12+IF(HK109&gt;=0.45,VLOOKUP(Calculator!E23,tbSkills!DH3:DI6,2,FALSE)+IF(AND(Calculator!B8=TRUE,Backdoors!BI34=TRUE),VLOOKUP(Calculator!E23,tbSkills!DH3:DJ6,3,FALSE),0),0))&gt;=100,100,(Backdoors!AI12+IF(HK109&gt;=0.45,VLOOKUP(Calculator!E23,tbSkills!DH3:DI6,2,FALSE)+IF(AND(Calculator!B8=TRUE,Backdoors!BI34=TRUE),VLOOKUP(Calculator!E23,tbSkills!DH3:DJ6,3,FALSE),0),0)))/100)),1),1)</f>
        <v>0.6</v>
      </c>
      <c r="HQ109" s="87">
        <f t="shared" si="82"/>
        <v>0</v>
      </c>
      <c r="HR109" s="86" t="str">
        <f>IFERROR(IF(VLOOKUP(A109,tbMoveset!A2:B112,2,FALSE)="Sever",Backdoors!AY35/100,IF(VLOOKUP(A109,tbMoveset!A2:B112,2,FALSE)="Blunt",Backdoors!AZ35/100,Backdoors!BA35/100)),"")</f>
        <v/>
      </c>
      <c r="HS109" s="49">
        <f>IFERROR(IF(VLOOKUP(tbMoveset!A109,tbMoveset!A2:H112,8,FALSE)="Other",IF(VLOOKUP(tbMoveset!A109,tbMoveset!A2:I112,9,FALSE)="Fire",Backdoors!BB35,IF(VLOOKUP(tbMoveset!A109,tbMoveset!A2:I112,9,FALSE)="Water",Backdoors!BC35,IF(VLOOKUP(tbMoveset!A109,tbMoveset!A2:I112,9,FALSE)="Thunder",Backdoors!BD35,IF(VLOOKUP(tbMoveset!A109,tbMoveset!A2:I112,9,FALSE)="Ice",Backdoors!BE35,IF(VLOOKUP(tbMoveset!A109,tbMoveset!A2:I112,9,FALSE)="Dragon",Backdoors!BF35,Backdoors!BG35)))))/100,Backdoors!BG35/100),"")</f>
        <v>0</v>
      </c>
      <c r="HT109" s="49">
        <f>IFERROR(IF(VLOOKUP(A109,tbMoveset!A2:J112,10,FALSE)=TRUE,IF((Backdoors!AI12+IF(HR109&gt;=0.45,VLOOKUP(Calculator!E23,tbSkills!DH3:DI6,2,FALSE)+IF(AND(Calculator!B8=TRUE,Backdoors!BI35=TRUE),VLOOKUP(Calculator!E23,tbSkills!DH3:DJ6,3,FALSE),0),0))&gt;=0,1+(Backdoors!AL2*(IF((Backdoors!AI12+IF(HR109&gt;=0.45,VLOOKUP(Calculator!E23,tbSkills!DH3:DI6,2,FALSE)+IF(AND(Calculator!B8=TRUE,Backdoors!BI35=TRUE),VLOOKUP(Calculator!E23,tbSkills!DH3:DJ6,3,FALSE),0),0))&gt;=100,100,(Backdoors!AI12+IF(HR109&gt;=0.45,VLOOKUP(Calculator!E23,tbSkills!DH3:DI6,2,FALSE)+IF(AND(Calculator!B8=TRUE,Backdoors!BI35=TRUE),VLOOKUP(Calculator!E23,tbSkills!DH3:DJ6,3,FALSE),0),0)))/100)),(1-(0.25*((-Backdoors!AI12-IF(HR109&gt;=0.45,VLOOKUP(Calculator!E23,tbSkills!DH3:DI6,2,FALSE)+IF(AND(Calculator!B8=TRUE,Backdoors!BI35=TRUE),VLOOKUP(Calculator!E23,tbSkills!DH3:DJ6,3,FALSE),0),0))/100)))),1),"")</f>
        <v>1</v>
      </c>
      <c r="HU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R109)*HT109)*(VLOOKUP(A109,tbMoveset!A2:C112,3,FALSE)/100)*IF(VLOOKUP(A109,tbMoveset!A2:B112,2,FALSE)="Projectile",Backdoors!N10,Backdoors!N9),0),"")</f>
        <v/>
      </c>
      <c r="HV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R109&gt;=0.45,VLOOKUP(Calculator!E23,tbSkills!DH3:DI6,2,FALSE)+IF(AND(Calculator!B8=TRUE,Backdoors!BI35=TRUE),VLOOKUP(Calculator!E23,tbSkills!DH3:DJ6,3,FALSE),0),0))&gt;=100,100,(Backdoors!AI12+IF(HR109&gt;=0.45,VLOOKUP(Calculator!E23,tbSkills!DH3:DI6,2,FALSE)+IF(AND(Calculator!B8=TRUE,Backdoors!BI35=TRUE),VLOOKUP(Calculator!E23,tbSkills!DH3:DJ6,3,FALSE),0),0)))/100)),1))*IF(VLOOKUP(A109,tbMoveset!A2:K112,11,FALSE)=TRUE,Backdoors!AC5,1))*HS109,0),"")</f>
        <v>0</v>
      </c>
      <c r="HW109" s="49">
        <f>VLOOKUP(A109,tbMoveset!A2:G112,7,FALSE)*IFERROR(IF(Backdoors!AI12&gt;=0,1+(IF(Calculator!E40&gt;0,VLOOKUP(Calculator!E40,tbSkills!AI3:AJ5,2,FALSE),Backdoors!AL4)*(IF((Backdoors!AI12+IF(HR109&gt;=0.45,VLOOKUP(Calculator!E23,tbSkills!DH3:DI6,2,FALSE)+IF(AND(Calculator!B8=TRUE,Backdoors!BI35=TRUE),VLOOKUP(Calculator!E23,tbSkills!DH3:DJ6,3,FALSE),0),0))&gt;=100,100,(Backdoors!AI12+IF(HR109&gt;=0.45,VLOOKUP(Calculator!E23,tbSkills!DH3:DI6,2,FALSE)+IF(AND(Calculator!B8=TRUE,Backdoors!BI35=TRUE),VLOOKUP(Calculator!E23,tbSkills!DH3:DJ6,3,FALSE),0),0)))/100)),1),1)</f>
        <v>0.6</v>
      </c>
      <c r="HX109" s="87">
        <f t="shared" si="83"/>
        <v>0</v>
      </c>
      <c r="HY109" s="86" t="str">
        <f>IFERROR(IF(VLOOKUP(A109,tbMoveset!A2:B112,2,FALSE)="Sever",Backdoors!AY36/100,IF(VLOOKUP(A109,tbMoveset!A2:B112,2,FALSE)="Blunt",Backdoors!AZ36/100,Backdoors!BA36/100)),"")</f>
        <v/>
      </c>
      <c r="HZ109" s="49">
        <f>IFERROR(IF(VLOOKUP(tbMoveset!A109,tbMoveset!A2:H112,8,FALSE)="Other",IF(VLOOKUP(tbMoveset!A109,tbMoveset!A2:I112,9,FALSE)="Fire",Backdoors!BB36,IF(VLOOKUP(tbMoveset!A109,tbMoveset!A2:I112,9,FALSE)="Water",Backdoors!BC36,IF(VLOOKUP(tbMoveset!A109,tbMoveset!A2:I112,9,FALSE)="Thunder",Backdoors!BD36,IF(VLOOKUP(tbMoveset!A109,tbMoveset!A2:I112,9,FALSE)="Ice",Backdoors!BE36,IF(VLOOKUP(tbMoveset!A109,tbMoveset!A2:I112,9,FALSE)="Dragon",Backdoors!BF36,Backdoors!BG36)))))/100,Backdoors!BG36/100),"")</f>
        <v>0</v>
      </c>
      <c r="IA109" s="49">
        <f>IFERROR(IF(VLOOKUP(A109,tbMoveset!A2:J112,10,FALSE)=TRUE,IF((Backdoors!AI12+IF(HY109&gt;=0.45,VLOOKUP(Calculator!E23,tbSkills!DH3:DI6,2,FALSE)+IF(AND(Calculator!B8=TRUE,Backdoors!BI36=TRUE),VLOOKUP(Calculator!E23,tbSkills!DH3:DJ6,3,FALSE),0),0))&gt;=0,1+(Backdoors!AL2*(IF((Backdoors!AI12+IF(HY109&gt;=0.45,VLOOKUP(Calculator!E23,tbSkills!DH3:DI6,2,FALSE)+IF(AND(Calculator!B8=TRUE,Backdoors!BI36=TRUE),VLOOKUP(Calculator!E23,tbSkills!DH3:DJ6,3,FALSE),0),0))&gt;=100,100,(Backdoors!AI12+IF(HY109&gt;=0.45,VLOOKUP(Calculator!E23,tbSkills!DH3:DI6,2,FALSE)+IF(AND(Calculator!B8=TRUE,Backdoors!BI36=TRUE),VLOOKUP(Calculator!E23,tbSkills!DH3:DJ6,3,FALSE),0),0)))/100)),(1-(0.25*((-Backdoors!AI12-IF(HY109&gt;=0.45,VLOOKUP(Calculator!E23,tbSkills!DH3:DI6,2,FALSE)+IF(AND(Calculator!B8=TRUE,Backdoors!BI36=TRUE),VLOOKUP(Calculator!E23,tbSkills!DH3:DJ6,3,FALSE),0),0))/100)))),1),"")</f>
        <v>1</v>
      </c>
      <c r="IB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Y109)*IA109)*(VLOOKUP(A109,tbMoveset!A2:C112,3,FALSE)/100)*IF(VLOOKUP(A109,tbMoveset!A2:B112,2,FALSE)="Projectile",Backdoors!N10,Backdoors!N9),0),"")</f>
        <v/>
      </c>
      <c r="IC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Y109&gt;=0.45,VLOOKUP(Calculator!E23,tbSkills!DH3:DI6,2,FALSE)+IF(AND(Calculator!B8=TRUE,Backdoors!BI36=TRUE),VLOOKUP(Calculator!E23,tbSkills!DH3:DJ6,3,FALSE),0),0))&gt;=100,100,(Backdoors!AI12+IF(HY109&gt;=0.45,VLOOKUP(Calculator!E23,tbSkills!DH3:DI6,2,FALSE)+IF(AND(Calculator!B8=TRUE,Backdoors!BI36=TRUE),VLOOKUP(Calculator!E23,tbSkills!DH3:DJ6,3,FALSE),0),0)))/100)),1))*IF(VLOOKUP(A109,tbMoveset!A2:K112,11,FALSE)=TRUE,Backdoors!AC5,1))*HZ109,0),"")</f>
        <v>0</v>
      </c>
      <c r="ID109" s="49">
        <f>VLOOKUP(A109,tbMoveset!A2:G112,7,FALSE)*IFERROR(IF(Backdoors!AI12&gt;=0,1+(IF(Calculator!E40&gt;0,VLOOKUP(Calculator!E40,tbSkills!AI3:AJ5,2,FALSE),Backdoors!AL4)*(IF((Backdoors!AI12+IF(HY109&gt;=0.45,VLOOKUP(Calculator!E23,tbSkills!DH3:DI6,2,FALSE)+IF(AND(Calculator!B8=TRUE,Backdoors!BI36=TRUE),VLOOKUP(Calculator!E23,tbSkills!DH3:DJ6,3,FALSE),0),0))&gt;=100,100,(Backdoors!AI12+IF(HY109&gt;=0.45,VLOOKUP(Calculator!E23,tbSkills!DH3:DI6,2,FALSE)+IF(AND(Calculator!B8=TRUE,Backdoors!BI36=TRUE),VLOOKUP(Calculator!E23,tbSkills!DH3:DJ6,3,FALSE),0),0)))/100)),1),1)</f>
        <v>0.6</v>
      </c>
      <c r="IE109" s="87">
        <f t="shared" si="84"/>
        <v>0</v>
      </c>
      <c r="IF109" s="86" t="str">
        <f>IFERROR(IF(VLOOKUP(A109,tbMoveset!A2:B112,2,FALSE)="Sever",Backdoors!AY37/100,IF(VLOOKUP(A109,tbMoveset!A2:B112,2,FALSE)="Blunt",Backdoors!AZ37/100,Backdoors!BA37/100)),"")</f>
        <v/>
      </c>
      <c r="IG109" s="49">
        <f>IFERROR(IF(VLOOKUP(tbMoveset!A109,tbMoveset!A2:H112,8,FALSE)="Other",IF(VLOOKUP(tbMoveset!A109,tbMoveset!A2:I112,9,FALSE)="Fire",Backdoors!BB37,IF(VLOOKUP(tbMoveset!A109,tbMoveset!A2:I112,9,FALSE)="Water",Backdoors!BC37,IF(VLOOKUP(tbMoveset!A109,tbMoveset!A2:I112,9,FALSE)="Thunder",Backdoors!BD37,IF(VLOOKUP(tbMoveset!A109,tbMoveset!A2:I112,9,FALSE)="Ice",Backdoors!BE37,IF(VLOOKUP(tbMoveset!A109,tbMoveset!A2:I112,9,FALSE)="Dragon",Backdoors!BF37,Backdoors!BG37)))))/100,Backdoors!BG37/100),"")</f>
        <v>0</v>
      </c>
      <c r="IH109" s="49">
        <f>IFERROR(IF(VLOOKUP(A109,tbMoveset!A2:J112,10,FALSE)=TRUE,IF((Backdoors!AI12+IF(IF109&gt;=0.45,VLOOKUP(Calculator!E23,tbSkills!DH3:DI6,2,FALSE)+IF(AND(Calculator!B8=TRUE,Backdoors!BI37=TRUE),VLOOKUP(Calculator!E23,tbSkills!DH3:DJ6,3,FALSE),0),0))&gt;=0,1+(Backdoors!AL2*(IF((Backdoors!AI12+IF(IF109&gt;=0.45,VLOOKUP(Calculator!E23,tbSkills!DH3:DI6,2,FALSE)+IF(AND(Calculator!B8=TRUE,Backdoors!BI37=TRUE),VLOOKUP(Calculator!E23,tbSkills!DH3:DJ6,3,FALSE),0),0))&gt;=100,100,(Backdoors!AI12+IF(IF109&gt;=0.45,VLOOKUP(Calculator!E23,tbSkills!DH3:DI6,2,FALSE)+IF(AND(Calculator!B8=TRUE,Backdoors!BI37=TRUE),VLOOKUP(Calculator!E23,tbSkills!DH3:DJ6,3,FALSE),0),0)))/100)),(1-(0.25*((-Backdoors!AI12-IF(IF109&gt;=0.45,VLOOKUP(Calculator!E23,tbSkills!DH3:DI6,2,FALSE)+IF(AND(Calculator!B8=TRUE,Backdoors!BI37=TRUE),VLOOKUP(Calculator!E23,tbSkills!DH3:DJ6,3,FALSE),0),0))/100)))),1),"")</f>
        <v>1</v>
      </c>
      <c r="II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F109)*IH109)*(VLOOKUP(A109,tbMoveset!A2:C112,3,FALSE)/100)*IF(VLOOKUP(A109,tbMoveset!A2:B112,2,FALSE)="Projectile",Backdoors!N10,Backdoors!N9),0),"")</f>
        <v/>
      </c>
      <c r="IJ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IF109&gt;=0.45,VLOOKUP(Calculator!E23,tbSkills!DH3:DI6,2,FALSE)+IF(AND(Calculator!B8=TRUE,Backdoors!BI37=TRUE),VLOOKUP(Calculator!E23,tbSkills!DH3:DJ6,3,FALSE),0),0))&gt;=100,100,(Backdoors!AI12+IF(IF109&gt;=0.45,VLOOKUP(Calculator!E23,tbSkills!DH3:DI6,2,FALSE)+IF(AND(Calculator!B8=TRUE,Backdoors!BI37=TRUE),VLOOKUP(Calculator!E23,tbSkills!DH3:DJ6,3,FALSE),0),0)))/100)),1))*IF(VLOOKUP(A109,tbMoveset!A2:K112,11,FALSE)=TRUE,Backdoors!AC5,1))*IG109,0),"")</f>
        <v>0</v>
      </c>
      <c r="IK109" s="49">
        <f>VLOOKUP(A109,tbMoveset!A2:G112,7,FALSE)*IFERROR(IF(Backdoors!AI12&gt;=0,1+(IF(Calculator!E40&gt;0,VLOOKUP(Calculator!E40,tbSkills!AI3:AJ5,2,FALSE),Backdoors!AL4)*(IF((Backdoors!AI12+IF(IF109&gt;=0.45,VLOOKUP(Calculator!E23,tbSkills!DH3:DI6,2,FALSE)+IF(AND(Calculator!B8=TRUE,Backdoors!BI37=TRUE),VLOOKUP(Calculator!E23,tbSkills!DH3:DJ6,3,FALSE),0),0))&gt;=100,100,(Backdoors!AI12+IF(IF109&gt;=0.45,VLOOKUP(Calculator!E23,tbSkills!DH3:DI6,2,FALSE)+IF(AND(Calculator!B8=TRUE,Backdoors!BI37=TRUE),VLOOKUP(Calculator!E23,tbSkills!DH3:DJ6,3,FALSE),0),0)))/100)),1),1)</f>
        <v>0.6</v>
      </c>
      <c r="IL109" s="87">
        <f t="shared" si="85"/>
        <v>0</v>
      </c>
      <c r="IM109" s="86" t="str">
        <f>IFERROR(IF(VLOOKUP(A109,tbMoveset!A2:B112,2,FALSE)="Sever",Backdoors!AY38/100,IF(VLOOKUP(A109,tbMoveset!A2:B112,2,FALSE)="Blunt",Backdoors!AZ38/100,Backdoors!BA38/100)),"")</f>
        <v/>
      </c>
      <c r="IN109" s="49">
        <f>IFERROR(IF(VLOOKUP(tbMoveset!A109,tbMoveset!A2:H112,8,FALSE)="Other",IF(VLOOKUP(tbMoveset!A109,tbMoveset!A2:I112,9,FALSE)="Fire",Backdoors!BB38,IF(VLOOKUP(tbMoveset!A109,tbMoveset!A2:I112,9,FALSE)="Water",Backdoors!BC38,IF(VLOOKUP(tbMoveset!A109,tbMoveset!A2:I112,9,FALSE)="Thunder",Backdoors!BD38,IF(VLOOKUP(tbMoveset!A109,tbMoveset!A2:I112,9,FALSE)="Ice",Backdoors!BE38,IF(VLOOKUP(tbMoveset!A109,tbMoveset!A2:I112,9,FALSE)="Dragon",Backdoors!BF38,Backdoors!BG38)))))/100,Backdoors!BG38/100),"")</f>
        <v>0</v>
      </c>
      <c r="IO109" s="49">
        <f>IFERROR(IF(VLOOKUP(A109,tbMoveset!A2:J112,10,FALSE)=TRUE,IF((Backdoors!AI12+IF(IM109&gt;=0.45,VLOOKUP(Calculator!E23,tbSkills!DH3:DI6,2,FALSE)+IF(AND(Calculator!B8=TRUE,Backdoors!BI38=TRUE),VLOOKUP(Calculator!E23,tbSkills!DH3:DJ6,3,FALSE),0),0))&gt;=0,1+(Backdoors!AL2*(IF((Backdoors!AI12+IF(IM109&gt;=0.45,VLOOKUP(Calculator!E23,tbSkills!DH3:DI6,2,FALSE)+IF(AND(Calculator!B8=TRUE,Backdoors!BI38=TRUE),VLOOKUP(Calculator!E23,tbSkills!DH3:DJ6,3,FALSE),0),0))&gt;=100,100,(Backdoors!AI12+IF(IM109&gt;=0.45,VLOOKUP(Calculator!E23,tbSkills!DH3:DI6,2,FALSE)+IF(AND(Calculator!B8=TRUE,Backdoors!BI38=TRUE),VLOOKUP(Calculator!E23,tbSkills!DH3:DJ6,3,FALSE),0),0)))/100)),(1-(0.25*((-Backdoors!AI12-IF(IM109&gt;=0.45,VLOOKUP(Calculator!E23,tbSkills!DH3:DI6,2,FALSE)+IF(AND(Calculator!B8=TRUE,Backdoors!BI38=TRUE),VLOOKUP(Calculator!E23,tbSkills!DH3:DJ6,3,FALSE),0),0))/100)))),1),"")</f>
        <v>1</v>
      </c>
      <c r="IP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M109)*IO109)*(VLOOKUP(A109,tbMoveset!A2:C112,3,FALSE)/100)*IF(VLOOKUP(A109,tbMoveset!A2:B112,2,FALSE)="Projectile",Backdoors!N10,Backdoors!N9),0),"")</f>
        <v/>
      </c>
      <c r="IQ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IM109&gt;=0.45,VLOOKUP(Calculator!E23,tbSkills!DH3:DI6,2,FALSE)+IF(AND(Calculator!B8=TRUE,Backdoors!BI38=TRUE),VLOOKUP(Calculator!E23,tbSkills!DH3:DJ6,3,FALSE),0),0))&gt;=100,100,(Backdoors!AI12+IF(IM109&gt;=0.45,VLOOKUP(Calculator!E23,tbSkills!DH3:DI6,2,FALSE)+IF(AND(Calculator!B8=TRUE,Backdoors!BI38=TRUE),VLOOKUP(Calculator!E23,tbSkills!DH3:DJ6,3,FALSE),0),0)))/100)),1))*IF(VLOOKUP(A109,tbMoveset!A2:K112,11,FALSE)=TRUE,Backdoors!AC5,1))*IN109,0),"")</f>
        <v>0</v>
      </c>
      <c r="IR109" s="49">
        <f>VLOOKUP(A109,tbMoveset!A2:G112,7,FALSE)*IFERROR(IF(Backdoors!AI12&gt;=0,1+(IF(Calculator!E40&gt;0,VLOOKUP(Calculator!E40,tbSkills!AI3:AJ5,2,FALSE),Backdoors!AL4)*(IF((Backdoors!AI12+IF(IM109&gt;=0.45,VLOOKUP(Calculator!E23,tbSkills!DH3:DI6,2,FALSE)+IF(AND(Calculator!B8=TRUE,Backdoors!BI38=TRUE),VLOOKUP(Calculator!E23,tbSkills!DH3:DJ6,3,FALSE),0),0))&gt;=100,100,(Backdoors!AI12+IF(IM109&gt;=0.45,VLOOKUP(Calculator!E23,tbSkills!DH3:DI6,2,FALSE)+IF(AND(Calculator!B8=TRUE,Backdoors!BI38=TRUE),VLOOKUP(Calculator!E23,tbSkills!DH3:DJ6,3,FALSE),0),0)))/100)),1),1)</f>
        <v>0.6</v>
      </c>
      <c r="IS109" s="87">
        <f t="shared" si="86"/>
        <v>0</v>
      </c>
      <c r="IT109" s="86" t="str">
        <f>IFERROR(IF(VLOOKUP(A109,tbMoveset!A2:B112,2,FALSE)="Sever",Backdoors!AY39/100,IF(VLOOKUP(A109,tbMoveset!A2:B112,2,FALSE)="Blunt",Backdoors!AZ39/100,Backdoors!BA39/100)),"")</f>
        <v/>
      </c>
      <c r="IU109" s="49">
        <f>IFERROR(IF(VLOOKUP(tbMoveset!A109,tbMoveset!A2:H112,8,FALSE)="Other",IF(VLOOKUP(tbMoveset!A109,tbMoveset!A2:I112,9,FALSE)="Fire",Backdoors!BB39,IF(VLOOKUP(tbMoveset!A109,tbMoveset!A2:I112,9,FALSE)="Water",Backdoors!BC39,IF(VLOOKUP(tbMoveset!A109,tbMoveset!A2:I112,9,FALSE)="Thunder",Backdoors!BD39,IF(VLOOKUP(tbMoveset!A109,tbMoveset!A2:I112,9,FALSE)="Ice",Backdoors!BE39,IF(VLOOKUP(tbMoveset!A109,tbMoveset!A2:I112,9,FALSE)="Dragon",Backdoors!BF39,Backdoors!BG39)))))/100,Backdoors!BG39/100),"")</f>
        <v>0</v>
      </c>
      <c r="IV109" s="49">
        <f>IFERROR(IF(VLOOKUP(A109,tbMoveset!A2:J112,10,FALSE)=TRUE,IF((Backdoors!AI12+IF(IT109&gt;=0.45,VLOOKUP(Calculator!E23,tbSkills!DH3:DI6,2,FALSE)+IF(AND(Calculator!B8=TRUE,Backdoors!BI39=TRUE),VLOOKUP(Calculator!E23,tbSkills!DH3:DJ6,3,FALSE),0),0))&gt;=0,1+(Backdoors!AL2*(IF((Backdoors!AI12+IF(IT109&gt;=0.45,VLOOKUP(Calculator!E23,tbSkills!DH3:DI6,2,FALSE)+IF(AND(Calculator!B8=TRUE,Backdoors!BI39=TRUE),VLOOKUP(Calculator!E23,tbSkills!DH3:DJ6,3,FALSE),0),0))&gt;=100,100,(Backdoors!AI12+IF(IT109&gt;=0.45,VLOOKUP(Calculator!E23,tbSkills!DH3:DI6,2,FALSE)+IF(AND(Calculator!B8=TRUE,Backdoors!BI39=TRUE),VLOOKUP(Calculator!E23,tbSkills!DH3:DJ6,3,FALSE),0),0)))/100)),(1-(0.25*((-Backdoors!AI12-IF(IT109&gt;=0.45,VLOOKUP(Calculator!E23,tbSkills!DH3:DI6,2,FALSE)+IF(AND(Calculator!B8=TRUE,Backdoors!BI39=TRUE),VLOOKUP(Calculator!E23,tbSkills!DH3:DJ6,3,FALSE),0),0))/100)))),1),"")</f>
        <v>1</v>
      </c>
      <c r="IW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T109)*IV109)*(VLOOKUP(A109,tbMoveset!A2:C112,3,FALSE)/100)*IF(VLOOKUP(A109,tbMoveset!A2:B112,2,FALSE)="Projectile",Backdoors!N10,Backdoors!N9),0),"")</f>
        <v/>
      </c>
      <c r="IX109" s="49">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40&gt;0,VLOOKUP(Calculator!E40,tbSkills!AC3:AD5,2,FALSE),Backdoors!AL3)*(IF((Backdoors!AI12+IF(IT109&gt;=0.45,VLOOKUP(Calculator!E23,tbSkills!DH3:DI6,2,FALSE)+IF(AND(Calculator!B8=TRUE,Backdoors!BI39=TRUE),VLOOKUP(Calculator!E23,tbSkills!DH3:DJ6,3,FALSE),0),0))&gt;=100,100,(Backdoors!AI12+IF(IT109&gt;=0.45,VLOOKUP(Calculator!E23,tbSkills!DH3:DI6,2,FALSE)+IF(AND(Calculator!B8=TRUE,Backdoors!BI39=TRUE),VLOOKUP(Calculator!E23,tbSkills!DH3:DJ6,3,FALSE),0),0)))/100)),1))*IF(VLOOKUP(A109,tbMoveset!A2:K112,11,FALSE)=TRUE,Backdoors!AC5,1))*IU109,0),"")</f>
        <v>0</v>
      </c>
      <c r="IY109" s="49">
        <f>VLOOKUP(A109,tbMoveset!A2:G112,7,FALSE)*IFERROR(IF(Backdoors!AI12&gt;=0,1+(IF(Calculator!E40&gt;0,VLOOKUP(Calculator!E40,tbSkills!AI3:AJ5,2,FALSE),Backdoors!AL4)*(IF((Backdoors!AI12+IF(IT109&gt;=0.45,VLOOKUP(Calculator!E23,tbSkills!DH3:DI6,2,FALSE)+IF(AND(Calculator!B8=TRUE,Backdoors!BI39=TRUE),VLOOKUP(Calculator!E23,tbSkills!DH3:DJ6,3,FALSE),0),0))&gt;=100,100,(Backdoors!AI12+IF(IT109&gt;=0.45,VLOOKUP(Calculator!E23,tbSkills!DH3:DI6,2,FALSE)+IF(AND(Calculator!B8=TRUE,Backdoors!BI39=TRUE),VLOOKUP(Calculator!E23,tbSkills!DH3:DJ6,3,FALSE),0),0)))/100)),1),1)</f>
        <v>0.6</v>
      </c>
      <c r="IZ109" s="87">
        <f t="shared" si="87"/>
        <v>0</v>
      </c>
      <c r="JA109" s="86" t="str">
        <f>IFERROR(IF(VLOOKUP(A109,tbMoveset!A2:B112,2,FALSE)="Sever",Backdoors!AY40/100,IF(VLOOKUP(A109,tbMoveset!A2:B112,2,FALSE)="Blunt",Backdoors!AZ40/100,Backdoors!BA40/100)),"")</f>
        <v/>
      </c>
      <c r="JB109" s="49">
        <f>IFERROR(IF(VLOOKUP(tbMoveset!A109,tbMoveset!A2:H112,8,FALSE)="Other",IF(VLOOKUP(tbMoveset!A109,tbMoveset!A2:I112,9,FALSE)="Fire",Backdoors!BB40,IF(VLOOKUP(tbMoveset!A109,tbMoveset!A2:I112,9,FALSE)="Water",Backdoors!BC40,IF(VLOOKUP(tbMoveset!A109,tbMoveset!A2:I112,9,FALSE)="Thunder",Backdoors!BD40,IF(VLOOKUP(tbMoveset!A109,tbMoveset!A2:I112,9,FALSE)="Ice",Backdoors!BE40,IF(VLOOKUP(tbMoveset!A109,tbMoveset!A2:I112,9,FALSE)="Dragon",Backdoors!BF40,Backdoors!BG40)))))/100,Backdoors!BG40/100),"")</f>
        <v>0</v>
      </c>
      <c r="JC109" s="49">
        <f>IFERROR(IF(VLOOKUP(A109,tbMoveset!A2:J112,10,FALSE)=TRUE,IF((Backdoors!AI12+IF(JA109&gt;=0.45,VLOOKUP(Calculator!E23,tbSkills!DH3:DI6,2,FALSE)+IF(AND(Calculator!B8=TRUE,Backdoors!BI40=TRUE),VLOOKUP(Calculator!E23,tbSkills!DH3:DJ6,3,FALSE),0),0))&gt;=0,1+(Backdoors!AL2*(IF((Backdoors!AI12+IF(JA109&gt;=0.45,VLOOKUP(Calculator!E23,tbSkills!DH3:DI6,2,FALSE)+IF(AND(Calculator!B8=TRUE,Backdoors!BI40=TRUE),VLOOKUP(Calculator!E23,tbSkills!DH3:DJ6,3,FALSE),0),0))&gt;=100,100,(Backdoors!AI12+IF(JA109&gt;=0.45,VLOOKUP(Calculator!E23,tbSkills!DH3:DI6,2,FALSE)+IF(AND(Calculator!B8=TRUE,Backdoors!BI40=TRUE),VLOOKUP(Calculator!E23,tbSkills!DH3:DJ6,3,FALSE),0),0)))/100)),(1-(0.25*((-Backdoors!AI12-IF(JA109&gt;=0.45,VLOOKUP(Calculator!E23,tbSkills!DH3:DI6,2,FALSE)+IF(AND(Calculator!B8=TRUE,Backdoors!BI40=TRUE),VLOOKUP(Calculator!E23,tbSkills!DH3:DJ6,3,FALSE),0),0))/100)))),1),"")</f>
        <v>1</v>
      </c>
      <c r="JD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A109)*JC109)*(VLOOKUP(A109,tbMoveset!A2:C112,3,FALSE)/100)*IF(VLOOKUP(A109,tbMoveset!A2:B112,2,FALSE)="Projectile",Backdoors!N10,Backdoors!N9),0),"")</f>
        <v/>
      </c>
      <c r="JE109" s="49">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42&gt;0,VLOOKUP(Calculator!E42,tbSkills!AC3:AD5,2,FALSE),Backdoors!AL3)*(IF((Backdoors!AI12+IF(JA109&gt;=0.45,VLOOKUP(Calculator!E23,tbSkills!DH3:DI6,2,FALSE)+IF(AND(Calculator!B8=TRUE,Backdoors!BI40=TRUE),VLOOKUP(Calculator!E23,tbSkills!DH3:DJ6,3,FALSE),0),0))&gt;=100,100,(Backdoors!AI12+IF(JA109&gt;=0.45,VLOOKUP(Calculator!E23,tbSkills!DH3:DI6,2,FALSE)+IF(AND(Calculator!B8=TRUE,Backdoors!BI40=TRUE),VLOOKUP(Calculator!E23,tbSkills!DH3:DJ6,3,FALSE),0),0)))/100)),1))*IF(VLOOKUP(A109,tbMoveset!A2:K112,11,FALSE)=TRUE,Backdoors!AC5,1))*JB109,0),"")</f>
        <v>0</v>
      </c>
      <c r="JF109" s="49">
        <f>VLOOKUP(A109,tbMoveset!A2:G112,7,FALSE)*IFERROR(IF(Backdoors!AI12&gt;=0,1+(IF(Calculator!E40&gt;0,VLOOKUP(Calculator!E40,tbSkills!AI3:AJ5,2,FALSE),Backdoors!AL4)*(IF((Backdoors!AI12+IF(JA109&gt;=0.45,VLOOKUP(Calculator!E23,tbSkills!DH3:DI6,2,FALSE)+IF(AND(Calculator!B8=TRUE,Backdoors!BI40=TRUE),VLOOKUP(Calculator!E23,tbSkills!DH3:DJ6,3,FALSE),0),0))&gt;=100,100,(Backdoors!AI12+IF(JA109&gt;=0.45,VLOOKUP(Calculator!E23,tbSkills!DH3:DI6,2,FALSE)+IF(AND(Calculator!B8=TRUE,Backdoors!BI40=TRUE),VLOOKUP(Calculator!E23,tbSkills!DH3:DJ6,3,FALSE),0),0)))/100)),1),1)</f>
        <v>0.6</v>
      </c>
      <c r="JG109" s="87">
        <f t="shared" si="88"/>
        <v>0</v>
      </c>
      <c r="JH109" s="86" t="str">
        <f>IFERROR(IF(VLOOKUP(A109,tbMoveset!A2:B112,2,FALSE)="Sever",Backdoors!AY41/100,IF(VLOOKUP(A109,tbMoveset!A2:B112,2,FALSE)="Blunt",Backdoors!AZ41/100,Backdoors!BA41/100)),"")</f>
        <v/>
      </c>
      <c r="JI109" s="49">
        <f>IFERROR(IF(VLOOKUP(tbMoveset!A109,tbMoveset!A2:H112,8,FALSE)="Other",IF(VLOOKUP(tbMoveset!A109,tbMoveset!A2:I112,9,FALSE)="Fire",Backdoors!BB41,IF(VLOOKUP(tbMoveset!A109,tbMoveset!A2:I112,9,FALSE)="Water",Backdoors!BC41,IF(VLOOKUP(tbMoveset!A109,tbMoveset!A2:I112,9,FALSE)="Thunder",Backdoors!BD41,IF(VLOOKUP(tbMoveset!A109,tbMoveset!A2:I112,9,FALSE)="Ice",Backdoors!BE41,IF(VLOOKUP(tbMoveset!A109,tbMoveset!A2:I112,9,FALSE)="Dragon",Backdoors!BF41,Backdoors!BG41)))))/100,Backdoors!BG41/100),"")</f>
        <v>0</v>
      </c>
      <c r="JJ109" s="49">
        <f>IFERROR(IF(VLOOKUP(A109,tbMoveset!A2:J112,10,FALSE)=TRUE,IF((Backdoors!AI12+IF(JH109&gt;=0.45,VLOOKUP(Calculator!E23,tbSkills!DH3:DI6,2,FALSE)+IF(AND(Calculator!B8=TRUE,Backdoors!BI41=TRUE),VLOOKUP(Calculator!E23,tbSkills!DH3:DJ6,3,FALSE),0),0))&gt;=0,1+(Backdoors!AL2*(IF((Backdoors!AI12+IF(JH109&gt;=0.45,VLOOKUP(Calculator!E23,tbSkills!DH3:DI6,2,FALSE)+IF(AND(Calculator!B8=TRUE,Backdoors!BI41=TRUE),VLOOKUP(Calculator!E23,tbSkills!DH3:DJ6,3,FALSE),0),0))&gt;=100,100,(Backdoors!AI12+IF(JH109&gt;=0.45,VLOOKUP(Calculator!E23,tbSkills!DH3:DI6,2,FALSE)+IF(AND(Calculator!B8=TRUE,Backdoors!BI41=TRUE),VLOOKUP(Calculator!E23,tbSkills!DH3:DJ6,3,FALSE),0),0)))/100)),(1-(0.25*((-Backdoors!AI12-IF(JH109&gt;=0.45,VLOOKUP(Calculator!E23,tbSkills!DH3:DI6,2,FALSE)+IF(AND(Calculator!B8=TRUE,Backdoors!BI41=TRUE),VLOOKUP(Calculator!E23,tbSkills!DH3:DJ6,3,FALSE),0),0))/100)))),1),"")</f>
        <v>1</v>
      </c>
      <c r="JK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H109)*JJ109)*(VLOOKUP(A109,tbMoveset!A2:C112,3,FALSE)/100)*IF(VLOOKUP(A109,tbMoveset!A2:B112,2,FALSE)="Projectile",Backdoors!N10,Backdoors!N9),0),"")</f>
        <v/>
      </c>
      <c r="JL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43&gt;0,VLOOKUP(Calculator!E43,tbSkills!AC3:AD5,2,FALSE),Backdoors!AL3)*(IF((Backdoors!AI12+IF(JH109&gt;=0.45,VLOOKUP(Calculator!E23,tbSkills!DH3:DI6,2,FALSE)+IF(AND(Calculator!B8=TRUE,Backdoors!BI41=TRUE),VLOOKUP(Calculator!E23,tbSkills!DH3:DJ6,3,FALSE),0),0))&gt;=100,100,(Backdoors!AI12+IF(JH109&gt;=0.45,VLOOKUP(Calculator!E23,tbSkills!DH3:DI6,2,FALSE)+IF(AND(Calculator!B8=TRUE,Backdoors!BI41=TRUE),VLOOKUP(Calculator!E23,tbSkills!DH3:DJ6,3,FALSE),0),0)))/100)),1))*IF(VLOOKUP(A109,tbMoveset!A2:K112,11,FALSE)=TRUE,Backdoors!AC5,1))*JI109,0),"")</f>
        <v/>
      </c>
      <c r="JM109" s="49">
        <f>VLOOKUP(A109,tbMoveset!A2:G112,7,FALSE)*IFERROR(IF(Backdoors!AI12&gt;=0,1+(IF(Calculator!E40&gt;0,VLOOKUP(Calculator!E40,tbSkills!AI3:AJ5,2,FALSE),Backdoors!AL4)*(IF((Backdoors!AI12+IF(JH109&gt;=0.45,VLOOKUP(Calculator!E23,tbSkills!DH3:DI6,2,FALSE)+IF(AND(Calculator!B8=TRUE,Backdoors!BI41=TRUE),VLOOKUP(Calculator!E23,tbSkills!DH3:DJ6,3,FALSE),0),0))&gt;=100,100,(Backdoors!AI12+IF(JH109&gt;=0.45,VLOOKUP(Calculator!E23,tbSkills!DH3:DI6,2,FALSE)+IF(AND(Calculator!B8=TRUE,Backdoors!BI41=TRUE),VLOOKUP(Calculator!E23,tbSkills!DH3:DJ6,3,FALSE),0),0)))/100)),1),1)</f>
        <v>0.6</v>
      </c>
      <c r="JN109" s="87">
        <f t="shared" si="89"/>
        <v>0</v>
      </c>
      <c r="JO109" s="86" t="str">
        <f>IFERROR(IF(VLOOKUP(A109,tbMoveset!A2:B112,2,FALSE)="Sever",Backdoors!AY42/100,IF(VLOOKUP(A109,tbMoveset!A2:B112,2,FALSE)="Blunt",Backdoors!AZ42/100,Backdoors!BA42/100)),"")</f>
        <v/>
      </c>
      <c r="JP109" s="49">
        <f>IFERROR(IF(VLOOKUP(tbMoveset!A109,tbMoveset!A2:H112,8,FALSE)="Other",IF(VLOOKUP(tbMoveset!A109,tbMoveset!A2:I112,9,FALSE)="Fire",Backdoors!BB42,IF(VLOOKUP(tbMoveset!A109,tbMoveset!A2:I112,9,FALSE)="Water",Backdoors!BC42,IF(VLOOKUP(tbMoveset!A109,tbMoveset!A2:I112,9,FALSE)="Thunder",Backdoors!BD42,IF(VLOOKUP(tbMoveset!A109,tbMoveset!A2:I112,9,FALSE)="Ice",Backdoors!BE42,IF(VLOOKUP(tbMoveset!A109,tbMoveset!A2:I112,9,FALSE)="Dragon",Backdoors!BF42,Backdoors!BG42)))))/100,Backdoors!BG42/100),"")</f>
        <v>0</v>
      </c>
      <c r="JQ109" s="49">
        <f>IFERROR(IF(VLOOKUP(A109,tbMoveset!A2:J112,10,FALSE)=TRUE,IF((Backdoors!AI12+IF(JO109&gt;=0.45,VLOOKUP(Calculator!E23,tbSkills!DH3:DI6,2,FALSE)+IF(AND(Calculator!B8=TRUE,Backdoors!BI42=TRUE),VLOOKUP(Calculator!E23,tbSkills!DH3:DJ6,3,FALSE),0),0))&gt;=0,1+(Backdoors!AL2*(IF((Backdoors!AI12+IF(JO109&gt;=0.45,VLOOKUP(Calculator!E23,tbSkills!DH3:DI6,2,FALSE)+IF(AND(Calculator!B8=TRUE,Backdoors!BI42=TRUE),VLOOKUP(Calculator!E23,tbSkills!DH3:DJ6,3,FALSE),0),0))&gt;=100,100,(Backdoors!AI12+IF(JO109&gt;=0.45,VLOOKUP(Calculator!E23,tbSkills!DH3:DI6,2,FALSE)+IF(AND(Calculator!B8=TRUE,Backdoors!BI42=TRUE),VLOOKUP(Calculator!E23,tbSkills!DH3:DJ6,3,FALSE),0),0)))/100)),(1-(0.25*((-Backdoors!AI12-IF(JO109&gt;=0.45,VLOOKUP(Calculator!E23,tbSkills!DH3:DI6,2,FALSE)+IF(AND(Calculator!B8=TRUE,Backdoors!BI42=TRUE),VLOOKUP(Calculator!E23,tbSkills!DH3:DJ6,3,FALSE),0),0))/100)))),1),"")</f>
        <v>1</v>
      </c>
      <c r="JR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O109)*JQ109)*(VLOOKUP(A109,tbMoveset!A2:C112,3,FALSE)/100)*IF(VLOOKUP(A109,tbMoveset!A2:B112,2,FALSE)="Projectile",Backdoors!N10,Backdoors!N9),0),"")</f>
        <v/>
      </c>
      <c r="JS109" s="49">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45&gt;0,VLOOKUP(Calculator!E45,tbSkills!AC3:AD5,2,FALSE),Backdoors!AL3)*(IF((Backdoors!AI12+IF(JO109&gt;=0.45,VLOOKUP(Calculator!E23,tbSkills!DH3:DI6,2,FALSE)+IF(AND(Calculator!B8=TRUE,Backdoors!BI42=TRUE),VLOOKUP(Calculator!E23,tbSkills!DH3:DJ6,3,FALSE),0),0))&gt;=100,100,(Backdoors!AI12+IF(JO109&gt;=0.45,VLOOKUP(Calculator!E23,tbSkills!DH3:DI6,2,FALSE)+IF(AND(Calculator!B8=TRUE,Backdoors!BI42=TRUE),VLOOKUP(Calculator!E23,tbSkills!DH3:DJ6,3,FALSE),0),0)))/100)),1))*IF(VLOOKUP(A109,tbMoveset!A2:K112,11,FALSE)=TRUE,Backdoors!AC5,1))*JP109,0),"")</f>
        <v>0</v>
      </c>
      <c r="JT109" s="49">
        <f>VLOOKUP(A109,tbMoveset!A2:G112,7,FALSE)*IFERROR(IF(Backdoors!AI12&gt;=0,1+(IF(Calculator!E40&gt;0,VLOOKUP(Calculator!E40,tbSkills!AI3:AJ5,2,FALSE),Backdoors!AL4)*(IF((Backdoors!AI12+IF(JO109&gt;=0.45,VLOOKUP(Calculator!E23,tbSkills!DH3:DI6,2,FALSE)+IF(AND(Calculator!B8=TRUE,Backdoors!BI42=TRUE),VLOOKUP(Calculator!E23,tbSkills!DH3:DJ6,3,FALSE),0),0))&gt;=100,100,(Backdoors!AI12+IF(JO109&gt;=0.45,VLOOKUP(Calculator!E23,tbSkills!DH3:DI6,2,FALSE)+IF(AND(Calculator!B8=TRUE,Backdoors!BI42=TRUE),VLOOKUP(Calculator!E23,tbSkills!DH3:DJ6,3,FALSE),0),0)))/100)),1),1)</f>
        <v>0.6</v>
      </c>
      <c r="JU109" s="87">
        <f t="shared" si="90"/>
        <v>0</v>
      </c>
      <c r="JV109" s="86" t="str">
        <f>IFERROR(IF(VLOOKUP(A109,tbMoveset!A2:B112,2,FALSE)="Sever",Backdoors!AY43/100,IF(VLOOKUP(A109,tbMoveset!A2:B112,2,FALSE)="Blunt",Backdoors!AZ43/100,Backdoors!BA43/100)),"")</f>
        <v/>
      </c>
      <c r="JW109" s="49">
        <f>IFERROR(IF(VLOOKUP(tbMoveset!A109,tbMoveset!A2:H112,8,FALSE)="Other",IF(VLOOKUP(tbMoveset!A109,tbMoveset!A2:I112,9,FALSE)="Fire",Backdoors!BB43,IF(VLOOKUP(tbMoveset!A109,tbMoveset!A2:I112,9,FALSE)="Water",Backdoors!BC43,IF(VLOOKUP(tbMoveset!A109,tbMoveset!A2:I112,9,FALSE)="Thunder",Backdoors!BD43,IF(VLOOKUP(tbMoveset!A109,tbMoveset!A2:I112,9,FALSE)="Ice",Backdoors!BE43,IF(VLOOKUP(tbMoveset!A109,tbMoveset!A2:I112,9,FALSE)="Dragon",Backdoors!BF43,Backdoors!BG43)))))/100,Backdoors!BG43/100),"")</f>
        <v>0</v>
      </c>
      <c r="JX109" s="49">
        <f>IFERROR(IF(VLOOKUP(A109,tbMoveset!A2:J112,10,FALSE)=TRUE,IF((Backdoors!AI12+IF(JV109&gt;=0.45,VLOOKUP(Calculator!E23,tbSkills!DH3:DI6,2,FALSE)+IF(AND(Calculator!B8=TRUE,Backdoors!BI43=TRUE),VLOOKUP(Calculator!E23,tbSkills!DH3:DJ6,3,FALSE),0),0))&gt;=0,1+(Backdoors!AL2*(IF((Backdoors!AI12+IF(JV109&gt;=0.45,VLOOKUP(Calculator!E23,tbSkills!DH3:DI6,2,FALSE)+IF(AND(Calculator!B8=TRUE,Backdoors!BI43=TRUE),VLOOKUP(Calculator!E23,tbSkills!DH3:DJ6,3,FALSE),0),0))&gt;=100,100,(Backdoors!AI12+IF(JV109&gt;=0.45,VLOOKUP(Calculator!E23,tbSkills!DH3:DI6,2,FALSE)+IF(AND(Calculator!B8=TRUE,Backdoors!BI43=TRUE),VLOOKUP(Calculator!E23,tbSkills!DH3:DJ6,3,FALSE),0),0)))/100)),(1-(0.25*((-Backdoors!AI12-IF(JV109&gt;=0.45,VLOOKUP(Calculator!E23,tbSkills!DH3:DI6,2,FALSE)+IF(AND(Calculator!B8=TRUE,Backdoors!BI43=TRUE),VLOOKUP(Calculator!E23,tbSkills!DH3:DJ6,3,FALSE),0),0))/100)))),1),"")</f>
        <v>1</v>
      </c>
      <c r="JY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V109)*JX109)*(VLOOKUP(A109,tbMoveset!A2:C112,3,FALSE)/100)*IF(VLOOKUP(A109,tbMoveset!A2:B112,2,FALSE)="Projectile",Backdoors!N10,Backdoors!N9),0),"")</f>
        <v/>
      </c>
      <c r="JZ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46&gt;0,VLOOKUP(Calculator!E46,tbSkills!AC3:AD5,2,FALSE),Backdoors!AL3)*(IF((Backdoors!AI12+IF(JV109&gt;=0.45,VLOOKUP(Calculator!E23,tbSkills!DH3:DI6,2,FALSE)+IF(AND(Calculator!B8=TRUE,Backdoors!BI43=TRUE),VLOOKUP(Calculator!E23,tbSkills!DH3:DJ6,3,FALSE),0),0))&gt;=100,100,(Backdoors!AI12+IF(JV109&gt;=0.45,VLOOKUP(Calculator!E23,tbSkills!DH3:DI6,2,FALSE)+IF(AND(Calculator!B8=TRUE,Backdoors!BI43=TRUE),VLOOKUP(Calculator!E23,tbSkills!DH3:DJ6,3,FALSE),0),0)))/100)),1))*IF(VLOOKUP(A109,tbMoveset!A2:K112,11,FALSE)=TRUE,Backdoors!AC5,1))*JW109,0),"")</f>
        <v/>
      </c>
      <c r="KA109" s="49">
        <f>VLOOKUP(A109,tbMoveset!A2:G112,7,FALSE)*IFERROR(IF(Backdoors!AI12&gt;=0,1+(IF(Calculator!E40&gt;0,VLOOKUP(Calculator!E40,tbSkills!AI3:AJ5,2,FALSE),Backdoors!AL4)*(IF((Backdoors!AI12+IF(JV109&gt;=0.45,VLOOKUP(Calculator!E23,tbSkills!DH3:DI6,2,FALSE)+IF(AND(Calculator!B8=TRUE,Backdoors!BI43=TRUE),VLOOKUP(Calculator!E23,tbSkills!DH3:DJ6,3,FALSE),0),0))&gt;=100,100,(Backdoors!AI12+IF(JV109&gt;=0.45,VLOOKUP(Calculator!E23,tbSkills!DH3:DI6,2,FALSE)+IF(AND(Calculator!B8=TRUE,Backdoors!BI43=TRUE),VLOOKUP(Calculator!E23,tbSkills!DH3:DJ6,3,FALSE),0),0)))/100)),1),1)</f>
        <v>0.6</v>
      </c>
      <c r="KB109" s="87">
        <f t="shared" si="91"/>
        <v>0</v>
      </c>
      <c r="KC109" s="86" t="str">
        <f>IFERROR(IF(VLOOKUP(A109,tbMoveset!A2:B112,2,FALSE)="Sever",Backdoors!AY44/100,IF(VLOOKUP(A109,tbMoveset!A2:B112,2,FALSE)="Blunt",Backdoors!AZ44/100,Backdoors!BA44/100)),"")</f>
        <v/>
      </c>
      <c r="KD109" s="49">
        <f>IFERROR(IF(VLOOKUP(tbMoveset!A109,tbMoveset!A2:H112,8,FALSE)="Other",IF(VLOOKUP(tbMoveset!A109,tbMoveset!A2:I112,9,FALSE)="Fire",Backdoors!BB44,IF(VLOOKUP(tbMoveset!A109,tbMoveset!A2:I112,9,FALSE)="Water",Backdoors!BC44,IF(VLOOKUP(tbMoveset!A109,tbMoveset!A2:I112,9,FALSE)="Thunder",Backdoors!BD44,IF(VLOOKUP(tbMoveset!A109,tbMoveset!A2:I112,9,FALSE)="Ice",Backdoors!BE44,IF(VLOOKUP(tbMoveset!A109,tbMoveset!A2:I112,9,FALSE)="Dragon",Backdoors!BF44,Backdoors!BG44)))))/100,Backdoors!BG44/100),"")</f>
        <v>0</v>
      </c>
      <c r="KE109" s="49">
        <f>IFERROR(IF(VLOOKUP(A109,tbMoveset!A2:J112,10,FALSE)=TRUE,IF((Backdoors!AI12+IF(KC109&gt;=0.45,VLOOKUP(Calculator!E23,tbSkills!DH3:DI6,2,FALSE)+IF(AND(Calculator!B8=TRUE,Backdoors!BI44=TRUE),VLOOKUP(Calculator!E23,tbSkills!DH3:DJ6,3,FALSE),0),0))&gt;=0,1+(Backdoors!AL2*(IF((Backdoors!AI12+IF(KC109&gt;=0.45,VLOOKUP(Calculator!E23,tbSkills!DH3:DI6,2,FALSE)+IF(AND(Calculator!B8=TRUE,Backdoors!BI44=TRUE),VLOOKUP(Calculator!E23,tbSkills!DH3:DJ6,3,FALSE),0),0))&gt;=100,100,(Backdoors!AI12+IF(KC109&gt;=0.45,VLOOKUP(Calculator!E23,tbSkills!DH3:DI6,2,FALSE)+IF(AND(Calculator!B8=TRUE,Backdoors!BI44=TRUE),VLOOKUP(Calculator!E23,tbSkills!DH3:DJ6,3,FALSE),0),0)))/100)),(1-(0.25*((-Backdoors!AI12-IF(KC109&gt;=0.45,VLOOKUP(Calculator!E23,tbSkills!DH3:DI6,2,FALSE)+IF(AND(Calculator!B8=TRUE,Backdoors!BI44=TRUE),VLOOKUP(Calculator!E23,tbSkills!DH3:DJ6,3,FALSE),0),0))/100)))),1),"")</f>
        <v>1</v>
      </c>
      <c r="KF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KC109)*KE109)*(VLOOKUP(A109,tbMoveset!A2:C112,3,FALSE)/100)*IF(VLOOKUP(A109,tbMoveset!A2:B112,2,FALSE)="Projectile",Backdoors!N10,Backdoors!N9),0),"")</f>
        <v/>
      </c>
      <c r="KG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REF!&gt;0,VLOOKUP(Calculator!#REF!,tbSkills!AC3:AD5,2,FALSE),Backdoors!AL3)*(IF((Backdoors!AI12+IF(KC109&gt;=0.45,VLOOKUP(Calculator!E23,tbSkills!DH3:DI6,2,FALSE)+IF(AND(Calculator!B8=TRUE,Backdoors!BI44=TRUE),VLOOKUP(Calculator!E23,tbSkills!DH3:DJ6,3,FALSE),0),0))&gt;=100,100,(Backdoors!AI12+IF(KC109&gt;=0.45,VLOOKUP(Calculator!E23,tbSkills!DH3:DI6,2,FALSE)+IF(AND(Calculator!B8=TRUE,Backdoors!BI44=TRUE),VLOOKUP(Calculator!E23,tbSkills!DH3:DJ6,3,FALSE),0),0)))/100)),1))*IF(VLOOKUP(A109,tbMoveset!A2:K112,11,FALSE)=TRUE,Backdoors!AC5,1))*KD109,0),"")</f>
        <v/>
      </c>
      <c r="KH109" s="49">
        <f>VLOOKUP(A109,tbMoveset!A2:G112,7,FALSE)*IFERROR(IF(Backdoors!AI12&gt;=0,1+(IF(Calculator!E40&gt;0,VLOOKUP(Calculator!E40,tbSkills!AI3:AJ5,2,FALSE),Backdoors!AL4)*(IF((Backdoors!AI12+IF(KC109&gt;=0.45,VLOOKUP(Calculator!E23,tbSkills!DH3:DI6,2,FALSE)+IF(AND(Calculator!B8=TRUE,Backdoors!BI44=TRUE),VLOOKUP(Calculator!E23,tbSkills!DH3:DJ6,3,FALSE),0),0))&gt;=100,100,(Backdoors!AI12+IF(KC109&gt;=0.45,VLOOKUP(Calculator!E23,tbSkills!DH3:DI6,2,FALSE)+IF(AND(Calculator!B8=TRUE,Backdoors!BI44=TRUE),VLOOKUP(Calculator!E23,tbSkills!DH3:DJ6,3,FALSE),0),0)))/100)),1),1)</f>
        <v>0.6</v>
      </c>
      <c r="KI109" s="87">
        <f t="shared" si="92"/>
        <v>0</v>
      </c>
      <c r="KJ109" s="86" t="str">
        <f>IFERROR(IF(VLOOKUP(A109,tbMoveset!A2:B112,2,FALSE)="Sever",Backdoors!AY45/100,IF(VLOOKUP(A109,tbMoveset!A2:B112,2,FALSE)="Blunt",Backdoors!AZ45/100,Backdoors!BA45/100)),"")</f>
        <v/>
      </c>
      <c r="KK109" s="49">
        <f>IFERROR(IF(VLOOKUP(tbMoveset!A109,tbMoveset!A2:H112,8,FALSE)="Other",IF(VLOOKUP(tbMoveset!A109,tbMoveset!A2:I112,9,FALSE)="Fire",Backdoors!BB45,IF(VLOOKUP(tbMoveset!A109,tbMoveset!A2:I112,9,FALSE)="Water",Backdoors!BC45,IF(VLOOKUP(tbMoveset!A109,tbMoveset!A2:I112,9,FALSE)="Thunder",Backdoors!BD45,IF(VLOOKUP(tbMoveset!A109,tbMoveset!A2:I112,9,FALSE)="Ice",Backdoors!BE45,IF(VLOOKUP(tbMoveset!A109,tbMoveset!A2:I112,9,FALSE)="Dragon",Backdoors!BF45,Backdoors!BG45)))))/100,Backdoors!BG45/100),"")</f>
        <v>0</v>
      </c>
      <c r="KL109" s="49">
        <f>IFERROR(IF(VLOOKUP(A109,tbMoveset!A2:J112,10,FALSE)=TRUE,IF((Backdoors!AI12+IF(KJ109&gt;=0.45,VLOOKUP(Calculator!E23,tbSkills!DH3:DI6,2,FALSE)+IF(AND(Calculator!B8=TRUE,Backdoors!BI45=TRUE),VLOOKUP(Calculator!E23,tbSkills!DH3:DJ6,3,FALSE),0),0))&gt;=0,1+(Backdoors!AL2*(IF((Backdoors!AI12+IF(KJ109&gt;=0.45,VLOOKUP(Calculator!E23,tbSkills!DH3:DI6,2,FALSE)+IF(AND(Calculator!B8=TRUE,Backdoors!BI45=TRUE),VLOOKUP(Calculator!E23,tbSkills!DH3:DJ6,3,FALSE),0),0))&gt;=100,100,(Backdoors!AI12+IF(KJ109&gt;=0.45,VLOOKUP(Calculator!E23,tbSkills!DH3:DI6,2,FALSE)+IF(AND(Calculator!B8=TRUE,Backdoors!BI45=TRUE),VLOOKUP(Calculator!E23,tbSkills!DH3:DJ6,3,FALSE),0),0)))/100)),(1-(0.25*((-Backdoors!AI12-IF(KJ109&gt;=0.45,VLOOKUP(Calculator!E23,tbSkills!DH3:DI6,2,FALSE)+IF(AND(Calculator!B8=TRUE,Backdoors!BI45=TRUE),VLOOKUP(Calculator!E23,tbSkills!DH3:DJ6,3,FALSE),0),0))/100)))),1),"")</f>
        <v>1</v>
      </c>
      <c r="KM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KJ109)*KL109)*(VLOOKUP(A109,tbMoveset!A2:C112,3,FALSE)/100)*IF(VLOOKUP(A109,tbMoveset!A2:B112,2,FALSE)="Projectile",Backdoors!N10,Backdoors!N9),0),"")</f>
        <v/>
      </c>
      <c r="KN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REF!&gt;0,VLOOKUP(Calculator!#REF!,tbSkills!AC3:AD5,2,FALSE),Backdoors!AL3)*(IF((Backdoors!AI12+IF(KJ109&gt;=0.45,VLOOKUP(Calculator!E23,tbSkills!DH3:DI6,2,FALSE)+IF(AND(Calculator!B8=TRUE,Backdoors!BI45=TRUE),VLOOKUP(Calculator!E23,tbSkills!DH3:DJ6,3,FALSE),0),0))&gt;=100,100,(Backdoors!AI12+IF(KJ109&gt;=0.45,VLOOKUP(Calculator!E23,tbSkills!DH3:DI6,2,FALSE)+IF(AND(Calculator!B8=TRUE,Backdoors!BI45=TRUE),VLOOKUP(Calculator!E23,tbSkills!DH3:DJ6,3,FALSE),0),0)))/100)),1))*IF(VLOOKUP(A109,tbMoveset!A2:K112,11,FALSE)=TRUE,Backdoors!AC5,1))*KK109,0),"")</f>
        <v/>
      </c>
      <c r="KO109" s="49">
        <f>VLOOKUP(A109,tbMoveset!A2:G112,7,FALSE)*IFERROR(IF(Backdoors!AI12&gt;=0,1+(IF(Calculator!E40&gt;0,VLOOKUP(Calculator!E40,tbSkills!AI3:AJ5,2,FALSE),Backdoors!AL4)*(IF((Backdoors!AI12+IF(KJ109&gt;=0.45,VLOOKUP(Calculator!E23,tbSkills!DH3:DI6,2,FALSE)+IF(AND(Calculator!B8=TRUE,Backdoors!BI45=TRUE),VLOOKUP(Calculator!E23,tbSkills!DH3:DJ6,3,FALSE),0),0))&gt;=100,100,(Backdoors!AI12+IF(KJ109&gt;=0.45,VLOOKUP(Calculator!E23,tbSkills!DH3:DI6,2,FALSE)+IF(AND(Calculator!B8=TRUE,Backdoors!BI45=TRUE),VLOOKUP(Calculator!E23,tbSkills!DH3:DJ6,3,FALSE),0),0)))/100)),1),1)</f>
        <v>0.6</v>
      </c>
      <c r="KP109" s="87">
        <f t="shared" si="93"/>
        <v>0</v>
      </c>
      <c r="KQ109" s="86" t="str">
        <f>IFERROR(IF(VLOOKUP(A109,tbMoveset!A2:B112,2,FALSE)="Sever",Backdoors!AY46/100,IF(VLOOKUP(A109,tbMoveset!A2:B112,2,FALSE)="Blunt",Backdoors!AZ46/100,Backdoors!BA46/100)),"")</f>
        <v/>
      </c>
      <c r="KR109" s="49">
        <f>IFERROR(IF(VLOOKUP(tbMoveset!A109,tbMoveset!A2:H112,8,FALSE)="Other",IF(VLOOKUP(tbMoveset!A109,tbMoveset!A2:I112,9,FALSE)="Fire",Backdoors!BB46,IF(VLOOKUP(tbMoveset!A109,tbMoveset!A2:I112,9,FALSE)="Water",Backdoors!BC46,IF(VLOOKUP(tbMoveset!A109,tbMoveset!A2:I112,9,FALSE)="Thunder",Backdoors!BD46,IF(VLOOKUP(tbMoveset!A109,tbMoveset!A2:I112,9,FALSE)="Ice",Backdoors!BE46,IF(VLOOKUP(tbMoveset!A109,tbMoveset!A2:I112,9,FALSE)="Dragon",Backdoors!BF46,Backdoors!BG46)))))/100,Backdoors!BG46/100),"")</f>
        <v>0</v>
      </c>
      <c r="KS109" s="49">
        <f>IFERROR(IF(VLOOKUP(A109,tbMoveset!A2:J112,10,FALSE)=TRUE,IF((Backdoors!AI12+IF(KQ109&gt;=0.45,VLOOKUP(Calculator!E23,tbSkills!DH3:DI6,2,FALSE)+IF(AND(Calculator!B8=TRUE,Backdoors!BI46=TRUE),VLOOKUP(Calculator!E23,tbSkills!DH3:DJ6,3,FALSE),0),0))&gt;=0,1+(Backdoors!AL2*(IF((Backdoors!AI12+IF(KQ109&gt;=0.45,VLOOKUP(Calculator!E23,tbSkills!DH3:DI6,2,FALSE)+IF(AND(Calculator!B8=TRUE,Backdoors!BI46=TRUE),VLOOKUP(Calculator!E23,tbSkills!DH3:DJ6,3,FALSE),0),0))&gt;=100,100,(Backdoors!AI12+IF(KQ109&gt;=0.45,VLOOKUP(Calculator!E23,tbSkills!DH3:DI6,2,FALSE)+IF(AND(Calculator!B8=TRUE,Backdoors!BI46=TRUE),VLOOKUP(Calculator!E23,tbSkills!DH3:DJ6,3,FALSE),0),0)))/100)),(1-(0.25*((-Backdoors!AI12-IF(KQ109&gt;=0.45,VLOOKUP(Calculator!E23,tbSkills!DH3:DI6,2,FALSE)+IF(AND(Calculator!B8=TRUE,Backdoors!BI46=TRUE),VLOOKUP(Calculator!E23,tbSkills!DH3:DJ6,3,FALSE),0),0))/100)))),1),"")</f>
        <v>1</v>
      </c>
      <c r="KT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KQ109)*KS109)*(VLOOKUP(A109,tbMoveset!A2:C112,3,FALSE)/100)*IF(VLOOKUP(A109,tbMoveset!A2:B112,2,FALSE)="Projectile",Backdoors!N10,Backdoors!N9),0),"")</f>
        <v/>
      </c>
      <c r="KU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REF!&gt;0,VLOOKUP(Calculator!#REF!,tbSkills!AC3:AD5,2,FALSE),Backdoors!AL3)*(IF((Backdoors!AI12+IF(KQ109&gt;=0.45,VLOOKUP(Calculator!E23,tbSkills!DH3:DI6,2,FALSE)+IF(AND(Calculator!B8=TRUE,Backdoors!BI46=TRUE),VLOOKUP(Calculator!E23,tbSkills!DH3:DJ6,3,FALSE),0),0))&gt;=100,100,(Backdoors!AI12+IF(KQ109&gt;=0.45,VLOOKUP(Calculator!E23,tbSkills!DH3:DI6,2,FALSE)+IF(AND(Calculator!B8=TRUE,Backdoors!BI46=TRUE),VLOOKUP(Calculator!E23,tbSkills!DH3:DJ6,3,FALSE),0),0)))/100)),1))*IF(VLOOKUP(A109,tbMoveset!A2:K112,11,FALSE)=TRUE,Backdoors!AC5,1))*KR109,0),"")</f>
        <v/>
      </c>
      <c r="KV109" s="49">
        <f>VLOOKUP(A109,tbMoveset!A2:G112,7,FALSE)*IFERROR(IF(Backdoors!AI12&gt;=0,1+(IF(Calculator!E40&gt;0,VLOOKUP(Calculator!E40,tbSkills!AI3:AJ5,2,FALSE),Backdoors!AL4)*(IF((Backdoors!AI12+IF(KQ109&gt;=0.45,VLOOKUP(Calculator!E23,tbSkills!DH3:DI6,2,FALSE)+IF(AND(Calculator!B8=TRUE,Backdoors!BI46=TRUE),VLOOKUP(Calculator!E23,tbSkills!DH3:DJ6,3,FALSE),0),0))&gt;=100,100,(Backdoors!AI12+IF(KQ109&gt;=0.45,VLOOKUP(Calculator!E23,tbSkills!DH3:DI6,2,FALSE)+IF(AND(Calculator!B8=TRUE,Backdoors!BI46=TRUE),VLOOKUP(Calculator!E23,tbSkills!DH3:DJ6,3,FALSE),0),0)))/100)),1),1)</f>
        <v>0.6</v>
      </c>
      <c r="KW109" s="87">
        <f t="shared" si="94"/>
        <v>0</v>
      </c>
    </row>
    <row r="110" spans="1:309" x14ac:dyDescent="0.25">
      <c r="A110" s="95" t="str">
        <f>tbMoveset!A110</f>
        <v>[Mounting] Demon Flurry (L Final)</v>
      </c>
      <c r="B110" s="86">
        <f>IFERROR(IF(VLOOKUP(A110,tbMoveset!A2:B112,2,FALSE)="Sever",Backdoors!AY3/100,IF(VLOOKUP(A110,tbMoveset!A2:B112,2,FALSE)="Blunt",Backdoors!AZ3/100,Backdoors!BA3/100)),"")</f>
        <v>0.8</v>
      </c>
      <c r="C110" s="49">
        <f>IFERROR(IF(VLOOKUP(tbMoveset!A110,tbMoveset!A2:H112,8,FALSE)="Other",IF(VLOOKUP(tbMoveset!A110,tbMoveset!A2:I112,9,FALSE)="Fire",Backdoors!BB3,IF(VLOOKUP(tbMoveset!A110,tbMoveset!A2:I112,9,FALSE)="Water",Backdoors!BC3,IF(VLOOKUP(tbMoveset!A110,tbMoveset!A2:I112,9,FALSE)="Thunder",Backdoors!BD3,IF(VLOOKUP(tbMoveset!A110,tbMoveset!A2:I112,9,FALSE)="Ice",Backdoors!BE3,IF(VLOOKUP(tbMoveset!A110,tbMoveset!A2:I112,9,FALSE)="Dragon",Backdoors!BF3,Backdoors!BG3)))))/100,Backdoors!BG3/100),"")</f>
        <v>0</v>
      </c>
      <c r="D110" s="49">
        <f>IFERROR(IF(VLOOKUP(A110,tbMoveset!A2:J112,10,FALSE)=TRUE,IF((Backdoors!AI12+IF(B110&gt;=0.45,VLOOKUP(Calculator!E23,tbSkills!DH3:DI6,2,FALSE)+IF(AND(Calculator!B8=TRUE,Backdoors!BI3=TRUE),VLOOKUP(Calculator!E23,tbSkills!DH3:DJ6,3,FALSE),0),0))&gt;=0,1+(Backdoors!AL2*(IF((Backdoors!AI12+IF(B110&gt;=0.45,VLOOKUP(Calculator!E23,tbSkills!DH3:DI6,2,FALSE)+IF(AND(Calculator!B8=TRUE,Backdoors!BI3=TRUE),VLOOKUP(Calculator!E23,tbSkills!DH3:DJ6,3,FALSE),0),0))&gt;=100,100,(Backdoors!AI12+IF(B110&gt;=0.45,VLOOKUP(Calculator!E23,tbSkills!DH3:DI6,2,FALSE)+IF(AND(Calculator!B8=TRUE,Backdoors!BI3=TRUE),VLOOKUP(Calculator!E23,tbSkills!DH3:DJ6,3,FALSE),0),0)))/100)),(1-(0.25*((-Backdoors!AI12-IF(B110&gt;=0.45,VLOOKUP(Calculator!E23,tbSkills!DH3:DI6,2,FALSE)+IF(AND(Calculator!B8=TRUE,Backdoors!BI3=TRUE),VLOOKUP(Calculator!E23,tbSkills!DH3:DJ6,3,FALSE),0),0))/100)))),1),"")</f>
        <v>1</v>
      </c>
      <c r="E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110)*D110)*(VLOOKUP(A110,tbMoveset!A2:C112,3,FALSE)/100)*IF(VLOOKUP(A110,tbMoveset!A2:B112,2,FALSE)="Projectile",Backdoors!N10,Backdoors!N9),0),"")</f>
        <v>15</v>
      </c>
      <c r="F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110&gt;=0.45,VLOOKUP(Calculator!E23,tbSkills!DH3:DI6,2,FALSE)+IF(AND(Calculator!B8=TRUE,Backdoors!BI3=TRUE),VLOOKUP(Calculator!E23,tbSkills!DH3:DJ6,3,FALSE),0),0))&gt;=100,100,(Backdoors!AI12+IF(B110&gt;=0.45,VLOOKUP(Calculator!E23,tbSkills!DH3:DI6,2,FALSE)+IF(AND(Calculator!B8=TRUE,Backdoors!BI3=TRUE),VLOOKUP(Calculator!E23,tbSkills!DH3:DJ6,3,FALSE),0),0)))/100)),1))*IF(VLOOKUP(A110,tbMoveset!A2:K112,11,FALSE)=TRUE,Backdoors!AC5,1))*C110,0),"")</f>
        <v>0</v>
      </c>
      <c r="G110">
        <f>VLOOKUP(A110,tbMoveset!A2:G112,7,FALSE)*IFERROR(IF(Backdoors!AI12&gt;=0,1+(IF(Calculator!E40&gt;0,VLOOKUP(Calculator!E40,tbSkills!AI3:AJ5,2,FALSE),Backdoors!AL4)*(IF((Backdoors!AI12+IF(B110&gt;=0.45,VLOOKUP(Calculator!E23,tbSkills!DH3:DI6,2,FALSE)+IF(AND(Calculator!B8=TRUE,Backdoors!BI3=TRUE),VLOOKUP(Calculator!E23,tbSkills!DH3:DJ6,3,FALSE),0),0))&gt;=100,100,(Backdoors!AI12+IF(B110&gt;=0.45,VLOOKUP(Calculator!E23,tbSkills!DH3:DI6,2,FALSE)+IF(AND(Calculator!B8=TRUE,Backdoors!BI3=TRUE),VLOOKUP(Calculator!E23,tbSkills!DH3:DJ6,3,FALSE),0),0)))/100)),1),1)</f>
        <v>1</v>
      </c>
      <c r="H110" s="87">
        <f t="shared" si="95"/>
        <v>15</v>
      </c>
      <c r="I110" s="86">
        <f>IFERROR(IF(VLOOKUP(A110,tbMoveset!A2:B112,2,FALSE)="Sever",Backdoors!AY4/100,IF(VLOOKUP(A110,tbMoveset!A2:B112,2,FALSE)="Blunt",Backdoors!AZ4/100,Backdoors!BA4/100)),"")</f>
        <v>0.65</v>
      </c>
      <c r="J110" s="49">
        <f>IFERROR(IF(VLOOKUP(tbMoveset!A110,tbMoveset!A2:H112,8,FALSE)="Other",IF(VLOOKUP(tbMoveset!A110,tbMoveset!A2:I112,9,FALSE)="Fire",Backdoors!BB4,IF(VLOOKUP(tbMoveset!A110,tbMoveset!A2:I112,9,FALSE)="Water",Backdoors!BC4,IF(VLOOKUP(tbMoveset!A110,tbMoveset!A2:I112,9,FALSE)="Thunder",Backdoors!BD4,IF(VLOOKUP(tbMoveset!A110,tbMoveset!A2:I112,9,FALSE)="Ice",Backdoors!BE4,IF(VLOOKUP(tbMoveset!A110,tbMoveset!A2:I112,9,FALSE)="Dragon",Backdoors!BF4,Backdoors!BG4)))))/100,Backdoors!BG4/100),"")</f>
        <v>0</v>
      </c>
      <c r="K110" s="49">
        <f>IFERROR(IF(VLOOKUP(A110,tbMoveset!A2:J112,10,FALSE)=TRUE,IF((Backdoors!AI12+IF(I110&gt;=0.45,VLOOKUP(Calculator!E23,tbSkills!DH3:DI6,2,FALSE)+IF(AND(Calculator!B8=TRUE,Backdoors!BI4=TRUE),VLOOKUP(Calculator!E23,tbSkills!DH3:DJ6,3,FALSE),0),0))&gt;=0,1+(Backdoors!AL2*(IF((Backdoors!AI12+IF(I110&gt;=0.45,VLOOKUP(Calculator!E23,tbSkills!DH3:DI6,2,FALSE)+IF(AND(Calculator!B8=TRUE,Backdoors!BI4=TRUE),VLOOKUP(Calculator!E23,tbSkills!DH3:DJ6,3,FALSE),0),0))&gt;=100,100,(Backdoors!AI12+IF(I110&gt;=0.45,VLOOKUP(Calculator!E23,tbSkills!DH3:DI6,2,FALSE)+IF(AND(Calculator!B8=TRUE,Backdoors!BI4=TRUE),VLOOKUP(Calculator!E23,tbSkills!DH3:DJ6,3,FALSE),0),0)))/100)),(1-(0.25*((-Backdoors!AI12-IF(I110&gt;=0.45,VLOOKUP(Calculator!E23,tbSkills!DH3:DI6,2,FALSE)+IF(AND(Calculator!B8=TRUE,Backdoors!BI4=TRUE),VLOOKUP(Calculator!E23,tbSkills!DH3:DJ6,3,FALSE),0),0))/100)))),1),"")</f>
        <v>1</v>
      </c>
      <c r="L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110)*K110)*(VLOOKUP(A110,tbMoveset!A2:C112,3,FALSE)/100)*IF(VLOOKUP(A110,tbMoveset!A2:B112,2,FALSE)="Projectile",Backdoors!N10,Backdoors!N9),0),"")</f>
        <v>13</v>
      </c>
      <c r="M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I110&gt;=0.45,VLOOKUP(Calculator!E23,tbSkills!DH3:DI6,2,FALSE)+IF(AND(Calculator!B8=TRUE,Backdoors!BI4=TRUE),VLOOKUP(Calculator!E23,tbSkills!DH3:DJ6,3,FALSE),0),0))&gt;=100,100,(Backdoors!AI12+IF(I110&gt;=0.45,VLOOKUP(Calculator!E23,tbSkills!DH3:DI6,2,FALSE)+IF(AND(Calculator!B8=TRUE,Backdoors!BI4=TRUE),VLOOKUP(Calculator!E23,tbSkills!DH3:DJ6,3,FALSE),0),0)))/100)),1))*IF(VLOOKUP(A110,tbMoveset!A2:K112,11,FALSE)=TRUE,Backdoors!AC5,1))*J110,0),"")</f>
        <v>0</v>
      </c>
      <c r="N110" s="49">
        <f>VLOOKUP(A110,tbMoveset!A2:G112,7,FALSE)*IFERROR(IF(Backdoors!AI12&gt;=0,1+(IF(Calculator!E40&gt;0,VLOOKUP(Calculator!E40,tbSkills!AI3:AJ5,2,FALSE),Backdoors!AL4)*(IF((Backdoors!AI12+IF(I110&gt;=0.45,VLOOKUP(Calculator!E23,tbSkills!DH3:DI6,2,FALSE)+IF(AND(Calculator!B8=TRUE,Backdoors!BI4=TRUE),VLOOKUP(Calculator!E23,tbSkills!DH3:DJ6,3,FALSE),0),0))&gt;=100,100,(Backdoors!AI12+IF(I110&gt;=0.45,VLOOKUP(Calculator!E23,tbSkills!DH3:DI6,2,FALSE)+IF(AND(Calculator!B8=TRUE,Backdoors!BI4=TRUE),VLOOKUP(Calculator!E23,tbSkills!DH3:DJ6,3,FALSE),0),0)))/100)),1),1)</f>
        <v>1</v>
      </c>
      <c r="O110" s="87">
        <f t="shared" si="96"/>
        <v>13</v>
      </c>
      <c r="P110" s="86">
        <f>IFERROR(IF(VLOOKUP(A110,tbMoveset!A2:B112,2,FALSE)="Sever",Backdoors!AY5/100,IF(VLOOKUP(A110,tbMoveset!A2:B112,2,FALSE)="Blunt",Backdoors!AZ5/100,Backdoors!BA5/100)),"")</f>
        <v>0.5</v>
      </c>
      <c r="Q110" s="49">
        <f>IFERROR(IF(VLOOKUP(tbMoveset!A110,tbMoveset!A2:H112,8,FALSE)="Other",IF(VLOOKUP(tbMoveset!A110,tbMoveset!A2:I112,9,FALSE)="Fire",Backdoors!BB5,IF(VLOOKUP(tbMoveset!A110,tbMoveset!A2:I112,9,FALSE)="Water",Backdoors!BC5,IF(VLOOKUP(tbMoveset!A110,tbMoveset!A2:I112,9,FALSE)="Thunder",Backdoors!BD5,IF(VLOOKUP(tbMoveset!A110,tbMoveset!A2:I112,9,FALSE)="Ice",Backdoors!BE5,IF(VLOOKUP(tbMoveset!A110,tbMoveset!A2:I112,9,FALSE)="Dragon",Backdoors!BF5,Backdoors!BG5)))))/100,Backdoors!BG5/100),"")</f>
        <v>0</v>
      </c>
      <c r="R110" s="49">
        <f>IFERROR(IF(VLOOKUP(A110,tbMoveset!A2:J112,10,FALSE)=TRUE,IF((Backdoors!AI12+IF(P110&gt;=0.45,VLOOKUP(Calculator!E23,tbSkills!DH3:DI6,2,FALSE)+IF(AND(Calculator!B8=TRUE,Backdoors!BI5=TRUE),VLOOKUP(Calculator!E23,tbSkills!DH3:DJ6,3,FALSE),0),0))&gt;=0,1+(Backdoors!AL2*(IF((Backdoors!AI12+IF(P110&gt;=0.45,VLOOKUP(Calculator!E23,tbSkills!DH3:DI6,2,FALSE)+IF(AND(Calculator!B8=TRUE,Backdoors!BI5=TRUE),VLOOKUP(Calculator!E23,tbSkills!DH3:DJ6,3,FALSE),0),0))&gt;=100,100,(Backdoors!AI12+IF(P110&gt;=0.45,VLOOKUP(Calculator!E23,tbSkills!DH3:DI6,2,FALSE)+IF(AND(Calculator!B8=TRUE,Backdoors!BI5=TRUE),VLOOKUP(Calculator!E23,tbSkills!DH3:DJ6,3,FALSE),0),0)))/100)),(1-(0.25*((-Backdoors!AI12-IF(P110&gt;=0.45,VLOOKUP(Calculator!E23,tbSkills!DH3:DI6,2,FALSE)+IF(AND(Calculator!B8=TRUE,Backdoors!BI5=TRUE),VLOOKUP(Calculator!E23,tbSkills!DH3:DJ6,3,FALSE),0),0))/100)))),1),"")</f>
        <v>1</v>
      </c>
      <c r="S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P110)*R110)*(VLOOKUP(A110,tbMoveset!A2:C112,3,FALSE)/100)*IF(VLOOKUP(A110,tbMoveset!A2:B112,2,FALSE)="Projectile",Backdoors!N10,Backdoors!N9),0),"")</f>
        <v>10</v>
      </c>
      <c r="T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P110&gt;=0.45,VLOOKUP(Calculator!E23,tbSkills!DH3:DI6,2,FALSE)+IF(AND(Calculator!B8=TRUE,Backdoors!BI5=TRUE),VLOOKUP(Calculator!E23,tbSkills!DH3:DJ6,3,FALSE),0),0))&gt;=100,100,(Backdoors!AI12+IF(P110&gt;=0.45,VLOOKUP(Calculator!E23,tbSkills!DH3:DI6,2,FALSE)+IF(AND(Calculator!B8=TRUE,Backdoors!BI5=TRUE),VLOOKUP(Calculator!E23,tbSkills!DH3:DJ6,3,FALSE),0),0)))/100)),1))*IF(VLOOKUP(A110,tbMoveset!A2:K112,11,FALSE)=TRUE,Backdoors!AC5,1))*Q110,0),"")</f>
        <v>0</v>
      </c>
      <c r="U110" s="49">
        <f>VLOOKUP(A110,tbMoveset!A2:G112,7,FALSE)*IFERROR(IF(Backdoors!AI12&gt;=0,1+(IF(Calculator!E40&gt;0,VLOOKUP(Calculator!E40,tbSkills!AI3:AJ5,2,FALSE),Backdoors!AL4)*(IF((Backdoors!AI12+IF(P110&gt;=0.45,VLOOKUP(Calculator!E23,tbSkills!DH3:DI6,2,FALSE)+IF(AND(Calculator!B8=TRUE,Backdoors!BI5=TRUE),VLOOKUP(Calculator!E23,tbSkills!DH3:DJ6,3,FALSE),0),0))&gt;=100,100,(Backdoors!AI12+IF(P110&gt;=0.45,VLOOKUP(Calculator!E23,tbSkills!DH3:DI6,2,FALSE)+IF(AND(Calculator!B8=TRUE,Backdoors!BI5=TRUE),VLOOKUP(Calculator!E23,tbSkills!DH3:DJ6,3,FALSE),0),0)))/100)),1),1)</f>
        <v>1</v>
      </c>
      <c r="V110" s="87">
        <f t="shared" si="53"/>
        <v>10</v>
      </c>
      <c r="W110" s="86">
        <f>IFERROR(IF(VLOOKUP(A110,tbMoveset!A2:B112,2,FALSE)="Sever",Backdoors!AY6/100,IF(VLOOKUP(A110,tbMoveset!A2:B112,2,FALSE)="Blunt",Backdoors!AZ6/100,Backdoors!BA6/100)),"")</f>
        <v>0.45</v>
      </c>
      <c r="X110" s="49">
        <f>IFERROR(IF(VLOOKUP(tbMoveset!A110,tbMoveset!A2:H112,8,FALSE)="Other",IF(VLOOKUP(tbMoveset!A110,tbMoveset!A2:I112,9,FALSE)="Fire",Backdoors!BB6,IF(VLOOKUP(tbMoveset!A110,tbMoveset!A2:I112,9,FALSE)="Water",Backdoors!BC6,IF(VLOOKUP(tbMoveset!A110,tbMoveset!A2:I112,9,FALSE)="Thunder",Backdoors!BD6,IF(VLOOKUP(tbMoveset!A110,tbMoveset!A2:I112,9,FALSE)="Ice",Backdoors!BE6,IF(VLOOKUP(tbMoveset!A110,tbMoveset!A2:I112,9,FALSE)="Dragon",Backdoors!BF6,Backdoors!BG6)))))/100,Backdoors!BG6/100),"")</f>
        <v>0</v>
      </c>
      <c r="Y110" s="49">
        <f>IFERROR(IF(VLOOKUP(A110,tbMoveset!A2:J112,10,FALSE)=TRUE,IF((Backdoors!AI12+IF(W110&gt;=0.45,VLOOKUP(Calculator!E23,tbSkills!DH3:DI6,2,FALSE)+IF(AND(Calculator!B8=TRUE,Backdoors!BI6=TRUE),VLOOKUP(Calculator!E23,tbSkills!DH3:DJ6,3,FALSE),0),0))&gt;=0,1+(Backdoors!AL2*(IF((Backdoors!AI12+IF(W110&gt;=0.45,VLOOKUP(Calculator!E23,tbSkills!DH3:DI6,2,FALSE)+IF(AND(Calculator!B8=TRUE,Backdoors!BI6=TRUE),VLOOKUP(Calculator!E23,tbSkills!DH3:DJ6,3,FALSE),0),0))&gt;=100,100,(Backdoors!AI12+IF(W110&gt;=0.45,VLOOKUP(Calculator!E23,tbSkills!DH3:DI6,2,FALSE)+IF(AND(Calculator!B8=TRUE,Backdoors!BI6=TRUE),VLOOKUP(Calculator!E23,tbSkills!DH3:DJ6,3,FALSE),0),0)))/100)),(1-(0.25*((-Backdoors!AI12-IF(W110&gt;=0.45,VLOOKUP(Calculator!E23,tbSkills!DH3:DI6,2,FALSE)+IF(AND(Calculator!B8=TRUE,Backdoors!BI6=TRUE),VLOOKUP(Calculator!E23,tbSkills!DH3:DJ6,3,FALSE),0),0))/100)))),1),"")</f>
        <v>1</v>
      </c>
      <c r="Z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W110)*Y110)*(VLOOKUP(A110,tbMoveset!A2:C112,3,FALSE)/100)*IF(VLOOKUP(A110,tbMoveset!A2:B112,2,FALSE)="Projectile",Backdoors!N10,Backdoors!N9),0),"")</f>
        <v>9</v>
      </c>
      <c r="AA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W110&gt;=0.45,VLOOKUP(Calculator!E23,tbSkills!DH3:DI6,2,FALSE)+IF(AND(Calculator!B8=TRUE,Backdoors!BI6=TRUE),VLOOKUP(Calculator!E23,tbSkills!DH3:DJ6,3,FALSE),0),0))&gt;=100,100,(Backdoors!AI12+IF(W110&gt;=0.45,VLOOKUP(Calculator!E23,tbSkills!DH3:DI6,2,FALSE)+IF(AND(Calculator!B8=TRUE,Backdoors!BI6=TRUE),VLOOKUP(Calculator!E23,tbSkills!DH3:DJ6,3,FALSE),0),0)))/100)),1))*IF(VLOOKUP(A110,tbMoveset!A2:K112,11,FALSE)=TRUE,Backdoors!AC5,1))*X110,0),"")</f>
        <v>0</v>
      </c>
      <c r="AB110" s="49">
        <f>VLOOKUP(A110,tbMoveset!A2:G112,7,FALSE)*IFERROR(IF(Backdoors!AI12&gt;=0,1+(IF(Calculator!E40&gt;0,VLOOKUP(Calculator!E40,tbSkills!AI3:AJ5,2,FALSE),Backdoors!AL4)*(IF((Backdoors!AI12+IF(W110&gt;=0.45,VLOOKUP(Calculator!E23,tbSkills!DH3:DI6,2,FALSE)+IF(AND(Calculator!B8=TRUE,Backdoors!BI6=TRUE),VLOOKUP(Calculator!E23,tbSkills!DH3:DJ6,3,FALSE),0),0))&gt;=100,100,(Backdoors!AI12+IF(W110&gt;=0.45,VLOOKUP(Calculator!E23,tbSkills!DH3:DI6,2,FALSE)+IF(AND(Calculator!B8=TRUE,Backdoors!BI6=TRUE),VLOOKUP(Calculator!E23,tbSkills!DH3:DJ6,3,FALSE),0),0)))/100)),1),1)</f>
        <v>1</v>
      </c>
      <c r="AC110" s="87">
        <f t="shared" si="54"/>
        <v>9</v>
      </c>
      <c r="AD110" s="86">
        <f>IFERROR(IF(VLOOKUP(A110,tbMoveset!A2:B112,2,FALSE)="Sever",Backdoors!AY7/100,IF(VLOOKUP(A110,tbMoveset!A2:B112,2,FALSE)="Blunt",Backdoors!AZ7/100,Backdoors!BA7/100)),"")</f>
        <v>0.65</v>
      </c>
      <c r="AE110" s="49">
        <f>IFERROR(IF(VLOOKUP(tbMoveset!A110,tbMoveset!A2:H112,8,FALSE)="Other",IF(VLOOKUP(tbMoveset!A110,tbMoveset!A2:I112,9,FALSE)="Fire",Backdoors!BB7,IF(VLOOKUP(tbMoveset!A110,tbMoveset!A2:I112,9,FALSE)="Water",Backdoors!BC7,IF(VLOOKUP(tbMoveset!A110,tbMoveset!A2:I112,9,FALSE)="Thunder",Backdoors!BD7,IF(VLOOKUP(tbMoveset!A110,tbMoveset!A2:I112,9,FALSE)="Ice",Backdoors!BE7,IF(VLOOKUP(tbMoveset!A110,tbMoveset!A2:I112,9,FALSE)="Dragon",Backdoors!BF7,Backdoors!BG7)))))/100,Backdoors!BG7/100),"")</f>
        <v>0</v>
      </c>
      <c r="AF110" s="49">
        <f>IFERROR(IF(VLOOKUP(A110,tbMoveset!A2:J112,10,FALSE)=TRUE,IF((Backdoors!AI12+IF(AD110&gt;=0.45,VLOOKUP(Calculator!E23,tbSkills!DH3:DI6,2,FALSE)+IF(AND(Calculator!B8=TRUE,Backdoors!BI7=TRUE),VLOOKUP(Calculator!E23,tbSkills!DH3:DJ6,3,FALSE),0),0))&gt;=0,1+(Backdoors!AL2*(IF((Backdoors!AI12+IF(AD110&gt;=0.45,VLOOKUP(Calculator!E23,tbSkills!DH3:DI6,2,FALSE)+IF(AND(Calculator!B8=TRUE,Backdoors!BI7=TRUE),VLOOKUP(Calculator!E23,tbSkills!DH3:DJ6,3,FALSE),0),0))&gt;=100,100,(Backdoors!AI12+IF(AD110&gt;=0.45,VLOOKUP(Calculator!E23,tbSkills!DH3:DI6,2,FALSE)+IF(AND(Calculator!B8=TRUE,Backdoors!BI7=TRUE),VLOOKUP(Calculator!E23,tbSkills!DH3:DJ6,3,FALSE),0),0)))/100)),(1-(0.25*((-Backdoors!AI12-IF(AD110&gt;=0.45,VLOOKUP(Calculator!E23,tbSkills!DH3:DI6,2,FALSE)+IF(AND(Calculator!B8=TRUE,Backdoors!BI7=TRUE),VLOOKUP(Calculator!E23,tbSkills!DH3:DJ6,3,FALSE),0),0))/100)))),1),"")</f>
        <v>1</v>
      </c>
      <c r="AG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D110)*AF110)*(VLOOKUP(A110,tbMoveset!A2:C112,3,FALSE)/100)*IF(VLOOKUP(A110,tbMoveset!A2:B112,2,FALSE)="Projectile",Backdoors!N10,Backdoors!N9),0),"")</f>
        <v>13</v>
      </c>
      <c r="AH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D110&gt;=0.45,VLOOKUP(Calculator!E23,tbSkills!DH3:DI6,2,FALSE)+IF(AND(Calculator!B8=TRUE,Backdoors!BI7=TRUE),VLOOKUP(Calculator!E23,tbSkills!DH3:DJ6,3,FALSE),0),0))&gt;=100,100,(Backdoors!AI12+IF(AD110&gt;=0.45,VLOOKUP(Calculator!E23,tbSkills!DH3:DI6,2,FALSE)+IF(AND(Calculator!B8=TRUE,Backdoors!BI7=TRUE),VLOOKUP(Calculator!E23,tbSkills!DH3:DJ6,3,FALSE),0),0)))/100)),1))*IF(VLOOKUP(A110,tbMoveset!A2:K112,11,FALSE)=TRUE,Backdoors!AC5,1))*AE110,0),"")</f>
        <v>0</v>
      </c>
      <c r="AI110" s="49">
        <f>VLOOKUP(A110,tbMoveset!A2:G112,7,FALSE)*IFERROR(IF(Backdoors!AI12&gt;=0,1+(IF(Calculator!E40&gt;0,VLOOKUP(Calculator!E40,tbSkills!AI3:AJ5,2,FALSE),Backdoors!AL4)*(IF((Backdoors!AI12+IF(AD110&gt;=0.45,VLOOKUP(Calculator!E23,tbSkills!DH3:DI6,2,FALSE)+IF(AND(Calculator!B8=TRUE,Backdoors!BI7=TRUE),VLOOKUP(Calculator!E23,tbSkills!DH3:DJ6,3,FALSE),0),0))&gt;=100,100,(Backdoors!AI12+IF(AD110&gt;=0.45,VLOOKUP(Calculator!E23,tbSkills!DH3:DI6,2,FALSE)+IF(AND(Calculator!B8=TRUE,Backdoors!BI7=TRUE),VLOOKUP(Calculator!E23,tbSkills!DH3:DJ6,3,FALSE),0),0)))/100)),1),1)</f>
        <v>1</v>
      </c>
      <c r="AJ110" s="87">
        <f t="shared" si="55"/>
        <v>13</v>
      </c>
      <c r="AK110" s="91">
        <f>IFERROR(IF(VLOOKUP(A110,tbMoveset!A2:B112,2,FALSE)="Sever",Backdoors!AY8/100,IF(VLOOKUP(A110,tbMoveset!A2:B112,2,FALSE)="Blunt",Backdoors!AZ8/100,Backdoors!BA8/100)),"")</f>
        <v>0.45</v>
      </c>
      <c r="AL110" s="49">
        <f>IFERROR(IF(VLOOKUP(tbMoveset!A110,tbMoveset!A2:H112,8,FALSE)="Other",IF(VLOOKUP(tbMoveset!A110,tbMoveset!A2:I112,9,FALSE)="Fire",Backdoors!BB8,IF(VLOOKUP(tbMoveset!A110,tbMoveset!A2:I112,9,FALSE)="Water",Backdoors!BC8,IF(VLOOKUP(tbMoveset!A110,tbMoveset!A2:I112,9,FALSE)="Thunder",Backdoors!BD8,IF(VLOOKUP(tbMoveset!A110,tbMoveset!A2:I112,9,FALSE)="Ice",Backdoors!BE8,IF(VLOOKUP(tbMoveset!A110,tbMoveset!A2:I112,9,FALSE)="Dragon",Backdoors!BF8,Backdoors!BG8)))))/100,Backdoors!BG8/100),"")</f>
        <v>0</v>
      </c>
      <c r="AM110" s="49">
        <f>IFERROR(IF(VLOOKUP(A110,tbMoveset!A2:J112,10,FALSE)=TRUE,IF((Backdoors!AI12+IF(AK110&gt;=0.45,VLOOKUP(Calculator!E23,tbSkills!DH3:DI6,2,FALSE)+IF(AND(Calculator!B8=TRUE,Backdoors!BI8=TRUE),VLOOKUP(Calculator!E23,tbSkills!DH3:DJ6,3,FALSE),0),0))&gt;=0,1+(Backdoors!AL2*(IF((Backdoors!AI12+IF(AK110&gt;=0.45,VLOOKUP(Calculator!E23,tbSkills!DH3:DI6,2,FALSE)+IF(AND(Calculator!B8=TRUE,Backdoors!BI8=TRUE),VLOOKUP(Calculator!E23,tbSkills!DH3:DJ6,3,FALSE),0),0))&gt;=100,100,(Backdoors!AI12+IF(AK110&gt;=0.45,VLOOKUP(Calculator!E23,tbSkills!DH3:DI6,2,FALSE)+IF(AND(Calculator!B8=TRUE,Backdoors!BI8=TRUE),VLOOKUP(Calculator!E23,tbSkills!DH3:DJ6,3,FALSE),0),0)))/100)),(1-(0.25*((-Backdoors!AI12-IF(AK110&gt;=0.45,VLOOKUP(Calculator!E23,tbSkills!DH3:DI6,2,FALSE)+IF(AND(Calculator!B8=TRUE,Backdoors!BI8=TRUE),VLOOKUP(Calculator!E23,tbSkills!DH3:DJ6,3,FALSE),0),0))/100)))),1),"")</f>
        <v>1</v>
      </c>
      <c r="AN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K110)*AM110)*(VLOOKUP(A110,tbMoveset!A2:C112,3,FALSE)/100)*IF(VLOOKUP(A110,tbMoveset!A2:B112,2,FALSE)="Projectile",Backdoors!N10,Backdoors!N9),0),"")</f>
        <v>9</v>
      </c>
      <c r="AO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K110&gt;=0.45,VLOOKUP(Calculator!E23,tbSkills!DH3:DI6,2,FALSE)+IF(AND(Calculator!B8=TRUE,Backdoors!BI8=TRUE),VLOOKUP(Calculator!E23,tbSkills!DH3:DJ6,3,FALSE),0),0))&gt;=100,100,(Backdoors!AI12+IF(AK110&gt;=0.45,VLOOKUP(Calculator!E23,tbSkills!DH3:DI6,2,FALSE)+IF(AND(Calculator!B8=TRUE,Backdoors!BI8=TRUE),VLOOKUP(Calculator!E23,tbSkills!DH3:DJ6,3,FALSE),0),0)))/100)),1))*IF(VLOOKUP(A110,tbMoveset!A2:K112,11,FALSE)=TRUE,Backdoors!AC5,1))*AL110,0),"")</f>
        <v>0</v>
      </c>
      <c r="AP110" s="49">
        <f>VLOOKUP(A110,tbMoveset!A2:G112,7,FALSE)*IFERROR(IF(Backdoors!AI12&gt;=0,1+(IF(Calculator!E40&gt;0,VLOOKUP(Calculator!E40,tbSkills!AI3:AJ5,2,FALSE),Backdoors!AL4)*(IF((Backdoors!AI12+IF(AK110&gt;=0.45,VLOOKUP(Calculator!E23,tbSkills!DH3:DI6,2,FALSE)+IF(AND(Calculator!B8=TRUE,Backdoors!BI8=TRUE),VLOOKUP(Calculator!E23,tbSkills!DH3:DJ6,3,FALSE),0),0))&gt;=100,100,(Backdoors!AI12+IF(AK110&gt;=0.45,VLOOKUP(Calculator!E23,tbSkills!DH3:DI6,2,FALSE)+IF(AND(Calculator!B8=TRUE,Backdoors!BI8=TRUE),VLOOKUP(Calculator!E23,tbSkills!DH3:DJ6,3,FALSE),0),0)))/100)),1),1)</f>
        <v>1</v>
      </c>
      <c r="AQ110" s="87">
        <f t="shared" si="56"/>
        <v>9</v>
      </c>
      <c r="AR110" s="86">
        <f>IFERROR(IF(VLOOKUP(A110,tbMoveset!A2:B112,2,FALSE)="Sever",Backdoors!AY9/100,IF(VLOOKUP(A110,tbMoveset!A2:B112,2,FALSE)="Blunt",Backdoors!AZ9/100,Backdoors!BA9/100)),"")</f>
        <v>0.45</v>
      </c>
      <c r="AS110" s="49">
        <f>IFERROR(IF(VLOOKUP(tbMoveset!A110,tbMoveset!A2:H112,8,FALSE)="Other",IF(VLOOKUP(tbMoveset!A110,tbMoveset!A2:I112,9,FALSE)="Fire",Backdoors!BB9,IF(VLOOKUP(tbMoveset!A110,tbMoveset!A2:I112,9,FALSE)="Water",Backdoors!BC9,IF(VLOOKUP(tbMoveset!A110,tbMoveset!A2:I112,9,FALSE)="Thunder",Backdoors!BD9,IF(VLOOKUP(tbMoveset!A110,tbMoveset!A2:I112,9,FALSE)="Ice",Backdoors!BE9,IF(VLOOKUP(tbMoveset!A110,tbMoveset!A2:I112,9,FALSE)="Dragon",Backdoors!BF9,Backdoors!BG9)))))/100,Backdoors!BG9/100),"")</f>
        <v>0</v>
      </c>
      <c r="AT110" s="49">
        <f>IFERROR(IF(VLOOKUP(A110,tbMoveset!A2:J112,10,FALSE)=TRUE,IF((Backdoors!AI12+IF(AR110&gt;=0.45,VLOOKUP(Calculator!E23,tbSkills!DH3:DI6,2,FALSE)+IF(AND(Calculator!B8=TRUE,Backdoors!BI9=TRUE),VLOOKUP(Calculator!E23,tbSkills!DH3:DJ6,3,FALSE),0),0))&gt;=0,1+(Backdoors!AL2*(IF((Backdoors!AI12+IF(AR110&gt;=0.45,VLOOKUP(Calculator!E23,tbSkills!DH3:DI6,2,FALSE)+IF(AND(Calculator!B8=TRUE,Backdoors!BI9=TRUE),VLOOKUP(Calculator!E23,tbSkills!DH3:DJ6,3,FALSE),0),0))&gt;=100,100,(Backdoors!AI12+IF(AR110&gt;=0.45,VLOOKUP(Calculator!E23,tbSkills!DH3:DI6,2,FALSE)+IF(AND(Calculator!B8=TRUE,Backdoors!BI9=TRUE),VLOOKUP(Calculator!E23,tbSkills!DH3:DJ6,3,FALSE),0),0)))/100)),(1-(0.25*((-Backdoors!AI12-IF(AR110&gt;=0.45,VLOOKUP(Calculator!E23,tbSkills!DH3:DI6,2,FALSE)+IF(AND(Calculator!B8=TRUE,Backdoors!BI9=TRUE),VLOOKUP(Calculator!E23,tbSkills!DH3:DJ6,3,FALSE),0),0))/100)))),1),"")</f>
        <v>1</v>
      </c>
      <c r="AU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R110)*AT110)*(VLOOKUP(A110,tbMoveset!A2:C112,3,FALSE)/100)*IF(VLOOKUP(A110,tbMoveset!A2:B112,2,FALSE)="Projectile",Backdoors!N10,Backdoors!N9),0),"")</f>
        <v>9</v>
      </c>
      <c r="AV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R110&gt;=0.45,VLOOKUP(Calculator!E23,tbSkills!DH3:DI6,2,FALSE)+IF(AND(Calculator!B8=TRUE,Backdoors!BI9=TRUE),VLOOKUP(Calculator!E23,tbSkills!DH3:DJ6,3,FALSE),0),0))&gt;=100,100,(Backdoors!AI12+IF(AR110&gt;=0.45,VLOOKUP(Calculator!E23,tbSkills!DH3:DI6,2,FALSE)+IF(AND(Calculator!B8=TRUE,Backdoors!BI9=TRUE),VLOOKUP(Calculator!E23,tbSkills!DH3:DJ6,3,FALSE),0),0)))/100)),1))*IF(VLOOKUP(A110,tbMoveset!A2:K112,11,FALSE)=TRUE,Backdoors!AC5,1))*AS110,0),"")</f>
        <v>0</v>
      </c>
      <c r="AW110" s="49">
        <f>VLOOKUP(A110,tbMoveset!A2:G112,7,FALSE)*IFERROR(IF(Backdoors!AI12&gt;=0,1+(IF(Calculator!E40&gt;0,VLOOKUP(Calculator!E40,tbSkills!AI3:AJ5,2,FALSE),Backdoors!AL4)*(IF((Backdoors!AI12+IF(AR110&gt;=0.45,VLOOKUP(Calculator!E23,tbSkills!DH3:DI6,2,FALSE)+IF(AND(Calculator!B8=TRUE,Backdoors!BI9=TRUE),VLOOKUP(Calculator!E23,tbSkills!DH3:DJ6,3,FALSE),0),0))&gt;=100,100,(Backdoors!AI12+IF(AR110&gt;=0.45,VLOOKUP(Calculator!E23,tbSkills!DH3:DI6,2,FALSE)+IF(AND(Calculator!B8=TRUE,Backdoors!BI9=TRUE),VLOOKUP(Calculator!E23,tbSkills!DH3:DJ6,3,FALSE),0),0)))/100)),1),1)</f>
        <v>1</v>
      </c>
      <c r="AX110" s="87">
        <f t="shared" si="57"/>
        <v>9</v>
      </c>
      <c r="AY110" s="86">
        <f>IFERROR(IF(VLOOKUP(A110,tbMoveset!A2:B112,2,FALSE)="Sever",Backdoors!AY10/100,IF(VLOOKUP(A110,tbMoveset!A2:B112,2,FALSE)="Blunt",Backdoors!AZ10/100,Backdoors!BA10/100)),"")</f>
        <v>0.9</v>
      </c>
      <c r="AZ110" s="49">
        <f>IFERROR(IF(VLOOKUP(tbMoveset!A110,tbMoveset!A2:H112,8,FALSE)="Other",IF(VLOOKUP(tbMoveset!A110,tbMoveset!A2:I112,9,FALSE)="Fire",Backdoors!BB10,IF(VLOOKUP(tbMoveset!A110,tbMoveset!A2:I112,9,FALSE)="Water",Backdoors!BC10,IF(VLOOKUP(tbMoveset!A110,tbMoveset!A2:I112,9,FALSE)="Thunder",Backdoors!BD10,IF(VLOOKUP(tbMoveset!A110,tbMoveset!A2:I112,9,FALSE)="Ice",Backdoors!BE10,IF(VLOOKUP(tbMoveset!A110,tbMoveset!A2:I112,9,FALSE)="Dragon",Backdoors!BF10,Backdoors!BG10)))))/100,Backdoors!BG10/100),"")</f>
        <v>0</v>
      </c>
      <c r="BA110" s="49">
        <f>IFERROR(IF(VLOOKUP(A110,tbMoveset!A2:J112,10,FALSE)=TRUE,IF((Backdoors!AI12+IF(AY110&gt;=0.45,VLOOKUP(Calculator!E23,tbSkills!DH3:DI6,2,FALSE)+IF(AND(Calculator!B8=TRUE,Backdoors!BI10=TRUE),VLOOKUP(Calculator!E23,tbSkills!DH3:DJ6,3,FALSE),0),0))&gt;=0,1+(Backdoors!AL2*(IF((Backdoors!AI12+IF(AY110&gt;=0.45,VLOOKUP(Calculator!E23,tbSkills!DH3:DI6,2,FALSE)+IF(AND(Calculator!B8=TRUE,Backdoors!BI10=TRUE),VLOOKUP(Calculator!E23,tbSkills!DH3:DJ6,3,FALSE),0),0))&gt;=100,100,(Backdoors!AI12+IF(AY110&gt;=0.45,VLOOKUP(Calculator!E23,tbSkills!DH3:DI6,2,FALSE)+IF(AND(Calculator!B8=TRUE,Backdoors!BI10=TRUE),VLOOKUP(Calculator!E23,tbSkills!DH3:DJ6,3,FALSE),0),0)))/100)),(1-(0.25*((-Backdoors!AI12-IF(AY110&gt;=0.45,VLOOKUP(Calculator!E23,tbSkills!DH3:DI6,2,FALSE)+IF(AND(Calculator!B8=TRUE,Backdoors!BI10=TRUE),VLOOKUP(Calculator!E23,tbSkills!DH3:DJ6,3,FALSE),0),0))/100)))),1),"")</f>
        <v>1</v>
      </c>
      <c r="BB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Y110)*BA110)*(VLOOKUP(A110,tbMoveset!A2:C112,3,FALSE)/100)*IF(VLOOKUP(A110,tbMoveset!A2:B112,2,FALSE)="Projectile",Backdoors!N10,Backdoors!N9),0),"")</f>
        <v>17</v>
      </c>
      <c r="BC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Y110&gt;=0.45,VLOOKUP(Calculator!E23,tbSkills!DH3:DI6,2,FALSE)+IF(AND(Calculator!B8=TRUE,Backdoors!BI10=TRUE),VLOOKUP(Calculator!E23,tbSkills!DH3:DJ6,3,FALSE),0),0))&gt;=100,100,(Backdoors!AI12+IF(AY110&gt;=0.45,VLOOKUP(Calculator!E23,tbSkills!DH3:DI6,2,FALSE)+IF(AND(Calculator!B8=TRUE,Backdoors!BI10=TRUE),VLOOKUP(Calculator!E23,tbSkills!DH3:DJ6,3,FALSE),0),0)))/100)),1))*IF(VLOOKUP(A110,tbMoveset!A2:K112,11,FALSE)=TRUE,Backdoors!AC5,1))*AZ110,0),"")</f>
        <v>0</v>
      </c>
      <c r="BD110" s="49">
        <f>VLOOKUP(A110,tbMoveset!A2:G112,7,FALSE)*IFERROR(IF(Backdoors!AI12&gt;=0,1+(IF(Calculator!E40&gt;0,VLOOKUP(Calculator!E40,tbSkills!AI3:AJ5,2,FALSE),Backdoors!AL4)*(IF((Backdoors!AI12+IF(AY110&gt;=0.45,VLOOKUP(Calculator!E23,tbSkills!DH3:DI6,2,FALSE)+IF(AND(Calculator!B8=TRUE,Backdoors!BI10=TRUE),VLOOKUP(Calculator!E23,tbSkills!DH3:DJ6,3,FALSE),0),0))&gt;=100,100,(Backdoors!AI12+IF(AY110&gt;=0.45,VLOOKUP(Calculator!E23,tbSkills!DH3:DI6,2,FALSE)+IF(AND(Calculator!B8=TRUE,Backdoors!BI10=TRUE),VLOOKUP(Calculator!E23,tbSkills!DH3:DJ6,3,FALSE),0),0)))/100)),1),1)</f>
        <v>1</v>
      </c>
      <c r="BE110" s="87">
        <f t="shared" si="58"/>
        <v>17</v>
      </c>
      <c r="BF110" s="86" t="str">
        <f>IFERROR(IF(VLOOKUP(A110,tbMoveset!A2:B112,2,FALSE)="Sever",Backdoors!AY11/100,IF(VLOOKUP(A110,tbMoveset!A2:B112,2,FALSE)="Blunt",Backdoors!AZ11/100,Backdoors!BA11/100)),"")</f>
        <v/>
      </c>
      <c r="BG110" s="49">
        <f>IFERROR(IF(VLOOKUP(tbMoveset!A110,tbMoveset!A2:H112,8,FALSE)="Other",IF(VLOOKUP(tbMoveset!A110,tbMoveset!A2:I112,9,FALSE)="Fire",Backdoors!BB11,IF(VLOOKUP(tbMoveset!A110,tbMoveset!A2:I112,9,FALSE)="Water",Backdoors!BC11,IF(VLOOKUP(tbMoveset!A110,tbMoveset!A2:I112,9,FALSE)="Thunder",Backdoors!BD11,IF(VLOOKUP(tbMoveset!A110,tbMoveset!A2:I112,9,FALSE)="Ice",Backdoors!BE11,IF(VLOOKUP(tbMoveset!A110,tbMoveset!A2:I112,9,FALSE)="Dragon",Backdoors!BF11,Backdoors!BG11)))))/100,Backdoors!BG11/100),"")</f>
        <v>0</v>
      </c>
      <c r="BH110" s="49">
        <f>IFERROR(IF(VLOOKUP(A110,tbMoveset!A2:J112,10,FALSE)=TRUE,IF((Backdoors!AI12+IF(BF110&gt;=0.45,VLOOKUP(Calculator!E23,tbSkills!DH3:DI6,2,FALSE)+IF(AND(Calculator!B8=TRUE,Backdoors!BI11=TRUE),VLOOKUP(Calculator!E23,tbSkills!DH3:DJ6,3,FALSE),0),0))&gt;=0,1+(Backdoors!AL2*(IF((Backdoors!AI12+IF(BF110&gt;=0.45,VLOOKUP(Calculator!E23,tbSkills!DH3:DI6,2,FALSE)+IF(AND(Calculator!B8=TRUE,Backdoors!BI11=TRUE),VLOOKUP(Calculator!E23,tbSkills!DH3:DJ6,3,FALSE),0),0))&gt;=100,100,(Backdoors!AI12+IF(BF110&gt;=0.45,VLOOKUP(Calculator!E23,tbSkills!DH3:DI6,2,FALSE)+IF(AND(Calculator!B8=TRUE,Backdoors!BI11=TRUE),VLOOKUP(Calculator!E23,tbSkills!DH3:DJ6,3,FALSE),0),0)))/100)),(1-(0.25*((-Backdoors!AI12-IF(BF110&gt;=0.45,VLOOKUP(Calculator!E23,tbSkills!DH3:DI6,2,FALSE)+IF(AND(Calculator!B8=TRUE,Backdoors!BI11=TRUE),VLOOKUP(Calculator!E23,tbSkills!DH3:DJ6,3,FALSE),0),0))/100)))),1),"")</f>
        <v>1</v>
      </c>
      <c r="BI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F110)*BH110)*(VLOOKUP(A110,tbMoveset!A2:C112,3,FALSE)/100)*IF(VLOOKUP(A110,tbMoveset!A2:B112,2,FALSE)="Projectile",Backdoors!N10,Backdoors!N9),0),"")</f>
        <v/>
      </c>
      <c r="BJ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F110&gt;=0.45,VLOOKUP(Calculator!E23,tbSkills!DH3:DI6,2,FALSE)+IF(AND(Calculator!B8=TRUE,Backdoors!BI11=TRUE),VLOOKUP(Calculator!E23,tbSkills!DH3:DJ6,3,FALSE),0),0))&gt;=100,100,(Backdoors!AI12+IF(BF110&gt;=0.45,VLOOKUP(Calculator!E23,tbSkills!DH3:DI6,2,FALSE)+IF(AND(Calculator!B8=TRUE,Backdoors!BI11=TRUE),VLOOKUP(Calculator!E23,tbSkills!DH3:DJ6,3,FALSE),0),0)))/100)),1))*IF(VLOOKUP(A110,tbMoveset!A2:K112,11,FALSE)=TRUE,Backdoors!AC5,1))*BG110,0),"")</f>
        <v>0</v>
      </c>
      <c r="BK110" s="49">
        <f>VLOOKUP(A110,tbMoveset!A2:G112,7,FALSE)*IFERROR(IF(Backdoors!AI12&gt;=0,1+(IF(Calculator!E40&gt;0,VLOOKUP(Calculator!E40,tbSkills!AI3:AJ5,2,FALSE),Backdoors!AL4)*(IF((Backdoors!AI12+IF(BF110&gt;=0.45,VLOOKUP(Calculator!E23,tbSkills!DH3:DI6,2,FALSE)+IF(AND(Calculator!B8=TRUE,Backdoors!BI11=TRUE),VLOOKUP(Calculator!E23,tbSkills!DH3:DJ6,3,FALSE),0),0))&gt;=100,100,(Backdoors!AI12+IF(BF110&gt;=0.45,VLOOKUP(Calculator!E23,tbSkills!DH3:DI6,2,FALSE)+IF(AND(Calculator!B8=TRUE,Backdoors!BI11=TRUE),VLOOKUP(Calculator!E23,tbSkills!DH3:DJ6,3,FALSE),0),0)))/100)),1),1)</f>
        <v>1</v>
      </c>
      <c r="BL110" s="87">
        <f t="shared" si="59"/>
        <v>0</v>
      </c>
      <c r="BM110" s="86" t="str">
        <f>IFERROR(IF(VLOOKUP(A110,tbMoveset!A2:B112,2,FALSE)="Sever",Backdoors!AY12/100,IF(VLOOKUP(A110,tbMoveset!A2:B112,2,FALSE)="Blunt",Backdoors!AZ12/100,Backdoors!BA12/100)),"")</f>
        <v/>
      </c>
      <c r="BN110" s="49">
        <f>IFERROR(IF(VLOOKUP(tbMoveset!A110,tbMoveset!A2:H112,8,FALSE)="Other",IF(VLOOKUP(tbMoveset!A110,tbMoveset!A2:I112,9,FALSE)="Fire",Backdoors!BB12,IF(VLOOKUP(tbMoveset!A110,tbMoveset!A2:I112,9,FALSE)="Water",Backdoors!BC12,IF(VLOOKUP(tbMoveset!A110,tbMoveset!A2:I112,9,FALSE)="Thunder",Backdoors!BD12,IF(VLOOKUP(tbMoveset!A110,tbMoveset!A2:I112,9,FALSE)="Ice",Backdoors!BE12,IF(VLOOKUP(tbMoveset!A110,tbMoveset!A2:I112,9,FALSE)="Dragon",Backdoors!BF12,Backdoors!BG12)))))/100,Backdoors!BG12/100),"")</f>
        <v>0</v>
      </c>
      <c r="BO110" s="49">
        <f>IFERROR(IF(VLOOKUP(A110,tbMoveset!A2:J112,10,FALSE)=TRUE,IF((Backdoors!AI12+IF(BM110&gt;=0.45,VLOOKUP(Calculator!E23,tbSkills!DH3:DI6,2,FALSE)+IF(AND(Calculator!B8=TRUE,Backdoors!BI12=TRUE),VLOOKUP(Calculator!E23,tbSkills!DH3:DJ6,3,FALSE),0),0))&gt;=0,1+(Backdoors!AL2*(IF((Backdoors!AI12+IF(BM110&gt;=0.45,VLOOKUP(Calculator!E23,tbSkills!DH3:DI6,2,FALSE)+IF(AND(Calculator!B8=TRUE,Backdoors!BI12=TRUE),VLOOKUP(Calculator!E23,tbSkills!DH3:DJ6,3,FALSE),0),0))&gt;=100,100,(Backdoors!AI12+IF(BM110&gt;=0.45,VLOOKUP(Calculator!E23,tbSkills!DH3:DI6,2,FALSE)+IF(AND(Calculator!B8=TRUE,Backdoors!BI12=TRUE),VLOOKUP(Calculator!E23,tbSkills!DH3:DJ6,3,FALSE),0),0)))/100)),(1-(0.25*((-Backdoors!AI12-IF(BM110&gt;=0.45,VLOOKUP(Calculator!E23,tbSkills!DH3:DI6,2,FALSE)+IF(AND(Calculator!B8=TRUE,Backdoors!BI12=TRUE),VLOOKUP(Calculator!E23,tbSkills!DH3:DJ6,3,FALSE),0),0))/100)))),1),"")</f>
        <v>1</v>
      </c>
      <c r="BP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M110)*BO110)*(VLOOKUP(A110,tbMoveset!A2:C112,3,FALSE)/100)*IF(VLOOKUP(A110,tbMoveset!A2:B112,2,FALSE)="Projectile",Backdoors!N10,Backdoors!N9),0),"")</f>
        <v/>
      </c>
      <c r="BQ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M110&gt;=0.45,VLOOKUP(Calculator!E23,tbSkills!DH3:DI6,2,FALSE)+IF(AND(Calculator!B8=TRUE,Backdoors!BI12=TRUE),VLOOKUP(Calculator!E23,tbSkills!DH3:DJ6,3,FALSE),0),0))&gt;=100,100,(Backdoors!AI12+IF(BM110&gt;=0.45,VLOOKUP(Calculator!E23,tbSkills!DH3:DI6,2,FALSE)+IF(AND(Calculator!B8=TRUE,Backdoors!BI12=TRUE),VLOOKUP(Calculator!E23,tbSkills!DH3:DJ6,3,FALSE),0),0)))/100)),1))*IF(VLOOKUP(A110,tbMoveset!A2:K112,11,FALSE)=TRUE,Backdoors!AC5,1))*BN110,0),"")</f>
        <v>0</v>
      </c>
      <c r="BR110" s="49">
        <f>VLOOKUP(A110,tbMoveset!A2:G112,7,FALSE)*IFERROR(IF(Backdoors!AI12&gt;=0,1+(IF(Calculator!E40&gt;0,VLOOKUP(Calculator!E40,tbSkills!AI3:AJ5,2,FALSE),Backdoors!AL4)*(IF((Backdoors!AI12+IF(BM110&gt;=0.45,VLOOKUP(Calculator!E23,tbSkills!DH3:DI6,2,FALSE)+IF(AND(Calculator!B8=TRUE,Backdoors!BI12=TRUE),VLOOKUP(Calculator!E23,tbSkills!DH3:DJ6,3,FALSE),0),0))&gt;=100,100,(Backdoors!AI12+IF(BM110&gt;=0.45,VLOOKUP(Calculator!E23,tbSkills!DH3:DI6,2,FALSE)+IF(AND(Calculator!B8=TRUE,Backdoors!BI12=TRUE),VLOOKUP(Calculator!E23,tbSkills!DH3:DJ6,3,FALSE),0),0)))/100)),1),1)</f>
        <v>1</v>
      </c>
      <c r="BS110" s="87">
        <f t="shared" si="60"/>
        <v>0</v>
      </c>
      <c r="BT110" s="86" t="str">
        <f>IFERROR(IF(VLOOKUP(A110,tbMoveset!A2:B112,2,FALSE)="Sever",Backdoors!AY13/100,IF(VLOOKUP(A110,tbMoveset!A2:B112,2,FALSE)="Blunt",Backdoors!AZ13/100,Backdoors!BA13/100)),"")</f>
        <v/>
      </c>
      <c r="BU110" s="49">
        <f>IFERROR(IF(VLOOKUP(tbMoveset!A110,tbMoveset!A2:H112,8,FALSE)="Other",IF(VLOOKUP(tbMoveset!A110,tbMoveset!A2:I112,9,FALSE)="Fire",Backdoors!BB13,IF(VLOOKUP(tbMoveset!A110,tbMoveset!A2:I112,9,FALSE)="Water",Backdoors!BC13,IF(VLOOKUP(tbMoveset!A110,tbMoveset!A2:I112,9,FALSE)="Thunder",Backdoors!BD13,IF(VLOOKUP(tbMoveset!A110,tbMoveset!A2:I112,9,FALSE)="Ice",Backdoors!BE13,IF(VLOOKUP(tbMoveset!A110,tbMoveset!A2:I112,9,FALSE)="Dragon",Backdoors!BF13,Backdoors!BG13)))))/100,Backdoors!BG13/100),"")</f>
        <v>0</v>
      </c>
      <c r="BV110" s="49">
        <f>IFERROR(IF(VLOOKUP(A110,tbMoveset!A2:J112,10,FALSE)=TRUE,IF((Backdoors!AI12+IF(BT110&gt;=0.45,VLOOKUP(Calculator!E23,tbSkills!DH3:DI6,2,FALSE)+IF(AND(Calculator!B8=TRUE,Backdoors!BI13=TRUE),VLOOKUP(Calculator!E23,tbSkills!DH3:DJ6,3,FALSE),0),0))&gt;=0,1+(Backdoors!AL2*(IF((Backdoors!AI12+IF(BT110&gt;=0.45,VLOOKUP(Calculator!E23,tbSkills!DH3:DI6,2,FALSE)+IF(AND(Calculator!B8=TRUE,Backdoors!BI13=TRUE),VLOOKUP(Calculator!E23,tbSkills!DH3:DJ6,3,FALSE),0),0))&gt;=100,100,(Backdoors!AI12+IF(BT110&gt;=0.45,VLOOKUP(Calculator!E23,tbSkills!DH3:DI6,2,FALSE)+IF(AND(Calculator!B8=TRUE,Backdoors!BI13=TRUE),VLOOKUP(Calculator!E23,tbSkills!DH3:DJ6,3,FALSE),0),0)))/100)),(1-(0.25*((-Backdoors!AI12-IF(BT110&gt;=0.45,VLOOKUP(Calculator!E23,tbSkills!DH3:DI6,2,FALSE)+IF(AND(Calculator!B8=TRUE,Backdoors!BI13=TRUE),VLOOKUP(Calculator!E23,tbSkills!DH3:DJ6,3,FALSE),0),0))/100)))),1),"")</f>
        <v>1</v>
      </c>
      <c r="BW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T110)*BV110)*(VLOOKUP(A110,tbMoveset!A2:C112,3,FALSE)/100)*IF(VLOOKUP(A110,tbMoveset!A2:B112,2,FALSE)="Projectile",Backdoors!N10,Backdoors!N9),0),"")</f>
        <v/>
      </c>
      <c r="BX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T110&gt;=0.45,VLOOKUP(Calculator!E23,tbSkills!DH3:DI6,2,FALSE)+IF(AND(Calculator!B8=TRUE,Backdoors!BI13=TRUE),VLOOKUP(Calculator!E23,tbSkills!DH3:DJ6,3,FALSE),0),0))&gt;=100,100,(Backdoors!AI12+IF(BT110&gt;=0.45,VLOOKUP(Calculator!E23,tbSkills!DH3:DI6,2,FALSE)+IF(AND(Calculator!B8=TRUE,Backdoors!BI13=TRUE),VLOOKUP(Calculator!E23,tbSkills!DH3:DJ6,3,FALSE),0),0)))/100)),1))*IF(VLOOKUP(A110,tbMoveset!A2:K112,11,FALSE)=TRUE,Backdoors!AC5,1))*BU110,0),"")</f>
        <v>0</v>
      </c>
      <c r="BY110" s="49">
        <f>VLOOKUP(A110,tbMoveset!A2:G112,7,FALSE)*IFERROR(IF(Backdoors!AI12&gt;=0,1+(IF(Calculator!E40&gt;0,VLOOKUP(Calculator!E40,tbSkills!AI3:AJ5,2,FALSE),Backdoors!AL4)*(IF((Backdoors!AI12+IF(BT110&gt;=0.45,VLOOKUP(Calculator!E23,tbSkills!DH3:DI6,2,FALSE)+IF(AND(Calculator!B8=TRUE,Backdoors!BI13=TRUE),VLOOKUP(Calculator!E23,tbSkills!DH3:DJ6,3,FALSE),0),0))&gt;=100,100,(Backdoors!AI12+IF(BT110&gt;=0.45,VLOOKUP(Calculator!E23,tbSkills!DH3:DI6,2,FALSE)+IF(AND(Calculator!B8=TRUE,Backdoors!BI13=TRUE),VLOOKUP(Calculator!E23,tbSkills!DH3:DJ6,3,FALSE),0),0)))/100)),1),1)</f>
        <v>1</v>
      </c>
      <c r="BZ110" s="87">
        <f t="shared" si="61"/>
        <v>0</v>
      </c>
      <c r="CA110" s="86" t="str">
        <f>IFERROR(IF(VLOOKUP(A110,tbMoveset!A2:B112,2,FALSE)="Sever",Backdoors!AY14/100,IF(VLOOKUP(A110,tbMoveset!A2:B112,2,FALSE)="Blunt",Backdoors!AZ14/100,Backdoors!BA14/100)),"")</f>
        <v/>
      </c>
      <c r="CB110" s="49">
        <f>IFERROR(IF(VLOOKUP(tbMoveset!A110,tbMoveset!A2:H112,8,FALSE)="Other",IF(VLOOKUP(tbMoveset!A110,tbMoveset!A2:I112,9,FALSE)="Fire",Backdoors!BB14,IF(VLOOKUP(tbMoveset!A110,tbMoveset!A2:I112,9,FALSE)="Water",Backdoors!BC14,IF(VLOOKUP(tbMoveset!A110,tbMoveset!A2:I112,9,FALSE)="Thunder",Backdoors!BD14,IF(VLOOKUP(tbMoveset!A110,tbMoveset!A2:I112,9,FALSE)="Ice",Backdoors!BE14,IF(VLOOKUP(tbMoveset!A110,tbMoveset!A2:I112,9,FALSE)="Dragon",Backdoors!BF14,Backdoors!BG14)))))/100,Backdoors!BG14/100),"")</f>
        <v>0</v>
      </c>
      <c r="CC110" s="49">
        <f>IFERROR(IF(VLOOKUP(A110,tbMoveset!A2:J112,10,FALSE)=TRUE,IF((Backdoors!AI12+IF(CA110&gt;=0.45,VLOOKUP(Calculator!E23,tbSkills!DH3:DI6,2,FALSE)+IF(AND(Calculator!B8=TRUE,Backdoors!BI14=TRUE),VLOOKUP(Calculator!E23,tbSkills!DH3:DJ6,3,FALSE),0),0))&gt;=0,1+(Backdoors!AL2*(IF((Backdoors!AI12+IF(CA110&gt;=0.45,VLOOKUP(Calculator!E23,tbSkills!DH3:DI6,2,FALSE)+IF(AND(Calculator!B8=TRUE,Backdoors!BI14=TRUE),VLOOKUP(Calculator!E23,tbSkills!DH3:DJ6,3,FALSE),0),0))&gt;=100,100,(Backdoors!AI12+IF(CA110&gt;=0.45,VLOOKUP(Calculator!E23,tbSkills!DH3:DI6,2,FALSE)+IF(AND(Calculator!B8=TRUE,Backdoors!BI14=TRUE),VLOOKUP(Calculator!E23,tbSkills!DH3:DJ6,3,FALSE),0),0)))/100)),(1-(0.25*((-Backdoors!AI12-IF(CA110&gt;=0.45,VLOOKUP(Calculator!E23,tbSkills!DH3:DI6,2,FALSE)+IF(AND(Calculator!B8=TRUE,Backdoors!BI14=TRUE),VLOOKUP(Calculator!E23,tbSkills!DH3:DJ6,3,FALSE),0),0))/100)))),1),"")</f>
        <v>1</v>
      </c>
      <c r="CD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A110)*CC110)*(VLOOKUP(A110,tbMoveset!A2:C112,3,FALSE)/100)*IF(VLOOKUP(A110,tbMoveset!A2:B112,2,FALSE)="Projectile",Backdoors!N10,Backdoors!N9),0),"")</f>
        <v/>
      </c>
      <c r="CE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A110&gt;=0.45,VLOOKUP(Calculator!E23,tbSkills!DH3:DI6,2,FALSE)+IF(AND(Calculator!B8=TRUE,Backdoors!BI14=TRUE),VLOOKUP(Calculator!E23,tbSkills!DH3:DJ6,3,FALSE),0),0))&gt;=100,100,(Backdoors!AI12+IF(CA110&gt;=0.45,VLOOKUP(Calculator!E23,tbSkills!DH3:DI6,2,FALSE)+IF(AND(Calculator!B8=TRUE,Backdoors!BI14=TRUE),VLOOKUP(Calculator!E23,tbSkills!DH3:DJ6,3,FALSE),0),0)))/100)),1))*IF(VLOOKUP(A110,tbMoveset!A2:K112,11,FALSE)=TRUE,Backdoors!AC5,1))*CB110,0),"")</f>
        <v>0</v>
      </c>
      <c r="CF110" s="49">
        <f>VLOOKUP(A110,tbMoveset!A2:G112,7,FALSE)*IFERROR(IF(Backdoors!AI12&gt;=0,1+(IF(Calculator!E40&gt;0,VLOOKUP(Calculator!E40,tbSkills!AI3:AJ5,2,FALSE),Backdoors!AL4)*(IF((Backdoors!AI12+IF(CA110&gt;=0.45,VLOOKUP(Calculator!E23,tbSkills!DH3:DI6,2,FALSE)+IF(AND(Calculator!B8=TRUE,Backdoors!BI14=TRUE),VLOOKUP(Calculator!E23,tbSkills!DH3:DJ6,3,FALSE),0),0))&gt;=100,100,(Backdoors!AI12+IF(CA110&gt;=0.45,VLOOKUP(Calculator!E23,tbSkills!DH3:DI6,2,FALSE)+IF(AND(Calculator!B8=TRUE,Backdoors!BI14=TRUE),VLOOKUP(Calculator!E23,tbSkills!DH3:DJ6,3,FALSE),0),0)))/100)),1),1)</f>
        <v>1</v>
      </c>
      <c r="CG110" s="87">
        <f t="shared" si="62"/>
        <v>0</v>
      </c>
      <c r="CH110" s="86" t="str">
        <f>IFERROR(IF(VLOOKUP(A110,tbMoveset!A2:B112,2,FALSE)="Sever",Backdoors!AY15/100,IF(VLOOKUP(A110,tbMoveset!A2:B112,2,FALSE)="Blunt",Backdoors!AZ15/100,Backdoors!BA15/100)),"")</f>
        <v/>
      </c>
      <c r="CI110" s="49">
        <f>IFERROR(IF(VLOOKUP(tbMoveset!A110,tbMoveset!A2:H112,8,FALSE)="Other",IF(VLOOKUP(tbMoveset!A110,tbMoveset!A2:I112,9,FALSE)="Fire",Backdoors!BB15,IF(VLOOKUP(tbMoveset!A110,tbMoveset!A2:I112,9,FALSE)="Water",Backdoors!BC15,IF(VLOOKUP(tbMoveset!A110,tbMoveset!A2:I112,9,FALSE)="Thunder",Backdoors!BD15,IF(VLOOKUP(tbMoveset!A110,tbMoveset!A2:I112,9,FALSE)="Ice",Backdoors!BE15,IF(VLOOKUP(tbMoveset!A110,tbMoveset!A2:I112,9,FALSE)="Dragon",Backdoors!BF15,Backdoors!BG15)))))/100,Backdoors!BG15/100),"")</f>
        <v>0</v>
      </c>
      <c r="CJ110" s="49">
        <f>IFERROR(IF(VLOOKUP(A110,tbMoveset!A2:J112,10,FALSE)=TRUE,IF((Backdoors!AI12+IF(CH110&gt;=0.45,VLOOKUP(Calculator!E23,tbSkills!DH3:DI6,2,FALSE)+IF(AND(Calculator!B8=TRUE,Backdoors!BI15=TRUE),VLOOKUP(Calculator!E23,tbSkills!DH3:DJ6,3,FALSE),0),0))&gt;=0,1+(Backdoors!AL2*(IF((Backdoors!AI12+IF(CH110&gt;=0.45,VLOOKUP(Calculator!E23,tbSkills!DH3:DI6,2,FALSE)+IF(AND(Calculator!B8=TRUE,Backdoors!BI15=TRUE),VLOOKUP(Calculator!E23,tbSkills!DH3:DJ6,3,FALSE),0),0))&gt;=100,100,(Backdoors!AI12+IF(CH110&gt;=0.45,VLOOKUP(Calculator!E23,tbSkills!DH3:DI6,2,FALSE)+IF(AND(Calculator!B8=TRUE,Backdoors!BI15=TRUE),VLOOKUP(Calculator!E23,tbSkills!DH3:DJ6,3,FALSE),0),0)))/100)),(1-(0.25*((-Backdoors!AI12-IF(CH110&gt;=0.45,VLOOKUP(Calculator!E23,tbSkills!DH3:DI6,2,FALSE)+IF(AND(Calculator!B8=TRUE,Backdoors!BI15=TRUE),VLOOKUP(Calculator!E23,tbSkills!DH3:DJ6,3,FALSE),0),0))/100)))),1),"")</f>
        <v>1</v>
      </c>
      <c r="CK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H110)*CJ110)*(VLOOKUP(A110,tbMoveset!A2:C112,3,FALSE)/100)*IF(VLOOKUP(A110,tbMoveset!A2:B112,2,FALSE)="Projectile",Backdoors!N10,Backdoors!N9),0),"")</f>
        <v/>
      </c>
      <c r="CL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H110&gt;=0.45,VLOOKUP(Calculator!E23,tbSkills!DH3:DI6,2,FALSE)+IF(AND(Calculator!B8=TRUE,Backdoors!BI15=TRUE),VLOOKUP(Calculator!E23,tbSkills!DH3:DJ6,3,FALSE),0),0))&gt;=100,100,(Backdoors!AI12+IF(CH110&gt;=0.45,VLOOKUP(Calculator!E23,tbSkills!DH3:DI6,2,FALSE)+IF(AND(Calculator!B8=TRUE,Backdoors!BI15=TRUE),VLOOKUP(Calculator!E23,tbSkills!DH3:DJ6,3,FALSE),0),0)))/100)),1))*IF(VLOOKUP(A110,tbMoveset!A2:K112,11,FALSE)=TRUE,Backdoors!AC5,1))*CI110,0),"")</f>
        <v>0</v>
      </c>
      <c r="CM110" s="49">
        <f>VLOOKUP(A110,tbMoveset!A2:G112,7,FALSE)*IFERROR(IF(Backdoors!AI12&gt;=0,1+(IF(Calculator!E40&gt;0,VLOOKUP(Calculator!E40,tbSkills!AI3:AJ5,2,FALSE),Backdoors!AL4)*(IF((Backdoors!AI12+IF(CH110&gt;=0.45,VLOOKUP(Calculator!E23,tbSkills!DH3:DI6,2,FALSE)+IF(AND(Calculator!B8=TRUE,Backdoors!BI15=TRUE),VLOOKUP(Calculator!E23,tbSkills!DH3:DJ6,3,FALSE),0),0))&gt;=100,100,(Backdoors!AI12+IF(CH110&gt;=0.45,VLOOKUP(Calculator!E23,tbSkills!DH3:DI6,2,FALSE)+IF(AND(Calculator!B8=TRUE,Backdoors!BI15=TRUE),VLOOKUP(Calculator!E23,tbSkills!DH3:DJ6,3,FALSE),0),0)))/100)),1),1)</f>
        <v>1</v>
      </c>
      <c r="CN110" s="87">
        <f t="shared" si="63"/>
        <v>0</v>
      </c>
      <c r="CO110" s="86" t="str">
        <f>IFERROR(IF(VLOOKUP(A110,tbMoveset!A2:B112,2,FALSE)="Sever",Backdoors!AY16/100,IF(VLOOKUP(A110,tbMoveset!A2:B112,2,FALSE)="Blunt",Backdoors!AZ16/100,Backdoors!BA16/100)),"")</f>
        <v/>
      </c>
      <c r="CP110" s="49">
        <f>IFERROR(IF(VLOOKUP(tbMoveset!A110,tbMoveset!A2:H112,8,FALSE)="Other",IF(VLOOKUP(tbMoveset!A110,tbMoveset!A2:I112,9,FALSE)="Fire",Backdoors!BB16,IF(VLOOKUP(tbMoveset!A110,tbMoveset!A2:I112,9,FALSE)="Water",Backdoors!BC16,IF(VLOOKUP(tbMoveset!A110,tbMoveset!A2:I112,9,FALSE)="Thunder",Backdoors!BD16,IF(VLOOKUP(tbMoveset!A110,tbMoveset!A2:I112,9,FALSE)="Ice",Backdoors!BE16,IF(VLOOKUP(tbMoveset!A110,tbMoveset!A2:I112,9,FALSE)="Dragon",Backdoors!BF16,Backdoors!BG16)))))/100,Backdoors!BG16/100),"")</f>
        <v>0</v>
      </c>
      <c r="CQ110" s="49">
        <f>IFERROR(IF(VLOOKUP(A110,tbMoveset!A2:J112,10,FALSE)=TRUE,IF((Backdoors!AI12+IF(CO110&gt;=0.45,VLOOKUP(Calculator!E23,tbSkills!DH3:DI6,2,FALSE)+IF(AND(Calculator!B8=TRUE,Backdoors!BI16=TRUE),VLOOKUP(Calculator!E23,tbSkills!DH3:DJ6,3,FALSE),0),0))&gt;=0,1+(Backdoors!AL2*(IF((Backdoors!AI12+IF(CO110&gt;=0.45,VLOOKUP(Calculator!E23,tbSkills!DH3:DI6,2,FALSE)+IF(AND(Calculator!B8=TRUE,Backdoors!BI16=TRUE),VLOOKUP(Calculator!E23,tbSkills!DH3:DJ6,3,FALSE),0),0))&gt;=100,100,(Backdoors!AI12+IF(CO110&gt;=0.45,VLOOKUP(Calculator!E23,tbSkills!DH3:DI6,2,FALSE)+IF(AND(Calculator!B8=TRUE,Backdoors!BI16=TRUE),VLOOKUP(Calculator!E23,tbSkills!DH3:DJ6,3,FALSE),0),0)))/100)),(1-(0.25*((-Backdoors!AI12-IF(CO110&gt;=0.45,VLOOKUP(Calculator!E23,tbSkills!DH3:DI6,2,FALSE)+IF(AND(Calculator!B8=TRUE,Backdoors!BI16=TRUE),VLOOKUP(Calculator!E23,tbSkills!DH3:DJ6,3,FALSE),0),0))/100)))),1),"")</f>
        <v>1</v>
      </c>
      <c r="CR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O110)*CQ110)*(VLOOKUP(A110,tbMoveset!A2:C112,3,FALSE)/100)*IF(VLOOKUP(A110,tbMoveset!A2:B112,2,FALSE)="Projectile",Backdoors!N10,Backdoors!N9),0),"")</f>
        <v/>
      </c>
      <c r="CS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O110&gt;=0.45,VLOOKUP(Calculator!E23,tbSkills!DH3:DI6,2,FALSE)+IF(AND(Calculator!B8=TRUE,Backdoors!BI16=TRUE),VLOOKUP(Calculator!E23,tbSkills!DH3:DJ6,3,FALSE),0),0))&gt;=100,100,(Backdoors!AI12+IF(CO110&gt;=0.45,VLOOKUP(Calculator!E23,tbSkills!DH3:DI6,2,FALSE)+IF(AND(Calculator!B8=TRUE,Backdoors!BI16=TRUE),VLOOKUP(Calculator!E23,tbSkills!DH3:DJ6,3,FALSE),0),0)))/100)),1))*IF(VLOOKUP(A110,tbMoveset!A2:K112,11,FALSE)=TRUE,Backdoors!AC5,1))*CP110,0),"")</f>
        <v>0</v>
      </c>
      <c r="CT110" s="49">
        <f>VLOOKUP(A110,tbMoveset!A2:G112,7,FALSE)*IFERROR(IF(Backdoors!AI12&gt;=0,1+(IF(Calculator!E40&gt;0,VLOOKUP(Calculator!E40,tbSkills!AI3:AJ5,2,FALSE),Backdoors!AL4)*(IF((Backdoors!AI12+IF(CO110&gt;=0.45,VLOOKUP(Calculator!E23,tbSkills!DH3:DI6,2,FALSE)+IF(AND(Calculator!B8=TRUE,Backdoors!BI16=TRUE),VLOOKUP(Calculator!E23,tbSkills!DH3:DJ6,3,FALSE),0),0))&gt;=100,100,(Backdoors!AI12+IF(CO110&gt;=0.45,VLOOKUP(Calculator!E23,tbSkills!DH3:DI6,2,FALSE)+IF(AND(Calculator!B8=TRUE,Backdoors!BI16=TRUE),VLOOKUP(Calculator!E23,tbSkills!DH3:DJ6,3,FALSE),0),0)))/100)),1),1)</f>
        <v>1</v>
      </c>
      <c r="CU110" s="87">
        <f t="shared" si="64"/>
        <v>0</v>
      </c>
      <c r="CV110" s="86" t="str">
        <f>IFERROR(IF(VLOOKUP(A110,tbMoveset!A2:B112,2,FALSE)="Sever",Backdoors!AY17/100,IF(VLOOKUP(A110,tbMoveset!A2:B112,2,FALSE)="Blunt",Backdoors!AZ17/100,Backdoors!BA17/100)),"")</f>
        <v/>
      </c>
      <c r="CW110" s="49">
        <f>IFERROR(IF(VLOOKUP(tbMoveset!A110,tbMoveset!A2:H112,8,FALSE)="Other",IF(VLOOKUP(tbMoveset!A110,tbMoveset!A2:I112,9,FALSE)="Fire",Backdoors!BB17,IF(VLOOKUP(tbMoveset!A110,tbMoveset!A2:I112,9,FALSE)="Water",Backdoors!BC17,IF(VLOOKUP(tbMoveset!A110,tbMoveset!A2:I112,9,FALSE)="Thunder",Backdoors!BD17,IF(VLOOKUP(tbMoveset!A110,tbMoveset!A2:I112,9,FALSE)="Ice",Backdoors!BE17,IF(VLOOKUP(tbMoveset!A110,tbMoveset!A2:I112,9,FALSE)="Dragon",Backdoors!BF17,Backdoors!BG17)))))/100,Backdoors!BG17/100),"")</f>
        <v>0</v>
      </c>
      <c r="CX110" s="49">
        <f>IFERROR(IF(VLOOKUP(A110,tbMoveset!A2:J112,10,FALSE)=TRUE,IF((Backdoors!AI12+IF(CV110&gt;=0.45,VLOOKUP(Calculator!E23,tbSkills!DH3:DI6,2,FALSE)+IF(AND(Calculator!B8=TRUE,Backdoors!BI17=TRUE),VLOOKUP(Calculator!E23,tbSkills!DH3:DJ6,3,FALSE),0),0))&gt;=0,1+(Backdoors!AL2*(IF((Backdoors!AI12+IF(CV110&gt;=0.45,VLOOKUP(Calculator!E23,tbSkills!DH3:DI6,2,FALSE)+IF(AND(Calculator!B8=TRUE,Backdoors!BI17=TRUE),VLOOKUP(Calculator!E23,tbSkills!DH3:DJ6,3,FALSE),0),0))&gt;=100,100,(Backdoors!AI12+IF(CV110&gt;=0.45,VLOOKUP(Calculator!E23,tbSkills!DH3:DI6,2,FALSE)+IF(AND(Calculator!B8=TRUE,Backdoors!BI17=TRUE),VLOOKUP(Calculator!E23,tbSkills!DH3:DJ6,3,FALSE),0),0)))/100)),(1-(0.25*((-Backdoors!AI12-IF(CV110&gt;=0.45,VLOOKUP(Calculator!E23,tbSkills!DH3:DI6,2,FALSE)+IF(AND(Calculator!B8=TRUE,Backdoors!BI17=TRUE),VLOOKUP(Calculator!E23,tbSkills!DH3:DJ6,3,FALSE),0),0))/100)))),1),"")</f>
        <v>1</v>
      </c>
      <c r="CY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V110)*CX110)*(VLOOKUP(A110,tbMoveset!A2:C112,3,FALSE)/100)*IF(VLOOKUP(A110,tbMoveset!A2:B112,2,FALSE)="Projectile",Backdoors!N10,Backdoors!N9),0),"")</f>
        <v/>
      </c>
      <c r="CZ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V110&gt;=0.45,VLOOKUP(Calculator!E23,tbSkills!DH3:DI6,2,FALSE)+IF(AND(Calculator!B8=TRUE,Backdoors!BI17=TRUE),VLOOKUP(Calculator!E23,tbSkills!DH3:DJ6,3,FALSE),0),0))&gt;=100,100,(Backdoors!AI12+IF(CV110&gt;=0.45,VLOOKUP(Calculator!E23,tbSkills!DH3:DI6,2,FALSE)+IF(AND(Calculator!B8=TRUE,Backdoors!BI17=TRUE),VLOOKUP(Calculator!E23,tbSkills!DH3:DJ6,3,FALSE),0),0)))/100)),1))*IF(VLOOKUP(A110,tbMoveset!A2:K112,11,FALSE)=TRUE,Backdoors!AC5,1))*CW110,0),"")</f>
        <v>0</v>
      </c>
      <c r="DA110" s="49">
        <f>VLOOKUP(A110,tbMoveset!A2:G112,7,FALSE)*IFERROR(IF(Backdoors!AI12&gt;=0,1+(IF(Calculator!E40&gt;0,VLOOKUP(Calculator!E40,tbSkills!AI3:AJ5,2,FALSE),Backdoors!AL4)*(IF((Backdoors!AI12+IF(CV110&gt;=0.45,VLOOKUP(Calculator!E23,tbSkills!DH3:DI6,2,FALSE)+IF(AND(Calculator!B8=TRUE,Backdoors!BI17=TRUE),VLOOKUP(Calculator!E23,tbSkills!DH3:DJ6,3,FALSE),0),0))&gt;=100,100,(Backdoors!AI12+IF(CV110&gt;=0.45,VLOOKUP(Calculator!E23,tbSkills!DH3:DI6,2,FALSE)+IF(AND(Calculator!B8=TRUE,Backdoors!BI17=TRUE),VLOOKUP(Calculator!E23,tbSkills!DH3:DJ6,3,FALSE),0),0)))/100)),1),1)</f>
        <v>1</v>
      </c>
      <c r="DB110" s="87">
        <f t="shared" si="65"/>
        <v>0</v>
      </c>
      <c r="DC110" s="86" t="str">
        <f>IFERROR(IF(VLOOKUP(A110,tbMoveset!A2:B112,2,FALSE)="Sever",Backdoors!AY18/100,IF(VLOOKUP(A110,tbMoveset!A2:B112,2,FALSE)="Blunt",Backdoors!AZ18/100,Backdoors!BA18/100)),"")</f>
        <v/>
      </c>
      <c r="DD110" s="49">
        <f>IFERROR(IF(VLOOKUP(tbMoveset!A110,tbMoveset!A2:H112,8,FALSE)="Other",IF(VLOOKUP(tbMoveset!A110,tbMoveset!A2:I112,9,FALSE)="Fire",Backdoors!BB18,IF(VLOOKUP(tbMoveset!A110,tbMoveset!A2:I112,9,FALSE)="Water",Backdoors!BC18,IF(VLOOKUP(tbMoveset!A110,tbMoveset!A2:I112,9,FALSE)="Thunder",Backdoors!BD18,IF(VLOOKUP(tbMoveset!A110,tbMoveset!A2:I112,9,FALSE)="Ice",Backdoors!BE18,IF(VLOOKUP(tbMoveset!A110,tbMoveset!A2:I112,9,FALSE)="Dragon",Backdoors!BF18,Backdoors!BG18)))))/100,Backdoors!BG18/100),"")</f>
        <v>0</v>
      </c>
      <c r="DE110" s="49">
        <f>IFERROR(IF(VLOOKUP(A110,tbMoveset!A2:J112,10,FALSE)=TRUE,IF((Backdoors!AI12+IF(DC110&gt;=0.45,VLOOKUP(Calculator!E23,tbSkills!DH3:DI6,2,FALSE)+IF(AND(Calculator!B8=TRUE,Backdoors!BI18=TRUE),VLOOKUP(Calculator!E23,tbSkills!DH3:DJ6,3,FALSE),0),0))&gt;=0,1+(Backdoors!AL2*(IF((Backdoors!AI12+IF(DC110&gt;=0.45,VLOOKUP(Calculator!E23,tbSkills!DH3:DI6,2,FALSE)+IF(AND(Calculator!B8=TRUE,Backdoors!BI18=TRUE),VLOOKUP(Calculator!E23,tbSkills!DH3:DJ6,3,FALSE),0),0))&gt;=100,100,(Backdoors!AI12+IF(DC110&gt;=0.45,VLOOKUP(Calculator!E23,tbSkills!DH3:DI6,2,FALSE)+IF(AND(Calculator!B8=TRUE,Backdoors!BI18=TRUE),VLOOKUP(Calculator!E23,tbSkills!DH3:DJ6,3,FALSE),0),0)))/100)),(1-(0.25*((-Backdoors!AI12-IF(DC110&gt;=0.45,VLOOKUP(Calculator!E23,tbSkills!DH3:DI6,2,FALSE)+IF(AND(Calculator!B8=TRUE,Backdoors!BI18=TRUE),VLOOKUP(Calculator!E23,tbSkills!DH3:DJ6,3,FALSE),0),0))/100)))),1),"")</f>
        <v>1</v>
      </c>
      <c r="DF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C110)*DE110)*(VLOOKUP(A110,tbMoveset!A2:C112,3,FALSE)/100)*IF(VLOOKUP(A110,tbMoveset!A2:B112,2,FALSE)="Projectile",Backdoors!N10,Backdoors!N9),0),"")</f>
        <v/>
      </c>
      <c r="DG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C110&gt;=0.45,VLOOKUP(Calculator!E23,tbSkills!DH3:DI6,2,FALSE)+IF(AND(Calculator!B8=TRUE,Backdoors!BI18=TRUE),VLOOKUP(Calculator!E23,tbSkills!DH3:DJ6,3,FALSE),0),0))&gt;=100,100,(Backdoors!AI12+IF(DC110&gt;=0.45,VLOOKUP(Calculator!E23,tbSkills!DH3:DI6,2,FALSE)+IF(AND(Calculator!B8=TRUE,Backdoors!BI18=TRUE),VLOOKUP(Calculator!E23,tbSkills!DH3:DJ6,3,FALSE),0),0)))/100)),1))*IF(VLOOKUP(A110,tbMoveset!A2:K112,11,FALSE)=TRUE,Backdoors!AC5,1))*DD110,0),"")</f>
        <v>0</v>
      </c>
      <c r="DH110" s="49">
        <f>VLOOKUP(A110,tbMoveset!A2:G112,7,FALSE)*IFERROR(IF(Backdoors!AI12&gt;=0,1+(IF(Calculator!E40&gt;0,VLOOKUP(Calculator!E40,tbSkills!AI3:AJ5,2,FALSE),Backdoors!AL4)*(IF((Backdoors!AI12+IF(DC110&gt;=0.45,VLOOKUP(Calculator!E23,tbSkills!DH3:DI6,2,FALSE)+IF(AND(Calculator!B8=TRUE,Backdoors!BI18=TRUE),VLOOKUP(Calculator!E23,tbSkills!DH3:DJ6,3,FALSE),0),0))&gt;=100,100,(Backdoors!AI12+IF(DC110&gt;=0.45,VLOOKUP(Calculator!E23,tbSkills!DH3:DI6,2,FALSE)+IF(AND(Calculator!B8=TRUE,Backdoors!BI18=TRUE),VLOOKUP(Calculator!E23,tbSkills!DH3:DJ6,3,FALSE),0),0)))/100)),1),1)</f>
        <v>1</v>
      </c>
      <c r="DI110" s="87">
        <f t="shared" si="66"/>
        <v>0</v>
      </c>
      <c r="DJ110" s="86" t="str">
        <f>IFERROR(IF(VLOOKUP(A110,tbMoveset!A2:B112,2,FALSE)="Sever",Backdoors!AY19/100,IF(VLOOKUP(A110,tbMoveset!A2:B112,2,FALSE)="Blunt",Backdoors!AZ19/100,Backdoors!BA19/100)),"")</f>
        <v/>
      </c>
      <c r="DK110" s="49">
        <f>IFERROR(IF(VLOOKUP(tbMoveset!A110,tbMoveset!A2:H112,8,FALSE)="Other",IF(VLOOKUP(tbMoveset!A110,tbMoveset!A2:I112,9,FALSE)="Fire",Backdoors!BB19,IF(VLOOKUP(tbMoveset!A110,tbMoveset!A2:I112,9,FALSE)="Water",Backdoors!BC19,IF(VLOOKUP(tbMoveset!A110,tbMoveset!A2:I112,9,FALSE)="Thunder",Backdoors!BD19,IF(VLOOKUP(tbMoveset!A110,tbMoveset!A2:I112,9,FALSE)="Ice",Backdoors!BE19,IF(VLOOKUP(tbMoveset!A110,tbMoveset!A2:I112,9,FALSE)="Dragon",Backdoors!BF19,Backdoors!BG19)))))/100,Backdoors!BG19/100),"")</f>
        <v>0</v>
      </c>
      <c r="DL110" s="49">
        <f>IFERROR(IF(VLOOKUP(A110,tbMoveset!A2:J112,10,FALSE)=TRUE,IF((Backdoors!AI12+IF(DJ110&gt;=0.45,VLOOKUP(Calculator!E23,tbSkills!DH3:DI6,2,FALSE)+IF(AND(Calculator!B8=TRUE,Backdoors!BI19=TRUE),VLOOKUP(Calculator!E23,tbSkills!DH3:DJ6,3,FALSE),0),0))&gt;=0,1+(Backdoors!AL2*(IF((Backdoors!AI12+IF(DJ110&gt;=0.45,VLOOKUP(Calculator!E23,tbSkills!DH3:DI6,2,FALSE)+IF(AND(Calculator!B8=TRUE,Backdoors!BI19=TRUE),VLOOKUP(Calculator!E23,tbSkills!DH3:DJ6,3,FALSE),0),0))&gt;=100,100,(Backdoors!AI12+IF(DJ110&gt;=0.45,VLOOKUP(Calculator!E23,tbSkills!DH3:DI6,2,FALSE)+IF(AND(Calculator!B8=TRUE,Backdoors!BI19=TRUE),VLOOKUP(Calculator!E23,tbSkills!DH3:DJ6,3,FALSE),0),0)))/100)),(1-(0.25*((-Backdoors!AI12-IF(DJ110&gt;=0.45,VLOOKUP(Calculator!E23,tbSkills!DH3:DI6,2,FALSE)+IF(AND(Calculator!B8=TRUE,Backdoors!BI19=TRUE),VLOOKUP(Calculator!E23,tbSkills!DH3:DJ6,3,FALSE),0),0))/100)))),1),"")</f>
        <v>1</v>
      </c>
      <c r="DM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J110)*DL110)*(VLOOKUP(A110,tbMoveset!A2:C112,3,FALSE)/100)*IF(VLOOKUP(A110,tbMoveset!A2:B112,2,FALSE)="Projectile",Backdoors!N10,Backdoors!N9),0),"")</f>
        <v/>
      </c>
      <c r="DN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J110&gt;=0.45,VLOOKUP(Calculator!E23,tbSkills!DH3:DI6,2,FALSE)+IF(AND(Calculator!B8=TRUE,Backdoors!BI19=TRUE),VLOOKUP(Calculator!E23,tbSkills!DH3:DJ6,3,FALSE),0),0))&gt;=100,100,(Backdoors!AI12+IF(DJ110&gt;=0.45,VLOOKUP(Calculator!E23,tbSkills!DH3:DI6,2,FALSE)+IF(AND(Calculator!B8=TRUE,Backdoors!BI19=TRUE),VLOOKUP(Calculator!E23,tbSkills!DH3:DJ6,3,FALSE),0),0)))/100)),1))*IF(VLOOKUP(A110,tbMoveset!A2:K112,11,FALSE)=TRUE,Backdoors!AC5,1))*DK110,0),"")</f>
        <v>0</v>
      </c>
      <c r="DO110" s="49">
        <f>VLOOKUP(A110,tbMoveset!A2:G112,7,FALSE)*IFERROR(IF(Backdoors!AI12&gt;=0,1+(IF(Calculator!E40&gt;0,VLOOKUP(Calculator!E40,tbSkills!AI3:AJ5,2,FALSE),Backdoors!AL4)*(IF((Backdoors!AI12+IF(DJ110&gt;=0.45,VLOOKUP(Calculator!E23,tbSkills!DH3:DI6,2,FALSE)+IF(AND(Calculator!B8=TRUE,Backdoors!BI19=TRUE),VLOOKUP(Calculator!E23,tbSkills!DH3:DJ6,3,FALSE),0),0))&gt;=100,100,(Backdoors!AI12+IF(DJ110&gt;=0.45,VLOOKUP(Calculator!E23,tbSkills!DH3:DI6,2,FALSE)+IF(AND(Calculator!B8=TRUE,Backdoors!BI19=TRUE),VLOOKUP(Calculator!E23,tbSkills!DH3:DJ6,3,FALSE),0),0)))/100)),1),1)</f>
        <v>1</v>
      </c>
      <c r="DP110" s="87">
        <f t="shared" si="67"/>
        <v>0</v>
      </c>
      <c r="DQ110" s="86" t="str">
        <f>IFERROR(IF(VLOOKUP(A110,tbMoveset!A2:B112,2,FALSE)="Sever",Backdoors!AY20/100,IF(VLOOKUP(A110,tbMoveset!A2:B112,2,FALSE)="Blunt",Backdoors!AZ20/100,Backdoors!BA20/100)),"")</f>
        <v/>
      </c>
      <c r="DR110" s="49">
        <f>IFERROR(IF(VLOOKUP(tbMoveset!A110,tbMoveset!A2:H112,8,FALSE)="Other",IF(VLOOKUP(tbMoveset!A110,tbMoveset!A2:I112,9,FALSE)="Fire",Backdoors!BB20,IF(VLOOKUP(tbMoveset!A110,tbMoveset!A2:I112,9,FALSE)="Water",Backdoors!BC20,IF(VLOOKUP(tbMoveset!A110,tbMoveset!A2:I112,9,FALSE)="Thunder",Backdoors!BD20,IF(VLOOKUP(tbMoveset!A110,tbMoveset!A2:I112,9,FALSE)="Ice",Backdoors!BE20,IF(VLOOKUP(tbMoveset!A110,tbMoveset!A2:I112,9,FALSE)="Dragon",Backdoors!BF20,Backdoors!BG20)))))/100,Backdoors!BG20/100),"")</f>
        <v>0</v>
      </c>
      <c r="DS110" s="49">
        <f>IFERROR(IF(VLOOKUP(A110,tbMoveset!A2:J112,10,FALSE)=TRUE,IF((Backdoors!AI12+IF(DQ110&gt;=0.45,VLOOKUP(Calculator!E23,tbSkills!DH3:DI6,2,FALSE)+IF(AND(Calculator!B8=TRUE,Backdoors!BI20=TRUE),VLOOKUP(Calculator!E23,tbSkills!DH3:DJ6,3,FALSE),0),0))&gt;=0,1+(Backdoors!AL2*(IF((Backdoors!AI12+IF(DQ110&gt;=0.45,VLOOKUP(Calculator!E23,tbSkills!DH3:DI6,2,FALSE)+IF(AND(Calculator!B8=TRUE,Backdoors!BI20=TRUE),VLOOKUP(Calculator!E23,tbSkills!DH3:DJ6,3,FALSE),0),0))&gt;=100,100,(Backdoors!AI12+IF(DQ110&gt;=0.45,VLOOKUP(Calculator!E23,tbSkills!DH3:DI6,2,FALSE)+IF(AND(Calculator!B8=TRUE,Backdoors!BI20=TRUE),VLOOKUP(Calculator!E23,tbSkills!DH3:DJ6,3,FALSE),0),0)))/100)),(1-(0.25*((-Backdoors!AI12-IF(DQ110&gt;=0.45,VLOOKUP(Calculator!E23,tbSkills!DH3:DI6,2,FALSE)+IF(AND(Calculator!B8=TRUE,Backdoors!BI20=TRUE),VLOOKUP(Calculator!E23,tbSkills!DH3:DJ6,3,FALSE),0),0))/100)))),1),"")</f>
        <v>1</v>
      </c>
      <c r="DT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Q110)*DS110)*(VLOOKUP(A110,tbMoveset!A2:C112,3,FALSE)/100)*IF(VLOOKUP(A110,tbMoveset!A2:B112,2,FALSE)="Projectile",Backdoors!N10,Backdoors!N9),0),"")</f>
        <v/>
      </c>
      <c r="DU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Q110&gt;=0.45,VLOOKUP(Calculator!E23,tbSkills!DH3:DI6,2,FALSE)+IF(AND(Calculator!B8=TRUE,Backdoors!BI20=TRUE),VLOOKUP(Calculator!E23,tbSkills!DH3:DJ6,3,FALSE),0),0))&gt;=100,100,(Backdoors!AI12+IF(DQ110&gt;=0.45,VLOOKUP(Calculator!E23,tbSkills!DH3:DI6,2,FALSE)+IF(AND(Calculator!B8=TRUE,Backdoors!BI20=TRUE),VLOOKUP(Calculator!E23,tbSkills!DH3:DJ6,3,FALSE),0),0)))/100)),1))*IF(VLOOKUP(A110,tbMoveset!A2:K112,11,FALSE)=TRUE,Backdoors!AC5,1))*DR110,0),"")</f>
        <v>0</v>
      </c>
      <c r="DV110" s="49">
        <f>VLOOKUP(A110,tbMoveset!A2:G112,7,FALSE)*IFERROR(IF(Backdoors!AI12&gt;=0,1+(IF(Calculator!E40&gt;0,VLOOKUP(Calculator!E40,tbSkills!AI3:AJ5,2,FALSE),Backdoors!AL4)*(IF((Backdoors!AI12+IF(DQ110&gt;=0.45,VLOOKUP(Calculator!E23,tbSkills!DH3:DI6,2,FALSE)+IF(AND(Calculator!B8=TRUE,Backdoors!BI20=TRUE),VLOOKUP(Calculator!E23,tbSkills!DH3:DJ6,3,FALSE),0),0))&gt;=100,100,(Backdoors!AI12+IF(DQ110&gt;=0.45,VLOOKUP(Calculator!E23,tbSkills!DH3:DI6,2,FALSE)+IF(AND(Calculator!B8=TRUE,Backdoors!BI20=TRUE),VLOOKUP(Calculator!E23,tbSkills!DH3:DJ6,3,FALSE),0),0)))/100)),1),1)</f>
        <v>1</v>
      </c>
      <c r="DW110" s="87">
        <f t="shared" si="68"/>
        <v>0</v>
      </c>
      <c r="DX110" s="86" t="str">
        <f>IFERROR(IF(VLOOKUP(A110,tbMoveset!A2:B112,2,FALSE)="Sever",Backdoors!AY21/100,IF(VLOOKUP(A110,tbMoveset!A2:B112,2,FALSE)="Blunt",Backdoors!AZ21/100,Backdoors!BA21/100)),"")</f>
        <v/>
      </c>
      <c r="DY110" s="49">
        <f>IFERROR(IF(VLOOKUP(tbMoveset!A110,tbMoveset!A2:H112,8,FALSE)="Other",IF(VLOOKUP(tbMoveset!A110,tbMoveset!A2:I112,9,FALSE)="Fire",Backdoors!BB21,IF(VLOOKUP(tbMoveset!A110,tbMoveset!A2:I112,9,FALSE)="Water",Backdoors!BC21,IF(VLOOKUP(tbMoveset!A110,tbMoveset!A2:I112,9,FALSE)="Thunder",Backdoors!BD21,IF(VLOOKUP(tbMoveset!A110,tbMoveset!A2:I112,9,FALSE)="Ice",Backdoors!BE21,IF(VLOOKUP(tbMoveset!A110,tbMoveset!A2:I112,9,FALSE)="Dragon",Backdoors!BF21,Backdoors!BG21)))))/100,Backdoors!BG21/100),"")</f>
        <v>0</v>
      </c>
      <c r="DZ110" s="49">
        <f>IFERROR(IF(VLOOKUP(A110,tbMoveset!A2:J112,10,FALSE)=TRUE,IF((Backdoors!AI12+IF(DX110&gt;=0.45,VLOOKUP(Calculator!E23,tbSkills!DH3:DI6,2,FALSE)+IF(AND(Calculator!B8=TRUE,Backdoors!BI21=TRUE),VLOOKUP(Calculator!E23,tbSkills!DH3:DJ6,3,FALSE),0),0))&gt;=0,1+(Backdoors!AL2*(IF((Backdoors!AI12+IF(DX110&gt;=0.45,VLOOKUP(Calculator!E23,tbSkills!DH3:DI6,2,FALSE)+IF(AND(Calculator!B8=TRUE,Backdoors!BI21=TRUE),VLOOKUP(Calculator!E23,tbSkills!DH3:DJ6,3,FALSE),0),0))&gt;=100,100,(Backdoors!AI12+IF(DX110&gt;=0.45,VLOOKUP(Calculator!E23,tbSkills!DH3:DI6,2,FALSE)+IF(AND(Calculator!B8=TRUE,Backdoors!BI21=TRUE),VLOOKUP(Calculator!E23,tbSkills!DH3:DJ6,3,FALSE),0),0)))/100)),(1-(0.25*((-Backdoors!AI12-IF(DX110&gt;=0.45,VLOOKUP(Calculator!E23,tbSkills!DH3:DI6,2,FALSE)+IF(AND(Calculator!B8=TRUE,Backdoors!BI21=TRUE),VLOOKUP(Calculator!E23,tbSkills!DH3:DJ6,3,FALSE),0),0))/100)))),1),"")</f>
        <v>1</v>
      </c>
      <c r="EA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X110)*DZ110)*(VLOOKUP(A110,tbMoveset!A2:C112,3,FALSE)/100)*IF(VLOOKUP(A110,tbMoveset!A2:B112,2,FALSE)="Projectile",Backdoors!N10,Backdoors!N9),0),"")</f>
        <v/>
      </c>
      <c r="EB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X110&gt;=0.45,VLOOKUP(Calculator!E23,tbSkills!DH3:DI6,2,FALSE)+IF(AND(Calculator!B8=TRUE,Backdoors!BI21=TRUE),VLOOKUP(Calculator!E23,tbSkills!DH3:DJ6,3,FALSE),0),0))&gt;=100,100,(Backdoors!AI12+IF(DX110&gt;=0.45,VLOOKUP(Calculator!E23,tbSkills!DH3:DI6,2,FALSE)+IF(AND(Calculator!B8=TRUE,Backdoors!BI21=TRUE),VLOOKUP(Calculator!E23,tbSkills!DH3:DJ6,3,FALSE),0),0)))/100)),1))*IF(VLOOKUP(A110,tbMoveset!A2:K112,11,FALSE)=TRUE,Backdoors!AC5,1))*DY110,0),"")</f>
        <v>0</v>
      </c>
      <c r="EC110" s="49">
        <f>VLOOKUP(A110,tbMoveset!A2:G112,7,FALSE)*IFERROR(IF(Backdoors!AI12&gt;=0,1+(IF(Calculator!E40&gt;0,VLOOKUP(Calculator!E40,tbSkills!AI3:AJ5,2,FALSE),Backdoors!AL4)*(IF((Backdoors!AI12+IF(DX110&gt;=0.45,VLOOKUP(Calculator!E23,tbSkills!DH3:DI6,2,FALSE)+IF(AND(Calculator!B8=TRUE,Backdoors!BI21=TRUE),VLOOKUP(Calculator!E23,tbSkills!DH3:DJ6,3,FALSE),0),0))&gt;=100,100,(Backdoors!AI12+IF(DX110&gt;=0.45,VLOOKUP(Calculator!E23,tbSkills!DH3:DI6,2,FALSE)+IF(AND(Calculator!B8=TRUE,Backdoors!BI21=TRUE),VLOOKUP(Calculator!E23,tbSkills!DH3:DJ6,3,FALSE),0),0)))/100)),1),1)</f>
        <v>1</v>
      </c>
      <c r="ED110" s="87">
        <f t="shared" si="69"/>
        <v>0</v>
      </c>
      <c r="EE110" s="86" t="str">
        <f>IFERROR(IF(VLOOKUP(A110,tbMoveset!A2:B112,2,FALSE)="Sever",Backdoors!AY22/100,IF(VLOOKUP(A110,tbMoveset!A2:B112,2,FALSE)="Blunt",Backdoors!AZ22/100,Backdoors!BA22/100)),"")</f>
        <v/>
      </c>
      <c r="EF110" s="49">
        <f>IFERROR(IF(VLOOKUP(tbMoveset!A110,tbMoveset!A2:H112,8,FALSE)="Other",IF(VLOOKUP(tbMoveset!A110,tbMoveset!A2:I112,9,FALSE)="Fire",Backdoors!BB22,IF(VLOOKUP(tbMoveset!A110,tbMoveset!A2:I112,9,FALSE)="Water",Backdoors!BC22,IF(VLOOKUP(tbMoveset!A110,tbMoveset!A2:I112,9,FALSE)="Thunder",Backdoors!BD22,IF(VLOOKUP(tbMoveset!A110,tbMoveset!A2:I112,9,FALSE)="Ice",Backdoors!BE22,IF(VLOOKUP(tbMoveset!A110,tbMoveset!A2:I112,9,FALSE)="Dragon",Backdoors!BF22,Backdoors!BG22)))))/100,Backdoors!BG22/100),"")</f>
        <v>0</v>
      </c>
      <c r="EG110" s="49">
        <f>IFERROR(IF(VLOOKUP(A110,tbMoveset!A2:J112,10,FALSE)=TRUE,IF((Backdoors!AI12+IF(EE110&gt;=0.45,VLOOKUP(Calculator!E23,tbSkills!DH3:DI6,2,FALSE)+IF(AND(Calculator!B8=TRUE,Backdoors!BI22=TRUE),VLOOKUP(Calculator!E23,tbSkills!DH3:DJ6,3,FALSE),0),0))&gt;=0,1+(Backdoors!AL2*(IF((Backdoors!AI12+IF(EE110&gt;=0.45,VLOOKUP(Calculator!E23,tbSkills!DH3:DI6,2,FALSE)+IF(AND(Calculator!B8=TRUE,Backdoors!BI22=TRUE),VLOOKUP(Calculator!E23,tbSkills!DH3:DJ6,3,FALSE),0),0))&gt;=100,100,(Backdoors!AI12+IF(EE110&gt;=0.45,VLOOKUP(Calculator!E23,tbSkills!DH3:DI6,2,FALSE)+IF(AND(Calculator!B8=TRUE,Backdoors!BI22=TRUE),VLOOKUP(Calculator!E23,tbSkills!DH3:DJ6,3,FALSE),0),0)))/100)),(1-(0.25*((-Backdoors!AI12-IF(EE110&gt;=0.45,VLOOKUP(Calculator!E23,tbSkills!DH3:DI6,2,FALSE)+IF(AND(Calculator!B8=TRUE,Backdoors!BI22=TRUE),VLOOKUP(Calculator!E23,tbSkills!DH3:DJ6,3,FALSE),0),0))/100)))),1),"")</f>
        <v>1</v>
      </c>
      <c r="EH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E110)*EG110)*(VLOOKUP(A110,tbMoveset!A2:C112,3,FALSE)/100)*IF(VLOOKUP(A110,tbMoveset!A2:B112,2,FALSE)="Projectile",Backdoors!N10,Backdoors!N9),0),"")</f>
        <v/>
      </c>
      <c r="EI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E110&gt;=0.45,VLOOKUP(Calculator!E23,tbSkills!DH3:DI6,2,FALSE)+IF(AND(Calculator!B8=TRUE,Backdoors!BI22=TRUE),VLOOKUP(Calculator!E23,tbSkills!DH3:DJ6,3,FALSE),0),0))&gt;=100,100,(Backdoors!AI12+IF(EE110&gt;=0.45,VLOOKUP(Calculator!E23,tbSkills!DH3:DI6,2,FALSE)+IF(AND(Calculator!B8=TRUE,Backdoors!BI22=TRUE),VLOOKUP(Calculator!E23,tbSkills!DH3:DJ6,3,FALSE),0),0)))/100)),1))*IF(VLOOKUP(A110,tbMoveset!A2:K112,11,FALSE)=TRUE,Backdoors!AC5,1))*EF110,0),"")</f>
        <v>0</v>
      </c>
      <c r="EJ110" s="49">
        <f>VLOOKUP(A110,tbMoveset!A2:G112,7,FALSE)*IFERROR(IF(Backdoors!AI12&gt;=0,1+(IF(Calculator!E40&gt;0,VLOOKUP(Calculator!E40,tbSkills!AI3:AJ5,2,FALSE),Backdoors!AL4)*(IF((Backdoors!AI12+IF(EE110&gt;=0.45,VLOOKUP(Calculator!E23,tbSkills!DH3:DI6,2,FALSE)+IF(AND(Calculator!B8=TRUE,Backdoors!BI22=TRUE),VLOOKUP(Calculator!E23,tbSkills!DH3:DJ6,3,FALSE),0),0))&gt;=100,100,(Backdoors!AI12+IF(EE110&gt;=0.45,VLOOKUP(Calculator!E23,tbSkills!DH3:DI6,2,FALSE)+IF(AND(Calculator!B8=TRUE,Backdoors!BI22=TRUE),VLOOKUP(Calculator!E23,tbSkills!DH3:DJ6,3,FALSE),0),0)))/100)),1),1)</f>
        <v>1</v>
      </c>
      <c r="EK110" s="87">
        <f t="shared" si="70"/>
        <v>0</v>
      </c>
      <c r="EL110" s="86" t="str">
        <f>IFERROR(IF(VLOOKUP(A110,tbMoveset!A2:B112,2,FALSE)="Sever",Backdoors!AY23/100,IF(VLOOKUP(A110,tbMoveset!A2:B112,2,FALSE)="Blunt",Backdoors!AZ23/100,Backdoors!BA23/100)),"")</f>
        <v/>
      </c>
      <c r="EM110" s="49">
        <f>IFERROR(IF(VLOOKUP(tbMoveset!A110,tbMoveset!A2:H112,8,FALSE)="Other",IF(VLOOKUP(tbMoveset!A110,tbMoveset!A2:I112,9,FALSE)="Fire",Backdoors!BB23,IF(VLOOKUP(tbMoveset!A110,tbMoveset!A2:I112,9,FALSE)="Water",Backdoors!BC23,IF(VLOOKUP(tbMoveset!A110,tbMoveset!A2:I112,9,FALSE)="Thunder",Backdoors!BD23,IF(VLOOKUP(tbMoveset!A110,tbMoveset!A2:I112,9,FALSE)="Ice",Backdoors!BE23,IF(VLOOKUP(tbMoveset!A110,tbMoveset!A2:I112,9,FALSE)="Dragon",Backdoors!BF23,Backdoors!BG23)))))/100,Backdoors!BG23/100),"")</f>
        <v>0</v>
      </c>
      <c r="EN110" s="49">
        <f>IFERROR(IF(VLOOKUP(A110,tbMoveset!A2:J112,10,FALSE)=TRUE,IF((Backdoors!AI12+IF(EL110&gt;=0.45,VLOOKUP(Calculator!E23,tbSkills!DH3:DI6,2,FALSE)+IF(AND(Calculator!B8=TRUE,Backdoors!BI23=TRUE),VLOOKUP(Calculator!E23,tbSkills!DH3:DJ6,3,FALSE),0),0))&gt;=0,1+(Backdoors!AL2*(IF((Backdoors!AI12+IF(EL110&gt;=0.45,VLOOKUP(Calculator!E23,tbSkills!DH3:DI6,2,FALSE)+IF(AND(Calculator!B8=TRUE,Backdoors!BI23=TRUE),VLOOKUP(Calculator!E23,tbSkills!DH3:DJ6,3,FALSE),0),0))&gt;=100,100,(Backdoors!AI12+IF(EL110&gt;=0.45,VLOOKUP(Calculator!E23,tbSkills!DH3:DI6,2,FALSE)+IF(AND(Calculator!B8=TRUE,Backdoors!BI23=TRUE),VLOOKUP(Calculator!E23,tbSkills!DH3:DJ6,3,FALSE),0),0)))/100)),(1-(0.25*((-Backdoors!AI12-IF(EL110&gt;=0.45,VLOOKUP(Calculator!E23,tbSkills!DH3:DI6,2,FALSE)+IF(AND(Calculator!B8=TRUE,Backdoors!BI23=TRUE),VLOOKUP(Calculator!E23,tbSkills!DH3:DJ6,3,FALSE),0),0))/100)))),1),"")</f>
        <v>1</v>
      </c>
      <c r="EO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L110)*EN110)*(VLOOKUP(A110,tbMoveset!A2:C112,3,FALSE)/100)*IF(VLOOKUP(A110,tbMoveset!A2:B112,2,FALSE)="Projectile",Backdoors!N10,Backdoors!N9),0),"")</f>
        <v/>
      </c>
      <c r="EP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L110&gt;=0.45,VLOOKUP(Calculator!E23,tbSkills!DH3:DI6,2,FALSE)+IF(AND(Calculator!B8=TRUE,Backdoors!BI23=TRUE),VLOOKUP(Calculator!E23,tbSkills!DH3:DJ6,3,FALSE),0),0))&gt;=100,100,(Backdoors!AI12+IF(EL110&gt;=0.45,VLOOKUP(Calculator!E23,tbSkills!DH3:DI6,2,FALSE)+IF(AND(Calculator!B8=TRUE,Backdoors!BI23=TRUE),VLOOKUP(Calculator!E23,tbSkills!DH3:DJ6,3,FALSE),0),0)))/100)),1))*IF(VLOOKUP(A110,tbMoveset!A2:K112,11,FALSE)=TRUE,Backdoors!AC5,1))*EM110,0),"")</f>
        <v>0</v>
      </c>
      <c r="EQ110" s="49">
        <f>VLOOKUP(A110,tbMoveset!A2:G112,7,FALSE)*IFERROR(IF(Backdoors!AI12&gt;=0,1+(IF(Calculator!E40&gt;0,VLOOKUP(Calculator!E40,tbSkills!AI3:AJ5,2,FALSE),Backdoors!AL4)*(IF((Backdoors!AI12+IF(EL110&gt;=0.45,VLOOKUP(Calculator!E23,tbSkills!DH3:DI6,2,FALSE)+IF(AND(Calculator!B8=TRUE,Backdoors!BI23=TRUE),VLOOKUP(Calculator!E23,tbSkills!DH3:DJ6,3,FALSE),0),0))&gt;=100,100,(Backdoors!AI12+IF(EL110&gt;=0.45,VLOOKUP(Calculator!E23,tbSkills!DH3:DI6,2,FALSE)+IF(AND(Calculator!B8=TRUE,Backdoors!BI23=TRUE),VLOOKUP(Calculator!E23,tbSkills!DH3:DJ6,3,FALSE),0),0)))/100)),1),1)</f>
        <v>1</v>
      </c>
      <c r="ER110" s="87">
        <f t="shared" si="71"/>
        <v>0</v>
      </c>
      <c r="ES110" s="86" t="str">
        <f>IFERROR(IF(VLOOKUP(A110,tbMoveset!A2:B112,2,FALSE)="Sever",Backdoors!AY24/100,IF(VLOOKUP(A110,tbMoveset!A2:B112,2,FALSE)="Blunt",Backdoors!AZ24/100,Backdoors!BA24/100)),"")</f>
        <v/>
      </c>
      <c r="ET110" s="49">
        <f>IFERROR(IF(VLOOKUP(tbMoveset!A110,tbMoveset!A2:H112,8,FALSE)="Other",IF(VLOOKUP(tbMoveset!A110,tbMoveset!A2:I112,9,FALSE)="Fire",Backdoors!BB24,IF(VLOOKUP(tbMoveset!A110,tbMoveset!A2:I112,9,FALSE)="Water",Backdoors!BC24,IF(VLOOKUP(tbMoveset!A110,tbMoveset!A2:I112,9,FALSE)="Thunder",Backdoors!BD24,IF(VLOOKUP(tbMoveset!A110,tbMoveset!A2:I112,9,FALSE)="Ice",Backdoors!BE24,IF(VLOOKUP(tbMoveset!A110,tbMoveset!A2:I112,9,FALSE)="Dragon",Backdoors!BF24,Backdoors!BG24)))))/100,Backdoors!BG24/100),"")</f>
        <v>0</v>
      </c>
      <c r="EU110" s="49">
        <f>IFERROR(IF(VLOOKUP(A110,tbMoveset!A2:J112,10,FALSE)=TRUE,IF((Backdoors!AI12+IF(ES110&gt;=0.45,VLOOKUP(Calculator!E23,tbSkills!DH3:DI6,2,FALSE)+IF(AND(Calculator!B8=TRUE,Backdoors!BI24=TRUE),VLOOKUP(Calculator!E23,tbSkills!DH3:DJ6,3,FALSE),0),0))&gt;=0,1+(Backdoors!AL2*(IF((Backdoors!AI12+IF(ES110&gt;=0.45,VLOOKUP(Calculator!E23,tbSkills!DH3:DI6,2,FALSE)+IF(AND(Calculator!B8=TRUE,Backdoors!BI24=TRUE),VLOOKUP(Calculator!E23,tbSkills!DH3:DJ6,3,FALSE),0),0))&gt;=100,100,(Backdoors!AI12+IF(ES110&gt;=0.45,VLOOKUP(Calculator!E23,tbSkills!DH3:DI6,2,FALSE)+IF(AND(Calculator!B8=TRUE,Backdoors!BI24=TRUE),VLOOKUP(Calculator!E23,tbSkills!DH3:DJ6,3,FALSE),0),0)))/100)),(1-(0.25*((-Backdoors!AI12-IF(ES110&gt;=0.45,VLOOKUP(Calculator!E23,tbSkills!DH3:DI6,2,FALSE)+IF(AND(Calculator!B8=TRUE,Backdoors!BI24=TRUE),VLOOKUP(Calculator!E23,tbSkills!DH3:DJ6,3,FALSE),0),0))/100)))),1),"")</f>
        <v>1</v>
      </c>
      <c r="EV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S110)*EU110)*(VLOOKUP(A110,tbMoveset!A2:C112,3,FALSE)/100)*IF(VLOOKUP(A110,tbMoveset!A2:B112,2,FALSE)="Projectile",Backdoors!N10,Backdoors!N9),0),"")</f>
        <v/>
      </c>
      <c r="EW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S110&gt;=0.45,VLOOKUP(Calculator!E23,tbSkills!DH3:DI6,2,FALSE)+IF(AND(Calculator!B8=TRUE,Backdoors!BI24=TRUE),VLOOKUP(Calculator!E23,tbSkills!DH3:DJ6,3,FALSE),0),0))&gt;=100,100,(Backdoors!AI12+IF(ES110&gt;=0.45,VLOOKUP(Calculator!E23,tbSkills!DH3:DI6,2,FALSE)+IF(AND(Calculator!B8=TRUE,Backdoors!BI24=TRUE),VLOOKUP(Calculator!E23,tbSkills!DH3:DJ6,3,FALSE),0),0)))/100)),1))*IF(VLOOKUP(A110,tbMoveset!A2:K112,11,FALSE)=TRUE,Backdoors!AC5,1))*ET110,0),"")</f>
        <v>0</v>
      </c>
      <c r="EX110" s="49">
        <f>VLOOKUP(A110,tbMoveset!A2:G112,7,FALSE)*IFERROR(IF(Backdoors!AI12&gt;=0,1+(IF(Calculator!E40&gt;0,VLOOKUP(Calculator!E40,tbSkills!AI3:AJ5,2,FALSE),Backdoors!AL4)*(IF((Backdoors!AI12+IF(ES110&gt;=0.45,VLOOKUP(Calculator!E23,tbSkills!DH3:DI6,2,FALSE)+IF(AND(Calculator!B8=TRUE,Backdoors!BI24=TRUE),VLOOKUP(Calculator!E23,tbSkills!DH3:DJ6,3,FALSE),0),0))&gt;=100,100,(Backdoors!AI12+IF(ES110&gt;=0.45,VLOOKUP(Calculator!E23,tbSkills!DH3:DI6,2,FALSE)+IF(AND(Calculator!B8=TRUE,Backdoors!BI24=TRUE),VLOOKUP(Calculator!E23,tbSkills!DH3:DJ6,3,FALSE),0),0)))/100)),1),1)</f>
        <v>1</v>
      </c>
      <c r="EY110" s="87">
        <f t="shared" si="72"/>
        <v>0</v>
      </c>
      <c r="EZ110" s="86" t="str">
        <f>IFERROR(IF(VLOOKUP(A110,tbMoveset!A2:B112,2,FALSE)="Sever",Backdoors!AY25/100,IF(VLOOKUP(A110,tbMoveset!A2:B112,2,FALSE)="Blunt",Backdoors!AZ25/100,Backdoors!BA25/100)),"")</f>
        <v/>
      </c>
      <c r="FA110" s="49">
        <f>IFERROR(IF(VLOOKUP(tbMoveset!A110,tbMoveset!A2:H112,8,FALSE)="Other",IF(VLOOKUP(tbMoveset!A110,tbMoveset!A2:I112,9,FALSE)="Fire",Backdoors!BB25,IF(VLOOKUP(tbMoveset!A110,tbMoveset!A2:I112,9,FALSE)="Water",Backdoors!BC25,IF(VLOOKUP(tbMoveset!A110,tbMoveset!A2:I112,9,FALSE)="Thunder",Backdoors!BD25,IF(VLOOKUP(tbMoveset!A110,tbMoveset!A2:I112,9,FALSE)="Ice",Backdoors!BE25,IF(VLOOKUP(tbMoveset!A110,tbMoveset!A2:I112,9,FALSE)="Dragon",Backdoors!BF25,Backdoors!BG25)))))/100,Backdoors!BG25/100),"")</f>
        <v>0</v>
      </c>
      <c r="FB110" s="49">
        <f>IFERROR(IF(VLOOKUP(A110,tbMoveset!A2:J112,10,FALSE)=TRUE,IF((Backdoors!AI12+IF(EZ110&gt;=0.45,VLOOKUP(Calculator!E23,tbSkills!DH3:DI6,2,FALSE)+IF(AND(Calculator!B8=TRUE,Backdoors!BI25=TRUE),VLOOKUP(Calculator!E23,tbSkills!DH3:DJ6,3,FALSE),0),0))&gt;=0,1+(Backdoors!AL2*(IF((Backdoors!AI12+IF(EZ110&gt;=0.45,VLOOKUP(Calculator!E23,tbSkills!DH3:DI6,2,FALSE)+IF(AND(Calculator!B8=TRUE,Backdoors!BI25=TRUE),VLOOKUP(Calculator!E23,tbSkills!DH3:DJ6,3,FALSE),0),0))&gt;=100,100,(Backdoors!AI12+IF(EZ110&gt;=0.45,VLOOKUP(Calculator!E23,tbSkills!DH3:DI6,2,FALSE)+IF(AND(Calculator!B8=TRUE,Backdoors!BI25=TRUE),VLOOKUP(Calculator!E23,tbSkills!DH3:DJ6,3,FALSE),0),0)))/100)),(1-(0.25*((-Backdoors!AI12-IF(EZ110&gt;=0.45,VLOOKUP(Calculator!E23,tbSkills!DH3:DI6,2,FALSE)+IF(AND(Calculator!B8=TRUE,Backdoors!BI25=TRUE),VLOOKUP(Calculator!E23,tbSkills!DH3:DJ6,3,FALSE),0),0))/100)))),1),"")</f>
        <v>1</v>
      </c>
      <c r="FC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Z110)*FB110)*(VLOOKUP(A110,tbMoveset!A2:C112,3,FALSE)/100)*IF(VLOOKUP(A110,tbMoveset!A2:B112,2,FALSE)="Projectile",Backdoors!N10,Backdoors!N9),0),"")</f>
        <v/>
      </c>
      <c r="FD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Z110&gt;=0.45,VLOOKUP(Calculator!E23,tbSkills!DH3:DI6,2,FALSE)+IF(AND(Calculator!B8=TRUE,Backdoors!BI25=TRUE),VLOOKUP(Calculator!E23,tbSkills!DH3:DJ6,3,FALSE),0),0))&gt;=100,100,(Backdoors!AI12+IF(EZ110&gt;=0.45,VLOOKUP(Calculator!E23,tbSkills!DH3:DI6,2,FALSE)+IF(AND(Calculator!B8=TRUE,Backdoors!BI25=TRUE),VLOOKUP(Calculator!E23,tbSkills!DH3:DJ6,3,FALSE),0),0)))/100)),1))*IF(VLOOKUP(A110,tbMoveset!A2:K112,11,FALSE)=TRUE,Backdoors!AC5,1))*FA110,0),"")</f>
        <v>0</v>
      </c>
      <c r="FE110" s="49">
        <f>VLOOKUP(A110,tbMoveset!A2:G112,7,FALSE)*IFERROR(IF(Backdoors!AI12&gt;=0,1+(IF(Calculator!E40&gt;0,VLOOKUP(Calculator!E40,tbSkills!AI3:AJ5,2,FALSE),Backdoors!AL4)*(IF((Backdoors!AI12+IF(EZ110&gt;=0.45,VLOOKUP(Calculator!E23,tbSkills!DH3:DI6,2,FALSE)+IF(AND(Calculator!B8=TRUE,Backdoors!BI25=TRUE),VLOOKUP(Calculator!E23,tbSkills!DH3:DJ6,3,FALSE),0),0))&gt;=100,100,(Backdoors!AI12+IF(EZ110&gt;=0.45,VLOOKUP(Calculator!E23,tbSkills!DH3:DI6,2,FALSE)+IF(AND(Calculator!B8=TRUE,Backdoors!BI25=TRUE),VLOOKUP(Calculator!E23,tbSkills!DH3:DJ6,3,FALSE),0),0)))/100)),1),1)</f>
        <v>1</v>
      </c>
      <c r="FF110" s="87">
        <f t="shared" si="73"/>
        <v>0</v>
      </c>
      <c r="FG110" s="86" t="str">
        <f>IFERROR(IF(VLOOKUP(A110,tbMoveset!A2:B112,2,FALSE)="Sever",Backdoors!AY26/100,IF(VLOOKUP(A110,tbMoveset!A2:B112,2,FALSE)="Blunt",Backdoors!AZ26/100,Backdoors!BA26/100)),"")</f>
        <v/>
      </c>
      <c r="FH110" s="49">
        <f>IFERROR(IF(VLOOKUP(tbMoveset!A110,tbMoveset!A2:H112,8,FALSE)="Other",IF(VLOOKUP(tbMoveset!A110,tbMoveset!A2:I112,9,FALSE)="Fire",Backdoors!BB26,IF(VLOOKUP(tbMoveset!A110,tbMoveset!A2:I112,9,FALSE)="Water",Backdoors!BC26,IF(VLOOKUP(tbMoveset!A110,tbMoveset!A2:I112,9,FALSE)="Thunder",Backdoors!BD26,IF(VLOOKUP(tbMoveset!A110,tbMoveset!A2:I112,9,FALSE)="Ice",Backdoors!BE26,IF(VLOOKUP(tbMoveset!A110,tbMoveset!A2:I112,9,FALSE)="Dragon",Backdoors!BF26,Backdoors!BG26)))))/100,Backdoors!BG26/100),"")</f>
        <v>0</v>
      </c>
      <c r="FI110" s="49">
        <f>IFERROR(IF(VLOOKUP(A110,tbMoveset!A2:J112,10,FALSE)=TRUE,IF((Backdoors!AI12+IF(FG110&gt;=0.45,VLOOKUP(Calculator!E23,tbSkills!DH3:DI6,2,FALSE)+IF(AND(Calculator!B8=TRUE,Backdoors!BI26=TRUE),VLOOKUP(Calculator!E23,tbSkills!DH3:DJ6,3,FALSE),0),0))&gt;=0,1+(Backdoors!AL2*(IF((Backdoors!AI12+IF(FG110&gt;=0.45,VLOOKUP(Calculator!E23,tbSkills!DH3:DI6,2,FALSE)+IF(AND(Calculator!B8=TRUE,Backdoors!BI26=TRUE),VLOOKUP(Calculator!E23,tbSkills!DH3:DJ6,3,FALSE),0),0))&gt;=100,100,(Backdoors!AI12+IF(FG110&gt;=0.45,VLOOKUP(Calculator!E23,tbSkills!DH3:DI6,2,FALSE)+IF(AND(Calculator!B8=TRUE,Backdoors!BI26=TRUE),VLOOKUP(Calculator!E23,tbSkills!DH3:DJ6,3,FALSE),0),0)))/100)),(1-(0.25*((-Backdoors!AI12-IF(FG110&gt;=0.45,VLOOKUP(Calculator!E23,tbSkills!DH3:DI6,2,FALSE)+IF(AND(Calculator!B8=TRUE,Backdoors!BI26=TRUE),VLOOKUP(Calculator!E23,tbSkills!DH3:DJ6,3,FALSE),0),0))/100)))),1),"")</f>
        <v>1</v>
      </c>
      <c r="FJ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FG110)*FI110)*(VLOOKUP(A110,tbMoveset!A2:C112,3,FALSE)/100)*IF(VLOOKUP(A110,tbMoveset!A2:B112,2,FALSE)="Projectile",Backdoors!N10,Backdoors!N9),0),"")</f>
        <v/>
      </c>
      <c r="FK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FG110&gt;=0.45,VLOOKUP(Calculator!E23,tbSkills!DH3:DI6,2,FALSE)+IF(AND(Calculator!B8=TRUE,Backdoors!BI26=TRUE),VLOOKUP(Calculator!E23,tbSkills!DH3:DJ6,3,FALSE),0),0))&gt;=100,100,(Backdoors!AI12+IF(FG110&gt;=0.45,VLOOKUP(Calculator!E23,tbSkills!DH3:DI6,2,FALSE)+IF(AND(Calculator!B8=TRUE,Backdoors!BI26=TRUE),VLOOKUP(Calculator!E23,tbSkills!DH3:DJ6,3,FALSE),0),0)))/100)),1))*IF(VLOOKUP(A110,tbMoveset!A2:K112,11,FALSE)=TRUE,Backdoors!AC5,1))*FH110,0),"")</f>
        <v>0</v>
      </c>
      <c r="FL110" s="49">
        <f>VLOOKUP(A110,tbMoveset!A2:G112,7,FALSE)*IFERROR(IF(Backdoors!AI12&gt;=0,1+(IF(Calculator!E40&gt;0,VLOOKUP(Calculator!E40,tbSkills!AI3:AJ5,2,FALSE),Backdoors!AL4)*(IF((Backdoors!AI12+IF(FG110&gt;=0.45,VLOOKUP(Calculator!E23,tbSkills!DH3:DI6,2,FALSE)+IF(AND(Calculator!B8=TRUE,Backdoors!BI26=TRUE),VLOOKUP(Calculator!E23,tbSkills!DH3:DJ6,3,FALSE),0),0))&gt;=100,100,(Backdoors!AI12+IF(FG110&gt;=0.45,VLOOKUP(Calculator!E23,tbSkills!DH3:DI6,2,FALSE)+IF(AND(Calculator!B8=TRUE,Backdoors!BI26=TRUE),VLOOKUP(Calculator!E23,tbSkills!DH3:DJ6,3,FALSE),0),0)))/100)),1),1)</f>
        <v>1</v>
      </c>
      <c r="FM110" s="87">
        <f t="shared" si="74"/>
        <v>0</v>
      </c>
      <c r="FN110" s="86" t="str">
        <f>IFERROR(IF(VLOOKUP(A110,tbMoveset!A2:B112,2,FALSE)="Sever",Backdoors!AY27/100,IF(VLOOKUP(A110,tbMoveset!A2:B112,2,FALSE)="Blunt",Backdoors!AZ27/100,Backdoors!BA27/100)),"")</f>
        <v/>
      </c>
      <c r="FO110" s="49">
        <f>IFERROR(IF(VLOOKUP(tbMoveset!A110,tbMoveset!A2:H112,8,FALSE)="Other",IF(VLOOKUP(tbMoveset!A110,tbMoveset!A2:I112,9,FALSE)="Fire",Backdoors!BB27,IF(VLOOKUP(tbMoveset!A110,tbMoveset!A2:I112,9,FALSE)="Water",Backdoors!BC27,IF(VLOOKUP(tbMoveset!A110,tbMoveset!A2:I112,9,FALSE)="Thunder",Backdoors!BD27,IF(VLOOKUP(tbMoveset!A110,tbMoveset!A2:I112,9,FALSE)="Ice",Backdoors!BE27,IF(VLOOKUP(tbMoveset!A110,tbMoveset!A2:I112,9,FALSE)="Dragon",Backdoors!BF27,Backdoors!BG27)))))/100,Backdoors!BG27/100),"")</f>
        <v>0</v>
      </c>
      <c r="FP110" s="49">
        <f>IFERROR(IF(VLOOKUP(A110,tbMoveset!A2:J112,10,FALSE)=TRUE,IF((Backdoors!AI12+IF(FN110&gt;=0.45,VLOOKUP(Calculator!E23,tbSkills!DH3:DI6,2,FALSE)+IF(AND(Calculator!B8=TRUE,Backdoors!BI27=TRUE),VLOOKUP(Calculator!E23,tbSkills!DH3:DJ6,3,FALSE),0),0))&gt;=0,1+(Backdoors!AL2*(IF((Backdoors!AI12+IF(FN110&gt;=0.45,VLOOKUP(Calculator!E23,tbSkills!DH3:DI6,2,FALSE)+IF(AND(Calculator!B8=TRUE,Backdoors!BI27=TRUE),VLOOKUP(Calculator!E23,tbSkills!DH3:DJ6,3,FALSE),0),0))&gt;=100,100,(Backdoors!AI12+IF(FN110&gt;=0.45,VLOOKUP(Calculator!E23,tbSkills!DH3:DI6,2,FALSE)+IF(AND(Calculator!B8=TRUE,Backdoors!BI27=TRUE),VLOOKUP(Calculator!E23,tbSkills!DH3:DJ6,3,FALSE),0),0)))/100)),(1-(0.25*((-Backdoors!AI12-IF(FN110&gt;=0.45,VLOOKUP(Calculator!E23,tbSkills!DH3:DI6,2,FALSE)+IF(AND(Calculator!B8=TRUE,Backdoors!BI27=TRUE),VLOOKUP(Calculator!E23,tbSkills!DH3:DJ6,3,FALSE),0),0))/100)))),1),"")</f>
        <v>1</v>
      </c>
      <c r="FQ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FN110)*FP110)*(VLOOKUP(A110,tbMoveset!A2:C112,3,FALSE)/100)*IF(VLOOKUP(A110,tbMoveset!A2:B112,2,FALSE)="Projectile",Backdoors!N10,Backdoors!N9),0),"")</f>
        <v/>
      </c>
      <c r="FR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FN110&gt;=0.45,VLOOKUP(Calculator!E23,tbSkills!DH3:DI6,2,FALSE)+IF(AND(Calculator!B8=TRUE,Backdoors!BI27=TRUE),VLOOKUP(Calculator!E23,tbSkills!DH3:DJ6,3,FALSE),0),0))&gt;=100,100,(Backdoors!AI12+IF(FN110&gt;=0.45,VLOOKUP(Calculator!E23,tbSkills!DH3:DI6,2,FALSE)+IF(AND(Calculator!B8=TRUE,Backdoors!BI27=TRUE),VLOOKUP(Calculator!E23,tbSkills!DH3:DJ6,3,FALSE),0),0)))/100)),1))*IF(VLOOKUP(A110,tbMoveset!A2:K112,11,FALSE)=TRUE,Backdoors!AC5,1))*FO110,0),"")</f>
        <v>0</v>
      </c>
      <c r="FS110" s="49">
        <f>VLOOKUP(A110,tbMoveset!A2:G112,7,FALSE)*IFERROR(IF(Backdoors!AI12&gt;=0,1+(IF(Calculator!E40&gt;0,VLOOKUP(Calculator!E40,tbSkills!AI3:AJ5,2,FALSE),Backdoors!AL4)*(IF((Backdoors!AI12+IF(FN110&gt;=0.45,VLOOKUP(Calculator!E23,tbSkills!DH3:DI6,2,FALSE)+IF(AND(Calculator!B8=TRUE,Backdoors!BI27=TRUE),VLOOKUP(Calculator!E23,tbSkills!DH3:DJ6,3,FALSE),0),0))&gt;=100,100,(Backdoors!AI12+IF(FN110&gt;=0.45,VLOOKUP(Calculator!E23,tbSkills!DH3:DI6,2,FALSE)+IF(AND(Calculator!B8=TRUE,Backdoors!BI27=TRUE),VLOOKUP(Calculator!E23,tbSkills!DH3:DJ6,3,FALSE),0),0)))/100)),1),1)</f>
        <v>1</v>
      </c>
      <c r="FT110" s="87">
        <f t="shared" si="75"/>
        <v>0</v>
      </c>
      <c r="FU110" s="86" t="str">
        <f>IFERROR(IF(VLOOKUP(A110,tbMoveset!A2:B112,2,FALSE)="Sever",Backdoors!AY28/100,IF(VLOOKUP(A110,tbMoveset!A2:B112,2,FALSE)="Blunt",Backdoors!AZ28/100,Backdoors!BA28/100)),"")</f>
        <v/>
      </c>
      <c r="FV110" s="49">
        <f>IFERROR(IF(VLOOKUP(tbMoveset!A110,tbMoveset!A2:H112,8,FALSE)="Other",IF(VLOOKUP(tbMoveset!A110,tbMoveset!A2:I112,9,FALSE)="Fire",Backdoors!BB28,IF(VLOOKUP(tbMoveset!A110,tbMoveset!A2:I112,9,FALSE)="Water",Backdoors!BC28,IF(VLOOKUP(tbMoveset!A110,tbMoveset!A2:I112,9,FALSE)="Thunder",Backdoors!BD28,IF(VLOOKUP(tbMoveset!A110,tbMoveset!A2:I112,9,FALSE)="Ice",Backdoors!BE28,IF(VLOOKUP(tbMoveset!A110,tbMoveset!A2:I112,9,FALSE)="Dragon",Backdoors!BF28,Backdoors!BG28)))))/100,Backdoors!BG28/100),"")</f>
        <v>0</v>
      </c>
      <c r="FW110" s="49">
        <f>IFERROR(IF(VLOOKUP(A110,tbMoveset!A2:J112,10,FALSE)=TRUE,IF((Backdoors!AI12+IF(FU110&gt;=0.45,VLOOKUP(Calculator!E23,tbSkills!DH3:DI6,2,FALSE)+IF(AND(Calculator!B8=TRUE,Backdoors!BI28=TRUE),VLOOKUP(Calculator!E23,tbSkills!DH3:DJ6,3,FALSE),0),0))&gt;=0,1+(Backdoors!AL2*(IF((Backdoors!AI12+IF(FU110&gt;=0.45,VLOOKUP(Calculator!E23,tbSkills!DH3:DI6,2,FALSE)+IF(AND(Calculator!B8=TRUE,Backdoors!BI28=TRUE),VLOOKUP(Calculator!E23,tbSkills!DH3:DJ6,3,FALSE),0),0))&gt;=100,100,(Backdoors!AI12+IF(FU110&gt;=0.45,VLOOKUP(Calculator!E23,tbSkills!DH3:DI6,2,FALSE)+IF(AND(Calculator!B8=TRUE,Backdoors!BI28=TRUE),VLOOKUP(Calculator!E23,tbSkills!DH3:DJ6,3,FALSE),0),0)))/100)),(1-(0.25*((-Backdoors!AI12-IF(FU110&gt;=0.45,VLOOKUP(Calculator!E23,tbSkills!DH3:DI6,2,FALSE)+IF(AND(Calculator!B8=TRUE,Backdoors!BI28=TRUE),VLOOKUP(Calculator!E23,tbSkills!DH3:DJ6,3,FALSE),0),0))/100)))),1),"")</f>
        <v>1</v>
      </c>
      <c r="FX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FU110)*FW110)*(VLOOKUP(A110,tbMoveset!A2:C112,3,FALSE)/100)*IF(VLOOKUP(A110,tbMoveset!A2:B112,2,FALSE)="Projectile",Backdoors!N10,Backdoors!N9),0),"")</f>
        <v/>
      </c>
      <c r="FY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FU110&gt;=0.45,VLOOKUP(Calculator!E23,tbSkills!DH3:DI6,2,FALSE)+IF(AND(Calculator!B8=TRUE,Backdoors!BI28=TRUE),VLOOKUP(Calculator!E23,tbSkills!DH3:DJ6,3,FALSE),0),0))&gt;=100,100,(Backdoors!AI12+IF(FU110&gt;=0.45,VLOOKUP(Calculator!E23,tbSkills!DH3:DI6,2,FALSE)+IF(AND(Calculator!B8=TRUE,Backdoors!BI28=TRUE),VLOOKUP(Calculator!E23,tbSkills!DH3:DJ6,3,FALSE),0),0)))/100)),1))*IF(VLOOKUP(A110,tbMoveset!A2:K112,11,FALSE)=TRUE,Backdoors!AC5,1))*FV110,0),"")</f>
        <v>0</v>
      </c>
      <c r="FZ110" s="49">
        <f>VLOOKUP(A110,tbMoveset!A2:G112,7,FALSE)*IFERROR(IF(Backdoors!AI12&gt;=0,1+(IF(Calculator!E40&gt;0,VLOOKUP(Calculator!E40,tbSkills!AI3:AJ5,2,FALSE),Backdoors!AL4)*(IF((Backdoors!AI12+IF(FU110&gt;=0.45,VLOOKUP(Calculator!E23,tbSkills!DH3:DI6,2,FALSE)+IF(AND(Calculator!B8=TRUE,Backdoors!BI28=TRUE),VLOOKUP(Calculator!E23,tbSkills!DH3:DJ6,3,FALSE),0),0))&gt;=100,100,(Backdoors!AI12+IF(FU110&gt;=0.45,VLOOKUP(Calculator!E23,tbSkills!DH3:DI6,2,FALSE)+IF(AND(Calculator!B8=TRUE,Backdoors!BI28=TRUE),VLOOKUP(Calculator!E23,tbSkills!DH3:DJ6,3,FALSE),0),0)))/100)),1),1)</f>
        <v>1</v>
      </c>
      <c r="GA110" s="87">
        <f t="shared" si="76"/>
        <v>0</v>
      </c>
      <c r="GB110" s="86" t="str">
        <f>IFERROR(IF(VLOOKUP(A110,tbMoveset!A2:B112,2,FALSE)="Sever",Backdoors!AY29/100,IF(VLOOKUP(A110,tbMoveset!A2:B112,2,FALSE)="Blunt",Backdoors!AZ29/100,Backdoors!BA29/100)),"")</f>
        <v/>
      </c>
      <c r="GC110" s="49">
        <f>IFERROR(IF(VLOOKUP(tbMoveset!A110,tbMoveset!A2:H112,8,FALSE)="Other",IF(VLOOKUP(tbMoveset!A110,tbMoveset!A2:I112,9,FALSE)="Fire",Backdoors!BB29,IF(VLOOKUP(tbMoveset!A110,tbMoveset!A2:I112,9,FALSE)="Water",Backdoors!BC29,IF(VLOOKUP(tbMoveset!A110,tbMoveset!A2:I112,9,FALSE)="Thunder",Backdoors!BD29,IF(VLOOKUP(tbMoveset!A110,tbMoveset!A2:I112,9,FALSE)="Ice",Backdoors!BE29,IF(VLOOKUP(tbMoveset!A110,tbMoveset!A2:I112,9,FALSE)="Dragon",Backdoors!BF29,Backdoors!BG29)))))/100,Backdoors!BG29/100),"")</f>
        <v>0</v>
      </c>
      <c r="GD110" s="49">
        <f>IFERROR(IF(VLOOKUP(A110,tbMoveset!A2:J112,10,FALSE)=TRUE,IF((Backdoors!AI12+IF(GB110&gt;=0.45,VLOOKUP(Calculator!E23,tbSkills!DH3:DI6,2,FALSE)+IF(AND(Calculator!B8=TRUE,Backdoors!BI29=TRUE),VLOOKUP(Calculator!E23,tbSkills!DH3:DJ6,3,FALSE),0),0))&gt;=0,1+(Backdoors!AL2*(IF((Backdoors!AI12+IF(GB110&gt;=0.45,VLOOKUP(Calculator!E23,tbSkills!DH3:DI6,2,FALSE)+IF(AND(Calculator!B8=TRUE,Backdoors!BI29=TRUE),VLOOKUP(Calculator!E23,tbSkills!DH3:DJ6,3,FALSE),0),0))&gt;=100,100,(Backdoors!AI12+IF(GB110&gt;=0.45,VLOOKUP(Calculator!E23,tbSkills!DH3:DI6,2,FALSE)+IF(AND(Calculator!B8=TRUE,Backdoors!BI29=TRUE),VLOOKUP(Calculator!E23,tbSkills!DH3:DJ6,3,FALSE),0),0)))/100)),(1-(0.25*((-Backdoors!AI12-IF(GB110&gt;=0.45,VLOOKUP(Calculator!E23,tbSkills!DH3:DI6,2,FALSE)+IF(AND(Calculator!B8=TRUE,Backdoors!BI29=TRUE),VLOOKUP(Calculator!E23,tbSkills!DH3:DJ6,3,FALSE),0),0))/100)))),1),"")</f>
        <v>1</v>
      </c>
      <c r="GE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B110)*GD110)*(VLOOKUP(A110,tbMoveset!A2:C112,3,FALSE)/100)*IF(VLOOKUP(A110,tbMoveset!A2:B112,2,FALSE)="Projectile",Backdoors!N10,Backdoors!N9),0),"")</f>
        <v/>
      </c>
      <c r="GF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B110&gt;=0.45,VLOOKUP(Calculator!E23,tbSkills!DH3:DI6,2,FALSE)+IF(AND(Calculator!B8=TRUE,Backdoors!BI29=TRUE),VLOOKUP(Calculator!E23,tbSkills!DH3:DJ6,3,FALSE),0),0))&gt;=100,100,(Backdoors!AI12+IF(GB110&gt;=0.45,VLOOKUP(Calculator!E23,tbSkills!DH3:DI6,2,FALSE)+IF(AND(Calculator!B8=TRUE,Backdoors!BI29=TRUE),VLOOKUP(Calculator!E23,tbSkills!DH3:DJ6,3,FALSE),0),0)))/100)),1))*IF(VLOOKUP(A110,tbMoveset!A2:K112,11,FALSE)=TRUE,Backdoors!AC5,1))*GC110,0),"")</f>
        <v>0</v>
      </c>
      <c r="GG110" s="49">
        <f>VLOOKUP(A110,tbMoveset!A2:G112,7,FALSE)*IFERROR(IF(Backdoors!AI12&gt;=0,1+(IF(Calculator!E40&gt;0,VLOOKUP(Calculator!E40,tbSkills!AI3:AJ5,2,FALSE),Backdoors!AL4)*(IF((Backdoors!AI12+IF(GB110&gt;=0.45,VLOOKUP(Calculator!E23,tbSkills!DH3:DI6,2,FALSE)+IF(AND(Calculator!B8=TRUE,Backdoors!BI29=TRUE),VLOOKUP(Calculator!E23,tbSkills!DH3:DJ6,3,FALSE),0),0))&gt;=100,100,(Backdoors!AI12+IF(GB110&gt;=0.45,VLOOKUP(Calculator!E23,tbSkills!DH3:DI6,2,FALSE)+IF(AND(Calculator!B8=TRUE,Backdoors!BI29=TRUE),VLOOKUP(Calculator!E23,tbSkills!DH3:DJ6,3,FALSE),0),0)))/100)),1),1)</f>
        <v>1</v>
      </c>
      <c r="GH110" s="87">
        <f t="shared" si="77"/>
        <v>0</v>
      </c>
      <c r="GI110" s="86" t="str">
        <f>IFERROR(IF(VLOOKUP(A110,tbMoveset!A2:B112,2,FALSE)="Sever",Backdoors!AY30/100,IF(VLOOKUP(A110,tbMoveset!A2:B112,2,FALSE)="Blunt",Backdoors!AZ30/100,Backdoors!BA30/100)),"")</f>
        <v/>
      </c>
      <c r="GJ110" s="49">
        <f>IFERROR(IF(VLOOKUP(tbMoveset!A110,tbMoveset!A2:H112,8,FALSE)="Other",IF(VLOOKUP(tbMoveset!A110,tbMoveset!A2:I112,9,FALSE)="Fire",Backdoors!BB30,IF(VLOOKUP(tbMoveset!A110,tbMoveset!A2:I112,9,FALSE)="Water",Backdoors!BC30,IF(VLOOKUP(tbMoveset!A110,tbMoveset!A2:I112,9,FALSE)="Thunder",Backdoors!BD30,IF(VLOOKUP(tbMoveset!A110,tbMoveset!A2:I112,9,FALSE)="Ice",Backdoors!BE30,IF(VLOOKUP(tbMoveset!A110,tbMoveset!A2:I112,9,FALSE)="Dragon",Backdoors!BF30,Backdoors!BG30)))))/100,Backdoors!BG30/100),"")</f>
        <v>0</v>
      </c>
      <c r="GK110" s="49">
        <f>IFERROR(IF(VLOOKUP(A110,tbMoveset!A2:J112,10,FALSE)=TRUE,IF((Backdoors!AI12+IF(GI110&gt;=0.45,VLOOKUP(Calculator!E23,tbSkills!DH3:DI6,2,FALSE)+IF(AND(Calculator!B8=TRUE,Backdoors!BI30=TRUE),VLOOKUP(Calculator!E23,tbSkills!DH3:DJ6,3,FALSE),0),0))&gt;=0,1+(Backdoors!AL2*(IF((Backdoors!AI12+IF(GI110&gt;=0.45,VLOOKUP(Calculator!E23,tbSkills!DH3:DI6,2,FALSE)+IF(AND(Calculator!B8=TRUE,Backdoors!BI30=TRUE),VLOOKUP(Calculator!E23,tbSkills!DH3:DJ6,3,FALSE),0),0))&gt;=100,100,(Backdoors!AI12+IF(GI110&gt;=0.45,VLOOKUP(Calculator!E23,tbSkills!DH3:DI6,2,FALSE)+IF(AND(Calculator!B8=TRUE,Backdoors!BI30=TRUE),VLOOKUP(Calculator!E23,tbSkills!DH3:DJ6,3,FALSE),0),0)))/100)),(1-(0.25*((-Backdoors!AI12-IF(GI110&gt;=0.45,VLOOKUP(Calculator!E23,tbSkills!DH3:DI6,2,FALSE)+IF(AND(Calculator!B8=TRUE,Backdoors!BI30=TRUE),VLOOKUP(Calculator!E23,tbSkills!DH3:DJ6,3,FALSE),0),0))/100)))),1),"")</f>
        <v>1</v>
      </c>
      <c r="GL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I110)*GK110)*(VLOOKUP(A110,tbMoveset!A2:C112,3,FALSE)/100)*IF(VLOOKUP(A110,tbMoveset!A2:B112,2,FALSE)="Projectile",Backdoors!N10,Backdoors!N9),0),"")</f>
        <v/>
      </c>
      <c r="GM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I110&gt;=0.45,VLOOKUP(Calculator!E23,tbSkills!DH3:DI6,2,FALSE)+IF(AND(Calculator!B8=TRUE,Backdoors!BI30=TRUE),VLOOKUP(Calculator!E23,tbSkills!DH3:DJ6,3,FALSE),0),0))&gt;=100,100,(Backdoors!AI12+IF(GI110&gt;=0.45,VLOOKUP(Calculator!E23,tbSkills!DH3:DI6,2,FALSE)+IF(AND(Calculator!B8=TRUE,Backdoors!BI30=TRUE),VLOOKUP(Calculator!E23,tbSkills!DH3:DJ6,3,FALSE),0),0)))/100)),1))*IF(VLOOKUP(A110,tbMoveset!A2:K112,11,FALSE)=TRUE,Backdoors!AC5,1))*GJ110,0),"")</f>
        <v>0</v>
      </c>
      <c r="GN110" s="49">
        <f>VLOOKUP(A110,tbMoveset!A2:G112,7,FALSE)*IFERROR(IF(Backdoors!AI12&gt;=0,1+(IF(Calculator!E40&gt;0,VLOOKUP(Calculator!E40,tbSkills!AI3:AJ5,2,FALSE),Backdoors!AL4)*(IF((Backdoors!AI12+IF(GI110&gt;=0.45,VLOOKUP(Calculator!E23,tbSkills!DH3:DI6,2,FALSE)+IF(AND(Calculator!B8=TRUE,Backdoors!BI30=TRUE),VLOOKUP(Calculator!E23,tbSkills!DH3:DJ6,3,FALSE),0),0))&gt;=100,100,(Backdoors!AI12+IF(GI110&gt;=0.45,VLOOKUP(Calculator!E23,tbSkills!DH3:DI6,2,FALSE)+IF(AND(Calculator!B8=TRUE,Backdoors!BI30=TRUE),VLOOKUP(Calculator!E23,tbSkills!DH3:DJ6,3,FALSE),0),0)))/100)),1),1)</f>
        <v>1</v>
      </c>
      <c r="GO110" s="87">
        <f t="shared" si="78"/>
        <v>0</v>
      </c>
      <c r="GP110" s="86" t="str">
        <f>IFERROR(IF(VLOOKUP(A110,tbMoveset!A2:B112,2,FALSE)="Sever",Backdoors!AY31/100,IF(VLOOKUP(A110,tbMoveset!A2:B112,2,FALSE)="Blunt",Backdoors!AZ31/100,Backdoors!BA31/100)),"")</f>
        <v/>
      </c>
      <c r="GQ110" s="49">
        <f>IFERROR(IF(VLOOKUP(tbMoveset!A110,tbMoveset!A2:H112,8,FALSE)="Other",IF(VLOOKUP(tbMoveset!A110,tbMoveset!A2:I112,9,FALSE)="Fire",Backdoors!BB31,IF(VLOOKUP(tbMoveset!A110,tbMoveset!A2:I112,9,FALSE)="Water",Backdoors!BC31,IF(VLOOKUP(tbMoveset!A110,tbMoveset!A2:I112,9,FALSE)="Thunder",Backdoors!BD31,IF(VLOOKUP(tbMoveset!A110,tbMoveset!A2:I112,9,FALSE)="Ice",Backdoors!BE31,IF(VLOOKUP(tbMoveset!A110,tbMoveset!A2:I112,9,FALSE)="Dragon",Backdoors!BF31,Backdoors!BG31)))))/100,Backdoors!BG31/100),"")</f>
        <v>0</v>
      </c>
      <c r="GR110" s="49">
        <f>IFERROR(IF(VLOOKUP(A110,tbMoveset!A2:J112,10,FALSE)=TRUE,IF((Backdoors!AI12+IF(GP110&gt;=0.45,VLOOKUP(Calculator!E23,tbSkills!DH3:DI6,2,FALSE)+IF(AND(Calculator!B8=TRUE,Backdoors!BI31=TRUE),VLOOKUP(Calculator!E23,tbSkills!DH3:DJ6,3,FALSE),0),0))&gt;=0,1+(Backdoors!AL2*(IF((Backdoors!AI12+IF(GP110&gt;=0.45,VLOOKUP(Calculator!E23,tbSkills!DH3:DI6,2,FALSE)+IF(AND(Calculator!B8=TRUE,Backdoors!BI31=TRUE),VLOOKUP(Calculator!E23,tbSkills!DH3:DJ6,3,FALSE),0),0))&gt;=100,100,(Backdoors!AI12+IF(GP110&gt;=0.45,VLOOKUP(Calculator!E23,tbSkills!DH3:DI6,2,FALSE)+IF(AND(Calculator!B8=TRUE,Backdoors!BI31=TRUE),VLOOKUP(Calculator!E23,tbSkills!DH3:DJ6,3,FALSE),0),0)))/100)),(1-(0.25*((-Backdoors!AI12-IF(GP110&gt;=0.45,VLOOKUP(Calculator!E23,tbSkills!DH3:DI6,2,FALSE)+IF(AND(Calculator!B8=TRUE,Backdoors!BI31=TRUE),VLOOKUP(Calculator!E23,tbSkills!DH3:DJ6,3,FALSE),0),0))/100)))),1),"")</f>
        <v>1</v>
      </c>
      <c r="GS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P110)*GR110)*(VLOOKUP(A110,tbMoveset!A2:C112,3,FALSE)/100)*IF(VLOOKUP(A110,tbMoveset!A2:B112,2,FALSE)="Projectile",Backdoors!N10,Backdoors!N9),0),"")</f>
        <v/>
      </c>
      <c r="GT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P110&gt;=0.45,VLOOKUP(Calculator!E23,tbSkills!DH3:DI6,2,FALSE)+IF(AND(Calculator!B8=TRUE,Backdoors!BI31=TRUE),VLOOKUP(Calculator!E23,tbSkills!DH3:DJ6,3,FALSE),0),0))&gt;=100,100,(Backdoors!AI12+IF(GP110&gt;=0.45,VLOOKUP(Calculator!E23,tbSkills!DH3:DI6,2,FALSE)+IF(AND(Calculator!B8=TRUE,Backdoors!BI31=TRUE),VLOOKUP(Calculator!E23,tbSkills!DH3:DJ6,3,FALSE),0),0)))/100)),1))*IF(VLOOKUP(A110,tbMoveset!A2:K112,11,FALSE)=TRUE,Backdoors!AC5,1))*GQ110,0),"")</f>
        <v>0</v>
      </c>
      <c r="GU110" s="49">
        <f>VLOOKUP(A110,tbMoveset!A2:G112,7,FALSE)*IFERROR(IF(Backdoors!AI12&gt;=0,1+(IF(Calculator!E40&gt;0,VLOOKUP(Calculator!E40,tbSkills!AI3:AJ5,2,FALSE),Backdoors!AL4)*(IF((Backdoors!AI12+IF(GP110&gt;=0.45,VLOOKUP(Calculator!E23,tbSkills!DH3:DI6,2,FALSE)+IF(AND(Calculator!B8=TRUE,Backdoors!BI31=TRUE),VLOOKUP(Calculator!E23,tbSkills!DH3:DJ6,3,FALSE),0),0))&gt;=100,100,(Backdoors!AI12+IF(GP110&gt;=0.45,VLOOKUP(Calculator!E23,tbSkills!DH3:DI6,2,FALSE)+IF(AND(Calculator!B8=TRUE,Backdoors!BI31=TRUE),VLOOKUP(Calculator!E23,tbSkills!DH3:DJ6,3,FALSE),0),0)))/100)),1),1)</f>
        <v>1</v>
      </c>
      <c r="GV110" s="87">
        <f t="shared" si="79"/>
        <v>0</v>
      </c>
      <c r="GW110" s="86" t="str">
        <f>IFERROR(IF(VLOOKUP(A110,tbMoveset!A2:B112,2,FALSE)="Sever",Backdoors!AY32/100,IF(VLOOKUP(A110,tbMoveset!A2:B112,2,FALSE)="Blunt",Backdoors!AZ32/100,Backdoors!BA32/100)),"")</f>
        <v/>
      </c>
      <c r="GX110" s="49">
        <f>IFERROR(IF(VLOOKUP(tbMoveset!A110,tbMoveset!A2:H112,8,FALSE)="Other",IF(VLOOKUP(tbMoveset!A110,tbMoveset!A2:I112,9,FALSE)="Fire",Backdoors!BB32,IF(VLOOKUP(tbMoveset!A110,tbMoveset!A2:I112,9,FALSE)="Water",Backdoors!BC32,IF(VLOOKUP(tbMoveset!A110,tbMoveset!A2:I112,9,FALSE)="Thunder",Backdoors!BD32,IF(VLOOKUP(tbMoveset!A110,tbMoveset!A2:I112,9,FALSE)="Ice",Backdoors!BE32,IF(VLOOKUP(tbMoveset!A110,tbMoveset!A2:I112,9,FALSE)="Dragon",Backdoors!BF32,Backdoors!BG32)))))/100,Backdoors!BG32/100),"")</f>
        <v>0</v>
      </c>
      <c r="GY110" s="49">
        <f>IFERROR(IF(VLOOKUP(A110,tbMoveset!A2:J112,10,FALSE)=TRUE,IF((Backdoors!AI12+IF(GW110&gt;=0.45,VLOOKUP(Calculator!E23,tbSkills!DH3:DI6,2,FALSE)+IF(AND(Calculator!B8=TRUE,Backdoors!BI32=TRUE),VLOOKUP(Calculator!E23,tbSkills!DH3:DJ6,3,FALSE),0),0))&gt;=0,1+(Backdoors!AL2*(IF((Backdoors!AI12+IF(GW110&gt;=0.45,VLOOKUP(Calculator!E23,tbSkills!DH3:DI6,2,FALSE)+IF(AND(Calculator!B8=TRUE,Backdoors!BI32=TRUE),VLOOKUP(Calculator!E23,tbSkills!DH3:DJ6,3,FALSE),0),0))&gt;=100,100,(Backdoors!AI12+IF(GW110&gt;=0.45,VLOOKUP(Calculator!E23,tbSkills!DH3:DI6,2,FALSE)+IF(AND(Calculator!B8=TRUE,Backdoors!BI32=TRUE),VLOOKUP(Calculator!E23,tbSkills!DH3:DJ6,3,FALSE),0),0)))/100)),(1-(0.25*((-Backdoors!AI12-IF(GW110&gt;=0.45,VLOOKUP(Calculator!E23,tbSkills!DH3:DI6,2,FALSE)+IF(AND(Calculator!B8=TRUE,Backdoors!BI32=TRUE),VLOOKUP(Calculator!E23,tbSkills!DH3:DJ6,3,FALSE),0),0))/100)))),1),"")</f>
        <v>1</v>
      </c>
      <c r="GZ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W110)*GY110)*(VLOOKUP(A110,tbMoveset!A2:C112,3,FALSE)/100)*IF(VLOOKUP(A110,tbMoveset!A2:B112,2,FALSE)="Projectile",Backdoors!N10,Backdoors!N9),0),"")</f>
        <v/>
      </c>
      <c r="HA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W110&gt;=0.45,VLOOKUP(Calculator!E23,tbSkills!DH3:DI6,2,FALSE)+IF(AND(Calculator!B8=TRUE,Backdoors!BI32=TRUE),VLOOKUP(Calculator!E23,tbSkills!DH3:DJ6,3,FALSE),0),0))&gt;=100,100,(Backdoors!AI12+IF(GW110&gt;=0.45,VLOOKUP(Calculator!E23,tbSkills!DH3:DI6,2,FALSE)+IF(AND(Calculator!B8=TRUE,Backdoors!BI32=TRUE),VLOOKUP(Calculator!E23,tbSkills!DH3:DJ6,3,FALSE),0),0)))/100)),1))*IF(VLOOKUP(A110,tbMoveset!A2:K112,11,FALSE)=TRUE,Backdoors!AC5,1))*GX110,0),"")</f>
        <v>0</v>
      </c>
      <c r="HB110" s="49">
        <f>VLOOKUP(A110,tbMoveset!A2:G112,7,FALSE)*IFERROR(IF(Backdoors!AI12&gt;=0,1+(IF(Calculator!E40&gt;0,VLOOKUP(Calculator!E40,tbSkills!AI3:AJ5,2,FALSE),Backdoors!AL4)*(IF((Backdoors!AI12+IF(GW110&gt;=0.45,VLOOKUP(Calculator!E23,tbSkills!DH3:DI6,2,FALSE)+IF(AND(Calculator!B8=TRUE,Backdoors!BI32=TRUE),VLOOKUP(Calculator!E23,tbSkills!DH3:DJ6,3,FALSE),0),0))&gt;=100,100,(Backdoors!AI12+IF(GW110&gt;=0.45,VLOOKUP(Calculator!E23,tbSkills!DH3:DI6,2,FALSE)+IF(AND(Calculator!B8=TRUE,Backdoors!BI32=TRUE),VLOOKUP(Calculator!E23,tbSkills!DH3:DJ6,3,FALSE),0),0)))/100)),1),1)</f>
        <v>1</v>
      </c>
      <c r="HC110" s="87">
        <f t="shared" si="80"/>
        <v>0</v>
      </c>
      <c r="HD110" s="86" t="str">
        <f>IFERROR(IF(VLOOKUP(A110,tbMoveset!A2:B112,2,FALSE)="Sever",Backdoors!AY33/100,IF(VLOOKUP(A110,tbMoveset!A2:B112,2,FALSE)="Blunt",Backdoors!AZ33/100,Backdoors!BA33/100)),"")</f>
        <v/>
      </c>
      <c r="HE110" s="49">
        <f>IFERROR(IF(VLOOKUP(tbMoveset!A110,tbMoveset!A2:H112,8,FALSE)="Other",IF(VLOOKUP(tbMoveset!A110,tbMoveset!A2:I112,9,FALSE)="Fire",Backdoors!BB33,IF(VLOOKUP(tbMoveset!A110,tbMoveset!A2:I112,9,FALSE)="Water",Backdoors!BC33,IF(VLOOKUP(tbMoveset!A110,tbMoveset!A2:I112,9,FALSE)="Thunder",Backdoors!BD33,IF(VLOOKUP(tbMoveset!A110,tbMoveset!A2:I112,9,FALSE)="Ice",Backdoors!BE33,IF(VLOOKUP(tbMoveset!A110,tbMoveset!A2:I112,9,FALSE)="Dragon",Backdoors!BF33,Backdoors!BG33)))))/100,Backdoors!BG33/100),"")</f>
        <v>0</v>
      </c>
      <c r="HF110" s="49">
        <f>IFERROR(IF(VLOOKUP(A110,tbMoveset!A2:J112,10,FALSE)=TRUE,IF((Backdoors!AI12+IF(HD110&gt;=0.45,VLOOKUP(Calculator!E23,tbSkills!DH3:DI6,2,FALSE)+IF(AND(Calculator!B8=TRUE,Backdoors!BI33=TRUE),VLOOKUP(Calculator!E23,tbSkills!DH3:DJ6,3,FALSE),0),0))&gt;=0,1+(Backdoors!AL2*(IF((Backdoors!AI12+IF(HD110&gt;=0.45,VLOOKUP(Calculator!E23,tbSkills!DH3:DI6,2,FALSE)+IF(AND(Calculator!B8=TRUE,Backdoors!BI33=TRUE),VLOOKUP(Calculator!E23,tbSkills!DH3:DJ6,3,FALSE),0),0))&gt;=100,100,(Backdoors!AI12+IF(HD110&gt;=0.45,VLOOKUP(Calculator!E23,tbSkills!DH3:DI6,2,FALSE)+IF(AND(Calculator!B8=TRUE,Backdoors!BI33=TRUE),VLOOKUP(Calculator!E23,tbSkills!DH3:DJ6,3,FALSE),0),0)))/100)),(1-(0.25*((-Backdoors!AI12-IF(HD110&gt;=0.45,VLOOKUP(Calculator!E23,tbSkills!DH3:DI6,2,FALSE)+IF(AND(Calculator!B8=TRUE,Backdoors!BI33=TRUE),VLOOKUP(Calculator!E23,tbSkills!DH3:DJ6,3,FALSE),0),0))/100)))),1),"")</f>
        <v>1</v>
      </c>
      <c r="HG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D110)*HF110)*(VLOOKUP(A110,tbMoveset!A2:C112,3,FALSE)/100)*IF(VLOOKUP(A110,tbMoveset!A2:B112,2,FALSE)="Projectile",Backdoors!N10,Backdoors!N9),0),"")</f>
        <v/>
      </c>
      <c r="HH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D110&gt;=0.45,VLOOKUP(Calculator!E23,tbSkills!DH3:DI6,2,FALSE)+IF(AND(Calculator!B8=TRUE,Backdoors!BI33=TRUE),VLOOKUP(Calculator!E23,tbSkills!DH3:DJ6,3,FALSE),0),0))&gt;=100,100,(Backdoors!AI12+IF(HD110&gt;=0.45,VLOOKUP(Calculator!E23,tbSkills!DH3:DI6,2,FALSE)+IF(AND(Calculator!B8=TRUE,Backdoors!BI33=TRUE),VLOOKUP(Calculator!E23,tbSkills!DH3:DJ6,3,FALSE),0),0)))/100)),1))*IF(VLOOKUP(A110,tbMoveset!A2:K112,11,FALSE)=TRUE,Backdoors!AC5,1))*HE110,0),"")</f>
        <v>0</v>
      </c>
      <c r="HI110" s="49">
        <f>VLOOKUP(A110,tbMoveset!A2:G112,7,FALSE)*IFERROR(IF(Backdoors!AI12&gt;=0,1+(IF(Calculator!E40&gt;0,VLOOKUP(Calculator!E40,tbSkills!AI3:AJ5,2,FALSE),Backdoors!AL4)*(IF((Backdoors!AI12+IF(HD110&gt;=0.45,VLOOKUP(Calculator!E23,tbSkills!DH3:DI6,2,FALSE)+IF(AND(Calculator!B8=TRUE,Backdoors!BI33=TRUE),VLOOKUP(Calculator!E23,tbSkills!DH3:DJ6,3,FALSE),0),0))&gt;=100,100,(Backdoors!AI12+IF(HD110&gt;=0.45,VLOOKUP(Calculator!E23,tbSkills!DH3:DI6,2,FALSE)+IF(AND(Calculator!B8=TRUE,Backdoors!BI33=TRUE),VLOOKUP(Calculator!E23,tbSkills!DH3:DJ6,3,FALSE),0),0)))/100)),1),1)</f>
        <v>1</v>
      </c>
      <c r="HJ110" s="87">
        <f t="shared" si="81"/>
        <v>0</v>
      </c>
      <c r="HK110" s="86" t="str">
        <f>IFERROR(IF(VLOOKUP(A110,tbMoveset!A2:B112,2,FALSE)="Sever",Backdoors!AY34/100,IF(VLOOKUP(A110,tbMoveset!A2:B112,2,FALSE)="Blunt",Backdoors!AZ34/100,Backdoors!BA34/100)),"")</f>
        <v/>
      </c>
      <c r="HL110" s="49">
        <f>IFERROR(IF(VLOOKUP(tbMoveset!A110,tbMoveset!A2:H112,8,FALSE)="Other",IF(VLOOKUP(tbMoveset!A110,tbMoveset!A2:I112,9,FALSE)="Fire",Backdoors!BB34,IF(VLOOKUP(tbMoveset!A110,tbMoveset!A2:I112,9,FALSE)="Water",Backdoors!BC34,IF(VLOOKUP(tbMoveset!A110,tbMoveset!A2:I112,9,FALSE)="Thunder",Backdoors!BD34,IF(VLOOKUP(tbMoveset!A110,tbMoveset!A2:I112,9,FALSE)="Ice",Backdoors!BE34,IF(VLOOKUP(tbMoveset!A110,tbMoveset!A2:I112,9,FALSE)="Dragon",Backdoors!BF34,Backdoors!BG34)))))/100,Backdoors!BG34/100),"")</f>
        <v>0</v>
      </c>
      <c r="HM110" s="49">
        <f>IFERROR(IF(VLOOKUP(A110,tbMoveset!A2:J112,10,FALSE)=TRUE,IF((Backdoors!AI12+IF(HK110&gt;=0.45,VLOOKUP(Calculator!E23,tbSkills!DH3:DI6,2,FALSE)+IF(AND(Calculator!B8=TRUE,Backdoors!BI34=TRUE),VLOOKUP(Calculator!E23,tbSkills!DH3:DJ6,3,FALSE),0),0))&gt;=0,1+(Backdoors!AL2*(IF((Backdoors!AI12+IF(HK110&gt;=0.45,VLOOKUP(Calculator!E23,tbSkills!DH3:DI6,2,FALSE)+IF(AND(Calculator!B8=TRUE,Backdoors!BI34=TRUE),VLOOKUP(Calculator!E23,tbSkills!DH3:DJ6,3,FALSE),0),0))&gt;=100,100,(Backdoors!AI12+IF(HK110&gt;=0.45,VLOOKUP(Calculator!E23,tbSkills!DH3:DI6,2,FALSE)+IF(AND(Calculator!B8=TRUE,Backdoors!BI34=TRUE),VLOOKUP(Calculator!E23,tbSkills!DH3:DJ6,3,FALSE),0),0)))/100)),(1-(0.25*((-Backdoors!AI12-IF(HK110&gt;=0.45,VLOOKUP(Calculator!E23,tbSkills!DH3:DI6,2,FALSE)+IF(AND(Calculator!B8=TRUE,Backdoors!BI34=TRUE),VLOOKUP(Calculator!E23,tbSkills!DH3:DJ6,3,FALSE),0),0))/100)))),1),"")</f>
        <v>1</v>
      </c>
      <c r="HN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K110)*HM110)*(VLOOKUP(A110,tbMoveset!A2:C112,3,FALSE)/100)*IF(VLOOKUP(A110,tbMoveset!A2:B112,2,FALSE)="Projectile",Backdoors!N10,Backdoors!N9),0),"")</f>
        <v/>
      </c>
      <c r="HO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K110&gt;=0.45,VLOOKUP(Calculator!E23,tbSkills!DH3:DI6,2,FALSE)+IF(AND(Calculator!B8=TRUE,Backdoors!BI34=TRUE),VLOOKUP(Calculator!E23,tbSkills!DH3:DJ6,3,FALSE),0),0))&gt;=100,100,(Backdoors!AI12+IF(HK110&gt;=0.45,VLOOKUP(Calculator!E23,tbSkills!DH3:DI6,2,FALSE)+IF(AND(Calculator!B8=TRUE,Backdoors!BI34=TRUE),VLOOKUP(Calculator!E23,tbSkills!DH3:DJ6,3,FALSE),0),0)))/100)),1))*IF(VLOOKUP(A110,tbMoveset!A2:K112,11,FALSE)=TRUE,Backdoors!AC5,1))*HL110,0),"")</f>
        <v>0</v>
      </c>
      <c r="HP110" s="49">
        <f>VLOOKUP(A110,tbMoveset!A2:G112,7,FALSE)*IFERROR(IF(Backdoors!AI12&gt;=0,1+(IF(Calculator!E40&gt;0,VLOOKUP(Calculator!E40,tbSkills!AI3:AJ5,2,FALSE),Backdoors!AL4)*(IF((Backdoors!AI12+IF(HK110&gt;=0.45,VLOOKUP(Calculator!E23,tbSkills!DH3:DI6,2,FALSE)+IF(AND(Calculator!B8=TRUE,Backdoors!BI34=TRUE),VLOOKUP(Calculator!E23,tbSkills!DH3:DJ6,3,FALSE),0),0))&gt;=100,100,(Backdoors!AI12+IF(HK110&gt;=0.45,VLOOKUP(Calculator!E23,tbSkills!DH3:DI6,2,FALSE)+IF(AND(Calculator!B8=TRUE,Backdoors!BI34=TRUE),VLOOKUP(Calculator!E23,tbSkills!DH3:DJ6,3,FALSE),0),0)))/100)),1),1)</f>
        <v>1</v>
      </c>
      <c r="HQ110" s="87">
        <f t="shared" si="82"/>
        <v>0</v>
      </c>
      <c r="HR110" s="86" t="str">
        <f>IFERROR(IF(VLOOKUP(A110,tbMoveset!A2:B112,2,FALSE)="Sever",Backdoors!AY35/100,IF(VLOOKUP(A110,tbMoveset!A2:B112,2,FALSE)="Blunt",Backdoors!AZ35/100,Backdoors!BA35/100)),"")</f>
        <v/>
      </c>
      <c r="HS110" s="49">
        <f>IFERROR(IF(VLOOKUP(tbMoveset!A110,tbMoveset!A2:H112,8,FALSE)="Other",IF(VLOOKUP(tbMoveset!A110,tbMoveset!A2:I112,9,FALSE)="Fire",Backdoors!BB35,IF(VLOOKUP(tbMoveset!A110,tbMoveset!A2:I112,9,FALSE)="Water",Backdoors!BC35,IF(VLOOKUP(tbMoveset!A110,tbMoveset!A2:I112,9,FALSE)="Thunder",Backdoors!BD35,IF(VLOOKUP(tbMoveset!A110,tbMoveset!A2:I112,9,FALSE)="Ice",Backdoors!BE35,IF(VLOOKUP(tbMoveset!A110,tbMoveset!A2:I112,9,FALSE)="Dragon",Backdoors!BF35,Backdoors!BG35)))))/100,Backdoors!BG35/100),"")</f>
        <v>0</v>
      </c>
      <c r="HT110" s="49">
        <f>IFERROR(IF(VLOOKUP(A110,tbMoveset!A2:J112,10,FALSE)=TRUE,IF((Backdoors!AI12+IF(HR110&gt;=0.45,VLOOKUP(Calculator!E23,tbSkills!DH3:DI6,2,FALSE)+IF(AND(Calculator!B8=TRUE,Backdoors!BI35=TRUE),VLOOKUP(Calculator!E23,tbSkills!DH3:DJ6,3,FALSE),0),0))&gt;=0,1+(Backdoors!AL2*(IF((Backdoors!AI12+IF(HR110&gt;=0.45,VLOOKUP(Calculator!E23,tbSkills!DH3:DI6,2,FALSE)+IF(AND(Calculator!B8=TRUE,Backdoors!BI35=TRUE),VLOOKUP(Calculator!E23,tbSkills!DH3:DJ6,3,FALSE),0),0))&gt;=100,100,(Backdoors!AI12+IF(HR110&gt;=0.45,VLOOKUP(Calculator!E23,tbSkills!DH3:DI6,2,FALSE)+IF(AND(Calculator!B8=TRUE,Backdoors!BI35=TRUE),VLOOKUP(Calculator!E23,tbSkills!DH3:DJ6,3,FALSE),0),0)))/100)),(1-(0.25*((-Backdoors!AI12-IF(HR110&gt;=0.45,VLOOKUP(Calculator!E23,tbSkills!DH3:DI6,2,FALSE)+IF(AND(Calculator!B8=TRUE,Backdoors!BI35=TRUE),VLOOKUP(Calculator!E23,tbSkills!DH3:DJ6,3,FALSE),0),0))/100)))),1),"")</f>
        <v>1</v>
      </c>
      <c r="HU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R110)*HT110)*(VLOOKUP(A110,tbMoveset!A2:C112,3,FALSE)/100)*IF(VLOOKUP(A110,tbMoveset!A2:B112,2,FALSE)="Projectile",Backdoors!N10,Backdoors!N9),0),"")</f>
        <v/>
      </c>
      <c r="HV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R110&gt;=0.45,VLOOKUP(Calculator!E23,tbSkills!DH3:DI6,2,FALSE)+IF(AND(Calculator!B8=TRUE,Backdoors!BI35=TRUE),VLOOKUP(Calculator!E23,tbSkills!DH3:DJ6,3,FALSE),0),0))&gt;=100,100,(Backdoors!AI12+IF(HR110&gt;=0.45,VLOOKUP(Calculator!E23,tbSkills!DH3:DI6,2,FALSE)+IF(AND(Calculator!B8=TRUE,Backdoors!BI35=TRUE),VLOOKUP(Calculator!E23,tbSkills!DH3:DJ6,3,FALSE),0),0)))/100)),1))*IF(VLOOKUP(A110,tbMoveset!A2:K112,11,FALSE)=TRUE,Backdoors!AC5,1))*HS110,0),"")</f>
        <v>0</v>
      </c>
      <c r="HW110" s="49">
        <f>VLOOKUP(A110,tbMoveset!A2:G112,7,FALSE)*IFERROR(IF(Backdoors!AI12&gt;=0,1+(IF(Calculator!E40&gt;0,VLOOKUP(Calculator!E40,tbSkills!AI3:AJ5,2,FALSE),Backdoors!AL4)*(IF((Backdoors!AI12+IF(HR110&gt;=0.45,VLOOKUP(Calculator!E23,tbSkills!DH3:DI6,2,FALSE)+IF(AND(Calculator!B8=TRUE,Backdoors!BI35=TRUE),VLOOKUP(Calculator!E23,tbSkills!DH3:DJ6,3,FALSE),0),0))&gt;=100,100,(Backdoors!AI12+IF(HR110&gt;=0.45,VLOOKUP(Calculator!E23,tbSkills!DH3:DI6,2,FALSE)+IF(AND(Calculator!B8=TRUE,Backdoors!BI35=TRUE),VLOOKUP(Calculator!E23,tbSkills!DH3:DJ6,3,FALSE),0),0)))/100)),1),1)</f>
        <v>1</v>
      </c>
      <c r="HX110" s="87">
        <f t="shared" si="83"/>
        <v>0</v>
      </c>
      <c r="HY110" s="86" t="str">
        <f>IFERROR(IF(VLOOKUP(A110,tbMoveset!A2:B112,2,FALSE)="Sever",Backdoors!AY36/100,IF(VLOOKUP(A110,tbMoveset!A2:B112,2,FALSE)="Blunt",Backdoors!AZ36/100,Backdoors!BA36/100)),"")</f>
        <v/>
      </c>
      <c r="HZ110" s="49">
        <f>IFERROR(IF(VLOOKUP(tbMoveset!A110,tbMoveset!A2:H112,8,FALSE)="Other",IF(VLOOKUP(tbMoveset!A110,tbMoveset!A2:I112,9,FALSE)="Fire",Backdoors!BB36,IF(VLOOKUP(tbMoveset!A110,tbMoveset!A2:I112,9,FALSE)="Water",Backdoors!BC36,IF(VLOOKUP(tbMoveset!A110,tbMoveset!A2:I112,9,FALSE)="Thunder",Backdoors!BD36,IF(VLOOKUP(tbMoveset!A110,tbMoveset!A2:I112,9,FALSE)="Ice",Backdoors!BE36,IF(VLOOKUP(tbMoveset!A110,tbMoveset!A2:I112,9,FALSE)="Dragon",Backdoors!BF36,Backdoors!BG36)))))/100,Backdoors!BG36/100),"")</f>
        <v>0</v>
      </c>
      <c r="IA110" s="49">
        <f>IFERROR(IF(VLOOKUP(A110,tbMoveset!A2:J112,10,FALSE)=TRUE,IF((Backdoors!AI12+IF(HY110&gt;=0.45,VLOOKUP(Calculator!E23,tbSkills!DH3:DI6,2,FALSE)+IF(AND(Calculator!B8=TRUE,Backdoors!BI36=TRUE),VLOOKUP(Calculator!E23,tbSkills!DH3:DJ6,3,FALSE),0),0))&gt;=0,1+(Backdoors!AL2*(IF((Backdoors!AI12+IF(HY110&gt;=0.45,VLOOKUP(Calculator!E23,tbSkills!DH3:DI6,2,FALSE)+IF(AND(Calculator!B8=TRUE,Backdoors!BI36=TRUE),VLOOKUP(Calculator!E23,tbSkills!DH3:DJ6,3,FALSE),0),0))&gt;=100,100,(Backdoors!AI12+IF(HY110&gt;=0.45,VLOOKUP(Calculator!E23,tbSkills!DH3:DI6,2,FALSE)+IF(AND(Calculator!B8=TRUE,Backdoors!BI36=TRUE),VLOOKUP(Calculator!E23,tbSkills!DH3:DJ6,3,FALSE),0),0)))/100)),(1-(0.25*((-Backdoors!AI12-IF(HY110&gt;=0.45,VLOOKUP(Calculator!E23,tbSkills!DH3:DI6,2,FALSE)+IF(AND(Calculator!B8=TRUE,Backdoors!BI36=TRUE),VLOOKUP(Calculator!E23,tbSkills!DH3:DJ6,3,FALSE),0),0))/100)))),1),"")</f>
        <v>1</v>
      </c>
      <c r="IB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Y110)*IA110)*(VLOOKUP(A110,tbMoveset!A2:C112,3,FALSE)/100)*IF(VLOOKUP(A110,tbMoveset!A2:B112,2,FALSE)="Projectile",Backdoors!N10,Backdoors!N9),0),"")</f>
        <v/>
      </c>
      <c r="IC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Y110&gt;=0.45,VLOOKUP(Calculator!E23,tbSkills!DH3:DI6,2,FALSE)+IF(AND(Calculator!B8=TRUE,Backdoors!BI36=TRUE),VLOOKUP(Calculator!E23,tbSkills!DH3:DJ6,3,FALSE),0),0))&gt;=100,100,(Backdoors!AI12+IF(HY110&gt;=0.45,VLOOKUP(Calculator!E23,tbSkills!DH3:DI6,2,FALSE)+IF(AND(Calculator!B8=TRUE,Backdoors!BI36=TRUE),VLOOKUP(Calculator!E23,tbSkills!DH3:DJ6,3,FALSE),0),0)))/100)),1))*IF(VLOOKUP(A110,tbMoveset!A2:K112,11,FALSE)=TRUE,Backdoors!AC5,1))*HZ110,0),"")</f>
        <v>0</v>
      </c>
      <c r="ID110" s="49">
        <f>VLOOKUP(A110,tbMoveset!A2:G112,7,FALSE)*IFERROR(IF(Backdoors!AI12&gt;=0,1+(IF(Calculator!E40&gt;0,VLOOKUP(Calculator!E40,tbSkills!AI3:AJ5,2,FALSE),Backdoors!AL4)*(IF((Backdoors!AI12+IF(HY110&gt;=0.45,VLOOKUP(Calculator!E23,tbSkills!DH3:DI6,2,FALSE)+IF(AND(Calculator!B8=TRUE,Backdoors!BI36=TRUE),VLOOKUP(Calculator!E23,tbSkills!DH3:DJ6,3,FALSE),0),0))&gt;=100,100,(Backdoors!AI12+IF(HY110&gt;=0.45,VLOOKUP(Calculator!E23,tbSkills!DH3:DI6,2,FALSE)+IF(AND(Calculator!B8=TRUE,Backdoors!BI36=TRUE),VLOOKUP(Calculator!E23,tbSkills!DH3:DJ6,3,FALSE),0),0)))/100)),1),1)</f>
        <v>1</v>
      </c>
      <c r="IE110" s="87">
        <f t="shared" si="84"/>
        <v>0</v>
      </c>
      <c r="IF110" s="86" t="str">
        <f>IFERROR(IF(VLOOKUP(A110,tbMoveset!A2:B112,2,FALSE)="Sever",Backdoors!AY37/100,IF(VLOOKUP(A110,tbMoveset!A2:B112,2,FALSE)="Blunt",Backdoors!AZ37/100,Backdoors!BA37/100)),"")</f>
        <v/>
      </c>
      <c r="IG110" s="49">
        <f>IFERROR(IF(VLOOKUP(tbMoveset!A110,tbMoveset!A2:H112,8,FALSE)="Other",IF(VLOOKUP(tbMoveset!A110,tbMoveset!A2:I112,9,FALSE)="Fire",Backdoors!BB37,IF(VLOOKUP(tbMoveset!A110,tbMoveset!A2:I112,9,FALSE)="Water",Backdoors!BC37,IF(VLOOKUP(tbMoveset!A110,tbMoveset!A2:I112,9,FALSE)="Thunder",Backdoors!BD37,IF(VLOOKUP(tbMoveset!A110,tbMoveset!A2:I112,9,FALSE)="Ice",Backdoors!BE37,IF(VLOOKUP(tbMoveset!A110,tbMoveset!A2:I112,9,FALSE)="Dragon",Backdoors!BF37,Backdoors!BG37)))))/100,Backdoors!BG37/100),"")</f>
        <v>0</v>
      </c>
      <c r="IH110" s="49">
        <f>IFERROR(IF(VLOOKUP(A110,tbMoveset!A2:J112,10,FALSE)=TRUE,IF((Backdoors!AI12+IF(IF110&gt;=0.45,VLOOKUP(Calculator!E23,tbSkills!DH3:DI6,2,FALSE)+IF(AND(Calculator!B8=TRUE,Backdoors!BI37=TRUE),VLOOKUP(Calculator!E23,tbSkills!DH3:DJ6,3,FALSE),0),0))&gt;=0,1+(Backdoors!AL2*(IF((Backdoors!AI12+IF(IF110&gt;=0.45,VLOOKUP(Calculator!E23,tbSkills!DH3:DI6,2,FALSE)+IF(AND(Calculator!B8=TRUE,Backdoors!BI37=TRUE),VLOOKUP(Calculator!E23,tbSkills!DH3:DJ6,3,FALSE),0),0))&gt;=100,100,(Backdoors!AI12+IF(IF110&gt;=0.45,VLOOKUP(Calculator!E23,tbSkills!DH3:DI6,2,FALSE)+IF(AND(Calculator!B8=TRUE,Backdoors!BI37=TRUE),VLOOKUP(Calculator!E23,tbSkills!DH3:DJ6,3,FALSE),0),0)))/100)),(1-(0.25*((-Backdoors!AI12-IF(IF110&gt;=0.45,VLOOKUP(Calculator!E23,tbSkills!DH3:DI6,2,FALSE)+IF(AND(Calculator!B8=TRUE,Backdoors!BI37=TRUE),VLOOKUP(Calculator!E23,tbSkills!DH3:DJ6,3,FALSE),0),0))/100)))),1),"")</f>
        <v>1</v>
      </c>
      <c r="II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F110)*IH110)*(VLOOKUP(A110,tbMoveset!A2:C112,3,FALSE)/100)*IF(VLOOKUP(A110,tbMoveset!A2:B112,2,FALSE)="Projectile",Backdoors!N10,Backdoors!N9),0),"")</f>
        <v/>
      </c>
      <c r="IJ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IF110&gt;=0.45,VLOOKUP(Calculator!E23,tbSkills!DH3:DI6,2,FALSE)+IF(AND(Calculator!B8=TRUE,Backdoors!BI37=TRUE),VLOOKUP(Calculator!E23,tbSkills!DH3:DJ6,3,FALSE),0),0))&gt;=100,100,(Backdoors!AI12+IF(IF110&gt;=0.45,VLOOKUP(Calculator!E23,tbSkills!DH3:DI6,2,FALSE)+IF(AND(Calculator!B8=TRUE,Backdoors!BI37=TRUE),VLOOKUP(Calculator!E23,tbSkills!DH3:DJ6,3,FALSE),0),0)))/100)),1))*IF(VLOOKUP(A110,tbMoveset!A2:K112,11,FALSE)=TRUE,Backdoors!AC5,1))*IG110,0),"")</f>
        <v>0</v>
      </c>
      <c r="IK110" s="49">
        <f>VLOOKUP(A110,tbMoveset!A2:G112,7,FALSE)*IFERROR(IF(Backdoors!AI12&gt;=0,1+(IF(Calculator!E40&gt;0,VLOOKUP(Calculator!E40,tbSkills!AI3:AJ5,2,FALSE),Backdoors!AL4)*(IF((Backdoors!AI12+IF(IF110&gt;=0.45,VLOOKUP(Calculator!E23,tbSkills!DH3:DI6,2,FALSE)+IF(AND(Calculator!B8=TRUE,Backdoors!BI37=TRUE),VLOOKUP(Calculator!E23,tbSkills!DH3:DJ6,3,FALSE),0),0))&gt;=100,100,(Backdoors!AI12+IF(IF110&gt;=0.45,VLOOKUP(Calculator!E23,tbSkills!DH3:DI6,2,FALSE)+IF(AND(Calculator!B8=TRUE,Backdoors!BI37=TRUE),VLOOKUP(Calculator!E23,tbSkills!DH3:DJ6,3,FALSE),0),0)))/100)),1),1)</f>
        <v>1</v>
      </c>
      <c r="IL110" s="87">
        <f t="shared" si="85"/>
        <v>0</v>
      </c>
      <c r="IM110" s="86" t="str">
        <f>IFERROR(IF(VLOOKUP(A110,tbMoveset!A2:B112,2,FALSE)="Sever",Backdoors!AY38/100,IF(VLOOKUP(A110,tbMoveset!A2:B112,2,FALSE)="Blunt",Backdoors!AZ38/100,Backdoors!BA38/100)),"")</f>
        <v/>
      </c>
      <c r="IN110" s="49">
        <f>IFERROR(IF(VLOOKUP(tbMoveset!A110,tbMoveset!A2:H112,8,FALSE)="Other",IF(VLOOKUP(tbMoveset!A110,tbMoveset!A2:I112,9,FALSE)="Fire",Backdoors!BB38,IF(VLOOKUP(tbMoveset!A110,tbMoveset!A2:I112,9,FALSE)="Water",Backdoors!BC38,IF(VLOOKUP(tbMoveset!A110,tbMoveset!A2:I112,9,FALSE)="Thunder",Backdoors!BD38,IF(VLOOKUP(tbMoveset!A110,tbMoveset!A2:I112,9,FALSE)="Ice",Backdoors!BE38,IF(VLOOKUP(tbMoveset!A110,tbMoveset!A2:I112,9,FALSE)="Dragon",Backdoors!BF38,Backdoors!BG38)))))/100,Backdoors!BG38/100),"")</f>
        <v>0</v>
      </c>
      <c r="IO110" s="49">
        <f>IFERROR(IF(VLOOKUP(A110,tbMoveset!A2:J112,10,FALSE)=TRUE,IF((Backdoors!AI12+IF(IM110&gt;=0.45,VLOOKUP(Calculator!E23,tbSkills!DH3:DI6,2,FALSE)+IF(AND(Calculator!B8=TRUE,Backdoors!BI38=TRUE),VLOOKUP(Calculator!E23,tbSkills!DH3:DJ6,3,FALSE),0),0))&gt;=0,1+(Backdoors!AL2*(IF((Backdoors!AI12+IF(IM110&gt;=0.45,VLOOKUP(Calculator!E23,tbSkills!DH3:DI6,2,FALSE)+IF(AND(Calculator!B8=TRUE,Backdoors!BI38=TRUE),VLOOKUP(Calculator!E23,tbSkills!DH3:DJ6,3,FALSE),0),0))&gt;=100,100,(Backdoors!AI12+IF(IM110&gt;=0.45,VLOOKUP(Calculator!E23,tbSkills!DH3:DI6,2,FALSE)+IF(AND(Calculator!B8=TRUE,Backdoors!BI38=TRUE),VLOOKUP(Calculator!E23,tbSkills!DH3:DJ6,3,FALSE),0),0)))/100)),(1-(0.25*((-Backdoors!AI12-IF(IM110&gt;=0.45,VLOOKUP(Calculator!E23,tbSkills!DH3:DI6,2,FALSE)+IF(AND(Calculator!B8=TRUE,Backdoors!BI38=TRUE),VLOOKUP(Calculator!E23,tbSkills!DH3:DJ6,3,FALSE),0),0))/100)))),1),"")</f>
        <v>1</v>
      </c>
      <c r="IP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M110)*IO110)*(VLOOKUP(A110,tbMoveset!A2:C112,3,FALSE)/100)*IF(VLOOKUP(A110,tbMoveset!A2:B112,2,FALSE)="Projectile",Backdoors!N10,Backdoors!N9),0),"")</f>
        <v/>
      </c>
      <c r="IQ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IM110&gt;=0.45,VLOOKUP(Calculator!E23,tbSkills!DH3:DI6,2,FALSE)+IF(AND(Calculator!B8=TRUE,Backdoors!BI38=TRUE),VLOOKUP(Calculator!E23,tbSkills!DH3:DJ6,3,FALSE),0),0))&gt;=100,100,(Backdoors!AI12+IF(IM110&gt;=0.45,VLOOKUP(Calculator!E23,tbSkills!DH3:DI6,2,FALSE)+IF(AND(Calculator!B8=TRUE,Backdoors!BI38=TRUE),VLOOKUP(Calculator!E23,tbSkills!DH3:DJ6,3,FALSE),0),0)))/100)),1))*IF(VLOOKUP(A110,tbMoveset!A2:K112,11,FALSE)=TRUE,Backdoors!AC5,1))*IN110,0),"")</f>
        <v>0</v>
      </c>
      <c r="IR110" s="49">
        <f>VLOOKUP(A110,tbMoveset!A2:G112,7,FALSE)*IFERROR(IF(Backdoors!AI12&gt;=0,1+(IF(Calculator!E40&gt;0,VLOOKUP(Calculator!E40,tbSkills!AI3:AJ5,2,FALSE),Backdoors!AL4)*(IF((Backdoors!AI12+IF(IM110&gt;=0.45,VLOOKUP(Calculator!E23,tbSkills!DH3:DI6,2,FALSE)+IF(AND(Calculator!B8=TRUE,Backdoors!BI38=TRUE),VLOOKUP(Calculator!E23,tbSkills!DH3:DJ6,3,FALSE),0),0))&gt;=100,100,(Backdoors!AI12+IF(IM110&gt;=0.45,VLOOKUP(Calculator!E23,tbSkills!DH3:DI6,2,FALSE)+IF(AND(Calculator!B8=TRUE,Backdoors!BI38=TRUE),VLOOKUP(Calculator!E23,tbSkills!DH3:DJ6,3,FALSE),0),0)))/100)),1),1)</f>
        <v>1</v>
      </c>
      <c r="IS110" s="87">
        <f t="shared" si="86"/>
        <v>0</v>
      </c>
      <c r="IT110" s="86" t="str">
        <f>IFERROR(IF(VLOOKUP(A110,tbMoveset!A2:B112,2,FALSE)="Sever",Backdoors!AY39/100,IF(VLOOKUP(A110,tbMoveset!A2:B112,2,FALSE)="Blunt",Backdoors!AZ39/100,Backdoors!BA39/100)),"")</f>
        <v/>
      </c>
      <c r="IU110" s="49">
        <f>IFERROR(IF(VLOOKUP(tbMoveset!A110,tbMoveset!A2:H112,8,FALSE)="Other",IF(VLOOKUP(tbMoveset!A110,tbMoveset!A2:I112,9,FALSE)="Fire",Backdoors!BB39,IF(VLOOKUP(tbMoveset!A110,tbMoveset!A2:I112,9,FALSE)="Water",Backdoors!BC39,IF(VLOOKUP(tbMoveset!A110,tbMoveset!A2:I112,9,FALSE)="Thunder",Backdoors!BD39,IF(VLOOKUP(tbMoveset!A110,tbMoveset!A2:I112,9,FALSE)="Ice",Backdoors!BE39,IF(VLOOKUP(tbMoveset!A110,tbMoveset!A2:I112,9,FALSE)="Dragon",Backdoors!BF39,Backdoors!BG39)))))/100,Backdoors!BG39/100),"")</f>
        <v>0</v>
      </c>
      <c r="IV110" s="49">
        <f>IFERROR(IF(VLOOKUP(A110,tbMoveset!A2:J112,10,FALSE)=TRUE,IF((Backdoors!AI12+IF(IT110&gt;=0.45,VLOOKUP(Calculator!E23,tbSkills!DH3:DI6,2,FALSE)+IF(AND(Calculator!B8=TRUE,Backdoors!BI39=TRUE),VLOOKUP(Calculator!E23,tbSkills!DH3:DJ6,3,FALSE),0),0))&gt;=0,1+(Backdoors!AL2*(IF((Backdoors!AI12+IF(IT110&gt;=0.45,VLOOKUP(Calculator!E23,tbSkills!DH3:DI6,2,FALSE)+IF(AND(Calculator!B8=TRUE,Backdoors!BI39=TRUE),VLOOKUP(Calculator!E23,tbSkills!DH3:DJ6,3,FALSE),0),0))&gt;=100,100,(Backdoors!AI12+IF(IT110&gt;=0.45,VLOOKUP(Calculator!E23,tbSkills!DH3:DI6,2,FALSE)+IF(AND(Calculator!B8=TRUE,Backdoors!BI39=TRUE),VLOOKUP(Calculator!E23,tbSkills!DH3:DJ6,3,FALSE),0),0)))/100)),(1-(0.25*((-Backdoors!AI12-IF(IT110&gt;=0.45,VLOOKUP(Calculator!E23,tbSkills!DH3:DI6,2,FALSE)+IF(AND(Calculator!B8=TRUE,Backdoors!BI39=TRUE),VLOOKUP(Calculator!E23,tbSkills!DH3:DJ6,3,FALSE),0),0))/100)))),1),"")</f>
        <v>1</v>
      </c>
      <c r="IW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T110)*IV110)*(VLOOKUP(A110,tbMoveset!A2:C112,3,FALSE)/100)*IF(VLOOKUP(A110,tbMoveset!A2:B112,2,FALSE)="Projectile",Backdoors!N10,Backdoors!N9),0),"")</f>
        <v/>
      </c>
      <c r="IX110" s="49">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40&gt;0,VLOOKUP(Calculator!E40,tbSkills!AC3:AD5,2,FALSE),Backdoors!AL3)*(IF((Backdoors!AI12+IF(IT110&gt;=0.45,VLOOKUP(Calculator!E23,tbSkills!DH3:DI6,2,FALSE)+IF(AND(Calculator!B8=TRUE,Backdoors!BI39=TRUE),VLOOKUP(Calculator!E23,tbSkills!DH3:DJ6,3,FALSE),0),0))&gt;=100,100,(Backdoors!AI12+IF(IT110&gt;=0.45,VLOOKUP(Calculator!E23,tbSkills!DH3:DI6,2,FALSE)+IF(AND(Calculator!B8=TRUE,Backdoors!BI39=TRUE),VLOOKUP(Calculator!E23,tbSkills!DH3:DJ6,3,FALSE),0),0)))/100)),1))*IF(VLOOKUP(A110,tbMoveset!A2:K112,11,FALSE)=TRUE,Backdoors!AC5,1))*IU110,0),"")</f>
        <v>0</v>
      </c>
      <c r="IY110" s="49">
        <f>VLOOKUP(A110,tbMoveset!A2:G112,7,FALSE)*IFERROR(IF(Backdoors!AI12&gt;=0,1+(IF(Calculator!E40&gt;0,VLOOKUP(Calculator!E40,tbSkills!AI3:AJ5,2,FALSE),Backdoors!AL4)*(IF((Backdoors!AI12+IF(IT110&gt;=0.45,VLOOKUP(Calculator!E23,tbSkills!DH3:DI6,2,FALSE)+IF(AND(Calculator!B8=TRUE,Backdoors!BI39=TRUE),VLOOKUP(Calculator!E23,tbSkills!DH3:DJ6,3,FALSE),0),0))&gt;=100,100,(Backdoors!AI12+IF(IT110&gt;=0.45,VLOOKUP(Calculator!E23,tbSkills!DH3:DI6,2,FALSE)+IF(AND(Calculator!B8=TRUE,Backdoors!BI39=TRUE),VLOOKUP(Calculator!E23,tbSkills!DH3:DJ6,3,FALSE),0),0)))/100)),1),1)</f>
        <v>1</v>
      </c>
      <c r="IZ110" s="87">
        <f t="shared" si="87"/>
        <v>0</v>
      </c>
      <c r="JA110" s="86" t="str">
        <f>IFERROR(IF(VLOOKUP(A110,tbMoveset!A2:B112,2,FALSE)="Sever",Backdoors!AY40/100,IF(VLOOKUP(A110,tbMoveset!A2:B112,2,FALSE)="Blunt",Backdoors!AZ40/100,Backdoors!BA40/100)),"")</f>
        <v/>
      </c>
      <c r="JB110" s="49">
        <f>IFERROR(IF(VLOOKUP(tbMoveset!A110,tbMoveset!A2:H112,8,FALSE)="Other",IF(VLOOKUP(tbMoveset!A110,tbMoveset!A2:I112,9,FALSE)="Fire",Backdoors!BB40,IF(VLOOKUP(tbMoveset!A110,tbMoveset!A2:I112,9,FALSE)="Water",Backdoors!BC40,IF(VLOOKUP(tbMoveset!A110,tbMoveset!A2:I112,9,FALSE)="Thunder",Backdoors!BD40,IF(VLOOKUP(tbMoveset!A110,tbMoveset!A2:I112,9,FALSE)="Ice",Backdoors!BE40,IF(VLOOKUP(tbMoveset!A110,tbMoveset!A2:I112,9,FALSE)="Dragon",Backdoors!BF40,Backdoors!BG40)))))/100,Backdoors!BG40/100),"")</f>
        <v>0</v>
      </c>
      <c r="JC110" s="49">
        <f>IFERROR(IF(VLOOKUP(A110,tbMoveset!A2:J112,10,FALSE)=TRUE,IF((Backdoors!AI12+IF(JA110&gt;=0.45,VLOOKUP(Calculator!E23,tbSkills!DH3:DI6,2,FALSE)+IF(AND(Calculator!B8=TRUE,Backdoors!BI40=TRUE),VLOOKUP(Calculator!E23,tbSkills!DH3:DJ6,3,FALSE),0),0))&gt;=0,1+(Backdoors!AL2*(IF((Backdoors!AI12+IF(JA110&gt;=0.45,VLOOKUP(Calculator!E23,tbSkills!DH3:DI6,2,FALSE)+IF(AND(Calculator!B8=TRUE,Backdoors!BI40=TRUE),VLOOKUP(Calculator!E23,tbSkills!DH3:DJ6,3,FALSE),0),0))&gt;=100,100,(Backdoors!AI12+IF(JA110&gt;=0.45,VLOOKUP(Calculator!E23,tbSkills!DH3:DI6,2,FALSE)+IF(AND(Calculator!B8=TRUE,Backdoors!BI40=TRUE),VLOOKUP(Calculator!E23,tbSkills!DH3:DJ6,3,FALSE),0),0)))/100)),(1-(0.25*((-Backdoors!AI12-IF(JA110&gt;=0.45,VLOOKUP(Calculator!E23,tbSkills!DH3:DI6,2,FALSE)+IF(AND(Calculator!B8=TRUE,Backdoors!BI40=TRUE),VLOOKUP(Calculator!E23,tbSkills!DH3:DJ6,3,FALSE),0),0))/100)))),1),"")</f>
        <v>1</v>
      </c>
      <c r="JD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A110)*JC110)*(VLOOKUP(A110,tbMoveset!A2:C112,3,FALSE)/100)*IF(VLOOKUP(A110,tbMoveset!A2:B112,2,FALSE)="Projectile",Backdoors!N10,Backdoors!N9),0),"")</f>
        <v/>
      </c>
      <c r="JE110" s="49">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42&gt;0,VLOOKUP(Calculator!E42,tbSkills!AC3:AD5,2,FALSE),Backdoors!AL3)*(IF((Backdoors!AI12+IF(JA110&gt;=0.45,VLOOKUP(Calculator!E23,tbSkills!DH3:DI6,2,FALSE)+IF(AND(Calculator!B8=TRUE,Backdoors!BI40=TRUE),VLOOKUP(Calculator!E23,tbSkills!DH3:DJ6,3,FALSE),0),0))&gt;=100,100,(Backdoors!AI12+IF(JA110&gt;=0.45,VLOOKUP(Calculator!E23,tbSkills!DH3:DI6,2,FALSE)+IF(AND(Calculator!B8=TRUE,Backdoors!BI40=TRUE),VLOOKUP(Calculator!E23,tbSkills!DH3:DJ6,3,FALSE),0),0)))/100)),1))*IF(VLOOKUP(A110,tbMoveset!A2:K112,11,FALSE)=TRUE,Backdoors!AC5,1))*JB110,0),"")</f>
        <v>0</v>
      </c>
      <c r="JF110" s="49">
        <f>VLOOKUP(A110,tbMoveset!A2:G112,7,FALSE)*IFERROR(IF(Backdoors!AI12&gt;=0,1+(IF(Calculator!E40&gt;0,VLOOKUP(Calculator!E40,tbSkills!AI3:AJ5,2,FALSE),Backdoors!AL4)*(IF((Backdoors!AI12+IF(JA110&gt;=0.45,VLOOKUP(Calculator!E23,tbSkills!DH3:DI6,2,FALSE)+IF(AND(Calculator!B8=TRUE,Backdoors!BI40=TRUE),VLOOKUP(Calculator!E23,tbSkills!DH3:DJ6,3,FALSE),0),0))&gt;=100,100,(Backdoors!AI12+IF(JA110&gt;=0.45,VLOOKUP(Calculator!E23,tbSkills!DH3:DI6,2,FALSE)+IF(AND(Calculator!B8=TRUE,Backdoors!BI40=TRUE),VLOOKUP(Calculator!E23,tbSkills!DH3:DJ6,3,FALSE),0),0)))/100)),1),1)</f>
        <v>1</v>
      </c>
      <c r="JG110" s="87">
        <f t="shared" si="88"/>
        <v>0</v>
      </c>
      <c r="JH110" s="86" t="str">
        <f>IFERROR(IF(VLOOKUP(A110,tbMoveset!A2:B112,2,FALSE)="Sever",Backdoors!AY41/100,IF(VLOOKUP(A110,tbMoveset!A2:B112,2,FALSE)="Blunt",Backdoors!AZ41/100,Backdoors!BA41/100)),"")</f>
        <v/>
      </c>
      <c r="JI110" s="49">
        <f>IFERROR(IF(VLOOKUP(tbMoveset!A110,tbMoveset!A2:H112,8,FALSE)="Other",IF(VLOOKUP(tbMoveset!A110,tbMoveset!A2:I112,9,FALSE)="Fire",Backdoors!BB41,IF(VLOOKUP(tbMoveset!A110,tbMoveset!A2:I112,9,FALSE)="Water",Backdoors!BC41,IF(VLOOKUP(tbMoveset!A110,tbMoveset!A2:I112,9,FALSE)="Thunder",Backdoors!BD41,IF(VLOOKUP(tbMoveset!A110,tbMoveset!A2:I112,9,FALSE)="Ice",Backdoors!BE41,IF(VLOOKUP(tbMoveset!A110,tbMoveset!A2:I112,9,FALSE)="Dragon",Backdoors!BF41,Backdoors!BG41)))))/100,Backdoors!BG41/100),"")</f>
        <v>0</v>
      </c>
      <c r="JJ110" s="49">
        <f>IFERROR(IF(VLOOKUP(A110,tbMoveset!A2:J112,10,FALSE)=TRUE,IF((Backdoors!AI12+IF(JH110&gt;=0.45,VLOOKUP(Calculator!E23,tbSkills!DH3:DI6,2,FALSE)+IF(AND(Calculator!B8=TRUE,Backdoors!BI41=TRUE),VLOOKUP(Calculator!E23,tbSkills!DH3:DJ6,3,FALSE),0),0))&gt;=0,1+(Backdoors!AL2*(IF((Backdoors!AI12+IF(JH110&gt;=0.45,VLOOKUP(Calculator!E23,tbSkills!DH3:DI6,2,FALSE)+IF(AND(Calculator!B8=TRUE,Backdoors!BI41=TRUE),VLOOKUP(Calculator!E23,tbSkills!DH3:DJ6,3,FALSE),0),0))&gt;=100,100,(Backdoors!AI12+IF(JH110&gt;=0.45,VLOOKUP(Calculator!E23,tbSkills!DH3:DI6,2,FALSE)+IF(AND(Calculator!B8=TRUE,Backdoors!BI41=TRUE),VLOOKUP(Calculator!E23,tbSkills!DH3:DJ6,3,FALSE),0),0)))/100)),(1-(0.25*((-Backdoors!AI12-IF(JH110&gt;=0.45,VLOOKUP(Calculator!E23,tbSkills!DH3:DI6,2,FALSE)+IF(AND(Calculator!B8=TRUE,Backdoors!BI41=TRUE),VLOOKUP(Calculator!E23,tbSkills!DH3:DJ6,3,FALSE),0),0))/100)))),1),"")</f>
        <v>1</v>
      </c>
      <c r="JK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H110)*JJ110)*(VLOOKUP(A110,tbMoveset!A2:C112,3,FALSE)/100)*IF(VLOOKUP(A110,tbMoveset!A2:B112,2,FALSE)="Projectile",Backdoors!N10,Backdoors!N9),0),"")</f>
        <v/>
      </c>
      <c r="JL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43&gt;0,VLOOKUP(Calculator!E43,tbSkills!AC3:AD5,2,FALSE),Backdoors!AL3)*(IF((Backdoors!AI12+IF(JH110&gt;=0.45,VLOOKUP(Calculator!E23,tbSkills!DH3:DI6,2,FALSE)+IF(AND(Calculator!B8=TRUE,Backdoors!BI41=TRUE),VLOOKUP(Calculator!E23,tbSkills!DH3:DJ6,3,FALSE),0),0))&gt;=100,100,(Backdoors!AI12+IF(JH110&gt;=0.45,VLOOKUP(Calculator!E23,tbSkills!DH3:DI6,2,FALSE)+IF(AND(Calculator!B8=TRUE,Backdoors!BI41=TRUE),VLOOKUP(Calculator!E23,tbSkills!DH3:DJ6,3,FALSE),0),0)))/100)),1))*IF(VLOOKUP(A110,tbMoveset!A2:K112,11,FALSE)=TRUE,Backdoors!AC5,1))*JI110,0),"")</f>
        <v/>
      </c>
      <c r="JM110" s="49">
        <f>VLOOKUP(A110,tbMoveset!A2:G112,7,FALSE)*IFERROR(IF(Backdoors!AI12&gt;=0,1+(IF(Calculator!E40&gt;0,VLOOKUP(Calculator!E40,tbSkills!AI3:AJ5,2,FALSE),Backdoors!AL4)*(IF((Backdoors!AI12+IF(JH110&gt;=0.45,VLOOKUP(Calculator!E23,tbSkills!DH3:DI6,2,FALSE)+IF(AND(Calculator!B8=TRUE,Backdoors!BI41=TRUE),VLOOKUP(Calculator!E23,tbSkills!DH3:DJ6,3,FALSE),0),0))&gt;=100,100,(Backdoors!AI12+IF(JH110&gt;=0.45,VLOOKUP(Calculator!E23,tbSkills!DH3:DI6,2,FALSE)+IF(AND(Calculator!B8=TRUE,Backdoors!BI41=TRUE),VLOOKUP(Calculator!E23,tbSkills!DH3:DJ6,3,FALSE),0),0)))/100)),1),1)</f>
        <v>1</v>
      </c>
      <c r="JN110" s="87">
        <f t="shared" si="89"/>
        <v>0</v>
      </c>
      <c r="JO110" s="86" t="str">
        <f>IFERROR(IF(VLOOKUP(A110,tbMoveset!A2:B112,2,FALSE)="Sever",Backdoors!AY42/100,IF(VLOOKUP(A110,tbMoveset!A2:B112,2,FALSE)="Blunt",Backdoors!AZ42/100,Backdoors!BA42/100)),"")</f>
        <v/>
      </c>
      <c r="JP110" s="49">
        <f>IFERROR(IF(VLOOKUP(tbMoveset!A110,tbMoveset!A2:H112,8,FALSE)="Other",IF(VLOOKUP(tbMoveset!A110,tbMoveset!A2:I112,9,FALSE)="Fire",Backdoors!BB42,IF(VLOOKUP(tbMoveset!A110,tbMoveset!A2:I112,9,FALSE)="Water",Backdoors!BC42,IF(VLOOKUP(tbMoveset!A110,tbMoveset!A2:I112,9,FALSE)="Thunder",Backdoors!BD42,IF(VLOOKUP(tbMoveset!A110,tbMoveset!A2:I112,9,FALSE)="Ice",Backdoors!BE42,IF(VLOOKUP(tbMoveset!A110,tbMoveset!A2:I112,9,FALSE)="Dragon",Backdoors!BF42,Backdoors!BG42)))))/100,Backdoors!BG42/100),"")</f>
        <v>0</v>
      </c>
      <c r="JQ110" s="49">
        <f>IFERROR(IF(VLOOKUP(A110,tbMoveset!A2:J112,10,FALSE)=TRUE,IF((Backdoors!AI12+IF(JO110&gt;=0.45,VLOOKUP(Calculator!E23,tbSkills!DH3:DI6,2,FALSE)+IF(AND(Calculator!B8=TRUE,Backdoors!BI42=TRUE),VLOOKUP(Calculator!E23,tbSkills!DH3:DJ6,3,FALSE),0),0))&gt;=0,1+(Backdoors!AL2*(IF((Backdoors!AI12+IF(JO110&gt;=0.45,VLOOKUP(Calculator!E23,tbSkills!DH3:DI6,2,FALSE)+IF(AND(Calculator!B8=TRUE,Backdoors!BI42=TRUE),VLOOKUP(Calculator!E23,tbSkills!DH3:DJ6,3,FALSE),0),0))&gt;=100,100,(Backdoors!AI12+IF(JO110&gt;=0.45,VLOOKUP(Calculator!E23,tbSkills!DH3:DI6,2,FALSE)+IF(AND(Calculator!B8=TRUE,Backdoors!BI42=TRUE),VLOOKUP(Calculator!E23,tbSkills!DH3:DJ6,3,FALSE),0),0)))/100)),(1-(0.25*((-Backdoors!AI12-IF(JO110&gt;=0.45,VLOOKUP(Calculator!E23,tbSkills!DH3:DI6,2,FALSE)+IF(AND(Calculator!B8=TRUE,Backdoors!BI42=TRUE),VLOOKUP(Calculator!E23,tbSkills!DH3:DJ6,3,FALSE),0),0))/100)))),1),"")</f>
        <v>1</v>
      </c>
      <c r="JR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O110)*JQ110)*(VLOOKUP(A110,tbMoveset!A2:C112,3,FALSE)/100)*IF(VLOOKUP(A110,tbMoveset!A2:B112,2,FALSE)="Projectile",Backdoors!N10,Backdoors!N9),0),"")</f>
        <v/>
      </c>
      <c r="JS110" s="49">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45&gt;0,VLOOKUP(Calculator!E45,tbSkills!AC3:AD5,2,FALSE),Backdoors!AL3)*(IF((Backdoors!AI12+IF(JO110&gt;=0.45,VLOOKUP(Calculator!E23,tbSkills!DH3:DI6,2,FALSE)+IF(AND(Calculator!B8=TRUE,Backdoors!BI42=TRUE),VLOOKUP(Calculator!E23,tbSkills!DH3:DJ6,3,FALSE),0),0))&gt;=100,100,(Backdoors!AI12+IF(JO110&gt;=0.45,VLOOKUP(Calculator!E23,tbSkills!DH3:DI6,2,FALSE)+IF(AND(Calculator!B8=TRUE,Backdoors!BI42=TRUE),VLOOKUP(Calculator!E23,tbSkills!DH3:DJ6,3,FALSE),0),0)))/100)),1))*IF(VLOOKUP(A110,tbMoveset!A2:K112,11,FALSE)=TRUE,Backdoors!AC5,1))*JP110,0),"")</f>
        <v>0</v>
      </c>
      <c r="JT110" s="49">
        <f>VLOOKUP(A110,tbMoveset!A2:G112,7,FALSE)*IFERROR(IF(Backdoors!AI12&gt;=0,1+(IF(Calculator!E40&gt;0,VLOOKUP(Calculator!E40,tbSkills!AI3:AJ5,2,FALSE),Backdoors!AL4)*(IF((Backdoors!AI12+IF(JO110&gt;=0.45,VLOOKUP(Calculator!E23,tbSkills!DH3:DI6,2,FALSE)+IF(AND(Calculator!B8=TRUE,Backdoors!BI42=TRUE),VLOOKUP(Calculator!E23,tbSkills!DH3:DJ6,3,FALSE),0),0))&gt;=100,100,(Backdoors!AI12+IF(JO110&gt;=0.45,VLOOKUP(Calculator!E23,tbSkills!DH3:DI6,2,FALSE)+IF(AND(Calculator!B8=TRUE,Backdoors!BI42=TRUE),VLOOKUP(Calculator!E23,tbSkills!DH3:DJ6,3,FALSE),0),0)))/100)),1),1)</f>
        <v>1</v>
      </c>
      <c r="JU110" s="87">
        <f t="shared" si="90"/>
        <v>0</v>
      </c>
      <c r="JV110" s="86" t="str">
        <f>IFERROR(IF(VLOOKUP(A110,tbMoveset!A2:B112,2,FALSE)="Sever",Backdoors!AY43/100,IF(VLOOKUP(A110,tbMoveset!A2:B112,2,FALSE)="Blunt",Backdoors!AZ43/100,Backdoors!BA43/100)),"")</f>
        <v/>
      </c>
      <c r="JW110" s="49">
        <f>IFERROR(IF(VLOOKUP(tbMoveset!A110,tbMoveset!A2:H112,8,FALSE)="Other",IF(VLOOKUP(tbMoveset!A110,tbMoveset!A2:I112,9,FALSE)="Fire",Backdoors!BB43,IF(VLOOKUP(tbMoveset!A110,tbMoveset!A2:I112,9,FALSE)="Water",Backdoors!BC43,IF(VLOOKUP(tbMoveset!A110,tbMoveset!A2:I112,9,FALSE)="Thunder",Backdoors!BD43,IF(VLOOKUP(tbMoveset!A110,tbMoveset!A2:I112,9,FALSE)="Ice",Backdoors!BE43,IF(VLOOKUP(tbMoveset!A110,tbMoveset!A2:I112,9,FALSE)="Dragon",Backdoors!BF43,Backdoors!BG43)))))/100,Backdoors!BG43/100),"")</f>
        <v>0</v>
      </c>
      <c r="JX110" s="49">
        <f>IFERROR(IF(VLOOKUP(A110,tbMoveset!A2:J112,10,FALSE)=TRUE,IF((Backdoors!AI12+IF(JV110&gt;=0.45,VLOOKUP(Calculator!E23,tbSkills!DH3:DI6,2,FALSE)+IF(AND(Calculator!B8=TRUE,Backdoors!BI43=TRUE),VLOOKUP(Calculator!E23,tbSkills!DH3:DJ6,3,FALSE),0),0))&gt;=0,1+(Backdoors!AL2*(IF((Backdoors!AI12+IF(JV110&gt;=0.45,VLOOKUP(Calculator!E23,tbSkills!DH3:DI6,2,FALSE)+IF(AND(Calculator!B8=TRUE,Backdoors!BI43=TRUE),VLOOKUP(Calculator!E23,tbSkills!DH3:DJ6,3,FALSE),0),0))&gt;=100,100,(Backdoors!AI12+IF(JV110&gt;=0.45,VLOOKUP(Calculator!E23,tbSkills!DH3:DI6,2,FALSE)+IF(AND(Calculator!B8=TRUE,Backdoors!BI43=TRUE),VLOOKUP(Calculator!E23,tbSkills!DH3:DJ6,3,FALSE),0),0)))/100)),(1-(0.25*((-Backdoors!AI12-IF(JV110&gt;=0.45,VLOOKUP(Calculator!E23,tbSkills!DH3:DI6,2,FALSE)+IF(AND(Calculator!B8=TRUE,Backdoors!BI43=TRUE),VLOOKUP(Calculator!E23,tbSkills!DH3:DJ6,3,FALSE),0),0))/100)))),1),"")</f>
        <v>1</v>
      </c>
      <c r="JY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V110)*JX110)*(VLOOKUP(A110,tbMoveset!A2:C112,3,FALSE)/100)*IF(VLOOKUP(A110,tbMoveset!A2:B112,2,FALSE)="Projectile",Backdoors!N10,Backdoors!N9),0),"")</f>
        <v/>
      </c>
      <c r="JZ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46&gt;0,VLOOKUP(Calculator!E46,tbSkills!AC3:AD5,2,FALSE),Backdoors!AL3)*(IF((Backdoors!AI12+IF(JV110&gt;=0.45,VLOOKUP(Calculator!E23,tbSkills!DH3:DI6,2,FALSE)+IF(AND(Calculator!B8=TRUE,Backdoors!BI43=TRUE),VLOOKUP(Calculator!E23,tbSkills!DH3:DJ6,3,FALSE),0),0))&gt;=100,100,(Backdoors!AI12+IF(JV110&gt;=0.45,VLOOKUP(Calculator!E23,tbSkills!DH3:DI6,2,FALSE)+IF(AND(Calculator!B8=TRUE,Backdoors!BI43=TRUE),VLOOKUP(Calculator!E23,tbSkills!DH3:DJ6,3,FALSE),0),0)))/100)),1))*IF(VLOOKUP(A110,tbMoveset!A2:K112,11,FALSE)=TRUE,Backdoors!AC5,1))*JW110,0),"")</f>
        <v/>
      </c>
      <c r="KA110" s="49">
        <f>VLOOKUP(A110,tbMoveset!A2:G112,7,FALSE)*IFERROR(IF(Backdoors!AI12&gt;=0,1+(IF(Calculator!E40&gt;0,VLOOKUP(Calculator!E40,tbSkills!AI3:AJ5,2,FALSE),Backdoors!AL4)*(IF((Backdoors!AI12+IF(JV110&gt;=0.45,VLOOKUP(Calculator!E23,tbSkills!DH3:DI6,2,FALSE)+IF(AND(Calculator!B8=TRUE,Backdoors!BI43=TRUE),VLOOKUP(Calculator!E23,tbSkills!DH3:DJ6,3,FALSE),0),0))&gt;=100,100,(Backdoors!AI12+IF(JV110&gt;=0.45,VLOOKUP(Calculator!E23,tbSkills!DH3:DI6,2,FALSE)+IF(AND(Calculator!B8=TRUE,Backdoors!BI43=TRUE),VLOOKUP(Calculator!E23,tbSkills!DH3:DJ6,3,FALSE),0),0)))/100)),1),1)</f>
        <v>1</v>
      </c>
      <c r="KB110" s="87">
        <f t="shared" si="91"/>
        <v>0</v>
      </c>
      <c r="KC110" s="86" t="str">
        <f>IFERROR(IF(VLOOKUP(A110,tbMoveset!A2:B112,2,FALSE)="Sever",Backdoors!AY44/100,IF(VLOOKUP(A110,tbMoveset!A2:B112,2,FALSE)="Blunt",Backdoors!AZ44/100,Backdoors!BA44/100)),"")</f>
        <v/>
      </c>
      <c r="KD110" s="49">
        <f>IFERROR(IF(VLOOKUP(tbMoveset!A110,tbMoveset!A2:H112,8,FALSE)="Other",IF(VLOOKUP(tbMoveset!A110,tbMoveset!A2:I112,9,FALSE)="Fire",Backdoors!BB44,IF(VLOOKUP(tbMoveset!A110,tbMoveset!A2:I112,9,FALSE)="Water",Backdoors!BC44,IF(VLOOKUP(tbMoveset!A110,tbMoveset!A2:I112,9,FALSE)="Thunder",Backdoors!BD44,IF(VLOOKUP(tbMoveset!A110,tbMoveset!A2:I112,9,FALSE)="Ice",Backdoors!BE44,IF(VLOOKUP(tbMoveset!A110,tbMoveset!A2:I112,9,FALSE)="Dragon",Backdoors!BF44,Backdoors!BG44)))))/100,Backdoors!BG44/100),"")</f>
        <v>0</v>
      </c>
      <c r="KE110" s="49">
        <f>IFERROR(IF(VLOOKUP(A110,tbMoveset!A2:J112,10,FALSE)=TRUE,IF((Backdoors!AI12+IF(KC110&gt;=0.45,VLOOKUP(Calculator!E23,tbSkills!DH3:DI6,2,FALSE)+IF(AND(Calculator!B8=TRUE,Backdoors!BI44=TRUE),VLOOKUP(Calculator!E23,tbSkills!DH3:DJ6,3,FALSE),0),0))&gt;=0,1+(Backdoors!AL2*(IF((Backdoors!AI12+IF(KC110&gt;=0.45,VLOOKUP(Calculator!E23,tbSkills!DH3:DI6,2,FALSE)+IF(AND(Calculator!B8=TRUE,Backdoors!BI44=TRUE),VLOOKUP(Calculator!E23,tbSkills!DH3:DJ6,3,FALSE),0),0))&gt;=100,100,(Backdoors!AI12+IF(KC110&gt;=0.45,VLOOKUP(Calculator!E23,tbSkills!DH3:DI6,2,FALSE)+IF(AND(Calculator!B8=TRUE,Backdoors!BI44=TRUE),VLOOKUP(Calculator!E23,tbSkills!DH3:DJ6,3,FALSE),0),0)))/100)),(1-(0.25*((-Backdoors!AI12-IF(KC110&gt;=0.45,VLOOKUP(Calculator!E23,tbSkills!DH3:DI6,2,FALSE)+IF(AND(Calculator!B8=TRUE,Backdoors!BI44=TRUE),VLOOKUP(Calculator!E23,tbSkills!DH3:DJ6,3,FALSE),0),0))/100)))),1),"")</f>
        <v>1</v>
      </c>
      <c r="KF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KC110)*KE110)*(VLOOKUP(A110,tbMoveset!A2:C112,3,FALSE)/100)*IF(VLOOKUP(A110,tbMoveset!A2:B112,2,FALSE)="Projectile",Backdoors!N10,Backdoors!N9),0),"")</f>
        <v/>
      </c>
      <c r="KG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REF!&gt;0,VLOOKUP(Calculator!#REF!,tbSkills!AC3:AD5,2,FALSE),Backdoors!AL3)*(IF((Backdoors!AI12+IF(KC110&gt;=0.45,VLOOKUP(Calculator!E23,tbSkills!DH3:DI6,2,FALSE)+IF(AND(Calculator!B8=TRUE,Backdoors!BI44=TRUE),VLOOKUP(Calculator!E23,tbSkills!DH3:DJ6,3,FALSE),0),0))&gt;=100,100,(Backdoors!AI12+IF(KC110&gt;=0.45,VLOOKUP(Calculator!E23,tbSkills!DH3:DI6,2,FALSE)+IF(AND(Calculator!B8=TRUE,Backdoors!BI44=TRUE),VLOOKUP(Calculator!E23,tbSkills!DH3:DJ6,3,FALSE),0),0)))/100)),1))*IF(VLOOKUP(A110,tbMoveset!A2:K112,11,FALSE)=TRUE,Backdoors!AC5,1))*KD110,0),"")</f>
        <v/>
      </c>
      <c r="KH110" s="49">
        <f>VLOOKUP(A110,tbMoveset!A2:G112,7,FALSE)*IFERROR(IF(Backdoors!AI12&gt;=0,1+(IF(Calculator!E40&gt;0,VLOOKUP(Calculator!E40,tbSkills!AI3:AJ5,2,FALSE),Backdoors!AL4)*(IF((Backdoors!AI12+IF(KC110&gt;=0.45,VLOOKUP(Calculator!E23,tbSkills!DH3:DI6,2,FALSE)+IF(AND(Calculator!B8=TRUE,Backdoors!BI44=TRUE),VLOOKUP(Calculator!E23,tbSkills!DH3:DJ6,3,FALSE),0),0))&gt;=100,100,(Backdoors!AI12+IF(KC110&gt;=0.45,VLOOKUP(Calculator!E23,tbSkills!DH3:DI6,2,FALSE)+IF(AND(Calculator!B8=TRUE,Backdoors!BI44=TRUE),VLOOKUP(Calculator!E23,tbSkills!DH3:DJ6,3,FALSE),0),0)))/100)),1),1)</f>
        <v>1</v>
      </c>
      <c r="KI110" s="87">
        <f t="shared" si="92"/>
        <v>0</v>
      </c>
      <c r="KJ110" s="86" t="str">
        <f>IFERROR(IF(VLOOKUP(A110,tbMoveset!A2:B112,2,FALSE)="Sever",Backdoors!AY45/100,IF(VLOOKUP(A110,tbMoveset!A2:B112,2,FALSE)="Blunt",Backdoors!AZ45/100,Backdoors!BA45/100)),"")</f>
        <v/>
      </c>
      <c r="KK110" s="49">
        <f>IFERROR(IF(VLOOKUP(tbMoveset!A110,tbMoveset!A2:H112,8,FALSE)="Other",IF(VLOOKUP(tbMoveset!A110,tbMoveset!A2:I112,9,FALSE)="Fire",Backdoors!BB45,IF(VLOOKUP(tbMoveset!A110,tbMoveset!A2:I112,9,FALSE)="Water",Backdoors!BC45,IF(VLOOKUP(tbMoveset!A110,tbMoveset!A2:I112,9,FALSE)="Thunder",Backdoors!BD45,IF(VLOOKUP(tbMoveset!A110,tbMoveset!A2:I112,9,FALSE)="Ice",Backdoors!BE45,IF(VLOOKUP(tbMoveset!A110,tbMoveset!A2:I112,9,FALSE)="Dragon",Backdoors!BF45,Backdoors!BG45)))))/100,Backdoors!BG45/100),"")</f>
        <v>0</v>
      </c>
      <c r="KL110" s="49">
        <f>IFERROR(IF(VLOOKUP(A110,tbMoveset!A2:J112,10,FALSE)=TRUE,IF((Backdoors!AI12+IF(KJ110&gt;=0.45,VLOOKUP(Calculator!E23,tbSkills!DH3:DI6,2,FALSE)+IF(AND(Calculator!B8=TRUE,Backdoors!BI45=TRUE),VLOOKUP(Calculator!E23,tbSkills!DH3:DJ6,3,FALSE),0),0))&gt;=0,1+(Backdoors!AL2*(IF((Backdoors!AI12+IF(KJ110&gt;=0.45,VLOOKUP(Calculator!E23,tbSkills!DH3:DI6,2,FALSE)+IF(AND(Calculator!B8=TRUE,Backdoors!BI45=TRUE),VLOOKUP(Calculator!E23,tbSkills!DH3:DJ6,3,FALSE),0),0))&gt;=100,100,(Backdoors!AI12+IF(KJ110&gt;=0.45,VLOOKUP(Calculator!E23,tbSkills!DH3:DI6,2,FALSE)+IF(AND(Calculator!B8=TRUE,Backdoors!BI45=TRUE),VLOOKUP(Calculator!E23,tbSkills!DH3:DJ6,3,FALSE),0),0)))/100)),(1-(0.25*((-Backdoors!AI12-IF(KJ110&gt;=0.45,VLOOKUP(Calculator!E23,tbSkills!DH3:DI6,2,FALSE)+IF(AND(Calculator!B8=TRUE,Backdoors!BI45=TRUE),VLOOKUP(Calculator!E23,tbSkills!DH3:DJ6,3,FALSE),0),0))/100)))),1),"")</f>
        <v>1</v>
      </c>
      <c r="KM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KJ110)*KL110)*(VLOOKUP(A110,tbMoveset!A2:C112,3,FALSE)/100)*IF(VLOOKUP(A110,tbMoveset!A2:B112,2,FALSE)="Projectile",Backdoors!N10,Backdoors!N9),0),"")</f>
        <v/>
      </c>
      <c r="KN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REF!&gt;0,VLOOKUP(Calculator!#REF!,tbSkills!AC3:AD5,2,FALSE),Backdoors!AL3)*(IF((Backdoors!AI12+IF(KJ110&gt;=0.45,VLOOKUP(Calculator!E23,tbSkills!DH3:DI6,2,FALSE)+IF(AND(Calculator!B8=TRUE,Backdoors!BI45=TRUE),VLOOKUP(Calculator!E23,tbSkills!DH3:DJ6,3,FALSE),0),0))&gt;=100,100,(Backdoors!AI12+IF(KJ110&gt;=0.45,VLOOKUP(Calculator!E23,tbSkills!DH3:DI6,2,FALSE)+IF(AND(Calculator!B8=TRUE,Backdoors!BI45=TRUE),VLOOKUP(Calculator!E23,tbSkills!DH3:DJ6,3,FALSE),0),0)))/100)),1))*IF(VLOOKUP(A110,tbMoveset!A2:K112,11,FALSE)=TRUE,Backdoors!AC5,1))*KK110,0),"")</f>
        <v/>
      </c>
      <c r="KO110" s="49">
        <f>VLOOKUP(A110,tbMoveset!A2:G112,7,FALSE)*IFERROR(IF(Backdoors!AI12&gt;=0,1+(IF(Calculator!E40&gt;0,VLOOKUP(Calculator!E40,tbSkills!AI3:AJ5,2,FALSE),Backdoors!AL4)*(IF((Backdoors!AI12+IF(KJ110&gt;=0.45,VLOOKUP(Calculator!E23,tbSkills!DH3:DI6,2,FALSE)+IF(AND(Calculator!B8=TRUE,Backdoors!BI45=TRUE),VLOOKUP(Calculator!E23,tbSkills!DH3:DJ6,3,FALSE),0),0))&gt;=100,100,(Backdoors!AI12+IF(KJ110&gt;=0.45,VLOOKUP(Calculator!E23,tbSkills!DH3:DI6,2,FALSE)+IF(AND(Calculator!B8=TRUE,Backdoors!BI45=TRUE),VLOOKUP(Calculator!E23,tbSkills!DH3:DJ6,3,FALSE),0),0)))/100)),1),1)</f>
        <v>1</v>
      </c>
      <c r="KP110" s="87">
        <f t="shared" si="93"/>
        <v>0</v>
      </c>
      <c r="KQ110" s="86" t="str">
        <f>IFERROR(IF(VLOOKUP(A110,tbMoveset!A2:B112,2,FALSE)="Sever",Backdoors!AY46/100,IF(VLOOKUP(A110,tbMoveset!A2:B112,2,FALSE)="Blunt",Backdoors!AZ46/100,Backdoors!BA46/100)),"")</f>
        <v/>
      </c>
      <c r="KR110" s="49">
        <f>IFERROR(IF(VLOOKUP(tbMoveset!A110,tbMoveset!A2:H112,8,FALSE)="Other",IF(VLOOKUP(tbMoveset!A110,tbMoveset!A2:I112,9,FALSE)="Fire",Backdoors!BB46,IF(VLOOKUP(tbMoveset!A110,tbMoveset!A2:I112,9,FALSE)="Water",Backdoors!BC46,IF(VLOOKUP(tbMoveset!A110,tbMoveset!A2:I112,9,FALSE)="Thunder",Backdoors!BD46,IF(VLOOKUP(tbMoveset!A110,tbMoveset!A2:I112,9,FALSE)="Ice",Backdoors!BE46,IF(VLOOKUP(tbMoveset!A110,tbMoveset!A2:I112,9,FALSE)="Dragon",Backdoors!BF46,Backdoors!BG46)))))/100,Backdoors!BG46/100),"")</f>
        <v>0</v>
      </c>
      <c r="KS110" s="49">
        <f>IFERROR(IF(VLOOKUP(A110,tbMoveset!A2:J112,10,FALSE)=TRUE,IF((Backdoors!AI12+IF(KQ110&gt;=0.45,VLOOKUP(Calculator!E23,tbSkills!DH3:DI6,2,FALSE)+IF(AND(Calculator!B8=TRUE,Backdoors!BI46=TRUE),VLOOKUP(Calculator!E23,tbSkills!DH3:DJ6,3,FALSE),0),0))&gt;=0,1+(Backdoors!AL2*(IF((Backdoors!AI12+IF(KQ110&gt;=0.45,VLOOKUP(Calculator!E23,tbSkills!DH3:DI6,2,FALSE)+IF(AND(Calculator!B8=TRUE,Backdoors!BI46=TRUE),VLOOKUP(Calculator!E23,tbSkills!DH3:DJ6,3,FALSE),0),0))&gt;=100,100,(Backdoors!AI12+IF(KQ110&gt;=0.45,VLOOKUP(Calculator!E23,tbSkills!DH3:DI6,2,FALSE)+IF(AND(Calculator!B8=TRUE,Backdoors!BI46=TRUE),VLOOKUP(Calculator!E23,tbSkills!DH3:DJ6,3,FALSE),0),0)))/100)),(1-(0.25*((-Backdoors!AI12-IF(KQ110&gt;=0.45,VLOOKUP(Calculator!E23,tbSkills!DH3:DI6,2,FALSE)+IF(AND(Calculator!B8=TRUE,Backdoors!BI46=TRUE),VLOOKUP(Calculator!E23,tbSkills!DH3:DJ6,3,FALSE),0),0))/100)))),1),"")</f>
        <v>1</v>
      </c>
      <c r="KT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KQ110)*KS110)*(VLOOKUP(A110,tbMoveset!A2:C112,3,FALSE)/100)*IF(VLOOKUP(A110,tbMoveset!A2:B112,2,FALSE)="Projectile",Backdoors!N10,Backdoors!N9),0),"")</f>
        <v/>
      </c>
      <c r="KU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REF!&gt;0,VLOOKUP(Calculator!#REF!,tbSkills!AC3:AD5,2,FALSE),Backdoors!AL3)*(IF((Backdoors!AI12+IF(KQ110&gt;=0.45,VLOOKUP(Calculator!E23,tbSkills!DH3:DI6,2,FALSE)+IF(AND(Calculator!B8=TRUE,Backdoors!BI46=TRUE),VLOOKUP(Calculator!E23,tbSkills!DH3:DJ6,3,FALSE),0),0))&gt;=100,100,(Backdoors!AI12+IF(KQ110&gt;=0.45,VLOOKUP(Calculator!E23,tbSkills!DH3:DI6,2,FALSE)+IF(AND(Calculator!B8=TRUE,Backdoors!BI46=TRUE),VLOOKUP(Calculator!E23,tbSkills!DH3:DJ6,3,FALSE),0),0)))/100)),1))*IF(VLOOKUP(A110,tbMoveset!A2:K112,11,FALSE)=TRUE,Backdoors!AC5,1))*KR110,0),"")</f>
        <v/>
      </c>
      <c r="KV110" s="49">
        <f>VLOOKUP(A110,tbMoveset!A2:G112,7,FALSE)*IFERROR(IF(Backdoors!AI12&gt;=0,1+(IF(Calculator!E40&gt;0,VLOOKUP(Calculator!E40,tbSkills!AI3:AJ5,2,FALSE),Backdoors!AL4)*(IF((Backdoors!AI12+IF(KQ110&gt;=0.45,VLOOKUP(Calculator!E23,tbSkills!DH3:DI6,2,FALSE)+IF(AND(Calculator!B8=TRUE,Backdoors!BI46=TRUE),VLOOKUP(Calculator!E23,tbSkills!DH3:DJ6,3,FALSE),0),0))&gt;=100,100,(Backdoors!AI12+IF(KQ110&gt;=0.45,VLOOKUP(Calculator!E23,tbSkills!DH3:DI6,2,FALSE)+IF(AND(Calculator!B8=TRUE,Backdoors!BI46=TRUE),VLOOKUP(Calculator!E23,tbSkills!DH3:DJ6,3,FALSE),0),0)))/100)),1),1)</f>
        <v>1</v>
      </c>
      <c r="KW110" s="87">
        <f t="shared" si="94"/>
        <v>0</v>
      </c>
    </row>
    <row r="111" spans="1:309" x14ac:dyDescent="0.25">
      <c r="A111" s="95" t="str">
        <f>tbMoveset!A111</f>
        <v>[Mounting] Demon Flurry (R Final)</v>
      </c>
      <c r="B111" s="86">
        <f>IFERROR(IF(VLOOKUP(A111,tbMoveset!A2:B112,2,FALSE)="Sever",Backdoors!AY3/100,IF(VLOOKUP(A111,tbMoveset!A2:B112,2,FALSE)="Blunt",Backdoors!AZ3/100,Backdoors!BA3/100)),"")</f>
        <v>0.8</v>
      </c>
      <c r="C111" s="49">
        <f>IFERROR(IF(VLOOKUP(tbMoveset!A111,tbMoveset!A2:H112,8,FALSE)="Other",IF(VLOOKUP(tbMoveset!A111,tbMoveset!A2:I112,9,FALSE)="Fire",Backdoors!BB3,IF(VLOOKUP(tbMoveset!A111,tbMoveset!A2:I112,9,FALSE)="Water",Backdoors!BC3,IF(VLOOKUP(tbMoveset!A111,tbMoveset!A2:I112,9,FALSE)="Thunder",Backdoors!BD3,IF(VLOOKUP(tbMoveset!A111,tbMoveset!A2:I112,9,FALSE)="Ice",Backdoors!BE3,IF(VLOOKUP(tbMoveset!A111,tbMoveset!A2:I112,9,FALSE)="Dragon",Backdoors!BF3,Backdoors!BG3)))))/100,Backdoors!BG3/100),"")</f>
        <v>0</v>
      </c>
      <c r="D111" s="49">
        <f>IFERROR(IF(VLOOKUP(A111,tbMoveset!A2:J112,10,FALSE)=TRUE,IF((Backdoors!AI12+IF(B111&gt;=0.45,VLOOKUP(Calculator!E23,tbSkills!DH3:DI6,2,FALSE)+IF(AND(Calculator!B8=TRUE,Backdoors!BI3=TRUE),VLOOKUP(Calculator!E23,tbSkills!DH3:DJ6,3,FALSE),0),0))&gt;=0,1+(Backdoors!AL2*(IF((Backdoors!AI12+IF(B111&gt;=0.45,VLOOKUP(Calculator!E23,tbSkills!DH3:DI6,2,FALSE)+IF(AND(Calculator!B8=TRUE,Backdoors!BI3=TRUE),VLOOKUP(Calculator!E23,tbSkills!DH3:DJ6,3,FALSE),0),0))&gt;=100,100,(Backdoors!AI12+IF(B111&gt;=0.45,VLOOKUP(Calculator!E23,tbSkills!DH3:DI6,2,FALSE)+IF(AND(Calculator!B8=TRUE,Backdoors!BI3=TRUE),VLOOKUP(Calculator!E23,tbSkills!DH3:DJ6,3,FALSE),0),0)))/100)),(1-(0.25*((-Backdoors!AI12-IF(B111&gt;=0.45,VLOOKUP(Calculator!E23,tbSkills!DH3:DI6,2,FALSE)+IF(AND(Calculator!B8=TRUE,Backdoors!BI3=TRUE),VLOOKUP(Calculator!E23,tbSkills!DH3:DJ6,3,FALSE),0),0))/100)))),1),"")</f>
        <v>1</v>
      </c>
      <c r="E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111)*D111)*(VLOOKUP(A111,tbMoveset!A2:C112,3,FALSE)/100)*IF(VLOOKUP(A111,tbMoveset!A2:B112,2,FALSE)="Projectile",Backdoors!N10,Backdoors!N9),0),"")</f>
        <v>15</v>
      </c>
      <c r="F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111&gt;=0.45,VLOOKUP(Calculator!E23,tbSkills!DH3:DI6,2,FALSE)+IF(AND(Calculator!B8=TRUE,Backdoors!BI3=TRUE),VLOOKUP(Calculator!E23,tbSkills!DH3:DJ6,3,FALSE),0),0))&gt;=100,100,(Backdoors!AI12+IF(B111&gt;=0.45,VLOOKUP(Calculator!E23,tbSkills!DH3:DI6,2,FALSE)+IF(AND(Calculator!B8=TRUE,Backdoors!BI3=TRUE),VLOOKUP(Calculator!E23,tbSkills!DH3:DJ6,3,FALSE),0),0)))/100)),1))*IF(VLOOKUP(A111,tbMoveset!A2:K112,11,FALSE)=TRUE,Backdoors!AC5,1))*C111,0),"")</f>
        <v>0</v>
      </c>
      <c r="G111">
        <f>VLOOKUP(A111,tbMoveset!A2:G112,7,FALSE)*IFERROR(IF(Backdoors!AI12&gt;=0,1+(IF(Calculator!E40&gt;0,VLOOKUP(Calculator!E40,tbSkills!AI3:AJ5,2,FALSE),Backdoors!AL4)*(IF((Backdoors!AI12+IF(B111&gt;=0.45,VLOOKUP(Calculator!E23,tbSkills!DH3:DI6,2,FALSE)+IF(AND(Calculator!B8=TRUE,Backdoors!BI3=TRUE),VLOOKUP(Calculator!E23,tbSkills!DH3:DJ6,3,FALSE),0),0))&gt;=100,100,(Backdoors!AI12+IF(B111&gt;=0.45,VLOOKUP(Calculator!E23,tbSkills!DH3:DI6,2,FALSE)+IF(AND(Calculator!B8=TRUE,Backdoors!BI3=TRUE),VLOOKUP(Calculator!E23,tbSkills!DH3:DJ6,3,FALSE),0),0)))/100)),1),1)</f>
        <v>1</v>
      </c>
      <c r="H111" s="87">
        <f t="shared" si="95"/>
        <v>15</v>
      </c>
      <c r="I111" s="86">
        <f>IFERROR(IF(VLOOKUP(A111,tbMoveset!A2:B112,2,FALSE)="Sever",Backdoors!AY4/100,IF(VLOOKUP(A111,tbMoveset!A2:B112,2,FALSE)="Blunt",Backdoors!AZ4/100,Backdoors!BA4/100)),"")</f>
        <v>0.65</v>
      </c>
      <c r="J111" s="49">
        <f>IFERROR(IF(VLOOKUP(tbMoveset!A111,tbMoveset!A2:H112,8,FALSE)="Other",IF(VLOOKUP(tbMoveset!A111,tbMoveset!A2:I112,9,FALSE)="Fire",Backdoors!BB4,IF(VLOOKUP(tbMoveset!A111,tbMoveset!A2:I112,9,FALSE)="Water",Backdoors!BC4,IF(VLOOKUP(tbMoveset!A111,tbMoveset!A2:I112,9,FALSE)="Thunder",Backdoors!BD4,IF(VLOOKUP(tbMoveset!A111,tbMoveset!A2:I112,9,FALSE)="Ice",Backdoors!BE4,IF(VLOOKUP(tbMoveset!A111,tbMoveset!A2:I112,9,FALSE)="Dragon",Backdoors!BF4,Backdoors!BG4)))))/100,Backdoors!BG4/100),"")</f>
        <v>0</v>
      </c>
      <c r="K111" s="49">
        <f>IFERROR(IF(VLOOKUP(A111,tbMoveset!A2:J112,10,FALSE)=TRUE,IF((Backdoors!AI12+IF(I111&gt;=0.45,VLOOKUP(Calculator!E23,tbSkills!DH3:DI6,2,FALSE)+IF(AND(Calculator!B8=TRUE,Backdoors!BI4=TRUE),VLOOKUP(Calculator!E23,tbSkills!DH3:DJ6,3,FALSE),0),0))&gt;=0,1+(Backdoors!AL2*(IF((Backdoors!AI12+IF(I111&gt;=0.45,VLOOKUP(Calculator!E23,tbSkills!DH3:DI6,2,FALSE)+IF(AND(Calculator!B8=TRUE,Backdoors!BI4=TRUE),VLOOKUP(Calculator!E23,tbSkills!DH3:DJ6,3,FALSE),0),0))&gt;=100,100,(Backdoors!AI12+IF(I111&gt;=0.45,VLOOKUP(Calculator!E23,tbSkills!DH3:DI6,2,FALSE)+IF(AND(Calculator!B8=TRUE,Backdoors!BI4=TRUE),VLOOKUP(Calculator!E23,tbSkills!DH3:DJ6,3,FALSE),0),0)))/100)),(1-(0.25*((-Backdoors!AI12-IF(I111&gt;=0.45,VLOOKUP(Calculator!E23,tbSkills!DH3:DI6,2,FALSE)+IF(AND(Calculator!B8=TRUE,Backdoors!BI4=TRUE),VLOOKUP(Calculator!E23,tbSkills!DH3:DJ6,3,FALSE),0),0))/100)))),1),"")</f>
        <v>1</v>
      </c>
      <c r="L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111)*K111)*(VLOOKUP(A111,tbMoveset!A2:C112,3,FALSE)/100)*IF(VLOOKUP(A111,tbMoveset!A2:B112,2,FALSE)="Projectile",Backdoors!N10,Backdoors!N9),0),"")</f>
        <v>13</v>
      </c>
      <c r="M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I111&gt;=0.45,VLOOKUP(Calculator!E23,tbSkills!DH3:DI6,2,FALSE)+IF(AND(Calculator!B8=TRUE,Backdoors!BI4=TRUE),VLOOKUP(Calculator!E23,tbSkills!DH3:DJ6,3,FALSE),0),0))&gt;=100,100,(Backdoors!AI12+IF(I111&gt;=0.45,VLOOKUP(Calculator!E23,tbSkills!DH3:DI6,2,FALSE)+IF(AND(Calculator!B8=TRUE,Backdoors!BI4=TRUE),VLOOKUP(Calculator!E23,tbSkills!DH3:DJ6,3,FALSE),0),0)))/100)),1))*IF(VLOOKUP(A111,tbMoveset!A2:K112,11,FALSE)=TRUE,Backdoors!AC5,1))*J111,0),"")</f>
        <v>0</v>
      </c>
      <c r="N111" s="49">
        <f>VLOOKUP(A111,tbMoveset!A2:G112,7,FALSE)*IFERROR(IF(Backdoors!AI12&gt;=0,1+(IF(Calculator!E40&gt;0,VLOOKUP(Calculator!E40,tbSkills!AI3:AJ5,2,FALSE),Backdoors!AL4)*(IF((Backdoors!AI12+IF(I111&gt;=0.45,VLOOKUP(Calculator!E23,tbSkills!DH3:DI6,2,FALSE)+IF(AND(Calculator!B8=TRUE,Backdoors!BI4=TRUE),VLOOKUP(Calculator!E23,tbSkills!DH3:DJ6,3,FALSE),0),0))&gt;=100,100,(Backdoors!AI12+IF(I111&gt;=0.45,VLOOKUP(Calculator!E23,tbSkills!DH3:DI6,2,FALSE)+IF(AND(Calculator!B8=TRUE,Backdoors!BI4=TRUE),VLOOKUP(Calculator!E23,tbSkills!DH3:DJ6,3,FALSE),0),0)))/100)),1),1)</f>
        <v>1</v>
      </c>
      <c r="O111" s="87">
        <f t="shared" si="96"/>
        <v>13</v>
      </c>
      <c r="P111" s="86">
        <f>IFERROR(IF(VLOOKUP(A111,tbMoveset!A2:B112,2,FALSE)="Sever",Backdoors!AY5/100,IF(VLOOKUP(A111,tbMoveset!A2:B112,2,FALSE)="Blunt",Backdoors!AZ5/100,Backdoors!BA5/100)),"")</f>
        <v>0.5</v>
      </c>
      <c r="Q111" s="49">
        <f>IFERROR(IF(VLOOKUP(tbMoveset!A111,tbMoveset!A2:H112,8,FALSE)="Other",IF(VLOOKUP(tbMoveset!A111,tbMoveset!A2:I112,9,FALSE)="Fire",Backdoors!BB5,IF(VLOOKUP(tbMoveset!A111,tbMoveset!A2:I112,9,FALSE)="Water",Backdoors!BC5,IF(VLOOKUP(tbMoveset!A111,tbMoveset!A2:I112,9,FALSE)="Thunder",Backdoors!BD5,IF(VLOOKUP(tbMoveset!A111,tbMoveset!A2:I112,9,FALSE)="Ice",Backdoors!BE5,IF(VLOOKUP(tbMoveset!A111,tbMoveset!A2:I112,9,FALSE)="Dragon",Backdoors!BF5,Backdoors!BG5)))))/100,Backdoors!BG5/100),"")</f>
        <v>0</v>
      </c>
      <c r="R111" s="49">
        <f>IFERROR(IF(VLOOKUP(A111,tbMoveset!A2:J112,10,FALSE)=TRUE,IF((Backdoors!AI12+IF(P111&gt;=0.45,VLOOKUP(Calculator!E23,tbSkills!DH3:DI6,2,FALSE)+IF(AND(Calculator!B8=TRUE,Backdoors!BI5=TRUE),VLOOKUP(Calculator!E23,tbSkills!DH3:DJ6,3,FALSE),0),0))&gt;=0,1+(Backdoors!AL2*(IF((Backdoors!AI12+IF(P111&gt;=0.45,VLOOKUP(Calculator!E23,tbSkills!DH3:DI6,2,FALSE)+IF(AND(Calculator!B8=TRUE,Backdoors!BI5=TRUE),VLOOKUP(Calculator!E23,tbSkills!DH3:DJ6,3,FALSE),0),0))&gt;=100,100,(Backdoors!AI12+IF(P111&gt;=0.45,VLOOKUP(Calculator!E23,tbSkills!DH3:DI6,2,FALSE)+IF(AND(Calculator!B8=TRUE,Backdoors!BI5=TRUE),VLOOKUP(Calculator!E23,tbSkills!DH3:DJ6,3,FALSE),0),0)))/100)),(1-(0.25*((-Backdoors!AI12-IF(P111&gt;=0.45,VLOOKUP(Calculator!E23,tbSkills!DH3:DI6,2,FALSE)+IF(AND(Calculator!B8=TRUE,Backdoors!BI5=TRUE),VLOOKUP(Calculator!E23,tbSkills!DH3:DJ6,3,FALSE),0),0))/100)))),1),"")</f>
        <v>1</v>
      </c>
      <c r="S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P111)*R111)*(VLOOKUP(A111,tbMoveset!A2:C112,3,FALSE)/100)*IF(VLOOKUP(A111,tbMoveset!A2:B112,2,FALSE)="Projectile",Backdoors!N10,Backdoors!N9),0),"")</f>
        <v>10</v>
      </c>
      <c r="T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P111&gt;=0.45,VLOOKUP(Calculator!E23,tbSkills!DH3:DI6,2,FALSE)+IF(AND(Calculator!B8=TRUE,Backdoors!BI5=TRUE),VLOOKUP(Calculator!E23,tbSkills!DH3:DJ6,3,FALSE),0),0))&gt;=100,100,(Backdoors!AI12+IF(P111&gt;=0.45,VLOOKUP(Calculator!E23,tbSkills!DH3:DI6,2,FALSE)+IF(AND(Calculator!B8=TRUE,Backdoors!BI5=TRUE),VLOOKUP(Calculator!E23,tbSkills!DH3:DJ6,3,FALSE),0),0)))/100)),1))*IF(VLOOKUP(A111,tbMoveset!A2:K112,11,FALSE)=TRUE,Backdoors!AC5,1))*Q111,0),"")</f>
        <v>0</v>
      </c>
      <c r="U111" s="49">
        <f>VLOOKUP(A111,tbMoveset!A2:G112,7,FALSE)*IFERROR(IF(Backdoors!AI12&gt;=0,1+(IF(Calculator!E40&gt;0,VLOOKUP(Calculator!E40,tbSkills!AI3:AJ5,2,FALSE),Backdoors!AL4)*(IF((Backdoors!AI12+IF(P111&gt;=0.45,VLOOKUP(Calculator!E23,tbSkills!DH3:DI6,2,FALSE)+IF(AND(Calculator!B8=TRUE,Backdoors!BI5=TRUE),VLOOKUP(Calculator!E23,tbSkills!DH3:DJ6,3,FALSE),0),0))&gt;=100,100,(Backdoors!AI12+IF(P111&gt;=0.45,VLOOKUP(Calculator!E23,tbSkills!DH3:DI6,2,FALSE)+IF(AND(Calculator!B8=TRUE,Backdoors!BI5=TRUE),VLOOKUP(Calculator!E23,tbSkills!DH3:DJ6,3,FALSE),0),0)))/100)),1),1)</f>
        <v>1</v>
      </c>
      <c r="V111" s="87">
        <f t="shared" si="53"/>
        <v>10</v>
      </c>
      <c r="W111" s="86">
        <f>IFERROR(IF(VLOOKUP(A111,tbMoveset!A2:B112,2,FALSE)="Sever",Backdoors!AY6/100,IF(VLOOKUP(A111,tbMoveset!A2:B112,2,FALSE)="Blunt",Backdoors!AZ6/100,Backdoors!BA6/100)),"")</f>
        <v>0.45</v>
      </c>
      <c r="X111" s="49">
        <f>IFERROR(IF(VLOOKUP(tbMoveset!A111,tbMoveset!A2:H112,8,FALSE)="Other",IF(VLOOKUP(tbMoveset!A111,tbMoveset!A2:I112,9,FALSE)="Fire",Backdoors!BB6,IF(VLOOKUP(tbMoveset!A111,tbMoveset!A2:I112,9,FALSE)="Water",Backdoors!BC6,IF(VLOOKUP(tbMoveset!A111,tbMoveset!A2:I112,9,FALSE)="Thunder",Backdoors!BD6,IF(VLOOKUP(tbMoveset!A111,tbMoveset!A2:I112,9,FALSE)="Ice",Backdoors!BE6,IF(VLOOKUP(tbMoveset!A111,tbMoveset!A2:I112,9,FALSE)="Dragon",Backdoors!BF6,Backdoors!BG6)))))/100,Backdoors!BG6/100),"")</f>
        <v>0</v>
      </c>
      <c r="Y111" s="49">
        <f>IFERROR(IF(VLOOKUP(A111,tbMoveset!A2:J112,10,FALSE)=TRUE,IF((Backdoors!AI12+IF(W111&gt;=0.45,VLOOKUP(Calculator!E23,tbSkills!DH3:DI6,2,FALSE)+IF(AND(Calculator!B8=TRUE,Backdoors!BI6=TRUE),VLOOKUP(Calculator!E23,tbSkills!DH3:DJ6,3,FALSE),0),0))&gt;=0,1+(Backdoors!AL2*(IF((Backdoors!AI12+IF(W111&gt;=0.45,VLOOKUP(Calculator!E23,tbSkills!DH3:DI6,2,FALSE)+IF(AND(Calculator!B8=TRUE,Backdoors!BI6=TRUE),VLOOKUP(Calculator!E23,tbSkills!DH3:DJ6,3,FALSE),0),0))&gt;=100,100,(Backdoors!AI12+IF(W111&gt;=0.45,VLOOKUP(Calculator!E23,tbSkills!DH3:DI6,2,FALSE)+IF(AND(Calculator!B8=TRUE,Backdoors!BI6=TRUE),VLOOKUP(Calculator!E23,tbSkills!DH3:DJ6,3,FALSE),0),0)))/100)),(1-(0.25*((-Backdoors!AI12-IF(W111&gt;=0.45,VLOOKUP(Calculator!E23,tbSkills!DH3:DI6,2,FALSE)+IF(AND(Calculator!B8=TRUE,Backdoors!BI6=TRUE),VLOOKUP(Calculator!E23,tbSkills!DH3:DJ6,3,FALSE),0),0))/100)))),1),"")</f>
        <v>1</v>
      </c>
      <c r="Z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W111)*Y111)*(VLOOKUP(A111,tbMoveset!A2:C112,3,FALSE)/100)*IF(VLOOKUP(A111,tbMoveset!A2:B112,2,FALSE)="Projectile",Backdoors!N10,Backdoors!N9),0),"")</f>
        <v>9</v>
      </c>
      <c r="AA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W111&gt;=0.45,VLOOKUP(Calculator!E23,tbSkills!DH3:DI6,2,FALSE)+IF(AND(Calculator!B8=TRUE,Backdoors!BI6=TRUE),VLOOKUP(Calculator!E23,tbSkills!DH3:DJ6,3,FALSE),0),0))&gt;=100,100,(Backdoors!AI12+IF(W111&gt;=0.45,VLOOKUP(Calculator!E23,tbSkills!DH3:DI6,2,FALSE)+IF(AND(Calculator!B8=TRUE,Backdoors!BI6=TRUE),VLOOKUP(Calculator!E23,tbSkills!DH3:DJ6,3,FALSE),0),0)))/100)),1))*IF(VLOOKUP(A111,tbMoveset!A2:K112,11,FALSE)=TRUE,Backdoors!AC5,1))*X111,0),"")</f>
        <v>0</v>
      </c>
      <c r="AB111" s="49">
        <f>VLOOKUP(A111,tbMoveset!A2:G112,7,FALSE)*IFERROR(IF(Backdoors!AI12&gt;=0,1+(IF(Calculator!E40&gt;0,VLOOKUP(Calculator!E40,tbSkills!AI3:AJ5,2,FALSE),Backdoors!AL4)*(IF((Backdoors!AI12+IF(W111&gt;=0.45,VLOOKUP(Calculator!E23,tbSkills!DH3:DI6,2,FALSE)+IF(AND(Calculator!B8=TRUE,Backdoors!BI6=TRUE),VLOOKUP(Calculator!E23,tbSkills!DH3:DJ6,3,FALSE),0),0))&gt;=100,100,(Backdoors!AI12+IF(W111&gt;=0.45,VLOOKUP(Calculator!E23,tbSkills!DH3:DI6,2,FALSE)+IF(AND(Calculator!B8=TRUE,Backdoors!BI6=TRUE),VLOOKUP(Calculator!E23,tbSkills!DH3:DJ6,3,FALSE),0),0)))/100)),1),1)</f>
        <v>1</v>
      </c>
      <c r="AC111" s="87">
        <f t="shared" si="54"/>
        <v>9</v>
      </c>
      <c r="AD111" s="86">
        <f>IFERROR(IF(VLOOKUP(A111,tbMoveset!A2:B112,2,FALSE)="Sever",Backdoors!AY7/100,IF(VLOOKUP(A111,tbMoveset!A2:B112,2,FALSE)="Blunt",Backdoors!AZ7/100,Backdoors!BA7/100)),"")</f>
        <v>0.65</v>
      </c>
      <c r="AE111" s="49">
        <f>IFERROR(IF(VLOOKUP(tbMoveset!A111,tbMoveset!A2:H112,8,FALSE)="Other",IF(VLOOKUP(tbMoveset!A111,tbMoveset!A2:I112,9,FALSE)="Fire",Backdoors!BB7,IF(VLOOKUP(tbMoveset!A111,tbMoveset!A2:I112,9,FALSE)="Water",Backdoors!BC7,IF(VLOOKUP(tbMoveset!A111,tbMoveset!A2:I112,9,FALSE)="Thunder",Backdoors!BD7,IF(VLOOKUP(tbMoveset!A111,tbMoveset!A2:I112,9,FALSE)="Ice",Backdoors!BE7,IF(VLOOKUP(tbMoveset!A111,tbMoveset!A2:I112,9,FALSE)="Dragon",Backdoors!BF7,Backdoors!BG7)))))/100,Backdoors!BG7/100),"")</f>
        <v>0</v>
      </c>
      <c r="AF111" s="49">
        <f>IFERROR(IF(VLOOKUP(A111,tbMoveset!A2:J112,10,FALSE)=TRUE,IF((Backdoors!AI12+IF(AD111&gt;=0.45,VLOOKUP(Calculator!E23,tbSkills!DH3:DI6,2,FALSE)+IF(AND(Calculator!B8=TRUE,Backdoors!BI7=TRUE),VLOOKUP(Calculator!E23,tbSkills!DH3:DJ6,3,FALSE),0),0))&gt;=0,1+(Backdoors!AL2*(IF((Backdoors!AI12+IF(AD111&gt;=0.45,VLOOKUP(Calculator!E23,tbSkills!DH3:DI6,2,FALSE)+IF(AND(Calculator!B8=TRUE,Backdoors!BI7=TRUE),VLOOKUP(Calculator!E23,tbSkills!DH3:DJ6,3,FALSE),0),0))&gt;=100,100,(Backdoors!AI12+IF(AD111&gt;=0.45,VLOOKUP(Calculator!E23,tbSkills!DH3:DI6,2,FALSE)+IF(AND(Calculator!B8=TRUE,Backdoors!BI7=TRUE),VLOOKUP(Calculator!E23,tbSkills!DH3:DJ6,3,FALSE),0),0)))/100)),(1-(0.25*((-Backdoors!AI12-IF(AD111&gt;=0.45,VLOOKUP(Calculator!E23,tbSkills!DH3:DI6,2,FALSE)+IF(AND(Calculator!B8=TRUE,Backdoors!BI7=TRUE),VLOOKUP(Calculator!E23,tbSkills!DH3:DJ6,3,FALSE),0),0))/100)))),1),"")</f>
        <v>1</v>
      </c>
      <c r="AG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D111)*AF111)*(VLOOKUP(A111,tbMoveset!A2:C112,3,FALSE)/100)*IF(VLOOKUP(A111,tbMoveset!A2:B112,2,FALSE)="Projectile",Backdoors!N10,Backdoors!N9),0),"")</f>
        <v>13</v>
      </c>
      <c r="AH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D111&gt;=0.45,VLOOKUP(Calculator!E23,tbSkills!DH3:DI6,2,FALSE)+IF(AND(Calculator!B8=TRUE,Backdoors!BI7=TRUE),VLOOKUP(Calculator!E23,tbSkills!DH3:DJ6,3,FALSE),0),0))&gt;=100,100,(Backdoors!AI12+IF(AD111&gt;=0.45,VLOOKUP(Calculator!E23,tbSkills!DH3:DI6,2,FALSE)+IF(AND(Calculator!B8=TRUE,Backdoors!BI7=TRUE),VLOOKUP(Calculator!E23,tbSkills!DH3:DJ6,3,FALSE),0),0)))/100)),1))*IF(VLOOKUP(A111,tbMoveset!A2:K112,11,FALSE)=TRUE,Backdoors!AC5,1))*AE111,0),"")</f>
        <v>0</v>
      </c>
      <c r="AI111" s="49">
        <f>VLOOKUP(A111,tbMoveset!A2:G112,7,FALSE)*IFERROR(IF(Backdoors!AI12&gt;=0,1+(IF(Calculator!E40&gt;0,VLOOKUP(Calculator!E40,tbSkills!AI3:AJ5,2,FALSE),Backdoors!AL4)*(IF((Backdoors!AI12+IF(AD111&gt;=0.45,VLOOKUP(Calculator!E23,tbSkills!DH3:DI6,2,FALSE)+IF(AND(Calculator!B8=TRUE,Backdoors!BI7=TRUE),VLOOKUP(Calculator!E23,tbSkills!DH3:DJ6,3,FALSE),0),0))&gt;=100,100,(Backdoors!AI12+IF(AD111&gt;=0.45,VLOOKUP(Calculator!E23,tbSkills!DH3:DI6,2,FALSE)+IF(AND(Calculator!B8=TRUE,Backdoors!BI7=TRUE),VLOOKUP(Calculator!E23,tbSkills!DH3:DJ6,3,FALSE),0),0)))/100)),1),1)</f>
        <v>1</v>
      </c>
      <c r="AJ111" s="87">
        <f t="shared" si="55"/>
        <v>13</v>
      </c>
      <c r="AK111" s="91">
        <f>IFERROR(IF(VLOOKUP(A111,tbMoveset!A2:B112,2,FALSE)="Sever",Backdoors!AY8/100,IF(VLOOKUP(A111,tbMoveset!A2:B112,2,FALSE)="Blunt",Backdoors!AZ8/100,Backdoors!BA8/100)),"")</f>
        <v>0.45</v>
      </c>
      <c r="AL111" s="49">
        <f>IFERROR(IF(VLOOKUP(tbMoveset!A111,tbMoveset!A2:H112,8,FALSE)="Other",IF(VLOOKUP(tbMoveset!A111,tbMoveset!A2:I112,9,FALSE)="Fire",Backdoors!BB8,IF(VLOOKUP(tbMoveset!A111,tbMoveset!A2:I112,9,FALSE)="Water",Backdoors!BC8,IF(VLOOKUP(tbMoveset!A111,tbMoveset!A2:I112,9,FALSE)="Thunder",Backdoors!BD8,IF(VLOOKUP(tbMoveset!A111,tbMoveset!A2:I112,9,FALSE)="Ice",Backdoors!BE8,IF(VLOOKUP(tbMoveset!A111,tbMoveset!A2:I112,9,FALSE)="Dragon",Backdoors!BF8,Backdoors!BG8)))))/100,Backdoors!BG8/100),"")</f>
        <v>0</v>
      </c>
      <c r="AM111" s="49">
        <f>IFERROR(IF(VLOOKUP(A111,tbMoveset!A2:J112,10,FALSE)=TRUE,IF((Backdoors!AI12+IF(AK111&gt;=0.45,VLOOKUP(Calculator!E23,tbSkills!DH3:DI6,2,FALSE)+IF(AND(Calculator!B8=TRUE,Backdoors!BI8=TRUE),VLOOKUP(Calculator!E23,tbSkills!DH3:DJ6,3,FALSE),0),0))&gt;=0,1+(Backdoors!AL2*(IF((Backdoors!AI12+IF(AK111&gt;=0.45,VLOOKUP(Calculator!E23,tbSkills!DH3:DI6,2,FALSE)+IF(AND(Calculator!B8=TRUE,Backdoors!BI8=TRUE),VLOOKUP(Calculator!E23,tbSkills!DH3:DJ6,3,FALSE),0),0))&gt;=100,100,(Backdoors!AI12+IF(AK111&gt;=0.45,VLOOKUP(Calculator!E23,tbSkills!DH3:DI6,2,FALSE)+IF(AND(Calculator!B8=TRUE,Backdoors!BI8=TRUE),VLOOKUP(Calculator!E23,tbSkills!DH3:DJ6,3,FALSE),0),0)))/100)),(1-(0.25*((-Backdoors!AI12-IF(AK111&gt;=0.45,VLOOKUP(Calculator!E23,tbSkills!DH3:DI6,2,FALSE)+IF(AND(Calculator!B8=TRUE,Backdoors!BI8=TRUE),VLOOKUP(Calculator!E23,tbSkills!DH3:DJ6,3,FALSE),0),0))/100)))),1),"")</f>
        <v>1</v>
      </c>
      <c r="AN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K111)*AM111)*(VLOOKUP(A111,tbMoveset!A2:C112,3,FALSE)/100)*IF(VLOOKUP(A111,tbMoveset!A2:B112,2,FALSE)="Projectile",Backdoors!N10,Backdoors!N9),0),"")</f>
        <v>9</v>
      </c>
      <c r="AO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K111&gt;=0.45,VLOOKUP(Calculator!E23,tbSkills!DH3:DI6,2,FALSE)+IF(AND(Calculator!B8=TRUE,Backdoors!BI8=TRUE),VLOOKUP(Calculator!E23,tbSkills!DH3:DJ6,3,FALSE),0),0))&gt;=100,100,(Backdoors!AI12+IF(AK111&gt;=0.45,VLOOKUP(Calculator!E23,tbSkills!DH3:DI6,2,FALSE)+IF(AND(Calculator!B8=TRUE,Backdoors!BI8=TRUE),VLOOKUP(Calculator!E23,tbSkills!DH3:DJ6,3,FALSE),0),0)))/100)),1))*IF(VLOOKUP(A111,tbMoveset!A2:K112,11,FALSE)=TRUE,Backdoors!AC5,1))*AL111,0),"")</f>
        <v>0</v>
      </c>
      <c r="AP111" s="49">
        <f>VLOOKUP(A111,tbMoveset!A2:G112,7,FALSE)*IFERROR(IF(Backdoors!AI12&gt;=0,1+(IF(Calculator!E40&gt;0,VLOOKUP(Calculator!E40,tbSkills!AI3:AJ5,2,FALSE),Backdoors!AL4)*(IF((Backdoors!AI12+IF(AK111&gt;=0.45,VLOOKUP(Calculator!E23,tbSkills!DH3:DI6,2,FALSE)+IF(AND(Calculator!B8=TRUE,Backdoors!BI8=TRUE),VLOOKUP(Calculator!E23,tbSkills!DH3:DJ6,3,FALSE),0),0))&gt;=100,100,(Backdoors!AI12+IF(AK111&gt;=0.45,VLOOKUP(Calculator!E23,tbSkills!DH3:DI6,2,FALSE)+IF(AND(Calculator!B8=TRUE,Backdoors!BI8=TRUE),VLOOKUP(Calculator!E23,tbSkills!DH3:DJ6,3,FALSE),0),0)))/100)),1),1)</f>
        <v>1</v>
      </c>
      <c r="AQ111" s="87">
        <f t="shared" si="56"/>
        <v>9</v>
      </c>
      <c r="AR111" s="86">
        <f>IFERROR(IF(VLOOKUP(A111,tbMoveset!A2:B112,2,FALSE)="Sever",Backdoors!AY9/100,IF(VLOOKUP(A111,tbMoveset!A2:B112,2,FALSE)="Blunt",Backdoors!AZ9/100,Backdoors!BA9/100)),"")</f>
        <v>0.45</v>
      </c>
      <c r="AS111" s="49">
        <f>IFERROR(IF(VLOOKUP(tbMoveset!A111,tbMoveset!A2:H112,8,FALSE)="Other",IF(VLOOKUP(tbMoveset!A111,tbMoveset!A2:I112,9,FALSE)="Fire",Backdoors!BB9,IF(VLOOKUP(tbMoveset!A111,tbMoveset!A2:I112,9,FALSE)="Water",Backdoors!BC9,IF(VLOOKUP(tbMoveset!A111,tbMoveset!A2:I112,9,FALSE)="Thunder",Backdoors!BD9,IF(VLOOKUP(tbMoveset!A111,tbMoveset!A2:I112,9,FALSE)="Ice",Backdoors!BE9,IF(VLOOKUP(tbMoveset!A111,tbMoveset!A2:I112,9,FALSE)="Dragon",Backdoors!BF9,Backdoors!BG9)))))/100,Backdoors!BG9/100),"")</f>
        <v>0</v>
      </c>
      <c r="AT111" s="49">
        <f>IFERROR(IF(VLOOKUP(A111,tbMoveset!A2:J112,10,FALSE)=TRUE,IF((Backdoors!AI12+IF(AR111&gt;=0.45,VLOOKUP(Calculator!E23,tbSkills!DH3:DI6,2,FALSE)+IF(AND(Calculator!B8=TRUE,Backdoors!BI9=TRUE),VLOOKUP(Calculator!E23,tbSkills!DH3:DJ6,3,FALSE),0),0))&gt;=0,1+(Backdoors!AL2*(IF((Backdoors!AI12+IF(AR111&gt;=0.45,VLOOKUP(Calculator!E23,tbSkills!DH3:DI6,2,FALSE)+IF(AND(Calculator!B8=TRUE,Backdoors!BI9=TRUE),VLOOKUP(Calculator!E23,tbSkills!DH3:DJ6,3,FALSE),0),0))&gt;=100,100,(Backdoors!AI12+IF(AR111&gt;=0.45,VLOOKUP(Calculator!E23,tbSkills!DH3:DI6,2,FALSE)+IF(AND(Calculator!B8=TRUE,Backdoors!BI9=TRUE),VLOOKUP(Calculator!E23,tbSkills!DH3:DJ6,3,FALSE),0),0)))/100)),(1-(0.25*((-Backdoors!AI12-IF(AR111&gt;=0.45,VLOOKUP(Calculator!E23,tbSkills!DH3:DI6,2,FALSE)+IF(AND(Calculator!B8=TRUE,Backdoors!BI9=TRUE),VLOOKUP(Calculator!E23,tbSkills!DH3:DJ6,3,FALSE),0),0))/100)))),1),"")</f>
        <v>1</v>
      </c>
      <c r="AU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R111)*AT111)*(VLOOKUP(A111,tbMoveset!A2:C112,3,FALSE)/100)*IF(VLOOKUP(A111,tbMoveset!A2:B112,2,FALSE)="Projectile",Backdoors!N10,Backdoors!N9),0),"")</f>
        <v>9</v>
      </c>
      <c r="AV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R111&gt;=0.45,VLOOKUP(Calculator!E23,tbSkills!DH3:DI6,2,FALSE)+IF(AND(Calculator!B8=TRUE,Backdoors!BI9=TRUE),VLOOKUP(Calculator!E23,tbSkills!DH3:DJ6,3,FALSE),0),0))&gt;=100,100,(Backdoors!AI12+IF(AR111&gt;=0.45,VLOOKUP(Calculator!E23,tbSkills!DH3:DI6,2,FALSE)+IF(AND(Calculator!B8=TRUE,Backdoors!BI9=TRUE),VLOOKUP(Calculator!E23,tbSkills!DH3:DJ6,3,FALSE),0),0)))/100)),1))*IF(VLOOKUP(A111,tbMoveset!A2:K112,11,FALSE)=TRUE,Backdoors!AC5,1))*AS111,0),"")</f>
        <v>0</v>
      </c>
      <c r="AW111" s="49">
        <f>VLOOKUP(A111,tbMoveset!A2:G112,7,FALSE)*IFERROR(IF(Backdoors!AI12&gt;=0,1+(IF(Calculator!E40&gt;0,VLOOKUP(Calculator!E40,tbSkills!AI3:AJ5,2,FALSE),Backdoors!AL4)*(IF((Backdoors!AI12+IF(AR111&gt;=0.45,VLOOKUP(Calculator!E23,tbSkills!DH3:DI6,2,FALSE)+IF(AND(Calculator!B8=TRUE,Backdoors!BI9=TRUE),VLOOKUP(Calculator!E23,tbSkills!DH3:DJ6,3,FALSE),0),0))&gt;=100,100,(Backdoors!AI12+IF(AR111&gt;=0.45,VLOOKUP(Calculator!E23,tbSkills!DH3:DI6,2,FALSE)+IF(AND(Calculator!B8=TRUE,Backdoors!BI9=TRUE),VLOOKUP(Calculator!E23,tbSkills!DH3:DJ6,3,FALSE),0),0)))/100)),1),1)</f>
        <v>1</v>
      </c>
      <c r="AX111" s="87">
        <f t="shared" si="57"/>
        <v>9</v>
      </c>
      <c r="AY111" s="86">
        <f>IFERROR(IF(VLOOKUP(A111,tbMoveset!A2:B112,2,FALSE)="Sever",Backdoors!AY10/100,IF(VLOOKUP(A111,tbMoveset!A2:B112,2,FALSE)="Blunt",Backdoors!AZ10/100,Backdoors!BA10/100)),"")</f>
        <v>0.9</v>
      </c>
      <c r="AZ111" s="49">
        <f>IFERROR(IF(VLOOKUP(tbMoveset!A111,tbMoveset!A2:H112,8,FALSE)="Other",IF(VLOOKUP(tbMoveset!A111,tbMoveset!A2:I112,9,FALSE)="Fire",Backdoors!BB10,IF(VLOOKUP(tbMoveset!A111,tbMoveset!A2:I112,9,FALSE)="Water",Backdoors!BC10,IF(VLOOKUP(tbMoveset!A111,tbMoveset!A2:I112,9,FALSE)="Thunder",Backdoors!BD10,IF(VLOOKUP(tbMoveset!A111,tbMoveset!A2:I112,9,FALSE)="Ice",Backdoors!BE10,IF(VLOOKUP(tbMoveset!A111,tbMoveset!A2:I112,9,FALSE)="Dragon",Backdoors!BF10,Backdoors!BG10)))))/100,Backdoors!BG10/100),"")</f>
        <v>0</v>
      </c>
      <c r="BA111" s="49">
        <f>IFERROR(IF(VLOOKUP(A111,tbMoveset!A2:J112,10,FALSE)=TRUE,IF((Backdoors!AI12+IF(AY111&gt;=0.45,VLOOKUP(Calculator!E23,tbSkills!DH3:DI6,2,FALSE)+IF(AND(Calculator!B8=TRUE,Backdoors!BI10=TRUE),VLOOKUP(Calculator!E23,tbSkills!DH3:DJ6,3,FALSE),0),0))&gt;=0,1+(Backdoors!AL2*(IF((Backdoors!AI12+IF(AY111&gt;=0.45,VLOOKUP(Calculator!E23,tbSkills!DH3:DI6,2,FALSE)+IF(AND(Calculator!B8=TRUE,Backdoors!BI10=TRUE),VLOOKUP(Calculator!E23,tbSkills!DH3:DJ6,3,FALSE),0),0))&gt;=100,100,(Backdoors!AI12+IF(AY111&gt;=0.45,VLOOKUP(Calculator!E23,tbSkills!DH3:DI6,2,FALSE)+IF(AND(Calculator!B8=TRUE,Backdoors!BI10=TRUE),VLOOKUP(Calculator!E23,tbSkills!DH3:DJ6,3,FALSE),0),0)))/100)),(1-(0.25*((-Backdoors!AI12-IF(AY111&gt;=0.45,VLOOKUP(Calculator!E23,tbSkills!DH3:DI6,2,FALSE)+IF(AND(Calculator!B8=TRUE,Backdoors!BI10=TRUE),VLOOKUP(Calculator!E23,tbSkills!DH3:DJ6,3,FALSE),0),0))/100)))),1),"")</f>
        <v>1</v>
      </c>
      <c r="BB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Y111)*BA111)*(VLOOKUP(A111,tbMoveset!A2:C112,3,FALSE)/100)*IF(VLOOKUP(A111,tbMoveset!A2:B112,2,FALSE)="Projectile",Backdoors!N10,Backdoors!N9),0),"")</f>
        <v>17</v>
      </c>
      <c r="BC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Y111&gt;=0.45,VLOOKUP(Calculator!E23,tbSkills!DH3:DI6,2,FALSE)+IF(AND(Calculator!B8=TRUE,Backdoors!BI10=TRUE),VLOOKUP(Calculator!E23,tbSkills!DH3:DJ6,3,FALSE),0),0))&gt;=100,100,(Backdoors!AI12+IF(AY111&gt;=0.45,VLOOKUP(Calculator!E23,tbSkills!DH3:DI6,2,FALSE)+IF(AND(Calculator!B8=TRUE,Backdoors!BI10=TRUE),VLOOKUP(Calculator!E23,tbSkills!DH3:DJ6,3,FALSE),0),0)))/100)),1))*IF(VLOOKUP(A111,tbMoveset!A2:K112,11,FALSE)=TRUE,Backdoors!AC5,1))*AZ111,0),"")</f>
        <v>0</v>
      </c>
      <c r="BD111" s="49">
        <f>VLOOKUP(A111,tbMoveset!A2:G112,7,FALSE)*IFERROR(IF(Backdoors!AI12&gt;=0,1+(IF(Calculator!E40&gt;0,VLOOKUP(Calculator!E40,tbSkills!AI3:AJ5,2,FALSE),Backdoors!AL4)*(IF((Backdoors!AI12+IF(AY111&gt;=0.45,VLOOKUP(Calculator!E23,tbSkills!DH3:DI6,2,FALSE)+IF(AND(Calculator!B8=TRUE,Backdoors!BI10=TRUE),VLOOKUP(Calculator!E23,tbSkills!DH3:DJ6,3,FALSE),0),0))&gt;=100,100,(Backdoors!AI12+IF(AY111&gt;=0.45,VLOOKUP(Calculator!E23,tbSkills!DH3:DI6,2,FALSE)+IF(AND(Calculator!B8=TRUE,Backdoors!BI10=TRUE),VLOOKUP(Calculator!E23,tbSkills!DH3:DJ6,3,FALSE),0),0)))/100)),1),1)</f>
        <v>1</v>
      </c>
      <c r="BE111" s="87">
        <f t="shared" si="58"/>
        <v>17</v>
      </c>
      <c r="BF111" s="86" t="str">
        <f>IFERROR(IF(VLOOKUP(A111,tbMoveset!A2:B112,2,FALSE)="Sever",Backdoors!AY11/100,IF(VLOOKUP(A111,tbMoveset!A2:B112,2,FALSE)="Blunt",Backdoors!AZ11/100,Backdoors!BA11/100)),"")</f>
        <v/>
      </c>
      <c r="BG111" s="49">
        <f>IFERROR(IF(VLOOKUP(tbMoveset!A111,tbMoveset!A2:H112,8,FALSE)="Other",IF(VLOOKUP(tbMoveset!A111,tbMoveset!A2:I112,9,FALSE)="Fire",Backdoors!BB11,IF(VLOOKUP(tbMoveset!A111,tbMoveset!A2:I112,9,FALSE)="Water",Backdoors!BC11,IF(VLOOKUP(tbMoveset!A111,tbMoveset!A2:I112,9,FALSE)="Thunder",Backdoors!BD11,IF(VLOOKUP(tbMoveset!A111,tbMoveset!A2:I112,9,FALSE)="Ice",Backdoors!BE11,IF(VLOOKUP(tbMoveset!A111,tbMoveset!A2:I112,9,FALSE)="Dragon",Backdoors!BF11,Backdoors!BG11)))))/100,Backdoors!BG11/100),"")</f>
        <v>0</v>
      </c>
      <c r="BH111" s="49">
        <f>IFERROR(IF(VLOOKUP(A111,tbMoveset!A2:J112,10,FALSE)=TRUE,IF((Backdoors!AI12+IF(BF111&gt;=0.45,VLOOKUP(Calculator!E23,tbSkills!DH3:DI6,2,FALSE)+IF(AND(Calculator!B8=TRUE,Backdoors!BI11=TRUE),VLOOKUP(Calculator!E23,tbSkills!DH3:DJ6,3,FALSE),0),0))&gt;=0,1+(Backdoors!AL2*(IF((Backdoors!AI12+IF(BF111&gt;=0.45,VLOOKUP(Calculator!E23,tbSkills!DH3:DI6,2,FALSE)+IF(AND(Calculator!B8=TRUE,Backdoors!BI11=TRUE),VLOOKUP(Calculator!E23,tbSkills!DH3:DJ6,3,FALSE),0),0))&gt;=100,100,(Backdoors!AI12+IF(BF111&gt;=0.45,VLOOKUP(Calculator!E23,tbSkills!DH3:DI6,2,FALSE)+IF(AND(Calculator!B8=TRUE,Backdoors!BI11=TRUE),VLOOKUP(Calculator!E23,tbSkills!DH3:DJ6,3,FALSE),0),0)))/100)),(1-(0.25*((-Backdoors!AI12-IF(BF111&gt;=0.45,VLOOKUP(Calculator!E23,tbSkills!DH3:DI6,2,FALSE)+IF(AND(Calculator!B8=TRUE,Backdoors!BI11=TRUE),VLOOKUP(Calculator!E23,tbSkills!DH3:DJ6,3,FALSE),0),0))/100)))),1),"")</f>
        <v>1</v>
      </c>
      <c r="BI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F111)*BH111)*(VLOOKUP(A111,tbMoveset!A2:C112,3,FALSE)/100)*IF(VLOOKUP(A111,tbMoveset!A2:B112,2,FALSE)="Projectile",Backdoors!N10,Backdoors!N9),0),"")</f>
        <v/>
      </c>
      <c r="BJ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F111&gt;=0.45,VLOOKUP(Calculator!E23,tbSkills!DH3:DI6,2,FALSE)+IF(AND(Calculator!B8=TRUE,Backdoors!BI11=TRUE),VLOOKUP(Calculator!E23,tbSkills!DH3:DJ6,3,FALSE),0),0))&gt;=100,100,(Backdoors!AI12+IF(BF111&gt;=0.45,VLOOKUP(Calculator!E23,tbSkills!DH3:DI6,2,FALSE)+IF(AND(Calculator!B8=TRUE,Backdoors!BI11=TRUE),VLOOKUP(Calculator!E23,tbSkills!DH3:DJ6,3,FALSE),0),0)))/100)),1))*IF(VLOOKUP(A111,tbMoveset!A2:K112,11,FALSE)=TRUE,Backdoors!AC5,1))*BG111,0),"")</f>
        <v>0</v>
      </c>
      <c r="BK111" s="49">
        <f>VLOOKUP(A111,tbMoveset!A2:G112,7,FALSE)*IFERROR(IF(Backdoors!AI12&gt;=0,1+(IF(Calculator!E40&gt;0,VLOOKUP(Calculator!E40,tbSkills!AI3:AJ5,2,FALSE),Backdoors!AL4)*(IF((Backdoors!AI12+IF(BF111&gt;=0.45,VLOOKUP(Calculator!E23,tbSkills!DH3:DI6,2,FALSE)+IF(AND(Calculator!B8=TRUE,Backdoors!BI11=TRUE),VLOOKUP(Calculator!E23,tbSkills!DH3:DJ6,3,FALSE),0),0))&gt;=100,100,(Backdoors!AI12+IF(BF111&gt;=0.45,VLOOKUP(Calculator!E23,tbSkills!DH3:DI6,2,FALSE)+IF(AND(Calculator!B8=TRUE,Backdoors!BI11=TRUE),VLOOKUP(Calculator!E23,tbSkills!DH3:DJ6,3,FALSE),0),0)))/100)),1),1)</f>
        <v>1</v>
      </c>
      <c r="BL111" s="87">
        <f t="shared" si="59"/>
        <v>0</v>
      </c>
      <c r="BM111" s="86" t="str">
        <f>IFERROR(IF(VLOOKUP(A111,tbMoveset!A2:B112,2,FALSE)="Sever",Backdoors!AY12/100,IF(VLOOKUP(A111,tbMoveset!A2:B112,2,FALSE)="Blunt",Backdoors!AZ12/100,Backdoors!BA12/100)),"")</f>
        <v/>
      </c>
      <c r="BN111" s="49">
        <f>IFERROR(IF(VLOOKUP(tbMoveset!A111,tbMoveset!A2:H112,8,FALSE)="Other",IF(VLOOKUP(tbMoveset!A111,tbMoveset!A2:I112,9,FALSE)="Fire",Backdoors!BB12,IF(VLOOKUP(tbMoveset!A111,tbMoveset!A2:I112,9,FALSE)="Water",Backdoors!BC12,IF(VLOOKUP(tbMoveset!A111,tbMoveset!A2:I112,9,FALSE)="Thunder",Backdoors!BD12,IF(VLOOKUP(tbMoveset!A111,tbMoveset!A2:I112,9,FALSE)="Ice",Backdoors!BE12,IF(VLOOKUP(tbMoveset!A111,tbMoveset!A2:I112,9,FALSE)="Dragon",Backdoors!BF12,Backdoors!BG12)))))/100,Backdoors!BG12/100),"")</f>
        <v>0</v>
      </c>
      <c r="BO111" s="49">
        <f>IFERROR(IF(VLOOKUP(A111,tbMoveset!A2:J112,10,FALSE)=TRUE,IF((Backdoors!AI12+IF(BM111&gt;=0.45,VLOOKUP(Calculator!E23,tbSkills!DH3:DI6,2,FALSE)+IF(AND(Calculator!B8=TRUE,Backdoors!BI12=TRUE),VLOOKUP(Calculator!E23,tbSkills!DH3:DJ6,3,FALSE),0),0))&gt;=0,1+(Backdoors!AL2*(IF((Backdoors!AI12+IF(BM111&gt;=0.45,VLOOKUP(Calculator!E23,tbSkills!DH3:DI6,2,FALSE)+IF(AND(Calculator!B8=TRUE,Backdoors!BI12=TRUE),VLOOKUP(Calculator!E23,tbSkills!DH3:DJ6,3,FALSE),0),0))&gt;=100,100,(Backdoors!AI12+IF(BM111&gt;=0.45,VLOOKUP(Calculator!E23,tbSkills!DH3:DI6,2,FALSE)+IF(AND(Calculator!B8=TRUE,Backdoors!BI12=TRUE),VLOOKUP(Calculator!E23,tbSkills!DH3:DJ6,3,FALSE),0),0)))/100)),(1-(0.25*((-Backdoors!AI12-IF(BM111&gt;=0.45,VLOOKUP(Calculator!E23,tbSkills!DH3:DI6,2,FALSE)+IF(AND(Calculator!B8=TRUE,Backdoors!BI12=TRUE),VLOOKUP(Calculator!E23,tbSkills!DH3:DJ6,3,FALSE),0),0))/100)))),1),"")</f>
        <v>1</v>
      </c>
      <c r="BP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M111)*BO111)*(VLOOKUP(A111,tbMoveset!A2:C112,3,FALSE)/100)*IF(VLOOKUP(A111,tbMoveset!A2:B112,2,FALSE)="Projectile",Backdoors!N10,Backdoors!N9),0),"")</f>
        <v/>
      </c>
      <c r="BQ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M111&gt;=0.45,VLOOKUP(Calculator!E23,tbSkills!DH3:DI6,2,FALSE)+IF(AND(Calculator!B8=TRUE,Backdoors!BI12=TRUE),VLOOKUP(Calculator!E23,tbSkills!DH3:DJ6,3,FALSE),0),0))&gt;=100,100,(Backdoors!AI12+IF(BM111&gt;=0.45,VLOOKUP(Calculator!E23,tbSkills!DH3:DI6,2,FALSE)+IF(AND(Calculator!B8=TRUE,Backdoors!BI12=TRUE),VLOOKUP(Calculator!E23,tbSkills!DH3:DJ6,3,FALSE),0),0)))/100)),1))*IF(VLOOKUP(A111,tbMoveset!A2:K112,11,FALSE)=TRUE,Backdoors!AC5,1))*BN111,0),"")</f>
        <v>0</v>
      </c>
      <c r="BR111" s="49">
        <f>VLOOKUP(A111,tbMoveset!A2:G112,7,FALSE)*IFERROR(IF(Backdoors!AI12&gt;=0,1+(IF(Calculator!E40&gt;0,VLOOKUP(Calculator!E40,tbSkills!AI3:AJ5,2,FALSE),Backdoors!AL4)*(IF((Backdoors!AI12+IF(BM111&gt;=0.45,VLOOKUP(Calculator!E23,tbSkills!DH3:DI6,2,FALSE)+IF(AND(Calculator!B8=TRUE,Backdoors!BI12=TRUE),VLOOKUP(Calculator!E23,tbSkills!DH3:DJ6,3,FALSE),0),0))&gt;=100,100,(Backdoors!AI12+IF(BM111&gt;=0.45,VLOOKUP(Calculator!E23,tbSkills!DH3:DI6,2,FALSE)+IF(AND(Calculator!B8=TRUE,Backdoors!BI12=TRUE),VLOOKUP(Calculator!E23,tbSkills!DH3:DJ6,3,FALSE),0),0)))/100)),1),1)</f>
        <v>1</v>
      </c>
      <c r="BS111" s="87">
        <f t="shared" si="60"/>
        <v>0</v>
      </c>
      <c r="BT111" s="86" t="str">
        <f>IFERROR(IF(VLOOKUP(A111,tbMoveset!A2:B112,2,FALSE)="Sever",Backdoors!AY13/100,IF(VLOOKUP(A111,tbMoveset!A2:B112,2,FALSE)="Blunt",Backdoors!AZ13/100,Backdoors!BA13/100)),"")</f>
        <v/>
      </c>
      <c r="BU111" s="49">
        <f>IFERROR(IF(VLOOKUP(tbMoveset!A111,tbMoveset!A2:H112,8,FALSE)="Other",IF(VLOOKUP(tbMoveset!A111,tbMoveset!A2:I112,9,FALSE)="Fire",Backdoors!BB13,IF(VLOOKUP(tbMoveset!A111,tbMoveset!A2:I112,9,FALSE)="Water",Backdoors!BC13,IF(VLOOKUP(tbMoveset!A111,tbMoveset!A2:I112,9,FALSE)="Thunder",Backdoors!BD13,IF(VLOOKUP(tbMoveset!A111,tbMoveset!A2:I112,9,FALSE)="Ice",Backdoors!BE13,IF(VLOOKUP(tbMoveset!A111,tbMoveset!A2:I112,9,FALSE)="Dragon",Backdoors!BF13,Backdoors!BG13)))))/100,Backdoors!BG13/100),"")</f>
        <v>0</v>
      </c>
      <c r="BV111" s="49">
        <f>IFERROR(IF(VLOOKUP(A111,tbMoveset!A2:J112,10,FALSE)=TRUE,IF((Backdoors!AI12+IF(BT111&gt;=0.45,VLOOKUP(Calculator!E23,tbSkills!DH3:DI6,2,FALSE)+IF(AND(Calculator!B8=TRUE,Backdoors!BI13=TRUE),VLOOKUP(Calculator!E23,tbSkills!DH3:DJ6,3,FALSE),0),0))&gt;=0,1+(Backdoors!AL2*(IF((Backdoors!AI12+IF(BT111&gt;=0.45,VLOOKUP(Calculator!E23,tbSkills!DH3:DI6,2,FALSE)+IF(AND(Calculator!B8=TRUE,Backdoors!BI13=TRUE),VLOOKUP(Calculator!E23,tbSkills!DH3:DJ6,3,FALSE),0),0))&gt;=100,100,(Backdoors!AI12+IF(BT111&gt;=0.45,VLOOKUP(Calculator!E23,tbSkills!DH3:DI6,2,FALSE)+IF(AND(Calculator!B8=TRUE,Backdoors!BI13=TRUE),VLOOKUP(Calculator!E23,tbSkills!DH3:DJ6,3,FALSE),0),0)))/100)),(1-(0.25*((-Backdoors!AI12-IF(BT111&gt;=0.45,VLOOKUP(Calculator!E23,tbSkills!DH3:DI6,2,FALSE)+IF(AND(Calculator!B8=TRUE,Backdoors!BI13=TRUE),VLOOKUP(Calculator!E23,tbSkills!DH3:DJ6,3,FALSE),0),0))/100)))),1),"")</f>
        <v>1</v>
      </c>
      <c r="BW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T111)*BV111)*(VLOOKUP(A111,tbMoveset!A2:C112,3,FALSE)/100)*IF(VLOOKUP(A111,tbMoveset!A2:B112,2,FALSE)="Projectile",Backdoors!N10,Backdoors!N9),0),"")</f>
        <v/>
      </c>
      <c r="BX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T111&gt;=0.45,VLOOKUP(Calculator!E23,tbSkills!DH3:DI6,2,FALSE)+IF(AND(Calculator!B8=TRUE,Backdoors!BI13=TRUE),VLOOKUP(Calculator!E23,tbSkills!DH3:DJ6,3,FALSE),0),0))&gt;=100,100,(Backdoors!AI12+IF(BT111&gt;=0.45,VLOOKUP(Calculator!E23,tbSkills!DH3:DI6,2,FALSE)+IF(AND(Calculator!B8=TRUE,Backdoors!BI13=TRUE),VLOOKUP(Calculator!E23,tbSkills!DH3:DJ6,3,FALSE),0),0)))/100)),1))*IF(VLOOKUP(A111,tbMoveset!A2:K112,11,FALSE)=TRUE,Backdoors!AC5,1))*BU111,0),"")</f>
        <v>0</v>
      </c>
      <c r="BY111" s="49">
        <f>VLOOKUP(A111,tbMoveset!A2:G112,7,FALSE)*IFERROR(IF(Backdoors!AI12&gt;=0,1+(IF(Calculator!E40&gt;0,VLOOKUP(Calculator!E40,tbSkills!AI3:AJ5,2,FALSE),Backdoors!AL4)*(IF((Backdoors!AI12+IF(BT111&gt;=0.45,VLOOKUP(Calculator!E23,tbSkills!DH3:DI6,2,FALSE)+IF(AND(Calculator!B8=TRUE,Backdoors!BI13=TRUE),VLOOKUP(Calculator!E23,tbSkills!DH3:DJ6,3,FALSE),0),0))&gt;=100,100,(Backdoors!AI12+IF(BT111&gt;=0.45,VLOOKUP(Calculator!E23,tbSkills!DH3:DI6,2,FALSE)+IF(AND(Calculator!B8=TRUE,Backdoors!BI13=TRUE),VLOOKUP(Calculator!E23,tbSkills!DH3:DJ6,3,FALSE),0),0)))/100)),1),1)</f>
        <v>1</v>
      </c>
      <c r="BZ111" s="87">
        <f t="shared" si="61"/>
        <v>0</v>
      </c>
      <c r="CA111" s="86" t="str">
        <f>IFERROR(IF(VLOOKUP(A111,tbMoveset!A2:B112,2,FALSE)="Sever",Backdoors!AY14/100,IF(VLOOKUP(A111,tbMoveset!A2:B112,2,FALSE)="Blunt",Backdoors!AZ14/100,Backdoors!BA14/100)),"")</f>
        <v/>
      </c>
      <c r="CB111" s="49">
        <f>IFERROR(IF(VLOOKUP(tbMoveset!A111,tbMoveset!A2:H112,8,FALSE)="Other",IF(VLOOKUP(tbMoveset!A111,tbMoveset!A2:I112,9,FALSE)="Fire",Backdoors!BB14,IF(VLOOKUP(tbMoveset!A111,tbMoveset!A2:I112,9,FALSE)="Water",Backdoors!BC14,IF(VLOOKUP(tbMoveset!A111,tbMoveset!A2:I112,9,FALSE)="Thunder",Backdoors!BD14,IF(VLOOKUP(tbMoveset!A111,tbMoveset!A2:I112,9,FALSE)="Ice",Backdoors!BE14,IF(VLOOKUP(tbMoveset!A111,tbMoveset!A2:I112,9,FALSE)="Dragon",Backdoors!BF14,Backdoors!BG14)))))/100,Backdoors!BG14/100),"")</f>
        <v>0</v>
      </c>
      <c r="CC111" s="49">
        <f>IFERROR(IF(VLOOKUP(A111,tbMoveset!A2:J112,10,FALSE)=TRUE,IF((Backdoors!AI12+IF(CA111&gt;=0.45,VLOOKUP(Calculator!E23,tbSkills!DH3:DI6,2,FALSE)+IF(AND(Calculator!B8=TRUE,Backdoors!BI14=TRUE),VLOOKUP(Calculator!E23,tbSkills!DH3:DJ6,3,FALSE),0),0))&gt;=0,1+(Backdoors!AL2*(IF((Backdoors!AI12+IF(CA111&gt;=0.45,VLOOKUP(Calculator!E23,tbSkills!DH3:DI6,2,FALSE)+IF(AND(Calculator!B8=TRUE,Backdoors!BI14=TRUE),VLOOKUP(Calculator!E23,tbSkills!DH3:DJ6,3,FALSE),0),0))&gt;=100,100,(Backdoors!AI12+IF(CA111&gt;=0.45,VLOOKUP(Calculator!E23,tbSkills!DH3:DI6,2,FALSE)+IF(AND(Calculator!B8=TRUE,Backdoors!BI14=TRUE),VLOOKUP(Calculator!E23,tbSkills!DH3:DJ6,3,FALSE),0),0)))/100)),(1-(0.25*((-Backdoors!AI12-IF(CA111&gt;=0.45,VLOOKUP(Calculator!E23,tbSkills!DH3:DI6,2,FALSE)+IF(AND(Calculator!B8=TRUE,Backdoors!BI14=TRUE),VLOOKUP(Calculator!E23,tbSkills!DH3:DJ6,3,FALSE),0),0))/100)))),1),"")</f>
        <v>1</v>
      </c>
      <c r="CD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A111)*CC111)*(VLOOKUP(A111,tbMoveset!A2:C112,3,FALSE)/100)*IF(VLOOKUP(A111,tbMoveset!A2:B112,2,FALSE)="Projectile",Backdoors!N10,Backdoors!N9),0),"")</f>
        <v/>
      </c>
      <c r="CE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A111&gt;=0.45,VLOOKUP(Calculator!E23,tbSkills!DH3:DI6,2,FALSE)+IF(AND(Calculator!B8=TRUE,Backdoors!BI14=TRUE),VLOOKUP(Calculator!E23,tbSkills!DH3:DJ6,3,FALSE),0),0))&gt;=100,100,(Backdoors!AI12+IF(CA111&gt;=0.45,VLOOKUP(Calculator!E23,tbSkills!DH3:DI6,2,FALSE)+IF(AND(Calculator!B8=TRUE,Backdoors!BI14=TRUE),VLOOKUP(Calculator!E23,tbSkills!DH3:DJ6,3,FALSE),0),0)))/100)),1))*IF(VLOOKUP(A111,tbMoveset!A2:K112,11,FALSE)=TRUE,Backdoors!AC5,1))*CB111,0),"")</f>
        <v>0</v>
      </c>
      <c r="CF111" s="49">
        <f>VLOOKUP(A111,tbMoveset!A2:G112,7,FALSE)*IFERROR(IF(Backdoors!AI12&gt;=0,1+(IF(Calculator!E40&gt;0,VLOOKUP(Calculator!E40,tbSkills!AI3:AJ5,2,FALSE),Backdoors!AL4)*(IF((Backdoors!AI12+IF(CA111&gt;=0.45,VLOOKUP(Calculator!E23,tbSkills!DH3:DI6,2,FALSE)+IF(AND(Calculator!B8=TRUE,Backdoors!BI14=TRUE),VLOOKUP(Calculator!E23,tbSkills!DH3:DJ6,3,FALSE),0),0))&gt;=100,100,(Backdoors!AI12+IF(CA111&gt;=0.45,VLOOKUP(Calculator!E23,tbSkills!DH3:DI6,2,FALSE)+IF(AND(Calculator!B8=TRUE,Backdoors!BI14=TRUE),VLOOKUP(Calculator!E23,tbSkills!DH3:DJ6,3,FALSE),0),0)))/100)),1),1)</f>
        <v>1</v>
      </c>
      <c r="CG111" s="87">
        <f t="shared" si="62"/>
        <v>0</v>
      </c>
      <c r="CH111" s="86" t="str">
        <f>IFERROR(IF(VLOOKUP(A111,tbMoveset!A2:B112,2,FALSE)="Sever",Backdoors!AY15/100,IF(VLOOKUP(A111,tbMoveset!A2:B112,2,FALSE)="Blunt",Backdoors!AZ15/100,Backdoors!BA15/100)),"")</f>
        <v/>
      </c>
      <c r="CI111" s="49">
        <f>IFERROR(IF(VLOOKUP(tbMoveset!A111,tbMoveset!A2:H112,8,FALSE)="Other",IF(VLOOKUP(tbMoveset!A111,tbMoveset!A2:I112,9,FALSE)="Fire",Backdoors!BB15,IF(VLOOKUP(tbMoveset!A111,tbMoveset!A2:I112,9,FALSE)="Water",Backdoors!BC15,IF(VLOOKUP(tbMoveset!A111,tbMoveset!A2:I112,9,FALSE)="Thunder",Backdoors!BD15,IF(VLOOKUP(tbMoveset!A111,tbMoveset!A2:I112,9,FALSE)="Ice",Backdoors!BE15,IF(VLOOKUP(tbMoveset!A111,tbMoveset!A2:I112,9,FALSE)="Dragon",Backdoors!BF15,Backdoors!BG15)))))/100,Backdoors!BG15/100),"")</f>
        <v>0</v>
      </c>
      <c r="CJ111" s="49">
        <f>IFERROR(IF(VLOOKUP(A111,tbMoveset!A2:J112,10,FALSE)=TRUE,IF((Backdoors!AI12+IF(CH111&gt;=0.45,VLOOKUP(Calculator!E23,tbSkills!DH3:DI6,2,FALSE)+IF(AND(Calculator!B8=TRUE,Backdoors!BI15=TRUE),VLOOKUP(Calculator!E23,tbSkills!DH3:DJ6,3,FALSE),0),0))&gt;=0,1+(Backdoors!AL2*(IF((Backdoors!AI12+IF(CH111&gt;=0.45,VLOOKUP(Calculator!E23,tbSkills!DH3:DI6,2,FALSE)+IF(AND(Calculator!B8=TRUE,Backdoors!BI15=TRUE),VLOOKUP(Calculator!E23,tbSkills!DH3:DJ6,3,FALSE),0),0))&gt;=100,100,(Backdoors!AI12+IF(CH111&gt;=0.45,VLOOKUP(Calculator!E23,tbSkills!DH3:DI6,2,FALSE)+IF(AND(Calculator!B8=TRUE,Backdoors!BI15=TRUE),VLOOKUP(Calculator!E23,tbSkills!DH3:DJ6,3,FALSE),0),0)))/100)),(1-(0.25*((-Backdoors!AI12-IF(CH111&gt;=0.45,VLOOKUP(Calculator!E23,tbSkills!DH3:DI6,2,FALSE)+IF(AND(Calculator!B8=TRUE,Backdoors!BI15=TRUE),VLOOKUP(Calculator!E23,tbSkills!DH3:DJ6,3,FALSE),0),0))/100)))),1),"")</f>
        <v>1</v>
      </c>
      <c r="CK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H111)*CJ111)*(VLOOKUP(A111,tbMoveset!A2:C112,3,FALSE)/100)*IF(VLOOKUP(A111,tbMoveset!A2:B112,2,FALSE)="Projectile",Backdoors!N10,Backdoors!N9),0),"")</f>
        <v/>
      </c>
      <c r="CL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H111&gt;=0.45,VLOOKUP(Calculator!E23,tbSkills!DH3:DI6,2,FALSE)+IF(AND(Calculator!B8=TRUE,Backdoors!BI15=TRUE),VLOOKUP(Calculator!E23,tbSkills!DH3:DJ6,3,FALSE),0),0))&gt;=100,100,(Backdoors!AI12+IF(CH111&gt;=0.45,VLOOKUP(Calculator!E23,tbSkills!DH3:DI6,2,FALSE)+IF(AND(Calculator!B8=TRUE,Backdoors!BI15=TRUE),VLOOKUP(Calculator!E23,tbSkills!DH3:DJ6,3,FALSE),0),0)))/100)),1))*IF(VLOOKUP(A111,tbMoveset!A2:K112,11,FALSE)=TRUE,Backdoors!AC5,1))*CI111,0),"")</f>
        <v>0</v>
      </c>
      <c r="CM111" s="49">
        <f>VLOOKUP(A111,tbMoveset!A2:G112,7,FALSE)*IFERROR(IF(Backdoors!AI12&gt;=0,1+(IF(Calculator!E40&gt;0,VLOOKUP(Calculator!E40,tbSkills!AI3:AJ5,2,FALSE),Backdoors!AL4)*(IF((Backdoors!AI12+IF(CH111&gt;=0.45,VLOOKUP(Calculator!E23,tbSkills!DH3:DI6,2,FALSE)+IF(AND(Calculator!B8=TRUE,Backdoors!BI15=TRUE),VLOOKUP(Calculator!E23,tbSkills!DH3:DJ6,3,FALSE),0),0))&gt;=100,100,(Backdoors!AI12+IF(CH111&gt;=0.45,VLOOKUP(Calculator!E23,tbSkills!DH3:DI6,2,FALSE)+IF(AND(Calculator!B8=TRUE,Backdoors!BI15=TRUE),VLOOKUP(Calculator!E23,tbSkills!DH3:DJ6,3,FALSE),0),0)))/100)),1),1)</f>
        <v>1</v>
      </c>
      <c r="CN111" s="87">
        <f t="shared" si="63"/>
        <v>0</v>
      </c>
      <c r="CO111" s="86" t="str">
        <f>IFERROR(IF(VLOOKUP(A111,tbMoveset!A2:B112,2,FALSE)="Sever",Backdoors!AY16/100,IF(VLOOKUP(A111,tbMoveset!A2:B112,2,FALSE)="Blunt",Backdoors!AZ16/100,Backdoors!BA16/100)),"")</f>
        <v/>
      </c>
      <c r="CP111" s="49">
        <f>IFERROR(IF(VLOOKUP(tbMoveset!A111,tbMoveset!A2:H112,8,FALSE)="Other",IF(VLOOKUP(tbMoveset!A111,tbMoveset!A2:I112,9,FALSE)="Fire",Backdoors!BB16,IF(VLOOKUP(tbMoveset!A111,tbMoveset!A2:I112,9,FALSE)="Water",Backdoors!BC16,IF(VLOOKUP(tbMoveset!A111,tbMoveset!A2:I112,9,FALSE)="Thunder",Backdoors!BD16,IF(VLOOKUP(tbMoveset!A111,tbMoveset!A2:I112,9,FALSE)="Ice",Backdoors!BE16,IF(VLOOKUP(tbMoveset!A111,tbMoveset!A2:I112,9,FALSE)="Dragon",Backdoors!BF16,Backdoors!BG16)))))/100,Backdoors!BG16/100),"")</f>
        <v>0</v>
      </c>
      <c r="CQ111" s="49">
        <f>IFERROR(IF(VLOOKUP(A111,tbMoveset!A2:J112,10,FALSE)=TRUE,IF((Backdoors!AI12+IF(CO111&gt;=0.45,VLOOKUP(Calculator!E23,tbSkills!DH3:DI6,2,FALSE)+IF(AND(Calculator!B8=TRUE,Backdoors!BI16=TRUE),VLOOKUP(Calculator!E23,tbSkills!DH3:DJ6,3,FALSE),0),0))&gt;=0,1+(Backdoors!AL2*(IF((Backdoors!AI12+IF(CO111&gt;=0.45,VLOOKUP(Calculator!E23,tbSkills!DH3:DI6,2,FALSE)+IF(AND(Calculator!B8=TRUE,Backdoors!BI16=TRUE),VLOOKUP(Calculator!E23,tbSkills!DH3:DJ6,3,FALSE),0),0))&gt;=100,100,(Backdoors!AI12+IF(CO111&gt;=0.45,VLOOKUP(Calculator!E23,tbSkills!DH3:DI6,2,FALSE)+IF(AND(Calculator!B8=TRUE,Backdoors!BI16=TRUE),VLOOKUP(Calculator!E23,tbSkills!DH3:DJ6,3,FALSE),0),0)))/100)),(1-(0.25*((-Backdoors!AI12-IF(CO111&gt;=0.45,VLOOKUP(Calculator!E23,tbSkills!DH3:DI6,2,FALSE)+IF(AND(Calculator!B8=TRUE,Backdoors!BI16=TRUE),VLOOKUP(Calculator!E23,tbSkills!DH3:DJ6,3,FALSE),0),0))/100)))),1),"")</f>
        <v>1</v>
      </c>
      <c r="CR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O111)*CQ111)*(VLOOKUP(A111,tbMoveset!A2:C112,3,FALSE)/100)*IF(VLOOKUP(A111,tbMoveset!A2:B112,2,FALSE)="Projectile",Backdoors!N10,Backdoors!N9),0),"")</f>
        <v/>
      </c>
      <c r="CS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O111&gt;=0.45,VLOOKUP(Calculator!E23,tbSkills!DH3:DI6,2,FALSE)+IF(AND(Calculator!B8=TRUE,Backdoors!BI16=TRUE),VLOOKUP(Calculator!E23,tbSkills!DH3:DJ6,3,FALSE),0),0))&gt;=100,100,(Backdoors!AI12+IF(CO111&gt;=0.45,VLOOKUP(Calculator!E23,tbSkills!DH3:DI6,2,FALSE)+IF(AND(Calculator!B8=TRUE,Backdoors!BI16=TRUE),VLOOKUP(Calculator!E23,tbSkills!DH3:DJ6,3,FALSE),0),0)))/100)),1))*IF(VLOOKUP(A111,tbMoveset!A2:K112,11,FALSE)=TRUE,Backdoors!AC5,1))*CP111,0),"")</f>
        <v>0</v>
      </c>
      <c r="CT111" s="49">
        <f>VLOOKUP(A111,tbMoveset!A2:G112,7,FALSE)*IFERROR(IF(Backdoors!AI12&gt;=0,1+(IF(Calculator!E40&gt;0,VLOOKUP(Calculator!E40,tbSkills!AI3:AJ5,2,FALSE),Backdoors!AL4)*(IF((Backdoors!AI12+IF(CO111&gt;=0.45,VLOOKUP(Calculator!E23,tbSkills!DH3:DI6,2,FALSE)+IF(AND(Calculator!B8=TRUE,Backdoors!BI16=TRUE),VLOOKUP(Calculator!E23,tbSkills!DH3:DJ6,3,FALSE),0),0))&gt;=100,100,(Backdoors!AI12+IF(CO111&gt;=0.45,VLOOKUP(Calculator!E23,tbSkills!DH3:DI6,2,FALSE)+IF(AND(Calculator!B8=TRUE,Backdoors!BI16=TRUE),VLOOKUP(Calculator!E23,tbSkills!DH3:DJ6,3,FALSE),0),0)))/100)),1),1)</f>
        <v>1</v>
      </c>
      <c r="CU111" s="87">
        <f t="shared" si="64"/>
        <v>0</v>
      </c>
      <c r="CV111" s="86" t="str">
        <f>IFERROR(IF(VLOOKUP(A111,tbMoveset!A2:B112,2,FALSE)="Sever",Backdoors!AY17/100,IF(VLOOKUP(A111,tbMoveset!A2:B112,2,FALSE)="Blunt",Backdoors!AZ17/100,Backdoors!BA17/100)),"")</f>
        <v/>
      </c>
      <c r="CW111" s="49">
        <f>IFERROR(IF(VLOOKUP(tbMoveset!A111,tbMoveset!A2:H112,8,FALSE)="Other",IF(VLOOKUP(tbMoveset!A111,tbMoveset!A2:I112,9,FALSE)="Fire",Backdoors!BB17,IF(VLOOKUP(tbMoveset!A111,tbMoveset!A2:I112,9,FALSE)="Water",Backdoors!BC17,IF(VLOOKUP(tbMoveset!A111,tbMoveset!A2:I112,9,FALSE)="Thunder",Backdoors!BD17,IF(VLOOKUP(tbMoveset!A111,tbMoveset!A2:I112,9,FALSE)="Ice",Backdoors!BE17,IF(VLOOKUP(tbMoveset!A111,tbMoveset!A2:I112,9,FALSE)="Dragon",Backdoors!BF17,Backdoors!BG17)))))/100,Backdoors!BG17/100),"")</f>
        <v>0</v>
      </c>
      <c r="CX111" s="49">
        <f>IFERROR(IF(VLOOKUP(A111,tbMoveset!A2:J112,10,FALSE)=TRUE,IF((Backdoors!AI12+IF(CV111&gt;=0.45,VLOOKUP(Calculator!E23,tbSkills!DH3:DI6,2,FALSE)+IF(AND(Calculator!B8=TRUE,Backdoors!BI17=TRUE),VLOOKUP(Calculator!E23,tbSkills!DH3:DJ6,3,FALSE),0),0))&gt;=0,1+(Backdoors!AL2*(IF((Backdoors!AI12+IF(CV111&gt;=0.45,VLOOKUP(Calculator!E23,tbSkills!DH3:DI6,2,FALSE)+IF(AND(Calculator!B8=TRUE,Backdoors!BI17=TRUE),VLOOKUP(Calculator!E23,tbSkills!DH3:DJ6,3,FALSE),0),0))&gt;=100,100,(Backdoors!AI12+IF(CV111&gt;=0.45,VLOOKUP(Calculator!E23,tbSkills!DH3:DI6,2,FALSE)+IF(AND(Calculator!B8=TRUE,Backdoors!BI17=TRUE),VLOOKUP(Calculator!E23,tbSkills!DH3:DJ6,3,FALSE),0),0)))/100)),(1-(0.25*((-Backdoors!AI12-IF(CV111&gt;=0.45,VLOOKUP(Calculator!E23,tbSkills!DH3:DI6,2,FALSE)+IF(AND(Calculator!B8=TRUE,Backdoors!BI17=TRUE),VLOOKUP(Calculator!E23,tbSkills!DH3:DJ6,3,FALSE),0),0))/100)))),1),"")</f>
        <v>1</v>
      </c>
      <c r="CY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V111)*CX111)*(VLOOKUP(A111,tbMoveset!A2:C112,3,FALSE)/100)*IF(VLOOKUP(A111,tbMoveset!A2:B112,2,FALSE)="Projectile",Backdoors!N10,Backdoors!N9),0),"")</f>
        <v/>
      </c>
      <c r="CZ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V111&gt;=0.45,VLOOKUP(Calculator!E23,tbSkills!DH3:DI6,2,FALSE)+IF(AND(Calculator!B8=TRUE,Backdoors!BI17=TRUE),VLOOKUP(Calculator!E23,tbSkills!DH3:DJ6,3,FALSE),0),0))&gt;=100,100,(Backdoors!AI12+IF(CV111&gt;=0.45,VLOOKUP(Calculator!E23,tbSkills!DH3:DI6,2,FALSE)+IF(AND(Calculator!B8=TRUE,Backdoors!BI17=TRUE),VLOOKUP(Calculator!E23,tbSkills!DH3:DJ6,3,FALSE),0),0)))/100)),1))*IF(VLOOKUP(A111,tbMoveset!A2:K112,11,FALSE)=TRUE,Backdoors!AC5,1))*CW111,0),"")</f>
        <v>0</v>
      </c>
      <c r="DA111" s="49">
        <f>VLOOKUP(A111,tbMoveset!A2:G112,7,FALSE)*IFERROR(IF(Backdoors!AI12&gt;=0,1+(IF(Calculator!E40&gt;0,VLOOKUP(Calculator!E40,tbSkills!AI3:AJ5,2,FALSE),Backdoors!AL4)*(IF((Backdoors!AI12+IF(CV111&gt;=0.45,VLOOKUP(Calculator!E23,tbSkills!DH3:DI6,2,FALSE)+IF(AND(Calculator!B8=TRUE,Backdoors!BI17=TRUE),VLOOKUP(Calculator!E23,tbSkills!DH3:DJ6,3,FALSE),0),0))&gt;=100,100,(Backdoors!AI12+IF(CV111&gt;=0.45,VLOOKUP(Calculator!E23,tbSkills!DH3:DI6,2,FALSE)+IF(AND(Calculator!B8=TRUE,Backdoors!BI17=TRUE),VLOOKUP(Calculator!E23,tbSkills!DH3:DJ6,3,FALSE),0),0)))/100)),1),1)</f>
        <v>1</v>
      </c>
      <c r="DB111" s="87">
        <f t="shared" si="65"/>
        <v>0</v>
      </c>
      <c r="DC111" s="86" t="str">
        <f>IFERROR(IF(VLOOKUP(A111,tbMoveset!A2:B112,2,FALSE)="Sever",Backdoors!AY18/100,IF(VLOOKUP(A111,tbMoveset!A2:B112,2,FALSE)="Blunt",Backdoors!AZ18/100,Backdoors!BA18/100)),"")</f>
        <v/>
      </c>
      <c r="DD111" s="49">
        <f>IFERROR(IF(VLOOKUP(tbMoveset!A111,tbMoveset!A2:H112,8,FALSE)="Other",IF(VLOOKUP(tbMoveset!A111,tbMoveset!A2:I112,9,FALSE)="Fire",Backdoors!BB18,IF(VLOOKUP(tbMoveset!A111,tbMoveset!A2:I112,9,FALSE)="Water",Backdoors!BC18,IF(VLOOKUP(tbMoveset!A111,tbMoveset!A2:I112,9,FALSE)="Thunder",Backdoors!BD18,IF(VLOOKUP(tbMoveset!A111,tbMoveset!A2:I112,9,FALSE)="Ice",Backdoors!BE18,IF(VLOOKUP(tbMoveset!A111,tbMoveset!A2:I112,9,FALSE)="Dragon",Backdoors!BF18,Backdoors!BG18)))))/100,Backdoors!BG18/100),"")</f>
        <v>0</v>
      </c>
      <c r="DE111" s="49">
        <f>IFERROR(IF(VLOOKUP(A111,tbMoveset!A2:J112,10,FALSE)=TRUE,IF((Backdoors!AI12+IF(DC111&gt;=0.45,VLOOKUP(Calculator!E23,tbSkills!DH3:DI6,2,FALSE)+IF(AND(Calculator!B8=TRUE,Backdoors!BI18=TRUE),VLOOKUP(Calculator!E23,tbSkills!DH3:DJ6,3,FALSE),0),0))&gt;=0,1+(Backdoors!AL2*(IF((Backdoors!AI12+IF(DC111&gt;=0.45,VLOOKUP(Calculator!E23,tbSkills!DH3:DI6,2,FALSE)+IF(AND(Calculator!B8=TRUE,Backdoors!BI18=TRUE),VLOOKUP(Calculator!E23,tbSkills!DH3:DJ6,3,FALSE),0),0))&gt;=100,100,(Backdoors!AI12+IF(DC111&gt;=0.45,VLOOKUP(Calculator!E23,tbSkills!DH3:DI6,2,FALSE)+IF(AND(Calculator!B8=TRUE,Backdoors!BI18=TRUE),VLOOKUP(Calculator!E23,tbSkills!DH3:DJ6,3,FALSE),0),0)))/100)),(1-(0.25*((-Backdoors!AI12-IF(DC111&gt;=0.45,VLOOKUP(Calculator!E23,tbSkills!DH3:DI6,2,FALSE)+IF(AND(Calculator!B8=TRUE,Backdoors!BI18=TRUE),VLOOKUP(Calculator!E23,tbSkills!DH3:DJ6,3,FALSE),0),0))/100)))),1),"")</f>
        <v>1</v>
      </c>
      <c r="DF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C111)*DE111)*(VLOOKUP(A111,tbMoveset!A2:C112,3,FALSE)/100)*IF(VLOOKUP(A111,tbMoveset!A2:B112,2,FALSE)="Projectile",Backdoors!N10,Backdoors!N9),0),"")</f>
        <v/>
      </c>
      <c r="DG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C111&gt;=0.45,VLOOKUP(Calculator!E23,tbSkills!DH3:DI6,2,FALSE)+IF(AND(Calculator!B8=TRUE,Backdoors!BI18=TRUE),VLOOKUP(Calculator!E23,tbSkills!DH3:DJ6,3,FALSE),0),0))&gt;=100,100,(Backdoors!AI12+IF(DC111&gt;=0.45,VLOOKUP(Calculator!E23,tbSkills!DH3:DI6,2,FALSE)+IF(AND(Calculator!B8=TRUE,Backdoors!BI18=TRUE),VLOOKUP(Calculator!E23,tbSkills!DH3:DJ6,3,FALSE),0),0)))/100)),1))*IF(VLOOKUP(A111,tbMoveset!A2:K112,11,FALSE)=TRUE,Backdoors!AC5,1))*DD111,0),"")</f>
        <v>0</v>
      </c>
      <c r="DH111" s="49">
        <f>VLOOKUP(A111,tbMoveset!A2:G112,7,FALSE)*IFERROR(IF(Backdoors!AI12&gt;=0,1+(IF(Calculator!E40&gt;0,VLOOKUP(Calculator!E40,tbSkills!AI3:AJ5,2,FALSE),Backdoors!AL4)*(IF((Backdoors!AI12+IF(DC111&gt;=0.45,VLOOKUP(Calculator!E23,tbSkills!DH3:DI6,2,FALSE)+IF(AND(Calculator!B8=TRUE,Backdoors!BI18=TRUE),VLOOKUP(Calculator!E23,tbSkills!DH3:DJ6,3,FALSE),0),0))&gt;=100,100,(Backdoors!AI12+IF(DC111&gt;=0.45,VLOOKUP(Calculator!E23,tbSkills!DH3:DI6,2,FALSE)+IF(AND(Calculator!B8=TRUE,Backdoors!BI18=TRUE),VLOOKUP(Calculator!E23,tbSkills!DH3:DJ6,3,FALSE),0),0)))/100)),1),1)</f>
        <v>1</v>
      </c>
      <c r="DI111" s="87">
        <f t="shared" si="66"/>
        <v>0</v>
      </c>
      <c r="DJ111" s="86" t="str">
        <f>IFERROR(IF(VLOOKUP(A111,tbMoveset!A2:B112,2,FALSE)="Sever",Backdoors!AY19/100,IF(VLOOKUP(A111,tbMoveset!A2:B112,2,FALSE)="Blunt",Backdoors!AZ19/100,Backdoors!BA19/100)),"")</f>
        <v/>
      </c>
      <c r="DK111" s="49">
        <f>IFERROR(IF(VLOOKUP(tbMoveset!A111,tbMoveset!A2:H112,8,FALSE)="Other",IF(VLOOKUP(tbMoveset!A111,tbMoveset!A2:I112,9,FALSE)="Fire",Backdoors!BB19,IF(VLOOKUP(tbMoveset!A111,tbMoveset!A2:I112,9,FALSE)="Water",Backdoors!BC19,IF(VLOOKUP(tbMoveset!A111,tbMoveset!A2:I112,9,FALSE)="Thunder",Backdoors!BD19,IF(VLOOKUP(tbMoveset!A111,tbMoveset!A2:I112,9,FALSE)="Ice",Backdoors!BE19,IF(VLOOKUP(tbMoveset!A111,tbMoveset!A2:I112,9,FALSE)="Dragon",Backdoors!BF19,Backdoors!BG19)))))/100,Backdoors!BG19/100),"")</f>
        <v>0</v>
      </c>
      <c r="DL111" s="49">
        <f>IFERROR(IF(VLOOKUP(A111,tbMoveset!A2:J112,10,FALSE)=TRUE,IF((Backdoors!AI12+IF(DJ111&gt;=0.45,VLOOKUP(Calculator!E23,tbSkills!DH3:DI6,2,FALSE)+IF(AND(Calculator!B8=TRUE,Backdoors!BI19=TRUE),VLOOKUP(Calculator!E23,tbSkills!DH3:DJ6,3,FALSE),0),0))&gt;=0,1+(Backdoors!AL2*(IF((Backdoors!AI12+IF(DJ111&gt;=0.45,VLOOKUP(Calculator!E23,tbSkills!DH3:DI6,2,FALSE)+IF(AND(Calculator!B8=TRUE,Backdoors!BI19=TRUE),VLOOKUP(Calculator!E23,tbSkills!DH3:DJ6,3,FALSE),0),0))&gt;=100,100,(Backdoors!AI12+IF(DJ111&gt;=0.45,VLOOKUP(Calculator!E23,tbSkills!DH3:DI6,2,FALSE)+IF(AND(Calculator!B8=TRUE,Backdoors!BI19=TRUE),VLOOKUP(Calculator!E23,tbSkills!DH3:DJ6,3,FALSE),0),0)))/100)),(1-(0.25*((-Backdoors!AI12-IF(DJ111&gt;=0.45,VLOOKUP(Calculator!E23,tbSkills!DH3:DI6,2,FALSE)+IF(AND(Calculator!B8=TRUE,Backdoors!BI19=TRUE),VLOOKUP(Calculator!E23,tbSkills!DH3:DJ6,3,FALSE),0),0))/100)))),1),"")</f>
        <v>1</v>
      </c>
      <c r="DM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J111)*DL111)*(VLOOKUP(A111,tbMoveset!A2:C112,3,FALSE)/100)*IF(VLOOKUP(A111,tbMoveset!A2:B112,2,FALSE)="Projectile",Backdoors!N10,Backdoors!N9),0),"")</f>
        <v/>
      </c>
      <c r="DN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J111&gt;=0.45,VLOOKUP(Calculator!E23,tbSkills!DH3:DI6,2,FALSE)+IF(AND(Calculator!B8=TRUE,Backdoors!BI19=TRUE),VLOOKUP(Calculator!E23,tbSkills!DH3:DJ6,3,FALSE),0),0))&gt;=100,100,(Backdoors!AI12+IF(DJ111&gt;=0.45,VLOOKUP(Calculator!E23,tbSkills!DH3:DI6,2,FALSE)+IF(AND(Calculator!B8=TRUE,Backdoors!BI19=TRUE),VLOOKUP(Calculator!E23,tbSkills!DH3:DJ6,3,FALSE),0),0)))/100)),1))*IF(VLOOKUP(A111,tbMoveset!A2:K112,11,FALSE)=TRUE,Backdoors!AC5,1))*DK111,0),"")</f>
        <v>0</v>
      </c>
      <c r="DO111" s="49">
        <f>VLOOKUP(A111,tbMoveset!A2:G112,7,FALSE)*IFERROR(IF(Backdoors!AI12&gt;=0,1+(IF(Calculator!E40&gt;0,VLOOKUP(Calculator!E40,tbSkills!AI3:AJ5,2,FALSE),Backdoors!AL4)*(IF((Backdoors!AI12+IF(DJ111&gt;=0.45,VLOOKUP(Calculator!E23,tbSkills!DH3:DI6,2,FALSE)+IF(AND(Calculator!B8=TRUE,Backdoors!BI19=TRUE),VLOOKUP(Calculator!E23,tbSkills!DH3:DJ6,3,FALSE),0),0))&gt;=100,100,(Backdoors!AI12+IF(DJ111&gt;=0.45,VLOOKUP(Calculator!E23,tbSkills!DH3:DI6,2,FALSE)+IF(AND(Calculator!B8=TRUE,Backdoors!BI19=TRUE),VLOOKUP(Calculator!E23,tbSkills!DH3:DJ6,3,FALSE),0),0)))/100)),1),1)</f>
        <v>1</v>
      </c>
      <c r="DP111" s="87">
        <f t="shared" si="67"/>
        <v>0</v>
      </c>
      <c r="DQ111" s="86" t="str">
        <f>IFERROR(IF(VLOOKUP(A111,tbMoveset!A2:B112,2,FALSE)="Sever",Backdoors!AY20/100,IF(VLOOKUP(A111,tbMoveset!A2:B112,2,FALSE)="Blunt",Backdoors!AZ20/100,Backdoors!BA20/100)),"")</f>
        <v/>
      </c>
      <c r="DR111" s="49">
        <f>IFERROR(IF(VLOOKUP(tbMoveset!A111,tbMoveset!A2:H112,8,FALSE)="Other",IF(VLOOKUP(tbMoveset!A111,tbMoveset!A2:I112,9,FALSE)="Fire",Backdoors!BB20,IF(VLOOKUP(tbMoveset!A111,tbMoveset!A2:I112,9,FALSE)="Water",Backdoors!BC20,IF(VLOOKUP(tbMoveset!A111,tbMoveset!A2:I112,9,FALSE)="Thunder",Backdoors!BD20,IF(VLOOKUP(tbMoveset!A111,tbMoveset!A2:I112,9,FALSE)="Ice",Backdoors!BE20,IF(VLOOKUP(tbMoveset!A111,tbMoveset!A2:I112,9,FALSE)="Dragon",Backdoors!BF20,Backdoors!BG20)))))/100,Backdoors!BG20/100),"")</f>
        <v>0</v>
      </c>
      <c r="DS111" s="49">
        <f>IFERROR(IF(VLOOKUP(A111,tbMoveset!A2:J112,10,FALSE)=TRUE,IF((Backdoors!AI12+IF(DQ111&gt;=0.45,VLOOKUP(Calculator!E23,tbSkills!DH3:DI6,2,FALSE)+IF(AND(Calculator!B8=TRUE,Backdoors!BI20=TRUE),VLOOKUP(Calculator!E23,tbSkills!DH3:DJ6,3,FALSE),0),0))&gt;=0,1+(Backdoors!AL2*(IF((Backdoors!AI12+IF(DQ111&gt;=0.45,VLOOKUP(Calculator!E23,tbSkills!DH3:DI6,2,FALSE)+IF(AND(Calculator!B8=TRUE,Backdoors!BI20=TRUE),VLOOKUP(Calculator!E23,tbSkills!DH3:DJ6,3,FALSE),0),0))&gt;=100,100,(Backdoors!AI12+IF(DQ111&gt;=0.45,VLOOKUP(Calculator!E23,tbSkills!DH3:DI6,2,FALSE)+IF(AND(Calculator!B8=TRUE,Backdoors!BI20=TRUE),VLOOKUP(Calculator!E23,tbSkills!DH3:DJ6,3,FALSE),0),0)))/100)),(1-(0.25*((-Backdoors!AI12-IF(DQ111&gt;=0.45,VLOOKUP(Calculator!E23,tbSkills!DH3:DI6,2,FALSE)+IF(AND(Calculator!B8=TRUE,Backdoors!BI20=TRUE),VLOOKUP(Calculator!E23,tbSkills!DH3:DJ6,3,FALSE),0),0))/100)))),1),"")</f>
        <v>1</v>
      </c>
      <c r="DT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Q111)*DS111)*(VLOOKUP(A111,tbMoveset!A2:C112,3,FALSE)/100)*IF(VLOOKUP(A111,tbMoveset!A2:B112,2,FALSE)="Projectile",Backdoors!N10,Backdoors!N9),0),"")</f>
        <v/>
      </c>
      <c r="DU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Q111&gt;=0.45,VLOOKUP(Calculator!E23,tbSkills!DH3:DI6,2,FALSE)+IF(AND(Calculator!B8=TRUE,Backdoors!BI20=TRUE),VLOOKUP(Calculator!E23,tbSkills!DH3:DJ6,3,FALSE),0),0))&gt;=100,100,(Backdoors!AI12+IF(DQ111&gt;=0.45,VLOOKUP(Calculator!E23,tbSkills!DH3:DI6,2,FALSE)+IF(AND(Calculator!B8=TRUE,Backdoors!BI20=TRUE),VLOOKUP(Calculator!E23,tbSkills!DH3:DJ6,3,FALSE),0),0)))/100)),1))*IF(VLOOKUP(A111,tbMoveset!A2:K112,11,FALSE)=TRUE,Backdoors!AC5,1))*DR111,0),"")</f>
        <v>0</v>
      </c>
      <c r="DV111" s="49">
        <f>VLOOKUP(A111,tbMoveset!A2:G112,7,FALSE)*IFERROR(IF(Backdoors!AI12&gt;=0,1+(IF(Calculator!E40&gt;0,VLOOKUP(Calculator!E40,tbSkills!AI3:AJ5,2,FALSE),Backdoors!AL4)*(IF((Backdoors!AI12+IF(DQ111&gt;=0.45,VLOOKUP(Calculator!E23,tbSkills!DH3:DI6,2,FALSE)+IF(AND(Calculator!B8=TRUE,Backdoors!BI20=TRUE),VLOOKUP(Calculator!E23,tbSkills!DH3:DJ6,3,FALSE),0),0))&gt;=100,100,(Backdoors!AI12+IF(DQ111&gt;=0.45,VLOOKUP(Calculator!E23,tbSkills!DH3:DI6,2,FALSE)+IF(AND(Calculator!B8=TRUE,Backdoors!BI20=TRUE),VLOOKUP(Calculator!E23,tbSkills!DH3:DJ6,3,FALSE),0),0)))/100)),1),1)</f>
        <v>1</v>
      </c>
      <c r="DW111" s="87">
        <f t="shared" si="68"/>
        <v>0</v>
      </c>
      <c r="DX111" s="86" t="str">
        <f>IFERROR(IF(VLOOKUP(A111,tbMoveset!A2:B112,2,FALSE)="Sever",Backdoors!AY21/100,IF(VLOOKUP(A111,tbMoveset!A2:B112,2,FALSE)="Blunt",Backdoors!AZ21/100,Backdoors!BA21/100)),"")</f>
        <v/>
      </c>
      <c r="DY111" s="49">
        <f>IFERROR(IF(VLOOKUP(tbMoveset!A111,tbMoveset!A2:H112,8,FALSE)="Other",IF(VLOOKUP(tbMoveset!A111,tbMoveset!A2:I112,9,FALSE)="Fire",Backdoors!BB21,IF(VLOOKUP(tbMoveset!A111,tbMoveset!A2:I112,9,FALSE)="Water",Backdoors!BC21,IF(VLOOKUP(tbMoveset!A111,tbMoveset!A2:I112,9,FALSE)="Thunder",Backdoors!BD21,IF(VLOOKUP(tbMoveset!A111,tbMoveset!A2:I112,9,FALSE)="Ice",Backdoors!BE21,IF(VLOOKUP(tbMoveset!A111,tbMoveset!A2:I112,9,FALSE)="Dragon",Backdoors!BF21,Backdoors!BG21)))))/100,Backdoors!BG21/100),"")</f>
        <v>0</v>
      </c>
      <c r="DZ111" s="49">
        <f>IFERROR(IF(VLOOKUP(A111,tbMoveset!A2:J112,10,FALSE)=TRUE,IF((Backdoors!AI12+IF(DX111&gt;=0.45,VLOOKUP(Calculator!E23,tbSkills!DH3:DI6,2,FALSE)+IF(AND(Calculator!B8=TRUE,Backdoors!BI21=TRUE),VLOOKUP(Calculator!E23,tbSkills!DH3:DJ6,3,FALSE),0),0))&gt;=0,1+(Backdoors!AL2*(IF((Backdoors!AI12+IF(DX111&gt;=0.45,VLOOKUP(Calculator!E23,tbSkills!DH3:DI6,2,FALSE)+IF(AND(Calculator!B8=TRUE,Backdoors!BI21=TRUE),VLOOKUP(Calculator!E23,tbSkills!DH3:DJ6,3,FALSE),0),0))&gt;=100,100,(Backdoors!AI12+IF(DX111&gt;=0.45,VLOOKUP(Calculator!E23,tbSkills!DH3:DI6,2,FALSE)+IF(AND(Calculator!B8=TRUE,Backdoors!BI21=TRUE),VLOOKUP(Calculator!E23,tbSkills!DH3:DJ6,3,FALSE),0),0)))/100)),(1-(0.25*((-Backdoors!AI12-IF(DX111&gt;=0.45,VLOOKUP(Calculator!E23,tbSkills!DH3:DI6,2,FALSE)+IF(AND(Calculator!B8=TRUE,Backdoors!BI21=TRUE),VLOOKUP(Calculator!E23,tbSkills!DH3:DJ6,3,FALSE),0),0))/100)))),1),"")</f>
        <v>1</v>
      </c>
      <c r="EA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X111)*DZ111)*(VLOOKUP(A111,tbMoveset!A2:C112,3,FALSE)/100)*IF(VLOOKUP(A111,tbMoveset!A2:B112,2,FALSE)="Projectile",Backdoors!N10,Backdoors!N9),0),"")</f>
        <v/>
      </c>
      <c r="EB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X111&gt;=0.45,VLOOKUP(Calculator!E23,tbSkills!DH3:DI6,2,FALSE)+IF(AND(Calculator!B8=TRUE,Backdoors!BI21=TRUE),VLOOKUP(Calculator!E23,tbSkills!DH3:DJ6,3,FALSE),0),0))&gt;=100,100,(Backdoors!AI12+IF(DX111&gt;=0.45,VLOOKUP(Calculator!E23,tbSkills!DH3:DI6,2,FALSE)+IF(AND(Calculator!B8=TRUE,Backdoors!BI21=TRUE),VLOOKUP(Calculator!E23,tbSkills!DH3:DJ6,3,FALSE),0),0)))/100)),1))*IF(VLOOKUP(A111,tbMoveset!A2:K112,11,FALSE)=TRUE,Backdoors!AC5,1))*DY111,0),"")</f>
        <v>0</v>
      </c>
      <c r="EC111" s="49">
        <f>VLOOKUP(A111,tbMoveset!A2:G112,7,FALSE)*IFERROR(IF(Backdoors!AI12&gt;=0,1+(IF(Calculator!E40&gt;0,VLOOKUP(Calculator!E40,tbSkills!AI3:AJ5,2,FALSE),Backdoors!AL4)*(IF((Backdoors!AI12+IF(DX111&gt;=0.45,VLOOKUP(Calculator!E23,tbSkills!DH3:DI6,2,FALSE)+IF(AND(Calculator!B8=TRUE,Backdoors!BI21=TRUE),VLOOKUP(Calculator!E23,tbSkills!DH3:DJ6,3,FALSE),0),0))&gt;=100,100,(Backdoors!AI12+IF(DX111&gt;=0.45,VLOOKUP(Calculator!E23,tbSkills!DH3:DI6,2,FALSE)+IF(AND(Calculator!B8=TRUE,Backdoors!BI21=TRUE),VLOOKUP(Calculator!E23,tbSkills!DH3:DJ6,3,FALSE),0),0)))/100)),1),1)</f>
        <v>1</v>
      </c>
      <c r="ED111" s="87">
        <f t="shared" si="69"/>
        <v>0</v>
      </c>
      <c r="EE111" s="86" t="str">
        <f>IFERROR(IF(VLOOKUP(A111,tbMoveset!A2:B112,2,FALSE)="Sever",Backdoors!AY22/100,IF(VLOOKUP(A111,tbMoveset!A2:B112,2,FALSE)="Blunt",Backdoors!AZ22/100,Backdoors!BA22/100)),"")</f>
        <v/>
      </c>
      <c r="EF111" s="49">
        <f>IFERROR(IF(VLOOKUP(tbMoveset!A111,tbMoveset!A2:H112,8,FALSE)="Other",IF(VLOOKUP(tbMoveset!A111,tbMoveset!A2:I112,9,FALSE)="Fire",Backdoors!BB22,IF(VLOOKUP(tbMoveset!A111,tbMoveset!A2:I112,9,FALSE)="Water",Backdoors!BC22,IF(VLOOKUP(tbMoveset!A111,tbMoveset!A2:I112,9,FALSE)="Thunder",Backdoors!BD22,IF(VLOOKUP(tbMoveset!A111,tbMoveset!A2:I112,9,FALSE)="Ice",Backdoors!BE22,IF(VLOOKUP(tbMoveset!A111,tbMoveset!A2:I112,9,FALSE)="Dragon",Backdoors!BF22,Backdoors!BG22)))))/100,Backdoors!BG22/100),"")</f>
        <v>0</v>
      </c>
      <c r="EG111" s="49">
        <f>IFERROR(IF(VLOOKUP(A111,tbMoveset!A2:J112,10,FALSE)=TRUE,IF((Backdoors!AI12+IF(EE111&gt;=0.45,VLOOKUP(Calculator!E23,tbSkills!DH3:DI6,2,FALSE)+IF(AND(Calculator!B8=TRUE,Backdoors!BI22=TRUE),VLOOKUP(Calculator!E23,tbSkills!DH3:DJ6,3,FALSE),0),0))&gt;=0,1+(Backdoors!AL2*(IF((Backdoors!AI12+IF(EE111&gt;=0.45,VLOOKUP(Calculator!E23,tbSkills!DH3:DI6,2,FALSE)+IF(AND(Calculator!B8=TRUE,Backdoors!BI22=TRUE),VLOOKUP(Calculator!E23,tbSkills!DH3:DJ6,3,FALSE),0),0))&gt;=100,100,(Backdoors!AI12+IF(EE111&gt;=0.45,VLOOKUP(Calculator!E23,tbSkills!DH3:DI6,2,FALSE)+IF(AND(Calculator!B8=TRUE,Backdoors!BI22=TRUE),VLOOKUP(Calculator!E23,tbSkills!DH3:DJ6,3,FALSE),0),0)))/100)),(1-(0.25*((-Backdoors!AI12-IF(EE111&gt;=0.45,VLOOKUP(Calculator!E23,tbSkills!DH3:DI6,2,FALSE)+IF(AND(Calculator!B8=TRUE,Backdoors!BI22=TRUE),VLOOKUP(Calculator!E23,tbSkills!DH3:DJ6,3,FALSE),0),0))/100)))),1),"")</f>
        <v>1</v>
      </c>
      <c r="EH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E111)*EG111)*(VLOOKUP(A111,tbMoveset!A2:C112,3,FALSE)/100)*IF(VLOOKUP(A111,tbMoveset!A2:B112,2,FALSE)="Projectile",Backdoors!N10,Backdoors!N9),0),"")</f>
        <v/>
      </c>
      <c r="EI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E111&gt;=0.45,VLOOKUP(Calculator!E23,tbSkills!DH3:DI6,2,FALSE)+IF(AND(Calculator!B8=TRUE,Backdoors!BI22=TRUE),VLOOKUP(Calculator!E23,tbSkills!DH3:DJ6,3,FALSE),0),0))&gt;=100,100,(Backdoors!AI12+IF(EE111&gt;=0.45,VLOOKUP(Calculator!E23,tbSkills!DH3:DI6,2,FALSE)+IF(AND(Calculator!B8=TRUE,Backdoors!BI22=TRUE),VLOOKUP(Calculator!E23,tbSkills!DH3:DJ6,3,FALSE),0),0)))/100)),1))*IF(VLOOKUP(A111,tbMoveset!A2:K112,11,FALSE)=TRUE,Backdoors!AC5,1))*EF111,0),"")</f>
        <v>0</v>
      </c>
      <c r="EJ111" s="49">
        <f>VLOOKUP(A111,tbMoveset!A2:G112,7,FALSE)*IFERROR(IF(Backdoors!AI12&gt;=0,1+(IF(Calculator!E40&gt;0,VLOOKUP(Calculator!E40,tbSkills!AI3:AJ5,2,FALSE),Backdoors!AL4)*(IF((Backdoors!AI12+IF(EE111&gt;=0.45,VLOOKUP(Calculator!E23,tbSkills!DH3:DI6,2,FALSE)+IF(AND(Calculator!B8=TRUE,Backdoors!BI22=TRUE),VLOOKUP(Calculator!E23,tbSkills!DH3:DJ6,3,FALSE),0),0))&gt;=100,100,(Backdoors!AI12+IF(EE111&gt;=0.45,VLOOKUP(Calculator!E23,tbSkills!DH3:DI6,2,FALSE)+IF(AND(Calculator!B8=TRUE,Backdoors!BI22=TRUE),VLOOKUP(Calculator!E23,tbSkills!DH3:DJ6,3,FALSE),0),0)))/100)),1),1)</f>
        <v>1</v>
      </c>
      <c r="EK111" s="87">
        <f t="shared" si="70"/>
        <v>0</v>
      </c>
      <c r="EL111" s="86" t="str">
        <f>IFERROR(IF(VLOOKUP(A111,tbMoveset!A2:B112,2,FALSE)="Sever",Backdoors!AY23/100,IF(VLOOKUP(A111,tbMoveset!A2:B112,2,FALSE)="Blunt",Backdoors!AZ23/100,Backdoors!BA23/100)),"")</f>
        <v/>
      </c>
      <c r="EM111" s="49">
        <f>IFERROR(IF(VLOOKUP(tbMoveset!A111,tbMoveset!A2:H112,8,FALSE)="Other",IF(VLOOKUP(tbMoveset!A111,tbMoveset!A2:I112,9,FALSE)="Fire",Backdoors!BB23,IF(VLOOKUP(tbMoveset!A111,tbMoveset!A2:I112,9,FALSE)="Water",Backdoors!BC23,IF(VLOOKUP(tbMoveset!A111,tbMoveset!A2:I112,9,FALSE)="Thunder",Backdoors!BD23,IF(VLOOKUP(tbMoveset!A111,tbMoveset!A2:I112,9,FALSE)="Ice",Backdoors!BE23,IF(VLOOKUP(tbMoveset!A111,tbMoveset!A2:I112,9,FALSE)="Dragon",Backdoors!BF23,Backdoors!BG23)))))/100,Backdoors!BG23/100),"")</f>
        <v>0</v>
      </c>
      <c r="EN111" s="49">
        <f>IFERROR(IF(VLOOKUP(A111,tbMoveset!A2:J112,10,FALSE)=TRUE,IF((Backdoors!AI12+IF(EL111&gt;=0.45,VLOOKUP(Calculator!E23,tbSkills!DH3:DI6,2,FALSE)+IF(AND(Calculator!B8=TRUE,Backdoors!BI23=TRUE),VLOOKUP(Calculator!E23,tbSkills!DH3:DJ6,3,FALSE),0),0))&gt;=0,1+(Backdoors!AL2*(IF((Backdoors!AI12+IF(EL111&gt;=0.45,VLOOKUP(Calculator!E23,tbSkills!DH3:DI6,2,FALSE)+IF(AND(Calculator!B8=TRUE,Backdoors!BI23=TRUE),VLOOKUP(Calculator!E23,tbSkills!DH3:DJ6,3,FALSE),0),0))&gt;=100,100,(Backdoors!AI12+IF(EL111&gt;=0.45,VLOOKUP(Calculator!E23,tbSkills!DH3:DI6,2,FALSE)+IF(AND(Calculator!B8=TRUE,Backdoors!BI23=TRUE),VLOOKUP(Calculator!E23,tbSkills!DH3:DJ6,3,FALSE),0),0)))/100)),(1-(0.25*((-Backdoors!AI12-IF(EL111&gt;=0.45,VLOOKUP(Calculator!E23,tbSkills!DH3:DI6,2,FALSE)+IF(AND(Calculator!B8=TRUE,Backdoors!BI23=TRUE),VLOOKUP(Calculator!E23,tbSkills!DH3:DJ6,3,FALSE),0),0))/100)))),1),"")</f>
        <v>1</v>
      </c>
      <c r="EO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L111)*EN111)*(VLOOKUP(A111,tbMoveset!A2:C112,3,FALSE)/100)*IF(VLOOKUP(A111,tbMoveset!A2:B112,2,FALSE)="Projectile",Backdoors!N10,Backdoors!N9),0),"")</f>
        <v/>
      </c>
      <c r="EP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L111&gt;=0.45,VLOOKUP(Calculator!E23,tbSkills!DH3:DI6,2,FALSE)+IF(AND(Calculator!B8=TRUE,Backdoors!BI23=TRUE),VLOOKUP(Calculator!E23,tbSkills!DH3:DJ6,3,FALSE),0),0))&gt;=100,100,(Backdoors!AI12+IF(EL111&gt;=0.45,VLOOKUP(Calculator!E23,tbSkills!DH3:DI6,2,FALSE)+IF(AND(Calculator!B8=TRUE,Backdoors!BI23=TRUE),VLOOKUP(Calculator!E23,tbSkills!DH3:DJ6,3,FALSE),0),0)))/100)),1))*IF(VLOOKUP(A111,tbMoveset!A2:K112,11,FALSE)=TRUE,Backdoors!AC5,1))*EM111,0),"")</f>
        <v>0</v>
      </c>
      <c r="EQ111" s="49">
        <f>VLOOKUP(A111,tbMoveset!A2:G112,7,FALSE)*IFERROR(IF(Backdoors!AI12&gt;=0,1+(IF(Calculator!E40&gt;0,VLOOKUP(Calculator!E40,tbSkills!AI3:AJ5,2,FALSE),Backdoors!AL4)*(IF((Backdoors!AI12+IF(EL111&gt;=0.45,VLOOKUP(Calculator!E23,tbSkills!DH3:DI6,2,FALSE)+IF(AND(Calculator!B8=TRUE,Backdoors!BI23=TRUE),VLOOKUP(Calculator!E23,tbSkills!DH3:DJ6,3,FALSE),0),0))&gt;=100,100,(Backdoors!AI12+IF(EL111&gt;=0.45,VLOOKUP(Calculator!E23,tbSkills!DH3:DI6,2,FALSE)+IF(AND(Calculator!B8=TRUE,Backdoors!BI23=TRUE),VLOOKUP(Calculator!E23,tbSkills!DH3:DJ6,3,FALSE),0),0)))/100)),1),1)</f>
        <v>1</v>
      </c>
      <c r="ER111" s="87">
        <f t="shared" si="71"/>
        <v>0</v>
      </c>
      <c r="ES111" s="86" t="str">
        <f>IFERROR(IF(VLOOKUP(A111,tbMoveset!A2:B112,2,FALSE)="Sever",Backdoors!AY24/100,IF(VLOOKUP(A111,tbMoveset!A2:B112,2,FALSE)="Blunt",Backdoors!AZ24/100,Backdoors!BA24/100)),"")</f>
        <v/>
      </c>
      <c r="ET111" s="49">
        <f>IFERROR(IF(VLOOKUP(tbMoveset!A111,tbMoveset!A2:H112,8,FALSE)="Other",IF(VLOOKUP(tbMoveset!A111,tbMoveset!A2:I112,9,FALSE)="Fire",Backdoors!BB24,IF(VLOOKUP(tbMoveset!A111,tbMoveset!A2:I112,9,FALSE)="Water",Backdoors!BC24,IF(VLOOKUP(tbMoveset!A111,tbMoveset!A2:I112,9,FALSE)="Thunder",Backdoors!BD24,IF(VLOOKUP(tbMoveset!A111,tbMoveset!A2:I112,9,FALSE)="Ice",Backdoors!BE24,IF(VLOOKUP(tbMoveset!A111,tbMoveset!A2:I112,9,FALSE)="Dragon",Backdoors!BF24,Backdoors!BG24)))))/100,Backdoors!BG24/100),"")</f>
        <v>0</v>
      </c>
      <c r="EU111" s="49">
        <f>IFERROR(IF(VLOOKUP(A111,tbMoveset!A2:J112,10,FALSE)=TRUE,IF((Backdoors!AI12+IF(ES111&gt;=0.45,VLOOKUP(Calculator!E23,tbSkills!DH3:DI6,2,FALSE)+IF(AND(Calculator!B8=TRUE,Backdoors!BI24=TRUE),VLOOKUP(Calculator!E23,tbSkills!DH3:DJ6,3,FALSE),0),0))&gt;=0,1+(Backdoors!AL2*(IF((Backdoors!AI12+IF(ES111&gt;=0.45,VLOOKUP(Calculator!E23,tbSkills!DH3:DI6,2,FALSE)+IF(AND(Calculator!B8=TRUE,Backdoors!BI24=TRUE),VLOOKUP(Calculator!E23,tbSkills!DH3:DJ6,3,FALSE),0),0))&gt;=100,100,(Backdoors!AI12+IF(ES111&gt;=0.45,VLOOKUP(Calculator!E23,tbSkills!DH3:DI6,2,FALSE)+IF(AND(Calculator!B8=TRUE,Backdoors!BI24=TRUE),VLOOKUP(Calculator!E23,tbSkills!DH3:DJ6,3,FALSE),0),0)))/100)),(1-(0.25*((-Backdoors!AI12-IF(ES111&gt;=0.45,VLOOKUP(Calculator!E23,tbSkills!DH3:DI6,2,FALSE)+IF(AND(Calculator!B8=TRUE,Backdoors!BI24=TRUE),VLOOKUP(Calculator!E23,tbSkills!DH3:DJ6,3,FALSE),0),0))/100)))),1),"")</f>
        <v>1</v>
      </c>
      <c r="EV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S111)*EU111)*(VLOOKUP(A111,tbMoveset!A2:C112,3,FALSE)/100)*IF(VLOOKUP(A111,tbMoveset!A2:B112,2,FALSE)="Projectile",Backdoors!N10,Backdoors!N9),0),"")</f>
        <v/>
      </c>
      <c r="EW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S111&gt;=0.45,VLOOKUP(Calculator!E23,tbSkills!DH3:DI6,2,FALSE)+IF(AND(Calculator!B8=TRUE,Backdoors!BI24=TRUE),VLOOKUP(Calculator!E23,tbSkills!DH3:DJ6,3,FALSE),0),0))&gt;=100,100,(Backdoors!AI12+IF(ES111&gt;=0.45,VLOOKUP(Calculator!E23,tbSkills!DH3:DI6,2,FALSE)+IF(AND(Calculator!B8=TRUE,Backdoors!BI24=TRUE),VLOOKUP(Calculator!E23,tbSkills!DH3:DJ6,3,FALSE),0),0)))/100)),1))*IF(VLOOKUP(A111,tbMoveset!A2:K112,11,FALSE)=TRUE,Backdoors!AC5,1))*ET111,0),"")</f>
        <v>0</v>
      </c>
      <c r="EX111" s="49">
        <f>VLOOKUP(A111,tbMoveset!A2:G112,7,FALSE)*IFERROR(IF(Backdoors!AI12&gt;=0,1+(IF(Calculator!E40&gt;0,VLOOKUP(Calculator!E40,tbSkills!AI3:AJ5,2,FALSE),Backdoors!AL4)*(IF((Backdoors!AI12+IF(ES111&gt;=0.45,VLOOKUP(Calculator!E23,tbSkills!DH3:DI6,2,FALSE)+IF(AND(Calculator!B8=TRUE,Backdoors!BI24=TRUE),VLOOKUP(Calculator!E23,tbSkills!DH3:DJ6,3,FALSE),0),0))&gt;=100,100,(Backdoors!AI12+IF(ES111&gt;=0.45,VLOOKUP(Calculator!E23,tbSkills!DH3:DI6,2,FALSE)+IF(AND(Calculator!B8=TRUE,Backdoors!BI24=TRUE),VLOOKUP(Calculator!E23,tbSkills!DH3:DJ6,3,FALSE),0),0)))/100)),1),1)</f>
        <v>1</v>
      </c>
      <c r="EY111" s="87">
        <f t="shared" si="72"/>
        <v>0</v>
      </c>
      <c r="EZ111" s="86" t="str">
        <f>IFERROR(IF(VLOOKUP(A111,tbMoveset!A2:B112,2,FALSE)="Sever",Backdoors!AY25/100,IF(VLOOKUP(A111,tbMoveset!A2:B112,2,FALSE)="Blunt",Backdoors!AZ25/100,Backdoors!BA25/100)),"")</f>
        <v/>
      </c>
      <c r="FA111" s="49">
        <f>IFERROR(IF(VLOOKUP(tbMoveset!A111,tbMoveset!A2:H112,8,FALSE)="Other",IF(VLOOKUP(tbMoveset!A111,tbMoveset!A2:I112,9,FALSE)="Fire",Backdoors!BB25,IF(VLOOKUP(tbMoveset!A111,tbMoveset!A2:I112,9,FALSE)="Water",Backdoors!BC25,IF(VLOOKUP(tbMoveset!A111,tbMoveset!A2:I112,9,FALSE)="Thunder",Backdoors!BD25,IF(VLOOKUP(tbMoveset!A111,tbMoveset!A2:I112,9,FALSE)="Ice",Backdoors!BE25,IF(VLOOKUP(tbMoveset!A111,tbMoveset!A2:I112,9,FALSE)="Dragon",Backdoors!BF25,Backdoors!BG25)))))/100,Backdoors!BG25/100),"")</f>
        <v>0</v>
      </c>
      <c r="FB111" s="49">
        <f>IFERROR(IF(VLOOKUP(A111,tbMoveset!A2:J112,10,FALSE)=TRUE,IF((Backdoors!AI12+IF(EZ111&gt;=0.45,VLOOKUP(Calculator!E23,tbSkills!DH3:DI6,2,FALSE)+IF(AND(Calculator!B8=TRUE,Backdoors!BI25=TRUE),VLOOKUP(Calculator!E23,tbSkills!DH3:DJ6,3,FALSE),0),0))&gt;=0,1+(Backdoors!AL2*(IF((Backdoors!AI12+IF(EZ111&gt;=0.45,VLOOKUP(Calculator!E23,tbSkills!DH3:DI6,2,FALSE)+IF(AND(Calculator!B8=TRUE,Backdoors!BI25=TRUE),VLOOKUP(Calculator!E23,tbSkills!DH3:DJ6,3,FALSE),0),0))&gt;=100,100,(Backdoors!AI12+IF(EZ111&gt;=0.45,VLOOKUP(Calculator!E23,tbSkills!DH3:DI6,2,FALSE)+IF(AND(Calculator!B8=TRUE,Backdoors!BI25=TRUE),VLOOKUP(Calculator!E23,tbSkills!DH3:DJ6,3,FALSE),0),0)))/100)),(1-(0.25*((-Backdoors!AI12-IF(EZ111&gt;=0.45,VLOOKUP(Calculator!E23,tbSkills!DH3:DI6,2,FALSE)+IF(AND(Calculator!B8=TRUE,Backdoors!BI25=TRUE),VLOOKUP(Calculator!E23,tbSkills!DH3:DJ6,3,FALSE),0),0))/100)))),1),"")</f>
        <v>1</v>
      </c>
      <c r="FC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Z111)*FB111)*(VLOOKUP(A111,tbMoveset!A2:C112,3,FALSE)/100)*IF(VLOOKUP(A111,tbMoveset!A2:B112,2,FALSE)="Projectile",Backdoors!N10,Backdoors!N9),0),"")</f>
        <v/>
      </c>
      <c r="FD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Z111&gt;=0.45,VLOOKUP(Calculator!E23,tbSkills!DH3:DI6,2,FALSE)+IF(AND(Calculator!B8=TRUE,Backdoors!BI25=TRUE),VLOOKUP(Calculator!E23,tbSkills!DH3:DJ6,3,FALSE),0),0))&gt;=100,100,(Backdoors!AI12+IF(EZ111&gt;=0.45,VLOOKUP(Calculator!E23,tbSkills!DH3:DI6,2,FALSE)+IF(AND(Calculator!B8=TRUE,Backdoors!BI25=TRUE),VLOOKUP(Calculator!E23,tbSkills!DH3:DJ6,3,FALSE),0),0)))/100)),1))*IF(VLOOKUP(A111,tbMoveset!A2:K112,11,FALSE)=TRUE,Backdoors!AC5,1))*FA111,0),"")</f>
        <v>0</v>
      </c>
      <c r="FE111" s="49">
        <f>VLOOKUP(A111,tbMoveset!A2:G112,7,FALSE)*IFERROR(IF(Backdoors!AI12&gt;=0,1+(IF(Calculator!E40&gt;0,VLOOKUP(Calculator!E40,tbSkills!AI3:AJ5,2,FALSE),Backdoors!AL4)*(IF((Backdoors!AI12+IF(EZ111&gt;=0.45,VLOOKUP(Calculator!E23,tbSkills!DH3:DI6,2,FALSE)+IF(AND(Calculator!B8=TRUE,Backdoors!BI25=TRUE),VLOOKUP(Calculator!E23,tbSkills!DH3:DJ6,3,FALSE),0),0))&gt;=100,100,(Backdoors!AI12+IF(EZ111&gt;=0.45,VLOOKUP(Calculator!E23,tbSkills!DH3:DI6,2,FALSE)+IF(AND(Calculator!B8=TRUE,Backdoors!BI25=TRUE),VLOOKUP(Calculator!E23,tbSkills!DH3:DJ6,3,FALSE),0),0)))/100)),1),1)</f>
        <v>1</v>
      </c>
      <c r="FF111" s="87">
        <f t="shared" si="73"/>
        <v>0</v>
      </c>
      <c r="FG111" s="86" t="str">
        <f>IFERROR(IF(VLOOKUP(A111,tbMoveset!A2:B112,2,FALSE)="Sever",Backdoors!AY26/100,IF(VLOOKUP(A111,tbMoveset!A2:B112,2,FALSE)="Blunt",Backdoors!AZ26/100,Backdoors!BA26/100)),"")</f>
        <v/>
      </c>
      <c r="FH111" s="49">
        <f>IFERROR(IF(VLOOKUP(tbMoveset!A111,tbMoveset!A2:H112,8,FALSE)="Other",IF(VLOOKUP(tbMoveset!A111,tbMoveset!A2:I112,9,FALSE)="Fire",Backdoors!BB26,IF(VLOOKUP(tbMoveset!A111,tbMoveset!A2:I112,9,FALSE)="Water",Backdoors!BC26,IF(VLOOKUP(tbMoveset!A111,tbMoveset!A2:I112,9,FALSE)="Thunder",Backdoors!BD26,IF(VLOOKUP(tbMoveset!A111,tbMoveset!A2:I112,9,FALSE)="Ice",Backdoors!BE26,IF(VLOOKUP(tbMoveset!A111,tbMoveset!A2:I112,9,FALSE)="Dragon",Backdoors!BF26,Backdoors!BG26)))))/100,Backdoors!BG26/100),"")</f>
        <v>0</v>
      </c>
      <c r="FI111" s="49">
        <f>IFERROR(IF(VLOOKUP(A111,tbMoveset!A2:J112,10,FALSE)=TRUE,IF((Backdoors!AI12+IF(FG111&gt;=0.45,VLOOKUP(Calculator!E23,tbSkills!DH3:DI6,2,FALSE)+IF(AND(Calculator!B8=TRUE,Backdoors!BI26=TRUE),VLOOKUP(Calculator!E23,tbSkills!DH3:DJ6,3,FALSE),0),0))&gt;=0,1+(Backdoors!AL2*(IF((Backdoors!AI12+IF(FG111&gt;=0.45,VLOOKUP(Calculator!E23,tbSkills!DH3:DI6,2,FALSE)+IF(AND(Calculator!B8=TRUE,Backdoors!BI26=TRUE),VLOOKUP(Calculator!E23,tbSkills!DH3:DJ6,3,FALSE),0),0))&gt;=100,100,(Backdoors!AI12+IF(FG111&gt;=0.45,VLOOKUP(Calculator!E23,tbSkills!DH3:DI6,2,FALSE)+IF(AND(Calculator!B8=TRUE,Backdoors!BI26=TRUE),VLOOKUP(Calculator!E23,tbSkills!DH3:DJ6,3,FALSE),0),0)))/100)),(1-(0.25*((-Backdoors!AI12-IF(FG111&gt;=0.45,VLOOKUP(Calculator!E23,tbSkills!DH3:DI6,2,FALSE)+IF(AND(Calculator!B8=TRUE,Backdoors!BI26=TRUE),VLOOKUP(Calculator!E23,tbSkills!DH3:DJ6,3,FALSE),0),0))/100)))),1),"")</f>
        <v>1</v>
      </c>
      <c r="FJ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FG111)*FI111)*(VLOOKUP(A111,tbMoveset!A2:C112,3,FALSE)/100)*IF(VLOOKUP(A111,tbMoveset!A2:B112,2,FALSE)="Projectile",Backdoors!N10,Backdoors!N9),0),"")</f>
        <v/>
      </c>
      <c r="FK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FG111&gt;=0.45,VLOOKUP(Calculator!E23,tbSkills!DH3:DI6,2,FALSE)+IF(AND(Calculator!B8=TRUE,Backdoors!BI26=TRUE),VLOOKUP(Calculator!E23,tbSkills!DH3:DJ6,3,FALSE),0),0))&gt;=100,100,(Backdoors!AI12+IF(FG111&gt;=0.45,VLOOKUP(Calculator!E23,tbSkills!DH3:DI6,2,FALSE)+IF(AND(Calculator!B8=TRUE,Backdoors!BI26=TRUE),VLOOKUP(Calculator!E23,tbSkills!DH3:DJ6,3,FALSE),0),0)))/100)),1))*IF(VLOOKUP(A111,tbMoveset!A2:K112,11,FALSE)=TRUE,Backdoors!AC5,1))*FH111,0),"")</f>
        <v>0</v>
      </c>
      <c r="FL111" s="49">
        <f>VLOOKUP(A111,tbMoveset!A2:G112,7,FALSE)*IFERROR(IF(Backdoors!AI12&gt;=0,1+(IF(Calculator!E40&gt;0,VLOOKUP(Calculator!E40,tbSkills!AI3:AJ5,2,FALSE),Backdoors!AL4)*(IF((Backdoors!AI12+IF(FG111&gt;=0.45,VLOOKUP(Calculator!E23,tbSkills!DH3:DI6,2,FALSE)+IF(AND(Calculator!B8=TRUE,Backdoors!BI26=TRUE),VLOOKUP(Calculator!E23,tbSkills!DH3:DJ6,3,FALSE),0),0))&gt;=100,100,(Backdoors!AI12+IF(FG111&gt;=0.45,VLOOKUP(Calculator!E23,tbSkills!DH3:DI6,2,FALSE)+IF(AND(Calculator!B8=TRUE,Backdoors!BI26=TRUE),VLOOKUP(Calculator!E23,tbSkills!DH3:DJ6,3,FALSE),0),0)))/100)),1),1)</f>
        <v>1</v>
      </c>
      <c r="FM111" s="87">
        <f t="shared" si="74"/>
        <v>0</v>
      </c>
      <c r="FN111" s="86" t="str">
        <f>IFERROR(IF(VLOOKUP(A111,tbMoveset!A2:B112,2,FALSE)="Sever",Backdoors!AY27/100,IF(VLOOKUP(A111,tbMoveset!A2:B112,2,FALSE)="Blunt",Backdoors!AZ27/100,Backdoors!BA27/100)),"")</f>
        <v/>
      </c>
      <c r="FO111" s="49">
        <f>IFERROR(IF(VLOOKUP(tbMoveset!A111,tbMoveset!A2:H112,8,FALSE)="Other",IF(VLOOKUP(tbMoveset!A111,tbMoveset!A2:I112,9,FALSE)="Fire",Backdoors!BB27,IF(VLOOKUP(tbMoveset!A111,tbMoveset!A2:I112,9,FALSE)="Water",Backdoors!BC27,IF(VLOOKUP(tbMoveset!A111,tbMoveset!A2:I112,9,FALSE)="Thunder",Backdoors!BD27,IF(VLOOKUP(tbMoveset!A111,tbMoveset!A2:I112,9,FALSE)="Ice",Backdoors!BE27,IF(VLOOKUP(tbMoveset!A111,tbMoveset!A2:I112,9,FALSE)="Dragon",Backdoors!BF27,Backdoors!BG27)))))/100,Backdoors!BG27/100),"")</f>
        <v>0</v>
      </c>
      <c r="FP111" s="49">
        <f>IFERROR(IF(VLOOKUP(A111,tbMoveset!A2:J112,10,FALSE)=TRUE,IF((Backdoors!AI12+IF(FN111&gt;=0.45,VLOOKUP(Calculator!E23,tbSkills!DH3:DI6,2,FALSE)+IF(AND(Calculator!B8=TRUE,Backdoors!BI27=TRUE),VLOOKUP(Calculator!E23,tbSkills!DH3:DJ6,3,FALSE),0),0))&gt;=0,1+(Backdoors!AL2*(IF((Backdoors!AI12+IF(FN111&gt;=0.45,VLOOKUP(Calculator!E23,tbSkills!DH3:DI6,2,FALSE)+IF(AND(Calculator!B8=TRUE,Backdoors!BI27=TRUE),VLOOKUP(Calculator!E23,tbSkills!DH3:DJ6,3,FALSE),0),0))&gt;=100,100,(Backdoors!AI12+IF(FN111&gt;=0.45,VLOOKUP(Calculator!E23,tbSkills!DH3:DI6,2,FALSE)+IF(AND(Calculator!B8=TRUE,Backdoors!BI27=TRUE),VLOOKUP(Calculator!E23,tbSkills!DH3:DJ6,3,FALSE),0),0)))/100)),(1-(0.25*((-Backdoors!AI12-IF(FN111&gt;=0.45,VLOOKUP(Calculator!E23,tbSkills!DH3:DI6,2,FALSE)+IF(AND(Calculator!B8=TRUE,Backdoors!BI27=TRUE),VLOOKUP(Calculator!E23,tbSkills!DH3:DJ6,3,FALSE),0),0))/100)))),1),"")</f>
        <v>1</v>
      </c>
      <c r="FQ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FN111)*FP111)*(VLOOKUP(A111,tbMoveset!A2:C112,3,FALSE)/100)*IF(VLOOKUP(A111,tbMoveset!A2:B112,2,FALSE)="Projectile",Backdoors!N10,Backdoors!N9),0),"")</f>
        <v/>
      </c>
      <c r="FR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FN111&gt;=0.45,VLOOKUP(Calculator!E23,tbSkills!DH3:DI6,2,FALSE)+IF(AND(Calculator!B8=TRUE,Backdoors!BI27=TRUE),VLOOKUP(Calculator!E23,tbSkills!DH3:DJ6,3,FALSE),0),0))&gt;=100,100,(Backdoors!AI12+IF(FN111&gt;=0.45,VLOOKUP(Calculator!E23,tbSkills!DH3:DI6,2,FALSE)+IF(AND(Calculator!B8=TRUE,Backdoors!BI27=TRUE),VLOOKUP(Calculator!E23,tbSkills!DH3:DJ6,3,FALSE),0),0)))/100)),1))*IF(VLOOKUP(A111,tbMoveset!A2:K112,11,FALSE)=TRUE,Backdoors!AC5,1))*FO111,0),"")</f>
        <v>0</v>
      </c>
      <c r="FS111" s="49">
        <f>VLOOKUP(A111,tbMoveset!A2:G112,7,FALSE)*IFERROR(IF(Backdoors!AI12&gt;=0,1+(IF(Calculator!E40&gt;0,VLOOKUP(Calculator!E40,tbSkills!AI3:AJ5,2,FALSE),Backdoors!AL4)*(IF((Backdoors!AI12+IF(FN111&gt;=0.45,VLOOKUP(Calculator!E23,tbSkills!DH3:DI6,2,FALSE)+IF(AND(Calculator!B8=TRUE,Backdoors!BI27=TRUE),VLOOKUP(Calculator!E23,tbSkills!DH3:DJ6,3,FALSE),0),0))&gt;=100,100,(Backdoors!AI12+IF(FN111&gt;=0.45,VLOOKUP(Calculator!E23,tbSkills!DH3:DI6,2,FALSE)+IF(AND(Calculator!B8=TRUE,Backdoors!BI27=TRUE),VLOOKUP(Calculator!E23,tbSkills!DH3:DJ6,3,FALSE),0),0)))/100)),1),1)</f>
        <v>1</v>
      </c>
      <c r="FT111" s="87">
        <f t="shared" si="75"/>
        <v>0</v>
      </c>
      <c r="FU111" s="86" t="str">
        <f>IFERROR(IF(VLOOKUP(A111,tbMoveset!A2:B112,2,FALSE)="Sever",Backdoors!AY28/100,IF(VLOOKUP(A111,tbMoveset!A2:B112,2,FALSE)="Blunt",Backdoors!AZ28/100,Backdoors!BA28/100)),"")</f>
        <v/>
      </c>
      <c r="FV111" s="49">
        <f>IFERROR(IF(VLOOKUP(tbMoveset!A111,tbMoveset!A2:H112,8,FALSE)="Other",IF(VLOOKUP(tbMoveset!A111,tbMoveset!A2:I112,9,FALSE)="Fire",Backdoors!BB28,IF(VLOOKUP(tbMoveset!A111,tbMoveset!A2:I112,9,FALSE)="Water",Backdoors!BC28,IF(VLOOKUP(tbMoveset!A111,tbMoveset!A2:I112,9,FALSE)="Thunder",Backdoors!BD28,IF(VLOOKUP(tbMoveset!A111,tbMoveset!A2:I112,9,FALSE)="Ice",Backdoors!BE28,IF(VLOOKUP(tbMoveset!A111,tbMoveset!A2:I112,9,FALSE)="Dragon",Backdoors!BF28,Backdoors!BG28)))))/100,Backdoors!BG28/100),"")</f>
        <v>0</v>
      </c>
      <c r="FW111" s="49">
        <f>IFERROR(IF(VLOOKUP(A111,tbMoveset!A2:J112,10,FALSE)=TRUE,IF((Backdoors!AI12+IF(FU111&gt;=0.45,VLOOKUP(Calculator!E23,tbSkills!DH3:DI6,2,FALSE)+IF(AND(Calculator!B8=TRUE,Backdoors!BI28=TRUE),VLOOKUP(Calculator!E23,tbSkills!DH3:DJ6,3,FALSE),0),0))&gt;=0,1+(Backdoors!AL2*(IF((Backdoors!AI12+IF(FU111&gt;=0.45,VLOOKUP(Calculator!E23,tbSkills!DH3:DI6,2,FALSE)+IF(AND(Calculator!B8=TRUE,Backdoors!BI28=TRUE),VLOOKUP(Calculator!E23,tbSkills!DH3:DJ6,3,FALSE),0),0))&gt;=100,100,(Backdoors!AI12+IF(FU111&gt;=0.45,VLOOKUP(Calculator!E23,tbSkills!DH3:DI6,2,FALSE)+IF(AND(Calculator!B8=TRUE,Backdoors!BI28=TRUE),VLOOKUP(Calculator!E23,tbSkills!DH3:DJ6,3,FALSE),0),0)))/100)),(1-(0.25*((-Backdoors!AI12-IF(FU111&gt;=0.45,VLOOKUP(Calculator!E23,tbSkills!DH3:DI6,2,FALSE)+IF(AND(Calculator!B8=TRUE,Backdoors!BI28=TRUE),VLOOKUP(Calculator!E23,tbSkills!DH3:DJ6,3,FALSE),0),0))/100)))),1),"")</f>
        <v>1</v>
      </c>
      <c r="FX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FU111)*FW111)*(VLOOKUP(A111,tbMoveset!A2:C112,3,FALSE)/100)*IF(VLOOKUP(A111,tbMoveset!A2:B112,2,FALSE)="Projectile",Backdoors!N10,Backdoors!N9),0),"")</f>
        <v/>
      </c>
      <c r="FY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FU111&gt;=0.45,VLOOKUP(Calculator!E23,tbSkills!DH3:DI6,2,FALSE)+IF(AND(Calculator!B8=TRUE,Backdoors!BI28=TRUE),VLOOKUP(Calculator!E23,tbSkills!DH3:DJ6,3,FALSE),0),0))&gt;=100,100,(Backdoors!AI12+IF(FU111&gt;=0.45,VLOOKUP(Calculator!E23,tbSkills!DH3:DI6,2,FALSE)+IF(AND(Calculator!B8=TRUE,Backdoors!BI28=TRUE),VLOOKUP(Calculator!E23,tbSkills!DH3:DJ6,3,FALSE),0),0)))/100)),1))*IF(VLOOKUP(A111,tbMoveset!A2:K112,11,FALSE)=TRUE,Backdoors!AC5,1))*FV111,0),"")</f>
        <v>0</v>
      </c>
      <c r="FZ111" s="49">
        <f>VLOOKUP(A111,tbMoveset!A2:G112,7,FALSE)*IFERROR(IF(Backdoors!AI12&gt;=0,1+(IF(Calculator!E40&gt;0,VLOOKUP(Calculator!E40,tbSkills!AI3:AJ5,2,FALSE),Backdoors!AL4)*(IF((Backdoors!AI12+IF(FU111&gt;=0.45,VLOOKUP(Calculator!E23,tbSkills!DH3:DI6,2,FALSE)+IF(AND(Calculator!B8=TRUE,Backdoors!BI28=TRUE),VLOOKUP(Calculator!E23,tbSkills!DH3:DJ6,3,FALSE),0),0))&gt;=100,100,(Backdoors!AI12+IF(FU111&gt;=0.45,VLOOKUP(Calculator!E23,tbSkills!DH3:DI6,2,FALSE)+IF(AND(Calculator!B8=TRUE,Backdoors!BI28=TRUE),VLOOKUP(Calculator!E23,tbSkills!DH3:DJ6,3,FALSE),0),0)))/100)),1),1)</f>
        <v>1</v>
      </c>
      <c r="GA111" s="87">
        <f t="shared" si="76"/>
        <v>0</v>
      </c>
      <c r="GB111" s="86" t="str">
        <f>IFERROR(IF(VLOOKUP(A111,tbMoveset!A2:B112,2,FALSE)="Sever",Backdoors!AY29/100,IF(VLOOKUP(A111,tbMoveset!A2:B112,2,FALSE)="Blunt",Backdoors!AZ29/100,Backdoors!BA29/100)),"")</f>
        <v/>
      </c>
      <c r="GC111" s="49">
        <f>IFERROR(IF(VLOOKUP(tbMoveset!A111,tbMoveset!A2:H112,8,FALSE)="Other",IF(VLOOKUP(tbMoveset!A111,tbMoveset!A2:I112,9,FALSE)="Fire",Backdoors!BB29,IF(VLOOKUP(tbMoveset!A111,tbMoveset!A2:I112,9,FALSE)="Water",Backdoors!BC29,IF(VLOOKUP(tbMoveset!A111,tbMoveset!A2:I112,9,FALSE)="Thunder",Backdoors!BD29,IF(VLOOKUP(tbMoveset!A111,tbMoveset!A2:I112,9,FALSE)="Ice",Backdoors!BE29,IF(VLOOKUP(tbMoveset!A111,tbMoveset!A2:I112,9,FALSE)="Dragon",Backdoors!BF29,Backdoors!BG29)))))/100,Backdoors!BG29/100),"")</f>
        <v>0</v>
      </c>
      <c r="GD111" s="49">
        <f>IFERROR(IF(VLOOKUP(A111,tbMoveset!A2:J112,10,FALSE)=TRUE,IF((Backdoors!AI12+IF(GB111&gt;=0.45,VLOOKUP(Calculator!E23,tbSkills!DH3:DI6,2,FALSE)+IF(AND(Calculator!B8=TRUE,Backdoors!BI29=TRUE),VLOOKUP(Calculator!E23,tbSkills!DH3:DJ6,3,FALSE),0),0))&gt;=0,1+(Backdoors!AL2*(IF((Backdoors!AI12+IF(GB111&gt;=0.45,VLOOKUP(Calculator!E23,tbSkills!DH3:DI6,2,FALSE)+IF(AND(Calculator!B8=TRUE,Backdoors!BI29=TRUE),VLOOKUP(Calculator!E23,tbSkills!DH3:DJ6,3,FALSE),0),0))&gt;=100,100,(Backdoors!AI12+IF(GB111&gt;=0.45,VLOOKUP(Calculator!E23,tbSkills!DH3:DI6,2,FALSE)+IF(AND(Calculator!B8=TRUE,Backdoors!BI29=TRUE),VLOOKUP(Calculator!E23,tbSkills!DH3:DJ6,3,FALSE),0),0)))/100)),(1-(0.25*((-Backdoors!AI12-IF(GB111&gt;=0.45,VLOOKUP(Calculator!E23,tbSkills!DH3:DI6,2,FALSE)+IF(AND(Calculator!B8=TRUE,Backdoors!BI29=TRUE),VLOOKUP(Calculator!E23,tbSkills!DH3:DJ6,3,FALSE),0),0))/100)))),1),"")</f>
        <v>1</v>
      </c>
      <c r="GE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B111)*GD111)*(VLOOKUP(A111,tbMoveset!A2:C112,3,FALSE)/100)*IF(VLOOKUP(A111,tbMoveset!A2:B112,2,FALSE)="Projectile",Backdoors!N10,Backdoors!N9),0),"")</f>
        <v/>
      </c>
      <c r="GF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B111&gt;=0.45,VLOOKUP(Calculator!E23,tbSkills!DH3:DI6,2,FALSE)+IF(AND(Calculator!B8=TRUE,Backdoors!BI29=TRUE),VLOOKUP(Calculator!E23,tbSkills!DH3:DJ6,3,FALSE),0),0))&gt;=100,100,(Backdoors!AI12+IF(GB111&gt;=0.45,VLOOKUP(Calculator!E23,tbSkills!DH3:DI6,2,FALSE)+IF(AND(Calculator!B8=TRUE,Backdoors!BI29=TRUE),VLOOKUP(Calculator!E23,tbSkills!DH3:DJ6,3,FALSE),0),0)))/100)),1))*IF(VLOOKUP(A111,tbMoveset!A2:K112,11,FALSE)=TRUE,Backdoors!AC5,1))*GC111,0),"")</f>
        <v>0</v>
      </c>
      <c r="GG111" s="49">
        <f>VLOOKUP(A111,tbMoveset!A2:G112,7,FALSE)*IFERROR(IF(Backdoors!AI12&gt;=0,1+(IF(Calculator!E40&gt;0,VLOOKUP(Calculator!E40,tbSkills!AI3:AJ5,2,FALSE),Backdoors!AL4)*(IF((Backdoors!AI12+IF(GB111&gt;=0.45,VLOOKUP(Calculator!E23,tbSkills!DH3:DI6,2,FALSE)+IF(AND(Calculator!B8=TRUE,Backdoors!BI29=TRUE),VLOOKUP(Calculator!E23,tbSkills!DH3:DJ6,3,FALSE),0),0))&gt;=100,100,(Backdoors!AI12+IF(GB111&gt;=0.45,VLOOKUP(Calculator!E23,tbSkills!DH3:DI6,2,FALSE)+IF(AND(Calculator!B8=TRUE,Backdoors!BI29=TRUE),VLOOKUP(Calculator!E23,tbSkills!DH3:DJ6,3,FALSE),0),0)))/100)),1),1)</f>
        <v>1</v>
      </c>
      <c r="GH111" s="87">
        <f t="shared" si="77"/>
        <v>0</v>
      </c>
      <c r="GI111" s="86" t="str">
        <f>IFERROR(IF(VLOOKUP(A111,tbMoveset!A2:B112,2,FALSE)="Sever",Backdoors!AY30/100,IF(VLOOKUP(A111,tbMoveset!A2:B112,2,FALSE)="Blunt",Backdoors!AZ30/100,Backdoors!BA30/100)),"")</f>
        <v/>
      </c>
      <c r="GJ111" s="49">
        <f>IFERROR(IF(VLOOKUP(tbMoveset!A111,tbMoveset!A2:H112,8,FALSE)="Other",IF(VLOOKUP(tbMoveset!A111,tbMoveset!A2:I112,9,FALSE)="Fire",Backdoors!BB30,IF(VLOOKUP(tbMoveset!A111,tbMoveset!A2:I112,9,FALSE)="Water",Backdoors!BC30,IF(VLOOKUP(tbMoveset!A111,tbMoveset!A2:I112,9,FALSE)="Thunder",Backdoors!BD30,IF(VLOOKUP(tbMoveset!A111,tbMoveset!A2:I112,9,FALSE)="Ice",Backdoors!BE30,IF(VLOOKUP(tbMoveset!A111,tbMoveset!A2:I112,9,FALSE)="Dragon",Backdoors!BF30,Backdoors!BG30)))))/100,Backdoors!BG30/100),"")</f>
        <v>0</v>
      </c>
      <c r="GK111" s="49">
        <f>IFERROR(IF(VLOOKUP(A111,tbMoveset!A2:J112,10,FALSE)=TRUE,IF((Backdoors!AI12+IF(GI111&gt;=0.45,VLOOKUP(Calculator!E23,tbSkills!DH3:DI6,2,FALSE)+IF(AND(Calculator!B8=TRUE,Backdoors!BI30=TRUE),VLOOKUP(Calculator!E23,tbSkills!DH3:DJ6,3,FALSE),0),0))&gt;=0,1+(Backdoors!AL2*(IF((Backdoors!AI12+IF(GI111&gt;=0.45,VLOOKUP(Calculator!E23,tbSkills!DH3:DI6,2,FALSE)+IF(AND(Calculator!B8=TRUE,Backdoors!BI30=TRUE),VLOOKUP(Calculator!E23,tbSkills!DH3:DJ6,3,FALSE),0),0))&gt;=100,100,(Backdoors!AI12+IF(GI111&gt;=0.45,VLOOKUP(Calculator!E23,tbSkills!DH3:DI6,2,FALSE)+IF(AND(Calculator!B8=TRUE,Backdoors!BI30=TRUE),VLOOKUP(Calculator!E23,tbSkills!DH3:DJ6,3,FALSE),0),0)))/100)),(1-(0.25*((-Backdoors!AI12-IF(GI111&gt;=0.45,VLOOKUP(Calculator!E23,tbSkills!DH3:DI6,2,FALSE)+IF(AND(Calculator!B8=TRUE,Backdoors!BI30=TRUE),VLOOKUP(Calculator!E23,tbSkills!DH3:DJ6,3,FALSE),0),0))/100)))),1),"")</f>
        <v>1</v>
      </c>
      <c r="GL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I111)*GK111)*(VLOOKUP(A111,tbMoveset!A2:C112,3,FALSE)/100)*IF(VLOOKUP(A111,tbMoveset!A2:B112,2,FALSE)="Projectile",Backdoors!N10,Backdoors!N9),0),"")</f>
        <v/>
      </c>
      <c r="GM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I111&gt;=0.45,VLOOKUP(Calculator!E23,tbSkills!DH3:DI6,2,FALSE)+IF(AND(Calculator!B8=TRUE,Backdoors!BI30=TRUE),VLOOKUP(Calculator!E23,tbSkills!DH3:DJ6,3,FALSE),0),0))&gt;=100,100,(Backdoors!AI12+IF(GI111&gt;=0.45,VLOOKUP(Calculator!E23,tbSkills!DH3:DI6,2,FALSE)+IF(AND(Calculator!B8=TRUE,Backdoors!BI30=TRUE),VLOOKUP(Calculator!E23,tbSkills!DH3:DJ6,3,FALSE),0),0)))/100)),1))*IF(VLOOKUP(A111,tbMoveset!A2:K112,11,FALSE)=TRUE,Backdoors!AC5,1))*GJ111,0),"")</f>
        <v>0</v>
      </c>
      <c r="GN111" s="49">
        <f>VLOOKUP(A111,tbMoveset!A2:G112,7,FALSE)*IFERROR(IF(Backdoors!AI12&gt;=0,1+(IF(Calculator!E40&gt;0,VLOOKUP(Calculator!E40,tbSkills!AI3:AJ5,2,FALSE),Backdoors!AL4)*(IF((Backdoors!AI12+IF(GI111&gt;=0.45,VLOOKUP(Calculator!E23,tbSkills!DH3:DI6,2,FALSE)+IF(AND(Calculator!B8=TRUE,Backdoors!BI30=TRUE),VLOOKUP(Calculator!E23,tbSkills!DH3:DJ6,3,FALSE),0),0))&gt;=100,100,(Backdoors!AI12+IF(GI111&gt;=0.45,VLOOKUP(Calculator!E23,tbSkills!DH3:DI6,2,FALSE)+IF(AND(Calculator!B8=TRUE,Backdoors!BI30=TRUE),VLOOKUP(Calculator!E23,tbSkills!DH3:DJ6,3,FALSE),0),0)))/100)),1),1)</f>
        <v>1</v>
      </c>
      <c r="GO111" s="87">
        <f t="shared" si="78"/>
        <v>0</v>
      </c>
      <c r="GP111" s="86" t="str">
        <f>IFERROR(IF(VLOOKUP(A111,tbMoveset!A2:B112,2,FALSE)="Sever",Backdoors!AY31/100,IF(VLOOKUP(A111,tbMoveset!A2:B112,2,FALSE)="Blunt",Backdoors!AZ31/100,Backdoors!BA31/100)),"")</f>
        <v/>
      </c>
      <c r="GQ111" s="49">
        <f>IFERROR(IF(VLOOKUP(tbMoveset!A111,tbMoveset!A2:H112,8,FALSE)="Other",IF(VLOOKUP(tbMoveset!A111,tbMoveset!A2:I112,9,FALSE)="Fire",Backdoors!BB31,IF(VLOOKUP(tbMoveset!A111,tbMoveset!A2:I112,9,FALSE)="Water",Backdoors!BC31,IF(VLOOKUP(tbMoveset!A111,tbMoveset!A2:I112,9,FALSE)="Thunder",Backdoors!BD31,IF(VLOOKUP(tbMoveset!A111,tbMoveset!A2:I112,9,FALSE)="Ice",Backdoors!BE31,IF(VLOOKUP(tbMoveset!A111,tbMoveset!A2:I112,9,FALSE)="Dragon",Backdoors!BF31,Backdoors!BG31)))))/100,Backdoors!BG31/100),"")</f>
        <v>0</v>
      </c>
      <c r="GR111" s="49">
        <f>IFERROR(IF(VLOOKUP(A111,tbMoveset!A2:J112,10,FALSE)=TRUE,IF((Backdoors!AI12+IF(GP111&gt;=0.45,VLOOKUP(Calculator!E23,tbSkills!DH3:DI6,2,FALSE)+IF(AND(Calculator!B8=TRUE,Backdoors!BI31=TRUE),VLOOKUP(Calculator!E23,tbSkills!DH3:DJ6,3,FALSE),0),0))&gt;=0,1+(Backdoors!AL2*(IF((Backdoors!AI12+IF(GP111&gt;=0.45,VLOOKUP(Calculator!E23,tbSkills!DH3:DI6,2,FALSE)+IF(AND(Calculator!B8=TRUE,Backdoors!BI31=TRUE),VLOOKUP(Calculator!E23,tbSkills!DH3:DJ6,3,FALSE),0),0))&gt;=100,100,(Backdoors!AI12+IF(GP111&gt;=0.45,VLOOKUP(Calculator!E23,tbSkills!DH3:DI6,2,FALSE)+IF(AND(Calculator!B8=TRUE,Backdoors!BI31=TRUE),VLOOKUP(Calculator!E23,tbSkills!DH3:DJ6,3,FALSE),0),0)))/100)),(1-(0.25*((-Backdoors!AI12-IF(GP111&gt;=0.45,VLOOKUP(Calculator!E23,tbSkills!DH3:DI6,2,FALSE)+IF(AND(Calculator!B8=TRUE,Backdoors!BI31=TRUE),VLOOKUP(Calculator!E23,tbSkills!DH3:DJ6,3,FALSE),0),0))/100)))),1),"")</f>
        <v>1</v>
      </c>
      <c r="GS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P111)*GR111)*(VLOOKUP(A111,tbMoveset!A2:C112,3,FALSE)/100)*IF(VLOOKUP(A111,tbMoveset!A2:B112,2,FALSE)="Projectile",Backdoors!N10,Backdoors!N9),0),"")</f>
        <v/>
      </c>
      <c r="GT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P111&gt;=0.45,VLOOKUP(Calculator!E23,tbSkills!DH3:DI6,2,FALSE)+IF(AND(Calculator!B8=TRUE,Backdoors!BI31=TRUE),VLOOKUP(Calculator!E23,tbSkills!DH3:DJ6,3,FALSE),0),0))&gt;=100,100,(Backdoors!AI12+IF(GP111&gt;=0.45,VLOOKUP(Calculator!E23,tbSkills!DH3:DI6,2,FALSE)+IF(AND(Calculator!B8=TRUE,Backdoors!BI31=TRUE),VLOOKUP(Calculator!E23,tbSkills!DH3:DJ6,3,FALSE),0),0)))/100)),1))*IF(VLOOKUP(A111,tbMoveset!A2:K112,11,FALSE)=TRUE,Backdoors!AC5,1))*GQ111,0),"")</f>
        <v>0</v>
      </c>
      <c r="GU111" s="49">
        <f>VLOOKUP(A111,tbMoveset!A2:G112,7,FALSE)*IFERROR(IF(Backdoors!AI12&gt;=0,1+(IF(Calculator!E40&gt;0,VLOOKUP(Calculator!E40,tbSkills!AI3:AJ5,2,FALSE),Backdoors!AL4)*(IF((Backdoors!AI12+IF(GP111&gt;=0.45,VLOOKUP(Calculator!E23,tbSkills!DH3:DI6,2,FALSE)+IF(AND(Calculator!B8=TRUE,Backdoors!BI31=TRUE),VLOOKUP(Calculator!E23,tbSkills!DH3:DJ6,3,FALSE),0),0))&gt;=100,100,(Backdoors!AI12+IF(GP111&gt;=0.45,VLOOKUP(Calculator!E23,tbSkills!DH3:DI6,2,FALSE)+IF(AND(Calculator!B8=TRUE,Backdoors!BI31=TRUE),VLOOKUP(Calculator!E23,tbSkills!DH3:DJ6,3,FALSE),0),0)))/100)),1),1)</f>
        <v>1</v>
      </c>
      <c r="GV111" s="87">
        <f t="shared" si="79"/>
        <v>0</v>
      </c>
      <c r="GW111" s="86" t="str">
        <f>IFERROR(IF(VLOOKUP(A111,tbMoveset!A2:B112,2,FALSE)="Sever",Backdoors!AY32/100,IF(VLOOKUP(A111,tbMoveset!A2:B112,2,FALSE)="Blunt",Backdoors!AZ32/100,Backdoors!BA32/100)),"")</f>
        <v/>
      </c>
      <c r="GX111" s="49">
        <f>IFERROR(IF(VLOOKUP(tbMoveset!A111,tbMoveset!A2:H112,8,FALSE)="Other",IF(VLOOKUP(tbMoveset!A111,tbMoveset!A2:I112,9,FALSE)="Fire",Backdoors!BB32,IF(VLOOKUP(tbMoveset!A111,tbMoveset!A2:I112,9,FALSE)="Water",Backdoors!BC32,IF(VLOOKUP(tbMoveset!A111,tbMoveset!A2:I112,9,FALSE)="Thunder",Backdoors!BD32,IF(VLOOKUP(tbMoveset!A111,tbMoveset!A2:I112,9,FALSE)="Ice",Backdoors!BE32,IF(VLOOKUP(tbMoveset!A111,tbMoveset!A2:I112,9,FALSE)="Dragon",Backdoors!BF32,Backdoors!BG32)))))/100,Backdoors!BG32/100),"")</f>
        <v>0</v>
      </c>
      <c r="GY111" s="49">
        <f>IFERROR(IF(VLOOKUP(A111,tbMoveset!A2:J112,10,FALSE)=TRUE,IF((Backdoors!AI12+IF(GW111&gt;=0.45,VLOOKUP(Calculator!E23,tbSkills!DH3:DI6,2,FALSE)+IF(AND(Calculator!B8=TRUE,Backdoors!BI32=TRUE),VLOOKUP(Calculator!E23,tbSkills!DH3:DJ6,3,FALSE),0),0))&gt;=0,1+(Backdoors!AL2*(IF((Backdoors!AI12+IF(GW111&gt;=0.45,VLOOKUP(Calculator!E23,tbSkills!DH3:DI6,2,FALSE)+IF(AND(Calculator!B8=TRUE,Backdoors!BI32=TRUE),VLOOKUP(Calculator!E23,tbSkills!DH3:DJ6,3,FALSE),0),0))&gt;=100,100,(Backdoors!AI12+IF(GW111&gt;=0.45,VLOOKUP(Calculator!E23,tbSkills!DH3:DI6,2,FALSE)+IF(AND(Calculator!B8=TRUE,Backdoors!BI32=TRUE),VLOOKUP(Calculator!E23,tbSkills!DH3:DJ6,3,FALSE),0),0)))/100)),(1-(0.25*((-Backdoors!AI12-IF(GW111&gt;=0.45,VLOOKUP(Calculator!E23,tbSkills!DH3:DI6,2,FALSE)+IF(AND(Calculator!B8=TRUE,Backdoors!BI32=TRUE),VLOOKUP(Calculator!E23,tbSkills!DH3:DJ6,3,FALSE),0),0))/100)))),1),"")</f>
        <v>1</v>
      </c>
      <c r="GZ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W111)*GY111)*(VLOOKUP(A111,tbMoveset!A2:C112,3,FALSE)/100)*IF(VLOOKUP(A111,tbMoveset!A2:B112,2,FALSE)="Projectile",Backdoors!N10,Backdoors!N9),0),"")</f>
        <v/>
      </c>
      <c r="HA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W111&gt;=0.45,VLOOKUP(Calculator!E23,tbSkills!DH3:DI6,2,FALSE)+IF(AND(Calculator!B8=TRUE,Backdoors!BI32=TRUE),VLOOKUP(Calculator!E23,tbSkills!DH3:DJ6,3,FALSE),0),0))&gt;=100,100,(Backdoors!AI12+IF(GW111&gt;=0.45,VLOOKUP(Calculator!E23,tbSkills!DH3:DI6,2,FALSE)+IF(AND(Calculator!B8=TRUE,Backdoors!BI32=TRUE),VLOOKUP(Calculator!E23,tbSkills!DH3:DJ6,3,FALSE),0),0)))/100)),1))*IF(VLOOKUP(A111,tbMoveset!A2:K112,11,FALSE)=TRUE,Backdoors!AC5,1))*GX111,0),"")</f>
        <v>0</v>
      </c>
      <c r="HB111" s="49">
        <f>VLOOKUP(A111,tbMoveset!A2:G112,7,FALSE)*IFERROR(IF(Backdoors!AI12&gt;=0,1+(IF(Calculator!E40&gt;0,VLOOKUP(Calculator!E40,tbSkills!AI3:AJ5,2,FALSE),Backdoors!AL4)*(IF((Backdoors!AI12+IF(GW111&gt;=0.45,VLOOKUP(Calculator!E23,tbSkills!DH3:DI6,2,FALSE)+IF(AND(Calculator!B8=TRUE,Backdoors!BI32=TRUE),VLOOKUP(Calculator!E23,tbSkills!DH3:DJ6,3,FALSE),0),0))&gt;=100,100,(Backdoors!AI12+IF(GW111&gt;=0.45,VLOOKUP(Calculator!E23,tbSkills!DH3:DI6,2,FALSE)+IF(AND(Calculator!B8=TRUE,Backdoors!BI32=TRUE),VLOOKUP(Calculator!E23,tbSkills!DH3:DJ6,3,FALSE),0),0)))/100)),1),1)</f>
        <v>1</v>
      </c>
      <c r="HC111" s="87">
        <f t="shared" si="80"/>
        <v>0</v>
      </c>
      <c r="HD111" s="86" t="str">
        <f>IFERROR(IF(VLOOKUP(A111,tbMoveset!A2:B112,2,FALSE)="Sever",Backdoors!AY33/100,IF(VLOOKUP(A111,tbMoveset!A2:B112,2,FALSE)="Blunt",Backdoors!AZ33/100,Backdoors!BA33/100)),"")</f>
        <v/>
      </c>
      <c r="HE111" s="49">
        <f>IFERROR(IF(VLOOKUP(tbMoveset!A111,tbMoveset!A2:H112,8,FALSE)="Other",IF(VLOOKUP(tbMoveset!A111,tbMoveset!A2:I112,9,FALSE)="Fire",Backdoors!BB33,IF(VLOOKUP(tbMoveset!A111,tbMoveset!A2:I112,9,FALSE)="Water",Backdoors!BC33,IF(VLOOKUP(tbMoveset!A111,tbMoveset!A2:I112,9,FALSE)="Thunder",Backdoors!BD33,IF(VLOOKUP(tbMoveset!A111,tbMoveset!A2:I112,9,FALSE)="Ice",Backdoors!BE33,IF(VLOOKUP(tbMoveset!A111,tbMoveset!A2:I112,9,FALSE)="Dragon",Backdoors!BF33,Backdoors!BG33)))))/100,Backdoors!BG33/100),"")</f>
        <v>0</v>
      </c>
      <c r="HF111" s="49">
        <f>IFERROR(IF(VLOOKUP(A111,tbMoveset!A2:J112,10,FALSE)=TRUE,IF((Backdoors!AI12+IF(HD111&gt;=0.45,VLOOKUP(Calculator!E23,tbSkills!DH3:DI6,2,FALSE)+IF(AND(Calculator!B8=TRUE,Backdoors!BI33=TRUE),VLOOKUP(Calculator!E23,tbSkills!DH3:DJ6,3,FALSE),0),0))&gt;=0,1+(Backdoors!AL2*(IF((Backdoors!AI12+IF(HD111&gt;=0.45,VLOOKUP(Calculator!E23,tbSkills!DH3:DI6,2,FALSE)+IF(AND(Calculator!B8=TRUE,Backdoors!BI33=TRUE),VLOOKUP(Calculator!E23,tbSkills!DH3:DJ6,3,FALSE),0),0))&gt;=100,100,(Backdoors!AI12+IF(HD111&gt;=0.45,VLOOKUP(Calculator!E23,tbSkills!DH3:DI6,2,FALSE)+IF(AND(Calculator!B8=TRUE,Backdoors!BI33=TRUE),VLOOKUP(Calculator!E23,tbSkills!DH3:DJ6,3,FALSE),0),0)))/100)),(1-(0.25*((-Backdoors!AI12-IF(HD111&gt;=0.45,VLOOKUP(Calculator!E23,tbSkills!DH3:DI6,2,FALSE)+IF(AND(Calculator!B8=TRUE,Backdoors!BI33=TRUE),VLOOKUP(Calculator!E23,tbSkills!DH3:DJ6,3,FALSE),0),0))/100)))),1),"")</f>
        <v>1</v>
      </c>
      <c r="HG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D111)*HF111)*(VLOOKUP(A111,tbMoveset!A2:C112,3,FALSE)/100)*IF(VLOOKUP(A111,tbMoveset!A2:B112,2,FALSE)="Projectile",Backdoors!N10,Backdoors!N9),0),"")</f>
        <v/>
      </c>
      <c r="HH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D111&gt;=0.45,VLOOKUP(Calculator!E23,tbSkills!DH3:DI6,2,FALSE)+IF(AND(Calculator!B8=TRUE,Backdoors!BI33=TRUE),VLOOKUP(Calculator!E23,tbSkills!DH3:DJ6,3,FALSE),0),0))&gt;=100,100,(Backdoors!AI12+IF(HD111&gt;=0.45,VLOOKUP(Calculator!E23,tbSkills!DH3:DI6,2,FALSE)+IF(AND(Calculator!B8=TRUE,Backdoors!BI33=TRUE),VLOOKUP(Calculator!E23,tbSkills!DH3:DJ6,3,FALSE),0),0)))/100)),1))*IF(VLOOKUP(A111,tbMoveset!A2:K112,11,FALSE)=TRUE,Backdoors!AC5,1))*HE111,0),"")</f>
        <v>0</v>
      </c>
      <c r="HI111" s="49">
        <f>VLOOKUP(A111,tbMoveset!A2:G112,7,FALSE)*IFERROR(IF(Backdoors!AI12&gt;=0,1+(IF(Calculator!E40&gt;0,VLOOKUP(Calculator!E40,tbSkills!AI3:AJ5,2,FALSE),Backdoors!AL4)*(IF((Backdoors!AI12+IF(HD111&gt;=0.45,VLOOKUP(Calculator!E23,tbSkills!DH3:DI6,2,FALSE)+IF(AND(Calculator!B8=TRUE,Backdoors!BI33=TRUE),VLOOKUP(Calculator!E23,tbSkills!DH3:DJ6,3,FALSE),0),0))&gt;=100,100,(Backdoors!AI12+IF(HD111&gt;=0.45,VLOOKUP(Calculator!E23,tbSkills!DH3:DI6,2,FALSE)+IF(AND(Calculator!B8=TRUE,Backdoors!BI33=TRUE),VLOOKUP(Calculator!E23,tbSkills!DH3:DJ6,3,FALSE),0),0)))/100)),1),1)</f>
        <v>1</v>
      </c>
      <c r="HJ111" s="87">
        <f t="shared" si="81"/>
        <v>0</v>
      </c>
      <c r="HK111" s="86" t="str">
        <f>IFERROR(IF(VLOOKUP(A111,tbMoveset!A2:B112,2,FALSE)="Sever",Backdoors!AY34/100,IF(VLOOKUP(A111,tbMoveset!A2:B112,2,FALSE)="Blunt",Backdoors!AZ34/100,Backdoors!BA34/100)),"")</f>
        <v/>
      </c>
      <c r="HL111" s="49">
        <f>IFERROR(IF(VLOOKUP(tbMoveset!A111,tbMoveset!A2:H112,8,FALSE)="Other",IF(VLOOKUP(tbMoveset!A111,tbMoveset!A2:I112,9,FALSE)="Fire",Backdoors!BB34,IF(VLOOKUP(tbMoveset!A111,tbMoveset!A2:I112,9,FALSE)="Water",Backdoors!BC34,IF(VLOOKUP(tbMoveset!A111,tbMoveset!A2:I112,9,FALSE)="Thunder",Backdoors!BD34,IF(VLOOKUP(tbMoveset!A111,tbMoveset!A2:I112,9,FALSE)="Ice",Backdoors!BE34,IF(VLOOKUP(tbMoveset!A111,tbMoveset!A2:I112,9,FALSE)="Dragon",Backdoors!BF34,Backdoors!BG34)))))/100,Backdoors!BG34/100),"")</f>
        <v>0</v>
      </c>
      <c r="HM111" s="49">
        <f>IFERROR(IF(VLOOKUP(A111,tbMoveset!A2:J112,10,FALSE)=TRUE,IF((Backdoors!AI12+IF(HK111&gt;=0.45,VLOOKUP(Calculator!E23,tbSkills!DH3:DI6,2,FALSE)+IF(AND(Calculator!B8=TRUE,Backdoors!BI34=TRUE),VLOOKUP(Calculator!E23,tbSkills!DH3:DJ6,3,FALSE),0),0))&gt;=0,1+(Backdoors!AL2*(IF((Backdoors!AI12+IF(HK111&gt;=0.45,VLOOKUP(Calculator!E23,tbSkills!DH3:DI6,2,FALSE)+IF(AND(Calculator!B8=TRUE,Backdoors!BI34=TRUE),VLOOKUP(Calculator!E23,tbSkills!DH3:DJ6,3,FALSE),0),0))&gt;=100,100,(Backdoors!AI12+IF(HK111&gt;=0.45,VLOOKUP(Calculator!E23,tbSkills!DH3:DI6,2,FALSE)+IF(AND(Calculator!B8=TRUE,Backdoors!BI34=TRUE),VLOOKUP(Calculator!E23,tbSkills!DH3:DJ6,3,FALSE),0),0)))/100)),(1-(0.25*((-Backdoors!AI12-IF(HK111&gt;=0.45,VLOOKUP(Calculator!E23,tbSkills!DH3:DI6,2,FALSE)+IF(AND(Calculator!B8=TRUE,Backdoors!BI34=TRUE),VLOOKUP(Calculator!E23,tbSkills!DH3:DJ6,3,FALSE),0),0))/100)))),1),"")</f>
        <v>1</v>
      </c>
      <c r="HN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K111)*HM111)*(VLOOKUP(A111,tbMoveset!A2:C112,3,FALSE)/100)*IF(VLOOKUP(A111,tbMoveset!A2:B112,2,FALSE)="Projectile",Backdoors!N10,Backdoors!N9),0),"")</f>
        <v/>
      </c>
      <c r="HO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K111&gt;=0.45,VLOOKUP(Calculator!E23,tbSkills!DH3:DI6,2,FALSE)+IF(AND(Calculator!B8=TRUE,Backdoors!BI34=TRUE),VLOOKUP(Calculator!E23,tbSkills!DH3:DJ6,3,FALSE),0),0))&gt;=100,100,(Backdoors!AI12+IF(HK111&gt;=0.45,VLOOKUP(Calculator!E23,tbSkills!DH3:DI6,2,FALSE)+IF(AND(Calculator!B8=TRUE,Backdoors!BI34=TRUE),VLOOKUP(Calculator!E23,tbSkills!DH3:DJ6,3,FALSE),0),0)))/100)),1))*IF(VLOOKUP(A111,tbMoveset!A2:K112,11,FALSE)=TRUE,Backdoors!AC5,1))*HL111,0),"")</f>
        <v>0</v>
      </c>
      <c r="HP111" s="49">
        <f>VLOOKUP(A111,tbMoveset!A2:G112,7,FALSE)*IFERROR(IF(Backdoors!AI12&gt;=0,1+(IF(Calculator!E40&gt;0,VLOOKUP(Calculator!E40,tbSkills!AI3:AJ5,2,FALSE),Backdoors!AL4)*(IF((Backdoors!AI12+IF(HK111&gt;=0.45,VLOOKUP(Calculator!E23,tbSkills!DH3:DI6,2,FALSE)+IF(AND(Calculator!B8=TRUE,Backdoors!BI34=TRUE),VLOOKUP(Calculator!E23,tbSkills!DH3:DJ6,3,FALSE),0),0))&gt;=100,100,(Backdoors!AI12+IF(HK111&gt;=0.45,VLOOKUP(Calculator!E23,tbSkills!DH3:DI6,2,FALSE)+IF(AND(Calculator!B8=TRUE,Backdoors!BI34=TRUE),VLOOKUP(Calculator!E23,tbSkills!DH3:DJ6,3,FALSE),0),0)))/100)),1),1)</f>
        <v>1</v>
      </c>
      <c r="HQ111" s="87">
        <f t="shared" si="82"/>
        <v>0</v>
      </c>
      <c r="HR111" s="86" t="str">
        <f>IFERROR(IF(VLOOKUP(A111,tbMoveset!A2:B112,2,FALSE)="Sever",Backdoors!AY35/100,IF(VLOOKUP(A111,tbMoveset!A2:B112,2,FALSE)="Blunt",Backdoors!AZ35/100,Backdoors!BA35/100)),"")</f>
        <v/>
      </c>
      <c r="HS111" s="49">
        <f>IFERROR(IF(VLOOKUP(tbMoveset!A111,tbMoveset!A2:H112,8,FALSE)="Other",IF(VLOOKUP(tbMoveset!A111,tbMoveset!A2:I112,9,FALSE)="Fire",Backdoors!BB35,IF(VLOOKUP(tbMoveset!A111,tbMoveset!A2:I112,9,FALSE)="Water",Backdoors!BC35,IF(VLOOKUP(tbMoveset!A111,tbMoveset!A2:I112,9,FALSE)="Thunder",Backdoors!BD35,IF(VLOOKUP(tbMoveset!A111,tbMoveset!A2:I112,9,FALSE)="Ice",Backdoors!BE35,IF(VLOOKUP(tbMoveset!A111,tbMoveset!A2:I112,9,FALSE)="Dragon",Backdoors!BF35,Backdoors!BG35)))))/100,Backdoors!BG35/100),"")</f>
        <v>0</v>
      </c>
      <c r="HT111" s="49">
        <f>IFERROR(IF(VLOOKUP(A111,tbMoveset!A2:J112,10,FALSE)=TRUE,IF((Backdoors!AI12+IF(HR111&gt;=0.45,VLOOKUP(Calculator!E23,tbSkills!DH3:DI6,2,FALSE)+IF(AND(Calculator!B8=TRUE,Backdoors!BI35=TRUE),VLOOKUP(Calculator!E23,tbSkills!DH3:DJ6,3,FALSE),0),0))&gt;=0,1+(Backdoors!AL2*(IF((Backdoors!AI12+IF(HR111&gt;=0.45,VLOOKUP(Calculator!E23,tbSkills!DH3:DI6,2,FALSE)+IF(AND(Calculator!B8=TRUE,Backdoors!BI35=TRUE),VLOOKUP(Calculator!E23,tbSkills!DH3:DJ6,3,FALSE),0),0))&gt;=100,100,(Backdoors!AI12+IF(HR111&gt;=0.45,VLOOKUP(Calculator!E23,tbSkills!DH3:DI6,2,FALSE)+IF(AND(Calculator!B8=TRUE,Backdoors!BI35=TRUE),VLOOKUP(Calculator!E23,tbSkills!DH3:DJ6,3,FALSE),0),0)))/100)),(1-(0.25*((-Backdoors!AI12-IF(HR111&gt;=0.45,VLOOKUP(Calculator!E23,tbSkills!DH3:DI6,2,FALSE)+IF(AND(Calculator!B8=TRUE,Backdoors!BI35=TRUE),VLOOKUP(Calculator!E23,tbSkills!DH3:DJ6,3,FALSE),0),0))/100)))),1),"")</f>
        <v>1</v>
      </c>
      <c r="HU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R111)*HT111)*(VLOOKUP(A111,tbMoveset!A2:C112,3,FALSE)/100)*IF(VLOOKUP(A111,tbMoveset!A2:B112,2,FALSE)="Projectile",Backdoors!N10,Backdoors!N9),0),"")</f>
        <v/>
      </c>
      <c r="HV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R111&gt;=0.45,VLOOKUP(Calculator!E23,tbSkills!DH3:DI6,2,FALSE)+IF(AND(Calculator!B8=TRUE,Backdoors!BI35=TRUE),VLOOKUP(Calculator!E23,tbSkills!DH3:DJ6,3,FALSE),0),0))&gt;=100,100,(Backdoors!AI12+IF(HR111&gt;=0.45,VLOOKUP(Calculator!E23,tbSkills!DH3:DI6,2,FALSE)+IF(AND(Calculator!B8=TRUE,Backdoors!BI35=TRUE),VLOOKUP(Calculator!E23,tbSkills!DH3:DJ6,3,FALSE),0),0)))/100)),1))*IF(VLOOKUP(A111,tbMoveset!A2:K112,11,FALSE)=TRUE,Backdoors!AC5,1))*HS111,0),"")</f>
        <v>0</v>
      </c>
      <c r="HW111" s="49">
        <f>VLOOKUP(A111,tbMoveset!A2:G112,7,FALSE)*IFERROR(IF(Backdoors!AI12&gt;=0,1+(IF(Calculator!E40&gt;0,VLOOKUP(Calculator!E40,tbSkills!AI3:AJ5,2,FALSE),Backdoors!AL4)*(IF((Backdoors!AI12+IF(HR111&gt;=0.45,VLOOKUP(Calculator!E23,tbSkills!DH3:DI6,2,FALSE)+IF(AND(Calculator!B8=TRUE,Backdoors!BI35=TRUE),VLOOKUP(Calculator!E23,tbSkills!DH3:DJ6,3,FALSE),0),0))&gt;=100,100,(Backdoors!AI12+IF(HR111&gt;=0.45,VLOOKUP(Calculator!E23,tbSkills!DH3:DI6,2,FALSE)+IF(AND(Calculator!B8=TRUE,Backdoors!BI35=TRUE),VLOOKUP(Calculator!E23,tbSkills!DH3:DJ6,3,FALSE),0),0)))/100)),1),1)</f>
        <v>1</v>
      </c>
      <c r="HX111" s="87">
        <f t="shared" si="83"/>
        <v>0</v>
      </c>
      <c r="HY111" s="86" t="str">
        <f>IFERROR(IF(VLOOKUP(A111,tbMoveset!A2:B112,2,FALSE)="Sever",Backdoors!AY36/100,IF(VLOOKUP(A111,tbMoveset!A2:B112,2,FALSE)="Blunt",Backdoors!AZ36/100,Backdoors!BA36/100)),"")</f>
        <v/>
      </c>
      <c r="HZ111" s="49">
        <f>IFERROR(IF(VLOOKUP(tbMoveset!A111,tbMoveset!A2:H112,8,FALSE)="Other",IF(VLOOKUP(tbMoveset!A111,tbMoveset!A2:I112,9,FALSE)="Fire",Backdoors!BB36,IF(VLOOKUP(tbMoveset!A111,tbMoveset!A2:I112,9,FALSE)="Water",Backdoors!BC36,IF(VLOOKUP(tbMoveset!A111,tbMoveset!A2:I112,9,FALSE)="Thunder",Backdoors!BD36,IF(VLOOKUP(tbMoveset!A111,tbMoveset!A2:I112,9,FALSE)="Ice",Backdoors!BE36,IF(VLOOKUP(tbMoveset!A111,tbMoveset!A2:I112,9,FALSE)="Dragon",Backdoors!BF36,Backdoors!BG36)))))/100,Backdoors!BG36/100),"")</f>
        <v>0</v>
      </c>
      <c r="IA111" s="49">
        <f>IFERROR(IF(VLOOKUP(A111,tbMoveset!A2:J112,10,FALSE)=TRUE,IF((Backdoors!AI12+IF(HY111&gt;=0.45,VLOOKUP(Calculator!E23,tbSkills!DH3:DI6,2,FALSE)+IF(AND(Calculator!B8=TRUE,Backdoors!BI36=TRUE),VLOOKUP(Calculator!E23,tbSkills!DH3:DJ6,3,FALSE),0),0))&gt;=0,1+(Backdoors!AL2*(IF((Backdoors!AI12+IF(HY111&gt;=0.45,VLOOKUP(Calculator!E23,tbSkills!DH3:DI6,2,FALSE)+IF(AND(Calculator!B8=TRUE,Backdoors!BI36=TRUE),VLOOKUP(Calculator!E23,tbSkills!DH3:DJ6,3,FALSE),0),0))&gt;=100,100,(Backdoors!AI12+IF(HY111&gt;=0.45,VLOOKUP(Calculator!E23,tbSkills!DH3:DI6,2,FALSE)+IF(AND(Calculator!B8=TRUE,Backdoors!BI36=TRUE),VLOOKUP(Calculator!E23,tbSkills!DH3:DJ6,3,FALSE),0),0)))/100)),(1-(0.25*((-Backdoors!AI12-IF(HY111&gt;=0.45,VLOOKUP(Calculator!E23,tbSkills!DH3:DI6,2,FALSE)+IF(AND(Calculator!B8=TRUE,Backdoors!BI36=TRUE),VLOOKUP(Calculator!E23,tbSkills!DH3:DJ6,3,FALSE),0),0))/100)))),1),"")</f>
        <v>1</v>
      </c>
      <c r="IB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Y111)*IA111)*(VLOOKUP(A111,tbMoveset!A2:C112,3,FALSE)/100)*IF(VLOOKUP(A111,tbMoveset!A2:B112,2,FALSE)="Projectile",Backdoors!N10,Backdoors!N9),0),"")</f>
        <v/>
      </c>
      <c r="IC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Y111&gt;=0.45,VLOOKUP(Calculator!E23,tbSkills!DH3:DI6,2,FALSE)+IF(AND(Calculator!B8=TRUE,Backdoors!BI36=TRUE),VLOOKUP(Calculator!E23,tbSkills!DH3:DJ6,3,FALSE),0),0))&gt;=100,100,(Backdoors!AI12+IF(HY111&gt;=0.45,VLOOKUP(Calculator!E23,tbSkills!DH3:DI6,2,FALSE)+IF(AND(Calculator!B8=TRUE,Backdoors!BI36=TRUE),VLOOKUP(Calculator!E23,tbSkills!DH3:DJ6,3,FALSE),0),0)))/100)),1))*IF(VLOOKUP(A111,tbMoveset!A2:K112,11,FALSE)=TRUE,Backdoors!AC5,1))*HZ111,0),"")</f>
        <v>0</v>
      </c>
      <c r="ID111" s="49">
        <f>VLOOKUP(A111,tbMoveset!A2:G112,7,FALSE)*IFERROR(IF(Backdoors!AI12&gt;=0,1+(IF(Calculator!E40&gt;0,VLOOKUP(Calculator!E40,tbSkills!AI3:AJ5,2,FALSE),Backdoors!AL4)*(IF((Backdoors!AI12+IF(HY111&gt;=0.45,VLOOKUP(Calculator!E23,tbSkills!DH3:DI6,2,FALSE)+IF(AND(Calculator!B8=TRUE,Backdoors!BI36=TRUE),VLOOKUP(Calculator!E23,tbSkills!DH3:DJ6,3,FALSE),0),0))&gt;=100,100,(Backdoors!AI12+IF(HY111&gt;=0.45,VLOOKUP(Calculator!E23,tbSkills!DH3:DI6,2,FALSE)+IF(AND(Calculator!B8=TRUE,Backdoors!BI36=TRUE),VLOOKUP(Calculator!E23,tbSkills!DH3:DJ6,3,FALSE),0),0)))/100)),1),1)</f>
        <v>1</v>
      </c>
      <c r="IE111" s="87">
        <f t="shared" si="84"/>
        <v>0</v>
      </c>
      <c r="IF111" s="86" t="str">
        <f>IFERROR(IF(VLOOKUP(A111,tbMoveset!A2:B112,2,FALSE)="Sever",Backdoors!AY37/100,IF(VLOOKUP(A111,tbMoveset!A2:B112,2,FALSE)="Blunt",Backdoors!AZ37/100,Backdoors!BA37/100)),"")</f>
        <v/>
      </c>
      <c r="IG111" s="49">
        <f>IFERROR(IF(VLOOKUP(tbMoveset!A111,tbMoveset!A2:H112,8,FALSE)="Other",IF(VLOOKUP(tbMoveset!A111,tbMoveset!A2:I112,9,FALSE)="Fire",Backdoors!BB37,IF(VLOOKUP(tbMoveset!A111,tbMoveset!A2:I112,9,FALSE)="Water",Backdoors!BC37,IF(VLOOKUP(tbMoveset!A111,tbMoveset!A2:I112,9,FALSE)="Thunder",Backdoors!BD37,IF(VLOOKUP(tbMoveset!A111,tbMoveset!A2:I112,9,FALSE)="Ice",Backdoors!BE37,IF(VLOOKUP(tbMoveset!A111,tbMoveset!A2:I112,9,FALSE)="Dragon",Backdoors!BF37,Backdoors!BG37)))))/100,Backdoors!BG37/100),"")</f>
        <v>0</v>
      </c>
      <c r="IH111" s="49">
        <f>IFERROR(IF(VLOOKUP(A111,tbMoveset!A2:J112,10,FALSE)=TRUE,IF((Backdoors!AI12+IF(IF111&gt;=0.45,VLOOKUP(Calculator!E23,tbSkills!DH3:DI6,2,FALSE)+IF(AND(Calculator!B8=TRUE,Backdoors!BI37=TRUE),VLOOKUP(Calculator!E23,tbSkills!DH3:DJ6,3,FALSE),0),0))&gt;=0,1+(Backdoors!AL2*(IF((Backdoors!AI12+IF(IF111&gt;=0.45,VLOOKUP(Calculator!E23,tbSkills!DH3:DI6,2,FALSE)+IF(AND(Calculator!B8=TRUE,Backdoors!BI37=TRUE),VLOOKUP(Calculator!E23,tbSkills!DH3:DJ6,3,FALSE),0),0))&gt;=100,100,(Backdoors!AI12+IF(IF111&gt;=0.45,VLOOKUP(Calculator!E23,tbSkills!DH3:DI6,2,FALSE)+IF(AND(Calculator!B8=TRUE,Backdoors!BI37=TRUE),VLOOKUP(Calculator!E23,tbSkills!DH3:DJ6,3,FALSE),0),0)))/100)),(1-(0.25*((-Backdoors!AI12-IF(IF111&gt;=0.45,VLOOKUP(Calculator!E23,tbSkills!DH3:DI6,2,FALSE)+IF(AND(Calculator!B8=TRUE,Backdoors!BI37=TRUE),VLOOKUP(Calculator!E23,tbSkills!DH3:DJ6,3,FALSE),0),0))/100)))),1),"")</f>
        <v>1</v>
      </c>
      <c r="II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F111)*IH111)*(VLOOKUP(A111,tbMoveset!A2:C112,3,FALSE)/100)*IF(VLOOKUP(A111,tbMoveset!A2:B112,2,FALSE)="Projectile",Backdoors!N10,Backdoors!N9),0),"")</f>
        <v/>
      </c>
      <c r="IJ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IF111&gt;=0.45,VLOOKUP(Calculator!E23,tbSkills!DH3:DI6,2,FALSE)+IF(AND(Calculator!B8=TRUE,Backdoors!BI37=TRUE),VLOOKUP(Calculator!E23,tbSkills!DH3:DJ6,3,FALSE),0),0))&gt;=100,100,(Backdoors!AI12+IF(IF111&gt;=0.45,VLOOKUP(Calculator!E23,tbSkills!DH3:DI6,2,FALSE)+IF(AND(Calculator!B8=TRUE,Backdoors!BI37=TRUE),VLOOKUP(Calculator!E23,tbSkills!DH3:DJ6,3,FALSE),0),0)))/100)),1))*IF(VLOOKUP(A111,tbMoveset!A2:K112,11,FALSE)=TRUE,Backdoors!AC5,1))*IG111,0),"")</f>
        <v>0</v>
      </c>
      <c r="IK111" s="49">
        <f>VLOOKUP(A111,tbMoveset!A2:G112,7,FALSE)*IFERROR(IF(Backdoors!AI12&gt;=0,1+(IF(Calculator!E40&gt;0,VLOOKUP(Calculator!E40,tbSkills!AI3:AJ5,2,FALSE),Backdoors!AL4)*(IF((Backdoors!AI12+IF(IF111&gt;=0.45,VLOOKUP(Calculator!E23,tbSkills!DH3:DI6,2,FALSE)+IF(AND(Calculator!B8=TRUE,Backdoors!BI37=TRUE),VLOOKUP(Calculator!E23,tbSkills!DH3:DJ6,3,FALSE),0),0))&gt;=100,100,(Backdoors!AI12+IF(IF111&gt;=0.45,VLOOKUP(Calculator!E23,tbSkills!DH3:DI6,2,FALSE)+IF(AND(Calculator!B8=TRUE,Backdoors!BI37=TRUE),VLOOKUP(Calculator!E23,tbSkills!DH3:DJ6,3,FALSE),0),0)))/100)),1),1)</f>
        <v>1</v>
      </c>
      <c r="IL111" s="87">
        <f t="shared" si="85"/>
        <v>0</v>
      </c>
      <c r="IM111" s="86" t="str">
        <f>IFERROR(IF(VLOOKUP(A111,tbMoveset!A2:B112,2,FALSE)="Sever",Backdoors!AY38/100,IF(VLOOKUP(A111,tbMoveset!A2:B112,2,FALSE)="Blunt",Backdoors!AZ38/100,Backdoors!BA38/100)),"")</f>
        <v/>
      </c>
      <c r="IN111" s="49">
        <f>IFERROR(IF(VLOOKUP(tbMoveset!A111,tbMoveset!A2:H112,8,FALSE)="Other",IF(VLOOKUP(tbMoveset!A111,tbMoveset!A2:I112,9,FALSE)="Fire",Backdoors!BB38,IF(VLOOKUP(tbMoveset!A111,tbMoveset!A2:I112,9,FALSE)="Water",Backdoors!BC38,IF(VLOOKUP(tbMoveset!A111,tbMoveset!A2:I112,9,FALSE)="Thunder",Backdoors!BD38,IF(VLOOKUP(tbMoveset!A111,tbMoveset!A2:I112,9,FALSE)="Ice",Backdoors!BE38,IF(VLOOKUP(tbMoveset!A111,tbMoveset!A2:I112,9,FALSE)="Dragon",Backdoors!BF38,Backdoors!BG38)))))/100,Backdoors!BG38/100),"")</f>
        <v>0</v>
      </c>
      <c r="IO111" s="49">
        <f>IFERROR(IF(VLOOKUP(A111,tbMoveset!A2:J112,10,FALSE)=TRUE,IF((Backdoors!AI12+IF(IM111&gt;=0.45,VLOOKUP(Calculator!E23,tbSkills!DH3:DI6,2,FALSE)+IF(AND(Calculator!B8=TRUE,Backdoors!BI38=TRUE),VLOOKUP(Calculator!E23,tbSkills!DH3:DJ6,3,FALSE),0),0))&gt;=0,1+(Backdoors!AL2*(IF((Backdoors!AI12+IF(IM111&gt;=0.45,VLOOKUP(Calculator!E23,tbSkills!DH3:DI6,2,FALSE)+IF(AND(Calculator!B8=TRUE,Backdoors!BI38=TRUE),VLOOKUP(Calculator!E23,tbSkills!DH3:DJ6,3,FALSE),0),0))&gt;=100,100,(Backdoors!AI12+IF(IM111&gt;=0.45,VLOOKUP(Calculator!E23,tbSkills!DH3:DI6,2,FALSE)+IF(AND(Calculator!B8=TRUE,Backdoors!BI38=TRUE),VLOOKUP(Calculator!E23,tbSkills!DH3:DJ6,3,FALSE),0),0)))/100)),(1-(0.25*((-Backdoors!AI12-IF(IM111&gt;=0.45,VLOOKUP(Calculator!E23,tbSkills!DH3:DI6,2,FALSE)+IF(AND(Calculator!B8=TRUE,Backdoors!BI38=TRUE),VLOOKUP(Calculator!E23,tbSkills!DH3:DJ6,3,FALSE),0),0))/100)))),1),"")</f>
        <v>1</v>
      </c>
      <c r="IP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M111)*IO111)*(VLOOKUP(A111,tbMoveset!A2:C112,3,FALSE)/100)*IF(VLOOKUP(A111,tbMoveset!A2:B112,2,FALSE)="Projectile",Backdoors!N10,Backdoors!N9),0),"")</f>
        <v/>
      </c>
      <c r="IQ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IM111&gt;=0.45,VLOOKUP(Calculator!E23,tbSkills!DH3:DI6,2,FALSE)+IF(AND(Calculator!B8=TRUE,Backdoors!BI38=TRUE),VLOOKUP(Calculator!E23,tbSkills!DH3:DJ6,3,FALSE),0),0))&gt;=100,100,(Backdoors!AI12+IF(IM111&gt;=0.45,VLOOKUP(Calculator!E23,tbSkills!DH3:DI6,2,FALSE)+IF(AND(Calculator!B8=TRUE,Backdoors!BI38=TRUE),VLOOKUP(Calculator!E23,tbSkills!DH3:DJ6,3,FALSE),0),0)))/100)),1))*IF(VLOOKUP(A111,tbMoveset!A2:K112,11,FALSE)=TRUE,Backdoors!AC5,1))*IN111,0),"")</f>
        <v>0</v>
      </c>
      <c r="IR111" s="49">
        <f>VLOOKUP(A111,tbMoveset!A2:G112,7,FALSE)*IFERROR(IF(Backdoors!AI12&gt;=0,1+(IF(Calculator!E40&gt;0,VLOOKUP(Calculator!E40,tbSkills!AI3:AJ5,2,FALSE),Backdoors!AL4)*(IF((Backdoors!AI12+IF(IM111&gt;=0.45,VLOOKUP(Calculator!E23,tbSkills!DH3:DI6,2,FALSE)+IF(AND(Calculator!B8=TRUE,Backdoors!BI38=TRUE),VLOOKUP(Calculator!E23,tbSkills!DH3:DJ6,3,FALSE),0),0))&gt;=100,100,(Backdoors!AI12+IF(IM111&gt;=0.45,VLOOKUP(Calculator!E23,tbSkills!DH3:DI6,2,FALSE)+IF(AND(Calculator!B8=TRUE,Backdoors!BI38=TRUE),VLOOKUP(Calculator!E23,tbSkills!DH3:DJ6,3,FALSE),0),0)))/100)),1),1)</f>
        <v>1</v>
      </c>
      <c r="IS111" s="87">
        <f t="shared" si="86"/>
        <v>0</v>
      </c>
      <c r="IT111" s="86" t="str">
        <f>IFERROR(IF(VLOOKUP(A111,tbMoveset!A2:B112,2,FALSE)="Sever",Backdoors!AY39/100,IF(VLOOKUP(A111,tbMoveset!A2:B112,2,FALSE)="Blunt",Backdoors!AZ39/100,Backdoors!BA39/100)),"")</f>
        <v/>
      </c>
      <c r="IU111" s="49">
        <f>IFERROR(IF(VLOOKUP(tbMoveset!A111,tbMoveset!A2:H112,8,FALSE)="Other",IF(VLOOKUP(tbMoveset!A111,tbMoveset!A2:I112,9,FALSE)="Fire",Backdoors!BB39,IF(VLOOKUP(tbMoveset!A111,tbMoveset!A2:I112,9,FALSE)="Water",Backdoors!BC39,IF(VLOOKUP(tbMoveset!A111,tbMoveset!A2:I112,9,FALSE)="Thunder",Backdoors!BD39,IF(VLOOKUP(tbMoveset!A111,tbMoveset!A2:I112,9,FALSE)="Ice",Backdoors!BE39,IF(VLOOKUP(tbMoveset!A111,tbMoveset!A2:I112,9,FALSE)="Dragon",Backdoors!BF39,Backdoors!BG39)))))/100,Backdoors!BG39/100),"")</f>
        <v>0</v>
      </c>
      <c r="IV111" s="49">
        <f>IFERROR(IF(VLOOKUP(A111,tbMoveset!A2:J112,10,FALSE)=TRUE,IF((Backdoors!AI12+IF(IT111&gt;=0.45,VLOOKUP(Calculator!E23,tbSkills!DH3:DI6,2,FALSE)+IF(AND(Calculator!B8=TRUE,Backdoors!BI39=TRUE),VLOOKUP(Calculator!E23,tbSkills!DH3:DJ6,3,FALSE),0),0))&gt;=0,1+(Backdoors!AL2*(IF((Backdoors!AI12+IF(IT111&gt;=0.45,VLOOKUP(Calculator!E23,tbSkills!DH3:DI6,2,FALSE)+IF(AND(Calculator!B8=TRUE,Backdoors!BI39=TRUE),VLOOKUP(Calculator!E23,tbSkills!DH3:DJ6,3,FALSE),0),0))&gt;=100,100,(Backdoors!AI12+IF(IT111&gt;=0.45,VLOOKUP(Calculator!E23,tbSkills!DH3:DI6,2,FALSE)+IF(AND(Calculator!B8=TRUE,Backdoors!BI39=TRUE),VLOOKUP(Calculator!E23,tbSkills!DH3:DJ6,3,FALSE),0),0)))/100)),(1-(0.25*((-Backdoors!AI12-IF(IT111&gt;=0.45,VLOOKUP(Calculator!E23,tbSkills!DH3:DI6,2,FALSE)+IF(AND(Calculator!B8=TRUE,Backdoors!BI39=TRUE),VLOOKUP(Calculator!E23,tbSkills!DH3:DJ6,3,FALSE),0),0))/100)))),1),"")</f>
        <v>1</v>
      </c>
      <c r="IW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T111)*IV111)*(VLOOKUP(A111,tbMoveset!A2:C112,3,FALSE)/100)*IF(VLOOKUP(A111,tbMoveset!A2:B112,2,FALSE)="Projectile",Backdoors!N10,Backdoors!N9),0),"")</f>
        <v/>
      </c>
      <c r="IX111" s="49">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40&gt;0,VLOOKUP(Calculator!E40,tbSkills!AC3:AD5,2,FALSE),Backdoors!AL3)*(IF((Backdoors!AI12+IF(IT111&gt;=0.45,VLOOKUP(Calculator!E23,tbSkills!DH3:DI6,2,FALSE)+IF(AND(Calculator!B8=TRUE,Backdoors!BI39=TRUE),VLOOKUP(Calculator!E23,tbSkills!DH3:DJ6,3,FALSE),0),0))&gt;=100,100,(Backdoors!AI12+IF(IT111&gt;=0.45,VLOOKUP(Calculator!E23,tbSkills!DH3:DI6,2,FALSE)+IF(AND(Calculator!B8=TRUE,Backdoors!BI39=TRUE),VLOOKUP(Calculator!E23,tbSkills!DH3:DJ6,3,FALSE),0),0)))/100)),1))*IF(VLOOKUP(A111,tbMoveset!A2:K112,11,FALSE)=TRUE,Backdoors!AC5,1))*IU111,0),"")</f>
        <v>0</v>
      </c>
      <c r="IY111" s="49">
        <f>VLOOKUP(A111,tbMoveset!A2:G112,7,FALSE)*IFERROR(IF(Backdoors!AI12&gt;=0,1+(IF(Calculator!E40&gt;0,VLOOKUP(Calculator!E40,tbSkills!AI3:AJ5,2,FALSE),Backdoors!AL4)*(IF((Backdoors!AI12+IF(IT111&gt;=0.45,VLOOKUP(Calculator!E23,tbSkills!DH3:DI6,2,FALSE)+IF(AND(Calculator!B8=TRUE,Backdoors!BI39=TRUE),VLOOKUP(Calculator!E23,tbSkills!DH3:DJ6,3,FALSE),0),0))&gt;=100,100,(Backdoors!AI12+IF(IT111&gt;=0.45,VLOOKUP(Calculator!E23,tbSkills!DH3:DI6,2,FALSE)+IF(AND(Calculator!B8=TRUE,Backdoors!BI39=TRUE),VLOOKUP(Calculator!E23,tbSkills!DH3:DJ6,3,FALSE),0),0)))/100)),1),1)</f>
        <v>1</v>
      </c>
      <c r="IZ111" s="87">
        <f t="shared" si="87"/>
        <v>0</v>
      </c>
      <c r="JA111" s="86" t="str">
        <f>IFERROR(IF(VLOOKUP(A111,tbMoveset!A2:B112,2,FALSE)="Sever",Backdoors!AY40/100,IF(VLOOKUP(A111,tbMoveset!A2:B112,2,FALSE)="Blunt",Backdoors!AZ40/100,Backdoors!BA40/100)),"")</f>
        <v/>
      </c>
      <c r="JB111" s="49">
        <f>IFERROR(IF(VLOOKUP(tbMoveset!A111,tbMoveset!A2:H112,8,FALSE)="Other",IF(VLOOKUP(tbMoveset!A111,tbMoveset!A2:I112,9,FALSE)="Fire",Backdoors!BB40,IF(VLOOKUP(tbMoveset!A111,tbMoveset!A2:I112,9,FALSE)="Water",Backdoors!BC40,IF(VLOOKUP(tbMoveset!A111,tbMoveset!A2:I112,9,FALSE)="Thunder",Backdoors!BD40,IF(VLOOKUP(tbMoveset!A111,tbMoveset!A2:I112,9,FALSE)="Ice",Backdoors!BE40,IF(VLOOKUP(tbMoveset!A111,tbMoveset!A2:I112,9,FALSE)="Dragon",Backdoors!BF40,Backdoors!BG40)))))/100,Backdoors!BG40/100),"")</f>
        <v>0</v>
      </c>
      <c r="JC111" s="49">
        <f>IFERROR(IF(VLOOKUP(A111,tbMoveset!A2:J112,10,FALSE)=TRUE,IF((Backdoors!AI12+IF(JA111&gt;=0.45,VLOOKUP(Calculator!E23,tbSkills!DH3:DI6,2,FALSE)+IF(AND(Calculator!B8=TRUE,Backdoors!BI40=TRUE),VLOOKUP(Calculator!E23,tbSkills!DH3:DJ6,3,FALSE),0),0))&gt;=0,1+(Backdoors!AL2*(IF((Backdoors!AI12+IF(JA111&gt;=0.45,VLOOKUP(Calculator!E23,tbSkills!DH3:DI6,2,FALSE)+IF(AND(Calculator!B8=TRUE,Backdoors!BI40=TRUE),VLOOKUP(Calculator!E23,tbSkills!DH3:DJ6,3,FALSE),0),0))&gt;=100,100,(Backdoors!AI12+IF(JA111&gt;=0.45,VLOOKUP(Calculator!E23,tbSkills!DH3:DI6,2,FALSE)+IF(AND(Calculator!B8=TRUE,Backdoors!BI40=TRUE),VLOOKUP(Calculator!E23,tbSkills!DH3:DJ6,3,FALSE),0),0)))/100)),(1-(0.25*((-Backdoors!AI12-IF(JA111&gt;=0.45,VLOOKUP(Calculator!E23,tbSkills!DH3:DI6,2,FALSE)+IF(AND(Calculator!B8=TRUE,Backdoors!BI40=TRUE),VLOOKUP(Calculator!E23,tbSkills!DH3:DJ6,3,FALSE),0),0))/100)))),1),"")</f>
        <v>1</v>
      </c>
      <c r="JD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A111)*JC111)*(VLOOKUP(A111,tbMoveset!A2:C112,3,FALSE)/100)*IF(VLOOKUP(A111,tbMoveset!A2:B112,2,FALSE)="Projectile",Backdoors!N10,Backdoors!N9),0),"")</f>
        <v/>
      </c>
      <c r="JE111" s="49">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42&gt;0,VLOOKUP(Calculator!E42,tbSkills!AC3:AD5,2,FALSE),Backdoors!AL3)*(IF((Backdoors!AI12+IF(JA111&gt;=0.45,VLOOKUP(Calculator!E23,tbSkills!DH3:DI6,2,FALSE)+IF(AND(Calculator!B8=TRUE,Backdoors!BI40=TRUE),VLOOKUP(Calculator!E23,tbSkills!DH3:DJ6,3,FALSE),0),0))&gt;=100,100,(Backdoors!AI12+IF(JA111&gt;=0.45,VLOOKUP(Calculator!E23,tbSkills!DH3:DI6,2,FALSE)+IF(AND(Calculator!B8=TRUE,Backdoors!BI40=TRUE),VLOOKUP(Calculator!E23,tbSkills!DH3:DJ6,3,FALSE),0),0)))/100)),1))*IF(VLOOKUP(A111,tbMoveset!A2:K112,11,FALSE)=TRUE,Backdoors!AC5,1))*JB111,0),"")</f>
        <v>0</v>
      </c>
      <c r="JF111" s="49">
        <f>VLOOKUP(A111,tbMoveset!A2:G112,7,FALSE)*IFERROR(IF(Backdoors!AI12&gt;=0,1+(IF(Calculator!E40&gt;0,VLOOKUP(Calculator!E40,tbSkills!AI3:AJ5,2,FALSE),Backdoors!AL4)*(IF((Backdoors!AI12+IF(JA111&gt;=0.45,VLOOKUP(Calculator!E23,tbSkills!DH3:DI6,2,FALSE)+IF(AND(Calculator!B8=TRUE,Backdoors!BI40=TRUE),VLOOKUP(Calculator!E23,tbSkills!DH3:DJ6,3,FALSE),0),0))&gt;=100,100,(Backdoors!AI12+IF(JA111&gt;=0.45,VLOOKUP(Calculator!E23,tbSkills!DH3:DI6,2,FALSE)+IF(AND(Calculator!B8=TRUE,Backdoors!BI40=TRUE),VLOOKUP(Calculator!E23,tbSkills!DH3:DJ6,3,FALSE),0),0)))/100)),1),1)</f>
        <v>1</v>
      </c>
      <c r="JG111" s="87">
        <f t="shared" si="88"/>
        <v>0</v>
      </c>
      <c r="JH111" s="86" t="str">
        <f>IFERROR(IF(VLOOKUP(A111,tbMoveset!A2:B112,2,FALSE)="Sever",Backdoors!AY41/100,IF(VLOOKUP(A111,tbMoveset!A2:B112,2,FALSE)="Blunt",Backdoors!AZ41/100,Backdoors!BA41/100)),"")</f>
        <v/>
      </c>
      <c r="JI111" s="49">
        <f>IFERROR(IF(VLOOKUP(tbMoveset!A111,tbMoveset!A2:H112,8,FALSE)="Other",IF(VLOOKUP(tbMoveset!A111,tbMoveset!A2:I112,9,FALSE)="Fire",Backdoors!BB41,IF(VLOOKUP(tbMoveset!A111,tbMoveset!A2:I112,9,FALSE)="Water",Backdoors!BC41,IF(VLOOKUP(tbMoveset!A111,tbMoveset!A2:I112,9,FALSE)="Thunder",Backdoors!BD41,IF(VLOOKUP(tbMoveset!A111,tbMoveset!A2:I112,9,FALSE)="Ice",Backdoors!BE41,IF(VLOOKUP(tbMoveset!A111,tbMoveset!A2:I112,9,FALSE)="Dragon",Backdoors!BF41,Backdoors!BG41)))))/100,Backdoors!BG41/100),"")</f>
        <v>0</v>
      </c>
      <c r="JJ111" s="49">
        <f>IFERROR(IF(VLOOKUP(A111,tbMoveset!A2:J112,10,FALSE)=TRUE,IF((Backdoors!AI12+IF(JH111&gt;=0.45,VLOOKUP(Calculator!E23,tbSkills!DH3:DI6,2,FALSE)+IF(AND(Calculator!B8=TRUE,Backdoors!BI41=TRUE),VLOOKUP(Calculator!E23,tbSkills!DH3:DJ6,3,FALSE),0),0))&gt;=0,1+(Backdoors!AL2*(IF((Backdoors!AI12+IF(JH111&gt;=0.45,VLOOKUP(Calculator!E23,tbSkills!DH3:DI6,2,FALSE)+IF(AND(Calculator!B8=TRUE,Backdoors!BI41=TRUE),VLOOKUP(Calculator!E23,tbSkills!DH3:DJ6,3,FALSE),0),0))&gt;=100,100,(Backdoors!AI12+IF(JH111&gt;=0.45,VLOOKUP(Calculator!E23,tbSkills!DH3:DI6,2,FALSE)+IF(AND(Calculator!B8=TRUE,Backdoors!BI41=TRUE),VLOOKUP(Calculator!E23,tbSkills!DH3:DJ6,3,FALSE),0),0)))/100)),(1-(0.25*((-Backdoors!AI12-IF(JH111&gt;=0.45,VLOOKUP(Calculator!E23,tbSkills!DH3:DI6,2,FALSE)+IF(AND(Calculator!B8=TRUE,Backdoors!BI41=TRUE),VLOOKUP(Calculator!E23,tbSkills!DH3:DJ6,3,FALSE),0),0))/100)))),1),"")</f>
        <v>1</v>
      </c>
      <c r="JK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H111)*JJ111)*(VLOOKUP(A111,tbMoveset!A2:C112,3,FALSE)/100)*IF(VLOOKUP(A111,tbMoveset!A2:B112,2,FALSE)="Projectile",Backdoors!N10,Backdoors!N9),0),"")</f>
        <v/>
      </c>
      <c r="JL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43&gt;0,VLOOKUP(Calculator!E43,tbSkills!AC3:AD5,2,FALSE),Backdoors!AL3)*(IF((Backdoors!AI12+IF(JH111&gt;=0.45,VLOOKUP(Calculator!E23,tbSkills!DH3:DI6,2,FALSE)+IF(AND(Calculator!B8=TRUE,Backdoors!BI41=TRUE),VLOOKUP(Calculator!E23,tbSkills!DH3:DJ6,3,FALSE),0),0))&gt;=100,100,(Backdoors!AI12+IF(JH111&gt;=0.45,VLOOKUP(Calculator!E23,tbSkills!DH3:DI6,2,FALSE)+IF(AND(Calculator!B8=TRUE,Backdoors!BI41=TRUE),VLOOKUP(Calculator!E23,tbSkills!DH3:DJ6,3,FALSE),0),0)))/100)),1))*IF(VLOOKUP(A111,tbMoveset!A2:K112,11,FALSE)=TRUE,Backdoors!AC5,1))*JI111,0),"")</f>
        <v/>
      </c>
      <c r="JM111" s="49">
        <f>VLOOKUP(A111,tbMoveset!A2:G112,7,FALSE)*IFERROR(IF(Backdoors!AI12&gt;=0,1+(IF(Calculator!E40&gt;0,VLOOKUP(Calculator!E40,tbSkills!AI3:AJ5,2,FALSE),Backdoors!AL4)*(IF((Backdoors!AI12+IF(JH111&gt;=0.45,VLOOKUP(Calculator!E23,tbSkills!DH3:DI6,2,FALSE)+IF(AND(Calculator!B8=TRUE,Backdoors!BI41=TRUE),VLOOKUP(Calculator!E23,tbSkills!DH3:DJ6,3,FALSE),0),0))&gt;=100,100,(Backdoors!AI12+IF(JH111&gt;=0.45,VLOOKUP(Calculator!E23,tbSkills!DH3:DI6,2,FALSE)+IF(AND(Calculator!B8=TRUE,Backdoors!BI41=TRUE),VLOOKUP(Calculator!E23,tbSkills!DH3:DJ6,3,FALSE),0),0)))/100)),1),1)</f>
        <v>1</v>
      </c>
      <c r="JN111" s="87">
        <f t="shared" si="89"/>
        <v>0</v>
      </c>
      <c r="JO111" s="86" t="str">
        <f>IFERROR(IF(VLOOKUP(A111,tbMoveset!A2:B112,2,FALSE)="Sever",Backdoors!AY42/100,IF(VLOOKUP(A111,tbMoveset!A2:B112,2,FALSE)="Blunt",Backdoors!AZ42/100,Backdoors!BA42/100)),"")</f>
        <v/>
      </c>
      <c r="JP111" s="49">
        <f>IFERROR(IF(VLOOKUP(tbMoveset!A111,tbMoveset!A2:H112,8,FALSE)="Other",IF(VLOOKUP(tbMoveset!A111,tbMoveset!A2:I112,9,FALSE)="Fire",Backdoors!BB42,IF(VLOOKUP(tbMoveset!A111,tbMoveset!A2:I112,9,FALSE)="Water",Backdoors!BC42,IF(VLOOKUP(tbMoveset!A111,tbMoveset!A2:I112,9,FALSE)="Thunder",Backdoors!BD42,IF(VLOOKUP(tbMoveset!A111,tbMoveset!A2:I112,9,FALSE)="Ice",Backdoors!BE42,IF(VLOOKUP(tbMoveset!A111,tbMoveset!A2:I112,9,FALSE)="Dragon",Backdoors!BF42,Backdoors!BG42)))))/100,Backdoors!BG42/100),"")</f>
        <v>0</v>
      </c>
      <c r="JQ111" s="49">
        <f>IFERROR(IF(VLOOKUP(A111,tbMoveset!A2:J112,10,FALSE)=TRUE,IF((Backdoors!AI12+IF(JO111&gt;=0.45,VLOOKUP(Calculator!E23,tbSkills!DH3:DI6,2,FALSE)+IF(AND(Calculator!B8=TRUE,Backdoors!BI42=TRUE),VLOOKUP(Calculator!E23,tbSkills!DH3:DJ6,3,FALSE),0),0))&gt;=0,1+(Backdoors!AL2*(IF((Backdoors!AI12+IF(JO111&gt;=0.45,VLOOKUP(Calculator!E23,tbSkills!DH3:DI6,2,FALSE)+IF(AND(Calculator!B8=TRUE,Backdoors!BI42=TRUE),VLOOKUP(Calculator!E23,tbSkills!DH3:DJ6,3,FALSE),0),0))&gt;=100,100,(Backdoors!AI12+IF(JO111&gt;=0.45,VLOOKUP(Calculator!E23,tbSkills!DH3:DI6,2,FALSE)+IF(AND(Calculator!B8=TRUE,Backdoors!BI42=TRUE),VLOOKUP(Calculator!E23,tbSkills!DH3:DJ6,3,FALSE),0),0)))/100)),(1-(0.25*((-Backdoors!AI12-IF(JO111&gt;=0.45,VLOOKUP(Calculator!E23,tbSkills!DH3:DI6,2,FALSE)+IF(AND(Calculator!B8=TRUE,Backdoors!BI42=TRUE),VLOOKUP(Calculator!E23,tbSkills!DH3:DJ6,3,FALSE),0),0))/100)))),1),"")</f>
        <v>1</v>
      </c>
      <c r="JR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O111)*JQ111)*(VLOOKUP(A111,tbMoveset!A2:C112,3,FALSE)/100)*IF(VLOOKUP(A111,tbMoveset!A2:B112,2,FALSE)="Projectile",Backdoors!N10,Backdoors!N9),0),"")</f>
        <v/>
      </c>
      <c r="JS111" s="49">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45&gt;0,VLOOKUP(Calculator!E45,tbSkills!AC3:AD5,2,FALSE),Backdoors!AL3)*(IF((Backdoors!AI12+IF(JO111&gt;=0.45,VLOOKUP(Calculator!E23,tbSkills!DH3:DI6,2,FALSE)+IF(AND(Calculator!B8=TRUE,Backdoors!BI42=TRUE),VLOOKUP(Calculator!E23,tbSkills!DH3:DJ6,3,FALSE),0),0))&gt;=100,100,(Backdoors!AI12+IF(JO111&gt;=0.45,VLOOKUP(Calculator!E23,tbSkills!DH3:DI6,2,FALSE)+IF(AND(Calculator!B8=TRUE,Backdoors!BI42=TRUE),VLOOKUP(Calculator!E23,tbSkills!DH3:DJ6,3,FALSE),0),0)))/100)),1))*IF(VLOOKUP(A111,tbMoveset!A2:K112,11,FALSE)=TRUE,Backdoors!AC5,1))*JP111,0),"")</f>
        <v>0</v>
      </c>
      <c r="JT111" s="49">
        <f>VLOOKUP(A111,tbMoveset!A2:G112,7,FALSE)*IFERROR(IF(Backdoors!AI12&gt;=0,1+(IF(Calculator!E40&gt;0,VLOOKUP(Calculator!E40,tbSkills!AI3:AJ5,2,FALSE),Backdoors!AL4)*(IF((Backdoors!AI12+IF(JO111&gt;=0.45,VLOOKUP(Calculator!E23,tbSkills!DH3:DI6,2,FALSE)+IF(AND(Calculator!B8=TRUE,Backdoors!BI42=TRUE),VLOOKUP(Calculator!E23,tbSkills!DH3:DJ6,3,FALSE),0),0))&gt;=100,100,(Backdoors!AI12+IF(JO111&gt;=0.45,VLOOKUP(Calculator!E23,tbSkills!DH3:DI6,2,FALSE)+IF(AND(Calculator!B8=TRUE,Backdoors!BI42=TRUE),VLOOKUP(Calculator!E23,tbSkills!DH3:DJ6,3,FALSE),0),0)))/100)),1),1)</f>
        <v>1</v>
      </c>
      <c r="JU111" s="87">
        <f t="shared" si="90"/>
        <v>0</v>
      </c>
      <c r="JV111" s="86" t="str">
        <f>IFERROR(IF(VLOOKUP(A111,tbMoveset!A2:B112,2,FALSE)="Sever",Backdoors!AY43/100,IF(VLOOKUP(A111,tbMoveset!A2:B112,2,FALSE)="Blunt",Backdoors!AZ43/100,Backdoors!BA43/100)),"")</f>
        <v/>
      </c>
      <c r="JW111" s="49">
        <f>IFERROR(IF(VLOOKUP(tbMoveset!A111,tbMoveset!A2:H112,8,FALSE)="Other",IF(VLOOKUP(tbMoveset!A111,tbMoveset!A2:I112,9,FALSE)="Fire",Backdoors!BB43,IF(VLOOKUP(tbMoveset!A111,tbMoveset!A2:I112,9,FALSE)="Water",Backdoors!BC43,IF(VLOOKUP(tbMoveset!A111,tbMoveset!A2:I112,9,FALSE)="Thunder",Backdoors!BD43,IF(VLOOKUP(tbMoveset!A111,tbMoveset!A2:I112,9,FALSE)="Ice",Backdoors!BE43,IF(VLOOKUP(tbMoveset!A111,tbMoveset!A2:I112,9,FALSE)="Dragon",Backdoors!BF43,Backdoors!BG43)))))/100,Backdoors!BG43/100),"")</f>
        <v>0</v>
      </c>
      <c r="JX111" s="49">
        <f>IFERROR(IF(VLOOKUP(A111,tbMoveset!A2:J112,10,FALSE)=TRUE,IF((Backdoors!AI12+IF(JV111&gt;=0.45,VLOOKUP(Calculator!E23,tbSkills!DH3:DI6,2,FALSE)+IF(AND(Calculator!B8=TRUE,Backdoors!BI43=TRUE),VLOOKUP(Calculator!E23,tbSkills!DH3:DJ6,3,FALSE),0),0))&gt;=0,1+(Backdoors!AL2*(IF((Backdoors!AI12+IF(JV111&gt;=0.45,VLOOKUP(Calculator!E23,tbSkills!DH3:DI6,2,FALSE)+IF(AND(Calculator!B8=TRUE,Backdoors!BI43=TRUE),VLOOKUP(Calculator!E23,tbSkills!DH3:DJ6,3,FALSE),0),0))&gt;=100,100,(Backdoors!AI12+IF(JV111&gt;=0.45,VLOOKUP(Calculator!E23,tbSkills!DH3:DI6,2,FALSE)+IF(AND(Calculator!B8=TRUE,Backdoors!BI43=TRUE),VLOOKUP(Calculator!E23,tbSkills!DH3:DJ6,3,FALSE),0),0)))/100)),(1-(0.25*((-Backdoors!AI12-IF(JV111&gt;=0.45,VLOOKUP(Calculator!E23,tbSkills!DH3:DI6,2,FALSE)+IF(AND(Calculator!B8=TRUE,Backdoors!BI43=TRUE),VLOOKUP(Calculator!E23,tbSkills!DH3:DJ6,3,FALSE),0),0))/100)))),1),"")</f>
        <v>1</v>
      </c>
      <c r="JY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V111)*JX111)*(VLOOKUP(A111,tbMoveset!A2:C112,3,FALSE)/100)*IF(VLOOKUP(A111,tbMoveset!A2:B112,2,FALSE)="Projectile",Backdoors!N10,Backdoors!N9),0),"")</f>
        <v/>
      </c>
      <c r="JZ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46&gt;0,VLOOKUP(Calculator!E46,tbSkills!AC3:AD5,2,FALSE),Backdoors!AL3)*(IF((Backdoors!AI12+IF(JV111&gt;=0.45,VLOOKUP(Calculator!E23,tbSkills!DH3:DI6,2,FALSE)+IF(AND(Calculator!B8=TRUE,Backdoors!BI43=TRUE),VLOOKUP(Calculator!E23,tbSkills!DH3:DJ6,3,FALSE),0),0))&gt;=100,100,(Backdoors!AI12+IF(JV111&gt;=0.45,VLOOKUP(Calculator!E23,tbSkills!DH3:DI6,2,FALSE)+IF(AND(Calculator!B8=TRUE,Backdoors!BI43=TRUE),VLOOKUP(Calculator!E23,tbSkills!DH3:DJ6,3,FALSE),0),0)))/100)),1))*IF(VLOOKUP(A111,tbMoveset!A2:K112,11,FALSE)=TRUE,Backdoors!AC5,1))*JW111,0),"")</f>
        <v/>
      </c>
      <c r="KA111" s="49">
        <f>VLOOKUP(A111,tbMoveset!A2:G112,7,FALSE)*IFERROR(IF(Backdoors!AI12&gt;=0,1+(IF(Calculator!E40&gt;0,VLOOKUP(Calculator!E40,tbSkills!AI3:AJ5,2,FALSE),Backdoors!AL4)*(IF((Backdoors!AI12+IF(JV111&gt;=0.45,VLOOKUP(Calculator!E23,tbSkills!DH3:DI6,2,FALSE)+IF(AND(Calculator!B8=TRUE,Backdoors!BI43=TRUE),VLOOKUP(Calculator!E23,tbSkills!DH3:DJ6,3,FALSE),0),0))&gt;=100,100,(Backdoors!AI12+IF(JV111&gt;=0.45,VLOOKUP(Calculator!E23,tbSkills!DH3:DI6,2,FALSE)+IF(AND(Calculator!B8=TRUE,Backdoors!BI43=TRUE),VLOOKUP(Calculator!E23,tbSkills!DH3:DJ6,3,FALSE),0),0)))/100)),1),1)</f>
        <v>1</v>
      </c>
      <c r="KB111" s="87">
        <f t="shared" si="91"/>
        <v>0</v>
      </c>
      <c r="KC111" s="86" t="str">
        <f>IFERROR(IF(VLOOKUP(A111,tbMoveset!A2:B112,2,FALSE)="Sever",Backdoors!AY44/100,IF(VLOOKUP(A111,tbMoveset!A2:B112,2,FALSE)="Blunt",Backdoors!AZ44/100,Backdoors!BA44/100)),"")</f>
        <v/>
      </c>
      <c r="KD111" s="49">
        <f>IFERROR(IF(VLOOKUP(tbMoveset!A111,tbMoveset!A2:H112,8,FALSE)="Other",IF(VLOOKUP(tbMoveset!A111,tbMoveset!A2:I112,9,FALSE)="Fire",Backdoors!BB44,IF(VLOOKUP(tbMoveset!A111,tbMoveset!A2:I112,9,FALSE)="Water",Backdoors!BC44,IF(VLOOKUP(tbMoveset!A111,tbMoveset!A2:I112,9,FALSE)="Thunder",Backdoors!BD44,IF(VLOOKUP(tbMoveset!A111,tbMoveset!A2:I112,9,FALSE)="Ice",Backdoors!BE44,IF(VLOOKUP(tbMoveset!A111,tbMoveset!A2:I112,9,FALSE)="Dragon",Backdoors!BF44,Backdoors!BG44)))))/100,Backdoors!BG44/100),"")</f>
        <v>0</v>
      </c>
      <c r="KE111" s="49">
        <f>IFERROR(IF(VLOOKUP(A111,tbMoveset!A2:J112,10,FALSE)=TRUE,IF((Backdoors!AI12+IF(KC111&gt;=0.45,VLOOKUP(Calculator!E23,tbSkills!DH3:DI6,2,FALSE)+IF(AND(Calculator!B8=TRUE,Backdoors!BI44=TRUE),VLOOKUP(Calculator!E23,tbSkills!DH3:DJ6,3,FALSE),0),0))&gt;=0,1+(Backdoors!AL2*(IF((Backdoors!AI12+IF(KC111&gt;=0.45,VLOOKUP(Calculator!E23,tbSkills!DH3:DI6,2,FALSE)+IF(AND(Calculator!B8=TRUE,Backdoors!BI44=TRUE),VLOOKUP(Calculator!E23,tbSkills!DH3:DJ6,3,FALSE),0),0))&gt;=100,100,(Backdoors!AI12+IF(KC111&gt;=0.45,VLOOKUP(Calculator!E23,tbSkills!DH3:DI6,2,FALSE)+IF(AND(Calculator!B8=TRUE,Backdoors!BI44=TRUE),VLOOKUP(Calculator!E23,tbSkills!DH3:DJ6,3,FALSE),0),0)))/100)),(1-(0.25*((-Backdoors!AI12-IF(KC111&gt;=0.45,VLOOKUP(Calculator!E23,tbSkills!DH3:DI6,2,FALSE)+IF(AND(Calculator!B8=TRUE,Backdoors!BI44=TRUE),VLOOKUP(Calculator!E23,tbSkills!DH3:DJ6,3,FALSE),0),0))/100)))),1),"")</f>
        <v>1</v>
      </c>
      <c r="KF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KC111)*KE111)*(VLOOKUP(A111,tbMoveset!A2:C112,3,FALSE)/100)*IF(VLOOKUP(A111,tbMoveset!A2:B112,2,FALSE)="Projectile",Backdoors!N10,Backdoors!N9),0),"")</f>
        <v/>
      </c>
      <c r="KG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REF!&gt;0,VLOOKUP(Calculator!#REF!,tbSkills!AC3:AD5,2,FALSE),Backdoors!AL3)*(IF((Backdoors!AI12+IF(KC111&gt;=0.45,VLOOKUP(Calculator!E23,tbSkills!DH3:DI6,2,FALSE)+IF(AND(Calculator!B8=TRUE,Backdoors!BI44=TRUE),VLOOKUP(Calculator!E23,tbSkills!DH3:DJ6,3,FALSE),0),0))&gt;=100,100,(Backdoors!AI12+IF(KC111&gt;=0.45,VLOOKUP(Calculator!E23,tbSkills!DH3:DI6,2,FALSE)+IF(AND(Calculator!B8=TRUE,Backdoors!BI44=TRUE),VLOOKUP(Calculator!E23,tbSkills!DH3:DJ6,3,FALSE),0),0)))/100)),1))*IF(VLOOKUP(A111,tbMoveset!A2:K112,11,FALSE)=TRUE,Backdoors!AC5,1))*KD111,0),"")</f>
        <v/>
      </c>
      <c r="KH111" s="49">
        <f>VLOOKUP(A111,tbMoveset!A2:G112,7,FALSE)*IFERROR(IF(Backdoors!AI12&gt;=0,1+(IF(Calculator!E40&gt;0,VLOOKUP(Calculator!E40,tbSkills!AI3:AJ5,2,FALSE),Backdoors!AL4)*(IF((Backdoors!AI12+IF(KC111&gt;=0.45,VLOOKUP(Calculator!E23,tbSkills!DH3:DI6,2,FALSE)+IF(AND(Calculator!B8=TRUE,Backdoors!BI44=TRUE),VLOOKUP(Calculator!E23,tbSkills!DH3:DJ6,3,FALSE),0),0))&gt;=100,100,(Backdoors!AI12+IF(KC111&gt;=0.45,VLOOKUP(Calculator!E23,tbSkills!DH3:DI6,2,FALSE)+IF(AND(Calculator!B8=TRUE,Backdoors!BI44=TRUE),VLOOKUP(Calculator!E23,tbSkills!DH3:DJ6,3,FALSE),0),0)))/100)),1),1)</f>
        <v>1</v>
      </c>
      <c r="KI111" s="87">
        <f t="shared" si="92"/>
        <v>0</v>
      </c>
      <c r="KJ111" s="86" t="str">
        <f>IFERROR(IF(VLOOKUP(A111,tbMoveset!A2:B112,2,FALSE)="Sever",Backdoors!AY45/100,IF(VLOOKUP(A111,tbMoveset!A2:B112,2,FALSE)="Blunt",Backdoors!AZ45/100,Backdoors!BA45/100)),"")</f>
        <v/>
      </c>
      <c r="KK111" s="49">
        <f>IFERROR(IF(VLOOKUP(tbMoveset!A111,tbMoveset!A2:H112,8,FALSE)="Other",IF(VLOOKUP(tbMoveset!A111,tbMoveset!A2:I112,9,FALSE)="Fire",Backdoors!BB45,IF(VLOOKUP(tbMoveset!A111,tbMoveset!A2:I112,9,FALSE)="Water",Backdoors!BC45,IF(VLOOKUP(tbMoveset!A111,tbMoveset!A2:I112,9,FALSE)="Thunder",Backdoors!BD45,IF(VLOOKUP(tbMoveset!A111,tbMoveset!A2:I112,9,FALSE)="Ice",Backdoors!BE45,IF(VLOOKUP(tbMoveset!A111,tbMoveset!A2:I112,9,FALSE)="Dragon",Backdoors!BF45,Backdoors!BG45)))))/100,Backdoors!BG45/100),"")</f>
        <v>0</v>
      </c>
      <c r="KL111" s="49">
        <f>IFERROR(IF(VLOOKUP(A111,tbMoveset!A2:J112,10,FALSE)=TRUE,IF((Backdoors!AI12+IF(KJ111&gt;=0.45,VLOOKUP(Calculator!E23,tbSkills!DH3:DI6,2,FALSE)+IF(AND(Calculator!B8=TRUE,Backdoors!BI45=TRUE),VLOOKUP(Calculator!E23,tbSkills!DH3:DJ6,3,FALSE),0),0))&gt;=0,1+(Backdoors!AL2*(IF((Backdoors!AI12+IF(KJ111&gt;=0.45,VLOOKUP(Calculator!E23,tbSkills!DH3:DI6,2,FALSE)+IF(AND(Calculator!B8=TRUE,Backdoors!BI45=TRUE),VLOOKUP(Calculator!E23,tbSkills!DH3:DJ6,3,FALSE),0),0))&gt;=100,100,(Backdoors!AI12+IF(KJ111&gt;=0.45,VLOOKUP(Calculator!E23,tbSkills!DH3:DI6,2,FALSE)+IF(AND(Calculator!B8=TRUE,Backdoors!BI45=TRUE),VLOOKUP(Calculator!E23,tbSkills!DH3:DJ6,3,FALSE),0),0)))/100)),(1-(0.25*((-Backdoors!AI12-IF(KJ111&gt;=0.45,VLOOKUP(Calculator!E23,tbSkills!DH3:DI6,2,FALSE)+IF(AND(Calculator!B8=TRUE,Backdoors!BI45=TRUE),VLOOKUP(Calculator!E23,tbSkills!DH3:DJ6,3,FALSE),0),0))/100)))),1),"")</f>
        <v>1</v>
      </c>
      <c r="KM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KJ111)*KL111)*(VLOOKUP(A111,tbMoveset!A2:C112,3,FALSE)/100)*IF(VLOOKUP(A111,tbMoveset!A2:B112,2,FALSE)="Projectile",Backdoors!N10,Backdoors!N9),0),"")</f>
        <v/>
      </c>
      <c r="KN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REF!&gt;0,VLOOKUP(Calculator!#REF!,tbSkills!AC3:AD5,2,FALSE),Backdoors!AL3)*(IF((Backdoors!AI12+IF(KJ111&gt;=0.45,VLOOKUP(Calculator!E23,tbSkills!DH3:DI6,2,FALSE)+IF(AND(Calculator!B8=TRUE,Backdoors!BI45=TRUE),VLOOKUP(Calculator!E23,tbSkills!DH3:DJ6,3,FALSE),0),0))&gt;=100,100,(Backdoors!AI12+IF(KJ111&gt;=0.45,VLOOKUP(Calculator!E23,tbSkills!DH3:DI6,2,FALSE)+IF(AND(Calculator!B8=TRUE,Backdoors!BI45=TRUE),VLOOKUP(Calculator!E23,tbSkills!DH3:DJ6,3,FALSE),0),0)))/100)),1))*IF(VLOOKUP(A111,tbMoveset!A2:K112,11,FALSE)=TRUE,Backdoors!AC5,1))*KK111,0),"")</f>
        <v/>
      </c>
      <c r="KO111" s="49">
        <f>VLOOKUP(A111,tbMoveset!A2:G112,7,FALSE)*IFERROR(IF(Backdoors!AI12&gt;=0,1+(IF(Calculator!E40&gt;0,VLOOKUP(Calculator!E40,tbSkills!AI3:AJ5,2,FALSE),Backdoors!AL4)*(IF((Backdoors!AI12+IF(KJ111&gt;=0.45,VLOOKUP(Calculator!E23,tbSkills!DH3:DI6,2,FALSE)+IF(AND(Calculator!B8=TRUE,Backdoors!BI45=TRUE),VLOOKUP(Calculator!E23,tbSkills!DH3:DJ6,3,FALSE),0),0))&gt;=100,100,(Backdoors!AI12+IF(KJ111&gt;=0.45,VLOOKUP(Calculator!E23,tbSkills!DH3:DI6,2,FALSE)+IF(AND(Calculator!B8=TRUE,Backdoors!BI45=TRUE),VLOOKUP(Calculator!E23,tbSkills!DH3:DJ6,3,FALSE),0),0)))/100)),1),1)</f>
        <v>1</v>
      </c>
      <c r="KP111" s="87">
        <f t="shared" si="93"/>
        <v>0</v>
      </c>
      <c r="KQ111" s="86" t="str">
        <f>IFERROR(IF(VLOOKUP(A111,tbMoveset!A2:B112,2,FALSE)="Sever",Backdoors!AY46/100,IF(VLOOKUP(A111,tbMoveset!A2:B112,2,FALSE)="Blunt",Backdoors!AZ46/100,Backdoors!BA46/100)),"")</f>
        <v/>
      </c>
      <c r="KR111" s="49">
        <f>IFERROR(IF(VLOOKUP(tbMoveset!A111,tbMoveset!A2:H112,8,FALSE)="Other",IF(VLOOKUP(tbMoveset!A111,tbMoveset!A2:I112,9,FALSE)="Fire",Backdoors!BB46,IF(VLOOKUP(tbMoveset!A111,tbMoveset!A2:I112,9,FALSE)="Water",Backdoors!BC46,IF(VLOOKUP(tbMoveset!A111,tbMoveset!A2:I112,9,FALSE)="Thunder",Backdoors!BD46,IF(VLOOKUP(tbMoveset!A111,tbMoveset!A2:I112,9,FALSE)="Ice",Backdoors!BE46,IF(VLOOKUP(tbMoveset!A111,tbMoveset!A2:I112,9,FALSE)="Dragon",Backdoors!BF46,Backdoors!BG46)))))/100,Backdoors!BG46/100),"")</f>
        <v>0</v>
      </c>
      <c r="KS111" s="49">
        <f>IFERROR(IF(VLOOKUP(A111,tbMoveset!A2:J112,10,FALSE)=TRUE,IF((Backdoors!AI12+IF(KQ111&gt;=0.45,VLOOKUP(Calculator!E23,tbSkills!DH3:DI6,2,FALSE)+IF(AND(Calculator!B8=TRUE,Backdoors!BI46=TRUE),VLOOKUP(Calculator!E23,tbSkills!DH3:DJ6,3,FALSE),0),0))&gt;=0,1+(Backdoors!AL2*(IF((Backdoors!AI12+IF(KQ111&gt;=0.45,VLOOKUP(Calculator!E23,tbSkills!DH3:DI6,2,FALSE)+IF(AND(Calculator!B8=TRUE,Backdoors!BI46=TRUE),VLOOKUP(Calculator!E23,tbSkills!DH3:DJ6,3,FALSE),0),0))&gt;=100,100,(Backdoors!AI12+IF(KQ111&gt;=0.45,VLOOKUP(Calculator!E23,tbSkills!DH3:DI6,2,FALSE)+IF(AND(Calculator!B8=TRUE,Backdoors!BI46=TRUE),VLOOKUP(Calculator!E23,tbSkills!DH3:DJ6,3,FALSE),0),0)))/100)),(1-(0.25*((-Backdoors!AI12-IF(KQ111&gt;=0.45,VLOOKUP(Calculator!E23,tbSkills!DH3:DI6,2,FALSE)+IF(AND(Calculator!B8=TRUE,Backdoors!BI46=TRUE),VLOOKUP(Calculator!E23,tbSkills!DH3:DJ6,3,FALSE),0),0))/100)))),1),"")</f>
        <v>1</v>
      </c>
      <c r="KT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KQ111)*KS111)*(VLOOKUP(A111,tbMoveset!A2:C112,3,FALSE)/100)*IF(VLOOKUP(A111,tbMoveset!A2:B112,2,FALSE)="Projectile",Backdoors!N10,Backdoors!N9),0),"")</f>
        <v/>
      </c>
      <c r="KU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REF!&gt;0,VLOOKUP(Calculator!#REF!,tbSkills!AC3:AD5,2,FALSE),Backdoors!AL3)*(IF((Backdoors!AI12+IF(KQ111&gt;=0.45,VLOOKUP(Calculator!E23,tbSkills!DH3:DI6,2,FALSE)+IF(AND(Calculator!B8=TRUE,Backdoors!BI46=TRUE),VLOOKUP(Calculator!E23,tbSkills!DH3:DJ6,3,FALSE),0),0))&gt;=100,100,(Backdoors!AI12+IF(KQ111&gt;=0.45,VLOOKUP(Calculator!E23,tbSkills!DH3:DI6,2,FALSE)+IF(AND(Calculator!B8=TRUE,Backdoors!BI46=TRUE),VLOOKUP(Calculator!E23,tbSkills!DH3:DJ6,3,FALSE),0),0)))/100)),1))*IF(VLOOKUP(A111,tbMoveset!A2:K112,11,FALSE)=TRUE,Backdoors!AC5,1))*KR111,0),"")</f>
        <v/>
      </c>
      <c r="KV111" s="49">
        <f>VLOOKUP(A111,tbMoveset!A2:G112,7,FALSE)*IFERROR(IF(Backdoors!AI12&gt;=0,1+(IF(Calculator!E40&gt;0,VLOOKUP(Calculator!E40,tbSkills!AI3:AJ5,2,FALSE),Backdoors!AL4)*(IF((Backdoors!AI12+IF(KQ111&gt;=0.45,VLOOKUP(Calculator!E23,tbSkills!DH3:DI6,2,FALSE)+IF(AND(Calculator!B8=TRUE,Backdoors!BI46=TRUE),VLOOKUP(Calculator!E23,tbSkills!DH3:DJ6,3,FALSE),0),0))&gt;=100,100,(Backdoors!AI12+IF(KQ111&gt;=0.45,VLOOKUP(Calculator!E23,tbSkills!DH3:DI6,2,FALSE)+IF(AND(Calculator!B8=TRUE,Backdoors!BI46=TRUE),VLOOKUP(Calculator!E23,tbSkills!DH3:DJ6,3,FALSE),0),0)))/100)),1),1)</f>
        <v>1</v>
      </c>
      <c r="KW111" s="87">
        <f t="shared" si="94"/>
        <v>0</v>
      </c>
    </row>
    <row r="112" spans="1:309" x14ac:dyDescent="0.25">
      <c r="A112" s="96" t="str">
        <f>tbMoveset!A112</f>
        <v>**check**</v>
      </c>
      <c r="B112" s="88">
        <f>IFERROR(IF(VLOOKUP(A112,tbMoveset!A2:B112,2,FALSE)="Sever",Backdoors!AY3/100,IF(VLOOKUP(A112,tbMoveset!A2:B112,2,FALSE)="Blunt",Backdoors!AZ3/100,Backdoors!BA3/100)),"")</f>
        <v>0.8</v>
      </c>
      <c r="C112" s="89">
        <f>IFERROR(IF(VLOOKUP(tbMoveset!A112,tbMoveset!A2:H112,8,FALSE)="Other",IF(VLOOKUP(tbMoveset!A112,tbMoveset!A2:I112,9,FALSE)="Fire",Backdoors!BB3,IF(VLOOKUP(tbMoveset!A112,tbMoveset!A2:I112,9,FALSE)="Water",Backdoors!BC3,IF(VLOOKUP(tbMoveset!A112,tbMoveset!A2:I112,9,FALSE)="Thunder",Backdoors!BD3,IF(VLOOKUP(tbMoveset!A112,tbMoveset!A2:I112,9,FALSE)="Ice",Backdoors!BE3,IF(VLOOKUP(tbMoveset!A112,tbMoveset!A2:I112,9,FALSE)="Dragon",Backdoors!BF3,Backdoors!BG3)))))/100,Backdoors!BG3/100),"")</f>
        <v>0</v>
      </c>
      <c r="D112" s="89">
        <f>IFERROR(IF(VLOOKUP(A112,tbMoveset!A2:J112,10,FALSE)=TRUE,IF((Backdoors!AI12+IF(B112&gt;=0.45,VLOOKUP(Calculator!E23,tbSkills!DH3:DI6,2,FALSE)+IF(AND(Calculator!B8=TRUE,Backdoors!BI3=TRUE),VLOOKUP(Calculator!E23,tbSkills!DH3:DJ6,3,FALSE),0),0))&gt;=0,1+(Backdoors!AL2*(IF((Backdoors!AI12+IF(B112&gt;=0.45,VLOOKUP(Calculator!E23,tbSkills!DH3:DI6,2,FALSE)+IF(AND(Calculator!B8=TRUE,Backdoors!BI3=TRUE),VLOOKUP(Calculator!E23,tbSkills!DH3:DJ6,3,FALSE),0),0))&gt;=100,100,(Backdoors!AI12+IF(B112&gt;=0.45,VLOOKUP(Calculator!E23,tbSkills!DH3:DI6,2,FALSE)+IF(AND(Calculator!B8=TRUE,Backdoors!BI3=TRUE),VLOOKUP(Calculator!E23,tbSkills!DH3:DJ6,3,FALSE),0),0)))/100)),(1-(0.25*((-Backdoors!AI12-IF(B112&gt;=0.45,VLOOKUP(Calculator!E23,tbSkills!DH3:DI6,2,FALSE)+IF(AND(Calculator!B8=TRUE,Backdoors!BI3=TRUE),VLOOKUP(Calculator!E23,tbSkills!DH3:DJ6,3,FALSE),0),0))/100)))),1),"")</f>
        <v>1</v>
      </c>
      <c r="E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112)*D112)*(VLOOKUP(A112,tbMoveset!A2:C112,3,FALSE)/100)*IF(VLOOKUP(A112,tbMoveset!A2:B112,2,FALSE)="Projectile",Backdoors!N10,Backdoors!N9),0),"")</f>
        <v>0</v>
      </c>
      <c r="F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112&gt;=0.45,VLOOKUP(Calculator!E23,tbSkills!DH3:DI6,2,FALSE)+IF(AND(Calculator!B8=TRUE,Backdoors!BI3=TRUE),VLOOKUP(Calculator!E23,tbSkills!DH3:DJ6,3,FALSE),0),0))&gt;=100,100,(Backdoors!AI12+IF(B112&gt;=0.45,VLOOKUP(Calculator!E23,tbSkills!DH3:DI6,2,FALSE)+IF(AND(Calculator!B8=TRUE,Backdoors!BI3=TRUE),VLOOKUP(Calculator!E23,tbSkills!DH3:DJ6,3,FALSE),0),0)))/100)),1))*IF(VLOOKUP(A112,tbMoveset!A2:K112,11,FALSE)=TRUE,Backdoors!AC5,1))*C112,0),"")</f>
        <v>0</v>
      </c>
      <c r="G112" s="93">
        <f>VLOOKUP(A112,tbMoveset!A2:G112,7,FALSE)*IFERROR(IF(Backdoors!AI12&gt;=0,1+(IF(Calculator!E40&gt;0,VLOOKUP(Calculator!E40,tbSkills!AI3:AJ5,2,FALSE),Backdoors!AL4)*(IF((Backdoors!AI12+IF(B112&gt;=0.45,VLOOKUP(Calculator!E23,tbSkills!DH3:DI6,2,FALSE)+IF(AND(Calculator!B8=TRUE,Backdoors!BI3=TRUE),VLOOKUP(Calculator!E23,tbSkills!DH3:DJ6,3,FALSE),0),0))&gt;=100,100,(Backdoors!AI12+IF(B112&gt;=0.45,VLOOKUP(Calculator!E23,tbSkills!DH3:DI6,2,FALSE)+IF(AND(Calculator!B8=TRUE,Backdoors!BI3=TRUE),VLOOKUP(Calculator!E23,tbSkills!DH3:DJ6,3,FALSE),0),0)))/100)),1),1)</f>
        <v>0</v>
      </c>
      <c r="H112" s="90">
        <f t="shared" si="95"/>
        <v>0</v>
      </c>
      <c r="I112" s="88">
        <f>IFERROR(IF(VLOOKUP(A112,tbMoveset!A2:B112,2,FALSE)="Sever",Backdoors!AY4/100,IF(VLOOKUP(A112,tbMoveset!A2:B112,2,FALSE)="Blunt",Backdoors!AZ4/100,Backdoors!BA4/100)),"")</f>
        <v>0.65</v>
      </c>
      <c r="J112" s="89">
        <f>IFERROR(IF(VLOOKUP(tbMoveset!A112,tbMoveset!A2:H112,8,FALSE)="Other",IF(VLOOKUP(tbMoveset!A112,tbMoveset!A2:I112,9,FALSE)="Fire",Backdoors!BB4,IF(VLOOKUP(tbMoveset!A112,tbMoveset!A2:I112,9,FALSE)="Water",Backdoors!BC4,IF(VLOOKUP(tbMoveset!A112,tbMoveset!A2:I112,9,FALSE)="Thunder",Backdoors!BD4,IF(VLOOKUP(tbMoveset!A112,tbMoveset!A2:I112,9,FALSE)="Ice",Backdoors!BE4,IF(VLOOKUP(tbMoveset!A112,tbMoveset!A2:I112,9,FALSE)="Dragon",Backdoors!BF4,Backdoors!BG4)))))/100,Backdoors!BG4/100),"")</f>
        <v>0</v>
      </c>
      <c r="K112" s="89">
        <f>IFERROR(IF(VLOOKUP(A112,tbMoveset!A2:J112,10,FALSE)=TRUE,IF((Backdoors!AI12+IF(I112&gt;=0.45,VLOOKUP(Calculator!E23,tbSkills!DH3:DI6,2,FALSE)+IF(AND(Calculator!B8=TRUE,Backdoors!BI4=TRUE),VLOOKUP(Calculator!E23,tbSkills!DH3:DJ6,3,FALSE),0),0))&gt;=0,1+(Backdoors!AL2*(IF((Backdoors!AI12+IF(I112&gt;=0.45,VLOOKUP(Calculator!E23,tbSkills!DH3:DI6,2,FALSE)+IF(AND(Calculator!B8=TRUE,Backdoors!BI4=TRUE),VLOOKUP(Calculator!E23,tbSkills!DH3:DJ6,3,FALSE),0),0))&gt;=100,100,(Backdoors!AI12+IF(I112&gt;=0.45,VLOOKUP(Calculator!E23,tbSkills!DH3:DI6,2,FALSE)+IF(AND(Calculator!B8=TRUE,Backdoors!BI4=TRUE),VLOOKUP(Calculator!E23,tbSkills!DH3:DJ6,3,FALSE),0),0)))/100)),(1-(0.25*((-Backdoors!AI12-IF(I112&gt;=0.45,VLOOKUP(Calculator!E23,tbSkills!DH3:DI6,2,FALSE)+IF(AND(Calculator!B8=TRUE,Backdoors!BI4=TRUE),VLOOKUP(Calculator!E23,tbSkills!DH3:DJ6,3,FALSE),0),0))/100)))),1),"")</f>
        <v>1</v>
      </c>
      <c r="L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112)*K112)*(VLOOKUP(A112,tbMoveset!A2:C112,3,FALSE)/100)*IF(VLOOKUP(A112,tbMoveset!A2:B112,2,FALSE)="Projectile",Backdoors!N10,Backdoors!N9),0),"")</f>
        <v>0</v>
      </c>
      <c r="M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I112&gt;=0.45,VLOOKUP(Calculator!E23,tbSkills!DH3:DI6,2,FALSE)+IF(AND(Calculator!B8=TRUE,Backdoors!BI4=TRUE),VLOOKUP(Calculator!E23,tbSkills!DH3:DJ6,3,FALSE),0),0))&gt;=100,100,(Backdoors!AI12+IF(I112&gt;=0.45,VLOOKUP(Calculator!E23,tbSkills!DH3:DI6,2,FALSE)+IF(AND(Calculator!B8=TRUE,Backdoors!BI4=TRUE),VLOOKUP(Calculator!E23,tbSkills!DH3:DJ6,3,FALSE),0),0)))/100)),1))*IF(VLOOKUP(A112,tbMoveset!A2:K112,11,FALSE)=TRUE,Backdoors!AC5,1))*J112,0),"")</f>
        <v>0</v>
      </c>
      <c r="N112" s="89">
        <f>VLOOKUP(A112,tbMoveset!A2:G112,7,FALSE)*IFERROR(IF(Backdoors!AI12&gt;=0,1+(IF(Calculator!E40&gt;0,VLOOKUP(Calculator!E40,tbSkills!AI3:AJ5,2,FALSE),Backdoors!AL4)*(IF((Backdoors!AI12+IF(I112&gt;=0.45,VLOOKUP(Calculator!E23,tbSkills!DH3:DI6,2,FALSE)+IF(AND(Calculator!B8=TRUE,Backdoors!BI4=TRUE),VLOOKUP(Calculator!E23,tbSkills!DH3:DJ6,3,FALSE),0),0))&gt;=100,100,(Backdoors!AI12+IF(I112&gt;=0.45,VLOOKUP(Calculator!E23,tbSkills!DH3:DI6,2,FALSE)+IF(AND(Calculator!B8=TRUE,Backdoors!BI4=TRUE),VLOOKUP(Calculator!E23,tbSkills!DH3:DJ6,3,FALSE),0),0)))/100)),1),1)</f>
        <v>0</v>
      </c>
      <c r="O112" s="90">
        <f t="shared" si="96"/>
        <v>0</v>
      </c>
      <c r="P112" s="88">
        <f>IFERROR(IF(VLOOKUP(A112,tbMoveset!A2:B112,2,FALSE)="Sever",Backdoors!AY5/100,IF(VLOOKUP(A112,tbMoveset!A2:B112,2,FALSE)="Blunt",Backdoors!AZ5/100,Backdoors!BA5/100)),"")</f>
        <v>0.5</v>
      </c>
      <c r="Q112" s="89">
        <f>IFERROR(IF(VLOOKUP(tbMoveset!A112,tbMoveset!A2:H112,8,FALSE)="Other",IF(VLOOKUP(tbMoveset!A112,tbMoveset!A2:I112,9,FALSE)="Fire",Backdoors!BB5,IF(VLOOKUP(tbMoveset!A112,tbMoveset!A2:I112,9,FALSE)="Water",Backdoors!BC5,IF(VLOOKUP(tbMoveset!A112,tbMoveset!A2:I112,9,FALSE)="Thunder",Backdoors!BD5,IF(VLOOKUP(tbMoveset!A112,tbMoveset!A2:I112,9,FALSE)="Ice",Backdoors!BE5,IF(VLOOKUP(tbMoveset!A112,tbMoveset!A2:I112,9,FALSE)="Dragon",Backdoors!BF5,Backdoors!BG5)))))/100,Backdoors!BG5/100),"")</f>
        <v>0</v>
      </c>
      <c r="R112" s="89">
        <f>IFERROR(IF(VLOOKUP(A112,tbMoveset!A2:J112,10,FALSE)=TRUE,IF((Backdoors!AI12+IF(P112&gt;=0.45,VLOOKUP(Calculator!E23,tbSkills!DH3:DI6,2,FALSE)+IF(AND(Calculator!B8=TRUE,Backdoors!BI5=TRUE),VLOOKUP(Calculator!E23,tbSkills!DH3:DJ6,3,FALSE),0),0))&gt;=0,1+(Backdoors!AL2*(IF((Backdoors!AI12+IF(P112&gt;=0.45,VLOOKUP(Calculator!E23,tbSkills!DH3:DI6,2,FALSE)+IF(AND(Calculator!B8=TRUE,Backdoors!BI5=TRUE),VLOOKUP(Calculator!E23,tbSkills!DH3:DJ6,3,FALSE),0),0))&gt;=100,100,(Backdoors!AI12+IF(P112&gt;=0.45,VLOOKUP(Calculator!E23,tbSkills!DH3:DI6,2,FALSE)+IF(AND(Calculator!B8=TRUE,Backdoors!BI5=TRUE),VLOOKUP(Calculator!E23,tbSkills!DH3:DJ6,3,FALSE),0),0)))/100)),(1-(0.25*((-Backdoors!AI12-IF(P112&gt;=0.45,VLOOKUP(Calculator!E23,tbSkills!DH3:DI6,2,FALSE)+IF(AND(Calculator!B8=TRUE,Backdoors!BI5=TRUE),VLOOKUP(Calculator!E23,tbSkills!DH3:DJ6,3,FALSE),0),0))/100)))),1),"")</f>
        <v>1</v>
      </c>
      <c r="S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P112)*R112)*(VLOOKUP(A112,tbMoveset!A2:C112,3,FALSE)/100)*IF(VLOOKUP(A112,tbMoveset!A2:B112,2,FALSE)="Projectile",Backdoors!N10,Backdoors!N9),0),"")</f>
        <v>0</v>
      </c>
      <c r="T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P112&gt;=0.45,VLOOKUP(Calculator!E23,tbSkills!DH3:DI6,2,FALSE)+IF(AND(Calculator!B8=TRUE,Backdoors!BI5=TRUE),VLOOKUP(Calculator!E23,tbSkills!DH3:DJ6,3,FALSE),0),0))&gt;=100,100,(Backdoors!AI12+IF(P112&gt;=0.45,VLOOKUP(Calculator!E23,tbSkills!DH3:DI6,2,FALSE)+IF(AND(Calculator!B8=TRUE,Backdoors!BI5=TRUE),VLOOKUP(Calculator!E23,tbSkills!DH3:DJ6,3,FALSE),0),0)))/100)),1))*IF(VLOOKUP(A112,tbMoveset!A2:K112,11,FALSE)=TRUE,Backdoors!AC5,1))*Q112,0),"")</f>
        <v>0</v>
      </c>
      <c r="U112" s="89">
        <f>VLOOKUP(A112,tbMoveset!A2:G112,7,FALSE)*IFERROR(IF(Backdoors!AI12&gt;=0,1+(IF(Calculator!E40&gt;0,VLOOKUP(Calculator!E40,tbSkills!AI3:AJ5,2,FALSE),Backdoors!AL4)*(IF((Backdoors!AI12+IF(P112&gt;=0.45,VLOOKUP(Calculator!E23,tbSkills!DH3:DI6,2,FALSE)+IF(AND(Calculator!B8=TRUE,Backdoors!BI5=TRUE),VLOOKUP(Calculator!E23,tbSkills!DH3:DJ6,3,FALSE),0),0))&gt;=100,100,(Backdoors!AI12+IF(P112&gt;=0.45,VLOOKUP(Calculator!E23,tbSkills!DH3:DI6,2,FALSE)+IF(AND(Calculator!B8=TRUE,Backdoors!BI5=TRUE),VLOOKUP(Calculator!E23,tbSkills!DH3:DJ6,3,FALSE),0),0)))/100)),1),1)</f>
        <v>0</v>
      </c>
      <c r="V112" s="90">
        <f t="shared" si="53"/>
        <v>0</v>
      </c>
      <c r="W112" s="88">
        <f>IFERROR(IF(VLOOKUP(A112,tbMoveset!A2:B112,2,FALSE)="Sever",Backdoors!AY6/100,IF(VLOOKUP(A112,tbMoveset!A2:B112,2,FALSE)="Blunt",Backdoors!AZ6/100,Backdoors!BA6/100)),"")</f>
        <v>0.45</v>
      </c>
      <c r="X112" s="89">
        <f>IFERROR(IF(VLOOKUP(tbMoveset!A112,tbMoveset!A2:H112,8,FALSE)="Other",IF(VLOOKUP(tbMoveset!A112,tbMoveset!A2:I112,9,FALSE)="Fire",Backdoors!BB6,IF(VLOOKUP(tbMoveset!A112,tbMoveset!A2:I112,9,FALSE)="Water",Backdoors!BC6,IF(VLOOKUP(tbMoveset!A112,tbMoveset!A2:I112,9,FALSE)="Thunder",Backdoors!BD6,IF(VLOOKUP(tbMoveset!A112,tbMoveset!A2:I112,9,FALSE)="Ice",Backdoors!BE6,IF(VLOOKUP(tbMoveset!A112,tbMoveset!A2:I112,9,FALSE)="Dragon",Backdoors!BF6,Backdoors!BG6)))))/100,Backdoors!BG6/100),"")</f>
        <v>0</v>
      </c>
      <c r="Y112" s="89">
        <f>IFERROR(IF(VLOOKUP(A112,tbMoveset!A2:J112,10,FALSE)=TRUE,IF((Backdoors!AI12+IF(W112&gt;=0.45,VLOOKUP(Calculator!E23,tbSkills!DH3:DI6,2,FALSE)+IF(AND(Calculator!B8=TRUE,Backdoors!BI6=TRUE),VLOOKUP(Calculator!E23,tbSkills!DH3:DJ6,3,FALSE),0),0))&gt;=0,1+(Backdoors!AL2*(IF((Backdoors!AI12+IF(W112&gt;=0.45,VLOOKUP(Calculator!E23,tbSkills!DH3:DI6,2,FALSE)+IF(AND(Calculator!B8=TRUE,Backdoors!BI6=TRUE),VLOOKUP(Calculator!E23,tbSkills!DH3:DJ6,3,FALSE),0),0))&gt;=100,100,(Backdoors!AI12+IF(W112&gt;=0.45,VLOOKUP(Calculator!E23,tbSkills!DH3:DI6,2,FALSE)+IF(AND(Calculator!B8=TRUE,Backdoors!BI6=TRUE),VLOOKUP(Calculator!E23,tbSkills!DH3:DJ6,3,FALSE),0),0)))/100)),(1-(0.25*((-Backdoors!AI12-IF(W112&gt;=0.45,VLOOKUP(Calculator!E23,tbSkills!DH3:DI6,2,FALSE)+IF(AND(Calculator!B8=TRUE,Backdoors!BI6=TRUE),VLOOKUP(Calculator!E23,tbSkills!DH3:DJ6,3,FALSE),0),0))/100)))),1),"")</f>
        <v>1</v>
      </c>
      <c r="Z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W112)*Y112)*(VLOOKUP(A112,tbMoveset!A2:C112,3,FALSE)/100)*IF(VLOOKUP(A112,tbMoveset!A2:B112,2,FALSE)="Projectile",Backdoors!N10,Backdoors!N9),0),"")</f>
        <v>0</v>
      </c>
      <c r="AA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W112&gt;=0.45,VLOOKUP(Calculator!E23,tbSkills!DH3:DI6,2,FALSE)+IF(AND(Calculator!B8=TRUE,Backdoors!BI6=TRUE),VLOOKUP(Calculator!E23,tbSkills!DH3:DJ6,3,FALSE),0),0))&gt;=100,100,(Backdoors!AI12+IF(W112&gt;=0.45,VLOOKUP(Calculator!E23,tbSkills!DH3:DI6,2,FALSE)+IF(AND(Calculator!B8=TRUE,Backdoors!BI6=TRUE),VLOOKUP(Calculator!E23,tbSkills!DH3:DJ6,3,FALSE),0),0)))/100)),1))*IF(VLOOKUP(A112,tbMoveset!A2:K112,11,FALSE)=TRUE,Backdoors!AC5,1))*X112,0),"")</f>
        <v>0</v>
      </c>
      <c r="AB112" s="89">
        <f>VLOOKUP(A112,tbMoveset!A2:G112,7,FALSE)*IFERROR(IF(Backdoors!AI12&gt;=0,1+(IF(Calculator!E40&gt;0,VLOOKUP(Calculator!E40,tbSkills!AI3:AJ5,2,FALSE),Backdoors!AL4)*(IF((Backdoors!AI12+IF(W112&gt;=0.45,VLOOKUP(Calculator!E23,tbSkills!DH3:DI6,2,FALSE)+IF(AND(Calculator!B8=TRUE,Backdoors!BI6=TRUE),VLOOKUP(Calculator!E23,tbSkills!DH3:DJ6,3,FALSE),0),0))&gt;=100,100,(Backdoors!AI12+IF(W112&gt;=0.45,VLOOKUP(Calculator!E23,tbSkills!DH3:DI6,2,FALSE)+IF(AND(Calculator!B8=TRUE,Backdoors!BI6=TRUE),VLOOKUP(Calculator!E23,tbSkills!DH3:DJ6,3,FALSE),0),0)))/100)),1),1)</f>
        <v>0</v>
      </c>
      <c r="AC112" s="90">
        <f t="shared" si="54"/>
        <v>0</v>
      </c>
      <c r="AD112" s="88">
        <f>IFERROR(IF(VLOOKUP(A112,tbMoveset!A2:B112,2,FALSE)="Sever",Backdoors!AY7/100,IF(VLOOKUP(A112,tbMoveset!A2:B112,2,FALSE)="Blunt",Backdoors!AZ7/100,Backdoors!BA7/100)),"")</f>
        <v>0.65</v>
      </c>
      <c r="AE112" s="89">
        <f>IFERROR(IF(VLOOKUP(tbMoveset!A112,tbMoveset!A2:H112,8,FALSE)="Other",IF(VLOOKUP(tbMoveset!A112,tbMoveset!A2:I112,9,FALSE)="Fire",Backdoors!BB7,IF(VLOOKUP(tbMoveset!A112,tbMoveset!A2:I112,9,FALSE)="Water",Backdoors!BC7,IF(VLOOKUP(tbMoveset!A112,tbMoveset!A2:I112,9,FALSE)="Thunder",Backdoors!BD7,IF(VLOOKUP(tbMoveset!A112,tbMoveset!A2:I112,9,FALSE)="Ice",Backdoors!BE7,IF(VLOOKUP(tbMoveset!A112,tbMoveset!A2:I112,9,FALSE)="Dragon",Backdoors!BF7,Backdoors!BG7)))))/100,Backdoors!BG7/100),"")</f>
        <v>0</v>
      </c>
      <c r="AF112" s="89">
        <f>IFERROR(IF(VLOOKUP(A112,tbMoveset!A2:J112,10,FALSE)=TRUE,IF((Backdoors!AI12+IF(AD112&gt;=0.45,VLOOKUP(Calculator!E23,tbSkills!DH3:DI6,2,FALSE)+IF(AND(Calculator!B8=TRUE,Backdoors!BI7=TRUE),VLOOKUP(Calculator!E23,tbSkills!DH3:DJ6,3,FALSE),0),0))&gt;=0,1+(Backdoors!AL2*(IF((Backdoors!AI12+IF(AD112&gt;=0.45,VLOOKUP(Calculator!E23,tbSkills!DH3:DI6,2,FALSE)+IF(AND(Calculator!B8=TRUE,Backdoors!BI7=TRUE),VLOOKUP(Calculator!E23,tbSkills!DH3:DJ6,3,FALSE),0),0))&gt;=100,100,(Backdoors!AI12+IF(AD112&gt;=0.45,VLOOKUP(Calculator!E23,tbSkills!DH3:DI6,2,FALSE)+IF(AND(Calculator!B8=TRUE,Backdoors!BI7=TRUE),VLOOKUP(Calculator!E23,tbSkills!DH3:DJ6,3,FALSE),0),0)))/100)),(1-(0.25*((-Backdoors!AI12-IF(AD112&gt;=0.45,VLOOKUP(Calculator!E23,tbSkills!DH3:DI6,2,FALSE)+IF(AND(Calculator!B8=TRUE,Backdoors!BI7=TRUE),VLOOKUP(Calculator!E23,tbSkills!DH3:DJ6,3,FALSE),0),0))/100)))),1),"")</f>
        <v>1</v>
      </c>
      <c r="AG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D112)*AF112)*(VLOOKUP(A112,tbMoveset!A2:C112,3,FALSE)/100)*IF(VLOOKUP(A112,tbMoveset!A2:B112,2,FALSE)="Projectile",Backdoors!N10,Backdoors!N9),0),"")</f>
        <v>0</v>
      </c>
      <c r="AH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D112&gt;=0.45,VLOOKUP(Calculator!E23,tbSkills!DH3:DI6,2,FALSE)+IF(AND(Calculator!B8=TRUE,Backdoors!BI7=TRUE),VLOOKUP(Calculator!E23,tbSkills!DH3:DJ6,3,FALSE),0),0))&gt;=100,100,(Backdoors!AI12+IF(AD112&gt;=0.45,VLOOKUP(Calculator!E23,tbSkills!DH3:DI6,2,FALSE)+IF(AND(Calculator!B8=TRUE,Backdoors!BI7=TRUE),VLOOKUP(Calculator!E23,tbSkills!DH3:DJ6,3,FALSE),0),0)))/100)),1))*IF(VLOOKUP(A112,tbMoveset!A2:K112,11,FALSE)=TRUE,Backdoors!AC5,1))*AE112,0),"")</f>
        <v>0</v>
      </c>
      <c r="AI112" s="89">
        <f>VLOOKUP(A112,tbMoveset!A2:G112,7,FALSE)*IFERROR(IF(Backdoors!AI12&gt;=0,1+(IF(Calculator!E40&gt;0,VLOOKUP(Calculator!E40,tbSkills!AI3:AJ5,2,FALSE),Backdoors!AL4)*(IF((Backdoors!AI12+IF(AD112&gt;=0.45,VLOOKUP(Calculator!E23,tbSkills!DH3:DI6,2,FALSE)+IF(AND(Calculator!B8=TRUE,Backdoors!BI7=TRUE),VLOOKUP(Calculator!E23,tbSkills!DH3:DJ6,3,FALSE),0),0))&gt;=100,100,(Backdoors!AI12+IF(AD112&gt;=0.45,VLOOKUP(Calculator!E23,tbSkills!DH3:DI6,2,FALSE)+IF(AND(Calculator!B8=TRUE,Backdoors!BI7=TRUE),VLOOKUP(Calculator!E23,tbSkills!DH3:DJ6,3,FALSE),0),0)))/100)),1),1)</f>
        <v>0</v>
      </c>
      <c r="AJ112" s="90">
        <f t="shared" si="55"/>
        <v>0</v>
      </c>
      <c r="AK112" s="92">
        <f>IFERROR(IF(VLOOKUP(A112,tbMoveset!A2:B112,2,FALSE)="Sever",Backdoors!AY8/100,IF(VLOOKUP(A112,tbMoveset!A2:B112,2,FALSE)="Blunt",Backdoors!AZ8/100,Backdoors!BA8/100)),"")</f>
        <v>0.45</v>
      </c>
      <c r="AL112" s="89">
        <f>IFERROR(IF(VLOOKUP(tbMoveset!A112,tbMoveset!A2:H112,8,FALSE)="Other",IF(VLOOKUP(tbMoveset!A112,tbMoveset!A2:I112,9,FALSE)="Fire",Backdoors!BB8,IF(VLOOKUP(tbMoveset!A112,tbMoveset!A2:I112,9,FALSE)="Water",Backdoors!BC8,IF(VLOOKUP(tbMoveset!A112,tbMoveset!A2:I112,9,FALSE)="Thunder",Backdoors!BD8,IF(VLOOKUP(tbMoveset!A112,tbMoveset!A2:I112,9,FALSE)="Ice",Backdoors!BE8,IF(VLOOKUP(tbMoveset!A112,tbMoveset!A2:I112,9,FALSE)="Dragon",Backdoors!BF8,Backdoors!BG8)))))/100,Backdoors!BG8/100),"")</f>
        <v>0</v>
      </c>
      <c r="AM112" s="89">
        <f>IFERROR(IF(VLOOKUP(A112,tbMoveset!A2:J112,10,FALSE)=TRUE,IF((Backdoors!AI12+IF(AK112&gt;=0.45,VLOOKUP(Calculator!E23,tbSkills!DH3:DI6,2,FALSE)+IF(AND(Calculator!B8=TRUE,Backdoors!BI8=TRUE),VLOOKUP(Calculator!E23,tbSkills!DH3:DJ6,3,FALSE),0),0))&gt;=0,1+(Backdoors!AL2*(IF((Backdoors!AI12+IF(AK112&gt;=0.45,VLOOKUP(Calculator!E23,tbSkills!DH3:DI6,2,FALSE)+IF(AND(Calculator!B8=TRUE,Backdoors!BI8=TRUE),VLOOKUP(Calculator!E23,tbSkills!DH3:DJ6,3,FALSE),0),0))&gt;=100,100,(Backdoors!AI12+IF(AK112&gt;=0.45,VLOOKUP(Calculator!E23,tbSkills!DH3:DI6,2,FALSE)+IF(AND(Calculator!B8=TRUE,Backdoors!BI8=TRUE),VLOOKUP(Calculator!E23,tbSkills!DH3:DJ6,3,FALSE),0),0)))/100)),(1-(0.25*((-Backdoors!AI12-IF(AK112&gt;=0.45,VLOOKUP(Calculator!E23,tbSkills!DH3:DI6,2,FALSE)+IF(AND(Calculator!B8=TRUE,Backdoors!BI8=TRUE),VLOOKUP(Calculator!E23,tbSkills!DH3:DJ6,3,FALSE),0),0))/100)))),1),"")</f>
        <v>1</v>
      </c>
      <c r="AN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K112)*AM112)*(VLOOKUP(A112,tbMoveset!A2:C112,3,FALSE)/100)*IF(VLOOKUP(A112,tbMoveset!A2:B112,2,FALSE)="Projectile",Backdoors!N10,Backdoors!N9),0),"")</f>
        <v>0</v>
      </c>
      <c r="AO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K112&gt;=0.45,VLOOKUP(Calculator!E23,tbSkills!DH3:DI6,2,FALSE)+IF(AND(Calculator!B8=TRUE,Backdoors!BI8=TRUE),VLOOKUP(Calculator!E23,tbSkills!DH3:DJ6,3,FALSE),0),0))&gt;=100,100,(Backdoors!AI12+IF(AK112&gt;=0.45,VLOOKUP(Calculator!E23,tbSkills!DH3:DI6,2,FALSE)+IF(AND(Calculator!B8=TRUE,Backdoors!BI8=TRUE),VLOOKUP(Calculator!E23,tbSkills!DH3:DJ6,3,FALSE),0),0)))/100)),1))*IF(VLOOKUP(A112,tbMoveset!A2:K112,11,FALSE)=TRUE,Backdoors!AC5,1))*AL112,0),"")</f>
        <v>0</v>
      </c>
      <c r="AP112" s="89">
        <f>VLOOKUP(A112,tbMoveset!A2:G112,7,FALSE)*IFERROR(IF(Backdoors!AI12&gt;=0,1+(IF(Calculator!E40&gt;0,VLOOKUP(Calculator!E40,tbSkills!AI3:AJ5,2,FALSE),Backdoors!AL4)*(IF((Backdoors!AI12+IF(AK112&gt;=0.45,VLOOKUP(Calculator!E23,tbSkills!DH3:DI6,2,FALSE)+IF(AND(Calculator!B8=TRUE,Backdoors!BI8=TRUE),VLOOKUP(Calculator!E23,tbSkills!DH3:DJ6,3,FALSE),0),0))&gt;=100,100,(Backdoors!AI12+IF(AK112&gt;=0.45,VLOOKUP(Calculator!E23,tbSkills!DH3:DI6,2,FALSE)+IF(AND(Calculator!B8=TRUE,Backdoors!BI8=TRUE),VLOOKUP(Calculator!E23,tbSkills!DH3:DJ6,3,FALSE),0),0)))/100)),1),1)</f>
        <v>0</v>
      </c>
      <c r="AQ112" s="90">
        <f t="shared" si="56"/>
        <v>0</v>
      </c>
      <c r="AR112" s="88">
        <f>IFERROR(IF(VLOOKUP(A112,tbMoveset!A2:B112,2,FALSE)="Sever",Backdoors!AY9/100,IF(VLOOKUP(A112,tbMoveset!A2:B112,2,FALSE)="Blunt",Backdoors!AZ9/100,Backdoors!BA9/100)),"")</f>
        <v>0.45</v>
      </c>
      <c r="AS112" s="89">
        <f>IFERROR(IF(VLOOKUP(tbMoveset!A112,tbMoveset!A2:H112,8,FALSE)="Other",IF(VLOOKUP(tbMoveset!A112,tbMoveset!A2:I112,9,FALSE)="Fire",Backdoors!BB9,IF(VLOOKUP(tbMoveset!A112,tbMoveset!A2:I112,9,FALSE)="Water",Backdoors!BC9,IF(VLOOKUP(tbMoveset!A112,tbMoveset!A2:I112,9,FALSE)="Thunder",Backdoors!BD9,IF(VLOOKUP(tbMoveset!A112,tbMoveset!A2:I112,9,FALSE)="Ice",Backdoors!BE9,IF(VLOOKUP(tbMoveset!A112,tbMoveset!A2:I112,9,FALSE)="Dragon",Backdoors!BF9,Backdoors!BG9)))))/100,Backdoors!BG9/100),"")</f>
        <v>0</v>
      </c>
      <c r="AT112" s="89">
        <f>IFERROR(IF(VLOOKUP(A112,tbMoveset!A2:J112,10,FALSE)=TRUE,IF((Backdoors!AI12+IF(AR112&gt;=0.45,VLOOKUP(Calculator!E23,tbSkills!DH3:DI6,2,FALSE)+IF(AND(Calculator!B8=TRUE,Backdoors!BI9=TRUE),VLOOKUP(Calculator!E23,tbSkills!DH3:DJ6,3,FALSE),0),0))&gt;=0,1+(Backdoors!AL2*(IF((Backdoors!AI12+IF(AR112&gt;=0.45,VLOOKUP(Calculator!E23,tbSkills!DH3:DI6,2,FALSE)+IF(AND(Calculator!B8=TRUE,Backdoors!BI9=TRUE),VLOOKUP(Calculator!E23,tbSkills!DH3:DJ6,3,FALSE),0),0))&gt;=100,100,(Backdoors!AI12+IF(AR112&gt;=0.45,VLOOKUP(Calculator!E23,tbSkills!DH3:DI6,2,FALSE)+IF(AND(Calculator!B8=TRUE,Backdoors!BI9=TRUE),VLOOKUP(Calculator!E23,tbSkills!DH3:DJ6,3,FALSE),0),0)))/100)),(1-(0.25*((-Backdoors!AI12-IF(AR112&gt;=0.45,VLOOKUP(Calculator!E23,tbSkills!DH3:DI6,2,FALSE)+IF(AND(Calculator!B8=TRUE,Backdoors!BI9=TRUE),VLOOKUP(Calculator!E23,tbSkills!DH3:DJ6,3,FALSE),0),0))/100)))),1),"")</f>
        <v>1</v>
      </c>
      <c r="AU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R112)*AT112)*(VLOOKUP(A112,tbMoveset!A2:C112,3,FALSE)/100)*IF(VLOOKUP(A112,tbMoveset!A2:B112,2,FALSE)="Projectile",Backdoors!N10,Backdoors!N9),0),"")</f>
        <v>0</v>
      </c>
      <c r="AV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R112&gt;=0.45,VLOOKUP(Calculator!E23,tbSkills!DH3:DI6,2,FALSE)+IF(AND(Calculator!B8=TRUE,Backdoors!BI9=TRUE),VLOOKUP(Calculator!E23,tbSkills!DH3:DJ6,3,FALSE),0),0))&gt;=100,100,(Backdoors!AI12+IF(AR112&gt;=0.45,VLOOKUP(Calculator!E23,tbSkills!DH3:DI6,2,FALSE)+IF(AND(Calculator!B8=TRUE,Backdoors!BI9=TRUE),VLOOKUP(Calculator!E23,tbSkills!DH3:DJ6,3,FALSE),0),0)))/100)),1))*IF(VLOOKUP(A112,tbMoveset!A2:K112,11,FALSE)=TRUE,Backdoors!AC5,1))*AS112,0),"")</f>
        <v>0</v>
      </c>
      <c r="AW112" s="89">
        <f>VLOOKUP(A112,tbMoveset!A2:G112,7,FALSE)*IFERROR(IF(Backdoors!AI12&gt;=0,1+(IF(Calculator!E40&gt;0,VLOOKUP(Calculator!E40,tbSkills!AI3:AJ5,2,FALSE),Backdoors!AL4)*(IF((Backdoors!AI12+IF(AR112&gt;=0.45,VLOOKUP(Calculator!E23,tbSkills!DH3:DI6,2,FALSE)+IF(AND(Calculator!B8=TRUE,Backdoors!BI9=TRUE),VLOOKUP(Calculator!E23,tbSkills!DH3:DJ6,3,FALSE),0),0))&gt;=100,100,(Backdoors!AI12+IF(AR112&gt;=0.45,VLOOKUP(Calculator!E23,tbSkills!DH3:DI6,2,FALSE)+IF(AND(Calculator!B8=TRUE,Backdoors!BI9=TRUE),VLOOKUP(Calculator!E23,tbSkills!DH3:DJ6,3,FALSE),0),0)))/100)),1),1)</f>
        <v>0</v>
      </c>
      <c r="AX112" s="90">
        <f t="shared" si="57"/>
        <v>0</v>
      </c>
      <c r="AY112" s="88">
        <f>IFERROR(IF(VLOOKUP(A112,tbMoveset!A2:B112,2,FALSE)="Sever",Backdoors!AY10/100,IF(VLOOKUP(A112,tbMoveset!A2:B112,2,FALSE)="Blunt",Backdoors!AZ10/100,Backdoors!BA10/100)),"")</f>
        <v>0.9</v>
      </c>
      <c r="AZ112" s="89">
        <f>IFERROR(IF(VLOOKUP(tbMoveset!A112,tbMoveset!A2:H112,8,FALSE)="Other",IF(VLOOKUP(tbMoveset!A112,tbMoveset!A2:I112,9,FALSE)="Fire",Backdoors!BB10,IF(VLOOKUP(tbMoveset!A112,tbMoveset!A2:I112,9,FALSE)="Water",Backdoors!BC10,IF(VLOOKUP(tbMoveset!A112,tbMoveset!A2:I112,9,FALSE)="Thunder",Backdoors!BD10,IF(VLOOKUP(tbMoveset!A112,tbMoveset!A2:I112,9,FALSE)="Ice",Backdoors!BE10,IF(VLOOKUP(tbMoveset!A112,tbMoveset!A2:I112,9,FALSE)="Dragon",Backdoors!BF10,Backdoors!BG10)))))/100,Backdoors!BG10/100),"")</f>
        <v>0</v>
      </c>
      <c r="BA112" s="89">
        <f>IFERROR(IF(VLOOKUP(A112,tbMoveset!A2:J112,10,FALSE)=TRUE,IF((Backdoors!AI12+IF(AY112&gt;=0.45,VLOOKUP(Calculator!E23,tbSkills!DH3:DI6,2,FALSE)+IF(AND(Calculator!B8=TRUE,Backdoors!BI10=TRUE),VLOOKUP(Calculator!E23,tbSkills!DH3:DJ6,3,FALSE),0),0))&gt;=0,1+(Backdoors!AL2*(IF((Backdoors!AI12+IF(AY112&gt;=0.45,VLOOKUP(Calculator!E23,tbSkills!DH3:DI6,2,FALSE)+IF(AND(Calculator!B8=TRUE,Backdoors!BI10=TRUE),VLOOKUP(Calculator!E23,tbSkills!DH3:DJ6,3,FALSE),0),0))&gt;=100,100,(Backdoors!AI12+IF(AY112&gt;=0.45,VLOOKUP(Calculator!E23,tbSkills!DH3:DI6,2,FALSE)+IF(AND(Calculator!B8=TRUE,Backdoors!BI10=TRUE),VLOOKUP(Calculator!E23,tbSkills!DH3:DJ6,3,FALSE),0),0)))/100)),(1-(0.25*((-Backdoors!AI12-IF(AY112&gt;=0.45,VLOOKUP(Calculator!E23,tbSkills!DH3:DI6,2,FALSE)+IF(AND(Calculator!B8=TRUE,Backdoors!BI10=TRUE),VLOOKUP(Calculator!E23,tbSkills!DH3:DJ6,3,FALSE),0),0))/100)))),1),"")</f>
        <v>1</v>
      </c>
      <c r="BB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Y112)*BA112)*(VLOOKUP(A112,tbMoveset!A2:C112,3,FALSE)/100)*IF(VLOOKUP(A112,tbMoveset!A2:B112,2,FALSE)="Projectile",Backdoors!N10,Backdoors!N9),0),"")</f>
        <v>0</v>
      </c>
      <c r="BC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Y112&gt;=0.45,VLOOKUP(Calculator!E23,tbSkills!DH3:DI6,2,FALSE)+IF(AND(Calculator!B8=TRUE,Backdoors!BI10=TRUE),VLOOKUP(Calculator!E23,tbSkills!DH3:DJ6,3,FALSE),0),0))&gt;=100,100,(Backdoors!AI12+IF(AY112&gt;=0.45,VLOOKUP(Calculator!E23,tbSkills!DH3:DI6,2,FALSE)+IF(AND(Calculator!B8=TRUE,Backdoors!BI10=TRUE),VLOOKUP(Calculator!E23,tbSkills!DH3:DJ6,3,FALSE),0),0)))/100)),1))*IF(VLOOKUP(A112,tbMoveset!A2:K112,11,FALSE)=TRUE,Backdoors!AC5,1))*AZ112,0),"")</f>
        <v>0</v>
      </c>
      <c r="BD112" s="89">
        <f>VLOOKUP(A112,tbMoveset!A2:G112,7,FALSE)*IFERROR(IF(Backdoors!AI12&gt;=0,1+(IF(Calculator!E40&gt;0,VLOOKUP(Calculator!E40,tbSkills!AI3:AJ5,2,FALSE),Backdoors!AL4)*(IF((Backdoors!AI12+IF(AY112&gt;=0.45,VLOOKUP(Calculator!E23,tbSkills!DH3:DI6,2,FALSE)+IF(AND(Calculator!B8=TRUE,Backdoors!BI10=TRUE),VLOOKUP(Calculator!E23,tbSkills!DH3:DJ6,3,FALSE),0),0))&gt;=100,100,(Backdoors!AI12+IF(AY112&gt;=0.45,VLOOKUP(Calculator!E23,tbSkills!DH3:DI6,2,FALSE)+IF(AND(Calculator!B8=TRUE,Backdoors!BI10=TRUE),VLOOKUP(Calculator!E23,tbSkills!DH3:DJ6,3,FALSE),0),0)))/100)),1),1)</f>
        <v>0</v>
      </c>
      <c r="BE112" s="90">
        <f t="shared" si="58"/>
        <v>0</v>
      </c>
      <c r="BF112" s="88" t="str">
        <f>IFERROR(IF(VLOOKUP(A112,tbMoveset!A2:B112,2,FALSE)="Sever",Backdoors!AY11/100,IF(VLOOKUP(A112,tbMoveset!A2:B112,2,FALSE)="Blunt",Backdoors!AZ11/100,Backdoors!BA11/100)),"")</f>
        <v/>
      </c>
      <c r="BG112" s="89">
        <f>IFERROR(IF(VLOOKUP(tbMoveset!A112,tbMoveset!A2:H112,8,FALSE)="Other",IF(VLOOKUP(tbMoveset!A112,tbMoveset!A2:I112,9,FALSE)="Fire",Backdoors!BB11,IF(VLOOKUP(tbMoveset!A112,tbMoveset!A2:I112,9,FALSE)="Water",Backdoors!BC11,IF(VLOOKUP(tbMoveset!A112,tbMoveset!A2:I112,9,FALSE)="Thunder",Backdoors!BD11,IF(VLOOKUP(tbMoveset!A112,tbMoveset!A2:I112,9,FALSE)="Ice",Backdoors!BE11,IF(VLOOKUP(tbMoveset!A112,tbMoveset!A2:I112,9,FALSE)="Dragon",Backdoors!BF11,Backdoors!BG11)))))/100,Backdoors!BG11/100),"")</f>
        <v>0</v>
      </c>
      <c r="BH112" s="89">
        <f>IFERROR(IF(VLOOKUP(A112,tbMoveset!A2:J112,10,FALSE)=TRUE,IF((Backdoors!AI12+IF(BF112&gt;=0.45,VLOOKUP(Calculator!E23,tbSkills!DH3:DI6,2,FALSE)+IF(AND(Calculator!B8=TRUE,Backdoors!BI11=TRUE),VLOOKUP(Calculator!E23,tbSkills!DH3:DJ6,3,FALSE),0),0))&gt;=0,1+(Backdoors!AL2*(IF((Backdoors!AI12+IF(BF112&gt;=0.45,VLOOKUP(Calculator!E23,tbSkills!DH3:DI6,2,FALSE)+IF(AND(Calculator!B8=TRUE,Backdoors!BI11=TRUE),VLOOKUP(Calculator!E23,tbSkills!DH3:DJ6,3,FALSE),0),0))&gt;=100,100,(Backdoors!AI12+IF(BF112&gt;=0.45,VLOOKUP(Calculator!E23,tbSkills!DH3:DI6,2,FALSE)+IF(AND(Calculator!B8=TRUE,Backdoors!BI11=TRUE),VLOOKUP(Calculator!E23,tbSkills!DH3:DJ6,3,FALSE),0),0)))/100)),(1-(0.25*((-Backdoors!AI12-IF(BF112&gt;=0.45,VLOOKUP(Calculator!E23,tbSkills!DH3:DI6,2,FALSE)+IF(AND(Calculator!B8=TRUE,Backdoors!BI11=TRUE),VLOOKUP(Calculator!E23,tbSkills!DH3:DJ6,3,FALSE),0),0))/100)))),1),"")</f>
        <v>1</v>
      </c>
      <c r="BI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F112)*BH112)*(VLOOKUP(A112,tbMoveset!A2:C112,3,FALSE)/100)*IF(VLOOKUP(A112,tbMoveset!A2:B112,2,FALSE)="Projectile",Backdoors!N10,Backdoors!N9),0),"")</f>
        <v/>
      </c>
      <c r="BJ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F112&gt;=0.45,VLOOKUP(Calculator!E23,tbSkills!DH3:DI6,2,FALSE)+IF(AND(Calculator!B8=TRUE,Backdoors!BI11=TRUE),VLOOKUP(Calculator!E23,tbSkills!DH3:DJ6,3,FALSE),0),0))&gt;=100,100,(Backdoors!AI12+IF(BF112&gt;=0.45,VLOOKUP(Calculator!E23,tbSkills!DH3:DI6,2,FALSE)+IF(AND(Calculator!B8=TRUE,Backdoors!BI11=TRUE),VLOOKUP(Calculator!E23,tbSkills!DH3:DJ6,3,FALSE),0),0)))/100)),1))*IF(VLOOKUP(A112,tbMoveset!A2:K112,11,FALSE)=TRUE,Backdoors!AC5,1))*BG112,0),"")</f>
        <v>0</v>
      </c>
      <c r="BK112" s="89">
        <f>VLOOKUP(A112,tbMoveset!A2:G112,7,FALSE)*IFERROR(IF(Backdoors!AI12&gt;=0,1+(IF(Calculator!E40&gt;0,VLOOKUP(Calculator!E40,tbSkills!AI3:AJ5,2,FALSE),Backdoors!AL4)*(IF((Backdoors!AI12+IF(BF112&gt;=0.45,VLOOKUP(Calculator!E23,tbSkills!DH3:DI6,2,FALSE)+IF(AND(Calculator!B8=TRUE,Backdoors!BI11=TRUE),VLOOKUP(Calculator!E23,tbSkills!DH3:DJ6,3,FALSE),0),0))&gt;=100,100,(Backdoors!AI12+IF(BF112&gt;=0.45,VLOOKUP(Calculator!E23,tbSkills!DH3:DI6,2,FALSE)+IF(AND(Calculator!B8=TRUE,Backdoors!BI11=TRUE),VLOOKUP(Calculator!E23,tbSkills!DH3:DJ6,3,FALSE),0),0)))/100)),1),1)</f>
        <v>0</v>
      </c>
      <c r="BL112" s="90">
        <f t="shared" si="59"/>
        <v>0</v>
      </c>
      <c r="BM112" s="88" t="str">
        <f>IFERROR(IF(VLOOKUP(A112,tbMoveset!A2:B112,2,FALSE)="Sever",Backdoors!AY12/100,IF(VLOOKUP(A112,tbMoveset!A2:B112,2,FALSE)="Blunt",Backdoors!AZ12/100,Backdoors!BA12/100)),"")</f>
        <v/>
      </c>
      <c r="BN112" s="89">
        <f>IFERROR(IF(VLOOKUP(tbMoveset!A112,tbMoveset!A2:H112,8,FALSE)="Other",IF(VLOOKUP(tbMoveset!A112,tbMoveset!A2:I112,9,FALSE)="Fire",Backdoors!BB12,IF(VLOOKUP(tbMoveset!A112,tbMoveset!A2:I112,9,FALSE)="Water",Backdoors!BC12,IF(VLOOKUP(tbMoveset!A112,tbMoveset!A2:I112,9,FALSE)="Thunder",Backdoors!BD12,IF(VLOOKUP(tbMoveset!A112,tbMoveset!A2:I112,9,FALSE)="Ice",Backdoors!BE12,IF(VLOOKUP(tbMoveset!A112,tbMoveset!A2:I112,9,FALSE)="Dragon",Backdoors!BF12,Backdoors!BG12)))))/100,Backdoors!BG12/100),"")</f>
        <v>0</v>
      </c>
      <c r="BO112" s="89">
        <f>IFERROR(IF(VLOOKUP(A112,tbMoveset!A2:J112,10,FALSE)=TRUE,IF((Backdoors!AI12+IF(BM112&gt;=0.45,VLOOKUP(Calculator!E23,tbSkills!DH3:DI6,2,FALSE)+IF(AND(Calculator!B8=TRUE,Backdoors!BI12=TRUE),VLOOKUP(Calculator!E23,tbSkills!DH3:DJ6,3,FALSE),0),0))&gt;=0,1+(Backdoors!AL2*(IF((Backdoors!AI12+IF(BM112&gt;=0.45,VLOOKUP(Calculator!E23,tbSkills!DH3:DI6,2,FALSE)+IF(AND(Calculator!B8=TRUE,Backdoors!BI12=TRUE),VLOOKUP(Calculator!E23,tbSkills!DH3:DJ6,3,FALSE),0),0))&gt;=100,100,(Backdoors!AI12+IF(BM112&gt;=0.45,VLOOKUP(Calculator!E23,tbSkills!DH3:DI6,2,FALSE)+IF(AND(Calculator!B8=TRUE,Backdoors!BI12=TRUE),VLOOKUP(Calculator!E23,tbSkills!DH3:DJ6,3,FALSE),0),0)))/100)),(1-(0.25*((-Backdoors!AI12-IF(BM112&gt;=0.45,VLOOKUP(Calculator!E23,tbSkills!DH3:DI6,2,FALSE)+IF(AND(Calculator!B8=TRUE,Backdoors!BI12=TRUE),VLOOKUP(Calculator!E23,tbSkills!DH3:DJ6,3,FALSE),0),0))/100)))),1),"")</f>
        <v>1</v>
      </c>
      <c r="BP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M112)*BO112)*(VLOOKUP(A112,tbMoveset!A2:C112,3,FALSE)/100)*IF(VLOOKUP(A112,tbMoveset!A2:B112,2,FALSE)="Projectile",Backdoors!N10,Backdoors!N9),0),"")</f>
        <v/>
      </c>
      <c r="BQ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M112&gt;=0.45,VLOOKUP(Calculator!E23,tbSkills!DH3:DI6,2,FALSE)+IF(AND(Calculator!B8=TRUE,Backdoors!BI12=TRUE),VLOOKUP(Calculator!E23,tbSkills!DH3:DJ6,3,FALSE),0),0))&gt;=100,100,(Backdoors!AI12+IF(BM112&gt;=0.45,VLOOKUP(Calculator!E23,tbSkills!DH3:DI6,2,FALSE)+IF(AND(Calculator!B8=TRUE,Backdoors!BI12=TRUE),VLOOKUP(Calculator!E23,tbSkills!DH3:DJ6,3,FALSE),0),0)))/100)),1))*IF(VLOOKUP(A112,tbMoveset!A2:K112,11,FALSE)=TRUE,Backdoors!AC5,1))*BN112,0),"")</f>
        <v>0</v>
      </c>
      <c r="BR112" s="89">
        <f>VLOOKUP(A112,tbMoveset!A2:G112,7,FALSE)*IFERROR(IF(Backdoors!AI12&gt;=0,1+(IF(Calculator!E40&gt;0,VLOOKUP(Calculator!E40,tbSkills!AI3:AJ5,2,FALSE),Backdoors!AL4)*(IF((Backdoors!AI12+IF(BM112&gt;=0.45,VLOOKUP(Calculator!E23,tbSkills!DH3:DI6,2,FALSE)+IF(AND(Calculator!B8=TRUE,Backdoors!BI12=TRUE),VLOOKUP(Calculator!E23,tbSkills!DH3:DJ6,3,FALSE),0),0))&gt;=100,100,(Backdoors!AI12+IF(BM112&gt;=0.45,VLOOKUP(Calculator!E23,tbSkills!DH3:DI6,2,FALSE)+IF(AND(Calculator!B8=TRUE,Backdoors!BI12=TRUE),VLOOKUP(Calculator!E23,tbSkills!DH3:DJ6,3,FALSE),0),0)))/100)),1),1)</f>
        <v>0</v>
      </c>
      <c r="BS112" s="90">
        <f t="shared" si="60"/>
        <v>0</v>
      </c>
      <c r="BT112" s="88" t="str">
        <f>IFERROR(IF(VLOOKUP(A112,tbMoveset!A2:B112,2,FALSE)="Sever",Backdoors!AY13/100,IF(VLOOKUP(A112,tbMoveset!A2:B112,2,FALSE)="Blunt",Backdoors!AZ13/100,Backdoors!BA13/100)),"")</f>
        <v/>
      </c>
      <c r="BU112" s="89">
        <f>IFERROR(IF(VLOOKUP(tbMoveset!A112,tbMoveset!A2:H112,8,FALSE)="Other",IF(VLOOKUP(tbMoveset!A112,tbMoveset!A2:I112,9,FALSE)="Fire",Backdoors!BB13,IF(VLOOKUP(tbMoveset!A112,tbMoveset!A2:I112,9,FALSE)="Water",Backdoors!BC13,IF(VLOOKUP(tbMoveset!A112,tbMoveset!A2:I112,9,FALSE)="Thunder",Backdoors!BD13,IF(VLOOKUP(tbMoveset!A112,tbMoveset!A2:I112,9,FALSE)="Ice",Backdoors!BE13,IF(VLOOKUP(tbMoveset!A112,tbMoveset!A2:I112,9,FALSE)="Dragon",Backdoors!BF13,Backdoors!BG13)))))/100,Backdoors!BG13/100),"")</f>
        <v>0</v>
      </c>
      <c r="BV112" s="89">
        <f>IFERROR(IF(VLOOKUP(A112,tbMoveset!A2:J112,10,FALSE)=TRUE,IF((Backdoors!AI12+IF(BT112&gt;=0.45,VLOOKUP(Calculator!E23,tbSkills!DH3:DI6,2,FALSE)+IF(AND(Calculator!B8=TRUE,Backdoors!BI13=TRUE),VLOOKUP(Calculator!E23,tbSkills!DH3:DJ6,3,FALSE),0),0))&gt;=0,1+(Backdoors!AL2*(IF((Backdoors!AI12+IF(BT112&gt;=0.45,VLOOKUP(Calculator!E23,tbSkills!DH3:DI6,2,FALSE)+IF(AND(Calculator!B8=TRUE,Backdoors!BI13=TRUE),VLOOKUP(Calculator!E23,tbSkills!DH3:DJ6,3,FALSE),0),0))&gt;=100,100,(Backdoors!AI12+IF(BT112&gt;=0.45,VLOOKUP(Calculator!E23,tbSkills!DH3:DI6,2,FALSE)+IF(AND(Calculator!B8=TRUE,Backdoors!BI13=TRUE),VLOOKUP(Calculator!E23,tbSkills!DH3:DJ6,3,FALSE),0),0)))/100)),(1-(0.25*((-Backdoors!AI12-IF(BT112&gt;=0.45,VLOOKUP(Calculator!E23,tbSkills!DH3:DI6,2,FALSE)+IF(AND(Calculator!B8=TRUE,Backdoors!BI13=TRUE),VLOOKUP(Calculator!E23,tbSkills!DH3:DJ6,3,FALSE),0),0))/100)))),1),"")</f>
        <v>1</v>
      </c>
      <c r="BW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T112)*BV112)*(VLOOKUP(A112,tbMoveset!A2:C112,3,FALSE)/100)*IF(VLOOKUP(A112,tbMoveset!A2:B112,2,FALSE)="Projectile",Backdoors!N10,Backdoors!N9),0),"")</f>
        <v/>
      </c>
      <c r="BX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T112&gt;=0.45,VLOOKUP(Calculator!E23,tbSkills!DH3:DI6,2,FALSE)+IF(AND(Calculator!B8=TRUE,Backdoors!BI13=TRUE),VLOOKUP(Calculator!E23,tbSkills!DH3:DJ6,3,FALSE),0),0))&gt;=100,100,(Backdoors!AI12+IF(BT112&gt;=0.45,VLOOKUP(Calculator!E23,tbSkills!DH3:DI6,2,FALSE)+IF(AND(Calculator!B8=TRUE,Backdoors!BI13=TRUE),VLOOKUP(Calculator!E23,tbSkills!DH3:DJ6,3,FALSE),0),0)))/100)),1))*IF(VLOOKUP(A112,tbMoveset!A2:K112,11,FALSE)=TRUE,Backdoors!AC5,1))*BU112,0),"")</f>
        <v>0</v>
      </c>
      <c r="BY112" s="89">
        <f>VLOOKUP(A112,tbMoveset!A2:G112,7,FALSE)*IFERROR(IF(Backdoors!AI12&gt;=0,1+(IF(Calculator!E40&gt;0,VLOOKUP(Calculator!E40,tbSkills!AI3:AJ5,2,FALSE),Backdoors!AL4)*(IF((Backdoors!AI12+IF(BT112&gt;=0.45,VLOOKUP(Calculator!E23,tbSkills!DH3:DI6,2,FALSE)+IF(AND(Calculator!B8=TRUE,Backdoors!BI13=TRUE),VLOOKUP(Calculator!E23,tbSkills!DH3:DJ6,3,FALSE),0),0))&gt;=100,100,(Backdoors!AI12+IF(BT112&gt;=0.45,VLOOKUP(Calculator!E23,tbSkills!DH3:DI6,2,FALSE)+IF(AND(Calculator!B8=TRUE,Backdoors!BI13=TRUE),VLOOKUP(Calculator!E23,tbSkills!DH3:DJ6,3,FALSE),0),0)))/100)),1),1)</f>
        <v>0</v>
      </c>
      <c r="BZ112" s="90">
        <f t="shared" si="61"/>
        <v>0</v>
      </c>
      <c r="CA112" s="88" t="str">
        <f>IFERROR(IF(VLOOKUP(A112,tbMoveset!A2:B112,2,FALSE)="Sever",Backdoors!AY14/100,IF(VLOOKUP(A112,tbMoveset!A2:B112,2,FALSE)="Blunt",Backdoors!AZ14/100,Backdoors!BA14/100)),"")</f>
        <v/>
      </c>
      <c r="CB112" s="89">
        <f>IFERROR(IF(VLOOKUP(tbMoveset!A112,tbMoveset!A2:H112,8,FALSE)="Other",IF(VLOOKUP(tbMoveset!A112,tbMoveset!A2:I112,9,FALSE)="Fire",Backdoors!BB14,IF(VLOOKUP(tbMoveset!A112,tbMoveset!A2:I112,9,FALSE)="Water",Backdoors!BC14,IF(VLOOKUP(tbMoveset!A112,tbMoveset!A2:I112,9,FALSE)="Thunder",Backdoors!BD14,IF(VLOOKUP(tbMoveset!A112,tbMoveset!A2:I112,9,FALSE)="Ice",Backdoors!BE14,IF(VLOOKUP(tbMoveset!A112,tbMoveset!A2:I112,9,FALSE)="Dragon",Backdoors!BF14,Backdoors!BG14)))))/100,Backdoors!BG14/100),"")</f>
        <v>0</v>
      </c>
      <c r="CC112" s="89">
        <f>IFERROR(IF(VLOOKUP(A112,tbMoveset!A2:J112,10,FALSE)=TRUE,IF((Backdoors!AI12+IF(CA112&gt;=0.45,VLOOKUP(Calculator!E23,tbSkills!DH3:DI6,2,FALSE)+IF(AND(Calculator!B8=TRUE,Backdoors!BI14=TRUE),VLOOKUP(Calculator!E23,tbSkills!DH3:DJ6,3,FALSE),0),0))&gt;=0,1+(Backdoors!AL2*(IF((Backdoors!AI12+IF(CA112&gt;=0.45,VLOOKUP(Calculator!E23,tbSkills!DH3:DI6,2,FALSE)+IF(AND(Calculator!B8=TRUE,Backdoors!BI14=TRUE),VLOOKUP(Calculator!E23,tbSkills!DH3:DJ6,3,FALSE),0),0))&gt;=100,100,(Backdoors!AI12+IF(CA112&gt;=0.45,VLOOKUP(Calculator!E23,tbSkills!DH3:DI6,2,FALSE)+IF(AND(Calculator!B8=TRUE,Backdoors!BI14=TRUE),VLOOKUP(Calculator!E23,tbSkills!DH3:DJ6,3,FALSE),0),0)))/100)),(1-(0.25*((-Backdoors!AI12-IF(CA112&gt;=0.45,VLOOKUP(Calculator!E23,tbSkills!DH3:DI6,2,FALSE)+IF(AND(Calculator!B8=TRUE,Backdoors!BI14=TRUE),VLOOKUP(Calculator!E23,tbSkills!DH3:DJ6,3,FALSE),0),0))/100)))),1),"")</f>
        <v>1</v>
      </c>
      <c r="CD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A112)*CC112)*(VLOOKUP(A112,tbMoveset!A2:C112,3,FALSE)/100)*IF(VLOOKUP(A112,tbMoveset!A2:B112,2,FALSE)="Projectile",Backdoors!N10,Backdoors!N9),0),"")</f>
        <v/>
      </c>
      <c r="CE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A112&gt;=0.45,VLOOKUP(Calculator!E23,tbSkills!DH3:DI6,2,FALSE)+IF(AND(Calculator!B8=TRUE,Backdoors!BI14=TRUE),VLOOKUP(Calculator!E23,tbSkills!DH3:DJ6,3,FALSE),0),0))&gt;=100,100,(Backdoors!AI12+IF(CA112&gt;=0.45,VLOOKUP(Calculator!E23,tbSkills!DH3:DI6,2,FALSE)+IF(AND(Calculator!B8=TRUE,Backdoors!BI14=TRUE),VLOOKUP(Calculator!E23,tbSkills!DH3:DJ6,3,FALSE),0),0)))/100)),1))*IF(VLOOKUP(A112,tbMoveset!A2:K112,11,FALSE)=TRUE,Backdoors!AC5,1))*CB112,0),"")</f>
        <v>0</v>
      </c>
      <c r="CF112" s="89">
        <f>VLOOKUP(A112,tbMoveset!A2:G112,7,FALSE)*IFERROR(IF(Backdoors!AI12&gt;=0,1+(IF(Calculator!E40&gt;0,VLOOKUP(Calculator!E40,tbSkills!AI3:AJ5,2,FALSE),Backdoors!AL4)*(IF((Backdoors!AI12+IF(CA112&gt;=0.45,VLOOKUP(Calculator!E23,tbSkills!DH3:DI6,2,FALSE)+IF(AND(Calculator!B8=TRUE,Backdoors!BI14=TRUE),VLOOKUP(Calculator!E23,tbSkills!DH3:DJ6,3,FALSE),0),0))&gt;=100,100,(Backdoors!AI12+IF(CA112&gt;=0.45,VLOOKUP(Calculator!E23,tbSkills!DH3:DI6,2,FALSE)+IF(AND(Calculator!B8=TRUE,Backdoors!BI14=TRUE),VLOOKUP(Calculator!E23,tbSkills!DH3:DJ6,3,FALSE),0),0)))/100)),1),1)</f>
        <v>0</v>
      </c>
      <c r="CG112" s="90">
        <f t="shared" si="62"/>
        <v>0</v>
      </c>
      <c r="CH112" s="88" t="str">
        <f>IFERROR(IF(VLOOKUP(A112,tbMoveset!A2:B112,2,FALSE)="Sever",Backdoors!AY15/100,IF(VLOOKUP(A112,tbMoveset!A2:B112,2,FALSE)="Blunt",Backdoors!AZ15/100,Backdoors!BA15/100)),"")</f>
        <v/>
      </c>
      <c r="CI112" s="89">
        <f>IFERROR(IF(VLOOKUP(tbMoveset!A112,tbMoveset!A2:H112,8,FALSE)="Other",IF(VLOOKUP(tbMoveset!A112,tbMoveset!A2:I112,9,FALSE)="Fire",Backdoors!BB15,IF(VLOOKUP(tbMoveset!A112,tbMoveset!A2:I112,9,FALSE)="Water",Backdoors!BC15,IF(VLOOKUP(tbMoveset!A112,tbMoveset!A2:I112,9,FALSE)="Thunder",Backdoors!BD15,IF(VLOOKUP(tbMoveset!A112,tbMoveset!A2:I112,9,FALSE)="Ice",Backdoors!BE15,IF(VLOOKUP(tbMoveset!A112,tbMoveset!A2:I112,9,FALSE)="Dragon",Backdoors!BF15,Backdoors!BG15)))))/100,Backdoors!BG15/100),"")</f>
        <v>0</v>
      </c>
      <c r="CJ112" s="89">
        <f>IFERROR(IF(VLOOKUP(A112,tbMoveset!A2:J112,10,FALSE)=TRUE,IF((Backdoors!AI12+IF(CH112&gt;=0.45,VLOOKUP(Calculator!E23,tbSkills!DH3:DI6,2,FALSE)+IF(AND(Calculator!B8=TRUE,Backdoors!BI15=TRUE),VLOOKUP(Calculator!E23,tbSkills!DH3:DJ6,3,FALSE),0),0))&gt;=0,1+(Backdoors!AL2*(IF((Backdoors!AI12+IF(CH112&gt;=0.45,VLOOKUP(Calculator!E23,tbSkills!DH3:DI6,2,FALSE)+IF(AND(Calculator!B8=TRUE,Backdoors!BI15=TRUE),VLOOKUP(Calculator!E23,tbSkills!DH3:DJ6,3,FALSE),0),0))&gt;=100,100,(Backdoors!AI12+IF(CH112&gt;=0.45,VLOOKUP(Calculator!E23,tbSkills!DH3:DI6,2,FALSE)+IF(AND(Calculator!B8=TRUE,Backdoors!BI15=TRUE),VLOOKUP(Calculator!E23,tbSkills!DH3:DJ6,3,FALSE),0),0)))/100)),(1-(0.25*((-Backdoors!AI12-IF(CH112&gt;=0.45,VLOOKUP(Calculator!E23,tbSkills!DH3:DI6,2,FALSE)+IF(AND(Calculator!B8=TRUE,Backdoors!BI15=TRUE),VLOOKUP(Calculator!E23,tbSkills!DH3:DJ6,3,FALSE),0),0))/100)))),1),"")</f>
        <v>1</v>
      </c>
      <c r="CK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H112)*CJ112)*(VLOOKUP(A112,tbMoveset!A2:C112,3,FALSE)/100)*IF(VLOOKUP(A112,tbMoveset!A2:B112,2,FALSE)="Projectile",Backdoors!N10,Backdoors!N9),0),"")</f>
        <v/>
      </c>
      <c r="CL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H112&gt;=0.45,VLOOKUP(Calculator!E23,tbSkills!DH3:DI6,2,FALSE)+IF(AND(Calculator!B8=TRUE,Backdoors!BI15=TRUE),VLOOKUP(Calculator!E23,tbSkills!DH3:DJ6,3,FALSE),0),0))&gt;=100,100,(Backdoors!AI12+IF(CH112&gt;=0.45,VLOOKUP(Calculator!E23,tbSkills!DH3:DI6,2,FALSE)+IF(AND(Calculator!B8=TRUE,Backdoors!BI15=TRUE),VLOOKUP(Calculator!E23,tbSkills!DH3:DJ6,3,FALSE),0),0)))/100)),1))*IF(VLOOKUP(A112,tbMoveset!A2:K112,11,FALSE)=TRUE,Backdoors!AC5,1))*CI112,0),"")</f>
        <v>0</v>
      </c>
      <c r="CM112" s="89">
        <f>VLOOKUP(A112,tbMoveset!A2:G112,7,FALSE)*IFERROR(IF(Backdoors!AI12&gt;=0,1+(IF(Calculator!E40&gt;0,VLOOKUP(Calculator!E40,tbSkills!AI3:AJ5,2,FALSE),Backdoors!AL4)*(IF((Backdoors!AI12+IF(CH112&gt;=0.45,VLOOKUP(Calculator!E23,tbSkills!DH3:DI6,2,FALSE)+IF(AND(Calculator!B8=TRUE,Backdoors!BI15=TRUE),VLOOKUP(Calculator!E23,tbSkills!DH3:DJ6,3,FALSE),0),0))&gt;=100,100,(Backdoors!AI12+IF(CH112&gt;=0.45,VLOOKUP(Calculator!E23,tbSkills!DH3:DI6,2,FALSE)+IF(AND(Calculator!B8=TRUE,Backdoors!BI15=TRUE),VLOOKUP(Calculator!E23,tbSkills!DH3:DJ6,3,FALSE),0),0)))/100)),1),1)</f>
        <v>0</v>
      </c>
      <c r="CN112" s="90">
        <f t="shared" si="63"/>
        <v>0</v>
      </c>
      <c r="CO112" s="88" t="str">
        <f>IFERROR(IF(VLOOKUP(A112,tbMoveset!A2:B112,2,FALSE)="Sever",Backdoors!AY16/100,IF(VLOOKUP(A112,tbMoveset!A2:B112,2,FALSE)="Blunt",Backdoors!AZ16/100,Backdoors!BA16/100)),"")</f>
        <v/>
      </c>
      <c r="CP112" s="89">
        <f>IFERROR(IF(VLOOKUP(tbMoveset!A112,tbMoveset!A2:H112,8,FALSE)="Other",IF(VLOOKUP(tbMoveset!A112,tbMoveset!A2:I112,9,FALSE)="Fire",Backdoors!BB16,IF(VLOOKUP(tbMoveset!A112,tbMoveset!A2:I112,9,FALSE)="Water",Backdoors!BC16,IF(VLOOKUP(tbMoveset!A112,tbMoveset!A2:I112,9,FALSE)="Thunder",Backdoors!BD16,IF(VLOOKUP(tbMoveset!A112,tbMoveset!A2:I112,9,FALSE)="Ice",Backdoors!BE16,IF(VLOOKUP(tbMoveset!A112,tbMoveset!A2:I112,9,FALSE)="Dragon",Backdoors!BF16,Backdoors!BG16)))))/100,Backdoors!BG16/100),"")</f>
        <v>0</v>
      </c>
      <c r="CQ112" s="89">
        <f>IFERROR(IF(VLOOKUP(A112,tbMoveset!A2:J112,10,FALSE)=TRUE,IF((Backdoors!AI12+IF(CO112&gt;=0.45,VLOOKUP(Calculator!E23,tbSkills!DH3:DI6,2,FALSE)+IF(AND(Calculator!B8=TRUE,Backdoors!BI16=TRUE),VLOOKUP(Calculator!E23,tbSkills!DH3:DJ6,3,FALSE),0),0))&gt;=0,1+(Backdoors!AL2*(IF((Backdoors!AI12+IF(CO112&gt;=0.45,VLOOKUP(Calculator!E23,tbSkills!DH3:DI6,2,FALSE)+IF(AND(Calculator!B8=TRUE,Backdoors!BI16=TRUE),VLOOKUP(Calculator!E23,tbSkills!DH3:DJ6,3,FALSE),0),0))&gt;=100,100,(Backdoors!AI12+IF(CO112&gt;=0.45,VLOOKUP(Calculator!E23,tbSkills!DH3:DI6,2,FALSE)+IF(AND(Calculator!B8=TRUE,Backdoors!BI16=TRUE),VLOOKUP(Calculator!E23,tbSkills!DH3:DJ6,3,FALSE),0),0)))/100)),(1-(0.25*((-Backdoors!AI12-IF(CO112&gt;=0.45,VLOOKUP(Calculator!E23,tbSkills!DH3:DI6,2,FALSE)+IF(AND(Calculator!B8=TRUE,Backdoors!BI16=TRUE),VLOOKUP(Calculator!E23,tbSkills!DH3:DJ6,3,FALSE),0),0))/100)))),1),"")</f>
        <v>1</v>
      </c>
      <c r="CR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O112)*CQ112)*(VLOOKUP(A112,tbMoveset!A2:C112,3,FALSE)/100)*IF(VLOOKUP(A112,tbMoveset!A2:B112,2,FALSE)="Projectile",Backdoors!N10,Backdoors!N9),0),"")</f>
        <v/>
      </c>
      <c r="CS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O112&gt;=0.45,VLOOKUP(Calculator!E23,tbSkills!DH3:DI6,2,FALSE)+IF(AND(Calculator!B8=TRUE,Backdoors!BI16=TRUE),VLOOKUP(Calculator!E23,tbSkills!DH3:DJ6,3,FALSE),0),0))&gt;=100,100,(Backdoors!AI12+IF(CO112&gt;=0.45,VLOOKUP(Calculator!E23,tbSkills!DH3:DI6,2,FALSE)+IF(AND(Calculator!B8=TRUE,Backdoors!BI16=TRUE),VLOOKUP(Calculator!E23,tbSkills!DH3:DJ6,3,FALSE),0),0)))/100)),1))*IF(VLOOKUP(A112,tbMoveset!A2:K112,11,FALSE)=TRUE,Backdoors!AC5,1))*CP112,0),"")</f>
        <v>0</v>
      </c>
      <c r="CT112" s="89">
        <f>VLOOKUP(A112,tbMoveset!A2:G112,7,FALSE)*IFERROR(IF(Backdoors!AI12&gt;=0,1+(IF(Calculator!E40&gt;0,VLOOKUP(Calculator!E40,tbSkills!AI3:AJ5,2,FALSE),Backdoors!AL4)*(IF((Backdoors!AI12+IF(CO112&gt;=0.45,VLOOKUP(Calculator!E23,tbSkills!DH3:DI6,2,FALSE)+IF(AND(Calculator!B8=TRUE,Backdoors!BI16=TRUE),VLOOKUP(Calculator!E23,tbSkills!DH3:DJ6,3,FALSE),0),0))&gt;=100,100,(Backdoors!AI12+IF(CO112&gt;=0.45,VLOOKUP(Calculator!E23,tbSkills!DH3:DI6,2,FALSE)+IF(AND(Calculator!B8=TRUE,Backdoors!BI16=TRUE),VLOOKUP(Calculator!E23,tbSkills!DH3:DJ6,3,FALSE),0),0)))/100)),1),1)</f>
        <v>0</v>
      </c>
      <c r="CU112" s="90">
        <f t="shared" si="64"/>
        <v>0</v>
      </c>
      <c r="CV112" s="88" t="str">
        <f>IFERROR(IF(VLOOKUP(A112,tbMoveset!A2:B112,2,FALSE)="Sever",Backdoors!AY17/100,IF(VLOOKUP(A112,tbMoveset!A2:B112,2,FALSE)="Blunt",Backdoors!AZ17/100,Backdoors!BA17/100)),"")</f>
        <v/>
      </c>
      <c r="CW112" s="89">
        <f>IFERROR(IF(VLOOKUP(tbMoveset!A112,tbMoveset!A2:H112,8,FALSE)="Other",IF(VLOOKUP(tbMoveset!A112,tbMoveset!A2:I112,9,FALSE)="Fire",Backdoors!BB17,IF(VLOOKUP(tbMoveset!A112,tbMoveset!A2:I112,9,FALSE)="Water",Backdoors!BC17,IF(VLOOKUP(tbMoveset!A112,tbMoveset!A2:I112,9,FALSE)="Thunder",Backdoors!BD17,IF(VLOOKUP(tbMoveset!A112,tbMoveset!A2:I112,9,FALSE)="Ice",Backdoors!BE17,IF(VLOOKUP(tbMoveset!A112,tbMoveset!A2:I112,9,FALSE)="Dragon",Backdoors!BF17,Backdoors!BG17)))))/100,Backdoors!BG17/100),"")</f>
        <v>0</v>
      </c>
      <c r="CX112" s="89">
        <f>IFERROR(IF(VLOOKUP(A112,tbMoveset!A2:J112,10,FALSE)=TRUE,IF((Backdoors!AI12+IF(CV112&gt;=0.45,VLOOKUP(Calculator!E23,tbSkills!DH3:DI6,2,FALSE)+IF(AND(Calculator!B8=TRUE,Backdoors!BI17=TRUE),VLOOKUP(Calculator!E23,tbSkills!DH3:DJ6,3,FALSE),0),0))&gt;=0,1+(Backdoors!AL2*(IF((Backdoors!AI12+IF(CV112&gt;=0.45,VLOOKUP(Calculator!E23,tbSkills!DH3:DI6,2,FALSE)+IF(AND(Calculator!B8=TRUE,Backdoors!BI17=TRUE),VLOOKUP(Calculator!E23,tbSkills!DH3:DJ6,3,FALSE),0),0))&gt;=100,100,(Backdoors!AI12+IF(CV112&gt;=0.45,VLOOKUP(Calculator!E23,tbSkills!DH3:DI6,2,FALSE)+IF(AND(Calculator!B8=TRUE,Backdoors!BI17=TRUE),VLOOKUP(Calculator!E23,tbSkills!DH3:DJ6,3,FALSE),0),0)))/100)),(1-(0.25*((-Backdoors!AI12-IF(CV112&gt;=0.45,VLOOKUP(Calculator!E23,tbSkills!DH3:DI6,2,FALSE)+IF(AND(Calculator!B8=TRUE,Backdoors!BI17=TRUE),VLOOKUP(Calculator!E23,tbSkills!DH3:DJ6,3,FALSE),0),0))/100)))),1),"")</f>
        <v>1</v>
      </c>
      <c r="CY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V112)*CX112)*(VLOOKUP(A112,tbMoveset!A2:C112,3,FALSE)/100)*IF(VLOOKUP(A112,tbMoveset!A2:B112,2,FALSE)="Projectile",Backdoors!N10,Backdoors!N9),0),"")</f>
        <v/>
      </c>
      <c r="CZ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V112&gt;=0.45,VLOOKUP(Calculator!E23,tbSkills!DH3:DI6,2,FALSE)+IF(AND(Calculator!B8=TRUE,Backdoors!BI17=TRUE),VLOOKUP(Calculator!E23,tbSkills!DH3:DJ6,3,FALSE),0),0))&gt;=100,100,(Backdoors!AI12+IF(CV112&gt;=0.45,VLOOKUP(Calculator!E23,tbSkills!DH3:DI6,2,FALSE)+IF(AND(Calculator!B8=TRUE,Backdoors!BI17=TRUE),VLOOKUP(Calculator!E23,tbSkills!DH3:DJ6,3,FALSE),0),0)))/100)),1))*IF(VLOOKUP(A112,tbMoveset!A2:K112,11,FALSE)=TRUE,Backdoors!AC5,1))*CW112,0),"")</f>
        <v>0</v>
      </c>
      <c r="DA112" s="89">
        <f>VLOOKUP(A112,tbMoveset!A2:G112,7,FALSE)*IFERROR(IF(Backdoors!AI12&gt;=0,1+(IF(Calculator!E40&gt;0,VLOOKUP(Calculator!E40,tbSkills!AI3:AJ5,2,FALSE),Backdoors!AL4)*(IF((Backdoors!AI12+IF(CV112&gt;=0.45,VLOOKUP(Calculator!E23,tbSkills!DH3:DI6,2,FALSE)+IF(AND(Calculator!B8=TRUE,Backdoors!BI17=TRUE),VLOOKUP(Calculator!E23,tbSkills!DH3:DJ6,3,FALSE),0),0))&gt;=100,100,(Backdoors!AI12+IF(CV112&gt;=0.45,VLOOKUP(Calculator!E23,tbSkills!DH3:DI6,2,FALSE)+IF(AND(Calculator!B8=TRUE,Backdoors!BI17=TRUE),VLOOKUP(Calculator!E23,tbSkills!DH3:DJ6,3,FALSE),0),0)))/100)),1),1)</f>
        <v>0</v>
      </c>
      <c r="DB112" s="90">
        <f t="shared" si="65"/>
        <v>0</v>
      </c>
      <c r="DC112" s="88" t="str">
        <f>IFERROR(IF(VLOOKUP(A112,tbMoveset!A2:B112,2,FALSE)="Sever",Backdoors!AY18/100,IF(VLOOKUP(A112,tbMoveset!A2:B112,2,FALSE)="Blunt",Backdoors!AZ18/100,Backdoors!BA18/100)),"")</f>
        <v/>
      </c>
      <c r="DD112" s="89">
        <f>IFERROR(IF(VLOOKUP(tbMoveset!A112,tbMoveset!A2:H112,8,FALSE)="Other",IF(VLOOKUP(tbMoveset!A112,tbMoveset!A2:I112,9,FALSE)="Fire",Backdoors!BB18,IF(VLOOKUP(tbMoveset!A112,tbMoveset!A2:I112,9,FALSE)="Water",Backdoors!BC18,IF(VLOOKUP(tbMoveset!A112,tbMoveset!A2:I112,9,FALSE)="Thunder",Backdoors!BD18,IF(VLOOKUP(tbMoveset!A112,tbMoveset!A2:I112,9,FALSE)="Ice",Backdoors!BE18,IF(VLOOKUP(tbMoveset!A112,tbMoveset!A2:I112,9,FALSE)="Dragon",Backdoors!BF18,Backdoors!BG18)))))/100,Backdoors!BG18/100),"")</f>
        <v>0</v>
      </c>
      <c r="DE112" s="89">
        <f>IFERROR(IF(VLOOKUP(A112,tbMoveset!A2:J112,10,FALSE)=TRUE,IF((Backdoors!AI12+IF(DC112&gt;=0.45,VLOOKUP(Calculator!E23,tbSkills!DH3:DI6,2,FALSE)+IF(AND(Calculator!B8=TRUE,Backdoors!BI18=TRUE),VLOOKUP(Calculator!E23,tbSkills!DH3:DJ6,3,FALSE),0),0))&gt;=0,1+(Backdoors!AL2*(IF((Backdoors!AI12+IF(DC112&gt;=0.45,VLOOKUP(Calculator!E23,tbSkills!DH3:DI6,2,FALSE)+IF(AND(Calculator!B8=TRUE,Backdoors!BI18=TRUE),VLOOKUP(Calculator!E23,tbSkills!DH3:DJ6,3,FALSE),0),0))&gt;=100,100,(Backdoors!AI12+IF(DC112&gt;=0.45,VLOOKUP(Calculator!E23,tbSkills!DH3:DI6,2,FALSE)+IF(AND(Calculator!B8=TRUE,Backdoors!BI18=TRUE),VLOOKUP(Calculator!E23,tbSkills!DH3:DJ6,3,FALSE),0),0)))/100)),(1-(0.25*((-Backdoors!AI12-IF(DC112&gt;=0.45,VLOOKUP(Calculator!E23,tbSkills!DH3:DI6,2,FALSE)+IF(AND(Calculator!B8=TRUE,Backdoors!BI18=TRUE),VLOOKUP(Calculator!E23,tbSkills!DH3:DJ6,3,FALSE),0),0))/100)))),1),"")</f>
        <v>1</v>
      </c>
      <c r="DF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C112)*DE112)*(VLOOKUP(A112,tbMoveset!A2:C112,3,FALSE)/100)*IF(VLOOKUP(A112,tbMoveset!A2:B112,2,FALSE)="Projectile",Backdoors!N10,Backdoors!N9),0),"")</f>
        <v/>
      </c>
      <c r="DG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C112&gt;=0.45,VLOOKUP(Calculator!E23,tbSkills!DH3:DI6,2,FALSE)+IF(AND(Calculator!B8=TRUE,Backdoors!BI18=TRUE),VLOOKUP(Calculator!E23,tbSkills!DH3:DJ6,3,FALSE),0),0))&gt;=100,100,(Backdoors!AI12+IF(DC112&gt;=0.45,VLOOKUP(Calculator!E23,tbSkills!DH3:DI6,2,FALSE)+IF(AND(Calculator!B8=TRUE,Backdoors!BI18=TRUE),VLOOKUP(Calculator!E23,tbSkills!DH3:DJ6,3,FALSE),0),0)))/100)),1))*IF(VLOOKUP(A112,tbMoveset!A2:K112,11,FALSE)=TRUE,Backdoors!AC5,1))*DD112,0),"")</f>
        <v>0</v>
      </c>
      <c r="DH112" s="89">
        <f>VLOOKUP(A112,tbMoveset!A2:G112,7,FALSE)*IFERROR(IF(Backdoors!AI12&gt;=0,1+(IF(Calculator!E40&gt;0,VLOOKUP(Calculator!E40,tbSkills!AI3:AJ5,2,FALSE),Backdoors!AL4)*(IF((Backdoors!AI12+IF(DC112&gt;=0.45,VLOOKUP(Calculator!E23,tbSkills!DH3:DI6,2,FALSE)+IF(AND(Calculator!B8=TRUE,Backdoors!BI18=TRUE),VLOOKUP(Calculator!E23,tbSkills!DH3:DJ6,3,FALSE),0),0))&gt;=100,100,(Backdoors!AI12+IF(DC112&gt;=0.45,VLOOKUP(Calculator!E23,tbSkills!DH3:DI6,2,FALSE)+IF(AND(Calculator!B8=TRUE,Backdoors!BI18=TRUE),VLOOKUP(Calculator!E23,tbSkills!DH3:DJ6,3,FALSE),0),0)))/100)),1),1)</f>
        <v>0</v>
      </c>
      <c r="DI112" s="90">
        <f t="shared" si="66"/>
        <v>0</v>
      </c>
      <c r="DJ112" s="88" t="str">
        <f>IFERROR(IF(VLOOKUP(A112,tbMoveset!A2:B112,2,FALSE)="Sever",Backdoors!AY19/100,IF(VLOOKUP(A112,tbMoveset!A2:B112,2,FALSE)="Blunt",Backdoors!AZ19/100,Backdoors!BA19/100)),"")</f>
        <v/>
      </c>
      <c r="DK112" s="89">
        <f>IFERROR(IF(VLOOKUP(tbMoveset!A112,tbMoveset!A2:H112,8,FALSE)="Other",IF(VLOOKUP(tbMoveset!A112,tbMoveset!A2:I112,9,FALSE)="Fire",Backdoors!BB19,IF(VLOOKUP(tbMoveset!A112,tbMoveset!A2:I112,9,FALSE)="Water",Backdoors!BC19,IF(VLOOKUP(tbMoveset!A112,tbMoveset!A2:I112,9,FALSE)="Thunder",Backdoors!BD19,IF(VLOOKUP(tbMoveset!A112,tbMoveset!A2:I112,9,FALSE)="Ice",Backdoors!BE19,IF(VLOOKUP(tbMoveset!A112,tbMoveset!A2:I112,9,FALSE)="Dragon",Backdoors!BF19,Backdoors!BG19)))))/100,Backdoors!BG19/100),"")</f>
        <v>0</v>
      </c>
      <c r="DL112" s="89">
        <f>IFERROR(IF(VLOOKUP(A112,tbMoveset!A2:J112,10,FALSE)=TRUE,IF((Backdoors!AI12+IF(DJ112&gt;=0.45,VLOOKUP(Calculator!E23,tbSkills!DH3:DI6,2,FALSE)+IF(AND(Calculator!B8=TRUE,Backdoors!BI19=TRUE),VLOOKUP(Calculator!E23,tbSkills!DH3:DJ6,3,FALSE),0),0))&gt;=0,1+(Backdoors!AL2*(IF((Backdoors!AI12+IF(DJ112&gt;=0.45,VLOOKUP(Calculator!E23,tbSkills!DH3:DI6,2,FALSE)+IF(AND(Calculator!B8=TRUE,Backdoors!BI19=TRUE),VLOOKUP(Calculator!E23,tbSkills!DH3:DJ6,3,FALSE),0),0))&gt;=100,100,(Backdoors!AI12+IF(DJ112&gt;=0.45,VLOOKUP(Calculator!E23,tbSkills!DH3:DI6,2,FALSE)+IF(AND(Calculator!B8=TRUE,Backdoors!BI19=TRUE),VLOOKUP(Calculator!E23,tbSkills!DH3:DJ6,3,FALSE),0),0)))/100)),(1-(0.25*((-Backdoors!AI12-IF(DJ112&gt;=0.45,VLOOKUP(Calculator!E23,tbSkills!DH3:DI6,2,FALSE)+IF(AND(Calculator!B8=TRUE,Backdoors!BI19=TRUE),VLOOKUP(Calculator!E23,tbSkills!DH3:DJ6,3,FALSE),0),0))/100)))),1),"")</f>
        <v>1</v>
      </c>
      <c r="DM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J112)*DL112)*(VLOOKUP(A112,tbMoveset!A2:C112,3,FALSE)/100)*IF(VLOOKUP(A112,tbMoveset!A2:B112,2,FALSE)="Projectile",Backdoors!N10,Backdoors!N9),0),"")</f>
        <v/>
      </c>
      <c r="DN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J112&gt;=0.45,VLOOKUP(Calculator!E23,tbSkills!DH3:DI6,2,FALSE)+IF(AND(Calculator!B8=TRUE,Backdoors!BI19=TRUE),VLOOKUP(Calculator!E23,tbSkills!DH3:DJ6,3,FALSE),0),0))&gt;=100,100,(Backdoors!AI12+IF(DJ112&gt;=0.45,VLOOKUP(Calculator!E23,tbSkills!DH3:DI6,2,FALSE)+IF(AND(Calculator!B8=TRUE,Backdoors!BI19=TRUE),VLOOKUP(Calculator!E23,tbSkills!DH3:DJ6,3,FALSE),0),0)))/100)),1))*IF(VLOOKUP(A112,tbMoveset!A2:K112,11,FALSE)=TRUE,Backdoors!AC5,1))*DK112,0),"")</f>
        <v>0</v>
      </c>
      <c r="DO112" s="89">
        <f>VLOOKUP(A112,tbMoveset!A2:G112,7,FALSE)*IFERROR(IF(Backdoors!AI12&gt;=0,1+(IF(Calculator!E40&gt;0,VLOOKUP(Calculator!E40,tbSkills!AI3:AJ5,2,FALSE),Backdoors!AL4)*(IF((Backdoors!AI12+IF(DJ112&gt;=0.45,VLOOKUP(Calculator!E23,tbSkills!DH3:DI6,2,FALSE)+IF(AND(Calculator!B8=TRUE,Backdoors!BI19=TRUE),VLOOKUP(Calculator!E23,tbSkills!DH3:DJ6,3,FALSE),0),0))&gt;=100,100,(Backdoors!AI12+IF(DJ112&gt;=0.45,VLOOKUP(Calculator!E23,tbSkills!DH3:DI6,2,FALSE)+IF(AND(Calculator!B8=TRUE,Backdoors!BI19=TRUE),VLOOKUP(Calculator!E23,tbSkills!DH3:DJ6,3,FALSE),0),0)))/100)),1),1)</f>
        <v>0</v>
      </c>
      <c r="DP112" s="90">
        <f t="shared" si="67"/>
        <v>0</v>
      </c>
      <c r="DQ112" s="88" t="str">
        <f>IFERROR(IF(VLOOKUP(A112,tbMoveset!A2:B112,2,FALSE)="Sever",Backdoors!AY20/100,IF(VLOOKUP(A112,tbMoveset!A2:B112,2,FALSE)="Blunt",Backdoors!AZ20/100,Backdoors!BA20/100)),"")</f>
        <v/>
      </c>
      <c r="DR112" s="89">
        <f>IFERROR(IF(VLOOKUP(tbMoveset!A112,tbMoveset!A2:H112,8,FALSE)="Other",IF(VLOOKUP(tbMoveset!A112,tbMoveset!A2:I112,9,FALSE)="Fire",Backdoors!BB20,IF(VLOOKUP(tbMoveset!A112,tbMoveset!A2:I112,9,FALSE)="Water",Backdoors!BC20,IF(VLOOKUP(tbMoveset!A112,tbMoveset!A2:I112,9,FALSE)="Thunder",Backdoors!BD20,IF(VLOOKUP(tbMoveset!A112,tbMoveset!A2:I112,9,FALSE)="Ice",Backdoors!BE20,IF(VLOOKUP(tbMoveset!A112,tbMoveset!A2:I112,9,FALSE)="Dragon",Backdoors!BF20,Backdoors!BG20)))))/100,Backdoors!BG20/100),"")</f>
        <v>0</v>
      </c>
      <c r="DS112" s="89">
        <f>IFERROR(IF(VLOOKUP(A112,tbMoveset!A2:J112,10,FALSE)=TRUE,IF((Backdoors!AI12+IF(DQ112&gt;=0.45,VLOOKUP(Calculator!E23,tbSkills!DH3:DI6,2,FALSE)+IF(AND(Calculator!B8=TRUE,Backdoors!BI20=TRUE),VLOOKUP(Calculator!E23,tbSkills!DH3:DJ6,3,FALSE),0),0))&gt;=0,1+(Backdoors!AL2*(IF((Backdoors!AI12+IF(DQ112&gt;=0.45,VLOOKUP(Calculator!E23,tbSkills!DH3:DI6,2,FALSE)+IF(AND(Calculator!B8=TRUE,Backdoors!BI20=TRUE),VLOOKUP(Calculator!E23,tbSkills!DH3:DJ6,3,FALSE),0),0))&gt;=100,100,(Backdoors!AI12+IF(DQ112&gt;=0.45,VLOOKUP(Calculator!E23,tbSkills!DH3:DI6,2,FALSE)+IF(AND(Calculator!B8=TRUE,Backdoors!BI20=TRUE),VLOOKUP(Calculator!E23,tbSkills!DH3:DJ6,3,FALSE),0),0)))/100)),(1-(0.25*((-Backdoors!AI12-IF(DQ112&gt;=0.45,VLOOKUP(Calculator!E23,tbSkills!DH3:DI6,2,FALSE)+IF(AND(Calculator!B8=TRUE,Backdoors!BI20=TRUE),VLOOKUP(Calculator!E23,tbSkills!DH3:DJ6,3,FALSE),0),0))/100)))),1),"")</f>
        <v>1</v>
      </c>
      <c r="DT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Q112)*DS112)*(VLOOKUP(A112,tbMoveset!A2:C112,3,FALSE)/100)*IF(VLOOKUP(A112,tbMoveset!A2:B112,2,FALSE)="Projectile",Backdoors!N10,Backdoors!N9),0),"")</f>
        <v/>
      </c>
      <c r="DU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Q112&gt;=0.45,VLOOKUP(Calculator!E23,tbSkills!DH3:DI6,2,FALSE)+IF(AND(Calculator!B8=TRUE,Backdoors!BI20=TRUE),VLOOKUP(Calculator!E23,tbSkills!DH3:DJ6,3,FALSE),0),0))&gt;=100,100,(Backdoors!AI12+IF(DQ112&gt;=0.45,VLOOKUP(Calculator!E23,tbSkills!DH3:DI6,2,FALSE)+IF(AND(Calculator!B8=TRUE,Backdoors!BI20=TRUE),VLOOKUP(Calculator!E23,tbSkills!DH3:DJ6,3,FALSE),0),0)))/100)),1))*IF(VLOOKUP(A112,tbMoveset!A2:K112,11,FALSE)=TRUE,Backdoors!AC5,1))*DR112,0),"")</f>
        <v>0</v>
      </c>
      <c r="DV112" s="89">
        <f>VLOOKUP(A112,tbMoveset!A2:G112,7,FALSE)*IFERROR(IF(Backdoors!AI12&gt;=0,1+(IF(Calculator!E40&gt;0,VLOOKUP(Calculator!E40,tbSkills!AI3:AJ5,2,FALSE),Backdoors!AL4)*(IF((Backdoors!AI12+IF(DQ112&gt;=0.45,VLOOKUP(Calculator!E23,tbSkills!DH3:DI6,2,FALSE)+IF(AND(Calculator!B8=TRUE,Backdoors!BI20=TRUE),VLOOKUP(Calculator!E23,tbSkills!DH3:DJ6,3,FALSE),0),0))&gt;=100,100,(Backdoors!AI12+IF(DQ112&gt;=0.45,VLOOKUP(Calculator!E23,tbSkills!DH3:DI6,2,FALSE)+IF(AND(Calculator!B8=TRUE,Backdoors!BI20=TRUE),VLOOKUP(Calculator!E23,tbSkills!DH3:DJ6,3,FALSE),0),0)))/100)),1),1)</f>
        <v>0</v>
      </c>
      <c r="DW112" s="90">
        <f t="shared" si="68"/>
        <v>0</v>
      </c>
      <c r="DX112" s="88" t="str">
        <f>IFERROR(IF(VLOOKUP(A112,tbMoveset!A2:B112,2,FALSE)="Sever",Backdoors!AY21/100,IF(VLOOKUP(A112,tbMoveset!A2:B112,2,FALSE)="Blunt",Backdoors!AZ21/100,Backdoors!BA21/100)),"")</f>
        <v/>
      </c>
      <c r="DY112" s="89">
        <f>IFERROR(IF(VLOOKUP(tbMoveset!A112,tbMoveset!A2:H112,8,FALSE)="Other",IF(VLOOKUP(tbMoveset!A112,tbMoveset!A2:I112,9,FALSE)="Fire",Backdoors!BB21,IF(VLOOKUP(tbMoveset!A112,tbMoveset!A2:I112,9,FALSE)="Water",Backdoors!BC21,IF(VLOOKUP(tbMoveset!A112,tbMoveset!A2:I112,9,FALSE)="Thunder",Backdoors!BD21,IF(VLOOKUP(tbMoveset!A112,tbMoveset!A2:I112,9,FALSE)="Ice",Backdoors!BE21,IF(VLOOKUP(tbMoveset!A112,tbMoveset!A2:I112,9,FALSE)="Dragon",Backdoors!BF21,Backdoors!BG21)))))/100,Backdoors!BG21/100),"")</f>
        <v>0</v>
      </c>
      <c r="DZ112" s="89">
        <f>IFERROR(IF(VLOOKUP(A112,tbMoveset!A2:J112,10,FALSE)=TRUE,IF((Backdoors!AI12+IF(DX112&gt;=0.45,VLOOKUP(Calculator!E23,tbSkills!DH3:DI6,2,FALSE)+IF(AND(Calculator!B8=TRUE,Backdoors!BI21=TRUE),VLOOKUP(Calculator!E23,tbSkills!DH3:DJ6,3,FALSE),0),0))&gt;=0,1+(Backdoors!AL2*(IF((Backdoors!AI12+IF(DX112&gt;=0.45,VLOOKUP(Calculator!E23,tbSkills!DH3:DI6,2,FALSE)+IF(AND(Calculator!B8=TRUE,Backdoors!BI21=TRUE),VLOOKUP(Calculator!E23,tbSkills!DH3:DJ6,3,FALSE),0),0))&gt;=100,100,(Backdoors!AI12+IF(DX112&gt;=0.45,VLOOKUP(Calculator!E23,tbSkills!DH3:DI6,2,FALSE)+IF(AND(Calculator!B8=TRUE,Backdoors!BI21=TRUE),VLOOKUP(Calculator!E23,tbSkills!DH3:DJ6,3,FALSE),0),0)))/100)),(1-(0.25*((-Backdoors!AI12-IF(DX112&gt;=0.45,VLOOKUP(Calculator!E23,tbSkills!DH3:DI6,2,FALSE)+IF(AND(Calculator!B8=TRUE,Backdoors!BI21=TRUE),VLOOKUP(Calculator!E23,tbSkills!DH3:DJ6,3,FALSE),0),0))/100)))),1),"")</f>
        <v>1</v>
      </c>
      <c r="EA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X112)*DZ112)*(VLOOKUP(A112,tbMoveset!A2:C112,3,FALSE)/100)*IF(VLOOKUP(A112,tbMoveset!A2:B112,2,FALSE)="Projectile",Backdoors!N10,Backdoors!N9),0),"")</f>
        <v/>
      </c>
      <c r="EB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X112&gt;=0.45,VLOOKUP(Calculator!E23,tbSkills!DH3:DI6,2,FALSE)+IF(AND(Calculator!B8=TRUE,Backdoors!BI21=TRUE),VLOOKUP(Calculator!E23,tbSkills!DH3:DJ6,3,FALSE),0),0))&gt;=100,100,(Backdoors!AI12+IF(DX112&gt;=0.45,VLOOKUP(Calculator!E23,tbSkills!DH3:DI6,2,FALSE)+IF(AND(Calculator!B8=TRUE,Backdoors!BI21=TRUE),VLOOKUP(Calculator!E23,tbSkills!DH3:DJ6,3,FALSE),0),0)))/100)),1))*IF(VLOOKUP(A112,tbMoveset!A2:K112,11,FALSE)=TRUE,Backdoors!AC5,1))*DY112,0),"")</f>
        <v>0</v>
      </c>
      <c r="EC112" s="89">
        <f>VLOOKUP(A112,tbMoveset!A2:G112,7,FALSE)*IFERROR(IF(Backdoors!AI12&gt;=0,1+(IF(Calculator!E40&gt;0,VLOOKUP(Calculator!E40,tbSkills!AI3:AJ5,2,FALSE),Backdoors!AL4)*(IF((Backdoors!AI12+IF(DX112&gt;=0.45,VLOOKUP(Calculator!E23,tbSkills!DH3:DI6,2,FALSE)+IF(AND(Calculator!B8=TRUE,Backdoors!BI21=TRUE),VLOOKUP(Calculator!E23,tbSkills!DH3:DJ6,3,FALSE),0),0))&gt;=100,100,(Backdoors!AI12+IF(DX112&gt;=0.45,VLOOKUP(Calculator!E23,tbSkills!DH3:DI6,2,FALSE)+IF(AND(Calculator!B8=TRUE,Backdoors!BI21=TRUE),VLOOKUP(Calculator!E23,tbSkills!DH3:DJ6,3,FALSE),0),0)))/100)),1),1)</f>
        <v>0</v>
      </c>
      <c r="ED112" s="90">
        <f t="shared" si="69"/>
        <v>0</v>
      </c>
      <c r="EE112" s="88" t="str">
        <f>IFERROR(IF(VLOOKUP(A112,tbMoveset!A2:B112,2,FALSE)="Sever",Backdoors!AY22/100,IF(VLOOKUP(A112,tbMoveset!A2:B112,2,FALSE)="Blunt",Backdoors!AZ22/100,Backdoors!BA22/100)),"")</f>
        <v/>
      </c>
      <c r="EF112" s="89">
        <f>IFERROR(IF(VLOOKUP(tbMoveset!A112,tbMoveset!A2:H112,8,FALSE)="Other",IF(VLOOKUP(tbMoveset!A112,tbMoveset!A2:I112,9,FALSE)="Fire",Backdoors!BB22,IF(VLOOKUP(tbMoveset!A112,tbMoveset!A2:I112,9,FALSE)="Water",Backdoors!BC22,IF(VLOOKUP(tbMoveset!A112,tbMoveset!A2:I112,9,FALSE)="Thunder",Backdoors!BD22,IF(VLOOKUP(tbMoveset!A112,tbMoveset!A2:I112,9,FALSE)="Ice",Backdoors!BE22,IF(VLOOKUP(tbMoveset!A112,tbMoveset!A2:I112,9,FALSE)="Dragon",Backdoors!BF22,Backdoors!BG22)))))/100,Backdoors!BG22/100),"")</f>
        <v>0</v>
      </c>
      <c r="EG112" s="89">
        <f>IFERROR(IF(VLOOKUP(A112,tbMoveset!A2:J112,10,FALSE)=TRUE,IF((Backdoors!AI12+IF(EE112&gt;=0.45,VLOOKUP(Calculator!E23,tbSkills!DH3:DI6,2,FALSE)+IF(AND(Calculator!B8=TRUE,Backdoors!BI22=TRUE),VLOOKUP(Calculator!E23,tbSkills!DH3:DJ6,3,FALSE),0),0))&gt;=0,1+(Backdoors!AL2*(IF((Backdoors!AI12+IF(EE112&gt;=0.45,VLOOKUP(Calculator!E23,tbSkills!DH3:DI6,2,FALSE)+IF(AND(Calculator!B8=TRUE,Backdoors!BI22=TRUE),VLOOKUP(Calculator!E23,tbSkills!DH3:DJ6,3,FALSE),0),0))&gt;=100,100,(Backdoors!AI12+IF(EE112&gt;=0.45,VLOOKUP(Calculator!E23,tbSkills!DH3:DI6,2,FALSE)+IF(AND(Calculator!B8=TRUE,Backdoors!BI22=TRUE),VLOOKUP(Calculator!E23,tbSkills!DH3:DJ6,3,FALSE),0),0)))/100)),(1-(0.25*((-Backdoors!AI12-IF(EE112&gt;=0.45,VLOOKUP(Calculator!E23,tbSkills!DH3:DI6,2,FALSE)+IF(AND(Calculator!B8=TRUE,Backdoors!BI22=TRUE),VLOOKUP(Calculator!E23,tbSkills!DH3:DJ6,3,FALSE),0),0))/100)))),1),"")</f>
        <v>1</v>
      </c>
      <c r="EH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E112)*EG112)*(VLOOKUP(A112,tbMoveset!A2:C112,3,FALSE)/100)*IF(VLOOKUP(A112,tbMoveset!A2:B112,2,FALSE)="Projectile",Backdoors!N10,Backdoors!N9),0),"")</f>
        <v/>
      </c>
      <c r="EI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E112&gt;=0.45,VLOOKUP(Calculator!E23,tbSkills!DH3:DI6,2,FALSE)+IF(AND(Calculator!B8=TRUE,Backdoors!BI22=TRUE),VLOOKUP(Calculator!E23,tbSkills!DH3:DJ6,3,FALSE),0),0))&gt;=100,100,(Backdoors!AI12+IF(EE112&gt;=0.45,VLOOKUP(Calculator!E23,tbSkills!DH3:DI6,2,FALSE)+IF(AND(Calculator!B8=TRUE,Backdoors!BI22=TRUE),VLOOKUP(Calculator!E23,tbSkills!DH3:DJ6,3,FALSE),0),0)))/100)),1))*IF(VLOOKUP(A112,tbMoveset!A2:K112,11,FALSE)=TRUE,Backdoors!AC5,1))*EF112,0),"")</f>
        <v>0</v>
      </c>
      <c r="EJ112" s="89">
        <f>VLOOKUP(A112,tbMoveset!A2:G112,7,FALSE)*IFERROR(IF(Backdoors!AI12&gt;=0,1+(IF(Calculator!E40&gt;0,VLOOKUP(Calculator!E40,tbSkills!AI3:AJ5,2,FALSE),Backdoors!AL4)*(IF((Backdoors!AI12+IF(EE112&gt;=0.45,VLOOKUP(Calculator!E23,tbSkills!DH3:DI6,2,FALSE)+IF(AND(Calculator!B8=TRUE,Backdoors!BI22=TRUE),VLOOKUP(Calculator!E23,tbSkills!DH3:DJ6,3,FALSE),0),0))&gt;=100,100,(Backdoors!AI12+IF(EE112&gt;=0.45,VLOOKUP(Calculator!E23,tbSkills!DH3:DI6,2,FALSE)+IF(AND(Calculator!B8=TRUE,Backdoors!BI22=TRUE),VLOOKUP(Calculator!E23,tbSkills!DH3:DJ6,3,FALSE),0),0)))/100)),1),1)</f>
        <v>0</v>
      </c>
      <c r="EK112" s="90">
        <f t="shared" si="70"/>
        <v>0</v>
      </c>
      <c r="EL112" s="88" t="str">
        <f>IFERROR(IF(VLOOKUP(A112,tbMoveset!A2:B112,2,FALSE)="Sever",Backdoors!AY23/100,IF(VLOOKUP(A112,tbMoveset!A2:B112,2,FALSE)="Blunt",Backdoors!AZ23/100,Backdoors!BA23/100)),"")</f>
        <v/>
      </c>
      <c r="EM112" s="89">
        <f>IFERROR(IF(VLOOKUP(tbMoveset!A112,tbMoveset!A2:H112,8,FALSE)="Other",IF(VLOOKUP(tbMoveset!A112,tbMoveset!A2:I112,9,FALSE)="Fire",Backdoors!BB23,IF(VLOOKUP(tbMoveset!A112,tbMoveset!A2:I112,9,FALSE)="Water",Backdoors!BC23,IF(VLOOKUP(tbMoveset!A112,tbMoveset!A2:I112,9,FALSE)="Thunder",Backdoors!BD23,IF(VLOOKUP(tbMoveset!A112,tbMoveset!A2:I112,9,FALSE)="Ice",Backdoors!BE23,IF(VLOOKUP(tbMoveset!A112,tbMoveset!A2:I112,9,FALSE)="Dragon",Backdoors!BF23,Backdoors!BG23)))))/100,Backdoors!BG23/100),"")</f>
        <v>0</v>
      </c>
      <c r="EN112" s="89">
        <f>IFERROR(IF(VLOOKUP(A112,tbMoveset!A2:J112,10,FALSE)=TRUE,IF((Backdoors!AI12+IF(EL112&gt;=0.45,VLOOKUP(Calculator!E23,tbSkills!DH3:DI6,2,FALSE)+IF(AND(Calculator!B8=TRUE,Backdoors!BI23=TRUE),VLOOKUP(Calculator!E23,tbSkills!DH3:DJ6,3,FALSE),0),0))&gt;=0,1+(Backdoors!AL2*(IF((Backdoors!AI12+IF(EL112&gt;=0.45,VLOOKUP(Calculator!E23,tbSkills!DH3:DI6,2,FALSE)+IF(AND(Calculator!B8=TRUE,Backdoors!BI23=TRUE),VLOOKUP(Calculator!E23,tbSkills!DH3:DJ6,3,FALSE),0),0))&gt;=100,100,(Backdoors!AI12+IF(EL112&gt;=0.45,VLOOKUP(Calculator!E23,tbSkills!DH3:DI6,2,FALSE)+IF(AND(Calculator!B8=TRUE,Backdoors!BI23=TRUE),VLOOKUP(Calculator!E23,tbSkills!DH3:DJ6,3,FALSE),0),0)))/100)),(1-(0.25*((-Backdoors!AI12-IF(EL112&gt;=0.45,VLOOKUP(Calculator!E23,tbSkills!DH3:DI6,2,FALSE)+IF(AND(Calculator!B8=TRUE,Backdoors!BI23=TRUE),VLOOKUP(Calculator!E23,tbSkills!DH3:DJ6,3,FALSE),0),0))/100)))),1),"")</f>
        <v>1</v>
      </c>
      <c r="EO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L112)*EN112)*(VLOOKUP(A112,tbMoveset!A2:C112,3,FALSE)/100)*IF(VLOOKUP(A112,tbMoveset!A2:B112,2,FALSE)="Projectile",Backdoors!N10,Backdoors!N9),0),"")</f>
        <v/>
      </c>
      <c r="EP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L112&gt;=0.45,VLOOKUP(Calculator!E23,tbSkills!DH3:DI6,2,FALSE)+IF(AND(Calculator!B8=TRUE,Backdoors!BI23=TRUE),VLOOKUP(Calculator!E23,tbSkills!DH3:DJ6,3,FALSE),0),0))&gt;=100,100,(Backdoors!AI12+IF(EL112&gt;=0.45,VLOOKUP(Calculator!E23,tbSkills!DH3:DI6,2,FALSE)+IF(AND(Calculator!B8=TRUE,Backdoors!BI23=TRUE),VLOOKUP(Calculator!E23,tbSkills!DH3:DJ6,3,FALSE),0),0)))/100)),1))*IF(VLOOKUP(A112,tbMoveset!A2:K112,11,FALSE)=TRUE,Backdoors!AC5,1))*EM112,0),"")</f>
        <v>0</v>
      </c>
      <c r="EQ112" s="89">
        <f>VLOOKUP(A112,tbMoveset!A2:G112,7,FALSE)*IFERROR(IF(Backdoors!AI12&gt;=0,1+(IF(Calculator!E40&gt;0,VLOOKUP(Calculator!E40,tbSkills!AI3:AJ5,2,FALSE),Backdoors!AL4)*(IF((Backdoors!AI12+IF(EL112&gt;=0.45,VLOOKUP(Calculator!E23,tbSkills!DH3:DI6,2,FALSE)+IF(AND(Calculator!B8=TRUE,Backdoors!BI23=TRUE),VLOOKUP(Calculator!E23,tbSkills!DH3:DJ6,3,FALSE),0),0))&gt;=100,100,(Backdoors!AI12+IF(EL112&gt;=0.45,VLOOKUP(Calculator!E23,tbSkills!DH3:DI6,2,FALSE)+IF(AND(Calculator!B8=TRUE,Backdoors!BI23=TRUE),VLOOKUP(Calculator!E23,tbSkills!DH3:DJ6,3,FALSE),0),0)))/100)),1),1)</f>
        <v>0</v>
      </c>
      <c r="ER112" s="90">
        <f t="shared" si="71"/>
        <v>0</v>
      </c>
      <c r="ES112" s="88" t="str">
        <f>IFERROR(IF(VLOOKUP(A112,tbMoveset!A2:B112,2,FALSE)="Sever",Backdoors!AY24/100,IF(VLOOKUP(A112,tbMoveset!A2:B112,2,FALSE)="Blunt",Backdoors!AZ24/100,Backdoors!BA24/100)),"")</f>
        <v/>
      </c>
      <c r="ET112" s="89">
        <f>IFERROR(IF(VLOOKUP(tbMoveset!A112,tbMoveset!A2:H112,8,FALSE)="Other",IF(VLOOKUP(tbMoveset!A112,tbMoveset!A2:I112,9,FALSE)="Fire",Backdoors!BB24,IF(VLOOKUP(tbMoveset!A112,tbMoveset!A2:I112,9,FALSE)="Water",Backdoors!BC24,IF(VLOOKUP(tbMoveset!A112,tbMoveset!A2:I112,9,FALSE)="Thunder",Backdoors!BD24,IF(VLOOKUP(tbMoveset!A112,tbMoveset!A2:I112,9,FALSE)="Ice",Backdoors!BE24,IF(VLOOKUP(tbMoveset!A112,tbMoveset!A2:I112,9,FALSE)="Dragon",Backdoors!BF24,Backdoors!BG24)))))/100,Backdoors!BG24/100),"")</f>
        <v>0</v>
      </c>
      <c r="EU112" s="89">
        <f>IFERROR(IF(VLOOKUP(A112,tbMoveset!A2:J112,10,FALSE)=TRUE,IF((Backdoors!AI12+IF(ES112&gt;=0.45,VLOOKUP(Calculator!E23,tbSkills!DH3:DI6,2,FALSE)+IF(AND(Calculator!B8=TRUE,Backdoors!BI24=TRUE),VLOOKUP(Calculator!E23,tbSkills!DH3:DJ6,3,FALSE),0),0))&gt;=0,1+(Backdoors!AL2*(IF((Backdoors!AI12+IF(ES112&gt;=0.45,VLOOKUP(Calculator!E23,tbSkills!DH3:DI6,2,FALSE)+IF(AND(Calculator!B8=TRUE,Backdoors!BI24=TRUE),VLOOKUP(Calculator!E23,tbSkills!DH3:DJ6,3,FALSE),0),0))&gt;=100,100,(Backdoors!AI12+IF(ES112&gt;=0.45,VLOOKUP(Calculator!E23,tbSkills!DH3:DI6,2,FALSE)+IF(AND(Calculator!B8=TRUE,Backdoors!BI24=TRUE),VLOOKUP(Calculator!E23,tbSkills!DH3:DJ6,3,FALSE),0),0)))/100)),(1-(0.25*((-Backdoors!AI12-IF(ES112&gt;=0.45,VLOOKUP(Calculator!E23,tbSkills!DH3:DI6,2,FALSE)+IF(AND(Calculator!B8=TRUE,Backdoors!BI24=TRUE),VLOOKUP(Calculator!E23,tbSkills!DH3:DJ6,3,FALSE),0),0))/100)))),1),"")</f>
        <v>1</v>
      </c>
      <c r="EV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S112)*EU112)*(VLOOKUP(A112,tbMoveset!A2:C112,3,FALSE)/100)*IF(VLOOKUP(A112,tbMoveset!A2:B112,2,FALSE)="Projectile",Backdoors!N10,Backdoors!N9),0),"")</f>
        <v/>
      </c>
      <c r="EW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S112&gt;=0.45,VLOOKUP(Calculator!E23,tbSkills!DH3:DI6,2,FALSE)+IF(AND(Calculator!B8=TRUE,Backdoors!BI24=TRUE),VLOOKUP(Calculator!E23,tbSkills!DH3:DJ6,3,FALSE),0),0))&gt;=100,100,(Backdoors!AI12+IF(ES112&gt;=0.45,VLOOKUP(Calculator!E23,tbSkills!DH3:DI6,2,FALSE)+IF(AND(Calculator!B8=TRUE,Backdoors!BI24=TRUE),VLOOKUP(Calculator!E23,tbSkills!DH3:DJ6,3,FALSE),0),0)))/100)),1))*IF(VLOOKUP(A112,tbMoveset!A2:K112,11,FALSE)=TRUE,Backdoors!AC5,1))*ET112,0),"")</f>
        <v>0</v>
      </c>
      <c r="EX112" s="89">
        <f>VLOOKUP(A112,tbMoveset!A2:G112,7,FALSE)*IFERROR(IF(Backdoors!AI12&gt;=0,1+(IF(Calculator!E40&gt;0,VLOOKUP(Calculator!E40,tbSkills!AI3:AJ5,2,FALSE),Backdoors!AL4)*(IF((Backdoors!AI12+IF(ES112&gt;=0.45,VLOOKUP(Calculator!E23,tbSkills!DH3:DI6,2,FALSE)+IF(AND(Calculator!B8=TRUE,Backdoors!BI24=TRUE),VLOOKUP(Calculator!E23,tbSkills!DH3:DJ6,3,FALSE),0),0))&gt;=100,100,(Backdoors!AI12+IF(ES112&gt;=0.45,VLOOKUP(Calculator!E23,tbSkills!DH3:DI6,2,FALSE)+IF(AND(Calculator!B8=TRUE,Backdoors!BI24=TRUE),VLOOKUP(Calculator!E23,tbSkills!DH3:DJ6,3,FALSE),0),0)))/100)),1),1)</f>
        <v>0</v>
      </c>
      <c r="EY112" s="90">
        <f t="shared" si="72"/>
        <v>0</v>
      </c>
      <c r="EZ112" s="88" t="str">
        <f>IFERROR(IF(VLOOKUP(A112,tbMoveset!A2:B112,2,FALSE)="Sever",Backdoors!AY25/100,IF(VLOOKUP(A112,tbMoveset!A2:B112,2,FALSE)="Blunt",Backdoors!AZ25/100,Backdoors!BA25/100)),"")</f>
        <v/>
      </c>
      <c r="FA112" s="89">
        <f>IFERROR(IF(VLOOKUP(tbMoveset!A112,tbMoveset!A2:H112,8,FALSE)="Other",IF(VLOOKUP(tbMoveset!A112,tbMoveset!A2:I112,9,FALSE)="Fire",Backdoors!BB25,IF(VLOOKUP(tbMoveset!A112,tbMoveset!A2:I112,9,FALSE)="Water",Backdoors!BC25,IF(VLOOKUP(tbMoveset!A112,tbMoveset!A2:I112,9,FALSE)="Thunder",Backdoors!BD25,IF(VLOOKUP(tbMoveset!A112,tbMoveset!A2:I112,9,FALSE)="Ice",Backdoors!BE25,IF(VLOOKUP(tbMoveset!A112,tbMoveset!A2:I112,9,FALSE)="Dragon",Backdoors!BF25,Backdoors!BG25)))))/100,Backdoors!BG25/100),"")</f>
        <v>0</v>
      </c>
      <c r="FB112" s="89">
        <f>IFERROR(IF(VLOOKUP(A112,tbMoveset!A2:J112,10,FALSE)=TRUE,IF((Backdoors!AI12+IF(EZ112&gt;=0.45,VLOOKUP(Calculator!E23,tbSkills!DH3:DI6,2,FALSE)+IF(AND(Calculator!B8=TRUE,Backdoors!BI25=TRUE),VLOOKUP(Calculator!E23,tbSkills!DH3:DJ6,3,FALSE),0),0))&gt;=0,1+(Backdoors!AL2*(IF((Backdoors!AI12+IF(EZ112&gt;=0.45,VLOOKUP(Calculator!E23,tbSkills!DH3:DI6,2,FALSE)+IF(AND(Calculator!B8=TRUE,Backdoors!BI25=TRUE),VLOOKUP(Calculator!E23,tbSkills!DH3:DJ6,3,FALSE),0),0))&gt;=100,100,(Backdoors!AI12+IF(EZ112&gt;=0.45,VLOOKUP(Calculator!E23,tbSkills!DH3:DI6,2,FALSE)+IF(AND(Calculator!B8=TRUE,Backdoors!BI25=TRUE),VLOOKUP(Calculator!E23,tbSkills!DH3:DJ6,3,FALSE),0),0)))/100)),(1-(0.25*((-Backdoors!AI12-IF(EZ112&gt;=0.45,VLOOKUP(Calculator!E23,tbSkills!DH3:DI6,2,FALSE)+IF(AND(Calculator!B8=TRUE,Backdoors!BI25=TRUE),VLOOKUP(Calculator!E23,tbSkills!DH3:DJ6,3,FALSE),0),0))/100)))),1),"")</f>
        <v>1</v>
      </c>
      <c r="FC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Z112)*FB112)*(VLOOKUP(A112,tbMoveset!A2:C112,3,FALSE)/100)*IF(VLOOKUP(A112,tbMoveset!A2:B112,2,FALSE)="Projectile",Backdoors!N10,Backdoors!N9),0),"")</f>
        <v/>
      </c>
      <c r="FD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Z112&gt;=0.45,VLOOKUP(Calculator!E23,tbSkills!DH3:DI6,2,FALSE)+IF(AND(Calculator!B8=TRUE,Backdoors!BI25=TRUE),VLOOKUP(Calculator!E23,tbSkills!DH3:DJ6,3,FALSE),0),0))&gt;=100,100,(Backdoors!AI12+IF(EZ112&gt;=0.45,VLOOKUP(Calculator!E23,tbSkills!DH3:DI6,2,FALSE)+IF(AND(Calculator!B8=TRUE,Backdoors!BI25=TRUE),VLOOKUP(Calculator!E23,tbSkills!DH3:DJ6,3,FALSE),0),0)))/100)),1))*IF(VLOOKUP(A112,tbMoveset!A2:K112,11,FALSE)=TRUE,Backdoors!AC5,1))*FA112,0),"")</f>
        <v>0</v>
      </c>
      <c r="FE112" s="89">
        <f>VLOOKUP(A112,tbMoveset!A2:G112,7,FALSE)*IFERROR(IF(Backdoors!AI12&gt;=0,1+(IF(Calculator!E40&gt;0,VLOOKUP(Calculator!E40,tbSkills!AI3:AJ5,2,FALSE),Backdoors!AL4)*(IF((Backdoors!AI12+IF(EZ112&gt;=0.45,VLOOKUP(Calculator!E23,tbSkills!DH3:DI6,2,FALSE)+IF(AND(Calculator!B8=TRUE,Backdoors!BI25=TRUE),VLOOKUP(Calculator!E23,tbSkills!DH3:DJ6,3,FALSE),0),0))&gt;=100,100,(Backdoors!AI12+IF(EZ112&gt;=0.45,VLOOKUP(Calculator!E23,tbSkills!DH3:DI6,2,FALSE)+IF(AND(Calculator!B8=TRUE,Backdoors!BI25=TRUE),VLOOKUP(Calculator!E23,tbSkills!DH3:DJ6,3,FALSE),0),0)))/100)),1),1)</f>
        <v>0</v>
      </c>
      <c r="FF112" s="90">
        <f t="shared" si="73"/>
        <v>0</v>
      </c>
      <c r="FG112" s="88" t="str">
        <f>IFERROR(IF(VLOOKUP(A112,tbMoveset!A2:B112,2,FALSE)="Sever",Backdoors!AY26/100,IF(VLOOKUP(A112,tbMoveset!A2:B112,2,FALSE)="Blunt",Backdoors!AZ26/100,Backdoors!BA26/100)),"")</f>
        <v/>
      </c>
      <c r="FH112" s="89">
        <f>IFERROR(IF(VLOOKUP(tbMoveset!A112,tbMoveset!A2:H112,8,FALSE)="Other",IF(VLOOKUP(tbMoveset!A112,tbMoveset!A2:I112,9,FALSE)="Fire",Backdoors!BB26,IF(VLOOKUP(tbMoveset!A112,tbMoveset!A2:I112,9,FALSE)="Water",Backdoors!BC26,IF(VLOOKUP(tbMoveset!A112,tbMoveset!A2:I112,9,FALSE)="Thunder",Backdoors!BD26,IF(VLOOKUP(tbMoveset!A112,tbMoveset!A2:I112,9,FALSE)="Ice",Backdoors!BE26,IF(VLOOKUP(tbMoveset!A112,tbMoveset!A2:I112,9,FALSE)="Dragon",Backdoors!BF26,Backdoors!BG26)))))/100,Backdoors!BG26/100),"")</f>
        <v>0</v>
      </c>
      <c r="FI112" s="89">
        <f>IFERROR(IF(VLOOKUP(A112,tbMoveset!A2:J112,10,FALSE)=TRUE,IF((Backdoors!AI12+IF(FG112&gt;=0.45,VLOOKUP(Calculator!E23,tbSkills!DH3:DI6,2,FALSE)+IF(AND(Calculator!B8=TRUE,Backdoors!BI26=TRUE),VLOOKUP(Calculator!E23,tbSkills!DH3:DJ6,3,FALSE),0),0))&gt;=0,1+(Backdoors!AL2*(IF((Backdoors!AI12+IF(FG112&gt;=0.45,VLOOKUP(Calculator!E23,tbSkills!DH3:DI6,2,FALSE)+IF(AND(Calculator!B8=TRUE,Backdoors!BI26=TRUE),VLOOKUP(Calculator!E23,tbSkills!DH3:DJ6,3,FALSE),0),0))&gt;=100,100,(Backdoors!AI12+IF(FG112&gt;=0.45,VLOOKUP(Calculator!E23,tbSkills!DH3:DI6,2,FALSE)+IF(AND(Calculator!B8=TRUE,Backdoors!BI26=TRUE),VLOOKUP(Calculator!E23,tbSkills!DH3:DJ6,3,FALSE),0),0)))/100)),(1-(0.25*((-Backdoors!AI12-IF(FG112&gt;=0.45,VLOOKUP(Calculator!E23,tbSkills!DH3:DI6,2,FALSE)+IF(AND(Calculator!B8=TRUE,Backdoors!BI26=TRUE),VLOOKUP(Calculator!E23,tbSkills!DH3:DJ6,3,FALSE),0),0))/100)))),1),"")</f>
        <v>1</v>
      </c>
      <c r="FJ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FG112)*FI112)*(VLOOKUP(A112,tbMoveset!A2:C112,3,FALSE)/100)*IF(VLOOKUP(A112,tbMoveset!A2:B112,2,FALSE)="Projectile",Backdoors!N10,Backdoors!N9),0),"")</f>
        <v/>
      </c>
      <c r="FK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FG112&gt;=0.45,VLOOKUP(Calculator!E23,tbSkills!DH3:DI6,2,FALSE)+IF(AND(Calculator!B8=TRUE,Backdoors!BI26=TRUE),VLOOKUP(Calculator!E23,tbSkills!DH3:DJ6,3,FALSE),0),0))&gt;=100,100,(Backdoors!AI12+IF(FG112&gt;=0.45,VLOOKUP(Calculator!E23,tbSkills!DH3:DI6,2,FALSE)+IF(AND(Calculator!B8=TRUE,Backdoors!BI26=TRUE),VLOOKUP(Calculator!E23,tbSkills!DH3:DJ6,3,FALSE),0),0)))/100)),1))*IF(VLOOKUP(A112,tbMoveset!A2:K112,11,FALSE)=TRUE,Backdoors!AC5,1))*FH112,0),"")</f>
        <v>0</v>
      </c>
      <c r="FL112" s="89">
        <f>VLOOKUP(A112,tbMoveset!A2:G112,7,FALSE)*IFERROR(IF(Backdoors!AI12&gt;=0,1+(IF(Calculator!E40&gt;0,VLOOKUP(Calculator!E40,tbSkills!AI3:AJ5,2,FALSE),Backdoors!AL4)*(IF((Backdoors!AI12+IF(FG112&gt;=0.45,VLOOKUP(Calculator!E23,tbSkills!DH3:DI6,2,FALSE)+IF(AND(Calculator!B8=TRUE,Backdoors!BI26=TRUE),VLOOKUP(Calculator!E23,tbSkills!DH3:DJ6,3,FALSE),0),0))&gt;=100,100,(Backdoors!AI12+IF(FG112&gt;=0.45,VLOOKUP(Calculator!E23,tbSkills!DH3:DI6,2,FALSE)+IF(AND(Calculator!B8=TRUE,Backdoors!BI26=TRUE),VLOOKUP(Calculator!E23,tbSkills!DH3:DJ6,3,FALSE),0),0)))/100)),1),1)</f>
        <v>0</v>
      </c>
      <c r="FM112" s="90">
        <f t="shared" si="74"/>
        <v>0</v>
      </c>
      <c r="FN112" s="88" t="str">
        <f>IFERROR(IF(VLOOKUP(A112,tbMoveset!A2:B112,2,FALSE)="Sever",Backdoors!AY27/100,IF(VLOOKUP(A112,tbMoveset!A2:B112,2,FALSE)="Blunt",Backdoors!AZ27/100,Backdoors!BA27/100)),"")</f>
        <v/>
      </c>
      <c r="FO112" s="89">
        <f>IFERROR(IF(VLOOKUP(tbMoveset!A112,tbMoveset!A2:H112,8,FALSE)="Other",IF(VLOOKUP(tbMoveset!A112,tbMoveset!A2:I112,9,FALSE)="Fire",Backdoors!BB27,IF(VLOOKUP(tbMoveset!A112,tbMoveset!A2:I112,9,FALSE)="Water",Backdoors!BC27,IF(VLOOKUP(tbMoveset!A112,tbMoveset!A2:I112,9,FALSE)="Thunder",Backdoors!BD27,IF(VLOOKUP(tbMoveset!A112,tbMoveset!A2:I112,9,FALSE)="Ice",Backdoors!BE27,IF(VLOOKUP(tbMoveset!A112,tbMoveset!A2:I112,9,FALSE)="Dragon",Backdoors!BF27,Backdoors!BG27)))))/100,Backdoors!BG27/100),"")</f>
        <v>0</v>
      </c>
      <c r="FP112" s="89">
        <f>IFERROR(IF(VLOOKUP(A112,tbMoveset!A2:J112,10,FALSE)=TRUE,IF((Backdoors!AI12+IF(FN112&gt;=0.45,VLOOKUP(Calculator!E23,tbSkills!DH3:DI6,2,FALSE)+IF(AND(Calculator!B8=TRUE,Backdoors!BI27=TRUE),VLOOKUP(Calculator!E23,tbSkills!DH3:DJ6,3,FALSE),0),0))&gt;=0,1+(Backdoors!AL2*(IF((Backdoors!AI12+IF(FN112&gt;=0.45,VLOOKUP(Calculator!E23,tbSkills!DH3:DI6,2,FALSE)+IF(AND(Calculator!B8=TRUE,Backdoors!BI27=TRUE),VLOOKUP(Calculator!E23,tbSkills!DH3:DJ6,3,FALSE),0),0))&gt;=100,100,(Backdoors!AI12+IF(FN112&gt;=0.45,VLOOKUP(Calculator!E23,tbSkills!DH3:DI6,2,FALSE)+IF(AND(Calculator!B8=TRUE,Backdoors!BI27=TRUE),VLOOKUP(Calculator!E23,tbSkills!DH3:DJ6,3,FALSE),0),0)))/100)),(1-(0.25*((-Backdoors!AI12-IF(FN112&gt;=0.45,VLOOKUP(Calculator!E23,tbSkills!DH3:DI6,2,FALSE)+IF(AND(Calculator!B8=TRUE,Backdoors!BI27=TRUE),VLOOKUP(Calculator!E23,tbSkills!DH3:DJ6,3,FALSE),0),0))/100)))),1),"")</f>
        <v>1</v>
      </c>
      <c r="FQ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FN112)*FP112)*(VLOOKUP(A112,tbMoveset!A2:C112,3,FALSE)/100)*IF(VLOOKUP(A112,tbMoveset!A2:B112,2,FALSE)="Projectile",Backdoors!N10,Backdoors!N9),0),"")</f>
        <v/>
      </c>
      <c r="FR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FN112&gt;=0.45,VLOOKUP(Calculator!E23,tbSkills!DH3:DI6,2,FALSE)+IF(AND(Calculator!B8=TRUE,Backdoors!BI27=TRUE),VLOOKUP(Calculator!E23,tbSkills!DH3:DJ6,3,FALSE),0),0))&gt;=100,100,(Backdoors!AI12+IF(FN112&gt;=0.45,VLOOKUP(Calculator!E23,tbSkills!DH3:DI6,2,FALSE)+IF(AND(Calculator!B8=TRUE,Backdoors!BI27=TRUE),VLOOKUP(Calculator!E23,tbSkills!DH3:DJ6,3,FALSE),0),0)))/100)),1))*IF(VLOOKUP(A112,tbMoveset!A2:K112,11,FALSE)=TRUE,Backdoors!AC5,1))*FO112,0),"")</f>
        <v>0</v>
      </c>
      <c r="FS112" s="89">
        <f>VLOOKUP(A112,tbMoveset!A2:G112,7,FALSE)*IFERROR(IF(Backdoors!AI12&gt;=0,1+(IF(Calculator!E40&gt;0,VLOOKUP(Calculator!E40,tbSkills!AI3:AJ5,2,FALSE),Backdoors!AL4)*(IF((Backdoors!AI12+IF(FN112&gt;=0.45,VLOOKUP(Calculator!E23,tbSkills!DH3:DI6,2,FALSE)+IF(AND(Calculator!B8=TRUE,Backdoors!BI27=TRUE),VLOOKUP(Calculator!E23,tbSkills!DH3:DJ6,3,FALSE),0),0))&gt;=100,100,(Backdoors!AI12+IF(FN112&gt;=0.45,VLOOKUP(Calculator!E23,tbSkills!DH3:DI6,2,FALSE)+IF(AND(Calculator!B8=TRUE,Backdoors!BI27=TRUE),VLOOKUP(Calculator!E23,tbSkills!DH3:DJ6,3,FALSE),0),0)))/100)),1),1)</f>
        <v>0</v>
      </c>
      <c r="FT112" s="90">
        <f t="shared" si="75"/>
        <v>0</v>
      </c>
      <c r="FU112" s="88" t="str">
        <f>IFERROR(IF(VLOOKUP(A112,tbMoveset!A2:B112,2,FALSE)="Sever",Backdoors!AY28/100,IF(VLOOKUP(A112,tbMoveset!A2:B112,2,FALSE)="Blunt",Backdoors!AZ28/100,Backdoors!BA28/100)),"")</f>
        <v/>
      </c>
      <c r="FV112" s="89">
        <f>IFERROR(IF(VLOOKUP(tbMoveset!A112,tbMoveset!A2:H112,8,FALSE)="Other",IF(VLOOKUP(tbMoveset!A112,tbMoveset!A2:I112,9,FALSE)="Fire",Backdoors!BB28,IF(VLOOKUP(tbMoveset!A112,tbMoveset!A2:I112,9,FALSE)="Water",Backdoors!BC28,IF(VLOOKUP(tbMoveset!A112,tbMoveset!A2:I112,9,FALSE)="Thunder",Backdoors!BD28,IF(VLOOKUP(tbMoveset!A112,tbMoveset!A2:I112,9,FALSE)="Ice",Backdoors!BE28,IF(VLOOKUP(tbMoveset!A112,tbMoveset!A2:I112,9,FALSE)="Dragon",Backdoors!BF28,Backdoors!BG28)))))/100,Backdoors!BG28/100),"")</f>
        <v>0</v>
      </c>
      <c r="FW112" s="89">
        <f>IFERROR(IF(VLOOKUP(A112,tbMoveset!A2:J112,10,FALSE)=TRUE,IF((Backdoors!AI12+IF(FU112&gt;=0.45,VLOOKUP(Calculator!E23,tbSkills!DH3:DI6,2,FALSE)+IF(AND(Calculator!B8=TRUE,Backdoors!BI28=TRUE),VLOOKUP(Calculator!E23,tbSkills!DH3:DJ6,3,FALSE),0),0))&gt;=0,1+(Backdoors!AL2*(IF((Backdoors!AI12+IF(FU112&gt;=0.45,VLOOKUP(Calculator!E23,tbSkills!DH3:DI6,2,FALSE)+IF(AND(Calculator!B8=TRUE,Backdoors!BI28=TRUE),VLOOKUP(Calculator!E23,tbSkills!DH3:DJ6,3,FALSE),0),0))&gt;=100,100,(Backdoors!AI12+IF(FU112&gt;=0.45,VLOOKUP(Calculator!E23,tbSkills!DH3:DI6,2,FALSE)+IF(AND(Calculator!B8=TRUE,Backdoors!BI28=TRUE),VLOOKUP(Calculator!E23,tbSkills!DH3:DJ6,3,FALSE),0),0)))/100)),(1-(0.25*((-Backdoors!AI12-IF(FU112&gt;=0.45,VLOOKUP(Calculator!E23,tbSkills!DH3:DI6,2,FALSE)+IF(AND(Calculator!B8=TRUE,Backdoors!BI28=TRUE),VLOOKUP(Calculator!E23,tbSkills!DH3:DJ6,3,FALSE),0),0))/100)))),1),"")</f>
        <v>1</v>
      </c>
      <c r="FX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FU112)*FW112)*(VLOOKUP(A112,tbMoveset!A2:C112,3,FALSE)/100)*IF(VLOOKUP(A112,tbMoveset!A2:B112,2,FALSE)="Projectile",Backdoors!N10,Backdoors!N9),0),"")</f>
        <v/>
      </c>
      <c r="FY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FU112&gt;=0.45,VLOOKUP(Calculator!E23,tbSkills!DH3:DI6,2,FALSE)+IF(AND(Calculator!B8=TRUE,Backdoors!BI28=TRUE),VLOOKUP(Calculator!E23,tbSkills!DH3:DJ6,3,FALSE),0),0))&gt;=100,100,(Backdoors!AI12+IF(FU112&gt;=0.45,VLOOKUP(Calculator!E23,tbSkills!DH3:DI6,2,FALSE)+IF(AND(Calculator!B8=TRUE,Backdoors!BI28=TRUE),VLOOKUP(Calculator!E23,tbSkills!DH3:DJ6,3,FALSE),0),0)))/100)),1))*IF(VLOOKUP(A112,tbMoveset!A2:K112,11,FALSE)=TRUE,Backdoors!AC5,1))*FV112,0),"")</f>
        <v>0</v>
      </c>
      <c r="FZ112" s="89">
        <f>VLOOKUP(A112,tbMoveset!A2:G112,7,FALSE)*IFERROR(IF(Backdoors!AI12&gt;=0,1+(IF(Calculator!E40&gt;0,VLOOKUP(Calculator!E40,tbSkills!AI3:AJ5,2,FALSE),Backdoors!AL4)*(IF((Backdoors!AI12+IF(FU112&gt;=0.45,VLOOKUP(Calculator!E23,tbSkills!DH3:DI6,2,FALSE)+IF(AND(Calculator!B8=TRUE,Backdoors!BI28=TRUE),VLOOKUP(Calculator!E23,tbSkills!DH3:DJ6,3,FALSE),0),0))&gt;=100,100,(Backdoors!AI12+IF(FU112&gt;=0.45,VLOOKUP(Calculator!E23,tbSkills!DH3:DI6,2,FALSE)+IF(AND(Calculator!B8=TRUE,Backdoors!BI28=TRUE),VLOOKUP(Calculator!E23,tbSkills!DH3:DJ6,3,FALSE),0),0)))/100)),1),1)</f>
        <v>0</v>
      </c>
      <c r="GA112" s="90">
        <f t="shared" si="76"/>
        <v>0</v>
      </c>
      <c r="GB112" s="88" t="str">
        <f>IFERROR(IF(VLOOKUP(A112,tbMoveset!A2:B112,2,FALSE)="Sever",Backdoors!AY29/100,IF(VLOOKUP(A112,tbMoveset!A2:B112,2,FALSE)="Blunt",Backdoors!AZ29/100,Backdoors!BA29/100)),"")</f>
        <v/>
      </c>
      <c r="GC112" s="89">
        <f>IFERROR(IF(VLOOKUP(tbMoveset!A112,tbMoveset!A2:H112,8,FALSE)="Other",IF(VLOOKUP(tbMoveset!A112,tbMoveset!A2:I112,9,FALSE)="Fire",Backdoors!BB29,IF(VLOOKUP(tbMoveset!A112,tbMoveset!A2:I112,9,FALSE)="Water",Backdoors!BC29,IF(VLOOKUP(tbMoveset!A112,tbMoveset!A2:I112,9,FALSE)="Thunder",Backdoors!BD29,IF(VLOOKUP(tbMoveset!A112,tbMoveset!A2:I112,9,FALSE)="Ice",Backdoors!BE29,IF(VLOOKUP(tbMoveset!A112,tbMoveset!A2:I112,9,FALSE)="Dragon",Backdoors!BF29,Backdoors!BG29)))))/100,Backdoors!BG29/100),"")</f>
        <v>0</v>
      </c>
      <c r="GD112" s="89">
        <f>IFERROR(IF(VLOOKUP(A112,tbMoveset!A2:J112,10,FALSE)=TRUE,IF((Backdoors!AI12+IF(GB112&gt;=0.45,VLOOKUP(Calculator!E23,tbSkills!DH3:DI6,2,FALSE)+IF(AND(Calculator!B8=TRUE,Backdoors!BI29=TRUE),VLOOKUP(Calculator!E23,tbSkills!DH3:DJ6,3,FALSE),0),0))&gt;=0,1+(Backdoors!AL2*(IF((Backdoors!AI12+IF(GB112&gt;=0.45,VLOOKUP(Calculator!E23,tbSkills!DH3:DI6,2,FALSE)+IF(AND(Calculator!B8=TRUE,Backdoors!BI29=TRUE),VLOOKUP(Calculator!E23,tbSkills!DH3:DJ6,3,FALSE),0),0))&gt;=100,100,(Backdoors!AI12+IF(GB112&gt;=0.45,VLOOKUP(Calculator!E23,tbSkills!DH3:DI6,2,FALSE)+IF(AND(Calculator!B8=TRUE,Backdoors!BI29=TRUE),VLOOKUP(Calculator!E23,tbSkills!DH3:DJ6,3,FALSE),0),0)))/100)),(1-(0.25*((-Backdoors!AI12-IF(GB112&gt;=0.45,VLOOKUP(Calculator!E23,tbSkills!DH3:DI6,2,FALSE)+IF(AND(Calculator!B8=TRUE,Backdoors!BI29=TRUE),VLOOKUP(Calculator!E23,tbSkills!DH3:DJ6,3,FALSE),0),0))/100)))),1),"")</f>
        <v>1</v>
      </c>
      <c r="GE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B112)*GD112)*(VLOOKUP(A112,tbMoveset!A2:C112,3,FALSE)/100)*IF(VLOOKUP(A112,tbMoveset!A2:B112,2,FALSE)="Projectile",Backdoors!N10,Backdoors!N9),0),"")</f>
        <v/>
      </c>
      <c r="GF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B112&gt;=0.45,VLOOKUP(Calculator!E23,tbSkills!DH3:DI6,2,FALSE)+IF(AND(Calculator!B8=TRUE,Backdoors!BI29=TRUE),VLOOKUP(Calculator!E23,tbSkills!DH3:DJ6,3,FALSE),0),0))&gt;=100,100,(Backdoors!AI12+IF(GB112&gt;=0.45,VLOOKUP(Calculator!E23,tbSkills!DH3:DI6,2,FALSE)+IF(AND(Calculator!B8=TRUE,Backdoors!BI29=TRUE),VLOOKUP(Calculator!E23,tbSkills!DH3:DJ6,3,FALSE),0),0)))/100)),1))*IF(VLOOKUP(A112,tbMoveset!A2:K112,11,FALSE)=TRUE,Backdoors!AC5,1))*GC112,0),"")</f>
        <v>0</v>
      </c>
      <c r="GG112" s="89">
        <f>VLOOKUP(A112,tbMoveset!A2:G112,7,FALSE)*IFERROR(IF(Backdoors!AI12&gt;=0,1+(IF(Calculator!E40&gt;0,VLOOKUP(Calculator!E40,tbSkills!AI3:AJ5,2,FALSE),Backdoors!AL4)*(IF((Backdoors!AI12+IF(GB112&gt;=0.45,VLOOKUP(Calculator!E23,tbSkills!DH3:DI6,2,FALSE)+IF(AND(Calculator!B8=TRUE,Backdoors!BI29=TRUE),VLOOKUP(Calculator!E23,tbSkills!DH3:DJ6,3,FALSE),0),0))&gt;=100,100,(Backdoors!AI12+IF(GB112&gt;=0.45,VLOOKUP(Calculator!E23,tbSkills!DH3:DI6,2,FALSE)+IF(AND(Calculator!B8=TRUE,Backdoors!BI29=TRUE),VLOOKUP(Calculator!E23,tbSkills!DH3:DJ6,3,FALSE),0),0)))/100)),1),1)</f>
        <v>0</v>
      </c>
      <c r="GH112" s="90">
        <f t="shared" si="77"/>
        <v>0</v>
      </c>
      <c r="GI112" s="88" t="str">
        <f>IFERROR(IF(VLOOKUP(A112,tbMoveset!A2:B112,2,FALSE)="Sever",Backdoors!AY30/100,IF(VLOOKUP(A112,tbMoveset!A2:B112,2,FALSE)="Blunt",Backdoors!AZ30/100,Backdoors!BA30/100)),"")</f>
        <v/>
      </c>
      <c r="GJ112" s="89">
        <f>IFERROR(IF(VLOOKUP(tbMoveset!A112,tbMoveset!A2:H112,8,FALSE)="Other",IF(VLOOKUP(tbMoveset!A112,tbMoveset!A2:I112,9,FALSE)="Fire",Backdoors!BB30,IF(VLOOKUP(tbMoveset!A112,tbMoveset!A2:I112,9,FALSE)="Water",Backdoors!BC30,IF(VLOOKUP(tbMoveset!A112,tbMoveset!A2:I112,9,FALSE)="Thunder",Backdoors!BD30,IF(VLOOKUP(tbMoveset!A112,tbMoveset!A2:I112,9,FALSE)="Ice",Backdoors!BE30,IF(VLOOKUP(tbMoveset!A112,tbMoveset!A2:I112,9,FALSE)="Dragon",Backdoors!BF30,Backdoors!BG30)))))/100,Backdoors!BG30/100),"")</f>
        <v>0</v>
      </c>
      <c r="GK112" s="89">
        <f>IFERROR(IF(VLOOKUP(A112,tbMoveset!A2:J112,10,FALSE)=TRUE,IF((Backdoors!AI12+IF(GI112&gt;=0.45,VLOOKUP(Calculator!E23,tbSkills!DH3:DI6,2,FALSE)+IF(AND(Calculator!B8=TRUE,Backdoors!BI30=TRUE),VLOOKUP(Calculator!E23,tbSkills!DH3:DJ6,3,FALSE),0),0))&gt;=0,1+(Backdoors!AL2*(IF((Backdoors!AI12+IF(GI112&gt;=0.45,VLOOKUP(Calculator!E23,tbSkills!DH3:DI6,2,FALSE)+IF(AND(Calculator!B8=TRUE,Backdoors!BI30=TRUE),VLOOKUP(Calculator!E23,tbSkills!DH3:DJ6,3,FALSE),0),0))&gt;=100,100,(Backdoors!AI12+IF(GI112&gt;=0.45,VLOOKUP(Calculator!E23,tbSkills!DH3:DI6,2,FALSE)+IF(AND(Calculator!B8=TRUE,Backdoors!BI30=TRUE),VLOOKUP(Calculator!E23,tbSkills!DH3:DJ6,3,FALSE),0),0)))/100)),(1-(0.25*((-Backdoors!AI12-IF(GI112&gt;=0.45,VLOOKUP(Calculator!E23,tbSkills!DH3:DI6,2,FALSE)+IF(AND(Calculator!B8=TRUE,Backdoors!BI30=TRUE),VLOOKUP(Calculator!E23,tbSkills!DH3:DJ6,3,FALSE),0),0))/100)))),1),"")</f>
        <v>1</v>
      </c>
      <c r="GL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I112)*GK112)*(VLOOKUP(A112,tbMoveset!A2:C112,3,FALSE)/100)*IF(VLOOKUP(A112,tbMoveset!A2:B112,2,FALSE)="Projectile",Backdoors!N10,Backdoors!N9),0),"")</f>
        <v/>
      </c>
      <c r="GM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I112&gt;=0.45,VLOOKUP(Calculator!E23,tbSkills!DH3:DI6,2,FALSE)+IF(AND(Calculator!B8=TRUE,Backdoors!BI30=TRUE),VLOOKUP(Calculator!E23,tbSkills!DH3:DJ6,3,FALSE),0),0))&gt;=100,100,(Backdoors!AI12+IF(GI112&gt;=0.45,VLOOKUP(Calculator!E23,tbSkills!DH3:DI6,2,FALSE)+IF(AND(Calculator!B8=TRUE,Backdoors!BI30=TRUE),VLOOKUP(Calculator!E23,tbSkills!DH3:DJ6,3,FALSE),0),0)))/100)),1))*IF(VLOOKUP(A112,tbMoveset!A2:K112,11,FALSE)=TRUE,Backdoors!AC5,1))*GJ112,0),"")</f>
        <v>0</v>
      </c>
      <c r="GN112" s="89">
        <f>VLOOKUP(A112,tbMoveset!A2:G112,7,FALSE)*IFERROR(IF(Backdoors!AI12&gt;=0,1+(IF(Calculator!E40&gt;0,VLOOKUP(Calculator!E40,tbSkills!AI3:AJ5,2,FALSE),Backdoors!AL4)*(IF((Backdoors!AI12+IF(GI112&gt;=0.45,VLOOKUP(Calculator!E23,tbSkills!DH3:DI6,2,FALSE)+IF(AND(Calculator!B8=TRUE,Backdoors!BI30=TRUE),VLOOKUP(Calculator!E23,tbSkills!DH3:DJ6,3,FALSE),0),0))&gt;=100,100,(Backdoors!AI12+IF(GI112&gt;=0.45,VLOOKUP(Calculator!E23,tbSkills!DH3:DI6,2,FALSE)+IF(AND(Calculator!B8=TRUE,Backdoors!BI30=TRUE),VLOOKUP(Calculator!E23,tbSkills!DH3:DJ6,3,FALSE),0),0)))/100)),1),1)</f>
        <v>0</v>
      </c>
      <c r="GO112" s="90">
        <f t="shared" si="78"/>
        <v>0</v>
      </c>
      <c r="GP112" s="88" t="str">
        <f>IFERROR(IF(VLOOKUP(A112,tbMoveset!A2:B112,2,FALSE)="Sever",Backdoors!AY31/100,IF(VLOOKUP(A112,tbMoveset!A2:B112,2,FALSE)="Blunt",Backdoors!AZ31/100,Backdoors!BA31/100)),"")</f>
        <v/>
      </c>
      <c r="GQ112" s="89">
        <f>IFERROR(IF(VLOOKUP(tbMoveset!A112,tbMoveset!A2:H112,8,FALSE)="Other",IF(VLOOKUP(tbMoveset!A112,tbMoveset!A2:I112,9,FALSE)="Fire",Backdoors!BB31,IF(VLOOKUP(tbMoveset!A112,tbMoveset!A2:I112,9,FALSE)="Water",Backdoors!BC31,IF(VLOOKUP(tbMoveset!A112,tbMoveset!A2:I112,9,FALSE)="Thunder",Backdoors!BD31,IF(VLOOKUP(tbMoveset!A112,tbMoveset!A2:I112,9,FALSE)="Ice",Backdoors!BE31,IF(VLOOKUP(tbMoveset!A112,tbMoveset!A2:I112,9,FALSE)="Dragon",Backdoors!BF31,Backdoors!BG31)))))/100,Backdoors!BG31/100),"")</f>
        <v>0</v>
      </c>
      <c r="GR112" s="89">
        <f>IFERROR(IF(VLOOKUP(A112,tbMoveset!A2:J112,10,FALSE)=TRUE,IF((Backdoors!AI12+IF(GP112&gt;=0.45,VLOOKUP(Calculator!E23,tbSkills!DH3:DI6,2,FALSE)+IF(AND(Calculator!B8=TRUE,Backdoors!BI31=TRUE),VLOOKUP(Calculator!E23,tbSkills!DH3:DJ6,3,FALSE),0),0))&gt;=0,1+(Backdoors!AL2*(IF((Backdoors!AI12+IF(GP112&gt;=0.45,VLOOKUP(Calculator!E23,tbSkills!DH3:DI6,2,FALSE)+IF(AND(Calculator!B8=TRUE,Backdoors!BI31=TRUE),VLOOKUP(Calculator!E23,tbSkills!DH3:DJ6,3,FALSE),0),0))&gt;=100,100,(Backdoors!AI12+IF(GP112&gt;=0.45,VLOOKUP(Calculator!E23,tbSkills!DH3:DI6,2,FALSE)+IF(AND(Calculator!B8=TRUE,Backdoors!BI31=TRUE),VLOOKUP(Calculator!E23,tbSkills!DH3:DJ6,3,FALSE),0),0)))/100)),(1-(0.25*((-Backdoors!AI12-IF(GP112&gt;=0.45,VLOOKUP(Calculator!E23,tbSkills!DH3:DI6,2,FALSE)+IF(AND(Calculator!B8=TRUE,Backdoors!BI31=TRUE),VLOOKUP(Calculator!E23,tbSkills!DH3:DJ6,3,FALSE),0),0))/100)))),1),"")</f>
        <v>1</v>
      </c>
      <c r="GS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P112)*GR112)*(VLOOKUP(A112,tbMoveset!A2:C112,3,FALSE)/100)*IF(VLOOKUP(A112,tbMoveset!A2:B112,2,FALSE)="Projectile",Backdoors!N10,Backdoors!N9),0),"")</f>
        <v/>
      </c>
      <c r="GT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P112&gt;=0.45,VLOOKUP(Calculator!E23,tbSkills!DH3:DI6,2,FALSE)+IF(AND(Calculator!B8=TRUE,Backdoors!BI31=TRUE),VLOOKUP(Calculator!E23,tbSkills!DH3:DJ6,3,FALSE),0),0))&gt;=100,100,(Backdoors!AI12+IF(GP112&gt;=0.45,VLOOKUP(Calculator!E23,tbSkills!DH3:DI6,2,FALSE)+IF(AND(Calculator!B8=TRUE,Backdoors!BI31=TRUE),VLOOKUP(Calculator!E23,tbSkills!DH3:DJ6,3,FALSE),0),0)))/100)),1))*IF(VLOOKUP(A112,tbMoveset!A2:K112,11,FALSE)=TRUE,Backdoors!AC5,1))*GQ112,0),"")</f>
        <v>0</v>
      </c>
      <c r="GU112" s="89">
        <f>VLOOKUP(A112,tbMoveset!A2:G112,7,FALSE)*IFERROR(IF(Backdoors!AI12&gt;=0,1+(IF(Calculator!E40&gt;0,VLOOKUP(Calculator!E40,tbSkills!AI3:AJ5,2,FALSE),Backdoors!AL4)*(IF((Backdoors!AI12+IF(GP112&gt;=0.45,VLOOKUP(Calculator!E23,tbSkills!DH3:DI6,2,FALSE)+IF(AND(Calculator!B8=TRUE,Backdoors!BI31=TRUE),VLOOKUP(Calculator!E23,tbSkills!DH3:DJ6,3,FALSE),0),0))&gt;=100,100,(Backdoors!AI12+IF(GP112&gt;=0.45,VLOOKUP(Calculator!E23,tbSkills!DH3:DI6,2,FALSE)+IF(AND(Calculator!B8=TRUE,Backdoors!BI31=TRUE),VLOOKUP(Calculator!E23,tbSkills!DH3:DJ6,3,FALSE),0),0)))/100)),1),1)</f>
        <v>0</v>
      </c>
      <c r="GV112" s="90">
        <f t="shared" si="79"/>
        <v>0</v>
      </c>
      <c r="GW112" s="88" t="str">
        <f>IFERROR(IF(VLOOKUP(A112,tbMoveset!A2:B112,2,FALSE)="Sever",Backdoors!AY32/100,IF(VLOOKUP(A112,tbMoveset!A2:B112,2,FALSE)="Blunt",Backdoors!AZ32/100,Backdoors!BA32/100)),"")</f>
        <v/>
      </c>
      <c r="GX112" s="89">
        <f>IFERROR(IF(VLOOKUP(tbMoveset!A112,tbMoveset!A2:H112,8,FALSE)="Other",IF(VLOOKUP(tbMoveset!A112,tbMoveset!A2:I112,9,FALSE)="Fire",Backdoors!BB32,IF(VLOOKUP(tbMoveset!A112,tbMoveset!A2:I112,9,FALSE)="Water",Backdoors!BC32,IF(VLOOKUP(tbMoveset!A112,tbMoveset!A2:I112,9,FALSE)="Thunder",Backdoors!BD32,IF(VLOOKUP(tbMoveset!A112,tbMoveset!A2:I112,9,FALSE)="Ice",Backdoors!BE32,IF(VLOOKUP(tbMoveset!A112,tbMoveset!A2:I112,9,FALSE)="Dragon",Backdoors!BF32,Backdoors!BG32)))))/100,Backdoors!BG32/100),"")</f>
        <v>0</v>
      </c>
      <c r="GY112" s="89">
        <f>IFERROR(IF(VLOOKUP(A112,tbMoveset!A2:J112,10,FALSE)=TRUE,IF((Backdoors!AI12+IF(GW112&gt;=0.45,VLOOKUP(Calculator!E23,tbSkills!DH3:DI6,2,FALSE)+IF(AND(Calculator!B8=TRUE,Backdoors!BI32=TRUE),VLOOKUP(Calculator!E23,tbSkills!DH3:DJ6,3,FALSE),0),0))&gt;=0,1+(Backdoors!AL2*(IF((Backdoors!AI12+IF(GW112&gt;=0.45,VLOOKUP(Calculator!E23,tbSkills!DH3:DI6,2,FALSE)+IF(AND(Calculator!B8=TRUE,Backdoors!BI32=TRUE),VLOOKUP(Calculator!E23,tbSkills!DH3:DJ6,3,FALSE),0),0))&gt;=100,100,(Backdoors!AI12+IF(GW112&gt;=0.45,VLOOKUP(Calculator!E23,tbSkills!DH3:DI6,2,FALSE)+IF(AND(Calculator!B8=TRUE,Backdoors!BI32=TRUE),VLOOKUP(Calculator!E23,tbSkills!DH3:DJ6,3,FALSE),0),0)))/100)),(1-(0.25*((-Backdoors!AI12-IF(GW112&gt;=0.45,VLOOKUP(Calculator!E23,tbSkills!DH3:DI6,2,FALSE)+IF(AND(Calculator!B8=TRUE,Backdoors!BI32=TRUE),VLOOKUP(Calculator!E23,tbSkills!DH3:DJ6,3,FALSE),0),0))/100)))),1),"")</f>
        <v>1</v>
      </c>
      <c r="GZ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W112)*GY112)*(VLOOKUP(A112,tbMoveset!A2:C112,3,FALSE)/100)*IF(VLOOKUP(A112,tbMoveset!A2:B112,2,FALSE)="Projectile",Backdoors!N10,Backdoors!N9),0),"")</f>
        <v/>
      </c>
      <c r="HA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W112&gt;=0.45,VLOOKUP(Calculator!E23,tbSkills!DH3:DI6,2,FALSE)+IF(AND(Calculator!B8=TRUE,Backdoors!BI32=TRUE),VLOOKUP(Calculator!E23,tbSkills!DH3:DJ6,3,FALSE),0),0))&gt;=100,100,(Backdoors!AI12+IF(GW112&gt;=0.45,VLOOKUP(Calculator!E23,tbSkills!DH3:DI6,2,FALSE)+IF(AND(Calculator!B8=TRUE,Backdoors!BI32=TRUE),VLOOKUP(Calculator!E23,tbSkills!DH3:DJ6,3,FALSE),0),0)))/100)),1))*IF(VLOOKUP(A112,tbMoveset!A2:K112,11,FALSE)=TRUE,Backdoors!AC5,1))*GX112,0),"")</f>
        <v>0</v>
      </c>
      <c r="HB112" s="89">
        <f>VLOOKUP(A112,tbMoveset!A2:G112,7,FALSE)*IFERROR(IF(Backdoors!AI12&gt;=0,1+(IF(Calculator!E40&gt;0,VLOOKUP(Calculator!E40,tbSkills!AI3:AJ5,2,FALSE),Backdoors!AL4)*(IF((Backdoors!AI12+IF(GW112&gt;=0.45,VLOOKUP(Calculator!E23,tbSkills!DH3:DI6,2,FALSE)+IF(AND(Calculator!B8=TRUE,Backdoors!BI32=TRUE),VLOOKUP(Calculator!E23,tbSkills!DH3:DJ6,3,FALSE),0),0))&gt;=100,100,(Backdoors!AI12+IF(GW112&gt;=0.45,VLOOKUP(Calculator!E23,tbSkills!DH3:DI6,2,FALSE)+IF(AND(Calculator!B8=TRUE,Backdoors!BI32=TRUE),VLOOKUP(Calculator!E23,tbSkills!DH3:DJ6,3,FALSE),0),0)))/100)),1),1)</f>
        <v>0</v>
      </c>
      <c r="HC112" s="90">
        <f t="shared" si="80"/>
        <v>0</v>
      </c>
      <c r="HD112" s="88" t="str">
        <f>IFERROR(IF(VLOOKUP(A112,tbMoveset!A2:B112,2,FALSE)="Sever",Backdoors!AY33/100,IF(VLOOKUP(A112,tbMoveset!A2:B112,2,FALSE)="Blunt",Backdoors!AZ33/100,Backdoors!BA33/100)),"")</f>
        <v/>
      </c>
      <c r="HE112" s="89">
        <f>IFERROR(IF(VLOOKUP(tbMoveset!A112,tbMoveset!A2:H112,8,FALSE)="Other",IF(VLOOKUP(tbMoveset!A112,tbMoveset!A2:I112,9,FALSE)="Fire",Backdoors!BB33,IF(VLOOKUP(tbMoveset!A112,tbMoveset!A2:I112,9,FALSE)="Water",Backdoors!BC33,IF(VLOOKUP(tbMoveset!A112,tbMoveset!A2:I112,9,FALSE)="Thunder",Backdoors!BD33,IF(VLOOKUP(tbMoveset!A112,tbMoveset!A2:I112,9,FALSE)="Ice",Backdoors!BE33,IF(VLOOKUP(tbMoveset!A112,tbMoveset!A2:I112,9,FALSE)="Dragon",Backdoors!BF33,Backdoors!BG33)))))/100,Backdoors!BG33/100),"")</f>
        <v>0</v>
      </c>
      <c r="HF112" s="89">
        <f>IFERROR(IF(VLOOKUP(A112,tbMoveset!A2:J112,10,FALSE)=TRUE,IF((Backdoors!AI12+IF(HD112&gt;=0.45,VLOOKUP(Calculator!E23,tbSkills!DH3:DI6,2,FALSE)+IF(AND(Calculator!B8=TRUE,Backdoors!BI33=TRUE),VLOOKUP(Calculator!E23,tbSkills!DH3:DJ6,3,FALSE),0),0))&gt;=0,1+(Backdoors!AL2*(IF((Backdoors!AI12+IF(HD112&gt;=0.45,VLOOKUP(Calculator!E23,tbSkills!DH3:DI6,2,FALSE)+IF(AND(Calculator!B8=TRUE,Backdoors!BI33=TRUE),VLOOKUP(Calculator!E23,tbSkills!DH3:DJ6,3,FALSE),0),0))&gt;=100,100,(Backdoors!AI12+IF(HD112&gt;=0.45,VLOOKUP(Calculator!E23,tbSkills!DH3:DI6,2,FALSE)+IF(AND(Calculator!B8=TRUE,Backdoors!BI33=TRUE),VLOOKUP(Calculator!E23,tbSkills!DH3:DJ6,3,FALSE),0),0)))/100)),(1-(0.25*((-Backdoors!AI12-IF(HD112&gt;=0.45,VLOOKUP(Calculator!E23,tbSkills!DH3:DI6,2,FALSE)+IF(AND(Calculator!B8=TRUE,Backdoors!BI33=TRUE),VLOOKUP(Calculator!E23,tbSkills!DH3:DJ6,3,FALSE),0),0))/100)))),1),"")</f>
        <v>1</v>
      </c>
      <c r="HG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D112)*HF112)*(VLOOKUP(A112,tbMoveset!A2:C112,3,FALSE)/100)*IF(VLOOKUP(A112,tbMoveset!A2:B112,2,FALSE)="Projectile",Backdoors!N10,Backdoors!N9),0),"")</f>
        <v/>
      </c>
      <c r="HH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D112&gt;=0.45,VLOOKUP(Calculator!E23,tbSkills!DH3:DI6,2,FALSE)+IF(AND(Calculator!B8=TRUE,Backdoors!BI33=TRUE),VLOOKUP(Calculator!E23,tbSkills!DH3:DJ6,3,FALSE),0),0))&gt;=100,100,(Backdoors!AI12+IF(HD112&gt;=0.45,VLOOKUP(Calculator!E23,tbSkills!DH3:DI6,2,FALSE)+IF(AND(Calculator!B8=TRUE,Backdoors!BI33=TRUE),VLOOKUP(Calculator!E23,tbSkills!DH3:DJ6,3,FALSE),0),0)))/100)),1))*IF(VLOOKUP(A112,tbMoveset!A2:K112,11,FALSE)=TRUE,Backdoors!AC5,1))*HE112,0),"")</f>
        <v>0</v>
      </c>
      <c r="HI112" s="89">
        <f>VLOOKUP(A112,tbMoveset!A2:G112,7,FALSE)*IFERROR(IF(Backdoors!AI12&gt;=0,1+(IF(Calculator!E40&gt;0,VLOOKUP(Calculator!E40,tbSkills!AI3:AJ5,2,FALSE),Backdoors!AL4)*(IF((Backdoors!AI12+IF(HD112&gt;=0.45,VLOOKUP(Calculator!E23,tbSkills!DH3:DI6,2,FALSE)+IF(AND(Calculator!B8=TRUE,Backdoors!BI33=TRUE),VLOOKUP(Calculator!E23,tbSkills!DH3:DJ6,3,FALSE),0),0))&gt;=100,100,(Backdoors!AI12+IF(HD112&gt;=0.45,VLOOKUP(Calculator!E23,tbSkills!DH3:DI6,2,FALSE)+IF(AND(Calculator!B8=TRUE,Backdoors!BI33=TRUE),VLOOKUP(Calculator!E23,tbSkills!DH3:DJ6,3,FALSE),0),0)))/100)),1),1)</f>
        <v>0</v>
      </c>
      <c r="HJ112" s="90">
        <f t="shared" si="81"/>
        <v>0</v>
      </c>
      <c r="HK112" s="88" t="str">
        <f>IFERROR(IF(VLOOKUP(A112,tbMoveset!A2:B112,2,FALSE)="Sever",Backdoors!AY34/100,IF(VLOOKUP(A112,tbMoveset!A2:B112,2,FALSE)="Blunt",Backdoors!AZ34/100,Backdoors!BA34/100)),"")</f>
        <v/>
      </c>
      <c r="HL112" s="89">
        <f>IFERROR(IF(VLOOKUP(tbMoveset!A112,tbMoveset!A2:H112,8,FALSE)="Other",IF(VLOOKUP(tbMoveset!A112,tbMoveset!A2:I112,9,FALSE)="Fire",Backdoors!BB34,IF(VLOOKUP(tbMoveset!A112,tbMoveset!A2:I112,9,FALSE)="Water",Backdoors!BC34,IF(VLOOKUP(tbMoveset!A112,tbMoveset!A2:I112,9,FALSE)="Thunder",Backdoors!BD34,IF(VLOOKUP(tbMoveset!A112,tbMoveset!A2:I112,9,FALSE)="Ice",Backdoors!BE34,IF(VLOOKUP(tbMoveset!A112,tbMoveset!A2:I112,9,FALSE)="Dragon",Backdoors!BF34,Backdoors!BG34)))))/100,Backdoors!BG34/100),"")</f>
        <v>0</v>
      </c>
      <c r="HM112" s="89">
        <f>IFERROR(IF(VLOOKUP(A112,tbMoveset!A2:J112,10,FALSE)=TRUE,IF((Backdoors!AI12+IF(HK112&gt;=0.45,VLOOKUP(Calculator!E23,tbSkills!DH3:DI6,2,FALSE)+IF(AND(Calculator!B8=TRUE,Backdoors!BI34=TRUE),VLOOKUP(Calculator!E23,tbSkills!DH3:DJ6,3,FALSE),0),0))&gt;=0,1+(Backdoors!AL2*(IF((Backdoors!AI12+IF(HK112&gt;=0.45,VLOOKUP(Calculator!E23,tbSkills!DH3:DI6,2,FALSE)+IF(AND(Calculator!B8=TRUE,Backdoors!BI34=TRUE),VLOOKUP(Calculator!E23,tbSkills!DH3:DJ6,3,FALSE),0),0))&gt;=100,100,(Backdoors!AI12+IF(HK112&gt;=0.45,VLOOKUP(Calculator!E23,tbSkills!DH3:DI6,2,FALSE)+IF(AND(Calculator!B8=TRUE,Backdoors!BI34=TRUE),VLOOKUP(Calculator!E23,tbSkills!DH3:DJ6,3,FALSE),0),0)))/100)),(1-(0.25*((-Backdoors!AI12-IF(HK112&gt;=0.45,VLOOKUP(Calculator!E23,tbSkills!DH3:DI6,2,FALSE)+IF(AND(Calculator!B8=TRUE,Backdoors!BI34=TRUE),VLOOKUP(Calculator!E23,tbSkills!DH3:DJ6,3,FALSE),0),0))/100)))),1),"")</f>
        <v>1</v>
      </c>
      <c r="HN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K112)*HM112)*(VLOOKUP(A112,tbMoveset!A2:C112,3,FALSE)/100)*IF(VLOOKUP(A112,tbMoveset!A2:B112,2,FALSE)="Projectile",Backdoors!N10,Backdoors!N9),0),"")</f>
        <v/>
      </c>
      <c r="HO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K112&gt;=0.45,VLOOKUP(Calculator!E23,tbSkills!DH3:DI6,2,FALSE)+IF(AND(Calculator!B8=TRUE,Backdoors!BI34=TRUE),VLOOKUP(Calculator!E23,tbSkills!DH3:DJ6,3,FALSE),0),0))&gt;=100,100,(Backdoors!AI12+IF(HK112&gt;=0.45,VLOOKUP(Calculator!E23,tbSkills!DH3:DI6,2,FALSE)+IF(AND(Calculator!B8=TRUE,Backdoors!BI34=TRUE),VLOOKUP(Calculator!E23,tbSkills!DH3:DJ6,3,FALSE),0),0)))/100)),1))*IF(VLOOKUP(A112,tbMoveset!A2:K112,11,FALSE)=TRUE,Backdoors!AC5,1))*HL112,0),"")</f>
        <v>0</v>
      </c>
      <c r="HP112" s="89">
        <f>VLOOKUP(A112,tbMoveset!A2:G112,7,FALSE)*IFERROR(IF(Backdoors!AI12&gt;=0,1+(IF(Calculator!E40&gt;0,VLOOKUP(Calculator!E40,tbSkills!AI3:AJ5,2,FALSE),Backdoors!AL4)*(IF((Backdoors!AI12+IF(HK112&gt;=0.45,VLOOKUP(Calculator!E23,tbSkills!DH3:DI6,2,FALSE)+IF(AND(Calculator!B8=TRUE,Backdoors!BI34=TRUE),VLOOKUP(Calculator!E23,tbSkills!DH3:DJ6,3,FALSE),0),0))&gt;=100,100,(Backdoors!AI12+IF(HK112&gt;=0.45,VLOOKUP(Calculator!E23,tbSkills!DH3:DI6,2,FALSE)+IF(AND(Calculator!B8=TRUE,Backdoors!BI34=TRUE),VLOOKUP(Calculator!E23,tbSkills!DH3:DJ6,3,FALSE),0),0)))/100)),1),1)</f>
        <v>0</v>
      </c>
      <c r="HQ112" s="90">
        <f t="shared" si="82"/>
        <v>0</v>
      </c>
      <c r="HR112" s="88" t="str">
        <f>IFERROR(IF(VLOOKUP(A112,tbMoveset!A2:B112,2,FALSE)="Sever",Backdoors!AY35/100,IF(VLOOKUP(A112,tbMoveset!A2:B112,2,FALSE)="Blunt",Backdoors!AZ35/100,Backdoors!BA35/100)),"")</f>
        <v/>
      </c>
      <c r="HS112" s="89">
        <f>IFERROR(IF(VLOOKUP(tbMoveset!A112,tbMoveset!A2:H112,8,FALSE)="Other",IF(VLOOKUP(tbMoveset!A112,tbMoveset!A2:I112,9,FALSE)="Fire",Backdoors!BB35,IF(VLOOKUP(tbMoveset!A112,tbMoveset!A2:I112,9,FALSE)="Water",Backdoors!BC35,IF(VLOOKUP(tbMoveset!A112,tbMoveset!A2:I112,9,FALSE)="Thunder",Backdoors!BD35,IF(VLOOKUP(tbMoveset!A112,tbMoveset!A2:I112,9,FALSE)="Ice",Backdoors!BE35,IF(VLOOKUP(tbMoveset!A112,tbMoveset!A2:I112,9,FALSE)="Dragon",Backdoors!BF35,Backdoors!BG35)))))/100,Backdoors!BG35/100),"")</f>
        <v>0</v>
      </c>
      <c r="HT112" s="89">
        <f>IFERROR(IF(VLOOKUP(A112,tbMoveset!A2:J112,10,FALSE)=TRUE,IF((Backdoors!AI12+IF(HR112&gt;=0.45,VLOOKUP(Calculator!E23,tbSkills!DH3:DI6,2,FALSE)+IF(AND(Calculator!B8=TRUE,Backdoors!BI35=TRUE),VLOOKUP(Calculator!E23,tbSkills!DH3:DJ6,3,FALSE),0),0))&gt;=0,1+(Backdoors!AL2*(IF((Backdoors!AI12+IF(HR112&gt;=0.45,VLOOKUP(Calculator!E23,tbSkills!DH3:DI6,2,FALSE)+IF(AND(Calculator!B8=TRUE,Backdoors!BI35=TRUE),VLOOKUP(Calculator!E23,tbSkills!DH3:DJ6,3,FALSE),0),0))&gt;=100,100,(Backdoors!AI12+IF(HR112&gt;=0.45,VLOOKUP(Calculator!E23,tbSkills!DH3:DI6,2,FALSE)+IF(AND(Calculator!B8=TRUE,Backdoors!BI35=TRUE),VLOOKUP(Calculator!E23,tbSkills!DH3:DJ6,3,FALSE),0),0)))/100)),(1-(0.25*((-Backdoors!AI12-IF(HR112&gt;=0.45,VLOOKUP(Calculator!E23,tbSkills!DH3:DI6,2,FALSE)+IF(AND(Calculator!B8=TRUE,Backdoors!BI35=TRUE),VLOOKUP(Calculator!E23,tbSkills!DH3:DJ6,3,FALSE),0),0))/100)))),1),"")</f>
        <v>1</v>
      </c>
      <c r="HU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R112)*HT112)*(VLOOKUP(A112,tbMoveset!A2:C112,3,FALSE)/100)*IF(VLOOKUP(A112,tbMoveset!A2:B112,2,FALSE)="Projectile",Backdoors!N10,Backdoors!N9),0),"")</f>
        <v/>
      </c>
      <c r="HV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R112&gt;=0.45,VLOOKUP(Calculator!E23,tbSkills!DH3:DI6,2,FALSE)+IF(AND(Calculator!B8=TRUE,Backdoors!BI35=TRUE),VLOOKUP(Calculator!E23,tbSkills!DH3:DJ6,3,FALSE),0),0))&gt;=100,100,(Backdoors!AI12+IF(HR112&gt;=0.45,VLOOKUP(Calculator!E23,tbSkills!DH3:DI6,2,FALSE)+IF(AND(Calculator!B8=TRUE,Backdoors!BI35=TRUE),VLOOKUP(Calculator!E23,tbSkills!DH3:DJ6,3,FALSE),0),0)))/100)),1))*IF(VLOOKUP(A112,tbMoveset!A2:K112,11,FALSE)=TRUE,Backdoors!AC5,1))*HS112,0),"")</f>
        <v>0</v>
      </c>
      <c r="HW112" s="89">
        <f>VLOOKUP(A112,tbMoveset!A2:G112,7,FALSE)*IFERROR(IF(Backdoors!AI12&gt;=0,1+(IF(Calculator!E40&gt;0,VLOOKUP(Calculator!E40,tbSkills!AI3:AJ5,2,FALSE),Backdoors!AL4)*(IF((Backdoors!AI12+IF(HR112&gt;=0.45,VLOOKUP(Calculator!E23,tbSkills!DH3:DI6,2,FALSE)+IF(AND(Calculator!B8=TRUE,Backdoors!BI35=TRUE),VLOOKUP(Calculator!E23,tbSkills!DH3:DJ6,3,FALSE),0),0))&gt;=100,100,(Backdoors!AI12+IF(HR112&gt;=0.45,VLOOKUP(Calculator!E23,tbSkills!DH3:DI6,2,FALSE)+IF(AND(Calculator!B8=TRUE,Backdoors!BI35=TRUE),VLOOKUP(Calculator!E23,tbSkills!DH3:DJ6,3,FALSE),0),0)))/100)),1),1)</f>
        <v>0</v>
      </c>
      <c r="HX112" s="90">
        <f t="shared" si="83"/>
        <v>0</v>
      </c>
      <c r="HY112" s="88" t="str">
        <f>IFERROR(IF(VLOOKUP(A112,tbMoveset!A2:B112,2,FALSE)="Sever",Backdoors!AY36/100,IF(VLOOKUP(A112,tbMoveset!A2:B112,2,FALSE)="Blunt",Backdoors!AZ36/100,Backdoors!BA36/100)),"")</f>
        <v/>
      </c>
      <c r="HZ112" s="89">
        <f>IFERROR(IF(VLOOKUP(tbMoveset!A112,tbMoveset!A2:H112,8,FALSE)="Other",IF(VLOOKUP(tbMoveset!A112,tbMoveset!A2:I112,9,FALSE)="Fire",Backdoors!BB36,IF(VLOOKUP(tbMoveset!A112,tbMoveset!A2:I112,9,FALSE)="Water",Backdoors!BC36,IF(VLOOKUP(tbMoveset!A112,tbMoveset!A2:I112,9,FALSE)="Thunder",Backdoors!BD36,IF(VLOOKUP(tbMoveset!A112,tbMoveset!A2:I112,9,FALSE)="Ice",Backdoors!BE36,IF(VLOOKUP(tbMoveset!A112,tbMoveset!A2:I112,9,FALSE)="Dragon",Backdoors!BF36,Backdoors!BG36)))))/100,Backdoors!BG36/100),"")</f>
        <v>0</v>
      </c>
      <c r="IA112" s="89">
        <f>IFERROR(IF(VLOOKUP(A112,tbMoveset!A2:J112,10,FALSE)=TRUE,IF((Backdoors!AI12+IF(HY112&gt;=0.45,VLOOKUP(Calculator!E23,tbSkills!DH3:DI6,2,FALSE)+IF(AND(Calculator!B8=TRUE,Backdoors!BI36=TRUE),VLOOKUP(Calculator!E23,tbSkills!DH3:DJ6,3,FALSE),0),0))&gt;=0,1+(Backdoors!AL2*(IF((Backdoors!AI12+IF(HY112&gt;=0.45,VLOOKUP(Calculator!E23,tbSkills!DH3:DI6,2,FALSE)+IF(AND(Calculator!B8=TRUE,Backdoors!BI36=TRUE),VLOOKUP(Calculator!E23,tbSkills!DH3:DJ6,3,FALSE),0),0))&gt;=100,100,(Backdoors!AI12+IF(HY112&gt;=0.45,VLOOKUP(Calculator!E23,tbSkills!DH3:DI6,2,FALSE)+IF(AND(Calculator!B8=TRUE,Backdoors!BI36=TRUE),VLOOKUP(Calculator!E23,tbSkills!DH3:DJ6,3,FALSE),0),0)))/100)),(1-(0.25*((-Backdoors!AI12-IF(HY112&gt;=0.45,VLOOKUP(Calculator!E23,tbSkills!DH3:DI6,2,FALSE)+IF(AND(Calculator!B8=TRUE,Backdoors!BI36=TRUE),VLOOKUP(Calculator!E23,tbSkills!DH3:DJ6,3,FALSE),0),0))/100)))),1),"")</f>
        <v>1</v>
      </c>
      <c r="IB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Y112)*IA112)*(VLOOKUP(A112,tbMoveset!A2:C112,3,FALSE)/100)*IF(VLOOKUP(A112,tbMoveset!A2:B112,2,FALSE)="Projectile",Backdoors!N10,Backdoors!N9),0),"")</f>
        <v/>
      </c>
      <c r="IC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Y112&gt;=0.45,VLOOKUP(Calculator!E23,tbSkills!DH3:DI6,2,FALSE)+IF(AND(Calculator!B8=TRUE,Backdoors!BI36=TRUE),VLOOKUP(Calculator!E23,tbSkills!DH3:DJ6,3,FALSE),0),0))&gt;=100,100,(Backdoors!AI12+IF(HY112&gt;=0.45,VLOOKUP(Calculator!E23,tbSkills!DH3:DI6,2,FALSE)+IF(AND(Calculator!B8=TRUE,Backdoors!BI36=TRUE),VLOOKUP(Calculator!E23,tbSkills!DH3:DJ6,3,FALSE),0),0)))/100)),1))*IF(VLOOKUP(A112,tbMoveset!A2:K112,11,FALSE)=TRUE,Backdoors!AC5,1))*HZ112,0),"")</f>
        <v>0</v>
      </c>
      <c r="ID112" s="89">
        <f>VLOOKUP(A112,tbMoveset!A2:G112,7,FALSE)*IFERROR(IF(Backdoors!AI12&gt;=0,1+(IF(Calculator!E40&gt;0,VLOOKUP(Calculator!E40,tbSkills!AI3:AJ5,2,FALSE),Backdoors!AL4)*(IF((Backdoors!AI12+IF(HY112&gt;=0.45,VLOOKUP(Calculator!E23,tbSkills!DH3:DI6,2,FALSE)+IF(AND(Calculator!B8=TRUE,Backdoors!BI36=TRUE),VLOOKUP(Calculator!E23,tbSkills!DH3:DJ6,3,FALSE),0),0))&gt;=100,100,(Backdoors!AI12+IF(HY112&gt;=0.45,VLOOKUP(Calculator!E23,tbSkills!DH3:DI6,2,FALSE)+IF(AND(Calculator!B8=TRUE,Backdoors!BI36=TRUE),VLOOKUP(Calculator!E23,tbSkills!DH3:DJ6,3,FALSE),0),0)))/100)),1),1)</f>
        <v>0</v>
      </c>
      <c r="IE112" s="90">
        <f t="shared" si="84"/>
        <v>0</v>
      </c>
      <c r="IF112" s="88" t="str">
        <f>IFERROR(IF(VLOOKUP(A112,tbMoveset!A2:B112,2,FALSE)="Sever",Backdoors!AY37/100,IF(VLOOKUP(A112,tbMoveset!A2:B112,2,FALSE)="Blunt",Backdoors!AZ37/100,Backdoors!BA37/100)),"")</f>
        <v/>
      </c>
      <c r="IG112" s="89">
        <f>IFERROR(IF(VLOOKUP(tbMoveset!A112,tbMoveset!A2:H112,8,FALSE)="Other",IF(VLOOKUP(tbMoveset!A112,tbMoveset!A2:I112,9,FALSE)="Fire",Backdoors!BB37,IF(VLOOKUP(tbMoveset!A112,tbMoveset!A2:I112,9,FALSE)="Water",Backdoors!BC37,IF(VLOOKUP(tbMoveset!A112,tbMoveset!A2:I112,9,FALSE)="Thunder",Backdoors!BD37,IF(VLOOKUP(tbMoveset!A112,tbMoveset!A2:I112,9,FALSE)="Ice",Backdoors!BE37,IF(VLOOKUP(tbMoveset!A112,tbMoveset!A2:I112,9,FALSE)="Dragon",Backdoors!BF37,Backdoors!BG37)))))/100,Backdoors!BG37/100),"")</f>
        <v>0</v>
      </c>
      <c r="IH112" s="89">
        <f>IFERROR(IF(VLOOKUP(A112,tbMoveset!A2:J112,10,FALSE)=TRUE,IF((Backdoors!AI12+IF(IF112&gt;=0.45,VLOOKUP(Calculator!E23,tbSkills!DH3:DI6,2,FALSE)+IF(AND(Calculator!B8=TRUE,Backdoors!BI37=TRUE),VLOOKUP(Calculator!E23,tbSkills!DH3:DJ6,3,FALSE),0),0))&gt;=0,1+(Backdoors!AL2*(IF((Backdoors!AI12+IF(IF112&gt;=0.45,VLOOKUP(Calculator!E23,tbSkills!DH3:DI6,2,FALSE)+IF(AND(Calculator!B8=TRUE,Backdoors!BI37=TRUE),VLOOKUP(Calculator!E23,tbSkills!DH3:DJ6,3,FALSE),0),0))&gt;=100,100,(Backdoors!AI12+IF(IF112&gt;=0.45,VLOOKUP(Calculator!E23,tbSkills!DH3:DI6,2,FALSE)+IF(AND(Calculator!B8=TRUE,Backdoors!BI37=TRUE),VLOOKUP(Calculator!E23,tbSkills!DH3:DJ6,3,FALSE),0),0)))/100)),(1-(0.25*((-Backdoors!AI12-IF(IF112&gt;=0.45,VLOOKUP(Calculator!E23,tbSkills!DH3:DI6,2,FALSE)+IF(AND(Calculator!B8=TRUE,Backdoors!BI37=TRUE),VLOOKUP(Calculator!E23,tbSkills!DH3:DJ6,3,FALSE),0),0))/100)))),1),"")</f>
        <v>1</v>
      </c>
      <c r="II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F112)*IH112)*(VLOOKUP(A112,tbMoveset!A2:C112,3,FALSE)/100)*IF(VLOOKUP(A112,tbMoveset!A2:B112,2,FALSE)="Projectile",Backdoors!N10,Backdoors!N9),0),"")</f>
        <v/>
      </c>
      <c r="IJ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IF112&gt;=0.45,VLOOKUP(Calculator!E23,tbSkills!DH3:DI6,2,FALSE)+IF(AND(Calculator!B8=TRUE,Backdoors!BI37=TRUE),VLOOKUP(Calculator!E23,tbSkills!DH3:DJ6,3,FALSE),0),0))&gt;=100,100,(Backdoors!AI12+IF(IF112&gt;=0.45,VLOOKUP(Calculator!E23,tbSkills!DH3:DI6,2,FALSE)+IF(AND(Calculator!B8=TRUE,Backdoors!BI37=TRUE),VLOOKUP(Calculator!E23,tbSkills!DH3:DJ6,3,FALSE),0),0)))/100)),1))*IF(VLOOKUP(A112,tbMoveset!A2:K112,11,FALSE)=TRUE,Backdoors!AC5,1))*IG112,0),"")</f>
        <v>0</v>
      </c>
      <c r="IK112" s="89">
        <f>VLOOKUP(A112,tbMoveset!A2:G112,7,FALSE)*IFERROR(IF(Backdoors!AI12&gt;=0,1+(IF(Calculator!E40&gt;0,VLOOKUP(Calculator!E40,tbSkills!AI3:AJ5,2,FALSE),Backdoors!AL4)*(IF((Backdoors!AI12+IF(IF112&gt;=0.45,VLOOKUP(Calculator!E23,tbSkills!DH3:DI6,2,FALSE)+IF(AND(Calculator!B8=TRUE,Backdoors!BI37=TRUE),VLOOKUP(Calculator!E23,tbSkills!DH3:DJ6,3,FALSE),0),0))&gt;=100,100,(Backdoors!AI12+IF(IF112&gt;=0.45,VLOOKUP(Calculator!E23,tbSkills!DH3:DI6,2,FALSE)+IF(AND(Calculator!B8=TRUE,Backdoors!BI37=TRUE),VLOOKUP(Calculator!E23,tbSkills!DH3:DJ6,3,FALSE),0),0)))/100)),1),1)</f>
        <v>0</v>
      </c>
      <c r="IL112" s="90">
        <f t="shared" si="85"/>
        <v>0</v>
      </c>
      <c r="IM112" s="88" t="str">
        <f>IFERROR(IF(VLOOKUP(A112,tbMoveset!A2:B112,2,FALSE)="Sever",Backdoors!AY38/100,IF(VLOOKUP(A112,tbMoveset!A2:B112,2,FALSE)="Blunt",Backdoors!AZ38/100,Backdoors!BA38/100)),"")</f>
        <v/>
      </c>
      <c r="IN112" s="89">
        <f>IFERROR(IF(VLOOKUP(tbMoveset!A112,tbMoveset!A2:H112,8,FALSE)="Other",IF(VLOOKUP(tbMoveset!A112,tbMoveset!A2:I112,9,FALSE)="Fire",Backdoors!BB38,IF(VLOOKUP(tbMoveset!A112,tbMoveset!A2:I112,9,FALSE)="Water",Backdoors!BC38,IF(VLOOKUP(tbMoveset!A112,tbMoveset!A2:I112,9,FALSE)="Thunder",Backdoors!BD38,IF(VLOOKUP(tbMoveset!A112,tbMoveset!A2:I112,9,FALSE)="Ice",Backdoors!BE38,IF(VLOOKUP(tbMoveset!A112,tbMoveset!A2:I112,9,FALSE)="Dragon",Backdoors!BF38,Backdoors!BG38)))))/100,Backdoors!BG38/100),"")</f>
        <v>0</v>
      </c>
      <c r="IO112" s="89">
        <f>IFERROR(IF(VLOOKUP(A112,tbMoveset!A2:J112,10,FALSE)=TRUE,IF((Backdoors!AI12+IF(IM112&gt;=0.45,VLOOKUP(Calculator!E23,tbSkills!DH3:DI6,2,FALSE)+IF(AND(Calculator!B8=TRUE,Backdoors!BI38=TRUE),VLOOKUP(Calculator!E23,tbSkills!DH3:DJ6,3,FALSE),0),0))&gt;=0,1+(Backdoors!AL2*(IF((Backdoors!AI12+IF(IM112&gt;=0.45,VLOOKUP(Calculator!E23,tbSkills!DH3:DI6,2,FALSE)+IF(AND(Calculator!B8=TRUE,Backdoors!BI38=TRUE),VLOOKUP(Calculator!E23,tbSkills!DH3:DJ6,3,FALSE),0),0))&gt;=100,100,(Backdoors!AI12+IF(IM112&gt;=0.45,VLOOKUP(Calculator!E23,tbSkills!DH3:DI6,2,FALSE)+IF(AND(Calculator!B8=TRUE,Backdoors!BI38=TRUE),VLOOKUP(Calculator!E23,tbSkills!DH3:DJ6,3,FALSE),0),0)))/100)),(1-(0.25*((-Backdoors!AI12-IF(IM112&gt;=0.45,VLOOKUP(Calculator!E23,tbSkills!DH3:DI6,2,FALSE)+IF(AND(Calculator!B8=TRUE,Backdoors!BI38=TRUE),VLOOKUP(Calculator!E23,tbSkills!DH3:DJ6,3,FALSE),0),0))/100)))),1),"")</f>
        <v>1</v>
      </c>
      <c r="IP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M112)*IO112)*(VLOOKUP(A112,tbMoveset!A2:C112,3,FALSE)/100)*IF(VLOOKUP(A112,tbMoveset!A2:B112,2,FALSE)="Projectile",Backdoors!N10,Backdoors!N9),0),"")</f>
        <v/>
      </c>
      <c r="IQ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IM112&gt;=0.45,VLOOKUP(Calculator!E23,tbSkills!DH3:DI6,2,FALSE)+IF(AND(Calculator!B8=TRUE,Backdoors!BI38=TRUE),VLOOKUP(Calculator!E23,tbSkills!DH3:DJ6,3,FALSE),0),0))&gt;=100,100,(Backdoors!AI12+IF(IM112&gt;=0.45,VLOOKUP(Calculator!E23,tbSkills!DH3:DI6,2,FALSE)+IF(AND(Calculator!B8=TRUE,Backdoors!BI38=TRUE),VLOOKUP(Calculator!E23,tbSkills!DH3:DJ6,3,FALSE),0),0)))/100)),1))*IF(VLOOKUP(A112,tbMoveset!A2:K112,11,FALSE)=TRUE,Backdoors!AC5,1))*IN112,0),"")</f>
        <v>0</v>
      </c>
      <c r="IR112" s="89">
        <f>VLOOKUP(A112,tbMoveset!A2:G112,7,FALSE)*IFERROR(IF(Backdoors!AI12&gt;=0,1+(IF(Calculator!E40&gt;0,VLOOKUP(Calculator!E40,tbSkills!AI3:AJ5,2,FALSE),Backdoors!AL4)*(IF((Backdoors!AI12+IF(IM112&gt;=0.45,VLOOKUP(Calculator!E23,tbSkills!DH3:DI6,2,FALSE)+IF(AND(Calculator!B8=TRUE,Backdoors!BI38=TRUE),VLOOKUP(Calculator!E23,tbSkills!DH3:DJ6,3,FALSE),0),0))&gt;=100,100,(Backdoors!AI12+IF(IM112&gt;=0.45,VLOOKUP(Calculator!E23,tbSkills!DH3:DI6,2,FALSE)+IF(AND(Calculator!B8=TRUE,Backdoors!BI38=TRUE),VLOOKUP(Calculator!E23,tbSkills!DH3:DJ6,3,FALSE),0),0)))/100)),1),1)</f>
        <v>0</v>
      </c>
      <c r="IS112" s="90">
        <f t="shared" si="86"/>
        <v>0</v>
      </c>
      <c r="IT112" s="88" t="str">
        <f>IFERROR(IF(VLOOKUP(A112,tbMoveset!A2:B112,2,FALSE)="Sever",Backdoors!AY39/100,IF(VLOOKUP(A112,tbMoveset!A2:B112,2,FALSE)="Blunt",Backdoors!AZ39/100,Backdoors!BA39/100)),"")</f>
        <v/>
      </c>
      <c r="IU112" s="89">
        <f>IFERROR(IF(VLOOKUP(tbMoveset!A112,tbMoveset!A2:H112,8,FALSE)="Other",IF(VLOOKUP(tbMoveset!A112,tbMoveset!A2:I112,9,FALSE)="Fire",Backdoors!BB39,IF(VLOOKUP(tbMoveset!A112,tbMoveset!A2:I112,9,FALSE)="Water",Backdoors!BC39,IF(VLOOKUP(tbMoveset!A112,tbMoveset!A2:I112,9,FALSE)="Thunder",Backdoors!BD39,IF(VLOOKUP(tbMoveset!A112,tbMoveset!A2:I112,9,FALSE)="Ice",Backdoors!BE39,IF(VLOOKUP(tbMoveset!A112,tbMoveset!A2:I112,9,FALSE)="Dragon",Backdoors!BF39,Backdoors!BG39)))))/100,Backdoors!BG39/100),"")</f>
        <v>0</v>
      </c>
      <c r="IV112" s="89">
        <f>IFERROR(IF(VLOOKUP(A112,tbMoveset!A2:J112,10,FALSE)=TRUE,IF((Backdoors!AI12+IF(IT112&gt;=0.45,VLOOKUP(Calculator!E23,tbSkills!DH3:DI6,2,FALSE)+IF(AND(Calculator!B8=TRUE,Backdoors!BI39=TRUE),VLOOKUP(Calculator!E23,tbSkills!DH3:DJ6,3,FALSE),0),0))&gt;=0,1+(Backdoors!AL2*(IF((Backdoors!AI12+IF(IT112&gt;=0.45,VLOOKUP(Calculator!E23,tbSkills!DH3:DI6,2,FALSE)+IF(AND(Calculator!B8=TRUE,Backdoors!BI39=TRUE),VLOOKUP(Calculator!E23,tbSkills!DH3:DJ6,3,FALSE),0),0))&gt;=100,100,(Backdoors!AI12+IF(IT112&gt;=0.45,VLOOKUP(Calculator!E23,tbSkills!DH3:DI6,2,FALSE)+IF(AND(Calculator!B8=TRUE,Backdoors!BI39=TRUE),VLOOKUP(Calculator!E23,tbSkills!DH3:DJ6,3,FALSE),0),0)))/100)),(1-(0.25*((-Backdoors!AI12-IF(IT112&gt;=0.45,VLOOKUP(Calculator!E23,tbSkills!DH3:DI6,2,FALSE)+IF(AND(Calculator!B8=TRUE,Backdoors!BI39=TRUE),VLOOKUP(Calculator!E23,tbSkills!DH3:DJ6,3,FALSE),0),0))/100)))),1),"")</f>
        <v>1</v>
      </c>
      <c r="IW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T112)*IV112)*(VLOOKUP(A112,tbMoveset!A2:C112,3,FALSE)/100)*IF(VLOOKUP(A112,tbMoveset!A2:B112,2,FALSE)="Projectile",Backdoors!N10,Backdoors!N9),0),"")</f>
        <v/>
      </c>
      <c r="IX112" s="89">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40&gt;0,VLOOKUP(Calculator!E40,tbSkills!AC3:AD5,2,FALSE),Backdoors!AL3)*(IF((Backdoors!AI12+IF(IT112&gt;=0.45,VLOOKUP(Calculator!E23,tbSkills!DH3:DI6,2,FALSE)+IF(AND(Calculator!B8=TRUE,Backdoors!BI39=TRUE),VLOOKUP(Calculator!E23,tbSkills!DH3:DJ6,3,FALSE),0),0))&gt;=100,100,(Backdoors!AI12+IF(IT112&gt;=0.45,VLOOKUP(Calculator!E23,tbSkills!DH3:DI6,2,FALSE)+IF(AND(Calculator!B8=TRUE,Backdoors!BI39=TRUE),VLOOKUP(Calculator!E23,tbSkills!DH3:DJ6,3,FALSE),0),0)))/100)),1))*IF(VLOOKUP(A112,tbMoveset!A2:K112,11,FALSE)=TRUE,Backdoors!AC5,1))*IU112,0),"")</f>
        <v>0</v>
      </c>
      <c r="IY112" s="89">
        <f>VLOOKUP(A112,tbMoveset!A2:G112,7,FALSE)*IFERROR(IF(Backdoors!AI12&gt;=0,1+(IF(Calculator!E40&gt;0,VLOOKUP(Calculator!E40,tbSkills!AI3:AJ5,2,FALSE),Backdoors!AL4)*(IF((Backdoors!AI12+IF(IT112&gt;=0.45,VLOOKUP(Calculator!E23,tbSkills!DH3:DI6,2,FALSE)+IF(AND(Calculator!B8=TRUE,Backdoors!BI39=TRUE),VLOOKUP(Calculator!E23,tbSkills!DH3:DJ6,3,FALSE),0),0))&gt;=100,100,(Backdoors!AI12+IF(IT112&gt;=0.45,VLOOKUP(Calculator!E23,tbSkills!DH3:DI6,2,FALSE)+IF(AND(Calculator!B8=TRUE,Backdoors!BI39=TRUE),VLOOKUP(Calculator!E23,tbSkills!DH3:DJ6,3,FALSE),0),0)))/100)),1),1)</f>
        <v>0</v>
      </c>
      <c r="IZ112" s="90">
        <f t="shared" si="87"/>
        <v>0</v>
      </c>
      <c r="JA112" s="88" t="str">
        <f>IFERROR(IF(VLOOKUP(A112,tbMoveset!A2:B112,2,FALSE)="Sever",Backdoors!AY40/100,IF(VLOOKUP(A112,tbMoveset!A2:B112,2,FALSE)="Blunt",Backdoors!AZ40/100,Backdoors!BA40/100)),"")</f>
        <v/>
      </c>
      <c r="JB112" s="89">
        <f>IFERROR(IF(VLOOKUP(tbMoveset!A112,tbMoveset!A2:H112,8,FALSE)="Other",IF(VLOOKUP(tbMoveset!A112,tbMoveset!A2:I112,9,FALSE)="Fire",Backdoors!BB40,IF(VLOOKUP(tbMoveset!A112,tbMoveset!A2:I112,9,FALSE)="Water",Backdoors!BC40,IF(VLOOKUP(tbMoveset!A112,tbMoveset!A2:I112,9,FALSE)="Thunder",Backdoors!BD40,IF(VLOOKUP(tbMoveset!A112,tbMoveset!A2:I112,9,FALSE)="Ice",Backdoors!BE40,IF(VLOOKUP(tbMoveset!A112,tbMoveset!A2:I112,9,FALSE)="Dragon",Backdoors!BF40,Backdoors!BG40)))))/100,Backdoors!BG40/100),"")</f>
        <v>0</v>
      </c>
      <c r="JC112" s="89">
        <f>IFERROR(IF(VLOOKUP(A112,tbMoveset!A2:J112,10,FALSE)=TRUE,IF((Backdoors!AI12+IF(JA112&gt;=0.45,VLOOKUP(Calculator!E23,tbSkills!DH3:DI6,2,FALSE)+IF(AND(Calculator!B8=TRUE,Backdoors!BI40=TRUE),VLOOKUP(Calculator!E23,tbSkills!DH3:DJ6,3,FALSE),0),0))&gt;=0,1+(Backdoors!AL2*(IF((Backdoors!AI12+IF(JA112&gt;=0.45,VLOOKUP(Calculator!E23,tbSkills!DH3:DI6,2,FALSE)+IF(AND(Calculator!B8=TRUE,Backdoors!BI40=TRUE),VLOOKUP(Calculator!E23,tbSkills!DH3:DJ6,3,FALSE),0),0))&gt;=100,100,(Backdoors!AI12+IF(JA112&gt;=0.45,VLOOKUP(Calculator!E23,tbSkills!DH3:DI6,2,FALSE)+IF(AND(Calculator!B8=TRUE,Backdoors!BI40=TRUE),VLOOKUP(Calculator!E23,tbSkills!DH3:DJ6,3,FALSE),0),0)))/100)),(1-(0.25*((-Backdoors!AI12-IF(JA112&gt;=0.45,VLOOKUP(Calculator!E23,tbSkills!DH3:DI6,2,FALSE)+IF(AND(Calculator!B8=TRUE,Backdoors!BI40=TRUE),VLOOKUP(Calculator!E23,tbSkills!DH3:DJ6,3,FALSE),0),0))/100)))),1),"")</f>
        <v>1</v>
      </c>
      <c r="JD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A112)*JC112)*(VLOOKUP(A112,tbMoveset!A2:C112,3,FALSE)/100)*IF(VLOOKUP(A112,tbMoveset!A2:B112,2,FALSE)="Projectile",Backdoors!N10,Backdoors!N9),0),"")</f>
        <v/>
      </c>
      <c r="JE112" s="89">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42&gt;0,VLOOKUP(Calculator!E42,tbSkills!AC3:AD5,2,FALSE),Backdoors!AL3)*(IF((Backdoors!AI12+IF(JA112&gt;=0.45,VLOOKUP(Calculator!E23,tbSkills!DH3:DI6,2,FALSE)+IF(AND(Calculator!B8=TRUE,Backdoors!BI40=TRUE),VLOOKUP(Calculator!E23,tbSkills!DH3:DJ6,3,FALSE),0),0))&gt;=100,100,(Backdoors!AI12+IF(JA112&gt;=0.45,VLOOKUP(Calculator!E23,tbSkills!DH3:DI6,2,FALSE)+IF(AND(Calculator!B8=TRUE,Backdoors!BI40=TRUE),VLOOKUP(Calculator!E23,tbSkills!DH3:DJ6,3,FALSE),0),0)))/100)),1))*IF(VLOOKUP(A112,tbMoveset!A2:K112,11,FALSE)=TRUE,Backdoors!AC5,1))*JB112,0),"")</f>
        <v>0</v>
      </c>
      <c r="JF112" s="89">
        <f>VLOOKUP(A112,tbMoveset!A2:G112,7,FALSE)*IFERROR(IF(Backdoors!AI12&gt;=0,1+(IF(Calculator!E40&gt;0,VLOOKUP(Calculator!E40,tbSkills!AI3:AJ5,2,FALSE),Backdoors!AL4)*(IF((Backdoors!AI12+IF(JA112&gt;=0.45,VLOOKUP(Calculator!E23,tbSkills!DH3:DI6,2,FALSE)+IF(AND(Calculator!B8=TRUE,Backdoors!BI40=TRUE),VLOOKUP(Calculator!E23,tbSkills!DH3:DJ6,3,FALSE),0),0))&gt;=100,100,(Backdoors!AI12+IF(JA112&gt;=0.45,VLOOKUP(Calculator!E23,tbSkills!DH3:DI6,2,FALSE)+IF(AND(Calculator!B8=TRUE,Backdoors!BI40=TRUE),VLOOKUP(Calculator!E23,tbSkills!DH3:DJ6,3,FALSE),0),0)))/100)),1),1)</f>
        <v>0</v>
      </c>
      <c r="JG112" s="90">
        <f t="shared" si="88"/>
        <v>0</v>
      </c>
      <c r="JH112" s="88" t="str">
        <f>IFERROR(IF(VLOOKUP(A112,tbMoveset!A2:B112,2,FALSE)="Sever",Backdoors!AY41/100,IF(VLOOKUP(A112,tbMoveset!A2:B112,2,FALSE)="Blunt",Backdoors!AZ41/100,Backdoors!BA41/100)),"")</f>
        <v/>
      </c>
      <c r="JI112" s="89">
        <f>IFERROR(IF(VLOOKUP(tbMoveset!A112,tbMoveset!A2:H112,8,FALSE)="Other",IF(VLOOKUP(tbMoveset!A112,tbMoveset!A2:I112,9,FALSE)="Fire",Backdoors!BB41,IF(VLOOKUP(tbMoveset!A112,tbMoveset!A2:I112,9,FALSE)="Water",Backdoors!BC41,IF(VLOOKUP(tbMoveset!A112,tbMoveset!A2:I112,9,FALSE)="Thunder",Backdoors!BD41,IF(VLOOKUP(tbMoveset!A112,tbMoveset!A2:I112,9,FALSE)="Ice",Backdoors!BE41,IF(VLOOKUP(tbMoveset!A112,tbMoveset!A2:I112,9,FALSE)="Dragon",Backdoors!BF41,Backdoors!BG41)))))/100,Backdoors!BG41/100),"")</f>
        <v>0</v>
      </c>
      <c r="JJ112" s="89">
        <f>IFERROR(IF(VLOOKUP(A112,tbMoveset!A2:J112,10,FALSE)=TRUE,IF((Backdoors!AI12+IF(JH112&gt;=0.45,VLOOKUP(Calculator!E23,tbSkills!DH3:DI6,2,FALSE)+IF(AND(Calculator!B8=TRUE,Backdoors!BI41=TRUE),VLOOKUP(Calculator!E23,tbSkills!DH3:DJ6,3,FALSE),0),0))&gt;=0,1+(Backdoors!AL2*(IF((Backdoors!AI12+IF(JH112&gt;=0.45,VLOOKUP(Calculator!E23,tbSkills!DH3:DI6,2,FALSE)+IF(AND(Calculator!B8=TRUE,Backdoors!BI41=TRUE),VLOOKUP(Calculator!E23,tbSkills!DH3:DJ6,3,FALSE),0),0))&gt;=100,100,(Backdoors!AI12+IF(JH112&gt;=0.45,VLOOKUP(Calculator!E23,tbSkills!DH3:DI6,2,FALSE)+IF(AND(Calculator!B8=TRUE,Backdoors!BI41=TRUE),VLOOKUP(Calculator!E23,tbSkills!DH3:DJ6,3,FALSE),0),0)))/100)),(1-(0.25*((-Backdoors!AI12-IF(JH112&gt;=0.45,VLOOKUP(Calculator!E23,tbSkills!DH3:DI6,2,FALSE)+IF(AND(Calculator!B8=TRUE,Backdoors!BI41=TRUE),VLOOKUP(Calculator!E23,tbSkills!DH3:DJ6,3,FALSE),0),0))/100)))),1),"")</f>
        <v>1</v>
      </c>
      <c r="JK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H112)*JJ112)*(VLOOKUP(A112,tbMoveset!A2:C112,3,FALSE)/100)*IF(VLOOKUP(A112,tbMoveset!A2:B112,2,FALSE)="Projectile",Backdoors!N10,Backdoors!N9),0),"")</f>
        <v/>
      </c>
      <c r="JL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43&gt;0,VLOOKUP(Calculator!E43,tbSkills!AC3:AD5,2,FALSE),Backdoors!AL3)*(IF((Backdoors!AI12+IF(JH112&gt;=0.45,VLOOKUP(Calculator!E23,tbSkills!DH3:DI6,2,FALSE)+IF(AND(Calculator!B8=TRUE,Backdoors!BI41=TRUE),VLOOKUP(Calculator!E23,tbSkills!DH3:DJ6,3,FALSE),0),0))&gt;=100,100,(Backdoors!AI12+IF(JH112&gt;=0.45,VLOOKUP(Calculator!E23,tbSkills!DH3:DI6,2,FALSE)+IF(AND(Calculator!B8=TRUE,Backdoors!BI41=TRUE),VLOOKUP(Calculator!E23,tbSkills!DH3:DJ6,3,FALSE),0),0)))/100)),1))*IF(VLOOKUP(A112,tbMoveset!A2:K112,11,FALSE)=TRUE,Backdoors!AC5,1))*JI112,0),"")</f>
        <v/>
      </c>
      <c r="JM112" s="89">
        <f>VLOOKUP(A112,tbMoveset!A2:G112,7,FALSE)*IFERROR(IF(Backdoors!AI12&gt;=0,1+(IF(Calculator!E40&gt;0,VLOOKUP(Calculator!E40,tbSkills!AI3:AJ5,2,FALSE),Backdoors!AL4)*(IF((Backdoors!AI12+IF(JH112&gt;=0.45,VLOOKUP(Calculator!E23,tbSkills!DH3:DI6,2,FALSE)+IF(AND(Calculator!B8=TRUE,Backdoors!BI41=TRUE),VLOOKUP(Calculator!E23,tbSkills!DH3:DJ6,3,FALSE),0),0))&gt;=100,100,(Backdoors!AI12+IF(JH112&gt;=0.45,VLOOKUP(Calculator!E23,tbSkills!DH3:DI6,2,FALSE)+IF(AND(Calculator!B8=TRUE,Backdoors!BI41=TRUE),VLOOKUP(Calculator!E23,tbSkills!DH3:DJ6,3,FALSE),0),0)))/100)),1),1)</f>
        <v>0</v>
      </c>
      <c r="JN112" s="90">
        <f t="shared" si="89"/>
        <v>0</v>
      </c>
      <c r="JO112" s="88" t="str">
        <f>IFERROR(IF(VLOOKUP(A112,tbMoveset!A2:B112,2,FALSE)="Sever",Backdoors!AY42/100,IF(VLOOKUP(A112,tbMoveset!A2:B112,2,FALSE)="Blunt",Backdoors!AZ42/100,Backdoors!BA42/100)),"")</f>
        <v/>
      </c>
      <c r="JP112" s="89">
        <f>IFERROR(IF(VLOOKUP(tbMoveset!A112,tbMoveset!A2:H112,8,FALSE)="Other",IF(VLOOKUP(tbMoveset!A112,tbMoveset!A2:I112,9,FALSE)="Fire",Backdoors!BB42,IF(VLOOKUP(tbMoveset!A112,tbMoveset!A2:I112,9,FALSE)="Water",Backdoors!BC42,IF(VLOOKUP(tbMoveset!A112,tbMoveset!A2:I112,9,FALSE)="Thunder",Backdoors!BD42,IF(VLOOKUP(tbMoveset!A112,tbMoveset!A2:I112,9,FALSE)="Ice",Backdoors!BE42,IF(VLOOKUP(tbMoveset!A112,tbMoveset!A2:I112,9,FALSE)="Dragon",Backdoors!BF42,Backdoors!BG42)))))/100,Backdoors!BG42/100),"")</f>
        <v>0</v>
      </c>
      <c r="JQ112" s="89">
        <f>IFERROR(IF(VLOOKUP(A112,tbMoveset!A2:J112,10,FALSE)=TRUE,IF((Backdoors!AI12+IF(JO112&gt;=0.45,VLOOKUP(Calculator!E23,tbSkills!DH3:DI6,2,FALSE)+IF(AND(Calculator!B8=TRUE,Backdoors!BI42=TRUE),VLOOKUP(Calculator!E23,tbSkills!DH3:DJ6,3,FALSE),0),0))&gt;=0,1+(Backdoors!AL2*(IF((Backdoors!AI12+IF(JO112&gt;=0.45,VLOOKUP(Calculator!E23,tbSkills!DH3:DI6,2,FALSE)+IF(AND(Calculator!B8=TRUE,Backdoors!BI42=TRUE),VLOOKUP(Calculator!E23,tbSkills!DH3:DJ6,3,FALSE),0),0))&gt;=100,100,(Backdoors!AI12+IF(JO112&gt;=0.45,VLOOKUP(Calculator!E23,tbSkills!DH3:DI6,2,FALSE)+IF(AND(Calculator!B8=TRUE,Backdoors!BI42=TRUE),VLOOKUP(Calculator!E23,tbSkills!DH3:DJ6,3,FALSE),0),0)))/100)),(1-(0.25*((-Backdoors!AI12-IF(JO112&gt;=0.45,VLOOKUP(Calculator!E23,tbSkills!DH3:DI6,2,FALSE)+IF(AND(Calculator!B8=TRUE,Backdoors!BI42=TRUE),VLOOKUP(Calculator!E23,tbSkills!DH3:DJ6,3,FALSE),0),0))/100)))),1),"")</f>
        <v>1</v>
      </c>
      <c r="JR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O112)*JQ112)*(VLOOKUP(A112,tbMoveset!A2:C112,3,FALSE)/100)*IF(VLOOKUP(A112,tbMoveset!A2:B112,2,FALSE)="Projectile",Backdoors!N10,Backdoors!N9),0),"")</f>
        <v/>
      </c>
      <c r="JS112" s="89">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45&gt;0,VLOOKUP(Calculator!E45,tbSkills!AC3:AD5,2,FALSE),Backdoors!AL3)*(IF((Backdoors!AI12+IF(JO112&gt;=0.45,VLOOKUP(Calculator!E23,tbSkills!DH3:DI6,2,FALSE)+IF(AND(Calculator!B8=TRUE,Backdoors!BI42=TRUE),VLOOKUP(Calculator!E23,tbSkills!DH3:DJ6,3,FALSE),0),0))&gt;=100,100,(Backdoors!AI12+IF(JO112&gt;=0.45,VLOOKUP(Calculator!E23,tbSkills!DH3:DI6,2,FALSE)+IF(AND(Calculator!B8=TRUE,Backdoors!BI42=TRUE),VLOOKUP(Calculator!E23,tbSkills!DH3:DJ6,3,FALSE),0),0)))/100)),1))*IF(VLOOKUP(A112,tbMoveset!A2:K112,11,FALSE)=TRUE,Backdoors!AC5,1))*JP112,0),"")</f>
        <v>0</v>
      </c>
      <c r="JT112" s="89">
        <f>VLOOKUP(A112,tbMoveset!A2:G112,7,FALSE)*IFERROR(IF(Backdoors!AI12&gt;=0,1+(IF(Calculator!E40&gt;0,VLOOKUP(Calculator!E40,tbSkills!AI3:AJ5,2,FALSE),Backdoors!AL4)*(IF((Backdoors!AI12+IF(JO112&gt;=0.45,VLOOKUP(Calculator!E23,tbSkills!DH3:DI6,2,FALSE)+IF(AND(Calculator!B8=TRUE,Backdoors!BI42=TRUE),VLOOKUP(Calculator!E23,tbSkills!DH3:DJ6,3,FALSE),0),0))&gt;=100,100,(Backdoors!AI12+IF(JO112&gt;=0.45,VLOOKUP(Calculator!E23,tbSkills!DH3:DI6,2,FALSE)+IF(AND(Calculator!B8=TRUE,Backdoors!BI42=TRUE),VLOOKUP(Calculator!E23,tbSkills!DH3:DJ6,3,FALSE),0),0)))/100)),1),1)</f>
        <v>0</v>
      </c>
      <c r="JU112" s="90">
        <f t="shared" si="90"/>
        <v>0</v>
      </c>
      <c r="JV112" s="88" t="str">
        <f>IFERROR(IF(VLOOKUP(A112,tbMoveset!A2:B112,2,FALSE)="Sever",Backdoors!AY43/100,IF(VLOOKUP(A112,tbMoveset!A2:B112,2,FALSE)="Blunt",Backdoors!AZ43/100,Backdoors!BA43/100)),"")</f>
        <v/>
      </c>
      <c r="JW112" s="89">
        <f>IFERROR(IF(VLOOKUP(tbMoveset!A112,tbMoveset!A2:H112,8,FALSE)="Other",IF(VLOOKUP(tbMoveset!A112,tbMoveset!A2:I112,9,FALSE)="Fire",Backdoors!BB43,IF(VLOOKUP(tbMoveset!A112,tbMoveset!A2:I112,9,FALSE)="Water",Backdoors!BC43,IF(VLOOKUP(tbMoveset!A112,tbMoveset!A2:I112,9,FALSE)="Thunder",Backdoors!BD43,IF(VLOOKUP(tbMoveset!A112,tbMoveset!A2:I112,9,FALSE)="Ice",Backdoors!BE43,IF(VLOOKUP(tbMoveset!A112,tbMoveset!A2:I112,9,FALSE)="Dragon",Backdoors!BF43,Backdoors!BG43)))))/100,Backdoors!BG43/100),"")</f>
        <v>0</v>
      </c>
      <c r="JX112" s="89">
        <f>IFERROR(IF(VLOOKUP(A112,tbMoveset!A2:J112,10,FALSE)=TRUE,IF((Backdoors!AI12+IF(JV112&gt;=0.45,VLOOKUP(Calculator!E23,tbSkills!DH3:DI6,2,FALSE)+IF(AND(Calculator!B8=TRUE,Backdoors!BI43=TRUE),VLOOKUP(Calculator!E23,tbSkills!DH3:DJ6,3,FALSE),0),0))&gt;=0,1+(Backdoors!AL2*(IF((Backdoors!AI12+IF(JV112&gt;=0.45,VLOOKUP(Calculator!E23,tbSkills!DH3:DI6,2,FALSE)+IF(AND(Calculator!B8=TRUE,Backdoors!BI43=TRUE),VLOOKUP(Calculator!E23,tbSkills!DH3:DJ6,3,FALSE),0),0))&gt;=100,100,(Backdoors!AI12+IF(JV112&gt;=0.45,VLOOKUP(Calculator!E23,tbSkills!DH3:DI6,2,FALSE)+IF(AND(Calculator!B8=TRUE,Backdoors!BI43=TRUE),VLOOKUP(Calculator!E23,tbSkills!DH3:DJ6,3,FALSE),0),0)))/100)),(1-(0.25*((-Backdoors!AI12-IF(JV112&gt;=0.45,VLOOKUP(Calculator!E23,tbSkills!DH3:DI6,2,FALSE)+IF(AND(Calculator!B8=TRUE,Backdoors!BI43=TRUE),VLOOKUP(Calculator!E23,tbSkills!DH3:DJ6,3,FALSE),0),0))/100)))),1),"")</f>
        <v>1</v>
      </c>
      <c r="JY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V112)*JX112)*(VLOOKUP(A112,tbMoveset!A2:C112,3,FALSE)/100)*IF(VLOOKUP(A112,tbMoveset!A2:B112,2,FALSE)="Projectile",Backdoors!N10,Backdoors!N9),0),"")</f>
        <v/>
      </c>
      <c r="JZ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46&gt;0,VLOOKUP(Calculator!E46,tbSkills!AC3:AD5,2,FALSE),Backdoors!AL3)*(IF((Backdoors!AI12+IF(JV112&gt;=0.45,VLOOKUP(Calculator!E23,tbSkills!DH3:DI6,2,FALSE)+IF(AND(Calculator!B8=TRUE,Backdoors!BI43=TRUE),VLOOKUP(Calculator!E23,tbSkills!DH3:DJ6,3,FALSE),0),0))&gt;=100,100,(Backdoors!AI12+IF(JV112&gt;=0.45,VLOOKUP(Calculator!E23,tbSkills!DH3:DI6,2,FALSE)+IF(AND(Calculator!B8=TRUE,Backdoors!BI43=TRUE),VLOOKUP(Calculator!E23,tbSkills!DH3:DJ6,3,FALSE),0),0)))/100)),1))*IF(VLOOKUP(A112,tbMoveset!A2:K112,11,FALSE)=TRUE,Backdoors!AC5,1))*JW112,0),"")</f>
        <v/>
      </c>
      <c r="KA112" s="89">
        <f>VLOOKUP(A112,tbMoveset!A2:G112,7,FALSE)*IFERROR(IF(Backdoors!AI12&gt;=0,1+(IF(Calculator!E40&gt;0,VLOOKUP(Calculator!E40,tbSkills!AI3:AJ5,2,FALSE),Backdoors!AL4)*(IF((Backdoors!AI12+IF(JV112&gt;=0.45,VLOOKUP(Calculator!E23,tbSkills!DH3:DI6,2,FALSE)+IF(AND(Calculator!B8=TRUE,Backdoors!BI43=TRUE),VLOOKUP(Calculator!E23,tbSkills!DH3:DJ6,3,FALSE),0),0))&gt;=100,100,(Backdoors!AI12+IF(JV112&gt;=0.45,VLOOKUP(Calculator!E23,tbSkills!DH3:DI6,2,FALSE)+IF(AND(Calculator!B8=TRUE,Backdoors!BI43=TRUE),VLOOKUP(Calculator!E23,tbSkills!DH3:DJ6,3,FALSE),0),0)))/100)),1),1)</f>
        <v>0</v>
      </c>
      <c r="KB112" s="90">
        <f t="shared" si="91"/>
        <v>0</v>
      </c>
      <c r="KC112" s="88" t="str">
        <f>IFERROR(IF(VLOOKUP(A112,tbMoveset!A2:B112,2,FALSE)="Sever",Backdoors!AY44/100,IF(VLOOKUP(A112,tbMoveset!A2:B112,2,FALSE)="Blunt",Backdoors!AZ44/100,Backdoors!BA44/100)),"")</f>
        <v/>
      </c>
      <c r="KD112" s="89">
        <f>IFERROR(IF(VLOOKUP(tbMoveset!A112,tbMoveset!A2:H112,8,FALSE)="Other",IF(VLOOKUP(tbMoveset!A112,tbMoveset!A2:I112,9,FALSE)="Fire",Backdoors!BB44,IF(VLOOKUP(tbMoveset!A112,tbMoveset!A2:I112,9,FALSE)="Water",Backdoors!BC44,IF(VLOOKUP(tbMoveset!A112,tbMoveset!A2:I112,9,FALSE)="Thunder",Backdoors!BD44,IF(VLOOKUP(tbMoveset!A112,tbMoveset!A2:I112,9,FALSE)="Ice",Backdoors!BE44,IF(VLOOKUP(tbMoveset!A112,tbMoveset!A2:I112,9,FALSE)="Dragon",Backdoors!BF44,Backdoors!BG44)))))/100,Backdoors!BG44/100),"")</f>
        <v>0</v>
      </c>
      <c r="KE112" s="89">
        <f>IFERROR(IF(VLOOKUP(A112,tbMoveset!A2:J112,10,FALSE)=TRUE,IF((Backdoors!AI12+IF(KC112&gt;=0.45,VLOOKUP(Calculator!E23,tbSkills!DH3:DI6,2,FALSE)+IF(AND(Calculator!B8=TRUE,Backdoors!BI44=TRUE),VLOOKUP(Calculator!E23,tbSkills!DH3:DJ6,3,FALSE),0),0))&gt;=0,1+(Backdoors!AL2*(IF((Backdoors!AI12+IF(KC112&gt;=0.45,VLOOKUP(Calculator!E23,tbSkills!DH3:DI6,2,FALSE)+IF(AND(Calculator!B8=TRUE,Backdoors!BI44=TRUE),VLOOKUP(Calculator!E23,tbSkills!DH3:DJ6,3,FALSE),0),0))&gt;=100,100,(Backdoors!AI12+IF(KC112&gt;=0.45,VLOOKUP(Calculator!E23,tbSkills!DH3:DI6,2,FALSE)+IF(AND(Calculator!B8=TRUE,Backdoors!BI44=TRUE),VLOOKUP(Calculator!E23,tbSkills!DH3:DJ6,3,FALSE),0),0)))/100)),(1-(0.25*((-Backdoors!AI12-IF(KC112&gt;=0.45,VLOOKUP(Calculator!E23,tbSkills!DH3:DI6,2,FALSE)+IF(AND(Calculator!B8=TRUE,Backdoors!BI44=TRUE),VLOOKUP(Calculator!E23,tbSkills!DH3:DJ6,3,FALSE),0),0))/100)))),1),"")</f>
        <v>1</v>
      </c>
      <c r="KF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KC112)*KE112)*(VLOOKUP(A112,tbMoveset!A2:C112,3,FALSE)/100)*IF(VLOOKUP(A112,tbMoveset!A2:B112,2,FALSE)="Projectile",Backdoors!N10,Backdoors!N9),0),"")</f>
        <v/>
      </c>
      <c r="KG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REF!&gt;0,VLOOKUP(Calculator!#REF!,tbSkills!AC3:AD5,2,FALSE),Backdoors!AL3)*(IF((Backdoors!AI12+IF(KC112&gt;=0.45,VLOOKUP(Calculator!E23,tbSkills!DH3:DI6,2,FALSE)+IF(AND(Calculator!B8=TRUE,Backdoors!BI44=TRUE),VLOOKUP(Calculator!E23,tbSkills!DH3:DJ6,3,FALSE),0),0))&gt;=100,100,(Backdoors!AI12+IF(KC112&gt;=0.45,VLOOKUP(Calculator!E23,tbSkills!DH3:DI6,2,FALSE)+IF(AND(Calculator!B8=TRUE,Backdoors!BI44=TRUE),VLOOKUP(Calculator!E23,tbSkills!DH3:DJ6,3,FALSE),0),0)))/100)),1))*IF(VLOOKUP(A112,tbMoveset!A2:K112,11,FALSE)=TRUE,Backdoors!AC5,1))*KD112,0),"")</f>
        <v/>
      </c>
      <c r="KH112" s="89">
        <f>VLOOKUP(A112,tbMoveset!A2:G112,7,FALSE)*IFERROR(IF(Backdoors!AI12&gt;=0,1+(IF(Calculator!E40&gt;0,VLOOKUP(Calculator!E40,tbSkills!AI3:AJ5,2,FALSE),Backdoors!AL4)*(IF((Backdoors!AI12+IF(KC112&gt;=0.45,VLOOKUP(Calculator!E23,tbSkills!DH3:DI6,2,FALSE)+IF(AND(Calculator!B8=TRUE,Backdoors!BI44=TRUE),VLOOKUP(Calculator!E23,tbSkills!DH3:DJ6,3,FALSE),0),0))&gt;=100,100,(Backdoors!AI12+IF(KC112&gt;=0.45,VLOOKUP(Calculator!E23,tbSkills!DH3:DI6,2,FALSE)+IF(AND(Calculator!B8=TRUE,Backdoors!BI44=TRUE),VLOOKUP(Calculator!E23,tbSkills!DH3:DJ6,3,FALSE),0),0)))/100)),1),1)</f>
        <v>0</v>
      </c>
      <c r="KI112" s="90">
        <f t="shared" si="92"/>
        <v>0</v>
      </c>
      <c r="KJ112" s="88" t="str">
        <f>IFERROR(IF(VLOOKUP(A112,tbMoveset!A2:B112,2,FALSE)="Sever",Backdoors!AY45/100,IF(VLOOKUP(A112,tbMoveset!A2:B112,2,FALSE)="Blunt",Backdoors!AZ45/100,Backdoors!BA45/100)),"")</f>
        <v/>
      </c>
      <c r="KK112" s="89">
        <f>IFERROR(IF(VLOOKUP(tbMoveset!A112,tbMoveset!A2:H112,8,FALSE)="Other",IF(VLOOKUP(tbMoveset!A112,tbMoveset!A2:I112,9,FALSE)="Fire",Backdoors!BB45,IF(VLOOKUP(tbMoveset!A112,tbMoveset!A2:I112,9,FALSE)="Water",Backdoors!BC45,IF(VLOOKUP(tbMoveset!A112,tbMoveset!A2:I112,9,FALSE)="Thunder",Backdoors!BD45,IF(VLOOKUP(tbMoveset!A112,tbMoveset!A2:I112,9,FALSE)="Ice",Backdoors!BE45,IF(VLOOKUP(tbMoveset!A112,tbMoveset!A2:I112,9,FALSE)="Dragon",Backdoors!BF45,Backdoors!BG45)))))/100,Backdoors!BG45/100),"")</f>
        <v>0</v>
      </c>
      <c r="KL112" s="89">
        <f>IFERROR(IF(VLOOKUP(A112,tbMoveset!A2:J112,10,FALSE)=TRUE,IF((Backdoors!AI12+IF(KJ112&gt;=0.45,VLOOKUP(Calculator!E23,tbSkills!DH3:DI6,2,FALSE)+IF(AND(Calculator!B8=TRUE,Backdoors!BI45=TRUE),VLOOKUP(Calculator!E23,tbSkills!DH3:DJ6,3,FALSE),0),0))&gt;=0,1+(Backdoors!AL2*(IF((Backdoors!AI12+IF(KJ112&gt;=0.45,VLOOKUP(Calculator!E23,tbSkills!DH3:DI6,2,FALSE)+IF(AND(Calculator!B8=TRUE,Backdoors!BI45=TRUE),VLOOKUP(Calculator!E23,tbSkills!DH3:DJ6,3,FALSE),0),0))&gt;=100,100,(Backdoors!AI12+IF(KJ112&gt;=0.45,VLOOKUP(Calculator!E23,tbSkills!DH3:DI6,2,FALSE)+IF(AND(Calculator!B8=TRUE,Backdoors!BI45=TRUE),VLOOKUP(Calculator!E23,tbSkills!DH3:DJ6,3,FALSE),0),0)))/100)),(1-(0.25*((-Backdoors!AI12-IF(KJ112&gt;=0.45,VLOOKUP(Calculator!E23,tbSkills!DH3:DI6,2,FALSE)+IF(AND(Calculator!B8=TRUE,Backdoors!BI45=TRUE),VLOOKUP(Calculator!E23,tbSkills!DH3:DJ6,3,FALSE),0),0))/100)))),1),"")</f>
        <v>1</v>
      </c>
      <c r="KM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KJ112)*KL112)*(VLOOKUP(A112,tbMoveset!A2:C112,3,FALSE)/100)*IF(VLOOKUP(A112,tbMoveset!A2:B112,2,FALSE)="Projectile",Backdoors!N10,Backdoors!N9),0),"")</f>
        <v/>
      </c>
      <c r="KN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REF!&gt;0,VLOOKUP(Calculator!#REF!,tbSkills!AC3:AD5,2,FALSE),Backdoors!AL3)*(IF((Backdoors!AI12+IF(KJ112&gt;=0.45,VLOOKUP(Calculator!E23,tbSkills!DH3:DI6,2,FALSE)+IF(AND(Calculator!B8=TRUE,Backdoors!BI45=TRUE),VLOOKUP(Calculator!E23,tbSkills!DH3:DJ6,3,FALSE),0),0))&gt;=100,100,(Backdoors!AI12+IF(KJ112&gt;=0.45,VLOOKUP(Calculator!E23,tbSkills!DH3:DI6,2,FALSE)+IF(AND(Calculator!B8=TRUE,Backdoors!BI45=TRUE),VLOOKUP(Calculator!E23,tbSkills!DH3:DJ6,3,FALSE),0),0)))/100)),1))*IF(VLOOKUP(A112,tbMoveset!A2:K112,11,FALSE)=TRUE,Backdoors!AC5,1))*KK112,0),"")</f>
        <v/>
      </c>
      <c r="KO112" s="89">
        <f>VLOOKUP(A112,tbMoveset!A2:G112,7,FALSE)*IFERROR(IF(Backdoors!AI12&gt;=0,1+(IF(Calculator!E40&gt;0,VLOOKUP(Calculator!E40,tbSkills!AI3:AJ5,2,FALSE),Backdoors!AL4)*(IF((Backdoors!AI12+IF(KJ112&gt;=0.45,VLOOKUP(Calculator!E23,tbSkills!DH3:DI6,2,FALSE)+IF(AND(Calculator!B8=TRUE,Backdoors!BI45=TRUE),VLOOKUP(Calculator!E23,tbSkills!DH3:DJ6,3,FALSE),0),0))&gt;=100,100,(Backdoors!AI12+IF(KJ112&gt;=0.45,VLOOKUP(Calculator!E23,tbSkills!DH3:DI6,2,FALSE)+IF(AND(Calculator!B8=TRUE,Backdoors!BI45=TRUE),VLOOKUP(Calculator!E23,tbSkills!DH3:DJ6,3,FALSE),0),0)))/100)),1),1)</f>
        <v>0</v>
      </c>
      <c r="KP112" s="90">
        <f t="shared" si="93"/>
        <v>0</v>
      </c>
      <c r="KQ112" s="88" t="str">
        <f>IFERROR(IF(VLOOKUP(A112,tbMoveset!A2:B112,2,FALSE)="Sever",Backdoors!AY46/100,IF(VLOOKUP(A112,tbMoveset!A2:B112,2,FALSE)="Blunt",Backdoors!AZ46/100,Backdoors!BA46/100)),"")</f>
        <v/>
      </c>
      <c r="KR112" s="89">
        <f>IFERROR(IF(VLOOKUP(tbMoveset!A112,tbMoveset!A2:H112,8,FALSE)="Other",IF(VLOOKUP(tbMoveset!A112,tbMoveset!A2:I112,9,FALSE)="Fire",Backdoors!BB46,IF(VLOOKUP(tbMoveset!A112,tbMoveset!A2:I112,9,FALSE)="Water",Backdoors!BC46,IF(VLOOKUP(tbMoveset!A112,tbMoveset!A2:I112,9,FALSE)="Thunder",Backdoors!BD46,IF(VLOOKUP(tbMoveset!A112,tbMoveset!A2:I112,9,FALSE)="Ice",Backdoors!BE46,IF(VLOOKUP(tbMoveset!A112,tbMoveset!A2:I112,9,FALSE)="Dragon",Backdoors!BF46,Backdoors!BG46)))))/100,Backdoors!BG46/100),"")</f>
        <v>0</v>
      </c>
      <c r="KS112" s="89">
        <f>IFERROR(IF(VLOOKUP(A112,tbMoveset!A2:J112,10,FALSE)=TRUE,IF((Backdoors!AI12+IF(KQ112&gt;=0.45,VLOOKUP(Calculator!E23,tbSkills!DH3:DI6,2,FALSE)+IF(AND(Calculator!B8=TRUE,Backdoors!BI46=TRUE),VLOOKUP(Calculator!E23,tbSkills!DH3:DJ6,3,FALSE),0),0))&gt;=0,1+(Backdoors!AL2*(IF((Backdoors!AI12+IF(KQ112&gt;=0.45,VLOOKUP(Calculator!E23,tbSkills!DH3:DI6,2,FALSE)+IF(AND(Calculator!B8=TRUE,Backdoors!BI46=TRUE),VLOOKUP(Calculator!E23,tbSkills!DH3:DJ6,3,FALSE),0),0))&gt;=100,100,(Backdoors!AI12+IF(KQ112&gt;=0.45,VLOOKUP(Calculator!E23,tbSkills!DH3:DI6,2,FALSE)+IF(AND(Calculator!B8=TRUE,Backdoors!BI46=TRUE),VLOOKUP(Calculator!E23,tbSkills!DH3:DJ6,3,FALSE),0),0)))/100)),(1-(0.25*((-Backdoors!AI12-IF(KQ112&gt;=0.45,VLOOKUP(Calculator!E23,tbSkills!DH3:DI6,2,FALSE)+IF(AND(Calculator!B8=TRUE,Backdoors!BI46=TRUE),VLOOKUP(Calculator!E23,tbSkills!DH3:DJ6,3,FALSE),0),0))/100)))),1),"")</f>
        <v>1</v>
      </c>
      <c r="KT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KQ112)*KS112)*(VLOOKUP(A112,tbMoveset!A2:C112,3,FALSE)/100)*IF(VLOOKUP(A112,tbMoveset!A2:B112,2,FALSE)="Projectile",Backdoors!N10,Backdoors!N9),0),"")</f>
        <v/>
      </c>
      <c r="KU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REF!&gt;0,VLOOKUP(Calculator!#REF!,tbSkills!AC3:AD5,2,FALSE),Backdoors!AL3)*(IF((Backdoors!AI12+IF(KQ112&gt;=0.45,VLOOKUP(Calculator!E23,tbSkills!DH3:DI6,2,FALSE)+IF(AND(Calculator!B8=TRUE,Backdoors!BI46=TRUE),VLOOKUP(Calculator!E23,tbSkills!DH3:DJ6,3,FALSE),0),0))&gt;=100,100,(Backdoors!AI12+IF(KQ112&gt;=0.45,VLOOKUP(Calculator!E23,tbSkills!DH3:DI6,2,FALSE)+IF(AND(Calculator!B8=TRUE,Backdoors!BI46=TRUE),VLOOKUP(Calculator!E23,tbSkills!DH3:DJ6,3,FALSE),0),0)))/100)),1))*IF(VLOOKUP(A112,tbMoveset!A2:K112,11,FALSE)=TRUE,Backdoors!AC5,1))*KR112,0),"")</f>
        <v/>
      </c>
      <c r="KV112" s="89">
        <f>VLOOKUP(A112,tbMoveset!A2:G112,7,FALSE)*IFERROR(IF(Backdoors!AI12&gt;=0,1+(IF(Calculator!E40&gt;0,VLOOKUP(Calculator!E40,tbSkills!AI3:AJ5,2,FALSE),Backdoors!AL4)*(IF((Backdoors!AI12+IF(KQ112&gt;=0.45,VLOOKUP(Calculator!E23,tbSkills!DH3:DI6,2,FALSE)+IF(AND(Calculator!B8=TRUE,Backdoors!BI46=TRUE),VLOOKUP(Calculator!E23,tbSkills!DH3:DJ6,3,FALSE),0),0))&gt;=100,100,(Backdoors!AI12+IF(KQ112&gt;=0.45,VLOOKUP(Calculator!E23,tbSkills!DH3:DI6,2,FALSE)+IF(AND(Calculator!B8=TRUE,Backdoors!BI46=TRUE),VLOOKUP(Calculator!E23,tbSkills!DH3:DJ6,3,FALSE),0),0)))/100)),1),1)</f>
        <v>0</v>
      </c>
      <c r="KW112" s="90">
        <f t="shared" si="94"/>
        <v>0</v>
      </c>
    </row>
    <row r="113" spans="44:44" x14ac:dyDescent="0.25">
      <c r="AR113" s="49"/>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03A5B-0038-4013-8BE1-F901CA63D75E}">
  <sheetPr codeName="Sheet13"/>
  <dimension ref="A1:DI73"/>
  <sheetViews>
    <sheetView topLeftCell="BL52" workbookViewId="0">
      <selection activeCell="BT79" sqref="BT79"/>
    </sheetView>
  </sheetViews>
  <sheetFormatPr defaultRowHeight="15" x14ac:dyDescent="0.25"/>
  <cols>
    <col min="1" max="1" width="26" bestFit="1" customWidth="1"/>
    <col min="2" max="30" width="5" bestFit="1" customWidth="1"/>
    <col min="31" max="32" width="4" bestFit="1" customWidth="1"/>
    <col min="33" max="33" width="5" bestFit="1" customWidth="1"/>
    <col min="34" max="35" width="4" bestFit="1" customWidth="1"/>
    <col min="36" max="36" width="5" bestFit="1" customWidth="1"/>
    <col min="37" max="38" width="4" bestFit="1" customWidth="1"/>
    <col min="39" max="39" width="5" bestFit="1" customWidth="1"/>
    <col min="40" max="43" width="4" bestFit="1" customWidth="1"/>
    <col min="44" max="45" width="5" bestFit="1" customWidth="1"/>
    <col min="46" max="46" width="24.7109375" bestFit="1" customWidth="1"/>
  </cols>
  <sheetData>
    <row r="1" spans="1:113" x14ac:dyDescent="0.25">
      <c r="A1" s="6" t="s">
        <v>620</v>
      </c>
      <c r="B1" s="6">
        <v>1</v>
      </c>
      <c r="C1" s="6">
        <v>0</v>
      </c>
      <c r="D1" s="6">
        <v>0</v>
      </c>
      <c r="E1" s="6">
        <v>0</v>
      </c>
      <c r="F1" s="6">
        <v>0</v>
      </c>
      <c r="G1" s="6">
        <v>0</v>
      </c>
      <c r="H1" s="6">
        <v>0</v>
      </c>
      <c r="I1" s="6">
        <v>0</v>
      </c>
      <c r="J1" s="6">
        <v>0</v>
      </c>
      <c r="K1" s="6">
        <v>0</v>
      </c>
      <c r="L1" s="6">
        <v>0</v>
      </c>
      <c r="M1" s="6">
        <v>0</v>
      </c>
      <c r="N1" s="6">
        <v>0</v>
      </c>
      <c r="O1" s="6">
        <v>0</v>
      </c>
      <c r="P1" s="6">
        <v>0</v>
      </c>
      <c r="Q1" s="6">
        <v>0</v>
      </c>
      <c r="R1" s="6">
        <v>0</v>
      </c>
      <c r="S1" s="6">
        <v>0</v>
      </c>
      <c r="T1" s="6">
        <v>0</v>
      </c>
      <c r="U1" s="6">
        <v>0</v>
      </c>
      <c r="V1" s="6">
        <v>0</v>
      </c>
      <c r="W1" s="6">
        <v>0</v>
      </c>
      <c r="X1" s="6">
        <v>0</v>
      </c>
      <c r="Y1" s="6">
        <v>0</v>
      </c>
      <c r="Z1" s="6">
        <v>0</v>
      </c>
      <c r="AA1" s="6">
        <v>0</v>
      </c>
      <c r="AB1" s="6">
        <v>0</v>
      </c>
      <c r="AC1" s="6">
        <v>0</v>
      </c>
      <c r="AD1" s="6">
        <v>0</v>
      </c>
      <c r="AE1" s="6">
        <v>0</v>
      </c>
      <c r="AF1" s="6">
        <v>0</v>
      </c>
      <c r="AG1" s="6">
        <v>0</v>
      </c>
      <c r="AH1" s="6">
        <v>0</v>
      </c>
      <c r="AI1" s="6">
        <v>0</v>
      </c>
      <c r="AJ1" s="6">
        <v>0</v>
      </c>
      <c r="AK1" s="6">
        <v>0</v>
      </c>
      <c r="AL1" s="6">
        <v>0</v>
      </c>
      <c r="AM1" s="6">
        <v>0</v>
      </c>
      <c r="AN1" s="6">
        <v>0</v>
      </c>
      <c r="AO1" s="6">
        <v>0</v>
      </c>
      <c r="AP1" s="6">
        <v>0</v>
      </c>
      <c r="AQ1" s="6">
        <v>0</v>
      </c>
      <c r="AR1" s="6">
        <v>0</v>
      </c>
      <c r="AS1" s="6">
        <v>0</v>
      </c>
      <c r="AT1" s="6" t="s">
        <v>862</v>
      </c>
      <c r="AU1" s="6" t="s">
        <v>862</v>
      </c>
      <c r="AV1" s="6" t="s">
        <v>862</v>
      </c>
      <c r="AW1" s="6" t="s">
        <v>862</v>
      </c>
      <c r="AX1" s="6">
        <v>0</v>
      </c>
      <c r="AY1" s="6" t="b">
        <v>0</v>
      </c>
      <c r="AZ1" s="6">
        <v>0</v>
      </c>
      <c r="BA1" s="6" t="b">
        <v>0</v>
      </c>
      <c r="BB1" s="6">
        <v>0</v>
      </c>
      <c r="BC1" s="6">
        <v>0</v>
      </c>
      <c r="BD1" s="6">
        <v>0</v>
      </c>
      <c r="BE1" s="6">
        <v>0</v>
      </c>
      <c r="BF1" s="6">
        <v>0</v>
      </c>
      <c r="BG1" s="6" t="s">
        <v>1564</v>
      </c>
      <c r="BH1" s="6">
        <v>0</v>
      </c>
      <c r="BI1" s="6">
        <v>0</v>
      </c>
      <c r="BJ1" s="6">
        <v>0</v>
      </c>
      <c r="BK1" s="6">
        <v>0</v>
      </c>
      <c r="BL1" s="6" t="b">
        <v>0</v>
      </c>
      <c r="BM1" s="6">
        <v>0</v>
      </c>
      <c r="BN1" s="6">
        <v>0</v>
      </c>
      <c r="BO1" s="6">
        <v>0</v>
      </c>
      <c r="BP1" s="6">
        <v>0</v>
      </c>
      <c r="BQ1" s="6">
        <v>0</v>
      </c>
      <c r="BR1" s="6">
        <v>0</v>
      </c>
      <c r="BS1" s="6">
        <v>0</v>
      </c>
      <c r="BT1" s="6">
        <v>0</v>
      </c>
      <c r="BU1" s="6">
        <v>0</v>
      </c>
      <c r="BV1" s="6">
        <v>0</v>
      </c>
      <c r="BW1" s="6">
        <v>0</v>
      </c>
      <c r="BX1" s="6">
        <v>0</v>
      </c>
      <c r="BY1" s="6">
        <v>0</v>
      </c>
      <c r="BZ1" s="6">
        <v>0</v>
      </c>
      <c r="CA1" s="6">
        <v>0</v>
      </c>
      <c r="CB1" s="6">
        <v>0</v>
      </c>
      <c r="CC1" s="6" t="b">
        <v>0</v>
      </c>
      <c r="CD1" s="6">
        <v>0</v>
      </c>
      <c r="CE1" s="6" t="b">
        <v>0</v>
      </c>
      <c r="CF1" s="6">
        <v>0</v>
      </c>
      <c r="CG1" s="6">
        <v>0</v>
      </c>
      <c r="CH1" s="6">
        <v>0</v>
      </c>
      <c r="CI1" s="6">
        <v>0</v>
      </c>
      <c r="CJ1" s="6" t="b">
        <v>0</v>
      </c>
      <c r="CK1" s="6" t="b">
        <v>0</v>
      </c>
      <c r="CL1" s="6">
        <v>0</v>
      </c>
      <c r="CM1" s="6" t="b">
        <v>0</v>
      </c>
      <c r="CN1" s="6"/>
      <c r="CO1" s="6"/>
      <c r="CP1" s="6"/>
      <c r="CQ1" s="6"/>
      <c r="CR1" s="6"/>
      <c r="CS1" s="6"/>
      <c r="CT1" s="6"/>
      <c r="CU1" s="6"/>
      <c r="CV1" s="6"/>
      <c r="CW1" s="6"/>
      <c r="CX1" s="6"/>
      <c r="CY1" s="6"/>
      <c r="CZ1" s="6"/>
      <c r="DA1" s="6"/>
      <c r="DB1" s="6"/>
      <c r="DC1" s="6"/>
      <c r="DD1" s="6"/>
      <c r="DE1" s="6"/>
      <c r="DF1" s="6"/>
      <c r="DG1" s="6"/>
      <c r="DH1" s="6"/>
      <c r="DI1" s="6"/>
    </row>
    <row r="2" spans="1:113" x14ac:dyDescent="0.25">
      <c r="A2" s="6" t="s">
        <v>184</v>
      </c>
      <c r="B2" s="6">
        <v>1</v>
      </c>
      <c r="C2" s="6">
        <v>0</v>
      </c>
      <c r="D2" s="6">
        <v>0</v>
      </c>
      <c r="E2" s="6">
        <v>0</v>
      </c>
      <c r="F2" s="6">
        <v>0</v>
      </c>
      <c r="G2" s="6">
        <v>0</v>
      </c>
      <c r="H2" s="6">
        <v>0</v>
      </c>
      <c r="I2" s="6">
        <v>0</v>
      </c>
      <c r="J2" s="6">
        <v>0</v>
      </c>
      <c r="K2" s="6">
        <v>0</v>
      </c>
      <c r="L2" s="6">
        <v>0</v>
      </c>
      <c r="M2" s="6">
        <v>0</v>
      </c>
      <c r="N2" s="6">
        <v>0</v>
      </c>
      <c r="O2" s="6">
        <v>0</v>
      </c>
      <c r="P2" s="6">
        <v>0</v>
      </c>
      <c r="Q2" s="6">
        <v>0</v>
      </c>
      <c r="R2" s="6">
        <v>0</v>
      </c>
      <c r="S2" s="6">
        <v>0</v>
      </c>
      <c r="T2" s="6">
        <v>0</v>
      </c>
      <c r="U2" s="6">
        <v>0</v>
      </c>
      <c r="V2" s="6">
        <v>0</v>
      </c>
      <c r="W2" s="6">
        <v>0</v>
      </c>
      <c r="X2" s="6">
        <v>0</v>
      </c>
      <c r="Y2" s="6">
        <v>0</v>
      </c>
      <c r="Z2" s="6">
        <v>0</v>
      </c>
      <c r="AA2" s="6">
        <v>0</v>
      </c>
      <c r="AB2" s="6">
        <v>0</v>
      </c>
      <c r="AC2" s="6">
        <v>0</v>
      </c>
      <c r="AD2" s="6">
        <v>0</v>
      </c>
      <c r="AE2" s="6">
        <v>0</v>
      </c>
      <c r="AF2" s="6">
        <v>0</v>
      </c>
      <c r="AG2" s="6">
        <v>0</v>
      </c>
      <c r="AH2" s="6">
        <v>0</v>
      </c>
      <c r="AI2" s="6">
        <v>0</v>
      </c>
      <c r="AJ2" s="6">
        <v>0</v>
      </c>
      <c r="AK2" s="6">
        <v>0</v>
      </c>
      <c r="AL2" s="6">
        <v>0</v>
      </c>
      <c r="AM2" s="6">
        <v>0</v>
      </c>
      <c r="AN2" s="6">
        <v>0</v>
      </c>
      <c r="AO2" s="6">
        <v>0</v>
      </c>
      <c r="AP2" s="6">
        <v>0</v>
      </c>
      <c r="AQ2" s="6">
        <v>0</v>
      </c>
      <c r="AR2" s="6">
        <v>0</v>
      </c>
      <c r="AS2" s="6">
        <v>0</v>
      </c>
      <c r="AT2" s="6" t="s">
        <v>862</v>
      </c>
      <c r="AU2" s="6" t="s">
        <v>862</v>
      </c>
      <c r="AV2" s="6" t="s">
        <v>862</v>
      </c>
      <c r="AW2" s="6" t="s">
        <v>862</v>
      </c>
      <c r="AX2" s="6">
        <v>0</v>
      </c>
      <c r="AY2" s="6" t="b">
        <v>0</v>
      </c>
      <c r="AZ2" s="6">
        <v>0</v>
      </c>
      <c r="BA2" s="6" t="b">
        <v>0</v>
      </c>
      <c r="BB2" s="6">
        <v>0</v>
      </c>
      <c r="BC2" s="6">
        <v>0</v>
      </c>
      <c r="BD2" s="6">
        <v>0</v>
      </c>
      <c r="BE2" s="6">
        <v>0</v>
      </c>
      <c r="BF2" s="6">
        <v>0</v>
      </c>
      <c r="BG2" s="6" t="s">
        <v>1564</v>
      </c>
      <c r="BH2" s="6">
        <v>0</v>
      </c>
      <c r="BI2" s="6">
        <v>0</v>
      </c>
      <c r="BJ2" s="6">
        <v>0</v>
      </c>
      <c r="BK2" s="6">
        <v>0</v>
      </c>
      <c r="BL2" s="6" t="b">
        <v>0</v>
      </c>
      <c r="BM2" s="6">
        <v>0</v>
      </c>
      <c r="BN2" s="6">
        <v>0</v>
      </c>
      <c r="BO2" s="6">
        <v>0</v>
      </c>
      <c r="BP2" s="6">
        <v>0</v>
      </c>
      <c r="BQ2" s="6">
        <v>0</v>
      </c>
      <c r="BR2" s="6">
        <v>0</v>
      </c>
      <c r="BS2" s="6">
        <v>0</v>
      </c>
      <c r="BT2" s="6">
        <v>0</v>
      </c>
      <c r="BU2" s="6">
        <v>0</v>
      </c>
      <c r="BV2" s="6">
        <v>0</v>
      </c>
      <c r="BW2" s="6">
        <v>0</v>
      </c>
      <c r="BX2" s="6">
        <v>0</v>
      </c>
      <c r="BY2" s="6">
        <v>0</v>
      </c>
      <c r="BZ2" s="6">
        <v>0</v>
      </c>
      <c r="CA2" s="6">
        <v>0</v>
      </c>
      <c r="CB2" s="6">
        <v>0</v>
      </c>
      <c r="CC2" s="6" t="b">
        <v>0</v>
      </c>
      <c r="CD2" s="6">
        <v>0</v>
      </c>
      <c r="CE2" s="6" t="b">
        <v>0</v>
      </c>
      <c r="CF2" s="6">
        <v>0</v>
      </c>
      <c r="CG2" s="6">
        <v>0</v>
      </c>
      <c r="CH2" s="6">
        <v>0</v>
      </c>
      <c r="CI2" s="6">
        <v>0</v>
      </c>
      <c r="CJ2" s="6" t="b">
        <v>0</v>
      </c>
      <c r="CK2" s="6" t="b">
        <v>0</v>
      </c>
      <c r="CL2" s="6">
        <v>0</v>
      </c>
      <c r="CM2" s="6" t="b">
        <v>0</v>
      </c>
      <c r="CN2" s="6"/>
      <c r="CO2" s="6"/>
      <c r="CP2" s="6"/>
      <c r="CQ2" s="6"/>
      <c r="CR2" s="6"/>
      <c r="CS2" s="6"/>
      <c r="CT2" s="6"/>
      <c r="CU2" s="6"/>
      <c r="CV2" s="6"/>
      <c r="CW2" s="6"/>
      <c r="CX2" s="6"/>
      <c r="CY2" s="6"/>
      <c r="CZ2" s="6"/>
      <c r="DA2" s="6"/>
      <c r="DB2" s="6"/>
      <c r="DC2" s="6"/>
      <c r="DD2" s="6"/>
      <c r="DE2" s="6"/>
      <c r="DF2" s="6"/>
      <c r="DG2" s="6"/>
      <c r="DH2" s="6"/>
      <c r="DI2" s="6"/>
    </row>
    <row r="3" spans="1:113" x14ac:dyDescent="0.25">
      <c r="A3" s="6" t="s">
        <v>514</v>
      </c>
      <c r="B3" s="6">
        <v>1</v>
      </c>
      <c r="C3" s="6">
        <v>0</v>
      </c>
      <c r="D3" s="6">
        <v>0</v>
      </c>
      <c r="E3" s="6">
        <v>0</v>
      </c>
      <c r="F3" s="6">
        <v>0</v>
      </c>
      <c r="G3" s="6">
        <v>0</v>
      </c>
      <c r="H3" s="6">
        <v>0</v>
      </c>
      <c r="I3" s="6">
        <v>0</v>
      </c>
      <c r="J3" s="6">
        <v>0</v>
      </c>
      <c r="K3" s="6">
        <v>0</v>
      </c>
      <c r="L3" s="6">
        <v>0</v>
      </c>
      <c r="M3" s="6">
        <v>0</v>
      </c>
      <c r="N3" s="6">
        <v>0</v>
      </c>
      <c r="O3" s="6">
        <v>0</v>
      </c>
      <c r="P3" s="6">
        <v>0</v>
      </c>
      <c r="Q3" s="6">
        <v>0</v>
      </c>
      <c r="R3" s="6">
        <v>0</v>
      </c>
      <c r="S3" s="6">
        <v>0</v>
      </c>
      <c r="T3" s="6">
        <v>0</v>
      </c>
      <c r="U3" s="6">
        <v>0</v>
      </c>
      <c r="V3" s="6">
        <v>0</v>
      </c>
      <c r="W3" s="6">
        <v>0</v>
      </c>
      <c r="X3" s="6">
        <v>0</v>
      </c>
      <c r="Y3" s="6">
        <v>0</v>
      </c>
      <c r="Z3" s="6">
        <v>0</v>
      </c>
      <c r="AA3" s="6">
        <v>0</v>
      </c>
      <c r="AB3" s="6">
        <v>0</v>
      </c>
      <c r="AC3" s="6">
        <v>0</v>
      </c>
      <c r="AD3" s="6">
        <v>0</v>
      </c>
      <c r="AE3" s="6">
        <v>0</v>
      </c>
      <c r="AF3" s="6">
        <v>0</v>
      </c>
      <c r="AG3" s="6">
        <v>0</v>
      </c>
      <c r="AH3" s="6">
        <v>0</v>
      </c>
      <c r="AI3" s="6">
        <v>0</v>
      </c>
      <c r="AJ3" s="6">
        <v>0</v>
      </c>
      <c r="AK3" s="6">
        <v>0</v>
      </c>
      <c r="AL3" s="6">
        <v>0</v>
      </c>
      <c r="AM3" s="6">
        <v>0</v>
      </c>
      <c r="AN3" s="6">
        <v>0</v>
      </c>
      <c r="AO3" s="6">
        <v>0</v>
      </c>
      <c r="AP3" s="6">
        <v>0</v>
      </c>
      <c r="AQ3" s="6">
        <v>0</v>
      </c>
      <c r="AR3" s="6">
        <v>0</v>
      </c>
      <c r="AS3" s="6">
        <v>0</v>
      </c>
      <c r="AT3" s="6" t="s">
        <v>862</v>
      </c>
      <c r="AU3" s="6" t="s">
        <v>862</v>
      </c>
      <c r="AV3" s="6" t="s">
        <v>862</v>
      </c>
      <c r="AW3" s="6" t="s">
        <v>862</v>
      </c>
      <c r="AX3" s="6">
        <v>0</v>
      </c>
      <c r="AY3" s="6" t="b">
        <v>0</v>
      </c>
      <c r="AZ3" s="6">
        <v>0</v>
      </c>
      <c r="BA3" s="6" t="b">
        <v>0</v>
      </c>
      <c r="BB3" s="6">
        <v>0</v>
      </c>
      <c r="BC3" s="6">
        <v>0</v>
      </c>
      <c r="BD3" s="6">
        <v>0</v>
      </c>
      <c r="BE3" s="6">
        <v>0</v>
      </c>
      <c r="BF3" s="6">
        <v>0</v>
      </c>
      <c r="BG3" s="6" t="s">
        <v>1564</v>
      </c>
      <c r="BH3" s="6">
        <v>0</v>
      </c>
      <c r="BI3" s="6">
        <v>0</v>
      </c>
      <c r="BJ3" s="6">
        <v>0</v>
      </c>
      <c r="BK3" s="6">
        <v>0</v>
      </c>
      <c r="BL3" s="6" t="b">
        <v>0</v>
      </c>
      <c r="BM3" s="6">
        <v>0</v>
      </c>
      <c r="BN3" s="6">
        <v>0</v>
      </c>
      <c r="BO3" s="6">
        <v>0</v>
      </c>
      <c r="BP3" s="6">
        <v>0</v>
      </c>
      <c r="BQ3" s="6">
        <v>0</v>
      </c>
      <c r="BR3" s="6">
        <v>0</v>
      </c>
      <c r="BS3" s="6">
        <v>0</v>
      </c>
      <c r="BT3" s="6">
        <v>0</v>
      </c>
      <c r="BU3" s="6">
        <v>0</v>
      </c>
      <c r="BV3" s="6">
        <v>0</v>
      </c>
      <c r="BW3" s="6">
        <v>0</v>
      </c>
      <c r="BX3" s="6">
        <v>0</v>
      </c>
      <c r="BY3" s="6">
        <v>0</v>
      </c>
      <c r="BZ3" s="6">
        <v>0</v>
      </c>
      <c r="CA3" s="6">
        <v>0</v>
      </c>
      <c r="CB3" s="6">
        <v>0</v>
      </c>
      <c r="CC3" s="6" t="b">
        <v>0</v>
      </c>
      <c r="CD3" s="6">
        <v>0</v>
      </c>
      <c r="CE3" s="6" t="b">
        <v>0</v>
      </c>
      <c r="CF3" s="6">
        <v>0</v>
      </c>
      <c r="CG3" s="6">
        <v>0</v>
      </c>
      <c r="CH3" s="6">
        <v>0</v>
      </c>
      <c r="CI3" s="6">
        <v>0</v>
      </c>
      <c r="CJ3" s="6" t="b">
        <v>0</v>
      </c>
      <c r="CK3" s="6" t="b">
        <v>0</v>
      </c>
      <c r="CL3" s="6">
        <v>0</v>
      </c>
      <c r="CM3" s="6" t="b">
        <v>0</v>
      </c>
      <c r="CN3" s="6"/>
      <c r="CO3" s="6"/>
      <c r="CP3" s="6"/>
      <c r="CQ3" s="6"/>
      <c r="CR3" s="6"/>
      <c r="CS3" s="6"/>
      <c r="CT3" s="6"/>
      <c r="CU3" s="6"/>
      <c r="CV3" s="6"/>
      <c r="CW3" s="6"/>
      <c r="CX3" s="6"/>
      <c r="CY3" s="6"/>
      <c r="CZ3" s="6"/>
      <c r="DA3" s="6"/>
      <c r="DB3" s="6"/>
      <c r="DC3" s="6"/>
      <c r="DD3" s="6"/>
      <c r="DE3" s="6"/>
      <c r="DF3" s="6"/>
      <c r="DG3" s="6"/>
      <c r="DH3" s="6"/>
      <c r="DI3" s="6"/>
    </row>
    <row r="4" spans="1:113" x14ac:dyDescent="0.25">
      <c r="A4" s="6" t="s">
        <v>516</v>
      </c>
      <c r="B4" s="6">
        <v>1</v>
      </c>
      <c r="C4" s="6">
        <v>0</v>
      </c>
      <c r="D4" s="6">
        <v>0</v>
      </c>
      <c r="E4" s="6">
        <v>0</v>
      </c>
      <c r="F4" s="6">
        <v>0</v>
      </c>
      <c r="G4" s="6">
        <v>0</v>
      </c>
      <c r="H4" s="6">
        <v>0</v>
      </c>
      <c r="I4" s="6">
        <v>0</v>
      </c>
      <c r="J4" s="6">
        <v>0</v>
      </c>
      <c r="K4" s="6">
        <v>0</v>
      </c>
      <c r="L4" s="6">
        <v>0</v>
      </c>
      <c r="M4" s="6">
        <v>0</v>
      </c>
      <c r="N4" s="6">
        <v>0</v>
      </c>
      <c r="O4" s="6">
        <v>0</v>
      </c>
      <c r="P4" s="6">
        <v>0</v>
      </c>
      <c r="Q4" s="6">
        <v>0</v>
      </c>
      <c r="R4" s="6">
        <v>0</v>
      </c>
      <c r="S4" s="6">
        <v>0</v>
      </c>
      <c r="T4" s="6">
        <v>0</v>
      </c>
      <c r="U4" s="6">
        <v>0</v>
      </c>
      <c r="V4" s="6">
        <v>0</v>
      </c>
      <c r="W4" s="6">
        <v>0</v>
      </c>
      <c r="X4" s="6">
        <v>0</v>
      </c>
      <c r="Y4" s="6">
        <v>0</v>
      </c>
      <c r="Z4" s="6">
        <v>0</v>
      </c>
      <c r="AA4" s="6">
        <v>0</v>
      </c>
      <c r="AB4" s="6">
        <v>0</v>
      </c>
      <c r="AC4" s="6">
        <v>0</v>
      </c>
      <c r="AD4" s="6">
        <v>0</v>
      </c>
      <c r="AE4" s="6">
        <v>0</v>
      </c>
      <c r="AF4" s="6">
        <v>0</v>
      </c>
      <c r="AG4" s="6">
        <v>0</v>
      </c>
      <c r="AH4" s="6">
        <v>0</v>
      </c>
      <c r="AI4" s="6">
        <v>0</v>
      </c>
      <c r="AJ4" s="6">
        <v>0</v>
      </c>
      <c r="AK4" s="6">
        <v>0</v>
      </c>
      <c r="AL4" s="6">
        <v>0</v>
      </c>
      <c r="AM4" s="6">
        <v>0</v>
      </c>
      <c r="AN4" s="6">
        <v>0</v>
      </c>
      <c r="AO4" s="6">
        <v>0</v>
      </c>
      <c r="AP4" s="6">
        <v>0</v>
      </c>
      <c r="AQ4" s="6">
        <v>0</v>
      </c>
      <c r="AR4" s="6">
        <v>0</v>
      </c>
      <c r="AS4" s="6">
        <v>0</v>
      </c>
      <c r="AT4" s="6" t="s">
        <v>862</v>
      </c>
      <c r="AU4" s="6" t="s">
        <v>862</v>
      </c>
      <c r="AV4" s="6" t="s">
        <v>862</v>
      </c>
      <c r="AW4" s="6" t="s">
        <v>862</v>
      </c>
      <c r="AX4" s="6">
        <v>0</v>
      </c>
      <c r="AY4" s="6" t="b">
        <v>0</v>
      </c>
      <c r="AZ4" s="6">
        <v>0</v>
      </c>
      <c r="BA4" s="6" t="b">
        <v>0</v>
      </c>
      <c r="BB4" s="6">
        <v>0</v>
      </c>
      <c r="BC4" s="6">
        <v>0</v>
      </c>
      <c r="BD4" s="6">
        <v>0</v>
      </c>
      <c r="BE4" s="6">
        <v>0</v>
      </c>
      <c r="BF4" s="6">
        <v>0</v>
      </c>
      <c r="BG4" s="6" t="s">
        <v>1564</v>
      </c>
      <c r="BH4" s="6">
        <v>0</v>
      </c>
      <c r="BI4" s="6">
        <v>0</v>
      </c>
      <c r="BJ4" s="6">
        <v>0</v>
      </c>
      <c r="BK4" s="6">
        <v>0</v>
      </c>
      <c r="BL4" s="6" t="b">
        <v>0</v>
      </c>
      <c r="BM4" s="6">
        <v>0</v>
      </c>
      <c r="BN4" s="6">
        <v>0</v>
      </c>
      <c r="BO4" s="6">
        <v>0</v>
      </c>
      <c r="BP4" s="6">
        <v>0</v>
      </c>
      <c r="BQ4" s="6">
        <v>0</v>
      </c>
      <c r="BR4" s="6">
        <v>0</v>
      </c>
      <c r="BS4" s="6">
        <v>0</v>
      </c>
      <c r="BT4" s="6">
        <v>0</v>
      </c>
      <c r="BU4" s="6">
        <v>0</v>
      </c>
      <c r="BV4" s="6">
        <v>0</v>
      </c>
      <c r="BW4" s="6">
        <v>0</v>
      </c>
      <c r="BX4" s="6">
        <v>0</v>
      </c>
      <c r="BY4" s="6">
        <v>0</v>
      </c>
      <c r="BZ4" s="6">
        <v>0</v>
      </c>
      <c r="CA4" s="6">
        <v>0</v>
      </c>
      <c r="CB4" s="6">
        <v>0</v>
      </c>
      <c r="CC4" s="6" t="b">
        <v>0</v>
      </c>
      <c r="CD4" s="6">
        <v>0</v>
      </c>
      <c r="CE4" s="6" t="b">
        <v>0</v>
      </c>
      <c r="CF4" s="6">
        <v>0</v>
      </c>
      <c r="CG4" s="6">
        <v>0</v>
      </c>
      <c r="CH4" s="6">
        <v>0</v>
      </c>
      <c r="CI4" s="6">
        <v>0</v>
      </c>
      <c r="CJ4" s="6" t="b">
        <v>0</v>
      </c>
      <c r="CK4" s="6" t="b">
        <v>0</v>
      </c>
      <c r="CL4" s="6">
        <v>0</v>
      </c>
      <c r="CM4" s="6" t="b">
        <v>0</v>
      </c>
      <c r="CN4" s="6"/>
      <c r="CO4" s="6"/>
      <c r="CP4" s="6"/>
      <c r="CQ4" s="6"/>
      <c r="CR4" s="6"/>
      <c r="CS4" s="6"/>
      <c r="CT4" s="6"/>
      <c r="CU4" s="6"/>
      <c r="CV4" s="6"/>
      <c r="CW4" s="6"/>
      <c r="CX4" s="6"/>
      <c r="CY4" s="6"/>
      <c r="CZ4" s="6"/>
      <c r="DA4" s="6"/>
      <c r="DB4" s="6"/>
      <c r="DC4" s="6"/>
      <c r="DD4" s="6"/>
      <c r="DE4" s="6"/>
      <c r="DF4" s="6"/>
      <c r="DG4" s="6"/>
      <c r="DH4" s="6"/>
      <c r="DI4" s="6"/>
    </row>
    <row r="5" spans="1:113" x14ac:dyDescent="0.25">
      <c r="A5" s="6" t="s">
        <v>517</v>
      </c>
      <c r="B5" s="6">
        <v>1</v>
      </c>
      <c r="C5" s="6">
        <v>0</v>
      </c>
      <c r="D5" s="6">
        <v>0</v>
      </c>
      <c r="E5" s="6">
        <v>0</v>
      </c>
      <c r="F5" s="6">
        <v>0</v>
      </c>
      <c r="G5" s="6">
        <v>0</v>
      </c>
      <c r="H5" s="6">
        <v>0</v>
      </c>
      <c r="I5" s="6">
        <v>0</v>
      </c>
      <c r="J5" s="6">
        <v>0</v>
      </c>
      <c r="K5" s="6">
        <v>0</v>
      </c>
      <c r="L5" s="6">
        <v>0</v>
      </c>
      <c r="M5" s="6">
        <v>0</v>
      </c>
      <c r="N5" s="6">
        <v>0</v>
      </c>
      <c r="O5" s="6">
        <v>0</v>
      </c>
      <c r="P5" s="6">
        <v>0</v>
      </c>
      <c r="Q5" s="6">
        <v>0</v>
      </c>
      <c r="R5" s="6">
        <v>0</v>
      </c>
      <c r="S5" s="6">
        <v>0</v>
      </c>
      <c r="T5" s="6">
        <v>0</v>
      </c>
      <c r="U5" s="6">
        <v>0</v>
      </c>
      <c r="V5" s="6">
        <v>0</v>
      </c>
      <c r="W5" s="6">
        <v>0</v>
      </c>
      <c r="X5" s="6">
        <v>0</v>
      </c>
      <c r="Y5" s="6">
        <v>0</v>
      </c>
      <c r="Z5" s="6">
        <v>0</v>
      </c>
      <c r="AA5" s="6">
        <v>0</v>
      </c>
      <c r="AB5" s="6">
        <v>0</v>
      </c>
      <c r="AC5" s="6">
        <v>0</v>
      </c>
      <c r="AD5" s="6">
        <v>0</v>
      </c>
      <c r="AE5" s="6">
        <v>0</v>
      </c>
      <c r="AF5" s="6">
        <v>0</v>
      </c>
      <c r="AG5" s="6">
        <v>0</v>
      </c>
      <c r="AH5" s="6">
        <v>0</v>
      </c>
      <c r="AI5" s="6">
        <v>0</v>
      </c>
      <c r="AJ5" s="6">
        <v>0</v>
      </c>
      <c r="AK5" s="6">
        <v>0</v>
      </c>
      <c r="AL5" s="6">
        <v>0</v>
      </c>
      <c r="AM5" s="6">
        <v>0</v>
      </c>
      <c r="AN5" s="6">
        <v>0</v>
      </c>
      <c r="AO5" s="6">
        <v>0</v>
      </c>
      <c r="AP5" s="6">
        <v>0</v>
      </c>
      <c r="AQ5" s="6">
        <v>0</v>
      </c>
      <c r="AR5" s="6">
        <v>0</v>
      </c>
      <c r="AS5" s="6">
        <v>0</v>
      </c>
      <c r="AT5" s="6" t="s">
        <v>862</v>
      </c>
      <c r="AU5" s="6" t="s">
        <v>862</v>
      </c>
      <c r="AV5" s="6" t="s">
        <v>862</v>
      </c>
      <c r="AW5" s="6" t="s">
        <v>862</v>
      </c>
      <c r="AX5" s="6">
        <v>0</v>
      </c>
      <c r="AY5" s="6" t="b">
        <v>0</v>
      </c>
      <c r="AZ5" s="6">
        <v>0</v>
      </c>
      <c r="BA5" s="6" t="b">
        <v>0</v>
      </c>
      <c r="BB5" s="6">
        <v>0</v>
      </c>
      <c r="BC5" s="6">
        <v>0</v>
      </c>
      <c r="BD5" s="6">
        <v>0</v>
      </c>
      <c r="BE5" s="6">
        <v>0</v>
      </c>
      <c r="BF5" s="6">
        <v>0</v>
      </c>
      <c r="BG5" s="6" t="s">
        <v>1564</v>
      </c>
      <c r="BH5" s="6">
        <v>0</v>
      </c>
      <c r="BI5" s="6">
        <v>0</v>
      </c>
      <c r="BJ5" s="6">
        <v>0</v>
      </c>
      <c r="BK5" s="6">
        <v>0</v>
      </c>
      <c r="BL5" s="6" t="b">
        <v>0</v>
      </c>
      <c r="BM5" s="6">
        <v>0</v>
      </c>
      <c r="BN5" s="6">
        <v>0</v>
      </c>
      <c r="BO5" s="6">
        <v>0</v>
      </c>
      <c r="BP5" s="6">
        <v>0</v>
      </c>
      <c r="BQ5" s="6">
        <v>0</v>
      </c>
      <c r="BR5" s="6">
        <v>0</v>
      </c>
      <c r="BS5" s="6">
        <v>0</v>
      </c>
      <c r="BT5" s="6">
        <v>0</v>
      </c>
      <c r="BU5" s="6">
        <v>0</v>
      </c>
      <c r="BV5" s="6">
        <v>0</v>
      </c>
      <c r="BW5" s="6">
        <v>0</v>
      </c>
      <c r="BX5" s="6">
        <v>0</v>
      </c>
      <c r="BY5" s="6">
        <v>0</v>
      </c>
      <c r="BZ5" s="6">
        <v>0</v>
      </c>
      <c r="CA5" s="6">
        <v>0</v>
      </c>
      <c r="CB5" s="6">
        <v>0</v>
      </c>
      <c r="CC5" s="6" t="b">
        <v>0</v>
      </c>
      <c r="CD5" s="6">
        <v>0</v>
      </c>
      <c r="CE5" s="6" t="b">
        <v>0</v>
      </c>
      <c r="CF5" s="6">
        <v>0</v>
      </c>
      <c r="CG5" s="6">
        <v>0</v>
      </c>
      <c r="CH5" s="6">
        <v>0</v>
      </c>
      <c r="CI5" s="6">
        <v>0</v>
      </c>
      <c r="CJ5" s="6" t="b">
        <v>0</v>
      </c>
      <c r="CK5" s="6" t="b">
        <v>0</v>
      </c>
      <c r="CL5" s="6">
        <v>0</v>
      </c>
      <c r="CM5" s="6" t="b">
        <v>0</v>
      </c>
      <c r="CN5" s="6"/>
      <c r="CO5" s="6"/>
      <c r="CP5" s="6"/>
      <c r="CQ5" s="6"/>
      <c r="CR5" s="6"/>
      <c r="CS5" s="6"/>
      <c r="CT5" s="6"/>
      <c r="CU5" s="6"/>
      <c r="CV5" s="6"/>
      <c r="CW5" s="6"/>
      <c r="CX5" s="6"/>
      <c r="CY5" s="6"/>
      <c r="CZ5" s="6"/>
      <c r="DA5" s="6"/>
      <c r="DB5" s="6"/>
      <c r="DC5" s="6"/>
      <c r="DD5" s="6"/>
      <c r="DE5" s="6"/>
      <c r="DF5" s="6"/>
      <c r="DG5" s="6"/>
      <c r="DH5" s="6"/>
      <c r="DI5" s="6"/>
    </row>
    <row r="6" spans="1:113" x14ac:dyDescent="0.25">
      <c r="A6" s="6" t="s">
        <v>518</v>
      </c>
      <c r="B6" s="6">
        <v>1</v>
      </c>
      <c r="C6" s="6">
        <v>0</v>
      </c>
      <c r="D6" s="6">
        <v>0</v>
      </c>
      <c r="E6" s="6">
        <v>0</v>
      </c>
      <c r="F6" s="6">
        <v>0</v>
      </c>
      <c r="G6" s="6">
        <v>0</v>
      </c>
      <c r="H6" s="6">
        <v>0</v>
      </c>
      <c r="I6" s="6">
        <v>0</v>
      </c>
      <c r="J6" s="6">
        <v>0</v>
      </c>
      <c r="K6" s="6">
        <v>0</v>
      </c>
      <c r="L6" s="6">
        <v>0</v>
      </c>
      <c r="M6" s="6">
        <v>0</v>
      </c>
      <c r="N6" s="6">
        <v>0</v>
      </c>
      <c r="O6" s="6">
        <v>0</v>
      </c>
      <c r="P6" s="6">
        <v>0</v>
      </c>
      <c r="Q6" s="6">
        <v>0</v>
      </c>
      <c r="R6" s="6">
        <v>0</v>
      </c>
      <c r="S6" s="6">
        <v>0</v>
      </c>
      <c r="T6" s="6">
        <v>0</v>
      </c>
      <c r="U6" s="6">
        <v>0</v>
      </c>
      <c r="V6" s="6">
        <v>0</v>
      </c>
      <c r="W6" s="6">
        <v>0</v>
      </c>
      <c r="X6" s="6">
        <v>0</v>
      </c>
      <c r="Y6" s="6">
        <v>0</v>
      </c>
      <c r="Z6" s="6">
        <v>0</v>
      </c>
      <c r="AA6" s="6">
        <v>0</v>
      </c>
      <c r="AB6" s="6">
        <v>0</v>
      </c>
      <c r="AC6" s="6">
        <v>0</v>
      </c>
      <c r="AD6" s="6">
        <v>0</v>
      </c>
      <c r="AE6" s="6">
        <v>0</v>
      </c>
      <c r="AF6" s="6">
        <v>0</v>
      </c>
      <c r="AG6" s="6">
        <v>0</v>
      </c>
      <c r="AH6" s="6">
        <v>0</v>
      </c>
      <c r="AI6" s="6">
        <v>0</v>
      </c>
      <c r="AJ6" s="6">
        <v>0</v>
      </c>
      <c r="AK6" s="6">
        <v>0</v>
      </c>
      <c r="AL6" s="6">
        <v>0</v>
      </c>
      <c r="AM6" s="6">
        <v>0</v>
      </c>
      <c r="AN6" s="6">
        <v>0</v>
      </c>
      <c r="AO6" s="6">
        <v>0</v>
      </c>
      <c r="AP6" s="6">
        <v>0</v>
      </c>
      <c r="AQ6" s="6">
        <v>0</v>
      </c>
      <c r="AR6" s="6">
        <v>0</v>
      </c>
      <c r="AS6" s="6">
        <v>0</v>
      </c>
      <c r="AT6" s="6" t="s">
        <v>862</v>
      </c>
      <c r="AU6" s="6" t="s">
        <v>862</v>
      </c>
      <c r="AV6" s="6" t="s">
        <v>862</v>
      </c>
      <c r="AW6" s="6" t="s">
        <v>862</v>
      </c>
      <c r="AX6" s="6">
        <v>0</v>
      </c>
      <c r="AY6" s="6" t="b">
        <v>0</v>
      </c>
      <c r="AZ6" s="6">
        <v>0</v>
      </c>
      <c r="BA6" s="6" t="b">
        <v>0</v>
      </c>
      <c r="BB6" s="6">
        <v>0</v>
      </c>
      <c r="BC6" s="6">
        <v>0</v>
      </c>
      <c r="BD6" s="6">
        <v>0</v>
      </c>
      <c r="BE6" s="6">
        <v>0</v>
      </c>
      <c r="BF6" s="6">
        <v>0</v>
      </c>
      <c r="BG6" s="6" t="s">
        <v>1564</v>
      </c>
      <c r="BH6" s="6">
        <v>0</v>
      </c>
      <c r="BI6" s="6">
        <v>0</v>
      </c>
      <c r="BJ6" s="6">
        <v>0</v>
      </c>
      <c r="BK6" s="6">
        <v>0</v>
      </c>
      <c r="BL6" s="6" t="b">
        <v>0</v>
      </c>
      <c r="BM6" s="6">
        <v>0</v>
      </c>
      <c r="BN6" s="6">
        <v>0</v>
      </c>
      <c r="BO6" s="6">
        <v>0</v>
      </c>
      <c r="BP6" s="6">
        <v>0</v>
      </c>
      <c r="BQ6" s="6">
        <v>0</v>
      </c>
      <c r="BR6" s="6">
        <v>0</v>
      </c>
      <c r="BS6" s="6">
        <v>0</v>
      </c>
      <c r="BT6" s="6">
        <v>0</v>
      </c>
      <c r="BU6" s="6">
        <v>0</v>
      </c>
      <c r="BV6" s="6">
        <v>0</v>
      </c>
      <c r="BW6" s="6">
        <v>0</v>
      </c>
      <c r="BX6" s="6">
        <v>0</v>
      </c>
      <c r="BY6" s="6">
        <v>0</v>
      </c>
      <c r="BZ6" s="6">
        <v>0</v>
      </c>
      <c r="CA6" s="6">
        <v>0</v>
      </c>
      <c r="CB6" s="6">
        <v>0</v>
      </c>
      <c r="CC6" s="6" t="b">
        <v>0</v>
      </c>
      <c r="CD6" s="6">
        <v>0</v>
      </c>
      <c r="CE6" s="6" t="b">
        <v>0</v>
      </c>
      <c r="CF6" s="6">
        <v>0</v>
      </c>
      <c r="CG6" s="6">
        <v>0</v>
      </c>
      <c r="CH6" s="6">
        <v>0</v>
      </c>
      <c r="CI6" s="6">
        <v>0</v>
      </c>
      <c r="CJ6" s="6" t="b">
        <v>0</v>
      </c>
      <c r="CK6" s="6" t="b">
        <v>0</v>
      </c>
      <c r="CL6" s="6">
        <v>0</v>
      </c>
      <c r="CM6" s="6" t="b">
        <v>0</v>
      </c>
      <c r="CN6" s="6"/>
      <c r="CO6" s="6"/>
      <c r="CP6" s="6"/>
      <c r="CQ6" s="6"/>
      <c r="CR6" s="6"/>
      <c r="CS6" s="6"/>
      <c r="CT6" s="6"/>
      <c r="CU6" s="6"/>
      <c r="CV6" s="6"/>
      <c r="CW6" s="6"/>
      <c r="CX6" s="6"/>
      <c r="CY6" s="6"/>
      <c r="CZ6" s="6"/>
      <c r="DA6" s="6"/>
      <c r="DB6" s="6"/>
      <c r="DC6" s="6"/>
      <c r="DD6" s="6"/>
      <c r="DE6" s="6"/>
      <c r="DF6" s="6"/>
      <c r="DG6" s="6"/>
      <c r="DH6" s="6"/>
      <c r="DI6" s="6"/>
    </row>
    <row r="7" spans="1:113" x14ac:dyDescent="0.25">
      <c r="A7" s="6" t="s">
        <v>519</v>
      </c>
      <c r="B7" s="6">
        <v>1</v>
      </c>
      <c r="C7" s="6">
        <v>0</v>
      </c>
      <c r="D7" s="6">
        <v>0</v>
      </c>
      <c r="E7" s="6">
        <v>0</v>
      </c>
      <c r="F7" s="6">
        <v>0</v>
      </c>
      <c r="G7" s="6">
        <v>0</v>
      </c>
      <c r="H7" s="6">
        <v>0</v>
      </c>
      <c r="I7" s="6">
        <v>0</v>
      </c>
      <c r="J7" s="6">
        <v>0</v>
      </c>
      <c r="K7" s="6">
        <v>0</v>
      </c>
      <c r="L7" s="6">
        <v>0</v>
      </c>
      <c r="M7" s="6">
        <v>0</v>
      </c>
      <c r="N7" s="6">
        <v>0</v>
      </c>
      <c r="O7" s="6">
        <v>0</v>
      </c>
      <c r="P7" s="6">
        <v>0</v>
      </c>
      <c r="Q7" s="6">
        <v>0</v>
      </c>
      <c r="R7" s="6">
        <v>0</v>
      </c>
      <c r="S7" s="6">
        <v>0</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t="s">
        <v>862</v>
      </c>
      <c r="AU7" s="6" t="s">
        <v>862</v>
      </c>
      <c r="AV7" s="6" t="s">
        <v>862</v>
      </c>
      <c r="AW7" s="6" t="s">
        <v>862</v>
      </c>
      <c r="AX7" s="6">
        <v>0</v>
      </c>
      <c r="AY7" s="6" t="b">
        <v>0</v>
      </c>
      <c r="AZ7" s="6">
        <v>0</v>
      </c>
      <c r="BA7" s="6" t="b">
        <v>0</v>
      </c>
      <c r="BB7" s="6">
        <v>0</v>
      </c>
      <c r="BC7" s="6">
        <v>0</v>
      </c>
      <c r="BD7" s="6">
        <v>0</v>
      </c>
      <c r="BE7" s="6">
        <v>0</v>
      </c>
      <c r="BF7" s="6">
        <v>0</v>
      </c>
      <c r="BG7" s="6" t="s">
        <v>1564</v>
      </c>
      <c r="BH7" s="6">
        <v>0</v>
      </c>
      <c r="BI7" s="6">
        <v>0</v>
      </c>
      <c r="BJ7" s="6">
        <v>0</v>
      </c>
      <c r="BK7" s="6">
        <v>0</v>
      </c>
      <c r="BL7" s="6" t="b">
        <v>0</v>
      </c>
      <c r="BM7" s="6">
        <v>0</v>
      </c>
      <c r="BN7" s="6">
        <v>0</v>
      </c>
      <c r="BO7" s="6">
        <v>0</v>
      </c>
      <c r="BP7" s="6">
        <v>0</v>
      </c>
      <c r="BQ7" s="6">
        <v>0</v>
      </c>
      <c r="BR7" s="6">
        <v>0</v>
      </c>
      <c r="BS7" s="6">
        <v>0</v>
      </c>
      <c r="BT7" s="6">
        <v>0</v>
      </c>
      <c r="BU7" s="6">
        <v>0</v>
      </c>
      <c r="BV7" s="6">
        <v>0</v>
      </c>
      <c r="BW7" s="6">
        <v>0</v>
      </c>
      <c r="BX7" s="6">
        <v>0</v>
      </c>
      <c r="BY7" s="6">
        <v>0</v>
      </c>
      <c r="BZ7" s="6">
        <v>0</v>
      </c>
      <c r="CA7" s="6">
        <v>0</v>
      </c>
      <c r="CB7" s="6">
        <v>0</v>
      </c>
      <c r="CC7" s="6" t="b">
        <v>0</v>
      </c>
      <c r="CD7" s="6">
        <v>0</v>
      </c>
      <c r="CE7" s="6" t="b">
        <v>0</v>
      </c>
      <c r="CF7" s="6">
        <v>0</v>
      </c>
      <c r="CG7" s="6">
        <v>0</v>
      </c>
      <c r="CH7" s="6">
        <v>0</v>
      </c>
      <c r="CI7" s="6">
        <v>0</v>
      </c>
      <c r="CJ7" s="6" t="b">
        <v>0</v>
      </c>
      <c r="CK7" s="6" t="b">
        <v>0</v>
      </c>
      <c r="CL7" s="6">
        <v>0</v>
      </c>
      <c r="CM7" s="6" t="b">
        <v>0</v>
      </c>
      <c r="CN7" s="6"/>
      <c r="CO7" s="6"/>
      <c r="CP7" s="6"/>
      <c r="CQ7" s="6"/>
      <c r="CR7" s="6"/>
      <c r="CS7" s="6"/>
      <c r="CT7" s="6"/>
      <c r="CU7" s="6"/>
      <c r="CV7" s="6"/>
      <c r="CW7" s="6"/>
      <c r="CX7" s="6"/>
      <c r="CY7" s="6"/>
      <c r="CZ7" s="6"/>
      <c r="DA7" s="6"/>
      <c r="DB7" s="6"/>
      <c r="DC7" s="6"/>
      <c r="DD7" s="6"/>
      <c r="DE7" s="6"/>
      <c r="DF7" s="6"/>
      <c r="DG7" s="6"/>
      <c r="DH7" s="6"/>
      <c r="DI7" s="6"/>
    </row>
    <row r="8" spans="1:113" x14ac:dyDescent="0.25">
      <c r="A8" s="6" t="s">
        <v>520</v>
      </c>
      <c r="B8" s="6">
        <v>1</v>
      </c>
      <c r="C8" s="6">
        <v>0</v>
      </c>
      <c r="D8" s="6">
        <v>0</v>
      </c>
      <c r="E8" s="6">
        <v>0</v>
      </c>
      <c r="F8" s="6">
        <v>0</v>
      </c>
      <c r="G8" s="6">
        <v>0</v>
      </c>
      <c r="H8" s="6">
        <v>0</v>
      </c>
      <c r="I8" s="6">
        <v>0</v>
      </c>
      <c r="J8" s="6">
        <v>0</v>
      </c>
      <c r="K8" s="6">
        <v>0</v>
      </c>
      <c r="L8" s="6">
        <v>0</v>
      </c>
      <c r="M8" s="6">
        <v>0</v>
      </c>
      <c r="N8" s="6">
        <v>0</v>
      </c>
      <c r="O8" s="6">
        <v>0</v>
      </c>
      <c r="P8" s="6">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t="s">
        <v>862</v>
      </c>
      <c r="AU8" s="6" t="s">
        <v>862</v>
      </c>
      <c r="AV8" s="6" t="s">
        <v>862</v>
      </c>
      <c r="AW8" s="6" t="s">
        <v>862</v>
      </c>
      <c r="AX8" s="6">
        <v>0</v>
      </c>
      <c r="AY8" s="6" t="b">
        <v>0</v>
      </c>
      <c r="AZ8" s="6">
        <v>0</v>
      </c>
      <c r="BA8" s="6" t="b">
        <v>0</v>
      </c>
      <c r="BB8" s="6">
        <v>0</v>
      </c>
      <c r="BC8" s="6">
        <v>0</v>
      </c>
      <c r="BD8" s="6">
        <v>0</v>
      </c>
      <c r="BE8" s="6">
        <v>0</v>
      </c>
      <c r="BF8" s="6">
        <v>0</v>
      </c>
      <c r="BG8" s="6" t="s">
        <v>1564</v>
      </c>
      <c r="BH8" s="6">
        <v>0</v>
      </c>
      <c r="BI8" s="6">
        <v>0</v>
      </c>
      <c r="BJ8" s="6">
        <v>0</v>
      </c>
      <c r="BK8" s="6">
        <v>0</v>
      </c>
      <c r="BL8" s="6" t="b">
        <v>0</v>
      </c>
      <c r="BM8" s="6">
        <v>0</v>
      </c>
      <c r="BN8" s="6">
        <v>0</v>
      </c>
      <c r="BO8" s="6">
        <v>0</v>
      </c>
      <c r="BP8" s="6">
        <v>0</v>
      </c>
      <c r="BQ8" s="6">
        <v>0</v>
      </c>
      <c r="BR8" s="6">
        <v>0</v>
      </c>
      <c r="BS8" s="6">
        <v>0</v>
      </c>
      <c r="BT8" s="6">
        <v>0</v>
      </c>
      <c r="BU8" s="6">
        <v>0</v>
      </c>
      <c r="BV8" s="6">
        <v>0</v>
      </c>
      <c r="BW8" s="6">
        <v>0</v>
      </c>
      <c r="BX8" s="6">
        <v>0</v>
      </c>
      <c r="BY8" s="6">
        <v>0</v>
      </c>
      <c r="BZ8" s="6">
        <v>0</v>
      </c>
      <c r="CA8" s="6">
        <v>0</v>
      </c>
      <c r="CB8" s="6">
        <v>0</v>
      </c>
      <c r="CC8" s="6" t="b">
        <v>0</v>
      </c>
      <c r="CD8" s="6">
        <v>0</v>
      </c>
      <c r="CE8" s="6" t="b">
        <v>0</v>
      </c>
      <c r="CF8" s="6">
        <v>0</v>
      </c>
      <c r="CG8" s="6">
        <v>0</v>
      </c>
      <c r="CH8" s="6">
        <v>0</v>
      </c>
      <c r="CI8" s="6">
        <v>0</v>
      </c>
      <c r="CJ8" s="6" t="b">
        <v>0</v>
      </c>
      <c r="CK8" s="6" t="b">
        <v>0</v>
      </c>
      <c r="CL8" s="6">
        <v>0</v>
      </c>
      <c r="CM8" s="6" t="b">
        <v>0</v>
      </c>
      <c r="CN8" s="6"/>
      <c r="CO8" s="6"/>
      <c r="CP8" s="6"/>
      <c r="CQ8" s="6"/>
      <c r="CR8" s="6"/>
      <c r="CS8" s="6"/>
      <c r="CT8" s="6"/>
      <c r="CU8" s="6"/>
      <c r="CV8" s="6"/>
      <c r="CW8" s="6"/>
      <c r="CX8" s="6"/>
      <c r="CY8" s="6"/>
      <c r="CZ8" s="6"/>
      <c r="DA8" s="6"/>
      <c r="DB8" s="6"/>
      <c r="DC8" s="6"/>
      <c r="DD8" s="6"/>
      <c r="DE8" s="6"/>
      <c r="DF8" s="6"/>
      <c r="DG8" s="6"/>
      <c r="DH8" s="6"/>
      <c r="DI8" s="6"/>
    </row>
    <row r="9" spans="1:113" x14ac:dyDescent="0.25">
      <c r="A9" s="6" t="s">
        <v>521</v>
      </c>
      <c r="B9" s="6">
        <v>1</v>
      </c>
      <c r="C9" s="6">
        <v>0</v>
      </c>
      <c r="D9" s="6">
        <v>0</v>
      </c>
      <c r="E9" s="6">
        <v>0</v>
      </c>
      <c r="F9" s="6">
        <v>0</v>
      </c>
      <c r="G9" s="6">
        <v>0</v>
      </c>
      <c r="H9" s="6">
        <v>0</v>
      </c>
      <c r="I9" s="6">
        <v>0</v>
      </c>
      <c r="J9" s="6">
        <v>0</v>
      </c>
      <c r="K9" s="6">
        <v>0</v>
      </c>
      <c r="L9" s="6">
        <v>0</v>
      </c>
      <c r="M9" s="6">
        <v>0</v>
      </c>
      <c r="N9" s="6">
        <v>0</v>
      </c>
      <c r="O9" s="6">
        <v>0</v>
      </c>
      <c r="P9" s="6">
        <v>0</v>
      </c>
      <c r="Q9" s="6">
        <v>0</v>
      </c>
      <c r="R9" s="6">
        <v>0</v>
      </c>
      <c r="S9" s="6">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t="s">
        <v>862</v>
      </c>
      <c r="AU9" s="6" t="s">
        <v>862</v>
      </c>
      <c r="AV9" s="6" t="s">
        <v>862</v>
      </c>
      <c r="AW9" s="6" t="s">
        <v>862</v>
      </c>
      <c r="AX9" s="6">
        <v>0</v>
      </c>
      <c r="AY9" s="6" t="b">
        <v>0</v>
      </c>
      <c r="AZ9" s="6">
        <v>0</v>
      </c>
      <c r="BA9" s="6" t="b">
        <v>0</v>
      </c>
      <c r="BB9" s="6">
        <v>0</v>
      </c>
      <c r="BC9" s="6">
        <v>0</v>
      </c>
      <c r="BD9" s="6">
        <v>0</v>
      </c>
      <c r="BE9" s="6">
        <v>0</v>
      </c>
      <c r="BF9" s="6">
        <v>0</v>
      </c>
      <c r="BG9" s="6" t="s">
        <v>1564</v>
      </c>
      <c r="BH9" s="6">
        <v>0</v>
      </c>
      <c r="BI9" s="6">
        <v>0</v>
      </c>
      <c r="BJ9" s="6">
        <v>0</v>
      </c>
      <c r="BK9" s="6">
        <v>0</v>
      </c>
      <c r="BL9" s="6" t="b">
        <v>0</v>
      </c>
      <c r="BM9" s="6">
        <v>0</v>
      </c>
      <c r="BN9" s="6">
        <v>0</v>
      </c>
      <c r="BO9" s="6">
        <v>0</v>
      </c>
      <c r="BP9" s="6">
        <v>0</v>
      </c>
      <c r="BQ9" s="6">
        <v>0</v>
      </c>
      <c r="BR9" s="6">
        <v>0</v>
      </c>
      <c r="BS9" s="6">
        <v>0</v>
      </c>
      <c r="BT9" s="6">
        <v>0</v>
      </c>
      <c r="BU9" s="6">
        <v>0</v>
      </c>
      <c r="BV9" s="6">
        <v>0</v>
      </c>
      <c r="BW9" s="6">
        <v>0</v>
      </c>
      <c r="BX9" s="6">
        <v>0</v>
      </c>
      <c r="BY9" s="6">
        <v>0</v>
      </c>
      <c r="BZ9" s="6">
        <v>0</v>
      </c>
      <c r="CA9" s="6">
        <v>0</v>
      </c>
      <c r="CB9" s="6">
        <v>0</v>
      </c>
      <c r="CC9" s="6" t="b">
        <v>0</v>
      </c>
      <c r="CD9" s="6">
        <v>0</v>
      </c>
      <c r="CE9" s="6" t="b">
        <v>0</v>
      </c>
      <c r="CF9" s="6">
        <v>0</v>
      </c>
      <c r="CG9" s="6">
        <v>0</v>
      </c>
      <c r="CH9" s="6">
        <v>0</v>
      </c>
      <c r="CI9" s="6">
        <v>0</v>
      </c>
      <c r="CJ9" s="6" t="b">
        <v>0</v>
      </c>
      <c r="CK9" s="6" t="b">
        <v>0</v>
      </c>
      <c r="CL9" s="6">
        <v>0</v>
      </c>
      <c r="CM9" s="6" t="b">
        <v>0</v>
      </c>
      <c r="CN9" s="6"/>
      <c r="CO9" s="6"/>
      <c r="CP9" s="6"/>
      <c r="CQ9" s="6"/>
      <c r="CR9" s="6"/>
      <c r="CS9" s="6"/>
      <c r="CT9" s="6"/>
      <c r="CU9" s="6"/>
      <c r="CV9" s="6"/>
      <c r="CW9" s="6"/>
      <c r="CX9" s="6"/>
      <c r="CY9" s="6"/>
      <c r="CZ9" s="6"/>
      <c r="DA9" s="6"/>
      <c r="DB9" s="6"/>
      <c r="DC9" s="6"/>
      <c r="DD9" s="6"/>
      <c r="DE9" s="6"/>
      <c r="DF9" s="6"/>
      <c r="DG9" s="6"/>
      <c r="DH9" s="6"/>
      <c r="DI9" s="6"/>
    </row>
    <row r="10" spans="1:113" x14ac:dyDescent="0.25">
      <c r="A10" s="6" t="s">
        <v>522</v>
      </c>
      <c r="B10" s="6">
        <v>1</v>
      </c>
      <c r="C10" s="6">
        <v>0</v>
      </c>
      <c r="D10" s="6">
        <v>0</v>
      </c>
      <c r="E10" s="6">
        <v>0</v>
      </c>
      <c r="F10" s="6">
        <v>0</v>
      </c>
      <c r="G10" s="6">
        <v>0</v>
      </c>
      <c r="H10" s="6">
        <v>0</v>
      </c>
      <c r="I10" s="6">
        <v>0</v>
      </c>
      <c r="J10" s="6">
        <v>0</v>
      </c>
      <c r="K10" s="6">
        <v>0</v>
      </c>
      <c r="L10" s="6">
        <v>0</v>
      </c>
      <c r="M10" s="6">
        <v>0</v>
      </c>
      <c r="N10" s="6">
        <v>0</v>
      </c>
      <c r="O10" s="6">
        <v>0</v>
      </c>
      <c r="P10" s="6">
        <v>0</v>
      </c>
      <c r="Q10" s="6">
        <v>0</v>
      </c>
      <c r="R10" s="6">
        <v>0</v>
      </c>
      <c r="S10" s="6">
        <v>0</v>
      </c>
      <c r="T10" s="6">
        <v>0</v>
      </c>
      <c r="U10" s="6">
        <v>0</v>
      </c>
      <c r="V10" s="6">
        <v>0</v>
      </c>
      <c r="W10" s="6">
        <v>0</v>
      </c>
      <c r="X10" s="6">
        <v>0</v>
      </c>
      <c r="Y10" s="6">
        <v>0</v>
      </c>
      <c r="Z10" s="6">
        <v>0</v>
      </c>
      <c r="AA10" s="6">
        <v>0</v>
      </c>
      <c r="AB10" s="6">
        <v>0</v>
      </c>
      <c r="AC10" s="6">
        <v>0</v>
      </c>
      <c r="AD10" s="6">
        <v>0</v>
      </c>
      <c r="AE10" s="6">
        <v>0</v>
      </c>
      <c r="AF10" s="6">
        <v>0</v>
      </c>
      <c r="AG10" s="6">
        <v>0</v>
      </c>
      <c r="AH10" s="6">
        <v>0</v>
      </c>
      <c r="AI10" s="6">
        <v>0</v>
      </c>
      <c r="AJ10" s="6">
        <v>0</v>
      </c>
      <c r="AK10" s="6">
        <v>0</v>
      </c>
      <c r="AL10" s="6">
        <v>0</v>
      </c>
      <c r="AM10" s="6">
        <v>0</v>
      </c>
      <c r="AN10" s="6">
        <v>0</v>
      </c>
      <c r="AO10" s="6">
        <v>0</v>
      </c>
      <c r="AP10" s="6">
        <v>0</v>
      </c>
      <c r="AQ10" s="6">
        <v>0</v>
      </c>
      <c r="AR10" s="6">
        <v>0</v>
      </c>
      <c r="AS10" s="6">
        <v>0</v>
      </c>
      <c r="AT10" s="6" t="s">
        <v>862</v>
      </c>
      <c r="AU10" s="6" t="s">
        <v>862</v>
      </c>
      <c r="AV10" s="6" t="s">
        <v>862</v>
      </c>
      <c r="AW10" s="6" t="s">
        <v>862</v>
      </c>
      <c r="AX10" s="6">
        <v>0</v>
      </c>
      <c r="AY10" s="6" t="b">
        <v>0</v>
      </c>
      <c r="AZ10" s="6">
        <v>0</v>
      </c>
      <c r="BA10" s="6" t="b">
        <v>0</v>
      </c>
      <c r="BB10" s="6">
        <v>0</v>
      </c>
      <c r="BC10" s="6">
        <v>0</v>
      </c>
      <c r="BD10" s="6">
        <v>0</v>
      </c>
      <c r="BE10" s="6">
        <v>0</v>
      </c>
      <c r="BF10" s="6">
        <v>0</v>
      </c>
      <c r="BG10" s="6" t="s">
        <v>1564</v>
      </c>
      <c r="BH10" s="6">
        <v>0</v>
      </c>
      <c r="BI10" s="6">
        <v>0</v>
      </c>
      <c r="BJ10" s="6">
        <v>0</v>
      </c>
      <c r="BK10" s="6">
        <v>0</v>
      </c>
      <c r="BL10" s="6" t="b">
        <v>0</v>
      </c>
      <c r="BM10" s="6">
        <v>0</v>
      </c>
      <c r="BN10" s="6">
        <v>0</v>
      </c>
      <c r="BO10" s="6">
        <v>0</v>
      </c>
      <c r="BP10" s="6">
        <v>0</v>
      </c>
      <c r="BQ10" s="6">
        <v>0</v>
      </c>
      <c r="BR10" s="6">
        <v>0</v>
      </c>
      <c r="BS10" s="6">
        <v>0</v>
      </c>
      <c r="BT10" s="6">
        <v>0</v>
      </c>
      <c r="BU10" s="6">
        <v>0</v>
      </c>
      <c r="BV10" s="6">
        <v>0</v>
      </c>
      <c r="BW10" s="6">
        <v>0</v>
      </c>
      <c r="BX10" s="6">
        <v>0</v>
      </c>
      <c r="BY10" s="6">
        <v>0</v>
      </c>
      <c r="BZ10" s="6">
        <v>0</v>
      </c>
      <c r="CA10" s="6">
        <v>0</v>
      </c>
      <c r="CB10" s="6">
        <v>0</v>
      </c>
      <c r="CC10" s="6" t="b">
        <v>0</v>
      </c>
      <c r="CD10" s="6">
        <v>0</v>
      </c>
      <c r="CE10" s="6" t="b">
        <v>0</v>
      </c>
      <c r="CF10" s="6">
        <v>0</v>
      </c>
      <c r="CG10" s="6">
        <v>0</v>
      </c>
      <c r="CH10" s="6">
        <v>0</v>
      </c>
      <c r="CI10" s="6">
        <v>0</v>
      </c>
      <c r="CJ10" s="6" t="b">
        <v>0</v>
      </c>
      <c r="CK10" s="6" t="b">
        <v>0</v>
      </c>
      <c r="CL10" s="6">
        <v>0</v>
      </c>
      <c r="CM10" s="6" t="b">
        <v>0</v>
      </c>
      <c r="CN10" s="6"/>
      <c r="CO10" s="6"/>
      <c r="CP10" s="6"/>
      <c r="CQ10" s="6"/>
      <c r="CR10" s="6"/>
      <c r="CS10" s="6"/>
      <c r="CT10" s="6"/>
      <c r="CU10" s="6"/>
      <c r="CV10" s="6"/>
      <c r="CW10" s="6"/>
      <c r="CX10" s="6"/>
      <c r="CY10" s="6"/>
      <c r="CZ10" s="6"/>
      <c r="DA10" s="6"/>
      <c r="DB10" s="6"/>
      <c r="DC10" s="6"/>
      <c r="DD10" s="6"/>
      <c r="DE10" s="6"/>
      <c r="DF10" s="6"/>
      <c r="DG10" s="6"/>
      <c r="DH10" s="6"/>
      <c r="DI10" s="6"/>
    </row>
    <row r="11" spans="1:113" x14ac:dyDescent="0.25">
      <c r="A11" s="6" t="s">
        <v>523</v>
      </c>
      <c r="B11" s="6">
        <v>1</v>
      </c>
      <c r="C11" s="6">
        <v>0</v>
      </c>
      <c r="D11" s="6">
        <v>0</v>
      </c>
      <c r="E11" s="6">
        <v>0</v>
      </c>
      <c r="F11" s="6">
        <v>0</v>
      </c>
      <c r="G11" s="6">
        <v>0</v>
      </c>
      <c r="H11" s="6">
        <v>0</v>
      </c>
      <c r="I11" s="6">
        <v>0</v>
      </c>
      <c r="J11" s="6">
        <v>0</v>
      </c>
      <c r="K11" s="6">
        <v>0</v>
      </c>
      <c r="L11" s="6">
        <v>0</v>
      </c>
      <c r="M11" s="6">
        <v>0</v>
      </c>
      <c r="N11" s="6">
        <v>0</v>
      </c>
      <c r="O11" s="6">
        <v>0</v>
      </c>
      <c r="P11" s="6">
        <v>0</v>
      </c>
      <c r="Q11" s="6">
        <v>0</v>
      </c>
      <c r="R11" s="6">
        <v>0</v>
      </c>
      <c r="S11" s="6">
        <v>0</v>
      </c>
      <c r="T11" s="6">
        <v>0</v>
      </c>
      <c r="U11" s="6">
        <v>0</v>
      </c>
      <c r="V11" s="6">
        <v>0</v>
      </c>
      <c r="W11" s="6">
        <v>0</v>
      </c>
      <c r="X11" s="6">
        <v>0</v>
      </c>
      <c r="Y11" s="6">
        <v>0</v>
      </c>
      <c r="Z11" s="6">
        <v>0</v>
      </c>
      <c r="AA11" s="6">
        <v>0</v>
      </c>
      <c r="AB11" s="6">
        <v>0</v>
      </c>
      <c r="AC11" s="6">
        <v>0</v>
      </c>
      <c r="AD11" s="6">
        <v>0</v>
      </c>
      <c r="AE11" s="6">
        <v>0</v>
      </c>
      <c r="AF11" s="6">
        <v>0</v>
      </c>
      <c r="AG11" s="6">
        <v>0</v>
      </c>
      <c r="AH11" s="6">
        <v>0</v>
      </c>
      <c r="AI11" s="6">
        <v>0</v>
      </c>
      <c r="AJ11" s="6">
        <v>0</v>
      </c>
      <c r="AK11" s="6">
        <v>0</v>
      </c>
      <c r="AL11" s="6">
        <v>0</v>
      </c>
      <c r="AM11" s="6">
        <v>0</v>
      </c>
      <c r="AN11" s="6">
        <v>0</v>
      </c>
      <c r="AO11" s="6">
        <v>0</v>
      </c>
      <c r="AP11" s="6">
        <v>0</v>
      </c>
      <c r="AQ11" s="6">
        <v>0</v>
      </c>
      <c r="AR11" s="6">
        <v>0</v>
      </c>
      <c r="AS11" s="6">
        <v>0</v>
      </c>
      <c r="AT11" s="6" t="s">
        <v>862</v>
      </c>
      <c r="AU11" s="6" t="s">
        <v>862</v>
      </c>
      <c r="AV11" s="6" t="s">
        <v>862</v>
      </c>
      <c r="AW11" s="6" t="s">
        <v>862</v>
      </c>
      <c r="AX11" s="6">
        <v>0</v>
      </c>
      <c r="AY11" s="6" t="b">
        <v>0</v>
      </c>
      <c r="AZ11" s="6">
        <v>0</v>
      </c>
      <c r="BA11" s="6" t="b">
        <v>0</v>
      </c>
      <c r="BB11" s="6">
        <v>0</v>
      </c>
      <c r="BC11" s="6">
        <v>0</v>
      </c>
      <c r="BD11" s="6">
        <v>0</v>
      </c>
      <c r="BE11" s="6">
        <v>0</v>
      </c>
      <c r="BF11" s="6">
        <v>0</v>
      </c>
      <c r="BG11" s="6" t="s">
        <v>1564</v>
      </c>
      <c r="BH11" s="6">
        <v>0</v>
      </c>
      <c r="BI11" s="6">
        <v>0</v>
      </c>
      <c r="BJ11" s="6">
        <v>0</v>
      </c>
      <c r="BK11" s="6">
        <v>0</v>
      </c>
      <c r="BL11" s="6" t="b">
        <v>0</v>
      </c>
      <c r="BM11" s="6">
        <v>0</v>
      </c>
      <c r="BN11" s="6">
        <v>0</v>
      </c>
      <c r="BO11" s="6">
        <v>0</v>
      </c>
      <c r="BP11" s="6">
        <v>0</v>
      </c>
      <c r="BQ11" s="6">
        <v>0</v>
      </c>
      <c r="BR11" s="6">
        <v>0</v>
      </c>
      <c r="BS11" s="6">
        <v>0</v>
      </c>
      <c r="BT11" s="6">
        <v>0</v>
      </c>
      <c r="BU11" s="6">
        <v>0</v>
      </c>
      <c r="BV11" s="6">
        <v>0</v>
      </c>
      <c r="BW11" s="6">
        <v>0</v>
      </c>
      <c r="BX11" s="6">
        <v>0</v>
      </c>
      <c r="BY11" s="6">
        <v>0</v>
      </c>
      <c r="BZ11" s="6">
        <v>0</v>
      </c>
      <c r="CA11" s="6">
        <v>0</v>
      </c>
      <c r="CB11" s="6">
        <v>0</v>
      </c>
      <c r="CC11" s="6" t="b">
        <v>0</v>
      </c>
      <c r="CD11" s="6">
        <v>0</v>
      </c>
      <c r="CE11" s="6" t="b">
        <v>0</v>
      </c>
      <c r="CF11" s="6">
        <v>0</v>
      </c>
      <c r="CG11" s="6">
        <v>0</v>
      </c>
      <c r="CH11" s="6">
        <v>0</v>
      </c>
      <c r="CI11" s="6">
        <v>0</v>
      </c>
      <c r="CJ11" s="6" t="b">
        <v>0</v>
      </c>
      <c r="CK11" s="6" t="b">
        <v>0</v>
      </c>
      <c r="CL11" s="6">
        <v>0</v>
      </c>
      <c r="CM11" s="6" t="b">
        <v>0</v>
      </c>
      <c r="CN11" s="6"/>
      <c r="CO11" s="6"/>
      <c r="CP11" s="6"/>
      <c r="CQ11" s="6"/>
      <c r="CR11" s="6"/>
      <c r="CS11" s="6"/>
      <c r="CT11" s="6"/>
      <c r="CU11" s="6"/>
      <c r="CV11" s="6"/>
      <c r="CW11" s="6"/>
      <c r="CX11" s="6"/>
      <c r="CY11" s="6"/>
      <c r="CZ11" s="6"/>
      <c r="DA11" s="6"/>
      <c r="DB11" s="6"/>
      <c r="DC11" s="6"/>
      <c r="DD11" s="6"/>
      <c r="DE11" s="6"/>
      <c r="DF11" s="6"/>
      <c r="DG11" s="6"/>
      <c r="DH11" s="6"/>
      <c r="DI11" s="6"/>
    </row>
    <row r="12" spans="1:113" x14ac:dyDescent="0.25">
      <c r="A12" s="6" t="s">
        <v>524</v>
      </c>
      <c r="B12" s="6">
        <v>1</v>
      </c>
      <c r="C12" s="6">
        <v>0</v>
      </c>
      <c r="D12" s="6">
        <v>0</v>
      </c>
      <c r="E12" s="6">
        <v>0</v>
      </c>
      <c r="F12" s="6">
        <v>0</v>
      </c>
      <c r="G12" s="6">
        <v>0</v>
      </c>
      <c r="H12" s="6">
        <v>0</v>
      </c>
      <c r="I12" s="6">
        <v>0</v>
      </c>
      <c r="J12" s="6">
        <v>0</v>
      </c>
      <c r="K12" s="6">
        <v>0</v>
      </c>
      <c r="L12" s="6">
        <v>0</v>
      </c>
      <c r="M12" s="6">
        <v>0</v>
      </c>
      <c r="N12" s="6">
        <v>0</v>
      </c>
      <c r="O12" s="6">
        <v>0</v>
      </c>
      <c r="P12" s="6">
        <v>0</v>
      </c>
      <c r="Q12" s="6">
        <v>0</v>
      </c>
      <c r="R12" s="6">
        <v>0</v>
      </c>
      <c r="S12" s="6">
        <v>0</v>
      </c>
      <c r="T12" s="6">
        <v>0</v>
      </c>
      <c r="U12" s="6">
        <v>0</v>
      </c>
      <c r="V12" s="6">
        <v>0</v>
      </c>
      <c r="W12" s="6">
        <v>0</v>
      </c>
      <c r="X12" s="6">
        <v>0</v>
      </c>
      <c r="Y12" s="6">
        <v>0</v>
      </c>
      <c r="Z12" s="6">
        <v>0</v>
      </c>
      <c r="AA12" s="6">
        <v>0</v>
      </c>
      <c r="AB12" s="6">
        <v>0</v>
      </c>
      <c r="AC12" s="6">
        <v>0</v>
      </c>
      <c r="AD12" s="6">
        <v>0</v>
      </c>
      <c r="AE12" s="6">
        <v>0</v>
      </c>
      <c r="AF12" s="6">
        <v>0</v>
      </c>
      <c r="AG12" s="6">
        <v>0</v>
      </c>
      <c r="AH12" s="6">
        <v>0</v>
      </c>
      <c r="AI12" s="6">
        <v>0</v>
      </c>
      <c r="AJ12" s="6">
        <v>0</v>
      </c>
      <c r="AK12" s="6">
        <v>0</v>
      </c>
      <c r="AL12" s="6">
        <v>0</v>
      </c>
      <c r="AM12" s="6">
        <v>0</v>
      </c>
      <c r="AN12" s="6">
        <v>0</v>
      </c>
      <c r="AO12" s="6">
        <v>0</v>
      </c>
      <c r="AP12" s="6">
        <v>0</v>
      </c>
      <c r="AQ12" s="6">
        <v>0</v>
      </c>
      <c r="AR12" s="6">
        <v>0</v>
      </c>
      <c r="AS12" s="6">
        <v>0</v>
      </c>
      <c r="AT12" s="6" t="s">
        <v>862</v>
      </c>
      <c r="AU12" s="6" t="s">
        <v>862</v>
      </c>
      <c r="AV12" s="6" t="s">
        <v>862</v>
      </c>
      <c r="AW12" s="6" t="s">
        <v>862</v>
      </c>
      <c r="AX12" s="6">
        <v>0</v>
      </c>
      <c r="AY12" s="6" t="b">
        <v>0</v>
      </c>
      <c r="AZ12" s="6">
        <v>0</v>
      </c>
      <c r="BA12" s="6" t="b">
        <v>0</v>
      </c>
      <c r="BB12" s="6">
        <v>0</v>
      </c>
      <c r="BC12" s="6">
        <v>0</v>
      </c>
      <c r="BD12" s="6">
        <v>0</v>
      </c>
      <c r="BE12" s="6">
        <v>0</v>
      </c>
      <c r="BF12" s="6">
        <v>0</v>
      </c>
      <c r="BG12" s="6" t="s">
        <v>1564</v>
      </c>
      <c r="BH12" s="6">
        <v>0</v>
      </c>
      <c r="BI12" s="6">
        <v>0</v>
      </c>
      <c r="BJ12" s="6">
        <v>0</v>
      </c>
      <c r="BK12" s="6">
        <v>0</v>
      </c>
      <c r="BL12" s="6" t="b">
        <v>0</v>
      </c>
      <c r="BM12" s="6">
        <v>0</v>
      </c>
      <c r="BN12" s="6">
        <v>0</v>
      </c>
      <c r="BO12" s="6">
        <v>0</v>
      </c>
      <c r="BP12" s="6">
        <v>0</v>
      </c>
      <c r="BQ12" s="6">
        <v>0</v>
      </c>
      <c r="BR12" s="6">
        <v>0</v>
      </c>
      <c r="BS12" s="6">
        <v>0</v>
      </c>
      <c r="BT12" s="6">
        <v>0</v>
      </c>
      <c r="BU12" s="6">
        <v>0</v>
      </c>
      <c r="BV12" s="6">
        <v>0</v>
      </c>
      <c r="BW12" s="6">
        <v>0</v>
      </c>
      <c r="BX12" s="6">
        <v>0</v>
      </c>
      <c r="BY12" s="6">
        <v>0</v>
      </c>
      <c r="BZ12" s="6">
        <v>0</v>
      </c>
      <c r="CA12" s="6">
        <v>0</v>
      </c>
      <c r="CB12" s="6">
        <v>0</v>
      </c>
      <c r="CC12" s="6" t="b">
        <v>0</v>
      </c>
      <c r="CD12" s="6">
        <v>0</v>
      </c>
      <c r="CE12" s="6" t="b">
        <v>0</v>
      </c>
      <c r="CF12" s="6">
        <v>0</v>
      </c>
      <c r="CG12" s="6">
        <v>0</v>
      </c>
      <c r="CH12" s="6">
        <v>0</v>
      </c>
      <c r="CI12" s="6">
        <v>0</v>
      </c>
      <c r="CJ12" s="6" t="b">
        <v>0</v>
      </c>
      <c r="CK12" s="6" t="b">
        <v>0</v>
      </c>
      <c r="CL12" s="6">
        <v>0</v>
      </c>
      <c r="CM12" s="6" t="b">
        <v>0</v>
      </c>
      <c r="CN12" s="6"/>
      <c r="CO12" s="6"/>
      <c r="CP12" s="6"/>
      <c r="CQ12" s="6"/>
      <c r="CR12" s="6"/>
      <c r="CS12" s="6"/>
      <c r="CT12" s="6"/>
      <c r="CU12" s="6"/>
      <c r="CV12" s="6"/>
      <c r="CW12" s="6"/>
      <c r="CX12" s="6"/>
      <c r="CY12" s="6"/>
      <c r="CZ12" s="6"/>
      <c r="DA12" s="6"/>
      <c r="DB12" s="6"/>
      <c r="DC12" s="6"/>
      <c r="DD12" s="6"/>
      <c r="DE12" s="6"/>
      <c r="DF12" s="6"/>
      <c r="DG12" s="6"/>
      <c r="DH12" s="6"/>
      <c r="DI12" s="6"/>
    </row>
    <row r="13" spans="1:113" x14ac:dyDescent="0.25">
      <c r="A13" s="6" t="s">
        <v>525</v>
      </c>
      <c r="B13" s="6">
        <v>1</v>
      </c>
      <c r="C13" s="6">
        <v>0</v>
      </c>
      <c r="D13" s="6">
        <v>0</v>
      </c>
      <c r="E13" s="6">
        <v>0</v>
      </c>
      <c r="F13" s="6">
        <v>0</v>
      </c>
      <c r="G13" s="6">
        <v>0</v>
      </c>
      <c r="H13" s="6">
        <v>0</v>
      </c>
      <c r="I13" s="6">
        <v>0</v>
      </c>
      <c r="J13" s="6">
        <v>0</v>
      </c>
      <c r="K13" s="6">
        <v>0</v>
      </c>
      <c r="L13" s="6">
        <v>0</v>
      </c>
      <c r="M13" s="6">
        <v>0</v>
      </c>
      <c r="N13" s="6">
        <v>0</v>
      </c>
      <c r="O13" s="6">
        <v>0</v>
      </c>
      <c r="P13" s="6">
        <v>0</v>
      </c>
      <c r="Q13" s="6">
        <v>0</v>
      </c>
      <c r="R13" s="6">
        <v>0</v>
      </c>
      <c r="S13" s="6">
        <v>0</v>
      </c>
      <c r="T13" s="6">
        <v>0</v>
      </c>
      <c r="U13" s="6">
        <v>0</v>
      </c>
      <c r="V13" s="6">
        <v>0</v>
      </c>
      <c r="W13" s="6">
        <v>0</v>
      </c>
      <c r="X13" s="6">
        <v>0</v>
      </c>
      <c r="Y13" s="6">
        <v>0</v>
      </c>
      <c r="Z13" s="6">
        <v>0</v>
      </c>
      <c r="AA13" s="6">
        <v>0</v>
      </c>
      <c r="AB13" s="6">
        <v>0</v>
      </c>
      <c r="AC13" s="6">
        <v>0</v>
      </c>
      <c r="AD13" s="6">
        <v>0</v>
      </c>
      <c r="AE13" s="6">
        <v>0</v>
      </c>
      <c r="AF13" s="6">
        <v>0</v>
      </c>
      <c r="AG13" s="6">
        <v>0</v>
      </c>
      <c r="AH13" s="6">
        <v>0</v>
      </c>
      <c r="AI13" s="6">
        <v>0</v>
      </c>
      <c r="AJ13" s="6">
        <v>0</v>
      </c>
      <c r="AK13" s="6">
        <v>0</v>
      </c>
      <c r="AL13" s="6">
        <v>0</v>
      </c>
      <c r="AM13" s="6">
        <v>0</v>
      </c>
      <c r="AN13" s="6">
        <v>0</v>
      </c>
      <c r="AO13" s="6">
        <v>0</v>
      </c>
      <c r="AP13" s="6">
        <v>0</v>
      </c>
      <c r="AQ13" s="6">
        <v>0</v>
      </c>
      <c r="AR13" s="6">
        <v>0</v>
      </c>
      <c r="AS13" s="6">
        <v>0</v>
      </c>
      <c r="AT13" s="6" t="s">
        <v>862</v>
      </c>
      <c r="AU13" s="6" t="s">
        <v>862</v>
      </c>
      <c r="AV13" s="6" t="s">
        <v>862</v>
      </c>
      <c r="AW13" s="6" t="s">
        <v>862</v>
      </c>
      <c r="AX13" s="6">
        <v>0</v>
      </c>
      <c r="AY13" s="6" t="b">
        <v>0</v>
      </c>
      <c r="AZ13" s="6">
        <v>0</v>
      </c>
      <c r="BA13" s="6" t="b">
        <v>0</v>
      </c>
      <c r="BB13" s="6">
        <v>0</v>
      </c>
      <c r="BC13" s="6">
        <v>0</v>
      </c>
      <c r="BD13" s="6">
        <v>0</v>
      </c>
      <c r="BE13" s="6">
        <v>0</v>
      </c>
      <c r="BF13" s="6">
        <v>0</v>
      </c>
      <c r="BG13" s="6" t="s">
        <v>1564</v>
      </c>
      <c r="BH13" s="6">
        <v>0</v>
      </c>
      <c r="BI13" s="6">
        <v>0</v>
      </c>
      <c r="BJ13" s="6">
        <v>0</v>
      </c>
      <c r="BK13" s="6">
        <v>0</v>
      </c>
      <c r="BL13" s="6" t="b">
        <v>0</v>
      </c>
      <c r="BM13" s="6">
        <v>0</v>
      </c>
      <c r="BN13" s="6">
        <v>0</v>
      </c>
      <c r="BO13" s="6">
        <v>0</v>
      </c>
      <c r="BP13" s="6">
        <v>0</v>
      </c>
      <c r="BQ13" s="6">
        <v>0</v>
      </c>
      <c r="BR13" s="6">
        <v>0</v>
      </c>
      <c r="BS13" s="6">
        <v>0</v>
      </c>
      <c r="BT13" s="6">
        <v>0</v>
      </c>
      <c r="BU13" s="6">
        <v>0</v>
      </c>
      <c r="BV13" s="6">
        <v>0</v>
      </c>
      <c r="BW13" s="6">
        <v>0</v>
      </c>
      <c r="BX13" s="6">
        <v>0</v>
      </c>
      <c r="BY13" s="6">
        <v>0</v>
      </c>
      <c r="BZ13" s="6">
        <v>0</v>
      </c>
      <c r="CA13" s="6">
        <v>0</v>
      </c>
      <c r="CB13" s="6">
        <v>0</v>
      </c>
      <c r="CC13" s="6" t="b">
        <v>0</v>
      </c>
      <c r="CD13" s="6">
        <v>0</v>
      </c>
      <c r="CE13" s="6" t="b">
        <v>0</v>
      </c>
      <c r="CF13" s="6">
        <v>0</v>
      </c>
      <c r="CG13" s="6">
        <v>0</v>
      </c>
      <c r="CH13" s="6">
        <v>0</v>
      </c>
      <c r="CI13" s="6">
        <v>0</v>
      </c>
      <c r="CJ13" s="6" t="b">
        <v>0</v>
      </c>
      <c r="CK13" s="6" t="b">
        <v>0</v>
      </c>
      <c r="CL13" s="6">
        <v>0</v>
      </c>
      <c r="CM13" s="6" t="b">
        <v>0</v>
      </c>
      <c r="CN13" s="6"/>
      <c r="CO13" s="6"/>
      <c r="CP13" s="6"/>
      <c r="CQ13" s="6"/>
      <c r="CR13" s="6"/>
      <c r="CS13" s="6"/>
      <c r="CT13" s="6"/>
      <c r="CU13" s="6"/>
      <c r="CV13" s="6"/>
      <c r="CW13" s="6"/>
      <c r="CX13" s="6"/>
      <c r="CY13" s="6"/>
      <c r="CZ13" s="6"/>
      <c r="DA13" s="6"/>
      <c r="DB13" s="6"/>
      <c r="DC13" s="6"/>
      <c r="DD13" s="6"/>
      <c r="DE13" s="6"/>
      <c r="DF13" s="6"/>
      <c r="DG13" s="6"/>
      <c r="DH13" s="6"/>
      <c r="DI13" s="6"/>
    </row>
    <row r="14" spans="1:113" x14ac:dyDescent="0.25">
      <c r="A14" s="6" t="s">
        <v>526</v>
      </c>
      <c r="B14" s="6">
        <v>1</v>
      </c>
      <c r="C14" s="6">
        <v>0</v>
      </c>
      <c r="D14" s="6">
        <v>0</v>
      </c>
      <c r="E14" s="6">
        <v>0</v>
      </c>
      <c r="F14" s="6">
        <v>0</v>
      </c>
      <c r="G14" s="6">
        <v>0</v>
      </c>
      <c r="H14" s="6">
        <v>0</v>
      </c>
      <c r="I14" s="6">
        <v>0</v>
      </c>
      <c r="J14" s="6">
        <v>0</v>
      </c>
      <c r="K14" s="6">
        <v>0</v>
      </c>
      <c r="L14" s="6">
        <v>0</v>
      </c>
      <c r="M14" s="6">
        <v>0</v>
      </c>
      <c r="N14" s="6">
        <v>0</v>
      </c>
      <c r="O14" s="6">
        <v>0</v>
      </c>
      <c r="P14" s="6">
        <v>0</v>
      </c>
      <c r="Q14" s="6">
        <v>0</v>
      </c>
      <c r="R14" s="6">
        <v>0</v>
      </c>
      <c r="S14" s="6">
        <v>0</v>
      </c>
      <c r="T14" s="6">
        <v>0</v>
      </c>
      <c r="U14" s="6">
        <v>0</v>
      </c>
      <c r="V14" s="6">
        <v>0</v>
      </c>
      <c r="W14" s="6">
        <v>0</v>
      </c>
      <c r="X14" s="6">
        <v>0</v>
      </c>
      <c r="Y14" s="6">
        <v>0</v>
      </c>
      <c r="Z14" s="6">
        <v>0</v>
      </c>
      <c r="AA14" s="6">
        <v>0</v>
      </c>
      <c r="AB14" s="6">
        <v>0</v>
      </c>
      <c r="AC14" s="6">
        <v>0</v>
      </c>
      <c r="AD14" s="6">
        <v>0</v>
      </c>
      <c r="AE14" s="6">
        <v>0</v>
      </c>
      <c r="AF14" s="6">
        <v>0</v>
      </c>
      <c r="AG14" s="6">
        <v>0</v>
      </c>
      <c r="AH14" s="6">
        <v>0</v>
      </c>
      <c r="AI14" s="6">
        <v>0</v>
      </c>
      <c r="AJ14" s="6">
        <v>0</v>
      </c>
      <c r="AK14" s="6">
        <v>0</v>
      </c>
      <c r="AL14" s="6">
        <v>0</v>
      </c>
      <c r="AM14" s="6">
        <v>0</v>
      </c>
      <c r="AN14" s="6">
        <v>0</v>
      </c>
      <c r="AO14" s="6">
        <v>0</v>
      </c>
      <c r="AP14" s="6">
        <v>0</v>
      </c>
      <c r="AQ14" s="6">
        <v>0</v>
      </c>
      <c r="AR14" s="6">
        <v>0</v>
      </c>
      <c r="AS14" s="6">
        <v>0</v>
      </c>
      <c r="AT14" s="6" t="s">
        <v>862</v>
      </c>
      <c r="AU14" s="6" t="s">
        <v>862</v>
      </c>
      <c r="AV14" s="6" t="s">
        <v>862</v>
      </c>
      <c r="AW14" s="6" t="s">
        <v>862</v>
      </c>
      <c r="AX14" s="6">
        <v>0</v>
      </c>
      <c r="AY14" s="6" t="b">
        <v>0</v>
      </c>
      <c r="AZ14" s="6">
        <v>0</v>
      </c>
      <c r="BA14" s="6" t="b">
        <v>0</v>
      </c>
      <c r="BB14" s="6">
        <v>0</v>
      </c>
      <c r="BC14" s="6">
        <v>0</v>
      </c>
      <c r="BD14" s="6">
        <v>0</v>
      </c>
      <c r="BE14" s="6">
        <v>0</v>
      </c>
      <c r="BF14" s="6">
        <v>0</v>
      </c>
      <c r="BG14" s="6" t="s">
        <v>1564</v>
      </c>
      <c r="BH14" s="6">
        <v>0</v>
      </c>
      <c r="BI14" s="6">
        <v>0</v>
      </c>
      <c r="BJ14" s="6">
        <v>0</v>
      </c>
      <c r="BK14" s="6">
        <v>0</v>
      </c>
      <c r="BL14" s="6" t="b">
        <v>0</v>
      </c>
      <c r="BM14" s="6">
        <v>0</v>
      </c>
      <c r="BN14" s="6">
        <v>0</v>
      </c>
      <c r="BO14" s="6">
        <v>0</v>
      </c>
      <c r="BP14" s="6">
        <v>0</v>
      </c>
      <c r="BQ14" s="6">
        <v>0</v>
      </c>
      <c r="BR14" s="6">
        <v>0</v>
      </c>
      <c r="BS14" s="6">
        <v>0</v>
      </c>
      <c r="BT14" s="6">
        <v>0</v>
      </c>
      <c r="BU14" s="6">
        <v>0</v>
      </c>
      <c r="BV14" s="6">
        <v>0</v>
      </c>
      <c r="BW14" s="6">
        <v>0</v>
      </c>
      <c r="BX14" s="6">
        <v>0</v>
      </c>
      <c r="BY14" s="6">
        <v>0</v>
      </c>
      <c r="BZ14" s="6">
        <v>0</v>
      </c>
      <c r="CA14" s="6">
        <v>0</v>
      </c>
      <c r="CB14" s="6">
        <v>0</v>
      </c>
      <c r="CC14" s="6" t="b">
        <v>0</v>
      </c>
      <c r="CD14" s="6">
        <v>0</v>
      </c>
      <c r="CE14" s="6" t="b">
        <v>0</v>
      </c>
      <c r="CF14" s="6">
        <v>0</v>
      </c>
      <c r="CG14" s="6">
        <v>0</v>
      </c>
      <c r="CH14" s="6">
        <v>0</v>
      </c>
      <c r="CI14" s="6">
        <v>0</v>
      </c>
      <c r="CJ14" s="6" t="b">
        <v>0</v>
      </c>
      <c r="CK14" s="6" t="b">
        <v>0</v>
      </c>
      <c r="CL14" s="6">
        <v>0</v>
      </c>
      <c r="CM14" s="6" t="b">
        <v>0</v>
      </c>
      <c r="CN14" s="6"/>
      <c r="CO14" s="6"/>
      <c r="CP14" s="6"/>
      <c r="CQ14" s="6"/>
      <c r="CR14" s="6"/>
      <c r="CS14" s="6"/>
      <c r="CT14" s="6"/>
      <c r="CU14" s="6"/>
      <c r="CV14" s="6"/>
      <c r="CW14" s="6"/>
      <c r="CX14" s="6"/>
      <c r="CY14" s="6"/>
      <c r="CZ14" s="6"/>
      <c r="DA14" s="6"/>
      <c r="DB14" s="6"/>
      <c r="DC14" s="6"/>
      <c r="DD14" s="6"/>
      <c r="DE14" s="6"/>
      <c r="DF14" s="6"/>
      <c r="DG14" s="6"/>
      <c r="DH14" s="6"/>
      <c r="DI14" s="6"/>
    </row>
    <row r="15" spans="1:113" x14ac:dyDescent="0.25">
      <c r="A15" s="6" t="s">
        <v>527</v>
      </c>
      <c r="B15" s="6">
        <v>1</v>
      </c>
      <c r="C15" s="6">
        <v>0</v>
      </c>
      <c r="D15" s="6">
        <v>0</v>
      </c>
      <c r="E15" s="6">
        <v>0</v>
      </c>
      <c r="F15" s="6">
        <v>0</v>
      </c>
      <c r="G15" s="6">
        <v>0</v>
      </c>
      <c r="H15" s="6">
        <v>0</v>
      </c>
      <c r="I15" s="6">
        <v>0</v>
      </c>
      <c r="J15" s="6">
        <v>0</v>
      </c>
      <c r="K15" s="6">
        <v>0</v>
      </c>
      <c r="L15" s="6">
        <v>0</v>
      </c>
      <c r="M15" s="6">
        <v>0</v>
      </c>
      <c r="N15" s="6">
        <v>0</v>
      </c>
      <c r="O15" s="6">
        <v>0</v>
      </c>
      <c r="P15" s="6">
        <v>0</v>
      </c>
      <c r="Q15" s="6">
        <v>0</v>
      </c>
      <c r="R15" s="6">
        <v>0</v>
      </c>
      <c r="S15" s="6">
        <v>0</v>
      </c>
      <c r="T15" s="6">
        <v>0</v>
      </c>
      <c r="U15" s="6">
        <v>0</v>
      </c>
      <c r="V15" s="6">
        <v>0</v>
      </c>
      <c r="W15" s="6">
        <v>0</v>
      </c>
      <c r="X15" s="6">
        <v>0</v>
      </c>
      <c r="Y15" s="6">
        <v>0</v>
      </c>
      <c r="Z15" s="6">
        <v>0</v>
      </c>
      <c r="AA15" s="6">
        <v>0</v>
      </c>
      <c r="AB15" s="6">
        <v>0</v>
      </c>
      <c r="AC15" s="6">
        <v>0</v>
      </c>
      <c r="AD15" s="6">
        <v>0</v>
      </c>
      <c r="AE15" s="6">
        <v>0</v>
      </c>
      <c r="AF15" s="6">
        <v>0</v>
      </c>
      <c r="AG15" s="6">
        <v>0</v>
      </c>
      <c r="AH15" s="6">
        <v>0</v>
      </c>
      <c r="AI15" s="6">
        <v>0</v>
      </c>
      <c r="AJ15" s="6">
        <v>0</v>
      </c>
      <c r="AK15" s="6">
        <v>0</v>
      </c>
      <c r="AL15" s="6">
        <v>0</v>
      </c>
      <c r="AM15" s="6">
        <v>0</v>
      </c>
      <c r="AN15" s="6">
        <v>0</v>
      </c>
      <c r="AO15" s="6">
        <v>0</v>
      </c>
      <c r="AP15" s="6">
        <v>0</v>
      </c>
      <c r="AQ15" s="6">
        <v>0</v>
      </c>
      <c r="AR15" s="6">
        <v>0</v>
      </c>
      <c r="AS15" s="6">
        <v>0</v>
      </c>
      <c r="AT15" s="6" t="s">
        <v>862</v>
      </c>
      <c r="AU15" s="6" t="s">
        <v>862</v>
      </c>
      <c r="AV15" s="6" t="s">
        <v>862</v>
      </c>
      <c r="AW15" s="6" t="s">
        <v>862</v>
      </c>
      <c r="AX15" s="6">
        <v>0</v>
      </c>
      <c r="AY15" s="6" t="b">
        <v>0</v>
      </c>
      <c r="AZ15" s="6">
        <v>0</v>
      </c>
      <c r="BA15" s="6" t="b">
        <v>0</v>
      </c>
      <c r="BB15" s="6">
        <v>0</v>
      </c>
      <c r="BC15" s="6">
        <v>0</v>
      </c>
      <c r="BD15" s="6">
        <v>0</v>
      </c>
      <c r="BE15" s="6">
        <v>0</v>
      </c>
      <c r="BF15" s="6">
        <v>0</v>
      </c>
      <c r="BG15" s="6" t="s">
        <v>1564</v>
      </c>
      <c r="BH15" s="6">
        <v>0</v>
      </c>
      <c r="BI15" s="6">
        <v>0</v>
      </c>
      <c r="BJ15" s="6">
        <v>0</v>
      </c>
      <c r="BK15" s="6">
        <v>0</v>
      </c>
      <c r="BL15" s="6" t="b">
        <v>0</v>
      </c>
      <c r="BM15" s="6">
        <v>0</v>
      </c>
      <c r="BN15" s="6">
        <v>0</v>
      </c>
      <c r="BO15" s="6">
        <v>0</v>
      </c>
      <c r="BP15" s="6">
        <v>0</v>
      </c>
      <c r="BQ15" s="6">
        <v>0</v>
      </c>
      <c r="BR15" s="6">
        <v>0</v>
      </c>
      <c r="BS15" s="6">
        <v>0</v>
      </c>
      <c r="BT15" s="6">
        <v>0</v>
      </c>
      <c r="BU15" s="6">
        <v>0</v>
      </c>
      <c r="BV15" s="6">
        <v>0</v>
      </c>
      <c r="BW15" s="6">
        <v>0</v>
      </c>
      <c r="BX15" s="6">
        <v>0</v>
      </c>
      <c r="BY15" s="6">
        <v>0</v>
      </c>
      <c r="BZ15" s="6">
        <v>0</v>
      </c>
      <c r="CA15" s="6">
        <v>0</v>
      </c>
      <c r="CB15" s="6">
        <v>0</v>
      </c>
      <c r="CC15" s="6" t="b">
        <v>0</v>
      </c>
      <c r="CD15" s="6">
        <v>0</v>
      </c>
      <c r="CE15" s="6" t="b">
        <v>0</v>
      </c>
      <c r="CF15" s="6">
        <v>0</v>
      </c>
      <c r="CG15" s="6">
        <v>0</v>
      </c>
      <c r="CH15" s="6">
        <v>0</v>
      </c>
      <c r="CI15" s="6">
        <v>0</v>
      </c>
      <c r="CJ15" s="6" t="b">
        <v>0</v>
      </c>
      <c r="CK15" s="6" t="b">
        <v>0</v>
      </c>
      <c r="CL15" s="6">
        <v>0</v>
      </c>
      <c r="CM15" s="6" t="b">
        <v>0</v>
      </c>
      <c r="CN15" s="6"/>
      <c r="CO15" s="6"/>
      <c r="CP15" s="6"/>
      <c r="CQ15" s="6"/>
      <c r="CR15" s="6"/>
      <c r="CS15" s="6"/>
      <c r="CT15" s="6"/>
      <c r="CU15" s="6"/>
      <c r="CV15" s="6"/>
      <c r="CW15" s="6"/>
      <c r="CX15" s="6"/>
      <c r="CY15" s="6"/>
      <c r="CZ15" s="6"/>
      <c r="DA15" s="6"/>
      <c r="DB15" s="6"/>
      <c r="DC15" s="6"/>
      <c r="DD15" s="6"/>
      <c r="DE15" s="6"/>
      <c r="DF15" s="6"/>
      <c r="DG15" s="6"/>
      <c r="DH15" s="6"/>
      <c r="DI15" s="6"/>
    </row>
    <row r="16" spans="1:113" x14ac:dyDescent="0.25">
      <c r="A16" s="6" t="s">
        <v>563</v>
      </c>
      <c r="B16" s="6">
        <v>1</v>
      </c>
      <c r="C16" s="6">
        <v>0</v>
      </c>
      <c r="D16" s="6">
        <v>0</v>
      </c>
      <c r="E16" s="6">
        <v>0</v>
      </c>
      <c r="F16" s="6">
        <v>0</v>
      </c>
      <c r="G16" s="6">
        <v>0</v>
      </c>
      <c r="H16" s="6">
        <v>0</v>
      </c>
      <c r="I16" s="6">
        <v>0</v>
      </c>
      <c r="J16" s="6">
        <v>0</v>
      </c>
      <c r="K16" s="6">
        <v>0</v>
      </c>
      <c r="L16" s="6">
        <v>0</v>
      </c>
      <c r="M16" s="6">
        <v>0</v>
      </c>
      <c r="N16" s="6">
        <v>0</v>
      </c>
      <c r="O16" s="6">
        <v>0</v>
      </c>
      <c r="P16" s="6">
        <v>0</v>
      </c>
      <c r="Q16" s="6">
        <v>0</v>
      </c>
      <c r="R16" s="6">
        <v>0</v>
      </c>
      <c r="S16" s="6">
        <v>0</v>
      </c>
      <c r="T16" s="6">
        <v>0</v>
      </c>
      <c r="U16" s="6">
        <v>0</v>
      </c>
      <c r="V16" s="6">
        <v>0</v>
      </c>
      <c r="W16" s="6">
        <v>0</v>
      </c>
      <c r="X16" s="6">
        <v>0</v>
      </c>
      <c r="Y16" s="6">
        <v>0</v>
      </c>
      <c r="Z16" s="6">
        <v>0</v>
      </c>
      <c r="AA16" s="6">
        <v>0</v>
      </c>
      <c r="AB16" s="6">
        <v>0</v>
      </c>
      <c r="AC16" s="6">
        <v>0</v>
      </c>
      <c r="AD16" s="6">
        <v>0</v>
      </c>
      <c r="AE16" s="6">
        <v>0</v>
      </c>
      <c r="AF16" s="6">
        <v>0</v>
      </c>
      <c r="AG16" s="6">
        <v>0</v>
      </c>
      <c r="AH16" s="6">
        <v>0</v>
      </c>
      <c r="AI16" s="6">
        <v>0</v>
      </c>
      <c r="AJ16" s="6">
        <v>0</v>
      </c>
      <c r="AK16" s="6">
        <v>0</v>
      </c>
      <c r="AL16" s="6">
        <v>0</v>
      </c>
      <c r="AM16" s="6">
        <v>0</v>
      </c>
      <c r="AN16" s="6">
        <v>0</v>
      </c>
      <c r="AO16" s="6">
        <v>0</v>
      </c>
      <c r="AP16" s="6">
        <v>0</v>
      </c>
      <c r="AQ16" s="6">
        <v>0</v>
      </c>
      <c r="AR16" s="6">
        <v>0</v>
      </c>
      <c r="AS16" s="6">
        <v>0</v>
      </c>
      <c r="AT16" s="6" t="s">
        <v>862</v>
      </c>
      <c r="AU16" s="6" t="s">
        <v>862</v>
      </c>
      <c r="AV16" s="6" t="s">
        <v>862</v>
      </c>
      <c r="AW16" s="6" t="s">
        <v>862</v>
      </c>
      <c r="AX16" s="6">
        <v>0</v>
      </c>
      <c r="AY16" s="6" t="b">
        <v>0</v>
      </c>
      <c r="AZ16" s="6">
        <v>0</v>
      </c>
      <c r="BA16" s="6" t="b">
        <v>0</v>
      </c>
      <c r="BB16" s="6">
        <v>0</v>
      </c>
      <c r="BC16" s="6">
        <v>0</v>
      </c>
      <c r="BD16" s="6">
        <v>0</v>
      </c>
      <c r="BE16" s="6">
        <v>0</v>
      </c>
      <c r="BF16" s="6">
        <v>0</v>
      </c>
      <c r="BG16" s="6" t="s">
        <v>1564</v>
      </c>
      <c r="BH16" s="6">
        <v>0</v>
      </c>
      <c r="BI16" s="6">
        <v>0</v>
      </c>
      <c r="BJ16" s="6">
        <v>0</v>
      </c>
      <c r="BK16" s="6">
        <v>0</v>
      </c>
      <c r="BL16" s="6" t="b">
        <v>0</v>
      </c>
      <c r="BM16" s="6">
        <v>0</v>
      </c>
      <c r="BN16" s="6">
        <v>0</v>
      </c>
      <c r="BO16" s="6">
        <v>0</v>
      </c>
      <c r="BP16" s="6">
        <v>0</v>
      </c>
      <c r="BQ16" s="6">
        <v>0</v>
      </c>
      <c r="BR16" s="6">
        <v>0</v>
      </c>
      <c r="BS16" s="6">
        <v>0</v>
      </c>
      <c r="BT16" s="6">
        <v>0</v>
      </c>
      <c r="BU16" s="6">
        <v>0</v>
      </c>
      <c r="BV16" s="6">
        <v>0</v>
      </c>
      <c r="BW16" s="6">
        <v>0</v>
      </c>
      <c r="BX16" s="6">
        <v>0</v>
      </c>
      <c r="BY16" s="6">
        <v>0</v>
      </c>
      <c r="BZ16" s="6">
        <v>0</v>
      </c>
      <c r="CA16" s="6">
        <v>0</v>
      </c>
      <c r="CB16" s="6">
        <v>0</v>
      </c>
      <c r="CC16" s="6" t="b">
        <v>0</v>
      </c>
      <c r="CD16" s="6">
        <v>0</v>
      </c>
      <c r="CE16" s="6" t="b">
        <v>0</v>
      </c>
      <c r="CF16" s="6">
        <v>0</v>
      </c>
      <c r="CG16" s="6">
        <v>0</v>
      </c>
      <c r="CH16" s="6">
        <v>0</v>
      </c>
      <c r="CI16" s="6">
        <v>0</v>
      </c>
      <c r="CJ16" s="6" t="b">
        <v>0</v>
      </c>
      <c r="CK16" s="6" t="b">
        <v>0</v>
      </c>
      <c r="CL16" s="6">
        <v>0</v>
      </c>
      <c r="CM16" s="6" t="b">
        <v>0</v>
      </c>
      <c r="CN16" s="6"/>
      <c r="CO16" s="6"/>
      <c r="CP16" s="6"/>
      <c r="CQ16" s="6"/>
      <c r="CR16" s="6"/>
      <c r="CS16" s="6"/>
      <c r="CT16" s="6"/>
      <c r="CU16" s="6"/>
      <c r="CV16" s="6"/>
      <c r="CW16" s="6"/>
      <c r="CX16" s="6"/>
      <c r="CY16" s="6"/>
      <c r="CZ16" s="6"/>
      <c r="DA16" s="6"/>
      <c r="DB16" s="6"/>
      <c r="DC16" s="6"/>
      <c r="DD16" s="6"/>
      <c r="DE16" s="6"/>
      <c r="DF16" s="6"/>
      <c r="DG16" s="6"/>
      <c r="DH16" s="6"/>
      <c r="DI16" s="6"/>
    </row>
    <row r="17" spans="1:113" x14ac:dyDescent="0.25">
      <c r="A17" s="6" t="s">
        <v>564</v>
      </c>
      <c r="B17" s="6">
        <v>1</v>
      </c>
      <c r="C17" s="6">
        <v>0</v>
      </c>
      <c r="D17" s="6">
        <v>0</v>
      </c>
      <c r="E17" s="6">
        <v>0</v>
      </c>
      <c r="F17" s="6">
        <v>0</v>
      </c>
      <c r="G17" s="6">
        <v>0</v>
      </c>
      <c r="H17" s="6">
        <v>0</v>
      </c>
      <c r="I17" s="6">
        <v>0</v>
      </c>
      <c r="J17" s="6">
        <v>0</v>
      </c>
      <c r="K17" s="6">
        <v>0</v>
      </c>
      <c r="L17" s="6">
        <v>0</v>
      </c>
      <c r="M17" s="6">
        <v>0</v>
      </c>
      <c r="N17" s="6">
        <v>0</v>
      </c>
      <c r="O17" s="6">
        <v>0</v>
      </c>
      <c r="P17" s="6">
        <v>0</v>
      </c>
      <c r="Q17" s="6">
        <v>0</v>
      </c>
      <c r="R17" s="6">
        <v>0</v>
      </c>
      <c r="S17" s="6">
        <v>0</v>
      </c>
      <c r="T17" s="6">
        <v>0</v>
      </c>
      <c r="U17" s="6">
        <v>0</v>
      </c>
      <c r="V17" s="6">
        <v>0</v>
      </c>
      <c r="W17" s="6">
        <v>0</v>
      </c>
      <c r="X17" s="6">
        <v>0</v>
      </c>
      <c r="Y17" s="6">
        <v>0</v>
      </c>
      <c r="Z17" s="6">
        <v>0</v>
      </c>
      <c r="AA17" s="6">
        <v>0</v>
      </c>
      <c r="AB17" s="6">
        <v>0</v>
      </c>
      <c r="AC17" s="6">
        <v>0</v>
      </c>
      <c r="AD17" s="6">
        <v>0</v>
      </c>
      <c r="AE17" s="6">
        <v>0</v>
      </c>
      <c r="AF17" s="6">
        <v>0</v>
      </c>
      <c r="AG17" s="6">
        <v>0</v>
      </c>
      <c r="AH17" s="6">
        <v>0</v>
      </c>
      <c r="AI17" s="6">
        <v>0</v>
      </c>
      <c r="AJ17" s="6">
        <v>0</v>
      </c>
      <c r="AK17" s="6">
        <v>0</v>
      </c>
      <c r="AL17" s="6">
        <v>0</v>
      </c>
      <c r="AM17" s="6">
        <v>0</v>
      </c>
      <c r="AN17" s="6">
        <v>0</v>
      </c>
      <c r="AO17" s="6">
        <v>0</v>
      </c>
      <c r="AP17" s="6">
        <v>0</v>
      </c>
      <c r="AQ17" s="6">
        <v>0</v>
      </c>
      <c r="AR17" s="6">
        <v>0</v>
      </c>
      <c r="AS17" s="6">
        <v>0</v>
      </c>
      <c r="AT17" s="6" t="s">
        <v>862</v>
      </c>
      <c r="AU17" s="6" t="s">
        <v>862</v>
      </c>
      <c r="AV17" s="6" t="s">
        <v>862</v>
      </c>
      <c r="AW17" s="6" t="s">
        <v>862</v>
      </c>
      <c r="AX17" s="6">
        <v>0</v>
      </c>
      <c r="AY17" s="6" t="b">
        <v>0</v>
      </c>
      <c r="AZ17" s="6">
        <v>0</v>
      </c>
      <c r="BA17" s="6" t="b">
        <v>0</v>
      </c>
      <c r="BB17" s="6">
        <v>0</v>
      </c>
      <c r="BC17" s="6">
        <v>0</v>
      </c>
      <c r="BD17" s="6">
        <v>0</v>
      </c>
      <c r="BE17" s="6">
        <v>0</v>
      </c>
      <c r="BF17" s="6">
        <v>0</v>
      </c>
      <c r="BG17" s="6" t="s">
        <v>1564</v>
      </c>
      <c r="BH17" s="6">
        <v>0</v>
      </c>
      <c r="BI17" s="6">
        <v>0</v>
      </c>
      <c r="BJ17" s="6">
        <v>0</v>
      </c>
      <c r="BK17" s="6">
        <v>0</v>
      </c>
      <c r="BL17" s="6" t="b">
        <v>0</v>
      </c>
      <c r="BM17" s="6">
        <v>0</v>
      </c>
      <c r="BN17" s="6">
        <v>0</v>
      </c>
      <c r="BO17" s="6">
        <v>0</v>
      </c>
      <c r="BP17" s="6">
        <v>0</v>
      </c>
      <c r="BQ17" s="6">
        <v>0</v>
      </c>
      <c r="BR17" s="6">
        <v>0</v>
      </c>
      <c r="BS17" s="6">
        <v>0</v>
      </c>
      <c r="BT17" s="6">
        <v>0</v>
      </c>
      <c r="BU17" s="6">
        <v>0</v>
      </c>
      <c r="BV17" s="6">
        <v>0</v>
      </c>
      <c r="BW17" s="6">
        <v>0</v>
      </c>
      <c r="BX17" s="6">
        <v>0</v>
      </c>
      <c r="BY17" s="6">
        <v>0</v>
      </c>
      <c r="BZ17" s="6">
        <v>0</v>
      </c>
      <c r="CA17" s="6">
        <v>0</v>
      </c>
      <c r="CB17" s="6">
        <v>0</v>
      </c>
      <c r="CC17" s="6" t="b">
        <v>0</v>
      </c>
      <c r="CD17" s="6">
        <v>0</v>
      </c>
      <c r="CE17" s="6" t="b">
        <v>0</v>
      </c>
      <c r="CF17" s="6">
        <v>0</v>
      </c>
      <c r="CG17" s="6">
        <v>0</v>
      </c>
      <c r="CH17" s="6">
        <v>0</v>
      </c>
      <c r="CI17" s="6">
        <v>0</v>
      </c>
      <c r="CJ17" s="6" t="b">
        <v>0</v>
      </c>
      <c r="CK17" s="6" t="b">
        <v>0</v>
      </c>
      <c r="CL17" s="6">
        <v>0</v>
      </c>
      <c r="CM17" s="6" t="b">
        <v>0</v>
      </c>
      <c r="CN17" s="6"/>
      <c r="CO17" s="6"/>
      <c r="CP17" s="6"/>
      <c r="CQ17" s="6"/>
      <c r="CR17" s="6"/>
      <c r="CS17" s="6"/>
      <c r="CT17" s="6"/>
      <c r="CU17" s="6"/>
      <c r="CV17" s="6"/>
      <c r="CW17" s="6"/>
      <c r="CX17" s="6"/>
      <c r="CY17" s="6"/>
      <c r="CZ17" s="6"/>
      <c r="DA17" s="6"/>
      <c r="DB17" s="6"/>
      <c r="DC17" s="6"/>
      <c r="DD17" s="6"/>
      <c r="DE17" s="6"/>
      <c r="DF17" s="6"/>
      <c r="DG17" s="6"/>
      <c r="DH17" s="6"/>
      <c r="DI17" s="6"/>
    </row>
    <row r="18" spans="1:113" x14ac:dyDescent="0.25">
      <c r="A18" s="6" t="s">
        <v>565</v>
      </c>
      <c r="B18" s="6">
        <v>1</v>
      </c>
      <c r="C18" s="6">
        <v>0</v>
      </c>
      <c r="D18" s="6">
        <v>0</v>
      </c>
      <c r="E18" s="6">
        <v>0</v>
      </c>
      <c r="F18" s="6">
        <v>0</v>
      </c>
      <c r="G18" s="6">
        <v>0</v>
      </c>
      <c r="H18" s="6">
        <v>0</v>
      </c>
      <c r="I18" s="6">
        <v>0</v>
      </c>
      <c r="J18" s="6">
        <v>0</v>
      </c>
      <c r="K18" s="6">
        <v>0</v>
      </c>
      <c r="L18" s="6">
        <v>0</v>
      </c>
      <c r="M18" s="6">
        <v>0</v>
      </c>
      <c r="N18" s="6">
        <v>0</v>
      </c>
      <c r="O18" s="6">
        <v>0</v>
      </c>
      <c r="P18" s="6">
        <v>0</v>
      </c>
      <c r="Q18" s="6">
        <v>0</v>
      </c>
      <c r="R18" s="6">
        <v>0</v>
      </c>
      <c r="S18" s="6">
        <v>0</v>
      </c>
      <c r="T18" s="6">
        <v>0</v>
      </c>
      <c r="U18" s="6">
        <v>0</v>
      </c>
      <c r="V18" s="6">
        <v>0</v>
      </c>
      <c r="W18" s="6">
        <v>0</v>
      </c>
      <c r="X18" s="6">
        <v>0</v>
      </c>
      <c r="Y18" s="6">
        <v>0</v>
      </c>
      <c r="Z18" s="6">
        <v>0</v>
      </c>
      <c r="AA18" s="6">
        <v>0</v>
      </c>
      <c r="AB18" s="6">
        <v>0</v>
      </c>
      <c r="AC18" s="6">
        <v>0</v>
      </c>
      <c r="AD18" s="6">
        <v>0</v>
      </c>
      <c r="AE18" s="6">
        <v>0</v>
      </c>
      <c r="AF18" s="6">
        <v>0</v>
      </c>
      <c r="AG18" s="6">
        <v>0</v>
      </c>
      <c r="AH18" s="6">
        <v>0</v>
      </c>
      <c r="AI18" s="6">
        <v>0</v>
      </c>
      <c r="AJ18" s="6">
        <v>0</v>
      </c>
      <c r="AK18" s="6">
        <v>0</v>
      </c>
      <c r="AL18" s="6">
        <v>0</v>
      </c>
      <c r="AM18" s="6">
        <v>0</v>
      </c>
      <c r="AN18" s="6">
        <v>0</v>
      </c>
      <c r="AO18" s="6">
        <v>0</v>
      </c>
      <c r="AP18" s="6">
        <v>0</v>
      </c>
      <c r="AQ18" s="6">
        <v>0</v>
      </c>
      <c r="AR18" s="6">
        <v>0</v>
      </c>
      <c r="AS18" s="6">
        <v>0</v>
      </c>
      <c r="AT18" s="6" t="s">
        <v>862</v>
      </c>
      <c r="AU18" s="6" t="s">
        <v>862</v>
      </c>
      <c r="AV18" s="6" t="s">
        <v>862</v>
      </c>
      <c r="AW18" s="6" t="s">
        <v>862</v>
      </c>
      <c r="AX18" s="6">
        <v>0</v>
      </c>
      <c r="AY18" s="6" t="b">
        <v>0</v>
      </c>
      <c r="AZ18" s="6">
        <v>0</v>
      </c>
      <c r="BA18" s="6" t="b">
        <v>0</v>
      </c>
      <c r="BB18" s="6">
        <v>0</v>
      </c>
      <c r="BC18" s="6">
        <v>0</v>
      </c>
      <c r="BD18" s="6">
        <v>0</v>
      </c>
      <c r="BE18" s="6">
        <v>0</v>
      </c>
      <c r="BF18" s="6">
        <v>0</v>
      </c>
      <c r="BG18" s="6" t="s">
        <v>1564</v>
      </c>
      <c r="BH18" s="6">
        <v>0</v>
      </c>
      <c r="BI18" s="6">
        <v>0</v>
      </c>
      <c r="BJ18" s="6">
        <v>0</v>
      </c>
      <c r="BK18" s="6">
        <v>0</v>
      </c>
      <c r="BL18" s="6" t="b">
        <v>0</v>
      </c>
      <c r="BM18" s="6">
        <v>0</v>
      </c>
      <c r="BN18" s="6">
        <v>0</v>
      </c>
      <c r="BO18" s="6">
        <v>0</v>
      </c>
      <c r="BP18" s="6">
        <v>0</v>
      </c>
      <c r="BQ18" s="6">
        <v>0</v>
      </c>
      <c r="BR18" s="6">
        <v>0</v>
      </c>
      <c r="BS18" s="6">
        <v>0</v>
      </c>
      <c r="BT18" s="6">
        <v>0</v>
      </c>
      <c r="BU18" s="6">
        <v>0</v>
      </c>
      <c r="BV18" s="6">
        <v>0</v>
      </c>
      <c r="BW18" s="6">
        <v>0</v>
      </c>
      <c r="BX18" s="6">
        <v>0</v>
      </c>
      <c r="BY18" s="6">
        <v>0</v>
      </c>
      <c r="BZ18" s="6">
        <v>0</v>
      </c>
      <c r="CA18" s="6">
        <v>0</v>
      </c>
      <c r="CB18" s="6">
        <v>0</v>
      </c>
      <c r="CC18" s="6" t="b">
        <v>0</v>
      </c>
      <c r="CD18" s="6">
        <v>0</v>
      </c>
      <c r="CE18" s="6" t="b">
        <v>0</v>
      </c>
      <c r="CF18" s="6">
        <v>0</v>
      </c>
      <c r="CG18" s="6">
        <v>0</v>
      </c>
      <c r="CH18" s="6">
        <v>0</v>
      </c>
      <c r="CI18" s="6">
        <v>0</v>
      </c>
      <c r="CJ18" s="6" t="b">
        <v>0</v>
      </c>
      <c r="CK18" s="6" t="b">
        <v>0</v>
      </c>
      <c r="CL18" s="6">
        <v>0</v>
      </c>
      <c r="CM18" s="6" t="b">
        <v>0</v>
      </c>
      <c r="CN18" s="6"/>
      <c r="CO18" s="6"/>
      <c r="CP18" s="6"/>
      <c r="CQ18" s="6"/>
      <c r="CR18" s="6"/>
      <c r="CS18" s="6"/>
      <c r="CT18" s="6"/>
      <c r="CU18" s="6"/>
      <c r="CV18" s="6"/>
      <c r="CW18" s="6"/>
      <c r="CX18" s="6"/>
      <c r="CY18" s="6"/>
      <c r="CZ18" s="6"/>
      <c r="DA18" s="6"/>
      <c r="DB18" s="6"/>
      <c r="DC18" s="6"/>
      <c r="DD18" s="6"/>
      <c r="DE18" s="6"/>
      <c r="DF18" s="6"/>
      <c r="DG18" s="6"/>
      <c r="DH18" s="6"/>
      <c r="DI18" s="6"/>
    </row>
    <row r="19" spans="1:113" x14ac:dyDescent="0.25">
      <c r="A19" s="6" t="s">
        <v>603</v>
      </c>
      <c r="B19" s="6">
        <v>1</v>
      </c>
      <c r="C19" s="6">
        <v>0</v>
      </c>
      <c r="D19" s="6">
        <v>0</v>
      </c>
      <c r="E19" s="6">
        <v>0</v>
      </c>
      <c r="F19" s="6">
        <v>0</v>
      </c>
      <c r="G19" s="6">
        <v>0</v>
      </c>
      <c r="H19" s="6">
        <v>0</v>
      </c>
      <c r="I19" s="6">
        <v>0</v>
      </c>
      <c r="J19" s="6">
        <v>0</v>
      </c>
      <c r="K19" s="6">
        <v>0</v>
      </c>
      <c r="L19" s="6">
        <v>0</v>
      </c>
      <c r="M19" s="6">
        <v>0</v>
      </c>
      <c r="N19" s="6">
        <v>0</v>
      </c>
      <c r="O19" s="6">
        <v>0</v>
      </c>
      <c r="P19" s="6">
        <v>0</v>
      </c>
      <c r="Q19" s="6">
        <v>0</v>
      </c>
      <c r="R19" s="6">
        <v>0</v>
      </c>
      <c r="S19" s="6">
        <v>0</v>
      </c>
      <c r="T19" s="6">
        <v>0</v>
      </c>
      <c r="U19" s="6">
        <v>0</v>
      </c>
      <c r="V19" s="6">
        <v>0</v>
      </c>
      <c r="W19" s="6">
        <v>0</v>
      </c>
      <c r="X19" s="6">
        <v>0</v>
      </c>
      <c r="Y19" s="6">
        <v>0</v>
      </c>
      <c r="Z19" s="6">
        <v>0</v>
      </c>
      <c r="AA19" s="6">
        <v>0</v>
      </c>
      <c r="AB19" s="6">
        <v>0</v>
      </c>
      <c r="AC19" s="6">
        <v>0</v>
      </c>
      <c r="AD19" s="6">
        <v>0</v>
      </c>
      <c r="AE19" s="6">
        <v>0</v>
      </c>
      <c r="AF19" s="6">
        <v>0</v>
      </c>
      <c r="AG19" s="6">
        <v>0</v>
      </c>
      <c r="AH19" s="6">
        <v>0</v>
      </c>
      <c r="AI19" s="6">
        <v>0</v>
      </c>
      <c r="AJ19" s="6">
        <v>0</v>
      </c>
      <c r="AK19" s="6">
        <v>0</v>
      </c>
      <c r="AL19" s="6">
        <v>0</v>
      </c>
      <c r="AM19" s="6">
        <v>0</v>
      </c>
      <c r="AN19" s="6">
        <v>0</v>
      </c>
      <c r="AO19" s="6">
        <v>0</v>
      </c>
      <c r="AP19" s="6">
        <v>0</v>
      </c>
      <c r="AQ19" s="6">
        <v>0</v>
      </c>
      <c r="AR19" s="6">
        <v>0</v>
      </c>
      <c r="AS19" s="6">
        <v>0</v>
      </c>
      <c r="AT19" s="6" t="s">
        <v>862</v>
      </c>
      <c r="AU19" s="6" t="s">
        <v>862</v>
      </c>
      <c r="AV19" s="6" t="s">
        <v>862</v>
      </c>
      <c r="AW19" s="6" t="s">
        <v>862</v>
      </c>
      <c r="AX19" s="6">
        <v>0</v>
      </c>
      <c r="AY19" s="6" t="b">
        <v>0</v>
      </c>
      <c r="AZ19" s="6">
        <v>0</v>
      </c>
      <c r="BA19" s="6" t="b">
        <v>0</v>
      </c>
      <c r="BB19" s="6">
        <v>0</v>
      </c>
      <c r="BC19" s="6">
        <v>0</v>
      </c>
      <c r="BD19" s="6">
        <v>0</v>
      </c>
      <c r="BE19" s="6">
        <v>0</v>
      </c>
      <c r="BF19" s="6">
        <v>0</v>
      </c>
      <c r="BG19" s="6" t="s">
        <v>1564</v>
      </c>
      <c r="BH19" s="6">
        <v>0</v>
      </c>
      <c r="BI19" s="6">
        <v>0</v>
      </c>
      <c r="BJ19" s="6">
        <v>0</v>
      </c>
      <c r="BK19" s="6">
        <v>0</v>
      </c>
      <c r="BL19" s="6" t="b">
        <v>0</v>
      </c>
      <c r="BM19" s="6">
        <v>0</v>
      </c>
      <c r="BN19" s="6">
        <v>0</v>
      </c>
      <c r="BO19" s="6">
        <v>0</v>
      </c>
      <c r="BP19" s="6">
        <v>0</v>
      </c>
      <c r="BQ19" s="6">
        <v>0</v>
      </c>
      <c r="BR19" s="6">
        <v>0</v>
      </c>
      <c r="BS19" s="6">
        <v>0</v>
      </c>
      <c r="BT19" s="6">
        <v>0</v>
      </c>
      <c r="BU19" s="6">
        <v>0</v>
      </c>
      <c r="BV19" s="6">
        <v>0</v>
      </c>
      <c r="BW19" s="6">
        <v>0</v>
      </c>
      <c r="BX19" s="6">
        <v>0</v>
      </c>
      <c r="BY19" s="6">
        <v>0</v>
      </c>
      <c r="BZ19" s="6">
        <v>0</v>
      </c>
      <c r="CA19" s="6">
        <v>0</v>
      </c>
      <c r="CB19" s="6">
        <v>0</v>
      </c>
      <c r="CC19" s="6" t="b">
        <v>0</v>
      </c>
      <c r="CD19" s="6">
        <v>0</v>
      </c>
      <c r="CE19" s="6" t="b">
        <v>0</v>
      </c>
      <c r="CF19" s="6">
        <v>0</v>
      </c>
      <c r="CG19" s="6">
        <v>0</v>
      </c>
      <c r="CH19" s="6">
        <v>0</v>
      </c>
      <c r="CI19" s="6">
        <v>0</v>
      </c>
      <c r="CJ19" s="6" t="b">
        <v>0</v>
      </c>
      <c r="CK19" s="6" t="b">
        <v>0</v>
      </c>
      <c r="CL19" s="6">
        <v>0</v>
      </c>
      <c r="CM19" s="6" t="b">
        <v>0</v>
      </c>
      <c r="CN19" s="6"/>
      <c r="CO19" s="6"/>
      <c r="CP19" s="6"/>
      <c r="CQ19" s="6"/>
      <c r="CR19" s="6"/>
      <c r="CS19" s="6"/>
      <c r="CT19" s="6"/>
      <c r="CU19" s="6"/>
      <c r="CV19" s="6"/>
      <c r="CW19" s="6"/>
      <c r="CX19" s="6"/>
      <c r="CY19" s="6"/>
      <c r="CZ19" s="6"/>
      <c r="DA19" s="6"/>
      <c r="DB19" s="6"/>
      <c r="DC19" s="6"/>
      <c r="DD19" s="6"/>
      <c r="DE19" s="6"/>
      <c r="DF19" s="6"/>
      <c r="DG19" s="6"/>
      <c r="DH19" s="6"/>
      <c r="DI19" s="6"/>
    </row>
    <row r="20" spans="1:113" x14ac:dyDescent="0.25">
      <c r="A20" s="6" t="s">
        <v>604</v>
      </c>
      <c r="B20" s="6">
        <v>1</v>
      </c>
      <c r="C20" s="6">
        <v>0</v>
      </c>
      <c r="D20" s="6">
        <v>0</v>
      </c>
      <c r="E20" s="6">
        <v>0</v>
      </c>
      <c r="F20" s="6">
        <v>0</v>
      </c>
      <c r="G20" s="6">
        <v>0</v>
      </c>
      <c r="H20" s="6">
        <v>0</v>
      </c>
      <c r="I20" s="6">
        <v>0</v>
      </c>
      <c r="J20" s="6">
        <v>0</v>
      </c>
      <c r="K20" s="6">
        <v>0</v>
      </c>
      <c r="L20" s="6">
        <v>0</v>
      </c>
      <c r="M20" s="6">
        <v>0</v>
      </c>
      <c r="N20" s="6">
        <v>0</v>
      </c>
      <c r="O20" s="6">
        <v>0</v>
      </c>
      <c r="P20" s="6">
        <v>0</v>
      </c>
      <c r="Q20" s="6">
        <v>0</v>
      </c>
      <c r="R20" s="6">
        <v>0</v>
      </c>
      <c r="S20" s="6">
        <v>0</v>
      </c>
      <c r="T20" s="6">
        <v>0</v>
      </c>
      <c r="U20" s="6">
        <v>0</v>
      </c>
      <c r="V20" s="6">
        <v>0</v>
      </c>
      <c r="W20" s="6">
        <v>0</v>
      </c>
      <c r="X20" s="6">
        <v>0</v>
      </c>
      <c r="Y20" s="6">
        <v>0</v>
      </c>
      <c r="Z20" s="6">
        <v>0</v>
      </c>
      <c r="AA20" s="6">
        <v>0</v>
      </c>
      <c r="AB20" s="6">
        <v>0</v>
      </c>
      <c r="AC20" s="6">
        <v>0</v>
      </c>
      <c r="AD20" s="6">
        <v>0</v>
      </c>
      <c r="AE20" s="6">
        <v>0</v>
      </c>
      <c r="AF20" s="6">
        <v>0</v>
      </c>
      <c r="AG20" s="6">
        <v>0</v>
      </c>
      <c r="AH20" s="6">
        <v>0</v>
      </c>
      <c r="AI20" s="6">
        <v>0</v>
      </c>
      <c r="AJ20" s="6">
        <v>0</v>
      </c>
      <c r="AK20" s="6">
        <v>0</v>
      </c>
      <c r="AL20" s="6">
        <v>0</v>
      </c>
      <c r="AM20" s="6">
        <v>0</v>
      </c>
      <c r="AN20" s="6">
        <v>0</v>
      </c>
      <c r="AO20" s="6">
        <v>0</v>
      </c>
      <c r="AP20" s="6">
        <v>0</v>
      </c>
      <c r="AQ20" s="6">
        <v>0</v>
      </c>
      <c r="AR20" s="6">
        <v>0</v>
      </c>
      <c r="AS20" s="6">
        <v>0</v>
      </c>
      <c r="AT20" s="6" t="s">
        <v>862</v>
      </c>
      <c r="AU20" s="6" t="s">
        <v>862</v>
      </c>
      <c r="AV20" s="6" t="s">
        <v>862</v>
      </c>
      <c r="AW20" s="6" t="s">
        <v>862</v>
      </c>
      <c r="AX20" s="6">
        <v>0</v>
      </c>
      <c r="AY20" s="6" t="b">
        <v>0</v>
      </c>
      <c r="AZ20" s="6">
        <v>0</v>
      </c>
      <c r="BA20" s="6" t="b">
        <v>0</v>
      </c>
      <c r="BB20" s="6">
        <v>0</v>
      </c>
      <c r="BC20" s="6">
        <v>0</v>
      </c>
      <c r="BD20" s="6">
        <v>0</v>
      </c>
      <c r="BE20" s="6">
        <v>0</v>
      </c>
      <c r="BF20" s="6">
        <v>0</v>
      </c>
      <c r="BG20" s="6" t="s">
        <v>1564</v>
      </c>
      <c r="BH20" s="6">
        <v>0</v>
      </c>
      <c r="BI20" s="6">
        <v>0</v>
      </c>
      <c r="BJ20" s="6">
        <v>0</v>
      </c>
      <c r="BK20" s="6">
        <v>0</v>
      </c>
      <c r="BL20" s="6" t="b">
        <v>0</v>
      </c>
      <c r="BM20" s="6">
        <v>0</v>
      </c>
      <c r="BN20" s="6">
        <v>0</v>
      </c>
      <c r="BO20" s="6">
        <v>0</v>
      </c>
      <c r="BP20" s="6">
        <v>0</v>
      </c>
      <c r="BQ20" s="6">
        <v>0</v>
      </c>
      <c r="BR20" s="6">
        <v>0</v>
      </c>
      <c r="BS20" s="6">
        <v>0</v>
      </c>
      <c r="BT20" s="6">
        <v>0</v>
      </c>
      <c r="BU20" s="6">
        <v>0</v>
      </c>
      <c r="BV20" s="6">
        <v>0</v>
      </c>
      <c r="BW20" s="6">
        <v>0</v>
      </c>
      <c r="BX20" s="6">
        <v>0</v>
      </c>
      <c r="BY20" s="6">
        <v>0</v>
      </c>
      <c r="BZ20" s="6">
        <v>0</v>
      </c>
      <c r="CA20" s="6">
        <v>0</v>
      </c>
      <c r="CB20" s="6">
        <v>0</v>
      </c>
      <c r="CC20" s="6" t="b">
        <v>0</v>
      </c>
      <c r="CD20" s="6">
        <v>0</v>
      </c>
      <c r="CE20" s="6" t="b">
        <v>0</v>
      </c>
      <c r="CF20" s="6">
        <v>0</v>
      </c>
      <c r="CG20" s="6">
        <v>0</v>
      </c>
      <c r="CH20" s="6">
        <v>0</v>
      </c>
      <c r="CI20" s="6">
        <v>0</v>
      </c>
      <c r="CJ20" s="6" t="b">
        <v>0</v>
      </c>
      <c r="CK20" s="6" t="b">
        <v>0</v>
      </c>
      <c r="CL20" s="6">
        <v>0</v>
      </c>
      <c r="CM20" s="6" t="b">
        <v>0</v>
      </c>
      <c r="CN20" s="6"/>
      <c r="CO20" s="6"/>
      <c r="CP20" s="6"/>
      <c r="CQ20" s="6"/>
      <c r="CR20" s="6"/>
      <c r="CS20" s="6"/>
      <c r="CT20" s="6"/>
      <c r="CU20" s="6"/>
      <c r="CV20" s="6"/>
      <c r="CW20" s="6"/>
      <c r="CX20" s="6"/>
      <c r="CY20" s="6"/>
      <c r="CZ20" s="6"/>
      <c r="DA20" s="6"/>
      <c r="DB20" s="6"/>
      <c r="DC20" s="6"/>
      <c r="DD20" s="6"/>
      <c r="DE20" s="6"/>
      <c r="DF20" s="6"/>
      <c r="DG20" s="6"/>
      <c r="DH20" s="6"/>
      <c r="DI20" s="6"/>
    </row>
    <row r="21" spans="1:113" x14ac:dyDescent="0.25">
      <c r="A21" s="6" t="s">
        <v>605</v>
      </c>
      <c r="B21" s="6">
        <v>1</v>
      </c>
      <c r="C21" s="6">
        <v>0</v>
      </c>
      <c r="D21" s="6">
        <v>0</v>
      </c>
      <c r="E21" s="6">
        <v>0</v>
      </c>
      <c r="F21" s="6">
        <v>0</v>
      </c>
      <c r="G21" s="6">
        <v>0</v>
      </c>
      <c r="H21" s="6">
        <v>0</v>
      </c>
      <c r="I21" s="6">
        <v>0</v>
      </c>
      <c r="J21" s="6">
        <v>0</v>
      </c>
      <c r="K21" s="6">
        <v>0</v>
      </c>
      <c r="L21" s="6">
        <v>0</v>
      </c>
      <c r="M21" s="6">
        <v>0</v>
      </c>
      <c r="N21" s="6">
        <v>0</v>
      </c>
      <c r="O21" s="6">
        <v>0</v>
      </c>
      <c r="P21" s="6">
        <v>0</v>
      </c>
      <c r="Q21" s="6">
        <v>0</v>
      </c>
      <c r="R21" s="6">
        <v>0</v>
      </c>
      <c r="S21" s="6">
        <v>0</v>
      </c>
      <c r="T21" s="6">
        <v>0</v>
      </c>
      <c r="U21" s="6">
        <v>0</v>
      </c>
      <c r="V21" s="6">
        <v>0</v>
      </c>
      <c r="W21" s="6">
        <v>0</v>
      </c>
      <c r="X21" s="6">
        <v>0</v>
      </c>
      <c r="Y21" s="6">
        <v>0</v>
      </c>
      <c r="Z21" s="6">
        <v>0</v>
      </c>
      <c r="AA21" s="6">
        <v>0</v>
      </c>
      <c r="AB21" s="6">
        <v>0</v>
      </c>
      <c r="AC21" s="6">
        <v>0</v>
      </c>
      <c r="AD21" s="6">
        <v>0</v>
      </c>
      <c r="AE21" s="6">
        <v>0</v>
      </c>
      <c r="AF21" s="6">
        <v>0</v>
      </c>
      <c r="AG21" s="6">
        <v>0</v>
      </c>
      <c r="AH21" s="6">
        <v>0</v>
      </c>
      <c r="AI21" s="6">
        <v>0</v>
      </c>
      <c r="AJ21" s="6">
        <v>0</v>
      </c>
      <c r="AK21" s="6">
        <v>0</v>
      </c>
      <c r="AL21" s="6">
        <v>0</v>
      </c>
      <c r="AM21" s="6">
        <v>0</v>
      </c>
      <c r="AN21" s="6">
        <v>0</v>
      </c>
      <c r="AO21" s="6">
        <v>0</v>
      </c>
      <c r="AP21" s="6">
        <v>0</v>
      </c>
      <c r="AQ21" s="6">
        <v>0</v>
      </c>
      <c r="AR21" s="6">
        <v>0</v>
      </c>
      <c r="AS21" s="6">
        <v>0</v>
      </c>
      <c r="AT21" s="6" t="s">
        <v>862</v>
      </c>
      <c r="AU21" s="6" t="s">
        <v>862</v>
      </c>
      <c r="AV21" s="6" t="s">
        <v>862</v>
      </c>
      <c r="AW21" s="6" t="s">
        <v>862</v>
      </c>
      <c r="AX21" s="6">
        <v>0</v>
      </c>
      <c r="AY21" s="6" t="b">
        <v>0</v>
      </c>
      <c r="AZ21" s="6">
        <v>0</v>
      </c>
      <c r="BA21" s="6" t="b">
        <v>0</v>
      </c>
      <c r="BB21" s="6">
        <v>0</v>
      </c>
      <c r="BC21" s="6">
        <v>0</v>
      </c>
      <c r="BD21" s="6">
        <v>0</v>
      </c>
      <c r="BE21" s="6">
        <v>0</v>
      </c>
      <c r="BF21" s="6">
        <v>0</v>
      </c>
      <c r="BG21" s="6" t="s">
        <v>1564</v>
      </c>
      <c r="BH21" s="6">
        <v>0</v>
      </c>
      <c r="BI21" s="6">
        <v>0</v>
      </c>
      <c r="BJ21" s="6">
        <v>0</v>
      </c>
      <c r="BK21" s="6">
        <v>0</v>
      </c>
      <c r="BL21" s="6" t="b">
        <v>0</v>
      </c>
      <c r="BM21" s="6">
        <v>0</v>
      </c>
      <c r="BN21" s="6">
        <v>0</v>
      </c>
      <c r="BO21" s="6">
        <v>0</v>
      </c>
      <c r="BP21" s="6">
        <v>0</v>
      </c>
      <c r="BQ21" s="6">
        <v>0</v>
      </c>
      <c r="BR21" s="6">
        <v>0</v>
      </c>
      <c r="BS21" s="6">
        <v>0</v>
      </c>
      <c r="BT21" s="6">
        <v>0</v>
      </c>
      <c r="BU21" s="6">
        <v>0</v>
      </c>
      <c r="BV21" s="6">
        <v>0</v>
      </c>
      <c r="BW21" s="6">
        <v>0</v>
      </c>
      <c r="BX21" s="6">
        <v>0</v>
      </c>
      <c r="BY21" s="6">
        <v>0</v>
      </c>
      <c r="BZ21" s="6">
        <v>0</v>
      </c>
      <c r="CA21" s="6">
        <v>0</v>
      </c>
      <c r="CB21" s="6">
        <v>0</v>
      </c>
      <c r="CC21" s="6" t="b">
        <v>0</v>
      </c>
      <c r="CD21" s="6">
        <v>0</v>
      </c>
      <c r="CE21" s="6" t="b">
        <v>0</v>
      </c>
      <c r="CF21" s="6">
        <v>0</v>
      </c>
      <c r="CG21" s="6">
        <v>0</v>
      </c>
      <c r="CH21" s="6">
        <v>0</v>
      </c>
      <c r="CI21" s="6">
        <v>0</v>
      </c>
      <c r="CJ21" s="6" t="b">
        <v>0</v>
      </c>
      <c r="CK21" s="6" t="b">
        <v>0</v>
      </c>
      <c r="CL21" s="6">
        <v>0</v>
      </c>
      <c r="CM21" s="6" t="b">
        <v>0</v>
      </c>
      <c r="CN21" s="6"/>
      <c r="CO21" s="6"/>
      <c r="CP21" s="6"/>
      <c r="CQ21" s="6"/>
      <c r="CR21" s="6"/>
      <c r="CS21" s="6"/>
      <c r="CT21" s="6"/>
      <c r="CU21" s="6"/>
      <c r="CV21" s="6"/>
      <c r="CW21" s="6"/>
      <c r="CX21" s="6"/>
      <c r="CY21" s="6"/>
      <c r="CZ21" s="6"/>
      <c r="DA21" s="6"/>
      <c r="DB21" s="6"/>
      <c r="DC21" s="6"/>
      <c r="DD21" s="6"/>
      <c r="DE21" s="6"/>
      <c r="DF21" s="6"/>
      <c r="DG21" s="6"/>
      <c r="DH21" s="6"/>
      <c r="DI21" s="6"/>
    </row>
    <row r="22" spans="1:113" x14ac:dyDescent="0.25">
      <c r="A22" s="6" t="s">
        <v>606</v>
      </c>
      <c r="B22" s="6">
        <v>1</v>
      </c>
      <c r="C22" s="6">
        <v>0</v>
      </c>
      <c r="D22" s="6">
        <v>0</v>
      </c>
      <c r="E22" s="6">
        <v>0</v>
      </c>
      <c r="F22" s="6">
        <v>0</v>
      </c>
      <c r="G22" s="6">
        <v>0</v>
      </c>
      <c r="H22" s="6">
        <v>0</v>
      </c>
      <c r="I22" s="6">
        <v>0</v>
      </c>
      <c r="J22" s="6">
        <v>0</v>
      </c>
      <c r="K22" s="6">
        <v>0</v>
      </c>
      <c r="L22" s="6">
        <v>0</v>
      </c>
      <c r="M22" s="6">
        <v>0</v>
      </c>
      <c r="N22" s="6">
        <v>0</v>
      </c>
      <c r="O22" s="6">
        <v>0</v>
      </c>
      <c r="P22" s="6">
        <v>0</v>
      </c>
      <c r="Q22" s="6">
        <v>0</v>
      </c>
      <c r="R22" s="6">
        <v>0</v>
      </c>
      <c r="S22" s="6">
        <v>0</v>
      </c>
      <c r="T22" s="6">
        <v>0</v>
      </c>
      <c r="U22" s="6">
        <v>0</v>
      </c>
      <c r="V22" s="6">
        <v>0</v>
      </c>
      <c r="W22" s="6">
        <v>0</v>
      </c>
      <c r="X22" s="6">
        <v>0</v>
      </c>
      <c r="Y22" s="6">
        <v>0</v>
      </c>
      <c r="Z22" s="6">
        <v>0</v>
      </c>
      <c r="AA22" s="6">
        <v>0</v>
      </c>
      <c r="AB22" s="6">
        <v>0</v>
      </c>
      <c r="AC22" s="6">
        <v>0</v>
      </c>
      <c r="AD22" s="6">
        <v>0</v>
      </c>
      <c r="AE22" s="6">
        <v>0</v>
      </c>
      <c r="AF22" s="6">
        <v>0</v>
      </c>
      <c r="AG22" s="6">
        <v>0</v>
      </c>
      <c r="AH22" s="6">
        <v>0</v>
      </c>
      <c r="AI22" s="6">
        <v>0</v>
      </c>
      <c r="AJ22" s="6">
        <v>0</v>
      </c>
      <c r="AK22" s="6">
        <v>0</v>
      </c>
      <c r="AL22" s="6">
        <v>0</v>
      </c>
      <c r="AM22" s="6">
        <v>0</v>
      </c>
      <c r="AN22" s="6">
        <v>0</v>
      </c>
      <c r="AO22" s="6">
        <v>0</v>
      </c>
      <c r="AP22" s="6">
        <v>0</v>
      </c>
      <c r="AQ22" s="6">
        <v>0</v>
      </c>
      <c r="AR22" s="6">
        <v>0</v>
      </c>
      <c r="AS22" s="6">
        <v>0</v>
      </c>
      <c r="AT22" s="6" t="s">
        <v>862</v>
      </c>
      <c r="AU22" s="6" t="s">
        <v>862</v>
      </c>
      <c r="AV22" s="6" t="s">
        <v>862</v>
      </c>
      <c r="AW22" s="6" t="s">
        <v>862</v>
      </c>
      <c r="AX22" s="6">
        <v>0</v>
      </c>
      <c r="AY22" s="6" t="b">
        <v>0</v>
      </c>
      <c r="AZ22" s="6">
        <v>0</v>
      </c>
      <c r="BA22" s="6" t="b">
        <v>0</v>
      </c>
      <c r="BB22" s="6">
        <v>0</v>
      </c>
      <c r="BC22" s="6">
        <v>0</v>
      </c>
      <c r="BD22" s="6">
        <v>0</v>
      </c>
      <c r="BE22" s="6">
        <v>0</v>
      </c>
      <c r="BF22" s="6">
        <v>0</v>
      </c>
      <c r="BG22" s="6" t="s">
        <v>1564</v>
      </c>
      <c r="BH22" s="6">
        <v>0</v>
      </c>
      <c r="BI22" s="6">
        <v>0</v>
      </c>
      <c r="BJ22" s="6">
        <v>0</v>
      </c>
      <c r="BK22" s="6">
        <v>0</v>
      </c>
      <c r="BL22" s="6" t="b">
        <v>0</v>
      </c>
      <c r="BM22" s="6">
        <v>0</v>
      </c>
      <c r="BN22" s="6">
        <v>0</v>
      </c>
      <c r="BO22" s="6">
        <v>0</v>
      </c>
      <c r="BP22" s="6">
        <v>0</v>
      </c>
      <c r="BQ22" s="6">
        <v>0</v>
      </c>
      <c r="BR22" s="6">
        <v>0</v>
      </c>
      <c r="BS22" s="6">
        <v>0</v>
      </c>
      <c r="BT22" s="6">
        <v>0</v>
      </c>
      <c r="BU22" s="6">
        <v>0</v>
      </c>
      <c r="BV22" s="6">
        <v>0</v>
      </c>
      <c r="BW22" s="6">
        <v>0</v>
      </c>
      <c r="BX22" s="6">
        <v>0</v>
      </c>
      <c r="BY22" s="6">
        <v>0</v>
      </c>
      <c r="BZ22" s="6">
        <v>0</v>
      </c>
      <c r="CA22" s="6">
        <v>0</v>
      </c>
      <c r="CB22" s="6">
        <v>0</v>
      </c>
      <c r="CC22" s="6" t="b">
        <v>0</v>
      </c>
      <c r="CD22" s="6">
        <v>0</v>
      </c>
      <c r="CE22" s="6" t="b">
        <v>0</v>
      </c>
      <c r="CF22" s="6">
        <v>0</v>
      </c>
      <c r="CG22" s="6">
        <v>0</v>
      </c>
      <c r="CH22" s="6">
        <v>0</v>
      </c>
      <c r="CI22" s="6">
        <v>0</v>
      </c>
      <c r="CJ22" s="6" t="b">
        <v>0</v>
      </c>
      <c r="CK22" s="6" t="b">
        <v>0</v>
      </c>
      <c r="CL22" s="6">
        <v>0</v>
      </c>
      <c r="CM22" s="6" t="b">
        <v>0</v>
      </c>
      <c r="CN22" s="6"/>
      <c r="CO22" s="6"/>
      <c r="CP22" s="6"/>
      <c r="CQ22" s="6"/>
      <c r="CR22" s="6"/>
      <c r="CS22" s="6"/>
      <c r="CT22" s="6"/>
      <c r="CU22" s="6"/>
      <c r="CV22" s="6"/>
      <c r="CW22" s="6"/>
      <c r="CX22" s="6"/>
      <c r="CY22" s="6"/>
      <c r="CZ22" s="6"/>
      <c r="DA22" s="6"/>
      <c r="DB22" s="6"/>
      <c r="DC22" s="6"/>
      <c r="DD22" s="6"/>
      <c r="DE22" s="6"/>
      <c r="DF22" s="6"/>
      <c r="DG22" s="6"/>
      <c r="DH22" s="6"/>
      <c r="DI22" s="6"/>
    </row>
    <row r="23" spans="1:113" x14ac:dyDescent="0.25">
      <c r="A23" s="6" t="s">
        <v>607</v>
      </c>
      <c r="B23" s="6">
        <v>1</v>
      </c>
      <c r="C23" s="6">
        <v>0</v>
      </c>
      <c r="D23" s="6">
        <v>0</v>
      </c>
      <c r="E23" s="6">
        <v>0</v>
      </c>
      <c r="F23" s="6">
        <v>0</v>
      </c>
      <c r="G23" s="6">
        <v>0</v>
      </c>
      <c r="H23" s="6">
        <v>0</v>
      </c>
      <c r="I23" s="6">
        <v>0</v>
      </c>
      <c r="J23" s="6">
        <v>0</v>
      </c>
      <c r="K23" s="6">
        <v>0</v>
      </c>
      <c r="L23" s="6">
        <v>0</v>
      </c>
      <c r="M23" s="6">
        <v>0</v>
      </c>
      <c r="N23" s="6">
        <v>0</v>
      </c>
      <c r="O23" s="6">
        <v>0</v>
      </c>
      <c r="P23" s="6">
        <v>0</v>
      </c>
      <c r="Q23" s="6">
        <v>0</v>
      </c>
      <c r="R23" s="6">
        <v>0</v>
      </c>
      <c r="S23" s="6">
        <v>0</v>
      </c>
      <c r="T23" s="6">
        <v>0</v>
      </c>
      <c r="U23" s="6">
        <v>0</v>
      </c>
      <c r="V23" s="6">
        <v>0</v>
      </c>
      <c r="W23" s="6">
        <v>0</v>
      </c>
      <c r="X23" s="6">
        <v>0</v>
      </c>
      <c r="Y23" s="6">
        <v>0</v>
      </c>
      <c r="Z23" s="6">
        <v>0</v>
      </c>
      <c r="AA23" s="6">
        <v>0</v>
      </c>
      <c r="AB23" s="6">
        <v>0</v>
      </c>
      <c r="AC23" s="6">
        <v>0</v>
      </c>
      <c r="AD23" s="6">
        <v>0</v>
      </c>
      <c r="AE23" s="6">
        <v>0</v>
      </c>
      <c r="AF23" s="6">
        <v>0</v>
      </c>
      <c r="AG23" s="6">
        <v>0</v>
      </c>
      <c r="AH23" s="6">
        <v>0</v>
      </c>
      <c r="AI23" s="6">
        <v>0</v>
      </c>
      <c r="AJ23" s="6">
        <v>0</v>
      </c>
      <c r="AK23" s="6">
        <v>0</v>
      </c>
      <c r="AL23" s="6">
        <v>0</v>
      </c>
      <c r="AM23" s="6">
        <v>0</v>
      </c>
      <c r="AN23" s="6">
        <v>0</v>
      </c>
      <c r="AO23" s="6">
        <v>0</v>
      </c>
      <c r="AP23" s="6">
        <v>0</v>
      </c>
      <c r="AQ23" s="6">
        <v>0</v>
      </c>
      <c r="AR23" s="6">
        <v>0</v>
      </c>
      <c r="AS23" s="6">
        <v>0</v>
      </c>
      <c r="AT23" s="6" t="s">
        <v>862</v>
      </c>
      <c r="AU23" s="6" t="s">
        <v>862</v>
      </c>
      <c r="AV23" s="6" t="s">
        <v>862</v>
      </c>
      <c r="AW23" s="6" t="s">
        <v>862</v>
      </c>
      <c r="AX23" s="6">
        <v>0</v>
      </c>
      <c r="AY23" s="6" t="b">
        <v>0</v>
      </c>
      <c r="AZ23" s="6">
        <v>0</v>
      </c>
      <c r="BA23" s="6" t="b">
        <v>0</v>
      </c>
      <c r="BB23" s="6">
        <v>0</v>
      </c>
      <c r="BC23" s="6">
        <v>0</v>
      </c>
      <c r="BD23" s="6">
        <v>0</v>
      </c>
      <c r="BE23" s="6">
        <v>0</v>
      </c>
      <c r="BF23" s="6">
        <v>0</v>
      </c>
      <c r="BG23" s="6" t="s">
        <v>1564</v>
      </c>
      <c r="BH23" s="6">
        <v>0</v>
      </c>
      <c r="BI23" s="6">
        <v>0</v>
      </c>
      <c r="BJ23" s="6">
        <v>0</v>
      </c>
      <c r="BK23" s="6">
        <v>0</v>
      </c>
      <c r="BL23" s="6" t="b">
        <v>0</v>
      </c>
      <c r="BM23" s="6">
        <v>0</v>
      </c>
      <c r="BN23" s="6">
        <v>0</v>
      </c>
      <c r="BO23" s="6">
        <v>0</v>
      </c>
      <c r="BP23" s="6">
        <v>0</v>
      </c>
      <c r="BQ23" s="6">
        <v>0</v>
      </c>
      <c r="BR23" s="6">
        <v>0</v>
      </c>
      <c r="BS23" s="6">
        <v>0</v>
      </c>
      <c r="BT23" s="6">
        <v>0</v>
      </c>
      <c r="BU23" s="6">
        <v>0</v>
      </c>
      <c r="BV23" s="6">
        <v>0</v>
      </c>
      <c r="BW23" s="6">
        <v>0</v>
      </c>
      <c r="BX23" s="6">
        <v>0</v>
      </c>
      <c r="BY23" s="6">
        <v>0</v>
      </c>
      <c r="BZ23" s="6">
        <v>0</v>
      </c>
      <c r="CA23" s="6">
        <v>0</v>
      </c>
      <c r="CB23" s="6">
        <v>0</v>
      </c>
      <c r="CC23" s="6" t="b">
        <v>0</v>
      </c>
      <c r="CD23" s="6">
        <v>0</v>
      </c>
      <c r="CE23" s="6" t="b">
        <v>0</v>
      </c>
      <c r="CF23" s="6">
        <v>0</v>
      </c>
      <c r="CG23" s="6">
        <v>0</v>
      </c>
      <c r="CH23" s="6">
        <v>0</v>
      </c>
      <c r="CI23" s="6">
        <v>0</v>
      </c>
      <c r="CJ23" s="6" t="b">
        <v>0</v>
      </c>
      <c r="CK23" s="6" t="b">
        <v>0</v>
      </c>
      <c r="CL23" s="6">
        <v>0</v>
      </c>
      <c r="CM23" s="6" t="b">
        <v>0</v>
      </c>
      <c r="CN23" s="6"/>
      <c r="CO23" s="6"/>
      <c r="CP23" s="6"/>
      <c r="CQ23" s="6"/>
      <c r="CR23" s="6"/>
      <c r="CS23" s="6"/>
      <c r="CT23" s="6"/>
      <c r="CU23" s="6"/>
      <c r="CV23" s="6"/>
      <c r="CW23" s="6"/>
      <c r="CX23" s="6"/>
      <c r="CY23" s="6"/>
      <c r="CZ23" s="6"/>
      <c r="DA23" s="6"/>
      <c r="DB23" s="6"/>
      <c r="DC23" s="6"/>
      <c r="DD23" s="6"/>
      <c r="DE23" s="6"/>
      <c r="DF23" s="6"/>
      <c r="DG23" s="6"/>
      <c r="DH23" s="6"/>
      <c r="DI23" s="6"/>
    </row>
    <row r="24" spans="1:113" x14ac:dyDescent="0.25">
      <c r="A24" s="6" t="s">
        <v>608</v>
      </c>
      <c r="B24" s="6">
        <v>1</v>
      </c>
      <c r="C24" s="6">
        <v>0</v>
      </c>
      <c r="D24" s="6">
        <v>0</v>
      </c>
      <c r="E24" s="6">
        <v>0</v>
      </c>
      <c r="F24" s="6">
        <v>0</v>
      </c>
      <c r="G24" s="6">
        <v>0</v>
      </c>
      <c r="H24" s="6">
        <v>0</v>
      </c>
      <c r="I24" s="6">
        <v>0</v>
      </c>
      <c r="J24" s="6">
        <v>0</v>
      </c>
      <c r="K24" s="6">
        <v>0</v>
      </c>
      <c r="L24" s="6">
        <v>0</v>
      </c>
      <c r="M24" s="6">
        <v>0</v>
      </c>
      <c r="N24" s="6">
        <v>0</v>
      </c>
      <c r="O24" s="6">
        <v>0</v>
      </c>
      <c r="P24" s="6">
        <v>0</v>
      </c>
      <c r="Q24" s="6">
        <v>0</v>
      </c>
      <c r="R24" s="6">
        <v>0</v>
      </c>
      <c r="S24" s="6">
        <v>0</v>
      </c>
      <c r="T24" s="6">
        <v>0</v>
      </c>
      <c r="U24" s="6">
        <v>0</v>
      </c>
      <c r="V24" s="6">
        <v>0</v>
      </c>
      <c r="W24" s="6">
        <v>0</v>
      </c>
      <c r="X24" s="6">
        <v>0</v>
      </c>
      <c r="Y24" s="6">
        <v>0</v>
      </c>
      <c r="Z24" s="6">
        <v>0</v>
      </c>
      <c r="AA24" s="6">
        <v>0</v>
      </c>
      <c r="AB24" s="6">
        <v>0</v>
      </c>
      <c r="AC24" s="6">
        <v>0</v>
      </c>
      <c r="AD24" s="6">
        <v>0</v>
      </c>
      <c r="AE24" s="6">
        <v>0</v>
      </c>
      <c r="AF24" s="6">
        <v>0</v>
      </c>
      <c r="AG24" s="6">
        <v>0</v>
      </c>
      <c r="AH24" s="6">
        <v>0</v>
      </c>
      <c r="AI24" s="6">
        <v>0</v>
      </c>
      <c r="AJ24" s="6">
        <v>0</v>
      </c>
      <c r="AK24" s="6">
        <v>0</v>
      </c>
      <c r="AL24" s="6">
        <v>0</v>
      </c>
      <c r="AM24" s="6">
        <v>0</v>
      </c>
      <c r="AN24" s="6">
        <v>0</v>
      </c>
      <c r="AO24" s="6">
        <v>0</v>
      </c>
      <c r="AP24" s="6">
        <v>0</v>
      </c>
      <c r="AQ24" s="6">
        <v>0</v>
      </c>
      <c r="AR24" s="6">
        <v>0</v>
      </c>
      <c r="AS24" s="6">
        <v>0</v>
      </c>
      <c r="AT24" s="6" t="s">
        <v>862</v>
      </c>
      <c r="AU24" s="6" t="s">
        <v>862</v>
      </c>
      <c r="AV24" s="6" t="s">
        <v>862</v>
      </c>
      <c r="AW24" s="6" t="s">
        <v>862</v>
      </c>
      <c r="AX24" s="6">
        <v>0</v>
      </c>
      <c r="AY24" s="6" t="b">
        <v>0</v>
      </c>
      <c r="AZ24" s="6">
        <v>0</v>
      </c>
      <c r="BA24" s="6" t="b">
        <v>0</v>
      </c>
      <c r="BB24" s="6">
        <v>0</v>
      </c>
      <c r="BC24" s="6">
        <v>0</v>
      </c>
      <c r="BD24" s="6">
        <v>0</v>
      </c>
      <c r="BE24" s="6">
        <v>0</v>
      </c>
      <c r="BF24" s="6">
        <v>0</v>
      </c>
      <c r="BG24" s="6" t="s">
        <v>1564</v>
      </c>
      <c r="BH24" s="6">
        <v>0</v>
      </c>
      <c r="BI24" s="6">
        <v>0</v>
      </c>
      <c r="BJ24" s="6">
        <v>0</v>
      </c>
      <c r="BK24" s="6">
        <v>0</v>
      </c>
      <c r="BL24" s="6" t="b">
        <v>0</v>
      </c>
      <c r="BM24" s="6">
        <v>0</v>
      </c>
      <c r="BN24" s="6">
        <v>0</v>
      </c>
      <c r="BO24" s="6">
        <v>0</v>
      </c>
      <c r="BP24" s="6">
        <v>0</v>
      </c>
      <c r="BQ24" s="6">
        <v>0</v>
      </c>
      <c r="BR24" s="6">
        <v>0</v>
      </c>
      <c r="BS24" s="6">
        <v>0</v>
      </c>
      <c r="BT24" s="6">
        <v>0</v>
      </c>
      <c r="BU24" s="6">
        <v>0</v>
      </c>
      <c r="BV24" s="6">
        <v>0</v>
      </c>
      <c r="BW24" s="6">
        <v>0</v>
      </c>
      <c r="BX24" s="6">
        <v>0</v>
      </c>
      <c r="BY24" s="6">
        <v>0</v>
      </c>
      <c r="BZ24" s="6">
        <v>0</v>
      </c>
      <c r="CA24" s="6">
        <v>0</v>
      </c>
      <c r="CB24" s="6">
        <v>0</v>
      </c>
      <c r="CC24" s="6" t="b">
        <v>0</v>
      </c>
      <c r="CD24" s="6">
        <v>0</v>
      </c>
      <c r="CE24" s="6" t="b">
        <v>0</v>
      </c>
      <c r="CF24" s="6">
        <v>0</v>
      </c>
      <c r="CG24" s="6">
        <v>0</v>
      </c>
      <c r="CH24" s="6">
        <v>0</v>
      </c>
      <c r="CI24" s="6">
        <v>0</v>
      </c>
      <c r="CJ24" s="6" t="b">
        <v>0</v>
      </c>
      <c r="CK24" s="6" t="b">
        <v>0</v>
      </c>
      <c r="CL24" s="6">
        <v>0</v>
      </c>
      <c r="CM24" s="6" t="b">
        <v>0</v>
      </c>
      <c r="CN24" s="6"/>
      <c r="CO24" s="6"/>
      <c r="CP24" s="6"/>
      <c r="CQ24" s="6"/>
      <c r="CR24" s="6"/>
      <c r="CS24" s="6"/>
      <c r="CT24" s="6"/>
      <c r="CU24" s="6"/>
      <c r="CV24" s="6"/>
      <c r="CW24" s="6"/>
      <c r="CX24" s="6"/>
      <c r="CY24" s="6"/>
      <c r="CZ24" s="6"/>
      <c r="DA24" s="6"/>
      <c r="DB24" s="6"/>
      <c r="DC24" s="6"/>
      <c r="DD24" s="6"/>
      <c r="DE24" s="6"/>
      <c r="DF24" s="6"/>
      <c r="DG24" s="6"/>
      <c r="DH24" s="6"/>
      <c r="DI24" s="6"/>
    </row>
    <row r="25" spans="1:113" x14ac:dyDescent="0.25">
      <c r="A25" s="6" t="s">
        <v>609</v>
      </c>
      <c r="B25" s="6">
        <v>1</v>
      </c>
      <c r="C25" s="6">
        <v>0</v>
      </c>
      <c r="D25" s="6">
        <v>0</v>
      </c>
      <c r="E25" s="6">
        <v>0</v>
      </c>
      <c r="F25" s="6">
        <v>0</v>
      </c>
      <c r="G25" s="6">
        <v>0</v>
      </c>
      <c r="H25" s="6">
        <v>0</v>
      </c>
      <c r="I25" s="6">
        <v>0</v>
      </c>
      <c r="J25" s="6">
        <v>0</v>
      </c>
      <c r="K25" s="6">
        <v>0</v>
      </c>
      <c r="L25" s="6">
        <v>0</v>
      </c>
      <c r="M25" s="6">
        <v>0</v>
      </c>
      <c r="N25" s="6">
        <v>0</v>
      </c>
      <c r="O25" s="6">
        <v>0</v>
      </c>
      <c r="P25" s="6">
        <v>0</v>
      </c>
      <c r="Q25" s="6">
        <v>0</v>
      </c>
      <c r="R25" s="6">
        <v>0</v>
      </c>
      <c r="S25" s="6">
        <v>0</v>
      </c>
      <c r="T25" s="6">
        <v>0</v>
      </c>
      <c r="U25" s="6">
        <v>0</v>
      </c>
      <c r="V25" s="6">
        <v>0</v>
      </c>
      <c r="W25" s="6">
        <v>0</v>
      </c>
      <c r="X25" s="6">
        <v>0</v>
      </c>
      <c r="Y25" s="6">
        <v>0</v>
      </c>
      <c r="Z25" s="6">
        <v>0</v>
      </c>
      <c r="AA25" s="6">
        <v>0</v>
      </c>
      <c r="AB25" s="6">
        <v>0</v>
      </c>
      <c r="AC25" s="6">
        <v>0</v>
      </c>
      <c r="AD25" s="6">
        <v>0</v>
      </c>
      <c r="AE25" s="6">
        <v>0</v>
      </c>
      <c r="AF25" s="6">
        <v>0</v>
      </c>
      <c r="AG25" s="6">
        <v>0</v>
      </c>
      <c r="AH25" s="6">
        <v>0</v>
      </c>
      <c r="AI25" s="6">
        <v>0</v>
      </c>
      <c r="AJ25" s="6">
        <v>0</v>
      </c>
      <c r="AK25" s="6">
        <v>0</v>
      </c>
      <c r="AL25" s="6">
        <v>0</v>
      </c>
      <c r="AM25" s="6">
        <v>0</v>
      </c>
      <c r="AN25" s="6">
        <v>0</v>
      </c>
      <c r="AO25" s="6">
        <v>0</v>
      </c>
      <c r="AP25" s="6">
        <v>0</v>
      </c>
      <c r="AQ25" s="6">
        <v>0</v>
      </c>
      <c r="AR25" s="6">
        <v>0</v>
      </c>
      <c r="AS25" s="6">
        <v>0</v>
      </c>
      <c r="AT25" s="6" t="s">
        <v>862</v>
      </c>
      <c r="AU25" s="6" t="s">
        <v>862</v>
      </c>
      <c r="AV25" s="6" t="s">
        <v>862</v>
      </c>
      <c r="AW25" s="6" t="s">
        <v>862</v>
      </c>
      <c r="AX25" s="6">
        <v>0</v>
      </c>
      <c r="AY25" s="6" t="b">
        <v>0</v>
      </c>
      <c r="AZ25" s="6">
        <v>0</v>
      </c>
      <c r="BA25" s="6" t="b">
        <v>0</v>
      </c>
      <c r="BB25" s="6">
        <v>0</v>
      </c>
      <c r="BC25" s="6">
        <v>0</v>
      </c>
      <c r="BD25" s="6">
        <v>0</v>
      </c>
      <c r="BE25" s="6">
        <v>0</v>
      </c>
      <c r="BF25" s="6">
        <v>0</v>
      </c>
      <c r="BG25" s="6" t="s">
        <v>1564</v>
      </c>
      <c r="BH25" s="6">
        <v>0</v>
      </c>
      <c r="BI25" s="6">
        <v>0</v>
      </c>
      <c r="BJ25" s="6">
        <v>0</v>
      </c>
      <c r="BK25" s="6">
        <v>0</v>
      </c>
      <c r="BL25" s="6" t="b">
        <v>0</v>
      </c>
      <c r="BM25" s="6">
        <v>0</v>
      </c>
      <c r="BN25" s="6">
        <v>0</v>
      </c>
      <c r="BO25" s="6">
        <v>0</v>
      </c>
      <c r="BP25" s="6">
        <v>0</v>
      </c>
      <c r="BQ25" s="6">
        <v>0</v>
      </c>
      <c r="BR25" s="6">
        <v>0</v>
      </c>
      <c r="BS25" s="6">
        <v>0</v>
      </c>
      <c r="BT25" s="6">
        <v>0</v>
      </c>
      <c r="BU25" s="6">
        <v>0</v>
      </c>
      <c r="BV25" s="6">
        <v>0</v>
      </c>
      <c r="BW25" s="6">
        <v>0</v>
      </c>
      <c r="BX25" s="6">
        <v>0</v>
      </c>
      <c r="BY25" s="6">
        <v>0</v>
      </c>
      <c r="BZ25" s="6">
        <v>0</v>
      </c>
      <c r="CA25" s="6">
        <v>0</v>
      </c>
      <c r="CB25" s="6">
        <v>0</v>
      </c>
      <c r="CC25" s="6" t="b">
        <v>0</v>
      </c>
      <c r="CD25" s="6">
        <v>0</v>
      </c>
      <c r="CE25" s="6" t="b">
        <v>0</v>
      </c>
      <c r="CF25" s="6">
        <v>0</v>
      </c>
      <c r="CG25" s="6">
        <v>0</v>
      </c>
      <c r="CH25" s="6">
        <v>0</v>
      </c>
      <c r="CI25" s="6">
        <v>0</v>
      </c>
      <c r="CJ25" s="6" t="b">
        <v>0</v>
      </c>
      <c r="CK25" s="6" t="b">
        <v>0</v>
      </c>
      <c r="CL25" s="6">
        <v>0</v>
      </c>
      <c r="CM25" s="6" t="b">
        <v>0</v>
      </c>
      <c r="CN25" s="6"/>
      <c r="CO25" s="6"/>
      <c r="CP25" s="6"/>
      <c r="CQ25" s="6"/>
      <c r="CR25" s="6"/>
      <c r="CS25" s="6"/>
      <c r="CT25" s="6"/>
      <c r="CU25" s="6"/>
      <c r="CV25" s="6"/>
      <c r="CW25" s="6"/>
      <c r="CX25" s="6"/>
      <c r="CY25" s="6"/>
      <c r="CZ25" s="6"/>
      <c r="DA25" s="6"/>
      <c r="DB25" s="6"/>
      <c r="DC25" s="6"/>
      <c r="DD25" s="6"/>
      <c r="DE25" s="6"/>
      <c r="DF25" s="6"/>
      <c r="DG25" s="6"/>
      <c r="DH25" s="6"/>
      <c r="DI25" s="6"/>
    </row>
    <row r="26" spans="1:113" x14ac:dyDescent="0.25">
      <c r="A26" s="6" t="s">
        <v>610</v>
      </c>
      <c r="B26" s="6">
        <v>1</v>
      </c>
      <c r="C26" s="6">
        <v>0</v>
      </c>
      <c r="D26" s="6">
        <v>0</v>
      </c>
      <c r="E26" s="6">
        <v>0</v>
      </c>
      <c r="F26" s="6">
        <v>0</v>
      </c>
      <c r="G26" s="6">
        <v>0</v>
      </c>
      <c r="H26" s="6">
        <v>0</v>
      </c>
      <c r="I26" s="6">
        <v>0</v>
      </c>
      <c r="J26" s="6">
        <v>0</v>
      </c>
      <c r="K26" s="6">
        <v>0</v>
      </c>
      <c r="L26" s="6">
        <v>0</v>
      </c>
      <c r="M26" s="6">
        <v>0</v>
      </c>
      <c r="N26" s="6">
        <v>0</v>
      </c>
      <c r="O26" s="6">
        <v>0</v>
      </c>
      <c r="P26" s="6">
        <v>0</v>
      </c>
      <c r="Q26" s="6">
        <v>0</v>
      </c>
      <c r="R26" s="6">
        <v>0</v>
      </c>
      <c r="S26" s="6">
        <v>0</v>
      </c>
      <c r="T26" s="6">
        <v>0</v>
      </c>
      <c r="U26" s="6">
        <v>0</v>
      </c>
      <c r="V26" s="6">
        <v>0</v>
      </c>
      <c r="W26" s="6">
        <v>0</v>
      </c>
      <c r="X26" s="6">
        <v>0</v>
      </c>
      <c r="Y26" s="6">
        <v>0</v>
      </c>
      <c r="Z26" s="6">
        <v>0</v>
      </c>
      <c r="AA26" s="6">
        <v>0</v>
      </c>
      <c r="AB26" s="6">
        <v>0</v>
      </c>
      <c r="AC26" s="6">
        <v>0</v>
      </c>
      <c r="AD26" s="6">
        <v>0</v>
      </c>
      <c r="AE26" s="6">
        <v>0</v>
      </c>
      <c r="AF26" s="6">
        <v>0</v>
      </c>
      <c r="AG26" s="6">
        <v>0</v>
      </c>
      <c r="AH26" s="6">
        <v>0</v>
      </c>
      <c r="AI26" s="6">
        <v>0</v>
      </c>
      <c r="AJ26" s="6">
        <v>0</v>
      </c>
      <c r="AK26" s="6">
        <v>0</v>
      </c>
      <c r="AL26" s="6">
        <v>0</v>
      </c>
      <c r="AM26" s="6">
        <v>0</v>
      </c>
      <c r="AN26" s="6">
        <v>0</v>
      </c>
      <c r="AO26" s="6">
        <v>0</v>
      </c>
      <c r="AP26" s="6">
        <v>0</v>
      </c>
      <c r="AQ26" s="6">
        <v>0</v>
      </c>
      <c r="AR26" s="6">
        <v>0</v>
      </c>
      <c r="AS26" s="6">
        <v>0</v>
      </c>
      <c r="AT26" s="6" t="s">
        <v>862</v>
      </c>
      <c r="AU26" s="6" t="s">
        <v>862</v>
      </c>
      <c r="AV26" s="6" t="s">
        <v>862</v>
      </c>
      <c r="AW26" s="6" t="s">
        <v>862</v>
      </c>
      <c r="AX26" s="6">
        <v>0</v>
      </c>
      <c r="AY26" s="6" t="b">
        <v>0</v>
      </c>
      <c r="AZ26" s="6">
        <v>0</v>
      </c>
      <c r="BA26" s="6" t="b">
        <v>0</v>
      </c>
      <c r="BB26" s="6">
        <v>0</v>
      </c>
      <c r="BC26" s="6">
        <v>0</v>
      </c>
      <c r="BD26" s="6">
        <v>0</v>
      </c>
      <c r="BE26" s="6">
        <v>0</v>
      </c>
      <c r="BF26" s="6">
        <v>0</v>
      </c>
      <c r="BG26" s="6" t="s">
        <v>1564</v>
      </c>
      <c r="BH26" s="6">
        <v>0</v>
      </c>
      <c r="BI26" s="6">
        <v>0</v>
      </c>
      <c r="BJ26" s="6">
        <v>0</v>
      </c>
      <c r="BK26" s="6">
        <v>0</v>
      </c>
      <c r="BL26" s="6" t="b">
        <v>0</v>
      </c>
      <c r="BM26" s="6">
        <v>0</v>
      </c>
      <c r="BN26" s="6">
        <v>0</v>
      </c>
      <c r="BO26" s="6">
        <v>0</v>
      </c>
      <c r="BP26" s="6">
        <v>0</v>
      </c>
      <c r="BQ26" s="6">
        <v>0</v>
      </c>
      <c r="BR26" s="6">
        <v>0</v>
      </c>
      <c r="BS26" s="6">
        <v>0</v>
      </c>
      <c r="BT26" s="6">
        <v>0</v>
      </c>
      <c r="BU26" s="6">
        <v>0</v>
      </c>
      <c r="BV26" s="6">
        <v>0</v>
      </c>
      <c r="BW26" s="6">
        <v>0</v>
      </c>
      <c r="BX26" s="6">
        <v>0</v>
      </c>
      <c r="BY26" s="6">
        <v>0</v>
      </c>
      <c r="BZ26" s="6">
        <v>0</v>
      </c>
      <c r="CA26" s="6">
        <v>0</v>
      </c>
      <c r="CB26" s="6">
        <v>0</v>
      </c>
      <c r="CC26" s="6" t="b">
        <v>0</v>
      </c>
      <c r="CD26" s="6">
        <v>0</v>
      </c>
      <c r="CE26" s="6" t="b">
        <v>0</v>
      </c>
      <c r="CF26" s="6">
        <v>0</v>
      </c>
      <c r="CG26" s="6">
        <v>0</v>
      </c>
      <c r="CH26" s="6">
        <v>0</v>
      </c>
      <c r="CI26" s="6">
        <v>0</v>
      </c>
      <c r="CJ26" s="6" t="b">
        <v>0</v>
      </c>
      <c r="CK26" s="6" t="b">
        <v>0</v>
      </c>
      <c r="CL26" s="6">
        <v>0</v>
      </c>
      <c r="CM26" s="6" t="b">
        <v>0</v>
      </c>
      <c r="CN26" s="6"/>
      <c r="CO26" s="6"/>
      <c r="CP26" s="6"/>
      <c r="CQ26" s="6"/>
      <c r="CR26" s="6"/>
      <c r="CS26" s="6"/>
      <c r="CT26" s="6"/>
      <c r="CU26" s="6"/>
      <c r="CV26" s="6"/>
      <c r="CW26" s="6"/>
      <c r="CX26" s="6"/>
      <c r="CY26" s="6"/>
      <c r="CZ26" s="6"/>
      <c r="DA26" s="6"/>
      <c r="DB26" s="6"/>
      <c r="DC26" s="6"/>
      <c r="DD26" s="6"/>
      <c r="DE26" s="6"/>
      <c r="DF26" s="6"/>
      <c r="DG26" s="6"/>
      <c r="DH26" s="6"/>
      <c r="DI26" s="6"/>
    </row>
    <row r="27" spans="1:113" x14ac:dyDescent="0.25">
      <c r="A27" s="6" t="s">
        <v>611</v>
      </c>
      <c r="B27" s="6">
        <v>1</v>
      </c>
      <c r="C27" s="6">
        <v>0</v>
      </c>
      <c r="D27" s="6">
        <v>0</v>
      </c>
      <c r="E27" s="6">
        <v>0</v>
      </c>
      <c r="F27" s="6">
        <v>0</v>
      </c>
      <c r="G27" s="6">
        <v>0</v>
      </c>
      <c r="H27" s="6">
        <v>0</v>
      </c>
      <c r="I27" s="6">
        <v>0</v>
      </c>
      <c r="J27" s="6">
        <v>0</v>
      </c>
      <c r="K27" s="6">
        <v>0</v>
      </c>
      <c r="L27" s="6">
        <v>0</v>
      </c>
      <c r="M27" s="6">
        <v>0</v>
      </c>
      <c r="N27" s="6">
        <v>0</v>
      </c>
      <c r="O27" s="6">
        <v>0</v>
      </c>
      <c r="P27" s="6">
        <v>0</v>
      </c>
      <c r="Q27" s="6">
        <v>0</v>
      </c>
      <c r="R27" s="6">
        <v>0</v>
      </c>
      <c r="S27" s="6">
        <v>0</v>
      </c>
      <c r="T27" s="6">
        <v>0</v>
      </c>
      <c r="U27" s="6">
        <v>0</v>
      </c>
      <c r="V27" s="6">
        <v>0</v>
      </c>
      <c r="W27" s="6">
        <v>0</v>
      </c>
      <c r="X27" s="6">
        <v>0</v>
      </c>
      <c r="Y27" s="6">
        <v>0</v>
      </c>
      <c r="Z27" s="6">
        <v>0</v>
      </c>
      <c r="AA27" s="6">
        <v>0</v>
      </c>
      <c r="AB27" s="6">
        <v>0</v>
      </c>
      <c r="AC27" s="6">
        <v>0</v>
      </c>
      <c r="AD27" s="6">
        <v>0</v>
      </c>
      <c r="AE27" s="6">
        <v>0</v>
      </c>
      <c r="AF27" s="6">
        <v>0</v>
      </c>
      <c r="AG27" s="6">
        <v>0</v>
      </c>
      <c r="AH27" s="6">
        <v>0</v>
      </c>
      <c r="AI27" s="6">
        <v>0</v>
      </c>
      <c r="AJ27" s="6">
        <v>0</v>
      </c>
      <c r="AK27" s="6">
        <v>0</v>
      </c>
      <c r="AL27" s="6">
        <v>0</v>
      </c>
      <c r="AM27" s="6">
        <v>0</v>
      </c>
      <c r="AN27" s="6">
        <v>0</v>
      </c>
      <c r="AO27" s="6">
        <v>0</v>
      </c>
      <c r="AP27" s="6">
        <v>0</v>
      </c>
      <c r="AQ27" s="6">
        <v>0</v>
      </c>
      <c r="AR27" s="6">
        <v>0</v>
      </c>
      <c r="AS27" s="6">
        <v>0</v>
      </c>
      <c r="AT27" s="6" t="s">
        <v>862</v>
      </c>
      <c r="AU27" s="6" t="s">
        <v>862</v>
      </c>
      <c r="AV27" s="6" t="s">
        <v>862</v>
      </c>
      <c r="AW27" s="6" t="s">
        <v>862</v>
      </c>
      <c r="AX27" s="6">
        <v>0</v>
      </c>
      <c r="AY27" s="6" t="b">
        <v>0</v>
      </c>
      <c r="AZ27" s="6">
        <v>0</v>
      </c>
      <c r="BA27" s="6" t="b">
        <v>0</v>
      </c>
      <c r="BB27" s="6">
        <v>0</v>
      </c>
      <c r="BC27" s="6">
        <v>0</v>
      </c>
      <c r="BD27" s="6">
        <v>0</v>
      </c>
      <c r="BE27" s="6">
        <v>0</v>
      </c>
      <c r="BF27" s="6">
        <v>0</v>
      </c>
      <c r="BG27" s="6" t="s">
        <v>1564</v>
      </c>
      <c r="BH27" s="6">
        <v>0</v>
      </c>
      <c r="BI27" s="6">
        <v>0</v>
      </c>
      <c r="BJ27" s="6">
        <v>0</v>
      </c>
      <c r="BK27" s="6">
        <v>0</v>
      </c>
      <c r="BL27" s="6" t="b">
        <v>0</v>
      </c>
      <c r="BM27" s="6">
        <v>0</v>
      </c>
      <c r="BN27" s="6">
        <v>0</v>
      </c>
      <c r="BO27" s="6">
        <v>0</v>
      </c>
      <c r="BP27" s="6">
        <v>0</v>
      </c>
      <c r="BQ27" s="6">
        <v>0</v>
      </c>
      <c r="BR27" s="6">
        <v>0</v>
      </c>
      <c r="BS27" s="6">
        <v>0</v>
      </c>
      <c r="BT27" s="6">
        <v>0</v>
      </c>
      <c r="BU27" s="6">
        <v>0</v>
      </c>
      <c r="BV27" s="6">
        <v>0</v>
      </c>
      <c r="BW27" s="6">
        <v>0</v>
      </c>
      <c r="BX27" s="6">
        <v>0</v>
      </c>
      <c r="BY27" s="6">
        <v>0</v>
      </c>
      <c r="BZ27" s="6">
        <v>0</v>
      </c>
      <c r="CA27" s="6">
        <v>0</v>
      </c>
      <c r="CB27" s="6">
        <v>0</v>
      </c>
      <c r="CC27" s="6" t="b">
        <v>0</v>
      </c>
      <c r="CD27" s="6">
        <v>0</v>
      </c>
      <c r="CE27" s="6" t="b">
        <v>0</v>
      </c>
      <c r="CF27" s="6">
        <v>0</v>
      </c>
      <c r="CG27" s="6">
        <v>0</v>
      </c>
      <c r="CH27" s="6">
        <v>0</v>
      </c>
      <c r="CI27" s="6">
        <v>0</v>
      </c>
      <c r="CJ27" s="6" t="b">
        <v>0</v>
      </c>
      <c r="CK27" s="6" t="b">
        <v>0</v>
      </c>
      <c r="CL27" s="6">
        <v>0</v>
      </c>
      <c r="CM27" s="6" t="b">
        <v>0</v>
      </c>
      <c r="CN27" s="6"/>
      <c r="CO27" s="6"/>
      <c r="CP27" s="6"/>
      <c r="CQ27" s="6"/>
      <c r="CR27" s="6"/>
      <c r="CS27" s="6"/>
      <c r="CT27" s="6"/>
      <c r="CU27" s="6"/>
      <c r="CV27" s="6"/>
      <c r="CW27" s="6"/>
      <c r="CX27" s="6"/>
      <c r="CY27" s="6"/>
      <c r="CZ27" s="6"/>
      <c r="DA27" s="6"/>
      <c r="DB27" s="6"/>
      <c r="DC27" s="6"/>
      <c r="DD27" s="6"/>
      <c r="DE27" s="6"/>
      <c r="DF27" s="6"/>
      <c r="DG27" s="6"/>
      <c r="DH27" s="6"/>
      <c r="DI27" s="6"/>
    </row>
    <row r="28" spans="1:113" x14ac:dyDescent="0.25">
      <c r="A28" s="6" t="s">
        <v>612</v>
      </c>
      <c r="B28" s="6">
        <v>1</v>
      </c>
      <c r="C28" s="6">
        <v>0</v>
      </c>
      <c r="D28" s="6">
        <v>0</v>
      </c>
      <c r="E28" s="6">
        <v>0</v>
      </c>
      <c r="F28" s="6">
        <v>0</v>
      </c>
      <c r="G28" s="6">
        <v>0</v>
      </c>
      <c r="H28" s="6">
        <v>0</v>
      </c>
      <c r="I28" s="6">
        <v>0</v>
      </c>
      <c r="J28" s="6">
        <v>0</v>
      </c>
      <c r="K28" s="6">
        <v>0</v>
      </c>
      <c r="L28" s="6">
        <v>0</v>
      </c>
      <c r="M28" s="6">
        <v>0</v>
      </c>
      <c r="N28" s="6">
        <v>0</v>
      </c>
      <c r="O28" s="6">
        <v>0</v>
      </c>
      <c r="P28" s="6">
        <v>0</v>
      </c>
      <c r="Q28" s="6">
        <v>0</v>
      </c>
      <c r="R28" s="6">
        <v>0</v>
      </c>
      <c r="S28" s="6">
        <v>0</v>
      </c>
      <c r="T28" s="6">
        <v>0</v>
      </c>
      <c r="U28" s="6">
        <v>0</v>
      </c>
      <c r="V28" s="6">
        <v>0</v>
      </c>
      <c r="W28" s="6">
        <v>0</v>
      </c>
      <c r="X28" s="6">
        <v>0</v>
      </c>
      <c r="Y28" s="6">
        <v>0</v>
      </c>
      <c r="Z28" s="6">
        <v>0</v>
      </c>
      <c r="AA28" s="6">
        <v>0</v>
      </c>
      <c r="AB28" s="6">
        <v>0</v>
      </c>
      <c r="AC28" s="6">
        <v>0</v>
      </c>
      <c r="AD28" s="6">
        <v>0</v>
      </c>
      <c r="AE28" s="6">
        <v>0</v>
      </c>
      <c r="AF28" s="6">
        <v>0</v>
      </c>
      <c r="AG28" s="6">
        <v>0</v>
      </c>
      <c r="AH28" s="6">
        <v>0</v>
      </c>
      <c r="AI28" s="6">
        <v>0</v>
      </c>
      <c r="AJ28" s="6">
        <v>0</v>
      </c>
      <c r="AK28" s="6">
        <v>0</v>
      </c>
      <c r="AL28" s="6">
        <v>0</v>
      </c>
      <c r="AM28" s="6">
        <v>0</v>
      </c>
      <c r="AN28" s="6">
        <v>0</v>
      </c>
      <c r="AO28" s="6">
        <v>0</v>
      </c>
      <c r="AP28" s="6">
        <v>0</v>
      </c>
      <c r="AQ28" s="6">
        <v>0</v>
      </c>
      <c r="AR28" s="6">
        <v>0</v>
      </c>
      <c r="AS28" s="6">
        <v>0</v>
      </c>
      <c r="AT28" s="6" t="s">
        <v>862</v>
      </c>
      <c r="AU28" s="6" t="s">
        <v>862</v>
      </c>
      <c r="AV28" s="6" t="s">
        <v>862</v>
      </c>
      <c r="AW28" s="6" t="s">
        <v>862</v>
      </c>
      <c r="AX28" s="6">
        <v>0</v>
      </c>
      <c r="AY28" s="6" t="b">
        <v>0</v>
      </c>
      <c r="AZ28" s="6">
        <v>0</v>
      </c>
      <c r="BA28" s="6" t="b">
        <v>0</v>
      </c>
      <c r="BB28" s="6">
        <v>0</v>
      </c>
      <c r="BC28" s="6">
        <v>0</v>
      </c>
      <c r="BD28" s="6">
        <v>0</v>
      </c>
      <c r="BE28" s="6">
        <v>0</v>
      </c>
      <c r="BF28" s="6">
        <v>0</v>
      </c>
      <c r="BG28" s="6" t="s">
        <v>1564</v>
      </c>
      <c r="BH28" s="6">
        <v>0</v>
      </c>
      <c r="BI28" s="6">
        <v>0</v>
      </c>
      <c r="BJ28" s="6">
        <v>0</v>
      </c>
      <c r="BK28" s="6">
        <v>0</v>
      </c>
      <c r="BL28" s="6" t="b">
        <v>0</v>
      </c>
      <c r="BM28" s="6">
        <v>0</v>
      </c>
      <c r="BN28" s="6">
        <v>0</v>
      </c>
      <c r="BO28" s="6">
        <v>0</v>
      </c>
      <c r="BP28" s="6">
        <v>0</v>
      </c>
      <c r="BQ28" s="6">
        <v>0</v>
      </c>
      <c r="BR28" s="6">
        <v>0</v>
      </c>
      <c r="BS28" s="6">
        <v>0</v>
      </c>
      <c r="BT28" s="6">
        <v>0</v>
      </c>
      <c r="BU28" s="6">
        <v>0</v>
      </c>
      <c r="BV28" s="6">
        <v>0</v>
      </c>
      <c r="BW28" s="6">
        <v>0</v>
      </c>
      <c r="BX28" s="6">
        <v>0</v>
      </c>
      <c r="BY28" s="6">
        <v>0</v>
      </c>
      <c r="BZ28" s="6">
        <v>0</v>
      </c>
      <c r="CA28" s="6">
        <v>0</v>
      </c>
      <c r="CB28" s="6">
        <v>0</v>
      </c>
      <c r="CC28" s="6" t="b">
        <v>0</v>
      </c>
      <c r="CD28" s="6">
        <v>0</v>
      </c>
      <c r="CE28" s="6" t="b">
        <v>0</v>
      </c>
      <c r="CF28" s="6">
        <v>0</v>
      </c>
      <c r="CG28" s="6">
        <v>0</v>
      </c>
      <c r="CH28" s="6">
        <v>0</v>
      </c>
      <c r="CI28" s="6">
        <v>0</v>
      </c>
      <c r="CJ28" s="6" t="b">
        <v>0</v>
      </c>
      <c r="CK28" s="6" t="b">
        <v>0</v>
      </c>
      <c r="CL28" s="6">
        <v>0</v>
      </c>
      <c r="CM28" s="6" t="b">
        <v>0</v>
      </c>
      <c r="CN28" s="6"/>
      <c r="CO28" s="6"/>
      <c r="CP28" s="6"/>
      <c r="CQ28" s="6"/>
      <c r="CR28" s="6"/>
      <c r="CS28" s="6"/>
      <c r="CT28" s="6"/>
      <c r="CU28" s="6"/>
      <c r="CV28" s="6"/>
      <c r="CW28" s="6"/>
      <c r="CX28" s="6"/>
      <c r="CY28" s="6"/>
      <c r="CZ28" s="6"/>
      <c r="DA28" s="6"/>
      <c r="DB28" s="6"/>
      <c r="DC28" s="6"/>
      <c r="DD28" s="6"/>
      <c r="DE28" s="6"/>
      <c r="DF28" s="6"/>
      <c r="DG28" s="6"/>
      <c r="DH28" s="6"/>
      <c r="DI28" s="6"/>
    </row>
    <row r="29" spans="1:113" x14ac:dyDescent="0.25">
      <c r="A29" s="6" t="s">
        <v>613</v>
      </c>
      <c r="B29" s="6">
        <v>1</v>
      </c>
      <c r="C29" s="6">
        <v>0</v>
      </c>
      <c r="D29" s="6">
        <v>0</v>
      </c>
      <c r="E29" s="6">
        <v>0</v>
      </c>
      <c r="F29" s="6">
        <v>0</v>
      </c>
      <c r="G29" s="6">
        <v>0</v>
      </c>
      <c r="H29" s="6">
        <v>0</v>
      </c>
      <c r="I29" s="6">
        <v>0</v>
      </c>
      <c r="J29" s="6">
        <v>0</v>
      </c>
      <c r="K29" s="6">
        <v>0</v>
      </c>
      <c r="L29" s="6">
        <v>0</v>
      </c>
      <c r="M29" s="6">
        <v>0</v>
      </c>
      <c r="N29" s="6">
        <v>0</v>
      </c>
      <c r="O29" s="6">
        <v>0</v>
      </c>
      <c r="P29" s="6">
        <v>0</v>
      </c>
      <c r="Q29" s="6">
        <v>0</v>
      </c>
      <c r="R29" s="6">
        <v>0</v>
      </c>
      <c r="S29" s="6">
        <v>0</v>
      </c>
      <c r="T29" s="6">
        <v>0</v>
      </c>
      <c r="U29" s="6">
        <v>0</v>
      </c>
      <c r="V29" s="6">
        <v>0</v>
      </c>
      <c r="W29" s="6">
        <v>0</v>
      </c>
      <c r="X29" s="6">
        <v>0</v>
      </c>
      <c r="Y29" s="6">
        <v>0</v>
      </c>
      <c r="Z29" s="6">
        <v>0</v>
      </c>
      <c r="AA29" s="6">
        <v>0</v>
      </c>
      <c r="AB29" s="6">
        <v>0</v>
      </c>
      <c r="AC29" s="6">
        <v>0</v>
      </c>
      <c r="AD29" s="6">
        <v>0</v>
      </c>
      <c r="AE29" s="6">
        <v>0</v>
      </c>
      <c r="AF29" s="6">
        <v>0</v>
      </c>
      <c r="AG29" s="6">
        <v>0</v>
      </c>
      <c r="AH29" s="6">
        <v>0</v>
      </c>
      <c r="AI29" s="6">
        <v>0</v>
      </c>
      <c r="AJ29" s="6">
        <v>0</v>
      </c>
      <c r="AK29" s="6">
        <v>0</v>
      </c>
      <c r="AL29" s="6">
        <v>0</v>
      </c>
      <c r="AM29" s="6">
        <v>0</v>
      </c>
      <c r="AN29" s="6">
        <v>0</v>
      </c>
      <c r="AO29" s="6">
        <v>0</v>
      </c>
      <c r="AP29" s="6">
        <v>0</v>
      </c>
      <c r="AQ29" s="6">
        <v>0</v>
      </c>
      <c r="AR29" s="6">
        <v>0</v>
      </c>
      <c r="AS29" s="6">
        <v>0</v>
      </c>
      <c r="AT29" s="6" t="s">
        <v>862</v>
      </c>
      <c r="AU29" s="6" t="s">
        <v>862</v>
      </c>
      <c r="AV29" s="6" t="s">
        <v>862</v>
      </c>
      <c r="AW29" s="6" t="s">
        <v>862</v>
      </c>
      <c r="AX29" s="6">
        <v>0</v>
      </c>
      <c r="AY29" s="6" t="b">
        <v>0</v>
      </c>
      <c r="AZ29" s="6">
        <v>0</v>
      </c>
      <c r="BA29" s="6" t="b">
        <v>0</v>
      </c>
      <c r="BB29" s="6">
        <v>0</v>
      </c>
      <c r="BC29" s="6">
        <v>0</v>
      </c>
      <c r="BD29" s="6">
        <v>0</v>
      </c>
      <c r="BE29" s="6">
        <v>0</v>
      </c>
      <c r="BF29" s="6">
        <v>0</v>
      </c>
      <c r="BG29" s="6" t="s">
        <v>1564</v>
      </c>
      <c r="BH29" s="6">
        <v>0</v>
      </c>
      <c r="BI29" s="6">
        <v>0</v>
      </c>
      <c r="BJ29" s="6">
        <v>0</v>
      </c>
      <c r="BK29" s="6">
        <v>0</v>
      </c>
      <c r="BL29" s="6" t="b">
        <v>0</v>
      </c>
      <c r="BM29" s="6">
        <v>0</v>
      </c>
      <c r="BN29" s="6">
        <v>0</v>
      </c>
      <c r="BO29" s="6">
        <v>0</v>
      </c>
      <c r="BP29" s="6">
        <v>0</v>
      </c>
      <c r="BQ29" s="6">
        <v>0</v>
      </c>
      <c r="BR29" s="6">
        <v>0</v>
      </c>
      <c r="BS29" s="6">
        <v>0</v>
      </c>
      <c r="BT29" s="6">
        <v>0</v>
      </c>
      <c r="BU29" s="6">
        <v>0</v>
      </c>
      <c r="BV29" s="6">
        <v>0</v>
      </c>
      <c r="BW29" s="6">
        <v>0</v>
      </c>
      <c r="BX29" s="6">
        <v>0</v>
      </c>
      <c r="BY29" s="6">
        <v>0</v>
      </c>
      <c r="BZ29" s="6">
        <v>0</v>
      </c>
      <c r="CA29" s="6">
        <v>0</v>
      </c>
      <c r="CB29" s="6">
        <v>0</v>
      </c>
      <c r="CC29" s="6" t="b">
        <v>0</v>
      </c>
      <c r="CD29" s="6">
        <v>0</v>
      </c>
      <c r="CE29" s="6" t="b">
        <v>0</v>
      </c>
      <c r="CF29" s="6">
        <v>0</v>
      </c>
      <c r="CG29" s="6">
        <v>0</v>
      </c>
      <c r="CH29" s="6">
        <v>0</v>
      </c>
      <c r="CI29" s="6">
        <v>0</v>
      </c>
      <c r="CJ29" s="6" t="b">
        <v>0</v>
      </c>
      <c r="CK29" s="6" t="b">
        <v>0</v>
      </c>
      <c r="CL29" s="6">
        <v>0</v>
      </c>
      <c r="CM29" s="6" t="b">
        <v>0</v>
      </c>
      <c r="CN29" s="6"/>
      <c r="CO29" s="6"/>
      <c r="CP29" s="6"/>
      <c r="CQ29" s="6"/>
      <c r="CR29" s="6"/>
      <c r="CS29" s="6"/>
      <c r="CT29" s="6"/>
      <c r="CU29" s="6"/>
      <c r="CV29" s="6"/>
      <c r="CW29" s="6"/>
      <c r="CX29" s="6"/>
      <c r="CY29" s="6"/>
      <c r="CZ29" s="6"/>
      <c r="DA29" s="6"/>
      <c r="DB29" s="6"/>
      <c r="DC29" s="6"/>
      <c r="DD29" s="6"/>
      <c r="DE29" s="6"/>
      <c r="DF29" s="6"/>
      <c r="DG29" s="6"/>
      <c r="DH29" s="6"/>
      <c r="DI29" s="6"/>
    </row>
    <row r="30" spans="1:113" x14ac:dyDescent="0.25">
      <c r="A30" s="6" t="s">
        <v>614</v>
      </c>
      <c r="B30" s="6">
        <v>1</v>
      </c>
      <c r="C30" s="6">
        <v>0</v>
      </c>
      <c r="D30" s="6">
        <v>0</v>
      </c>
      <c r="E30" s="6">
        <v>0</v>
      </c>
      <c r="F30" s="6">
        <v>0</v>
      </c>
      <c r="G30" s="6">
        <v>0</v>
      </c>
      <c r="H30" s="6">
        <v>0</v>
      </c>
      <c r="I30" s="6">
        <v>0</v>
      </c>
      <c r="J30" s="6">
        <v>0</v>
      </c>
      <c r="K30" s="6">
        <v>0</v>
      </c>
      <c r="L30" s="6">
        <v>0</v>
      </c>
      <c r="M30" s="6">
        <v>0</v>
      </c>
      <c r="N30" s="6">
        <v>0</v>
      </c>
      <c r="O30" s="6">
        <v>0</v>
      </c>
      <c r="P30" s="6">
        <v>0</v>
      </c>
      <c r="Q30" s="6">
        <v>0</v>
      </c>
      <c r="R30" s="6">
        <v>0</v>
      </c>
      <c r="S30" s="6">
        <v>0</v>
      </c>
      <c r="T30" s="6">
        <v>0</v>
      </c>
      <c r="U30" s="6">
        <v>0</v>
      </c>
      <c r="V30" s="6">
        <v>0</v>
      </c>
      <c r="W30" s="6">
        <v>0</v>
      </c>
      <c r="X30" s="6">
        <v>0</v>
      </c>
      <c r="Y30" s="6">
        <v>0</v>
      </c>
      <c r="Z30" s="6">
        <v>0</v>
      </c>
      <c r="AA30" s="6">
        <v>0</v>
      </c>
      <c r="AB30" s="6">
        <v>0</v>
      </c>
      <c r="AC30" s="6">
        <v>0</v>
      </c>
      <c r="AD30" s="6">
        <v>0</v>
      </c>
      <c r="AE30" s="6">
        <v>0</v>
      </c>
      <c r="AF30" s="6">
        <v>0</v>
      </c>
      <c r="AG30" s="6">
        <v>0</v>
      </c>
      <c r="AH30" s="6">
        <v>0</v>
      </c>
      <c r="AI30" s="6">
        <v>0</v>
      </c>
      <c r="AJ30" s="6">
        <v>0</v>
      </c>
      <c r="AK30" s="6">
        <v>0</v>
      </c>
      <c r="AL30" s="6">
        <v>0</v>
      </c>
      <c r="AM30" s="6">
        <v>0</v>
      </c>
      <c r="AN30" s="6">
        <v>0</v>
      </c>
      <c r="AO30" s="6">
        <v>0</v>
      </c>
      <c r="AP30" s="6">
        <v>0</v>
      </c>
      <c r="AQ30" s="6">
        <v>0</v>
      </c>
      <c r="AR30" s="6">
        <v>0</v>
      </c>
      <c r="AS30" s="6">
        <v>0</v>
      </c>
      <c r="AT30" s="6" t="s">
        <v>862</v>
      </c>
      <c r="AU30" s="6" t="s">
        <v>862</v>
      </c>
      <c r="AV30" s="6" t="s">
        <v>862</v>
      </c>
      <c r="AW30" s="6" t="s">
        <v>862</v>
      </c>
      <c r="AX30" s="6">
        <v>0</v>
      </c>
      <c r="AY30" s="6" t="b">
        <v>0</v>
      </c>
      <c r="AZ30" s="6">
        <v>0</v>
      </c>
      <c r="BA30" s="6" t="b">
        <v>0</v>
      </c>
      <c r="BB30" s="6">
        <v>0</v>
      </c>
      <c r="BC30" s="6">
        <v>0</v>
      </c>
      <c r="BD30" s="6">
        <v>0</v>
      </c>
      <c r="BE30" s="6">
        <v>0</v>
      </c>
      <c r="BF30" s="6">
        <v>0</v>
      </c>
      <c r="BG30" s="6" t="s">
        <v>1564</v>
      </c>
      <c r="BH30" s="6">
        <v>0</v>
      </c>
      <c r="BI30" s="6">
        <v>0</v>
      </c>
      <c r="BJ30" s="6">
        <v>0</v>
      </c>
      <c r="BK30" s="6">
        <v>0</v>
      </c>
      <c r="BL30" s="6" t="b">
        <v>0</v>
      </c>
      <c r="BM30" s="6">
        <v>0</v>
      </c>
      <c r="BN30" s="6">
        <v>0</v>
      </c>
      <c r="BO30" s="6">
        <v>0</v>
      </c>
      <c r="BP30" s="6">
        <v>0</v>
      </c>
      <c r="BQ30" s="6">
        <v>0</v>
      </c>
      <c r="BR30" s="6">
        <v>0</v>
      </c>
      <c r="BS30" s="6">
        <v>0</v>
      </c>
      <c r="BT30" s="6">
        <v>0</v>
      </c>
      <c r="BU30" s="6">
        <v>0</v>
      </c>
      <c r="BV30" s="6">
        <v>0</v>
      </c>
      <c r="BW30" s="6">
        <v>0</v>
      </c>
      <c r="BX30" s="6">
        <v>0</v>
      </c>
      <c r="BY30" s="6">
        <v>0</v>
      </c>
      <c r="BZ30" s="6">
        <v>0</v>
      </c>
      <c r="CA30" s="6">
        <v>0</v>
      </c>
      <c r="CB30" s="6">
        <v>0</v>
      </c>
      <c r="CC30" s="6" t="b">
        <v>0</v>
      </c>
      <c r="CD30" s="6">
        <v>0</v>
      </c>
      <c r="CE30" s="6" t="b">
        <v>0</v>
      </c>
      <c r="CF30" s="6">
        <v>0</v>
      </c>
      <c r="CG30" s="6">
        <v>0</v>
      </c>
      <c r="CH30" s="6">
        <v>0</v>
      </c>
      <c r="CI30" s="6">
        <v>0</v>
      </c>
      <c r="CJ30" s="6" t="b">
        <v>0</v>
      </c>
      <c r="CK30" s="6" t="b">
        <v>0</v>
      </c>
      <c r="CL30" s="6">
        <v>0</v>
      </c>
      <c r="CM30" s="6" t="b">
        <v>0</v>
      </c>
      <c r="CN30" s="6"/>
      <c r="CO30" s="6"/>
      <c r="CP30" s="6"/>
      <c r="CQ30" s="6"/>
      <c r="CR30" s="6"/>
      <c r="CS30" s="6"/>
      <c r="CT30" s="6"/>
      <c r="CU30" s="6"/>
      <c r="CV30" s="6"/>
      <c r="CW30" s="6"/>
      <c r="CX30" s="6"/>
      <c r="CY30" s="6"/>
      <c r="CZ30" s="6"/>
      <c r="DA30" s="6"/>
      <c r="DB30" s="6"/>
      <c r="DC30" s="6"/>
      <c r="DD30" s="6"/>
      <c r="DE30" s="6"/>
      <c r="DF30" s="6"/>
      <c r="DG30" s="6"/>
      <c r="DH30" s="6"/>
      <c r="DI30" s="6"/>
    </row>
    <row r="31" spans="1:113" x14ac:dyDescent="0.25">
      <c r="A31" s="6" t="s">
        <v>670</v>
      </c>
      <c r="B31" s="6">
        <v>1</v>
      </c>
      <c r="C31" s="6">
        <v>0</v>
      </c>
      <c r="D31" s="6">
        <v>0</v>
      </c>
      <c r="E31" s="6">
        <v>0</v>
      </c>
      <c r="F31" s="6">
        <v>0</v>
      </c>
      <c r="G31" s="6">
        <v>0</v>
      </c>
      <c r="H31" s="6">
        <v>0</v>
      </c>
      <c r="I31" s="6">
        <v>0</v>
      </c>
      <c r="J31" s="6">
        <v>0</v>
      </c>
      <c r="K31" s="6">
        <v>0</v>
      </c>
      <c r="L31" s="6">
        <v>0</v>
      </c>
      <c r="M31" s="6">
        <v>0</v>
      </c>
      <c r="N31" s="6">
        <v>0</v>
      </c>
      <c r="O31" s="6">
        <v>0</v>
      </c>
      <c r="P31" s="6">
        <v>0</v>
      </c>
      <c r="Q31" s="6">
        <v>0</v>
      </c>
      <c r="R31" s="6">
        <v>0</v>
      </c>
      <c r="S31" s="6">
        <v>0</v>
      </c>
      <c r="T31" s="6">
        <v>0</v>
      </c>
      <c r="U31" s="6">
        <v>0</v>
      </c>
      <c r="V31" s="6">
        <v>0</v>
      </c>
      <c r="W31" s="6">
        <v>0</v>
      </c>
      <c r="X31" s="6">
        <v>0</v>
      </c>
      <c r="Y31" s="6">
        <v>0</v>
      </c>
      <c r="Z31" s="6">
        <v>0</v>
      </c>
      <c r="AA31" s="6">
        <v>0</v>
      </c>
      <c r="AB31" s="6">
        <v>0</v>
      </c>
      <c r="AC31" s="6">
        <v>0</v>
      </c>
      <c r="AD31" s="6">
        <v>0</v>
      </c>
      <c r="AE31" s="6">
        <v>0</v>
      </c>
      <c r="AF31" s="6">
        <v>0</v>
      </c>
      <c r="AG31" s="6">
        <v>0</v>
      </c>
      <c r="AH31" s="6">
        <v>0</v>
      </c>
      <c r="AI31" s="6">
        <v>0</v>
      </c>
      <c r="AJ31" s="6">
        <v>0</v>
      </c>
      <c r="AK31" s="6">
        <v>0</v>
      </c>
      <c r="AL31" s="6">
        <v>0</v>
      </c>
      <c r="AM31" s="6">
        <v>0</v>
      </c>
      <c r="AN31" s="6">
        <v>0</v>
      </c>
      <c r="AO31" s="6">
        <v>0</v>
      </c>
      <c r="AP31" s="6">
        <v>0</v>
      </c>
      <c r="AQ31" s="6">
        <v>0</v>
      </c>
      <c r="AR31" s="6">
        <v>0</v>
      </c>
      <c r="AS31" s="6">
        <v>0</v>
      </c>
      <c r="AT31" s="6" t="s">
        <v>862</v>
      </c>
      <c r="AU31" s="6" t="s">
        <v>862</v>
      </c>
      <c r="AV31" s="6" t="s">
        <v>862</v>
      </c>
      <c r="AW31" s="6" t="s">
        <v>862</v>
      </c>
      <c r="AX31" s="6">
        <v>0</v>
      </c>
      <c r="AY31" s="6" t="b">
        <v>0</v>
      </c>
      <c r="AZ31" s="6">
        <v>0</v>
      </c>
      <c r="BA31" s="6" t="b">
        <v>0</v>
      </c>
      <c r="BB31" s="6">
        <v>0</v>
      </c>
      <c r="BC31" s="6">
        <v>0</v>
      </c>
      <c r="BD31" s="6">
        <v>0</v>
      </c>
      <c r="BE31" s="6">
        <v>0</v>
      </c>
      <c r="BF31" s="6">
        <v>0</v>
      </c>
      <c r="BG31" s="6" t="s">
        <v>1564</v>
      </c>
      <c r="BH31" s="6">
        <v>0</v>
      </c>
      <c r="BI31" s="6">
        <v>0</v>
      </c>
      <c r="BJ31" s="6">
        <v>0</v>
      </c>
      <c r="BK31" s="6">
        <v>0</v>
      </c>
      <c r="BL31" s="6" t="b">
        <v>0</v>
      </c>
      <c r="BM31" s="6">
        <v>0</v>
      </c>
      <c r="BN31" s="6">
        <v>0</v>
      </c>
      <c r="BO31" s="6">
        <v>0</v>
      </c>
      <c r="BP31" s="6">
        <v>0</v>
      </c>
      <c r="BQ31" s="6">
        <v>0</v>
      </c>
      <c r="BR31" s="6">
        <v>0</v>
      </c>
      <c r="BS31" s="6">
        <v>0</v>
      </c>
      <c r="BT31" s="6">
        <v>0</v>
      </c>
      <c r="BU31" s="6">
        <v>0</v>
      </c>
      <c r="BV31" s="6">
        <v>0</v>
      </c>
      <c r="BW31" s="6">
        <v>0</v>
      </c>
      <c r="BX31" s="6">
        <v>0</v>
      </c>
      <c r="BY31" s="6">
        <v>0</v>
      </c>
      <c r="BZ31" s="6">
        <v>0</v>
      </c>
      <c r="CA31" s="6">
        <v>0</v>
      </c>
      <c r="CB31" s="6">
        <v>0</v>
      </c>
      <c r="CC31" s="6" t="b">
        <v>0</v>
      </c>
      <c r="CD31" s="6">
        <v>0</v>
      </c>
      <c r="CE31" s="6" t="b">
        <v>0</v>
      </c>
      <c r="CF31" s="6">
        <v>0</v>
      </c>
      <c r="CG31" s="6">
        <v>0</v>
      </c>
      <c r="CH31" s="6">
        <v>0</v>
      </c>
      <c r="CI31" s="6">
        <v>0</v>
      </c>
      <c r="CJ31" s="6" t="b">
        <v>0</v>
      </c>
      <c r="CK31" s="6" t="b">
        <v>0</v>
      </c>
      <c r="CL31" s="6">
        <v>0</v>
      </c>
      <c r="CM31" s="6" t="b">
        <v>0</v>
      </c>
      <c r="CN31" s="6"/>
      <c r="CO31" s="6"/>
      <c r="CP31" s="6"/>
      <c r="CQ31" s="6"/>
      <c r="CR31" s="6"/>
      <c r="CS31" s="6"/>
      <c r="CT31" s="6"/>
      <c r="CU31" s="6"/>
      <c r="CV31" s="6"/>
      <c r="CW31" s="6"/>
      <c r="CX31" s="6"/>
      <c r="CY31" s="6"/>
      <c r="CZ31" s="6"/>
      <c r="DA31" s="6"/>
      <c r="DB31" s="6"/>
      <c r="DC31" s="6"/>
      <c r="DD31" s="6"/>
      <c r="DE31" s="6"/>
      <c r="DF31" s="6"/>
      <c r="DG31" s="6"/>
      <c r="DH31" s="6"/>
      <c r="DI31" s="6"/>
    </row>
    <row r="32" spans="1:113" x14ac:dyDescent="0.25">
      <c r="A32" s="6" t="s">
        <v>615</v>
      </c>
      <c r="B32" s="6">
        <v>1</v>
      </c>
      <c r="C32" s="6">
        <v>0</v>
      </c>
      <c r="D32" s="6">
        <v>0</v>
      </c>
      <c r="E32" s="6">
        <v>0</v>
      </c>
      <c r="F32" s="6">
        <v>0</v>
      </c>
      <c r="G32" s="6">
        <v>0</v>
      </c>
      <c r="H32" s="6">
        <v>0</v>
      </c>
      <c r="I32" s="6">
        <v>0</v>
      </c>
      <c r="J32" s="6">
        <v>0</v>
      </c>
      <c r="K32" s="6">
        <v>0</v>
      </c>
      <c r="L32" s="6">
        <v>0</v>
      </c>
      <c r="M32" s="6">
        <v>0</v>
      </c>
      <c r="N32" s="6">
        <v>0</v>
      </c>
      <c r="O32" s="6">
        <v>0</v>
      </c>
      <c r="P32" s="6">
        <v>0</v>
      </c>
      <c r="Q32" s="6">
        <v>0</v>
      </c>
      <c r="R32" s="6">
        <v>0</v>
      </c>
      <c r="S32" s="6">
        <v>0</v>
      </c>
      <c r="T32" s="6">
        <v>0</v>
      </c>
      <c r="U32" s="6">
        <v>0</v>
      </c>
      <c r="V32" s="6">
        <v>0</v>
      </c>
      <c r="W32" s="6">
        <v>0</v>
      </c>
      <c r="X32" s="6">
        <v>0</v>
      </c>
      <c r="Y32" s="6">
        <v>0</v>
      </c>
      <c r="Z32" s="6">
        <v>0</v>
      </c>
      <c r="AA32" s="6">
        <v>0</v>
      </c>
      <c r="AB32" s="6">
        <v>0</v>
      </c>
      <c r="AC32" s="6">
        <v>0</v>
      </c>
      <c r="AD32" s="6">
        <v>0</v>
      </c>
      <c r="AE32" s="6">
        <v>0</v>
      </c>
      <c r="AF32" s="6">
        <v>0</v>
      </c>
      <c r="AG32" s="6">
        <v>0</v>
      </c>
      <c r="AH32" s="6">
        <v>0</v>
      </c>
      <c r="AI32" s="6">
        <v>0</v>
      </c>
      <c r="AJ32" s="6">
        <v>0</v>
      </c>
      <c r="AK32" s="6">
        <v>0</v>
      </c>
      <c r="AL32" s="6">
        <v>0</v>
      </c>
      <c r="AM32" s="6">
        <v>0</v>
      </c>
      <c r="AN32" s="6">
        <v>0</v>
      </c>
      <c r="AO32" s="6">
        <v>0</v>
      </c>
      <c r="AP32" s="6">
        <v>0</v>
      </c>
      <c r="AQ32" s="6">
        <v>0</v>
      </c>
      <c r="AR32" s="6">
        <v>0</v>
      </c>
      <c r="AS32" s="6">
        <v>0</v>
      </c>
      <c r="AT32" s="6" t="s">
        <v>862</v>
      </c>
      <c r="AU32" s="6" t="s">
        <v>862</v>
      </c>
      <c r="AV32" s="6" t="s">
        <v>862</v>
      </c>
      <c r="AW32" s="6" t="s">
        <v>862</v>
      </c>
      <c r="AX32" s="6">
        <v>0</v>
      </c>
      <c r="AY32" s="6" t="b">
        <v>0</v>
      </c>
      <c r="AZ32" s="6">
        <v>0</v>
      </c>
      <c r="BA32" s="6" t="b">
        <v>0</v>
      </c>
      <c r="BB32" s="6">
        <v>0</v>
      </c>
      <c r="BC32" s="6">
        <v>0</v>
      </c>
      <c r="BD32" s="6">
        <v>0</v>
      </c>
      <c r="BE32" s="6">
        <v>0</v>
      </c>
      <c r="BF32" s="6">
        <v>0</v>
      </c>
      <c r="BG32" s="6" t="s">
        <v>1564</v>
      </c>
      <c r="BH32" s="6">
        <v>0</v>
      </c>
      <c r="BI32" s="6">
        <v>0</v>
      </c>
      <c r="BJ32" s="6">
        <v>0</v>
      </c>
      <c r="BK32" s="6">
        <v>0</v>
      </c>
      <c r="BL32" s="6" t="b">
        <v>0</v>
      </c>
      <c r="BM32" s="6">
        <v>0</v>
      </c>
      <c r="BN32" s="6">
        <v>0</v>
      </c>
      <c r="BO32" s="6">
        <v>0</v>
      </c>
      <c r="BP32" s="6">
        <v>0</v>
      </c>
      <c r="BQ32" s="6">
        <v>0</v>
      </c>
      <c r="BR32" s="6">
        <v>0</v>
      </c>
      <c r="BS32" s="6">
        <v>0</v>
      </c>
      <c r="BT32" s="6">
        <v>0</v>
      </c>
      <c r="BU32" s="6">
        <v>0</v>
      </c>
      <c r="BV32" s="6">
        <v>0</v>
      </c>
      <c r="BW32" s="6">
        <v>0</v>
      </c>
      <c r="BX32" s="6">
        <v>0</v>
      </c>
      <c r="BY32" s="6">
        <v>0</v>
      </c>
      <c r="BZ32" s="6">
        <v>0</v>
      </c>
      <c r="CA32" s="6">
        <v>0</v>
      </c>
      <c r="CB32" s="6">
        <v>0</v>
      </c>
      <c r="CC32" s="6" t="b">
        <v>0</v>
      </c>
      <c r="CD32" s="6">
        <v>0</v>
      </c>
      <c r="CE32" s="6" t="b">
        <v>0</v>
      </c>
      <c r="CF32" s="6">
        <v>0</v>
      </c>
      <c r="CG32" s="6">
        <v>0</v>
      </c>
      <c r="CH32" s="6">
        <v>0</v>
      </c>
      <c r="CI32" s="6">
        <v>0</v>
      </c>
      <c r="CJ32" s="6" t="b">
        <v>0</v>
      </c>
      <c r="CK32" s="6" t="b">
        <v>0</v>
      </c>
      <c r="CL32" s="6">
        <v>0</v>
      </c>
      <c r="CM32" s="6" t="b">
        <v>0</v>
      </c>
      <c r="CN32" s="6"/>
      <c r="CO32" s="6"/>
      <c r="CP32" s="6"/>
      <c r="CQ32" s="6"/>
      <c r="CR32" s="6"/>
      <c r="CS32" s="6"/>
      <c r="CT32" s="6"/>
      <c r="CU32" s="6"/>
      <c r="CV32" s="6"/>
      <c r="CW32" s="6"/>
      <c r="CX32" s="6"/>
      <c r="CY32" s="6"/>
      <c r="CZ32" s="6"/>
      <c r="DA32" s="6"/>
      <c r="DB32" s="6"/>
      <c r="DC32" s="6"/>
      <c r="DD32" s="6"/>
      <c r="DE32" s="6"/>
      <c r="DF32" s="6"/>
      <c r="DG32" s="6"/>
      <c r="DH32" s="6"/>
      <c r="DI32" s="6"/>
    </row>
    <row r="33" spans="1:113" x14ac:dyDescent="0.25">
      <c r="A33" s="6" t="s">
        <v>616</v>
      </c>
      <c r="B33" s="6">
        <v>1</v>
      </c>
      <c r="C33" s="6">
        <v>0</v>
      </c>
      <c r="D33" s="6">
        <v>0</v>
      </c>
      <c r="E33" s="6">
        <v>0</v>
      </c>
      <c r="F33" s="6">
        <v>0</v>
      </c>
      <c r="G33" s="6">
        <v>0</v>
      </c>
      <c r="H33" s="6">
        <v>0</v>
      </c>
      <c r="I33" s="6">
        <v>0</v>
      </c>
      <c r="J33" s="6">
        <v>0</v>
      </c>
      <c r="K33" s="6">
        <v>0</v>
      </c>
      <c r="L33" s="6">
        <v>0</v>
      </c>
      <c r="M33" s="6">
        <v>0</v>
      </c>
      <c r="N33" s="6">
        <v>0</v>
      </c>
      <c r="O33" s="6">
        <v>0</v>
      </c>
      <c r="P33" s="6">
        <v>0</v>
      </c>
      <c r="Q33" s="6">
        <v>0</v>
      </c>
      <c r="R33" s="6">
        <v>0</v>
      </c>
      <c r="S33" s="6">
        <v>0</v>
      </c>
      <c r="T33" s="6">
        <v>0</v>
      </c>
      <c r="U33" s="6">
        <v>0</v>
      </c>
      <c r="V33" s="6">
        <v>0</v>
      </c>
      <c r="W33" s="6">
        <v>0</v>
      </c>
      <c r="X33" s="6">
        <v>0</v>
      </c>
      <c r="Y33" s="6">
        <v>0</v>
      </c>
      <c r="Z33" s="6">
        <v>0</v>
      </c>
      <c r="AA33" s="6">
        <v>0</v>
      </c>
      <c r="AB33" s="6">
        <v>0</v>
      </c>
      <c r="AC33" s="6">
        <v>0</v>
      </c>
      <c r="AD33" s="6">
        <v>0</v>
      </c>
      <c r="AE33" s="6">
        <v>0</v>
      </c>
      <c r="AF33" s="6">
        <v>0</v>
      </c>
      <c r="AG33" s="6">
        <v>0</v>
      </c>
      <c r="AH33" s="6">
        <v>0</v>
      </c>
      <c r="AI33" s="6">
        <v>0</v>
      </c>
      <c r="AJ33" s="6">
        <v>0</v>
      </c>
      <c r="AK33" s="6">
        <v>0</v>
      </c>
      <c r="AL33" s="6">
        <v>0</v>
      </c>
      <c r="AM33" s="6">
        <v>0</v>
      </c>
      <c r="AN33" s="6">
        <v>0</v>
      </c>
      <c r="AO33" s="6">
        <v>0</v>
      </c>
      <c r="AP33" s="6">
        <v>0</v>
      </c>
      <c r="AQ33" s="6">
        <v>0</v>
      </c>
      <c r="AR33" s="6">
        <v>0</v>
      </c>
      <c r="AS33" s="6">
        <v>0</v>
      </c>
      <c r="AT33" s="6" t="s">
        <v>862</v>
      </c>
      <c r="AU33" s="6" t="s">
        <v>862</v>
      </c>
      <c r="AV33" s="6" t="s">
        <v>862</v>
      </c>
      <c r="AW33" s="6" t="s">
        <v>862</v>
      </c>
      <c r="AX33" s="6">
        <v>0</v>
      </c>
      <c r="AY33" s="6" t="b">
        <v>0</v>
      </c>
      <c r="AZ33" s="6">
        <v>0</v>
      </c>
      <c r="BA33" s="6" t="b">
        <v>0</v>
      </c>
      <c r="BB33" s="6">
        <v>0</v>
      </c>
      <c r="BC33" s="6">
        <v>0</v>
      </c>
      <c r="BD33" s="6">
        <v>0</v>
      </c>
      <c r="BE33" s="6">
        <v>0</v>
      </c>
      <c r="BF33" s="6">
        <v>0</v>
      </c>
      <c r="BG33" s="6" t="s">
        <v>1564</v>
      </c>
      <c r="BH33" s="6">
        <v>0</v>
      </c>
      <c r="BI33" s="6">
        <v>0</v>
      </c>
      <c r="BJ33" s="6">
        <v>0</v>
      </c>
      <c r="BK33" s="6">
        <v>0</v>
      </c>
      <c r="BL33" s="6" t="b">
        <v>0</v>
      </c>
      <c r="BM33" s="6">
        <v>0</v>
      </c>
      <c r="BN33" s="6">
        <v>0</v>
      </c>
      <c r="BO33" s="6">
        <v>0</v>
      </c>
      <c r="BP33" s="6">
        <v>0</v>
      </c>
      <c r="BQ33" s="6">
        <v>0</v>
      </c>
      <c r="BR33" s="6">
        <v>0</v>
      </c>
      <c r="BS33" s="6">
        <v>0</v>
      </c>
      <c r="BT33" s="6">
        <v>0</v>
      </c>
      <c r="BU33" s="6">
        <v>0</v>
      </c>
      <c r="BV33" s="6">
        <v>0</v>
      </c>
      <c r="BW33" s="6">
        <v>0</v>
      </c>
      <c r="BX33" s="6">
        <v>0</v>
      </c>
      <c r="BY33" s="6">
        <v>0</v>
      </c>
      <c r="BZ33" s="6">
        <v>0</v>
      </c>
      <c r="CA33" s="6">
        <v>0</v>
      </c>
      <c r="CB33" s="6">
        <v>0</v>
      </c>
      <c r="CC33" s="6" t="b">
        <v>0</v>
      </c>
      <c r="CD33" s="6">
        <v>0</v>
      </c>
      <c r="CE33" s="6" t="b">
        <v>0</v>
      </c>
      <c r="CF33" s="6">
        <v>0</v>
      </c>
      <c r="CG33" s="6">
        <v>0</v>
      </c>
      <c r="CH33" s="6">
        <v>0</v>
      </c>
      <c r="CI33" s="6">
        <v>0</v>
      </c>
      <c r="CJ33" s="6" t="b">
        <v>0</v>
      </c>
      <c r="CK33" s="6" t="b">
        <v>0</v>
      </c>
      <c r="CL33" s="6">
        <v>0</v>
      </c>
      <c r="CM33" s="6" t="b">
        <v>0</v>
      </c>
      <c r="CN33" s="6"/>
      <c r="CO33" s="6"/>
      <c r="CP33" s="6"/>
      <c r="CQ33" s="6"/>
      <c r="CR33" s="6"/>
      <c r="CS33" s="6"/>
      <c r="CT33" s="6"/>
      <c r="CU33" s="6"/>
      <c r="CV33" s="6"/>
      <c r="CW33" s="6"/>
      <c r="CX33" s="6"/>
      <c r="CY33" s="6"/>
      <c r="CZ33" s="6"/>
      <c r="DA33" s="6"/>
      <c r="DB33" s="6"/>
      <c r="DC33" s="6"/>
      <c r="DD33" s="6"/>
      <c r="DE33" s="6"/>
      <c r="DF33" s="6"/>
      <c r="DG33" s="6"/>
      <c r="DH33" s="6"/>
      <c r="DI33" s="6"/>
    </row>
    <row r="34" spans="1:113" x14ac:dyDescent="0.25">
      <c r="A34" s="6" t="s">
        <v>721</v>
      </c>
      <c r="B34" s="6">
        <v>1</v>
      </c>
      <c r="C34" s="6">
        <v>0</v>
      </c>
      <c r="D34" s="6">
        <v>0</v>
      </c>
      <c r="E34" s="6">
        <v>0</v>
      </c>
      <c r="F34" s="6">
        <v>0</v>
      </c>
      <c r="G34" s="6">
        <v>0</v>
      </c>
      <c r="H34" s="6">
        <v>0</v>
      </c>
      <c r="I34" s="6">
        <v>0</v>
      </c>
      <c r="J34" s="6">
        <v>0</v>
      </c>
      <c r="K34" s="6">
        <v>0</v>
      </c>
      <c r="L34" s="6">
        <v>0</v>
      </c>
      <c r="M34" s="6">
        <v>0</v>
      </c>
      <c r="N34" s="6">
        <v>0</v>
      </c>
      <c r="O34" s="6">
        <v>0</v>
      </c>
      <c r="P34" s="6">
        <v>0</v>
      </c>
      <c r="Q34" s="6">
        <v>0</v>
      </c>
      <c r="R34" s="6">
        <v>0</v>
      </c>
      <c r="S34" s="6">
        <v>0</v>
      </c>
      <c r="T34" s="6">
        <v>0</v>
      </c>
      <c r="U34" s="6">
        <v>0</v>
      </c>
      <c r="V34" s="6">
        <v>0</v>
      </c>
      <c r="W34" s="6">
        <v>0</v>
      </c>
      <c r="X34" s="6">
        <v>0</v>
      </c>
      <c r="Y34" s="6">
        <v>0</v>
      </c>
      <c r="Z34" s="6">
        <v>0</v>
      </c>
      <c r="AA34" s="6">
        <v>0</v>
      </c>
      <c r="AB34" s="6">
        <v>0</v>
      </c>
      <c r="AC34" s="6">
        <v>0</v>
      </c>
      <c r="AD34" s="6">
        <v>0</v>
      </c>
      <c r="AE34" s="6">
        <v>0</v>
      </c>
      <c r="AF34" s="6">
        <v>0</v>
      </c>
      <c r="AG34" s="6">
        <v>0</v>
      </c>
      <c r="AH34" s="6">
        <v>0</v>
      </c>
      <c r="AI34" s="6">
        <v>0</v>
      </c>
      <c r="AJ34" s="6">
        <v>0</v>
      </c>
      <c r="AK34" s="6">
        <v>0</v>
      </c>
      <c r="AL34" s="6">
        <v>0</v>
      </c>
      <c r="AM34" s="6">
        <v>0</v>
      </c>
      <c r="AN34" s="6">
        <v>0</v>
      </c>
      <c r="AO34" s="6">
        <v>0</v>
      </c>
      <c r="AP34" s="6">
        <v>0</v>
      </c>
      <c r="AQ34" s="6">
        <v>0</v>
      </c>
      <c r="AR34" s="6">
        <v>0</v>
      </c>
      <c r="AS34" s="6">
        <v>0</v>
      </c>
      <c r="AT34" s="6" t="s">
        <v>862</v>
      </c>
      <c r="AU34" s="6" t="s">
        <v>862</v>
      </c>
      <c r="AV34" s="6" t="s">
        <v>862</v>
      </c>
      <c r="AW34" s="6" t="s">
        <v>862</v>
      </c>
      <c r="AX34" s="6">
        <v>0</v>
      </c>
      <c r="AY34" s="6" t="b">
        <v>0</v>
      </c>
      <c r="AZ34" s="6">
        <v>0</v>
      </c>
      <c r="BA34" s="6" t="b">
        <v>0</v>
      </c>
      <c r="BB34" s="6">
        <v>0</v>
      </c>
      <c r="BC34" s="6">
        <v>0</v>
      </c>
      <c r="BD34" s="6">
        <v>0</v>
      </c>
      <c r="BE34" s="6">
        <v>0</v>
      </c>
      <c r="BF34" s="6">
        <v>0</v>
      </c>
      <c r="BG34" s="6" t="s">
        <v>1564</v>
      </c>
      <c r="BH34" s="6">
        <v>0</v>
      </c>
      <c r="BI34" s="6">
        <v>0</v>
      </c>
      <c r="BJ34" s="6">
        <v>0</v>
      </c>
      <c r="BK34" s="6">
        <v>0</v>
      </c>
      <c r="BL34" s="6" t="b">
        <v>0</v>
      </c>
      <c r="BM34" s="6">
        <v>0</v>
      </c>
      <c r="BN34" s="6">
        <v>0</v>
      </c>
      <c r="BO34" s="6">
        <v>0</v>
      </c>
      <c r="BP34" s="6">
        <v>0</v>
      </c>
      <c r="BQ34" s="6">
        <v>0</v>
      </c>
      <c r="BR34" s="6">
        <v>0</v>
      </c>
      <c r="BS34" s="6">
        <v>0</v>
      </c>
      <c r="BT34" s="6">
        <v>0</v>
      </c>
      <c r="BU34" s="6">
        <v>0</v>
      </c>
      <c r="BV34" s="6">
        <v>0</v>
      </c>
      <c r="BW34" s="6">
        <v>0</v>
      </c>
      <c r="BX34" s="6">
        <v>0</v>
      </c>
      <c r="BY34" s="6">
        <v>0</v>
      </c>
      <c r="BZ34" s="6">
        <v>0</v>
      </c>
      <c r="CA34" s="6">
        <v>0</v>
      </c>
      <c r="CB34" s="6">
        <v>0</v>
      </c>
      <c r="CC34" s="6" t="b">
        <v>0</v>
      </c>
      <c r="CD34" s="6">
        <v>0</v>
      </c>
      <c r="CE34" s="6" t="b">
        <v>0</v>
      </c>
      <c r="CF34" s="6">
        <v>0</v>
      </c>
      <c r="CG34" s="6">
        <v>0</v>
      </c>
      <c r="CH34" s="6">
        <v>0</v>
      </c>
      <c r="CI34" s="6">
        <v>0</v>
      </c>
      <c r="CJ34" s="6" t="b">
        <v>0</v>
      </c>
      <c r="CK34" s="6" t="b">
        <v>0</v>
      </c>
      <c r="CL34" s="6">
        <v>0</v>
      </c>
      <c r="CM34" s="6" t="b">
        <v>0</v>
      </c>
      <c r="CN34" s="6"/>
      <c r="CO34" s="6"/>
      <c r="CP34" s="6"/>
      <c r="CQ34" s="6"/>
      <c r="CR34" s="6"/>
      <c r="CS34" s="6"/>
      <c r="CT34" s="6"/>
      <c r="CU34" s="6"/>
      <c r="CV34" s="6"/>
      <c r="CW34" s="6"/>
      <c r="CX34" s="6"/>
      <c r="CY34" s="6"/>
      <c r="CZ34" s="6"/>
      <c r="DA34" s="6"/>
      <c r="DB34" s="6"/>
      <c r="DC34" s="6"/>
      <c r="DD34" s="6"/>
      <c r="DE34" s="6"/>
      <c r="DF34" s="6"/>
      <c r="DG34" s="6"/>
      <c r="DH34" s="6"/>
      <c r="DI34" s="6"/>
    </row>
    <row r="35" spans="1:113" x14ac:dyDescent="0.25">
      <c r="A35" s="6" t="s">
        <v>671</v>
      </c>
      <c r="B35" s="6">
        <v>1</v>
      </c>
      <c r="C35" s="6">
        <v>0</v>
      </c>
      <c r="D35" s="6">
        <v>0</v>
      </c>
      <c r="E35" s="6">
        <v>0</v>
      </c>
      <c r="F35" s="6">
        <v>0</v>
      </c>
      <c r="G35" s="6">
        <v>0</v>
      </c>
      <c r="H35" s="6">
        <v>0</v>
      </c>
      <c r="I35" s="6">
        <v>0</v>
      </c>
      <c r="J35" s="6">
        <v>0</v>
      </c>
      <c r="K35" s="6">
        <v>0</v>
      </c>
      <c r="L35" s="6">
        <v>0</v>
      </c>
      <c r="M35" s="6">
        <v>0</v>
      </c>
      <c r="N35" s="6">
        <v>0</v>
      </c>
      <c r="O35" s="6">
        <v>0</v>
      </c>
      <c r="P35" s="6">
        <v>0</v>
      </c>
      <c r="Q35" s="6">
        <v>0</v>
      </c>
      <c r="R35" s="6">
        <v>0</v>
      </c>
      <c r="S35" s="6">
        <v>0</v>
      </c>
      <c r="T35" s="6">
        <v>0</v>
      </c>
      <c r="U35" s="6">
        <v>0</v>
      </c>
      <c r="V35" s="6">
        <v>0</v>
      </c>
      <c r="W35" s="6">
        <v>0</v>
      </c>
      <c r="X35" s="6">
        <v>0</v>
      </c>
      <c r="Y35" s="6">
        <v>0</v>
      </c>
      <c r="Z35" s="6">
        <v>0</v>
      </c>
      <c r="AA35" s="6">
        <v>0</v>
      </c>
      <c r="AB35" s="6">
        <v>0</v>
      </c>
      <c r="AC35" s="6">
        <v>0</v>
      </c>
      <c r="AD35" s="6">
        <v>0</v>
      </c>
      <c r="AE35" s="6">
        <v>0</v>
      </c>
      <c r="AF35" s="6">
        <v>0</v>
      </c>
      <c r="AG35" s="6">
        <v>0</v>
      </c>
      <c r="AH35" s="6">
        <v>0</v>
      </c>
      <c r="AI35" s="6">
        <v>0</v>
      </c>
      <c r="AJ35" s="6">
        <v>0</v>
      </c>
      <c r="AK35" s="6">
        <v>0</v>
      </c>
      <c r="AL35" s="6">
        <v>0</v>
      </c>
      <c r="AM35" s="6">
        <v>0</v>
      </c>
      <c r="AN35" s="6">
        <v>0</v>
      </c>
      <c r="AO35" s="6">
        <v>0</v>
      </c>
      <c r="AP35" s="6">
        <v>0</v>
      </c>
      <c r="AQ35" s="6">
        <v>0</v>
      </c>
      <c r="AR35" s="6">
        <v>0</v>
      </c>
      <c r="AS35" s="6">
        <v>0</v>
      </c>
      <c r="AT35" s="6" t="s">
        <v>862</v>
      </c>
      <c r="AU35" s="6" t="s">
        <v>862</v>
      </c>
      <c r="AV35" s="6" t="s">
        <v>862</v>
      </c>
      <c r="AW35" s="6" t="s">
        <v>862</v>
      </c>
      <c r="AX35" s="6">
        <v>0</v>
      </c>
      <c r="AY35" s="6" t="b">
        <v>0</v>
      </c>
      <c r="AZ35" s="6">
        <v>0</v>
      </c>
      <c r="BA35" s="6" t="b">
        <v>0</v>
      </c>
      <c r="BB35" s="6">
        <v>0</v>
      </c>
      <c r="BC35" s="6">
        <v>0</v>
      </c>
      <c r="BD35" s="6">
        <v>0</v>
      </c>
      <c r="BE35" s="6">
        <v>0</v>
      </c>
      <c r="BF35" s="6">
        <v>0</v>
      </c>
      <c r="BG35" s="6" t="s">
        <v>1564</v>
      </c>
      <c r="BH35" s="6">
        <v>0</v>
      </c>
      <c r="BI35" s="6">
        <v>0</v>
      </c>
      <c r="BJ35" s="6">
        <v>0</v>
      </c>
      <c r="BK35" s="6">
        <v>0</v>
      </c>
      <c r="BL35" s="6" t="b">
        <v>0</v>
      </c>
      <c r="BM35" s="6">
        <v>0</v>
      </c>
      <c r="BN35" s="6">
        <v>0</v>
      </c>
      <c r="BO35" s="6">
        <v>0</v>
      </c>
      <c r="BP35" s="6">
        <v>0</v>
      </c>
      <c r="BQ35" s="6">
        <v>0</v>
      </c>
      <c r="BR35" s="6">
        <v>0</v>
      </c>
      <c r="BS35" s="6">
        <v>0</v>
      </c>
      <c r="BT35" s="6">
        <v>0</v>
      </c>
      <c r="BU35" s="6">
        <v>0</v>
      </c>
      <c r="BV35" s="6">
        <v>0</v>
      </c>
      <c r="BW35" s="6">
        <v>0</v>
      </c>
      <c r="BX35" s="6">
        <v>0</v>
      </c>
      <c r="BY35" s="6">
        <v>0</v>
      </c>
      <c r="BZ35" s="6">
        <v>0</v>
      </c>
      <c r="CA35" s="6">
        <v>0</v>
      </c>
      <c r="CB35" s="6">
        <v>0</v>
      </c>
      <c r="CC35" s="6" t="b">
        <v>0</v>
      </c>
      <c r="CD35" s="6">
        <v>0</v>
      </c>
      <c r="CE35" s="6" t="b">
        <v>0</v>
      </c>
      <c r="CF35" s="6">
        <v>0</v>
      </c>
      <c r="CG35" s="6">
        <v>0</v>
      </c>
      <c r="CH35" s="6">
        <v>0</v>
      </c>
      <c r="CI35" s="6">
        <v>0</v>
      </c>
      <c r="CJ35" s="6" t="b">
        <v>0</v>
      </c>
      <c r="CK35" s="6" t="b">
        <v>0</v>
      </c>
      <c r="CL35" s="6">
        <v>0</v>
      </c>
      <c r="CM35" s="6" t="b">
        <v>0</v>
      </c>
      <c r="CN35" s="6"/>
      <c r="CO35" s="6"/>
      <c r="CP35" s="6"/>
      <c r="CQ35" s="6"/>
      <c r="CR35" s="6"/>
      <c r="CS35" s="6"/>
      <c r="CT35" s="6"/>
      <c r="CU35" s="6"/>
      <c r="CV35" s="6"/>
      <c r="CW35" s="6"/>
      <c r="CX35" s="6"/>
      <c r="CY35" s="6"/>
      <c r="CZ35" s="6"/>
      <c r="DA35" s="6"/>
      <c r="DB35" s="6"/>
      <c r="DC35" s="6"/>
      <c r="DD35" s="6"/>
      <c r="DE35" s="6"/>
      <c r="DF35" s="6"/>
      <c r="DG35" s="6"/>
      <c r="DH35" s="6"/>
      <c r="DI35" s="6"/>
    </row>
    <row r="36" spans="1:113" x14ac:dyDescent="0.25">
      <c r="A36" s="6" t="s">
        <v>748</v>
      </c>
      <c r="B36" s="6">
        <v>1</v>
      </c>
      <c r="C36" s="6">
        <v>0</v>
      </c>
      <c r="D36" s="6">
        <v>0</v>
      </c>
      <c r="E36" s="6">
        <v>0</v>
      </c>
      <c r="F36" s="6">
        <v>0</v>
      </c>
      <c r="G36" s="6">
        <v>0</v>
      </c>
      <c r="H36" s="6">
        <v>0</v>
      </c>
      <c r="I36" s="6">
        <v>0</v>
      </c>
      <c r="J36" s="6">
        <v>0</v>
      </c>
      <c r="K36" s="6">
        <v>0</v>
      </c>
      <c r="L36" s="6">
        <v>0</v>
      </c>
      <c r="M36" s="6">
        <v>0</v>
      </c>
      <c r="N36" s="6">
        <v>0</v>
      </c>
      <c r="O36" s="6">
        <v>0</v>
      </c>
      <c r="P36" s="6">
        <v>0</v>
      </c>
      <c r="Q36" s="6">
        <v>0</v>
      </c>
      <c r="R36" s="6">
        <v>0</v>
      </c>
      <c r="S36" s="6">
        <v>0</v>
      </c>
      <c r="T36" s="6">
        <v>0</v>
      </c>
      <c r="U36" s="6">
        <v>0</v>
      </c>
      <c r="V36" s="6">
        <v>0</v>
      </c>
      <c r="W36" s="6">
        <v>0</v>
      </c>
      <c r="X36" s="6">
        <v>0</v>
      </c>
      <c r="Y36" s="6">
        <v>0</v>
      </c>
      <c r="Z36" s="6">
        <v>0</v>
      </c>
      <c r="AA36" s="6">
        <v>0</v>
      </c>
      <c r="AB36" s="6">
        <v>0</v>
      </c>
      <c r="AC36" s="6">
        <v>0</v>
      </c>
      <c r="AD36" s="6">
        <v>0</v>
      </c>
      <c r="AE36" s="6">
        <v>0</v>
      </c>
      <c r="AF36" s="6">
        <v>0</v>
      </c>
      <c r="AG36" s="6">
        <v>0</v>
      </c>
      <c r="AH36" s="6">
        <v>0</v>
      </c>
      <c r="AI36" s="6">
        <v>0</v>
      </c>
      <c r="AJ36" s="6">
        <v>0</v>
      </c>
      <c r="AK36" s="6">
        <v>0</v>
      </c>
      <c r="AL36" s="6">
        <v>0</v>
      </c>
      <c r="AM36" s="6">
        <v>0</v>
      </c>
      <c r="AN36" s="6">
        <v>0</v>
      </c>
      <c r="AO36" s="6">
        <v>0</v>
      </c>
      <c r="AP36" s="6">
        <v>0</v>
      </c>
      <c r="AQ36" s="6">
        <v>0</v>
      </c>
      <c r="AR36" s="6">
        <v>0</v>
      </c>
      <c r="AS36" s="6">
        <v>0</v>
      </c>
      <c r="AT36" s="6" t="s">
        <v>862</v>
      </c>
      <c r="AU36" s="6" t="s">
        <v>862</v>
      </c>
      <c r="AV36" s="6" t="s">
        <v>862</v>
      </c>
      <c r="AW36" s="6" t="s">
        <v>862</v>
      </c>
      <c r="AX36" s="6">
        <v>0</v>
      </c>
      <c r="AY36" s="6" t="b">
        <v>0</v>
      </c>
      <c r="AZ36" s="6">
        <v>0</v>
      </c>
      <c r="BA36" s="6" t="b">
        <v>0</v>
      </c>
      <c r="BB36" s="6">
        <v>0</v>
      </c>
      <c r="BC36" s="6">
        <v>0</v>
      </c>
      <c r="BD36" s="6">
        <v>0</v>
      </c>
      <c r="BE36" s="6">
        <v>0</v>
      </c>
      <c r="BF36" s="6">
        <v>0</v>
      </c>
      <c r="BG36" s="6" t="s">
        <v>1564</v>
      </c>
      <c r="BH36" s="6">
        <v>0</v>
      </c>
      <c r="BI36" s="6">
        <v>0</v>
      </c>
      <c r="BJ36" s="6">
        <v>0</v>
      </c>
      <c r="BK36" s="6">
        <v>0</v>
      </c>
      <c r="BL36" s="6" t="b">
        <v>0</v>
      </c>
      <c r="BM36" s="6">
        <v>0</v>
      </c>
      <c r="BN36" s="6">
        <v>0</v>
      </c>
      <c r="BO36" s="6">
        <v>0</v>
      </c>
      <c r="BP36" s="6">
        <v>0</v>
      </c>
      <c r="BQ36" s="6">
        <v>0</v>
      </c>
      <c r="BR36" s="6">
        <v>0</v>
      </c>
      <c r="BS36" s="6">
        <v>0</v>
      </c>
      <c r="BT36" s="6">
        <v>0</v>
      </c>
      <c r="BU36" s="6">
        <v>0</v>
      </c>
      <c r="BV36" s="6">
        <v>0</v>
      </c>
      <c r="BW36" s="6">
        <v>0</v>
      </c>
      <c r="BX36" s="6">
        <v>0</v>
      </c>
      <c r="BY36" s="6">
        <v>0</v>
      </c>
      <c r="BZ36" s="6">
        <v>0</v>
      </c>
      <c r="CA36" s="6">
        <v>0</v>
      </c>
      <c r="CB36" s="6">
        <v>0</v>
      </c>
      <c r="CC36" s="6" t="b">
        <v>0</v>
      </c>
      <c r="CD36" s="6">
        <v>0</v>
      </c>
      <c r="CE36" s="6" t="b">
        <v>0</v>
      </c>
      <c r="CF36" s="6">
        <v>0</v>
      </c>
      <c r="CG36" s="6">
        <v>0</v>
      </c>
      <c r="CH36" s="6">
        <v>0</v>
      </c>
      <c r="CI36" s="6">
        <v>0</v>
      </c>
      <c r="CJ36" s="6" t="b">
        <v>0</v>
      </c>
      <c r="CK36" s="6" t="b">
        <v>0</v>
      </c>
      <c r="CL36" s="6">
        <v>0</v>
      </c>
      <c r="CM36" s="6" t="b">
        <v>0</v>
      </c>
      <c r="CN36" s="6"/>
      <c r="CO36" s="6"/>
      <c r="CP36" s="6"/>
      <c r="CQ36" s="6"/>
      <c r="CR36" s="6"/>
      <c r="CS36" s="6"/>
      <c r="CT36" s="6"/>
      <c r="CU36" s="6"/>
      <c r="CV36" s="6"/>
      <c r="CW36" s="6"/>
      <c r="CX36" s="6"/>
      <c r="CY36" s="6"/>
      <c r="CZ36" s="6"/>
      <c r="DA36" s="6"/>
      <c r="DB36" s="6"/>
      <c r="DC36" s="6"/>
      <c r="DD36" s="6"/>
      <c r="DE36" s="6"/>
      <c r="DF36" s="6"/>
      <c r="DG36" s="6"/>
      <c r="DH36" s="6"/>
      <c r="DI36" s="6"/>
    </row>
    <row r="37" spans="1:113" x14ac:dyDescent="0.25">
      <c r="A37" s="6" t="s">
        <v>749</v>
      </c>
      <c r="B37" s="6">
        <v>1</v>
      </c>
      <c r="C37" s="6">
        <v>0</v>
      </c>
      <c r="D37" s="6">
        <v>0</v>
      </c>
      <c r="E37" s="6">
        <v>0</v>
      </c>
      <c r="F37" s="6">
        <v>0</v>
      </c>
      <c r="G37" s="6">
        <v>0</v>
      </c>
      <c r="H37" s="6">
        <v>0</v>
      </c>
      <c r="I37" s="6">
        <v>0</v>
      </c>
      <c r="J37" s="6">
        <v>0</v>
      </c>
      <c r="K37" s="6">
        <v>0</v>
      </c>
      <c r="L37" s="6">
        <v>0</v>
      </c>
      <c r="M37" s="6">
        <v>0</v>
      </c>
      <c r="N37" s="6">
        <v>0</v>
      </c>
      <c r="O37" s="6">
        <v>0</v>
      </c>
      <c r="P37" s="6">
        <v>0</v>
      </c>
      <c r="Q37" s="6">
        <v>0</v>
      </c>
      <c r="R37" s="6">
        <v>0</v>
      </c>
      <c r="S37" s="6">
        <v>0</v>
      </c>
      <c r="T37" s="6">
        <v>0</v>
      </c>
      <c r="U37" s="6">
        <v>0</v>
      </c>
      <c r="V37" s="6">
        <v>0</v>
      </c>
      <c r="W37" s="6">
        <v>0</v>
      </c>
      <c r="X37" s="6">
        <v>0</v>
      </c>
      <c r="Y37" s="6">
        <v>0</v>
      </c>
      <c r="Z37" s="6">
        <v>0</v>
      </c>
      <c r="AA37" s="6">
        <v>0</v>
      </c>
      <c r="AB37" s="6">
        <v>0</v>
      </c>
      <c r="AC37" s="6">
        <v>0</v>
      </c>
      <c r="AD37" s="6">
        <v>0</v>
      </c>
      <c r="AE37" s="6">
        <v>0</v>
      </c>
      <c r="AF37" s="6">
        <v>0</v>
      </c>
      <c r="AG37" s="6">
        <v>0</v>
      </c>
      <c r="AH37" s="6">
        <v>0</v>
      </c>
      <c r="AI37" s="6">
        <v>0</v>
      </c>
      <c r="AJ37" s="6">
        <v>0</v>
      </c>
      <c r="AK37" s="6">
        <v>0</v>
      </c>
      <c r="AL37" s="6">
        <v>0</v>
      </c>
      <c r="AM37" s="6">
        <v>0</v>
      </c>
      <c r="AN37" s="6">
        <v>0</v>
      </c>
      <c r="AO37" s="6">
        <v>0</v>
      </c>
      <c r="AP37" s="6">
        <v>0</v>
      </c>
      <c r="AQ37" s="6">
        <v>0</v>
      </c>
      <c r="AR37" s="6">
        <v>0</v>
      </c>
      <c r="AS37" s="6">
        <v>0</v>
      </c>
      <c r="AT37" s="6" t="s">
        <v>862</v>
      </c>
      <c r="AU37" s="6" t="s">
        <v>862</v>
      </c>
      <c r="AV37" s="6" t="s">
        <v>862</v>
      </c>
      <c r="AW37" s="6" t="s">
        <v>862</v>
      </c>
      <c r="AX37" s="6">
        <v>0</v>
      </c>
      <c r="AY37" s="6" t="b">
        <v>0</v>
      </c>
      <c r="AZ37" s="6">
        <v>0</v>
      </c>
      <c r="BA37" s="6" t="b">
        <v>0</v>
      </c>
      <c r="BB37" s="6">
        <v>0</v>
      </c>
      <c r="BC37" s="6">
        <v>0</v>
      </c>
      <c r="BD37" s="6">
        <v>0</v>
      </c>
      <c r="BE37" s="6">
        <v>0</v>
      </c>
      <c r="BF37" s="6">
        <v>0</v>
      </c>
      <c r="BG37" s="6" t="s">
        <v>1564</v>
      </c>
      <c r="BH37" s="6">
        <v>0</v>
      </c>
      <c r="BI37" s="6">
        <v>0</v>
      </c>
      <c r="BJ37" s="6">
        <v>0</v>
      </c>
      <c r="BK37" s="6">
        <v>0</v>
      </c>
      <c r="BL37" s="6" t="b">
        <v>0</v>
      </c>
      <c r="BM37" s="6">
        <v>0</v>
      </c>
      <c r="BN37" s="6">
        <v>0</v>
      </c>
      <c r="BO37" s="6">
        <v>0</v>
      </c>
      <c r="BP37" s="6">
        <v>0</v>
      </c>
      <c r="BQ37" s="6">
        <v>0</v>
      </c>
      <c r="BR37" s="6">
        <v>0</v>
      </c>
      <c r="BS37" s="6">
        <v>0</v>
      </c>
      <c r="BT37" s="6">
        <v>0</v>
      </c>
      <c r="BU37" s="6">
        <v>0</v>
      </c>
      <c r="BV37" s="6">
        <v>0</v>
      </c>
      <c r="BW37" s="6">
        <v>0</v>
      </c>
      <c r="BX37" s="6">
        <v>0</v>
      </c>
      <c r="BY37" s="6">
        <v>0</v>
      </c>
      <c r="BZ37" s="6">
        <v>0</v>
      </c>
      <c r="CA37" s="6">
        <v>0</v>
      </c>
      <c r="CB37" s="6">
        <v>0</v>
      </c>
      <c r="CC37" s="6" t="b">
        <v>0</v>
      </c>
      <c r="CD37" s="6">
        <v>0</v>
      </c>
      <c r="CE37" s="6" t="b">
        <v>0</v>
      </c>
      <c r="CF37" s="6">
        <v>0</v>
      </c>
      <c r="CG37" s="6">
        <v>0</v>
      </c>
      <c r="CH37" s="6">
        <v>0</v>
      </c>
      <c r="CI37" s="6">
        <v>0</v>
      </c>
      <c r="CJ37" s="6" t="b">
        <v>0</v>
      </c>
      <c r="CK37" s="6" t="b">
        <v>0</v>
      </c>
      <c r="CL37" s="6">
        <v>0</v>
      </c>
      <c r="CM37" s="6" t="b">
        <v>0</v>
      </c>
      <c r="CN37" s="6"/>
      <c r="CO37" s="6"/>
      <c r="CP37" s="6"/>
      <c r="CQ37" s="6"/>
      <c r="CR37" s="6"/>
      <c r="CS37" s="6"/>
      <c r="CT37" s="6"/>
      <c r="CU37" s="6"/>
      <c r="CV37" s="6"/>
      <c r="CW37" s="6"/>
      <c r="CX37" s="6"/>
      <c r="CY37" s="6"/>
      <c r="CZ37" s="6"/>
      <c r="DA37" s="6"/>
      <c r="DB37" s="6"/>
      <c r="DC37" s="6"/>
      <c r="DD37" s="6"/>
      <c r="DE37" s="6"/>
      <c r="DF37" s="6"/>
      <c r="DG37" s="6"/>
      <c r="DH37" s="6"/>
      <c r="DI37" s="6"/>
    </row>
    <row r="38" spans="1:113" x14ac:dyDescent="0.25">
      <c r="A38" s="6" t="s">
        <v>751</v>
      </c>
      <c r="B38" s="6">
        <v>1</v>
      </c>
      <c r="C38" s="6">
        <v>0</v>
      </c>
      <c r="D38" s="6">
        <v>0</v>
      </c>
      <c r="E38" s="6">
        <v>0</v>
      </c>
      <c r="F38" s="6">
        <v>0</v>
      </c>
      <c r="G38" s="6">
        <v>0</v>
      </c>
      <c r="H38" s="6">
        <v>0</v>
      </c>
      <c r="I38" s="6">
        <v>0</v>
      </c>
      <c r="J38" s="6">
        <v>0</v>
      </c>
      <c r="K38" s="6">
        <v>0</v>
      </c>
      <c r="L38" s="6">
        <v>0</v>
      </c>
      <c r="M38" s="6">
        <v>0</v>
      </c>
      <c r="N38" s="6">
        <v>0</v>
      </c>
      <c r="O38" s="6">
        <v>0</v>
      </c>
      <c r="P38" s="6">
        <v>0</v>
      </c>
      <c r="Q38" s="6">
        <v>0</v>
      </c>
      <c r="R38" s="6">
        <v>0</v>
      </c>
      <c r="S38" s="6">
        <v>0</v>
      </c>
      <c r="T38" s="6">
        <v>0</v>
      </c>
      <c r="U38" s="6">
        <v>0</v>
      </c>
      <c r="V38" s="6">
        <v>0</v>
      </c>
      <c r="W38" s="6">
        <v>0</v>
      </c>
      <c r="X38" s="6">
        <v>0</v>
      </c>
      <c r="Y38" s="6">
        <v>0</v>
      </c>
      <c r="Z38" s="6">
        <v>0</v>
      </c>
      <c r="AA38" s="6">
        <v>0</v>
      </c>
      <c r="AB38" s="6">
        <v>0</v>
      </c>
      <c r="AC38" s="6">
        <v>0</v>
      </c>
      <c r="AD38" s="6">
        <v>0</v>
      </c>
      <c r="AE38" s="6">
        <v>0</v>
      </c>
      <c r="AF38" s="6">
        <v>0</v>
      </c>
      <c r="AG38" s="6">
        <v>0</v>
      </c>
      <c r="AH38" s="6">
        <v>0</v>
      </c>
      <c r="AI38" s="6">
        <v>0</v>
      </c>
      <c r="AJ38" s="6">
        <v>0</v>
      </c>
      <c r="AK38" s="6">
        <v>0</v>
      </c>
      <c r="AL38" s="6">
        <v>0</v>
      </c>
      <c r="AM38" s="6">
        <v>0</v>
      </c>
      <c r="AN38" s="6">
        <v>0</v>
      </c>
      <c r="AO38" s="6">
        <v>0</v>
      </c>
      <c r="AP38" s="6">
        <v>0</v>
      </c>
      <c r="AQ38" s="6">
        <v>0</v>
      </c>
      <c r="AR38" s="6">
        <v>0</v>
      </c>
      <c r="AS38" s="6">
        <v>0</v>
      </c>
      <c r="AT38" s="6" t="s">
        <v>862</v>
      </c>
      <c r="AU38" s="6" t="s">
        <v>862</v>
      </c>
      <c r="AV38" s="6" t="s">
        <v>862</v>
      </c>
      <c r="AW38" s="6" t="s">
        <v>862</v>
      </c>
      <c r="AX38" s="6">
        <v>0</v>
      </c>
      <c r="AY38" s="6" t="b">
        <v>0</v>
      </c>
      <c r="AZ38" s="6">
        <v>0</v>
      </c>
      <c r="BA38" s="6" t="b">
        <v>0</v>
      </c>
      <c r="BB38" s="6">
        <v>0</v>
      </c>
      <c r="BC38" s="6">
        <v>0</v>
      </c>
      <c r="BD38" s="6">
        <v>0</v>
      </c>
      <c r="BE38" s="6">
        <v>0</v>
      </c>
      <c r="BF38" s="6">
        <v>0</v>
      </c>
      <c r="BG38" s="6" t="s">
        <v>1564</v>
      </c>
      <c r="BH38" s="6">
        <v>0</v>
      </c>
      <c r="BI38" s="6">
        <v>0</v>
      </c>
      <c r="BJ38" s="6">
        <v>0</v>
      </c>
      <c r="BK38" s="6">
        <v>0</v>
      </c>
      <c r="BL38" s="6" t="b">
        <v>0</v>
      </c>
      <c r="BM38" s="6">
        <v>0</v>
      </c>
      <c r="BN38" s="6">
        <v>0</v>
      </c>
      <c r="BO38" s="6">
        <v>0</v>
      </c>
      <c r="BP38" s="6">
        <v>0</v>
      </c>
      <c r="BQ38" s="6">
        <v>0</v>
      </c>
      <c r="BR38" s="6">
        <v>0</v>
      </c>
      <c r="BS38" s="6">
        <v>0</v>
      </c>
      <c r="BT38" s="6">
        <v>0</v>
      </c>
      <c r="BU38" s="6">
        <v>0</v>
      </c>
      <c r="BV38" s="6">
        <v>0</v>
      </c>
      <c r="BW38" s="6">
        <v>0</v>
      </c>
      <c r="BX38" s="6">
        <v>0</v>
      </c>
      <c r="BY38" s="6">
        <v>0</v>
      </c>
      <c r="BZ38" s="6">
        <v>0</v>
      </c>
      <c r="CA38" s="6">
        <v>0</v>
      </c>
      <c r="CB38" s="6">
        <v>0</v>
      </c>
      <c r="CC38" s="6" t="b">
        <v>0</v>
      </c>
      <c r="CD38" s="6">
        <v>0</v>
      </c>
      <c r="CE38" s="6" t="b">
        <v>0</v>
      </c>
      <c r="CF38" s="6">
        <v>0</v>
      </c>
      <c r="CG38" s="6">
        <v>0</v>
      </c>
      <c r="CH38" s="6">
        <v>0</v>
      </c>
      <c r="CI38" s="6">
        <v>0</v>
      </c>
      <c r="CJ38" s="6" t="b">
        <v>0</v>
      </c>
      <c r="CK38" s="6" t="b">
        <v>0</v>
      </c>
      <c r="CL38" s="6">
        <v>0</v>
      </c>
      <c r="CM38" s="6" t="b">
        <v>0</v>
      </c>
      <c r="CN38" s="6"/>
      <c r="CO38" s="6"/>
      <c r="CP38" s="6"/>
      <c r="CQ38" s="6"/>
      <c r="CR38" s="6"/>
      <c r="CS38" s="6"/>
      <c r="CT38" s="6"/>
      <c r="CU38" s="6"/>
      <c r="CV38" s="6"/>
      <c r="CW38" s="6"/>
      <c r="CX38" s="6"/>
      <c r="CY38" s="6"/>
      <c r="CZ38" s="6"/>
      <c r="DA38" s="6"/>
      <c r="DB38" s="6"/>
      <c r="DC38" s="6"/>
      <c r="DD38" s="6"/>
      <c r="DE38" s="6"/>
      <c r="DF38" s="6"/>
      <c r="DG38" s="6"/>
      <c r="DH38" s="6"/>
      <c r="DI38" s="6"/>
    </row>
    <row r="39" spans="1:113" x14ac:dyDescent="0.25">
      <c r="A39" s="6" t="s">
        <v>752</v>
      </c>
      <c r="B39" s="6">
        <v>1</v>
      </c>
      <c r="C39" s="6">
        <v>0</v>
      </c>
      <c r="D39" s="6">
        <v>0</v>
      </c>
      <c r="E39" s="6">
        <v>0</v>
      </c>
      <c r="F39" s="6">
        <v>0</v>
      </c>
      <c r="G39" s="6">
        <v>0</v>
      </c>
      <c r="H39" s="6">
        <v>0</v>
      </c>
      <c r="I39" s="6">
        <v>0</v>
      </c>
      <c r="J39" s="6">
        <v>0</v>
      </c>
      <c r="K39" s="6">
        <v>0</v>
      </c>
      <c r="L39" s="6">
        <v>0</v>
      </c>
      <c r="M39" s="6">
        <v>0</v>
      </c>
      <c r="N39" s="6">
        <v>0</v>
      </c>
      <c r="O39" s="6">
        <v>0</v>
      </c>
      <c r="P39" s="6">
        <v>0</v>
      </c>
      <c r="Q39" s="6">
        <v>0</v>
      </c>
      <c r="R39" s="6">
        <v>0</v>
      </c>
      <c r="S39" s="6">
        <v>0</v>
      </c>
      <c r="T39" s="6">
        <v>0</v>
      </c>
      <c r="U39" s="6">
        <v>0</v>
      </c>
      <c r="V39" s="6">
        <v>0</v>
      </c>
      <c r="W39" s="6">
        <v>0</v>
      </c>
      <c r="X39" s="6">
        <v>0</v>
      </c>
      <c r="Y39" s="6">
        <v>0</v>
      </c>
      <c r="Z39" s="6">
        <v>0</v>
      </c>
      <c r="AA39" s="6">
        <v>0</v>
      </c>
      <c r="AB39" s="6">
        <v>0</v>
      </c>
      <c r="AC39" s="6">
        <v>0</v>
      </c>
      <c r="AD39" s="6">
        <v>0</v>
      </c>
      <c r="AE39" s="6">
        <v>0</v>
      </c>
      <c r="AF39" s="6">
        <v>0</v>
      </c>
      <c r="AG39" s="6">
        <v>0</v>
      </c>
      <c r="AH39" s="6">
        <v>0</v>
      </c>
      <c r="AI39" s="6">
        <v>0</v>
      </c>
      <c r="AJ39" s="6">
        <v>0</v>
      </c>
      <c r="AK39" s="6">
        <v>0</v>
      </c>
      <c r="AL39" s="6">
        <v>0</v>
      </c>
      <c r="AM39" s="6">
        <v>0</v>
      </c>
      <c r="AN39" s="6">
        <v>0</v>
      </c>
      <c r="AO39" s="6">
        <v>0</v>
      </c>
      <c r="AP39" s="6">
        <v>0</v>
      </c>
      <c r="AQ39" s="6">
        <v>0</v>
      </c>
      <c r="AR39" s="6">
        <v>0</v>
      </c>
      <c r="AS39" s="6">
        <v>0</v>
      </c>
      <c r="AT39" s="6" t="s">
        <v>862</v>
      </c>
      <c r="AU39" s="6" t="s">
        <v>862</v>
      </c>
      <c r="AV39" s="6" t="s">
        <v>862</v>
      </c>
      <c r="AW39" s="6" t="s">
        <v>862</v>
      </c>
      <c r="AX39" s="6">
        <v>0</v>
      </c>
      <c r="AY39" s="6" t="b">
        <v>0</v>
      </c>
      <c r="AZ39" s="6">
        <v>0</v>
      </c>
      <c r="BA39" s="6" t="b">
        <v>0</v>
      </c>
      <c r="BB39" s="6">
        <v>0</v>
      </c>
      <c r="BC39" s="6">
        <v>0</v>
      </c>
      <c r="BD39" s="6">
        <v>0</v>
      </c>
      <c r="BE39" s="6">
        <v>0</v>
      </c>
      <c r="BF39" s="6">
        <v>0</v>
      </c>
      <c r="BG39" s="6" t="s">
        <v>1564</v>
      </c>
      <c r="BH39" s="6">
        <v>0</v>
      </c>
      <c r="BI39" s="6">
        <v>0</v>
      </c>
      <c r="BJ39" s="6">
        <v>0</v>
      </c>
      <c r="BK39" s="6">
        <v>0</v>
      </c>
      <c r="BL39" s="6" t="b">
        <v>0</v>
      </c>
      <c r="BM39" s="6">
        <v>0</v>
      </c>
      <c r="BN39" s="6">
        <v>0</v>
      </c>
      <c r="BO39" s="6">
        <v>0</v>
      </c>
      <c r="BP39" s="6">
        <v>0</v>
      </c>
      <c r="BQ39" s="6">
        <v>0</v>
      </c>
      <c r="BR39" s="6">
        <v>0</v>
      </c>
      <c r="BS39" s="6">
        <v>0</v>
      </c>
      <c r="BT39" s="6">
        <v>0</v>
      </c>
      <c r="BU39" s="6">
        <v>0</v>
      </c>
      <c r="BV39" s="6">
        <v>0</v>
      </c>
      <c r="BW39" s="6">
        <v>0</v>
      </c>
      <c r="BX39" s="6">
        <v>0</v>
      </c>
      <c r="BY39" s="6">
        <v>0</v>
      </c>
      <c r="BZ39" s="6">
        <v>0</v>
      </c>
      <c r="CA39" s="6">
        <v>0</v>
      </c>
      <c r="CB39" s="6">
        <v>0</v>
      </c>
      <c r="CC39" s="6" t="b">
        <v>0</v>
      </c>
      <c r="CD39" s="6">
        <v>0</v>
      </c>
      <c r="CE39" s="6" t="b">
        <v>0</v>
      </c>
      <c r="CF39" s="6">
        <v>0</v>
      </c>
      <c r="CG39" s="6">
        <v>0</v>
      </c>
      <c r="CH39" s="6">
        <v>0</v>
      </c>
      <c r="CI39" s="6">
        <v>0</v>
      </c>
      <c r="CJ39" s="6" t="b">
        <v>0</v>
      </c>
      <c r="CK39" s="6" t="b">
        <v>0</v>
      </c>
      <c r="CL39" s="6">
        <v>0</v>
      </c>
      <c r="CM39" s="6" t="b">
        <v>0</v>
      </c>
      <c r="CN39" s="6"/>
      <c r="CO39" s="6"/>
      <c r="CP39" s="6"/>
      <c r="CQ39" s="6"/>
      <c r="CR39" s="6"/>
      <c r="CS39" s="6"/>
      <c r="CT39" s="6"/>
      <c r="CU39" s="6"/>
      <c r="CV39" s="6"/>
      <c r="CW39" s="6"/>
      <c r="CX39" s="6"/>
      <c r="CY39" s="6"/>
      <c r="CZ39" s="6"/>
      <c r="DA39" s="6"/>
      <c r="DB39" s="6"/>
      <c r="DC39" s="6"/>
      <c r="DD39" s="6"/>
      <c r="DE39" s="6"/>
      <c r="DF39" s="6"/>
      <c r="DG39" s="6"/>
      <c r="DH39" s="6"/>
      <c r="DI39" s="6"/>
    </row>
    <row r="40" spans="1:113" x14ac:dyDescent="0.25">
      <c r="A40" s="6" t="s">
        <v>753</v>
      </c>
      <c r="B40" s="6">
        <v>1</v>
      </c>
      <c r="C40" s="6">
        <v>0</v>
      </c>
      <c r="D40" s="6">
        <v>0</v>
      </c>
      <c r="E40" s="6">
        <v>0</v>
      </c>
      <c r="F40" s="6">
        <v>0</v>
      </c>
      <c r="G40" s="6">
        <v>0</v>
      </c>
      <c r="H40" s="6">
        <v>0</v>
      </c>
      <c r="I40" s="6">
        <v>0</v>
      </c>
      <c r="J40" s="6">
        <v>0</v>
      </c>
      <c r="K40" s="6">
        <v>0</v>
      </c>
      <c r="L40" s="6">
        <v>0</v>
      </c>
      <c r="M40" s="6">
        <v>0</v>
      </c>
      <c r="N40" s="6">
        <v>0</v>
      </c>
      <c r="O40" s="6">
        <v>0</v>
      </c>
      <c r="P40" s="6">
        <v>0</v>
      </c>
      <c r="Q40" s="6">
        <v>0</v>
      </c>
      <c r="R40" s="6">
        <v>0</v>
      </c>
      <c r="S40" s="6">
        <v>0</v>
      </c>
      <c r="T40" s="6">
        <v>0</v>
      </c>
      <c r="U40" s="6">
        <v>0</v>
      </c>
      <c r="V40" s="6">
        <v>0</v>
      </c>
      <c r="W40" s="6">
        <v>0</v>
      </c>
      <c r="X40" s="6">
        <v>0</v>
      </c>
      <c r="Y40" s="6">
        <v>0</v>
      </c>
      <c r="Z40" s="6">
        <v>0</v>
      </c>
      <c r="AA40" s="6">
        <v>0</v>
      </c>
      <c r="AB40" s="6">
        <v>0</v>
      </c>
      <c r="AC40" s="6">
        <v>0</v>
      </c>
      <c r="AD40" s="6">
        <v>0</v>
      </c>
      <c r="AE40" s="6">
        <v>0</v>
      </c>
      <c r="AF40" s="6">
        <v>0</v>
      </c>
      <c r="AG40" s="6">
        <v>0</v>
      </c>
      <c r="AH40" s="6">
        <v>0</v>
      </c>
      <c r="AI40" s="6">
        <v>0</v>
      </c>
      <c r="AJ40" s="6">
        <v>0</v>
      </c>
      <c r="AK40" s="6">
        <v>0</v>
      </c>
      <c r="AL40" s="6">
        <v>0</v>
      </c>
      <c r="AM40" s="6">
        <v>0</v>
      </c>
      <c r="AN40" s="6">
        <v>0</v>
      </c>
      <c r="AO40" s="6">
        <v>0</v>
      </c>
      <c r="AP40" s="6">
        <v>0</v>
      </c>
      <c r="AQ40" s="6">
        <v>0</v>
      </c>
      <c r="AR40" s="6">
        <v>0</v>
      </c>
      <c r="AS40" s="6">
        <v>0</v>
      </c>
      <c r="AT40" s="6" t="s">
        <v>862</v>
      </c>
      <c r="AU40" s="6" t="s">
        <v>862</v>
      </c>
      <c r="AV40" s="6" t="s">
        <v>862</v>
      </c>
      <c r="AW40" s="6" t="s">
        <v>862</v>
      </c>
      <c r="AX40" s="6">
        <v>0</v>
      </c>
      <c r="AY40" s="6" t="b">
        <v>0</v>
      </c>
      <c r="AZ40" s="6">
        <v>0</v>
      </c>
      <c r="BA40" s="6" t="b">
        <v>0</v>
      </c>
      <c r="BB40" s="6">
        <v>0</v>
      </c>
      <c r="BC40" s="6">
        <v>0</v>
      </c>
      <c r="BD40" s="6">
        <v>0</v>
      </c>
      <c r="BE40" s="6">
        <v>0</v>
      </c>
      <c r="BF40" s="6">
        <v>0</v>
      </c>
      <c r="BG40" s="6" t="s">
        <v>1564</v>
      </c>
      <c r="BH40" s="6">
        <v>0</v>
      </c>
      <c r="BI40" s="6">
        <v>0</v>
      </c>
      <c r="BJ40" s="6">
        <v>0</v>
      </c>
      <c r="BK40" s="6">
        <v>0</v>
      </c>
      <c r="BL40" s="6" t="b">
        <v>0</v>
      </c>
      <c r="BM40" s="6">
        <v>0</v>
      </c>
      <c r="BN40" s="6">
        <v>0</v>
      </c>
      <c r="BO40" s="6">
        <v>0</v>
      </c>
      <c r="BP40" s="6">
        <v>0</v>
      </c>
      <c r="BQ40" s="6">
        <v>0</v>
      </c>
      <c r="BR40" s="6">
        <v>0</v>
      </c>
      <c r="BS40" s="6">
        <v>0</v>
      </c>
      <c r="BT40" s="6">
        <v>0</v>
      </c>
      <c r="BU40" s="6">
        <v>0</v>
      </c>
      <c r="BV40" s="6">
        <v>0</v>
      </c>
      <c r="BW40" s="6">
        <v>0</v>
      </c>
      <c r="BX40" s="6">
        <v>0</v>
      </c>
      <c r="BY40" s="6">
        <v>0</v>
      </c>
      <c r="BZ40" s="6">
        <v>0</v>
      </c>
      <c r="CA40" s="6">
        <v>0</v>
      </c>
      <c r="CB40" s="6">
        <v>0</v>
      </c>
      <c r="CC40" s="6" t="b">
        <v>0</v>
      </c>
      <c r="CD40" s="6">
        <v>0</v>
      </c>
      <c r="CE40" s="6" t="b">
        <v>0</v>
      </c>
      <c r="CF40" s="6">
        <v>0</v>
      </c>
      <c r="CG40" s="6">
        <v>0</v>
      </c>
      <c r="CH40" s="6">
        <v>0</v>
      </c>
      <c r="CI40" s="6">
        <v>0</v>
      </c>
      <c r="CJ40" s="6" t="b">
        <v>0</v>
      </c>
      <c r="CK40" s="6" t="b">
        <v>0</v>
      </c>
      <c r="CL40" s="6">
        <v>0</v>
      </c>
      <c r="CM40" s="6" t="b">
        <v>0</v>
      </c>
      <c r="CN40" s="6"/>
      <c r="CO40" s="6"/>
      <c r="CP40" s="6"/>
      <c r="CQ40" s="6"/>
      <c r="CR40" s="6"/>
      <c r="CS40" s="6"/>
      <c r="CT40" s="6"/>
      <c r="CU40" s="6"/>
      <c r="CV40" s="6"/>
      <c r="CW40" s="6"/>
      <c r="CX40" s="6"/>
      <c r="CY40" s="6"/>
      <c r="CZ40" s="6"/>
      <c r="DA40" s="6"/>
      <c r="DB40" s="6"/>
      <c r="DC40" s="6"/>
      <c r="DD40" s="6"/>
      <c r="DE40" s="6"/>
      <c r="DF40" s="6"/>
      <c r="DG40" s="6"/>
      <c r="DH40" s="6"/>
      <c r="DI40" s="6"/>
    </row>
    <row r="41" spans="1:113" x14ac:dyDescent="0.25">
      <c r="A41" s="6" t="s">
        <v>750</v>
      </c>
      <c r="B41" s="6">
        <v>1</v>
      </c>
      <c r="C41" s="6">
        <v>0</v>
      </c>
      <c r="D41" s="6">
        <v>0</v>
      </c>
      <c r="E41" s="6">
        <v>0</v>
      </c>
      <c r="F41" s="6">
        <v>0</v>
      </c>
      <c r="G41" s="6">
        <v>0</v>
      </c>
      <c r="H41" s="6">
        <v>0</v>
      </c>
      <c r="I41" s="6">
        <v>0</v>
      </c>
      <c r="J41" s="6">
        <v>0</v>
      </c>
      <c r="K41" s="6">
        <v>0</v>
      </c>
      <c r="L41" s="6">
        <v>0</v>
      </c>
      <c r="M41" s="6">
        <v>0</v>
      </c>
      <c r="N41" s="6">
        <v>0</v>
      </c>
      <c r="O41" s="6">
        <v>0</v>
      </c>
      <c r="P41" s="6">
        <v>0</v>
      </c>
      <c r="Q41" s="6">
        <v>0</v>
      </c>
      <c r="R41" s="6">
        <v>0</v>
      </c>
      <c r="S41" s="6">
        <v>0</v>
      </c>
      <c r="T41" s="6">
        <v>0</v>
      </c>
      <c r="U41" s="6">
        <v>0</v>
      </c>
      <c r="V41" s="6">
        <v>0</v>
      </c>
      <c r="W41" s="6">
        <v>0</v>
      </c>
      <c r="X41" s="6">
        <v>0</v>
      </c>
      <c r="Y41" s="6">
        <v>0</v>
      </c>
      <c r="Z41" s="6">
        <v>0</v>
      </c>
      <c r="AA41" s="6">
        <v>0</v>
      </c>
      <c r="AB41" s="6">
        <v>0</v>
      </c>
      <c r="AC41" s="6">
        <v>0</v>
      </c>
      <c r="AD41" s="6">
        <v>0</v>
      </c>
      <c r="AE41" s="6">
        <v>0</v>
      </c>
      <c r="AF41" s="6">
        <v>0</v>
      </c>
      <c r="AG41" s="6">
        <v>0</v>
      </c>
      <c r="AH41" s="6">
        <v>0</v>
      </c>
      <c r="AI41" s="6">
        <v>0</v>
      </c>
      <c r="AJ41" s="6">
        <v>0</v>
      </c>
      <c r="AK41" s="6">
        <v>0</v>
      </c>
      <c r="AL41" s="6">
        <v>0</v>
      </c>
      <c r="AM41" s="6">
        <v>0</v>
      </c>
      <c r="AN41" s="6">
        <v>0</v>
      </c>
      <c r="AO41" s="6">
        <v>0</v>
      </c>
      <c r="AP41" s="6">
        <v>0</v>
      </c>
      <c r="AQ41" s="6">
        <v>0</v>
      </c>
      <c r="AR41" s="6">
        <v>0</v>
      </c>
      <c r="AS41" s="6">
        <v>0</v>
      </c>
      <c r="AT41" s="6" t="s">
        <v>862</v>
      </c>
      <c r="AU41" s="6" t="s">
        <v>862</v>
      </c>
      <c r="AV41" s="6" t="s">
        <v>862</v>
      </c>
      <c r="AW41" s="6" t="s">
        <v>862</v>
      </c>
      <c r="AX41" s="6">
        <v>0</v>
      </c>
      <c r="AY41" s="6" t="b">
        <v>0</v>
      </c>
      <c r="AZ41" s="6">
        <v>0</v>
      </c>
      <c r="BA41" s="6" t="b">
        <v>0</v>
      </c>
      <c r="BB41" s="6">
        <v>0</v>
      </c>
      <c r="BC41" s="6">
        <v>0</v>
      </c>
      <c r="BD41" s="6">
        <v>0</v>
      </c>
      <c r="BE41" s="6">
        <v>0</v>
      </c>
      <c r="BF41" s="6">
        <v>0</v>
      </c>
      <c r="BG41" s="6" t="s">
        <v>1564</v>
      </c>
      <c r="BH41" s="6">
        <v>0</v>
      </c>
      <c r="BI41" s="6">
        <v>0</v>
      </c>
      <c r="BJ41" s="6">
        <v>0</v>
      </c>
      <c r="BK41" s="6">
        <v>0</v>
      </c>
      <c r="BL41" s="6" t="b">
        <v>0</v>
      </c>
      <c r="BM41" s="6">
        <v>0</v>
      </c>
      <c r="BN41" s="6">
        <v>0</v>
      </c>
      <c r="BO41" s="6">
        <v>0</v>
      </c>
      <c r="BP41" s="6">
        <v>0</v>
      </c>
      <c r="BQ41" s="6">
        <v>0</v>
      </c>
      <c r="BR41" s="6">
        <v>0</v>
      </c>
      <c r="BS41" s="6">
        <v>0</v>
      </c>
      <c r="BT41" s="6">
        <v>0</v>
      </c>
      <c r="BU41" s="6">
        <v>0</v>
      </c>
      <c r="BV41" s="6">
        <v>0</v>
      </c>
      <c r="BW41" s="6">
        <v>0</v>
      </c>
      <c r="BX41" s="6">
        <v>0</v>
      </c>
      <c r="BY41" s="6">
        <v>0</v>
      </c>
      <c r="BZ41" s="6">
        <v>0</v>
      </c>
      <c r="CA41" s="6">
        <v>0</v>
      </c>
      <c r="CB41" s="6">
        <v>0</v>
      </c>
      <c r="CC41" s="6" t="b">
        <v>0</v>
      </c>
      <c r="CD41" s="6">
        <v>0</v>
      </c>
      <c r="CE41" s="6" t="b">
        <v>0</v>
      </c>
      <c r="CF41" s="6">
        <v>0</v>
      </c>
      <c r="CG41" s="6">
        <v>0</v>
      </c>
      <c r="CH41" s="6">
        <v>0</v>
      </c>
      <c r="CI41" s="6">
        <v>0</v>
      </c>
      <c r="CJ41" s="6" t="b">
        <v>0</v>
      </c>
      <c r="CK41" s="6" t="b">
        <v>0</v>
      </c>
      <c r="CL41" s="6">
        <v>0</v>
      </c>
      <c r="CM41" s="6" t="b">
        <v>0</v>
      </c>
      <c r="CN41" s="6"/>
      <c r="CO41" s="6"/>
      <c r="CP41" s="6"/>
      <c r="CQ41" s="6"/>
      <c r="CR41" s="6"/>
      <c r="CS41" s="6"/>
      <c r="CT41" s="6"/>
      <c r="CU41" s="6"/>
      <c r="CV41" s="6"/>
      <c r="CW41" s="6"/>
      <c r="CX41" s="6"/>
      <c r="CY41" s="6"/>
      <c r="CZ41" s="6"/>
      <c r="DA41" s="6"/>
      <c r="DB41" s="6"/>
      <c r="DC41" s="6"/>
      <c r="DD41" s="6"/>
      <c r="DE41" s="6"/>
      <c r="DF41" s="6"/>
      <c r="DG41" s="6"/>
      <c r="DH41" s="6"/>
      <c r="DI41" s="6"/>
    </row>
    <row r="42" spans="1:113" x14ac:dyDescent="0.25">
      <c r="A42" s="6" t="s">
        <v>769</v>
      </c>
      <c r="B42" s="6">
        <v>1</v>
      </c>
      <c r="C42" s="6">
        <v>0</v>
      </c>
      <c r="D42" s="6">
        <v>0</v>
      </c>
      <c r="E42" s="6">
        <v>0</v>
      </c>
      <c r="F42" s="6">
        <v>0</v>
      </c>
      <c r="G42" s="6">
        <v>0</v>
      </c>
      <c r="H42" s="6">
        <v>0</v>
      </c>
      <c r="I42" s="6">
        <v>0</v>
      </c>
      <c r="J42" s="6">
        <v>0</v>
      </c>
      <c r="K42" s="6">
        <v>0</v>
      </c>
      <c r="L42" s="6">
        <v>0</v>
      </c>
      <c r="M42" s="6">
        <v>0</v>
      </c>
      <c r="N42" s="6">
        <v>0</v>
      </c>
      <c r="O42" s="6">
        <v>0</v>
      </c>
      <c r="P42" s="6">
        <v>0</v>
      </c>
      <c r="Q42" s="6">
        <v>0</v>
      </c>
      <c r="R42" s="6">
        <v>0</v>
      </c>
      <c r="S42" s="6">
        <v>0</v>
      </c>
      <c r="T42" s="6">
        <v>0</v>
      </c>
      <c r="U42" s="6">
        <v>0</v>
      </c>
      <c r="V42" s="6">
        <v>0</v>
      </c>
      <c r="W42" s="6">
        <v>0</v>
      </c>
      <c r="X42" s="6">
        <v>0</v>
      </c>
      <c r="Y42" s="6">
        <v>0</v>
      </c>
      <c r="Z42" s="6">
        <v>0</v>
      </c>
      <c r="AA42" s="6">
        <v>0</v>
      </c>
      <c r="AB42" s="6">
        <v>0</v>
      </c>
      <c r="AC42" s="6">
        <v>0</v>
      </c>
      <c r="AD42" s="6">
        <v>0</v>
      </c>
      <c r="AE42" s="6">
        <v>0</v>
      </c>
      <c r="AF42" s="6">
        <v>0</v>
      </c>
      <c r="AG42" s="6">
        <v>0</v>
      </c>
      <c r="AH42" s="6">
        <v>0</v>
      </c>
      <c r="AI42" s="6">
        <v>0</v>
      </c>
      <c r="AJ42" s="6">
        <v>0</v>
      </c>
      <c r="AK42" s="6">
        <v>0</v>
      </c>
      <c r="AL42" s="6">
        <v>0</v>
      </c>
      <c r="AM42" s="6">
        <v>0</v>
      </c>
      <c r="AN42" s="6">
        <v>0</v>
      </c>
      <c r="AO42" s="6">
        <v>0</v>
      </c>
      <c r="AP42" s="6">
        <v>0</v>
      </c>
      <c r="AQ42" s="6">
        <v>0</v>
      </c>
      <c r="AR42" s="6">
        <v>0</v>
      </c>
      <c r="AS42" s="6">
        <v>0</v>
      </c>
      <c r="AT42" s="6" t="s">
        <v>862</v>
      </c>
      <c r="AU42" s="6" t="s">
        <v>862</v>
      </c>
      <c r="AV42" s="6" t="s">
        <v>862</v>
      </c>
      <c r="AW42" s="6" t="s">
        <v>862</v>
      </c>
      <c r="AX42" s="6">
        <v>0</v>
      </c>
      <c r="AY42" s="6" t="b">
        <v>0</v>
      </c>
      <c r="AZ42" s="6">
        <v>0</v>
      </c>
      <c r="BA42" s="6" t="b">
        <v>0</v>
      </c>
      <c r="BB42" s="6">
        <v>0</v>
      </c>
      <c r="BC42" s="6">
        <v>0</v>
      </c>
      <c r="BD42" s="6">
        <v>0</v>
      </c>
      <c r="BE42" s="6">
        <v>0</v>
      </c>
      <c r="BF42" s="6">
        <v>0</v>
      </c>
      <c r="BG42" s="6" t="s">
        <v>1564</v>
      </c>
      <c r="BH42" s="6">
        <v>0</v>
      </c>
      <c r="BI42" s="6">
        <v>0</v>
      </c>
      <c r="BJ42" s="6">
        <v>0</v>
      </c>
      <c r="BK42" s="6">
        <v>0</v>
      </c>
      <c r="BL42" s="6" t="b">
        <v>0</v>
      </c>
      <c r="BM42" s="6">
        <v>0</v>
      </c>
      <c r="BN42" s="6">
        <v>0</v>
      </c>
      <c r="BO42" s="6">
        <v>0</v>
      </c>
      <c r="BP42" s="6">
        <v>0</v>
      </c>
      <c r="BQ42" s="6">
        <v>0</v>
      </c>
      <c r="BR42" s="6">
        <v>0</v>
      </c>
      <c r="BS42" s="6">
        <v>0</v>
      </c>
      <c r="BT42" s="6">
        <v>0</v>
      </c>
      <c r="BU42" s="6">
        <v>0</v>
      </c>
      <c r="BV42" s="6">
        <v>0</v>
      </c>
      <c r="BW42" s="6">
        <v>0</v>
      </c>
      <c r="BX42" s="6">
        <v>0</v>
      </c>
      <c r="BY42" s="6">
        <v>0</v>
      </c>
      <c r="BZ42" s="6">
        <v>0</v>
      </c>
      <c r="CA42" s="6">
        <v>0</v>
      </c>
      <c r="CB42" s="6">
        <v>0</v>
      </c>
      <c r="CC42" s="6" t="b">
        <v>0</v>
      </c>
      <c r="CD42" s="6">
        <v>0</v>
      </c>
      <c r="CE42" s="6" t="b">
        <v>0</v>
      </c>
      <c r="CF42" s="6">
        <v>0</v>
      </c>
      <c r="CG42" s="6">
        <v>0</v>
      </c>
      <c r="CH42" s="6">
        <v>0</v>
      </c>
      <c r="CI42" s="6">
        <v>0</v>
      </c>
      <c r="CJ42" s="6" t="b">
        <v>0</v>
      </c>
      <c r="CK42" s="6" t="b">
        <v>0</v>
      </c>
      <c r="CL42" s="6">
        <v>0</v>
      </c>
      <c r="CM42" s="6" t="b">
        <v>0</v>
      </c>
      <c r="CN42" s="6"/>
      <c r="CO42" s="6"/>
      <c r="CP42" s="6"/>
      <c r="CQ42" s="6"/>
      <c r="CR42" s="6"/>
      <c r="CS42" s="6"/>
      <c r="CT42" s="6"/>
      <c r="CU42" s="6"/>
      <c r="CV42" s="6"/>
      <c r="CW42" s="6"/>
      <c r="CX42" s="6"/>
      <c r="CY42" s="6"/>
      <c r="CZ42" s="6"/>
      <c r="DA42" s="6"/>
      <c r="DB42" s="6"/>
      <c r="DC42" s="6"/>
      <c r="DD42" s="6"/>
      <c r="DE42" s="6"/>
      <c r="DF42" s="6"/>
      <c r="DG42" s="6"/>
      <c r="DH42" s="6"/>
      <c r="DI42" s="6"/>
    </row>
    <row r="43" spans="1:113" x14ac:dyDescent="0.25">
      <c r="A43" s="6" t="s">
        <v>770</v>
      </c>
      <c r="B43" s="6">
        <v>1</v>
      </c>
      <c r="C43" s="6">
        <v>0</v>
      </c>
      <c r="D43" s="6">
        <v>0</v>
      </c>
      <c r="E43" s="6">
        <v>0</v>
      </c>
      <c r="F43" s="6">
        <v>0</v>
      </c>
      <c r="G43" s="6">
        <v>0</v>
      </c>
      <c r="H43" s="6">
        <v>0</v>
      </c>
      <c r="I43" s="6">
        <v>0</v>
      </c>
      <c r="J43" s="6">
        <v>0</v>
      </c>
      <c r="K43" s="6">
        <v>0</v>
      </c>
      <c r="L43" s="6">
        <v>0</v>
      </c>
      <c r="M43" s="6">
        <v>0</v>
      </c>
      <c r="N43" s="6">
        <v>0</v>
      </c>
      <c r="O43" s="6">
        <v>0</v>
      </c>
      <c r="P43" s="6">
        <v>0</v>
      </c>
      <c r="Q43" s="6">
        <v>0</v>
      </c>
      <c r="R43" s="6">
        <v>0</v>
      </c>
      <c r="S43" s="6">
        <v>0</v>
      </c>
      <c r="T43" s="6">
        <v>0</v>
      </c>
      <c r="U43" s="6">
        <v>0</v>
      </c>
      <c r="V43" s="6">
        <v>0</v>
      </c>
      <c r="W43" s="6">
        <v>0</v>
      </c>
      <c r="X43" s="6">
        <v>0</v>
      </c>
      <c r="Y43" s="6">
        <v>0</v>
      </c>
      <c r="Z43" s="6">
        <v>0</v>
      </c>
      <c r="AA43" s="6">
        <v>0</v>
      </c>
      <c r="AB43" s="6">
        <v>0</v>
      </c>
      <c r="AC43" s="6">
        <v>0</v>
      </c>
      <c r="AD43" s="6">
        <v>0</v>
      </c>
      <c r="AE43" s="6">
        <v>0</v>
      </c>
      <c r="AF43" s="6">
        <v>0</v>
      </c>
      <c r="AG43" s="6">
        <v>0</v>
      </c>
      <c r="AH43" s="6">
        <v>0</v>
      </c>
      <c r="AI43" s="6">
        <v>0</v>
      </c>
      <c r="AJ43" s="6">
        <v>0</v>
      </c>
      <c r="AK43" s="6">
        <v>0</v>
      </c>
      <c r="AL43" s="6">
        <v>0</v>
      </c>
      <c r="AM43" s="6">
        <v>0</v>
      </c>
      <c r="AN43" s="6">
        <v>0</v>
      </c>
      <c r="AO43" s="6">
        <v>0</v>
      </c>
      <c r="AP43" s="6">
        <v>0</v>
      </c>
      <c r="AQ43" s="6">
        <v>0</v>
      </c>
      <c r="AR43" s="6">
        <v>0</v>
      </c>
      <c r="AS43" s="6">
        <v>0</v>
      </c>
      <c r="AT43" s="6" t="s">
        <v>862</v>
      </c>
      <c r="AU43" s="6" t="s">
        <v>862</v>
      </c>
      <c r="AV43" s="6" t="s">
        <v>862</v>
      </c>
      <c r="AW43" s="6" t="s">
        <v>862</v>
      </c>
      <c r="AX43" s="6">
        <v>0</v>
      </c>
      <c r="AY43" s="6" t="b">
        <v>0</v>
      </c>
      <c r="AZ43" s="6">
        <v>0</v>
      </c>
      <c r="BA43" s="6" t="b">
        <v>0</v>
      </c>
      <c r="BB43" s="6">
        <v>0</v>
      </c>
      <c r="BC43" s="6">
        <v>0</v>
      </c>
      <c r="BD43" s="6">
        <v>0</v>
      </c>
      <c r="BE43" s="6">
        <v>0</v>
      </c>
      <c r="BF43" s="6">
        <v>0</v>
      </c>
      <c r="BG43" s="6" t="s">
        <v>1564</v>
      </c>
      <c r="BH43" s="6">
        <v>0</v>
      </c>
      <c r="BI43" s="6">
        <v>0</v>
      </c>
      <c r="BJ43" s="6">
        <v>0</v>
      </c>
      <c r="BK43" s="6">
        <v>0</v>
      </c>
      <c r="BL43" s="6" t="b">
        <v>0</v>
      </c>
      <c r="BM43" s="6">
        <v>0</v>
      </c>
      <c r="BN43" s="6">
        <v>0</v>
      </c>
      <c r="BO43" s="6">
        <v>0</v>
      </c>
      <c r="BP43" s="6">
        <v>0</v>
      </c>
      <c r="BQ43" s="6">
        <v>0</v>
      </c>
      <c r="BR43" s="6">
        <v>0</v>
      </c>
      <c r="BS43" s="6">
        <v>0</v>
      </c>
      <c r="BT43" s="6">
        <v>0</v>
      </c>
      <c r="BU43" s="6">
        <v>0</v>
      </c>
      <c r="BV43" s="6">
        <v>0</v>
      </c>
      <c r="BW43" s="6">
        <v>0</v>
      </c>
      <c r="BX43" s="6">
        <v>0</v>
      </c>
      <c r="BY43" s="6">
        <v>0</v>
      </c>
      <c r="BZ43" s="6">
        <v>0</v>
      </c>
      <c r="CA43" s="6">
        <v>0</v>
      </c>
      <c r="CB43" s="6">
        <v>0</v>
      </c>
      <c r="CC43" s="6" t="b">
        <v>0</v>
      </c>
      <c r="CD43" s="6">
        <v>0</v>
      </c>
      <c r="CE43" s="6" t="b">
        <v>0</v>
      </c>
      <c r="CF43" s="6">
        <v>0</v>
      </c>
      <c r="CG43" s="6">
        <v>0</v>
      </c>
      <c r="CH43" s="6">
        <v>0</v>
      </c>
      <c r="CI43" s="6">
        <v>0</v>
      </c>
      <c r="CJ43" s="6" t="b">
        <v>0</v>
      </c>
      <c r="CK43" s="6" t="b">
        <v>0</v>
      </c>
      <c r="CL43" s="6">
        <v>0</v>
      </c>
      <c r="CM43" s="6" t="b">
        <v>0</v>
      </c>
      <c r="CN43" s="6"/>
      <c r="CO43" s="6"/>
      <c r="CP43" s="6"/>
      <c r="CQ43" s="6"/>
      <c r="CR43" s="6"/>
      <c r="CS43" s="6"/>
      <c r="CT43" s="6"/>
      <c r="CU43" s="6"/>
      <c r="CV43" s="6"/>
      <c r="CW43" s="6"/>
      <c r="CX43" s="6"/>
      <c r="CY43" s="6"/>
      <c r="CZ43" s="6"/>
      <c r="DA43" s="6"/>
      <c r="DB43" s="6"/>
      <c r="DC43" s="6"/>
      <c r="DD43" s="6"/>
      <c r="DE43" s="6"/>
      <c r="DF43" s="6"/>
      <c r="DG43" s="6"/>
      <c r="DH43" s="6"/>
      <c r="DI43" s="6"/>
    </row>
    <row r="44" spans="1:113" x14ac:dyDescent="0.25">
      <c r="A44" s="6" t="s">
        <v>771</v>
      </c>
      <c r="B44" s="6">
        <v>1</v>
      </c>
      <c r="C44" s="6">
        <v>0</v>
      </c>
      <c r="D44" s="6">
        <v>0</v>
      </c>
      <c r="E44" s="6">
        <v>0</v>
      </c>
      <c r="F44" s="6">
        <v>0</v>
      </c>
      <c r="G44" s="6">
        <v>0</v>
      </c>
      <c r="H44" s="6">
        <v>0</v>
      </c>
      <c r="I44" s="6">
        <v>0</v>
      </c>
      <c r="J44" s="6">
        <v>0</v>
      </c>
      <c r="K44" s="6">
        <v>0</v>
      </c>
      <c r="L44" s="6">
        <v>0</v>
      </c>
      <c r="M44" s="6">
        <v>0</v>
      </c>
      <c r="N44" s="6">
        <v>0</v>
      </c>
      <c r="O44" s="6">
        <v>0</v>
      </c>
      <c r="P44" s="6">
        <v>0</v>
      </c>
      <c r="Q44" s="6">
        <v>0</v>
      </c>
      <c r="R44" s="6">
        <v>0</v>
      </c>
      <c r="S44" s="6">
        <v>0</v>
      </c>
      <c r="T44" s="6">
        <v>0</v>
      </c>
      <c r="U44" s="6">
        <v>0</v>
      </c>
      <c r="V44" s="6">
        <v>0</v>
      </c>
      <c r="W44" s="6">
        <v>0</v>
      </c>
      <c r="X44" s="6">
        <v>0</v>
      </c>
      <c r="Y44" s="6">
        <v>0</v>
      </c>
      <c r="Z44" s="6">
        <v>0</v>
      </c>
      <c r="AA44" s="6">
        <v>0</v>
      </c>
      <c r="AB44" s="6">
        <v>0</v>
      </c>
      <c r="AC44" s="6">
        <v>0</v>
      </c>
      <c r="AD44" s="6">
        <v>0</v>
      </c>
      <c r="AE44" s="6">
        <v>0</v>
      </c>
      <c r="AF44" s="6">
        <v>0</v>
      </c>
      <c r="AG44" s="6">
        <v>0</v>
      </c>
      <c r="AH44" s="6">
        <v>0</v>
      </c>
      <c r="AI44" s="6">
        <v>0</v>
      </c>
      <c r="AJ44" s="6">
        <v>0</v>
      </c>
      <c r="AK44" s="6">
        <v>0</v>
      </c>
      <c r="AL44" s="6">
        <v>0</v>
      </c>
      <c r="AM44" s="6">
        <v>0</v>
      </c>
      <c r="AN44" s="6">
        <v>0</v>
      </c>
      <c r="AO44" s="6">
        <v>0</v>
      </c>
      <c r="AP44" s="6">
        <v>0</v>
      </c>
      <c r="AQ44" s="6">
        <v>0</v>
      </c>
      <c r="AR44" s="6">
        <v>0</v>
      </c>
      <c r="AS44" s="6">
        <v>0</v>
      </c>
      <c r="AT44" s="6" t="s">
        <v>862</v>
      </c>
      <c r="AU44" s="6" t="s">
        <v>862</v>
      </c>
      <c r="AV44" s="6" t="s">
        <v>862</v>
      </c>
      <c r="AW44" s="6" t="s">
        <v>862</v>
      </c>
      <c r="AX44" s="6">
        <v>0</v>
      </c>
      <c r="AY44" s="6" t="b">
        <v>0</v>
      </c>
      <c r="AZ44" s="6">
        <v>0</v>
      </c>
      <c r="BA44" s="6" t="b">
        <v>0</v>
      </c>
      <c r="BB44" s="6">
        <v>0</v>
      </c>
      <c r="BC44" s="6">
        <v>0</v>
      </c>
      <c r="BD44" s="6">
        <v>0</v>
      </c>
      <c r="BE44" s="6">
        <v>0</v>
      </c>
      <c r="BF44" s="6">
        <v>0</v>
      </c>
      <c r="BG44" s="6" t="s">
        <v>1564</v>
      </c>
      <c r="BH44" s="6">
        <v>0</v>
      </c>
      <c r="BI44" s="6">
        <v>0</v>
      </c>
      <c r="BJ44" s="6">
        <v>0</v>
      </c>
      <c r="BK44" s="6">
        <v>0</v>
      </c>
      <c r="BL44" s="6" t="b">
        <v>0</v>
      </c>
      <c r="BM44" s="6">
        <v>0</v>
      </c>
      <c r="BN44" s="6">
        <v>0</v>
      </c>
      <c r="BO44" s="6">
        <v>0</v>
      </c>
      <c r="BP44" s="6">
        <v>0</v>
      </c>
      <c r="BQ44" s="6">
        <v>0</v>
      </c>
      <c r="BR44" s="6">
        <v>0</v>
      </c>
      <c r="BS44" s="6">
        <v>0</v>
      </c>
      <c r="BT44" s="6">
        <v>0</v>
      </c>
      <c r="BU44" s="6">
        <v>0</v>
      </c>
      <c r="BV44" s="6">
        <v>0</v>
      </c>
      <c r="BW44" s="6">
        <v>0</v>
      </c>
      <c r="BX44" s="6">
        <v>0</v>
      </c>
      <c r="BY44" s="6">
        <v>0</v>
      </c>
      <c r="BZ44" s="6">
        <v>0</v>
      </c>
      <c r="CA44" s="6">
        <v>0</v>
      </c>
      <c r="CB44" s="6">
        <v>0</v>
      </c>
      <c r="CC44" s="6" t="b">
        <v>0</v>
      </c>
      <c r="CD44" s="6">
        <v>0</v>
      </c>
      <c r="CE44" s="6" t="b">
        <v>0</v>
      </c>
      <c r="CF44" s="6">
        <v>0</v>
      </c>
      <c r="CG44" s="6">
        <v>0</v>
      </c>
      <c r="CH44" s="6">
        <v>0</v>
      </c>
      <c r="CI44" s="6">
        <v>0</v>
      </c>
      <c r="CJ44" s="6" t="b">
        <v>0</v>
      </c>
      <c r="CK44" s="6" t="b">
        <v>0</v>
      </c>
      <c r="CL44" s="6">
        <v>0</v>
      </c>
      <c r="CM44" s="6" t="b">
        <v>0</v>
      </c>
      <c r="CN44" s="6"/>
      <c r="CO44" s="6"/>
      <c r="CP44" s="6"/>
      <c r="CQ44" s="6"/>
      <c r="CR44" s="6"/>
      <c r="CS44" s="6"/>
      <c r="CT44" s="6"/>
      <c r="CU44" s="6"/>
      <c r="CV44" s="6"/>
      <c r="CW44" s="6"/>
      <c r="CX44" s="6"/>
      <c r="CY44" s="6"/>
      <c r="CZ44" s="6"/>
      <c r="DA44" s="6"/>
      <c r="DB44" s="6"/>
      <c r="DC44" s="6"/>
      <c r="DD44" s="6"/>
      <c r="DE44" s="6"/>
      <c r="DF44" s="6"/>
      <c r="DG44" s="6"/>
      <c r="DH44" s="6"/>
      <c r="DI44" s="6"/>
    </row>
    <row r="45" spans="1:113" x14ac:dyDescent="0.25">
      <c r="A45" s="6" t="s">
        <v>772</v>
      </c>
      <c r="B45" s="6">
        <v>1</v>
      </c>
      <c r="C45" s="6">
        <v>0</v>
      </c>
      <c r="D45" s="6">
        <v>0</v>
      </c>
      <c r="E45" s="6">
        <v>0</v>
      </c>
      <c r="F45" s="6">
        <v>0</v>
      </c>
      <c r="G45" s="6">
        <v>0</v>
      </c>
      <c r="H45" s="6">
        <v>0</v>
      </c>
      <c r="I45" s="6">
        <v>0</v>
      </c>
      <c r="J45" s="6">
        <v>0</v>
      </c>
      <c r="K45" s="6">
        <v>0</v>
      </c>
      <c r="L45" s="6">
        <v>0</v>
      </c>
      <c r="M45" s="6">
        <v>0</v>
      </c>
      <c r="N45" s="6">
        <v>0</v>
      </c>
      <c r="O45" s="6">
        <v>0</v>
      </c>
      <c r="P45" s="6">
        <v>0</v>
      </c>
      <c r="Q45" s="6">
        <v>0</v>
      </c>
      <c r="R45" s="6">
        <v>0</v>
      </c>
      <c r="S45" s="6">
        <v>0</v>
      </c>
      <c r="T45" s="6">
        <v>0</v>
      </c>
      <c r="U45" s="6">
        <v>0</v>
      </c>
      <c r="V45" s="6">
        <v>0</v>
      </c>
      <c r="W45" s="6">
        <v>0</v>
      </c>
      <c r="X45" s="6">
        <v>0</v>
      </c>
      <c r="Y45" s="6">
        <v>0</v>
      </c>
      <c r="Z45" s="6">
        <v>0</v>
      </c>
      <c r="AA45" s="6">
        <v>0</v>
      </c>
      <c r="AB45" s="6">
        <v>0</v>
      </c>
      <c r="AC45" s="6">
        <v>0</v>
      </c>
      <c r="AD45" s="6">
        <v>0</v>
      </c>
      <c r="AE45" s="6">
        <v>0</v>
      </c>
      <c r="AF45" s="6">
        <v>0</v>
      </c>
      <c r="AG45" s="6">
        <v>0</v>
      </c>
      <c r="AH45" s="6">
        <v>0</v>
      </c>
      <c r="AI45" s="6">
        <v>0</v>
      </c>
      <c r="AJ45" s="6">
        <v>0</v>
      </c>
      <c r="AK45" s="6">
        <v>0</v>
      </c>
      <c r="AL45" s="6">
        <v>0</v>
      </c>
      <c r="AM45" s="6">
        <v>0</v>
      </c>
      <c r="AN45" s="6">
        <v>0</v>
      </c>
      <c r="AO45" s="6">
        <v>0</v>
      </c>
      <c r="AP45" s="6">
        <v>0</v>
      </c>
      <c r="AQ45" s="6">
        <v>0</v>
      </c>
      <c r="AR45" s="6">
        <v>0</v>
      </c>
      <c r="AS45" s="6">
        <v>0</v>
      </c>
      <c r="AT45" s="6" t="s">
        <v>862</v>
      </c>
      <c r="AU45" s="6" t="s">
        <v>862</v>
      </c>
      <c r="AV45" s="6" t="s">
        <v>862</v>
      </c>
      <c r="AW45" s="6" t="s">
        <v>862</v>
      </c>
      <c r="AX45" s="6">
        <v>0</v>
      </c>
      <c r="AY45" s="6" t="b">
        <v>0</v>
      </c>
      <c r="AZ45" s="6">
        <v>0</v>
      </c>
      <c r="BA45" s="6" t="b">
        <v>0</v>
      </c>
      <c r="BB45" s="6">
        <v>0</v>
      </c>
      <c r="BC45" s="6">
        <v>0</v>
      </c>
      <c r="BD45" s="6">
        <v>0</v>
      </c>
      <c r="BE45" s="6">
        <v>0</v>
      </c>
      <c r="BF45" s="6">
        <v>0</v>
      </c>
      <c r="BG45" s="6" t="s">
        <v>1564</v>
      </c>
      <c r="BH45" s="6">
        <v>0</v>
      </c>
      <c r="BI45" s="6">
        <v>0</v>
      </c>
      <c r="BJ45" s="6">
        <v>0</v>
      </c>
      <c r="BK45" s="6">
        <v>0</v>
      </c>
      <c r="BL45" s="6" t="b">
        <v>0</v>
      </c>
      <c r="BM45" s="6">
        <v>0</v>
      </c>
      <c r="BN45" s="6">
        <v>0</v>
      </c>
      <c r="BO45" s="6">
        <v>0</v>
      </c>
      <c r="BP45" s="6">
        <v>0</v>
      </c>
      <c r="BQ45" s="6">
        <v>0</v>
      </c>
      <c r="BR45" s="6">
        <v>0</v>
      </c>
      <c r="BS45" s="6">
        <v>0</v>
      </c>
      <c r="BT45" s="6">
        <v>0</v>
      </c>
      <c r="BU45" s="6">
        <v>0</v>
      </c>
      <c r="BV45" s="6">
        <v>0</v>
      </c>
      <c r="BW45" s="6">
        <v>0</v>
      </c>
      <c r="BX45" s="6">
        <v>0</v>
      </c>
      <c r="BY45" s="6">
        <v>0</v>
      </c>
      <c r="BZ45" s="6">
        <v>0</v>
      </c>
      <c r="CA45" s="6">
        <v>0</v>
      </c>
      <c r="CB45" s="6">
        <v>0</v>
      </c>
      <c r="CC45" s="6" t="b">
        <v>0</v>
      </c>
      <c r="CD45" s="6">
        <v>0</v>
      </c>
      <c r="CE45" s="6" t="b">
        <v>0</v>
      </c>
      <c r="CF45" s="6">
        <v>0</v>
      </c>
      <c r="CG45" s="6">
        <v>0</v>
      </c>
      <c r="CH45" s="6">
        <v>0</v>
      </c>
      <c r="CI45" s="6">
        <v>0</v>
      </c>
      <c r="CJ45" s="6" t="b">
        <v>0</v>
      </c>
      <c r="CK45" s="6" t="b">
        <v>0</v>
      </c>
      <c r="CL45" s="6">
        <v>0</v>
      </c>
      <c r="CM45" s="6" t="b">
        <v>0</v>
      </c>
      <c r="CN45" s="6"/>
      <c r="CO45" s="6"/>
      <c r="CP45" s="6"/>
      <c r="CQ45" s="6"/>
      <c r="CR45" s="6"/>
      <c r="CS45" s="6"/>
      <c r="CT45" s="6"/>
      <c r="CU45" s="6"/>
      <c r="CV45" s="6"/>
      <c r="CW45" s="6"/>
      <c r="CX45" s="6"/>
      <c r="CY45" s="6"/>
      <c r="CZ45" s="6"/>
      <c r="DA45" s="6"/>
      <c r="DB45" s="6"/>
      <c r="DC45" s="6"/>
      <c r="DD45" s="6"/>
      <c r="DE45" s="6"/>
      <c r="DF45" s="6"/>
      <c r="DG45" s="6"/>
      <c r="DH45" s="6"/>
      <c r="DI45" s="6"/>
    </row>
    <row r="46" spans="1:113" x14ac:dyDescent="0.25">
      <c r="A46" s="6" t="s">
        <v>782</v>
      </c>
      <c r="B46" s="6">
        <v>1</v>
      </c>
      <c r="C46" s="6">
        <v>0</v>
      </c>
      <c r="D46" s="6">
        <v>0</v>
      </c>
      <c r="E46" s="6">
        <v>0</v>
      </c>
      <c r="F46" s="6">
        <v>0</v>
      </c>
      <c r="G46" s="6">
        <v>0</v>
      </c>
      <c r="H46" s="6">
        <v>0</v>
      </c>
      <c r="I46" s="6">
        <v>0</v>
      </c>
      <c r="J46" s="6">
        <v>0</v>
      </c>
      <c r="K46" s="6">
        <v>0</v>
      </c>
      <c r="L46" s="6">
        <v>0</v>
      </c>
      <c r="M46" s="6">
        <v>0</v>
      </c>
      <c r="N46" s="6">
        <v>0</v>
      </c>
      <c r="O46" s="6">
        <v>0</v>
      </c>
      <c r="P46" s="6">
        <v>0</v>
      </c>
      <c r="Q46" s="6">
        <v>0</v>
      </c>
      <c r="R46" s="6">
        <v>0</v>
      </c>
      <c r="S46" s="6">
        <v>0</v>
      </c>
      <c r="T46" s="6">
        <v>0</v>
      </c>
      <c r="U46" s="6">
        <v>0</v>
      </c>
      <c r="V46" s="6">
        <v>0</v>
      </c>
      <c r="W46" s="6">
        <v>0</v>
      </c>
      <c r="X46" s="6">
        <v>0</v>
      </c>
      <c r="Y46" s="6">
        <v>0</v>
      </c>
      <c r="Z46" s="6">
        <v>0</v>
      </c>
      <c r="AA46" s="6">
        <v>0</v>
      </c>
      <c r="AB46" s="6">
        <v>0</v>
      </c>
      <c r="AC46" s="6">
        <v>0</v>
      </c>
      <c r="AD46" s="6">
        <v>0</v>
      </c>
      <c r="AE46" s="6">
        <v>0</v>
      </c>
      <c r="AF46" s="6">
        <v>0</v>
      </c>
      <c r="AG46" s="6">
        <v>0</v>
      </c>
      <c r="AH46" s="6">
        <v>0</v>
      </c>
      <c r="AI46" s="6">
        <v>0</v>
      </c>
      <c r="AJ46" s="6">
        <v>0</v>
      </c>
      <c r="AK46" s="6">
        <v>0</v>
      </c>
      <c r="AL46" s="6">
        <v>0</v>
      </c>
      <c r="AM46" s="6">
        <v>0</v>
      </c>
      <c r="AN46" s="6">
        <v>0</v>
      </c>
      <c r="AO46" s="6">
        <v>0</v>
      </c>
      <c r="AP46" s="6">
        <v>0</v>
      </c>
      <c r="AQ46" s="6">
        <v>0</v>
      </c>
      <c r="AR46" s="6">
        <v>0</v>
      </c>
      <c r="AS46" s="6">
        <v>0</v>
      </c>
      <c r="AT46" s="6" t="s">
        <v>862</v>
      </c>
      <c r="AU46" s="6" t="s">
        <v>862</v>
      </c>
      <c r="AV46" s="6" t="s">
        <v>862</v>
      </c>
      <c r="AW46" s="6" t="s">
        <v>862</v>
      </c>
      <c r="AX46" s="6">
        <v>0</v>
      </c>
      <c r="AY46" s="6" t="b">
        <v>0</v>
      </c>
      <c r="AZ46" s="6">
        <v>0</v>
      </c>
      <c r="BA46" s="6" t="b">
        <v>0</v>
      </c>
      <c r="BB46" s="6">
        <v>0</v>
      </c>
      <c r="BC46" s="6">
        <v>0</v>
      </c>
      <c r="BD46" s="6">
        <v>0</v>
      </c>
      <c r="BE46" s="6">
        <v>0</v>
      </c>
      <c r="BF46" s="6">
        <v>0</v>
      </c>
      <c r="BG46" s="6" t="s">
        <v>1564</v>
      </c>
      <c r="BH46" s="6">
        <v>0</v>
      </c>
      <c r="BI46" s="6">
        <v>0</v>
      </c>
      <c r="BJ46" s="6">
        <v>0</v>
      </c>
      <c r="BK46" s="6">
        <v>0</v>
      </c>
      <c r="BL46" s="6" t="b">
        <v>0</v>
      </c>
      <c r="BM46" s="6">
        <v>0</v>
      </c>
      <c r="BN46" s="6">
        <v>0</v>
      </c>
      <c r="BO46" s="6">
        <v>0</v>
      </c>
      <c r="BP46" s="6">
        <v>0</v>
      </c>
      <c r="BQ46" s="6">
        <v>0</v>
      </c>
      <c r="BR46" s="6">
        <v>0</v>
      </c>
      <c r="BS46" s="6">
        <v>0</v>
      </c>
      <c r="BT46" s="6">
        <v>0</v>
      </c>
      <c r="BU46" s="6">
        <v>0</v>
      </c>
      <c r="BV46" s="6">
        <v>0</v>
      </c>
      <c r="BW46" s="6">
        <v>0</v>
      </c>
      <c r="BX46" s="6">
        <v>0</v>
      </c>
      <c r="BY46" s="6">
        <v>0</v>
      </c>
      <c r="BZ46" s="6">
        <v>0</v>
      </c>
      <c r="CA46" s="6">
        <v>0</v>
      </c>
      <c r="CB46" s="6">
        <v>0</v>
      </c>
      <c r="CC46" s="6" t="b">
        <v>0</v>
      </c>
      <c r="CD46" s="6">
        <v>0</v>
      </c>
      <c r="CE46" s="6" t="b">
        <v>0</v>
      </c>
      <c r="CF46" s="6">
        <v>0</v>
      </c>
      <c r="CG46" s="6">
        <v>0</v>
      </c>
      <c r="CH46" s="6">
        <v>0</v>
      </c>
      <c r="CI46" s="6">
        <v>0</v>
      </c>
      <c r="CJ46" s="6" t="b">
        <v>0</v>
      </c>
      <c r="CK46" s="6" t="b">
        <v>0</v>
      </c>
      <c r="CL46" s="6">
        <v>0</v>
      </c>
      <c r="CM46" s="6" t="b">
        <v>0</v>
      </c>
      <c r="CN46" s="6"/>
      <c r="CO46" s="6"/>
      <c r="CP46" s="6"/>
      <c r="CQ46" s="6"/>
      <c r="CR46" s="6"/>
      <c r="CS46" s="6"/>
      <c r="CT46" s="6"/>
      <c r="CU46" s="6"/>
      <c r="CV46" s="6"/>
      <c r="CW46" s="6"/>
      <c r="CX46" s="6"/>
      <c r="CY46" s="6"/>
      <c r="CZ46" s="6"/>
      <c r="DA46" s="6"/>
      <c r="DB46" s="6"/>
      <c r="DC46" s="6"/>
      <c r="DD46" s="6"/>
      <c r="DE46" s="6"/>
      <c r="DF46" s="6"/>
      <c r="DG46" s="6"/>
      <c r="DH46" s="6"/>
      <c r="DI46" s="6"/>
    </row>
    <row r="47" spans="1:113" x14ac:dyDescent="0.25">
      <c r="A47" s="6" t="s">
        <v>785</v>
      </c>
      <c r="B47" s="6">
        <v>1</v>
      </c>
      <c r="C47" s="6">
        <v>0</v>
      </c>
      <c r="D47" s="6">
        <v>0</v>
      </c>
      <c r="E47" s="6">
        <v>0</v>
      </c>
      <c r="F47" s="6">
        <v>0</v>
      </c>
      <c r="G47" s="6">
        <v>0</v>
      </c>
      <c r="H47" s="6">
        <v>0</v>
      </c>
      <c r="I47" s="6">
        <v>0</v>
      </c>
      <c r="J47" s="6">
        <v>0</v>
      </c>
      <c r="K47" s="6">
        <v>0</v>
      </c>
      <c r="L47" s="6">
        <v>0</v>
      </c>
      <c r="M47" s="6">
        <v>0</v>
      </c>
      <c r="N47" s="6">
        <v>0</v>
      </c>
      <c r="O47" s="6">
        <v>0</v>
      </c>
      <c r="P47" s="6">
        <v>0</v>
      </c>
      <c r="Q47" s="6">
        <v>0</v>
      </c>
      <c r="R47" s="6">
        <v>0</v>
      </c>
      <c r="S47" s="6">
        <v>0</v>
      </c>
      <c r="T47" s="6">
        <v>0</v>
      </c>
      <c r="U47" s="6">
        <v>0</v>
      </c>
      <c r="V47" s="6">
        <v>0</v>
      </c>
      <c r="W47" s="6">
        <v>0</v>
      </c>
      <c r="X47" s="6">
        <v>0</v>
      </c>
      <c r="Y47" s="6">
        <v>0</v>
      </c>
      <c r="Z47" s="6">
        <v>0</v>
      </c>
      <c r="AA47" s="6">
        <v>0</v>
      </c>
      <c r="AB47" s="6">
        <v>0</v>
      </c>
      <c r="AC47" s="6">
        <v>0</v>
      </c>
      <c r="AD47" s="6">
        <v>0</v>
      </c>
      <c r="AE47" s="6">
        <v>0</v>
      </c>
      <c r="AF47" s="6">
        <v>0</v>
      </c>
      <c r="AG47" s="6">
        <v>0</v>
      </c>
      <c r="AH47" s="6">
        <v>0</v>
      </c>
      <c r="AI47" s="6">
        <v>0</v>
      </c>
      <c r="AJ47" s="6">
        <v>0</v>
      </c>
      <c r="AK47" s="6">
        <v>0</v>
      </c>
      <c r="AL47" s="6">
        <v>0</v>
      </c>
      <c r="AM47" s="6">
        <v>0</v>
      </c>
      <c r="AN47" s="6">
        <v>0</v>
      </c>
      <c r="AO47" s="6">
        <v>0</v>
      </c>
      <c r="AP47" s="6">
        <v>0</v>
      </c>
      <c r="AQ47" s="6">
        <v>0</v>
      </c>
      <c r="AR47" s="6">
        <v>0</v>
      </c>
      <c r="AS47" s="6">
        <v>0</v>
      </c>
      <c r="AT47" s="6" t="s">
        <v>862</v>
      </c>
      <c r="AU47" s="6" t="s">
        <v>862</v>
      </c>
      <c r="AV47" s="6" t="s">
        <v>862</v>
      </c>
      <c r="AW47" s="6" t="s">
        <v>862</v>
      </c>
      <c r="AX47" s="6">
        <v>0</v>
      </c>
      <c r="AY47" s="6" t="b">
        <v>0</v>
      </c>
      <c r="AZ47" s="6">
        <v>0</v>
      </c>
      <c r="BA47" s="6" t="b">
        <v>0</v>
      </c>
      <c r="BB47" s="6">
        <v>0</v>
      </c>
      <c r="BC47" s="6">
        <v>0</v>
      </c>
      <c r="BD47" s="6">
        <v>0</v>
      </c>
      <c r="BE47" s="6">
        <v>0</v>
      </c>
      <c r="BF47" s="6">
        <v>0</v>
      </c>
      <c r="BG47" s="6" t="s">
        <v>1564</v>
      </c>
      <c r="BH47" s="6">
        <v>0</v>
      </c>
      <c r="BI47" s="6">
        <v>0</v>
      </c>
      <c r="BJ47" s="6">
        <v>0</v>
      </c>
      <c r="BK47" s="6">
        <v>0</v>
      </c>
      <c r="BL47" s="6" t="b">
        <v>0</v>
      </c>
      <c r="BM47" s="6">
        <v>0</v>
      </c>
      <c r="BN47" s="6">
        <v>0</v>
      </c>
      <c r="BO47" s="6">
        <v>0</v>
      </c>
      <c r="BP47" s="6">
        <v>0</v>
      </c>
      <c r="BQ47" s="6">
        <v>0</v>
      </c>
      <c r="BR47" s="6">
        <v>0</v>
      </c>
      <c r="BS47" s="6">
        <v>0</v>
      </c>
      <c r="BT47" s="6">
        <v>0</v>
      </c>
      <c r="BU47" s="6">
        <v>0</v>
      </c>
      <c r="BV47" s="6">
        <v>0</v>
      </c>
      <c r="BW47" s="6">
        <v>0</v>
      </c>
      <c r="BX47" s="6">
        <v>0</v>
      </c>
      <c r="BY47" s="6">
        <v>0</v>
      </c>
      <c r="BZ47" s="6">
        <v>0</v>
      </c>
      <c r="CA47" s="6">
        <v>0</v>
      </c>
      <c r="CB47" s="6">
        <v>0</v>
      </c>
      <c r="CC47" s="6" t="b">
        <v>0</v>
      </c>
      <c r="CD47" s="6">
        <v>0</v>
      </c>
      <c r="CE47" s="6" t="b">
        <v>0</v>
      </c>
      <c r="CF47" s="6">
        <v>0</v>
      </c>
      <c r="CG47" s="6">
        <v>0</v>
      </c>
      <c r="CH47" s="6">
        <v>0</v>
      </c>
      <c r="CI47" s="6">
        <v>0</v>
      </c>
      <c r="CJ47" s="6" t="b">
        <v>0</v>
      </c>
      <c r="CK47" s="6" t="b">
        <v>0</v>
      </c>
      <c r="CL47" s="6">
        <v>0</v>
      </c>
      <c r="CM47" s="6" t="b">
        <v>0</v>
      </c>
      <c r="CN47" s="6"/>
      <c r="CO47" s="6"/>
      <c r="CP47" s="6"/>
      <c r="CQ47" s="6"/>
      <c r="CR47" s="6"/>
      <c r="CS47" s="6"/>
      <c r="CT47" s="6"/>
      <c r="CU47" s="6"/>
      <c r="CV47" s="6"/>
      <c r="CW47" s="6"/>
      <c r="CX47" s="6"/>
      <c r="CY47" s="6"/>
      <c r="CZ47" s="6"/>
      <c r="DA47" s="6"/>
      <c r="DB47" s="6"/>
      <c r="DC47" s="6"/>
      <c r="DD47" s="6"/>
      <c r="DE47" s="6"/>
      <c r="DF47" s="6"/>
      <c r="DG47" s="6"/>
      <c r="DH47" s="6"/>
      <c r="DI47" s="6"/>
    </row>
    <row r="48" spans="1:113" x14ac:dyDescent="0.25">
      <c r="A48" s="6" t="s">
        <v>786</v>
      </c>
      <c r="B48" s="6">
        <v>1</v>
      </c>
      <c r="C48" s="6">
        <v>0</v>
      </c>
      <c r="D48" s="6">
        <v>0</v>
      </c>
      <c r="E48" s="6">
        <v>0</v>
      </c>
      <c r="F48" s="6">
        <v>0</v>
      </c>
      <c r="G48" s="6">
        <v>0</v>
      </c>
      <c r="H48" s="6">
        <v>0</v>
      </c>
      <c r="I48" s="6">
        <v>0</v>
      </c>
      <c r="J48" s="6">
        <v>0</v>
      </c>
      <c r="K48" s="6">
        <v>0</v>
      </c>
      <c r="L48" s="6">
        <v>0</v>
      </c>
      <c r="M48" s="6">
        <v>0</v>
      </c>
      <c r="N48" s="6">
        <v>0</v>
      </c>
      <c r="O48" s="6">
        <v>0</v>
      </c>
      <c r="P48" s="6">
        <v>0</v>
      </c>
      <c r="Q48" s="6">
        <v>0</v>
      </c>
      <c r="R48" s="6">
        <v>0</v>
      </c>
      <c r="S48" s="6">
        <v>0</v>
      </c>
      <c r="T48" s="6">
        <v>0</v>
      </c>
      <c r="U48" s="6">
        <v>0</v>
      </c>
      <c r="V48" s="6">
        <v>0</v>
      </c>
      <c r="W48" s="6">
        <v>0</v>
      </c>
      <c r="X48" s="6">
        <v>0</v>
      </c>
      <c r="Y48" s="6">
        <v>0</v>
      </c>
      <c r="Z48" s="6">
        <v>0</v>
      </c>
      <c r="AA48" s="6">
        <v>0</v>
      </c>
      <c r="AB48" s="6">
        <v>0</v>
      </c>
      <c r="AC48" s="6">
        <v>0</v>
      </c>
      <c r="AD48" s="6">
        <v>0</v>
      </c>
      <c r="AE48" s="6">
        <v>0</v>
      </c>
      <c r="AF48" s="6">
        <v>0</v>
      </c>
      <c r="AG48" s="6">
        <v>0</v>
      </c>
      <c r="AH48" s="6">
        <v>0</v>
      </c>
      <c r="AI48" s="6">
        <v>0</v>
      </c>
      <c r="AJ48" s="6">
        <v>0</v>
      </c>
      <c r="AK48" s="6">
        <v>0</v>
      </c>
      <c r="AL48" s="6">
        <v>0</v>
      </c>
      <c r="AM48" s="6">
        <v>0</v>
      </c>
      <c r="AN48" s="6">
        <v>0</v>
      </c>
      <c r="AO48" s="6">
        <v>0</v>
      </c>
      <c r="AP48" s="6">
        <v>0</v>
      </c>
      <c r="AQ48" s="6">
        <v>0</v>
      </c>
      <c r="AR48" s="6">
        <v>0</v>
      </c>
      <c r="AS48" s="6">
        <v>0</v>
      </c>
      <c r="AT48" s="6" t="s">
        <v>862</v>
      </c>
      <c r="AU48" s="6" t="s">
        <v>862</v>
      </c>
      <c r="AV48" s="6" t="s">
        <v>862</v>
      </c>
      <c r="AW48" s="6" t="s">
        <v>862</v>
      </c>
      <c r="AX48" s="6">
        <v>0</v>
      </c>
      <c r="AY48" s="6" t="b">
        <v>0</v>
      </c>
      <c r="AZ48" s="6">
        <v>0</v>
      </c>
      <c r="BA48" s="6" t="b">
        <v>0</v>
      </c>
      <c r="BB48" s="6">
        <v>0</v>
      </c>
      <c r="BC48" s="6">
        <v>0</v>
      </c>
      <c r="BD48" s="6">
        <v>0</v>
      </c>
      <c r="BE48" s="6">
        <v>0</v>
      </c>
      <c r="BF48" s="6">
        <v>0</v>
      </c>
      <c r="BG48" s="6" t="s">
        <v>1564</v>
      </c>
      <c r="BH48" s="6">
        <v>0</v>
      </c>
      <c r="BI48" s="6">
        <v>0</v>
      </c>
      <c r="BJ48" s="6">
        <v>0</v>
      </c>
      <c r="BK48" s="6">
        <v>0</v>
      </c>
      <c r="BL48" s="6" t="b">
        <v>0</v>
      </c>
      <c r="BM48" s="6">
        <v>0</v>
      </c>
      <c r="BN48" s="6">
        <v>0</v>
      </c>
      <c r="BO48" s="6">
        <v>0</v>
      </c>
      <c r="BP48" s="6">
        <v>0</v>
      </c>
      <c r="BQ48" s="6">
        <v>0</v>
      </c>
      <c r="BR48" s="6">
        <v>0</v>
      </c>
      <c r="BS48" s="6">
        <v>0</v>
      </c>
      <c r="BT48" s="6">
        <v>0</v>
      </c>
      <c r="BU48" s="6">
        <v>0</v>
      </c>
      <c r="BV48" s="6">
        <v>0</v>
      </c>
      <c r="BW48" s="6">
        <v>0</v>
      </c>
      <c r="BX48" s="6">
        <v>0</v>
      </c>
      <c r="BY48" s="6">
        <v>0</v>
      </c>
      <c r="BZ48" s="6">
        <v>0</v>
      </c>
      <c r="CA48" s="6">
        <v>0</v>
      </c>
      <c r="CB48" s="6">
        <v>0</v>
      </c>
      <c r="CC48" s="6" t="b">
        <v>0</v>
      </c>
      <c r="CD48" s="6">
        <v>0</v>
      </c>
      <c r="CE48" s="6" t="b">
        <v>0</v>
      </c>
      <c r="CF48" s="6">
        <v>0</v>
      </c>
      <c r="CG48" s="6">
        <v>0</v>
      </c>
      <c r="CH48" s="6">
        <v>0</v>
      </c>
      <c r="CI48" s="6">
        <v>0</v>
      </c>
      <c r="CJ48" s="6" t="b">
        <v>0</v>
      </c>
      <c r="CK48" s="6" t="b">
        <v>0</v>
      </c>
      <c r="CL48" s="6">
        <v>0</v>
      </c>
      <c r="CM48" s="6" t="b">
        <v>0</v>
      </c>
      <c r="CN48" s="6"/>
      <c r="CO48" s="6"/>
      <c r="CP48" s="6"/>
      <c r="CQ48" s="6"/>
      <c r="CR48" s="6"/>
      <c r="CS48" s="6"/>
      <c r="CT48" s="6"/>
      <c r="CU48" s="6"/>
      <c r="CV48" s="6"/>
      <c r="CW48" s="6"/>
      <c r="CX48" s="6"/>
      <c r="CY48" s="6"/>
      <c r="CZ48" s="6"/>
      <c r="DA48" s="6"/>
      <c r="DB48" s="6"/>
      <c r="DC48" s="6"/>
      <c r="DD48" s="6"/>
      <c r="DE48" s="6"/>
      <c r="DF48" s="6"/>
      <c r="DG48" s="6"/>
      <c r="DH48" s="6"/>
      <c r="DI48" s="6"/>
    </row>
    <row r="49" spans="1:113" x14ac:dyDescent="0.25">
      <c r="A49" s="6" t="s">
        <v>787</v>
      </c>
      <c r="B49" s="6">
        <v>1</v>
      </c>
      <c r="C49" s="6">
        <v>0</v>
      </c>
      <c r="D49" s="6">
        <v>0</v>
      </c>
      <c r="E49" s="6">
        <v>0</v>
      </c>
      <c r="F49" s="6">
        <v>0</v>
      </c>
      <c r="G49" s="6">
        <v>0</v>
      </c>
      <c r="H49" s="6">
        <v>0</v>
      </c>
      <c r="I49" s="6">
        <v>0</v>
      </c>
      <c r="J49" s="6">
        <v>0</v>
      </c>
      <c r="K49" s="6">
        <v>0</v>
      </c>
      <c r="L49" s="6">
        <v>0</v>
      </c>
      <c r="M49" s="6">
        <v>0</v>
      </c>
      <c r="N49" s="6">
        <v>0</v>
      </c>
      <c r="O49" s="6">
        <v>0</v>
      </c>
      <c r="P49" s="6">
        <v>0</v>
      </c>
      <c r="Q49" s="6">
        <v>0</v>
      </c>
      <c r="R49" s="6">
        <v>0</v>
      </c>
      <c r="S49" s="6">
        <v>0</v>
      </c>
      <c r="T49" s="6">
        <v>0</v>
      </c>
      <c r="U49" s="6">
        <v>0</v>
      </c>
      <c r="V49" s="6">
        <v>0</v>
      </c>
      <c r="W49" s="6">
        <v>0</v>
      </c>
      <c r="X49" s="6">
        <v>0</v>
      </c>
      <c r="Y49" s="6">
        <v>0</v>
      </c>
      <c r="Z49" s="6">
        <v>0</v>
      </c>
      <c r="AA49" s="6">
        <v>0</v>
      </c>
      <c r="AB49" s="6">
        <v>0</v>
      </c>
      <c r="AC49" s="6">
        <v>0</v>
      </c>
      <c r="AD49" s="6">
        <v>0</v>
      </c>
      <c r="AE49" s="6">
        <v>0</v>
      </c>
      <c r="AF49" s="6">
        <v>0</v>
      </c>
      <c r="AG49" s="6">
        <v>0</v>
      </c>
      <c r="AH49" s="6">
        <v>0</v>
      </c>
      <c r="AI49" s="6">
        <v>0</v>
      </c>
      <c r="AJ49" s="6">
        <v>0</v>
      </c>
      <c r="AK49" s="6">
        <v>0</v>
      </c>
      <c r="AL49" s="6">
        <v>0</v>
      </c>
      <c r="AM49" s="6">
        <v>0</v>
      </c>
      <c r="AN49" s="6">
        <v>0</v>
      </c>
      <c r="AO49" s="6">
        <v>0</v>
      </c>
      <c r="AP49" s="6">
        <v>0</v>
      </c>
      <c r="AQ49" s="6">
        <v>0</v>
      </c>
      <c r="AR49" s="6">
        <v>0</v>
      </c>
      <c r="AS49" s="6">
        <v>0</v>
      </c>
      <c r="AT49" s="6" t="s">
        <v>862</v>
      </c>
      <c r="AU49" s="6" t="s">
        <v>862</v>
      </c>
      <c r="AV49" s="6" t="s">
        <v>862</v>
      </c>
      <c r="AW49" s="6" t="s">
        <v>862</v>
      </c>
      <c r="AX49" s="6">
        <v>0</v>
      </c>
      <c r="AY49" s="6" t="b">
        <v>0</v>
      </c>
      <c r="AZ49" s="6">
        <v>0</v>
      </c>
      <c r="BA49" s="6" t="b">
        <v>0</v>
      </c>
      <c r="BB49" s="6">
        <v>0</v>
      </c>
      <c r="BC49" s="6">
        <v>0</v>
      </c>
      <c r="BD49" s="6">
        <v>0</v>
      </c>
      <c r="BE49" s="6">
        <v>0</v>
      </c>
      <c r="BF49" s="6">
        <v>0</v>
      </c>
      <c r="BG49" s="6" t="s">
        <v>1564</v>
      </c>
      <c r="BH49" s="6">
        <v>0</v>
      </c>
      <c r="BI49" s="6">
        <v>0</v>
      </c>
      <c r="BJ49" s="6">
        <v>0</v>
      </c>
      <c r="BK49" s="6">
        <v>0</v>
      </c>
      <c r="BL49" s="6" t="b">
        <v>0</v>
      </c>
      <c r="BM49" s="6">
        <v>0</v>
      </c>
      <c r="BN49" s="6">
        <v>0</v>
      </c>
      <c r="BO49" s="6">
        <v>0</v>
      </c>
      <c r="BP49" s="6">
        <v>0</v>
      </c>
      <c r="BQ49" s="6">
        <v>0</v>
      </c>
      <c r="BR49" s="6">
        <v>0</v>
      </c>
      <c r="BS49" s="6">
        <v>0</v>
      </c>
      <c r="BT49" s="6">
        <v>0</v>
      </c>
      <c r="BU49" s="6">
        <v>0</v>
      </c>
      <c r="BV49" s="6">
        <v>0</v>
      </c>
      <c r="BW49" s="6">
        <v>0</v>
      </c>
      <c r="BX49" s="6">
        <v>0</v>
      </c>
      <c r="BY49" s="6">
        <v>0</v>
      </c>
      <c r="BZ49" s="6">
        <v>0</v>
      </c>
      <c r="CA49" s="6">
        <v>0</v>
      </c>
      <c r="CB49" s="6">
        <v>0</v>
      </c>
      <c r="CC49" s="6" t="b">
        <v>0</v>
      </c>
      <c r="CD49" s="6">
        <v>0</v>
      </c>
      <c r="CE49" s="6" t="b">
        <v>0</v>
      </c>
      <c r="CF49" s="6">
        <v>0</v>
      </c>
      <c r="CG49" s="6">
        <v>0</v>
      </c>
      <c r="CH49" s="6">
        <v>0</v>
      </c>
      <c r="CI49" s="6">
        <v>0</v>
      </c>
      <c r="CJ49" s="6" t="b">
        <v>0</v>
      </c>
      <c r="CK49" s="6" t="b">
        <v>0</v>
      </c>
      <c r="CL49" s="6">
        <v>0</v>
      </c>
      <c r="CM49" s="6" t="b">
        <v>0</v>
      </c>
      <c r="CN49" s="6"/>
      <c r="CO49" s="6"/>
      <c r="CP49" s="6"/>
      <c r="CQ49" s="6"/>
      <c r="CR49" s="6"/>
      <c r="CS49" s="6"/>
      <c r="CT49" s="6"/>
      <c r="CU49" s="6"/>
      <c r="CV49" s="6"/>
      <c r="CW49" s="6"/>
      <c r="CX49" s="6"/>
      <c r="CY49" s="6"/>
      <c r="CZ49" s="6"/>
      <c r="DA49" s="6"/>
      <c r="DB49" s="6"/>
      <c r="DC49" s="6"/>
      <c r="DD49" s="6"/>
      <c r="DE49" s="6"/>
      <c r="DF49" s="6"/>
      <c r="DG49" s="6"/>
      <c r="DH49" s="6"/>
      <c r="DI49" s="6"/>
    </row>
    <row r="50" spans="1:113" x14ac:dyDescent="0.25">
      <c r="A50" s="6" t="s">
        <v>773</v>
      </c>
      <c r="B50" s="6">
        <v>1</v>
      </c>
      <c r="C50" s="6">
        <v>0</v>
      </c>
      <c r="D50" s="6">
        <v>0</v>
      </c>
      <c r="E50" s="6">
        <v>0</v>
      </c>
      <c r="F50" s="6">
        <v>0</v>
      </c>
      <c r="G50" s="6">
        <v>0</v>
      </c>
      <c r="H50" s="6">
        <v>0</v>
      </c>
      <c r="I50" s="6">
        <v>0</v>
      </c>
      <c r="J50" s="6">
        <v>0</v>
      </c>
      <c r="K50" s="6">
        <v>0</v>
      </c>
      <c r="L50" s="6">
        <v>0</v>
      </c>
      <c r="M50" s="6">
        <v>0</v>
      </c>
      <c r="N50" s="6">
        <v>0</v>
      </c>
      <c r="O50" s="6">
        <v>0</v>
      </c>
      <c r="P50" s="6">
        <v>0</v>
      </c>
      <c r="Q50" s="6">
        <v>0</v>
      </c>
      <c r="R50" s="6">
        <v>0</v>
      </c>
      <c r="S50" s="6">
        <v>0</v>
      </c>
      <c r="T50" s="6">
        <v>0</v>
      </c>
      <c r="U50" s="6">
        <v>0</v>
      </c>
      <c r="V50" s="6">
        <v>0</v>
      </c>
      <c r="W50" s="6">
        <v>0</v>
      </c>
      <c r="X50" s="6">
        <v>0</v>
      </c>
      <c r="Y50" s="6">
        <v>0</v>
      </c>
      <c r="Z50" s="6">
        <v>0</v>
      </c>
      <c r="AA50" s="6">
        <v>0</v>
      </c>
      <c r="AB50" s="6">
        <v>0</v>
      </c>
      <c r="AC50" s="6">
        <v>0</v>
      </c>
      <c r="AD50" s="6">
        <v>0</v>
      </c>
      <c r="AE50" s="6">
        <v>0</v>
      </c>
      <c r="AF50" s="6">
        <v>0</v>
      </c>
      <c r="AG50" s="6">
        <v>0</v>
      </c>
      <c r="AH50" s="6">
        <v>0</v>
      </c>
      <c r="AI50" s="6">
        <v>0</v>
      </c>
      <c r="AJ50" s="6">
        <v>0</v>
      </c>
      <c r="AK50" s="6">
        <v>0</v>
      </c>
      <c r="AL50" s="6">
        <v>0</v>
      </c>
      <c r="AM50" s="6">
        <v>0</v>
      </c>
      <c r="AN50" s="6">
        <v>0</v>
      </c>
      <c r="AO50" s="6">
        <v>0</v>
      </c>
      <c r="AP50" s="6">
        <v>0</v>
      </c>
      <c r="AQ50" s="6">
        <v>0</v>
      </c>
      <c r="AR50" s="6">
        <v>0</v>
      </c>
      <c r="AS50" s="6">
        <v>0</v>
      </c>
      <c r="AT50" s="6" t="s">
        <v>862</v>
      </c>
      <c r="AU50" s="6" t="s">
        <v>862</v>
      </c>
      <c r="AV50" s="6" t="s">
        <v>862</v>
      </c>
      <c r="AW50" s="6" t="s">
        <v>862</v>
      </c>
      <c r="AX50" s="6">
        <v>0</v>
      </c>
      <c r="AY50" s="6" t="b">
        <v>0</v>
      </c>
      <c r="AZ50" s="6">
        <v>0</v>
      </c>
      <c r="BA50" s="6" t="b">
        <v>0</v>
      </c>
      <c r="BB50" s="6">
        <v>0</v>
      </c>
      <c r="BC50" s="6">
        <v>0</v>
      </c>
      <c r="BD50" s="6">
        <v>0</v>
      </c>
      <c r="BE50" s="6">
        <v>0</v>
      </c>
      <c r="BF50" s="6">
        <v>0</v>
      </c>
      <c r="BG50" s="6" t="s">
        <v>1564</v>
      </c>
      <c r="BH50" s="6">
        <v>0</v>
      </c>
      <c r="BI50" s="6">
        <v>0</v>
      </c>
      <c r="BJ50" s="6">
        <v>0</v>
      </c>
      <c r="BK50" s="6">
        <v>0</v>
      </c>
      <c r="BL50" s="6" t="b">
        <v>0</v>
      </c>
      <c r="BM50" s="6">
        <v>0</v>
      </c>
      <c r="BN50" s="6">
        <v>0</v>
      </c>
      <c r="BO50" s="6">
        <v>0</v>
      </c>
      <c r="BP50" s="6">
        <v>0</v>
      </c>
      <c r="BQ50" s="6">
        <v>0</v>
      </c>
      <c r="BR50" s="6">
        <v>0</v>
      </c>
      <c r="BS50" s="6">
        <v>0</v>
      </c>
      <c r="BT50" s="6">
        <v>0</v>
      </c>
      <c r="BU50" s="6">
        <v>0</v>
      </c>
      <c r="BV50" s="6">
        <v>0</v>
      </c>
      <c r="BW50" s="6">
        <v>0</v>
      </c>
      <c r="BX50" s="6">
        <v>0</v>
      </c>
      <c r="BY50" s="6">
        <v>0</v>
      </c>
      <c r="BZ50" s="6">
        <v>0</v>
      </c>
      <c r="CA50" s="6">
        <v>0</v>
      </c>
      <c r="CB50" s="6">
        <v>0</v>
      </c>
      <c r="CC50" s="6" t="b">
        <v>0</v>
      </c>
      <c r="CD50" s="6">
        <v>0</v>
      </c>
      <c r="CE50" s="6" t="b">
        <v>0</v>
      </c>
      <c r="CF50" s="6">
        <v>0</v>
      </c>
      <c r="CG50" s="6">
        <v>0</v>
      </c>
      <c r="CH50" s="6">
        <v>0</v>
      </c>
      <c r="CI50" s="6">
        <v>0</v>
      </c>
      <c r="CJ50" s="6" t="b">
        <v>0</v>
      </c>
      <c r="CK50" s="6" t="b">
        <v>0</v>
      </c>
      <c r="CL50" s="6">
        <v>0</v>
      </c>
      <c r="CM50" s="6" t="b">
        <v>0</v>
      </c>
      <c r="CN50" s="6"/>
      <c r="CO50" s="6"/>
      <c r="CP50" s="6"/>
      <c r="CQ50" s="6"/>
      <c r="CR50" s="6"/>
      <c r="CS50" s="6"/>
      <c r="CT50" s="6"/>
      <c r="CU50" s="6"/>
      <c r="CV50" s="6"/>
      <c r="CW50" s="6"/>
      <c r="CX50" s="6"/>
      <c r="CY50" s="6"/>
      <c r="CZ50" s="6"/>
      <c r="DA50" s="6"/>
      <c r="DB50" s="6"/>
      <c r="DC50" s="6"/>
      <c r="DD50" s="6"/>
      <c r="DE50" s="6"/>
      <c r="DF50" s="6"/>
      <c r="DG50" s="6"/>
      <c r="DH50" s="6"/>
      <c r="DI50" s="6"/>
    </row>
    <row r="51" spans="1:113" x14ac:dyDescent="0.25">
      <c r="A51" s="6" t="s">
        <v>799</v>
      </c>
      <c r="B51" s="6">
        <v>1</v>
      </c>
      <c r="C51" s="6">
        <v>0</v>
      </c>
      <c r="D51" s="6">
        <v>0</v>
      </c>
      <c r="E51" s="6">
        <v>0</v>
      </c>
      <c r="F51" s="6">
        <v>0</v>
      </c>
      <c r="G51" s="6">
        <v>0</v>
      </c>
      <c r="H51" s="6">
        <v>0</v>
      </c>
      <c r="I51" s="6">
        <v>0</v>
      </c>
      <c r="J51" s="6">
        <v>0</v>
      </c>
      <c r="K51" s="6">
        <v>0</v>
      </c>
      <c r="L51" s="6">
        <v>0</v>
      </c>
      <c r="M51" s="6">
        <v>0</v>
      </c>
      <c r="N51" s="6">
        <v>0</v>
      </c>
      <c r="O51" s="6">
        <v>0</v>
      </c>
      <c r="P51" s="6">
        <v>0</v>
      </c>
      <c r="Q51" s="6">
        <v>0</v>
      </c>
      <c r="R51" s="6">
        <v>0</v>
      </c>
      <c r="S51" s="6">
        <v>0</v>
      </c>
      <c r="T51" s="6">
        <v>0</v>
      </c>
      <c r="U51" s="6">
        <v>0</v>
      </c>
      <c r="V51" s="6">
        <v>0</v>
      </c>
      <c r="W51" s="6">
        <v>0</v>
      </c>
      <c r="X51" s="6">
        <v>0</v>
      </c>
      <c r="Y51" s="6">
        <v>0</v>
      </c>
      <c r="Z51" s="6">
        <v>0</v>
      </c>
      <c r="AA51" s="6">
        <v>0</v>
      </c>
      <c r="AB51" s="6">
        <v>0</v>
      </c>
      <c r="AC51" s="6">
        <v>0</v>
      </c>
      <c r="AD51" s="6">
        <v>0</v>
      </c>
      <c r="AE51" s="6">
        <v>0</v>
      </c>
      <c r="AF51" s="6">
        <v>0</v>
      </c>
      <c r="AG51" s="6">
        <v>0</v>
      </c>
      <c r="AH51" s="6">
        <v>0</v>
      </c>
      <c r="AI51" s="6">
        <v>0</v>
      </c>
      <c r="AJ51" s="6">
        <v>0</v>
      </c>
      <c r="AK51" s="6">
        <v>0</v>
      </c>
      <c r="AL51" s="6">
        <v>0</v>
      </c>
      <c r="AM51" s="6">
        <v>0</v>
      </c>
      <c r="AN51" s="6">
        <v>0</v>
      </c>
      <c r="AO51" s="6">
        <v>0</v>
      </c>
      <c r="AP51" s="6">
        <v>0</v>
      </c>
      <c r="AQ51" s="6">
        <v>0</v>
      </c>
      <c r="AR51" s="6">
        <v>0</v>
      </c>
      <c r="AS51" s="6">
        <v>0</v>
      </c>
      <c r="AT51" s="6" t="s">
        <v>862</v>
      </c>
      <c r="AU51" s="6" t="s">
        <v>862</v>
      </c>
      <c r="AV51" s="6" t="s">
        <v>862</v>
      </c>
      <c r="AW51" s="6" t="s">
        <v>862</v>
      </c>
      <c r="AX51" s="6">
        <v>0</v>
      </c>
      <c r="AY51" s="6" t="b">
        <v>0</v>
      </c>
      <c r="AZ51" s="6">
        <v>0</v>
      </c>
      <c r="BA51" s="6" t="b">
        <v>0</v>
      </c>
      <c r="BB51" s="6">
        <v>0</v>
      </c>
      <c r="BC51" s="6">
        <v>0</v>
      </c>
      <c r="BD51" s="6">
        <v>0</v>
      </c>
      <c r="BE51" s="6">
        <v>0</v>
      </c>
      <c r="BF51" s="6">
        <v>0</v>
      </c>
      <c r="BG51" s="6" t="s">
        <v>1564</v>
      </c>
      <c r="BH51" s="6">
        <v>0</v>
      </c>
      <c r="BI51" s="6">
        <v>0</v>
      </c>
      <c r="BJ51" s="6">
        <v>0</v>
      </c>
      <c r="BK51" s="6">
        <v>0</v>
      </c>
      <c r="BL51" s="6" t="b">
        <v>0</v>
      </c>
      <c r="BM51" s="6">
        <v>0</v>
      </c>
      <c r="BN51" s="6">
        <v>0</v>
      </c>
      <c r="BO51" s="6">
        <v>0</v>
      </c>
      <c r="BP51" s="6">
        <v>0</v>
      </c>
      <c r="BQ51" s="6">
        <v>0</v>
      </c>
      <c r="BR51" s="6">
        <v>0</v>
      </c>
      <c r="BS51" s="6">
        <v>0</v>
      </c>
      <c r="BT51" s="6">
        <v>0</v>
      </c>
      <c r="BU51" s="6">
        <v>0</v>
      </c>
      <c r="BV51" s="6">
        <v>0</v>
      </c>
      <c r="BW51" s="6">
        <v>0</v>
      </c>
      <c r="BX51" s="6">
        <v>0</v>
      </c>
      <c r="BY51" s="6">
        <v>0</v>
      </c>
      <c r="BZ51" s="6">
        <v>0</v>
      </c>
      <c r="CA51" s="6">
        <v>0</v>
      </c>
      <c r="CB51" s="6">
        <v>0</v>
      </c>
      <c r="CC51" s="6" t="b">
        <v>0</v>
      </c>
      <c r="CD51" s="6">
        <v>0</v>
      </c>
      <c r="CE51" s="6" t="b">
        <v>0</v>
      </c>
      <c r="CF51" s="6">
        <v>0</v>
      </c>
      <c r="CG51" s="6">
        <v>0</v>
      </c>
      <c r="CH51" s="6">
        <v>0</v>
      </c>
      <c r="CI51" s="6">
        <v>0</v>
      </c>
      <c r="CJ51" s="6" t="b">
        <v>0</v>
      </c>
      <c r="CK51" s="6" t="b">
        <v>0</v>
      </c>
      <c r="CL51" s="6">
        <v>0</v>
      </c>
      <c r="CM51" s="6" t="b">
        <v>0</v>
      </c>
      <c r="CN51" s="6"/>
      <c r="CO51" s="6"/>
      <c r="CP51" s="6"/>
      <c r="CQ51" s="6"/>
      <c r="CR51" s="6"/>
      <c r="CS51" s="6"/>
      <c r="CT51" s="6"/>
      <c r="CU51" s="6"/>
      <c r="CV51" s="6"/>
      <c r="CW51" s="6"/>
      <c r="CX51" s="6"/>
      <c r="CY51" s="6"/>
      <c r="CZ51" s="6"/>
      <c r="DA51" s="6"/>
      <c r="DB51" s="6"/>
      <c r="DC51" s="6"/>
      <c r="DD51" s="6"/>
      <c r="DE51" s="6"/>
      <c r="DF51" s="6"/>
      <c r="DG51" s="6"/>
      <c r="DH51" s="6"/>
      <c r="DI51" s="6"/>
    </row>
    <row r="52" spans="1:113" x14ac:dyDescent="0.25">
      <c r="A52" s="6" t="s">
        <v>800</v>
      </c>
      <c r="B52" s="6">
        <v>1</v>
      </c>
      <c r="C52" s="6">
        <v>0</v>
      </c>
      <c r="D52" s="6">
        <v>0</v>
      </c>
      <c r="E52" s="6">
        <v>0</v>
      </c>
      <c r="F52" s="6">
        <v>0</v>
      </c>
      <c r="G52" s="6">
        <v>0</v>
      </c>
      <c r="H52" s="6">
        <v>0</v>
      </c>
      <c r="I52" s="6">
        <v>0</v>
      </c>
      <c r="J52" s="6">
        <v>0</v>
      </c>
      <c r="K52" s="6">
        <v>0</v>
      </c>
      <c r="L52" s="6">
        <v>0</v>
      </c>
      <c r="M52" s="6">
        <v>0</v>
      </c>
      <c r="N52" s="6">
        <v>0</v>
      </c>
      <c r="O52" s="6">
        <v>0</v>
      </c>
      <c r="P52" s="6">
        <v>0</v>
      </c>
      <c r="Q52" s="6">
        <v>0</v>
      </c>
      <c r="R52" s="6">
        <v>0</v>
      </c>
      <c r="S52" s="6">
        <v>0</v>
      </c>
      <c r="T52" s="6">
        <v>0</v>
      </c>
      <c r="U52" s="6">
        <v>0</v>
      </c>
      <c r="V52" s="6">
        <v>0</v>
      </c>
      <c r="W52" s="6">
        <v>0</v>
      </c>
      <c r="X52" s="6">
        <v>0</v>
      </c>
      <c r="Y52" s="6">
        <v>0</v>
      </c>
      <c r="Z52" s="6">
        <v>0</v>
      </c>
      <c r="AA52" s="6">
        <v>0</v>
      </c>
      <c r="AB52" s="6">
        <v>0</v>
      </c>
      <c r="AC52" s="6">
        <v>0</v>
      </c>
      <c r="AD52" s="6">
        <v>0</v>
      </c>
      <c r="AE52" s="6">
        <v>0</v>
      </c>
      <c r="AF52" s="6">
        <v>0</v>
      </c>
      <c r="AG52" s="6">
        <v>0</v>
      </c>
      <c r="AH52" s="6">
        <v>0</v>
      </c>
      <c r="AI52" s="6">
        <v>0</v>
      </c>
      <c r="AJ52" s="6">
        <v>0</v>
      </c>
      <c r="AK52" s="6">
        <v>0</v>
      </c>
      <c r="AL52" s="6">
        <v>0</v>
      </c>
      <c r="AM52" s="6">
        <v>0</v>
      </c>
      <c r="AN52" s="6">
        <v>0</v>
      </c>
      <c r="AO52" s="6">
        <v>0</v>
      </c>
      <c r="AP52" s="6">
        <v>0</v>
      </c>
      <c r="AQ52" s="6">
        <v>0</v>
      </c>
      <c r="AR52" s="6">
        <v>0</v>
      </c>
      <c r="AS52" s="6">
        <v>0</v>
      </c>
      <c r="AT52" s="6" t="s">
        <v>862</v>
      </c>
      <c r="AU52" s="6" t="s">
        <v>862</v>
      </c>
      <c r="AV52" s="6" t="s">
        <v>862</v>
      </c>
      <c r="AW52" s="6" t="s">
        <v>862</v>
      </c>
      <c r="AX52" s="6">
        <v>0</v>
      </c>
      <c r="AY52" s="6" t="b">
        <v>0</v>
      </c>
      <c r="AZ52" s="6">
        <v>0</v>
      </c>
      <c r="BA52" s="6" t="b">
        <v>0</v>
      </c>
      <c r="BB52" s="6">
        <v>0</v>
      </c>
      <c r="BC52" s="6">
        <v>0</v>
      </c>
      <c r="BD52" s="6">
        <v>0</v>
      </c>
      <c r="BE52" s="6">
        <v>0</v>
      </c>
      <c r="BF52" s="6">
        <v>0</v>
      </c>
      <c r="BG52" s="6" t="s">
        <v>1564</v>
      </c>
      <c r="BH52" s="6">
        <v>0</v>
      </c>
      <c r="BI52" s="6">
        <v>0</v>
      </c>
      <c r="BJ52" s="6">
        <v>0</v>
      </c>
      <c r="BK52" s="6">
        <v>0</v>
      </c>
      <c r="BL52" s="6" t="b">
        <v>0</v>
      </c>
      <c r="BM52" s="6">
        <v>0</v>
      </c>
      <c r="BN52" s="6">
        <v>0</v>
      </c>
      <c r="BO52" s="6">
        <v>0</v>
      </c>
      <c r="BP52" s="6">
        <v>0</v>
      </c>
      <c r="BQ52" s="6">
        <v>0</v>
      </c>
      <c r="BR52" s="6">
        <v>0</v>
      </c>
      <c r="BS52" s="6">
        <v>0</v>
      </c>
      <c r="BT52" s="6">
        <v>0</v>
      </c>
      <c r="BU52" s="6">
        <v>0</v>
      </c>
      <c r="BV52" s="6">
        <v>0</v>
      </c>
      <c r="BW52" s="6">
        <v>0</v>
      </c>
      <c r="BX52" s="6">
        <v>0</v>
      </c>
      <c r="BY52" s="6">
        <v>0</v>
      </c>
      <c r="BZ52" s="6">
        <v>0</v>
      </c>
      <c r="CA52" s="6">
        <v>0</v>
      </c>
      <c r="CB52" s="6">
        <v>0</v>
      </c>
      <c r="CC52" s="6" t="b">
        <v>0</v>
      </c>
      <c r="CD52" s="6">
        <v>0</v>
      </c>
      <c r="CE52" s="6" t="b">
        <v>0</v>
      </c>
      <c r="CF52" s="6">
        <v>0</v>
      </c>
      <c r="CG52" s="6">
        <v>0</v>
      </c>
      <c r="CH52" s="6">
        <v>0</v>
      </c>
      <c r="CI52" s="6">
        <v>0</v>
      </c>
      <c r="CJ52" s="6" t="b">
        <v>0</v>
      </c>
      <c r="CK52" s="6" t="b">
        <v>0</v>
      </c>
      <c r="CL52" s="6">
        <v>0</v>
      </c>
      <c r="CM52" s="6" t="b">
        <v>0</v>
      </c>
      <c r="CN52" s="6"/>
      <c r="CO52" s="6"/>
      <c r="CP52" s="6"/>
      <c r="CQ52" s="6"/>
      <c r="CR52" s="6"/>
      <c r="CS52" s="6"/>
      <c r="CT52" s="6"/>
      <c r="CU52" s="6"/>
      <c r="CV52" s="6"/>
      <c r="CW52" s="6"/>
      <c r="CX52" s="6"/>
      <c r="CY52" s="6"/>
      <c r="CZ52" s="6"/>
      <c r="DA52" s="6"/>
      <c r="DB52" s="6"/>
      <c r="DC52" s="6"/>
      <c r="DD52" s="6"/>
      <c r="DE52" s="6"/>
      <c r="DF52" s="6"/>
      <c r="DG52" s="6"/>
      <c r="DH52" s="6"/>
      <c r="DI52" s="6"/>
    </row>
    <row r="53" spans="1:113" x14ac:dyDescent="0.25">
      <c r="A53" s="6" t="s">
        <v>801</v>
      </c>
      <c r="B53" s="6">
        <v>1</v>
      </c>
      <c r="C53" s="6">
        <v>0</v>
      </c>
      <c r="D53" s="6">
        <v>0</v>
      </c>
      <c r="E53" s="6">
        <v>0</v>
      </c>
      <c r="F53" s="6">
        <v>0</v>
      </c>
      <c r="G53" s="6">
        <v>0</v>
      </c>
      <c r="H53" s="6">
        <v>0</v>
      </c>
      <c r="I53" s="6">
        <v>0</v>
      </c>
      <c r="J53" s="6">
        <v>0</v>
      </c>
      <c r="K53" s="6">
        <v>0</v>
      </c>
      <c r="L53" s="6">
        <v>0</v>
      </c>
      <c r="M53" s="6">
        <v>0</v>
      </c>
      <c r="N53" s="6">
        <v>0</v>
      </c>
      <c r="O53" s="6">
        <v>0</v>
      </c>
      <c r="P53" s="6">
        <v>0</v>
      </c>
      <c r="Q53" s="6">
        <v>0</v>
      </c>
      <c r="R53" s="6">
        <v>0</v>
      </c>
      <c r="S53" s="6">
        <v>0</v>
      </c>
      <c r="T53" s="6">
        <v>0</v>
      </c>
      <c r="U53" s="6">
        <v>0</v>
      </c>
      <c r="V53" s="6">
        <v>0</v>
      </c>
      <c r="W53" s="6">
        <v>0</v>
      </c>
      <c r="X53" s="6">
        <v>0</v>
      </c>
      <c r="Y53" s="6">
        <v>0</v>
      </c>
      <c r="Z53" s="6">
        <v>0</v>
      </c>
      <c r="AA53" s="6">
        <v>0</v>
      </c>
      <c r="AB53" s="6">
        <v>0</v>
      </c>
      <c r="AC53" s="6">
        <v>0</v>
      </c>
      <c r="AD53" s="6">
        <v>0</v>
      </c>
      <c r="AE53" s="6">
        <v>0</v>
      </c>
      <c r="AF53" s="6">
        <v>0</v>
      </c>
      <c r="AG53" s="6">
        <v>0</v>
      </c>
      <c r="AH53" s="6">
        <v>0</v>
      </c>
      <c r="AI53" s="6">
        <v>0</v>
      </c>
      <c r="AJ53" s="6">
        <v>0</v>
      </c>
      <c r="AK53" s="6">
        <v>0</v>
      </c>
      <c r="AL53" s="6">
        <v>0</v>
      </c>
      <c r="AM53" s="6">
        <v>0</v>
      </c>
      <c r="AN53" s="6">
        <v>0</v>
      </c>
      <c r="AO53" s="6">
        <v>0</v>
      </c>
      <c r="AP53" s="6">
        <v>0</v>
      </c>
      <c r="AQ53" s="6">
        <v>0</v>
      </c>
      <c r="AR53" s="6">
        <v>0</v>
      </c>
      <c r="AS53" s="6">
        <v>0</v>
      </c>
      <c r="AT53" s="6" t="s">
        <v>862</v>
      </c>
      <c r="AU53" s="6" t="s">
        <v>862</v>
      </c>
      <c r="AV53" s="6" t="s">
        <v>862</v>
      </c>
      <c r="AW53" s="6" t="s">
        <v>862</v>
      </c>
      <c r="AX53" s="6">
        <v>0</v>
      </c>
      <c r="AY53" s="6" t="b">
        <v>0</v>
      </c>
      <c r="AZ53" s="6">
        <v>0</v>
      </c>
      <c r="BA53" s="6" t="b">
        <v>0</v>
      </c>
      <c r="BB53" s="6">
        <v>0</v>
      </c>
      <c r="BC53" s="6">
        <v>0</v>
      </c>
      <c r="BD53" s="6">
        <v>0</v>
      </c>
      <c r="BE53" s="6">
        <v>0</v>
      </c>
      <c r="BF53" s="6">
        <v>0</v>
      </c>
      <c r="BG53" s="6" t="s">
        <v>1564</v>
      </c>
      <c r="BH53" s="6">
        <v>0</v>
      </c>
      <c r="BI53" s="6">
        <v>0</v>
      </c>
      <c r="BJ53" s="6">
        <v>0</v>
      </c>
      <c r="BK53" s="6">
        <v>0</v>
      </c>
      <c r="BL53" s="6" t="b">
        <v>0</v>
      </c>
      <c r="BM53" s="6">
        <v>0</v>
      </c>
      <c r="BN53" s="6">
        <v>0</v>
      </c>
      <c r="BO53" s="6">
        <v>0</v>
      </c>
      <c r="BP53" s="6">
        <v>0</v>
      </c>
      <c r="BQ53" s="6">
        <v>0</v>
      </c>
      <c r="BR53" s="6">
        <v>0</v>
      </c>
      <c r="BS53" s="6">
        <v>0</v>
      </c>
      <c r="BT53" s="6">
        <v>0</v>
      </c>
      <c r="BU53" s="6">
        <v>0</v>
      </c>
      <c r="BV53" s="6">
        <v>0</v>
      </c>
      <c r="BW53" s="6">
        <v>0</v>
      </c>
      <c r="BX53" s="6">
        <v>0</v>
      </c>
      <c r="BY53" s="6">
        <v>0</v>
      </c>
      <c r="BZ53" s="6">
        <v>0</v>
      </c>
      <c r="CA53" s="6">
        <v>0</v>
      </c>
      <c r="CB53" s="6">
        <v>0</v>
      </c>
      <c r="CC53" s="6" t="b">
        <v>0</v>
      </c>
      <c r="CD53" s="6">
        <v>0</v>
      </c>
      <c r="CE53" s="6" t="b">
        <v>0</v>
      </c>
      <c r="CF53" s="6">
        <v>0</v>
      </c>
      <c r="CG53" s="6">
        <v>0</v>
      </c>
      <c r="CH53" s="6">
        <v>0</v>
      </c>
      <c r="CI53" s="6">
        <v>0</v>
      </c>
      <c r="CJ53" s="6" t="b">
        <v>0</v>
      </c>
      <c r="CK53" s="6" t="b">
        <v>0</v>
      </c>
      <c r="CL53" s="6">
        <v>0</v>
      </c>
      <c r="CM53" s="6" t="b">
        <v>0</v>
      </c>
      <c r="CN53" s="6"/>
      <c r="CO53" s="6"/>
      <c r="CP53" s="6"/>
      <c r="CQ53" s="6"/>
      <c r="CR53" s="6"/>
      <c r="CS53" s="6"/>
      <c r="CT53" s="6"/>
      <c r="CU53" s="6"/>
      <c r="CV53" s="6"/>
      <c r="CW53" s="6"/>
      <c r="CX53" s="6"/>
      <c r="CY53" s="6"/>
      <c r="CZ53" s="6"/>
      <c r="DA53" s="6"/>
      <c r="DB53" s="6"/>
      <c r="DC53" s="6"/>
      <c r="DD53" s="6"/>
      <c r="DE53" s="6"/>
      <c r="DF53" s="6"/>
      <c r="DG53" s="6"/>
      <c r="DH53" s="6"/>
      <c r="DI53" s="6"/>
    </row>
    <row r="54" spans="1:113" x14ac:dyDescent="0.25">
      <c r="A54" s="6" t="s">
        <v>802</v>
      </c>
      <c r="B54" s="6">
        <v>1</v>
      </c>
      <c r="C54" s="6">
        <v>0</v>
      </c>
      <c r="D54" s="6">
        <v>0</v>
      </c>
      <c r="E54" s="6">
        <v>0</v>
      </c>
      <c r="F54" s="6">
        <v>0</v>
      </c>
      <c r="G54" s="6">
        <v>0</v>
      </c>
      <c r="H54" s="6">
        <v>0</v>
      </c>
      <c r="I54" s="6">
        <v>0</v>
      </c>
      <c r="J54" s="6">
        <v>0</v>
      </c>
      <c r="K54" s="6">
        <v>0</v>
      </c>
      <c r="L54" s="6">
        <v>0</v>
      </c>
      <c r="M54" s="6">
        <v>0</v>
      </c>
      <c r="N54" s="6">
        <v>0</v>
      </c>
      <c r="O54" s="6">
        <v>0</v>
      </c>
      <c r="P54" s="6">
        <v>0</v>
      </c>
      <c r="Q54" s="6">
        <v>0</v>
      </c>
      <c r="R54" s="6">
        <v>0</v>
      </c>
      <c r="S54" s="6">
        <v>0</v>
      </c>
      <c r="T54" s="6">
        <v>0</v>
      </c>
      <c r="U54" s="6">
        <v>0</v>
      </c>
      <c r="V54" s="6">
        <v>0</v>
      </c>
      <c r="W54" s="6">
        <v>0</v>
      </c>
      <c r="X54" s="6">
        <v>0</v>
      </c>
      <c r="Y54" s="6">
        <v>0</v>
      </c>
      <c r="Z54" s="6">
        <v>0</v>
      </c>
      <c r="AA54" s="6">
        <v>0</v>
      </c>
      <c r="AB54" s="6">
        <v>0</v>
      </c>
      <c r="AC54" s="6">
        <v>0</v>
      </c>
      <c r="AD54" s="6">
        <v>0</v>
      </c>
      <c r="AE54" s="6">
        <v>0</v>
      </c>
      <c r="AF54" s="6">
        <v>0</v>
      </c>
      <c r="AG54" s="6">
        <v>0</v>
      </c>
      <c r="AH54" s="6">
        <v>0</v>
      </c>
      <c r="AI54" s="6">
        <v>0</v>
      </c>
      <c r="AJ54" s="6">
        <v>0</v>
      </c>
      <c r="AK54" s="6">
        <v>0</v>
      </c>
      <c r="AL54" s="6">
        <v>0</v>
      </c>
      <c r="AM54" s="6">
        <v>0</v>
      </c>
      <c r="AN54" s="6">
        <v>0</v>
      </c>
      <c r="AO54" s="6">
        <v>0</v>
      </c>
      <c r="AP54" s="6">
        <v>0</v>
      </c>
      <c r="AQ54" s="6">
        <v>0</v>
      </c>
      <c r="AR54" s="6">
        <v>0</v>
      </c>
      <c r="AS54" s="6">
        <v>0</v>
      </c>
      <c r="AT54" s="6" t="s">
        <v>862</v>
      </c>
      <c r="AU54" s="6" t="s">
        <v>862</v>
      </c>
      <c r="AV54" s="6" t="s">
        <v>862</v>
      </c>
      <c r="AW54" s="6" t="s">
        <v>862</v>
      </c>
      <c r="AX54" s="6">
        <v>0</v>
      </c>
      <c r="AY54" s="6" t="b">
        <v>0</v>
      </c>
      <c r="AZ54" s="6">
        <v>0</v>
      </c>
      <c r="BA54" s="6" t="b">
        <v>0</v>
      </c>
      <c r="BB54" s="6">
        <v>0</v>
      </c>
      <c r="BC54" s="6">
        <v>0</v>
      </c>
      <c r="BD54" s="6">
        <v>0</v>
      </c>
      <c r="BE54" s="6">
        <v>0</v>
      </c>
      <c r="BF54" s="6">
        <v>0</v>
      </c>
      <c r="BG54" s="6" t="s">
        <v>1564</v>
      </c>
      <c r="BH54" s="6">
        <v>0</v>
      </c>
      <c r="BI54" s="6">
        <v>0</v>
      </c>
      <c r="BJ54" s="6">
        <v>0</v>
      </c>
      <c r="BK54" s="6">
        <v>0</v>
      </c>
      <c r="BL54" s="6" t="b">
        <v>0</v>
      </c>
      <c r="BM54" s="6">
        <v>0</v>
      </c>
      <c r="BN54" s="6">
        <v>0</v>
      </c>
      <c r="BO54" s="6">
        <v>0</v>
      </c>
      <c r="BP54" s="6">
        <v>0</v>
      </c>
      <c r="BQ54" s="6">
        <v>0</v>
      </c>
      <c r="BR54" s="6">
        <v>0</v>
      </c>
      <c r="BS54" s="6">
        <v>0</v>
      </c>
      <c r="BT54" s="6">
        <v>0</v>
      </c>
      <c r="BU54" s="6">
        <v>0</v>
      </c>
      <c r="BV54" s="6">
        <v>0</v>
      </c>
      <c r="BW54" s="6">
        <v>0</v>
      </c>
      <c r="BX54" s="6">
        <v>0</v>
      </c>
      <c r="BY54" s="6">
        <v>0</v>
      </c>
      <c r="BZ54" s="6">
        <v>0</v>
      </c>
      <c r="CA54" s="6">
        <v>0</v>
      </c>
      <c r="CB54" s="6">
        <v>0</v>
      </c>
      <c r="CC54" s="6" t="b">
        <v>0</v>
      </c>
      <c r="CD54" s="6">
        <v>0</v>
      </c>
      <c r="CE54" s="6" t="b">
        <v>0</v>
      </c>
      <c r="CF54" s="6">
        <v>0</v>
      </c>
      <c r="CG54" s="6">
        <v>0</v>
      </c>
      <c r="CH54" s="6">
        <v>0</v>
      </c>
      <c r="CI54" s="6">
        <v>0</v>
      </c>
      <c r="CJ54" s="6" t="b">
        <v>0</v>
      </c>
      <c r="CK54" s="6" t="b">
        <v>0</v>
      </c>
      <c r="CL54" s="6">
        <v>0</v>
      </c>
      <c r="CM54" s="6" t="b">
        <v>0</v>
      </c>
      <c r="CN54" s="6"/>
      <c r="CO54" s="6"/>
      <c r="CP54" s="6"/>
      <c r="CQ54" s="6"/>
      <c r="CR54" s="6"/>
      <c r="CS54" s="6"/>
      <c r="CT54" s="6"/>
      <c r="CU54" s="6"/>
      <c r="CV54" s="6"/>
      <c r="CW54" s="6"/>
      <c r="CX54" s="6"/>
      <c r="CY54" s="6"/>
      <c r="CZ54" s="6"/>
      <c r="DA54" s="6"/>
      <c r="DB54" s="6"/>
      <c r="DC54" s="6"/>
      <c r="DD54" s="6"/>
      <c r="DE54" s="6"/>
      <c r="DF54" s="6"/>
      <c r="DG54" s="6"/>
      <c r="DH54" s="6"/>
      <c r="DI54" s="6"/>
    </row>
    <row r="55" spans="1:113" x14ac:dyDescent="0.25">
      <c r="A55" s="6" t="s">
        <v>804</v>
      </c>
      <c r="B55" s="6">
        <v>1</v>
      </c>
      <c r="C55" s="6">
        <v>0</v>
      </c>
      <c r="D55" s="6">
        <v>0</v>
      </c>
      <c r="E55" s="6">
        <v>0</v>
      </c>
      <c r="F55" s="6">
        <v>0</v>
      </c>
      <c r="G55" s="6">
        <v>0</v>
      </c>
      <c r="H55" s="6">
        <v>0</v>
      </c>
      <c r="I55" s="6">
        <v>0</v>
      </c>
      <c r="J55" s="6">
        <v>0</v>
      </c>
      <c r="K55" s="6">
        <v>0</v>
      </c>
      <c r="L55" s="6">
        <v>0</v>
      </c>
      <c r="M55" s="6">
        <v>0</v>
      </c>
      <c r="N55" s="6">
        <v>0</v>
      </c>
      <c r="O55" s="6">
        <v>0</v>
      </c>
      <c r="P55" s="6">
        <v>0</v>
      </c>
      <c r="Q55" s="6">
        <v>0</v>
      </c>
      <c r="R55" s="6">
        <v>0</v>
      </c>
      <c r="S55" s="6">
        <v>0</v>
      </c>
      <c r="T55" s="6">
        <v>0</v>
      </c>
      <c r="U55" s="6">
        <v>0</v>
      </c>
      <c r="V55" s="6">
        <v>0</v>
      </c>
      <c r="W55" s="6">
        <v>0</v>
      </c>
      <c r="X55" s="6">
        <v>0</v>
      </c>
      <c r="Y55" s="6">
        <v>0</v>
      </c>
      <c r="Z55" s="6">
        <v>0</v>
      </c>
      <c r="AA55" s="6">
        <v>0</v>
      </c>
      <c r="AB55" s="6">
        <v>0</v>
      </c>
      <c r="AC55" s="6">
        <v>0</v>
      </c>
      <c r="AD55" s="6">
        <v>0</v>
      </c>
      <c r="AE55" s="6">
        <v>0</v>
      </c>
      <c r="AF55" s="6">
        <v>0</v>
      </c>
      <c r="AG55" s="6">
        <v>0</v>
      </c>
      <c r="AH55" s="6">
        <v>0</v>
      </c>
      <c r="AI55" s="6">
        <v>0</v>
      </c>
      <c r="AJ55" s="6">
        <v>0</v>
      </c>
      <c r="AK55" s="6">
        <v>0</v>
      </c>
      <c r="AL55" s="6">
        <v>0</v>
      </c>
      <c r="AM55" s="6">
        <v>0</v>
      </c>
      <c r="AN55" s="6">
        <v>0</v>
      </c>
      <c r="AO55" s="6">
        <v>0</v>
      </c>
      <c r="AP55" s="6">
        <v>0</v>
      </c>
      <c r="AQ55" s="6">
        <v>0</v>
      </c>
      <c r="AR55" s="6">
        <v>0</v>
      </c>
      <c r="AS55" s="6">
        <v>0</v>
      </c>
      <c r="AT55" s="6" t="s">
        <v>862</v>
      </c>
      <c r="AU55" s="6" t="s">
        <v>862</v>
      </c>
      <c r="AV55" s="6" t="s">
        <v>862</v>
      </c>
      <c r="AW55" s="6" t="s">
        <v>862</v>
      </c>
      <c r="AX55" s="6">
        <v>0</v>
      </c>
      <c r="AY55" s="6" t="b">
        <v>0</v>
      </c>
      <c r="AZ55" s="6">
        <v>0</v>
      </c>
      <c r="BA55" s="6" t="b">
        <v>0</v>
      </c>
      <c r="BB55" s="6">
        <v>0</v>
      </c>
      <c r="BC55" s="6">
        <v>0</v>
      </c>
      <c r="BD55" s="6">
        <v>0</v>
      </c>
      <c r="BE55" s="6">
        <v>0</v>
      </c>
      <c r="BF55" s="6">
        <v>0</v>
      </c>
      <c r="BG55" s="6" t="s">
        <v>1564</v>
      </c>
      <c r="BH55" s="6">
        <v>0</v>
      </c>
      <c r="BI55" s="6">
        <v>0</v>
      </c>
      <c r="BJ55" s="6">
        <v>0</v>
      </c>
      <c r="BK55" s="6">
        <v>0</v>
      </c>
      <c r="BL55" s="6" t="b">
        <v>0</v>
      </c>
      <c r="BM55" s="6">
        <v>0</v>
      </c>
      <c r="BN55" s="6">
        <v>0</v>
      </c>
      <c r="BO55" s="6">
        <v>0</v>
      </c>
      <c r="BP55" s="6">
        <v>0</v>
      </c>
      <c r="BQ55" s="6">
        <v>0</v>
      </c>
      <c r="BR55" s="6">
        <v>0</v>
      </c>
      <c r="BS55" s="6">
        <v>0</v>
      </c>
      <c r="BT55" s="6">
        <v>0</v>
      </c>
      <c r="BU55" s="6">
        <v>0</v>
      </c>
      <c r="BV55" s="6">
        <v>0</v>
      </c>
      <c r="BW55" s="6">
        <v>0</v>
      </c>
      <c r="BX55" s="6">
        <v>0</v>
      </c>
      <c r="BY55" s="6">
        <v>0</v>
      </c>
      <c r="BZ55" s="6">
        <v>0</v>
      </c>
      <c r="CA55" s="6">
        <v>0</v>
      </c>
      <c r="CB55" s="6">
        <v>0</v>
      </c>
      <c r="CC55" s="6" t="b">
        <v>0</v>
      </c>
      <c r="CD55" s="6">
        <v>0</v>
      </c>
      <c r="CE55" s="6" t="b">
        <v>0</v>
      </c>
      <c r="CF55" s="6">
        <v>0</v>
      </c>
      <c r="CG55" s="6">
        <v>0</v>
      </c>
      <c r="CH55" s="6">
        <v>0</v>
      </c>
      <c r="CI55" s="6">
        <v>0</v>
      </c>
      <c r="CJ55" s="6" t="b">
        <v>0</v>
      </c>
      <c r="CK55" s="6" t="b">
        <v>0</v>
      </c>
      <c r="CL55" s="6">
        <v>0</v>
      </c>
      <c r="CM55" s="6" t="b">
        <v>0</v>
      </c>
      <c r="CN55" s="6"/>
      <c r="CO55" s="6"/>
      <c r="CP55" s="6"/>
      <c r="CQ55" s="6"/>
      <c r="CR55" s="6"/>
      <c r="CS55" s="6"/>
      <c r="CT55" s="6"/>
      <c r="CU55" s="6"/>
      <c r="CV55" s="6"/>
      <c r="CW55" s="6"/>
      <c r="CX55" s="6"/>
      <c r="CY55" s="6"/>
      <c r="CZ55" s="6"/>
      <c r="DA55" s="6"/>
      <c r="DB55" s="6"/>
      <c r="DC55" s="6"/>
      <c r="DD55" s="6"/>
      <c r="DE55" s="6"/>
      <c r="DF55" s="6"/>
      <c r="DG55" s="6"/>
      <c r="DH55" s="6"/>
      <c r="DI55" s="6"/>
    </row>
    <row r="56" spans="1:113" x14ac:dyDescent="0.25">
      <c r="A56" s="6" t="s">
        <v>803</v>
      </c>
      <c r="B56" s="6">
        <v>1</v>
      </c>
      <c r="C56" s="6">
        <v>0</v>
      </c>
      <c r="D56" s="6">
        <v>0</v>
      </c>
      <c r="E56" s="6">
        <v>0</v>
      </c>
      <c r="F56" s="6">
        <v>0</v>
      </c>
      <c r="G56" s="6">
        <v>0</v>
      </c>
      <c r="H56" s="6">
        <v>0</v>
      </c>
      <c r="I56" s="6">
        <v>0</v>
      </c>
      <c r="J56" s="6">
        <v>0</v>
      </c>
      <c r="K56" s="6">
        <v>0</v>
      </c>
      <c r="L56" s="6">
        <v>0</v>
      </c>
      <c r="M56" s="6">
        <v>0</v>
      </c>
      <c r="N56" s="6">
        <v>0</v>
      </c>
      <c r="O56" s="6">
        <v>0</v>
      </c>
      <c r="P56" s="6">
        <v>0</v>
      </c>
      <c r="Q56" s="6">
        <v>0</v>
      </c>
      <c r="R56" s="6">
        <v>0</v>
      </c>
      <c r="S56" s="6">
        <v>0</v>
      </c>
      <c r="T56" s="6">
        <v>0</v>
      </c>
      <c r="U56" s="6">
        <v>0</v>
      </c>
      <c r="V56" s="6">
        <v>0</v>
      </c>
      <c r="W56" s="6">
        <v>0</v>
      </c>
      <c r="X56" s="6">
        <v>0</v>
      </c>
      <c r="Y56" s="6">
        <v>0</v>
      </c>
      <c r="Z56" s="6">
        <v>0</v>
      </c>
      <c r="AA56" s="6">
        <v>0</v>
      </c>
      <c r="AB56" s="6">
        <v>0</v>
      </c>
      <c r="AC56" s="6">
        <v>0</v>
      </c>
      <c r="AD56" s="6">
        <v>0</v>
      </c>
      <c r="AE56" s="6">
        <v>0</v>
      </c>
      <c r="AF56" s="6">
        <v>0</v>
      </c>
      <c r="AG56" s="6">
        <v>0</v>
      </c>
      <c r="AH56" s="6">
        <v>0</v>
      </c>
      <c r="AI56" s="6">
        <v>0</v>
      </c>
      <c r="AJ56" s="6">
        <v>0</v>
      </c>
      <c r="AK56" s="6">
        <v>0</v>
      </c>
      <c r="AL56" s="6">
        <v>0</v>
      </c>
      <c r="AM56" s="6">
        <v>0</v>
      </c>
      <c r="AN56" s="6">
        <v>0</v>
      </c>
      <c r="AO56" s="6">
        <v>0</v>
      </c>
      <c r="AP56" s="6">
        <v>0</v>
      </c>
      <c r="AQ56" s="6">
        <v>0</v>
      </c>
      <c r="AR56" s="6">
        <v>0</v>
      </c>
      <c r="AS56" s="6">
        <v>0</v>
      </c>
      <c r="AT56" s="6" t="s">
        <v>862</v>
      </c>
      <c r="AU56" s="6" t="s">
        <v>862</v>
      </c>
      <c r="AV56" s="6" t="s">
        <v>862</v>
      </c>
      <c r="AW56" s="6" t="s">
        <v>862</v>
      </c>
      <c r="AX56" s="6">
        <v>0</v>
      </c>
      <c r="AY56" s="6" t="b">
        <v>0</v>
      </c>
      <c r="AZ56" s="6">
        <v>0</v>
      </c>
      <c r="BA56" s="6" t="b">
        <v>0</v>
      </c>
      <c r="BB56" s="6">
        <v>0</v>
      </c>
      <c r="BC56" s="6">
        <v>0</v>
      </c>
      <c r="BD56" s="6">
        <v>0</v>
      </c>
      <c r="BE56" s="6">
        <v>0</v>
      </c>
      <c r="BF56" s="6">
        <v>0</v>
      </c>
      <c r="BG56" s="6" t="s">
        <v>1564</v>
      </c>
      <c r="BH56" s="6">
        <v>0</v>
      </c>
      <c r="BI56" s="6">
        <v>0</v>
      </c>
      <c r="BJ56" s="6">
        <v>0</v>
      </c>
      <c r="BK56" s="6">
        <v>0</v>
      </c>
      <c r="BL56" s="6" t="b">
        <v>0</v>
      </c>
      <c r="BM56" s="6">
        <v>0</v>
      </c>
      <c r="BN56" s="6">
        <v>0</v>
      </c>
      <c r="BO56" s="6">
        <v>0</v>
      </c>
      <c r="BP56" s="6">
        <v>0</v>
      </c>
      <c r="BQ56" s="6">
        <v>0</v>
      </c>
      <c r="BR56" s="6">
        <v>0</v>
      </c>
      <c r="BS56" s="6">
        <v>0</v>
      </c>
      <c r="BT56" s="6">
        <v>0</v>
      </c>
      <c r="BU56" s="6">
        <v>0</v>
      </c>
      <c r="BV56" s="6">
        <v>0</v>
      </c>
      <c r="BW56" s="6">
        <v>0</v>
      </c>
      <c r="BX56" s="6">
        <v>0</v>
      </c>
      <c r="BY56" s="6">
        <v>0</v>
      </c>
      <c r="BZ56" s="6">
        <v>0</v>
      </c>
      <c r="CA56" s="6">
        <v>0</v>
      </c>
      <c r="CB56" s="6">
        <v>0</v>
      </c>
      <c r="CC56" s="6" t="b">
        <v>0</v>
      </c>
      <c r="CD56" s="6">
        <v>0</v>
      </c>
      <c r="CE56" s="6" t="b">
        <v>0</v>
      </c>
      <c r="CF56" s="6">
        <v>0</v>
      </c>
      <c r="CG56" s="6">
        <v>0</v>
      </c>
      <c r="CH56" s="6">
        <v>0</v>
      </c>
      <c r="CI56" s="6">
        <v>0</v>
      </c>
      <c r="CJ56" s="6" t="b">
        <v>0</v>
      </c>
      <c r="CK56" s="6" t="b">
        <v>0</v>
      </c>
      <c r="CL56" s="6">
        <v>0</v>
      </c>
      <c r="CM56" s="6" t="b">
        <v>0</v>
      </c>
      <c r="CN56" s="6"/>
      <c r="CO56" s="6"/>
      <c r="CP56" s="6"/>
      <c r="CQ56" s="6"/>
      <c r="CR56" s="6"/>
      <c r="CS56" s="6"/>
      <c r="CT56" s="6"/>
      <c r="CU56" s="6"/>
      <c r="CV56" s="6"/>
      <c r="CW56" s="6"/>
      <c r="CX56" s="6"/>
      <c r="CY56" s="6"/>
      <c r="CZ56" s="6"/>
      <c r="DA56" s="6"/>
      <c r="DB56" s="6"/>
      <c r="DC56" s="6"/>
      <c r="DD56" s="6"/>
      <c r="DE56" s="6"/>
      <c r="DF56" s="6"/>
      <c r="DG56" s="6"/>
      <c r="DH56" s="6"/>
      <c r="DI56" s="6"/>
    </row>
    <row r="57" spans="1:113" x14ac:dyDescent="0.25">
      <c r="A57" s="6" t="s">
        <v>915</v>
      </c>
      <c r="B57" s="6">
        <v>1</v>
      </c>
      <c r="C57" s="6">
        <v>0</v>
      </c>
      <c r="D57" s="6">
        <v>0</v>
      </c>
      <c r="E57" s="6">
        <v>0</v>
      </c>
      <c r="F57" s="6">
        <v>0</v>
      </c>
      <c r="G57" s="6">
        <v>0</v>
      </c>
      <c r="H57" s="6">
        <v>0</v>
      </c>
      <c r="I57" s="6">
        <v>0</v>
      </c>
      <c r="J57" s="6">
        <v>0</v>
      </c>
      <c r="K57" s="6">
        <v>0</v>
      </c>
      <c r="L57" s="6">
        <v>0</v>
      </c>
      <c r="M57" s="6">
        <v>0</v>
      </c>
      <c r="N57" s="6">
        <v>0</v>
      </c>
      <c r="O57" s="6">
        <v>0</v>
      </c>
      <c r="P57" s="6">
        <v>0</v>
      </c>
      <c r="Q57" s="6">
        <v>0</v>
      </c>
      <c r="R57" s="6">
        <v>0</v>
      </c>
      <c r="S57" s="6">
        <v>0</v>
      </c>
      <c r="T57" s="6">
        <v>0</v>
      </c>
      <c r="U57" s="6">
        <v>0</v>
      </c>
      <c r="V57" s="6">
        <v>0</v>
      </c>
      <c r="W57" s="6">
        <v>0</v>
      </c>
      <c r="X57" s="6">
        <v>0</v>
      </c>
      <c r="Y57" s="6">
        <v>0</v>
      </c>
      <c r="Z57" s="6">
        <v>0</v>
      </c>
      <c r="AA57" s="6">
        <v>0</v>
      </c>
      <c r="AB57" s="6">
        <v>0</v>
      </c>
      <c r="AC57" s="6">
        <v>0</v>
      </c>
      <c r="AD57" s="6">
        <v>0</v>
      </c>
      <c r="AE57" s="6">
        <v>0</v>
      </c>
      <c r="AF57" s="6">
        <v>0</v>
      </c>
      <c r="AG57" s="6">
        <v>0</v>
      </c>
      <c r="AH57" s="6">
        <v>0</v>
      </c>
      <c r="AI57" s="6">
        <v>0</v>
      </c>
      <c r="AJ57" s="6">
        <v>0</v>
      </c>
      <c r="AK57" s="6">
        <v>0</v>
      </c>
      <c r="AL57" s="6">
        <v>0</v>
      </c>
      <c r="AM57" s="6">
        <v>0</v>
      </c>
      <c r="AN57" s="6">
        <v>0</v>
      </c>
      <c r="AO57" s="6">
        <v>0</v>
      </c>
      <c r="AP57" s="6">
        <v>0</v>
      </c>
      <c r="AQ57" s="6">
        <v>0</v>
      </c>
      <c r="AR57" s="6">
        <v>0</v>
      </c>
      <c r="AS57" s="6">
        <v>0</v>
      </c>
      <c r="AT57" s="6" t="s">
        <v>862</v>
      </c>
      <c r="AU57" s="6" t="s">
        <v>862</v>
      </c>
      <c r="AV57" s="6" t="s">
        <v>862</v>
      </c>
      <c r="AW57" s="6" t="s">
        <v>862</v>
      </c>
      <c r="AX57" s="6">
        <v>0</v>
      </c>
      <c r="AY57" s="6" t="b">
        <v>0</v>
      </c>
      <c r="AZ57" s="6">
        <v>0</v>
      </c>
      <c r="BA57" s="6" t="b">
        <v>0</v>
      </c>
      <c r="BB57" s="6">
        <v>0</v>
      </c>
      <c r="BC57" s="6">
        <v>0</v>
      </c>
      <c r="BD57" s="6">
        <v>0</v>
      </c>
      <c r="BE57" s="6">
        <v>0</v>
      </c>
      <c r="BF57" s="6">
        <v>0</v>
      </c>
      <c r="BG57" s="6" t="s">
        <v>1564</v>
      </c>
      <c r="BH57" s="6">
        <v>0</v>
      </c>
      <c r="BI57" s="6">
        <v>0</v>
      </c>
      <c r="BJ57" s="6">
        <v>0</v>
      </c>
      <c r="BK57" s="6">
        <v>0</v>
      </c>
      <c r="BL57" s="6" t="b">
        <v>0</v>
      </c>
      <c r="BM57" s="6">
        <v>0</v>
      </c>
      <c r="BN57" s="6">
        <v>0</v>
      </c>
      <c r="BO57" s="6">
        <v>0</v>
      </c>
      <c r="BP57" s="6">
        <v>0</v>
      </c>
      <c r="BQ57" s="6">
        <v>0</v>
      </c>
      <c r="BR57" s="6">
        <v>0</v>
      </c>
      <c r="BS57" s="6">
        <v>0</v>
      </c>
      <c r="BT57" s="6">
        <v>0</v>
      </c>
      <c r="BU57" s="6">
        <v>0</v>
      </c>
      <c r="BV57" s="6">
        <v>0</v>
      </c>
      <c r="BW57" s="6">
        <v>0</v>
      </c>
      <c r="BX57" s="6">
        <v>0</v>
      </c>
      <c r="BY57" s="6">
        <v>0</v>
      </c>
      <c r="BZ57" s="6">
        <v>0</v>
      </c>
      <c r="CA57" s="6">
        <v>0</v>
      </c>
      <c r="CB57" s="6">
        <v>0</v>
      </c>
      <c r="CC57" s="6" t="b">
        <v>0</v>
      </c>
      <c r="CD57" s="6">
        <v>0</v>
      </c>
      <c r="CE57" s="6" t="b">
        <v>0</v>
      </c>
      <c r="CF57" s="6">
        <v>0</v>
      </c>
      <c r="CG57" s="6">
        <v>0</v>
      </c>
      <c r="CH57" s="6">
        <v>0</v>
      </c>
      <c r="CI57" s="6">
        <v>0</v>
      </c>
      <c r="CJ57" s="6" t="b">
        <v>0</v>
      </c>
      <c r="CK57" s="6" t="b">
        <v>0</v>
      </c>
      <c r="CL57" s="6">
        <v>0</v>
      </c>
      <c r="CM57" s="6" t="b">
        <v>0</v>
      </c>
      <c r="CN57" s="6"/>
      <c r="CO57" s="6"/>
      <c r="CP57" s="6"/>
      <c r="CQ57" s="6"/>
      <c r="CR57" s="6"/>
      <c r="CS57" s="6"/>
      <c r="CT57" s="6"/>
      <c r="CU57" s="6"/>
      <c r="CV57" s="6"/>
      <c r="CW57" s="6"/>
      <c r="CX57" s="6"/>
      <c r="CY57" s="6"/>
      <c r="CZ57" s="6"/>
      <c r="DA57" s="6"/>
      <c r="DB57" s="6"/>
      <c r="DC57" s="6"/>
      <c r="DD57" s="6"/>
      <c r="DE57" s="6"/>
      <c r="DF57" s="6"/>
      <c r="DG57" s="6"/>
      <c r="DH57" s="6"/>
      <c r="DI57" s="6"/>
    </row>
    <row r="58" spans="1:113" x14ac:dyDescent="0.25">
      <c r="A58" s="6" t="s">
        <v>916</v>
      </c>
      <c r="B58" s="6">
        <v>1</v>
      </c>
      <c r="C58" s="6">
        <v>0</v>
      </c>
      <c r="D58" s="6">
        <v>0</v>
      </c>
      <c r="E58" s="6">
        <v>0</v>
      </c>
      <c r="F58" s="6">
        <v>0</v>
      </c>
      <c r="G58" s="6">
        <v>0</v>
      </c>
      <c r="H58" s="6">
        <v>0</v>
      </c>
      <c r="I58" s="6">
        <v>0</v>
      </c>
      <c r="J58" s="6">
        <v>0</v>
      </c>
      <c r="K58" s="6">
        <v>0</v>
      </c>
      <c r="L58" s="6">
        <v>0</v>
      </c>
      <c r="M58" s="6">
        <v>0</v>
      </c>
      <c r="N58" s="6">
        <v>0</v>
      </c>
      <c r="O58" s="6">
        <v>0</v>
      </c>
      <c r="P58" s="6">
        <v>0</v>
      </c>
      <c r="Q58" s="6">
        <v>0</v>
      </c>
      <c r="R58" s="6">
        <v>0</v>
      </c>
      <c r="S58" s="6">
        <v>0</v>
      </c>
      <c r="T58" s="6">
        <v>0</v>
      </c>
      <c r="U58" s="6">
        <v>0</v>
      </c>
      <c r="V58" s="6">
        <v>0</v>
      </c>
      <c r="W58" s="6">
        <v>0</v>
      </c>
      <c r="X58" s="6">
        <v>0</v>
      </c>
      <c r="Y58" s="6">
        <v>0</v>
      </c>
      <c r="Z58" s="6">
        <v>0</v>
      </c>
      <c r="AA58" s="6">
        <v>0</v>
      </c>
      <c r="AB58" s="6">
        <v>0</v>
      </c>
      <c r="AC58" s="6">
        <v>0</v>
      </c>
      <c r="AD58" s="6">
        <v>0</v>
      </c>
      <c r="AE58" s="6">
        <v>0</v>
      </c>
      <c r="AF58" s="6">
        <v>0</v>
      </c>
      <c r="AG58" s="6">
        <v>0</v>
      </c>
      <c r="AH58" s="6">
        <v>0</v>
      </c>
      <c r="AI58" s="6">
        <v>0</v>
      </c>
      <c r="AJ58" s="6">
        <v>0</v>
      </c>
      <c r="AK58" s="6">
        <v>0</v>
      </c>
      <c r="AL58" s="6">
        <v>0</v>
      </c>
      <c r="AM58" s="6">
        <v>0</v>
      </c>
      <c r="AN58" s="6">
        <v>0</v>
      </c>
      <c r="AO58" s="6">
        <v>0</v>
      </c>
      <c r="AP58" s="6">
        <v>0</v>
      </c>
      <c r="AQ58" s="6">
        <v>0</v>
      </c>
      <c r="AR58" s="6">
        <v>0</v>
      </c>
      <c r="AS58" s="6">
        <v>0</v>
      </c>
      <c r="AT58" s="6" t="s">
        <v>862</v>
      </c>
      <c r="AU58" s="6" t="s">
        <v>862</v>
      </c>
      <c r="AV58" s="6" t="s">
        <v>862</v>
      </c>
      <c r="AW58" s="6" t="s">
        <v>862</v>
      </c>
      <c r="AX58" s="6">
        <v>0</v>
      </c>
      <c r="AY58" s="6" t="b">
        <v>0</v>
      </c>
      <c r="AZ58" s="6">
        <v>0</v>
      </c>
      <c r="BA58" s="6" t="b">
        <v>0</v>
      </c>
      <c r="BB58" s="6">
        <v>0</v>
      </c>
      <c r="BC58" s="6">
        <v>0</v>
      </c>
      <c r="BD58" s="6">
        <v>0</v>
      </c>
      <c r="BE58" s="6">
        <v>0</v>
      </c>
      <c r="BF58" s="6">
        <v>0</v>
      </c>
      <c r="BG58" s="6" t="s">
        <v>1564</v>
      </c>
      <c r="BH58" s="6">
        <v>0</v>
      </c>
      <c r="BI58" s="6">
        <v>0</v>
      </c>
      <c r="BJ58" s="6">
        <v>0</v>
      </c>
      <c r="BK58" s="6">
        <v>0</v>
      </c>
      <c r="BL58" s="6" t="b">
        <v>0</v>
      </c>
      <c r="BM58" s="6">
        <v>0</v>
      </c>
      <c r="BN58" s="6">
        <v>0</v>
      </c>
      <c r="BO58" s="6">
        <v>0</v>
      </c>
      <c r="BP58" s="6">
        <v>0</v>
      </c>
      <c r="BQ58" s="6">
        <v>0</v>
      </c>
      <c r="BR58" s="6">
        <v>0</v>
      </c>
      <c r="BS58" s="6">
        <v>0</v>
      </c>
      <c r="BT58" s="6">
        <v>0</v>
      </c>
      <c r="BU58" s="6">
        <v>0</v>
      </c>
      <c r="BV58" s="6">
        <v>0</v>
      </c>
      <c r="BW58" s="6">
        <v>0</v>
      </c>
      <c r="BX58" s="6">
        <v>0</v>
      </c>
      <c r="BY58" s="6">
        <v>0</v>
      </c>
      <c r="BZ58" s="6">
        <v>0</v>
      </c>
      <c r="CA58" s="6">
        <v>0</v>
      </c>
      <c r="CB58" s="6">
        <v>0</v>
      </c>
      <c r="CC58" s="6" t="b">
        <v>0</v>
      </c>
      <c r="CD58" s="6">
        <v>0</v>
      </c>
      <c r="CE58" s="6" t="b">
        <v>0</v>
      </c>
      <c r="CF58" s="6">
        <v>0</v>
      </c>
      <c r="CG58" s="6">
        <v>0</v>
      </c>
      <c r="CH58" s="6">
        <v>0</v>
      </c>
      <c r="CI58" s="6">
        <v>0</v>
      </c>
      <c r="CJ58" s="6" t="b">
        <v>0</v>
      </c>
      <c r="CK58" s="6" t="b">
        <v>0</v>
      </c>
      <c r="CL58" s="6">
        <v>0</v>
      </c>
      <c r="CM58" s="6" t="b">
        <v>0</v>
      </c>
      <c r="CN58" s="6"/>
      <c r="CO58" s="6"/>
      <c r="CP58" s="6"/>
      <c r="CQ58" s="6"/>
      <c r="CR58" s="6"/>
      <c r="CS58" s="6"/>
      <c r="CT58" s="6"/>
      <c r="CU58" s="6"/>
      <c r="CV58" s="6"/>
      <c r="CW58" s="6"/>
      <c r="CX58" s="6"/>
      <c r="CY58" s="6"/>
      <c r="CZ58" s="6"/>
      <c r="DA58" s="6"/>
      <c r="DB58" s="6"/>
      <c r="DC58" s="6"/>
      <c r="DD58" s="6"/>
      <c r="DE58" s="6"/>
      <c r="DF58" s="6"/>
      <c r="DG58" s="6"/>
      <c r="DH58" s="6"/>
      <c r="DI58" s="6"/>
    </row>
    <row r="59" spans="1:113" x14ac:dyDescent="0.25">
      <c r="A59" s="6" t="s">
        <v>917</v>
      </c>
      <c r="B59" s="6">
        <v>1</v>
      </c>
      <c r="C59" s="6">
        <v>0</v>
      </c>
      <c r="D59" s="6">
        <v>0</v>
      </c>
      <c r="E59" s="6">
        <v>0</v>
      </c>
      <c r="F59" s="6">
        <v>0</v>
      </c>
      <c r="G59" s="6">
        <v>0</v>
      </c>
      <c r="H59" s="6">
        <v>0</v>
      </c>
      <c r="I59" s="6">
        <v>0</v>
      </c>
      <c r="J59" s="6">
        <v>0</v>
      </c>
      <c r="K59" s="6">
        <v>0</v>
      </c>
      <c r="L59" s="6">
        <v>0</v>
      </c>
      <c r="M59" s="6">
        <v>0</v>
      </c>
      <c r="N59" s="6">
        <v>0</v>
      </c>
      <c r="O59" s="6">
        <v>0</v>
      </c>
      <c r="P59" s="6">
        <v>0</v>
      </c>
      <c r="Q59" s="6">
        <v>0</v>
      </c>
      <c r="R59" s="6">
        <v>0</v>
      </c>
      <c r="S59" s="6">
        <v>0</v>
      </c>
      <c r="T59" s="6">
        <v>0</v>
      </c>
      <c r="U59" s="6">
        <v>0</v>
      </c>
      <c r="V59" s="6">
        <v>0</v>
      </c>
      <c r="W59" s="6">
        <v>0</v>
      </c>
      <c r="X59" s="6">
        <v>0</v>
      </c>
      <c r="Y59" s="6">
        <v>0</v>
      </c>
      <c r="Z59" s="6">
        <v>0</v>
      </c>
      <c r="AA59" s="6">
        <v>0</v>
      </c>
      <c r="AB59" s="6">
        <v>0</v>
      </c>
      <c r="AC59" s="6">
        <v>0</v>
      </c>
      <c r="AD59" s="6">
        <v>0</v>
      </c>
      <c r="AE59" s="6">
        <v>0</v>
      </c>
      <c r="AF59" s="6">
        <v>0</v>
      </c>
      <c r="AG59" s="6">
        <v>0</v>
      </c>
      <c r="AH59" s="6">
        <v>0</v>
      </c>
      <c r="AI59" s="6">
        <v>0</v>
      </c>
      <c r="AJ59" s="6">
        <v>0</v>
      </c>
      <c r="AK59" s="6">
        <v>0</v>
      </c>
      <c r="AL59" s="6">
        <v>0</v>
      </c>
      <c r="AM59" s="6">
        <v>0</v>
      </c>
      <c r="AN59" s="6">
        <v>0</v>
      </c>
      <c r="AO59" s="6">
        <v>0</v>
      </c>
      <c r="AP59" s="6">
        <v>0</v>
      </c>
      <c r="AQ59" s="6">
        <v>0</v>
      </c>
      <c r="AR59" s="6">
        <v>0</v>
      </c>
      <c r="AS59" s="6">
        <v>0</v>
      </c>
      <c r="AT59" s="6" t="s">
        <v>862</v>
      </c>
      <c r="AU59" s="6" t="s">
        <v>862</v>
      </c>
      <c r="AV59" s="6" t="s">
        <v>862</v>
      </c>
      <c r="AW59" s="6" t="s">
        <v>862</v>
      </c>
      <c r="AX59" s="6">
        <v>0</v>
      </c>
      <c r="AY59" s="6" t="b">
        <v>0</v>
      </c>
      <c r="AZ59" s="6">
        <v>0</v>
      </c>
      <c r="BA59" s="6" t="b">
        <v>0</v>
      </c>
      <c r="BB59" s="6">
        <v>0</v>
      </c>
      <c r="BC59" s="6">
        <v>0</v>
      </c>
      <c r="BD59" s="6">
        <v>0</v>
      </c>
      <c r="BE59" s="6">
        <v>0</v>
      </c>
      <c r="BF59" s="6">
        <v>0</v>
      </c>
      <c r="BG59" s="6" t="s">
        <v>1564</v>
      </c>
      <c r="BH59" s="6">
        <v>0</v>
      </c>
      <c r="BI59" s="6">
        <v>0</v>
      </c>
      <c r="BJ59" s="6">
        <v>0</v>
      </c>
      <c r="BK59" s="6">
        <v>0</v>
      </c>
      <c r="BL59" s="6" t="b">
        <v>0</v>
      </c>
      <c r="BM59" s="6">
        <v>0</v>
      </c>
      <c r="BN59" s="6">
        <v>0</v>
      </c>
      <c r="BO59" s="6">
        <v>0</v>
      </c>
      <c r="BP59" s="6">
        <v>0</v>
      </c>
      <c r="BQ59" s="6">
        <v>0</v>
      </c>
      <c r="BR59" s="6">
        <v>0</v>
      </c>
      <c r="BS59" s="6">
        <v>0</v>
      </c>
      <c r="BT59" s="6">
        <v>0</v>
      </c>
      <c r="BU59" s="6">
        <v>0</v>
      </c>
      <c r="BV59" s="6">
        <v>0</v>
      </c>
      <c r="BW59" s="6">
        <v>0</v>
      </c>
      <c r="BX59" s="6">
        <v>0</v>
      </c>
      <c r="BY59" s="6">
        <v>0</v>
      </c>
      <c r="BZ59" s="6">
        <v>0</v>
      </c>
      <c r="CA59" s="6">
        <v>0</v>
      </c>
      <c r="CB59" s="6">
        <v>0</v>
      </c>
      <c r="CC59" s="6" t="b">
        <v>0</v>
      </c>
      <c r="CD59" s="6">
        <v>0</v>
      </c>
      <c r="CE59" s="6" t="b">
        <v>0</v>
      </c>
      <c r="CF59" s="6">
        <v>0</v>
      </c>
      <c r="CG59" s="6">
        <v>0</v>
      </c>
      <c r="CH59" s="6">
        <v>0</v>
      </c>
      <c r="CI59" s="6">
        <v>0</v>
      </c>
      <c r="CJ59" s="6" t="b">
        <v>0</v>
      </c>
      <c r="CK59" s="6" t="b">
        <v>0</v>
      </c>
      <c r="CL59" s="6">
        <v>0</v>
      </c>
      <c r="CM59" s="6" t="b">
        <v>0</v>
      </c>
      <c r="CN59" s="6"/>
      <c r="CO59" s="6"/>
      <c r="CP59" s="6"/>
      <c r="CQ59" s="6"/>
      <c r="CR59" s="6"/>
      <c r="CS59" s="6"/>
      <c r="CT59" s="6"/>
      <c r="CU59" s="6"/>
      <c r="CV59" s="6"/>
      <c r="CW59" s="6"/>
      <c r="CX59" s="6"/>
      <c r="CY59" s="6"/>
      <c r="CZ59" s="6"/>
      <c r="DA59" s="6"/>
      <c r="DB59" s="6"/>
      <c r="DC59" s="6"/>
      <c r="DD59" s="6"/>
      <c r="DE59" s="6"/>
      <c r="DF59" s="6"/>
      <c r="DG59" s="6"/>
      <c r="DH59" s="6"/>
      <c r="DI59" s="6"/>
    </row>
    <row r="60" spans="1:113" x14ac:dyDescent="0.25">
      <c r="A60" s="6" t="s">
        <v>918</v>
      </c>
      <c r="B60" s="6">
        <v>1</v>
      </c>
      <c r="C60" s="6">
        <v>0</v>
      </c>
      <c r="D60" s="6">
        <v>0</v>
      </c>
      <c r="E60" s="6">
        <v>0</v>
      </c>
      <c r="F60" s="6">
        <v>0</v>
      </c>
      <c r="G60" s="6">
        <v>0</v>
      </c>
      <c r="H60" s="6">
        <v>0</v>
      </c>
      <c r="I60" s="6">
        <v>0</v>
      </c>
      <c r="J60" s="6">
        <v>0</v>
      </c>
      <c r="K60" s="6">
        <v>0</v>
      </c>
      <c r="L60" s="6">
        <v>0</v>
      </c>
      <c r="M60" s="6">
        <v>0</v>
      </c>
      <c r="N60" s="6">
        <v>0</v>
      </c>
      <c r="O60" s="6">
        <v>0</v>
      </c>
      <c r="P60" s="6">
        <v>0</v>
      </c>
      <c r="Q60" s="6">
        <v>0</v>
      </c>
      <c r="R60" s="6">
        <v>0</v>
      </c>
      <c r="S60" s="6">
        <v>0</v>
      </c>
      <c r="T60" s="6">
        <v>0</v>
      </c>
      <c r="U60" s="6">
        <v>0</v>
      </c>
      <c r="V60" s="6">
        <v>0</v>
      </c>
      <c r="W60" s="6">
        <v>0</v>
      </c>
      <c r="X60" s="6">
        <v>0</v>
      </c>
      <c r="Y60" s="6">
        <v>0</v>
      </c>
      <c r="Z60" s="6">
        <v>0</v>
      </c>
      <c r="AA60" s="6">
        <v>0</v>
      </c>
      <c r="AB60" s="6">
        <v>0</v>
      </c>
      <c r="AC60" s="6">
        <v>0</v>
      </c>
      <c r="AD60" s="6">
        <v>0</v>
      </c>
      <c r="AE60" s="6">
        <v>0</v>
      </c>
      <c r="AF60" s="6">
        <v>0</v>
      </c>
      <c r="AG60" s="6">
        <v>0</v>
      </c>
      <c r="AH60" s="6">
        <v>0</v>
      </c>
      <c r="AI60" s="6">
        <v>0</v>
      </c>
      <c r="AJ60" s="6">
        <v>0</v>
      </c>
      <c r="AK60" s="6">
        <v>0</v>
      </c>
      <c r="AL60" s="6">
        <v>0</v>
      </c>
      <c r="AM60" s="6">
        <v>0</v>
      </c>
      <c r="AN60" s="6">
        <v>0</v>
      </c>
      <c r="AO60" s="6">
        <v>0</v>
      </c>
      <c r="AP60" s="6">
        <v>0</v>
      </c>
      <c r="AQ60" s="6">
        <v>0</v>
      </c>
      <c r="AR60" s="6">
        <v>0</v>
      </c>
      <c r="AS60" s="6">
        <v>0</v>
      </c>
      <c r="AT60" s="6" t="s">
        <v>862</v>
      </c>
      <c r="AU60" s="6" t="s">
        <v>862</v>
      </c>
      <c r="AV60" s="6" t="s">
        <v>862</v>
      </c>
      <c r="AW60" s="6" t="s">
        <v>862</v>
      </c>
      <c r="AX60" s="6">
        <v>0</v>
      </c>
      <c r="AY60" s="6" t="b">
        <v>0</v>
      </c>
      <c r="AZ60" s="6">
        <v>0</v>
      </c>
      <c r="BA60" s="6" t="b">
        <v>0</v>
      </c>
      <c r="BB60" s="6">
        <v>0</v>
      </c>
      <c r="BC60" s="6">
        <v>0</v>
      </c>
      <c r="BD60" s="6">
        <v>0</v>
      </c>
      <c r="BE60" s="6">
        <v>0</v>
      </c>
      <c r="BF60" s="6">
        <v>0</v>
      </c>
      <c r="BG60" s="6" t="s">
        <v>1564</v>
      </c>
      <c r="BH60" s="6">
        <v>0</v>
      </c>
      <c r="BI60" s="6">
        <v>0</v>
      </c>
      <c r="BJ60" s="6">
        <v>0</v>
      </c>
      <c r="BK60" s="6">
        <v>0</v>
      </c>
      <c r="BL60" s="6" t="b">
        <v>0</v>
      </c>
      <c r="BM60" s="6">
        <v>0</v>
      </c>
      <c r="BN60" s="6">
        <v>0</v>
      </c>
      <c r="BO60" s="6">
        <v>0</v>
      </c>
      <c r="BP60" s="6">
        <v>0</v>
      </c>
      <c r="BQ60" s="6">
        <v>0</v>
      </c>
      <c r="BR60" s="6">
        <v>0</v>
      </c>
      <c r="BS60" s="6">
        <v>0</v>
      </c>
      <c r="BT60" s="6">
        <v>0</v>
      </c>
      <c r="BU60" s="6">
        <v>0</v>
      </c>
      <c r="BV60" s="6">
        <v>0</v>
      </c>
      <c r="BW60" s="6">
        <v>0</v>
      </c>
      <c r="BX60" s="6">
        <v>0</v>
      </c>
      <c r="BY60" s="6">
        <v>0</v>
      </c>
      <c r="BZ60" s="6">
        <v>0</v>
      </c>
      <c r="CA60" s="6">
        <v>0</v>
      </c>
      <c r="CB60" s="6">
        <v>0</v>
      </c>
      <c r="CC60" s="6" t="b">
        <v>0</v>
      </c>
      <c r="CD60" s="6">
        <v>0</v>
      </c>
      <c r="CE60" s="6" t="b">
        <v>0</v>
      </c>
      <c r="CF60" s="6">
        <v>0</v>
      </c>
      <c r="CG60" s="6">
        <v>0</v>
      </c>
      <c r="CH60" s="6">
        <v>0</v>
      </c>
      <c r="CI60" s="6">
        <v>0</v>
      </c>
      <c r="CJ60" s="6" t="b">
        <v>0</v>
      </c>
      <c r="CK60" s="6" t="b">
        <v>0</v>
      </c>
      <c r="CL60" s="6">
        <v>0</v>
      </c>
      <c r="CM60" s="6" t="b">
        <v>0</v>
      </c>
      <c r="CN60" s="6"/>
      <c r="CO60" s="6"/>
      <c r="CP60" s="6"/>
      <c r="CQ60" s="6"/>
      <c r="CR60" s="6"/>
      <c r="CS60" s="6"/>
      <c r="CT60" s="6"/>
      <c r="CU60" s="6"/>
      <c r="CV60" s="6"/>
      <c r="CW60" s="6"/>
      <c r="CX60" s="6"/>
      <c r="CY60" s="6"/>
      <c r="CZ60" s="6"/>
      <c r="DA60" s="6"/>
      <c r="DB60" s="6"/>
      <c r="DC60" s="6"/>
      <c r="DD60" s="6"/>
      <c r="DE60" s="6"/>
      <c r="DF60" s="6"/>
      <c r="DG60" s="6"/>
      <c r="DH60" s="6"/>
      <c r="DI60" s="6"/>
    </row>
    <row r="61" spans="1:113" x14ac:dyDescent="0.25">
      <c r="A61" s="6" t="s">
        <v>919</v>
      </c>
      <c r="B61" s="6">
        <v>1</v>
      </c>
      <c r="C61" s="6">
        <v>0</v>
      </c>
      <c r="D61" s="6">
        <v>0</v>
      </c>
      <c r="E61" s="6">
        <v>0</v>
      </c>
      <c r="F61" s="6">
        <v>0</v>
      </c>
      <c r="G61" s="6">
        <v>0</v>
      </c>
      <c r="H61" s="6">
        <v>0</v>
      </c>
      <c r="I61" s="6">
        <v>0</v>
      </c>
      <c r="J61" s="6">
        <v>0</v>
      </c>
      <c r="K61" s="6">
        <v>0</v>
      </c>
      <c r="L61" s="6">
        <v>0</v>
      </c>
      <c r="M61" s="6">
        <v>0</v>
      </c>
      <c r="N61" s="6">
        <v>0</v>
      </c>
      <c r="O61" s="6">
        <v>0</v>
      </c>
      <c r="P61" s="6">
        <v>0</v>
      </c>
      <c r="Q61" s="6">
        <v>0</v>
      </c>
      <c r="R61" s="6">
        <v>0</v>
      </c>
      <c r="S61" s="6">
        <v>0</v>
      </c>
      <c r="T61" s="6">
        <v>0</v>
      </c>
      <c r="U61" s="6">
        <v>0</v>
      </c>
      <c r="V61" s="6">
        <v>0</v>
      </c>
      <c r="W61" s="6">
        <v>0</v>
      </c>
      <c r="X61" s="6">
        <v>0</v>
      </c>
      <c r="Y61" s="6">
        <v>0</v>
      </c>
      <c r="Z61" s="6">
        <v>0</v>
      </c>
      <c r="AA61" s="6">
        <v>0</v>
      </c>
      <c r="AB61" s="6">
        <v>0</v>
      </c>
      <c r="AC61" s="6">
        <v>0</v>
      </c>
      <c r="AD61" s="6">
        <v>0</v>
      </c>
      <c r="AE61" s="6">
        <v>0</v>
      </c>
      <c r="AF61" s="6">
        <v>0</v>
      </c>
      <c r="AG61" s="6">
        <v>0</v>
      </c>
      <c r="AH61" s="6">
        <v>0</v>
      </c>
      <c r="AI61" s="6">
        <v>0</v>
      </c>
      <c r="AJ61" s="6">
        <v>0</v>
      </c>
      <c r="AK61" s="6">
        <v>0</v>
      </c>
      <c r="AL61" s="6">
        <v>0</v>
      </c>
      <c r="AM61" s="6">
        <v>0</v>
      </c>
      <c r="AN61" s="6">
        <v>0</v>
      </c>
      <c r="AO61" s="6">
        <v>0</v>
      </c>
      <c r="AP61" s="6">
        <v>0</v>
      </c>
      <c r="AQ61" s="6">
        <v>0</v>
      </c>
      <c r="AR61" s="6">
        <v>0</v>
      </c>
      <c r="AS61" s="6">
        <v>0</v>
      </c>
      <c r="AT61" s="6" t="s">
        <v>862</v>
      </c>
      <c r="AU61" s="6" t="s">
        <v>862</v>
      </c>
      <c r="AV61" s="6" t="s">
        <v>862</v>
      </c>
      <c r="AW61" s="6" t="s">
        <v>862</v>
      </c>
      <c r="AX61" s="6">
        <v>0</v>
      </c>
      <c r="AY61" s="6" t="b">
        <v>0</v>
      </c>
      <c r="AZ61" s="6">
        <v>0</v>
      </c>
      <c r="BA61" s="6" t="b">
        <v>0</v>
      </c>
      <c r="BB61" s="6">
        <v>0</v>
      </c>
      <c r="BC61" s="6">
        <v>0</v>
      </c>
      <c r="BD61" s="6">
        <v>0</v>
      </c>
      <c r="BE61" s="6">
        <v>0</v>
      </c>
      <c r="BF61" s="6">
        <v>0</v>
      </c>
      <c r="BG61" s="6" t="s">
        <v>1564</v>
      </c>
      <c r="BH61" s="6">
        <v>0</v>
      </c>
      <c r="BI61" s="6">
        <v>0</v>
      </c>
      <c r="BJ61" s="6">
        <v>0</v>
      </c>
      <c r="BK61" s="6">
        <v>0</v>
      </c>
      <c r="BL61" s="6" t="b">
        <v>0</v>
      </c>
      <c r="BM61" s="6">
        <v>0</v>
      </c>
      <c r="BN61" s="6">
        <v>0</v>
      </c>
      <c r="BO61" s="6">
        <v>0</v>
      </c>
      <c r="BP61" s="6">
        <v>0</v>
      </c>
      <c r="BQ61" s="6">
        <v>0</v>
      </c>
      <c r="BR61" s="6">
        <v>0</v>
      </c>
      <c r="BS61" s="6">
        <v>0</v>
      </c>
      <c r="BT61" s="6">
        <v>0</v>
      </c>
      <c r="BU61" s="6">
        <v>0</v>
      </c>
      <c r="BV61" s="6">
        <v>0</v>
      </c>
      <c r="BW61" s="6">
        <v>0</v>
      </c>
      <c r="BX61" s="6">
        <v>0</v>
      </c>
      <c r="BY61" s="6">
        <v>0</v>
      </c>
      <c r="BZ61" s="6">
        <v>0</v>
      </c>
      <c r="CA61" s="6">
        <v>0</v>
      </c>
      <c r="CB61" s="6">
        <v>0</v>
      </c>
      <c r="CC61" s="6" t="b">
        <v>0</v>
      </c>
      <c r="CD61" s="6">
        <v>0</v>
      </c>
      <c r="CE61" s="6" t="b">
        <v>0</v>
      </c>
      <c r="CF61" s="6">
        <v>0</v>
      </c>
      <c r="CG61" s="6">
        <v>0</v>
      </c>
      <c r="CH61" s="6">
        <v>0</v>
      </c>
      <c r="CI61" s="6">
        <v>0</v>
      </c>
      <c r="CJ61" s="6" t="b">
        <v>0</v>
      </c>
      <c r="CK61" s="6" t="b">
        <v>0</v>
      </c>
      <c r="CL61" s="6">
        <v>0</v>
      </c>
      <c r="CM61" s="6" t="b">
        <v>0</v>
      </c>
      <c r="CN61" s="6"/>
      <c r="CO61" s="6"/>
      <c r="CP61" s="6"/>
      <c r="CQ61" s="6"/>
      <c r="CR61" s="6"/>
      <c r="CS61" s="6"/>
      <c r="CT61" s="6"/>
      <c r="CU61" s="6"/>
      <c r="CV61" s="6"/>
      <c r="CW61" s="6"/>
      <c r="CX61" s="6"/>
      <c r="CY61" s="6"/>
      <c r="CZ61" s="6"/>
      <c r="DA61" s="6"/>
      <c r="DB61" s="6"/>
      <c r="DC61" s="6"/>
      <c r="DD61" s="6"/>
      <c r="DE61" s="6"/>
      <c r="DF61" s="6"/>
      <c r="DG61" s="6"/>
      <c r="DH61" s="6"/>
      <c r="DI61" s="6"/>
    </row>
    <row r="62" spans="1:113" x14ac:dyDescent="0.25">
      <c r="A62" s="6" t="s">
        <v>920</v>
      </c>
      <c r="B62" s="6">
        <v>1</v>
      </c>
      <c r="C62" s="6">
        <v>0</v>
      </c>
      <c r="D62" s="6">
        <v>0</v>
      </c>
      <c r="E62" s="6">
        <v>0</v>
      </c>
      <c r="F62" s="6">
        <v>0</v>
      </c>
      <c r="G62" s="6">
        <v>0</v>
      </c>
      <c r="H62" s="6">
        <v>0</v>
      </c>
      <c r="I62" s="6">
        <v>0</v>
      </c>
      <c r="J62" s="6">
        <v>0</v>
      </c>
      <c r="K62" s="6">
        <v>0</v>
      </c>
      <c r="L62" s="6">
        <v>0</v>
      </c>
      <c r="M62" s="6">
        <v>0</v>
      </c>
      <c r="N62" s="6">
        <v>0</v>
      </c>
      <c r="O62" s="6">
        <v>0</v>
      </c>
      <c r="P62" s="6">
        <v>0</v>
      </c>
      <c r="Q62" s="6">
        <v>0</v>
      </c>
      <c r="R62" s="6">
        <v>0</v>
      </c>
      <c r="S62" s="6">
        <v>0</v>
      </c>
      <c r="T62" s="6">
        <v>0</v>
      </c>
      <c r="U62" s="6">
        <v>0</v>
      </c>
      <c r="V62" s="6">
        <v>0</v>
      </c>
      <c r="W62" s="6">
        <v>0</v>
      </c>
      <c r="X62" s="6">
        <v>0</v>
      </c>
      <c r="Y62" s="6">
        <v>0</v>
      </c>
      <c r="Z62" s="6">
        <v>0</v>
      </c>
      <c r="AA62" s="6">
        <v>0</v>
      </c>
      <c r="AB62" s="6">
        <v>0</v>
      </c>
      <c r="AC62" s="6">
        <v>0</v>
      </c>
      <c r="AD62" s="6">
        <v>0</v>
      </c>
      <c r="AE62" s="6">
        <v>0</v>
      </c>
      <c r="AF62" s="6">
        <v>0</v>
      </c>
      <c r="AG62" s="6">
        <v>0</v>
      </c>
      <c r="AH62" s="6">
        <v>0</v>
      </c>
      <c r="AI62" s="6">
        <v>0</v>
      </c>
      <c r="AJ62" s="6">
        <v>0</v>
      </c>
      <c r="AK62" s="6">
        <v>0</v>
      </c>
      <c r="AL62" s="6">
        <v>0</v>
      </c>
      <c r="AM62" s="6">
        <v>0</v>
      </c>
      <c r="AN62" s="6">
        <v>0</v>
      </c>
      <c r="AO62" s="6">
        <v>0</v>
      </c>
      <c r="AP62" s="6">
        <v>0</v>
      </c>
      <c r="AQ62" s="6">
        <v>0</v>
      </c>
      <c r="AR62" s="6">
        <v>0</v>
      </c>
      <c r="AS62" s="6">
        <v>0</v>
      </c>
      <c r="AT62" s="6" t="s">
        <v>862</v>
      </c>
      <c r="AU62" s="6" t="s">
        <v>862</v>
      </c>
      <c r="AV62" s="6" t="s">
        <v>862</v>
      </c>
      <c r="AW62" s="6" t="s">
        <v>862</v>
      </c>
      <c r="AX62" s="6">
        <v>0</v>
      </c>
      <c r="AY62" s="6" t="b">
        <v>0</v>
      </c>
      <c r="AZ62" s="6">
        <v>0</v>
      </c>
      <c r="BA62" s="6" t="b">
        <v>0</v>
      </c>
      <c r="BB62" s="6">
        <v>0</v>
      </c>
      <c r="BC62" s="6">
        <v>0</v>
      </c>
      <c r="BD62" s="6">
        <v>0</v>
      </c>
      <c r="BE62" s="6">
        <v>0</v>
      </c>
      <c r="BF62" s="6">
        <v>0</v>
      </c>
      <c r="BG62" s="6" t="s">
        <v>1564</v>
      </c>
      <c r="BH62" s="6">
        <v>0</v>
      </c>
      <c r="BI62" s="6">
        <v>0</v>
      </c>
      <c r="BJ62" s="6">
        <v>0</v>
      </c>
      <c r="BK62" s="6">
        <v>0</v>
      </c>
      <c r="BL62" s="6" t="b">
        <v>0</v>
      </c>
      <c r="BM62" s="6">
        <v>0</v>
      </c>
      <c r="BN62" s="6">
        <v>0</v>
      </c>
      <c r="BO62" s="6">
        <v>0</v>
      </c>
      <c r="BP62" s="6">
        <v>0</v>
      </c>
      <c r="BQ62" s="6">
        <v>0</v>
      </c>
      <c r="BR62" s="6">
        <v>0</v>
      </c>
      <c r="BS62" s="6">
        <v>0</v>
      </c>
      <c r="BT62" s="6">
        <v>0</v>
      </c>
      <c r="BU62" s="6">
        <v>0</v>
      </c>
      <c r="BV62" s="6">
        <v>0</v>
      </c>
      <c r="BW62" s="6">
        <v>0</v>
      </c>
      <c r="BX62" s="6">
        <v>0</v>
      </c>
      <c r="BY62" s="6">
        <v>0</v>
      </c>
      <c r="BZ62" s="6">
        <v>0</v>
      </c>
      <c r="CA62" s="6">
        <v>0</v>
      </c>
      <c r="CB62" s="6">
        <v>0</v>
      </c>
      <c r="CC62" s="6" t="b">
        <v>0</v>
      </c>
      <c r="CD62" s="6">
        <v>0</v>
      </c>
      <c r="CE62" s="6" t="b">
        <v>0</v>
      </c>
      <c r="CF62" s="6">
        <v>0</v>
      </c>
      <c r="CG62" s="6">
        <v>0</v>
      </c>
      <c r="CH62" s="6">
        <v>0</v>
      </c>
      <c r="CI62" s="6">
        <v>0</v>
      </c>
      <c r="CJ62" s="6" t="b">
        <v>0</v>
      </c>
      <c r="CK62" s="6" t="b">
        <v>0</v>
      </c>
      <c r="CL62" s="6">
        <v>0</v>
      </c>
      <c r="CM62" s="6" t="b">
        <v>0</v>
      </c>
      <c r="CN62" s="6"/>
      <c r="CO62" s="6"/>
      <c r="CP62" s="6"/>
      <c r="CQ62" s="6"/>
      <c r="CR62" s="6"/>
      <c r="CS62" s="6"/>
      <c r="CT62" s="6"/>
      <c r="CU62" s="6"/>
      <c r="CV62" s="6"/>
      <c r="CW62" s="6"/>
      <c r="CX62" s="6"/>
      <c r="CY62" s="6"/>
      <c r="CZ62" s="6"/>
      <c r="DA62" s="6"/>
      <c r="DB62" s="6"/>
      <c r="DC62" s="6"/>
      <c r="DD62" s="6"/>
      <c r="DE62" s="6"/>
      <c r="DF62" s="6"/>
      <c r="DG62" s="6"/>
      <c r="DH62" s="6"/>
      <c r="DI62" s="6"/>
    </row>
    <row r="63" spans="1:113" x14ac:dyDescent="0.25">
      <c r="A63" s="6" t="s">
        <v>921</v>
      </c>
      <c r="B63" s="6">
        <v>1</v>
      </c>
      <c r="C63" s="6">
        <v>0</v>
      </c>
      <c r="D63" s="6">
        <v>0</v>
      </c>
      <c r="E63" s="6">
        <v>0</v>
      </c>
      <c r="F63" s="6">
        <v>0</v>
      </c>
      <c r="G63" s="6">
        <v>0</v>
      </c>
      <c r="H63" s="6">
        <v>0</v>
      </c>
      <c r="I63" s="6">
        <v>0</v>
      </c>
      <c r="J63" s="6">
        <v>0</v>
      </c>
      <c r="K63" s="6">
        <v>0</v>
      </c>
      <c r="L63" s="6">
        <v>0</v>
      </c>
      <c r="M63" s="6">
        <v>0</v>
      </c>
      <c r="N63" s="6">
        <v>0</v>
      </c>
      <c r="O63" s="6">
        <v>0</v>
      </c>
      <c r="P63" s="6">
        <v>0</v>
      </c>
      <c r="Q63" s="6">
        <v>0</v>
      </c>
      <c r="R63" s="6">
        <v>0</v>
      </c>
      <c r="S63" s="6">
        <v>0</v>
      </c>
      <c r="T63" s="6">
        <v>0</v>
      </c>
      <c r="U63" s="6">
        <v>0</v>
      </c>
      <c r="V63" s="6">
        <v>0</v>
      </c>
      <c r="W63" s="6">
        <v>0</v>
      </c>
      <c r="X63" s="6">
        <v>0</v>
      </c>
      <c r="Y63" s="6">
        <v>0</v>
      </c>
      <c r="Z63" s="6">
        <v>0</v>
      </c>
      <c r="AA63" s="6">
        <v>0</v>
      </c>
      <c r="AB63" s="6">
        <v>0</v>
      </c>
      <c r="AC63" s="6">
        <v>0</v>
      </c>
      <c r="AD63" s="6">
        <v>0</v>
      </c>
      <c r="AE63" s="6">
        <v>0</v>
      </c>
      <c r="AF63" s="6">
        <v>0</v>
      </c>
      <c r="AG63" s="6">
        <v>0</v>
      </c>
      <c r="AH63" s="6">
        <v>0</v>
      </c>
      <c r="AI63" s="6">
        <v>0</v>
      </c>
      <c r="AJ63" s="6">
        <v>0</v>
      </c>
      <c r="AK63" s="6">
        <v>0</v>
      </c>
      <c r="AL63" s="6">
        <v>0</v>
      </c>
      <c r="AM63" s="6">
        <v>0</v>
      </c>
      <c r="AN63" s="6">
        <v>0</v>
      </c>
      <c r="AO63" s="6">
        <v>0</v>
      </c>
      <c r="AP63" s="6">
        <v>0</v>
      </c>
      <c r="AQ63" s="6">
        <v>0</v>
      </c>
      <c r="AR63" s="6">
        <v>0</v>
      </c>
      <c r="AS63" s="6">
        <v>0</v>
      </c>
      <c r="AT63" s="6" t="s">
        <v>862</v>
      </c>
      <c r="AU63" s="6" t="s">
        <v>862</v>
      </c>
      <c r="AV63" s="6" t="s">
        <v>862</v>
      </c>
      <c r="AW63" s="6" t="s">
        <v>862</v>
      </c>
      <c r="AX63" s="6">
        <v>0</v>
      </c>
      <c r="AY63" s="6" t="b">
        <v>0</v>
      </c>
      <c r="AZ63" s="6">
        <v>0</v>
      </c>
      <c r="BA63" s="6" t="b">
        <v>0</v>
      </c>
      <c r="BB63" s="6">
        <v>0</v>
      </c>
      <c r="BC63" s="6">
        <v>0</v>
      </c>
      <c r="BD63" s="6">
        <v>0</v>
      </c>
      <c r="BE63" s="6">
        <v>0</v>
      </c>
      <c r="BF63" s="6">
        <v>0</v>
      </c>
      <c r="BG63" s="6" t="s">
        <v>1564</v>
      </c>
      <c r="BH63" s="6">
        <v>0</v>
      </c>
      <c r="BI63" s="6">
        <v>0</v>
      </c>
      <c r="BJ63" s="6">
        <v>0</v>
      </c>
      <c r="BK63" s="6">
        <v>0</v>
      </c>
      <c r="BL63" s="6" t="b">
        <v>0</v>
      </c>
      <c r="BM63" s="6">
        <v>0</v>
      </c>
      <c r="BN63" s="6">
        <v>0</v>
      </c>
      <c r="BO63" s="6">
        <v>0</v>
      </c>
      <c r="BP63" s="6">
        <v>0</v>
      </c>
      <c r="BQ63" s="6">
        <v>0</v>
      </c>
      <c r="BR63" s="6">
        <v>0</v>
      </c>
      <c r="BS63" s="6">
        <v>0</v>
      </c>
      <c r="BT63" s="6">
        <v>0</v>
      </c>
      <c r="BU63" s="6">
        <v>0</v>
      </c>
      <c r="BV63" s="6">
        <v>0</v>
      </c>
      <c r="BW63" s="6">
        <v>0</v>
      </c>
      <c r="BX63" s="6">
        <v>0</v>
      </c>
      <c r="BY63" s="6">
        <v>0</v>
      </c>
      <c r="BZ63" s="6">
        <v>0</v>
      </c>
      <c r="CA63" s="6">
        <v>0</v>
      </c>
      <c r="CB63" s="6">
        <v>0</v>
      </c>
      <c r="CC63" s="6" t="b">
        <v>0</v>
      </c>
      <c r="CD63" s="6">
        <v>0</v>
      </c>
      <c r="CE63" s="6" t="b">
        <v>0</v>
      </c>
      <c r="CF63" s="6">
        <v>0</v>
      </c>
      <c r="CG63" s="6">
        <v>0</v>
      </c>
      <c r="CH63" s="6">
        <v>0</v>
      </c>
      <c r="CI63" s="6">
        <v>0</v>
      </c>
      <c r="CJ63" s="6" t="b">
        <v>0</v>
      </c>
      <c r="CK63" s="6" t="b">
        <v>0</v>
      </c>
      <c r="CL63" s="6">
        <v>0</v>
      </c>
      <c r="CM63" s="6" t="b">
        <v>0</v>
      </c>
      <c r="CN63" s="6"/>
      <c r="CO63" s="6"/>
      <c r="CP63" s="6"/>
      <c r="CQ63" s="6"/>
      <c r="CR63" s="6"/>
      <c r="CS63" s="6"/>
      <c r="CT63" s="6"/>
      <c r="CU63" s="6"/>
      <c r="CV63" s="6"/>
      <c r="CW63" s="6"/>
      <c r="CX63" s="6"/>
      <c r="CY63" s="6"/>
      <c r="CZ63" s="6"/>
      <c r="DA63" s="6"/>
      <c r="DB63" s="6"/>
      <c r="DC63" s="6"/>
      <c r="DD63" s="6"/>
      <c r="DE63" s="6"/>
      <c r="DF63" s="6"/>
      <c r="DG63" s="6"/>
      <c r="DH63" s="6"/>
      <c r="DI63" s="6"/>
    </row>
    <row r="64" spans="1:113" x14ac:dyDescent="0.25">
      <c r="A64" s="6" t="s">
        <v>922</v>
      </c>
      <c r="B64" s="6">
        <v>1</v>
      </c>
      <c r="C64" s="6">
        <v>0</v>
      </c>
      <c r="D64" s="6">
        <v>0</v>
      </c>
      <c r="E64" s="6">
        <v>0</v>
      </c>
      <c r="F64" s="6">
        <v>0</v>
      </c>
      <c r="G64" s="6">
        <v>0</v>
      </c>
      <c r="H64" s="6">
        <v>0</v>
      </c>
      <c r="I64" s="6">
        <v>0</v>
      </c>
      <c r="J64" s="6">
        <v>0</v>
      </c>
      <c r="K64" s="6">
        <v>0</v>
      </c>
      <c r="L64" s="6">
        <v>0</v>
      </c>
      <c r="M64" s="6">
        <v>0</v>
      </c>
      <c r="N64" s="6">
        <v>0</v>
      </c>
      <c r="O64" s="6">
        <v>0</v>
      </c>
      <c r="P64" s="6">
        <v>0</v>
      </c>
      <c r="Q64" s="6">
        <v>0</v>
      </c>
      <c r="R64" s="6">
        <v>0</v>
      </c>
      <c r="S64" s="6">
        <v>0</v>
      </c>
      <c r="T64" s="6">
        <v>0</v>
      </c>
      <c r="U64" s="6">
        <v>0</v>
      </c>
      <c r="V64" s="6">
        <v>0</v>
      </c>
      <c r="W64" s="6">
        <v>0</v>
      </c>
      <c r="X64" s="6">
        <v>0</v>
      </c>
      <c r="Y64" s="6">
        <v>0</v>
      </c>
      <c r="Z64" s="6">
        <v>0</v>
      </c>
      <c r="AA64" s="6">
        <v>0</v>
      </c>
      <c r="AB64" s="6">
        <v>0</v>
      </c>
      <c r="AC64" s="6">
        <v>0</v>
      </c>
      <c r="AD64" s="6">
        <v>0</v>
      </c>
      <c r="AE64" s="6">
        <v>0</v>
      </c>
      <c r="AF64" s="6">
        <v>0</v>
      </c>
      <c r="AG64" s="6">
        <v>0</v>
      </c>
      <c r="AH64" s="6">
        <v>0</v>
      </c>
      <c r="AI64" s="6">
        <v>0</v>
      </c>
      <c r="AJ64" s="6">
        <v>0</v>
      </c>
      <c r="AK64" s="6">
        <v>0</v>
      </c>
      <c r="AL64" s="6">
        <v>0</v>
      </c>
      <c r="AM64" s="6">
        <v>0</v>
      </c>
      <c r="AN64" s="6">
        <v>0</v>
      </c>
      <c r="AO64" s="6">
        <v>0</v>
      </c>
      <c r="AP64" s="6">
        <v>0</v>
      </c>
      <c r="AQ64" s="6">
        <v>0</v>
      </c>
      <c r="AR64" s="6">
        <v>0</v>
      </c>
      <c r="AS64" s="6">
        <v>0</v>
      </c>
      <c r="AT64" s="6" t="s">
        <v>862</v>
      </c>
      <c r="AU64" s="6" t="s">
        <v>862</v>
      </c>
      <c r="AV64" s="6" t="s">
        <v>862</v>
      </c>
      <c r="AW64" s="6" t="s">
        <v>862</v>
      </c>
      <c r="AX64" s="6">
        <v>0</v>
      </c>
      <c r="AY64" s="6" t="b">
        <v>0</v>
      </c>
      <c r="AZ64" s="6">
        <v>0</v>
      </c>
      <c r="BA64" s="6" t="b">
        <v>0</v>
      </c>
      <c r="BB64" s="6">
        <v>0</v>
      </c>
      <c r="BC64" s="6">
        <v>0</v>
      </c>
      <c r="BD64" s="6">
        <v>0</v>
      </c>
      <c r="BE64" s="6">
        <v>0</v>
      </c>
      <c r="BF64" s="6">
        <v>0</v>
      </c>
      <c r="BG64" s="6" t="s">
        <v>1564</v>
      </c>
      <c r="BH64" s="6">
        <v>0</v>
      </c>
      <c r="BI64" s="6">
        <v>0</v>
      </c>
      <c r="BJ64" s="6">
        <v>0</v>
      </c>
      <c r="BK64" s="6">
        <v>0</v>
      </c>
      <c r="BL64" s="6" t="b">
        <v>0</v>
      </c>
      <c r="BM64" s="6">
        <v>0</v>
      </c>
      <c r="BN64" s="6">
        <v>0</v>
      </c>
      <c r="BO64" s="6">
        <v>0</v>
      </c>
      <c r="BP64" s="6">
        <v>0</v>
      </c>
      <c r="BQ64" s="6">
        <v>0</v>
      </c>
      <c r="BR64" s="6">
        <v>0</v>
      </c>
      <c r="BS64" s="6">
        <v>0</v>
      </c>
      <c r="BT64" s="6">
        <v>0</v>
      </c>
      <c r="BU64" s="6">
        <v>0</v>
      </c>
      <c r="BV64" s="6">
        <v>0</v>
      </c>
      <c r="BW64" s="6">
        <v>0</v>
      </c>
      <c r="BX64" s="6">
        <v>0</v>
      </c>
      <c r="BY64" s="6">
        <v>0</v>
      </c>
      <c r="BZ64" s="6">
        <v>0</v>
      </c>
      <c r="CA64" s="6">
        <v>0</v>
      </c>
      <c r="CB64" s="6">
        <v>0</v>
      </c>
      <c r="CC64" s="6" t="b">
        <v>0</v>
      </c>
      <c r="CD64" s="6">
        <v>0</v>
      </c>
      <c r="CE64" s="6" t="b">
        <v>0</v>
      </c>
      <c r="CF64" s="6">
        <v>0</v>
      </c>
      <c r="CG64" s="6">
        <v>0</v>
      </c>
      <c r="CH64" s="6">
        <v>0</v>
      </c>
      <c r="CI64" s="6">
        <v>0</v>
      </c>
      <c r="CJ64" s="6" t="b">
        <v>0</v>
      </c>
      <c r="CK64" s="6" t="b">
        <v>0</v>
      </c>
      <c r="CL64" s="6">
        <v>0</v>
      </c>
      <c r="CM64" s="6" t="b">
        <v>0</v>
      </c>
      <c r="CN64" s="6"/>
      <c r="CO64" s="6"/>
      <c r="CP64" s="6"/>
      <c r="CQ64" s="6"/>
      <c r="CR64" s="6"/>
      <c r="CS64" s="6"/>
      <c r="CT64" s="6"/>
      <c r="CU64" s="6"/>
      <c r="CV64" s="6"/>
      <c r="CW64" s="6"/>
      <c r="CX64" s="6"/>
      <c r="CY64" s="6"/>
      <c r="CZ64" s="6"/>
      <c r="DA64" s="6"/>
      <c r="DB64" s="6"/>
      <c r="DC64" s="6"/>
      <c r="DD64" s="6"/>
      <c r="DE64" s="6"/>
      <c r="DF64" s="6"/>
      <c r="DG64" s="6"/>
      <c r="DH64" s="6"/>
      <c r="DI64" s="6"/>
    </row>
    <row r="65" spans="1:113" x14ac:dyDescent="0.25">
      <c r="A65" s="6" t="s">
        <v>923</v>
      </c>
      <c r="B65" s="6">
        <v>1</v>
      </c>
      <c r="C65" s="6">
        <v>0</v>
      </c>
      <c r="D65" s="6">
        <v>0</v>
      </c>
      <c r="E65" s="6">
        <v>0</v>
      </c>
      <c r="F65" s="6">
        <v>0</v>
      </c>
      <c r="G65" s="6">
        <v>0</v>
      </c>
      <c r="H65" s="6">
        <v>0</v>
      </c>
      <c r="I65" s="6">
        <v>0</v>
      </c>
      <c r="J65" s="6">
        <v>0</v>
      </c>
      <c r="K65" s="6">
        <v>0</v>
      </c>
      <c r="L65" s="6">
        <v>0</v>
      </c>
      <c r="M65" s="6">
        <v>0</v>
      </c>
      <c r="N65" s="6">
        <v>0</v>
      </c>
      <c r="O65" s="6">
        <v>0</v>
      </c>
      <c r="P65" s="6">
        <v>0</v>
      </c>
      <c r="Q65" s="6">
        <v>0</v>
      </c>
      <c r="R65" s="6">
        <v>0</v>
      </c>
      <c r="S65" s="6">
        <v>0</v>
      </c>
      <c r="T65" s="6">
        <v>0</v>
      </c>
      <c r="U65" s="6">
        <v>0</v>
      </c>
      <c r="V65" s="6">
        <v>0</v>
      </c>
      <c r="W65" s="6">
        <v>0</v>
      </c>
      <c r="X65" s="6">
        <v>0</v>
      </c>
      <c r="Y65" s="6">
        <v>0</v>
      </c>
      <c r="Z65" s="6">
        <v>0</v>
      </c>
      <c r="AA65" s="6">
        <v>0</v>
      </c>
      <c r="AB65" s="6">
        <v>0</v>
      </c>
      <c r="AC65" s="6">
        <v>0</v>
      </c>
      <c r="AD65" s="6">
        <v>0</v>
      </c>
      <c r="AE65" s="6">
        <v>0</v>
      </c>
      <c r="AF65" s="6">
        <v>0</v>
      </c>
      <c r="AG65" s="6">
        <v>0</v>
      </c>
      <c r="AH65" s="6">
        <v>0</v>
      </c>
      <c r="AI65" s="6">
        <v>0</v>
      </c>
      <c r="AJ65" s="6">
        <v>0</v>
      </c>
      <c r="AK65" s="6">
        <v>0</v>
      </c>
      <c r="AL65" s="6">
        <v>0</v>
      </c>
      <c r="AM65" s="6">
        <v>0</v>
      </c>
      <c r="AN65" s="6">
        <v>0</v>
      </c>
      <c r="AO65" s="6">
        <v>0</v>
      </c>
      <c r="AP65" s="6">
        <v>0</v>
      </c>
      <c r="AQ65" s="6">
        <v>0</v>
      </c>
      <c r="AR65" s="6">
        <v>0</v>
      </c>
      <c r="AS65" s="6">
        <v>0</v>
      </c>
      <c r="AT65" s="6" t="s">
        <v>862</v>
      </c>
      <c r="AU65" s="6" t="s">
        <v>862</v>
      </c>
      <c r="AV65" s="6" t="s">
        <v>862</v>
      </c>
      <c r="AW65" s="6" t="s">
        <v>862</v>
      </c>
      <c r="AX65" s="6">
        <v>0</v>
      </c>
      <c r="AY65" s="6" t="b">
        <v>0</v>
      </c>
      <c r="AZ65" s="6">
        <v>0</v>
      </c>
      <c r="BA65" s="6" t="b">
        <v>0</v>
      </c>
      <c r="BB65" s="6">
        <v>0</v>
      </c>
      <c r="BC65" s="6">
        <v>0</v>
      </c>
      <c r="BD65" s="6">
        <v>0</v>
      </c>
      <c r="BE65" s="6">
        <v>0</v>
      </c>
      <c r="BF65" s="6">
        <v>0</v>
      </c>
      <c r="BG65" s="6" t="s">
        <v>1564</v>
      </c>
      <c r="BH65" s="6">
        <v>0</v>
      </c>
      <c r="BI65" s="6">
        <v>0</v>
      </c>
      <c r="BJ65" s="6">
        <v>0</v>
      </c>
      <c r="BK65" s="6">
        <v>0</v>
      </c>
      <c r="BL65" s="6" t="b">
        <v>0</v>
      </c>
      <c r="BM65" s="6">
        <v>0</v>
      </c>
      <c r="BN65" s="6">
        <v>0</v>
      </c>
      <c r="BO65" s="6">
        <v>0</v>
      </c>
      <c r="BP65" s="6">
        <v>0</v>
      </c>
      <c r="BQ65" s="6">
        <v>0</v>
      </c>
      <c r="BR65" s="6">
        <v>0</v>
      </c>
      <c r="BS65" s="6">
        <v>0</v>
      </c>
      <c r="BT65" s="6">
        <v>0</v>
      </c>
      <c r="BU65" s="6">
        <v>0</v>
      </c>
      <c r="BV65" s="6">
        <v>0</v>
      </c>
      <c r="BW65" s="6">
        <v>0</v>
      </c>
      <c r="BX65" s="6">
        <v>0</v>
      </c>
      <c r="BY65" s="6">
        <v>0</v>
      </c>
      <c r="BZ65" s="6">
        <v>0</v>
      </c>
      <c r="CA65" s="6">
        <v>0</v>
      </c>
      <c r="CB65" s="6">
        <v>0</v>
      </c>
      <c r="CC65" s="6" t="b">
        <v>0</v>
      </c>
      <c r="CD65" s="6">
        <v>0</v>
      </c>
      <c r="CE65" s="6" t="b">
        <v>0</v>
      </c>
      <c r="CF65" s="6">
        <v>0</v>
      </c>
      <c r="CG65" s="6">
        <v>0</v>
      </c>
      <c r="CH65" s="6">
        <v>0</v>
      </c>
      <c r="CI65" s="6">
        <v>0</v>
      </c>
      <c r="CJ65" s="6" t="b">
        <v>0</v>
      </c>
      <c r="CK65" s="6" t="b">
        <v>0</v>
      </c>
      <c r="CL65" s="6">
        <v>0</v>
      </c>
      <c r="CM65" s="6" t="b">
        <v>0</v>
      </c>
      <c r="CN65" s="6"/>
      <c r="CO65" s="6"/>
      <c r="CP65" s="6"/>
      <c r="CQ65" s="6"/>
      <c r="CR65" s="6"/>
      <c r="CS65" s="6"/>
      <c r="CT65" s="6"/>
      <c r="CU65" s="6"/>
      <c r="CV65" s="6"/>
      <c r="CW65" s="6"/>
      <c r="CX65" s="6"/>
      <c r="CY65" s="6"/>
      <c r="CZ65" s="6"/>
      <c r="DA65" s="6"/>
      <c r="DB65" s="6"/>
      <c r="DC65" s="6"/>
      <c r="DD65" s="6"/>
      <c r="DE65" s="6"/>
      <c r="DF65" s="6"/>
      <c r="DG65" s="6"/>
      <c r="DH65" s="6"/>
      <c r="DI65" s="6"/>
    </row>
    <row r="66" spans="1:113" x14ac:dyDescent="0.25">
      <c r="A66" s="6" t="s">
        <v>924</v>
      </c>
      <c r="B66" s="6">
        <v>1</v>
      </c>
      <c r="C66" s="6">
        <v>0</v>
      </c>
      <c r="D66" s="6">
        <v>0</v>
      </c>
      <c r="E66" s="6">
        <v>0</v>
      </c>
      <c r="F66" s="6">
        <v>0</v>
      </c>
      <c r="G66" s="6">
        <v>0</v>
      </c>
      <c r="H66" s="6">
        <v>0</v>
      </c>
      <c r="I66" s="6">
        <v>0</v>
      </c>
      <c r="J66" s="6">
        <v>0</v>
      </c>
      <c r="K66" s="6">
        <v>0</v>
      </c>
      <c r="L66" s="6">
        <v>0</v>
      </c>
      <c r="M66" s="6">
        <v>0</v>
      </c>
      <c r="N66" s="6">
        <v>0</v>
      </c>
      <c r="O66" s="6">
        <v>0</v>
      </c>
      <c r="P66" s="6">
        <v>0</v>
      </c>
      <c r="Q66" s="6">
        <v>0</v>
      </c>
      <c r="R66" s="6">
        <v>0</v>
      </c>
      <c r="S66" s="6">
        <v>0</v>
      </c>
      <c r="T66" s="6">
        <v>0</v>
      </c>
      <c r="U66" s="6">
        <v>0</v>
      </c>
      <c r="V66" s="6">
        <v>0</v>
      </c>
      <c r="W66" s="6">
        <v>0</v>
      </c>
      <c r="X66" s="6">
        <v>0</v>
      </c>
      <c r="Y66" s="6">
        <v>0</v>
      </c>
      <c r="Z66" s="6">
        <v>0</v>
      </c>
      <c r="AA66" s="6">
        <v>0</v>
      </c>
      <c r="AB66" s="6">
        <v>0</v>
      </c>
      <c r="AC66" s="6">
        <v>0</v>
      </c>
      <c r="AD66" s="6">
        <v>0</v>
      </c>
      <c r="AE66" s="6">
        <v>0</v>
      </c>
      <c r="AF66" s="6">
        <v>0</v>
      </c>
      <c r="AG66" s="6">
        <v>0</v>
      </c>
      <c r="AH66" s="6">
        <v>0</v>
      </c>
      <c r="AI66" s="6">
        <v>0</v>
      </c>
      <c r="AJ66" s="6">
        <v>0</v>
      </c>
      <c r="AK66" s="6">
        <v>0</v>
      </c>
      <c r="AL66" s="6">
        <v>0</v>
      </c>
      <c r="AM66" s="6">
        <v>0</v>
      </c>
      <c r="AN66" s="6">
        <v>0</v>
      </c>
      <c r="AO66" s="6">
        <v>0</v>
      </c>
      <c r="AP66" s="6">
        <v>0</v>
      </c>
      <c r="AQ66" s="6">
        <v>0</v>
      </c>
      <c r="AR66" s="6">
        <v>0</v>
      </c>
      <c r="AS66" s="6">
        <v>0</v>
      </c>
      <c r="AT66" s="6" t="s">
        <v>862</v>
      </c>
      <c r="AU66" s="6" t="s">
        <v>862</v>
      </c>
      <c r="AV66" s="6" t="s">
        <v>862</v>
      </c>
      <c r="AW66" s="6" t="s">
        <v>862</v>
      </c>
      <c r="AX66" s="6">
        <v>0</v>
      </c>
      <c r="AY66" s="6" t="b">
        <v>0</v>
      </c>
      <c r="AZ66" s="6">
        <v>0</v>
      </c>
      <c r="BA66" s="6" t="b">
        <v>0</v>
      </c>
      <c r="BB66" s="6">
        <v>0</v>
      </c>
      <c r="BC66" s="6">
        <v>0</v>
      </c>
      <c r="BD66" s="6">
        <v>0</v>
      </c>
      <c r="BE66" s="6">
        <v>0</v>
      </c>
      <c r="BF66" s="6">
        <v>0</v>
      </c>
      <c r="BG66" s="6" t="s">
        <v>1564</v>
      </c>
      <c r="BH66" s="6">
        <v>0</v>
      </c>
      <c r="BI66" s="6">
        <v>0</v>
      </c>
      <c r="BJ66" s="6">
        <v>0</v>
      </c>
      <c r="BK66" s="6">
        <v>0</v>
      </c>
      <c r="BL66" s="6" t="b">
        <v>0</v>
      </c>
      <c r="BM66" s="6">
        <v>0</v>
      </c>
      <c r="BN66" s="6">
        <v>0</v>
      </c>
      <c r="BO66" s="6">
        <v>0</v>
      </c>
      <c r="BP66" s="6">
        <v>0</v>
      </c>
      <c r="BQ66" s="6">
        <v>0</v>
      </c>
      <c r="BR66" s="6">
        <v>0</v>
      </c>
      <c r="BS66" s="6">
        <v>0</v>
      </c>
      <c r="BT66" s="6">
        <v>0</v>
      </c>
      <c r="BU66" s="6">
        <v>0</v>
      </c>
      <c r="BV66" s="6">
        <v>0</v>
      </c>
      <c r="BW66" s="6">
        <v>0</v>
      </c>
      <c r="BX66" s="6">
        <v>0</v>
      </c>
      <c r="BY66" s="6">
        <v>0</v>
      </c>
      <c r="BZ66" s="6">
        <v>0</v>
      </c>
      <c r="CA66" s="6">
        <v>0</v>
      </c>
      <c r="CB66" s="6">
        <v>0</v>
      </c>
      <c r="CC66" s="6" t="b">
        <v>0</v>
      </c>
      <c r="CD66" s="6">
        <v>0</v>
      </c>
      <c r="CE66" s="6" t="b">
        <v>0</v>
      </c>
      <c r="CF66" s="6">
        <v>0</v>
      </c>
      <c r="CG66" s="6">
        <v>0</v>
      </c>
      <c r="CH66" s="6">
        <v>0</v>
      </c>
      <c r="CI66" s="6">
        <v>0</v>
      </c>
      <c r="CJ66" s="6" t="b">
        <v>0</v>
      </c>
      <c r="CK66" s="6" t="b">
        <v>0</v>
      </c>
      <c r="CL66" s="6">
        <v>0</v>
      </c>
      <c r="CM66" s="6" t="b">
        <v>0</v>
      </c>
      <c r="CN66" s="6"/>
      <c r="CO66" s="6"/>
      <c r="CP66" s="6"/>
      <c r="CQ66" s="6"/>
      <c r="CR66" s="6"/>
      <c r="CS66" s="6"/>
      <c r="CT66" s="6"/>
      <c r="CU66" s="6"/>
      <c r="CV66" s="6"/>
      <c r="CW66" s="6"/>
      <c r="CX66" s="6"/>
      <c r="CY66" s="6"/>
      <c r="CZ66" s="6"/>
      <c r="DA66" s="6"/>
      <c r="DB66" s="6"/>
      <c r="DC66" s="6"/>
      <c r="DD66" s="6"/>
      <c r="DE66" s="6"/>
      <c r="DF66" s="6"/>
      <c r="DG66" s="6"/>
      <c r="DH66" s="6"/>
      <c r="DI66" s="6"/>
    </row>
    <row r="67" spans="1:113" x14ac:dyDescent="0.25">
      <c r="A67" s="6" t="s">
        <v>925</v>
      </c>
      <c r="B67" s="6">
        <v>1</v>
      </c>
      <c r="C67" s="6">
        <v>0</v>
      </c>
      <c r="D67" s="6">
        <v>0</v>
      </c>
      <c r="E67" s="6">
        <v>0</v>
      </c>
      <c r="F67" s="6">
        <v>0</v>
      </c>
      <c r="G67" s="6">
        <v>0</v>
      </c>
      <c r="H67" s="6">
        <v>0</v>
      </c>
      <c r="I67" s="6">
        <v>0</v>
      </c>
      <c r="J67" s="6">
        <v>0</v>
      </c>
      <c r="K67" s="6">
        <v>0</v>
      </c>
      <c r="L67" s="6">
        <v>0</v>
      </c>
      <c r="M67" s="6">
        <v>0</v>
      </c>
      <c r="N67" s="6">
        <v>0</v>
      </c>
      <c r="O67" s="6">
        <v>0</v>
      </c>
      <c r="P67" s="6">
        <v>0</v>
      </c>
      <c r="Q67" s="6">
        <v>0</v>
      </c>
      <c r="R67" s="6">
        <v>0</v>
      </c>
      <c r="S67" s="6">
        <v>0</v>
      </c>
      <c r="T67" s="6">
        <v>0</v>
      </c>
      <c r="U67" s="6">
        <v>0</v>
      </c>
      <c r="V67" s="6">
        <v>0</v>
      </c>
      <c r="W67" s="6">
        <v>0</v>
      </c>
      <c r="X67" s="6">
        <v>0</v>
      </c>
      <c r="Y67" s="6">
        <v>0</v>
      </c>
      <c r="Z67" s="6">
        <v>0</v>
      </c>
      <c r="AA67" s="6">
        <v>0</v>
      </c>
      <c r="AB67" s="6">
        <v>0</v>
      </c>
      <c r="AC67" s="6">
        <v>0</v>
      </c>
      <c r="AD67" s="6">
        <v>0</v>
      </c>
      <c r="AE67" s="6">
        <v>0</v>
      </c>
      <c r="AF67" s="6">
        <v>0</v>
      </c>
      <c r="AG67" s="6">
        <v>0</v>
      </c>
      <c r="AH67" s="6">
        <v>0</v>
      </c>
      <c r="AI67" s="6">
        <v>0</v>
      </c>
      <c r="AJ67" s="6">
        <v>0</v>
      </c>
      <c r="AK67" s="6">
        <v>0</v>
      </c>
      <c r="AL67" s="6">
        <v>0</v>
      </c>
      <c r="AM67" s="6">
        <v>0</v>
      </c>
      <c r="AN67" s="6">
        <v>0</v>
      </c>
      <c r="AO67" s="6">
        <v>0</v>
      </c>
      <c r="AP67" s="6">
        <v>0</v>
      </c>
      <c r="AQ67" s="6">
        <v>0</v>
      </c>
      <c r="AR67" s="6">
        <v>0</v>
      </c>
      <c r="AS67" s="6">
        <v>0</v>
      </c>
      <c r="AT67" s="6" t="s">
        <v>862</v>
      </c>
      <c r="AU67" s="6" t="s">
        <v>862</v>
      </c>
      <c r="AV67" s="6" t="s">
        <v>862</v>
      </c>
      <c r="AW67" s="6" t="s">
        <v>862</v>
      </c>
      <c r="AX67" s="6">
        <v>0</v>
      </c>
      <c r="AY67" s="6" t="b">
        <v>0</v>
      </c>
      <c r="AZ67" s="6">
        <v>0</v>
      </c>
      <c r="BA67" s="6" t="b">
        <v>0</v>
      </c>
      <c r="BB67" s="6">
        <v>0</v>
      </c>
      <c r="BC67" s="6">
        <v>0</v>
      </c>
      <c r="BD67" s="6">
        <v>0</v>
      </c>
      <c r="BE67" s="6">
        <v>0</v>
      </c>
      <c r="BF67" s="6">
        <v>0</v>
      </c>
      <c r="BG67" s="6" t="s">
        <v>1564</v>
      </c>
      <c r="BH67" s="6">
        <v>0</v>
      </c>
      <c r="BI67" s="6">
        <v>0</v>
      </c>
      <c r="BJ67" s="6">
        <v>0</v>
      </c>
      <c r="BK67" s="6">
        <v>0</v>
      </c>
      <c r="BL67" s="6" t="b">
        <v>0</v>
      </c>
      <c r="BM67" s="6">
        <v>0</v>
      </c>
      <c r="BN67" s="6">
        <v>0</v>
      </c>
      <c r="BO67" s="6">
        <v>0</v>
      </c>
      <c r="BP67" s="6">
        <v>0</v>
      </c>
      <c r="BQ67" s="6">
        <v>0</v>
      </c>
      <c r="BR67" s="6">
        <v>0</v>
      </c>
      <c r="BS67" s="6">
        <v>0</v>
      </c>
      <c r="BT67" s="6">
        <v>0</v>
      </c>
      <c r="BU67" s="6">
        <v>0</v>
      </c>
      <c r="BV67" s="6">
        <v>0</v>
      </c>
      <c r="BW67" s="6">
        <v>0</v>
      </c>
      <c r="BX67" s="6">
        <v>0</v>
      </c>
      <c r="BY67" s="6">
        <v>0</v>
      </c>
      <c r="BZ67" s="6">
        <v>0</v>
      </c>
      <c r="CA67" s="6">
        <v>0</v>
      </c>
      <c r="CB67" s="6">
        <v>0</v>
      </c>
      <c r="CC67" s="6" t="b">
        <v>0</v>
      </c>
      <c r="CD67" s="6">
        <v>0</v>
      </c>
      <c r="CE67" s="6" t="b">
        <v>0</v>
      </c>
      <c r="CF67" s="6">
        <v>0</v>
      </c>
      <c r="CG67" s="6">
        <v>0</v>
      </c>
      <c r="CH67" s="6">
        <v>0</v>
      </c>
      <c r="CI67" s="6">
        <v>0</v>
      </c>
      <c r="CJ67" s="6" t="b">
        <v>0</v>
      </c>
      <c r="CK67" s="6" t="b">
        <v>0</v>
      </c>
      <c r="CL67" s="6">
        <v>0</v>
      </c>
      <c r="CM67" s="6" t="b">
        <v>0</v>
      </c>
      <c r="CN67" s="6"/>
      <c r="CO67" s="6"/>
      <c r="CP67" s="6"/>
      <c r="CQ67" s="6"/>
      <c r="CR67" s="6"/>
      <c r="CS67" s="6"/>
      <c r="CT67" s="6"/>
      <c r="CU67" s="6"/>
      <c r="CV67" s="6"/>
      <c r="CW67" s="6"/>
      <c r="CX67" s="6"/>
      <c r="CY67" s="6"/>
      <c r="CZ67" s="6"/>
      <c r="DA67" s="6"/>
      <c r="DB67" s="6"/>
      <c r="DC67" s="6"/>
      <c r="DD67" s="6"/>
      <c r="DE67" s="6"/>
      <c r="DF67" s="6"/>
      <c r="DG67" s="6"/>
      <c r="DH67" s="6"/>
      <c r="DI67" s="6"/>
    </row>
    <row r="68" spans="1:113" x14ac:dyDescent="0.25">
      <c r="A68" s="6" t="s">
        <v>926</v>
      </c>
      <c r="B68" s="6">
        <v>1</v>
      </c>
      <c r="C68" s="6">
        <v>0</v>
      </c>
      <c r="D68" s="6">
        <v>0</v>
      </c>
      <c r="E68" s="6">
        <v>0</v>
      </c>
      <c r="F68" s="6">
        <v>0</v>
      </c>
      <c r="G68" s="6">
        <v>0</v>
      </c>
      <c r="H68" s="6">
        <v>0</v>
      </c>
      <c r="I68" s="6">
        <v>0</v>
      </c>
      <c r="J68" s="6">
        <v>0</v>
      </c>
      <c r="K68" s="6">
        <v>0</v>
      </c>
      <c r="L68" s="6">
        <v>0</v>
      </c>
      <c r="M68" s="6">
        <v>0</v>
      </c>
      <c r="N68" s="6">
        <v>0</v>
      </c>
      <c r="O68" s="6">
        <v>0</v>
      </c>
      <c r="P68" s="6">
        <v>0</v>
      </c>
      <c r="Q68" s="6">
        <v>0</v>
      </c>
      <c r="R68" s="6">
        <v>0</v>
      </c>
      <c r="S68" s="6">
        <v>0</v>
      </c>
      <c r="T68" s="6">
        <v>0</v>
      </c>
      <c r="U68" s="6">
        <v>0</v>
      </c>
      <c r="V68" s="6">
        <v>0</v>
      </c>
      <c r="W68" s="6">
        <v>0</v>
      </c>
      <c r="X68" s="6">
        <v>0</v>
      </c>
      <c r="Y68" s="6">
        <v>0</v>
      </c>
      <c r="Z68" s="6">
        <v>0</v>
      </c>
      <c r="AA68" s="6">
        <v>0</v>
      </c>
      <c r="AB68" s="6">
        <v>0</v>
      </c>
      <c r="AC68" s="6">
        <v>0</v>
      </c>
      <c r="AD68" s="6">
        <v>0</v>
      </c>
      <c r="AE68" s="6">
        <v>0</v>
      </c>
      <c r="AF68" s="6">
        <v>0</v>
      </c>
      <c r="AG68" s="6">
        <v>0</v>
      </c>
      <c r="AH68" s="6">
        <v>0</v>
      </c>
      <c r="AI68" s="6">
        <v>0</v>
      </c>
      <c r="AJ68" s="6">
        <v>0</v>
      </c>
      <c r="AK68" s="6">
        <v>0</v>
      </c>
      <c r="AL68" s="6">
        <v>0</v>
      </c>
      <c r="AM68" s="6">
        <v>0</v>
      </c>
      <c r="AN68" s="6">
        <v>0</v>
      </c>
      <c r="AO68" s="6">
        <v>0</v>
      </c>
      <c r="AP68" s="6">
        <v>0</v>
      </c>
      <c r="AQ68" s="6">
        <v>0</v>
      </c>
      <c r="AR68" s="6">
        <v>0</v>
      </c>
      <c r="AS68" s="6">
        <v>0</v>
      </c>
      <c r="AT68" s="6" t="s">
        <v>862</v>
      </c>
      <c r="AU68" s="6" t="s">
        <v>862</v>
      </c>
      <c r="AV68" s="6" t="s">
        <v>862</v>
      </c>
      <c r="AW68" s="6" t="s">
        <v>862</v>
      </c>
      <c r="AX68" s="6">
        <v>0</v>
      </c>
      <c r="AY68" s="6" t="b">
        <v>0</v>
      </c>
      <c r="AZ68" s="6">
        <v>0</v>
      </c>
      <c r="BA68" s="6" t="b">
        <v>0</v>
      </c>
      <c r="BB68" s="6">
        <v>0</v>
      </c>
      <c r="BC68" s="6">
        <v>0</v>
      </c>
      <c r="BD68" s="6">
        <v>0</v>
      </c>
      <c r="BE68" s="6">
        <v>0</v>
      </c>
      <c r="BF68" s="6">
        <v>0</v>
      </c>
      <c r="BG68" s="6" t="s">
        <v>1564</v>
      </c>
      <c r="BH68" s="6">
        <v>0</v>
      </c>
      <c r="BI68" s="6">
        <v>0</v>
      </c>
      <c r="BJ68" s="6">
        <v>0</v>
      </c>
      <c r="BK68" s="6">
        <v>0</v>
      </c>
      <c r="BL68" s="6" t="b">
        <v>0</v>
      </c>
      <c r="BM68" s="6">
        <v>0</v>
      </c>
      <c r="BN68" s="6">
        <v>0</v>
      </c>
      <c r="BO68" s="6">
        <v>0</v>
      </c>
      <c r="BP68" s="6">
        <v>0</v>
      </c>
      <c r="BQ68" s="6">
        <v>0</v>
      </c>
      <c r="BR68" s="6">
        <v>0</v>
      </c>
      <c r="BS68" s="6">
        <v>0</v>
      </c>
      <c r="BT68" s="6">
        <v>0</v>
      </c>
      <c r="BU68" s="6">
        <v>0</v>
      </c>
      <c r="BV68" s="6">
        <v>0</v>
      </c>
      <c r="BW68" s="6">
        <v>0</v>
      </c>
      <c r="BX68" s="6">
        <v>0</v>
      </c>
      <c r="BY68" s="6">
        <v>0</v>
      </c>
      <c r="BZ68" s="6">
        <v>0</v>
      </c>
      <c r="CA68" s="6">
        <v>0</v>
      </c>
      <c r="CB68" s="6">
        <v>0</v>
      </c>
      <c r="CC68" s="6" t="b">
        <v>0</v>
      </c>
      <c r="CD68" s="6">
        <v>0</v>
      </c>
      <c r="CE68" s="6" t="b">
        <v>0</v>
      </c>
      <c r="CF68" s="6">
        <v>0</v>
      </c>
      <c r="CG68" s="6">
        <v>0</v>
      </c>
      <c r="CH68" s="6">
        <v>0</v>
      </c>
      <c r="CI68" s="6">
        <v>0</v>
      </c>
      <c r="CJ68" s="6" t="b">
        <v>0</v>
      </c>
      <c r="CK68" s="6" t="b">
        <v>0</v>
      </c>
      <c r="CL68" s="6">
        <v>0</v>
      </c>
      <c r="CM68" s="6" t="b">
        <v>0</v>
      </c>
      <c r="CN68" s="6"/>
      <c r="CO68" s="6"/>
      <c r="CP68" s="6"/>
      <c r="CQ68" s="6"/>
      <c r="CR68" s="6"/>
      <c r="CS68" s="6"/>
      <c r="CT68" s="6"/>
      <c r="CU68" s="6"/>
      <c r="CV68" s="6"/>
      <c r="CW68" s="6"/>
      <c r="CX68" s="6"/>
      <c r="CY68" s="6"/>
      <c r="CZ68" s="6"/>
      <c r="DA68" s="6"/>
      <c r="DB68" s="6"/>
      <c r="DC68" s="6"/>
      <c r="DD68" s="6"/>
      <c r="DE68" s="6"/>
      <c r="DF68" s="6"/>
      <c r="DG68" s="6"/>
      <c r="DH68" s="6"/>
      <c r="DI68" s="6"/>
    </row>
    <row r="69" spans="1:113" x14ac:dyDescent="0.25">
      <c r="A69" s="6" t="s">
        <v>930</v>
      </c>
      <c r="B69" s="6">
        <v>1</v>
      </c>
      <c r="C69" s="6">
        <v>0</v>
      </c>
      <c r="D69" s="6">
        <v>0</v>
      </c>
      <c r="E69" s="6">
        <v>0</v>
      </c>
      <c r="F69" s="6">
        <v>0</v>
      </c>
      <c r="G69" s="6">
        <v>0</v>
      </c>
      <c r="H69" s="6">
        <v>0</v>
      </c>
      <c r="I69" s="6">
        <v>0</v>
      </c>
      <c r="J69" s="6">
        <v>0</v>
      </c>
      <c r="K69" s="6">
        <v>0</v>
      </c>
      <c r="L69" s="6">
        <v>0</v>
      </c>
      <c r="M69" s="6">
        <v>0</v>
      </c>
      <c r="N69" s="6">
        <v>0</v>
      </c>
      <c r="O69" s="6">
        <v>0</v>
      </c>
      <c r="P69" s="6">
        <v>0</v>
      </c>
      <c r="Q69" s="6">
        <v>0</v>
      </c>
      <c r="R69" s="6">
        <v>0</v>
      </c>
      <c r="S69" s="6">
        <v>0</v>
      </c>
      <c r="T69" s="6">
        <v>0</v>
      </c>
      <c r="U69" s="6">
        <v>0</v>
      </c>
      <c r="V69" s="6">
        <v>0</v>
      </c>
      <c r="W69" s="6">
        <v>0</v>
      </c>
      <c r="X69" s="6">
        <v>0</v>
      </c>
      <c r="Y69" s="6">
        <v>0</v>
      </c>
      <c r="Z69" s="6">
        <v>0</v>
      </c>
      <c r="AA69" s="6">
        <v>0</v>
      </c>
      <c r="AB69" s="6">
        <v>0</v>
      </c>
      <c r="AC69" s="6">
        <v>0</v>
      </c>
      <c r="AD69" s="6">
        <v>0</v>
      </c>
      <c r="AE69" s="6">
        <v>0</v>
      </c>
      <c r="AF69" s="6">
        <v>0</v>
      </c>
      <c r="AG69" s="6">
        <v>0</v>
      </c>
      <c r="AH69" s="6">
        <v>0</v>
      </c>
      <c r="AI69" s="6">
        <v>0</v>
      </c>
      <c r="AJ69" s="6">
        <v>0</v>
      </c>
      <c r="AK69" s="6">
        <v>0</v>
      </c>
      <c r="AL69" s="6">
        <v>0</v>
      </c>
      <c r="AM69" s="6">
        <v>0</v>
      </c>
      <c r="AN69" s="6">
        <v>0</v>
      </c>
      <c r="AO69" s="6">
        <v>0</v>
      </c>
      <c r="AP69" s="6">
        <v>0</v>
      </c>
      <c r="AQ69" s="6">
        <v>0</v>
      </c>
      <c r="AR69" s="6">
        <v>0</v>
      </c>
      <c r="AS69" s="6">
        <v>0</v>
      </c>
      <c r="AT69" s="6" t="s">
        <v>862</v>
      </c>
      <c r="AU69" s="6" t="s">
        <v>862</v>
      </c>
      <c r="AV69" s="6" t="s">
        <v>862</v>
      </c>
      <c r="AW69" s="6" t="s">
        <v>862</v>
      </c>
      <c r="AX69" s="6">
        <v>0</v>
      </c>
      <c r="AY69" s="6" t="b">
        <v>0</v>
      </c>
      <c r="AZ69" s="6">
        <v>0</v>
      </c>
      <c r="BA69" s="6" t="b">
        <v>0</v>
      </c>
      <c r="BB69" s="6">
        <v>0</v>
      </c>
      <c r="BC69" s="6">
        <v>0</v>
      </c>
      <c r="BD69" s="6">
        <v>0</v>
      </c>
      <c r="BE69" s="6">
        <v>0</v>
      </c>
      <c r="BF69" s="6">
        <v>0</v>
      </c>
      <c r="BG69" s="6" t="s">
        <v>1564</v>
      </c>
      <c r="BH69" s="6">
        <v>0</v>
      </c>
      <c r="BI69" s="6">
        <v>0</v>
      </c>
      <c r="BJ69" s="6">
        <v>0</v>
      </c>
      <c r="BK69" s="6">
        <v>0</v>
      </c>
      <c r="BL69" s="6" t="b">
        <v>0</v>
      </c>
      <c r="BM69" s="6">
        <v>0</v>
      </c>
      <c r="BN69" s="6">
        <v>0</v>
      </c>
      <c r="BO69" s="6">
        <v>0</v>
      </c>
      <c r="BP69" s="6">
        <v>0</v>
      </c>
      <c r="BQ69" s="6">
        <v>0</v>
      </c>
      <c r="BR69" s="6">
        <v>0</v>
      </c>
      <c r="BS69" s="6">
        <v>0</v>
      </c>
      <c r="BT69" s="6">
        <v>0</v>
      </c>
      <c r="BU69" s="6">
        <v>0</v>
      </c>
      <c r="BV69" s="6">
        <v>0</v>
      </c>
      <c r="BW69" s="6">
        <v>0</v>
      </c>
      <c r="BX69" s="6">
        <v>0</v>
      </c>
      <c r="BY69" s="6">
        <v>0</v>
      </c>
      <c r="BZ69" s="6">
        <v>0</v>
      </c>
      <c r="CA69" s="6">
        <v>0</v>
      </c>
      <c r="CB69" s="6">
        <v>0</v>
      </c>
      <c r="CC69" s="6" t="b">
        <v>0</v>
      </c>
      <c r="CD69" s="6">
        <v>0</v>
      </c>
      <c r="CE69" s="6" t="b">
        <v>0</v>
      </c>
      <c r="CF69" s="6">
        <v>0</v>
      </c>
      <c r="CG69" s="6">
        <v>0</v>
      </c>
      <c r="CH69" s="6">
        <v>0</v>
      </c>
      <c r="CI69" s="6">
        <v>0</v>
      </c>
      <c r="CJ69" s="6" t="b">
        <v>0</v>
      </c>
      <c r="CK69" s="6" t="b">
        <v>0</v>
      </c>
      <c r="CL69" s="6">
        <v>0</v>
      </c>
      <c r="CM69" s="6" t="b">
        <v>0</v>
      </c>
      <c r="CN69" s="6"/>
      <c r="CO69" s="6"/>
      <c r="CP69" s="6"/>
      <c r="CQ69" s="6"/>
      <c r="CR69" s="6"/>
      <c r="CS69" s="6"/>
      <c r="CT69" s="6"/>
      <c r="CU69" s="6"/>
      <c r="CV69" s="6"/>
      <c r="CW69" s="6"/>
      <c r="CX69" s="6"/>
      <c r="CY69" s="6"/>
      <c r="CZ69" s="6"/>
      <c r="DA69" s="6"/>
      <c r="DB69" s="6"/>
      <c r="DC69" s="6"/>
      <c r="DD69" s="6"/>
      <c r="DE69" s="6"/>
      <c r="DF69" s="6"/>
      <c r="DG69" s="6"/>
      <c r="DH69" s="6"/>
      <c r="DI69" s="6"/>
    </row>
    <row r="70" spans="1:113" x14ac:dyDescent="0.25">
      <c r="A70" s="6" t="s">
        <v>963</v>
      </c>
      <c r="B70" s="6">
        <v>1</v>
      </c>
      <c r="C70" s="6">
        <v>0</v>
      </c>
      <c r="D70" s="6">
        <v>0</v>
      </c>
      <c r="E70" s="6">
        <v>0</v>
      </c>
      <c r="F70" s="6">
        <v>0</v>
      </c>
      <c r="G70" s="6">
        <v>0</v>
      </c>
      <c r="H70" s="6">
        <v>0</v>
      </c>
      <c r="I70" s="6">
        <v>0</v>
      </c>
      <c r="J70" s="6">
        <v>0</v>
      </c>
      <c r="K70" s="6">
        <v>0</v>
      </c>
      <c r="L70" s="6">
        <v>0</v>
      </c>
      <c r="M70" s="6">
        <v>0</v>
      </c>
      <c r="N70" s="6">
        <v>0</v>
      </c>
      <c r="O70" s="6">
        <v>0</v>
      </c>
      <c r="P70" s="6">
        <v>0</v>
      </c>
      <c r="Q70" s="6">
        <v>0</v>
      </c>
      <c r="R70" s="6">
        <v>0</v>
      </c>
      <c r="S70" s="6">
        <v>0</v>
      </c>
      <c r="T70" s="6">
        <v>0</v>
      </c>
      <c r="U70" s="6">
        <v>0</v>
      </c>
      <c r="V70" s="6">
        <v>0</v>
      </c>
      <c r="W70" s="6">
        <v>0</v>
      </c>
      <c r="X70" s="6">
        <v>0</v>
      </c>
      <c r="Y70" s="6">
        <v>0</v>
      </c>
      <c r="Z70" s="6">
        <v>0</v>
      </c>
      <c r="AA70" s="6">
        <v>0</v>
      </c>
      <c r="AB70" s="6">
        <v>0</v>
      </c>
      <c r="AC70" s="6">
        <v>0</v>
      </c>
      <c r="AD70" s="6">
        <v>0</v>
      </c>
      <c r="AE70" s="6">
        <v>0</v>
      </c>
      <c r="AF70" s="6">
        <v>0</v>
      </c>
      <c r="AG70" s="6">
        <v>0</v>
      </c>
      <c r="AH70" s="6">
        <v>0</v>
      </c>
      <c r="AI70" s="6">
        <v>0</v>
      </c>
      <c r="AJ70" s="6">
        <v>0</v>
      </c>
      <c r="AK70" s="6">
        <v>0</v>
      </c>
      <c r="AL70" s="6">
        <v>0</v>
      </c>
      <c r="AM70" s="6">
        <v>0</v>
      </c>
      <c r="AN70" s="6">
        <v>0</v>
      </c>
      <c r="AO70" s="6">
        <v>0</v>
      </c>
      <c r="AP70" s="6">
        <v>0</v>
      </c>
      <c r="AQ70" s="6">
        <v>0</v>
      </c>
      <c r="AR70" s="6">
        <v>0</v>
      </c>
      <c r="AS70" s="6">
        <v>0</v>
      </c>
      <c r="AT70" s="6" t="s">
        <v>862</v>
      </c>
      <c r="AU70" s="6" t="s">
        <v>862</v>
      </c>
      <c r="AV70" s="6" t="s">
        <v>862</v>
      </c>
      <c r="AW70" s="6" t="s">
        <v>862</v>
      </c>
      <c r="AX70" s="6">
        <v>0</v>
      </c>
      <c r="AY70" s="6" t="b">
        <v>0</v>
      </c>
      <c r="AZ70" s="6">
        <v>0</v>
      </c>
      <c r="BA70" s="6" t="b">
        <v>0</v>
      </c>
      <c r="BB70" s="6">
        <v>0</v>
      </c>
      <c r="BC70" s="6">
        <v>0</v>
      </c>
      <c r="BD70" s="6">
        <v>0</v>
      </c>
      <c r="BE70" s="6">
        <v>0</v>
      </c>
      <c r="BF70" s="6">
        <v>0</v>
      </c>
      <c r="BG70" s="6" t="s">
        <v>1564</v>
      </c>
      <c r="BH70" s="6">
        <v>0</v>
      </c>
      <c r="BI70" s="6">
        <v>0</v>
      </c>
      <c r="BJ70" s="6">
        <v>0</v>
      </c>
      <c r="BK70" s="6">
        <v>0</v>
      </c>
      <c r="BL70" s="6" t="b">
        <v>0</v>
      </c>
      <c r="BM70" s="6">
        <v>0</v>
      </c>
      <c r="BN70" s="6">
        <v>0</v>
      </c>
      <c r="BO70" s="6">
        <v>0</v>
      </c>
      <c r="BP70" s="6">
        <v>0</v>
      </c>
      <c r="BQ70" s="6">
        <v>0</v>
      </c>
      <c r="BR70" s="6">
        <v>0</v>
      </c>
      <c r="BS70" s="6">
        <v>0</v>
      </c>
      <c r="BT70" s="6">
        <v>0</v>
      </c>
      <c r="BU70" s="6">
        <v>0</v>
      </c>
      <c r="BV70" s="6">
        <v>0</v>
      </c>
      <c r="BW70" s="6">
        <v>0</v>
      </c>
      <c r="BX70" s="6">
        <v>0</v>
      </c>
      <c r="BY70" s="6">
        <v>0</v>
      </c>
      <c r="BZ70" s="6">
        <v>0</v>
      </c>
      <c r="CA70" s="6">
        <v>0</v>
      </c>
      <c r="CB70" s="6">
        <v>0</v>
      </c>
      <c r="CC70" s="6" t="b">
        <v>0</v>
      </c>
      <c r="CD70" s="6">
        <v>0</v>
      </c>
      <c r="CE70" s="6" t="b">
        <v>0</v>
      </c>
      <c r="CF70" s="6">
        <v>0</v>
      </c>
      <c r="CG70" s="6">
        <v>0</v>
      </c>
      <c r="CH70" s="6">
        <v>0</v>
      </c>
      <c r="CI70" s="6">
        <v>0</v>
      </c>
      <c r="CJ70" s="6" t="b">
        <v>0</v>
      </c>
      <c r="CK70" s="6" t="b">
        <v>0</v>
      </c>
      <c r="CL70" s="6">
        <v>0</v>
      </c>
      <c r="CM70" s="6" t="b">
        <v>0</v>
      </c>
      <c r="CN70" s="6"/>
      <c r="CO70" s="6"/>
      <c r="CP70" s="6"/>
      <c r="CQ70" s="6"/>
      <c r="CR70" s="6"/>
      <c r="CS70" s="6"/>
      <c r="CT70" s="6"/>
      <c r="CU70" s="6"/>
      <c r="CV70" s="6"/>
      <c r="CW70" s="6"/>
      <c r="CX70" s="6"/>
      <c r="CY70" s="6"/>
      <c r="CZ70" s="6"/>
      <c r="DA70" s="6"/>
      <c r="DB70" s="6"/>
      <c r="DC70" s="6"/>
      <c r="DD70" s="6"/>
      <c r="DE70" s="6"/>
      <c r="DF70" s="6"/>
      <c r="DG70" s="6"/>
      <c r="DH70" s="6"/>
      <c r="DI70" s="6"/>
    </row>
    <row r="71" spans="1:113" x14ac:dyDescent="0.25">
      <c r="A71" s="6" t="s">
        <v>723</v>
      </c>
      <c r="B71" s="6">
        <v>1</v>
      </c>
      <c r="C71" s="6">
        <v>0</v>
      </c>
      <c r="D71" s="6">
        <v>0</v>
      </c>
      <c r="E71" s="6">
        <v>0</v>
      </c>
      <c r="F71" s="6">
        <v>0</v>
      </c>
      <c r="G71" s="6">
        <v>0</v>
      </c>
      <c r="H71" s="6">
        <v>0</v>
      </c>
      <c r="I71" s="6">
        <v>0</v>
      </c>
      <c r="J71" s="6">
        <v>0</v>
      </c>
      <c r="K71" s="6">
        <v>0</v>
      </c>
      <c r="L71" s="6">
        <v>0</v>
      </c>
      <c r="M71" s="6">
        <v>0</v>
      </c>
      <c r="N71" s="6">
        <v>0</v>
      </c>
      <c r="O71" s="6">
        <v>0</v>
      </c>
      <c r="P71" s="6">
        <v>0</v>
      </c>
      <c r="Q71" s="6">
        <v>0</v>
      </c>
      <c r="R71" s="6">
        <v>0</v>
      </c>
      <c r="S71" s="6">
        <v>0</v>
      </c>
      <c r="T71" s="6">
        <v>0</v>
      </c>
      <c r="U71" s="6">
        <v>0</v>
      </c>
      <c r="V71" s="6">
        <v>0</v>
      </c>
      <c r="W71" s="6">
        <v>0</v>
      </c>
      <c r="X71" s="6">
        <v>0</v>
      </c>
      <c r="Y71" s="6">
        <v>0</v>
      </c>
      <c r="Z71" s="6">
        <v>0</v>
      </c>
      <c r="AA71" s="6">
        <v>0</v>
      </c>
      <c r="AB71" s="6">
        <v>0</v>
      </c>
      <c r="AC71" s="6">
        <v>0</v>
      </c>
      <c r="AD71" s="6">
        <v>0</v>
      </c>
      <c r="AE71" s="6">
        <v>0</v>
      </c>
      <c r="AF71" s="6">
        <v>0</v>
      </c>
      <c r="AG71" s="6">
        <v>0</v>
      </c>
      <c r="AH71" s="6">
        <v>0</v>
      </c>
      <c r="AI71" s="6">
        <v>0</v>
      </c>
      <c r="AJ71" s="6">
        <v>0</v>
      </c>
      <c r="AK71" s="6">
        <v>0</v>
      </c>
      <c r="AL71" s="6">
        <v>0</v>
      </c>
      <c r="AM71" s="6">
        <v>0</v>
      </c>
      <c r="AN71" s="6">
        <v>0</v>
      </c>
      <c r="AO71" s="6">
        <v>0</v>
      </c>
      <c r="AP71" s="6">
        <v>0</v>
      </c>
      <c r="AQ71" s="6">
        <v>0</v>
      </c>
      <c r="AR71" s="6">
        <v>0</v>
      </c>
      <c r="AS71" s="6">
        <v>0</v>
      </c>
      <c r="AT71" s="6" t="s">
        <v>862</v>
      </c>
      <c r="AU71" s="6" t="s">
        <v>862</v>
      </c>
      <c r="AV71" s="6" t="s">
        <v>862</v>
      </c>
      <c r="AW71" s="6" t="s">
        <v>862</v>
      </c>
      <c r="AX71" s="6">
        <v>0</v>
      </c>
      <c r="AY71" s="6" t="b">
        <v>0</v>
      </c>
      <c r="AZ71" s="6">
        <v>0</v>
      </c>
      <c r="BA71" s="6" t="b">
        <v>0</v>
      </c>
      <c r="BB71" s="6">
        <v>0</v>
      </c>
      <c r="BC71" s="6">
        <v>0</v>
      </c>
      <c r="BD71" s="6">
        <v>0</v>
      </c>
      <c r="BE71" s="6">
        <v>0</v>
      </c>
      <c r="BF71" s="6">
        <v>0</v>
      </c>
      <c r="BG71" s="6" t="s">
        <v>1564</v>
      </c>
      <c r="BH71" s="6">
        <v>0</v>
      </c>
      <c r="BI71" s="6">
        <v>0</v>
      </c>
      <c r="BJ71" s="6">
        <v>0</v>
      </c>
      <c r="BK71" s="6">
        <v>0</v>
      </c>
      <c r="BL71" s="6" t="b">
        <v>0</v>
      </c>
      <c r="BM71" s="6">
        <v>0</v>
      </c>
      <c r="BN71" s="6">
        <v>0</v>
      </c>
      <c r="BO71" s="6">
        <v>0</v>
      </c>
      <c r="BP71" s="6">
        <v>0</v>
      </c>
      <c r="BQ71" s="6">
        <v>0</v>
      </c>
      <c r="BR71" s="6">
        <v>0</v>
      </c>
      <c r="BS71" s="6">
        <v>0</v>
      </c>
      <c r="BT71" s="6">
        <v>0</v>
      </c>
      <c r="BU71" s="6">
        <v>0</v>
      </c>
      <c r="BV71" s="6">
        <v>0</v>
      </c>
      <c r="BW71" s="6">
        <v>0</v>
      </c>
      <c r="BX71" s="6">
        <v>0</v>
      </c>
      <c r="BY71" s="6">
        <v>0</v>
      </c>
      <c r="BZ71" s="6">
        <v>0</v>
      </c>
      <c r="CA71" s="6">
        <v>0</v>
      </c>
      <c r="CB71" s="6">
        <v>0</v>
      </c>
      <c r="CC71" s="6" t="b">
        <v>0</v>
      </c>
      <c r="CD71" s="6">
        <v>0</v>
      </c>
      <c r="CE71" s="6" t="b">
        <v>0</v>
      </c>
      <c r="CF71" s="6">
        <v>0</v>
      </c>
      <c r="CG71" s="6">
        <v>0</v>
      </c>
      <c r="CH71" s="6">
        <v>0</v>
      </c>
      <c r="CI71" s="6">
        <v>0</v>
      </c>
      <c r="CJ71" s="6" t="b">
        <v>0</v>
      </c>
      <c r="CK71" s="6" t="b">
        <v>0</v>
      </c>
      <c r="CL71" s="6">
        <v>0</v>
      </c>
      <c r="CM71" s="6" t="b">
        <v>0</v>
      </c>
      <c r="CN71" s="6"/>
      <c r="CO71" s="6"/>
      <c r="CP71" s="6"/>
      <c r="CQ71" s="6"/>
      <c r="CR71" s="6"/>
      <c r="CS71" s="6"/>
      <c r="CT71" s="6"/>
      <c r="CU71" s="6"/>
      <c r="CV71" s="6"/>
      <c r="CW71" s="6"/>
      <c r="CX71" s="6"/>
      <c r="CY71" s="6"/>
      <c r="CZ71" s="6"/>
      <c r="DA71" s="6"/>
      <c r="DB71" s="6"/>
      <c r="DC71" s="6"/>
      <c r="DD71" s="6"/>
      <c r="DE71" s="6"/>
      <c r="DF71" s="6"/>
      <c r="DG71" s="6"/>
      <c r="DH71" s="6"/>
      <c r="DI71" s="6"/>
    </row>
    <row r="72" spans="1:113" x14ac:dyDescent="0.25">
      <c r="A72" s="6" t="s">
        <v>617</v>
      </c>
      <c r="B72" s="6">
        <v>1</v>
      </c>
      <c r="C72" s="6">
        <v>0</v>
      </c>
      <c r="D72" s="6">
        <v>0</v>
      </c>
      <c r="E72" s="6">
        <v>0</v>
      </c>
      <c r="F72" s="6">
        <v>0</v>
      </c>
      <c r="G72" s="6">
        <v>0</v>
      </c>
      <c r="H72" s="6">
        <v>0</v>
      </c>
      <c r="I72" s="6">
        <v>0</v>
      </c>
      <c r="J72" s="6">
        <v>0</v>
      </c>
      <c r="K72" s="6">
        <v>0</v>
      </c>
      <c r="L72" s="6">
        <v>0</v>
      </c>
      <c r="M72" s="6">
        <v>0</v>
      </c>
      <c r="N72" s="6">
        <v>0</v>
      </c>
      <c r="O72" s="6">
        <v>0</v>
      </c>
      <c r="P72" s="6">
        <v>0</v>
      </c>
      <c r="Q72" s="6">
        <v>0</v>
      </c>
      <c r="R72" s="6">
        <v>0</v>
      </c>
      <c r="S72" s="6">
        <v>0</v>
      </c>
      <c r="T72" s="6">
        <v>0</v>
      </c>
      <c r="U72" s="6">
        <v>0</v>
      </c>
      <c r="V72" s="6">
        <v>0</v>
      </c>
      <c r="W72" s="6">
        <v>0</v>
      </c>
      <c r="X72" s="6">
        <v>0</v>
      </c>
      <c r="Y72" s="6">
        <v>0</v>
      </c>
      <c r="Z72" s="6">
        <v>0</v>
      </c>
      <c r="AA72" s="6">
        <v>0</v>
      </c>
      <c r="AB72" s="6">
        <v>0</v>
      </c>
      <c r="AC72" s="6">
        <v>0</v>
      </c>
      <c r="AD72" s="6">
        <v>0</v>
      </c>
      <c r="AE72" s="6">
        <v>0</v>
      </c>
      <c r="AF72" s="6">
        <v>0</v>
      </c>
      <c r="AG72" s="6">
        <v>0</v>
      </c>
      <c r="AH72" s="6">
        <v>0</v>
      </c>
      <c r="AI72" s="6">
        <v>0</v>
      </c>
      <c r="AJ72" s="6">
        <v>0</v>
      </c>
      <c r="AK72" s="6">
        <v>0</v>
      </c>
      <c r="AL72" s="6">
        <v>0</v>
      </c>
      <c r="AM72" s="6">
        <v>0</v>
      </c>
      <c r="AN72" s="6">
        <v>0</v>
      </c>
      <c r="AO72" s="6">
        <v>0</v>
      </c>
      <c r="AP72" s="6">
        <v>0</v>
      </c>
      <c r="AQ72" s="6">
        <v>0</v>
      </c>
      <c r="AR72" s="6">
        <v>0</v>
      </c>
      <c r="AS72" s="6">
        <v>0</v>
      </c>
      <c r="AT72" s="6" t="s">
        <v>862</v>
      </c>
      <c r="AU72" s="6" t="s">
        <v>862</v>
      </c>
      <c r="AV72" s="6" t="s">
        <v>862</v>
      </c>
      <c r="AW72" s="6" t="s">
        <v>862</v>
      </c>
      <c r="AX72" s="6">
        <v>0</v>
      </c>
      <c r="AY72" s="6" t="b">
        <v>0</v>
      </c>
      <c r="AZ72" s="6">
        <v>0</v>
      </c>
      <c r="BA72" s="6" t="b">
        <v>0</v>
      </c>
      <c r="BB72" s="6">
        <v>0</v>
      </c>
      <c r="BC72" s="6">
        <v>0</v>
      </c>
      <c r="BD72" s="6">
        <v>0</v>
      </c>
      <c r="BE72" s="6">
        <v>0</v>
      </c>
      <c r="BF72" s="6">
        <v>0</v>
      </c>
      <c r="BG72" s="6" t="s">
        <v>1564</v>
      </c>
      <c r="BH72" s="6">
        <v>0</v>
      </c>
      <c r="BI72" s="6">
        <v>0</v>
      </c>
      <c r="BJ72" s="6">
        <v>0</v>
      </c>
      <c r="BK72" s="6">
        <v>0</v>
      </c>
      <c r="BL72" s="6" t="b">
        <v>0</v>
      </c>
      <c r="BM72" s="6">
        <v>0</v>
      </c>
      <c r="BN72" s="6">
        <v>0</v>
      </c>
      <c r="BO72" s="6">
        <v>0</v>
      </c>
      <c r="BP72" s="6">
        <v>0</v>
      </c>
      <c r="BQ72" s="6">
        <v>0</v>
      </c>
      <c r="BR72" s="6">
        <v>0</v>
      </c>
      <c r="BS72" s="6">
        <v>0</v>
      </c>
      <c r="BT72" s="6">
        <v>0</v>
      </c>
      <c r="BU72" s="6">
        <v>0</v>
      </c>
      <c r="BV72" s="6">
        <v>0</v>
      </c>
      <c r="BW72" s="6">
        <v>0</v>
      </c>
      <c r="BX72" s="6">
        <v>0</v>
      </c>
      <c r="BY72" s="6">
        <v>0</v>
      </c>
      <c r="BZ72" s="6">
        <v>0</v>
      </c>
      <c r="CA72" s="6">
        <v>0</v>
      </c>
      <c r="CB72" s="6">
        <v>0</v>
      </c>
      <c r="CC72" s="6" t="b">
        <v>0</v>
      </c>
      <c r="CD72" s="6">
        <v>0</v>
      </c>
      <c r="CE72" s="6" t="b">
        <v>0</v>
      </c>
      <c r="CF72" s="6">
        <v>0</v>
      </c>
      <c r="CG72" s="6">
        <v>0</v>
      </c>
      <c r="CH72" s="6">
        <v>0</v>
      </c>
      <c r="CI72" s="6">
        <v>0</v>
      </c>
      <c r="CJ72" s="6" t="b">
        <v>0</v>
      </c>
      <c r="CK72" s="6" t="b">
        <v>0</v>
      </c>
      <c r="CL72" s="6">
        <v>0</v>
      </c>
      <c r="CM72" s="6" t="b">
        <v>0</v>
      </c>
      <c r="CN72" s="6"/>
      <c r="CO72" s="6"/>
      <c r="CP72" s="6"/>
      <c r="CQ72" s="6"/>
      <c r="CR72" s="6"/>
      <c r="CS72" s="6"/>
      <c r="CT72" s="6"/>
      <c r="CU72" s="6"/>
      <c r="CV72" s="6"/>
      <c r="CW72" s="6"/>
      <c r="CX72" s="6"/>
      <c r="CY72" s="6"/>
      <c r="CZ72" s="6"/>
      <c r="DA72" s="6"/>
      <c r="DB72" s="6"/>
      <c r="DC72" s="6"/>
      <c r="DD72" s="6"/>
      <c r="DE72" s="6"/>
      <c r="DF72" s="6"/>
      <c r="DG72" s="6"/>
      <c r="DH72" s="6"/>
      <c r="DI72" s="6"/>
    </row>
    <row r="73" spans="1:113" x14ac:dyDescent="0.25">
      <c r="A73" s="6" t="s">
        <v>722</v>
      </c>
      <c r="B73" s="6">
        <v>1</v>
      </c>
      <c r="C73" s="6">
        <v>0</v>
      </c>
      <c r="D73" s="6">
        <v>0</v>
      </c>
      <c r="E73" s="6">
        <v>0</v>
      </c>
      <c r="F73" s="6">
        <v>0</v>
      </c>
      <c r="G73" s="6">
        <v>0</v>
      </c>
      <c r="H73" s="6">
        <v>0</v>
      </c>
      <c r="I73" s="6">
        <v>0</v>
      </c>
      <c r="J73" s="6">
        <v>0</v>
      </c>
      <c r="K73" s="6">
        <v>0</v>
      </c>
      <c r="L73" s="6">
        <v>0</v>
      </c>
      <c r="M73" s="6">
        <v>0</v>
      </c>
      <c r="N73" s="6">
        <v>0</v>
      </c>
      <c r="O73" s="6">
        <v>0</v>
      </c>
      <c r="P73" s="6">
        <v>0</v>
      </c>
      <c r="Q73" s="6">
        <v>0</v>
      </c>
      <c r="R73" s="6">
        <v>0</v>
      </c>
      <c r="S73" s="6">
        <v>0</v>
      </c>
      <c r="T73" s="6">
        <v>0</v>
      </c>
      <c r="U73" s="6">
        <v>0</v>
      </c>
      <c r="V73" s="6">
        <v>0</v>
      </c>
      <c r="W73" s="6">
        <v>0</v>
      </c>
      <c r="X73" s="6">
        <v>0</v>
      </c>
      <c r="Y73" s="6">
        <v>0</v>
      </c>
      <c r="Z73" s="6">
        <v>0</v>
      </c>
      <c r="AA73" s="6">
        <v>0</v>
      </c>
      <c r="AB73" s="6">
        <v>0</v>
      </c>
      <c r="AC73" s="6">
        <v>0</v>
      </c>
      <c r="AD73" s="6">
        <v>0</v>
      </c>
      <c r="AE73" s="6">
        <v>0</v>
      </c>
      <c r="AF73" s="6">
        <v>0</v>
      </c>
      <c r="AG73" s="6">
        <v>0</v>
      </c>
      <c r="AH73" s="6">
        <v>0</v>
      </c>
      <c r="AI73" s="6">
        <v>0</v>
      </c>
      <c r="AJ73" s="6">
        <v>0</v>
      </c>
      <c r="AK73" s="6">
        <v>0</v>
      </c>
      <c r="AL73" s="6">
        <v>0</v>
      </c>
      <c r="AM73" s="6">
        <v>0</v>
      </c>
      <c r="AN73" s="6">
        <v>0</v>
      </c>
      <c r="AO73" s="6">
        <v>0</v>
      </c>
      <c r="AP73" s="6">
        <v>0</v>
      </c>
      <c r="AQ73" s="6">
        <v>0</v>
      </c>
      <c r="AR73" s="6">
        <v>0</v>
      </c>
      <c r="AS73" s="6">
        <v>0</v>
      </c>
      <c r="AT73" s="6" t="s">
        <v>862</v>
      </c>
      <c r="AU73" s="6" t="s">
        <v>862</v>
      </c>
      <c r="AV73" s="6" t="s">
        <v>862</v>
      </c>
      <c r="AW73" s="6" t="s">
        <v>862</v>
      </c>
      <c r="AX73" s="6">
        <v>0</v>
      </c>
      <c r="AY73" s="6" t="b">
        <v>0</v>
      </c>
      <c r="AZ73" s="6">
        <v>0</v>
      </c>
      <c r="BA73" s="6" t="b">
        <v>0</v>
      </c>
      <c r="BB73" s="6">
        <v>0</v>
      </c>
      <c r="BC73" s="6">
        <v>0</v>
      </c>
      <c r="BD73" s="6">
        <v>0</v>
      </c>
      <c r="BE73" s="6">
        <v>0</v>
      </c>
      <c r="BF73" s="6">
        <v>0</v>
      </c>
      <c r="BG73" s="6" t="s">
        <v>1564</v>
      </c>
      <c r="BH73" s="6">
        <v>0</v>
      </c>
      <c r="BI73" s="6">
        <v>0</v>
      </c>
      <c r="BJ73" s="6">
        <v>0</v>
      </c>
      <c r="BK73" s="6">
        <v>0</v>
      </c>
      <c r="BL73" s="6" t="b">
        <v>0</v>
      </c>
      <c r="BM73" s="6">
        <v>0</v>
      </c>
      <c r="BN73" s="6">
        <v>0</v>
      </c>
      <c r="BO73" s="6">
        <v>0</v>
      </c>
      <c r="BP73" s="6">
        <v>0</v>
      </c>
      <c r="BQ73" s="6">
        <v>0</v>
      </c>
      <c r="BR73" s="6">
        <v>0</v>
      </c>
      <c r="BS73" s="6">
        <v>0</v>
      </c>
      <c r="BT73" s="6">
        <v>0</v>
      </c>
      <c r="BU73" s="6">
        <v>0</v>
      </c>
      <c r="BV73" s="6">
        <v>0</v>
      </c>
      <c r="BW73" s="6">
        <v>0</v>
      </c>
      <c r="BX73" s="6">
        <v>0</v>
      </c>
      <c r="BY73" s="6">
        <v>0</v>
      </c>
      <c r="BZ73" s="6">
        <v>0</v>
      </c>
      <c r="CA73" s="6">
        <v>0</v>
      </c>
      <c r="CB73" s="6">
        <v>0</v>
      </c>
      <c r="CC73" s="6" t="b">
        <v>0</v>
      </c>
      <c r="CD73" s="6">
        <v>0</v>
      </c>
      <c r="CE73" s="6" t="b">
        <v>0</v>
      </c>
      <c r="CF73" s="6">
        <v>0</v>
      </c>
      <c r="CG73" s="6">
        <v>0</v>
      </c>
      <c r="CH73" s="6">
        <v>0</v>
      </c>
      <c r="CI73" s="6">
        <v>0</v>
      </c>
      <c r="CJ73" s="6" t="b">
        <v>0</v>
      </c>
      <c r="CK73" s="6" t="b">
        <v>0</v>
      </c>
      <c r="CL73" s="6">
        <v>0</v>
      </c>
      <c r="CM73" s="6" t="b">
        <v>0</v>
      </c>
      <c r="CN73" s="6"/>
      <c r="CO73" s="6"/>
      <c r="CP73" s="6"/>
      <c r="CQ73" s="6"/>
      <c r="CR73" s="6"/>
      <c r="CS73" s="6"/>
      <c r="CT73" s="6"/>
      <c r="CU73" s="6"/>
      <c r="CV73" s="6"/>
      <c r="CW73" s="6"/>
      <c r="CX73" s="6"/>
      <c r="CY73" s="6"/>
      <c r="CZ73" s="6"/>
      <c r="DA73" s="6"/>
      <c r="DB73" s="6"/>
      <c r="DC73" s="6"/>
      <c r="DD73" s="6"/>
      <c r="DE73" s="6"/>
      <c r="DF73" s="6"/>
      <c r="DG73" s="6"/>
      <c r="DH73" s="6"/>
      <c r="DI73" s="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D0F26-BF03-4CF0-A806-5142FB7720BF}">
  <sheetPr codeName="Sheet17"/>
  <dimension ref="A1:A13"/>
  <sheetViews>
    <sheetView workbookViewId="0">
      <selection activeCell="A14" sqref="A14"/>
    </sheetView>
  </sheetViews>
  <sheetFormatPr defaultRowHeight="12.75" x14ac:dyDescent="0.2"/>
  <cols>
    <col min="1" max="1" width="81.140625" style="99" customWidth="1"/>
    <col min="2" max="16384" width="9.140625" style="99"/>
  </cols>
  <sheetData>
    <row r="1" spans="1:1" ht="25.5" x14ac:dyDescent="0.35">
      <c r="A1" s="98" t="s">
        <v>1569</v>
      </c>
    </row>
    <row r="2" spans="1:1" x14ac:dyDescent="0.2">
      <c r="A2" s="100" t="s">
        <v>1574</v>
      </c>
    </row>
    <row r="3" spans="1:1" ht="51" x14ac:dyDescent="0.2">
      <c r="A3" s="101" t="s">
        <v>1570</v>
      </c>
    </row>
    <row r="4" spans="1:1" ht="25.5" x14ac:dyDescent="0.2">
      <c r="A4" s="101" t="s">
        <v>1571</v>
      </c>
    </row>
    <row r="5" spans="1:1" ht="38.25" x14ac:dyDescent="0.2">
      <c r="A5" s="101" t="s">
        <v>1572</v>
      </c>
    </row>
    <row r="6" spans="1:1" x14ac:dyDescent="0.2">
      <c r="A6" s="100"/>
    </row>
    <row r="7" spans="1:1" x14ac:dyDescent="0.2">
      <c r="A7" s="100" t="s">
        <v>1579</v>
      </c>
    </row>
    <row r="8" spans="1:1" x14ac:dyDescent="0.2">
      <c r="A8" s="100" t="s">
        <v>1575</v>
      </c>
    </row>
    <row r="9" spans="1:1" x14ac:dyDescent="0.2">
      <c r="A9" s="100" t="s">
        <v>1576</v>
      </c>
    </row>
    <row r="10" spans="1:1" x14ac:dyDescent="0.2">
      <c r="A10" s="100" t="s">
        <v>1577</v>
      </c>
    </row>
    <row r="11" spans="1:1" x14ac:dyDescent="0.2">
      <c r="A11" s="100"/>
    </row>
    <row r="12" spans="1:1" x14ac:dyDescent="0.2">
      <c r="A12" s="100" t="s">
        <v>1578</v>
      </c>
    </row>
    <row r="13" spans="1:1" x14ac:dyDescent="0.2">
      <c r="A13" s="100" t="s">
        <v>1573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Calculator</vt:lpstr>
      <vt:lpstr>Combos</vt:lpstr>
      <vt:lpstr>tbWeapons</vt:lpstr>
      <vt:lpstr>tbMoveset</vt:lpstr>
      <vt:lpstr>tbMoves</vt:lpstr>
      <vt:lpstr>tbSkills</vt:lpstr>
      <vt:lpstr>tbStatus</vt:lpstr>
      <vt:lpstr>tbHitzones</vt:lpstr>
      <vt:lpstr>tbMonsters</vt:lpstr>
      <vt:lpstr>tbSharpness</vt:lpstr>
      <vt:lpstr>tbBloat</vt:lpstr>
      <vt:lpstr>tbCustom</vt:lpstr>
      <vt:lpstr>tbAwaken</vt:lpstr>
      <vt:lpstr>Backdoors</vt:lpstr>
      <vt:lpstr>BackdoorsMoveset</vt:lpstr>
      <vt:lpstr>SavedBuildNumbers</vt:lpstr>
      <vt:lpstr>Credits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pilgrim8@student.ubc.ca</dc:creator>
  <cp:lastModifiedBy>pilgrim8@student.ubc.ca</cp:lastModifiedBy>
  <dcterms:created xsi:type="dcterms:W3CDTF">2023-12-04T22:17:00Z</dcterms:created>
  <dcterms:modified xsi:type="dcterms:W3CDTF">2024-03-24T09:29:50Z</dcterms:modified>
</cp:coreProperties>
</file>